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rezni\OneDrive\Desktop\Business Resilience Concept\GitHub\RR-framework_github_package_v3.0\workbook\"/>
    </mc:Choice>
  </mc:AlternateContent>
  <xr:revisionPtr revIDLastSave="0" documentId="8_{C27D6897-97B5-471A-9372-06C510449FB4}" xr6:coauthVersionLast="47" xr6:coauthVersionMax="47" xr10:uidLastSave="{00000000-0000-0000-0000-000000000000}"/>
  <bookViews>
    <workbookView xWindow="-103" yWindow="-103" windowWidth="24892" windowHeight="14914" xr2:uid="{00000000-000D-0000-FFFF-FFFF00000000}"/>
  </bookViews>
  <sheets>
    <sheet name="Guidelines" sheetId="1" r:id="rId1"/>
    <sheet name="Company Profile" sheetId="2" r:id="rId2"/>
    <sheet name="Assessment Questions" sheetId="3" r:id="rId3"/>
    <sheet name="AS-IS Assessment" sheetId="4" r:id="rId4"/>
    <sheet name="Resilience &amp; Risk Scenario" sheetId="5" r:id="rId5"/>
    <sheet name="Action Plan &amp; Roadmap" sheetId="6" r:id="rId6"/>
    <sheet name="_DATA_Assessment_Model" sheetId="7" state="hidden" r:id="rId7"/>
    <sheet name="_DATA_Dashboard_Facts" sheetId="8" state="hidden" r:id="rId8"/>
    <sheet name="_ENGINE_Initiatives" sheetId="9" state="hidden" r:id="rId9"/>
    <sheet name="_ENGINE_Risk" sheetId="10" state="hidden" r:id="rId10"/>
    <sheet name="_ENGINE_Crisis" sheetId="11" state="hidden" r:id="rId11"/>
    <sheet name="_ENGINE_Strategy" sheetId="12" state="hidden" r:id="rId12"/>
    <sheet name="_REF_Model_Content" sheetId="13" state="hidden" r:id="rId13"/>
    <sheet name="_CONFIG_Model_Settings" sheetId="14" state="hidden" r:id="rId14"/>
    <sheet name="_ENGINE_Fuzzy_Posture" sheetId="15" state="hidden" r:id="rId15"/>
    <sheet name="_CONFIG_Risk_Calibration" sheetId="16" state="hidden" r:id="rId16"/>
    <sheet name="_ENGINE_Simulation" sheetId="17" state="hidden" r:id="rId17"/>
    <sheet name="_ENGINE_MonteCarlo" sheetId="18" state="hidden" r:id="rId18"/>
    <sheet name="_DATA_RiskInitiativeMap" sheetId="19" state="hidden" r:id="rId19"/>
    <sheet name="_CONFIG" sheetId="20" state="hidden" r:id="rId20"/>
    <sheet name="_REF_Dropdowns" sheetId="21" state="hidden" r:id="rId21"/>
    <sheet name="_REF_Dropdown_Registry" sheetId="22" state="hidden" r:id="rId22"/>
    <sheet name="_REF_Industry_Aliases" sheetId="23" state="hidden" r:id="rId23"/>
    <sheet name="_REF_Profile_Field_Dictionary" sheetId="24" state="hidden" r:id="rId24"/>
    <sheet name="_ENGINE_Profile_Vector" sheetId="25" state="hidden" r:id="rId25"/>
    <sheet name="_REF_Applicability_Gates" sheetId="26" state="hidden" r:id="rId26"/>
    <sheet name="_REF_Crisis_Dominance" sheetId="27" state="hidden" r:id="rId27"/>
    <sheet name="_ENGINE_Relevance" sheetId="28" state="hidden" r:id="rId28"/>
    <sheet name="_REF_Capability_Taxonomy" sheetId="29" state="hidden" r:id="rId29"/>
    <sheet name="_REF_Capability_Bridge" sheetId="30" state="hidden" r:id="rId30"/>
    <sheet name="_REF_Treatment_Library" sheetId="31" state="hidden" r:id="rId31"/>
    <sheet name="_REF_Industry_Wording" sheetId="32" state="hidden" r:id="rId32"/>
    <sheet name="_REF_Context_Relevance" sheetId="33" state="hidden" r:id="rId33"/>
    <sheet name="_REF_Risk_Ontology" sheetId="34" state="hidden" r:id="rId34"/>
    <sheet name="_REF_Initiative_Ontology" sheetId="35" state="hidden" r:id="rId35"/>
    <sheet name="_REF_Output_Reconciliation" sheetId="36" state="hidden" r:id="rId36"/>
    <sheet name="_REF_Backend_Entity_Map" sheetId="37" state="hidden" r:id="rId37"/>
    <sheet name="_REF_Data_Dictionary" sheetId="38" state="hidden" r:id="rId38"/>
    <sheet name="_REF_Backend_Field_Map" sheetId="39" state="hidden" r:id="rId39"/>
    <sheet name="_API_Import_Contract" sheetId="40" state="hidden" r:id="rId40"/>
    <sheet name="_README" sheetId="41" state="hidden" r:id="rId41"/>
    <sheet name="_LINT" sheetId="42" state="hidden" r:id="rId42"/>
    <sheet name="_DOC" sheetId="43" state="hidden" r:id="rId43"/>
  </sheets>
  <definedNames>
    <definedName name="_xlnm._FilterDatabase" localSheetId="39" hidden="1">_API_Import_Contract!$A$4:$H$14</definedName>
    <definedName name="_xlnm._FilterDatabase" localSheetId="6" hidden="1">_DATA_Assessment_Model!$A$4:$AZ$428</definedName>
    <definedName name="_xlnm._FilterDatabase" localSheetId="10" hidden="1">_ENGINE_Crisis!$A$4:$J$191</definedName>
    <definedName name="_xlnm._FilterDatabase" localSheetId="27" hidden="1">_ENGINE_Relevance!$A$1:$Q$37</definedName>
    <definedName name="_xlnm._FilterDatabase" localSheetId="9" hidden="1">_ENGINE_Risk!$A$4:$AL$428</definedName>
    <definedName name="_xlnm._FilterDatabase" localSheetId="11" hidden="1">_ENGINE_Strategy!$A$4:$AR$18</definedName>
    <definedName name="_xlnm._FilterDatabase" localSheetId="25" hidden="1">_REF_Applicability_Gates!$A$1:$Q$88</definedName>
    <definedName name="_xlnm._FilterDatabase" localSheetId="36" hidden="1">_REF_Backend_Entity_Map!$A$4:$L$25</definedName>
    <definedName name="_xlnm._FilterDatabase" localSheetId="38" hidden="1">_REF_Backend_Field_Map!$A$4:$I$314</definedName>
    <definedName name="_xlnm._FilterDatabase" localSheetId="26" hidden="1">_REF_Crisis_Dominance!$A$1:$L$45</definedName>
    <definedName name="_xlnm._FilterDatabase" localSheetId="37" hidden="1">_REF_Data_Dictionary!$A$4:$N$314</definedName>
    <definedName name="_xlnm._FilterDatabase" localSheetId="34" hidden="1">_REF_Initiative_Ontology!$A$1:$O$73</definedName>
    <definedName name="_xlnm._FilterDatabase" localSheetId="35" hidden="1">_REF_Output_Reconciliation!$A$1:$M$8</definedName>
    <definedName name="_xlnm._FilterDatabase" localSheetId="33" hidden="1">_REF_Risk_Ontology!$A$1:$P$425</definedName>
    <definedName name="_xlnm._FilterDatabase" localSheetId="2" hidden="1">'Assessment Questions'!$A$4:$AY$428</definedName>
    <definedName name="_xlnm._FilterDatabase" localSheetId="1" hidden="1">'Company Profile'!$A$4:$D$36</definedName>
    <definedName name="cfg_AboveOptimumRatio">_CONFIG_Model_Settings!$B$24</definedName>
    <definedName name="cfg_CrisisHighCut">_CONFIG_Model_Settings!$B$17</definedName>
    <definedName name="cfg_CrisisMedCut">_CONFIG_Model_Settings!$B$18</definedName>
    <definedName name="cfg_IndPriorityHigh">_CONFIG_Model_Settings!$B$19</definedName>
    <definedName name="cfg_IndPriorityLow">_CONFIG_Model_Settings!$B$20</definedName>
    <definedName name="cfg_RiskFitScale">_CONFIG_Model_Settings!$B$26</definedName>
    <definedName name="cfg_RiskSecondaryWeight">_CONFIG_Model_Settings!$B$25</definedName>
    <definedName name="cfg_ScenarioFitScale">_CONFIG_Model_Settings!$B$27</definedName>
    <definedName name="cfg_TimelineBucket1">_CONFIG_Model_Settings!$B$21</definedName>
    <definedName name="cfg_TimelineBucket2">_CONFIG_Model_Settings!$B$22</definedName>
    <definedName name="cfg_TimelineBucket3">_CONFIG_Model_Settings!$B$23</definedName>
    <definedName name="CTX_Rules">_REF_Context_Relevance!$A$1:$K$25</definedName>
    <definedName name="DV_ASSESSMENT_CADENCE">_REF_Dropdowns!$K$3:$K$7</definedName>
    <definedName name="DV_ASSESSOR_CONFIDENCE">_REF_Dropdowns!$L$3:$L$5</definedName>
    <definedName name="DV_BUSINESS_MODEL">_REF_Dropdowns!$M$3:$M$10</definedName>
    <definedName name="DV_CASH_RUNWAY_BAND">_REF_Dropdowns!$N$3:$N$7</definedName>
    <definedName name="DV_CHANGE_CAPACITY_BAND">_REF_Dropdowns!$O$3:$O$13</definedName>
    <definedName name="DV_CLOUD_MODEL">_REF_Dropdowns!$P$3:$P$11</definedName>
    <definedName name="DV_COMPANY_SIZE_BAND">_REF_Dropdowns!$Q$3:$Q$7</definedName>
    <definedName name="DV_CONCENTRATION_BAND">_REF_Dropdowns!$R$3:$R$8</definedName>
    <definedName name="DV_CONFIDENCE_LEVEL">_REF_Dropdowns!$S$3:$S$5</definedName>
    <definedName name="DV_CONTINUITY_OPTION">_REF_Dropdowns!$T$3:$T$7</definedName>
    <definedName name="DV_CORE_SYSTEM_FAMILY">_REF_Dropdowns!$U$3:$U$22</definedName>
    <definedName name="DV_COUNTRY">_REF_Dropdowns!$V$3:$V$20</definedName>
    <definedName name="DV_CRISIS_HISTORY_IMPACT">_REF_Dropdowns!$W$3:$W$8</definedName>
    <definedName name="DV_CRITICAL_PEOPLE_DEPENDENCY">_REF_Dropdowns!$X$3:$X$6</definedName>
    <definedName name="DV_CRITICAL_PROCESS_FAMILY">_REF_Dropdowns!$Y$3:$Y$14</definedName>
    <definedName name="DV_CRITICAL_PRODUCT_SERVICE_TYPE">_REF_Dropdowns!$Z$3:$Z$12</definedName>
    <definedName name="DV_DATA_CRITICALITY">_REF_Dropdowns!$AA$3:$AA$6</definedName>
    <definedName name="DV_DEBT_LOAD">_REF_Dropdowns!$AB$3:$AB$7</definedName>
    <definedName name="DV_DIGITAL_DEPENDENCY">_REF_Dropdowns!$AC$3:$AC$6</definedName>
    <definedName name="DV_DISRUPTION_IMPACT">_REF_Dropdowns!$AD$3:$AD$7</definedName>
    <definedName name="DV_EVIDENCE_CONFIDENCE">_REF_Dropdowns!$AE$3:$AE$5</definedName>
    <definedName name="DV_FX_EXPOSURE_BAND">_REF_Dropdowns!$AF$3:$AF$7</definedName>
    <definedName name="DV_GEOGRAPHIC_FOOTPRINT">_REF_Dropdowns!$AG$3:$AG$7</definedName>
    <definedName name="DV_ICP_SEGMENT">_REF_Dropdowns!$AH$3:$AH$11</definedName>
    <definedName name="DV_INDUSTRY_ALIAS">_REF_Dropdowns!$AI$3:$AI$14</definedName>
    <definedName name="DV_INDUSTRY_CANONICAL">_REF_Dropdowns!$AJ$3:$AJ$11</definedName>
    <definedName name="DV_INDUSTRY_TEMPLATE_LEGACY">_REF_Dropdowns!$AK$3:$AK$11</definedName>
    <definedName name="DV_LEGAL_ENTITY_COMPLEXITY">_REF_Dropdowns!$AL$3:$AL$8</definedName>
    <definedName name="DV_LOCATION_CRITICALITY">_REF_Dropdowns!$AM$3:$AM$7</definedName>
    <definedName name="DV_MARKET_CONCENTRATION">_REF_Dropdowns!$AN$3:$AN$8</definedName>
    <definedName name="DV_MATURITY_TARGET">_REF_Dropdowns!$AO$3:$AO$8</definedName>
    <definedName name="DV_MOBILITY_SUPPORT">_REF_Dropdowns!$AP$3:$AP$8</definedName>
    <definedName name="DV_OPERATING_MODEL">_REF_Dropdowns!$AQ$3:$AQ$12</definedName>
    <definedName name="DV_OWNERSHIP_TYPE">_REF_Dropdowns!$AR$3:$AR$10</definedName>
    <definedName name="DV_PHYSICAL_FOOTPRINT_INTENSITY">_REF_Dropdowns!$AS$3:$AS$7</definedName>
    <definedName name="DV_REGULATION_FAMILY">_REF_Dropdowns!$AT$3:$AT$14</definedName>
    <definedName name="DV_REGULATORY_INTENSITY">_REF_Dropdowns!$AU$3:$AU$7</definedName>
    <definedName name="DV_REMOTE_WORK_READINESS">_REF_Dropdowns!$AV$3:$AV$8</definedName>
    <definedName name="DV_REVENUE_BAND">_REF_Dropdowns!$AW$3:$AW$7</definedName>
    <definedName name="DV_REVENUE_MODEL">_REF_Dropdowns!$AX$3:$AX$13</definedName>
    <definedName name="DV_REVENUE_RECURRENCE">_REF_Dropdowns!$AY$3:$AY$9</definedName>
    <definedName name="DV_RISK_APPETITE">_REF_Dropdowns!$AZ$3:$AZ$5</definedName>
    <definedName name="DV_SALES_MOTION">_REF_Dropdowns!$BA$3:$BA$11</definedName>
    <definedName name="DV_SUB_INDUSTRY_BY_INDUSTRY">_REF_Dropdowns!$BB$3:$BB$22</definedName>
    <definedName name="DV_SUPPLIER_SUBSTITUTABILITY">_REF_Dropdowns!$BC$3:$BC$9</definedName>
    <definedName name="DV_TRANSFORMATION_EXPERIENCE">_REF_Dropdowns!$BD$3:$BD$6</definedName>
    <definedName name="DV_YES_NO_PLANNED_UNKNOWN">_REF_Dropdowns!$BE$3:$BE$6</definedName>
    <definedName name="IW_Canonical_Industry">_REF_Industry_Wording!$C$2:$C$70</definedName>
    <definedName name="IW_Capability_ID">_REF_Industry_Wording!$B$2:$B$70</definedName>
    <definedName name="IW_Table">_REF_Industry_Wording!$A$1:$L$70</definedName>
    <definedName name="IW_Wording_ID">_REF_Industry_Wording!$A$2:$A$70</definedName>
    <definedName name="mc_active_seed">_ENGINE_MonteCarlo!$E$8</definedName>
    <definedName name="mc_frozen_seed">_CONFIG_Model_Settings!$B$180</definedName>
    <definedName name="mc_live_seed">_CONFIG_Model_Settings!$B$179</definedName>
    <definedName name="mc_mode">_CONFIG_Model_Settings!$B$178</definedName>
    <definedName name="PV_Business_Model">_ENGINE_Profile_Vector!$E$18</definedName>
    <definedName name="PV_Canonical_Industry">_ENGINE_Profile_Vector!$E$7</definedName>
    <definedName name="PV_Change_Capacity">_ENGINE_Profile_Vector!$F$62</definedName>
    <definedName name="PV_Cloud_Dependency">_ENGINE_Profile_Vector!$F$34</definedName>
    <definedName name="PV_Crisis_History_Max_Impact">_ENGINE_Profile_Vector!$F$82</definedName>
    <definedName name="PV_Crisis_Severity">_ENGINE_Profile_Vector!$F$69</definedName>
    <definedName name="PV_Critical_People_Dependency">_ENGINE_Profile_Vector!$F$43</definedName>
    <definedName name="PV_Customer_Concentration">_ENGINE_Profile_Vector!$F$75</definedName>
    <definedName name="PV_Data_Criticality">_ENGINE_Profile_Vector!$F$79</definedName>
    <definedName name="PV_Digital_Dependency">_ENGINE_Profile_Vector!$F$80</definedName>
    <definedName name="PV_Financial_Buffer">_ENGINE_Profile_Vector!$F$81</definedName>
    <definedName name="PV_Industry_Family">_ENGINE_Profile_Vector!$E$9</definedName>
    <definedName name="PV_Operating_Model">_ENGINE_Profile_Vector!$E$17</definedName>
    <definedName name="PV_Org_Type">_ENGINE_Profile_Vector!$E$8</definedName>
    <definedName name="PV_Physical_Footprint_Intensity">_ENGINE_Profile_Vector!$F$78</definedName>
    <definedName name="PV_Profile_Completeness">_ENGINE_Profile_Vector!$F$83</definedName>
    <definedName name="PV_Regulatory_Intensity">_ENGINE_Profile_Vector!$F$31</definedName>
    <definedName name="PV_Remote_Work_Readiness">_ENGINE_Profile_Vector!$F$44</definedName>
    <definedName name="PV_Revenue_Midpoint_EURk">_ENGINE_Profile_Vector!$F$57</definedName>
    <definedName name="PV_Revenue_Model">_ENGINE_Profile_Vector!$E$19</definedName>
    <definedName name="PV_Risk_Appetite">_ENGINE_Profile_Vector!$E$65</definedName>
    <definedName name="PV_Selected_Crisis_Scenario">_ENGINE_Profile_Vector!$E$68</definedName>
    <definedName name="PV_Supplier_Dependency">_ENGINE_Profile_Vector!$F$76</definedName>
    <definedName name="PV_Unknown_Value_Count">_ENGINE_Profile_Vector!$F$84</definedName>
    <definedName name="PV_Workforce_Concentration">_ENGINE_Profile_Vector!$F$77</definedName>
    <definedName name="qn_AssessConf">_DATA_Assessment_Model!$AI$5:$AI$428</definedName>
    <definedName name="qn_Comments">_DATA_Assessment_Model!$U$5:$U$428</definedName>
    <definedName name="qn_Coverage">_DATA_Assessment_Model!$AU$5:$AU$428</definedName>
    <definedName name="qn_Domain">_DATA_Assessment_Model!$AW$5:$AW$428</definedName>
    <definedName name="qn_EvidConf">_DATA_Assessment_Model!$AH$5:$AH$428</definedName>
    <definedName name="qn_RiskLevel">_DATA_Assessment_Model!$L$5:$L$428</definedName>
    <definedName name="qn_Score">_DATA_Assessment_Model!$H$5:$H$428</definedName>
    <definedName name="REL_Capability_IDs">_ENGINE_Relevance!$B$2:$B$37</definedName>
    <definedName name="REL_Context_Multiplier">_ENGINE_Relevance!$K$2:$K$37</definedName>
    <definedName name="REL_Context_Rule_Trace">_ENGINE_Relevance!$P$2:$P$37</definedName>
    <definedName name="REL_Domain">_ENGINE_Relevance!$C$2:$C$37</definedName>
    <definedName name="REL_Final_Relevance">_ENGINE_Relevance!$L$2:$L$37</definedName>
    <definedName name="REL_Hard_Exclude">_ENGINE_Relevance!$I$2:$I$37</definedName>
  </definedNames>
  <calcPr calcId="191029" forceFullCalc="1"/>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3" i="35" l="1"/>
  <c r="E73" i="35"/>
  <c r="D73" i="35"/>
  <c r="C73" i="35"/>
  <c r="B73" i="35"/>
  <c r="F72" i="35"/>
  <c r="E72" i="35"/>
  <c r="D72" i="35"/>
  <c r="C72" i="35"/>
  <c r="B72" i="35"/>
  <c r="F71" i="35"/>
  <c r="E71" i="35"/>
  <c r="D71" i="35"/>
  <c r="C71" i="35"/>
  <c r="B71" i="35"/>
  <c r="F70" i="35"/>
  <c r="E70" i="35"/>
  <c r="D70" i="35"/>
  <c r="C70" i="35"/>
  <c r="B70" i="35"/>
  <c r="F69" i="35"/>
  <c r="E69" i="35"/>
  <c r="D69" i="35"/>
  <c r="C69" i="35"/>
  <c r="B69" i="35"/>
  <c r="F68" i="35"/>
  <c r="E68" i="35"/>
  <c r="D68" i="35"/>
  <c r="C68" i="35"/>
  <c r="B68" i="35"/>
  <c r="F67" i="35"/>
  <c r="E67" i="35"/>
  <c r="D67" i="35"/>
  <c r="C67" i="35"/>
  <c r="B67" i="35"/>
  <c r="F66" i="35"/>
  <c r="E66" i="35"/>
  <c r="D66" i="35"/>
  <c r="C66" i="35"/>
  <c r="B66" i="35"/>
  <c r="F65" i="35"/>
  <c r="E65" i="35"/>
  <c r="D65" i="35"/>
  <c r="C65" i="35"/>
  <c r="B65" i="35"/>
  <c r="F64" i="35"/>
  <c r="E64" i="35"/>
  <c r="D64" i="35"/>
  <c r="C64" i="35"/>
  <c r="B64" i="35"/>
  <c r="F63" i="35"/>
  <c r="E63" i="35"/>
  <c r="D63" i="35"/>
  <c r="C63" i="35"/>
  <c r="B63" i="35"/>
  <c r="F62" i="35"/>
  <c r="E62" i="35"/>
  <c r="D62" i="35"/>
  <c r="C62" i="35"/>
  <c r="B62" i="35"/>
  <c r="F61" i="35"/>
  <c r="E61" i="35"/>
  <c r="D61" i="35"/>
  <c r="C61" i="35"/>
  <c r="B61" i="35"/>
  <c r="F60" i="35"/>
  <c r="E60" i="35"/>
  <c r="D60" i="35"/>
  <c r="C60" i="35"/>
  <c r="B60" i="35"/>
  <c r="F59" i="35"/>
  <c r="E59" i="35"/>
  <c r="D59" i="35"/>
  <c r="C59" i="35"/>
  <c r="B59" i="35"/>
  <c r="F58" i="35"/>
  <c r="E58" i="35"/>
  <c r="D58" i="35"/>
  <c r="C58" i="35"/>
  <c r="B58" i="35"/>
  <c r="F57" i="35"/>
  <c r="E57" i="35"/>
  <c r="D57" i="35"/>
  <c r="C57" i="35"/>
  <c r="B57" i="35"/>
  <c r="F56" i="35"/>
  <c r="E56" i="35"/>
  <c r="D56" i="35"/>
  <c r="C56" i="35"/>
  <c r="B56" i="35"/>
  <c r="F55" i="35"/>
  <c r="E55" i="35"/>
  <c r="D55" i="35"/>
  <c r="C55" i="35"/>
  <c r="B55" i="35"/>
  <c r="F54" i="35"/>
  <c r="E54" i="35"/>
  <c r="D54" i="35"/>
  <c r="C54" i="35"/>
  <c r="B54" i="35"/>
  <c r="F53" i="35"/>
  <c r="E53" i="35"/>
  <c r="D53" i="35"/>
  <c r="C53" i="35"/>
  <c r="B53" i="35"/>
  <c r="F52" i="35"/>
  <c r="E52" i="35"/>
  <c r="D52" i="35"/>
  <c r="C52" i="35"/>
  <c r="B52" i="35"/>
  <c r="F51" i="35"/>
  <c r="E51" i="35"/>
  <c r="D51" i="35"/>
  <c r="C51" i="35"/>
  <c r="B51" i="35"/>
  <c r="F50" i="35"/>
  <c r="E50" i="35"/>
  <c r="D50" i="35"/>
  <c r="C50" i="35"/>
  <c r="B50" i="35"/>
  <c r="F49" i="35"/>
  <c r="E49" i="35"/>
  <c r="D49" i="35"/>
  <c r="C49" i="35"/>
  <c r="B49" i="35"/>
  <c r="F48" i="35"/>
  <c r="E48" i="35"/>
  <c r="D48" i="35"/>
  <c r="C48" i="35"/>
  <c r="B48" i="35"/>
  <c r="F47" i="35"/>
  <c r="E47" i="35"/>
  <c r="D47" i="35"/>
  <c r="C47" i="35"/>
  <c r="B47" i="35"/>
  <c r="F46" i="35"/>
  <c r="E46" i="35"/>
  <c r="D46" i="35"/>
  <c r="C46" i="35"/>
  <c r="B46" i="35"/>
  <c r="F45" i="35"/>
  <c r="E45" i="35"/>
  <c r="D45" i="35"/>
  <c r="C45" i="35"/>
  <c r="B45" i="35"/>
  <c r="F44" i="35"/>
  <c r="E44" i="35"/>
  <c r="D44" i="35"/>
  <c r="C44" i="35"/>
  <c r="B44" i="35"/>
  <c r="F43" i="35"/>
  <c r="E43" i="35"/>
  <c r="D43" i="35"/>
  <c r="C43" i="35"/>
  <c r="B43" i="35"/>
  <c r="F42" i="35"/>
  <c r="E42" i="35"/>
  <c r="D42" i="35"/>
  <c r="C42" i="35"/>
  <c r="B42" i="35"/>
  <c r="F41" i="35"/>
  <c r="E41" i="35"/>
  <c r="D41" i="35"/>
  <c r="C41" i="35"/>
  <c r="B41" i="35"/>
  <c r="F40" i="35"/>
  <c r="E40" i="35"/>
  <c r="D40" i="35"/>
  <c r="C40" i="35"/>
  <c r="B40" i="35"/>
  <c r="F39" i="35"/>
  <c r="E39" i="35"/>
  <c r="D39" i="35"/>
  <c r="C39" i="35"/>
  <c r="B39" i="35"/>
  <c r="F38" i="35"/>
  <c r="E38" i="35"/>
  <c r="D38" i="35"/>
  <c r="C38" i="35"/>
  <c r="B38" i="35"/>
  <c r="F37" i="35"/>
  <c r="E37" i="35"/>
  <c r="D37" i="35"/>
  <c r="C37" i="35"/>
  <c r="B37" i="35"/>
  <c r="N36" i="35"/>
  <c r="F36" i="35"/>
  <c r="E36" i="35"/>
  <c r="D36" i="35"/>
  <c r="C36" i="35"/>
  <c r="B36" i="35"/>
  <c r="F35" i="35"/>
  <c r="E35" i="35"/>
  <c r="D35" i="35"/>
  <c r="C35" i="35"/>
  <c r="B35" i="35"/>
  <c r="F34" i="35"/>
  <c r="E34" i="35"/>
  <c r="D34" i="35"/>
  <c r="C34" i="35"/>
  <c r="B34" i="35"/>
  <c r="F33" i="35"/>
  <c r="E33" i="35"/>
  <c r="D33" i="35"/>
  <c r="C33" i="35"/>
  <c r="B33" i="35"/>
  <c r="F32" i="35"/>
  <c r="E32" i="35"/>
  <c r="D32" i="35"/>
  <c r="C32" i="35"/>
  <c r="B32" i="35"/>
  <c r="F31" i="35"/>
  <c r="E31" i="35"/>
  <c r="D31" i="35"/>
  <c r="C31" i="35"/>
  <c r="B31" i="35"/>
  <c r="F30" i="35"/>
  <c r="E30" i="35"/>
  <c r="D30" i="35"/>
  <c r="C30" i="35"/>
  <c r="B30" i="35"/>
  <c r="F29" i="35"/>
  <c r="E29" i="35"/>
  <c r="D29" i="35"/>
  <c r="C29" i="35"/>
  <c r="B29" i="35"/>
  <c r="F28" i="35"/>
  <c r="E28" i="35"/>
  <c r="D28" i="35"/>
  <c r="C28" i="35"/>
  <c r="B28" i="35"/>
  <c r="F27" i="35"/>
  <c r="E27" i="35"/>
  <c r="D27" i="35"/>
  <c r="C27" i="35"/>
  <c r="B27" i="35"/>
  <c r="F26" i="35"/>
  <c r="E26" i="35"/>
  <c r="D26" i="35"/>
  <c r="C26" i="35"/>
  <c r="B26" i="35"/>
  <c r="F25" i="35"/>
  <c r="E25" i="35"/>
  <c r="D25" i="35"/>
  <c r="C25" i="35"/>
  <c r="B25" i="35"/>
  <c r="F24" i="35"/>
  <c r="E24" i="35"/>
  <c r="D24" i="35"/>
  <c r="C24" i="35"/>
  <c r="B24" i="35"/>
  <c r="F23" i="35"/>
  <c r="E23" i="35"/>
  <c r="D23" i="35"/>
  <c r="C23" i="35"/>
  <c r="B23" i="35"/>
  <c r="F22" i="35"/>
  <c r="E22" i="35"/>
  <c r="D22" i="35"/>
  <c r="C22" i="35"/>
  <c r="B22" i="35"/>
  <c r="F21" i="35"/>
  <c r="E21" i="35"/>
  <c r="D21" i="35"/>
  <c r="C21" i="35"/>
  <c r="B21" i="35"/>
  <c r="F20" i="35"/>
  <c r="E20" i="35"/>
  <c r="D20" i="35"/>
  <c r="C20" i="35"/>
  <c r="B20" i="35"/>
  <c r="F19" i="35"/>
  <c r="E19" i="35"/>
  <c r="D19" i="35"/>
  <c r="C19" i="35"/>
  <c r="B19" i="35"/>
  <c r="F18" i="35"/>
  <c r="E18" i="35"/>
  <c r="D18" i="35"/>
  <c r="C18" i="35"/>
  <c r="B18" i="35"/>
  <c r="F17" i="35"/>
  <c r="E17" i="35"/>
  <c r="D17" i="35"/>
  <c r="C17" i="35"/>
  <c r="B17" i="35"/>
  <c r="F16" i="35"/>
  <c r="E16" i="35"/>
  <c r="D16" i="35"/>
  <c r="C16" i="35"/>
  <c r="B16" i="35"/>
  <c r="F15" i="35"/>
  <c r="E15" i="35"/>
  <c r="D15" i="35"/>
  <c r="C15" i="35"/>
  <c r="B15" i="35"/>
  <c r="F14" i="35"/>
  <c r="E14" i="35"/>
  <c r="D14" i="35"/>
  <c r="C14" i="35"/>
  <c r="B14" i="35"/>
  <c r="F13" i="35"/>
  <c r="E13" i="35"/>
  <c r="D13" i="35"/>
  <c r="C13" i="35"/>
  <c r="B13" i="35"/>
  <c r="F12" i="35"/>
  <c r="E12" i="35"/>
  <c r="D12" i="35"/>
  <c r="C12" i="35"/>
  <c r="B12" i="35"/>
  <c r="F11" i="35"/>
  <c r="E11" i="35"/>
  <c r="D11" i="35"/>
  <c r="C11" i="35"/>
  <c r="B11" i="35"/>
  <c r="F10" i="35"/>
  <c r="E10" i="35"/>
  <c r="D10" i="35"/>
  <c r="C10" i="35"/>
  <c r="B10" i="35"/>
  <c r="F9" i="35"/>
  <c r="E9" i="35"/>
  <c r="D9" i="35"/>
  <c r="C9" i="35"/>
  <c r="B9" i="35"/>
  <c r="F8" i="35"/>
  <c r="E8" i="35"/>
  <c r="D8" i="35"/>
  <c r="C8" i="35"/>
  <c r="B8" i="35"/>
  <c r="F7" i="35"/>
  <c r="E7" i="35"/>
  <c r="D7" i="35"/>
  <c r="C7" i="35"/>
  <c r="B7" i="35"/>
  <c r="F6" i="35"/>
  <c r="E6" i="35"/>
  <c r="D6" i="35"/>
  <c r="C6" i="35"/>
  <c r="B6" i="35"/>
  <c r="F5" i="35"/>
  <c r="E5" i="35"/>
  <c r="D5" i="35"/>
  <c r="C5" i="35"/>
  <c r="B5" i="35"/>
  <c r="F4" i="35"/>
  <c r="E4" i="35"/>
  <c r="D4" i="35"/>
  <c r="C4" i="35"/>
  <c r="B4" i="35"/>
  <c r="F3" i="35"/>
  <c r="E3" i="35"/>
  <c r="D3" i="35"/>
  <c r="C3" i="35"/>
  <c r="B3" i="35"/>
  <c r="F2" i="35"/>
  <c r="E2" i="35"/>
  <c r="D2" i="35"/>
  <c r="C2" i="35"/>
  <c r="B2" i="35"/>
  <c r="F425" i="34"/>
  <c r="E425" i="34"/>
  <c r="D425" i="34"/>
  <c r="C425" i="34"/>
  <c r="B425" i="34"/>
  <c r="F424" i="34"/>
  <c r="E424" i="34"/>
  <c r="D424" i="34"/>
  <c r="C424" i="34"/>
  <c r="B424" i="34"/>
  <c r="F423" i="34"/>
  <c r="E423" i="34"/>
  <c r="D423" i="34"/>
  <c r="C423" i="34"/>
  <c r="B423" i="34"/>
  <c r="F422" i="34"/>
  <c r="E422" i="34"/>
  <c r="D422" i="34"/>
  <c r="C422" i="34"/>
  <c r="B422" i="34"/>
  <c r="F421" i="34"/>
  <c r="E421" i="34"/>
  <c r="D421" i="34"/>
  <c r="C421" i="34"/>
  <c r="B421" i="34"/>
  <c r="F420" i="34"/>
  <c r="E420" i="34"/>
  <c r="D420" i="34"/>
  <c r="C420" i="34"/>
  <c r="B420" i="34"/>
  <c r="F419" i="34"/>
  <c r="E419" i="34"/>
  <c r="D419" i="34"/>
  <c r="C419" i="34"/>
  <c r="B419" i="34"/>
  <c r="F418" i="34"/>
  <c r="E418" i="34"/>
  <c r="D418" i="34"/>
  <c r="C418" i="34"/>
  <c r="B418" i="34"/>
  <c r="F417" i="34"/>
  <c r="E417" i="34"/>
  <c r="D417" i="34"/>
  <c r="C417" i="34"/>
  <c r="B417" i="34"/>
  <c r="F416" i="34"/>
  <c r="E416" i="34"/>
  <c r="D416" i="34"/>
  <c r="C416" i="34"/>
  <c r="B416" i="34"/>
  <c r="F415" i="34"/>
  <c r="E415" i="34"/>
  <c r="D415" i="34"/>
  <c r="C415" i="34"/>
  <c r="B415" i="34"/>
  <c r="F414" i="34"/>
  <c r="E414" i="34"/>
  <c r="D414" i="34"/>
  <c r="C414" i="34"/>
  <c r="B414" i="34"/>
  <c r="F413" i="34"/>
  <c r="E413" i="34"/>
  <c r="D413" i="34"/>
  <c r="C413" i="34"/>
  <c r="B413" i="34"/>
  <c r="F412" i="34"/>
  <c r="E412" i="34"/>
  <c r="D412" i="34"/>
  <c r="C412" i="34"/>
  <c r="B412" i="34"/>
  <c r="F411" i="34"/>
  <c r="E411" i="34"/>
  <c r="D411" i="34"/>
  <c r="C411" i="34"/>
  <c r="B411" i="34"/>
  <c r="F410" i="34"/>
  <c r="E410" i="34"/>
  <c r="D410" i="34"/>
  <c r="C410" i="34"/>
  <c r="B410" i="34"/>
  <c r="F409" i="34"/>
  <c r="E409" i="34"/>
  <c r="D409" i="34"/>
  <c r="C409" i="34"/>
  <c r="B409" i="34"/>
  <c r="F408" i="34"/>
  <c r="E408" i="34"/>
  <c r="D408" i="34"/>
  <c r="C408" i="34"/>
  <c r="B408" i="34"/>
  <c r="F407" i="34"/>
  <c r="E407" i="34"/>
  <c r="D407" i="34"/>
  <c r="C407" i="34"/>
  <c r="B407" i="34"/>
  <c r="F406" i="34"/>
  <c r="E406" i="34"/>
  <c r="D406" i="34"/>
  <c r="C406" i="34"/>
  <c r="B406" i="34"/>
  <c r="F405" i="34"/>
  <c r="E405" i="34"/>
  <c r="D405" i="34"/>
  <c r="C405" i="34"/>
  <c r="B405" i="34"/>
  <c r="F404" i="34"/>
  <c r="E404" i="34"/>
  <c r="D404" i="34"/>
  <c r="C404" i="34"/>
  <c r="B404" i="34"/>
  <c r="F403" i="34"/>
  <c r="E403" i="34"/>
  <c r="D403" i="34"/>
  <c r="C403" i="34"/>
  <c r="B403" i="34"/>
  <c r="F402" i="34"/>
  <c r="E402" i="34"/>
  <c r="D402" i="34"/>
  <c r="C402" i="34"/>
  <c r="B402" i="34"/>
  <c r="F401" i="34"/>
  <c r="E401" i="34"/>
  <c r="D401" i="34"/>
  <c r="C401" i="34"/>
  <c r="B401" i="34"/>
  <c r="F400" i="34"/>
  <c r="E400" i="34"/>
  <c r="D400" i="34"/>
  <c r="C400" i="34"/>
  <c r="B400" i="34"/>
  <c r="F399" i="34"/>
  <c r="E399" i="34"/>
  <c r="D399" i="34"/>
  <c r="C399" i="34"/>
  <c r="B399" i="34"/>
  <c r="F398" i="34"/>
  <c r="E398" i="34"/>
  <c r="D398" i="34"/>
  <c r="C398" i="34"/>
  <c r="B398" i="34"/>
  <c r="F397" i="34"/>
  <c r="E397" i="34"/>
  <c r="D397" i="34"/>
  <c r="C397" i="34"/>
  <c r="B397" i="34"/>
  <c r="F396" i="34"/>
  <c r="E396" i="34"/>
  <c r="D396" i="34"/>
  <c r="C396" i="34"/>
  <c r="B396" i="34"/>
  <c r="F395" i="34"/>
  <c r="E395" i="34"/>
  <c r="D395" i="34"/>
  <c r="C395" i="34"/>
  <c r="B395" i="34"/>
  <c r="F394" i="34"/>
  <c r="E394" i="34"/>
  <c r="D394" i="34"/>
  <c r="C394" i="34"/>
  <c r="B394" i="34"/>
  <c r="F393" i="34"/>
  <c r="E393" i="34"/>
  <c r="D393" i="34"/>
  <c r="C393" i="34"/>
  <c r="B393" i="34"/>
  <c r="F392" i="34"/>
  <c r="E392" i="34"/>
  <c r="D392" i="34"/>
  <c r="C392" i="34"/>
  <c r="B392" i="34"/>
  <c r="F391" i="34"/>
  <c r="E391" i="34"/>
  <c r="D391" i="34"/>
  <c r="C391" i="34"/>
  <c r="B391" i="34"/>
  <c r="F390" i="34"/>
  <c r="E390" i="34"/>
  <c r="D390" i="34"/>
  <c r="C390" i="34"/>
  <c r="B390" i="34"/>
  <c r="F389" i="34"/>
  <c r="E389" i="34"/>
  <c r="D389" i="34"/>
  <c r="C389" i="34"/>
  <c r="B389" i="34"/>
  <c r="F388" i="34"/>
  <c r="E388" i="34"/>
  <c r="D388" i="34"/>
  <c r="C388" i="34"/>
  <c r="B388" i="34"/>
  <c r="F387" i="34"/>
  <c r="E387" i="34"/>
  <c r="D387" i="34"/>
  <c r="C387" i="34"/>
  <c r="B387" i="34"/>
  <c r="F386" i="34"/>
  <c r="E386" i="34"/>
  <c r="D386" i="34"/>
  <c r="C386" i="34"/>
  <c r="B386" i="34"/>
  <c r="F385" i="34"/>
  <c r="E385" i="34"/>
  <c r="D385" i="34"/>
  <c r="C385" i="34"/>
  <c r="B385" i="34"/>
  <c r="F384" i="34"/>
  <c r="E384" i="34"/>
  <c r="D384" i="34"/>
  <c r="C384" i="34"/>
  <c r="B384" i="34"/>
  <c r="F383" i="34"/>
  <c r="E383" i="34"/>
  <c r="D383" i="34"/>
  <c r="C383" i="34"/>
  <c r="B383" i="34"/>
  <c r="F382" i="34"/>
  <c r="E382" i="34"/>
  <c r="D382" i="34"/>
  <c r="C382" i="34"/>
  <c r="B382" i="34"/>
  <c r="F381" i="34"/>
  <c r="E381" i="34"/>
  <c r="D381" i="34"/>
  <c r="C381" i="34"/>
  <c r="B381" i="34"/>
  <c r="F380" i="34"/>
  <c r="E380" i="34"/>
  <c r="D380" i="34"/>
  <c r="C380" i="34"/>
  <c r="B380" i="34"/>
  <c r="F379" i="34"/>
  <c r="E379" i="34"/>
  <c r="D379" i="34"/>
  <c r="C379" i="34"/>
  <c r="B379" i="34"/>
  <c r="F378" i="34"/>
  <c r="E378" i="34"/>
  <c r="D378" i="34"/>
  <c r="C378" i="34"/>
  <c r="B378" i="34"/>
  <c r="F377" i="34"/>
  <c r="E377" i="34"/>
  <c r="D377" i="34"/>
  <c r="C377" i="34"/>
  <c r="B377" i="34"/>
  <c r="F376" i="34"/>
  <c r="E376" i="34"/>
  <c r="D376" i="34"/>
  <c r="C376" i="34"/>
  <c r="B376" i="34"/>
  <c r="F375" i="34"/>
  <c r="E375" i="34"/>
  <c r="D375" i="34"/>
  <c r="C375" i="34"/>
  <c r="B375" i="34"/>
  <c r="F374" i="34"/>
  <c r="E374" i="34"/>
  <c r="D374" i="34"/>
  <c r="C374" i="34"/>
  <c r="B374" i="34"/>
  <c r="F373" i="34"/>
  <c r="E373" i="34"/>
  <c r="D373" i="34"/>
  <c r="C373" i="34"/>
  <c r="B373" i="34"/>
  <c r="F372" i="34"/>
  <c r="E372" i="34"/>
  <c r="D372" i="34"/>
  <c r="C372" i="34"/>
  <c r="B372" i="34"/>
  <c r="F371" i="34"/>
  <c r="E371" i="34"/>
  <c r="D371" i="34"/>
  <c r="C371" i="34"/>
  <c r="B371" i="34"/>
  <c r="F370" i="34"/>
  <c r="E370" i="34"/>
  <c r="D370" i="34"/>
  <c r="C370" i="34"/>
  <c r="B370" i="34"/>
  <c r="F369" i="34"/>
  <c r="E369" i="34"/>
  <c r="D369" i="34"/>
  <c r="C369" i="34"/>
  <c r="B369" i="34"/>
  <c r="F368" i="34"/>
  <c r="E368" i="34"/>
  <c r="D368" i="34"/>
  <c r="C368" i="34"/>
  <c r="B368" i="34"/>
  <c r="F367" i="34"/>
  <c r="E367" i="34"/>
  <c r="D367" i="34"/>
  <c r="C367" i="34"/>
  <c r="B367" i="34"/>
  <c r="F366" i="34"/>
  <c r="E366" i="34"/>
  <c r="D366" i="34"/>
  <c r="C366" i="34"/>
  <c r="B366" i="34"/>
  <c r="F365" i="34"/>
  <c r="E365" i="34"/>
  <c r="D365" i="34"/>
  <c r="C365" i="34"/>
  <c r="B365" i="34"/>
  <c r="F364" i="34"/>
  <c r="E364" i="34"/>
  <c r="D364" i="34"/>
  <c r="C364" i="34"/>
  <c r="B364" i="34"/>
  <c r="F363" i="34"/>
  <c r="E363" i="34"/>
  <c r="D363" i="34"/>
  <c r="C363" i="34"/>
  <c r="B363" i="34"/>
  <c r="F362" i="34"/>
  <c r="E362" i="34"/>
  <c r="D362" i="34"/>
  <c r="C362" i="34"/>
  <c r="B362" i="34"/>
  <c r="F361" i="34"/>
  <c r="E361" i="34"/>
  <c r="D361" i="34"/>
  <c r="C361" i="34"/>
  <c r="B361" i="34"/>
  <c r="F360" i="34"/>
  <c r="E360" i="34"/>
  <c r="D360" i="34"/>
  <c r="C360" i="34"/>
  <c r="B360" i="34"/>
  <c r="F359" i="34"/>
  <c r="E359" i="34"/>
  <c r="D359" i="34"/>
  <c r="C359" i="34"/>
  <c r="B359" i="34"/>
  <c r="F358" i="34"/>
  <c r="E358" i="34"/>
  <c r="D358" i="34"/>
  <c r="C358" i="34"/>
  <c r="B358" i="34"/>
  <c r="F357" i="34"/>
  <c r="E357" i="34"/>
  <c r="D357" i="34"/>
  <c r="C357" i="34"/>
  <c r="B357" i="34"/>
  <c r="F356" i="34"/>
  <c r="E356" i="34"/>
  <c r="D356" i="34"/>
  <c r="C356" i="34"/>
  <c r="B356" i="34"/>
  <c r="F355" i="34"/>
  <c r="E355" i="34"/>
  <c r="D355" i="34"/>
  <c r="C355" i="34"/>
  <c r="B355" i="34"/>
  <c r="F354" i="34"/>
  <c r="E354" i="34"/>
  <c r="D354" i="34"/>
  <c r="C354" i="34"/>
  <c r="B354" i="34"/>
  <c r="F353" i="34"/>
  <c r="E353" i="34"/>
  <c r="D353" i="34"/>
  <c r="C353" i="34"/>
  <c r="B353" i="34"/>
  <c r="F352" i="34"/>
  <c r="E352" i="34"/>
  <c r="D352" i="34"/>
  <c r="C352" i="34"/>
  <c r="B352" i="34"/>
  <c r="F351" i="34"/>
  <c r="E351" i="34"/>
  <c r="D351" i="34"/>
  <c r="C351" i="34"/>
  <c r="B351" i="34"/>
  <c r="F350" i="34"/>
  <c r="E350" i="34"/>
  <c r="D350" i="34"/>
  <c r="C350" i="34"/>
  <c r="B350" i="34"/>
  <c r="F349" i="34"/>
  <c r="E349" i="34"/>
  <c r="D349" i="34"/>
  <c r="C349" i="34"/>
  <c r="B349" i="34"/>
  <c r="F348" i="34"/>
  <c r="E348" i="34"/>
  <c r="D348" i="34"/>
  <c r="C348" i="34"/>
  <c r="B348" i="34"/>
  <c r="F347" i="34"/>
  <c r="E347" i="34"/>
  <c r="D347" i="34"/>
  <c r="C347" i="34"/>
  <c r="B347" i="34"/>
  <c r="F346" i="34"/>
  <c r="E346" i="34"/>
  <c r="D346" i="34"/>
  <c r="C346" i="34"/>
  <c r="B346" i="34"/>
  <c r="F345" i="34"/>
  <c r="E345" i="34"/>
  <c r="D345" i="34"/>
  <c r="C345" i="34"/>
  <c r="B345" i="34"/>
  <c r="F344" i="34"/>
  <c r="E344" i="34"/>
  <c r="D344" i="34"/>
  <c r="C344" i="34"/>
  <c r="B344" i="34"/>
  <c r="F343" i="34"/>
  <c r="E343" i="34"/>
  <c r="D343" i="34"/>
  <c r="C343" i="34"/>
  <c r="B343" i="34"/>
  <c r="F342" i="34"/>
  <c r="E342" i="34"/>
  <c r="D342" i="34"/>
  <c r="C342" i="34"/>
  <c r="B342" i="34"/>
  <c r="F341" i="34"/>
  <c r="E341" i="34"/>
  <c r="D341" i="34"/>
  <c r="C341" i="34"/>
  <c r="B341" i="34"/>
  <c r="F340" i="34"/>
  <c r="E340" i="34"/>
  <c r="D340" i="34"/>
  <c r="C340" i="34"/>
  <c r="B340" i="34"/>
  <c r="F339" i="34"/>
  <c r="E339" i="34"/>
  <c r="D339" i="34"/>
  <c r="C339" i="34"/>
  <c r="B339" i="34"/>
  <c r="F338" i="34"/>
  <c r="E338" i="34"/>
  <c r="D338" i="34"/>
  <c r="C338" i="34"/>
  <c r="B338" i="34"/>
  <c r="F337" i="34"/>
  <c r="E337" i="34"/>
  <c r="D337" i="34"/>
  <c r="C337" i="34"/>
  <c r="B337" i="34"/>
  <c r="F336" i="34"/>
  <c r="E336" i="34"/>
  <c r="D336" i="34"/>
  <c r="C336" i="34"/>
  <c r="B336" i="34"/>
  <c r="F335" i="34"/>
  <c r="E335" i="34"/>
  <c r="D335" i="34"/>
  <c r="C335" i="34"/>
  <c r="B335" i="34"/>
  <c r="F334" i="34"/>
  <c r="E334" i="34"/>
  <c r="D334" i="34"/>
  <c r="C334" i="34"/>
  <c r="B334" i="34"/>
  <c r="F333" i="34"/>
  <c r="E333" i="34"/>
  <c r="D333" i="34"/>
  <c r="C333" i="34"/>
  <c r="B333" i="34"/>
  <c r="F332" i="34"/>
  <c r="E332" i="34"/>
  <c r="D332" i="34"/>
  <c r="C332" i="34"/>
  <c r="B332" i="34"/>
  <c r="F331" i="34"/>
  <c r="E331" i="34"/>
  <c r="D331" i="34"/>
  <c r="C331" i="34"/>
  <c r="B331" i="34"/>
  <c r="F330" i="34"/>
  <c r="E330" i="34"/>
  <c r="D330" i="34"/>
  <c r="C330" i="34"/>
  <c r="B330" i="34"/>
  <c r="F329" i="34"/>
  <c r="E329" i="34"/>
  <c r="D329" i="34"/>
  <c r="C329" i="34"/>
  <c r="B329" i="34"/>
  <c r="F328" i="34"/>
  <c r="E328" i="34"/>
  <c r="D328" i="34"/>
  <c r="C328" i="34"/>
  <c r="B328" i="34"/>
  <c r="F327" i="34"/>
  <c r="E327" i="34"/>
  <c r="D327" i="34"/>
  <c r="C327" i="34"/>
  <c r="B327" i="34"/>
  <c r="F326" i="34"/>
  <c r="E326" i="34"/>
  <c r="D326" i="34"/>
  <c r="C326" i="34"/>
  <c r="B326" i="34"/>
  <c r="F325" i="34"/>
  <c r="E325" i="34"/>
  <c r="D325" i="34"/>
  <c r="C325" i="34"/>
  <c r="B325" i="34"/>
  <c r="F324" i="34"/>
  <c r="E324" i="34"/>
  <c r="D324" i="34"/>
  <c r="C324" i="34"/>
  <c r="B324" i="34"/>
  <c r="F323" i="34"/>
  <c r="E323" i="34"/>
  <c r="D323" i="34"/>
  <c r="C323" i="34"/>
  <c r="B323" i="34"/>
  <c r="F322" i="34"/>
  <c r="E322" i="34"/>
  <c r="D322" i="34"/>
  <c r="C322" i="34"/>
  <c r="B322" i="34"/>
  <c r="F321" i="34"/>
  <c r="E321" i="34"/>
  <c r="D321" i="34"/>
  <c r="C321" i="34"/>
  <c r="B321" i="34"/>
  <c r="F320" i="34"/>
  <c r="E320" i="34"/>
  <c r="D320" i="34"/>
  <c r="C320" i="34"/>
  <c r="B320" i="34"/>
  <c r="F319" i="34"/>
  <c r="E319" i="34"/>
  <c r="D319" i="34"/>
  <c r="C319" i="34"/>
  <c r="B319" i="34"/>
  <c r="F318" i="34"/>
  <c r="E318" i="34"/>
  <c r="D318" i="34"/>
  <c r="C318" i="34"/>
  <c r="B318" i="34"/>
  <c r="F317" i="34"/>
  <c r="E317" i="34"/>
  <c r="D317" i="34"/>
  <c r="C317" i="34"/>
  <c r="B317" i="34"/>
  <c r="F316" i="34"/>
  <c r="E316" i="34"/>
  <c r="D316" i="34"/>
  <c r="C316" i="34"/>
  <c r="B316" i="34"/>
  <c r="F315" i="34"/>
  <c r="E315" i="34"/>
  <c r="D315" i="34"/>
  <c r="C315" i="34"/>
  <c r="B315" i="34"/>
  <c r="F314" i="34"/>
  <c r="E314" i="34"/>
  <c r="D314" i="34"/>
  <c r="C314" i="34"/>
  <c r="B314" i="34"/>
  <c r="F313" i="34"/>
  <c r="E313" i="34"/>
  <c r="D313" i="34"/>
  <c r="C313" i="34"/>
  <c r="B313" i="34"/>
  <c r="F312" i="34"/>
  <c r="E312" i="34"/>
  <c r="D312" i="34"/>
  <c r="C312" i="34"/>
  <c r="B312" i="34"/>
  <c r="F311" i="34"/>
  <c r="E311" i="34"/>
  <c r="D311" i="34"/>
  <c r="C311" i="34"/>
  <c r="B311" i="34"/>
  <c r="F310" i="34"/>
  <c r="E310" i="34"/>
  <c r="D310" i="34"/>
  <c r="C310" i="34"/>
  <c r="B310" i="34"/>
  <c r="F309" i="34"/>
  <c r="E309" i="34"/>
  <c r="D309" i="34"/>
  <c r="C309" i="34"/>
  <c r="B309" i="34"/>
  <c r="F308" i="34"/>
  <c r="E308" i="34"/>
  <c r="D308" i="34"/>
  <c r="C308" i="34"/>
  <c r="B308" i="34"/>
  <c r="F307" i="34"/>
  <c r="E307" i="34"/>
  <c r="D307" i="34"/>
  <c r="C307" i="34"/>
  <c r="B307" i="34"/>
  <c r="F306" i="34"/>
  <c r="E306" i="34"/>
  <c r="D306" i="34"/>
  <c r="C306" i="34"/>
  <c r="B306" i="34"/>
  <c r="F305" i="34"/>
  <c r="E305" i="34"/>
  <c r="D305" i="34"/>
  <c r="C305" i="34"/>
  <c r="B305" i="34"/>
  <c r="F304" i="34"/>
  <c r="E304" i="34"/>
  <c r="D304" i="34"/>
  <c r="C304" i="34"/>
  <c r="B304" i="34"/>
  <c r="F303" i="34"/>
  <c r="E303" i="34"/>
  <c r="D303" i="34"/>
  <c r="C303" i="34"/>
  <c r="B303" i="34"/>
  <c r="F302" i="34"/>
  <c r="E302" i="34"/>
  <c r="D302" i="34"/>
  <c r="C302" i="34"/>
  <c r="B302" i="34"/>
  <c r="F301" i="34"/>
  <c r="E301" i="34"/>
  <c r="D301" i="34"/>
  <c r="C301" i="34"/>
  <c r="B301" i="34"/>
  <c r="F300" i="34"/>
  <c r="E300" i="34"/>
  <c r="D300" i="34"/>
  <c r="C300" i="34"/>
  <c r="B300" i="34"/>
  <c r="F299" i="34"/>
  <c r="E299" i="34"/>
  <c r="D299" i="34"/>
  <c r="C299" i="34"/>
  <c r="B299" i="34"/>
  <c r="F298" i="34"/>
  <c r="E298" i="34"/>
  <c r="D298" i="34"/>
  <c r="C298" i="34"/>
  <c r="B298" i="34"/>
  <c r="F297" i="34"/>
  <c r="E297" i="34"/>
  <c r="D297" i="34"/>
  <c r="C297" i="34"/>
  <c r="B297" i="34"/>
  <c r="F296" i="34"/>
  <c r="E296" i="34"/>
  <c r="D296" i="34"/>
  <c r="C296" i="34"/>
  <c r="B296" i="34"/>
  <c r="F295" i="34"/>
  <c r="E295" i="34"/>
  <c r="D295" i="34"/>
  <c r="C295" i="34"/>
  <c r="B295" i="34"/>
  <c r="F294" i="34"/>
  <c r="E294" i="34"/>
  <c r="D294" i="34"/>
  <c r="C294" i="34"/>
  <c r="B294" i="34"/>
  <c r="F293" i="34"/>
  <c r="E293" i="34"/>
  <c r="D293" i="34"/>
  <c r="C293" i="34"/>
  <c r="B293" i="34"/>
  <c r="F292" i="34"/>
  <c r="E292" i="34"/>
  <c r="D292" i="34"/>
  <c r="C292" i="34"/>
  <c r="B292" i="34"/>
  <c r="F291" i="34"/>
  <c r="E291" i="34"/>
  <c r="D291" i="34"/>
  <c r="C291" i="34"/>
  <c r="B291" i="34"/>
  <c r="F290" i="34"/>
  <c r="E290" i="34"/>
  <c r="D290" i="34"/>
  <c r="C290" i="34"/>
  <c r="B290" i="34"/>
  <c r="F289" i="34"/>
  <c r="E289" i="34"/>
  <c r="D289" i="34"/>
  <c r="C289" i="34"/>
  <c r="B289" i="34"/>
  <c r="F288" i="34"/>
  <c r="E288" i="34"/>
  <c r="D288" i="34"/>
  <c r="C288" i="34"/>
  <c r="B288" i="34"/>
  <c r="F287" i="34"/>
  <c r="E287" i="34"/>
  <c r="D287" i="34"/>
  <c r="C287" i="34"/>
  <c r="B287" i="34"/>
  <c r="F286" i="34"/>
  <c r="E286" i="34"/>
  <c r="D286" i="34"/>
  <c r="C286" i="34"/>
  <c r="B286" i="34"/>
  <c r="F285" i="34"/>
  <c r="E285" i="34"/>
  <c r="D285" i="34"/>
  <c r="C285" i="34"/>
  <c r="B285" i="34"/>
  <c r="F284" i="34"/>
  <c r="E284" i="34"/>
  <c r="D284" i="34"/>
  <c r="C284" i="34"/>
  <c r="B284" i="34"/>
  <c r="F283" i="34"/>
  <c r="E283" i="34"/>
  <c r="D283" i="34"/>
  <c r="C283" i="34"/>
  <c r="B283" i="34"/>
  <c r="F282" i="34"/>
  <c r="E282" i="34"/>
  <c r="D282" i="34"/>
  <c r="C282" i="34"/>
  <c r="B282" i="34"/>
  <c r="F281" i="34"/>
  <c r="E281" i="34"/>
  <c r="D281" i="34"/>
  <c r="C281" i="34"/>
  <c r="B281" i="34"/>
  <c r="F280" i="34"/>
  <c r="E280" i="34"/>
  <c r="D280" i="34"/>
  <c r="C280" i="34"/>
  <c r="B280" i="34"/>
  <c r="F279" i="34"/>
  <c r="E279" i="34"/>
  <c r="D279" i="34"/>
  <c r="C279" i="34"/>
  <c r="B279" i="34"/>
  <c r="F278" i="34"/>
  <c r="E278" i="34"/>
  <c r="D278" i="34"/>
  <c r="C278" i="34"/>
  <c r="B278" i="34"/>
  <c r="F277" i="34"/>
  <c r="E277" i="34"/>
  <c r="D277" i="34"/>
  <c r="C277" i="34"/>
  <c r="B277" i="34"/>
  <c r="F276" i="34"/>
  <c r="E276" i="34"/>
  <c r="D276" i="34"/>
  <c r="C276" i="34"/>
  <c r="B276" i="34"/>
  <c r="F275" i="34"/>
  <c r="E275" i="34"/>
  <c r="D275" i="34"/>
  <c r="C275" i="34"/>
  <c r="B275" i="34"/>
  <c r="F274" i="34"/>
  <c r="E274" i="34"/>
  <c r="D274" i="34"/>
  <c r="C274" i="34"/>
  <c r="B274" i="34"/>
  <c r="F273" i="34"/>
  <c r="E273" i="34"/>
  <c r="D273" i="34"/>
  <c r="C273" i="34"/>
  <c r="B273" i="34"/>
  <c r="F272" i="34"/>
  <c r="E272" i="34"/>
  <c r="D272" i="34"/>
  <c r="C272" i="34"/>
  <c r="B272" i="34"/>
  <c r="F271" i="34"/>
  <c r="E271" i="34"/>
  <c r="D271" i="34"/>
  <c r="C271" i="34"/>
  <c r="B271" i="34"/>
  <c r="F270" i="34"/>
  <c r="E270" i="34"/>
  <c r="D270" i="34"/>
  <c r="C270" i="34"/>
  <c r="B270" i="34"/>
  <c r="F269" i="34"/>
  <c r="E269" i="34"/>
  <c r="D269" i="34"/>
  <c r="C269" i="34"/>
  <c r="B269" i="34"/>
  <c r="F268" i="34"/>
  <c r="E268" i="34"/>
  <c r="D268" i="34"/>
  <c r="C268" i="34"/>
  <c r="B268" i="34"/>
  <c r="F267" i="34"/>
  <c r="E267" i="34"/>
  <c r="D267" i="34"/>
  <c r="C267" i="34"/>
  <c r="B267" i="34"/>
  <c r="F266" i="34"/>
  <c r="E266" i="34"/>
  <c r="D266" i="34"/>
  <c r="C266" i="34"/>
  <c r="B266" i="34"/>
  <c r="F265" i="34"/>
  <c r="E265" i="34"/>
  <c r="D265" i="34"/>
  <c r="C265" i="34"/>
  <c r="B265" i="34"/>
  <c r="F264" i="34"/>
  <c r="E264" i="34"/>
  <c r="D264" i="34"/>
  <c r="C264" i="34"/>
  <c r="B264" i="34"/>
  <c r="F263" i="34"/>
  <c r="E263" i="34"/>
  <c r="D263" i="34"/>
  <c r="C263" i="34"/>
  <c r="B263" i="34"/>
  <c r="F262" i="34"/>
  <c r="E262" i="34"/>
  <c r="D262" i="34"/>
  <c r="C262" i="34"/>
  <c r="B262" i="34"/>
  <c r="F261" i="34"/>
  <c r="E261" i="34"/>
  <c r="D261" i="34"/>
  <c r="C261" i="34"/>
  <c r="B261" i="34"/>
  <c r="F260" i="34"/>
  <c r="E260" i="34"/>
  <c r="D260" i="34"/>
  <c r="C260" i="34"/>
  <c r="B260" i="34"/>
  <c r="F259" i="34"/>
  <c r="E259" i="34"/>
  <c r="D259" i="34"/>
  <c r="C259" i="34"/>
  <c r="B259" i="34"/>
  <c r="F258" i="34"/>
  <c r="E258" i="34"/>
  <c r="D258" i="34"/>
  <c r="C258" i="34"/>
  <c r="B258" i="34"/>
  <c r="F257" i="34"/>
  <c r="E257" i="34"/>
  <c r="D257" i="34"/>
  <c r="C257" i="34"/>
  <c r="B257" i="34"/>
  <c r="F256" i="34"/>
  <c r="E256" i="34"/>
  <c r="D256" i="34"/>
  <c r="C256" i="34"/>
  <c r="B256" i="34"/>
  <c r="F255" i="34"/>
  <c r="E255" i="34"/>
  <c r="D255" i="34"/>
  <c r="C255" i="34"/>
  <c r="B255" i="34"/>
  <c r="F254" i="34"/>
  <c r="E254" i="34"/>
  <c r="D254" i="34"/>
  <c r="C254" i="34"/>
  <c r="B254" i="34"/>
  <c r="F253" i="34"/>
  <c r="E253" i="34"/>
  <c r="D253" i="34"/>
  <c r="C253" i="34"/>
  <c r="B253" i="34"/>
  <c r="F252" i="34"/>
  <c r="E252" i="34"/>
  <c r="D252" i="34"/>
  <c r="C252" i="34"/>
  <c r="B252" i="34"/>
  <c r="F251" i="34"/>
  <c r="E251" i="34"/>
  <c r="D251" i="34"/>
  <c r="C251" i="34"/>
  <c r="B251" i="34"/>
  <c r="F250" i="34"/>
  <c r="E250" i="34"/>
  <c r="D250" i="34"/>
  <c r="C250" i="34"/>
  <c r="B250" i="34"/>
  <c r="F249" i="34"/>
  <c r="E249" i="34"/>
  <c r="D249" i="34"/>
  <c r="C249" i="34"/>
  <c r="B249" i="34"/>
  <c r="F248" i="34"/>
  <c r="E248" i="34"/>
  <c r="D248" i="34"/>
  <c r="C248" i="34"/>
  <c r="B248" i="34"/>
  <c r="F247" i="34"/>
  <c r="E247" i="34"/>
  <c r="D247" i="34"/>
  <c r="C247" i="34"/>
  <c r="B247" i="34"/>
  <c r="F246" i="34"/>
  <c r="E246" i="34"/>
  <c r="D246" i="34"/>
  <c r="C246" i="34"/>
  <c r="B246" i="34"/>
  <c r="F245" i="34"/>
  <c r="E245" i="34"/>
  <c r="D245" i="34"/>
  <c r="C245" i="34"/>
  <c r="B245" i="34"/>
  <c r="F244" i="34"/>
  <c r="E244" i="34"/>
  <c r="D244" i="34"/>
  <c r="C244" i="34"/>
  <c r="B244" i="34"/>
  <c r="F243" i="34"/>
  <c r="E243" i="34"/>
  <c r="D243" i="34"/>
  <c r="C243" i="34"/>
  <c r="B243" i="34"/>
  <c r="F242" i="34"/>
  <c r="E242" i="34"/>
  <c r="D242" i="34"/>
  <c r="C242" i="34"/>
  <c r="B242" i="34"/>
  <c r="F241" i="34"/>
  <c r="E241" i="34"/>
  <c r="D241" i="34"/>
  <c r="C241" i="34"/>
  <c r="B241" i="34"/>
  <c r="F240" i="34"/>
  <c r="E240" i="34"/>
  <c r="D240" i="34"/>
  <c r="C240" i="34"/>
  <c r="B240" i="34"/>
  <c r="F239" i="34"/>
  <c r="E239" i="34"/>
  <c r="D239" i="34"/>
  <c r="C239" i="34"/>
  <c r="B239" i="34"/>
  <c r="F238" i="34"/>
  <c r="E238" i="34"/>
  <c r="D238" i="34"/>
  <c r="C238" i="34"/>
  <c r="B238" i="34"/>
  <c r="F237" i="34"/>
  <c r="E237" i="34"/>
  <c r="D237" i="34"/>
  <c r="C237" i="34"/>
  <c r="B237" i="34"/>
  <c r="F236" i="34"/>
  <c r="E236" i="34"/>
  <c r="D236" i="34"/>
  <c r="C236" i="34"/>
  <c r="B236" i="34"/>
  <c r="F235" i="34"/>
  <c r="E235" i="34"/>
  <c r="D235" i="34"/>
  <c r="C235" i="34"/>
  <c r="B235" i="34"/>
  <c r="F234" i="34"/>
  <c r="E234" i="34"/>
  <c r="D234" i="34"/>
  <c r="C234" i="34"/>
  <c r="B234" i="34"/>
  <c r="F233" i="34"/>
  <c r="E233" i="34"/>
  <c r="D233" i="34"/>
  <c r="C233" i="34"/>
  <c r="B233" i="34"/>
  <c r="F232" i="34"/>
  <c r="E232" i="34"/>
  <c r="D232" i="34"/>
  <c r="C232" i="34"/>
  <c r="B232" i="34"/>
  <c r="F231" i="34"/>
  <c r="E231" i="34"/>
  <c r="D231" i="34"/>
  <c r="C231" i="34"/>
  <c r="B231" i="34"/>
  <c r="F230" i="34"/>
  <c r="E230" i="34"/>
  <c r="D230" i="34"/>
  <c r="C230" i="34"/>
  <c r="B230" i="34"/>
  <c r="F229" i="34"/>
  <c r="E229" i="34"/>
  <c r="D229" i="34"/>
  <c r="C229" i="34"/>
  <c r="B229" i="34"/>
  <c r="F228" i="34"/>
  <c r="E228" i="34"/>
  <c r="D228" i="34"/>
  <c r="C228" i="34"/>
  <c r="B228" i="34"/>
  <c r="F227" i="34"/>
  <c r="E227" i="34"/>
  <c r="D227" i="34"/>
  <c r="C227" i="34"/>
  <c r="B227" i="34"/>
  <c r="F226" i="34"/>
  <c r="E226" i="34"/>
  <c r="D226" i="34"/>
  <c r="C226" i="34"/>
  <c r="B226" i="34"/>
  <c r="F225" i="34"/>
  <c r="E225" i="34"/>
  <c r="D225" i="34"/>
  <c r="C225" i="34"/>
  <c r="B225" i="34"/>
  <c r="F224" i="34"/>
  <c r="E224" i="34"/>
  <c r="D224" i="34"/>
  <c r="C224" i="34"/>
  <c r="B224" i="34"/>
  <c r="F223" i="34"/>
  <c r="E223" i="34"/>
  <c r="D223" i="34"/>
  <c r="C223" i="34"/>
  <c r="B223" i="34"/>
  <c r="F222" i="34"/>
  <c r="E222" i="34"/>
  <c r="D222" i="34"/>
  <c r="C222" i="34"/>
  <c r="B222" i="34"/>
  <c r="F221" i="34"/>
  <c r="E221" i="34"/>
  <c r="D221" i="34"/>
  <c r="C221" i="34"/>
  <c r="B221" i="34"/>
  <c r="F220" i="34"/>
  <c r="E220" i="34"/>
  <c r="D220" i="34"/>
  <c r="C220" i="34"/>
  <c r="B220" i="34"/>
  <c r="F219" i="34"/>
  <c r="E219" i="34"/>
  <c r="D219" i="34"/>
  <c r="C219" i="34"/>
  <c r="B219" i="34"/>
  <c r="F218" i="34"/>
  <c r="E218" i="34"/>
  <c r="D218" i="34"/>
  <c r="C218" i="34"/>
  <c r="B218" i="34"/>
  <c r="F217" i="34"/>
  <c r="E217" i="34"/>
  <c r="D217" i="34"/>
  <c r="C217" i="34"/>
  <c r="B217" i="34"/>
  <c r="F216" i="34"/>
  <c r="E216" i="34"/>
  <c r="D216" i="34"/>
  <c r="C216" i="34"/>
  <c r="B216" i="34"/>
  <c r="F215" i="34"/>
  <c r="E215" i="34"/>
  <c r="D215" i="34"/>
  <c r="C215" i="34"/>
  <c r="B215" i="34"/>
  <c r="F214" i="34"/>
  <c r="E214" i="34"/>
  <c r="D214" i="34"/>
  <c r="C214" i="34"/>
  <c r="B214" i="34"/>
  <c r="F213" i="34"/>
  <c r="E213" i="34"/>
  <c r="D213" i="34"/>
  <c r="C213" i="34"/>
  <c r="B213" i="34"/>
  <c r="F212" i="34"/>
  <c r="E212" i="34"/>
  <c r="D212" i="34"/>
  <c r="C212" i="34"/>
  <c r="B212" i="34"/>
  <c r="F211" i="34"/>
  <c r="E211" i="34"/>
  <c r="D211" i="34"/>
  <c r="C211" i="34"/>
  <c r="B211" i="34"/>
  <c r="F210" i="34"/>
  <c r="E210" i="34"/>
  <c r="D210" i="34"/>
  <c r="C210" i="34"/>
  <c r="B210" i="34"/>
  <c r="F209" i="34"/>
  <c r="E209" i="34"/>
  <c r="D209" i="34"/>
  <c r="C209" i="34"/>
  <c r="B209" i="34"/>
  <c r="F208" i="34"/>
  <c r="E208" i="34"/>
  <c r="D208" i="34"/>
  <c r="C208" i="34"/>
  <c r="B208" i="34"/>
  <c r="F207" i="34"/>
  <c r="E207" i="34"/>
  <c r="D207" i="34"/>
  <c r="C207" i="34"/>
  <c r="B207" i="34"/>
  <c r="F206" i="34"/>
  <c r="E206" i="34"/>
  <c r="D206" i="34"/>
  <c r="C206" i="34"/>
  <c r="B206" i="34"/>
  <c r="F205" i="34"/>
  <c r="E205" i="34"/>
  <c r="D205" i="34"/>
  <c r="C205" i="34"/>
  <c r="B205" i="34"/>
  <c r="F204" i="34"/>
  <c r="E204" i="34"/>
  <c r="D204" i="34"/>
  <c r="C204" i="34"/>
  <c r="B204" i="34"/>
  <c r="F203" i="34"/>
  <c r="E203" i="34"/>
  <c r="D203" i="34"/>
  <c r="C203" i="34"/>
  <c r="B203" i="34"/>
  <c r="F202" i="34"/>
  <c r="E202" i="34"/>
  <c r="D202" i="34"/>
  <c r="C202" i="34"/>
  <c r="B202" i="34"/>
  <c r="F201" i="34"/>
  <c r="E201" i="34"/>
  <c r="D201" i="34"/>
  <c r="C201" i="34"/>
  <c r="B201" i="34"/>
  <c r="F200" i="34"/>
  <c r="E200" i="34"/>
  <c r="D200" i="34"/>
  <c r="C200" i="34"/>
  <c r="B200" i="34"/>
  <c r="F199" i="34"/>
  <c r="E199" i="34"/>
  <c r="D199" i="34"/>
  <c r="C199" i="34"/>
  <c r="B199" i="34"/>
  <c r="F198" i="34"/>
  <c r="E198" i="34"/>
  <c r="D198" i="34"/>
  <c r="C198" i="34"/>
  <c r="B198" i="34"/>
  <c r="F197" i="34"/>
  <c r="E197" i="34"/>
  <c r="D197" i="34"/>
  <c r="C197" i="34"/>
  <c r="B197" i="34"/>
  <c r="F196" i="34"/>
  <c r="E196" i="34"/>
  <c r="D196" i="34"/>
  <c r="C196" i="34"/>
  <c r="B196" i="34"/>
  <c r="F195" i="34"/>
  <c r="E195" i="34"/>
  <c r="D195" i="34"/>
  <c r="C195" i="34"/>
  <c r="B195" i="34"/>
  <c r="F194" i="34"/>
  <c r="E194" i="34"/>
  <c r="D194" i="34"/>
  <c r="C194" i="34"/>
  <c r="B194" i="34"/>
  <c r="F193" i="34"/>
  <c r="E193" i="34"/>
  <c r="D193" i="34"/>
  <c r="C193" i="34"/>
  <c r="B193" i="34"/>
  <c r="F192" i="34"/>
  <c r="E192" i="34"/>
  <c r="D192" i="34"/>
  <c r="C192" i="34"/>
  <c r="B192" i="34"/>
  <c r="F191" i="34"/>
  <c r="E191" i="34"/>
  <c r="D191" i="34"/>
  <c r="C191" i="34"/>
  <c r="B191" i="34"/>
  <c r="F190" i="34"/>
  <c r="E190" i="34"/>
  <c r="D190" i="34"/>
  <c r="C190" i="34"/>
  <c r="B190" i="34"/>
  <c r="F189" i="34"/>
  <c r="E189" i="34"/>
  <c r="D189" i="34"/>
  <c r="C189" i="34"/>
  <c r="B189" i="34"/>
  <c r="F188" i="34"/>
  <c r="E188" i="34"/>
  <c r="D188" i="34"/>
  <c r="C188" i="34"/>
  <c r="B188" i="34"/>
  <c r="F187" i="34"/>
  <c r="E187" i="34"/>
  <c r="D187" i="34"/>
  <c r="C187" i="34"/>
  <c r="B187" i="34"/>
  <c r="F186" i="34"/>
  <c r="E186" i="34"/>
  <c r="D186" i="34"/>
  <c r="C186" i="34"/>
  <c r="B186" i="34"/>
  <c r="F185" i="34"/>
  <c r="E185" i="34"/>
  <c r="D185" i="34"/>
  <c r="C185" i="34"/>
  <c r="B185" i="34"/>
  <c r="F184" i="34"/>
  <c r="E184" i="34"/>
  <c r="D184" i="34"/>
  <c r="C184" i="34"/>
  <c r="B184" i="34"/>
  <c r="F183" i="34"/>
  <c r="E183" i="34"/>
  <c r="D183" i="34"/>
  <c r="C183" i="34"/>
  <c r="B183" i="34"/>
  <c r="F182" i="34"/>
  <c r="E182" i="34"/>
  <c r="D182" i="34"/>
  <c r="C182" i="34"/>
  <c r="B182" i="34"/>
  <c r="F181" i="34"/>
  <c r="E181" i="34"/>
  <c r="D181" i="34"/>
  <c r="C181" i="34"/>
  <c r="B181" i="34"/>
  <c r="F180" i="34"/>
  <c r="E180" i="34"/>
  <c r="D180" i="34"/>
  <c r="C180" i="34"/>
  <c r="B180" i="34"/>
  <c r="F179" i="34"/>
  <c r="E179" i="34"/>
  <c r="D179" i="34"/>
  <c r="C179" i="34"/>
  <c r="B179" i="34"/>
  <c r="F178" i="34"/>
  <c r="E178" i="34"/>
  <c r="D178" i="34"/>
  <c r="C178" i="34"/>
  <c r="B178" i="34"/>
  <c r="F177" i="34"/>
  <c r="E177" i="34"/>
  <c r="D177" i="34"/>
  <c r="C177" i="34"/>
  <c r="B177" i="34"/>
  <c r="F176" i="34"/>
  <c r="E176" i="34"/>
  <c r="D176" i="34"/>
  <c r="C176" i="34"/>
  <c r="B176" i="34"/>
  <c r="F175" i="34"/>
  <c r="E175" i="34"/>
  <c r="D175" i="34"/>
  <c r="C175" i="34"/>
  <c r="B175" i="34"/>
  <c r="F174" i="34"/>
  <c r="E174" i="34"/>
  <c r="D174" i="34"/>
  <c r="C174" i="34"/>
  <c r="B174" i="34"/>
  <c r="F173" i="34"/>
  <c r="E173" i="34"/>
  <c r="D173" i="34"/>
  <c r="C173" i="34"/>
  <c r="B173" i="34"/>
  <c r="F172" i="34"/>
  <c r="E172" i="34"/>
  <c r="D172" i="34"/>
  <c r="C172" i="34"/>
  <c r="B172" i="34"/>
  <c r="F171" i="34"/>
  <c r="E171" i="34"/>
  <c r="D171" i="34"/>
  <c r="C171" i="34"/>
  <c r="B171" i="34"/>
  <c r="F170" i="34"/>
  <c r="E170" i="34"/>
  <c r="D170" i="34"/>
  <c r="C170" i="34"/>
  <c r="B170" i="34"/>
  <c r="F169" i="34"/>
  <c r="E169" i="34"/>
  <c r="D169" i="34"/>
  <c r="C169" i="34"/>
  <c r="B169" i="34"/>
  <c r="F168" i="34"/>
  <c r="E168" i="34"/>
  <c r="D168" i="34"/>
  <c r="C168" i="34"/>
  <c r="B168" i="34"/>
  <c r="F167" i="34"/>
  <c r="E167" i="34"/>
  <c r="D167" i="34"/>
  <c r="C167" i="34"/>
  <c r="B167" i="34"/>
  <c r="F166" i="34"/>
  <c r="E166" i="34"/>
  <c r="D166" i="34"/>
  <c r="C166" i="34"/>
  <c r="B166" i="34"/>
  <c r="F165" i="34"/>
  <c r="E165" i="34"/>
  <c r="D165" i="34"/>
  <c r="C165" i="34"/>
  <c r="B165" i="34"/>
  <c r="F164" i="34"/>
  <c r="E164" i="34"/>
  <c r="D164" i="34"/>
  <c r="C164" i="34"/>
  <c r="B164" i="34"/>
  <c r="F163" i="34"/>
  <c r="E163" i="34"/>
  <c r="D163" i="34"/>
  <c r="C163" i="34"/>
  <c r="B163" i="34"/>
  <c r="F162" i="34"/>
  <c r="E162" i="34"/>
  <c r="D162" i="34"/>
  <c r="C162" i="34"/>
  <c r="B162" i="34"/>
  <c r="F161" i="34"/>
  <c r="E161" i="34"/>
  <c r="D161" i="34"/>
  <c r="C161" i="34"/>
  <c r="B161" i="34"/>
  <c r="F160" i="34"/>
  <c r="E160" i="34"/>
  <c r="D160" i="34"/>
  <c r="C160" i="34"/>
  <c r="B160" i="34"/>
  <c r="F159" i="34"/>
  <c r="E159" i="34"/>
  <c r="D159" i="34"/>
  <c r="C159" i="34"/>
  <c r="B159" i="34"/>
  <c r="F158" i="34"/>
  <c r="E158" i="34"/>
  <c r="D158" i="34"/>
  <c r="C158" i="34"/>
  <c r="B158" i="34"/>
  <c r="F157" i="34"/>
  <c r="E157" i="34"/>
  <c r="D157" i="34"/>
  <c r="C157" i="34"/>
  <c r="B157" i="34"/>
  <c r="F156" i="34"/>
  <c r="E156" i="34"/>
  <c r="D156" i="34"/>
  <c r="C156" i="34"/>
  <c r="B156" i="34"/>
  <c r="F155" i="34"/>
  <c r="E155" i="34"/>
  <c r="D155" i="34"/>
  <c r="C155" i="34"/>
  <c r="B155" i="34"/>
  <c r="F154" i="34"/>
  <c r="E154" i="34"/>
  <c r="D154" i="34"/>
  <c r="C154" i="34"/>
  <c r="B154" i="34"/>
  <c r="F153" i="34"/>
  <c r="E153" i="34"/>
  <c r="D153" i="34"/>
  <c r="C153" i="34"/>
  <c r="B153" i="34"/>
  <c r="F152" i="34"/>
  <c r="E152" i="34"/>
  <c r="D152" i="34"/>
  <c r="C152" i="34"/>
  <c r="B152" i="34"/>
  <c r="F151" i="34"/>
  <c r="E151" i="34"/>
  <c r="D151" i="34"/>
  <c r="C151" i="34"/>
  <c r="B151" i="34"/>
  <c r="F150" i="34"/>
  <c r="E150" i="34"/>
  <c r="D150" i="34"/>
  <c r="C150" i="34"/>
  <c r="B150" i="34"/>
  <c r="F149" i="34"/>
  <c r="E149" i="34"/>
  <c r="D149" i="34"/>
  <c r="C149" i="34"/>
  <c r="B149" i="34"/>
  <c r="F148" i="34"/>
  <c r="E148" i="34"/>
  <c r="D148" i="34"/>
  <c r="C148" i="34"/>
  <c r="B148" i="34"/>
  <c r="F147" i="34"/>
  <c r="E147" i="34"/>
  <c r="D147" i="34"/>
  <c r="C147" i="34"/>
  <c r="B147" i="34"/>
  <c r="F146" i="34"/>
  <c r="E146" i="34"/>
  <c r="D146" i="34"/>
  <c r="C146" i="34"/>
  <c r="B146" i="34"/>
  <c r="F145" i="34"/>
  <c r="E145" i="34"/>
  <c r="D145" i="34"/>
  <c r="C145" i="34"/>
  <c r="B145" i="34"/>
  <c r="F144" i="34"/>
  <c r="E144" i="34"/>
  <c r="D144" i="34"/>
  <c r="C144" i="34"/>
  <c r="B144" i="34"/>
  <c r="F143" i="34"/>
  <c r="E143" i="34"/>
  <c r="D143" i="34"/>
  <c r="C143" i="34"/>
  <c r="B143" i="34"/>
  <c r="F142" i="34"/>
  <c r="E142" i="34"/>
  <c r="D142" i="34"/>
  <c r="C142" i="34"/>
  <c r="B142" i="34"/>
  <c r="F141" i="34"/>
  <c r="E141" i="34"/>
  <c r="D141" i="34"/>
  <c r="C141" i="34"/>
  <c r="B141" i="34"/>
  <c r="F140" i="34"/>
  <c r="E140" i="34"/>
  <c r="D140" i="34"/>
  <c r="C140" i="34"/>
  <c r="B140" i="34"/>
  <c r="F139" i="34"/>
  <c r="E139" i="34"/>
  <c r="D139" i="34"/>
  <c r="C139" i="34"/>
  <c r="B139" i="34"/>
  <c r="F138" i="34"/>
  <c r="E138" i="34"/>
  <c r="D138" i="34"/>
  <c r="C138" i="34"/>
  <c r="B138" i="34"/>
  <c r="F137" i="34"/>
  <c r="E137" i="34"/>
  <c r="D137" i="34"/>
  <c r="C137" i="34"/>
  <c r="B137" i="34"/>
  <c r="F136" i="34"/>
  <c r="E136" i="34"/>
  <c r="D136" i="34"/>
  <c r="C136" i="34"/>
  <c r="B136" i="34"/>
  <c r="F135" i="34"/>
  <c r="E135" i="34"/>
  <c r="D135" i="34"/>
  <c r="C135" i="34"/>
  <c r="B135" i="34"/>
  <c r="F134" i="34"/>
  <c r="E134" i="34"/>
  <c r="D134" i="34"/>
  <c r="C134" i="34"/>
  <c r="B134" i="34"/>
  <c r="F133" i="34"/>
  <c r="E133" i="34"/>
  <c r="D133" i="34"/>
  <c r="C133" i="34"/>
  <c r="B133" i="34"/>
  <c r="F132" i="34"/>
  <c r="E132" i="34"/>
  <c r="D132" i="34"/>
  <c r="C132" i="34"/>
  <c r="B132" i="34"/>
  <c r="F131" i="34"/>
  <c r="E131" i="34"/>
  <c r="D131" i="34"/>
  <c r="C131" i="34"/>
  <c r="B131" i="34"/>
  <c r="F130" i="34"/>
  <c r="E130" i="34"/>
  <c r="D130" i="34"/>
  <c r="C130" i="34"/>
  <c r="B130" i="34"/>
  <c r="F129" i="34"/>
  <c r="E129" i="34"/>
  <c r="D129" i="34"/>
  <c r="C129" i="34"/>
  <c r="B129" i="34"/>
  <c r="F128" i="34"/>
  <c r="E128" i="34"/>
  <c r="D128" i="34"/>
  <c r="C128" i="34"/>
  <c r="B128" i="34"/>
  <c r="F127" i="34"/>
  <c r="E127" i="34"/>
  <c r="D127" i="34"/>
  <c r="C127" i="34"/>
  <c r="B127" i="34"/>
  <c r="F126" i="34"/>
  <c r="E126" i="34"/>
  <c r="D126" i="34"/>
  <c r="C126" i="34"/>
  <c r="B126" i="34"/>
  <c r="F125" i="34"/>
  <c r="E125" i="34"/>
  <c r="D125" i="34"/>
  <c r="C125" i="34"/>
  <c r="B125" i="34"/>
  <c r="F124" i="34"/>
  <c r="E124" i="34"/>
  <c r="D124" i="34"/>
  <c r="C124" i="34"/>
  <c r="B124" i="34"/>
  <c r="F123" i="34"/>
  <c r="E123" i="34"/>
  <c r="D123" i="34"/>
  <c r="C123" i="34"/>
  <c r="B123" i="34"/>
  <c r="F122" i="34"/>
  <c r="E122" i="34"/>
  <c r="D122" i="34"/>
  <c r="C122" i="34"/>
  <c r="B122" i="34"/>
  <c r="F121" i="34"/>
  <c r="E121" i="34"/>
  <c r="D121" i="34"/>
  <c r="C121" i="34"/>
  <c r="B121" i="34"/>
  <c r="F120" i="34"/>
  <c r="E120" i="34"/>
  <c r="D120" i="34"/>
  <c r="C120" i="34"/>
  <c r="B120" i="34"/>
  <c r="F119" i="34"/>
  <c r="E119" i="34"/>
  <c r="D119" i="34"/>
  <c r="C119" i="34"/>
  <c r="B119" i="34"/>
  <c r="F118" i="34"/>
  <c r="E118" i="34"/>
  <c r="D118" i="34"/>
  <c r="C118" i="34"/>
  <c r="B118" i="34"/>
  <c r="F117" i="34"/>
  <c r="E117" i="34"/>
  <c r="D117" i="34"/>
  <c r="C117" i="34"/>
  <c r="B117" i="34"/>
  <c r="F116" i="34"/>
  <c r="E116" i="34"/>
  <c r="D116" i="34"/>
  <c r="C116" i="34"/>
  <c r="B116" i="34"/>
  <c r="F115" i="34"/>
  <c r="E115" i="34"/>
  <c r="D115" i="34"/>
  <c r="C115" i="34"/>
  <c r="B115" i="34"/>
  <c r="F114" i="34"/>
  <c r="E114" i="34"/>
  <c r="D114" i="34"/>
  <c r="C114" i="34"/>
  <c r="B114" i="34"/>
  <c r="F113" i="34"/>
  <c r="E113" i="34"/>
  <c r="D113" i="34"/>
  <c r="C113" i="34"/>
  <c r="B113" i="34"/>
  <c r="F112" i="34"/>
  <c r="E112" i="34"/>
  <c r="D112" i="34"/>
  <c r="C112" i="34"/>
  <c r="B112" i="34"/>
  <c r="F111" i="34"/>
  <c r="E111" i="34"/>
  <c r="D111" i="34"/>
  <c r="C111" i="34"/>
  <c r="B111" i="34"/>
  <c r="F110" i="34"/>
  <c r="E110" i="34"/>
  <c r="D110" i="34"/>
  <c r="C110" i="34"/>
  <c r="B110" i="34"/>
  <c r="F109" i="34"/>
  <c r="E109" i="34"/>
  <c r="D109" i="34"/>
  <c r="C109" i="34"/>
  <c r="B109" i="34"/>
  <c r="F108" i="34"/>
  <c r="E108" i="34"/>
  <c r="D108" i="34"/>
  <c r="C108" i="34"/>
  <c r="B108" i="34"/>
  <c r="F107" i="34"/>
  <c r="E107" i="34"/>
  <c r="D107" i="34"/>
  <c r="C107" i="34"/>
  <c r="B107" i="34"/>
  <c r="F106" i="34"/>
  <c r="E106" i="34"/>
  <c r="D106" i="34"/>
  <c r="C106" i="34"/>
  <c r="B106" i="34"/>
  <c r="F105" i="34"/>
  <c r="E105" i="34"/>
  <c r="D105" i="34"/>
  <c r="C105" i="34"/>
  <c r="B105" i="34"/>
  <c r="F104" i="34"/>
  <c r="E104" i="34"/>
  <c r="D104" i="34"/>
  <c r="C104" i="34"/>
  <c r="B104" i="34"/>
  <c r="F103" i="34"/>
  <c r="E103" i="34"/>
  <c r="D103" i="34"/>
  <c r="C103" i="34"/>
  <c r="B103" i="34"/>
  <c r="F102" i="34"/>
  <c r="E102" i="34"/>
  <c r="D102" i="34"/>
  <c r="C102" i="34"/>
  <c r="B102" i="34"/>
  <c r="F101" i="34"/>
  <c r="E101" i="34"/>
  <c r="D101" i="34"/>
  <c r="C101" i="34"/>
  <c r="B101" i="34"/>
  <c r="F100" i="34"/>
  <c r="E100" i="34"/>
  <c r="D100" i="34"/>
  <c r="C100" i="34"/>
  <c r="B100" i="34"/>
  <c r="F99" i="34"/>
  <c r="E99" i="34"/>
  <c r="D99" i="34"/>
  <c r="C99" i="34"/>
  <c r="B99" i="34"/>
  <c r="F98" i="34"/>
  <c r="E98" i="34"/>
  <c r="D98" i="34"/>
  <c r="C98" i="34"/>
  <c r="B98" i="34"/>
  <c r="F97" i="34"/>
  <c r="E97" i="34"/>
  <c r="D97" i="34"/>
  <c r="C97" i="34"/>
  <c r="B97" i="34"/>
  <c r="F96" i="34"/>
  <c r="E96" i="34"/>
  <c r="D96" i="34"/>
  <c r="C96" i="34"/>
  <c r="B96" i="34"/>
  <c r="F95" i="34"/>
  <c r="E95" i="34"/>
  <c r="D95" i="34"/>
  <c r="C95" i="34"/>
  <c r="B95" i="34"/>
  <c r="F94" i="34"/>
  <c r="E94" i="34"/>
  <c r="D94" i="34"/>
  <c r="C94" i="34"/>
  <c r="B94" i="34"/>
  <c r="F93" i="34"/>
  <c r="E93" i="34"/>
  <c r="D93" i="34"/>
  <c r="C93" i="34"/>
  <c r="B93" i="34"/>
  <c r="F92" i="34"/>
  <c r="E92" i="34"/>
  <c r="D92" i="34"/>
  <c r="C92" i="34"/>
  <c r="B92" i="34"/>
  <c r="F91" i="34"/>
  <c r="E91" i="34"/>
  <c r="D91" i="34"/>
  <c r="C91" i="34"/>
  <c r="B91" i="34"/>
  <c r="F90" i="34"/>
  <c r="E90" i="34"/>
  <c r="D90" i="34"/>
  <c r="C90" i="34"/>
  <c r="B90" i="34"/>
  <c r="F89" i="34"/>
  <c r="E89" i="34"/>
  <c r="D89" i="34"/>
  <c r="C89" i="34"/>
  <c r="B89" i="34"/>
  <c r="F88" i="34"/>
  <c r="E88" i="34"/>
  <c r="D88" i="34"/>
  <c r="C88" i="34"/>
  <c r="B88" i="34"/>
  <c r="F87" i="34"/>
  <c r="E87" i="34"/>
  <c r="D87" i="34"/>
  <c r="C87" i="34"/>
  <c r="B87" i="34"/>
  <c r="F86" i="34"/>
  <c r="E86" i="34"/>
  <c r="D86" i="34"/>
  <c r="C86" i="34"/>
  <c r="B86" i="34"/>
  <c r="F85" i="34"/>
  <c r="E85" i="34"/>
  <c r="D85" i="34"/>
  <c r="C85" i="34"/>
  <c r="B85" i="34"/>
  <c r="F84" i="34"/>
  <c r="E84" i="34"/>
  <c r="D84" i="34"/>
  <c r="C84" i="34"/>
  <c r="B84" i="34"/>
  <c r="F83" i="34"/>
  <c r="E83" i="34"/>
  <c r="D83" i="34"/>
  <c r="C83" i="34"/>
  <c r="B83" i="34"/>
  <c r="F82" i="34"/>
  <c r="E82" i="34"/>
  <c r="D82" i="34"/>
  <c r="C82" i="34"/>
  <c r="B82" i="34"/>
  <c r="F81" i="34"/>
  <c r="E81" i="34"/>
  <c r="D81" i="34"/>
  <c r="C81" i="34"/>
  <c r="B81" i="34"/>
  <c r="F80" i="34"/>
  <c r="E80" i="34"/>
  <c r="D80" i="34"/>
  <c r="C80" i="34"/>
  <c r="B80" i="34"/>
  <c r="F79" i="34"/>
  <c r="E79" i="34"/>
  <c r="D79" i="34"/>
  <c r="C79" i="34"/>
  <c r="B79" i="34"/>
  <c r="F78" i="34"/>
  <c r="E78" i="34"/>
  <c r="D78" i="34"/>
  <c r="C78" i="34"/>
  <c r="B78" i="34"/>
  <c r="F77" i="34"/>
  <c r="E77" i="34"/>
  <c r="D77" i="34"/>
  <c r="C77" i="34"/>
  <c r="B77" i="34"/>
  <c r="F76" i="34"/>
  <c r="E76" i="34"/>
  <c r="D76" i="34"/>
  <c r="C76" i="34"/>
  <c r="B76" i="34"/>
  <c r="F75" i="34"/>
  <c r="E75" i="34"/>
  <c r="D75" i="34"/>
  <c r="C75" i="34"/>
  <c r="B75" i="34"/>
  <c r="F74" i="34"/>
  <c r="E74" i="34"/>
  <c r="D74" i="34"/>
  <c r="C74" i="34"/>
  <c r="B74" i="34"/>
  <c r="F73" i="34"/>
  <c r="E73" i="34"/>
  <c r="D73" i="34"/>
  <c r="C73" i="34"/>
  <c r="B73" i="34"/>
  <c r="F72" i="34"/>
  <c r="E72" i="34"/>
  <c r="D72" i="34"/>
  <c r="C72" i="34"/>
  <c r="B72" i="34"/>
  <c r="F71" i="34"/>
  <c r="E71" i="34"/>
  <c r="D71" i="34"/>
  <c r="C71" i="34"/>
  <c r="B71" i="34"/>
  <c r="F70" i="34"/>
  <c r="E70" i="34"/>
  <c r="D70" i="34"/>
  <c r="C70" i="34"/>
  <c r="B70" i="34"/>
  <c r="F69" i="34"/>
  <c r="E69" i="34"/>
  <c r="D69" i="34"/>
  <c r="C69" i="34"/>
  <c r="B69" i="34"/>
  <c r="F68" i="34"/>
  <c r="E68" i="34"/>
  <c r="D68" i="34"/>
  <c r="C68" i="34"/>
  <c r="B68" i="34"/>
  <c r="F67" i="34"/>
  <c r="E67" i="34"/>
  <c r="D67" i="34"/>
  <c r="C67" i="34"/>
  <c r="B67" i="34"/>
  <c r="F66" i="34"/>
  <c r="E66" i="34"/>
  <c r="D66" i="34"/>
  <c r="C66" i="34"/>
  <c r="B66" i="34"/>
  <c r="F65" i="34"/>
  <c r="E65" i="34"/>
  <c r="D65" i="34"/>
  <c r="C65" i="34"/>
  <c r="B65" i="34"/>
  <c r="F64" i="34"/>
  <c r="E64" i="34"/>
  <c r="D64" i="34"/>
  <c r="C64" i="34"/>
  <c r="B64" i="34"/>
  <c r="F63" i="34"/>
  <c r="E63" i="34"/>
  <c r="D63" i="34"/>
  <c r="C63" i="34"/>
  <c r="B63" i="34"/>
  <c r="F62" i="34"/>
  <c r="E62" i="34"/>
  <c r="D62" i="34"/>
  <c r="C62" i="34"/>
  <c r="B62" i="34"/>
  <c r="F61" i="34"/>
  <c r="E61" i="34"/>
  <c r="D61" i="34"/>
  <c r="C61" i="34"/>
  <c r="B61" i="34"/>
  <c r="F60" i="34"/>
  <c r="E60" i="34"/>
  <c r="D60" i="34"/>
  <c r="C60" i="34"/>
  <c r="B60" i="34"/>
  <c r="F59" i="34"/>
  <c r="E59" i="34"/>
  <c r="D59" i="34"/>
  <c r="C59" i="34"/>
  <c r="B59" i="34"/>
  <c r="F58" i="34"/>
  <c r="E58" i="34"/>
  <c r="D58" i="34"/>
  <c r="C58" i="34"/>
  <c r="B58" i="34"/>
  <c r="F57" i="34"/>
  <c r="E57" i="34"/>
  <c r="D57" i="34"/>
  <c r="C57" i="34"/>
  <c r="B57" i="34"/>
  <c r="F56" i="34"/>
  <c r="E56" i="34"/>
  <c r="D56" i="34"/>
  <c r="C56" i="34"/>
  <c r="B56" i="34"/>
  <c r="F55" i="34"/>
  <c r="E55" i="34"/>
  <c r="D55" i="34"/>
  <c r="C55" i="34"/>
  <c r="B55" i="34"/>
  <c r="F54" i="34"/>
  <c r="E54" i="34"/>
  <c r="D54" i="34"/>
  <c r="C54" i="34"/>
  <c r="B54" i="34"/>
  <c r="F53" i="34"/>
  <c r="E53" i="34"/>
  <c r="D53" i="34"/>
  <c r="C53" i="34"/>
  <c r="B53" i="34"/>
  <c r="F52" i="34"/>
  <c r="E52" i="34"/>
  <c r="D52" i="34"/>
  <c r="C52" i="34"/>
  <c r="B52" i="34"/>
  <c r="F51" i="34"/>
  <c r="E51" i="34"/>
  <c r="D51" i="34"/>
  <c r="C51" i="34"/>
  <c r="B51" i="34"/>
  <c r="F50" i="34"/>
  <c r="E50" i="34"/>
  <c r="D50" i="34"/>
  <c r="C50" i="34"/>
  <c r="B50" i="34"/>
  <c r="F49" i="34"/>
  <c r="E49" i="34"/>
  <c r="D49" i="34"/>
  <c r="C49" i="34"/>
  <c r="B49" i="34"/>
  <c r="F48" i="34"/>
  <c r="E48" i="34"/>
  <c r="D48" i="34"/>
  <c r="C48" i="34"/>
  <c r="B48" i="34"/>
  <c r="F47" i="34"/>
  <c r="E47" i="34"/>
  <c r="D47" i="34"/>
  <c r="C47" i="34"/>
  <c r="B47" i="34"/>
  <c r="F46" i="34"/>
  <c r="E46" i="34"/>
  <c r="D46" i="34"/>
  <c r="C46" i="34"/>
  <c r="B46" i="34"/>
  <c r="F45" i="34"/>
  <c r="E45" i="34"/>
  <c r="D45" i="34"/>
  <c r="C45" i="34"/>
  <c r="B45" i="34"/>
  <c r="F44" i="34"/>
  <c r="E44" i="34"/>
  <c r="D44" i="34"/>
  <c r="C44" i="34"/>
  <c r="B44" i="34"/>
  <c r="F43" i="34"/>
  <c r="E43" i="34"/>
  <c r="D43" i="34"/>
  <c r="C43" i="34"/>
  <c r="B43" i="34"/>
  <c r="F42" i="34"/>
  <c r="E42" i="34"/>
  <c r="D42" i="34"/>
  <c r="C42" i="34"/>
  <c r="B42" i="34"/>
  <c r="F41" i="34"/>
  <c r="E41" i="34"/>
  <c r="D41" i="34"/>
  <c r="C41" i="34"/>
  <c r="B41" i="34"/>
  <c r="F40" i="34"/>
  <c r="E40" i="34"/>
  <c r="D40" i="34"/>
  <c r="C40" i="34"/>
  <c r="B40" i="34"/>
  <c r="F39" i="34"/>
  <c r="E39" i="34"/>
  <c r="D39" i="34"/>
  <c r="C39" i="34"/>
  <c r="B39" i="34"/>
  <c r="F38" i="34"/>
  <c r="E38" i="34"/>
  <c r="D38" i="34"/>
  <c r="C38" i="34"/>
  <c r="B38" i="34"/>
  <c r="F37" i="34"/>
  <c r="E37" i="34"/>
  <c r="D37" i="34"/>
  <c r="C37" i="34"/>
  <c r="B37" i="34"/>
  <c r="F36" i="34"/>
  <c r="E36" i="34"/>
  <c r="D36" i="34"/>
  <c r="C36" i="34"/>
  <c r="B36" i="34"/>
  <c r="F35" i="34"/>
  <c r="E35" i="34"/>
  <c r="D35" i="34"/>
  <c r="C35" i="34"/>
  <c r="B35" i="34"/>
  <c r="F34" i="34"/>
  <c r="E34" i="34"/>
  <c r="D34" i="34"/>
  <c r="C34" i="34"/>
  <c r="B34" i="34"/>
  <c r="F33" i="34"/>
  <c r="E33" i="34"/>
  <c r="D33" i="34"/>
  <c r="C33" i="34"/>
  <c r="B33" i="34"/>
  <c r="F32" i="34"/>
  <c r="E32" i="34"/>
  <c r="D32" i="34"/>
  <c r="C32" i="34"/>
  <c r="B32" i="34"/>
  <c r="F31" i="34"/>
  <c r="E31" i="34"/>
  <c r="D31" i="34"/>
  <c r="C31" i="34"/>
  <c r="B31" i="34"/>
  <c r="F30" i="34"/>
  <c r="E30" i="34"/>
  <c r="D30" i="34"/>
  <c r="C30" i="34"/>
  <c r="B30" i="34"/>
  <c r="F29" i="34"/>
  <c r="E29" i="34"/>
  <c r="D29" i="34"/>
  <c r="C29" i="34"/>
  <c r="B29" i="34"/>
  <c r="F28" i="34"/>
  <c r="E28" i="34"/>
  <c r="D28" i="34"/>
  <c r="C28" i="34"/>
  <c r="B28" i="34"/>
  <c r="F27" i="34"/>
  <c r="E27" i="34"/>
  <c r="D27" i="34"/>
  <c r="C27" i="34"/>
  <c r="B27" i="34"/>
  <c r="F26" i="34"/>
  <c r="E26" i="34"/>
  <c r="D26" i="34"/>
  <c r="C26" i="34"/>
  <c r="B26" i="34"/>
  <c r="F25" i="34"/>
  <c r="E25" i="34"/>
  <c r="D25" i="34"/>
  <c r="C25" i="34"/>
  <c r="B25" i="34"/>
  <c r="F24" i="34"/>
  <c r="E24" i="34"/>
  <c r="D24" i="34"/>
  <c r="C24" i="34"/>
  <c r="B24" i="34"/>
  <c r="F23" i="34"/>
  <c r="E23" i="34"/>
  <c r="D23" i="34"/>
  <c r="C23" i="34"/>
  <c r="B23" i="34"/>
  <c r="F22" i="34"/>
  <c r="E22" i="34"/>
  <c r="D22" i="34"/>
  <c r="C22" i="34"/>
  <c r="B22" i="34"/>
  <c r="F21" i="34"/>
  <c r="E21" i="34"/>
  <c r="D21" i="34"/>
  <c r="C21" i="34"/>
  <c r="B21" i="34"/>
  <c r="F20" i="34"/>
  <c r="E20" i="34"/>
  <c r="D20" i="34"/>
  <c r="C20" i="34"/>
  <c r="B20" i="34"/>
  <c r="F19" i="34"/>
  <c r="E19" i="34"/>
  <c r="D19" i="34"/>
  <c r="C19" i="34"/>
  <c r="B19" i="34"/>
  <c r="F18" i="34"/>
  <c r="E18" i="34"/>
  <c r="D18" i="34"/>
  <c r="C18" i="34"/>
  <c r="B18" i="34"/>
  <c r="F17" i="34"/>
  <c r="E17" i="34"/>
  <c r="D17" i="34"/>
  <c r="C17" i="34"/>
  <c r="B17" i="34"/>
  <c r="F16" i="34"/>
  <c r="E16" i="34"/>
  <c r="D16" i="34"/>
  <c r="C16" i="34"/>
  <c r="B16" i="34"/>
  <c r="F15" i="34"/>
  <c r="E15" i="34"/>
  <c r="D15" i="34"/>
  <c r="C15" i="34"/>
  <c r="B15" i="34"/>
  <c r="F14" i="34"/>
  <c r="E14" i="34"/>
  <c r="D14" i="34"/>
  <c r="C14" i="34"/>
  <c r="B14" i="34"/>
  <c r="F13" i="34"/>
  <c r="E13" i="34"/>
  <c r="D13" i="34"/>
  <c r="C13" i="34"/>
  <c r="B13" i="34"/>
  <c r="F12" i="34"/>
  <c r="E12" i="34"/>
  <c r="D12" i="34"/>
  <c r="C12" i="34"/>
  <c r="B12" i="34"/>
  <c r="F11" i="34"/>
  <c r="E11" i="34"/>
  <c r="D11" i="34"/>
  <c r="C11" i="34"/>
  <c r="B11" i="34"/>
  <c r="F10" i="34"/>
  <c r="E10" i="34"/>
  <c r="D10" i="34"/>
  <c r="C10" i="34"/>
  <c r="B10" i="34"/>
  <c r="F9" i="34"/>
  <c r="E9" i="34"/>
  <c r="D9" i="34"/>
  <c r="C9" i="34"/>
  <c r="B9" i="34"/>
  <c r="F8" i="34"/>
  <c r="E8" i="34"/>
  <c r="D8" i="34"/>
  <c r="C8" i="34"/>
  <c r="B8" i="34"/>
  <c r="F7" i="34"/>
  <c r="E7" i="34"/>
  <c r="D7" i="34"/>
  <c r="C7" i="34"/>
  <c r="B7" i="34"/>
  <c r="F6" i="34"/>
  <c r="E6" i="34"/>
  <c r="D6" i="34"/>
  <c r="C6" i="34"/>
  <c r="B6" i="34"/>
  <c r="F5" i="34"/>
  <c r="E5" i="34"/>
  <c r="D5" i="34"/>
  <c r="C5" i="34"/>
  <c r="B5" i="34"/>
  <c r="F4" i="34"/>
  <c r="E4" i="34"/>
  <c r="D4" i="34"/>
  <c r="C4" i="34"/>
  <c r="B4" i="34"/>
  <c r="F3" i="34"/>
  <c r="E3" i="34"/>
  <c r="D3" i="34"/>
  <c r="C3" i="34"/>
  <c r="B3" i="34"/>
  <c r="F2" i="34"/>
  <c r="E2" i="34"/>
  <c r="D2" i="34"/>
  <c r="C2" i="34"/>
  <c r="B2" i="34"/>
  <c r="E84" i="25"/>
  <c r="E83" i="25"/>
  <c r="E82" i="25"/>
  <c r="E81" i="25"/>
  <c r="E80" i="25"/>
  <c r="E79" i="25"/>
  <c r="E78" i="25"/>
  <c r="E77" i="25"/>
  <c r="E76" i="25"/>
  <c r="E75" i="25"/>
  <c r="D74" i="25"/>
  <c r="E74" i="25" s="1"/>
  <c r="F74" i="25" s="1"/>
  <c r="D73" i="25"/>
  <c r="E73" i="25" s="1"/>
  <c r="F73" i="25" s="1"/>
  <c r="D72" i="25"/>
  <c r="E72" i="25" s="1"/>
  <c r="F72" i="25" s="1"/>
  <c r="D71" i="25"/>
  <c r="E71" i="25" s="1"/>
  <c r="F71" i="25" s="1"/>
  <c r="D70" i="25"/>
  <c r="E70" i="25" s="1"/>
  <c r="F70" i="25" s="1"/>
  <c r="D67" i="25"/>
  <c r="E67" i="25" s="1"/>
  <c r="D66" i="25"/>
  <c r="E66" i="25" s="1"/>
  <c r="D65" i="25"/>
  <c r="E65" i="25" s="1"/>
  <c r="D64" i="25"/>
  <c r="E64" i="25" s="1"/>
  <c r="D63" i="25"/>
  <c r="E63" i="25" s="1"/>
  <c r="F63" i="25" s="1"/>
  <c r="D62" i="25"/>
  <c r="F62" i="25" s="1"/>
  <c r="B147" i="2" s="1"/>
  <c r="D61" i="25"/>
  <c r="E61" i="25" s="1"/>
  <c r="F61" i="25" s="1"/>
  <c r="D60" i="25"/>
  <c r="E60" i="25" s="1"/>
  <c r="F60" i="25" s="1"/>
  <c r="D59" i="25"/>
  <c r="E59" i="25" s="1"/>
  <c r="F59" i="25" s="1"/>
  <c r="D58" i="25"/>
  <c r="E58" i="25" s="1"/>
  <c r="D56" i="25"/>
  <c r="E56" i="25" s="1"/>
  <c r="D55" i="25"/>
  <c r="E55" i="25" s="1"/>
  <c r="D54" i="25"/>
  <c r="E54" i="25" s="1"/>
  <c r="D53" i="25"/>
  <c r="E53" i="25" s="1"/>
  <c r="D52" i="25"/>
  <c r="E52" i="25" s="1"/>
  <c r="D51" i="25"/>
  <c r="E51" i="25" s="1"/>
  <c r="D50" i="25"/>
  <c r="E50" i="25" s="1"/>
  <c r="D49" i="25"/>
  <c r="E49" i="25" s="1"/>
  <c r="D48" i="25"/>
  <c r="E48" i="25" s="1"/>
  <c r="D47" i="25"/>
  <c r="E47" i="25" s="1"/>
  <c r="D46" i="25"/>
  <c r="E46" i="25" s="1"/>
  <c r="D45" i="25"/>
  <c r="E45" i="25" s="1"/>
  <c r="F45" i="25" s="1"/>
  <c r="D44" i="25"/>
  <c r="E44" i="25" s="1"/>
  <c r="F44" i="25" s="1"/>
  <c r="B144" i="2" s="1"/>
  <c r="D43" i="25"/>
  <c r="E43" i="25" s="1"/>
  <c r="F43" i="25" s="1"/>
  <c r="D42" i="25"/>
  <c r="E42" i="25" s="1"/>
  <c r="F42" i="25" s="1"/>
  <c r="D41" i="25"/>
  <c r="E41" i="25" s="1"/>
  <c r="F41" i="25" s="1"/>
  <c r="D40" i="25"/>
  <c r="E40" i="25" s="1"/>
  <c r="F40" i="25" s="1"/>
  <c r="D39" i="25"/>
  <c r="E39" i="25" s="1"/>
  <c r="F39" i="25" s="1"/>
  <c r="D38" i="25"/>
  <c r="E38" i="25" s="1"/>
  <c r="F38" i="25" s="1"/>
  <c r="D37" i="25"/>
  <c r="E37" i="25" s="1"/>
  <c r="F37" i="25" s="1"/>
  <c r="F36" i="25"/>
  <c r="D36" i="25"/>
  <c r="E36" i="25" s="1"/>
  <c r="D35" i="25"/>
  <c r="E35" i="25" s="1"/>
  <c r="F35" i="25" s="1"/>
  <c r="D34" i="25"/>
  <c r="E34" i="25" s="1"/>
  <c r="F34" i="25" s="1"/>
  <c r="B139" i="2" s="1"/>
  <c r="D33" i="25"/>
  <c r="D32" i="25"/>
  <c r="E32" i="25" s="1"/>
  <c r="D31" i="25"/>
  <c r="E31" i="25" s="1"/>
  <c r="F31" i="25" s="1"/>
  <c r="B141" i="2" s="1"/>
  <c r="D30" i="25"/>
  <c r="E30" i="25" s="1"/>
  <c r="F30" i="25" s="1"/>
  <c r="D29" i="25"/>
  <c r="E29" i="25" s="1"/>
  <c r="F29" i="25" s="1"/>
  <c r="D28" i="25"/>
  <c r="E28" i="25" s="1"/>
  <c r="F28" i="25" s="1"/>
  <c r="D27" i="25"/>
  <c r="E27" i="25" s="1"/>
  <c r="F27" i="25" s="1"/>
  <c r="D26" i="25"/>
  <c r="E26" i="25" s="1"/>
  <c r="F26" i="25" s="1"/>
  <c r="D25" i="25"/>
  <c r="E25" i="25" s="1"/>
  <c r="F25" i="25" s="1"/>
  <c r="D24" i="25"/>
  <c r="E24" i="25" s="1"/>
  <c r="F24" i="25" s="1"/>
  <c r="D23" i="25"/>
  <c r="E23" i="25" s="1"/>
  <c r="F23" i="25" s="1"/>
  <c r="F75" i="25" s="1"/>
  <c r="B142" i="2" s="1"/>
  <c r="D22" i="25"/>
  <c r="E22" i="25" s="1"/>
  <c r="D21" i="25"/>
  <c r="E21" i="25" s="1"/>
  <c r="D20" i="25"/>
  <c r="E20" i="25" s="1"/>
  <c r="D19" i="25"/>
  <c r="E19" i="25" s="1"/>
  <c r="D18" i="25"/>
  <c r="E18" i="25" s="1"/>
  <c r="D17" i="25"/>
  <c r="E17" i="25" s="1"/>
  <c r="D16" i="25"/>
  <c r="E16" i="25" s="1"/>
  <c r="D15" i="25"/>
  <c r="D14" i="25"/>
  <c r="E14" i="25" s="1"/>
  <c r="D13" i="25"/>
  <c r="E13" i="25" s="1"/>
  <c r="D12" i="25"/>
  <c r="E12" i="25" s="1"/>
  <c r="D11" i="25"/>
  <c r="E11" i="25" s="1"/>
  <c r="D10" i="25"/>
  <c r="E10" i="25" s="1"/>
  <c r="D9" i="25"/>
  <c r="E9" i="25" s="1"/>
  <c r="D8" i="25"/>
  <c r="E8" i="25" s="1"/>
  <c r="B137" i="2" s="1"/>
  <c r="D7" i="25"/>
  <c r="D5" i="25"/>
  <c r="E5" i="25" s="1"/>
  <c r="F106" i="24"/>
  <c r="F47" i="24"/>
  <c r="F46" i="24"/>
  <c r="F45" i="24"/>
  <c r="F44" i="24"/>
  <c r="F43" i="24"/>
  <c r="F42" i="24"/>
  <c r="F39" i="24"/>
  <c r="F31" i="24"/>
  <c r="F30" i="24"/>
  <c r="F7" i="24"/>
  <c r="D4" i="24"/>
  <c r="B214" i="22"/>
  <c r="B213" i="22"/>
  <c r="B212" i="22"/>
  <c r="B211" i="22"/>
  <c r="F178" i="22"/>
  <c r="C178" i="22"/>
  <c r="F177" i="22"/>
  <c r="C177" i="22"/>
  <c r="F176" i="22"/>
  <c r="C176" i="22"/>
  <c r="B173" i="22"/>
  <c r="B172" i="22"/>
  <c r="B170" i="22"/>
  <c r="B169" i="22"/>
  <c r="B168" i="22"/>
  <c r="B167" i="22"/>
  <c r="B166" i="22"/>
  <c r="D159" i="22"/>
  <c r="E159" i="22" s="1"/>
  <c r="D156" i="22"/>
  <c r="E156" i="22" s="1"/>
  <c r="D155" i="22"/>
  <c r="E155" i="22" s="1"/>
  <c r="D154" i="22"/>
  <c r="E154" i="22" s="1"/>
  <c r="D153" i="22"/>
  <c r="E153" i="22" s="1"/>
  <c r="D152" i="22"/>
  <c r="E152" i="22" s="1"/>
  <c r="E151" i="22"/>
  <c r="D143" i="22"/>
  <c r="E143" i="22" s="1"/>
  <c r="D142" i="22"/>
  <c r="E142" i="22" s="1"/>
  <c r="E141" i="22"/>
  <c r="E121" i="22"/>
  <c r="E120" i="22"/>
  <c r="E119" i="22"/>
  <c r="E118" i="22"/>
  <c r="E117" i="22"/>
  <c r="E116" i="22"/>
  <c r="E80" i="22"/>
  <c r="D77" i="22"/>
  <c r="E77" i="22" s="1"/>
  <c r="D76" i="22"/>
  <c r="E76" i="22" s="1"/>
  <c r="D75" i="22"/>
  <c r="E75" i="22" s="1"/>
  <c r="B19" i="20"/>
  <c r="A1" i="20"/>
  <c r="E7" i="18"/>
  <c r="E4" i="18"/>
  <c r="AD23" i="17"/>
  <c r="AA23" i="17"/>
  <c r="E23" i="17"/>
  <c r="F23" i="17" s="1"/>
  <c r="A23" i="17"/>
  <c r="B23" i="17" s="1"/>
  <c r="A22" i="17"/>
  <c r="A21" i="17"/>
  <c r="E21" i="17" s="1"/>
  <c r="F21" i="17" s="1"/>
  <c r="AJ20" i="17"/>
  <c r="AI20" i="17"/>
  <c r="A20" i="17"/>
  <c r="B20" i="17" s="1"/>
  <c r="H19" i="17"/>
  <c r="A19" i="17"/>
  <c r="E19" i="17" s="1"/>
  <c r="F19" i="17" s="1"/>
  <c r="A18" i="17"/>
  <c r="AD17" i="17"/>
  <c r="A17" i="17"/>
  <c r="E17" i="17" s="1"/>
  <c r="F17" i="17" s="1"/>
  <c r="Z16" i="17"/>
  <c r="Y16" i="17"/>
  <c r="A16" i="17"/>
  <c r="A15" i="17"/>
  <c r="X14" i="17"/>
  <c r="W14" i="17"/>
  <c r="V14" i="17"/>
  <c r="H14" i="17"/>
  <c r="A14" i="17"/>
  <c r="E14" i="17" s="1"/>
  <c r="F14" i="17" s="1"/>
  <c r="H13" i="17"/>
  <c r="A13" i="17"/>
  <c r="E13" i="17" s="1"/>
  <c r="F13" i="17" s="1"/>
  <c r="A12" i="17"/>
  <c r="B12" i="17" s="1"/>
  <c r="H11" i="17"/>
  <c r="A11" i="17"/>
  <c r="E11" i="17" s="1"/>
  <c r="F11" i="17" s="1"/>
  <c r="W10" i="17"/>
  <c r="U10" i="17"/>
  <c r="A10" i="17"/>
  <c r="Z9" i="17"/>
  <c r="Y9" i="17"/>
  <c r="A9" i="17"/>
  <c r="E9" i="17" s="1"/>
  <c r="F9" i="17" s="1"/>
  <c r="AK8" i="17"/>
  <c r="AJ8" i="17"/>
  <c r="AI8" i="17"/>
  <c r="A8" i="17"/>
  <c r="A7" i="17"/>
  <c r="E4" i="17"/>
  <c r="H7" i="17" s="1"/>
  <c r="B4" i="17"/>
  <c r="X20" i="17" s="1"/>
  <c r="D31" i="15"/>
  <c r="C31" i="15"/>
  <c r="B31" i="15"/>
  <c r="A31" i="15"/>
  <c r="D30" i="15"/>
  <c r="C30" i="15"/>
  <c r="B30" i="15"/>
  <c r="A30" i="15"/>
  <c r="D29" i="15"/>
  <c r="C29" i="15"/>
  <c r="B29" i="15"/>
  <c r="A29" i="15"/>
  <c r="D28" i="15"/>
  <c r="C28" i="15"/>
  <c r="B28" i="15"/>
  <c r="A28" i="15"/>
  <c r="D27" i="15"/>
  <c r="C27" i="15"/>
  <c r="B27" i="15"/>
  <c r="A27" i="15"/>
  <c r="D26" i="15"/>
  <c r="C26" i="15"/>
  <c r="B26" i="15"/>
  <c r="A26" i="15"/>
  <c r="D25" i="15"/>
  <c r="C25" i="15"/>
  <c r="B25" i="15"/>
  <c r="A25" i="15"/>
  <c r="D24" i="15"/>
  <c r="C24" i="15"/>
  <c r="B24" i="15"/>
  <c r="A24" i="15"/>
  <c r="D23" i="15"/>
  <c r="C23" i="15"/>
  <c r="B23" i="15"/>
  <c r="A23" i="15"/>
  <c r="D22" i="15"/>
  <c r="C22" i="15"/>
  <c r="B22" i="15"/>
  <c r="A22" i="15"/>
  <c r="D21" i="15"/>
  <c r="C21" i="15"/>
  <c r="B21" i="15"/>
  <c r="A21" i="15"/>
  <c r="D20" i="15"/>
  <c r="C20" i="15"/>
  <c r="B20" i="15"/>
  <c r="A20" i="15"/>
  <c r="D19" i="15"/>
  <c r="C19" i="15"/>
  <c r="B19" i="15"/>
  <c r="A19" i="15"/>
  <c r="D18" i="15"/>
  <c r="C18" i="15"/>
  <c r="B18" i="15"/>
  <c r="A18" i="15"/>
  <c r="B7" i="15"/>
  <c r="B6" i="15"/>
  <c r="B180" i="14"/>
  <c r="E9" i="18" s="1"/>
  <c r="B179" i="14"/>
  <c r="E10" i="18" s="1"/>
  <c r="F132" i="14"/>
  <c r="E132" i="14"/>
  <c r="D132" i="14"/>
  <c r="C132" i="14"/>
  <c r="B132" i="14"/>
  <c r="F59" i="14"/>
  <c r="E59" i="14"/>
  <c r="D59" i="14"/>
  <c r="C59" i="14"/>
  <c r="B59" i="14"/>
  <c r="E58" i="14"/>
  <c r="D58" i="14"/>
  <c r="C58" i="14"/>
  <c r="B58" i="14"/>
  <c r="D57" i="14"/>
  <c r="C57" i="14"/>
  <c r="B57" i="14"/>
  <c r="C56" i="14"/>
  <c r="B56" i="14"/>
  <c r="B55" i="14"/>
  <c r="H55" i="14" s="1"/>
  <c r="H54" i="14"/>
  <c r="A52" i="14"/>
  <c r="B27" i="14"/>
  <c r="B26" i="14"/>
  <c r="B25" i="14"/>
  <c r="B24" i="14"/>
  <c r="B23" i="14"/>
  <c r="B22" i="14"/>
  <c r="B21" i="14"/>
  <c r="B20" i="14"/>
  <c r="B19" i="14"/>
  <c r="B18" i="14"/>
  <c r="B17" i="14"/>
  <c r="A2" i="14"/>
  <c r="U517" i="13"/>
  <c r="T517" i="13"/>
  <c r="S517" i="13"/>
  <c r="U516" i="13"/>
  <c r="T516" i="13"/>
  <c r="S516" i="13"/>
  <c r="U515" i="13"/>
  <c r="T515" i="13"/>
  <c r="S515" i="13"/>
  <c r="U514" i="13"/>
  <c r="T514" i="13"/>
  <c r="S514" i="13"/>
  <c r="U513" i="13"/>
  <c r="T513" i="13"/>
  <c r="S513" i="13"/>
  <c r="U512" i="13"/>
  <c r="T512" i="13"/>
  <c r="S512" i="13"/>
  <c r="U511" i="13"/>
  <c r="T511" i="13"/>
  <c r="S511" i="13"/>
  <c r="U510" i="13"/>
  <c r="T510" i="13"/>
  <c r="S510" i="13"/>
  <c r="U509" i="13"/>
  <c r="T509" i="13"/>
  <c r="S509" i="13"/>
  <c r="U508" i="13"/>
  <c r="T508" i="13"/>
  <c r="S508" i="13"/>
  <c r="U507" i="13"/>
  <c r="T507" i="13"/>
  <c r="S507" i="13"/>
  <c r="U506" i="13"/>
  <c r="T506" i="13"/>
  <c r="S506" i="13"/>
  <c r="U505" i="13"/>
  <c r="T505" i="13"/>
  <c r="S505" i="13"/>
  <c r="U504" i="13"/>
  <c r="T504" i="13"/>
  <c r="S504" i="13"/>
  <c r="S113" i="12"/>
  <c r="R113" i="12"/>
  <c r="Q113" i="12"/>
  <c r="P113" i="12"/>
  <c r="O113" i="12"/>
  <c r="M113" i="12"/>
  <c r="C113" i="12"/>
  <c r="B113" i="12"/>
  <c r="S112" i="12"/>
  <c r="R112" i="12"/>
  <c r="Q112" i="12"/>
  <c r="P112" i="12"/>
  <c r="O112" i="12"/>
  <c r="M112" i="12"/>
  <c r="D112" i="12"/>
  <c r="C112" i="12"/>
  <c r="B112" i="12"/>
  <c r="S111" i="12"/>
  <c r="R111" i="12"/>
  <c r="Q111" i="12"/>
  <c r="P111" i="12"/>
  <c r="O111" i="12"/>
  <c r="M111" i="12"/>
  <c r="C111" i="12"/>
  <c r="B111" i="12"/>
  <c r="T111" i="12" s="1"/>
  <c r="S110" i="12"/>
  <c r="R110" i="12"/>
  <c r="Q110" i="12"/>
  <c r="P110" i="12"/>
  <c r="O110" i="12"/>
  <c r="M110" i="12"/>
  <c r="C110" i="12"/>
  <c r="B110" i="12"/>
  <c r="T110" i="12" s="1"/>
  <c r="T109" i="12"/>
  <c r="S109" i="12"/>
  <c r="R109" i="12"/>
  <c r="Q109" i="12"/>
  <c r="P109" i="12"/>
  <c r="O109" i="12"/>
  <c r="M109" i="12"/>
  <c r="C109" i="12"/>
  <c r="B109" i="12"/>
  <c r="S108" i="12"/>
  <c r="R108" i="12"/>
  <c r="Q108" i="12"/>
  <c r="P108" i="12"/>
  <c r="O108" i="12"/>
  <c r="M108" i="12"/>
  <c r="C108" i="12"/>
  <c r="B108" i="12"/>
  <c r="T108" i="12" s="1"/>
  <c r="S107" i="12"/>
  <c r="R107" i="12"/>
  <c r="Q107" i="12"/>
  <c r="P107" i="12"/>
  <c r="O107" i="12"/>
  <c r="M107" i="12"/>
  <c r="C107" i="12"/>
  <c r="B107" i="12"/>
  <c r="T107" i="12" s="1"/>
  <c r="S106" i="12"/>
  <c r="R106" i="12"/>
  <c r="Q106" i="12"/>
  <c r="P106" i="12"/>
  <c r="O106" i="12"/>
  <c r="M106" i="12"/>
  <c r="C106" i="12"/>
  <c r="B106" i="12"/>
  <c r="T106" i="12" s="1"/>
  <c r="S105" i="12"/>
  <c r="R105" i="12"/>
  <c r="Q105" i="12"/>
  <c r="P105" i="12"/>
  <c r="O105" i="12"/>
  <c r="M105" i="12"/>
  <c r="C105" i="12"/>
  <c r="B105" i="12"/>
  <c r="S104" i="12"/>
  <c r="R104" i="12"/>
  <c r="Q104" i="12"/>
  <c r="P104" i="12"/>
  <c r="O104" i="12"/>
  <c r="M104" i="12"/>
  <c r="C104" i="12"/>
  <c r="B104" i="12"/>
  <c r="T104" i="12" s="1"/>
  <c r="S103" i="12"/>
  <c r="R103" i="12"/>
  <c r="Q103" i="12"/>
  <c r="P103" i="12"/>
  <c r="O103" i="12"/>
  <c r="M103" i="12"/>
  <c r="C103" i="12"/>
  <c r="B103" i="12"/>
  <c r="T103" i="12" s="1"/>
  <c r="S102" i="12"/>
  <c r="R102" i="12"/>
  <c r="Q102" i="12"/>
  <c r="P102" i="12"/>
  <c r="O102" i="12"/>
  <c r="M102" i="12"/>
  <c r="C102" i="12"/>
  <c r="B102" i="12"/>
  <c r="T102" i="12" s="1"/>
  <c r="S101" i="12"/>
  <c r="R101" i="12"/>
  <c r="Q101" i="12"/>
  <c r="P101" i="12"/>
  <c r="O101" i="12"/>
  <c r="M101" i="12"/>
  <c r="C101" i="12"/>
  <c r="B101" i="12"/>
  <c r="T101" i="12" s="1"/>
  <c r="S100" i="12"/>
  <c r="R100" i="12"/>
  <c r="Q100" i="12"/>
  <c r="P100" i="12"/>
  <c r="O100" i="12"/>
  <c r="M100" i="12"/>
  <c r="C100" i="12"/>
  <c r="B100" i="12"/>
  <c r="T100" i="12" s="1"/>
  <c r="F517" i="11"/>
  <c r="A517" i="11"/>
  <c r="F516" i="11"/>
  <c r="A516" i="11"/>
  <c r="F515" i="11"/>
  <c r="A515" i="11"/>
  <c r="F514" i="11"/>
  <c r="A514" i="11"/>
  <c r="F513" i="11"/>
  <c r="A513" i="11"/>
  <c r="F512" i="11"/>
  <c r="A512" i="11"/>
  <c r="F511" i="11"/>
  <c r="A511" i="11"/>
  <c r="F510" i="11"/>
  <c r="A510" i="11"/>
  <c r="F509" i="11"/>
  <c r="A509" i="11"/>
  <c r="F508" i="11"/>
  <c r="A508" i="11"/>
  <c r="F507" i="11"/>
  <c r="A507" i="11"/>
  <c r="F506" i="11"/>
  <c r="A506" i="11"/>
  <c r="F505" i="11"/>
  <c r="A505" i="11"/>
  <c r="F504" i="11"/>
  <c r="A504" i="11"/>
  <c r="F503" i="11"/>
  <c r="A503" i="11"/>
  <c r="F502" i="11"/>
  <c r="A502" i="11"/>
  <c r="F501" i="11"/>
  <c r="A501" i="11"/>
  <c r="H270" i="11"/>
  <c r="F270" i="11"/>
  <c r="A270" i="11"/>
  <c r="P270" i="11" s="1"/>
  <c r="Q270" i="11" s="1"/>
  <c r="H269" i="11"/>
  <c r="A269" i="11"/>
  <c r="P269" i="11" s="1"/>
  <c r="Q269" i="11" s="1"/>
  <c r="H268" i="11"/>
  <c r="A268" i="11"/>
  <c r="P268" i="11" s="1"/>
  <c r="Q268" i="11" s="1"/>
  <c r="H267" i="11"/>
  <c r="F267" i="11"/>
  <c r="A267" i="11"/>
  <c r="P267" i="11" s="1"/>
  <c r="Q267" i="11" s="1"/>
  <c r="H266" i="11"/>
  <c r="A266" i="11"/>
  <c r="P266" i="11" s="1"/>
  <c r="Q266" i="11" s="1"/>
  <c r="H265" i="11"/>
  <c r="F265" i="11"/>
  <c r="A265" i="11"/>
  <c r="P265" i="11" s="1"/>
  <c r="Q265" i="11" s="1"/>
  <c r="Q264" i="11"/>
  <c r="H264" i="11"/>
  <c r="F264" i="11"/>
  <c r="A264" i="11"/>
  <c r="P264" i="11" s="1"/>
  <c r="H263" i="11"/>
  <c r="F263" i="11"/>
  <c r="A263" i="11"/>
  <c r="H262" i="11"/>
  <c r="A262" i="11"/>
  <c r="P262" i="11" s="1"/>
  <c r="Q262" i="11" s="1"/>
  <c r="H261" i="11"/>
  <c r="F261" i="11"/>
  <c r="A261" i="11"/>
  <c r="P261" i="11" s="1"/>
  <c r="Q261" i="11" s="1"/>
  <c r="H260" i="11"/>
  <c r="A260" i="11"/>
  <c r="P260" i="11" s="1"/>
  <c r="Q260" i="11" s="1"/>
  <c r="H259" i="11"/>
  <c r="A259" i="11"/>
  <c r="P259" i="11" s="1"/>
  <c r="Q259" i="11" s="1"/>
  <c r="P258" i="11"/>
  <c r="Q258" i="11" s="1"/>
  <c r="H258" i="11"/>
  <c r="A258" i="11"/>
  <c r="H257" i="11"/>
  <c r="F257" i="11"/>
  <c r="A257" i="11"/>
  <c r="P257" i="11" s="1"/>
  <c r="Q257" i="11" s="1"/>
  <c r="H256" i="11"/>
  <c r="A256" i="11"/>
  <c r="P256" i="11" s="1"/>
  <c r="Q256" i="11" s="1"/>
  <c r="H255" i="11"/>
  <c r="F255" i="11"/>
  <c r="A255" i="11"/>
  <c r="P255" i="11" s="1"/>
  <c r="Q255" i="11" s="1"/>
  <c r="H254" i="11"/>
  <c r="F254" i="11"/>
  <c r="A254" i="11"/>
  <c r="BB253" i="11"/>
  <c r="K208" i="11"/>
  <c r="I208" i="11"/>
  <c r="D208" i="11"/>
  <c r="K207" i="11"/>
  <c r="I207" i="11"/>
  <c r="D207" i="11"/>
  <c r="K206" i="11"/>
  <c r="I206" i="11"/>
  <c r="D206" i="11"/>
  <c r="K205" i="11"/>
  <c r="I205" i="11"/>
  <c r="D205" i="11"/>
  <c r="K204" i="11"/>
  <c r="I204" i="11"/>
  <c r="D204" i="11"/>
  <c r="K203" i="11"/>
  <c r="I203" i="11"/>
  <c r="D203" i="11"/>
  <c r="K202" i="11"/>
  <c r="I202" i="11"/>
  <c r="D202" i="11"/>
  <c r="K201" i="11"/>
  <c r="I201" i="11"/>
  <c r="D201" i="11"/>
  <c r="K200" i="11"/>
  <c r="I200" i="11"/>
  <c r="D200" i="11"/>
  <c r="K199" i="11"/>
  <c r="I199" i="11"/>
  <c r="D199" i="11"/>
  <c r="K198" i="11"/>
  <c r="I198" i="11"/>
  <c r="D198" i="11"/>
  <c r="K197" i="11"/>
  <c r="I197" i="11"/>
  <c r="D197" i="11"/>
  <c r="K196" i="11"/>
  <c r="I196" i="11"/>
  <c r="D196" i="11"/>
  <c r="K195" i="11"/>
  <c r="I195" i="11"/>
  <c r="D195" i="11"/>
  <c r="K194" i="11"/>
  <c r="I194" i="11"/>
  <c r="D194" i="11"/>
  <c r="K193" i="11"/>
  <c r="I193" i="11"/>
  <c r="D193" i="11"/>
  <c r="K192" i="11"/>
  <c r="I192" i="11"/>
  <c r="D192" i="11"/>
  <c r="K191" i="11"/>
  <c r="I191" i="11"/>
  <c r="D191" i="11"/>
  <c r="K190" i="11"/>
  <c r="I190" i="11"/>
  <c r="D190" i="11"/>
  <c r="K189" i="11"/>
  <c r="I189" i="11"/>
  <c r="D189" i="11"/>
  <c r="K188" i="11"/>
  <c r="I188" i="11"/>
  <c r="D188" i="11"/>
  <c r="K187" i="11"/>
  <c r="I187" i="11"/>
  <c r="D187" i="11"/>
  <c r="K186" i="11"/>
  <c r="I186" i="11"/>
  <c r="D186" i="11"/>
  <c r="K185" i="11"/>
  <c r="I185" i="11"/>
  <c r="D185" i="11"/>
  <c r="K184" i="11"/>
  <c r="I184" i="11"/>
  <c r="D184" i="11"/>
  <c r="K183" i="11"/>
  <c r="I183" i="11"/>
  <c r="D183" i="11"/>
  <c r="K182" i="11"/>
  <c r="I182" i="11"/>
  <c r="D182" i="11"/>
  <c r="K181" i="11"/>
  <c r="I181" i="11"/>
  <c r="D181" i="11"/>
  <c r="K180" i="11"/>
  <c r="I180" i="11"/>
  <c r="D180" i="11"/>
  <c r="K179" i="11"/>
  <c r="I179" i="11"/>
  <c r="D179" i="11"/>
  <c r="K178" i="11"/>
  <c r="I178" i="11"/>
  <c r="D178" i="11"/>
  <c r="K177" i="11"/>
  <c r="I177" i="11"/>
  <c r="D177" i="11"/>
  <c r="K176" i="11"/>
  <c r="I176" i="11"/>
  <c r="D176" i="11"/>
  <c r="K175" i="11"/>
  <c r="I175" i="11"/>
  <c r="D175" i="11"/>
  <c r="K174" i="11"/>
  <c r="I174" i="11"/>
  <c r="D174" i="11"/>
  <c r="K173" i="11"/>
  <c r="I173" i="11"/>
  <c r="D173" i="11"/>
  <c r="K172" i="11"/>
  <c r="I172" i="11"/>
  <c r="D172" i="11"/>
  <c r="K171" i="11"/>
  <c r="I171" i="11"/>
  <c r="D171" i="11"/>
  <c r="K170" i="11"/>
  <c r="I170" i="11"/>
  <c r="D170" i="11"/>
  <c r="K169" i="11"/>
  <c r="I169" i="11"/>
  <c r="D169" i="11"/>
  <c r="K168" i="11"/>
  <c r="I168" i="11"/>
  <c r="D168" i="11"/>
  <c r="K167" i="11"/>
  <c r="I167" i="11"/>
  <c r="D167" i="11"/>
  <c r="K166" i="11"/>
  <c r="I166" i="11"/>
  <c r="D166" i="11"/>
  <c r="K165" i="11"/>
  <c r="I165" i="11"/>
  <c r="D165" i="11"/>
  <c r="K164" i="11"/>
  <c r="I164" i="11"/>
  <c r="D164" i="11"/>
  <c r="K163" i="11"/>
  <c r="I163" i="11"/>
  <c r="D163" i="11"/>
  <c r="K162" i="11"/>
  <c r="I162" i="11"/>
  <c r="D162" i="11"/>
  <c r="K161" i="11"/>
  <c r="I161" i="11"/>
  <c r="D161" i="11"/>
  <c r="K160" i="11"/>
  <c r="I160" i="11"/>
  <c r="D160" i="11"/>
  <c r="K159" i="11"/>
  <c r="I159" i="11"/>
  <c r="D159" i="11"/>
  <c r="K158" i="11"/>
  <c r="I158" i="11"/>
  <c r="D158" i="11"/>
  <c r="K157" i="11"/>
  <c r="I157" i="11"/>
  <c r="D157" i="11"/>
  <c r="K156" i="11"/>
  <c r="I156" i="11"/>
  <c r="D156" i="11"/>
  <c r="K155" i="11"/>
  <c r="I155" i="11"/>
  <c r="D155" i="11"/>
  <c r="K154" i="11"/>
  <c r="I154" i="11"/>
  <c r="D154" i="11"/>
  <c r="K153" i="11"/>
  <c r="I153" i="11"/>
  <c r="D153" i="11"/>
  <c r="K152" i="11"/>
  <c r="I152" i="11"/>
  <c r="D152" i="11"/>
  <c r="K151" i="11"/>
  <c r="I151" i="11"/>
  <c r="D151" i="11"/>
  <c r="K150" i="11"/>
  <c r="I150" i="11"/>
  <c r="D150" i="11"/>
  <c r="K149" i="11"/>
  <c r="I149" i="11"/>
  <c r="D149" i="11"/>
  <c r="K148" i="11"/>
  <c r="I148" i="11"/>
  <c r="D148" i="11"/>
  <c r="K147" i="11"/>
  <c r="I147" i="11"/>
  <c r="D147" i="11"/>
  <c r="K146" i="11"/>
  <c r="I146" i="11"/>
  <c r="D146" i="11"/>
  <c r="K145" i="11"/>
  <c r="I145" i="11"/>
  <c r="D145" i="11"/>
  <c r="K144" i="11"/>
  <c r="I144" i="11"/>
  <c r="D144" i="11"/>
  <c r="K143" i="11"/>
  <c r="I143" i="11"/>
  <c r="D143" i="11"/>
  <c r="K142" i="11"/>
  <c r="I142" i="11"/>
  <c r="D142" i="11"/>
  <c r="K141" i="11"/>
  <c r="I141" i="11"/>
  <c r="D141" i="11"/>
  <c r="K140" i="11"/>
  <c r="I140" i="11"/>
  <c r="D140" i="11"/>
  <c r="K139" i="11"/>
  <c r="I139" i="11"/>
  <c r="D139" i="11"/>
  <c r="K138" i="11"/>
  <c r="I138" i="11"/>
  <c r="D138" i="11"/>
  <c r="K137" i="11"/>
  <c r="I137" i="11"/>
  <c r="D137" i="11"/>
  <c r="K136" i="11"/>
  <c r="I136" i="11"/>
  <c r="D136" i="11"/>
  <c r="K135" i="11"/>
  <c r="I135" i="11"/>
  <c r="D135" i="11"/>
  <c r="K134" i="11"/>
  <c r="I134" i="11"/>
  <c r="D134" i="11"/>
  <c r="K133" i="11"/>
  <c r="I133" i="11"/>
  <c r="D133" i="11"/>
  <c r="K132" i="11"/>
  <c r="I132" i="11"/>
  <c r="D132" i="11"/>
  <c r="K131" i="11"/>
  <c r="I131" i="11"/>
  <c r="D131" i="11"/>
  <c r="K130" i="11"/>
  <c r="I130" i="11"/>
  <c r="D130" i="11"/>
  <c r="K129" i="11"/>
  <c r="I129" i="11"/>
  <c r="D129" i="11"/>
  <c r="K128" i="11"/>
  <c r="I128" i="11"/>
  <c r="D128" i="11"/>
  <c r="K127" i="11"/>
  <c r="I127" i="11"/>
  <c r="D127" i="11"/>
  <c r="K126" i="11"/>
  <c r="I126" i="11"/>
  <c r="D126" i="11"/>
  <c r="K125" i="11"/>
  <c r="I125" i="11"/>
  <c r="D125" i="11"/>
  <c r="K124" i="11"/>
  <c r="I124" i="11"/>
  <c r="D124" i="11"/>
  <c r="K123" i="11"/>
  <c r="I123" i="11"/>
  <c r="D123" i="11"/>
  <c r="K122" i="11"/>
  <c r="I122" i="11"/>
  <c r="D122" i="11"/>
  <c r="K121" i="11"/>
  <c r="I121" i="11"/>
  <c r="D121" i="11"/>
  <c r="K120" i="11"/>
  <c r="I120" i="11"/>
  <c r="D120" i="11"/>
  <c r="K119" i="11"/>
  <c r="I119" i="11"/>
  <c r="D119" i="11"/>
  <c r="K118" i="11"/>
  <c r="I118" i="11"/>
  <c r="D118" i="11"/>
  <c r="K117" i="11"/>
  <c r="I117" i="11"/>
  <c r="D117" i="11"/>
  <c r="K116" i="11"/>
  <c r="I116" i="11"/>
  <c r="D116" i="11"/>
  <c r="K115" i="11"/>
  <c r="I115" i="11"/>
  <c r="D115" i="11"/>
  <c r="K114" i="11"/>
  <c r="I114" i="11"/>
  <c r="D114" i="11"/>
  <c r="K113" i="11"/>
  <c r="I113" i="11"/>
  <c r="D113" i="11"/>
  <c r="K112" i="11"/>
  <c r="I112" i="11"/>
  <c r="D112" i="11"/>
  <c r="K111" i="11"/>
  <c r="I111" i="11"/>
  <c r="D111" i="11"/>
  <c r="K110" i="11"/>
  <c r="I110" i="11"/>
  <c r="D110" i="11"/>
  <c r="K109" i="11"/>
  <c r="I109" i="11"/>
  <c r="D109" i="11"/>
  <c r="K108" i="11"/>
  <c r="I108" i="11"/>
  <c r="D108" i="11"/>
  <c r="K107" i="11"/>
  <c r="I107" i="11"/>
  <c r="D107" i="11"/>
  <c r="K106" i="11"/>
  <c r="I106" i="11"/>
  <c r="D106" i="11"/>
  <c r="K105" i="11"/>
  <c r="I105" i="11"/>
  <c r="D105" i="11"/>
  <c r="K104" i="11"/>
  <c r="I104" i="11"/>
  <c r="D104" i="11"/>
  <c r="K103" i="11"/>
  <c r="I103" i="11"/>
  <c r="D103" i="11"/>
  <c r="K102" i="11"/>
  <c r="I102" i="11"/>
  <c r="D102" i="11"/>
  <c r="K101" i="11"/>
  <c r="I101" i="11"/>
  <c r="D101" i="11"/>
  <c r="K100" i="11"/>
  <c r="I100" i="11"/>
  <c r="D100" i="11"/>
  <c r="K99" i="11"/>
  <c r="I99" i="11"/>
  <c r="D99" i="11"/>
  <c r="K98" i="11"/>
  <c r="I98" i="11"/>
  <c r="D98" i="11"/>
  <c r="K97" i="11"/>
  <c r="I97" i="11"/>
  <c r="D97" i="11"/>
  <c r="K96" i="11"/>
  <c r="I96" i="11"/>
  <c r="D96" i="11"/>
  <c r="K95" i="11"/>
  <c r="I95" i="11"/>
  <c r="D95" i="11"/>
  <c r="K94" i="11"/>
  <c r="I94" i="11"/>
  <c r="D94" i="11"/>
  <c r="K93" i="11"/>
  <c r="I93" i="11"/>
  <c r="D93" i="11"/>
  <c r="K92" i="11"/>
  <c r="I92" i="11"/>
  <c r="D92" i="11"/>
  <c r="K91" i="11"/>
  <c r="I91" i="11"/>
  <c r="D91" i="11"/>
  <c r="K90" i="11"/>
  <c r="I90" i="11"/>
  <c r="D90" i="11"/>
  <c r="K89" i="11"/>
  <c r="I89" i="11"/>
  <c r="D89" i="11"/>
  <c r="K88" i="11"/>
  <c r="I88" i="11"/>
  <c r="D88" i="11"/>
  <c r="K87" i="11"/>
  <c r="I87" i="11"/>
  <c r="D87" i="11"/>
  <c r="K86" i="11"/>
  <c r="I86" i="11"/>
  <c r="D86" i="11"/>
  <c r="K85" i="11"/>
  <c r="I85" i="11"/>
  <c r="D85" i="11"/>
  <c r="K84" i="11"/>
  <c r="I84" i="11"/>
  <c r="D84" i="11"/>
  <c r="K83" i="11"/>
  <c r="I83" i="11"/>
  <c r="D83" i="11"/>
  <c r="K82" i="11"/>
  <c r="I82" i="11"/>
  <c r="D82" i="11"/>
  <c r="K81" i="11"/>
  <c r="I81" i="11"/>
  <c r="D81" i="11"/>
  <c r="K80" i="11"/>
  <c r="I80" i="11"/>
  <c r="D80" i="11"/>
  <c r="K79" i="11"/>
  <c r="I79" i="11"/>
  <c r="D79" i="11"/>
  <c r="K78" i="11"/>
  <c r="I78" i="11"/>
  <c r="D78" i="11"/>
  <c r="K77" i="11"/>
  <c r="I77" i="11"/>
  <c r="D77" i="11"/>
  <c r="K76" i="11"/>
  <c r="I76" i="11"/>
  <c r="D76" i="11"/>
  <c r="K75" i="11"/>
  <c r="I75" i="11"/>
  <c r="D75" i="11"/>
  <c r="K74" i="11"/>
  <c r="I74" i="11"/>
  <c r="D74" i="11"/>
  <c r="K73" i="11"/>
  <c r="I73" i="11"/>
  <c r="D73" i="11"/>
  <c r="K72" i="11"/>
  <c r="I72" i="11"/>
  <c r="D72" i="11"/>
  <c r="K71" i="11"/>
  <c r="I71" i="11"/>
  <c r="D71" i="11"/>
  <c r="K70" i="11"/>
  <c r="I70" i="11"/>
  <c r="D70" i="11"/>
  <c r="K69" i="11"/>
  <c r="I69" i="11"/>
  <c r="D69" i="11"/>
  <c r="K68" i="11"/>
  <c r="I68" i="11"/>
  <c r="D68" i="11"/>
  <c r="K67" i="11"/>
  <c r="I67" i="11"/>
  <c r="D67" i="11"/>
  <c r="K66" i="11"/>
  <c r="I66" i="11"/>
  <c r="D66" i="11"/>
  <c r="K65" i="11"/>
  <c r="I65" i="11"/>
  <c r="D65" i="11"/>
  <c r="K64" i="11"/>
  <c r="I64" i="11"/>
  <c r="D64" i="11"/>
  <c r="K63" i="11"/>
  <c r="I63" i="11"/>
  <c r="D63" i="11"/>
  <c r="K62" i="11"/>
  <c r="I62" i="11"/>
  <c r="D62" i="11"/>
  <c r="K61" i="11"/>
  <c r="I61" i="11"/>
  <c r="D61" i="11"/>
  <c r="K60" i="11"/>
  <c r="I60" i="11"/>
  <c r="D60" i="11"/>
  <c r="K59" i="11"/>
  <c r="I59" i="11"/>
  <c r="D59" i="11"/>
  <c r="K58" i="11"/>
  <c r="I58" i="11"/>
  <c r="D58" i="11"/>
  <c r="K57" i="11"/>
  <c r="I57" i="11"/>
  <c r="D57" i="11"/>
  <c r="K56" i="11"/>
  <c r="I56" i="11"/>
  <c r="D56" i="11"/>
  <c r="K55" i="11"/>
  <c r="I55" i="11"/>
  <c r="D55" i="11"/>
  <c r="K54" i="11"/>
  <c r="I54" i="11"/>
  <c r="D54" i="11"/>
  <c r="K53" i="11"/>
  <c r="I53" i="11"/>
  <c r="D53" i="11"/>
  <c r="K52" i="11"/>
  <c r="I52" i="11"/>
  <c r="D52" i="11"/>
  <c r="K51" i="11"/>
  <c r="I51" i="11"/>
  <c r="D51" i="11"/>
  <c r="K50" i="11"/>
  <c r="I50" i="11"/>
  <c r="D50" i="11"/>
  <c r="K49" i="11"/>
  <c r="I49" i="11"/>
  <c r="D49" i="11"/>
  <c r="K48" i="11"/>
  <c r="I48" i="11"/>
  <c r="D48" i="11"/>
  <c r="K47" i="11"/>
  <c r="I47" i="11"/>
  <c r="D47" i="11"/>
  <c r="K46" i="11"/>
  <c r="I46" i="11"/>
  <c r="D46" i="11"/>
  <c r="K45" i="11"/>
  <c r="I45" i="11"/>
  <c r="D45" i="11"/>
  <c r="K44" i="11"/>
  <c r="I44" i="11"/>
  <c r="D44" i="11"/>
  <c r="K43" i="11"/>
  <c r="I43" i="11"/>
  <c r="D43" i="11"/>
  <c r="K42" i="11"/>
  <c r="I42" i="11"/>
  <c r="D42" i="11"/>
  <c r="K41" i="11"/>
  <c r="I41" i="11"/>
  <c r="D41" i="11"/>
  <c r="K40" i="11"/>
  <c r="I40" i="11"/>
  <c r="D40" i="11"/>
  <c r="K39" i="11"/>
  <c r="I39" i="11"/>
  <c r="D39" i="11"/>
  <c r="K38" i="11"/>
  <c r="I38" i="11"/>
  <c r="D38" i="11"/>
  <c r="K37" i="11"/>
  <c r="I37" i="11"/>
  <c r="D37" i="11"/>
  <c r="K36" i="11"/>
  <c r="I36" i="11"/>
  <c r="D36" i="11"/>
  <c r="K35" i="11"/>
  <c r="I35" i="11"/>
  <c r="D35" i="11"/>
  <c r="K34" i="11"/>
  <c r="I34" i="11"/>
  <c r="D34" i="11"/>
  <c r="K33" i="11"/>
  <c r="I33" i="11"/>
  <c r="D33" i="11"/>
  <c r="K32" i="11"/>
  <c r="I32" i="11"/>
  <c r="D32" i="11"/>
  <c r="K31" i="11"/>
  <c r="I31" i="11"/>
  <c r="D31" i="11"/>
  <c r="K30" i="11"/>
  <c r="I30" i="11"/>
  <c r="D30" i="11"/>
  <c r="K29" i="11"/>
  <c r="I29" i="11"/>
  <c r="D29" i="11"/>
  <c r="K28" i="11"/>
  <c r="I28" i="11"/>
  <c r="D28" i="11"/>
  <c r="K27" i="11"/>
  <c r="I27" i="11"/>
  <c r="D27" i="11"/>
  <c r="K26" i="11"/>
  <c r="I26" i="11"/>
  <c r="D26" i="11"/>
  <c r="K25" i="11"/>
  <c r="I25" i="11"/>
  <c r="D25" i="11"/>
  <c r="K24" i="11"/>
  <c r="I24" i="11"/>
  <c r="D24" i="11"/>
  <c r="K23" i="11"/>
  <c r="I23" i="11"/>
  <c r="D23" i="11"/>
  <c r="K22" i="11"/>
  <c r="I22" i="11"/>
  <c r="D22" i="11"/>
  <c r="K21" i="11"/>
  <c r="I21" i="11"/>
  <c r="D21" i="11"/>
  <c r="K20" i="11"/>
  <c r="I20" i="11"/>
  <c r="D20" i="11"/>
  <c r="K19" i="11"/>
  <c r="I19" i="11"/>
  <c r="D19" i="11"/>
  <c r="K18" i="11"/>
  <c r="I18" i="11"/>
  <c r="D18" i="11"/>
  <c r="K17" i="11"/>
  <c r="I17" i="11"/>
  <c r="D17" i="11"/>
  <c r="K16" i="11"/>
  <c r="I16" i="11"/>
  <c r="D16" i="11"/>
  <c r="K15" i="11"/>
  <c r="I15" i="11"/>
  <c r="D15" i="11"/>
  <c r="K14" i="11"/>
  <c r="I14" i="11"/>
  <c r="D14" i="11"/>
  <c r="K13" i="11"/>
  <c r="I13" i="11"/>
  <c r="D13" i="11"/>
  <c r="K12" i="11"/>
  <c r="I12" i="11"/>
  <c r="D12" i="11"/>
  <c r="K11" i="11"/>
  <c r="I11" i="11"/>
  <c r="D11" i="11"/>
  <c r="K10" i="11"/>
  <c r="I10" i="11"/>
  <c r="D10" i="11"/>
  <c r="K9" i="11"/>
  <c r="I9" i="11"/>
  <c r="D9" i="11"/>
  <c r="K8" i="11"/>
  <c r="I8" i="11"/>
  <c r="D8" i="11"/>
  <c r="K7" i="11"/>
  <c r="I7" i="11"/>
  <c r="D7" i="11"/>
  <c r="K6" i="11"/>
  <c r="I6" i="11"/>
  <c r="D6" i="11"/>
  <c r="K5" i="11"/>
  <c r="I5" i="11"/>
  <c r="D5" i="11"/>
  <c r="CN923" i="10"/>
  <c r="CM923" i="10"/>
  <c r="A425" i="34" s="1"/>
  <c r="BV923" i="10"/>
  <c r="I425" i="34" s="1"/>
  <c r="BT923" i="10"/>
  <c r="BO923" i="10"/>
  <c r="BN923" i="10"/>
  <c r="BM923" i="10"/>
  <c r="BL923" i="10"/>
  <c r="BK923" i="10"/>
  <c r="BJ923" i="10"/>
  <c r="AU923" i="10"/>
  <c r="AT923" i="10"/>
  <c r="X923" i="10"/>
  <c r="W923" i="10"/>
  <c r="V923" i="10"/>
  <c r="CN922" i="10"/>
  <c r="CM922" i="10"/>
  <c r="A424" i="34" s="1"/>
  <c r="BV922" i="10"/>
  <c r="I424" i="34" s="1"/>
  <c r="BT922" i="10"/>
  <c r="BO922" i="10"/>
  <c r="BN922" i="10"/>
  <c r="BM922" i="10"/>
  <c r="BL922" i="10"/>
  <c r="BK922" i="10"/>
  <c r="BJ922" i="10"/>
  <c r="AU922" i="10"/>
  <c r="AT922" i="10"/>
  <c r="X922" i="10"/>
  <c r="W922" i="10"/>
  <c r="V922" i="10"/>
  <c r="CN921" i="10"/>
  <c r="CM921" i="10"/>
  <c r="A423" i="34" s="1"/>
  <c r="BV921" i="10"/>
  <c r="I423" i="34" s="1"/>
  <c r="BT921" i="10"/>
  <c r="CO921" i="10" s="1"/>
  <c r="O423" i="34" s="1"/>
  <c r="BO921" i="10"/>
  <c r="BN921" i="10"/>
  <c r="BM921" i="10"/>
  <c r="BL921" i="10"/>
  <c r="BK921" i="10"/>
  <c r="BJ921" i="10"/>
  <c r="AU921" i="10"/>
  <c r="AT921" i="10"/>
  <c r="X921" i="10"/>
  <c r="W921" i="10"/>
  <c r="V921" i="10"/>
  <c r="CN920" i="10"/>
  <c r="CM920" i="10"/>
  <c r="A422" i="34" s="1"/>
  <c r="BV920" i="10"/>
  <c r="BT920" i="10"/>
  <c r="CO920" i="10" s="1"/>
  <c r="O422" i="34" s="1"/>
  <c r="BO920" i="10"/>
  <c r="BN920" i="10"/>
  <c r="BM920" i="10"/>
  <c r="BL920" i="10"/>
  <c r="BK920" i="10"/>
  <c r="BJ920" i="10"/>
  <c r="AU920" i="10"/>
  <c r="AT920" i="10"/>
  <c r="X920" i="10"/>
  <c r="W920" i="10"/>
  <c r="V920" i="10"/>
  <c r="CQ919" i="10"/>
  <c r="M421" i="34" s="1"/>
  <c r="CN919" i="10"/>
  <c r="CM919" i="10"/>
  <c r="A421" i="34" s="1"/>
  <c r="BV919" i="10"/>
  <c r="BT919" i="10"/>
  <c r="H421" i="34" s="1"/>
  <c r="BO919" i="10"/>
  <c r="BN919" i="10"/>
  <c r="BM919" i="10"/>
  <c r="BL919" i="10"/>
  <c r="BK919" i="10"/>
  <c r="BJ919" i="10"/>
  <c r="AU919" i="10"/>
  <c r="AT919" i="10"/>
  <c r="X919" i="10"/>
  <c r="W919" i="10"/>
  <c r="V919" i="10"/>
  <c r="CN918" i="10"/>
  <c r="CM918" i="10"/>
  <c r="A420" i="34" s="1"/>
  <c r="BV918" i="10"/>
  <c r="I420" i="34" s="1"/>
  <c r="BT918" i="10"/>
  <c r="BO918" i="10"/>
  <c r="BN918" i="10"/>
  <c r="BM918" i="10"/>
  <c r="BL918" i="10"/>
  <c r="BK918" i="10"/>
  <c r="BJ918" i="10"/>
  <c r="AU918" i="10"/>
  <c r="AT918" i="10"/>
  <c r="X918" i="10"/>
  <c r="W918" i="10"/>
  <c r="V918" i="10"/>
  <c r="CN917" i="10"/>
  <c r="CM917" i="10"/>
  <c r="A419" i="34" s="1"/>
  <c r="BV917" i="10"/>
  <c r="I419" i="34" s="1"/>
  <c r="BT917" i="10"/>
  <c r="BO917" i="10"/>
  <c r="BN917" i="10"/>
  <c r="BM917" i="10"/>
  <c r="BL917" i="10"/>
  <c r="BK917" i="10"/>
  <c r="BJ917" i="10"/>
  <c r="AU917" i="10"/>
  <c r="AT917" i="10"/>
  <c r="X917" i="10"/>
  <c r="W917" i="10"/>
  <c r="V917" i="10"/>
  <c r="CN916" i="10"/>
  <c r="CM916" i="10"/>
  <c r="A418" i="34" s="1"/>
  <c r="BV916" i="10"/>
  <c r="I418" i="34" s="1"/>
  <c r="BT916" i="10"/>
  <c r="BO916" i="10"/>
  <c r="BN916" i="10"/>
  <c r="BM916" i="10"/>
  <c r="BL916" i="10"/>
  <c r="BK916" i="10"/>
  <c r="BJ916" i="10"/>
  <c r="AU916" i="10"/>
  <c r="AT916" i="10"/>
  <c r="X916" i="10"/>
  <c r="W916" i="10"/>
  <c r="V916" i="10"/>
  <c r="CP915" i="10"/>
  <c r="CN915" i="10"/>
  <c r="CM915" i="10"/>
  <c r="A417" i="34" s="1"/>
  <c r="BV915" i="10"/>
  <c r="I417" i="34" s="1"/>
  <c r="BT915" i="10"/>
  <c r="BO915" i="10"/>
  <c r="BN915" i="10"/>
  <c r="BM915" i="10"/>
  <c r="BL915" i="10"/>
  <c r="BK915" i="10"/>
  <c r="BJ915" i="10"/>
  <c r="AU915" i="10"/>
  <c r="AT915" i="10"/>
  <c r="X915" i="10"/>
  <c r="W915" i="10"/>
  <c r="V915" i="10"/>
  <c r="CN914" i="10"/>
  <c r="CM914" i="10"/>
  <c r="A416" i="34" s="1"/>
  <c r="BV914" i="10"/>
  <c r="I416" i="34" s="1"/>
  <c r="BT914" i="10"/>
  <c r="BO914" i="10"/>
  <c r="BN914" i="10"/>
  <c r="BM914" i="10"/>
  <c r="BL914" i="10"/>
  <c r="BK914" i="10"/>
  <c r="BJ914" i="10"/>
  <c r="AU914" i="10"/>
  <c r="AT914" i="10"/>
  <c r="X914" i="10"/>
  <c r="W914" i="10"/>
  <c r="V914" i="10"/>
  <c r="CN913" i="10"/>
  <c r="CM913" i="10"/>
  <c r="A415" i="34" s="1"/>
  <c r="BV913" i="10"/>
  <c r="I415" i="34" s="1"/>
  <c r="BT913" i="10"/>
  <c r="BO913" i="10"/>
  <c r="BN913" i="10"/>
  <c r="BM913" i="10"/>
  <c r="BL913" i="10"/>
  <c r="BK913" i="10"/>
  <c r="BJ913" i="10"/>
  <c r="AU913" i="10"/>
  <c r="AT913" i="10"/>
  <c r="X913" i="10"/>
  <c r="W913" i="10"/>
  <c r="V913" i="10"/>
  <c r="CN912" i="10"/>
  <c r="CM912" i="10"/>
  <c r="A414" i="34" s="1"/>
  <c r="BV912" i="10"/>
  <c r="I414" i="34" s="1"/>
  <c r="BT912" i="10"/>
  <c r="CP912" i="10" s="1"/>
  <c r="BO912" i="10"/>
  <c r="BN912" i="10"/>
  <c r="BM912" i="10"/>
  <c r="BL912" i="10"/>
  <c r="BK912" i="10"/>
  <c r="BJ912" i="10"/>
  <c r="AU912" i="10"/>
  <c r="AT912" i="10"/>
  <c r="X912" i="10"/>
  <c r="W912" i="10"/>
  <c r="V912" i="10"/>
  <c r="CN911" i="10"/>
  <c r="CM911" i="10"/>
  <c r="A413" i="34" s="1"/>
  <c r="BV911" i="10"/>
  <c r="I413" i="34" s="1"/>
  <c r="BT911" i="10"/>
  <c r="BO911" i="10"/>
  <c r="BN911" i="10"/>
  <c r="BM911" i="10"/>
  <c r="BL911" i="10"/>
  <c r="BK911" i="10"/>
  <c r="BJ911" i="10"/>
  <c r="AU911" i="10"/>
  <c r="AT911" i="10"/>
  <c r="X911" i="10"/>
  <c r="W911" i="10"/>
  <c r="V911" i="10"/>
  <c r="CN910" i="10"/>
  <c r="CM910" i="10"/>
  <c r="A412" i="34" s="1"/>
  <c r="BV910" i="10"/>
  <c r="I412" i="34" s="1"/>
  <c r="BT910" i="10"/>
  <c r="BO910" i="10"/>
  <c r="BN910" i="10"/>
  <c r="BM910" i="10"/>
  <c r="BL910" i="10"/>
  <c r="BK910" i="10"/>
  <c r="BJ910" i="10"/>
  <c r="AU910" i="10"/>
  <c r="AT910" i="10"/>
  <c r="X910" i="10"/>
  <c r="W910" i="10"/>
  <c r="V910" i="10"/>
  <c r="CN909" i="10"/>
  <c r="CM909" i="10"/>
  <c r="A411" i="34" s="1"/>
  <c r="BV909" i="10"/>
  <c r="I411" i="34" s="1"/>
  <c r="BT909" i="10"/>
  <c r="BO909" i="10"/>
  <c r="BN909" i="10"/>
  <c r="BM909" i="10"/>
  <c r="BL909" i="10"/>
  <c r="BK909" i="10"/>
  <c r="BJ909" i="10"/>
  <c r="AU909" i="10"/>
  <c r="AT909" i="10"/>
  <c r="X909" i="10"/>
  <c r="W909" i="10"/>
  <c r="V909" i="10"/>
  <c r="CN908" i="10"/>
  <c r="CM908" i="10"/>
  <c r="A410" i="34" s="1"/>
  <c r="BV908" i="10"/>
  <c r="BT908" i="10"/>
  <c r="BO908" i="10"/>
  <c r="BN908" i="10"/>
  <c r="BM908" i="10"/>
  <c r="BL908" i="10"/>
  <c r="BK908" i="10"/>
  <c r="BJ908" i="10"/>
  <c r="AU908" i="10"/>
  <c r="AT908" i="10"/>
  <c r="X908" i="10"/>
  <c r="W908" i="10"/>
  <c r="V908" i="10"/>
  <c r="CN907" i="10"/>
  <c r="CM907" i="10"/>
  <c r="A409" i="34" s="1"/>
  <c r="BV907" i="10"/>
  <c r="I409" i="34" s="1"/>
  <c r="BT907" i="10"/>
  <c r="BO907" i="10"/>
  <c r="BN907" i="10"/>
  <c r="BM907" i="10"/>
  <c r="BL907" i="10"/>
  <c r="BK907" i="10"/>
  <c r="BJ907" i="10"/>
  <c r="AU907" i="10"/>
  <c r="AT907" i="10"/>
  <c r="X907" i="10"/>
  <c r="W907" i="10"/>
  <c r="V907" i="10"/>
  <c r="CN906" i="10"/>
  <c r="CM906" i="10"/>
  <c r="A408" i="34" s="1"/>
  <c r="BV906" i="10"/>
  <c r="I408" i="34" s="1"/>
  <c r="BT906" i="10"/>
  <c r="BO906" i="10"/>
  <c r="BN906" i="10"/>
  <c r="BM906" i="10"/>
  <c r="BL906" i="10"/>
  <c r="BK906" i="10"/>
  <c r="BJ906" i="10"/>
  <c r="AU906" i="10"/>
  <c r="AT906" i="10"/>
  <c r="X906" i="10"/>
  <c r="W906" i="10"/>
  <c r="V906" i="10"/>
  <c r="CQ905" i="10"/>
  <c r="M407" i="34" s="1"/>
  <c r="CP905" i="10"/>
  <c r="CN905" i="10"/>
  <c r="CM905" i="10"/>
  <c r="A407" i="34" s="1"/>
  <c r="BV905" i="10"/>
  <c r="BT905" i="10"/>
  <c r="CO905" i="10" s="1"/>
  <c r="O407" i="34" s="1"/>
  <c r="BO905" i="10"/>
  <c r="BN905" i="10"/>
  <c r="BM905" i="10"/>
  <c r="BL905" i="10"/>
  <c r="BK905" i="10"/>
  <c r="BJ905" i="10"/>
  <c r="AU905" i="10"/>
  <c r="AT905" i="10"/>
  <c r="X905" i="10"/>
  <c r="W905" i="10"/>
  <c r="V905" i="10"/>
  <c r="CN904" i="10"/>
  <c r="CM904" i="10"/>
  <c r="A406" i="34" s="1"/>
  <c r="BV904" i="10"/>
  <c r="I406" i="34" s="1"/>
  <c r="BT904" i="10"/>
  <c r="BO904" i="10"/>
  <c r="BN904" i="10"/>
  <c r="BM904" i="10"/>
  <c r="BL904" i="10"/>
  <c r="BK904" i="10"/>
  <c r="BJ904" i="10"/>
  <c r="AU904" i="10"/>
  <c r="AT904" i="10"/>
  <c r="X904" i="10"/>
  <c r="W904" i="10"/>
  <c r="V904" i="10"/>
  <c r="CN903" i="10"/>
  <c r="CM903" i="10"/>
  <c r="A405" i="34" s="1"/>
  <c r="BV903" i="10"/>
  <c r="I405" i="34" s="1"/>
  <c r="BT903" i="10"/>
  <c r="BO903" i="10"/>
  <c r="BN903" i="10"/>
  <c r="BM903" i="10"/>
  <c r="BL903" i="10"/>
  <c r="BK903" i="10"/>
  <c r="BJ903" i="10"/>
  <c r="AU903" i="10"/>
  <c r="AT903" i="10"/>
  <c r="X903" i="10"/>
  <c r="W903" i="10"/>
  <c r="V903" i="10"/>
  <c r="CN902" i="10"/>
  <c r="CM902" i="10"/>
  <c r="A404" i="34" s="1"/>
  <c r="BV902" i="10"/>
  <c r="I404" i="34" s="1"/>
  <c r="BT902" i="10"/>
  <c r="CQ902" i="10" s="1"/>
  <c r="M404" i="34" s="1"/>
  <c r="BO902" i="10"/>
  <c r="BN902" i="10"/>
  <c r="BM902" i="10"/>
  <c r="BL902" i="10"/>
  <c r="BK902" i="10"/>
  <c r="BJ902" i="10"/>
  <c r="AU902" i="10"/>
  <c r="AT902" i="10"/>
  <c r="X902" i="10"/>
  <c r="W902" i="10"/>
  <c r="V902" i="10"/>
  <c r="CN901" i="10"/>
  <c r="CM901" i="10"/>
  <c r="A403" i="34" s="1"/>
  <c r="BV901" i="10"/>
  <c r="I403" i="34" s="1"/>
  <c r="BT901" i="10"/>
  <c r="BO901" i="10"/>
  <c r="BN901" i="10"/>
  <c r="BM901" i="10"/>
  <c r="BL901" i="10"/>
  <c r="BK901" i="10"/>
  <c r="BJ901" i="10"/>
  <c r="AU901" i="10"/>
  <c r="AT901" i="10"/>
  <c r="X901" i="10"/>
  <c r="W901" i="10"/>
  <c r="V901" i="10"/>
  <c r="CN900" i="10"/>
  <c r="CM900" i="10"/>
  <c r="A402" i="34" s="1"/>
  <c r="BV900" i="10"/>
  <c r="BT900" i="10"/>
  <c r="CQ900" i="10" s="1"/>
  <c r="M402" i="34" s="1"/>
  <c r="BO900" i="10"/>
  <c r="BN900" i="10"/>
  <c r="BM900" i="10"/>
  <c r="BL900" i="10"/>
  <c r="BK900" i="10"/>
  <c r="BJ900" i="10"/>
  <c r="AU900" i="10"/>
  <c r="AT900" i="10"/>
  <c r="X900" i="10"/>
  <c r="W900" i="10"/>
  <c r="V900" i="10"/>
  <c r="CN899" i="10"/>
  <c r="CM899" i="10"/>
  <c r="A401" i="34" s="1"/>
  <c r="BV899" i="10"/>
  <c r="I401" i="34" s="1"/>
  <c r="BT899" i="10"/>
  <c r="H401" i="34" s="1"/>
  <c r="BO899" i="10"/>
  <c r="BN899" i="10"/>
  <c r="BM899" i="10"/>
  <c r="BL899" i="10"/>
  <c r="BK899" i="10"/>
  <c r="BJ899" i="10"/>
  <c r="AU899" i="10"/>
  <c r="AT899" i="10"/>
  <c r="X899" i="10"/>
  <c r="W899" i="10"/>
  <c r="V899" i="10"/>
  <c r="CN898" i="10"/>
  <c r="CM898" i="10"/>
  <c r="A400" i="34" s="1"/>
  <c r="BV898" i="10"/>
  <c r="I400" i="34" s="1"/>
  <c r="BT898" i="10"/>
  <c r="BO898" i="10"/>
  <c r="BN898" i="10"/>
  <c r="BM898" i="10"/>
  <c r="BL898" i="10"/>
  <c r="BK898" i="10"/>
  <c r="BJ898" i="10"/>
  <c r="AU898" i="10"/>
  <c r="AT898" i="10"/>
  <c r="X898" i="10"/>
  <c r="W898" i="10"/>
  <c r="V898" i="10"/>
  <c r="CN897" i="10"/>
  <c r="CM897" i="10"/>
  <c r="A399" i="34" s="1"/>
  <c r="BV897" i="10"/>
  <c r="BT897" i="10"/>
  <c r="BO897" i="10"/>
  <c r="BN897" i="10"/>
  <c r="BM897" i="10"/>
  <c r="BL897" i="10"/>
  <c r="BK897" i="10"/>
  <c r="BJ897" i="10"/>
  <c r="AU897" i="10"/>
  <c r="AT897" i="10"/>
  <c r="X897" i="10"/>
  <c r="W897" i="10"/>
  <c r="V897" i="10"/>
  <c r="CN896" i="10"/>
  <c r="CM896" i="10"/>
  <c r="A398" i="34" s="1"/>
  <c r="BV896" i="10"/>
  <c r="BT896" i="10"/>
  <c r="BO896" i="10"/>
  <c r="BN896" i="10"/>
  <c r="BM896" i="10"/>
  <c r="BL896" i="10"/>
  <c r="BK896" i="10"/>
  <c r="BJ896" i="10"/>
  <c r="AU896" i="10"/>
  <c r="AT896" i="10"/>
  <c r="X896" i="10"/>
  <c r="W896" i="10"/>
  <c r="V896" i="10"/>
  <c r="CN895" i="10"/>
  <c r="CM895" i="10"/>
  <c r="A397" i="34" s="1"/>
  <c r="BV895" i="10"/>
  <c r="I397" i="34" s="1"/>
  <c r="BT895" i="10"/>
  <c r="CQ895" i="10" s="1"/>
  <c r="M397" i="34" s="1"/>
  <c r="BO895" i="10"/>
  <c r="BN895" i="10"/>
  <c r="BM895" i="10"/>
  <c r="BL895" i="10"/>
  <c r="BK895" i="10"/>
  <c r="BJ895" i="10"/>
  <c r="AU895" i="10"/>
  <c r="AT895" i="10"/>
  <c r="X895" i="10"/>
  <c r="W895" i="10"/>
  <c r="V895" i="10"/>
  <c r="CN894" i="10"/>
  <c r="CM894" i="10"/>
  <c r="A396" i="34" s="1"/>
  <c r="BV894" i="10"/>
  <c r="I396" i="34" s="1"/>
  <c r="BT894" i="10"/>
  <c r="BO894" i="10"/>
  <c r="BN894" i="10"/>
  <c r="BM894" i="10"/>
  <c r="BL894" i="10"/>
  <c r="BK894" i="10"/>
  <c r="BJ894" i="10"/>
  <c r="AU894" i="10"/>
  <c r="AT894" i="10"/>
  <c r="X894" i="10"/>
  <c r="W894" i="10"/>
  <c r="V894" i="10"/>
  <c r="CN893" i="10"/>
  <c r="CM893" i="10"/>
  <c r="A395" i="34" s="1"/>
  <c r="BV893" i="10"/>
  <c r="I395" i="34" s="1"/>
  <c r="BT893" i="10"/>
  <c r="BO893" i="10"/>
  <c r="BN893" i="10"/>
  <c r="BM893" i="10"/>
  <c r="BL893" i="10"/>
  <c r="BK893" i="10"/>
  <c r="BJ893" i="10"/>
  <c r="AU893" i="10"/>
  <c r="AT893" i="10"/>
  <c r="X893" i="10"/>
  <c r="W893" i="10"/>
  <c r="V893" i="10"/>
  <c r="CN892" i="10"/>
  <c r="CM892" i="10"/>
  <c r="A394" i="34" s="1"/>
  <c r="BV892" i="10"/>
  <c r="I394" i="34" s="1"/>
  <c r="BT892" i="10"/>
  <c r="BO892" i="10"/>
  <c r="BN892" i="10"/>
  <c r="BM892" i="10"/>
  <c r="BL892" i="10"/>
  <c r="BK892" i="10"/>
  <c r="BJ892" i="10"/>
  <c r="AU892" i="10"/>
  <c r="AT892" i="10"/>
  <c r="X892" i="10"/>
  <c r="W892" i="10"/>
  <c r="V892" i="10"/>
  <c r="CO891" i="10"/>
  <c r="O393" i="34" s="1"/>
  <c r="CN891" i="10"/>
  <c r="CM891" i="10"/>
  <c r="A393" i="34" s="1"/>
  <c r="BV891" i="10"/>
  <c r="BT891" i="10"/>
  <c r="CQ891" i="10" s="1"/>
  <c r="M393" i="34" s="1"/>
  <c r="BO891" i="10"/>
  <c r="BN891" i="10"/>
  <c r="BM891" i="10"/>
  <c r="BL891" i="10"/>
  <c r="BK891" i="10"/>
  <c r="BJ891" i="10"/>
  <c r="AU891" i="10"/>
  <c r="AT891" i="10"/>
  <c r="X891" i="10"/>
  <c r="W891" i="10"/>
  <c r="V891" i="10"/>
  <c r="CN890" i="10"/>
  <c r="CM890" i="10"/>
  <c r="A392" i="34" s="1"/>
  <c r="BV890" i="10"/>
  <c r="I392" i="34" s="1"/>
  <c r="BT890" i="10"/>
  <c r="BO890" i="10"/>
  <c r="BN890" i="10"/>
  <c r="BM890" i="10"/>
  <c r="BL890" i="10"/>
  <c r="BK890" i="10"/>
  <c r="BJ890" i="10"/>
  <c r="AU890" i="10"/>
  <c r="AT890" i="10"/>
  <c r="X890" i="10"/>
  <c r="W890" i="10"/>
  <c r="V890" i="10"/>
  <c r="CN889" i="10"/>
  <c r="CM889" i="10"/>
  <c r="A391" i="34" s="1"/>
  <c r="BV889" i="10"/>
  <c r="I391" i="34" s="1"/>
  <c r="BT889" i="10"/>
  <c r="BO889" i="10"/>
  <c r="BN889" i="10"/>
  <c r="BM889" i="10"/>
  <c r="BL889" i="10"/>
  <c r="BK889" i="10"/>
  <c r="BJ889" i="10"/>
  <c r="AU889" i="10"/>
  <c r="AT889" i="10"/>
  <c r="X889" i="10"/>
  <c r="W889" i="10"/>
  <c r="V889" i="10"/>
  <c r="CN888" i="10"/>
  <c r="CM888" i="10"/>
  <c r="A390" i="34" s="1"/>
  <c r="BV888" i="10"/>
  <c r="I390" i="34" s="1"/>
  <c r="BT888" i="10"/>
  <c r="BO888" i="10"/>
  <c r="BN888" i="10"/>
  <c r="BM888" i="10"/>
  <c r="BL888" i="10"/>
  <c r="BK888" i="10"/>
  <c r="BJ888" i="10"/>
  <c r="AU888" i="10"/>
  <c r="AT888" i="10"/>
  <c r="X888" i="10"/>
  <c r="W888" i="10"/>
  <c r="V888" i="10"/>
  <c r="CN887" i="10"/>
  <c r="CM887" i="10"/>
  <c r="A389" i="34" s="1"/>
  <c r="BV887" i="10"/>
  <c r="I389" i="34" s="1"/>
  <c r="BT887" i="10"/>
  <c r="BO887" i="10"/>
  <c r="BN887" i="10"/>
  <c r="BM887" i="10"/>
  <c r="BL887" i="10"/>
  <c r="BK887" i="10"/>
  <c r="BJ887" i="10"/>
  <c r="AU887" i="10"/>
  <c r="AT887" i="10"/>
  <c r="X887" i="10"/>
  <c r="W887" i="10"/>
  <c r="V887" i="10"/>
  <c r="CN886" i="10"/>
  <c r="CM886" i="10"/>
  <c r="A388" i="34" s="1"/>
  <c r="BV886" i="10"/>
  <c r="BT886" i="10"/>
  <c r="H388" i="34" s="1"/>
  <c r="BO886" i="10"/>
  <c r="BN886" i="10"/>
  <c r="BM886" i="10"/>
  <c r="BL886" i="10"/>
  <c r="BK886" i="10"/>
  <c r="BJ886" i="10"/>
  <c r="AU886" i="10"/>
  <c r="AT886" i="10"/>
  <c r="X886" i="10"/>
  <c r="W886" i="10"/>
  <c r="V886" i="10"/>
  <c r="CN885" i="10"/>
  <c r="CM885" i="10"/>
  <c r="A387" i="34" s="1"/>
  <c r="BV885" i="10"/>
  <c r="I387" i="34" s="1"/>
  <c r="BT885" i="10"/>
  <c r="BO885" i="10"/>
  <c r="BN885" i="10"/>
  <c r="BM885" i="10"/>
  <c r="BL885" i="10"/>
  <c r="BK885" i="10"/>
  <c r="BJ885" i="10"/>
  <c r="AU885" i="10"/>
  <c r="AT885" i="10"/>
  <c r="X885" i="10"/>
  <c r="W885" i="10"/>
  <c r="V885" i="10"/>
  <c r="CN884" i="10"/>
  <c r="CM884" i="10"/>
  <c r="A386" i="34" s="1"/>
  <c r="BV884" i="10"/>
  <c r="I386" i="34" s="1"/>
  <c r="BT884" i="10"/>
  <c r="BO884" i="10"/>
  <c r="BN884" i="10"/>
  <c r="BM884" i="10"/>
  <c r="BL884" i="10"/>
  <c r="BK884" i="10"/>
  <c r="BJ884" i="10"/>
  <c r="AU884" i="10"/>
  <c r="AT884" i="10"/>
  <c r="X884" i="10"/>
  <c r="W884" i="10"/>
  <c r="V884" i="10"/>
  <c r="CN883" i="10"/>
  <c r="CM883" i="10"/>
  <c r="A385" i="34" s="1"/>
  <c r="BV883" i="10"/>
  <c r="BT883" i="10"/>
  <c r="BO883" i="10"/>
  <c r="BN883" i="10"/>
  <c r="BM883" i="10"/>
  <c r="BL883" i="10"/>
  <c r="BK883" i="10"/>
  <c r="BJ883" i="10"/>
  <c r="AU883" i="10"/>
  <c r="AT883" i="10"/>
  <c r="X883" i="10"/>
  <c r="W883" i="10"/>
  <c r="V883" i="10"/>
  <c r="CN882" i="10"/>
  <c r="CM882" i="10"/>
  <c r="A384" i="34" s="1"/>
  <c r="BV882" i="10"/>
  <c r="I384" i="34" s="1"/>
  <c r="BT882" i="10"/>
  <c r="CP882" i="10" s="1"/>
  <c r="BO882" i="10"/>
  <c r="BN882" i="10"/>
  <c r="BM882" i="10"/>
  <c r="BL882" i="10"/>
  <c r="BK882" i="10"/>
  <c r="BJ882" i="10"/>
  <c r="AU882" i="10"/>
  <c r="AT882" i="10"/>
  <c r="X882" i="10"/>
  <c r="W882" i="10"/>
  <c r="V882" i="10"/>
  <c r="CO881" i="10"/>
  <c r="O383" i="34" s="1"/>
  <c r="CN881" i="10"/>
  <c r="CM881" i="10"/>
  <c r="A383" i="34" s="1"/>
  <c r="BV881" i="10"/>
  <c r="I383" i="34" s="1"/>
  <c r="BT881" i="10"/>
  <c r="CP881" i="10" s="1"/>
  <c r="BO881" i="10"/>
  <c r="BN881" i="10"/>
  <c r="BM881" i="10"/>
  <c r="BL881" i="10"/>
  <c r="BK881" i="10"/>
  <c r="BJ881" i="10"/>
  <c r="AU881" i="10"/>
  <c r="AT881" i="10"/>
  <c r="X881" i="10"/>
  <c r="W881" i="10"/>
  <c r="V881" i="10"/>
  <c r="CN880" i="10"/>
  <c r="CM880" i="10"/>
  <c r="A382" i="34" s="1"/>
  <c r="BV880" i="10"/>
  <c r="I382" i="34" s="1"/>
  <c r="BT880" i="10"/>
  <c r="BO880" i="10"/>
  <c r="BN880" i="10"/>
  <c r="BM880" i="10"/>
  <c r="BL880" i="10"/>
  <c r="BK880" i="10"/>
  <c r="BJ880" i="10"/>
  <c r="AU880" i="10"/>
  <c r="AT880" i="10"/>
  <c r="X880" i="10"/>
  <c r="W880" i="10"/>
  <c r="V880" i="10"/>
  <c r="CN879" i="10"/>
  <c r="CM879" i="10"/>
  <c r="A381" i="34" s="1"/>
  <c r="BV879" i="10"/>
  <c r="I381" i="34" s="1"/>
  <c r="BT879" i="10"/>
  <c r="CQ879" i="10" s="1"/>
  <c r="M381" i="34" s="1"/>
  <c r="BO879" i="10"/>
  <c r="BN879" i="10"/>
  <c r="BM879" i="10"/>
  <c r="BL879" i="10"/>
  <c r="BK879" i="10"/>
  <c r="BJ879" i="10"/>
  <c r="AU879" i="10"/>
  <c r="AT879" i="10"/>
  <c r="X879" i="10"/>
  <c r="W879" i="10"/>
  <c r="V879" i="10"/>
  <c r="CN878" i="10"/>
  <c r="CM878" i="10"/>
  <c r="A380" i="34" s="1"/>
  <c r="BV878" i="10"/>
  <c r="I380" i="34" s="1"/>
  <c r="BT878" i="10"/>
  <c r="CP878" i="10" s="1"/>
  <c r="BO878" i="10"/>
  <c r="BN878" i="10"/>
  <c r="BM878" i="10"/>
  <c r="BL878" i="10"/>
  <c r="BK878" i="10"/>
  <c r="BJ878" i="10"/>
  <c r="AU878" i="10"/>
  <c r="AT878" i="10"/>
  <c r="X878" i="10"/>
  <c r="W878" i="10"/>
  <c r="V878" i="10"/>
  <c r="CO877" i="10"/>
  <c r="O379" i="34" s="1"/>
  <c r="CN877" i="10"/>
  <c r="CM877" i="10"/>
  <c r="A379" i="34" s="1"/>
  <c r="BV877" i="10"/>
  <c r="I379" i="34" s="1"/>
  <c r="BT877" i="10"/>
  <c r="H379" i="34" s="1"/>
  <c r="BO877" i="10"/>
  <c r="BN877" i="10"/>
  <c r="BM877" i="10"/>
  <c r="BL877" i="10"/>
  <c r="BK877" i="10"/>
  <c r="BJ877" i="10"/>
  <c r="AU877" i="10"/>
  <c r="AT877" i="10"/>
  <c r="X877" i="10"/>
  <c r="W877" i="10"/>
  <c r="V877" i="10"/>
  <c r="CN876" i="10"/>
  <c r="CM876" i="10"/>
  <c r="A378" i="34" s="1"/>
  <c r="BV876" i="10"/>
  <c r="I378" i="34" s="1"/>
  <c r="BT876" i="10"/>
  <c r="BO876" i="10"/>
  <c r="BN876" i="10"/>
  <c r="BM876" i="10"/>
  <c r="BL876" i="10"/>
  <c r="BK876" i="10"/>
  <c r="BJ876" i="10"/>
  <c r="AU876" i="10"/>
  <c r="AT876" i="10"/>
  <c r="X876" i="10"/>
  <c r="W876" i="10"/>
  <c r="V876" i="10"/>
  <c r="CN875" i="10"/>
  <c r="CM875" i="10"/>
  <c r="A377" i="34" s="1"/>
  <c r="BV875" i="10"/>
  <c r="I377" i="34" s="1"/>
  <c r="BT875" i="10"/>
  <c r="H377" i="34" s="1"/>
  <c r="BO875" i="10"/>
  <c r="BN875" i="10"/>
  <c r="BM875" i="10"/>
  <c r="BL875" i="10"/>
  <c r="BK875" i="10"/>
  <c r="BJ875" i="10"/>
  <c r="AU875" i="10"/>
  <c r="AT875" i="10"/>
  <c r="X875" i="10"/>
  <c r="W875" i="10"/>
  <c r="V875" i="10"/>
  <c r="CN874" i="10"/>
  <c r="CM874" i="10"/>
  <c r="A376" i="34" s="1"/>
  <c r="BV874" i="10"/>
  <c r="I376" i="34" s="1"/>
  <c r="BT874" i="10"/>
  <c r="CQ874" i="10" s="1"/>
  <c r="M376" i="34" s="1"/>
  <c r="BO874" i="10"/>
  <c r="BN874" i="10"/>
  <c r="BM874" i="10"/>
  <c r="BL874" i="10"/>
  <c r="BK874" i="10"/>
  <c r="BJ874" i="10"/>
  <c r="AU874" i="10"/>
  <c r="AT874" i="10"/>
  <c r="X874" i="10"/>
  <c r="W874" i="10"/>
  <c r="V874" i="10"/>
  <c r="CO873" i="10"/>
  <c r="O375" i="34" s="1"/>
  <c r="CN873" i="10"/>
  <c r="CM873" i="10"/>
  <c r="A375" i="34" s="1"/>
  <c r="BV873" i="10"/>
  <c r="I375" i="34" s="1"/>
  <c r="BT873" i="10"/>
  <c r="BO873" i="10"/>
  <c r="BN873" i="10"/>
  <c r="BM873" i="10"/>
  <c r="BL873" i="10"/>
  <c r="BK873" i="10"/>
  <c r="BJ873" i="10"/>
  <c r="AU873" i="10"/>
  <c r="AT873" i="10"/>
  <c r="X873" i="10"/>
  <c r="W873" i="10"/>
  <c r="V873" i="10"/>
  <c r="CN872" i="10"/>
  <c r="CM872" i="10"/>
  <c r="A374" i="34" s="1"/>
  <c r="BV872" i="10"/>
  <c r="I374" i="34" s="1"/>
  <c r="BT872" i="10"/>
  <c r="BO872" i="10"/>
  <c r="BN872" i="10"/>
  <c r="BM872" i="10"/>
  <c r="BL872" i="10"/>
  <c r="BK872" i="10"/>
  <c r="BJ872" i="10"/>
  <c r="AU872" i="10"/>
  <c r="AT872" i="10"/>
  <c r="X872" i="10"/>
  <c r="W872" i="10"/>
  <c r="V872" i="10"/>
  <c r="CN871" i="10"/>
  <c r="CM871" i="10"/>
  <c r="A373" i="34" s="1"/>
  <c r="BV871" i="10"/>
  <c r="I373" i="34" s="1"/>
  <c r="BT871" i="10"/>
  <c r="BO871" i="10"/>
  <c r="BN871" i="10"/>
  <c r="BM871" i="10"/>
  <c r="BL871" i="10"/>
  <c r="BK871" i="10"/>
  <c r="BJ871" i="10"/>
  <c r="AU871" i="10"/>
  <c r="AT871" i="10"/>
  <c r="X871" i="10"/>
  <c r="W871" i="10"/>
  <c r="V871" i="10"/>
  <c r="CN870" i="10"/>
  <c r="CM870" i="10"/>
  <c r="A372" i="34" s="1"/>
  <c r="BV870" i="10"/>
  <c r="I372" i="34" s="1"/>
  <c r="BT870" i="10"/>
  <c r="BO870" i="10"/>
  <c r="BN870" i="10"/>
  <c r="BM870" i="10"/>
  <c r="BL870" i="10"/>
  <c r="BK870" i="10"/>
  <c r="BJ870" i="10"/>
  <c r="AU870" i="10"/>
  <c r="AT870" i="10"/>
  <c r="X870" i="10"/>
  <c r="W870" i="10"/>
  <c r="V870" i="10"/>
  <c r="CN869" i="10"/>
  <c r="CM869" i="10"/>
  <c r="A371" i="34" s="1"/>
  <c r="BV869" i="10"/>
  <c r="I371" i="34" s="1"/>
  <c r="BT869" i="10"/>
  <c r="CO869" i="10" s="1"/>
  <c r="O371" i="34" s="1"/>
  <c r="BO869" i="10"/>
  <c r="BN869" i="10"/>
  <c r="BM869" i="10"/>
  <c r="BL869" i="10"/>
  <c r="BK869" i="10"/>
  <c r="BJ869" i="10"/>
  <c r="AU869" i="10"/>
  <c r="AT869" i="10"/>
  <c r="X869" i="10"/>
  <c r="W869" i="10"/>
  <c r="V869" i="10"/>
  <c r="CN868" i="10"/>
  <c r="CM868" i="10"/>
  <c r="A370" i="34" s="1"/>
  <c r="BV868" i="10"/>
  <c r="I370" i="34" s="1"/>
  <c r="BT868" i="10"/>
  <c r="BO868" i="10"/>
  <c r="BN868" i="10"/>
  <c r="BM868" i="10"/>
  <c r="BL868" i="10"/>
  <c r="BK868" i="10"/>
  <c r="BJ868" i="10"/>
  <c r="AU868" i="10"/>
  <c r="AT868" i="10"/>
  <c r="X868" i="10"/>
  <c r="W868" i="10"/>
  <c r="V868" i="10"/>
  <c r="CN867" i="10"/>
  <c r="CM867" i="10"/>
  <c r="A369" i="34" s="1"/>
  <c r="BV867" i="10"/>
  <c r="I369" i="34" s="1"/>
  <c r="BT867" i="10"/>
  <c r="BO867" i="10"/>
  <c r="BN867" i="10"/>
  <c r="BM867" i="10"/>
  <c r="BL867" i="10"/>
  <c r="BK867" i="10"/>
  <c r="BJ867" i="10"/>
  <c r="AU867" i="10"/>
  <c r="AT867" i="10"/>
  <c r="X867" i="10"/>
  <c r="W867" i="10"/>
  <c r="V867" i="10"/>
  <c r="CN866" i="10"/>
  <c r="CM866" i="10"/>
  <c r="A368" i="34" s="1"/>
  <c r="BV866" i="10"/>
  <c r="I368" i="34" s="1"/>
  <c r="BT866" i="10"/>
  <c r="BO866" i="10"/>
  <c r="BN866" i="10"/>
  <c r="BM866" i="10"/>
  <c r="BL866" i="10"/>
  <c r="BK866" i="10"/>
  <c r="BJ866" i="10"/>
  <c r="AU866" i="10"/>
  <c r="AT866" i="10"/>
  <c r="X866" i="10"/>
  <c r="W866" i="10"/>
  <c r="V866" i="10"/>
  <c r="CN865" i="10"/>
  <c r="CM865" i="10"/>
  <c r="A367" i="34" s="1"/>
  <c r="BV865" i="10"/>
  <c r="I367" i="34" s="1"/>
  <c r="BT865" i="10"/>
  <c r="CQ865" i="10" s="1"/>
  <c r="M367" i="34" s="1"/>
  <c r="BO865" i="10"/>
  <c r="BN865" i="10"/>
  <c r="BM865" i="10"/>
  <c r="BL865" i="10"/>
  <c r="BK865" i="10"/>
  <c r="BJ865" i="10"/>
  <c r="AU865" i="10"/>
  <c r="AT865" i="10"/>
  <c r="X865" i="10"/>
  <c r="W865" i="10"/>
  <c r="V865" i="10"/>
  <c r="CN864" i="10"/>
  <c r="CM864" i="10"/>
  <c r="A366" i="34" s="1"/>
  <c r="BV864" i="10"/>
  <c r="BT864" i="10"/>
  <c r="BO864" i="10"/>
  <c r="BN864" i="10"/>
  <c r="BM864" i="10"/>
  <c r="BL864" i="10"/>
  <c r="BK864" i="10"/>
  <c r="BJ864" i="10"/>
  <c r="AU864" i="10"/>
  <c r="AT864" i="10"/>
  <c r="X864" i="10"/>
  <c r="W864" i="10"/>
  <c r="V864" i="10"/>
  <c r="CN863" i="10"/>
  <c r="CM863" i="10"/>
  <c r="A365" i="34" s="1"/>
  <c r="BV863" i="10"/>
  <c r="I365" i="34" s="1"/>
  <c r="BT863" i="10"/>
  <c r="CQ863" i="10" s="1"/>
  <c r="M365" i="34" s="1"/>
  <c r="BO863" i="10"/>
  <c r="BN863" i="10"/>
  <c r="BM863" i="10"/>
  <c r="BL863" i="10"/>
  <c r="BK863" i="10"/>
  <c r="BJ863" i="10"/>
  <c r="AU863" i="10"/>
  <c r="AT863" i="10"/>
  <c r="X863" i="10"/>
  <c r="W863" i="10"/>
  <c r="V863" i="10"/>
  <c r="CN862" i="10"/>
  <c r="CM862" i="10"/>
  <c r="A364" i="34" s="1"/>
  <c r="BV862" i="10"/>
  <c r="I364" i="34" s="1"/>
  <c r="BT862" i="10"/>
  <c r="CO862" i="10" s="1"/>
  <c r="O364" i="34" s="1"/>
  <c r="BO862" i="10"/>
  <c r="BN862" i="10"/>
  <c r="BM862" i="10"/>
  <c r="BL862" i="10"/>
  <c r="BK862" i="10"/>
  <c r="BJ862" i="10"/>
  <c r="AU862" i="10"/>
  <c r="AT862" i="10"/>
  <c r="X862" i="10"/>
  <c r="W862" i="10"/>
  <c r="V862" i="10"/>
  <c r="CQ861" i="10"/>
  <c r="M363" i="34" s="1"/>
  <c r="CN861" i="10"/>
  <c r="CM861" i="10"/>
  <c r="A363" i="34" s="1"/>
  <c r="BV861" i="10"/>
  <c r="I363" i="34" s="1"/>
  <c r="BT861" i="10"/>
  <c r="BO861" i="10"/>
  <c r="BN861" i="10"/>
  <c r="BM861" i="10"/>
  <c r="BL861" i="10"/>
  <c r="BK861" i="10"/>
  <c r="BJ861" i="10"/>
  <c r="AU861" i="10"/>
  <c r="AT861" i="10"/>
  <c r="X861" i="10"/>
  <c r="W861" i="10"/>
  <c r="V861" i="10"/>
  <c r="CN860" i="10"/>
  <c r="CM860" i="10"/>
  <c r="A362" i="34" s="1"/>
  <c r="BV860" i="10"/>
  <c r="I362" i="34" s="1"/>
  <c r="BT860" i="10"/>
  <c r="CQ860" i="10" s="1"/>
  <c r="M362" i="34" s="1"/>
  <c r="BO860" i="10"/>
  <c r="BN860" i="10"/>
  <c r="BM860" i="10"/>
  <c r="BL860" i="10"/>
  <c r="BK860" i="10"/>
  <c r="BJ860" i="10"/>
  <c r="AU860" i="10"/>
  <c r="AT860" i="10"/>
  <c r="X860" i="10"/>
  <c r="W860" i="10"/>
  <c r="V860" i="10"/>
  <c r="CN859" i="10"/>
  <c r="CM859" i="10"/>
  <c r="A361" i="34" s="1"/>
  <c r="BV859" i="10"/>
  <c r="I361" i="34" s="1"/>
  <c r="BT859" i="10"/>
  <c r="BO859" i="10"/>
  <c r="BN859" i="10"/>
  <c r="BM859" i="10"/>
  <c r="BL859" i="10"/>
  <c r="BK859" i="10"/>
  <c r="BJ859" i="10"/>
  <c r="AU859" i="10"/>
  <c r="AT859" i="10"/>
  <c r="X859" i="10"/>
  <c r="W859" i="10"/>
  <c r="V859" i="10"/>
  <c r="CN858" i="10"/>
  <c r="CM858" i="10"/>
  <c r="A360" i="34" s="1"/>
  <c r="BV858" i="10"/>
  <c r="BT858" i="10"/>
  <c r="CQ858" i="10" s="1"/>
  <c r="M360" i="34" s="1"/>
  <c r="BO858" i="10"/>
  <c r="BN858" i="10"/>
  <c r="BM858" i="10"/>
  <c r="BL858" i="10"/>
  <c r="BK858" i="10"/>
  <c r="BJ858" i="10"/>
  <c r="AU858" i="10"/>
  <c r="AT858" i="10"/>
  <c r="X858" i="10"/>
  <c r="W858" i="10"/>
  <c r="V858" i="10"/>
  <c r="CN857" i="10"/>
  <c r="CM857" i="10"/>
  <c r="A359" i="34" s="1"/>
  <c r="BV857" i="10"/>
  <c r="I359" i="34" s="1"/>
  <c r="BT857" i="10"/>
  <c r="BO857" i="10"/>
  <c r="BN857" i="10"/>
  <c r="BM857" i="10"/>
  <c r="BL857" i="10"/>
  <c r="BK857" i="10"/>
  <c r="BJ857" i="10"/>
  <c r="AU857" i="10"/>
  <c r="AT857" i="10"/>
  <c r="X857" i="10"/>
  <c r="W857" i="10"/>
  <c r="V857" i="10"/>
  <c r="CP856" i="10"/>
  <c r="CN856" i="10"/>
  <c r="CM856" i="10"/>
  <c r="A358" i="34" s="1"/>
  <c r="BV856" i="10"/>
  <c r="I358" i="34" s="1"/>
  <c r="BT856" i="10"/>
  <c r="BO856" i="10"/>
  <c r="BN856" i="10"/>
  <c r="BM856" i="10"/>
  <c r="BL856" i="10"/>
  <c r="BK856" i="10"/>
  <c r="BJ856" i="10"/>
  <c r="AU856" i="10"/>
  <c r="AT856" i="10"/>
  <c r="X856" i="10"/>
  <c r="W856" i="10"/>
  <c r="V856" i="10"/>
  <c r="CN855" i="10"/>
  <c r="CM855" i="10"/>
  <c r="A357" i="34" s="1"/>
  <c r="BV855" i="10"/>
  <c r="I357" i="34" s="1"/>
  <c r="BT855" i="10"/>
  <c r="BO855" i="10"/>
  <c r="BN855" i="10"/>
  <c r="BM855" i="10"/>
  <c r="BL855" i="10"/>
  <c r="BK855" i="10"/>
  <c r="BJ855" i="10"/>
  <c r="AU855" i="10"/>
  <c r="AT855" i="10"/>
  <c r="X855" i="10"/>
  <c r="W855" i="10"/>
  <c r="V855" i="10"/>
  <c r="CP854" i="10"/>
  <c r="CN854" i="10"/>
  <c r="CM854" i="10"/>
  <c r="A356" i="34" s="1"/>
  <c r="BV854" i="10"/>
  <c r="I356" i="34" s="1"/>
  <c r="BT854" i="10"/>
  <c r="CO854" i="10" s="1"/>
  <c r="O356" i="34" s="1"/>
  <c r="BO854" i="10"/>
  <c r="BN854" i="10"/>
  <c r="BM854" i="10"/>
  <c r="BL854" i="10"/>
  <c r="BK854" i="10"/>
  <c r="BJ854" i="10"/>
  <c r="AU854" i="10"/>
  <c r="AT854" i="10"/>
  <c r="X854" i="10"/>
  <c r="W854" i="10"/>
  <c r="V854" i="10"/>
  <c r="CN853" i="10"/>
  <c r="CM853" i="10"/>
  <c r="A355" i="34" s="1"/>
  <c r="BV853" i="10"/>
  <c r="BT853" i="10"/>
  <c r="BO853" i="10"/>
  <c r="BN853" i="10"/>
  <c r="BM853" i="10"/>
  <c r="BL853" i="10"/>
  <c r="BK853" i="10"/>
  <c r="BJ853" i="10"/>
  <c r="AU853" i="10"/>
  <c r="AT853" i="10"/>
  <c r="X853" i="10"/>
  <c r="W853" i="10"/>
  <c r="V853" i="10"/>
  <c r="CN852" i="10"/>
  <c r="CM852" i="10"/>
  <c r="A354" i="34" s="1"/>
  <c r="BV852" i="10"/>
  <c r="I354" i="34" s="1"/>
  <c r="BT852" i="10"/>
  <c r="CO852" i="10" s="1"/>
  <c r="O354" i="34" s="1"/>
  <c r="BO852" i="10"/>
  <c r="BN852" i="10"/>
  <c r="BM852" i="10"/>
  <c r="BL852" i="10"/>
  <c r="BK852" i="10"/>
  <c r="BJ852" i="10"/>
  <c r="AU852" i="10"/>
  <c r="AT852" i="10"/>
  <c r="X852" i="10"/>
  <c r="W852" i="10"/>
  <c r="V852" i="10"/>
  <c r="CN851" i="10"/>
  <c r="CM851" i="10"/>
  <c r="A353" i="34" s="1"/>
  <c r="BV851" i="10"/>
  <c r="BT851" i="10"/>
  <c r="BO851" i="10"/>
  <c r="BN851" i="10"/>
  <c r="BM851" i="10"/>
  <c r="BL851" i="10"/>
  <c r="BK851" i="10"/>
  <c r="BJ851" i="10"/>
  <c r="AU851" i="10"/>
  <c r="AT851" i="10"/>
  <c r="X851" i="10"/>
  <c r="W851" i="10"/>
  <c r="V851" i="10"/>
  <c r="CN850" i="10"/>
  <c r="CM850" i="10"/>
  <c r="A352" i="34" s="1"/>
  <c r="BV850" i="10"/>
  <c r="I352" i="34" s="1"/>
  <c r="BT850" i="10"/>
  <c r="CP850" i="10" s="1"/>
  <c r="BO850" i="10"/>
  <c r="BN850" i="10"/>
  <c r="BM850" i="10"/>
  <c r="BL850" i="10"/>
  <c r="BK850" i="10"/>
  <c r="BJ850" i="10"/>
  <c r="AU850" i="10"/>
  <c r="AT850" i="10"/>
  <c r="X850" i="10"/>
  <c r="W850" i="10"/>
  <c r="V850" i="10"/>
  <c r="CN849" i="10"/>
  <c r="CM849" i="10"/>
  <c r="A351" i="34" s="1"/>
  <c r="BV849" i="10"/>
  <c r="BT849" i="10"/>
  <c r="H351" i="34" s="1"/>
  <c r="BO849" i="10"/>
  <c r="BN849" i="10"/>
  <c r="BM849" i="10"/>
  <c r="BL849" i="10"/>
  <c r="BK849" i="10"/>
  <c r="BJ849" i="10"/>
  <c r="AU849" i="10"/>
  <c r="AT849" i="10"/>
  <c r="X849" i="10"/>
  <c r="W849" i="10"/>
  <c r="V849" i="10"/>
  <c r="CN848" i="10"/>
  <c r="CM848" i="10"/>
  <c r="A350" i="34" s="1"/>
  <c r="BV848" i="10"/>
  <c r="I350" i="34" s="1"/>
  <c r="BT848" i="10"/>
  <c r="BO848" i="10"/>
  <c r="BN848" i="10"/>
  <c r="BM848" i="10"/>
  <c r="BL848" i="10"/>
  <c r="BK848" i="10"/>
  <c r="BJ848" i="10"/>
  <c r="AU848" i="10"/>
  <c r="AT848" i="10"/>
  <c r="X848" i="10"/>
  <c r="W848" i="10"/>
  <c r="V848" i="10"/>
  <c r="CN847" i="10"/>
  <c r="CM847" i="10"/>
  <c r="A349" i="34" s="1"/>
  <c r="BV847" i="10"/>
  <c r="I349" i="34" s="1"/>
  <c r="BT847" i="10"/>
  <c r="CQ847" i="10" s="1"/>
  <c r="M349" i="34" s="1"/>
  <c r="BO847" i="10"/>
  <c r="BN847" i="10"/>
  <c r="BM847" i="10"/>
  <c r="BL847" i="10"/>
  <c r="BK847" i="10"/>
  <c r="BJ847" i="10"/>
  <c r="AU847" i="10"/>
  <c r="AT847" i="10"/>
  <c r="X847" i="10"/>
  <c r="W847" i="10"/>
  <c r="V847" i="10"/>
  <c r="CN846" i="10"/>
  <c r="CM846" i="10"/>
  <c r="A348" i="34" s="1"/>
  <c r="BV846" i="10"/>
  <c r="I348" i="34" s="1"/>
  <c r="BT846" i="10"/>
  <c r="BO846" i="10"/>
  <c r="BN846" i="10"/>
  <c r="BM846" i="10"/>
  <c r="BL846" i="10"/>
  <c r="BK846" i="10"/>
  <c r="BJ846" i="10"/>
  <c r="AU846" i="10"/>
  <c r="AT846" i="10"/>
  <c r="X846" i="10"/>
  <c r="W846" i="10"/>
  <c r="V846" i="10"/>
  <c r="CN845" i="10"/>
  <c r="CM845" i="10"/>
  <c r="A347" i="34" s="1"/>
  <c r="BV845" i="10"/>
  <c r="I347" i="34" s="1"/>
  <c r="BT845" i="10"/>
  <c r="CP845" i="10" s="1"/>
  <c r="BO845" i="10"/>
  <c r="BN845" i="10"/>
  <c r="BM845" i="10"/>
  <c r="BL845" i="10"/>
  <c r="BK845" i="10"/>
  <c r="BJ845" i="10"/>
  <c r="AU845" i="10"/>
  <c r="AT845" i="10"/>
  <c r="X845" i="10"/>
  <c r="W845" i="10"/>
  <c r="V845" i="10"/>
  <c r="CN844" i="10"/>
  <c r="CM844" i="10"/>
  <c r="A346" i="34" s="1"/>
  <c r="BV844" i="10"/>
  <c r="I346" i="34" s="1"/>
  <c r="BT844" i="10"/>
  <c r="BO844" i="10"/>
  <c r="BN844" i="10"/>
  <c r="BM844" i="10"/>
  <c r="BL844" i="10"/>
  <c r="BK844" i="10"/>
  <c r="BJ844" i="10"/>
  <c r="AU844" i="10"/>
  <c r="AT844" i="10"/>
  <c r="X844" i="10"/>
  <c r="W844" i="10"/>
  <c r="V844" i="10"/>
  <c r="CQ843" i="10"/>
  <c r="M345" i="34" s="1"/>
  <c r="CN843" i="10"/>
  <c r="CM843" i="10"/>
  <c r="A345" i="34" s="1"/>
  <c r="BV843" i="10"/>
  <c r="BT843" i="10"/>
  <c r="BO843" i="10"/>
  <c r="BN843" i="10"/>
  <c r="BM843" i="10"/>
  <c r="BL843" i="10"/>
  <c r="BK843" i="10"/>
  <c r="BJ843" i="10"/>
  <c r="AU843" i="10"/>
  <c r="AT843" i="10"/>
  <c r="X843" i="10"/>
  <c r="W843" i="10"/>
  <c r="V843" i="10"/>
  <c r="CN842" i="10"/>
  <c r="CM842" i="10"/>
  <c r="A344" i="34" s="1"/>
  <c r="BV842" i="10"/>
  <c r="I344" i="34" s="1"/>
  <c r="BT842" i="10"/>
  <c r="BO842" i="10"/>
  <c r="BN842" i="10"/>
  <c r="BM842" i="10"/>
  <c r="BL842" i="10"/>
  <c r="BK842" i="10"/>
  <c r="BJ842" i="10"/>
  <c r="AU842" i="10"/>
  <c r="AT842" i="10"/>
  <c r="X842" i="10"/>
  <c r="W842" i="10"/>
  <c r="V842" i="10"/>
  <c r="CN841" i="10"/>
  <c r="CM841" i="10"/>
  <c r="A343" i="34" s="1"/>
  <c r="BV841" i="10"/>
  <c r="I343" i="34" s="1"/>
  <c r="BT841" i="10"/>
  <c r="CO841" i="10" s="1"/>
  <c r="O343" i="34" s="1"/>
  <c r="BO841" i="10"/>
  <c r="BN841" i="10"/>
  <c r="BM841" i="10"/>
  <c r="BL841" i="10"/>
  <c r="BK841" i="10"/>
  <c r="BJ841" i="10"/>
  <c r="AU841" i="10"/>
  <c r="AT841" i="10"/>
  <c r="X841" i="10"/>
  <c r="W841" i="10"/>
  <c r="V841" i="10"/>
  <c r="CN840" i="10"/>
  <c r="CM840" i="10"/>
  <c r="A342" i="34" s="1"/>
  <c r="BV840" i="10"/>
  <c r="I342" i="34" s="1"/>
  <c r="BT840" i="10"/>
  <c r="H342" i="34" s="1"/>
  <c r="BO840" i="10"/>
  <c r="BN840" i="10"/>
  <c r="BM840" i="10"/>
  <c r="BL840" i="10"/>
  <c r="BK840" i="10"/>
  <c r="BJ840" i="10"/>
  <c r="AU840" i="10"/>
  <c r="AT840" i="10"/>
  <c r="X840" i="10"/>
  <c r="W840" i="10"/>
  <c r="V840" i="10"/>
  <c r="CN839" i="10"/>
  <c r="CM839" i="10"/>
  <c r="A341" i="34" s="1"/>
  <c r="BV839" i="10"/>
  <c r="I341" i="34" s="1"/>
  <c r="BT839" i="10"/>
  <c r="BO839" i="10"/>
  <c r="BN839" i="10"/>
  <c r="BM839" i="10"/>
  <c r="BL839" i="10"/>
  <c r="BK839" i="10"/>
  <c r="BJ839" i="10"/>
  <c r="AU839" i="10"/>
  <c r="AT839" i="10"/>
  <c r="X839" i="10"/>
  <c r="W839" i="10"/>
  <c r="V839" i="10"/>
  <c r="CN838" i="10"/>
  <c r="CM838" i="10"/>
  <c r="A340" i="34" s="1"/>
  <c r="BV838" i="10"/>
  <c r="I340" i="34" s="1"/>
  <c r="BT838" i="10"/>
  <c r="BO838" i="10"/>
  <c r="BN838" i="10"/>
  <c r="BM838" i="10"/>
  <c r="BL838" i="10"/>
  <c r="BK838" i="10"/>
  <c r="BJ838" i="10"/>
  <c r="AU838" i="10"/>
  <c r="AT838" i="10"/>
  <c r="X838" i="10"/>
  <c r="W838" i="10"/>
  <c r="V838" i="10"/>
  <c r="CO837" i="10"/>
  <c r="O339" i="34" s="1"/>
  <c r="CN837" i="10"/>
  <c r="CM837" i="10"/>
  <c r="A339" i="34" s="1"/>
  <c r="BV837" i="10"/>
  <c r="I339" i="34" s="1"/>
  <c r="BT837" i="10"/>
  <c r="BO837" i="10"/>
  <c r="BN837" i="10"/>
  <c r="BM837" i="10"/>
  <c r="BL837" i="10"/>
  <c r="BK837" i="10"/>
  <c r="BJ837" i="10"/>
  <c r="AU837" i="10"/>
  <c r="AT837" i="10"/>
  <c r="X837" i="10"/>
  <c r="W837" i="10"/>
  <c r="V837" i="10"/>
  <c r="CQ836" i="10"/>
  <c r="M338" i="34" s="1"/>
  <c r="CO836" i="10"/>
  <c r="O338" i="34" s="1"/>
  <c r="CN836" i="10"/>
  <c r="CM836" i="10"/>
  <c r="A338" i="34" s="1"/>
  <c r="BV836" i="10"/>
  <c r="BT836" i="10"/>
  <c r="H338" i="34" s="1"/>
  <c r="BO836" i="10"/>
  <c r="BN836" i="10"/>
  <c r="BM836" i="10"/>
  <c r="BL836" i="10"/>
  <c r="BK836" i="10"/>
  <c r="BJ836" i="10"/>
  <c r="AU836" i="10"/>
  <c r="AT836" i="10"/>
  <c r="X836" i="10"/>
  <c r="W836" i="10"/>
  <c r="V836" i="10"/>
  <c r="CN835" i="10"/>
  <c r="CM835" i="10"/>
  <c r="A337" i="34" s="1"/>
  <c r="BV835" i="10"/>
  <c r="I337" i="34" s="1"/>
  <c r="BT835" i="10"/>
  <c r="BO835" i="10"/>
  <c r="BN835" i="10"/>
  <c r="BM835" i="10"/>
  <c r="BL835" i="10"/>
  <c r="BK835" i="10"/>
  <c r="BJ835" i="10"/>
  <c r="AU835" i="10"/>
  <c r="AT835" i="10"/>
  <c r="X835" i="10"/>
  <c r="W835" i="10"/>
  <c r="V835" i="10"/>
  <c r="CN834" i="10"/>
  <c r="CM834" i="10"/>
  <c r="A336" i="34" s="1"/>
  <c r="BV834" i="10"/>
  <c r="I336" i="34" s="1"/>
  <c r="BT834" i="10"/>
  <c r="CP834" i="10" s="1"/>
  <c r="BO834" i="10"/>
  <c r="BN834" i="10"/>
  <c r="BM834" i="10"/>
  <c r="BL834" i="10"/>
  <c r="BK834" i="10"/>
  <c r="BJ834" i="10"/>
  <c r="AU834" i="10"/>
  <c r="AT834" i="10"/>
  <c r="X834" i="10"/>
  <c r="W834" i="10"/>
  <c r="V834" i="10"/>
  <c r="CN833" i="10"/>
  <c r="CM833" i="10"/>
  <c r="A335" i="34" s="1"/>
  <c r="BV833" i="10"/>
  <c r="I335" i="34" s="1"/>
  <c r="BT833" i="10"/>
  <c r="BO833" i="10"/>
  <c r="BN833" i="10"/>
  <c r="BM833" i="10"/>
  <c r="BL833" i="10"/>
  <c r="BK833" i="10"/>
  <c r="BJ833" i="10"/>
  <c r="AU833" i="10"/>
  <c r="AT833" i="10"/>
  <c r="X833" i="10"/>
  <c r="W833" i="10"/>
  <c r="V833" i="10"/>
  <c r="CN832" i="10"/>
  <c r="CM832" i="10"/>
  <c r="A334" i="34" s="1"/>
  <c r="BV832" i="10"/>
  <c r="I334" i="34" s="1"/>
  <c r="BT832" i="10"/>
  <c r="BO832" i="10"/>
  <c r="BN832" i="10"/>
  <c r="BM832" i="10"/>
  <c r="BL832" i="10"/>
  <c r="BK832" i="10"/>
  <c r="BJ832" i="10"/>
  <c r="AU832" i="10"/>
  <c r="AT832" i="10"/>
  <c r="X832" i="10"/>
  <c r="W832" i="10"/>
  <c r="V832" i="10"/>
  <c r="CN831" i="10"/>
  <c r="CM831" i="10"/>
  <c r="A333" i="34" s="1"/>
  <c r="BV831" i="10"/>
  <c r="I333" i="34" s="1"/>
  <c r="BT831" i="10"/>
  <c r="BO831" i="10"/>
  <c r="BN831" i="10"/>
  <c r="BM831" i="10"/>
  <c r="BL831" i="10"/>
  <c r="BK831" i="10"/>
  <c r="BJ831" i="10"/>
  <c r="AU831" i="10"/>
  <c r="AT831" i="10"/>
  <c r="X831" i="10"/>
  <c r="W831" i="10"/>
  <c r="V831" i="10"/>
  <c r="CN830" i="10"/>
  <c r="CM830" i="10"/>
  <c r="A332" i="34" s="1"/>
  <c r="BV830" i="10"/>
  <c r="I332" i="34" s="1"/>
  <c r="BT830" i="10"/>
  <c r="BO830" i="10"/>
  <c r="BN830" i="10"/>
  <c r="BM830" i="10"/>
  <c r="BL830" i="10"/>
  <c r="BK830" i="10"/>
  <c r="BJ830" i="10"/>
  <c r="AU830" i="10"/>
  <c r="AT830" i="10"/>
  <c r="X830" i="10"/>
  <c r="W830" i="10"/>
  <c r="V830" i="10"/>
  <c r="CN829" i="10"/>
  <c r="CM829" i="10"/>
  <c r="A331" i="34" s="1"/>
  <c r="BV829" i="10"/>
  <c r="I331" i="34" s="1"/>
  <c r="BT829" i="10"/>
  <c r="H331" i="34" s="1"/>
  <c r="BO829" i="10"/>
  <c r="BN829" i="10"/>
  <c r="BM829" i="10"/>
  <c r="BL829" i="10"/>
  <c r="BK829" i="10"/>
  <c r="BJ829" i="10"/>
  <c r="AU829" i="10"/>
  <c r="AT829" i="10"/>
  <c r="X829" i="10"/>
  <c r="W829" i="10"/>
  <c r="V829" i="10"/>
  <c r="CN828" i="10"/>
  <c r="CM828" i="10"/>
  <c r="A330" i="34" s="1"/>
  <c r="BV828" i="10"/>
  <c r="I330" i="34" s="1"/>
  <c r="BT828" i="10"/>
  <c r="BO828" i="10"/>
  <c r="BN828" i="10"/>
  <c r="BM828" i="10"/>
  <c r="BL828" i="10"/>
  <c r="BK828" i="10"/>
  <c r="BJ828" i="10"/>
  <c r="AU828" i="10"/>
  <c r="AT828" i="10"/>
  <c r="X828" i="10"/>
  <c r="W828" i="10"/>
  <c r="V828" i="10"/>
  <c r="CO827" i="10"/>
  <c r="O329" i="34" s="1"/>
  <c r="CN827" i="10"/>
  <c r="CM827" i="10"/>
  <c r="A329" i="34" s="1"/>
  <c r="BV827" i="10"/>
  <c r="I329" i="34" s="1"/>
  <c r="BT827" i="10"/>
  <c r="H329" i="34" s="1"/>
  <c r="BO827" i="10"/>
  <c r="BN827" i="10"/>
  <c r="BM827" i="10"/>
  <c r="BL827" i="10"/>
  <c r="BK827" i="10"/>
  <c r="BJ827" i="10"/>
  <c r="AU827" i="10"/>
  <c r="AT827" i="10"/>
  <c r="X827" i="10"/>
  <c r="W827" i="10"/>
  <c r="V827" i="10"/>
  <c r="CN826" i="10"/>
  <c r="CM826" i="10"/>
  <c r="A328" i="34" s="1"/>
  <c r="BV826" i="10"/>
  <c r="I328" i="34" s="1"/>
  <c r="BT826" i="10"/>
  <c r="BO826" i="10"/>
  <c r="BN826" i="10"/>
  <c r="BM826" i="10"/>
  <c r="BL826" i="10"/>
  <c r="BK826" i="10"/>
  <c r="BJ826" i="10"/>
  <c r="AU826" i="10"/>
  <c r="AT826" i="10"/>
  <c r="X826" i="10"/>
  <c r="W826" i="10"/>
  <c r="V826" i="10"/>
  <c r="CN825" i="10"/>
  <c r="CM825" i="10"/>
  <c r="A327" i="34" s="1"/>
  <c r="BV825" i="10"/>
  <c r="BT825" i="10"/>
  <c r="BO825" i="10"/>
  <c r="BN825" i="10"/>
  <c r="BM825" i="10"/>
  <c r="BL825" i="10"/>
  <c r="BK825" i="10"/>
  <c r="BJ825" i="10"/>
  <c r="AU825" i="10"/>
  <c r="AT825" i="10"/>
  <c r="X825" i="10"/>
  <c r="W825" i="10"/>
  <c r="V825" i="10"/>
  <c r="CN824" i="10"/>
  <c r="CM824" i="10"/>
  <c r="A326" i="34" s="1"/>
  <c r="BV824" i="10"/>
  <c r="I326" i="34" s="1"/>
  <c r="BT824" i="10"/>
  <c r="BO824" i="10"/>
  <c r="BN824" i="10"/>
  <c r="BM824" i="10"/>
  <c r="BL824" i="10"/>
  <c r="BK824" i="10"/>
  <c r="BJ824" i="10"/>
  <c r="AU824" i="10"/>
  <c r="AT824" i="10"/>
  <c r="X824" i="10"/>
  <c r="W824" i="10"/>
  <c r="V824" i="10"/>
  <c r="CN823" i="10"/>
  <c r="CM823" i="10"/>
  <c r="A325" i="34" s="1"/>
  <c r="BV823" i="10"/>
  <c r="I325" i="34" s="1"/>
  <c r="BT823" i="10"/>
  <c r="CP823" i="10" s="1"/>
  <c r="L325" i="34" s="1"/>
  <c r="BO823" i="10"/>
  <c r="BN823" i="10"/>
  <c r="BM823" i="10"/>
  <c r="BL823" i="10"/>
  <c r="BK823" i="10"/>
  <c r="BJ823" i="10"/>
  <c r="AU823" i="10"/>
  <c r="AT823" i="10"/>
  <c r="X823" i="10"/>
  <c r="W823" i="10"/>
  <c r="V823" i="10"/>
  <c r="CN822" i="10"/>
  <c r="CM822" i="10"/>
  <c r="A324" i="34" s="1"/>
  <c r="BV822" i="10"/>
  <c r="I324" i="34" s="1"/>
  <c r="BT822" i="10"/>
  <c r="BO822" i="10"/>
  <c r="BN822" i="10"/>
  <c r="BM822" i="10"/>
  <c r="BL822" i="10"/>
  <c r="BK822" i="10"/>
  <c r="BJ822" i="10"/>
  <c r="AU822" i="10"/>
  <c r="AT822" i="10"/>
  <c r="X822" i="10"/>
  <c r="W822" i="10"/>
  <c r="V822" i="10"/>
  <c r="CN821" i="10"/>
  <c r="CM821" i="10"/>
  <c r="A323" i="34" s="1"/>
  <c r="BV821" i="10"/>
  <c r="BT821" i="10"/>
  <c r="CO821" i="10" s="1"/>
  <c r="O323" i="34" s="1"/>
  <c r="BO821" i="10"/>
  <c r="BN821" i="10"/>
  <c r="BM821" i="10"/>
  <c r="BL821" i="10"/>
  <c r="BK821" i="10"/>
  <c r="BJ821" i="10"/>
  <c r="AU821" i="10"/>
  <c r="AT821" i="10"/>
  <c r="X821" i="10"/>
  <c r="W821" i="10"/>
  <c r="V821" i="10"/>
  <c r="CN820" i="10"/>
  <c r="CM820" i="10"/>
  <c r="A322" i="34" s="1"/>
  <c r="BV820" i="10"/>
  <c r="I322" i="34" s="1"/>
  <c r="BT820" i="10"/>
  <c r="BO820" i="10"/>
  <c r="BN820" i="10"/>
  <c r="BM820" i="10"/>
  <c r="BL820" i="10"/>
  <c r="BK820" i="10"/>
  <c r="BJ820" i="10"/>
  <c r="AU820" i="10"/>
  <c r="AT820" i="10"/>
  <c r="X820" i="10"/>
  <c r="W820" i="10"/>
  <c r="V820" i="10"/>
  <c r="CN819" i="10"/>
  <c r="CM819" i="10"/>
  <c r="A321" i="34" s="1"/>
  <c r="BV819" i="10"/>
  <c r="I321" i="34" s="1"/>
  <c r="BT819" i="10"/>
  <c r="BO819" i="10"/>
  <c r="BN819" i="10"/>
  <c r="BM819" i="10"/>
  <c r="BL819" i="10"/>
  <c r="BK819" i="10"/>
  <c r="BJ819" i="10"/>
  <c r="AU819" i="10"/>
  <c r="AT819" i="10"/>
  <c r="X819" i="10"/>
  <c r="W819" i="10"/>
  <c r="V819" i="10"/>
  <c r="CN818" i="10"/>
  <c r="CM818" i="10"/>
  <c r="A320" i="34" s="1"/>
  <c r="BV818" i="10"/>
  <c r="I320" i="34" s="1"/>
  <c r="BT818" i="10"/>
  <c r="H320" i="34" s="1"/>
  <c r="BO818" i="10"/>
  <c r="BN818" i="10"/>
  <c r="BM818" i="10"/>
  <c r="BL818" i="10"/>
  <c r="BK818" i="10"/>
  <c r="BJ818" i="10"/>
  <c r="AU818" i="10"/>
  <c r="AT818" i="10"/>
  <c r="X818" i="10"/>
  <c r="W818" i="10"/>
  <c r="V818" i="10"/>
  <c r="CN817" i="10"/>
  <c r="CM817" i="10"/>
  <c r="A319" i="34" s="1"/>
  <c r="BV817" i="10"/>
  <c r="I319" i="34" s="1"/>
  <c r="BT817" i="10"/>
  <c r="BO817" i="10"/>
  <c r="BN817" i="10"/>
  <c r="BM817" i="10"/>
  <c r="BL817" i="10"/>
  <c r="BK817" i="10"/>
  <c r="BJ817" i="10"/>
  <c r="AU817" i="10"/>
  <c r="AT817" i="10"/>
  <c r="X817" i="10"/>
  <c r="W817" i="10"/>
  <c r="V817" i="10"/>
  <c r="CN816" i="10"/>
  <c r="CM816" i="10"/>
  <c r="A318" i="34" s="1"/>
  <c r="BV816" i="10"/>
  <c r="I318" i="34" s="1"/>
  <c r="BT816" i="10"/>
  <c r="BO816" i="10"/>
  <c r="BN816" i="10"/>
  <c r="BM816" i="10"/>
  <c r="BL816" i="10"/>
  <c r="BK816" i="10"/>
  <c r="BJ816" i="10"/>
  <c r="AU816" i="10"/>
  <c r="AT816" i="10"/>
  <c r="X816" i="10"/>
  <c r="W816" i="10"/>
  <c r="V816" i="10"/>
  <c r="CN815" i="10"/>
  <c r="CM815" i="10"/>
  <c r="A317" i="34" s="1"/>
  <c r="BV815" i="10"/>
  <c r="I317" i="34" s="1"/>
  <c r="BT815" i="10"/>
  <c r="BO815" i="10"/>
  <c r="BN815" i="10"/>
  <c r="BM815" i="10"/>
  <c r="BL815" i="10"/>
  <c r="BK815" i="10"/>
  <c r="BJ815" i="10"/>
  <c r="AU815" i="10"/>
  <c r="AT815" i="10"/>
  <c r="X815" i="10"/>
  <c r="W815" i="10"/>
  <c r="V815" i="10"/>
  <c r="CN814" i="10"/>
  <c r="CM814" i="10"/>
  <c r="A316" i="34" s="1"/>
  <c r="BV814" i="10"/>
  <c r="BT814" i="10"/>
  <c r="BO814" i="10"/>
  <c r="BN814" i="10"/>
  <c r="BM814" i="10"/>
  <c r="BL814" i="10"/>
  <c r="BK814" i="10"/>
  <c r="BJ814" i="10"/>
  <c r="AU814" i="10"/>
  <c r="AT814" i="10"/>
  <c r="X814" i="10"/>
  <c r="W814" i="10"/>
  <c r="V814" i="10"/>
  <c r="CN813" i="10"/>
  <c r="CM813" i="10"/>
  <c r="A315" i="34" s="1"/>
  <c r="BV813" i="10"/>
  <c r="I315" i="34" s="1"/>
  <c r="BT813" i="10"/>
  <c r="BO813" i="10"/>
  <c r="BN813" i="10"/>
  <c r="BM813" i="10"/>
  <c r="BL813" i="10"/>
  <c r="BK813" i="10"/>
  <c r="BJ813" i="10"/>
  <c r="AU813" i="10"/>
  <c r="AT813" i="10"/>
  <c r="X813" i="10"/>
  <c r="W813" i="10"/>
  <c r="V813" i="10"/>
  <c r="CN812" i="10"/>
  <c r="CM812" i="10"/>
  <c r="A314" i="34" s="1"/>
  <c r="BV812" i="10"/>
  <c r="I314" i="34" s="1"/>
  <c r="BT812" i="10"/>
  <c r="BO812" i="10"/>
  <c r="BN812" i="10"/>
  <c r="BM812" i="10"/>
  <c r="BL812" i="10"/>
  <c r="BK812" i="10"/>
  <c r="BJ812" i="10"/>
  <c r="AU812" i="10"/>
  <c r="AT812" i="10"/>
  <c r="X812" i="10"/>
  <c r="W812" i="10"/>
  <c r="V812" i="10"/>
  <c r="CN811" i="10"/>
  <c r="CM811" i="10"/>
  <c r="A313" i="34" s="1"/>
  <c r="BV811" i="10"/>
  <c r="I313" i="34" s="1"/>
  <c r="BT811" i="10"/>
  <c r="CP811" i="10" s="1"/>
  <c r="L313" i="34" s="1"/>
  <c r="BO811" i="10"/>
  <c r="BN811" i="10"/>
  <c r="BM811" i="10"/>
  <c r="BL811" i="10"/>
  <c r="BK811" i="10"/>
  <c r="BJ811" i="10"/>
  <c r="AU811" i="10"/>
  <c r="AT811" i="10"/>
  <c r="X811" i="10"/>
  <c r="W811" i="10"/>
  <c r="V811" i="10"/>
  <c r="CN810" i="10"/>
  <c r="CM810" i="10"/>
  <c r="A312" i="34" s="1"/>
  <c r="BV810" i="10"/>
  <c r="I312" i="34" s="1"/>
  <c r="BT810" i="10"/>
  <c r="BO810" i="10"/>
  <c r="BN810" i="10"/>
  <c r="BM810" i="10"/>
  <c r="BL810" i="10"/>
  <c r="BK810" i="10"/>
  <c r="BJ810" i="10"/>
  <c r="AU810" i="10"/>
  <c r="AT810" i="10"/>
  <c r="X810" i="10"/>
  <c r="W810" i="10"/>
  <c r="V810" i="10"/>
  <c r="CN809" i="10"/>
  <c r="CM809" i="10"/>
  <c r="A311" i="34" s="1"/>
  <c r="BV809" i="10"/>
  <c r="I311" i="34" s="1"/>
  <c r="BT809" i="10"/>
  <c r="BO809" i="10"/>
  <c r="BN809" i="10"/>
  <c r="BM809" i="10"/>
  <c r="BL809" i="10"/>
  <c r="BK809" i="10"/>
  <c r="BJ809" i="10"/>
  <c r="AU809" i="10"/>
  <c r="AT809" i="10"/>
  <c r="X809" i="10"/>
  <c r="W809" i="10"/>
  <c r="V809" i="10"/>
  <c r="CN808" i="10"/>
  <c r="CM808" i="10"/>
  <c r="A310" i="34" s="1"/>
  <c r="BV808" i="10"/>
  <c r="I310" i="34" s="1"/>
  <c r="BT808" i="10"/>
  <c r="H310" i="34" s="1"/>
  <c r="BO808" i="10"/>
  <c r="BN808" i="10"/>
  <c r="BM808" i="10"/>
  <c r="BL808" i="10"/>
  <c r="BK808" i="10"/>
  <c r="BJ808" i="10"/>
  <c r="AU808" i="10"/>
  <c r="AT808" i="10"/>
  <c r="X808" i="10"/>
  <c r="W808" i="10"/>
  <c r="V808" i="10"/>
  <c r="CN807" i="10"/>
  <c r="CM807" i="10"/>
  <c r="A309" i="34" s="1"/>
  <c r="BV807" i="10"/>
  <c r="I309" i="34" s="1"/>
  <c r="BT807" i="10"/>
  <c r="BO807" i="10"/>
  <c r="BN807" i="10"/>
  <c r="BM807" i="10"/>
  <c r="BL807" i="10"/>
  <c r="BK807" i="10"/>
  <c r="BJ807" i="10"/>
  <c r="AU807" i="10"/>
  <c r="AT807" i="10"/>
  <c r="X807" i="10"/>
  <c r="W807" i="10"/>
  <c r="V807" i="10"/>
  <c r="CN806" i="10"/>
  <c r="CM806" i="10"/>
  <c r="A308" i="34" s="1"/>
  <c r="BV806" i="10"/>
  <c r="I308" i="34" s="1"/>
  <c r="BT806" i="10"/>
  <c r="BO806" i="10"/>
  <c r="BN806" i="10"/>
  <c r="BM806" i="10"/>
  <c r="BL806" i="10"/>
  <c r="BK806" i="10"/>
  <c r="BJ806" i="10"/>
  <c r="AU806" i="10"/>
  <c r="AT806" i="10"/>
  <c r="X806" i="10"/>
  <c r="W806" i="10"/>
  <c r="V806" i="10"/>
  <c r="CN805" i="10"/>
  <c r="CM805" i="10"/>
  <c r="A307" i="34" s="1"/>
  <c r="BV805" i="10"/>
  <c r="I307" i="34" s="1"/>
  <c r="BT805" i="10"/>
  <c r="BO805" i="10"/>
  <c r="BN805" i="10"/>
  <c r="BM805" i="10"/>
  <c r="BL805" i="10"/>
  <c r="BK805" i="10"/>
  <c r="BJ805" i="10"/>
  <c r="AU805" i="10"/>
  <c r="AT805" i="10"/>
  <c r="X805" i="10"/>
  <c r="W805" i="10"/>
  <c r="V805" i="10"/>
  <c r="CN804" i="10"/>
  <c r="CM804" i="10"/>
  <c r="A306" i="34" s="1"/>
  <c r="BV804" i="10"/>
  <c r="I306" i="34" s="1"/>
  <c r="BT804" i="10"/>
  <c r="CQ804" i="10" s="1"/>
  <c r="M306" i="34" s="1"/>
  <c r="BO804" i="10"/>
  <c r="BN804" i="10"/>
  <c r="BM804" i="10"/>
  <c r="BL804" i="10"/>
  <c r="BK804" i="10"/>
  <c r="BJ804" i="10"/>
  <c r="AU804" i="10"/>
  <c r="AT804" i="10"/>
  <c r="X804" i="10"/>
  <c r="W804" i="10"/>
  <c r="V804" i="10"/>
  <c r="CN803" i="10"/>
  <c r="CM803" i="10"/>
  <c r="A305" i="34" s="1"/>
  <c r="BV803" i="10"/>
  <c r="I305" i="34" s="1"/>
  <c r="BT803" i="10"/>
  <c r="BO803" i="10"/>
  <c r="BN803" i="10"/>
  <c r="BM803" i="10"/>
  <c r="BL803" i="10"/>
  <c r="BK803" i="10"/>
  <c r="BJ803" i="10"/>
  <c r="AU803" i="10"/>
  <c r="AT803" i="10"/>
  <c r="X803" i="10"/>
  <c r="W803" i="10"/>
  <c r="V803" i="10"/>
  <c r="CN802" i="10"/>
  <c r="CM802" i="10"/>
  <c r="A304" i="34" s="1"/>
  <c r="BV802" i="10"/>
  <c r="I304" i="34" s="1"/>
  <c r="BT802" i="10"/>
  <c r="BO802" i="10"/>
  <c r="BN802" i="10"/>
  <c r="BM802" i="10"/>
  <c r="BL802" i="10"/>
  <c r="BK802" i="10"/>
  <c r="BJ802" i="10"/>
  <c r="AU802" i="10"/>
  <c r="AT802" i="10"/>
  <c r="X802" i="10"/>
  <c r="W802" i="10"/>
  <c r="V802" i="10"/>
  <c r="CN801" i="10"/>
  <c r="CM801" i="10"/>
  <c r="A303" i="34" s="1"/>
  <c r="BV801" i="10"/>
  <c r="I303" i="34" s="1"/>
  <c r="BT801" i="10"/>
  <c r="BO801" i="10"/>
  <c r="BN801" i="10"/>
  <c r="BM801" i="10"/>
  <c r="BL801" i="10"/>
  <c r="BK801" i="10"/>
  <c r="BJ801" i="10"/>
  <c r="AU801" i="10"/>
  <c r="AT801" i="10"/>
  <c r="X801" i="10"/>
  <c r="W801" i="10"/>
  <c r="V801" i="10"/>
  <c r="CN800" i="10"/>
  <c r="CM800" i="10"/>
  <c r="A302" i="34" s="1"/>
  <c r="BV800" i="10"/>
  <c r="I302" i="34" s="1"/>
  <c r="BT800" i="10"/>
  <c r="BO800" i="10"/>
  <c r="BN800" i="10"/>
  <c r="BM800" i="10"/>
  <c r="BL800" i="10"/>
  <c r="BK800" i="10"/>
  <c r="BJ800" i="10"/>
  <c r="AU800" i="10"/>
  <c r="AT800" i="10"/>
  <c r="X800" i="10"/>
  <c r="W800" i="10"/>
  <c r="V800" i="10"/>
  <c r="CN799" i="10"/>
  <c r="CM799" i="10"/>
  <c r="A301" i="34" s="1"/>
  <c r="BV799" i="10"/>
  <c r="I301" i="34" s="1"/>
  <c r="BT799" i="10"/>
  <c r="CO799" i="10" s="1"/>
  <c r="O301" i="34" s="1"/>
  <c r="BO799" i="10"/>
  <c r="BN799" i="10"/>
  <c r="BM799" i="10"/>
  <c r="BL799" i="10"/>
  <c r="BK799" i="10"/>
  <c r="BJ799" i="10"/>
  <c r="AU799" i="10"/>
  <c r="AT799" i="10"/>
  <c r="AB799" i="10"/>
  <c r="X799" i="10"/>
  <c r="W799" i="10"/>
  <c r="V799" i="10"/>
  <c r="CN798" i="10"/>
  <c r="CM798" i="10"/>
  <c r="A300" i="34" s="1"/>
  <c r="BV798" i="10"/>
  <c r="I300" i="34" s="1"/>
  <c r="BT798" i="10"/>
  <c r="BO798" i="10"/>
  <c r="BN798" i="10"/>
  <c r="BM798" i="10"/>
  <c r="BL798" i="10"/>
  <c r="BK798" i="10"/>
  <c r="BJ798" i="10"/>
  <c r="AU798" i="10"/>
  <c r="AT798" i="10"/>
  <c r="X798" i="10"/>
  <c r="W798" i="10"/>
  <c r="V798" i="10"/>
  <c r="CN797" i="10"/>
  <c r="CM797" i="10"/>
  <c r="A299" i="34" s="1"/>
  <c r="BV797" i="10"/>
  <c r="I299" i="34" s="1"/>
  <c r="BT797" i="10"/>
  <c r="CQ797" i="10" s="1"/>
  <c r="M299" i="34" s="1"/>
  <c r="BO797" i="10"/>
  <c r="BN797" i="10"/>
  <c r="BM797" i="10"/>
  <c r="BL797" i="10"/>
  <c r="BK797" i="10"/>
  <c r="BJ797" i="10"/>
  <c r="AU797" i="10"/>
  <c r="AT797" i="10"/>
  <c r="X797" i="10"/>
  <c r="W797" i="10"/>
  <c r="V797" i="10"/>
  <c r="CN796" i="10"/>
  <c r="CM796" i="10"/>
  <c r="A298" i="34" s="1"/>
  <c r="BV796" i="10"/>
  <c r="I298" i="34" s="1"/>
  <c r="BT796" i="10"/>
  <c r="BO796" i="10"/>
  <c r="BN796" i="10"/>
  <c r="BM796" i="10"/>
  <c r="BL796" i="10"/>
  <c r="BK796" i="10"/>
  <c r="BJ796" i="10"/>
  <c r="AU796" i="10"/>
  <c r="AT796" i="10"/>
  <c r="X796" i="10"/>
  <c r="W796" i="10"/>
  <c r="V796" i="10"/>
  <c r="CN795" i="10"/>
  <c r="CM795" i="10"/>
  <c r="A297" i="34" s="1"/>
  <c r="BV795" i="10"/>
  <c r="I297" i="34" s="1"/>
  <c r="BT795" i="10"/>
  <c r="BO795" i="10"/>
  <c r="BN795" i="10"/>
  <c r="BM795" i="10"/>
  <c r="BL795" i="10"/>
  <c r="BK795" i="10"/>
  <c r="BJ795" i="10"/>
  <c r="AU795" i="10"/>
  <c r="AT795" i="10"/>
  <c r="X795" i="10"/>
  <c r="W795" i="10"/>
  <c r="V795" i="10"/>
  <c r="CN794" i="10"/>
  <c r="CM794" i="10"/>
  <c r="A296" i="34" s="1"/>
  <c r="BV794" i="10"/>
  <c r="I296" i="34" s="1"/>
  <c r="BT794" i="10"/>
  <c r="H296" i="34" s="1"/>
  <c r="BO794" i="10"/>
  <c r="BN794" i="10"/>
  <c r="BM794" i="10"/>
  <c r="BL794" i="10"/>
  <c r="BK794" i="10"/>
  <c r="BJ794" i="10"/>
  <c r="AU794" i="10"/>
  <c r="AT794" i="10"/>
  <c r="X794" i="10"/>
  <c r="W794" i="10"/>
  <c r="V794" i="10"/>
  <c r="CN793" i="10"/>
  <c r="CM793" i="10"/>
  <c r="A295" i="34" s="1"/>
  <c r="BV793" i="10"/>
  <c r="I295" i="34" s="1"/>
  <c r="BT793" i="10"/>
  <c r="BO793" i="10"/>
  <c r="BN793" i="10"/>
  <c r="BM793" i="10"/>
  <c r="BL793" i="10"/>
  <c r="BK793" i="10"/>
  <c r="BJ793" i="10"/>
  <c r="AU793" i="10"/>
  <c r="AT793" i="10"/>
  <c r="X793" i="10"/>
  <c r="W793" i="10"/>
  <c r="V793" i="10"/>
  <c r="CQ792" i="10"/>
  <c r="M294" i="34" s="1"/>
  <c r="CN792" i="10"/>
  <c r="CM792" i="10"/>
  <c r="A294" i="34" s="1"/>
  <c r="BV792" i="10"/>
  <c r="BT792" i="10"/>
  <c r="BO792" i="10"/>
  <c r="BN792" i="10"/>
  <c r="BM792" i="10"/>
  <c r="BL792" i="10"/>
  <c r="BK792" i="10"/>
  <c r="BJ792" i="10"/>
  <c r="AU792" i="10"/>
  <c r="AT792" i="10"/>
  <c r="X792" i="10"/>
  <c r="W792" i="10"/>
  <c r="V792" i="10"/>
  <c r="CN791" i="10"/>
  <c r="CM791" i="10"/>
  <c r="A293" i="34" s="1"/>
  <c r="BV791" i="10"/>
  <c r="I293" i="34" s="1"/>
  <c r="BT791" i="10"/>
  <c r="BO791" i="10"/>
  <c r="BN791" i="10"/>
  <c r="BM791" i="10"/>
  <c r="BL791" i="10"/>
  <c r="BK791" i="10"/>
  <c r="BJ791" i="10"/>
  <c r="AU791" i="10"/>
  <c r="AT791" i="10"/>
  <c r="X791" i="10"/>
  <c r="W791" i="10"/>
  <c r="V791" i="10"/>
  <c r="CN790" i="10"/>
  <c r="CM790" i="10"/>
  <c r="A292" i="34" s="1"/>
  <c r="BV790" i="10"/>
  <c r="BT790" i="10"/>
  <c r="CP790" i="10" s="1"/>
  <c r="BO790" i="10"/>
  <c r="BN790" i="10"/>
  <c r="BM790" i="10"/>
  <c r="BL790" i="10"/>
  <c r="BK790" i="10"/>
  <c r="BJ790" i="10"/>
  <c r="AU790" i="10"/>
  <c r="AT790" i="10"/>
  <c r="X790" i="10"/>
  <c r="W790" i="10"/>
  <c r="V790" i="10"/>
  <c r="CN789" i="10"/>
  <c r="CM789" i="10"/>
  <c r="A291" i="34" s="1"/>
  <c r="BV789" i="10"/>
  <c r="I291" i="34" s="1"/>
  <c r="BT789" i="10"/>
  <c r="BO789" i="10"/>
  <c r="BN789" i="10"/>
  <c r="BM789" i="10"/>
  <c r="BL789" i="10"/>
  <c r="BK789" i="10"/>
  <c r="BJ789" i="10"/>
  <c r="AU789" i="10"/>
  <c r="AT789" i="10"/>
  <c r="X789" i="10"/>
  <c r="W789" i="10"/>
  <c r="V789" i="10"/>
  <c r="CN788" i="10"/>
  <c r="CM788" i="10"/>
  <c r="A290" i="34" s="1"/>
  <c r="BV788" i="10"/>
  <c r="BT788" i="10"/>
  <c r="CQ788" i="10" s="1"/>
  <c r="M290" i="34" s="1"/>
  <c r="BO788" i="10"/>
  <c r="BN788" i="10"/>
  <c r="BM788" i="10"/>
  <c r="BL788" i="10"/>
  <c r="BK788" i="10"/>
  <c r="BJ788" i="10"/>
  <c r="AU788" i="10"/>
  <c r="AT788" i="10"/>
  <c r="X788" i="10"/>
  <c r="W788" i="10"/>
  <c r="V788" i="10"/>
  <c r="CN787" i="10"/>
  <c r="CM787" i="10"/>
  <c r="A289" i="34" s="1"/>
  <c r="BV787" i="10"/>
  <c r="BT787" i="10"/>
  <c r="BO787" i="10"/>
  <c r="BN787" i="10"/>
  <c r="BM787" i="10"/>
  <c r="BL787" i="10"/>
  <c r="BK787" i="10"/>
  <c r="BJ787" i="10"/>
  <c r="AU787" i="10"/>
  <c r="AT787" i="10"/>
  <c r="X787" i="10"/>
  <c r="W787" i="10"/>
  <c r="V787" i="10"/>
  <c r="CN786" i="10"/>
  <c r="CM786" i="10"/>
  <c r="A288" i="34" s="1"/>
  <c r="BV786" i="10"/>
  <c r="I288" i="34" s="1"/>
  <c r="BT786" i="10"/>
  <c r="CO786" i="10" s="1"/>
  <c r="O288" i="34" s="1"/>
  <c r="BO786" i="10"/>
  <c r="BN786" i="10"/>
  <c r="BM786" i="10"/>
  <c r="BL786" i="10"/>
  <c r="BK786" i="10"/>
  <c r="BJ786" i="10"/>
  <c r="AU786" i="10"/>
  <c r="AT786" i="10"/>
  <c r="X786" i="10"/>
  <c r="W786" i="10"/>
  <c r="V786" i="10"/>
  <c r="CN785" i="10"/>
  <c r="CM785" i="10"/>
  <c r="A287" i="34" s="1"/>
  <c r="BV785" i="10"/>
  <c r="I287" i="34" s="1"/>
  <c r="BT785" i="10"/>
  <c r="BO785" i="10"/>
  <c r="BN785" i="10"/>
  <c r="BM785" i="10"/>
  <c r="BL785" i="10"/>
  <c r="BK785" i="10"/>
  <c r="BJ785" i="10"/>
  <c r="AU785" i="10"/>
  <c r="AT785" i="10"/>
  <c r="X785" i="10"/>
  <c r="W785" i="10"/>
  <c r="V785" i="10"/>
  <c r="CN784" i="10"/>
  <c r="CM784" i="10"/>
  <c r="A286" i="34" s="1"/>
  <c r="BV784" i="10"/>
  <c r="I286" i="34" s="1"/>
  <c r="BT784" i="10"/>
  <c r="BO784" i="10"/>
  <c r="BN784" i="10"/>
  <c r="BM784" i="10"/>
  <c r="BL784" i="10"/>
  <c r="BK784" i="10"/>
  <c r="BJ784" i="10"/>
  <c r="AU784" i="10"/>
  <c r="AT784" i="10"/>
  <c r="X784" i="10"/>
  <c r="W784" i="10"/>
  <c r="V784" i="10"/>
  <c r="CN783" i="10"/>
  <c r="CM783" i="10"/>
  <c r="A285" i="34" s="1"/>
  <c r="BV783" i="10"/>
  <c r="I285" i="34" s="1"/>
  <c r="BT783" i="10"/>
  <c r="H285" i="34" s="1"/>
  <c r="BO783" i="10"/>
  <c r="BN783" i="10"/>
  <c r="BM783" i="10"/>
  <c r="BL783" i="10"/>
  <c r="BK783" i="10"/>
  <c r="BJ783" i="10"/>
  <c r="AU783" i="10"/>
  <c r="AT783" i="10"/>
  <c r="X783" i="10"/>
  <c r="W783" i="10"/>
  <c r="V783" i="10"/>
  <c r="CN782" i="10"/>
  <c r="CM782" i="10"/>
  <c r="A284" i="34" s="1"/>
  <c r="BV782" i="10"/>
  <c r="I284" i="34" s="1"/>
  <c r="BT782" i="10"/>
  <c r="BO782" i="10"/>
  <c r="BN782" i="10"/>
  <c r="BM782" i="10"/>
  <c r="BL782" i="10"/>
  <c r="BK782" i="10"/>
  <c r="BJ782" i="10"/>
  <c r="AU782" i="10"/>
  <c r="AT782" i="10"/>
  <c r="X782" i="10"/>
  <c r="W782" i="10"/>
  <c r="V782" i="10"/>
  <c r="CO781" i="10"/>
  <c r="O283" i="34" s="1"/>
  <c r="CN781" i="10"/>
  <c r="CM781" i="10"/>
  <c r="A283" i="34" s="1"/>
  <c r="BV781" i="10"/>
  <c r="BT781" i="10"/>
  <c r="BO781" i="10"/>
  <c r="BN781" i="10"/>
  <c r="BM781" i="10"/>
  <c r="BL781" i="10"/>
  <c r="BK781" i="10"/>
  <c r="BJ781" i="10"/>
  <c r="AU781" i="10"/>
  <c r="AT781" i="10"/>
  <c r="X781" i="10"/>
  <c r="W781" i="10"/>
  <c r="V781" i="10"/>
  <c r="CP780" i="10"/>
  <c r="CO780" i="10"/>
  <c r="O282" i="34" s="1"/>
  <c r="CN780" i="10"/>
  <c r="CM780" i="10"/>
  <c r="A282" i="34" s="1"/>
  <c r="BV780" i="10"/>
  <c r="I282" i="34" s="1"/>
  <c r="BT780" i="10"/>
  <c r="CQ780" i="10" s="1"/>
  <c r="M282" i="34" s="1"/>
  <c r="BO780" i="10"/>
  <c r="BN780" i="10"/>
  <c r="BM780" i="10"/>
  <c r="BL780" i="10"/>
  <c r="BK780" i="10"/>
  <c r="BJ780" i="10"/>
  <c r="AU780" i="10"/>
  <c r="AT780" i="10"/>
  <c r="X780" i="10"/>
  <c r="W780" i="10"/>
  <c r="V780" i="10"/>
  <c r="CN779" i="10"/>
  <c r="CM779" i="10"/>
  <c r="A281" i="34" s="1"/>
  <c r="BV779" i="10"/>
  <c r="I281" i="34" s="1"/>
  <c r="BT779" i="10"/>
  <c r="H281" i="34" s="1"/>
  <c r="BO779" i="10"/>
  <c r="BN779" i="10"/>
  <c r="BM779" i="10"/>
  <c r="BL779" i="10"/>
  <c r="BK779" i="10"/>
  <c r="BJ779" i="10"/>
  <c r="AU779" i="10"/>
  <c r="AT779" i="10"/>
  <c r="X779" i="10"/>
  <c r="W779" i="10"/>
  <c r="V779" i="10"/>
  <c r="CN778" i="10"/>
  <c r="CM778" i="10"/>
  <c r="A280" i="34" s="1"/>
  <c r="BV778" i="10"/>
  <c r="I280" i="34" s="1"/>
  <c r="BT778" i="10"/>
  <c r="BO778" i="10"/>
  <c r="BN778" i="10"/>
  <c r="BM778" i="10"/>
  <c r="BL778" i="10"/>
  <c r="BK778" i="10"/>
  <c r="BJ778" i="10"/>
  <c r="AU778" i="10"/>
  <c r="AT778" i="10"/>
  <c r="X778" i="10"/>
  <c r="W778" i="10"/>
  <c r="V778" i="10"/>
  <c r="CN777" i="10"/>
  <c r="CM777" i="10"/>
  <c r="A279" i="34" s="1"/>
  <c r="BV777" i="10"/>
  <c r="I279" i="34" s="1"/>
  <c r="BT777" i="10"/>
  <c r="BO777" i="10"/>
  <c r="BN777" i="10"/>
  <c r="BM777" i="10"/>
  <c r="BL777" i="10"/>
  <c r="BK777" i="10"/>
  <c r="BJ777" i="10"/>
  <c r="AU777" i="10"/>
  <c r="AT777" i="10"/>
  <c r="X777" i="10"/>
  <c r="W777" i="10"/>
  <c r="V777" i="10"/>
  <c r="CN776" i="10"/>
  <c r="CM776" i="10"/>
  <c r="A278" i="34" s="1"/>
  <c r="BV776" i="10"/>
  <c r="I278" i="34" s="1"/>
  <c r="BT776" i="10"/>
  <c r="BO776" i="10"/>
  <c r="BN776" i="10"/>
  <c r="BM776" i="10"/>
  <c r="BL776" i="10"/>
  <c r="BK776" i="10"/>
  <c r="BJ776" i="10"/>
  <c r="AU776" i="10"/>
  <c r="AT776" i="10"/>
  <c r="X776" i="10"/>
  <c r="W776" i="10"/>
  <c r="V776" i="10"/>
  <c r="CN775" i="10"/>
  <c r="CM775" i="10"/>
  <c r="A277" i="34" s="1"/>
  <c r="BV775" i="10"/>
  <c r="I277" i="34" s="1"/>
  <c r="BT775" i="10"/>
  <c r="CP775" i="10" s="1"/>
  <c r="BO775" i="10"/>
  <c r="BN775" i="10"/>
  <c r="BM775" i="10"/>
  <c r="BL775" i="10"/>
  <c r="BK775" i="10"/>
  <c r="BJ775" i="10"/>
  <c r="AW775" i="10"/>
  <c r="AV775" i="10"/>
  <c r="AU775" i="10"/>
  <c r="AT775" i="10"/>
  <c r="X775" i="10"/>
  <c r="W775" i="10"/>
  <c r="V775" i="10"/>
  <c r="CN774" i="10"/>
  <c r="CM774" i="10"/>
  <c r="A276" i="34" s="1"/>
  <c r="BV774" i="10"/>
  <c r="I276" i="34" s="1"/>
  <c r="BT774" i="10"/>
  <c r="BO774" i="10"/>
  <c r="BN774" i="10"/>
  <c r="BM774" i="10"/>
  <c r="BL774" i="10"/>
  <c r="BK774" i="10"/>
  <c r="BJ774" i="10"/>
  <c r="AW774" i="10"/>
  <c r="AV774" i="10"/>
  <c r="AU774" i="10"/>
  <c r="AT774" i="10"/>
  <c r="X774" i="10"/>
  <c r="W774" i="10"/>
  <c r="V774" i="10"/>
  <c r="CN773" i="10"/>
  <c r="CM773" i="10"/>
  <c r="A275" i="34" s="1"/>
  <c r="BV773" i="10"/>
  <c r="I275" i="34" s="1"/>
  <c r="BT773" i="10"/>
  <c r="BO773" i="10"/>
  <c r="BN773" i="10"/>
  <c r="BM773" i="10"/>
  <c r="BL773" i="10"/>
  <c r="BK773" i="10"/>
  <c r="BJ773" i="10"/>
  <c r="AW773" i="10"/>
  <c r="AV773" i="10"/>
  <c r="AU773" i="10"/>
  <c r="AT773" i="10"/>
  <c r="X773" i="10"/>
  <c r="W773" i="10"/>
  <c r="V773" i="10"/>
  <c r="CN772" i="10"/>
  <c r="CM772" i="10"/>
  <c r="A274" i="34" s="1"/>
  <c r="BV772" i="10"/>
  <c r="I274" i="34" s="1"/>
  <c r="BT772" i="10"/>
  <c r="CO772" i="10" s="1"/>
  <c r="O274" i="34" s="1"/>
  <c r="BO772" i="10"/>
  <c r="BN772" i="10"/>
  <c r="BM772" i="10"/>
  <c r="BL772" i="10"/>
  <c r="BK772" i="10"/>
  <c r="BJ772" i="10"/>
  <c r="AW772" i="10"/>
  <c r="AV772" i="10"/>
  <c r="AU772" i="10"/>
  <c r="AT772" i="10"/>
  <c r="X772" i="10"/>
  <c r="W772" i="10"/>
  <c r="V772" i="10"/>
  <c r="CN771" i="10"/>
  <c r="CM771" i="10"/>
  <c r="A273" i="34" s="1"/>
  <c r="BV771" i="10"/>
  <c r="I273" i="34" s="1"/>
  <c r="BT771" i="10"/>
  <c r="BO771" i="10"/>
  <c r="BN771" i="10"/>
  <c r="BM771" i="10"/>
  <c r="BL771" i="10"/>
  <c r="BK771" i="10"/>
  <c r="BJ771" i="10"/>
  <c r="AW771" i="10"/>
  <c r="AV771" i="10"/>
  <c r="AU771" i="10"/>
  <c r="AT771" i="10"/>
  <c r="X771" i="10"/>
  <c r="W771" i="10"/>
  <c r="V771" i="10"/>
  <c r="CN770" i="10"/>
  <c r="CM770" i="10"/>
  <c r="A272" i="34" s="1"/>
  <c r="BV770" i="10"/>
  <c r="I272" i="34" s="1"/>
  <c r="BT770" i="10"/>
  <c r="BO770" i="10"/>
  <c r="BN770" i="10"/>
  <c r="BM770" i="10"/>
  <c r="BL770" i="10"/>
  <c r="BK770" i="10"/>
  <c r="BJ770" i="10"/>
  <c r="AU770" i="10"/>
  <c r="AT770" i="10"/>
  <c r="X770" i="10"/>
  <c r="W770" i="10"/>
  <c r="V770" i="10"/>
  <c r="CN769" i="10"/>
  <c r="CM769" i="10"/>
  <c r="A271" i="34" s="1"/>
  <c r="BV769" i="10"/>
  <c r="I271" i="34" s="1"/>
  <c r="BT769" i="10"/>
  <c r="BO769" i="10"/>
  <c r="BN769" i="10"/>
  <c r="BM769" i="10"/>
  <c r="BL769" i="10"/>
  <c r="BK769" i="10"/>
  <c r="BJ769" i="10"/>
  <c r="AU769" i="10"/>
  <c r="AT769" i="10"/>
  <c r="X769" i="10"/>
  <c r="W769" i="10"/>
  <c r="V769" i="10"/>
  <c r="CN768" i="10"/>
  <c r="CM768" i="10"/>
  <c r="A270" i="34" s="1"/>
  <c r="BV768" i="10"/>
  <c r="I270" i="34" s="1"/>
  <c r="BT768" i="10"/>
  <c r="BO768" i="10"/>
  <c r="BN768" i="10"/>
  <c r="BM768" i="10"/>
  <c r="BL768" i="10"/>
  <c r="BK768" i="10"/>
  <c r="BJ768" i="10"/>
  <c r="AU768" i="10"/>
  <c r="AT768" i="10"/>
  <c r="X768" i="10"/>
  <c r="W768" i="10"/>
  <c r="V768" i="10"/>
  <c r="CN767" i="10"/>
  <c r="CM767" i="10"/>
  <c r="A269" i="34" s="1"/>
  <c r="BV767" i="10"/>
  <c r="I269" i="34" s="1"/>
  <c r="BT767" i="10"/>
  <c r="CO767" i="10" s="1"/>
  <c r="O269" i="34" s="1"/>
  <c r="BO767" i="10"/>
  <c r="BN767" i="10"/>
  <c r="BM767" i="10"/>
  <c r="BL767" i="10"/>
  <c r="BK767" i="10"/>
  <c r="BJ767" i="10"/>
  <c r="AU767" i="10"/>
  <c r="AT767" i="10"/>
  <c r="X767" i="10"/>
  <c r="W767" i="10"/>
  <c r="V767" i="10"/>
  <c r="CN766" i="10"/>
  <c r="CM766" i="10"/>
  <c r="A268" i="34" s="1"/>
  <c r="BV766" i="10"/>
  <c r="I268" i="34" s="1"/>
  <c r="BT766" i="10"/>
  <c r="CO766" i="10" s="1"/>
  <c r="O268" i="34" s="1"/>
  <c r="BO766" i="10"/>
  <c r="BN766" i="10"/>
  <c r="BM766" i="10"/>
  <c r="BL766" i="10"/>
  <c r="BK766" i="10"/>
  <c r="BJ766" i="10"/>
  <c r="AU766" i="10"/>
  <c r="AT766" i="10"/>
  <c r="X766" i="10"/>
  <c r="W766" i="10"/>
  <c r="V766" i="10"/>
  <c r="CO765" i="10"/>
  <c r="O267" i="34" s="1"/>
  <c r="CN765" i="10"/>
  <c r="CM765" i="10"/>
  <c r="A267" i="34" s="1"/>
  <c r="BV765" i="10"/>
  <c r="I267" i="34" s="1"/>
  <c r="BT765" i="10"/>
  <c r="CP765" i="10" s="1"/>
  <c r="BO765" i="10"/>
  <c r="BN765" i="10"/>
  <c r="BM765" i="10"/>
  <c r="BL765" i="10"/>
  <c r="BK765" i="10"/>
  <c r="BJ765" i="10"/>
  <c r="AU765" i="10"/>
  <c r="AT765" i="10"/>
  <c r="X765" i="10"/>
  <c r="W765" i="10"/>
  <c r="V765" i="10"/>
  <c r="CN764" i="10"/>
  <c r="CM764" i="10"/>
  <c r="A266" i="34" s="1"/>
  <c r="BV764" i="10"/>
  <c r="I266" i="34" s="1"/>
  <c r="BT764" i="10"/>
  <c r="H266" i="34" s="1"/>
  <c r="BO764" i="10"/>
  <c r="BN764" i="10"/>
  <c r="BM764" i="10"/>
  <c r="BL764" i="10"/>
  <c r="BK764" i="10"/>
  <c r="BJ764" i="10"/>
  <c r="AU764" i="10"/>
  <c r="AT764" i="10"/>
  <c r="X764" i="10"/>
  <c r="W764" i="10"/>
  <c r="V764" i="10"/>
  <c r="CP763" i="10"/>
  <c r="CN763" i="10"/>
  <c r="CM763" i="10"/>
  <c r="A265" i="34" s="1"/>
  <c r="BV763" i="10"/>
  <c r="I265" i="34" s="1"/>
  <c r="BT763" i="10"/>
  <c r="BO763" i="10"/>
  <c r="BN763" i="10"/>
  <c r="BM763" i="10"/>
  <c r="BL763" i="10"/>
  <c r="BK763" i="10"/>
  <c r="BJ763" i="10"/>
  <c r="AU763" i="10"/>
  <c r="AT763" i="10"/>
  <c r="X763" i="10"/>
  <c r="W763" i="10"/>
  <c r="V763" i="10"/>
  <c r="CN762" i="10"/>
  <c r="CM762" i="10"/>
  <c r="A264" i="34" s="1"/>
  <c r="BV762" i="10"/>
  <c r="I264" i="34" s="1"/>
  <c r="BT762" i="10"/>
  <c r="BO762" i="10"/>
  <c r="BN762" i="10"/>
  <c r="BM762" i="10"/>
  <c r="BL762" i="10"/>
  <c r="BK762" i="10"/>
  <c r="BJ762" i="10"/>
  <c r="AU762" i="10"/>
  <c r="AT762" i="10"/>
  <c r="X762" i="10"/>
  <c r="W762" i="10"/>
  <c r="V762" i="10"/>
  <c r="CN761" i="10"/>
  <c r="CM761" i="10"/>
  <c r="A263" i="34" s="1"/>
  <c r="BV761" i="10"/>
  <c r="I263" i="34" s="1"/>
  <c r="BT761" i="10"/>
  <c r="CO761" i="10" s="1"/>
  <c r="O263" i="34" s="1"/>
  <c r="BO761" i="10"/>
  <c r="BN761" i="10"/>
  <c r="BM761" i="10"/>
  <c r="BL761" i="10"/>
  <c r="BK761" i="10"/>
  <c r="BJ761" i="10"/>
  <c r="AU761" i="10"/>
  <c r="AT761" i="10"/>
  <c r="X761" i="10"/>
  <c r="W761" i="10"/>
  <c r="V761" i="10"/>
  <c r="CN760" i="10"/>
  <c r="CM760" i="10"/>
  <c r="A262" i="34" s="1"/>
  <c r="BV760" i="10"/>
  <c r="I262" i="34" s="1"/>
  <c r="BT760" i="10"/>
  <c r="CQ760" i="10" s="1"/>
  <c r="M262" i="34" s="1"/>
  <c r="BO760" i="10"/>
  <c r="BN760" i="10"/>
  <c r="BM760" i="10"/>
  <c r="BL760" i="10"/>
  <c r="BK760" i="10"/>
  <c r="BJ760" i="10"/>
  <c r="AU760" i="10"/>
  <c r="AT760" i="10"/>
  <c r="X760" i="10"/>
  <c r="W760" i="10"/>
  <c r="V760" i="10"/>
  <c r="CQ759" i="10"/>
  <c r="M261" i="34" s="1"/>
  <c r="CO759" i="10"/>
  <c r="O261" i="34" s="1"/>
  <c r="CN759" i="10"/>
  <c r="CM759" i="10"/>
  <c r="A261" i="34" s="1"/>
  <c r="BV759" i="10"/>
  <c r="I261" i="34" s="1"/>
  <c r="BT759" i="10"/>
  <c r="H261" i="34" s="1"/>
  <c r="BO759" i="10"/>
  <c r="BN759" i="10"/>
  <c r="BM759" i="10"/>
  <c r="BL759" i="10"/>
  <c r="BK759" i="10"/>
  <c r="BJ759" i="10"/>
  <c r="AU759" i="10"/>
  <c r="AT759" i="10"/>
  <c r="X759" i="10"/>
  <c r="W759" i="10"/>
  <c r="V759" i="10"/>
  <c r="CN758" i="10"/>
  <c r="CM758" i="10"/>
  <c r="A260" i="34" s="1"/>
  <c r="BV758" i="10"/>
  <c r="I260" i="34" s="1"/>
  <c r="BT758" i="10"/>
  <c r="CQ758" i="10" s="1"/>
  <c r="M260" i="34" s="1"/>
  <c r="BO758" i="10"/>
  <c r="BN758" i="10"/>
  <c r="BM758" i="10"/>
  <c r="BL758" i="10"/>
  <c r="BK758" i="10"/>
  <c r="BJ758" i="10"/>
  <c r="AU758" i="10"/>
  <c r="AT758" i="10"/>
  <c r="X758" i="10"/>
  <c r="W758" i="10"/>
  <c r="V758" i="10"/>
  <c r="CN757" i="10"/>
  <c r="CM757" i="10"/>
  <c r="A259" i="34" s="1"/>
  <c r="BV757" i="10"/>
  <c r="I259" i="34" s="1"/>
  <c r="BT757" i="10"/>
  <c r="CP757" i="10" s="1"/>
  <c r="BO757" i="10"/>
  <c r="BN757" i="10"/>
  <c r="BM757" i="10"/>
  <c r="BL757" i="10"/>
  <c r="BK757" i="10"/>
  <c r="BJ757" i="10"/>
  <c r="AU757" i="10"/>
  <c r="AT757" i="10"/>
  <c r="X757" i="10"/>
  <c r="W757" i="10"/>
  <c r="V757" i="10"/>
  <c r="CN756" i="10"/>
  <c r="CM756" i="10"/>
  <c r="A258" i="34" s="1"/>
  <c r="BV756" i="10"/>
  <c r="I258" i="34" s="1"/>
  <c r="BT756" i="10"/>
  <c r="CQ756" i="10" s="1"/>
  <c r="M258" i="34" s="1"/>
  <c r="BO756" i="10"/>
  <c r="BN756" i="10"/>
  <c r="BM756" i="10"/>
  <c r="BL756" i="10"/>
  <c r="BK756" i="10"/>
  <c r="BJ756" i="10"/>
  <c r="AU756" i="10"/>
  <c r="AT756" i="10"/>
  <c r="X756" i="10"/>
  <c r="W756" i="10"/>
  <c r="V756" i="10"/>
  <c r="CN755" i="10"/>
  <c r="CM755" i="10"/>
  <c r="A257" i="34" s="1"/>
  <c r="BV755" i="10"/>
  <c r="I257" i="34" s="1"/>
  <c r="BT755" i="10"/>
  <c r="BO755" i="10"/>
  <c r="BN755" i="10"/>
  <c r="BM755" i="10"/>
  <c r="BL755" i="10"/>
  <c r="BK755" i="10"/>
  <c r="BJ755" i="10"/>
  <c r="AU755" i="10"/>
  <c r="AT755" i="10"/>
  <c r="X755" i="10"/>
  <c r="W755" i="10"/>
  <c r="V755" i="10"/>
  <c r="CP754" i="10"/>
  <c r="CN754" i="10"/>
  <c r="CM754" i="10"/>
  <c r="A256" i="34" s="1"/>
  <c r="BV754" i="10"/>
  <c r="I256" i="34" s="1"/>
  <c r="BT754" i="10"/>
  <c r="CO754" i="10" s="1"/>
  <c r="O256" i="34" s="1"/>
  <c r="BO754" i="10"/>
  <c r="BN754" i="10"/>
  <c r="BM754" i="10"/>
  <c r="BL754" i="10"/>
  <c r="BK754" i="10"/>
  <c r="BJ754" i="10"/>
  <c r="AU754" i="10"/>
  <c r="AT754" i="10"/>
  <c r="X754" i="10"/>
  <c r="W754" i="10"/>
  <c r="V754" i="10"/>
  <c r="CN753" i="10"/>
  <c r="CM753" i="10"/>
  <c r="A255" i="34" s="1"/>
  <c r="BV753" i="10"/>
  <c r="I255" i="34" s="1"/>
  <c r="BT753" i="10"/>
  <c r="CP753" i="10" s="1"/>
  <c r="BO753" i="10"/>
  <c r="BN753" i="10"/>
  <c r="BM753" i="10"/>
  <c r="BL753" i="10"/>
  <c r="BK753" i="10"/>
  <c r="BJ753" i="10"/>
  <c r="AU753" i="10"/>
  <c r="AT753" i="10"/>
  <c r="X753" i="10"/>
  <c r="W753" i="10"/>
  <c r="V753" i="10"/>
  <c r="CN752" i="10"/>
  <c r="CM752" i="10"/>
  <c r="A254" i="34" s="1"/>
  <c r="BV752" i="10"/>
  <c r="BT752" i="10"/>
  <c r="CO752" i="10" s="1"/>
  <c r="O254" i="34" s="1"/>
  <c r="BO752" i="10"/>
  <c r="BN752" i="10"/>
  <c r="BM752" i="10"/>
  <c r="BL752" i="10"/>
  <c r="BK752" i="10"/>
  <c r="BJ752" i="10"/>
  <c r="AU752" i="10"/>
  <c r="AT752" i="10"/>
  <c r="X752" i="10"/>
  <c r="W752" i="10"/>
  <c r="V752" i="10"/>
  <c r="CN751" i="10"/>
  <c r="CM751" i="10"/>
  <c r="A253" i="34" s="1"/>
  <c r="BV751" i="10"/>
  <c r="I253" i="34" s="1"/>
  <c r="BT751" i="10"/>
  <c r="CQ751" i="10" s="1"/>
  <c r="M253" i="34" s="1"/>
  <c r="BO751" i="10"/>
  <c r="BN751" i="10"/>
  <c r="BM751" i="10"/>
  <c r="BL751" i="10"/>
  <c r="BK751" i="10"/>
  <c r="BJ751" i="10"/>
  <c r="AU751" i="10"/>
  <c r="AT751" i="10"/>
  <c r="X751" i="10"/>
  <c r="W751" i="10"/>
  <c r="V751" i="10"/>
  <c r="CN750" i="10"/>
  <c r="CM750" i="10"/>
  <c r="A252" i="34" s="1"/>
  <c r="BV750" i="10"/>
  <c r="I252" i="34" s="1"/>
  <c r="BT750" i="10"/>
  <c r="CP750" i="10" s="1"/>
  <c r="BO750" i="10"/>
  <c r="BN750" i="10"/>
  <c r="BM750" i="10"/>
  <c r="BL750" i="10"/>
  <c r="BK750" i="10"/>
  <c r="BJ750" i="10"/>
  <c r="AU750" i="10"/>
  <c r="AT750" i="10"/>
  <c r="X750" i="10"/>
  <c r="W750" i="10"/>
  <c r="V750" i="10"/>
  <c r="CN749" i="10"/>
  <c r="CM749" i="10"/>
  <c r="A251" i="34" s="1"/>
  <c r="BV749" i="10"/>
  <c r="I251" i="34" s="1"/>
  <c r="BT749" i="10"/>
  <c r="BO749" i="10"/>
  <c r="BN749" i="10"/>
  <c r="BM749" i="10"/>
  <c r="BL749" i="10"/>
  <c r="BK749" i="10"/>
  <c r="BJ749" i="10"/>
  <c r="AU749" i="10"/>
  <c r="AT749" i="10"/>
  <c r="X749" i="10"/>
  <c r="W749" i="10"/>
  <c r="V749" i="10"/>
  <c r="CN748" i="10"/>
  <c r="CM748" i="10"/>
  <c r="A250" i="34" s="1"/>
  <c r="BV748" i="10"/>
  <c r="I250" i="34" s="1"/>
  <c r="BT748" i="10"/>
  <c r="BO748" i="10"/>
  <c r="BN748" i="10"/>
  <c r="BM748" i="10"/>
  <c r="BL748" i="10"/>
  <c r="BK748" i="10"/>
  <c r="BJ748" i="10"/>
  <c r="AU748" i="10"/>
  <c r="AT748" i="10"/>
  <c r="X748" i="10"/>
  <c r="W748" i="10"/>
  <c r="V748" i="10"/>
  <c r="CN747" i="10"/>
  <c r="CM747" i="10"/>
  <c r="A249" i="34" s="1"/>
  <c r="BV747" i="10"/>
  <c r="BT747" i="10"/>
  <c r="H249" i="34" s="1"/>
  <c r="BO747" i="10"/>
  <c r="BN747" i="10"/>
  <c r="BM747" i="10"/>
  <c r="BL747" i="10"/>
  <c r="BK747" i="10"/>
  <c r="BJ747" i="10"/>
  <c r="AU747" i="10"/>
  <c r="AT747" i="10"/>
  <c r="X747" i="10"/>
  <c r="W747" i="10"/>
  <c r="V747" i="10"/>
  <c r="CN746" i="10"/>
  <c r="CM746" i="10"/>
  <c r="A248" i="34" s="1"/>
  <c r="BV746" i="10"/>
  <c r="I248" i="34" s="1"/>
  <c r="BT746" i="10"/>
  <c r="BO746" i="10"/>
  <c r="BN746" i="10"/>
  <c r="BM746" i="10"/>
  <c r="BL746" i="10"/>
  <c r="BK746" i="10"/>
  <c r="BJ746" i="10"/>
  <c r="AU746" i="10"/>
  <c r="AT746" i="10"/>
  <c r="X746" i="10"/>
  <c r="W746" i="10"/>
  <c r="V746" i="10"/>
  <c r="CN745" i="10"/>
  <c r="CM745" i="10"/>
  <c r="A247" i="34" s="1"/>
  <c r="BV745" i="10"/>
  <c r="I247" i="34" s="1"/>
  <c r="BT745" i="10"/>
  <c r="BO745" i="10"/>
  <c r="BN745" i="10"/>
  <c r="BM745" i="10"/>
  <c r="BL745" i="10"/>
  <c r="BK745" i="10"/>
  <c r="BJ745" i="10"/>
  <c r="AU745" i="10"/>
  <c r="AT745" i="10"/>
  <c r="X745" i="10"/>
  <c r="W745" i="10"/>
  <c r="V745" i="10"/>
  <c r="CN744" i="10"/>
  <c r="CM744" i="10"/>
  <c r="A246" i="34" s="1"/>
  <c r="BV744" i="10"/>
  <c r="I246" i="34" s="1"/>
  <c r="BT744" i="10"/>
  <c r="BO744" i="10"/>
  <c r="BN744" i="10"/>
  <c r="BM744" i="10"/>
  <c r="BL744" i="10"/>
  <c r="BK744" i="10"/>
  <c r="BJ744" i="10"/>
  <c r="AU744" i="10"/>
  <c r="AT744" i="10"/>
  <c r="X744" i="10"/>
  <c r="W744" i="10"/>
  <c r="V744" i="10"/>
  <c r="CP743" i="10"/>
  <c r="CN743" i="10"/>
  <c r="CM743" i="10"/>
  <c r="A245" i="34" s="1"/>
  <c r="BV743" i="10"/>
  <c r="I245" i="34" s="1"/>
  <c r="BT743" i="10"/>
  <c r="CO743" i="10" s="1"/>
  <c r="O245" i="34" s="1"/>
  <c r="BO743" i="10"/>
  <c r="BN743" i="10"/>
  <c r="BM743" i="10"/>
  <c r="BL743" i="10"/>
  <c r="BK743" i="10"/>
  <c r="BJ743" i="10"/>
  <c r="AU743" i="10"/>
  <c r="AT743" i="10"/>
  <c r="X743" i="10"/>
  <c r="W743" i="10"/>
  <c r="V743" i="10"/>
  <c r="CN742" i="10"/>
  <c r="CM742" i="10"/>
  <c r="A244" i="34" s="1"/>
  <c r="BV742" i="10"/>
  <c r="I244" i="34" s="1"/>
  <c r="BT742" i="10"/>
  <c r="BO742" i="10"/>
  <c r="BN742" i="10"/>
  <c r="BM742" i="10"/>
  <c r="BL742" i="10"/>
  <c r="BK742" i="10"/>
  <c r="BJ742" i="10"/>
  <c r="AU742" i="10"/>
  <c r="AT742" i="10"/>
  <c r="X742" i="10"/>
  <c r="W742" i="10"/>
  <c r="V742" i="10"/>
  <c r="CN741" i="10"/>
  <c r="CM741" i="10"/>
  <c r="A243" i="34" s="1"/>
  <c r="BV741" i="10"/>
  <c r="I243" i="34" s="1"/>
  <c r="BT741" i="10"/>
  <c r="CQ741" i="10" s="1"/>
  <c r="M243" i="34" s="1"/>
  <c r="BO741" i="10"/>
  <c r="BN741" i="10"/>
  <c r="BM741" i="10"/>
  <c r="BL741" i="10"/>
  <c r="BK741" i="10"/>
  <c r="BJ741" i="10"/>
  <c r="AU741" i="10"/>
  <c r="AT741" i="10"/>
  <c r="X741" i="10"/>
  <c r="W741" i="10"/>
  <c r="V741" i="10"/>
  <c r="CN740" i="10"/>
  <c r="CM740" i="10"/>
  <c r="A242" i="34" s="1"/>
  <c r="BV740" i="10"/>
  <c r="I242" i="34" s="1"/>
  <c r="BT740" i="10"/>
  <c r="CO740" i="10" s="1"/>
  <c r="O242" i="34" s="1"/>
  <c r="BO740" i="10"/>
  <c r="BN740" i="10"/>
  <c r="BM740" i="10"/>
  <c r="BL740" i="10"/>
  <c r="BK740" i="10"/>
  <c r="BJ740" i="10"/>
  <c r="AU740" i="10"/>
  <c r="AT740" i="10"/>
  <c r="X740" i="10"/>
  <c r="W740" i="10"/>
  <c r="V740" i="10"/>
  <c r="CP739" i="10"/>
  <c r="CN739" i="10"/>
  <c r="CM739" i="10"/>
  <c r="A241" i="34" s="1"/>
  <c r="BV739" i="10"/>
  <c r="I241" i="34" s="1"/>
  <c r="BT739" i="10"/>
  <c r="CQ739" i="10" s="1"/>
  <c r="M241" i="34" s="1"/>
  <c r="BO739" i="10"/>
  <c r="BN739" i="10"/>
  <c r="BM739" i="10"/>
  <c r="BL739" i="10"/>
  <c r="BK739" i="10"/>
  <c r="BJ739" i="10"/>
  <c r="AU739" i="10"/>
  <c r="AT739" i="10"/>
  <c r="X739" i="10"/>
  <c r="W739" i="10"/>
  <c r="V739" i="10"/>
  <c r="CN738" i="10"/>
  <c r="CM738" i="10"/>
  <c r="A240" i="34" s="1"/>
  <c r="BV738" i="10"/>
  <c r="I240" i="34" s="1"/>
  <c r="BT738" i="10"/>
  <c r="BO738" i="10"/>
  <c r="BN738" i="10"/>
  <c r="BM738" i="10"/>
  <c r="BL738" i="10"/>
  <c r="BK738" i="10"/>
  <c r="BJ738" i="10"/>
  <c r="AU738" i="10"/>
  <c r="AT738" i="10"/>
  <c r="X738" i="10"/>
  <c r="W738" i="10"/>
  <c r="V738" i="10"/>
  <c r="CN737" i="10"/>
  <c r="CM737" i="10"/>
  <c r="A239" i="34" s="1"/>
  <c r="BV737" i="10"/>
  <c r="I239" i="34" s="1"/>
  <c r="BT737" i="10"/>
  <c r="CQ737" i="10" s="1"/>
  <c r="M239" i="34" s="1"/>
  <c r="BO737" i="10"/>
  <c r="BN737" i="10"/>
  <c r="BM737" i="10"/>
  <c r="BL737" i="10"/>
  <c r="BK737" i="10"/>
  <c r="BJ737" i="10"/>
  <c r="AU737" i="10"/>
  <c r="AT737" i="10"/>
  <c r="AB737" i="10"/>
  <c r="X737" i="10"/>
  <c r="W737" i="10"/>
  <c r="V737" i="10"/>
  <c r="CQ736" i="10"/>
  <c r="M238" i="34" s="1"/>
  <c r="CN736" i="10"/>
  <c r="CM736" i="10"/>
  <c r="A238" i="34" s="1"/>
  <c r="BV736" i="10"/>
  <c r="I238" i="34" s="1"/>
  <c r="BT736" i="10"/>
  <c r="BO736" i="10"/>
  <c r="BN736" i="10"/>
  <c r="BM736" i="10"/>
  <c r="BL736" i="10"/>
  <c r="BK736" i="10"/>
  <c r="BJ736" i="10"/>
  <c r="AU736" i="10"/>
  <c r="AT736" i="10"/>
  <c r="X736" i="10"/>
  <c r="W736" i="10"/>
  <c r="V736" i="10"/>
  <c r="CP735" i="10"/>
  <c r="CN735" i="10"/>
  <c r="CM735" i="10"/>
  <c r="A237" i="34" s="1"/>
  <c r="BV735" i="10"/>
  <c r="I237" i="34" s="1"/>
  <c r="BT735" i="10"/>
  <c r="BO735" i="10"/>
  <c r="BN735" i="10"/>
  <c r="BM735" i="10"/>
  <c r="BL735" i="10"/>
  <c r="BK735" i="10"/>
  <c r="BJ735" i="10"/>
  <c r="AU735" i="10"/>
  <c r="AT735" i="10"/>
  <c r="X735" i="10"/>
  <c r="W735" i="10"/>
  <c r="V735" i="10"/>
  <c r="CN734" i="10"/>
  <c r="CM734" i="10"/>
  <c r="A236" i="34" s="1"/>
  <c r="BV734" i="10"/>
  <c r="I236" i="34" s="1"/>
  <c r="BT734" i="10"/>
  <c r="BO734" i="10"/>
  <c r="BN734" i="10"/>
  <c r="BM734" i="10"/>
  <c r="BL734" i="10"/>
  <c r="BK734" i="10"/>
  <c r="BJ734" i="10"/>
  <c r="AU734" i="10"/>
  <c r="AT734" i="10"/>
  <c r="X734" i="10"/>
  <c r="W734" i="10"/>
  <c r="V734" i="10"/>
  <c r="CN733" i="10"/>
  <c r="CM733" i="10"/>
  <c r="A235" i="34" s="1"/>
  <c r="BV733" i="10"/>
  <c r="BT733" i="10"/>
  <c r="BO733" i="10"/>
  <c r="BN733" i="10"/>
  <c r="BM733" i="10"/>
  <c r="BL733" i="10"/>
  <c r="BK733" i="10"/>
  <c r="BJ733" i="10"/>
  <c r="AU733" i="10"/>
  <c r="AT733" i="10"/>
  <c r="X733" i="10"/>
  <c r="W733" i="10"/>
  <c r="V733" i="10"/>
  <c r="CQ732" i="10"/>
  <c r="M234" i="34" s="1"/>
  <c r="CN732" i="10"/>
  <c r="CM732" i="10"/>
  <c r="A234" i="34" s="1"/>
  <c r="BV732" i="10"/>
  <c r="I234" i="34" s="1"/>
  <c r="BT732" i="10"/>
  <c r="BO732" i="10"/>
  <c r="BN732" i="10"/>
  <c r="BM732" i="10"/>
  <c r="BL732" i="10"/>
  <c r="BK732" i="10"/>
  <c r="BJ732" i="10"/>
  <c r="AU732" i="10"/>
  <c r="AT732" i="10"/>
  <c r="X732" i="10"/>
  <c r="W732" i="10"/>
  <c r="V732" i="10"/>
  <c r="CN731" i="10"/>
  <c r="CM731" i="10"/>
  <c r="A233" i="34" s="1"/>
  <c r="BV731" i="10"/>
  <c r="I233" i="34" s="1"/>
  <c r="BT731" i="10"/>
  <c r="BO731" i="10"/>
  <c r="BN731" i="10"/>
  <c r="BM731" i="10"/>
  <c r="BL731" i="10"/>
  <c r="BK731" i="10"/>
  <c r="BJ731" i="10"/>
  <c r="AU731" i="10"/>
  <c r="AT731" i="10"/>
  <c r="X731" i="10"/>
  <c r="W731" i="10"/>
  <c r="V731" i="10"/>
  <c r="CN730" i="10"/>
  <c r="CM730" i="10"/>
  <c r="A232" i="34" s="1"/>
  <c r="BV730" i="10"/>
  <c r="I232" i="34" s="1"/>
  <c r="BT730" i="10"/>
  <c r="BO730" i="10"/>
  <c r="BN730" i="10"/>
  <c r="BM730" i="10"/>
  <c r="BL730" i="10"/>
  <c r="BK730" i="10"/>
  <c r="BJ730" i="10"/>
  <c r="AU730" i="10"/>
  <c r="AT730" i="10"/>
  <c r="X730" i="10"/>
  <c r="W730" i="10"/>
  <c r="V730" i="10"/>
  <c r="CQ729" i="10"/>
  <c r="M231" i="34" s="1"/>
  <c r="CO729" i="10"/>
  <c r="O231" i="34" s="1"/>
  <c r="CN729" i="10"/>
  <c r="CM729" i="10"/>
  <c r="A231" i="34" s="1"/>
  <c r="BV729" i="10"/>
  <c r="I231" i="34" s="1"/>
  <c r="BT729" i="10"/>
  <c r="H231" i="34" s="1"/>
  <c r="BO729" i="10"/>
  <c r="BN729" i="10"/>
  <c r="BM729" i="10"/>
  <c r="BL729" i="10"/>
  <c r="BK729" i="10"/>
  <c r="BJ729" i="10"/>
  <c r="AU729" i="10"/>
  <c r="AT729" i="10"/>
  <c r="X729" i="10"/>
  <c r="W729" i="10"/>
  <c r="V729" i="10"/>
  <c r="CN728" i="10"/>
  <c r="CM728" i="10"/>
  <c r="A230" i="34" s="1"/>
  <c r="BV728" i="10"/>
  <c r="I230" i="34" s="1"/>
  <c r="BT728" i="10"/>
  <c r="BO728" i="10"/>
  <c r="BN728" i="10"/>
  <c r="BM728" i="10"/>
  <c r="BL728" i="10"/>
  <c r="BK728" i="10"/>
  <c r="BJ728" i="10"/>
  <c r="AU728" i="10"/>
  <c r="AT728" i="10"/>
  <c r="X728" i="10"/>
  <c r="W728" i="10"/>
  <c r="V728" i="10"/>
  <c r="CO727" i="10"/>
  <c r="O229" i="34" s="1"/>
  <c r="CN727" i="10"/>
  <c r="CM727" i="10"/>
  <c r="A229" i="34" s="1"/>
  <c r="BV727" i="10"/>
  <c r="I229" i="34" s="1"/>
  <c r="BT727" i="10"/>
  <c r="CP727" i="10" s="1"/>
  <c r="BO727" i="10"/>
  <c r="BN727" i="10"/>
  <c r="BM727" i="10"/>
  <c r="BL727" i="10"/>
  <c r="BK727" i="10"/>
  <c r="BJ727" i="10"/>
  <c r="AU727" i="10"/>
  <c r="AT727" i="10"/>
  <c r="X727" i="10"/>
  <c r="W727" i="10"/>
  <c r="V727" i="10"/>
  <c r="CN726" i="10"/>
  <c r="CM726" i="10"/>
  <c r="A228" i="34" s="1"/>
  <c r="BV726" i="10"/>
  <c r="I228" i="34" s="1"/>
  <c r="BT726" i="10"/>
  <c r="BO726" i="10"/>
  <c r="BN726" i="10"/>
  <c r="BM726" i="10"/>
  <c r="BL726" i="10"/>
  <c r="BK726" i="10"/>
  <c r="BJ726" i="10"/>
  <c r="AU726" i="10"/>
  <c r="AT726" i="10"/>
  <c r="X726" i="10"/>
  <c r="W726" i="10"/>
  <c r="V726" i="10"/>
  <c r="CN725" i="10"/>
  <c r="CM725" i="10"/>
  <c r="A227" i="34" s="1"/>
  <c r="BV725" i="10"/>
  <c r="BT725" i="10"/>
  <c r="BO725" i="10"/>
  <c r="BN725" i="10"/>
  <c r="BM725" i="10"/>
  <c r="BL725" i="10"/>
  <c r="BK725" i="10"/>
  <c r="BJ725" i="10"/>
  <c r="AU725" i="10"/>
  <c r="AT725" i="10"/>
  <c r="X725" i="10"/>
  <c r="W725" i="10"/>
  <c r="V725" i="10"/>
  <c r="CN724" i="10"/>
  <c r="CM724" i="10"/>
  <c r="A226" i="34" s="1"/>
  <c r="BV724" i="10"/>
  <c r="I226" i="34" s="1"/>
  <c r="BT724" i="10"/>
  <c r="BO724" i="10"/>
  <c r="BN724" i="10"/>
  <c r="BM724" i="10"/>
  <c r="BL724" i="10"/>
  <c r="BK724" i="10"/>
  <c r="BJ724" i="10"/>
  <c r="AU724" i="10"/>
  <c r="AT724" i="10"/>
  <c r="X724" i="10"/>
  <c r="W724" i="10"/>
  <c r="V724" i="10"/>
  <c r="CN723" i="10"/>
  <c r="CM723" i="10"/>
  <c r="A225" i="34" s="1"/>
  <c r="BV723" i="10"/>
  <c r="BT723" i="10"/>
  <c r="BO723" i="10"/>
  <c r="BN723" i="10"/>
  <c r="BM723" i="10"/>
  <c r="BL723" i="10"/>
  <c r="BK723" i="10"/>
  <c r="BJ723" i="10"/>
  <c r="AW723" i="10"/>
  <c r="AV723" i="10"/>
  <c r="AU723" i="10"/>
  <c r="AT723" i="10"/>
  <c r="X723" i="10"/>
  <c r="W723" i="10"/>
  <c r="V723" i="10"/>
  <c r="CN722" i="10"/>
  <c r="CM722" i="10"/>
  <c r="A224" i="34" s="1"/>
  <c r="BV722" i="10"/>
  <c r="I224" i="34" s="1"/>
  <c r="BT722" i="10"/>
  <c r="BO722" i="10"/>
  <c r="BN722" i="10"/>
  <c r="BM722" i="10"/>
  <c r="BL722" i="10"/>
  <c r="BK722" i="10"/>
  <c r="BJ722" i="10"/>
  <c r="AW722" i="10"/>
  <c r="AV722" i="10"/>
  <c r="AU722" i="10"/>
  <c r="AT722" i="10"/>
  <c r="X722" i="10"/>
  <c r="W722" i="10"/>
  <c r="V722" i="10"/>
  <c r="CN721" i="10"/>
  <c r="CM721" i="10"/>
  <c r="A223" i="34" s="1"/>
  <c r="BV721" i="10"/>
  <c r="I223" i="34" s="1"/>
  <c r="BT721" i="10"/>
  <c r="CO721" i="10" s="1"/>
  <c r="O223" i="34" s="1"/>
  <c r="BO721" i="10"/>
  <c r="BN721" i="10"/>
  <c r="BM721" i="10"/>
  <c r="BL721" i="10"/>
  <c r="BK721" i="10"/>
  <c r="BJ721" i="10"/>
  <c r="AW721" i="10"/>
  <c r="AV721" i="10"/>
  <c r="AU721" i="10"/>
  <c r="AT721" i="10"/>
  <c r="X721" i="10"/>
  <c r="W721" i="10"/>
  <c r="V721" i="10"/>
  <c r="CN720" i="10"/>
  <c r="CM720" i="10"/>
  <c r="A222" i="34" s="1"/>
  <c r="BV720" i="10"/>
  <c r="I222" i="34" s="1"/>
  <c r="BT720" i="10"/>
  <c r="CQ720" i="10" s="1"/>
  <c r="M222" i="34" s="1"/>
  <c r="BO720" i="10"/>
  <c r="BN720" i="10"/>
  <c r="BM720" i="10"/>
  <c r="BL720" i="10"/>
  <c r="BK720" i="10"/>
  <c r="BJ720" i="10"/>
  <c r="AW720" i="10"/>
  <c r="AV720" i="10"/>
  <c r="AU720" i="10"/>
  <c r="AT720" i="10"/>
  <c r="X720" i="10"/>
  <c r="W720" i="10"/>
  <c r="V720" i="10"/>
  <c r="CN719" i="10"/>
  <c r="CM719" i="10"/>
  <c r="A221" i="34" s="1"/>
  <c r="BV719" i="10"/>
  <c r="I221" i="34" s="1"/>
  <c r="BT719" i="10"/>
  <c r="H221" i="34" s="1"/>
  <c r="BO719" i="10"/>
  <c r="BN719" i="10"/>
  <c r="BM719" i="10"/>
  <c r="BL719" i="10"/>
  <c r="BK719" i="10"/>
  <c r="BJ719" i="10"/>
  <c r="AU719" i="10"/>
  <c r="AT719" i="10"/>
  <c r="X719" i="10"/>
  <c r="W719" i="10"/>
  <c r="V719" i="10"/>
  <c r="CN718" i="10"/>
  <c r="CM718" i="10"/>
  <c r="A220" i="34" s="1"/>
  <c r="BV718" i="10"/>
  <c r="BT718" i="10"/>
  <c r="BO718" i="10"/>
  <c r="BN718" i="10"/>
  <c r="BM718" i="10"/>
  <c r="BL718" i="10"/>
  <c r="BK718" i="10"/>
  <c r="BJ718" i="10"/>
  <c r="AU718" i="10"/>
  <c r="AT718" i="10"/>
  <c r="X718" i="10"/>
  <c r="W718" i="10"/>
  <c r="V718" i="10"/>
  <c r="CN717" i="10"/>
  <c r="CM717" i="10"/>
  <c r="A219" i="34" s="1"/>
  <c r="BV717" i="10"/>
  <c r="I219" i="34" s="1"/>
  <c r="BT717" i="10"/>
  <c r="CQ717" i="10" s="1"/>
  <c r="M219" i="34" s="1"/>
  <c r="BO717" i="10"/>
  <c r="BN717" i="10"/>
  <c r="BM717" i="10"/>
  <c r="BL717" i="10"/>
  <c r="BK717" i="10"/>
  <c r="BJ717" i="10"/>
  <c r="AU717" i="10"/>
  <c r="AT717" i="10"/>
  <c r="X717" i="10"/>
  <c r="W717" i="10"/>
  <c r="V717" i="10"/>
  <c r="CN716" i="10"/>
  <c r="CM716" i="10"/>
  <c r="A218" i="34" s="1"/>
  <c r="BV716" i="10"/>
  <c r="I218" i="34" s="1"/>
  <c r="BT716" i="10"/>
  <c r="BO716" i="10"/>
  <c r="BN716" i="10"/>
  <c r="BM716" i="10"/>
  <c r="BL716" i="10"/>
  <c r="BK716" i="10"/>
  <c r="BJ716" i="10"/>
  <c r="AU716" i="10"/>
  <c r="AT716" i="10"/>
  <c r="X716" i="10"/>
  <c r="W716" i="10"/>
  <c r="V716" i="10"/>
  <c r="CN715" i="10"/>
  <c r="CM715" i="10"/>
  <c r="A217" i="34" s="1"/>
  <c r="BV715" i="10"/>
  <c r="BT715" i="10"/>
  <c r="BO715" i="10"/>
  <c r="BN715" i="10"/>
  <c r="BM715" i="10"/>
  <c r="BL715" i="10"/>
  <c r="BK715" i="10"/>
  <c r="BJ715" i="10"/>
  <c r="AU715" i="10"/>
  <c r="AT715" i="10"/>
  <c r="X715" i="10"/>
  <c r="W715" i="10"/>
  <c r="V715" i="10"/>
  <c r="CN714" i="10"/>
  <c r="CM714" i="10"/>
  <c r="A216" i="34" s="1"/>
  <c r="BV714" i="10"/>
  <c r="I216" i="34" s="1"/>
  <c r="BT714" i="10"/>
  <c r="H216" i="34" s="1"/>
  <c r="BO714" i="10"/>
  <c r="BN714" i="10"/>
  <c r="BM714" i="10"/>
  <c r="BL714" i="10"/>
  <c r="BK714" i="10"/>
  <c r="BJ714" i="10"/>
  <c r="AU714" i="10"/>
  <c r="AT714" i="10"/>
  <c r="X714" i="10"/>
  <c r="W714" i="10"/>
  <c r="V714" i="10"/>
  <c r="CN713" i="10"/>
  <c r="CM713" i="10"/>
  <c r="A215" i="34" s="1"/>
  <c r="BV713" i="10"/>
  <c r="I215" i="34" s="1"/>
  <c r="BT713" i="10"/>
  <c r="CQ713" i="10" s="1"/>
  <c r="M215" i="34" s="1"/>
  <c r="BO713" i="10"/>
  <c r="BN713" i="10"/>
  <c r="BM713" i="10"/>
  <c r="BL713" i="10"/>
  <c r="BK713" i="10"/>
  <c r="BJ713" i="10"/>
  <c r="AU713" i="10"/>
  <c r="AT713" i="10"/>
  <c r="X713" i="10"/>
  <c r="W713" i="10"/>
  <c r="V713" i="10"/>
  <c r="CN712" i="10"/>
  <c r="CM712" i="10"/>
  <c r="A214" i="34" s="1"/>
  <c r="BV712" i="10"/>
  <c r="BT712" i="10"/>
  <c r="CO712" i="10" s="1"/>
  <c r="O214" i="34" s="1"/>
  <c r="BO712" i="10"/>
  <c r="BN712" i="10"/>
  <c r="BM712" i="10"/>
  <c r="BL712" i="10"/>
  <c r="BK712" i="10"/>
  <c r="BJ712" i="10"/>
  <c r="AU712" i="10"/>
  <c r="AT712" i="10"/>
  <c r="X712" i="10"/>
  <c r="W712" i="10"/>
  <c r="V712" i="10"/>
  <c r="CN711" i="10"/>
  <c r="CM711" i="10"/>
  <c r="A213" i="34" s="1"/>
  <c r="BV711" i="10"/>
  <c r="I213" i="34" s="1"/>
  <c r="BT711" i="10"/>
  <c r="CO711" i="10" s="1"/>
  <c r="O213" i="34" s="1"/>
  <c r="BO711" i="10"/>
  <c r="BN711" i="10"/>
  <c r="BM711" i="10"/>
  <c r="BL711" i="10"/>
  <c r="BK711" i="10"/>
  <c r="BJ711" i="10"/>
  <c r="AU711" i="10"/>
  <c r="AT711" i="10"/>
  <c r="X711" i="10"/>
  <c r="W711" i="10"/>
  <c r="V711" i="10"/>
  <c r="CN710" i="10"/>
  <c r="CM710" i="10"/>
  <c r="A212" i="34" s="1"/>
  <c r="BV710" i="10"/>
  <c r="I212" i="34" s="1"/>
  <c r="BT710" i="10"/>
  <c r="BO710" i="10"/>
  <c r="BN710" i="10"/>
  <c r="BM710" i="10"/>
  <c r="BL710" i="10"/>
  <c r="BK710" i="10"/>
  <c r="BJ710" i="10"/>
  <c r="AU710" i="10"/>
  <c r="AT710" i="10"/>
  <c r="X710" i="10"/>
  <c r="W710" i="10"/>
  <c r="V710" i="10"/>
  <c r="CN709" i="10"/>
  <c r="CM709" i="10"/>
  <c r="A211" i="34" s="1"/>
  <c r="BV709" i="10"/>
  <c r="I211" i="34" s="1"/>
  <c r="BT709" i="10"/>
  <c r="BO709" i="10"/>
  <c r="BN709" i="10"/>
  <c r="BM709" i="10"/>
  <c r="BL709" i="10"/>
  <c r="BK709" i="10"/>
  <c r="BJ709" i="10"/>
  <c r="AU709" i="10"/>
  <c r="AT709" i="10"/>
  <c r="X709" i="10"/>
  <c r="W709" i="10"/>
  <c r="V709" i="10"/>
  <c r="H709" i="10"/>
  <c r="CN708" i="10"/>
  <c r="CM708" i="10"/>
  <c r="A210" i="34" s="1"/>
  <c r="BV708" i="10"/>
  <c r="I210" i="34" s="1"/>
  <c r="BT708" i="10"/>
  <c r="CO708" i="10" s="1"/>
  <c r="O210" i="34" s="1"/>
  <c r="BO708" i="10"/>
  <c r="BN708" i="10"/>
  <c r="BM708" i="10"/>
  <c r="BL708" i="10"/>
  <c r="BK708" i="10"/>
  <c r="BJ708" i="10"/>
  <c r="AU708" i="10"/>
  <c r="AT708" i="10"/>
  <c r="X708" i="10"/>
  <c r="W708" i="10"/>
  <c r="V708" i="10"/>
  <c r="CN707" i="10"/>
  <c r="CM707" i="10"/>
  <c r="A209" i="34" s="1"/>
  <c r="BV707" i="10"/>
  <c r="I209" i="34" s="1"/>
  <c r="BT707" i="10"/>
  <c r="BO707" i="10"/>
  <c r="BN707" i="10"/>
  <c r="BM707" i="10"/>
  <c r="BL707" i="10"/>
  <c r="BK707" i="10"/>
  <c r="BJ707" i="10"/>
  <c r="AU707" i="10"/>
  <c r="AT707" i="10"/>
  <c r="X707" i="10"/>
  <c r="W707" i="10"/>
  <c r="V707" i="10"/>
  <c r="CN706" i="10"/>
  <c r="CM706" i="10"/>
  <c r="A208" i="34" s="1"/>
  <c r="BV706" i="10"/>
  <c r="I208" i="34" s="1"/>
  <c r="BT706" i="10"/>
  <c r="CQ706" i="10" s="1"/>
  <c r="M208" i="34" s="1"/>
  <c r="BO706" i="10"/>
  <c r="BN706" i="10"/>
  <c r="BM706" i="10"/>
  <c r="BL706" i="10"/>
  <c r="BK706" i="10"/>
  <c r="BJ706" i="10"/>
  <c r="AU706" i="10"/>
  <c r="AT706" i="10"/>
  <c r="X706" i="10"/>
  <c r="W706" i="10"/>
  <c r="V706" i="10"/>
  <c r="CN705" i="10"/>
  <c r="CM705" i="10"/>
  <c r="A207" i="34" s="1"/>
  <c r="BV705" i="10"/>
  <c r="I207" i="34" s="1"/>
  <c r="BT705" i="10"/>
  <c r="CP705" i="10" s="1"/>
  <c r="BO705" i="10"/>
  <c r="BN705" i="10"/>
  <c r="BM705" i="10"/>
  <c r="BL705" i="10"/>
  <c r="BK705" i="10"/>
  <c r="BJ705" i="10"/>
  <c r="AU705" i="10"/>
  <c r="AT705" i="10"/>
  <c r="X705" i="10"/>
  <c r="W705" i="10"/>
  <c r="V705" i="10"/>
  <c r="CN704" i="10"/>
  <c r="CM704" i="10"/>
  <c r="A206" i="34" s="1"/>
  <c r="BV704" i="10"/>
  <c r="I206" i="34" s="1"/>
  <c r="BT704" i="10"/>
  <c r="CP704" i="10" s="1"/>
  <c r="BO704" i="10"/>
  <c r="BN704" i="10"/>
  <c r="BM704" i="10"/>
  <c r="BL704" i="10"/>
  <c r="BK704" i="10"/>
  <c r="BJ704" i="10"/>
  <c r="AU704" i="10"/>
  <c r="AT704" i="10"/>
  <c r="X704" i="10"/>
  <c r="W704" i="10"/>
  <c r="V704" i="10"/>
  <c r="CN703" i="10"/>
  <c r="CM703" i="10"/>
  <c r="A205" i="34" s="1"/>
  <c r="BV703" i="10"/>
  <c r="I205" i="34" s="1"/>
  <c r="BT703" i="10"/>
  <c r="BO703" i="10"/>
  <c r="BN703" i="10"/>
  <c r="BM703" i="10"/>
  <c r="BL703" i="10"/>
  <c r="BK703" i="10"/>
  <c r="BJ703" i="10"/>
  <c r="AU703" i="10"/>
  <c r="AT703" i="10"/>
  <c r="X703" i="10"/>
  <c r="W703" i="10"/>
  <c r="V703" i="10"/>
  <c r="CN702" i="10"/>
  <c r="CM702" i="10"/>
  <c r="A204" i="34" s="1"/>
  <c r="BV702" i="10"/>
  <c r="I204" i="34" s="1"/>
  <c r="BT702" i="10"/>
  <c r="CO702" i="10" s="1"/>
  <c r="O204" i="34" s="1"/>
  <c r="BO702" i="10"/>
  <c r="BN702" i="10"/>
  <c r="BM702" i="10"/>
  <c r="BL702" i="10"/>
  <c r="BK702" i="10"/>
  <c r="BJ702" i="10"/>
  <c r="AU702" i="10"/>
  <c r="AT702" i="10"/>
  <c r="X702" i="10"/>
  <c r="W702" i="10"/>
  <c r="V702" i="10"/>
  <c r="CN701" i="10"/>
  <c r="CM701" i="10"/>
  <c r="A203" i="34" s="1"/>
  <c r="BV701" i="10"/>
  <c r="I203" i="34" s="1"/>
  <c r="BT701" i="10"/>
  <c r="CO701" i="10" s="1"/>
  <c r="O203" i="34" s="1"/>
  <c r="BO701" i="10"/>
  <c r="BN701" i="10"/>
  <c r="BM701" i="10"/>
  <c r="BL701" i="10"/>
  <c r="BK701" i="10"/>
  <c r="BJ701" i="10"/>
  <c r="AU701" i="10"/>
  <c r="AT701" i="10"/>
  <c r="X701" i="10"/>
  <c r="W701" i="10"/>
  <c r="V701" i="10"/>
  <c r="CN700" i="10"/>
  <c r="CM700" i="10"/>
  <c r="A202" i="34" s="1"/>
  <c r="BV700" i="10"/>
  <c r="I202" i="34" s="1"/>
  <c r="BT700" i="10"/>
  <c r="BO700" i="10"/>
  <c r="BN700" i="10"/>
  <c r="BM700" i="10"/>
  <c r="BL700" i="10"/>
  <c r="BK700" i="10"/>
  <c r="BJ700" i="10"/>
  <c r="AU700" i="10"/>
  <c r="AT700" i="10"/>
  <c r="X700" i="10"/>
  <c r="W700" i="10"/>
  <c r="V700" i="10"/>
  <c r="CN699" i="10"/>
  <c r="CM699" i="10"/>
  <c r="A201" i="34" s="1"/>
  <c r="BV699" i="10"/>
  <c r="I201" i="34" s="1"/>
  <c r="BT699" i="10"/>
  <c r="CQ699" i="10" s="1"/>
  <c r="M201" i="34" s="1"/>
  <c r="BO699" i="10"/>
  <c r="BN699" i="10"/>
  <c r="BM699" i="10"/>
  <c r="BL699" i="10"/>
  <c r="BK699" i="10"/>
  <c r="BJ699" i="10"/>
  <c r="AU699" i="10"/>
  <c r="AT699" i="10"/>
  <c r="X699" i="10"/>
  <c r="W699" i="10"/>
  <c r="V699" i="10"/>
  <c r="CN698" i="10"/>
  <c r="CM698" i="10"/>
  <c r="A200" i="34" s="1"/>
  <c r="BV698" i="10"/>
  <c r="I200" i="34" s="1"/>
  <c r="BT698" i="10"/>
  <c r="BO698" i="10"/>
  <c r="BN698" i="10"/>
  <c r="BM698" i="10"/>
  <c r="BL698" i="10"/>
  <c r="BK698" i="10"/>
  <c r="BJ698" i="10"/>
  <c r="AU698" i="10"/>
  <c r="AT698" i="10"/>
  <c r="X698" i="10"/>
  <c r="W698" i="10"/>
  <c r="V698" i="10"/>
  <c r="CN697" i="10"/>
  <c r="CM697" i="10"/>
  <c r="A199" i="34" s="1"/>
  <c r="BV697" i="10"/>
  <c r="I199" i="34" s="1"/>
  <c r="BT697" i="10"/>
  <c r="CO697" i="10" s="1"/>
  <c r="O199" i="34" s="1"/>
  <c r="BO697" i="10"/>
  <c r="BN697" i="10"/>
  <c r="BM697" i="10"/>
  <c r="BL697" i="10"/>
  <c r="BK697" i="10"/>
  <c r="BJ697" i="10"/>
  <c r="AU697" i="10"/>
  <c r="AT697" i="10"/>
  <c r="X697" i="10"/>
  <c r="W697" i="10"/>
  <c r="V697" i="10"/>
  <c r="CN696" i="10"/>
  <c r="CM696" i="10"/>
  <c r="A198" i="34" s="1"/>
  <c r="BV696" i="10"/>
  <c r="I198" i="34" s="1"/>
  <c r="BT696" i="10"/>
  <c r="BO696" i="10"/>
  <c r="BN696" i="10"/>
  <c r="BM696" i="10"/>
  <c r="BL696" i="10"/>
  <c r="BK696" i="10"/>
  <c r="BJ696" i="10"/>
  <c r="AU696" i="10"/>
  <c r="AT696" i="10"/>
  <c r="X696" i="10"/>
  <c r="W696" i="10"/>
  <c r="V696" i="10"/>
  <c r="CQ695" i="10"/>
  <c r="M197" i="34" s="1"/>
  <c r="CN695" i="10"/>
  <c r="CM695" i="10"/>
  <c r="A197" i="34" s="1"/>
  <c r="BV695" i="10"/>
  <c r="I197" i="34" s="1"/>
  <c r="BT695" i="10"/>
  <c r="CP695" i="10" s="1"/>
  <c r="BO695" i="10"/>
  <c r="BN695" i="10"/>
  <c r="BM695" i="10"/>
  <c r="BL695" i="10"/>
  <c r="BK695" i="10"/>
  <c r="BJ695" i="10"/>
  <c r="AU695" i="10"/>
  <c r="AT695" i="10"/>
  <c r="X695" i="10"/>
  <c r="W695" i="10"/>
  <c r="V695" i="10"/>
  <c r="CN694" i="10"/>
  <c r="CM694" i="10"/>
  <c r="A196" i="34" s="1"/>
  <c r="BV694" i="10"/>
  <c r="I196" i="34" s="1"/>
  <c r="BT694" i="10"/>
  <c r="BO694" i="10"/>
  <c r="BN694" i="10"/>
  <c r="BM694" i="10"/>
  <c r="BL694" i="10"/>
  <c r="BK694" i="10"/>
  <c r="BJ694" i="10"/>
  <c r="AU694" i="10"/>
  <c r="AT694" i="10"/>
  <c r="X694" i="10"/>
  <c r="W694" i="10"/>
  <c r="V694" i="10"/>
  <c r="CN693" i="10"/>
  <c r="CM693" i="10"/>
  <c r="A195" i="34" s="1"/>
  <c r="BV693" i="10"/>
  <c r="I195" i="34" s="1"/>
  <c r="BT693" i="10"/>
  <c r="CP693" i="10" s="1"/>
  <c r="BO693" i="10"/>
  <c r="BN693" i="10"/>
  <c r="BM693" i="10"/>
  <c r="BL693" i="10"/>
  <c r="BK693" i="10"/>
  <c r="BJ693" i="10"/>
  <c r="AU693" i="10"/>
  <c r="AT693" i="10"/>
  <c r="X693" i="10"/>
  <c r="W693" i="10"/>
  <c r="V693" i="10"/>
  <c r="CN692" i="10"/>
  <c r="CM692" i="10"/>
  <c r="A194" i="34" s="1"/>
  <c r="BV692" i="10"/>
  <c r="I194" i="34" s="1"/>
  <c r="BT692" i="10"/>
  <c r="BO692" i="10"/>
  <c r="BN692" i="10"/>
  <c r="BM692" i="10"/>
  <c r="BL692" i="10"/>
  <c r="BK692" i="10"/>
  <c r="BJ692" i="10"/>
  <c r="AU692" i="10"/>
  <c r="AT692" i="10"/>
  <c r="X692" i="10"/>
  <c r="W692" i="10"/>
  <c r="V692" i="10"/>
  <c r="CN691" i="10"/>
  <c r="CM691" i="10"/>
  <c r="A193" i="34" s="1"/>
  <c r="BV691" i="10"/>
  <c r="I193" i="34" s="1"/>
  <c r="BT691" i="10"/>
  <c r="BO691" i="10"/>
  <c r="BN691" i="10"/>
  <c r="BM691" i="10"/>
  <c r="BL691" i="10"/>
  <c r="BK691" i="10"/>
  <c r="BJ691" i="10"/>
  <c r="AU691" i="10"/>
  <c r="AT691" i="10"/>
  <c r="X691" i="10"/>
  <c r="W691" i="10"/>
  <c r="V691" i="10"/>
  <c r="CN690" i="10"/>
  <c r="CM690" i="10"/>
  <c r="A192" i="34" s="1"/>
  <c r="BV690" i="10"/>
  <c r="BT690" i="10"/>
  <c r="CO690" i="10" s="1"/>
  <c r="O192" i="34" s="1"/>
  <c r="BO690" i="10"/>
  <c r="BN690" i="10"/>
  <c r="BM690" i="10"/>
  <c r="BL690" i="10"/>
  <c r="BK690" i="10"/>
  <c r="BJ690" i="10"/>
  <c r="AU690" i="10"/>
  <c r="AT690" i="10"/>
  <c r="X690" i="10"/>
  <c r="W690" i="10"/>
  <c r="V690" i="10"/>
  <c r="CO689" i="10"/>
  <c r="O191" i="34" s="1"/>
  <c r="CN689" i="10"/>
  <c r="CM689" i="10"/>
  <c r="A191" i="34" s="1"/>
  <c r="BV689" i="10"/>
  <c r="I191" i="34" s="1"/>
  <c r="BT689" i="10"/>
  <c r="BO689" i="10"/>
  <c r="BN689" i="10"/>
  <c r="BM689" i="10"/>
  <c r="BL689" i="10"/>
  <c r="BK689" i="10"/>
  <c r="BJ689" i="10"/>
  <c r="AU689" i="10"/>
  <c r="AT689" i="10"/>
  <c r="X689" i="10"/>
  <c r="W689" i="10"/>
  <c r="V689" i="10"/>
  <c r="CN688" i="10"/>
  <c r="CM688" i="10"/>
  <c r="A190" i="34" s="1"/>
  <c r="BV688" i="10"/>
  <c r="I190" i="34" s="1"/>
  <c r="BT688" i="10"/>
  <c r="BO688" i="10"/>
  <c r="BN688" i="10"/>
  <c r="BM688" i="10"/>
  <c r="BL688" i="10"/>
  <c r="BK688" i="10"/>
  <c r="BJ688" i="10"/>
  <c r="AU688" i="10"/>
  <c r="AT688" i="10"/>
  <c r="X688" i="10"/>
  <c r="W688" i="10"/>
  <c r="V688" i="10"/>
  <c r="CN687" i="10"/>
  <c r="CM687" i="10"/>
  <c r="A189" i="34" s="1"/>
  <c r="BV687" i="10"/>
  <c r="I189" i="34" s="1"/>
  <c r="BT687" i="10"/>
  <c r="BO687" i="10"/>
  <c r="BN687" i="10"/>
  <c r="BM687" i="10"/>
  <c r="BL687" i="10"/>
  <c r="BK687" i="10"/>
  <c r="BJ687" i="10"/>
  <c r="AU687" i="10"/>
  <c r="AT687" i="10"/>
  <c r="X687" i="10"/>
  <c r="W687" i="10"/>
  <c r="V687" i="10"/>
  <c r="CN686" i="10"/>
  <c r="CM686" i="10"/>
  <c r="A188" i="34" s="1"/>
  <c r="BV686" i="10"/>
  <c r="I188" i="34" s="1"/>
  <c r="BT686" i="10"/>
  <c r="CQ686" i="10" s="1"/>
  <c r="M188" i="34" s="1"/>
  <c r="BO686" i="10"/>
  <c r="BN686" i="10"/>
  <c r="BM686" i="10"/>
  <c r="BL686" i="10"/>
  <c r="BK686" i="10"/>
  <c r="BJ686" i="10"/>
  <c r="AU686" i="10"/>
  <c r="AT686" i="10"/>
  <c r="X686" i="10"/>
  <c r="W686" i="10"/>
  <c r="V686" i="10"/>
  <c r="CN685" i="10"/>
  <c r="CM685" i="10"/>
  <c r="A187" i="34" s="1"/>
  <c r="BV685" i="10"/>
  <c r="I187" i="34" s="1"/>
  <c r="BT685" i="10"/>
  <c r="CO685" i="10" s="1"/>
  <c r="O187" i="34" s="1"/>
  <c r="BO685" i="10"/>
  <c r="BN685" i="10"/>
  <c r="BM685" i="10"/>
  <c r="BL685" i="10"/>
  <c r="BK685" i="10"/>
  <c r="BJ685" i="10"/>
  <c r="AU685" i="10"/>
  <c r="AT685" i="10"/>
  <c r="X685" i="10"/>
  <c r="W685" i="10"/>
  <c r="V685" i="10"/>
  <c r="CN684" i="10"/>
  <c r="CM684" i="10"/>
  <c r="A186" i="34" s="1"/>
  <c r="BV684" i="10"/>
  <c r="I186" i="34" s="1"/>
  <c r="BT684" i="10"/>
  <c r="BO684" i="10"/>
  <c r="BN684" i="10"/>
  <c r="BM684" i="10"/>
  <c r="BL684" i="10"/>
  <c r="BK684" i="10"/>
  <c r="BJ684" i="10"/>
  <c r="AU684" i="10"/>
  <c r="AT684" i="10"/>
  <c r="X684" i="10"/>
  <c r="W684" i="10"/>
  <c r="V684" i="10"/>
  <c r="CN683" i="10"/>
  <c r="CM683" i="10"/>
  <c r="A185" i="34" s="1"/>
  <c r="BV683" i="10"/>
  <c r="I185" i="34" s="1"/>
  <c r="BT683" i="10"/>
  <c r="BO683" i="10"/>
  <c r="BN683" i="10"/>
  <c r="BM683" i="10"/>
  <c r="BL683" i="10"/>
  <c r="BK683" i="10"/>
  <c r="BJ683" i="10"/>
  <c r="AU683" i="10"/>
  <c r="AT683" i="10"/>
  <c r="X683" i="10"/>
  <c r="W683" i="10"/>
  <c r="V683" i="10"/>
  <c r="CN682" i="10"/>
  <c r="CM682" i="10"/>
  <c r="A184" i="34" s="1"/>
  <c r="BV682" i="10"/>
  <c r="I184" i="34" s="1"/>
  <c r="BT682" i="10"/>
  <c r="CP682" i="10" s="1"/>
  <c r="L184" i="34" s="1"/>
  <c r="BO682" i="10"/>
  <c r="BN682" i="10"/>
  <c r="BM682" i="10"/>
  <c r="BL682" i="10"/>
  <c r="BK682" i="10"/>
  <c r="BJ682" i="10"/>
  <c r="AU682" i="10"/>
  <c r="AT682" i="10"/>
  <c r="X682" i="10"/>
  <c r="W682" i="10"/>
  <c r="V682" i="10"/>
  <c r="CN681" i="10"/>
  <c r="CM681" i="10"/>
  <c r="A183" i="34" s="1"/>
  <c r="BV681" i="10"/>
  <c r="I183" i="34" s="1"/>
  <c r="BT681" i="10"/>
  <c r="BO681" i="10"/>
  <c r="BN681" i="10"/>
  <c r="BM681" i="10"/>
  <c r="BL681" i="10"/>
  <c r="BK681" i="10"/>
  <c r="BJ681" i="10"/>
  <c r="AU681" i="10"/>
  <c r="AT681" i="10"/>
  <c r="X681" i="10"/>
  <c r="W681" i="10"/>
  <c r="V681" i="10"/>
  <c r="CN680" i="10"/>
  <c r="CM680" i="10"/>
  <c r="A182" i="34" s="1"/>
  <c r="BV680" i="10"/>
  <c r="I182" i="34" s="1"/>
  <c r="BT680" i="10"/>
  <c r="BO680" i="10"/>
  <c r="BN680" i="10"/>
  <c r="BM680" i="10"/>
  <c r="BL680" i="10"/>
  <c r="BK680" i="10"/>
  <c r="BJ680" i="10"/>
  <c r="AU680" i="10"/>
  <c r="AT680" i="10"/>
  <c r="X680" i="10"/>
  <c r="W680" i="10"/>
  <c r="V680" i="10"/>
  <c r="CN679" i="10"/>
  <c r="CM679" i="10"/>
  <c r="A181" i="34" s="1"/>
  <c r="BV679" i="10"/>
  <c r="I181" i="34" s="1"/>
  <c r="BT679" i="10"/>
  <c r="CO679" i="10" s="1"/>
  <c r="O181" i="34" s="1"/>
  <c r="BO679" i="10"/>
  <c r="BN679" i="10"/>
  <c r="BM679" i="10"/>
  <c r="BL679" i="10"/>
  <c r="BK679" i="10"/>
  <c r="BJ679" i="10"/>
  <c r="AU679" i="10"/>
  <c r="AT679" i="10"/>
  <c r="X679" i="10"/>
  <c r="W679" i="10"/>
  <c r="V679" i="10"/>
  <c r="CP678" i="10"/>
  <c r="CO678" i="10"/>
  <c r="O180" i="34" s="1"/>
  <c r="CN678" i="10"/>
  <c r="CM678" i="10"/>
  <c r="A180" i="34" s="1"/>
  <c r="BV678" i="10"/>
  <c r="I180" i="34" s="1"/>
  <c r="BT678" i="10"/>
  <c r="BO678" i="10"/>
  <c r="BN678" i="10"/>
  <c r="BM678" i="10"/>
  <c r="BL678" i="10"/>
  <c r="BK678" i="10"/>
  <c r="BJ678" i="10"/>
  <c r="AU678" i="10"/>
  <c r="AT678" i="10"/>
  <c r="X678" i="10"/>
  <c r="W678" i="10"/>
  <c r="V678" i="10"/>
  <c r="CN677" i="10"/>
  <c r="CM677" i="10"/>
  <c r="A179" i="34" s="1"/>
  <c r="BV677" i="10"/>
  <c r="I179" i="34" s="1"/>
  <c r="BT677" i="10"/>
  <c r="CQ677" i="10" s="1"/>
  <c r="M179" i="34" s="1"/>
  <c r="BO677" i="10"/>
  <c r="BN677" i="10"/>
  <c r="BM677" i="10"/>
  <c r="BL677" i="10"/>
  <c r="BK677" i="10"/>
  <c r="BJ677" i="10"/>
  <c r="AU677" i="10"/>
  <c r="AT677" i="10"/>
  <c r="X677" i="10"/>
  <c r="W677" i="10"/>
  <c r="V677" i="10"/>
  <c r="CN676" i="10"/>
  <c r="CM676" i="10"/>
  <c r="A178" i="34" s="1"/>
  <c r="BV676" i="10"/>
  <c r="I178" i="34" s="1"/>
  <c r="BT676" i="10"/>
  <c r="BO676" i="10"/>
  <c r="BN676" i="10"/>
  <c r="BM676" i="10"/>
  <c r="BL676" i="10"/>
  <c r="BK676" i="10"/>
  <c r="BJ676" i="10"/>
  <c r="AU676" i="10"/>
  <c r="AT676" i="10"/>
  <c r="X676" i="10"/>
  <c r="W676" i="10"/>
  <c r="V676" i="10"/>
  <c r="CQ675" i="10"/>
  <c r="M177" i="34" s="1"/>
  <c r="CN675" i="10"/>
  <c r="CM675" i="10"/>
  <c r="A177" i="34" s="1"/>
  <c r="BV675" i="10"/>
  <c r="I177" i="34" s="1"/>
  <c r="BT675" i="10"/>
  <c r="H177" i="34" s="1"/>
  <c r="BO675" i="10"/>
  <c r="BN675" i="10"/>
  <c r="BM675" i="10"/>
  <c r="BL675" i="10"/>
  <c r="BK675" i="10"/>
  <c r="BJ675" i="10"/>
  <c r="AU675" i="10"/>
  <c r="AT675" i="10"/>
  <c r="X675" i="10"/>
  <c r="W675" i="10"/>
  <c r="V675" i="10"/>
  <c r="CN674" i="10"/>
  <c r="CM674" i="10"/>
  <c r="A176" i="34" s="1"/>
  <c r="BV674" i="10"/>
  <c r="BT674" i="10"/>
  <c r="CO674" i="10" s="1"/>
  <c r="O176" i="34" s="1"/>
  <c r="BO674" i="10"/>
  <c r="BN674" i="10"/>
  <c r="BM674" i="10"/>
  <c r="BL674" i="10"/>
  <c r="BK674" i="10"/>
  <c r="BJ674" i="10"/>
  <c r="AU674" i="10"/>
  <c r="AT674" i="10"/>
  <c r="X674" i="10"/>
  <c r="W674" i="10"/>
  <c r="V674" i="10"/>
  <c r="CN673" i="10"/>
  <c r="CM673" i="10"/>
  <c r="A175" i="34" s="1"/>
  <c r="BV673" i="10"/>
  <c r="I175" i="34" s="1"/>
  <c r="BT673" i="10"/>
  <c r="BO673" i="10"/>
  <c r="BN673" i="10"/>
  <c r="BM673" i="10"/>
  <c r="BL673" i="10"/>
  <c r="BK673" i="10"/>
  <c r="BJ673" i="10"/>
  <c r="AU673" i="10"/>
  <c r="AT673" i="10"/>
  <c r="X673" i="10"/>
  <c r="W673" i="10"/>
  <c r="V673" i="10"/>
  <c r="CN672" i="10"/>
  <c r="CM672" i="10"/>
  <c r="A174" i="34" s="1"/>
  <c r="BV672" i="10"/>
  <c r="I174" i="34" s="1"/>
  <c r="BT672" i="10"/>
  <c r="BO672" i="10"/>
  <c r="BN672" i="10"/>
  <c r="BM672" i="10"/>
  <c r="BL672" i="10"/>
  <c r="BK672" i="10"/>
  <c r="BJ672" i="10"/>
  <c r="AU672" i="10"/>
  <c r="AT672" i="10"/>
  <c r="X672" i="10"/>
  <c r="W672" i="10"/>
  <c r="V672" i="10"/>
  <c r="CN671" i="10"/>
  <c r="CM671" i="10"/>
  <c r="A173" i="34" s="1"/>
  <c r="BV671" i="10"/>
  <c r="BT671" i="10"/>
  <c r="CO671" i="10" s="1"/>
  <c r="O173" i="34" s="1"/>
  <c r="BO671" i="10"/>
  <c r="BN671" i="10"/>
  <c r="BM671" i="10"/>
  <c r="BL671" i="10"/>
  <c r="BK671" i="10"/>
  <c r="BJ671" i="10"/>
  <c r="AU671" i="10"/>
  <c r="AT671" i="10"/>
  <c r="X671" i="10"/>
  <c r="W671" i="10"/>
  <c r="V671" i="10"/>
  <c r="CN670" i="10"/>
  <c r="CM670" i="10"/>
  <c r="A172" i="34" s="1"/>
  <c r="BV670" i="10"/>
  <c r="I172" i="34" s="1"/>
  <c r="BT670" i="10"/>
  <c r="H172" i="34" s="1"/>
  <c r="BO670" i="10"/>
  <c r="BN670" i="10"/>
  <c r="BM670" i="10"/>
  <c r="BL670" i="10"/>
  <c r="BK670" i="10"/>
  <c r="BJ670" i="10"/>
  <c r="AW670" i="10"/>
  <c r="AV670" i="10"/>
  <c r="AU670" i="10"/>
  <c r="AT670" i="10"/>
  <c r="X670" i="10"/>
  <c r="W670" i="10"/>
  <c r="V670" i="10"/>
  <c r="CN669" i="10"/>
  <c r="CM669" i="10"/>
  <c r="A171" i="34" s="1"/>
  <c r="BV669" i="10"/>
  <c r="I171" i="34" s="1"/>
  <c r="BT669" i="10"/>
  <c r="CP669" i="10" s="1"/>
  <c r="BO669" i="10"/>
  <c r="BN669" i="10"/>
  <c r="BM669" i="10"/>
  <c r="BL669" i="10"/>
  <c r="BK669" i="10"/>
  <c r="BJ669" i="10"/>
  <c r="AW669" i="10"/>
  <c r="AV669" i="10"/>
  <c r="AU669" i="10"/>
  <c r="AT669" i="10"/>
  <c r="X669" i="10"/>
  <c r="W669" i="10"/>
  <c r="V669" i="10"/>
  <c r="CN668" i="10"/>
  <c r="CM668" i="10"/>
  <c r="A170" i="34" s="1"/>
  <c r="BV668" i="10"/>
  <c r="I170" i="34" s="1"/>
  <c r="BT668" i="10"/>
  <c r="CO668" i="10" s="1"/>
  <c r="O170" i="34" s="1"/>
  <c r="BO668" i="10"/>
  <c r="BN668" i="10"/>
  <c r="BM668" i="10"/>
  <c r="BL668" i="10"/>
  <c r="BK668" i="10"/>
  <c r="BJ668" i="10"/>
  <c r="AW668" i="10"/>
  <c r="AV668" i="10"/>
  <c r="AU668" i="10"/>
  <c r="AT668" i="10"/>
  <c r="X668" i="10"/>
  <c r="W668" i="10"/>
  <c r="V668" i="10"/>
  <c r="CN667" i="10"/>
  <c r="CM667" i="10"/>
  <c r="A169" i="34" s="1"/>
  <c r="BV667" i="10"/>
  <c r="I169" i="34" s="1"/>
  <c r="BT667" i="10"/>
  <c r="CP667" i="10" s="1"/>
  <c r="BO667" i="10"/>
  <c r="BN667" i="10"/>
  <c r="BM667" i="10"/>
  <c r="BL667" i="10"/>
  <c r="BK667" i="10"/>
  <c r="BJ667" i="10"/>
  <c r="AU667" i="10"/>
  <c r="AT667" i="10"/>
  <c r="X667" i="10"/>
  <c r="W667" i="10"/>
  <c r="V667" i="10"/>
  <c r="CN666" i="10"/>
  <c r="CM666" i="10"/>
  <c r="A168" i="34" s="1"/>
  <c r="BV666" i="10"/>
  <c r="I168" i="34" s="1"/>
  <c r="BT666" i="10"/>
  <c r="BO666" i="10"/>
  <c r="BN666" i="10"/>
  <c r="BM666" i="10"/>
  <c r="BL666" i="10"/>
  <c r="BK666" i="10"/>
  <c r="BJ666" i="10"/>
  <c r="AU666" i="10"/>
  <c r="AT666" i="10"/>
  <c r="X666" i="10"/>
  <c r="W666" i="10"/>
  <c r="V666" i="10"/>
  <c r="CN665" i="10"/>
  <c r="CM665" i="10"/>
  <c r="A167" i="34" s="1"/>
  <c r="BV665" i="10"/>
  <c r="I167" i="34" s="1"/>
  <c r="BT665" i="10"/>
  <c r="CP665" i="10" s="1"/>
  <c r="BO665" i="10"/>
  <c r="BN665" i="10"/>
  <c r="BM665" i="10"/>
  <c r="BL665" i="10"/>
  <c r="BK665" i="10"/>
  <c r="BJ665" i="10"/>
  <c r="AU665" i="10"/>
  <c r="AT665" i="10"/>
  <c r="X665" i="10"/>
  <c r="W665" i="10"/>
  <c r="V665" i="10"/>
  <c r="CQ664" i="10"/>
  <c r="M166" i="34" s="1"/>
  <c r="CN664" i="10"/>
  <c r="CM664" i="10"/>
  <c r="A166" i="34" s="1"/>
  <c r="BV664" i="10"/>
  <c r="I166" i="34" s="1"/>
  <c r="BT664" i="10"/>
  <c r="CP664" i="10" s="1"/>
  <c r="L166" i="34" s="1"/>
  <c r="BO664" i="10"/>
  <c r="BN664" i="10"/>
  <c r="BM664" i="10"/>
  <c r="BL664" i="10"/>
  <c r="BK664" i="10"/>
  <c r="BJ664" i="10"/>
  <c r="AU664" i="10"/>
  <c r="AT664" i="10"/>
  <c r="X664" i="10"/>
  <c r="W664" i="10"/>
  <c r="V664" i="10"/>
  <c r="CN663" i="10"/>
  <c r="CM663" i="10"/>
  <c r="A165" i="34" s="1"/>
  <c r="BV663" i="10"/>
  <c r="I165" i="34" s="1"/>
  <c r="BT663" i="10"/>
  <c r="H165" i="34" s="1"/>
  <c r="BO663" i="10"/>
  <c r="BN663" i="10"/>
  <c r="BM663" i="10"/>
  <c r="BL663" i="10"/>
  <c r="BK663" i="10"/>
  <c r="BJ663" i="10"/>
  <c r="AU663" i="10"/>
  <c r="AT663" i="10"/>
  <c r="X663" i="10"/>
  <c r="W663" i="10"/>
  <c r="V663" i="10"/>
  <c r="CN662" i="10"/>
  <c r="CM662" i="10"/>
  <c r="A164" i="34" s="1"/>
  <c r="BV662" i="10"/>
  <c r="I164" i="34" s="1"/>
  <c r="BT662" i="10"/>
  <c r="CQ662" i="10" s="1"/>
  <c r="M164" i="34" s="1"/>
  <c r="BO662" i="10"/>
  <c r="BN662" i="10"/>
  <c r="BM662" i="10"/>
  <c r="BL662" i="10"/>
  <c r="BK662" i="10"/>
  <c r="BJ662" i="10"/>
  <c r="AU662" i="10"/>
  <c r="AT662" i="10"/>
  <c r="X662" i="10"/>
  <c r="W662" i="10"/>
  <c r="V662" i="10"/>
  <c r="CN661" i="10"/>
  <c r="CM661" i="10"/>
  <c r="A163" i="34" s="1"/>
  <c r="BV661" i="10"/>
  <c r="I163" i="34" s="1"/>
  <c r="BT661" i="10"/>
  <c r="BO661" i="10"/>
  <c r="BN661" i="10"/>
  <c r="BM661" i="10"/>
  <c r="BL661" i="10"/>
  <c r="BK661" i="10"/>
  <c r="BJ661" i="10"/>
  <c r="AU661" i="10"/>
  <c r="AT661" i="10"/>
  <c r="X661" i="10"/>
  <c r="W661" i="10"/>
  <c r="V661" i="10"/>
  <c r="CN660" i="10"/>
  <c r="CM660" i="10"/>
  <c r="A162" i="34" s="1"/>
  <c r="BV660" i="10"/>
  <c r="I162" i="34" s="1"/>
  <c r="BT660" i="10"/>
  <c r="CQ660" i="10" s="1"/>
  <c r="M162" i="34" s="1"/>
  <c r="BO660" i="10"/>
  <c r="BN660" i="10"/>
  <c r="BM660" i="10"/>
  <c r="BL660" i="10"/>
  <c r="BK660" i="10"/>
  <c r="BJ660" i="10"/>
  <c r="AU660" i="10"/>
  <c r="AT660" i="10"/>
  <c r="X660" i="10"/>
  <c r="W660" i="10"/>
  <c r="V660" i="10"/>
  <c r="CN659" i="10"/>
  <c r="CM659" i="10"/>
  <c r="A161" i="34" s="1"/>
  <c r="BV659" i="10"/>
  <c r="I161" i="34" s="1"/>
  <c r="BT659" i="10"/>
  <c r="BO659" i="10"/>
  <c r="BN659" i="10"/>
  <c r="BM659" i="10"/>
  <c r="BL659" i="10"/>
  <c r="BK659" i="10"/>
  <c r="BJ659" i="10"/>
  <c r="AU659" i="10"/>
  <c r="AT659" i="10"/>
  <c r="X659" i="10"/>
  <c r="W659" i="10"/>
  <c r="V659" i="10"/>
  <c r="CN658" i="10"/>
  <c r="CM658" i="10"/>
  <c r="A160" i="34" s="1"/>
  <c r="BV658" i="10"/>
  <c r="BT658" i="10"/>
  <c r="CP658" i="10" s="1"/>
  <c r="L160" i="34" s="1"/>
  <c r="BO658" i="10"/>
  <c r="BN658" i="10"/>
  <c r="BM658" i="10"/>
  <c r="BL658" i="10"/>
  <c r="BK658" i="10"/>
  <c r="BJ658" i="10"/>
  <c r="AU658" i="10"/>
  <c r="AT658" i="10"/>
  <c r="X658" i="10"/>
  <c r="W658" i="10"/>
  <c r="V658" i="10"/>
  <c r="CN657" i="10"/>
  <c r="CM657" i="10"/>
  <c r="A159" i="34" s="1"/>
  <c r="BV657" i="10"/>
  <c r="I159" i="34" s="1"/>
  <c r="BT657" i="10"/>
  <c r="CQ657" i="10" s="1"/>
  <c r="M159" i="34" s="1"/>
  <c r="BO657" i="10"/>
  <c r="BN657" i="10"/>
  <c r="BM657" i="10"/>
  <c r="BL657" i="10"/>
  <c r="BK657" i="10"/>
  <c r="BJ657" i="10"/>
  <c r="AU657" i="10"/>
  <c r="AT657" i="10"/>
  <c r="X657" i="10"/>
  <c r="W657" i="10"/>
  <c r="V657" i="10"/>
  <c r="CN656" i="10"/>
  <c r="CM656" i="10"/>
  <c r="A158" i="34" s="1"/>
  <c r="BV656" i="10"/>
  <c r="I158" i="34" s="1"/>
  <c r="BT656" i="10"/>
  <c r="BO656" i="10"/>
  <c r="BN656" i="10"/>
  <c r="BM656" i="10"/>
  <c r="BL656" i="10"/>
  <c r="BK656" i="10"/>
  <c r="BJ656" i="10"/>
  <c r="AU656" i="10"/>
  <c r="AT656" i="10"/>
  <c r="X656" i="10"/>
  <c r="W656" i="10"/>
  <c r="V656" i="10"/>
  <c r="CN655" i="10"/>
  <c r="CM655" i="10"/>
  <c r="A157" i="34" s="1"/>
  <c r="BV655" i="10"/>
  <c r="I157" i="34" s="1"/>
  <c r="BT655" i="10"/>
  <c r="CQ655" i="10" s="1"/>
  <c r="M157" i="34" s="1"/>
  <c r="BO655" i="10"/>
  <c r="BN655" i="10"/>
  <c r="BM655" i="10"/>
  <c r="BL655" i="10"/>
  <c r="BK655" i="10"/>
  <c r="BJ655" i="10"/>
  <c r="AU655" i="10"/>
  <c r="AT655" i="10"/>
  <c r="X655" i="10"/>
  <c r="W655" i="10"/>
  <c r="V655" i="10"/>
  <c r="CN654" i="10"/>
  <c r="CM654" i="10"/>
  <c r="A156" i="34" s="1"/>
  <c r="BV654" i="10"/>
  <c r="I156" i="34" s="1"/>
  <c r="BT654" i="10"/>
  <c r="BO654" i="10"/>
  <c r="BN654" i="10"/>
  <c r="BM654" i="10"/>
  <c r="BL654" i="10"/>
  <c r="BK654" i="10"/>
  <c r="BJ654" i="10"/>
  <c r="AU654" i="10"/>
  <c r="AT654" i="10"/>
  <c r="X654" i="10"/>
  <c r="W654" i="10"/>
  <c r="V654" i="10"/>
  <c r="CN653" i="10"/>
  <c r="CM653" i="10"/>
  <c r="A155" i="34" s="1"/>
  <c r="BV653" i="10"/>
  <c r="I155" i="34" s="1"/>
  <c r="BT653" i="10"/>
  <c r="BO653" i="10"/>
  <c r="BN653" i="10"/>
  <c r="BM653" i="10"/>
  <c r="BL653" i="10"/>
  <c r="BK653" i="10"/>
  <c r="BJ653" i="10"/>
  <c r="AU653" i="10"/>
  <c r="AT653" i="10"/>
  <c r="X653" i="10"/>
  <c r="W653" i="10"/>
  <c r="V653" i="10"/>
  <c r="CO652" i="10"/>
  <c r="O154" i="34" s="1"/>
  <c r="CN652" i="10"/>
  <c r="CM652" i="10"/>
  <c r="A154" i="34" s="1"/>
  <c r="BV652" i="10"/>
  <c r="I154" i="34" s="1"/>
  <c r="BT652" i="10"/>
  <c r="H154" i="34" s="1"/>
  <c r="BO652" i="10"/>
  <c r="BN652" i="10"/>
  <c r="BM652" i="10"/>
  <c r="BL652" i="10"/>
  <c r="BK652" i="10"/>
  <c r="BJ652" i="10"/>
  <c r="AU652" i="10"/>
  <c r="AT652" i="10"/>
  <c r="X652" i="10"/>
  <c r="W652" i="10"/>
  <c r="V652" i="10"/>
  <c r="CN651" i="10"/>
  <c r="CM651" i="10"/>
  <c r="A153" i="34" s="1"/>
  <c r="BV651" i="10"/>
  <c r="I153" i="34" s="1"/>
  <c r="BT651" i="10"/>
  <c r="CQ651" i="10" s="1"/>
  <c r="M153" i="34" s="1"/>
  <c r="BO651" i="10"/>
  <c r="BN651" i="10"/>
  <c r="BM651" i="10"/>
  <c r="BL651" i="10"/>
  <c r="BK651" i="10"/>
  <c r="BJ651" i="10"/>
  <c r="AU651" i="10"/>
  <c r="AT651" i="10"/>
  <c r="X651" i="10"/>
  <c r="W651" i="10"/>
  <c r="V651" i="10"/>
  <c r="CN650" i="10"/>
  <c r="CM650" i="10"/>
  <c r="A152" i="34" s="1"/>
  <c r="BV650" i="10"/>
  <c r="I152" i="34" s="1"/>
  <c r="BT650" i="10"/>
  <c r="CO650" i="10" s="1"/>
  <c r="O152" i="34" s="1"/>
  <c r="BO650" i="10"/>
  <c r="BN650" i="10"/>
  <c r="BM650" i="10"/>
  <c r="BL650" i="10"/>
  <c r="BK650" i="10"/>
  <c r="BJ650" i="10"/>
  <c r="AU650" i="10"/>
  <c r="AT650" i="10"/>
  <c r="X650" i="10"/>
  <c r="W650" i="10"/>
  <c r="V650" i="10"/>
  <c r="CN649" i="10"/>
  <c r="CM649" i="10"/>
  <c r="A151" i="34" s="1"/>
  <c r="BV649" i="10"/>
  <c r="I151" i="34" s="1"/>
  <c r="BT649" i="10"/>
  <c r="BO649" i="10"/>
  <c r="BN649" i="10"/>
  <c r="BM649" i="10"/>
  <c r="BL649" i="10"/>
  <c r="BK649" i="10"/>
  <c r="BJ649" i="10"/>
  <c r="AU649" i="10"/>
  <c r="AT649" i="10"/>
  <c r="X649" i="10"/>
  <c r="W649" i="10"/>
  <c r="V649" i="10"/>
  <c r="CN648" i="10"/>
  <c r="CM648" i="10"/>
  <c r="A150" i="34" s="1"/>
  <c r="BV648" i="10"/>
  <c r="BT648" i="10"/>
  <c r="H150" i="34" s="1"/>
  <c r="BO648" i="10"/>
  <c r="BN648" i="10"/>
  <c r="BM648" i="10"/>
  <c r="BL648" i="10"/>
  <c r="BK648" i="10"/>
  <c r="BJ648" i="10"/>
  <c r="AU648" i="10"/>
  <c r="AT648" i="10"/>
  <c r="X648" i="10"/>
  <c r="W648" i="10"/>
  <c r="V648" i="10"/>
  <c r="CN647" i="10"/>
  <c r="CM647" i="10"/>
  <c r="A149" i="34" s="1"/>
  <c r="BV647" i="10"/>
  <c r="I149" i="34" s="1"/>
  <c r="BT647" i="10"/>
  <c r="CQ647" i="10" s="1"/>
  <c r="M149" i="34" s="1"/>
  <c r="BO647" i="10"/>
  <c r="BN647" i="10"/>
  <c r="BM647" i="10"/>
  <c r="BL647" i="10"/>
  <c r="BK647" i="10"/>
  <c r="BJ647" i="10"/>
  <c r="AU647" i="10"/>
  <c r="AT647" i="10"/>
  <c r="X647" i="10"/>
  <c r="W647" i="10"/>
  <c r="V647" i="10"/>
  <c r="CN646" i="10"/>
  <c r="CM646" i="10"/>
  <c r="A148" i="34" s="1"/>
  <c r="BV646" i="10"/>
  <c r="BT646" i="10"/>
  <c r="BO646" i="10"/>
  <c r="BN646" i="10"/>
  <c r="BM646" i="10"/>
  <c r="BL646" i="10"/>
  <c r="BK646" i="10"/>
  <c r="BJ646" i="10"/>
  <c r="AU646" i="10"/>
  <c r="AT646" i="10"/>
  <c r="X646" i="10"/>
  <c r="W646" i="10"/>
  <c r="V646" i="10"/>
  <c r="CN645" i="10"/>
  <c r="CM645" i="10"/>
  <c r="A147" i="34" s="1"/>
  <c r="BV645" i="10"/>
  <c r="I147" i="34" s="1"/>
  <c r="BT645" i="10"/>
  <c r="CQ645" i="10" s="1"/>
  <c r="M147" i="34" s="1"/>
  <c r="BO645" i="10"/>
  <c r="BN645" i="10"/>
  <c r="BM645" i="10"/>
  <c r="BL645" i="10"/>
  <c r="BK645" i="10"/>
  <c r="BJ645" i="10"/>
  <c r="AU645" i="10"/>
  <c r="AT645" i="10"/>
  <c r="X645" i="10"/>
  <c r="W645" i="10"/>
  <c r="V645" i="10"/>
  <c r="CN644" i="10"/>
  <c r="CM644" i="10"/>
  <c r="A146" i="34" s="1"/>
  <c r="BV644" i="10"/>
  <c r="I146" i="34" s="1"/>
  <c r="BT644" i="10"/>
  <c r="CQ644" i="10" s="1"/>
  <c r="M146" i="34" s="1"/>
  <c r="BO644" i="10"/>
  <c r="BN644" i="10"/>
  <c r="BM644" i="10"/>
  <c r="BL644" i="10"/>
  <c r="BK644" i="10"/>
  <c r="BJ644" i="10"/>
  <c r="AU644" i="10"/>
  <c r="AT644" i="10"/>
  <c r="X644" i="10"/>
  <c r="W644" i="10"/>
  <c r="V644" i="10"/>
  <c r="CN643" i="10"/>
  <c r="CM643" i="10"/>
  <c r="A145" i="34" s="1"/>
  <c r="BV643" i="10"/>
  <c r="I145" i="34" s="1"/>
  <c r="BT643" i="10"/>
  <c r="BO643" i="10"/>
  <c r="BN643" i="10"/>
  <c r="BM643" i="10"/>
  <c r="BL643" i="10"/>
  <c r="BK643" i="10"/>
  <c r="BJ643" i="10"/>
  <c r="AU643" i="10"/>
  <c r="AT643" i="10"/>
  <c r="X643" i="10"/>
  <c r="W643" i="10"/>
  <c r="V643" i="10"/>
  <c r="CN642" i="10"/>
  <c r="CM642" i="10"/>
  <c r="A144" i="34" s="1"/>
  <c r="BV642" i="10"/>
  <c r="I144" i="34" s="1"/>
  <c r="BT642" i="10"/>
  <c r="BO642" i="10"/>
  <c r="BN642" i="10"/>
  <c r="BM642" i="10"/>
  <c r="BL642" i="10"/>
  <c r="BK642" i="10"/>
  <c r="BJ642" i="10"/>
  <c r="AU642" i="10"/>
  <c r="AT642" i="10"/>
  <c r="X642" i="10"/>
  <c r="W642" i="10"/>
  <c r="V642" i="10"/>
  <c r="CN641" i="10"/>
  <c r="CM641" i="10"/>
  <c r="A143" i="34" s="1"/>
  <c r="BV641" i="10"/>
  <c r="BT641" i="10"/>
  <c r="H143" i="34" s="1"/>
  <c r="BO641" i="10"/>
  <c r="BN641" i="10"/>
  <c r="BM641" i="10"/>
  <c r="BL641" i="10"/>
  <c r="BK641" i="10"/>
  <c r="BJ641" i="10"/>
  <c r="AU641" i="10"/>
  <c r="AT641" i="10"/>
  <c r="X641" i="10"/>
  <c r="W641" i="10"/>
  <c r="V641" i="10"/>
  <c r="CN640" i="10"/>
  <c r="CM640" i="10"/>
  <c r="A142" i="34" s="1"/>
  <c r="BV640" i="10"/>
  <c r="I142" i="34" s="1"/>
  <c r="BT640" i="10"/>
  <c r="H142" i="34" s="1"/>
  <c r="BO640" i="10"/>
  <c r="BN640" i="10"/>
  <c r="BM640" i="10"/>
  <c r="BL640" i="10"/>
  <c r="BK640" i="10"/>
  <c r="BJ640" i="10"/>
  <c r="AU640" i="10"/>
  <c r="AT640" i="10"/>
  <c r="X640" i="10"/>
  <c r="W640" i="10"/>
  <c r="V640" i="10"/>
  <c r="CN639" i="10"/>
  <c r="CM639" i="10"/>
  <c r="A141" i="34" s="1"/>
  <c r="BV639" i="10"/>
  <c r="I141" i="34" s="1"/>
  <c r="BT639" i="10"/>
  <c r="BO639" i="10"/>
  <c r="BN639" i="10"/>
  <c r="BM639" i="10"/>
  <c r="BL639" i="10"/>
  <c r="BK639" i="10"/>
  <c r="BJ639" i="10"/>
  <c r="AU639" i="10"/>
  <c r="AT639" i="10"/>
  <c r="X639" i="10"/>
  <c r="W639" i="10"/>
  <c r="V639" i="10"/>
  <c r="CN638" i="10"/>
  <c r="CM638" i="10"/>
  <c r="A140" i="34" s="1"/>
  <c r="BV638" i="10"/>
  <c r="I140" i="34" s="1"/>
  <c r="BT638" i="10"/>
  <c r="BO638" i="10"/>
  <c r="BN638" i="10"/>
  <c r="BM638" i="10"/>
  <c r="BL638" i="10"/>
  <c r="BK638" i="10"/>
  <c r="BJ638" i="10"/>
  <c r="AU638" i="10"/>
  <c r="AT638" i="10"/>
  <c r="X638" i="10"/>
  <c r="W638" i="10"/>
  <c r="V638" i="10"/>
  <c r="CN637" i="10"/>
  <c r="CM637" i="10"/>
  <c r="A139" i="34" s="1"/>
  <c r="BV637" i="10"/>
  <c r="I139" i="34" s="1"/>
  <c r="BT637" i="10"/>
  <c r="CO637" i="10" s="1"/>
  <c r="O139" i="34" s="1"/>
  <c r="BO637" i="10"/>
  <c r="BN637" i="10"/>
  <c r="BM637" i="10"/>
  <c r="BL637" i="10"/>
  <c r="BK637" i="10"/>
  <c r="BJ637" i="10"/>
  <c r="AU637" i="10"/>
  <c r="AT637" i="10"/>
  <c r="X637" i="10"/>
  <c r="W637" i="10"/>
  <c r="V637" i="10"/>
  <c r="CN636" i="10"/>
  <c r="CM636" i="10"/>
  <c r="A138" i="34" s="1"/>
  <c r="BV636" i="10"/>
  <c r="I138" i="34" s="1"/>
  <c r="BT636" i="10"/>
  <c r="BO636" i="10"/>
  <c r="BN636" i="10"/>
  <c r="BM636" i="10"/>
  <c r="BL636" i="10"/>
  <c r="BK636" i="10"/>
  <c r="BJ636" i="10"/>
  <c r="AU636" i="10"/>
  <c r="AT636" i="10"/>
  <c r="X636" i="10"/>
  <c r="W636" i="10"/>
  <c r="V636" i="10"/>
  <c r="CN635" i="10"/>
  <c r="CM635" i="10"/>
  <c r="A137" i="34" s="1"/>
  <c r="BV635" i="10"/>
  <c r="BT635" i="10"/>
  <c r="BO635" i="10"/>
  <c r="BN635" i="10"/>
  <c r="BM635" i="10"/>
  <c r="BL635" i="10"/>
  <c r="BK635" i="10"/>
  <c r="BJ635" i="10"/>
  <c r="AU635" i="10"/>
  <c r="AT635" i="10"/>
  <c r="X635" i="10"/>
  <c r="W635" i="10"/>
  <c r="V635" i="10"/>
  <c r="CN634" i="10"/>
  <c r="CM634" i="10"/>
  <c r="A136" i="34" s="1"/>
  <c r="BV634" i="10"/>
  <c r="I136" i="34" s="1"/>
  <c r="BT634" i="10"/>
  <c r="CQ634" i="10" s="1"/>
  <c r="M136" i="34" s="1"/>
  <c r="BO634" i="10"/>
  <c r="BN634" i="10"/>
  <c r="BM634" i="10"/>
  <c r="BL634" i="10"/>
  <c r="BK634" i="10"/>
  <c r="BJ634" i="10"/>
  <c r="AU634" i="10"/>
  <c r="AT634" i="10"/>
  <c r="X634" i="10"/>
  <c r="W634" i="10"/>
  <c r="V634" i="10"/>
  <c r="CN633" i="10"/>
  <c r="CM633" i="10"/>
  <c r="A135" i="34" s="1"/>
  <c r="BV633" i="10"/>
  <c r="I135" i="34" s="1"/>
  <c r="BT633" i="10"/>
  <c r="BO633" i="10"/>
  <c r="BN633" i="10"/>
  <c r="BM633" i="10"/>
  <c r="BL633" i="10"/>
  <c r="BK633" i="10"/>
  <c r="BJ633" i="10"/>
  <c r="AU633" i="10"/>
  <c r="AT633" i="10"/>
  <c r="X633" i="10"/>
  <c r="W633" i="10"/>
  <c r="V633" i="10"/>
  <c r="CN632" i="10"/>
  <c r="CM632" i="10"/>
  <c r="A134" i="34" s="1"/>
  <c r="BV632" i="10"/>
  <c r="BT632" i="10"/>
  <c r="CP632" i="10" s="1"/>
  <c r="BO632" i="10"/>
  <c r="BN632" i="10"/>
  <c r="BM632" i="10"/>
  <c r="BL632" i="10"/>
  <c r="BK632" i="10"/>
  <c r="BJ632" i="10"/>
  <c r="AU632" i="10"/>
  <c r="AT632" i="10"/>
  <c r="X632" i="10"/>
  <c r="W632" i="10"/>
  <c r="V632" i="10"/>
  <c r="CN631" i="10"/>
  <c r="CM631" i="10"/>
  <c r="A133" i="34" s="1"/>
  <c r="BV631" i="10"/>
  <c r="I133" i="34" s="1"/>
  <c r="BT631" i="10"/>
  <c r="CQ631" i="10" s="1"/>
  <c r="M133" i="34" s="1"/>
  <c r="BO631" i="10"/>
  <c r="BN631" i="10"/>
  <c r="BM631" i="10"/>
  <c r="BL631" i="10"/>
  <c r="BK631" i="10"/>
  <c r="BJ631" i="10"/>
  <c r="AU631" i="10"/>
  <c r="AT631" i="10"/>
  <c r="X631" i="10"/>
  <c r="W631" i="10"/>
  <c r="V631" i="10"/>
  <c r="CN630" i="10"/>
  <c r="CM630" i="10"/>
  <c r="A132" i="34" s="1"/>
  <c r="BV630" i="10"/>
  <c r="I132" i="34" s="1"/>
  <c r="BT630" i="10"/>
  <c r="CQ630" i="10" s="1"/>
  <c r="M132" i="34" s="1"/>
  <c r="BO630" i="10"/>
  <c r="BN630" i="10"/>
  <c r="BM630" i="10"/>
  <c r="BL630" i="10"/>
  <c r="BK630" i="10"/>
  <c r="BJ630" i="10"/>
  <c r="AU630" i="10"/>
  <c r="AT630" i="10"/>
  <c r="X630" i="10"/>
  <c r="W630" i="10"/>
  <c r="V630" i="10"/>
  <c r="CN629" i="10"/>
  <c r="CM629" i="10"/>
  <c r="A131" i="34" s="1"/>
  <c r="BV629" i="10"/>
  <c r="BT629" i="10"/>
  <c r="CO629" i="10" s="1"/>
  <c r="O131" i="34" s="1"/>
  <c r="BO629" i="10"/>
  <c r="BN629" i="10"/>
  <c r="BM629" i="10"/>
  <c r="BL629" i="10"/>
  <c r="BK629" i="10"/>
  <c r="BJ629" i="10"/>
  <c r="AU629" i="10"/>
  <c r="AT629" i="10"/>
  <c r="X629" i="10"/>
  <c r="W629" i="10"/>
  <c r="V629" i="10"/>
  <c r="CN628" i="10"/>
  <c r="CM628" i="10"/>
  <c r="A130" i="34" s="1"/>
  <c r="BV628" i="10"/>
  <c r="BT628" i="10"/>
  <c r="BO628" i="10"/>
  <c r="BN628" i="10"/>
  <c r="BM628" i="10"/>
  <c r="BL628" i="10"/>
  <c r="BK628" i="10"/>
  <c r="BJ628" i="10"/>
  <c r="AU628" i="10"/>
  <c r="AT628" i="10"/>
  <c r="X628" i="10"/>
  <c r="W628" i="10"/>
  <c r="V628" i="10"/>
  <c r="CN627" i="10"/>
  <c r="CM627" i="10"/>
  <c r="A129" i="34" s="1"/>
  <c r="BV627" i="10"/>
  <c r="I129" i="34" s="1"/>
  <c r="BT627" i="10"/>
  <c r="BO627" i="10"/>
  <c r="BN627" i="10"/>
  <c r="BM627" i="10"/>
  <c r="BL627" i="10"/>
  <c r="BK627" i="10"/>
  <c r="BJ627" i="10"/>
  <c r="AU627" i="10"/>
  <c r="AT627" i="10"/>
  <c r="X627" i="10"/>
  <c r="W627" i="10"/>
  <c r="V627" i="10"/>
  <c r="CN626" i="10"/>
  <c r="CM626" i="10"/>
  <c r="A128" i="34" s="1"/>
  <c r="BV626" i="10"/>
  <c r="I128" i="34" s="1"/>
  <c r="BT626" i="10"/>
  <c r="BO626" i="10"/>
  <c r="BN626" i="10"/>
  <c r="BM626" i="10"/>
  <c r="BL626" i="10"/>
  <c r="BK626" i="10"/>
  <c r="BJ626" i="10"/>
  <c r="AU626" i="10"/>
  <c r="AT626" i="10"/>
  <c r="X626" i="10"/>
  <c r="W626" i="10"/>
  <c r="V626" i="10"/>
  <c r="CN625" i="10"/>
  <c r="CM625" i="10"/>
  <c r="A127" i="34" s="1"/>
  <c r="BV625" i="10"/>
  <c r="BT625" i="10"/>
  <c r="CP625" i="10" s="1"/>
  <c r="BO625" i="10"/>
  <c r="BN625" i="10"/>
  <c r="BM625" i="10"/>
  <c r="BL625" i="10"/>
  <c r="BK625" i="10"/>
  <c r="BJ625" i="10"/>
  <c r="AU625" i="10"/>
  <c r="AT625" i="10"/>
  <c r="X625" i="10"/>
  <c r="W625" i="10"/>
  <c r="V625" i="10"/>
  <c r="CN624" i="10"/>
  <c r="CM624" i="10"/>
  <c r="A126" i="34" s="1"/>
  <c r="BV624" i="10"/>
  <c r="I126" i="34" s="1"/>
  <c r="BT624" i="10"/>
  <c r="CP624" i="10" s="1"/>
  <c r="BO624" i="10"/>
  <c r="BN624" i="10"/>
  <c r="BM624" i="10"/>
  <c r="BL624" i="10"/>
  <c r="BK624" i="10"/>
  <c r="BJ624" i="10"/>
  <c r="AU624" i="10"/>
  <c r="AT624" i="10"/>
  <c r="X624" i="10"/>
  <c r="W624" i="10"/>
  <c r="V624" i="10"/>
  <c r="CN623" i="10"/>
  <c r="CM623" i="10"/>
  <c r="A125" i="34" s="1"/>
  <c r="BV623" i="10"/>
  <c r="I125" i="34" s="1"/>
  <c r="BT623" i="10"/>
  <c r="BO623" i="10"/>
  <c r="BN623" i="10"/>
  <c r="BM623" i="10"/>
  <c r="BL623" i="10"/>
  <c r="BK623" i="10"/>
  <c r="BJ623" i="10"/>
  <c r="AU623" i="10"/>
  <c r="AT623" i="10"/>
  <c r="X623" i="10"/>
  <c r="W623" i="10"/>
  <c r="V623" i="10"/>
  <c r="CN622" i="10"/>
  <c r="CM622" i="10"/>
  <c r="A124" i="34" s="1"/>
  <c r="BV622" i="10"/>
  <c r="I124" i="34" s="1"/>
  <c r="BT622" i="10"/>
  <c r="CQ622" i="10" s="1"/>
  <c r="M124" i="34" s="1"/>
  <c r="BO622" i="10"/>
  <c r="BN622" i="10"/>
  <c r="BM622" i="10"/>
  <c r="BL622" i="10"/>
  <c r="BK622" i="10"/>
  <c r="BJ622" i="10"/>
  <c r="AU622" i="10"/>
  <c r="AT622" i="10"/>
  <c r="X622" i="10"/>
  <c r="W622" i="10"/>
  <c r="V622" i="10"/>
  <c r="CN621" i="10"/>
  <c r="CM621" i="10"/>
  <c r="A123" i="34" s="1"/>
  <c r="BV621" i="10"/>
  <c r="I123" i="34" s="1"/>
  <c r="BT621" i="10"/>
  <c r="CQ621" i="10" s="1"/>
  <c r="M123" i="34" s="1"/>
  <c r="BO621" i="10"/>
  <c r="BN621" i="10"/>
  <c r="BM621" i="10"/>
  <c r="BL621" i="10"/>
  <c r="BK621" i="10"/>
  <c r="BJ621" i="10"/>
  <c r="AU621" i="10"/>
  <c r="AT621" i="10"/>
  <c r="X621" i="10"/>
  <c r="W621" i="10"/>
  <c r="V621" i="10"/>
  <c r="CN620" i="10"/>
  <c r="CM620" i="10"/>
  <c r="A122" i="34" s="1"/>
  <c r="BV620" i="10"/>
  <c r="I122" i="34" s="1"/>
  <c r="BT620" i="10"/>
  <c r="CQ620" i="10" s="1"/>
  <c r="M122" i="34" s="1"/>
  <c r="BO620" i="10"/>
  <c r="BN620" i="10"/>
  <c r="BM620" i="10"/>
  <c r="BL620" i="10"/>
  <c r="BK620" i="10"/>
  <c r="BJ620" i="10"/>
  <c r="AU620" i="10"/>
  <c r="AT620" i="10"/>
  <c r="X620" i="10"/>
  <c r="W620" i="10"/>
  <c r="V620" i="10"/>
  <c r="CN619" i="10"/>
  <c r="CM619" i="10"/>
  <c r="A121" i="34" s="1"/>
  <c r="BV619" i="10"/>
  <c r="I121" i="34" s="1"/>
  <c r="BT619" i="10"/>
  <c r="CO619" i="10" s="1"/>
  <c r="O121" i="34" s="1"/>
  <c r="BO619" i="10"/>
  <c r="BN619" i="10"/>
  <c r="BM619" i="10"/>
  <c r="BL619" i="10"/>
  <c r="BK619" i="10"/>
  <c r="BJ619" i="10"/>
  <c r="AU619" i="10"/>
  <c r="AT619" i="10"/>
  <c r="X619" i="10"/>
  <c r="W619" i="10"/>
  <c r="V619" i="10"/>
  <c r="CN618" i="10"/>
  <c r="CM618" i="10"/>
  <c r="A120" i="34" s="1"/>
  <c r="BV618" i="10"/>
  <c r="I120" i="34" s="1"/>
  <c r="BT618" i="10"/>
  <c r="H120" i="34" s="1"/>
  <c r="BO618" i="10"/>
  <c r="BN618" i="10"/>
  <c r="BM618" i="10"/>
  <c r="BL618" i="10"/>
  <c r="BK618" i="10"/>
  <c r="BJ618" i="10"/>
  <c r="AU618" i="10"/>
  <c r="AT618" i="10"/>
  <c r="X618" i="10"/>
  <c r="W618" i="10"/>
  <c r="V618" i="10"/>
  <c r="CN617" i="10"/>
  <c r="CM617" i="10"/>
  <c r="A119" i="34" s="1"/>
  <c r="BV617" i="10"/>
  <c r="BT617" i="10"/>
  <c r="BO617" i="10"/>
  <c r="BN617" i="10"/>
  <c r="BM617" i="10"/>
  <c r="BL617" i="10"/>
  <c r="BK617" i="10"/>
  <c r="BJ617" i="10"/>
  <c r="AU617" i="10"/>
  <c r="AT617" i="10"/>
  <c r="X617" i="10"/>
  <c r="W617" i="10"/>
  <c r="V617" i="10"/>
  <c r="CN616" i="10"/>
  <c r="CM616" i="10"/>
  <c r="A118" i="34" s="1"/>
  <c r="BV616" i="10"/>
  <c r="I118" i="34" s="1"/>
  <c r="BT616" i="10"/>
  <c r="BO616" i="10"/>
  <c r="BN616" i="10"/>
  <c r="BM616" i="10"/>
  <c r="BL616" i="10"/>
  <c r="BK616" i="10"/>
  <c r="BJ616" i="10"/>
  <c r="AU616" i="10"/>
  <c r="AT616" i="10"/>
  <c r="X616" i="10"/>
  <c r="W616" i="10"/>
  <c r="V616" i="10"/>
  <c r="CN615" i="10"/>
  <c r="CM615" i="10"/>
  <c r="A117" i="34" s="1"/>
  <c r="BV615" i="10"/>
  <c r="I117" i="34" s="1"/>
  <c r="BT615" i="10"/>
  <c r="BO615" i="10"/>
  <c r="BN615" i="10"/>
  <c r="BM615" i="10"/>
  <c r="BL615" i="10"/>
  <c r="BK615" i="10"/>
  <c r="BJ615" i="10"/>
  <c r="AU615" i="10"/>
  <c r="AT615" i="10"/>
  <c r="X615" i="10"/>
  <c r="W615" i="10"/>
  <c r="V615" i="10"/>
  <c r="CN614" i="10"/>
  <c r="CM614" i="10"/>
  <c r="A116" i="34" s="1"/>
  <c r="BV614" i="10"/>
  <c r="I116" i="34" s="1"/>
  <c r="BT614" i="10"/>
  <c r="CQ614" i="10" s="1"/>
  <c r="M116" i="34" s="1"/>
  <c r="BO614" i="10"/>
  <c r="BN614" i="10"/>
  <c r="BM614" i="10"/>
  <c r="BL614" i="10"/>
  <c r="BK614" i="10"/>
  <c r="BJ614" i="10"/>
  <c r="AU614" i="10"/>
  <c r="AT614" i="10"/>
  <c r="X614" i="10"/>
  <c r="W614" i="10"/>
  <c r="V614" i="10"/>
  <c r="CP613" i="10"/>
  <c r="CN613" i="10"/>
  <c r="CM613" i="10"/>
  <c r="A115" i="34" s="1"/>
  <c r="BV613" i="10"/>
  <c r="I115" i="34" s="1"/>
  <c r="BT613" i="10"/>
  <c r="BO613" i="10"/>
  <c r="BN613" i="10"/>
  <c r="BM613" i="10"/>
  <c r="BL613" i="10"/>
  <c r="BK613" i="10"/>
  <c r="BJ613" i="10"/>
  <c r="AU613" i="10"/>
  <c r="AT613" i="10"/>
  <c r="X613" i="10"/>
  <c r="W613" i="10"/>
  <c r="V613" i="10"/>
  <c r="CN612" i="10"/>
  <c r="CM612" i="10"/>
  <c r="A114" i="34" s="1"/>
  <c r="BV612" i="10"/>
  <c r="I114" i="34" s="1"/>
  <c r="BT612" i="10"/>
  <c r="BO612" i="10"/>
  <c r="BN612" i="10"/>
  <c r="BM612" i="10"/>
  <c r="BL612" i="10"/>
  <c r="BK612" i="10"/>
  <c r="BJ612" i="10"/>
  <c r="AU612" i="10"/>
  <c r="AT612" i="10"/>
  <c r="X612" i="10"/>
  <c r="W612" i="10"/>
  <c r="V612" i="10"/>
  <c r="CN611" i="10"/>
  <c r="CM611" i="10"/>
  <c r="A113" i="34" s="1"/>
  <c r="BV611" i="10"/>
  <c r="I113" i="34" s="1"/>
  <c r="BT611" i="10"/>
  <c r="BO611" i="10"/>
  <c r="BN611" i="10"/>
  <c r="BM611" i="10"/>
  <c r="BL611" i="10"/>
  <c r="BK611" i="10"/>
  <c r="BJ611" i="10"/>
  <c r="AU611" i="10"/>
  <c r="AT611" i="10"/>
  <c r="X611" i="10"/>
  <c r="W611" i="10"/>
  <c r="V611" i="10"/>
  <c r="CQ610" i="10"/>
  <c r="M112" i="34" s="1"/>
  <c r="CN610" i="10"/>
  <c r="CM610" i="10"/>
  <c r="A112" i="34" s="1"/>
  <c r="BV610" i="10"/>
  <c r="I112" i="34" s="1"/>
  <c r="BT610" i="10"/>
  <c r="BO610" i="10"/>
  <c r="BN610" i="10"/>
  <c r="BM610" i="10"/>
  <c r="BL610" i="10"/>
  <c r="BK610" i="10"/>
  <c r="BJ610" i="10"/>
  <c r="AU610" i="10"/>
  <c r="AT610" i="10"/>
  <c r="X610" i="10"/>
  <c r="W610" i="10"/>
  <c r="V610" i="10"/>
  <c r="CN609" i="10"/>
  <c r="CM609" i="10"/>
  <c r="A111" i="34" s="1"/>
  <c r="BV609" i="10"/>
  <c r="I111" i="34" s="1"/>
  <c r="BT609" i="10"/>
  <c r="CO609" i="10" s="1"/>
  <c r="O111" i="34" s="1"/>
  <c r="BO609" i="10"/>
  <c r="BN609" i="10"/>
  <c r="BM609" i="10"/>
  <c r="BL609" i="10"/>
  <c r="BK609" i="10"/>
  <c r="BJ609" i="10"/>
  <c r="AU609" i="10"/>
  <c r="AT609" i="10"/>
  <c r="X609" i="10"/>
  <c r="W609" i="10"/>
  <c r="V609" i="10"/>
  <c r="CN608" i="10"/>
  <c r="CM608" i="10"/>
  <c r="A110" i="34" s="1"/>
  <c r="BV608" i="10"/>
  <c r="I110" i="34" s="1"/>
  <c r="BT608" i="10"/>
  <c r="CP608" i="10" s="1"/>
  <c r="BO608" i="10"/>
  <c r="BN608" i="10"/>
  <c r="BM608" i="10"/>
  <c r="BL608" i="10"/>
  <c r="BK608" i="10"/>
  <c r="BJ608" i="10"/>
  <c r="AU608" i="10"/>
  <c r="AT608" i="10"/>
  <c r="X608" i="10"/>
  <c r="W608" i="10"/>
  <c r="V608" i="10"/>
  <c r="CN607" i="10"/>
  <c r="CM607" i="10"/>
  <c r="A109" i="34" s="1"/>
  <c r="BV607" i="10"/>
  <c r="I109" i="34" s="1"/>
  <c r="BT607" i="10"/>
  <c r="BO607" i="10"/>
  <c r="BN607" i="10"/>
  <c r="BM607" i="10"/>
  <c r="BL607" i="10"/>
  <c r="BK607" i="10"/>
  <c r="BJ607" i="10"/>
  <c r="AU607" i="10"/>
  <c r="AT607" i="10"/>
  <c r="X607" i="10"/>
  <c r="W607" i="10"/>
  <c r="V607" i="10"/>
  <c r="CN606" i="10"/>
  <c r="CM606" i="10"/>
  <c r="A108" i="34" s="1"/>
  <c r="BV606" i="10"/>
  <c r="BT606" i="10"/>
  <c r="CO606" i="10" s="1"/>
  <c r="O108" i="34" s="1"/>
  <c r="BO606" i="10"/>
  <c r="BN606" i="10"/>
  <c r="BM606" i="10"/>
  <c r="BL606" i="10"/>
  <c r="BK606" i="10"/>
  <c r="BJ606" i="10"/>
  <c r="AU606" i="10"/>
  <c r="AT606" i="10"/>
  <c r="X606" i="10"/>
  <c r="W606" i="10"/>
  <c r="V606" i="10"/>
  <c r="CP605" i="10"/>
  <c r="CO605" i="10"/>
  <c r="O107" i="34" s="1"/>
  <c r="CN605" i="10"/>
  <c r="CM605" i="10"/>
  <c r="A107" i="34" s="1"/>
  <c r="BV605" i="10"/>
  <c r="I107" i="34" s="1"/>
  <c r="BT605" i="10"/>
  <c r="H107" i="34" s="1"/>
  <c r="BO605" i="10"/>
  <c r="BN605" i="10"/>
  <c r="BM605" i="10"/>
  <c r="BL605" i="10"/>
  <c r="BK605" i="10"/>
  <c r="BJ605" i="10"/>
  <c r="AU605" i="10"/>
  <c r="AT605" i="10"/>
  <c r="X605" i="10"/>
  <c r="W605" i="10"/>
  <c r="V605" i="10"/>
  <c r="CN604" i="10"/>
  <c r="CM604" i="10"/>
  <c r="A106" i="34" s="1"/>
  <c r="BV604" i="10"/>
  <c r="I106" i="34" s="1"/>
  <c r="BT604" i="10"/>
  <c r="BO604" i="10"/>
  <c r="BN604" i="10"/>
  <c r="BM604" i="10"/>
  <c r="BL604" i="10"/>
  <c r="BK604" i="10"/>
  <c r="BJ604" i="10"/>
  <c r="AU604" i="10"/>
  <c r="AT604" i="10"/>
  <c r="X604" i="10"/>
  <c r="W604" i="10"/>
  <c r="V604" i="10"/>
  <c r="CN603" i="10"/>
  <c r="CM603" i="10"/>
  <c r="A105" i="34" s="1"/>
  <c r="BV603" i="10"/>
  <c r="I105" i="34" s="1"/>
  <c r="BT603" i="10"/>
  <c r="BO603" i="10"/>
  <c r="BN603" i="10"/>
  <c r="BM603" i="10"/>
  <c r="BL603" i="10"/>
  <c r="BK603" i="10"/>
  <c r="BJ603" i="10"/>
  <c r="AU603" i="10"/>
  <c r="AT603" i="10"/>
  <c r="X603" i="10"/>
  <c r="W603" i="10"/>
  <c r="V603" i="10"/>
  <c r="CP602" i="10"/>
  <c r="CO602" i="10"/>
  <c r="O104" i="34" s="1"/>
  <c r="CN602" i="10"/>
  <c r="CM602" i="10"/>
  <c r="A104" i="34" s="1"/>
  <c r="BV602" i="10"/>
  <c r="I104" i="34" s="1"/>
  <c r="BT602" i="10"/>
  <c r="BO602" i="10"/>
  <c r="BN602" i="10"/>
  <c r="BM602" i="10"/>
  <c r="BL602" i="10"/>
  <c r="BK602" i="10"/>
  <c r="BJ602" i="10"/>
  <c r="AU602" i="10"/>
  <c r="AT602" i="10"/>
  <c r="X602" i="10"/>
  <c r="W602" i="10"/>
  <c r="V602" i="10"/>
  <c r="CN601" i="10"/>
  <c r="CM601" i="10"/>
  <c r="A103" i="34" s="1"/>
  <c r="BV601" i="10"/>
  <c r="BT601" i="10"/>
  <c r="CO601" i="10" s="1"/>
  <c r="O103" i="34" s="1"/>
  <c r="BO601" i="10"/>
  <c r="BN601" i="10"/>
  <c r="BM601" i="10"/>
  <c r="BL601" i="10"/>
  <c r="BK601" i="10"/>
  <c r="BJ601" i="10"/>
  <c r="AU601" i="10"/>
  <c r="AT601" i="10"/>
  <c r="X601" i="10"/>
  <c r="W601" i="10"/>
  <c r="V601" i="10"/>
  <c r="CN600" i="10"/>
  <c r="CM600" i="10"/>
  <c r="A102" i="34" s="1"/>
  <c r="BV600" i="10"/>
  <c r="I102" i="34" s="1"/>
  <c r="BT600" i="10"/>
  <c r="BO600" i="10"/>
  <c r="BN600" i="10"/>
  <c r="BM600" i="10"/>
  <c r="BL600" i="10"/>
  <c r="BK600" i="10"/>
  <c r="BJ600" i="10"/>
  <c r="AU600" i="10"/>
  <c r="AT600" i="10"/>
  <c r="X600" i="10"/>
  <c r="W600" i="10"/>
  <c r="V600" i="10"/>
  <c r="CN599" i="10"/>
  <c r="CM599" i="10"/>
  <c r="A101" i="34" s="1"/>
  <c r="BV599" i="10"/>
  <c r="I101" i="34" s="1"/>
  <c r="BT599" i="10"/>
  <c r="BO599" i="10"/>
  <c r="BN599" i="10"/>
  <c r="BM599" i="10"/>
  <c r="BL599" i="10"/>
  <c r="BK599" i="10"/>
  <c r="BJ599" i="10"/>
  <c r="AU599" i="10"/>
  <c r="AT599" i="10"/>
  <c r="X599" i="10"/>
  <c r="W599" i="10"/>
  <c r="V599" i="10"/>
  <c r="CN598" i="10"/>
  <c r="CM598" i="10"/>
  <c r="A100" i="34" s="1"/>
  <c r="BV598" i="10"/>
  <c r="BT598" i="10"/>
  <c r="BO598" i="10"/>
  <c r="BN598" i="10"/>
  <c r="BM598" i="10"/>
  <c r="BL598" i="10"/>
  <c r="BK598" i="10"/>
  <c r="BJ598" i="10"/>
  <c r="AU598" i="10"/>
  <c r="AT598" i="10"/>
  <c r="X598" i="10"/>
  <c r="W598" i="10"/>
  <c r="V598" i="10"/>
  <c r="CN597" i="10"/>
  <c r="CM597" i="10"/>
  <c r="A99" i="34" s="1"/>
  <c r="BV597" i="10"/>
  <c r="BT597" i="10"/>
  <c r="BO597" i="10"/>
  <c r="BN597" i="10"/>
  <c r="BM597" i="10"/>
  <c r="BL597" i="10"/>
  <c r="BK597" i="10"/>
  <c r="BJ597" i="10"/>
  <c r="AU597" i="10"/>
  <c r="AT597" i="10"/>
  <c r="X597" i="10"/>
  <c r="W597" i="10"/>
  <c r="V597" i="10"/>
  <c r="CN596" i="10"/>
  <c r="CM596" i="10"/>
  <c r="A98" i="34" s="1"/>
  <c r="BV596" i="10"/>
  <c r="I98" i="34" s="1"/>
  <c r="BT596" i="10"/>
  <c r="BO596" i="10"/>
  <c r="BN596" i="10"/>
  <c r="BM596" i="10"/>
  <c r="BL596" i="10"/>
  <c r="BK596" i="10"/>
  <c r="BJ596" i="10"/>
  <c r="AU596" i="10"/>
  <c r="AT596" i="10"/>
  <c r="X596" i="10"/>
  <c r="W596" i="10"/>
  <c r="V596" i="10"/>
  <c r="CN595" i="10"/>
  <c r="CM595" i="10"/>
  <c r="A97" i="34" s="1"/>
  <c r="BV595" i="10"/>
  <c r="I97" i="34" s="1"/>
  <c r="BT595" i="10"/>
  <c r="BO595" i="10"/>
  <c r="BN595" i="10"/>
  <c r="BM595" i="10"/>
  <c r="BL595" i="10"/>
  <c r="BK595" i="10"/>
  <c r="BJ595" i="10"/>
  <c r="AU595" i="10"/>
  <c r="AT595" i="10"/>
  <c r="X595" i="10"/>
  <c r="W595" i="10"/>
  <c r="V595" i="10"/>
  <c r="CQ594" i="10"/>
  <c r="M96" i="34" s="1"/>
  <c r="CO594" i="10"/>
  <c r="O96" i="34" s="1"/>
  <c r="CN594" i="10"/>
  <c r="CM594" i="10"/>
  <c r="A96" i="34" s="1"/>
  <c r="BV594" i="10"/>
  <c r="BT594" i="10"/>
  <c r="H96" i="34" s="1"/>
  <c r="BO594" i="10"/>
  <c r="BN594" i="10"/>
  <c r="BM594" i="10"/>
  <c r="BL594" i="10"/>
  <c r="BK594" i="10"/>
  <c r="BJ594" i="10"/>
  <c r="AU594" i="10"/>
  <c r="AT594" i="10"/>
  <c r="X594" i="10"/>
  <c r="W594" i="10"/>
  <c r="V594" i="10"/>
  <c r="CN593" i="10"/>
  <c r="CM593" i="10"/>
  <c r="A95" i="34" s="1"/>
  <c r="BV593" i="10"/>
  <c r="I95" i="34" s="1"/>
  <c r="BT593" i="10"/>
  <c r="BO593" i="10"/>
  <c r="BN593" i="10"/>
  <c r="BM593" i="10"/>
  <c r="BL593" i="10"/>
  <c r="BK593" i="10"/>
  <c r="BJ593" i="10"/>
  <c r="AU593" i="10"/>
  <c r="AT593" i="10"/>
  <c r="X593" i="10"/>
  <c r="W593" i="10"/>
  <c r="V593" i="10"/>
  <c r="CN592" i="10"/>
  <c r="CM592" i="10"/>
  <c r="A94" i="34" s="1"/>
  <c r="BV592" i="10"/>
  <c r="I94" i="34" s="1"/>
  <c r="BT592" i="10"/>
  <c r="BO592" i="10"/>
  <c r="BN592" i="10"/>
  <c r="BM592" i="10"/>
  <c r="BL592" i="10"/>
  <c r="BK592" i="10"/>
  <c r="BJ592" i="10"/>
  <c r="AU592" i="10"/>
  <c r="AT592" i="10"/>
  <c r="X592" i="10"/>
  <c r="W592" i="10"/>
  <c r="V592" i="10"/>
  <c r="CN591" i="10"/>
  <c r="CM591" i="10"/>
  <c r="A93" i="34" s="1"/>
  <c r="BV591" i="10"/>
  <c r="I93" i="34" s="1"/>
  <c r="BT591" i="10"/>
  <c r="BO591" i="10"/>
  <c r="BN591" i="10"/>
  <c r="BM591" i="10"/>
  <c r="BL591" i="10"/>
  <c r="BK591" i="10"/>
  <c r="BJ591" i="10"/>
  <c r="AU591" i="10"/>
  <c r="AT591" i="10"/>
  <c r="X591" i="10"/>
  <c r="W591" i="10"/>
  <c r="V591" i="10"/>
  <c r="CN590" i="10"/>
  <c r="CM590" i="10"/>
  <c r="A92" i="34" s="1"/>
  <c r="BV590" i="10"/>
  <c r="I92" i="34" s="1"/>
  <c r="BT590" i="10"/>
  <c r="BO590" i="10"/>
  <c r="BN590" i="10"/>
  <c r="BM590" i="10"/>
  <c r="BL590" i="10"/>
  <c r="BK590" i="10"/>
  <c r="BJ590" i="10"/>
  <c r="AU590" i="10"/>
  <c r="AT590" i="10"/>
  <c r="X590" i="10"/>
  <c r="W590" i="10"/>
  <c r="V590" i="10"/>
  <c r="CN589" i="10"/>
  <c r="CM589" i="10"/>
  <c r="A91" i="34" s="1"/>
  <c r="BV589" i="10"/>
  <c r="I91" i="34" s="1"/>
  <c r="BT589" i="10"/>
  <c r="BO589" i="10"/>
  <c r="BN589" i="10"/>
  <c r="BM589" i="10"/>
  <c r="BL589" i="10"/>
  <c r="BK589" i="10"/>
  <c r="BJ589" i="10"/>
  <c r="AU589" i="10"/>
  <c r="AT589" i="10"/>
  <c r="X589" i="10"/>
  <c r="W589" i="10"/>
  <c r="V589" i="10"/>
  <c r="CN588" i="10"/>
  <c r="CM588" i="10"/>
  <c r="A90" i="34" s="1"/>
  <c r="BV588" i="10"/>
  <c r="I90" i="34" s="1"/>
  <c r="BT588" i="10"/>
  <c r="CP588" i="10" s="1"/>
  <c r="BO588" i="10"/>
  <c r="BN588" i="10"/>
  <c r="BM588" i="10"/>
  <c r="BL588" i="10"/>
  <c r="BK588" i="10"/>
  <c r="BJ588" i="10"/>
  <c r="AU588" i="10"/>
  <c r="AT588" i="10"/>
  <c r="X588" i="10"/>
  <c r="W588" i="10"/>
  <c r="V588" i="10"/>
  <c r="CN587" i="10"/>
  <c r="CM587" i="10"/>
  <c r="A89" i="34" s="1"/>
  <c r="BV587" i="10"/>
  <c r="I89" i="34" s="1"/>
  <c r="BT587" i="10"/>
  <c r="BO587" i="10"/>
  <c r="BN587" i="10"/>
  <c r="BM587" i="10"/>
  <c r="BL587" i="10"/>
  <c r="BK587" i="10"/>
  <c r="BJ587" i="10"/>
  <c r="AU587" i="10"/>
  <c r="AT587" i="10"/>
  <c r="X587" i="10"/>
  <c r="W587" i="10"/>
  <c r="V587" i="10"/>
  <c r="CN586" i="10"/>
  <c r="CM586" i="10"/>
  <c r="A88" i="34" s="1"/>
  <c r="BV586" i="10"/>
  <c r="I88" i="34" s="1"/>
  <c r="BT586" i="10"/>
  <c r="BO586" i="10"/>
  <c r="BN586" i="10"/>
  <c r="BM586" i="10"/>
  <c r="BL586" i="10"/>
  <c r="BK586" i="10"/>
  <c r="BJ586" i="10"/>
  <c r="AU586" i="10"/>
  <c r="AT586" i="10"/>
  <c r="X586" i="10"/>
  <c r="W586" i="10"/>
  <c r="V586" i="10"/>
  <c r="CN585" i="10"/>
  <c r="CM585" i="10"/>
  <c r="A87" i="34" s="1"/>
  <c r="BV585" i="10"/>
  <c r="I87" i="34" s="1"/>
  <c r="BT585" i="10"/>
  <c r="H87" i="34" s="1"/>
  <c r="BO585" i="10"/>
  <c r="BN585" i="10"/>
  <c r="BM585" i="10"/>
  <c r="BL585" i="10"/>
  <c r="BK585" i="10"/>
  <c r="BJ585" i="10"/>
  <c r="AU585" i="10"/>
  <c r="AT585" i="10"/>
  <c r="X585" i="10"/>
  <c r="W585" i="10"/>
  <c r="V585" i="10"/>
  <c r="CN584" i="10"/>
  <c r="CM584" i="10"/>
  <c r="A86" i="34" s="1"/>
  <c r="BV584" i="10"/>
  <c r="I86" i="34" s="1"/>
  <c r="BT584" i="10"/>
  <c r="CP584" i="10" s="1"/>
  <c r="L86" i="34" s="1"/>
  <c r="BO584" i="10"/>
  <c r="BN584" i="10"/>
  <c r="BM584" i="10"/>
  <c r="BL584" i="10"/>
  <c r="BK584" i="10"/>
  <c r="BJ584" i="10"/>
  <c r="AU584" i="10"/>
  <c r="AT584" i="10"/>
  <c r="X584" i="10"/>
  <c r="W584" i="10"/>
  <c r="V584" i="10"/>
  <c r="CN583" i="10"/>
  <c r="CM583" i="10"/>
  <c r="A85" i="34" s="1"/>
  <c r="BV583" i="10"/>
  <c r="I85" i="34" s="1"/>
  <c r="BT583" i="10"/>
  <c r="CO583" i="10" s="1"/>
  <c r="O85" i="34" s="1"/>
  <c r="BO583" i="10"/>
  <c r="BN583" i="10"/>
  <c r="BM583" i="10"/>
  <c r="BL583" i="10"/>
  <c r="BK583" i="10"/>
  <c r="BJ583" i="10"/>
  <c r="AU583" i="10"/>
  <c r="AT583" i="10"/>
  <c r="X583" i="10"/>
  <c r="W583" i="10"/>
  <c r="V583" i="10"/>
  <c r="CN582" i="10"/>
  <c r="CM582" i="10"/>
  <c r="A84" i="34" s="1"/>
  <c r="BV582" i="10"/>
  <c r="I84" i="34" s="1"/>
  <c r="BT582" i="10"/>
  <c r="BO582" i="10"/>
  <c r="BN582" i="10"/>
  <c r="BM582" i="10"/>
  <c r="BL582" i="10"/>
  <c r="BK582" i="10"/>
  <c r="BJ582" i="10"/>
  <c r="AU582" i="10"/>
  <c r="AT582" i="10"/>
  <c r="X582" i="10"/>
  <c r="W582" i="10"/>
  <c r="V582" i="10"/>
  <c r="CN581" i="10"/>
  <c r="CM581" i="10"/>
  <c r="A83" i="34" s="1"/>
  <c r="BV581" i="10"/>
  <c r="I83" i="34" s="1"/>
  <c r="BT581" i="10"/>
  <c r="BO581" i="10"/>
  <c r="BN581" i="10"/>
  <c r="BM581" i="10"/>
  <c r="BL581" i="10"/>
  <c r="BK581" i="10"/>
  <c r="BJ581" i="10"/>
  <c r="AU581" i="10"/>
  <c r="AT581" i="10"/>
  <c r="X581" i="10"/>
  <c r="W581" i="10"/>
  <c r="V581" i="10"/>
  <c r="CN580" i="10"/>
  <c r="CM580" i="10"/>
  <c r="A82" i="34" s="1"/>
  <c r="BV580" i="10"/>
  <c r="BT580" i="10"/>
  <c r="CP580" i="10" s="1"/>
  <c r="BO580" i="10"/>
  <c r="BN580" i="10"/>
  <c r="BM580" i="10"/>
  <c r="BL580" i="10"/>
  <c r="BK580" i="10"/>
  <c r="BJ580" i="10"/>
  <c r="AU580" i="10"/>
  <c r="AT580" i="10"/>
  <c r="X580" i="10"/>
  <c r="W580" i="10"/>
  <c r="V580" i="10"/>
  <c r="CN579" i="10"/>
  <c r="CM579" i="10"/>
  <c r="A81" i="34" s="1"/>
  <c r="BV579" i="10"/>
  <c r="I81" i="34" s="1"/>
  <c r="BT579" i="10"/>
  <c r="CP579" i="10" s="1"/>
  <c r="BO579" i="10"/>
  <c r="BN579" i="10"/>
  <c r="BM579" i="10"/>
  <c r="BL579" i="10"/>
  <c r="BK579" i="10"/>
  <c r="BJ579" i="10"/>
  <c r="AU579" i="10"/>
  <c r="AT579" i="10"/>
  <c r="X579" i="10"/>
  <c r="W579" i="10"/>
  <c r="V579" i="10"/>
  <c r="CP578" i="10"/>
  <c r="CN578" i="10"/>
  <c r="CM578" i="10"/>
  <c r="A80" i="34" s="1"/>
  <c r="BV578" i="10"/>
  <c r="I80" i="34" s="1"/>
  <c r="BT578" i="10"/>
  <c r="BO578" i="10"/>
  <c r="BN578" i="10"/>
  <c r="BM578" i="10"/>
  <c r="BL578" i="10"/>
  <c r="BK578" i="10"/>
  <c r="BJ578" i="10"/>
  <c r="AU578" i="10"/>
  <c r="AT578" i="10"/>
  <c r="X578" i="10"/>
  <c r="W578" i="10"/>
  <c r="V578" i="10"/>
  <c r="CN577" i="10"/>
  <c r="CM577" i="10"/>
  <c r="A79" i="34" s="1"/>
  <c r="BV577" i="10"/>
  <c r="BT577" i="10"/>
  <c r="BO577" i="10"/>
  <c r="BN577" i="10"/>
  <c r="BM577" i="10"/>
  <c r="BL577" i="10"/>
  <c r="BK577" i="10"/>
  <c r="BJ577" i="10"/>
  <c r="AU577" i="10"/>
  <c r="AT577" i="10"/>
  <c r="X577" i="10"/>
  <c r="W577" i="10"/>
  <c r="V577" i="10"/>
  <c r="CN576" i="10"/>
  <c r="CM576" i="10"/>
  <c r="A78" i="34" s="1"/>
  <c r="BV576" i="10"/>
  <c r="I78" i="34" s="1"/>
  <c r="BT576" i="10"/>
  <c r="BO576" i="10"/>
  <c r="BN576" i="10"/>
  <c r="BM576" i="10"/>
  <c r="BL576" i="10"/>
  <c r="BK576" i="10"/>
  <c r="BJ576" i="10"/>
  <c r="AU576" i="10"/>
  <c r="AT576" i="10"/>
  <c r="X576" i="10"/>
  <c r="W576" i="10"/>
  <c r="V576" i="10"/>
  <c r="CN575" i="10"/>
  <c r="CM575" i="10"/>
  <c r="A77" i="34" s="1"/>
  <c r="BV575" i="10"/>
  <c r="BT575" i="10"/>
  <c r="BO575" i="10"/>
  <c r="BN575" i="10"/>
  <c r="BM575" i="10"/>
  <c r="BL575" i="10"/>
  <c r="BK575" i="10"/>
  <c r="BJ575" i="10"/>
  <c r="AU575" i="10"/>
  <c r="AT575" i="10"/>
  <c r="X575" i="10"/>
  <c r="W575" i="10"/>
  <c r="V575" i="10"/>
  <c r="CN574" i="10"/>
  <c r="CM574" i="10"/>
  <c r="A76" i="34" s="1"/>
  <c r="BV574" i="10"/>
  <c r="I76" i="34" s="1"/>
  <c r="BT574" i="10"/>
  <c r="BO574" i="10"/>
  <c r="BN574" i="10"/>
  <c r="BM574" i="10"/>
  <c r="BL574" i="10"/>
  <c r="BK574" i="10"/>
  <c r="BJ574" i="10"/>
  <c r="AU574" i="10"/>
  <c r="AT574" i="10"/>
  <c r="X574" i="10"/>
  <c r="W574" i="10"/>
  <c r="V574" i="10"/>
  <c r="CN573" i="10"/>
  <c r="CM573" i="10"/>
  <c r="A75" i="34" s="1"/>
  <c r="BV573" i="10"/>
  <c r="I75" i="34" s="1"/>
  <c r="BT573" i="10"/>
  <c r="BO573" i="10"/>
  <c r="BN573" i="10"/>
  <c r="BM573" i="10"/>
  <c r="BL573" i="10"/>
  <c r="BK573" i="10"/>
  <c r="BJ573" i="10"/>
  <c r="AU573" i="10"/>
  <c r="AT573" i="10"/>
  <c r="X573" i="10"/>
  <c r="W573" i="10"/>
  <c r="V573" i="10"/>
  <c r="CN572" i="10"/>
  <c r="CM572" i="10"/>
  <c r="A74" i="34" s="1"/>
  <c r="BV572" i="10"/>
  <c r="BT572" i="10"/>
  <c r="BO572" i="10"/>
  <c r="BN572" i="10"/>
  <c r="BM572" i="10"/>
  <c r="BL572" i="10"/>
  <c r="BK572" i="10"/>
  <c r="BJ572" i="10"/>
  <c r="AU572" i="10"/>
  <c r="AT572" i="10"/>
  <c r="AB572" i="10"/>
  <c r="X572" i="10"/>
  <c r="W572" i="10"/>
  <c r="V572" i="10"/>
  <c r="CP571" i="10"/>
  <c r="CO571" i="10"/>
  <c r="O73" i="34" s="1"/>
  <c r="CN571" i="10"/>
  <c r="CM571" i="10"/>
  <c r="A73" i="34" s="1"/>
  <c r="BV571" i="10"/>
  <c r="I73" i="34" s="1"/>
  <c r="BT571" i="10"/>
  <c r="CQ571" i="10" s="1"/>
  <c r="M73" i="34" s="1"/>
  <c r="BO571" i="10"/>
  <c r="BN571" i="10"/>
  <c r="BM571" i="10"/>
  <c r="BL571" i="10"/>
  <c r="BK571" i="10"/>
  <c r="BJ571" i="10"/>
  <c r="AU571" i="10"/>
  <c r="AT571" i="10"/>
  <c r="X571" i="10"/>
  <c r="W571" i="10"/>
  <c r="V571" i="10"/>
  <c r="CN570" i="10"/>
  <c r="CM570" i="10"/>
  <c r="A72" i="34" s="1"/>
  <c r="BV570" i="10"/>
  <c r="I72" i="34" s="1"/>
  <c r="BT570" i="10"/>
  <c r="BO570" i="10"/>
  <c r="BN570" i="10"/>
  <c r="BM570" i="10"/>
  <c r="BL570" i="10"/>
  <c r="BK570" i="10"/>
  <c r="BJ570" i="10"/>
  <c r="AU570" i="10"/>
  <c r="AT570" i="10"/>
  <c r="X570" i="10"/>
  <c r="W570" i="10"/>
  <c r="V570" i="10"/>
  <c r="CN569" i="10"/>
  <c r="CM569" i="10"/>
  <c r="A71" i="34" s="1"/>
  <c r="BV569" i="10"/>
  <c r="I71" i="34" s="1"/>
  <c r="BT569" i="10"/>
  <c r="CP569" i="10" s="1"/>
  <c r="L71" i="34" s="1"/>
  <c r="BO569" i="10"/>
  <c r="BN569" i="10"/>
  <c r="BM569" i="10"/>
  <c r="BL569" i="10"/>
  <c r="BK569" i="10"/>
  <c r="BJ569" i="10"/>
  <c r="AU569" i="10"/>
  <c r="AT569" i="10"/>
  <c r="X569" i="10"/>
  <c r="W569" i="10"/>
  <c r="V569" i="10"/>
  <c r="CQ568" i="10"/>
  <c r="M70" i="34" s="1"/>
  <c r="CN568" i="10"/>
  <c r="CM568" i="10"/>
  <c r="A70" i="34" s="1"/>
  <c r="BV568" i="10"/>
  <c r="I70" i="34" s="1"/>
  <c r="BT568" i="10"/>
  <c r="BO568" i="10"/>
  <c r="BN568" i="10"/>
  <c r="BM568" i="10"/>
  <c r="BL568" i="10"/>
  <c r="BK568" i="10"/>
  <c r="BJ568" i="10"/>
  <c r="AU568" i="10"/>
  <c r="AT568" i="10"/>
  <c r="X568" i="10"/>
  <c r="W568" i="10"/>
  <c r="V568" i="10"/>
  <c r="CN567" i="10"/>
  <c r="CM567" i="10"/>
  <c r="A69" i="34" s="1"/>
  <c r="BV567" i="10"/>
  <c r="BT567" i="10"/>
  <c r="BO567" i="10"/>
  <c r="BN567" i="10"/>
  <c r="BM567" i="10"/>
  <c r="BL567" i="10"/>
  <c r="BK567" i="10"/>
  <c r="BJ567" i="10"/>
  <c r="AU567" i="10"/>
  <c r="AT567" i="10"/>
  <c r="X567" i="10"/>
  <c r="W567" i="10"/>
  <c r="V567" i="10"/>
  <c r="CN566" i="10"/>
  <c r="CM566" i="10"/>
  <c r="A68" i="34" s="1"/>
  <c r="BV566" i="10"/>
  <c r="I68" i="34" s="1"/>
  <c r="BT566" i="10"/>
  <c r="BO566" i="10"/>
  <c r="BN566" i="10"/>
  <c r="BM566" i="10"/>
  <c r="BL566" i="10"/>
  <c r="BK566" i="10"/>
  <c r="BJ566" i="10"/>
  <c r="AU566" i="10"/>
  <c r="AT566" i="10"/>
  <c r="X566" i="10"/>
  <c r="W566" i="10"/>
  <c r="V566" i="10"/>
  <c r="CN565" i="10"/>
  <c r="CM565" i="10"/>
  <c r="A67" i="34" s="1"/>
  <c r="BV565" i="10"/>
  <c r="I67" i="34" s="1"/>
  <c r="BT565" i="10"/>
  <c r="BO565" i="10"/>
  <c r="BN565" i="10"/>
  <c r="BM565" i="10"/>
  <c r="BL565" i="10"/>
  <c r="BK565" i="10"/>
  <c r="BJ565" i="10"/>
  <c r="AU565" i="10"/>
  <c r="AT565" i="10"/>
  <c r="X565" i="10"/>
  <c r="W565" i="10"/>
  <c r="V565" i="10"/>
  <c r="CQ564" i="10"/>
  <c r="M66" i="34" s="1"/>
  <c r="CP564" i="10"/>
  <c r="CN564" i="10"/>
  <c r="CM564" i="10"/>
  <c r="A66" i="34" s="1"/>
  <c r="BV564" i="10"/>
  <c r="BT564" i="10"/>
  <c r="BO564" i="10"/>
  <c r="BN564" i="10"/>
  <c r="BM564" i="10"/>
  <c r="BL564" i="10"/>
  <c r="BK564" i="10"/>
  <c r="BJ564" i="10"/>
  <c r="AU564" i="10"/>
  <c r="AT564" i="10"/>
  <c r="X564" i="10"/>
  <c r="W564" i="10"/>
  <c r="V564" i="10"/>
  <c r="CN563" i="10"/>
  <c r="CM563" i="10"/>
  <c r="A65" i="34" s="1"/>
  <c r="BV563" i="10"/>
  <c r="I65" i="34" s="1"/>
  <c r="BT563" i="10"/>
  <c r="BO563" i="10"/>
  <c r="BN563" i="10"/>
  <c r="BM563" i="10"/>
  <c r="BL563" i="10"/>
  <c r="BK563" i="10"/>
  <c r="BJ563" i="10"/>
  <c r="AU563" i="10"/>
  <c r="AT563" i="10"/>
  <c r="X563" i="10"/>
  <c r="W563" i="10"/>
  <c r="V563" i="10"/>
  <c r="CN562" i="10"/>
  <c r="CM562" i="10"/>
  <c r="A64" i="34" s="1"/>
  <c r="BV562" i="10"/>
  <c r="I64" i="34" s="1"/>
  <c r="BT562" i="10"/>
  <c r="BO562" i="10"/>
  <c r="BN562" i="10"/>
  <c r="BM562" i="10"/>
  <c r="BL562" i="10"/>
  <c r="BK562" i="10"/>
  <c r="BJ562" i="10"/>
  <c r="AU562" i="10"/>
  <c r="AT562" i="10"/>
  <c r="X562" i="10"/>
  <c r="W562" i="10"/>
  <c r="V562" i="10"/>
  <c r="CO561" i="10"/>
  <c r="O63" i="34" s="1"/>
  <c r="CN561" i="10"/>
  <c r="CM561" i="10"/>
  <c r="A63" i="34" s="1"/>
  <c r="BV561" i="10"/>
  <c r="BT561" i="10"/>
  <c r="CP561" i="10" s="1"/>
  <c r="BO561" i="10"/>
  <c r="BN561" i="10"/>
  <c r="BM561" i="10"/>
  <c r="BL561" i="10"/>
  <c r="BK561" i="10"/>
  <c r="BJ561" i="10"/>
  <c r="AU561" i="10"/>
  <c r="AT561" i="10"/>
  <c r="X561" i="10"/>
  <c r="W561" i="10"/>
  <c r="V561" i="10"/>
  <c r="CN560" i="10"/>
  <c r="CM560" i="10"/>
  <c r="A62" i="34" s="1"/>
  <c r="BV560" i="10"/>
  <c r="I62" i="34" s="1"/>
  <c r="BT560" i="10"/>
  <c r="BO560" i="10"/>
  <c r="BN560" i="10"/>
  <c r="BM560" i="10"/>
  <c r="BL560" i="10"/>
  <c r="BK560" i="10"/>
  <c r="BJ560" i="10"/>
  <c r="AU560" i="10"/>
  <c r="AT560" i="10"/>
  <c r="X560" i="10"/>
  <c r="W560" i="10"/>
  <c r="V560" i="10"/>
  <c r="CN559" i="10"/>
  <c r="CM559" i="10"/>
  <c r="A61" i="34" s="1"/>
  <c r="BV559" i="10"/>
  <c r="BT559" i="10"/>
  <c r="BO559" i="10"/>
  <c r="BN559" i="10"/>
  <c r="BM559" i="10"/>
  <c r="BL559" i="10"/>
  <c r="BK559" i="10"/>
  <c r="BJ559" i="10"/>
  <c r="AU559" i="10"/>
  <c r="AT559" i="10"/>
  <c r="X559" i="10"/>
  <c r="W559" i="10"/>
  <c r="V559" i="10"/>
  <c r="CN558" i="10"/>
  <c r="CM558" i="10"/>
  <c r="A60" i="34" s="1"/>
  <c r="BV558" i="10"/>
  <c r="I60" i="34" s="1"/>
  <c r="BT558" i="10"/>
  <c r="CO558" i="10" s="1"/>
  <c r="O60" i="34" s="1"/>
  <c r="BO558" i="10"/>
  <c r="BN558" i="10"/>
  <c r="BM558" i="10"/>
  <c r="BL558" i="10"/>
  <c r="BK558" i="10"/>
  <c r="BJ558" i="10"/>
  <c r="AU558" i="10"/>
  <c r="AT558" i="10"/>
  <c r="X558" i="10"/>
  <c r="W558" i="10"/>
  <c r="V558" i="10"/>
  <c r="CN557" i="10"/>
  <c r="CM557" i="10"/>
  <c r="A59" i="34" s="1"/>
  <c r="BV557" i="10"/>
  <c r="BT557" i="10"/>
  <c r="BO557" i="10"/>
  <c r="BN557" i="10"/>
  <c r="BM557" i="10"/>
  <c r="BL557" i="10"/>
  <c r="BK557" i="10"/>
  <c r="BJ557" i="10"/>
  <c r="AU557" i="10"/>
  <c r="AT557" i="10"/>
  <c r="X557" i="10"/>
  <c r="W557" i="10"/>
  <c r="V557" i="10"/>
  <c r="CN556" i="10"/>
  <c r="CM556" i="10"/>
  <c r="A58" i="34" s="1"/>
  <c r="BV556" i="10"/>
  <c r="I58" i="34" s="1"/>
  <c r="BT556" i="10"/>
  <c r="BO556" i="10"/>
  <c r="BN556" i="10"/>
  <c r="BM556" i="10"/>
  <c r="BL556" i="10"/>
  <c r="BK556" i="10"/>
  <c r="BJ556" i="10"/>
  <c r="AU556" i="10"/>
  <c r="AT556" i="10"/>
  <c r="X556" i="10"/>
  <c r="W556" i="10"/>
  <c r="V556" i="10"/>
  <c r="CN555" i="10"/>
  <c r="CM555" i="10"/>
  <c r="A57" i="34" s="1"/>
  <c r="BV555" i="10"/>
  <c r="I57" i="34" s="1"/>
  <c r="BT555" i="10"/>
  <c r="BO555" i="10"/>
  <c r="BN555" i="10"/>
  <c r="BM555" i="10"/>
  <c r="BL555" i="10"/>
  <c r="BK555" i="10"/>
  <c r="BJ555" i="10"/>
  <c r="AU555" i="10"/>
  <c r="AT555" i="10"/>
  <c r="X555" i="10"/>
  <c r="W555" i="10"/>
  <c r="V555" i="10"/>
  <c r="CN554" i="10"/>
  <c r="CM554" i="10"/>
  <c r="A56" i="34" s="1"/>
  <c r="BV554" i="10"/>
  <c r="I56" i="34" s="1"/>
  <c r="BT554" i="10"/>
  <c r="BO554" i="10"/>
  <c r="BN554" i="10"/>
  <c r="BM554" i="10"/>
  <c r="BL554" i="10"/>
  <c r="BK554" i="10"/>
  <c r="BJ554" i="10"/>
  <c r="AU554" i="10"/>
  <c r="AT554" i="10"/>
  <c r="X554" i="10"/>
  <c r="W554" i="10"/>
  <c r="V554" i="10"/>
  <c r="CN553" i="10"/>
  <c r="CM553" i="10"/>
  <c r="A55" i="34" s="1"/>
  <c r="BV553" i="10"/>
  <c r="I55" i="34" s="1"/>
  <c r="BT553" i="10"/>
  <c r="BO553" i="10"/>
  <c r="BN553" i="10"/>
  <c r="BM553" i="10"/>
  <c r="BL553" i="10"/>
  <c r="BK553" i="10"/>
  <c r="BJ553" i="10"/>
  <c r="AU553" i="10"/>
  <c r="AT553" i="10"/>
  <c r="X553" i="10"/>
  <c r="W553" i="10"/>
  <c r="V553" i="10"/>
  <c r="CN552" i="10"/>
  <c r="CM552" i="10"/>
  <c r="A54" i="34" s="1"/>
  <c r="BV552" i="10"/>
  <c r="I54" i="34" s="1"/>
  <c r="BT552" i="10"/>
  <c r="BO552" i="10"/>
  <c r="BN552" i="10"/>
  <c r="BM552" i="10"/>
  <c r="BL552" i="10"/>
  <c r="BK552" i="10"/>
  <c r="BJ552" i="10"/>
  <c r="AU552" i="10"/>
  <c r="AT552" i="10"/>
  <c r="X552" i="10"/>
  <c r="W552" i="10"/>
  <c r="V552" i="10"/>
  <c r="CN551" i="10"/>
  <c r="CM551" i="10"/>
  <c r="A53" i="34" s="1"/>
  <c r="BV551" i="10"/>
  <c r="I53" i="34" s="1"/>
  <c r="BT551" i="10"/>
  <c r="BO551" i="10"/>
  <c r="BN551" i="10"/>
  <c r="BM551" i="10"/>
  <c r="BL551" i="10"/>
  <c r="BK551" i="10"/>
  <c r="BJ551" i="10"/>
  <c r="AU551" i="10"/>
  <c r="AT551" i="10"/>
  <c r="X551" i="10"/>
  <c r="W551" i="10"/>
  <c r="V551" i="10"/>
  <c r="CQ550" i="10"/>
  <c r="M52" i="34" s="1"/>
  <c r="CN550" i="10"/>
  <c r="CM550" i="10"/>
  <c r="A52" i="34" s="1"/>
  <c r="BV550" i="10"/>
  <c r="I52" i="34" s="1"/>
  <c r="BT550" i="10"/>
  <c r="BO550" i="10"/>
  <c r="BN550" i="10"/>
  <c r="BM550" i="10"/>
  <c r="BL550" i="10"/>
  <c r="BK550" i="10"/>
  <c r="BJ550" i="10"/>
  <c r="AU550" i="10"/>
  <c r="AT550" i="10"/>
  <c r="X550" i="10"/>
  <c r="W550" i="10"/>
  <c r="V550" i="10"/>
  <c r="CN549" i="10"/>
  <c r="CM549" i="10"/>
  <c r="A51" i="34" s="1"/>
  <c r="BV549" i="10"/>
  <c r="I51" i="34" s="1"/>
  <c r="BT549" i="10"/>
  <c r="BO549" i="10"/>
  <c r="BN549" i="10"/>
  <c r="BM549" i="10"/>
  <c r="BL549" i="10"/>
  <c r="BK549" i="10"/>
  <c r="BJ549" i="10"/>
  <c r="AU549" i="10"/>
  <c r="AT549" i="10"/>
  <c r="X549" i="10"/>
  <c r="W549" i="10"/>
  <c r="V549" i="10"/>
  <c r="CP548" i="10"/>
  <c r="L50" i="34" s="1"/>
  <c r="CO548" i="10"/>
  <c r="O50" i="34" s="1"/>
  <c r="CN548" i="10"/>
  <c r="CM548" i="10"/>
  <c r="A50" i="34" s="1"/>
  <c r="BV548" i="10"/>
  <c r="BT548" i="10"/>
  <c r="BO548" i="10"/>
  <c r="BN548" i="10"/>
  <c r="BM548" i="10"/>
  <c r="BL548" i="10"/>
  <c r="BK548" i="10"/>
  <c r="BJ548" i="10"/>
  <c r="AU548" i="10"/>
  <c r="AT548" i="10"/>
  <c r="X548" i="10"/>
  <c r="W548" i="10"/>
  <c r="V548" i="10"/>
  <c r="CN547" i="10"/>
  <c r="CM547" i="10"/>
  <c r="A49" i="34" s="1"/>
  <c r="BV547" i="10"/>
  <c r="I49" i="34" s="1"/>
  <c r="BT547" i="10"/>
  <c r="CO547" i="10" s="1"/>
  <c r="O49" i="34" s="1"/>
  <c r="BO547" i="10"/>
  <c r="BN547" i="10"/>
  <c r="BM547" i="10"/>
  <c r="BL547" i="10"/>
  <c r="BK547" i="10"/>
  <c r="BJ547" i="10"/>
  <c r="AU547" i="10"/>
  <c r="AT547" i="10"/>
  <c r="X547" i="10"/>
  <c r="W547" i="10"/>
  <c r="V547" i="10"/>
  <c r="CQ546" i="10"/>
  <c r="M48" i="34" s="1"/>
  <c r="CP546" i="10"/>
  <c r="CN546" i="10"/>
  <c r="CM546" i="10"/>
  <c r="A48" i="34" s="1"/>
  <c r="BV546" i="10"/>
  <c r="I48" i="34" s="1"/>
  <c r="BT546" i="10"/>
  <c r="BO546" i="10"/>
  <c r="BN546" i="10"/>
  <c r="BM546" i="10"/>
  <c r="BL546" i="10"/>
  <c r="BK546" i="10"/>
  <c r="BJ546" i="10"/>
  <c r="AU546" i="10"/>
  <c r="AT546" i="10"/>
  <c r="X546" i="10"/>
  <c r="W546" i="10"/>
  <c r="V546" i="10"/>
  <c r="CN545" i="10"/>
  <c r="CM545" i="10"/>
  <c r="A47" i="34" s="1"/>
  <c r="BV545" i="10"/>
  <c r="I47" i="34" s="1"/>
  <c r="BT545" i="10"/>
  <c r="BO545" i="10"/>
  <c r="BN545" i="10"/>
  <c r="BM545" i="10"/>
  <c r="BL545" i="10"/>
  <c r="BK545" i="10"/>
  <c r="BJ545" i="10"/>
  <c r="AU545" i="10"/>
  <c r="AT545" i="10"/>
  <c r="X545" i="10"/>
  <c r="W545" i="10"/>
  <c r="V545" i="10"/>
  <c r="CO544" i="10"/>
  <c r="O46" i="34" s="1"/>
  <c r="CN544" i="10"/>
  <c r="CM544" i="10"/>
  <c r="A46" i="34" s="1"/>
  <c r="BV544" i="10"/>
  <c r="I46" i="34" s="1"/>
  <c r="BT544" i="10"/>
  <c r="BO544" i="10"/>
  <c r="BN544" i="10"/>
  <c r="BM544" i="10"/>
  <c r="BL544" i="10"/>
  <c r="BK544" i="10"/>
  <c r="BJ544" i="10"/>
  <c r="AW544" i="10"/>
  <c r="AV544" i="10"/>
  <c r="AU544" i="10"/>
  <c r="AT544" i="10"/>
  <c r="X544" i="10"/>
  <c r="W544" i="10"/>
  <c r="V544" i="10"/>
  <c r="CN543" i="10"/>
  <c r="CM543" i="10"/>
  <c r="A45" i="34" s="1"/>
  <c r="BV543" i="10"/>
  <c r="I45" i="34" s="1"/>
  <c r="BT543" i="10"/>
  <c r="BO543" i="10"/>
  <c r="BN543" i="10"/>
  <c r="BM543" i="10"/>
  <c r="BL543" i="10"/>
  <c r="BK543" i="10"/>
  <c r="BJ543" i="10"/>
  <c r="AW543" i="10"/>
  <c r="AV543" i="10"/>
  <c r="AU543" i="10"/>
  <c r="AT543" i="10"/>
  <c r="X543" i="10"/>
  <c r="W543" i="10"/>
  <c r="V543" i="10"/>
  <c r="CN542" i="10"/>
  <c r="CM542" i="10"/>
  <c r="A44" i="34" s="1"/>
  <c r="BV542" i="10"/>
  <c r="I44" i="34" s="1"/>
  <c r="BT542" i="10"/>
  <c r="CQ542" i="10" s="1"/>
  <c r="M44" i="34" s="1"/>
  <c r="BO542" i="10"/>
  <c r="BN542" i="10"/>
  <c r="BM542" i="10"/>
  <c r="BL542" i="10"/>
  <c r="BK542" i="10"/>
  <c r="BJ542" i="10"/>
  <c r="AW542" i="10"/>
  <c r="AV542" i="10"/>
  <c r="AU542" i="10"/>
  <c r="AT542" i="10"/>
  <c r="X542" i="10"/>
  <c r="W542" i="10"/>
  <c r="V542" i="10"/>
  <c r="CN541" i="10"/>
  <c r="CM541" i="10"/>
  <c r="A43" i="34" s="1"/>
  <c r="BV541" i="10"/>
  <c r="I43" i="34" s="1"/>
  <c r="BT541" i="10"/>
  <c r="BO541" i="10"/>
  <c r="BN541" i="10"/>
  <c r="BM541" i="10"/>
  <c r="BL541" i="10"/>
  <c r="BK541" i="10"/>
  <c r="BJ541" i="10"/>
  <c r="AU541" i="10"/>
  <c r="AT541" i="10"/>
  <c r="X541" i="10"/>
  <c r="W541" i="10"/>
  <c r="V541" i="10"/>
  <c r="CO540" i="10"/>
  <c r="O42" i="34" s="1"/>
  <c r="CN540" i="10"/>
  <c r="CM540" i="10"/>
  <c r="A42" i="34" s="1"/>
  <c r="BV540" i="10"/>
  <c r="I42" i="34" s="1"/>
  <c r="BT540" i="10"/>
  <c r="BO540" i="10"/>
  <c r="BN540" i="10"/>
  <c r="BM540" i="10"/>
  <c r="BL540" i="10"/>
  <c r="BK540" i="10"/>
  <c r="BJ540" i="10"/>
  <c r="AU540" i="10"/>
  <c r="AT540" i="10"/>
  <c r="X540" i="10"/>
  <c r="W540" i="10"/>
  <c r="V540" i="10"/>
  <c r="CN539" i="10"/>
  <c r="CM539" i="10"/>
  <c r="A41" i="34" s="1"/>
  <c r="BV539" i="10"/>
  <c r="I41" i="34" s="1"/>
  <c r="BT539" i="10"/>
  <c r="BO539" i="10"/>
  <c r="BN539" i="10"/>
  <c r="BM539" i="10"/>
  <c r="BL539" i="10"/>
  <c r="BK539" i="10"/>
  <c r="BJ539" i="10"/>
  <c r="AU539" i="10"/>
  <c r="AT539" i="10"/>
  <c r="X539" i="10"/>
  <c r="W539" i="10"/>
  <c r="V539" i="10"/>
  <c r="CN538" i="10"/>
  <c r="CM538" i="10"/>
  <c r="A40" i="34" s="1"/>
  <c r="BV538" i="10"/>
  <c r="I40" i="34" s="1"/>
  <c r="BT538" i="10"/>
  <c r="CQ538" i="10" s="1"/>
  <c r="M40" i="34" s="1"/>
  <c r="BO538" i="10"/>
  <c r="BN538" i="10"/>
  <c r="BM538" i="10"/>
  <c r="BL538" i="10"/>
  <c r="BK538" i="10"/>
  <c r="BJ538" i="10"/>
  <c r="AU538" i="10"/>
  <c r="AT538" i="10"/>
  <c r="X538" i="10"/>
  <c r="W538" i="10"/>
  <c r="V538" i="10"/>
  <c r="CN537" i="10"/>
  <c r="CM537" i="10"/>
  <c r="A39" i="34" s="1"/>
  <c r="BV537" i="10"/>
  <c r="I39" i="34" s="1"/>
  <c r="BT537" i="10"/>
  <c r="CO537" i="10" s="1"/>
  <c r="O39" i="34" s="1"/>
  <c r="BO537" i="10"/>
  <c r="BN537" i="10"/>
  <c r="BM537" i="10"/>
  <c r="BL537" i="10"/>
  <c r="BK537" i="10"/>
  <c r="BJ537" i="10"/>
  <c r="AU537" i="10"/>
  <c r="AT537" i="10"/>
  <c r="X537" i="10"/>
  <c r="W537" i="10"/>
  <c r="V537" i="10"/>
  <c r="CN536" i="10"/>
  <c r="CM536" i="10"/>
  <c r="A38" i="34" s="1"/>
  <c r="BV536" i="10"/>
  <c r="I38" i="34" s="1"/>
  <c r="BT536" i="10"/>
  <c r="BO536" i="10"/>
  <c r="BN536" i="10"/>
  <c r="BM536" i="10"/>
  <c r="BL536" i="10"/>
  <c r="BK536" i="10"/>
  <c r="BJ536" i="10"/>
  <c r="AU536" i="10"/>
  <c r="AT536" i="10"/>
  <c r="X536" i="10"/>
  <c r="W536" i="10"/>
  <c r="V536" i="10"/>
  <c r="CO535" i="10"/>
  <c r="O37" i="34" s="1"/>
  <c r="CN535" i="10"/>
  <c r="CM535" i="10"/>
  <c r="A37" i="34" s="1"/>
  <c r="BV535" i="10"/>
  <c r="I37" i="34" s="1"/>
  <c r="BT535" i="10"/>
  <c r="H37" i="34" s="1"/>
  <c r="BO535" i="10"/>
  <c r="BN535" i="10"/>
  <c r="BM535" i="10"/>
  <c r="BL535" i="10"/>
  <c r="BK535" i="10"/>
  <c r="BJ535" i="10"/>
  <c r="AU535" i="10"/>
  <c r="AT535" i="10"/>
  <c r="X535" i="10"/>
  <c r="W535" i="10"/>
  <c r="V535" i="10"/>
  <c r="CN534" i="10"/>
  <c r="CM534" i="10"/>
  <c r="A36" i="34" s="1"/>
  <c r="BV534" i="10"/>
  <c r="BT534" i="10"/>
  <c r="BO534" i="10"/>
  <c r="BN534" i="10"/>
  <c r="BM534" i="10"/>
  <c r="BL534" i="10"/>
  <c r="BK534" i="10"/>
  <c r="BJ534" i="10"/>
  <c r="AU534" i="10"/>
  <c r="AT534" i="10"/>
  <c r="X534" i="10"/>
  <c r="W534" i="10"/>
  <c r="V534" i="10"/>
  <c r="CN533" i="10"/>
  <c r="CM533" i="10"/>
  <c r="A35" i="34" s="1"/>
  <c r="BV533" i="10"/>
  <c r="I35" i="34" s="1"/>
  <c r="BT533" i="10"/>
  <c r="CQ533" i="10" s="1"/>
  <c r="M35" i="34" s="1"/>
  <c r="BO533" i="10"/>
  <c r="BN533" i="10"/>
  <c r="BM533" i="10"/>
  <c r="BL533" i="10"/>
  <c r="BK533" i="10"/>
  <c r="BJ533" i="10"/>
  <c r="AU533" i="10"/>
  <c r="AT533" i="10"/>
  <c r="X533" i="10"/>
  <c r="W533" i="10"/>
  <c r="V533" i="10"/>
  <c r="CN532" i="10"/>
  <c r="CM532" i="10"/>
  <c r="A34" i="34" s="1"/>
  <c r="BV532" i="10"/>
  <c r="I34" i="34" s="1"/>
  <c r="BT532" i="10"/>
  <c r="BO532" i="10"/>
  <c r="BN532" i="10"/>
  <c r="BM532" i="10"/>
  <c r="BL532" i="10"/>
  <c r="BK532" i="10"/>
  <c r="BJ532" i="10"/>
  <c r="AU532" i="10"/>
  <c r="AT532" i="10"/>
  <c r="X532" i="10"/>
  <c r="W532" i="10"/>
  <c r="V532" i="10"/>
  <c r="CN531" i="10"/>
  <c r="CM531" i="10"/>
  <c r="A33" i="34" s="1"/>
  <c r="BV531" i="10"/>
  <c r="I33" i="34" s="1"/>
  <c r="BT531" i="10"/>
  <c r="CO531" i="10" s="1"/>
  <c r="O33" i="34" s="1"/>
  <c r="BO531" i="10"/>
  <c r="BN531" i="10"/>
  <c r="BM531" i="10"/>
  <c r="BL531" i="10"/>
  <c r="BK531" i="10"/>
  <c r="BJ531" i="10"/>
  <c r="AU531" i="10"/>
  <c r="AT531" i="10"/>
  <c r="X531" i="10"/>
  <c r="W531" i="10"/>
  <c r="V531" i="10"/>
  <c r="CN530" i="10"/>
  <c r="CM530" i="10"/>
  <c r="A32" i="34" s="1"/>
  <c r="BV530" i="10"/>
  <c r="I32" i="34" s="1"/>
  <c r="BT530" i="10"/>
  <c r="CO530" i="10" s="1"/>
  <c r="O32" i="34" s="1"/>
  <c r="BO530" i="10"/>
  <c r="BN530" i="10"/>
  <c r="BM530" i="10"/>
  <c r="BL530" i="10"/>
  <c r="BK530" i="10"/>
  <c r="BJ530" i="10"/>
  <c r="AU530" i="10"/>
  <c r="AT530" i="10"/>
  <c r="X530" i="10"/>
  <c r="W530" i="10"/>
  <c r="V530" i="10"/>
  <c r="CN529" i="10"/>
  <c r="CM529" i="10"/>
  <c r="A31" i="34" s="1"/>
  <c r="BV529" i="10"/>
  <c r="I31" i="34" s="1"/>
  <c r="BT529" i="10"/>
  <c r="BO529" i="10"/>
  <c r="BN529" i="10"/>
  <c r="BM529" i="10"/>
  <c r="BL529" i="10"/>
  <c r="BK529" i="10"/>
  <c r="BJ529" i="10"/>
  <c r="AU529" i="10"/>
  <c r="AT529" i="10"/>
  <c r="X529" i="10"/>
  <c r="W529" i="10"/>
  <c r="V529" i="10"/>
  <c r="CN528" i="10"/>
  <c r="CM528" i="10"/>
  <c r="A30" i="34" s="1"/>
  <c r="BV528" i="10"/>
  <c r="I30" i="34" s="1"/>
  <c r="BT528" i="10"/>
  <c r="BO528" i="10"/>
  <c r="BN528" i="10"/>
  <c r="BM528" i="10"/>
  <c r="BL528" i="10"/>
  <c r="BK528" i="10"/>
  <c r="BJ528" i="10"/>
  <c r="AU528" i="10"/>
  <c r="AT528" i="10"/>
  <c r="X528" i="10"/>
  <c r="W528" i="10"/>
  <c r="V528" i="10"/>
  <c r="CQ527" i="10"/>
  <c r="M29" i="34" s="1"/>
  <c r="CP527" i="10"/>
  <c r="L29" i="34" s="1"/>
  <c r="CN527" i="10"/>
  <c r="CM527" i="10"/>
  <c r="A29" i="34" s="1"/>
  <c r="BV527" i="10"/>
  <c r="I29" i="34" s="1"/>
  <c r="BT527" i="10"/>
  <c r="CO527" i="10" s="1"/>
  <c r="O29" i="34" s="1"/>
  <c r="BO527" i="10"/>
  <c r="BN527" i="10"/>
  <c r="BM527" i="10"/>
  <c r="BL527" i="10"/>
  <c r="BK527" i="10"/>
  <c r="BJ527" i="10"/>
  <c r="AU527" i="10"/>
  <c r="AT527" i="10"/>
  <c r="X527" i="10"/>
  <c r="W527" i="10"/>
  <c r="V527" i="10"/>
  <c r="CN526" i="10"/>
  <c r="CM526" i="10"/>
  <c r="A28" i="34" s="1"/>
  <c r="BV526" i="10"/>
  <c r="I28" i="34" s="1"/>
  <c r="BT526" i="10"/>
  <c r="CP526" i="10" s="1"/>
  <c r="BO526" i="10"/>
  <c r="BN526" i="10"/>
  <c r="BM526" i="10"/>
  <c r="BL526" i="10"/>
  <c r="BK526" i="10"/>
  <c r="BJ526" i="10"/>
  <c r="AU526" i="10"/>
  <c r="AT526" i="10"/>
  <c r="X526" i="10"/>
  <c r="W526" i="10"/>
  <c r="V526" i="10"/>
  <c r="CN525" i="10"/>
  <c r="CM525" i="10"/>
  <c r="A27" i="34" s="1"/>
  <c r="BV525" i="10"/>
  <c r="I27" i="34" s="1"/>
  <c r="BT525" i="10"/>
  <c r="BO525" i="10"/>
  <c r="BN525" i="10"/>
  <c r="BM525" i="10"/>
  <c r="BL525" i="10"/>
  <c r="BK525" i="10"/>
  <c r="BJ525" i="10"/>
  <c r="AU525" i="10"/>
  <c r="AT525" i="10"/>
  <c r="X525" i="10"/>
  <c r="W525" i="10"/>
  <c r="V525" i="10"/>
  <c r="CN524" i="10"/>
  <c r="CM524" i="10"/>
  <c r="A26" i="34" s="1"/>
  <c r="BV524" i="10"/>
  <c r="I26" i="34" s="1"/>
  <c r="BT524" i="10"/>
  <c r="CP524" i="10" s="1"/>
  <c r="BO524" i="10"/>
  <c r="BN524" i="10"/>
  <c r="BM524" i="10"/>
  <c r="BL524" i="10"/>
  <c r="BK524" i="10"/>
  <c r="BJ524" i="10"/>
  <c r="AU524" i="10"/>
  <c r="AT524" i="10"/>
  <c r="X524" i="10"/>
  <c r="W524" i="10"/>
  <c r="V524" i="10"/>
  <c r="CN523" i="10"/>
  <c r="CM523" i="10"/>
  <c r="A25" i="34" s="1"/>
  <c r="BV523" i="10"/>
  <c r="I25" i="34" s="1"/>
  <c r="BT523" i="10"/>
  <c r="BO523" i="10"/>
  <c r="BN523" i="10"/>
  <c r="BM523" i="10"/>
  <c r="BL523" i="10"/>
  <c r="BK523" i="10"/>
  <c r="BJ523" i="10"/>
  <c r="AU523" i="10"/>
  <c r="AT523" i="10"/>
  <c r="X523" i="10"/>
  <c r="W523" i="10"/>
  <c r="V523" i="10"/>
  <c r="CN522" i="10"/>
  <c r="CM522" i="10"/>
  <c r="A24" i="34" s="1"/>
  <c r="BV522" i="10"/>
  <c r="I24" i="34" s="1"/>
  <c r="BT522" i="10"/>
  <c r="BO522" i="10"/>
  <c r="BN522" i="10"/>
  <c r="BM522" i="10"/>
  <c r="BL522" i="10"/>
  <c r="BK522" i="10"/>
  <c r="BJ522" i="10"/>
  <c r="AU522" i="10"/>
  <c r="AT522" i="10"/>
  <c r="X522" i="10"/>
  <c r="W522" i="10"/>
  <c r="V522" i="10"/>
  <c r="CN521" i="10"/>
  <c r="CM521" i="10"/>
  <c r="A23" i="34" s="1"/>
  <c r="BV521" i="10"/>
  <c r="BT521" i="10"/>
  <c r="CP521" i="10" s="1"/>
  <c r="BO521" i="10"/>
  <c r="BN521" i="10"/>
  <c r="BM521" i="10"/>
  <c r="BL521" i="10"/>
  <c r="BK521" i="10"/>
  <c r="BJ521" i="10"/>
  <c r="AU521" i="10"/>
  <c r="AT521" i="10"/>
  <c r="X521" i="10"/>
  <c r="W521" i="10"/>
  <c r="V521" i="10"/>
  <c r="CN520" i="10"/>
  <c r="CM520" i="10"/>
  <c r="A22" i="34" s="1"/>
  <c r="BV520" i="10"/>
  <c r="I22" i="34" s="1"/>
  <c r="BT520" i="10"/>
  <c r="BO520" i="10"/>
  <c r="BN520" i="10"/>
  <c r="BM520" i="10"/>
  <c r="BL520" i="10"/>
  <c r="BK520" i="10"/>
  <c r="BJ520" i="10"/>
  <c r="AU520" i="10"/>
  <c r="AT520" i="10"/>
  <c r="X520" i="10"/>
  <c r="W520" i="10"/>
  <c r="V520" i="10"/>
  <c r="CN519" i="10"/>
  <c r="CM519" i="10"/>
  <c r="A21" i="34" s="1"/>
  <c r="BV519" i="10"/>
  <c r="I21" i="34" s="1"/>
  <c r="BT519" i="10"/>
  <c r="BO519" i="10"/>
  <c r="BN519" i="10"/>
  <c r="BM519" i="10"/>
  <c r="BL519" i="10"/>
  <c r="BK519" i="10"/>
  <c r="BJ519" i="10"/>
  <c r="AU519" i="10"/>
  <c r="AT519" i="10"/>
  <c r="X519" i="10"/>
  <c r="W519" i="10"/>
  <c r="V519" i="10"/>
  <c r="CN518" i="10"/>
  <c r="CM518" i="10"/>
  <c r="A20" i="34" s="1"/>
  <c r="BV518" i="10"/>
  <c r="I20" i="34" s="1"/>
  <c r="BT518" i="10"/>
  <c r="BO518" i="10"/>
  <c r="BN518" i="10"/>
  <c r="BM518" i="10"/>
  <c r="BL518" i="10"/>
  <c r="BK518" i="10"/>
  <c r="BJ518" i="10"/>
  <c r="AU518" i="10"/>
  <c r="AT518" i="10"/>
  <c r="X518" i="10"/>
  <c r="W518" i="10"/>
  <c r="V518" i="10"/>
  <c r="CN517" i="10"/>
  <c r="CM517" i="10"/>
  <c r="A19" i="34" s="1"/>
  <c r="BV517" i="10"/>
  <c r="I19" i="34" s="1"/>
  <c r="BT517" i="10"/>
  <c r="BO517" i="10"/>
  <c r="BN517" i="10"/>
  <c r="BM517" i="10"/>
  <c r="BL517" i="10"/>
  <c r="BK517" i="10"/>
  <c r="BJ517" i="10"/>
  <c r="AU517" i="10"/>
  <c r="AT517" i="10"/>
  <c r="X517" i="10"/>
  <c r="W517" i="10"/>
  <c r="V517" i="10"/>
  <c r="CN516" i="10"/>
  <c r="CM516" i="10"/>
  <c r="A18" i="34" s="1"/>
  <c r="BV516" i="10"/>
  <c r="I18" i="34" s="1"/>
  <c r="BT516" i="10"/>
  <c r="BO516" i="10"/>
  <c r="BN516" i="10"/>
  <c r="BM516" i="10"/>
  <c r="BL516" i="10"/>
  <c r="BK516" i="10"/>
  <c r="BJ516" i="10"/>
  <c r="AU516" i="10"/>
  <c r="AT516" i="10"/>
  <c r="X516" i="10"/>
  <c r="W516" i="10"/>
  <c r="V516" i="10"/>
  <c r="CN515" i="10"/>
  <c r="CM515" i="10"/>
  <c r="A17" i="34" s="1"/>
  <c r="BV515" i="10"/>
  <c r="I17" i="34" s="1"/>
  <c r="BT515" i="10"/>
  <c r="BO515" i="10"/>
  <c r="BN515" i="10"/>
  <c r="BM515" i="10"/>
  <c r="BL515" i="10"/>
  <c r="BK515" i="10"/>
  <c r="BJ515" i="10"/>
  <c r="AU515" i="10"/>
  <c r="AT515" i="10"/>
  <c r="X515" i="10"/>
  <c r="W515" i="10"/>
  <c r="V515" i="10"/>
  <c r="CN514" i="10"/>
  <c r="CM514" i="10"/>
  <c r="A16" i="34" s="1"/>
  <c r="BV514" i="10"/>
  <c r="I16" i="34" s="1"/>
  <c r="BT514" i="10"/>
  <c r="CQ514" i="10" s="1"/>
  <c r="M16" i="34" s="1"/>
  <c r="BO514" i="10"/>
  <c r="BN514" i="10"/>
  <c r="BM514" i="10"/>
  <c r="BL514" i="10"/>
  <c r="BK514" i="10"/>
  <c r="BJ514" i="10"/>
  <c r="AU514" i="10"/>
  <c r="AT514" i="10"/>
  <c r="X514" i="10"/>
  <c r="W514" i="10"/>
  <c r="V514" i="10"/>
  <c r="CN513" i="10"/>
  <c r="CM513" i="10"/>
  <c r="A15" i="34" s="1"/>
  <c r="BV513" i="10"/>
  <c r="I15" i="34" s="1"/>
  <c r="BT513" i="10"/>
  <c r="BO513" i="10"/>
  <c r="BN513" i="10"/>
  <c r="BM513" i="10"/>
  <c r="BL513" i="10"/>
  <c r="BK513" i="10"/>
  <c r="BJ513" i="10"/>
  <c r="AU513" i="10"/>
  <c r="AT513" i="10"/>
  <c r="X513" i="10"/>
  <c r="W513" i="10"/>
  <c r="V513" i="10"/>
  <c r="CN512" i="10"/>
  <c r="CM512" i="10"/>
  <c r="A14" i="34" s="1"/>
  <c r="BV512" i="10"/>
  <c r="I14" i="34" s="1"/>
  <c r="BT512" i="10"/>
  <c r="BO512" i="10"/>
  <c r="BN512" i="10"/>
  <c r="BM512" i="10"/>
  <c r="BL512" i="10"/>
  <c r="BK512" i="10"/>
  <c r="BJ512" i="10"/>
  <c r="AU512" i="10"/>
  <c r="AT512" i="10"/>
  <c r="X512" i="10"/>
  <c r="W512" i="10"/>
  <c r="V512" i="10"/>
  <c r="CN511" i="10"/>
  <c r="CM511" i="10"/>
  <c r="A13" i="34" s="1"/>
  <c r="BV511" i="10"/>
  <c r="I13" i="34" s="1"/>
  <c r="BT511" i="10"/>
  <c r="H13" i="34" s="1"/>
  <c r="BO511" i="10"/>
  <c r="BN511" i="10"/>
  <c r="BM511" i="10"/>
  <c r="BL511" i="10"/>
  <c r="BK511" i="10"/>
  <c r="BJ511" i="10"/>
  <c r="AU511" i="10"/>
  <c r="AT511" i="10"/>
  <c r="X511" i="10"/>
  <c r="W511" i="10"/>
  <c r="V511" i="10"/>
  <c r="CN510" i="10"/>
  <c r="CM510" i="10"/>
  <c r="A12" i="34" s="1"/>
  <c r="BV510" i="10"/>
  <c r="I12" i="34" s="1"/>
  <c r="BT510" i="10"/>
  <c r="BO510" i="10"/>
  <c r="BN510" i="10"/>
  <c r="BM510" i="10"/>
  <c r="BL510" i="10"/>
  <c r="BK510" i="10"/>
  <c r="BJ510" i="10"/>
  <c r="AU510" i="10"/>
  <c r="AT510" i="10"/>
  <c r="X510" i="10"/>
  <c r="W510" i="10"/>
  <c r="V510" i="10"/>
  <c r="CN509" i="10"/>
  <c r="CM509" i="10"/>
  <c r="A11" i="34" s="1"/>
  <c r="BV509" i="10"/>
  <c r="I11" i="34" s="1"/>
  <c r="BT509" i="10"/>
  <c r="CP509" i="10" s="1"/>
  <c r="BO509" i="10"/>
  <c r="BN509" i="10"/>
  <c r="BM509" i="10"/>
  <c r="BL509" i="10"/>
  <c r="BK509" i="10"/>
  <c r="BJ509" i="10"/>
  <c r="AU509" i="10"/>
  <c r="AT509" i="10"/>
  <c r="X509" i="10"/>
  <c r="W509" i="10"/>
  <c r="V509" i="10"/>
  <c r="CN508" i="10"/>
  <c r="CM508" i="10"/>
  <c r="A10" i="34" s="1"/>
  <c r="BV508" i="10"/>
  <c r="I10" i="34" s="1"/>
  <c r="BT508" i="10"/>
  <c r="CO508" i="10" s="1"/>
  <c r="O10" i="34" s="1"/>
  <c r="BO508" i="10"/>
  <c r="BN508" i="10"/>
  <c r="BM508" i="10"/>
  <c r="BL508" i="10"/>
  <c r="BK508" i="10"/>
  <c r="BJ508" i="10"/>
  <c r="AU508" i="10"/>
  <c r="AT508" i="10"/>
  <c r="X508" i="10"/>
  <c r="W508" i="10"/>
  <c r="V508" i="10"/>
  <c r="CN507" i="10"/>
  <c r="CM507" i="10"/>
  <c r="A9" i="34" s="1"/>
  <c r="BV507" i="10"/>
  <c r="I9" i="34" s="1"/>
  <c r="BT507" i="10"/>
  <c r="BO507" i="10"/>
  <c r="BN507" i="10"/>
  <c r="BM507" i="10"/>
  <c r="BL507" i="10"/>
  <c r="BK507" i="10"/>
  <c r="BJ507" i="10"/>
  <c r="AU507" i="10"/>
  <c r="AT507" i="10"/>
  <c r="X507" i="10"/>
  <c r="W507" i="10"/>
  <c r="V507" i="10"/>
  <c r="CN506" i="10"/>
  <c r="CM506" i="10"/>
  <c r="A8" i="34" s="1"/>
  <c r="BV506" i="10"/>
  <c r="I8" i="34" s="1"/>
  <c r="BT506" i="10"/>
  <c r="H8" i="34" s="1"/>
  <c r="BO506" i="10"/>
  <c r="BN506" i="10"/>
  <c r="BM506" i="10"/>
  <c r="BL506" i="10"/>
  <c r="BK506" i="10"/>
  <c r="BJ506" i="10"/>
  <c r="AU506" i="10"/>
  <c r="AT506" i="10"/>
  <c r="X506" i="10"/>
  <c r="W506" i="10"/>
  <c r="V506" i="10"/>
  <c r="CN505" i="10"/>
  <c r="CM505" i="10"/>
  <c r="A7" i="34" s="1"/>
  <c r="BV505" i="10"/>
  <c r="I7" i="34" s="1"/>
  <c r="BT505" i="10"/>
  <c r="CQ505" i="10" s="1"/>
  <c r="M7" i="34" s="1"/>
  <c r="BO505" i="10"/>
  <c r="BN505" i="10"/>
  <c r="BM505" i="10"/>
  <c r="BL505" i="10"/>
  <c r="BK505" i="10"/>
  <c r="BJ505" i="10"/>
  <c r="AU505" i="10"/>
  <c r="AT505" i="10"/>
  <c r="X505" i="10"/>
  <c r="W505" i="10"/>
  <c r="V505" i="10"/>
  <c r="CN504" i="10"/>
  <c r="CM504" i="10"/>
  <c r="A6" i="34" s="1"/>
  <c r="BV504" i="10"/>
  <c r="I6" i="34" s="1"/>
  <c r="BT504" i="10"/>
  <c r="BO504" i="10"/>
  <c r="BN504" i="10"/>
  <c r="BM504" i="10"/>
  <c r="BL504" i="10"/>
  <c r="BK504" i="10"/>
  <c r="BJ504" i="10"/>
  <c r="AU504" i="10"/>
  <c r="AT504" i="10"/>
  <c r="X504" i="10"/>
  <c r="W504" i="10"/>
  <c r="V504" i="10"/>
  <c r="CN503" i="10"/>
  <c r="CM503" i="10"/>
  <c r="A5" i="34" s="1"/>
  <c r="BV503" i="10"/>
  <c r="I5" i="34" s="1"/>
  <c r="BT503" i="10"/>
  <c r="BO503" i="10"/>
  <c r="BN503" i="10"/>
  <c r="BM503" i="10"/>
  <c r="BL503" i="10"/>
  <c r="BK503" i="10"/>
  <c r="BJ503" i="10"/>
  <c r="AU503" i="10"/>
  <c r="AT503" i="10"/>
  <c r="X503" i="10"/>
  <c r="W503" i="10"/>
  <c r="V503" i="10"/>
  <c r="CP502" i="10"/>
  <c r="CN502" i="10"/>
  <c r="CM502" i="10"/>
  <c r="A4" i="34" s="1"/>
  <c r="BV502" i="10"/>
  <c r="I4" i="34" s="1"/>
  <c r="BT502" i="10"/>
  <c r="CQ502" i="10" s="1"/>
  <c r="M4" i="34" s="1"/>
  <c r="BO502" i="10"/>
  <c r="BN502" i="10"/>
  <c r="BM502" i="10"/>
  <c r="BL502" i="10"/>
  <c r="BK502" i="10"/>
  <c r="BJ502" i="10"/>
  <c r="AU502" i="10"/>
  <c r="AT502" i="10"/>
  <c r="X502" i="10"/>
  <c r="W502" i="10"/>
  <c r="V502" i="10"/>
  <c r="CN501" i="10"/>
  <c r="CM501" i="10"/>
  <c r="A3" i="34" s="1"/>
  <c r="BV501" i="10"/>
  <c r="I3" i="34" s="1"/>
  <c r="BT501" i="10"/>
  <c r="BO501" i="10"/>
  <c r="BN501" i="10"/>
  <c r="BM501" i="10"/>
  <c r="BL501" i="10"/>
  <c r="BK501" i="10"/>
  <c r="BJ501" i="10"/>
  <c r="AU501" i="10"/>
  <c r="AT501" i="10"/>
  <c r="X501" i="10"/>
  <c r="W501" i="10"/>
  <c r="V501" i="10"/>
  <c r="CN500" i="10"/>
  <c r="CM500" i="10"/>
  <c r="A2" i="34" s="1"/>
  <c r="BV500" i="10"/>
  <c r="BT500" i="10"/>
  <c r="BO500" i="10"/>
  <c r="BN500" i="10"/>
  <c r="BM500" i="10"/>
  <c r="BL500" i="10"/>
  <c r="BK500" i="10"/>
  <c r="BJ500" i="10"/>
  <c r="AU500" i="10"/>
  <c r="AT500" i="10"/>
  <c r="X500" i="10"/>
  <c r="W500" i="10"/>
  <c r="V500" i="10"/>
  <c r="AL428" i="10"/>
  <c r="AK428" i="10"/>
  <c r="AJ428" i="10"/>
  <c r="AI428" i="10"/>
  <c r="AH428" i="10"/>
  <c r="AG428" i="10"/>
  <c r="AF428" i="10"/>
  <c r="AE428" i="10"/>
  <c r="AL427" i="10"/>
  <c r="AK427" i="10"/>
  <c r="AJ427" i="10"/>
  <c r="AI427" i="10"/>
  <c r="AH427" i="10"/>
  <c r="AG427" i="10"/>
  <c r="AF427" i="10"/>
  <c r="AE427" i="10"/>
  <c r="AL426" i="10"/>
  <c r="AK426" i="10"/>
  <c r="AJ426" i="10"/>
  <c r="AI426" i="10"/>
  <c r="AH426" i="10"/>
  <c r="AG426" i="10"/>
  <c r="AF426" i="10"/>
  <c r="AE426" i="10"/>
  <c r="AL425" i="10"/>
  <c r="AK425" i="10"/>
  <c r="AJ425" i="10"/>
  <c r="AI425" i="10"/>
  <c r="AH425" i="10"/>
  <c r="AG425" i="10"/>
  <c r="AF425" i="10"/>
  <c r="AE425" i="10"/>
  <c r="AL424" i="10"/>
  <c r="AK424" i="10"/>
  <c r="AJ424" i="10"/>
  <c r="AI424" i="10"/>
  <c r="AH424" i="10"/>
  <c r="AG424" i="10"/>
  <c r="AF424" i="10"/>
  <c r="AE424" i="10"/>
  <c r="AL423" i="10"/>
  <c r="AK423" i="10"/>
  <c r="AJ423" i="10"/>
  <c r="AI423" i="10"/>
  <c r="AH423" i="10"/>
  <c r="AG423" i="10"/>
  <c r="AF423" i="10"/>
  <c r="AE423" i="10"/>
  <c r="AL422" i="10"/>
  <c r="AK422" i="10"/>
  <c r="AJ422" i="10"/>
  <c r="AI422" i="10"/>
  <c r="AH422" i="10"/>
  <c r="AG422" i="10"/>
  <c r="AF422" i="10"/>
  <c r="AE422" i="10"/>
  <c r="AL421" i="10"/>
  <c r="AK421" i="10"/>
  <c r="AJ421" i="10"/>
  <c r="AI421" i="10"/>
  <c r="AH421" i="10"/>
  <c r="AG421" i="10"/>
  <c r="AF421" i="10"/>
  <c r="AE421" i="10"/>
  <c r="AL420" i="10"/>
  <c r="AK420" i="10"/>
  <c r="AJ420" i="10"/>
  <c r="AI420" i="10"/>
  <c r="AH420" i="10"/>
  <c r="AG420" i="10"/>
  <c r="AF420" i="10"/>
  <c r="AO420" i="10" s="1"/>
  <c r="AE420" i="10"/>
  <c r="AL419" i="10"/>
  <c r="AK419" i="10"/>
  <c r="AJ419" i="10"/>
  <c r="AI419" i="10"/>
  <c r="AH419" i="10"/>
  <c r="AG419" i="10"/>
  <c r="AF419" i="10"/>
  <c r="AE419" i="10"/>
  <c r="AL418" i="10"/>
  <c r="AK418" i="10"/>
  <c r="AJ418" i="10"/>
  <c r="AI418" i="10"/>
  <c r="AH418" i="10"/>
  <c r="AG418" i="10"/>
  <c r="AF418" i="10"/>
  <c r="AE418" i="10"/>
  <c r="AL417" i="10"/>
  <c r="AK417" i="10"/>
  <c r="AJ417" i="10"/>
  <c r="AI417" i="10"/>
  <c r="AH417" i="10"/>
  <c r="AG417" i="10"/>
  <c r="AF417" i="10"/>
  <c r="AE417" i="10"/>
  <c r="AL416" i="10"/>
  <c r="AK416" i="10"/>
  <c r="AJ416" i="10"/>
  <c r="AI416" i="10"/>
  <c r="AH416" i="10"/>
  <c r="AG416" i="10"/>
  <c r="AF416" i="10"/>
  <c r="AE416" i="10"/>
  <c r="AL415" i="10"/>
  <c r="AK415" i="10"/>
  <c r="AJ415" i="10"/>
  <c r="AI415" i="10"/>
  <c r="AH415" i="10"/>
  <c r="AG415" i="10"/>
  <c r="AF415" i="10"/>
  <c r="AE415" i="10"/>
  <c r="AL414" i="10"/>
  <c r="AK414" i="10"/>
  <c r="AJ414" i="10"/>
  <c r="AI414" i="10"/>
  <c r="AH414" i="10"/>
  <c r="AG414" i="10"/>
  <c r="AF414" i="10"/>
  <c r="AE414" i="10"/>
  <c r="AL413" i="10"/>
  <c r="AK413" i="10"/>
  <c r="AJ413" i="10"/>
  <c r="AI413" i="10"/>
  <c r="AH413" i="10"/>
  <c r="AG413" i="10"/>
  <c r="AF413" i="10"/>
  <c r="AE413" i="10"/>
  <c r="AL412" i="10"/>
  <c r="AK412" i="10"/>
  <c r="AJ412" i="10"/>
  <c r="AI412" i="10"/>
  <c r="AH412" i="10"/>
  <c r="AG412" i="10"/>
  <c r="AF412" i="10"/>
  <c r="AE412" i="10"/>
  <c r="AL411" i="10"/>
  <c r="AK411" i="10"/>
  <c r="AJ411" i="10"/>
  <c r="AI411" i="10"/>
  <c r="AH411" i="10"/>
  <c r="AG411" i="10"/>
  <c r="AF411" i="10"/>
  <c r="AE411" i="10"/>
  <c r="AL410" i="10"/>
  <c r="AK410" i="10"/>
  <c r="AJ410" i="10"/>
  <c r="AI410" i="10"/>
  <c r="AH410" i="10"/>
  <c r="AG410" i="10"/>
  <c r="AF410" i="10"/>
  <c r="AE410" i="10"/>
  <c r="AL409" i="10"/>
  <c r="AK409" i="10"/>
  <c r="AJ409" i="10"/>
  <c r="AI409" i="10"/>
  <c r="AH409" i="10"/>
  <c r="AG409" i="10"/>
  <c r="AF409" i="10"/>
  <c r="AE409" i="10"/>
  <c r="AL408" i="10"/>
  <c r="AK408" i="10"/>
  <c r="AJ408" i="10"/>
  <c r="AI408" i="10"/>
  <c r="AH408" i="10"/>
  <c r="AG408" i="10"/>
  <c r="AF408" i="10"/>
  <c r="AE408" i="10"/>
  <c r="AL407" i="10"/>
  <c r="AK407" i="10"/>
  <c r="AJ407" i="10"/>
  <c r="AI407" i="10"/>
  <c r="AH407" i="10"/>
  <c r="AG407" i="10"/>
  <c r="AF407" i="10"/>
  <c r="AE407" i="10"/>
  <c r="AL406" i="10"/>
  <c r="AK406" i="10"/>
  <c r="AJ406" i="10"/>
  <c r="AI406" i="10"/>
  <c r="AH406" i="10"/>
  <c r="AG406" i="10"/>
  <c r="AF406" i="10"/>
  <c r="AE406" i="10"/>
  <c r="AL405" i="10"/>
  <c r="AK405" i="10"/>
  <c r="AJ405" i="10"/>
  <c r="AI405" i="10"/>
  <c r="AH405" i="10"/>
  <c r="AG405" i="10"/>
  <c r="AF405" i="10"/>
  <c r="AE405" i="10"/>
  <c r="AL404" i="10"/>
  <c r="AK404" i="10"/>
  <c r="AJ404" i="10"/>
  <c r="AI404" i="10"/>
  <c r="AH404" i="10"/>
  <c r="AG404" i="10"/>
  <c r="AF404" i="10"/>
  <c r="AE404" i="10"/>
  <c r="AL403" i="10"/>
  <c r="AK403" i="10"/>
  <c r="AJ403" i="10"/>
  <c r="AI403" i="10"/>
  <c r="AH403" i="10"/>
  <c r="AG403" i="10"/>
  <c r="AF403" i="10"/>
  <c r="AO403" i="10" s="1"/>
  <c r="AE403" i="10"/>
  <c r="AL402" i="10"/>
  <c r="AK402" i="10"/>
  <c r="AJ402" i="10"/>
  <c r="AI402" i="10"/>
  <c r="AH402" i="10"/>
  <c r="AG402" i="10"/>
  <c r="AF402" i="10"/>
  <c r="AE402" i="10"/>
  <c r="AL401" i="10"/>
  <c r="AK401" i="10"/>
  <c r="AJ401" i="10"/>
  <c r="AI401" i="10"/>
  <c r="AH401" i="10"/>
  <c r="AG401" i="10"/>
  <c r="AF401" i="10"/>
  <c r="AE401" i="10"/>
  <c r="AL400" i="10"/>
  <c r="AK400" i="10"/>
  <c r="AJ400" i="10"/>
  <c r="AI400" i="10"/>
  <c r="AH400" i="10"/>
  <c r="AG400" i="10"/>
  <c r="AF400" i="10"/>
  <c r="AE400" i="10"/>
  <c r="AL399" i="10"/>
  <c r="AK399" i="10"/>
  <c r="AJ399" i="10"/>
  <c r="AI399" i="10"/>
  <c r="AH399" i="10"/>
  <c r="AG399" i="10"/>
  <c r="AF399" i="10"/>
  <c r="AE399" i="10"/>
  <c r="AL398" i="10"/>
  <c r="AK398" i="10"/>
  <c r="AJ398" i="10"/>
  <c r="AI398" i="10"/>
  <c r="AH398" i="10"/>
  <c r="AG398" i="10"/>
  <c r="AF398" i="10"/>
  <c r="AO398" i="10" s="1"/>
  <c r="AE398" i="10"/>
  <c r="AL397" i="10"/>
  <c r="AK397" i="10"/>
  <c r="AJ397" i="10"/>
  <c r="AI397" i="10"/>
  <c r="AH397" i="10"/>
  <c r="AG397" i="10"/>
  <c r="AF397" i="10"/>
  <c r="AE397" i="10"/>
  <c r="AL396" i="10"/>
  <c r="AK396" i="10"/>
  <c r="AJ396" i="10"/>
  <c r="AI396" i="10"/>
  <c r="AH396" i="10"/>
  <c r="AG396" i="10"/>
  <c r="AF396" i="10"/>
  <c r="AE396" i="10"/>
  <c r="AL395" i="10"/>
  <c r="AK395" i="10"/>
  <c r="AJ395" i="10"/>
  <c r="AI395" i="10"/>
  <c r="AH395" i="10"/>
  <c r="AG395" i="10"/>
  <c r="AF395" i="10"/>
  <c r="AE395" i="10"/>
  <c r="AL394" i="10"/>
  <c r="AK394" i="10"/>
  <c r="AJ394" i="10"/>
  <c r="AI394" i="10"/>
  <c r="AH394" i="10"/>
  <c r="AG394" i="10"/>
  <c r="AF394" i="10"/>
  <c r="AE394" i="10"/>
  <c r="AL393" i="10"/>
  <c r="AK393" i="10"/>
  <c r="AJ393" i="10"/>
  <c r="AI393" i="10"/>
  <c r="AH393" i="10"/>
  <c r="AG393" i="10"/>
  <c r="AF393" i="10"/>
  <c r="AE393" i="10"/>
  <c r="AL392" i="10"/>
  <c r="AK392" i="10"/>
  <c r="AJ392" i="10"/>
  <c r="AI392" i="10"/>
  <c r="AH392" i="10"/>
  <c r="AG392" i="10"/>
  <c r="AF392" i="10"/>
  <c r="AE392" i="10"/>
  <c r="AL391" i="10"/>
  <c r="AK391" i="10"/>
  <c r="AJ391" i="10"/>
  <c r="AI391" i="10"/>
  <c r="AH391" i="10"/>
  <c r="AG391" i="10"/>
  <c r="AF391" i="10"/>
  <c r="AE391" i="10"/>
  <c r="AL390" i="10"/>
  <c r="AK390" i="10"/>
  <c r="AJ390" i="10"/>
  <c r="AI390" i="10"/>
  <c r="AH390" i="10"/>
  <c r="AG390" i="10"/>
  <c r="AF390" i="10"/>
  <c r="AE390" i="10"/>
  <c r="AL389" i="10"/>
  <c r="AK389" i="10"/>
  <c r="AJ389" i="10"/>
  <c r="AI389" i="10"/>
  <c r="AH389" i="10"/>
  <c r="AG389" i="10"/>
  <c r="AF389" i="10"/>
  <c r="AE389" i="10"/>
  <c r="AL388" i="10"/>
  <c r="AK388" i="10"/>
  <c r="AJ388" i="10"/>
  <c r="AI388" i="10"/>
  <c r="AH388" i="10"/>
  <c r="AG388" i="10"/>
  <c r="AF388" i="10"/>
  <c r="AE388" i="10"/>
  <c r="AL387" i="10"/>
  <c r="AK387" i="10"/>
  <c r="AJ387" i="10"/>
  <c r="AI387" i="10"/>
  <c r="AH387" i="10"/>
  <c r="AG387" i="10"/>
  <c r="AF387" i="10"/>
  <c r="AE387" i="10"/>
  <c r="AL386" i="10"/>
  <c r="AK386" i="10"/>
  <c r="AJ386" i="10"/>
  <c r="AI386" i="10"/>
  <c r="AH386" i="10"/>
  <c r="AG386" i="10"/>
  <c r="AF386" i="10"/>
  <c r="AE386" i="10"/>
  <c r="AL385" i="10"/>
  <c r="AK385" i="10"/>
  <c r="AJ385" i="10"/>
  <c r="AI385" i="10"/>
  <c r="AH385" i="10"/>
  <c r="AG385" i="10"/>
  <c r="AF385" i="10"/>
  <c r="AE385" i="10"/>
  <c r="AL384" i="10"/>
  <c r="AK384" i="10"/>
  <c r="AJ384" i="10"/>
  <c r="AI384" i="10"/>
  <c r="AH384" i="10"/>
  <c r="AG384" i="10"/>
  <c r="AF384" i="10"/>
  <c r="AE384" i="10"/>
  <c r="AL383" i="10"/>
  <c r="AK383" i="10"/>
  <c r="AJ383" i="10"/>
  <c r="AI383" i="10"/>
  <c r="AH383" i="10"/>
  <c r="AG383" i="10"/>
  <c r="AF383" i="10"/>
  <c r="AE383" i="10"/>
  <c r="AL382" i="10"/>
  <c r="AK382" i="10"/>
  <c r="AJ382" i="10"/>
  <c r="AI382" i="10"/>
  <c r="AH382" i="10"/>
  <c r="AG382" i="10"/>
  <c r="AF382" i="10"/>
  <c r="AE382" i="10"/>
  <c r="AL381" i="10"/>
  <c r="AK381" i="10"/>
  <c r="AJ381" i="10"/>
  <c r="AI381" i="10"/>
  <c r="AH381" i="10"/>
  <c r="AG381" i="10"/>
  <c r="AF381" i="10"/>
  <c r="AE381" i="10"/>
  <c r="AL380" i="10"/>
  <c r="AK380" i="10"/>
  <c r="AJ380" i="10"/>
  <c r="AI380" i="10"/>
  <c r="AH380" i="10"/>
  <c r="AG380" i="10"/>
  <c r="AF380" i="10"/>
  <c r="AE380" i="10"/>
  <c r="AL379" i="10"/>
  <c r="AK379" i="10"/>
  <c r="AJ379" i="10"/>
  <c r="AI379" i="10"/>
  <c r="AH379" i="10"/>
  <c r="AG379" i="10"/>
  <c r="AF379" i="10"/>
  <c r="AE379" i="10"/>
  <c r="AL378" i="10"/>
  <c r="AK378" i="10"/>
  <c r="AJ378" i="10"/>
  <c r="AI378" i="10"/>
  <c r="AH378" i="10"/>
  <c r="AG378" i="10"/>
  <c r="AF378" i="10"/>
  <c r="AE378" i="10"/>
  <c r="AL377" i="10"/>
  <c r="AK377" i="10"/>
  <c r="AJ377" i="10"/>
  <c r="AI377" i="10"/>
  <c r="AH377" i="10"/>
  <c r="AG377" i="10"/>
  <c r="AF377" i="10"/>
  <c r="AE377" i="10"/>
  <c r="AL376" i="10"/>
  <c r="AK376" i="10"/>
  <c r="AJ376" i="10"/>
  <c r="AI376" i="10"/>
  <c r="AH376" i="10"/>
  <c r="AG376" i="10"/>
  <c r="AF376" i="10"/>
  <c r="AE376" i="10"/>
  <c r="AL375" i="10"/>
  <c r="AK375" i="10"/>
  <c r="AJ375" i="10"/>
  <c r="AI375" i="10"/>
  <c r="AH375" i="10"/>
  <c r="AG375" i="10"/>
  <c r="AF375" i="10"/>
  <c r="AE375" i="10"/>
  <c r="AL374" i="10"/>
  <c r="AK374" i="10"/>
  <c r="AJ374" i="10"/>
  <c r="AI374" i="10"/>
  <c r="AO374" i="10" s="1"/>
  <c r="AH374" i="10"/>
  <c r="AG374" i="10"/>
  <c r="AF374" i="10"/>
  <c r="AE374" i="10"/>
  <c r="AL373" i="10"/>
  <c r="AK373" i="10"/>
  <c r="AJ373" i="10"/>
  <c r="AI373" i="10"/>
  <c r="AH373" i="10"/>
  <c r="AG373" i="10"/>
  <c r="AF373" i="10"/>
  <c r="AE373" i="10"/>
  <c r="AL372" i="10"/>
  <c r="AK372" i="10"/>
  <c r="AJ372" i="10"/>
  <c r="AI372" i="10"/>
  <c r="AH372" i="10"/>
  <c r="AG372" i="10"/>
  <c r="AF372" i="10"/>
  <c r="AE372" i="10"/>
  <c r="AL371" i="10"/>
  <c r="AK371" i="10"/>
  <c r="AJ371" i="10"/>
  <c r="AI371" i="10"/>
  <c r="AH371" i="10"/>
  <c r="AG371" i="10"/>
  <c r="AF371" i="10"/>
  <c r="AE371" i="10"/>
  <c r="AL370" i="10"/>
  <c r="AK370" i="10"/>
  <c r="AJ370" i="10"/>
  <c r="AI370" i="10"/>
  <c r="AH370" i="10"/>
  <c r="AG370" i="10"/>
  <c r="AF370" i="10"/>
  <c r="AE370" i="10"/>
  <c r="AL369" i="10"/>
  <c r="AK369" i="10"/>
  <c r="AJ369" i="10"/>
  <c r="AI369" i="10"/>
  <c r="AH369" i="10"/>
  <c r="AG369" i="10"/>
  <c r="AF369" i="10"/>
  <c r="AE369" i="10"/>
  <c r="AL368" i="10"/>
  <c r="AK368" i="10"/>
  <c r="AJ368" i="10"/>
  <c r="AI368" i="10"/>
  <c r="AH368" i="10"/>
  <c r="AG368" i="10"/>
  <c r="AF368" i="10"/>
  <c r="AE368" i="10"/>
  <c r="AL367" i="10"/>
  <c r="AK367" i="10"/>
  <c r="AJ367" i="10"/>
  <c r="AI367" i="10"/>
  <c r="AH367" i="10"/>
  <c r="AG367" i="10"/>
  <c r="AF367" i="10"/>
  <c r="AE367" i="10"/>
  <c r="AL366" i="10"/>
  <c r="AK366" i="10"/>
  <c r="AJ366" i="10"/>
  <c r="AI366" i="10"/>
  <c r="AH366" i="10"/>
  <c r="AG366" i="10"/>
  <c r="AF366" i="10"/>
  <c r="AE366" i="10"/>
  <c r="AL365" i="10"/>
  <c r="AK365" i="10"/>
  <c r="AJ365" i="10"/>
  <c r="AI365" i="10"/>
  <c r="AH365" i="10"/>
  <c r="AG365" i="10"/>
  <c r="AF365" i="10"/>
  <c r="AE365" i="10"/>
  <c r="AL364" i="10"/>
  <c r="AK364" i="10"/>
  <c r="AJ364" i="10"/>
  <c r="AI364" i="10"/>
  <c r="AH364" i="10"/>
  <c r="AG364" i="10"/>
  <c r="AF364" i="10"/>
  <c r="AE364" i="10"/>
  <c r="AL363" i="10"/>
  <c r="AK363" i="10"/>
  <c r="AJ363" i="10"/>
  <c r="AI363" i="10"/>
  <c r="AH363" i="10"/>
  <c r="AG363" i="10"/>
  <c r="AF363" i="10"/>
  <c r="AE363" i="10"/>
  <c r="AL362" i="10"/>
  <c r="AK362" i="10"/>
  <c r="AJ362" i="10"/>
  <c r="AI362" i="10"/>
  <c r="AH362" i="10"/>
  <c r="AG362" i="10"/>
  <c r="AF362" i="10"/>
  <c r="AE362" i="10"/>
  <c r="AL361" i="10"/>
  <c r="AK361" i="10"/>
  <c r="AJ361" i="10"/>
  <c r="AI361" i="10"/>
  <c r="AH361" i="10"/>
  <c r="AG361" i="10"/>
  <c r="AF361" i="10"/>
  <c r="AE361" i="10"/>
  <c r="AL360" i="10"/>
  <c r="AK360" i="10"/>
  <c r="AJ360" i="10"/>
  <c r="AI360" i="10"/>
  <c r="AH360" i="10"/>
  <c r="AG360" i="10"/>
  <c r="AF360" i="10"/>
  <c r="AE360" i="10"/>
  <c r="AL359" i="10"/>
  <c r="AK359" i="10"/>
  <c r="AJ359" i="10"/>
  <c r="AI359" i="10"/>
  <c r="AH359" i="10"/>
  <c r="AG359" i="10"/>
  <c r="AF359" i="10"/>
  <c r="AE359" i="10"/>
  <c r="AL358" i="10"/>
  <c r="AK358" i="10"/>
  <c r="AJ358" i="10"/>
  <c r="AI358" i="10"/>
  <c r="AH358" i="10"/>
  <c r="AG358" i="10"/>
  <c r="AF358" i="10"/>
  <c r="AE358" i="10"/>
  <c r="AL357" i="10"/>
  <c r="AK357" i="10"/>
  <c r="AJ357" i="10"/>
  <c r="AI357" i="10"/>
  <c r="AH357" i="10"/>
  <c r="AG357" i="10"/>
  <c r="AF357" i="10"/>
  <c r="AE357" i="10"/>
  <c r="AL356" i="10"/>
  <c r="AK356" i="10"/>
  <c r="AJ356" i="10"/>
  <c r="AI356" i="10"/>
  <c r="AH356" i="10"/>
  <c r="AG356" i="10"/>
  <c r="AF356" i="10"/>
  <c r="AE356" i="10"/>
  <c r="AL355" i="10"/>
  <c r="AK355" i="10"/>
  <c r="AJ355" i="10"/>
  <c r="AI355" i="10"/>
  <c r="AH355" i="10"/>
  <c r="AG355" i="10"/>
  <c r="AF355" i="10"/>
  <c r="AE355" i="10"/>
  <c r="AL354" i="10"/>
  <c r="AK354" i="10"/>
  <c r="AJ354" i="10"/>
  <c r="AI354" i="10"/>
  <c r="AH354" i="10"/>
  <c r="AG354" i="10"/>
  <c r="AF354" i="10"/>
  <c r="AE354" i="10"/>
  <c r="AL353" i="10"/>
  <c r="AK353" i="10"/>
  <c r="AJ353" i="10"/>
  <c r="AI353" i="10"/>
  <c r="AH353" i="10"/>
  <c r="AG353" i="10"/>
  <c r="AF353" i="10"/>
  <c r="AE353" i="10"/>
  <c r="AL352" i="10"/>
  <c r="AK352" i="10"/>
  <c r="AJ352" i="10"/>
  <c r="AI352" i="10"/>
  <c r="AH352" i="10"/>
  <c r="AG352" i="10"/>
  <c r="AF352" i="10"/>
  <c r="AE352" i="10"/>
  <c r="AL351" i="10"/>
  <c r="AK351" i="10"/>
  <c r="AJ351" i="10"/>
  <c r="AI351" i="10"/>
  <c r="AH351" i="10"/>
  <c r="AG351" i="10"/>
  <c r="AF351" i="10"/>
  <c r="AE351" i="10"/>
  <c r="AL350" i="10"/>
  <c r="AK350" i="10"/>
  <c r="AJ350" i="10"/>
  <c r="AI350" i="10"/>
  <c r="AH350" i="10"/>
  <c r="AG350" i="10"/>
  <c r="AF350" i="10"/>
  <c r="AE350" i="10"/>
  <c r="AL349" i="10"/>
  <c r="AK349" i="10"/>
  <c r="AJ349" i="10"/>
  <c r="AI349" i="10"/>
  <c r="AH349" i="10"/>
  <c r="AG349" i="10"/>
  <c r="AF349" i="10"/>
  <c r="AE349" i="10"/>
  <c r="AL348" i="10"/>
  <c r="AK348" i="10"/>
  <c r="AJ348" i="10"/>
  <c r="AI348" i="10"/>
  <c r="AH348" i="10"/>
  <c r="AG348" i="10"/>
  <c r="AF348" i="10"/>
  <c r="AE348" i="10"/>
  <c r="AL347" i="10"/>
  <c r="AK347" i="10"/>
  <c r="AJ347" i="10"/>
  <c r="AI347" i="10"/>
  <c r="AH347" i="10"/>
  <c r="AG347" i="10"/>
  <c r="AF347" i="10"/>
  <c r="AE347" i="10"/>
  <c r="AL346" i="10"/>
  <c r="AK346" i="10"/>
  <c r="AJ346" i="10"/>
  <c r="AI346" i="10"/>
  <c r="AH346" i="10"/>
  <c r="AG346" i="10"/>
  <c r="AF346" i="10"/>
  <c r="AE346" i="10"/>
  <c r="AL345" i="10"/>
  <c r="AK345" i="10"/>
  <c r="AJ345" i="10"/>
  <c r="AI345" i="10"/>
  <c r="AH345" i="10"/>
  <c r="AG345" i="10"/>
  <c r="AF345" i="10"/>
  <c r="AE345" i="10"/>
  <c r="AL344" i="10"/>
  <c r="AK344" i="10"/>
  <c r="AJ344" i="10"/>
  <c r="AI344" i="10"/>
  <c r="AH344" i="10"/>
  <c r="AG344" i="10"/>
  <c r="AF344" i="10"/>
  <c r="AE344" i="10"/>
  <c r="AL343" i="10"/>
  <c r="AK343" i="10"/>
  <c r="AJ343" i="10"/>
  <c r="AI343" i="10"/>
  <c r="AH343" i="10"/>
  <c r="AG343" i="10"/>
  <c r="AF343" i="10"/>
  <c r="AE343" i="10"/>
  <c r="AL342" i="10"/>
  <c r="AK342" i="10"/>
  <c r="AJ342" i="10"/>
  <c r="AI342" i="10"/>
  <c r="AH342" i="10"/>
  <c r="AG342" i="10"/>
  <c r="AF342" i="10"/>
  <c r="AE342" i="10"/>
  <c r="AL341" i="10"/>
  <c r="AK341" i="10"/>
  <c r="AJ341" i="10"/>
  <c r="AI341" i="10"/>
  <c r="AH341" i="10"/>
  <c r="AG341" i="10"/>
  <c r="AF341" i="10"/>
  <c r="AE341" i="10"/>
  <c r="AL340" i="10"/>
  <c r="AK340" i="10"/>
  <c r="AJ340" i="10"/>
  <c r="AI340" i="10"/>
  <c r="AH340" i="10"/>
  <c r="AG340" i="10"/>
  <c r="AF340" i="10"/>
  <c r="AE340" i="10"/>
  <c r="AL339" i="10"/>
  <c r="AK339" i="10"/>
  <c r="AJ339" i="10"/>
  <c r="AI339" i="10"/>
  <c r="AH339" i="10"/>
  <c r="AG339" i="10"/>
  <c r="AF339" i="10"/>
  <c r="AE339" i="10"/>
  <c r="AL338" i="10"/>
  <c r="AK338" i="10"/>
  <c r="AJ338" i="10"/>
  <c r="AI338" i="10"/>
  <c r="AH338" i="10"/>
  <c r="AG338" i="10"/>
  <c r="AF338" i="10"/>
  <c r="AE338" i="10"/>
  <c r="AL337" i="10"/>
  <c r="AK337" i="10"/>
  <c r="AJ337" i="10"/>
  <c r="AI337" i="10"/>
  <c r="AH337" i="10"/>
  <c r="AG337" i="10"/>
  <c r="AF337" i="10"/>
  <c r="AE337" i="10"/>
  <c r="AL336" i="10"/>
  <c r="AK336" i="10"/>
  <c r="AJ336" i="10"/>
  <c r="AI336" i="10"/>
  <c r="AH336" i="10"/>
  <c r="AG336" i="10"/>
  <c r="AF336" i="10"/>
  <c r="AE336" i="10"/>
  <c r="AL335" i="10"/>
  <c r="AK335" i="10"/>
  <c r="AJ335" i="10"/>
  <c r="AI335" i="10"/>
  <c r="AH335" i="10"/>
  <c r="AG335" i="10"/>
  <c r="AF335" i="10"/>
  <c r="AE335" i="10"/>
  <c r="AL334" i="10"/>
  <c r="AK334" i="10"/>
  <c r="AJ334" i="10"/>
  <c r="AI334" i="10"/>
  <c r="AH334" i="10"/>
  <c r="AG334" i="10"/>
  <c r="AF334" i="10"/>
  <c r="AE334" i="10"/>
  <c r="AL333" i="10"/>
  <c r="AK333" i="10"/>
  <c r="AJ333" i="10"/>
  <c r="AI333" i="10"/>
  <c r="AH333" i="10"/>
  <c r="AG333" i="10"/>
  <c r="AF333" i="10"/>
  <c r="AE333" i="10"/>
  <c r="AL332" i="10"/>
  <c r="AK332" i="10"/>
  <c r="AJ332" i="10"/>
  <c r="AI332" i="10"/>
  <c r="AH332" i="10"/>
  <c r="AG332" i="10"/>
  <c r="AF332" i="10"/>
  <c r="AE332" i="10"/>
  <c r="AL331" i="10"/>
  <c r="AK331" i="10"/>
  <c r="AJ331" i="10"/>
  <c r="AI331" i="10"/>
  <c r="AH331" i="10"/>
  <c r="AG331" i="10"/>
  <c r="AF331" i="10"/>
  <c r="AE331" i="10"/>
  <c r="AL330" i="10"/>
  <c r="AK330" i="10"/>
  <c r="AJ330" i="10"/>
  <c r="AI330" i="10"/>
  <c r="AO330" i="10" s="1"/>
  <c r="AH330" i="10"/>
  <c r="AG330" i="10"/>
  <c r="AF330" i="10"/>
  <c r="AE330" i="10"/>
  <c r="AL329" i="10"/>
  <c r="AK329" i="10"/>
  <c r="AJ329" i="10"/>
  <c r="AI329" i="10"/>
  <c r="AH329" i="10"/>
  <c r="AG329" i="10"/>
  <c r="AF329" i="10"/>
  <c r="AE329" i="10"/>
  <c r="AL328" i="10"/>
  <c r="AK328" i="10"/>
  <c r="AJ328" i="10"/>
  <c r="AI328" i="10"/>
  <c r="AH328" i="10"/>
  <c r="AG328" i="10"/>
  <c r="AF328" i="10"/>
  <c r="AE328" i="10"/>
  <c r="AL327" i="10"/>
  <c r="AK327" i="10"/>
  <c r="AJ327" i="10"/>
  <c r="AI327" i="10"/>
  <c r="AH327" i="10"/>
  <c r="AG327" i="10"/>
  <c r="AF327" i="10"/>
  <c r="AE327" i="10"/>
  <c r="AL326" i="10"/>
  <c r="AK326" i="10"/>
  <c r="AJ326" i="10"/>
  <c r="AI326" i="10"/>
  <c r="AH326" i="10"/>
  <c r="AG326" i="10"/>
  <c r="AF326" i="10"/>
  <c r="AE326" i="10"/>
  <c r="AL325" i="10"/>
  <c r="AK325" i="10"/>
  <c r="AO325" i="10" s="1"/>
  <c r="AJ325" i="10"/>
  <c r="AI325" i="10"/>
  <c r="AH325" i="10"/>
  <c r="AG325" i="10"/>
  <c r="AF325" i="10"/>
  <c r="AE325" i="10"/>
  <c r="AL324" i="10"/>
  <c r="AK324" i="10"/>
  <c r="AJ324" i="10"/>
  <c r="AI324" i="10"/>
  <c r="AH324" i="10"/>
  <c r="AG324" i="10"/>
  <c r="AF324" i="10"/>
  <c r="AE324" i="10"/>
  <c r="AL323" i="10"/>
  <c r="AK323" i="10"/>
  <c r="AJ323" i="10"/>
  <c r="AI323" i="10"/>
  <c r="AH323" i="10"/>
  <c r="AG323" i="10"/>
  <c r="AF323" i="10"/>
  <c r="AE323" i="10"/>
  <c r="AL322" i="10"/>
  <c r="AK322" i="10"/>
  <c r="AJ322" i="10"/>
  <c r="AI322" i="10"/>
  <c r="AH322" i="10"/>
  <c r="AG322" i="10"/>
  <c r="AF322" i="10"/>
  <c r="AO322" i="10" s="1"/>
  <c r="AE322" i="10"/>
  <c r="AL321" i="10"/>
  <c r="AK321" i="10"/>
  <c r="AJ321" i="10"/>
  <c r="AI321" i="10"/>
  <c r="AH321" i="10"/>
  <c r="AG321" i="10"/>
  <c r="AF321" i="10"/>
  <c r="AE321" i="10"/>
  <c r="AL320" i="10"/>
  <c r="AK320" i="10"/>
  <c r="AJ320" i="10"/>
  <c r="AI320" i="10"/>
  <c r="AO320" i="10" s="1"/>
  <c r="AH320" i="10"/>
  <c r="AG320" i="10"/>
  <c r="AF320" i="10"/>
  <c r="AE320" i="10"/>
  <c r="AL319" i="10"/>
  <c r="AK319" i="10"/>
  <c r="AJ319" i="10"/>
  <c r="AI319" i="10"/>
  <c r="AH319" i="10"/>
  <c r="AG319" i="10"/>
  <c r="AF319" i="10"/>
  <c r="AE319" i="10"/>
  <c r="AL318" i="10"/>
  <c r="AK318" i="10"/>
  <c r="AJ318" i="10"/>
  <c r="AI318" i="10"/>
  <c r="AH318" i="10"/>
  <c r="AG318" i="10"/>
  <c r="AF318" i="10"/>
  <c r="AE318" i="10"/>
  <c r="AL317" i="10"/>
  <c r="AK317" i="10"/>
  <c r="AO317" i="10" s="1"/>
  <c r="AJ317" i="10"/>
  <c r="AI317" i="10"/>
  <c r="AH317" i="10"/>
  <c r="AG317" i="10"/>
  <c r="AF317" i="10"/>
  <c r="AE317" i="10"/>
  <c r="AL316" i="10"/>
  <c r="AK316" i="10"/>
  <c r="AJ316" i="10"/>
  <c r="AI316" i="10"/>
  <c r="AH316" i="10"/>
  <c r="AG316" i="10"/>
  <c r="AF316" i="10"/>
  <c r="AE316" i="10"/>
  <c r="AL315" i="10"/>
  <c r="AK315" i="10"/>
  <c r="AJ315" i="10"/>
  <c r="AI315" i="10"/>
  <c r="AH315" i="10"/>
  <c r="AG315" i="10"/>
  <c r="AF315" i="10"/>
  <c r="AE315" i="10"/>
  <c r="AL314" i="10"/>
  <c r="AK314" i="10"/>
  <c r="AJ314" i="10"/>
  <c r="AI314" i="10"/>
  <c r="AH314" i="10"/>
  <c r="AG314" i="10"/>
  <c r="AF314" i="10"/>
  <c r="AE314" i="10"/>
  <c r="AL313" i="10"/>
  <c r="AK313" i="10"/>
  <c r="AJ313" i="10"/>
  <c r="AI313" i="10"/>
  <c r="AH313" i="10"/>
  <c r="AG313" i="10"/>
  <c r="AF313" i="10"/>
  <c r="AE313" i="10"/>
  <c r="AL312" i="10"/>
  <c r="AK312" i="10"/>
  <c r="AJ312" i="10"/>
  <c r="AI312" i="10"/>
  <c r="AH312" i="10"/>
  <c r="AG312" i="10"/>
  <c r="AF312" i="10"/>
  <c r="AE312" i="10"/>
  <c r="AL311" i="10"/>
  <c r="AK311" i="10"/>
  <c r="AJ311" i="10"/>
  <c r="AI311" i="10"/>
  <c r="AH311" i="10"/>
  <c r="AG311" i="10"/>
  <c r="AF311" i="10"/>
  <c r="AE311" i="10"/>
  <c r="AL310" i="10"/>
  <c r="AK310" i="10"/>
  <c r="AJ310" i="10"/>
  <c r="AI310" i="10"/>
  <c r="AH310" i="10"/>
  <c r="AG310" i="10"/>
  <c r="AF310" i="10"/>
  <c r="AE310" i="10"/>
  <c r="AL309" i="10"/>
  <c r="AK309" i="10"/>
  <c r="AJ309" i="10"/>
  <c r="AI309" i="10"/>
  <c r="AH309" i="10"/>
  <c r="AG309" i="10"/>
  <c r="AF309" i="10"/>
  <c r="AE309" i="10"/>
  <c r="AL308" i="10"/>
  <c r="AK308" i="10"/>
  <c r="AJ308" i="10"/>
  <c r="AI308" i="10"/>
  <c r="AH308" i="10"/>
  <c r="AG308" i="10"/>
  <c r="AF308" i="10"/>
  <c r="AE308" i="10"/>
  <c r="AL307" i="10"/>
  <c r="AK307" i="10"/>
  <c r="AJ307" i="10"/>
  <c r="AI307" i="10"/>
  <c r="AH307" i="10"/>
  <c r="AG307" i="10"/>
  <c r="AF307" i="10"/>
  <c r="AE307" i="10"/>
  <c r="AL306" i="10"/>
  <c r="AK306" i="10"/>
  <c r="AJ306" i="10"/>
  <c r="AI306" i="10"/>
  <c r="AH306" i="10"/>
  <c r="AG306" i="10"/>
  <c r="AF306" i="10"/>
  <c r="AE306" i="10"/>
  <c r="AL305" i="10"/>
  <c r="AK305" i="10"/>
  <c r="AJ305" i="10"/>
  <c r="AI305" i="10"/>
  <c r="AH305" i="10"/>
  <c r="AG305" i="10"/>
  <c r="AF305" i="10"/>
  <c r="AE305" i="10"/>
  <c r="AL304" i="10"/>
  <c r="AK304" i="10"/>
  <c r="AJ304" i="10"/>
  <c r="AI304" i="10"/>
  <c r="AH304" i="10"/>
  <c r="AG304" i="10"/>
  <c r="AF304" i="10"/>
  <c r="AE304" i="10"/>
  <c r="AL303" i="10"/>
  <c r="AK303" i="10"/>
  <c r="AJ303" i="10"/>
  <c r="AI303" i="10"/>
  <c r="AH303" i="10"/>
  <c r="AG303" i="10"/>
  <c r="AF303" i="10"/>
  <c r="AE303" i="10"/>
  <c r="AL302" i="10"/>
  <c r="AK302" i="10"/>
  <c r="AJ302" i="10"/>
  <c r="AI302" i="10"/>
  <c r="AH302" i="10"/>
  <c r="AG302" i="10"/>
  <c r="AF302" i="10"/>
  <c r="AE302" i="10"/>
  <c r="AL301" i="10"/>
  <c r="AK301" i="10"/>
  <c r="AJ301" i="10"/>
  <c r="AI301" i="10"/>
  <c r="AH301" i="10"/>
  <c r="AG301" i="10"/>
  <c r="AF301" i="10"/>
  <c r="AE301" i="10"/>
  <c r="AL300" i="10"/>
  <c r="AK300" i="10"/>
  <c r="AJ300" i="10"/>
  <c r="AI300" i="10"/>
  <c r="AH300" i="10"/>
  <c r="AG300" i="10"/>
  <c r="AF300" i="10"/>
  <c r="AE300" i="10"/>
  <c r="AL299" i="10"/>
  <c r="AK299" i="10"/>
  <c r="AJ299" i="10"/>
  <c r="AI299" i="10"/>
  <c r="AH299" i="10"/>
  <c r="AG299" i="10"/>
  <c r="AF299" i="10"/>
  <c r="AE299" i="10"/>
  <c r="AL298" i="10"/>
  <c r="AK298" i="10"/>
  <c r="AJ298" i="10"/>
  <c r="AI298" i="10"/>
  <c r="AH298" i="10"/>
  <c r="AG298" i="10"/>
  <c r="AF298" i="10"/>
  <c r="AE298" i="10"/>
  <c r="AL297" i="10"/>
  <c r="AK297" i="10"/>
  <c r="AJ297" i="10"/>
  <c r="AI297" i="10"/>
  <c r="AH297" i="10"/>
  <c r="AG297" i="10"/>
  <c r="AF297" i="10"/>
  <c r="AE297" i="10"/>
  <c r="AL296" i="10"/>
  <c r="AK296" i="10"/>
  <c r="AJ296" i="10"/>
  <c r="AI296" i="10"/>
  <c r="AH296" i="10"/>
  <c r="AG296" i="10"/>
  <c r="AF296" i="10"/>
  <c r="AE296" i="10"/>
  <c r="AL295" i="10"/>
  <c r="AK295" i="10"/>
  <c r="AJ295" i="10"/>
  <c r="AI295" i="10"/>
  <c r="AH295" i="10"/>
  <c r="AG295" i="10"/>
  <c r="AF295" i="10"/>
  <c r="AE295" i="10"/>
  <c r="AL294" i="10"/>
  <c r="AK294" i="10"/>
  <c r="AO294" i="10" s="1"/>
  <c r="AJ294" i="10"/>
  <c r="AI294" i="10"/>
  <c r="AH294" i="10"/>
  <c r="AG294" i="10"/>
  <c r="AF294" i="10"/>
  <c r="AE294" i="10"/>
  <c r="AL293" i="10"/>
  <c r="AK293" i="10"/>
  <c r="AJ293" i="10"/>
  <c r="AI293" i="10"/>
  <c r="AH293" i="10"/>
  <c r="AG293" i="10"/>
  <c r="AF293" i="10"/>
  <c r="AE293" i="10"/>
  <c r="AL292" i="10"/>
  <c r="AK292" i="10"/>
  <c r="AJ292" i="10"/>
  <c r="AI292" i="10"/>
  <c r="AH292" i="10"/>
  <c r="AG292" i="10"/>
  <c r="AF292" i="10"/>
  <c r="AE292" i="10"/>
  <c r="AL291" i="10"/>
  <c r="AK291" i="10"/>
  <c r="AJ291" i="10"/>
  <c r="AI291" i="10"/>
  <c r="AH291" i="10"/>
  <c r="AG291" i="10"/>
  <c r="AF291" i="10"/>
  <c r="AE291" i="10"/>
  <c r="AL290" i="10"/>
  <c r="AK290" i="10"/>
  <c r="AJ290" i="10"/>
  <c r="AI290" i="10"/>
  <c r="AH290" i="10"/>
  <c r="AG290" i="10"/>
  <c r="AF290" i="10"/>
  <c r="AE290" i="10"/>
  <c r="AL289" i="10"/>
  <c r="AK289" i="10"/>
  <c r="AJ289" i="10"/>
  <c r="AI289" i="10"/>
  <c r="AH289" i="10"/>
  <c r="AG289" i="10"/>
  <c r="AF289" i="10"/>
  <c r="AE289" i="10"/>
  <c r="AL288" i="10"/>
  <c r="AK288" i="10"/>
  <c r="AJ288" i="10"/>
  <c r="AI288" i="10"/>
  <c r="AH288" i="10"/>
  <c r="AG288" i="10"/>
  <c r="AF288" i="10"/>
  <c r="AE288" i="10"/>
  <c r="AL287" i="10"/>
  <c r="AK287" i="10"/>
  <c r="AJ287" i="10"/>
  <c r="AI287" i="10"/>
  <c r="AH287" i="10"/>
  <c r="AG287" i="10"/>
  <c r="AF287" i="10"/>
  <c r="AE287" i="10"/>
  <c r="AL286" i="10"/>
  <c r="AK286" i="10"/>
  <c r="AO286" i="10" s="1"/>
  <c r="AJ286" i="10"/>
  <c r="AI286" i="10"/>
  <c r="AH286" i="10"/>
  <c r="AG286" i="10"/>
  <c r="AF286" i="10"/>
  <c r="AE286" i="10"/>
  <c r="AL285" i="10"/>
  <c r="AK285" i="10"/>
  <c r="AJ285" i="10"/>
  <c r="AI285" i="10"/>
  <c r="AH285" i="10"/>
  <c r="AG285" i="10"/>
  <c r="AF285" i="10"/>
  <c r="AE285" i="10"/>
  <c r="AL284" i="10"/>
  <c r="AK284" i="10"/>
  <c r="AJ284" i="10"/>
  <c r="AI284" i="10"/>
  <c r="AH284" i="10"/>
  <c r="AG284" i="10"/>
  <c r="AF284" i="10"/>
  <c r="AE284" i="10"/>
  <c r="AL283" i="10"/>
  <c r="AK283" i="10"/>
  <c r="AJ283" i="10"/>
  <c r="AI283" i="10"/>
  <c r="AH283" i="10"/>
  <c r="AG283" i="10"/>
  <c r="AF283" i="10"/>
  <c r="AE283" i="10"/>
  <c r="AL282" i="10"/>
  <c r="AK282" i="10"/>
  <c r="AJ282" i="10"/>
  <c r="AI282" i="10"/>
  <c r="AH282" i="10"/>
  <c r="AG282" i="10"/>
  <c r="AF282" i="10"/>
  <c r="AE282" i="10"/>
  <c r="AL281" i="10"/>
  <c r="AK281" i="10"/>
  <c r="AJ281" i="10"/>
  <c r="AI281" i="10"/>
  <c r="AH281" i="10"/>
  <c r="AG281" i="10"/>
  <c r="AF281" i="10"/>
  <c r="AE281" i="10"/>
  <c r="AL280" i="10"/>
  <c r="AK280" i="10"/>
  <c r="AJ280" i="10"/>
  <c r="AI280" i="10"/>
  <c r="AH280" i="10"/>
  <c r="AG280" i="10"/>
  <c r="AF280" i="10"/>
  <c r="AE280" i="10"/>
  <c r="AL279" i="10"/>
  <c r="AK279" i="10"/>
  <c r="AJ279" i="10"/>
  <c r="AI279" i="10"/>
  <c r="AH279" i="10"/>
  <c r="AG279" i="10"/>
  <c r="AF279" i="10"/>
  <c r="AE279" i="10"/>
  <c r="AL278" i="10"/>
  <c r="AK278" i="10"/>
  <c r="AJ278" i="10"/>
  <c r="AI278" i="10"/>
  <c r="AH278" i="10"/>
  <c r="AG278" i="10"/>
  <c r="AF278" i="10"/>
  <c r="AE278" i="10"/>
  <c r="AL277" i="10"/>
  <c r="AK277" i="10"/>
  <c r="AJ277" i="10"/>
  <c r="AI277" i="10"/>
  <c r="AH277" i="10"/>
  <c r="AG277" i="10"/>
  <c r="AF277" i="10"/>
  <c r="AE277" i="10"/>
  <c r="AL276" i="10"/>
  <c r="AK276" i="10"/>
  <c r="AJ276" i="10"/>
  <c r="AI276" i="10"/>
  <c r="AH276" i="10"/>
  <c r="AG276" i="10"/>
  <c r="AF276" i="10"/>
  <c r="AE276" i="10"/>
  <c r="AL275" i="10"/>
  <c r="AK275" i="10"/>
  <c r="AJ275" i="10"/>
  <c r="AI275" i="10"/>
  <c r="AH275" i="10"/>
  <c r="AG275" i="10"/>
  <c r="AF275" i="10"/>
  <c r="AE275" i="10"/>
  <c r="AL274" i="10"/>
  <c r="AK274" i="10"/>
  <c r="AJ274" i="10"/>
  <c r="AI274" i="10"/>
  <c r="AH274" i="10"/>
  <c r="AG274" i="10"/>
  <c r="AF274" i="10"/>
  <c r="AE274" i="10"/>
  <c r="AL273" i="10"/>
  <c r="AK273" i="10"/>
  <c r="AJ273" i="10"/>
  <c r="AI273" i="10"/>
  <c r="AH273" i="10"/>
  <c r="AG273" i="10"/>
  <c r="AF273" i="10"/>
  <c r="AE273" i="10"/>
  <c r="AL272" i="10"/>
  <c r="AK272" i="10"/>
  <c r="AJ272" i="10"/>
  <c r="AI272" i="10"/>
  <c r="AH272" i="10"/>
  <c r="AG272" i="10"/>
  <c r="AF272" i="10"/>
  <c r="AE272" i="10"/>
  <c r="AL271" i="10"/>
  <c r="AK271" i="10"/>
  <c r="AJ271" i="10"/>
  <c r="AI271" i="10"/>
  <c r="AH271" i="10"/>
  <c r="AG271" i="10"/>
  <c r="AF271" i="10"/>
  <c r="AE271" i="10"/>
  <c r="AL270" i="10"/>
  <c r="AK270" i="10"/>
  <c r="AJ270" i="10"/>
  <c r="AI270" i="10"/>
  <c r="AH270" i="10"/>
  <c r="AG270" i="10"/>
  <c r="AF270" i="10"/>
  <c r="AE270" i="10"/>
  <c r="AL269" i="10"/>
  <c r="AK269" i="10"/>
  <c r="AJ269" i="10"/>
  <c r="AI269" i="10"/>
  <c r="AH269" i="10"/>
  <c r="AG269" i="10"/>
  <c r="AF269" i="10"/>
  <c r="AE269" i="10"/>
  <c r="AL268" i="10"/>
  <c r="AK268" i="10"/>
  <c r="AJ268" i="10"/>
  <c r="AI268" i="10"/>
  <c r="AH268" i="10"/>
  <c r="AG268" i="10"/>
  <c r="AF268" i="10"/>
  <c r="AE268" i="10"/>
  <c r="AL267" i="10"/>
  <c r="AK267" i="10"/>
  <c r="AJ267" i="10"/>
  <c r="AI267" i="10"/>
  <c r="AH267" i="10"/>
  <c r="AG267" i="10"/>
  <c r="AF267" i="10"/>
  <c r="AE267" i="10"/>
  <c r="AL266" i="10"/>
  <c r="AK266" i="10"/>
  <c r="AJ266" i="10"/>
  <c r="AI266" i="10"/>
  <c r="AH266" i="10"/>
  <c r="AG266" i="10"/>
  <c r="AF266" i="10"/>
  <c r="AE266" i="10"/>
  <c r="AL265" i="10"/>
  <c r="AK265" i="10"/>
  <c r="AJ265" i="10"/>
  <c r="AI265" i="10"/>
  <c r="AH265" i="10"/>
  <c r="AG265" i="10"/>
  <c r="AF265" i="10"/>
  <c r="AE265" i="10"/>
  <c r="AL264" i="10"/>
  <c r="AK264" i="10"/>
  <c r="AJ264" i="10"/>
  <c r="AI264" i="10"/>
  <c r="AH264" i="10"/>
  <c r="AG264" i="10"/>
  <c r="AF264" i="10"/>
  <c r="AE264" i="10"/>
  <c r="AL263" i="10"/>
  <c r="AK263" i="10"/>
  <c r="AJ263" i="10"/>
  <c r="AI263" i="10"/>
  <c r="AH263" i="10"/>
  <c r="AG263" i="10"/>
  <c r="AF263" i="10"/>
  <c r="AE263" i="10"/>
  <c r="AL262" i="10"/>
  <c r="AK262" i="10"/>
  <c r="AJ262" i="10"/>
  <c r="AI262" i="10"/>
  <c r="AH262" i="10"/>
  <c r="AG262" i="10"/>
  <c r="AF262" i="10"/>
  <c r="AE262" i="10"/>
  <c r="AL261" i="10"/>
  <c r="AK261" i="10"/>
  <c r="AJ261" i="10"/>
  <c r="AI261" i="10"/>
  <c r="AH261" i="10"/>
  <c r="AG261" i="10"/>
  <c r="AF261" i="10"/>
  <c r="AE261" i="10"/>
  <c r="AL260" i="10"/>
  <c r="AK260" i="10"/>
  <c r="AJ260" i="10"/>
  <c r="AI260" i="10"/>
  <c r="AH260" i="10"/>
  <c r="AG260" i="10"/>
  <c r="AF260" i="10"/>
  <c r="AE260" i="10"/>
  <c r="AL259" i="10"/>
  <c r="AK259" i="10"/>
  <c r="AJ259" i="10"/>
  <c r="AI259" i="10"/>
  <c r="AH259" i="10"/>
  <c r="AG259" i="10"/>
  <c r="AF259" i="10"/>
  <c r="AE259" i="10"/>
  <c r="AL258" i="10"/>
  <c r="AK258" i="10"/>
  <c r="AJ258" i="10"/>
  <c r="AI258" i="10"/>
  <c r="AH258" i="10"/>
  <c r="AG258" i="10"/>
  <c r="AF258" i="10"/>
  <c r="AE258" i="10"/>
  <c r="AL257" i="10"/>
  <c r="AK257" i="10"/>
  <c r="AJ257" i="10"/>
  <c r="AI257" i="10"/>
  <c r="AH257" i="10"/>
  <c r="AG257" i="10"/>
  <c r="AF257" i="10"/>
  <c r="AE257" i="10"/>
  <c r="AL256" i="10"/>
  <c r="AK256" i="10"/>
  <c r="AJ256" i="10"/>
  <c r="AI256" i="10"/>
  <c r="AO256" i="10" s="1"/>
  <c r="AH256" i="10"/>
  <c r="AG256" i="10"/>
  <c r="AF256" i="10"/>
  <c r="AE256" i="10"/>
  <c r="AL255" i="10"/>
  <c r="AK255" i="10"/>
  <c r="AJ255" i="10"/>
  <c r="AI255" i="10"/>
  <c r="AH255" i="10"/>
  <c r="AG255" i="10"/>
  <c r="AF255" i="10"/>
  <c r="AO255" i="10" s="1"/>
  <c r="AE255" i="10"/>
  <c r="AL254" i="10"/>
  <c r="AK254" i="10"/>
  <c r="AJ254" i="10"/>
  <c r="AI254" i="10"/>
  <c r="AH254" i="10"/>
  <c r="AG254" i="10"/>
  <c r="AF254" i="10"/>
  <c r="AE254" i="10"/>
  <c r="AL253" i="10"/>
  <c r="AK253" i="10"/>
  <c r="AJ253" i="10"/>
  <c r="AI253" i="10"/>
  <c r="AH253" i="10"/>
  <c r="AG253" i="10"/>
  <c r="AF253" i="10"/>
  <c r="AE253" i="10"/>
  <c r="AL252" i="10"/>
  <c r="AK252" i="10"/>
  <c r="AJ252" i="10"/>
  <c r="AI252" i="10"/>
  <c r="AH252" i="10"/>
  <c r="AG252" i="10"/>
  <c r="AF252" i="10"/>
  <c r="AE252" i="10"/>
  <c r="AL251" i="10"/>
  <c r="AK251" i="10"/>
  <c r="AJ251" i="10"/>
  <c r="AI251" i="10"/>
  <c r="AH251" i="10"/>
  <c r="AG251" i="10"/>
  <c r="AF251" i="10"/>
  <c r="AE251" i="10"/>
  <c r="AL250" i="10"/>
  <c r="AK250" i="10"/>
  <c r="AJ250" i="10"/>
  <c r="AI250" i="10"/>
  <c r="AH250" i="10"/>
  <c r="AG250" i="10"/>
  <c r="AF250" i="10"/>
  <c r="AE250" i="10"/>
  <c r="AL249" i="10"/>
  <c r="AK249" i="10"/>
  <c r="AJ249" i="10"/>
  <c r="AI249" i="10"/>
  <c r="AH249" i="10"/>
  <c r="AG249" i="10"/>
  <c r="AF249" i="10"/>
  <c r="AE249" i="10"/>
  <c r="AL248" i="10"/>
  <c r="AK248" i="10"/>
  <c r="AJ248" i="10"/>
  <c r="AI248" i="10"/>
  <c r="AH248" i="10"/>
  <c r="AG248" i="10"/>
  <c r="AF248" i="10"/>
  <c r="AE248" i="10"/>
  <c r="AL247" i="10"/>
  <c r="AK247" i="10"/>
  <c r="AJ247" i="10"/>
  <c r="AI247" i="10"/>
  <c r="AH247" i="10"/>
  <c r="AG247" i="10"/>
  <c r="AF247" i="10"/>
  <c r="AE247" i="10"/>
  <c r="AL246" i="10"/>
  <c r="AK246" i="10"/>
  <c r="AJ246" i="10"/>
  <c r="AI246" i="10"/>
  <c r="AH246" i="10"/>
  <c r="AG246" i="10"/>
  <c r="AF246" i="10"/>
  <c r="AE246" i="10"/>
  <c r="AL245" i="10"/>
  <c r="AK245" i="10"/>
  <c r="AJ245" i="10"/>
  <c r="AI245" i="10"/>
  <c r="AH245" i="10"/>
  <c r="AG245" i="10"/>
  <c r="AF245" i="10"/>
  <c r="AE245" i="10"/>
  <c r="AL244" i="10"/>
  <c r="AK244" i="10"/>
  <c r="AJ244" i="10"/>
  <c r="AI244" i="10"/>
  <c r="AH244" i="10"/>
  <c r="AG244" i="10"/>
  <c r="AF244" i="10"/>
  <c r="AE244" i="10"/>
  <c r="AL243" i="10"/>
  <c r="AK243" i="10"/>
  <c r="AJ243" i="10"/>
  <c r="AI243" i="10"/>
  <c r="AH243" i="10"/>
  <c r="AG243" i="10"/>
  <c r="AF243" i="10"/>
  <c r="AE243" i="10"/>
  <c r="AL242" i="10"/>
  <c r="AK242" i="10"/>
  <c r="AJ242" i="10"/>
  <c r="AI242" i="10"/>
  <c r="AH242" i="10"/>
  <c r="AG242" i="10"/>
  <c r="AF242" i="10"/>
  <c r="AE242" i="10"/>
  <c r="AL241" i="10"/>
  <c r="AK241" i="10"/>
  <c r="AJ241" i="10"/>
  <c r="AI241" i="10"/>
  <c r="AH241" i="10"/>
  <c r="AG241" i="10"/>
  <c r="AF241" i="10"/>
  <c r="AE241" i="10"/>
  <c r="AL240" i="10"/>
  <c r="AK240" i="10"/>
  <c r="AJ240" i="10"/>
  <c r="AI240" i="10"/>
  <c r="AH240" i="10"/>
  <c r="AG240" i="10"/>
  <c r="AF240" i="10"/>
  <c r="AE240" i="10"/>
  <c r="AL239" i="10"/>
  <c r="AK239" i="10"/>
  <c r="AJ239" i="10"/>
  <c r="AI239" i="10"/>
  <c r="AH239" i="10"/>
  <c r="AG239" i="10"/>
  <c r="AF239" i="10"/>
  <c r="AE239" i="10"/>
  <c r="AL238" i="10"/>
  <c r="AK238" i="10"/>
  <c r="AJ238" i="10"/>
  <c r="AI238" i="10"/>
  <c r="AH238" i="10"/>
  <c r="AG238" i="10"/>
  <c r="AF238" i="10"/>
  <c r="AE238" i="10"/>
  <c r="AL237" i="10"/>
  <c r="AK237" i="10"/>
  <c r="AJ237" i="10"/>
  <c r="AI237" i="10"/>
  <c r="AH237" i="10"/>
  <c r="AG237" i="10"/>
  <c r="AF237" i="10"/>
  <c r="AE237" i="10"/>
  <c r="AL236" i="10"/>
  <c r="AK236" i="10"/>
  <c r="AJ236" i="10"/>
  <c r="AI236" i="10"/>
  <c r="AH236" i="10"/>
  <c r="AG236" i="10"/>
  <c r="AF236" i="10"/>
  <c r="AE236" i="10"/>
  <c r="AL235" i="10"/>
  <c r="AK235" i="10"/>
  <c r="AJ235" i="10"/>
  <c r="AI235" i="10"/>
  <c r="AH235" i="10"/>
  <c r="AG235" i="10"/>
  <c r="AF235" i="10"/>
  <c r="AE235" i="10"/>
  <c r="AL234" i="10"/>
  <c r="AK234" i="10"/>
  <c r="AJ234" i="10"/>
  <c r="AI234" i="10"/>
  <c r="AH234" i="10"/>
  <c r="AG234" i="10"/>
  <c r="AF234" i="10"/>
  <c r="AE234" i="10"/>
  <c r="AL233" i="10"/>
  <c r="AK233" i="10"/>
  <c r="AJ233" i="10"/>
  <c r="AI233" i="10"/>
  <c r="AH233" i="10"/>
  <c r="AG233" i="10"/>
  <c r="AF233" i="10"/>
  <c r="AE233" i="10"/>
  <c r="AL232" i="10"/>
  <c r="AK232" i="10"/>
  <c r="AJ232" i="10"/>
  <c r="AI232" i="10"/>
  <c r="AH232" i="10"/>
  <c r="AG232" i="10"/>
  <c r="AF232" i="10"/>
  <c r="AE232" i="10"/>
  <c r="AL231" i="10"/>
  <c r="AK231" i="10"/>
  <c r="AJ231" i="10"/>
  <c r="AI231" i="10"/>
  <c r="AH231" i="10"/>
  <c r="AG231" i="10"/>
  <c r="AF231" i="10"/>
  <c r="AE231" i="10"/>
  <c r="AL230" i="10"/>
  <c r="AK230" i="10"/>
  <c r="AJ230" i="10"/>
  <c r="AI230" i="10"/>
  <c r="AH230" i="10"/>
  <c r="AG230" i="10"/>
  <c r="AF230" i="10"/>
  <c r="AE230" i="10"/>
  <c r="AL229" i="10"/>
  <c r="AK229" i="10"/>
  <c r="AJ229" i="10"/>
  <c r="AI229" i="10"/>
  <c r="AH229" i="10"/>
  <c r="AG229" i="10"/>
  <c r="AF229" i="10"/>
  <c r="AE229" i="10"/>
  <c r="AL228" i="10"/>
  <c r="AK228" i="10"/>
  <c r="AJ228" i="10"/>
  <c r="AI228" i="10"/>
  <c r="AH228" i="10"/>
  <c r="AG228" i="10"/>
  <c r="AF228" i="10"/>
  <c r="AE228" i="10"/>
  <c r="AL227" i="10"/>
  <c r="AK227" i="10"/>
  <c r="AJ227" i="10"/>
  <c r="AI227" i="10"/>
  <c r="AH227" i="10"/>
  <c r="AG227" i="10"/>
  <c r="AF227" i="10"/>
  <c r="AE227" i="10"/>
  <c r="AL226" i="10"/>
  <c r="AK226" i="10"/>
  <c r="AJ226" i="10"/>
  <c r="AI226" i="10"/>
  <c r="AH226" i="10"/>
  <c r="AG226" i="10"/>
  <c r="AF226" i="10"/>
  <c r="AE226" i="10"/>
  <c r="AL225" i="10"/>
  <c r="AK225" i="10"/>
  <c r="AJ225" i="10"/>
  <c r="AI225" i="10"/>
  <c r="AH225" i="10"/>
  <c r="AG225" i="10"/>
  <c r="AF225" i="10"/>
  <c r="AE225" i="10"/>
  <c r="AL224" i="10"/>
  <c r="AK224" i="10"/>
  <c r="AJ224" i="10"/>
  <c r="AI224" i="10"/>
  <c r="AH224" i="10"/>
  <c r="AG224" i="10"/>
  <c r="AF224" i="10"/>
  <c r="AE224" i="10"/>
  <c r="AL223" i="10"/>
  <c r="AK223" i="10"/>
  <c r="AJ223" i="10"/>
  <c r="AI223" i="10"/>
  <c r="AH223" i="10"/>
  <c r="AG223" i="10"/>
  <c r="AF223" i="10"/>
  <c r="AE223" i="10"/>
  <c r="AL222" i="10"/>
  <c r="AK222" i="10"/>
  <c r="AJ222" i="10"/>
  <c r="AI222" i="10"/>
  <c r="AH222" i="10"/>
  <c r="AG222" i="10"/>
  <c r="AF222" i="10"/>
  <c r="AE222" i="10"/>
  <c r="AL221" i="10"/>
  <c r="AK221" i="10"/>
  <c r="AJ221" i="10"/>
  <c r="AI221" i="10"/>
  <c r="AH221" i="10"/>
  <c r="AG221" i="10"/>
  <c r="AF221" i="10"/>
  <c r="AE221" i="10"/>
  <c r="AL220" i="10"/>
  <c r="AK220" i="10"/>
  <c r="AJ220" i="10"/>
  <c r="AI220" i="10"/>
  <c r="AH220" i="10"/>
  <c r="AG220" i="10"/>
  <c r="AF220" i="10"/>
  <c r="AE220" i="10"/>
  <c r="AL219" i="10"/>
  <c r="AK219" i="10"/>
  <c r="AJ219" i="10"/>
  <c r="AI219" i="10"/>
  <c r="AH219" i="10"/>
  <c r="AG219" i="10"/>
  <c r="AF219" i="10"/>
  <c r="AE219" i="10"/>
  <c r="AL218" i="10"/>
  <c r="AK218" i="10"/>
  <c r="AJ218" i="10"/>
  <c r="AI218" i="10"/>
  <c r="AH218" i="10"/>
  <c r="AG218" i="10"/>
  <c r="AF218" i="10"/>
  <c r="AE218" i="10"/>
  <c r="AL217" i="10"/>
  <c r="AK217" i="10"/>
  <c r="AJ217" i="10"/>
  <c r="AI217" i="10"/>
  <c r="AH217" i="10"/>
  <c r="AG217" i="10"/>
  <c r="AF217" i="10"/>
  <c r="AE217" i="10"/>
  <c r="AL216" i="10"/>
  <c r="AK216" i="10"/>
  <c r="AJ216" i="10"/>
  <c r="AI216" i="10"/>
  <c r="AH216" i="10"/>
  <c r="AG216" i="10"/>
  <c r="AF216" i="10"/>
  <c r="AE216" i="10"/>
  <c r="AL215" i="10"/>
  <c r="AK215" i="10"/>
  <c r="AJ215" i="10"/>
  <c r="AI215" i="10"/>
  <c r="AH215" i="10"/>
  <c r="AG215" i="10"/>
  <c r="AF215" i="10"/>
  <c r="AE215" i="10"/>
  <c r="AL214" i="10"/>
  <c r="AK214" i="10"/>
  <c r="AJ214" i="10"/>
  <c r="AI214" i="10"/>
  <c r="AH214" i="10"/>
  <c r="AG214" i="10"/>
  <c r="AF214" i="10"/>
  <c r="AE214" i="10"/>
  <c r="AL213" i="10"/>
  <c r="AK213" i="10"/>
  <c r="AJ213" i="10"/>
  <c r="AI213" i="10"/>
  <c r="AH213" i="10"/>
  <c r="AG213" i="10"/>
  <c r="AF213" i="10"/>
  <c r="AE213" i="10"/>
  <c r="AL212" i="10"/>
  <c r="AK212" i="10"/>
  <c r="AJ212" i="10"/>
  <c r="AI212" i="10"/>
  <c r="AH212" i="10"/>
  <c r="AG212" i="10"/>
  <c r="AF212" i="10"/>
  <c r="AE212" i="10"/>
  <c r="AL211" i="10"/>
  <c r="AK211" i="10"/>
  <c r="AJ211" i="10"/>
  <c r="AI211" i="10"/>
  <c r="AH211" i="10"/>
  <c r="AG211" i="10"/>
  <c r="AF211" i="10"/>
  <c r="AE211" i="10"/>
  <c r="AL210" i="10"/>
  <c r="AK210" i="10"/>
  <c r="AJ210" i="10"/>
  <c r="AI210" i="10"/>
  <c r="AH210" i="10"/>
  <c r="AG210" i="10"/>
  <c r="AF210" i="10"/>
  <c r="AE210" i="10"/>
  <c r="AL209" i="10"/>
  <c r="AK209" i="10"/>
  <c r="AJ209" i="10"/>
  <c r="AI209" i="10"/>
  <c r="AH209" i="10"/>
  <c r="AG209" i="10"/>
  <c r="AF209" i="10"/>
  <c r="AE209" i="10"/>
  <c r="AL208" i="10"/>
  <c r="AK208" i="10"/>
  <c r="AJ208" i="10"/>
  <c r="AI208" i="10"/>
  <c r="AH208" i="10"/>
  <c r="AG208" i="10"/>
  <c r="AF208" i="10"/>
  <c r="AE208" i="10"/>
  <c r="AL207" i="10"/>
  <c r="AK207" i="10"/>
  <c r="AJ207" i="10"/>
  <c r="AI207" i="10"/>
  <c r="AH207" i="10"/>
  <c r="AG207" i="10"/>
  <c r="AF207" i="10"/>
  <c r="AE207" i="10"/>
  <c r="AL206" i="10"/>
  <c r="AK206" i="10"/>
  <c r="AJ206" i="10"/>
  <c r="AI206" i="10"/>
  <c r="AH206" i="10"/>
  <c r="AG206" i="10"/>
  <c r="AF206" i="10"/>
  <c r="AE206" i="10"/>
  <c r="AL205" i="10"/>
  <c r="AK205" i="10"/>
  <c r="AJ205" i="10"/>
  <c r="AI205" i="10"/>
  <c r="AH205" i="10"/>
  <c r="AG205" i="10"/>
  <c r="AF205" i="10"/>
  <c r="AE205" i="10"/>
  <c r="AL204" i="10"/>
  <c r="AK204" i="10"/>
  <c r="AJ204" i="10"/>
  <c r="AI204" i="10"/>
  <c r="AH204" i="10"/>
  <c r="AG204" i="10"/>
  <c r="AF204" i="10"/>
  <c r="AE204" i="10"/>
  <c r="AL203" i="10"/>
  <c r="AK203" i="10"/>
  <c r="AJ203" i="10"/>
  <c r="AI203" i="10"/>
  <c r="AH203" i="10"/>
  <c r="AG203" i="10"/>
  <c r="AF203" i="10"/>
  <c r="AE203" i="10"/>
  <c r="AL202" i="10"/>
  <c r="AK202" i="10"/>
  <c r="AJ202" i="10"/>
  <c r="AI202" i="10"/>
  <c r="AH202" i="10"/>
  <c r="AG202" i="10"/>
  <c r="AF202" i="10"/>
  <c r="AE202" i="10"/>
  <c r="AL201" i="10"/>
  <c r="AK201" i="10"/>
  <c r="AJ201" i="10"/>
  <c r="AI201" i="10"/>
  <c r="AH201" i="10"/>
  <c r="AG201" i="10"/>
  <c r="AF201" i="10"/>
  <c r="AE201" i="10"/>
  <c r="AL200" i="10"/>
  <c r="AK200" i="10"/>
  <c r="AJ200" i="10"/>
  <c r="AI200" i="10"/>
  <c r="AH200" i="10"/>
  <c r="AG200" i="10"/>
  <c r="AF200" i="10"/>
  <c r="AO200" i="10" s="1"/>
  <c r="AE200" i="10"/>
  <c r="AL199" i="10"/>
  <c r="AK199" i="10"/>
  <c r="AJ199" i="10"/>
  <c r="AI199" i="10"/>
  <c r="AH199" i="10"/>
  <c r="AG199" i="10"/>
  <c r="AF199" i="10"/>
  <c r="AE199" i="10"/>
  <c r="AL198" i="10"/>
  <c r="AK198" i="10"/>
  <c r="AJ198" i="10"/>
  <c r="AI198" i="10"/>
  <c r="AH198" i="10"/>
  <c r="AG198" i="10"/>
  <c r="AF198" i="10"/>
  <c r="AE198" i="10"/>
  <c r="AL197" i="10"/>
  <c r="AK197" i="10"/>
  <c r="AJ197" i="10"/>
  <c r="AI197" i="10"/>
  <c r="AH197" i="10"/>
  <c r="AG197" i="10"/>
  <c r="AF197" i="10"/>
  <c r="AE197" i="10"/>
  <c r="AL196" i="10"/>
  <c r="AK196" i="10"/>
  <c r="AJ196" i="10"/>
  <c r="AI196" i="10"/>
  <c r="AH196" i="10"/>
  <c r="AG196" i="10"/>
  <c r="AF196" i="10"/>
  <c r="AE196" i="10"/>
  <c r="AL195" i="10"/>
  <c r="AK195" i="10"/>
  <c r="AJ195" i="10"/>
  <c r="AI195" i="10"/>
  <c r="AH195" i="10"/>
  <c r="AG195" i="10"/>
  <c r="AF195" i="10"/>
  <c r="AE195" i="10"/>
  <c r="AL194" i="10"/>
  <c r="AK194" i="10"/>
  <c r="AJ194" i="10"/>
  <c r="AI194" i="10"/>
  <c r="AH194" i="10"/>
  <c r="AG194" i="10"/>
  <c r="AF194" i="10"/>
  <c r="AE194" i="10"/>
  <c r="AL193" i="10"/>
  <c r="AK193" i="10"/>
  <c r="AJ193" i="10"/>
  <c r="AI193" i="10"/>
  <c r="AH193" i="10"/>
  <c r="AG193" i="10"/>
  <c r="AF193" i="10"/>
  <c r="AE193" i="10"/>
  <c r="AL192" i="10"/>
  <c r="AK192" i="10"/>
  <c r="AJ192" i="10"/>
  <c r="AI192" i="10"/>
  <c r="AH192" i="10"/>
  <c r="AG192" i="10"/>
  <c r="AF192" i="10"/>
  <c r="AE192" i="10"/>
  <c r="AL191" i="10"/>
  <c r="AK191" i="10"/>
  <c r="AJ191" i="10"/>
  <c r="AI191" i="10"/>
  <c r="AH191" i="10"/>
  <c r="AG191" i="10"/>
  <c r="AF191" i="10"/>
  <c r="AE191" i="10"/>
  <c r="AL190" i="10"/>
  <c r="AK190" i="10"/>
  <c r="AJ190" i="10"/>
  <c r="AI190" i="10"/>
  <c r="AH190" i="10"/>
  <c r="AG190" i="10"/>
  <c r="AF190" i="10"/>
  <c r="AE190" i="10"/>
  <c r="AL189" i="10"/>
  <c r="AK189" i="10"/>
  <c r="AJ189" i="10"/>
  <c r="AI189" i="10"/>
  <c r="AH189" i="10"/>
  <c r="AG189" i="10"/>
  <c r="AF189" i="10"/>
  <c r="AE189" i="10"/>
  <c r="AL188" i="10"/>
  <c r="AK188" i="10"/>
  <c r="AO188" i="10" s="1"/>
  <c r="AJ188" i="10"/>
  <c r="AI188" i="10"/>
  <c r="AH188" i="10"/>
  <c r="AG188" i="10"/>
  <c r="AF188" i="10"/>
  <c r="AE188" i="10"/>
  <c r="AL187" i="10"/>
  <c r="AK187" i="10"/>
  <c r="AJ187" i="10"/>
  <c r="AI187" i="10"/>
  <c r="AH187" i="10"/>
  <c r="AG187" i="10"/>
  <c r="AF187" i="10"/>
  <c r="AE187" i="10"/>
  <c r="AL186" i="10"/>
  <c r="AK186" i="10"/>
  <c r="AJ186" i="10"/>
  <c r="AI186" i="10"/>
  <c r="AH186" i="10"/>
  <c r="AG186" i="10"/>
  <c r="AF186" i="10"/>
  <c r="AE186" i="10"/>
  <c r="AL185" i="10"/>
  <c r="AK185" i="10"/>
  <c r="AJ185" i="10"/>
  <c r="AI185" i="10"/>
  <c r="AH185" i="10"/>
  <c r="AG185" i="10"/>
  <c r="AF185" i="10"/>
  <c r="AO185" i="10" s="1"/>
  <c r="AE185" i="10"/>
  <c r="AL184" i="10"/>
  <c r="AK184" i="10"/>
  <c r="AJ184" i="10"/>
  <c r="AI184" i="10"/>
  <c r="AH184" i="10"/>
  <c r="AG184" i="10"/>
  <c r="AF184" i="10"/>
  <c r="AE184" i="10"/>
  <c r="AL183" i="10"/>
  <c r="AK183" i="10"/>
  <c r="AJ183" i="10"/>
  <c r="AI183" i="10"/>
  <c r="AH183" i="10"/>
  <c r="AG183" i="10"/>
  <c r="AF183" i="10"/>
  <c r="AE183" i="10"/>
  <c r="AL182" i="10"/>
  <c r="AK182" i="10"/>
  <c r="AJ182" i="10"/>
  <c r="AI182" i="10"/>
  <c r="AH182" i="10"/>
  <c r="AG182" i="10"/>
  <c r="AF182" i="10"/>
  <c r="AE182" i="10"/>
  <c r="AL181" i="10"/>
  <c r="AK181" i="10"/>
  <c r="AJ181" i="10"/>
  <c r="AI181" i="10"/>
  <c r="AH181" i="10"/>
  <c r="AG181" i="10"/>
  <c r="AF181" i="10"/>
  <c r="AE181" i="10"/>
  <c r="AL180" i="10"/>
  <c r="AK180" i="10"/>
  <c r="AJ180" i="10"/>
  <c r="AI180" i="10"/>
  <c r="AH180" i="10"/>
  <c r="AG180" i="10"/>
  <c r="AF180" i="10"/>
  <c r="AE180" i="10"/>
  <c r="AL179" i="10"/>
  <c r="AK179" i="10"/>
  <c r="AJ179" i="10"/>
  <c r="AI179" i="10"/>
  <c r="AH179" i="10"/>
  <c r="AG179" i="10"/>
  <c r="AF179" i="10"/>
  <c r="AE179" i="10"/>
  <c r="AL178" i="10"/>
  <c r="AK178" i="10"/>
  <c r="AJ178" i="10"/>
  <c r="AI178" i="10"/>
  <c r="AH178" i="10"/>
  <c r="AG178" i="10"/>
  <c r="AF178" i="10"/>
  <c r="AE178" i="10"/>
  <c r="AL177" i="10"/>
  <c r="AK177" i="10"/>
  <c r="AJ177" i="10"/>
  <c r="AI177" i="10"/>
  <c r="AH177" i="10"/>
  <c r="AG177" i="10"/>
  <c r="AF177" i="10"/>
  <c r="AE177" i="10"/>
  <c r="AL176" i="10"/>
  <c r="AK176" i="10"/>
  <c r="AJ176" i="10"/>
  <c r="AI176" i="10"/>
  <c r="AH176" i="10"/>
  <c r="AG176" i="10"/>
  <c r="AF176" i="10"/>
  <c r="AE176" i="10"/>
  <c r="AL175" i="10"/>
  <c r="AK175" i="10"/>
  <c r="AJ175" i="10"/>
  <c r="AI175" i="10"/>
  <c r="AH175" i="10"/>
  <c r="AG175" i="10"/>
  <c r="AF175" i="10"/>
  <c r="AE175" i="10"/>
  <c r="AL174" i="10"/>
  <c r="AK174" i="10"/>
  <c r="AJ174" i="10"/>
  <c r="AI174" i="10"/>
  <c r="AH174" i="10"/>
  <c r="AG174" i="10"/>
  <c r="AF174" i="10"/>
  <c r="AE174" i="10"/>
  <c r="AL173" i="10"/>
  <c r="AK173" i="10"/>
  <c r="AJ173" i="10"/>
  <c r="AI173" i="10"/>
  <c r="AH173" i="10"/>
  <c r="AG173" i="10"/>
  <c r="AF173" i="10"/>
  <c r="AE173" i="10"/>
  <c r="AL172" i="10"/>
  <c r="AK172" i="10"/>
  <c r="AJ172" i="10"/>
  <c r="AI172" i="10"/>
  <c r="AH172" i="10"/>
  <c r="AG172" i="10"/>
  <c r="AF172" i="10"/>
  <c r="AE172" i="10"/>
  <c r="AL171" i="10"/>
  <c r="AK171" i="10"/>
  <c r="AJ171" i="10"/>
  <c r="AI171" i="10"/>
  <c r="AH171" i="10"/>
  <c r="AG171" i="10"/>
  <c r="AF171" i="10"/>
  <c r="AE171" i="10"/>
  <c r="AL170" i="10"/>
  <c r="AK170" i="10"/>
  <c r="AJ170" i="10"/>
  <c r="AI170" i="10"/>
  <c r="AH170" i="10"/>
  <c r="AG170" i="10"/>
  <c r="AF170" i="10"/>
  <c r="AE170" i="10"/>
  <c r="AL169" i="10"/>
  <c r="AK169" i="10"/>
  <c r="AJ169" i="10"/>
  <c r="AI169" i="10"/>
  <c r="AH169" i="10"/>
  <c r="AG169" i="10"/>
  <c r="AF169" i="10"/>
  <c r="AE169" i="10"/>
  <c r="AL168" i="10"/>
  <c r="AK168" i="10"/>
  <c r="AJ168" i="10"/>
  <c r="AI168" i="10"/>
  <c r="AH168" i="10"/>
  <c r="AG168" i="10"/>
  <c r="AF168" i="10"/>
  <c r="AE168" i="10"/>
  <c r="AL167" i="10"/>
  <c r="AK167" i="10"/>
  <c r="AJ167" i="10"/>
  <c r="AI167" i="10"/>
  <c r="AH167" i="10"/>
  <c r="AG167" i="10"/>
  <c r="AF167" i="10"/>
  <c r="AE167" i="10"/>
  <c r="AL166" i="10"/>
  <c r="AK166" i="10"/>
  <c r="AJ166" i="10"/>
  <c r="AI166" i="10"/>
  <c r="AH166" i="10"/>
  <c r="AG166" i="10"/>
  <c r="AF166" i="10"/>
  <c r="AE166" i="10"/>
  <c r="AL165" i="10"/>
  <c r="AK165" i="10"/>
  <c r="AJ165" i="10"/>
  <c r="AI165" i="10"/>
  <c r="AH165" i="10"/>
  <c r="AG165" i="10"/>
  <c r="AF165" i="10"/>
  <c r="AE165" i="10"/>
  <c r="AL164" i="10"/>
  <c r="AK164" i="10"/>
  <c r="AJ164" i="10"/>
  <c r="AI164" i="10"/>
  <c r="AH164" i="10"/>
  <c r="AG164" i="10"/>
  <c r="AF164" i="10"/>
  <c r="AE164" i="10"/>
  <c r="AL163" i="10"/>
  <c r="AK163" i="10"/>
  <c r="AJ163" i="10"/>
  <c r="AI163" i="10"/>
  <c r="AH163" i="10"/>
  <c r="AG163" i="10"/>
  <c r="AF163" i="10"/>
  <c r="AE163" i="10"/>
  <c r="AL162" i="10"/>
  <c r="AK162" i="10"/>
  <c r="AJ162" i="10"/>
  <c r="AI162" i="10"/>
  <c r="AH162" i="10"/>
  <c r="AG162" i="10"/>
  <c r="AF162" i="10"/>
  <c r="AE162" i="10"/>
  <c r="AL161" i="10"/>
  <c r="AK161" i="10"/>
  <c r="AJ161" i="10"/>
  <c r="AI161" i="10"/>
  <c r="AH161" i="10"/>
  <c r="AG161" i="10"/>
  <c r="AF161" i="10"/>
  <c r="AE161" i="10"/>
  <c r="AL160" i="10"/>
  <c r="AK160" i="10"/>
  <c r="AJ160" i="10"/>
  <c r="AI160" i="10"/>
  <c r="AH160" i="10"/>
  <c r="AG160" i="10"/>
  <c r="AF160" i="10"/>
  <c r="AE160" i="10"/>
  <c r="AL159" i="10"/>
  <c r="AK159" i="10"/>
  <c r="AJ159" i="10"/>
  <c r="AI159" i="10"/>
  <c r="AH159" i="10"/>
  <c r="AG159" i="10"/>
  <c r="AF159" i="10"/>
  <c r="AE159" i="10"/>
  <c r="AL158" i="10"/>
  <c r="AK158" i="10"/>
  <c r="AJ158" i="10"/>
  <c r="AI158" i="10"/>
  <c r="AH158" i="10"/>
  <c r="AG158" i="10"/>
  <c r="AF158" i="10"/>
  <c r="AE158" i="10"/>
  <c r="AL157" i="10"/>
  <c r="AK157" i="10"/>
  <c r="AJ157" i="10"/>
  <c r="AI157" i="10"/>
  <c r="AH157" i="10"/>
  <c r="AG157" i="10"/>
  <c r="AF157" i="10"/>
  <c r="AE157" i="10"/>
  <c r="AL156" i="10"/>
  <c r="AK156" i="10"/>
  <c r="AJ156" i="10"/>
  <c r="AI156" i="10"/>
  <c r="AH156" i="10"/>
  <c r="AG156" i="10"/>
  <c r="AF156" i="10"/>
  <c r="AE156" i="10"/>
  <c r="AL155" i="10"/>
  <c r="AK155" i="10"/>
  <c r="AJ155" i="10"/>
  <c r="AI155" i="10"/>
  <c r="AH155" i="10"/>
  <c r="AG155" i="10"/>
  <c r="AF155" i="10"/>
  <c r="AE155" i="10"/>
  <c r="AL154" i="10"/>
  <c r="AK154" i="10"/>
  <c r="AJ154" i="10"/>
  <c r="AI154" i="10"/>
  <c r="AH154" i="10"/>
  <c r="AG154" i="10"/>
  <c r="AF154" i="10"/>
  <c r="AE154" i="10"/>
  <c r="AL153" i="10"/>
  <c r="AK153" i="10"/>
  <c r="AJ153" i="10"/>
  <c r="AI153" i="10"/>
  <c r="AH153" i="10"/>
  <c r="AG153" i="10"/>
  <c r="AF153" i="10"/>
  <c r="AE153" i="10"/>
  <c r="AL152" i="10"/>
  <c r="AK152" i="10"/>
  <c r="AJ152" i="10"/>
  <c r="AI152" i="10"/>
  <c r="AH152" i="10"/>
  <c r="AG152" i="10"/>
  <c r="AF152" i="10"/>
  <c r="AE152" i="10"/>
  <c r="AL151" i="10"/>
  <c r="AK151" i="10"/>
  <c r="AJ151" i="10"/>
  <c r="AI151" i="10"/>
  <c r="AH151" i="10"/>
  <c r="AG151" i="10"/>
  <c r="AF151" i="10"/>
  <c r="AO151" i="10" s="1"/>
  <c r="AE151" i="10"/>
  <c r="AL150" i="10"/>
  <c r="AK150" i="10"/>
  <c r="AJ150" i="10"/>
  <c r="AI150" i="10"/>
  <c r="AO150" i="10" s="1"/>
  <c r="AH150" i="10"/>
  <c r="AG150" i="10"/>
  <c r="AF150" i="10"/>
  <c r="AE150" i="10"/>
  <c r="AL149" i="10"/>
  <c r="AK149" i="10"/>
  <c r="AJ149" i="10"/>
  <c r="AI149" i="10"/>
  <c r="AH149" i="10"/>
  <c r="AG149" i="10"/>
  <c r="AF149" i="10"/>
  <c r="AE149" i="10"/>
  <c r="AL148" i="10"/>
  <c r="AK148" i="10"/>
  <c r="AJ148" i="10"/>
  <c r="AI148" i="10"/>
  <c r="AH148" i="10"/>
  <c r="AG148" i="10"/>
  <c r="AF148" i="10"/>
  <c r="AE148" i="10"/>
  <c r="AL147" i="10"/>
  <c r="AK147" i="10"/>
  <c r="AJ147" i="10"/>
  <c r="AI147" i="10"/>
  <c r="AH147" i="10"/>
  <c r="AG147" i="10"/>
  <c r="AF147" i="10"/>
  <c r="AE147" i="10"/>
  <c r="AL146" i="10"/>
  <c r="AK146" i="10"/>
  <c r="AJ146" i="10"/>
  <c r="AI146" i="10"/>
  <c r="AH146" i="10"/>
  <c r="AG146" i="10"/>
  <c r="AF146" i="10"/>
  <c r="AE146" i="10"/>
  <c r="AL145" i="10"/>
  <c r="AK145" i="10"/>
  <c r="AO145" i="10" s="1"/>
  <c r="AJ145" i="10"/>
  <c r="AI145" i="10"/>
  <c r="AH145" i="10"/>
  <c r="AG145" i="10"/>
  <c r="AF145" i="10"/>
  <c r="AE145" i="10"/>
  <c r="AL144" i="10"/>
  <c r="AK144" i="10"/>
  <c r="AJ144" i="10"/>
  <c r="AI144" i="10"/>
  <c r="AH144" i="10"/>
  <c r="AG144" i="10"/>
  <c r="AF144" i="10"/>
  <c r="AE144" i="10"/>
  <c r="AL143" i="10"/>
  <c r="AK143" i="10"/>
  <c r="AJ143" i="10"/>
  <c r="AI143" i="10"/>
  <c r="AH143" i="10"/>
  <c r="AG143" i="10"/>
  <c r="AF143" i="10"/>
  <c r="AE143" i="10"/>
  <c r="AL142" i="10"/>
  <c r="AK142" i="10"/>
  <c r="AO142" i="10" s="1"/>
  <c r="AJ142" i="10"/>
  <c r="AI142" i="10"/>
  <c r="AH142" i="10"/>
  <c r="AG142" i="10"/>
  <c r="AF142" i="10"/>
  <c r="AE142" i="10"/>
  <c r="AL141" i="10"/>
  <c r="AK141" i="10"/>
  <c r="AJ141" i="10"/>
  <c r="AI141" i="10"/>
  <c r="AH141" i="10"/>
  <c r="AG141" i="10"/>
  <c r="AF141" i="10"/>
  <c r="AE141" i="10"/>
  <c r="AL140" i="10"/>
  <c r="AK140" i="10"/>
  <c r="AJ140" i="10"/>
  <c r="AI140" i="10"/>
  <c r="AH140" i="10"/>
  <c r="AG140" i="10"/>
  <c r="AF140" i="10"/>
  <c r="AE140" i="10"/>
  <c r="AL139" i="10"/>
  <c r="AK139" i="10"/>
  <c r="AJ139" i="10"/>
  <c r="AI139" i="10"/>
  <c r="AH139" i="10"/>
  <c r="AG139" i="10"/>
  <c r="AF139" i="10"/>
  <c r="AE139" i="10"/>
  <c r="AL138" i="10"/>
  <c r="AK138" i="10"/>
  <c r="AJ138" i="10"/>
  <c r="AI138" i="10"/>
  <c r="AH138" i="10"/>
  <c r="AG138" i="10"/>
  <c r="AF138" i="10"/>
  <c r="AE138" i="10"/>
  <c r="AL137" i="10"/>
  <c r="AK137" i="10"/>
  <c r="AJ137" i="10"/>
  <c r="AI137" i="10"/>
  <c r="AH137" i="10"/>
  <c r="AG137" i="10"/>
  <c r="AF137" i="10"/>
  <c r="AE137" i="10"/>
  <c r="AL136" i="10"/>
  <c r="AK136" i="10"/>
  <c r="AJ136" i="10"/>
  <c r="AI136" i="10"/>
  <c r="AH136" i="10"/>
  <c r="AG136" i="10"/>
  <c r="AF136" i="10"/>
  <c r="AE136" i="10"/>
  <c r="AL135" i="10"/>
  <c r="AK135" i="10"/>
  <c r="AJ135" i="10"/>
  <c r="AI135" i="10"/>
  <c r="AH135" i="10"/>
  <c r="AG135" i="10"/>
  <c r="AF135" i="10"/>
  <c r="AO135" i="10" s="1"/>
  <c r="AE135" i="10"/>
  <c r="AL134" i="10"/>
  <c r="AK134" i="10"/>
  <c r="AJ134" i="10"/>
  <c r="AI134" i="10"/>
  <c r="AH134" i="10"/>
  <c r="AG134" i="10"/>
  <c r="AF134" i="10"/>
  <c r="AE134" i="10"/>
  <c r="AL133" i="10"/>
  <c r="AK133" i="10"/>
  <c r="AJ133" i="10"/>
  <c r="AI133" i="10"/>
  <c r="AH133" i="10"/>
  <c r="AG133" i="10"/>
  <c r="AF133" i="10"/>
  <c r="AE133" i="10"/>
  <c r="AL132" i="10"/>
  <c r="AK132" i="10"/>
  <c r="AJ132" i="10"/>
  <c r="AI132" i="10"/>
  <c r="AH132" i="10"/>
  <c r="AG132" i="10"/>
  <c r="AF132" i="10"/>
  <c r="AE132" i="10"/>
  <c r="AL131" i="10"/>
  <c r="AK131" i="10"/>
  <c r="AJ131" i="10"/>
  <c r="AI131" i="10"/>
  <c r="AO131" i="10" s="1"/>
  <c r="AH131" i="10"/>
  <c r="AG131" i="10"/>
  <c r="AF131" i="10"/>
  <c r="AE131" i="10"/>
  <c r="AL130" i="10"/>
  <c r="AK130" i="10"/>
  <c r="AJ130" i="10"/>
  <c r="AI130" i="10"/>
  <c r="AH130" i="10"/>
  <c r="AG130" i="10"/>
  <c r="AF130" i="10"/>
  <c r="AE130" i="10"/>
  <c r="AL129" i="10"/>
  <c r="AK129" i="10"/>
  <c r="AJ129" i="10"/>
  <c r="AI129" i="10"/>
  <c r="AH129" i="10"/>
  <c r="AG129" i="10"/>
  <c r="AF129" i="10"/>
  <c r="AE129" i="10"/>
  <c r="AL128" i="10"/>
  <c r="AK128" i="10"/>
  <c r="AJ128" i="10"/>
  <c r="AI128" i="10"/>
  <c r="AH128" i="10"/>
  <c r="AG128" i="10"/>
  <c r="AF128" i="10"/>
  <c r="AE128" i="10"/>
  <c r="AL127" i="10"/>
  <c r="AK127" i="10"/>
  <c r="AJ127" i="10"/>
  <c r="AI127" i="10"/>
  <c r="AH127" i="10"/>
  <c r="AG127" i="10"/>
  <c r="AF127" i="10"/>
  <c r="AE127" i="10"/>
  <c r="AL126" i="10"/>
  <c r="AK126" i="10"/>
  <c r="AJ126" i="10"/>
  <c r="AI126" i="10"/>
  <c r="AH126" i="10"/>
  <c r="AG126" i="10"/>
  <c r="AF126" i="10"/>
  <c r="AE126" i="10"/>
  <c r="AL125" i="10"/>
  <c r="AK125" i="10"/>
  <c r="AJ125" i="10"/>
  <c r="AI125" i="10"/>
  <c r="AH125" i="10"/>
  <c r="AG125" i="10"/>
  <c r="AF125" i="10"/>
  <c r="AE125" i="10"/>
  <c r="AL124" i="10"/>
  <c r="AK124" i="10"/>
  <c r="AJ124" i="10"/>
  <c r="AI124" i="10"/>
  <c r="AH124" i="10"/>
  <c r="AG124" i="10"/>
  <c r="AF124" i="10"/>
  <c r="AE124" i="10"/>
  <c r="AL123" i="10"/>
  <c r="AK123" i="10"/>
  <c r="AJ123" i="10"/>
  <c r="AI123" i="10"/>
  <c r="AH123" i="10"/>
  <c r="AG123" i="10"/>
  <c r="AF123" i="10"/>
  <c r="AE123" i="10"/>
  <c r="AL122" i="10"/>
  <c r="AK122" i="10"/>
  <c r="AJ122" i="10"/>
  <c r="AI122" i="10"/>
  <c r="AH122" i="10"/>
  <c r="AG122" i="10"/>
  <c r="AF122" i="10"/>
  <c r="AE122" i="10"/>
  <c r="AL121" i="10"/>
  <c r="AK121" i="10"/>
  <c r="AJ121" i="10"/>
  <c r="AI121" i="10"/>
  <c r="AH121" i="10"/>
  <c r="AG121" i="10"/>
  <c r="AF121" i="10"/>
  <c r="AE121" i="10"/>
  <c r="AL120" i="10"/>
  <c r="AK120" i="10"/>
  <c r="AJ120" i="10"/>
  <c r="AI120" i="10"/>
  <c r="AH120" i="10"/>
  <c r="AG120" i="10"/>
  <c r="AF120" i="10"/>
  <c r="AE120" i="10"/>
  <c r="AL119" i="10"/>
  <c r="AK119" i="10"/>
  <c r="AJ119" i="10"/>
  <c r="AI119" i="10"/>
  <c r="AH119" i="10"/>
  <c r="AG119" i="10"/>
  <c r="AF119" i="10"/>
  <c r="AE119" i="10"/>
  <c r="AL118" i="10"/>
  <c r="AK118" i="10"/>
  <c r="AJ118" i="10"/>
  <c r="AI118" i="10"/>
  <c r="AH118" i="10"/>
  <c r="AG118" i="10"/>
  <c r="AF118" i="10"/>
  <c r="AE118" i="10"/>
  <c r="AL117" i="10"/>
  <c r="AK117" i="10"/>
  <c r="AO117" i="10" s="1"/>
  <c r="AJ117" i="10"/>
  <c r="AI117" i="10"/>
  <c r="AH117" i="10"/>
  <c r="AG117" i="10"/>
  <c r="AF117" i="10"/>
  <c r="AE117" i="10"/>
  <c r="AL116" i="10"/>
  <c r="AK116" i="10"/>
  <c r="AJ116" i="10"/>
  <c r="AI116" i="10"/>
  <c r="AH116" i="10"/>
  <c r="AG116" i="10"/>
  <c r="AF116" i="10"/>
  <c r="AE116" i="10"/>
  <c r="AL115" i="10"/>
  <c r="AK115" i="10"/>
  <c r="AO115" i="10" s="1"/>
  <c r="AJ115" i="10"/>
  <c r="AI115" i="10"/>
  <c r="AH115" i="10"/>
  <c r="AG115" i="10"/>
  <c r="AF115" i="10"/>
  <c r="AE115" i="10"/>
  <c r="AL114" i="10"/>
  <c r="AK114" i="10"/>
  <c r="AJ114" i="10"/>
  <c r="AI114" i="10"/>
  <c r="AH114" i="10"/>
  <c r="AG114" i="10"/>
  <c r="AF114" i="10"/>
  <c r="AE114" i="10"/>
  <c r="AL113" i="10"/>
  <c r="AK113" i="10"/>
  <c r="AJ113" i="10"/>
  <c r="AI113" i="10"/>
  <c r="AH113" i="10"/>
  <c r="AG113" i="10"/>
  <c r="AF113" i="10"/>
  <c r="AE113" i="10"/>
  <c r="AL112" i="10"/>
  <c r="AK112" i="10"/>
  <c r="AO112" i="10" s="1"/>
  <c r="AJ112" i="10"/>
  <c r="AI112" i="10"/>
  <c r="AH112" i="10"/>
  <c r="AG112" i="10"/>
  <c r="AF112" i="10"/>
  <c r="AE112" i="10"/>
  <c r="AL111" i="10"/>
  <c r="AK111" i="10"/>
  <c r="AJ111" i="10"/>
  <c r="AI111" i="10"/>
  <c r="AH111" i="10"/>
  <c r="AG111" i="10"/>
  <c r="AF111" i="10"/>
  <c r="AE111" i="10"/>
  <c r="AL110" i="10"/>
  <c r="AK110" i="10"/>
  <c r="AJ110" i="10"/>
  <c r="AI110" i="10"/>
  <c r="AH110" i="10"/>
  <c r="AG110" i="10"/>
  <c r="AF110" i="10"/>
  <c r="AE110" i="10"/>
  <c r="AL109" i="10"/>
  <c r="AK109" i="10"/>
  <c r="AJ109" i="10"/>
  <c r="AI109" i="10"/>
  <c r="AH109" i="10"/>
  <c r="AG109" i="10"/>
  <c r="AF109" i="10"/>
  <c r="AE109" i="10"/>
  <c r="AL108" i="10"/>
  <c r="AK108" i="10"/>
  <c r="AJ108" i="10"/>
  <c r="AI108" i="10"/>
  <c r="AH108" i="10"/>
  <c r="AG108" i="10"/>
  <c r="AF108" i="10"/>
  <c r="AE108" i="10"/>
  <c r="AL107" i="10"/>
  <c r="AK107" i="10"/>
  <c r="AJ107" i="10"/>
  <c r="AI107" i="10"/>
  <c r="AH107" i="10"/>
  <c r="AG107" i="10"/>
  <c r="AF107" i="10"/>
  <c r="AE107" i="10"/>
  <c r="AL106" i="10"/>
  <c r="AK106" i="10"/>
  <c r="AJ106" i="10"/>
  <c r="AI106" i="10"/>
  <c r="AH106" i="10"/>
  <c r="AG106" i="10"/>
  <c r="AF106" i="10"/>
  <c r="AO106" i="10" s="1"/>
  <c r="AE106" i="10"/>
  <c r="AL105" i="10"/>
  <c r="AK105" i="10"/>
  <c r="AJ105" i="10"/>
  <c r="AI105" i="10"/>
  <c r="AH105" i="10"/>
  <c r="AG105" i="10"/>
  <c r="AF105" i="10"/>
  <c r="AE105" i="10"/>
  <c r="AL104" i="10"/>
  <c r="AK104" i="10"/>
  <c r="AJ104" i="10"/>
  <c r="AI104" i="10"/>
  <c r="AH104" i="10"/>
  <c r="AG104" i="10"/>
  <c r="AF104" i="10"/>
  <c r="AE104" i="10"/>
  <c r="AL103" i="10"/>
  <c r="AK103" i="10"/>
  <c r="AJ103" i="10"/>
  <c r="AI103" i="10"/>
  <c r="AH103" i="10"/>
  <c r="AG103" i="10"/>
  <c r="AF103" i="10"/>
  <c r="AE103" i="10"/>
  <c r="AL102" i="10"/>
  <c r="AK102" i="10"/>
  <c r="AJ102" i="10"/>
  <c r="AI102" i="10"/>
  <c r="AH102" i="10"/>
  <c r="AG102" i="10"/>
  <c r="AF102" i="10"/>
  <c r="AE102" i="10"/>
  <c r="AL101" i="10"/>
  <c r="AK101" i="10"/>
  <c r="AJ101" i="10"/>
  <c r="AI101" i="10"/>
  <c r="AH101" i="10"/>
  <c r="AG101" i="10"/>
  <c r="AF101" i="10"/>
  <c r="AE101" i="10"/>
  <c r="AL100" i="10"/>
  <c r="AK100" i="10"/>
  <c r="AJ100" i="10"/>
  <c r="AI100" i="10"/>
  <c r="AH100" i="10"/>
  <c r="AG100" i="10"/>
  <c r="AF100" i="10"/>
  <c r="AE100" i="10"/>
  <c r="AL99" i="10"/>
  <c r="AK99" i="10"/>
  <c r="AJ99" i="10"/>
  <c r="AI99" i="10"/>
  <c r="AH99" i="10"/>
  <c r="AG99" i="10"/>
  <c r="AF99" i="10"/>
  <c r="AE99" i="10"/>
  <c r="AL98" i="10"/>
  <c r="AK98" i="10"/>
  <c r="AO98" i="10" s="1"/>
  <c r="AJ98" i="10"/>
  <c r="AI98" i="10"/>
  <c r="AH98" i="10"/>
  <c r="AG98" i="10"/>
  <c r="AF98" i="10"/>
  <c r="AE98" i="10"/>
  <c r="AL97" i="10"/>
  <c r="AK97" i="10"/>
  <c r="AJ97" i="10"/>
  <c r="AI97" i="10"/>
  <c r="AH97" i="10"/>
  <c r="AG97" i="10"/>
  <c r="AF97" i="10"/>
  <c r="AE97" i="10"/>
  <c r="AL96" i="10"/>
  <c r="AK96" i="10"/>
  <c r="AJ96" i="10"/>
  <c r="AI96" i="10"/>
  <c r="AH96" i="10"/>
  <c r="AG96" i="10"/>
  <c r="AF96" i="10"/>
  <c r="AE96" i="10"/>
  <c r="AL95" i="10"/>
  <c r="AK95" i="10"/>
  <c r="AJ95" i="10"/>
  <c r="AI95" i="10"/>
  <c r="AH95" i="10"/>
  <c r="AG95" i="10"/>
  <c r="AF95" i="10"/>
  <c r="AO95" i="10" s="1"/>
  <c r="AE95" i="10"/>
  <c r="AL94" i="10"/>
  <c r="AK94" i="10"/>
  <c r="AJ94" i="10"/>
  <c r="AI94" i="10"/>
  <c r="AH94" i="10"/>
  <c r="AG94" i="10"/>
  <c r="AF94" i="10"/>
  <c r="AE94" i="10"/>
  <c r="AL93" i="10"/>
  <c r="AK93" i="10"/>
  <c r="AJ93" i="10"/>
  <c r="AI93" i="10"/>
  <c r="AH93" i="10"/>
  <c r="AG93" i="10"/>
  <c r="AF93" i="10"/>
  <c r="AE93" i="10"/>
  <c r="AL92" i="10"/>
  <c r="AK92" i="10"/>
  <c r="AJ92" i="10"/>
  <c r="AI92" i="10"/>
  <c r="AH92" i="10"/>
  <c r="AG92" i="10"/>
  <c r="AF92" i="10"/>
  <c r="AE92" i="10"/>
  <c r="AL91" i="10"/>
  <c r="AK91" i="10"/>
  <c r="AJ91" i="10"/>
  <c r="AI91" i="10"/>
  <c r="AH91" i="10"/>
  <c r="AG91" i="10"/>
  <c r="AF91" i="10"/>
  <c r="AE91" i="10"/>
  <c r="AL90" i="10"/>
  <c r="AK90" i="10"/>
  <c r="AO90" i="10" s="1"/>
  <c r="AJ90" i="10"/>
  <c r="AI90" i="10"/>
  <c r="AH90" i="10"/>
  <c r="AG90" i="10"/>
  <c r="AF90" i="10"/>
  <c r="AE90" i="10"/>
  <c r="AL89" i="10"/>
  <c r="AK89" i="10"/>
  <c r="AJ89" i="10"/>
  <c r="AI89" i="10"/>
  <c r="AH89" i="10"/>
  <c r="AG89" i="10"/>
  <c r="AF89" i="10"/>
  <c r="AE89" i="10"/>
  <c r="AL88" i="10"/>
  <c r="AK88" i="10"/>
  <c r="AJ88" i="10"/>
  <c r="AI88" i="10"/>
  <c r="AH88" i="10"/>
  <c r="AG88" i="10"/>
  <c r="AF88" i="10"/>
  <c r="AE88" i="10"/>
  <c r="AL87" i="10"/>
  <c r="AK87" i="10"/>
  <c r="AJ87" i="10"/>
  <c r="AI87" i="10"/>
  <c r="AH87" i="10"/>
  <c r="AG87" i="10"/>
  <c r="AF87" i="10"/>
  <c r="AE87" i="10"/>
  <c r="AL86" i="10"/>
  <c r="AK86" i="10"/>
  <c r="AJ86" i="10"/>
  <c r="AI86" i="10"/>
  <c r="AH86" i="10"/>
  <c r="AG86" i="10"/>
  <c r="AF86" i="10"/>
  <c r="AE86" i="10"/>
  <c r="AL85" i="10"/>
  <c r="AK85" i="10"/>
  <c r="AO85" i="10" s="1"/>
  <c r="AJ85" i="10"/>
  <c r="AI85" i="10"/>
  <c r="AH85" i="10"/>
  <c r="AG85" i="10"/>
  <c r="AF85" i="10"/>
  <c r="AE85" i="10"/>
  <c r="AL84" i="10"/>
  <c r="AK84" i="10"/>
  <c r="AJ84" i="10"/>
  <c r="AI84" i="10"/>
  <c r="AH84" i="10"/>
  <c r="AG84" i="10"/>
  <c r="AF84" i="10"/>
  <c r="AE84" i="10"/>
  <c r="AL83" i="10"/>
  <c r="AK83" i="10"/>
  <c r="AJ83" i="10"/>
  <c r="AI83" i="10"/>
  <c r="AH83" i="10"/>
  <c r="AG83" i="10"/>
  <c r="AF83" i="10"/>
  <c r="AE83" i="10"/>
  <c r="AL82" i="10"/>
  <c r="AK82" i="10"/>
  <c r="AJ82" i="10"/>
  <c r="AI82" i="10"/>
  <c r="AH82" i="10"/>
  <c r="AG82" i="10"/>
  <c r="AF82" i="10"/>
  <c r="AE82" i="10"/>
  <c r="AL81" i="10"/>
  <c r="AK81" i="10"/>
  <c r="AJ81" i="10"/>
  <c r="AI81" i="10"/>
  <c r="AH81" i="10"/>
  <c r="AG81" i="10"/>
  <c r="AF81" i="10"/>
  <c r="AE81" i="10"/>
  <c r="AL80" i="10"/>
  <c r="AK80" i="10"/>
  <c r="AJ80" i="10"/>
  <c r="AI80" i="10"/>
  <c r="AH80" i="10"/>
  <c r="AG80" i="10"/>
  <c r="AF80" i="10"/>
  <c r="AE80" i="10"/>
  <c r="AL79" i="10"/>
  <c r="AK79" i="10"/>
  <c r="AJ79" i="10"/>
  <c r="AI79" i="10"/>
  <c r="AH79" i="10"/>
  <c r="AG79" i="10"/>
  <c r="AF79" i="10"/>
  <c r="AE79" i="10"/>
  <c r="AL78" i="10"/>
  <c r="AK78" i="10"/>
  <c r="AJ78" i="10"/>
  <c r="AI78" i="10"/>
  <c r="AH78" i="10"/>
  <c r="AG78" i="10"/>
  <c r="AF78" i="10"/>
  <c r="AE78" i="10"/>
  <c r="AL77" i="10"/>
  <c r="AK77" i="10"/>
  <c r="AJ77" i="10"/>
  <c r="AI77" i="10"/>
  <c r="AH77" i="10"/>
  <c r="AG77" i="10"/>
  <c r="AF77" i="10"/>
  <c r="AE77" i="10"/>
  <c r="AL76" i="10"/>
  <c r="AK76" i="10"/>
  <c r="AJ76" i="10"/>
  <c r="AI76" i="10"/>
  <c r="AH76" i="10"/>
  <c r="AG76" i="10"/>
  <c r="AF76" i="10"/>
  <c r="AE76" i="10"/>
  <c r="AL75" i="10"/>
  <c r="AK75" i="10"/>
  <c r="AJ75" i="10"/>
  <c r="AI75" i="10"/>
  <c r="AH75" i="10"/>
  <c r="AG75" i="10"/>
  <c r="AF75" i="10"/>
  <c r="AE75" i="10"/>
  <c r="AL74" i="10"/>
  <c r="AK74" i="10"/>
  <c r="AJ74" i="10"/>
  <c r="AI74" i="10"/>
  <c r="AH74" i="10"/>
  <c r="AG74" i="10"/>
  <c r="AF74" i="10"/>
  <c r="AO74" i="10" s="1"/>
  <c r="AE74" i="10"/>
  <c r="AL73" i="10"/>
  <c r="AK73" i="10"/>
  <c r="AJ73" i="10"/>
  <c r="AI73" i="10"/>
  <c r="AH73" i="10"/>
  <c r="AG73" i="10"/>
  <c r="AF73" i="10"/>
  <c r="AE73" i="10"/>
  <c r="AL72" i="10"/>
  <c r="AK72" i="10"/>
  <c r="AJ72" i="10"/>
  <c r="AI72" i="10"/>
  <c r="AH72" i="10"/>
  <c r="AG72" i="10"/>
  <c r="AF72" i="10"/>
  <c r="AE72" i="10"/>
  <c r="AL71" i="10"/>
  <c r="AK71" i="10"/>
  <c r="AJ71" i="10"/>
  <c r="AI71" i="10"/>
  <c r="AH71" i="10"/>
  <c r="AG71" i="10"/>
  <c r="AF71" i="10"/>
  <c r="AE71" i="10"/>
  <c r="AL70" i="10"/>
  <c r="AK70" i="10"/>
  <c r="AJ70" i="10"/>
  <c r="AI70" i="10"/>
  <c r="AH70" i="10"/>
  <c r="AG70" i="10"/>
  <c r="AF70" i="10"/>
  <c r="AE70" i="10"/>
  <c r="AL69" i="10"/>
  <c r="AK69" i="10"/>
  <c r="AJ69" i="10"/>
  <c r="AI69" i="10"/>
  <c r="AH69" i="10"/>
  <c r="AG69" i="10"/>
  <c r="AF69" i="10"/>
  <c r="AE69" i="10"/>
  <c r="AL68" i="10"/>
  <c r="AK68" i="10"/>
  <c r="AJ68" i="10"/>
  <c r="AI68" i="10"/>
  <c r="AH68" i="10"/>
  <c r="AG68" i="10"/>
  <c r="AF68" i="10"/>
  <c r="AE68" i="10"/>
  <c r="AL67" i="10"/>
  <c r="AK67" i="10"/>
  <c r="AJ67" i="10"/>
  <c r="AI67" i="10"/>
  <c r="AH67" i="10"/>
  <c r="AG67" i="10"/>
  <c r="AF67" i="10"/>
  <c r="AO67" i="10" s="1"/>
  <c r="AE67" i="10"/>
  <c r="AL66" i="10"/>
  <c r="AK66" i="10"/>
  <c r="AJ66" i="10"/>
  <c r="AI66" i="10"/>
  <c r="AH66" i="10"/>
  <c r="AG66" i="10"/>
  <c r="AF66" i="10"/>
  <c r="AE66" i="10"/>
  <c r="AL65" i="10"/>
  <c r="AK65" i="10"/>
  <c r="AJ65" i="10"/>
  <c r="AI65" i="10"/>
  <c r="AH65" i="10"/>
  <c r="AG65" i="10"/>
  <c r="AF65" i="10"/>
  <c r="AE65" i="10"/>
  <c r="AL64" i="10"/>
  <c r="AK64" i="10"/>
  <c r="AJ64" i="10"/>
  <c r="AI64" i="10"/>
  <c r="AH64" i="10"/>
  <c r="AG64" i="10"/>
  <c r="AF64" i="10"/>
  <c r="AE64" i="10"/>
  <c r="AL63" i="10"/>
  <c r="AK63" i="10"/>
  <c r="AJ63" i="10"/>
  <c r="AI63" i="10"/>
  <c r="AH63" i="10"/>
  <c r="AG63" i="10"/>
  <c r="AF63" i="10"/>
  <c r="AE63" i="10"/>
  <c r="AL62" i="10"/>
  <c r="AK62" i="10"/>
  <c r="AJ62" i="10"/>
  <c r="AI62" i="10"/>
  <c r="AH62" i="10"/>
  <c r="AG62" i="10"/>
  <c r="AF62" i="10"/>
  <c r="AE62" i="10"/>
  <c r="AL61" i="10"/>
  <c r="AK61" i="10"/>
  <c r="AJ61" i="10"/>
  <c r="AI61" i="10"/>
  <c r="AH61" i="10"/>
  <c r="AG61" i="10"/>
  <c r="AF61" i="10"/>
  <c r="AE61" i="10"/>
  <c r="AL60" i="10"/>
  <c r="AK60" i="10"/>
  <c r="AJ60" i="10"/>
  <c r="AI60" i="10"/>
  <c r="AH60" i="10"/>
  <c r="AG60" i="10"/>
  <c r="AF60" i="10"/>
  <c r="AE60" i="10"/>
  <c r="AL59" i="10"/>
  <c r="AK59" i="10"/>
  <c r="AJ59" i="10"/>
  <c r="AI59" i="10"/>
  <c r="AH59" i="10"/>
  <c r="AG59" i="10"/>
  <c r="AF59" i="10"/>
  <c r="AE59" i="10"/>
  <c r="AL58" i="10"/>
  <c r="AK58" i="10"/>
  <c r="AJ58" i="10"/>
  <c r="AI58" i="10"/>
  <c r="AH58" i="10"/>
  <c r="AG58" i="10"/>
  <c r="AF58" i="10"/>
  <c r="AE58" i="10"/>
  <c r="AL57" i="10"/>
  <c r="AK57" i="10"/>
  <c r="AJ57" i="10"/>
  <c r="AI57" i="10"/>
  <c r="AH57" i="10"/>
  <c r="AG57" i="10"/>
  <c r="AF57" i="10"/>
  <c r="AE57" i="10"/>
  <c r="AL56" i="10"/>
  <c r="AK56" i="10"/>
  <c r="AJ56" i="10"/>
  <c r="AI56" i="10"/>
  <c r="AH56" i="10"/>
  <c r="AG56" i="10"/>
  <c r="AF56" i="10"/>
  <c r="AE56" i="10"/>
  <c r="AL55" i="10"/>
  <c r="AK55" i="10"/>
  <c r="AJ55" i="10"/>
  <c r="AI55" i="10"/>
  <c r="AH55" i="10"/>
  <c r="AG55" i="10"/>
  <c r="AF55" i="10"/>
  <c r="AE55" i="10"/>
  <c r="AL54" i="10"/>
  <c r="AK54" i="10"/>
  <c r="AJ54" i="10"/>
  <c r="AI54" i="10"/>
  <c r="AH54" i="10"/>
  <c r="AG54" i="10"/>
  <c r="AF54" i="10"/>
  <c r="AE54" i="10"/>
  <c r="AL53" i="10"/>
  <c r="AK53" i="10"/>
  <c r="AJ53" i="10"/>
  <c r="AI53" i="10"/>
  <c r="AH53" i="10"/>
  <c r="AG53" i="10"/>
  <c r="AF53" i="10"/>
  <c r="AE53" i="10"/>
  <c r="AL52" i="10"/>
  <c r="AK52" i="10"/>
  <c r="AJ52" i="10"/>
  <c r="AI52" i="10"/>
  <c r="AH52" i="10"/>
  <c r="AG52" i="10"/>
  <c r="AF52" i="10"/>
  <c r="AE52" i="10"/>
  <c r="AL51" i="10"/>
  <c r="AK51" i="10"/>
  <c r="AJ51" i="10"/>
  <c r="AI51" i="10"/>
  <c r="AH51" i="10"/>
  <c r="AG51" i="10"/>
  <c r="AF51" i="10"/>
  <c r="AE51" i="10"/>
  <c r="AL50" i="10"/>
  <c r="AK50" i="10"/>
  <c r="AJ50" i="10"/>
  <c r="AI50" i="10"/>
  <c r="AH50" i="10"/>
  <c r="AG50" i="10"/>
  <c r="AF50" i="10"/>
  <c r="AE50" i="10"/>
  <c r="AL49" i="10"/>
  <c r="AK49" i="10"/>
  <c r="AJ49" i="10"/>
  <c r="AI49" i="10"/>
  <c r="AH49" i="10"/>
  <c r="AG49" i="10"/>
  <c r="AF49" i="10"/>
  <c r="AE49" i="10"/>
  <c r="AL48" i="10"/>
  <c r="AK48" i="10"/>
  <c r="AJ48" i="10"/>
  <c r="AI48" i="10"/>
  <c r="AH48" i="10"/>
  <c r="AG48" i="10"/>
  <c r="AF48" i="10"/>
  <c r="AE48" i="10"/>
  <c r="AL47" i="10"/>
  <c r="AK47" i="10"/>
  <c r="AJ47" i="10"/>
  <c r="AI47" i="10"/>
  <c r="AH47" i="10"/>
  <c r="AG47" i="10"/>
  <c r="AF47" i="10"/>
  <c r="AE47" i="10"/>
  <c r="AL46" i="10"/>
  <c r="AK46" i="10"/>
  <c r="AJ46" i="10"/>
  <c r="AI46" i="10"/>
  <c r="AH46" i="10"/>
  <c r="AG46" i="10"/>
  <c r="AF46" i="10"/>
  <c r="AE46" i="10"/>
  <c r="AL45" i="10"/>
  <c r="AK45" i="10"/>
  <c r="AJ45" i="10"/>
  <c r="AI45" i="10"/>
  <c r="AH45" i="10"/>
  <c r="AG45" i="10"/>
  <c r="AF45" i="10"/>
  <c r="AE45" i="10"/>
  <c r="AL44" i="10"/>
  <c r="AK44" i="10"/>
  <c r="AJ44" i="10"/>
  <c r="AI44" i="10"/>
  <c r="AH44" i="10"/>
  <c r="AG44" i="10"/>
  <c r="AF44" i="10"/>
  <c r="AE44" i="10"/>
  <c r="AL43" i="10"/>
  <c r="AK43" i="10"/>
  <c r="AJ43" i="10"/>
  <c r="AI43" i="10"/>
  <c r="AH43" i="10"/>
  <c r="AG43" i="10"/>
  <c r="AF43" i="10"/>
  <c r="AE43" i="10"/>
  <c r="AL42" i="10"/>
  <c r="AK42" i="10"/>
  <c r="AJ42" i="10"/>
  <c r="AI42" i="10"/>
  <c r="AH42" i="10"/>
  <c r="AG42" i="10"/>
  <c r="AF42" i="10"/>
  <c r="AE42" i="10"/>
  <c r="AL41" i="10"/>
  <c r="AK41" i="10"/>
  <c r="AJ41" i="10"/>
  <c r="AI41" i="10"/>
  <c r="AH41" i="10"/>
  <c r="AG41" i="10"/>
  <c r="AF41" i="10"/>
  <c r="AE41" i="10"/>
  <c r="AL40" i="10"/>
  <c r="AK40" i="10"/>
  <c r="AJ40" i="10"/>
  <c r="AI40" i="10"/>
  <c r="AH40" i="10"/>
  <c r="AG40" i="10"/>
  <c r="AF40" i="10"/>
  <c r="AE40" i="10"/>
  <c r="AL39" i="10"/>
  <c r="AK39" i="10"/>
  <c r="AJ39" i="10"/>
  <c r="AI39" i="10"/>
  <c r="AH39" i="10"/>
  <c r="AG39" i="10"/>
  <c r="AF39" i="10"/>
  <c r="AE39" i="10"/>
  <c r="AL38" i="10"/>
  <c r="AK38" i="10"/>
  <c r="AJ38" i="10"/>
  <c r="AI38" i="10"/>
  <c r="AH38" i="10"/>
  <c r="AG38" i="10"/>
  <c r="AF38" i="10"/>
  <c r="AE38" i="10"/>
  <c r="AL37" i="10"/>
  <c r="AK37" i="10"/>
  <c r="AJ37" i="10"/>
  <c r="AI37" i="10"/>
  <c r="AH37" i="10"/>
  <c r="AG37" i="10"/>
  <c r="AF37" i="10"/>
  <c r="AE37" i="10"/>
  <c r="AL36" i="10"/>
  <c r="AK36" i="10"/>
  <c r="AJ36" i="10"/>
  <c r="AI36" i="10"/>
  <c r="AH36" i="10"/>
  <c r="AG36" i="10"/>
  <c r="AF36" i="10"/>
  <c r="AE36" i="10"/>
  <c r="AL35" i="10"/>
  <c r="AK35" i="10"/>
  <c r="AJ35" i="10"/>
  <c r="AI35" i="10"/>
  <c r="AH35" i="10"/>
  <c r="AG35" i="10"/>
  <c r="AF35" i="10"/>
  <c r="AE35" i="10"/>
  <c r="AL34" i="10"/>
  <c r="AK34" i="10"/>
  <c r="AJ34" i="10"/>
  <c r="AI34" i="10"/>
  <c r="AH34" i="10"/>
  <c r="AG34" i="10"/>
  <c r="AF34" i="10"/>
  <c r="AE34" i="10"/>
  <c r="AL33" i="10"/>
  <c r="AK33" i="10"/>
  <c r="AJ33" i="10"/>
  <c r="AI33" i="10"/>
  <c r="AH33" i="10"/>
  <c r="AG33" i="10"/>
  <c r="AF33" i="10"/>
  <c r="AE33" i="10"/>
  <c r="AL32" i="10"/>
  <c r="AK32" i="10"/>
  <c r="AJ32" i="10"/>
  <c r="AI32" i="10"/>
  <c r="AH32" i="10"/>
  <c r="AG32" i="10"/>
  <c r="AF32" i="10"/>
  <c r="AE32" i="10"/>
  <c r="AL31" i="10"/>
  <c r="AK31" i="10"/>
  <c r="AJ31" i="10"/>
  <c r="AI31" i="10"/>
  <c r="AH31" i="10"/>
  <c r="AG31" i="10"/>
  <c r="AF31" i="10"/>
  <c r="AE31" i="10"/>
  <c r="AL30" i="10"/>
  <c r="AK30" i="10"/>
  <c r="AJ30" i="10"/>
  <c r="AI30" i="10"/>
  <c r="AH30" i="10"/>
  <c r="AG30" i="10"/>
  <c r="AF30" i="10"/>
  <c r="AE30" i="10"/>
  <c r="AL29" i="10"/>
  <c r="AK29" i="10"/>
  <c r="AJ29" i="10"/>
  <c r="AI29" i="10"/>
  <c r="AH29" i="10"/>
  <c r="AG29" i="10"/>
  <c r="AF29" i="10"/>
  <c r="AE29" i="10"/>
  <c r="AL28" i="10"/>
  <c r="AK28" i="10"/>
  <c r="AJ28" i="10"/>
  <c r="AI28" i="10"/>
  <c r="AH28" i="10"/>
  <c r="AG28" i="10"/>
  <c r="AF28" i="10"/>
  <c r="AE28" i="10"/>
  <c r="AL27" i="10"/>
  <c r="AK27" i="10"/>
  <c r="AJ27" i="10"/>
  <c r="AI27" i="10"/>
  <c r="AH27" i="10"/>
  <c r="AG27" i="10"/>
  <c r="AF27" i="10"/>
  <c r="AE27" i="10"/>
  <c r="AL26" i="10"/>
  <c r="AK26" i="10"/>
  <c r="AJ26" i="10"/>
  <c r="AI26" i="10"/>
  <c r="AH26" i="10"/>
  <c r="AG26" i="10"/>
  <c r="AF26" i="10"/>
  <c r="AE26" i="10"/>
  <c r="AL25" i="10"/>
  <c r="AK25" i="10"/>
  <c r="AJ25" i="10"/>
  <c r="AI25" i="10"/>
  <c r="AH25" i="10"/>
  <c r="AG25" i="10"/>
  <c r="AF25" i="10"/>
  <c r="AE25" i="10"/>
  <c r="AL24" i="10"/>
  <c r="AK24" i="10"/>
  <c r="AJ24" i="10"/>
  <c r="AI24" i="10"/>
  <c r="AH24" i="10"/>
  <c r="AG24" i="10"/>
  <c r="AF24" i="10"/>
  <c r="AE24" i="10"/>
  <c r="AL23" i="10"/>
  <c r="AK23" i="10"/>
  <c r="AJ23" i="10"/>
  <c r="AI23" i="10"/>
  <c r="AH23" i="10"/>
  <c r="AG23" i="10"/>
  <c r="AF23" i="10"/>
  <c r="AE23" i="10"/>
  <c r="AL22" i="10"/>
  <c r="AK22" i="10"/>
  <c r="AJ22" i="10"/>
  <c r="AI22" i="10"/>
  <c r="AH22" i="10"/>
  <c r="AG22" i="10"/>
  <c r="AF22" i="10"/>
  <c r="AE22" i="10"/>
  <c r="AL21" i="10"/>
  <c r="AK21" i="10"/>
  <c r="AJ21" i="10"/>
  <c r="AI21" i="10"/>
  <c r="AH21" i="10"/>
  <c r="AG21" i="10"/>
  <c r="AF21" i="10"/>
  <c r="AE21" i="10"/>
  <c r="AL20" i="10"/>
  <c r="AK20" i="10"/>
  <c r="AJ20" i="10"/>
  <c r="AI20" i="10"/>
  <c r="AH20" i="10"/>
  <c r="AG20" i="10"/>
  <c r="AF20" i="10"/>
  <c r="AE20" i="10"/>
  <c r="AL19" i="10"/>
  <c r="AK19" i="10"/>
  <c r="AJ19" i="10"/>
  <c r="AI19" i="10"/>
  <c r="AH19" i="10"/>
  <c r="AG19" i="10"/>
  <c r="AF19" i="10"/>
  <c r="AE19" i="10"/>
  <c r="AL18" i="10"/>
  <c r="AK18" i="10"/>
  <c r="AJ18" i="10"/>
  <c r="AI18" i="10"/>
  <c r="AH18" i="10"/>
  <c r="AG18" i="10"/>
  <c r="AF18" i="10"/>
  <c r="AE18" i="10"/>
  <c r="AL17" i="10"/>
  <c r="AK17" i="10"/>
  <c r="AJ17" i="10"/>
  <c r="AI17" i="10"/>
  <c r="AH17" i="10"/>
  <c r="AG17" i="10"/>
  <c r="AF17" i="10"/>
  <c r="AE17" i="10"/>
  <c r="AL16" i="10"/>
  <c r="AK16" i="10"/>
  <c r="AJ16" i="10"/>
  <c r="AI16" i="10"/>
  <c r="AH16" i="10"/>
  <c r="AG16" i="10"/>
  <c r="AF16" i="10"/>
  <c r="AE16" i="10"/>
  <c r="AL15" i="10"/>
  <c r="AK15" i="10"/>
  <c r="AJ15" i="10"/>
  <c r="AI15" i="10"/>
  <c r="AH15" i="10"/>
  <c r="AG15" i="10"/>
  <c r="AF15" i="10"/>
  <c r="AE15" i="10"/>
  <c r="AL14" i="10"/>
  <c r="AK14" i="10"/>
  <c r="AJ14" i="10"/>
  <c r="AI14" i="10"/>
  <c r="AH14" i="10"/>
  <c r="AG14" i="10"/>
  <c r="AF14" i="10"/>
  <c r="AE14" i="10"/>
  <c r="AL13" i="10"/>
  <c r="AK13" i="10"/>
  <c r="AJ13" i="10"/>
  <c r="AI13" i="10"/>
  <c r="AH13" i="10"/>
  <c r="AG13" i="10"/>
  <c r="AF13" i="10"/>
  <c r="AE13" i="10"/>
  <c r="AL12" i="10"/>
  <c r="AK12" i="10"/>
  <c r="AJ12" i="10"/>
  <c r="AI12" i="10"/>
  <c r="AH12" i="10"/>
  <c r="AG12" i="10"/>
  <c r="AF12" i="10"/>
  <c r="AE12" i="10"/>
  <c r="AL11" i="10"/>
  <c r="AK11" i="10"/>
  <c r="AJ11" i="10"/>
  <c r="AI11" i="10"/>
  <c r="AH11" i="10"/>
  <c r="AG11" i="10"/>
  <c r="AF11" i="10"/>
  <c r="AE11" i="10"/>
  <c r="AL10" i="10"/>
  <c r="AK10" i="10"/>
  <c r="AJ10" i="10"/>
  <c r="AI10" i="10"/>
  <c r="AH10" i="10"/>
  <c r="AG10" i="10"/>
  <c r="AF10" i="10"/>
  <c r="AE10" i="10"/>
  <c r="AL9" i="10"/>
  <c r="AK9" i="10"/>
  <c r="AJ9" i="10"/>
  <c r="AI9" i="10"/>
  <c r="AH9" i="10"/>
  <c r="AG9" i="10"/>
  <c r="AF9" i="10"/>
  <c r="AE9" i="10"/>
  <c r="AL8" i="10"/>
  <c r="AK8" i="10"/>
  <c r="AJ8" i="10"/>
  <c r="AI8" i="10"/>
  <c r="AH8" i="10"/>
  <c r="AG8" i="10"/>
  <c r="AF8" i="10"/>
  <c r="AE8" i="10"/>
  <c r="AL7" i="10"/>
  <c r="AK7" i="10"/>
  <c r="AJ7" i="10"/>
  <c r="AI7" i="10"/>
  <c r="AH7" i="10"/>
  <c r="AG7" i="10"/>
  <c r="AF7" i="10"/>
  <c r="AE7" i="10"/>
  <c r="AL6" i="10"/>
  <c r="AK6" i="10"/>
  <c r="AJ6" i="10"/>
  <c r="AI6" i="10"/>
  <c r="AH6" i="10"/>
  <c r="AG6" i="10"/>
  <c r="AF6" i="10"/>
  <c r="AE6" i="10"/>
  <c r="AL5" i="10"/>
  <c r="AK5" i="10"/>
  <c r="AJ5" i="10"/>
  <c r="AI5" i="10"/>
  <c r="AH5" i="10"/>
  <c r="AG5" i="10"/>
  <c r="AF5" i="10"/>
  <c r="AE5" i="10"/>
  <c r="CS76" i="9"/>
  <c r="CR76" i="9"/>
  <c r="A73" i="35" s="1"/>
  <c r="CB76" i="9"/>
  <c r="H73" i="35" s="1"/>
  <c r="BZ76" i="9"/>
  <c r="BT76" i="9"/>
  <c r="BQ76" i="9"/>
  <c r="BP76" i="9"/>
  <c r="BO76" i="9"/>
  <c r="BN76" i="9"/>
  <c r="BA76" i="9"/>
  <c r="R76" i="9"/>
  <c r="CS75" i="9"/>
  <c r="CR75" i="9"/>
  <c r="A72" i="35" s="1"/>
  <c r="CB75" i="9"/>
  <c r="H72" i="35" s="1"/>
  <c r="BZ75" i="9"/>
  <c r="CT75" i="9" s="1"/>
  <c r="BT75" i="9"/>
  <c r="BQ75" i="9"/>
  <c r="BP75" i="9"/>
  <c r="BO75" i="9"/>
  <c r="BN75" i="9"/>
  <c r="BA75" i="9"/>
  <c r="R75" i="9"/>
  <c r="CT74" i="9"/>
  <c r="CS74" i="9"/>
  <c r="CR74" i="9"/>
  <c r="A71" i="35" s="1"/>
  <c r="CB74" i="9"/>
  <c r="BZ74" i="9"/>
  <c r="CU74" i="9" s="1"/>
  <c r="N71" i="35" s="1"/>
  <c r="BT74" i="9"/>
  <c r="BQ74" i="9"/>
  <c r="BP74" i="9"/>
  <c r="BO74" i="9"/>
  <c r="BN74" i="9"/>
  <c r="BA74" i="9"/>
  <c r="R74" i="9"/>
  <c r="CS73" i="9"/>
  <c r="CR73" i="9"/>
  <c r="A70" i="35" s="1"/>
  <c r="CB73" i="9"/>
  <c r="BZ73" i="9"/>
  <c r="BT73" i="9"/>
  <c r="BQ73" i="9"/>
  <c r="BP73" i="9"/>
  <c r="BO73" i="9"/>
  <c r="BN73" i="9"/>
  <c r="BA73" i="9"/>
  <c r="R73" i="9"/>
  <c r="CU72" i="9"/>
  <c r="N69" i="35" s="1"/>
  <c r="CS72" i="9"/>
  <c r="CR72" i="9"/>
  <c r="A69" i="35" s="1"/>
  <c r="CB72" i="9"/>
  <c r="H69" i="35" s="1"/>
  <c r="BZ72" i="9"/>
  <c r="CV72" i="9" s="1"/>
  <c r="BT72" i="9"/>
  <c r="BQ72" i="9"/>
  <c r="BP72" i="9"/>
  <c r="BO72" i="9"/>
  <c r="BN72" i="9"/>
  <c r="BA72" i="9"/>
  <c r="R72" i="9"/>
  <c r="CS71" i="9"/>
  <c r="CR71" i="9"/>
  <c r="A68" i="35" s="1"/>
  <c r="CB71" i="9"/>
  <c r="H68" i="35" s="1"/>
  <c r="BZ71" i="9"/>
  <c r="BT71" i="9"/>
  <c r="BQ71" i="9"/>
  <c r="BP71" i="9"/>
  <c r="BO71" i="9"/>
  <c r="BN71" i="9"/>
  <c r="BA71" i="9"/>
  <c r="R71" i="9"/>
  <c r="CS70" i="9"/>
  <c r="CR70" i="9"/>
  <c r="A67" i="35" s="1"/>
  <c r="CB70" i="9"/>
  <c r="H67" i="35" s="1"/>
  <c r="BZ70" i="9"/>
  <c r="BT70" i="9"/>
  <c r="BQ70" i="9"/>
  <c r="BP70" i="9"/>
  <c r="BO70" i="9"/>
  <c r="BN70" i="9"/>
  <c r="BA70" i="9"/>
  <c r="R70" i="9"/>
  <c r="CS69" i="9"/>
  <c r="CR69" i="9"/>
  <c r="A66" i="35" s="1"/>
  <c r="CB69" i="9"/>
  <c r="BZ69" i="9"/>
  <c r="BT69" i="9"/>
  <c r="BQ69" i="9"/>
  <c r="BP69" i="9"/>
  <c r="BO69" i="9"/>
  <c r="BN69" i="9"/>
  <c r="BA69" i="9"/>
  <c r="R69" i="9"/>
  <c r="CS68" i="9"/>
  <c r="CR68" i="9"/>
  <c r="A65" i="35" s="1"/>
  <c r="CB68" i="9"/>
  <c r="BZ68" i="9"/>
  <c r="BT68" i="9"/>
  <c r="BQ68" i="9"/>
  <c r="BP68" i="9"/>
  <c r="BO68" i="9"/>
  <c r="BN68" i="9"/>
  <c r="BA68" i="9"/>
  <c r="R68" i="9"/>
  <c r="CS67" i="9"/>
  <c r="CR67" i="9"/>
  <c r="A64" i="35" s="1"/>
  <c r="CB67" i="9"/>
  <c r="H64" i="35" s="1"/>
  <c r="BZ67" i="9"/>
  <c r="BT67" i="9"/>
  <c r="BQ67" i="9"/>
  <c r="BP67" i="9"/>
  <c r="BO67" i="9"/>
  <c r="BN67" i="9"/>
  <c r="BA67" i="9"/>
  <c r="R67" i="9"/>
  <c r="CS66" i="9"/>
  <c r="CR66" i="9"/>
  <c r="A63" i="35" s="1"/>
  <c r="CB66" i="9"/>
  <c r="H63" i="35" s="1"/>
  <c r="BZ66" i="9"/>
  <c r="BT66" i="9"/>
  <c r="BQ66" i="9"/>
  <c r="BP66" i="9"/>
  <c r="BO66" i="9"/>
  <c r="BN66" i="9"/>
  <c r="BA66" i="9"/>
  <c r="R66" i="9"/>
  <c r="CS65" i="9"/>
  <c r="CR65" i="9"/>
  <c r="A62" i="35" s="1"/>
  <c r="CB65" i="9"/>
  <c r="H62" i="35" s="1"/>
  <c r="BZ65" i="9"/>
  <c r="BT65" i="9"/>
  <c r="BQ65" i="9"/>
  <c r="BP65" i="9"/>
  <c r="BO65" i="9"/>
  <c r="BN65" i="9"/>
  <c r="BA65" i="9"/>
  <c r="R65" i="9"/>
  <c r="CS64" i="9"/>
  <c r="CR64" i="9"/>
  <c r="A61" i="35" s="1"/>
  <c r="CB64" i="9"/>
  <c r="BZ64" i="9"/>
  <c r="BT64" i="9"/>
  <c r="BQ64" i="9"/>
  <c r="BP64" i="9"/>
  <c r="BO64" i="9"/>
  <c r="BN64" i="9"/>
  <c r="BA64" i="9"/>
  <c r="R64" i="9"/>
  <c r="CS63" i="9"/>
  <c r="CR63" i="9"/>
  <c r="A60" i="35" s="1"/>
  <c r="CB63" i="9"/>
  <c r="H60" i="35" s="1"/>
  <c r="BZ63" i="9"/>
  <c r="CU63" i="9" s="1"/>
  <c r="N60" i="35" s="1"/>
  <c r="BT63" i="9"/>
  <c r="BQ63" i="9"/>
  <c r="BP63" i="9"/>
  <c r="BO63" i="9"/>
  <c r="BN63" i="9"/>
  <c r="BA63" i="9"/>
  <c r="R63" i="9"/>
  <c r="CS62" i="9"/>
  <c r="CR62" i="9"/>
  <c r="A59" i="35" s="1"/>
  <c r="CB62" i="9"/>
  <c r="H59" i="35" s="1"/>
  <c r="BZ62" i="9"/>
  <c r="BT62" i="9"/>
  <c r="BQ62" i="9"/>
  <c r="BP62" i="9"/>
  <c r="BO62" i="9"/>
  <c r="BN62" i="9"/>
  <c r="BA62" i="9"/>
  <c r="R62" i="9"/>
  <c r="CV61" i="9"/>
  <c r="CS61" i="9"/>
  <c r="CR61" i="9"/>
  <c r="A58" i="35" s="1"/>
  <c r="CB61" i="9"/>
  <c r="H58" i="35" s="1"/>
  <c r="BZ61" i="9"/>
  <c r="CT61" i="9" s="1"/>
  <c r="BT61" i="9"/>
  <c r="BQ61" i="9"/>
  <c r="BP61" i="9"/>
  <c r="BO61" i="9"/>
  <c r="BN61" i="9"/>
  <c r="BA61" i="9"/>
  <c r="R61" i="9"/>
  <c r="CS60" i="9"/>
  <c r="CR60" i="9"/>
  <c r="A57" i="35" s="1"/>
  <c r="CB60" i="9"/>
  <c r="H57" i="35" s="1"/>
  <c r="BZ60" i="9"/>
  <c r="BT60" i="9"/>
  <c r="BQ60" i="9"/>
  <c r="BP60" i="9"/>
  <c r="BO60" i="9"/>
  <c r="BN60" i="9"/>
  <c r="BA60" i="9"/>
  <c r="R60" i="9"/>
  <c r="CS59" i="9"/>
  <c r="CR59" i="9"/>
  <c r="A56" i="35" s="1"/>
  <c r="CB59" i="9"/>
  <c r="H56" i="35" s="1"/>
  <c r="BZ59" i="9"/>
  <c r="BT59" i="9"/>
  <c r="BQ59" i="9"/>
  <c r="BP59" i="9"/>
  <c r="BO59" i="9"/>
  <c r="BN59" i="9"/>
  <c r="BA59" i="9"/>
  <c r="R59" i="9"/>
  <c r="CS58" i="9"/>
  <c r="CR58" i="9"/>
  <c r="A55" i="35" s="1"/>
  <c r="CB58" i="9"/>
  <c r="BZ58" i="9"/>
  <c r="BT58" i="9"/>
  <c r="BQ58" i="9"/>
  <c r="BP58" i="9"/>
  <c r="BO58" i="9"/>
  <c r="BN58" i="9"/>
  <c r="BA58" i="9"/>
  <c r="R58" i="9"/>
  <c r="CS57" i="9"/>
  <c r="CR57" i="9"/>
  <c r="A54" i="35" s="1"/>
  <c r="CB57" i="9"/>
  <c r="BZ57" i="9"/>
  <c r="CV57" i="9" s="1"/>
  <c r="BT57" i="9"/>
  <c r="BQ57" i="9"/>
  <c r="BP57" i="9"/>
  <c r="BO57" i="9"/>
  <c r="BN57" i="9"/>
  <c r="BA57" i="9"/>
  <c r="R57" i="9"/>
  <c r="CW56" i="9"/>
  <c r="L53" i="35" s="1"/>
  <c r="CS56" i="9"/>
  <c r="CR56" i="9"/>
  <c r="A53" i="35" s="1"/>
  <c r="CB56" i="9"/>
  <c r="H53" i="35" s="1"/>
  <c r="BZ56" i="9"/>
  <c r="CU56" i="9" s="1"/>
  <c r="N53" i="35" s="1"/>
  <c r="BT56" i="9"/>
  <c r="BQ56" i="9"/>
  <c r="BP56" i="9"/>
  <c r="BO56" i="9"/>
  <c r="BN56" i="9"/>
  <c r="BA56" i="9"/>
  <c r="R56" i="9"/>
  <c r="CS55" i="9"/>
  <c r="CR55" i="9"/>
  <c r="A52" i="35" s="1"/>
  <c r="CB55" i="9"/>
  <c r="BZ55" i="9"/>
  <c r="BT55" i="9"/>
  <c r="BQ55" i="9"/>
  <c r="BP55" i="9"/>
  <c r="BO55" i="9"/>
  <c r="BN55" i="9"/>
  <c r="BA55" i="9"/>
  <c r="R55" i="9"/>
  <c r="CS54" i="9"/>
  <c r="CR54" i="9"/>
  <c r="A51" i="35" s="1"/>
  <c r="CB54" i="9"/>
  <c r="H51" i="35" s="1"/>
  <c r="BZ54" i="9"/>
  <c r="BT54" i="9"/>
  <c r="BQ54" i="9"/>
  <c r="BP54" i="9"/>
  <c r="BO54" i="9"/>
  <c r="BN54" i="9"/>
  <c r="BA54" i="9"/>
  <c r="R54" i="9"/>
  <c r="CS53" i="9"/>
  <c r="CR53" i="9"/>
  <c r="A50" i="35" s="1"/>
  <c r="CB53" i="9"/>
  <c r="BZ53" i="9"/>
  <c r="CT53" i="9" s="1"/>
  <c r="BT53" i="9"/>
  <c r="BQ53" i="9"/>
  <c r="BP53" i="9"/>
  <c r="BO53" i="9"/>
  <c r="BN53" i="9"/>
  <c r="BA53" i="9"/>
  <c r="R53" i="9"/>
  <c r="CV52" i="9"/>
  <c r="CS52" i="9"/>
  <c r="CR52" i="9"/>
  <c r="A49" i="35" s="1"/>
  <c r="CB52" i="9"/>
  <c r="H49" i="35" s="1"/>
  <c r="BZ52" i="9"/>
  <c r="CT52" i="9" s="1"/>
  <c r="BT52" i="9"/>
  <c r="BQ52" i="9"/>
  <c r="BP52" i="9"/>
  <c r="BO52" i="9"/>
  <c r="BN52" i="9"/>
  <c r="BA52" i="9"/>
  <c r="R52" i="9"/>
  <c r="CS51" i="9"/>
  <c r="CR51" i="9"/>
  <c r="A48" i="35" s="1"/>
  <c r="CB51" i="9"/>
  <c r="H48" i="35" s="1"/>
  <c r="BZ51" i="9"/>
  <c r="BT51" i="9"/>
  <c r="BQ51" i="9"/>
  <c r="BP51" i="9"/>
  <c r="BO51" i="9"/>
  <c r="BN51" i="9"/>
  <c r="BA51" i="9"/>
  <c r="R51" i="9"/>
  <c r="CS50" i="9"/>
  <c r="CR50" i="9"/>
  <c r="A47" i="35" s="1"/>
  <c r="CB50" i="9"/>
  <c r="H47" i="35" s="1"/>
  <c r="BZ50" i="9"/>
  <c r="BT50" i="9"/>
  <c r="BQ50" i="9"/>
  <c r="BP50" i="9"/>
  <c r="BO50" i="9"/>
  <c r="BN50" i="9"/>
  <c r="BA50" i="9"/>
  <c r="R50" i="9"/>
  <c r="CS49" i="9"/>
  <c r="CR49" i="9"/>
  <c r="A46" i="35" s="1"/>
  <c r="CB49" i="9"/>
  <c r="H46" i="35" s="1"/>
  <c r="BZ49" i="9"/>
  <c r="BT49" i="9"/>
  <c r="BQ49" i="9"/>
  <c r="BP49" i="9"/>
  <c r="BO49" i="9"/>
  <c r="BN49" i="9"/>
  <c r="BA49" i="9"/>
  <c r="R49" i="9"/>
  <c r="CS48" i="9"/>
  <c r="CR48" i="9"/>
  <c r="A45" i="35" s="1"/>
  <c r="CB48" i="9"/>
  <c r="H45" i="35" s="1"/>
  <c r="BZ48" i="9"/>
  <c r="BT48" i="9"/>
  <c r="BQ48" i="9"/>
  <c r="BP48" i="9"/>
  <c r="BO48" i="9"/>
  <c r="BN48" i="9"/>
  <c r="BA48" i="9"/>
  <c r="R48" i="9"/>
  <c r="CS47" i="9"/>
  <c r="CR47" i="9"/>
  <c r="A44" i="35" s="1"/>
  <c r="CB47" i="9"/>
  <c r="H44" i="35" s="1"/>
  <c r="BZ47" i="9"/>
  <c r="BT47" i="9"/>
  <c r="BQ47" i="9"/>
  <c r="BP47" i="9"/>
  <c r="BO47" i="9"/>
  <c r="BN47" i="9"/>
  <c r="BA47" i="9"/>
  <c r="R47" i="9"/>
  <c r="CS46" i="9"/>
  <c r="CR46" i="9"/>
  <c r="A43" i="35" s="1"/>
  <c r="CB46" i="9"/>
  <c r="H43" i="35" s="1"/>
  <c r="BZ46" i="9"/>
  <c r="BT46" i="9"/>
  <c r="BQ46" i="9"/>
  <c r="BP46" i="9"/>
  <c r="BO46" i="9"/>
  <c r="BN46" i="9"/>
  <c r="BA46" i="9"/>
  <c r="R46" i="9"/>
  <c r="CS45" i="9"/>
  <c r="CR45" i="9"/>
  <c r="A42" i="35" s="1"/>
  <c r="CB45" i="9"/>
  <c r="H42" i="35" s="1"/>
  <c r="BZ45" i="9"/>
  <c r="CV45" i="9" s="1"/>
  <c r="BT45" i="9"/>
  <c r="BQ45" i="9"/>
  <c r="BP45" i="9"/>
  <c r="BO45" i="9"/>
  <c r="BN45" i="9"/>
  <c r="BA45" i="9"/>
  <c r="R45" i="9"/>
  <c r="CS44" i="9"/>
  <c r="CR44" i="9"/>
  <c r="A41" i="35" s="1"/>
  <c r="CB44" i="9"/>
  <c r="H41" i="35" s="1"/>
  <c r="BZ44" i="9"/>
  <c r="BT44" i="9"/>
  <c r="BQ44" i="9"/>
  <c r="BP44" i="9"/>
  <c r="BO44" i="9"/>
  <c r="BN44" i="9"/>
  <c r="BA44" i="9"/>
  <c r="R44" i="9"/>
  <c r="CS43" i="9"/>
  <c r="CR43" i="9"/>
  <c r="A40" i="35" s="1"/>
  <c r="CB43" i="9"/>
  <c r="H40" i="35" s="1"/>
  <c r="BZ43" i="9"/>
  <c r="CW43" i="9" s="1"/>
  <c r="L40" i="35" s="1"/>
  <c r="BT43" i="9"/>
  <c r="BQ43" i="9"/>
  <c r="BP43" i="9"/>
  <c r="BO43" i="9"/>
  <c r="BN43" i="9"/>
  <c r="BA43" i="9"/>
  <c r="R43" i="9"/>
  <c r="CS42" i="9"/>
  <c r="CR42" i="9"/>
  <c r="A39" i="35" s="1"/>
  <c r="CB42" i="9"/>
  <c r="BZ42" i="9"/>
  <c r="BT42" i="9"/>
  <c r="BQ42" i="9"/>
  <c r="BP42" i="9"/>
  <c r="BO42" i="9"/>
  <c r="BN42" i="9"/>
  <c r="BA42" i="9"/>
  <c r="R42" i="9"/>
  <c r="CS41" i="9"/>
  <c r="CR41" i="9"/>
  <c r="A38" i="35" s="1"/>
  <c r="CB41" i="9"/>
  <c r="BZ41" i="9"/>
  <c r="CU41" i="9" s="1"/>
  <c r="N38" i="35" s="1"/>
  <c r="BT41" i="9"/>
  <c r="BQ41" i="9"/>
  <c r="BP41" i="9"/>
  <c r="BO41" i="9"/>
  <c r="BN41" i="9"/>
  <c r="BA41" i="9"/>
  <c r="R41" i="9"/>
  <c r="CS40" i="9"/>
  <c r="CR40" i="9"/>
  <c r="A37" i="35" s="1"/>
  <c r="CB40" i="9"/>
  <c r="H37" i="35" s="1"/>
  <c r="BZ40" i="9"/>
  <c r="BT40" i="9"/>
  <c r="BQ40" i="9"/>
  <c r="BP40" i="9"/>
  <c r="BO40" i="9"/>
  <c r="BN40" i="9"/>
  <c r="BA40" i="9"/>
  <c r="R40" i="9"/>
  <c r="CV39" i="9"/>
  <c r="CT39" i="9"/>
  <c r="CS39" i="9"/>
  <c r="CR39" i="9"/>
  <c r="A36" i="35" s="1"/>
  <c r="CB39" i="9"/>
  <c r="H36" i="35" s="1"/>
  <c r="BZ39" i="9"/>
  <c r="CU39" i="9" s="1"/>
  <c r="BT39" i="9"/>
  <c r="BQ39" i="9"/>
  <c r="BP39" i="9"/>
  <c r="BO39" i="9"/>
  <c r="BN39" i="9"/>
  <c r="BA39" i="9"/>
  <c r="R39" i="9"/>
  <c r="CS38" i="9"/>
  <c r="CR38" i="9"/>
  <c r="A35" i="35" s="1"/>
  <c r="CB38" i="9"/>
  <c r="H35" i="35" s="1"/>
  <c r="BZ38" i="9"/>
  <c r="BT38" i="9"/>
  <c r="BQ38" i="9"/>
  <c r="BP38" i="9"/>
  <c r="BO38" i="9"/>
  <c r="BN38" i="9"/>
  <c r="BA38" i="9"/>
  <c r="R38" i="9"/>
  <c r="CS37" i="9"/>
  <c r="CR37" i="9"/>
  <c r="A34" i="35" s="1"/>
  <c r="CB37" i="9"/>
  <c r="H34" i="35" s="1"/>
  <c r="BZ37" i="9"/>
  <c r="BT37" i="9"/>
  <c r="BQ37" i="9"/>
  <c r="BP37" i="9"/>
  <c r="BO37" i="9"/>
  <c r="BN37" i="9"/>
  <c r="BA37" i="9"/>
  <c r="R37" i="9"/>
  <c r="CS36" i="9"/>
  <c r="CR36" i="9"/>
  <c r="A33" i="35" s="1"/>
  <c r="CB36" i="9"/>
  <c r="H33" i="35" s="1"/>
  <c r="BZ36" i="9"/>
  <c r="BT36" i="9"/>
  <c r="BQ36" i="9"/>
  <c r="BP36" i="9"/>
  <c r="BO36" i="9"/>
  <c r="BN36" i="9"/>
  <c r="BA36" i="9"/>
  <c r="R36" i="9"/>
  <c r="CS35" i="9"/>
  <c r="CR35" i="9"/>
  <c r="A32" i="35" s="1"/>
  <c r="CB35" i="9"/>
  <c r="H32" i="35" s="1"/>
  <c r="BZ35" i="9"/>
  <c r="BT35" i="9"/>
  <c r="BQ35" i="9"/>
  <c r="BP35" i="9"/>
  <c r="BO35" i="9"/>
  <c r="BN35" i="9"/>
  <c r="BA35" i="9"/>
  <c r="R35" i="9"/>
  <c r="CS34" i="9"/>
  <c r="CR34" i="9"/>
  <c r="A31" i="35" s="1"/>
  <c r="CB34" i="9"/>
  <c r="H31" i="35" s="1"/>
  <c r="BZ34" i="9"/>
  <c r="CU34" i="9" s="1"/>
  <c r="N31" i="35" s="1"/>
  <c r="BT34" i="9"/>
  <c r="BQ34" i="9"/>
  <c r="BP34" i="9"/>
  <c r="BO34" i="9"/>
  <c r="BN34" i="9"/>
  <c r="BA34" i="9"/>
  <c r="R34" i="9"/>
  <c r="CS33" i="9"/>
  <c r="CR33" i="9"/>
  <c r="A30" i="35" s="1"/>
  <c r="CB33" i="9"/>
  <c r="H30" i="35" s="1"/>
  <c r="BZ33" i="9"/>
  <c r="CV33" i="9" s="1"/>
  <c r="BT33" i="9"/>
  <c r="BQ33" i="9"/>
  <c r="BP33" i="9"/>
  <c r="BO33" i="9"/>
  <c r="BN33" i="9"/>
  <c r="BA33" i="9"/>
  <c r="R33" i="9"/>
  <c r="CW32" i="9"/>
  <c r="L29" i="35" s="1"/>
  <c r="CV32" i="9"/>
  <c r="CU32" i="9"/>
  <c r="N29" i="35" s="1"/>
  <c r="CS32" i="9"/>
  <c r="CR32" i="9"/>
  <c r="A29" i="35" s="1"/>
  <c r="CB32" i="9"/>
  <c r="H29" i="35" s="1"/>
  <c r="BZ32" i="9"/>
  <c r="BT32" i="9"/>
  <c r="BQ32" i="9"/>
  <c r="BP32" i="9"/>
  <c r="BO32" i="9"/>
  <c r="BN32" i="9"/>
  <c r="BA32" i="9"/>
  <c r="R32" i="9"/>
  <c r="CS31" i="9"/>
  <c r="CR31" i="9"/>
  <c r="A28" i="35" s="1"/>
  <c r="CB31" i="9"/>
  <c r="H28" i="35" s="1"/>
  <c r="BZ31" i="9"/>
  <c r="CW31" i="9" s="1"/>
  <c r="L28" i="35" s="1"/>
  <c r="BT31" i="9"/>
  <c r="BQ31" i="9"/>
  <c r="BP31" i="9"/>
  <c r="BO31" i="9"/>
  <c r="BN31" i="9"/>
  <c r="BA31" i="9"/>
  <c r="R31" i="9"/>
  <c r="CS30" i="9"/>
  <c r="CR30" i="9"/>
  <c r="A27" i="35" s="1"/>
  <c r="CB30" i="9"/>
  <c r="H27" i="35" s="1"/>
  <c r="BZ30" i="9"/>
  <c r="BT30" i="9"/>
  <c r="BQ30" i="9"/>
  <c r="BP30" i="9"/>
  <c r="BO30" i="9"/>
  <c r="BN30" i="9"/>
  <c r="BA30" i="9"/>
  <c r="R30" i="9"/>
  <c r="CS29" i="9"/>
  <c r="CR29" i="9"/>
  <c r="A26" i="35" s="1"/>
  <c r="CB29" i="9"/>
  <c r="H26" i="35" s="1"/>
  <c r="BZ29" i="9"/>
  <c r="CV29" i="9" s="1"/>
  <c r="BT29" i="9"/>
  <c r="BQ29" i="9"/>
  <c r="BP29" i="9"/>
  <c r="BO29" i="9"/>
  <c r="BN29" i="9"/>
  <c r="BA29" i="9"/>
  <c r="R29" i="9"/>
  <c r="CV28" i="9"/>
  <c r="CU28" i="9"/>
  <c r="N25" i="35" s="1"/>
  <c r="CS28" i="9"/>
  <c r="CR28" i="9"/>
  <c r="A25" i="35" s="1"/>
  <c r="CB28" i="9"/>
  <c r="H25" i="35" s="1"/>
  <c r="BZ28" i="9"/>
  <c r="CW28" i="9" s="1"/>
  <c r="L25" i="35" s="1"/>
  <c r="BT28" i="9"/>
  <c r="BQ28" i="9"/>
  <c r="BP28" i="9"/>
  <c r="BO28" i="9"/>
  <c r="BN28" i="9"/>
  <c r="BA28" i="9"/>
  <c r="R28" i="9"/>
  <c r="CS27" i="9"/>
  <c r="CR27" i="9"/>
  <c r="A24" i="35" s="1"/>
  <c r="CB27" i="9"/>
  <c r="H24" i="35" s="1"/>
  <c r="BZ27" i="9"/>
  <c r="BT27" i="9"/>
  <c r="BQ27" i="9"/>
  <c r="BP27" i="9"/>
  <c r="BO27" i="9"/>
  <c r="BN27" i="9"/>
  <c r="BA27" i="9"/>
  <c r="R27" i="9"/>
  <c r="CS26" i="9"/>
  <c r="CR26" i="9"/>
  <c r="A23" i="35" s="1"/>
  <c r="CB26" i="9"/>
  <c r="H23" i="35" s="1"/>
  <c r="BZ26" i="9"/>
  <c r="BT26" i="9"/>
  <c r="BQ26" i="9"/>
  <c r="BP26" i="9"/>
  <c r="BO26" i="9"/>
  <c r="BN26" i="9"/>
  <c r="BA26" i="9"/>
  <c r="R26" i="9"/>
  <c r="CS25" i="9"/>
  <c r="CR25" i="9"/>
  <c r="A22" i="35" s="1"/>
  <c r="CB25" i="9"/>
  <c r="H22" i="35" s="1"/>
  <c r="BZ25" i="9"/>
  <c r="BT25" i="9"/>
  <c r="BQ25" i="9"/>
  <c r="BP25" i="9"/>
  <c r="BO25" i="9"/>
  <c r="BN25" i="9"/>
  <c r="BA25" i="9"/>
  <c r="R25" i="9"/>
  <c r="CS24" i="9"/>
  <c r="CR24" i="9"/>
  <c r="A21" i="35" s="1"/>
  <c r="CB24" i="9"/>
  <c r="H21" i="35" s="1"/>
  <c r="BZ24" i="9"/>
  <c r="CW24" i="9" s="1"/>
  <c r="L21" i="35" s="1"/>
  <c r="BT24" i="9"/>
  <c r="BQ24" i="9"/>
  <c r="BP24" i="9"/>
  <c r="BO24" i="9"/>
  <c r="BN24" i="9"/>
  <c r="BA24" i="9"/>
  <c r="R24" i="9"/>
  <c r="CS23" i="9"/>
  <c r="CR23" i="9"/>
  <c r="A20" i="35" s="1"/>
  <c r="CB23" i="9"/>
  <c r="H20" i="35" s="1"/>
  <c r="BZ23" i="9"/>
  <c r="CW23" i="9" s="1"/>
  <c r="L20" i="35" s="1"/>
  <c r="BT23" i="9"/>
  <c r="BQ23" i="9"/>
  <c r="BP23" i="9"/>
  <c r="BO23" i="9"/>
  <c r="BN23" i="9"/>
  <c r="BA23" i="9"/>
  <c r="R23" i="9"/>
  <c r="CS22" i="9"/>
  <c r="CR22" i="9"/>
  <c r="A19" i="35" s="1"/>
  <c r="CB22" i="9"/>
  <c r="H19" i="35" s="1"/>
  <c r="BZ22" i="9"/>
  <c r="CU22" i="9" s="1"/>
  <c r="N19" i="35" s="1"/>
  <c r="BT22" i="9"/>
  <c r="BQ22" i="9"/>
  <c r="BP22" i="9"/>
  <c r="BO22" i="9"/>
  <c r="BN22" i="9"/>
  <c r="BA22" i="9"/>
  <c r="R22" i="9"/>
  <c r="CS21" i="9"/>
  <c r="CR21" i="9"/>
  <c r="A18" i="35" s="1"/>
  <c r="CB21" i="9"/>
  <c r="H18" i="35" s="1"/>
  <c r="BZ21" i="9"/>
  <c r="BT21" i="9"/>
  <c r="BQ21" i="9"/>
  <c r="BP21" i="9"/>
  <c r="BO21" i="9"/>
  <c r="BN21" i="9"/>
  <c r="BA21" i="9"/>
  <c r="R21" i="9"/>
  <c r="CS20" i="9"/>
  <c r="CR20" i="9"/>
  <c r="A17" i="35" s="1"/>
  <c r="CB20" i="9"/>
  <c r="BZ20" i="9"/>
  <c r="BT20" i="9"/>
  <c r="BQ20" i="9"/>
  <c r="BP20" i="9"/>
  <c r="BO20" i="9"/>
  <c r="BN20" i="9"/>
  <c r="BA20" i="9"/>
  <c r="R20" i="9"/>
  <c r="CS19" i="9"/>
  <c r="CR19" i="9"/>
  <c r="A16" i="35" s="1"/>
  <c r="CB19" i="9"/>
  <c r="H16" i="35" s="1"/>
  <c r="BZ19" i="9"/>
  <c r="BT19" i="9"/>
  <c r="BQ19" i="9"/>
  <c r="BP19" i="9"/>
  <c r="BO19" i="9"/>
  <c r="BN19" i="9"/>
  <c r="BA19" i="9"/>
  <c r="R19" i="9"/>
  <c r="CS18" i="9"/>
  <c r="CR18" i="9"/>
  <c r="A15" i="35" s="1"/>
  <c r="CB18" i="9"/>
  <c r="H15" i="35" s="1"/>
  <c r="BZ18" i="9"/>
  <c r="BT18" i="9"/>
  <c r="BQ18" i="9"/>
  <c r="BP18" i="9"/>
  <c r="BO18" i="9"/>
  <c r="BN18" i="9"/>
  <c r="BA18" i="9"/>
  <c r="R18" i="9"/>
  <c r="CS17" i="9"/>
  <c r="CR17" i="9"/>
  <c r="A14" i="35" s="1"/>
  <c r="CB17" i="9"/>
  <c r="H14" i="35" s="1"/>
  <c r="BZ17" i="9"/>
  <c r="BT17" i="9"/>
  <c r="BQ17" i="9"/>
  <c r="BP17" i="9"/>
  <c r="BO17" i="9"/>
  <c r="BN17" i="9"/>
  <c r="BA17" i="9"/>
  <c r="R17" i="9"/>
  <c r="CS16" i="9"/>
  <c r="CR16" i="9"/>
  <c r="A13" i="35" s="1"/>
  <c r="CB16" i="9"/>
  <c r="H13" i="35" s="1"/>
  <c r="BZ16" i="9"/>
  <c r="CT16" i="9" s="1"/>
  <c r="BT16" i="9"/>
  <c r="BQ16" i="9"/>
  <c r="BP16" i="9"/>
  <c r="BO16" i="9"/>
  <c r="BN16" i="9"/>
  <c r="BA16" i="9"/>
  <c r="R16" i="9"/>
  <c r="CS15" i="9"/>
  <c r="CR15" i="9"/>
  <c r="A12" i="35" s="1"/>
  <c r="CB15" i="9"/>
  <c r="BZ15" i="9"/>
  <c r="BT15" i="9"/>
  <c r="BQ15" i="9"/>
  <c r="BP15" i="9"/>
  <c r="BO15" i="9"/>
  <c r="BN15" i="9"/>
  <c r="BA15" i="9"/>
  <c r="R15" i="9"/>
  <c r="CS14" i="9"/>
  <c r="CR14" i="9"/>
  <c r="A11" i="35" s="1"/>
  <c r="CB14" i="9"/>
  <c r="H11" i="35" s="1"/>
  <c r="BZ14" i="9"/>
  <c r="BT14" i="9"/>
  <c r="BQ14" i="9"/>
  <c r="BP14" i="9"/>
  <c r="BO14" i="9"/>
  <c r="BN14" i="9"/>
  <c r="BA14" i="9"/>
  <c r="R14" i="9"/>
  <c r="CS13" i="9"/>
  <c r="CR13" i="9"/>
  <c r="A10" i="35" s="1"/>
  <c r="CB13" i="9"/>
  <c r="H10" i="35" s="1"/>
  <c r="BZ13" i="9"/>
  <c r="CW13" i="9" s="1"/>
  <c r="L10" i="35" s="1"/>
  <c r="BT13" i="9"/>
  <c r="BQ13" i="9"/>
  <c r="BP13" i="9"/>
  <c r="BO13" i="9"/>
  <c r="BN13" i="9"/>
  <c r="BA13" i="9"/>
  <c r="R13" i="9"/>
  <c r="CV12" i="9"/>
  <c r="CU12" i="9"/>
  <c r="N9" i="35" s="1"/>
  <c r="CS12" i="9"/>
  <c r="CR12" i="9"/>
  <c r="A9" i="35" s="1"/>
  <c r="CB12" i="9"/>
  <c r="H9" i="35" s="1"/>
  <c r="BZ12" i="9"/>
  <c r="CT12" i="9" s="1"/>
  <c r="BT12" i="9"/>
  <c r="BQ12" i="9"/>
  <c r="BP12" i="9"/>
  <c r="BO12" i="9"/>
  <c r="BN12" i="9"/>
  <c r="BA12" i="9"/>
  <c r="R12" i="9"/>
  <c r="CS11" i="9"/>
  <c r="CR11" i="9"/>
  <c r="A8" i="35" s="1"/>
  <c r="CB11" i="9"/>
  <c r="H8" i="35" s="1"/>
  <c r="BZ11" i="9"/>
  <c r="BT11" i="9"/>
  <c r="BQ11" i="9"/>
  <c r="BP11" i="9"/>
  <c r="BO11" i="9"/>
  <c r="BN11" i="9"/>
  <c r="BA11" i="9"/>
  <c r="R11" i="9"/>
  <c r="CS10" i="9"/>
  <c r="CR10" i="9"/>
  <c r="A7" i="35" s="1"/>
  <c r="CB10" i="9"/>
  <c r="H7" i="35" s="1"/>
  <c r="BZ10" i="9"/>
  <c r="CT10" i="9" s="1"/>
  <c r="BT10" i="9"/>
  <c r="BQ10" i="9"/>
  <c r="BP10" i="9"/>
  <c r="BO10" i="9"/>
  <c r="BN10" i="9"/>
  <c r="BA10" i="9"/>
  <c r="R10" i="9"/>
  <c r="CW9" i="9"/>
  <c r="L6" i="35" s="1"/>
  <c r="CV9" i="9"/>
  <c r="CS9" i="9"/>
  <c r="CR9" i="9"/>
  <c r="A6" i="35" s="1"/>
  <c r="CB9" i="9"/>
  <c r="H6" i="35" s="1"/>
  <c r="BZ9" i="9"/>
  <c r="BT9" i="9"/>
  <c r="BQ9" i="9"/>
  <c r="BP9" i="9"/>
  <c r="BO9" i="9"/>
  <c r="BN9" i="9"/>
  <c r="BA9" i="9"/>
  <c r="R9" i="9"/>
  <c r="CS8" i="9"/>
  <c r="CR8" i="9"/>
  <c r="A5" i="35" s="1"/>
  <c r="CB8" i="9"/>
  <c r="H5" i="35" s="1"/>
  <c r="BZ8" i="9"/>
  <c r="BT8" i="9"/>
  <c r="BQ8" i="9"/>
  <c r="BP8" i="9"/>
  <c r="BO8" i="9"/>
  <c r="BN8" i="9"/>
  <c r="BA8" i="9"/>
  <c r="R8" i="9"/>
  <c r="CW7" i="9"/>
  <c r="L4" i="35" s="1"/>
  <c r="CS7" i="9"/>
  <c r="CR7" i="9"/>
  <c r="A4" i="35" s="1"/>
  <c r="CB7" i="9"/>
  <c r="H4" i="35" s="1"/>
  <c r="BZ7" i="9"/>
  <c r="CU7" i="9" s="1"/>
  <c r="N4" i="35" s="1"/>
  <c r="BT7" i="9"/>
  <c r="BQ7" i="9"/>
  <c r="BP7" i="9"/>
  <c r="BO7" i="9"/>
  <c r="BN7" i="9"/>
  <c r="BA7" i="9"/>
  <c r="R7" i="9"/>
  <c r="CS6" i="9"/>
  <c r="CR6" i="9"/>
  <c r="A3" i="35" s="1"/>
  <c r="CB6" i="9"/>
  <c r="H3" i="35" s="1"/>
  <c r="BZ6" i="9"/>
  <c r="BT6" i="9"/>
  <c r="BQ6" i="9"/>
  <c r="BP6" i="9"/>
  <c r="BO6" i="9"/>
  <c r="BN6" i="9"/>
  <c r="BA6" i="9"/>
  <c r="R6" i="9"/>
  <c r="CS5" i="9"/>
  <c r="CR5" i="9"/>
  <c r="A2" i="35" s="1"/>
  <c r="CB5" i="9"/>
  <c r="H2" i="35" s="1"/>
  <c r="BZ5" i="9"/>
  <c r="BT5" i="9"/>
  <c r="BQ5" i="9"/>
  <c r="BP5" i="9"/>
  <c r="BO5" i="9"/>
  <c r="BN5" i="9"/>
  <c r="BA5" i="9"/>
  <c r="R5" i="9"/>
  <c r="B386" i="8"/>
  <c r="C386" i="8" s="1"/>
  <c r="B385" i="8"/>
  <c r="C385" i="8" s="1"/>
  <c r="B384" i="8"/>
  <c r="C384" i="8" s="1"/>
  <c r="B383" i="8"/>
  <c r="C383" i="8" s="1"/>
  <c r="B382" i="8"/>
  <c r="C382" i="8" s="1"/>
  <c r="B381" i="8"/>
  <c r="C381" i="8" s="1"/>
  <c r="B380" i="8"/>
  <c r="C380" i="8" s="1"/>
  <c r="B379" i="8"/>
  <c r="C379" i="8" s="1"/>
  <c r="D375" i="8"/>
  <c r="B347" i="8"/>
  <c r="B346" i="8"/>
  <c r="B344" i="8"/>
  <c r="A316" i="8"/>
  <c r="A233" i="8" s="1"/>
  <c r="A315" i="8"/>
  <c r="A314" i="8"/>
  <c r="A313" i="8"/>
  <c r="A312" i="8"/>
  <c r="A311" i="8"/>
  <c r="A310" i="8"/>
  <c r="A309" i="8"/>
  <c r="A226" i="8" s="1"/>
  <c r="D226" i="8" s="1"/>
  <c r="A308" i="8"/>
  <c r="A225" i="8" s="1"/>
  <c r="D225" i="8" s="1"/>
  <c r="A307" i="8"/>
  <c r="A224" i="8" s="1"/>
  <c r="A306" i="8"/>
  <c r="A223" i="8" s="1"/>
  <c r="D223" i="8" s="1"/>
  <c r="A305" i="8"/>
  <c r="A222" i="8" s="1"/>
  <c r="D222" i="8" s="1"/>
  <c r="A304" i="8"/>
  <c r="A221" i="8" s="1"/>
  <c r="D221" i="8" s="1"/>
  <c r="A303" i="8"/>
  <c r="A220" i="8" s="1"/>
  <c r="D220" i="8" s="1"/>
  <c r="A302" i="8"/>
  <c r="A301" i="8"/>
  <c r="A218" i="8" s="1"/>
  <c r="D218" i="8" s="1"/>
  <c r="A300" i="8"/>
  <c r="A217" i="8" s="1"/>
  <c r="K233" i="8"/>
  <c r="J233" i="8"/>
  <c r="G233" i="8"/>
  <c r="K232" i="8"/>
  <c r="J232" i="8"/>
  <c r="G232" i="8"/>
  <c r="A232" i="8"/>
  <c r="D232" i="8" s="1"/>
  <c r="K231" i="8"/>
  <c r="J231" i="8"/>
  <c r="G231" i="8"/>
  <c r="A230" i="8"/>
  <c r="D230" i="8" s="1"/>
  <c r="E230" i="8" s="1"/>
  <c r="A227" i="8"/>
  <c r="D224" i="8"/>
  <c r="F213" i="8"/>
  <c r="B213" i="8"/>
  <c r="P162" i="8"/>
  <c r="N162" i="8"/>
  <c r="L162" i="8"/>
  <c r="D114" i="8"/>
  <c r="F113" i="8"/>
  <c r="D113" i="8"/>
  <c r="B58" i="8"/>
  <c r="R21" i="8"/>
  <c r="B21" i="8"/>
  <c r="B20" i="8"/>
  <c r="B19" i="8"/>
  <c r="B18" i="8"/>
  <c r="B17" i="8"/>
  <c r="B16" i="8"/>
  <c r="B15" i="8"/>
  <c r="R14" i="8"/>
  <c r="B14" i="8"/>
  <c r="R13" i="8"/>
  <c r="B13" i="8"/>
  <c r="B12" i="8"/>
  <c r="B11" i="8"/>
  <c r="B10" i="8"/>
  <c r="B9" i="8"/>
  <c r="B8" i="8"/>
  <c r="B7" i="8"/>
  <c r="B6" i="8"/>
  <c r="B5" i="8"/>
  <c r="AU428" i="7"/>
  <c r="AI428" i="7"/>
  <c r="AH428" i="7"/>
  <c r="AE428" i="7"/>
  <c r="AB428" i="7"/>
  <c r="Z428" i="7"/>
  <c r="H428" i="7" s="1"/>
  <c r="V428" i="7"/>
  <c r="U428" i="7"/>
  <c r="AB923" i="10" s="1"/>
  <c r="T428" i="7"/>
  <c r="G428" i="7"/>
  <c r="U923" i="10" s="1"/>
  <c r="AU427" i="7"/>
  <c r="AI427" i="7"/>
  <c r="AH427" i="7"/>
  <c r="AE427" i="7"/>
  <c r="AB427" i="7"/>
  <c r="Z427" i="7"/>
  <c r="H427" i="7" s="1"/>
  <c r="V427" i="7"/>
  <c r="U427" i="7"/>
  <c r="AB922" i="10" s="1"/>
  <c r="T427" i="7"/>
  <c r="G427" i="7"/>
  <c r="U922" i="10" s="1"/>
  <c r="AU426" i="7"/>
  <c r="AI426" i="7"/>
  <c r="AH426" i="7"/>
  <c r="AE426" i="7"/>
  <c r="AB426" i="7"/>
  <c r="Z426" i="7"/>
  <c r="H426" i="7" s="1"/>
  <c r="AV426" i="7" s="1"/>
  <c r="AY426" i="3" s="1"/>
  <c r="V426" i="7"/>
  <c r="U426" i="7"/>
  <c r="AB921" i="10" s="1"/>
  <c r="T426" i="7"/>
  <c r="G426" i="7"/>
  <c r="U921" i="10" s="1"/>
  <c r="AU425" i="7"/>
  <c r="AI425" i="7"/>
  <c r="AH425" i="7"/>
  <c r="AE425" i="7"/>
  <c r="AB425" i="7"/>
  <c r="Z425" i="7"/>
  <c r="V425" i="7"/>
  <c r="U425" i="7"/>
  <c r="AB920" i="10" s="1"/>
  <c r="T425" i="7"/>
  <c r="H425" i="7"/>
  <c r="G425" i="7"/>
  <c r="U920" i="10" s="1"/>
  <c r="AU424" i="7"/>
  <c r="AI424" i="7"/>
  <c r="AH424" i="7"/>
  <c r="AE424" i="7"/>
  <c r="AB424" i="7"/>
  <c r="Z424" i="7"/>
  <c r="H424" i="7" s="1"/>
  <c r="K424" i="3" s="1"/>
  <c r="V424" i="7"/>
  <c r="U424" i="7"/>
  <c r="AB919" i="10" s="1"/>
  <c r="T424" i="7"/>
  <c r="G424" i="7"/>
  <c r="U919" i="10" s="1"/>
  <c r="AU423" i="7"/>
  <c r="AI423" i="7"/>
  <c r="AH423" i="7"/>
  <c r="AE423" i="7"/>
  <c r="AB423" i="7"/>
  <c r="Z423" i="7"/>
  <c r="H423" i="7" s="1"/>
  <c r="V423" i="7"/>
  <c r="U423" i="7"/>
  <c r="AB918" i="10" s="1"/>
  <c r="T423" i="7"/>
  <c r="G423" i="7"/>
  <c r="U918" i="10" s="1"/>
  <c r="AU422" i="7"/>
  <c r="AI422" i="7"/>
  <c r="AH422" i="7"/>
  <c r="AE422" i="7"/>
  <c r="AB422" i="7"/>
  <c r="Z422" i="7"/>
  <c r="H422" i="7" s="1"/>
  <c r="K422" i="3" s="1"/>
  <c r="V422" i="7"/>
  <c r="U422" i="7"/>
  <c r="AB917" i="10" s="1"/>
  <c r="T422" i="7"/>
  <c r="G422" i="7"/>
  <c r="U917" i="10" s="1"/>
  <c r="AU421" i="7"/>
  <c r="AI421" i="7"/>
  <c r="AH421" i="7"/>
  <c r="AE421" i="7"/>
  <c r="AB421" i="7"/>
  <c r="Z421" i="7"/>
  <c r="H421" i="7" s="1"/>
  <c r="AK421" i="7" s="1"/>
  <c r="AN421" i="3" s="1"/>
  <c r="V421" i="7"/>
  <c r="U421" i="7"/>
  <c r="AB916" i="10" s="1"/>
  <c r="T421" i="7"/>
  <c r="G421" i="7"/>
  <c r="AU420" i="7"/>
  <c r="AI420" i="7"/>
  <c r="AH420" i="7"/>
  <c r="AE420" i="7"/>
  <c r="AB420" i="7"/>
  <c r="Z420" i="7"/>
  <c r="H420" i="7" s="1"/>
  <c r="V420" i="7"/>
  <c r="U420" i="7"/>
  <c r="AB915" i="10" s="1"/>
  <c r="T420" i="7"/>
  <c r="G420" i="7"/>
  <c r="U915" i="10" s="1"/>
  <c r="AU419" i="7"/>
  <c r="AI419" i="7"/>
  <c r="AH419" i="7"/>
  <c r="AE419" i="7"/>
  <c r="AB419" i="7"/>
  <c r="Z419" i="7"/>
  <c r="H419" i="7" s="1"/>
  <c r="K419" i="3" s="1"/>
  <c r="V419" i="7"/>
  <c r="U419" i="7"/>
  <c r="AB914" i="10" s="1"/>
  <c r="T419" i="7"/>
  <c r="G419" i="7"/>
  <c r="U914" i="10" s="1"/>
  <c r="AU418" i="7"/>
  <c r="AI418" i="7"/>
  <c r="AH418" i="7"/>
  <c r="AE418" i="7"/>
  <c r="AB418" i="7"/>
  <c r="Z418" i="7"/>
  <c r="H418" i="7" s="1"/>
  <c r="V418" i="7"/>
  <c r="U418" i="7"/>
  <c r="AB913" i="10" s="1"/>
  <c r="T418" i="7"/>
  <c r="G418" i="7"/>
  <c r="U913" i="10" s="1"/>
  <c r="AU417" i="7"/>
  <c r="AI417" i="7"/>
  <c r="AH417" i="7"/>
  <c r="AE417" i="7"/>
  <c r="AB417" i="7"/>
  <c r="Z417" i="7"/>
  <c r="V417" i="7"/>
  <c r="U417" i="7"/>
  <c r="AB912" i="10" s="1"/>
  <c r="T417" i="7"/>
  <c r="H417" i="7"/>
  <c r="K417" i="3" s="1"/>
  <c r="G417" i="7"/>
  <c r="U912" i="10" s="1"/>
  <c r="AU416" i="7"/>
  <c r="AI416" i="7"/>
  <c r="AH416" i="7"/>
  <c r="AE416" i="7"/>
  <c r="AB416" i="7"/>
  <c r="Z416" i="7"/>
  <c r="H416" i="7" s="1"/>
  <c r="V416" i="7"/>
  <c r="U416" i="7"/>
  <c r="AB911" i="10" s="1"/>
  <c r="T416" i="7"/>
  <c r="G416" i="7"/>
  <c r="U911" i="10" s="1"/>
  <c r="AU415" i="7"/>
  <c r="AI415" i="7"/>
  <c r="AH415" i="7"/>
  <c r="AE415" i="7"/>
  <c r="AB415" i="7"/>
  <c r="Z415" i="7"/>
  <c r="H415" i="7" s="1"/>
  <c r="V415" i="7"/>
  <c r="U415" i="7"/>
  <c r="AB910" i="10" s="1"/>
  <c r="T415" i="7"/>
  <c r="L415" i="7"/>
  <c r="O415" i="3" s="1"/>
  <c r="G415" i="7"/>
  <c r="AU414" i="7"/>
  <c r="AI414" i="7"/>
  <c r="AH414" i="7"/>
  <c r="AE414" i="7"/>
  <c r="AB414" i="7"/>
  <c r="Z414" i="7"/>
  <c r="H414" i="7" s="1"/>
  <c r="V414" i="7"/>
  <c r="U414" i="7"/>
  <c r="AB909" i="10" s="1"/>
  <c r="T414" i="7"/>
  <c r="G414" i="7"/>
  <c r="U909" i="10" s="1"/>
  <c r="AU413" i="7"/>
  <c r="AI413" i="7"/>
  <c r="AH413" i="7"/>
  <c r="AE413" i="7"/>
  <c r="AB413" i="7"/>
  <c r="Z413" i="7"/>
  <c r="H413" i="7" s="1"/>
  <c r="V413" i="7"/>
  <c r="U413" i="7"/>
  <c r="AB908" i="10" s="1"/>
  <c r="T413" i="7"/>
  <c r="G413" i="7"/>
  <c r="U908" i="10" s="1"/>
  <c r="AU412" i="7"/>
  <c r="AI412" i="7"/>
  <c r="AH412" i="7"/>
  <c r="AE412" i="7"/>
  <c r="AB412" i="7"/>
  <c r="Z412" i="7"/>
  <c r="H412" i="7" s="1"/>
  <c r="K412" i="3" s="1"/>
  <c r="V412" i="7"/>
  <c r="U412" i="7"/>
  <c r="AB907" i="10" s="1"/>
  <c r="T412" i="7"/>
  <c r="G412" i="7"/>
  <c r="U907" i="10" s="1"/>
  <c r="AU411" i="7"/>
  <c r="AI411" i="7"/>
  <c r="AH411" i="7"/>
  <c r="AE411" i="7"/>
  <c r="AB411" i="7"/>
  <c r="Z411" i="7"/>
  <c r="H411" i="7" s="1"/>
  <c r="V411" i="7"/>
  <c r="U411" i="7"/>
  <c r="AB906" i="10" s="1"/>
  <c r="T411" i="7"/>
  <c r="G411" i="7"/>
  <c r="U906" i="10" s="1"/>
  <c r="AU410" i="7"/>
  <c r="AI410" i="7"/>
  <c r="AH410" i="7"/>
  <c r="AB410" i="7"/>
  <c r="Z410" i="7"/>
  <c r="H410" i="7" s="1"/>
  <c r="V410" i="7"/>
  <c r="U410" i="7"/>
  <c r="AB905" i="10" s="1"/>
  <c r="T410" i="7"/>
  <c r="G410" i="7"/>
  <c r="U905" i="10" s="1"/>
  <c r="AU409" i="7"/>
  <c r="AI409" i="7"/>
  <c r="AH409" i="7"/>
  <c r="AB409" i="7"/>
  <c r="AE409" i="3" s="1"/>
  <c r="Z409" i="7"/>
  <c r="V409" i="7"/>
  <c r="U409" i="7"/>
  <c r="AB904" i="10" s="1"/>
  <c r="T409" i="7"/>
  <c r="H409" i="7"/>
  <c r="G409" i="7"/>
  <c r="U904" i="10" s="1"/>
  <c r="AU408" i="7"/>
  <c r="AI408" i="7"/>
  <c r="AH408" i="7"/>
  <c r="AB408" i="7"/>
  <c r="AE408" i="3" s="1"/>
  <c r="Z408" i="7"/>
  <c r="H408" i="7" s="1"/>
  <c r="V408" i="7"/>
  <c r="U408" i="7"/>
  <c r="AB903" i="10" s="1"/>
  <c r="T408" i="7"/>
  <c r="G408" i="7"/>
  <c r="U903" i="10" s="1"/>
  <c r="AU407" i="7"/>
  <c r="AI407" i="7"/>
  <c r="AH407" i="7"/>
  <c r="AB407" i="7"/>
  <c r="AE407" i="3" s="1"/>
  <c r="Z407" i="7"/>
  <c r="H407" i="7" s="1"/>
  <c r="V407" i="7"/>
  <c r="U407" i="7"/>
  <c r="AB902" i="10" s="1"/>
  <c r="T407" i="7"/>
  <c r="L407" i="7"/>
  <c r="G407" i="7"/>
  <c r="U902" i="10" s="1"/>
  <c r="AU406" i="7"/>
  <c r="AI406" i="7"/>
  <c r="AH406" i="7"/>
  <c r="AE406" i="7"/>
  <c r="AB406" i="7"/>
  <c r="Z406" i="7"/>
  <c r="H406" i="7" s="1"/>
  <c r="V406" i="7"/>
  <c r="U406" i="7"/>
  <c r="AB901" i="10" s="1"/>
  <c r="T406" i="7"/>
  <c r="G406" i="7"/>
  <c r="U901" i="10" s="1"/>
  <c r="AU405" i="7"/>
  <c r="AI405" i="7"/>
  <c r="AH405" i="7"/>
  <c r="AE405" i="7"/>
  <c r="AB405" i="7"/>
  <c r="Z405" i="7"/>
  <c r="H405" i="7" s="1"/>
  <c r="L405" i="7" s="1"/>
  <c r="O405" i="3" s="1"/>
  <c r="V405" i="7"/>
  <c r="U405" i="7"/>
  <c r="AB900" i="10" s="1"/>
  <c r="T405" i="7"/>
  <c r="G405" i="7"/>
  <c r="U900" i="10" s="1"/>
  <c r="AU404" i="7"/>
  <c r="AI404" i="7"/>
  <c r="AH404" i="7"/>
  <c r="AE404" i="7"/>
  <c r="AB404" i="7"/>
  <c r="Z404" i="7"/>
  <c r="V404" i="7"/>
  <c r="U404" i="7"/>
  <c r="AB899" i="10" s="1"/>
  <c r="T404" i="7"/>
  <c r="H404" i="7"/>
  <c r="G404" i="7"/>
  <c r="U899" i="10" s="1"/>
  <c r="AU403" i="7"/>
  <c r="AI403" i="7"/>
  <c r="AH403" i="7"/>
  <c r="AE403" i="7"/>
  <c r="AB403" i="7"/>
  <c r="Z403" i="7"/>
  <c r="H403" i="7" s="1"/>
  <c r="L403" i="7" s="1"/>
  <c r="O403" i="3" s="1"/>
  <c r="V403" i="7"/>
  <c r="U403" i="7"/>
  <c r="AB898" i="10" s="1"/>
  <c r="T403" i="7"/>
  <c r="G403" i="7"/>
  <c r="U898" i="10" s="1"/>
  <c r="AU402" i="7"/>
  <c r="AI402" i="7"/>
  <c r="AH402" i="7"/>
  <c r="AE402" i="7"/>
  <c r="AB402" i="7"/>
  <c r="Z402" i="7"/>
  <c r="V402" i="7"/>
  <c r="U402" i="7"/>
  <c r="AB897" i="10" s="1"/>
  <c r="T402" i="7"/>
  <c r="H402" i="7"/>
  <c r="G402" i="7"/>
  <c r="U897" i="10" s="1"/>
  <c r="AU401" i="7"/>
  <c r="AI401" i="7"/>
  <c r="AH401" i="7"/>
  <c r="AE401" i="7"/>
  <c r="AB401" i="7"/>
  <c r="Z401" i="7"/>
  <c r="H401" i="7" s="1"/>
  <c r="V401" i="7"/>
  <c r="U401" i="7"/>
  <c r="AB896" i="10" s="1"/>
  <c r="T401" i="7"/>
  <c r="G401" i="7"/>
  <c r="U896" i="10" s="1"/>
  <c r="AU400" i="7"/>
  <c r="AI400" i="7"/>
  <c r="AH400" i="7"/>
  <c r="AE400" i="7"/>
  <c r="AB400" i="7"/>
  <c r="Z400" i="7"/>
  <c r="V400" i="7"/>
  <c r="U400" i="7"/>
  <c r="AB895" i="10" s="1"/>
  <c r="T400" i="7"/>
  <c r="H400" i="7"/>
  <c r="G400" i="7"/>
  <c r="U895" i="10" s="1"/>
  <c r="AU399" i="7"/>
  <c r="AI399" i="7"/>
  <c r="AH399" i="7"/>
  <c r="AE399" i="7"/>
  <c r="AB399" i="7"/>
  <c r="Z399" i="7"/>
  <c r="H399" i="7" s="1"/>
  <c r="V399" i="7"/>
  <c r="U399" i="7"/>
  <c r="AB894" i="10" s="1"/>
  <c r="T399" i="7"/>
  <c r="G399" i="7"/>
  <c r="U894" i="10" s="1"/>
  <c r="AU398" i="7"/>
  <c r="AI398" i="7"/>
  <c r="AH398" i="7"/>
  <c r="AE398" i="7"/>
  <c r="AB398" i="7"/>
  <c r="Z398" i="7"/>
  <c r="H398" i="7" s="1"/>
  <c r="V398" i="7"/>
  <c r="U398" i="7"/>
  <c r="AB893" i="10" s="1"/>
  <c r="T398" i="7"/>
  <c r="G398" i="7"/>
  <c r="U893" i="10" s="1"/>
  <c r="AU397" i="7"/>
  <c r="AI397" i="7"/>
  <c r="AH397" i="7"/>
  <c r="AE397" i="7"/>
  <c r="AB397" i="7"/>
  <c r="Z397" i="7"/>
  <c r="H397" i="7" s="1"/>
  <c r="V397" i="7"/>
  <c r="U397" i="7"/>
  <c r="AB892" i="10" s="1"/>
  <c r="T397" i="7"/>
  <c r="G397" i="7"/>
  <c r="U892" i="10" s="1"/>
  <c r="AU396" i="7"/>
  <c r="AI396" i="7"/>
  <c r="AH396" i="7"/>
  <c r="AE396" i="7"/>
  <c r="AB396" i="7"/>
  <c r="Z396" i="7"/>
  <c r="H396" i="7" s="1"/>
  <c r="V396" i="7"/>
  <c r="U396" i="7"/>
  <c r="AB891" i="10" s="1"/>
  <c r="T396" i="7"/>
  <c r="G396" i="7"/>
  <c r="U891" i="10" s="1"/>
  <c r="AU395" i="7"/>
  <c r="AI395" i="7"/>
  <c r="AH395" i="7"/>
  <c r="AE395" i="7"/>
  <c r="AB395" i="7"/>
  <c r="Z395" i="7"/>
  <c r="H395" i="7" s="1"/>
  <c r="V395" i="7"/>
  <c r="U395" i="7"/>
  <c r="AB890" i="10" s="1"/>
  <c r="T395" i="7"/>
  <c r="G395" i="7"/>
  <c r="U890" i="10" s="1"/>
  <c r="AU394" i="7"/>
  <c r="AI394" i="7"/>
  <c r="AH394" i="7"/>
  <c r="AE394" i="7"/>
  <c r="AB394" i="7"/>
  <c r="Z394" i="7"/>
  <c r="H394" i="7" s="1"/>
  <c r="V394" i="7"/>
  <c r="U394" i="7"/>
  <c r="AB889" i="10" s="1"/>
  <c r="T394" i="7"/>
  <c r="G394" i="7"/>
  <c r="U889" i="10" s="1"/>
  <c r="AU393" i="7"/>
  <c r="AI393" i="7"/>
  <c r="AH393" i="7"/>
  <c r="AE393" i="7"/>
  <c r="AB393" i="7"/>
  <c r="Z393" i="7"/>
  <c r="H393" i="7" s="1"/>
  <c r="V393" i="7"/>
  <c r="U393" i="7"/>
  <c r="AB888" i="10" s="1"/>
  <c r="T393" i="7"/>
  <c r="G393" i="7"/>
  <c r="AU392" i="7"/>
  <c r="AI392" i="7"/>
  <c r="AH392" i="7"/>
  <c r="AE392" i="7"/>
  <c r="AB392" i="7"/>
  <c r="Z392" i="7"/>
  <c r="V392" i="7"/>
  <c r="U392" i="7"/>
  <c r="AB887" i="10" s="1"/>
  <c r="T392" i="7"/>
  <c r="H392" i="7"/>
  <c r="G392" i="7"/>
  <c r="U887" i="10" s="1"/>
  <c r="AU391" i="7"/>
  <c r="AI391" i="7"/>
  <c r="AH391" i="7"/>
  <c r="AE391" i="7"/>
  <c r="AB391" i="7"/>
  <c r="Z391" i="7"/>
  <c r="H391" i="7" s="1"/>
  <c r="V391" i="7"/>
  <c r="U391" i="7"/>
  <c r="AB886" i="10" s="1"/>
  <c r="T391" i="7"/>
  <c r="G391" i="7"/>
  <c r="U886" i="10" s="1"/>
  <c r="AU390" i="7"/>
  <c r="AI390" i="7"/>
  <c r="AH390" i="7"/>
  <c r="AE390" i="7"/>
  <c r="AB390" i="7"/>
  <c r="Z390" i="7"/>
  <c r="H390" i="7" s="1"/>
  <c r="V390" i="7"/>
  <c r="U390" i="7"/>
  <c r="AB885" i="10" s="1"/>
  <c r="T390" i="7"/>
  <c r="G390" i="7"/>
  <c r="U885" i="10" s="1"/>
  <c r="AU389" i="7"/>
  <c r="AI389" i="7"/>
  <c r="AH389" i="7"/>
  <c r="AE389" i="7"/>
  <c r="AB389" i="7"/>
  <c r="Z389" i="7"/>
  <c r="H389" i="7" s="1"/>
  <c r="K389" i="3" s="1"/>
  <c r="V389" i="7"/>
  <c r="U389" i="7"/>
  <c r="AB884" i="10" s="1"/>
  <c r="T389" i="7"/>
  <c r="G389" i="7"/>
  <c r="U884" i="10" s="1"/>
  <c r="AU388" i="7"/>
  <c r="AI388" i="7"/>
  <c r="AH388" i="7"/>
  <c r="AE388" i="7"/>
  <c r="AB388" i="7"/>
  <c r="Z388" i="7"/>
  <c r="H388" i="7" s="1"/>
  <c r="V388" i="7"/>
  <c r="U388" i="7"/>
  <c r="AB883" i="10" s="1"/>
  <c r="T388" i="7"/>
  <c r="G388" i="7"/>
  <c r="U883" i="10" s="1"/>
  <c r="AU387" i="7"/>
  <c r="AI387" i="7"/>
  <c r="AH387" i="7"/>
  <c r="AE387" i="7"/>
  <c r="AB387" i="7"/>
  <c r="Z387" i="7"/>
  <c r="V387" i="7"/>
  <c r="U387" i="7"/>
  <c r="AB882" i="10" s="1"/>
  <c r="T387" i="7"/>
  <c r="H387" i="7"/>
  <c r="G387" i="7"/>
  <c r="U882" i="10" s="1"/>
  <c r="AU386" i="7"/>
  <c r="AI386" i="7"/>
  <c r="AH386" i="7"/>
  <c r="AE386" i="7"/>
  <c r="AB386" i="7"/>
  <c r="Z386" i="7"/>
  <c r="H386" i="7" s="1"/>
  <c r="V386" i="7"/>
  <c r="U386" i="7"/>
  <c r="AB881" i="10" s="1"/>
  <c r="T386" i="7"/>
  <c r="G386" i="7"/>
  <c r="U881" i="10" s="1"/>
  <c r="AU385" i="7"/>
  <c r="AI385" i="7"/>
  <c r="AH385" i="7"/>
  <c r="AE385" i="7"/>
  <c r="AB385" i="7"/>
  <c r="Z385" i="7"/>
  <c r="V385" i="7"/>
  <c r="U385" i="7"/>
  <c r="AB880" i="10" s="1"/>
  <c r="T385" i="7"/>
  <c r="H385" i="7"/>
  <c r="G385" i="7"/>
  <c r="U880" i="10" s="1"/>
  <c r="AU384" i="7"/>
  <c r="AI384" i="7"/>
  <c r="AH384" i="7"/>
  <c r="AE384" i="7"/>
  <c r="AB384" i="7"/>
  <c r="Z384" i="7"/>
  <c r="V384" i="7"/>
  <c r="U384" i="7"/>
  <c r="AB879" i="10" s="1"/>
  <c r="T384" i="7"/>
  <c r="H384" i="7"/>
  <c r="G384" i="7"/>
  <c r="U879" i="10" s="1"/>
  <c r="AU383" i="7"/>
  <c r="AI383" i="7"/>
  <c r="AH383" i="7"/>
  <c r="AE383" i="7"/>
  <c r="AB383" i="7"/>
  <c r="Z383" i="7"/>
  <c r="H383" i="7" s="1"/>
  <c r="V383" i="7"/>
  <c r="U383" i="7"/>
  <c r="AB878" i="10" s="1"/>
  <c r="T383" i="7"/>
  <c r="G383" i="7"/>
  <c r="U878" i="10" s="1"/>
  <c r="AU382" i="7"/>
  <c r="AI382" i="7"/>
  <c r="AH382" i="7"/>
  <c r="AE382" i="7"/>
  <c r="AB382" i="7"/>
  <c r="Z382" i="7"/>
  <c r="H382" i="7" s="1"/>
  <c r="K382" i="3" s="1"/>
  <c r="V382" i="7"/>
  <c r="U382" i="7"/>
  <c r="AB877" i="10" s="1"/>
  <c r="T382" i="7"/>
  <c r="G382" i="7"/>
  <c r="U877" i="10" s="1"/>
  <c r="AU381" i="7"/>
  <c r="AI381" i="7"/>
  <c r="AH381" i="7"/>
  <c r="AE381" i="7"/>
  <c r="AB381" i="7"/>
  <c r="Z381" i="7"/>
  <c r="H381" i="7" s="1"/>
  <c r="L381" i="7" s="1"/>
  <c r="O381" i="3" s="1"/>
  <c r="V381" i="7"/>
  <c r="U381" i="7"/>
  <c r="AB876" i="10" s="1"/>
  <c r="T381" i="7"/>
  <c r="G381" i="7"/>
  <c r="U876" i="10" s="1"/>
  <c r="AU380" i="7"/>
  <c r="AI380" i="7"/>
  <c r="AH380" i="7"/>
  <c r="AE380" i="7"/>
  <c r="AB380" i="7"/>
  <c r="Z380" i="7"/>
  <c r="V380" i="7"/>
  <c r="U380" i="7"/>
  <c r="AB875" i="10" s="1"/>
  <c r="T380" i="7"/>
  <c r="H380" i="7"/>
  <c r="G380" i="7"/>
  <c r="U875" i="10" s="1"/>
  <c r="AU379" i="7"/>
  <c r="AI379" i="7"/>
  <c r="AH379" i="7"/>
  <c r="AE379" i="7"/>
  <c r="AB379" i="7"/>
  <c r="Z379" i="7"/>
  <c r="H379" i="7" s="1"/>
  <c r="AV379" i="7" s="1"/>
  <c r="AY379" i="3" s="1"/>
  <c r="V379" i="7"/>
  <c r="U379" i="7"/>
  <c r="AB874" i="10" s="1"/>
  <c r="T379" i="7"/>
  <c r="G379" i="7"/>
  <c r="U874" i="10" s="1"/>
  <c r="AU378" i="7"/>
  <c r="AI378" i="7"/>
  <c r="AH378" i="7"/>
  <c r="AB378" i="7"/>
  <c r="AE378" i="3" s="1"/>
  <c r="Z378" i="7"/>
  <c r="H378" i="7" s="1"/>
  <c r="V378" i="7"/>
  <c r="U378" i="7"/>
  <c r="AB873" i="10" s="1"/>
  <c r="T378" i="7"/>
  <c r="G378" i="7"/>
  <c r="U873" i="10" s="1"/>
  <c r="AU377" i="7"/>
  <c r="AI377" i="7"/>
  <c r="AH377" i="7"/>
  <c r="AB377" i="7"/>
  <c r="AE377" i="3" s="1"/>
  <c r="Z377" i="7"/>
  <c r="H377" i="7" s="1"/>
  <c r="V377" i="7"/>
  <c r="U377" i="7"/>
  <c r="AB872" i="10" s="1"/>
  <c r="T377" i="7"/>
  <c r="G377" i="7"/>
  <c r="U872" i="10" s="1"/>
  <c r="AU376" i="7"/>
  <c r="AI376" i="7"/>
  <c r="AH376" i="7"/>
  <c r="AB376" i="7"/>
  <c r="AE376" i="3" s="1"/>
  <c r="Z376" i="7"/>
  <c r="H376" i="7" s="1"/>
  <c r="J376" i="7" s="1"/>
  <c r="M376" i="3" s="1"/>
  <c r="V376" i="7"/>
  <c r="U376" i="7"/>
  <c r="AB871" i="10" s="1"/>
  <c r="T376" i="7"/>
  <c r="G376" i="7"/>
  <c r="U871" i="10" s="1"/>
  <c r="AU375" i="7"/>
  <c r="AI375" i="7"/>
  <c r="AH375" i="7"/>
  <c r="AB375" i="7"/>
  <c r="AE375" i="3" s="1"/>
  <c r="Z375" i="7"/>
  <c r="H375" i="7" s="1"/>
  <c r="K375" i="3" s="1"/>
  <c r="V375" i="7"/>
  <c r="U375" i="7"/>
  <c r="AB870" i="10" s="1"/>
  <c r="T375" i="7"/>
  <c r="G375" i="7"/>
  <c r="U870" i="10" s="1"/>
  <c r="AU374" i="7"/>
  <c r="AI374" i="7"/>
  <c r="AH374" i="7"/>
  <c r="AB374" i="7"/>
  <c r="AE374" i="3" s="1"/>
  <c r="Z374" i="7"/>
  <c r="H374" i="7" s="1"/>
  <c r="V374" i="7"/>
  <c r="U374" i="7"/>
  <c r="AB869" i="10" s="1"/>
  <c r="T374" i="7"/>
  <c r="G374" i="7"/>
  <c r="AU373" i="7"/>
  <c r="AI373" i="7"/>
  <c r="AH373" i="7"/>
  <c r="AB373" i="7"/>
  <c r="AE373" i="3" s="1"/>
  <c r="Z373" i="7"/>
  <c r="H373" i="7" s="1"/>
  <c r="V373" i="7"/>
  <c r="U373" i="7"/>
  <c r="AB868" i="10" s="1"/>
  <c r="T373" i="7"/>
  <c r="G373" i="7"/>
  <c r="U868" i="10" s="1"/>
  <c r="AU372" i="7"/>
  <c r="AI372" i="7"/>
  <c r="AH372" i="7"/>
  <c r="AE372" i="7"/>
  <c r="AB372" i="7"/>
  <c r="Z372" i="7"/>
  <c r="H372" i="7" s="1"/>
  <c r="V372" i="7"/>
  <c r="U372" i="7"/>
  <c r="AB867" i="10" s="1"/>
  <c r="T372" i="7"/>
  <c r="G372" i="7"/>
  <c r="U867" i="10" s="1"/>
  <c r="AU371" i="7"/>
  <c r="AI371" i="7"/>
  <c r="AH371" i="7"/>
  <c r="AE371" i="7"/>
  <c r="AB371" i="7"/>
  <c r="Z371" i="7"/>
  <c r="V371" i="7"/>
  <c r="U371" i="7"/>
  <c r="AB866" i="10" s="1"/>
  <c r="T371" i="7"/>
  <c r="H371" i="7"/>
  <c r="L371" i="7" s="1"/>
  <c r="O371" i="3" s="1"/>
  <c r="G371" i="7"/>
  <c r="U866" i="10" s="1"/>
  <c r="AU370" i="7"/>
  <c r="AI370" i="7"/>
  <c r="AH370" i="7"/>
  <c r="AE370" i="7"/>
  <c r="AB370" i="7"/>
  <c r="Z370" i="7"/>
  <c r="H370" i="7" s="1"/>
  <c r="K370" i="3" s="1"/>
  <c r="V370" i="7"/>
  <c r="U370" i="7"/>
  <c r="AB865" i="10" s="1"/>
  <c r="T370" i="7"/>
  <c r="G370" i="7"/>
  <c r="U865" i="10" s="1"/>
  <c r="AU369" i="7"/>
  <c r="AI369" i="7"/>
  <c r="AH369" i="7"/>
  <c r="AE369" i="7"/>
  <c r="AB369" i="7"/>
  <c r="Z369" i="7"/>
  <c r="H369" i="7" s="1"/>
  <c r="V369" i="7"/>
  <c r="U369" i="7"/>
  <c r="AB864" i="10" s="1"/>
  <c r="T369" i="7"/>
  <c r="G369" i="7"/>
  <c r="U864" i="10" s="1"/>
  <c r="AU368" i="7"/>
  <c r="AI368" i="7"/>
  <c r="AH368" i="7"/>
  <c r="AE368" i="7"/>
  <c r="AB368" i="7"/>
  <c r="Z368" i="7"/>
  <c r="H368" i="7" s="1"/>
  <c r="V368" i="7"/>
  <c r="U368" i="7"/>
  <c r="AB863" i="10" s="1"/>
  <c r="T368" i="7"/>
  <c r="G368" i="7"/>
  <c r="U863" i="10" s="1"/>
  <c r="AU367" i="7"/>
  <c r="AI367" i="7"/>
  <c r="AH367" i="7"/>
  <c r="AE367" i="7"/>
  <c r="AB367" i="7"/>
  <c r="Z367" i="7"/>
  <c r="H367" i="7" s="1"/>
  <c r="K367" i="3" s="1"/>
  <c r="V367" i="7"/>
  <c r="U367" i="7"/>
  <c r="AB862" i="10" s="1"/>
  <c r="T367" i="7"/>
  <c r="G367" i="7"/>
  <c r="U862" i="10" s="1"/>
  <c r="AU366" i="7"/>
  <c r="AI366" i="7"/>
  <c r="AH366" i="7"/>
  <c r="AE366" i="7"/>
  <c r="AB366" i="7"/>
  <c r="Z366" i="7"/>
  <c r="H366" i="7" s="1"/>
  <c r="V366" i="7"/>
  <c r="U366" i="7"/>
  <c r="AB861" i="10" s="1"/>
  <c r="T366" i="7"/>
  <c r="G366" i="7"/>
  <c r="U861" i="10" s="1"/>
  <c r="AV365" i="7"/>
  <c r="AY365" i="3" s="1"/>
  <c r="AU365" i="7"/>
  <c r="AI365" i="7"/>
  <c r="AH365" i="7"/>
  <c r="AE365" i="7"/>
  <c r="AB365" i="7"/>
  <c r="Z365" i="7"/>
  <c r="H365" i="7" s="1"/>
  <c r="L365" i="7" s="1"/>
  <c r="O365" i="3" s="1"/>
  <c r="V365" i="7"/>
  <c r="U365" i="7"/>
  <c r="AB860" i="10" s="1"/>
  <c r="T365" i="7"/>
  <c r="G365" i="7"/>
  <c r="U860" i="10" s="1"/>
  <c r="AU364" i="7"/>
  <c r="AI364" i="7"/>
  <c r="AH364" i="7"/>
  <c r="AE364" i="7"/>
  <c r="AB364" i="7"/>
  <c r="Z364" i="7"/>
  <c r="H364" i="7" s="1"/>
  <c r="V364" i="7"/>
  <c r="U364" i="7"/>
  <c r="AB859" i="10" s="1"/>
  <c r="T364" i="7"/>
  <c r="G364" i="7"/>
  <c r="U859" i="10" s="1"/>
  <c r="AU363" i="7"/>
  <c r="AI363" i="7"/>
  <c r="AH363" i="7"/>
  <c r="AE363" i="7"/>
  <c r="AB363" i="7"/>
  <c r="Z363" i="7"/>
  <c r="H363" i="7" s="1"/>
  <c r="K363" i="3" s="1"/>
  <c r="V363" i="7"/>
  <c r="U363" i="7"/>
  <c r="AB858" i="10" s="1"/>
  <c r="T363" i="7"/>
  <c r="G363" i="7"/>
  <c r="U858" i="10" s="1"/>
  <c r="AU362" i="7"/>
  <c r="AI362" i="7"/>
  <c r="AH362" i="7"/>
  <c r="AE362" i="7"/>
  <c r="AB362" i="7"/>
  <c r="Z362" i="7"/>
  <c r="H362" i="7" s="1"/>
  <c r="V362" i="7"/>
  <c r="U362" i="7"/>
  <c r="AB857" i="10" s="1"/>
  <c r="T362" i="7"/>
  <c r="G362" i="7"/>
  <c r="U857" i="10" s="1"/>
  <c r="AU361" i="7"/>
  <c r="AI361" i="7"/>
  <c r="AH361" i="7"/>
  <c r="AE361" i="7"/>
  <c r="AB361" i="7"/>
  <c r="Z361" i="7"/>
  <c r="H361" i="7" s="1"/>
  <c r="K361" i="3" s="1"/>
  <c r="V361" i="7"/>
  <c r="U361" i="7"/>
  <c r="AB856" i="10" s="1"/>
  <c r="T361" i="7"/>
  <c r="G361" i="7"/>
  <c r="U856" i="10" s="1"/>
  <c r="AU360" i="7"/>
  <c r="AI360" i="7"/>
  <c r="AH360" i="7"/>
  <c r="AE360" i="7"/>
  <c r="AB360" i="7"/>
  <c r="Z360" i="7"/>
  <c r="H360" i="7" s="1"/>
  <c r="V360" i="7"/>
  <c r="U360" i="7"/>
  <c r="AB855" i="10" s="1"/>
  <c r="T360" i="7"/>
  <c r="G360" i="7"/>
  <c r="U855" i="10" s="1"/>
  <c r="AU359" i="7"/>
  <c r="AI359" i="7"/>
  <c r="AH359" i="7"/>
  <c r="AE359" i="7"/>
  <c r="AB359" i="7"/>
  <c r="Z359" i="7"/>
  <c r="H359" i="7" s="1"/>
  <c r="V359" i="7"/>
  <c r="U359" i="7"/>
  <c r="AB854" i="10" s="1"/>
  <c r="T359" i="7"/>
  <c r="G359" i="7"/>
  <c r="U854" i="10" s="1"/>
  <c r="AU358" i="7"/>
  <c r="AI358" i="7"/>
  <c r="AH358" i="7"/>
  <c r="AE358" i="7"/>
  <c r="AB358" i="7"/>
  <c r="Z358" i="7"/>
  <c r="H358" i="7" s="1"/>
  <c r="V358" i="7"/>
  <c r="U358" i="7"/>
  <c r="AB853" i="10" s="1"/>
  <c r="T358" i="7"/>
  <c r="L358" i="7"/>
  <c r="O358" i="3" s="1"/>
  <c r="G358" i="7"/>
  <c r="U853" i="10" s="1"/>
  <c r="AU357" i="7"/>
  <c r="AI357" i="7"/>
  <c r="AH357" i="7"/>
  <c r="AE357" i="7"/>
  <c r="AB357" i="7"/>
  <c r="Z357" i="7"/>
  <c r="H357" i="7" s="1"/>
  <c r="V357" i="7"/>
  <c r="U357" i="7"/>
  <c r="AB852" i="10" s="1"/>
  <c r="T357" i="7"/>
  <c r="G357" i="7"/>
  <c r="U852" i="10" s="1"/>
  <c r="AU356" i="7"/>
  <c r="AI356" i="7"/>
  <c r="AK356" i="7" s="1"/>
  <c r="AN356" i="3" s="1"/>
  <c r="AH356" i="7"/>
  <c r="AE356" i="7"/>
  <c r="AB356" i="7"/>
  <c r="Z356" i="7"/>
  <c r="H356" i="7" s="1"/>
  <c r="V356" i="7"/>
  <c r="U356" i="7"/>
  <c r="AB851" i="10" s="1"/>
  <c r="T356" i="7"/>
  <c r="G356" i="7"/>
  <c r="U851" i="10" s="1"/>
  <c r="AU355" i="7"/>
  <c r="AI355" i="7"/>
  <c r="AH355" i="7"/>
  <c r="AE355" i="7"/>
  <c r="AB355" i="7"/>
  <c r="Z355" i="7"/>
  <c r="H355" i="7" s="1"/>
  <c r="AJ355" i="7" s="1"/>
  <c r="AM355" i="3" s="1"/>
  <c r="V355" i="7"/>
  <c r="U355" i="7"/>
  <c r="AB850" i="10" s="1"/>
  <c r="T355" i="7"/>
  <c r="G355" i="7"/>
  <c r="U850" i="10" s="1"/>
  <c r="AU354" i="7"/>
  <c r="AI354" i="7"/>
  <c r="AH354" i="7"/>
  <c r="AE354" i="7"/>
  <c r="AB354" i="7"/>
  <c r="Z354" i="7"/>
  <c r="H354" i="7" s="1"/>
  <c r="V354" i="7"/>
  <c r="U354" i="7"/>
  <c r="AB849" i="10" s="1"/>
  <c r="T354" i="7"/>
  <c r="G354" i="7"/>
  <c r="U849" i="10" s="1"/>
  <c r="AU353" i="7"/>
  <c r="AI353" i="7"/>
  <c r="AH353" i="7"/>
  <c r="AE353" i="7"/>
  <c r="AB353" i="7"/>
  <c r="Z353" i="7"/>
  <c r="H353" i="7" s="1"/>
  <c r="V353" i="7"/>
  <c r="U353" i="7"/>
  <c r="AB848" i="10" s="1"/>
  <c r="T353" i="7"/>
  <c r="G353" i="7"/>
  <c r="U848" i="10" s="1"/>
  <c r="AU352" i="7"/>
  <c r="AI352" i="7"/>
  <c r="AH352" i="7"/>
  <c r="AE352" i="7"/>
  <c r="AB352" i="7"/>
  <c r="Z352" i="7"/>
  <c r="H352" i="7" s="1"/>
  <c r="L352" i="7" s="1"/>
  <c r="O352" i="3" s="1"/>
  <c r="V352" i="7"/>
  <c r="U352" i="7"/>
  <c r="AB847" i="10" s="1"/>
  <c r="T352" i="7"/>
  <c r="G352" i="7"/>
  <c r="U847" i="10" s="1"/>
  <c r="AU351" i="7"/>
  <c r="AI351" i="7"/>
  <c r="AH351" i="7"/>
  <c r="AE351" i="7"/>
  <c r="AB351" i="7"/>
  <c r="Z351" i="7"/>
  <c r="H351" i="7" s="1"/>
  <c r="V351" i="7"/>
  <c r="U351" i="7"/>
  <c r="AB846" i="10" s="1"/>
  <c r="T351" i="7"/>
  <c r="G351" i="7"/>
  <c r="AU350" i="7"/>
  <c r="AI350" i="7"/>
  <c r="AH350" i="7"/>
  <c r="AB350" i="7"/>
  <c r="AE350" i="3" s="1"/>
  <c r="Z350" i="7"/>
  <c r="H350" i="7" s="1"/>
  <c r="K350" i="3" s="1"/>
  <c r="V350" i="7"/>
  <c r="U350" i="7"/>
  <c r="AB845" i="10" s="1"/>
  <c r="T350" i="7"/>
  <c r="G350" i="7"/>
  <c r="U845" i="10" s="1"/>
  <c r="AU349" i="7"/>
  <c r="AI349" i="7"/>
  <c r="AH349" i="7"/>
  <c r="AB349" i="7"/>
  <c r="Z349" i="7"/>
  <c r="H349" i="7" s="1"/>
  <c r="V349" i="7"/>
  <c r="U349" i="7"/>
  <c r="AB844" i="10" s="1"/>
  <c r="T349" i="7"/>
  <c r="G349" i="7"/>
  <c r="U844" i="10" s="1"/>
  <c r="AU348" i="7"/>
  <c r="AI348" i="7"/>
  <c r="AH348" i="7"/>
  <c r="AB348" i="7"/>
  <c r="AE348" i="3" s="1"/>
  <c r="Z348" i="7"/>
  <c r="H348" i="7" s="1"/>
  <c r="V348" i="7"/>
  <c r="U348" i="7"/>
  <c r="AB843" i="10" s="1"/>
  <c r="T348" i="7"/>
  <c r="G348" i="7"/>
  <c r="U843" i="10" s="1"/>
  <c r="AU347" i="7"/>
  <c r="AI347" i="7"/>
  <c r="AH347" i="7"/>
  <c r="AB347" i="7"/>
  <c r="AE347" i="3" s="1"/>
  <c r="Z347" i="7"/>
  <c r="H347" i="7" s="1"/>
  <c r="H842" i="10" s="1"/>
  <c r="G842" i="10" s="1"/>
  <c r="G344" i="34" s="1"/>
  <c r="V347" i="7"/>
  <c r="U347" i="7"/>
  <c r="AB842" i="10" s="1"/>
  <c r="T347" i="7"/>
  <c r="G347" i="7"/>
  <c r="AU346" i="7"/>
  <c r="AI346" i="7"/>
  <c r="AH346" i="7"/>
  <c r="AB346" i="7"/>
  <c r="AE346" i="3" s="1"/>
  <c r="Z346" i="7"/>
  <c r="V346" i="7"/>
  <c r="U346" i="7"/>
  <c r="AB841" i="10" s="1"/>
  <c r="T346" i="7"/>
  <c r="H346" i="7"/>
  <c r="G346" i="7"/>
  <c r="U841" i="10" s="1"/>
  <c r="AU345" i="7"/>
  <c r="AI345" i="7"/>
  <c r="AH345" i="7"/>
  <c r="AE345" i="7"/>
  <c r="AB345" i="7"/>
  <c r="Z345" i="7"/>
  <c r="H345" i="7" s="1"/>
  <c r="V345" i="7"/>
  <c r="U345" i="7"/>
  <c r="AB840" i="10" s="1"/>
  <c r="T345" i="7"/>
  <c r="G345" i="7"/>
  <c r="U840" i="10" s="1"/>
  <c r="AU344" i="7"/>
  <c r="AI344" i="7"/>
  <c r="AH344" i="7"/>
  <c r="AE344" i="7"/>
  <c r="AB344" i="7"/>
  <c r="Z344" i="7"/>
  <c r="H344" i="7" s="1"/>
  <c r="V344" i="7"/>
  <c r="U344" i="7"/>
  <c r="AB839" i="10" s="1"/>
  <c r="T344" i="7"/>
  <c r="G344" i="7"/>
  <c r="AU343" i="7"/>
  <c r="AI343" i="7"/>
  <c r="AH343" i="7"/>
  <c r="AE343" i="7"/>
  <c r="AB343" i="7"/>
  <c r="Z343" i="7"/>
  <c r="H343" i="7" s="1"/>
  <c r="K343" i="3" s="1"/>
  <c r="V343" i="7"/>
  <c r="U343" i="7"/>
  <c r="AB838" i="10" s="1"/>
  <c r="T343" i="7"/>
  <c r="G343" i="7"/>
  <c r="U838" i="10" s="1"/>
  <c r="AU342" i="7"/>
  <c r="AI342" i="7"/>
  <c r="AH342" i="7"/>
  <c r="AE342" i="7"/>
  <c r="AB342" i="7"/>
  <c r="Z342" i="7"/>
  <c r="H342" i="7" s="1"/>
  <c r="AJ342" i="7" s="1"/>
  <c r="AM342" i="3" s="1"/>
  <c r="V342" i="7"/>
  <c r="U342" i="7"/>
  <c r="AB837" i="10" s="1"/>
  <c r="T342" i="7"/>
  <c r="G342" i="7"/>
  <c r="U837" i="10" s="1"/>
  <c r="AU341" i="7"/>
  <c r="AI341" i="7"/>
  <c r="AH341" i="7"/>
  <c r="AE341" i="7"/>
  <c r="AB341" i="7"/>
  <c r="Z341" i="7"/>
  <c r="H341" i="7" s="1"/>
  <c r="L341" i="7" s="1"/>
  <c r="O341" i="3" s="1"/>
  <c r="V341" i="7"/>
  <c r="U341" i="7"/>
  <c r="AB836" i="10" s="1"/>
  <c r="T341" i="7"/>
  <c r="G341" i="7"/>
  <c r="U836" i="10" s="1"/>
  <c r="AU340" i="7"/>
  <c r="AI340" i="7"/>
  <c r="AH340" i="7"/>
  <c r="AE340" i="7"/>
  <c r="AB340" i="7"/>
  <c r="Z340" i="7"/>
  <c r="V340" i="7"/>
  <c r="U340" i="7"/>
  <c r="AB835" i="10" s="1"/>
  <c r="T340" i="7"/>
  <c r="H340" i="7"/>
  <c r="G340" i="7"/>
  <c r="U835" i="10" s="1"/>
  <c r="AU339" i="7"/>
  <c r="AI339" i="7"/>
  <c r="AH339" i="7"/>
  <c r="AE339" i="7"/>
  <c r="AB339" i="7"/>
  <c r="Z339" i="7"/>
  <c r="H339" i="7" s="1"/>
  <c r="V339" i="7"/>
  <c r="U339" i="7"/>
  <c r="AB834" i="10" s="1"/>
  <c r="T339" i="7"/>
  <c r="G339" i="7"/>
  <c r="U834" i="10" s="1"/>
  <c r="AU338" i="7"/>
  <c r="AI338" i="7"/>
  <c r="AH338" i="7"/>
  <c r="AE338" i="7"/>
  <c r="AB338" i="7"/>
  <c r="Z338" i="7"/>
  <c r="H338" i="7" s="1"/>
  <c r="V338" i="7"/>
  <c r="U338" i="7"/>
  <c r="AB833" i="10" s="1"/>
  <c r="T338" i="7"/>
  <c r="G338" i="7"/>
  <c r="U833" i="10" s="1"/>
  <c r="AU337" i="7"/>
  <c r="AI337" i="7"/>
  <c r="AH337" i="7"/>
  <c r="AE337" i="7"/>
  <c r="AB337" i="7"/>
  <c r="Z337" i="7"/>
  <c r="H337" i="7" s="1"/>
  <c r="K337" i="3" s="1"/>
  <c r="V337" i="7"/>
  <c r="U337" i="7"/>
  <c r="AB832" i="10" s="1"/>
  <c r="T337" i="7"/>
  <c r="G337" i="7"/>
  <c r="U832" i="10" s="1"/>
  <c r="AU336" i="7"/>
  <c r="AI336" i="7"/>
  <c r="AH336" i="7"/>
  <c r="AE336" i="7"/>
  <c r="AB336" i="7"/>
  <c r="Z336" i="7"/>
  <c r="H336" i="7" s="1"/>
  <c r="V336" i="7"/>
  <c r="U336" i="7"/>
  <c r="AB831" i="10" s="1"/>
  <c r="T336" i="7"/>
  <c r="G336" i="7"/>
  <c r="U831" i="10" s="1"/>
  <c r="AU335" i="7"/>
  <c r="AI335" i="7"/>
  <c r="AH335" i="7"/>
  <c r="AE335" i="7"/>
  <c r="AB335" i="7"/>
  <c r="Z335" i="7"/>
  <c r="H335" i="7" s="1"/>
  <c r="V335" i="7"/>
  <c r="U335" i="7"/>
  <c r="AB830" i="10" s="1"/>
  <c r="T335" i="7"/>
  <c r="G335" i="7"/>
  <c r="U830" i="10" s="1"/>
  <c r="AU334" i="7"/>
  <c r="AI334" i="7"/>
  <c r="AH334" i="7"/>
  <c r="AE334" i="7"/>
  <c r="AB334" i="7"/>
  <c r="Z334" i="7"/>
  <c r="H334" i="7" s="1"/>
  <c r="K334" i="3" s="1"/>
  <c r="V334" i="7"/>
  <c r="U334" i="7"/>
  <c r="AB829" i="10" s="1"/>
  <c r="T334" i="7"/>
  <c r="G334" i="7"/>
  <c r="U829" i="10" s="1"/>
  <c r="AU333" i="7"/>
  <c r="AI333" i="7"/>
  <c r="AH333" i="7"/>
  <c r="AE333" i="7"/>
  <c r="AB333" i="7"/>
  <c r="Z333" i="7"/>
  <c r="H333" i="7" s="1"/>
  <c r="K333" i="3" s="1"/>
  <c r="V333" i="7"/>
  <c r="U333" i="7"/>
  <c r="AB828" i="10" s="1"/>
  <c r="T333" i="7"/>
  <c r="G333" i="7"/>
  <c r="U828" i="10" s="1"/>
  <c r="AU332" i="7"/>
  <c r="AI332" i="7"/>
  <c r="AH332" i="7"/>
  <c r="AE332" i="7"/>
  <c r="AB332" i="7"/>
  <c r="Z332" i="7"/>
  <c r="H332" i="7" s="1"/>
  <c r="V332" i="7"/>
  <c r="U332" i="7"/>
  <c r="AB827" i="10" s="1"/>
  <c r="T332" i="7"/>
  <c r="G332" i="7"/>
  <c r="U827" i="10" s="1"/>
  <c r="AU331" i="7"/>
  <c r="AI331" i="7"/>
  <c r="AH331" i="7"/>
  <c r="AE331" i="7"/>
  <c r="AB331" i="7"/>
  <c r="Z331" i="7"/>
  <c r="H331" i="7" s="1"/>
  <c r="V331" i="7"/>
  <c r="U331" i="7"/>
  <c r="AB826" i="10" s="1"/>
  <c r="T331" i="7"/>
  <c r="G331" i="7"/>
  <c r="U826" i="10" s="1"/>
  <c r="AU330" i="7"/>
  <c r="AI330" i="7"/>
  <c r="AK330" i="7" s="1"/>
  <c r="AN330" i="3" s="1"/>
  <c r="AH330" i="7"/>
  <c r="AE330" i="7"/>
  <c r="AB330" i="7"/>
  <c r="Z330" i="7"/>
  <c r="H330" i="7" s="1"/>
  <c r="V330" i="7"/>
  <c r="U330" i="7"/>
  <c r="AB825" i="10" s="1"/>
  <c r="T330" i="7"/>
  <c r="G330" i="7"/>
  <c r="U825" i="10" s="1"/>
  <c r="AU329" i="7"/>
  <c r="AI329" i="7"/>
  <c r="AH329" i="7"/>
  <c r="AB329" i="7"/>
  <c r="AE329" i="3" s="1"/>
  <c r="Z329" i="7"/>
  <c r="H329" i="7" s="1"/>
  <c r="V329" i="7"/>
  <c r="U329" i="7"/>
  <c r="AB824" i="10" s="1"/>
  <c r="T329" i="7"/>
  <c r="G329" i="7"/>
  <c r="AU328" i="7"/>
  <c r="AI328" i="7"/>
  <c r="AH328" i="7"/>
  <c r="AB328" i="7"/>
  <c r="AE328" i="3" s="1"/>
  <c r="Z328" i="7"/>
  <c r="H328" i="7" s="1"/>
  <c r="V328" i="7"/>
  <c r="U328" i="7"/>
  <c r="AB823" i="10" s="1"/>
  <c r="T328" i="7"/>
  <c r="G328" i="7"/>
  <c r="U823" i="10" s="1"/>
  <c r="AU327" i="7"/>
  <c r="AI327" i="7"/>
  <c r="AH327" i="7"/>
  <c r="AB327" i="7"/>
  <c r="Z327" i="7"/>
  <c r="H327" i="7" s="1"/>
  <c r="V327" i="7"/>
  <c r="U327" i="7"/>
  <c r="AB822" i="10" s="1"/>
  <c r="T327" i="7"/>
  <c r="G327" i="7"/>
  <c r="U822" i="10" s="1"/>
  <c r="AU326" i="7"/>
  <c r="AI326" i="7"/>
  <c r="AH326" i="7"/>
  <c r="AB326" i="7"/>
  <c r="AE326" i="3" s="1"/>
  <c r="Z326" i="7"/>
  <c r="V326" i="7"/>
  <c r="U326" i="7"/>
  <c r="AB821" i="10" s="1"/>
  <c r="T326" i="7"/>
  <c r="H326" i="7"/>
  <c r="G326" i="7"/>
  <c r="U821" i="10" s="1"/>
  <c r="AU325" i="7"/>
  <c r="AI325" i="7"/>
  <c r="AH325" i="7"/>
  <c r="AB325" i="7"/>
  <c r="Z325" i="7"/>
  <c r="H325" i="7" s="1"/>
  <c r="V325" i="7"/>
  <c r="U325" i="7"/>
  <c r="AB820" i="10" s="1"/>
  <c r="T325" i="7"/>
  <c r="G325" i="7"/>
  <c r="AU324" i="7"/>
  <c r="AI324" i="7"/>
  <c r="AH324" i="7"/>
  <c r="AE324" i="7"/>
  <c r="AB324" i="7"/>
  <c r="Z324" i="7"/>
  <c r="V324" i="7"/>
  <c r="U324" i="7"/>
  <c r="AB819" i="10" s="1"/>
  <c r="T324" i="7"/>
  <c r="H324" i="7"/>
  <c r="G324" i="7"/>
  <c r="U819" i="10" s="1"/>
  <c r="AU323" i="7"/>
  <c r="AI323" i="7"/>
  <c r="AH323" i="7"/>
  <c r="AE323" i="7"/>
  <c r="AB323" i="7"/>
  <c r="Z323" i="7"/>
  <c r="H323" i="7" s="1"/>
  <c r="V323" i="7"/>
  <c r="U323" i="7"/>
  <c r="AB818" i="10" s="1"/>
  <c r="T323" i="7"/>
  <c r="G323" i="7"/>
  <c r="U818" i="10" s="1"/>
  <c r="AU322" i="7"/>
  <c r="AI322" i="7"/>
  <c r="AH322" i="7"/>
  <c r="AE322" i="7"/>
  <c r="AB322" i="7"/>
  <c r="Z322" i="7"/>
  <c r="H322" i="7" s="1"/>
  <c r="V322" i="7"/>
  <c r="U322" i="7"/>
  <c r="AB817" i="10" s="1"/>
  <c r="T322" i="7"/>
  <c r="G322" i="7"/>
  <c r="J322" i="7" s="1"/>
  <c r="M322" i="3" s="1"/>
  <c r="AU321" i="7"/>
  <c r="AI321" i="7"/>
  <c r="AH321" i="7"/>
  <c r="AE321" i="7"/>
  <c r="AB321" i="7"/>
  <c r="Z321" i="7"/>
  <c r="V321" i="7"/>
  <c r="U321" i="7"/>
  <c r="AB816" i="10" s="1"/>
  <c r="T321" i="7"/>
  <c r="H321" i="7"/>
  <c r="G321" i="7"/>
  <c r="U816" i="10" s="1"/>
  <c r="AU320" i="7"/>
  <c r="AI320" i="7"/>
  <c r="AH320" i="7"/>
  <c r="AE320" i="7"/>
  <c r="AB320" i="7"/>
  <c r="Z320" i="7"/>
  <c r="H320" i="7" s="1"/>
  <c r="K320" i="3" s="1"/>
  <c r="V320" i="7"/>
  <c r="U320" i="7"/>
  <c r="AB815" i="10" s="1"/>
  <c r="T320" i="7"/>
  <c r="L320" i="7"/>
  <c r="G320" i="7"/>
  <c r="AU319" i="7"/>
  <c r="AI319" i="7"/>
  <c r="AH319" i="7"/>
  <c r="AE319" i="7"/>
  <c r="AB319" i="7"/>
  <c r="Z319" i="7"/>
  <c r="H319" i="7" s="1"/>
  <c r="V319" i="7"/>
  <c r="U319" i="7"/>
  <c r="AB814" i="10" s="1"/>
  <c r="T319" i="7"/>
  <c r="G319" i="7"/>
  <c r="U814" i="10" s="1"/>
  <c r="AU318" i="7"/>
  <c r="AI318" i="7"/>
  <c r="AH318" i="7"/>
  <c r="AE318" i="7"/>
  <c r="AB318" i="7"/>
  <c r="Z318" i="7"/>
  <c r="H318" i="7" s="1"/>
  <c r="L318" i="7" s="1"/>
  <c r="O318" i="3" s="1"/>
  <c r="V318" i="7"/>
  <c r="U318" i="7"/>
  <c r="AB813" i="10" s="1"/>
  <c r="T318" i="7"/>
  <c r="G318" i="7"/>
  <c r="U813" i="10" s="1"/>
  <c r="AU317" i="7"/>
  <c r="AI317" i="7"/>
  <c r="AH317" i="7"/>
  <c r="AE317" i="7"/>
  <c r="AB317" i="7"/>
  <c r="Z317" i="7"/>
  <c r="H317" i="7" s="1"/>
  <c r="K317" i="3" s="1"/>
  <c r="V317" i="7"/>
  <c r="U317" i="7"/>
  <c r="AB812" i="10" s="1"/>
  <c r="T317" i="7"/>
  <c r="G317" i="7"/>
  <c r="U812" i="10" s="1"/>
  <c r="AU316" i="7"/>
  <c r="AI316" i="7"/>
  <c r="AH316" i="7"/>
  <c r="AE316" i="7"/>
  <c r="AB316" i="7"/>
  <c r="Z316" i="7"/>
  <c r="H316" i="7" s="1"/>
  <c r="V316" i="7"/>
  <c r="U316" i="7"/>
  <c r="AB811" i="10" s="1"/>
  <c r="T316" i="7"/>
  <c r="G316" i="7"/>
  <c r="U811" i="10" s="1"/>
  <c r="AU315" i="7"/>
  <c r="AI315" i="7"/>
  <c r="AH315" i="7"/>
  <c r="AE315" i="7"/>
  <c r="AB315" i="7"/>
  <c r="Z315" i="7"/>
  <c r="H315" i="7" s="1"/>
  <c r="L315" i="7" s="1"/>
  <c r="O315" i="3" s="1"/>
  <c r="V315" i="7"/>
  <c r="U315" i="7"/>
  <c r="AB810" i="10" s="1"/>
  <c r="T315" i="7"/>
  <c r="G315" i="7"/>
  <c r="U810" i="10" s="1"/>
  <c r="AU314" i="7"/>
  <c r="AI314" i="7"/>
  <c r="AH314" i="7"/>
  <c r="AE314" i="7"/>
  <c r="AB314" i="7"/>
  <c r="Z314" i="7"/>
  <c r="H314" i="7" s="1"/>
  <c r="V314" i="7"/>
  <c r="U314" i="7"/>
  <c r="AB809" i="10" s="1"/>
  <c r="T314" i="7"/>
  <c r="G314" i="7"/>
  <c r="U809" i="10" s="1"/>
  <c r="AU313" i="7"/>
  <c r="AI313" i="7"/>
  <c r="AH313" i="7"/>
  <c r="AE313" i="7"/>
  <c r="AB313" i="7"/>
  <c r="Z313" i="7"/>
  <c r="H313" i="7" s="1"/>
  <c r="K313" i="3" s="1"/>
  <c r="V313" i="7"/>
  <c r="U313" i="7"/>
  <c r="AB808" i="10" s="1"/>
  <c r="T313" i="7"/>
  <c r="G313" i="7"/>
  <c r="U808" i="10" s="1"/>
  <c r="AU312" i="7"/>
  <c r="AI312" i="7"/>
  <c r="AH312" i="7"/>
  <c r="AE312" i="7"/>
  <c r="AB312" i="7"/>
  <c r="Z312" i="7"/>
  <c r="H312" i="7" s="1"/>
  <c r="I312" i="7" s="1"/>
  <c r="L312" i="3" s="1"/>
  <c r="V312" i="7"/>
  <c r="U312" i="7"/>
  <c r="AB807" i="10" s="1"/>
  <c r="T312" i="7"/>
  <c r="G312" i="7"/>
  <c r="U807" i="10" s="1"/>
  <c r="AU311" i="7"/>
  <c r="AI311" i="7"/>
  <c r="AH311" i="7"/>
  <c r="AE311" i="7"/>
  <c r="AB311" i="7"/>
  <c r="Z311" i="7"/>
  <c r="H311" i="7" s="1"/>
  <c r="V311" i="7"/>
  <c r="U311" i="7"/>
  <c r="AB806" i="10" s="1"/>
  <c r="T311" i="7"/>
  <c r="G311" i="7"/>
  <c r="U806" i="10" s="1"/>
  <c r="AU310" i="7"/>
  <c r="AI310" i="7"/>
  <c r="AH310" i="7"/>
  <c r="AE310" i="7"/>
  <c r="AB310" i="7"/>
  <c r="Z310" i="7"/>
  <c r="H310" i="7" s="1"/>
  <c r="AV310" i="7" s="1"/>
  <c r="AY310" i="3" s="1"/>
  <c r="V310" i="7"/>
  <c r="U310" i="7"/>
  <c r="AB805" i="10" s="1"/>
  <c r="T310" i="7"/>
  <c r="G310" i="7"/>
  <c r="U805" i="10" s="1"/>
  <c r="AU309" i="7"/>
  <c r="AI309" i="7"/>
  <c r="AH309" i="7"/>
  <c r="AE309" i="7"/>
  <c r="AB309" i="7"/>
  <c r="Z309" i="7"/>
  <c r="H309" i="7" s="1"/>
  <c r="AK309" i="7" s="1"/>
  <c r="AN309" i="3" s="1"/>
  <c r="V309" i="7"/>
  <c r="U309" i="7"/>
  <c r="AB804" i="10" s="1"/>
  <c r="T309" i="7"/>
  <c r="G309" i="7"/>
  <c r="U804" i="10" s="1"/>
  <c r="AU308" i="7"/>
  <c r="AI308" i="7"/>
  <c r="AH308" i="7"/>
  <c r="AE308" i="7"/>
  <c r="AB308" i="7"/>
  <c r="Z308" i="7"/>
  <c r="H308" i="7" s="1"/>
  <c r="V308" i="7"/>
  <c r="U308" i="7"/>
  <c r="AB803" i="10" s="1"/>
  <c r="T308" i="7"/>
  <c r="G308" i="7"/>
  <c r="U803" i="10" s="1"/>
  <c r="AU307" i="7"/>
  <c r="AI307" i="7"/>
  <c r="AH307" i="7"/>
  <c r="AE307" i="7"/>
  <c r="AB307" i="7"/>
  <c r="Z307" i="7"/>
  <c r="H307" i="7" s="1"/>
  <c r="L307" i="7" s="1"/>
  <c r="O307" i="3" s="1"/>
  <c r="V307" i="7"/>
  <c r="U307" i="7"/>
  <c r="AB802" i="10" s="1"/>
  <c r="T307" i="7"/>
  <c r="G307" i="7"/>
  <c r="U802" i="10" s="1"/>
  <c r="AU306" i="7"/>
  <c r="AI306" i="7"/>
  <c r="AH306" i="7"/>
  <c r="AE306" i="7"/>
  <c r="AB306" i="7"/>
  <c r="Z306" i="7"/>
  <c r="H306" i="7" s="1"/>
  <c r="V306" i="7"/>
  <c r="U306" i="7"/>
  <c r="AB801" i="10" s="1"/>
  <c r="T306" i="7"/>
  <c r="G306" i="7"/>
  <c r="U801" i="10" s="1"/>
  <c r="AU305" i="7"/>
  <c r="AI305" i="7"/>
  <c r="AH305" i="7"/>
  <c r="AE305" i="7"/>
  <c r="AB305" i="7"/>
  <c r="Z305" i="7"/>
  <c r="H305" i="7" s="1"/>
  <c r="V305" i="7"/>
  <c r="U305" i="7"/>
  <c r="AB800" i="10" s="1"/>
  <c r="T305" i="7"/>
  <c r="G305" i="7"/>
  <c r="U800" i="10" s="1"/>
  <c r="AU304" i="7"/>
  <c r="AI304" i="7"/>
  <c r="AH304" i="7"/>
  <c r="AE304" i="7"/>
  <c r="AB304" i="7"/>
  <c r="Z304" i="7"/>
  <c r="H304" i="7" s="1"/>
  <c r="V304" i="7"/>
  <c r="U304" i="7"/>
  <c r="T304" i="7"/>
  <c r="G304" i="7"/>
  <c r="U799" i="10" s="1"/>
  <c r="AU303" i="7"/>
  <c r="AI303" i="7"/>
  <c r="AH303" i="7"/>
  <c r="AE303" i="7"/>
  <c r="AB303" i="7"/>
  <c r="Z303" i="7"/>
  <c r="H303" i="7" s="1"/>
  <c r="V303" i="7"/>
  <c r="U303" i="7"/>
  <c r="AB798" i="10" s="1"/>
  <c r="T303" i="7"/>
  <c r="G303" i="7"/>
  <c r="U798" i="10" s="1"/>
  <c r="AU302" i="7"/>
  <c r="AI302" i="7"/>
  <c r="AH302" i="7"/>
  <c r="AE302" i="7"/>
  <c r="AB302" i="7"/>
  <c r="Z302" i="7"/>
  <c r="H302" i="7" s="1"/>
  <c r="V302" i="7"/>
  <c r="U302" i="7"/>
  <c r="AB797" i="10" s="1"/>
  <c r="T302" i="7"/>
  <c r="G302" i="7"/>
  <c r="U797" i="10" s="1"/>
  <c r="AU301" i="7"/>
  <c r="AI301" i="7"/>
  <c r="AH301" i="7"/>
  <c r="AB301" i="7"/>
  <c r="AE301" i="3" s="1"/>
  <c r="Z301" i="7"/>
  <c r="H301" i="7" s="1"/>
  <c r="K301" i="3" s="1"/>
  <c r="V301" i="7"/>
  <c r="U301" i="7"/>
  <c r="AB796" i="10" s="1"/>
  <c r="T301" i="7"/>
  <c r="G301" i="7"/>
  <c r="AU300" i="7"/>
  <c r="AI300" i="7"/>
  <c r="AH300" i="7"/>
  <c r="AB300" i="7"/>
  <c r="AE300" i="3" s="1"/>
  <c r="Z300" i="7"/>
  <c r="H300" i="7" s="1"/>
  <c r="K300" i="3" s="1"/>
  <c r="V300" i="7"/>
  <c r="U300" i="7"/>
  <c r="AB795" i="10" s="1"/>
  <c r="T300" i="7"/>
  <c r="G300" i="7"/>
  <c r="U795" i="10" s="1"/>
  <c r="AU299" i="7"/>
  <c r="AI299" i="7"/>
  <c r="AH299" i="7"/>
  <c r="AB299" i="7"/>
  <c r="AE299" i="3" s="1"/>
  <c r="Z299" i="7"/>
  <c r="H299" i="7" s="1"/>
  <c r="V299" i="7"/>
  <c r="U299" i="7"/>
  <c r="AB794" i="10" s="1"/>
  <c r="T299" i="7"/>
  <c r="G299" i="7"/>
  <c r="U794" i="10" s="1"/>
  <c r="AU298" i="7"/>
  <c r="AI298" i="7"/>
  <c r="AH298" i="7"/>
  <c r="AB298" i="7"/>
  <c r="AE298" i="3" s="1"/>
  <c r="Z298" i="7"/>
  <c r="H298" i="7" s="1"/>
  <c r="K298" i="3" s="1"/>
  <c r="V298" i="7"/>
  <c r="U298" i="7"/>
  <c r="AB793" i="10" s="1"/>
  <c r="T298" i="7"/>
  <c r="G298" i="7"/>
  <c r="U793" i="10" s="1"/>
  <c r="AU297" i="7"/>
  <c r="AI297" i="7"/>
  <c r="AH297" i="7"/>
  <c r="AB297" i="7"/>
  <c r="AE297" i="3" s="1"/>
  <c r="Z297" i="7"/>
  <c r="H297" i="7" s="1"/>
  <c r="V297" i="7"/>
  <c r="U297" i="7"/>
  <c r="AB792" i="10" s="1"/>
  <c r="T297" i="7"/>
  <c r="G297" i="7"/>
  <c r="U792" i="10" s="1"/>
  <c r="AU296" i="7"/>
  <c r="AI296" i="7"/>
  <c r="AH296" i="7"/>
  <c r="AE296" i="7"/>
  <c r="AB296" i="7"/>
  <c r="Z296" i="7"/>
  <c r="H296" i="7" s="1"/>
  <c r="V296" i="7"/>
  <c r="U296" i="7"/>
  <c r="AB791" i="10" s="1"/>
  <c r="T296" i="7"/>
  <c r="G296" i="7"/>
  <c r="U791" i="10" s="1"/>
  <c r="AU295" i="7"/>
  <c r="AI295" i="7"/>
  <c r="AH295" i="7"/>
  <c r="AE295" i="7"/>
  <c r="AB295" i="7"/>
  <c r="Z295" i="7"/>
  <c r="V295" i="7"/>
  <c r="U295" i="7"/>
  <c r="AB790" i="10" s="1"/>
  <c r="T295" i="7"/>
  <c r="H295" i="7"/>
  <c r="G295" i="7"/>
  <c r="U790" i="10" s="1"/>
  <c r="AU294" i="7"/>
  <c r="AI294" i="7"/>
  <c r="AH294" i="7"/>
  <c r="AE294" i="7"/>
  <c r="AB294" i="7"/>
  <c r="Z294" i="7"/>
  <c r="V294" i="7"/>
  <c r="U294" i="7"/>
  <c r="AB789" i="10" s="1"/>
  <c r="T294" i="7"/>
  <c r="H294" i="7"/>
  <c r="K294" i="3" s="1"/>
  <c r="G294" i="7"/>
  <c r="U789" i="10" s="1"/>
  <c r="AU293" i="7"/>
  <c r="AI293" i="7"/>
  <c r="AH293" i="7"/>
  <c r="AE293" i="7"/>
  <c r="AB293" i="7"/>
  <c r="Z293" i="7"/>
  <c r="H293" i="7" s="1"/>
  <c r="V293" i="7"/>
  <c r="U293" i="7"/>
  <c r="AB788" i="10" s="1"/>
  <c r="T293" i="7"/>
  <c r="L293" i="7"/>
  <c r="G293" i="7"/>
  <c r="U788" i="10" s="1"/>
  <c r="AU292" i="7"/>
  <c r="AI292" i="7"/>
  <c r="AH292" i="7"/>
  <c r="AE292" i="7"/>
  <c r="AB292" i="7"/>
  <c r="Z292" i="7"/>
  <c r="H292" i="7" s="1"/>
  <c r="V292" i="7"/>
  <c r="U292" i="7"/>
  <c r="AB787" i="10" s="1"/>
  <c r="T292" i="7"/>
  <c r="L292" i="7"/>
  <c r="O292" i="3" s="1"/>
  <c r="G292" i="7"/>
  <c r="U787" i="10" s="1"/>
  <c r="AU291" i="7"/>
  <c r="AI291" i="7"/>
  <c r="AH291" i="7"/>
  <c r="AE291" i="7"/>
  <c r="AB291" i="7"/>
  <c r="Z291" i="7"/>
  <c r="H291" i="7" s="1"/>
  <c r="V291" i="7"/>
  <c r="U291" i="7"/>
  <c r="AB786" i="10" s="1"/>
  <c r="T291" i="7"/>
  <c r="G291" i="7"/>
  <c r="U786" i="10" s="1"/>
  <c r="AU290" i="7"/>
  <c r="AI290" i="7"/>
  <c r="AH290" i="7"/>
  <c r="AE290" i="7"/>
  <c r="AB290" i="7"/>
  <c r="Z290" i="7"/>
  <c r="V290" i="7"/>
  <c r="U290" i="7"/>
  <c r="AB785" i="10" s="1"/>
  <c r="T290" i="7"/>
  <c r="H290" i="7"/>
  <c r="G290" i="7"/>
  <c r="U785" i="10" s="1"/>
  <c r="AU289" i="7"/>
  <c r="AI289" i="7"/>
  <c r="AH289" i="7"/>
  <c r="AE289" i="7"/>
  <c r="AB289" i="7"/>
  <c r="Z289" i="7"/>
  <c r="H289" i="7" s="1"/>
  <c r="V289" i="7"/>
  <c r="U289" i="7"/>
  <c r="AB784" i="10" s="1"/>
  <c r="T289" i="7"/>
  <c r="G289" i="7"/>
  <c r="U784" i="10" s="1"/>
  <c r="AU288" i="7"/>
  <c r="AI288" i="7"/>
  <c r="AH288" i="7"/>
  <c r="AE288" i="7"/>
  <c r="AB288" i="7"/>
  <c r="Z288" i="7"/>
  <c r="H288" i="7" s="1"/>
  <c r="V288" i="7"/>
  <c r="U288" i="7"/>
  <c r="AB783" i="10" s="1"/>
  <c r="T288" i="7"/>
  <c r="G288" i="7"/>
  <c r="U783" i="10" s="1"/>
  <c r="AU287" i="7"/>
  <c r="AI287" i="7"/>
  <c r="AH287" i="7"/>
  <c r="AE287" i="7"/>
  <c r="AB287" i="7"/>
  <c r="Z287" i="7"/>
  <c r="H287" i="7" s="1"/>
  <c r="V287" i="7"/>
  <c r="U287" i="7"/>
  <c r="AB782" i="10" s="1"/>
  <c r="T287" i="7"/>
  <c r="G287" i="7"/>
  <c r="U782" i="10" s="1"/>
  <c r="AU286" i="7"/>
  <c r="AI286" i="7"/>
  <c r="AH286" i="7"/>
  <c r="AE286" i="7"/>
  <c r="AB286" i="7"/>
  <c r="Z286" i="7"/>
  <c r="H286" i="7" s="1"/>
  <c r="K286" i="3" s="1"/>
  <c r="V286" i="7"/>
  <c r="U286" i="7"/>
  <c r="AB781" i="10" s="1"/>
  <c r="T286" i="7"/>
  <c r="G286" i="7"/>
  <c r="U781" i="10" s="1"/>
  <c r="AU285" i="7"/>
  <c r="AI285" i="7"/>
  <c r="AK285" i="7" s="1"/>
  <c r="AN285" i="3" s="1"/>
  <c r="AH285" i="7"/>
  <c r="AE285" i="7"/>
  <c r="AB285" i="7"/>
  <c r="Z285" i="7"/>
  <c r="V285" i="7"/>
  <c r="U285" i="7"/>
  <c r="AB780" i="10" s="1"/>
  <c r="T285" i="7"/>
  <c r="H285" i="7"/>
  <c r="G285" i="7"/>
  <c r="U780" i="10" s="1"/>
  <c r="AU284" i="7"/>
  <c r="AI284" i="7"/>
  <c r="AH284" i="7"/>
  <c r="AE284" i="7"/>
  <c r="AB284" i="7"/>
  <c r="Z284" i="7"/>
  <c r="H284" i="7" s="1"/>
  <c r="V284" i="7"/>
  <c r="U284" i="7"/>
  <c r="AB779" i="10" s="1"/>
  <c r="T284" i="7"/>
  <c r="G284" i="7"/>
  <c r="U779" i="10" s="1"/>
  <c r="AU283" i="7"/>
  <c r="AI283" i="7"/>
  <c r="AH283" i="7"/>
  <c r="AB283" i="7"/>
  <c r="Z283" i="7"/>
  <c r="V283" i="7"/>
  <c r="U283" i="7"/>
  <c r="AB778" i="10" s="1"/>
  <c r="T283" i="7"/>
  <c r="H283" i="7"/>
  <c r="G283" i="7"/>
  <c r="U778" i="10" s="1"/>
  <c r="AU282" i="7"/>
  <c r="AI282" i="7"/>
  <c r="AH282" i="7"/>
  <c r="AB282" i="7"/>
  <c r="AE282" i="3" s="1"/>
  <c r="Z282" i="7"/>
  <c r="V282" i="7"/>
  <c r="U282" i="7"/>
  <c r="AB777" i="10" s="1"/>
  <c r="T282" i="7"/>
  <c r="H282" i="7"/>
  <c r="G282" i="7"/>
  <c r="U777" i="10" s="1"/>
  <c r="AU281" i="7"/>
  <c r="AI281" i="7"/>
  <c r="AH281" i="7"/>
  <c r="AB281" i="7"/>
  <c r="AE281" i="3" s="1"/>
  <c r="Z281" i="7"/>
  <c r="H281" i="7" s="1"/>
  <c r="L281" i="7" s="1"/>
  <c r="V281" i="7"/>
  <c r="U281" i="7"/>
  <c r="AB776" i="10" s="1"/>
  <c r="T281" i="7"/>
  <c r="G281" i="7"/>
  <c r="U776" i="10" s="1"/>
  <c r="AU280" i="7"/>
  <c r="AI280" i="7"/>
  <c r="AH280" i="7"/>
  <c r="AE280" i="7"/>
  <c r="AB280" i="7"/>
  <c r="Z280" i="7"/>
  <c r="V280" i="7"/>
  <c r="U280" i="7"/>
  <c r="AB775" i="10" s="1"/>
  <c r="T280" i="7"/>
  <c r="H280" i="7"/>
  <c r="G280" i="7"/>
  <c r="U775" i="10" s="1"/>
  <c r="AU279" i="7"/>
  <c r="AI279" i="7"/>
  <c r="AH279" i="7"/>
  <c r="AE279" i="7"/>
  <c r="AB279" i="7"/>
  <c r="Z279" i="7"/>
  <c r="H279" i="7" s="1"/>
  <c r="V279" i="7"/>
  <c r="U279" i="7"/>
  <c r="AB774" i="10" s="1"/>
  <c r="T279" i="7"/>
  <c r="G279" i="7"/>
  <c r="U774" i="10" s="1"/>
  <c r="AU278" i="7"/>
  <c r="AI278" i="7"/>
  <c r="AH278" i="7"/>
  <c r="AE278" i="7"/>
  <c r="AB278" i="7"/>
  <c r="Z278" i="7"/>
  <c r="H278" i="7" s="1"/>
  <c r="V278" i="7"/>
  <c r="U278" i="7"/>
  <c r="AB773" i="10" s="1"/>
  <c r="T278" i="7"/>
  <c r="G278" i="7"/>
  <c r="U773" i="10" s="1"/>
  <c r="AU277" i="7"/>
  <c r="AI277" i="7"/>
  <c r="AH277" i="7"/>
  <c r="AE277" i="7"/>
  <c r="AB277" i="7"/>
  <c r="Z277" i="7"/>
  <c r="H277" i="7" s="1"/>
  <c r="V277" i="7"/>
  <c r="U277" i="7"/>
  <c r="AB772" i="10" s="1"/>
  <c r="T277" i="7"/>
  <c r="G277" i="7"/>
  <c r="U772" i="10" s="1"/>
  <c r="AU276" i="7"/>
  <c r="AI276" i="7"/>
  <c r="AH276" i="7"/>
  <c r="AE276" i="7"/>
  <c r="AB276" i="7"/>
  <c r="Z276" i="7"/>
  <c r="H276" i="7" s="1"/>
  <c r="V276" i="7"/>
  <c r="U276" i="7"/>
  <c r="AB771" i="10" s="1"/>
  <c r="T276" i="7"/>
  <c r="G276" i="7"/>
  <c r="U771" i="10" s="1"/>
  <c r="AU275" i="7"/>
  <c r="AI275" i="7"/>
  <c r="AH275" i="7"/>
  <c r="AE275" i="7"/>
  <c r="AB275" i="7"/>
  <c r="Z275" i="7"/>
  <c r="H275" i="7" s="1"/>
  <c r="V275" i="7"/>
  <c r="U275" i="7"/>
  <c r="AB770" i="10" s="1"/>
  <c r="T275" i="7"/>
  <c r="G275" i="7"/>
  <c r="U770" i="10" s="1"/>
  <c r="AU274" i="7"/>
  <c r="AI274" i="7"/>
  <c r="AH274" i="7"/>
  <c r="AE274" i="7"/>
  <c r="AB274" i="7"/>
  <c r="Z274" i="7"/>
  <c r="H274" i="7" s="1"/>
  <c r="V274" i="7"/>
  <c r="U274" i="7"/>
  <c r="AB769" i="10" s="1"/>
  <c r="T274" i="7"/>
  <c r="G274" i="7"/>
  <c r="U769" i="10" s="1"/>
  <c r="AU273" i="7"/>
  <c r="AI273" i="7"/>
  <c r="AH273" i="7"/>
  <c r="AE273" i="7"/>
  <c r="AB273" i="7"/>
  <c r="Z273" i="7"/>
  <c r="H273" i="7" s="1"/>
  <c r="V273" i="7"/>
  <c r="U273" i="7"/>
  <c r="AB768" i="10" s="1"/>
  <c r="T273" i="7"/>
  <c r="G273" i="7"/>
  <c r="U768" i="10" s="1"/>
  <c r="AU272" i="7"/>
  <c r="AI272" i="7"/>
  <c r="AH272" i="7"/>
  <c r="AE272" i="7"/>
  <c r="AB272" i="7"/>
  <c r="Z272" i="7"/>
  <c r="H272" i="7" s="1"/>
  <c r="K272" i="3" s="1"/>
  <c r="V272" i="7"/>
  <c r="U272" i="7"/>
  <c r="AB767" i="10" s="1"/>
  <c r="T272" i="7"/>
  <c r="G272" i="7"/>
  <c r="U767" i="10" s="1"/>
  <c r="AU271" i="7"/>
  <c r="AI271" i="7"/>
  <c r="AH271" i="7"/>
  <c r="AE271" i="7"/>
  <c r="AB271" i="7"/>
  <c r="Z271" i="7"/>
  <c r="H271" i="7" s="1"/>
  <c r="L271" i="7" s="1"/>
  <c r="O271" i="3" s="1"/>
  <c r="V271" i="7"/>
  <c r="U271" i="7"/>
  <c r="AB766" i="10" s="1"/>
  <c r="T271" i="7"/>
  <c r="G271" i="7"/>
  <c r="U766" i="10" s="1"/>
  <c r="AU270" i="7"/>
  <c r="AI270" i="7"/>
  <c r="AH270" i="7"/>
  <c r="AE270" i="7"/>
  <c r="AB270" i="7"/>
  <c r="Z270" i="7"/>
  <c r="H270" i="7" s="1"/>
  <c r="V270" i="7"/>
  <c r="U270" i="7"/>
  <c r="AB765" i="10" s="1"/>
  <c r="T270" i="7"/>
  <c r="G270" i="7"/>
  <c r="U765" i="10" s="1"/>
  <c r="AU269" i="7"/>
  <c r="AI269" i="7"/>
  <c r="AH269" i="7"/>
  <c r="AE269" i="7"/>
  <c r="AB269" i="7"/>
  <c r="Z269" i="7"/>
  <c r="H269" i="7" s="1"/>
  <c r="V269" i="7"/>
  <c r="U269" i="7"/>
  <c r="AB764" i="10" s="1"/>
  <c r="T269" i="7"/>
  <c r="G269" i="7"/>
  <c r="U764" i="10" s="1"/>
  <c r="AU268" i="7"/>
  <c r="AI268" i="7"/>
  <c r="AH268" i="7"/>
  <c r="AE268" i="7"/>
  <c r="AB268" i="7"/>
  <c r="Z268" i="7"/>
  <c r="V268" i="7"/>
  <c r="U268" i="7"/>
  <c r="AB763" i="10" s="1"/>
  <c r="T268" i="7"/>
  <c r="H268" i="7"/>
  <c r="G268" i="7"/>
  <c r="U763" i="10" s="1"/>
  <c r="AU267" i="7"/>
  <c r="AI267" i="7"/>
  <c r="AH267" i="7"/>
  <c r="AE267" i="7"/>
  <c r="AB267" i="7"/>
  <c r="Z267" i="7"/>
  <c r="H267" i="7" s="1"/>
  <c r="V267" i="7"/>
  <c r="U267" i="7"/>
  <c r="AB762" i="10" s="1"/>
  <c r="T267" i="7"/>
  <c r="G267" i="7"/>
  <c r="U762" i="10" s="1"/>
  <c r="AU266" i="7"/>
  <c r="AI266" i="7"/>
  <c r="AH266" i="7"/>
  <c r="AE266" i="7"/>
  <c r="AB266" i="7"/>
  <c r="Z266" i="7"/>
  <c r="H266" i="7" s="1"/>
  <c r="V266" i="7"/>
  <c r="U266" i="7"/>
  <c r="AB761" i="10" s="1"/>
  <c r="T266" i="7"/>
  <c r="G266" i="7"/>
  <c r="U761" i="10" s="1"/>
  <c r="AU265" i="7"/>
  <c r="AI265" i="7"/>
  <c r="AH265" i="7"/>
  <c r="AE265" i="7"/>
  <c r="AB265" i="7"/>
  <c r="Z265" i="7"/>
  <c r="H265" i="7" s="1"/>
  <c r="K265" i="3" s="1"/>
  <c r="V265" i="7"/>
  <c r="U265" i="7"/>
  <c r="AB760" i="10" s="1"/>
  <c r="T265" i="7"/>
  <c r="G265" i="7"/>
  <c r="U760" i="10" s="1"/>
  <c r="AU264" i="7"/>
  <c r="AI264" i="7"/>
  <c r="AH264" i="7"/>
  <c r="AE264" i="7"/>
  <c r="AB264" i="7"/>
  <c r="Z264" i="7"/>
  <c r="H264" i="7" s="1"/>
  <c r="V264" i="7"/>
  <c r="U264" i="7"/>
  <c r="AB759" i="10" s="1"/>
  <c r="T264" i="7"/>
  <c r="G264" i="7"/>
  <c r="U759" i="10" s="1"/>
  <c r="AU263" i="7"/>
  <c r="AI263" i="7"/>
  <c r="AH263" i="7"/>
  <c r="AE263" i="7"/>
  <c r="AB263" i="7"/>
  <c r="Z263" i="7"/>
  <c r="H263" i="7" s="1"/>
  <c r="V263" i="7"/>
  <c r="U263" i="7"/>
  <c r="AB758" i="10" s="1"/>
  <c r="T263" i="7"/>
  <c r="G263" i="7"/>
  <c r="U758" i="10" s="1"/>
  <c r="AU262" i="7"/>
  <c r="AI262" i="7"/>
  <c r="AH262" i="7"/>
  <c r="AE262" i="7"/>
  <c r="AB262" i="7"/>
  <c r="Z262" i="7"/>
  <c r="V262" i="7"/>
  <c r="U262" i="7"/>
  <c r="AB757" i="10" s="1"/>
  <c r="T262" i="7"/>
  <c r="H262" i="7"/>
  <c r="G262" i="7"/>
  <c r="U757" i="10" s="1"/>
  <c r="AU261" i="7"/>
  <c r="AI261" i="7"/>
  <c r="AH261" i="7"/>
  <c r="AB261" i="7"/>
  <c r="AE261" i="3" s="1"/>
  <c r="Z261" i="7"/>
  <c r="H261" i="7" s="1"/>
  <c r="V261" i="7"/>
  <c r="U261" i="7"/>
  <c r="AB756" i="10" s="1"/>
  <c r="T261" i="7"/>
  <c r="G261" i="7"/>
  <c r="U756" i="10" s="1"/>
  <c r="AU260" i="7"/>
  <c r="AI260" i="7"/>
  <c r="AH260" i="7"/>
  <c r="AB260" i="7"/>
  <c r="AE260" i="3" s="1"/>
  <c r="Z260" i="7"/>
  <c r="H260" i="7" s="1"/>
  <c r="V260" i="7"/>
  <c r="U260" i="7"/>
  <c r="AB755" i="10" s="1"/>
  <c r="T260" i="7"/>
  <c r="G260" i="7"/>
  <c r="U755" i="10" s="1"/>
  <c r="AU259" i="7"/>
  <c r="AI259" i="7"/>
  <c r="AH259" i="7"/>
  <c r="AB259" i="7"/>
  <c r="AE259" i="3" s="1"/>
  <c r="Z259" i="7"/>
  <c r="H259" i="7" s="1"/>
  <c r="V259" i="7"/>
  <c r="U259" i="7"/>
  <c r="AB754" i="10" s="1"/>
  <c r="T259" i="7"/>
  <c r="L259" i="7"/>
  <c r="O259" i="3" s="1"/>
  <c r="G259" i="7"/>
  <c r="U754" i="10" s="1"/>
  <c r="AU258" i="7"/>
  <c r="AI258" i="7"/>
  <c r="AH258" i="7"/>
  <c r="AB258" i="7"/>
  <c r="AE258" i="3" s="1"/>
  <c r="Z258" i="7"/>
  <c r="H258" i="7" s="1"/>
  <c r="V258" i="7"/>
  <c r="U258" i="7"/>
  <c r="AB753" i="10" s="1"/>
  <c r="T258" i="7"/>
  <c r="G258" i="7"/>
  <c r="U753" i="10" s="1"/>
  <c r="AU257" i="7"/>
  <c r="AI257" i="7"/>
  <c r="AH257" i="7"/>
  <c r="AB257" i="7"/>
  <c r="AE257" i="3" s="1"/>
  <c r="Z257" i="7"/>
  <c r="H257" i="7" s="1"/>
  <c r="H752" i="10" s="1"/>
  <c r="V257" i="7"/>
  <c r="U257" i="7"/>
  <c r="AB752" i="10" s="1"/>
  <c r="T257" i="7"/>
  <c r="G257" i="7"/>
  <c r="U752" i="10" s="1"/>
  <c r="AU256" i="7"/>
  <c r="AI256" i="7"/>
  <c r="AH256" i="7"/>
  <c r="AE256" i="7"/>
  <c r="AB256" i="7"/>
  <c r="Z256" i="7"/>
  <c r="H256" i="7" s="1"/>
  <c r="K256" i="3" s="1"/>
  <c r="V256" i="7"/>
  <c r="U256" i="7"/>
  <c r="AB751" i="10" s="1"/>
  <c r="T256" i="7"/>
  <c r="G256" i="7"/>
  <c r="U751" i="10" s="1"/>
  <c r="AU255" i="7"/>
  <c r="AI255" i="7"/>
  <c r="AH255" i="7"/>
  <c r="AE255" i="7"/>
  <c r="AB255" i="7"/>
  <c r="Z255" i="7"/>
  <c r="H255" i="7" s="1"/>
  <c r="L255" i="7" s="1"/>
  <c r="O255" i="3" s="1"/>
  <c r="V255" i="7"/>
  <c r="U255" i="7"/>
  <c r="AB750" i="10" s="1"/>
  <c r="T255" i="7"/>
  <c r="G255" i="7"/>
  <c r="U750" i="10" s="1"/>
  <c r="AU254" i="7"/>
  <c r="AI254" i="7"/>
  <c r="AH254" i="7"/>
  <c r="AE254" i="7"/>
  <c r="AB254" i="7"/>
  <c r="Z254" i="7"/>
  <c r="H254" i="7" s="1"/>
  <c r="K254" i="3" s="1"/>
  <c r="V254" i="7"/>
  <c r="U254" i="7"/>
  <c r="AB749" i="10" s="1"/>
  <c r="T254" i="7"/>
  <c r="G254" i="7"/>
  <c r="U749" i="10" s="1"/>
  <c r="AU253" i="7"/>
  <c r="AI253" i="7"/>
  <c r="AH253" i="7"/>
  <c r="AE253" i="7"/>
  <c r="AB253" i="7"/>
  <c r="Z253" i="7"/>
  <c r="V253" i="7"/>
  <c r="U253" i="7"/>
  <c r="AB748" i="10" s="1"/>
  <c r="T253" i="7"/>
  <c r="H253" i="7"/>
  <c r="G253" i="7"/>
  <c r="U748" i="10" s="1"/>
  <c r="AU252" i="7"/>
  <c r="AI252" i="7"/>
  <c r="AH252" i="7"/>
  <c r="AE252" i="7"/>
  <c r="AB252" i="7"/>
  <c r="Z252" i="7"/>
  <c r="H252" i="7" s="1"/>
  <c r="V252" i="7"/>
  <c r="U252" i="7"/>
  <c r="AB747" i="10" s="1"/>
  <c r="T252" i="7"/>
  <c r="G252" i="7"/>
  <c r="U747" i="10" s="1"/>
  <c r="AU251" i="7"/>
  <c r="AI251" i="7"/>
  <c r="AH251" i="7"/>
  <c r="AE251" i="7"/>
  <c r="AB251" i="7"/>
  <c r="Z251" i="7"/>
  <c r="V251" i="7"/>
  <c r="U251" i="7"/>
  <c r="AB746" i="10" s="1"/>
  <c r="T251" i="7"/>
  <c r="H251" i="7"/>
  <c r="K251" i="3" s="1"/>
  <c r="G251" i="7"/>
  <c r="U746" i="10" s="1"/>
  <c r="AU250" i="7"/>
  <c r="AI250" i="7"/>
  <c r="AH250" i="7"/>
  <c r="AE250" i="7"/>
  <c r="AB250" i="7"/>
  <c r="Z250" i="7"/>
  <c r="H250" i="7" s="1"/>
  <c r="AK250" i="7" s="1"/>
  <c r="AN250" i="3" s="1"/>
  <c r="V250" i="7"/>
  <c r="U250" i="7"/>
  <c r="AB745" i="10" s="1"/>
  <c r="T250" i="7"/>
  <c r="G250" i="7"/>
  <c r="U745" i="10" s="1"/>
  <c r="AU249" i="7"/>
  <c r="AI249" i="7"/>
  <c r="AH249" i="7"/>
  <c r="AE249" i="7"/>
  <c r="AB249" i="7"/>
  <c r="Z249" i="7"/>
  <c r="H249" i="7" s="1"/>
  <c r="V249" i="7"/>
  <c r="U249" i="7"/>
  <c r="AB744" i="10" s="1"/>
  <c r="T249" i="7"/>
  <c r="G249" i="7"/>
  <c r="U744" i="10" s="1"/>
  <c r="AU248" i="7"/>
  <c r="AI248" i="7"/>
  <c r="AH248" i="7"/>
  <c r="AE248" i="7"/>
  <c r="AB248" i="7"/>
  <c r="Z248" i="7"/>
  <c r="H248" i="7" s="1"/>
  <c r="L248" i="7" s="1"/>
  <c r="O248" i="3" s="1"/>
  <c r="V248" i="7"/>
  <c r="U248" i="7"/>
  <c r="AB743" i="10" s="1"/>
  <c r="T248" i="7"/>
  <c r="G248" i="7"/>
  <c r="U743" i="10" s="1"/>
  <c r="AU247" i="7"/>
  <c r="AI247" i="7"/>
  <c r="AH247" i="7"/>
  <c r="AE247" i="7"/>
  <c r="AB247" i="7"/>
  <c r="Z247" i="7"/>
  <c r="H247" i="7" s="1"/>
  <c r="AJ247" i="7" s="1"/>
  <c r="AM247" i="3" s="1"/>
  <c r="V247" i="7"/>
  <c r="U247" i="7"/>
  <c r="AB742" i="10" s="1"/>
  <c r="T247" i="7"/>
  <c r="G247" i="7"/>
  <c r="U742" i="10" s="1"/>
  <c r="AU246" i="7"/>
  <c r="AI246" i="7"/>
  <c r="AH246" i="7"/>
  <c r="AE246" i="7"/>
  <c r="AB246" i="7"/>
  <c r="Z246" i="7"/>
  <c r="H246" i="7" s="1"/>
  <c r="K246" i="3" s="1"/>
  <c r="V246" i="7"/>
  <c r="U246" i="7"/>
  <c r="AB741" i="10" s="1"/>
  <c r="T246" i="7"/>
  <c r="G246" i="7"/>
  <c r="U741" i="10" s="1"/>
  <c r="AU245" i="7"/>
  <c r="AI245" i="7"/>
  <c r="AH245" i="7"/>
  <c r="AE245" i="7"/>
  <c r="AB245" i="7"/>
  <c r="Z245" i="7"/>
  <c r="H245" i="7" s="1"/>
  <c r="K245" i="3" s="1"/>
  <c r="V245" i="7"/>
  <c r="U245" i="7"/>
  <c r="AB740" i="10" s="1"/>
  <c r="T245" i="7"/>
  <c r="G245" i="7"/>
  <c r="U740" i="10" s="1"/>
  <c r="AU244" i="7"/>
  <c r="AI244" i="7"/>
  <c r="AH244" i="7"/>
  <c r="AE244" i="7"/>
  <c r="AB244" i="7"/>
  <c r="Z244" i="7"/>
  <c r="V244" i="7"/>
  <c r="U244" i="7"/>
  <c r="AB739" i="10" s="1"/>
  <c r="T244" i="7"/>
  <c r="H244" i="7"/>
  <c r="K244" i="3" s="1"/>
  <c r="G244" i="7"/>
  <c r="U739" i="10" s="1"/>
  <c r="AU243" i="7"/>
  <c r="AI243" i="7"/>
  <c r="AH243" i="7"/>
  <c r="AE243" i="7"/>
  <c r="AB243" i="7"/>
  <c r="Z243" i="7"/>
  <c r="H243" i="7" s="1"/>
  <c r="V243" i="7"/>
  <c r="U243" i="7"/>
  <c r="AB738" i="10" s="1"/>
  <c r="T243" i="7"/>
  <c r="G243" i="7"/>
  <c r="U738" i="10" s="1"/>
  <c r="AU242" i="7"/>
  <c r="AI242" i="7"/>
  <c r="AH242" i="7"/>
  <c r="AE242" i="7"/>
  <c r="AB242" i="7"/>
  <c r="Z242" i="7"/>
  <c r="H242" i="7" s="1"/>
  <c r="V242" i="7"/>
  <c r="U242" i="7"/>
  <c r="T242" i="7"/>
  <c r="G242" i="7"/>
  <c r="U737" i="10" s="1"/>
  <c r="AU241" i="7"/>
  <c r="AI241" i="7"/>
  <c r="AH241" i="7"/>
  <c r="AE241" i="7"/>
  <c r="AB241" i="7"/>
  <c r="Z241" i="7"/>
  <c r="H241" i="7" s="1"/>
  <c r="K241" i="3" s="1"/>
  <c r="V241" i="7"/>
  <c r="U241" i="7"/>
  <c r="AB736" i="10" s="1"/>
  <c r="T241" i="7"/>
  <c r="G241" i="7"/>
  <c r="U736" i="10" s="1"/>
  <c r="AU240" i="7"/>
  <c r="AI240" i="7"/>
  <c r="AH240" i="7"/>
  <c r="AE240" i="7"/>
  <c r="AB240" i="7"/>
  <c r="Z240" i="7"/>
  <c r="H240" i="7" s="1"/>
  <c r="L240" i="7" s="1"/>
  <c r="O240" i="3" s="1"/>
  <c r="V240" i="7"/>
  <c r="U240" i="7"/>
  <c r="AB735" i="10" s="1"/>
  <c r="T240" i="7"/>
  <c r="G240" i="7"/>
  <c r="U735" i="10" s="1"/>
  <c r="AU239" i="7"/>
  <c r="AI239" i="7"/>
  <c r="AH239" i="7"/>
  <c r="AE239" i="7"/>
  <c r="AB239" i="7"/>
  <c r="Z239" i="7"/>
  <c r="H239" i="7" s="1"/>
  <c r="V239" i="7"/>
  <c r="U239" i="7"/>
  <c r="AB734" i="10" s="1"/>
  <c r="T239" i="7"/>
  <c r="G239" i="7"/>
  <c r="U734" i="10" s="1"/>
  <c r="AU238" i="7"/>
  <c r="AI238" i="7"/>
  <c r="AH238" i="7"/>
  <c r="AE238" i="7"/>
  <c r="AB238" i="7"/>
  <c r="Z238" i="7"/>
  <c r="H238" i="7" s="1"/>
  <c r="V238" i="7"/>
  <c r="U238" i="7"/>
  <c r="AB733" i="10" s="1"/>
  <c r="T238" i="7"/>
  <c r="G238" i="7"/>
  <c r="U733" i="10" s="1"/>
  <c r="AU237" i="7"/>
  <c r="AI237" i="7"/>
  <c r="AK237" i="7" s="1"/>
  <c r="AN237" i="3" s="1"/>
  <c r="AH237" i="7"/>
  <c r="AE237" i="7"/>
  <c r="AB237" i="7"/>
  <c r="Z237" i="7"/>
  <c r="H237" i="7" s="1"/>
  <c r="K237" i="3" s="1"/>
  <c r="V237" i="7"/>
  <c r="U237" i="7"/>
  <c r="AB732" i="10" s="1"/>
  <c r="T237" i="7"/>
  <c r="L237" i="7"/>
  <c r="O237" i="3" s="1"/>
  <c r="G237" i="7"/>
  <c r="AU236" i="7"/>
  <c r="AI236" i="7"/>
  <c r="AH236" i="7"/>
  <c r="AE236" i="7"/>
  <c r="AB236" i="7"/>
  <c r="Z236" i="7"/>
  <c r="H236" i="7" s="1"/>
  <c r="V236" i="7"/>
  <c r="U236" i="7"/>
  <c r="AB731" i="10" s="1"/>
  <c r="T236" i="7"/>
  <c r="G236" i="7"/>
  <c r="U731" i="10" s="1"/>
  <c r="AU235" i="7"/>
  <c r="AI235" i="7"/>
  <c r="AH235" i="7"/>
  <c r="AE235" i="7"/>
  <c r="AB235" i="7"/>
  <c r="Z235" i="7"/>
  <c r="H235" i="7" s="1"/>
  <c r="K235" i="3" s="1"/>
  <c r="V235" i="7"/>
  <c r="U235" i="7"/>
  <c r="AB730" i="10" s="1"/>
  <c r="T235" i="7"/>
  <c r="L235" i="7"/>
  <c r="G235" i="7"/>
  <c r="U730" i="10" s="1"/>
  <c r="AU234" i="7"/>
  <c r="AI234" i="7"/>
  <c r="AH234" i="7"/>
  <c r="AE234" i="7"/>
  <c r="AB234" i="7"/>
  <c r="Z234" i="7"/>
  <c r="H234" i="7" s="1"/>
  <c r="K234" i="3" s="1"/>
  <c r="V234" i="7"/>
  <c r="U234" i="7"/>
  <c r="AB729" i="10" s="1"/>
  <c r="T234" i="7"/>
  <c r="G234" i="7"/>
  <c r="AU233" i="7"/>
  <c r="AI233" i="7"/>
  <c r="AH233" i="7"/>
  <c r="AB233" i="7"/>
  <c r="AE233" i="3" s="1"/>
  <c r="Z233" i="7"/>
  <c r="H233" i="7" s="1"/>
  <c r="V233" i="7"/>
  <c r="U233" i="7"/>
  <c r="AB728" i="10" s="1"/>
  <c r="T233" i="7"/>
  <c r="G233" i="7"/>
  <c r="U728" i="10" s="1"/>
  <c r="AU232" i="7"/>
  <c r="AI232" i="7"/>
  <c r="AH232" i="7"/>
  <c r="AB232" i="7"/>
  <c r="AE232" i="3" s="1"/>
  <c r="Z232" i="7"/>
  <c r="H232" i="7" s="1"/>
  <c r="L232" i="7" s="1"/>
  <c r="O232" i="3" s="1"/>
  <c r="V232" i="7"/>
  <c r="U232" i="7"/>
  <c r="AB727" i="10" s="1"/>
  <c r="T232" i="7"/>
  <c r="G232" i="7"/>
  <c r="U727" i="10" s="1"/>
  <c r="AU231" i="7"/>
  <c r="AI231" i="7"/>
  <c r="AH231" i="7"/>
  <c r="AB231" i="7"/>
  <c r="AE231" i="3" s="1"/>
  <c r="Z231" i="7"/>
  <c r="H231" i="7" s="1"/>
  <c r="V231" i="7"/>
  <c r="U231" i="7"/>
  <c r="AB726" i="10" s="1"/>
  <c r="T231" i="7"/>
  <c r="G231" i="7"/>
  <c r="U726" i="10" s="1"/>
  <c r="AU230" i="7"/>
  <c r="AI230" i="7"/>
  <c r="AH230" i="7"/>
  <c r="AB230" i="7"/>
  <c r="AE230" i="3" s="1"/>
  <c r="Z230" i="7"/>
  <c r="H230" i="7" s="1"/>
  <c r="V230" i="7"/>
  <c r="U230" i="7"/>
  <c r="AB725" i="10" s="1"/>
  <c r="T230" i="7"/>
  <c r="G230" i="7"/>
  <c r="U725" i="10" s="1"/>
  <c r="AU229" i="7"/>
  <c r="AI229" i="7"/>
  <c r="AH229" i="7"/>
  <c r="AB229" i="7"/>
  <c r="AE229" i="3" s="1"/>
  <c r="Z229" i="7"/>
  <c r="H229" i="7" s="1"/>
  <c r="V229" i="7"/>
  <c r="U229" i="7"/>
  <c r="AB724" i="10" s="1"/>
  <c r="T229" i="7"/>
  <c r="L229" i="7"/>
  <c r="G229" i="7"/>
  <c r="U724" i="10" s="1"/>
  <c r="AU228" i="7"/>
  <c r="AI228" i="7"/>
  <c r="AK228" i="7" s="1"/>
  <c r="AN228" i="3" s="1"/>
  <c r="AH228" i="7"/>
  <c r="AE228" i="7"/>
  <c r="AB228" i="7"/>
  <c r="Z228" i="7"/>
  <c r="H228" i="7" s="1"/>
  <c r="V228" i="7"/>
  <c r="U228" i="7"/>
  <c r="AB723" i="10" s="1"/>
  <c r="T228" i="7"/>
  <c r="G228" i="7"/>
  <c r="U723" i="10" s="1"/>
  <c r="AU227" i="7"/>
  <c r="AI227" i="7"/>
  <c r="AH227" i="7"/>
  <c r="AE227" i="7"/>
  <c r="AB227" i="7"/>
  <c r="Z227" i="7"/>
  <c r="H227" i="7" s="1"/>
  <c r="V227" i="7"/>
  <c r="U227" i="7"/>
  <c r="AB722" i="10" s="1"/>
  <c r="T227" i="7"/>
  <c r="G227" i="7"/>
  <c r="U722" i="10" s="1"/>
  <c r="AU226" i="7"/>
  <c r="AI226" i="7"/>
  <c r="AH226" i="7"/>
  <c r="AE226" i="7"/>
  <c r="AB226" i="7"/>
  <c r="Z226" i="7"/>
  <c r="H226" i="7" s="1"/>
  <c r="V226" i="7"/>
  <c r="U226" i="7"/>
  <c r="AB721" i="10" s="1"/>
  <c r="T226" i="7"/>
  <c r="G226" i="7"/>
  <c r="U721" i="10" s="1"/>
  <c r="AU225" i="7"/>
  <c r="AI225" i="7"/>
  <c r="AH225" i="7"/>
  <c r="AE225" i="7"/>
  <c r="AB225" i="7"/>
  <c r="Z225" i="7"/>
  <c r="H225" i="7" s="1"/>
  <c r="AV225" i="7" s="1"/>
  <c r="AY225" i="3" s="1"/>
  <c r="V225" i="7"/>
  <c r="U225" i="7"/>
  <c r="AB720" i="10" s="1"/>
  <c r="T225" i="7"/>
  <c r="G225" i="7"/>
  <c r="U720" i="10" s="1"/>
  <c r="AU224" i="7"/>
  <c r="AI224" i="7"/>
  <c r="AH224" i="7"/>
  <c r="AE224" i="7"/>
  <c r="AB224" i="7"/>
  <c r="Z224" i="7"/>
  <c r="H224" i="7" s="1"/>
  <c r="K224" i="3" s="1"/>
  <c r="V224" i="7"/>
  <c r="U224" i="7"/>
  <c r="AB719" i="10" s="1"/>
  <c r="T224" i="7"/>
  <c r="G224" i="7"/>
  <c r="U719" i="10" s="1"/>
  <c r="AU223" i="7"/>
  <c r="AI223" i="7"/>
  <c r="AH223" i="7"/>
  <c r="AE223" i="7"/>
  <c r="AB223" i="7"/>
  <c r="Z223" i="7"/>
  <c r="H223" i="7" s="1"/>
  <c r="V223" i="7"/>
  <c r="U223" i="7"/>
  <c r="AB718" i="10" s="1"/>
  <c r="T223" i="7"/>
  <c r="G223" i="7"/>
  <c r="U718" i="10" s="1"/>
  <c r="AU222" i="7"/>
  <c r="AI222" i="7"/>
  <c r="AH222" i="7"/>
  <c r="AE222" i="7"/>
  <c r="AB222" i="7"/>
  <c r="Z222" i="7"/>
  <c r="H222" i="7" s="1"/>
  <c r="K222" i="3" s="1"/>
  <c r="V222" i="7"/>
  <c r="U222" i="7"/>
  <c r="AB717" i="10" s="1"/>
  <c r="T222" i="7"/>
  <c r="G222" i="7"/>
  <c r="U717" i="10" s="1"/>
  <c r="AU221" i="7"/>
  <c r="AI221" i="7"/>
  <c r="AH221" i="7"/>
  <c r="AE221" i="7"/>
  <c r="AB221" i="7"/>
  <c r="Z221" i="7"/>
  <c r="H221" i="7" s="1"/>
  <c r="V221" i="7"/>
  <c r="U221" i="7"/>
  <c r="AB716" i="10" s="1"/>
  <c r="T221" i="7"/>
  <c r="G221" i="7"/>
  <c r="U716" i="10" s="1"/>
  <c r="AU220" i="7"/>
  <c r="AI220" i="7"/>
  <c r="AH220" i="7"/>
  <c r="AE220" i="7"/>
  <c r="AB220" i="7"/>
  <c r="Z220" i="7"/>
  <c r="H220" i="7" s="1"/>
  <c r="V220" i="7"/>
  <c r="U220" i="7"/>
  <c r="AB715" i="10" s="1"/>
  <c r="T220" i="7"/>
  <c r="G220" i="7"/>
  <c r="U715" i="10" s="1"/>
  <c r="AU219" i="7"/>
  <c r="AI219" i="7"/>
  <c r="AH219" i="7"/>
  <c r="AE219" i="7"/>
  <c r="AB219" i="7"/>
  <c r="Z219" i="7"/>
  <c r="H219" i="7" s="1"/>
  <c r="K219" i="3" s="1"/>
  <c r="V219" i="7"/>
  <c r="U219" i="7"/>
  <c r="AB714" i="10" s="1"/>
  <c r="T219" i="7"/>
  <c r="G219" i="7"/>
  <c r="U714" i="10" s="1"/>
  <c r="AU218" i="7"/>
  <c r="AI218" i="7"/>
  <c r="AH218" i="7"/>
  <c r="AE218" i="7"/>
  <c r="AB218" i="7"/>
  <c r="Z218" i="7"/>
  <c r="H218" i="7" s="1"/>
  <c r="V218" i="7"/>
  <c r="U218" i="7"/>
  <c r="AB713" i="10" s="1"/>
  <c r="T218" i="7"/>
  <c r="G218" i="7"/>
  <c r="U713" i="10" s="1"/>
  <c r="AU217" i="7"/>
  <c r="AI217" i="7"/>
  <c r="AH217" i="7"/>
  <c r="AE217" i="7"/>
  <c r="AB217" i="7"/>
  <c r="Z217" i="7"/>
  <c r="H217" i="7" s="1"/>
  <c r="V217" i="7"/>
  <c r="U217" i="7"/>
  <c r="AB712" i="10" s="1"/>
  <c r="T217" i="7"/>
  <c r="G217" i="7"/>
  <c r="U712" i="10" s="1"/>
  <c r="AU216" i="7"/>
  <c r="AI216" i="7"/>
  <c r="AH216" i="7"/>
  <c r="AE216" i="7"/>
  <c r="AB216" i="7"/>
  <c r="Z216" i="7"/>
  <c r="V216" i="7"/>
  <c r="U216" i="7"/>
  <c r="AB711" i="10" s="1"/>
  <c r="T216" i="7"/>
  <c r="H216" i="7"/>
  <c r="G216" i="7"/>
  <c r="U711" i="10" s="1"/>
  <c r="AU215" i="7"/>
  <c r="AI215" i="7"/>
  <c r="AH215" i="7"/>
  <c r="AE215" i="7"/>
  <c r="AB215" i="7"/>
  <c r="Z215" i="7"/>
  <c r="H215" i="7" s="1"/>
  <c r="V215" i="7"/>
  <c r="U215" i="7"/>
  <c r="AB710" i="10" s="1"/>
  <c r="T215" i="7"/>
  <c r="L215" i="7"/>
  <c r="O215" i="3" s="1"/>
  <c r="G215" i="7"/>
  <c r="U710" i="10" s="1"/>
  <c r="AU214" i="7"/>
  <c r="AI214" i="7"/>
  <c r="AH214" i="7"/>
  <c r="AE214" i="7"/>
  <c r="AB214" i="7"/>
  <c r="Z214" i="7"/>
  <c r="H214" i="7" s="1"/>
  <c r="V214" i="7"/>
  <c r="U214" i="7"/>
  <c r="AB709" i="10" s="1"/>
  <c r="T214" i="7"/>
  <c r="G214" i="7"/>
  <c r="U709" i="10" s="1"/>
  <c r="AU213" i="7"/>
  <c r="AI213" i="7"/>
  <c r="AH213" i="7"/>
  <c r="AE213" i="7"/>
  <c r="AB213" i="7"/>
  <c r="Z213" i="7"/>
  <c r="V213" i="7"/>
  <c r="U213" i="7"/>
  <c r="AB708" i="10" s="1"/>
  <c r="T213" i="7"/>
  <c r="H213" i="7"/>
  <c r="K213" i="3" s="1"/>
  <c r="G213" i="7"/>
  <c r="U708" i="10" s="1"/>
  <c r="AU212" i="7"/>
  <c r="AI212" i="7"/>
  <c r="AH212" i="7"/>
  <c r="AE212" i="7"/>
  <c r="AB212" i="7"/>
  <c r="Z212" i="7"/>
  <c r="H212" i="7" s="1"/>
  <c r="V212" i="7"/>
  <c r="U212" i="7"/>
  <c r="AB707" i="10" s="1"/>
  <c r="T212" i="7"/>
  <c r="G212" i="7"/>
  <c r="U707" i="10" s="1"/>
  <c r="AU211" i="7"/>
  <c r="AI211" i="7"/>
  <c r="AH211" i="7"/>
  <c r="AE211" i="7"/>
  <c r="AB211" i="7"/>
  <c r="Z211" i="7"/>
  <c r="H211" i="7" s="1"/>
  <c r="L211" i="7" s="1"/>
  <c r="O211" i="3" s="1"/>
  <c r="V211" i="7"/>
  <c r="U211" i="7"/>
  <c r="AB706" i="10" s="1"/>
  <c r="T211" i="7"/>
  <c r="G211" i="7"/>
  <c r="U706" i="10" s="1"/>
  <c r="AU210" i="7"/>
  <c r="AI210" i="7"/>
  <c r="AH210" i="7"/>
  <c r="AE210" i="7"/>
  <c r="AB210" i="7"/>
  <c r="Z210" i="7"/>
  <c r="H210" i="7" s="1"/>
  <c r="V210" i="7"/>
  <c r="U210" i="7"/>
  <c r="AB705" i="10" s="1"/>
  <c r="T210" i="7"/>
  <c r="G210" i="7"/>
  <c r="U705" i="10" s="1"/>
  <c r="AU209" i="7"/>
  <c r="AI209" i="7"/>
  <c r="AH209" i="7"/>
  <c r="AE209" i="7"/>
  <c r="AB209" i="7"/>
  <c r="Z209" i="7"/>
  <c r="H209" i="7" s="1"/>
  <c r="K209" i="3" s="1"/>
  <c r="V209" i="7"/>
  <c r="U209" i="7"/>
  <c r="AB704" i="10" s="1"/>
  <c r="T209" i="7"/>
  <c r="G209" i="7"/>
  <c r="U704" i="10" s="1"/>
  <c r="AU208" i="7"/>
  <c r="AI208" i="7"/>
  <c r="AH208" i="7"/>
  <c r="AE208" i="7"/>
  <c r="AB208" i="7"/>
  <c r="Z208" i="7"/>
  <c r="H208" i="7" s="1"/>
  <c r="K208" i="3" s="1"/>
  <c r="V208" i="7"/>
  <c r="U208" i="7"/>
  <c r="AB703" i="10" s="1"/>
  <c r="T208" i="7"/>
  <c r="G208" i="7"/>
  <c r="U703" i="10" s="1"/>
  <c r="AU207" i="7"/>
  <c r="AI207" i="7"/>
  <c r="AH207" i="7"/>
  <c r="AE207" i="7"/>
  <c r="AB207" i="7"/>
  <c r="Z207" i="7"/>
  <c r="H207" i="7" s="1"/>
  <c r="V207" i="7"/>
  <c r="U207" i="7"/>
  <c r="AB702" i="10" s="1"/>
  <c r="T207" i="7"/>
  <c r="G207" i="7"/>
  <c r="U702" i="10" s="1"/>
  <c r="AU206" i="7"/>
  <c r="AI206" i="7"/>
  <c r="AH206" i="7"/>
  <c r="AE206" i="7"/>
  <c r="AB206" i="7"/>
  <c r="Z206" i="7"/>
  <c r="H206" i="7" s="1"/>
  <c r="V206" i="7"/>
  <c r="U206" i="7"/>
  <c r="AB701" i="10" s="1"/>
  <c r="T206" i="7"/>
  <c r="G206" i="7"/>
  <c r="U701" i="10" s="1"/>
  <c r="AU205" i="7"/>
  <c r="AI205" i="7"/>
  <c r="AH205" i="7"/>
  <c r="AE205" i="7"/>
  <c r="AB205" i="7"/>
  <c r="Z205" i="7"/>
  <c r="H205" i="7" s="1"/>
  <c r="V205" i="7"/>
  <c r="U205" i="7"/>
  <c r="AB700" i="10" s="1"/>
  <c r="T205" i="7"/>
  <c r="G205" i="7"/>
  <c r="U700" i="10" s="1"/>
  <c r="AU204" i="7"/>
  <c r="AI204" i="7"/>
  <c r="AH204" i="7"/>
  <c r="AB204" i="7"/>
  <c r="AE204" i="3" s="1"/>
  <c r="Z204" i="7"/>
  <c r="H204" i="7" s="1"/>
  <c r="V204" i="7"/>
  <c r="U204" i="7"/>
  <c r="AB699" i="10" s="1"/>
  <c r="T204" i="7"/>
  <c r="G204" i="7"/>
  <c r="U699" i="10" s="1"/>
  <c r="AU203" i="7"/>
  <c r="AI203" i="7"/>
  <c r="AH203" i="7"/>
  <c r="AB203" i="7"/>
  <c r="AE203" i="3" s="1"/>
  <c r="Z203" i="7"/>
  <c r="H203" i="7" s="1"/>
  <c r="V203" i="7"/>
  <c r="U203" i="7"/>
  <c r="AB698" i="10" s="1"/>
  <c r="T203" i="7"/>
  <c r="G203" i="7"/>
  <c r="U698" i="10" s="1"/>
  <c r="AU202" i="7"/>
  <c r="AI202" i="7"/>
  <c r="AH202" i="7"/>
  <c r="AB202" i="7"/>
  <c r="AE202" i="3" s="1"/>
  <c r="Z202" i="7"/>
  <c r="H202" i="7" s="1"/>
  <c r="V202" i="7"/>
  <c r="U202" i="7"/>
  <c r="AB697" i="10" s="1"/>
  <c r="T202" i="7"/>
  <c r="G202" i="7"/>
  <c r="U697" i="10" s="1"/>
  <c r="AU201" i="7"/>
  <c r="AI201" i="7"/>
  <c r="AH201" i="7"/>
  <c r="AB201" i="7"/>
  <c r="Z201" i="7"/>
  <c r="H201" i="7" s="1"/>
  <c r="L201" i="7" s="1"/>
  <c r="O201" i="3" s="1"/>
  <c r="V201" i="7"/>
  <c r="U201" i="7"/>
  <c r="AB696" i="10" s="1"/>
  <c r="T201" i="7"/>
  <c r="G201" i="7"/>
  <c r="U696" i="10" s="1"/>
  <c r="AU200" i="7"/>
  <c r="AI200" i="7"/>
  <c r="AH200" i="7"/>
  <c r="AB200" i="7"/>
  <c r="AE200" i="3" s="1"/>
  <c r="Z200" i="7"/>
  <c r="H200" i="7" s="1"/>
  <c r="L200" i="7" s="1"/>
  <c r="V200" i="7"/>
  <c r="U200" i="7"/>
  <c r="AB695" i="10" s="1"/>
  <c r="T200" i="7"/>
  <c r="G200" i="7"/>
  <c r="U695" i="10" s="1"/>
  <c r="AU199" i="7"/>
  <c r="AI199" i="7"/>
  <c r="AH199" i="7"/>
  <c r="AE199" i="7"/>
  <c r="AB199" i="7"/>
  <c r="Z199" i="7"/>
  <c r="H199" i="7" s="1"/>
  <c r="L199" i="7" s="1"/>
  <c r="V199" i="7"/>
  <c r="U199" i="7"/>
  <c r="AB694" i="10" s="1"/>
  <c r="T199" i="7"/>
  <c r="G199" i="7"/>
  <c r="U694" i="10" s="1"/>
  <c r="AU198" i="7"/>
  <c r="AI198" i="7"/>
  <c r="AH198" i="7"/>
  <c r="AE198" i="7"/>
  <c r="AB198" i="7"/>
  <c r="Z198" i="7"/>
  <c r="H198" i="7" s="1"/>
  <c r="V198" i="7"/>
  <c r="U198" i="7"/>
  <c r="AB693" i="10" s="1"/>
  <c r="T198" i="7"/>
  <c r="G198" i="7"/>
  <c r="U693" i="10" s="1"/>
  <c r="AU197" i="7"/>
  <c r="AI197" i="7"/>
  <c r="AH197" i="7"/>
  <c r="AE197" i="7"/>
  <c r="AB197" i="7"/>
  <c r="Z197" i="7"/>
  <c r="H197" i="7" s="1"/>
  <c r="V197" i="7"/>
  <c r="U197" i="7"/>
  <c r="AB692" i="10" s="1"/>
  <c r="T197" i="7"/>
  <c r="G197" i="7"/>
  <c r="U692" i="10" s="1"/>
  <c r="AU196" i="7"/>
  <c r="AI196" i="7"/>
  <c r="AH196" i="7"/>
  <c r="AE196" i="7"/>
  <c r="AB196" i="7"/>
  <c r="Z196" i="7"/>
  <c r="H196" i="7" s="1"/>
  <c r="V196" i="7"/>
  <c r="U196" i="7"/>
  <c r="AB691" i="10" s="1"/>
  <c r="T196" i="7"/>
  <c r="L196" i="7"/>
  <c r="O196" i="3" s="1"/>
  <c r="G196" i="7"/>
  <c r="U691" i="10" s="1"/>
  <c r="AU195" i="7"/>
  <c r="AI195" i="7"/>
  <c r="AH195" i="7"/>
  <c r="AE195" i="7"/>
  <c r="AB195" i="7"/>
  <c r="Z195" i="7"/>
  <c r="H195" i="7" s="1"/>
  <c r="V195" i="7"/>
  <c r="U195" i="7"/>
  <c r="AB690" i="10" s="1"/>
  <c r="T195" i="7"/>
  <c r="G195" i="7"/>
  <c r="U690" i="10" s="1"/>
  <c r="AU194" i="7"/>
  <c r="AI194" i="7"/>
  <c r="AH194" i="7"/>
  <c r="AE194" i="7"/>
  <c r="AB194" i="7"/>
  <c r="Z194" i="7"/>
  <c r="V194" i="7"/>
  <c r="U194" i="7"/>
  <c r="AB689" i="10" s="1"/>
  <c r="T194" i="7"/>
  <c r="H194" i="7"/>
  <c r="H689" i="10" s="1"/>
  <c r="G194" i="7"/>
  <c r="U689" i="10" s="1"/>
  <c r="AU193" i="7"/>
  <c r="AV193" i="7" s="1"/>
  <c r="AY193" i="3" s="1"/>
  <c r="AI193" i="7"/>
  <c r="AH193" i="7"/>
  <c r="AE193" i="7"/>
  <c r="AB193" i="7"/>
  <c r="Z193" i="7"/>
  <c r="H193" i="7" s="1"/>
  <c r="V193" i="7"/>
  <c r="U193" i="7"/>
  <c r="AB688" i="10" s="1"/>
  <c r="T193" i="7"/>
  <c r="G193" i="7"/>
  <c r="U688" i="10" s="1"/>
  <c r="AU192" i="7"/>
  <c r="AI192" i="7"/>
  <c r="AH192" i="7"/>
  <c r="AE192" i="7"/>
  <c r="AB192" i="7"/>
  <c r="Z192" i="7"/>
  <c r="V192" i="7"/>
  <c r="U192" i="7"/>
  <c r="AB687" i="10" s="1"/>
  <c r="T192" i="7"/>
  <c r="H192" i="7"/>
  <c r="AV192" i="7" s="1"/>
  <c r="AY192" i="3" s="1"/>
  <c r="G192" i="7"/>
  <c r="U687" i="10" s="1"/>
  <c r="AU191" i="7"/>
  <c r="AI191" i="7"/>
  <c r="AH191" i="7"/>
  <c r="AE191" i="7"/>
  <c r="AB191" i="7"/>
  <c r="Z191" i="7"/>
  <c r="H191" i="7" s="1"/>
  <c r="V191" i="7"/>
  <c r="U191" i="7"/>
  <c r="AB686" i="10" s="1"/>
  <c r="T191" i="7"/>
  <c r="G191" i="7"/>
  <c r="U686" i="10" s="1"/>
  <c r="AU190" i="7"/>
  <c r="AI190" i="7"/>
  <c r="AH190" i="7"/>
  <c r="AE190" i="7"/>
  <c r="AB190" i="7"/>
  <c r="Z190" i="7"/>
  <c r="H190" i="7" s="1"/>
  <c r="V190" i="7"/>
  <c r="U190" i="7"/>
  <c r="AB685" i="10" s="1"/>
  <c r="T190" i="7"/>
  <c r="G190" i="7"/>
  <c r="AU189" i="7"/>
  <c r="AI189" i="7"/>
  <c r="AH189" i="7"/>
  <c r="AE189" i="7"/>
  <c r="AB189" i="7"/>
  <c r="Z189" i="7"/>
  <c r="H189" i="7" s="1"/>
  <c r="K189" i="3" s="1"/>
  <c r="V189" i="7"/>
  <c r="U189" i="7"/>
  <c r="AB684" i="10" s="1"/>
  <c r="T189" i="7"/>
  <c r="G189" i="7"/>
  <c r="U684" i="10" s="1"/>
  <c r="AU188" i="7"/>
  <c r="AI188" i="7"/>
  <c r="AH188" i="7"/>
  <c r="AE188" i="7"/>
  <c r="AB188" i="7"/>
  <c r="Z188" i="7"/>
  <c r="H188" i="7" s="1"/>
  <c r="K188" i="3" s="1"/>
  <c r="V188" i="7"/>
  <c r="U188" i="7"/>
  <c r="AB683" i="10" s="1"/>
  <c r="T188" i="7"/>
  <c r="G188" i="7"/>
  <c r="U683" i="10" s="1"/>
  <c r="AU187" i="7"/>
  <c r="AI187" i="7"/>
  <c r="AK187" i="7" s="1"/>
  <c r="AN187" i="3" s="1"/>
  <c r="AH187" i="7"/>
  <c r="AE187" i="7"/>
  <c r="AB187" i="7"/>
  <c r="Z187" i="7"/>
  <c r="H187" i="7" s="1"/>
  <c r="V187" i="7"/>
  <c r="U187" i="7"/>
  <c r="AB682" i="10" s="1"/>
  <c r="T187" i="7"/>
  <c r="G187" i="7"/>
  <c r="U682" i="10" s="1"/>
  <c r="AU186" i="7"/>
  <c r="AI186" i="7"/>
  <c r="AH186" i="7"/>
  <c r="AE186" i="7"/>
  <c r="AB186" i="7"/>
  <c r="Z186" i="7"/>
  <c r="H186" i="7" s="1"/>
  <c r="V186" i="7"/>
  <c r="U186" i="7"/>
  <c r="AB681" i="10" s="1"/>
  <c r="T186" i="7"/>
  <c r="G186" i="7"/>
  <c r="U681" i="10" s="1"/>
  <c r="AU185" i="7"/>
  <c r="AI185" i="7"/>
  <c r="AH185" i="7"/>
  <c r="AE185" i="7"/>
  <c r="AB185" i="7"/>
  <c r="Z185" i="7"/>
  <c r="H185" i="7" s="1"/>
  <c r="L185" i="7" s="1"/>
  <c r="O185" i="3" s="1"/>
  <c r="V185" i="7"/>
  <c r="U185" i="7"/>
  <c r="AB680" i="10" s="1"/>
  <c r="T185" i="7"/>
  <c r="G185" i="7"/>
  <c r="U680" i="10" s="1"/>
  <c r="AU184" i="7"/>
  <c r="AI184" i="7"/>
  <c r="AH184" i="7"/>
  <c r="AE184" i="7"/>
  <c r="AB184" i="7"/>
  <c r="Z184" i="7"/>
  <c r="H184" i="7" s="1"/>
  <c r="V184" i="7"/>
  <c r="U184" i="7"/>
  <c r="AB679" i="10" s="1"/>
  <c r="T184" i="7"/>
  <c r="G184" i="7"/>
  <c r="U679" i="10" s="1"/>
  <c r="AU183" i="7"/>
  <c r="AI183" i="7"/>
  <c r="AH183" i="7"/>
  <c r="AE183" i="7"/>
  <c r="AB183" i="7"/>
  <c r="Z183" i="7"/>
  <c r="H183" i="7" s="1"/>
  <c r="L183" i="7" s="1"/>
  <c r="O183" i="3" s="1"/>
  <c r="V183" i="7"/>
  <c r="U183" i="7"/>
  <c r="AB678" i="10" s="1"/>
  <c r="T183" i="7"/>
  <c r="G183" i="7"/>
  <c r="U678" i="10" s="1"/>
  <c r="AU182" i="7"/>
  <c r="AI182" i="7"/>
  <c r="AH182" i="7"/>
  <c r="AE182" i="7"/>
  <c r="AB182" i="7"/>
  <c r="Z182" i="7"/>
  <c r="H182" i="7" s="1"/>
  <c r="V182" i="7"/>
  <c r="U182" i="7"/>
  <c r="AB677" i="10" s="1"/>
  <c r="T182" i="7"/>
  <c r="G182" i="7"/>
  <c r="U677" i="10" s="1"/>
  <c r="AU181" i="7"/>
  <c r="AI181" i="7"/>
  <c r="AH181" i="7"/>
  <c r="AE181" i="7"/>
  <c r="AB181" i="7"/>
  <c r="Z181" i="7"/>
  <c r="H181" i="7" s="1"/>
  <c r="K181" i="3" s="1"/>
  <c r="V181" i="7"/>
  <c r="U181" i="7"/>
  <c r="AB676" i="10" s="1"/>
  <c r="T181" i="7"/>
  <c r="G181" i="7"/>
  <c r="U676" i="10" s="1"/>
  <c r="AU180" i="7"/>
  <c r="AI180" i="7"/>
  <c r="AH180" i="7"/>
  <c r="AE180" i="7"/>
  <c r="AB180" i="7"/>
  <c r="Z180" i="7"/>
  <c r="H180" i="7" s="1"/>
  <c r="K180" i="3" s="1"/>
  <c r="V180" i="7"/>
  <c r="U180" i="7"/>
  <c r="AB675" i="10" s="1"/>
  <c r="T180" i="7"/>
  <c r="G180" i="7"/>
  <c r="U675" i="10" s="1"/>
  <c r="AU179" i="7"/>
  <c r="AI179" i="7"/>
  <c r="AH179" i="7"/>
  <c r="AB179" i="7"/>
  <c r="AE179" i="3" s="1"/>
  <c r="Z179" i="7"/>
  <c r="H179" i="7" s="1"/>
  <c r="V179" i="7"/>
  <c r="U179" i="7"/>
  <c r="AB674" i="10" s="1"/>
  <c r="T179" i="7"/>
  <c r="G179" i="7"/>
  <c r="U674" i="10" s="1"/>
  <c r="AU178" i="7"/>
  <c r="AI178" i="7"/>
  <c r="AH178" i="7"/>
  <c r="AB178" i="7"/>
  <c r="AE178" i="3" s="1"/>
  <c r="Z178" i="7"/>
  <c r="H178" i="7" s="1"/>
  <c r="K178" i="3" s="1"/>
  <c r="V178" i="7"/>
  <c r="U178" i="7"/>
  <c r="AB673" i="10" s="1"/>
  <c r="T178" i="7"/>
  <c r="G178" i="7"/>
  <c r="U673" i="10" s="1"/>
  <c r="AU177" i="7"/>
  <c r="AI177" i="7"/>
  <c r="AH177" i="7"/>
  <c r="AB177" i="7"/>
  <c r="AE177" i="3" s="1"/>
  <c r="Z177" i="7"/>
  <c r="H177" i="7" s="1"/>
  <c r="K177" i="3" s="1"/>
  <c r="V177" i="7"/>
  <c r="U177" i="7"/>
  <c r="AB672" i="10" s="1"/>
  <c r="T177" i="7"/>
  <c r="G177" i="7"/>
  <c r="U672" i="10" s="1"/>
  <c r="AU176" i="7"/>
  <c r="AI176" i="7"/>
  <c r="AH176" i="7"/>
  <c r="AB176" i="7"/>
  <c r="AE176" i="3" s="1"/>
  <c r="Z176" i="7"/>
  <c r="H176" i="7" s="1"/>
  <c r="V176" i="7"/>
  <c r="U176" i="7"/>
  <c r="AB671" i="10" s="1"/>
  <c r="T176" i="7"/>
  <c r="G176" i="7"/>
  <c r="U671" i="10" s="1"/>
  <c r="AU175" i="7"/>
  <c r="AI175" i="7"/>
  <c r="AH175" i="7"/>
  <c r="AE175" i="7"/>
  <c r="AB175" i="7"/>
  <c r="Z175" i="7"/>
  <c r="H175" i="7" s="1"/>
  <c r="K175" i="3" s="1"/>
  <c r="V175" i="7"/>
  <c r="U175" i="7"/>
  <c r="AB670" i="10" s="1"/>
  <c r="T175" i="7"/>
  <c r="G175" i="7"/>
  <c r="U670" i="10" s="1"/>
  <c r="AU174" i="7"/>
  <c r="AI174" i="7"/>
  <c r="AH174" i="7"/>
  <c r="AE174" i="7"/>
  <c r="AB174" i="7"/>
  <c r="Z174" i="7"/>
  <c r="H174" i="7" s="1"/>
  <c r="V174" i="7"/>
  <c r="U174" i="7"/>
  <c r="AB669" i="10" s="1"/>
  <c r="T174" i="7"/>
  <c r="G174" i="7"/>
  <c r="U669" i="10" s="1"/>
  <c r="AU173" i="7"/>
  <c r="AI173" i="7"/>
  <c r="AH173" i="7"/>
  <c r="AE173" i="7"/>
  <c r="AB173" i="7"/>
  <c r="Z173" i="7"/>
  <c r="H173" i="7" s="1"/>
  <c r="V173" i="7"/>
  <c r="U173" i="7"/>
  <c r="AB668" i="10" s="1"/>
  <c r="T173" i="7"/>
  <c r="G173" i="7"/>
  <c r="U668" i="10" s="1"/>
  <c r="AU172" i="7"/>
  <c r="AI172" i="7"/>
  <c r="AH172" i="7"/>
  <c r="AE172" i="7"/>
  <c r="AB172" i="7"/>
  <c r="Z172" i="7"/>
  <c r="V172" i="7"/>
  <c r="U172" i="7"/>
  <c r="AB667" i="10" s="1"/>
  <c r="T172" i="7"/>
  <c r="H172" i="7"/>
  <c r="AJ172" i="7" s="1"/>
  <c r="AM172" i="3" s="1"/>
  <c r="G172" i="7"/>
  <c r="U667" i="10" s="1"/>
  <c r="AU171" i="7"/>
  <c r="AI171" i="7"/>
  <c r="AH171" i="7"/>
  <c r="AE171" i="7"/>
  <c r="AB171" i="7"/>
  <c r="Z171" i="7"/>
  <c r="H171" i="7" s="1"/>
  <c r="K171" i="3" s="1"/>
  <c r="V171" i="7"/>
  <c r="U171" i="7"/>
  <c r="AB666" i="10" s="1"/>
  <c r="T171" i="7"/>
  <c r="G171" i="7"/>
  <c r="U666" i="10" s="1"/>
  <c r="AU170" i="7"/>
  <c r="AI170" i="7"/>
  <c r="AH170" i="7"/>
  <c r="AE170" i="7"/>
  <c r="AB170" i="7"/>
  <c r="Z170" i="7"/>
  <c r="V170" i="7"/>
  <c r="U170" i="7"/>
  <c r="AB665" i="10" s="1"/>
  <c r="T170" i="7"/>
  <c r="H170" i="7"/>
  <c r="G170" i="7"/>
  <c r="AU169" i="7"/>
  <c r="AI169" i="7"/>
  <c r="AH169" i="7"/>
  <c r="AE169" i="7"/>
  <c r="AB169" i="7"/>
  <c r="Z169" i="7"/>
  <c r="H169" i="7" s="1"/>
  <c r="K169" i="3" s="1"/>
  <c r="V169" i="7"/>
  <c r="U169" i="7"/>
  <c r="AB664" i="10" s="1"/>
  <c r="T169" i="7"/>
  <c r="G169" i="7"/>
  <c r="U664" i="10" s="1"/>
  <c r="AU168" i="7"/>
  <c r="AI168" i="7"/>
  <c r="AH168" i="7"/>
  <c r="AE168" i="7"/>
  <c r="AB168" i="7"/>
  <c r="Z168" i="7"/>
  <c r="H168" i="7" s="1"/>
  <c r="K168" i="3" s="1"/>
  <c r="V168" i="7"/>
  <c r="U168" i="7"/>
  <c r="AB663" i="10" s="1"/>
  <c r="T168" i="7"/>
  <c r="G168" i="7"/>
  <c r="U663" i="10" s="1"/>
  <c r="AU167" i="7"/>
  <c r="AV167" i="7" s="1"/>
  <c r="AY167" i="3" s="1"/>
  <c r="AI167" i="7"/>
  <c r="AH167" i="7"/>
  <c r="AE167" i="7"/>
  <c r="AB167" i="7"/>
  <c r="Z167" i="7"/>
  <c r="H167" i="7" s="1"/>
  <c r="L167" i="7" s="1"/>
  <c r="O167" i="3" s="1"/>
  <c r="V167" i="7"/>
  <c r="U167" i="7"/>
  <c r="AB662" i="10" s="1"/>
  <c r="T167" i="7"/>
  <c r="G167" i="7"/>
  <c r="J167" i="7" s="1"/>
  <c r="M167" i="3" s="1"/>
  <c r="AU166" i="7"/>
  <c r="AI166" i="7"/>
  <c r="AH166" i="7"/>
  <c r="AE166" i="7"/>
  <c r="AB166" i="7"/>
  <c r="Z166" i="7"/>
  <c r="H166" i="7" s="1"/>
  <c r="V166" i="7"/>
  <c r="U166" i="7"/>
  <c r="AB661" i="10" s="1"/>
  <c r="T166" i="7"/>
  <c r="G166" i="7"/>
  <c r="U661" i="10" s="1"/>
  <c r="AU165" i="7"/>
  <c r="AI165" i="7"/>
  <c r="AH165" i="7"/>
  <c r="AE165" i="7"/>
  <c r="AB165" i="7"/>
  <c r="Z165" i="7"/>
  <c r="H165" i="7" s="1"/>
  <c r="V165" i="7"/>
  <c r="U165" i="7"/>
  <c r="AB660" i="10" s="1"/>
  <c r="T165" i="7"/>
  <c r="G165" i="7"/>
  <c r="U660" i="10" s="1"/>
  <c r="AU164" i="7"/>
  <c r="AI164" i="7"/>
  <c r="AH164" i="7"/>
  <c r="AE164" i="7"/>
  <c r="AB164" i="7"/>
  <c r="Z164" i="7"/>
  <c r="H164" i="7" s="1"/>
  <c r="V164" i="7"/>
  <c r="U164" i="7"/>
  <c r="AB659" i="10" s="1"/>
  <c r="T164" i="7"/>
  <c r="L164" i="7"/>
  <c r="O164" i="3" s="1"/>
  <c r="G164" i="7"/>
  <c r="AU163" i="7"/>
  <c r="AI163" i="7"/>
  <c r="AH163" i="7"/>
  <c r="AE163" i="7"/>
  <c r="AB163" i="7"/>
  <c r="Z163" i="7"/>
  <c r="H163" i="7" s="1"/>
  <c r="L163" i="7" s="1"/>
  <c r="V163" i="7"/>
  <c r="U163" i="7"/>
  <c r="AB658" i="10" s="1"/>
  <c r="T163" i="7"/>
  <c r="G163" i="7"/>
  <c r="U658" i="10" s="1"/>
  <c r="AU162" i="7"/>
  <c r="AI162" i="7"/>
  <c r="AH162" i="7"/>
  <c r="AE162" i="7"/>
  <c r="AB162" i="7"/>
  <c r="Z162" i="7"/>
  <c r="H162" i="7" s="1"/>
  <c r="K162" i="3" s="1"/>
  <c r="V162" i="7"/>
  <c r="U162" i="7"/>
  <c r="AB657" i="10" s="1"/>
  <c r="T162" i="7"/>
  <c r="G162" i="7"/>
  <c r="U657" i="10" s="1"/>
  <c r="AU161" i="7"/>
  <c r="AI161" i="7"/>
  <c r="AH161" i="7"/>
  <c r="AE161" i="7"/>
  <c r="AB161" i="7"/>
  <c r="Z161" i="7"/>
  <c r="H161" i="7" s="1"/>
  <c r="V161" i="7"/>
  <c r="U161" i="7"/>
  <c r="AB656" i="10" s="1"/>
  <c r="T161" i="7"/>
  <c r="G161" i="7"/>
  <c r="U656" i="10" s="1"/>
  <c r="AU160" i="7"/>
  <c r="AI160" i="7"/>
  <c r="AH160" i="7"/>
  <c r="AE160" i="7"/>
  <c r="AB160" i="7"/>
  <c r="Z160" i="7"/>
  <c r="H160" i="7" s="1"/>
  <c r="V160" i="7"/>
  <c r="U160" i="7"/>
  <c r="AB655" i="10" s="1"/>
  <c r="T160" i="7"/>
  <c r="G160" i="7"/>
  <c r="U655" i="10" s="1"/>
  <c r="AU159" i="7"/>
  <c r="AI159" i="7"/>
  <c r="AH159" i="7"/>
  <c r="AE159" i="7"/>
  <c r="AB159" i="7"/>
  <c r="Z159" i="7"/>
  <c r="H159" i="7" s="1"/>
  <c r="V159" i="7"/>
  <c r="U159" i="7"/>
  <c r="AB654" i="10" s="1"/>
  <c r="T159" i="7"/>
  <c r="G159" i="7"/>
  <c r="U654" i="10" s="1"/>
  <c r="AU158" i="7"/>
  <c r="AI158" i="7"/>
  <c r="AH158" i="7"/>
  <c r="AE158" i="7"/>
  <c r="AB158" i="7"/>
  <c r="Z158" i="7"/>
  <c r="V158" i="7"/>
  <c r="U158" i="7"/>
  <c r="AB653" i="10" s="1"/>
  <c r="T158" i="7"/>
  <c r="H158" i="7"/>
  <c r="K158" i="3" s="1"/>
  <c r="G158" i="7"/>
  <c r="U653" i="10" s="1"/>
  <c r="AU157" i="7"/>
  <c r="AI157" i="7"/>
  <c r="AH157" i="7"/>
  <c r="AE157" i="7"/>
  <c r="AB157" i="7"/>
  <c r="Z157" i="7"/>
  <c r="H157" i="7" s="1"/>
  <c r="V157" i="7"/>
  <c r="U157" i="7"/>
  <c r="AB652" i="10" s="1"/>
  <c r="T157" i="7"/>
  <c r="G157" i="7"/>
  <c r="U652" i="10" s="1"/>
  <c r="AU156" i="7"/>
  <c r="AI156" i="7"/>
  <c r="AH156" i="7"/>
  <c r="AE156" i="7"/>
  <c r="AB156" i="7"/>
  <c r="Z156" i="7"/>
  <c r="H156" i="7" s="1"/>
  <c r="V156" i="7"/>
  <c r="U156" i="7"/>
  <c r="AB651" i="10" s="1"/>
  <c r="T156" i="7"/>
  <c r="G156" i="7"/>
  <c r="U651" i="10" s="1"/>
  <c r="AU155" i="7"/>
  <c r="AI155" i="7"/>
  <c r="AH155" i="7"/>
  <c r="AE155" i="7"/>
  <c r="AB155" i="7"/>
  <c r="Z155" i="7"/>
  <c r="H155" i="7" s="1"/>
  <c r="V155" i="7"/>
  <c r="U155" i="7"/>
  <c r="AB650" i="10" s="1"/>
  <c r="T155" i="7"/>
  <c r="G155" i="7"/>
  <c r="U650" i="10" s="1"/>
  <c r="AU154" i="7"/>
  <c r="AI154" i="7"/>
  <c r="AH154" i="7"/>
  <c r="AE154" i="7"/>
  <c r="AB154" i="7"/>
  <c r="Z154" i="7"/>
  <c r="H154" i="7" s="1"/>
  <c r="K154" i="3" s="1"/>
  <c r="V154" i="7"/>
  <c r="U154" i="7"/>
  <c r="AB649" i="10" s="1"/>
  <c r="T154" i="7"/>
  <c r="G154" i="7"/>
  <c r="U649" i="10" s="1"/>
  <c r="AU153" i="7"/>
  <c r="AI153" i="7"/>
  <c r="AH153" i="7"/>
  <c r="AE153" i="7"/>
  <c r="AB153" i="7"/>
  <c r="Z153" i="7"/>
  <c r="H153" i="7" s="1"/>
  <c r="V153" i="7"/>
  <c r="U153" i="7"/>
  <c r="AB648" i="10" s="1"/>
  <c r="T153" i="7"/>
  <c r="G153" i="7"/>
  <c r="U648" i="10" s="1"/>
  <c r="AU152" i="7"/>
  <c r="AI152" i="7"/>
  <c r="AH152" i="7"/>
  <c r="AE152" i="7"/>
  <c r="AB152" i="7"/>
  <c r="Z152" i="7"/>
  <c r="H152" i="7" s="1"/>
  <c r="V152" i="7"/>
  <c r="U152" i="7"/>
  <c r="AB647" i="10" s="1"/>
  <c r="T152" i="7"/>
  <c r="G152" i="7"/>
  <c r="U647" i="10" s="1"/>
  <c r="AU151" i="7"/>
  <c r="AI151" i="7"/>
  <c r="AH151" i="7"/>
  <c r="AE151" i="7"/>
  <c r="AB151" i="7"/>
  <c r="Z151" i="7"/>
  <c r="H151" i="7" s="1"/>
  <c r="V151" i="7"/>
  <c r="U151" i="7"/>
  <c r="AB646" i="10" s="1"/>
  <c r="T151" i="7"/>
  <c r="G151" i="7"/>
  <c r="U646" i="10" s="1"/>
  <c r="AU150" i="7"/>
  <c r="AI150" i="7"/>
  <c r="AH150" i="7"/>
  <c r="AB150" i="7"/>
  <c r="AE150" i="3" s="1"/>
  <c r="Z150" i="7"/>
  <c r="H150" i="7" s="1"/>
  <c r="K150" i="3" s="1"/>
  <c r="V150" i="7"/>
  <c r="U150" i="7"/>
  <c r="AB645" i="10" s="1"/>
  <c r="T150" i="7"/>
  <c r="G150" i="7"/>
  <c r="U645" i="10" s="1"/>
  <c r="AU149" i="7"/>
  <c r="AI149" i="7"/>
  <c r="AH149" i="7"/>
  <c r="AB149" i="7"/>
  <c r="AE149" i="3" s="1"/>
  <c r="Z149" i="7"/>
  <c r="H149" i="7" s="1"/>
  <c r="V149" i="7"/>
  <c r="U149" i="7"/>
  <c r="AB644" i="10" s="1"/>
  <c r="T149" i="7"/>
  <c r="G149" i="7"/>
  <c r="U644" i="10" s="1"/>
  <c r="AU148" i="7"/>
  <c r="AI148" i="7"/>
  <c r="AH148" i="7"/>
  <c r="AB148" i="7"/>
  <c r="AE148" i="3" s="1"/>
  <c r="Z148" i="7"/>
  <c r="H148" i="7" s="1"/>
  <c r="V148" i="7"/>
  <c r="U148" i="7"/>
  <c r="AB643" i="10" s="1"/>
  <c r="T148" i="7"/>
  <c r="G148" i="7"/>
  <c r="U643" i="10" s="1"/>
  <c r="AU147" i="7"/>
  <c r="AI147" i="7"/>
  <c r="AH147" i="7"/>
  <c r="AB147" i="7"/>
  <c r="AE147" i="3" s="1"/>
  <c r="Z147" i="7"/>
  <c r="V147" i="7"/>
  <c r="U147" i="7"/>
  <c r="AB642" i="10" s="1"/>
  <c r="T147" i="7"/>
  <c r="H147" i="7"/>
  <c r="G147" i="7"/>
  <c r="U642" i="10" s="1"/>
  <c r="AU146" i="7"/>
  <c r="AI146" i="7"/>
  <c r="AH146" i="7"/>
  <c r="AB146" i="7"/>
  <c r="AE146" i="3" s="1"/>
  <c r="Z146" i="7"/>
  <c r="H146" i="7" s="1"/>
  <c r="K146" i="3" s="1"/>
  <c r="V146" i="7"/>
  <c r="U146" i="7"/>
  <c r="AB641" i="10" s="1"/>
  <c r="T146" i="7"/>
  <c r="G146" i="7"/>
  <c r="U641" i="10" s="1"/>
  <c r="AU145" i="7"/>
  <c r="AI145" i="7"/>
  <c r="AH145" i="7"/>
  <c r="AB145" i="7"/>
  <c r="AE145" i="3" s="1"/>
  <c r="Z145" i="7"/>
  <c r="H145" i="7" s="1"/>
  <c r="L145" i="7" s="1"/>
  <c r="V145" i="7"/>
  <c r="U145" i="7"/>
  <c r="AB640" i="10" s="1"/>
  <c r="T145" i="7"/>
  <c r="G145" i="7"/>
  <c r="U640" i="10" s="1"/>
  <c r="AU144" i="7"/>
  <c r="AI144" i="7"/>
  <c r="AH144" i="7"/>
  <c r="AE144" i="7"/>
  <c r="AB144" i="7"/>
  <c r="Z144" i="7"/>
  <c r="H144" i="7" s="1"/>
  <c r="K144" i="3" s="1"/>
  <c r="V144" i="7"/>
  <c r="U144" i="7"/>
  <c r="AB639" i="10" s="1"/>
  <c r="T144" i="7"/>
  <c r="L144" i="7"/>
  <c r="O144" i="3" s="1"/>
  <c r="G144" i="7"/>
  <c r="U639" i="10" s="1"/>
  <c r="AU143" i="7"/>
  <c r="AI143" i="7"/>
  <c r="AH143" i="7"/>
  <c r="AE143" i="7"/>
  <c r="AB143" i="7"/>
  <c r="Z143" i="7"/>
  <c r="H143" i="7" s="1"/>
  <c r="L143" i="7" s="1"/>
  <c r="O143" i="3" s="1"/>
  <c r="V143" i="7"/>
  <c r="U143" i="7"/>
  <c r="AB638" i="10" s="1"/>
  <c r="T143" i="7"/>
  <c r="G143" i="7"/>
  <c r="U638" i="10" s="1"/>
  <c r="AU142" i="7"/>
  <c r="AI142" i="7"/>
  <c r="AH142" i="7"/>
  <c r="AE142" i="7"/>
  <c r="AB142" i="7"/>
  <c r="Z142" i="7"/>
  <c r="V142" i="7"/>
  <c r="U142" i="7"/>
  <c r="AB637" i="10" s="1"/>
  <c r="T142" i="7"/>
  <c r="H142" i="7"/>
  <c r="G142" i="7"/>
  <c r="U637" i="10" s="1"/>
  <c r="AU141" i="7"/>
  <c r="AI141" i="7"/>
  <c r="AH141" i="7"/>
  <c r="AE141" i="7"/>
  <c r="AB141" i="7"/>
  <c r="Z141" i="7"/>
  <c r="H141" i="7" s="1"/>
  <c r="V141" i="7"/>
  <c r="U141" i="7"/>
  <c r="AB636" i="10" s="1"/>
  <c r="T141" i="7"/>
  <c r="G141" i="7"/>
  <c r="U636" i="10" s="1"/>
  <c r="AU140" i="7"/>
  <c r="AJ140" i="7"/>
  <c r="AM140" i="3" s="1"/>
  <c r="AI140" i="7"/>
  <c r="AH140" i="7"/>
  <c r="AE140" i="7"/>
  <c r="AB140" i="7"/>
  <c r="Z140" i="7"/>
  <c r="H140" i="7" s="1"/>
  <c r="V140" i="7"/>
  <c r="U140" i="7"/>
  <c r="AB635" i="10" s="1"/>
  <c r="T140" i="7"/>
  <c r="G140" i="7"/>
  <c r="U635" i="10" s="1"/>
  <c r="AU139" i="7"/>
  <c r="AI139" i="7"/>
  <c r="AH139" i="7"/>
  <c r="AE139" i="7"/>
  <c r="AB139" i="7"/>
  <c r="Z139" i="7"/>
  <c r="H139" i="7" s="1"/>
  <c r="V139" i="7"/>
  <c r="U139" i="7"/>
  <c r="AB634" i="10" s="1"/>
  <c r="T139" i="7"/>
  <c r="G139" i="7"/>
  <c r="U634" i="10" s="1"/>
  <c r="AU138" i="7"/>
  <c r="AI138" i="7"/>
  <c r="AH138" i="7"/>
  <c r="AE138" i="7"/>
  <c r="AB138" i="7"/>
  <c r="Z138" i="7"/>
  <c r="H138" i="7" s="1"/>
  <c r="J138" i="7" s="1"/>
  <c r="M138" i="3" s="1"/>
  <c r="V138" i="7"/>
  <c r="U138" i="7"/>
  <c r="AB633" i="10" s="1"/>
  <c r="T138" i="7"/>
  <c r="G138" i="7"/>
  <c r="U633" i="10" s="1"/>
  <c r="AU137" i="7"/>
  <c r="AI137" i="7"/>
  <c r="AH137" i="7"/>
  <c r="AE137" i="7"/>
  <c r="AB137" i="7"/>
  <c r="Z137" i="7"/>
  <c r="H137" i="7" s="1"/>
  <c r="K137" i="3" s="1"/>
  <c r="V137" i="7"/>
  <c r="U137" i="7"/>
  <c r="AB632" i="10" s="1"/>
  <c r="T137" i="7"/>
  <c r="G137" i="7"/>
  <c r="U632" i="10" s="1"/>
  <c r="AU136" i="7"/>
  <c r="AI136" i="7"/>
  <c r="AH136" i="7"/>
  <c r="AE136" i="7"/>
  <c r="AB136" i="7"/>
  <c r="Z136" i="7"/>
  <c r="V136" i="7"/>
  <c r="U136" i="7"/>
  <c r="AB631" i="10" s="1"/>
  <c r="T136" i="7"/>
  <c r="H136" i="7"/>
  <c r="G136" i="7"/>
  <c r="U631" i="10" s="1"/>
  <c r="AU135" i="7"/>
  <c r="AI135" i="7"/>
  <c r="AH135" i="7"/>
  <c r="AE135" i="7"/>
  <c r="AB135" i="7"/>
  <c r="Z135" i="7"/>
  <c r="V135" i="7"/>
  <c r="U135" i="7"/>
  <c r="AB630" i="10" s="1"/>
  <c r="T135" i="7"/>
  <c r="H135" i="7"/>
  <c r="J135" i="7" s="1"/>
  <c r="M135" i="3" s="1"/>
  <c r="G135" i="7"/>
  <c r="U630" i="10" s="1"/>
  <c r="AU134" i="7"/>
  <c r="AI134" i="7"/>
  <c r="AH134" i="7"/>
  <c r="AE134" i="7"/>
  <c r="AB134" i="7"/>
  <c r="Z134" i="7"/>
  <c r="H134" i="7" s="1"/>
  <c r="H629" i="10" s="1"/>
  <c r="BX629" i="10" s="1"/>
  <c r="V134" i="7"/>
  <c r="U134" i="7"/>
  <c r="AB629" i="10" s="1"/>
  <c r="T134" i="7"/>
  <c r="G134" i="7"/>
  <c r="U629" i="10" s="1"/>
  <c r="O629" i="10" s="1"/>
  <c r="AU133" i="7"/>
  <c r="AI133" i="7"/>
  <c r="AH133" i="7"/>
  <c r="AE133" i="7"/>
  <c r="AB133" i="7"/>
  <c r="Z133" i="7"/>
  <c r="V133" i="7"/>
  <c r="U133" i="7"/>
  <c r="AB628" i="10" s="1"/>
  <c r="T133" i="7"/>
  <c r="H133" i="7"/>
  <c r="G133" i="7"/>
  <c r="U628" i="10" s="1"/>
  <c r="AU132" i="7"/>
  <c r="AI132" i="7"/>
  <c r="AH132" i="7"/>
  <c r="AE132" i="7"/>
  <c r="AB132" i="7"/>
  <c r="Z132" i="7"/>
  <c r="V132" i="7"/>
  <c r="U132" i="7"/>
  <c r="AB627" i="10" s="1"/>
  <c r="T132" i="7"/>
  <c r="H132" i="7"/>
  <c r="L132" i="7" s="1"/>
  <c r="O132" i="3" s="1"/>
  <c r="G132" i="7"/>
  <c r="U627" i="10" s="1"/>
  <c r="AU131" i="7"/>
  <c r="AI131" i="7"/>
  <c r="AK131" i="7" s="1"/>
  <c r="AN131" i="3" s="1"/>
  <c r="AH131" i="7"/>
  <c r="AJ131" i="7" s="1"/>
  <c r="AM131" i="3" s="1"/>
  <c r="AE131" i="7"/>
  <c r="AB131" i="7"/>
  <c r="Z131" i="7"/>
  <c r="V131" i="7"/>
  <c r="U131" i="7"/>
  <c r="AB626" i="10" s="1"/>
  <c r="T131" i="7"/>
  <c r="H131" i="7"/>
  <c r="G131" i="7"/>
  <c r="U626" i="10" s="1"/>
  <c r="AU130" i="7"/>
  <c r="AI130" i="7"/>
  <c r="AH130" i="7"/>
  <c r="AE130" i="7"/>
  <c r="AB130" i="7"/>
  <c r="Z130" i="7"/>
  <c r="V130" i="7"/>
  <c r="U130" i="7"/>
  <c r="AB625" i="10" s="1"/>
  <c r="T130" i="7"/>
  <c r="H130" i="7"/>
  <c r="AK130" i="7" s="1"/>
  <c r="AN130" i="3" s="1"/>
  <c r="G130" i="7"/>
  <c r="U625" i="10" s="1"/>
  <c r="AU129" i="7"/>
  <c r="AI129" i="7"/>
  <c r="AH129" i="7"/>
  <c r="AE129" i="7"/>
  <c r="AB129" i="7"/>
  <c r="Z129" i="7"/>
  <c r="H129" i="7" s="1"/>
  <c r="V129" i="7"/>
  <c r="U129" i="7"/>
  <c r="AB624" i="10" s="1"/>
  <c r="T129" i="7"/>
  <c r="G129" i="7"/>
  <c r="U624" i="10" s="1"/>
  <c r="AU128" i="7"/>
  <c r="AI128" i="7"/>
  <c r="AH128" i="7"/>
  <c r="AE128" i="7"/>
  <c r="AB128" i="7"/>
  <c r="Z128" i="7"/>
  <c r="H128" i="7" s="1"/>
  <c r="K128" i="3" s="1"/>
  <c r="V128" i="7"/>
  <c r="U128" i="7"/>
  <c r="AB623" i="10" s="1"/>
  <c r="T128" i="7"/>
  <c r="G128" i="7"/>
  <c r="U623" i="10" s="1"/>
  <c r="AU127" i="7"/>
  <c r="AI127" i="7"/>
  <c r="AH127" i="7"/>
  <c r="AB127" i="7"/>
  <c r="AE127" i="3" s="1"/>
  <c r="Z127" i="7"/>
  <c r="H127" i="7" s="1"/>
  <c r="K127" i="3" s="1"/>
  <c r="V127" i="7"/>
  <c r="U127" i="7"/>
  <c r="AB622" i="10" s="1"/>
  <c r="T127" i="7"/>
  <c r="G127" i="7"/>
  <c r="U622" i="10" s="1"/>
  <c r="AU126" i="7"/>
  <c r="AI126" i="7"/>
  <c r="AH126" i="7"/>
  <c r="AB126" i="7"/>
  <c r="AE126" i="3" s="1"/>
  <c r="Z126" i="7"/>
  <c r="V126" i="7"/>
  <c r="U126" i="7"/>
  <c r="AB621" i="10" s="1"/>
  <c r="T126" i="7"/>
  <c r="H126" i="7"/>
  <c r="G126" i="7"/>
  <c r="U621" i="10" s="1"/>
  <c r="AU125" i="7"/>
  <c r="AI125" i="7"/>
  <c r="AH125" i="7"/>
  <c r="AB125" i="7"/>
  <c r="AE125" i="3" s="1"/>
  <c r="Z125" i="7"/>
  <c r="H125" i="7" s="1"/>
  <c r="V125" i="7"/>
  <c r="U125" i="7"/>
  <c r="AB620" i="10" s="1"/>
  <c r="T125" i="7"/>
  <c r="G125" i="7"/>
  <c r="U620" i="10" s="1"/>
  <c r="AU124" i="7"/>
  <c r="AI124" i="7"/>
  <c r="AH124" i="7"/>
  <c r="AB124" i="7"/>
  <c r="Z124" i="7"/>
  <c r="H124" i="7" s="1"/>
  <c r="V124" i="7"/>
  <c r="U124" i="7"/>
  <c r="AB619" i="10" s="1"/>
  <c r="T124" i="7"/>
  <c r="G124" i="7"/>
  <c r="AU123" i="7"/>
  <c r="AI123" i="7"/>
  <c r="AH123" i="7"/>
  <c r="AE123" i="7"/>
  <c r="AB123" i="7"/>
  <c r="Z123" i="7"/>
  <c r="H123" i="7" s="1"/>
  <c r="AJ123" i="7" s="1"/>
  <c r="AM123" i="3" s="1"/>
  <c r="V123" i="7"/>
  <c r="U123" i="7"/>
  <c r="AB618" i="10" s="1"/>
  <c r="T123" i="7"/>
  <c r="G123" i="7"/>
  <c r="U618" i="10" s="1"/>
  <c r="AU122" i="7"/>
  <c r="AV122" i="7" s="1"/>
  <c r="AY122" i="3" s="1"/>
  <c r="AI122" i="7"/>
  <c r="AH122" i="7"/>
  <c r="AE122" i="7"/>
  <c r="AB122" i="7"/>
  <c r="Z122" i="7"/>
  <c r="H122" i="7" s="1"/>
  <c r="L122" i="7" s="1"/>
  <c r="O122" i="3" s="1"/>
  <c r="V122" i="7"/>
  <c r="U122" i="7"/>
  <c r="AB617" i="10" s="1"/>
  <c r="T122" i="7"/>
  <c r="G122" i="7"/>
  <c r="U617" i="10" s="1"/>
  <c r="AU121" i="7"/>
  <c r="AI121" i="7"/>
  <c r="AH121" i="7"/>
  <c r="AE121" i="7"/>
  <c r="AB121" i="7"/>
  <c r="Z121" i="7"/>
  <c r="H121" i="7" s="1"/>
  <c r="V121" i="7"/>
  <c r="U121" i="7"/>
  <c r="AB616" i="10" s="1"/>
  <c r="T121" i="7"/>
  <c r="G121" i="7"/>
  <c r="U616" i="10" s="1"/>
  <c r="AU120" i="7"/>
  <c r="AI120" i="7"/>
  <c r="AH120" i="7"/>
  <c r="AE120" i="7"/>
  <c r="AB120" i="7"/>
  <c r="Z120" i="7"/>
  <c r="H120" i="7" s="1"/>
  <c r="V120" i="7"/>
  <c r="U120" i="7"/>
  <c r="AB615" i="10" s="1"/>
  <c r="T120" i="7"/>
  <c r="G120" i="7"/>
  <c r="U615" i="10" s="1"/>
  <c r="AU119" i="7"/>
  <c r="AI119" i="7"/>
  <c r="AH119" i="7"/>
  <c r="AE119" i="7"/>
  <c r="AB119" i="7"/>
  <c r="Z119" i="7"/>
  <c r="H119" i="7" s="1"/>
  <c r="V119" i="7"/>
  <c r="U119" i="7"/>
  <c r="AB614" i="10" s="1"/>
  <c r="T119" i="7"/>
  <c r="G119" i="7"/>
  <c r="U614" i="10" s="1"/>
  <c r="AU118" i="7"/>
  <c r="AI118" i="7"/>
  <c r="AH118" i="7"/>
  <c r="AE118" i="7"/>
  <c r="AB118" i="7"/>
  <c r="Z118" i="7"/>
  <c r="V118" i="7"/>
  <c r="U118" i="7"/>
  <c r="AB613" i="10" s="1"/>
  <c r="T118" i="7"/>
  <c r="H118" i="7"/>
  <c r="K118" i="3" s="1"/>
  <c r="G118" i="7"/>
  <c r="U613" i="10" s="1"/>
  <c r="AU117" i="7"/>
  <c r="AI117" i="7"/>
  <c r="AH117" i="7"/>
  <c r="AE117" i="7"/>
  <c r="AB117" i="7"/>
  <c r="Z117" i="7"/>
  <c r="H117" i="7" s="1"/>
  <c r="V117" i="7"/>
  <c r="U117" i="7"/>
  <c r="AB612" i="10" s="1"/>
  <c r="T117" i="7"/>
  <c r="G117" i="7"/>
  <c r="U612" i="10" s="1"/>
  <c r="AU116" i="7"/>
  <c r="AI116" i="7"/>
  <c r="AK116" i="7" s="1"/>
  <c r="AN116" i="3" s="1"/>
  <c r="AH116" i="7"/>
  <c r="AE116" i="7"/>
  <c r="AB116" i="7"/>
  <c r="Z116" i="7"/>
  <c r="H116" i="7" s="1"/>
  <c r="L116" i="7" s="1"/>
  <c r="V116" i="7"/>
  <c r="U116" i="7"/>
  <c r="AB611" i="10" s="1"/>
  <c r="T116" i="7"/>
  <c r="G116" i="7"/>
  <c r="U611" i="10" s="1"/>
  <c r="AU115" i="7"/>
  <c r="AI115" i="7"/>
  <c r="AH115" i="7"/>
  <c r="AE115" i="7"/>
  <c r="AB115" i="7"/>
  <c r="Z115" i="7"/>
  <c r="H115" i="7" s="1"/>
  <c r="AV115" i="7" s="1"/>
  <c r="AY115" i="3" s="1"/>
  <c r="V115" i="7"/>
  <c r="U115" i="7"/>
  <c r="AB610" i="10" s="1"/>
  <c r="T115" i="7"/>
  <c r="G115" i="7"/>
  <c r="U610" i="10" s="1"/>
  <c r="AU114" i="7"/>
  <c r="AI114" i="7"/>
  <c r="AH114" i="7"/>
  <c r="AE114" i="7"/>
  <c r="AB114" i="7"/>
  <c r="Z114" i="7"/>
  <c r="H114" i="7" s="1"/>
  <c r="V114" i="7"/>
  <c r="U114" i="7"/>
  <c r="AB609" i="10" s="1"/>
  <c r="T114" i="7"/>
  <c r="G114" i="7"/>
  <c r="U609" i="10" s="1"/>
  <c r="AU113" i="7"/>
  <c r="AI113" i="7"/>
  <c r="AH113" i="7"/>
  <c r="AE113" i="7"/>
  <c r="AB113" i="7"/>
  <c r="Z113" i="7"/>
  <c r="H113" i="7" s="1"/>
  <c r="V113" i="7"/>
  <c r="U113" i="7"/>
  <c r="AB608" i="10" s="1"/>
  <c r="T113" i="7"/>
  <c r="G113" i="7"/>
  <c r="U608" i="10" s="1"/>
  <c r="AU112" i="7"/>
  <c r="AI112" i="7"/>
  <c r="AH112" i="7"/>
  <c r="AE112" i="7"/>
  <c r="AB112" i="7"/>
  <c r="Z112" i="7"/>
  <c r="H112" i="7" s="1"/>
  <c r="V112" i="7"/>
  <c r="U112" i="7"/>
  <c r="AB607" i="10" s="1"/>
  <c r="T112" i="7"/>
  <c r="G112" i="7"/>
  <c r="U607" i="10" s="1"/>
  <c r="AU111" i="7"/>
  <c r="AI111" i="7"/>
  <c r="AH111" i="7"/>
  <c r="AE111" i="7"/>
  <c r="AB111" i="7"/>
  <c r="Z111" i="7"/>
  <c r="H111" i="7" s="1"/>
  <c r="V111" i="7"/>
  <c r="U111" i="7"/>
  <c r="AB606" i="10" s="1"/>
  <c r="T111" i="7"/>
  <c r="G111" i="7"/>
  <c r="U606" i="10" s="1"/>
  <c r="AU110" i="7"/>
  <c r="AI110" i="7"/>
  <c r="AH110" i="7"/>
  <c r="AE110" i="7"/>
  <c r="AB110" i="7"/>
  <c r="Z110" i="7"/>
  <c r="H110" i="7" s="1"/>
  <c r="V110" i="7"/>
  <c r="U110" i="7"/>
  <c r="AB605" i="10" s="1"/>
  <c r="T110" i="7"/>
  <c r="G110" i="7"/>
  <c r="U605" i="10" s="1"/>
  <c r="AU109" i="7"/>
  <c r="AI109" i="7"/>
  <c r="AH109" i="7"/>
  <c r="AE109" i="7"/>
  <c r="AB109" i="7"/>
  <c r="Z109" i="7"/>
  <c r="V109" i="7"/>
  <c r="U109" i="7"/>
  <c r="AB604" i="10" s="1"/>
  <c r="T109" i="7"/>
  <c r="H109" i="7"/>
  <c r="K109" i="3" s="1"/>
  <c r="G109" i="7"/>
  <c r="U604" i="10" s="1"/>
  <c r="AU108" i="7"/>
  <c r="AI108" i="7"/>
  <c r="AH108" i="7"/>
  <c r="AE108" i="7"/>
  <c r="AB108" i="7"/>
  <c r="Z108" i="7"/>
  <c r="H108" i="7" s="1"/>
  <c r="J108" i="7" s="1"/>
  <c r="M108" i="3" s="1"/>
  <c r="V108" i="7"/>
  <c r="U108" i="7"/>
  <c r="AB603" i="10" s="1"/>
  <c r="T108" i="7"/>
  <c r="G108" i="7"/>
  <c r="U603" i="10" s="1"/>
  <c r="AU107" i="7"/>
  <c r="AI107" i="7"/>
  <c r="AH107" i="7"/>
  <c r="AE107" i="7"/>
  <c r="AB107" i="7"/>
  <c r="Z107" i="7"/>
  <c r="H107" i="7" s="1"/>
  <c r="K107" i="3" s="1"/>
  <c r="V107" i="7"/>
  <c r="U107" i="7"/>
  <c r="AB602" i="10" s="1"/>
  <c r="T107" i="7"/>
  <c r="G107" i="7"/>
  <c r="U602" i="10" s="1"/>
  <c r="AU106" i="7"/>
  <c r="AI106" i="7"/>
  <c r="AH106" i="7"/>
  <c r="AE106" i="7"/>
  <c r="AB106" i="7"/>
  <c r="Z106" i="7"/>
  <c r="H106" i="7" s="1"/>
  <c r="L106" i="7" s="1"/>
  <c r="O106" i="3" s="1"/>
  <c r="V106" i="7"/>
  <c r="U106" i="7"/>
  <c r="AB601" i="10" s="1"/>
  <c r="T106" i="7"/>
  <c r="G106" i="7"/>
  <c r="U601" i="10" s="1"/>
  <c r="AU105" i="7"/>
  <c r="AI105" i="7"/>
  <c r="AH105" i="7"/>
  <c r="AE105" i="7"/>
  <c r="AB105" i="7"/>
  <c r="Z105" i="7"/>
  <c r="H105" i="7" s="1"/>
  <c r="K105" i="3" s="1"/>
  <c r="V105" i="7"/>
  <c r="U105" i="7"/>
  <c r="AB600" i="10" s="1"/>
  <c r="T105" i="7"/>
  <c r="G105" i="7"/>
  <c r="U600" i="10" s="1"/>
  <c r="AU104" i="7"/>
  <c r="AI104" i="7"/>
  <c r="AH104" i="7"/>
  <c r="AE104" i="7"/>
  <c r="AB104" i="7"/>
  <c r="Z104" i="7"/>
  <c r="H104" i="7" s="1"/>
  <c r="V104" i="7"/>
  <c r="U104" i="7"/>
  <c r="AB599" i="10" s="1"/>
  <c r="T104" i="7"/>
  <c r="G104" i="7"/>
  <c r="U599" i="10" s="1"/>
  <c r="AU103" i="7"/>
  <c r="AI103" i="7"/>
  <c r="AH103" i="7"/>
  <c r="AE103" i="7"/>
  <c r="AB103" i="7"/>
  <c r="Z103" i="7"/>
  <c r="H103" i="7" s="1"/>
  <c r="AV103" i="7" s="1"/>
  <c r="AY103" i="3" s="1"/>
  <c r="V103" i="7"/>
  <c r="U103" i="7"/>
  <c r="AB598" i="10" s="1"/>
  <c r="T103" i="7"/>
  <c r="G103" i="7"/>
  <c r="U598" i="10" s="1"/>
  <c r="AU102" i="7"/>
  <c r="AI102" i="7"/>
  <c r="AH102" i="7"/>
  <c r="AE102" i="7"/>
  <c r="AB102" i="7"/>
  <c r="Z102" i="7"/>
  <c r="H102" i="7" s="1"/>
  <c r="V102" i="7"/>
  <c r="U102" i="7"/>
  <c r="AB597" i="10" s="1"/>
  <c r="T102" i="7"/>
  <c r="G102" i="7"/>
  <c r="U597" i="10" s="1"/>
  <c r="AU101" i="7"/>
  <c r="AI101" i="7"/>
  <c r="AH101" i="7"/>
  <c r="AB101" i="7"/>
  <c r="AE101" i="3" s="1"/>
  <c r="Z101" i="7"/>
  <c r="H101" i="7" s="1"/>
  <c r="V101" i="7"/>
  <c r="U101" i="7"/>
  <c r="AB596" i="10" s="1"/>
  <c r="T101" i="7"/>
  <c r="G101" i="7"/>
  <c r="U596" i="10" s="1"/>
  <c r="AU100" i="7"/>
  <c r="AI100" i="7"/>
  <c r="AH100" i="7"/>
  <c r="AB100" i="7"/>
  <c r="AE100" i="3" s="1"/>
  <c r="Z100" i="7"/>
  <c r="H100" i="7" s="1"/>
  <c r="AJ100" i="7" s="1"/>
  <c r="AM100" i="3" s="1"/>
  <c r="V100" i="7"/>
  <c r="U100" i="7"/>
  <c r="AB595" i="10" s="1"/>
  <c r="T100" i="7"/>
  <c r="G100" i="7"/>
  <c r="U595" i="10" s="1"/>
  <c r="AU99" i="7"/>
  <c r="AI99" i="7"/>
  <c r="AH99" i="7"/>
  <c r="AB99" i="7"/>
  <c r="AE99" i="3" s="1"/>
  <c r="Z99" i="7"/>
  <c r="H99" i="7" s="1"/>
  <c r="V99" i="7"/>
  <c r="U99" i="7"/>
  <c r="AB594" i="10" s="1"/>
  <c r="T99" i="7"/>
  <c r="G99" i="7"/>
  <c r="U594" i="10" s="1"/>
  <c r="AU98" i="7"/>
  <c r="AI98" i="7"/>
  <c r="AH98" i="7"/>
  <c r="AB98" i="7"/>
  <c r="AE98" i="3" s="1"/>
  <c r="Z98" i="7"/>
  <c r="H98" i="7" s="1"/>
  <c r="K98" i="3" s="1"/>
  <c r="V98" i="7"/>
  <c r="U98" i="7"/>
  <c r="AB593" i="10" s="1"/>
  <c r="T98" i="7"/>
  <c r="G98" i="7"/>
  <c r="U593" i="10" s="1"/>
  <c r="AU97" i="7"/>
  <c r="AI97" i="7"/>
  <c r="AH97" i="7"/>
  <c r="AE97" i="7"/>
  <c r="AB97" i="7"/>
  <c r="Z97" i="7"/>
  <c r="H97" i="7" s="1"/>
  <c r="V97" i="7"/>
  <c r="U97" i="7"/>
  <c r="AB592" i="10" s="1"/>
  <c r="T97" i="7"/>
  <c r="G97" i="7"/>
  <c r="U592" i="10" s="1"/>
  <c r="AU96" i="7"/>
  <c r="AI96" i="7"/>
  <c r="AH96" i="7"/>
  <c r="AE96" i="7"/>
  <c r="AB96" i="7"/>
  <c r="Z96" i="7"/>
  <c r="H96" i="7" s="1"/>
  <c r="V96" i="7"/>
  <c r="U96" i="7"/>
  <c r="AB591" i="10" s="1"/>
  <c r="T96" i="7"/>
  <c r="L96" i="7"/>
  <c r="O96" i="3" s="1"/>
  <c r="G96" i="7"/>
  <c r="U591" i="10" s="1"/>
  <c r="AU95" i="7"/>
  <c r="AI95" i="7"/>
  <c r="AH95" i="7"/>
  <c r="AE95" i="7"/>
  <c r="AB95" i="7"/>
  <c r="Z95" i="7"/>
  <c r="H95" i="7" s="1"/>
  <c r="V95" i="7"/>
  <c r="U95" i="7"/>
  <c r="AB590" i="10" s="1"/>
  <c r="T95" i="7"/>
  <c r="G95" i="7"/>
  <c r="U590" i="10" s="1"/>
  <c r="AU94" i="7"/>
  <c r="AI94" i="7"/>
  <c r="AH94" i="7"/>
  <c r="AE94" i="7"/>
  <c r="AB94" i="7"/>
  <c r="Z94" i="7"/>
  <c r="H94" i="7" s="1"/>
  <c r="V94" i="7"/>
  <c r="U94" i="7"/>
  <c r="AB589" i="10" s="1"/>
  <c r="T94" i="7"/>
  <c r="G94" i="7"/>
  <c r="U589" i="10" s="1"/>
  <c r="AU93" i="7"/>
  <c r="AI93" i="7"/>
  <c r="AH93" i="7"/>
  <c r="AE93" i="7"/>
  <c r="AB93" i="7"/>
  <c r="Z93" i="7"/>
  <c r="H93" i="7" s="1"/>
  <c r="V93" i="7"/>
  <c r="U93" i="7"/>
  <c r="AB588" i="10" s="1"/>
  <c r="T93" i="7"/>
  <c r="G93" i="7"/>
  <c r="U588" i="10" s="1"/>
  <c r="AU92" i="7"/>
  <c r="AI92" i="7"/>
  <c r="AH92" i="7"/>
  <c r="AE92" i="7"/>
  <c r="AB92" i="7"/>
  <c r="Z92" i="7"/>
  <c r="H92" i="7" s="1"/>
  <c r="V92" i="7"/>
  <c r="U92" i="7"/>
  <c r="AB587" i="10" s="1"/>
  <c r="T92" i="7"/>
  <c r="G92" i="7"/>
  <c r="U587" i="10" s="1"/>
  <c r="AU91" i="7"/>
  <c r="AI91" i="7"/>
  <c r="AH91" i="7"/>
  <c r="AE91" i="7"/>
  <c r="AB91" i="7"/>
  <c r="Z91" i="7"/>
  <c r="H91" i="7" s="1"/>
  <c r="AK91" i="7" s="1"/>
  <c r="AN91" i="3" s="1"/>
  <c r="V91" i="7"/>
  <c r="U91" i="7"/>
  <c r="AB586" i="10" s="1"/>
  <c r="T91" i="7"/>
  <c r="G91" i="7"/>
  <c r="U586" i="10" s="1"/>
  <c r="AU90" i="7"/>
  <c r="AI90" i="7"/>
  <c r="AH90" i="7"/>
  <c r="AE90" i="7"/>
  <c r="AB90" i="7"/>
  <c r="Z90" i="7"/>
  <c r="H90" i="7" s="1"/>
  <c r="V90" i="7"/>
  <c r="U90" i="7"/>
  <c r="AB585" i="10" s="1"/>
  <c r="T90" i="7"/>
  <c r="G90" i="7"/>
  <c r="U585" i="10" s="1"/>
  <c r="AU89" i="7"/>
  <c r="AI89" i="7"/>
  <c r="AH89" i="7"/>
  <c r="AE89" i="7"/>
  <c r="AB89" i="7"/>
  <c r="Z89" i="7"/>
  <c r="H89" i="7" s="1"/>
  <c r="V89" i="7"/>
  <c r="U89" i="7"/>
  <c r="AB584" i="10" s="1"/>
  <c r="T89" i="7"/>
  <c r="G89" i="7"/>
  <c r="U584" i="10" s="1"/>
  <c r="AU88" i="7"/>
  <c r="AI88" i="7"/>
  <c r="AH88" i="7"/>
  <c r="AE88" i="7"/>
  <c r="AB88" i="7"/>
  <c r="Z88" i="7"/>
  <c r="H88" i="7" s="1"/>
  <c r="V88" i="7"/>
  <c r="U88" i="7"/>
  <c r="AB583" i="10" s="1"/>
  <c r="T88" i="7"/>
  <c r="G88" i="7"/>
  <c r="U583" i="10" s="1"/>
  <c r="AU87" i="7"/>
  <c r="AI87" i="7"/>
  <c r="AH87" i="7"/>
  <c r="AE87" i="7"/>
  <c r="AB87" i="7"/>
  <c r="Z87" i="7"/>
  <c r="H87" i="7" s="1"/>
  <c r="V87" i="7"/>
  <c r="U87" i="7"/>
  <c r="AB582" i="10" s="1"/>
  <c r="T87" i="7"/>
  <c r="G87" i="7"/>
  <c r="U582" i="10" s="1"/>
  <c r="AU86" i="7"/>
  <c r="AI86" i="7"/>
  <c r="AH86" i="7"/>
  <c r="AE86" i="7"/>
  <c r="AB86" i="7"/>
  <c r="Z86" i="7"/>
  <c r="H86" i="7" s="1"/>
  <c r="V86" i="7"/>
  <c r="U86" i="7"/>
  <c r="AB581" i="10" s="1"/>
  <c r="T86" i="7"/>
  <c r="G86" i="7"/>
  <c r="U581" i="10" s="1"/>
  <c r="AU85" i="7"/>
  <c r="AI85" i="7"/>
  <c r="AH85" i="7"/>
  <c r="AE85" i="7"/>
  <c r="AB85" i="7"/>
  <c r="Z85" i="7"/>
  <c r="H85" i="7" s="1"/>
  <c r="V85" i="7"/>
  <c r="U85" i="7"/>
  <c r="AB580" i="10" s="1"/>
  <c r="T85" i="7"/>
  <c r="G85" i="7"/>
  <c r="U580" i="10" s="1"/>
  <c r="AU84" i="7"/>
  <c r="AI84" i="7"/>
  <c r="AH84" i="7"/>
  <c r="AE84" i="7"/>
  <c r="AB84" i="7"/>
  <c r="Z84" i="7"/>
  <c r="H84" i="7" s="1"/>
  <c r="V84" i="7"/>
  <c r="U84" i="7"/>
  <c r="AB579" i="10" s="1"/>
  <c r="T84" i="7"/>
  <c r="G84" i="7"/>
  <c r="U579" i="10" s="1"/>
  <c r="AU83" i="7"/>
  <c r="AI83" i="7"/>
  <c r="AH83" i="7"/>
  <c r="AE83" i="7"/>
  <c r="AB83" i="7"/>
  <c r="Z83" i="7"/>
  <c r="H83" i="7" s="1"/>
  <c r="K83" i="3" s="1"/>
  <c r="V83" i="7"/>
  <c r="U83" i="7"/>
  <c r="AB578" i="10" s="1"/>
  <c r="T83" i="7"/>
  <c r="G83" i="7"/>
  <c r="U578" i="10" s="1"/>
  <c r="AU82" i="7"/>
  <c r="AI82" i="7"/>
  <c r="AK82" i="7" s="1"/>
  <c r="AN82" i="3" s="1"/>
  <c r="AH82" i="7"/>
  <c r="AE82" i="7"/>
  <c r="AB82" i="7"/>
  <c r="Z82" i="7"/>
  <c r="H82" i="7" s="1"/>
  <c r="V82" i="7"/>
  <c r="U82" i="7"/>
  <c r="AB577" i="10" s="1"/>
  <c r="T82" i="7"/>
  <c r="G82" i="7"/>
  <c r="U577" i="10" s="1"/>
  <c r="AU81" i="7"/>
  <c r="AI81" i="7"/>
  <c r="AH81" i="7"/>
  <c r="AE81" i="7"/>
  <c r="AB81" i="7"/>
  <c r="Z81" i="7"/>
  <c r="H81" i="7" s="1"/>
  <c r="K81" i="3" s="1"/>
  <c r="V81" i="7"/>
  <c r="U81" i="7"/>
  <c r="AB576" i="10" s="1"/>
  <c r="T81" i="7"/>
  <c r="G81" i="7"/>
  <c r="U576" i="10" s="1"/>
  <c r="AU80" i="7"/>
  <c r="AI80" i="7"/>
  <c r="AH80" i="7"/>
  <c r="AE80" i="7"/>
  <c r="AB80" i="7"/>
  <c r="Z80" i="7"/>
  <c r="H80" i="7" s="1"/>
  <c r="V80" i="7"/>
  <c r="U80" i="7"/>
  <c r="AB575" i="10" s="1"/>
  <c r="T80" i="7"/>
  <c r="G80" i="7"/>
  <c r="U575" i="10" s="1"/>
  <c r="AU79" i="7"/>
  <c r="AI79" i="7"/>
  <c r="AH79" i="7"/>
  <c r="AE79" i="7"/>
  <c r="AB79" i="7"/>
  <c r="Z79" i="7"/>
  <c r="V79" i="7"/>
  <c r="U79" i="7"/>
  <c r="AB574" i="10" s="1"/>
  <c r="T79" i="7"/>
  <c r="H79" i="7"/>
  <c r="G79" i="7"/>
  <c r="U574" i="10" s="1"/>
  <c r="AU78" i="7"/>
  <c r="AI78" i="7"/>
  <c r="AH78" i="7"/>
  <c r="AE78" i="7"/>
  <c r="AB78" i="7"/>
  <c r="Z78" i="7"/>
  <c r="H78" i="7" s="1"/>
  <c r="K78" i="3" s="1"/>
  <c r="V78" i="7"/>
  <c r="U78" i="7"/>
  <c r="AB573" i="10" s="1"/>
  <c r="T78" i="7"/>
  <c r="G78" i="7"/>
  <c r="U573" i="10" s="1"/>
  <c r="AU77" i="7"/>
  <c r="AI77" i="7"/>
  <c r="AH77" i="7"/>
  <c r="AE77" i="7"/>
  <c r="AB77" i="7"/>
  <c r="Z77" i="7"/>
  <c r="H77" i="7" s="1"/>
  <c r="V77" i="7"/>
  <c r="U77" i="7"/>
  <c r="T77" i="7"/>
  <c r="G77" i="7"/>
  <c r="U572" i="10" s="1"/>
  <c r="AU76" i="7"/>
  <c r="AI76" i="7"/>
  <c r="AH76" i="7"/>
  <c r="AE76" i="7"/>
  <c r="AB76" i="7"/>
  <c r="Z76" i="7"/>
  <c r="H76" i="7" s="1"/>
  <c r="V76" i="7"/>
  <c r="U76" i="7"/>
  <c r="AB571" i="10" s="1"/>
  <c r="T76" i="7"/>
  <c r="G76" i="7"/>
  <c r="U571" i="10" s="1"/>
  <c r="AU75" i="7"/>
  <c r="AI75" i="7"/>
  <c r="AH75" i="7"/>
  <c r="AB75" i="7"/>
  <c r="AE75" i="3" s="1"/>
  <c r="Z75" i="7"/>
  <c r="H75" i="7" s="1"/>
  <c r="V75" i="7"/>
  <c r="U75" i="7"/>
  <c r="AB570" i="10" s="1"/>
  <c r="T75" i="7"/>
  <c r="G75" i="7"/>
  <c r="U570" i="10" s="1"/>
  <c r="AU74" i="7"/>
  <c r="AI74" i="7"/>
  <c r="AH74" i="7"/>
  <c r="AB74" i="7"/>
  <c r="AE74" i="3" s="1"/>
  <c r="Z74" i="7"/>
  <c r="H74" i="7" s="1"/>
  <c r="V74" i="7"/>
  <c r="U74" i="7"/>
  <c r="AB569" i="10" s="1"/>
  <c r="T74" i="7"/>
  <c r="G74" i="7"/>
  <c r="U569" i="10" s="1"/>
  <c r="AU73" i="7"/>
  <c r="AI73" i="7"/>
  <c r="AH73" i="7"/>
  <c r="AJ73" i="7" s="1"/>
  <c r="AM73" i="3" s="1"/>
  <c r="AB73" i="7"/>
  <c r="AE73" i="3" s="1"/>
  <c r="Z73" i="7"/>
  <c r="H73" i="7" s="1"/>
  <c r="K73" i="3" s="1"/>
  <c r="V73" i="7"/>
  <c r="U73" i="7"/>
  <c r="AB568" i="10" s="1"/>
  <c r="T73" i="7"/>
  <c r="G73" i="7"/>
  <c r="U568" i="10" s="1"/>
  <c r="AU72" i="7"/>
  <c r="AI72" i="7"/>
  <c r="AH72" i="7"/>
  <c r="AB72" i="7"/>
  <c r="AE72" i="3" s="1"/>
  <c r="Z72" i="7"/>
  <c r="H72" i="7" s="1"/>
  <c r="V72" i="7"/>
  <c r="U72" i="7"/>
  <c r="AB567" i="10" s="1"/>
  <c r="T72" i="7"/>
  <c r="G72" i="7"/>
  <c r="U567" i="10" s="1"/>
  <c r="AU71" i="7"/>
  <c r="AI71" i="7"/>
  <c r="AH71" i="7"/>
  <c r="AE71" i="7"/>
  <c r="AB71" i="7"/>
  <c r="Z71" i="7"/>
  <c r="H71" i="7" s="1"/>
  <c r="V71" i="7"/>
  <c r="U71" i="7"/>
  <c r="AB566" i="10" s="1"/>
  <c r="T71" i="7"/>
  <c r="G71" i="7"/>
  <c r="U566" i="10" s="1"/>
  <c r="AU70" i="7"/>
  <c r="AI70" i="7"/>
  <c r="AH70" i="7"/>
  <c r="AE70" i="7"/>
  <c r="AB70" i="7"/>
  <c r="Z70" i="7"/>
  <c r="H70" i="7" s="1"/>
  <c r="V70" i="7"/>
  <c r="U70" i="7"/>
  <c r="AB565" i="10" s="1"/>
  <c r="T70" i="7"/>
  <c r="L70" i="7"/>
  <c r="O70" i="3" s="1"/>
  <c r="G70" i="7"/>
  <c r="U565" i="10" s="1"/>
  <c r="AU69" i="7"/>
  <c r="AI69" i="7"/>
  <c r="AH69" i="7"/>
  <c r="AE69" i="7"/>
  <c r="AB69" i="7"/>
  <c r="Z69" i="7"/>
  <c r="H69" i="7" s="1"/>
  <c r="V69" i="7"/>
  <c r="U69" i="7"/>
  <c r="AB564" i="10" s="1"/>
  <c r="T69" i="7"/>
  <c r="G69" i="7"/>
  <c r="U564" i="10" s="1"/>
  <c r="AU68" i="7"/>
  <c r="AI68" i="7"/>
  <c r="AK68" i="7" s="1"/>
  <c r="AN68" i="3" s="1"/>
  <c r="AH68" i="7"/>
  <c r="AE68" i="7"/>
  <c r="AB68" i="7"/>
  <c r="Z68" i="7"/>
  <c r="H68" i="7" s="1"/>
  <c r="K68" i="3" s="1"/>
  <c r="V68" i="7"/>
  <c r="U68" i="7"/>
  <c r="AB563" i="10" s="1"/>
  <c r="T68" i="7"/>
  <c r="G68" i="7"/>
  <c r="U563" i="10" s="1"/>
  <c r="AU67" i="7"/>
  <c r="AI67" i="7"/>
  <c r="AH67" i="7"/>
  <c r="AE67" i="7"/>
  <c r="AB67" i="7"/>
  <c r="Z67" i="7"/>
  <c r="H67" i="7" s="1"/>
  <c r="AK67" i="7" s="1"/>
  <c r="AN67" i="3" s="1"/>
  <c r="V67" i="7"/>
  <c r="U67" i="7"/>
  <c r="AB562" i="10" s="1"/>
  <c r="T67" i="7"/>
  <c r="G67" i="7"/>
  <c r="U562" i="10" s="1"/>
  <c r="AU66" i="7"/>
  <c r="AI66" i="7"/>
  <c r="AK66" i="7" s="1"/>
  <c r="AN66" i="3" s="1"/>
  <c r="AH66" i="7"/>
  <c r="AE66" i="7"/>
  <c r="AB66" i="7"/>
  <c r="Z66" i="7"/>
  <c r="H66" i="7" s="1"/>
  <c r="V66" i="7"/>
  <c r="U66" i="7"/>
  <c r="AB561" i="10" s="1"/>
  <c r="T66" i="7"/>
  <c r="G66" i="7"/>
  <c r="U561" i="10" s="1"/>
  <c r="AU65" i="7"/>
  <c r="AI65" i="7"/>
  <c r="AH65" i="7"/>
  <c r="AE65" i="7"/>
  <c r="AB65" i="7"/>
  <c r="Z65" i="7"/>
  <c r="H65" i="7" s="1"/>
  <c r="V65" i="7"/>
  <c r="U65" i="7"/>
  <c r="AB560" i="10" s="1"/>
  <c r="T65" i="7"/>
  <c r="G65" i="7"/>
  <c r="U560" i="10" s="1"/>
  <c r="AU64" i="7"/>
  <c r="AI64" i="7"/>
  <c r="AH64" i="7"/>
  <c r="AE64" i="7"/>
  <c r="AB64" i="7"/>
  <c r="Z64" i="7"/>
  <c r="H64" i="7" s="1"/>
  <c r="V64" i="7"/>
  <c r="U64" i="7"/>
  <c r="AB559" i="10" s="1"/>
  <c r="T64" i="7"/>
  <c r="G64" i="7"/>
  <c r="U559" i="10" s="1"/>
  <c r="AU63" i="7"/>
  <c r="AI63" i="7"/>
  <c r="AH63" i="7"/>
  <c r="AE63" i="7"/>
  <c r="AB63" i="7"/>
  <c r="Z63" i="7"/>
  <c r="H63" i="7" s="1"/>
  <c r="K63" i="3" s="1"/>
  <c r="V63" i="7"/>
  <c r="U63" i="7"/>
  <c r="AB558" i="10" s="1"/>
  <c r="T63" i="7"/>
  <c r="G63" i="7"/>
  <c r="U558" i="10" s="1"/>
  <c r="AU62" i="7"/>
  <c r="AI62" i="7"/>
  <c r="AK62" i="7" s="1"/>
  <c r="AN62" i="3" s="1"/>
  <c r="AH62" i="7"/>
  <c r="AE62" i="7"/>
  <c r="AB62" i="7"/>
  <c r="Z62" i="7"/>
  <c r="H62" i="7" s="1"/>
  <c r="V62" i="7"/>
  <c r="U62" i="7"/>
  <c r="AB557" i="10" s="1"/>
  <c r="T62" i="7"/>
  <c r="G62" i="7"/>
  <c r="U557" i="10" s="1"/>
  <c r="AU61" i="7"/>
  <c r="AI61" i="7"/>
  <c r="AH61" i="7"/>
  <c r="AE61" i="7"/>
  <c r="AB61" i="7"/>
  <c r="Z61" i="7"/>
  <c r="H61" i="7" s="1"/>
  <c r="V61" i="7"/>
  <c r="U61" i="7"/>
  <c r="AB556" i="10" s="1"/>
  <c r="T61" i="7"/>
  <c r="G61" i="7"/>
  <c r="U556" i="10" s="1"/>
  <c r="AU60" i="7"/>
  <c r="AI60" i="7"/>
  <c r="AH60" i="7"/>
  <c r="AE60" i="7"/>
  <c r="AB60" i="7"/>
  <c r="Z60" i="7"/>
  <c r="H60" i="7" s="1"/>
  <c r="K60" i="3" s="1"/>
  <c r="V60" i="7"/>
  <c r="U60" i="7"/>
  <c r="AB555" i="10" s="1"/>
  <c r="T60" i="7"/>
  <c r="G60" i="7"/>
  <c r="U555" i="10" s="1"/>
  <c r="AU59" i="7"/>
  <c r="AI59" i="7"/>
  <c r="AH59" i="7"/>
  <c r="AE59" i="7"/>
  <c r="AB59" i="7"/>
  <c r="Z59" i="7"/>
  <c r="H59" i="7" s="1"/>
  <c r="V59" i="7"/>
  <c r="U59" i="7"/>
  <c r="AB554" i="10" s="1"/>
  <c r="T59" i="7"/>
  <c r="G59" i="7"/>
  <c r="U554" i="10" s="1"/>
  <c r="AU58" i="7"/>
  <c r="AI58" i="7"/>
  <c r="AH58" i="7"/>
  <c r="AE58" i="7"/>
  <c r="AB58" i="7"/>
  <c r="Z58" i="7"/>
  <c r="H58" i="7" s="1"/>
  <c r="V58" i="7"/>
  <c r="U58" i="7"/>
  <c r="AB553" i="10" s="1"/>
  <c r="T58" i="7"/>
  <c r="G58" i="7"/>
  <c r="U553" i="10" s="1"/>
  <c r="AU57" i="7"/>
  <c r="AI57" i="7"/>
  <c r="AH57" i="7"/>
  <c r="AE57" i="7"/>
  <c r="AB57" i="7"/>
  <c r="Z57" i="7"/>
  <c r="H57" i="7" s="1"/>
  <c r="K57" i="3" s="1"/>
  <c r="V57" i="7"/>
  <c r="U57" i="7"/>
  <c r="AB552" i="10" s="1"/>
  <c r="T57" i="7"/>
  <c r="G57" i="7"/>
  <c r="U552" i="10" s="1"/>
  <c r="AU56" i="7"/>
  <c r="AI56" i="7"/>
  <c r="AH56" i="7"/>
  <c r="AE56" i="7"/>
  <c r="AB56" i="7"/>
  <c r="Z56" i="7"/>
  <c r="H56" i="7" s="1"/>
  <c r="V56" i="7"/>
  <c r="U56" i="7"/>
  <c r="AB551" i="10" s="1"/>
  <c r="T56" i="7"/>
  <c r="G56" i="7"/>
  <c r="AU55" i="7"/>
  <c r="AI55" i="7"/>
  <c r="AH55" i="7"/>
  <c r="AE55" i="7"/>
  <c r="AB55" i="7"/>
  <c r="Z55" i="7"/>
  <c r="H55" i="7" s="1"/>
  <c r="V55" i="7"/>
  <c r="U55" i="7"/>
  <c r="AB550" i="10" s="1"/>
  <c r="T55" i="7"/>
  <c r="G55" i="7"/>
  <c r="U550" i="10" s="1"/>
  <c r="AU54" i="7"/>
  <c r="AI54" i="7"/>
  <c r="AH54" i="7"/>
  <c r="AE54" i="7"/>
  <c r="AB54" i="7"/>
  <c r="Z54" i="7"/>
  <c r="H54" i="7" s="1"/>
  <c r="V54" i="7"/>
  <c r="U54" i="7"/>
  <c r="AB549" i="10" s="1"/>
  <c r="T54" i="7"/>
  <c r="G54" i="7"/>
  <c r="U549" i="10" s="1"/>
  <c r="AU53" i="7"/>
  <c r="AI53" i="7"/>
  <c r="AH53" i="7"/>
  <c r="AE53" i="7"/>
  <c r="AB53" i="7"/>
  <c r="Z53" i="7"/>
  <c r="H53" i="7" s="1"/>
  <c r="V53" i="7"/>
  <c r="U53" i="7"/>
  <c r="AB548" i="10" s="1"/>
  <c r="T53" i="7"/>
  <c r="G53" i="7"/>
  <c r="U548" i="10" s="1"/>
  <c r="AU52" i="7"/>
  <c r="AI52" i="7"/>
  <c r="AH52" i="7"/>
  <c r="AB52" i="7"/>
  <c r="AE52" i="3" s="1"/>
  <c r="Z52" i="7"/>
  <c r="H52" i="7" s="1"/>
  <c r="V52" i="7"/>
  <c r="U52" i="7"/>
  <c r="AB547" i="10" s="1"/>
  <c r="T52" i="7"/>
  <c r="G52" i="7"/>
  <c r="U547" i="10" s="1"/>
  <c r="AU51" i="7"/>
  <c r="AI51" i="7"/>
  <c r="AH51" i="7"/>
  <c r="AB51" i="7"/>
  <c r="AE51" i="3" s="1"/>
  <c r="Z51" i="7"/>
  <c r="H51" i="7" s="1"/>
  <c r="V51" i="7"/>
  <c r="U51" i="7"/>
  <c r="AB546" i="10" s="1"/>
  <c r="T51" i="7"/>
  <c r="G51" i="7"/>
  <c r="U546" i="10" s="1"/>
  <c r="AU50" i="7"/>
  <c r="AI50" i="7"/>
  <c r="AH50" i="7"/>
  <c r="AB50" i="7"/>
  <c r="AE50" i="3" s="1"/>
  <c r="Z50" i="7"/>
  <c r="H50" i="7" s="1"/>
  <c r="K50" i="3" s="1"/>
  <c r="V50" i="7"/>
  <c r="U50" i="7"/>
  <c r="AB545" i="10" s="1"/>
  <c r="T50" i="7"/>
  <c r="G50" i="7"/>
  <c r="AU49" i="7"/>
  <c r="AI49" i="7"/>
  <c r="AH49" i="7"/>
  <c r="AE49" i="7"/>
  <c r="AB49" i="7"/>
  <c r="Z49" i="7"/>
  <c r="H49" i="7" s="1"/>
  <c r="V49" i="7"/>
  <c r="U49" i="7"/>
  <c r="AB544" i="10" s="1"/>
  <c r="T49" i="7"/>
  <c r="G49" i="7"/>
  <c r="U544" i="10" s="1"/>
  <c r="AU48" i="7"/>
  <c r="AI48" i="7"/>
  <c r="AH48" i="7"/>
  <c r="AE48" i="7"/>
  <c r="AB48" i="7"/>
  <c r="Z48" i="7"/>
  <c r="H48" i="7" s="1"/>
  <c r="K48" i="3" s="1"/>
  <c r="V48" i="7"/>
  <c r="U48" i="7"/>
  <c r="AB543" i="10" s="1"/>
  <c r="T48" i="7"/>
  <c r="G48" i="7"/>
  <c r="U543" i="10" s="1"/>
  <c r="AU47" i="7"/>
  <c r="AI47" i="7"/>
  <c r="AH47" i="7"/>
  <c r="AE47" i="7"/>
  <c r="AB47" i="7"/>
  <c r="Z47" i="7"/>
  <c r="H47" i="7" s="1"/>
  <c r="V47" i="7"/>
  <c r="U47" i="7"/>
  <c r="AB542" i="10" s="1"/>
  <c r="T47" i="7"/>
  <c r="G47" i="7"/>
  <c r="U542" i="10" s="1"/>
  <c r="AU46" i="7"/>
  <c r="AI46" i="7"/>
  <c r="AH46" i="7"/>
  <c r="AE46" i="7"/>
  <c r="AB46" i="7"/>
  <c r="Z46" i="7"/>
  <c r="H46" i="7" s="1"/>
  <c r="V46" i="7"/>
  <c r="U46" i="7"/>
  <c r="AB541" i="10" s="1"/>
  <c r="T46" i="7"/>
  <c r="G46" i="7"/>
  <c r="U541" i="10" s="1"/>
  <c r="AU45" i="7"/>
  <c r="AI45" i="7"/>
  <c r="AH45" i="7"/>
  <c r="AE45" i="7"/>
  <c r="AB45" i="7"/>
  <c r="Z45" i="7"/>
  <c r="H45" i="7" s="1"/>
  <c r="V45" i="7"/>
  <c r="U45" i="7"/>
  <c r="AB540" i="10" s="1"/>
  <c r="T45" i="7"/>
  <c r="G45" i="7"/>
  <c r="U540" i="10" s="1"/>
  <c r="AU44" i="7"/>
  <c r="AI44" i="7"/>
  <c r="AH44" i="7"/>
  <c r="AE44" i="7"/>
  <c r="AB44" i="7"/>
  <c r="Z44" i="7"/>
  <c r="H44" i="7" s="1"/>
  <c r="V44" i="7"/>
  <c r="U44" i="7"/>
  <c r="AB539" i="10" s="1"/>
  <c r="T44" i="7"/>
  <c r="G44" i="7"/>
  <c r="U539" i="10" s="1"/>
  <c r="AU43" i="7"/>
  <c r="AI43" i="7"/>
  <c r="AH43" i="7"/>
  <c r="AE43" i="7"/>
  <c r="AB43" i="7"/>
  <c r="Z43" i="7"/>
  <c r="H43" i="7" s="1"/>
  <c r="V43" i="7"/>
  <c r="U43" i="7"/>
  <c r="AB538" i="10" s="1"/>
  <c r="T43" i="7"/>
  <c r="G43" i="7"/>
  <c r="U538" i="10" s="1"/>
  <c r="AU42" i="7"/>
  <c r="AI42" i="7"/>
  <c r="AH42" i="7"/>
  <c r="AE42" i="7"/>
  <c r="AB42" i="7"/>
  <c r="Z42" i="7"/>
  <c r="H42" i="7" s="1"/>
  <c r="L42" i="7" s="1"/>
  <c r="O42" i="3" s="1"/>
  <c r="V42" i="7"/>
  <c r="U42" i="7"/>
  <c r="AB537" i="10" s="1"/>
  <c r="T42" i="7"/>
  <c r="G42" i="7"/>
  <c r="U537" i="10" s="1"/>
  <c r="AU41" i="7"/>
  <c r="AI41" i="7"/>
  <c r="AH41" i="7"/>
  <c r="AE41" i="7"/>
  <c r="AB41" i="7"/>
  <c r="Z41" i="7"/>
  <c r="H41" i="7" s="1"/>
  <c r="V41" i="7"/>
  <c r="U41" i="7"/>
  <c r="AB536" i="10" s="1"/>
  <c r="T41" i="7"/>
  <c r="G41" i="7"/>
  <c r="U536" i="10" s="1"/>
  <c r="AU40" i="7"/>
  <c r="AI40" i="7"/>
  <c r="AH40" i="7"/>
  <c r="AE40" i="7"/>
  <c r="AB40" i="7"/>
  <c r="Z40" i="7"/>
  <c r="H40" i="7" s="1"/>
  <c r="L40" i="7" s="1"/>
  <c r="O40" i="3" s="1"/>
  <c r="V40" i="7"/>
  <c r="U40" i="7"/>
  <c r="AB535" i="10" s="1"/>
  <c r="T40" i="7"/>
  <c r="G40" i="7"/>
  <c r="U535" i="10" s="1"/>
  <c r="AU39" i="7"/>
  <c r="AI39" i="7"/>
  <c r="AH39" i="7"/>
  <c r="AE39" i="7"/>
  <c r="AB39" i="7"/>
  <c r="Z39" i="7"/>
  <c r="H39" i="7" s="1"/>
  <c r="L39" i="7" s="1"/>
  <c r="O39" i="3" s="1"/>
  <c r="V39" i="7"/>
  <c r="U39" i="7"/>
  <c r="AB534" i="10" s="1"/>
  <c r="T39" i="7"/>
  <c r="G39" i="7"/>
  <c r="U534" i="10" s="1"/>
  <c r="AU38" i="7"/>
  <c r="AI38" i="7"/>
  <c r="AH38" i="7"/>
  <c r="AE38" i="7"/>
  <c r="AB38" i="7"/>
  <c r="Z38" i="7"/>
  <c r="H38" i="7" s="1"/>
  <c r="K38" i="3" s="1"/>
  <c r="V38" i="7"/>
  <c r="U38" i="7"/>
  <c r="AB533" i="10" s="1"/>
  <c r="T38" i="7"/>
  <c r="G38" i="7"/>
  <c r="U533" i="10" s="1"/>
  <c r="AU37" i="7"/>
  <c r="AI37" i="7"/>
  <c r="AH37" i="7"/>
  <c r="AE37" i="7"/>
  <c r="AB37" i="7"/>
  <c r="Z37" i="7"/>
  <c r="H37" i="7" s="1"/>
  <c r="AV37" i="7" s="1"/>
  <c r="AY37" i="3" s="1"/>
  <c r="V37" i="7"/>
  <c r="U37" i="7"/>
  <c r="AB532" i="10" s="1"/>
  <c r="T37" i="7"/>
  <c r="G37" i="7"/>
  <c r="U532" i="10" s="1"/>
  <c r="AU36" i="7"/>
  <c r="AI36" i="7"/>
  <c r="AH36" i="7"/>
  <c r="AE36" i="7"/>
  <c r="AB36" i="7"/>
  <c r="Z36" i="7"/>
  <c r="H36" i="7" s="1"/>
  <c r="V36" i="7"/>
  <c r="U36" i="7"/>
  <c r="AB531" i="10" s="1"/>
  <c r="T36" i="7"/>
  <c r="G36" i="7"/>
  <c r="U531" i="10" s="1"/>
  <c r="AU35" i="7"/>
  <c r="AI35" i="7"/>
  <c r="AH35" i="7"/>
  <c r="AE35" i="7"/>
  <c r="AB35" i="7"/>
  <c r="Z35" i="7"/>
  <c r="H35" i="7" s="1"/>
  <c r="V35" i="7"/>
  <c r="U35" i="7"/>
  <c r="AB530" i="10" s="1"/>
  <c r="T35" i="7"/>
  <c r="G35" i="7"/>
  <c r="U530" i="10" s="1"/>
  <c r="AU34" i="7"/>
  <c r="AI34" i="7"/>
  <c r="AH34" i="7"/>
  <c r="AE34" i="7"/>
  <c r="AB34" i="7"/>
  <c r="Z34" i="7"/>
  <c r="H34" i="7" s="1"/>
  <c r="K34" i="3" s="1"/>
  <c r="V34" i="7"/>
  <c r="U34" i="7"/>
  <c r="AB529" i="10" s="1"/>
  <c r="T34" i="7"/>
  <c r="L34" i="7"/>
  <c r="O34" i="3" s="1"/>
  <c r="G34" i="7"/>
  <c r="U529" i="10" s="1"/>
  <c r="AU33" i="7"/>
  <c r="AI33" i="7"/>
  <c r="AH33" i="7"/>
  <c r="AJ33" i="7" s="1"/>
  <c r="AM33" i="3" s="1"/>
  <c r="AE33" i="7"/>
  <c r="AB33" i="7"/>
  <c r="Z33" i="7"/>
  <c r="H33" i="7" s="1"/>
  <c r="L33" i="7" s="1"/>
  <c r="O33" i="3" s="1"/>
  <c r="V33" i="7"/>
  <c r="U33" i="7"/>
  <c r="AB528" i="10" s="1"/>
  <c r="T33" i="7"/>
  <c r="G33" i="7"/>
  <c r="U528" i="10" s="1"/>
  <c r="AU32" i="7"/>
  <c r="AI32" i="7"/>
  <c r="AH32" i="7"/>
  <c r="AE32" i="7"/>
  <c r="AB32" i="7"/>
  <c r="Z32" i="7"/>
  <c r="H32" i="7" s="1"/>
  <c r="V32" i="7"/>
  <c r="U32" i="7"/>
  <c r="AB527" i="10" s="1"/>
  <c r="T32" i="7"/>
  <c r="G32" i="7"/>
  <c r="U527" i="10" s="1"/>
  <c r="AU31" i="7"/>
  <c r="AI31" i="7"/>
  <c r="AH31" i="7"/>
  <c r="AE31" i="7"/>
  <c r="AB31" i="7"/>
  <c r="Z31" i="7"/>
  <c r="V31" i="7"/>
  <c r="U31" i="7"/>
  <c r="AB526" i="10" s="1"/>
  <c r="T31" i="7"/>
  <c r="H31" i="7"/>
  <c r="G31" i="7"/>
  <c r="U526" i="10" s="1"/>
  <c r="AU30" i="7"/>
  <c r="AI30" i="7"/>
  <c r="AH30" i="7"/>
  <c r="AE30" i="7"/>
  <c r="AB30" i="7"/>
  <c r="Z30" i="7"/>
  <c r="V30" i="7"/>
  <c r="U30" i="7"/>
  <c r="AB525" i="10" s="1"/>
  <c r="T30" i="7"/>
  <c r="H30" i="7"/>
  <c r="G30" i="7"/>
  <c r="U525" i="10" s="1"/>
  <c r="AU29" i="7"/>
  <c r="AI29" i="7"/>
  <c r="AH29" i="7"/>
  <c r="AE29" i="7"/>
  <c r="AB29" i="7"/>
  <c r="Z29" i="7"/>
  <c r="H29" i="7" s="1"/>
  <c r="L29" i="7" s="1"/>
  <c r="O29" i="3" s="1"/>
  <c r="V29" i="7"/>
  <c r="U29" i="7"/>
  <c r="AB524" i="10" s="1"/>
  <c r="T29" i="7"/>
  <c r="G29" i="7"/>
  <c r="U524" i="10" s="1"/>
  <c r="AU28" i="7"/>
  <c r="AI28" i="7"/>
  <c r="AH28" i="7"/>
  <c r="AB28" i="7"/>
  <c r="AE28" i="3" s="1"/>
  <c r="Z28" i="7"/>
  <c r="H28" i="7" s="1"/>
  <c r="V28" i="7"/>
  <c r="U28" i="7"/>
  <c r="AB523" i="10" s="1"/>
  <c r="T28" i="7"/>
  <c r="G28" i="7"/>
  <c r="U523" i="10" s="1"/>
  <c r="AU27" i="7"/>
  <c r="AI27" i="7"/>
  <c r="AH27" i="7"/>
  <c r="AB27" i="7"/>
  <c r="AE27" i="3" s="1"/>
  <c r="Z27" i="7"/>
  <c r="H27" i="7" s="1"/>
  <c r="H522" i="10" s="1"/>
  <c r="V27" i="7"/>
  <c r="U27" i="7"/>
  <c r="AB522" i="10" s="1"/>
  <c r="T27" i="7"/>
  <c r="G27" i="7"/>
  <c r="U522" i="10" s="1"/>
  <c r="AU26" i="7"/>
  <c r="AI26" i="7"/>
  <c r="AH26" i="7"/>
  <c r="AB26" i="7"/>
  <c r="AE26" i="3" s="1"/>
  <c r="Z26" i="7"/>
  <c r="H26" i="7" s="1"/>
  <c r="V26" i="7"/>
  <c r="U26" i="7"/>
  <c r="AB521" i="10" s="1"/>
  <c r="T26" i="7"/>
  <c r="G26" i="7"/>
  <c r="U521" i="10" s="1"/>
  <c r="AU25" i="7"/>
  <c r="AI25" i="7"/>
  <c r="AH25" i="7"/>
  <c r="AB25" i="7"/>
  <c r="AE25" i="3" s="1"/>
  <c r="Z25" i="7"/>
  <c r="H25" i="7" s="1"/>
  <c r="AJ25" i="7" s="1"/>
  <c r="AM25" i="3" s="1"/>
  <c r="V25" i="7"/>
  <c r="U25" i="7"/>
  <c r="AB520" i="10" s="1"/>
  <c r="T25" i="7"/>
  <c r="G25" i="7"/>
  <c r="U520" i="10" s="1"/>
  <c r="AU24" i="7"/>
  <c r="AI24" i="7"/>
  <c r="AH24" i="7"/>
  <c r="AB24" i="7"/>
  <c r="AE24" i="3" s="1"/>
  <c r="Z24" i="7"/>
  <c r="V24" i="7"/>
  <c r="U24" i="7"/>
  <c r="AB519" i="10" s="1"/>
  <c r="T24" i="7"/>
  <c r="H24" i="7"/>
  <c r="G24" i="7"/>
  <c r="U519" i="10" s="1"/>
  <c r="AU23" i="7"/>
  <c r="AI23" i="7"/>
  <c r="AH23" i="7"/>
  <c r="AE23" i="7"/>
  <c r="AB23" i="7"/>
  <c r="Z23" i="7"/>
  <c r="H23" i="7" s="1"/>
  <c r="L23" i="7" s="1"/>
  <c r="O23" i="3" s="1"/>
  <c r="V23" i="7"/>
  <c r="U23" i="7"/>
  <c r="AB518" i="10" s="1"/>
  <c r="T23" i="7"/>
  <c r="G23" i="7"/>
  <c r="U518" i="10" s="1"/>
  <c r="AU22" i="7"/>
  <c r="AI22" i="7"/>
  <c r="AH22" i="7"/>
  <c r="AE22" i="7"/>
  <c r="AB22" i="7"/>
  <c r="Z22" i="7"/>
  <c r="V22" i="7"/>
  <c r="U22" i="7"/>
  <c r="AB517" i="10" s="1"/>
  <c r="T22" i="7"/>
  <c r="H22" i="7"/>
  <c r="G22" i="7"/>
  <c r="U517" i="10" s="1"/>
  <c r="AU21" i="7"/>
  <c r="AI21" i="7"/>
  <c r="AH21" i="7"/>
  <c r="AE21" i="7"/>
  <c r="AB21" i="7"/>
  <c r="Z21" i="7"/>
  <c r="H21" i="7" s="1"/>
  <c r="V21" i="7"/>
  <c r="U21" i="7"/>
  <c r="AB516" i="10" s="1"/>
  <c r="T21" i="7"/>
  <c r="G21" i="7"/>
  <c r="U516" i="10" s="1"/>
  <c r="AU20" i="7"/>
  <c r="AI20" i="7"/>
  <c r="AH20" i="7"/>
  <c r="AE20" i="7"/>
  <c r="AB20" i="7"/>
  <c r="Z20" i="7"/>
  <c r="H20" i="7" s="1"/>
  <c r="V20" i="7"/>
  <c r="U20" i="7"/>
  <c r="AB515" i="10" s="1"/>
  <c r="T20" i="7"/>
  <c r="G20" i="7"/>
  <c r="U515" i="10" s="1"/>
  <c r="AU19" i="7"/>
  <c r="AI19" i="7"/>
  <c r="AH19" i="7"/>
  <c r="AE19" i="7"/>
  <c r="AB19" i="7"/>
  <c r="Z19" i="7"/>
  <c r="H19" i="7" s="1"/>
  <c r="V19" i="7"/>
  <c r="U19" i="7"/>
  <c r="AB514" i="10" s="1"/>
  <c r="T19" i="7"/>
  <c r="G19" i="7"/>
  <c r="U514" i="10" s="1"/>
  <c r="AU18" i="7"/>
  <c r="AI18" i="7"/>
  <c r="AH18" i="7"/>
  <c r="AE18" i="7"/>
  <c r="AB18" i="7"/>
  <c r="Z18" i="7"/>
  <c r="H18" i="7" s="1"/>
  <c r="V18" i="7"/>
  <c r="U18" i="7"/>
  <c r="AB513" i="10" s="1"/>
  <c r="T18" i="7"/>
  <c r="G18" i="7"/>
  <c r="U513" i="10" s="1"/>
  <c r="AU17" i="7"/>
  <c r="AI17" i="7"/>
  <c r="AH17" i="7"/>
  <c r="AE17" i="7"/>
  <c r="AB17" i="7"/>
  <c r="Z17" i="7"/>
  <c r="V17" i="7"/>
  <c r="U17" i="7"/>
  <c r="AB512" i="10" s="1"/>
  <c r="T17" i="7"/>
  <c r="H17" i="7"/>
  <c r="L17" i="7" s="1"/>
  <c r="O17" i="3" s="1"/>
  <c r="G17" i="7"/>
  <c r="U512" i="10" s="1"/>
  <c r="AU16" i="7"/>
  <c r="AI16" i="7"/>
  <c r="AH16" i="7"/>
  <c r="AE16" i="7"/>
  <c r="AB16" i="7"/>
  <c r="Z16" i="7"/>
  <c r="H16" i="7" s="1"/>
  <c r="V16" i="7"/>
  <c r="U16" i="7"/>
  <c r="AB511" i="10" s="1"/>
  <c r="T16" i="7"/>
  <c r="G16" i="7"/>
  <c r="U511" i="10" s="1"/>
  <c r="AU15" i="7"/>
  <c r="AI15" i="7"/>
  <c r="AH15" i="7"/>
  <c r="AE15" i="7"/>
  <c r="AB15" i="7"/>
  <c r="Z15" i="7"/>
  <c r="V15" i="7"/>
  <c r="U15" i="7"/>
  <c r="AB510" i="10" s="1"/>
  <c r="T15" i="7"/>
  <c r="H15" i="7"/>
  <c r="L15" i="7" s="1"/>
  <c r="O15" i="3" s="1"/>
  <c r="G15" i="7"/>
  <c r="U510" i="10" s="1"/>
  <c r="AU14" i="7"/>
  <c r="AI14" i="7"/>
  <c r="AH14" i="7"/>
  <c r="AE14" i="7"/>
  <c r="AB14" i="7"/>
  <c r="Z14" i="7"/>
  <c r="H14" i="7" s="1"/>
  <c r="V14" i="7"/>
  <c r="U14" i="7"/>
  <c r="AB509" i="10" s="1"/>
  <c r="T14" i="7"/>
  <c r="G14" i="7"/>
  <c r="U509" i="10" s="1"/>
  <c r="AU13" i="7"/>
  <c r="AI13" i="7"/>
  <c r="AH13" i="7"/>
  <c r="AE13" i="7"/>
  <c r="AB13" i="7"/>
  <c r="Z13" i="7"/>
  <c r="H13" i="7" s="1"/>
  <c r="V13" i="7"/>
  <c r="U13" i="7"/>
  <c r="AB508" i="10" s="1"/>
  <c r="T13" i="7"/>
  <c r="G13" i="7"/>
  <c r="U508" i="10" s="1"/>
  <c r="AU12" i="7"/>
  <c r="AI12" i="7"/>
  <c r="AH12" i="7"/>
  <c r="AE12" i="7"/>
  <c r="AB12" i="7"/>
  <c r="Z12" i="7"/>
  <c r="H12" i="7" s="1"/>
  <c r="AJ12" i="7" s="1"/>
  <c r="AM12" i="3" s="1"/>
  <c r="V12" i="7"/>
  <c r="U12" i="7"/>
  <c r="AB507" i="10" s="1"/>
  <c r="T12" i="7"/>
  <c r="G12" i="7"/>
  <c r="U507" i="10" s="1"/>
  <c r="AU11" i="7"/>
  <c r="AI11" i="7"/>
  <c r="AH11" i="7"/>
  <c r="AE11" i="7"/>
  <c r="AB11" i="7"/>
  <c r="Z11" i="7"/>
  <c r="H11" i="7" s="1"/>
  <c r="H506" i="10" s="1"/>
  <c r="V11" i="7"/>
  <c r="U11" i="7"/>
  <c r="AB506" i="10" s="1"/>
  <c r="T11" i="7"/>
  <c r="G11" i="7"/>
  <c r="U506" i="10" s="1"/>
  <c r="AU10" i="7"/>
  <c r="AI10" i="7"/>
  <c r="AH10" i="7"/>
  <c r="AE10" i="7"/>
  <c r="AB10" i="7"/>
  <c r="Z10" i="7"/>
  <c r="H10" i="7" s="1"/>
  <c r="V10" i="7"/>
  <c r="U10" i="7"/>
  <c r="AB505" i="10" s="1"/>
  <c r="T10" i="7"/>
  <c r="G10" i="7"/>
  <c r="U505" i="10" s="1"/>
  <c r="AU9" i="7"/>
  <c r="AI9" i="7"/>
  <c r="AH9" i="7"/>
  <c r="AE9" i="7"/>
  <c r="AB9" i="7"/>
  <c r="Z9" i="7"/>
  <c r="H9" i="7" s="1"/>
  <c r="V9" i="7"/>
  <c r="U9" i="7"/>
  <c r="AB504" i="10" s="1"/>
  <c r="T9" i="7"/>
  <c r="G9" i="7"/>
  <c r="U504" i="10" s="1"/>
  <c r="AU8" i="7"/>
  <c r="AI8" i="7"/>
  <c r="AH8" i="7"/>
  <c r="AE8" i="7"/>
  <c r="AB8" i="7"/>
  <c r="Z8" i="7"/>
  <c r="H8" i="7" s="1"/>
  <c r="L8" i="7" s="1"/>
  <c r="O8" i="3" s="1"/>
  <c r="V8" i="7"/>
  <c r="U8" i="7"/>
  <c r="AB503" i="10" s="1"/>
  <c r="T8" i="7"/>
  <c r="G8" i="7"/>
  <c r="U503" i="10" s="1"/>
  <c r="AU7" i="7"/>
  <c r="AI7" i="7"/>
  <c r="AH7" i="7"/>
  <c r="AB7" i="7"/>
  <c r="AE7" i="3" s="1"/>
  <c r="Z7" i="7"/>
  <c r="H7" i="7" s="1"/>
  <c r="V7" i="7"/>
  <c r="U7" i="7"/>
  <c r="AB502" i="10" s="1"/>
  <c r="T7" i="7"/>
  <c r="G7" i="7"/>
  <c r="U502" i="10" s="1"/>
  <c r="AU6" i="7"/>
  <c r="AI6" i="7"/>
  <c r="AH6" i="7"/>
  <c r="AB6" i="7"/>
  <c r="AE6" i="3" s="1"/>
  <c r="Z6" i="7"/>
  <c r="H6" i="7" s="1"/>
  <c r="V6" i="7"/>
  <c r="U6" i="7"/>
  <c r="AB501" i="10" s="1"/>
  <c r="T6" i="7"/>
  <c r="G6" i="7"/>
  <c r="U501" i="10" s="1"/>
  <c r="AU5" i="7"/>
  <c r="AI5" i="7"/>
  <c r="AH5" i="7"/>
  <c r="AB5" i="7"/>
  <c r="AE5" i="3" s="1"/>
  <c r="Z5" i="7"/>
  <c r="H5" i="7" s="1"/>
  <c r="V5" i="7"/>
  <c r="U5" i="7"/>
  <c r="AB500" i="10" s="1"/>
  <c r="T5" i="7"/>
  <c r="G5" i="7"/>
  <c r="U500" i="10" s="1"/>
  <c r="C130" i="6"/>
  <c r="B130" i="6"/>
  <c r="A130" i="6"/>
  <c r="C129" i="6"/>
  <c r="B129" i="6"/>
  <c r="A129" i="6"/>
  <c r="C128" i="6"/>
  <c r="B128" i="6"/>
  <c r="A128" i="6"/>
  <c r="C127" i="6"/>
  <c r="B127" i="6"/>
  <c r="A127" i="6"/>
  <c r="C126" i="6"/>
  <c r="B126" i="6"/>
  <c r="A126" i="6"/>
  <c r="C125" i="6"/>
  <c r="B125" i="6"/>
  <c r="A125" i="6"/>
  <c r="C124" i="6"/>
  <c r="B124" i="6"/>
  <c r="A124" i="6"/>
  <c r="C123" i="6"/>
  <c r="B123" i="6"/>
  <c r="A123" i="6"/>
  <c r="C122" i="6"/>
  <c r="B122" i="6"/>
  <c r="A122" i="6"/>
  <c r="C121" i="6"/>
  <c r="B121" i="6"/>
  <c r="A121" i="6"/>
  <c r="C120" i="6"/>
  <c r="B120" i="6"/>
  <c r="A120" i="6"/>
  <c r="C119" i="6"/>
  <c r="B119" i="6"/>
  <c r="A119" i="6"/>
  <c r="C118" i="6"/>
  <c r="B118" i="6"/>
  <c r="A118" i="6"/>
  <c r="C117" i="6"/>
  <c r="B117" i="6"/>
  <c r="A117" i="6"/>
  <c r="C116" i="6"/>
  <c r="B116" i="6"/>
  <c r="A116" i="6"/>
  <c r="C115" i="6"/>
  <c r="B115" i="6"/>
  <c r="A115" i="6"/>
  <c r="C114" i="6"/>
  <c r="B114" i="6"/>
  <c r="A114" i="6"/>
  <c r="C113" i="6"/>
  <c r="B113" i="6"/>
  <c r="A113" i="6"/>
  <c r="C112" i="6"/>
  <c r="B112" i="6"/>
  <c r="A112" i="6"/>
  <c r="C111" i="6"/>
  <c r="B111" i="6"/>
  <c r="A111" i="6"/>
  <c r="C110" i="6"/>
  <c r="B110" i="6"/>
  <c r="A110" i="6"/>
  <c r="C109" i="6"/>
  <c r="B109" i="6"/>
  <c r="A109" i="6"/>
  <c r="C108" i="6"/>
  <c r="B108" i="6"/>
  <c r="A108" i="6"/>
  <c r="C107" i="6"/>
  <c r="B107" i="6"/>
  <c r="A107" i="6"/>
  <c r="C106" i="6"/>
  <c r="B106" i="6"/>
  <c r="A106" i="6"/>
  <c r="C105" i="6"/>
  <c r="B105" i="6"/>
  <c r="A105" i="6"/>
  <c r="C104" i="6"/>
  <c r="B104" i="6"/>
  <c r="A104" i="6"/>
  <c r="C103" i="6"/>
  <c r="B103" i="6"/>
  <c r="A103" i="6"/>
  <c r="C102" i="6"/>
  <c r="B102" i="6"/>
  <c r="A102" i="6"/>
  <c r="C101" i="6"/>
  <c r="B101" i="6"/>
  <c r="A101" i="6"/>
  <c r="C100" i="6"/>
  <c r="B100" i="6"/>
  <c r="A100" i="6"/>
  <c r="C99" i="6"/>
  <c r="B99" i="6"/>
  <c r="A99" i="6"/>
  <c r="C98" i="6"/>
  <c r="B98" i="6"/>
  <c r="A98" i="6"/>
  <c r="C97" i="6"/>
  <c r="B97" i="6"/>
  <c r="A97" i="6"/>
  <c r="C96" i="6"/>
  <c r="B96" i="6"/>
  <c r="A96" i="6"/>
  <c r="C95" i="6"/>
  <c r="B95" i="6"/>
  <c r="A95" i="6"/>
  <c r="C94" i="6"/>
  <c r="B94" i="6"/>
  <c r="A94" i="6"/>
  <c r="C93" i="6"/>
  <c r="B93" i="6"/>
  <c r="A93" i="6"/>
  <c r="C92" i="6"/>
  <c r="B92" i="6"/>
  <c r="A92" i="6"/>
  <c r="C91" i="6"/>
  <c r="B91" i="6"/>
  <c r="A91" i="6"/>
  <c r="C90" i="6"/>
  <c r="B90" i="6"/>
  <c r="A90" i="6"/>
  <c r="C89" i="6"/>
  <c r="B89" i="6"/>
  <c r="A89" i="6"/>
  <c r="C88" i="6"/>
  <c r="B88" i="6"/>
  <c r="A88" i="6"/>
  <c r="C87" i="6"/>
  <c r="B87" i="6"/>
  <c r="A87" i="6"/>
  <c r="C86" i="6"/>
  <c r="B86" i="6"/>
  <c r="A86" i="6"/>
  <c r="C85" i="6"/>
  <c r="B85" i="6"/>
  <c r="A85" i="6"/>
  <c r="C84" i="6"/>
  <c r="B84" i="6"/>
  <c r="A84" i="6"/>
  <c r="C83" i="6"/>
  <c r="B83" i="6"/>
  <c r="A83" i="6"/>
  <c r="C82" i="6"/>
  <c r="B82" i="6"/>
  <c r="A82" i="6"/>
  <c r="C81" i="6"/>
  <c r="B81" i="6"/>
  <c r="A81" i="6"/>
  <c r="C80" i="6"/>
  <c r="B80" i="6"/>
  <c r="A80" i="6"/>
  <c r="C79" i="6"/>
  <c r="B79" i="6"/>
  <c r="A79" i="6"/>
  <c r="C78" i="6"/>
  <c r="B78" i="6"/>
  <c r="A78" i="6"/>
  <c r="C77" i="6"/>
  <c r="B77" i="6"/>
  <c r="A77" i="6"/>
  <c r="C76" i="6"/>
  <c r="B76" i="6"/>
  <c r="A76" i="6"/>
  <c r="C75" i="6"/>
  <c r="B75" i="6"/>
  <c r="A75" i="6"/>
  <c r="C74" i="6"/>
  <c r="B74" i="6"/>
  <c r="A74" i="6"/>
  <c r="C73" i="6"/>
  <c r="B73" i="6"/>
  <c r="A73" i="6"/>
  <c r="C72" i="6"/>
  <c r="B72" i="6"/>
  <c r="A72" i="6"/>
  <c r="C71" i="6"/>
  <c r="B71" i="6"/>
  <c r="A71" i="6"/>
  <c r="C70" i="6"/>
  <c r="B70" i="6"/>
  <c r="A70" i="6"/>
  <c r="C69" i="6"/>
  <c r="B69" i="6"/>
  <c r="A69" i="6"/>
  <c r="C68" i="6"/>
  <c r="B68" i="6"/>
  <c r="A68" i="6"/>
  <c r="C67" i="6"/>
  <c r="B67" i="6"/>
  <c r="A67" i="6"/>
  <c r="C66" i="6"/>
  <c r="B66" i="6"/>
  <c r="A66" i="6"/>
  <c r="C65" i="6"/>
  <c r="B65" i="6"/>
  <c r="A65" i="6"/>
  <c r="C64" i="6"/>
  <c r="B64" i="6"/>
  <c r="A64" i="6"/>
  <c r="C63" i="6"/>
  <c r="B63" i="6"/>
  <c r="A63" i="6"/>
  <c r="C62" i="6"/>
  <c r="B62" i="6"/>
  <c r="A62" i="6"/>
  <c r="C61" i="6"/>
  <c r="B61" i="6"/>
  <c r="A61" i="6"/>
  <c r="C60" i="6"/>
  <c r="B60" i="6"/>
  <c r="A60" i="6"/>
  <c r="C59" i="6"/>
  <c r="B59" i="6"/>
  <c r="A59" i="6"/>
  <c r="AX8" i="9" s="1"/>
  <c r="AY8" i="9" s="1"/>
  <c r="A32" i="6"/>
  <c r="A31" i="6"/>
  <c r="A30" i="6"/>
  <c r="A29" i="6"/>
  <c r="A28" i="6"/>
  <c r="A27" i="6"/>
  <c r="A26" i="6"/>
  <c r="A25" i="6"/>
  <c r="A24" i="6"/>
  <c r="A23" i="6"/>
  <c r="A22" i="6"/>
  <c r="A21" i="6"/>
  <c r="A20" i="6"/>
  <c r="A19" i="6"/>
  <c r="A18" i="6"/>
  <c r="A17" i="6"/>
  <c r="A16" i="6"/>
  <c r="A15" i="6"/>
  <c r="A14" i="6"/>
  <c r="A13" i="6"/>
  <c r="E3" i="6"/>
  <c r="C3" i="6"/>
  <c r="A3" i="6"/>
  <c r="D64" i="5"/>
  <c r="AC37" i="5"/>
  <c r="AA37" i="5"/>
  <c r="AC36" i="5"/>
  <c r="AA36" i="5"/>
  <c r="AC35" i="5"/>
  <c r="AA35" i="5"/>
  <c r="AC34" i="5"/>
  <c r="AA34" i="5"/>
  <c r="AC33" i="5"/>
  <c r="AA33" i="5"/>
  <c r="AC32" i="5"/>
  <c r="AA32" i="5"/>
  <c r="AC31" i="5"/>
  <c r="AA31" i="5"/>
  <c r="AC30" i="5"/>
  <c r="AA30" i="5"/>
  <c r="AC29" i="5"/>
  <c r="AA29" i="5"/>
  <c r="AC28" i="5"/>
  <c r="AA28" i="5"/>
  <c r="AC27" i="5"/>
  <c r="AA27" i="5"/>
  <c r="AC26" i="5"/>
  <c r="AA26" i="5"/>
  <c r="AC25" i="5"/>
  <c r="AA25" i="5"/>
  <c r="AC24" i="5"/>
  <c r="AA24" i="5"/>
  <c r="AC23" i="5"/>
  <c r="AA23" i="5"/>
  <c r="AC22" i="5"/>
  <c r="AA22" i="5"/>
  <c r="AC21" i="5"/>
  <c r="AA21" i="5"/>
  <c r="M5" i="5"/>
  <c r="J5" i="5"/>
  <c r="E3" i="5"/>
  <c r="C3" i="5"/>
  <c r="A3" i="5"/>
  <c r="A32" i="4"/>
  <c r="H26" i="4" s="1"/>
  <c r="A31" i="4"/>
  <c r="H25" i="4" s="1"/>
  <c r="A30" i="4"/>
  <c r="H24" i="4" s="1"/>
  <c r="A29" i="4"/>
  <c r="H23" i="4" s="1"/>
  <c r="A28" i="4"/>
  <c r="H22" i="4" s="1"/>
  <c r="A27" i="4"/>
  <c r="H21" i="4" s="1"/>
  <c r="A26" i="4"/>
  <c r="H20" i="4" s="1"/>
  <c r="A25" i="4"/>
  <c r="H19" i="4" s="1"/>
  <c r="A24" i="4"/>
  <c r="H18" i="4" s="1"/>
  <c r="A23" i="4"/>
  <c r="H17" i="4" s="1"/>
  <c r="A22" i="4"/>
  <c r="H16" i="4" s="1"/>
  <c r="A21" i="4"/>
  <c r="H15" i="4" s="1"/>
  <c r="A20" i="4"/>
  <c r="H14" i="4" s="1"/>
  <c r="A19" i="4"/>
  <c r="H13" i="4" s="1"/>
  <c r="A18" i="4"/>
  <c r="A17" i="4"/>
  <c r="H11" i="4" s="1"/>
  <c r="A16" i="4"/>
  <c r="H10" i="4" s="1"/>
  <c r="H12" i="4"/>
  <c r="B7" i="4"/>
  <c r="C3" i="4"/>
  <c r="A3" i="4"/>
  <c r="K418" i="3"/>
  <c r="K415" i="3"/>
  <c r="AE410" i="3"/>
  <c r="K407" i="3"/>
  <c r="K388" i="3"/>
  <c r="K373" i="3"/>
  <c r="K365" i="3"/>
  <c r="AE349" i="3"/>
  <c r="K347" i="3"/>
  <c r="K330" i="3"/>
  <c r="AE327" i="3"/>
  <c r="AE325" i="3"/>
  <c r="K296" i="3"/>
  <c r="K295" i="3"/>
  <c r="K292" i="3"/>
  <c r="K285" i="3"/>
  <c r="AE283" i="3"/>
  <c r="K279" i="3"/>
  <c r="K268" i="3"/>
  <c r="K263" i="3"/>
  <c r="K228" i="3"/>
  <c r="K215" i="3"/>
  <c r="K203" i="3"/>
  <c r="AE201" i="3"/>
  <c r="K201" i="3"/>
  <c r="O199" i="3"/>
  <c r="K196" i="3"/>
  <c r="K193" i="3"/>
  <c r="K145" i="3"/>
  <c r="K131" i="3"/>
  <c r="AE124" i="3"/>
  <c r="K122" i="3"/>
  <c r="K101" i="3"/>
  <c r="K33" i="3"/>
  <c r="K20" i="3"/>
  <c r="K6" i="3"/>
  <c r="A3" i="3"/>
  <c r="B145" i="2"/>
  <c r="B113" i="2"/>
  <c r="B30" i="2"/>
  <c r="D69" i="25" s="1"/>
  <c r="E69" i="25" s="1"/>
  <c r="F69" i="25" s="1"/>
  <c r="B29" i="2"/>
  <c r="D68" i="25" s="1"/>
  <c r="E68" i="25" s="1"/>
  <c r="B23" i="2"/>
  <c r="B22" i="2"/>
  <c r="B19" i="2"/>
  <c r="B16" i="2"/>
  <c r="B6" i="2"/>
  <c r="A3" i="2"/>
  <c r="B193" i="1"/>
  <c r="B192" i="1"/>
  <c r="B191" i="1"/>
  <c r="B188" i="1"/>
  <c r="B183" i="1"/>
  <c r="B182" i="1"/>
  <c r="B181" i="1"/>
  <c r="B177" i="1"/>
  <c r="B8" i="1"/>
  <c r="B6" i="1"/>
  <c r="B189" i="1" s="1"/>
  <c r="CQ574" i="10" l="1"/>
  <c r="M76" i="34" s="1"/>
  <c r="CP574" i="10"/>
  <c r="CO574" i="10"/>
  <c r="O76" i="34" s="1"/>
  <c r="L113" i="7"/>
  <c r="O113" i="3" s="1"/>
  <c r="K113" i="3"/>
  <c r="CP557" i="10"/>
  <c r="CQ557" i="10"/>
  <c r="M59" i="34" s="1"/>
  <c r="AJ426" i="7"/>
  <c r="AS426" i="7" s="1"/>
  <c r="AV426" i="3" s="1"/>
  <c r="AK426" i="7"/>
  <c r="AN426" i="3" s="1"/>
  <c r="CO717" i="10"/>
  <c r="O219" i="34" s="1"/>
  <c r="CU6" i="9"/>
  <c r="N3" i="35" s="1"/>
  <c r="CW6" i="9"/>
  <c r="L3" i="35" s="1"/>
  <c r="CV6" i="9"/>
  <c r="AV372" i="7"/>
  <c r="AY372" i="3" s="1"/>
  <c r="K372" i="3"/>
  <c r="CQ852" i="10"/>
  <c r="M354" i="34" s="1"/>
  <c r="AK181" i="7"/>
  <c r="AN181" i="3" s="1"/>
  <c r="AO328" i="10"/>
  <c r="H863" i="10"/>
  <c r="O863" i="10" s="1"/>
  <c r="K368" i="3"/>
  <c r="I401" i="7"/>
  <c r="L401" i="3" s="1"/>
  <c r="E224" i="8"/>
  <c r="C224" i="8"/>
  <c r="AO263" i="10"/>
  <c r="CO663" i="10"/>
  <c r="O165" i="34" s="1"/>
  <c r="D104" i="12"/>
  <c r="D106" i="12"/>
  <c r="K123" i="3"/>
  <c r="K276" i="3"/>
  <c r="L276" i="7"/>
  <c r="O276" i="3" s="1"/>
  <c r="AO202" i="10"/>
  <c r="AO246" i="10"/>
  <c r="CO634" i="10"/>
  <c r="O136" i="34" s="1"/>
  <c r="CQ663" i="10"/>
  <c r="M165" i="34" s="1"/>
  <c r="CP914" i="10"/>
  <c r="L416" i="34" s="1"/>
  <c r="CO914" i="10"/>
  <c r="O416" i="34" s="1"/>
  <c r="CQ731" i="10"/>
  <c r="M233" i="34" s="1"/>
  <c r="CP731" i="10"/>
  <c r="L233" i="34" s="1"/>
  <c r="CT13" i="9"/>
  <c r="AK113" i="7"/>
  <c r="AN113" i="3" s="1"/>
  <c r="CP717" i="10"/>
  <c r="K394" i="3"/>
  <c r="L394" i="7"/>
  <c r="O394" i="3" s="1"/>
  <c r="AJ181" i="7"/>
  <c r="AM181" i="3" s="1"/>
  <c r="J416" i="7"/>
  <c r="M416" i="3" s="1"/>
  <c r="J425" i="7"/>
  <c r="M425" i="3" s="1"/>
  <c r="CP697" i="10"/>
  <c r="AO186" i="10"/>
  <c r="CQ618" i="10"/>
  <c r="M120" i="34" s="1"/>
  <c r="CP634" i="10"/>
  <c r="AO252" i="10"/>
  <c r="CQ796" i="10"/>
  <c r="M298" i="34" s="1"/>
  <c r="CP796" i="10"/>
  <c r="AO104" i="10"/>
  <c r="AO134" i="10"/>
  <c r="AO153" i="10"/>
  <c r="AO175" i="10"/>
  <c r="H56" i="14"/>
  <c r="CU68" i="9"/>
  <c r="N65" i="35" s="1"/>
  <c r="CV68" i="9"/>
  <c r="M65" i="35" s="1"/>
  <c r="CT68" i="9"/>
  <c r="H374" i="34"/>
  <c r="CQ872" i="10"/>
  <c r="M374" i="34" s="1"/>
  <c r="K174" i="3"/>
  <c r="L174" i="7"/>
  <c r="O174" i="3" s="1"/>
  <c r="CQ710" i="10"/>
  <c r="M212" i="34" s="1"/>
  <c r="CP710" i="10"/>
  <c r="CO872" i="10"/>
  <c r="O374" i="34" s="1"/>
  <c r="CP872" i="10"/>
  <c r="CO529" i="10"/>
  <c r="O31" i="34" s="1"/>
  <c r="CQ529" i="10"/>
  <c r="M31" i="34" s="1"/>
  <c r="CP529" i="10"/>
  <c r="L31" i="34" s="1"/>
  <c r="CP700" i="10"/>
  <c r="L202" i="34" s="1"/>
  <c r="CO700" i="10"/>
  <c r="O202" i="34" s="1"/>
  <c r="CP862" i="10"/>
  <c r="L364" i="34" s="1"/>
  <c r="H373" i="34"/>
  <c r="CQ871" i="10"/>
  <c r="M373" i="34" s="1"/>
  <c r="CP871" i="10"/>
  <c r="L373" i="34" s="1"/>
  <c r="CO871" i="10"/>
  <c r="O373" i="34" s="1"/>
  <c r="CQ522" i="10"/>
  <c r="M24" i="34" s="1"/>
  <c r="CP522" i="10"/>
  <c r="CS522" i="10" s="1"/>
  <c r="N24" i="34" s="1"/>
  <c r="AV404" i="7"/>
  <c r="AY404" i="3" s="1"/>
  <c r="H592" i="10"/>
  <c r="BX592" i="10" s="1"/>
  <c r="L97" i="7"/>
  <c r="O97" i="3" s="1"/>
  <c r="AK140" i="7"/>
  <c r="AN140" i="3" s="1"/>
  <c r="AV144" i="7"/>
  <c r="AY144" i="3" s="1"/>
  <c r="K156" i="3"/>
  <c r="L156" i="7"/>
  <c r="O156" i="3" s="1"/>
  <c r="CQ597" i="10"/>
  <c r="M99" i="34" s="1"/>
  <c r="CP597" i="10"/>
  <c r="AJ144" i="7"/>
  <c r="L100" i="7"/>
  <c r="O100" i="3" s="1"/>
  <c r="AJ134" i="7"/>
  <c r="K314" i="3"/>
  <c r="L314" i="7"/>
  <c r="O314" i="3" s="1"/>
  <c r="CO739" i="10"/>
  <c r="O241" i="34" s="1"/>
  <c r="CQ768" i="10"/>
  <c r="M270" i="34" s="1"/>
  <c r="CP768" i="10"/>
  <c r="AV181" i="7"/>
  <c r="AY181" i="3" s="1"/>
  <c r="AJ34" i="7"/>
  <c r="AM34" i="3" s="1"/>
  <c r="AJ45" i="7"/>
  <c r="AM45" i="3" s="1"/>
  <c r="I277" i="7"/>
  <c r="L277" i="3" s="1"/>
  <c r="AK388" i="7"/>
  <c r="AN388" i="3" s="1"/>
  <c r="AO261" i="10"/>
  <c r="AJ32" i="7"/>
  <c r="AM32" i="3" s="1"/>
  <c r="AJ113" i="7"/>
  <c r="AM113" i="3" s="1"/>
  <c r="J122" i="7"/>
  <c r="M122" i="3" s="1"/>
  <c r="AJ338" i="7"/>
  <c r="AM338" i="3" s="1"/>
  <c r="L367" i="7"/>
  <c r="O367" i="3" s="1"/>
  <c r="L421" i="7"/>
  <c r="O421" i="3" s="1"/>
  <c r="AK427" i="7"/>
  <c r="AN427" i="3" s="1"/>
  <c r="AO48" i="10"/>
  <c r="AO212" i="10"/>
  <c r="AO387" i="10"/>
  <c r="AV34" i="7"/>
  <c r="AY34" i="3" s="1"/>
  <c r="AK41" i="7"/>
  <c r="AN41" i="3" s="1"/>
  <c r="AV260" i="7"/>
  <c r="AY260" i="3" s="1"/>
  <c r="E20" i="17"/>
  <c r="F20" i="17" s="1"/>
  <c r="AV292" i="7"/>
  <c r="AY292" i="3" s="1"/>
  <c r="AO327" i="10"/>
  <c r="CP535" i="10"/>
  <c r="CQ652" i="10"/>
  <c r="M154" i="34" s="1"/>
  <c r="CQ854" i="10"/>
  <c r="M356" i="34" s="1"/>
  <c r="AV22" i="7"/>
  <c r="AY22" i="3" s="1"/>
  <c r="AJ245" i="7"/>
  <c r="AM245" i="3" s="1"/>
  <c r="AK295" i="7"/>
  <c r="AN295" i="3" s="1"/>
  <c r="AJ369" i="7"/>
  <c r="AM369" i="3" s="1"/>
  <c r="AO76" i="10"/>
  <c r="AO311" i="10"/>
  <c r="CQ535" i="10"/>
  <c r="M37" i="34" s="1"/>
  <c r="CQ827" i="10"/>
  <c r="M329" i="34" s="1"/>
  <c r="AK156" i="7"/>
  <c r="AN156" i="3" s="1"/>
  <c r="AK245" i="7"/>
  <c r="AN245" i="3" s="1"/>
  <c r="AK347" i="7"/>
  <c r="AN347" i="3" s="1"/>
  <c r="AJ22" i="17"/>
  <c r="AV156" i="7"/>
  <c r="AY156" i="3" s="1"/>
  <c r="AK267" i="7"/>
  <c r="AN267" i="3" s="1"/>
  <c r="AK415" i="7"/>
  <c r="AN415" i="3" s="1"/>
  <c r="AO193" i="10"/>
  <c r="AO270" i="10"/>
  <c r="CO511" i="10"/>
  <c r="O13" i="34" s="1"/>
  <c r="CO538" i="10"/>
  <c r="O40" i="34" s="1"/>
  <c r="CO840" i="10"/>
  <c r="O342" i="34" s="1"/>
  <c r="CP891" i="10"/>
  <c r="L393" i="34" s="1"/>
  <c r="AO393" i="10"/>
  <c r="I114" i="7"/>
  <c r="L114" i="3" s="1"/>
  <c r="AV145" i="7"/>
  <c r="AY145" i="3" s="1"/>
  <c r="AV354" i="7"/>
  <c r="AY354" i="3" s="1"/>
  <c r="CU16" i="9"/>
  <c r="N13" i="35" s="1"/>
  <c r="AO333" i="10"/>
  <c r="AO377" i="10"/>
  <c r="CP538" i="10"/>
  <c r="L40" i="34" s="1"/>
  <c r="CO675" i="10"/>
  <c r="O177" i="34" s="1"/>
  <c r="CO695" i="10"/>
  <c r="O197" i="34" s="1"/>
  <c r="CQ840" i="10"/>
  <c r="M342" i="34" s="1"/>
  <c r="CO874" i="10"/>
  <c r="O376" i="34" s="1"/>
  <c r="AJ7" i="7"/>
  <c r="AM7" i="3" s="1"/>
  <c r="AK46" i="7"/>
  <c r="AV293" i="7"/>
  <c r="AY293" i="3" s="1"/>
  <c r="AK352" i="7"/>
  <c r="AN352" i="3" s="1"/>
  <c r="AK374" i="7"/>
  <c r="AN374" i="3" s="1"/>
  <c r="CW16" i="9"/>
  <c r="L13" i="35" s="1"/>
  <c r="CT57" i="9"/>
  <c r="AO284" i="10"/>
  <c r="CP514" i="10"/>
  <c r="CS514" i="10" s="1"/>
  <c r="N16" i="34" s="1"/>
  <c r="CP675" i="10"/>
  <c r="CS675" i="10" s="1"/>
  <c r="N177" i="34" s="1"/>
  <c r="CQ823" i="10"/>
  <c r="M325" i="34" s="1"/>
  <c r="U14" i="17"/>
  <c r="Y23" i="17"/>
  <c r="J113" i="7"/>
  <c r="M113" i="3" s="1"/>
  <c r="H321" i="34"/>
  <c r="CO819" i="10"/>
  <c r="O321" i="34" s="1"/>
  <c r="G39" i="35"/>
  <c r="CW42" i="9"/>
  <c r="L39" i="35" s="1"/>
  <c r="CU42" i="9"/>
  <c r="N39" i="35" s="1"/>
  <c r="CT42" i="9"/>
  <c r="CW25" i="9"/>
  <c r="L22" i="35" s="1"/>
  <c r="CV25" i="9"/>
  <c r="M22" i="35" s="1"/>
  <c r="CU25" i="9"/>
  <c r="N22" i="35" s="1"/>
  <c r="L61" i="7"/>
  <c r="O61" i="3" s="1"/>
  <c r="J61" i="7"/>
  <c r="M61" i="3" s="1"/>
  <c r="AO88" i="10"/>
  <c r="CP815" i="10"/>
  <c r="L317" i="34" s="1"/>
  <c r="CO815" i="10"/>
  <c r="O317" i="34" s="1"/>
  <c r="J31" i="7"/>
  <c r="M31" i="3" s="1"/>
  <c r="AO91" i="10"/>
  <c r="CQ607" i="10"/>
  <c r="M109" i="34" s="1"/>
  <c r="CO607" i="10"/>
  <c r="O109" i="34" s="1"/>
  <c r="CQ563" i="10"/>
  <c r="M65" i="34" s="1"/>
  <c r="CO563" i="10"/>
  <c r="O65" i="34" s="1"/>
  <c r="E225" i="8"/>
  <c r="C225" i="8"/>
  <c r="CO716" i="10"/>
  <c r="O218" i="34" s="1"/>
  <c r="CP716" i="10"/>
  <c r="L218" i="34" s="1"/>
  <c r="H307" i="34"/>
  <c r="CQ805" i="10"/>
  <c r="M307" i="34" s="1"/>
  <c r="CO805" i="10"/>
  <c r="O307" i="34" s="1"/>
  <c r="H888" i="10"/>
  <c r="T888" i="10" s="1"/>
  <c r="I393" i="7"/>
  <c r="L393" i="3" s="1"/>
  <c r="K393" i="3"/>
  <c r="CO795" i="10"/>
  <c r="O297" i="34" s="1"/>
  <c r="CQ795" i="10"/>
  <c r="M297" i="34" s="1"/>
  <c r="CP795" i="10"/>
  <c r="I383" i="7"/>
  <c r="L383" i="3" s="1"/>
  <c r="J385" i="7"/>
  <c r="H399" i="34"/>
  <c r="CQ897" i="10"/>
  <c r="M399" i="34" s="1"/>
  <c r="AO268" i="10"/>
  <c r="CO822" i="10"/>
  <c r="O324" i="34" s="1"/>
  <c r="CQ822" i="10"/>
  <c r="M324" i="34" s="1"/>
  <c r="CP822" i="10"/>
  <c r="CS822" i="10" s="1"/>
  <c r="N324" i="34" s="1"/>
  <c r="CO762" i="10"/>
  <c r="O264" i="34" s="1"/>
  <c r="CP762" i="10"/>
  <c r="CS762" i="10" s="1"/>
  <c r="N264" i="34" s="1"/>
  <c r="I56" i="7"/>
  <c r="L56" i="3" s="1"/>
  <c r="K56" i="3"/>
  <c r="AO227" i="10"/>
  <c r="AO282" i="10"/>
  <c r="AO118" i="10"/>
  <c r="AO129" i="10"/>
  <c r="AO178" i="10"/>
  <c r="L399" i="7"/>
  <c r="O399" i="3" s="1"/>
  <c r="K399" i="3"/>
  <c r="N71" i="9"/>
  <c r="CD71" i="9" s="1"/>
  <c r="H119" i="34"/>
  <c r="CQ617" i="10"/>
  <c r="M119" i="34" s="1"/>
  <c r="CO617" i="10"/>
  <c r="O119" i="34" s="1"/>
  <c r="CQ748" i="10"/>
  <c r="M250" i="34" s="1"/>
  <c r="CP748" i="10"/>
  <c r="CO748" i="10"/>
  <c r="O250" i="34" s="1"/>
  <c r="AJ399" i="7"/>
  <c r="AO83" i="10"/>
  <c r="AK399" i="7"/>
  <c r="AN399" i="3" s="1"/>
  <c r="J406" i="7"/>
  <c r="M406" i="3" s="1"/>
  <c r="AO53" i="10"/>
  <c r="AO34" i="10"/>
  <c r="CO556" i="10"/>
  <c r="O58" i="34" s="1"/>
  <c r="CP556" i="10"/>
  <c r="CS556" i="10" s="1"/>
  <c r="N58" i="34" s="1"/>
  <c r="G64" i="35"/>
  <c r="CV67" i="9"/>
  <c r="CU67" i="9"/>
  <c r="N64" i="35" s="1"/>
  <c r="CT67" i="9"/>
  <c r="AO40" i="10"/>
  <c r="H355" i="34"/>
  <c r="CQ853" i="10"/>
  <c r="M355" i="34" s="1"/>
  <c r="AO21" i="10"/>
  <c r="AO32" i="10"/>
  <c r="CO507" i="10"/>
  <c r="O9" i="34" s="1"/>
  <c r="CQ507" i="10"/>
  <c r="M9" i="34" s="1"/>
  <c r="H22" i="34"/>
  <c r="CQ520" i="10"/>
  <c r="M22" i="34" s="1"/>
  <c r="CO520" i="10"/>
  <c r="O22" i="34" s="1"/>
  <c r="K148" i="3"/>
  <c r="AK148" i="7"/>
  <c r="AN148" i="3" s="1"/>
  <c r="J13" i="7"/>
  <c r="M13" i="3" s="1"/>
  <c r="L13" i="7"/>
  <c r="O13" i="3" s="1"/>
  <c r="I13" i="7"/>
  <c r="L13" i="3" s="1"/>
  <c r="C221" i="8"/>
  <c r="E221" i="8"/>
  <c r="AO80" i="10"/>
  <c r="CQ600" i="10"/>
  <c r="M102" i="34" s="1"/>
  <c r="CP600" i="10"/>
  <c r="CS600" i="10" s="1"/>
  <c r="N102" i="34" s="1"/>
  <c r="K13" i="3"/>
  <c r="I125" i="7"/>
  <c r="L125" i="3" s="1"/>
  <c r="K125" i="3"/>
  <c r="J125" i="7"/>
  <c r="M125" i="3" s="1"/>
  <c r="K326" i="3"/>
  <c r="AJ326" i="7"/>
  <c r="AO350" i="10"/>
  <c r="CQ691" i="10"/>
  <c r="M193" i="34" s="1"/>
  <c r="CO691" i="10"/>
  <c r="O193" i="34" s="1"/>
  <c r="H368" i="34"/>
  <c r="CO866" i="10"/>
  <c r="O368" i="34" s="1"/>
  <c r="AO10" i="10"/>
  <c r="K421" i="3"/>
  <c r="CW62" i="9"/>
  <c r="L59" i="35" s="1"/>
  <c r="CV62" i="9"/>
  <c r="CU62" i="9"/>
  <c r="N59" i="35" s="1"/>
  <c r="K185" i="3"/>
  <c r="K58" i="3"/>
  <c r="AJ58" i="7"/>
  <c r="AM58" i="3" s="1"/>
  <c r="CV36" i="9"/>
  <c r="K33" i="35" s="1"/>
  <c r="CW36" i="9"/>
  <c r="L33" i="35" s="1"/>
  <c r="CU36" i="9"/>
  <c r="N33" i="35" s="1"/>
  <c r="CW38" i="9"/>
  <c r="L35" i="35" s="1"/>
  <c r="CV38" i="9"/>
  <c r="M35" i="35" s="1"/>
  <c r="CU38" i="9"/>
  <c r="N35" i="35" s="1"/>
  <c r="H272" i="34"/>
  <c r="CO770" i="10"/>
  <c r="O272" i="34" s="1"/>
  <c r="CQ770" i="10"/>
  <c r="M272" i="34" s="1"/>
  <c r="CP907" i="10"/>
  <c r="CQ907" i="10"/>
  <c r="M409" i="34" s="1"/>
  <c r="AO26" i="10"/>
  <c r="AO64" i="10"/>
  <c r="AO110" i="10"/>
  <c r="AO197" i="10"/>
  <c r="AO318" i="10"/>
  <c r="AO405" i="10"/>
  <c r="CQ832" i="10"/>
  <c r="M334" i="34" s="1"/>
  <c r="CO832" i="10"/>
  <c r="O334" i="34" s="1"/>
  <c r="AV332" i="7"/>
  <c r="AY332" i="3" s="1"/>
  <c r="AJ423" i="7"/>
  <c r="AM423" i="3" s="1"/>
  <c r="AO18" i="10"/>
  <c r="AO37" i="10"/>
  <c r="AO102" i="10"/>
  <c r="AO206" i="10"/>
  <c r="AO228" i="10"/>
  <c r="AO288" i="10"/>
  <c r="AO353" i="10"/>
  <c r="AK13" i="7"/>
  <c r="AN13" i="3" s="1"/>
  <c r="L157" i="7"/>
  <c r="J157" i="7"/>
  <c r="M157" i="3" s="1"/>
  <c r="AO75" i="10"/>
  <c r="AO78" i="10"/>
  <c r="AO162" i="10"/>
  <c r="AO173" i="10"/>
  <c r="AO266" i="10"/>
  <c r="H395" i="34"/>
  <c r="CQ893" i="10"/>
  <c r="M395" i="34" s="1"/>
  <c r="CP893" i="10"/>
  <c r="CO893" i="10"/>
  <c r="O395" i="34" s="1"/>
  <c r="AO285" i="10"/>
  <c r="U659" i="10"/>
  <c r="I164" i="7"/>
  <c r="L164" i="3" s="1"/>
  <c r="CO516" i="10"/>
  <c r="O18" i="34" s="1"/>
  <c r="CP516" i="10"/>
  <c r="CQ516" i="10"/>
  <c r="M18" i="34" s="1"/>
  <c r="CP673" i="10"/>
  <c r="L175" i="34" s="1"/>
  <c r="CQ673" i="10"/>
  <c r="M175" i="34" s="1"/>
  <c r="J394" i="7"/>
  <c r="M394" i="3" s="1"/>
  <c r="AO59" i="10"/>
  <c r="CO641" i="10"/>
  <c r="O143" i="34" s="1"/>
  <c r="CO648" i="10"/>
  <c r="O150" i="34" s="1"/>
  <c r="CO655" i="10"/>
  <c r="O157" i="34" s="1"/>
  <c r="CO670" i="10"/>
  <c r="O172" i="34" s="1"/>
  <c r="CO705" i="10"/>
  <c r="O207" i="34" s="1"/>
  <c r="CQ808" i="10"/>
  <c r="M310" i="34" s="1"/>
  <c r="AV11" i="7"/>
  <c r="AY11" i="3" s="1"/>
  <c r="AV328" i="7"/>
  <c r="AY328" i="3" s="1"/>
  <c r="L392" i="7"/>
  <c r="O392" i="3" s="1"/>
  <c r="K392" i="3"/>
  <c r="I396" i="7"/>
  <c r="L396" i="3" s="1"/>
  <c r="G70" i="35"/>
  <c r="CV73" i="9"/>
  <c r="CU73" i="9"/>
  <c r="N70" i="35" s="1"/>
  <c r="CT73" i="9"/>
  <c r="AO70" i="10"/>
  <c r="AO146" i="10"/>
  <c r="CP637" i="10"/>
  <c r="L139" i="34" s="1"/>
  <c r="CQ641" i="10"/>
  <c r="M143" i="34" s="1"/>
  <c r="CQ648" i="10"/>
  <c r="M150" i="34" s="1"/>
  <c r="CP655" i="10"/>
  <c r="CS655" i="10" s="1"/>
  <c r="N157" i="34" s="1"/>
  <c r="CQ670" i="10"/>
  <c r="M172" i="34" s="1"/>
  <c r="CO719" i="10"/>
  <c r="O221" i="34" s="1"/>
  <c r="H316" i="34"/>
  <c r="CQ814" i="10"/>
  <c r="M316" i="34" s="1"/>
  <c r="CO814" i="10"/>
  <c r="O316" i="34" s="1"/>
  <c r="CO818" i="10"/>
  <c r="O320" i="34" s="1"/>
  <c r="F77" i="25"/>
  <c r="AK44" i="7"/>
  <c r="AN44" i="3" s="1"/>
  <c r="AJ44" i="7"/>
  <c r="J314" i="7"/>
  <c r="M314" i="3" s="1"/>
  <c r="CT56" i="9"/>
  <c r="CW60" i="9"/>
  <c r="L57" i="35" s="1"/>
  <c r="CV60" i="9"/>
  <c r="AO54" i="10"/>
  <c r="AO65" i="10"/>
  <c r="AO89" i="10"/>
  <c r="CQ637" i="10"/>
  <c r="M139" i="34" s="1"/>
  <c r="CP701" i="10"/>
  <c r="CP708" i="10"/>
  <c r="L210" i="34" s="1"/>
  <c r="CP719" i="10"/>
  <c r="CS719" i="10" s="1"/>
  <c r="N221" i="34" s="1"/>
  <c r="CQ723" i="10"/>
  <c r="M225" i="34" s="1"/>
  <c r="CO723" i="10"/>
  <c r="O225" i="34" s="1"/>
  <c r="CP723" i="10"/>
  <c r="L225" i="34" s="1"/>
  <c r="CP741" i="10"/>
  <c r="L243" i="34" s="1"/>
  <c r="CQ794" i="10"/>
  <c r="M296" i="34" s="1"/>
  <c r="CO811" i="10"/>
  <c r="O313" i="34" s="1"/>
  <c r="CQ818" i="10"/>
  <c r="M320" i="34" s="1"/>
  <c r="AV9" i="7"/>
  <c r="AY9" i="3" s="1"/>
  <c r="AK326" i="7"/>
  <c r="AN326" i="3" s="1"/>
  <c r="CO644" i="10"/>
  <c r="O146" i="34" s="1"/>
  <c r="CO673" i="10"/>
  <c r="O175" i="34" s="1"/>
  <c r="CQ693" i="10"/>
  <c r="M195" i="34" s="1"/>
  <c r="CO693" i="10"/>
  <c r="O195" i="34" s="1"/>
  <c r="CQ708" i="10"/>
  <c r="M210" i="34" s="1"/>
  <c r="CQ719" i="10"/>
  <c r="M221" i="34" s="1"/>
  <c r="CO807" i="10"/>
  <c r="O309" i="34" s="1"/>
  <c r="CQ807" i="10"/>
  <c r="M309" i="34" s="1"/>
  <c r="CP807" i="10"/>
  <c r="AK31" i="7"/>
  <c r="AN31" i="3" s="1"/>
  <c r="J88" i="7"/>
  <c r="M88" i="3" s="1"/>
  <c r="L88" i="7"/>
  <c r="O88" i="3" s="1"/>
  <c r="AV189" i="7"/>
  <c r="AY189" i="3" s="1"/>
  <c r="AJ226" i="7"/>
  <c r="AM226" i="3" s="1"/>
  <c r="AK355" i="7"/>
  <c r="AN355" i="3" s="1"/>
  <c r="CU20" i="9"/>
  <c r="N17" i="35" s="1"/>
  <c r="CT20" i="9"/>
  <c r="CT60" i="9"/>
  <c r="CP551" i="10"/>
  <c r="CQ551" i="10"/>
  <c r="M53" i="34" s="1"/>
  <c r="CQ640" i="10"/>
  <c r="M142" i="34" s="1"/>
  <c r="CP643" i="10"/>
  <c r="CQ643" i="10"/>
  <c r="M145" i="34" s="1"/>
  <c r="CQ658" i="10"/>
  <c r="M160" i="34" s="1"/>
  <c r="CQ704" i="10"/>
  <c r="M206" i="34" s="1"/>
  <c r="CQ824" i="10"/>
  <c r="M326" i="34" s="1"/>
  <c r="CP824" i="10"/>
  <c r="CO824" i="10"/>
  <c r="O326" i="34" s="1"/>
  <c r="D102" i="12"/>
  <c r="D108" i="12"/>
  <c r="D103" i="12"/>
  <c r="AV31" i="7"/>
  <c r="AY31" i="3" s="1"/>
  <c r="J42" i="7"/>
  <c r="M42" i="3" s="1"/>
  <c r="AK152" i="7"/>
  <c r="AN152" i="3" s="1"/>
  <c r="AJ271" i="7"/>
  <c r="AM271" i="3" s="1"/>
  <c r="U842" i="10"/>
  <c r="O842" i="10" s="1"/>
  <c r="J347" i="7"/>
  <c r="M347" i="3" s="1"/>
  <c r="CQ554" i="10"/>
  <c r="M56" i="34" s="1"/>
  <c r="CP554" i="10"/>
  <c r="H141" i="34"/>
  <c r="CO639" i="10"/>
  <c r="O141" i="34" s="1"/>
  <c r="AK101" i="7"/>
  <c r="AN101" i="3" s="1"/>
  <c r="AV110" i="7"/>
  <c r="AY110" i="3" s="1"/>
  <c r="J214" i="7"/>
  <c r="M214" i="3" s="1"/>
  <c r="AK271" i="7"/>
  <c r="AN271" i="3" s="1"/>
  <c r="AV302" i="7"/>
  <c r="AY302" i="3" s="1"/>
  <c r="K302" i="3"/>
  <c r="AV320" i="7"/>
  <c r="AY320" i="3" s="1"/>
  <c r="U820" i="10"/>
  <c r="J325" i="7"/>
  <c r="M325" i="3" s="1"/>
  <c r="CT41" i="9"/>
  <c r="CT51" i="9"/>
  <c r="CW51" i="9"/>
  <c r="L48" i="35" s="1"/>
  <c r="CV51" i="9"/>
  <c r="CU51" i="9"/>
  <c r="N48" i="35" s="1"/>
  <c r="CO686" i="10"/>
  <c r="O188" i="34" s="1"/>
  <c r="CO783" i="10"/>
  <c r="O285" i="34" s="1"/>
  <c r="AV79" i="7"/>
  <c r="AY79" i="3" s="1"/>
  <c r="I255" i="7"/>
  <c r="L255" i="3" s="1"/>
  <c r="AK265" i="7"/>
  <c r="AN265" i="3" s="1"/>
  <c r="AJ267" i="7"/>
  <c r="AT267" i="7" s="1"/>
  <c r="AW267" i="3" s="1"/>
  <c r="AV271" i="7"/>
  <c r="AY271" i="3" s="1"/>
  <c r="J302" i="7"/>
  <c r="M302" i="3" s="1"/>
  <c r="L422" i="7"/>
  <c r="I422" i="7"/>
  <c r="L422" i="3" s="1"/>
  <c r="CV41" i="9"/>
  <c r="K38" i="35" s="1"/>
  <c r="CS529" i="10"/>
  <c r="N31" i="34" s="1"/>
  <c r="CP629" i="10"/>
  <c r="L131" i="34" s="1"/>
  <c r="CO760" i="10"/>
  <c r="O262" i="34" s="1"/>
  <c r="CQ783" i="10"/>
  <c r="M285" i="34" s="1"/>
  <c r="CP789" i="10"/>
  <c r="CS789" i="10" s="1"/>
  <c r="N291" i="34" s="1"/>
  <c r="CQ789" i="10"/>
  <c r="M291" i="34" s="1"/>
  <c r="D110" i="12"/>
  <c r="B9" i="17"/>
  <c r="K355" i="3"/>
  <c r="AK112" i="7"/>
  <c r="AN112" i="3" s="1"/>
  <c r="J255" i="7"/>
  <c r="M255" i="3" s="1"/>
  <c r="J257" i="7"/>
  <c r="M257" i="3" s="1"/>
  <c r="AJ261" i="7"/>
  <c r="AM261" i="3" s="1"/>
  <c r="AJ263" i="7"/>
  <c r="AM263" i="3" s="1"/>
  <c r="AV269" i="7"/>
  <c r="AY269" i="3" s="1"/>
  <c r="CU9" i="9"/>
  <c r="N6" i="35" s="1"/>
  <c r="CT9" i="9"/>
  <c r="CU24" i="9"/>
  <c r="N21" i="35" s="1"/>
  <c r="CW41" i="9"/>
  <c r="L38" i="35" s="1"/>
  <c r="AO404" i="10"/>
  <c r="AO407" i="10"/>
  <c r="CQ528" i="10"/>
  <c r="M30" i="34" s="1"/>
  <c r="CP528" i="10"/>
  <c r="CO528" i="10"/>
  <c r="O30" i="34" s="1"/>
  <c r="CP650" i="10"/>
  <c r="CS650" i="10" s="1"/>
  <c r="N152" i="34" s="1"/>
  <c r="CO657" i="10"/>
  <c r="O159" i="34" s="1"/>
  <c r="H227" i="34"/>
  <c r="CQ725" i="10"/>
  <c r="M227" i="34" s="1"/>
  <c r="CO725" i="10"/>
  <c r="O227" i="34" s="1"/>
  <c r="CP760" i="10"/>
  <c r="L262" i="34" s="1"/>
  <c r="CP779" i="10"/>
  <c r="CQ882" i="10"/>
  <c r="M384" i="34" s="1"/>
  <c r="CP895" i="10"/>
  <c r="AK263" i="7"/>
  <c r="AN263" i="3" s="1"/>
  <c r="AV267" i="7"/>
  <c r="AY267" i="3" s="1"/>
  <c r="I272" i="7"/>
  <c r="L272" i="3" s="1"/>
  <c r="CT7" i="9"/>
  <c r="AO6" i="10"/>
  <c r="AO300" i="10"/>
  <c r="AO385" i="10"/>
  <c r="CO554" i="10"/>
  <c r="O56" i="34" s="1"/>
  <c r="CO618" i="10"/>
  <c r="O120" i="34" s="1"/>
  <c r="CO625" i="10"/>
  <c r="O127" i="34" s="1"/>
  <c r="H130" i="34"/>
  <c r="CO628" i="10"/>
  <c r="O130" i="34" s="1"/>
  <c r="CQ628" i="10"/>
  <c r="M130" i="34" s="1"/>
  <c r="CQ782" i="10"/>
  <c r="M284" i="34" s="1"/>
  <c r="CP782" i="10"/>
  <c r="CO640" i="10"/>
  <c r="O142" i="34" s="1"/>
  <c r="CP644" i="10"/>
  <c r="L146" i="34" s="1"/>
  <c r="CO704" i="10"/>
  <c r="O206" i="34" s="1"/>
  <c r="AC14" i="7"/>
  <c r="AD14" i="7" s="1"/>
  <c r="I101" i="7"/>
  <c r="H596" i="10"/>
  <c r="BX596" i="10" s="1"/>
  <c r="L101" i="7"/>
  <c r="O101" i="3" s="1"/>
  <c r="J101" i="7"/>
  <c r="M101" i="3" s="1"/>
  <c r="AJ170" i="7"/>
  <c r="AM170" i="3" s="1"/>
  <c r="AK277" i="7"/>
  <c r="AN277" i="3" s="1"/>
  <c r="J316" i="7"/>
  <c r="M316" i="3" s="1"/>
  <c r="AK411" i="7"/>
  <c r="AN411" i="3" s="1"/>
  <c r="AV411" i="7"/>
  <c r="AY411" i="3" s="1"/>
  <c r="CP640" i="10"/>
  <c r="CQ668" i="10"/>
  <c r="M170" i="34" s="1"/>
  <c r="CP668" i="10"/>
  <c r="CQ793" i="10"/>
  <c r="M295" i="34" s="1"/>
  <c r="CO793" i="10"/>
  <c r="O295" i="34" s="1"/>
  <c r="CQ800" i="10"/>
  <c r="M302" i="34" s="1"/>
  <c r="CP800" i="10"/>
  <c r="L302" i="34" s="1"/>
  <c r="I160" i="7"/>
  <c r="L160" i="3" s="1"/>
  <c r="AV168" i="7"/>
  <c r="AY168" i="3" s="1"/>
  <c r="AK226" i="7"/>
  <c r="AN226" i="3" s="1"/>
  <c r="AV235" i="7"/>
  <c r="AY235" i="3" s="1"/>
  <c r="H205" i="34"/>
  <c r="CO703" i="10"/>
  <c r="O205" i="34" s="1"/>
  <c r="CQ703" i="10"/>
  <c r="M205" i="34" s="1"/>
  <c r="J220" i="7"/>
  <c r="M220" i="3" s="1"/>
  <c r="AK224" i="7"/>
  <c r="AN224" i="3" s="1"/>
  <c r="CP532" i="10"/>
  <c r="L34" i="34" s="1"/>
  <c r="CQ532" i="10"/>
  <c r="M34" i="34" s="1"/>
  <c r="CP619" i="10"/>
  <c r="CS619" i="10" s="1"/>
  <c r="N121" i="34" s="1"/>
  <c r="CO750" i="10"/>
  <c r="O252" i="34" s="1"/>
  <c r="CO764" i="10"/>
  <c r="O266" i="34" s="1"/>
  <c r="AV185" i="7"/>
  <c r="AY185" i="3" s="1"/>
  <c r="AO235" i="10"/>
  <c r="CP764" i="10"/>
  <c r="L266" i="34" s="1"/>
  <c r="CO779" i="10"/>
  <c r="O281" i="34" s="1"/>
  <c r="AJ156" i="7"/>
  <c r="AM156" i="3" s="1"/>
  <c r="I173" i="7"/>
  <c r="L173" i="3" s="1"/>
  <c r="CT34" i="9"/>
  <c r="CV34" i="9"/>
  <c r="M31" i="35" s="1"/>
  <c r="AO180" i="10"/>
  <c r="AO221" i="10"/>
  <c r="AO292" i="10"/>
  <c r="CQ524" i="10"/>
  <c r="M26" i="34" s="1"/>
  <c r="CO524" i="10"/>
  <c r="O26" i="34" s="1"/>
  <c r="CP618" i="10"/>
  <c r="CP778" i="10"/>
  <c r="CO778" i="10"/>
  <c r="O280" i="34" s="1"/>
  <c r="CS871" i="10"/>
  <c r="N373" i="34" s="1"/>
  <c r="CQ875" i="10"/>
  <c r="M377" i="34" s="1"/>
  <c r="AK242" i="7"/>
  <c r="AN242" i="3" s="1"/>
  <c r="L6" i="7"/>
  <c r="O6" i="3" s="1"/>
  <c r="H501" i="10"/>
  <c r="R501" i="10" s="1"/>
  <c r="AJ48" i="7"/>
  <c r="AM48" i="3" s="1"/>
  <c r="AK109" i="7"/>
  <c r="AN109" i="3" s="1"/>
  <c r="AV242" i="7"/>
  <c r="AY242" i="3" s="1"/>
  <c r="I274" i="7"/>
  <c r="L274" i="3" s="1"/>
  <c r="I304" i="7"/>
  <c r="L304" i="3" s="1"/>
  <c r="AK351" i="7"/>
  <c r="AN351" i="3" s="1"/>
  <c r="I373" i="7"/>
  <c r="L373" i="3" s="1"/>
  <c r="AV380" i="7"/>
  <c r="AY380" i="3" s="1"/>
  <c r="CV55" i="9"/>
  <c r="CU55" i="9"/>
  <c r="N52" i="35" s="1"/>
  <c r="AO163" i="10"/>
  <c r="AK25" i="7"/>
  <c r="AN25" i="3" s="1"/>
  <c r="AK312" i="7"/>
  <c r="AN312" i="3" s="1"/>
  <c r="AV327" i="7"/>
  <c r="AY327" i="3" s="1"/>
  <c r="AO373" i="10"/>
  <c r="CO569" i="10"/>
  <c r="O71" i="34" s="1"/>
  <c r="CQ569" i="10"/>
  <c r="M71" i="34" s="1"/>
  <c r="H294" i="34"/>
  <c r="CO792" i="10"/>
  <c r="O294" i="34" s="1"/>
  <c r="B17" i="17"/>
  <c r="AJ6" i="7"/>
  <c r="AM6" i="3" s="1"/>
  <c r="AJ138" i="7"/>
  <c r="AM138" i="3" s="1"/>
  <c r="AV259" i="7"/>
  <c r="AY259" i="3" s="1"/>
  <c r="AO57" i="10"/>
  <c r="AO133" i="10"/>
  <c r="AV30" i="7"/>
  <c r="AY30" i="3" s="1"/>
  <c r="AK196" i="7"/>
  <c r="AN196" i="3" s="1"/>
  <c r="AV421" i="7"/>
  <c r="AY421" i="3" s="1"/>
  <c r="I300" i="7"/>
  <c r="H112" i="34"/>
  <c r="CO610" i="10"/>
  <c r="O112" i="34" s="1"/>
  <c r="AK48" i="7"/>
  <c r="AN48" i="3" s="1"/>
  <c r="AK259" i="7"/>
  <c r="AN259" i="3" s="1"/>
  <c r="AJ360" i="7"/>
  <c r="AM360" i="3" s="1"/>
  <c r="AJ394" i="7"/>
  <c r="AM394" i="3" s="1"/>
  <c r="AV400" i="7"/>
  <c r="AY400" i="3" s="1"/>
  <c r="AK238" i="7"/>
  <c r="AN238" i="3" s="1"/>
  <c r="AJ276" i="7"/>
  <c r="AM276" i="3" s="1"/>
  <c r="AK6" i="7"/>
  <c r="AN6" i="3" s="1"/>
  <c r="AJ23" i="7"/>
  <c r="AM23" i="3" s="1"/>
  <c r="AV42" i="7"/>
  <c r="AY42" i="3" s="1"/>
  <c r="AJ167" i="7"/>
  <c r="AT167" i="7" s="1"/>
  <c r="AW167" i="3" s="1"/>
  <c r="AK214" i="7"/>
  <c r="AN214" i="3" s="1"/>
  <c r="AJ227" i="7"/>
  <c r="AM227" i="3" s="1"/>
  <c r="AJ274" i="7"/>
  <c r="AM274" i="3" s="1"/>
  <c r="CO555" i="10"/>
  <c r="O57" i="34" s="1"/>
  <c r="CP555" i="10"/>
  <c r="CS555" i="10" s="1"/>
  <c r="N57" i="34" s="1"/>
  <c r="H108" i="34"/>
  <c r="CQ606" i="10"/>
  <c r="M108" i="34" s="1"/>
  <c r="CO714" i="10"/>
  <c r="O216" i="34" s="1"/>
  <c r="CO747" i="10"/>
  <c r="O249" i="34" s="1"/>
  <c r="AK23" i="7"/>
  <c r="AV46" i="7"/>
  <c r="AV146" i="7"/>
  <c r="AY146" i="3" s="1"/>
  <c r="L153" i="7"/>
  <c r="O153" i="3" s="1"/>
  <c r="K153" i="3"/>
  <c r="AV169" i="7"/>
  <c r="AY169" i="3" s="1"/>
  <c r="AV212" i="7"/>
  <c r="AY212" i="3" s="1"/>
  <c r="AV214" i="7"/>
  <c r="AY214" i="3" s="1"/>
  <c r="AK227" i="7"/>
  <c r="AN227" i="3" s="1"/>
  <c r="AK234" i="7"/>
  <c r="AN234" i="3" s="1"/>
  <c r="AV276" i="7"/>
  <c r="AY276" i="3" s="1"/>
  <c r="I354" i="7"/>
  <c r="L354" i="3" s="1"/>
  <c r="CT55" i="9"/>
  <c r="AO352" i="10"/>
  <c r="CP610" i="10"/>
  <c r="CS610" i="10" s="1"/>
  <c r="N112" i="34" s="1"/>
  <c r="CQ747" i="10"/>
  <c r="M249" i="34" s="1"/>
  <c r="CO796" i="10"/>
  <c r="O298" i="34" s="1"/>
  <c r="AV210" i="7"/>
  <c r="AY210" i="3" s="1"/>
  <c r="AV257" i="7"/>
  <c r="AY257" i="3" s="1"/>
  <c r="AV289" i="7"/>
  <c r="AY289" i="3" s="1"/>
  <c r="AJ400" i="7"/>
  <c r="AM400" i="3" s="1"/>
  <c r="AO22" i="10"/>
  <c r="AO119" i="10"/>
  <c r="AO239" i="10"/>
  <c r="AO343" i="10"/>
  <c r="AJ62" i="7"/>
  <c r="AM62" i="3" s="1"/>
  <c r="AK73" i="7"/>
  <c r="AJ101" i="7"/>
  <c r="AK124" i="7"/>
  <c r="AN124" i="3" s="1"/>
  <c r="J358" i="7"/>
  <c r="M358" i="3" s="1"/>
  <c r="AK392" i="7"/>
  <c r="AN392" i="3" s="1"/>
  <c r="AO33" i="10"/>
  <c r="AO46" i="10"/>
  <c r="AO52" i="10"/>
  <c r="AO187" i="10"/>
  <c r="AO321" i="10"/>
  <c r="AO329" i="10"/>
  <c r="AO340" i="10"/>
  <c r="AO362" i="10"/>
  <c r="AK18" i="17"/>
  <c r="AO28" i="10"/>
  <c r="AO66" i="10"/>
  <c r="AO223" i="10"/>
  <c r="AO302" i="10"/>
  <c r="AO425" i="10"/>
  <c r="U13" i="17"/>
  <c r="V19" i="17"/>
  <c r="AJ31" i="7"/>
  <c r="AM31" i="3" s="1"/>
  <c r="AV33" i="7"/>
  <c r="AY33" i="3" s="1"/>
  <c r="AJ122" i="7"/>
  <c r="AM122" i="3" s="1"/>
  <c r="AV141" i="7"/>
  <c r="AY141" i="3" s="1"/>
  <c r="J164" i="7"/>
  <c r="J292" i="7"/>
  <c r="M292" i="3" s="1"/>
  <c r="AJ356" i="7"/>
  <c r="AT356" i="7" s="1"/>
  <c r="AW356" i="3" s="1"/>
  <c r="AK373" i="7"/>
  <c r="AN373" i="3" s="1"/>
  <c r="AO9" i="10"/>
  <c r="AO41" i="10"/>
  <c r="AO243" i="10"/>
  <c r="AO406" i="10"/>
  <c r="AO417" i="10"/>
  <c r="CP874" i="10"/>
  <c r="CS874" i="10" s="1"/>
  <c r="N376" i="34" s="1"/>
  <c r="Y13" i="17"/>
  <c r="X19" i="17"/>
  <c r="F81" i="25"/>
  <c r="B146" i="2" s="1"/>
  <c r="AV59" i="7"/>
  <c r="AY59" i="3" s="1"/>
  <c r="L59" i="7"/>
  <c r="O59" i="3" s="1"/>
  <c r="L55" i="7"/>
  <c r="O55" i="3" s="1"/>
  <c r="K55" i="3"/>
  <c r="J55" i="7"/>
  <c r="M55" i="3" s="1"/>
  <c r="AG57" i="7"/>
  <c r="AJ348" i="7"/>
  <c r="AM348" i="3" s="1"/>
  <c r="AV348" i="7"/>
  <c r="AY348" i="3" s="1"/>
  <c r="AK348" i="7"/>
  <c r="AN348" i="3" s="1"/>
  <c r="L348" i="7"/>
  <c r="O348" i="3" s="1"/>
  <c r="J348" i="7"/>
  <c r="M348" i="3" s="1"/>
  <c r="K348" i="3"/>
  <c r="L82" i="34"/>
  <c r="CS580" i="10"/>
  <c r="N82" i="34" s="1"/>
  <c r="I165" i="7"/>
  <c r="L165" i="3" s="1"/>
  <c r="L165" i="7"/>
  <c r="O165" i="3" s="1"/>
  <c r="K165" i="3"/>
  <c r="AV165" i="7"/>
  <c r="AY165" i="3" s="1"/>
  <c r="J165" i="7"/>
  <c r="M165" i="3" s="1"/>
  <c r="AV329" i="7"/>
  <c r="AY329" i="3" s="1"/>
  <c r="L329" i="7"/>
  <c r="K329" i="3"/>
  <c r="H824" i="10"/>
  <c r="AJ43" i="7"/>
  <c r="L43" i="7"/>
  <c r="O43" i="3" s="1"/>
  <c r="K236" i="3"/>
  <c r="AV236" i="7"/>
  <c r="AY236" i="3" s="1"/>
  <c r="AG279" i="7"/>
  <c r="AG258" i="7"/>
  <c r="AJ258" i="3" s="1"/>
  <c r="AG262" i="7"/>
  <c r="N45" i="9"/>
  <c r="CD45" i="9" s="1"/>
  <c r="AG271" i="7"/>
  <c r="AG261" i="7"/>
  <c r="AJ261" i="3" s="1"/>
  <c r="AO216" i="10"/>
  <c r="AO105" i="10"/>
  <c r="CU49" i="9"/>
  <c r="N46" i="35" s="1"/>
  <c r="CT49" i="9"/>
  <c r="CP589" i="10"/>
  <c r="CO589" i="10"/>
  <c r="O91" i="34" s="1"/>
  <c r="K125" i="7"/>
  <c r="N125" i="3" s="1"/>
  <c r="AJ282" i="7"/>
  <c r="L282" i="7"/>
  <c r="O282" i="3" s="1"/>
  <c r="J282" i="7"/>
  <c r="M282" i="3" s="1"/>
  <c r="AK282" i="7"/>
  <c r="AN282" i="3" s="1"/>
  <c r="CP785" i="10"/>
  <c r="L287" i="34" s="1"/>
  <c r="CQ785" i="10"/>
  <c r="M287" i="34" s="1"/>
  <c r="CO785" i="10"/>
  <c r="O287" i="34" s="1"/>
  <c r="CV43" i="9"/>
  <c r="M40" i="35" s="1"/>
  <c r="AO14" i="10"/>
  <c r="I278" i="7"/>
  <c r="L278" i="3" s="1"/>
  <c r="K299" i="3"/>
  <c r="I299" i="7"/>
  <c r="L299" i="3" s="1"/>
  <c r="H47" i="34"/>
  <c r="CP545" i="10"/>
  <c r="L47" i="34" s="1"/>
  <c r="CO545" i="10"/>
  <c r="O47" i="34" s="1"/>
  <c r="H161" i="34"/>
  <c r="CQ659" i="10"/>
  <c r="M161" i="34" s="1"/>
  <c r="CO659" i="10"/>
  <c r="O161" i="34" s="1"/>
  <c r="L203" i="34"/>
  <c r="CS701" i="10"/>
  <c r="N203" i="34" s="1"/>
  <c r="L199" i="34"/>
  <c r="CS697" i="10"/>
  <c r="N199" i="34" s="1"/>
  <c r="G67" i="35"/>
  <c r="CT70" i="9"/>
  <c r="L57" i="34"/>
  <c r="L135" i="7"/>
  <c r="O135" i="3" s="1"/>
  <c r="AV135" i="7"/>
  <c r="AY135" i="3" s="1"/>
  <c r="H718" i="10"/>
  <c r="BQ718" i="10" s="1"/>
  <c r="K718" i="10" s="1"/>
  <c r="BG718" i="10" s="1"/>
  <c r="K223" i="3"/>
  <c r="AK223" i="7"/>
  <c r="AN223" i="3" s="1"/>
  <c r="AJ223" i="7"/>
  <c r="L19" i="7"/>
  <c r="O19" i="3" s="1"/>
  <c r="AK49" i="7"/>
  <c r="AN49" i="3" s="1"/>
  <c r="AJ49" i="7"/>
  <c r="AM49" i="3" s="1"/>
  <c r="AV273" i="7"/>
  <c r="AY273" i="3" s="1"/>
  <c r="J273" i="7"/>
  <c r="M273" i="3" s="1"/>
  <c r="L273" i="7"/>
  <c r="O273" i="3" s="1"/>
  <c r="AK311" i="7"/>
  <c r="AN311" i="3" s="1"/>
  <c r="K311" i="3"/>
  <c r="AO415" i="10"/>
  <c r="CO892" i="10"/>
  <c r="O394" i="34" s="1"/>
  <c r="CP892" i="10"/>
  <c r="L394" i="34" s="1"/>
  <c r="L21" i="7"/>
  <c r="O21" i="3" s="1"/>
  <c r="J21" i="7"/>
  <c r="M21" i="3" s="1"/>
  <c r="K21" i="3"/>
  <c r="L221" i="7"/>
  <c r="O221" i="3" s="1"/>
  <c r="K221" i="3"/>
  <c r="AO73" i="10"/>
  <c r="AO230" i="10"/>
  <c r="CQ508" i="10"/>
  <c r="M10" i="34" s="1"/>
  <c r="CP508" i="10"/>
  <c r="H36" i="34"/>
  <c r="CO534" i="10"/>
  <c r="O36" i="34" s="1"/>
  <c r="K149" i="3"/>
  <c r="AK149" i="7"/>
  <c r="AN149" i="3" s="1"/>
  <c r="CP592" i="10"/>
  <c r="L94" i="34" s="1"/>
  <c r="CO592" i="10"/>
  <c r="O94" i="34" s="1"/>
  <c r="J184" i="7"/>
  <c r="M184" i="3" s="1"/>
  <c r="K198" i="3"/>
  <c r="I198" i="7"/>
  <c r="L198" i="3" s="1"/>
  <c r="J198" i="7"/>
  <c r="K198" i="7" s="1"/>
  <c r="N198" i="3" s="1"/>
  <c r="U796" i="10"/>
  <c r="J301" i="7"/>
  <c r="M301" i="3" s="1"/>
  <c r="H802" i="10"/>
  <c r="AK307" i="7"/>
  <c r="AN307" i="3" s="1"/>
  <c r="AJ307" i="7"/>
  <c r="G55" i="35"/>
  <c r="CT58" i="9"/>
  <c r="CQ553" i="10"/>
  <c r="M55" i="34" s="1"/>
  <c r="CP553" i="10"/>
  <c r="CP728" i="10"/>
  <c r="CO728" i="10"/>
  <c r="O230" i="34" s="1"/>
  <c r="K28" i="3"/>
  <c r="AV28" i="7"/>
  <c r="AY28" i="3" s="1"/>
  <c r="L299" i="7"/>
  <c r="O299" i="3" s="1"/>
  <c r="AO203" i="10"/>
  <c r="CQ724" i="10"/>
  <c r="M226" i="34" s="1"/>
  <c r="CO724" i="10"/>
  <c r="O226" i="34" s="1"/>
  <c r="L256" i="34"/>
  <c r="CS754" i="10"/>
  <c r="N256" i="34" s="1"/>
  <c r="L93" i="7"/>
  <c r="O93" i="3" s="1"/>
  <c r="K93" i="3"/>
  <c r="J93" i="7"/>
  <c r="M93" i="3" s="1"/>
  <c r="L95" i="7"/>
  <c r="O95" i="3" s="1"/>
  <c r="K95" i="3"/>
  <c r="AJ133" i="7"/>
  <c r="AT133" i="7" s="1"/>
  <c r="AW133" i="3" s="1"/>
  <c r="AK137" i="7"/>
  <c r="AN137" i="3" s="1"/>
  <c r="H198" i="34"/>
  <c r="CO696" i="10"/>
  <c r="O198" i="34" s="1"/>
  <c r="CP738" i="10"/>
  <c r="CO738" i="10"/>
  <c r="O240" i="34" s="1"/>
  <c r="CP806" i="10"/>
  <c r="CQ806" i="10"/>
  <c r="M308" i="34" s="1"/>
  <c r="I22" i="7"/>
  <c r="L22" i="3" s="1"/>
  <c r="H576" i="10"/>
  <c r="N576" i="10" s="1"/>
  <c r="I81" i="7"/>
  <c r="L81" i="3" s="1"/>
  <c r="L81" i="7"/>
  <c r="O81" i="3" s="1"/>
  <c r="J81" i="7"/>
  <c r="N20" i="9"/>
  <c r="CD20" i="9" s="1"/>
  <c r="H601" i="10"/>
  <c r="N601" i="10" s="1"/>
  <c r="K106" i="3"/>
  <c r="AK107" i="7"/>
  <c r="AN107" i="3" s="1"/>
  <c r="AJ135" i="7"/>
  <c r="AM135" i="3" s="1"/>
  <c r="AJ137" i="7"/>
  <c r="AV147" i="7"/>
  <c r="AY147" i="3" s="1"/>
  <c r="AV278" i="7"/>
  <c r="AY278" i="3" s="1"/>
  <c r="J278" i="7"/>
  <c r="K278" i="3"/>
  <c r="AK278" i="7"/>
  <c r="AN278" i="3" s="1"/>
  <c r="CW58" i="9"/>
  <c r="L55" i="35" s="1"/>
  <c r="G66" i="35"/>
  <c r="CV69" i="9"/>
  <c r="CU69" i="9"/>
  <c r="N66" i="35" s="1"/>
  <c r="CT69" i="9"/>
  <c r="AO345" i="10"/>
  <c r="H194" i="34"/>
  <c r="CO692" i="10"/>
  <c r="O194" i="34" s="1"/>
  <c r="CQ692" i="10"/>
  <c r="M194" i="34" s="1"/>
  <c r="CQ715" i="10"/>
  <c r="M217" i="34" s="1"/>
  <c r="CP715" i="10"/>
  <c r="CS715" i="10" s="1"/>
  <c r="N217" i="34" s="1"/>
  <c r="CO715" i="10"/>
  <c r="O217" i="34" s="1"/>
  <c r="AI10" i="17"/>
  <c r="AK15" i="17"/>
  <c r="K49" i="3"/>
  <c r="K307" i="3"/>
  <c r="L22" i="7"/>
  <c r="I104" i="7"/>
  <c r="L104" i="3" s="1"/>
  <c r="I106" i="7"/>
  <c r="L106" i="3" s="1"/>
  <c r="AV107" i="7"/>
  <c r="AY107" i="3" s="1"/>
  <c r="AK123" i="7"/>
  <c r="AN123" i="3" s="1"/>
  <c r="AG192" i="7"/>
  <c r="AJ205" i="7"/>
  <c r="AM205" i="3" s="1"/>
  <c r="I358" i="7"/>
  <c r="L358" i="3" s="1"/>
  <c r="G12" i="35"/>
  <c r="CU15" i="9"/>
  <c r="N12" i="35" s="1"/>
  <c r="CT15" i="9"/>
  <c r="CV15" i="9"/>
  <c r="AO198" i="10"/>
  <c r="AO378" i="10"/>
  <c r="AJ10" i="17"/>
  <c r="U20" i="17"/>
  <c r="K91" i="3"/>
  <c r="K173" i="3"/>
  <c r="AJ14" i="7"/>
  <c r="AM14" i="3" s="1"/>
  <c r="J14" i="7"/>
  <c r="M14" i="3" s="1"/>
  <c r="AV14" i="7"/>
  <c r="AY14" i="3" s="1"/>
  <c r="I24" i="7"/>
  <c r="L24" i="3" s="1"/>
  <c r="J100" i="7"/>
  <c r="M100" i="3" s="1"/>
  <c r="J106" i="7"/>
  <c r="M106" i="3" s="1"/>
  <c r="I112" i="7"/>
  <c r="L112" i="3" s="1"/>
  <c r="J132" i="7"/>
  <c r="M132" i="3" s="1"/>
  <c r="L162" i="7"/>
  <c r="O162" i="3" s="1"/>
  <c r="I162" i="7"/>
  <c r="L162" i="3" s="1"/>
  <c r="AJ162" i="7"/>
  <c r="AV211" i="7"/>
  <c r="AY211" i="3" s="1"/>
  <c r="J256" i="7"/>
  <c r="M256" i="3" s="1"/>
  <c r="K339" i="3"/>
  <c r="J339" i="7"/>
  <c r="M339" i="3" s="1"/>
  <c r="G23" i="35"/>
  <c r="CV26" i="9"/>
  <c r="M23" i="35" s="1"/>
  <c r="CU26" i="9"/>
  <c r="N23" i="35" s="1"/>
  <c r="CT26" i="9"/>
  <c r="CW26" i="9"/>
  <c r="L23" i="35" s="1"/>
  <c r="AO370" i="10"/>
  <c r="CO632" i="10"/>
  <c r="O134" i="34" s="1"/>
  <c r="CS682" i="10"/>
  <c r="N184" i="34" s="1"/>
  <c r="L206" i="34"/>
  <c r="CS704" i="10"/>
  <c r="N206" i="34" s="1"/>
  <c r="CP787" i="10"/>
  <c r="CO787" i="10"/>
  <c r="O289" i="34" s="1"/>
  <c r="CQ787" i="10"/>
  <c r="M289" i="34" s="1"/>
  <c r="W16" i="17"/>
  <c r="AV275" i="7"/>
  <c r="AY275" i="3" s="1"/>
  <c r="AK275" i="7"/>
  <c r="AN275" i="3" s="1"/>
  <c r="L275" i="7"/>
  <c r="O275" i="3" s="1"/>
  <c r="I133" i="7"/>
  <c r="L133" i="3" s="1"/>
  <c r="K133" i="3"/>
  <c r="I202" i="7"/>
  <c r="L202" i="3" s="1"/>
  <c r="AV378" i="7"/>
  <c r="AY378" i="3" s="1"/>
  <c r="K378" i="3"/>
  <c r="AK378" i="7"/>
  <c r="AN378" i="3" s="1"/>
  <c r="AO8" i="10"/>
  <c r="AO62" i="10"/>
  <c r="AO238" i="10"/>
  <c r="CS527" i="10"/>
  <c r="N29" i="34" s="1"/>
  <c r="L37" i="34"/>
  <c r="CS535" i="10"/>
  <c r="N37" i="34" s="1"/>
  <c r="CP596" i="10"/>
  <c r="CS596" i="10" s="1"/>
  <c r="N98" i="34" s="1"/>
  <c r="CO596" i="10"/>
  <c r="O98" i="34" s="1"/>
  <c r="L49" i="7"/>
  <c r="O49" i="3" s="1"/>
  <c r="J143" i="7"/>
  <c r="M143" i="3" s="1"/>
  <c r="CU47" i="9"/>
  <c r="N44" i="35" s="1"/>
  <c r="CT47" i="9"/>
  <c r="CV47" i="9"/>
  <c r="CU70" i="9"/>
  <c r="N67" i="35" s="1"/>
  <c r="AO97" i="10"/>
  <c r="AO241" i="10"/>
  <c r="CP839" i="10"/>
  <c r="CQ839" i="10"/>
  <c r="M341" i="34" s="1"/>
  <c r="CV70" i="9"/>
  <c r="K342" i="3"/>
  <c r="J30" i="7"/>
  <c r="AK39" i="7"/>
  <c r="AN39" i="3" s="1"/>
  <c r="H305" i="34"/>
  <c r="CO803" i="10"/>
  <c r="O305" i="34" s="1"/>
  <c r="CQ803" i="10"/>
  <c r="M305" i="34" s="1"/>
  <c r="H327" i="34"/>
  <c r="CO825" i="10"/>
  <c r="O327" i="34" s="1"/>
  <c r="CQ825" i="10"/>
  <c r="M327" i="34" s="1"/>
  <c r="AJ19" i="7"/>
  <c r="L30" i="7"/>
  <c r="O30" i="3" s="1"/>
  <c r="CQ518" i="10"/>
  <c r="M20" i="34" s="1"/>
  <c r="CP518" i="10"/>
  <c r="AJ206" i="7"/>
  <c r="AM206" i="3" s="1"/>
  <c r="K206" i="3"/>
  <c r="CO896" i="10"/>
  <c r="O398" i="34" s="1"/>
  <c r="CQ896" i="10"/>
  <c r="M398" i="34" s="1"/>
  <c r="CP896" i="10"/>
  <c r="AG158" i="7"/>
  <c r="J169" i="7"/>
  <c r="M169" i="3" s="1"/>
  <c r="AJ329" i="7"/>
  <c r="AM329" i="3" s="1"/>
  <c r="H74" i="34"/>
  <c r="CQ572" i="10"/>
  <c r="M74" i="34" s="1"/>
  <c r="CO572" i="10"/>
  <c r="O74" i="34" s="1"/>
  <c r="CP857" i="10"/>
  <c r="L359" i="34" s="1"/>
  <c r="CQ857" i="10"/>
  <c r="M359" i="34" s="1"/>
  <c r="H366" i="34"/>
  <c r="CQ864" i="10"/>
  <c r="M366" i="34" s="1"/>
  <c r="AK115" i="7"/>
  <c r="AN115" i="3" s="1"/>
  <c r="AJ115" i="7"/>
  <c r="J115" i="7"/>
  <c r="M115" i="3" s="1"/>
  <c r="I147" i="7"/>
  <c r="L147" i="3" s="1"/>
  <c r="L147" i="7"/>
  <c r="O147" i="3" s="1"/>
  <c r="AJ275" i="7"/>
  <c r="AT275" i="7" s="1"/>
  <c r="AW275" i="3" s="1"/>
  <c r="AK329" i="7"/>
  <c r="AN329" i="3" s="1"/>
  <c r="L325" i="7"/>
  <c r="O325" i="3" s="1"/>
  <c r="K325" i="3"/>
  <c r="R506" i="10"/>
  <c r="BX506" i="10"/>
  <c r="CP558" i="10"/>
  <c r="L89" i="7"/>
  <c r="O89" i="3" s="1"/>
  <c r="AJ89" i="7"/>
  <c r="K280" i="3"/>
  <c r="J280" i="7"/>
  <c r="M280" i="3" s="1"/>
  <c r="L397" i="7"/>
  <c r="O397" i="3" s="1"/>
  <c r="I397" i="7"/>
  <c r="L397" i="3" s="1"/>
  <c r="K397" i="3"/>
  <c r="CV63" i="9"/>
  <c r="K60" i="35" s="1"/>
  <c r="G44" i="35"/>
  <c r="AK19" i="7"/>
  <c r="AN19" i="3" s="1"/>
  <c r="AV41" i="7"/>
  <c r="AY41" i="3" s="1"/>
  <c r="L241" i="7"/>
  <c r="O241" i="3" s="1"/>
  <c r="J241" i="7"/>
  <c r="M241" i="3" s="1"/>
  <c r="I241" i="7"/>
  <c r="L241" i="3" s="1"/>
  <c r="AO214" i="10"/>
  <c r="AK7" i="7"/>
  <c r="AN7" i="3" s="1"/>
  <c r="J40" i="7"/>
  <c r="M40" i="3" s="1"/>
  <c r="AT131" i="7"/>
  <c r="AW131" i="3" s="1"/>
  <c r="CV22" i="9"/>
  <c r="K19" i="35" s="1"/>
  <c r="CU53" i="9"/>
  <c r="N50" i="35" s="1"/>
  <c r="CV53" i="9"/>
  <c r="M50" i="35" s="1"/>
  <c r="AG83" i="7"/>
  <c r="J72" i="7"/>
  <c r="M72" i="3" s="1"/>
  <c r="AG95" i="7"/>
  <c r="L72" i="7"/>
  <c r="O72" i="3" s="1"/>
  <c r="K72" i="3"/>
  <c r="L83" i="7"/>
  <c r="O83" i="3" s="1"/>
  <c r="I83" i="7"/>
  <c r="L83" i="3" s="1"/>
  <c r="J83" i="7"/>
  <c r="AO39" i="10"/>
  <c r="L127" i="34"/>
  <c r="CS625" i="10"/>
  <c r="N127" i="34" s="1"/>
  <c r="H515" i="10"/>
  <c r="L20" i="7"/>
  <c r="O20" i="3" s="1"/>
  <c r="AJ20" i="7"/>
  <c r="AK20" i="7"/>
  <c r="AN20" i="3" s="1"/>
  <c r="K26" i="3"/>
  <c r="AJ26" i="7"/>
  <c r="AM26" i="3" s="1"/>
  <c r="AJ93" i="7"/>
  <c r="AJ194" i="7"/>
  <c r="H872" i="10"/>
  <c r="Q872" i="10" s="1"/>
  <c r="AK377" i="7"/>
  <c r="K377" i="3"/>
  <c r="L377" i="7"/>
  <c r="O377" i="3" s="1"/>
  <c r="AJ377" i="7"/>
  <c r="CW8" i="9"/>
  <c r="L5" i="35" s="1"/>
  <c r="CU8" i="9"/>
  <c r="N5" i="35" s="1"/>
  <c r="CV8" i="9"/>
  <c r="M5" i="35" s="1"/>
  <c r="CO647" i="10"/>
  <c r="O149" i="34" s="1"/>
  <c r="CO651" i="10"/>
  <c r="O153" i="34" s="1"/>
  <c r="CP662" i="10"/>
  <c r="L164" i="34" s="1"/>
  <c r="K97" i="3"/>
  <c r="K309" i="3"/>
  <c r="I118" i="7"/>
  <c r="L118" i="3" s="1"/>
  <c r="AK118" i="7"/>
  <c r="AN118" i="3" s="1"/>
  <c r="K126" i="3"/>
  <c r="AG130" i="7"/>
  <c r="L203" i="7"/>
  <c r="O203" i="3" s="1"/>
  <c r="I203" i="7"/>
  <c r="L203" i="3" s="1"/>
  <c r="J203" i="7"/>
  <c r="AJ203" i="7"/>
  <c r="AM203" i="3" s="1"/>
  <c r="K275" i="3"/>
  <c r="AV91" i="7"/>
  <c r="AY91" i="3" s="1"/>
  <c r="AV308" i="7"/>
  <c r="AY308" i="3" s="1"/>
  <c r="L308" i="7"/>
  <c r="O308" i="3" s="1"/>
  <c r="H183" i="34"/>
  <c r="CO681" i="10"/>
  <c r="O183" i="34" s="1"/>
  <c r="CQ681" i="10"/>
  <c r="M183" i="34" s="1"/>
  <c r="AE22" i="17"/>
  <c r="AC23" i="17"/>
  <c r="Y22" i="17"/>
  <c r="AH19" i="17"/>
  <c r="Z18" i="17"/>
  <c r="U17" i="17"/>
  <c r="U16" i="17"/>
  <c r="AK14" i="17"/>
  <c r="AI13" i="17"/>
  <c r="AF12" i="17"/>
  <c r="AB11" i="17"/>
  <c r="Y10" i="17"/>
  <c r="V9" i="17"/>
  <c r="AB23" i="17"/>
  <c r="X22" i="17"/>
  <c r="AG19" i="17"/>
  <c r="Y18" i="17"/>
  <c r="AJ14" i="17"/>
  <c r="AH13" i="17"/>
  <c r="AE12" i="17"/>
  <c r="AA11" i="17"/>
  <c r="X10" i="17"/>
  <c r="U9" i="17"/>
  <c r="AK7" i="17"/>
  <c r="X23" i="17"/>
  <c r="AK21" i="17"/>
  <c r="AH20" i="17"/>
  <c r="AC19" i="17"/>
  <c r="U18" i="17"/>
  <c r="AI15" i="17"/>
  <c r="AF14" i="17"/>
  <c r="AC13" i="17"/>
  <c r="AA12" i="17"/>
  <c r="W11" i="17"/>
  <c r="AG7" i="17"/>
  <c r="U23" i="17"/>
  <c r="AD21" i="17"/>
  <c r="W20" i="17"/>
  <c r="AG18" i="17"/>
  <c r="X17" i="17"/>
  <c r="V16" i="17"/>
  <c r="AG14" i="17"/>
  <c r="Z13" i="17"/>
  <c r="AH10" i="17"/>
  <c r="AA9" i="17"/>
  <c r="W8" i="17"/>
  <c r="Z21" i="17"/>
  <c r="AB18" i="17"/>
  <c r="AH15" i="17"/>
  <c r="AB14" i="17"/>
  <c r="V13" i="17"/>
  <c r="AI11" i="17"/>
  <c r="AD10" i="17"/>
  <c r="W9" i="17"/>
  <c r="AJ7" i="17"/>
  <c r="Y21" i="17"/>
  <c r="AJ19" i="17"/>
  <c r="AH16" i="17"/>
  <c r="Y15" i="17"/>
  <c r="AB12" i="17"/>
  <c r="AC9" i="17"/>
  <c r="V8" i="17"/>
  <c r="X21" i="17"/>
  <c r="AI19" i="17"/>
  <c r="AG16" i="17"/>
  <c r="X15" i="17"/>
  <c r="AK13" i="17"/>
  <c r="Z12" i="17"/>
  <c r="AK10" i="17"/>
  <c r="AB9" i="17"/>
  <c r="U8" i="17"/>
  <c r="AH22" i="17"/>
  <c r="AB19" i="17"/>
  <c r="AH17" i="17"/>
  <c r="AC16" i="17"/>
  <c r="AD13" i="17"/>
  <c r="U12" i="17"/>
  <c r="AF10" i="17"/>
  <c r="AF7" i="17"/>
  <c r="AG22" i="17"/>
  <c r="AA19" i="17"/>
  <c r="AG17" i="17"/>
  <c r="AB16" i="17"/>
  <c r="AB13" i="17"/>
  <c r="AE10" i="17"/>
  <c r="AE7" i="17"/>
  <c r="AA22" i="17"/>
  <c r="AB20" i="17"/>
  <c r="AC18" i="17"/>
  <c r="AJ16" i="17"/>
  <c r="U15" i="17"/>
  <c r="X13" i="17"/>
  <c r="AD11" i="17"/>
  <c r="AI9" i="17"/>
  <c r="Z8" i="17"/>
  <c r="AJ23" i="17"/>
  <c r="V22" i="17"/>
  <c r="Z20" i="17"/>
  <c r="AA18" i="17"/>
  <c r="AI16" i="17"/>
  <c r="W13" i="17"/>
  <c r="AC11" i="17"/>
  <c r="AH9" i="17"/>
  <c r="Y8" i="17"/>
  <c r="Z23" i="17"/>
  <c r="AE21" i="17"/>
  <c r="AK19" i="17"/>
  <c r="AI17" i="17"/>
  <c r="X16" i="17"/>
  <c r="Z14" i="17"/>
  <c r="AI12" i="17"/>
  <c r="X9" i="17"/>
  <c r="AB7" i="17"/>
  <c r="AI23" i="17"/>
  <c r="AH21" i="17"/>
  <c r="AF19" i="17"/>
  <c r="AC17" i="17"/>
  <c r="AE15" i="17"/>
  <c r="AJ13" i="17"/>
  <c r="AF11" i="17"/>
  <c r="AG9" i="17"/>
  <c r="AH7" i="17"/>
  <c r="AC21" i="17"/>
  <c r="AA15" i="17"/>
  <c r="Y11" i="17"/>
  <c r="AA7" i="17"/>
  <c r="AG23" i="17"/>
  <c r="AG21" i="17"/>
  <c r="AE19" i="17"/>
  <c r="AB17" i="17"/>
  <c r="AD15" i="17"/>
  <c r="AF13" i="17"/>
  <c r="AE11" i="17"/>
  <c r="AF9" i="17"/>
  <c r="AD7" i="17"/>
  <c r="AF23" i="17"/>
  <c r="AF21" i="17"/>
  <c r="AD19" i="17"/>
  <c r="Z17" i="17"/>
  <c r="AB15" i="17"/>
  <c r="AE13" i="17"/>
  <c r="Z11" i="17"/>
  <c r="AE9" i="17"/>
  <c r="AC7" i="17"/>
  <c r="AE23" i="17"/>
  <c r="Z19" i="17"/>
  <c r="W17" i="17"/>
  <c r="AA13" i="17"/>
  <c r="AD9" i="17"/>
  <c r="V23" i="17"/>
  <c r="U21" i="17"/>
  <c r="AI14" i="17"/>
  <c r="U7" i="17"/>
  <c r="W23" i="17"/>
  <c r="AG20" i="17"/>
  <c r="AK17" i="17"/>
  <c r="AF15" i="17"/>
  <c r="AG10" i="17"/>
  <c r="AC8" i="17"/>
  <c r="AE20" i="17"/>
  <c r="AJ17" i="17"/>
  <c r="Z15" i="17"/>
  <c r="AK12" i="17"/>
  <c r="AC10" i="17"/>
  <c r="AB8" i="17"/>
  <c r="AC20" i="17"/>
  <c r="AF17" i="17"/>
  <c r="W15" i="17"/>
  <c r="AJ12" i="17"/>
  <c r="AA10" i="17"/>
  <c r="AA8" i="17"/>
  <c r="Y20" i="17"/>
  <c r="AE17" i="17"/>
  <c r="V15" i="17"/>
  <c r="AH12" i="17"/>
  <c r="Z10" i="17"/>
  <c r="X8" i="17"/>
  <c r="AK22" i="17"/>
  <c r="V20" i="17"/>
  <c r="V17" i="17"/>
  <c r="AH14" i="17"/>
  <c r="AD12" i="17"/>
  <c r="V10" i="17"/>
  <c r="AI7" i="17"/>
  <c r="AF22" i="17"/>
  <c r="AC14" i="17"/>
  <c r="W12" i="17"/>
  <c r="AK9" i="17"/>
  <c r="X7" i="17"/>
  <c r="AD22" i="17"/>
  <c r="Y19" i="17"/>
  <c r="AA14" i="17"/>
  <c r="V12" i="17"/>
  <c r="AJ9" i="17"/>
  <c r="V7" i="17"/>
  <c r="AI22" i="17"/>
  <c r="AI18" i="17"/>
  <c r="AJ15" i="17"/>
  <c r="AJ11" i="17"/>
  <c r="AH8" i="17"/>
  <c r="X18" i="17"/>
  <c r="AE14" i="17"/>
  <c r="X11" i="17"/>
  <c r="AD8" i="17"/>
  <c r="AI21" i="17"/>
  <c r="AD14" i="17"/>
  <c r="V11" i="17"/>
  <c r="V18" i="17"/>
  <c r="Z7" i="17"/>
  <c r="AC22" i="17"/>
  <c r="AF18" i="17"/>
  <c r="AG15" i="17"/>
  <c r="AH11" i="17"/>
  <c r="AG8" i="17"/>
  <c r="W18" i="17"/>
  <c r="AB21" i="17"/>
  <c r="U11" i="17"/>
  <c r="U22" i="17"/>
  <c r="AD18" i="17"/>
  <c r="AG11" i="17"/>
  <c r="AE8" i="17"/>
  <c r="Y14" i="17"/>
  <c r="AA16" i="17"/>
  <c r="AV375" i="7"/>
  <c r="AY375" i="3" s="1"/>
  <c r="J375" i="7"/>
  <c r="M375" i="3" s="1"/>
  <c r="CQ812" i="10"/>
  <c r="M314" i="34" s="1"/>
  <c r="CO812" i="10"/>
  <c r="O314" i="34" s="1"/>
  <c r="AV377" i="7"/>
  <c r="AY377" i="3" s="1"/>
  <c r="CS658" i="10"/>
  <c r="N160" i="34" s="1"/>
  <c r="CP699" i="10"/>
  <c r="CO900" i="10"/>
  <c r="O402" i="34" s="1"/>
  <c r="CP900" i="10"/>
  <c r="CS900" i="10" s="1"/>
  <c r="N402" i="34" s="1"/>
  <c r="AC12" i="17"/>
  <c r="AE16" i="17"/>
  <c r="V21" i="17"/>
  <c r="K8" i="3"/>
  <c r="AG48" i="7"/>
  <c r="AJ50" i="7"/>
  <c r="AV73" i="7"/>
  <c r="AY73" i="3" s="1"/>
  <c r="L73" i="7"/>
  <c r="O73" i="3" s="1"/>
  <c r="L210" i="7"/>
  <c r="O210" i="3" s="1"/>
  <c r="J210" i="7"/>
  <c r="M210" i="3" s="1"/>
  <c r="I214" i="7"/>
  <c r="L214" i="3" s="1"/>
  <c r="K214" i="3"/>
  <c r="AJ295" i="7"/>
  <c r="AM295" i="3" s="1"/>
  <c r="AV339" i="7"/>
  <c r="AY339" i="3" s="1"/>
  <c r="L373" i="7"/>
  <c r="O373" i="3" s="1"/>
  <c r="J373" i="7"/>
  <c r="AG382" i="7"/>
  <c r="AJ373" i="7"/>
  <c r="I423" i="7"/>
  <c r="L423" i="3" s="1"/>
  <c r="AO249" i="10"/>
  <c r="CS584" i="10"/>
  <c r="N86" i="34" s="1"/>
  <c r="CP601" i="10"/>
  <c r="CP642" i="10"/>
  <c r="CS642" i="10" s="1"/>
  <c r="N144" i="34" s="1"/>
  <c r="CO642" i="10"/>
  <c r="O144" i="34" s="1"/>
  <c r="AG12" i="17"/>
  <c r="AF16" i="17"/>
  <c r="W21" i="17"/>
  <c r="AV381" i="7"/>
  <c r="AY381" i="3" s="1"/>
  <c r="K381" i="3"/>
  <c r="AJ385" i="7"/>
  <c r="AK385" i="7"/>
  <c r="AN385" i="3" s="1"/>
  <c r="K385" i="3"/>
  <c r="AJ387" i="7"/>
  <c r="AM387" i="3" s="1"/>
  <c r="K387" i="3"/>
  <c r="CU29" i="9"/>
  <c r="N26" i="35" s="1"/>
  <c r="CV49" i="9"/>
  <c r="K46" i="35" s="1"/>
  <c r="CW63" i="9"/>
  <c r="L60" i="35" s="1"/>
  <c r="AO383" i="10"/>
  <c r="CQ671" i="10"/>
  <c r="M173" i="34" s="1"/>
  <c r="CP671" i="10"/>
  <c r="CS671" i="10" s="1"/>
  <c r="N173" i="34" s="1"/>
  <c r="CQ817" i="10"/>
  <c r="M319" i="34" s="1"/>
  <c r="CP817" i="10"/>
  <c r="L319" i="34" s="1"/>
  <c r="I154" i="7"/>
  <c r="L154" i="3" s="1"/>
  <c r="I156" i="7"/>
  <c r="L156" i="3" s="1"/>
  <c r="AK190" i="7"/>
  <c r="AN190" i="3" s="1"/>
  <c r="AJ190" i="7"/>
  <c r="AT190" i="7" s="1"/>
  <c r="AW190" i="3" s="1"/>
  <c r="AJ109" i="7"/>
  <c r="AG280" i="7"/>
  <c r="AK262" i="7"/>
  <c r="AV286" i="7"/>
  <c r="AY286" i="3" s="1"/>
  <c r="CW22" i="9"/>
  <c r="L19" i="35" s="1"/>
  <c r="CU58" i="9"/>
  <c r="N55" i="35" s="1"/>
  <c r="AO63" i="10"/>
  <c r="AK89" i="7"/>
  <c r="AN89" i="3" s="1"/>
  <c r="AJ91" i="7"/>
  <c r="AM91" i="3" s="1"/>
  <c r="AK97" i="7"/>
  <c r="AN97" i="3" s="1"/>
  <c r="AK136" i="7"/>
  <c r="AN136" i="3" s="1"/>
  <c r="L244" i="7"/>
  <c r="O244" i="3" s="1"/>
  <c r="AV244" i="7"/>
  <c r="AY244" i="3" s="1"/>
  <c r="AK244" i="7"/>
  <c r="AN244" i="3" s="1"/>
  <c r="AK248" i="7"/>
  <c r="AN248" i="3" s="1"/>
  <c r="AV248" i="7"/>
  <c r="AY248" i="3" s="1"/>
  <c r="L272" i="7"/>
  <c r="O272" i="3" s="1"/>
  <c r="J272" i="7"/>
  <c r="AG353" i="7"/>
  <c r="CV19" i="9"/>
  <c r="CW19" i="9"/>
  <c r="L16" i="35" s="1"/>
  <c r="U619" i="10"/>
  <c r="J124" i="7"/>
  <c r="K124" i="7" s="1"/>
  <c r="N124" i="3" s="1"/>
  <c r="J193" i="7"/>
  <c r="M193" i="3" s="1"/>
  <c r="AK194" i="7"/>
  <c r="AN194" i="3" s="1"/>
  <c r="CO635" i="10"/>
  <c r="O137" i="34" s="1"/>
  <c r="CP635" i="10"/>
  <c r="CS635" i="10" s="1"/>
  <c r="N137" i="34" s="1"/>
  <c r="H220" i="34"/>
  <c r="CQ718" i="10"/>
  <c r="M220" i="34" s="1"/>
  <c r="CO718" i="10"/>
  <c r="O220" i="34" s="1"/>
  <c r="H423" i="34"/>
  <c r="CQ921" i="10"/>
  <c r="M423" i="34" s="1"/>
  <c r="AV102" i="7"/>
  <c r="AY102" i="3" s="1"/>
  <c r="K102" i="3"/>
  <c r="L118" i="7"/>
  <c r="O118" i="3" s="1"/>
  <c r="I124" i="7"/>
  <c r="L124" i="3" s="1"/>
  <c r="L350" i="7"/>
  <c r="O350" i="3" s="1"/>
  <c r="CQ851" i="10"/>
  <c r="M353" i="34" s="1"/>
  <c r="CP851" i="10"/>
  <c r="CO851" i="10"/>
  <c r="O353" i="34" s="1"/>
  <c r="AK20" i="17"/>
  <c r="AV299" i="7"/>
  <c r="AY299" i="3" s="1"/>
  <c r="CQ612" i="10"/>
  <c r="M114" i="34" s="1"/>
  <c r="CP612" i="10"/>
  <c r="L114" i="34" s="1"/>
  <c r="CP623" i="10"/>
  <c r="CQ623" i="10"/>
  <c r="M125" i="34" s="1"/>
  <c r="CP844" i="10"/>
  <c r="L346" i="34" s="1"/>
  <c r="CO844" i="10"/>
  <c r="O346" i="34" s="1"/>
  <c r="H17" i="17"/>
  <c r="H16" i="17"/>
  <c r="H10" i="17"/>
  <c r="H12" i="17"/>
  <c r="H18" i="17"/>
  <c r="H21" i="17"/>
  <c r="H15" i="17"/>
  <c r="H9" i="17"/>
  <c r="H23" i="17"/>
  <c r="Y12" i="17"/>
  <c r="AD16" i="17"/>
  <c r="K192" i="3"/>
  <c r="AJ75" i="7"/>
  <c r="AT75" i="7" s="1"/>
  <c r="AW75" i="3" s="1"/>
  <c r="J417" i="7"/>
  <c r="M417" i="3" s="1"/>
  <c r="K194" i="3"/>
  <c r="J53" i="7"/>
  <c r="M53" i="3" s="1"/>
  <c r="K53" i="3"/>
  <c r="L86" i="7"/>
  <c r="O86" i="3" s="1"/>
  <c r="AV86" i="7"/>
  <c r="AK88" i="7"/>
  <c r="AN88" i="3" s="1"/>
  <c r="H583" i="10"/>
  <c r="I88" i="7"/>
  <c r="AC106" i="7"/>
  <c r="AK102" i="7"/>
  <c r="AN102" i="3" s="1"/>
  <c r="AV203" i="7"/>
  <c r="AJ229" i="7"/>
  <c r="AK229" i="7"/>
  <c r="AN229" i="3" s="1"/>
  <c r="AV229" i="7"/>
  <c r="AY229" i="3" s="1"/>
  <c r="L342" i="7"/>
  <c r="O342" i="3" s="1"/>
  <c r="J378" i="7"/>
  <c r="M378" i="3" s="1"/>
  <c r="I390" i="7"/>
  <c r="L390" i="3" s="1"/>
  <c r="L390" i="7"/>
  <c r="O390" i="3" s="1"/>
  <c r="J390" i="7"/>
  <c r="AK390" i="7"/>
  <c r="AN390" i="3" s="1"/>
  <c r="AV390" i="7"/>
  <c r="AY390" i="3" s="1"/>
  <c r="AO30" i="10"/>
  <c r="AO43" i="10"/>
  <c r="AO121" i="10"/>
  <c r="AO140" i="10"/>
  <c r="AO273" i="10"/>
  <c r="AO338" i="10"/>
  <c r="H106" i="34"/>
  <c r="CP604" i="10"/>
  <c r="CO604" i="10"/>
  <c r="O106" i="34" s="1"/>
  <c r="CP801" i="10"/>
  <c r="CS801" i="10" s="1"/>
  <c r="N303" i="34" s="1"/>
  <c r="CQ801" i="10"/>
  <c r="M303" i="34" s="1"/>
  <c r="H412" i="34"/>
  <c r="CO910" i="10"/>
  <c r="O412" i="34" s="1"/>
  <c r="Y7" i="17"/>
  <c r="AK16" i="17"/>
  <c r="AA21" i="17"/>
  <c r="CP620" i="10"/>
  <c r="CO620" i="10"/>
  <c r="O122" i="34" s="1"/>
  <c r="CQ632" i="10"/>
  <c r="M134" i="34" s="1"/>
  <c r="CQ696" i="10"/>
  <c r="M198" i="34" s="1"/>
  <c r="CP880" i="10"/>
  <c r="CQ880" i="10"/>
  <c r="M382" i="34" s="1"/>
  <c r="CO880" i="10"/>
  <c r="O382" i="34" s="1"/>
  <c r="CP647" i="10"/>
  <c r="L149" i="34" s="1"/>
  <c r="AV75" i="7"/>
  <c r="AY75" i="3" s="1"/>
  <c r="L75" i="7"/>
  <c r="O75" i="3" s="1"/>
  <c r="AV93" i="7"/>
  <c r="AY93" i="3" s="1"/>
  <c r="AJ379" i="7"/>
  <c r="AM379" i="3" s="1"/>
  <c r="AJ381" i="7"/>
  <c r="CP559" i="10"/>
  <c r="L61" i="34" s="1"/>
  <c r="CO559" i="10"/>
  <c r="O61" i="34" s="1"/>
  <c r="CQ639" i="10"/>
  <c r="M141" i="34" s="1"/>
  <c r="J50" i="7"/>
  <c r="M50" i="3" s="1"/>
  <c r="L50" i="7"/>
  <c r="O50" i="3" s="1"/>
  <c r="AV84" i="7"/>
  <c r="AY84" i="3" s="1"/>
  <c r="AJ84" i="7"/>
  <c r="AK84" i="7"/>
  <c r="AN84" i="3" s="1"/>
  <c r="K358" i="3"/>
  <c r="AK358" i="7"/>
  <c r="AN358" i="3" s="1"/>
  <c r="AJ358" i="7"/>
  <c r="AV358" i="7"/>
  <c r="AY358" i="3" s="1"/>
  <c r="L425" i="7"/>
  <c r="O425" i="3" s="1"/>
  <c r="K425" i="3"/>
  <c r="CS548" i="10"/>
  <c r="N50" i="34" s="1"/>
  <c r="K401" i="3"/>
  <c r="I21" i="7"/>
  <c r="L21" i="3" s="1"/>
  <c r="AN46" i="3"/>
  <c r="AK50" i="7"/>
  <c r="AN50" i="3" s="1"/>
  <c r="AK61" i="7"/>
  <c r="AN61" i="3" s="1"/>
  <c r="K61" i="3"/>
  <c r="I82" i="7"/>
  <c r="L82" i="3" s="1"/>
  <c r="K82" i="3"/>
  <c r="AC82" i="7"/>
  <c r="AF82" i="7" s="1"/>
  <c r="AJ136" i="7"/>
  <c r="AM136" i="3" s="1"/>
  <c r="U662" i="10"/>
  <c r="I167" i="7"/>
  <c r="H758" i="10"/>
  <c r="I263" i="7"/>
  <c r="L263" i="3" s="1"/>
  <c r="J263" i="7"/>
  <c r="L263" i="7"/>
  <c r="O263" i="3" s="1"/>
  <c r="AK308" i="7"/>
  <c r="AN308" i="3" s="1"/>
  <c r="AK310" i="7"/>
  <c r="I325" i="7"/>
  <c r="AJ352" i="7"/>
  <c r="AT352" i="7" s="1"/>
  <c r="AW352" i="3" s="1"/>
  <c r="AK354" i="7"/>
  <c r="AN354" i="3" s="1"/>
  <c r="L396" i="7"/>
  <c r="O396" i="3" s="1"/>
  <c r="J396" i="7"/>
  <c r="M396" i="3" s="1"/>
  <c r="G51" i="35"/>
  <c r="CV54" i="9"/>
  <c r="CU54" i="9"/>
  <c r="N51" i="35" s="1"/>
  <c r="CT54" i="9"/>
  <c r="AO11" i="10"/>
  <c r="H25" i="34"/>
  <c r="CO523" i="10"/>
  <c r="O25" i="34" s="1"/>
  <c r="CO612" i="10"/>
  <c r="O114" i="34" s="1"/>
  <c r="CO623" i="10"/>
  <c r="O125" i="34" s="1"/>
  <c r="L292" i="34"/>
  <c r="CS790" i="10"/>
  <c r="N292" i="34" s="1"/>
  <c r="CO913" i="10"/>
  <c r="O415" i="34" s="1"/>
  <c r="CQ913" i="10"/>
  <c r="M415" i="34" s="1"/>
  <c r="H667" i="10"/>
  <c r="AK172" i="7"/>
  <c r="K172" i="3"/>
  <c r="AJ280" i="7"/>
  <c r="AO394" i="10"/>
  <c r="CP870" i="10"/>
  <c r="L372" i="34" s="1"/>
  <c r="CO870" i="10"/>
  <c r="O372" i="34" s="1"/>
  <c r="H780" i="10"/>
  <c r="I705" i="19" s="1"/>
  <c r="J285" i="7"/>
  <c r="M285" i="3" s="1"/>
  <c r="L285" i="7"/>
  <c r="O285" i="3" s="1"/>
  <c r="L411" i="7"/>
  <c r="O411" i="3" s="1"/>
  <c r="K411" i="3"/>
  <c r="AK26" i="7"/>
  <c r="AN26" i="3" s="1"/>
  <c r="L172" i="7"/>
  <c r="O172" i="3" s="1"/>
  <c r="I285" i="7"/>
  <c r="AK315" i="7"/>
  <c r="AN315" i="3" s="1"/>
  <c r="K376" i="3"/>
  <c r="L376" i="7"/>
  <c r="O376" i="3" s="1"/>
  <c r="L73" i="34"/>
  <c r="CS571" i="10"/>
  <c r="N73" i="34" s="1"/>
  <c r="AJ46" i="7"/>
  <c r="L46" i="7"/>
  <c r="O46" i="3" s="1"/>
  <c r="AV48" i="7"/>
  <c r="L48" i="7"/>
  <c r="O48" i="3" s="1"/>
  <c r="AJ90" i="7"/>
  <c r="AV106" i="7"/>
  <c r="AJ128" i="7"/>
  <c r="AM128" i="3" s="1"/>
  <c r="AK162" i="7"/>
  <c r="AK168" i="7"/>
  <c r="AN168" i="3" s="1"/>
  <c r="AJ188" i="7"/>
  <c r="AM188" i="3" s="1"/>
  <c r="AK215" i="7"/>
  <c r="AN215" i="3" s="1"/>
  <c r="J215" i="7"/>
  <c r="M215" i="3" s="1"/>
  <c r="I215" i="7"/>
  <c r="L215" i="3" s="1"/>
  <c r="AG309" i="7"/>
  <c r="AJ299" i="7"/>
  <c r="AM299" i="3" s="1"/>
  <c r="AV325" i="7"/>
  <c r="AY325" i="3" s="1"/>
  <c r="B122" i="8"/>
  <c r="AO237" i="10"/>
  <c r="AO354" i="10"/>
  <c r="CQ766" i="10"/>
  <c r="M268" i="34" s="1"/>
  <c r="CP766" i="10"/>
  <c r="L268" i="34" s="1"/>
  <c r="H280" i="34"/>
  <c r="CQ778" i="10"/>
  <c r="M280" i="34" s="1"/>
  <c r="H292" i="34"/>
  <c r="CO790" i="10"/>
  <c r="O292" i="34" s="1"/>
  <c r="H340" i="34"/>
  <c r="CO838" i="10"/>
  <c r="O340" i="34" s="1"/>
  <c r="CQ838" i="10"/>
  <c r="M340" i="34" s="1"/>
  <c r="AJ278" i="7"/>
  <c r="AO101" i="10"/>
  <c r="H390" i="34"/>
  <c r="CO888" i="10"/>
  <c r="O390" i="34" s="1"/>
  <c r="E162" i="8"/>
  <c r="D187" i="8" s="1"/>
  <c r="G162" i="8"/>
  <c r="F187" i="8" s="1"/>
  <c r="Q162" i="8"/>
  <c r="P187" i="8" s="1"/>
  <c r="M162" i="8"/>
  <c r="L187" i="8" s="1"/>
  <c r="I40" i="7"/>
  <c r="L40" i="3" s="1"/>
  <c r="AJ72" i="7"/>
  <c r="AV100" i="7"/>
  <c r="AY100" i="3" s="1"/>
  <c r="AJ106" i="7"/>
  <c r="AM106" i="3" s="1"/>
  <c r="AG183" i="7"/>
  <c r="H762" i="10"/>
  <c r="BX762" i="10" s="1"/>
  <c r="K267" i="3"/>
  <c r="L267" i="7"/>
  <c r="O267" i="3" s="1"/>
  <c r="AV409" i="7"/>
  <c r="AY409" i="3" s="1"/>
  <c r="K409" i="3"/>
  <c r="AO245" i="10"/>
  <c r="AK106" i="7"/>
  <c r="AN106" i="3" s="1"/>
  <c r="AJ112" i="7"/>
  <c r="AM112" i="3" s="1"/>
  <c r="J166" i="7"/>
  <c r="M166" i="3" s="1"/>
  <c r="I427" i="7"/>
  <c r="L427" i="3" s="1"/>
  <c r="C232" i="8"/>
  <c r="E232" i="8"/>
  <c r="CW50" i="9"/>
  <c r="L47" i="35" s="1"/>
  <c r="CU50" i="9"/>
  <c r="N47" i="35" s="1"/>
  <c r="CV50" i="9"/>
  <c r="K47" i="35" s="1"/>
  <c r="L219" i="34"/>
  <c r="CS717" i="10"/>
  <c r="N219" i="34" s="1"/>
  <c r="K11" i="3"/>
  <c r="L11" i="7"/>
  <c r="O11" i="3" s="1"/>
  <c r="J11" i="7"/>
  <c r="I11" i="7"/>
  <c r="L11" i="3" s="1"/>
  <c r="AV88" i="7"/>
  <c r="AY88" i="3" s="1"/>
  <c r="AK90" i="7"/>
  <c r="I146" i="7"/>
  <c r="L146" i="3" s="1"/>
  <c r="J146" i="7"/>
  <c r="M146" i="3" s="1"/>
  <c r="AV154" i="7"/>
  <c r="AY154" i="3" s="1"/>
  <c r="AG178" i="7"/>
  <c r="AJ178" i="3" s="1"/>
  <c r="AJ192" i="7"/>
  <c r="AV232" i="7"/>
  <c r="AY232" i="3" s="1"/>
  <c r="U732" i="10"/>
  <c r="I237" i="7"/>
  <c r="L237" i="3" s="1"/>
  <c r="J237" i="7"/>
  <c r="M237" i="3" s="1"/>
  <c r="H742" i="10"/>
  <c r="O742" i="10" s="1"/>
  <c r="AK247" i="7"/>
  <c r="K247" i="3"/>
  <c r="I259" i="7"/>
  <c r="L259" i="3" s="1"/>
  <c r="J259" i="7"/>
  <c r="H754" i="10"/>
  <c r="BQ754" i="10" s="1"/>
  <c r="K754" i="10" s="1"/>
  <c r="BG754" i="10" s="1"/>
  <c r="K287" i="3"/>
  <c r="I287" i="7"/>
  <c r="L287" i="3" s="1"/>
  <c r="I330" i="7"/>
  <c r="L330" i="3" s="1"/>
  <c r="H846" i="10"/>
  <c r="L351" i="7"/>
  <c r="O351" i="3" s="1"/>
  <c r="K351" i="3"/>
  <c r="AJ374" i="7"/>
  <c r="K374" i="3"/>
  <c r="AV396" i="7"/>
  <c r="AY396" i="3" s="1"/>
  <c r="AJ415" i="7"/>
  <c r="AT415" i="7" s="1"/>
  <c r="AW415" i="3" s="1"/>
  <c r="B131" i="8"/>
  <c r="AO156" i="10"/>
  <c r="AO167" i="10"/>
  <c r="AO196" i="10"/>
  <c r="AO360" i="10"/>
  <c r="AO384" i="10"/>
  <c r="CO503" i="10"/>
  <c r="O5" i="34" s="1"/>
  <c r="CP503" i="10"/>
  <c r="CQ721" i="10"/>
  <c r="M223" i="34" s="1"/>
  <c r="CP732" i="10"/>
  <c r="CO732" i="10"/>
  <c r="O234" i="34" s="1"/>
  <c r="CP758" i="10"/>
  <c r="L260" i="34" s="1"/>
  <c r="H318" i="34"/>
  <c r="CQ816" i="10"/>
  <c r="M318" i="34" s="1"/>
  <c r="CO816" i="10"/>
  <c r="O318" i="34" s="1"/>
  <c r="CO878" i="10"/>
  <c r="O380" i="34" s="1"/>
  <c r="H418" i="34"/>
  <c r="CO916" i="10"/>
  <c r="O418" i="34" s="1"/>
  <c r="I50" i="7"/>
  <c r="L50" i="3" s="1"/>
  <c r="U545" i="10"/>
  <c r="I79" i="7"/>
  <c r="L79" i="3" s="1"/>
  <c r="AK104" i="7"/>
  <c r="AN104" i="3" s="1"/>
  <c r="AO416" i="10"/>
  <c r="H253" i="34"/>
  <c r="CO751" i="10"/>
  <c r="O253" i="34" s="1"/>
  <c r="AV18" i="7"/>
  <c r="AY18" i="3" s="1"/>
  <c r="H665" i="10"/>
  <c r="BX665" i="10" s="1"/>
  <c r="AK170" i="7"/>
  <c r="AN170" i="3" s="1"/>
  <c r="I172" i="7"/>
  <c r="L172" i="3" s="1"/>
  <c r="AJ309" i="7"/>
  <c r="AK72" i="7"/>
  <c r="AN72" i="3" s="1"/>
  <c r="J140" i="7"/>
  <c r="M140" i="3" s="1"/>
  <c r="I289" i="7"/>
  <c r="L289" i="3" s="1"/>
  <c r="L289" i="7"/>
  <c r="O289" i="3" s="1"/>
  <c r="CW30" i="9"/>
  <c r="L27" i="35" s="1"/>
  <c r="CV30" i="9"/>
  <c r="CU30" i="9"/>
  <c r="N27" i="35" s="1"/>
  <c r="CT30" i="9"/>
  <c r="AO177" i="10"/>
  <c r="AO275" i="10"/>
  <c r="AO408" i="10"/>
  <c r="CO798" i="10"/>
  <c r="O300" i="34" s="1"/>
  <c r="CP798" i="10"/>
  <c r="K289" i="3"/>
  <c r="K170" i="3"/>
  <c r="AJ56" i="7"/>
  <c r="AM56" i="3" s="1"/>
  <c r="AJ68" i="7"/>
  <c r="AK192" i="7"/>
  <c r="AN192" i="3" s="1"/>
  <c r="I228" i="7"/>
  <c r="L228" i="3" s="1"/>
  <c r="AV228" i="7"/>
  <c r="AY228" i="3" s="1"/>
  <c r="AJ265" i="7"/>
  <c r="U817" i="10"/>
  <c r="I322" i="7"/>
  <c r="AV370" i="7"/>
  <c r="AY370" i="3" s="1"/>
  <c r="J162" i="8"/>
  <c r="I187" i="8" s="1"/>
  <c r="AO94" i="10"/>
  <c r="AO341" i="10"/>
  <c r="H86" i="34"/>
  <c r="CQ584" i="10"/>
  <c r="M86" i="34" s="1"/>
  <c r="CO584" i="10"/>
  <c r="O86" i="34" s="1"/>
  <c r="CO794" i="10"/>
  <c r="O296" i="34" s="1"/>
  <c r="CO899" i="10"/>
  <c r="O401" i="34" s="1"/>
  <c r="AO419" i="10"/>
  <c r="CQ595" i="10"/>
  <c r="M97" i="34" s="1"/>
  <c r="CP595" i="10"/>
  <c r="L97" i="34" s="1"/>
  <c r="H209" i="34"/>
  <c r="CO707" i="10"/>
  <c r="O209" i="34" s="1"/>
  <c r="J45" i="7"/>
  <c r="M45" i="3" s="1"/>
  <c r="AK75" i="7"/>
  <c r="AN75" i="3" s="1"/>
  <c r="AV81" i="7"/>
  <c r="AY81" i="3" s="1"/>
  <c r="AV190" i="7"/>
  <c r="AY190" i="3" s="1"/>
  <c r="AK273" i="7"/>
  <c r="AN273" i="3" s="1"/>
  <c r="AK299" i="7"/>
  <c r="AN299" i="3" s="1"/>
  <c r="AK325" i="7"/>
  <c r="AN325" i="3" s="1"/>
  <c r="AV346" i="7"/>
  <c r="AY346" i="3" s="1"/>
  <c r="AJ375" i="7"/>
  <c r="AM375" i="3" s="1"/>
  <c r="AV415" i="7"/>
  <c r="AY415" i="3" s="1"/>
  <c r="G71" i="35"/>
  <c r="CV74" i="9"/>
  <c r="AO17" i="10"/>
  <c r="AO36" i="10"/>
  <c r="AO279" i="10"/>
  <c r="AO289" i="10"/>
  <c r="AO346" i="10"/>
  <c r="AO365" i="10"/>
  <c r="AO392" i="10"/>
  <c r="CO749" i="10"/>
  <c r="O251" i="34" s="1"/>
  <c r="CP749" i="10"/>
  <c r="CS749" i="10" s="1"/>
  <c r="N251" i="34" s="1"/>
  <c r="D57" i="25"/>
  <c r="E57" i="25" s="1"/>
  <c r="B375" i="8"/>
  <c r="AK11" i="7"/>
  <c r="AN11" i="3" s="1"/>
  <c r="AJ13" i="7"/>
  <c r="AJ57" i="7"/>
  <c r="AL57" i="7" s="1"/>
  <c r="L138" i="7"/>
  <c r="O138" i="3" s="1"/>
  <c r="AK145" i="7"/>
  <c r="AN145" i="3" s="1"/>
  <c r="AJ238" i="7"/>
  <c r="AM238" i="3" s="1"/>
  <c r="J276" i="7"/>
  <c r="M276" i="3" s="1"/>
  <c r="AV306" i="7"/>
  <c r="AY306" i="3" s="1"/>
  <c r="AK306" i="7"/>
  <c r="AN306" i="3" s="1"/>
  <c r="J324" i="7"/>
  <c r="M324" i="3" s="1"/>
  <c r="K357" i="3"/>
  <c r="L357" i="7"/>
  <c r="O357" i="3" s="1"/>
  <c r="AK381" i="7"/>
  <c r="AN381" i="3" s="1"/>
  <c r="AJ393" i="7"/>
  <c r="J426" i="7"/>
  <c r="I426" i="7"/>
  <c r="L426" i="3" s="1"/>
  <c r="K426" i="3"/>
  <c r="G73" i="35"/>
  <c r="CW76" i="9"/>
  <c r="L73" i="35" s="1"/>
  <c r="CV76" i="9"/>
  <c r="CU76" i="9"/>
  <c r="N73" i="35" s="1"/>
  <c r="CT76" i="9"/>
  <c r="AO166" i="10"/>
  <c r="AO209" i="10"/>
  <c r="AO257" i="10"/>
  <c r="AO265" i="10"/>
  <c r="AO276" i="10"/>
  <c r="AO303" i="10"/>
  <c r="AO414" i="10"/>
  <c r="CP507" i="10"/>
  <c r="L9" i="34" s="1"/>
  <c r="CO514" i="10"/>
  <c r="O16" i="34" s="1"/>
  <c r="L23" i="34"/>
  <c r="CS521" i="10"/>
  <c r="N23" i="34" s="1"/>
  <c r="CO595" i="10"/>
  <c r="O97" i="34" s="1"/>
  <c r="CQ707" i="10"/>
  <c r="M209" i="34" s="1"/>
  <c r="H357" i="34"/>
  <c r="CO855" i="10"/>
  <c r="O357" i="34" s="1"/>
  <c r="E62" i="25"/>
  <c r="AV373" i="7"/>
  <c r="AY373" i="3" s="1"/>
  <c r="H913" i="10"/>
  <c r="AK418" i="7"/>
  <c r="G22" i="35"/>
  <c r="CT25" i="9"/>
  <c r="AO231" i="10"/>
  <c r="CP858" i="10"/>
  <c r="CS858" i="10" s="1"/>
  <c r="N360" i="34" s="1"/>
  <c r="CO858" i="10"/>
  <c r="O360" i="34" s="1"/>
  <c r="F76" i="25"/>
  <c r="B143" i="2" s="1"/>
  <c r="AK40" i="7"/>
  <c r="AN40" i="3" s="1"/>
  <c r="AJ40" i="7"/>
  <c r="AK105" i="7"/>
  <c r="AN105" i="3" s="1"/>
  <c r="J131" i="7"/>
  <c r="M131" i="3" s="1"/>
  <c r="AK246" i="7"/>
  <c r="AN246" i="3" s="1"/>
  <c r="AG423" i="7"/>
  <c r="AO125" i="10"/>
  <c r="AO217" i="10"/>
  <c r="CO513" i="10"/>
  <c r="O15" i="34" s="1"/>
  <c r="CQ513" i="10"/>
  <c r="M15" i="34" s="1"/>
  <c r="CP513" i="10"/>
  <c r="CO722" i="10"/>
  <c r="O224" i="34" s="1"/>
  <c r="CP722" i="10"/>
  <c r="AV124" i="7"/>
  <c r="AY124" i="3" s="1"/>
  <c r="I131" i="7"/>
  <c r="I148" i="7"/>
  <c r="L148" i="3" s="1"/>
  <c r="AV215" i="7"/>
  <c r="AY215" i="3" s="1"/>
  <c r="G61" i="35"/>
  <c r="CT64" i="9"/>
  <c r="CW64" i="9"/>
  <c r="L61" i="35" s="1"/>
  <c r="CU64" i="9"/>
  <c r="N61" i="35" s="1"/>
  <c r="G63" i="35"/>
  <c r="CU66" i="9"/>
  <c r="N63" i="35" s="1"/>
  <c r="CT66" i="9"/>
  <c r="CV66" i="9"/>
  <c r="AO161" i="10"/>
  <c r="AO244" i="10"/>
  <c r="AO274" i="10"/>
  <c r="AO309" i="10"/>
  <c r="CQ540" i="10"/>
  <c r="M42" i="34" s="1"/>
  <c r="CP540" i="10"/>
  <c r="CQ575" i="10"/>
  <c r="M77" i="34" s="1"/>
  <c r="CP575" i="10"/>
  <c r="L77" i="34" s="1"/>
  <c r="H323" i="34"/>
  <c r="CQ821" i="10"/>
  <c r="M323" i="34" s="1"/>
  <c r="CP821" i="10"/>
  <c r="H410" i="34"/>
  <c r="CQ908" i="10"/>
  <c r="M410" i="34" s="1"/>
  <c r="AO201" i="10"/>
  <c r="AV150" i="7"/>
  <c r="AY150" i="3" s="1"/>
  <c r="AV157" i="7"/>
  <c r="AY157" i="3" s="1"/>
  <c r="AK205" i="7"/>
  <c r="AN205" i="3" s="1"/>
  <c r="AO152" i="10"/>
  <c r="AO363" i="10"/>
  <c r="AO428" i="10"/>
  <c r="AV15" i="7"/>
  <c r="AY15" i="3" s="1"/>
  <c r="AV24" i="7"/>
  <c r="AY24" i="3" s="1"/>
  <c r="AV49" i="7"/>
  <c r="AC84" i="7"/>
  <c r="J74" i="7"/>
  <c r="AK93" i="7"/>
  <c r="L131" i="7"/>
  <c r="O131" i="3" s="1"/>
  <c r="L224" i="7"/>
  <c r="O224" i="3" s="1"/>
  <c r="AJ224" i="7"/>
  <c r="AM224" i="3" s="1"/>
  <c r="AV261" i="7"/>
  <c r="AY261" i="3" s="1"/>
  <c r="AK292" i="7"/>
  <c r="AN292" i="3" s="1"/>
  <c r="AJ292" i="7"/>
  <c r="AT292" i="7" s="1"/>
  <c r="AW292" i="3" s="1"/>
  <c r="AO96" i="10"/>
  <c r="AO120" i="10"/>
  <c r="AO128" i="10"/>
  <c r="AO155" i="10"/>
  <c r="AO190" i="10"/>
  <c r="AO290" i="10"/>
  <c r="H334" i="34"/>
  <c r="CP832" i="10"/>
  <c r="H345" i="34"/>
  <c r="CO843" i="10"/>
  <c r="O345" i="34" s="1"/>
  <c r="CO883" i="10"/>
  <c r="O385" i="34" s="1"/>
  <c r="CQ883" i="10"/>
  <c r="M385" i="34" s="1"/>
  <c r="CP883" i="10"/>
  <c r="L385" i="34" s="1"/>
  <c r="AO250" i="10"/>
  <c r="AO253" i="10"/>
  <c r="AO304" i="10"/>
  <c r="AO315" i="10"/>
  <c r="AO323" i="10"/>
  <c r="AO331" i="10"/>
  <c r="H85" i="34"/>
  <c r="CQ583" i="10"/>
  <c r="M85" i="34" s="1"/>
  <c r="CQ611" i="10"/>
  <c r="M113" i="34" s="1"/>
  <c r="CP611" i="10"/>
  <c r="H148" i="34"/>
  <c r="CP646" i="10"/>
  <c r="CS646" i="10" s="1"/>
  <c r="N148" i="34" s="1"/>
  <c r="CO646" i="10"/>
  <c r="O148" i="34" s="1"/>
  <c r="H176" i="34"/>
  <c r="CQ674" i="10"/>
  <c r="M176" i="34" s="1"/>
  <c r="B121" i="8"/>
  <c r="B133" i="8"/>
  <c r="D109" i="12"/>
  <c r="D105" i="12"/>
  <c r="D100" i="12"/>
  <c r="D107" i="12"/>
  <c r="D111" i="12"/>
  <c r="D101" i="12"/>
  <c r="AJ248" i="7"/>
  <c r="AT248" i="7" s="1"/>
  <c r="AW248" i="3" s="1"/>
  <c r="AO195" i="10"/>
  <c r="AO211" i="10"/>
  <c r="AO264" i="10"/>
  <c r="AO308" i="10"/>
  <c r="CO506" i="10"/>
  <c r="O8" i="34" s="1"/>
  <c r="CP563" i="10"/>
  <c r="H274" i="34"/>
  <c r="CQ772" i="10"/>
  <c r="M274" i="34" s="1"/>
  <c r="AK57" i="7"/>
  <c r="AV113" i="7"/>
  <c r="AY113" i="3" s="1"/>
  <c r="AV174" i="7"/>
  <c r="AY174" i="3" s="1"/>
  <c r="AJ300" i="7"/>
  <c r="AM300" i="3" s="1"/>
  <c r="AO29" i="10"/>
  <c r="AO138" i="10"/>
  <c r="AO208" i="10"/>
  <c r="AO240" i="10"/>
  <c r="AO251" i="10"/>
  <c r="H290" i="34"/>
  <c r="CO788" i="10"/>
  <c r="O290" i="34" s="1"/>
  <c r="CP788" i="10"/>
  <c r="L290" i="34" s="1"/>
  <c r="AJ308" i="11"/>
  <c r="D113" i="12"/>
  <c r="AK83" i="7"/>
  <c r="AN83" i="3" s="1"/>
  <c r="AJ183" i="7"/>
  <c r="AM183" i="3" s="1"/>
  <c r="AK258" i="7"/>
  <c r="AN258" i="3" s="1"/>
  <c r="AJ308" i="7"/>
  <c r="CW35" i="9"/>
  <c r="L32" i="35" s="1"/>
  <c r="CV35" i="9"/>
  <c r="CT35" i="9"/>
  <c r="AO136" i="10"/>
  <c r="AO389" i="10"/>
  <c r="CP621" i="10"/>
  <c r="CS621" i="10" s="1"/>
  <c r="N123" i="34" s="1"/>
  <c r="CO621" i="10"/>
  <c r="O123" i="34" s="1"/>
  <c r="H127" i="34"/>
  <c r="CQ625" i="10"/>
  <c r="M127" i="34" s="1"/>
  <c r="AN308" i="11"/>
  <c r="AC264" i="7"/>
  <c r="AV352" i="7"/>
  <c r="AY352" i="3" s="1"/>
  <c r="CO804" i="10"/>
  <c r="O306" i="34" s="1"/>
  <c r="CP804" i="10"/>
  <c r="CS804" i="10" s="1"/>
  <c r="N306" i="34" s="1"/>
  <c r="AV172" i="7"/>
  <c r="AY172" i="3" s="1"/>
  <c r="AJ258" i="7"/>
  <c r="AV342" i="7"/>
  <c r="AY342" i="3" s="1"/>
  <c r="AO248" i="10"/>
  <c r="AO313" i="10"/>
  <c r="CQ506" i="10"/>
  <c r="M8" i="34" s="1"/>
  <c r="AJ63" i="7"/>
  <c r="AC75" i="7"/>
  <c r="AF75" i="7" s="1"/>
  <c r="AI75" i="3" s="1"/>
  <c r="AJ104" i="7"/>
  <c r="I108" i="7"/>
  <c r="L108" i="3" s="1"/>
  <c r="I193" i="7"/>
  <c r="AV252" i="7"/>
  <c r="AJ382" i="7"/>
  <c r="AO157" i="10"/>
  <c r="AO168" i="10"/>
  <c r="AO278" i="10"/>
  <c r="AO305" i="10"/>
  <c r="AO359" i="10"/>
  <c r="H238" i="34"/>
  <c r="CO736" i="10"/>
  <c r="O238" i="34" s="1"/>
  <c r="H242" i="34"/>
  <c r="CQ740" i="10"/>
  <c r="M242" i="34" s="1"/>
  <c r="CP784" i="10"/>
  <c r="CO784" i="10"/>
  <c r="O286" i="34" s="1"/>
  <c r="H409" i="34"/>
  <c r="CO907" i="10"/>
  <c r="O409" i="34" s="1"/>
  <c r="H283" i="34"/>
  <c r="CQ781" i="10"/>
  <c r="M283" i="34" s="1"/>
  <c r="AV40" i="7"/>
  <c r="AY40" i="3" s="1"/>
  <c r="AJ42" i="7"/>
  <c r="AK59" i="7"/>
  <c r="AN59" i="3" s="1"/>
  <c r="AJ67" i="7"/>
  <c r="AK134" i="7"/>
  <c r="AJ145" i="7"/>
  <c r="AV283" i="7"/>
  <c r="AY283" i="3" s="1"/>
  <c r="AJ285" i="7"/>
  <c r="AG398" i="7"/>
  <c r="AV384" i="7"/>
  <c r="AY384" i="3" s="1"/>
  <c r="AV385" i="7"/>
  <c r="AY385" i="3" s="1"/>
  <c r="AK393" i="7"/>
  <c r="AN393" i="3" s="1"/>
  <c r="AO31" i="10"/>
  <c r="AO44" i="10"/>
  <c r="AO68" i="10"/>
  <c r="AO84" i="10"/>
  <c r="AO165" i="10"/>
  <c r="E15" i="17"/>
  <c r="F15" i="17" s="1"/>
  <c r="B15" i="17"/>
  <c r="AV401" i="7"/>
  <c r="AY401" i="3" s="1"/>
  <c r="AK425" i="7"/>
  <c r="AN425" i="3" s="1"/>
  <c r="E223" i="8"/>
  <c r="C223" i="8"/>
  <c r="G17" i="35"/>
  <c r="CW20" i="9"/>
  <c r="L17" i="35" s="1"/>
  <c r="AO7" i="10"/>
  <c r="AO42" i="10"/>
  <c r="AO92" i="10"/>
  <c r="AO296" i="10"/>
  <c r="AO307" i="10"/>
  <c r="AO399" i="10"/>
  <c r="AO418" i="10"/>
  <c r="CQ920" i="10"/>
  <c r="M422" i="34" s="1"/>
  <c r="CP920" i="10"/>
  <c r="F15" i="25"/>
  <c r="E15" i="25"/>
  <c r="AO218" i="10"/>
  <c r="AO283" i="10"/>
  <c r="AO395" i="10"/>
  <c r="H199" i="34"/>
  <c r="CQ697" i="10"/>
  <c r="M199" i="34" s="1"/>
  <c r="H302" i="34"/>
  <c r="CO800" i="10"/>
  <c r="O302" i="34" s="1"/>
  <c r="AK63" i="7"/>
  <c r="AN63" i="3" s="1"/>
  <c r="AK133" i="7"/>
  <c r="AN133" i="3" s="1"/>
  <c r="AV176" i="7"/>
  <c r="AY176" i="3" s="1"/>
  <c r="AV231" i="7"/>
  <c r="AY231" i="3" s="1"/>
  <c r="AV237" i="7"/>
  <c r="AY237" i="3" s="1"/>
  <c r="AG275" i="7"/>
  <c r="AC268" i="7"/>
  <c r="AJ273" i="7"/>
  <c r="AK280" i="7"/>
  <c r="AN280" i="3" s="1"/>
  <c r="AJ351" i="7"/>
  <c r="AT351" i="7" s="1"/>
  <c r="AW351" i="3" s="1"/>
  <c r="AJ378" i="7"/>
  <c r="AJ428" i="7"/>
  <c r="AM428" i="3" s="1"/>
  <c r="CU5" i="9"/>
  <c r="N2" i="35" s="1"/>
  <c r="CT5" i="9"/>
  <c r="AO55" i="10"/>
  <c r="AO87" i="10"/>
  <c r="AO127" i="10"/>
  <c r="AO141" i="10"/>
  <c r="AO159" i="10"/>
  <c r="AO176" i="10"/>
  <c r="AO213" i="10"/>
  <c r="AO293" i="10"/>
  <c r="AO336" i="10"/>
  <c r="H187" i="34"/>
  <c r="CQ685" i="10"/>
  <c r="M187" i="34" s="1"/>
  <c r="H352" i="34"/>
  <c r="CQ850" i="10"/>
  <c r="M352" i="34" s="1"/>
  <c r="AV17" i="7"/>
  <c r="AY17" i="3" s="1"/>
  <c r="AK43" i="7"/>
  <c r="AN43" i="3" s="1"/>
  <c r="AV83" i="7"/>
  <c r="AY83" i="3" s="1"/>
  <c r="AJ102" i="7"/>
  <c r="AT102" i="7" s="1"/>
  <c r="AW102" i="3" s="1"/>
  <c r="AJ126" i="7"/>
  <c r="AM126" i="3" s="1"/>
  <c r="AK167" i="7"/>
  <c r="AN167" i="3" s="1"/>
  <c r="AJ214" i="7"/>
  <c r="AM214" i="3" s="1"/>
  <c r="AJ234" i="7"/>
  <c r="AK369" i="7"/>
  <c r="AN369" i="3" s="1"/>
  <c r="AJ397" i="7"/>
  <c r="AM397" i="3" s="1"/>
  <c r="AO13" i="10"/>
  <c r="AO24" i="10"/>
  <c r="AO69" i="10"/>
  <c r="AO109" i="10"/>
  <c r="AO219" i="10"/>
  <c r="AO222" i="10"/>
  <c r="AO401" i="10"/>
  <c r="CP520" i="10"/>
  <c r="CP581" i="10"/>
  <c r="CO581" i="10"/>
  <c r="O83" i="34" s="1"/>
  <c r="CP607" i="10"/>
  <c r="CQ701" i="10"/>
  <c r="M203" i="34" s="1"/>
  <c r="CQ714" i="10"/>
  <c r="M216" i="34" s="1"/>
  <c r="CQ819" i="10"/>
  <c r="M321" i="34" s="1"/>
  <c r="CQ862" i="10"/>
  <c r="M364" i="34" s="1"/>
  <c r="AV234" i="7"/>
  <c r="AY234" i="3" s="1"/>
  <c r="AV280" i="7"/>
  <c r="AY280" i="3" s="1"/>
  <c r="AJ337" i="7"/>
  <c r="AM337" i="3" s="1"/>
  <c r="AJ388" i="7"/>
  <c r="AM388" i="3" s="1"/>
  <c r="AJ422" i="7"/>
  <c r="AM422" i="3" s="1"/>
  <c r="AJ425" i="7"/>
  <c r="B135" i="8"/>
  <c r="B128" i="8"/>
  <c r="AO15" i="10"/>
  <c r="AO23" i="10"/>
  <c r="AO58" i="10"/>
  <c r="AO100" i="10"/>
  <c r="AO164" i="10"/>
  <c r="AO204" i="10"/>
  <c r="AO316" i="10"/>
  <c r="AO332" i="10"/>
  <c r="AO351" i="10"/>
  <c r="H347" i="34"/>
  <c r="CO845" i="10"/>
  <c r="O347" i="34" s="1"/>
  <c r="CQ890" i="10"/>
  <c r="M392" i="34" s="1"/>
  <c r="CP890" i="10"/>
  <c r="AJ312" i="7"/>
  <c r="AJ314" i="7"/>
  <c r="AJ330" i="7"/>
  <c r="AV344" i="7"/>
  <c r="AY344" i="3" s="1"/>
  <c r="AK380" i="7"/>
  <c r="AN380" i="3" s="1"/>
  <c r="AV414" i="7"/>
  <c r="AY414" i="3" s="1"/>
  <c r="AJ418" i="7"/>
  <c r="AO124" i="10"/>
  <c r="AO143" i="10"/>
  <c r="AO260" i="10"/>
  <c r="AO334" i="10"/>
  <c r="CO808" i="10"/>
  <c r="O310" i="34" s="1"/>
  <c r="CO829" i="10"/>
  <c r="O331" i="34" s="1"/>
  <c r="CP849" i="10"/>
  <c r="CS849" i="10" s="1"/>
  <c r="N351" i="34" s="1"/>
  <c r="CO882" i="10"/>
  <c r="O384" i="34" s="1"/>
  <c r="CQ886" i="10"/>
  <c r="M388" i="34" s="1"/>
  <c r="CP902" i="10"/>
  <c r="L404" i="34" s="1"/>
  <c r="F82" i="25"/>
  <c r="J415" i="7"/>
  <c r="M415" i="3" s="1"/>
  <c r="AO82" i="10"/>
  <c r="AO108" i="10"/>
  <c r="AO116" i="10"/>
  <c r="AO122" i="10"/>
  <c r="AO183" i="10"/>
  <c r="AO297" i="10"/>
  <c r="AO348" i="10"/>
  <c r="AO358" i="10"/>
  <c r="AO372" i="10"/>
  <c r="AO382" i="10"/>
  <c r="AO390" i="10"/>
  <c r="AO422" i="10"/>
  <c r="CP808" i="10"/>
  <c r="CS808" i="10" s="1"/>
  <c r="N310" i="34" s="1"/>
  <c r="CQ829" i="10"/>
  <c r="M331" i="34" s="1"/>
  <c r="CQ849" i="10"/>
  <c r="M351" i="34" s="1"/>
  <c r="AM42" i="3"/>
  <c r="AM90" i="3"/>
  <c r="H655" i="10"/>
  <c r="AK160" i="7"/>
  <c r="K160" i="3"/>
  <c r="L160" i="7"/>
  <c r="O160" i="3" s="1"/>
  <c r="J160" i="7"/>
  <c r="M160" i="3" s="1"/>
  <c r="AJ160" i="7"/>
  <c r="AM160" i="3" s="1"/>
  <c r="AV160" i="7"/>
  <c r="AY160" i="3" s="1"/>
  <c r="AC152" i="7"/>
  <c r="AC170" i="7"/>
  <c r="AG153" i="7"/>
  <c r="AG174" i="7"/>
  <c r="H728" i="10"/>
  <c r="K233" i="3"/>
  <c r="AK233" i="7"/>
  <c r="AN233" i="3" s="1"/>
  <c r="AJ233" i="7"/>
  <c r="AC233" i="7"/>
  <c r="AV233" i="7"/>
  <c r="AY233" i="3" s="1"/>
  <c r="AT233" i="7"/>
  <c r="AW233" i="3" s="1"/>
  <c r="J233" i="7"/>
  <c r="M233" i="3" s="1"/>
  <c r="AC238" i="7"/>
  <c r="P283" i="8"/>
  <c r="I233" i="7"/>
  <c r="L233" i="3" s="1"/>
  <c r="AG241" i="7"/>
  <c r="C14" i="8"/>
  <c r="D14" i="8" s="1"/>
  <c r="D283" i="8" s="1"/>
  <c r="AG249" i="7"/>
  <c r="N283" i="8"/>
  <c r="AC242" i="7"/>
  <c r="M283" i="8"/>
  <c r="AG246" i="7"/>
  <c r="H564" i="10"/>
  <c r="AV69" i="7"/>
  <c r="AY69" i="3" s="1"/>
  <c r="K69" i="3"/>
  <c r="J69" i="7"/>
  <c r="M69" i="3" s="1"/>
  <c r="I69" i="7"/>
  <c r="L69" i="3" s="1"/>
  <c r="AK69" i="7"/>
  <c r="AN69" i="3" s="1"/>
  <c r="AC69" i="7"/>
  <c r="AJ69" i="7"/>
  <c r="AM69" i="3" s="1"/>
  <c r="AC65" i="7"/>
  <c r="AT69" i="7"/>
  <c r="AW69" i="3" s="1"/>
  <c r="L69" i="7"/>
  <c r="O69" i="3" s="1"/>
  <c r="AG61" i="7"/>
  <c r="E218" i="8"/>
  <c r="C218" i="8"/>
  <c r="AX33" i="9"/>
  <c r="AY33" i="9" s="1"/>
  <c r="AM167" i="3"/>
  <c r="O163" i="3"/>
  <c r="AG314" i="7"/>
  <c r="H840" i="10"/>
  <c r="AK345" i="7"/>
  <c r="AN345" i="3" s="1"/>
  <c r="AJ345" i="7"/>
  <c r="J345" i="7"/>
  <c r="M345" i="3" s="1"/>
  <c r="I345" i="7"/>
  <c r="L345" i="3" s="1"/>
  <c r="AV345" i="7"/>
  <c r="AY345" i="3" s="1"/>
  <c r="K345" i="3"/>
  <c r="L345" i="7"/>
  <c r="O345" i="3" s="1"/>
  <c r="O200" i="3"/>
  <c r="H744" i="10"/>
  <c r="J249" i="7"/>
  <c r="M249" i="3" s="1"/>
  <c r="I249" i="7"/>
  <c r="L249" i="3" s="1"/>
  <c r="AV249" i="7"/>
  <c r="AY249" i="3" s="1"/>
  <c r="L249" i="7"/>
  <c r="O249" i="3" s="1"/>
  <c r="K249" i="3"/>
  <c r="AK249" i="7"/>
  <c r="AN249" i="3" s="1"/>
  <c r="AJ249" i="7"/>
  <c r="AM249" i="3" s="1"/>
  <c r="AC249" i="7"/>
  <c r="H786" i="10"/>
  <c r="K291" i="3"/>
  <c r="AV291" i="7"/>
  <c r="AY291" i="3" s="1"/>
  <c r="AC291" i="7"/>
  <c r="AJ291" i="7"/>
  <c r="AM291" i="3" s="1"/>
  <c r="L291" i="7"/>
  <c r="O291" i="3" s="1"/>
  <c r="J291" i="7"/>
  <c r="M291" i="3" s="1"/>
  <c r="AK291" i="7"/>
  <c r="AN291" i="3" s="1"/>
  <c r="I291" i="7"/>
  <c r="L291" i="3" s="1"/>
  <c r="AC342" i="7"/>
  <c r="H734" i="10"/>
  <c r="L239" i="7"/>
  <c r="O239" i="3" s="1"/>
  <c r="AK239" i="7"/>
  <c r="AN239" i="3" s="1"/>
  <c r="I239" i="7"/>
  <c r="L239" i="3" s="1"/>
  <c r="AV239" i="7"/>
  <c r="AY239" i="3" s="1"/>
  <c r="AJ239" i="7"/>
  <c r="AM239" i="3" s="1"/>
  <c r="K239" i="3"/>
  <c r="AC239" i="7"/>
  <c r="J239" i="7"/>
  <c r="M239" i="3" s="1"/>
  <c r="AX17" i="9"/>
  <c r="AY17" i="9" s="1"/>
  <c r="AX48" i="9"/>
  <c r="AY48" i="9" s="1"/>
  <c r="H530" i="10"/>
  <c r="AV35" i="7"/>
  <c r="AY35" i="3" s="1"/>
  <c r="L35" i="7"/>
  <c r="O35" i="3" s="1"/>
  <c r="I35" i="7"/>
  <c r="L35" i="3" s="1"/>
  <c r="AK35" i="7"/>
  <c r="AN35" i="3" s="1"/>
  <c r="AJ35" i="7"/>
  <c r="AM35" i="3" s="1"/>
  <c r="AC35" i="7"/>
  <c r="K35" i="3"/>
  <c r="J35" i="7"/>
  <c r="M35" i="3" s="1"/>
  <c r="H615" i="10"/>
  <c r="AK120" i="7"/>
  <c r="AN120" i="3" s="1"/>
  <c r="AC120" i="7"/>
  <c r="I120" i="7"/>
  <c r="L120" i="3" s="1"/>
  <c r="AV120" i="7"/>
  <c r="AY120" i="3" s="1"/>
  <c r="K120" i="3"/>
  <c r="AJ120" i="7"/>
  <c r="AM120" i="3" s="1"/>
  <c r="L120" i="7"/>
  <c r="O120" i="3" s="1"/>
  <c r="J120" i="7"/>
  <c r="M120" i="3" s="1"/>
  <c r="K120" i="7"/>
  <c r="N120" i="3" s="1"/>
  <c r="J213" i="7"/>
  <c r="M213" i="3" s="1"/>
  <c r="A219" i="8"/>
  <c r="AF106" i="7"/>
  <c r="AD106" i="7"/>
  <c r="AM57" i="3"/>
  <c r="H783" i="10"/>
  <c r="J288" i="7"/>
  <c r="M288" i="3" s="1"/>
  <c r="AJ288" i="7"/>
  <c r="L288" i="7"/>
  <c r="O288" i="3" s="1"/>
  <c r="AV288" i="7"/>
  <c r="AY288" i="3" s="1"/>
  <c r="I288" i="7"/>
  <c r="L288" i="3" s="1"/>
  <c r="K288" i="3"/>
  <c r="AK288" i="7"/>
  <c r="AN288" i="3" s="1"/>
  <c r="AC288" i="7"/>
  <c r="AC44" i="7"/>
  <c r="AC113" i="7"/>
  <c r="H881" i="10"/>
  <c r="AV386" i="7"/>
  <c r="AY386" i="3" s="1"/>
  <c r="AK386" i="7"/>
  <c r="AN386" i="3" s="1"/>
  <c r="AJ386" i="7"/>
  <c r="K386" i="3"/>
  <c r="L386" i="7"/>
  <c r="O386" i="3" s="1"/>
  <c r="J386" i="7"/>
  <c r="M386" i="3" s="1"/>
  <c r="I386" i="7"/>
  <c r="L386" i="3" s="1"/>
  <c r="AG394" i="7"/>
  <c r="AC164" i="7"/>
  <c r="AG66" i="7"/>
  <c r="I94" i="7"/>
  <c r="L94" i="3" s="1"/>
  <c r="L233" i="7"/>
  <c r="O233" i="3" s="1"/>
  <c r="AG397" i="7"/>
  <c r="AM134" i="3"/>
  <c r="H857" i="10"/>
  <c r="AC362" i="7"/>
  <c r="AK362" i="7"/>
  <c r="AN362" i="3" s="1"/>
  <c r="K362" i="3"/>
  <c r="J362" i="7"/>
  <c r="M362" i="3" s="1"/>
  <c r="L362" i="7"/>
  <c r="O362" i="3" s="1"/>
  <c r="I362" i="7"/>
  <c r="L362" i="3" s="1"/>
  <c r="AJ362" i="7"/>
  <c r="AM362" i="3" s="1"/>
  <c r="AV362" i="7"/>
  <c r="AY362" i="3" s="1"/>
  <c r="AL273" i="7"/>
  <c r="AM273" i="3"/>
  <c r="E226" i="8"/>
  <c r="C226" i="8"/>
  <c r="H715" i="10"/>
  <c r="AV220" i="7"/>
  <c r="AY220" i="3" s="1"/>
  <c r="L220" i="7"/>
  <c r="O220" i="3" s="1"/>
  <c r="I220" i="7"/>
  <c r="L220" i="3" s="1"/>
  <c r="AK220" i="7"/>
  <c r="AN220" i="3" s="1"/>
  <c r="K220" i="3"/>
  <c r="AJ220" i="7"/>
  <c r="AM220" i="3" s="1"/>
  <c r="AC220" i="7"/>
  <c r="AC366" i="7"/>
  <c r="AG63" i="7"/>
  <c r="I100" i="34"/>
  <c r="H799" i="10"/>
  <c r="K304" i="3"/>
  <c r="L304" i="7"/>
  <c r="O304" i="3" s="1"/>
  <c r="AK304" i="7"/>
  <c r="AN304" i="3" s="1"/>
  <c r="AJ304" i="7"/>
  <c r="AM304" i="3" s="1"/>
  <c r="AV304" i="7"/>
  <c r="AY304" i="3" s="1"/>
  <c r="AC304" i="7"/>
  <c r="AG308" i="7"/>
  <c r="AG300" i="7"/>
  <c r="AJ300" i="3" s="1"/>
  <c r="AG312" i="7"/>
  <c r="J304" i="7"/>
  <c r="H915" i="10"/>
  <c r="AV420" i="7"/>
  <c r="AY420" i="3" s="1"/>
  <c r="L420" i="7"/>
  <c r="O420" i="3" s="1"/>
  <c r="AC420" i="7"/>
  <c r="J420" i="7"/>
  <c r="M420" i="3" s="1"/>
  <c r="I420" i="7"/>
  <c r="L420" i="3" s="1"/>
  <c r="AK420" i="7"/>
  <c r="AN420" i="3" s="1"/>
  <c r="AJ420" i="7"/>
  <c r="AM420" i="3" s="1"/>
  <c r="K420" i="3"/>
  <c r="AC423" i="7"/>
  <c r="AL84" i="7"/>
  <c r="AT393" i="7"/>
  <c r="AW393" i="3" s="1"/>
  <c r="AM393" i="3"/>
  <c r="AS393" i="7"/>
  <c r="AV393" i="3" s="1"/>
  <c r="AG171" i="7"/>
  <c r="C222" i="8"/>
  <c r="E222" i="8"/>
  <c r="AC70" i="7"/>
  <c r="H612" i="10"/>
  <c r="J117" i="7"/>
  <c r="M117" i="3" s="1"/>
  <c r="I117" i="7"/>
  <c r="L117" i="3" s="1"/>
  <c r="AK117" i="7"/>
  <c r="AN117" i="3" s="1"/>
  <c r="AJ117" i="7"/>
  <c r="AM117" i="3" s="1"/>
  <c r="AV117" i="7"/>
  <c r="AY117" i="3" s="1"/>
  <c r="AT117" i="7"/>
  <c r="AW117" i="3" s="1"/>
  <c r="AC117" i="7"/>
  <c r="L117" i="7"/>
  <c r="O117" i="3" s="1"/>
  <c r="K117" i="3"/>
  <c r="AC150" i="7"/>
  <c r="AA262" i="11"/>
  <c r="H699" i="10"/>
  <c r="K204" i="3"/>
  <c r="L204" i="7"/>
  <c r="O204" i="3" s="1"/>
  <c r="AV204" i="7"/>
  <c r="AY204" i="3" s="1"/>
  <c r="J204" i="7"/>
  <c r="M204" i="3" s="1"/>
  <c r="AK204" i="7"/>
  <c r="AN204" i="3" s="1"/>
  <c r="AJ204" i="7"/>
  <c r="AM204" i="3" s="1"/>
  <c r="AG227" i="7"/>
  <c r="AC281" i="7"/>
  <c r="AG329" i="7"/>
  <c r="AJ329" i="3" s="1"/>
  <c r="AG105" i="7"/>
  <c r="I204" i="7"/>
  <c r="L204" i="3" s="1"/>
  <c r="H844" i="10"/>
  <c r="L349" i="7"/>
  <c r="O349" i="3" s="1"/>
  <c r="AK349" i="7"/>
  <c r="AN349" i="3" s="1"/>
  <c r="AJ349" i="7"/>
  <c r="AM349" i="3" s="1"/>
  <c r="AC349" i="7"/>
  <c r="K349" i="3"/>
  <c r="AG356" i="7"/>
  <c r="J349" i="7"/>
  <c r="M349" i="3" s="1"/>
  <c r="I349" i="7"/>
  <c r="L349" i="3" s="1"/>
  <c r="AG355" i="7"/>
  <c r="AC365" i="7"/>
  <c r="AC352" i="7"/>
  <c r="AV349" i="7"/>
  <c r="AY349" i="3" s="1"/>
  <c r="AM356" i="3"/>
  <c r="G8" i="35"/>
  <c r="CW11" i="9"/>
  <c r="L8" i="35" s="1"/>
  <c r="CT11" i="9"/>
  <c r="CV11" i="9"/>
  <c r="CU11" i="9"/>
  <c r="N8" i="35" s="1"/>
  <c r="I467" i="19"/>
  <c r="BQ522" i="10"/>
  <c r="K522" i="10" s="1"/>
  <c r="BG522" i="10" s="1"/>
  <c r="BB522" i="10"/>
  <c r="BC522" i="10" s="1"/>
  <c r="G522" i="10"/>
  <c r="G24" i="34" s="1"/>
  <c r="T522" i="10"/>
  <c r="R522" i="10"/>
  <c r="Q522" i="10"/>
  <c r="BX522" i="10"/>
  <c r="O522" i="10"/>
  <c r="N522" i="10"/>
  <c r="H624" i="10"/>
  <c r="L129" i="7"/>
  <c r="O129" i="3" s="1"/>
  <c r="AV129" i="7"/>
  <c r="AY129" i="3" s="1"/>
  <c r="J129" i="7"/>
  <c r="M129" i="3" s="1"/>
  <c r="I129" i="7"/>
  <c r="L129" i="3" s="1"/>
  <c r="K129" i="3"/>
  <c r="AG124" i="7"/>
  <c r="AJ124" i="3" s="1"/>
  <c r="U685" i="10"/>
  <c r="J190" i="7"/>
  <c r="H690" i="10"/>
  <c r="L195" i="7"/>
  <c r="O195" i="3" s="1"/>
  <c r="AV195" i="7"/>
  <c r="AY195" i="3" s="1"/>
  <c r="J195" i="7"/>
  <c r="M195" i="3" s="1"/>
  <c r="I195" i="7"/>
  <c r="L195" i="3" s="1"/>
  <c r="AC195" i="7"/>
  <c r="H704" i="10"/>
  <c r="AV209" i="7"/>
  <c r="AY209" i="3" s="1"/>
  <c r="L209" i="7"/>
  <c r="O209" i="3" s="1"/>
  <c r="I209" i="7"/>
  <c r="L209" i="3" s="1"/>
  <c r="AK209" i="7"/>
  <c r="AN209" i="3" s="1"/>
  <c r="AJ209" i="7"/>
  <c r="J209" i="7"/>
  <c r="M209" i="3" s="1"/>
  <c r="H830" i="10"/>
  <c r="AJ335" i="7"/>
  <c r="AM335" i="3" s="1"/>
  <c r="J335" i="7"/>
  <c r="M335" i="3" s="1"/>
  <c r="I335" i="7"/>
  <c r="L335" i="3" s="1"/>
  <c r="AV335" i="7"/>
  <c r="AY335" i="3" s="1"/>
  <c r="AK335" i="7"/>
  <c r="AN335" i="3" s="1"/>
  <c r="AC335" i="7"/>
  <c r="H606" i="10"/>
  <c r="BY606" i="10" s="1"/>
  <c r="AV111" i="7"/>
  <c r="AY111" i="3" s="1"/>
  <c r="K111" i="3"/>
  <c r="AK111" i="7"/>
  <c r="AN111" i="3" s="1"/>
  <c r="AJ111" i="7"/>
  <c r="AM111" i="3" s="1"/>
  <c r="AT111" i="7"/>
  <c r="AW111" i="3" s="1"/>
  <c r="L36" i="7"/>
  <c r="H531" i="10"/>
  <c r="N10" i="9"/>
  <c r="AJ36" i="7"/>
  <c r="AM36" i="3" s="1"/>
  <c r="AC36" i="7"/>
  <c r="AK36" i="7"/>
  <c r="AN36" i="3" s="1"/>
  <c r="AV36" i="7"/>
  <c r="AY36" i="3" s="1"/>
  <c r="J103" i="7"/>
  <c r="J111" i="7"/>
  <c r="M111" i="3" s="1"/>
  <c r="H634" i="10"/>
  <c r="J139" i="7"/>
  <c r="M139" i="3" s="1"/>
  <c r="I139" i="7"/>
  <c r="L139" i="3" s="1"/>
  <c r="AV139" i="7"/>
  <c r="AY139" i="3" s="1"/>
  <c r="K139" i="3"/>
  <c r="AC139" i="7"/>
  <c r="L139" i="7"/>
  <c r="O139" i="3" s="1"/>
  <c r="H654" i="10"/>
  <c r="K159" i="3"/>
  <c r="L159" i="7"/>
  <c r="O159" i="3" s="1"/>
  <c r="J159" i="7"/>
  <c r="M159" i="3" s="1"/>
  <c r="I159" i="7"/>
  <c r="L159" i="3" s="1"/>
  <c r="AJ159" i="7"/>
  <c r="AM159" i="3" s="1"/>
  <c r="I270" i="7"/>
  <c r="L270" i="3" s="1"/>
  <c r="AC414" i="7"/>
  <c r="AG75" i="7"/>
  <c r="AJ75" i="3" s="1"/>
  <c r="J142" i="7"/>
  <c r="M142" i="3" s="1"/>
  <c r="O145" i="3"/>
  <c r="I166" i="7"/>
  <c r="AK166" i="7"/>
  <c r="AN166" i="3" s="1"/>
  <c r="AV166" i="7"/>
  <c r="AY166" i="3" s="1"/>
  <c r="L166" i="7"/>
  <c r="O166" i="3" s="1"/>
  <c r="H661" i="10"/>
  <c r="AK186" i="7"/>
  <c r="AN186" i="3" s="1"/>
  <c r="K186" i="3"/>
  <c r="L186" i="7"/>
  <c r="O186" i="3" s="1"/>
  <c r="J186" i="7"/>
  <c r="M186" i="3" s="1"/>
  <c r="I186" i="7"/>
  <c r="L186" i="3" s="1"/>
  <c r="AV186" i="7"/>
  <c r="AY186" i="3" s="1"/>
  <c r="H749" i="10"/>
  <c r="I254" i="7"/>
  <c r="L254" i="3" s="1"/>
  <c r="AK254" i="7"/>
  <c r="AN254" i="3" s="1"/>
  <c r="J254" i="7"/>
  <c r="M254" i="3" s="1"/>
  <c r="AJ254" i="7"/>
  <c r="AM254" i="3" s="1"/>
  <c r="AV254" i="7"/>
  <c r="AY254" i="3" s="1"/>
  <c r="L254" i="7"/>
  <c r="O254" i="3" s="1"/>
  <c r="L99" i="34"/>
  <c r="CS597" i="10"/>
  <c r="N99" i="34" s="1"/>
  <c r="K166" i="3"/>
  <c r="H533" i="10"/>
  <c r="L38" i="7"/>
  <c r="O38" i="3" s="1"/>
  <c r="AV38" i="7"/>
  <c r="AY38" i="3" s="1"/>
  <c r="J38" i="7"/>
  <c r="M38" i="3" s="1"/>
  <c r="AC38" i="7"/>
  <c r="AG81" i="7"/>
  <c r="L111" i="7"/>
  <c r="O111" i="3" s="1"/>
  <c r="O116" i="3"/>
  <c r="H650" i="10"/>
  <c r="AV155" i="7"/>
  <c r="AY155" i="3" s="1"/>
  <c r="L155" i="7"/>
  <c r="O155" i="3" s="1"/>
  <c r="J155" i="7"/>
  <c r="M155" i="3" s="1"/>
  <c r="AJ155" i="7"/>
  <c r="AM155" i="3" s="1"/>
  <c r="AK155" i="7"/>
  <c r="AN155" i="3" s="1"/>
  <c r="AC155" i="7"/>
  <c r="K155" i="3"/>
  <c r="AG170" i="7"/>
  <c r="H674" i="10"/>
  <c r="AJ179" i="7"/>
  <c r="AC179" i="7"/>
  <c r="K179" i="3"/>
  <c r="I179" i="7"/>
  <c r="L179" i="3" s="1"/>
  <c r="AV179" i="7"/>
  <c r="AY179" i="3" s="1"/>
  <c r="AJ195" i="7"/>
  <c r="AM195" i="3" s="1"/>
  <c r="H692" i="10"/>
  <c r="AV197" i="7"/>
  <c r="AY197" i="3" s="1"/>
  <c r="K197" i="3"/>
  <c r="AK197" i="7"/>
  <c r="AN197" i="3" s="1"/>
  <c r="AJ197" i="7"/>
  <c r="AC197" i="7"/>
  <c r="I200" i="7"/>
  <c r="H814" i="10"/>
  <c r="K319" i="3"/>
  <c r="J319" i="7"/>
  <c r="M319" i="3" s="1"/>
  <c r="AJ319" i="7"/>
  <c r="AM319" i="3" s="1"/>
  <c r="AK319" i="7"/>
  <c r="AN319" i="3" s="1"/>
  <c r="L319" i="7"/>
  <c r="O319" i="3" s="1"/>
  <c r="I319" i="7"/>
  <c r="L319" i="3" s="1"/>
  <c r="H905" i="10"/>
  <c r="L410" i="7"/>
  <c r="O410" i="3" s="1"/>
  <c r="I410" i="7"/>
  <c r="L410" i="3" s="1"/>
  <c r="AC410" i="7"/>
  <c r="AK410" i="7"/>
  <c r="AN410" i="3" s="1"/>
  <c r="AJ410" i="7"/>
  <c r="AM410" i="3" s="1"/>
  <c r="K410" i="3"/>
  <c r="H51" i="34"/>
  <c r="CO549" i="10"/>
  <c r="O51" i="34" s="1"/>
  <c r="CQ549" i="10"/>
  <c r="M51" i="34" s="1"/>
  <c r="CP549" i="10"/>
  <c r="H503" i="10"/>
  <c r="AJ8" i="7"/>
  <c r="AM8" i="3" s="1"/>
  <c r="AK8" i="7"/>
  <c r="AN8" i="3" s="1"/>
  <c r="J8" i="7"/>
  <c r="M8" i="3" s="1"/>
  <c r="I8" i="7"/>
  <c r="L8" i="3" s="1"/>
  <c r="AK110" i="7"/>
  <c r="AN110" i="3" s="1"/>
  <c r="AJ110" i="7"/>
  <c r="AM110" i="3" s="1"/>
  <c r="H605" i="10"/>
  <c r="K110" i="3"/>
  <c r="AG163" i="7"/>
  <c r="J179" i="7"/>
  <c r="L189" i="7"/>
  <c r="O189" i="3" s="1"/>
  <c r="AK195" i="7"/>
  <c r="AN195" i="3" s="1"/>
  <c r="I197" i="7"/>
  <c r="L197" i="3" s="1"/>
  <c r="AC254" i="7"/>
  <c r="J410" i="7"/>
  <c r="M410" i="3" s="1"/>
  <c r="H524" i="10"/>
  <c r="I29" i="7"/>
  <c r="L29" i="3" s="1"/>
  <c r="J29" i="7"/>
  <c r="M29" i="3" s="1"/>
  <c r="AC29" i="7"/>
  <c r="AJ29" i="7"/>
  <c r="AM29" i="3" s="1"/>
  <c r="AV29" i="7"/>
  <c r="AY29" i="3" s="1"/>
  <c r="AG149" i="7"/>
  <c r="AJ149" i="3" s="1"/>
  <c r="H717" i="10"/>
  <c r="J222" i="7"/>
  <c r="M222" i="3" s="1"/>
  <c r="AK222" i="7"/>
  <c r="AN222" i="3" s="1"/>
  <c r="AJ222" i="7"/>
  <c r="AM222" i="3" s="1"/>
  <c r="L222" i="7"/>
  <c r="O222" i="3" s="1"/>
  <c r="I222" i="7"/>
  <c r="L222" i="3" s="1"/>
  <c r="H817" i="10"/>
  <c r="L322" i="7"/>
  <c r="O322" i="3" s="1"/>
  <c r="AK322" i="7"/>
  <c r="AN322" i="3" s="1"/>
  <c r="AC322" i="7"/>
  <c r="AJ322" i="7"/>
  <c r="AM322" i="3" s="1"/>
  <c r="H908" i="10"/>
  <c r="L413" i="7"/>
  <c r="O413" i="3" s="1"/>
  <c r="I413" i="7"/>
  <c r="L413" i="3" s="1"/>
  <c r="AV413" i="7"/>
  <c r="AY413" i="3" s="1"/>
  <c r="J413" i="7"/>
  <c r="M413" i="3" s="1"/>
  <c r="K413" i="3"/>
  <c r="AK413" i="7"/>
  <c r="AN413" i="3" s="1"/>
  <c r="AJ413" i="7"/>
  <c r="AM413" i="3" s="1"/>
  <c r="Q284" i="8"/>
  <c r="AM13" i="3"/>
  <c r="AG122" i="7"/>
  <c r="H829" i="10"/>
  <c r="AV334" i="7"/>
  <c r="AY334" i="3" s="1"/>
  <c r="J334" i="7"/>
  <c r="M334" i="3" s="1"/>
  <c r="L334" i="7"/>
  <c r="O334" i="3" s="1"/>
  <c r="I334" i="7"/>
  <c r="L334" i="3" s="1"/>
  <c r="AK334" i="7"/>
  <c r="AN334" i="3" s="1"/>
  <c r="AJ334" i="7"/>
  <c r="AM334" i="3" s="1"/>
  <c r="AC334" i="7"/>
  <c r="U839" i="10"/>
  <c r="J344" i="7"/>
  <c r="M344" i="3" s="1"/>
  <c r="H713" i="10"/>
  <c r="AJ218" i="7"/>
  <c r="AM218" i="3" s="1"/>
  <c r="AK218" i="7"/>
  <c r="AV218" i="7"/>
  <c r="AY218" i="3" s="1"/>
  <c r="J218" i="7"/>
  <c r="M218" i="3" s="1"/>
  <c r="I218" i="7"/>
  <c r="L218" i="3" s="1"/>
  <c r="K218" i="3"/>
  <c r="AC218" i="7"/>
  <c r="M30" i="35"/>
  <c r="K30" i="35"/>
  <c r="K195" i="3"/>
  <c r="AK27" i="7"/>
  <c r="AN27" i="3" s="1"/>
  <c r="AJ27" i="7"/>
  <c r="K27" i="3"/>
  <c r="AC27" i="7"/>
  <c r="AV27" i="7"/>
  <c r="AY27" i="3" s="1"/>
  <c r="AC46" i="7"/>
  <c r="AG91" i="7"/>
  <c r="H779" i="10"/>
  <c r="AJ284" i="7"/>
  <c r="AM284" i="3" s="1"/>
  <c r="L284" i="7"/>
  <c r="O284" i="3" s="1"/>
  <c r="K284" i="3"/>
  <c r="I284" i="7"/>
  <c r="L284" i="3" s="1"/>
  <c r="J284" i="7"/>
  <c r="M284" i="3" s="1"/>
  <c r="AK284" i="7"/>
  <c r="AV284" i="7"/>
  <c r="AY284" i="3" s="1"/>
  <c r="H826" i="10"/>
  <c r="AV331" i="7"/>
  <c r="AY331" i="3" s="1"/>
  <c r="L331" i="7"/>
  <c r="O331" i="3" s="1"/>
  <c r="AK331" i="7"/>
  <c r="AN331" i="3" s="1"/>
  <c r="K331" i="3"/>
  <c r="I331" i="7"/>
  <c r="L331" i="3" s="1"/>
  <c r="J331" i="7"/>
  <c r="M331" i="3" s="1"/>
  <c r="AC331" i="7"/>
  <c r="K348" i="7"/>
  <c r="N348" i="3" s="1"/>
  <c r="H854" i="10"/>
  <c r="J359" i="7"/>
  <c r="M359" i="3" s="1"/>
  <c r="I359" i="7"/>
  <c r="L359" i="3" s="1"/>
  <c r="AV359" i="7"/>
  <c r="AY359" i="3" s="1"/>
  <c r="L359" i="7"/>
  <c r="O359" i="3" s="1"/>
  <c r="K359" i="3"/>
  <c r="AK359" i="7"/>
  <c r="AN359" i="3" s="1"/>
  <c r="AJ359" i="7"/>
  <c r="AM359" i="3" s="1"/>
  <c r="H897" i="10"/>
  <c r="AJ402" i="7"/>
  <c r="AM402" i="3" s="1"/>
  <c r="AK402" i="7"/>
  <c r="AN402" i="3" s="1"/>
  <c r="AC402" i="7"/>
  <c r="K402" i="3"/>
  <c r="AV402" i="7"/>
  <c r="AY402" i="3" s="1"/>
  <c r="AT402" i="7"/>
  <c r="AW402" i="3" s="1"/>
  <c r="AS402" i="7"/>
  <c r="AV402" i="3" s="1"/>
  <c r="H903" i="10"/>
  <c r="BY903" i="10" s="1"/>
  <c r="AV408" i="7"/>
  <c r="AY408" i="3" s="1"/>
  <c r="J408" i="7"/>
  <c r="M408" i="3" s="1"/>
  <c r="AJ408" i="7"/>
  <c r="AM408" i="3" s="1"/>
  <c r="AK408" i="7"/>
  <c r="AN408" i="3" s="1"/>
  <c r="K408" i="3"/>
  <c r="L408" i="7"/>
  <c r="O408" i="3" s="1"/>
  <c r="I408" i="7"/>
  <c r="L408" i="3" s="1"/>
  <c r="C6" i="8"/>
  <c r="D6" i="8" s="1"/>
  <c r="D275" i="8" s="1"/>
  <c r="AO342" i="10"/>
  <c r="I771" i="19"/>
  <c r="Q842" i="10"/>
  <c r="BB842" i="10"/>
  <c r="BC842" i="10" s="1"/>
  <c r="BX842" i="10"/>
  <c r="T842" i="10"/>
  <c r="R842" i="10"/>
  <c r="N842" i="10"/>
  <c r="I111" i="7"/>
  <c r="L111" i="3" s="1"/>
  <c r="AG295" i="7"/>
  <c r="AT308" i="7"/>
  <c r="AW308" i="3" s="1"/>
  <c r="AS308" i="7"/>
  <c r="AV308" i="3" s="1"/>
  <c r="I402" i="7"/>
  <c r="L402" i="3" s="1"/>
  <c r="AO103" i="10"/>
  <c r="H580" i="10"/>
  <c r="L85" i="7"/>
  <c r="O85" i="3" s="1"/>
  <c r="K85" i="3"/>
  <c r="AK85" i="7"/>
  <c r="AN85" i="3" s="1"/>
  <c r="AJ85" i="7"/>
  <c r="AM85" i="3" s="1"/>
  <c r="I85" i="7"/>
  <c r="L85" i="3" s="1"/>
  <c r="J85" i="7"/>
  <c r="AC85" i="7"/>
  <c r="J402" i="7"/>
  <c r="AO205" i="10"/>
  <c r="AG17" i="7"/>
  <c r="J34" i="7"/>
  <c r="AG191" i="7"/>
  <c r="Y262" i="11"/>
  <c r="P282" i="8"/>
  <c r="H695" i="10"/>
  <c r="N36" i="9"/>
  <c r="AG211" i="7"/>
  <c r="AC209" i="7"/>
  <c r="AG228" i="7"/>
  <c r="AC226" i="7"/>
  <c r="AG206" i="7"/>
  <c r="AC204" i="7"/>
  <c r="J200" i="7"/>
  <c r="O282" i="8"/>
  <c r="AC228" i="7"/>
  <c r="AG208" i="7"/>
  <c r="AC206" i="7"/>
  <c r="AC223" i="7"/>
  <c r="AC216" i="7"/>
  <c r="AG201" i="7"/>
  <c r="AJ201" i="3" s="1"/>
  <c r="AK200" i="7"/>
  <c r="AN200" i="3" s="1"/>
  <c r="AG222" i="7"/>
  <c r="AG215" i="7"/>
  <c r="AC212" i="7"/>
  <c r="AC208" i="7"/>
  <c r="AG204" i="7"/>
  <c r="AJ204" i="3" s="1"/>
  <c r="AJ200" i="7"/>
  <c r="AM200" i="3" s="1"/>
  <c r="AG207" i="7"/>
  <c r="AG200" i="7"/>
  <c r="AJ200" i="3" s="1"/>
  <c r="AG223" i="7"/>
  <c r="AG213" i="7"/>
  <c r="R282" i="8"/>
  <c r="AC214" i="7"/>
  <c r="Q282" i="8"/>
  <c r="N282" i="8"/>
  <c r="AG221" i="7"/>
  <c r="AG212" i="7"/>
  <c r="AG210" i="7"/>
  <c r="M282" i="8"/>
  <c r="C13" i="8"/>
  <c r="AV200" i="7"/>
  <c r="AY200" i="3" s="1"/>
  <c r="AG216" i="7"/>
  <c r="AG214" i="7"/>
  <c r="AG217" i="7"/>
  <c r="AG218" i="7"/>
  <c r="AG219" i="7"/>
  <c r="AG205" i="7"/>
  <c r="AG203" i="7"/>
  <c r="AJ203" i="3" s="1"/>
  <c r="AC227" i="7"/>
  <c r="AG220" i="7"/>
  <c r="AG224" i="7"/>
  <c r="AC200" i="7"/>
  <c r="H819" i="10"/>
  <c r="L324" i="7"/>
  <c r="O324" i="3" s="1"/>
  <c r="I324" i="7"/>
  <c r="L324" i="3" s="1"/>
  <c r="AC324" i="7"/>
  <c r="K324" i="3"/>
  <c r="AK324" i="7"/>
  <c r="AN324" i="3" s="1"/>
  <c r="AJ324" i="7"/>
  <c r="AM324" i="3" s="1"/>
  <c r="AV324" i="7"/>
  <c r="AY324" i="3" s="1"/>
  <c r="H914" i="10"/>
  <c r="AK419" i="7"/>
  <c r="AN419" i="3" s="1"/>
  <c r="AJ419" i="7"/>
  <c r="AM419" i="3" s="1"/>
  <c r="L419" i="7"/>
  <c r="O419" i="3" s="1"/>
  <c r="J419" i="7"/>
  <c r="M419" i="3" s="1"/>
  <c r="D233" i="8"/>
  <c r="K26" i="35"/>
  <c r="M26" i="35"/>
  <c r="AO179" i="10"/>
  <c r="K200" i="3"/>
  <c r="J5" i="7"/>
  <c r="H549" i="10"/>
  <c r="AK54" i="7"/>
  <c r="AN54" i="3" s="1"/>
  <c r="J54" i="7"/>
  <c r="M54" i="3" s="1"/>
  <c r="I54" i="7"/>
  <c r="L54" i="3" s="1"/>
  <c r="K54" i="3"/>
  <c r="AC54" i="7"/>
  <c r="L54" i="7"/>
  <c r="O54" i="3" s="1"/>
  <c r="AJ54" i="7"/>
  <c r="AM54" i="3" s="1"/>
  <c r="AV290" i="7"/>
  <c r="AY290" i="3" s="1"/>
  <c r="J290" i="7"/>
  <c r="M290" i="3" s="1"/>
  <c r="H785" i="10"/>
  <c r="K290" i="3"/>
  <c r="AC290" i="7"/>
  <c r="AJ290" i="7"/>
  <c r="AM290" i="3" s="1"/>
  <c r="AK290" i="7"/>
  <c r="AN290" i="3" s="1"/>
  <c r="L290" i="7"/>
  <c r="O290" i="3" s="1"/>
  <c r="I290" i="7"/>
  <c r="L290" i="3" s="1"/>
  <c r="AG381" i="7"/>
  <c r="H911" i="10"/>
  <c r="I416" i="7"/>
  <c r="L416" i="3" s="1"/>
  <c r="AK416" i="7"/>
  <c r="AN416" i="3" s="1"/>
  <c r="AJ416" i="7"/>
  <c r="N75" i="9"/>
  <c r="AC416" i="7"/>
  <c r="K416" i="3"/>
  <c r="AV416" i="7"/>
  <c r="AY416" i="3" s="1"/>
  <c r="AX12" i="9"/>
  <c r="AY12" i="9" s="1"/>
  <c r="H14" i="34"/>
  <c r="CP512" i="10"/>
  <c r="CO512" i="10"/>
  <c r="O14" i="34" s="1"/>
  <c r="CQ512" i="10"/>
  <c r="M14" i="34" s="1"/>
  <c r="K335" i="3"/>
  <c r="I38" i="7"/>
  <c r="L38" i="3" s="1"/>
  <c r="L142" i="7"/>
  <c r="I155" i="7"/>
  <c r="L155" i="3" s="1"/>
  <c r="AB260" i="11"/>
  <c r="H653" i="10"/>
  <c r="AV158" i="7"/>
  <c r="AY158" i="3" s="1"/>
  <c r="J158" i="7"/>
  <c r="M158" i="3" s="1"/>
  <c r="AJ158" i="7"/>
  <c r="AK158" i="7"/>
  <c r="AN158" i="3" s="1"/>
  <c r="I158" i="7"/>
  <c r="L158" i="3" s="1"/>
  <c r="L158" i="7"/>
  <c r="O158" i="3" s="1"/>
  <c r="AN377" i="3"/>
  <c r="H893" i="10"/>
  <c r="AC269" i="11"/>
  <c r="AV398" i="7"/>
  <c r="AY398" i="3" s="1"/>
  <c r="L398" i="7"/>
  <c r="O398" i="3" s="1"/>
  <c r="J398" i="7"/>
  <c r="M398" i="3" s="1"/>
  <c r="AC398" i="7"/>
  <c r="K398" i="3"/>
  <c r="AK398" i="7"/>
  <c r="AN398" i="3" s="1"/>
  <c r="AX34" i="9"/>
  <c r="AY34" i="9" s="1"/>
  <c r="AC21" i="7"/>
  <c r="I110" i="7"/>
  <c r="L110" i="3" s="1"/>
  <c r="AG152" i="7"/>
  <c r="I212" i="7"/>
  <c r="L212" i="3" s="1"/>
  <c r="U729" i="10"/>
  <c r="I234" i="7"/>
  <c r="L234" i="3" s="1"/>
  <c r="AC408" i="7"/>
  <c r="D227" i="8"/>
  <c r="AX32" i="9"/>
  <c r="AY32" i="9" s="1"/>
  <c r="J49" i="7"/>
  <c r="H572" i="10"/>
  <c r="K77" i="3"/>
  <c r="AK77" i="7"/>
  <c r="AN77" i="3" s="1"/>
  <c r="J77" i="7"/>
  <c r="M77" i="3" s="1"/>
  <c r="I77" i="7"/>
  <c r="L77" i="3" s="1"/>
  <c r="AV77" i="7"/>
  <c r="AY77" i="3" s="1"/>
  <c r="L77" i="7"/>
  <c r="O77" i="3" s="1"/>
  <c r="J110" i="7"/>
  <c r="K237" i="7"/>
  <c r="N237" i="3" s="1"/>
  <c r="AC306" i="7"/>
  <c r="AC359" i="7"/>
  <c r="L416" i="7"/>
  <c r="R289" i="8"/>
  <c r="I96" i="34"/>
  <c r="H582" i="10"/>
  <c r="AV87" i="7"/>
  <c r="AY87" i="3" s="1"/>
  <c r="L87" i="7"/>
  <c r="O87" i="3" s="1"/>
  <c r="I87" i="7"/>
  <c r="L87" i="3" s="1"/>
  <c r="AC87" i="7"/>
  <c r="J87" i="7"/>
  <c r="M87" i="3" s="1"/>
  <c r="AC222" i="7"/>
  <c r="I341" i="7"/>
  <c r="L341" i="3" s="1"/>
  <c r="H856" i="10"/>
  <c r="I361" i="7"/>
  <c r="L361" i="3" s="1"/>
  <c r="AJ361" i="7"/>
  <c r="AM361" i="3" s="1"/>
  <c r="AK361" i="7"/>
  <c r="AN361" i="3" s="1"/>
  <c r="L361" i="7"/>
  <c r="O361" i="3" s="1"/>
  <c r="J361" i="7"/>
  <c r="M361" i="3" s="1"/>
  <c r="AV361" i="7"/>
  <c r="AY361" i="3" s="1"/>
  <c r="AJ389" i="7"/>
  <c r="AM389" i="3" s="1"/>
  <c r="G45" i="35"/>
  <c r="CT48" i="9"/>
  <c r="CW48" i="9"/>
  <c r="L45" i="35" s="1"/>
  <c r="CV48" i="9"/>
  <c r="CU48" i="9"/>
  <c r="N45" i="35" s="1"/>
  <c r="I7" i="7"/>
  <c r="L7" i="3" s="1"/>
  <c r="AV7" i="7"/>
  <c r="AY7" i="3" s="1"/>
  <c r="L7" i="7"/>
  <c r="O7" i="3" s="1"/>
  <c r="H502" i="10"/>
  <c r="AC7" i="7"/>
  <c r="K7" i="3"/>
  <c r="AG284" i="7"/>
  <c r="AV294" i="7"/>
  <c r="AY294" i="3" s="1"/>
  <c r="H789" i="10"/>
  <c r="L294" i="7"/>
  <c r="AJ294" i="7"/>
  <c r="AK294" i="7"/>
  <c r="AN294" i="3" s="1"/>
  <c r="G11" i="35"/>
  <c r="CW14" i="9"/>
  <c r="L11" i="35" s="1"/>
  <c r="CV14" i="9"/>
  <c r="CU14" i="9"/>
  <c r="N11" i="35" s="1"/>
  <c r="CT14" i="9"/>
  <c r="N19" i="9"/>
  <c r="J7" i="7"/>
  <c r="M7" i="3" s="1"/>
  <c r="H505" i="10"/>
  <c r="AK10" i="7"/>
  <c r="AN10" i="3" s="1"/>
  <c r="AV10" i="7"/>
  <c r="AY10" i="3" s="1"/>
  <c r="J10" i="7"/>
  <c r="M10" i="3" s="1"/>
  <c r="AC10" i="7"/>
  <c r="AJ10" i="7"/>
  <c r="H513" i="10"/>
  <c r="AK18" i="7"/>
  <c r="AN18" i="3" s="1"/>
  <c r="AJ18" i="7"/>
  <c r="AC18" i="7"/>
  <c r="H625" i="10"/>
  <c r="AJ130" i="7"/>
  <c r="AM130" i="3" s="1"/>
  <c r="AV130" i="7"/>
  <c r="AY130" i="3" s="1"/>
  <c r="N24" i="9"/>
  <c r="AS130" i="7"/>
  <c r="AV130" i="3" s="1"/>
  <c r="AL130" i="7"/>
  <c r="K130" i="3"/>
  <c r="J130" i="7"/>
  <c r="M130" i="3" s="1"/>
  <c r="L130" i="7"/>
  <c r="I130" i="7"/>
  <c r="L130" i="3" s="1"/>
  <c r="AG169" i="7"/>
  <c r="AJ176" i="7"/>
  <c r="AM176" i="3" s="1"/>
  <c r="AC280" i="7"/>
  <c r="H778" i="10"/>
  <c r="L283" i="7"/>
  <c r="AK283" i="7"/>
  <c r="AN283" i="3" s="1"/>
  <c r="K283" i="3"/>
  <c r="J283" i="7"/>
  <c r="M283" i="3" s="1"/>
  <c r="AC287" i="7"/>
  <c r="AG292" i="7"/>
  <c r="AG291" i="7"/>
  <c r="Q285" i="8"/>
  <c r="P285" i="8"/>
  <c r="R285" i="8"/>
  <c r="AG293" i="7"/>
  <c r="AJ283" i="7"/>
  <c r="AM283" i="3" s="1"/>
  <c r="AC283" i="7"/>
  <c r="I294" i="7"/>
  <c r="L294" i="3" s="1"/>
  <c r="H808" i="10"/>
  <c r="J313" i="7"/>
  <c r="M313" i="3" s="1"/>
  <c r="I313" i="7"/>
  <c r="L313" i="3" s="1"/>
  <c r="AV313" i="7"/>
  <c r="AY313" i="3" s="1"/>
  <c r="L313" i="7"/>
  <c r="O313" i="3" s="1"/>
  <c r="AK313" i="7"/>
  <c r="AN313" i="3" s="1"/>
  <c r="H71" i="35"/>
  <c r="J294" i="7"/>
  <c r="M294" i="3" s="1"/>
  <c r="AK384" i="7"/>
  <c r="AN384" i="3" s="1"/>
  <c r="C10" i="8"/>
  <c r="D10" i="8" s="1"/>
  <c r="D279" i="8" s="1"/>
  <c r="AG67" i="7"/>
  <c r="AK139" i="7"/>
  <c r="AN139" i="3" s="1"/>
  <c r="AK159" i="7"/>
  <c r="AN159" i="3" s="1"/>
  <c r="AC313" i="7"/>
  <c r="AG375" i="7"/>
  <c r="AJ375" i="3" s="1"/>
  <c r="H907" i="10"/>
  <c r="L412" i="7"/>
  <c r="AV412" i="7"/>
  <c r="AY412" i="3" s="1"/>
  <c r="I412" i="7"/>
  <c r="L412" i="3" s="1"/>
  <c r="AK412" i="7"/>
  <c r="AN412" i="3" s="1"/>
  <c r="AJ412" i="7"/>
  <c r="AS412" i="7" s="1"/>
  <c r="AV412" i="3" s="1"/>
  <c r="AC424" i="7"/>
  <c r="R275" i="8"/>
  <c r="P290" i="8"/>
  <c r="N21" i="9"/>
  <c r="AX29" i="9"/>
  <c r="AY29" i="9" s="1"/>
  <c r="G34" i="35"/>
  <c r="CW37" i="9"/>
  <c r="L34" i="35" s="1"/>
  <c r="CV37" i="9"/>
  <c r="CU37" i="9"/>
  <c r="N34" i="35" s="1"/>
  <c r="CT37" i="9"/>
  <c r="H118" i="34"/>
  <c r="CO616" i="10"/>
  <c r="O118" i="34" s="1"/>
  <c r="CP616" i="10"/>
  <c r="CQ616" i="10"/>
  <c r="M118" i="34" s="1"/>
  <c r="G863" i="10"/>
  <c r="G365" i="34" s="1"/>
  <c r="K322" i="3"/>
  <c r="AV8" i="7"/>
  <c r="AY8" i="3" s="1"/>
  <c r="L10" i="7"/>
  <c r="O10" i="3" s="1"/>
  <c r="AK74" i="7"/>
  <c r="AN74" i="3" s="1"/>
  <c r="AV85" i="7"/>
  <c r="AY85" i="3" s="1"/>
  <c r="AC98" i="7"/>
  <c r="AK121" i="7"/>
  <c r="AN121" i="3" s="1"/>
  <c r="AC144" i="7"/>
  <c r="O157" i="3"/>
  <c r="H673" i="10"/>
  <c r="J178" i="7"/>
  <c r="M178" i="3" s="1"/>
  <c r="AJ178" i="7"/>
  <c r="AM178" i="3" s="1"/>
  <c r="AC178" i="7"/>
  <c r="AK178" i="7"/>
  <c r="AN178" i="3" s="1"/>
  <c r="AV178" i="7"/>
  <c r="AY178" i="3" s="1"/>
  <c r="AK183" i="7"/>
  <c r="AN183" i="3" s="1"/>
  <c r="I185" i="7"/>
  <c r="L185" i="3" s="1"/>
  <c r="H680" i="10"/>
  <c r="AJ185" i="7"/>
  <c r="AM185" i="3" s="1"/>
  <c r="AK185" i="7"/>
  <c r="AN185" i="3" s="1"/>
  <c r="J185" i="7"/>
  <c r="M185" i="3" s="1"/>
  <c r="AC185" i="7"/>
  <c r="AC225" i="7"/>
  <c r="H723" i="10"/>
  <c r="L228" i="7"/>
  <c r="O228" i="3" s="1"/>
  <c r="J228" i="7"/>
  <c r="M228" i="3" s="1"/>
  <c r="AJ228" i="7"/>
  <c r="AM228" i="3" s="1"/>
  <c r="H731" i="10"/>
  <c r="L236" i="7"/>
  <c r="O236" i="3" s="1"/>
  <c r="AJ236" i="7"/>
  <c r="AK236" i="7"/>
  <c r="AN236" i="3" s="1"/>
  <c r="AC236" i="7"/>
  <c r="N41" i="9"/>
  <c r="AG336" i="7"/>
  <c r="H861" i="10"/>
  <c r="L366" i="7"/>
  <c r="O366" i="3" s="1"/>
  <c r="I366" i="7"/>
  <c r="L366" i="3" s="1"/>
  <c r="AK366" i="7"/>
  <c r="AN366" i="3" s="1"/>
  <c r="AJ366" i="7"/>
  <c r="AM366" i="3" s="1"/>
  <c r="AV366" i="7"/>
  <c r="AY366" i="3" s="1"/>
  <c r="K366" i="3"/>
  <c r="J366" i="7"/>
  <c r="I372" i="7"/>
  <c r="L372" i="3" s="1"/>
  <c r="J372" i="7"/>
  <c r="AC372" i="7"/>
  <c r="AJ372" i="7"/>
  <c r="AK372" i="7"/>
  <c r="AN372" i="3" s="1"/>
  <c r="H867" i="10"/>
  <c r="AG376" i="7"/>
  <c r="AJ376" i="3" s="1"/>
  <c r="H886" i="10"/>
  <c r="L391" i="7"/>
  <c r="O391" i="3" s="1"/>
  <c r="AV391" i="7"/>
  <c r="AY391" i="3" s="1"/>
  <c r="K391" i="3"/>
  <c r="AC391" i="7"/>
  <c r="AJ391" i="7"/>
  <c r="AM391" i="3" s="1"/>
  <c r="J391" i="7"/>
  <c r="I391" i="7"/>
  <c r="L391" i="3" s="1"/>
  <c r="AK391" i="7"/>
  <c r="AN391" i="3" s="1"/>
  <c r="H902" i="10"/>
  <c r="Y270" i="11"/>
  <c r="AG417" i="7"/>
  <c r="AC415" i="7"/>
  <c r="AC427" i="7"/>
  <c r="AG407" i="7"/>
  <c r="AJ407" i="3" s="1"/>
  <c r="Q290" i="8"/>
  <c r="AG414" i="7"/>
  <c r="AC412" i="7"/>
  <c r="AG424" i="7"/>
  <c r="AG413" i="7"/>
  <c r="AG427" i="7"/>
  <c r="AG420" i="7"/>
  <c r="AV407" i="7"/>
  <c r="AY407" i="3" s="1"/>
  <c r="I407" i="7"/>
  <c r="AG419" i="7"/>
  <c r="AG408" i="7"/>
  <c r="AJ408" i="3" s="1"/>
  <c r="AG425" i="7"/>
  <c r="AG416" i="7"/>
  <c r="AG409" i="7"/>
  <c r="AJ409" i="3" s="1"/>
  <c r="AG415" i="7"/>
  <c r="AJ407" i="7"/>
  <c r="AG411" i="7"/>
  <c r="R290" i="8"/>
  <c r="AG421" i="7"/>
  <c r="AG410" i="7"/>
  <c r="AJ410" i="3" s="1"/>
  <c r="AG412" i="7"/>
  <c r="AC407" i="7"/>
  <c r="AG418" i="7"/>
  <c r="N73" i="9"/>
  <c r="J407" i="7"/>
  <c r="AG426" i="7"/>
  <c r="N290" i="8"/>
  <c r="AC426" i="7"/>
  <c r="M290" i="8"/>
  <c r="AC421" i="7"/>
  <c r="AC428" i="7"/>
  <c r="AC425" i="7"/>
  <c r="AG422" i="7"/>
  <c r="AC422" i="7"/>
  <c r="H904" i="10"/>
  <c r="AK409" i="7"/>
  <c r="AN409" i="3" s="1"/>
  <c r="AC409" i="7"/>
  <c r="AJ409" i="7"/>
  <c r="L409" i="7"/>
  <c r="O409" i="3" s="1"/>
  <c r="J412" i="7"/>
  <c r="M412" i="3" s="1"/>
  <c r="AG428" i="7"/>
  <c r="G43" i="35"/>
  <c r="CW46" i="9"/>
  <c r="L43" i="35" s="1"/>
  <c r="CU46" i="9"/>
  <c r="N43" i="35" s="1"/>
  <c r="CV46" i="9"/>
  <c r="CT46" i="9"/>
  <c r="AO312" i="10"/>
  <c r="AO344" i="10"/>
  <c r="L28" i="34"/>
  <c r="CS526" i="10"/>
  <c r="N28" i="34" s="1"/>
  <c r="I119" i="7"/>
  <c r="L119" i="3" s="1"/>
  <c r="H614" i="10"/>
  <c r="L119" i="7"/>
  <c r="O119" i="3" s="1"/>
  <c r="AV119" i="7"/>
  <c r="AY119" i="3" s="1"/>
  <c r="K119" i="3"/>
  <c r="J119" i="7"/>
  <c r="M119" i="3" s="1"/>
  <c r="AK119" i="7"/>
  <c r="AN119" i="3" s="1"/>
  <c r="AJ119" i="7"/>
  <c r="AC119" i="7"/>
  <c r="I190" i="7"/>
  <c r="L190" i="3" s="1"/>
  <c r="I251" i="7"/>
  <c r="L251" i="3" s="1"/>
  <c r="AJ251" i="7"/>
  <c r="AM251" i="3" s="1"/>
  <c r="H746" i="10"/>
  <c r="AC251" i="7"/>
  <c r="J251" i="7"/>
  <c r="M251" i="3" s="1"/>
  <c r="L251" i="7"/>
  <c r="O251" i="3" s="1"/>
  <c r="L74" i="7"/>
  <c r="O74" i="3" s="1"/>
  <c r="N15" i="9"/>
  <c r="H569" i="10"/>
  <c r="AG93" i="7"/>
  <c r="I74" i="7"/>
  <c r="L74" i="3" s="1"/>
  <c r="AV74" i="7"/>
  <c r="AY74" i="3" s="1"/>
  <c r="K74" i="3"/>
  <c r="AG94" i="7"/>
  <c r="C8" i="8"/>
  <c r="AG85" i="7"/>
  <c r="AG73" i="7"/>
  <c r="AJ73" i="3" s="1"/>
  <c r="AG78" i="7"/>
  <c r="AJ74" i="7"/>
  <c r="H591" i="10"/>
  <c r="AK96" i="7"/>
  <c r="AN96" i="3" s="1"/>
  <c r="AJ96" i="7"/>
  <c r="AM96" i="3" s="1"/>
  <c r="K96" i="3"/>
  <c r="J96" i="7"/>
  <c r="I96" i="7"/>
  <c r="L96" i="3" s="1"/>
  <c r="AV96" i="7"/>
  <c r="AY96" i="3" s="1"/>
  <c r="H646" i="10"/>
  <c r="N28" i="9"/>
  <c r="L151" i="7"/>
  <c r="I151" i="7"/>
  <c r="L151" i="3" s="1"/>
  <c r="AV151" i="7"/>
  <c r="AY151" i="3" s="1"/>
  <c r="J151" i="7"/>
  <c r="M151" i="3" s="1"/>
  <c r="AK151" i="7"/>
  <c r="AN151" i="3" s="1"/>
  <c r="H649" i="10"/>
  <c r="BY649" i="10" s="1"/>
  <c r="AJ154" i="7"/>
  <c r="AK154" i="7"/>
  <c r="AN154" i="3" s="1"/>
  <c r="AC154" i="7"/>
  <c r="L154" i="7"/>
  <c r="O154" i="3" s="1"/>
  <c r="AG209" i="7"/>
  <c r="H711" i="10"/>
  <c r="AV216" i="7"/>
  <c r="AY216" i="3" s="1"/>
  <c r="L216" i="7"/>
  <c r="O216" i="3" s="1"/>
  <c r="J216" i="7"/>
  <c r="M216" i="3" s="1"/>
  <c r="AK216" i="7"/>
  <c r="AN216" i="3" s="1"/>
  <c r="AJ216" i="7"/>
  <c r="AM216" i="3" s="1"/>
  <c r="K216" i="3"/>
  <c r="AC413" i="7"/>
  <c r="K87" i="3"/>
  <c r="K270" i="3"/>
  <c r="AG51" i="7"/>
  <c r="AJ51" i="3" s="1"/>
  <c r="L110" i="7"/>
  <c r="AJ186" i="7"/>
  <c r="AM186" i="3" s="1"/>
  <c r="AC203" i="7"/>
  <c r="AG264" i="7"/>
  <c r="H764" i="10"/>
  <c r="AC269" i="7"/>
  <c r="AJ269" i="7"/>
  <c r="AK269" i="7"/>
  <c r="AN269" i="3" s="1"/>
  <c r="K269" i="3"/>
  <c r="J269" i="7"/>
  <c r="M269" i="3" s="1"/>
  <c r="L269" i="7"/>
  <c r="O269" i="3" s="1"/>
  <c r="AO369" i="10"/>
  <c r="AC20" i="7"/>
  <c r="L28" i="7"/>
  <c r="O28" i="3" s="1"/>
  <c r="J37" i="7"/>
  <c r="M37" i="3" s="1"/>
  <c r="J43" i="7"/>
  <c r="M43" i="3" s="1"/>
  <c r="AG133" i="7"/>
  <c r="J154" i="7"/>
  <c r="M154" i="3" s="1"/>
  <c r="J211" i="7"/>
  <c r="M211" i="3" s="1"/>
  <c r="I269" i="7"/>
  <c r="L269" i="3" s="1"/>
  <c r="AC361" i="7"/>
  <c r="N23" i="9"/>
  <c r="AG103" i="7"/>
  <c r="Q275" i="8"/>
  <c r="AX59" i="9"/>
  <c r="AY59" i="9" s="1"/>
  <c r="M73" i="35"/>
  <c r="K73" i="35"/>
  <c r="K18" i="3"/>
  <c r="H561" i="10"/>
  <c r="AV66" i="7"/>
  <c r="AY66" i="3" s="1"/>
  <c r="L66" i="7"/>
  <c r="O66" i="3" s="1"/>
  <c r="I66" i="7"/>
  <c r="L66" i="3" s="1"/>
  <c r="J66" i="7"/>
  <c r="M66" i="3" s="1"/>
  <c r="K66" i="3"/>
  <c r="AG151" i="7"/>
  <c r="AV243" i="7"/>
  <c r="AY243" i="3" s="1"/>
  <c r="AK243" i="7"/>
  <c r="AN243" i="3" s="1"/>
  <c r="AJ243" i="7"/>
  <c r="K243" i="3"/>
  <c r="H738" i="10"/>
  <c r="L243" i="7"/>
  <c r="O243" i="3" s="1"/>
  <c r="J243" i="7"/>
  <c r="M243" i="3" s="1"/>
  <c r="I243" i="7"/>
  <c r="L243" i="3" s="1"/>
  <c r="AS243" i="7"/>
  <c r="AV243" i="3" s="1"/>
  <c r="H751" i="10"/>
  <c r="L256" i="7"/>
  <c r="O256" i="3" s="1"/>
  <c r="AJ256" i="7"/>
  <c r="AM256" i="3" s="1"/>
  <c r="AC256" i="7"/>
  <c r="I256" i="7"/>
  <c r="L256" i="3" s="1"/>
  <c r="AV256" i="7"/>
  <c r="AY256" i="3" s="1"/>
  <c r="AK256" i="7"/>
  <c r="AN256" i="3" s="1"/>
  <c r="AC309" i="7"/>
  <c r="AV322" i="7"/>
  <c r="AY322" i="3" s="1"/>
  <c r="AX42" i="9"/>
  <c r="AY42" i="9" s="1"/>
  <c r="AG45" i="7"/>
  <c r="AG148" i="7"/>
  <c r="AJ148" i="3" s="1"/>
  <c r="AG202" i="7"/>
  <c r="AJ202" i="3" s="1"/>
  <c r="AC243" i="7"/>
  <c r="H747" i="10"/>
  <c r="AK252" i="7"/>
  <c r="AN252" i="3" s="1"/>
  <c r="AJ252" i="7"/>
  <c r="L252" i="7"/>
  <c r="O252" i="3" s="1"/>
  <c r="K252" i="3"/>
  <c r="AC263" i="7"/>
  <c r="AC276" i="7"/>
  <c r="H800" i="10"/>
  <c r="L305" i="7"/>
  <c r="O305" i="3" s="1"/>
  <c r="AK305" i="7"/>
  <c r="J305" i="7"/>
  <c r="M305" i="3" s="1"/>
  <c r="AV305" i="7"/>
  <c r="AY305" i="3" s="1"/>
  <c r="I305" i="7"/>
  <c r="L305" i="3" s="1"/>
  <c r="AJ305" i="7"/>
  <c r="AM305" i="3" s="1"/>
  <c r="K305" i="3"/>
  <c r="H813" i="10"/>
  <c r="AK318" i="7"/>
  <c r="AN318" i="3" s="1"/>
  <c r="AJ318" i="7"/>
  <c r="AM318" i="3" s="1"/>
  <c r="K318" i="3"/>
  <c r="J318" i="7"/>
  <c r="I318" i="7"/>
  <c r="L318" i="3" s="1"/>
  <c r="AV318" i="7"/>
  <c r="AY318" i="3" s="1"/>
  <c r="AG330" i="7"/>
  <c r="H835" i="10"/>
  <c r="AK340" i="7"/>
  <c r="AN340" i="3" s="1"/>
  <c r="AJ340" i="7"/>
  <c r="AM340" i="3" s="1"/>
  <c r="N61" i="9"/>
  <c r="AV340" i="7"/>
  <c r="AY340" i="3" s="1"/>
  <c r="AT340" i="7"/>
  <c r="AW340" i="3" s="1"/>
  <c r="K340" i="3"/>
  <c r="AC340" i="7"/>
  <c r="AC344" i="7"/>
  <c r="Y268" i="11"/>
  <c r="H841" i="10"/>
  <c r="R288" i="8"/>
  <c r="AC371" i="7"/>
  <c r="P288" i="8"/>
  <c r="O288" i="8"/>
  <c r="M288" i="8"/>
  <c r="AG371" i="7"/>
  <c r="AG360" i="7"/>
  <c r="AC358" i="7"/>
  <c r="N288" i="8"/>
  <c r="AC360" i="7"/>
  <c r="L346" i="7"/>
  <c r="AG347" i="7"/>
  <c r="AJ347" i="3" s="1"/>
  <c r="I346" i="7"/>
  <c r="AG362" i="7"/>
  <c r="AG358" i="7"/>
  <c r="AG354" i="7"/>
  <c r="AG350" i="7"/>
  <c r="AJ350" i="3" s="1"/>
  <c r="Q288" i="8"/>
  <c r="AG367" i="7"/>
  <c r="AC346" i="7"/>
  <c r="AG357" i="7"/>
  <c r="AG349" i="7"/>
  <c r="AJ349" i="3" s="1"/>
  <c r="AG370" i="7"/>
  <c r="AK346" i="7"/>
  <c r="AN346" i="3" s="1"/>
  <c r="AG369" i="7"/>
  <c r="AC351" i="7"/>
  <c r="AG348" i="7"/>
  <c r="AJ348" i="3" s="1"/>
  <c r="AJ346" i="7"/>
  <c r="K346" i="3"/>
  <c r="AG372" i="7"/>
  <c r="AG365" i="7"/>
  <c r="AG364" i="7"/>
  <c r="AC348" i="7"/>
  <c r="AG368" i="7"/>
  <c r="AG366" i="7"/>
  <c r="AG346" i="7"/>
  <c r="AJ346" i="3" s="1"/>
  <c r="N62" i="9"/>
  <c r="C19" i="8"/>
  <c r="AG359" i="7"/>
  <c r="J346" i="7"/>
  <c r="AG351" i="7"/>
  <c r="AC356" i="7"/>
  <c r="AG361" i="7"/>
  <c r="AG352" i="7"/>
  <c r="I409" i="7"/>
  <c r="L409" i="3" s="1"/>
  <c r="K187" i="8"/>
  <c r="K36" i="35"/>
  <c r="M36" i="35"/>
  <c r="K10" i="3"/>
  <c r="K9" i="3"/>
  <c r="I9" i="7"/>
  <c r="L9" i="3" s="1"/>
  <c r="AK9" i="7"/>
  <c r="AN9" i="3" s="1"/>
  <c r="AJ9" i="7"/>
  <c r="AC9" i="7"/>
  <c r="H504" i="10"/>
  <c r="L9" i="7"/>
  <c r="O9" i="3" s="1"/>
  <c r="AG24" i="7"/>
  <c r="AJ24" i="3" s="1"/>
  <c r="I27" i="7"/>
  <c r="AK32" i="7"/>
  <c r="AN32" i="3" s="1"/>
  <c r="AV32" i="7"/>
  <c r="AY32" i="3" s="1"/>
  <c r="L32" i="7"/>
  <c r="O32" i="3" s="1"/>
  <c r="AT32" i="7"/>
  <c r="AW32" i="3" s="1"/>
  <c r="K32" i="3"/>
  <c r="J32" i="7"/>
  <c r="M32" i="3" s="1"/>
  <c r="I32" i="7"/>
  <c r="L32" i="3" s="1"/>
  <c r="AC32" i="7"/>
  <c r="AG33" i="7"/>
  <c r="AK38" i="7"/>
  <c r="AN38" i="3" s="1"/>
  <c r="AC49" i="7"/>
  <c r="AJ77" i="7"/>
  <c r="AM77" i="3" s="1"/>
  <c r="AJ86" i="7"/>
  <c r="AK86" i="7"/>
  <c r="AN86" i="3" s="1"/>
  <c r="AC86" i="7"/>
  <c r="H581" i="10"/>
  <c r="K86" i="3"/>
  <c r="J86" i="7"/>
  <c r="I86" i="7"/>
  <c r="L86" i="3" s="1"/>
  <c r="AC110" i="7"/>
  <c r="I123" i="7"/>
  <c r="AC124" i="7"/>
  <c r="AC131" i="7"/>
  <c r="H635" i="10"/>
  <c r="AV140" i="7"/>
  <c r="AY140" i="3" s="1"/>
  <c r="AL140" i="7"/>
  <c r="L140" i="7"/>
  <c r="O140" i="3" s="1"/>
  <c r="K140" i="3"/>
  <c r="I140" i="7"/>
  <c r="L140" i="3" s="1"/>
  <c r="AT140" i="7"/>
  <c r="AW140" i="3" s="1"/>
  <c r="AJ151" i="7"/>
  <c r="AM151" i="3" s="1"/>
  <c r="AG165" i="7"/>
  <c r="L178" i="7"/>
  <c r="O178" i="3" s="1"/>
  <c r="AK179" i="7"/>
  <c r="AN179" i="3" s="1"/>
  <c r="H677" i="10"/>
  <c r="AK182" i="7"/>
  <c r="AN182" i="3" s="1"/>
  <c r="AJ182" i="7"/>
  <c r="L182" i="7"/>
  <c r="N33" i="9"/>
  <c r="J182" i="7"/>
  <c r="M182" i="3" s="1"/>
  <c r="K182" i="3"/>
  <c r="AV182" i="7"/>
  <c r="AY182" i="3" s="1"/>
  <c r="I182" i="7"/>
  <c r="L182" i="3" s="1"/>
  <c r="J236" i="7"/>
  <c r="I252" i="7"/>
  <c r="L252" i="3" s="1"/>
  <c r="H774" i="10"/>
  <c r="AK279" i="7"/>
  <c r="AN279" i="3" s="1"/>
  <c r="AJ279" i="7"/>
  <c r="L279" i="7"/>
  <c r="O279" i="3" s="1"/>
  <c r="J279" i="7"/>
  <c r="M279" i="3" s="1"/>
  <c r="AV279" i="7"/>
  <c r="AY279" i="3" s="1"/>
  <c r="I279" i="7"/>
  <c r="L279" i="3" s="1"/>
  <c r="H788" i="10"/>
  <c r="J293" i="7"/>
  <c r="I293" i="7"/>
  <c r="L293" i="3" s="1"/>
  <c r="AK293" i="7"/>
  <c r="AN293" i="3" s="1"/>
  <c r="AJ293" i="7"/>
  <c r="AC293" i="7"/>
  <c r="K293" i="3"/>
  <c r="U815" i="10"/>
  <c r="J320" i="7"/>
  <c r="M320" i="3" s="1"/>
  <c r="I340" i="7"/>
  <c r="L340" i="3" s="1"/>
  <c r="L372" i="7"/>
  <c r="O372" i="3" s="1"/>
  <c r="H898" i="10"/>
  <c r="I403" i="7"/>
  <c r="L403" i="3" s="1"/>
  <c r="K403" i="3"/>
  <c r="AK403" i="7"/>
  <c r="AN403" i="3" s="1"/>
  <c r="AJ403" i="7"/>
  <c r="AM403" i="3" s="1"/>
  <c r="AV403" i="7"/>
  <c r="AY403" i="3" s="1"/>
  <c r="AT403" i="7"/>
  <c r="AW403" i="3" s="1"/>
  <c r="AS403" i="7"/>
  <c r="AV403" i="3" s="1"/>
  <c r="J409" i="7"/>
  <c r="M409" i="3" s="1"/>
  <c r="H922" i="10"/>
  <c r="AV427" i="7"/>
  <c r="AY427" i="3" s="1"/>
  <c r="J427" i="7"/>
  <c r="L427" i="7"/>
  <c r="O427" i="3" s="1"/>
  <c r="K427" i="3"/>
  <c r="AJ427" i="7"/>
  <c r="O280" i="8"/>
  <c r="H527" i="10"/>
  <c r="H54" i="34"/>
  <c r="CQ552" i="10"/>
  <c r="M54" i="34" s="1"/>
  <c r="CP552" i="10"/>
  <c r="CO552" i="10"/>
  <c r="O54" i="34" s="1"/>
  <c r="H101" i="34"/>
  <c r="CQ599" i="10"/>
  <c r="M101" i="34" s="1"/>
  <c r="CP599" i="10"/>
  <c r="CO599" i="10"/>
  <c r="O101" i="34" s="1"/>
  <c r="AK213" i="7"/>
  <c r="AN213" i="3" s="1"/>
  <c r="AJ213" i="7"/>
  <c r="AT213" i="7" s="1"/>
  <c r="AW213" i="3" s="1"/>
  <c r="AV213" i="7"/>
  <c r="AY213" i="3" s="1"/>
  <c r="L213" i="7"/>
  <c r="O213" i="3" s="1"/>
  <c r="AS213" i="7"/>
  <c r="AV213" i="3" s="1"/>
  <c r="I213" i="7"/>
  <c r="L213" i="3" s="1"/>
  <c r="AC213" i="7"/>
  <c r="H708" i="10"/>
  <c r="H573" i="10"/>
  <c r="N16" i="9"/>
  <c r="I78" i="7"/>
  <c r="L78" i="3" s="1"/>
  <c r="AK78" i="7"/>
  <c r="AN78" i="3" s="1"/>
  <c r="AJ78" i="7"/>
  <c r="AM78" i="3" s="1"/>
  <c r="L78" i="7"/>
  <c r="AV78" i="7"/>
  <c r="AY78" i="3" s="1"/>
  <c r="AC78" i="7"/>
  <c r="AG82" i="7"/>
  <c r="AJ99" i="7"/>
  <c r="AM99" i="3" s="1"/>
  <c r="AK99" i="7"/>
  <c r="AN99" i="3" s="1"/>
  <c r="H594" i="10"/>
  <c r="L99" i="7"/>
  <c r="O99" i="3" s="1"/>
  <c r="I99" i="7"/>
  <c r="L99" i="3" s="1"/>
  <c r="J99" i="7"/>
  <c r="M99" i="3" s="1"/>
  <c r="AV99" i="7"/>
  <c r="AY99" i="3" s="1"/>
  <c r="K99" i="3"/>
  <c r="AM308" i="3"/>
  <c r="I34" i="7"/>
  <c r="L34" i="3" s="1"/>
  <c r="Y261" i="11"/>
  <c r="P281" i="8"/>
  <c r="N281" i="8"/>
  <c r="M281" i="8"/>
  <c r="N32" i="9"/>
  <c r="AG189" i="7"/>
  <c r="AC187" i="7"/>
  <c r="AG184" i="7"/>
  <c r="AC182" i="7"/>
  <c r="AG186" i="7"/>
  <c r="AC184" i="7"/>
  <c r="AG194" i="7"/>
  <c r="O281" i="8"/>
  <c r="R281" i="8"/>
  <c r="AG190" i="7"/>
  <c r="AC176" i="7"/>
  <c r="AC194" i="7"/>
  <c r="AG179" i="7"/>
  <c r="AJ179" i="3" s="1"/>
  <c r="Q281" i="8"/>
  <c r="AG197" i="7"/>
  <c r="AC183" i="7"/>
  <c r="AG193" i="7"/>
  <c r="AC190" i="7"/>
  <c r="AC186" i="7"/>
  <c r="AG182" i="7"/>
  <c r="AG188" i="7"/>
  <c r="AG177" i="7"/>
  <c r="AJ177" i="3" s="1"/>
  <c r="AG199" i="7"/>
  <c r="AG176" i="7"/>
  <c r="AJ176" i="3" s="1"/>
  <c r="AG187" i="7"/>
  <c r="H671" i="10"/>
  <c r="AG195" i="7"/>
  <c r="AC192" i="7"/>
  <c r="AG181" i="7"/>
  <c r="AG196" i="7"/>
  <c r="AG180" i="7"/>
  <c r="C12" i="8"/>
  <c r="AG198" i="7"/>
  <c r="J176" i="7"/>
  <c r="AC181" i="7"/>
  <c r="AC196" i="7"/>
  <c r="K176" i="3"/>
  <c r="L176" i="7"/>
  <c r="I176" i="7"/>
  <c r="J232" i="7"/>
  <c r="H812" i="10"/>
  <c r="I317" i="7"/>
  <c r="L317" i="3" s="1"/>
  <c r="AV317" i="7"/>
  <c r="AY317" i="3" s="1"/>
  <c r="L317" i="7"/>
  <c r="O317" i="3" s="1"/>
  <c r="J317" i="7"/>
  <c r="M317" i="3" s="1"/>
  <c r="AK317" i="7"/>
  <c r="AN317" i="3" s="1"/>
  <c r="AJ317" i="7"/>
  <c r="AC317" i="7"/>
  <c r="H879" i="10"/>
  <c r="I384" i="7"/>
  <c r="L384" i="3" s="1"/>
  <c r="J384" i="7"/>
  <c r="M384" i="3" s="1"/>
  <c r="AJ384" i="7"/>
  <c r="AM384" i="3" s="1"/>
  <c r="K384" i="3"/>
  <c r="Q289" i="8"/>
  <c r="P289" i="8"/>
  <c r="O289" i="8"/>
  <c r="AG379" i="7"/>
  <c r="L384" i="7"/>
  <c r="O384" i="3" s="1"/>
  <c r="I5" i="7"/>
  <c r="I12" i="7"/>
  <c r="L12" i="3" s="1"/>
  <c r="H546" i="10"/>
  <c r="I51" i="7"/>
  <c r="AK51" i="7"/>
  <c r="AN51" i="3" s="1"/>
  <c r="AG70" i="7"/>
  <c r="AG65" i="7"/>
  <c r="AG60" i="7"/>
  <c r="L51" i="7"/>
  <c r="J51" i="7"/>
  <c r="M51" i="3" s="1"/>
  <c r="AV51" i="7"/>
  <c r="AY51" i="3" s="1"/>
  <c r="AC63" i="7"/>
  <c r="R276" i="8"/>
  <c r="AG69" i="7"/>
  <c r="O276" i="8"/>
  <c r="AG50" i="7"/>
  <c r="AJ50" i="3" s="1"/>
  <c r="AG56" i="7"/>
  <c r="AJ51" i="7"/>
  <c r="AM51" i="3" s="1"/>
  <c r="C7" i="8"/>
  <c r="D7" i="8" s="1"/>
  <c r="D276" i="8" s="1"/>
  <c r="AG55" i="7"/>
  <c r="C394" i="8"/>
  <c r="D394" i="8" s="1"/>
  <c r="G18" i="35"/>
  <c r="CT21" i="9"/>
  <c r="CW21" i="9"/>
  <c r="L18" i="35" s="1"/>
  <c r="CV21" i="9"/>
  <c r="CU21" i="9"/>
  <c r="N18" i="35" s="1"/>
  <c r="AO233" i="10"/>
  <c r="I398" i="34"/>
  <c r="AG126" i="7"/>
  <c r="AJ126" i="3" s="1"/>
  <c r="AC298" i="7"/>
  <c r="AC411" i="7"/>
  <c r="G24" i="35"/>
  <c r="CW27" i="9"/>
  <c r="L24" i="35" s="1"/>
  <c r="CT27" i="9"/>
  <c r="CV27" i="9"/>
  <c r="CU27" i="9"/>
  <c r="N24" i="35" s="1"/>
  <c r="AG39" i="7"/>
  <c r="L80" i="7"/>
  <c r="O80" i="3" s="1"/>
  <c r="AV80" i="7"/>
  <c r="AY80" i="3" s="1"/>
  <c r="H575" i="10"/>
  <c r="AC80" i="7"/>
  <c r="I80" i="7"/>
  <c r="L80" i="3" s="1"/>
  <c r="J80" i="7"/>
  <c r="M80" i="3" s="1"/>
  <c r="AJ129" i="7"/>
  <c r="AM129" i="3" s="1"/>
  <c r="AM285" i="3"/>
  <c r="AT285" i="7"/>
  <c r="AW285" i="3" s="1"/>
  <c r="AG374" i="7"/>
  <c r="AJ374" i="3" s="1"/>
  <c r="AM381" i="3"/>
  <c r="H890" i="10"/>
  <c r="AB269" i="11"/>
  <c r="AJ395" i="7"/>
  <c r="AM395" i="3" s="1"/>
  <c r="AC395" i="7"/>
  <c r="L395" i="7"/>
  <c r="O395" i="3" s="1"/>
  <c r="J395" i="7"/>
  <c r="M395" i="3" s="1"/>
  <c r="I395" i="7"/>
  <c r="L395" i="3" s="1"/>
  <c r="AV395" i="7"/>
  <c r="AK395" i="7"/>
  <c r="AN395" i="3" s="1"/>
  <c r="O284" i="8"/>
  <c r="AO35" i="10"/>
  <c r="AC59" i="7"/>
  <c r="AK129" i="7"/>
  <c r="AN129" i="3" s="1"/>
  <c r="AC173" i="7"/>
  <c r="H701" i="10"/>
  <c r="J206" i="7"/>
  <c r="M206" i="3" s="1"/>
  <c r="I206" i="7"/>
  <c r="L206" i="3" s="1"/>
  <c r="AV206" i="7"/>
  <c r="AY206" i="3" s="1"/>
  <c r="AK206" i="7"/>
  <c r="AN206" i="3" s="1"/>
  <c r="N37" i="9"/>
  <c r="L206" i="7"/>
  <c r="AG226" i="7"/>
  <c r="AC284" i="7"/>
  <c r="H548" i="10"/>
  <c r="I53" i="7"/>
  <c r="AV53" i="7"/>
  <c r="AY53" i="3" s="1"/>
  <c r="AJ53" i="7"/>
  <c r="L53" i="7"/>
  <c r="O53" i="3" s="1"/>
  <c r="AG134" i="7"/>
  <c r="L179" i="7"/>
  <c r="O179" i="3" s="1"/>
  <c r="L197" i="7"/>
  <c r="O197" i="3" s="1"/>
  <c r="H712" i="10"/>
  <c r="L217" i="7"/>
  <c r="O217" i="3" s="1"/>
  <c r="AV217" i="7"/>
  <c r="AY217" i="3" s="1"/>
  <c r="J217" i="7"/>
  <c r="M217" i="3" s="1"/>
  <c r="I217" i="7"/>
  <c r="L217" i="3" s="1"/>
  <c r="AK217" i="7"/>
  <c r="AN217" i="3" s="1"/>
  <c r="AJ217" i="7"/>
  <c r="AM217" i="3" s="1"/>
  <c r="AC217" i="7"/>
  <c r="K217" i="3"/>
  <c r="H714" i="10"/>
  <c r="AV219" i="7"/>
  <c r="AY219" i="3" s="1"/>
  <c r="AC219" i="7"/>
  <c r="AK219" i="7"/>
  <c r="AN219" i="3" s="1"/>
  <c r="I219" i="7"/>
  <c r="L219" i="3" s="1"/>
  <c r="L219" i="7"/>
  <c r="J219" i="7"/>
  <c r="M219" i="3" s="1"/>
  <c r="J234" i="7"/>
  <c r="C21" i="8"/>
  <c r="D21" i="8" s="1"/>
  <c r="D290" i="8" s="1"/>
  <c r="J28" i="7"/>
  <c r="M28" i="3" s="1"/>
  <c r="H532" i="10"/>
  <c r="AJ37" i="7"/>
  <c r="K37" i="3"/>
  <c r="AK37" i="7"/>
  <c r="AN37" i="3" s="1"/>
  <c r="H559" i="10"/>
  <c r="K64" i="3"/>
  <c r="AK64" i="7"/>
  <c r="AN64" i="3" s="1"/>
  <c r="AJ64" i="7"/>
  <c r="AM64" i="3" s="1"/>
  <c r="L64" i="7"/>
  <c r="O64" i="3" s="1"/>
  <c r="J64" i="7"/>
  <c r="M64" i="3" s="1"/>
  <c r="I64" i="7"/>
  <c r="L64" i="3" s="1"/>
  <c r="AT64" i="7"/>
  <c r="AW64" i="3" s="1"/>
  <c r="AC64" i="7"/>
  <c r="AG80" i="7"/>
  <c r="K106" i="7"/>
  <c r="N106" i="3" s="1"/>
  <c r="AC159" i="7"/>
  <c r="H706" i="10"/>
  <c r="AK211" i="7"/>
  <c r="AN211" i="3" s="1"/>
  <c r="AJ211" i="7"/>
  <c r="AC211" i="7"/>
  <c r="AG331" i="7"/>
  <c r="I344" i="7"/>
  <c r="L344" i="3" s="1"/>
  <c r="H681" i="10"/>
  <c r="K211" i="3"/>
  <c r="AC67" i="7"/>
  <c r="I211" i="7"/>
  <c r="L211" i="3" s="1"/>
  <c r="I216" i="7"/>
  <c r="L216" i="3" s="1"/>
  <c r="H748" i="10"/>
  <c r="J253" i="7"/>
  <c r="M253" i="3" s="1"/>
  <c r="K253" i="3"/>
  <c r="AV253" i="7"/>
  <c r="AY253" i="3" s="1"/>
  <c r="L253" i="7"/>
  <c r="I253" i="7"/>
  <c r="L253" i="3" s="1"/>
  <c r="AK253" i="7"/>
  <c r="AN253" i="3" s="1"/>
  <c r="AJ253" i="7"/>
  <c r="AM253" i="3" s="1"/>
  <c r="N44" i="9"/>
  <c r="AC295" i="7"/>
  <c r="H816" i="10"/>
  <c r="AV321" i="7"/>
  <c r="AY321" i="3" s="1"/>
  <c r="L321" i="7"/>
  <c r="O321" i="3" s="1"/>
  <c r="I321" i="7"/>
  <c r="L321" i="3" s="1"/>
  <c r="AK321" i="7"/>
  <c r="AN321" i="3" s="1"/>
  <c r="AJ321" i="7"/>
  <c r="K321" i="3"/>
  <c r="AC321" i="7"/>
  <c r="O407" i="3"/>
  <c r="K151" i="3"/>
  <c r="H574" i="10"/>
  <c r="AC79" i="7"/>
  <c r="AK79" i="7"/>
  <c r="AN79" i="3" s="1"/>
  <c r="AJ79" i="7"/>
  <c r="K79" i="3"/>
  <c r="J79" i="7"/>
  <c r="L79" i="7"/>
  <c r="O79" i="3" s="1"/>
  <c r="AG88" i="7"/>
  <c r="AC148" i="7"/>
  <c r="AT205" i="7"/>
  <c r="AW205" i="3" s="1"/>
  <c r="AK251" i="7"/>
  <c r="AN251" i="3" s="1"/>
  <c r="J321" i="7"/>
  <c r="M321" i="3" s="1"/>
  <c r="H831" i="10"/>
  <c r="AK336" i="7"/>
  <c r="AN336" i="3" s="1"/>
  <c r="AJ336" i="7"/>
  <c r="K336" i="3"/>
  <c r="AV336" i="7"/>
  <c r="AY336" i="3" s="1"/>
  <c r="L336" i="7"/>
  <c r="O336" i="3" s="1"/>
  <c r="J336" i="7"/>
  <c r="M336" i="3" s="1"/>
  <c r="I336" i="7"/>
  <c r="L336" i="3" s="1"/>
  <c r="P275" i="8"/>
  <c r="AK29" i="7"/>
  <c r="AN29" i="3" s="1"/>
  <c r="AG64" i="7"/>
  <c r="Y258" i="11"/>
  <c r="O278" i="8"/>
  <c r="C9" i="8"/>
  <c r="Q278" i="8"/>
  <c r="AG123" i="7"/>
  <c r="AC121" i="7"/>
  <c r="AG101" i="7"/>
  <c r="AJ101" i="3" s="1"/>
  <c r="AC99" i="7"/>
  <c r="AG118" i="7"/>
  <c r="AC116" i="7"/>
  <c r="AK98" i="7"/>
  <c r="AN98" i="3" s="1"/>
  <c r="AG120" i="7"/>
  <c r="AC118" i="7"/>
  <c r="AG98" i="7"/>
  <c r="AJ98" i="3" s="1"/>
  <c r="AG104" i="7"/>
  <c r="AG100" i="7"/>
  <c r="AJ100" i="3" s="1"/>
  <c r="AC122" i="7"/>
  <c r="AC108" i="7"/>
  <c r="J98" i="7"/>
  <c r="AG107" i="7"/>
  <c r="AG114" i="7"/>
  <c r="AC111" i="7"/>
  <c r="I98" i="7"/>
  <c r="AG121" i="7"/>
  <c r="AG117" i="7"/>
  <c r="AG110" i="7"/>
  <c r="N278" i="8"/>
  <c r="AG99" i="7"/>
  <c r="AJ99" i="3" s="1"/>
  <c r="AC112" i="7"/>
  <c r="AG111" i="7"/>
  <c r="M278" i="8"/>
  <c r="AG109" i="7"/>
  <c r="AG119" i="7"/>
  <c r="H593" i="10"/>
  <c r="AC103" i="7"/>
  <c r="AG115" i="7"/>
  <c r="AG108" i="7"/>
  <c r="AC104" i="7"/>
  <c r="L98" i="7"/>
  <c r="AG113" i="7"/>
  <c r="AG116" i="7"/>
  <c r="AG112" i="7"/>
  <c r="AC115" i="7"/>
  <c r="R278" i="8"/>
  <c r="AV98" i="7"/>
  <c r="AY98" i="3" s="1"/>
  <c r="P278" i="8"/>
  <c r="AC109" i="7"/>
  <c r="AG102" i="7"/>
  <c r="AC125" i="7"/>
  <c r="H745" i="10"/>
  <c r="AV250" i="7"/>
  <c r="AY250" i="3" s="1"/>
  <c r="K250" i="3"/>
  <c r="L250" i="7"/>
  <c r="O250" i="3" s="1"/>
  <c r="J250" i="7"/>
  <c r="M250" i="3" s="1"/>
  <c r="I250" i="7"/>
  <c r="L250" i="3" s="1"/>
  <c r="H757" i="10"/>
  <c r="AJ262" i="7"/>
  <c r="AM262" i="3" s="1"/>
  <c r="K262" i="3"/>
  <c r="AV262" i="7"/>
  <c r="AY262" i="3" s="1"/>
  <c r="L262" i="7"/>
  <c r="O262" i="3" s="1"/>
  <c r="J262" i="7"/>
  <c r="M262" i="3" s="1"/>
  <c r="I262" i="7"/>
  <c r="L262" i="3" s="1"/>
  <c r="AG278" i="7"/>
  <c r="AG265" i="7"/>
  <c r="N46" i="9"/>
  <c r="AG266" i="7"/>
  <c r="AC260" i="7"/>
  <c r="I283" i="7"/>
  <c r="L283" i="3" s="1"/>
  <c r="K80" i="3"/>
  <c r="L37" i="7"/>
  <c r="O37" i="3" s="1"/>
  <c r="AG77" i="7"/>
  <c r="AC132" i="7"/>
  <c r="H697" i="10"/>
  <c r="AV202" i="7"/>
  <c r="AY202" i="3" s="1"/>
  <c r="J202" i="7"/>
  <c r="M202" i="3" s="1"/>
  <c r="L202" i="7"/>
  <c r="O202" i="3" s="1"/>
  <c r="AC202" i="7"/>
  <c r="AK202" i="7"/>
  <c r="AN202" i="3" s="1"/>
  <c r="K202" i="3"/>
  <c r="AK208" i="7"/>
  <c r="AN208" i="3" s="1"/>
  <c r="H703" i="10"/>
  <c r="L208" i="7"/>
  <c r="O208" i="3" s="1"/>
  <c r="I208" i="7"/>
  <c r="L208" i="3" s="1"/>
  <c r="J208" i="7"/>
  <c r="M208" i="3" s="1"/>
  <c r="AV208" i="7"/>
  <c r="AY208" i="3" s="1"/>
  <c r="H707" i="10"/>
  <c r="L212" i="7"/>
  <c r="AJ212" i="7"/>
  <c r="AM212" i="3" s="1"/>
  <c r="N38" i="9"/>
  <c r="CE38" i="9" s="1"/>
  <c r="K212" i="3"/>
  <c r="AK212" i="7"/>
  <c r="AN212" i="3" s="1"/>
  <c r="Y266" i="11"/>
  <c r="H792" i="10"/>
  <c r="N286" i="8"/>
  <c r="M286" i="8"/>
  <c r="AG321" i="7"/>
  <c r="AC319" i="7"/>
  <c r="AG299" i="7"/>
  <c r="AJ299" i="3" s="1"/>
  <c r="AC297" i="7"/>
  <c r="AG316" i="7"/>
  <c r="AC314" i="7"/>
  <c r="AG318" i="7"/>
  <c r="AC316" i="7"/>
  <c r="AC323" i="7"/>
  <c r="AG303" i="7"/>
  <c r="J297" i="7"/>
  <c r="N52" i="9"/>
  <c r="AG307" i="7"/>
  <c r="AG324" i="7"/>
  <c r="AG315" i="7"/>
  <c r="AG319" i="7"/>
  <c r="AG311" i="7"/>
  <c r="AG298" i="7"/>
  <c r="AJ298" i="3" s="1"/>
  <c r="AJ297" i="7"/>
  <c r="AM297" i="3" s="1"/>
  <c r="L297" i="7"/>
  <c r="AG322" i="7"/>
  <c r="AG306" i="7"/>
  <c r="I297" i="7"/>
  <c r="AG323" i="7"/>
  <c r="AC307" i="7"/>
  <c r="AG305" i="7"/>
  <c r="R286" i="8"/>
  <c r="AV297" i="7"/>
  <c r="AY297" i="3" s="1"/>
  <c r="Q286" i="8"/>
  <c r="P286" i="8"/>
  <c r="AG301" i="7"/>
  <c r="AJ301" i="3" s="1"/>
  <c r="AG302" i="7"/>
  <c r="O286" i="8"/>
  <c r="K297" i="3"/>
  <c r="AC302" i="7"/>
  <c r="AG304" i="7"/>
  <c r="AC300" i="7"/>
  <c r="AG317" i="7"/>
  <c r="AK297" i="7"/>
  <c r="AN297" i="3" s="1"/>
  <c r="C17" i="8"/>
  <c r="D17" i="8" s="1"/>
  <c r="D286" i="8" s="1"/>
  <c r="AC312" i="7"/>
  <c r="AG320" i="7"/>
  <c r="AG313" i="7"/>
  <c r="AG297" i="7"/>
  <c r="AJ297" i="3" s="1"/>
  <c r="L18" i="7"/>
  <c r="O18" i="3" s="1"/>
  <c r="AK76" i="7"/>
  <c r="AN76" i="3" s="1"/>
  <c r="AV76" i="7"/>
  <c r="AY76" i="3" s="1"/>
  <c r="L76" i="7"/>
  <c r="O76" i="3" s="1"/>
  <c r="H571" i="10"/>
  <c r="I76" i="7"/>
  <c r="L76" i="3" s="1"/>
  <c r="K76" i="3"/>
  <c r="AJ76" i="7"/>
  <c r="AM76" i="3" s="1"/>
  <c r="J76" i="7"/>
  <c r="AG175" i="7"/>
  <c r="I178" i="7"/>
  <c r="L178" i="3" s="1"/>
  <c r="H726" i="10"/>
  <c r="K231" i="3"/>
  <c r="J231" i="7"/>
  <c r="M231" i="3" s="1"/>
  <c r="I231" i="7"/>
  <c r="L231" i="3" s="1"/>
  <c r="AJ231" i="7"/>
  <c r="AM231" i="3" s="1"/>
  <c r="AK231" i="7"/>
  <c r="AN231" i="3" s="1"/>
  <c r="L231" i="7"/>
  <c r="O231" i="3" s="1"/>
  <c r="AG234" i="7"/>
  <c r="I236" i="7"/>
  <c r="L236" i="3" s="1"/>
  <c r="AV319" i="7"/>
  <c r="AY319" i="3" s="1"/>
  <c r="AT50" i="7"/>
  <c r="AW50" i="3" s="1"/>
  <c r="AL50" i="7"/>
  <c r="AV64" i="7"/>
  <c r="AY64" i="3" s="1"/>
  <c r="AG84" i="7"/>
  <c r="AC114" i="7"/>
  <c r="H638" i="10"/>
  <c r="K143" i="3"/>
  <c r="AK143" i="7"/>
  <c r="AN143" i="3" s="1"/>
  <c r="AJ143" i="7"/>
  <c r="AV143" i="7"/>
  <c r="AY143" i="3" s="1"/>
  <c r="J161" i="7"/>
  <c r="M161" i="3" s="1"/>
  <c r="I161" i="7"/>
  <c r="L161" i="3" s="1"/>
  <c r="L161" i="7"/>
  <c r="O161" i="3" s="1"/>
  <c r="AV161" i="7"/>
  <c r="AY161" i="3" s="1"/>
  <c r="H656" i="10"/>
  <c r="AK161" i="7"/>
  <c r="AN161" i="3" s="1"/>
  <c r="AJ161" i="7"/>
  <c r="AC161" i="7"/>
  <c r="K161" i="3"/>
  <c r="AG185" i="7"/>
  <c r="AC205" i="7"/>
  <c r="K218" i="7"/>
  <c r="N218" i="3" s="1"/>
  <c r="AJ219" i="7"/>
  <c r="AM219" i="3" s="1"/>
  <c r="H716" i="10"/>
  <c r="AV221" i="7"/>
  <c r="AY221" i="3" s="1"/>
  <c r="AJ221" i="7"/>
  <c r="AM221" i="3" s="1"/>
  <c r="AK221" i="7"/>
  <c r="AN221" i="3" s="1"/>
  <c r="J221" i="7"/>
  <c r="I221" i="7"/>
  <c r="L221" i="3" s="1"/>
  <c r="H725" i="10"/>
  <c r="AK230" i="7"/>
  <c r="AN230" i="3" s="1"/>
  <c r="K230" i="3"/>
  <c r="AV230" i="7"/>
  <c r="AY230" i="3" s="1"/>
  <c r="L230" i="7"/>
  <c r="AJ230" i="7"/>
  <c r="AT230" i="7" s="1"/>
  <c r="AW230" i="3" s="1"/>
  <c r="AC229" i="7"/>
  <c r="AC230" i="7"/>
  <c r="J230" i="7"/>
  <c r="M230" i="3" s="1"/>
  <c r="AC246" i="7"/>
  <c r="AG239" i="7"/>
  <c r="AC232" i="7"/>
  <c r="AG248" i="7"/>
  <c r="AC247" i="7"/>
  <c r="J252" i="7"/>
  <c r="M252" i="3" s="1"/>
  <c r="H823" i="10"/>
  <c r="AJ328" i="7"/>
  <c r="AK328" i="7"/>
  <c r="AN328" i="3" s="1"/>
  <c r="AC328" i="7"/>
  <c r="K328" i="3"/>
  <c r="J328" i="7"/>
  <c r="I328" i="7"/>
  <c r="L328" i="3" s="1"/>
  <c r="O287" i="8"/>
  <c r="R287" i="8"/>
  <c r="AG337" i="7"/>
  <c r="P287" i="8"/>
  <c r="H140" i="34"/>
  <c r="CQ638" i="10"/>
  <c r="M140" i="34" s="1"/>
  <c r="CP638" i="10"/>
  <c r="CO638" i="10"/>
  <c r="O140" i="34" s="1"/>
  <c r="AX45" i="9"/>
  <c r="AY45" i="9" s="1"/>
  <c r="AX53" i="9"/>
  <c r="AY53" i="9" s="1"/>
  <c r="AC129" i="7"/>
  <c r="AK142" i="7"/>
  <c r="AN142" i="3" s="1"/>
  <c r="AJ142" i="7"/>
  <c r="K142" i="3"/>
  <c r="AV142" i="7"/>
  <c r="AY142" i="3" s="1"/>
  <c r="H637" i="10"/>
  <c r="N26" i="9"/>
  <c r="AC142" i="7"/>
  <c r="AC285" i="7"/>
  <c r="H832" i="10"/>
  <c r="J337" i="7"/>
  <c r="M337" i="3" s="1"/>
  <c r="I337" i="7"/>
  <c r="L337" i="3" s="1"/>
  <c r="AC337" i="7"/>
  <c r="N60" i="9"/>
  <c r="L337" i="7"/>
  <c r="AV337" i="7"/>
  <c r="AY337" i="3" s="1"/>
  <c r="AK337" i="7"/>
  <c r="AN337" i="3" s="1"/>
  <c r="K29" i="35"/>
  <c r="M29" i="35"/>
  <c r="G41" i="35"/>
  <c r="CU44" i="9"/>
  <c r="N41" i="35" s="1"/>
  <c r="CT44" i="9"/>
  <c r="CW44" i="9"/>
  <c r="L41" i="35" s="1"/>
  <c r="CV44" i="9"/>
  <c r="Y254" i="11"/>
  <c r="H500" i="10"/>
  <c r="O274" i="8"/>
  <c r="N5" i="9"/>
  <c r="R274" i="8"/>
  <c r="Q274" i="8"/>
  <c r="N274" i="8"/>
  <c r="AG8" i="7"/>
  <c r="AC6" i="7"/>
  <c r="AG10" i="7"/>
  <c r="AC8" i="7"/>
  <c r="AC22" i="7"/>
  <c r="AC19" i="7"/>
  <c r="AG9" i="7"/>
  <c r="AC16" i="7"/>
  <c r="AG12" i="7"/>
  <c r="AK5" i="7"/>
  <c r="AN5" i="3" s="1"/>
  <c r="M274" i="8"/>
  <c r="AC12" i="7"/>
  <c r="C5" i="8"/>
  <c r="AC23" i="7"/>
  <c r="K5" i="3"/>
  <c r="AG22" i="7"/>
  <c r="AG16" i="7"/>
  <c r="L5" i="7"/>
  <c r="P274" i="8"/>
  <c r="AG13" i="7"/>
  <c r="AG23" i="7"/>
  <c r="AG14" i="7"/>
  <c r="AG11" i="7"/>
  <c r="AG6" i="7"/>
  <c r="AJ6" i="3" s="1"/>
  <c r="AG20" i="7"/>
  <c r="AC5" i="7"/>
  <c r="AG21" i="7"/>
  <c r="AG19" i="7"/>
  <c r="AG15" i="7"/>
  <c r="AC13" i="7"/>
  <c r="AJ5" i="7"/>
  <c r="AM5" i="3" s="1"/>
  <c r="AG5" i="7"/>
  <c r="AJ5" i="3" s="1"/>
  <c r="AG18" i="7"/>
  <c r="AC11" i="7"/>
  <c r="H566" i="10"/>
  <c r="BY566" i="10" s="1"/>
  <c r="AK71" i="7"/>
  <c r="AN71" i="3" s="1"/>
  <c r="AJ71" i="7"/>
  <c r="J71" i="7"/>
  <c r="M71" i="3" s="1"/>
  <c r="I71" i="7"/>
  <c r="L71" i="3" s="1"/>
  <c r="AV71" i="7"/>
  <c r="AY71" i="3" s="1"/>
  <c r="L71" i="7"/>
  <c r="O71" i="3" s="1"/>
  <c r="I142" i="7"/>
  <c r="L142" i="3" s="1"/>
  <c r="O229" i="3"/>
  <c r="H793" i="10"/>
  <c r="I298" i="7"/>
  <c r="AK298" i="7"/>
  <c r="AN298" i="3" s="1"/>
  <c r="AJ298" i="7"/>
  <c r="AM298" i="3" s="1"/>
  <c r="L298" i="7"/>
  <c r="O298" i="3" s="1"/>
  <c r="J298" i="7"/>
  <c r="M298" i="3" s="1"/>
  <c r="AV298" i="7"/>
  <c r="AY298" i="3" s="1"/>
  <c r="AS298" i="7"/>
  <c r="AV298" i="3" s="1"/>
  <c r="AT298" i="7"/>
  <c r="AW298" i="3" s="1"/>
  <c r="AG403" i="7"/>
  <c r="AX62" i="9"/>
  <c r="AY62" i="9" s="1"/>
  <c r="L167" i="34"/>
  <c r="CS665" i="10"/>
  <c r="N167" i="34" s="1"/>
  <c r="AG90" i="7"/>
  <c r="H684" i="10"/>
  <c r="BY684" i="10" s="1"/>
  <c r="AJ189" i="7"/>
  <c r="AM189" i="3" s="1"/>
  <c r="AC189" i="7"/>
  <c r="J189" i="7"/>
  <c r="M189" i="3" s="1"/>
  <c r="I189" i="7"/>
  <c r="L189" i="3" s="1"/>
  <c r="H884" i="10"/>
  <c r="J389" i="7"/>
  <c r="M389" i="3" s="1"/>
  <c r="AV389" i="7"/>
  <c r="AY389" i="3" s="1"/>
  <c r="I389" i="7"/>
  <c r="L389" i="3" s="1"/>
  <c r="AC389" i="7"/>
  <c r="L389" i="7"/>
  <c r="O389" i="3" s="1"/>
  <c r="AC68" i="7"/>
  <c r="H759" i="10"/>
  <c r="AK264" i="7"/>
  <c r="AN264" i="3" s="1"/>
  <c r="AJ264" i="7"/>
  <c r="AM264" i="3" s="1"/>
  <c r="AV264" i="7"/>
  <c r="AY264" i="3" s="1"/>
  <c r="J264" i="7"/>
  <c r="M264" i="3" s="1"/>
  <c r="I264" i="7"/>
  <c r="L264" i="3" s="1"/>
  <c r="K264" i="3"/>
  <c r="L264" i="7"/>
  <c r="O264" i="3" s="1"/>
  <c r="L402" i="7"/>
  <c r="O402" i="3" s="1"/>
  <c r="I419" i="7"/>
  <c r="AC51" i="7"/>
  <c r="AG135" i="7"/>
  <c r="AC166" i="7"/>
  <c r="H678" i="10"/>
  <c r="J183" i="7"/>
  <c r="M183" i="3" s="1"/>
  <c r="I183" i="7"/>
  <c r="L183" i="3" s="1"/>
  <c r="K183" i="3"/>
  <c r="K183" i="7"/>
  <c r="N183" i="3" s="1"/>
  <c r="AV183" i="7"/>
  <c r="AY183" i="3" s="1"/>
  <c r="AT183" i="7"/>
  <c r="AW183" i="3" s="1"/>
  <c r="H859" i="10"/>
  <c r="N65" i="9"/>
  <c r="AV364" i="7"/>
  <c r="AY364" i="3" s="1"/>
  <c r="J364" i="7"/>
  <c r="M364" i="3" s="1"/>
  <c r="AJ364" i="7"/>
  <c r="AM364" i="3" s="1"/>
  <c r="I364" i="7"/>
  <c r="L364" i="3" s="1"/>
  <c r="L364" i="7"/>
  <c r="AK364" i="7"/>
  <c r="AN364" i="3" s="1"/>
  <c r="K364" i="3"/>
  <c r="AC364" i="7"/>
  <c r="L237" i="34"/>
  <c r="CS735" i="10"/>
  <c r="N237" i="34" s="1"/>
  <c r="H523" i="10"/>
  <c r="AK28" i="7"/>
  <c r="AN28" i="3" s="1"/>
  <c r="AJ28" i="7"/>
  <c r="J197" i="7"/>
  <c r="H765" i="10"/>
  <c r="J270" i="7"/>
  <c r="M270" i="3" s="1"/>
  <c r="AV270" i="7"/>
  <c r="AY270" i="3" s="1"/>
  <c r="L270" i="7"/>
  <c r="O270" i="3" s="1"/>
  <c r="AK270" i="7"/>
  <c r="AN270" i="3" s="1"/>
  <c r="AJ270" i="7"/>
  <c r="AM270" i="3" s="1"/>
  <c r="AC339" i="7"/>
  <c r="AG392" i="7"/>
  <c r="I398" i="7"/>
  <c r="L398" i="3" s="1"/>
  <c r="I28" i="7"/>
  <c r="L28" i="3" s="1"/>
  <c r="J212" i="7"/>
  <c r="AC267" i="7"/>
  <c r="H836" i="10"/>
  <c r="J341" i="7"/>
  <c r="M341" i="3" s="1"/>
  <c r="K341" i="3"/>
  <c r="AJ341" i="7"/>
  <c r="AM341" i="3" s="1"/>
  <c r="AK341" i="7"/>
  <c r="AN341" i="3" s="1"/>
  <c r="AV341" i="7"/>
  <c r="AY341" i="3" s="1"/>
  <c r="AS341" i="7"/>
  <c r="AV341" i="3" s="1"/>
  <c r="H236" i="34"/>
  <c r="CP734" i="10"/>
  <c r="CO734" i="10"/>
  <c r="O236" i="34" s="1"/>
  <c r="CQ734" i="10"/>
  <c r="M236" i="34" s="1"/>
  <c r="AG327" i="7"/>
  <c r="AJ327" i="3" s="1"/>
  <c r="I37" i="7"/>
  <c r="L37" i="3" s="1"/>
  <c r="H539" i="10"/>
  <c r="AV44" i="7"/>
  <c r="AY44" i="3" s="1"/>
  <c r="L44" i="7"/>
  <c r="O44" i="3" s="1"/>
  <c r="J44" i="7"/>
  <c r="M44" i="3" s="1"/>
  <c r="I44" i="7"/>
  <c r="L44" i="3" s="1"/>
  <c r="AC128" i="7"/>
  <c r="AJ166" i="7"/>
  <c r="AM166" i="3" s="1"/>
  <c r="H735" i="10"/>
  <c r="AJ240" i="7"/>
  <c r="AM240" i="3" s="1"/>
  <c r="AK240" i="7"/>
  <c r="AN240" i="3" s="1"/>
  <c r="J240" i="7"/>
  <c r="I240" i="7"/>
  <c r="L240" i="3" s="1"/>
  <c r="AV240" i="7"/>
  <c r="AY240" i="3" s="1"/>
  <c r="K240" i="3"/>
  <c r="AG310" i="7"/>
  <c r="AG332" i="7"/>
  <c r="U824" i="10"/>
  <c r="I329" i="7"/>
  <c r="L329" i="3" s="1"/>
  <c r="H833" i="10"/>
  <c r="AV338" i="7"/>
  <c r="L338" i="7"/>
  <c r="O338" i="3" s="1"/>
  <c r="I338" i="7"/>
  <c r="L338" i="3" s="1"/>
  <c r="AK338" i="7"/>
  <c r="AN338" i="3" s="1"/>
  <c r="J338" i="7"/>
  <c r="M338" i="3" s="1"/>
  <c r="K338" i="3"/>
  <c r="H858" i="10"/>
  <c r="AV363" i="7"/>
  <c r="AY363" i="3" s="1"/>
  <c r="L363" i="7"/>
  <c r="O363" i="3" s="1"/>
  <c r="AC363" i="7"/>
  <c r="AK363" i="7"/>
  <c r="AN363" i="3" s="1"/>
  <c r="AJ363" i="7"/>
  <c r="J363" i="7"/>
  <c r="M363" i="3" s="1"/>
  <c r="I363" i="7"/>
  <c r="L363" i="3" s="1"/>
  <c r="AK389" i="7"/>
  <c r="AN389" i="3" s="1"/>
  <c r="U910" i="10"/>
  <c r="I415" i="7"/>
  <c r="L415" i="3" s="1"/>
  <c r="O275" i="8"/>
  <c r="AC419" i="7"/>
  <c r="K44" i="3"/>
  <c r="I10" i="7"/>
  <c r="L10" i="3" s="1"/>
  <c r="I18" i="7"/>
  <c r="L18" i="3" s="1"/>
  <c r="H565" i="10"/>
  <c r="AV70" i="7"/>
  <c r="AY70" i="3" s="1"/>
  <c r="J70" i="7"/>
  <c r="M70" i="3" s="1"/>
  <c r="AJ70" i="7"/>
  <c r="AM70" i="3" s="1"/>
  <c r="AK70" i="7"/>
  <c r="AN70" i="3" s="1"/>
  <c r="I70" i="7"/>
  <c r="L70" i="3" s="1"/>
  <c r="K70" i="3"/>
  <c r="AJ80" i="7"/>
  <c r="AM80" i="3" s="1"/>
  <c r="AJ139" i="7"/>
  <c r="AM139" i="3" s="1"/>
  <c r="AK176" i="7"/>
  <c r="AN176" i="3" s="1"/>
  <c r="AC240" i="7"/>
  <c r="J329" i="7"/>
  <c r="M329" i="3" s="1"/>
  <c r="AJ331" i="7"/>
  <c r="O290" i="8"/>
  <c r="AC15" i="7"/>
  <c r="J18" i="7"/>
  <c r="M18" i="3" s="1"/>
  <c r="AK80" i="7"/>
  <c r="AN80" i="3" s="1"/>
  <c r="AV251" i="7"/>
  <c r="AY251" i="3" s="1"/>
  <c r="H798" i="10"/>
  <c r="AJ303" i="7"/>
  <c r="AM303" i="3" s="1"/>
  <c r="N53" i="9"/>
  <c r="K303" i="3"/>
  <c r="AV303" i="7"/>
  <c r="AY303" i="3" s="1"/>
  <c r="AK303" i="7"/>
  <c r="AN303" i="3" s="1"/>
  <c r="AC303" i="7"/>
  <c r="L303" i="7"/>
  <c r="I303" i="7"/>
  <c r="L303" i="3" s="1"/>
  <c r="J303" i="7"/>
  <c r="M303" i="3" s="1"/>
  <c r="AJ38" i="7"/>
  <c r="AM38" i="3" s="1"/>
  <c r="AG58" i="7"/>
  <c r="H666" i="10"/>
  <c r="AJ171" i="7"/>
  <c r="L171" i="7"/>
  <c r="O171" i="3" s="1"/>
  <c r="J171" i="7"/>
  <c r="M171" i="3" s="1"/>
  <c r="AV171" i="7"/>
  <c r="AY171" i="3" s="1"/>
  <c r="I171" i="7"/>
  <c r="L171" i="3" s="1"/>
  <c r="N31" i="9"/>
  <c r="AK171" i="7"/>
  <c r="AN171" i="3" s="1"/>
  <c r="AK189" i="7"/>
  <c r="AN189" i="3" s="1"/>
  <c r="K36" i="3"/>
  <c r="K51" i="3"/>
  <c r="AG7" i="7"/>
  <c r="AJ7" i="3" s="1"/>
  <c r="J9" i="7"/>
  <c r="J27" i="7"/>
  <c r="M27" i="3" s="1"/>
  <c r="AC76" i="7"/>
  <c r="AJ98" i="7"/>
  <c r="AM98" i="3" s="1"/>
  <c r="AC130" i="7"/>
  <c r="AC171" i="7"/>
  <c r="AL179" i="7"/>
  <c r="H696" i="10"/>
  <c r="AC201" i="7"/>
  <c r="AK201" i="7"/>
  <c r="AN201" i="3" s="1"/>
  <c r="AJ201" i="7"/>
  <c r="AV201" i="7"/>
  <c r="AY201" i="3" s="1"/>
  <c r="AG225" i="7"/>
  <c r="AC305" i="7"/>
  <c r="AC318" i="7"/>
  <c r="O320" i="3"/>
  <c r="J340" i="7"/>
  <c r="M340" i="3" s="1"/>
  <c r="AG363" i="7"/>
  <c r="H866" i="10"/>
  <c r="AV371" i="7"/>
  <c r="AY371" i="3" s="1"/>
  <c r="AK371" i="7"/>
  <c r="AN371" i="3" s="1"/>
  <c r="AJ371" i="7"/>
  <c r="K371" i="3"/>
  <c r="AC382" i="7"/>
  <c r="J403" i="7"/>
  <c r="M403" i="3" s="1"/>
  <c r="C11" i="8"/>
  <c r="D11" i="8" s="1"/>
  <c r="D280" i="8" s="1"/>
  <c r="P280" i="8"/>
  <c r="K71" i="3"/>
  <c r="K395" i="3"/>
  <c r="AJ17" i="7"/>
  <c r="AM17" i="3" s="1"/>
  <c r="J17" i="7"/>
  <c r="M17" i="3" s="1"/>
  <c r="I17" i="7"/>
  <c r="L17" i="3" s="1"/>
  <c r="AC17" i="7"/>
  <c r="K17" i="3"/>
  <c r="H512" i="10"/>
  <c r="AK17" i="7"/>
  <c r="AN17" i="3" s="1"/>
  <c r="I36" i="7"/>
  <c r="L36" i="3" s="1"/>
  <c r="AK52" i="7"/>
  <c r="AN52" i="3" s="1"/>
  <c r="AJ52" i="7"/>
  <c r="L52" i="7"/>
  <c r="O52" i="3" s="1"/>
  <c r="J52" i="7"/>
  <c r="M52" i="3" s="1"/>
  <c r="I52" i="7"/>
  <c r="L52" i="3" s="1"/>
  <c r="AV52" i="7"/>
  <c r="AY52" i="3" s="1"/>
  <c r="K52" i="3"/>
  <c r="H547" i="10"/>
  <c r="AK53" i="7"/>
  <c r="AN53" i="3" s="1"/>
  <c r="U551" i="10"/>
  <c r="J56" i="7"/>
  <c r="M56" i="3" s="1"/>
  <c r="AC57" i="7"/>
  <c r="M81" i="3"/>
  <c r="AJ87" i="7"/>
  <c r="AC95" i="7"/>
  <c r="AJ108" i="7"/>
  <c r="AV108" i="7"/>
  <c r="AY108" i="3" s="1"/>
  <c r="H603" i="10"/>
  <c r="BY603" i="10" s="1"/>
  <c r="AK108" i="7"/>
  <c r="AN108" i="3" s="1"/>
  <c r="K108" i="3"/>
  <c r="L108" i="7"/>
  <c r="O108" i="3" s="1"/>
  <c r="I143" i="7"/>
  <c r="AM144" i="3"/>
  <c r="AA260" i="11"/>
  <c r="H652" i="10"/>
  <c r="N29" i="9"/>
  <c r="AK157" i="7"/>
  <c r="AN157" i="3" s="1"/>
  <c r="AJ157" i="7"/>
  <c r="K157" i="3"/>
  <c r="AC157" i="7"/>
  <c r="I157" i="7"/>
  <c r="AV159" i="7"/>
  <c r="AY159" i="3" s="1"/>
  <c r="H659" i="10"/>
  <c r="AK164" i="7"/>
  <c r="AJ164" i="7"/>
  <c r="AM164" i="3" s="1"/>
  <c r="AV164" i="7"/>
  <c r="AY164" i="3" s="1"/>
  <c r="K164" i="3"/>
  <c r="H686" i="10"/>
  <c r="AK191" i="7"/>
  <c r="AN191" i="3" s="1"/>
  <c r="AJ191" i="7"/>
  <c r="AV191" i="7"/>
  <c r="AY191" i="3" s="1"/>
  <c r="L191" i="7"/>
  <c r="O191" i="3" s="1"/>
  <c r="AC191" i="7"/>
  <c r="J191" i="7"/>
  <c r="I191" i="7"/>
  <c r="L191" i="3" s="1"/>
  <c r="K191" i="3"/>
  <c r="H694" i="10"/>
  <c r="K199" i="3"/>
  <c r="AV199" i="7"/>
  <c r="AY199" i="3" s="1"/>
  <c r="J199" i="7"/>
  <c r="M199" i="3" s="1"/>
  <c r="I199" i="7"/>
  <c r="L199" i="3" s="1"/>
  <c r="AJ199" i="7"/>
  <c r="AK199" i="7"/>
  <c r="AN199" i="3" s="1"/>
  <c r="AC199" i="7"/>
  <c r="I201" i="7"/>
  <c r="L201" i="3" s="1"/>
  <c r="AJ202" i="7"/>
  <c r="AM202" i="3" s="1"/>
  <c r="L218" i="7"/>
  <c r="O218" i="3" s="1"/>
  <c r="AV222" i="7"/>
  <c r="AY222" i="3" s="1"/>
  <c r="I230" i="7"/>
  <c r="L230" i="3" s="1"/>
  <c r="AC262" i="7"/>
  <c r="H760" i="10"/>
  <c r="AV265" i="7"/>
  <c r="AY265" i="3" s="1"/>
  <c r="L265" i="7"/>
  <c r="O265" i="3" s="1"/>
  <c r="AC265" i="7"/>
  <c r="J265" i="7"/>
  <c r="M265" i="3" s="1"/>
  <c r="I265" i="7"/>
  <c r="L265" i="3" s="1"/>
  <c r="O293" i="3"/>
  <c r="H806" i="10"/>
  <c r="AJ311" i="7"/>
  <c r="AV311" i="7"/>
  <c r="AY311" i="3" s="1"/>
  <c r="L311" i="7"/>
  <c r="O311" i="3" s="1"/>
  <c r="J311" i="7"/>
  <c r="M311" i="3" s="1"/>
  <c r="I311" i="7"/>
  <c r="L311" i="3" s="1"/>
  <c r="AC311" i="7"/>
  <c r="AJ313" i="7"/>
  <c r="AM313" i="3" s="1"/>
  <c r="H810" i="10"/>
  <c r="J315" i="7"/>
  <c r="M315" i="3" s="1"/>
  <c r="I315" i="7"/>
  <c r="L315" i="3" s="1"/>
  <c r="AC315" i="7"/>
  <c r="AV315" i="7"/>
  <c r="AY315" i="3" s="1"/>
  <c r="AJ315" i="7"/>
  <c r="AM315" i="3" s="1"/>
  <c r="N55" i="9"/>
  <c r="K315" i="3"/>
  <c r="H818" i="10"/>
  <c r="AK323" i="7"/>
  <c r="AN323" i="3" s="1"/>
  <c r="AJ323" i="7"/>
  <c r="AM323" i="3" s="1"/>
  <c r="K323" i="3"/>
  <c r="AV323" i="7"/>
  <c r="AY323" i="3" s="1"/>
  <c r="L323" i="7"/>
  <c r="O323" i="3" s="1"/>
  <c r="J323" i="7"/>
  <c r="M323" i="3" s="1"/>
  <c r="I323" i="7"/>
  <c r="L323" i="3" s="1"/>
  <c r="L335" i="7"/>
  <c r="O335" i="3" s="1"/>
  <c r="AC353" i="7"/>
  <c r="I371" i="7"/>
  <c r="L371" i="3" s="1"/>
  <c r="AJ398" i="7"/>
  <c r="AM398" i="3" s="1"/>
  <c r="AK407" i="7"/>
  <c r="AN407" i="3" s="1"/>
  <c r="AV419" i="7"/>
  <c r="AY419" i="3" s="1"/>
  <c r="Q280" i="8"/>
  <c r="AX38" i="9"/>
  <c r="AY38" i="9" s="1"/>
  <c r="N39" i="9"/>
  <c r="I680" i="19"/>
  <c r="T752" i="10"/>
  <c r="Q752" i="10"/>
  <c r="BQ752" i="10"/>
  <c r="K752" i="10" s="1"/>
  <c r="BG752" i="10" s="1"/>
  <c r="R752" i="10"/>
  <c r="N752" i="10"/>
  <c r="O752" i="10"/>
  <c r="BB752" i="10"/>
  <c r="BC752" i="10" s="1"/>
  <c r="G752" i="10"/>
  <c r="G254" i="34" s="1"/>
  <c r="BX752" i="10"/>
  <c r="H616" i="10"/>
  <c r="AJ121" i="7"/>
  <c r="AM121" i="3" s="1"/>
  <c r="J121" i="7"/>
  <c r="M121" i="3" s="1"/>
  <c r="K121" i="3"/>
  <c r="AV121" i="7"/>
  <c r="AY121" i="3" s="1"/>
  <c r="I121" i="7"/>
  <c r="L121" i="3" s="1"/>
  <c r="L121" i="7"/>
  <c r="O121" i="3" s="1"/>
  <c r="K29" i="3"/>
  <c r="AV5" i="7"/>
  <c r="AY5" i="3" s="1"/>
  <c r="L27" i="7"/>
  <c r="J36" i="7"/>
  <c r="AG42" i="7"/>
  <c r="AG44" i="7"/>
  <c r="K47" i="3"/>
  <c r="L47" i="7"/>
  <c r="AK47" i="7"/>
  <c r="AN47" i="3" s="1"/>
  <c r="AJ47" i="7"/>
  <c r="AL47" i="7" s="1"/>
  <c r="AC47" i="7"/>
  <c r="H542" i="10"/>
  <c r="J47" i="7"/>
  <c r="AV47" i="7"/>
  <c r="AY47" i="3" s="1"/>
  <c r="I47" i="7"/>
  <c r="L47" i="3" s="1"/>
  <c r="AV54" i="7"/>
  <c r="AY54" i="3" s="1"/>
  <c r="AC62" i="7"/>
  <c r="AJ66" i="7"/>
  <c r="AT66" i="7" s="1"/>
  <c r="AW66" i="3" s="1"/>
  <c r="J78" i="7"/>
  <c r="AK87" i="7"/>
  <c r="AN87" i="3" s="1"/>
  <c r="AG106" i="7"/>
  <c r="AG127" i="7"/>
  <c r="AJ127" i="3" s="1"/>
  <c r="H693" i="10"/>
  <c r="L198" i="7"/>
  <c r="O198" i="3" s="1"/>
  <c r="AK198" i="7"/>
  <c r="AN198" i="3" s="1"/>
  <c r="AJ198" i="7"/>
  <c r="AC198" i="7"/>
  <c r="AV198" i="7"/>
  <c r="AY198" i="3" s="1"/>
  <c r="J201" i="7"/>
  <c r="AJ208" i="7"/>
  <c r="AM208" i="3" s="1"/>
  <c r="AC215" i="7"/>
  <c r="AC221" i="7"/>
  <c r="H740" i="10"/>
  <c r="AV245" i="7"/>
  <c r="L245" i="7"/>
  <c r="O245" i="3" s="1"/>
  <c r="J245" i="7"/>
  <c r="M245" i="3" s="1"/>
  <c r="AC245" i="7"/>
  <c r="I245" i="7"/>
  <c r="L245" i="3" s="1"/>
  <c r="AJ250" i="7"/>
  <c r="AM250" i="3" s="1"/>
  <c r="AC259" i="7"/>
  <c r="AG263" i="7"/>
  <c r="AG276" i="7"/>
  <c r="L328" i="7"/>
  <c r="O328" i="3" s="1"/>
  <c r="L340" i="7"/>
  <c r="H855" i="10"/>
  <c r="AV360" i="7"/>
  <c r="AY360" i="3" s="1"/>
  <c r="J360" i="7"/>
  <c r="M360" i="3" s="1"/>
  <c r="I360" i="7"/>
  <c r="L360" i="3" s="1"/>
  <c r="K360" i="3"/>
  <c r="AK360" i="7"/>
  <c r="AN360" i="3" s="1"/>
  <c r="L360" i="7"/>
  <c r="O360" i="3" s="1"/>
  <c r="AC368" i="7"/>
  <c r="AV368" i="7"/>
  <c r="AY368" i="3" s="1"/>
  <c r="AK368" i="7"/>
  <c r="AN368" i="3" s="1"/>
  <c r="AJ368" i="7"/>
  <c r="N66" i="9"/>
  <c r="J368" i="7"/>
  <c r="M368" i="3" s="1"/>
  <c r="L368" i="7"/>
  <c r="I368" i="7"/>
  <c r="L368" i="3" s="1"/>
  <c r="J371" i="7"/>
  <c r="H901" i="10"/>
  <c r="I406" i="7"/>
  <c r="L406" i="3" s="1"/>
  <c r="AV406" i="7"/>
  <c r="AY406" i="3" s="1"/>
  <c r="L406" i="7"/>
  <c r="O406" i="3" s="1"/>
  <c r="AC406" i="7"/>
  <c r="AK406" i="7"/>
  <c r="AN406" i="3" s="1"/>
  <c r="K406" i="3"/>
  <c r="AJ406" i="7"/>
  <c r="AM406" i="3" s="1"/>
  <c r="AV410" i="7"/>
  <c r="AY410" i="3" s="1"/>
  <c r="I621" i="19"/>
  <c r="R689" i="10"/>
  <c r="BX689" i="10"/>
  <c r="O689" i="10"/>
  <c r="BQ689" i="10"/>
  <c r="K689" i="10" s="1"/>
  <c r="BG689" i="10" s="1"/>
  <c r="BB689" i="10"/>
  <c r="BC689" i="10" s="1"/>
  <c r="G689" i="10"/>
  <c r="G191" i="34" s="1"/>
  <c r="T689" i="10"/>
  <c r="Q689" i="10"/>
  <c r="N689" i="10"/>
  <c r="L11" i="34"/>
  <c r="CS509" i="10"/>
  <c r="N11" i="34" s="1"/>
  <c r="L26" i="34"/>
  <c r="CS524" i="10"/>
  <c r="N26" i="34" s="1"/>
  <c r="H95" i="34"/>
  <c r="CP593" i="10"/>
  <c r="CQ593" i="10"/>
  <c r="M95" i="34" s="1"/>
  <c r="CO593" i="10"/>
  <c r="O95" i="34" s="1"/>
  <c r="L115" i="34"/>
  <c r="CS613" i="10"/>
  <c r="N115" i="34" s="1"/>
  <c r="L252" i="34"/>
  <c r="CS750" i="10"/>
  <c r="N252" i="34" s="1"/>
  <c r="AO402" i="10"/>
  <c r="H93" i="34"/>
  <c r="CP591" i="10"/>
  <c r="CO591" i="10"/>
  <c r="O93" i="34" s="1"/>
  <c r="CQ591" i="10"/>
  <c r="M93" i="34" s="1"/>
  <c r="I641" i="19"/>
  <c r="Q709" i="10"/>
  <c r="BB709" i="10"/>
  <c r="BC709" i="10" s="1"/>
  <c r="T709" i="10"/>
  <c r="R709" i="10"/>
  <c r="BX709" i="10"/>
  <c r="BQ709" i="10"/>
  <c r="K709" i="10" s="1"/>
  <c r="BG709" i="10" s="1"/>
  <c r="O709" i="10"/>
  <c r="N709" i="10"/>
  <c r="G709" i="10"/>
  <c r="G211" i="34" s="1"/>
  <c r="L16" i="7"/>
  <c r="O16" i="3" s="1"/>
  <c r="AV16" i="7"/>
  <c r="AY16" i="3" s="1"/>
  <c r="K16" i="3"/>
  <c r="AJ16" i="7"/>
  <c r="H511" i="10"/>
  <c r="AK16" i="7"/>
  <c r="AN16" i="3" s="1"/>
  <c r="H611" i="10"/>
  <c r="J116" i="7"/>
  <c r="I116" i="7"/>
  <c r="L116" i="3" s="1"/>
  <c r="AV116" i="7"/>
  <c r="AY116" i="3" s="1"/>
  <c r="N22" i="9"/>
  <c r="AJ116" i="7"/>
  <c r="K116" i="3"/>
  <c r="H702" i="10"/>
  <c r="I207" i="7"/>
  <c r="L207" i="3" s="1"/>
  <c r="AK207" i="7"/>
  <c r="AN207" i="3" s="1"/>
  <c r="AJ207" i="7"/>
  <c r="K207" i="3"/>
  <c r="J207" i="7"/>
  <c r="AV207" i="7"/>
  <c r="AY207" i="3" s="1"/>
  <c r="L207" i="7"/>
  <c r="O207" i="3" s="1"/>
  <c r="AO301" i="10"/>
  <c r="BX501" i="10"/>
  <c r="T501" i="10"/>
  <c r="H510" i="10"/>
  <c r="AJ15" i="7"/>
  <c r="AK15" i="7"/>
  <c r="AN15" i="3" s="1"/>
  <c r="K15" i="3"/>
  <c r="I16" i="7"/>
  <c r="L16" i="3" s="1"/>
  <c r="H557" i="10"/>
  <c r="K62" i="3"/>
  <c r="AV62" i="7"/>
  <c r="AY62" i="3" s="1"/>
  <c r="L62" i="7"/>
  <c r="O62" i="3" s="1"/>
  <c r="AT62" i="7"/>
  <c r="AW62" i="3" s="1"/>
  <c r="J62" i="7"/>
  <c r="M62" i="3" s="1"/>
  <c r="AJ127" i="7"/>
  <c r="AM127" i="3" s="1"/>
  <c r="AV127" i="7"/>
  <c r="AY127" i="3" s="1"/>
  <c r="L127" i="7"/>
  <c r="O127" i="3" s="1"/>
  <c r="I127" i="7"/>
  <c r="L127" i="3" s="1"/>
  <c r="J127" i="7"/>
  <c r="M127" i="3" s="1"/>
  <c r="H622" i="10"/>
  <c r="AK127" i="7"/>
  <c r="AN127" i="3" s="1"/>
  <c r="I316" i="7"/>
  <c r="H828" i="10"/>
  <c r="N59" i="9"/>
  <c r="CE59" i="9" s="1"/>
  <c r="AC333" i="7"/>
  <c r="L333" i="7"/>
  <c r="AV333" i="7"/>
  <c r="AY333" i="3" s="1"/>
  <c r="I333" i="7"/>
  <c r="L333" i="3" s="1"/>
  <c r="J333" i="7"/>
  <c r="M333" i="3" s="1"/>
  <c r="AK333" i="7"/>
  <c r="AN333" i="3" s="1"/>
  <c r="AJ333" i="7"/>
  <c r="AT333" i="7" s="1"/>
  <c r="AW333" i="3" s="1"/>
  <c r="H865" i="10"/>
  <c r="AJ370" i="7"/>
  <c r="AK370" i="7"/>
  <c r="AN370" i="3" s="1"/>
  <c r="AC370" i="7"/>
  <c r="J370" i="7"/>
  <c r="M370" i="3" s="1"/>
  <c r="U869" i="10"/>
  <c r="J374" i="7"/>
  <c r="M374" i="3" s="1"/>
  <c r="H909" i="10"/>
  <c r="AJ414" i="7"/>
  <c r="AM414" i="3" s="1"/>
  <c r="J414" i="7"/>
  <c r="M414" i="3" s="1"/>
  <c r="AK414" i="7"/>
  <c r="AN414" i="3" s="1"/>
  <c r="K414" i="3"/>
  <c r="L414" i="7"/>
  <c r="O414" i="3" s="1"/>
  <c r="AT426" i="7"/>
  <c r="AW426" i="3" s="1"/>
  <c r="R5" i="8"/>
  <c r="H52" i="35"/>
  <c r="H32" i="34"/>
  <c r="CQ530" i="10"/>
  <c r="M32" i="34" s="1"/>
  <c r="CP530" i="10"/>
  <c r="H78" i="34"/>
  <c r="CQ576" i="10"/>
  <c r="M78" i="34" s="1"/>
  <c r="CP576" i="10"/>
  <c r="CO576" i="10"/>
  <c r="O78" i="34" s="1"/>
  <c r="I249" i="34"/>
  <c r="H332" i="34"/>
  <c r="CQ830" i="10"/>
  <c r="M332" i="34" s="1"/>
  <c r="CP830" i="10"/>
  <c r="CO830" i="10"/>
  <c r="O332" i="34" s="1"/>
  <c r="I15" i="7"/>
  <c r="J16" i="7"/>
  <c r="M16" i="3" s="1"/>
  <c r="H521" i="10"/>
  <c r="J26" i="7"/>
  <c r="M26" i="3" s="1"/>
  <c r="L26" i="7"/>
  <c r="O26" i="3" s="1"/>
  <c r="I26" i="7"/>
  <c r="L26" i="3" s="1"/>
  <c r="AV26" i="7"/>
  <c r="AY26" i="3" s="1"/>
  <c r="AC26" i="7"/>
  <c r="J41" i="7"/>
  <c r="M41" i="3" s="1"/>
  <c r="AJ41" i="7"/>
  <c r="AT41" i="7" s="1"/>
  <c r="AW41" i="3" s="1"/>
  <c r="AC41" i="7"/>
  <c r="H536" i="10"/>
  <c r="L41" i="7"/>
  <c r="O41" i="3" s="1"/>
  <c r="K41" i="3"/>
  <c r="I41" i="7"/>
  <c r="L41" i="3" s="1"/>
  <c r="H540" i="10"/>
  <c r="AV45" i="7"/>
  <c r="AY45" i="3" s="1"/>
  <c r="AK45" i="7"/>
  <c r="I45" i="7"/>
  <c r="L45" i="3" s="1"/>
  <c r="AT45" i="7"/>
  <c r="AW45" i="3" s="1"/>
  <c r="AS45" i="7"/>
  <c r="AV45" i="3" s="1"/>
  <c r="K45" i="3"/>
  <c r="K45" i="7"/>
  <c r="N45" i="3" s="1"/>
  <c r="L45" i="7"/>
  <c r="I62" i="7"/>
  <c r="L62" i="3" s="1"/>
  <c r="AC92" i="7"/>
  <c r="AG138" i="7"/>
  <c r="AJ148" i="7"/>
  <c r="H644" i="10"/>
  <c r="AJ149" i="7"/>
  <c r="I149" i="7"/>
  <c r="L149" i="3" s="1"/>
  <c r="L149" i="7"/>
  <c r="O149" i="3" s="1"/>
  <c r="J149" i="7"/>
  <c r="M149" i="3" s="1"/>
  <c r="M280" i="8"/>
  <c r="AC174" i="7"/>
  <c r="AC153" i="7"/>
  <c r="AV149" i="7"/>
  <c r="AY149" i="3" s="1"/>
  <c r="AG160" i="7"/>
  <c r="H658" i="10"/>
  <c r="I163" i="7"/>
  <c r="L163" i="3" s="1"/>
  <c r="J163" i="7"/>
  <c r="K163" i="3"/>
  <c r="AV163" i="7"/>
  <c r="AY163" i="3" s="1"/>
  <c r="N30" i="9"/>
  <c r="CE30" i="9" s="1"/>
  <c r="AJ163" i="7"/>
  <c r="AK163" i="7"/>
  <c r="AN163" i="3" s="1"/>
  <c r="AG173" i="7"/>
  <c r="H672" i="10"/>
  <c r="AV177" i="7"/>
  <c r="AY177" i="3" s="1"/>
  <c r="L177" i="7"/>
  <c r="O177" i="3" s="1"/>
  <c r="J177" i="7"/>
  <c r="M177" i="3" s="1"/>
  <c r="I177" i="7"/>
  <c r="L177" i="3" s="1"/>
  <c r="AC177" i="7"/>
  <c r="AK177" i="7"/>
  <c r="AN177" i="3" s="1"/>
  <c r="AJ177" i="7"/>
  <c r="H675" i="10"/>
  <c r="AV180" i="7"/>
  <c r="AY180" i="3" s="1"/>
  <c r="J180" i="7"/>
  <c r="M180" i="3" s="1"/>
  <c r="L180" i="7"/>
  <c r="O180" i="3" s="1"/>
  <c r="AK180" i="7"/>
  <c r="AN180" i="3" s="1"/>
  <c r="AJ180" i="7"/>
  <c r="AC180" i="7"/>
  <c r="AC207" i="7"/>
  <c r="H784" i="10"/>
  <c r="BY784" i="10" s="1"/>
  <c r="AJ289" i="7"/>
  <c r="AC289" i="7"/>
  <c r="AK289" i="7"/>
  <c r="AN289" i="3" s="1"/>
  <c r="H838" i="10"/>
  <c r="J343" i="7"/>
  <c r="M343" i="3" s="1"/>
  <c r="I343" i="7"/>
  <c r="L343" i="3" s="1"/>
  <c r="AK343" i="7"/>
  <c r="AN343" i="3" s="1"/>
  <c r="AJ343" i="7"/>
  <c r="L343" i="7"/>
  <c r="O343" i="3" s="1"/>
  <c r="AV343" i="7"/>
  <c r="AY343" i="3" s="1"/>
  <c r="H862" i="10"/>
  <c r="J367" i="7"/>
  <c r="M367" i="3" s="1"/>
  <c r="I367" i="7"/>
  <c r="L367" i="3" s="1"/>
  <c r="AK367" i="7"/>
  <c r="AN367" i="3" s="1"/>
  <c r="AJ367" i="7"/>
  <c r="AV367" i="7"/>
  <c r="AY367" i="3" s="1"/>
  <c r="I370" i="7"/>
  <c r="L370" i="3" s="1"/>
  <c r="H878" i="10"/>
  <c r="AK383" i="7"/>
  <c r="AN383" i="3" s="1"/>
  <c r="AJ383" i="7"/>
  <c r="K383" i="3"/>
  <c r="L383" i="7"/>
  <c r="O383" i="3" s="1"/>
  <c r="AG400" i="7"/>
  <c r="AG386" i="7"/>
  <c r="J383" i="7"/>
  <c r="M383" i="3" s="1"/>
  <c r="AG405" i="7"/>
  <c r="AV383" i="7"/>
  <c r="AY383" i="3" s="1"/>
  <c r="I414" i="7"/>
  <c r="L414" i="3" s="1"/>
  <c r="M42" i="35"/>
  <c r="K42" i="35"/>
  <c r="H61" i="35"/>
  <c r="G62" i="35"/>
  <c r="CU65" i="9"/>
  <c r="N62" i="35" s="1"/>
  <c r="CW65" i="9"/>
  <c r="L62" i="35" s="1"/>
  <c r="CV65" i="9"/>
  <c r="CT65" i="9"/>
  <c r="L4" i="34"/>
  <c r="CS502" i="10"/>
  <c r="N4" i="34" s="1"/>
  <c r="I79" i="34"/>
  <c r="I534" i="19"/>
  <c r="T596" i="10"/>
  <c r="BB596" i="10"/>
  <c r="BC596" i="10" s="1"/>
  <c r="Q596" i="10"/>
  <c r="O596" i="10"/>
  <c r="G596" i="10"/>
  <c r="G98" i="34" s="1"/>
  <c r="H57" i="14"/>
  <c r="J95" i="7"/>
  <c r="M95" i="3" s="1"/>
  <c r="I95" i="7"/>
  <c r="L95" i="3" s="1"/>
  <c r="AJ95" i="7"/>
  <c r="AM95" i="3" s="1"/>
  <c r="H590" i="10"/>
  <c r="AV95" i="7"/>
  <c r="AY95" i="3" s="1"/>
  <c r="AK95" i="7"/>
  <c r="AN95" i="3" s="1"/>
  <c r="O235" i="3"/>
  <c r="H811" i="10"/>
  <c r="AV316" i="7"/>
  <c r="AY316" i="3" s="1"/>
  <c r="L316" i="7"/>
  <c r="K316" i="3"/>
  <c r="AK316" i="7"/>
  <c r="AN316" i="3" s="1"/>
  <c r="AJ316" i="7"/>
  <c r="H609" i="10"/>
  <c r="AV114" i="7"/>
  <c r="AY114" i="3" s="1"/>
  <c r="J114" i="7"/>
  <c r="M114" i="3" s="1"/>
  <c r="L114" i="7"/>
  <c r="O114" i="3" s="1"/>
  <c r="AK114" i="7"/>
  <c r="AN114" i="3" s="1"/>
  <c r="K114" i="3"/>
  <c r="AJ114" i="7"/>
  <c r="H613" i="10"/>
  <c r="AV118" i="7"/>
  <c r="AY118" i="3" s="1"/>
  <c r="AJ118" i="7"/>
  <c r="AG128" i="7"/>
  <c r="H628" i="10"/>
  <c r="AV133" i="7"/>
  <c r="AY133" i="3" s="1"/>
  <c r="L133" i="7"/>
  <c r="O133" i="3" s="1"/>
  <c r="AC133" i="7"/>
  <c r="J133" i="7"/>
  <c r="M133" i="3" s="1"/>
  <c r="H679" i="10"/>
  <c r="AV184" i="7"/>
  <c r="AY184" i="3" s="1"/>
  <c r="L184" i="7"/>
  <c r="O184" i="3" s="1"/>
  <c r="I184" i="7"/>
  <c r="L184" i="3" s="1"/>
  <c r="K184" i="3"/>
  <c r="AK184" i="7"/>
  <c r="AN184" i="3" s="1"/>
  <c r="AJ184" i="7"/>
  <c r="AT184" i="7" s="1"/>
  <c r="AW184" i="3" s="1"/>
  <c r="H525" i="10"/>
  <c r="N9" i="9"/>
  <c r="AK30" i="7"/>
  <c r="AN30" i="3" s="1"/>
  <c r="AJ30" i="7"/>
  <c r="AL30" i="7" s="1"/>
  <c r="K30" i="3"/>
  <c r="H563" i="10"/>
  <c r="J68" i="7"/>
  <c r="M68" i="3" s="1"/>
  <c r="L68" i="7"/>
  <c r="O68" i="3" s="1"/>
  <c r="AV68" i="7"/>
  <c r="AY68" i="3" s="1"/>
  <c r="I68" i="7"/>
  <c r="L68" i="3" s="1"/>
  <c r="AC127" i="7"/>
  <c r="AG137" i="7"/>
  <c r="J153" i="7"/>
  <c r="M153" i="3" s="1"/>
  <c r="N42" i="9"/>
  <c r="H750" i="10"/>
  <c r="K255" i="3"/>
  <c r="AK255" i="7"/>
  <c r="AJ255" i="7"/>
  <c r="AM255" i="3" s="1"/>
  <c r="AC255" i="7"/>
  <c r="AV255" i="7"/>
  <c r="AY255" i="3" s="1"/>
  <c r="H895" i="10"/>
  <c r="J400" i="7"/>
  <c r="M400" i="3" s="1"/>
  <c r="AK400" i="7"/>
  <c r="AN400" i="3" s="1"/>
  <c r="AC400" i="7"/>
  <c r="K400" i="3"/>
  <c r="I400" i="7"/>
  <c r="L400" i="3" s="1"/>
  <c r="H912" i="10"/>
  <c r="AC417" i="7"/>
  <c r="AV417" i="7"/>
  <c r="AY417" i="3" s="1"/>
  <c r="AJ417" i="7"/>
  <c r="AK417" i="7"/>
  <c r="AN417" i="3" s="1"/>
  <c r="AO400" i="10"/>
  <c r="H92" i="34"/>
  <c r="CO590" i="10"/>
  <c r="O92" i="34" s="1"/>
  <c r="CQ590" i="10"/>
  <c r="M92" i="34" s="1"/>
  <c r="BY590" i="10"/>
  <c r="CP590" i="10"/>
  <c r="I235" i="34"/>
  <c r="J15" i="7"/>
  <c r="M15" i="3" s="1"/>
  <c r="H584" i="10"/>
  <c r="AV89" i="7"/>
  <c r="AY89" i="3" s="1"/>
  <c r="AC89" i="7"/>
  <c r="K89" i="3"/>
  <c r="J89" i="7"/>
  <c r="M89" i="3" s="1"/>
  <c r="J118" i="7"/>
  <c r="M118" i="3" s="1"/>
  <c r="H670" i="10"/>
  <c r="AV175" i="7"/>
  <c r="AY175" i="3" s="1"/>
  <c r="AK175" i="7"/>
  <c r="AJ175" i="7"/>
  <c r="AC175" i="7"/>
  <c r="L175" i="7"/>
  <c r="O175" i="3" s="1"/>
  <c r="J175" i="7"/>
  <c r="M175" i="3" s="1"/>
  <c r="I180" i="7"/>
  <c r="L180" i="3" s="1"/>
  <c r="H737" i="10"/>
  <c r="J242" i="7"/>
  <c r="M242" i="3" s="1"/>
  <c r="I242" i="7"/>
  <c r="L242" i="3" s="1"/>
  <c r="K242" i="3"/>
  <c r="AJ242" i="7"/>
  <c r="L242" i="7"/>
  <c r="O242" i="3" s="1"/>
  <c r="H763" i="10"/>
  <c r="AV268" i="7"/>
  <c r="AY268" i="3" s="1"/>
  <c r="J268" i="7"/>
  <c r="AK268" i="7"/>
  <c r="AN268" i="3" s="1"/>
  <c r="AJ268" i="7"/>
  <c r="AL268" i="7"/>
  <c r="AS268" i="7"/>
  <c r="AV268" i="3" s="1"/>
  <c r="H801" i="10"/>
  <c r="AJ306" i="7"/>
  <c r="K306" i="3"/>
  <c r="L306" i="7"/>
  <c r="O306" i="3" s="1"/>
  <c r="J306" i="7"/>
  <c r="M306" i="3" s="1"/>
  <c r="I306" i="7"/>
  <c r="L306" i="3" s="1"/>
  <c r="L370" i="7"/>
  <c r="O370" i="3" s="1"/>
  <c r="I374" i="7"/>
  <c r="L374" i="3" s="1"/>
  <c r="AX27" i="9"/>
  <c r="AY27" i="9" s="1"/>
  <c r="H517" i="10"/>
  <c r="AK22" i="7"/>
  <c r="AN22" i="3" s="1"/>
  <c r="K22" i="3"/>
  <c r="AJ22" i="7"/>
  <c r="Y255" i="11"/>
  <c r="H519" i="10"/>
  <c r="AG30" i="7"/>
  <c r="AC28" i="7"/>
  <c r="J24" i="7"/>
  <c r="N8" i="9"/>
  <c r="AG32" i="7"/>
  <c r="AC30" i="7"/>
  <c r="M275" i="8"/>
  <c r="AK24" i="7"/>
  <c r="AN24" i="3" s="1"/>
  <c r="AG43" i="7"/>
  <c r="AC25" i="7"/>
  <c r="AJ24" i="7"/>
  <c r="AG49" i="7"/>
  <c r="AG46" i="7"/>
  <c r="AG40" i="7"/>
  <c r="AG37" i="7"/>
  <c r="AC31" i="7"/>
  <c r="AC43" i="7"/>
  <c r="AC37" i="7"/>
  <c r="AG36" i="7"/>
  <c r="AG29" i="7"/>
  <c r="AG41" i="7"/>
  <c r="AG47" i="7"/>
  <c r="AG35" i="7"/>
  <c r="N275" i="8"/>
  <c r="AG38" i="7"/>
  <c r="AG34" i="7"/>
  <c r="AG27" i="7"/>
  <c r="AJ27" i="3" s="1"/>
  <c r="AG26" i="7"/>
  <c r="AJ26" i="3" s="1"/>
  <c r="AC34" i="7"/>
  <c r="AC24" i="7"/>
  <c r="AC40" i="7"/>
  <c r="AG31" i="7"/>
  <c r="AG28" i="7"/>
  <c r="AJ28" i="3" s="1"/>
  <c r="AG25" i="7"/>
  <c r="AJ25" i="3" s="1"/>
  <c r="K24" i="3"/>
  <c r="L24" i="7"/>
  <c r="I30" i="7"/>
  <c r="L30" i="3" s="1"/>
  <c r="H526" i="10"/>
  <c r="I31" i="7"/>
  <c r="L31" i="3" s="1"/>
  <c r="L31" i="7"/>
  <c r="O31" i="3" s="1"/>
  <c r="K31" i="3"/>
  <c r="AC45" i="7"/>
  <c r="AB256" i="11"/>
  <c r="H555" i="10"/>
  <c r="L60" i="7"/>
  <c r="O60" i="3" s="1"/>
  <c r="AV60" i="7"/>
  <c r="AY60" i="3" s="1"/>
  <c r="I60" i="7"/>
  <c r="L60" i="3" s="1"/>
  <c r="AK60" i="7"/>
  <c r="AN60" i="3" s="1"/>
  <c r="AJ60" i="7"/>
  <c r="AC60" i="7"/>
  <c r="J60" i="7"/>
  <c r="M60" i="3" s="1"/>
  <c r="H558" i="10"/>
  <c r="AV63" i="7"/>
  <c r="AY63" i="3" s="1"/>
  <c r="L63" i="7"/>
  <c r="J63" i="7"/>
  <c r="M63" i="3" s="1"/>
  <c r="I63" i="7"/>
  <c r="L63" i="3" s="1"/>
  <c r="N14" i="9"/>
  <c r="H577" i="10"/>
  <c r="L82" i="7"/>
  <c r="O82" i="3" s="1"/>
  <c r="AJ82" i="7"/>
  <c r="AT82" i="7" s="1"/>
  <c r="AW82" i="3" s="1"/>
  <c r="AV82" i="7"/>
  <c r="AY82" i="3" s="1"/>
  <c r="J82" i="7"/>
  <c r="M82" i="3" s="1"/>
  <c r="K82" i="7"/>
  <c r="N82" i="3" s="1"/>
  <c r="I89" i="7"/>
  <c r="L89" i="3" s="1"/>
  <c r="J90" i="7"/>
  <c r="M90" i="3" s="1"/>
  <c r="AC90" i="7"/>
  <c r="H585" i="10"/>
  <c r="L90" i="7"/>
  <c r="O90" i="3" s="1"/>
  <c r="I90" i="7"/>
  <c r="L90" i="3" s="1"/>
  <c r="AV90" i="7"/>
  <c r="AY90" i="3" s="1"/>
  <c r="K90" i="3"/>
  <c r="L107" i="7"/>
  <c r="O107" i="3" s="1"/>
  <c r="AJ107" i="7"/>
  <c r="AC107" i="7"/>
  <c r="H602" i="10"/>
  <c r="J107" i="7"/>
  <c r="M107" i="3" s="1"/>
  <c r="I107" i="7"/>
  <c r="L107" i="3" s="1"/>
  <c r="L126" i="7"/>
  <c r="O126" i="3" s="1"/>
  <c r="AV126" i="7"/>
  <c r="AY126" i="3" s="1"/>
  <c r="J126" i="7"/>
  <c r="M126" i="3" s="1"/>
  <c r="I126" i="7"/>
  <c r="L126" i="3" s="1"/>
  <c r="AC137" i="7"/>
  <c r="P279" i="8"/>
  <c r="R279" i="8"/>
  <c r="AG141" i="7"/>
  <c r="H621" i="10"/>
  <c r="O279" i="8"/>
  <c r="AK126" i="7"/>
  <c r="AN126" i="3" s="1"/>
  <c r="AC135" i="7"/>
  <c r="AG136" i="7"/>
  <c r="J144" i="7"/>
  <c r="AC149" i="7"/>
  <c r="AC163" i="7"/>
  <c r="I175" i="7"/>
  <c r="H682" i="10"/>
  <c r="L187" i="7"/>
  <c r="O187" i="3" s="1"/>
  <c r="AJ187" i="7"/>
  <c r="AT187" i="7" s="1"/>
  <c r="AW187" i="3" s="1"/>
  <c r="K187" i="3"/>
  <c r="J187" i="7"/>
  <c r="M187" i="3" s="1"/>
  <c r="AV187" i="7"/>
  <c r="AY187" i="3" s="1"/>
  <c r="I187" i="7"/>
  <c r="L187" i="3" s="1"/>
  <c r="H722" i="10"/>
  <c r="J227" i="7"/>
  <c r="M227" i="3" s="1"/>
  <c r="I227" i="7"/>
  <c r="L227" i="3" s="1"/>
  <c r="K227" i="3"/>
  <c r="AV227" i="7"/>
  <c r="AY227" i="3" s="1"/>
  <c r="L227" i="7"/>
  <c r="O227" i="3" s="1"/>
  <c r="I268" i="7"/>
  <c r="L268" i="3" s="1"/>
  <c r="J289" i="7"/>
  <c r="AC343" i="7"/>
  <c r="AC367" i="7"/>
  <c r="L400" i="7"/>
  <c r="O400" i="3" s="1"/>
  <c r="I417" i="7"/>
  <c r="L417" i="3" s="1"/>
  <c r="M25" i="35"/>
  <c r="K25" i="35"/>
  <c r="AO380" i="10"/>
  <c r="AO107" i="10"/>
  <c r="AO191" i="10"/>
  <c r="AO355" i="10"/>
  <c r="AV21" i="7"/>
  <c r="AY21" i="3" s="1"/>
  <c r="AJ21" i="7"/>
  <c r="AK21" i="7"/>
  <c r="AN21" i="3" s="1"/>
  <c r="H516" i="10"/>
  <c r="J22" i="7"/>
  <c r="AV25" i="7"/>
  <c r="L25" i="7"/>
  <c r="O25" i="3" s="1"/>
  <c r="K25" i="3"/>
  <c r="J25" i="7"/>
  <c r="M25" i="3" s="1"/>
  <c r="I25" i="7"/>
  <c r="H520" i="10"/>
  <c r="H554" i="10"/>
  <c r="AJ59" i="7"/>
  <c r="K59" i="3"/>
  <c r="J59" i="7"/>
  <c r="I59" i="7"/>
  <c r="L59" i="3" s="1"/>
  <c r="H636" i="10"/>
  <c r="I141" i="7"/>
  <c r="L141" i="3" s="1"/>
  <c r="L141" i="7"/>
  <c r="O141" i="3" s="1"/>
  <c r="J141" i="7"/>
  <c r="M141" i="3" s="1"/>
  <c r="AK141" i="7"/>
  <c r="AN141" i="3" s="1"/>
  <c r="K141" i="3"/>
  <c r="AJ141" i="7"/>
  <c r="AM141" i="3" s="1"/>
  <c r="AC141" i="7"/>
  <c r="H647" i="10"/>
  <c r="AJ152" i="7"/>
  <c r="AV152" i="7"/>
  <c r="AY152" i="3" s="1"/>
  <c r="L152" i="7"/>
  <c r="O152" i="3" s="1"/>
  <c r="I152" i="7"/>
  <c r="L152" i="3" s="1"/>
  <c r="K152" i="3"/>
  <c r="J152" i="7"/>
  <c r="M152" i="3" s="1"/>
  <c r="N284" i="8"/>
  <c r="L268" i="7"/>
  <c r="O268" i="3" s="1"/>
  <c r="AJ277" i="7"/>
  <c r="K277" i="3"/>
  <c r="AC277" i="7"/>
  <c r="H772" i="10"/>
  <c r="L277" i="7"/>
  <c r="O277" i="3" s="1"/>
  <c r="J277" i="7"/>
  <c r="M277" i="3" s="1"/>
  <c r="AV277" i="7"/>
  <c r="AY277" i="3" s="1"/>
  <c r="H791" i="10"/>
  <c r="AK296" i="7"/>
  <c r="AN296" i="3" s="1"/>
  <c r="AV296" i="7"/>
  <c r="AY296" i="3" s="1"/>
  <c r="J296" i="7"/>
  <c r="M296" i="3" s="1"/>
  <c r="I296" i="7"/>
  <c r="L296" i="3" s="1"/>
  <c r="L296" i="7"/>
  <c r="O296" i="3" s="1"/>
  <c r="AJ296" i="7"/>
  <c r="AM296" i="3" s="1"/>
  <c r="AC296" i="7"/>
  <c r="H827" i="10"/>
  <c r="J332" i="7"/>
  <c r="M332" i="3" s="1"/>
  <c r="AJ332" i="7"/>
  <c r="AK332" i="7"/>
  <c r="AN332" i="3" s="1"/>
  <c r="K332" i="3"/>
  <c r="I332" i="7"/>
  <c r="L332" i="3" s="1"/>
  <c r="L332" i="7"/>
  <c r="O332" i="3" s="1"/>
  <c r="AC332" i="7"/>
  <c r="H899" i="10"/>
  <c r="J404" i="7"/>
  <c r="M404" i="3" s="1"/>
  <c r="I404" i="7"/>
  <c r="L404" i="3" s="1"/>
  <c r="L404" i="7"/>
  <c r="O404" i="3" s="1"/>
  <c r="AC404" i="7"/>
  <c r="AK404" i="7"/>
  <c r="AN404" i="3" s="1"/>
  <c r="AJ404" i="7"/>
  <c r="K404" i="3"/>
  <c r="L417" i="7"/>
  <c r="O417" i="3" s="1"/>
  <c r="G37" i="35"/>
  <c r="CW40" i="9"/>
  <c r="L37" i="35" s="1"/>
  <c r="CU40" i="9"/>
  <c r="N37" i="35" s="1"/>
  <c r="CT40" i="9"/>
  <c r="CV40" i="9"/>
  <c r="H41" i="34"/>
  <c r="CQ539" i="10"/>
  <c r="M41" i="34" s="1"/>
  <c r="CP539" i="10"/>
  <c r="CO539" i="10"/>
  <c r="O41" i="34" s="1"/>
  <c r="I754" i="19"/>
  <c r="BB592" i="10"/>
  <c r="BC592" i="10" s="1"/>
  <c r="I592" i="10"/>
  <c r="P592" i="10" s="1"/>
  <c r="R592" i="10"/>
  <c r="N592" i="10"/>
  <c r="G592" i="10"/>
  <c r="G94" i="34" s="1"/>
  <c r="H105" i="34"/>
  <c r="CQ603" i="10"/>
  <c r="M105" i="34" s="1"/>
  <c r="CO603" i="10"/>
  <c r="O105" i="34" s="1"/>
  <c r="CP603" i="10"/>
  <c r="L110" i="34"/>
  <c r="CS608" i="10"/>
  <c r="N110" i="34" s="1"/>
  <c r="M279" i="8"/>
  <c r="G16" i="35"/>
  <c r="CU19" i="9"/>
  <c r="N16" i="35" s="1"/>
  <c r="CT19" i="9"/>
  <c r="H66" i="35"/>
  <c r="G68" i="35"/>
  <c r="CW71" i="9"/>
  <c r="L68" i="35" s="1"/>
  <c r="CV71" i="9"/>
  <c r="CU71" i="9"/>
  <c r="N68" i="35" s="1"/>
  <c r="CT71" i="9"/>
  <c r="AO207" i="10"/>
  <c r="H21" i="34"/>
  <c r="CQ519" i="10"/>
  <c r="M21" i="34" s="1"/>
  <c r="CP519" i="10"/>
  <c r="CO519" i="10"/>
  <c r="O21" i="34" s="1"/>
  <c r="H68" i="34"/>
  <c r="CQ566" i="10"/>
  <c r="M68" i="34" s="1"/>
  <c r="CP566" i="10"/>
  <c r="CO566" i="10"/>
  <c r="O68" i="34" s="1"/>
  <c r="AO310" i="10"/>
  <c r="I69" i="34"/>
  <c r="L90" i="34"/>
  <c r="CS588" i="10"/>
  <c r="N90" i="34" s="1"/>
  <c r="I565" i="19"/>
  <c r="I629" i="10"/>
  <c r="P629" i="10" s="1"/>
  <c r="R629" i="10"/>
  <c r="BB629" i="10"/>
  <c r="BC629" i="10" s="1"/>
  <c r="N629" i="10"/>
  <c r="G629" i="10"/>
  <c r="G131" i="34" s="1"/>
  <c r="BQ629" i="10"/>
  <c r="K629" i="10" s="1"/>
  <c r="BG629" i="10" s="1"/>
  <c r="H138" i="34"/>
  <c r="CQ636" i="10"/>
  <c r="M138" i="34" s="1"/>
  <c r="CP636" i="10"/>
  <c r="CO636" i="10"/>
  <c r="O138" i="34" s="1"/>
  <c r="K39" i="3"/>
  <c r="AX57" i="9"/>
  <c r="AY57" i="9" s="1"/>
  <c r="AX35" i="9"/>
  <c r="AY35" i="9" s="1"/>
  <c r="AX13" i="9"/>
  <c r="AY13" i="9" s="1"/>
  <c r="AX75" i="9"/>
  <c r="AY75" i="9" s="1"/>
  <c r="AX74" i="9"/>
  <c r="AY74" i="9" s="1"/>
  <c r="AX73" i="9"/>
  <c r="AY73" i="9" s="1"/>
  <c r="AX72" i="9"/>
  <c r="AY72" i="9" s="1"/>
  <c r="AX71" i="9"/>
  <c r="AY71" i="9" s="1"/>
  <c r="AX70" i="9"/>
  <c r="AY70" i="9" s="1"/>
  <c r="AX69" i="9"/>
  <c r="AY69" i="9" s="1"/>
  <c r="AX16" i="9"/>
  <c r="AY16" i="9" s="1"/>
  <c r="AX15" i="9"/>
  <c r="AY15" i="9" s="1"/>
  <c r="AX76" i="9"/>
  <c r="AY76" i="9" s="1"/>
  <c r="AX68" i="9"/>
  <c r="AY68" i="9" s="1"/>
  <c r="AX67" i="9"/>
  <c r="AY67" i="9" s="1"/>
  <c r="AX58" i="9"/>
  <c r="AY58" i="9" s="1"/>
  <c r="AX56" i="9"/>
  <c r="AY56" i="9" s="1"/>
  <c r="AX55" i="9"/>
  <c r="AY55" i="9" s="1"/>
  <c r="AX54" i="9"/>
  <c r="AY54" i="9" s="1"/>
  <c r="AX25" i="9"/>
  <c r="AY25" i="9" s="1"/>
  <c r="AX14" i="9"/>
  <c r="AY14" i="9" s="1"/>
  <c r="AX66" i="9"/>
  <c r="AY66" i="9" s="1"/>
  <c r="AX60" i="9"/>
  <c r="AY60" i="9" s="1"/>
  <c r="AX26" i="9"/>
  <c r="AY26" i="9" s="1"/>
  <c r="AX51" i="9"/>
  <c r="AY51" i="9" s="1"/>
  <c r="AX5" i="9"/>
  <c r="AY5" i="9" s="1"/>
  <c r="AX50" i="9"/>
  <c r="AY50" i="9" s="1"/>
  <c r="AX47" i="9"/>
  <c r="AY47" i="9" s="1"/>
  <c r="AX41" i="9"/>
  <c r="AY41" i="9" s="1"/>
  <c r="AX28" i="9"/>
  <c r="AY28" i="9" s="1"/>
  <c r="AX52" i="9"/>
  <c r="AY52" i="9" s="1"/>
  <c r="AX43" i="9"/>
  <c r="AY43" i="9" s="1"/>
  <c r="AX39" i="9"/>
  <c r="AY39" i="9" s="1"/>
  <c r="AX18" i="9"/>
  <c r="AY18" i="9" s="1"/>
  <c r="AX7" i="9"/>
  <c r="AY7" i="9" s="1"/>
  <c r="AX49" i="9"/>
  <c r="AY49" i="9" s="1"/>
  <c r="AX63" i="9"/>
  <c r="AY63" i="9" s="1"/>
  <c r="AX31" i="9"/>
  <c r="AY31" i="9" s="1"/>
  <c r="AX30" i="9"/>
  <c r="AY30" i="9" s="1"/>
  <c r="AX22" i="9"/>
  <c r="AY22" i="9" s="1"/>
  <c r="AX65" i="9"/>
  <c r="AY65" i="9" s="1"/>
  <c r="AX64" i="9"/>
  <c r="AY64" i="9" s="1"/>
  <c r="AX44" i="9"/>
  <c r="AY44" i="9" s="1"/>
  <c r="AX37" i="9"/>
  <c r="AY37" i="9" s="1"/>
  <c r="AX36" i="9"/>
  <c r="AY36" i="9" s="1"/>
  <c r="AX21" i="9"/>
  <c r="AY21" i="9" s="1"/>
  <c r="AX9" i="9"/>
  <c r="AY9" i="9" s="1"/>
  <c r="AX6" i="9"/>
  <c r="AY6" i="9" s="1"/>
  <c r="AX61" i="9"/>
  <c r="AY61" i="9" s="1"/>
  <c r="AX19" i="9"/>
  <c r="AY19" i="9" s="1"/>
  <c r="AX40" i="9"/>
  <c r="AY40" i="9" s="1"/>
  <c r="AX23" i="9"/>
  <c r="AY23" i="9" s="1"/>
  <c r="AX10" i="9"/>
  <c r="AY10" i="9" s="1"/>
  <c r="AX20" i="9"/>
  <c r="AY20" i="9" s="1"/>
  <c r="J20" i="7"/>
  <c r="M20" i="3" s="1"/>
  <c r="I20" i="7"/>
  <c r="L20" i="3" s="1"/>
  <c r="AV20" i="7"/>
  <c r="AY20" i="3" s="1"/>
  <c r="H538" i="10"/>
  <c r="AV43" i="7"/>
  <c r="AY43" i="3" s="1"/>
  <c r="K43" i="3"/>
  <c r="H541" i="10"/>
  <c r="J46" i="7"/>
  <c r="H544" i="10"/>
  <c r="H550" i="10"/>
  <c r="AK55" i="7"/>
  <c r="AN55" i="3" s="1"/>
  <c r="AJ55" i="7"/>
  <c r="AT55" i="7" s="1"/>
  <c r="AW55" i="3" s="1"/>
  <c r="AC55" i="7"/>
  <c r="AJ61" i="7"/>
  <c r="H556" i="10"/>
  <c r="AC61" i="7"/>
  <c r="AV61" i="7"/>
  <c r="AY61" i="3" s="1"/>
  <c r="AV94" i="7"/>
  <c r="AY94" i="3" s="1"/>
  <c r="L94" i="7"/>
  <c r="O94" i="3" s="1"/>
  <c r="J94" i="7"/>
  <c r="M94" i="3" s="1"/>
  <c r="K94" i="3"/>
  <c r="H598" i="10"/>
  <c r="AK103" i="7"/>
  <c r="AN103" i="3" s="1"/>
  <c r="AJ103" i="7"/>
  <c r="AL103" i="7" s="1"/>
  <c r="K103" i="3"/>
  <c r="L103" i="7"/>
  <c r="O103" i="3" s="1"/>
  <c r="H627" i="10"/>
  <c r="AK132" i="7"/>
  <c r="AN132" i="3" s="1"/>
  <c r="AJ132" i="7"/>
  <c r="AV132" i="7"/>
  <c r="AY132" i="3" s="1"/>
  <c r="H630" i="10"/>
  <c r="AK135" i="7"/>
  <c r="AN135" i="3" s="1"/>
  <c r="K135" i="3"/>
  <c r="H648" i="10"/>
  <c r="AV153" i="7"/>
  <c r="AY153" i="3" s="1"/>
  <c r="AK153" i="7"/>
  <c r="AN153" i="3" s="1"/>
  <c r="AJ153" i="7"/>
  <c r="H676" i="10"/>
  <c r="J181" i="7"/>
  <c r="M181" i="3" s="1"/>
  <c r="I181" i="7"/>
  <c r="L181" i="3" s="1"/>
  <c r="L181" i="7"/>
  <c r="O181" i="3" s="1"/>
  <c r="K181" i="7"/>
  <c r="N181" i="3" s="1"/>
  <c r="N35" i="9"/>
  <c r="L194" i="7"/>
  <c r="I689" i="10" s="1"/>
  <c r="P689" i="10" s="1"/>
  <c r="AV194" i="7"/>
  <c r="AY194" i="3" s="1"/>
  <c r="I194" i="7"/>
  <c r="L194" i="3" s="1"/>
  <c r="J194" i="7"/>
  <c r="M194" i="3" s="1"/>
  <c r="Y263" i="11"/>
  <c r="H724" i="10"/>
  <c r="R283" i="8"/>
  <c r="Q283" i="8"/>
  <c r="O283" i="8"/>
  <c r="AG255" i="7"/>
  <c r="AC253" i="7"/>
  <c r="AG233" i="7"/>
  <c r="AJ233" i="3" s="1"/>
  <c r="AC231" i="7"/>
  <c r="AG250" i="7"/>
  <c r="AC248" i="7"/>
  <c r="AG252" i="7"/>
  <c r="AC250" i="7"/>
  <c r="AG230" i="7"/>
  <c r="AJ230" i="3" s="1"/>
  <c r="I229" i="7"/>
  <c r="AG256" i="7"/>
  <c r="AC241" i="7"/>
  <c r="K229" i="3"/>
  <c r="AG251" i="7"/>
  <c r="AC237" i="7"/>
  <c r="AC252" i="7"/>
  <c r="AG247" i="7"/>
  <c r="AG229" i="7"/>
  <c r="AJ229" i="3" s="1"/>
  <c r="AG240" i="7"/>
  <c r="AG243" i="7"/>
  <c r="AG245" i="7"/>
  <c r="AC235" i="7"/>
  <c r="AC234" i="7"/>
  <c r="AG232" i="7"/>
  <c r="AJ232" i="3" s="1"/>
  <c r="AG254" i="7"/>
  <c r="AG244" i="7"/>
  <c r="AG242" i="7"/>
  <c r="AG231" i="7"/>
  <c r="AJ231" i="3" s="1"/>
  <c r="AG253" i="7"/>
  <c r="H727" i="10"/>
  <c r="I232" i="7"/>
  <c r="L232" i="3" s="1"/>
  <c r="AK232" i="7"/>
  <c r="K232" i="3"/>
  <c r="AJ232" i="7"/>
  <c r="AG235" i="7"/>
  <c r="AG237" i="7"/>
  <c r="H761" i="10"/>
  <c r="N47" i="9"/>
  <c r="J266" i="7"/>
  <c r="M266" i="3" s="1"/>
  <c r="AJ266" i="7"/>
  <c r="K266" i="3"/>
  <c r="AV266" i="7"/>
  <c r="AY266" i="3" s="1"/>
  <c r="I266" i="7"/>
  <c r="L266" i="3" s="1"/>
  <c r="AK266" i="7"/>
  <c r="AN266" i="3" s="1"/>
  <c r="L301" i="7"/>
  <c r="O301" i="3" s="1"/>
  <c r="L339" i="7"/>
  <c r="O339" i="3" s="1"/>
  <c r="AJ347" i="7"/>
  <c r="AT347" i="7" s="1"/>
  <c r="AW347" i="3" s="1"/>
  <c r="AV347" i="7"/>
  <c r="AY347" i="3" s="1"/>
  <c r="L347" i="7"/>
  <c r="I347" i="7"/>
  <c r="L347" i="3" s="1"/>
  <c r="AC347" i="7"/>
  <c r="H860" i="10"/>
  <c r="AJ365" i="7"/>
  <c r="J365" i="7"/>
  <c r="I365" i="7"/>
  <c r="L365" i="3" s="1"/>
  <c r="AK365" i="7"/>
  <c r="AN365" i="3" s="1"/>
  <c r="AV382" i="7"/>
  <c r="AY382" i="3" s="1"/>
  <c r="H880" i="10"/>
  <c r="L385" i="7"/>
  <c r="N69" i="9"/>
  <c r="AC385" i="7"/>
  <c r="H882" i="10"/>
  <c r="AK387" i="7"/>
  <c r="L387" i="7"/>
  <c r="O387" i="3" s="1"/>
  <c r="AV387" i="7"/>
  <c r="AY387" i="3" s="1"/>
  <c r="I387" i="7"/>
  <c r="L387" i="3" s="1"/>
  <c r="AG406" i="7"/>
  <c r="L424" i="7"/>
  <c r="O424" i="3" s="1"/>
  <c r="B125" i="8"/>
  <c r="M187" i="8"/>
  <c r="M284" i="8"/>
  <c r="H17" i="35"/>
  <c r="G28" i="35"/>
  <c r="CV31" i="9"/>
  <c r="N40" i="9"/>
  <c r="H55" i="35"/>
  <c r="AO182" i="10"/>
  <c r="AO349" i="10"/>
  <c r="AO396" i="10"/>
  <c r="AO421" i="10"/>
  <c r="H3" i="34"/>
  <c r="CQ501" i="10"/>
  <c r="M3" i="34" s="1"/>
  <c r="CP501" i="10"/>
  <c r="CO501" i="10"/>
  <c r="O3" i="34" s="1"/>
  <c r="F58" i="25"/>
  <c r="G27" i="28"/>
  <c r="G5" i="28"/>
  <c r="G32" i="28"/>
  <c r="G10" i="28"/>
  <c r="G37" i="28"/>
  <c r="G15" i="28"/>
  <c r="G30" i="28"/>
  <c r="G8" i="28"/>
  <c r="G35" i="28"/>
  <c r="G13" i="28"/>
  <c r="G23" i="28"/>
  <c r="G18" i="28"/>
  <c r="G11" i="28"/>
  <c r="G25" i="28"/>
  <c r="G4" i="28"/>
  <c r="G6" i="28"/>
  <c r="G20" i="28"/>
  <c r="G34" i="28"/>
  <c r="G29" i="28"/>
  <c r="G22" i="28"/>
  <c r="G28" i="28"/>
  <c r="G2" i="28"/>
  <c r="G21" i="28"/>
  <c r="G17" i="28"/>
  <c r="G9" i="28"/>
  <c r="G19" i="28"/>
  <c r="G14" i="28"/>
  <c r="G3" i="28"/>
  <c r="G7" i="28"/>
  <c r="G36" i="28"/>
  <c r="G26" i="28"/>
  <c r="G16" i="28"/>
  <c r="G12" i="28"/>
  <c r="G33" i="28"/>
  <c r="G24" i="28"/>
  <c r="G31" i="28"/>
  <c r="B149" i="2"/>
  <c r="H507" i="10"/>
  <c r="N6" i="9"/>
  <c r="AK12" i="7"/>
  <c r="L12" i="7"/>
  <c r="AV12" i="7"/>
  <c r="AY12" i="3" s="1"/>
  <c r="J12" i="7"/>
  <c r="M12" i="3" s="1"/>
  <c r="K12" i="3"/>
  <c r="H509" i="10"/>
  <c r="L14" i="7"/>
  <c r="O14" i="3" s="1"/>
  <c r="I14" i="7"/>
  <c r="L14" i="3" s="1"/>
  <c r="K14" i="3"/>
  <c r="AK14" i="7"/>
  <c r="AN14" i="3" s="1"/>
  <c r="I43" i="7"/>
  <c r="L43" i="3" s="1"/>
  <c r="I46" i="7"/>
  <c r="L46" i="3" s="1"/>
  <c r="I49" i="7"/>
  <c r="L49" i="3" s="1"/>
  <c r="I55" i="7"/>
  <c r="L55" i="3" s="1"/>
  <c r="AV55" i="7"/>
  <c r="AY55" i="3" s="1"/>
  <c r="I61" i="7"/>
  <c r="AV101" i="7"/>
  <c r="AC101" i="7"/>
  <c r="I103" i="7"/>
  <c r="L103" i="3" s="1"/>
  <c r="H599" i="10"/>
  <c r="L104" i="7"/>
  <c r="K104" i="3"/>
  <c r="AV104" i="7"/>
  <c r="AY104" i="3" s="1"/>
  <c r="J104" i="7"/>
  <c r="M104" i="3" s="1"/>
  <c r="I132" i="7"/>
  <c r="I135" i="7"/>
  <c r="I153" i="7"/>
  <c r="L153" i="3" s="1"/>
  <c r="H651" i="10"/>
  <c r="J156" i="7"/>
  <c r="M156" i="3" s="1"/>
  <c r="AC156" i="7"/>
  <c r="H691" i="10"/>
  <c r="AJ196" i="7"/>
  <c r="I196" i="7"/>
  <c r="L196" i="3" s="1"/>
  <c r="J196" i="7"/>
  <c r="AV196" i="7"/>
  <c r="AY196" i="3" s="1"/>
  <c r="J229" i="7"/>
  <c r="AG236" i="7"/>
  <c r="AG238" i="7"/>
  <c r="L266" i="7"/>
  <c r="H782" i="10"/>
  <c r="AV287" i="7"/>
  <c r="AY287" i="3" s="1"/>
  <c r="L287" i="7"/>
  <c r="O287" i="3" s="1"/>
  <c r="J287" i="7"/>
  <c r="AK287" i="7"/>
  <c r="AN287" i="3" s="1"/>
  <c r="AJ287" i="7"/>
  <c r="I385" i="7"/>
  <c r="L385" i="3" s="1"/>
  <c r="J387" i="7"/>
  <c r="M387" i="3" s="1"/>
  <c r="H891" i="10"/>
  <c r="AK396" i="7"/>
  <c r="AN396" i="3" s="1"/>
  <c r="K396" i="3"/>
  <c r="AJ396" i="7"/>
  <c r="AC396" i="7"/>
  <c r="H892" i="10"/>
  <c r="AK397" i="7"/>
  <c r="AN397" i="3" s="1"/>
  <c r="AV397" i="7"/>
  <c r="AY397" i="3" s="1"/>
  <c r="J397" i="7"/>
  <c r="AC397" i="7"/>
  <c r="O187" i="8"/>
  <c r="G49" i="35"/>
  <c r="CW52" i="9"/>
  <c r="L49" i="35" s="1"/>
  <c r="CU52" i="9"/>
  <c r="N49" i="35" s="1"/>
  <c r="AO132" i="10"/>
  <c r="AO169" i="10"/>
  <c r="AO220" i="10"/>
  <c r="AO254" i="10"/>
  <c r="AO306" i="10"/>
  <c r="AO371" i="10"/>
  <c r="I450" i="19"/>
  <c r="BB506" i="10"/>
  <c r="Q506" i="10"/>
  <c r="BQ506" i="10"/>
  <c r="K506" i="10" s="1"/>
  <c r="BG506" i="10" s="1"/>
  <c r="N506" i="10"/>
  <c r="O506" i="10"/>
  <c r="G506" i="10"/>
  <c r="G8" i="34" s="1"/>
  <c r="T506" i="10"/>
  <c r="I61" i="34"/>
  <c r="H589" i="10"/>
  <c r="I345" i="34"/>
  <c r="H631" i="10"/>
  <c r="AV136" i="7"/>
  <c r="AY136" i="3" s="1"/>
  <c r="J136" i="7"/>
  <c r="M136" i="3" s="1"/>
  <c r="N25" i="9"/>
  <c r="AC136" i="7"/>
  <c r="K136" i="3"/>
  <c r="L136" i="7"/>
  <c r="I136" i="7"/>
  <c r="L136" i="3" s="1"/>
  <c r="H741" i="10"/>
  <c r="AV246" i="7"/>
  <c r="AY246" i="3" s="1"/>
  <c r="J246" i="7"/>
  <c r="M246" i="3" s="1"/>
  <c r="AJ246" i="7"/>
  <c r="AM246" i="3" s="1"/>
  <c r="AL247" i="7"/>
  <c r="N43" i="9"/>
  <c r="L247" i="7"/>
  <c r="H755" i="10"/>
  <c r="AK260" i="7"/>
  <c r="AN260" i="3" s="1"/>
  <c r="K260" i="3"/>
  <c r="AJ260" i="7"/>
  <c r="L260" i="7"/>
  <c r="O260" i="3" s="1"/>
  <c r="H822" i="10"/>
  <c r="L327" i="7"/>
  <c r="O327" i="3" s="1"/>
  <c r="AK327" i="7"/>
  <c r="AN327" i="3" s="1"/>
  <c r="AJ327" i="7"/>
  <c r="AC327" i="7"/>
  <c r="K327" i="3"/>
  <c r="B129" i="8"/>
  <c r="B124" i="8"/>
  <c r="B126" i="8"/>
  <c r="B119" i="8"/>
  <c r="B123" i="8"/>
  <c r="B120" i="8"/>
  <c r="B134" i="8"/>
  <c r="B127" i="8"/>
  <c r="B130" i="8"/>
  <c r="I108" i="34"/>
  <c r="AB258" i="11"/>
  <c r="AJ105" i="7"/>
  <c r="AV105" i="7"/>
  <c r="AY105" i="3" s="1"/>
  <c r="L105" i="7"/>
  <c r="O105" i="3" s="1"/>
  <c r="J105" i="7"/>
  <c r="M105" i="3" s="1"/>
  <c r="H600" i="10"/>
  <c r="I105" i="7"/>
  <c r="L105" i="3" s="1"/>
  <c r="AV247" i="7"/>
  <c r="H756" i="10"/>
  <c r="L261" i="7"/>
  <c r="AK261" i="7"/>
  <c r="AN261" i="3" s="1"/>
  <c r="K261" i="3"/>
  <c r="AC261" i="7"/>
  <c r="J261" i="7"/>
  <c r="M261" i="3" s="1"/>
  <c r="I327" i="7"/>
  <c r="L327" i="3" s="1"/>
  <c r="H845" i="10"/>
  <c r="AJ350" i="7"/>
  <c r="AK350" i="7"/>
  <c r="AN350" i="3" s="1"/>
  <c r="AC350" i="7"/>
  <c r="AV350" i="7"/>
  <c r="AY350" i="3" s="1"/>
  <c r="AX24" i="9"/>
  <c r="AY24" i="9" s="1"/>
  <c r="AX46" i="9"/>
  <c r="AY46" i="9" s="1"/>
  <c r="H70" i="35"/>
  <c r="AG159" i="7"/>
  <c r="J260" i="7"/>
  <c r="M260" i="3" s="1"/>
  <c r="J286" i="7"/>
  <c r="M286" i="3" s="1"/>
  <c r="I307" i="7"/>
  <c r="L307" i="3" s="1"/>
  <c r="N56" i="9"/>
  <c r="H815" i="10"/>
  <c r="I320" i="7"/>
  <c r="L320" i="3" s="1"/>
  <c r="AK320" i="7"/>
  <c r="AN320" i="3" s="1"/>
  <c r="AC320" i="7"/>
  <c r="AJ320" i="7"/>
  <c r="U846" i="10"/>
  <c r="J351" i="7"/>
  <c r="M351" i="3" s="1"/>
  <c r="I418" i="7"/>
  <c r="L418" i="3" s="1"/>
  <c r="H923" i="10"/>
  <c r="I428" i="7"/>
  <c r="L428" i="3" s="1"/>
  <c r="AV428" i="7"/>
  <c r="AY428" i="3" s="1"/>
  <c r="L428" i="7"/>
  <c r="O428" i="3" s="1"/>
  <c r="K428" i="3"/>
  <c r="AK428" i="7"/>
  <c r="AN428" i="3" s="1"/>
  <c r="AO123" i="10"/>
  <c r="H4" i="34"/>
  <c r="CO502" i="10"/>
  <c r="O4" i="34" s="1"/>
  <c r="H6" i="34"/>
  <c r="CQ504" i="10"/>
  <c r="M6" i="34" s="1"/>
  <c r="CP504" i="10"/>
  <c r="CO504" i="10"/>
  <c r="O6" i="34" s="1"/>
  <c r="I23" i="34"/>
  <c r="I74" i="34"/>
  <c r="L169" i="34"/>
  <c r="CS667" i="10"/>
  <c r="N169" i="34" s="1"/>
  <c r="H739" i="10"/>
  <c r="L255" i="34"/>
  <c r="CS753" i="10"/>
  <c r="N255" i="34" s="1"/>
  <c r="L324" i="34"/>
  <c r="H528" i="10"/>
  <c r="AK33" i="7"/>
  <c r="AN33" i="3" s="1"/>
  <c r="J33" i="7"/>
  <c r="I33" i="7"/>
  <c r="L33" i="3" s="1"/>
  <c r="R718" i="10"/>
  <c r="G718" i="10"/>
  <c r="G220" i="34" s="1"/>
  <c r="Q718" i="10"/>
  <c r="T718" i="10"/>
  <c r="O281" i="3"/>
  <c r="H796" i="10"/>
  <c r="AK301" i="7"/>
  <c r="AN301" i="3" s="1"/>
  <c r="AJ301" i="7"/>
  <c r="AC301" i="7"/>
  <c r="I301" i="7"/>
  <c r="L301" i="3" s="1"/>
  <c r="AV301" i="7"/>
  <c r="AY301" i="3" s="1"/>
  <c r="AG335" i="7"/>
  <c r="H834" i="10"/>
  <c r="I339" i="7"/>
  <c r="L339" i="3" s="1"/>
  <c r="AK339" i="7"/>
  <c r="AN339" i="3" s="1"/>
  <c r="AJ339" i="7"/>
  <c r="AM339" i="3" s="1"/>
  <c r="H39" i="35"/>
  <c r="AO259" i="10"/>
  <c r="AO299" i="10"/>
  <c r="I254" i="34"/>
  <c r="AV6" i="7"/>
  <c r="AY6" i="3" s="1"/>
  <c r="J6" i="7"/>
  <c r="M6" i="3" s="1"/>
  <c r="I6" i="7"/>
  <c r="L6" i="3" s="1"/>
  <c r="AS6" i="7"/>
  <c r="AV6" i="3" s="1"/>
  <c r="H560" i="10"/>
  <c r="AV65" i="7"/>
  <c r="AY65" i="3" s="1"/>
  <c r="K65" i="3"/>
  <c r="AK65" i="7"/>
  <c r="AN65" i="3" s="1"/>
  <c r="AJ65" i="7"/>
  <c r="H705" i="10"/>
  <c r="I210" i="7"/>
  <c r="L210" i="3" s="1"/>
  <c r="AK210" i="7"/>
  <c r="AN210" i="3" s="1"/>
  <c r="K210" i="3"/>
  <c r="AJ210" i="7"/>
  <c r="I246" i="7"/>
  <c r="L246" i="3" s="1"/>
  <c r="AB266" i="11"/>
  <c r="H805" i="10"/>
  <c r="J310" i="7"/>
  <c r="M310" i="3" s="1"/>
  <c r="AJ310" i="7"/>
  <c r="AC310" i="7"/>
  <c r="G56" i="35"/>
  <c r="CV59" i="9"/>
  <c r="CW59" i="9"/>
  <c r="L56" i="35" s="1"/>
  <c r="CT59" i="9"/>
  <c r="CU59" i="9"/>
  <c r="N56" i="35" s="1"/>
  <c r="AC33" i="7"/>
  <c r="H553" i="10"/>
  <c r="L58" i="7"/>
  <c r="O58" i="3" s="1"/>
  <c r="AK58" i="7"/>
  <c r="AN58" i="3" s="1"/>
  <c r="J58" i="7"/>
  <c r="AV58" i="7"/>
  <c r="AY58" i="3" s="1"/>
  <c r="I58" i="7"/>
  <c r="L58" i="3" s="1"/>
  <c r="I65" i="7"/>
  <c r="L65" i="3" s="1"/>
  <c r="H562" i="10"/>
  <c r="K67" i="3"/>
  <c r="AV67" i="7"/>
  <c r="AY67" i="3" s="1"/>
  <c r="L67" i="7"/>
  <c r="O67" i="3" s="1"/>
  <c r="H579" i="10"/>
  <c r="N17" i="9"/>
  <c r="L84" i="7"/>
  <c r="AS84" i="7"/>
  <c r="AV84" i="3" s="1"/>
  <c r="J84" i="7"/>
  <c r="M84" i="3" s="1"/>
  <c r="H586" i="10"/>
  <c r="N18" i="9"/>
  <c r="AT91" i="7"/>
  <c r="AW91" i="3" s="1"/>
  <c r="L91" i="7"/>
  <c r="I91" i="7"/>
  <c r="L91" i="3" s="1"/>
  <c r="J91" i="7"/>
  <c r="M91" i="3" s="1"/>
  <c r="H848" i="10"/>
  <c r="K353" i="3"/>
  <c r="AV353" i="7"/>
  <c r="AY353" i="3" s="1"/>
  <c r="L353" i="7"/>
  <c r="O353" i="3" s="1"/>
  <c r="AJ353" i="7"/>
  <c r="AK353" i="7"/>
  <c r="AN353" i="3" s="1"/>
  <c r="AA269" i="11"/>
  <c r="AJ380" i="7"/>
  <c r="L380" i="7"/>
  <c r="O380" i="3" s="1"/>
  <c r="I380" i="7"/>
  <c r="L380" i="3" s="1"/>
  <c r="K380" i="3"/>
  <c r="AC380" i="7"/>
  <c r="H875" i="10"/>
  <c r="H887" i="10"/>
  <c r="AJ392" i="7"/>
  <c r="AC392" i="7"/>
  <c r="AV392" i="7"/>
  <c r="AY392" i="3" s="1"/>
  <c r="K132" i="3"/>
  <c r="J48" i="7"/>
  <c r="I48" i="7"/>
  <c r="L48" i="3" s="1"/>
  <c r="AC48" i="7"/>
  <c r="H543" i="10"/>
  <c r="H552" i="10"/>
  <c r="L57" i="7"/>
  <c r="O57" i="3" s="1"/>
  <c r="J57" i="7"/>
  <c r="M57" i="3" s="1"/>
  <c r="I57" i="7"/>
  <c r="L57" i="3" s="1"/>
  <c r="AV57" i="7"/>
  <c r="AY57" i="3" s="1"/>
  <c r="J65" i="7"/>
  <c r="M65" i="3" s="1"/>
  <c r="I67" i="7"/>
  <c r="L67" i="3" s="1"/>
  <c r="Y257" i="11"/>
  <c r="H567" i="10"/>
  <c r="O277" i="8"/>
  <c r="AG79" i="7"/>
  <c r="AC77" i="7"/>
  <c r="N277" i="8"/>
  <c r="AG96" i="7"/>
  <c r="AC94" i="7"/>
  <c r="AG74" i="7"/>
  <c r="AJ74" i="3" s="1"/>
  <c r="AC72" i="7"/>
  <c r="AC96" i="7"/>
  <c r="AG76" i="7"/>
  <c r="AC74" i="7"/>
  <c r="AG86" i="7"/>
  <c r="AC83" i="7"/>
  <c r="AC93" i="7"/>
  <c r="AG89" i="7"/>
  <c r="Q277" i="8"/>
  <c r="AG92" i="7"/>
  <c r="AG72" i="7"/>
  <c r="AJ72" i="3" s="1"/>
  <c r="R277" i="8"/>
  <c r="AG87" i="7"/>
  <c r="P277" i="8"/>
  <c r="AG97" i="7"/>
  <c r="M277" i="8"/>
  <c r="AV72" i="7"/>
  <c r="AY72" i="3" s="1"/>
  <c r="I84" i="7"/>
  <c r="L84" i="3" s="1"/>
  <c r="AJ94" i="7"/>
  <c r="I97" i="7"/>
  <c r="L97" i="3" s="1"/>
  <c r="AC97" i="7"/>
  <c r="AV97" i="7"/>
  <c r="AY97" i="3" s="1"/>
  <c r="AJ97" i="7"/>
  <c r="AT97" i="7" s="1"/>
  <c r="AW97" i="3" s="1"/>
  <c r="AC105" i="7"/>
  <c r="AB259" i="11"/>
  <c r="H632" i="10"/>
  <c r="AV137" i="7"/>
  <c r="AY137" i="3" s="1"/>
  <c r="L137" i="7"/>
  <c r="O137" i="3" s="1"/>
  <c r="I137" i="7"/>
  <c r="L137" i="3" s="1"/>
  <c r="J137" i="7"/>
  <c r="M137" i="3" s="1"/>
  <c r="I168" i="7"/>
  <c r="L168" i="3" s="1"/>
  <c r="H664" i="10"/>
  <c r="AK169" i="7"/>
  <c r="AN169" i="3" s="1"/>
  <c r="AJ169" i="7"/>
  <c r="L169" i="7"/>
  <c r="O169" i="3" s="1"/>
  <c r="H669" i="10"/>
  <c r="AJ174" i="7"/>
  <c r="J174" i="7"/>
  <c r="M174" i="3" s="1"/>
  <c r="I174" i="7"/>
  <c r="L174" i="3" s="1"/>
  <c r="AK174" i="7"/>
  <c r="AC210" i="7"/>
  <c r="AV223" i="7"/>
  <c r="AY223" i="3" s="1"/>
  <c r="I225" i="7"/>
  <c r="L225" i="3" s="1"/>
  <c r="L246" i="7"/>
  <c r="O246" i="3" s="1"/>
  <c r="Y264" i="11"/>
  <c r="R284" i="8"/>
  <c r="AG277" i="7"/>
  <c r="AC275" i="7"/>
  <c r="AK257" i="7"/>
  <c r="AN257" i="3" s="1"/>
  <c r="AG272" i="7"/>
  <c r="AC270" i="7"/>
  <c r="AJ257" i="7"/>
  <c r="AG274" i="7"/>
  <c r="AC272" i="7"/>
  <c r="AC279" i="7"/>
  <c r="AG259" i="7"/>
  <c r="AJ259" i="3" s="1"/>
  <c r="AC257" i="7"/>
  <c r="AC278" i="7"/>
  <c r="K257" i="3"/>
  <c r="P284" i="8"/>
  <c r="AG260" i="7"/>
  <c r="AJ260" i="3" s="1"/>
  <c r="L257" i="7"/>
  <c r="I752" i="10" s="1"/>
  <c r="P752" i="10" s="1"/>
  <c r="AG273" i="7"/>
  <c r="AG257" i="7"/>
  <c r="AJ257" i="3" s="1"/>
  <c r="AG270" i="7"/>
  <c r="C15" i="8"/>
  <c r="D15" i="8" s="1"/>
  <c r="D284" i="8" s="1"/>
  <c r="AG269" i="7"/>
  <c r="AG268" i="7"/>
  <c r="AC266" i="7"/>
  <c r="AG283" i="7"/>
  <c r="AJ283" i="3" s="1"/>
  <c r="J307" i="7"/>
  <c r="M307" i="3" s="1"/>
  <c r="I308" i="7"/>
  <c r="L308" i="3" s="1"/>
  <c r="L310" i="7"/>
  <c r="O310" i="3" s="1"/>
  <c r="H809" i="10"/>
  <c r="AK314" i="7"/>
  <c r="AN314" i="3" s="1"/>
  <c r="I314" i="7"/>
  <c r="L314" i="3" s="1"/>
  <c r="AV314" i="7"/>
  <c r="J342" i="7"/>
  <c r="J350" i="7"/>
  <c r="I353" i="7"/>
  <c r="L353" i="3" s="1"/>
  <c r="I377" i="7"/>
  <c r="L377" i="3" s="1"/>
  <c r="J380" i="7"/>
  <c r="M380" i="3" s="1"/>
  <c r="I392" i="7"/>
  <c r="L392" i="3" s="1"/>
  <c r="U888" i="10"/>
  <c r="J393" i="7"/>
  <c r="M393" i="3" s="1"/>
  <c r="J418" i="7"/>
  <c r="M418" i="3" s="1"/>
  <c r="J428" i="7"/>
  <c r="M428" i="3" s="1"/>
  <c r="C230" i="8"/>
  <c r="AX11" i="9"/>
  <c r="AY11" i="9" s="1"/>
  <c r="CT31" i="9"/>
  <c r="M49" i="35"/>
  <c r="K49" i="35"/>
  <c r="K58" i="35"/>
  <c r="M58" i="35"/>
  <c r="AO130" i="10"/>
  <c r="AO410" i="10"/>
  <c r="H72" i="34"/>
  <c r="CQ570" i="10"/>
  <c r="M72" i="34" s="1"/>
  <c r="CO570" i="10"/>
  <c r="O72" i="34" s="1"/>
  <c r="CP570" i="10"/>
  <c r="H75" i="34"/>
  <c r="CO573" i="10"/>
  <c r="O75" i="34" s="1"/>
  <c r="CQ573" i="10"/>
  <c r="M75" i="34" s="1"/>
  <c r="CP573" i="10"/>
  <c r="I523" i="19"/>
  <c r="R583" i="10"/>
  <c r="BX583" i="10"/>
  <c r="BQ583" i="10"/>
  <c r="K583" i="10" s="1"/>
  <c r="BG583" i="10" s="1"/>
  <c r="H88" i="34"/>
  <c r="CO586" i="10"/>
  <c r="O88" i="34" s="1"/>
  <c r="CQ586" i="10"/>
  <c r="M88" i="34" s="1"/>
  <c r="CP586" i="10"/>
  <c r="H156" i="34"/>
  <c r="CP654" i="10"/>
  <c r="CQ654" i="10"/>
  <c r="M156" i="34" s="1"/>
  <c r="CO654" i="10"/>
  <c r="O156" i="34" s="1"/>
  <c r="H534" i="10"/>
  <c r="AJ39" i="7"/>
  <c r="I39" i="7"/>
  <c r="L39" i="3" s="1"/>
  <c r="J39" i="7"/>
  <c r="M39" i="3" s="1"/>
  <c r="AV39" i="7"/>
  <c r="AY39" i="3" s="1"/>
  <c r="H587" i="10"/>
  <c r="AV92" i="7"/>
  <c r="AY92" i="3" s="1"/>
  <c r="J92" i="7"/>
  <c r="M92" i="3" s="1"/>
  <c r="AK92" i="7"/>
  <c r="AN92" i="3" s="1"/>
  <c r="K92" i="3"/>
  <c r="AJ92" i="7"/>
  <c r="AT92" i="7" s="1"/>
  <c r="AW92" i="3" s="1"/>
  <c r="L92" i="7"/>
  <c r="O92" i="3" s="1"/>
  <c r="I92" i="7"/>
  <c r="L92" i="3" s="1"/>
  <c r="H588" i="10"/>
  <c r="I93" i="7"/>
  <c r="L93" i="3" s="1"/>
  <c r="H781" i="10"/>
  <c r="AC286" i="7"/>
  <c r="N50" i="9"/>
  <c r="AK286" i="7"/>
  <c r="AN286" i="3" s="1"/>
  <c r="AJ286" i="7"/>
  <c r="H919" i="10"/>
  <c r="AJ424" i="7"/>
  <c r="AM424" i="3" s="1"/>
  <c r="AV424" i="7"/>
  <c r="AY424" i="3" s="1"/>
  <c r="AK424" i="7"/>
  <c r="AN424" i="3" s="1"/>
  <c r="J424" i="7"/>
  <c r="I424" i="7"/>
  <c r="L424" i="3" s="1"/>
  <c r="E220" i="8"/>
  <c r="C220" i="8"/>
  <c r="AO72" i="10"/>
  <c r="Q629" i="10"/>
  <c r="I223" i="7"/>
  <c r="L223" i="3" s="1"/>
  <c r="J244" i="7"/>
  <c r="M244" i="3" s="1"/>
  <c r="AC244" i="7"/>
  <c r="AJ244" i="7"/>
  <c r="I247" i="7"/>
  <c r="L247" i="3" s="1"/>
  <c r="I260" i="7"/>
  <c r="L260" i="3" s="1"/>
  <c r="I286" i="7"/>
  <c r="L286" i="3" s="1"/>
  <c r="AG334" i="7"/>
  <c r="AA268" i="11"/>
  <c r="E268" i="11" s="1"/>
  <c r="F268" i="11" s="1"/>
  <c r="H850" i="10"/>
  <c r="AC355" i="7"/>
  <c r="AV355" i="7"/>
  <c r="L355" i="7"/>
  <c r="O355" i="3" s="1"/>
  <c r="J355" i="7"/>
  <c r="M355" i="3" s="1"/>
  <c r="H877" i="10"/>
  <c r="J382" i="7"/>
  <c r="M382" i="3" s="1"/>
  <c r="I382" i="7"/>
  <c r="L382" i="3" s="1"/>
  <c r="AK382" i="7"/>
  <c r="AN382" i="3" s="1"/>
  <c r="L382" i="7"/>
  <c r="O382" i="3" s="1"/>
  <c r="AG404" i="7"/>
  <c r="B132" i="8"/>
  <c r="AO27" i="10"/>
  <c r="AO61" i="10"/>
  <c r="H10" i="34"/>
  <c r="L63" i="34"/>
  <c r="CS561" i="10"/>
  <c r="N63" i="34" s="1"/>
  <c r="T629" i="10"/>
  <c r="F57" i="25"/>
  <c r="K310" i="3"/>
  <c r="AC39" i="7"/>
  <c r="H537" i="10"/>
  <c r="N11" i="9"/>
  <c r="I42" i="7"/>
  <c r="L42" i="3" s="1"/>
  <c r="AK42" i="7"/>
  <c r="AN42" i="3" s="1"/>
  <c r="K42" i="3"/>
  <c r="AC42" i="7"/>
  <c r="H642" i="10"/>
  <c r="AK147" i="7"/>
  <c r="AN147" i="3" s="1"/>
  <c r="AJ147" i="7"/>
  <c r="AC147" i="7"/>
  <c r="AC146" i="7"/>
  <c r="K147" i="3"/>
  <c r="AG166" i="7"/>
  <c r="AC145" i="7"/>
  <c r="L173" i="7"/>
  <c r="AV173" i="7"/>
  <c r="AY173" i="3" s="1"/>
  <c r="J173" i="7"/>
  <c r="M173" i="3" s="1"/>
  <c r="AK173" i="7"/>
  <c r="AN173" i="3" s="1"/>
  <c r="AJ173" i="7"/>
  <c r="H688" i="10"/>
  <c r="AJ193" i="7"/>
  <c r="AK193" i="7"/>
  <c r="AN193" i="3" s="1"/>
  <c r="L193" i="7"/>
  <c r="O193" i="3" s="1"/>
  <c r="J223" i="7"/>
  <c r="M223" i="3" s="1"/>
  <c r="H720" i="10"/>
  <c r="AK225" i="7"/>
  <c r="AN225" i="3" s="1"/>
  <c r="AJ225" i="7"/>
  <c r="K225" i="3"/>
  <c r="L225" i="7"/>
  <c r="I244" i="7"/>
  <c r="L244" i="3" s="1"/>
  <c r="J247" i="7"/>
  <c r="M247" i="3" s="1"/>
  <c r="I261" i="7"/>
  <c r="L261" i="3" s="1"/>
  <c r="AG267" i="7"/>
  <c r="H803" i="10"/>
  <c r="N54" i="9"/>
  <c r="K308" i="3"/>
  <c r="AC308" i="7"/>
  <c r="I310" i="7"/>
  <c r="L310" i="3" s="1"/>
  <c r="J327" i="7"/>
  <c r="M327" i="3" s="1"/>
  <c r="I350" i="7"/>
  <c r="L350" i="3" s="1"/>
  <c r="H849" i="10"/>
  <c r="J354" i="7"/>
  <c r="M354" i="3" s="1"/>
  <c r="AJ354" i="7"/>
  <c r="AC354" i="7"/>
  <c r="K354" i="3"/>
  <c r="L354" i="7"/>
  <c r="O354" i="3" s="1"/>
  <c r="I355" i="7"/>
  <c r="L355" i="3" s="1"/>
  <c r="H852" i="10"/>
  <c r="AK357" i="7"/>
  <c r="AN357" i="3" s="1"/>
  <c r="AJ357" i="7"/>
  <c r="J357" i="7"/>
  <c r="M357" i="3" s="1"/>
  <c r="AV357" i="7"/>
  <c r="AY357" i="3" s="1"/>
  <c r="I357" i="7"/>
  <c r="L357" i="3" s="1"/>
  <c r="K46" i="3"/>
  <c r="K84" i="3"/>
  <c r="H551" i="10"/>
  <c r="AK56" i="7"/>
  <c r="AN56" i="3" s="1"/>
  <c r="N13" i="9"/>
  <c r="AV56" i="7"/>
  <c r="AY56" i="3" s="1"/>
  <c r="L56" i="7"/>
  <c r="AC58" i="7"/>
  <c r="L65" i="7"/>
  <c r="O65" i="3" s="1"/>
  <c r="J67" i="7"/>
  <c r="I72" i="7"/>
  <c r="AC91" i="7"/>
  <c r="AK94" i="7"/>
  <c r="AN94" i="3" s="1"/>
  <c r="J97" i="7"/>
  <c r="H620" i="10"/>
  <c r="AK125" i="7"/>
  <c r="AN125" i="3" s="1"/>
  <c r="AJ125" i="7"/>
  <c r="L125" i="7"/>
  <c r="O125" i="3" s="1"/>
  <c r="AV125" i="7"/>
  <c r="AY125" i="3" s="1"/>
  <c r="H633" i="10"/>
  <c r="K138" i="3"/>
  <c r="AK138" i="7"/>
  <c r="I138" i="7"/>
  <c r="AV138" i="7"/>
  <c r="AY138" i="3" s="1"/>
  <c r="J147" i="7"/>
  <c r="H643" i="10"/>
  <c r="L148" i="7"/>
  <c r="O148" i="3" s="1"/>
  <c r="AV148" i="7"/>
  <c r="AY148" i="3" s="1"/>
  <c r="J148" i="7"/>
  <c r="H660" i="10"/>
  <c r="AK165" i="7"/>
  <c r="AN165" i="3" s="1"/>
  <c r="AJ165" i="7"/>
  <c r="AM165" i="3" s="1"/>
  <c r="J168" i="7"/>
  <c r="I169" i="7"/>
  <c r="AC193" i="7"/>
  <c r="H698" i="10"/>
  <c r="AK203" i="7"/>
  <c r="AN203" i="3" s="1"/>
  <c r="L223" i="7"/>
  <c r="O223" i="3" s="1"/>
  <c r="J225" i="7"/>
  <c r="H736" i="10"/>
  <c r="AV241" i="7"/>
  <c r="AY241" i="3" s="1"/>
  <c r="AK241" i="7"/>
  <c r="AN241" i="3" s="1"/>
  <c r="AJ241" i="7"/>
  <c r="I257" i="7"/>
  <c r="H753" i="10"/>
  <c r="L258" i="7"/>
  <c r="O258" i="3" s="1"/>
  <c r="I258" i="7"/>
  <c r="L258" i="3" s="1"/>
  <c r="AV258" i="7"/>
  <c r="AY258" i="3" s="1"/>
  <c r="K258" i="3"/>
  <c r="J258" i="7"/>
  <c r="M258" i="3" s="1"/>
  <c r="AC258" i="7"/>
  <c r="H767" i="10"/>
  <c r="N48" i="9"/>
  <c r="AV272" i="7"/>
  <c r="AY272" i="3" s="1"/>
  <c r="AJ272" i="7"/>
  <c r="AK272" i="7"/>
  <c r="AN272" i="3" s="1"/>
  <c r="H768" i="10"/>
  <c r="I273" i="7"/>
  <c r="AC273" i="7"/>
  <c r="K273" i="3"/>
  <c r="N285" i="8"/>
  <c r="Y265" i="11"/>
  <c r="C16" i="8"/>
  <c r="D16" i="8" s="1"/>
  <c r="D285" i="8" s="1"/>
  <c r="N49" i="9"/>
  <c r="AG294" i="7"/>
  <c r="AC292" i="7"/>
  <c r="O285" i="8"/>
  <c r="AG296" i="7"/>
  <c r="AC294" i="7"/>
  <c r="AJ281" i="7"/>
  <c r="AG281" i="7"/>
  <c r="AJ281" i="3" s="1"/>
  <c r="M285" i="8"/>
  <c r="AG290" i="7"/>
  <c r="AG286" i="7"/>
  <c r="AG282" i="7"/>
  <c r="AJ282" i="3" s="1"/>
  <c r="K281" i="3"/>
  <c r="H776" i="10"/>
  <c r="AK281" i="7"/>
  <c r="AN281" i="3" s="1"/>
  <c r="AG285" i="7"/>
  <c r="J281" i="7"/>
  <c r="I281" i="7"/>
  <c r="AG289" i="7"/>
  <c r="AG288" i="7"/>
  <c r="AV281" i="7"/>
  <c r="AY281" i="3" s="1"/>
  <c r="AG287" i="7"/>
  <c r="L286" i="7"/>
  <c r="H795" i="10"/>
  <c r="L300" i="7"/>
  <c r="O300" i="3" s="1"/>
  <c r="AV300" i="7"/>
  <c r="AY300" i="3" s="1"/>
  <c r="J300" i="7"/>
  <c r="M300" i="3" s="1"/>
  <c r="AK300" i="7"/>
  <c r="AN300" i="3" s="1"/>
  <c r="J308" i="7"/>
  <c r="M308" i="3" s="1"/>
  <c r="I351" i="7"/>
  <c r="L351" i="3" s="1"/>
  <c r="J353" i="7"/>
  <c r="AC357" i="7"/>
  <c r="H864" i="10"/>
  <c r="AV369" i="7"/>
  <c r="J369" i="7"/>
  <c r="M369" i="3" s="1"/>
  <c r="L369" i="7"/>
  <c r="O369" i="3" s="1"/>
  <c r="AT369" i="7"/>
  <c r="AW369" i="3" s="1"/>
  <c r="I369" i="7"/>
  <c r="L369" i="3" s="1"/>
  <c r="K369" i="3"/>
  <c r="AC369" i="7"/>
  <c r="J377" i="7"/>
  <c r="H873" i="10"/>
  <c r="BY873" i="10" s="1"/>
  <c r="L378" i="7"/>
  <c r="O378" i="3" s="1"/>
  <c r="I378" i="7"/>
  <c r="L378" i="3" s="1"/>
  <c r="AC378" i="7"/>
  <c r="AG388" i="7"/>
  <c r="AC375" i="7"/>
  <c r="AG389" i="7"/>
  <c r="AC377" i="7"/>
  <c r="AC376" i="7"/>
  <c r="C20" i="8"/>
  <c r="AC374" i="7"/>
  <c r="AC373" i="7"/>
  <c r="N67" i="9"/>
  <c r="H874" i="10"/>
  <c r="L379" i="7"/>
  <c r="J379" i="7"/>
  <c r="M379" i="3" s="1"/>
  <c r="I379" i="7"/>
  <c r="L379" i="3" s="1"/>
  <c r="N68" i="9"/>
  <c r="AK379" i="7"/>
  <c r="AC379" i="7"/>
  <c r="K379" i="3"/>
  <c r="AG387" i="7"/>
  <c r="H885" i="10"/>
  <c r="AJ390" i="7"/>
  <c r="K390" i="3"/>
  <c r="AC390" i="7"/>
  <c r="J392" i="7"/>
  <c r="H918" i="10"/>
  <c r="L423" i="7"/>
  <c r="O423" i="3" s="1"/>
  <c r="J423" i="7"/>
  <c r="K423" i="3"/>
  <c r="AK423" i="7"/>
  <c r="AN423" i="3" s="1"/>
  <c r="AV423" i="7"/>
  <c r="AY423" i="3" s="1"/>
  <c r="G7" i="35"/>
  <c r="CW10" i="9"/>
  <c r="L7" i="35" s="1"/>
  <c r="CU10" i="9"/>
  <c r="N7" i="35" s="1"/>
  <c r="CV10" i="9"/>
  <c r="G26" i="35"/>
  <c r="CK29" i="9"/>
  <c r="CT29" i="9"/>
  <c r="CW29" i="9"/>
  <c r="L26" i="35" s="1"/>
  <c r="CU31" i="9"/>
  <c r="N28" i="35" s="1"/>
  <c r="G33" i="35"/>
  <c r="CT36" i="9"/>
  <c r="H38" i="35"/>
  <c r="H50" i="35"/>
  <c r="AO25" i="10"/>
  <c r="AO271" i="10"/>
  <c r="AO357" i="10"/>
  <c r="AO367" i="10"/>
  <c r="H668" i="10"/>
  <c r="H273" i="34"/>
  <c r="CQ771" i="10"/>
  <c r="M273" i="34" s="1"/>
  <c r="CP771" i="10"/>
  <c r="CO771" i="10"/>
  <c r="O273" i="34" s="1"/>
  <c r="I289" i="34"/>
  <c r="U665" i="10"/>
  <c r="J170" i="7"/>
  <c r="M170" i="3" s="1"/>
  <c r="I170" i="7"/>
  <c r="L170" i="3" s="1"/>
  <c r="H683" i="10"/>
  <c r="N34" i="9"/>
  <c r="I188" i="7"/>
  <c r="L188" i="3" s="1"/>
  <c r="AK188" i="7"/>
  <c r="AN188" i="3" s="1"/>
  <c r="AV188" i="7"/>
  <c r="AY188" i="3" s="1"/>
  <c r="L188" i="7"/>
  <c r="J188" i="7"/>
  <c r="M188" i="3" s="1"/>
  <c r="AC188" i="7"/>
  <c r="H769" i="10"/>
  <c r="AK274" i="7"/>
  <c r="L274" i="7"/>
  <c r="O274" i="3" s="1"/>
  <c r="J274" i="7"/>
  <c r="K274" i="3"/>
  <c r="AC274" i="7"/>
  <c r="AV274" i="7"/>
  <c r="AY274" i="3" s="1"/>
  <c r="H821" i="10"/>
  <c r="AV326" i="7"/>
  <c r="AY326" i="3" s="1"/>
  <c r="L326" i="7"/>
  <c r="AG345" i="7"/>
  <c r="I326" i="7"/>
  <c r="J326" i="7"/>
  <c r="M326" i="3" s="1"/>
  <c r="N287" i="8"/>
  <c r="AG328" i="7"/>
  <c r="AJ328" i="3" s="1"/>
  <c r="AG326" i="7"/>
  <c r="AJ326" i="3" s="1"/>
  <c r="M287" i="8"/>
  <c r="AG344" i="7"/>
  <c r="AC326" i="7"/>
  <c r="AG342" i="7"/>
  <c r="AC325" i="7"/>
  <c r="AG339" i="7"/>
  <c r="AC330" i="7"/>
  <c r="H839" i="10"/>
  <c r="L344" i="7"/>
  <c r="O344" i="3" s="1"/>
  <c r="AJ344" i="7"/>
  <c r="AM344" i="3" s="1"/>
  <c r="AK344" i="7"/>
  <c r="AN344" i="3" s="1"/>
  <c r="K344" i="3"/>
  <c r="H851" i="10"/>
  <c r="AV356" i="7"/>
  <c r="AY356" i="3" s="1"/>
  <c r="J356" i="7"/>
  <c r="M356" i="3" s="1"/>
  <c r="I356" i="7"/>
  <c r="L356" i="3" s="1"/>
  <c r="K356" i="3"/>
  <c r="L356" i="7"/>
  <c r="O356" i="3" s="1"/>
  <c r="H917" i="10"/>
  <c r="BY917" i="10" s="1"/>
  <c r="J422" i="7"/>
  <c r="M422" i="3" s="1"/>
  <c r="AV422" i="7"/>
  <c r="AY422" i="3" s="1"/>
  <c r="AK422" i="7"/>
  <c r="AN422" i="3" s="1"/>
  <c r="A229" i="8"/>
  <c r="M19" i="35"/>
  <c r="AO113" i="10"/>
  <c r="L104" i="34"/>
  <c r="CS602" i="10"/>
  <c r="N104" i="34" s="1"/>
  <c r="L107" i="34"/>
  <c r="CS605" i="10"/>
  <c r="N107" i="34" s="1"/>
  <c r="I59" i="34"/>
  <c r="H246" i="34"/>
  <c r="CQ744" i="10"/>
  <c r="M246" i="34" s="1"/>
  <c r="CO744" i="10"/>
  <c r="O246" i="34" s="1"/>
  <c r="CP744" i="10"/>
  <c r="H883" i="10"/>
  <c r="L388" i="7"/>
  <c r="O388" i="3" s="1"/>
  <c r="J388" i="7"/>
  <c r="M388" i="3" s="1"/>
  <c r="I388" i="7"/>
  <c r="L388" i="3" s="1"/>
  <c r="AV388" i="7"/>
  <c r="AY388" i="3" s="1"/>
  <c r="L401" i="7"/>
  <c r="H896" i="10"/>
  <c r="J401" i="7"/>
  <c r="N72" i="9"/>
  <c r="AK401" i="7"/>
  <c r="AN401" i="3" s="1"/>
  <c r="AJ401" i="7"/>
  <c r="G2" i="35"/>
  <c r="E27" i="42"/>
  <c r="D27" i="42"/>
  <c r="CW5" i="9"/>
  <c r="L2" i="35" s="1"/>
  <c r="CV5" i="9"/>
  <c r="I63" i="34"/>
  <c r="H129" i="34"/>
  <c r="CP627" i="10"/>
  <c r="CO627" i="10"/>
  <c r="O129" i="34" s="1"/>
  <c r="CQ627" i="10"/>
  <c r="M129" i="34" s="1"/>
  <c r="H186" i="34"/>
  <c r="CE684" i="10"/>
  <c r="CP684" i="10"/>
  <c r="CO684" i="10"/>
  <c r="O186" i="34" s="1"/>
  <c r="CQ684" i="10"/>
  <c r="M186" i="34" s="1"/>
  <c r="H293" i="34"/>
  <c r="CP791" i="10"/>
  <c r="CQ791" i="10"/>
  <c r="M293" i="34" s="1"/>
  <c r="CO791" i="10"/>
  <c r="O293" i="34" s="1"/>
  <c r="D6" i="25"/>
  <c r="E6" i="25" s="1"/>
  <c r="O162" i="8"/>
  <c r="K162" i="8"/>
  <c r="I162" i="8"/>
  <c r="H162" i="8"/>
  <c r="F162" i="8"/>
  <c r="D162" i="8"/>
  <c r="C162" i="8"/>
  <c r="H721" i="10"/>
  <c r="K226" i="3"/>
  <c r="L238" i="7"/>
  <c r="O238" i="3" s="1"/>
  <c r="AV238" i="7"/>
  <c r="AY238" i="3" s="1"/>
  <c r="K238" i="3"/>
  <c r="J238" i="7"/>
  <c r="M238" i="3" s="1"/>
  <c r="H743" i="10"/>
  <c r="R162" i="8"/>
  <c r="B388" i="8"/>
  <c r="G10" i="35"/>
  <c r="CU13" i="9"/>
  <c r="N10" i="35" s="1"/>
  <c r="CV13" i="9"/>
  <c r="G15" i="35"/>
  <c r="CU18" i="9"/>
  <c r="N15" i="35" s="1"/>
  <c r="CT18" i="9"/>
  <c r="CW18" i="9"/>
  <c r="L15" i="35" s="1"/>
  <c r="CV18" i="9"/>
  <c r="AO45" i="10"/>
  <c r="AO56" i="10"/>
  <c r="AO114" i="10"/>
  <c r="AO229" i="10"/>
  <c r="AO388" i="10"/>
  <c r="H67" i="34"/>
  <c r="CQ565" i="10"/>
  <c r="M67" i="34" s="1"/>
  <c r="CP565" i="10"/>
  <c r="CO565" i="10"/>
  <c r="O67" i="34" s="1"/>
  <c r="H115" i="34"/>
  <c r="CQ613" i="10"/>
  <c r="M115" i="34" s="1"/>
  <c r="CO613" i="10"/>
  <c r="O115" i="34" s="1"/>
  <c r="H619" i="10"/>
  <c r="H167" i="34"/>
  <c r="CO665" i="10"/>
  <c r="O167" i="34" s="1"/>
  <c r="CQ665" i="10"/>
  <c r="M167" i="34" s="1"/>
  <c r="H182" i="34"/>
  <c r="CQ680" i="10"/>
  <c r="M182" i="34" s="1"/>
  <c r="CO680" i="10"/>
  <c r="O182" i="34" s="1"/>
  <c r="CP680" i="10"/>
  <c r="I214" i="34"/>
  <c r="L229" i="34"/>
  <c r="CS727" i="10"/>
  <c r="N229" i="34" s="1"/>
  <c r="H244" i="34"/>
  <c r="CO742" i="10"/>
  <c r="O244" i="34" s="1"/>
  <c r="CP742" i="10"/>
  <c r="CQ742" i="10"/>
  <c r="M244" i="34" s="1"/>
  <c r="H766" i="10"/>
  <c r="J271" i="7"/>
  <c r="I271" i="7"/>
  <c r="L271" i="3" s="1"/>
  <c r="AO295" i="10"/>
  <c r="I50" i="34"/>
  <c r="K88" i="3"/>
  <c r="AJ88" i="7"/>
  <c r="AA258" i="11"/>
  <c r="H595" i="10"/>
  <c r="I100" i="7"/>
  <c r="AK100" i="7"/>
  <c r="H623" i="10"/>
  <c r="AK128" i="7"/>
  <c r="AN128" i="3" s="1"/>
  <c r="H663" i="10"/>
  <c r="L168" i="7"/>
  <c r="AJ168" i="7"/>
  <c r="H685" i="10"/>
  <c r="L190" i="7"/>
  <c r="O190" i="3" s="1"/>
  <c r="K190" i="3"/>
  <c r="K124" i="3"/>
  <c r="I19" i="7"/>
  <c r="L19" i="3" s="1"/>
  <c r="H518" i="10"/>
  <c r="AV23" i="7"/>
  <c r="AY23" i="3" s="1"/>
  <c r="J23" i="7"/>
  <c r="I23" i="7"/>
  <c r="L23" i="3" s="1"/>
  <c r="K23" i="3"/>
  <c r="AA256" i="11"/>
  <c r="Y256" i="11"/>
  <c r="N12" i="9"/>
  <c r="M276" i="8"/>
  <c r="H545" i="10"/>
  <c r="Q276" i="8"/>
  <c r="P276" i="8"/>
  <c r="N276" i="8"/>
  <c r="AG52" i="7"/>
  <c r="AJ52" i="3" s="1"/>
  <c r="AC50" i="7"/>
  <c r="AG54" i="7"/>
  <c r="AC52" i="7"/>
  <c r="AG68" i="7"/>
  <c r="AG62" i="7"/>
  <c r="AG59" i="7"/>
  <c r="AC53" i="7"/>
  <c r="AG71" i="7"/>
  <c r="AC56" i="7"/>
  <c r="AV50" i="7"/>
  <c r="AY50" i="3" s="1"/>
  <c r="AC71" i="7"/>
  <c r="AG53" i="7"/>
  <c r="AC66" i="7"/>
  <c r="K75" i="3"/>
  <c r="H570" i="10"/>
  <c r="I75" i="7"/>
  <c r="L75" i="3" s="1"/>
  <c r="H607" i="10"/>
  <c r="J112" i="7"/>
  <c r="AV112" i="7"/>
  <c r="L112" i="7"/>
  <c r="O112" i="3" s="1"/>
  <c r="K112" i="3"/>
  <c r="H610" i="10"/>
  <c r="K115" i="3"/>
  <c r="L115" i="7"/>
  <c r="O115" i="3" s="1"/>
  <c r="I128" i="7"/>
  <c r="L128" i="3" s="1"/>
  <c r="AG131" i="7"/>
  <c r="J134" i="7"/>
  <c r="M134" i="3" s="1"/>
  <c r="AV134" i="7"/>
  <c r="AY134" i="3" s="1"/>
  <c r="L134" i="7"/>
  <c r="O134" i="3" s="1"/>
  <c r="K134" i="3"/>
  <c r="I134" i="7"/>
  <c r="L134" i="3" s="1"/>
  <c r="Y260" i="11"/>
  <c r="H640" i="10"/>
  <c r="N280" i="8"/>
  <c r="R280" i="8"/>
  <c r="N27" i="9"/>
  <c r="AG167" i="7"/>
  <c r="AC165" i="7"/>
  <c r="AG145" i="7"/>
  <c r="AJ145" i="3" s="1"/>
  <c r="AG162" i="7"/>
  <c r="AC160" i="7"/>
  <c r="AG164" i="7"/>
  <c r="AC162" i="7"/>
  <c r="AG161" i="7"/>
  <c r="AG154" i="7"/>
  <c r="AG147" i="7"/>
  <c r="AJ147" i="3" s="1"/>
  <c r="J145" i="7"/>
  <c r="AG168" i="7"/>
  <c r="AC169" i="7"/>
  <c r="AC158" i="7"/>
  <c r="I145" i="7"/>
  <c r="AG172" i="7"/>
  <c r="AC151" i="7"/>
  <c r="AC172" i="7"/>
  <c r="AG157" i="7"/>
  <c r="AG150" i="7"/>
  <c r="AJ150" i="3" s="1"/>
  <c r="AG146" i="7"/>
  <c r="AJ146" i="3" s="1"/>
  <c r="H641" i="10"/>
  <c r="L146" i="7"/>
  <c r="O146" i="3" s="1"/>
  <c r="AK146" i="7"/>
  <c r="AN146" i="3" s="1"/>
  <c r="AJ146" i="7"/>
  <c r="I150" i="7"/>
  <c r="L150" i="3" s="1"/>
  <c r="AG155" i="7"/>
  <c r="I226" i="7"/>
  <c r="L226" i="3" s="1"/>
  <c r="AK235" i="7"/>
  <c r="AN235" i="3" s="1"/>
  <c r="AJ235" i="7"/>
  <c r="AT235" i="7"/>
  <c r="AW235" i="3" s="1"/>
  <c r="J235" i="7"/>
  <c r="M235" i="3" s="1"/>
  <c r="I235" i="7"/>
  <c r="L235" i="3" s="1"/>
  <c r="I238" i="7"/>
  <c r="L238" i="3" s="1"/>
  <c r="I248" i="7"/>
  <c r="L248" i="3" s="1"/>
  <c r="AC271" i="7"/>
  <c r="H790" i="10"/>
  <c r="I295" i="7"/>
  <c r="L295" i="3" s="1"/>
  <c r="AV295" i="7"/>
  <c r="AY295" i="3" s="1"/>
  <c r="L295" i="7"/>
  <c r="O295" i="3" s="1"/>
  <c r="H807" i="10"/>
  <c r="AV312" i="7"/>
  <c r="AY312" i="3" s="1"/>
  <c r="J312" i="7"/>
  <c r="K312" i="3"/>
  <c r="L312" i="7"/>
  <c r="O312" i="3" s="1"/>
  <c r="H871" i="10"/>
  <c r="AV376" i="7"/>
  <c r="AY376" i="3" s="1"/>
  <c r="I376" i="7"/>
  <c r="L376" i="3" s="1"/>
  <c r="AK376" i="7"/>
  <c r="AN376" i="3" s="1"/>
  <c r="AG384" i="7"/>
  <c r="AJ376" i="7"/>
  <c r="AG377" i="7"/>
  <c r="AJ377" i="3" s="1"/>
  <c r="AC388" i="7"/>
  <c r="AC401" i="7"/>
  <c r="S162" i="8"/>
  <c r="A231" i="8"/>
  <c r="H54" i="35"/>
  <c r="AO225" i="10"/>
  <c r="AO381" i="10"/>
  <c r="AO427" i="10"/>
  <c r="CS569" i="10"/>
  <c r="N71" i="34" s="1"/>
  <c r="BQ601" i="10"/>
  <c r="BX601" i="10"/>
  <c r="O601" i="10"/>
  <c r="H116" i="34"/>
  <c r="CO614" i="10"/>
  <c r="O116" i="34" s="1"/>
  <c r="CE614" i="10"/>
  <c r="CP614" i="10"/>
  <c r="H128" i="34"/>
  <c r="CO626" i="10"/>
  <c r="O128" i="34" s="1"/>
  <c r="CP626" i="10"/>
  <c r="CQ626" i="10"/>
  <c r="M128" i="34" s="1"/>
  <c r="I225" i="34"/>
  <c r="H514" i="10"/>
  <c r="N7" i="9"/>
  <c r="K19" i="3"/>
  <c r="AV19" i="7"/>
  <c r="AY19" i="3" s="1"/>
  <c r="H645" i="10"/>
  <c r="AK150" i="7"/>
  <c r="AN150" i="3" s="1"/>
  <c r="AJ150" i="7"/>
  <c r="H662" i="10"/>
  <c r="K167" i="3"/>
  <c r="AL167" i="7"/>
  <c r="K100" i="3"/>
  <c r="K248" i="3"/>
  <c r="K271" i="3"/>
  <c r="H508" i="10"/>
  <c r="AV13" i="7"/>
  <c r="AY13" i="3" s="1"/>
  <c r="J19" i="7"/>
  <c r="H568" i="10"/>
  <c r="J73" i="7"/>
  <c r="I73" i="7"/>
  <c r="L73" i="3" s="1"/>
  <c r="J75" i="7"/>
  <c r="AK81" i="7"/>
  <c r="AN81" i="3" s="1"/>
  <c r="AJ81" i="7"/>
  <c r="AC88" i="7"/>
  <c r="AC100" i="7"/>
  <c r="L102" i="7"/>
  <c r="O102" i="3" s="1"/>
  <c r="H597" i="10"/>
  <c r="J102" i="7"/>
  <c r="I102" i="7"/>
  <c r="L102" i="3" s="1"/>
  <c r="I115" i="7"/>
  <c r="L115" i="3" s="1"/>
  <c r="H618" i="10"/>
  <c r="AV123" i="7"/>
  <c r="L123" i="7"/>
  <c r="O123" i="3" s="1"/>
  <c r="J123" i="7"/>
  <c r="M123" i="3" s="1"/>
  <c r="AT123" i="7"/>
  <c r="AW123" i="3" s="1"/>
  <c r="J128" i="7"/>
  <c r="AV128" i="7"/>
  <c r="AY128" i="3" s="1"/>
  <c r="J150" i="7"/>
  <c r="H657" i="10"/>
  <c r="AV162" i="7"/>
  <c r="AY162" i="3" s="1"/>
  <c r="AC167" i="7"/>
  <c r="AC168" i="7"/>
  <c r="H719" i="10"/>
  <c r="AV224" i="7"/>
  <c r="AY224" i="3" s="1"/>
  <c r="J224" i="7"/>
  <c r="M224" i="3" s="1"/>
  <c r="I224" i="7"/>
  <c r="L224" i="3" s="1"/>
  <c r="J226" i="7"/>
  <c r="J248" i="7"/>
  <c r="M248" i="3" s="1"/>
  <c r="J295" i="7"/>
  <c r="H794" i="10"/>
  <c r="AC299" i="7"/>
  <c r="H889" i="10"/>
  <c r="I394" i="7"/>
  <c r="AV394" i="7"/>
  <c r="AY394" i="3" s="1"/>
  <c r="N70" i="9"/>
  <c r="AK394" i="7"/>
  <c r="AN394" i="3" s="1"/>
  <c r="H894" i="10"/>
  <c r="AV399" i="7"/>
  <c r="J399" i="7"/>
  <c r="M399" i="3" s="1"/>
  <c r="I399" i="7"/>
  <c r="L399" i="3" s="1"/>
  <c r="T162" i="8"/>
  <c r="CW47" i="9"/>
  <c r="L44" i="35" s="1"/>
  <c r="AO232" i="10"/>
  <c r="H19" i="34"/>
  <c r="CQ517" i="10"/>
  <c r="M19" i="34" s="1"/>
  <c r="CP517" i="10"/>
  <c r="CO517" i="10"/>
  <c r="O19" i="34" s="1"/>
  <c r="L66" i="34"/>
  <c r="CS564" i="10"/>
  <c r="N66" i="34" s="1"/>
  <c r="I77" i="34"/>
  <c r="L80" i="34"/>
  <c r="CS578" i="10"/>
  <c r="N80" i="34" s="1"/>
  <c r="I148" i="34"/>
  <c r="H163" i="34"/>
  <c r="CQ661" i="10"/>
  <c r="M163" i="34" s="1"/>
  <c r="CO661" i="10"/>
  <c r="O163" i="34" s="1"/>
  <c r="CP661" i="10"/>
  <c r="H733" i="10"/>
  <c r="H770" i="10"/>
  <c r="J275" i="7"/>
  <c r="M275" i="3" s="1"/>
  <c r="I275" i="7"/>
  <c r="L275" i="3" s="1"/>
  <c r="AA266" i="11"/>
  <c r="H804" i="10"/>
  <c r="AV309" i="7"/>
  <c r="AY309" i="3" s="1"/>
  <c r="L309" i="7"/>
  <c r="J309" i="7"/>
  <c r="I309" i="7"/>
  <c r="L309" i="3" s="1"/>
  <c r="H825" i="10"/>
  <c r="N58" i="9"/>
  <c r="J330" i="7"/>
  <c r="M330" i="3" s="1"/>
  <c r="AV330" i="7"/>
  <c r="L330" i="7"/>
  <c r="A228" i="8"/>
  <c r="G27" i="35"/>
  <c r="CK30" i="9"/>
  <c r="G35" i="35"/>
  <c r="CT38" i="9"/>
  <c r="G40" i="35"/>
  <c r="CT43" i="9"/>
  <c r="CU43" i="9"/>
  <c r="N40" i="35" s="1"/>
  <c r="AO397" i="10"/>
  <c r="L197" i="34"/>
  <c r="CS695" i="10"/>
  <c r="N197" i="34" s="1"/>
  <c r="H730" i="10"/>
  <c r="I360" i="34"/>
  <c r="AJ11" i="7"/>
  <c r="H608" i="10"/>
  <c r="I113" i="7"/>
  <c r="AA259" i="11"/>
  <c r="Y259" i="11"/>
  <c r="AC143" i="7"/>
  <c r="AG140" i="7"/>
  <c r="AC138" i="7"/>
  <c r="L124" i="7"/>
  <c r="Q279" i="8"/>
  <c r="AG142" i="7"/>
  <c r="AC140" i="7"/>
  <c r="N279" i="8"/>
  <c r="AG143" i="7"/>
  <c r="AG129" i="7"/>
  <c r="AG125" i="7"/>
  <c r="AJ125" i="3" s="1"/>
  <c r="AC126" i="7"/>
  <c r="AG139" i="7"/>
  <c r="AG132" i="7"/>
  <c r="AJ124" i="7"/>
  <c r="AC134" i="7"/>
  <c r="AB262" i="11"/>
  <c r="H700" i="10"/>
  <c r="J205" i="7"/>
  <c r="M205" i="3" s="1"/>
  <c r="I205" i="7"/>
  <c r="L205" i="3" s="1"/>
  <c r="K205" i="3"/>
  <c r="AV205" i="7"/>
  <c r="AY205" i="3" s="1"/>
  <c r="L205" i="7"/>
  <c r="O205" i="3" s="1"/>
  <c r="H710" i="10"/>
  <c r="AJ215" i="7"/>
  <c r="AJ259" i="7"/>
  <c r="AS259" i="7"/>
  <c r="AV259" i="3" s="1"/>
  <c r="K259" i="3"/>
  <c r="H771" i="10"/>
  <c r="I276" i="7"/>
  <c r="AK276" i="7"/>
  <c r="H777" i="10"/>
  <c r="K282" i="3"/>
  <c r="AC282" i="7"/>
  <c r="H787" i="10"/>
  <c r="N51" i="9"/>
  <c r="I292" i="7"/>
  <c r="L292" i="3" s="1"/>
  <c r="H847" i="10"/>
  <c r="N63" i="9"/>
  <c r="J352" i="7"/>
  <c r="K352" i="3"/>
  <c r="I352" i="7"/>
  <c r="L352" i="3" s="1"/>
  <c r="H900" i="10"/>
  <c r="AV405" i="7"/>
  <c r="AY405" i="3" s="1"/>
  <c r="AK405" i="7"/>
  <c r="AN405" i="3" s="1"/>
  <c r="AJ405" i="7"/>
  <c r="AS405" i="7" s="1"/>
  <c r="AV405" i="3" s="1"/>
  <c r="K405" i="3"/>
  <c r="J405" i="7"/>
  <c r="AT405" i="7"/>
  <c r="AW405" i="3" s="1"/>
  <c r="I405" i="7"/>
  <c r="L405" i="3" s="1"/>
  <c r="H535" i="10"/>
  <c r="K40" i="3"/>
  <c r="AC73" i="7"/>
  <c r="AC81" i="7"/>
  <c r="AC102" i="7"/>
  <c r="AC123" i="7"/>
  <c r="L128" i="7"/>
  <c r="O128" i="3" s="1"/>
  <c r="AG144" i="7"/>
  <c r="L150" i="7"/>
  <c r="O150" i="3" s="1"/>
  <c r="AG156" i="7"/>
  <c r="J162" i="7"/>
  <c r="M162" i="3" s="1"/>
  <c r="J172" i="7"/>
  <c r="AC224" i="7"/>
  <c r="L226" i="7"/>
  <c r="O226" i="3" s="1"/>
  <c r="AV226" i="7"/>
  <c r="AY226" i="3" s="1"/>
  <c r="I282" i="7"/>
  <c r="L282" i="3" s="1"/>
  <c r="AV282" i="7"/>
  <c r="AY282" i="3" s="1"/>
  <c r="J299" i="7"/>
  <c r="H797" i="10"/>
  <c r="L302" i="7"/>
  <c r="O302" i="3" s="1"/>
  <c r="I302" i="7"/>
  <c r="AJ302" i="7"/>
  <c r="AM302" i="3" s="1"/>
  <c r="AK302" i="7"/>
  <c r="AN302" i="3" s="1"/>
  <c r="H853" i="10"/>
  <c r="N64" i="9"/>
  <c r="AC394" i="7"/>
  <c r="AC399" i="7"/>
  <c r="H920" i="10"/>
  <c r="AV425" i="7"/>
  <c r="AY425" i="3" s="1"/>
  <c r="I425" i="7"/>
  <c r="L425" i="3" s="1"/>
  <c r="H921" i="10"/>
  <c r="AL426" i="7"/>
  <c r="L426" i="7"/>
  <c r="O426" i="3" s="1"/>
  <c r="M3" i="35"/>
  <c r="K3" i="35"/>
  <c r="G14" i="35"/>
  <c r="CV17" i="9"/>
  <c r="CK17" i="9"/>
  <c r="CT17" i="9"/>
  <c r="CW17" i="9"/>
  <c r="L14" i="35" s="1"/>
  <c r="CU17" i="9"/>
  <c r="N14" i="35" s="1"/>
  <c r="M51" i="35"/>
  <c r="K51" i="35"/>
  <c r="AO50" i="10"/>
  <c r="AO126" i="10"/>
  <c r="AO277" i="10"/>
  <c r="AO326" i="10"/>
  <c r="AO386" i="10"/>
  <c r="H117" i="34"/>
  <c r="CQ615" i="10"/>
  <c r="M117" i="34" s="1"/>
  <c r="CP615" i="10"/>
  <c r="CO615" i="10"/>
  <c r="O117" i="34" s="1"/>
  <c r="I131" i="34"/>
  <c r="CS700" i="10"/>
  <c r="N202" i="34" s="1"/>
  <c r="AN270" i="11"/>
  <c r="H185" i="34"/>
  <c r="CQ683" i="10"/>
  <c r="M185" i="34" s="1"/>
  <c r="CE683" i="10"/>
  <c r="CP683" i="10"/>
  <c r="CO683" i="10"/>
  <c r="O185" i="34" s="1"/>
  <c r="F22" i="28"/>
  <c r="N22" i="28" s="1"/>
  <c r="F27" i="28"/>
  <c r="N27" i="28" s="1"/>
  <c r="F5" i="28"/>
  <c r="N5" i="28" s="1"/>
  <c r="F32" i="28"/>
  <c r="N32" i="28" s="1"/>
  <c r="F10" i="28"/>
  <c r="N10" i="28" s="1"/>
  <c r="F25" i="28"/>
  <c r="N25" i="28" s="1"/>
  <c r="F3" i="28"/>
  <c r="N3" i="28" s="1"/>
  <c r="F30" i="28"/>
  <c r="N30" i="28" s="1"/>
  <c r="F8" i="28"/>
  <c r="N8" i="28" s="1"/>
  <c r="F18" i="28"/>
  <c r="N18" i="28" s="1"/>
  <c r="F2" i="28"/>
  <c r="N2" i="28" s="1"/>
  <c r="F11" i="28"/>
  <c r="N11" i="28" s="1"/>
  <c r="F4" i="28"/>
  <c r="N4" i="28" s="1"/>
  <c r="F13" i="28"/>
  <c r="N13" i="28" s="1"/>
  <c r="F6" i="28"/>
  <c r="N6" i="28" s="1"/>
  <c r="F20" i="28"/>
  <c r="N20" i="28" s="1"/>
  <c r="F34" i="28"/>
  <c r="N34" i="28" s="1"/>
  <c r="F36" i="28"/>
  <c r="N36" i="28" s="1"/>
  <c r="F15" i="28"/>
  <c r="N15" i="28" s="1"/>
  <c r="F29" i="28"/>
  <c r="N29" i="28" s="1"/>
  <c r="F14" i="28"/>
  <c r="N14" i="28" s="1"/>
  <c r="F33" i="28"/>
  <c r="N33" i="28" s="1"/>
  <c r="F24" i="28"/>
  <c r="N24" i="28" s="1"/>
  <c r="F9" i="28"/>
  <c r="N9" i="28" s="1"/>
  <c r="F35" i="28"/>
  <c r="N35" i="28" s="1"/>
  <c r="F19" i="28"/>
  <c r="N19" i="28" s="1"/>
  <c r="F7" i="28"/>
  <c r="N7" i="28" s="1"/>
  <c r="F37" i="28"/>
  <c r="N37" i="28" s="1"/>
  <c r="F31" i="28"/>
  <c r="N31" i="28" s="1"/>
  <c r="F17" i="28"/>
  <c r="N17" i="28" s="1"/>
  <c r="F26" i="28"/>
  <c r="N26" i="28" s="1"/>
  <c r="F21" i="28"/>
  <c r="N21" i="28" s="1"/>
  <c r="F16" i="28"/>
  <c r="N16" i="28" s="1"/>
  <c r="F12" i="28"/>
  <c r="N12" i="28" s="1"/>
  <c r="F28" i="28"/>
  <c r="N28" i="28" s="1"/>
  <c r="F23" i="28"/>
  <c r="N23" i="28" s="1"/>
  <c r="B148" i="2"/>
  <c r="H529" i="10"/>
  <c r="AK34" i="7"/>
  <c r="AN34" i="3" s="1"/>
  <c r="L170" i="7"/>
  <c r="O170" i="3" s="1"/>
  <c r="H732" i="10"/>
  <c r="AJ237" i="7"/>
  <c r="H869" i="10"/>
  <c r="K374" i="7"/>
  <c r="N374" i="3" s="1"/>
  <c r="AG383" i="7"/>
  <c r="G888" i="10"/>
  <c r="G390" i="34" s="1"/>
  <c r="AG401" i="7"/>
  <c r="D217" i="8"/>
  <c r="M6" i="35"/>
  <c r="K6" i="35"/>
  <c r="G25" i="35"/>
  <c r="CT28" i="9"/>
  <c r="AO77" i="10"/>
  <c r="AO99" i="10"/>
  <c r="AO111" i="10"/>
  <c r="AO147" i="10"/>
  <c r="AO376" i="10"/>
  <c r="H2" i="34"/>
  <c r="CQ500" i="10"/>
  <c r="M2" i="34" s="1"/>
  <c r="CP500" i="10"/>
  <c r="CO500" i="10"/>
  <c r="O2" i="34" s="1"/>
  <c r="H12" i="34"/>
  <c r="CP510" i="10"/>
  <c r="CQ510" i="10"/>
  <c r="M12" i="34" s="1"/>
  <c r="CO510" i="10"/>
  <c r="O12" i="34" s="1"/>
  <c r="H46" i="34"/>
  <c r="CQ544" i="10"/>
  <c r="M46" i="34" s="1"/>
  <c r="CP544" i="10"/>
  <c r="H80" i="34"/>
  <c r="CO578" i="10"/>
  <c r="O80" i="34" s="1"/>
  <c r="CQ578" i="10"/>
  <c r="M80" i="34" s="1"/>
  <c r="I82" i="34"/>
  <c r="H174" i="34"/>
  <c r="CQ672" i="10"/>
  <c r="M174" i="34" s="1"/>
  <c r="CE672" i="10"/>
  <c r="CP672" i="10"/>
  <c r="CO672" i="10"/>
  <c r="O174" i="34" s="1"/>
  <c r="H604" i="10"/>
  <c r="AV109" i="7"/>
  <c r="H687" i="10"/>
  <c r="L192" i="7"/>
  <c r="O192" i="3" s="1"/>
  <c r="M54" i="35"/>
  <c r="K54" i="35"/>
  <c r="G59" i="35"/>
  <c r="CT62" i="9"/>
  <c r="AO411" i="10"/>
  <c r="H578" i="10"/>
  <c r="AJ83" i="7"/>
  <c r="I109" i="7"/>
  <c r="L109" i="3" s="1"/>
  <c r="I192" i="7"/>
  <c r="L192" i="3" s="1"/>
  <c r="I267" i="7"/>
  <c r="L267" i="3" s="1"/>
  <c r="H773" i="10"/>
  <c r="L278" i="7"/>
  <c r="O278" i="3" s="1"/>
  <c r="L374" i="7"/>
  <c r="AV374" i="7"/>
  <c r="AY374" i="3" s="1"/>
  <c r="H876" i="10"/>
  <c r="AV418" i="7"/>
  <c r="L418" i="7"/>
  <c r="O418" i="3" s="1"/>
  <c r="G4" i="35"/>
  <c r="CV7" i="9"/>
  <c r="H12" i="35"/>
  <c r="G29" i="35"/>
  <c r="CT32" i="9"/>
  <c r="G30" i="35"/>
  <c r="CW33" i="9"/>
  <c r="L30" i="35" s="1"/>
  <c r="CU33" i="9"/>
  <c r="N30" i="35" s="1"/>
  <c r="CT33" i="9"/>
  <c r="G36" i="35"/>
  <c r="CW39" i="9"/>
  <c r="L36" i="35" s="1"/>
  <c r="G42" i="35"/>
  <c r="CW45" i="9"/>
  <c r="L42" i="35" s="1"/>
  <c r="CU45" i="9"/>
  <c r="N42" i="35" s="1"/>
  <c r="CT45" i="9"/>
  <c r="G58" i="35"/>
  <c r="CE61" i="9"/>
  <c r="CU61" i="9"/>
  <c r="N58" i="35" s="1"/>
  <c r="CW61" i="9"/>
  <c r="L58" i="35" s="1"/>
  <c r="AO12" i="10"/>
  <c r="AO20" i="10"/>
  <c r="AO38" i="10"/>
  <c r="AO93" i="10"/>
  <c r="AO224" i="10"/>
  <c r="AO347" i="10"/>
  <c r="H11" i="34"/>
  <c r="CQ509" i="10"/>
  <c r="M11" i="34" s="1"/>
  <c r="CO509" i="10"/>
  <c r="O11" i="34" s="1"/>
  <c r="H28" i="34"/>
  <c r="CQ526" i="10"/>
  <c r="M28" i="34" s="1"/>
  <c r="CO526" i="10"/>
  <c r="O28" i="34" s="1"/>
  <c r="H211" i="34"/>
  <c r="CO709" i="10"/>
  <c r="O211" i="34" s="1"/>
  <c r="CQ709" i="10"/>
  <c r="M211" i="34" s="1"/>
  <c r="CP709" i="10"/>
  <c r="H617" i="10"/>
  <c r="I122" i="7"/>
  <c r="AK122" i="7"/>
  <c r="AN122" i="3" s="1"/>
  <c r="G3" i="35"/>
  <c r="CT6" i="9"/>
  <c r="K48" i="35"/>
  <c r="M48" i="35"/>
  <c r="AO170" i="10"/>
  <c r="AO298" i="10"/>
  <c r="E28" i="42"/>
  <c r="D28" i="42"/>
  <c r="I2" i="34"/>
  <c r="H64" i="34"/>
  <c r="CP562" i="10"/>
  <c r="CQ562" i="10"/>
  <c r="M64" i="34" s="1"/>
  <c r="CO562" i="10"/>
  <c r="O64" i="34" s="1"/>
  <c r="I119" i="34"/>
  <c r="H135" i="34"/>
  <c r="CQ633" i="10"/>
  <c r="M135" i="34" s="1"/>
  <c r="CO633" i="10"/>
  <c r="O135" i="34" s="1"/>
  <c r="CP633" i="10"/>
  <c r="J109" i="7"/>
  <c r="M109" i="3" s="1"/>
  <c r="J192" i="7"/>
  <c r="M192" i="3" s="1"/>
  <c r="H729" i="10"/>
  <c r="AT234" i="7"/>
  <c r="AW234" i="3" s="1"/>
  <c r="L234" i="7"/>
  <c r="O234" i="3" s="1"/>
  <c r="J267" i="7"/>
  <c r="M267" i="3" s="1"/>
  <c r="H820" i="10"/>
  <c r="Y267" i="11"/>
  <c r="Q287" i="8"/>
  <c r="N57" i="9"/>
  <c r="AG343" i="7"/>
  <c r="AC341" i="7"/>
  <c r="AG338" i="7"/>
  <c r="AC336" i="7"/>
  <c r="AG340" i="7"/>
  <c r="AC338" i="7"/>
  <c r="AJ325" i="7"/>
  <c r="C18" i="8"/>
  <c r="D18" i="8" s="1"/>
  <c r="D287" i="8" s="1"/>
  <c r="AC345" i="7"/>
  <c r="AG325" i="7"/>
  <c r="AJ325" i="3" s="1"/>
  <c r="AC329" i="7"/>
  <c r="H837" i="10"/>
  <c r="I342" i="7"/>
  <c r="L342" i="3" s="1"/>
  <c r="AK342" i="7"/>
  <c r="H843" i="10"/>
  <c r="Y269" i="11"/>
  <c r="H868" i="10"/>
  <c r="AG395" i="7"/>
  <c r="AC393" i="7"/>
  <c r="AG373" i="7"/>
  <c r="AJ373" i="3" s="1"/>
  <c r="AC405" i="7"/>
  <c r="AG385" i="7"/>
  <c r="AC383" i="7"/>
  <c r="M289" i="8"/>
  <c r="AC403" i="7"/>
  <c r="AG399" i="7"/>
  <c r="AG396" i="7"/>
  <c r="AG393" i="7"/>
  <c r="AG390" i="7"/>
  <c r="AC387" i="7"/>
  <c r="AC384" i="7"/>
  <c r="AC381" i="7"/>
  <c r="AG380" i="7"/>
  <c r="AC386" i="7"/>
  <c r="I381" i="7"/>
  <c r="L381" i="3" s="1"/>
  <c r="AG391" i="7"/>
  <c r="L393" i="7"/>
  <c r="AV393" i="7"/>
  <c r="AY393" i="3" s="1"/>
  <c r="AG402" i="7"/>
  <c r="H906" i="10"/>
  <c r="J411" i="7"/>
  <c r="M411" i="3" s="1"/>
  <c r="I411" i="7"/>
  <c r="L411" i="3" s="1"/>
  <c r="N74" i="9"/>
  <c r="AJ411" i="7"/>
  <c r="U916" i="10"/>
  <c r="I421" i="7"/>
  <c r="L421" i="3" s="1"/>
  <c r="AO137" i="10"/>
  <c r="AO189" i="10"/>
  <c r="AO210" i="10"/>
  <c r="AO319" i="10"/>
  <c r="AO335" i="10"/>
  <c r="AO364" i="10"/>
  <c r="CS559" i="10"/>
  <c r="N61" i="34" s="1"/>
  <c r="H151" i="34"/>
  <c r="CO649" i="10"/>
  <c r="O151" i="34" s="1"/>
  <c r="CP649" i="10"/>
  <c r="CQ649" i="10"/>
  <c r="M151" i="34" s="1"/>
  <c r="H168" i="34"/>
  <c r="CO666" i="10"/>
  <c r="O168" i="34" s="1"/>
  <c r="CQ666" i="10"/>
  <c r="M168" i="34" s="1"/>
  <c r="CP666" i="10"/>
  <c r="H224" i="34"/>
  <c r="CQ722" i="10"/>
  <c r="M224" i="34" s="1"/>
  <c r="G20" i="35"/>
  <c r="CU23" i="9"/>
  <c r="N20" i="35" s="1"/>
  <c r="CV23" i="9"/>
  <c r="CT23" i="9"/>
  <c r="AO139" i="10"/>
  <c r="AO172" i="10"/>
  <c r="AO337" i="10"/>
  <c r="H62" i="34"/>
  <c r="CP560" i="10"/>
  <c r="CO560" i="10"/>
  <c r="O62" i="34" s="1"/>
  <c r="CQ560" i="10"/>
  <c r="M62" i="34" s="1"/>
  <c r="L109" i="7"/>
  <c r="O109" i="3" s="1"/>
  <c r="H626" i="10"/>
  <c r="AV131" i="7"/>
  <c r="H639" i="10"/>
  <c r="BY639" i="10" s="1"/>
  <c r="I144" i="7"/>
  <c r="L144" i="3" s="1"/>
  <c r="AK144" i="7"/>
  <c r="AN144" i="3" s="1"/>
  <c r="AV170" i="7"/>
  <c r="AY170" i="3" s="1"/>
  <c r="AT192" i="7"/>
  <c r="AW192" i="3" s="1"/>
  <c r="L214" i="7"/>
  <c r="O214" i="3" s="1"/>
  <c r="H775" i="10"/>
  <c r="L280" i="7"/>
  <c r="O280" i="3" s="1"/>
  <c r="I280" i="7"/>
  <c r="AG333" i="7"/>
  <c r="AG341" i="7"/>
  <c r="I348" i="7"/>
  <c r="L348" i="3" s="1"/>
  <c r="AK375" i="7"/>
  <c r="L375" i="7"/>
  <c r="O375" i="3" s="1"/>
  <c r="I375" i="7"/>
  <c r="AG378" i="7"/>
  <c r="AJ378" i="3" s="1"/>
  <c r="J381" i="7"/>
  <c r="M381" i="3" s="1"/>
  <c r="AC418" i="7"/>
  <c r="J421" i="7"/>
  <c r="N289" i="8"/>
  <c r="G5" i="35"/>
  <c r="CT8" i="9"/>
  <c r="G21" i="35"/>
  <c r="CV24" i="9"/>
  <c r="CT24" i="9"/>
  <c r="CE62" i="9"/>
  <c r="G72" i="35"/>
  <c r="CW75" i="9"/>
  <c r="L72" i="35" s="1"/>
  <c r="CV75" i="9"/>
  <c r="CU75" i="9"/>
  <c r="N72" i="35" s="1"/>
  <c r="AO47" i="10"/>
  <c r="AO154" i="10"/>
  <c r="AO158" i="10"/>
  <c r="AO409" i="10"/>
  <c r="L109" i="34"/>
  <c r="CS607" i="10"/>
  <c r="N109" i="34" s="1"/>
  <c r="L134" i="34"/>
  <c r="CS632" i="10"/>
  <c r="N134" i="34" s="1"/>
  <c r="L207" i="34"/>
  <c r="CS705" i="10"/>
  <c r="N207" i="34" s="1"/>
  <c r="H870" i="10"/>
  <c r="N758" i="10"/>
  <c r="T758" i="10"/>
  <c r="BQ758" i="10"/>
  <c r="Q758" i="10"/>
  <c r="R758" i="10"/>
  <c r="BB758" i="10"/>
  <c r="BC758" i="10" s="1"/>
  <c r="T846" i="10"/>
  <c r="I801" i="19"/>
  <c r="R872" i="10"/>
  <c r="G872" i="10"/>
  <c r="G374" i="34" s="1"/>
  <c r="BQ872" i="10"/>
  <c r="T872" i="10"/>
  <c r="BB872" i="10"/>
  <c r="BC872" i="10" s="1"/>
  <c r="O872" i="10"/>
  <c r="K872" i="10"/>
  <c r="BG872" i="10" s="1"/>
  <c r="G19" i="35"/>
  <c r="CT22" i="9"/>
  <c r="AO71" i="10"/>
  <c r="AO174" i="10"/>
  <c r="AO258" i="10"/>
  <c r="AO287" i="10"/>
  <c r="AO375" i="10"/>
  <c r="AO379" i="10"/>
  <c r="L18" i="34"/>
  <c r="CS516" i="10"/>
  <c r="N18" i="34" s="1"/>
  <c r="H27" i="34"/>
  <c r="CQ525" i="10"/>
  <c r="M27" i="34" s="1"/>
  <c r="CP525" i="10"/>
  <c r="CO525" i="10"/>
  <c r="O27" i="34" s="1"/>
  <c r="I36" i="34"/>
  <c r="H43" i="34"/>
  <c r="CP541" i="10"/>
  <c r="CQ541" i="10"/>
  <c r="M43" i="34" s="1"/>
  <c r="CO541" i="10"/>
  <c r="O43" i="34" s="1"/>
  <c r="L76" i="34"/>
  <c r="CS574" i="10"/>
  <c r="N76" i="34" s="1"/>
  <c r="CP585" i="10"/>
  <c r="CO585" i="10"/>
  <c r="O87" i="34" s="1"/>
  <c r="H89" i="34"/>
  <c r="CP587" i="10"/>
  <c r="CO587" i="10"/>
  <c r="O89" i="34" s="1"/>
  <c r="CQ587" i="10"/>
  <c r="M89" i="34" s="1"/>
  <c r="H113" i="34"/>
  <c r="CO611" i="10"/>
  <c r="O113" i="34" s="1"/>
  <c r="G6" i="35"/>
  <c r="M9" i="35"/>
  <c r="K9" i="35"/>
  <c r="M32" i="35"/>
  <c r="K32" i="35"/>
  <c r="AO184" i="10"/>
  <c r="AO247" i="10"/>
  <c r="AO272" i="10"/>
  <c r="AO356" i="10"/>
  <c r="AO412" i="10"/>
  <c r="H7" i="34"/>
  <c r="CO505" i="10"/>
  <c r="O7" i="34" s="1"/>
  <c r="CP505" i="10"/>
  <c r="H53" i="34"/>
  <c r="CO551" i="10"/>
  <c r="O53" i="34" s="1"/>
  <c r="H79" i="34"/>
  <c r="CQ577" i="10"/>
  <c r="M79" i="34" s="1"/>
  <c r="CP577" i="10"/>
  <c r="CO577" i="10"/>
  <c r="O79" i="34" s="1"/>
  <c r="H228" i="34"/>
  <c r="CO726" i="10"/>
  <c r="O228" i="34" s="1"/>
  <c r="CQ726" i="10"/>
  <c r="M228" i="34" s="1"/>
  <c r="CP726" i="10"/>
  <c r="AO242" i="10"/>
  <c r="AO339" i="10"/>
  <c r="AO366" i="10"/>
  <c r="AO368" i="10"/>
  <c r="AO391" i="10"/>
  <c r="H35" i="34"/>
  <c r="CO533" i="10"/>
  <c r="O35" i="34" s="1"/>
  <c r="CP533" i="10"/>
  <c r="I143" i="34"/>
  <c r="I150" i="34"/>
  <c r="H215" i="34"/>
  <c r="CP713" i="10"/>
  <c r="CO713" i="10"/>
  <c r="O215" i="34" s="1"/>
  <c r="I292" i="34"/>
  <c r="H322" i="34"/>
  <c r="CQ820" i="10"/>
  <c r="M322" i="34" s="1"/>
  <c r="CP820" i="10"/>
  <c r="CO820" i="10"/>
  <c r="O322" i="34" s="1"/>
  <c r="CE820" i="10"/>
  <c r="AO51" i="10"/>
  <c r="AV263" i="7"/>
  <c r="AY263" i="3" s="1"/>
  <c r="AV285" i="7"/>
  <c r="AY285" i="3" s="1"/>
  <c r="AV307" i="7"/>
  <c r="AY307" i="3" s="1"/>
  <c r="AV351" i="7"/>
  <c r="AY351" i="3" s="1"/>
  <c r="H910" i="10"/>
  <c r="H916" i="10"/>
  <c r="N76" i="9"/>
  <c r="AJ421" i="7"/>
  <c r="G9" i="35"/>
  <c r="CW12" i="9"/>
  <c r="L9" i="35" s="1"/>
  <c r="G38" i="35"/>
  <c r="AO148" i="10"/>
  <c r="AO192" i="10"/>
  <c r="AO215" i="10"/>
  <c r="H34" i="34"/>
  <c r="CO532" i="10"/>
  <c r="O34" i="34" s="1"/>
  <c r="H69" i="34"/>
  <c r="CO567" i="10"/>
  <c r="O69" i="34" s="1"/>
  <c r="CQ567" i="10"/>
  <c r="M69" i="34" s="1"/>
  <c r="CP567" i="10"/>
  <c r="CQ585" i="10"/>
  <c r="M87" i="34" s="1"/>
  <c r="I137" i="34"/>
  <c r="L171" i="34"/>
  <c r="CS669" i="10"/>
  <c r="N171" i="34" s="1"/>
  <c r="H189" i="34"/>
  <c r="CO687" i="10"/>
  <c r="O189" i="34" s="1"/>
  <c r="CQ687" i="10"/>
  <c r="M189" i="34" s="1"/>
  <c r="CP687" i="10"/>
  <c r="H65" i="35"/>
  <c r="AO144" i="10"/>
  <c r="AO234" i="10"/>
  <c r="H17" i="34"/>
  <c r="CQ515" i="10"/>
  <c r="M17" i="34" s="1"/>
  <c r="CP515" i="10"/>
  <c r="CO515" i="10"/>
  <c r="O17" i="34" s="1"/>
  <c r="H52" i="34"/>
  <c r="CP550" i="10"/>
  <c r="CO550" i="10"/>
  <c r="O52" i="34" s="1"/>
  <c r="I173" i="34"/>
  <c r="H196" i="34"/>
  <c r="CQ694" i="10"/>
  <c r="M196" i="34" s="1"/>
  <c r="CO694" i="10"/>
  <c r="O196" i="34" s="1"/>
  <c r="CP694" i="10"/>
  <c r="L221" i="34"/>
  <c r="H278" i="34"/>
  <c r="CQ776" i="10"/>
  <c r="M278" i="34" s="1"/>
  <c r="CP776" i="10"/>
  <c r="CO776" i="10"/>
  <c r="O278" i="34" s="1"/>
  <c r="H279" i="34"/>
  <c r="CO777" i="10"/>
  <c r="O279" i="34" s="1"/>
  <c r="CQ777" i="10"/>
  <c r="M279" i="34" s="1"/>
  <c r="CP777" i="10"/>
  <c r="I323" i="34"/>
  <c r="H344" i="34"/>
  <c r="BY842" i="10"/>
  <c r="CQ842" i="10"/>
  <c r="M344" i="34" s="1"/>
  <c r="CP842" i="10"/>
  <c r="CO842" i="10"/>
  <c r="O344" i="34" s="1"/>
  <c r="L407" i="34"/>
  <c r="CS905" i="10"/>
  <c r="N407" i="34" s="1"/>
  <c r="G13" i="35"/>
  <c r="CV16" i="9"/>
  <c r="G32" i="35"/>
  <c r="CU35" i="9"/>
  <c r="N32" i="35" s="1"/>
  <c r="G48" i="35"/>
  <c r="AO5" i="10"/>
  <c r="AO19" i="10"/>
  <c r="AO49" i="10"/>
  <c r="AO79" i="10"/>
  <c r="AO86" i="10"/>
  <c r="AO199" i="10"/>
  <c r="AO267" i="10"/>
  <c r="L59" i="34"/>
  <c r="CS557" i="10"/>
  <c r="N59" i="34" s="1"/>
  <c r="I99" i="34"/>
  <c r="H269" i="34"/>
  <c r="CP767" i="10"/>
  <c r="CQ767" i="10"/>
  <c r="M269" i="34" s="1"/>
  <c r="CE767" i="10"/>
  <c r="L397" i="34"/>
  <c r="CS895" i="10"/>
  <c r="N397" i="34" s="1"/>
  <c r="M52" i="35"/>
  <c r="K52" i="35"/>
  <c r="G57" i="35"/>
  <c r="CU60" i="9"/>
  <c r="N57" i="35" s="1"/>
  <c r="AO149" i="10"/>
  <c r="AO280" i="10"/>
  <c r="AO424" i="10"/>
  <c r="H33" i="34"/>
  <c r="CQ531" i="10"/>
  <c r="M33" i="34" s="1"/>
  <c r="CP531" i="10"/>
  <c r="I66" i="34"/>
  <c r="L142" i="34"/>
  <c r="CS640" i="10"/>
  <c r="N142" i="34" s="1"/>
  <c r="I160" i="34"/>
  <c r="H191" i="34"/>
  <c r="CQ689" i="10"/>
  <c r="M191" i="34" s="1"/>
  <c r="CP689" i="10"/>
  <c r="CE689" i="10"/>
  <c r="L358" i="34"/>
  <c r="CS856" i="10"/>
  <c r="N358" i="34" s="1"/>
  <c r="K22" i="35"/>
  <c r="G31" i="35"/>
  <c r="CW34" i="9"/>
  <c r="L31" i="35" s="1"/>
  <c r="G60" i="35"/>
  <c r="CT63" i="9"/>
  <c r="AO81" i="10"/>
  <c r="AO160" i="10"/>
  <c r="AO194" i="10"/>
  <c r="AO262" i="10"/>
  <c r="AO269" i="10"/>
  <c r="AO361" i="10"/>
  <c r="H9" i="34"/>
  <c r="H15" i="34"/>
  <c r="H39" i="34"/>
  <c r="CQ537" i="10"/>
  <c r="M39" i="34" s="1"/>
  <c r="CP537" i="10"/>
  <c r="H122" i="34"/>
  <c r="CE620" i="10"/>
  <c r="I130" i="34"/>
  <c r="H232" i="34"/>
  <c r="CQ730" i="10"/>
  <c r="M232" i="34" s="1"/>
  <c r="CO730" i="10"/>
  <c r="O232" i="34" s="1"/>
  <c r="CP730" i="10"/>
  <c r="L245" i="34"/>
  <c r="CS743" i="10"/>
  <c r="N245" i="34" s="1"/>
  <c r="H275" i="34"/>
  <c r="CP773" i="10"/>
  <c r="CQ773" i="10"/>
  <c r="M275" i="34" s="1"/>
  <c r="CO773" i="10"/>
  <c r="O275" i="34" s="1"/>
  <c r="H30" i="34"/>
  <c r="H84" i="34"/>
  <c r="CQ582" i="10"/>
  <c r="M84" i="34" s="1"/>
  <c r="CP582" i="10"/>
  <c r="CO582" i="10"/>
  <c r="O84" i="34" s="1"/>
  <c r="H94" i="34"/>
  <c r="CQ592" i="10"/>
  <c r="M94" i="34" s="1"/>
  <c r="L123" i="34"/>
  <c r="H124" i="34"/>
  <c r="CO622" i="10"/>
  <c r="O124" i="34" s="1"/>
  <c r="CP622" i="10"/>
  <c r="H155" i="34"/>
  <c r="CQ653" i="10"/>
  <c r="M155" i="34" s="1"/>
  <c r="CO653" i="10"/>
  <c r="O155" i="34" s="1"/>
  <c r="CP653" i="10"/>
  <c r="H169" i="34"/>
  <c r="CQ667" i="10"/>
  <c r="M169" i="34" s="1"/>
  <c r="CO667" i="10"/>
  <c r="O169" i="34" s="1"/>
  <c r="H264" i="34"/>
  <c r="CQ762" i="10"/>
  <c r="M264" i="34" s="1"/>
  <c r="H276" i="34"/>
  <c r="CO774" i="10"/>
  <c r="O276" i="34" s="1"/>
  <c r="CQ774" i="10"/>
  <c r="M276" i="34" s="1"/>
  <c r="CP774" i="10"/>
  <c r="G47" i="35"/>
  <c r="CT50" i="9"/>
  <c r="AO426" i="10"/>
  <c r="H45" i="34"/>
  <c r="CO543" i="10"/>
  <c r="O45" i="34" s="1"/>
  <c r="CQ543" i="10"/>
  <c r="M45" i="34" s="1"/>
  <c r="CP543" i="10"/>
  <c r="I127" i="34"/>
  <c r="I134" i="34"/>
  <c r="L241" i="34"/>
  <c r="CS739" i="10"/>
  <c r="N241" i="34" s="1"/>
  <c r="I192" i="34"/>
  <c r="L217" i="34"/>
  <c r="H38" i="34"/>
  <c r="CP536" i="10"/>
  <c r="CQ536" i="10"/>
  <c r="M38" i="34" s="1"/>
  <c r="CO536" i="10"/>
  <c r="O38" i="34" s="1"/>
  <c r="H49" i="34"/>
  <c r="CQ547" i="10"/>
  <c r="M49" i="34" s="1"/>
  <c r="CP547" i="10"/>
  <c r="H59" i="34"/>
  <c r="CO557" i="10"/>
  <c r="O59" i="34" s="1"/>
  <c r="H102" i="34"/>
  <c r="CO600" i="10"/>
  <c r="O102" i="34" s="1"/>
  <c r="H133" i="34"/>
  <c r="CO631" i="10"/>
  <c r="O133" i="34" s="1"/>
  <c r="CP631" i="10"/>
  <c r="H153" i="34"/>
  <c r="CP651" i="10"/>
  <c r="CE651" i="10"/>
  <c r="H158" i="34"/>
  <c r="CP656" i="10"/>
  <c r="CE656" i="10"/>
  <c r="CQ656" i="10"/>
  <c r="M158" i="34" s="1"/>
  <c r="CO656" i="10"/>
  <c r="O158" i="34" s="1"/>
  <c r="I176" i="34"/>
  <c r="H251" i="34"/>
  <c r="CQ749" i="10"/>
  <c r="M251" i="34" s="1"/>
  <c r="H328" i="34"/>
  <c r="CP826" i="10"/>
  <c r="CQ826" i="10"/>
  <c r="M328" i="34" s="1"/>
  <c r="CO826" i="10"/>
  <c r="O328" i="34" s="1"/>
  <c r="H16" i="34"/>
  <c r="H50" i="34"/>
  <c r="CQ548" i="10"/>
  <c r="M50" i="34" s="1"/>
  <c r="H56" i="34"/>
  <c r="CE554" i="10"/>
  <c r="H61" i="34"/>
  <c r="BY559" i="10"/>
  <c r="CQ559" i="10"/>
  <c r="M61" i="34" s="1"/>
  <c r="CS664" i="10"/>
  <c r="N166" i="34" s="1"/>
  <c r="L180" i="34"/>
  <c r="CS678" i="10"/>
  <c r="N180" i="34" s="1"/>
  <c r="L277" i="34"/>
  <c r="CS775" i="10"/>
  <c r="N277" i="34" s="1"/>
  <c r="H312" i="34"/>
  <c r="CQ810" i="10"/>
  <c r="M312" i="34" s="1"/>
  <c r="CP810" i="10"/>
  <c r="CO810" i="10"/>
  <c r="O312" i="34" s="1"/>
  <c r="H333" i="34"/>
  <c r="CO831" i="10"/>
  <c r="O333" i="34" s="1"/>
  <c r="CP831" i="10"/>
  <c r="CQ831" i="10"/>
  <c r="M333" i="34" s="1"/>
  <c r="H420" i="34"/>
  <c r="CO918" i="10"/>
  <c r="O420" i="34" s="1"/>
  <c r="CQ918" i="10"/>
  <c r="M420" i="34" s="1"/>
  <c r="CP918" i="10"/>
  <c r="H31" i="34"/>
  <c r="H44" i="34"/>
  <c r="CO542" i="10"/>
  <c r="O44" i="34" s="1"/>
  <c r="CP542" i="10"/>
  <c r="L48" i="34"/>
  <c r="CS546" i="10"/>
  <c r="N48" i="34" s="1"/>
  <c r="L81" i="34"/>
  <c r="CS579" i="10"/>
  <c r="N81" i="34" s="1"/>
  <c r="H100" i="34"/>
  <c r="CQ598" i="10"/>
  <c r="M100" i="34" s="1"/>
  <c r="CO598" i="10"/>
  <c r="O100" i="34" s="1"/>
  <c r="CP598" i="10"/>
  <c r="L126" i="34"/>
  <c r="CS624" i="10"/>
  <c r="N126" i="34" s="1"/>
  <c r="H132" i="34"/>
  <c r="CP630" i="10"/>
  <c r="CO630" i="10"/>
  <c r="O132" i="34" s="1"/>
  <c r="H190" i="34"/>
  <c r="CO688" i="10"/>
  <c r="O190" i="34" s="1"/>
  <c r="CQ688" i="10"/>
  <c r="M190" i="34" s="1"/>
  <c r="CP688" i="10"/>
  <c r="H208" i="34"/>
  <c r="CE706" i="10"/>
  <c r="CO706" i="10"/>
  <c r="O208" i="34" s="1"/>
  <c r="CP706" i="10"/>
  <c r="L282" i="34"/>
  <c r="CS780" i="10"/>
  <c r="N282" i="34" s="1"/>
  <c r="I290" i="34"/>
  <c r="L336" i="34"/>
  <c r="CS834" i="10"/>
  <c r="N336" i="34" s="1"/>
  <c r="H378" i="34"/>
  <c r="CQ876" i="10"/>
  <c r="M378" i="34" s="1"/>
  <c r="CP876" i="10"/>
  <c r="G46" i="35"/>
  <c r="CW49" i="9"/>
  <c r="L46" i="35" s="1"/>
  <c r="G50" i="35"/>
  <c r="CW53" i="9"/>
  <c r="L50" i="35" s="1"/>
  <c r="CW54" i="9"/>
  <c r="L51" i="35" s="1"/>
  <c r="G52" i="35"/>
  <c r="CW55" i="9"/>
  <c r="L52" i="35" s="1"/>
  <c r="G53" i="35"/>
  <c r="CV56" i="9"/>
  <c r="G54" i="35"/>
  <c r="CU57" i="9"/>
  <c r="N54" i="35" s="1"/>
  <c r="CW57" i="9"/>
  <c r="L54" i="35" s="1"/>
  <c r="CV58" i="9"/>
  <c r="AO314" i="10"/>
  <c r="AO324" i="10"/>
  <c r="H20" i="34"/>
  <c r="CO518" i="10"/>
  <c r="O20" i="34" s="1"/>
  <c r="H42" i="34"/>
  <c r="H63" i="34"/>
  <c r="CQ561" i="10"/>
  <c r="M63" i="34" s="1"/>
  <c r="H70" i="34"/>
  <c r="CO568" i="10"/>
  <c r="O70" i="34" s="1"/>
  <c r="CP568" i="10"/>
  <c r="H82" i="34"/>
  <c r="CQ580" i="10"/>
  <c r="M82" i="34" s="1"/>
  <c r="CO580" i="10"/>
  <c r="O82" i="34" s="1"/>
  <c r="H97" i="34"/>
  <c r="H179" i="34"/>
  <c r="CO677" i="10"/>
  <c r="O179" i="34" s="1"/>
  <c r="H188" i="34"/>
  <c r="CP686" i="10"/>
  <c r="I227" i="34"/>
  <c r="H237" i="34"/>
  <c r="CQ735" i="10"/>
  <c r="M237" i="34" s="1"/>
  <c r="CO735" i="10"/>
  <c r="O237" i="34" s="1"/>
  <c r="I338" i="34"/>
  <c r="H405" i="34"/>
  <c r="CQ903" i="10"/>
  <c r="M405" i="34" s="1"/>
  <c r="CP903" i="10"/>
  <c r="CO903" i="10"/>
  <c r="O405" i="34" s="1"/>
  <c r="I410" i="34"/>
  <c r="H408" i="34"/>
  <c r="CP906" i="10"/>
  <c r="CO906" i="10"/>
  <c r="O408" i="34" s="1"/>
  <c r="CQ906" i="10"/>
  <c r="M408" i="34" s="1"/>
  <c r="H181" i="34"/>
  <c r="CQ679" i="10"/>
  <c r="M181" i="34" s="1"/>
  <c r="CP679" i="10"/>
  <c r="H200" i="34"/>
  <c r="CO698" i="10"/>
  <c r="O200" i="34" s="1"/>
  <c r="CP698" i="10"/>
  <c r="CQ698" i="10"/>
  <c r="M200" i="34" s="1"/>
  <c r="CO876" i="10"/>
  <c r="O378" i="34" s="1"/>
  <c r="CW66" i="9"/>
  <c r="L63" i="35" s="1"/>
  <c r="M64" i="35"/>
  <c r="K64" i="35"/>
  <c r="AO60" i="10"/>
  <c r="AO281" i="10"/>
  <c r="AO291" i="10"/>
  <c r="H91" i="34"/>
  <c r="CQ589" i="10"/>
  <c r="M91" i="34" s="1"/>
  <c r="H98" i="34"/>
  <c r="CQ596" i="10"/>
  <c r="M98" i="34" s="1"/>
  <c r="H109" i="34"/>
  <c r="H147" i="34"/>
  <c r="CP645" i="10"/>
  <c r="CO645" i="10"/>
  <c r="O147" i="34" s="1"/>
  <c r="H162" i="34"/>
  <c r="CO660" i="10"/>
  <c r="O162" i="34" s="1"/>
  <c r="CP660" i="10"/>
  <c r="H171" i="34"/>
  <c r="CQ669" i="10"/>
  <c r="M171" i="34" s="1"/>
  <c r="CO669" i="10"/>
  <c r="O171" i="34" s="1"/>
  <c r="H184" i="34"/>
  <c r="CQ682" i="10"/>
  <c r="M184" i="34" s="1"/>
  <c r="CO682" i="10"/>
  <c r="O184" i="34" s="1"/>
  <c r="H213" i="34"/>
  <c r="CQ711" i="10"/>
  <c r="M213" i="34" s="1"/>
  <c r="CP711" i="10"/>
  <c r="H255" i="34"/>
  <c r="CO753" i="10"/>
  <c r="O255" i="34" s="1"/>
  <c r="CQ753" i="10"/>
  <c r="M255" i="34" s="1"/>
  <c r="L347" i="34"/>
  <c r="CS845" i="10"/>
  <c r="N347" i="34" s="1"/>
  <c r="CW67" i="9"/>
  <c r="L64" i="35" s="1"/>
  <c r="M69" i="35"/>
  <c r="K69" i="35"/>
  <c r="AO226" i="10"/>
  <c r="AO236" i="10"/>
  <c r="H5" i="34"/>
  <c r="CQ503" i="10"/>
  <c r="M5" i="34" s="1"/>
  <c r="H26" i="34"/>
  <c r="H40" i="34"/>
  <c r="H76" i="34"/>
  <c r="H110" i="34"/>
  <c r="CO608" i="10"/>
  <c r="O110" i="34" s="1"/>
  <c r="CQ608" i="10"/>
  <c r="M110" i="34" s="1"/>
  <c r="H126" i="34"/>
  <c r="CQ624" i="10"/>
  <c r="M126" i="34" s="1"/>
  <c r="CO624" i="10"/>
  <c r="O126" i="34" s="1"/>
  <c r="I220" i="34"/>
  <c r="L265" i="34"/>
  <c r="CS763" i="10"/>
  <c r="N265" i="34" s="1"/>
  <c r="H348" i="34"/>
  <c r="CQ846" i="10"/>
  <c r="M348" i="34" s="1"/>
  <c r="CP846" i="10"/>
  <c r="CO846" i="10"/>
  <c r="O348" i="34" s="1"/>
  <c r="H350" i="34"/>
  <c r="BY848" i="10"/>
  <c r="CP848" i="10"/>
  <c r="CQ848" i="10"/>
  <c r="M350" i="34" s="1"/>
  <c r="CO848" i="10"/>
  <c r="O350" i="34" s="1"/>
  <c r="CW15" i="9"/>
  <c r="L12" i="35" s="1"/>
  <c r="G65" i="35"/>
  <c r="CW68" i="9"/>
  <c r="L65" i="35" s="1"/>
  <c r="CW69" i="9"/>
  <c r="L66" i="35" s="1"/>
  <c r="CW70" i="9"/>
  <c r="L67" i="35" s="1"/>
  <c r="G69" i="35"/>
  <c r="CT72" i="9"/>
  <c r="CW72" i="9"/>
  <c r="L69" i="35" s="1"/>
  <c r="CW73" i="9"/>
  <c r="L70" i="35" s="1"/>
  <c r="CW74" i="9"/>
  <c r="L71" i="35" s="1"/>
  <c r="AO16" i="10"/>
  <c r="AO171" i="10"/>
  <c r="AO181" i="10"/>
  <c r="AO413" i="10"/>
  <c r="AO423" i="10"/>
  <c r="H24" i="34"/>
  <c r="CO522" i="10"/>
  <c r="O24" i="34" s="1"/>
  <c r="H60" i="34"/>
  <c r="CQ558" i="10"/>
  <c r="M60" i="34" s="1"/>
  <c r="H111" i="34"/>
  <c r="CQ609" i="10"/>
  <c r="M111" i="34" s="1"/>
  <c r="CP609" i="10"/>
  <c r="H166" i="34"/>
  <c r="CE664" i="10"/>
  <c r="CO664" i="10"/>
  <c r="O166" i="34" s="1"/>
  <c r="BY664" i="10"/>
  <c r="CP677" i="10"/>
  <c r="L259" i="34"/>
  <c r="CS757" i="10"/>
  <c r="N259" i="34" s="1"/>
  <c r="H369" i="34"/>
  <c r="CP867" i="10"/>
  <c r="CO867" i="10"/>
  <c r="O369" i="34" s="1"/>
  <c r="CQ867" i="10"/>
  <c r="M369" i="34" s="1"/>
  <c r="H375" i="34"/>
  <c r="CQ873" i="10"/>
  <c r="M375" i="34" s="1"/>
  <c r="CP873" i="10"/>
  <c r="H58" i="34"/>
  <c r="CQ556" i="10"/>
  <c r="M58" i="34" s="1"/>
  <c r="H71" i="34"/>
  <c r="CE569" i="10"/>
  <c r="H81" i="34"/>
  <c r="CO579" i="10"/>
  <c r="O81" i="34" s="1"/>
  <c r="CQ579" i="10"/>
  <c r="M81" i="34" s="1"/>
  <c r="L136" i="34"/>
  <c r="CS634" i="10"/>
  <c r="N136" i="34" s="1"/>
  <c r="H145" i="34"/>
  <c r="CO643" i="10"/>
  <c r="O145" i="34" s="1"/>
  <c r="H226" i="34"/>
  <c r="CP724" i="10"/>
  <c r="H247" i="34"/>
  <c r="CQ745" i="10"/>
  <c r="M247" i="34" s="1"/>
  <c r="CP745" i="10"/>
  <c r="CO745" i="10"/>
  <c r="O247" i="34" s="1"/>
  <c r="L267" i="34"/>
  <c r="CS765" i="10"/>
  <c r="N267" i="34" s="1"/>
  <c r="H268" i="34"/>
  <c r="H311" i="34"/>
  <c r="CQ809" i="10"/>
  <c r="M311" i="34" s="1"/>
  <c r="CO809" i="10"/>
  <c r="O311" i="34" s="1"/>
  <c r="CE809" i="10"/>
  <c r="CP809" i="10"/>
  <c r="H349" i="34"/>
  <c r="CO847" i="10"/>
  <c r="O349" i="34" s="1"/>
  <c r="CP847" i="10"/>
  <c r="I385" i="34"/>
  <c r="H23" i="34"/>
  <c r="CO521" i="10"/>
  <c r="O23" i="34" s="1"/>
  <c r="CQ521" i="10"/>
  <c r="M23" i="34" s="1"/>
  <c r="H48" i="34"/>
  <c r="CO546" i="10"/>
  <c r="O48" i="34" s="1"/>
  <c r="H66" i="34"/>
  <c r="CO564" i="10"/>
  <c r="O66" i="34" s="1"/>
  <c r="H207" i="34"/>
  <c r="CQ705" i="10"/>
  <c r="M207" i="34" s="1"/>
  <c r="H210" i="34"/>
  <c r="H214" i="34"/>
  <c r="CQ712" i="10"/>
  <c r="M214" i="34" s="1"/>
  <c r="CP712" i="10"/>
  <c r="H254" i="34"/>
  <c r="CE752" i="10"/>
  <c r="BY752" i="10"/>
  <c r="CQ752" i="10"/>
  <c r="M254" i="34" s="1"/>
  <c r="CP752" i="10"/>
  <c r="L380" i="34"/>
  <c r="CS878" i="10"/>
  <c r="N380" i="34" s="1"/>
  <c r="H386" i="34"/>
  <c r="CP884" i="10"/>
  <c r="CO884" i="10"/>
  <c r="O386" i="34" s="1"/>
  <c r="H417" i="34"/>
  <c r="CO915" i="10"/>
  <c r="O417" i="34" s="1"/>
  <c r="CV20" i="9"/>
  <c r="CV42" i="9"/>
  <c r="CV64" i="9"/>
  <c r="CP506" i="10"/>
  <c r="H18" i="34"/>
  <c r="H90" i="34"/>
  <c r="CQ588" i="10"/>
  <c r="M90" i="34" s="1"/>
  <c r="CO588" i="10"/>
  <c r="O90" i="34" s="1"/>
  <c r="I103" i="34"/>
  <c r="H206" i="34"/>
  <c r="I217" i="34"/>
  <c r="H223" i="34"/>
  <c r="CE721" i="10"/>
  <c r="CP721" i="10"/>
  <c r="H243" i="34"/>
  <c r="CO741" i="10"/>
  <c r="O243" i="34" s="1"/>
  <c r="I422" i="34"/>
  <c r="B10" i="17"/>
  <c r="E10" i="17"/>
  <c r="F10" i="17" s="1"/>
  <c r="H83" i="34"/>
  <c r="CQ581" i="10"/>
  <c r="M83" i="34" s="1"/>
  <c r="H222" i="34"/>
  <c r="CO720" i="10"/>
  <c r="O222" i="34" s="1"/>
  <c r="CP720" i="10"/>
  <c r="H248" i="34"/>
  <c r="CQ746" i="10"/>
  <c r="M248" i="34" s="1"/>
  <c r="CP746" i="10"/>
  <c r="CO746" i="10"/>
  <c r="O248" i="34" s="1"/>
  <c r="I283" i="34"/>
  <c r="H337" i="34"/>
  <c r="CQ835" i="10"/>
  <c r="M337" i="34" s="1"/>
  <c r="CP835" i="10"/>
  <c r="CO835" i="10"/>
  <c r="O337" i="34" s="1"/>
  <c r="H406" i="34"/>
  <c r="CQ904" i="10"/>
  <c r="M406" i="34" s="1"/>
  <c r="CP904" i="10"/>
  <c r="CO904" i="10"/>
  <c r="O406" i="34" s="1"/>
  <c r="L356" i="34"/>
  <c r="CS854" i="10"/>
  <c r="N356" i="34" s="1"/>
  <c r="H413" i="34"/>
  <c r="CQ911" i="10"/>
  <c r="M413" i="34" s="1"/>
  <c r="CP911" i="10"/>
  <c r="CO911" i="10"/>
  <c r="O413" i="34" s="1"/>
  <c r="L417" i="34"/>
  <c r="CS915" i="10"/>
  <c r="N417" i="34" s="1"/>
  <c r="H123" i="34"/>
  <c r="L195" i="34"/>
  <c r="CS693" i="10"/>
  <c r="N195" i="34" s="1"/>
  <c r="L270" i="34"/>
  <c r="CS768" i="10"/>
  <c r="N270" i="34" s="1"/>
  <c r="L352" i="34"/>
  <c r="CS850" i="10"/>
  <c r="N352" i="34" s="1"/>
  <c r="H362" i="34"/>
  <c r="CO860" i="10"/>
  <c r="O362" i="34" s="1"/>
  <c r="CP860" i="10"/>
  <c r="CQ915" i="10"/>
  <c r="M417" i="34" s="1"/>
  <c r="H29" i="34"/>
  <c r="H73" i="34"/>
  <c r="H114" i="34"/>
  <c r="H131" i="34"/>
  <c r="CQ629" i="10"/>
  <c r="M131" i="34" s="1"/>
  <c r="H201" i="34"/>
  <c r="CO699" i="10"/>
  <c r="O201" i="34" s="1"/>
  <c r="H204" i="34"/>
  <c r="CQ702" i="10"/>
  <c r="M204" i="34" s="1"/>
  <c r="CP702" i="10"/>
  <c r="CE720" i="10"/>
  <c r="CQ884" i="10"/>
  <c r="M386" i="34" s="1"/>
  <c r="H396" i="34"/>
  <c r="CQ894" i="10"/>
  <c r="M396" i="34" s="1"/>
  <c r="CP894" i="10"/>
  <c r="CO894" i="10"/>
  <c r="O396" i="34" s="1"/>
  <c r="H397" i="34"/>
  <c r="CO895" i="10"/>
  <c r="O397" i="34" s="1"/>
  <c r="I402" i="34"/>
  <c r="H425" i="34"/>
  <c r="CP923" i="10"/>
  <c r="CO923" i="10"/>
  <c r="O425" i="34" s="1"/>
  <c r="CQ923" i="10"/>
  <c r="M425" i="34" s="1"/>
  <c r="H55" i="34"/>
  <c r="CO553" i="10"/>
  <c r="O55" i="34" s="1"/>
  <c r="H65" i="34"/>
  <c r="H99" i="34"/>
  <c r="CO597" i="10"/>
  <c r="O99" i="34" s="1"/>
  <c r="H178" i="34"/>
  <c r="CO676" i="10"/>
  <c r="O178" i="34" s="1"/>
  <c r="CP676" i="10"/>
  <c r="CQ676" i="10"/>
  <c r="M178" i="34" s="1"/>
  <c r="H193" i="34"/>
  <c r="CP691" i="10"/>
  <c r="H250" i="34"/>
  <c r="H256" i="34"/>
  <c r="CQ754" i="10"/>
  <c r="M256" i="34" s="1"/>
  <c r="H330" i="34"/>
  <c r="CO828" i="10"/>
  <c r="O330" i="34" s="1"/>
  <c r="CQ828" i="10"/>
  <c r="M330" i="34" s="1"/>
  <c r="CP828" i="10"/>
  <c r="I353" i="34"/>
  <c r="I393" i="34"/>
  <c r="H152" i="34"/>
  <c r="CQ650" i="10"/>
  <c r="M152" i="34" s="1"/>
  <c r="H234" i="34"/>
  <c r="H286" i="34"/>
  <c r="CQ784" i="10"/>
  <c r="M286" i="34" s="1"/>
  <c r="L298" i="34"/>
  <c r="CS796" i="10"/>
  <c r="N298" i="34" s="1"/>
  <c r="H308" i="34"/>
  <c r="CO806" i="10"/>
  <c r="O308" i="34" s="1"/>
  <c r="H319" i="34"/>
  <c r="CO817" i="10"/>
  <c r="O319" i="34" s="1"/>
  <c r="I355" i="34"/>
  <c r="H361" i="34"/>
  <c r="CQ859" i="10"/>
  <c r="M361" i="34" s="1"/>
  <c r="CP859" i="10"/>
  <c r="CO859" i="10"/>
  <c r="O361" i="34" s="1"/>
  <c r="L382" i="34"/>
  <c r="CS880" i="10"/>
  <c r="N382" i="34" s="1"/>
  <c r="H252" i="34"/>
  <c r="CQ750" i="10"/>
  <c r="M252" i="34" s="1"/>
  <c r="H258" i="34"/>
  <c r="CP756" i="10"/>
  <c r="CO756" i="10"/>
  <c r="O258" i="34" s="1"/>
  <c r="L383" i="34"/>
  <c r="CS881" i="10"/>
  <c r="N383" i="34" s="1"/>
  <c r="E16" i="17"/>
  <c r="F16" i="17" s="1"/>
  <c r="B16" i="17"/>
  <c r="CP511" i="10"/>
  <c r="CP523" i="10"/>
  <c r="CP534" i="10"/>
  <c r="CQ545" i="10"/>
  <c r="M47" i="34" s="1"/>
  <c r="H134" i="34"/>
  <c r="CE676" i="10"/>
  <c r="H230" i="34"/>
  <c r="CQ728" i="10"/>
  <c r="M230" i="34" s="1"/>
  <c r="H239" i="34"/>
  <c r="CP737" i="10"/>
  <c r="CO737" i="10"/>
  <c r="O239" i="34" s="1"/>
  <c r="H257" i="34"/>
  <c r="CQ755" i="10"/>
  <c r="M257" i="34" s="1"/>
  <c r="CP755" i="10"/>
  <c r="CO755" i="10"/>
  <c r="O257" i="34" s="1"/>
  <c r="H299" i="34"/>
  <c r="CP797" i="10"/>
  <c r="CO797" i="10"/>
  <c r="O299" i="34" s="1"/>
  <c r="H315" i="34"/>
  <c r="CO813" i="10"/>
  <c r="O315" i="34" s="1"/>
  <c r="CQ813" i="10"/>
  <c r="M315" i="34" s="1"/>
  <c r="CP813" i="10"/>
  <c r="L414" i="34"/>
  <c r="CS912" i="10"/>
  <c r="N414" i="34" s="1"/>
  <c r="CQ511" i="10"/>
  <c r="M13" i="34" s="1"/>
  <c r="CQ523" i="10"/>
  <c r="M25" i="34" s="1"/>
  <c r="CQ534" i="10"/>
  <c r="M36" i="34" s="1"/>
  <c r="H57" i="34"/>
  <c r="CQ555" i="10"/>
  <c r="M57" i="34" s="1"/>
  <c r="H77" i="34"/>
  <c r="CO575" i="10"/>
  <c r="O77" i="34" s="1"/>
  <c r="H146" i="34"/>
  <c r="H270" i="34"/>
  <c r="CE768" i="10"/>
  <c r="CO768" i="10"/>
  <c r="O270" i="34" s="1"/>
  <c r="H271" i="34"/>
  <c r="CQ769" i="10"/>
  <c r="M271" i="34" s="1"/>
  <c r="CP769" i="10"/>
  <c r="CO769" i="10"/>
  <c r="O271" i="34" s="1"/>
  <c r="H284" i="34"/>
  <c r="CO782" i="10"/>
  <c r="O284" i="34" s="1"/>
  <c r="H295" i="34"/>
  <c r="CP793" i="10"/>
  <c r="I327" i="34"/>
  <c r="H370" i="34"/>
  <c r="CO868" i="10"/>
  <c r="O370" i="34" s="1"/>
  <c r="CQ868" i="10"/>
  <c r="M370" i="34" s="1"/>
  <c r="CP868" i="10"/>
  <c r="CP572" i="10"/>
  <c r="CP583" i="10"/>
  <c r="CP594" i="10"/>
  <c r="H103" i="34"/>
  <c r="CE601" i="10"/>
  <c r="CQ601" i="10"/>
  <c r="M103" i="34" s="1"/>
  <c r="CQ604" i="10"/>
  <c r="M106" i="34" s="1"/>
  <c r="H136" i="34"/>
  <c r="H137" i="34"/>
  <c r="CQ635" i="10"/>
  <c r="M137" i="34" s="1"/>
  <c r="H157" i="34"/>
  <c r="H160" i="34"/>
  <c r="CO658" i="10"/>
  <c r="O160" i="34" s="1"/>
  <c r="H170" i="34"/>
  <c r="H212" i="34"/>
  <c r="CO710" i="10"/>
  <c r="O212" i="34" s="1"/>
  <c r="H265" i="34"/>
  <c r="CQ763" i="10"/>
  <c r="M265" i="34" s="1"/>
  <c r="CO763" i="10"/>
  <c r="O265" i="34" s="1"/>
  <c r="H267" i="34"/>
  <c r="CQ765" i="10"/>
  <c r="M267" i="34" s="1"/>
  <c r="I294" i="34"/>
  <c r="H339" i="34"/>
  <c r="CE837" i="10"/>
  <c r="CQ837" i="10"/>
  <c r="M339" i="34" s="1"/>
  <c r="CP837" i="10"/>
  <c r="L353" i="34"/>
  <c r="CS851" i="10"/>
  <c r="N353" i="34" s="1"/>
  <c r="H416" i="34"/>
  <c r="CQ914" i="10"/>
  <c r="M416" i="34" s="1"/>
  <c r="H125" i="34"/>
  <c r="H139" i="34"/>
  <c r="H144" i="34"/>
  <c r="CQ642" i="10"/>
  <c r="M144" i="34" s="1"/>
  <c r="H192" i="34"/>
  <c r="CQ690" i="10"/>
  <c r="M192" i="34" s="1"/>
  <c r="CP690" i="10"/>
  <c r="H229" i="34"/>
  <c r="CQ727" i="10"/>
  <c r="M229" i="34" s="1"/>
  <c r="H233" i="34"/>
  <c r="CO731" i="10"/>
  <c r="O233" i="34" s="1"/>
  <c r="H282" i="34"/>
  <c r="I421" i="34"/>
  <c r="E7" i="17"/>
  <c r="F7" i="17" s="1"/>
  <c r="B7" i="17"/>
  <c r="E8" i="17"/>
  <c r="F8" i="17" s="1"/>
  <c r="B8" i="17"/>
  <c r="H104" i="34"/>
  <c r="CQ602" i="10"/>
  <c r="M104" i="34" s="1"/>
  <c r="CQ605" i="10"/>
  <c r="M107" i="34" s="1"/>
  <c r="H121" i="34"/>
  <c r="CQ619" i="10"/>
  <c r="M121" i="34" s="1"/>
  <c r="H159" i="34"/>
  <c r="CP657" i="10"/>
  <c r="H203" i="34"/>
  <c r="H245" i="34"/>
  <c r="CQ743" i="10"/>
  <c r="M245" i="34" s="1"/>
  <c r="H288" i="34"/>
  <c r="CQ786" i="10"/>
  <c r="M288" i="34" s="1"/>
  <c r="CP786" i="10"/>
  <c r="H301" i="34"/>
  <c r="CQ799" i="10"/>
  <c r="M301" i="34" s="1"/>
  <c r="CP799" i="10"/>
  <c r="H304" i="34"/>
  <c r="CQ802" i="10"/>
  <c r="M304" i="34" s="1"/>
  <c r="CP802" i="10"/>
  <c r="CO802" i="10"/>
  <c r="O304" i="34" s="1"/>
  <c r="CS811" i="10"/>
  <c r="N313" i="34" s="1"/>
  <c r="H363" i="34"/>
  <c r="CP861" i="10"/>
  <c r="CO861" i="10"/>
  <c r="O363" i="34" s="1"/>
  <c r="H403" i="34"/>
  <c r="CQ901" i="10"/>
  <c r="M403" i="34" s="1"/>
  <c r="CO901" i="10"/>
  <c r="O403" i="34" s="1"/>
  <c r="CP901" i="10"/>
  <c r="H419" i="34"/>
  <c r="CP917" i="10"/>
  <c r="CQ917" i="10"/>
  <c r="M419" i="34" s="1"/>
  <c r="CO917" i="10"/>
  <c r="O419" i="34" s="1"/>
  <c r="H218" i="34"/>
  <c r="CQ716" i="10"/>
  <c r="M218" i="34" s="1"/>
  <c r="H225" i="34"/>
  <c r="H235" i="34"/>
  <c r="CQ733" i="10"/>
  <c r="M235" i="34" s="1"/>
  <c r="CP733" i="10"/>
  <c r="CO733" i="10"/>
  <c r="O235" i="34" s="1"/>
  <c r="H259" i="34"/>
  <c r="CQ757" i="10"/>
  <c r="M259" i="34" s="1"/>
  <c r="CO757" i="10"/>
  <c r="O259" i="34" s="1"/>
  <c r="H277" i="34"/>
  <c r="CQ775" i="10"/>
  <c r="M277" i="34" s="1"/>
  <c r="CO775" i="10"/>
  <c r="O277" i="34" s="1"/>
  <c r="H300" i="34"/>
  <c r="CQ798" i="10"/>
  <c r="M300" i="34" s="1"/>
  <c r="I316" i="34"/>
  <c r="CS823" i="10"/>
  <c r="N325" i="34" s="1"/>
  <c r="H358" i="34"/>
  <c r="CO856" i="10"/>
  <c r="O358" i="34" s="1"/>
  <c r="CQ856" i="10"/>
  <c r="M358" i="34" s="1"/>
  <c r="L374" i="34"/>
  <c r="CS872" i="10"/>
  <c r="N374" i="34" s="1"/>
  <c r="CS902" i="10"/>
  <c r="N404" i="34" s="1"/>
  <c r="H424" i="34"/>
  <c r="CQ922" i="10"/>
  <c r="M424" i="34" s="1"/>
  <c r="CP922" i="10"/>
  <c r="CO922" i="10"/>
  <c r="O424" i="34" s="1"/>
  <c r="P263" i="11"/>
  <c r="Q263" i="11" s="1"/>
  <c r="AK308" i="11"/>
  <c r="CP606" i="10"/>
  <c r="CP617" i="10"/>
  <c r="CP628" i="10"/>
  <c r="CP639" i="10"/>
  <c r="CQ646" i="10"/>
  <c r="M148" i="34" s="1"/>
  <c r="H180" i="34"/>
  <c r="CQ678" i="10"/>
  <c r="M180" i="34" s="1"/>
  <c r="H202" i="34"/>
  <c r="CQ700" i="10"/>
  <c r="M202" i="34" s="1"/>
  <c r="H262" i="34"/>
  <c r="H335" i="34"/>
  <c r="CQ833" i="10"/>
  <c r="M335" i="34" s="1"/>
  <c r="CP833" i="10"/>
  <c r="CO833" i="10"/>
  <c r="O335" i="34" s="1"/>
  <c r="L409" i="34"/>
  <c r="CS907" i="10"/>
  <c r="N409" i="34" s="1"/>
  <c r="BY628" i="10"/>
  <c r="H149" i="34"/>
  <c r="CO662" i="10"/>
  <c r="O164" i="34" s="1"/>
  <c r="H260" i="34"/>
  <c r="CO758" i="10"/>
  <c r="O260" i="34" s="1"/>
  <c r="H317" i="34"/>
  <c r="CQ815" i="10"/>
  <c r="M317" i="34" s="1"/>
  <c r="H336" i="34"/>
  <c r="CO834" i="10"/>
  <c r="O336" i="34" s="1"/>
  <c r="CQ834" i="10"/>
  <c r="M336" i="34" s="1"/>
  <c r="H354" i="34"/>
  <c r="CP852" i="10"/>
  <c r="I388" i="34"/>
  <c r="H404" i="34"/>
  <c r="CO902" i="10"/>
  <c r="O404" i="34" s="1"/>
  <c r="H415" i="34"/>
  <c r="CP913" i="10"/>
  <c r="CQ916" i="10"/>
  <c r="M418" i="34" s="1"/>
  <c r="CP916" i="10"/>
  <c r="T105" i="12"/>
  <c r="H313" i="34"/>
  <c r="CQ811" i="10"/>
  <c r="M313" i="34" s="1"/>
  <c r="H314" i="34"/>
  <c r="CP812" i="10"/>
  <c r="H325" i="34"/>
  <c r="CO823" i="10"/>
  <c r="O325" i="34" s="1"/>
  <c r="L384" i="34"/>
  <c r="CS882" i="10"/>
  <c r="N384" i="34" s="1"/>
  <c r="CS883" i="10"/>
  <c r="N385" i="34" s="1"/>
  <c r="I399" i="34"/>
  <c r="I407" i="34"/>
  <c r="H175" i="34"/>
  <c r="H197" i="34"/>
  <c r="H219" i="34"/>
  <c r="H240" i="34"/>
  <c r="CQ738" i="10"/>
  <c r="M240" i="34" s="1"/>
  <c r="H303" i="34"/>
  <c r="CO801" i="10"/>
  <c r="O303" i="34" s="1"/>
  <c r="I351" i="34"/>
  <c r="I366" i="34"/>
  <c r="H411" i="34"/>
  <c r="CP909" i="10"/>
  <c r="CO909" i="10"/>
  <c r="O411" i="34" s="1"/>
  <c r="CQ909" i="10"/>
  <c r="M411" i="34" s="1"/>
  <c r="H164" i="34"/>
  <c r="H173" i="34"/>
  <c r="H195" i="34"/>
  <c r="CE693" i="10"/>
  <c r="BY693" i="10"/>
  <c r="H217" i="34"/>
  <c r="H241" i="34"/>
  <c r="H291" i="34"/>
  <c r="CO789" i="10"/>
  <c r="O291" i="34" s="1"/>
  <c r="H343" i="34"/>
  <c r="CP841" i="10"/>
  <c r="CQ841" i="10"/>
  <c r="M343" i="34" s="1"/>
  <c r="H298" i="34"/>
  <c r="H306" i="34"/>
  <c r="H356" i="34"/>
  <c r="H364" i="34"/>
  <c r="H376" i="34"/>
  <c r="H389" i="34"/>
  <c r="CQ887" i="10"/>
  <c r="M389" i="34" s="1"/>
  <c r="CP887" i="10"/>
  <c r="CO887" i="10"/>
  <c r="O389" i="34" s="1"/>
  <c r="CP641" i="10"/>
  <c r="CP652" i="10"/>
  <c r="CP663" i="10"/>
  <c r="CP674" i="10"/>
  <c r="CP685" i="10"/>
  <c r="CP696" i="10"/>
  <c r="CP707" i="10"/>
  <c r="CP718" i="10"/>
  <c r="CP729" i="10"/>
  <c r="CP740" i="10"/>
  <c r="CP751" i="10"/>
  <c r="H297" i="34"/>
  <c r="H324" i="34"/>
  <c r="H341" i="34"/>
  <c r="CO839" i="10"/>
  <c r="O341" i="34" s="1"/>
  <c r="H380" i="34"/>
  <c r="CQ878" i="10"/>
  <c r="M380" i="34" s="1"/>
  <c r="H381" i="34"/>
  <c r="CO879" i="10"/>
  <c r="O381" i="34" s="1"/>
  <c r="CP879" i="10"/>
  <c r="H382" i="34"/>
  <c r="CE880" i="10"/>
  <c r="H384" i="34"/>
  <c r="CE882" i="10"/>
  <c r="AI308" i="11"/>
  <c r="AH308" i="11"/>
  <c r="H263" i="34"/>
  <c r="CP761" i="10"/>
  <c r="CQ764" i="10"/>
  <c r="M266" i="34" s="1"/>
  <c r="CQ779" i="10"/>
  <c r="M281" i="34" s="1"/>
  <c r="H326" i="34"/>
  <c r="H359" i="34"/>
  <c r="CO857" i="10"/>
  <c r="O359" i="34" s="1"/>
  <c r="H371" i="34"/>
  <c r="CQ869" i="10"/>
  <c r="M371" i="34" s="1"/>
  <c r="CP869" i="10"/>
  <c r="H391" i="34"/>
  <c r="CQ889" i="10"/>
  <c r="M391" i="34" s="1"/>
  <c r="CP889" i="10"/>
  <c r="CO889" i="10"/>
  <c r="O391" i="34" s="1"/>
  <c r="E18" i="17"/>
  <c r="F18" i="17" s="1"/>
  <c r="B18" i="17"/>
  <c r="CP648" i="10"/>
  <c r="CP659" i="10"/>
  <c r="CP670" i="10"/>
  <c r="CP681" i="10"/>
  <c r="CP692" i="10"/>
  <c r="CP703" i="10"/>
  <c r="CP714" i="10"/>
  <c r="CP725" i="10"/>
  <c r="CP736" i="10"/>
  <c r="CP747" i="10"/>
  <c r="CQ761" i="10"/>
  <c r="M263" i="34" s="1"/>
  <c r="H353" i="34"/>
  <c r="H365" i="34"/>
  <c r="CP863" i="10"/>
  <c r="CO863" i="10"/>
  <c r="O365" i="34" s="1"/>
  <c r="H385" i="34"/>
  <c r="H309" i="34"/>
  <c r="H400" i="34"/>
  <c r="CQ898" i="10"/>
  <c r="M400" i="34" s="1"/>
  <c r="CP898" i="10"/>
  <c r="CO898" i="10"/>
  <c r="O400" i="34" s="1"/>
  <c r="H287" i="34"/>
  <c r="CO850" i="10"/>
  <c r="O352" i="34" s="1"/>
  <c r="T112" i="12"/>
  <c r="H289" i="34"/>
  <c r="CS788" i="10"/>
  <c r="N290" i="34" s="1"/>
  <c r="CQ790" i="10"/>
  <c r="M292" i="34" s="1"/>
  <c r="CS800" i="10"/>
  <c r="N302" i="34" s="1"/>
  <c r="CP819" i="10"/>
  <c r="CP843" i="10"/>
  <c r="H346" i="34"/>
  <c r="CQ844" i="10"/>
  <c r="M346" i="34" s="1"/>
  <c r="CO849" i="10"/>
  <c r="O351" i="34" s="1"/>
  <c r="H398" i="34"/>
  <c r="B14" i="17"/>
  <c r="H383" i="34"/>
  <c r="CQ881" i="10"/>
  <c r="M383" i="34" s="1"/>
  <c r="H422" i="34"/>
  <c r="H360" i="34"/>
  <c r="H367" i="34"/>
  <c r="CE865" i="10"/>
  <c r="CP865" i="10"/>
  <c r="CO865" i="10"/>
  <c r="O367" i="34" s="1"/>
  <c r="H387" i="34"/>
  <c r="CQ885" i="10"/>
  <c r="M387" i="34" s="1"/>
  <c r="CP885" i="10"/>
  <c r="CO885" i="10"/>
  <c r="O387" i="34" s="1"/>
  <c r="CP818" i="10"/>
  <c r="CP829" i="10"/>
  <c r="CP840" i="10"/>
  <c r="H414" i="34"/>
  <c r="CQ912" i="10"/>
  <c r="M414" i="34" s="1"/>
  <c r="CO912" i="10"/>
  <c r="O414" i="34" s="1"/>
  <c r="E12" i="17"/>
  <c r="F12" i="17" s="1"/>
  <c r="CP772" i="10"/>
  <c r="CP783" i="10"/>
  <c r="CP794" i="10"/>
  <c r="CP805" i="10"/>
  <c r="CP816" i="10"/>
  <c r="CP827" i="10"/>
  <c r="CP838" i="10"/>
  <c r="CQ845" i="10"/>
  <c r="M347" i="34" s="1"/>
  <c r="H394" i="34"/>
  <c r="CQ892" i="10"/>
  <c r="M394" i="34" s="1"/>
  <c r="CS891" i="10"/>
  <c r="N393" i="34" s="1"/>
  <c r="H402" i="34"/>
  <c r="CE900" i="10"/>
  <c r="H407" i="34"/>
  <c r="B19" i="17"/>
  <c r="CP759" i="10"/>
  <c r="CP770" i="10"/>
  <c r="CP781" i="10"/>
  <c r="CP792" i="10"/>
  <c r="CP803" i="10"/>
  <c r="CP814" i="10"/>
  <c r="CP825" i="10"/>
  <c r="CP836" i="10"/>
  <c r="H372" i="34"/>
  <c r="CQ870" i="10"/>
  <c r="M372" i="34" s="1"/>
  <c r="H392" i="34"/>
  <c r="CO890" i="10"/>
  <c r="O392" i="34" s="1"/>
  <c r="H393" i="34"/>
  <c r="CE891" i="10"/>
  <c r="AL308" i="11"/>
  <c r="P254" i="11"/>
  <c r="AS308" i="11"/>
  <c r="AQ308" i="11"/>
  <c r="AR308" i="11"/>
  <c r="AP308" i="11"/>
  <c r="AO308" i="11"/>
  <c r="AM308" i="11"/>
  <c r="T113" i="12"/>
  <c r="CP921" i="10"/>
  <c r="CP855" i="10"/>
  <c r="CP866" i="10"/>
  <c r="CP877" i="10"/>
  <c r="CP888" i="10"/>
  <c r="CP899" i="10"/>
  <c r="CP910" i="10"/>
  <c r="CO853" i="10"/>
  <c r="O355" i="34" s="1"/>
  <c r="CQ855" i="10"/>
  <c r="M357" i="34" s="1"/>
  <c r="CO864" i="10"/>
  <c r="O366" i="34" s="1"/>
  <c r="CQ866" i="10"/>
  <c r="M368" i="34" s="1"/>
  <c r="CO875" i="10"/>
  <c r="O377" i="34" s="1"/>
  <c r="CQ877" i="10"/>
  <c r="M379" i="34" s="1"/>
  <c r="CO886" i="10"/>
  <c r="O388" i="34" s="1"/>
  <c r="CQ888" i="10"/>
  <c r="M390" i="34" s="1"/>
  <c r="CO897" i="10"/>
  <c r="O399" i="34" s="1"/>
  <c r="CQ899" i="10"/>
  <c r="M401" i="34" s="1"/>
  <c r="CO908" i="10"/>
  <c r="O410" i="34" s="1"/>
  <c r="CQ910" i="10"/>
  <c r="M412" i="34" s="1"/>
  <c r="CO919" i="10"/>
  <c r="O421" i="34" s="1"/>
  <c r="H58" i="14"/>
  <c r="E8" i="18"/>
  <c r="CP853" i="10"/>
  <c r="CP864" i="10"/>
  <c r="CP875" i="10"/>
  <c r="CP886" i="10"/>
  <c r="CP897" i="10"/>
  <c r="CP908" i="10"/>
  <c r="CP919" i="10"/>
  <c r="B13" i="17"/>
  <c r="E17" i="28"/>
  <c r="E22" i="28"/>
  <c r="E27" i="28"/>
  <c r="E5" i="28"/>
  <c r="E20" i="28"/>
  <c r="E25" i="28"/>
  <c r="E3" i="28"/>
  <c r="E35" i="28"/>
  <c r="E13" i="28"/>
  <c r="E9" i="28"/>
  <c r="E18" i="28"/>
  <c r="E2" i="28"/>
  <c r="E32" i="28"/>
  <c r="E11" i="28"/>
  <c r="E4" i="28"/>
  <c r="E6" i="28"/>
  <c r="E8" i="28"/>
  <c r="E36" i="28"/>
  <c r="E15" i="28"/>
  <c r="E26" i="28"/>
  <c r="E34" i="28"/>
  <c r="E30" i="28"/>
  <c r="E14" i="28"/>
  <c r="E21" i="28"/>
  <c r="E24" i="28"/>
  <c r="E29" i="28"/>
  <c r="E19" i="28"/>
  <c r="E33" i="28"/>
  <c r="E23" i="28"/>
  <c r="E31" i="28"/>
  <c r="E28" i="28"/>
  <c r="E7" i="28"/>
  <c r="E12" i="28"/>
  <c r="E10" i="28"/>
  <c r="E16" i="28"/>
  <c r="E37" i="28"/>
  <c r="B11" i="17"/>
  <c r="B21" i="17"/>
  <c r="H59" i="14"/>
  <c r="B22" i="17"/>
  <c r="E22" i="17"/>
  <c r="F22" i="17" s="1"/>
  <c r="H20" i="17"/>
  <c r="H8" i="17"/>
  <c r="H22" i="17"/>
  <c r="AE18" i="17"/>
  <c r="AA20" i="17"/>
  <c r="AJ21" i="17"/>
  <c r="W22" i="17"/>
  <c r="AH23" i="17"/>
  <c r="W7" i="17"/>
  <c r="AF8" i="17"/>
  <c r="AB10" i="17"/>
  <c r="AK11" i="17"/>
  <c r="X12" i="17"/>
  <c r="AG13" i="17"/>
  <c r="AC15" i="17"/>
  <c r="Y17" i="17"/>
  <c r="AH18" i="17"/>
  <c r="U19" i="17"/>
  <c r="AD20" i="17"/>
  <c r="Z22" i="17"/>
  <c r="AK23" i="17"/>
  <c r="AA17" i="17"/>
  <c r="AJ18" i="17"/>
  <c r="W19" i="17"/>
  <c r="AF20" i="17"/>
  <c r="AB22" i="17"/>
  <c r="F78" i="25"/>
  <c r="F83" i="25"/>
  <c r="D79" i="22" s="1"/>
  <c r="E79" i="22" s="1"/>
  <c r="E7" i="25"/>
  <c r="CE722" i="10" s="1"/>
  <c r="F79" i="25"/>
  <c r="B140" i="2" s="1"/>
  <c r="E33" i="25"/>
  <c r="F80" i="25"/>
  <c r="L212" i="34" l="1"/>
  <c r="CS710" i="10"/>
  <c r="N212" i="34" s="1"/>
  <c r="M47" i="35"/>
  <c r="I501" i="10"/>
  <c r="P501" i="10" s="1"/>
  <c r="N501" i="10"/>
  <c r="Q863" i="10"/>
  <c r="AT263" i="7"/>
  <c r="AW263" i="3" s="1"/>
  <c r="CS708" i="10"/>
  <c r="N210" i="34" s="1"/>
  <c r="BY578" i="10"/>
  <c r="O888" i="10"/>
  <c r="R863" i="10"/>
  <c r="BY744" i="10"/>
  <c r="AS152" i="7"/>
  <c r="AV152" i="3" s="1"/>
  <c r="CE702" i="10"/>
  <c r="J204" i="34" s="1"/>
  <c r="CS637" i="10"/>
  <c r="N139" i="34" s="1"/>
  <c r="K23" i="35"/>
  <c r="BX742" i="10"/>
  <c r="K335" i="7"/>
  <c r="N335" i="3" s="1"/>
  <c r="AS192" i="7"/>
  <c r="AV192" i="3" s="1"/>
  <c r="AT170" i="7"/>
  <c r="AW170" i="3" s="1"/>
  <c r="CS731" i="10"/>
  <c r="N233" i="34" s="1"/>
  <c r="BB742" i="10"/>
  <c r="BC742" i="10" s="1"/>
  <c r="T863" i="10"/>
  <c r="BQ842" i="10"/>
  <c r="K842" i="10" s="1"/>
  <c r="BG842" i="10" s="1"/>
  <c r="CE746" i="10"/>
  <c r="BY526" i="10"/>
  <c r="CK31" i="9"/>
  <c r="BY862" i="10"/>
  <c r="Q742" i="10"/>
  <c r="BY531" i="10"/>
  <c r="CC531" i="10" s="1"/>
  <c r="L177" i="34"/>
  <c r="L148" i="34"/>
  <c r="L157" i="34"/>
  <c r="CE526" i="10"/>
  <c r="CE603" i="10"/>
  <c r="CG603" i="10" s="1"/>
  <c r="I670" i="19"/>
  <c r="CE732" i="10"/>
  <c r="CI732" i="10" s="1"/>
  <c r="CK53" i="9"/>
  <c r="J50" i="35" s="1"/>
  <c r="K35" i="35"/>
  <c r="BY616" i="10"/>
  <c r="CR616" i="10" s="1"/>
  <c r="P118" i="34" s="1"/>
  <c r="M33" i="35"/>
  <c r="AL346" i="7"/>
  <c r="CE6" i="9"/>
  <c r="CS532" i="10"/>
  <c r="N34" i="34" s="1"/>
  <c r="BX888" i="10"/>
  <c r="L16" i="34"/>
  <c r="BY795" i="10"/>
  <c r="N596" i="10"/>
  <c r="N665" i="10"/>
  <c r="AT245" i="7"/>
  <c r="AW245" i="3" s="1"/>
  <c r="AT323" i="7"/>
  <c r="AW323" i="3" s="1"/>
  <c r="CE616" i="10"/>
  <c r="AF14" i="7"/>
  <c r="I817" i="19"/>
  <c r="L112" i="34"/>
  <c r="AT6" i="7"/>
  <c r="AW6" i="3" s="1"/>
  <c r="BX863" i="10"/>
  <c r="AS299" i="7"/>
  <c r="AV299" i="3" s="1"/>
  <c r="AT13" i="7"/>
  <c r="AW13" i="3" s="1"/>
  <c r="AL75" i="7"/>
  <c r="BB501" i="10"/>
  <c r="BP501" i="10" s="1"/>
  <c r="AL271" i="7"/>
  <c r="AM271" i="10" s="1"/>
  <c r="AN271" i="10" s="1"/>
  <c r="AP271" i="10" s="1"/>
  <c r="AL113" i="7"/>
  <c r="CS870" i="10"/>
  <c r="N372" i="34" s="1"/>
  <c r="BY780" i="10"/>
  <c r="K282" i="34" s="1"/>
  <c r="AS278" i="7"/>
  <c r="AV278" i="3" s="1"/>
  <c r="CS612" i="10"/>
  <c r="N114" i="34" s="1"/>
  <c r="AS94" i="7"/>
  <c r="AV94" i="3" s="1"/>
  <c r="R742" i="10"/>
  <c r="L24" i="34"/>
  <c r="AS170" i="7"/>
  <c r="AV170" i="3" s="1"/>
  <c r="AT227" i="7"/>
  <c r="AW227" i="3" s="1"/>
  <c r="CE552" i="10"/>
  <c r="CG552" i="10" s="1"/>
  <c r="L58" i="34"/>
  <c r="M46" i="35"/>
  <c r="AL407" i="7"/>
  <c r="AM407" i="10" s="1"/>
  <c r="AN407" i="10" s="1"/>
  <c r="CE688" i="10"/>
  <c r="CH688" i="10" s="1"/>
  <c r="L102" i="34"/>
  <c r="CE742" i="10"/>
  <c r="CI742" i="10" s="1"/>
  <c r="CE744" i="10"/>
  <c r="CI744" i="10" s="1"/>
  <c r="CK40" i="9"/>
  <c r="J37" i="35" s="1"/>
  <c r="K152" i="7"/>
  <c r="N152" i="3" s="1"/>
  <c r="I792" i="19"/>
  <c r="AS49" i="7"/>
  <c r="AV49" i="3" s="1"/>
  <c r="AL181" i="7"/>
  <c r="O501" i="10"/>
  <c r="AT214" i="7"/>
  <c r="AW214" i="3" s="1"/>
  <c r="AM267" i="3"/>
  <c r="BY906" i="10"/>
  <c r="K73" i="7"/>
  <c r="N73" i="3" s="1"/>
  <c r="L152" i="34"/>
  <c r="AS323" i="7"/>
  <c r="AV323" i="3" s="1"/>
  <c r="AM275" i="3"/>
  <c r="AL377" i="7"/>
  <c r="BY852" i="10"/>
  <c r="CS914" i="10"/>
  <c r="N416" i="34" s="1"/>
  <c r="CS716" i="10"/>
  <c r="N218" i="34" s="1"/>
  <c r="CS723" i="10"/>
  <c r="N225" i="34" s="1"/>
  <c r="BY916" i="10"/>
  <c r="N888" i="10"/>
  <c r="AL276" i="7"/>
  <c r="BY642" i="10"/>
  <c r="CA642" i="10" s="1"/>
  <c r="AT301" i="7"/>
  <c r="AW301" i="3" s="1"/>
  <c r="AS156" i="7"/>
  <c r="AV156" i="3" s="1"/>
  <c r="BQ592" i="10"/>
  <c r="K592" i="10" s="1"/>
  <c r="BG592" i="10" s="1"/>
  <c r="R596" i="10"/>
  <c r="S596" i="10" s="1"/>
  <c r="T665" i="10"/>
  <c r="AT181" i="7"/>
  <c r="AW181" i="3" s="1"/>
  <c r="AS109" i="7"/>
  <c r="AV109" i="3" s="1"/>
  <c r="Q501" i="10"/>
  <c r="AS16" i="7"/>
  <c r="AV16" i="3" s="1"/>
  <c r="K255" i="7"/>
  <c r="N255" i="3" s="1"/>
  <c r="N863" i="10"/>
  <c r="AT129" i="7"/>
  <c r="AW129" i="3" s="1"/>
  <c r="CS892" i="10"/>
  <c r="N394" i="34" s="1"/>
  <c r="AL278" i="7"/>
  <c r="AL388" i="7"/>
  <c r="I445" i="19"/>
  <c r="BQ863" i="10"/>
  <c r="K863" i="10" s="1"/>
  <c r="AM75" i="3"/>
  <c r="AS338" i="7"/>
  <c r="AV338" i="3" s="1"/>
  <c r="N742" i="10"/>
  <c r="S742" i="10" s="1"/>
  <c r="AT242" i="7"/>
  <c r="AW242" i="3" s="1"/>
  <c r="CE660" i="10"/>
  <c r="J162" i="34" s="1"/>
  <c r="AT295" i="7"/>
  <c r="AW295" i="3" s="1"/>
  <c r="AT388" i="7"/>
  <c r="AW388" i="3" s="1"/>
  <c r="T742" i="10"/>
  <c r="CE766" i="10"/>
  <c r="CK766" i="10" s="1"/>
  <c r="BY709" i="10"/>
  <c r="G742" i="10"/>
  <c r="G244" i="34" s="1"/>
  <c r="BP863" i="10"/>
  <c r="BY676" i="10"/>
  <c r="CR676" i="10" s="1"/>
  <c r="P178" i="34" s="1"/>
  <c r="K65" i="35"/>
  <c r="BB863" i="10"/>
  <c r="BC863" i="10" s="1"/>
  <c r="BY872" i="10"/>
  <c r="L360" i="34"/>
  <c r="BY918" i="10"/>
  <c r="BZ918" i="10" s="1"/>
  <c r="AT152" i="7"/>
  <c r="AW152" i="3" s="1"/>
  <c r="AL18" i="7"/>
  <c r="AS181" i="7"/>
  <c r="AV181" i="3" s="1"/>
  <c r="T592" i="10"/>
  <c r="AT312" i="7"/>
  <c r="AW312" i="3" s="1"/>
  <c r="CS758" i="10"/>
  <c r="N260" i="34" s="1"/>
  <c r="I863" i="10"/>
  <c r="P863" i="10" s="1"/>
  <c r="BY856" i="10"/>
  <c r="BQ596" i="10"/>
  <c r="K596" i="10" s="1"/>
  <c r="BG596" i="10" s="1"/>
  <c r="AS148" i="7"/>
  <c r="AV148" i="3" s="1"/>
  <c r="AS427" i="7"/>
  <c r="AV427" i="3" s="1"/>
  <c r="L351" i="34"/>
  <c r="L402" i="34"/>
  <c r="BY612" i="10"/>
  <c r="BZ612" i="10" s="1"/>
  <c r="L251" i="34"/>
  <c r="AS267" i="7"/>
  <c r="AV267" i="3" s="1"/>
  <c r="BY722" i="10"/>
  <c r="CB722" i="10" s="1"/>
  <c r="R888" i="10"/>
  <c r="AL267" i="7"/>
  <c r="AT156" i="7"/>
  <c r="AW156" i="3" s="1"/>
  <c r="O592" i="10"/>
  <c r="I596" i="10"/>
  <c r="P596" i="10" s="1"/>
  <c r="AT26" i="7"/>
  <c r="AW26" i="3" s="1"/>
  <c r="AM426" i="3"/>
  <c r="K140" i="7"/>
  <c r="N140" i="3" s="1"/>
  <c r="CS862" i="10"/>
  <c r="N364" i="34" s="1"/>
  <c r="BQ888" i="10"/>
  <c r="K888" i="10" s="1"/>
  <c r="BG888" i="10" s="1"/>
  <c r="BQ501" i="10"/>
  <c r="K501" i="10" s="1"/>
  <c r="BG501" i="10" s="1"/>
  <c r="G501" i="10"/>
  <c r="G3" i="34" s="1"/>
  <c r="CS817" i="10"/>
  <c r="N319" i="34" s="1"/>
  <c r="CS545" i="10"/>
  <c r="N47" i="34" s="1"/>
  <c r="AS388" i="7"/>
  <c r="AV388" i="3" s="1"/>
  <c r="AS361" i="7"/>
  <c r="AV361" i="3" s="1"/>
  <c r="I583" i="10"/>
  <c r="P583" i="10" s="1"/>
  <c r="CS538" i="10"/>
  <c r="N40" i="34" s="1"/>
  <c r="CE627" i="10"/>
  <c r="CE28" i="9"/>
  <c r="I25" i="35" s="1"/>
  <c r="CE593" i="10"/>
  <c r="CI593" i="10" s="1"/>
  <c r="AS157" i="7"/>
  <c r="AV157" i="3" s="1"/>
  <c r="CE677" i="10"/>
  <c r="CE565" i="10"/>
  <c r="CI565" i="10" s="1"/>
  <c r="L121" i="34"/>
  <c r="CE16" i="9"/>
  <c r="AL348" i="7"/>
  <c r="CK27" i="9"/>
  <c r="BY528" i="10"/>
  <c r="CC528" i="10" s="1"/>
  <c r="CK23" i="9"/>
  <c r="CS673" i="10"/>
  <c r="N175" i="34" s="1"/>
  <c r="CS647" i="10"/>
  <c r="N149" i="34" s="1"/>
  <c r="AL211" i="7"/>
  <c r="CS741" i="10"/>
  <c r="N243" i="34" s="1"/>
  <c r="K154" i="7"/>
  <c r="N154" i="3" s="1"/>
  <c r="BY905" i="10"/>
  <c r="CE852" i="10"/>
  <c r="J354" i="34" s="1"/>
  <c r="CE769" i="10"/>
  <c r="CJ769" i="10" s="1"/>
  <c r="CE608" i="10"/>
  <c r="BY687" i="10"/>
  <c r="BZ687" i="10" s="1"/>
  <c r="R780" i="10"/>
  <c r="BB888" i="10"/>
  <c r="AT355" i="7"/>
  <c r="AW355" i="3" s="1"/>
  <c r="K65" i="7"/>
  <c r="N65" i="3" s="1"/>
  <c r="I742" i="10"/>
  <c r="P742" i="10" s="1"/>
  <c r="Q592" i="10"/>
  <c r="K383" i="7"/>
  <c r="N383" i="3" s="1"/>
  <c r="K108" i="7"/>
  <c r="N108" i="3" s="1"/>
  <c r="AS359" i="7"/>
  <c r="AV359" i="3" s="1"/>
  <c r="K363" i="7"/>
  <c r="N363" i="3" s="1"/>
  <c r="CE44" i="9"/>
  <c r="I41" i="35" s="1"/>
  <c r="M124" i="3"/>
  <c r="AT113" i="7"/>
  <c r="AW113" i="3" s="1"/>
  <c r="K84" i="7"/>
  <c r="N84" i="3" s="1"/>
  <c r="AL25" i="7"/>
  <c r="AN23" i="3"/>
  <c r="AL23" i="7"/>
  <c r="CS644" i="10"/>
  <c r="N146" i="34" s="1"/>
  <c r="K31" i="35"/>
  <c r="O347" i="3"/>
  <c r="I842" i="10"/>
  <c r="P842" i="10" s="1"/>
  <c r="S842" i="10" s="1"/>
  <c r="K40" i="35"/>
  <c r="AS31" i="7"/>
  <c r="AV31" i="3" s="1"/>
  <c r="M427" i="3"/>
  <c r="K427" i="7"/>
  <c r="N427" i="3" s="1"/>
  <c r="L297" i="34"/>
  <c r="CS795" i="10"/>
  <c r="N297" i="34" s="1"/>
  <c r="CE502" i="10"/>
  <c r="CE551" i="10"/>
  <c r="J53" i="34" s="1"/>
  <c r="BY620" i="10"/>
  <c r="CC620" i="10" s="1"/>
  <c r="CE686" i="10"/>
  <c r="J188" i="34" s="1"/>
  <c r="CE904" i="10"/>
  <c r="CF904" i="10" s="1"/>
  <c r="CL904" i="10" s="1"/>
  <c r="CE784" i="10"/>
  <c r="CE775" i="10"/>
  <c r="J277" i="34" s="1"/>
  <c r="CE634" i="10"/>
  <c r="CH634" i="10" s="1"/>
  <c r="BY874" i="10"/>
  <c r="CE796" i="10"/>
  <c r="CE851" i="10"/>
  <c r="CE636" i="10"/>
  <c r="J138" i="34" s="1"/>
  <c r="CE713" i="10"/>
  <c r="CE887" i="10"/>
  <c r="CH887" i="10" s="1"/>
  <c r="BY793" i="10"/>
  <c r="BY562" i="10"/>
  <c r="CE522" i="10"/>
  <c r="CF522" i="10" s="1"/>
  <c r="CL522" i="10" s="1"/>
  <c r="CE512" i="10"/>
  <c r="CJ512" i="10" s="1"/>
  <c r="CK14" i="9"/>
  <c r="J11" i="35" s="1"/>
  <c r="BY654" i="10"/>
  <c r="K156" i="34" s="1"/>
  <c r="CE60" i="9"/>
  <c r="CG60" i="9" s="1"/>
  <c r="CE857" i="10"/>
  <c r="J359" i="34" s="1"/>
  <c r="BY613" i="10"/>
  <c r="CE823" i="10"/>
  <c r="CF823" i="10" s="1"/>
  <c r="CL823" i="10" s="1"/>
  <c r="CK52" i="9"/>
  <c r="CL52" i="9" s="1"/>
  <c r="CQ52" i="9" s="1"/>
  <c r="CE612" i="10"/>
  <c r="BY896" i="10"/>
  <c r="CC896" i="10" s="1"/>
  <c r="CK46" i="9"/>
  <c r="J43" i="35" s="1"/>
  <c r="CE873" i="10"/>
  <c r="CK873" i="10" s="1"/>
  <c r="CE591" i="10"/>
  <c r="CE576" i="10"/>
  <c r="CG576" i="10" s="1"/>
  <c r="CE665" i="10"/>
  <c r="CH665" i="10" s="1"/>
  <c r="CE649" i="10"/>
  <c r="CG649" i="10" s="1"/>
  <c r="CE810" i="10"/>
  <c r="CJ810" i="10" s="1"/>
  <c r="CE598" i="10"/>
  <c r="J100" i="34" s="1"/>
  <c r="BY884" i="10"/>
  <c r="K386" i="34" s="1"/>
  <c r="CE815" i="10"/>
  <c r="CI815" i="10" s="1"/>
  <c r="CE874" i="10"/>
  <c r="J376" i="34" s="1"/>
  <c r="BY878" i="10"/>
  <c r="CB878" i="10" s="1"/>
  <c r="CE508" i="10"/>
  <c r="CJ508" i="10" s="1"/>
  <c r="CE869" i="10"/>
  <c r="CE680" i="10"/>
  <c r="J182" i="34" s="1"/>
  <c r="CE895" i="10"/>
  <c r="CJ895" i="10" s="1"/>
  <c r="CE844" i="10"/>
  <c r="BY828" i="10"/>
  <c r="CK10" i="9"/>
  <c r="J7" i="35" s="1"/>
  <c r="CE5" i="9"/>
  <c r="I2" i="35" s="1"/>
  <c r="BY661" i="10"/>
  <c r="CA661" i="10" s="1"/>
  <c r="CK9" i="9"/>
  <c r="CE831" i="10"/>
  <c r="CF831" i="10" s="1"/>
  <c r="CL831" i="10" s="1"/>
  <c r="CE923" i="10"/>
  <c r="J425" i="34" s="1"/>
  <c r="CE570" i="10"/>
  <c r="CJ570" i="10" s="1"/>
  <c r="CK41" i="9"/>
  <c r="BY831" i="10"/>
  <c r="CB831" i="10" s="1"/>
  <c r="CE682" i="10"/>
  <c r="CG682" i="10" s="1"/>
  <c r="BY863" i="10"/>
  <c r="CC863" i="10" s="1"/>
  <c r="CE544" i="10"/>
  <c r="CE600" i="10"/>
  <c r="CJ600" i="10" s="1"/>
  <c r="BY876" i="10"/>
  <c r="CE540" i="10"/>
  <c r="CH540" i="10" s="1"/>
  <c r="BY682" i="10"/>
  <c r="K184" i="34" s="1"/>
  <c r="CE671" i="10"/>
  <c r="J173" i="34" s="1"/>
  <c r="CE879" i="10"/>
  <c r="CJ879" i="10" s="1"/>
  <c r="CE539" i="10"/>
  <c r="CH539" i="10" s="1"/>
  <c r="CE726" i="10"/>
  <c r="CE817" i="10"/>
  <c r="BY543" i="10"/>
  <c r="CE898" i="10"/>
  <c r="BY732" i="10"/>
  <c r="L137" i="34"/>
  <c r="CE906" i="10"/>
  <c r="CR906" i="10" s="1"/>
  <c r="P408" i="34" s="1"/>
  <c r="O780" i="10"/>
  <c r="AS226" i="7"/>
  <c r="AV226" i="3" s="1"/>
  <c r="AT105" i="7"/>
  <c r="AW105" i="3" s="1"/>
  <c r="AS105" i="7"/>
  <c r="AV105" i="3" s="1"/>
  <c r="AL156" i="7"/>
  <c r="AM156" i="7" s="1"/>
  <c r="AP156" i="3" s="1"/>
  <c r="AL316" i="7"/>
  <c r="AM316" i="7" s="1"/>
  <c r="AP316" i="3" s="1"/>
  <c r="BY734" i="10"/>
  <c r="CB734" i="10" s="1"/>
  <c r="BQ742" i="10"/>
  <c r="K742" i="10" s="1"/>
  <c r="BG742" i="10" s="1"/>
  <c r="CK44" i="9"/>
  <c r="CE37" i="9"/>
  <c r="I34" i="35" s="1"/>
  <c r="AL158" i="7"/>
  <c r="AM158" i="10" s="1"/>
  <c r="AN158" i="10" s="1"/>
  <c r="AP158" i="10" s="1"/>
  <c r="AS75" i="7"/>
  <c r="AV75" i="3" s="1"/>
  <c r="AY86" i="3"/>
  <c r="AS86" i="7"/>
  <c r="AV86" i="3" s="1"/>
  <c r="AM109" i="3"/>
  <c r="AT109" i="7"/>
  <c r="AW109" i="3" s="1"/>
  <c r="AM194" i="3"/>
  <c r="AT194" i="7"/>
  <c r="AW194" i="3" s="1"/>
  <c r="L170" i="34"/>
  <c r="CS668" i="10"/>
  <c r="N170" i="34" s="1"/>
  <c r="AE410" i="7"/>
  <c r="AH410" i="3" s="1"/>
  <c r="O422" i="3"/>
  <c r="AM101" i="3"/>
  <c r="AT101" i="7"/>
  <c r="AW101" i="3" s="1"/>
  <c r="AM207" i="3"/>
  <c r="AS207" i="7"/>
  <c r="AV207" i="3" s="1"/>
  <c r="L120" i="34"/>
  <c r="CS618" i="10"/>
  <c r="N120" i="34" s="1"/>
  <c r="AS348" i="7"/>
  <c r="AV348" i="3" s="1"/>
  <c r="AL214" i="7"/>
  <c r="L326" i="34"/>
  <c r="CS824" i="10"/>
  <c r="N326" i="34" s="1"/>
  <c r="L395" i="34"/>
  <c r="CS893" i="10"/>
  <c r="N395" i="34" s="1"/>
  <c r="CS782" i="10"/>
  <c r="N284" i="34" s="1"/>
  <c r="L284" i="34"/>
  <c r="L264" i="34"/>
  <c r="AM116" i="3"/>
  <c r="AL116" i="7"/>
  <c r="AS116" i="7"/>
  <c r="AV116" i="3" s="1"/>
  <c r="L291" i="34"/>
  <c r="AM162" i="3"/>
  <c r="AT162" i="7"/>
  <c r="AW162" i="3" s="1"/>
  <c r="L230" i="34"/>
  <c r="CS728" i="10"/>
  <c r="N230" i="34" s="1"/>
  <c r="AT44" i="7"/>
  <c r="AW44" i="3" s="1"/>
  <c r="AM44" i="3"/>
  <c r="AL44" i="7"/>
  <c r="AM44" i="10" s="1"/>
  <c r="AN44" i="10" s="1"/>
  <c r="AP44" i="10" s="1"/>
  <c r="AS44" i="7"/>
  <c r="AV44" i="3" s="1"/>
  <c r="N718" i="10"/>
  <c r="L88" i="3"/>
  <c r="K88" i="7"/>
  <c r="N88" i="3" s="1"/>
  <c r="AM50" i="3"/>
  <c r="AS50" i="7"/>
  <c r="AV50" i="3" s="1"/>
  <c r="L30" i="34"/>
  <c r="CS528" i="10"/>
  <c r="N30" i="34" s="1"/>
  <c r="O824" i="10"/>
  <c r="G824" i="10"/>
  <c r="G326" i="34" s="1"/>
  <c r="L145" i="34"/>
  <c r="CS643" i="10"/>
  <c r="N145" i="34" s="1"/>
  <c r="AM190" i="3"/>
  <c r="AL190" i="7"/>
  <c r="AM190" i="10" s="1"/>
  <c r="AN190" i="10" s="1"/>
  <c r="AP190" i="10" s="1"/>
  <c r="M203" i="3"/>
  <c r="K203" i="7"/>
  <c r="N203" i="3" s="1"/>
  <c r="AM93" i="3"/>
  <c r="AS93" i="7"/>
  <c r="AV93" i="3" s="1"/>
  <c r="AM307" i="3"/>
  <c r="AT307" i="7"/>
  <c r="AW307" i="3" s="1"/>
  <c r="L53" i="34"/>
  <c r="CS551" i="10"/>
  <c r="N53" i="34" s="1"/>
  <c r="M38" i="35"/>
  <c r="T762" i="10"/>
  <c r="AF84" i="7"/>
  <c r="AD84" i="7"/>
  <c r="CS732" i="10"/>
  <c r="N234" i="34" s="1"/>
  <c r="L234" i="34"/>
  <c r="AS214" i="7"/>
  <c r="AV214" i="3" s="1"/>
  <c r="CS764" i="10"/>
  <c r="N266" i="34" s="1"/>
  <c r="K50" i="35"/>
  <c r="AY49" i="3"/>
  <c r="AL49" i="7"/>
  <c r="K16" i="35"/>
  <c r="M16" i="35"/>
  <c r="N824" i="10"/>
  <c r="AS377" i="7"/>
  <c r="AV377" i="3" s="1"/>
  <c r="CS760" i="10"/>
  <c r="N262" i="34" s="1"/>
  <c r="L5" i="34"/>
  <c r="CS503" i="10"/>
  <c r="N5" i="34" s="1"/>
  <c r="CS844" i="10"/>
  <c r="N346" i="34" s="1"/>
  <c r="CS629" i="10"/>
  <c r="N131" i="34" s="1"/>
  <c r="K238" i="7"/>
  <c r="N238" i="3" s="1"/>
  <c r="BY870" i="10"/>
  <c r="CA870" i="10" s="1"/>
  <c r="AT226" i="7"/>
  <c r="AW226" i="3" s="1"/>
  <c r="R665" i="10"/>
  <c r="I600" i="19"/>
  <c r="Q665" i="10"/>
  <c r="G665" i="10"/>
  <c r="G167" i="34" s="1"/>
  <c r="T824" i="10"/>
  <c r="AT31" i="7"/>
  <c r="AW31" i="3" s="1"/>
  <c r="AL162" i="7"/>
  <c r="AM162" i="10" s="1"/>
  <c r="AN162" i="10" s="1"/>
  <c r="AP162" i="10" s="1"/>
  <c r="O45" i="9"/>
  <c r="BC45" i="9" s="1"/>
  <c r="O71" i="9"/>
  <c r="BC71" i="9" s="1"/>
  <c r="K215" i="7"/>
  <c r="N215" i="3" s="1"/>
  <c r="AM234" i="3"/>
  <c r="AS234" i="7"/>
  <c r="AV234" i="3" s="1"/>
  <c r="AD264" i="7"/>
  <c r="AF264" i="7"/>
  <c r="AL37" i="7"/>
  <c r="AM37" i="7" s="1"/>
  <c r="AP37" i="3" s="1"/>
  <c r="AS37" i="7"/>
  <c r="AV37" i="3" s="1"/>
  <c r="CS778" i="10"/>
  <c r="N280" i="34" s="1"/>
  <c r="L280" i="34"/>
  <c r="AL199" i="7"/>
  <c r="BB576" i="10"/>
  <c r="BC576" i="10" s="1"/>
  <c r="O576" i="10"/>
  <c r="I516" i="19"/>
  <c r="R576" i="10"/>
  <c r="BX576" i="10"/>
  <c r="BQ576" i="10"/>
  <c r="K576" i="10" s="1"/>
  <c r="BG576" i="10" s="1"/>
  <c r="AM306" i="3"/>
  <c r="AL306" i="7"/>
  <c r="AM306" i="10" s="1"/>
  <c r="AN306" i="10" s="1"/>
  <c r="AP306" i="10" s="1"/>
  <c r="AT306" i="7"/>
  <c r="AW306" i="3" s="1"/>
  <c r="AM317" i="3"/>
  <c r="AT317" i="7"/>
  <c r="AW317" i="3" s="1"/>
  <c r="AM399" i="3"/>
  <c r="AT399" i="7"/>
  <c r="AW399" i="3" s="1"/>
  <c r="AS235" i="7"/>
  <c r="AV235" i="3" s="1"/>
  <c r="K202" i="7"/>
  <c r="N202" i="3" s="1"/>
  <c r="K5" i="35"/>
  <c r="AY46" i="3"/>
  <c r="AL46" i="7"/>
  <c r="L250" i="34"/>
  <c r="CS748" i="10"/>
  <c r="N250" i="34" s="1"/>
  <c r="AM43" i="3"/>
  <c r="AT43" i="7"/>
  <c r="AW43" i="3" s="1"/>
  <c r="M385" i="3"/>
  <c r="K385" i="7"/>
  <c r="N385" i="3" s="1"/>
  <c r="T576" i="10"/>
  <c r="K256" i="7"/>
  <c r="N256" i="3" s="1"/>
  <c r="CS540" i="10"/>
  <c r="N42" i="34" s="1"/>
  <c r="L42" i="34"/>
  <c r="G846" i="10"/>
  <c r="G348" i="34" s="1"/>
  <c r="BX846" i="10"/>
  <c r="I775" i="19"/>
  <c r="N846" i="10"/>
  <c r="L106" i="34"/>
  <c r="CS604" i="10"/>
  <c r="N106" i="34" s="1"/>
  <c r="K66" i="35"/>
  <c r="M66" i="35"/>
  <c r="AM326" i="3"/>
  <c r="AT326" i="7"/>
  <c r="AW326" i="3" s="1"/>
  <c r="L303" i="34"/>
  <c r="AS312" i="7"/>
  <c r="AV312" i="3" s="1"/>
  <c r="BX824" i="10"/>
  <c r="K396" i="7"/>
  <c r="N396" i="3" s="1"/>
  <c r="AT25" i="7"/>
  <c r="AW25" i="3" s="1"/>
  <c r="BB824" i="10"/>
  <c r="K40" i="7"/>
  <c r="N40" i="3" s="1"/>
  <c r="AS28" i="7"/>
  <c r="AV28" i="3" s="1"/>
  <c r="AS23" i="7"/>
  <c r="AV23" i="3" s="1"/>
  <c r="AM146" i="3"/>
  <c r="AT146" i="7"/>
  <c r="AW146" i="3" s="1"/>
  <c r="AL135" i="7"/>
  <c r="AT23" i="7"/>
  <c r="AW23" i="3" s="1"/>
  <c r="AT48" i="7"/>
  <c r="AW48" i="3" s="1"/>
  <c r="AL171" i="7"/>
  <c r="AM171" i="7" s="1"/>
  <c r="AP171" i="3" s="1"/>
  <c r="AS265" i="7"/>
  <c r="AV265" i="3" s="1"/>
  <c r="AT329" i="7"/>
  <c r="AW329" i="3" s="1"/>
  <c r="G780" i="10"/>
  <c r="G282" i="34" s="1"/>
  <c r="BX780" i="10"/>
  <c r="BB780" i="10"/>
  <c r="BQ780" i="10"/>
  <c r="K780" i="10" s="1"/>
  <c r="BG780" i="10" s="1"/>
  <c r="I780" i="10"/>
  <c r="P780" i="10" s="1"/>
  <c r="CE777" i="10"/>
  <c r="BY517" i="10"/>
  <c r="CB517" i="10" s="1"/>
  <c r="Q824" i="10"/>
  <c r="AL425" i="7"/>
  <c r="AL315" i="7"/>
  <c r="AM425" i="3"/>
  <c r="AT425" i="7"/>
  <c r="AW425" i="3" s="1"/>
  <c r="CS815" i="10"/>
  <c r="N317" i="34" s="1"/>
  <c r="BY536" i="10"/>
  <c r="L306" i="34"/>
  <c r="L144" i="34"/>
  <c r="CE667" i="10"/>
  <c r="CE773" i="10"/>
  <c r="CH773" i="10" s="1"/>
  <c r="I872" i="10"/>
  <c r="P872" i="10" s="1"/>
  <c r="K358" i="7"/>
  <c r="N358" i="3" s="1"/>
  <c r="CS507" i="10"/>
  <c r="N9" i="34" s="1"/>
  <c r="AL286" i="7"/>
  <c r="AM286" i="10" s="1"/>
  <c r="AN286" i="10" s="1"/>
  <c r="AP286" i="10" s="1"/>
  <c r="I751" i="19"/>
  <c r="BY519" i="10"/>
  <c r="AT87" i="7"/>
  <c r="AW87" i="3" s="1"/>
  <c r="L419" i="3"/>
  <c r="K419" i="7"/>
  <c r="N419" i="3" s="1"/>
  <c r="AT80" i="7"/>
  <c r="AW80" i="3" s="1"/>
  <c r="BY569" i="10"/>
  <c r="AT106" i="7"/>
  <c r="AW106" i="3" s="1"/>
  <c r="AL31" i="7"/>
  <c r="AM31" i="7" s="1"/>
  <c r="AP31" i="3" s="1"/>
  <c r="K345" i="7"/>
  <c r="N345" i="3" s="1"/>
  <c r="AT68" i="7"/>
  <c r="AW68" i="3" s="1"/>
  <c r="AS68" i="7"/>
  <c r="AV68" i="3" s="1"/>
  <c r="AM68" i="3"/>
  <c r="AM330" i="3"/>
  <c r="AT330" i="7"/>
  <c r="AW330" i="3" s="1"/>
  <c r="M164" i="3"/>
  <c r="K164" i="7"/>
  <c r="N164" i="3" s="1"/>
  <c r="L101" i="3"/>
  <c r="K101" i="7"/>
  <c r="N101" i="3" s="1"/>
  <c r="L281" i="34"/>
  <c r="CS779" i="10"/>
  <c r="N281" i="34" s="1"/>
  <c r="L309" i="34"/>
  <c r="CS807" i="10"/>
  <c r="N309" i="34" s="1"/>
  <c r="AM314" i="3"/>
  <c r="AS314" i="7"/>
  <c r="AV314" i="3" s="1"/>
  <c r="AM102" i="3"/>
  <c r="AL102" i="7"/>
  <c r="AO102" i="3" s="1"/>
  <c r="K70" i="35"/>
  <c r="M70" i="35"/>
  <c r="AN175" i="3"/>
  <c r="AL175" i="7"/>
  <c r="AM175" i="7" s="1"/>
  <c r="AP175" i="3" s="1"/>
  <c r="AT336" i="7"/>
  <c r="AW336" i="3" s="1"/>
  <c r="AS336" i="7"/>
  <c r="AV336" i="3" s="1"/>
  <c r="L392" i="34"/>
  <c r="CS890" i="10"/>
  <c r="N392" i="34" s="1"/>
  <c r="AM223" i="3"/>
  <c r="AS223" i="7"/>
  <c r="AV223" i="3" s="1"/>
  <c r="AT348" i="7"/>
  <c r="AW348" i="3" s="1"/>
  <c r="AN73" i="3"/>
  <c r="AL73" i="7"/>
  <c r="AO73" i="3" s="1"/>
  <c r="AS73" i="7"/>
  <c r="AV73" i="3" s="1"/>
  <c r="AT73" i="7"/>
  <c r="AW73" i="3" s="1"/>
  <c r="M57" i="35"/>
  <c r="K57" i="35"/>
  <c r="K59" i="35"/>
  <c r="M59" i="35"/>
  <c r="K12" i="35"/>
  <c r="M12" i="35"/>
  <c r="AT238" i="7"/>
  <c r="AW238" i="3" s="1"/>
  <c r="AN232" i="3"/>
  <c r="AL232" i="7"/>
  <c r="AL89" i="7"/>
  <c r="AM89" i="7" s="1"/>
  <c r="AP89" i="3" s="1"/>
  <c r="L10" i="34"/>
  <c r="CS508" i="10"/>
  <c r="N10" i="34" s="1"/>
  <c r="O718" i="10"/>
  <c r="BX718" i="10"/>
  <c r="BB718" i="10"/>
  <c r="I650" i="19"/>
  <c r="Q576" i="10"/>
  <c r="K13" i="7"/>
  <c r="N13" i="3" s="1"/>
  <c r="AT223" i="7"/>
  <c r="AW223" i="3" s="1"/>
  <c r="AN174" i="3"/>
  <c r="AS174" i="7"/>
  <c r="AV174" i="3" s="1"/>
  <c r="AM196" i="3"/>
  <c r="AT196" i="7"/>
  <c r="AW196" i="3" s="1"/>
  <c r="G576" i="10"/>
  <c r="G78" i="34" s="1"/>
  <c r="AL312" i="7"/>
  <c r="AO312" i="3" s="1"/>
  <c r="L300" i="3"/>
  <c r="K300" i="7"/>
  <c r="N300" i="3" s="1"/>
  <c r="AM142" i="3"/>
  <c r="AT142" i="7"/>
  <c r="AW142" i="3" s="1"/>
  <c r="AN262" i="3"/>
  <c r="AS262" i="7"/>
  <c r="AV262" i="3" s="1"/>
  <c r="AN138" i="3"/>
  <c r="AT138" i="7"/>
  <c r="AW138" i="3" s="1"/>
  <c r="AS138" i="7"/>
  <c r="AV138" i="3" s="1"/>
  <c r="G754" i="10"/>
  <c r="G256" i="34" s="1"/>
  <c r="I754" i="10"/>
  <c r="P754" i="10" s="1"/>
  <c r="O754" i="10"/>
  <c r="N754" i="10"/>
  <c r="AM258" i="3"/>
  <c r="AT258" i="7"/>
  <c r="AW258" i="3" s="1"/>
  <c r="K355" i="7"/>
  <c r="N355" i="3" s="1"/>
  <c r="R824" i="10"/>
  <c r="K252" i="7"/>
  <c r="N252" i="3" s="1"/>
  <c r="AM213" i="3"/>
  <c r="AL213" i="7"/>
  <c r="AM213" i="7" s="1"/>
  <c r="AP213" i="3" s="1"/>
  <c r="BQ824" i="10"/>
  <c r="K824" i="10" s="1"/>
  <c r="BG824" i="10" s="1"/>
  <c r="S20" i="17"/>
  <c r="G20" i="17" s="1"/>
  <c r="CE841" i="10"/>
  <c r="BY741" i="10"/>
  <c r="CE848" i="10"/>
  <c r="BY656" i="10"/>
  <c r="CR656" i="10" s="1"/>
  <c r="P158" i="34" s="1"/>
  <c r="BP872" i="10"/>
  <c r="J872" i="10" s="1"/>
  <c r="K224" i="7"/>
  <c r="N224" i="3" s="1"/>
  <c r="AT271" i="7"/>
  <c r="AW271" i="3" s="1"/>
  <c r="CE519" i="10"/>
  <c r="AS404" i="7"/>
  <c r="AV404" i="3" s="1"/>
  <c r="AL404" i="7"/>
  <c r="AM404" i="10" s="1"/>
  <c r="AN404" i="10" s="1"/>
  <c r="AP404" i="10" s="1"/>
  <c r="K21" i="7"/>
  <c r="N21" i="3" s="1"/>
  <c r="M207" i="3"/>
  <c r="K207" i="7"/>
  <c r="N207" i="3" s="1"/>
  <c r="K81" i="7"/>
  <c r="N81" i="3" s="1"/>
  <c r="AL234" i="7"/>
  <c r="AD82" i="7"/>
  <c r="AT378" i="7"/>
  <c r="AW378" i="3" s="1"/>
  <c r="AS378" i="7"/>
  <c r="AV378" i="3" s="1"/>
  <c r="AM378" i="3"/>
  <c r="AL378" i="7"/>
  <c r="C396" i="8"/>
  <c r="D396" i="8" s="1"/>
  <c r="C395" i="8"/>
  <c r="D395" i="8" s="1"/>
  <c r="BY645" i="10"/>
  <c r="BY630" i="10"/>
  <c r="K132" i="34" s="1"/>
  <c r="E258" i="11"/>
  <c r="F258" i="11" s="1"/>
  <c r="AS327" i="7"/>
  <c r="AV327" i="3" s="1"/>
  <c r="AS368" i="7"/>
  <c r="AV368" i="3" s="1"/>
  <c r="BY806" i="10"/>
  <c r="K308" i="34" s="1"/>
  <c r="AL371" i="7"/>
  <c r="AO371" i="3" s="1"/>
  <c r="BY574" i="10"/>
  <c r="CC574" i="10" s="1"/>
  <c r="AM351" i="3"/>
  <c r="L376" i="34"/>
  <c r="AT273" i="7"/>
  <c r="AW273" i="3" s="1"/>
  <c r="AL88" i="7"/>
  <c r="AM88" i="7" s="1"/>
  <c r="AP88" i="3" s="1"/>
  <c r="AL380" i="7"/>
  <c r="AM380" i="10" s="1"/>
  <c r="AN380" i="10" s="1"/>
  <c r="AP380" i="10" s="1"/>
  <c r="CE47" i="9"/>
  <c r="CF47" i="9" s="1"/>
  <c r="BY544" i="10"/>
  <c r="AT221" i="7"/>
  <c r="AW221" i="3" s="1"/>
  <c r="AS113" i="7"/>
  <c r="AV113" i="3" s="1"/>
  <c r="CE21" i="9"/>
  <c r="CI21" i="9" s="1"/>
  <c r="BY524" i="10"/>
  <c r="BZ524" i="10" s="1"/>
  <c r="D10" i="17"/>
  <c r="K373" i="7"/>
  <c r="N373" i="3" s="1"/>
  <c r="L56" i="34"/>
  <c r="CS554" i="10"/>
  <c r="N56" i="34" s="1"/>
  <c r="D21" i="17"/>
  <c r="Q888" i="10"/>
  <c r="BY541" i="10"/>
  <c r="K43" i="34" s="1"/>
  <c r="K107" i="7"/>
  <c r="N107" i="3" s="1"/>
  <c r="S689" i="10"/>
  <c r="AL356" i="7"/>
  <c r="AO356" i="3" s="1"/>
  <c r="AL330" i="7"/>
  <c r="AM330" i="10" s="1"/>
  <c r="AN330" i="10" s="1"/>
  <c r="AP330" i="10" s="1"/>
  <c r="E256" i="11"/>
  <c r="F256" i="11" s="1"/>
  <c r="AS78" i="7"/>
  <c r="AV78" i="3" s="1"/>
  <c r="K72" i="7"/>
  <c r="N72" i="3" s="1"/>
  <c r="AT11" i="7"/>
  <c r="AW11" i="3" s="1"/>
  <c r="BY600" i="10"/>
  <c r="I888" i="10"/>
  <c r="P888" i="10" s="1"/>
  <c r="AS271" i="7"/>
  <c r="AV271" i="3" s="1"/>
  <c r="CE40" i="9"/>
  <c r="AS232" i="7"/>
  <c r="AV232" i="3" s="1"/>
  <c r="AS60" i="7"/>
  <c r="AV60" i="3" s="1"/>
  <c r="BY912" i="10"/>
  <c r="CA912" i="10" s="1"/>
  <c r="AL370" i="7"/>
  <c r="AM370" i="7" s="1"/>
  <c r="AP370" i="3" s="1"/>
  <c r="BY637" i="10"/>
  <c r="BZ637" i="10" s="1"/>
  <c r="AL328" i="7"/>
  <c r="AM328" i="7" s="1"/>
  <c r="AP328" i="3" s="1"/>
  <c r="AL308" i="7"/>
  <c r="AT229" i="7"/>
  <c r="AW229" i="3" s="1"/>
  <c r="AM282" i="3"/>
  <c r="AL282" i="7"/>
  <c r="AT282" i="7"/>
  <c r="AW282" i="3" s="1"/>
  <c r="D8" i="17"/>
  <c r="L157" i="3"/>
  <c r="K157" i="7"/>
  <c r="N157" i="3" s="1"/>
  <c r="AM179" i="3"/>
  <c r="AS179" i="7"/>
  <c r="AV179" i="3" s="1"/>
  <c r="AT179" i="7"/>
  <c r="AW179" i="3" s="1"/>
  <c r="AM20" i="3"/>
  <c r="AT20" i="7"/>
  <c r="AW20" i="3" s="1"/>
  <c r="AL20" i="7"/>
  <c r="AM20" i="10" s="1"/>
  <c r="AN20" i="10" s="1"/>
  <c r="AP20" i="10" s="1"/>
  <c r="AM19" i="3"/>
  <c r="AT19" i="7"/>
  <c r="AW19" i="3" s="1"/>
  <c r="AS19" i="7"/>
  <c r="AV19" i="3" s="1"/>
  <c r="O22" i="3"/>
  <c r="AE7" i="7"/>
  <c r="AH7" i="3" s="1"/>
  <c r="D18" i="17"/>
  <c r="L138" i="3"/>
  <c r="K138" i="7"/>
  <c r="N138" i="3" s="1"/>
  <c r="AM260" i="3"/>
  <c r="AT260" i="7"/>
  <c r="AW260" i="3" s="1"/>
  <c r="AY101" i="3"/>
  <c r="AS101" i="7"/>
  <c r="AV101" i="3" s="1"/>
  <c r="AY123" i="3"/>
  <c r="AS123" i="7"/>
  <c r="AV123" i="3" s="1"/>
  <c r="AN134" i="3"/>
  <c r="AS134" i="7"/>
  <c r="AV134" i="3" s="1"/>
  <c r="AT134" i="7"/>
  <c r="AW134" i="3" s="1"/>
  <c r="L113" i="34"/>
  <c r="CS611" i="10"/>
  <c r="N113" i="34" s="1"/>
  <c r="L131" i="3"/>
  <c r="K131" i="7"/>
  <c r="N131" i="3" s="1"/>
  <c r="L175" i="3"/>
  <c r="K175" i="7"/>
  <c r="N175" i="3" s="1"/>
  <c r="AN305" i="3"/>
  <c r="AT305" i="7"/>
  <c r="AW305" i="3" s="1"/>
  <c r="BC824" i="10"/>
  <c r="BP824" i="10"/>
  <c r="AM27" i="3"/>
  <c r="AT27" i="7"/>
  <c r="AW27" i="3" s="1"/>
  <c r="AT104" i="7"/>
  <c r="AW104" i="3" s="1"/>
  <c r="AM104" i="3"/>
  <c r="AL292" i="7"/>
  <c r="K426" i="7"/>
  <c r="N426" i="3" s="1"/>
  <c r="M426" i="3"/>
  <c r="AM374" i="3"/>
  <c r="AS374" i="7"/>
  <c r="AV374" i="3" s="1"/>
  <c r="AL374" i="7"/>
  <c r="AT374" i="7"/>
  <c r="AW374" i="3" s="1"/>
  <c r="K146" i="7"/>
  <c r="N146" i="3" s="1"/>
  <c r="AY48" i="3"/>
  <c r="AL48" i="7"/>
  <c r="AM48" i="10" s="1"/>
  <c r="AN48" i="10" s="1"/>
  <c r="AP48" i="10" s="1"/>
  <c r="R667" i="10"/>
  <c r="T667" i="10"/>
  <c r="BQ667" i="10"/>
  <c r="K667" i="10" s="1"/>
  <c r="BG667" i="10" s="1"/>
  <c r="I667" i="10"/>
  <c r="P667" i="10" s="1"/>
  <c r="Q667" i="10"/>
  <c r="G667" i="10"/>
  <c r="G169" i="34" s="1"/>
  <c r="I602" i="19"/>
  <c r="BX667" i="10"/>
  <c r="BB667" i="10"/>
  <c r="BC667" i="10" s="1"/>
  <c r="O667" i="10"/>
  <c r="M263" i="3"/>
  <c r="K263" i="7"/>
  <c r="N263" i="3" s="1"/>
  <c r="AM102" i="7"/>
  <c r="AP102" i="3" s="1"/>
  <c r="L173" i="34"/>
  <c r="AM143" i="3"/>
  <c r="AT143" i="7"/>
  <c r="AW143" i="3" s="1"/>
  <c r="AL143" i="7"/>
  <c r="AO143" i="3" s="1"/>
  <c r="AY112" i="3"/>
  <c r="AS112" i="7"/>
  <c r="AV112" i="3" s="1"/>
  <c r="AL112" i="7"/>
  <c r="AM112" i="10" s="1"/>
  <c r="AN112" i="10" s="1"/>
  <c r="AP112" i="10" s="1"/>
  <c r="AT128" i="7"/>
  <c r="AW128" i="3" s="1"/>
  <c r="L27" i="3"/>
  <c r="K27" i="7"/>
  <c r="N27" i="3" s="1"/>
  <c r="AS62" i="7"/>
  <c r="AV62" i="3" s="1"/>
  <c r="M112" i="3"/>
  <c r="K112" i="7"/>
  <c r="N112" i="3" s="1"/>
  <c r="M328" i="3"/>
  <c r="K328" i="7"/>
  <c r="N328" i="3" s="1"/>
  <c r="AL62" i="7"/>
  <c r="AM62" i="7" s="1"/>
  <c r="AP62" i="3" s="1"/>
  <c r="AN255" i="3"/>
  <c r="AS255" i="7"/>
  <c r="AV255" i="3" s="1"/>
  <c r="AT255" i="7"/>
  <c r="AW255" i="3" s="1"/>
  <c r="M197" i="3"/>
  <c r="K197" i="7"/>
  <c r="N197" i="3" s="1"/>
  <c r="AM74" i="3"/>
  <c r="AL74" i="7"/>
  <c r="AM74" i="10" s="1"/>
  <c r="AN74" i="10" s="1"/>
  <c r="AP74" i="10" s="1"/>
  <c r="AM119" i="3"/>
  <c r="AT119" i="7"/>
  <c r="AW119" i="3" s="1"/>
  <c r="L53" i="3"/>
  <c r="K53" i="7"/>
  <c r="N53" i="3" s="1"/>
  <c r="AM409" i="3"/>
  <c r="AL409" i="7"/>
  <c r="O329" i="3"/>
  <c r="I824" i="10"/>
  <c r="P824" i="10" s="1"/>
  <c r="M19" i="3"/>
  <c r="K19" i="7"/>
  <c r="N19" i="3" s="1"/>
  <c r="M179" i="3"/>
  <c r="K179" i="7"/>
  <c r="N179" i="3" s="1"/>
  <c r="K241" i="7"/>
  <c r="N241" i="3" s="1"/>
  <c r="AT107" i="7"/>
  <c r="AW107" i="3" s="1"/>
  <c r="AS107" i="7"/>
  <c r="AV107" i="3" s="1"/>
  <c r="AY245" i="3"/>
  <c r="AS245" i="7"/>
  <c r="AV245" i="3" s="1"/>
  <c r="AL245" i="7"/>
  <c r="M79" i="3"/>
  <c r="K79" i="7"/>
  <c r="N79" i="3" s="1"/>
  <c r="N667" i="10"/>
  <c r="AT343" i="7"/>
  <c r="AW343" i="3" s="1"/>
  <c r="AM71" i="3"/>
  <c r="AT71" i="7"/>
  <c r="AW71" i="3" s="1"/>
  <c r="M373" i="3"/>
  <c r="AL329" i="7"/>
  <c r="AS71" i="7"/>
  <c r="AV71" i="3" s="1"/>
  <c r="AM331" i="3"/>
  <c r="AT331" i="7"/>
  <c r="AW331" i="3" s="1"/>
  <c r="AL331" i="7"/>
  <c r="M350" i="3"/>
  <c r="K350" i="7"/>
  <c r="N350" i="3" s="1"/>
  <c r="AM201" i="3"/>
  <c r="AT201" i="7"/>
  <c r="AW201" i="3" s="1"/>
  <c r="AN507" i="10"/>
  <c r="L289" i="34"/>
  <c r="CS787" i="10"/>
  <c r="N289" i="34" s="1"/>
  <c r="K278" i="7"/>
  <c r="N278" i="3" s="1"/>
  <c r="M278" i="3"/>
  <c r="T802" i="10"/>
  <c r="BB802" i="10"/>
  <c r="BC802" i="10" s="1"/>
  <c r="G802" i="10"/>
  <c r="G304" i="34" s="1"/>
  <c r="I729" i="19"/>
  <c r="N802" i="10"/>
  <c r="R802" i="10"/>
  <c r="Q802" i="10"/>
  <c r="BQ802" i="10"/>
  <c r="K802" i="10" s="1"/>
  <c r="BG802" i="10" s="1"/>
  <c r="BX802" i="10"/>
  <c r="O802" i="10"/>
  <c r="I802" i="10"/>
  <c r="P802" i="10" s="1"/>
  <c r="AS277" i="7"/>
  <c r="AV277" i="3" s="1"/>
  <c r="AT277" i="7"/>
  <c r="AW277" i="3" s="1"/>
  <c r="AF268" i="7"/>
  <c r="AD268" i="7"/>
  <c r="AT145" i="7"/>
  <c r="AW145" i="3" s="1"/>
  <c r="AL145" i="7"/>
  <c r="AM145" i="10" s="1"/>
  <c r="AN145" i="10" s="1"/>
  <c r="AM145" i="3"/>
  <c r="AS145" i="7"/>
  <c r="AV145" i="3" s="1"/>
  <c r="AM382" i="3"/>
  <c r="AT382" i="7"/>
  <c r="AW382" i="3" s="1"/>
  <c r="AN57" i="3"/>
  <c r="AT57" i="7"/>
  <c r="AW57" i="3" s="1"/>
  <c r="AN418" i="3"/>
  <c r="AT418" i="7"/>
  <c r="AW418" i="3" s="1"/>
  <c r="L300" i="34"/>
  <c r="CS798" i="10"/>
  <c r="N300" i="34" s="1"/>
  <c r="AM278" i="3"/>
  <c r="AT278" i="7"/>
  <c r="AW278" i="3" s="1"/>
  <c r="L325" i="3"/>
  <c r="K325" i="7"/>
  <c r="N325" i="3" s="1"/>
  <c r="K390" i="7"/>
  <c r="N390" i="3" s="1"/>
  <c r="M390" i="3"/>
  <c r="AL373" i="7"/>
  <c r="AS373" i="7"/>
  <c r="AV373" i="3" s="1"/>
  <c r="AM373" i="3"/>
  <c r="AT373" i="7"/>
  <c r="AW373" i="3" s="1"/>
  <c r="AL115" i="7"/>
  <c r="AO115" i="3" s="1"/>
  <c r="AT115" i="7"/>
  <c r="AW115" i="3" s="1"/>
  <c r="AS115" i="7"/>
  <c r="AV115" i="3" s="1"/>
  <c r="AM115" i="3"/>
  <c r="L91" i="34"/>
  <c r="CS589" i="10"/>
  <c r="N91" i="34" s="1"/>
  <c r="AN160" i="3"/>
  <c r="AT160" i="7"/>
  <c r="AW160" i="3" s="1"/>
  <c r="CS581" i="10"/>
  <c r="N83" i="34" s="1"/>
  <c r="L83" i="34"/>
  <c r="AY252" i="3"/>
  <c r="AS252" i="7"/>
  <c r="AV252" i="3" s="1"/>
  <c r="N913" i="10"/>
  <c r="I843" i="19"/>
  <c r="T913" i="10"/>
  <c r="Q913" i="10"/>
  <c r="G913" i="10"/>
  <c r="G415" i="34" s="1"/>
  <c r="BQ913" i="10"/>
  <c r="K913" i="10" s="1"/>
  <c r="BG913" i="10" s="1"/>
  <c r="R913" i="10"/>
  <c r="BB913" i="10"/>
  <c r="BX913" i="10"/>
  <c r="O913" i="10"/>
  <c r="AM415" i="3"/>
  <c r="AL415" i="7"/>
  <c r="AS415" i="7"/>
  <c r="AV415" i="3" s="1"/>
  <c r="AY106" i="3"/>
  <c r="AS106" i="7"/>
  <c r="AV106" i="3" s="1"/>
  <c r="AS280" i="7"/>
  <c r="AV280" i="3" s="1"/>
  <c r="AL280" i="7"/>
  <c r="AM280" i="7" s="1"/>
  <c r="AP280" i="3" s="1"/>
  <c r="AT280" i="7"/>
  <c r="AW280" i="3" s="1"/>
  <c r="AM280" i="3"/>
  <c r="AN310" i="3"/>
  <c r="AL310" i="7"/>
  <c r="AM310" i="10" s="1"/>
  <c r="AN310" i="10" s="1"/>
  <c r="AP310" i="10" s="1"/>
  <c r="T515" i="10"/>
  <c r="I515" i="10"/>
  <c r="P515" i="10" s="1"/>
  <c r="N515" i="10"/>
  <c r="I460" i="19"/>
  <c r="R515" i="10"/>
  <c r="BX515" i="10"/>
  <c r="BQ515" i="10"/>
  <c r="G515" i="10"/>
  <c r="G17" i="34" s="1"/>
  <c r="O515" i="10"/>
  <c r="BB515" i="10"/>
  <c r="BC515" i="10" s="1"/>
  <c r="Q515" i="10"/>
  <c r="K515" i="10"/>
  <c r="BG515" i="10" s="1"/>
  <c r="AM137" i="3"/>
  <c r="AT137" i="7"/>
  <c r="AW137" i="3" s="1"/>
  <c r="AL137" i="7"/>
  <c r="AM137" i="7" s="1"/>
  <c r="AP137" i="3" s="1"/>
  <c r="AS137" i="7"/>
  <c r="AV137" i="3" s="1"/>
  <c r="L22" i="34"/>
  <c r="CS520" i="10"/>
  <c r="N22" i="34" s="1"/>
  <c r="AT67" i="7"/>
  <c r="AW67" i="3" s="1"/>
  <c r="AL67" i="7"/>
  <c r="AM67" i="3"/>
  <c r="L193" i="3"/>
  <c r="K193" i="7"/>
  <c r="N193" i="3" s="1"/>
  <c r="AM292" i="3"/>
  <c r="AS292" i="7"/>
  <c r="AV292" i="3" s="1"/>
  <c r="L323" i="34"/>
  <c r="CS821" i="10"/>
  <c r="N323" i="34" s="1"/>
  <c r="AL358" i="7"/>
  <c r="AM358" i="3"/>
  <c r="AM79" i="3"/>
  <c r="AT79" i="7"/>
  <c r="AW79" i="3" s="1"/>
  <c r="AS79" i="7"/>
  <c r="AV79" i="3" s="1"/>
  <c r="AT334" i="7"/>
  <c r="AW334" i="3" s="1"/>
  <c r="AN172" i="3"/>
  <c r="AT172" i="7"/>
  <c r="AW172" i="3" s="1"/>
  <c r="AS172" i="7"/>
  <c r="AV172" i="3" s="1"/>
  <c r="AL172" i="7"/>
  <c r="L122" i="34"/>
  <c r="CS620" i="10"/>
  <c r="N122" i="34" s="1"/>
  <c r="L123" i="3"/>
  <c r="K123" i="7"/>
  <c r="N123" i="3" s="1"/>
  <c r="AM133" i="3"/>
  <c r="M198" i="3"/>
  <c r="AN375" i="3"/>
  <c r="AS375" i="7"/>
  <c r="AV375" i="3" s="1"/>
  <c r="AM124" i="3"/>
  <c r="AS124" i="7"/>
  <c r="AV124" i="3" s="1"/>
  <c r="AT124" i="7"/>
  <c r="AW124" i="3" s="1"/>
  <c r="AS183" i="7"/>
  <c r="AV183" i="3" s="1"/>
  <c r="CR684" i="10"/>
  <c r="P186" i="34" s="1"/>
  <c r="AS142" i="7"/>
  <c r="AV142" i="3" s="1"/>
  <c r="AS48" i="7"/>
  <c r="AV48" i="3" s="1"/>
  <c r="AL293" i="7"/>
  <c r="AM293" i="7" s="1"/>
  <c r="AP293" i="3" s="1"/>
  <c r="AS293" i="7"/>
  <c r="AV293" i="3" s="1"/>
  <c r="O45" i="3"/>
  <c r="AE27" i="7"/>
  <c r="AH27" i="3" s="1"/>
  <c r="K165" i="7"/>
  <c r="N165" i="3" s="1"/>
  <c r="AM386" i="3"/>
  <c r="AS386" i="7"/>
  <c r="AV386" i="3" s="1"/>
  <c r="AL386" i="7"/>
  <c r="AM386" i="10" s="1"/>
  <c r="AN386" i="10" s="1"/>
  <c r="AP386" i="10" s="1"/>
  <c r="L98" i="34"/>
  <c r="D12" i="17"/>
  <c r="AS358" i="7"/>
  <c r="AV358" i="3" s="1"/>
  <c r="AY395" i="3"/>
  <c r="AL395" i="7"/>
  <c r="AS409" i="7"/>
  <c r="AV409" i="3" s="1"/>
  <c r="CS595" i="10"/>
  <c r="N97" i="34" s="1"/>
  <c r="D9" i="17"/>
  <c r="AY314" i="3"/>
  <c r="AL314" i="7"/>
  <c r="K184" i="7"/>
  <c r="N184" i="3" s="1"/>
  <c r="AT358" i="7"/>
  <c r="AW358" i="3" s="1"/>
  <c r="AN164" i="3"/>
  <c r="AT164" i="7"/>
  <c r="AW164" i="3" s="1"/>
  <c r="AM53" i="3"/>
  <c r="AS53" i="7"/>
  <c r="AV53" i="3" s="1"/>
  <c r="AS119" i="7"/>
  <c r="AV119" i="3" s="1"/>
  <c r="AT409" i="7"/>
  <c r="AW409" i="3" s="1"/>
  <c r="L166" i="3"/>
  <c r="K166" i="7"/>
  <c r="N166" i="3" s="1"/>
  <c r="D13" i="17"/>
  <c r="AS294" i="7"/>
  <c r="AV294" i="3" s="1"/>
  <c r="AL419" i="7"/>
  <c r="AM209" i="3"/>
  <c r="AS209" i="7"/>
  <c r="AV209" i="3" s="1"/>
  <c r="AF75" i="3"/>
  <c r="AT63" i="7"/>
  <c r="AW63" i="3" s="1"/>
  <c r="AS63" i="7"/>
  <c r="AV63" i="3" s="1"/>
  <c r="AM63" i="3"/>
  <c r="AM46" i="3"/>
  <c r="AT46" i="7"/>
  <c r="AW46" i="3" s="1"/>
  <c r="AM84" i="3"/>
  <c r="AT84" i="7"/>
  <c r="AW84" i="3" s="1"/>
  <c r="BC506" i="10"/>
  <c r="BP506" i="10"/>
  <c r="J506" i="10" s="1"/>
  <c r="AS182" i="7"/>
  <c r="AV182" i="3" s="1"/>
  <c r="AL364" i="7"/>
  <c r="AO364" i="3" s="1"/>
  <c r="AM345" i="3"/>
  <c r="AS345" i="7"/>
  <c r="AV345" i="3" s="1"/>
  <c r="AT345" i="7"/>
  <c r="AW345" i="3" s="1"/>
  <c r="K314" i="7"/>
  <c r="N314" i="3" s="1"/>
  <c r="AL91" i="7"/>
  <c r="AM91" i="10" s="1"/>
  <c r="AN91" i="10" s="1"/>
  <c r="AP91" i="10" s="1"/>
  <c r="AM357" i="3"/>
  <c r="AS357" i="7"/>
  <c r="AV357" i="3" s="1"/>
  <c r="AM243" i="3"/>
  <c r="AT243" i="7"/>
  <c r="AW243" i="3" s="1"/>
  <c r="AM412" i="3"/>
  <c r="AL412" i="7"/>
  <c r="AM412" i="7" s="1"/>
  <c r="AP412" i="3" s="1"/>
  <c r="M110" i="3"/>
  <c r="K110" i="7"/>
  <c r="N110" i="3" s="1"/>
  <c r="AM233" i="3"/>
  <c r="AS233" i="7"/>
  <c r="AV233" i="3" s="1"/>
  <c r="AL248" i="7"/>
  <c r="AS248" i="7"/>
  <c r="AV248" i="3" s="1"/>
  <c r="AM248" i="3"/>
  <c r="AN93" i="3"/>
  <c r="AL93" i="7"/>
  <c r="AM93" i="10" s="1"/>
  <c r="AN93" i="10" s="1"/>
  <c r="AP93" i="10" s="1"/>
  <c r="AT93" i="7"/>
  <c r="AW93" i="3" s="1"/>
  <c r="K50" i="7"/>
  <c r="N50" i="3" s="1"/>
  <c r="AL383" i="7"/>
  <c r="AM383" i="7" s="1"/>
  <c r="AP383" i="3" s="1"/>
  <c r="AL198" i="7"/>
  <c r="AT198" i="7"/>
  <c r="AW198" i="3" s="1"/>
  <c r="AL279" i="7"/>
  <c r="AO279" i="3" s="1"/>
  <c r="AL195" i="7"/>
  <c r="AO195" i="3" s="1"/>
  <c r="AT362" i="7"/>
  <c r="AW362" i="3" s="1"/>
  <c r="AM418" i="3"/>
  <c r="AL418" i="7"/>
  <c r="AM418" i="10" s="1"/>
  <c r="AN418" i="10" s="1"/>
  <c r="AP418" i="10" s="1"/>
  <c r="M74" i="3"/>
  <c r="K74" i="7"/>
  <c r="N74" i="3" s="1"/>
  <c r="AM385" i="3"/>
  <c r="AT385" i="7"/>
  <c r="AW385" i="3" s="1"/>
  <c r="AL385" i="7"/>
  <c r="AO385" i="3" s="1"/>
  <c r="M30" i="3"/>
  <c r="K30" i="7"/>
  <c r="N30" i="3" s="1"/>
  <c r="AT49" i="7"/>
  <c r="AW49" i="3" s="1"/>
  <c r="AT381" i="7"/>
  <c r="AW381" i="3" s="1"/>
  <c r="AS5" i="7"/>
  <c r="AV5" i="3" s="1"/>
  <c r="AL263" i="7"/>
  <c r="L286" i="34"/>
  <c r="CS784" i="10"/>
  <c r="N286" i="34" s="1"/>
  <c r="I683" i="19"/>
  <c r="BX754" i="10"/>
  <c r="BB754" i="10"/>
  <c r="T754" i="10"/>
  <c r="R754" i="10"/>
  <c r="AL106" i="7"/>
  <c r="AM106" i="10" s="1"/>
  <c r="AN106" i="10" s="1"/>
  <c r="AP106" i="10" s="1"/>
  <c r="I506" i="10"/>
  <c r="P506" i="10" s="1"/>
  <c r="S506" i="10" s="1"/>
  <c r="K192" i="7"/>
  <c r="N192" i="3" s="1"/>
  <c r="AT39" i="7"/>
  <c r="AW39" i="3" s="1"/>
  <c r="AT287" i="7"/>
  <c r="AW287" i="3" s="1"/>
  <c r="BY791" i="10"/>
  <c r="AY25" i="3"/>
  <c r="AS25" i="7"/>
  <c r="AV25" i="3" s="1"/>
  <c r="AS414" i="7"/>
  <c r="AV414" i="3" s="1"/>
  <c r="AT116" i="7"/>
  <c r="AW116" i="3" s="1"/>
  <c r="AM336" i="3"/>
  <c r="AL336" i="7"/>
  <c r="AM336" i="10" s="1"/>
  <c r="AN336" i="10" s="1"/>
  <c r="AP336" i="10" s="1"/>
  <c r="AS279" i="7"/>
  <c r="AV279" i="3" s="1"/>
  <c r="AT318" i="7"/>
  <c r="AW318" i="3" s="1"/>
  <c r="AT324" i="7"/>
  <c r="AW324" i="3" s="1"/>
  <c r="M402" i="3"/>
  <c r="K402" i="7"/>
  <c r="N402" i="3" s="1"/>
  <c r="AT209" i="7"/>
  <c r="AW209" i="3" s="1"/>
  <c r="AL204" i="7"/>
  <c r="AS263" i="7"/>
  <c r="AV263" i="3" s="1"/>
  <c r="L322" i="3"/>
  <c r="K322" i="7"/>
  <c r="N322" i="3" s="1"/>
  <c r="M259" i="3"/>
  <c r="K259" i="7"/>
  <c r="N259" i="3" s="1"/>
  <c r="L285" i="3"/>
  <c r="K285" i="7"/>
  <c r="N285" i="3" s="1"/>
  <c r="O583" i="10"/>
  <c r="T583" i="10"/>
  <c r="N583" i="10"/>
  <c r="Q583" i="10"/>
  <c r="G583" i="10"/>
  <c r="G85" i="34" s="1"/>
  <c r="BB583" i="10"/>
  <c r="AM377" i="3"/>
  <c r="AT377" i="7"/>
  <c r="AW377" i="3" s="1"/>
  <c r="AM89" i="3"/>
  <c r="AS89" i="7"/>
  <c r="AV89" i="3" s="1"/>
  <c r="K67" i="35"/>
  <c r="M67" i="35"/>
  <c r="K176" i="7"/>
  <c r="N176" i="3" s="1"/>
  <c r="AN90" i="3"/>
  <c r="AT90" i="7"/>
  <c r="AW90" i="3" s="1"/>
  <c r="AY399" i="3"/>
  <c r="AL399" i="7"/>
  <c r="AO399" i="3" s="1"/>
  <c r="L100" i="3"/>
  <c r="K100" i="7"/>
  <c r="N100" i="3" s="1"/>
  <c r="D16" i="17"/>
  <c r="AT311" i="7"/>
  <c r="AW311" i="3" s="1"/>
  <c r="O294" i="3"/>
  <c r="AE283" i="7"/>
  <c r="AH283" i="3" s="1"/>
  <c r="K320" i="7"/>
  <c r="N320" i="3" s="1"/>
  <c r="K758" i="10"/>
  <c r="BG758" i="10" s="1"/>
  <c r="BX758" i="10"/>
  <c r="G758" i="10"/>
  <c r="G260" i="34" s="1"/>
  <c r="I758" i="10"/>
  <c r="P758" i="10" s="1"/>
  <c r="K83" i="7"/>
  <c r="N83" i="3" s="1"/>
  <c r="M83" i="3"/>
  <c r="O758" i="10"/>
  <c r="D11" i="17"/>
  <c r="AD75" i="7"/>
  <c r="AG75" i="3" s="1"/>
  <c r="M27" i="35"/>
  <c r="K27" i="35"/>
  <c r="Q846" i="10"/>
  <c r="I846" i="10"/>
  <c r="P846" i="10" s="1"/>
  <c r="R846" i="10"/>
  <c r="L167" i="3"/>
  <c r="K167" i="7"/>
  <c r="N167" i="3" s="1"/>
  <c r="AS229" i="7"/>
  <c r="AV229" i="3" s="1"/>
  <c r="AM229" i="3"/>
  <c r="I687" i="19"/>
  <c r="AN276" i="3"/>
  <c r="AT276" i="7"/>
  <c r="AW276" i="3" s="1"/>
  <c r="AS102" i="7"/>
  <c r="AV102" i="3" s="1"/>
  <c r="L15" i="3"/>
  <c r="K15" i="7"/>
  <c r="N15" i="3" s="1"/>
  <c r="AL209" i="7"/>
  <c r="M71" i="35"/>
  <c r="K71" i="35"/>
  <c r="M11" i="3"/>
  <c r="K11" i="7"/>
  <c r="N11" i="3" s="1"/>
  <c r="AY203" i="3"/>
  <c r="AS203" i="7"/>
  <c r="AV203" i="3" s="1"/>
  <c r="K214" i="7"/>
  <c r="N214" i="3" s="1"/>
  <c r="G601" i="10"/>
  <c r="G103" i="34" s="1"/>
  <c r="I539" i="19"/>
  <c r="Q601" i="10"/>
  <c r="CS662" i="10"/>
  <c r="N164" i="34" s="1"/>
  <c r="K326" i="7"/>
  <c r="N326" i="3" s="1"/>
  <c r="AT224" i="7"/>
  <c r="AW224" i="3" s="1"/>
  <c r="AL381" i="7"/>
  <c r="AO381" i="3" s="1"/>
  <c r="AN284" i="3"/>
  <c r="AT284" i="7"/>
  <c r="AW284" i="3" s="1"/>
  <c r="AS284" i="7"/>
  <c r="AV284" i="3" s="1"/>
  <c r="AS276" i="7"/>
  <c r="AV276" i="3" s="1"/>
  <c r="AS273" i="7"/>
  <c r="AV273" i="3" s="1"/>
  <c r="AL351" i="7"/>
  <c r="AM351" i="10" s="1"/>
  <c r="AN351" i="10" s="1"/>
  <c r="AP351" i="10" s="1"/>
  <c r="D14" i="17"/>
  <c r="AL229" i="7"/>
  <c r="AM229" i="10" s="1"/>
  <c r="AN229" i="10" s="1"/>
  <c r="AT217" i="7"/>
  <c r="AW217" i="3" s="1"/>
  <c r="AS40" i="7"/>
  <c r="AV40" i="3" s="1"/>
  <c r="S16" i="17"/>
  <c r="G16" i="17" s="1"/>
  <c r="D23" i="17"/>
  <c r="R601" i="10"/>
  <c r="O846" i="10"/>
  <c r="AT407" i="7"/>
  <c r="AW407" i="3" s="1"/>
  <c r="AM236" i="3"/>
  <c r="AS236" i="7"/>
  <c r="AV236" i="3" s="1"/>
  <c r="AS135" i="7"/>
  <c r="AV135" i="3" s="1"/>
  <c r="AE148" i="7"/>
  <c r="AH148" i="3" s="1"/>
  <c r="E266" i="11"/>
  <c r="F266" i="11" s="1"/>
  <c r="BP601" i="10"/>
  <c r="BR601" i="10" s="1"/>
  <c r="AL5" i="7"/>
  <c r="AS7" i="7"/>
  <c r="AV7" i="3" s="1"/>
  <c r="AL77" i="7"/>
  <c r="M85" i="3"/>
  <c r="K85" i="7"/>
  <c r="N85" i="3" s="1"/>
  <c r="M304" i="3"/>
  <c r="K304" i="7"/>
  <c r="N304" i="3" s="1"/>
  <c r="AM265" i="3"/>
  <c r="AT265" i="7"/>
  <c r="AW265" i="3" s="1"/>
  <c r="AT299" i="7"/>
  <c r="AW299" i="3" s="1"/>
  <c r="AL299" i="7"/>
  <c r="CE734" i="10"/>
  <c r="BY576" i="10"/>
  <c r="CC576" i="10" s="1"/>
  <c r="CE590" i="10"/>
  <c r="CK590" i="10" s="1"/>
  <c r="BY614" i="10"/>
  <c r="CR614" i="10" s="1"/>
  <c r="P116" i="34" s="1"/>
  <c r="CE587" i="10"/>
  <c r="CE533" i="10"/>
  <c r="BY557" i="10"/>
  <c r="CC557" i="10" s="1"/>
  <c r="CE699" i="10"/>
  <c r="BY817" i="10"/>
  <c r="CA817" i="10" s="1"/>
  <c r="CE623" i="10"/>
  <c r="J125" i="34" s="1"/>
  <c r="BY617" i="10"/>
  <c r="BZ617" i="10" s="1"/>
  <c r="BY913" i="10"/>
  <c r="CE807" i="10"/>
  <c r="CH807" i="10" s="1"/>
  <c r="CE71" i="9"/>
  <c r="CK61" i="9"/>
  <c r="CX61" i="9" s="1"/>
  <c r="O58" i="35" s="1"/>
  <c r="CE633" i="10"/>
  <c r="J135" i="34" s="1"/>
  <c r="BY694" i="10"/>
  <c r="BY706" i="10"/>
  <c r="BY677" i="10"/>
  <c r="BY859" i="10"/>
  <c r="CE632" i="10"/>
  <c r="CE916" i="10"/>
  <c r="BY907" i="10"/>
  <c r="CE13" i="9"/>
  <c r="BY633" i="10"/>
  <c r="K135" i="34" s="1"/>
  <c r="BY525" i="10"/>
  <c r="CE65" i="9"/>
  <c r="CH65" i="9" s="1"/>
  <c r="CK71" i="9"/>
  <c r="CL71" i="9" s="1"/>
  <c r="CQ71" i="9" s="1"/>
  <c r="CE501" i="10"/>
  <c r="CG501" i="10" s="1"/>
  <c r="CK13" i="9"/>
  <c r="CE528" i="10"/>
  <c r="CJ528" i="10" s="1"/>
  <c r="CE762" i="10"/>
  <c r="CK762" i="10" s="1"/>
  <c r="CE826" i="10"/>
  <c r="CE589" i="10"/>
  <c r="CF589" i="10" s="1"/>
  <c r="CL589" i="10" s="1"/>
  <c r="CE860" i="10"/>
  <c r="CE712" i="10"/>
  <c r="CF712" i="10" s="1"/>
  <c r="CL712" i="10" s="1"/>
  <c r="BY632" i="10"/>
  <c r="CK11" i="9"/>
  <c r="CP11" i="9" s="1"/>
  <c r="CE577" i="10"/>
  <c r="CE694" i="10"/>
  <c r="BY665" i="10"/>
  <c r="K167" i="34" s="1"/>
  <c r="CK75" i="9"/>
  <c r="BY762" i="10"/>
  <c r="CA762" i="10" s="1"/>
  <c r="BY826" i="10"/>
  <c r="K328" i="34" s="1"/>
  <c r="CE911" i="10"/>
  <c r="BY895" i="10"/>
  <c r="CE749" i="10"/>
  <c r="CS857" i="10"/>
  <c r="N359" i="34" s="1"/>
  <c r="AS401" i="7"/>
  <c r="AV401" i="3" s="1"/>
  <c r="BY552" i="10"/>
  <c r="CA552" i="10" s="1"/>
  <c r="CE52" i="9"/>
  <c r="CF52" i="9" s="1"/>
  <c r="K277" i="7"/>
  <c r="N277" i="3" s="1"/>
  <c r="I665" i="10"/>
  <c r="P665" i="10" s="1"/>
  <c r="BY901" i="10"/>
  <c r="AL250" i="7"/>
  <c r="AO250" i="3" s="1"/>
  <c r="CK21" i="9"/>
  <c r="CP21" i="9" s="1"/>
  <c r="BY731" i="10"/>
  <c r="AT7" i="7"/>
  <c r="AW7" i="3" s="1"/>
  <c r="AS77" i="7"/>
  <c r="AV77" i="3" s="1"/>
  <c r="AN218" i="3"/>
  <c r="AS218" i="7"/>
  <c r="AV218" i="3" s="1"/>
  <c r="AN247" i="3"/>
  <c r="AT247" i="7"/>
  <c r="AW247" i="3" s="1"/>
  <c r="I691" i="19"/>
  <c r="R762" i="10"/>
  <c r="D19" i="17"/>
  <c r="AL86" i="7"/>
  <c r="AM86" i="10" s="1"/>
  <c r="AN86" i="10" s="1"/>
  <c r="AP86" i="10" s="1"/>
  <c r="I601" i="10"/>
  <c r="P601" i="10" s="1"/>
  <c r="N762" i="10"/>
  <c r="AT89" i="7"/>
  <c r="AW89" i="3" s="1"/>
  <c r="L310" i="34"/>
  <c r="K337" i="7"/>
  <c r="N337" i="3" s="1"/>
  <c r="AM197" i="3"/>
  <c r="AT197" i="7"/>
  <c r="AW197" i="3" s="1"/>
  <c r="AS111" i="7"/>
  <c r="AV111" i="3" s="1"/>
  <c r="AS204" i="7"/>
  <c r="AV204" i="3" s="1"/>
  <c r="K63" i="35"/>
  <c r="M63" i="35"/>
  <c r="AM309" i="3"/>
  <c r="AS309" i="7"/>
  <c r="AV309" i="3" s="1"/>
  <c r="AT309" i="7"/>
  <c r="AW309" i="3" s="1"/>
  <c r="AS72" i="7"/>
  <c r="AV72" i="3" s="1"/>
  <c r="AL72" i="7"/>
  <c r="AM72" i="10" s="1"/>
  <c r="AN72" i="10" s="1"/>
  <c r="AT72" i="7"/>
  <c r="AW72" i="3" s="1"/>
  <c r="AS329" i="7"/>
  <c r="AV329" i="3" s="1"/>
  <c r="BB762" i="10"/>
  <c r="L316" i="3"/>
  <c r="K316" i="7"/>
  <c r="N316" i="3" s="1"/>
  <c r="AT136" i="7"/>
  <c r="AW136" i="3" s="1"/>
  <c r="L298" i="3"/>
  <c r="K298" i="7"/>
  <c r="N298" i="3" s="1"/>
  <c r="AM40" i="3"/>
  <c r="AL40" i="7"/>
  <c r="AO40" i="3" s="1"/>
  <c r="AT40" i="7"/>
  <c r="AW40" i="3" s="1"/>
  <c r="CS785" i="10"/>
  <c r="N287" i="34" s="1"/>
  <c r="BY516" i="10"/>
  <c r="CB516" i="10" s="1"/>
  <c r="CE538" i="10"/>
  <c r="CI538" i="10" s="1"/>
  <c r="BG762" i="10"/>
  <c r="CE7" i="9"/>
  <c r="CG7" i="9" s="1"/>
  <c r="CK43" i="9"/>
  <c r="T601" i="10"/>
  <c r="M353" i="3"/>
  <c r="K353" i="7"/>
  <c r="N353" i="3" s="1"/>
  <c r="BY646" i="10"/>
  <c r="CS575" i="10"/>
  <c r="N77" i="34" s="1"/>
  <c r="BY538" i="10"/>
  <c r="BZ538" i="10" s="1"/>
  <c r="BY515" i="10"/>
  <c r="BY820" i="10"/>
  <c r="K322" i="34" s="1"/>
  <c r="G762" i="10"/>
  <c r="G264" i="34" s="1"/>
  <c r="BB601" i="10"/>
  <c r="BC601" i="10" s="1"/>
  <c r="AY355" i="3"/>
  <c r="AS355" i="7"/>
  <c r="AV355" i="3" s="1"/>
  <c r="AL355" i="7"/>
  <c r="I576" i="10"/>
  <c r="P576" i="10" s="1"/>
  <c r="CS592" i="10"/>
  <c r="N94" i="34" s="1"/>
  <c r="AY338" i="3"/>
  <c r="AL338" i="7"/>
  <c r="AO338" i="3" s="1"/>
  <c r="AS410" i="7"/>
  <c r="AV410" i="3" s="1"/>
  <c r="AT161" i="7"/>
  <c r="AW161" i="3" s="1"/>
  <c r="AM279" i="3"/>
  <c r="AT279" i="7"/>
  <c r="AW279" i="3" s="1"/>
  <c r="AT359" i="7"/>
  <c r="AW359" i="3" s="1"/>
  <c r="AT195" i="7"/>
  <c r="AW195" i="3" s="1"/>
  <c r="AS167" i="7"/>
  <c r="AV167" i="3" s="1"/>
  <c r="AM163" i="3"/>
  <c r="AT163" i="7"/>
  <c r="AW163" i="3" s="1"/>
  <c r="L15" i="34"/>
  <c r="CS513" i="10"/>
  <c r="N15" i="34" s="1"/>
  <c r="AM288" i="3"/>
  <c r="AS288" i="7"/>
  <c r="AV288" i="3" s="1"/>
  <c r="AL288" i="7"/>
  <c r="BQ762" i="10"/>
  <c r="K762" i="10" s="1"/>
  <c r="M60" i="35"/>
  <c r="L51" i="3"/>
  <c r="K51" i="7"/>
  <c r="N51" i="3" s="1"/>
  <c r="AM372" i="3"/>
  <c r="AL372" i="7"/>
  <c r="AO372" i="3" s="1"/>
  <c r="AL230" i="7"/>
  <c r="AM230" i="10" s="1"/>
  <c r="AN230" i="10" s="1"/>
  <c r="AP230" i="10" s="1"/>
  <c r="I762" i="10"/>
  <c r="P762" i="10" s="1"/>
  <c r="AL251" i="7"/>
  <c r="AM251" i="10" s="1"/>
  <c r="AN251" i="10" s="1"/>
  <c r="AP251" i="10" s="1"/>
  <c r="K91" i="7"/>
  <c r="N91" i="3" s="1"/>
  <c r="I57" i="14"/>
  <c r="AS251" i="7"/>
  <c r="AV251" i="3" s="1"/>
  <c r="E20" i="8"/>
  <c r="O762" i="10"/>
  <c r="AL173" i="7"/>
  <c r="AS91" i="7"/>
  <c r="AV91" i="3" s="1"/>
  <c r="AS136" i="7"/>
  <c r="AV136" i="3" s="1"/>
  <c r="M78" i="3"/>
  <c r="K78" i="7"/>
  <c r="N78" i="3" s="1"/>
  <c r="AT78" i="7"/>
  <c r="AW78" i="3" s="1"/>
  <c r="AS46" i="7"/>
  <c r="AV46" i="3" s="1"/>
  <c r="L240" i="34"/>
  <c r="CS738" i="10"/>
  <c r="N240" i="34" s="1"/>
  <c r="BQ846" i="10"/>
  <c r="K846" i="10" s="1"/>
  <c r="BG846" i="10" s="1"/>
  <c r="Q762" i="10"/>
  <c r="D20" i="17"/>
  <c r="AS381" i="7"/>
  <c r="AV381" i="3" s="1"/>
  <c r="K425" i="7"/>
  <c r="N425" i="3" s="1"/>
  <c r="K601" i="10"/>
  <c r="BG601" i="10" s="1"/>
  <c r="K56" i="7"/>
  <c r="N56" i="3" s="1"/>
  <c r="AT135" i="7"/>
  <c r="AW135" i="3" s="1"/>
  <c r="CS766" i="10"/>
  <c r="N268" i="34" s="1"/>
  <c r="AM149" i="3"/>
  <c r="AT149" i="7"/>
  <c r="AW149" i="3" s="1"/>
  <c r="O230" i="3"/>
  <c r="M14" i="8"/>
  <c r="K269" i="7"/>
  <c r="N269" i="3" s="1"/>
  <c r="AS195" i="7"/>
  <c r="AV195" i="3" s="1"/>
  <c r="AL136" i="7"/>
  <c r="AM136" i="10" s="1"/>
  <c r="AN136" i="10" s="1"/>
  <c r="AP136" i="10" s="1"/>
  <c r="K272" i="7"/>
  <c r="N272" i="3" s="1"/>
  <c r="M272" i="3"/>
  <c r="K44" i="35"/>
  <c r="M44" i="35"/>
  <c r="D7" i="17"/>
  <c r="BB846" i="10"/>
  <c r="BC846" i="10" s="1"/>
  <c r="AT375" i="7"/>
  <c r="AW375" i="3" s="1"/>
  <c r="AT112" i="7"/>
  <c r="AW112" i="3" s="1"/>
  <c r="AN274" i="3"/>
  <c r="AT274" i="7"/>
  <c r="AW274" i="3" s="1"/>
  <c r="Q754" i="10"/>
  <c r="S752" i="10"/>
  <c r="AS385" i="7"/>
  <c r="AV385" i="3" s="1"/>
  <c r="BP576" i="10"/>
  <c r="J576" i="10" s="1"/>
  <c r="BF576" i="10" s="1"/>
  <c r="AL262" i="7"/>
  <c r="AO262" i="3" s="1"/>
  <c r="AS372" i="7"/>
  <c r="AV372" i="3" s="1"/>
  <c r="O20" i="9"/>
  <c r="BC20" i="9" s="1"/>
  <c r="CE14" i="9"/>
  <c r="AM416" i="3"/>
  <c r="AT416" i="7"/>
  <c r="AW416" i="3" s="1"/>
  <c r="AL408" i="7"/>
  <c r="AM72" i="3"/>
  <c r="AM192" i="3"/>
  <c r="AL192" i="7"/>
  <c r="AM192" i="10" s="1"/>
  <c r="AN192" i="10" s="1"/>
  <c r="AP192" i="10" s="1"/>
  <c r="AN162" i="3"/>
  <c r="AS162" i="7"/>
  <c r="AV162" i="3" s="1"/>
  <c r="AS352" i="7"/>
  <c r="AV352" i="3" s="1"/>
  <c r="AM352" i="3"/>
  <c r="AL352" i="7"/>
  <c r="AM352" i="7" s="1"/>
  <c r="AP352" i="3" s="1"/>
  <c r="L201" i="34"/>
  <c r="CS699" i="10"/>
  <c r="N201" i="34" s="1"/>
  <c r="AL275" i="7"/>
  <c r="AS275" i="7"/>
  <c r="AV275" i="3" s="1"/>
  <c r="L20" i="34"/>
  <c r="CS518" i="10"/>
  <c r="N20" i="34" s="1"/>
  <c r="BY904" i="10"/>
  <c r="CA904" i="10" s="1"/>
  <c r="AT36" i="7"/>
  <c r="AW36" i="3" s="1"/>
  <c r="AS160" i="7"/>
  <c r="AV160" i="3" s="1"/>
  <c r="L422" i="34"/>
  <c r="CS920" i="10"/>
  <c r="N422" i="34" s="1"/>
  <c r="L334" i="34"/>
  <c r="CS832" i="10"/>
  <c r="N334" i="34" s="1"/>
  <c r="L125" i="34"/>
  <c r="CS623" i="10"/>
  <c r="N125" i="34" s="1"/>
  <c r="L60" i="34"/>
  <c r="CS558" i="10"/>
  <c r="N60" i="34" s="1"/>
  <c r="L341" i="34"/>
  <c r="CS839" i="10"/>
  <c r="N341" i="34" s="1"/>
  <c r="BX872" i="10"/>
  <c r="AS13" i="7"/>
  <c r="AV13" i="3" s="1"/>
  <c r="AS356" i="7"/>
  <c r="AV356" i="3" s="1"/>
  <c r="K369" i="7"/>
  <c r="N369" i="3" s="1"/>
  <c r="AT387" i="7"/>
  <c r="AW387" i="3" s="1"/>
  <c r="AS153" i="7"/>
  <c r="AV153" i="3" s="1"/>
  <c r="D15" i="17"/>
  <c r="BP752" i="10"/>
  <c r="J752" i="10" s="1"/>
  <c r="AL253" i="7"/>
  <c r="AO253" i="3" s="1"/>
  <c r="AS222" i="7"/>
  <c r="AV222" i="3" s="1"/>
  <c r="AT85" i="7"/>
  <c r="AW85" i="3" s="1"/>
  <c r="E262" i="11"/>
  <c r="F262" i="11" s="1"/>
  <c r="AT5" i="7"/>
  <c r="AW5" i="3" s="1"/>
  <c r="AM312" i="3"/>
  <c r="AS380" i="7"/>
  <c r="AV380" i="3" s="1"/>
  <c r="N872" i="10"/>
  <c r="O665" i="10"/>
  <c r="E269" i="11"/>
  <c r="F269" i="11" s="1"/>
  <c r="I718" i="10"/>
  <c r="P718" i="10" s="1"/>
  <c r="K20" i="7"/>
  <c r="N20" i="3" s="1"/>
  <c r="K199" i="7"/>
  <c r="N199" i="3" s="1"/>
  <c r="AT262" i="7"/>
  <c r="AW262" i="3" s="1"/>
  <c r="AL223" i="7"/>
  <c r="AL298" i="7"/>
  <c r="AM298" i="10" s="1"/>
  <c r="AN298" i="10" s="1"/>
  <c r="AP298" i="10" s="1"/>
  <c r="AL13" i="7"/>
  <c r="K160" i="7"/>
  <c r="N160" i="3" s="1"/>
  <c r="CE17" i="9"/>
  <c r="S629" i="10"/>
  <c r="BY565" i="10"/>
  <c r="CA565" i="10" s="1"/>
  <c r="L398" i="34"/>
  <c r="CS896" i="10"/>
  <c r="N398" i="34" s="1"/>
  <c r="AT394" i="7"/>
  <c r="AW394" i="3" s="1"/>
  <c r="AL146" i="7"/>
  <c r="AM146" i="7" s="1"/>
  <c r="AP146" i="3" s="1"/>
  <c r="AS190" i="7"/>
  <c r="AV190" i="3" s="1"/>
  <c r="D22" i="17"/>
  <c r="BY505" i="10"/>
  <c r="CC505" i="10" s="1"/>
  <c r="AT218" i="7"/>
  <c r="AW218" i="3" s="1"/>
  <c r="Q780" i="10"/>
  <c r="N780" i="10"/>
  <c r="T780" i="10"/>
  <c r="L103" i="34"/>
  <c r="CS601" i="10"/>
  <c r="N103" i="34" s="1"/>
  <c r="L308" i="34"/>
  <c r="CS806" i="10"/>
  <c r="N308" i="34" s="1"/>
  <c r="L55" i="34"/>
  <c r="CS553" i="10"/>
  <c r="N55" i="34" s="1"/>
  <c r="D17" i="17"/>
  <c r="N20" i="8"/>
  <c r="BY622" i="10"/>
  <c r="CC622" i="10" s="1"/>
  <c r="BB665" i="10"/>
  <c r="BC665" i="10" s="1"/>
  <c r="CE36" i="9"/>
  <c r="CH36" i="9" s="1"/>
  <c r="L65" i="34"/>
  <c r="CS563" i="10"/>
  <c r="N65" i="34" s="1"/>
  <c r="L224" i="34"/>
  <c r="CS722" i="10"/>
  <c r="N224" i="34" s="1"/>
  <c r="K147" i="34"/>
  <c r="AM316" i="10"/>
  <c r="AN316" i="10" s="1"/>
  <c r="AP316" i="10" s="1"/>
  <c r="AO316" i="3"/>
  <c r="K375" i="34"/>
  <c r="CB873" i="10"/>
  <c r="CA873" i="10"/>
  <c r="BZ873" i="10"/>
  <c r="CC873" i="10"/>
  <c r="I27" i="35"/>
  <c r="CH30" i="9"/>
  <c r="CI30" i="9"/>
  <c r="CF30" i="9"/>
  <c r="CG30" i="9"/>
  <c r="CX30" i="9"/>
  <c r="O27" i="35" s="1"/>
  <c r="S863" i="10"/>
  <c r="BG863" i="10"/>
  <c r="CI17" i="9"/>
  <c r="CH17" i="9"/>
  <c r="CG17" i="9"/>
  <c r="K67" i="34"/>
  <c r="AM30" i="7"/>
  <c r="AP30" i="3" s="1"/>
  <c r="AM30" i="10"/>
  <c r="AN30" i="10" s="1"/>
  <c r="AP30" i="10" s="1"/>
  <c r="AO30" i="3"/>
  <c r="K7" i="34"/>
  <c r="CA505" i="10"/>
  <c r="S592" i="10"/>
  <c r="AM371" i="10"/>
  <c r="AN371" i="10" s="1"/>
  <c r="AP371" i="10" s="1"/>
  <c r="AM371" i="7"/>
  <c r="AP371" i="3" s="1"/>
  <c r="K105" i="34"/>
  <c r="CA603" i="10"/>
  <c r="BZ603" i="10"/>
  <c r="CB603" i="10"/>
  <c r="CC603" i="10"/>
  <c r="K364" i="34"/>
  <c r="BZ862" i="10"/>
  <c r="CC862" i="10"/>
  <c r="CA862" i="10"/>
  <c r="CB862" i="10"/>
  <c r="AM330" i="7"/>
  <c r="AP330" i="3" s="1"/>
  <c r="AO330" i="3"/>
  <c r="K372" i="34"/>
  <c r="BZ870" i="10"/>
  <c r="CC870" i="10"/>
  <c r="I13" i="35"/>
  <c r="CI16" i="9"/>
  <c r="CF16" i="9"/>
  <c r="CG16" i="9"/>
  <c r="CH16" i="9"/>
  <c r="J191" i="34"/>
  <c r="CI689" i="10"/>
  <c r="CH689" i="10"/>
  <c r="CG689" i="10"/>
  <c r="CF689" i="10"/>
  <c r="CK689" i="10"/>
  <c r="CJ689" i="10"/>
  <c r="CD70" i="9"/>
  <c r="O70" i="9"/>
  <c r="BC70" i="9" s="1"/>
  <c r="K75" i="7"/>
  <c r="N75" i="3" s="1"/>
  <c r="M75" i="3"/>
  <c r="AM376" i="3"/>
  <c r="AT376" i="7"/>
  <c r="AS376" i="7"/>
  <c r="AV376" i="3" s="1"/>
  <c r="AM168" i="3"/>
  <c r="AL168" i="7"/>
  <c r="AE178" i="7"/>
  <c r="AH178" i="3" s="1"/>
  <c r="O188" i="3"/>
  <c r="AD33" i="7"/>
  <c r="AF33" i="7"/>
  <c r="K151" i="34"/>
  <c r="CB649" i="10"/>
  <c r="CC649" i="10"/>
  <c r="BZ649" i="10"/>
  <c r="CA649" i="10"/>
  <c r="AD381" i="7"/>
  <c r="AF381" i="7"/>
  <c r="I766" i="19"/>
  <c r="BQ837" i="10"/>
  <c r="K837" i="10" s="1"/>
  <c r="BG837" i="10" s="1"/>
  <c r="R837" i="10"/>
  <c r="Q837" i="10"/>
  <c r="N837" i="10"/>
  <c r="BX837" i="10"/>
  <c r="I837" i="10"/>
  <c r="P837" i="10" s="1"/>
  <c r="BB837" i="10"/>
  <c r="BC837" i="10" s="1"/>
  <c r="G837" i="10"/>
  <c r="G339" i="34" s="1"/>
  <c r="T837" i="10"/>
  <c r="O837" i="10"/>
  <c r="I657" i="19"/>
  <c r="BX729" i="10"/>
  <c r="O729" i="10"/>
  <c r="N729" i="10"/>
  <c r="BQ729" i="10"/>
  <c r="K729" i="10" s="1"/>
  <c r="BG729" i="10" s="1"/>
  <c r="T729" i="10"/>
  <c r="Q729" i="10"/>
  <c r="BB729" i="10"/>
  <c r="I729" i="10"/>
  <c r="P729" i="10" s="1"/>
  <c r="R729" i="10"/>
  <c r="G729" i="10"/>
  <c r="G231" i="34" s="1"/>
  <c r="I545" i="19"/>
  <c r="BB607" i="10"/>
  <c r="O607" i="10"/>
  <c r="R607" i="10"/>
  <c r="Q607" i="10"/>
  <c r="BX607" i="10"/>
  <c r="I607" i="10"/>
  <c r="P607" i="10" s="1"/>
  <c r="T607" i="10"/>
  <c r="N607" i="10"/>
  <c r="BQ607" i="10"/>
  <c r="K607" i="10" s="1"/>
  <c r="BG607" i="10" s="1"/>
  <c r="G607" i="10"/>
  <c r="G109" i="34" s="1"/>
  <c r="AE347" i="7"/>
  <c r="AH347" i="3" s="1"/>
  <c r="I849" i="19"/>
  <c r="I919" i="10"/>
  <c r="P919" i="10" s="1"/>
  <c r="BQ919" i="10"/>
  <c r="K919" i="10" s="1"/>
  <c r="BG919" i="10" s="1"/>
  <c r="T919" i="10"/>
  <c r="R919" i="10"/>
  <c r="Q919" i="10"/>
  <c r="BB919" i="10"/>
  <c r="BC919" i="10" s="1"/>
  <c r="BX919" i="10"/>
  <c r="O919" i="10"/>
  <c r="N919" i="10"/>
  <c r="G919" i="10"/>
  <c r="G421" i="34" s="1"/>
  <c r="K174" i="7"/>
  <c r="N174" i="3" s="1"/>
  <c r="AF261" i="3"/>
  <c r="AF261" i="7"/>
  <c r="AI261" i="3" s="1"/>
  <c r="AD261" i="7"/>
  <c r="AG261" i="3" s="1"/>
  <c r="CJ593" i="10"/>
  <c r="CH593" i="10"/>
  <c r="AD358" i="7"/>
  <c r="AF358" i="7"/>
  <c r="AF152" i="7"/>
  <c r="AD152" i="7"/>
  <c r="AM390" i="3"/>
  <c r="AT390" i="7"/>
  <c r="AW390" i="3" s="1"/>
  <c r="AS390" i="7"/>
  <c r="AV390" i="3" s="1"/>
  <c r="AF272" i="7"/>
  <c r="AD272" i="7"/>
  <c r="AL266" i="7"/>
  <c r="I611" i="19"/>
  <c r="I679" i="10"/>
  <c r="BQ679" i="10"/>
  <c r="K679" i="10" s="1"/>
  <c r="BG679" i="10" s="1"/>
  <c r="Q679" i="10"/>
  <c r="P679" i="10"/>
  <c r="BB679" i="10"/>
  <c r="N679" i="10"/>
  <c r="G679" i="10"/>
  <c r="G181" i="34" s="1"/>
  <c r="O679" i="10"/>
  <c r="R679" i="10"/>
  <c r="BX679" i="10"/>
  <c r="T679" i="10"/>
  <c r="I689" i="19"/>
  <c r="R760" i="10"/>
  <c r="BX760" i="10"/>
  <c r="O760" i="10"/>
  <c r="BB760" i="10"/>
  <c r="I760" i="10"/>
  <c r="P760" i="10" s="1"/>
  <c r="G760" i="10"/>
  <c r="G262" i="34" s="1"/>
  <c r="BQ760" i="10"/>
  <c r="K760" i="10" s="1"/>
  <c r="BG760" i="10" s="1"/>
  <c r="N760" i="10"/>
  <c r="T760" i="10"/>
  <c r="Q760" i="10"/>
  <c r="AF15" i="7"/>
  <c r="AD15" i="7"/>
  <c r="K14" i="8"/>
  <c r="AF213" i="7"/>
  <c r="AD213" i="7"/>
  <c r="AF154" i="7"/>
  <c r="AD154" i="7"/>
  <c r="AD226" i="7"/>
  <c r="AF226" i="7"/>
  <c r="I570" i="19"/>
  <c r="Q634" i="10"/>
  <c r="BB634" i="10"/>
  <c r="O634" i="10"/>
  <c r="T634" i="10"/>
  <c r="N634" i="10"/>
  <c r="BQ634" i="10"/>
  <c r="K634" i="10" s="1"/>
  <c r="BG634" i="10" s="1"/>
  <c r="R634" i="10"/>
  <c r="I634" i="10"/>
  <c r="P634" i="10" s="1"/>
  <c r="BX634" i="10"/>
  <c r="G634" i="10"/>
  <c r="G136" i="34" s="1"/>
  <c r="K209" i="7"/>
  <c r="N209" i="3" s="1"/>
  <c r="I551" i="19"/>
  <c r="Q612" i="10"/>
  <c r="R612" i="10"/>
  <c r="G612" i="10"/>
  <c r="G114" i="34" s="1"/>
  <c r="T612" i="10"/>
  <c r="O612" i="10"/>
  <c r="BB612" i="10"/>
  <c r="N612" i="10"/>
  <c r="BX612" i="10"/>
  <c r="BQ612" i="10"/>
  <c r="K612" i="10" s="1"/>
  <c r="BG612" i="10" s="1"/>
  <c r="I612" i="10"/>
  <c r="P612" i="10" s="1"/>
  <c r="L238" i="34"/>
  <c r="CS736" i="10"/>
  <c r="N238" i="34" s="1"/>
  <c r="J384" i="34"/>
  <c r="CK882" i="10"/>
  <c r="CJ882" i="10"/>
  <c r="CG882" i="10"/>
  <c r="CI882" i="10"/>
  <c r="CH882" i="10"/>
  <c r="CF882" i="10"/>
  <c r="J362" i="34"/>
  <c r="CK860" i="10"/>
  <c r="CF860" i="10"/>
  <c r="CL860" i="10" s="1"/>
  <c r="CI860" i="10"/>
  <c r="L188" i="34"/>
  <c r="CS686" i="10"/>
  <c r="N188" i="34" s="1"/>
  <c r="CB528" i="10"/>
  <c r="J322" i="34"/>
  <c r="CI820" i="10"/>
  <c r="CH820" i="10"/>
  <c r="CG820" i="10"/>
  <c r="CJ820" i="10"/>
  <c r="CF820" i="10"/>
  <c r="CL820" i="10" s="1"/>
  <c r="CK820" i="10"/>
  <c r="K21" i="34"/>
  <c r="CC519" i="10"/>
  <c r="BZ519" i="10"/>
  <c r="K37" i="35"/>
  <c r="M37" i="35"/>
  <c r="M59" i="3"/>
  <c r="K59" i="7"/>
  <c r="N59" i="3" s="1"/>
  <c r="I727" i="19"/>
  <c r="I801" i="10"/>
  <c r="P801" i="10" s="1"/>
  <c r="BQ801" i="10"/>
  <c r="K801" i="10" s="1"/>
  <c r="BG801" i="10" s="1"/>
  <c r="BP801" i="10"/>
  <c r="J801" i="10" s="1"/>
  <c r="G801" i="10"/>
  <c r="G303" i="34" s="1"/>
  <c r="T801" i="10"/>
  <c r="O801" i="10"/>
  <c r="R801" i="10"/>
  <c r="N801" i="10"/>
  <c r="BB801" i="10"/>
  <c r="BC801" i="10" s="1"/>
  <c r="BX801" i="10"/>
  <c r="Q801" i="10"/>
  <c r="AF26" i="3"/>
  <c r="AF26" i="7"/>
  <c r="AI26" i="3" s="1"/>
  <c r="AD26" i="7"/>
  <c r="AG26" i="3" s="1"/>
  <c r="AM15" i="3"/>
  <c r="AS15" i="7"/>
  <c r="AV15" i="3" s="1"/>
  <c r="AT15" i="7"/>
  <c r="AW15" i="3" s="1"/>
  <c r="L95" i="34"/>
  <c r="CS593" i="10"/>
  <c r="N95" i="34" s="1"/>
  <c r="M201" i="3"/>
  <c r="K201" i="7"/>
  <c r="N201" i="3" s="1"/>
  <c r="AF189" i="7"/>
  <c r="AD189" i="7"/>
  <c r="AF142" i="7"/>
  <c r="AD142" i="7"/>
  <c r="J54" i="34"/>
  <c r="CH552" i="10"/>
  <c r="CF552" i="10"/>
  <c r="CL552" i="10" s="1"/>
  <c r="CI552" i="10"/>
  <c r="I710" i="19"/>
  <c r="BX785" i="10"/>
  <c r="O785" i="10"/>
  <c r="N785" i="10"/>
  <c r="R785" i="10"/>
  <c r="Q785" i="10"/>
  <c r="G785" i="10"/>
  <c r="G287" i="34" s="1"/>
  <c r="BB785" i="10"/>
  <c r="T785" i="10"/>
  <c r="BQ785" i="10"/>
  <c r="K785" i="10" s="1"/>
  <c r="BG785" i="10" s="1"/>
  <c r="I785" i="10"/>
  <c r="P785" i="10" s="1"/>
  <c r="I631" i="19"/>
  <c r="G699" i="10"/>
  <c r="G201" i="34" s="1"/>
  <c r="I699" i="10"/>
  <c r="P699" i="10" s="1"/>
  <c r="O699" i="10"/>
  <c r="R699" i="10"/>
  <c r="BQ699" i="10"/>
  <c r="K699" i="10" s="1"/>
  <c r="BG699" i="10" s="1"/>
  <c r="Q699" i="10"/>
  <c r="N699" i="10"/>
  <c r="BB699" i="10"/>
  <c r="BC699" i="10" s="1"/>
  <c r="T699" i="10"/>
  <c r="BX699" i="10"/>
  <c r="AD170" i="7"/>
  <c r="AF170" i="7"/>
  <c r="L390" i="34"/>
  <c r="CS888" i="10"/>
  <c r="N390" i="34" s="1"/>
  <c r="L227" i="34"/>
  <c r="CS725" i="10"/>
  <c r="N227" i="34" s="1"/>
  <c r="K208" i="34"/>
  <c r="CA706" i="10"/>
  <c r="CB706" i="10"/>
  <c r="CC706" i="10"/>
  <c r="BZ706" i="10"/>
  <c r="CR706" i="10"/>
  <c r="P208" i="34" s="1"/>
  <c r="L124" i="34"/>
  <c r="CS622" i="10"/>
  <c r="N124" i="34" s="1"/>
  <c r="L326" i="3"/>
  <c r="E18" i="8"/>
  <c r="I578" i="19"/>
  <c r="Q643" i="10"/>
  <c r="BQ643" i="10"/>
  <c r="K643" i="10" s="1"/>
  <c r="BG643" i="10" s="1"/>
  <c r="BX643" i="10"/>
  <c r="I643" i="10"/>
  <c r="P643" i="10" s="1"/>
  <c r="G643" i="10"/>
  <c r="G145" i="34" s="1"/>
  <c r="T643" i="10"/>
  <c r="N643" i="10"/>
  <c r="R643" i="10"/>
  <c r="O643" i="10"/>
  <c r="BB643" i="10"/>
  <c r="I736" i="19"/>
  <c r="Q809" i="10"/>
  <c r="BB809" i="10"/>
  <c r="BC809" i="10" s="1"/>
  <c r="BX809" i="10"/>
  <c r="O809" i="10"/>
  <c r="G809" i="10"/>
  <c r="G311" i="34" s="1"/>
  <c r="R809" i="10"/>
  <c r="N809" i="10"/>
  <c r="I809" i="10"/>
  <c r="P809" i="10" s="1"/>
  <c r="BQ809" i="10"/>
  <c r="K809" i="10" s="1"/>
  <c r="BG809" i="10" s="1"/>
  <c r="T809" i="10"/>
  <c r="AF74" i="7"/>
  <c r="AI74" i="3" s="1"/>
  <c r="AF74" i="3"/>
  <c r="AD74" i="7"/>
  <c r="AG74" i="3" s="1"/>
  <c r="I637" i="19"/>
  <c r="I705" i="10"/>
  <c r="P705" i="10" s="1"/>
  <c r="T705" i="10"/>
  <c r="Q705" i="10"/>
  <c r="BX705" i="10"/>
  <c r="BQ705" i="10"/>
  <c r="K705" i="10" s="1"/>
  <c r="BG705" i="10" s="1"/>
  <c r="N705" i="10"/>
  <c r="G705" i="10"/>
  <c r="G207" i="34" s="1"/>
  <c r="R705" i="10"/>
  <c r="O705" i="10"/>
  <c r="BB705" i="10"/>
  <c r="I684" i="19"/>
  <c r="R755" i="10"/>
  <c r="BX755" i="10"/>
  <c r="O755" i="10"/>
  <c r="N755" i="10"/>
  <c r="BB755" i="10"/>
  <c r="BC755" i="10" s="1"/>
  <c r="G755" i="10"/>
  <c r="G257" i="34" s="1"/>
  <c r="BQ755" i="10"/>
  <c r="K755" i="10" s="1"/>
  <c r="BG755" i="10" s="1"/>
  <c r="T755" i="10"/>
  <c r="Q755" i="10"/>
  <c r="I755" i="10"/>
  <c r="P755" i="10" s="1"/>
  <c r="I563" i="19"/>
  <c r="Q627" i="10"/>
  <c r="BB627" i="10"/>
  <c r="BC627" i="10" s="1"/>
  <c r="I627" i="10"/>
  <c r="T627" i="10"/>
  <c r="P627" i="10"/>
  <c r="N627" i="10"/>
  <c r="G627" i="10"/>
  <c r="G129" i="34" s="1"/>
  <c r="R627" i="10"/>
  <c r="O627" i="10"/>
  <c r="BX627" i="10"/>
  <c r="BQ627" i="10"/>
  <c r="K627" i="10" s="1"/>
  <c r="BG627" i="10" s="1"/>
  <c r="AL227" i="7"/>
  <c r="AL126" i="7"/>
  <c r="AL127" i="7"/>
  <c r="AL108" i="7"/>
  <c r="AF232" i="3"/>
  <c r="AF232" i="7"/>
  <c r="AI232" i="3" s="1"/>
  <c r="AD232" i="7"/>
  <c r="AG232" i="3" s="1"/>
  <c r="AF227" i="7"/>
  <c r="AD227" i="7"/>
  <c r="E13" i="8"/>
  <c r="L200" i="3"/>
  <c r="K354" i="34"/>
  <c r="CC852" i="10"/>
  <c r="CB852" i="10"/>
  <c r="BZ852" i="10"/>
  <c r="CA852" i="10"/>
  <c r="CI769" i="10"/>
  <c r="CG769" i="10"/>
  <c r="CF769" i="10"/>
  <c r="CL769" i="10" s="1"/>
  <c r="J413" i="34"/>
  <c r="BZ536" i="10"/>
  <c r="L45" i="34"/>
  <c r="CS543" i="10"/>
  <c r="N45" i="34" s="1"/>
  <c r="AM59" i="3"/>
  <c r="AT59" i="7"/>
  <c r="AW59" i="3" s="1"/>
  <c r="AL59" i="7"/>
  <c r="AS59" i="7"/>
  <c r="AV59" i="3" s="1"/>
  <c r="I464" i="19"/>
  <c r="BQ519" i="10"/>
  <c r="K519" i="10" s="1"/>
  <c r="BG519" i="10" s="1"/>
  <c r="BP519" i="10"/>
  <c r="BR519" i="10" s="1"/>
  <c r="G519" i="10"/>
  <c r="G21" i="34" s="1"/>
  <c r="O519" i="10"/>
  <c r="N519" i="10"/>
  <c r="T519" i="10"/>
  <c r="BX519" i="10"/>
  <c r="R519" i="10"/>
  <c r="Q519" i="10"/>
  <c r="I519" i="10"/>
  <c r="P519" i="10" s="1"/>
  <c r="BB519" i="10"/>
  <c r="BC519" i="10" s="1"/>
  <c r="I831" i="19"/>
  <c r="O902" i="10"/>
  <c r="N902" i="10"/>
  <c r="BB902" i="10"/>
  <c r="BX902" i="10"/>
  <c r="R902" i="10"/>
  <c r="Q902" i="10"/>
  <c r="I902" i="10"/>
  <c r="P902" i="10" s="1"/>
  <c r="G902" i="10"/>
  <c r="G404" i="34" s="1"/>
  <c r="T902" i="10"/>
  <c r="BQ902" i="10"/>
  <c r="K902" i="10" s="1"/>
  <c r="BG902" i="10" s="1"/>
  <c r="AN513" i="10"/>
  <c r="AS178" i="7"/>
  <c r="AV178" i="3" s="1"/>
  <c r="I446" i="19"/>
  <c r="T502" i="10"/>
  <c r="O502" i="10"/>
  <c r="BB502" i="10"/>
  <c r="Q502" i="10"/>
  <c r="BQ502" i="10"/>
  <c r="K502" i="10" s="1"/>
  <c r="BG502" i="10" s="1"/>
  <c r="N502" i="10"/>
  <c r="BX502" i="10"/>
  <c r="I502" i="10"/>
  <c r="P502" i="10" s="1"/>
  <c r="G502" i="10"/>
  <c r="G4" i="34" s="1"/>
  <c r="R502" i="10"/>
  <c r="L272" i="34"/>
  <c r="CS770" i="10"/>
  <c r="N272" i="34" s="1"/>
  <c r="L205" i="34"/>
  <c r="CS703" i="10"/>
  <c r="N205" i="34" s="1"/>
  <c r="J382" i="34"/>
  <c r="CJ880" i="10"/>
  <c r="CI880" i="10"/>
  <c r="CH880" i="10"/>
  <c r="CG880" i="10"/>
  <c r="CF880" i="10"/>
  <c r="CL880" i="10" s="1"/>
  <c r="CK880" i="10"/>
  <c r="I857" i="19"/>
  <c r="R773" i="10"/>
  <c r="Q773" i="10"/>
  <c r="O773" i="10"/>
  <c r="BX773" i="10"/>
  <c r="G773" i="10"/>
  <c r="G275" i="34" s="1"/>
  <c r="BQ773" i="10"/>
  <c r="K773" i="10" s="1"/>
  <c r="BG773" i="10" s="1"/>
  <c r="I773" i="10"/>
  <c r="P773" i="10" s="1"/>
  <c r="T773" i="10"/>
  <c r="N773" i="10"/>
  <c r="BB773" i="10"/>
  <c r="BC773" i="10" s="1"/>
  <c r="AF375" i="3"/>
  <c r="AF375" i="7"/>
  <c r="AI375" i="3" s="1"/>
  <c r="AD375" i="7"/>
  <c r="AG375" i="3" s="1"/>
  <c r="I851" i="19"/>
  <c r="Q720" i="10"/>
  <c r="BB720" i="10"/>
  <c r="BC720" i="10" s="1"/>
  <c r="BX720" i="10"/>
  <c r="G720" i="10"/>
  <c r="G222" i="34" s="1"/>
  <c r="I720" i="10"/>
  <c r="P720" i="10" s="1"/>
  <c r="T720" i="10"/>
  <c r="R720" i="10"/>
  <c r="O720" i="10"/>
  <c r="N720" i="10"/>
  <c r="BQ720" i="10"/>
  <c r="K720" i="10" s="1"/>
  <c r="BG720" i="10" s="1"/>
  <c r="AM174" i="3"/>
  <c r="AT174" i="7"/>
  <c r="AW174" i="3" s="1"/>
  <c r="I486" i="19"/>
  <c r="I543" i="10"/>
  <c r="P543" i="10" s="1"/>
  <c r="BQ543" i="10"/>
  <c r="K543" i="10" s="1"/>
  <c r="BG543" i="10" s="1"/>
  <c r="R543" i="10"/>
  <c r="T543" i="10"/>
  <c r="Q543" i="10"/>
  <c r="N543" i="10"/>
  <c r="BX543" i="10"/>
  <c r="O543" i="10"/>
  <c r="G543" i="10"/>
  <c r="G45" i="34" s="1"/>
  <c r="BB543" i="10"/>
  <c r="I473" i="19"/>
  <c r="Q528" i="10"/>
  <c r="O528" i="10"/>
  <c r="T528" i="10"/>
  <c r="N528" i="10"/>
  <c r="G528" i="10"/>
  <c r="G30" i="34" s="1"/>
  <c r="BB528" i="10"/>
  <c r="BC528" i="10" s="1"/>
  <c r="I528" i="10"/>
  <c r="P528" i="10" s="1"/>
  <c r="BQ528" i="10"/>
  <c r="K528" i="10" s="1"/>
  <c r="BG528" i="10" s="1"/>
  <c r="BX528" i="10"/>
  <c r="R528" i="10"/>
  <c r="K156" i="7"/>
  <c r="N156" i="3" s="1"/>
  <c r="M318" i="3"/>
  <c r="K318" i="7"/>
  <c r="N318" i="3" s="1"/>
  <c r="AS256" i="7"/>
  <c r="AV256" i="3" s="1"/>
  <c r="M366" i="3"/>
  <c r="K366" i="7"/>
  <c r="N366" i="3" s="1"/>
  <c r="AM130" i="10"/>
  <c r="AN130" i="10" s="1"/>
  <c r="AP130" i="10" s="1"/>
  <c r="AM130" i="7"/>
  <c r="AP130" i="3" s="1"/>
  <c r="AO130" i="3"/>
  <c r="K87" i="7"/>
  <c r="N87" i="3" s="1"/>
  <c r="K141" i="34"/>
  <c r="CA639" i="10"/>
  <c r="CC639" i="10"/>
  <c r="CB639" i="10"/>
  <c r="BZ639" i="10"/>
  <c r="L248" i="34"/>
  <c r="CS746" i="10"/>
  <c r="N248" i="34" s="1"/>
  <c r="J174" i="34"/>
  <c r="CK672" i="10"/>
  <c r="CI672" i="10"/>
  <c r="CH672" i="10"/>
  <c r="CG672" i="10"/>
  <c r="CJ672" i="10"/>
  <c r="CF672" i="10"/>
  <c r="CL672" i="10" s="1"/>
  <c r="I642" i="19"/>
  <c r="G710" i="10"/>
  <c r="G212" i="34" s="1"/>
  <c r="T710" i="10"/>
  <c r="O710" i="10"/>
  <c r="BB710" i="10"/>
  <c r="BX710" i="10"/>
  <c r="Q710" i="10"/>
  <c r="N710" i="10"/>
  <c r="I710" i="10"/>
  <c r="P710" i="10" s="1"/>
  <c r="BQ710" i="10"/>
  <c r="K710" i="10"/>
  <c r="BG710" i="10" s="1"/>
  <c r="R710" i="10"/>
  <c r="M309" i="3"/>
  <c r="K309" i="7"/>
  <c r="N309" i="3" s="1"/>
  <c r="AD158" i="7"/>
  <c r="AF158" i="7"/>
  <c r="I488" i="19"/>
  <c r="BB545" i="10"/>
  <c r="N545" i="10"/>
  <c r="I545" i="10"/>
  <c r="P545" i="10" s="1"/>
  <c r="BX545" i="10"/>
  <c r="R545" i="10"/>
  <c r="G545" i="10"/>
  <c r="G47" i="34" s="1"/>
  <c r="T545" i="10"/>
  <c r="O545" i="10"/>
  <c r="BQ545" i="10"/>
  <c r="K545" i="10" s="1"/>
  <c r="BG545" i="10" s="1"/>
  <c r="Q545" i="10"/>
  <c r="I695" i="19"/>
  <c r="G766" i="10"/>
  <c r="G268" i="34" s="1"/>
  <c r="R766" i="10"/>
  <c r="BB766" i="10"/>
  <c r="O766" i="10"/>
  <c r="BX766" i="10"/>
  <c r="N766" i="10"/>
  <c r="T766" i="10"/>
  <c r="Q766" i="10"/>
  <c r="BQ766" i="10"/>
  <c r="K766" i="10" s="1"/>
  <c r="BG766" i="10" s="1"/>
  <c r="I766" i="10"/>
  <c r="P766" i="10" s="1"/>
  <c r="AL281" i="7"/>
  <c r="AF332" i="7"/>
  <c r="AD332" i="7"/>
  <c r="AE52" i="7"/>
  <c r="AH52" i="3" s="1"/>
  <c r="O63" i="3"/>
  <c r="C70" i="14"/>
  <c r="I763" i="19"/>
  <c r="R616" i="10"/>
  <c r="O616" i="10"/>
  <c r="BX616" i="10"/>
  <c r="BQ616" i="10"/>
  <c r="Q616" i="10"/>
  <c r="N616" i="10"/>
  <c r="K616" i="10"/>
  <c r="BG616" i="10" s="1"/>
  <c r="I616" i="10"/>
  <c r="P616" i="10" s="1"/>
  <c r="G616" i="10"/>
  <c r="G118" i="34" s="1"/>
  <c r="BB616" i="10"/>
  <c r="BC616" i="10" s="1"/>
  <c r="T616" i="10"/>
  <c r="AM157" i="3"/>
  <c r="AT157" i="7"/>
  <c r="AW157" i="3" s="1"/>
  <c r="AF8" i="7"/>
  <c r="AD8" i="7"/>
  <c r="AF395" i="7"/>
  <c r="AD395" i="7"/>
  <c r="I571" i="19"/>
  <c r="N635" i="10"/>
  <c r="G635" i="10"/>
  <c r="G137" i="34" s="1"/>
  <c r="R635" i="10"/>
  <c r="Q635" i="10"/>
  <c r="I635" i="10"/>
  <c r="P635" i="10" s="1"/>
  <c r="BB635" i="10"/>
  <c r="BX635" i="10"/>
  <c r="T635" i="10"/>
  <c r="BQ635" i="10"/>
  <c r="K635" i="10" s="1"/>
  <c r="BG635" i="10" s="1"/>
  <c r="O635" i="10"/>
  <c r="K32" i="7"/>
  <c r="N32" i="3" s="1"/>
  <c r="AS318" i="7"/>
  <c r="AV318" i="3" s="1"/>
  <c r="AT256" i="7"/>
  <c r="AW256" i="3" s="1"/>
  <c r="AF178" i="7"/>
  <c r="AI178" i="3" s="1"/>
  <c r="AD178" i="7"/>
  <c r="AG178" i="3" s="1"/>
  <c r="AF178" i="3"/>
  <c r="AF21" i="7"/>
  <c r="AD21" i="7"/>
  <c r="K200" i="7"/>
  <c r="N200" i="3" s="1"/>
  <c r="I757" i="19"/>
  <c r="BX829" i="10"/>
  <c r="O829" i="10"/>
  <c r="N829" i="10"/>
  <c r="Q829" i="10"/>
  <c r="I829" i="10"/>
  <c r="P829" i="10" s="1"/>
  <c r="BQ829" i="10"/>
  <c r="K829" i="10" s="1"/>
  <c r="BG829" i="10" s="1"/>
  <c r="T829" i="10"/>
  <c r="BB829" i="10"/>
  <c r="BC829" i="10" s="1"/>
  <c r="R829" i="10"/>
  <c r="G829" i="10"/>
  <c r="G331" i="34" s="1"/>
  <c r="I596" i="19"/>
  <c r="I661" i="10"/>
  <c r="P661" i="10" s="1"/>
  <c r="BB661" i="10"/>
  <c r="O661" i="10"/>
  <c r="N661" i="10"/>
  <c r="BQ661" i="10"/>
  <c r="K661" i="10" s="1"/>
  <c r="BG661" i="10" s="1"/>
  <c r="BX661" i="10"/>
  <c r="G661" i="10"/>
  <c r="G163" i="34" s="1"/>
  <c r="R661" i="10"/>
  <c r="Q661" i="10"/>
  <c r="T661" i="10"/>
  <c r="AL326" i="7"/>
  <c r="K130" i="34"/>
  <c r="BZ628" i="10"/>
  <c r="CC628" i="10"/>
  <c r="CB628" i="10"/>
  <c r="CA628" i="10"/>
  <c r="L301" i="34"/>
  <c r="CS799" i="10"/>
  <c r="N301" i="34" s="1"/>
  <c r="BY635" i="10"/>
  <c r="I827" i="19"/>
  <c r="R639" i="10"/>
  <c r="BB639" i="10"/>
  <c r="BC639" i="10" s="1"/>
  <c r="BQ639" i="10"/>
  <c r="K639" i="10" s="1"/>
  <c r="BG639" i="10" s="1"/>
  <c r="BX639" i="10"/>
  <c r="I639" i="10"/>
  <c r="P639" i="10" s="1"/>
  <c r="G639" i="10"/>
  <c r="G141" i="34" s="1"/>
  <c r="BP639" i="10"/>
  <c r="N639" i="10"/>
  <c r="T639" i="10"/>
  <c r="Q639" i="10"/>
  <c r="O639" i="10"/>
  <c r="K28" i="34"/>
  <c r="CC526" i="10"/>
  <c r="CB526" i="10"/>
  <c r="CA526" i="10"/>
  <c r="BZ526" i="10"/>
  <c r="O63" i="9"/>
  <c r="BC63" i="9" s="1"/>
  <c r="CD63" i="9"/>
  <c r="AS287" i="7"/>
  <c r="AV287" i="3" s="1"/>
  <c r="AM152" i="3"/>
  <c r="AL152" i="7"/>
  <c r="AD133" i="7"/>
  <c r="AF133" i="7"/>
  <c r="AD311" i="7"/>
  <c r="AF311" i="7"/>
  <c r="AL183" i="7"/>
  <c r="K230" i="7"/>
  <c r="N230" i="3" s="1"/>
  <c r="K211" i="7"/>
  <c r="N211" i="3" s="1"/>
  <c r="AM89" i="10"/>
  <c r="AN89" i="10" s="1"/>
  <c r="AP89" i="10" s="1"/>
  <c r="I674" i="19"/>
  <c r="T746" i="10"/>
  <c r="Q746" i="10"/>
  <c r="N746" i="10"/>
  <c r="BB746" i="10"/>
  <c r="BC746" i="10" s="1"/>
  <c r="I746" i="10"/>
  <c r="P746" i="10" s="1"/>
  <c r="O746" i="10"/>
  <c r="G746" i="10"/>
  <c r="G248" i="34" s="1"/>
  <c r="BX746" i="10"/>
  <c r="R746" i="10"/>
  <c r="BQ746" i="10"/>
  <c r="K746" i="10" s="1"/>
  <c r="BG746" i="10" s="1"/>
  <c r="AT391" i="7"/>
  <c r="AW391" i="3" s="1"/>
  <c r="AD69" i="7"/>
  <c r="AF69" i="7"/>
  <c r="L242" i="34"/>
  <c r="CS740" i="10"/>
  <c r="N242" i="34" s="1"/>
  <c r="L25" i="34"/>
  <c r="CS523" i="10"/>
  <c r="N25" i="34" s="1"/>
  <c r="CC820" i="10"/>
  <c r="CB820" i="10"/>
  <c r="AM411" i="3"/>
  <c r="AS411" i="7"/>
  <c r="AV411" i="3" s="1"/>
  <c r="I782" i="19"/>
  <c r="O853" i="10"/>
  <c r="BB853" i="10"/>
  <c r="N853" i="10"/>
  <c r="BX853" i="10"/>
  <c r="G853" i="10"/>
  <c r="G355" i="34" s="1"/>
  <c r="BQ853" i="10"/>
  <c r="K853" i="10" s="1"/>
  <c r="BG853" i="10" s="1"/>
  <c r="Q853" i="10"/>
  <c r="T853" i="10"/>
  <c r="I853" i="10"/>
  <c r="P853" i="10" s="1"/>
  <c r="R853" i="10"/>
  <c r="O309" i="3"/>
  <c r="AE299" i="7"/>
  <c r="AH299" i="3" s="1"/>
  <c r="I459" i="19"/>
  <c r="N514" i="10"/>
  <c r="R514" i="10"/>
  <c r="O514" i="10"/>
  <c r="T514" i="10"/>
  <c r="I514" i="10"/>
  <c r="P514" i="10" s="1"/>
  <c r="BB514" i="10"/>
  <c r="BQ514" i="10"/>
  <c r="K514" i="10" s="1"/>
  <c r="BG514" i="10" s="1"/>
  <c r="G514" i="10"/>
  <c r="G16" i="34" s="1"/>
  <c r="Q514" i="10"/>
  <c r="BX514" i="10"/>
  <c r="AF66" i="7"/>
  <c r="AD66" i="7"/>
  <c r="C187" i="8"/>
  <c r="M225" i="3"/>
  <c r="K225" i="7"/>
  <c r="N225" i="3" s="1"/>
  <c r="I494" i="19"/>
  <c r="BQ551" i="10"/>
  <c r="K551" i="10" s="1"/>
  <c r="BG551" i="10" s="1"/>
  <c r="Q551" i="10"/>
  <c r="N551" i="10"/>
  <c r="O551" i="10"/>
  <c r="BB551" i="10"/>
  <c r="I551" i="10"/>
  <c r="P551" i="10" s="1"/>
  <c r="G551" i="10"/>
  <c r="G53" i="34" s="1"/>
  <c r="BX551" i="10"/>
  <c r="R551" i="10"/>
  <c r="T551" i="10"/>
  <c r="L72" i="34"/>
  <c r="CS570" i="10"/>
  <c r="N72" i="34" s="1"/>
  <c r="AL353" i="7"/>
  <c r="I742" i="19"/>
  <c r="G815" i="10"/>
  <c r="G317" i="34" s="1"/>
  <c r="BQ815" i="10"/>
  <c r="K815" i="10" s="1"/>
  <c r="BG815" i="10" s="1"/>
  <c r="I815" i="10"/>
  <c r="P815" i="10" s="1"/>
  <c r="BX815" i="10"/>
  <c r="T815" i="10"/>
  <c r="O815" i="10"/>
  <c r="BB815" i="10"/>
  <c r="BC815" i="10" s="1"/>
  <c r="R815" i="10"/>
  <c r="N815" i="10"/>
  <c r="Q815" i="10"/>
  <c r="BP815" i="10"/>
  <c r="J815" i="10" s="1"/>
  <c r="BF815" i="10" s="1"/>
  <c r="BH815" i="10" s="1"/>
  <c r="AS261" i="7"/>
  <c r="AV261" i="3" s="1"/>
  <c r="AT14" i="7"/>
  <c r="AW14" i="3" s="1"/>
  <c r="AD234" i="7"/>
  <c r="AF234" i="7"/>
  <c r="I608" i="19"/>
  <c r="Q676" i="10"/>
  <c r="BB676" i="10"/>
  <c r="BX676" i="10"/>
  <c r="G676" i="10"/>
  <c r="G178" i="34" s="1"/>
  <c r="BQ676" i="10"/>
  <c r="K676" i="10" s="1"/>
  <c r="BG676" i="10" s="1"/>
  <c r="T676" i="10"/>
  <c r="R676" i="10"/>
  <c r="O676" i="10"/>
  <c r="N676" i="10"/>
  <c r="I676" i="10"/>
  <c r="P676" i="10" s="1"/>
  <c r="I487" i="19"/>
  <c r="BQ541" i="10"/>
  <c r="K541" i="10" s="1"/>
  <c r="BG541" i="10" s="1"/>
  <c r="G541" i="10"/>
  <c r="G43" i="34" s="1"/>
  <c r="BB541" i="10"/>
  <c r="N541" i="10"/>
  <c r="I541" i="10"/>
  <c r="P541" i="10" s="1"/>
  <c r="R541" i="10"/>
  <c r="Q541" i="10"/>
  <c r="O541" i="10"/>
  <c r="BX541" i="10"/>
  <c r="T541" i="10"/>
  <c r="I582" i="19"/>
  <c r="Q647" i="10"/>
  <c r="I647" i="10"/>
  <c r="P647" i="10" s="1"/>
  <c r="G647" i="10"/>
  <c r="G149" i="34" s="1"/>
  <c r="N647" i="10"/>
  <c r="BX647" i="10"/>
  <c r="R647" i="10"/>
  <c r="BB647" i="10"/>
  <c r="T647" i="10"/>
  <c r="O647" i="10"/>
  <c r="BQ647" i="10"/>
  <c r="K647" i="10" s="1"/>
  <c r="BG647" i="10" s="1"/>
  <c r="I607" i="19"/>
  <c r="T675" i="10"/>
  <c r="I675" i="10"/>
  <c r="P675" i="10" s="1"/>
  <c r="G675" i="10"/>
  <c r="G177" i="34" s="1"/>
  <c r="R675" i="10"/>
  <c r="N675" i="10"/>
  <c r="O675" i="10"/>
  <c r="BX675" i="10"/>
  <c r="BQ675" i="10"/>
  <c r="K675" i="10" s="1"/>
  <c r="BG675" i="10" s="1"/>
  <c r="Q675" i="10"/>
  <c r="BB675" i="10"/>
  <c r="K414" i="7"/>
  <c r="N414" i="3" s="1"/>
  <c r="AE350" i="7"/>
  <c r="AH350" i="3" s="1"/>
  <c r="O368" i="3"/>
  <c r="AS47" i="7"/>
  <c r="AV47" i="3" s="1"/>
  <c r="AM47" i="3"/>
  <c r="I795" i="19"/>
  <c r="BQ866" i="10"/>
  <c r="K866" i="10" s="1"/>
  <c r="I866" i="10"/>
  <c r="P866" i="10" s="1"/>
  <c r="G866" i="10"/>
  <c r="G368" i="34" s="1"/>
  <c r="R866" i="10"/>
  <c r="Q866" i="10"/>
  <c r="N866" i="10"/>
  <c r="BG866" i="10"/>
  <c r="O866" i="10"/>
  <c r="BB866" i="10"/>
  <c r="BC866" i="10" s="1"/>
  <c r="BX866" i="10"/>
  <c r="T866" i="10"/>
  <c r="AT338" i="7"/>
  <c r="AW338" i="3" s="1"/>
  <c r="AL403" i="7"/>
  <c r="I504" i="19"/>
  <c r="R561" i="10"/>
  <c r="N561" i="10"/>
  <c r="T561" i="10"/>
  <c r="O561" i="10"/>
  <c r="G561" i="10"/>
  <c r="G63" i="34" s="1"/>
  <c r="Q561" i="10"/>
  <c r="BQ561" i="10"/>
  <c r="K561" i="10" s="1"/>
  <c r="BG561" i="10" s="1"/>
  <c r="I561" i="10"/>
  <c r="P561" i="10" s="1"/>
  <c r="BB561" i="10"/>
  <c r="BX561" i="10"/>
  <c r="I584" i="19"/>
  <c r="Q649" i="10"/>
  <c r="O649" i="10"/>
  <c r="N649" i="10"/>
  <c r="I649" i="10"/>
  <c r="P649" i="10" s="1"/>
  <c r="BQ649" i="10"/>
  <c r="K649" i="10" s="1"/>
  <c r="BG649" i="10" s="1"/>
  <c r="R649" i="10"/>
  <c r="G649" i="10"/>
  <c r="G151" i="34" s="1"/>
  <c r="BB649" i="10"/>
  <c r="BC649" i="10" s="1"/>
  <c r="T649" i="10"/>
  <c r="BX649" i="10"/>
  <c r="AS228" i="7"/>
  <c r="AV228" i="3" s="1"/>
  <c r="AL178" i="7"/>
  <c r="I844" i="19"/>
  <c r="Q914" i="10"/>
  <c r="BB914" i="10"/>
  <c r="BX914" i="10"/>
  <c r="O914" i="10"/>
  <c r="N914" i="10"/>
  <c r="I914" i="10"/>
  <c r="P914" i="10" s="1"/>
  <c r="R914" i="10"/>
  <c r="G914" i="10"/>
  <c r="G416" i="34" s="1"/>
  <c r="T914" i="10"/>
  <c r="BQ914" i="10"/>
  <c r="K914" i="10" s="1"/>
  <c r="BG914" i="10" s="1"/>
  <c r="AS85" i="7"/>
  <c r="AV85" i="3" s="1"/>
  <c r="AS29" i="7"/>
  <c r="AV29" i="3" s="1"/>
  <c r="AT155" i="7"/>
  <c r="AW155" i="3" s="1"/>
  <c r="AF352" i="7"/>
  <c r="AD352" i="7"/>
  <c r="AL68" i="7"/>
  <c r="AT120" i="7"/>
  <c r="AW120" i="3" s="1"/>
  <c r="I475" i="19"/>
  <c r="BQ530" i="10"/>
  <c r="K530" i="10" s="1"/>
  <c r="BG530" i="10" s="1"/>
  <c r="G530" i="10"/>
  <c r="G32" i="34" s="1"/>
  <c r="BB530" i="10"/>
  <c r="BC530" i="10" s="1"/>
  <c r="N530" i="10"/>
  <c r="BX530" i="10"/>
  <c r="Q530" i="10"/>
  <c r="I530" i="10"/>
  <c r="P530" i="10" s="1"/>
  <c r="T530" i="10"/>
  <c r="R530" i="10"/>
  <c r="O530" i="10"/>
  <c r="BZ916" i="10"/>
  <c r="CC916" i="10"/>
  <c r="K80" i="34"/>
  <c r="CC578" i="10"/>
  <c r="BZ578" i="10"/>
  <c r="CB578" i="10"/>
  <c r="CA578" i="10"/>
  <c r="M145" i="3"/>
  <c r="K145" i="7"/>
  <c r="N145" i="3" s="1"/>
  <c r="F11" i="8"/>
  <c r="CI665" i="10"/>
  <c r="CK665" i="10"/>
  <c r="CJ665" i="10"/>
  <c r="E187" i="8"/>
  <c r="AS344" i="7"/>
  <c r="AV344" i="3" s="1"/>
  <c r="I685" i="19"/>
  <c r="I756" i="10"/>
  <c r="P756" i="10" s="1"/>
  <c r="BQ756" i="10"/>
  <c r="K756" i="10" s="1"/>
  <c r="BG756" i="10" s="1"/>
  <c r="O756" i="10"/>
  <c r="N756" i="10"/>
  <c r="BB756" i="10"/>
  <c r="BC756" i="10" s="1"/>
  <c r="T756" i="10"/>
  <c r="G756" i="10"/>
  <c r="G258" i="34" s="1"/>
  <c r="R756" i="10"/>
  <c r="BX756" i="10"/>
  <c r="Q756" i="10"/>
  <c r="AF137" i="7"/>
  <c r="AD137" i="7"/>
  <c r="N6" i="8"/>
  <c r="J6" i="8"/>
  <c r="M6" i="8"/>
  <c r="L6" i="8"/>
  <c r="K6" i="8"/>
  <c r="AE24" i="7"/>
  <c r="AH24" i="3" s="1"/>
  <c r="O24" i="3"/>
  <c r="I824" i="19"/>
  <c r="I895" i="10"/>
  <c r="P895" i="10" s="1"/>
  <c r="BQ895" i="10"/>
  <c r="K895" i="10" s="1"/>
  <c r="BG895" i="10" s="1"/>
  <c r="G895" i="10"/>
  <c r="G397" i="34" s="1"/>
  <c r="O895" i="10"/>
  <c r="N895" i="10"/>
  <c r="BB895" i="10"/>
  <c r="BC895" i="10" s="1"/>
  <c r="T895" i="10"/>
  <c r="R895" i="10"/>
  <c r="BX895" i="10"/>
  <c r="Q895" i="10"/>
  <c r="AL177" i="7"/>
  <c r="AM177" i="3"/>
  <c r="AS127" i="7"/>
  <c r="AV127" i="3" s="1"/>
  <c r="AS34" i="7"/>
  <c r="AV34" i="3" s="1"/>
  <c r="AF229" i="7"/>
  <c r="AI229" i="3" s="1"/>
  <c r="AD229" i="7"/>
  <c r="AG229" i="3" s="1"/>
  <c r="AF229" i="3"/>
  <c r="AM50" i="10"/>
  <c r="AN50" i="10" s="1"/>
  <c r="AM50" i="7"/>
  <c r="AP50" i="3" s="1"/>
  <c r="AO50" i="3"/>
  <c r="AL98" i="7"/>
  <c r="M391" i="3"/>
  <c r="K391" i="7"/>
  <c r="N391" i="3" s="1"/>
  <c r="AT228" i="7"/>
  <c r="AW228" i="3" s="1"/>
  <c r="AD287" i="7"/>
  <c r="AF287" i="7"/>
  <c r="AT77" i="7"/>
  <c r="AW77" i="3" s="1"/>
  <c r="AL398" i="7"/>
  <c r="AT200" i="7"/>
  <c r="I520" i="19"/>
  <c r="BB580" i="10"/>
  <c r="BC580" i="10" s="1"/>
  <c r="N580" i="10"/>
  <c r="R580" i="10"/>
  <c r="I580" i="10"/>
  <c r="P580" i="10" s="1"/>
  <c r="G580" i="10"/>
  <c r="G82" i="34" s="1"/>
  <c r="T580" i="10"/>
  <c r="O580" i="10"/>
  <c r="Q580" i="10"/>
  <c r="BX580" i="10"/>
  <c r="BQ580" i="10"/>
  <c r="K580" i="10" s="1"/>
  <c r="BG580" i="10" s="1"/>
  <c r="AF238" i="7"/>
  <c r="AD238" i="7"/>
  <c r="L423" i="34"/>
  <c r="CS921" i="10"/>
  <c r="N423" i="34" s="1"/>
  <c r="L258" i="34"/>
  <c r="CS756" i="10"/>
  <c r="N258" i="34" s="1"/>
  <c r="L79" i="34"/>
  <c r="CS577" i="10"/>
  <c r="N79" i="34" s="1"/>
  <c r="I562" i="19"/>
  <c r="N626" i="10"/>
  <c r="I626" i="10"/>
  <c r="P626" i="10" s="1"/>
  <c r="BX626" i="10"/>
  <c r="BQ626" i="10"/>
  <c r="K626" i="10" s="1"/>
  <c r="BG626" i="10" s="1"/>
  <c r="G626" i="10"/>
  <c r="G128" i="34" s="1"/>
  <c r="BB626" i="10"/>
  <c r="BC626" i="10" s="1"/>
  <c r="T626" i="10"/>
  <c r="R626" i="10"/>
  <c r="Q626" i="10"/>
  <c r="O626" i="10"/>
  <c r="AD403" i="7"/>
  <c r="AF403" i="7"/>
  <c r="G187" i="8"/>
  <c r="AD274" i="7"/>
  <c r="AF274" i="7"/>
  <c r="AF240" i="7"/>
  <c r="AD240" i="7"/>
  <c r="K338" i="7"/>
  <c r="N338" i="3" s="1"/>
  <c r="AF6" i="7"/>
  <c r="AI6" i="3" s="1"/>
  <c r="AD6" i="7"/>
  <c r="AG6" i="3" s="1"/>
  <c r="AF6" i="3"/>
  <c r="O52" i="9"/>
  <c r="BC52" i="9" s="1"/>
  <c r="CD52" i="9"/>
  <c r="AF99" i="7"/>
  <c r="AI99" i="3" s="1"/>
  <c r="AD99" i="7"/>
  <c r="AG99" i="3" s="1"/>
  <c r="AF99" i="3"/>
  <c r="AL79" i="7"/>
  <c r="I819" i="19"/>
  <c r="BX890" i="10"/>
  <c r="O890" i="10"/>
  <c r="N890" i="10"/>
  <c r="BQ890" i="10"/>
  <c r="K890" i="10" s="1"/>
  <c r="BG890" i="10" s="1"/>
  <c r="G890" i="10"/>
  <c r="G392" i="34" s="1"/>
  <c r="R890" i="10"/>
  <c r="Q890" i="10"/>
  <c r="I890" i="10"/>
  <c r="P890" i="10" s="1"/>
  <c r="T890" i="10"/>
  <c r="BB890" i="10"/>
  <c r="BC890" i="10" s="1"/>
  <c r="AF63" i="7"/>
  <c r="AD63" i="7"/>
  <c r="E12" i="8"/>
  <c r="L176" i="3"/>
  <c r="AF413" i="7"/>
  <c r="AD413" i="7"/>
  <c r="AL151" i="7"/>
  <c r="L407" i="3"/>
  <c r="E21" i="8"/>
  <c r="AL228" i="7"/>
  <c r="O75" i="9"/>
  <c r="BC75" i="9" s="1"/>
  <c r="CD75" i="9"/>
  <c r="AD46" i="7"/>
  <c r="AF46" i="7"/>
  <c r="AT29" i="7"/>
  <c r="AW29" i="3" s="1"/>
  <c r="AS197" i="7"/>
  <c r="AV197" i="3" s="1"/>
  <c r="K159" i="7"/>
  <c r="N159" i="3" s="1"/>
  <c r="AF420" i="7"/>
  <c r="AD420" i="7"/>
  <c r="J254" i="34"/>
  <c r="CJ752" i="10"/>
  <c r="CI752" i="10"/>
  <c r="CF752" i="10"/>
  <c r="CK752" i="10"/>
  <c r="CH752" i="10"/>
  <c r="CG752" i="10"/>
  <c r="BY766" i="10"/>
  <c r="J179" i="34"/>
  <c r="CK677" i="10"/>
  <c r="CH677" i="10"/>
  <c r="CI677" i="10"/>
  <c r="CJ677" i="10"/>
  <c r="CF677" i="10"/>
  <c r="CL677" i="10" s="1"/>
  <c r="CG677" i="10"/>
  <c r="BP758" i="10"/>
  <c r="AL302" i="7"/>
  <c r="AS205" i="7"/>
  <c r="AV205" i="3" s="1"/>
  <c r="H187" i="8"/>
  <c r="J72" i="34"/>
  <c r="CF570" i="10"/>
  <c r="CL570" i="10" s="1"/>
  <c r="CG570" i="10"/>
  <c r="CH570" i="10"/>
  <c r="CI570" i="10"/>
  <c r="K43" i="7"/>
  <c r="N43" i="3" s="1"/>
  <c r="K187" i="7"/>
  <c r="N187" i="3" s="1"/>
  <c r="K60" i="7"/>
  <c r="N60" i="3" s="1"/>
  <c r="BP709" i="10"/>
  <c r="AM368" i="3"/>
  <c r="AT368" i="7"/>
  <c r="AW368" i="3" s="1"/>
  <c r="AL368" i="7"/>
  <c r="AT47" i="7"/>
  <c r="AW47" i="3" s="1"/>
  <c r="E260" i="11"/>
  <c r="F260" i="11" s="1"/>
  <c r="AF364" i="7"/>
  <c r="AD364" i="7"/>
  <c r="K71" i="7"/>
  <c r="N71" i="3" s="1"/>
  <c r="AM161" i="3"/>
  <c r="AS161" i="7"/>
  <c r="AV161" i="3" s="1"/>
  <c r="I511" i="19"/>
  <c r="O571" i="10"/>
  <c r="BB571" i="10"/>
  <c r="BC571" i="10" s="1"/>
  <c r="N571" i="10"/>
  <c r="G571" i="10"/>
  <c r="G73" i="34" s="1"/>
  <c r="BQ571" i="10"/>
  <c r="K571" i="10" s="1"/>
  <c r="BG571" i="10" s="1"/>
  <c r="Q571" i="10"/>
  <c r="I571" i="10"/>
  <c r="P571" i="10" s="1"/>
  <c r="BX571" i="10"/>
  <c r="T571" i="10"/>
  <c r="R571" i="10"/>
  <c r="AF190" i="7"/>
  <c r="AD190" i="7"/>
  <c r="O33" i="9"/>
  <c r="BC33" i="9" s="1"/>
  <c r="CD33" i="9"/>
  <c r="I675" i="19"/>
  <c r="G747" i="10"/>
  <c r="G249" i="34" s="1"/>
  <c r="R747" i="10"/>
  <c r="Q747" i="10"/>
  <c r="O747" i="10"/>
  <c r="BX747" i="10"/>
  <c r="BQ747" i="10"/>
  <c r="K747" i="10" s="1"/>
  <c r="BG747" i="10" s="1"/>
  <c r="BB747" i="10"/>
  <c r="T747" i="10"/>
  <c r="N747" i="10"/>
  <c r="I747" i="10"/>
  <c r="P747" i="10" s="1"/>
  <c r="K243" i="7"/>
  <c r="N243" i="3" s="1"/>
  <c r="AF391" i="7"/>
  <c r="AD391" i="7"/>
  <c r="AL366" i="7"/>
  <c r="I605" i="19"/>
  <c r="R673" i="10"/>
  <c r="G673" i="10"/>
  <c r="G175" i="34" s="1"/>
  <c r="T673" i="10"/>
  <c r="Q673" i="10"/>
  <c r="O673" i="10"/>
  <c r="BX673" i="10"/>
  <c r="I673" i="10"/>
  <c r="P673" i="10" s="1"/>
  <c r="BQ673" i="10"/>
  <c r="BB673" i="10"/>
  <c r="BC673" i="10" s="1"/>
  <c r="K673" i="10"/>
  <c r="BG673" i="10" s="1"/>
  <c r="N673" i="10"/>
  <c r="I561" i="19"/>
  <c r="BP625" i="10"/>
  <c r="BR625" i="10" s="1"/>
  <c r="T625" i="10"/>
  <c r="R625" i="10"/>
  <c r="Q625" i="10"/>
  <c r="O625" i="10"/>
  <c r="N625" i="10"/>
  <c r="I625" i="10"/>
  <c r="P625" i="10" s="1"/>
  <c r="BQ625" i="10"/>
  <c r="K625" i="10" s="1"/>
  <c r="BG625" i="10" s="1"/>
  <c r="BB625" i="10"/>
  <c r="BC625" i="10" s="1"/>
  <c r="BX625" i="10"/>
  <c r="G625" i="10"/>
  <c r="G127" i="34" s="1"/>
  <c r="M49" i="3"/>
  <c r="K49" i="7"/>
  <c r="N49" i="3" s="1"/>
  <c r="O142" i="3"/>
  <c r="AE127" i="7"/>
  <c r="AH127" i="3" s="1"/>
  <c r="AS54" i="7"/>
  <c r="AV54" i="3" s="1"/>
  <c r="AS200" i="7"/>
  <c r="AL402" i="7"/>
  <c r="AL29" i="7"/>
  <c r="AL8" i="7"/>
  <c r="AE101" i="7"/>
  <c r="AH101" i="3" s="1"/>
  <c r="AT159" i="7"/>
  <c r="AW159" i="3" s="1"/>
  <c r="AL133" i="7"/>
  <c r="AL121" i="7"/>
  <c r="AL261" i="7"/>
  <c r="AS249" i="7"/>
  <c r="AV249" i="3" s="1"/>
  <c r="K233" i="7"/>
  <c r="N233" i="3" s="1"/>
  <c r="L198" i="34"/>
  <c r="CS696" i="10"/>
  <c r="N198" i="34" s="1"/>
  <c r="BY699" i="10"/>
  <c r="K61" i="35"/>
  <c r="M61" i="35"/>
  <c r="L111" i="34"/>
  <c r="CS609" i="10"/>
  <c r="N111" i="34" s="1"/>
  <c r="I59" i="35"/>
  <c r="CF62" i="9"/>
  <c r="CG62" i="9"/>
  <c r="CI62" i="9"/>
  <c r="CH62" i="9"/>
  <c r="T578" i="10"/>
  <c r="Q578" i="10"/>
  <c r="O578" i="10"/>
  <c r="I518" i="19"/>
  <c r="G578" i="10"/>
  <c r="G80" i="34" s="1"/>
  <c r="BB578" i="10"/>
  <c r="BC578" i="10" s="1"/>
  <c r="I578" i="10"/>
  <c r="P578" i="10" s="1"/>
  <c r="R578" i="10"/>
  <c r="BX578" i="10"/>
  <c r="N578" i="10"/>
  <c r="BQ578" i="10"/>
  <c r="K578" i="10" s="1"/>
  <c r="BG578" i="10" s="1"/>
  <c r="AF71" i="7"/>
  <c r="AD71" i="7"/>
  <c r="AL401" i="7"/>
  <c r="AD258" i="7"/>
  <c r="AG258" i="3" s="1"/>
  <c r="AF258" i="3"/>
  <c r="AF258" i="7"/>
  <c r="AI258" i="3" s="1"/>
  <c r="I821" i="19"/>
  <c r="Q892" i="10"/>
  <c r="BB892" i="10"/>
  <c r="BX892" i="10"/>
  <c r="O892" i="10"/>
  <c r="I892" i="10"/>
  <c r="P892" i="10" s="1"/>
  <c r="G892" i="10"/>
  <c r="G394" i="34" s="1"/>
  <c r="BQ892" i="10"/>
  <c r="K892" i="10" s="1"/>
  <c r="BG892" i="10" s="1"/>
  <c r="R892" i="10"/>
  <c r="N892" i="10"/>
  <c r="T892" i="10"/>
  <c r="K104" i="7"/>
  <c r="N104" i="3" s="1"/>
  <c r="L138" i="34"/>
  <c r="CS636" i="10"/>
  <c r="N138" i="34" s="1"/>
  <c r="L68" i="34"/>
  <c r="CS566" i="10"/>
  <c r="N68" i="34" s="1"/>
  <c r="I856" i="19"/>
  <c r="R772" i="10"/>
  <c r="BB772" i="10"/>
  <c r="O772" i="10"/>
  <c r="I772" i="10"/>
  <c r="P772" i="10" s="1"/>
  <c r="G772" i="10"/>
  <c r="G274" i="34" s="1"/>
  <c r="N772" i="10"/>
  <c r="BX772" i="10"/>
  <c r="T772" i="10"/>
  <c r="Q772" i="10"/>
  <c r="BQ772" i="10"/>
  <c r="K772" i="10" s="1"/>
  <c r="BG772" i="10" s="1"/>
  <c r="I761" i="19"/>
  <c r="R833" i="10"/>
  <c r="Q833" i="10"/>
  <c r="BX833" i="10"/>
  <c r="O833" i="10"/>
  <c r="N833" i="10"/>
  <c r="BB833" i="10"/>
  <c r="BC833" i="10" s="1"/>
  <c r="T833" i="10"/>
  <c r="BQ833" i="10"/>
  <c r="K833" i="10" s="1"/>
  <c r="BG833" i="10" s="1"/>
  <c r="I833" i="10"/>
  <c r="P833" i="10" s="1"/>
  <c r="G833" i="10"/>
  <c r="G335" i="34" s="1"/>
  <c r="D19" i="8"/>
  <c r="I740" i="19"/>
  <c r="T813" i="10"/>
  <c r="R813" i="10"/>
  <c r="Q813" i="10"/>
  <c r="N813" i="10"/>
  <c r="O813" i="10"/>
  <c r="BQ813" i="10"/>
  <c r="K813" i="10" s="1"/>
  <c r="BG813" i="10" s="1"/>
  <c r="I813" i="10"/>
  <c r="P813" i="10" s="1"/>
  <c r="G813" i="10"/>
  <c r="G315" i="34" s="1"/>
  <c r="BX813" i="10"/>
  <c r="BB813" i="10"/>
  <c r="K286" i="7"/>
  <c r="N286" i="3" s="1"/>
  <c r="AT151" i="7"/>
  <c r="AW151" i="3" s="1"/>
  <c r="AT251" i="7"/>
  <c r="AW251" i="3" s="1"/>
  <c r="AO112" i="3"/>
  <c r="AL218" i="7"/>
  <c r="AF281" i="7"/>
  <c r="AI281" i="3" s="1"/>
  <c r="AF281" i="3"/>
  <c r="AD281" i="7"/>
  <c r="AG281" i="3" s="1"/>
  <c r="AS274" i="7"/>
  <c r="AV274" i="3" s="1"/>
  <c r="AF288" i="7"/>
  <c r="AD288" i="7"/>
  <c r="AL160" i="7"/>
  <c r="I58" i="14"/>
  <c r="J367" i="34"/>
  <c r="CF865" i="10"/>
  <c r="CL865" i="10" s="1"/>
  <c r="CI865" i="10"/>
  <c r="CK865" i="10"/>
  <c r="CJ865" i="10"/>
  <c r="CH865" i="10"/>
  <c r="CG865" i="10"/>
  <c r="L187" i="34"/>
  <c r="CS685" i="10"/>
  <c r="N187" i="34" s="1"/>
  <c r="L343" i="34"/>
  <c r="CS841" i="10"/>
  <c r="N343" i="34" s="1"/>
  <c r="L314" i="34"/>
  <c r="CS812" i="10"/>
  <c r="N314" i="34" s="1"/>
  <c r="J56" i="34"/>
  <c r="CJ554" i="10"/>
  <c r="CK554" i="10"/>
  <c r="CI554" i="10"/>
  <c r="CH554" i="10"/>
  <c r="CG554" i="10"/>
  <c r="CF554" i="10"/>
  <c r="CL554" i="10" s="1"/>
  <c r="AF383" i="7"/>
  <c r="AD383" i="7"/>
  <c r="K68" i="34"/>
  <c r="CB566" i="10"/>
  <c r="CC566" i="10"/>
  <c r="CA566" i="10"/>
  <c r="BZ566" i="10"/>
  <c r="K126" i="7"/>
  <c r="N126" i="3" s="1"/>
  <c r="AD89" i="7"/>
  <c r="AF89" i="7"/>
  <c r="AM118" i="3"/>
  <c r="AL118" i="7"/>
  <c r="I634" i="19"/>
  <c r="T702" i="10"/>
  <c r="Q702" i="10"/>
  <c r="N702" i="10"/>
  <c r="BB702" i="10"/>
  <c r="G702" i="10"/>
  <c r="G204" i="34" s="1"/>
  <c r="BX702" i="10"/>
  <c r="BQ702" i="10"/>
  <c r="K702" i="10" s="1"/>
  <c r="BG702" i="10" s="1"/>
  <c r="O702" i="10"/>
  <c r="I702" i="10"/>
  <c r="P702" i="10" s="1"/>
  <c r="R702" i="10"/>
  <c r="AD318" i="7"/>
  <c r="AF318" i="7"/>
  <c r="I694" i="19"/>
  <c r="Q765" i="10"/>
  <c r="BX765" i="10"/>
  <c r="I765" i="10"/>
  <c r="P765" i="10" s="1"/>
  <c r="BB765" i="10"/>
  <c r="BC765" i="10" s="1"/>
  <c r="G765" i="10"/>
  <c r="G267" i="34" s="1"/>
  <c r="T765" i="10"/>
  <c r="R765" i="10"/>
  <c r="N765" i="10"/>
  <c r="O765" i="10"/>
  <c r="BQ765" i="10"/>
  <c r="K765" i="10" s="1"/>
  <c r="BG765" i="10" s="1"/>
  <c r="AF51" i="3"/>
  <c r="AF51" i="7"/>
  <c r="AI51" i="3" s="1"/>
  <c r="AD51" i="7"/>
  <c r="AG51" i="3" s="1"/>
  <c r="AF389" i="7"/>
  <c r="AD389" i="7"/>
  <c r="N5" i="8"/>
  <c r="O5" i="3"/>
  <c r="AE5" i="7"/>
  <c r="AH5" i="3" s="1"/>
  <c r="M5" i="8"/>
  <c r="K5" i="8"/>
  <c r="J5" i="8"/>
  <c r="L5" i="8"/>
  <c r="I591" i="19"/>
  <c r="BX656" i="10"/>
  <c r="O656" i="10"/>
  <c r="BB656" i="10"/>
  <c r="R656" i="10"/>
  <c r="G656" i="10"/>
  <c r="G158" i="34" s="1"/>
  <c r="T656" i="10"/>
  <c r="N656" i="10"/>
  <c r="I656" i="10"/>
  <c r="P656" i="10" s="1"/>
  <c r="BQ656" i="10"/>
  <c r="K656" i="10" s="1"/>
  <c r="BG656" i="10" s="1"/>
  <c r="Q656" i="10"/>
  <c r="AF323" i="7"/>
  <c r="AD323" i="7"/>
  <c r="AS212" i="7"/>
  <c r="AV212" i="3" s="1"/>
  <c r="E9" i="8"/>
  <c r="L98" i="3"/>
  <c r="I759" i="19"/>
  <c r="Q831" i="10"/>
  <c r="BB831" i="10"/>
  <c r="BC831" i="10" s="1"/>
  <c r="BX831" i="10"/>
  <c r="O831" i="10"/>
  <c r="R831" i="10"/>
  <c r="G831" i="10"/>
  <c r="G333" i="34" s="1"/>
  <c r="BQ831" i="10"/>
  <c r="BP831" i="10"/>
  <c r="J831" i="10" s="1"/>
  <c r="BF831" i="10" s="1"/>
  <c r="K831" i="10"/>
  <c r="BG831" i="10" s="1"/>
  <c r="I831" i="10"/>
  <c r="P831" i="10" s="1"/>
  <c r="T831" i="10"/>
  <c r="N831" i="10"/>
  <c r="AS8" i="7"/>
  <c r="AV8" i="3" s="1"/>
  <c r="AF219" i="7"/>
  <c r="AD219" i="7"/>
  <c r="AF196" i="7"/>
  <c r="AD196" i="7"/>
  <c r="AD183" i="7"/>
  <c r="AF183" i="7"/>
  <c r="K279" i="7"/>
  <c r="N279" i="3" s="1"/>
  <c r="AE177" i="7"/>
  <c r="AH177" i="3" s="1"/>
  <c r="O182" i="3"/>
  <c r="M86" i="3"/>
  <c r="K86" i="7"/>
  <c r="N86" i="3" s="1"/>
  <c r="AF344" i="7"/>
  <c r="AD344" i="7"/>
  <c r="M407" i="3"/>
  <c r="F21" i="8"/>
  <c r="K407" i="7"/>
  <c r="N407" i="3" s="1"/>
  <c r="AF185" i="7"/>
  <c r="AD185" i="7"/>
  <c r="AE147" i="7"/>
  <c r="AH147" i="3" s="1"/>
  <c r="I837" i="19"/>
  <c r="T907" i="10"/>
  <c r="R907" i="10"/>
  <c r="BB907" i="10"/>
  <c r="BC907" i="10" s="1"/>
  <c r="I907" i="10"/>
  <c r="P907" i="10" s="1"/>
  <c r="O907" i="10"/>
  <c r="N907" i="10"/>
  <c r="Q907" i="10"/>
  <c r="G907" i="10"/>
  <c r="G409" i="34" s="1"/>
  <c r="BX907" i="10"/>
  <c r="BQ907" i="10"/>
  <c r="K907" i="10" s="1"/>
  <c r="BG907" i="10" s="1"/>
  <c r="AF18" i="7"/>
  <c r="AD18" i="7"/>
  <c r="M45" i="35"/>
  <c r="K45" i="35"/>
  <c r="AF398" i="7"/>
  <c r="AD398" i="7"/>
  <c r="AT54" i="7"/>
  <c r="AW54" i="3" s="1"/>
  <c r="AL324" i="7"/>
  <c r="AF402" i="7"/>
  <c r="AD402" i="7"/>
  <c r="AF27" i="3"/>
  <c r="AF27" i="7"/>
  <c r="AI27" i="3" s="1"/>
  <c r="AD27" i="7"/>
  <c r="AG27" i="3" s="1"/>
  <c r="AT322" i="7"/>
  <c r="AW322" i="3" s="1"/>
  <c r="I469" i="19"/>
  <c r="BB524" i="10"/>
  <c r="G524" i="10"/>
  <c r="G26" i="34" s="1"/>
  <c r="BQ524" i="10"/>
  <c r="BX524" i="10"/>
  <c r="R524" i="10"/>
  <c r="K524" i="10"/>
  <c r="BG524" i="10" s="1"/>
  <c r="I524" i="10"/>
  <c r="P524" i="10" s="1"/>
  <c r="O524" i="10"/>
  <c r="T524" i="10"/>
  <c r="Q524" i="10"/>
  <c r="N524" i="10"/>
  <c r="I447" i="19"/>
  <c r="BX503" i="10"/>
  <c r="R503" i="10"/>
  <c r="I503" i="10"/>
  <c r="P503" i="10" s="1"/>
  <c r="BB503" i="10"/>
  <c r="Q503" i="10"/>
  <c r="BQ503" i="10"/>
  <c r="K503" i="10" s="1"/>
  <c r="BG503" i="10" s="1"/>
  <c r="O503" i="10"/>
  <c r="N503" i="10"/>
  <c r="G503" i="10"/>
  <c r="G5" i="34" s="1"/>
  <c r="T503" i="10"/>
  <c r="I835" i="19"/>
  <c r="R905" i="10"/>
  <c r="Q905" i="10"/>
  <c r="BB905" i="10"/>
  <c r="BC905" i="10" s="1"/>
  <c r="N905" i="10"/>
  <c r="BQ905" i="10"/>
  <c r="K905" i="10" s="1"/>
  <c r="BG905" i="10" s="1"/>
  <c r="G905" i="10"/>
  <c r="G407" i="34" s="1"/>
  <c r="O905" i="10"/>
  <c r="BX905" i="10"/>
  <c r="I905" i="10"/>
  <c r="P905" i="10" s="1"/>
  <c r="T905" i="10"/>
  <c r="I624" i="19"/>
  <c r="G692" i="10"/>
  <c r="G194" i="34" s="1"/>
  <c r="T692" i="10"/>
  <c r="BQ692" i="10"/>
  <c r="K692" i="10" s="1"/>
  <c r="BG692" i="10" s="1"/>
  <c r="R692" i="10"/>
  <c r="O692" i="10"/>
  <c r="BB692" i="10"/>
  <c r="BX692" i="10"/>
  <c r="Q692" i="10"/>
  <c r="N692" i="10"/>
  <c r="I692" i="10"/>
  <c r="P692" i="10" s="1"/>
  <c r="K254" i="7"/>
  <c r="N254" i="3" s="1"/>
  <c r="AF36" i="7"/>
  <c r="AD36" i="7"/>
  <c r="AT335" i="7"/>
  <c r="AW335" i="3" s="1"/>
  <c r="AL104" i="7"/>
  <c r="AF220" i="7"/>
  <c r="AD220" i="7"/>
  <c r="AL80" i="7"/>
  <c r="AF120" i="7"/>
  <c r="AD120" i="7"/>
  <c r="L355" i="34"/>
  <c r="CS853" i="10"/>
  <c r="N355" i="34" s="1"/>
  <c r="BZ878" i="10"/>
  <c r="L176" i="34"/>
  <c r="CS674" i="10"/>
  <c r="N176" i="34" s="1"/>
  <c r="CE700" i="10"/>
  <c r="CE913" i="10"/>
  <c r="BY727" i="10"/>
  <c r="L96" i="34"/>
  <c r="CS594" i="10"/>
  <c r="N96" i="34" s="1"/>
  <c r="CE793" i="10"/>
  <c r="I54" i="14"/>
  <c r="BY563" i="10"/>
  <c r="CE621" i="10"/>
  <c r="L406" i="34"/>
  <c r="CS904" i="10"/>
  <c r="N406" i="34" s="1"/>
  <c r="L222" i="34"/>
  <c r="CS720" i="10"/>
  <c r="N222" i="34" s="1"/>
  <c r="M17" i="35"/>
  <c r="K17" i="35"/>
  <c r="L214" i="34"/>
  <c r="CS712" i="10"/>
  <c r="N214" i="34" s="1"/>
  <c r="CE753" i="10"/>
  <c r="CE645" i="10"/>
  <c r="BY735" i="10"/>
  <c r="CE876" i="10"/>
  <c r="BY749" i="10"/>
  <c r="L153" i="34"/>
  <c r="CS651" i="10"/>
  <c r="N153" i="34" s="1"/>
  <c r="BY667" i="10"/>
  <c r="BY592" i="10"/>
  <c r="BY767" i="10"/>
  <c r="CD76" i="9"/>
  <c r="O76" i="9"/>
  <c r="BC76" i="9" s="1"/>
  <c r="BY713" i="10"/>
  <c r="CE585" i="10"/>
  <c r="L168" i="34"/>
  <c r="CS666" i="10"/>
  <c r="N168" i="34" s="1"/>
  <c r="BY509" i="10"/>
  <c r="AS418" i="7"/>
  <c r="AV418" i="3" s="1"/>
  <c r="AY418" i="3"/>
  <c r="L2" i="34"/>
  <c r="CS500" i="10"/>
  <c r="N2" i="34" s="1"/>
  <c r="BY615" i="10"/>
  <c r="AS302" i="7"/>
  <c r="AV302" i="3" s="1"/>
  <c r="I480" i="19"/>
  <c r="N535" i="10"/>
  <c r="T535" i="10"/>
  <c r="R535" i="10"/>
  <c r="BB535" i="10"/>
  <c r="O535" i="10"/>
  <c r="I535" i="10"/>
  <c r="P535" i="10" s="1"/>
  <c r="BQ535" i="10"/>
  <c r="K535" i="10" s="1"/>
  <c r="BG535" i="10" s="1"/>
  <c r="G535" i="10"/>
  <c r="G37" i="34" s="1"/>
  <c r="BX535" i="10"/>
  <c r="Q535" i="10"/>
  <c r="I712" i="19"/>
  <c r="Q787" i="10"/>
  <c r="BB787" i="10"/>
  <c r="BC787" i="10" s="1"/>
  <c r="BX787" i="10"/>
  <c r="O787" i="10"/>
  <c r="BQ787" i="10"/>
  <c r="K787" i="10" s="1"/>
  <c r="BG787" i="10" s="1"/>
  <c r="I787" i="10"/>
  <c r="P787" i="10" s="1"/>
  <c r="G787" i="10"/>
  <c r="G289" i="34" s="1"/>
  <c r="T787" i="10"/>
  <c r="BP787" i="10"/>
  <c r="R787" i="10"/>
  <c r="N787" i="10"/>
  <c r="C259" i="11"/>
  <c r="S187" i="8"/>
  <c r="K226" i="7"/>
  <c r="N226" i="3" s="1"/>
  <c r="M226" i="3"/>
  <c r="I452" i="19"/>
  <c r="G508" i="10"/>
  <c r="G10" i="34" s="1"/>
  <c r="BX508" i="10"/>
  <c r="Q508" i="10"/>
  <c r="I508" i="10"/>
  <c r="P508" i="10" s="1"/>
  <c r="BQ508" i="10"/>
  <c r="K508" i="10" s="1"/>
  <c r="BG508" i="10" s="1"/>
  <c r="R508" i="10"/>
  <c r="O508" i="10"/>
  <c r="N508" i="10"/>
  <c r="T508" i="10"/>
  <c r="BB508" i="10"/>
  <c r="BC508" i="10" s="1"/>
  <c r="AS295" i="7"/>
  <c r="AV295" i="3" s="1"/>
  <c r="AD162" i="7"/>
  <c r="AF162" i="7"/>
  <c r="AD56" i="7"/>
  <c r="AF56" i="7"/>
  <c r="K23" i="7"/>
  <c r="N23" i="3" s="1"/>
  <c r="M23" i="3"/>
  <c r="Q187" i="8"/>
  <c r="L129" i="34"/>
  <c r="CS627" i="10"/>
  <c r="N129" i="34" s="1"/>
  <c r="M401" i="3"/>
  <c r="K401" i="7"/>
  <c r="N401" i="3" s="1"/>
  <c r="AF325" i="3"/>
  <c r="AF325" i="7"/>
  <c r="AI325" i="3" s="1"/>
  <c r="AD325" i="7"/>
  <c r="AG325" i="3" s="1"/>
  <c r="K379" i="7"/>
  <c r="N379" i="3" s="1"/>
  <c r="AE282" i="7"/>
  <c r="AH282" i="3" s="1"/>
  <c r="O286" i="3"/>
  <c r="K169" i="7"/>
  <c r="N169" i="3" s="1"/>
  <c r="L169" i="3"/>
  <c r="AL125" i="7"/>
  <c r="AT357" i="7"/>
  <c r="AW357" i="3" s="1"/>
  <c r="I806" i="19"/>
  <c r="BQ877" i="10"/>
  <c r="K877" i="10" s="1"/>
  <c r="BG877" i="10" s="1"/>
  <c r="Q877" i="10"/>
  <c r="O877" i="10"/>
  <c r="N877" i="10"/>
  <c r="BX877" i="10"/>
  <c r="I877" i="10"/>
  <c r="P877" i="10" s="1"/>
  <c r="G877" i="10"/>
  <c r="G379" i="34" s="1"/>
  <c r="BB877" i="10"/>
  <c r="BC877" i="10" s="1"/>
  <c r="T877" i="10"/>
  <c r="R877" i="10"/>
  <c r="BY570" i="10"/>
  <c r="AL365" i="7"/>
  <c r="C264" i="11"/>
  <c r="AF392" i="7"/>
  <c r="AD392" i="7"/>
  <c r="I777" i="19"/>
  <c r="BB848" i="10"/>
  <c r="T848" i="10"/>
  <c r="Q848" i="10"/>
  <c r="R848" i="10"/>
  <c r="O848" i="10"/>
  <c r="N848" i="10"/>
  <c r="I848" i="10"/>
  <c r="P848" i="10" s="1"/>
  <c r="G848" i="10"/>
  <c r="G350" i="34" s="1"/>
  <c r="BX848" i="10"/>
  <c r="BQ848" i="10"/>
  <c r="K848" i="10" s="1"/>
  <c r="BG848" i="10" s="1"/>
  <c r="AF301" i="7"/>
  <c r="AI301" i="3" s="1"/>
  <c r="AF301" i="3"/>
  <c r="AD301" i="7"/>
  <c r="AG301" i="3" s="1"/>
  <c r="AL428" i="7"/>
  <c r="I538" i="19"/>
  <c r="R600" i="10"/>
  <c r="I600" i="10"/>
  <c r="P600" i="10" s="1"/>
  <c r="BQ600" i="10"/>
  <c r="K600" i="10" s="1"/>
  <c r="BG600" i="10" s="1"/>
  <c r="O600" i="10"/>
  <c r="BB600" i="10"/>
  <c r="G600" i="10"/>
  <c r="G102" i="34" s="1"/>
  <c r="BX600" i="10"/>
  <c r="T600" i="10"/>
  <c r="N600" i="10"/>
  <c r="Q600" i="10"/>
  <c r="O136" i="3"/>
  <c r="AE126" i="7"/>
  <c r="AH126" i="3" s="1"/>
  <c r="AM396" i="3"/>
  <c r="AS396" i="7"/>
  <c r="AV396" i="3" s="1"/>
  <c r="AL396" i="7"/>
  <c r="AE99" i="7"/>
  <c r="AH99" i="3" s="1"/>
  <c r="O104" i="3"/>
  <c r="I453" i="19"/>
  <c r="R509" i="10"/>
  <c r="Q509" i="10"/>
  <c r="BX509" i="10"/>
  <c r="O509" i="10"/>
  <c r="N509" i="10"/>
  <c r="T509" i="10"/>
  <c r="I509" i="10"/>
  <c r="P509" i="10" s="1"/>
  <c r="BQ509" i="10"/>
  <c r="K509" i="10" s="1"/>
  <c r="BG509" i="10" s="1"/>
  <c r="BB509" i="10"/>
  <c r="BC509" i="10" s="1"/>
  <c r="G509" i="10"/>
  <c r="G11" i="34" s="1"/>
  <c r="M28" i="35"/>
  <c r="K28" i="35"/>
  <c r="AT365" i="7"/>
  <c r="AW365" i="3" s="1"/>
  <c r="AM365" i="3"/>
  <c r="AT94" i="7"/>
  <c r="AW94" i="3" s="1"/>
  <c r="AS20" i="7"/>
  <c r="AV20" i="3" s="1"/>
  <c r="CE566" i="10"/>
  <c r="AM425" i="10"/>
  <c r="AN425" i="10" s="1"/>
  <c r="AP425" i="10" s="1"/>
  <c r="AO425" i="3"/>
  <c r="AM425" i="7"/>
  <c r="AP425" i="3" s="1"/>
  <c r="K332" i="7"/>
  <c r="N332" i="3" s="1"/>
  <c r="AL375" i="7"/>
  <c r="AD40" i="7"/>
  <c r="AF40" i="7"/>
  <c r="AL24" i="7"/>
  <c r="AT24" i="7"/>
  <c r="AM24" i="3"/>
  <c r="AS24" i="7"/>
  <c r="AF255" i="7"/>
  <c r="AD255" i="7"/>
  <c r="CD9" i="9"/>
  <c r="O9" i="9"/>
  <c r="BC9" i="9" s="1"/>
  <c r="AT118" i="7"/>
  <c r="AW118" i="3" s="1"/>
  <c r="O316" i="3"/>
  <c r="AE300" i="7"/>
  <c r="AH300" i="3" s="1"/>
  <c r="CK65" i="9"/>
  <c r="K343" i="7"/>
  <c r="N343" i="3" s="1"/>
  <c r="AS177" i="7"/>
  <c r="AV177" i="3" s="1"/>
  <c r="AF174" i="7"/>
  <c r="AD174" i="7"/>
  <c r="I485" i="19"/>
  <c r="R540" i="10"/>
  <c r="Q540" i="10"/>
  <c r="BX540" i="10"/>
  <c r="BB540" i="10"/>
  <c r="I540" i="10"/>
  <c r="P540" i="10" s="1"/>
  <c r="G540" i="10"/>
  <c r="G42" i="34" s="1"/>
  <c r="T540" i="10"/>
  <c r="O540" i="10"/>
  <c r="N540" i="10"/>
  <c r="BQ540" i="10"/>
  <c r="K540" i="10" s="1"/>
  <c r="BG540" i="10" s="1"/>
  <c r="BY530" i="10"/>
  <c r="AT414" i="7"/>
  <c r="AW414" i="3" s="1"/>
  <c r="AD368" i="7"/>
  <c r="AF368" i="7"/>
  <c r="AD245" i="7"/>
  <c r="AF245" i="7"/>
  <c r="AM311" i="3"/>
  <c r="AS311" i="7"/>
  <c r="AV311" i="3" s="1"/>
  <c r="AL311" i="7"/>
  <c r="AT144" i="7"/>
  <c r="AW144" i="3" s="1"/>
  <c r="K17" i="7"/>
  <c r="N17" i="3" s="1"/>
  <c r="AF305" i="7"/>
  <c r="AD305" i="7"/>
  <c r="AL303" i="7"/>
  <c r="AT70" i="7"/>
  <c r="AW70" i="3" s="1"/>
  <c r="I484" i="19"/>
  <c r="Q539" i="10"/>
  <c r="BB539" i="10"/>
  <c r="N539" i="10"/>
  <c r="BX539" i="10"/>
  <c r="I539" i="10"/>
  <c r="P539" i="10" s="1"/>
  <c r="G539" i="10"/>
  <c r="G41" i="34" s="1"/>
  <c r="BQ539" i="10"/>
  <c r="K539" i="10" s="1"/>
  <c r="BG539" i="10" s="1"/>
  <c r="T539" i="10"/>
  <c r="R539" i="10"/>
  <c r="O539" i="10"/>
  <c r="AT364" i="7"/>
  <c r="AW364" i="3" s="1"/>
  <c r="AL6" i="7"/>
  <c r="AT389" i="7"/>
  <c r="AW389" i="3" s="1"/>
  <c r="AL71" i="7"/>
  <c r="AE328" i="7"/>
  <c r="AH328" i="3" s="1"/>
  <c r="O337" i="3"/>
  <c r="AF328" i="7"/>
  <c r="AI328" i="3" s="1"/>
  <c r="AF328" i="3"/>
  <c r="AD328" i="7"/>
  <c r="AG328" i="3" s="1"/>
  <c r="AT297" i="7"/>
  <c r="AT212" i="7"/>
  <c r="AW212" i="3" s="1"/>
  <c r="I629" i="19"/>
  <c r="T697" i="10"/>
  <c r="I697" i="10"/>
  <c r="P697" i="10" s="1"/>
  <c r="G697" i="10"/>
  <c r="G199" i="34" s="1"/>
  <c r="R697" i="10"/>
  <c r="O697" i="10"/>
  <c r="Q697" i="10"/>
  <c r="BQ697" i="10"/>
  <c r="K697" i="10" s="1"/>
  <c r="BG697" i="10" s="1"/>
  <c r="BX697" i="10"/>
  <c r="N697" i="10"/>
  <c r="BB697" i="10"/>
  <c r="AD115" i="7"/>
  <c r="AF115" i="7"/>
  <c r="AS98" i="7"/>
  <c r="K219" i="7"/>
  <c r="N219" i="3" s="1"/>
  <c r="AF173" i="7"/>
  <c r="AD173" i="7"/>
  <c r="K24" i="35"/>
  <c r="M24" i="35"/>
  <c r="J7" i="8"/>
  <c r="N7" i="8"/>
  <c r="O51" i="3"/>
  <c r="M7" i="8"/>
  <c r="AE50" i="7"/>
  <c r="AH50" i="3" s="1"/>
  <c r="K384" i="7"/>
  <c r="N384" i="3" s="1"/>
  <c r="C261" i="11"/>
  <c r="AF78" i="7"/>
  <c r="AD78" i="7"/>
  <c r="AM427" i="3"/>
  <c r="AL427" i="7"/>
  <c r="AM182" i="3"/>
  <c r="AT182" i="7"/>
  <c r="AW182" i="3" s="1"/>
  <c r="CD62" i="9"/>
  <c r="O62" i="9"/>
  <c r="BC62" i="9" s="1"/>
  <c r="AD340" i="7"/>
  <c r="AF340" i="7"/>
  <c r="I666" i="19"/>
  <c r="I738" i="10"/>
  <c r="BQ738" i="10"/>
  <c r="K738" i="10" s="1"/>
  <c r="BG738" i="10" s="1"/>
  <c r="BX738" i="10"/>
  <c r="Q738" i="10"/>
  <c r="P738" i="10"/>
  <c r="O738" i="10"/>
  <c r="T738" i="10"/>
  <c r="R738" i="10"/>
  <c r="N738" i="10"/>
  <c r="G738" i="10"/>
  <c r="G240" i="34" s="1"/>
  <c r="BB738" i="10"/>
  <c r="AT74" i="7"/>
  <c r="AF119" i="7"/>
  <c r="AD119" i="7"/>
  <c r="O73" i="9"/>
  <c r="BC73" i="9" s="1"/>
  <c r="CD73" i="9"/>
  <c r="AT366" i="7"/>
  <c r="AW366" i="3" s="1"/>
  <c r="AL384" i="7"/>
  <c r="AT18" i="7"/>
  <c r="AW18" i="3" s="1"/>
  <c r="AM18" i="3"/>
  <c r="AS18" i="7"/>
  <c r="AV18" i="3" s="1"/>
  <c r="AM294" i="3"/>
  <c r="AT294" i="7"/>
  <c r="AW294" i="3" s="1"/>
  <c r="CE48" i="9"/>
  <c r="AF359" i="7"/>
  <c r="AD359" i="7"/>
  <c r="C227" i="8"/>
  <c r="E227" i="8"/>
  <c r="I841" i="19"/>
  <c r="T911" i="10"/>
  <c r="BQ911" i="10"/>
  <c r="K911" i="10" s="1"/>
  <c r="BG911" i="10" s="1"/>
  <c r="R911" i="10"/>
  <c r="BB911" i="10"/>
  <c r="BX911" i="10"/>
  <c r="Q911" i="10"/>
  <c r="O911" i="10"/>
  <c r="N911" i="10"/>
  <c r="G911" i="10"/>
  <c r="G413" i="34" s="1"/>
  <c r="I911" i="10"/>
  <c r="P911" i="10" s="1"/>
  <c r="D13" i="8"/>
  <c r="D282" i="8" s="1"/>
  <c r="AS165" i="7"/>
  <c r="AV165" i="3" s="1"/>
  <c r="AS331" i="7"/>
  <c r="AV331" i="3" s="1"/>
  <c r="I744" i="19"/>
  <c r="G817" i="10"/>
  <c r="G319" i="34" s="1"/>
  <c r="T817" i="10"/>
  <c r="BB817" i="10"/>
  <c r="BC817" i="10" s="1"/>
  <c r="I817" i="10"/>
  <c r="P817" i="10" s="1"/>
  <c r="BX817" i="10"/>
  <c r="R817" i="10"/>
  <c r="N817" i="10"/>
  <c r="O817" i="10"/>
  <c r="BP817" i="10"/>
  <c r="Q817" i="10"/>
  <c r="BQ817" i="10"/>
  <c r="K817" i="10" s="1"/>
  <c r="BG817" i="10" s="1"/>
  <c r="L51" i="34"/>
  <c r="CS549" i="10"/>
  <c r="N51" i="34" s="1"/>
  <c r="AL159" i="7"/>
  <c r="AS335" i="7"/>
  <c r="AV335" i="3" s="1"/>
  <c r="AL26" i="7"/>
  <c r="I845" i="19"/>
  <c r="G915" i="10"/>
  <c r="G417" i="34" s="1"/>
  <c r="T915" i="10"/>
  <c r="R915" i="10"/>
  <c r="BB915" i="10"/>
  <c r="N915" i="10"/>
  <c r="BQ915" i="10"/>
  <c r="K915" i="10" s="1"/>
  <c r="BG915" i="10" s="1"/>
  <c r="I915" i="10"/>
  <c r="P915" i="10" s="1"/>
  <c r="Q915" i="10"/>
  <c r="O915" i="10"/>
  <c r="BX915" i="10"/>
  <c r="AS220" i="7"/>
  <c r="AV220" i="3" s="1"/>
  <c r="AT288" i="7"/>
  <c r="AW288" i="3" s="1"/>
  <c r="AO351" i="3"/>
  <c r="AM351" i="7"/>
  <c r="AP351" i="3" s="1"/>
  <c r="AF342" i="7"/>
  <c r="AD342" i="7"/>
  <c r="K249" i="7"/>
  <c r="N249" i="3" s="1"/>
  <c r="AL345" i="7"/>
  <c r="AL63" i="7"/>
  <c r="AL233" i="7"/>
  <c r="I590" i="19"/>
  <c r="G655" i="10"/>
  <c r="G157" i="34" s="1"/>
  <c r="R655" i="10"/>
  <c r="Q655" i="10"/>
  <c r="O655" i="10"/>
  <c r="T655" i="10"/>
  <c r="BX655" i="10"/>
  <c r="N655" i="10"/>
  <c r="BQ655" i="10"/>
  <c r="K655" i="10"/>
  <c r="BG655" i="10" s="1"/>
  <c r="I655" i="10"/>
  <c r="P655" i="10" s="1"/>
  <c r="BB655" i="10"/>
  <c r="L338" i="34"/>
  <c r="CS836" i="10"/>
  <c r="N338" i="34" s="1"/>
  <c r="CE858" i="10"/>
  <c r="L345" i="34"/>
  <c r="CS843" i="10"/>
  <c r="N345" i="34" s="1"/>
  <c r="L165" i="34"/>
  <c r="CS663" i="10"/>
  <c r="N165" i="34" s="1"/>
  <c r="CE854" i="10"/>
  <c r="BY922" i="10"/>
  <c r="CE798" i="10"/>
  <c r="L363" i="34"/>
  <c r="CS861" i="10"/>
  <c r="N363" i="34" s="1"/>
  <c r="BY763" i="10"/>
  <c r="L85" i="34"/>
  <c r="CS583" i="10"/>
  <c r="N85" i="34" s="1"/>
  <c r="L239" i="34"/>
  <c r="CS737" i="10"/>
  <c r="N239" i="34" s="1"/>
  <c r="I55" i="14"/>
  <c r="CE650" i="10"/>
  <c r="CE754" i="10"/>
  <c r="L396" i="34"/>
  <c r="CS894" i="10"/>
  <c r="N396" i="34" s="1"/>
  <c r="BY506" i="10"/>
  <c r="BY721" i="10"/>
  <c r="CE735" i="10"/>
  <c r="CE595" i="10"/>
  <c r="L132" i="34"/>
  <c r="CS630" i="10"/>
  <c r="N132" i="34" s="1"/>
  <c r="CE529" i="10"/>
  <c r="CE548" i="10"/>
  <c r="BY651" i="10"/>
  <c r="CE537" i="10"/>
  <c r="BY567" i="10"/>
  <c r="I846" i="19"/>
  <c r="R916" i="10"/>
  <c r="Q916" i="10"/>
  <c r="BB916" i="10"/>
  <c r="N916" i="10"/>
  <c r="BQ916" i="10"/>
  <c r="K916" i="10" s="1"/>
  <c r="BG916" i="10" s="1"/>
  <c r="BX916" i="10"/>
  <c r="T916" i="10"/>
  <c r="O916" i="10"/>
  <c r="G916" i="10"/>
  <c r="G418" i="34" s="1"/>
  <c r="I916" i="10"/>
  <c r="P916" i="10" s="1"/>
  <c r="K351" i="7"/>
  <c r="N351" i="3" s="1"/>
  <c r="L87" i="34"/>
  <c r="CS585" i="10"/>
  <c r="N87" i="34" s="1"/>
  <c r="CK28" i="9"/>
  <c r="I836" i="19"/>
  <c r="I906" i="10"/>
  <c r="P906" i="10" s="1"/>
  <c r="BQ906" i="10"/>
  <c r="K906" i="10" s="1"/>
  <c r="BG906" i="10" s="1"/>
  <c r="G906" i="10"/>
  <c r="G408" i="34" s="1"/>
  <c r="BB906" i="10"/>
  <c r="BC906" i="10" s="1"/>
  <c r="BX906" i="10"/>
  <c r="O906" i="10"/>
  <c r="N906" i="10"/>
  <c r="Q906" i="10"/>
  <c r="R906" i="10"/>
  <c r="T906" i="10"/>
  <c r="AF405" i="7"/>
  <c r="AD405" i="7"/>
  <c r="K418" i="7"/>
  <c r="N418" i="3" s="1"/>
  <c r="I798" i="19"/>
  <c r="BQ869" i="10"/>
  <c r="BX869" i="10"/>
  <c r="T869" i="10"/>
  <c r="K869" i="10"/>
  <c r="BG869" i="10" s="1"/>
  <c r="Q869" i="10"/>
  <c r="O869" i="10"/>
  <c r="N869" i="10"/>
  <c r="I869" i="10"/>
  <c r="P869" i="10" s="1"/>
  <c r="BB869" i="10"/>
  <c r="R869" i="10"/>
  <c r="G869" i="10"/>
  <c r="G371" i="34" s="1"/>
  <c r="I723" i="19"/>
  <c r="G797" i="10"/>
  <c r="G299" i="34" s="1"/>
  <c r="Q797" i="10"/>
  <c r="BX797" i="10"/>
  <c r="I797" i="10"/>
  <c r="P797" i="10" s="1"/>
  <c r="O797" i="10"/>
  <c r="N797" i="10"/>
  <c r="BQ797" i="10"/>
  <c r="K797" i="10" s="1"/>
  <c r="BG797" i="10" s="1"/>
  <c r="T797" i="10"/>
  <c r="R797" i="10"/>
  <c r="BB797" i="10"/>
  <c r="BC797" i="10" s="1"/>
  <c r="AF282" i="7"/>
  <c r="AI282" i="3" s="1"/>
  <c r="AD282" i="7"/>
  <c r="AG282" i="3" s="1"/>
  <c r="AF282" i="3"/>
  <c r="AD134" i="7"/>
  <c r="AF134" i="7"/>
  <c r="E259" i="11"/>
  <c r="K275" i="7"/>
  <c r="N275" i="3" s="1"/>
  <c r="AS399" i="7"/>
  <c r="AV399" i="3" s="1"/>
  <c r="M102" i="3"/>
  <c r="K102" i="7"/>
  <c r="N102" i="3" s="1"/>
  <c r="D231" i="8"/>
  <c r="AM88" i="3"/>
  <c r="AT88" i="7"/>
  <c r="AW88" i="3" s="1"/>
  <c r="AS88" i="7"/>
  <c r="AV88" i="3" s="1"/>
  <c r="BY742" i="10"/>
  <c r="I828" i="19"/>
  <c r="T896" i="10"/>
  <c r="R896" i="10"/>
  <c r="BB896" i="10"/>
  <c r="BC896" i="10" s="1"/>
  <c r="N896" i="10"/>
  <c r="BX896" i="10"/>
  <c r="BQ896" i="10"/>
  <c r="K896" i="10" s="1"/>
  <c r="BG896" i="10" s="1"/>
  <c r="G896" i="10"/>
  <c r="G398" i="34" s="1"/>
  <c r="BP896" i="10"/>
  <c r="I896" i="10"/>
  <c r="P896" i="10" s="1"/>
  <c r="Q896" i="10"/>
  <c r="O896" i="10"/>
  <c r="AL274" i="7"/>
  <c r="BY771" i="10"/>
  <c r="CK36" i="9"/>
  <c r="K258" i="7"/>
  <c r="N258" i="3" s="1"/>
  <c r="K168" i="7"/>
  <c r="N168" i="3" s="1"/>
  <c r="M168" i="3"/>
  <c r="AM125" i="3"/>
  <c r="AT125" i="7"/>
  <c r="AS125" i="7"/>
  <c r="O54" i="9"/>
  <c r="BC54" i="9" s="1"/>
  <c r="CD54" i="9"/>
  <c r="I530" i="19"/>
  <c r="BQ588" i="10"/>
  <c r="K588" i="10" s="1"/>
  <c r="BG588" i="10" s="1"/>
  <c r="G588" i="10"/>
  <c r="G90" i="34" s="1"/>
  <c r="BX588" i="10"/>
  <c r="I588" i="10"/>
  <c r="P588" i="10" s="1"/>
  <c r="BB588" i="10"/>
  <c r="BC588" i="10" s="1"/>
  <c r="T588" i="10"/>
  <c r="Q588" i="10"/>
  <c r="R588" i="10"/>
  <c r="O588" i="10"/>
  <c r="N588" i="10"/>
  <c r="K247" i="7"/>
  <c r="N247" i="3" s="1"/>
  <c r="I507" i="19"/>
  <c r="T567" i="10"/>
  <c r="R567" i="10"/>
  <c r="BB567" i="10"/>
  <c r="O567" i="10"/>
  <c r="N567" i="10"/>
  <c r="G567" i="10"/>
  <c r="G69" i="34" s="1"/>
  <c r="I567" i="10"/>
  <c r="P567" i="10" s="1"/>
  <c r="BX567" i="10"/>
  <c r="AN500" i="10"/>
  <c r="Q567" i="10"/>
  <c r="BQ567" i="10"/>
  <c r="K567" i="10" s="1"/>
  <c r="BG567" i="10" s="1"/>
  <c r="AM392" i="3"/>
  <c r="AT392" i="7"/>
  <c r="AW392" i="3" s="1"/>
  <c r="AS392" i="7"/>
  <c r="AV392" i="3" s="1"/>
  <c r="AT58" i="7"/>
  <c r="AW58" i="3" s="1"/>
  <c r="K310" i="7"/>
  <c r="N310" i="3" s="1"/>
  <c r="AM301" i="3"/>
  <c r="AL301" i="7"/>
  <c r="AT428" i="7"/>
  <c r="AW428" i="3" s="1"/>
  <c r="K327" i="7"/>
  <c r="N327" i="3" s="1"/>
  <c r="AS196" i="7"/>
  <c r="AV196" i="3" s="1"/>
  <c r="AS104" i="7"/>
  <c r="AV104" i="3" s="1"/>
  <c r="K12" i="7"/>
  <c r="N12" i="3" s="1"/>
  <c r="I789" i="19"/>
  <c r="G860" i="10"/>
  <c r="G362" i="34" s="1"/>
  <c r="R860" i="10"/>
  <c r="Q860" i="10"/>
  <c r="O860" i="10"/>
  <c r="BQ860" i="10"/>
  <c r="K860" i="10" s="1"/>
  <c r="BG860" i="10" s="1"/>
  <c r="T860" i="10"/>
  <c r="N860" i="10"/>
  <c r="BX860" i="10"/>
  <c r="I860" i="10"/>
  <c r="P860" i="10" s="1"/>
  <c r="BB860" i="10"/>
  <c r="T724" i="10"/>
  <c r="Q724" i="10"/>
  <c r="N724" i="10"/>
  <c r="BB724" i="10"/>
  <c r="I724" i="10"/>
  <c r="G724" i="10"/>
  <c r="G226" i="34" s="1"/>
  <c r="I652" i="19"/>
  <c r="P724" i="10"/>
  <c r="O724" i="10"/>
  <c r="BQ724" i="10"/>
  <c r="K724" i="10" s="1"/>
  <c r="BG724" i="10" s="1"/>
  <c r="AN506" i="10"/>
  <c r="R724" i="10"/>
  <c r="BX724" i="10"/>
  <c r="I583" i="19"/>
  <c r="G648" i="10"/>
  <c r="G150" i="34" s="1"/>
  <c r="BQ648" i="10"/>
  <c r="K648" i="10" s="1"/>
  <c r="BG648" i="10" s="1"/>
  <c r="O648" i="10"/>
  <c r="BB648" i="10"/>
  <c r="BX648" i="10"/>
  <c r="I648" i="10"/>
  <c r="P648" i="10" s="1"/>
  <c r="N648" i="10"/>
  <c r="T648" i="10"/>
  <c r="Q648" i="10"/>
  <c r="R648" i="10"/>
  <c r="L41" i="34"/>
  <c r="CS539" i="10"/>
  <c r="N41" i="34" s="1"/>
  <c r="AS425" i="7"/>
  <c r="AV425" i="3" s="1"/>
  <c r="I755" i="19"/>
  <c r="I827" i="10"/>
  <c r="P827" i="10" s="1"/>
  <c r="O827" i="10"/>
  <c r="BB827" i="10"/>
  <c r="BX827" i="10"/>
  <c r="Q827" i="10"/>
  <c r="G827" i="10"/>
  <c r="G329" i="34" s="1"/>
  <c r="BQ827" i="10"/>
  <c r="K827" i="10" s="1"/>
  <c r="BG827" i="10" s="1"/>
  <c r="N827" i="10"/>
  <c r="R827" i="10"/>
  <c r="T827" i="10"/>
  <c r="AL277" i="7"/>
  <c r="AM277" i="3"/>
  <c r="K141" i="7"/>
  <c r="N141" i="3" s="1"/>
  <c r="AF367" i="7"/>
  <c r="AD367" i="7"/>
  <c r="AD25" i="7"/>
  <c r="AG25" i="3" s="1"/>
  <c r="AF25" i="3"/>
  <c r="AF25" i="7"/>
  <c r="AI25" i="3" s="1"/>
  <c r="AS306" i="7"/>
  <c r="AV306" i="3" s="1"/>
  <c r="AS242" i="7"/>
  <c r="AV242" i="3" s="1"/>
  <c r="I524" i="19"/>
  <c r="BQ584" i="10"/>
  <c r="K584" i="10" s="1"/>
  <c r="BG584" i="10" s="1"/>
  <c r="O584" i="10"/>
  <c r="G584" i="10"/>
  <c r="G86" i="34" s="1"/>
  <c r="T584" i="10"/>
  <c r="R584" i="10"/>
  <c r="BX584" i="10"/>
  <c r="BB584" i="10"/>
  <c r="N584" i="10"/>
  <c r="Q584" i="10"/>
  <c r="I584" i="10"/>
  <c r="P584" i="10" s="1"/>
  <c r="I470" i="19"/>
  <c r="N525" i="10"/>
  <c r="R525" i="10"/>
  <c r="G525" i="10"/>
  <c r="G27" i="34" s="1"/>
  <c r="O525" i="10"/>
  <c r="I525" i="10"/>
  <c r="P525" i="10" s="1"/>
  <c r="BB525" i="10"/>
  <c r="BC525" i="10" s="1"/>
  <c r="T525" i="10"/>
  <c r="Q525" i="10"/>
  <c r="BX525" i="10"/>
  <c r="BP525" i="10"/>
  <c r="BQ525" i="10"/>
  <c r="K525" i="10" s="1"/>
  <c r="BG525" i="10" s="1"/>
  <c r="AS118" i="7"/>
  <c r="AV118" i="3" s="1"/>
  <c r="K177" i="7"/>
  <c r="N177" i="3" s="1"/>
  <c r="L332" i="34"/>
  <c r="CS830" i="10"/>
  <c r="N332" i="34" s="1"/>
  <c r="L32" i="34"/>
  <c r="CS530" i="10"/>
  <c r="N32" i="34" s="1"/>
  <c r="AS155" i="7"/>
  <c r="AV155" i="3" s="1"/>
  <c r="M36" i="3"/>
  <c r="K36" i="7"/>
  <c r="N36" i="3" s="1"/>
  <c r="I745" i="19"/>
  <c r="BX818" i="10"/>
  <c r="O818" i="10"/>
  <c r="N818" i="10"/>
  <c r="BQ818" i="10"/>
  <c r="K818" i="10" s="1"/>
  <c r="BG818" i="10" s="1"/>
  <c r="T818" i="10"/>
  <c r="Q818" i="10"/>
  <c r="BB818" i="10"/>
  <c r="R818" i="10"/>
  <c r="I818" i="10"/>
  <c r="P818" i="10" s="1"/>
  <c r="G818" i="10"/>
  <c r="G320" i="34" s="1"/>
  <c r="I733" i="19"/>
  <c r="T806" i="10"/>
  <c r="O806" i="10"/>
  <c r="BB806" i="10"/>
  <c r="G806" i="10"/>
  <c r="G308" i="34" s="1"/>
  <c r="BX806" i="10"/>
  <c r="R806" i="10"/>
  <c r="Q806" i="10"/>
  <c r="I806" i="10"/>
  <c r="P806" i="10" s="1"/>
  <c r="N806" i="10"/>
  <c r="BQ806" i="10"/>
  <c r="K806" i="10" s="1"/>
  <c r="BG806" i="10" s="1"/>
  <c r="AM199" i="3"/>
  <c r="AT199" i="7"/>
  <c r="AW199" i="3" s="1"/>
  <c r="AT17" i="7"/>
  <c r="AW17" i="3" s="1"/>
  <c r="AS70" i="7"/>
  <c r="AV70" i="3" s="1"/>
  <c r="AM363" i="3"/>
  <c r="AT363" i="7"/>
  <c r="AW363" i="3" s="1"/>
  <c r="AT341" i="7"/>
  <c r="AW341" i="3" s="1"/>
  <c r="O364" i="3"/>
  <c r="AE349" i="7"/>
  <c r="AH349" i="3" s="1"/>
  <c r="AS389" i="7"/>
  <c r="AV389" i="3" s="1"/>
  <c r="I682" i="19"/>
  <c r="BQ566" i="10"/>
  <c r="K566" i="10" s="1"/>
  <c r="BG566" i="10" s="1"/>
  <c r="R566" i="10"/>
  <c r="T566" i="10"/>
  <c r="N566" i="10"/>
  <c r="BB566" i="10"/>
  <c r="BX566" i="10"/>
  <c r="G566" i="10"/>
  <c r="G68" i="34" s="1"/>
  <c r="Q566" i="10"/>
  <c r="O566" i="10"/>
  <c r="I566" i="10"/>
  <c r="P566" i="10" s="1"/>
  <c r="CD5" i="9"/>
  <c r="O5" i="9"/>
  <c r="BC5" i="9" s="1"/>
  <c r="CD60" i="9"/>
  <c r="O60" i="9"/>
  <c r="BC60" i="9" s="1"/>
  <c r="BY638" i="10"/>
  <c r="K161" i="7"/>
  <c r="N161" i="3" s="1"/>
  <c r="AL76" i="7"/>
  <c r="AF316" i="7"/>
  <c r="AD316" i="7"/>
  <c r="I639" i="19"/>
  <c r="BX707" i="10"/>
  <c r="O707" i="10"/>
  <c r="N707" i="10"/>
  <c r="BQ707" i="10"/>
  <c r="K707" i="10" s="1"/>
  <c r="BG707" i="10" s="1"/>
  <c r="T707" i="10"/>
  <c r="R707" i="10"/>
  <c r="I707" i="10"/>
  <c r="P707" i="10" s="1"/>
  <c r="G707" i="10"/>
  <c r="G209" i="34" s="1"/>
  <c r="BB707" i="10"/>
  <c r="Q707" i="10"/>
  <c r="AL176" i="7"/>
  <c r="AD111" i="7"/>
  <c r="AF111" i="7"/>
  <c r="AS307" i="7"/>
  <c r="AV307" i="3" s="1"/>
  <c r="K21" i="8"/>
  <c r="I808" i="19"/>
  <c r="BX879" i="10"/>
  <c r="O879" i="10"/>
  <c r="N879" i="10"/>
  <c r="Q879" i="10"/>
  <c r="BB879" i="10"/>
  <c r="I879" i="10"/>
  <c r="P879" i="10" s="1"/>
  <c r="G879" i="10"/>
  <c r="G381" i="34" s="1"/>
  <c r="BQ879" i="10"/>
  <c r="K879" i="10" s="1"/>
  <c r="BG879" i="10" s="1"/>
  <c r="T879" i="10"/>
  <c r="R879" i="10"/>
  <c r="AF181" i="7"/>
  <c r="AD181" i="7"/>
  <c r="I521" i="19"/>
  <c r="BB581" i="10"/>
  <c r="I581" i="10"/>
  <c r="P581" i="10" s="1"/>
  <c r="BX581" i="10"/>
  <c r="BQ581" i="10"/>
  <c r="K581" i="10" s="1"/>
  <c r="BG581" i="10" s="1"/>
  <c r="T581" i="10"/>
  <c r="N581" i="10"/>
  <c r="Q581" i="10"/>
  <c r="O581" i="10"/>
  <c r="G581" i="10"/>
  <c r="G83" i="34" s="1"/>
  <c r="R581" i="10"/>
  <c r="AL305" i="7"/>
  <c r="AT8" i="7"/>
  <c r="AW8" i="3" s="1"/>
  <c r="AL216" i="7"/>
  <c r="K151" i="7"/>
  <c r="N151" i="3" s="1"/>
  <c r="AL119" i="7"/>
  <c r="AS391" i="7"/>
  <c r="AV391" i="3" s="1"/>
  <c r="I790" i="19"/>
  <c r="R861" i="10"/>
  <c r="Q861" i="10"/>
  <c r="N861" i="10"/>
  <c r="T861" i="10"/>
  <c r="P861" i="10"/>
  <c r="BB861" i="10"/>
  <c r="G861" i="10"/>
  <c r="G363" i="34" s="1"/>
  <c r="I861" i="10"/>
  <c r="BQ861" i="10"/>
  <c r="K861" i="10" s="1"/>
  <c r="BG861" i="10" s="1"/>
  <c r="O861" i="10"/>
  <c r="BX861" i="10"/>
  <c r="K185" i="7"/>
  <c r="N185" i="3" s="1"/>
  <c r="AF144" i="7"/>
  <c r="AD144" i="7"/>
  <c r="K283" i="7"/>
  <c r="N283" i="3" s="1"/>
  <c r="AL294" i="7"/>
  <c r="CK48" i="9"/>
  <c r="AL307" i="7"/>
  <c r="AT398" i="7"/>
  <c r="AW398" i="3" s="1"/>
  <c r="I492" i="19"/>
  <c r="T549" i="10"/>
  <c r="O549" i="10"/>
  <c r="R549" i="10"/>
  <c r="Q549" i="10"/>
  <c r="BQ549" i="10"/>
  <c r="K549" i="10" s="1"/>
  <c r="BG549" i="10" s="1"/>
  <c r="I549" i="10"/>
  <c r="P549" i="10" s="1"/>
  <c r="G549" i="10"/>
  <c r="G51" i="34" s="1"/>
  <c r="BB549" i="10"/>
  <c r="BC549" i="10" s="1"/>
  <c r="N549" i="10"/>
  <c r="BX549" i="10"/>
  <c r="AF324" i="7"/>
  <c r="AD324" i="7"/>
  <c r="AL200" i="7"/>
  <c r="K34" i="7"/>
  <c r="N34" i="3" s="1"/>
  <c r="M34" i="3"/>
  <c r="AS27" i="7"/>
  <c r="AV27" i="3" s="1"/>
  <c r="I645" i="19"/>
  <c r="T713" i="10"/>
  <c r="Q713" i="10"/>
  <c r="N713" i="10"/>
  <c r="R713" i="10"/>
  <c r="O713" i="10"/>
  <c r="BB713" i="10"/>
  <c r="BC713" i="10" s="1"/>
  <c r="G713" i="10"/>
  <c r="G215" i="34" s="1"/>
  <c r="BX713" i="10"/>
  <c r="I713" i="10"/>
  <c r="P713" i="10" s="1"/>
  <c r="BQ713" i="10"/>
  <c r="K713" i="10" s="1"/>
  <c r="BG713" i="10" s="1"/>
  <c r="AT423" i="7"/>
  <c r="AW423" i="3" s="1"/>
  <c r="AT222" i="7"/>
  <c r="AW222" i="3" s="1"/>
  <c r="CE549" i="10"/>
  <c r="K319" i="7"/>
  <c r="N319" i="3" s="1"/>
  <c r="K189" i="7"/>
  <c r="N189" i="3" s="1"/>
  <c r="AF38" i="7"/>
  <c r="AD38" i="7"/>
  <c r="M11" i="8"/>
  <c r="I589" i="19"/>
  <c r="Q654" i="10"/>
  <c r="T654" i="10"/>
  <c r="BB654" i="10"/>
  <c r="N654" i="10"/>
  <c r="BQ654" i="10"/>
  <c r="K654" i="10" s="1"/>
  <c r="BG654" i="10" s="1"/>
  <c r="I654" i="10"/>
  <c r="P654" i="10" s="1"/>
  <c r="G654" i="10"/>
  <c r="G156" i="34" s="1"/>
  <c r="O654" i="10"/>
  <c r="R654" i="10"/>
  <c r="BX654" i="10"/>
  <c r="O10" i="9"/>
  <c r="BC10" i="9" s="1"/>
  <c r="CD10" i="9"/>
  <c r="K195" i="7"/>
  <c r="N195" i="3" s="1"/>
  <c r="CE11" i="9"/>
  <c r="AT349" i="7"/>
  <c r="AW349" i="3" s="1"/>
  <c r="K117" i="7"/>
  <c r="N117" i="3" s="1"/>
  <c r="AL393" i="7"/>
  <c r="D219" i="8"/>
  <c r="AL120" i="7"/>
  <c r="AS351" i="7"/>
  <c r="AV351" i="3" s="1"/>
  <c r="AL249" i="7"/>
  <c r="I529" i="19"/>
  <c r="BX564" i="10"/>
  <c r="N564" i="10"/>
  <c r="BQ564" i="10"/>
  <c r="K564" i="10" s="1"/>
  <c r="BG564" i="10" s="1"/>
  <c r="T564" i="10"/>
  <c r="R564" i="10"/>
  <c r="Q564" i="10"/>
  <c r="O564" i="10"/>
  <c r="BB564" i="10"/>
  <c r="I564" i="10"/>
  <c r="P564" i="10" s="1"/>
  <c r="G564" i="10"/>
  <c r="G66" i="34" s="1"/>
  <c r="AL90" i="7"/>
  <c r="K297" i="34"/>
  <c r="BZ795" i="10"/>
  <c r="CB795" i="10"/>
  <c r="CA795" i="10"/>
  <c r="CC795" i="10"/>
  <c r="J178" i="34"/>
  <c r="CF676" i="10"/>
  <c r="CL676" i="10" s="1"/>
  <c r="CI676" i="10"/>
  <c r="CH676" i="10"/>
  <c r="CJ676" i="10"/>
  <c r="CK676" i="10"/>
  <c r="CG676" i="10"/>
  <c r="J222" i="34"/>
  <c r="CG720" i="10"/>
  <c r="CF720" i="10"/>
  <c r="CL720" i="10" s="1"/>
  <c r="CK720" i="10"/>
  <c r="CJ720" i="10"/>
  <c r="CH720" i="10"/>
  <c r="CI720" i="10"/>
  <c r="K420" i="34"/>
  <c r="CC918" i="10"/>
  <c r="CB918" i="10"/>
  <c r="CA918" i="10"/>
  <c r="I542" i="19"/>
  <c r="N604" i="10"/>
  <c r="Q604" i="10"/>
  <c r="BX604" i="10"/>
  <c r="I604" i="10"/>
  <c r="P604" i="10" s="1"/>
  <c r="BB604" i="10"/>
  <c r="T604" i="10"/>
  <c r="R604" i="10"/>
  <c r="G604" i="10"/>
  <c r="G106" i="34" s="1"/>
  <c r="BQ604" i="10"/>
  <c r="K604" i="10" s="1"/>
  <c r="BG604" i="10" s="1"/>
  <c r="O604" i="10"/>
  <c r="I592" i="19"/>
  <c r="I657" i="10"/>
  <c r="P657" i="10" s="1"/>
  <c r="G657" i="10"/>
  <c r="G159" i="34" s="1"/>
  <c r="T657" i="10"/>
  <c r="BQ657" i="10"/>
  <c r="K657" i="10" s="1"/>
  <c r="BG657" i="10" s="1"/>
  <c r="Q657" i="10"/>
  <c r="R657" i="10"/>
  <c r="BB657" i="10"/>
  <c r="BC657" i="10" s="1"/>
  <c r="N657" i="10"/>
  <c r="BX657" i="10"/>
  <c r="O657" i="10"/>
  <c r="L182" i="34"/>
  <c r="CS680" i="10"/>
  <c r="N182" i="34" s="1"/>
  <c r="I780" i="19"/>
  <c r="BQ851" i="10"/>
  <c r="K851" i="10" s="1"/>
  <c r="BG851" i="10" s="1"/>
  <c r="R851" i="10"/>
  <c r="Q851" i="10"/>
  <c r="O851" i="10"/>
  <c r="BB851" i="10"/>
  <c r="I851" i="10"/>
  <c r="P851" i="10" s="1"/>
  <c r="T851" i="10"/>
  <c r="G851" i="10"/>
  <c r="G353" i="34" s="1"/>
  <c r="N851" i="10"/>
  <c r="BX851" i="10"/>
  <c r="AF390" i="7"/>
  <c r="AD390" i="7"/>
  <c r="AF273" i="7"/>
  <c r="AD273" i="7"/>
  <c r="AF58" i="7"/>
  <c r="AD58" i="7"/>
  <c r="AT225" i="7"/>
  <c r="AW225" i="3" s="1"/>
  <c r="AS225" i="7"/>
  <c r="AV225" i="3" s="1"/>
  <c r="AM225" i="3"/>
  <c r="AD146" i="7"/>
  <c r="AG146" i="3" s="1"/>
  <c r="AF146" i="3"/>
  <c r="AF146" i="7"/>
  <c r="AI146" i="3" s="1"/>
  <c r="L75" i="34"/>
  <c r="CS573" i="10"/>
  <c r="N75" i="34" s="1"/>
  <c r="AF250" i="7"/>
  <c r="AD250" i="7"/>
  <c r="AM180" i="3"/>
  <c r="AL180" i="7"/>
  <c r="AS180" i="7"/>
  <c r="AV180" i="3" s="1"/>
  <c r="I654" i="19"/>
  <c r="BB726" i="10"/>
  <c r="Q726" i="10"/>
  <c r="O726" i="10"/>
  <c r="R726" i="10"/>
  <c r="N726" i="10"/>
  <c r="I726" i="10"/>
  <c r="P726" i="10" s="1"/>
  <c r="BQ726" i="10"/>
  <c r="K726" i="10" s="1"/>
  <c r="BG726" i="10" s="1"/>
  <c r="BX726" i="10"/>
  <c r="G726" i="10"/>
  <c r="G228" i="34" s="1"/>
  <c r="T726" i="10"/>
  <c r="I531" i="19"/>
  <c r="R593" i="10"/>
  <c r="O593" i="10"/>
  <c r="AN501" i="10"/>
  <c r="N593" i="10"/>
  <c r="T593" i="10"/>
  <c r="Q593" i="10"/>
  <c r="BB593" i="10"/>
  <c r="I593" i="10"/>
  <c r="P593" i="10" s="1"/>
  <c r="BX593" i="10"/>
  <c r="BQ593" i="10"/>
  <c r="K593" i="10" s="1"/>
  <c r="BG593" i="10" s="1"/>
  <c r="G593" i="10"/>
  <c r="G95" i="34" s="1"/>
  <c r="AM321" i="3"/>
  <c r="AS321" i="7"/>
  <c r="AV321" i="3" s="1"/>
  <c r="AF411" i="7"/>
  <c r="AD411" i="7"/>
  <c r="I640" i="19"/>
  <c r="T708" i="10"/>
  <c r="R708" i="10"/>
  <c r="BB708" i="10"/>
  <c r="BC708" i="10" s="1"/>
  <c r="O708" i="10"/>
  <c r="G708" i="10"/>
  <c r="G210" i="34" s="1"/>
  <c r="BX708" i="10"/>
  <c r="BQ708" i="10"/>
  <c r="K708" i="10" s="1"/>
  <c r="BG708" i="10" s="1"/>
  <c r="N708" i="10"/>
  <c r="BP708" i="10"/>
  <c r="Q708" i="10"/>
  <c r="I708" i="10"/>
  <c r="P708" i="10"/>
  <c r="O130" i="3"/>
  <c r="AE125" i="7"/>
  <c r="AH125" i="3" s="1"/>
  <c r="AD204" i="7"/>
  <c r="AG204" i="3" s="1"/>
  <c r="AF204" i="7"/>
  <c r="AI204" i="3" s="1"/>
  <c r="AF204" i="3"/>
  <c r="AD155" i="7"/>
  <c r="AF155" i="7"/>
  <c r="I647" i="19"/>
  <c r="BB715" i="10"/>
  <c r="BC715" i="10" s="1"/>
  <c r="BQ715" i="10"/>
  <c r="K715" i="10" s="1"/>
  <c r="BG715" i="10" s="1"/>
  <c r="N715" i="10"/>
  <c r="G715" i="10"/>
  <c r="G217" i="34" s="1"/>
  <c r="T715" i="10"/>
  <c r="R715" i="10"/>
  <c r="BX715" i="10"/>
  <c r="O715" i="10"/>
  <c r="Q715" i="10"/>
  <c r="I715" i="10"/>
  <c r="P715" i="10" s="1"/>
  <c r="AF242" i="7"/>
  <c r="AD242" i="7"/>
  <c r="L283" i="34"/>
  <c r="CS781" i="10"/>
  <c r="N283" i="34" s="1"/>
  <c r="CK775" i="10"/>
  <c r="J71" i="34"/>
  <c r="CI569" i="10"/>
  <c r="CG569" i="10"/>
  <c r="CF569" i="10"/>
  <c r="CL569" i="10" s="1"/>
  <c r="CH569" i="10"/>
  <c r="CK569" i="10"/>
  <c r="CJ569" i="10"/>
  <c r="L179" i="34"/>
  <c r="CS677" i="10"/>
  <c r="N179" i="34" s="1"/>
  <c r="L162" i="34"/>
  <c r="CS660" i="10"/>
  <c r="N162" i="34" s="1"/>
  <c r="L405" i="34"/>
  <c r="CS903" i="10"/>
  <c r="N405" i="34" s="1"/>
  <c r="L191" i="34"/>
  <c r="CS689" i="10"/>
  <c r="N191" i="34" s="1"/>
  <c r="L185" i="34"/>
  <c r="CS683" i="10"/>
  <c r="N185" i="34" s="1"/>
  <c r="I575" i="19"/>
  <c r="BQ640" i="10"/>
  <c r="K640" i="10" s="1"/>
  <c r="BG640" i="10" s="1"/>
  <c r="BX640" i="10"/>
  <c r="I640" i="10"/>
  <c r="P640" i="10" s="1"/>
  <c r="Q640" i="10"/>
  <c r="N640" i="10"/>
  <c r="BB640" i="10"/>
  <c r="T640" i="10"/>
  <c r="O640" i="10"/>
  <c r="AN503" i="10"/>
  <c r="R640" i="10"/>
  <c r="G640" i="10"/>
  <c r="G142" i="34" s="1"/>
  <c r="I493" i="19"/>
  <c r="R550" i="10"/>
  <c r="N550" i="10"/>
  <c r="BQ550" i="10"/>
  <c r="K550" i="10" s="1"/>
  <c r="BG550" i="10" s="1"/>
  <c r="T550" i="10"/>
  <c r="BX550" i="10"/>
  <c r="I550" i="10"/>
  <c r="P550" i="10" s="1"/>
  <c r="G550" i="10"/>
  <c r="G52" i="34" s="1"/>
  <c r="Q550" i="10"/>
  <c r="O550" i="10"/>
  <c r="BB550" i="10"/>
  <c r="AL367" i="7"/>
  <c r="AS370" i="7"/>
  <c r="AV370" i="3" s="1"/>
  <c r="I784" i="19"/>
  <c r="BQ855" i="10"/>
  <c r="K855" i="10" s="1"/>
  <c r="BG855" i="10" s="1"/>
  <c r="O855" i="10"/>
  <c r="N855" i="10"/>
  <c r="G855" i="10"/>
  <c r="G357" i="34" s="1"/>
  <c r="BB855" i="10"/>
  <c r="BX855" i="10"/>
  <c r="Q855" i="10"/>
  <c r="S855" i="10" s="1"/>
  <c r="R855" i="10"/>
  <c r="I855" i="10"/>
  <c r="P855" i="10" s="1"/>
  <c r="T855" i="10"/>
  <c r="I648" i="19"/>
  <c r="I716" i="10"/>
  <c r="P716" i="10" s="1"/>
  <c r="BQ716" i="10"/>
  <c r="N716" i="10"/>
  <c r="K716" i="10"/>
  <c r="BG716" i="10" s="1"/>
  <c r="BX716" i="10"/>
  <c r="R716" i="10"/>
  <c r="BB716" i="10"/>
  <c r="Q716" i="10"/>
  <c r="T716" i="10"/>
  <c r="O716" i="10"/>
  <c r="G716" i="10"/>
  <c r="G218" i="34" s="1"/>
  <c r="AF298" i="7"/>
  <c r="AI298" i="3" s="1"/>
  <c r="AF298" i="3"/>
  <c r="AD298" i="7"/>
  <c r="AG298" i="3" s="1"/>
  <c r="I603" i="19"/>
  <c r="BB671" i="10"/>
  <c r="BQ671" i="10"/>
  <c r="K671" i="10" s="1"/>
  <c r="BG671" i="10" s="1"/>
  <c r="T671" i="10"/>
  <c r="N671" i="10"/>
  <c r="AN504" i="10"/>
  <c r="I671" i="10"/>
  <c r="P671" i="10" s="1"/>
  <c r="R671" i="10"/>
  <c r="O671" i="10"/>
  <c r="G671" i="10"/>
  <c r="G173" i="34" s="1"/>
  <c r="BX671" i="10"/>
  <c r="Q671" i="10"/>
  <c r="AF276" i="7"/>
  <c r="AD276" i="7"/>
  <c r="AL256" i="7"/>
  <c r="K66" i="7"/>
  <c r="N66" i="3" s="1"/>
  <c r="M96" i="3"/>
  <c r="K96" i="7"/>
  <c r="N96" i="3" s="1"/>
  <c r="AF422" i="7"/>
  <c r="AD422" i="7"/>
  <c r="C270" i="11"/>
  <c r="AF424" i="7"/>
  <c r="AD424" i="7"/>
  <c r="K361" i="7"/>
  <c r="N361" i="3" s="1"/>
  <c r="I783" i="19"/>
  <c r="R854" i="10"/>
  <c r="BX854" i="10"/>
  <c r="T854" i="10"/>
  <c r="I854" i="10"/>
  <c r="P854" i="10" s="1"/>
  <c r="BQ854" i="10"/>
  <c r="K854" i="10" s="1"/>
  <c r="BG854" i="10" s="1"/>
  <c r="G854" i="10"/>
  <c r="G356" i="34" s="1"/>
  <c r="Q854" i="10"/>
  <c r="O854" i="10"/>
  <c r="BB854" i="10"/>
  <c r="N854" i="10"/>
  <c r="I543" i="19"/>
  <c r="O605" i="10"/>
  <c r="N605" i="10"/>
  <c r="BX605" i="10"/>
  <c r="I605" i="10"/>
  <c r="P605" i="10" s="1"/>
  <c r="BB605" i="10"/>
  <c r="BC605" i="10" s="1"/>
  <c r="G605" i="10"/>
  <c r="G107" i="34" s="1"/>
  <c r="BQ605" i="10"/>
  <c r="K605" i="10" s="1"/>
  <c r="BG605" i="10" s="1"/>
  <c r="Q605" i="10"/>
  <c r="T605" i="10"/>
  <c r="R605" i="10"/>
  <c r="J393" i="34"/>
  <c r="CJ891" i="10"/>
  <c r="CI891" i="10"/>
  <c r="CH891" i="10"/>
  <c r="CK891" i="10"/>
  <c r="CG891" i="10"/>
  <c r="CF891" i="10"/>
  <c r="CL891" i="10" s="1"/>
  <c r="L318" i="34"/>
  <c r="CS816" i="10"/>
  <c r="N318" i="34" s="1"/>
  <c r="L387" i="34"/>
  <c r="CS885" i="10"/>
  <c r="N387" i="34" s="1"/>
  <c r="CG857" i="10"/>
  <c r="CF857" i="10"/>
  <c r="CL857" i="10" s="1"/>
  <c r="J195" i="34"/>
  <c r="CF693" i="10"/>
  <c r="CL693" i="10" s="1"/>
  <c r="CG693" i="10"/>
  <c r="CK693" i="10"/>
  <c r="CJ693" i="10"/>
  <c r="CI693" i="10"/>
  <c r="CH693" i="10"/>
  <c r="L204" i="34"/>
  <c r="CS702" i="10"/>
  <c r="N204" i="34" s="1"/>
  <c r="J248" i="34"/>
  <c r="CG746" i="10"/>
  <c r="CF746" i="10"/>
  <c r="CJ746" i="10"/>
  <c r="CK746" i="10"/>
  <c r="CI746" i="10"/>
  <c r="CH746" i="10"/>
  <c r="L386" i="34"/>
  <c r="CS884" i="10"/>
  <c r="N386" i="34" s="1"/>
  <c r="L311" i="34"/>
  <c r="CS809" i="10"/>
  <c r="N311" i="34" s="1"/>
  <c r="AD329" i="7"/>
  <c r="AG329" i="3" s="1"/>
  <c r="AF329" i="7"/>
  <c r="AI329" i="3" s="1"/>
  <c r="AF329" i="3"/>
  <c r="I474" i="19"/>
  <c r="R529" i="10"/>
  <c r="Q529" i="10"/>
  <c r="T529" i="10"/>
  <c r="I529" i="10"/>
  <c r="P529" i="10" s="1"/>
  <c r="N529" i="10"/>
  <c r="G529" i="10"/>
  <c r="G31" i="34" s="1"/>
  <c r="O529" i="10"/>
  <c r="BQ529" i="10"/>
  <c r="K529" i="10" s="1"/>
  <c r="BG529" i="10" s="1"/>
  <c r="BX529" i="10"/>
  <c r="BB529" i="10"/>
  <c r="BC529" i="10" s="1"/>
  <c r="AF399" i="7"/>
  <c r="AD399" i="7"/>
  <c r="AL296" i="7"/>
  <c r="AM268" i="10"/>
  <c r="AN268" i="10" s="1"/>
  <c r="AP268" i="10" s="1"/>
  <c r="AM268" i="7"/>
  <c r="AP268" i="3" s="1"/>
  <c r="AO268" i="3"/>
  <c r="AL163" i="7"/>
  <c r="I558" i="19"/>
  <c r="R622" i="10"/>
  <c r="N622" i="10"/>
  <c r="Q622" i="10"/>
  <c r="O622" i="10"/>
  <c r="I622" i="10"/>
  <c r="P622" i="10" s="1"/>
  <c r="G622" i="10"/>
  <c r="G124" i="34" s="1"/>
  <c r="BX622" i="10"/>
  <c r="T622" i="10"/>
  <c r="BQ622" i="10"/>
  <c r="K622" i="10" s="1"/>
  <c r="BG622" i="10" s="1"/>
  <c r="BB622" i="10"/>
  <c r="BC622" i="10" s="1"/>
  <c r="M371" i="3"/>
  <c r="K371" i="7"/>
  <c r="N371" i="3" s="1"/>
  <c r="M191" i="3"/>
  <c r="K191" i="7"/>
  <c r="N191" i="3" s="1"/>
  <c r="AD171" i="7"/>
  <c r="AF171" i="7"/>
  <c r="I663" i="19"/>
  <c r="T735" i="10"/>
  <c r="Q735" i="10"/>
  <c r="N735" i="10"/>
  <c r="BQ735" i="10"/>
  <c r="K735" i="10" s="1"/>
  <c r="BG735" i="10" s="1"/>
  <c r="R735" i="10"/>
  <c r="BB735" i="10"/>
  <c r="G735" i="10"/>
  <c r="G237" i="34" s="1"/>
  <c r="O735" i="10"/>
  <c r="BX735" i="10"/>
  <c r="I735" i="10"/>
  <c r="P735" i="10" s="1"/>
  <c r="K264" i="7"/>
  <c r="N264" i="3" s="1"/>
  <c r="AL189" i="7"/>
  <c r="AD5" i="7"/>
  <c r="AG5" i="3" s="1"/>
  <c r="AF5" i="3"/>
  <c r="AF5" i="7"/>
  <c r="AI5" i="3" s="1"/>
  <c r="AL321" i="7"/>
  <c r="I515" i="19"/>
  <c r="G575" i="10"/>
  <c r="G77" i="34" s="1"/>
  <c r="T575" i="10"/>
  <c r="Q575" i="10"/>
  <c r="O575" i="10"/>
  <c r="N575" i="10"/>
  <c r="BQ575" i="10"/>
  <c r="K575" i="10" s="1"/>
  <c r="BG575" i="10" s="1"/>
  <c r="R575" i="10"/>
  <c r="I575" i="10"/>
  <c r="P575" i="10" s="1"/>
  <c r="BX575" i="10"/>
  <c r="BB575" i="10"/>
  <c r="AL291" i="7"/>
  <c r="K376" i="34"/>
  <c r="CC874" i="10"/>
  <c r="CB874" i="10"/>
  <c r="CA874" i="10"/>
  <c r="BZ874" i="10"/>
  <c r="CR874" i="10"/>
  <c r="P376" i="34" s="1"/>
  <c r="K419" i="34"/>
  <c r="BZ917" i="10"/>
  <c r="CC917" i="10"/>
  <c r="CA917" i="10"/>
  <c r="CB917" i="10"/>
  <c r="K166" i="34"/>
  <c r="CC664" i="10"/>
  <c r="CA664" i="10"/>
  <c r="BZ664" i="10"/>
  <c r="CR664" i="10"/>
  <c r="P166" i="34" s="1"/>
  <c r="CB664" i="10"/>
  <c r="K352" i="7"/>
  <c r="N352" i="3" s="1"/>
  <c r="M352" i="3"/>
  <c r="AE261" i="7"/>
  <c r="AH261" i="3" s="1"/>
  <c r="L18" i="8"/>
  <c r="AE325" i="7"/>
  <c r="AH325" i="3" s="1"/>
  <c r="O326" i="3"/>
  <c r="I697" i="19"/>
  <c r="I768" i="10"/>
  <c r="P768" i="10" s="1"/>
  <c r="T768" i="10"/>
  <c r="O768" i="10"/>
  <c r="BX768" i="10"/>
  <c r="BQ768" i="10"/>
  <c r="K768" i="10" s="1"/>
  <c r="BG768" i="10" s="1"/>
  <c r="Q768" i="10"/>
  <c r="G768" i="10"/>
  <c r="G270" i="34" s="1"/>
  <c r="BB768" i="10"/>
  <c r="BC768" i="10" s="1"/>
  <c r="R768" i="10"/>
  <c r="N768" i="10"/>
  <c r="AD320" i="7"/>
  <c r="AF320" i="7"/>
  <c r="AM103" i="7"/>
  <c r="AP103" i="3" s="1"/>
  <c r="AM103" i="10"/>
  <c r="AN103" i="10" s="1"/>
  <c r="AP103" i="10" s="1"/>
  <c r="AO103" i="3"/>
  <c r="I861" i="19"/>
  <c r="BQ899" i="10"/>
  <c r="K899" i="10" s="1"/>
  <c r="BG899" i="10" s="1"/>
  <c r="BX899" i="10"/>
  <c r="R899" i="10"/>
  <c r="Q899" i="10"/>
  <c r="I899" i="10"/>
  <c r="P899" i="10" s="1"/>
  <c r="T899" i="10"/>
  <c r="G899" i="10"/>
  <c r="G401" i="34" s="1"/>
  <c r="BB899" i="10"/>
  <c r="N899" i="10"/>
  <c r="O899" i="10"/>
  <c r="S899" i="10" s="1"/>
  <c r="I497" i="19"/>
  <c r="R554" i="10"/>
  <c r="O554" i="10"/>
  <c r="N554" i="10"/>
  <c r="Q554" i="10"/>
  <c r="BQ554" i="10"/>
  <c r="K554" i="10" s="1"/>
  <c r="BG554" i="10" s="1"/>
  <c r="I554" i="10"/>
  <c r="P554" i="10" s="1"/>
  <c r="G554" i="10"/>
  <c r="G56" i="34" s="1"/>
  <c r="T554" i="10"/>
  <c r="BX554" i="10"/>
  <c r="BB554" i="10"/>
  <c r="C255" i="11"/>
  <c r="K68" i="7"/>
  <c r="N68" i="3" s="1"/>
  <c r="AT180" i="7"/>
  <c r="AW180" i="3" s="1"/>
  <c r="I455" i="19"/>
  <c r="R511" i="10"/>
  <c r="I511" i="10"/>
  <c r="P511" i="10" s="1"/>
  <c r="T511" i="10"/>
  <c r="BQ511" i="10"/>
  <c r="K511" i="10" s="1"/>
  <c r="BG511" i="10" s="1"/>
  <c r="G511" i="10"/>
  <c r="G13" i="34" s="1"/>
  <c r="BX511" i="10"/>
  <c r="BB511" i="10"/>
  <c r="Q511" i="10"/>
  <c r="N511" i="10"/>
  <c r="O511" i="10"/>
  <c r="AD262" i="7"/>
  <c r="AF262" i="7"/>
  <c r="N14" i="8"/>
  <c r="AF246" i="7"/>
  <c r="AD246" i="7"/>
  <c r="I574" i="19"/>
  <c r="I638" i="10"/>
  <c r="P638" i="10" s="1"/>
  <c r="BQ638" i="10"/>
  <c r="K638" i="10" s="1"/>
  <c r="BG638" i="10" s="1"/>
  <c r="R638" i="10"/>
  <c r="O638" i="10"/>
  <c r="Q638" i="10"/>
  <c r="BB638" i="10"/>
  <c r="G638" i="10"/>
  <c r="G140" i="34" s="1"/>
  <c r="BX638" i="10"/>
  <c r="N638" i="10"/>
  <c r="T638" i="10"/>
  <c r="K76" i="7"/>
  <c r="N76" i="3" s="1"/>
  <c r="M76" i="3"/>
  <c r="I673" i="19"/>
  <c r="I745" i="10"/>
  <c r="P745" i="10" s="1"/>
  <c r="BQ745" i="10"/>
  <c r="K745" i="10" s="1"/>
  <c r="BG745" i="10" s="1"/>
  <c r="O745" i="10"/>
  <c r="BX745" i="10"/>
  <c r="Q745" i="10"/>
  <c r="N745" i="10"/>
  <c r="BB745" i="10"/>
  <c r="G745" i="10"/>
  <c r="G247" i="34" s="1"/>
  <c r="R745" i="10"/>
  <c r="T745" i="10"/>
  <c r="AM336" i="7"/>
  <c r="AP336" i="3" s="1"/>
  <c r="AO336" i="3"/>
  <c r="AL206" i="7"/>
  <c r="K80" i="7"/>
  <c r="N80" i="3" s="1"/>
  <c r="AD182" i="7"/>
  <c r="AF182" i="7"/>
  <c r="K99" i="7"/>
  <c r="N99" i="3" s="1"/>
  <c r="L54" i="34"/>
  <c r="CS552" i="10"/>
  <c r="N54" i="34" s="1"/>
  <c r="AD351" i="7"/>
  <c r="AF351" i="7"/>
  <c r="AD425" i="7"/>
  <c r="AF425" i="7"/>
  <c r="AT178" i="7"/>
  <c r="AW178" i="3" s="1"/>
  <c r="AT408" i="7"/>
  <c r="AW408" i="3" s="1"/>
  <c r="AL186" i="7"/>
  <c r="K129" i="7"/>
  <c r="N129" i="3" s="1"/>
  <c r="AO72" i="3"/>
  <c r="AM72" i="7"/>
  <c r="AP72" i="3" s="1"/>
  <c r="AF164" i="7"/>
  <c r="AD164" i="7"/>
  <c r="AE25" i="7"/>
  <c r="AH25" i="3" s="1"/>
  <c r="K239" i="7"/>
  <c r="N239" i="3" s="1"/>
  <c r="I711" i="19"/>
  <c r="BX786" i="10"/>
  <c r="I786" i="10"/>
  <c r="P786" i="10" s="1"/>
  <c r="BQ786" i="10"/>
  <c r="K786" i="10" s="1"/>
  <c r="BG786" i="10" s="1"/>
  <c r="T786" i="10"/>
  <c r="O786" i="10"/>
  <c r="R786" i="10"/>
  <c r="N786" i="10"/>
  <c r="BB786" i="10"/>
  <c r="Q786" i="10"/>
  <c r="G786" i="10"/>
  <c r="G288" i="34" s="1"/>
  <c r="K344" i="34"/>
  <c r="BZ842" i="10"/>
  <c r="CD842" i="10" s="1"/>
  <c r="CA842" i="10"/>
  <c r="CB842" i="10"/>
  <c r="CC842" i="10"/>
  <c r="AD248" i="7"/>
  <c r="AF248" i="7"/>
  <c r="AT127" i="7"/>
  <c r="AW127" i="3" s="1"/>
  <c r="AM198" i="3"/>
  <c r="AS198" i="7"/>
  <c r="AV198" i="3" s="1"/>
  <c r="AF114" i="7"/>
  <c r="AD114" i="7"/>
  <c r="C266" i="11"/>
  <c r="K321" i="7"/>
  <c r="N321" i="3" s="1"/>
  <c r="AD251" i="7"/>
  <c r="AF251" i="7"/>
  <c r="K130" i="7"/>
  <c r="N130" i="3" s="1"/>
  <c r="K7" i="7"/>
  <c r="N7" i="3" s="1"/>
  <c r="AL416" i="7"/>
  <c r="I838" i="19"/>
  <c r="I908" i="10"/>
  <c r="P908" i="10" s="1"/>
  <c r="BQ908" i="10"/>
  <c r="K908" i="10" s="1"/>
  <c r="BG908" i="10" s="1"/>
  <c r="T908" i="10"/>
  <c r="R908" i="10"/>
  <c r="BX908" i="10"/>
  <c r="Q908" i="10"/>
  <c r="O908" i="10"/>
  <c r="N908" i="10"/>
  <c r="BB908" i="10"/>
  <c r="BC908" i="10" s="1"/>
  <c r="G908" i="10"/>
  <c r="G410" i="34" s="1"/>
  <c r="S23" i="17"/>
  <c r="G23" i="17" s="1"/>
  <c r="J166" i="34"/>
  <c r="CJ664" i="10"/>
  <c r="CF664" i="10"/>
  <c r="CL664" i="10" s="1"/>
  <c r="CG664" i="10"/>
  <c r="CH664" i="10"/>
  <c r="CI664" i="10"/>
  <c r="CK664" i="10"/>
  <c r="CR820" i="10"/>
  <c r="P322" i="34" s="1"/>
  <c r="K29" i="7"/>
  <c r="N29" i="3" s="1"/>
  <c r="AS166" i="7"/>
  <c r="AV166" i="3" s="1"/>
  <c r="AF365" i="7"/>
  <c r="AD365" i="7"/>
  <c r="K254" i="34"/>
  <c r="CC752" i="10"/>
  <c r="CB752" i="10"/>
  <c r="BZ752" i="10"/>
  <c r="CD752" i="10" s="1"/>
  <c r="CA752" i="10"/>
  <c r="CC694" i="10"/>
  <c r="CB694" i="10"/>
  <c r="M20" i="8"/>
  <c r="L12" i="34"/>
  <c r="CS510" i="10"/>
  <c r="N12" i="34" s="1"/>
  <c r="E217" i="8"/>
  <c r="C217" i="8"/>
  <c r="AF81" i="7"/>
  <c r="AD81" i="7"/>
  <c r="C256" i="11"/>
  <c r="CJ744" i="10"/>
  <c r="CG744" i="10"/>
  <c r="CK744" i="10"/>
  <c r="CF744" i="10"/>
  <c r="CL744" i="10" s="1"/>
  <c r="CH744" i="10"/>
  <c r="AS422" i="7"/>
  <c r="AV422" i="3" s="1"/>
  <c r="AN379" i="3"/>
  <c r="AL379" i="7"/>
  <c r="AL193" i="7"/>
  <c r="K260" i="7"/>
  <c r="N260" i="3" s="1"/>
  <c r="AF275" i="7"/>
  <c r="AD275" i="7"/>
  <c r="E7" i="8"/>
  <c r="O266" i="3"/>
  <c r="AE259" i="7"/>
  <c r="AH259" i="3" s="1"/>
  <c r="AL14" i="7"/>
  <c r="K266" i="7"/>
  <c r="N266" i="3" s="1"/>
  <c r="O66" i="9"/>
  <c r="BC66" i="9" s="1"/>
  <c r="CD66" i="9"/>
  <c r="I587" i="19"/>
  <c r="BX652" i="10"/>
  <c r="O652" i="10"/>
  <c r="I652" i="10"/>
  <c r="P652" i="10" s="1"/>
  <c r="T652" i="10"/>
  <c r="Q652" i="10"/>
  <c r="N652" i="10"/>
  <c r="BB652" i="10"/>
  <c r="BC652" i="10" s="1"/>
  <c r="BQ652" i="10"/>
  <c r="K652" i="10" s="1"/>
  <c r="BG652" i="10" s="1"/>
  <c r="R652" i="10"/>
  <c r="G652" i="10"/>
  <c r="G154" i="34" s="1"/>
  <c r="AF426" i="7"/>
  <c r="AD426" i="7"/>
  <c r="K178" i="7"/>
  <c r="N178" i="3" s="1"/>
  <c r="AL7" i="7"/>
  <c r="AD208" i="7"/>
  <c r="AF208" i="7"/>
  <c r="AL322" i="7"/>
  <c r="AF195" i="7"/>
  <c r="AD195" i="7"/>
  <c r="AM288" i="7"/>
  <c r="AP288" i="3" s="1"/>
  <c r="CJ732" i="10"/>
  <c r="CG732" i="10"/>
  <c r="CF732" i="10"/>
  <c r="CL732" i="10" s="1"/>
  <c r="L8" i="34"/>
  <c r="CS506" i="10"/>
  <c r="N8" i="34" s="1"/>
  <c r="L408" i="34"/>
  <c r="CS906" i="10"/>
  <c r="N408" i="34" s="1"/>
  <c r="L44" i="34"/>
  <c r="CS542" i="10"/>
  <c r="N44" i="34" s="1"/>
  <c r="L275" i="34"/>
  <c r="CS773" i="10"/>
  <c r="N275" i="34" s="1"/>
  <c r="AT411" i="7"/>
  <c r="AW411" i="3" s="1"/>
  <c r="M18" i="8"/>
  <c r="AT83" i="7"/>
  <c r="AW83" i="3" s="1"/>
  <c r="AS83" i="7"/>
  <c r="AV83" i="3" s="1"/>
  <c r="AM83" i="3"/>
  <c r="AL83" i="7"/>
  <c r="AD73" i="7"/>
  <c r="AG73" i="3" s="1"/>
  <c r="AF73" i="7"/>
  <c r="AI73" i="3" s="1"/>
  <c r="AF73" i="3"/>
  <c r="I731" i="19"/>
  <c r="R804" i="10"/>
  <c r="BB804" i="10"/>
  <c r="N804" i="10"/>
  <c r="I804" i="10"/>
  <c r="P804" i="10" s="1"/>
  <c r="BQ804" i="10"/>
  <c r="K804" i="10" s="1"/>
  <c r="BG804" i="10" s="1"/>
  <c r="O804" i="10"/>
  <c r="T804" i="10"/>
  <c r="G804" i="10"/>
  <c r="G306" i="34" s="1"/>
  <c r="Q804" i="10"/>
  <c r="BX804" i="10"/>
  <c r="M312" i="3"/>
  <c r="K312" i="7"/>
  <c r="N312" i="3" s="1"/>
  <c r="CD68" i="9"/>
  <c r="O68" i="9"/>
  <c r="BC68" i="9" s="1"/>
  <c r="AS300" i="7"/>
  <c r="AV300" i="3" s="1"/>
  <c r="I569" i="19"/>
  <c r="R633" i="10"/>
  <c r="BB633" i="10"/>
  <c r="BC633" i="10" s="1"/>
  <c r="N633" i="10"/>
  <c r="BX633" i="10"/>
  <c r="I633" i="10"/>
  <c r="P633" i="10" s="1"/>
  <c r="BQ633" i="10"/>
  <c r="K633" i="10" s="1"/>
  <c r="BG633" i="10" s="1"/>
  <c r="G633" i="10"/>
  <c r="G135" i="34" s="1"/>
  <c r="O633" i="10"/>
  <c r="T633" i="10"/>
  <c r="Q633" i="10"/>
  <c r="AF310" i="7"/>
  <c r="AD310" i="7"/>
  <c r="AS301" i="7"/>
  <c r="AV301" i="3" s="1"/>
  <c r="AL332" i="7"/>
  <c r="AT126" i="7"/>
  <c r="AW126" i="3" s="1"/>
  <c r="I564" i="19"/>
  <c r="BB628" i="10"/>
  <c r="Q628" i="10"/>
  <c r="O628" i="10"/>
  <c r="I628" i="10"/>
  <c r="P628" i="10" s="1"/>
  <c r="BX628" i="10"/>
  <c r="T628" i="10"/>
  <c r="N628" i="10"/>
  <c r="R628" i="10"/>
  <c r="BQ628" i="10"/>
  <c r="K628" i="10" s="1"/>
  <c r="BG628" i="10" s="1"/>
  <c r="G628" i="10"/>
  <c r="G130" i="34" s="1"/>
  <c r="AE301" i="7"/>
  <c r="AH301" i="3" s="1"/>
  <c r="L366" i="34"/>
  <c r="CS864" i="10"/>
  <c r="N366" i="34" s="1"/>
  <c r="L147" i="34"/>
  <c r="CS645" i="10"/>
  <c r="N147" i="34" s="1"/>
  <c r="J190" i="34"/>
  <c r="CK688" i="10"/>
  <c r="CJ688" i="10"/>
  <c r="CG688" i="10"/>
  <c r="J269" i="34"/>
  <c r="CK767" i="10"/>
  <c r="CI767" i="10"/>
  <c r="CG767" i="10"/>
  <c r="CJ767" i="10"/>
  <c r="CH767" i="10"/>
  <c r="CF767" i="10"/>
  <c r="CL767" i="10" s="1"/>
  <c r="L302" i="3"/>
  <c r="K302" i="7"/>
  <c r="N302" i="3" s="1"/>
  <c r="AT422" i="7"/>
  <c r="AW422" i="3" s="1"/>
  <c r="M274" i="3"/>
  <c r="K274" i="7"/>
  <c r="N274" i="3" s="1"/>
  <c r="AM281" i="3"/>
  <c r="AS281" i="7"/>
  <c r="I620" i="19"/>
  <c r="G688" i="10"/>
  <c r="G190" i="34" s="1"/>
  <c r="T688" i="10"/>
  <c r="O688" i="10"/>
  <c r="BX688" i="10"/>
  <c r="BQ688" i="10"/>
  <c r="K688" i="10" s="1"/>
  <c r="BG688" i="10" s="1"/>
  <c r="R688" i="10"/>
  <c r="I688" i="10"/>
  <c r="P688" i="10" s="1"/>
  <c r="BB688" i="10"/>
  <c r="Q688" i="10"/>
  <c r="N688" i="10"/>
  <c r="AM332" i="3"/>
  <c r="AT332" i="7"/>
  <c r="AW332" i="3" s="1"/>
  <c r="AS332" i="7"/>
  <c r="AV332" i="3" s="1"/>
  <c r="AD303" i="7"/>
  <c r="AF303" i="7"/>
  <c r="AL341" i="7"/>
  <c r="I514" i="19"/>
  <c r="T574" i="10"/>
  <c r="BB574" i="10"/>
  <c r="G574" i="10"/>
  <c r="G76" i="34" s="1"/>
  <c r="Q574" i="10"/>
  <c r="R574" i="10"/>
  <c r="BQ574" i="10"/>
  <c r="K574" i="10" s="1"/>
  <c r="BG574" i="10" s="1"/>
  <c r="O574" i="10"/>
  <c r="N574" i="10"/>
  <c r="BX574" i="10"/>
  <c r="I574" i="10"/>
  <c r="P574" i="10" s="1"/>
  <c r="D8" i="8"/>
  <c r="D277" i="8" s="1"/>
  <c r="AF225" i="7"/>
  <c r="AD225" i="7"/>
  <c r="O416" i="3"/>
  <c r="AE409" i="7"/>
  <c r="AH409" i="3" s="1"/>
  <c r="CM11" i="9"/>
  <c r="AS420" i="7"/>
  <c r="AV420" i="3" s="1"/>
  <c r="BY854" i="10"/>
  <c r="L315" i="34"/>
  <c r="CS813" i="10"/>
  <c r="N315" i="34" s="1"/>
  <c r="L223" i="34"/>
  <c r="CS721" i="10"/>
  <c r="N223" i="34" s="1"/>
  <c r="M39" i="35"/>
  <c r="K39" i="35"/>
  <c r="J184" i="34"/>
  <c r="CF682" i="10"/>
  <c r="CL682" i="10" s="1"/>
  <c r="CI682" i="10"/>
  <c r="CH682" i="10"/>
  <c r="AF341" i="7"/>
  <c r="AD341" i="7"/>
  <c r="AD143" i="7"/>
  <c r="AF143" i="7"/>
  <c r="CD72" i="9"/>
  <c r="O72" i="9"/>
  <c r="BC72" i="9" s="1"/>
  <c r="AT379" i="7"/>
  <c r="AW379" i="3" s="1"/>
  <c r="AD39" i="7"/>
  <c r="AF39" i="7"/>
  <c r="AS365" i="7"/>
  <c r="AV365" i="3" s="1"/>
  <c r="K153" i="7"/>
  <c r="N153" i="3" s="1"/>
  <c r="K94" i="7"/>
  <c r="N94" i="3" s="1"/>
  <c r="I483" i="19"/>
  <c r="BB538" i="10"/>
  <c r="BC538" i="10" s="1"/>
  <c r="BX538" i="10"/>
  <c r="O538" i="10"/>
  <c r="R538" i="10"/>
  <c r="G538" i="10"/>
  <c r="G40" i="34" s="1"/>
  <c r="Q538" i="10"/>
  <c r="N538" i="10"/>
  <c r="S538" i="10" s="1"/>
  <c r="I538" i="10"/>
  <c r="P538" i="10" s="1"/>
  <c r="T538" i="10"/>
  <c r="BQ538" i="10"/>
  <c r="K538" i="10"/>
  <c r="BG538" i="10" s="1"/>
  <c r="AF277" i="7"/>
  <c r="AD277" i="7"/>
  <c r="AL141" i="7"/>
  <c r="AM187" i="3"/>
  <c r="AS187" i="7"/>
  <c r="AV187" i="3" s="1"/>
  <c r="AL187" i="7"/>
  <c r="K90" i="7"/>
  <c r="N90" i="3" s="1"/>
  <c r="AS144" i="7"/>
  <c r="AV144" i="3" s="1"/>
  <c r="I59" i="14"/>
  <c r="C74" i="14" s="1"/>
  <c r="L39" i="34"/>
  <c r="CS537" i="10"/>
  <c r="N39" i="34" s="1"/>
  <c r="J215" i="34"/>
  <c r="CK713" i="10"/>
  <c r="CI713" i="10"/>
  <c r="CG713" i="10"/>
  <c r="CH713" i="10"/>
  <c r="CJ713" i="10"/>
  <c r="CF713" i="10"/>
  <c r="CL713" i="10" s="1"/>
  <c r="K280" i="7"/>
  <c r="N280" i="3" s="1"/>
  <c r="L280" i="3"/>
  <c r="AE373" i="7"/>
  <c r="AH373" i="3" s="1"/>
  <c r="I535" i="19"/>
  <c r="O597" i="10"/>
  <c r="G597" i="10"/>
  <c r="G99" i="34" s="1"/>
  <c r="T597" i="10"/>
  <c r="R597" i="10"/>
  <c r="Q597" i="10"/>
  <c r="N597" i="10"/>
  <c r="BX597" i="10"/>
  <c r="I597" i="10"/>
  <c r="P597" i="10" s="1"/>
  <c r="BQ597" i="10"/>
  <c r="K597" i="10" s="1"/>
  <c r="BG597" i="10" s="1"/>
  <c r="BB597" i="10"/>
  <c r="AF53" i="7"/>
  <c r="AD53" i="7"/>
  <c r="I458" i="19"/>
  <c r="R518" i="10"/>
  <c r="Q518" i="10"/>
  <c r="BQ518" i="10"/>
  <c r="K518" i="10" s="1"/>
  <c r="BG518" i="10" s="1"/>
  <c r="T518" i="10"/>
  <c r="I518" i="10"/>
  <c r="P518" i="10" s="1"/>
  <c r="BB518" i="10"/>
  <c r="BC518" i="10" s="1"/>
  <c r="BX518" i="10"/>
  <c r="O518" i="10"/>
  <c r="N518" i="10"/>
  <c r="G518" i="10"/>
  <c r="G20" i="34" s="1"/>
  <c r="K15" i="35"/>
  <c r="M15" i="35"/>
  <c r="O379" i="3"/>
  <c r="AE374" i="7"/>
  <c r="AH374" i="3" s="1"/>
  <c r="AT281" i="7"/>
  <c r="I730" i="19"/>
  <c r="I803" i="10"/>
  <c r="BG803" i="10"/>
  <c r="R803" i="10"/>
  <c r="Q803" i="10"/>
  <c r="P803" i="10"/>
  <c r="G803" i="10"/>
  <c r="G305" i="34" s="1"/>
  <c r="BB803" i="10"/>
  <c r="BC803" i="10" s="1"/>
  <c r="BX803" i="10"/>
  <c r="BP803" i="10"/>
  <c r="BR803" i="10" s="1"/>
  <c r="O803" i="10"/>
  <c r="N803" i="10"/>
  <c r="T803" i="10"/>
  <c r="BQ803" i="10"/>
  <c r="K803" i="10" s="1"/>
  <c r="I732" i="19"/>
  <c r="T805" i="10"/>
  <c r="Q805" i="10"/>
  <c r="R805" i="10"/>
  <c r="O805" i="10"/>
  <c r="I805" i="10"/>
  <c r="P805" i="10" s="1"/>
  <c r="N805" i="10"/>
  <c r="BB805" i="10"/>
  <c r="BC805" i="10" s="1"/>
  <c r="BQ805" i="10"/>
  <c r="K805" i="10" s="1"/>
  <c r="BG805" i="10" s="1"/>
  <c r="G805" i="10"/>
  <c r="G307" i="34" s="1"/>
  <c r="BX805" i="10"/>
  <c r="BP805" i="10"/>
  <c r="BR805" i="10" s="1"/>
  <c r="AF136" i="7"/>
  <c r="AD136" i="7"/>
  <c r="I537" i="19"/>
  <c r="BQ599" i="10"/>
  <c r="K599" i="10" s="1"/>
  <c r="BG599" i="10" s="1"/>
  <c r="BB599" i="10"/>
  <c r="T599" i="10"/>
  <c r="R599" i="10"/>
  <c r="Q599" i="10"/>
  <c r="BX599" i="10"/>
  <c r="O599" i="10"/>
  <c r="G599" i="10"/>
  <c r="G101" i="34" s="1"/>
  <c r="N599" i="10"/>
  <c r="I599" i="10"/>
  <c r="P599" i="10" s="1"/>
  <c r="AD252" i="7"/>
  <c r="AF252" i="7"/>
  <c r="I614" i="19"/>
  <c r="BB682" i="10"/>
  <c r="BC682" i="10" s="1"/>
  <c r="R682" i="10"/>
  <c r="Q682" i="10"/>
  <c r="N682" i="10"/>
  <c r="I682" i="10"/>
  <c r="P682" i="10" s="1"/>
  <c r="T682" i="10"/>
  <c r="BX682" i="10"/>
  <c r="O682" i="10"/>
  <c r="BQ682" i="10"/>
  <c r="K682" i="10" s="1"/>
  <c r="BG682" i="10" s="1"/>
  <c r="G682" i="10"/>
  <c r="G184" i="34" s="1"/>
  <c r="K242" i="7"/>
  <c r="N242" i="3" s="1"/>
  <c r="AL255" i="7"/>
  <c r="AT177" i="7"/>
  <c r="AW177" i="3" s="1"/>
  <c r="K333" i="7"/>
  <c r="N333" i="3" s="1"/>
  <c r="L143" i="3"/>
  <c r="K143" i="7"/>
  <c r="N143" i="3" s="1"/>
  <c r="AS303" i="7"/>
  <c r="AV303" i="3" s="1"/>
  <c r="AT208" i="7"/>
  <c r="AW208" i="3" s="1"/>
  <c r="L21" i="8"/>
  <c r="BY599" i="10"/>
  <c r="AD407" i="7"/>
  <c r="AG407" i="3" s="1"/>
  <c r="AF407" i="3"/>
  <c r="AF407" i="7"/>
  <c r="AI407" i="3" s="1"/>
  <c r="AM23" i="7"/>
  <c r="AP23" i="3" s="1"/>
  <c r="AO23" i="3"/>
  <c r="AM23" i="10"/>
  <c r="AN23" i="10" s="1"/>
  <c r="AP23" i="10" s="1"/>
  <c r="I753" i="19"/>
  <c r="I826" i="10"/>
  <c r="P826" i="10" s="1"/>
  <c r="BQ826" i="10"/>
  <c r="K826" i="10" s="1"/>
  <c r="BG826" i="10" s="1"/>
  <c r="R826" i="10"/>
  <c r="N826" i="10"/>
  <c r="BB826" i="10"/>
  <c r="BX826" i="10"/>
  <c r="T826" i="10"/>
  <c r="Q826" i="10"/>
  <c r="O826" i="10"/>
  <c r="G826" i="10"/>
  <c r="G328" i="34" s="1"/>
  <c r="L327" i="34"/>
  <c r="CS825" i="10"/>
  <c r="N327" i="34" s="1"/>
  <c r="BY892" i="10"/>
  <c r="L391" i="34"/>
  <c r="CS889" i="10"/>
  <c r="N391" i="34" s="1"/>
  <c r="CE839" i="10"/>
  <c r="L143" i="34"/>
  <c r="CS641" i="10"/>
  <c r="N143" i="34" s="1"/>
  <c r="L335" i="34"/>
  <c r="CS833" i="10"/>
  <c r="N335" i="34" s="1"/>
  <c r="BY743" i="10"/>
  <c r="BY737" i="10"/>
  <c r="BY894" i="10"/>
  <c r="BY720" i="10"/>
  <c r="BY708" i="10"/>
  <c r="BY753" i="10"/>
  <c r="BY607" i="10"/>
  <c r="L312" i="34"/>
  <c r="CS810" i="10"/>
  <c r="N312" i="34" s="1"/>
  <c r="BY774" i="10"/>
  <c r="L84" i="34"/>
  <c r="CS582" i="10"/>
  <c r="N84" i="34" s="1"/>
  <c r="L232" i="34"/>
  <c r="CS730" i="10"/>
  <c r="N232" i="34" s="1"/>
  <c r="L33" i="34"/>
  <c r="CS531" i="10"/>
  <c r="N33" i="34" s="1"/>
  <c r="BY551" i="10"/>
  <c r="I840" i="19"/>
  <c r="BQ910" i="10"/>
  <c r="K910" i="10" s="1"/>
  <c r="BG910" i="10" s="1"/>
  <c r="R910" i="10"/>
  <c r="Q910" i="10"/>
  <c r="BX910" i="10"/>
  <c r="O910" i="10"/>
  <c r="G910" i="10"/>
  <c r="G412" i="34" s="1"/>
  <c r="BB910" i="10"/>
  <c r="I910" i="10"/>
  <c r="P910" i="10" s="1"/>
  <c r="T910" i="10"/>
  <c r="N910" i="10"/>
  <c r="L215" i="34"/>
  <c r="CS713" i="10"/>
  <c r="N215" i="34" s="1"/>
  <c r="K307" i="7"/>
  <c r="N307" i="3" s="1"/>
  <c r="M21" i="35"/>
  <c r="K21" i="35"/>
  <c r="CE560" i="10"/>
  <c r="BY666" i="10"/>
  <c r="AF393" i="7"/>
  <c r="AD393" i="7"/>
  <c r="O57" i="9"/>
  <c r="BC57" i="9" s="1"/>
  <c r="CD57" i="9"/>
  <c r="K122" i="7"/>
  <c r="N122" i="3" s="1"/>
  <c r="L122" i="3"/>
  <c r="CK39" i="9"/>
  <c r="K393" i="7"/>
  <c r="N393" i="3" s="1"/>
  <c r="BY500" i="10"/>
  <c r="L20" i="8"/>
  <c r="K113" i="7"/>
  <c r="N113" i="3" s="1"/>
  <c r="L113" i="3"/>
  <c r="AS224" i="7"/>
  <c r="AV224" i="3" s="1"/>
  <c r="L128" i="34"/>
  <c r="CS626" i="10"/>
  <c r="N128" i="34" s="1"/>
  <c r="R187" i="8"/>
  <c r="AD160" i="7"/>
  <c r="AF160" i="7"/>
  <c r="I555" i="19"/>
  <c r="R619" i="10"/>
  <c r="G619" i="10"/>
  <c r="G121" i="34" s="1"/>
  <c r="O619" i="10"/>
  <c r="N619" i="10"/>
  <c r="BX619" i="10"/>
  <c r="I619" i="10"/>
  <c r="P619" i="10" s="1"/>
  <c r="T619" i="10"/>
  <c r="AN502" i="10"/>
  <c r="Q619" i="10"/>
  <c r="BB619" i="10"/>
  <c r="BQ619" i="10"/>
  <c r="K619" i="10" s="1"/>
  <c r="BG619" i="10" s="1"/>
  <c r="CE791" i="10"/>
  <c r="AM267" i="10"/>
  <c r="AN267" i="10" s="1"/>
  <c r="AP267" i="10" s="1"/>
  <c r="AO267" i="3"/>
  <c r="AM267" i="7"/>
  <c r="AP267" i="3" s="1"/>
  <c r="CE771" i="10"/>
  <c r="AS379" i="7"/>
  <c r="AV379" i="3" s="1"/>
  <c r="I556" i="19"/>
  <c r="BQ620" i="10"/>
  <c r="K620" i="10" s="1"/>
  <c r="BG620" i="10" s="1"/>
  <c r="O620" i="10"/>
  <c r="N620" i="10"/>
  <c r="BB620" i="10"/>
  <c r="BC620" i="10" s="1"/>
  <c r="BX620" i="10"/>
  <c r="BP620" i="10"/>
  <c r="J620" i="10" s="1"/>
  <c r="L620" i="10" s="1"/>
  <c r="R620" i="10"/>
  <c r="Q620" i="10"/>
  <c r="G620" i="10"/>
  <c r="G122" i="34" s="1"/>
  <c r="T620" i="10"/>
  <c r="I620" i="10"/>
  <c r="P620" i="10" s="1"/>
  <c r="AS424" i="7"/>
  <c r="AV424" i="3" s="1"/>
  <c r="L156" i="34"/>
  <c r="CS654" i="10"/>
  <c r="N156" i="34" s="1"/>
  <c r="K342" i="7"/>
  <c r="N342" i="3" s="1"/>
  <c r="M342" i="3"/>
  <c r="I816" i="19"/>
  <c r="R887" i="10"/>
  <c r="BQ887" i="10"/>
  <c r="K887" i="10" s="1"/>
  <c r="BG887" i="10" s="1"/>
  <c r="T887" i="10"/>
  <c r="N887" i="10"/>
  <c r="BX887" i="10"/>
  <c r="Q887" i="10"/>
  <c r="O887" i="10"/>
  <c r="I887" i="10"/>
  <c r="P887" i="10" s="1"/>
  <c r="G887" i="10"/>
  <c r="G389" i="34" s="1"/>
  <c r="BB887" i="10"/>
  <c r="BC887" i="10" s="1"/>
  <c r="BX796" i="10"/>
  <c r="O796" i="10"/>
  <c r="N796" i="10"/>
  <c r="I722" i="19"/>
  <c r="I796" i="10"/>
  <c r="P796" i="10" s="1"/>
  <c r="BQ796" i="10"/>
  <c r="K796" i="10" s="1"/>
  <c r="BG796" i="10" s="1"/>
  <c r="R796" i="10"/>
  <c r="T796" i="10"/>
  <c r="BB796" i="10"/>
  <c r="BC796" i="10" s="1"/>
  <c r="Q796" i="10"/>
  <c r="G796" i="10"/>
  <c r="G298" i="34" s="1"/>
  <c r="O25" i="9"/>
  <c r="BC25" i="9" s="1"/>
  <c r="CD25" i="9"/>
  <c r="M196" i="3"/>
  <c r="K196" i="7"/>
  <c r="N196" i="3" s="1"/>
  <c r="AT232" i="7"/>
  <c r="AW232" i="3" s="1"/>
  <c r="AM232" i="3"/>
  <c r="AF237" i="7"/>
  <c r="AD237" i="7"/>
  <c r="BY636" i="10"/>
  <c r="BP592" i="10"/>
  <c r="I461" i="19"/>
  <c r="BB516" i="10"/>
  <c r="BC516" i="10" s="1"/>
  <c r="BX516" i="10"/>
  <c r="O516" i="10"/>
  <c r="G516" i="10"/>
  <c r="G18" i="34" s="1"/>
  <c r="BQ516" i="10"/>
  <c r="K516" i="10" s="1"/>
  <c r="BG516" i="10" s="1"/>
  <c r="BP516" i="10"/>
  <c r="T516" i="10"/>
  <c r="R516" i="10"/>
  <c r="N516" i="10"/>
  <c r="Q516" i="10"/>
  <c r="I516" i="10"/>
  <c r="P516" i="10" s="1"/>
  <c r="K339" i="7"/>
  <c r="N339" i="3" s="1"/>
  <c r="K180" i="7"/>
  <c r="N180" i="3" s="1"/>
  <c r="K118" i="7"/>
  <c r="N118" i="3" s="1"/>
  <c r="AF34" i="7"/>
  <c r="AD34" i="7"/>
  <c r="AE72" i="7"/>
  <c r="AH72" i="3" s="1"/>
  <c r="AM417" i="3"/>
  <c r="AT417" i="7"/>
  <c r="AW417" i="3" s="1"/>
  <c r="AM184" i="3"/>
  <c r="AL184" i="7"/>
  <c r="I552" i="19"/>
  <c r="G613" i="10"/>
  <c r="G115" i="34" s="1"/>
  <c r="BB613" i="10"/>
  <c r="BC613" i="10" s="1"/>
  <c r="N613" i="10"/>
  <c r="I613" i="10"/>
  <c r="P613" i="10"/>
  <c r="O613" i="10"/>
  <c r="Q613" i="10"/>
  <c r="BX613" i="10"/>
  <c r="T613" i="10"/>
  <c r="R613" i="10"/>
  <c r="BQ613" i="10"/>
  <c r="K613" i="10" s="1"/>
  <c r="BG613" i="10" s="1"/>
  <c r="AE230" i="7"/>
  <c r="AH230" i="3" s="1"/>
  <c r="BP596" i="10"/>
  <c r="K62" i="35"/>
  <c r="M62" i="35"/>
  <c r="AM383" i="3"/>
  <c r="AT383" i="7"/>
  <c r="AW383" i="3" s="1"/>
  <c r="AS383" i="7"/>
  <c r="AV383" i="3" s="1"/>
  <c r="K149" i="7"/>
  <c r="N149" i="3" s="1"/>
  <c r="CE530" i="10"/>
  <c r="I839" i="19"/>
  <c r="T909" i="10"/>
  <c r="R909" i="10"/>
  <c r="Q909" i="10"/>
  <c r="N909" i="10"/>
  <c r="I909" i="10"/>
  <c r="P909" i="10" s="1"/>
  <c r="BX909" i="10"/>
  <c r="G909" i="10"/>
  <c r="G411" i="34" s="1"/>
  <c r="BB909" i="10"/>
  <c r="BQ909" i="10"/>
  <c r="K909" i="10" s="1"/>
  <c r="BG909" i="10" s="1"/>
  <c r="O909" i="10"/>
  <c r="CD22" i="9"/>
  <c r="O22" i="9"/>
  <c r="BC22" i="9" s="1"/>
  <c r="BQ665" i="10"/>
  <c r="K665" i="10" s="1"/>
  <c r="BG665" i="10" s="1"/>
  <c r="AL406" i="7"/>
  <c r="AL360" i="7"/>
  <c r="K315" i="7"/>
  <c r="N315" i="3" s="1"/>
  <c r="AS199" i="7"/>
  <c r="AV199" i="3" s="1"/>
  <c r="AS164" i="7"/>
  <c r="AV164" i="3" s="1"/>
  <c r="AL201" i="7"/>
  <c r="AT303" i="7"/>
  <c r="AW303" i="3" s="1"/>
  <c r="AL363" i="7"/>
  <c r="AL240" i="7"/>
  <c r="AD267" i="7"/>
  <c r="AF267" i="7"/>
  <c r="K155" i="7"/>
  <c r="N155" i="3" s="1"/>
  <c r="K389" i="7"/>
  <c r="N389" i="3" s="1"/>
  <c r="AF11" i="7"/>
  <c r="AD11" i="7"/>
  <c r="AT337" i="7"/>
  <c r="AW337" i="3" s="1"/>
  <c r="CE638" i="10"/>
  <c r="AM328" i="3"/>
  <c r="AT328" i="7"/>
  <c r="AW328" i="3" s="1"/>
  <c r="AS328" i="7"/>
  <c r="AV328" i="3" s="1"/>
  <c r="AL161" i="7"/>
  <c r="AO25" i="3"/>
  <c r="AM25" i="10"/>
  <c r="AN25" i="10" s="1"/>
  <c r="AP25" i="10" s="1"/>
  <c r="AM25" i="7"/>
  <c r="AP25" i="3" s="1"/>
  <c r="AD307" i="7"/>
  <c r="AF307" i="7"/>
  <c r="I686" i="19"/>
  <c r="T757" i="10"/>
  <c r="Q757" i="10"/>
  <c r="N757" i="10"/>
  <c r="BQ757" i="10"/>
  <c r="K757" i="10" s="1"/>
  <c r="BG757" i="10" s="1"/>
  <c r="R757" i="10"/>
  <c r="O757" i="10"/>
  <c r="BB757" i="10"/>
  <c r="BC757" i="10" s="1"/>
  <c r="I757" i="10"/>
  <c r="P757" i="10" s="1"/>
  <c r="G757" i="10"/>
  <c r="G259" i="34" s="1"/>
  <c r="BX757" i="10"/>
  <c r="C135" i="8"/>
  <c r="C133" i="8"/>
  <c r="C131" i="8"/>
  <c r="C129" i="8"/>
  <c r="C127" i="8"/>
  <c r="C125" i="8"/>
  <c r="C123" i="8"/>
  <c r="C121" i="8"/>
  <c r="C119" i="8"/>
  <c r="C122" i="8"/>
  <c r="C126" i="8"/>
  <c r="C134" i="8"/>
  <c r="C130" i="8"/>
  <c r="C132" i="8"/>
  <c r="D9" i="8"/>
  <c r="C128" i="8"/>
  <c r="C120" i="8"/>
  <c r="C124" i="8"/>
  <c r="AE260" i="7"/>
  <c r="AH260" i="3" s="1"/>
  <c r="M21" i="8"/>
  <c r="AS253" i="7"/>
  <c r="AV253" i="3" s="1"/>
  <c r="AM211" i="3"/>
  <c r="AT211" i="7"/>
  <c r="AW211" i="3" s="1"/>
  <c r="AS211" i="7"/>
  <c r="AV211" i="3" s="1"/>
  <c r="AL64" i="7"/>
  <c r="AL217" i="7"/>
  <c r="AF59" i="7"/>
  <c r="AD59" i="7"/>
  <c r="AF317" i="7"/>
  <c r="AD317" i="7"/>
  <c r="AF194" i="7"/>
  <c r="AD194" i="7"/>
  <c r="AE73" i="7"/>
  <c r="AH73" i="3" s="1"/>
  <c r="O78" i="3"/>
  <c r="I609" i="19"/>
  <c r="G677" i="10"/>
  <c r="G179" i="34" s="1"/>
  <c r="I677" i="10"/>
  <c r="P677" i="10" s="1"/>
  <c r="O677" i="10"/>
  <c r="BX677" i="10"/>
  <c r="BQ677" i="10"/>
  <c r="K677" i="10" s="1"/>
  <c r="BG677" i="10" s="1"/>
  <c r="T677" i="10"/>
  <c r="N677" i="10"/>
  <c r="BB677" i="10"/>
  <c r="BC677" i="10" s="1"/>
  <c r="R677" i="10"/>
  <c r="Q677" i="10"/>
  <c r="AF9" i="7"/>
  <c r="AD9" i="7"/>
  <c r="AS216" i="7"/>
  <c r="AV216" i="3" s="1"/>
  <c r="AS151" i="7"/>
  <c r="AV151" i="3" s="1"/>
  <c r="AS74" i="7"/>
  <c r="AV74" i="3" s="1"/>
  <c r="O41" i="9"/>
  <c r="BC41" i="9" s="1"/>
  <c r="CD41" i="9"/>
  <c r="AS185" i="7"/>
  <c r="AV185" i="3" s="1"/>
  <c r="AF98" i="7"/>
  <c r="AI98" i="3" s="1"/>
  <c r="AD98" i="7"/>
  <c r="AG98" i="3" s="1"/>
  <c r="AF98" i="3"/>
  <c r="K344" i="7"/>
  <c r="N344" i="3" s="1"/>
  <c r="K313" i="7"/>
  <c r="N313" i="3" s="1"/>
  <c r="AS283" i="7"/>
  <c r="AV283" i="3" s="1"/>
  <c r="AM10" i="3"/>
  <c r="AT10" i="7"/>
  <c r="AW10" i="3" s="1"/>
  <c r="AL122" i="7"/>
  <c r="AF306" i="7"/>
  <c r="AD306" i="7"/>
  <c r="K410" i="7"/>
  <c r="N410" i="3" s="1"/>
  <c r="K290" i="7"/>
  <c r="N290" i="3" s="1"/>
  <c r="AF216" i="7"/>
  <c r="AD216" i="7"/>
  <c r="AL101" i="7"/>
  <c r="K413" i="7"/>
  <c r="N413" i="3" s="1"/>
  <c r="AL319" i="7"/>
  <c r="O36" i="3"/>
  <c r="AE26" i="7"/>
  <c r="AH26" i="3" s="1"/>
  <c r="AD117" i="7"/>
  <c r="AF117" i="7"/>
  <c r="AS362" i="7"/>
  <c r="AV362" i="3" s="1"/>
  <c r="AM31" i="10"/>
  <c r="AN31" i="10" s="1"/>
  <c r="AP31" i="10" s="1"/>
  <c r="I769" i="19"/>
  <c r="BX840" i="10"/>
  <c r="O840" i="10"/>
  <c r="N840" i="10"/>
  <c r="BQ840" i="10"/>
  <c r="K840" i="10" s="1"/>
  <c r="BG840" i="10" s="1"/>
  <c r="Q840" i="10"/>
  <c r="G840" i="10"/>
  <c r="G342" i="34" s="1"/>
  <c r="BB840" i="10"/>
  <c r="BC840" i="10" s="1"/>
  <c r="T840" i="10"/>
  <c r="R840" i="10"/>
  <c r="I840" i="10"/>
  <c r="P840" i="10" s="1"/>
  <c r="AL394" i="7"/>
  <c r="F84" i="25"/>
  <c r="S13" i="17"/>
  <c r="G13" i="17" s="1"/>
  <c r="CE920" i="10"/>
  <c r="I56" i="14"/>
  <c r="CE804" i="10"/>
  <c r="CE909" i="10"/>
  <c r="BY811" i="10"/>
  <c r="BY902" i="10"/>
  <c r="CE922" i="10"/>
  <c r="BY798" i="10"/>
  <c r="CE743" i="10"/>
  <c r="CE710" i="10"/>
  <c r="BY782" i="10"/>
  <c r="CE737" i="10"/>
  <c r="CE806" i="10"/>
  <c r="BY748" i="10"/>
  <c r="CE629" i="10"/>
  <c r="L362" i="34"/>
  <c r="CS860" i="10"/>
  <c r="N362" i="34" s="1"/>
  <c r="BY915" i="10"/>
  <c r="BY847" i="10"/>
  <c r="CE867" i="10"/>
  <c r="BY558" i="10"/>
  <c r="CE630" i="10"/>
  <c r="BY631" i="10"/>
  <c r="CE774" i="10"/>
  <c r="CE653" i="10"/>
  <c r="L269" i="34"/>
  <c r="CS767" i="10"/>
  <c r="N269" i="34" s="1"/>
  <c r="CE541" i="10"/>
  <c r="BY585" i="10"/>
  <c r="O393" i="3"/>
  <c r="AE376" i="7"/>
  <c r="AH376" i="3" s="1"/>
  <c r="I825" i="19"/>
  <c r="BB617" i="10"/>
  <c r="N617" i="10"/>
  <c r="BX617" i="10"/>
  <c r="R617" i="10"/>
  <c r="O617" i="10"/>
  <c r="I617" i="10"/>
  <c r="P617" i="10" s="1"/>
  <c r="G617" i="10"/>
  <c r="G119" i="34" s="1"/>
  <c r="T617" i="10"/>
  <c r="Q617" i="10"/>
  <c r="BQ617" i="10"/>
  <c r="K617" i="10" s="1"/>
  <c r="BG617" i="10" s="1"/>
  <c r="CE578" i="10"/>
  <c r="L7" i="8"/>
  <c r="M405" i="3"/>
  <c r="K405" i="7"/>
  <c r="N405" i="3" s="1"/>
  <c r="I702" i="19"/>
  <c r="G777" i="10"/>
  <c r="G279" i="34" s="1"/>
  <c r="O777" i="10"/>
  <c r="BX777" i="10"/>
  <c r="I777" i="10"/>
  <c r="P777" i="10" s="1"/>
  <c r="Q777" i="10"/>
  <c r="N777" i="10"/>
  <c r="BB777" i="10"/>
  <c r="BC777" i="10" s="1"/>
  <c r="BQ777" i="10"/>
  <c r="K777" i="10" s="1"/>
  <c r="BG777" i="10" s="1"/>
  <c r="R777" i="10"/>
  <c r="T777" i="10"/>
  <c r="I546" i="19"/>
  <c r="R608" i="10"/>
  <c r="BX608" i="10"/>
  <c r="BQ608" i="10"/>
  <c r="K608" i="10" s="1"/>
  <c r="BG608" i="10" s="1"/>
  <c r="T608" i="10"/>
  <c r="I608" i="10"/>
  <c r="P608" i="10" s="1"/>
  <c r="BB608" i="10"/>
  <c r="BC608" i="10" s="1"/>
  <c r="Q608" i="10"/>
  <c r="G608" i="10"/>
  <c r="G110" i="34" s="1"/>
  <c r="O608" i="10"/>
  <c r="N608" i="10"/>
  <c r="I658" i="19"/>
  <c r="T730" i="10"/>
  <c r="Q730" i="10"/>
  <c r="R730" i="10"/>
  <c r="I730" i="10"/>
  <c r="P730" i="10" s="1"/>
  <c r="O730" i="10"/>
  <c r="N730" i="10"/>
  <c r="G730" i="10"/>
  <c r="G232" i="34" s="1"/>
  <c r="BB730" i="10"/>
  <c r="BC730" i="10" s="1"/>
  <c r="BX730" i="10"/>
  <c r="BQ730" i="10"/>
  <c r="K730" i="10" s="1"/>
  <c r="BG730" i="10" s="1"/>
  <c r="BP730" i="10"/>
  <c r="I700" i="19"/>
  <c r="BB770" i="10"/>
  <c r="BQ770" i="10"/>
  <c r="K770" i="10" s="1"/>
  <c r="BG770" i="10" s="1"/>
  <c r="T770" i="10"/>
  <c r="R770" i="10"/>
  <c r="O770" i="10"/>
  <c r="I770" i="10"/>
  <c r="P770" i="10" s="1"/>
  <c r="BX770" i="10"/>
  <c r="Q770" i="10"/>
  <c r="N770" i="10"/>
  <c r="G770" i="10"/>
  <c r="G272" i="34" s="1"/>
  <c r="AM167" i="10"/>
  <c r="AN167" i="10" s="1"/>
  <c r="AP167" i="10" s="1"/>
  <c r="AM167" i="7"/>
  <c r="AP167" i="3" s="1"/>
  <c r="AO167" i="3"/>
  <c r="AS146" i="7"/>
  <c r="I549" i="19"/>
  <c r="T610" i="10"/>
  <c r="BX610" i="10"/>
  <c r="O610" i="10"/>
  <c r="R610" i="10"/>
  <c r="I610" i="10"/>
  <c r="P610" i="10" s="1"/>
  <c r="BQ610" i="10"/>
  <c r="K610" i="10" s="1"/>
  <c r="BG610" i="10" s="1"/>
  <c r="N610" i="10"/>
  <c r="G610" i="10"/>
  <c r="G112" i="34" s="1"/>
  <c r="Q610" i="10"/>
  <c r="BB610" i="10"/>
  <c r="CE613" i="10"/>
  <c r="F15" i="8"/>
  <c r="AL423" i="7"/>
  <c r="I803" i="19"/>
  <c r="T874" i="10"/>
  <c r="BB874" i="10"/>
  <c r="BC874" i="10" s="1"/>
  <c r="I874" i="10"/>
  <c r="P874" i="10" s="1"/>
  <c r="BX874" i="10"/>
  <c r="G874" i="10"/>
  <c r="G376" i="34" s="1"/>
  <c r="O874" i="10"/>
  <c r="R874" i="10"/>
  <c r="Q874" i="10"/>
  <c r="BQ874" i="10"/>
  <c r="K874" i="10" s="1"/>
  <c r="BG874" i="10" s="1"/>
  <c r="N874" i="10"/>
  <c r="O49" i="9"/>
  <c r="BC49" i="9" s="1"/>
  <c r="CD49" i="9"/>
  <c r="AL165" i="7"/>
  <c r="M97" i="3"/>
  <c r="K97" i="7"/>
  <c r="N97" i="3" s="1"/>
  <c r="K357" i="7"/>
  <c r="N357" i="3" s="1"/>
  <c r="K173" i="7"/>
  <c r="N173" i="3" s="1"/>
  <c r="AT424" i="7"/>
  <c r="AW424" i="3" s="1"/>
  <c r="K92" i="7"/>
  <c r="N92" i="3" s="1"/>
  <c r="AT314" i="7"/>
  <c r="AW314" i="3" s="1"/>
  <c r="AE257" i="7"/>
  <c r="AH257" i="3" s="1"/>
  <c r="L15" i="8"/>
  <c r="N15" i="8"/>
  <c r="K15" i="8"/>
  <c r="M15" i="8"/>
  <c r="O257" i="3"/>
  <c r="J15" i="8"/>
  <c r="K137" i="7"/>
  <c r="N137" i="3" s="1"/>
  <c r="K382" i="7"/>
  <c r="N382" i="3" s="1"/>
  <c r="M58" i="3"/>
  <c r="K58" i="7"/>
  <c r="N58" i="3" s="1"/>
  <c r="CR752" i="10"/>
  <c r="P254" i="34" s="1"/>
  <c r="I749" i="19"/>
  <c r="R822" i="10"/>
  <c r="Q822" i="10"/>
  <c r="BX822" i="10"/>
  <c r="O822" i="10"/>
  <c r="I822" i="10"/>
  <c r="P822" i="10" s="1"/>
  <c r="G822" i="10"/>
  <c r="G324" i="34" s="1"/>
  <c r="BQ822" i="10"/>
  <c r="K822" i="10" s="1"/>
  <c r="BG822" i="10" s="1"/>
  <c r="T822" i="10"/>
  <c r="N822" i="10"/>
  <c r="BB822" i="10"/>
  <c r="AT396" i="7"/>
  <c r="AW396" i="3" s="1"/>
  <c r="AL196" i="7"/>
  <c r="AF101" i="7"/>
  <c r="AI101" i="3" s="1"/>
  <c r="AD101" i="7"/>
  <c r="AG101" i="3" s="1"/>
  <c r="AF101" i="3"/>
  <c r="AD61" i="7"/>
  <c r="AF61" i="7"/>
  <c r="AM404" i="3"/>
  <c r="AT404" i="7"/>
  <c r="AW404" i="3" s="1"/>
  <c r="AE231" i="7"/>
  <c r="AH231" i="3" s="1"/>
  <c r="AL21" i="7"/>
  <c r="M289" i="3"/>
  <c r="K289" i="7"/>
  <c r="N289" i="3" s="1"/>
  <c r="K306" i="7"/>
  <c r="N306" i="3" s="1"/>
  <c r="I665" i="19"/>
  <c r="BB737" i="10"/>
  <c r="O737" i="10"/>
  <c r="N737" i="10"/>
  <c r="G737" i="10"/>
  <c r="G239" i="34" s="1"/>
  <c r="BQ737" i="10"/>
  <c r="K737" i="10" s="1"/>
  <c r="BG737" i="10" s="1"/>
  <c r="T737" i="10"/>
  <c r="I737" i="10"/>
  <c r="P737" i="10" s="1"/>
  <c r="BX737" i="10"/>
  <c r="Q737" i="10"/>
  <c r="R737" i="10"/>
  <c r="L8" i="8"/>
  <c r="AL417" i="7"/>
  <c r="AM114" i="3"/>
  <c r="AT114" i="7"/>
  <c r="AW114" i="3" s="1"/>
  <c r="AS114" i="7"/>
  <c r="AV114" i="3" s="1"/>
  <c r="AD289" i="7"/>
  <c r="AF289" i="7"/>
  <c r="I481" i="19"/>
  <c r="N536" i="10"/>
  <c r="K536" i="10"/>
  <c r="BG536" i="10" s="1"/>
  <c r="BQ536" i="10"/>
  <c r="Q536" i="10"/>
  <c r="BX536" i="10"/>
  <c r="T536" i="10"/>
  <c r="R536" i="10"/>
  <c r="O536" i="10"/>
  <c r="G536" i="10"/>
  <c r="G38" i="34" s="1"/>
  <c r="BB536" i="10"/>
  <c r="I536" i="10"/>
  <c r="P536" i="10" s="1"/>
  <c r="AE327" i="7"/>
  <c r="AH327" i="3" s="1"/>
  <c r="O333" i="3"/>
  <c r="AS406" i="7"/>
  <c r="AV406" i="3" s="1"/>
  <c r="AS364" i="7"/>
  <c r="AV364" i="3" s="1"/>
  <c r="CD55" i="9"/>
  <c r="O55" i="9"/>
  <c r="BC55" i="9" s="1"/>
  <c r="AT290" i="7"/>
  <c r="AW290" i="3" s="1"/>
  <c r="AS201" i="7"/>
  <c r="AV201" i="3" s="1"/>
  <c r="CD31" i="9"/>
  <c r="O31" i="9"/>
  <c r="BC31" i="9" s="1"/>
  <c r="K70" i="7"/>
  <c r="N70" i="3" s="1"/>
  <c r="AD363" i="7"/>
  <c r="AF363" i="7"/>
  <c r="M212" i="3"/>
  <c r="K212" i="7"/>
  <c r="N212" i="3" s="1"/>
  <c r="K376" i="7"/>
  <c r="N376" i="3" s="1"/>
  <c r="AD23" i="7"/>
  <c r="AF23" i="7"/>
  <c r="I444" i="19"/>
  <c r="BB500" i="10"/>
  <c r="BC500" i="10" s="1"/>
  <c r="G494" i="10"/>
  <c r="BQ500" i="10"/>
  <c r="K500" i="10" s="1"/>
  <c r="BG500" i="10" s="1"/>
  <c r="N500" i="10"/>
  <c r="I500" i="10"/>
  <c r="P500" i="10" s="1"/>
  <c r="G500" i="10"/>
  <c r="G2" i="34" s="1"/>
  <c r="R500" i="10"/>
  <c r="Q500" i="10"/>
  <c r="BX500" i="10"/>
  <c r="H494" i="10"/>
  <c r="T500" i="10"/>
  <c r="O500" i="10"/>
  <c r="AD337" i="7"/>
  <c r="AF337" i="7"/>
  <c r="L140" i="34"/>
  <c r="CS638" i="10"/>
  <c r="N140" i="34" s="1"/>
  <c r="I750" i="19"/>
  <c r="I823" i="10"/>
  <c r="P823" i="10" s="1"/>
  <c r="BQ823" i="10"/>
  <c r="K823" i="10" s="1"/>
  <c r="BG823" i="10" s="1"/>
  <c r="G823" i="10"/>
  <c r="G325" i="34" s="1"/>
  <c r="O823" i="10"/>
  <c r="R823" i="10"/>
  <c r="Q823" i="10"/>
  <c r="T823" i="10"/>
  <c r="N823" i="10"/>
  <c r="BX823" i="10"/>
  <c r="BB823" i="10"/>
  <c r="S823" i="10"/>
  <c r="AS221" i="7"/>
  <c r="AV221" i="3" s="1"/>
  <c r="AD314" i="7"/>
  <c r="AF314" i="7"/>
  <c r="F9" i="8"/>
  <c r="M98" i="3"/>
  <c r="K253" i="7"/>
  <c r="N253" i="3" s="1"/>
  <c r="AE407" i="7"/>
  <c r="AH407" i="3" s="1"/>
  <c r="AE233" i="7"/>
  <c r="AH233" i="3" s="1"/>
  <c r="O253" i="3"/>
  <c r="I502" i="19"/>
  <c r="BB559" i="10"/>
  <c r="BC559" i="10" s="1"/>
  <c r="BX559" i="10"/>
  <c r="I559" i="10"/>
  <c r="P559" i="10" s="1"/>
  <c r="T559" i="10"/>
  <c r="N559" i="10"/>
  <c r="G559" i="10"/>
  <c r="G61" i="34" s="1"/>
  <c r="BQ559" i="10"/>
  <c r="K559" i="10" s="1"/>
  <c r="BG559" i="10" s="1"/>
  <c r="R559" i="10"/>
  <c r="Q559" i="10"/>
  <c r="O559" i="10"/>
  <c r="AT53" i="7"/>
  <c r="AW53" i="3" s="1"/>
  <c r="AS285" i="7"/>
  <c r="AV285" i="3" s="1"/>
  <c r="CE27" i="9"/>
  <c r="AS51" i="7"/>
  <c r="AD176" i="7"/>
  <c r="AG176" i="3" s="1"/>
  <c r="AF176" i="7"/>
  <c r="AI176" i="3" s="1"/>
  <c r="AF176" i="3"/>
  <c r="AL78" i="7"/>
  <c r="L101" i="34"/>
  <c r="CS599" i="10"/>
  <c r="N101" i="34" s="1"/>
  <c r="AT427" i="7"/>
  <c r="AW427" i="3" s="1"/>
  <c r="AL295" i="7"/>
  <c r="AM9" i="3"/>
  <c r="AS9" i="7"/>
  <c r="AF348" i="7"/>
  <c r="AI348" i="3" s="1"/>
  <c r="AD348" i="7"/>
  <c r="AG348" i="3" s="1"/>
  <c r="AF348" i="3"/>
  <c r="AS340" i="7"/>
  <c r="AV340" i="3" s="1"/>
  <c r="AD309" i="7"/>
  <c r="AF309" i="7"/>
  <c r="AL243" i="7"/>
  <c r="AS408" i="7"/>
  <c r="AV408" i="3" s="1"/>
  <c r="AM269" i="3"/>
  <c r="AT269" i="7"/>
  <c r="AW269" i="3" s="1"/>
  <c r="AS269" i="7"/>
  <c r="AV269" i="3" s="1"/>
  <c r="K216" i="7"/>
  <c r="N216" i="3" s="1"/>
  <c r="CD28" i="9"/>
  <c r="O28" i="9"/>
  <c r="BC28" i="9" s="1"/>
  <c r="K409" i="7"/>
  <c r="N409" i="3" s="1"/>
  <c r="AT372" i="7"/>
  <c r="AW372" i="3" s="1"/>
  <c r="AT236" i="7"/>
  <c r="AW236" i="3" s="1"/>
  <c r="K34" i="35"/>
  <c r="M34" i="35"/>
  <c r="AL334" i="7"/>
  <c r="AT313" i="7"/>
  <c r="AW313" i="3" s="1"/>
  <c r="I703" i="19"/>
  <c r="Q778" i="10"/>
  <c r="BX778" i="10"/>
  <c r="G778" i="10"/>
  <c r="G280" i="34" s="1"/>
  <c r="BQ778" i="10"/>
  <c r="K778" i="10" s="1"/>
  <c r="N778" i="10"/>
  <c r="BB778" i="10"/>
  <c r="BC778" i="10" s="1"/>
  <c r="R778" i="10"/>
  <c r="BG778" i="10"/>
  <c r="T778" i="10"/>
  <c r="I778" i="10"/>
  <c r="P778" i="10" s="1"/>
  <c r="O778" i="10"/>
  <c r="AL10" i="7"/>
  <c r="I714" i="19"/>
  <c r="R789" i="10"/>
  <c r="Q789" i="10"/>
  <c r="T789" i="10"/>
  <c r="BQ789" i="10"/>
  <c r="K789" i="10" s="1"/>
  <c r="BG789" i="10" s="1"/>
  <c r="I789" i="10"/>
  <c r="P789" i="10" s="1"/>
  <c r="O789" i="10"/>
  <c r="N789" i="10"/>
  <c r="G789" i="10"/>
  <c r="G291" i="34" s="1"/>
  <c r="BB789" i="10"/>
  <c r="BX789" i="10"/>
  <c r="AS122" i="7"/>
  <c r="AV122" i="3" s="1"/>
  <c r="AF408" i="3"/>
  <c r="AF408" i="7"/>
  <c r="AI408" i="3" s="1"/>
  <c r="AD408" i="7"/>
  <c r="AG408" i="3" s="1"/>
  <c r="AS324" i="7"/>
  <c r="AV324" i="3" s="1"/>
  <c r="AD223" i="7"/>
  <c r="AF223" i="7"/>
  <c r="AL284" i="7"/>
  <c r="AL27" i="7"/>
  <c r="AF334" i="7"/>
  <c r="AD334" i="7"/>
  <c r="K38" i="7"/>
  <c r="N38" i="3" s="1"/>
  <c r="AT186" i="7"/>
  <c r="AW186" i="3" s="1"/>
  <c r="AE145" i="7"/>
  <c r="AH145" i="3" s="1"/>
  <c r="AF139" i="7"/>
  <c r="AD139" i="7"/>
  <c r="AS36" i="7"/>
  <c r="AV36" i="3" s="1"/>
  <c r="I622" i="19"/>
  <c r="I690" i="10"/>
  <c r="BQ690" i="10"/>
  <c r="K690" i="10" s="1"/>
  <c r="BG690" i="10" s="1"/>
  <c r="T690" i="10"/>
  <c r="BX690" i="10"/>
  <c r="G690" i="10"/>
  <c r="G192" i="34" s="1"/>
  <c r="BB690" i="10"/>
  <c r="BC690" i="10" s="1"/>
  <c r="P690" i="10"/>
  <c r="N690" i="10"/>
  <c r="R690" i="10"/>
  <c r="Q690" i="10"/>
  <c r="O690" i="10"/>
  <c r="AS397" i="7"/>
  <c r="AV397" i="3" s="1"/>
  <c r="AL349" i="7"/>
  <c r="AT204" i="7"/>
  <c r="AW204" i="3" s="1"/>
  <c r="AS117" i="7"/>
  <c r="AV117" i="3" s="1"/>
  <c r="AL220" i="7"/>
  <c r="AF362" i="7"/>
  <c r="AD362" i="7"/>
  <c r="AT386" i="7"/>
  <c r="AW386" i="3" s="1"/>
  <c r="AS291" i="7"/>
  <c r="AV291" i="3" s="1"/>
  <c r="I672" i="19"/>
  <c r="R744" i="10"/>
  <c r="BX744" i="10"/>
  <c r="O744" i="10"/>
  <c r="BB744" i="10"/>
  <c r="BC744" i="10" s="1"/>
  <c r="I744" i="10"/>
  <c r="P744" i="10" s="1"/>
  <c r="G744" i="10"/>
  <c r="G246" i="34" s="1"/>
  <c r="BQ744" i="10"/>
  <c r="K744" i="10" s="1"/>
  <c r="BG744" i="10" s="1"/>
  <c r="BP744" i="10"/>
  <c r="BR744" i="10" s="1"/>
  <c r="T744" i="10"/>
  <c r="Q744" i="10"/>
  <c r="N744" i="10"/>
  <c r="AL265" i="7"/>
  <c r="AL43" i="7"/>
  <c r="AS133" i="7"/>
  <c r="AV133" i="3" s="1"/>
  <c r="AM103" i="3"/>
  <c r="AS103" i="7"/>
  <c r="AV103" i="3" s="1"/>
  <c r="AT103" i="7"/>
  <c r="AW103" i="3" s="1"/>
  <c r="M46" i="3"/>
  <c r="K46" i="7"/>
  <c r="N46" i="3" s="1"/>
  <c r="I465" i="19"/>
  <c r="T520" i="10"/>
  <c r="BB520" i="10"/>
  <c r="N520" i="10"/>
  <c r="BX520" i="10"/>
  <c r="R520" i="10"/>
  <c r="Q520" i="10"/>
  <c r="BQ520" i="10"/>
  <c r="K520" i="10" s="1"/>
  <c r="BG520" i="10" s="1"/>
  <c r="O520" i="10"/>
  <c r="I520" i="10"/>
  <c r="P520" i="10" s="1"/>
  <c r="S520" i="10" s="1"/>
  <c r="G520" i="10"/>
  <c r="G22" i="34" s="1"/>
  <c r="I471" i="19"/>
  <c r="BX526" i="10"/>
  <c r="O526" i="10"/>
  <c r="N526" i="10"/>
  <c r="BB526" i="10"/>
  <c r="I526" i="10"/>
  <c r="P526" i="10" s="1"/>
  <c r="G526" i="10"/>
  <c r="G28" i="34" s="1"/>
  <c r="BQ526" i="10"/>
  <c r="K526" i="10" s="1"/>
  <c r="BG526" i="10" s="1"/>
  <c r="T526" i="10"/>
  <c r="R526" i="10"/>
  <c r="Q526" i="10"/>
  <c r="M268" i="3"/>
  <c r="K268" i="7"/>
  <c r="N268" i="3" s="1"/>
  <c r="L92" i="34"/>
  <c r="CS590" i="10"/>
  <c r="N92" i="34" s="1"/>
  <c r="K368" i="7"/>
  <c r="N368" i="3" s="1"/>
  <c r="AL17" i="7"/>
  <c r="I688" i="19"/>
  <c r="T759" i="10"/>
  <c r="BX759" i="10"/>
  <c r="I759" i="10"/>
  <c r="P759" i="10" s="1"/>
  <c r="G759" i="10"/>
  <c r="G261" i="34" s="1"/>
  <c r="BQ759" i="10"/>
  <c r="K759" i="10" s="1"/>
  <c r="BG759" i="10" s="1"/>
  <c r="R759" i="10"/>
  <c r="O759" i="10"/>
  <c r="Q759" i="10"/>
  <c r="N759" i="10"/>
  <c r="BB759" i="10"/>
  <c r="BC759" i="10" s="1"/>
  <c r="AD112" i="7"/>
  <c r="AF112" i="7"/>
  <c r="AT321" i="7"/>
  <c r="AW321" i="3" s="1"/>
  <c r="O219" i="3"/>
  <c r="AE203" i="7"/>
  <c r="AH203" i="3" s="1"/>
  <c r="M232" i="3"/>
  <c r="K232" i="7"/>
  <c r="N232" i="3" s="1"/>
  <c r="AF131" i="7"/>
  <c r="AD131" i="7"/>
  <c r="I728" i="19"/>
  <c r="BQ591" i="10"/>
  <c r="K591" i="10" s="1"/>
  <c r="BG591" i="10" s="1"/>
  <c r="R591" i="10"/>
  <c r="BX591" i="10"/>
  <c r="BB591" i="10"/>
  <c r="BC591" i="10" s="1"/>
  <c r="I591" i="10"/>
  <c r="P591" i="10" s="1"/>
  <c r="G591" i="10"/>
  <c r="G93" i="34" s="1"/>
  <c r="T591" i="10"/>
  <c r="Q591" i="10"/>
  <c r="O591" i="10"/>
  <c r="N591" i="10"/>
  <c r="BZ905" i="10"/>
  <c r="CC905" i="10"/>
  <c r="L274" i="34"/>
  <c r="CS772" i="10"/>
  <c r="N274" i="34" s="1"/>
  <c r="L172" i="34"/>
  <c r="CS670" i="10"/>
  <c r="N172" i="34" s="1"/>
  <c r="J136" i="34"/>
  <c r="CG634" i="10"/>
  <c r="CK634" i="10"/>
  <c r="CI634" i="10"/>
  <c r="CF634" i="10"/>
  <c r="BZ826" i="10"/>
  <c r="CH577" i="10"/>
  <c r="L135" i="34"/>
  <c r="CS633" i="10"/>
  <c r="N135" i="34" s="1"/>
  <c r="T847" i="10"/>
  <c r="R847" i="10"/>
  <c r="Q847" i="10"/>
  <c r="O847" i="10"/>
  <c r="BB847" i="10"/>
  <c r="BC847" i="10" s="1"/>
  <c r="N847" i="10"/>
  <c r="BX847" i="10"/>
  <c r="I847" i="10"/>
  <c r="P847" i="10" s="1"/>
  <c r="BQ847" i="10"/>
  <c r="K847" i="10" s="1"/>
  <c r="BG847" i="10" s="1"/>
  <c r="G847" i="10"/>
  <c r="G349" i="34" s="1"/>
  <c r="I776" i="19"/>
  <c r="M73" i="3"/>
  <c r="F8" i="8"/>
  <c r="AL246" i="7"/>
  <c r="L135" i="3"/>
  <c r="K135" i="7"/>
  <c r="N135" i="3" s="1"/>
  <c r="AF231" i="7"/>
  <c r="AI231" i="3" s="1"/>
  <c r="AD231" i="7"/>
  <c r="AG231" i="3" s="1"/>
  <c r="AF231" i="3"/>
  <c r="K63" i="7"/>
  <c r="N63" i="3" s="1"/>
  <c r="K374" i="34"/>
  <c r="CB872" i="10"/>
  <c r="CA872" i="10"/>
  <c r="BZ872" i="10"/>
  <c r="CD872" i="10" s="1"/>
  <c r="CC872" i="10"/>
  <c r="L161" i="34"/>
  <c r="CS659" i="10"/>
  <c r="N161" i="34" s="1"/>
  <c r="L231" i="34"/>
  <c r="CS729" i="10"/>
  <c r="N231" i="34" s="1"/>
  <c r="K40" i="34"/>
  <c r="CC538" i="10"/>
  <c r="CB538" i="10"/>
  <c r="L27" i="34"/>
  <c r="CS525" i="10"/>
  <c r="N27" i="34" s="1"/>
  <c r="L375" i="3"/>
  <c r="K375" i="7"/>
  <c r="N375" i="3" s="1"/>
  <c r="O74" i="9"/>
  <c r="BC74" i="9" s="1"/>
  <c r="CD74" i="9"/>
  <c r="AF338" i="7"/>
  <c r="AD338" i="7"/>
  <c r="AD102" i="7"/>
  <c r="AF102" i="7"/>
  <c r="I508" i="19"/>
  <c r="N568" i="10"/>
  <c r="G568" i="10"/>
  <c r="G70" i="34" s="1"/>
  <c r="T568" i="10"/>
  <c r="R568" i="10"/>
  <c r="BB568" i="10"/>
  <c r="I568" i="10"/>
  <c r="P568" i="10" s="1"/>
  <c r="BQ568" i="10"/>
  <c r="K568" i="10" s="1"/>
  <c r="BG568" i="10" s="1"/>
  <c r="Q568" i="10"/>
  <c r="O568" i="10"/>
  <c r="BX568" i="10"/>
  <c r="J67" i="34"/>
  <c r="CG565" i="10"/>
  <c r="CK565" i="10"/>
  <c r="CJ565" i="10"/>
  <c r="CH565" i="10"/>
  <c r="CF565" i="10"/>
  <c r="CL565" i="10" s="1"/>
  <c r="AD379" i="7"/>
  <c r="AF379" i="7"/>
  <c r="AL300" i="7"/>
  <c r="I706" i="19"/>
  <c r="I781" i="10"/>
  <c r="P781" i="10" s="1"/>
  <c r="BB781" i="10"/>
  <c r="BQ781" i="10"/>
  <c r="K781" i="10" s="1"/>
  <c r="BG781" i="10" s="1"/>
  <c r="Q781" i="10"/>
  <c r="G781" i="10"/>
  <c r="G283" i="34" s="1"/>
  <c r="R781" i="10"/>
  <c r="O781" i="10"/>
  <c r="N781" i="10"/>
  <c r="BX781" i="10"/>
  <c r="T781" i="10"/>
  <c r="AM353" i="3"/>
  <c r="AT353" i="7"/>
  <c r="AW353" i="3" s="1"/>
  <c r="I503" i="19"/>
  <c r="BQ560" i="10"/>
  <c r="K560" i="10" s="1"/>
  <c r="BG560" i="10" s="1"/>
  <c r="G560" i="10"/>
  <c r="G62" i="34" s="1"/>
  <c r="R560" i="10"/>
  <c r="O560" i="10"/>
  <c r="Q560" i="10"/>
  <c r="N560" i="10"/>
  <c r="BB560" i="10"/>
  <c r="BX560" i="10"/>
  <c r="I560" i="10"/>
  <c r="P560" i="10" s="1"/>
  <c r="T560" i="10"/>
  <c r="I707" i="19"/>
  <c r="Q782" i="10"/>
  <c r="R782" i="10"/>
  <c r="O782" i="10"/>
  <c r="N782" i="10"/>
  <c r="G782" i="10"/>
  <c r="G284" i="34" s="1"/>
  <c r="T782" i="10"/>
  <c r="BB782" i="10"/>
  <c r="BX782" i="10"/>
  <c r="I782" i="10"/>
  <c r="P782" i="10" s="1"/>
  <c r="BQ782" i="10"/>
  <c r="K782" i="10" s="1"/>
  <c r="BG782" i="10" s="1"/>
  <c r="AF141" i="7"/>
  <c r="AD141" i="7"/>
  <c r="L329" i="34"/>
  <c r="CS827" i="10"/>
  <c r="N329" i="34" s="1"/>
  <c r="CN53" i="9"/>
  <c r="CM53" i="9"/>
  <c r="CO53" i="9"/>
  <c r="CL53" i="9"/>
  <c r="CQ53" i="9" s="1"/>
  <c r="L208" i="34"/>
  <c r="CS706" i="10"/>
  <c r="N208" i="34" s="1"/>
  <c r="CF544" i="10"/>
  <c r="CL544" i="10" s="1"/>
  <c r="K172" i="7"/>
  <c r="N172" i="3" s="1"/>
  <c r="M172" i="3"/>
  <c r="I580" i="19"/>
  <c r="BX645" i="10"/>
  <c r="O645" i="10"/>
  <c r="T645" i="10"/>
  <c r="Q645" i="10"/>
  <c r="N645" i="10"/>
  <c r="I645" i="10"/>
  <c r="P645" i="10" s="1"/>
  <c r="G645" i="10"/>
  <c r="G147" i="34" s="1"/>
  <c r="BB645" i="10"/>
  <c r="R645" i="10"/>
  <c r="BQ645" i="10"/>
  <c r="K645" i="10" s="1"/>
  <c r="BG645" i="10" s="1"/>
  <c r="L116" i="34"/>
  <c r="CS614" i="10"/>
  <c r="N116" i="34" s="1"/>
  <c r="K2" i="35"/>
  <c r="M2" i="35"/>
  <c r="I830" i="19"/>
  <c r="I668" i="10"/>
  <c r="BX668" i="10"/>
  <c r="BQ668" i="10"/>
  <c r="K668" i="10" s="1"/>
  <c r="BG668" i="10" s="1"/>
  <c r="T668" i="10"/>
  <c r="R668" i="10"/>
  <c r="O668" i="10"/>
  <c r="Q668" i="10"/>
  <c r="P668" i="10"/>
  <c r="N668" i="10"/>
  <c r="BB668" i="10"/>
  <c r="BC668" i="10" s="1"/>
  <c r="G668" i="10"/>
  <c r="G170" i="34" s="1"/>
  <c r="AD376" i="7"/>
  <c r="AG376" i="3" s="1"/>
  <c r="AF376" i="3"/>
  <c r="AF376" i="7"/>
  <c r="AI376" i="3" s="1"/>
  <c r="L6" i="34"/>
  <c r="CS504" i="10"/>
  <c r="N6" i="34" s="1"/>
  <c r="AM385" i="10"/>
  <c r="AN385" i="10" s="1"/>
  <c r="AP385" i="10" s="1"/>
  <c r="AM385" i="7"/>
  <c r="AP385" i="3" s="1"/>
  <c r="AO175" i="3"/>
  <c r="AT148" i="7"/>
  <c r="AW148" i="3" s="1"/>
  <c r="AL148" i="7"/>
  <c r="AM148" i="3"/>
  <c r="I863" i="19"/>
  <c r="BX901" i="10"/>
  <c r="O901" i="10"/>
  <c r="N901" i="10"/>
  <c r="BB901" i="10"/>
  <c r="G901" i="10"/>
  <c r="G403" i="34" s="1"/>
  <c r="BQ901" i="10"/>
  <c r="K901" i="10" s="1"/>
  <c r="BG901" i="10" s="1"/>
  <c r="I901" i="10"/>
  <c r="P901" i="10" s="1"/>
  <c r="Q901" i="10"/>
  <c r="T901" i="10"/>
  <c r="R901" i="10"/>
  <c r="AD382" i="7"/>
  <c r="AF382" i="7"/>
  <c r="I547" i="19"/>
  <c r="R565" i="10"/>
  <c r="G565" i="10"/>
  <c r="G67" i="34" s="1"/>
  <c r="O565" i="10"/>
  <c r="I565" i="10"/>
  <c r="P565" i="10" s="1"/>
  <c r="BB565" i="10"/>
  <c r="BX565" i="10"/>
  <c r="T565" i="10"/>
  <c r="BQ565" i="10"/>
  <c r="K565" i="10" s="1"/>
  <c r="BG565" i="10" s="1"/>
  <c r="Q565" i="10"/>
  <c r="N565" i="10"/>
  <c r="AD16" i="7"/>
  <c r="AF16" i="7"/>
  <c r="AL238" i="7"/>
  <c r="AE201" i="7"/>
  <c r="AH201" i="3" s="1"/>
  <c r="O206" i="3"/>
  <c r="AF32" i="7"/>
  <c r="AD32" i="7"/>
  <c r="O21" i="9"/>
  <c r="BC21" i="9" s="1"/>
  <c r="CD21" i="9"/>
  <c r="K13" i="8"/>
  <c r="K195" i="34"/>
  <c r="CB693" i="10"/>
  <c r="BZ693" i="10"/>
  <c r="CR693" i="10"/>
  <c r="P195" i="34" s="1"/>
  <c r="CC693" i="10"/>
  <c r="CA693" i="10"/>
  <c r="J339" i="34"/>
  <c r="CF837" i="10"/>
  <c r="CL837" i="10" s="1"/>
  <c r="CJ837" i="10"/>
  <c r="CI837" i="10"/>
  <c r="CK837" i="10"/>
  <c r="CH837" i="10"/>
  <c r="CG837" i="10"/>
  <c r="BY726" i="10"/>
  <c r="K150" i="7"/>
  <c r="N150" i="3" s="1"/>
  <c r="M150" i="3"/>
  <c r="AD151" i="7"/>
  <c r="AF151" i="7"/>
  <c r="O168" i="3"/>
  <c r="AE149" i="7"/>
  <c r="AH149" i="3" s="1"/>
  <c r="AD377" i="7"/>
  <c r="AG377" i="3" s="1"/>
  <c r="AF377" i="7"/>
  <c r="AI377" i="3" s="1"/>
  <c r="AF377" i="3"/>
  <c r="K273" i="7"/>
  <c r="N273" i="3" s="1"/>
  <c r="L273" i="3"/>
  <c r="AL241" i="7"/>
  <c r="AF147" i="7"/>
  <c r="AI147" i="3" s="1"/>
  <c r="AD147" i="7"/>
  <c r="AG147" i="3" s="1"/>
  <c r="AF147" i="3"/>
  <c r="AF279" i="7"/>
  <c r="AD279" i="7"/>
  <c r="AF97" i="7"/>
  <c r="AD97" i="7"/>
  <c r="AL339" i="7"/>
  <c r="AL33" i="7"/>
  <c r="AM320" i="3"/>
  <c r="AT320" i="7"/>
  <c r="AW320" i="3" s="1"/>
  <c r="AS320" i="7"/>
  <c r="AV320" i="3" s="1"/>
  <c r="I698" i="19"/>
  <c r="T589" i="10"/>
  <c r="Q589" i="10"/>
  <c r="N589" i="10"/>
  <c r="S589" i="10" s="1"/>
  <c r="BB589" i="10"/>
  <c r="I589" i="10"/>
  <c r="P589" i="10" s="1"/>
  <c r="BX589" i="10"/>
  <c r="O589" i="10"/>
  <c r="R589" i="10"/>
  <c r="BQ589" i="10"/>
  <c r="K589" i="10" s="1"/>
  <c r="BG589" i="10" s="1"/>
  <c r="G589" i="10"/>
  <c r="G91" i="34" s="1"/>
  <c r="CK519" i="10"/>
  <c r="CH519" i="10"/>
  <c r="CG519" i="10"/>
  <c r="CJ519" i="10"/>
  <c r="CI519" i="10"/>
  <c r="AM175" i="3"/>
  <c r="AT175" i="7"/>
  <c r="AW175" i="3" s="1"/>
  <c r="AS175" i="7"/>
  <c r="AV175" i="3" s="1"/>
  <c r="K400" i="7"/>
  <c r="N400" i="3" s="1"/>
  <c r="AL95" i="7"/>
  <c r="I454" i="19"/>
  <c r="BQ510" i="10"/>
  <c r="K510" i="10" s="1"/>
  <c r="BG510" i="10" s="1"/>
  <c r="I510" i="10"/>
  <c r="P510" i="10" s="1"/>
  <c r="O510" i="10"/>
  <c r="N510" i="10"/>
  <c r="G510" i="10"/>
  <c r="G12" i="34" s="1"/>
  <c r="BX510" i="10"/>
  <c r="T510" i="10"/>
  <c r="R510" i="10"/>
  <c r="Q510" i="10"/>
  <c r="BB510" i="10"/>
  <c r="BC510" i="10" s="1"/>
  <c r="K121" i="7"/>
  <c r="N121" i="3" s="1"/>
  <c r="AT171" i="7"/>
  <c r="AW171" i="3" s="1"/>
  <c r="AS171" i="7"/>
  <c r="AV171" i="3" s="1"/>
  <c r="AM171" i="3"/>
  <c r="CD26" i="9"/>
  <c r="O26" i="9"/>
  <c r="BC26" i="9" s="1"/>
  <c r="O37" i="9"/>
  <c r="BC37" i="9" s="1"/>
  <c r="CD37" i="9"/>
  <c r="AM346" i="3"/>
  <c r="AT346" i="7"/>
  <c r="L13" i="8"/>
  <c r="L216" i="34"/>
  <c r="CS714" i="10"/>
  <c r="N216" i="34" s="1"/>
  <c r="L419" i="34"/>
  <c r="CS917" i="10"/>
  <c r="N419" i="34" s="1"/>
  <c r="CG632" i="10"/>
  <c r="CA687" i="10"/>
  <c r="L322" i="34"/>
  <c r="CS820" i="10"/>
  <c r="N322" i="34" s="1"/>
  <c r="L43" i="34"/>
  <c r="CS541" i="10"/>
  <c r="N43" i="34" s="1"/>
  <c r="M421" i="3"/>
  <c r="K421" i="7"/>
  <c r="N421" i="3" s="1"/>
  <c r="M20" i="35"/>
  <c r="K20" i="35"/>
  <c r="AD384" i="7"/>
  <c r="AF384" i="7"/>
  <c r="J185" i="34"/>
  <c r="CK683" i="10"/>
  <c r="CH683" i="10"/>
  <c r="CG683" i="10"/>
  <c r="CJ683" i="10"/>
  <c r="CI683" i="10"/>
  <c r="CF683" i="10"/>
  <c r="CL683" i="10" s="1"/>
  <c r="AT259" i="7"/>
  <c r="AW259" i="3" s="1"/>
  <c r="AM259" i="3"/>
  <c r="I752" i="19"/>
  <c r="I825" i="10"/>
  <c r="P825" i="10" s="1"/>
  <c r="G825" i="10"/>
  <c r="G327" i="34" s="1"/>
  <c r="O825" i="10"/>
  <c r="N825" i="10"/>
  <c r="Q825" i="10"/>
  <c r="T825" i="10"/>
  <c r="R825" i="10"/>
  <c r="BB825" i="10"/>
  <c r="BX825" i="10"/>
  <c r="BQ825" i="10"/>
  <c r="K825" i="10" s="1"/>
  <c r="BG825" i="10" s="1"/>
  <c r="J116" i="34"/>
  <c r="CG614" i="10"/>
  <c r="CH614" i="10"/>
  <c r="CK614" i="10"/>
  <c r="CJ614" i="10"/>
  <c r="CF614" i="10"/>
  <c r="CL614" i="10" s="1"/>
  <c r="CI614" i="10"/>
  <c r="C260" i="11"/>
  <c r="AS168" i="7"/>
  <c r="AV168" i="3" s="1"/>
  <c r="I812" i="19"/>
  <c r="R883" i="10"/>
  <c r="Q883" i="10"/>
  <c r="N883" i="10"/>
  <c r="T883" i="10"/>
  <c r="BX883" i="10"/>
  <c r="BB883" i="10"/>
  <c r="BC883" i="10" s="1"/>
  <c r="O883" i="10"/>
  <c r="I883" i="10"/>
  <c r="P883" i="10" s="1"/>
  <c r="BQ883" i="10"/>
  <c r="K883" i="10" s="1"/>
  <c r="BG883" i="10" s="1"/>
  <c r="G883" i="10"/>
  <c r="G385" i="34" s="1"/>
  <c r="D229" i="8"/>
  <c r="AF354" i="7"/>
  <c r="AD354" i="7"/>
  <c r="AS339" i="7"/>
  <c r="AV339" i="3" s="1"/>
  <c r="CG44" i="9"/>
  <c r="CF44" i="9"/>
  <c r="CI44" i="9"/>
  <c r="K217" i="7"/>
  <c r="N217" i="3" s="1"/>
  <c r="K395" i="7"/>
  <c r="N395" i="3" s="1"/>
  <c r="M293" i="3"/>
  <c r="K293" i="7"/>
  <c r="N293" i="3" s="1"/>
  <c r="K77" i="7"/>
  <c r="N77" i="3" s="1"/>
  <c r="AL85" i="7"/>
  <c r="AL155" i="7"/>
  <c r="AF150" i="7"/>
  <c r="AI150" i="3" s="1"/>
  <c r="AD150" i="7"/>
  <c r="AG150" i="3" s="1"/>
  <c r="AF150" i="3"/>
  <c r="AE229" i="7"/>
  <c r="AH229" i="3" s="1"/>
  <c r="K148" i="34"/>
  <c r="CB646" i="10"/>
  <c r="CA646" i="10"/>
  <c r="CA859" i="10"/>
  <c r="CC859" i="10"/>
  <c r="CB859" i="10"/>
  <c r="L178" i="34"/>
  <c r="CS676" i="10"/>
  <c r="N178" i="34" s="1"/>
  <c r="J208" i="34"/>
  <c r="CH706" i="10"/>
  <c r="CG706" i="10"/>
  <c r="CJ706" i="10"/>
  <c r="CI706" i="10"/>
  <c r="CK706" i="10"/>
  <c r="CF706" i="10"/>
  <c r="CL706" i="10" s="1"/>
  <c r="L145" i="3"/>
  <c r="E11" i="8"/>
  <c r="M271" i="3"/>
  <c r="K271" i="7"/>
  <c r="N271" i="3" s="1"/>
  <c r="AF96" i="7"/>
  <c r="AD96" i="7"/>
  <c r="O43" i="9"/>
  <c r="BC43" i="9" s="1"/>
  <c r="CD43" i="9"/>
  <c r="I557" i="19"/>
  <c r="T621" i="10"/>
  <c r="BX621" i="10"/>
  <c r="O621" i="10"/>
  <c r="Q621" i="10"/>
  <c r="BB621" i="10"/>
  <c r="BC621" i="10" s="1"/>
  <c r="N621" i="10"/>
  <c r="I621" i="10"/>
  <c r="P621" i="10" s="1"/>
  <c r="R621" i="10"/>
  <c r="G621" i="10"/>
  <c r="G123" i="34" s="1"/>
  <c r="BQ621" i="10"/>
  <c r="K621" i="10" s="1"/>
  <c r="BG621" i="10" s="1"/>
  <c r="AF400" i="7"/>
  <c r="AD400" i="7"/>
  <c r="K95" i="7"/>
  <c r="N95" i="3" s="1"/>
  <c r="K26" i="7"/>
  <c r="N26" i="3" s="1"/>
  <c r="AD198" i="7"/>
  <c r="AF198" i="7"/>
  <c r="M47" i="3"/>
  <c r="K47" i="7"/>
  <c r="N47" i="3" s="1"/>
  <c r="AT121" i="7"/>
  <c r="AW121" i="3" s="1"/>
  <c r="AF191" i="7"/>
  <c r="AD191" i="7"/>
  <c r="AD130" i="7"/>
  <c r="AF130" i="7"/>
  <c r="I616" i="19"/>
  <c r="R684" i="10"/>
  <c r="Q684" i="10"/>
  <c r="O684" i="10"/>
  <c r="BX684" i="10"/>
  <c r="BB684" i="10"/>
  <c r="G684" i="10"/>
  <c r="G186" i="34" s="1"/>
  <c r="I684" i="10"/>
  <c r="P684" i="10"/>
  <c r="BQ684" i="10"/>
  <c r="K684" i="10" s="1"/>
  <c r="BG684" i="10" s="1"/>
  <c r="T684" i="10"/>
  <c r="N684" i="10"/>
  <c r="AF22" i="7"/>
  <c r="AD22" i="7"/>
  <c r="I573" i="19"/>
  <c r="BB637" i="10"/>
  <c r="BC637" i="10" s="1"/>
  <c r="N637" i="10"/>
  <c r="I637" i="10"/>
  <c r="P637" i="10" s="1"/>
  <c r="R637" i="10"/>
  <c r="G637" i="10"/>
  <c r="G139" i="34" s="1"/>
  <c r="BX637" i="10"/>
  <c r="T637" i="10"/>
  <c r="BQ637" i="10"/>
  <c r="K637" i="10" s="1"/>
  <c r="BG637" i="10" s="1"/>
  <c r="O637" i="10"/>
  <c r="Q637" i="10"/>
  <c r="I718" i="19"/>
  <c r="I792" i="10"/>
  <c r="P792" i="10" s="1"/>
  <c r="BQ792" i="10"/>
  <c r="K792" i="10" s="1"/>
  <c r="BG792" i="10" s="1"/>
  <c r="BX792" i="10"/>
  <c r="G792" i="10"/>
  <c r="G294" i="34" s="1"/>
  <c r="BB792" i="10"/>
  <c r="N792" i="10"/>
  <c r="O792" i="10"/>
  <c r="T792" i="10"/>
  <c r="Q792" i="10"/>
  <c r="R792" i="10"/>
  <c r="AN509" i="10"/>
  <c r="K234" i="7"/>
  <c r="N234" i="3" s="1"/>
  <c r="M234" i="3"/>
  <c r="AL56" i="7"/>
  <c r="I713" i="19"/>
  <c r="G788" i="10"/>
  <c r="G290" i="34" s="1"/>
  <c r="BQ788" i="10"/>
  <c r="K788" i="10" s="1"/>
  <c r="BG788" i="10" s="1"/>
  <c r="Q788" i="10"/>
  <c r="R788" i="10"/>
  <c r="O788" i="10"/>
  <c r="BX788" i="10"/>
  <c r="T788" i="10"/>
  <c r="N788" i="10"/>
  <c r="BB788" i="10"/>
  <c r="I788" i="10"/>
  <c r="P788" i="10" s="1"/>
  <c r="AE100" i="7"/>
  <c r="AH100" i="3" s="1"/>
  <c r="O110" i="3"/>
  <c r="K251" i="7"/>
  <c r="N251" i="3" s="1"/>
  <c r="L399" i="34"/>
  <c r="CS897" i="10"/>
  <c r="N399" i="34" s="1"/>
  <c r="L296" i="34"/>
  <c r="CS794" i="10"/>
  <c r="N296" i="34" s="1"/>
  <c r="K405" i="34"/>
  <c r="BZ903" i="10"/>
  <c r="CC903" i="10"/>
  <c r="CA903" i="10"/>
  <c r="CB903" i="10"/>
  <c r="I56" i="35"/>
  <c r="CF59" i="9"/>
  <c r="CI59" i="9"/>
  <c r="CH59" i="9"/>
  <c r="CG59" i="9"/>
  <c r="AM247" i="7"/>
  <c r="AP247" i="3" s="1"/>
  <c r="AM247" i="10"/>
  <c r="AN247" i="10" s="1"/>
  <c r="AP247" i="10" s="1"/>
  <c r="AO247" i="3"/>
  <c r="I586" i="19"/>
  <c r="BB651" i="10"/>
  <c r="N651" i="10"/>
  <c r="R651" i="10"/>
  <c r="Q651" i="10"/>
  <c r="O651" i="10"/>
  <c r="I651" i="10"/>
  <c r="P651" i="10" s="1"/>
  <c r="BX651" i="10"/>
  <c r="T651" i="10"/>
  <c r="BQ651" i="10"/>
  <c r="K651" i="10" s="1"/>
  <c r="BG651" i="10" s="1"/>
  <c r="G651" i="10"/>
  <c r="G153" i="34" s="1"/>
  <c r="L105" i="34"/>
  <c r="CS603" i="10"/>
  <c r="N105" i="34" s="1"/>
  <c r="AM22" i="3"/>
  <c r="AT22" i="7"/>
  <c r="AW22" i="3" s="1"/>
  <c r="AS22" i="7"/>
  <c r="AV22" i="3" s="1"/>
  <c r="AL22" i="7"/>
  <c r="I791" i="19"/>
  <c r="I862" i="10"/>
  <c r="P862" i="10" s="1"/>
  <c r="BQ862" i="10"/>
  <c r="K862" i="10" s="1"/>
  <c r="BG862" i="10" s="1"/>
  <c r="G862" i="10"/>
  <c r="G364" i="34" s="1"/>
  <c r="BX862" i="10"/>
  <c r="CD862" i="10" s="1"/>
  <c r="Q862" i="10"/>
  <c r="O862" i="10"/>
  <c r="N862" i="10"/>
  <c r="BB862" i="10"/>
  <c r="R862" i="10"/>
  <c r="T862" i="10"/>
  <c r="K163" i="7"/>
  <c r="N163" i="3" s="1"/>
  <c r="M163" i="3"/>
  <c r="AS26" i="7"/>
  <c r="AV26" i="3" s="1"/>
  <c r="L236" i="34"/>
  <c r="CS734" i="10"/>
  <c r="N236" i="34" s="1"/>
  <c r="AF302" i="7"/>
  <c r="AD302" i="7"/>
  <c r="AS217" i="7"/>
  <c r="AV217" i="3" s="1"/>
  <c r="AM154" i="3"/>
  <c r="AT154" i="7"/>
  <c r="AW154" i="3" s="1"/>
  <c r="AS154" i="7"/>
  <c r="AV154" i="3" s="1"/>
  <c r="AD428" i="7"/>
  <c r="AF428" i="7"/>
  <c r="AM407" i="7"/>
  <c r="AP407" i="3" s="1"/>
  <c r="AO407" i="3"/>
  <c r="AL391" i="7"/>
  <c r="K228" i="7"/>
  <c r="N228" i="3" s="1"/>
  <c r="I704" i="19"/>
  <c r="I779" i="10"/>
  <c r="P779" i="10" s="1"/>
  <c r="G779" i="10"/>
  <c r="G281" i="34" s="1"/>
  <c r="R779" i="10"/>
  <c r="Q779" i="10"/>
  <c r="N779" i="10"/>
  <c r="BB779" i="10"/>
  <c r="BX779" i="10"/>
  <c r="O779" i="10"/>
  <c r="BQ779" i="10"/>
  <c r="K779" i="10" s="1"/>
  <c r="BG779" i="10" s="1"/>
  <c r="T779" i="10"/>
  <c r="AF29" i="7"/>
  <c r="AD29" i="7"/>
  <c r="AL110" i="7"/>
  <c r="M103" i="3"/>
  <c r="K103" i="7"/>
  <c r="N103" i="3" s="1"/>
  <c r="AL111" i="7"/>
  <c r="AM356" i="10"/>
  <c r="AN356" i="10" s="1"/>
  <c r="AP356" i="10" s="1"/>
  <c r="AM356" i="7"/>
  <c r="AP356" i="3" s="1"/>
  <c r="K55" i="7"/>
  <c r="N55" i="3" s="1"/>
  <c r="AT304" i="7"/>
  <c r="AW304" i="3" s="1"/>
  <c r="AL400" i="7"/>
  <c r="AD44" i="7"/>
  <c r="AF44" i="7"/>
  <c r="AM57" i="10"/>
  <c r="AN57" i="10" s="1"/>
  <c r="AP57" i="10" s="1"/>
  <c r="AO57" i="3"/>
  <c r="AM57" i="7"/>
  <c r="AP57" i="3" s="1"/>
  <c r="AT35" i="7"/>
  <c r="AW35" i="3" s="1"/>
  <c r="L285" i="34"/>
  <c r="CS783" i="10"/>
  <c r="N285" i="34" s="1"/>
  <c r="L365" i="34"/>
  <c r="CS863" i="10"/>
  <c r="N365" i="34" s="1"/>
  <c r="L183" i="34"/>
  <c r="CS681" i="10"/>
  <c r="N183" i="34" s="1"/>
  <c r="L253" i="34"/>
  <c r="CS751" i="10"/>
  <c r="N253" i="34" s="1"/>
  <c r="L403" i="34"/>
  <c r="CS901" i="10"/>
  <c r="N403" i="34" s="1"/>
  <c r="CA633" i="10"/>
  <c r="K246" i="34"/>
  <c r="CB744" i="10"/>
  <c r="CA744" i="10"/>
  <c r="BZ744" i="10"/>
  <c r="CC744" i="10"/>
  <c r="L67" i="34"/>
  <c r="CS565" i="10"/>
  <c r="N67" i="34" s="1"/>
  <c r="M10" i="35"/>
  <c r="K10" i="35"/>
  <c r="B187" i="8"/>
  <c r="L246" i="34"/>
  <c r="CS744" i="10"/>
  <c r="N246" i="34" s="1"/>
  <c r="AF378" i="7"/>
  <c r="AI378" i="3" s="1"/>
  <c r="AD378" i="7"/>
  <c r="AG378" i="3" s="1"/>
  <c r="AF378" i="3"/>
  <c r="AM272" i="3"/>
  <c r="AS272" i="7"/>
  <c r="AV272" i="3" s="1"/>
  <c r="AT272" i="7"/>
  <c r="AW272" i="3" s="1"/>
  <c r="AF42" i="7"/>
  <c r="AD42" i="7"/>
  <c r="CD50" i="9"/>
  <c r="O50" i="9"/>
  <c r="BC50" i="9" s="1"/>
  <c r="I519" i="19"/>
  <c r="N579" i="10"/>
  <c r="G579" i="10"/>
  <c r="G81" i="34" s="1"/>
  <c r="P579" i="10"/>
  <c r="O579" i="10"/>
  <c r="BQ579" i="10"/>
  <c r="K579" i="10" s="1"/>
  <c r="BG579" i="10" s="1"/>
  <c r="BB579" i="10"/>
  <c r="BC579" i="10" s="1"/>
  <c r="T579" i="10"/>
  <c r="BX579" i="10"/>
  <c r="R579" i="10"/>
  <c r="I579" i="10"/>
  <c r="Q579" i="10"/>
  <c r="I853" i="19"/>
  <c r="R722" i="10"/>
  <c r="BX722" i="10"/>
  <c r="O722" i="10"/>
  <c r="BB722" i="10"/>
  <c r="G722" i="10"/>
  <c r="G224" i="34" s="1"/>
  <c r="BQ722" i="10"/>
  <c r="K722" i="10" s="1"/>
  <c r="BG722" i="10" s="1"/>
  <c r="T722" i="10"/>
  <c r="Q722" i="10"/>
  <c r="N722" i="10"/>
  <c r="I722" i="10"/>
  <c r="P722" i="10" s="1"/>
  <c r="I850" i="19"/>
  <c r="G670" i="10"/>
  <c r="G172" i="34" s="1"/>
  <c r="T670" i="10"/>
  <c r="Q670" i="10"/>
  <c r="I670" i="10"/>
  <c r="P670" i="10" s="1"/>
  <c r="BX670" i="10"/>
  <c r="BB670" i="10"/>
  <c r="BC670" i="10" s="1"/>
  <c r="R670" i="10"/>
  <c r="N670" i="10"/>
  <c r="O670" i="10"/>
  <c r="BQ670" i="10"/>
  <c r="K670" i="10" s="1"/>
  <c r="BG670" i="10" s="1"/>
  <c r="AM348" i="10"/>
  <c r="AN348" i="10" s="1"/>
  <c r="AP348" i="10" s="1"/>
  <c r="AM348" i="7"/>
  <c r="AP348" i="3" s="1"/>
  <c r="AO348" i="3"/>
  <c r="AD76" i="7"/>
  <c r="AF76" i="7"/>
  <c r="AL270" i="7"/>
  <c r="AD116" i="7"/>
  <c r="AF116" i="7"/>
  <c r="I644" i="19"/>
  <c r="I712" i="10"/>
  <c r="P712" i="10" s="1"/>
  <c r="BQ712" i="10"/>
  <c r="K712" i="10" s="1"/>
  <c r="BG712" i="10" s="1"/>
  <c r="T712" i="10"/>
  <c r="BX712" i="10"/>
  <c r="Q712" i="10"/>
  <c r="BB712" i="10"/>
  <c r="G712" i="10"/>
  <c r="G214" i="34" s="1"/>
  <c r="R712" i="10"/>
  <c r="O712" i="10"/>
  <c r="N712" i="10"/>
  <c r="AF356" i="7"/>
  <c r="AD356" i="7"/>
  <c r="I679" i="19"/>
  <c r="BX751" i="10"/>
  <c r="O751" i="10"/>
  <c r="N751" i="10"/>
  <c r="BQ751" i="10"/>
  <c r="K751" i="10" s="1"/>
  <c r="BG751" i="10" s="1"/>
  <c r="T751" i="10"/>
  <c r="Q751" i="10"/>
  <c r="BB751" i="10"/>
  <c r="I751" i="10"/>
  <c r="P751" i="10" s="1"/>
  <c r="G751" i="10"/>
  <c r="G253" i="34" s="1"/>
  <c r="R751" i="10"/>
  <c r="AL154" i="7"/>
  <c r="L118" i="34"/>
  <c r="CS616" i="10"/>
  <c r="N118" i="34" s="1"/>
  <c r="K11" i="35"/>
  <c r="M11" i="35"/>
  <c r="AL361" i="7"/>
  <c r="I832" i="19"/>
  <c r="Q903" i="10"/>
  <c r="BB903" i="10"/>
  <c r="BX903" i="10"/>
  <c r="O903" i="10"/>
  <c r="N903" i="10"/>
  <c r="R903" i="10"/>
  <c r="BQ903" i="10"/>
  <c r="K903" i="10" s="1"/>
  <c r="BG903" i="10" s="1"/>
  <c r="T903" i="10"/>
  <c r="I903" i="10"/>
  <c r="P903" i="10" s="1"/>
  <c r="G903" i="10"/>
  <c r="G405" i="34" s="1"/>
  <c r="AL166" i="7"/>
  <c r="AS129" i="7"/>
  <c r="AV129" i="3" s="1"/>
  <c r="I725" i="19"/>
  <c r="G799" i="10"/>
  <c r="G301" i="34" s="1"/>
  <c r="BQ799" i="10"/>
  <c r="K799" i="10" s="1"/>
  <c r="BG799" i="10" s="1"/>
  <c r="T799" i="10"/>
  <c r="Q799" i="10"/>
  <c r="R799" i="10"/>
  <c r="N799" i="10"/>
  <c r="O799" i="10"/>
  <c r="BX799" i="10"/>
  <c r="I799" i="10"/>
  <c r="P799" i="10" s="1"/>
  <c r="BB799" i="10"/>
  <c r="BC799" i="10" s="1"/>
  <c r="AM273" i="7"/>
  <c r="AP273" i="3" s="1"/>
  <c r="AM273" i="10"/>
  <c r="AN273" i="10" s="1"/>
  <c r="AP273" i="10" s="1"/>
  <c r="AO273" i="3"/>
  <c r="AT400" i="7"/>
  <c r="AW400" i="3" s="1"/>
  <c r="AS239" i="7"/>
  <c r="AV239" i="3" s="1"/>
  <c r="L388" i="34"/>
  <c r="CS886" i="10"/>
  <c r="N388" i="34" s="1"/>
  <c r="L141" i="34"/>
  <c r="CS639" i="10"/>
  <c r="N141" i="34" s="1"/>
  <c r="J270" i="34"/>
  <c r="CK768" i="10"/>
  <c r="CH768" i="10"/>
  <c r="CJ768" i="10"/>
  <c r="CG768" i="10"/>
  <c r="CI768" i="10"/>
  <c r="CF768" i="10"/>
  <c r="CL768" i="10" s="1"/>
  <c r="K102" i="34"/>
  <c r="CB600" i="10"/>
  <c r="BZ600" i="10"/>
  <c r="J10" i="8"/>
  <c r="M10" i="8"/>
  <c r="N10" i="8"/>
  <c r="K10" i="8"/>
  <c r="O124" i="3"/>
  <c r="AE124" i="7"/>
  <c r="AH124" i="3" s="1"/>
  <c r="L10" i="8"/>
  <c r="AL422" i="7"/>
  <c r="CB576" i="10"/>
  <c r="K127" i="7"/>
  <c r="N127" i="3" s="1"/>
  <c r="AF95" i="7"/>
  <c r="AD95" i="7"/>
  <c r="AF68" i="7"/>
  <c r="AD68" i="7"/>
  <c r="AF230" i="7"/>
  <c r="AI230" i="3" s="1"/>
  <c r="AD230" i="7"/>
  <c r="AG230" i="3" s="1"/>
  <c r="AF230" i="3"/>
  <c r="AT76" i="7"/>
  <c r="AW76" i="3" s="1"/>
  <c r="AS297" i="7"/>
  <c r="AL297" i="7"/>
  <c r="AS64" i="7"/>
  <c r="AV64" i="3" s="1"/>
  <c r="AF124" i="3"/>
  <c r="AF124" i="7"/>
  <c r="AI124" i="3" s="1"/>
  <c r="AD124" i="7"/>
  <c r="AG124" i="3" s="1"/>
  <c r="AM252" i="3"/>
  <c r="AT252" i="7"/>
  <c r="AW252" i="3" s="1"/>
  <c r="AD421" i="7"/>
  <c r="AF421" i="7"/>
  <c r="AS366" i="7"/>
  <c r="AV366" i="3" s="1"/>
  <c r="I588" i="19"/>
  <c r="T653" i="10"/>
  <c r="BQ653" i="10"/>
  <c r="K653" i="10" s="1"/>
  <c r="BG653" i="10" s="1"/>
  <c r="Q653" i="10"/>
  <c r="BB653" i="10"/>
  <c r="R653" i="10"/>
  <c r="O653" i="10"/>
  <c r="N653" i="10"/>
  <c r="I653" i="10"/>
  <c r="P653" i="10" s="1"/>
  <c r="BX653" i="10"/>
  <c r="G653" i="10"/>
  <c r="G155" i="34" s="1"/>
  <c r="AF322" i="7"/>
  <c r="AD322" i="7"/>
  <c r="AL410" i="7"/>
  <c r="I560" i="19"/>
  <c r="G624" i="10"/>
  <c r="G126" i="34" s="1"/>
  <c r="BQ624" i="10"/>
  <c r="K624" i="10" s="1"/>
  <c r="BG624" i="10" s="1"/>
  <c r="N624" i="10"/>
  <c r="T624" i="10"/>
  <c r="R624" i="10"/>
  <c r="Q624" i="10"/>
  <c r="BB624" i="10"/>
  <c r="I624" i="10"/>
  <c r="P624" i="10" s="1"/>
  <c r="BX624" i="10"/>
  <c r="O624" i="10"/>
  <c r="M8" i="35"/>
  <c r="K8" i="35"/>
  <c r="K420" i="7"/>
  <c r="N420" i="3" s="1"/>
  <c r="I662" i="19"/>
  <c r="I734" i="10"/>
  <c r="P734" i="10" s="1"/>
  <c r="BQ734" i="10"/>
  <c r="K734" i="10" s="1"/>
  <c r="BG734" i="10" s="1"/>
  <c r="BB734" i="10"/>
  <c r="BC734" i="10" s="1"/>
  <c r="G734" i="10"/>
  <c r="G236" i="34" s="1"/>
  <c r="O734" i="10"/>
  <c r="N734" i="10"/>
  <c r="R734" i="10"/>
  <c r="T734" i="10"/>
  <c r="Q734" i="10"/>
  <c r="BX734" i="10"/>
  <c r="CF879" i="10"/>
  <c r="CL879" i="10" s="1"/>
  <c r="L89" i="34"/>
  <c r="CS587" i="10"/>
  <c r="N89" i="34" s="1"/>
  <c r="AY131" i="3"/>
  <c r="AS131" i="7"/>
  <c r="AV131" i="3" s="1"/>
  <c r="AL131" i="7"/>
  <c r="K170" i="7"/>
  <c r="N170" i="3" s="1"/>
  <c r="AL205" i="7"/>
  <c r="I720" i="19"/>
  <c r="BX794" i="10"/>
  <c r="BQ794" i="10"/>
  <c r="K794" i="10" s="1"/>
  <c r="BG794" i="10" s="1"/>
  <c r="R794" i="10"/>
  <c r="Q794" i="10"/>
  <c r="T794" i="10"/>
  <c r="O794" i="10"/>
  <c r="N794" i="10"/>
  <c r="I794" i="10"/>
  <c r="P794" i="10" s="1"/>
  <c r="G794" i="10"/>
  <c r="G296" i="34" s="1"/>
  <c r="BB794" i="10"/>
  <c r="BC794" i="10" s="1"/>
  <c r="O12" i="9"/>
  <c r="BC12" i="9" s="1"/>
  <c r="CD12" i="9"/>
  <c r="L244" i="34"/>
  <c r="CS742" i="10"/>
  <c r="N244" i="34" s="1"/>
  <c r="K244" i="7"/>
  <c r="N244" i="3" s="1"/>
  <c r="AL39" i="7"/>
  <c r="AD266" i="7"/>
  <c r="AF266" i="7"/>
  <c r="M48" i="3"/>
  <c r="K48" i="7"/>
  <c r="N48" i="3" s="1"/>
  <c r="K56" i="35"/>
  <c r="M56" i="35"/>
  <c r="O56" i="9"/>
  <c r="BC56" i="9" s="1"/>
  <c r="CD56" i="9"/>
  <c r="AF235" i="7"/>
  <c r="AD235" i="7"/>
  <c r="AM153" i="3"/>
  <c r="AT153" i="7"/>
  <c r="AW153" i="3" s="1"/>
  <c r="I692" i="19"/>
  <c r="BX763" i="10"/>
  <c r="O763" i="10"/>
  <c r="R763" i="10"/>
  <c r="Q763" i="10"/>
  <c r="BQ763" i="10"/>
  <c r="K763" i="10" s="1"/>
  <c r="BG763" i="10" s="1"/>
  <c r="N763" i="10"/>
  <c r="T763" i="10"/>
  <c r="I763" i="10"/>
  <c r="P763" i="10" s="1"/>
  <c r="G763" i="10"/>
  <c r="G265" i="34" s="1"/>
  <c r="BB763" i="10"/>
  <c r="BY591" i="10"/>
  <c r="CD39" i="9"/>
  <c r="O39" i="9"/>
  <c r="BC39" i="9" s="1"/>
  <c r="AM87" i="3"/>
  <c r="AL87" i="7"/>
  <c r="K303" i="7"/>
  <c r="N303" i="3" s="1"/>
  <c r="AM5" i="10"/>
  <c r="AM5" i="7"/>
  <c r="AP5" i="3" s="1"/>
  <c r="AO5" i="3"/>
  <c r="AS206" i="7"/>
  <c r="AV206" i="3" s="1"/>
  <c r="F19" i="8"/>
  <c r="M346" i="3"/>
  <c r="AF416" i="7"/>
  <c r="AD416" i="7"/>
  <c r="AD410" i="7"/>
  <c r="AG410" i="3" s="1"/>
  <c r="AF410" i="3"/>
  <c r="AF410" i="7"/>
  <c r="AI410" i="3" s="1"/>
  <c r="I636" i="19"/>
  <c r="BB704" i="10"/>
  <c r="BC704" i="10" s="1"/>
  <c r="R704" i="10"/>
  <c r="Q704" i="10"/>
  <c r="N704" i="10"/>
  <c r="I704" i="10"/>
  <c r="P704" i="10" s="1"/>
  <c r="BX704" i="10"/>
  <c r="T704" i="10"/>
  <c r="BQ704" i="10"/>
  <c r="K704" i="10" s="1"/>
  <c r="BG704" i="10" s="1"/>
  <c r="G704" i="10"/>
  <c r="G206" i="34" s="1"/>
  <c r="O704" i="10"/>
  <c r="AM299" i="10"/>
  <c r="AN299" i="10" s="1"/>
  <c r="AP299" i="10" s="1"/>
  <c r="AO299" i="3"/>
  <c r="AM299" i="7"/>
  <c r="AP299" i="3" s="1"/>
  <c r="K415" i="7"/>
  <c r="N415" i="3" s="1"/>
  <c r="L220" i="34"/>
  <c r="CS718" i="10"/>
  <c r="N220" i="34" s="1"/>
  <c r="K179" i="34"/>
  <c r="BZ677" i="10"/>
  <c r="CB677" i="10"/>
  <c r="I35" i="35"/>
  <c r="CH38" i="9"/>
  <c r="CG38" i="9"/>
  <c r="CI38" i="9"/>
  <c r="CF38" i="9"/>
  <c r="M295" i="3"/>
  <c r="K295" i="7"/>
  <c r="N295" i="3" s="1"/>
  <c r="I559" i="19"/>
  <c r="Q623" i="10"/>
  <c r="BX623" i="10"/>
  <c r="BQ623" i="10"/>
  <c r="K623" i="10" s="1"/>
  <c r="BG623" i="10" s="1"/>
  <c r="T623" i="10"/>
  <c r="O623" i="10"/>
  <c r="G623" i="10"/>
  <c r="G125" i="34" s="1"/>
  <c r="N623" i="10"/>
  <c r="I623" i="10"/>
  <c r="P623" i="10" s="1"/>
  <c r="R623" i="10"/>
  <c r="BB623" i="10"/>
  <c r="BC623" i="10" s="1"/>
  <c r="CD48" i="9"/>
  <c r="O48" i="9"/>
  <c r="BC48" i="9" s="1"/>
  <c r="K92" i="34"/>
  <c r="CC590" i="10"/>
  <c r="CB590" i="10"/>
  <c r="CA590" i="10"/>
  <c r="BZ590" i="10"/>
  <c r="I466" i="19"/>
  <c r="I521" i="10"/>
  <c r="P521" i="10" s="1"/>
  <c r="Q521" i="10"/>
  <c r="G521" i="10"/>
  <c r="G23" i="34" s="1"/>
  <c r="BB521" i="10"/>
  <c r="T521" i="10"/>
  <c r="O521" i="10"/>
  <c r="BX521" i="10"/>
  <c r="N521" i="10"/>
  <c r="BQ521" i="10"/>
  <c r="K521" i="10" s="1"/>
  <c r="BG521" i="10" s="1"/>
  <c r="R521" i="10"/>
  <c r="AM333" i="3"/>
  <c r="AS333" i="7"/>
  <c r="AV333" i="3" s="1"/>
  <c r="AL207" i="7"/>
  <c r="AE28" i="7"/>
  <c r="AH28" i="3" s="1"/>
  <c r="O47" i="3"/>
  <c r="I618" i="19"/>
  <c r="T686" i="10"/>
  <c r="R686" i="10"/>
  <c r="BB686" i="10"/>
  <c r="BX686" i="10"/>
  <c r="BQ686" i="10"/>
  <c r="K686" i="10" s="1"/>
  <c r="BG686" i="10" s="1"/>
  <c r="O686" i="10"/>
  <c r="N686" i="10"/>
  <c r="Q686" i="10"/>
  <c r="G686" i="10"/>
  <c r="G188" i="34" s="1"/>
  <c r="I686" i="10"/>
  <c r="P686" i="10" s="1"/>
  <c r="I610" i="19"/>
  <c r="R678" i="10"/>
  <c r="BX678" i="10"/>
  <c r="O678" i="10"/>
  <c r="BB678" i="10"/>
  <c r="BQ678" i="10"/>
  <c r="K678" i="10" s="1"/>
  <c r="BG678" i="10" s="1"/>
  <c r="N678" i="10"/>
  <c r="G678" i="10"/>
  <c r="G180" i="34" s="1"/>
  <c r="T678" i="10"/>
  <c r="I678" i="10"/>
  <c r="P678" i="10" s="1"/>
  <c r="Q678" i="10"/>
  <c r="AM230" i="3"/>
  <c r="AS230" i="7"/>
  <c r="O38" i="9"/>
  <c r="BC38" i="9" s="1"/>
  <c r="CD38" i="9"/>
  <c r="I613" i="19"/>
  <c r="G681" i="10"/>
  <c r="G183" i="34" s="1"/>
  <c r="R681" i="10"/>
  <c r="I681" i="10"/>
  <c r="P681" i="10" s="1"/>
  <c r="BQ681" i="10"/>
  <c r="K681" i="10" s="1"/>
  <c r="BG681" i="10" s="1"/>
  <c r="O681" i="10"/>
  <c r="BB681" i="10"/>
  <c r="BC681" i="10" s="1"/>
  <c r="T681" i="10"/>
  <c r="Q681" i="10"/>
  <c r="N681" i="10"/>
  <c r="BX681" i="10"/>
  <c r="K206" i="7"/>
  <c r="N206" i="3" s="1"/>
  <c r="AF110" i="7"/>
  <c r="AD110" i="7"/>
  <c r="AL252" i="7"/>
  <c r="AT361" i="7"/>
  <c r="AW361" i="3" s="1"/>
  <c r="AS398" i="7"/>
  <c r="AV398" i="3" s="1"/>
  <c r="I627" i="19"/>
  <c r="R695" i="10"/>
  <c r="G695" i="10"/>
  <c r="G197" i="34" s="1"/>
  <c r="Q695" i="10"/>
  <c r="I695" i="10"/>
  <c r="P695" i="10" s="1"/>
  <c r="BX695" i="10"/>
  <c r="N695" i="10"/>
  <c r="AN505" i="10"/>
  <c r="BB695" i="10"/>
  <c r="BQ695" i="10"/>
  <c r="K695" i="10" s="1"/>
  <c r="BG695" i="10" s="1"/>
  <c r="T695" i="10"/>
  <c r="O695" i="10"/>
  <c r="AS254" i="7"/>
  <c r="AV254" i="3" s="1"/>
  <c r="CA613" i="10"/>
  <c r="CC613" i="10"/>
  <c r="CB613" i="10"/>
  <c r="AN100" i="3"/>
  <c r="AL100" i="7"/>
  <c r="AT100" i="7"/>
  <c r="AW100" i="3" s="1"/>
  <c r="AS100" i="7"/>
  <c r="AV100" i="3" s="1"/>
  <c r="CD11" i="9"/>
  <c r="O11" i="9"/>
  <c r="BC11" i="9" s="1"/>
  <c r="AF77" i="7"/>
  <c r="AD77" i="7"/>
  <c r="CD47" i="9"/>
  <c r="O47" i="9"/>
  <c r="BC47" i="9" s="1"/>
  <c r="AM30" i="3"/>
  <c r="AT30" i="7"/>
  <c r="AW30" i="3" s="1"/>
  <c r="AS30" i="7"/>
  <c r="AV30" i="3" s="1"/>
  <c r="AD177" i="7"/>
  <c r="AG177" i="3" s="1"/>
  <c r="AF177" i="7"/>
  <c r="AI177" i="3" s="1"/>
  <c r="AF177" i="3"/>
  <c r="K311" i="7"/>
  <c r="N311" i="3" s="1"/>
  <c r="AS189" i="7"/>
  <c r="AV189" i="3" s="1"/>
  <c r="AE298" i="7"/>
  <c r="AH298" i="3" s="1"/>
  <c r="O303" i="3"/>
  <c r="K44" i="7"/>
  <c r="N44" i="3" s="1"/>
  <c r="M297" i="3"/>
  <c r="F17" i="8"/>
  <c r="AS202" i="7"/>
  <c r="AV202" i="3" s="1"/>
  <c r="AF79" i="7"/>
  <c r="AD79" i="7"/>
  <c r="AT206" i="7"/>
  <c r="AW206" i="3" s="1"/>
  <c r="I770" i="19"/>
  <c r="Q841" i="10"/>
  <c r="N841" i="10"/>
  <c r="BQ841" i="10"/>
  <c r="K841" i="10" s="1"/>
  <c r="BG841" i="10" s="1"/>
  <c r="O841" i="10"/>
  <c r="G841" i="10"/>
  <c r="G343" i="34" s="1"/>
  <c r="T841" i="10"/>
  <c r="R841" i="10"/>
  <c r="I841" i="10"/>
  <c r="P841" i="10" s="1"/>
  <c r="AN511" i="10"/>
  <c r="BX841" i="10"/>
  <c r="BB841" i="10"/>
  <c r="AL318" i="7"/>
  <c r="M43" i="35"/>
  <c r="K43" i="35"/>
  <c r="I854" i="19"/>
  <c r="I723" i="10"/>
  <c r="P723" i="10" s="1"/>
  <c r="BQ723" i="10"/>
  <c r="K723" i="10" s="1"/>
  <c r="BG723" i="10" s="1"/>
  <c r="O723" i="10"/>
  <c r="R723" i="10"/>
  <c r="Q723" i="10"/>
  <c r="BB723" i="10"/>
  <c r="T723" i="10"/>
  <c r="G723" i="10"/>
  <c r="G225" i="34" s="1"/>
  <c r="BX723" i="10"/>
  <c r="N723" i="10"/>
  <c r="AE408" i="7"/>
  <c r="AH408" i="3" s="1"/>
  <c r="O412" i="3"/>
  <c r="AT283" i="7"/>
  <c r="AW283" i="3" s="1"/>
  <c r="I785" i="19"/>
  <c r="T856" i="10"/>
  <c r="BB856" i="10"/>
  <c r="N856" i="10"/>
  <c r="BX856" i="10"/>
  <c r="BQ856" i="10"/>
  <c r="K856" i="10" s="1"/>
  <c r="BG856" i="10" s="1"/>
  <c r="R856" i="10"/>
  <c r="O856" i="10"/>
  <c r="Q856" i="10"/>
  <c r="I856" i="10"/>
  <c r="P856" i="10" s="1"/>
  <c r="G856" i="10"/>
  <c r="G358" i="34" s="1"/>
  <c r="K398" i="7"/>
  <c r="N398" i="3" s="1"/>
  <c r="AD212" i="7"/>
  <c r="AF212" i="7"/>
  <c r="AD335" i="7"/>
  <c r="AF335" i="7"/>
  <c r="AS32" i="7"/>
  <c r="AV32" i="3" s="1"/>
  <c r="K69" i="7"/>
  <c r="N69" i="3" s="1"/>
  <c r="J103" i="34"/>
  <c r="CF601" i="10"/>
  <c r="CL601" i="10" s="1"/>
  <c r="CI601" i="10"/>
  <c r="CH601" i="10"/>
  <c r="CG601" i="10"/>
  <c r="CK601" i="10"/>
  <c r="CJ601" i="10"/>
  <c r="L295" i="34"/>
  <c r="CS793" i="10"/>
  <c r="N295" i="34" s="1"/>
  <c r="K333" i="34"/>
  <c r="BZ831" i="10"/>
  <c r="CA831" i="10"/>
  <c r="CC831" i="10"/>
  <c r="K292" i="7"/>
  <c r="N292" i="3" s="1"/>
  <c r="B352" i="8"/>
  <c r="R23" i="8"/>
  <c r="B389" i="8"/>
  <c r="B353" i="8" s="1"/>
  <c r="AF330" i="7"/>
  <c r="AD330" i="7"/>
  <c r="AT300" i="7"/>
  <c r="AW300" i="3" s="1"/>
  <c r="AF308" i="7"/>
  <c r="AD308" i="7"/>
  <c r="AS382" i="7"/>
  <c r="AV382" i="3" s="1"/>
  <c r="I479" i="19"/>
  <c r="T534" i="10"/>
  <c r="R534" i="10"/>
  <c r="Q534" i="10"/>
  <c r="O534" i="10"/>
  <c r="BX534" i="10"/>
  <c r="N534" i="10"/>
  <c r="I534" i="10"/>
  <c r="P534" i="10" s="1"/>
  <c r="G534" i="10"/>
  <c r="G36" i="34" s="1"/>
  <c r="BQ534" i="10"/>
  <c r="K534" i="10" s="1"/>
  <c r="BG534" i="10" s="1"/>
  <c r="BB534" i="10"/>
  <c r="BC534" i="10" s="1"/>
  <c r="CD40" i="9"/>
  <c r="O40" i="9"/>
  <c r="BC40" i="9" s="1"/>
  <c r="M365" i="3"/>
  <c r="K365" i="7"/>
  <c r="N365" i="3" s="1"/>
  <c r="AL153" i="7"/>
  <c r="CI591" i="10"/>
  <c r="CK591" i="10"/>
  <c r="CH591" i="10"/>
  <c r="CF591" i="10"/>
  <c r="K270" i="7"/>
  <c r="N270" i="3" s="1"/>
  <c r="K262" i="7"/>
  <c r="N262" i="3" s="1"/>
  <c r="K336" i="7"/>
  <c r="N336" i="3" s="1"/>
  <c r="K350" i="34"/>
  <c r="CA848" i="10"/>
  <c r="CC848" i="10"/>
  <c r="CB848" i="10"/>
  <c r="BZ848" i="10"/>
  <c r="CF749" i="10"/>
  <c r="CL749" i="10" s="1"/>
  <c r="CH749" i="10"/>
  <c r="AS421" i="7"/>
  <c r="AV421" i="3" s="1"/>
  <c r="AT421" i="7"/>
  <c r="AW421" i="3" s="1"/>
  <c r="AM421" i="3"/>
  <c r="AL421" i="7"/>
  <c r="AL411" i="7"/>
  <c r="K14" i="35"/>
  <c r="M14" i="35"/>
  <c r="I632" i="19"/>
  <c r="R700" i="10"/>
  <c r="BX700" i="10"/>
  <c r="O700" i="10"/>
  <c r="BB700" i="10"/>
  <c r="Q700" i="10"/>
  <c r="BQ700" i="10"/>
  <c r="K700" i="10" s="1"/>
  <c r="BG700" i="10" s="1"/>
  <c r="G700" i="10"/>
  <c r="G202" i="34" s="1"/>
  <c r="T700" i="10"/>
  <c r="N700" i="10"/>
  <c r="I700" i="10"/>
  <c r="P700" i="10" s="1"/>
  <c r="N187" i="8"/>
  <c r="I917" i="10"/>
  <c r="P917" i="10" s="1"/>
  <c r="I847" i="19"/>
  <c r="BQ917" i="10"/>
  <c r="K917" i="10" s="1"/>
  <c r="BG917" i="10" s="1"/>
  <c r="G917" i="10"/>
  <c r="G419" i="34" s="1"/>
  <c r="BX917" i="10"/>
  <c r="T917" i="10"/>
  <c r="O917" i="10"/>
  <c r="BB917" i="10"/>
  <c r="R917" i="10"/>
  <c r="Q917" i="10"/>
  <c r="N917" i="10"/>
  <c r="I721" i="19"/>
  <c r="BB795" i="10"/>
  <c r="BC795" i="10" s="1"/>
  <c r="O795" i="10"/>
  <c r="BX795" i="10"/>
  <c r="I795" i="10"/>
  <c r="P795" i="10" s="1"/>
  <c r="BQ795" i="10"/>
  <c r="K795" i="10" s="1"/>
  <c r="BG795" i="10" s="1"/>
  <c r="N795" i="10"/>
  <c r="R795" i="10"/>
  <c r="Q795" i="10"/>
  <c r="T795" i="10"/>
  <c r="G795" i="10"/>
  <c r="G297" i="34" s="1"/>
  <c r="AD193" i="7"/>
  <c r="AF193" i="7"/>
  <c r="AT173" i="7"/>
  <c r="AW173" i="3" s="1"/>
  <c r="AM173" i="3"/>
  <c r="AL382" i="7"/>
  <c r="AT310" i="7"/>
  <c r="AW310" i="3" s="1"/>
  <c r="AS310" i="7"/>
  <c r="AV310" i="3" s="1"/>
  <c r="AM310" i="3"/>
  <c r="AM327" i="3"/>
  <c r="AL327" i="7"/>
  <c r="AT327" i="7"/>
  <c r="AW327" i="3" s="1"/>
  <c r="K136" i="7"/>
  <c r="N136" i="3" s="1"/>
  <c r="AF396" i="7"/>
  <c r="AD396" i="7"/>
  <c r="AS14" i="7"/>
  <c r="AS246" i="7"/>
  <c r="AV246" i="3" s="1"/>
  <c r="K25" i="7"/>
  <c r="N25" i="3" s="1"/>
  <c r="AM60" i="3"/>
  <c r="AT60" i="7"/>
  <c r="AW60" i="3" s="1"/>
  <c r="AL60" i="7"/>
  <c r="AF153" i="7"/>
  <c r="AD153" i="7"/>
  <c r="K245" i="7"/>
  <c r="N245" i="3" s="1"/>
  <c r="BZ806" i="10"/>
  <c r="CC806" i="10"/>
  <c r="CB806" i="10"/>
  <c r="CA806" i="10"/>
  <c r="J223" i="34"/>
  <c r="CK721" i="10"/>
  <c r="CH721" i="10"/>
  <c r="CI721" i="10"/>
  <c r="CJ721" i="10"/>
  <c r="CF721" i="10"/>
  <c r="CL721" i="10" s="1"/>
  <c r="CG721" i="10"/>
  <c r="L349" i="34"/>
  <c r="CS847" i="10"/>
  <c r="N349" i="34" s="1"/>
  <c r="L348" i="34"/>
  <c r="CS846" i="10"/>
  <c r="N348" i="34" s="1"/>
  <c r="L200" i="34"/>
  <c r="CS698" i="10"/>
  <c r="N200" i="34" s="1"/>
  <c r="M53" i="35"/>
  <c r="K53" i="35"/>
  <c r="CI810" i="10"/>
  <c r="CS547" i="10"/>
  <c r="N49" i="34" s="1"/>
  <c r="L49" i="34"/>
  <c r="CK551" i="10"/>
  <c r="CJ551" i="10"/>
  <c r="CG551" i="10"/>
  <c r="CF551" i="10"/>
  <c r="CL551" i="10" s="1"/>
  <c r="CH551" i="10"/>
  <c r="J27" i="35"/>
  <c r="CN30" i="9"/>
  <c r="CM30" i="9"/>
  <c r="CL30" i="9"/>
  <c r="CQ30" i="9" s="1"/>
  <c r="CP30" i="9"/>
  <c r="CO30" i="9"/>
  <c r="AE378" i="7"/>
  <c r="AH378" i="3" s="1"/>
  <c r="O401" i="3"/>
  <c r="AF326" i="7"/>
  <c r="AI326" i="3" s="1"/>
  <c r="AF326" i="3"/>
  <c r="AD326" i="7"/>
  <c r="AG326" i="3" s="1"/>
  <c r="AD292" i="7"/>
  <c r="AF292" i="7"/>
  <c r="CP31" i="9"/>
  <c r="CN31" i="9"/>
  <c r="CM31" i="9"/>
  <c r="CO31" i="9"/>
  <c r="CL31" i="9"/>
  <c r="CQ31" i="9" s="1"/>
  <c r="J28" i="35"/>
  <c r="C263" i="11"/>
  <c r="AF343" i="7"/>
  <c r="AD343" i="7"/>
  <c r="AS126" i="7"/>
  <c r="AV126" i="3" s="1"/>
  <c r="I738" i="19"/>
  <c r="R811" i="10"/>
  <c r="Q811" i="10"/>
  <c r="BX811" i="10"/>
  <c r="BQ811" i="10"/>
  <c r="K811" i="10" s="1"/>
  <c r="BG811" i="10" s="1"/>
  <c r="O811" i="10"/>
  <c r="I811" i="10"/>
  <c r="P811" i="10" s="1"/>
  <c r="G811" i="10"/>
  <c r="G313" i="34" s="1"/>
  <c r="N811" i="10"/>
  <c r="T811" i="10"/>
  <c r="BB811" i="10"/>
  <c r="BC811" i="10" s="1"/>
  <c r="AL414" i="7"/>
  <c r="I490" i="19"/>
  <c r="T547" i="10"/>
  <c r="N547" i="10"/>
  <c r="BX547" i="10"/>
  <c r="I547" i="10"/>
  <c r="P547" i="10" s="1"/>
  <c r="R547" i="10"/>
  <c r="G547" i="10"/>
  <c r="G49" i="34" s="1"/>
  <c r="BB547" i="10"/>
  <c r="Q547" i="10"/>
  <c r="BQ547" i="10"/>
  <c r="K547" i="10" s="1"/>
  <c r="BG547" i="10" s="1"/>
  <c r="O547" i="10"/>
  <c r="AS337" i="7"/>
  <c r="AV337" i="3" s="1"/>
  <c r="J24" i="35"/>
  <c r="CP27" i="9"/>
  <c r="CO27" i="9"/>
  <c r="CM27" i="9"/>
  <c r="CL27" i="9"/>
  <c r="CQ27" i="9" s="1"/>
  <c r="CN27" i="9"/>
  <c r="F12" i="8"/>
  <c r="M176" i="3"/>
  <c r="AD86" i="7"/>
  <c r="AF86" i="7"/>
  <c r="CD23" i="9"/>
  <c r="O23" i="9"/>
  <c r="BC23" i="9" s="1"/>
  <c r="AF412" i="7"/>
  <c r="AD412" i="7"/>
  <c r="AS313" i="7"/>
  <c r="AV313" i="3" s="1"/>
  <c r="O283" i="3"/>
  <c r="AE281" i="7"/>
  <c r="AH281" i="3" s="1"/>
  <c r="I457" i="19"/>
  <c r="G513" i="10"/>
  <c r="G15" i="34" s="1"/>
  <c r="R513" i="10"/>
  <c r="BQ513" i="10"/>
  <c r="K513" i="10" s="1"/>
  <c r="BG513" i="10" s="1"/>
  <c r="BX513" i="10"/>
  <c r="N513" i="10"/>
  <c r="I513" i="10"/>
  <c r="P513" i="10" s="1"/>
  <c r="O513" i="10"/>
  <c r="T513" i="10"/>
  <c r="Q513" i="10"/>
  <c r="BB513" i="10"/>
  <c r="K294" i="7"/>
  <c r="N294" i="3" s="1"/>
  <c r="I829" i="19"/>
  <c r="I897" i="10"/>
  <c r="BQ897" i="10"/>
  <c r="K897" i="10" s="1"/>
  <c r="BG897" i="10" s="1"/>
  <c r="T897" i="10"/>
  <c r="P897" i="10"/>
  <c r="BX897" i="10"/>
  <c r="Q897" i="10"/>
  <c r="G897" i="10"/>
  <c r="G399" i="34" s="1"/>
  <c r="R897" i="10"/>
  <c r="BB897" i="10"/>
  <c r="BC897" i="10" s="1"/>
  <c r="N897" i="10"/>
  <c r="O897" i="10"/>
  <c r="N11" i="8"/>
  <c r="I476" i="19"/>
  <c r="T531" i="10"/>
  <c r="BB531" i="10"/>
  <c r="N531" i="10"/>
  <c r="I531" i="10"/>
  <c r="P531" i="10" s="1"/>
  <c r="BX531" i="10"/>
  <c r="O531" i="10"/>
  <c r="R531" i="10"/>
  <c r="BQ531" i="10"/>
  <c r="K531" i="10" s="1"/>
  <c r="BG531" i="10" s="1"/>
  <c r="G531" i="10"/>
  <c r="G33" i="34" s="1"/>
  <c r="Q531" i="10"/>
  <c r="AF349" i="7"/>
  <c r="AI349" i="3" s="1"/>
  <c r="AD349" i="7"/>
  <c r="AG349" i="3" s="1"/>
  <c r="AF349" i="3"/>
  <c r="I554" i="19"/>
  <c r="N615" i="10"/>
  <c r="I615" i="10"/>
  <c r="P615" i="10" s="1"/>
  <c r="BQ615" i="10"/>
  <c r="K615" i="10" s="1"/>
  <c r="BG615" i="10" s="1"/>
  <c r="T615" i="10"/>
  <c r="Q615" i="10"/>
  <c r="O615" i="10"/>
  <c r="BX615" i="10"/>
  <c r="BB615" i="10"/>
  <c r="R615" i="10"/>
  <c r="G615" i="10"/>
  <c r="G117" i="34" s="1"/>
  <c r="AS90" i="7"/>
  <c r="AV90" i="3" s="1"/>
  <c r="S10" i="17"/>
  <c r="G10" i="17" s="1"/>
  <c r="CE847" i="10"/>
  <c r="BY608" i="10"/>
  <c r="L420" i="34"/>
  <c r="CS918" i="10"/>
  <c r="N420" i="34" s="1"/>
  <c r="L276" i="34"/>
  <c r="CS774" i="10"/>
  <c r="N276" i="34" s="1"/>
  <c r="L155" i="34"/>
  <c r="CS653" i="10"/>
  <c r="N155" i="34" s="1"/>
  <c r="M13" i="35"/>
  <c r="K13" i="35"/>
  <c r="L278" i="34"/>
  <c r="CS776" i="10"/>
  <c r="N278" i="34" s="1"/>
  <c r="L7" i="34"/>
  <c r="CS505" i="10"/>
  <c r="N7" i="34" s="1"/>
  <c r="BY510" i="10"/>
  <c r="I859" i="19"/>
  <c r="T775" i="10"/>
  <c r="Q775" i="10"/>
  <c r="O775" i="10"/>
  <c r="I775" i="10"/>
  <c r="P775" i="10" s="1"/>
  <c r="G775" i="10"/>
  <c r="G277" i="34" s="1"/>
  <c r="BX775" i="10"/>
  <c r="R775" i="10"/>
  <c r="BQ775" i="10"/>
  <c r="K775" i="10" s="1"/>
  <c r="BG775" i="10" s="1"/>
  <c r="N775" i="10"/>
  <c r="BB775" i="10"/>
  <c r="BC775" i="10" s="1"/>
  <c r="L62" i="34"/>
  <c r="CS560" i="10"/>
  <c r="N62" i="34" s="1"/>
  <c r="I797" i="19"/>
  <c r="BX868" i="10"/>
  <c r="O868" i="10"/>
  <c r="N868" i="10"/>
  <c r="BQ868" i="10"/>
  <c r="K868" i="10" s="1"/>
  <c r="BG868" i="10" s="1"/>
  <c r="I868" i="10"/>
  <c r="P868" i="10" s="1"/>
  <c r="G868" i="10"/>
  <c r="G370" i="34" s="1"/>
  <c r="T868" i="10"/>
  <c r="R868" i="10"/>
  <c r="BB868" i="10"/>
  <c r="BC868" i="10" s="1"/>
  <c r="AN512" i="10"/>
  <c r="Q868" i="10"/>
  <c r="C267" i="11"/>
  <c r="CE562" i="10"/>
  <c r="CE709" i="10"/>
  <c r="K381" i="7"/>
  <c r="N381" i="3" s="1"/>
  <c r="J18" i="8"/>
  <c r="AL124" i="7"/>
  <c r="F7" i="8"/>
  <c r="D228" i="8"/>
  <c r="R733" i="10"/>
  <c r="I661" i="19"/>
  <c r="BX733" i="10"/>
  <c r="O733" i="10"/>
  <c r="N733" i="10"/>
  <c r="BQ733" i="10"/>
  <c r="K733" i="10" s="1"/>
  <c r="BG733" i="10" s="1"/>
  <c r="T733" i="10"/>
  <c r="Q733" i="10"/>
  <c r="I733" i="10"/>
  <c r="P733" i="10" s="1"/>
  <c r="BB733" i="10"/>
  <c r="BC733" i="10" s="1"/>
  <c r="G733" i="10"/>
  <c r="G235" i="34" s="1"/>
  <c r="K399" i="7"/>
  <c r="N399" i="3" s="1"/>
  <c r="AD168" i="7"/>
  <c r="AF168" i="7"/>
  <c r="BY626" i="10"/>
  <c r="I790" i="10"/>
  <c r="P790" i="10" s="1"/>
  <c r="BQ790" i="10"/>
  <c r="K790" i="10" s="1"/>
  <c r="BG790" i="10" s="1"/>
  <c r="G790" i="10"/>
  <c r="G292" i="34" s="1"/>
  <c r="I715" i="19"/>
  <c r="R790" i="10"/>
  <c r="BB790" i="10"/>
  <c r="O790" i="10"/>
  <c r="N790" i="10"/>
  <c r="Q790" i="10"/>
  <c r="BX790" i="10"/>
  <c r="T790" i="10"/>
  <c r="K248" i="7"/>
  <c r="N248" i="3" s="1"/>
  <c r="AF188" i="7"/>
  <c r="AD188" i="7"/>
  <c r="L273" i="34"/>
  <c r="CS771" i="10"/>
  <c r="N273" i="34" s="1"/>
  <c r="M423" i="3"/>
  <c r="K423" i="7"/>
  <c r="N423" i="3" s="1"/>
  <c r="K378" i="7"/>
  <c r="N378" i="3" s="1"/>
  <c r="AY369" i="3"/>
  <c r="AL369" i="7"/>
  <c r="AT165" i="7"/>
  <c r="AW165" i="3" s="1"/>
  <c r="AE150" i="7"/>
  <c r="AH150" i="3" s="1"/>
  <c r="O173" i="3"/>
  <c r="K223" i="7"/>
  <c r="N223" i="3" s="1"/>
  <c r="I875" i="10"/>
  <c r="I804" i="19"/>
  <c r="Q875" i="10"/>
  <c r="P875" i="10"/>
  <c r="O875" i="10"/>
  <c r="BB875" i="10"/>
  <c r="BC875" i="10" s="1"/>
  <c r="N875" i="10"/>
  <c r="BP875" i="10"/>
  <c r="BX875" i="10"/>
  <c r="T875" i="10"/>
  <c r="BQ875" i="10"/>
  <c r="K875" i="10" s="1"/>
  <c r="BG875" i="10" s="1"/>
  <c r="R875" i="10"/>
  <c r="G875" i="10"/>
  <c r="G377" i="34" s="1"/>
  <c r="AE75" i="7"/>
  <c r="AH75" i="3" s="1"/>
  <c r="O91" i="3"/>
  <c r="AM210" i="3"/>
  <c r="AT210" i="7"/>
  <c r="AW210" i="3" s="1"/>
  <c r="L16" i="8"/>
  <c r="AD350" i="7"/>
  <c r="AG350" i="3" s="1"/>
  <c r="AF350" i="7"/>
  <c r="AI350" i="3" s="1"/>
  <c r="AF350" i="3"/>
  <c r="AM105" i="3"/>
  <c r="AL105" i="7"/>
  <c r="I820" i="19"/>
  <c r="G891" i="10"/>
  <c r="G393" i="34" s="1"/>
  <c r="BQ891" i="10"/>
  <c r="K891" i="10" s="1"/>
  <c r="BG891" i="10" s="1"/>
  <c r="R891" i="10"/>
  <c r="O891" i="10"/>
  <c r="N891" i="10"/>
  <c r="I891" i="10"/>
  <c r="P891" i="10" s="1"/>
  <c r="T891" i="10"/>
  <c r="BB891" i="10"/>
  <c r="BX891" i="10"/>
  <c r="Q891" i="10"/>
  <c r="O12" i="3"/>
  <c r="AE6" i="7"/>
  <c r="AH6" i="3" s="1"/>
  <c r="BY501" i="10"/>
  <c r="K387" i="7"/>
  <c r="N387" i="3" s="1"/>
  <c r="I499" i="19"/>
  <c r="T556" i="10"/>
  <c r="Q556" i="10"/>
  <c r="BQ556" i="10"/>
  <c r="K556" i="10" s="1"/>
  <c r="BG556" i="10" s="1"/>
  <c r="R556" i="10"/>
  <c r="BX556" i="10"/>
  <c r="O556" i="10"/>
  <c r="N556" i="10"/>
  <c r="BB556" i="10"/>
  <c r="I556" i="10"/>
  <c r="P556" i="10" s="1"/>
  <c r="G556" i="10"/>
  <c r="G58" i="34" s="1"/>
  <c r="L21" i="34"/>
  <c r="CS519" i="10"/>
  <c r="N21" i="34" s="1"/>
  <c r="BY539" i="10"/>
  <c r="AS296" i="7"/>
  <c r="AV296" i="3" s="1"/>
  <c r="AT141" i="7"/>
  <c r="AW141" i="3" s="1"/>
  <c r="AF163" i="7"/>
  <c r="AD163" i="7"/>
  <c r="AM82" i="3"/>
  <c r="AL82" i="7"/>
  <c r="I498" i="19"/>
  <c r="BQ555" i="10"/>
  <c r="K555" i="10" s="1"/>
  <c r="BG555" i="10" s="1"/>
  <c r="T555" i="10"/>
  <c r="O555" i="10"/>
  <c r="Q555" i="10"/>
  <c r="N555" i="10"/>
  <c r="G555" i="10"/>
  <c r="G57" i="34" s="1"/>
  <c r="BX555" i="10"/>
  <c r="I555" i="10"/>
  <c r="P555" i="10" s="1"/>
  <c r="BB555" i="10"/>
  <c r="BC555" i="10" s="1"/>
  <c r="R555" i="10"/>
  <c r="BP555" i="10"/>
  <c r="AD30" i="7"/>
  <c r="AF30" i="7"/>
  <c r="N8" i="8"/>
  <c r="K417" i="7"/>
  <c r="N417" i="3" s="1"/>
  <c r="I678" i="19"/>
  <c r="R750" i="10"/>
  <c r="Q750" i="10"/>
  <c r="N750" i="10"/>
  <c r="I750" i="10"/>
  <c r="P750" i="10" s="1"/>
  <c r="BQ750" i="10"/>
  <c r="K750" i="10" s="1"/>
  <c r="BG750" i="10" s="1"/>
  <c r="O750" i="10"/>
  <c r="T750" i="10"/>
  <c r="G750" i="10"/>
  <c r="G252" i="34" s="1"/>
  <c r="BX750" i="10"/>
  <c r="BB750" i="10"/>
  <c r="I807" i="19"/>
  <c r="T878" i="10"/>
  <c r="O878" i="10"/>
  <c r="BB878" i="10"/>
  <c r="BC878" i="10" s="1"/>
  <c r="N878" i="10"/>
  <c r="BX878" i="10"/>
  <c r="BQ878" i="10"/>
  <c r="Q878" i="10"/>
  <c r="I878" i="10"/>
  <c r="P878" i="10" s="1"/>
  <c r="G878" i="10"/>
  <c r="G380" i="34" s="1"/>
  <c r="K878" i="10"/>
  <c r="BG878" i="10" s="1"/>
  <c r="R878" i="10"/>
  <c r="AM289" i="3"/>
  <c r="AT289" i="7"/>
  <c r="AW289" i="3" s="1"/>
  <c r="AS289" i="7"/>
  <c r="AV289" i="3" s="1"/>
  <c r="I604" i="19"/>
  <c r="I672" i="10"/>
  <c r="P672" i="10" s="1"/>
  <c r="R672" i="10"/>
  <c r="N672" i="10"/>
  <c r="O672" i="10"/>
  <c r="BB672" i="10"/>
  <c r="BQ672" i="10"/>
  <c r="K672" i="10" s="1"/>
  <c r="BG672" i="10" s="1"/>
  <c r="G672" i="10"/>
  <c r="G174" i="34" s="1"/>
  <c r="BX672" i="10"/>
  <c r="T672" i="10"/>
  <c r="Q672" i="10"/>
  <c r="AL149" i="7"/>
  <c r="AF41" i="7"/>
  <c r="AD41" i="7"/>
  <c r="AD333" i="7"/>
  <c r="AF333" i="7"/>
  <c r="I500" i="19"/>
  <c r="N557" i="10"/>
  <c r="T557" i="10"/>
  <c r="G557" i="10"/>
  <c r="G59" i="34" s="1"/>
  <c r="BQ557" i="10"/>
  <c r="K557" i="10" s="1"/>
  <c r="BG557" i="10" s="1"/>
  <c r="I557" i="10"/>
  <c r="P557" i="10" s="1"/>
  <c r="BB557" i="10"/>
  <c r="BC557" i="10" s="1"/>
  <c r="Q557" i="10"/>
  <c r="R557" i="10"/>
  <c r="O557" i="10"/>
  <c r="BX557" i="10"/>
  <c r="AT406" i="7"/>
  <c r="AW406" i="3" s="1"/>
  <c r="I668" i="19"/>
  <c r="BX740" i="10"/>
  <c r="O740" i="10"/>
  <c r="N740" i="10"/>
  <c r="BQ740" i="10"/>
  <c r="K740" i="10" s="1"/>
  <c r="BG740" i="10" s="1"/>
  <c r="R740" i="10"/>
  <c r="Q740" i="10"/>
  <c r="BB740" i="10"/>
  <c r="I740" i="10"/>
  <c r="P740" i="10" s="1"/>
  <c r="G740" i="10"/>
  <c r="G242" i="34" s="1"/>
  <c r="T740" i="10"/>
  <c r="O53" i="9"/>
  <c r="BC53" i="9" s="1"/>
  <c r="CD53" i="9"/>
  <c r="AM28" i="3"/>
  <c r="AT28" i="7"/>
  <c r="AW28" i="3" s="1"/>
  <c r="K364" i="7"/>
  <c r="N364" i="3" s="1"/>
  <c r="AL389" i="7"/>
  <c r="R6" i="8"/>
  <c r="D5" i="8"/>
  <c r="D274" i="8" s="1"/>
  <c r="C254" i="11"/>
  <c r="AL337" i="7"/>
  <c r="AT302" i="7"/>
  <c r="AW302" i="3" s="1"/>
  <c r="L297" i="3"/>
  <c r="E17" i="8"/>
  <c r="K10" i="7"/>
  <c r="N10" i="3" s="1"/>
  <c r="L9" i="8"/>
  <c r="N9" i="8"/>
  <c r="M9" i="8"/>
  <c r="AE98" i="7"/>
  <c r="AH98" i="3" s="1"/>
  <c r="J9" i="8"/>
  <c r="K9" i="8"/>
  <c r="O98" i="3"/>
  <c r="AT98" i="7"/>
  <c r="C258" i="11"/>
  <c r="AM211" i="10"/>
  <c r="AN211" i="10" s="1"/>
  <c r="AP211" i="10" s="1"/>
  <c r="AF217" i="7"/>
  <c r="AD217" i="7"/>
  <c r="I491" i="19"/>
  <c r="BB548" i="10"/>
  <c r="BC548" i="10" s="1"/>
  <c r="O548" i="10"/>
  <c r="N548" i="10"/>
  <c r="R548" i="10"/>
  <c r="I548" i="10"/>
  <c r="P548" i="10" s="1"/>
  <c r="BX548" i="10"/>
  <c r="BP548" i="10"/>
  <c r="T548" i="10"/>
  <c r="G548" i="10"/>
  <c r="G50" i="34" s="1"/>
  <c r="BQ548" i="10"/>
  <c r="K548" i="10" s="1"/>
  <c r="BG548" i="10" s="1"/>
  <c r="Q548" i="10"/>
  <c r="AT51" i="7"/>
  <c r="AW51" i="3" s="1"/>
  <c r="D12" i="8"/>
  <c r="D281" i="8" s="1"/>
  <c r="I858" i="19"/>
  <c r="BX774" i="10"/>
  <c r="O774" i="10"/>
  <c r="BQ774" i="10"/>
  <c r="K774" i="10" s="1"/>
  <c r="BG774" i="10" s="1"/>
  <c r="T774" i="10"/>
  <c r="Q774" i="10"/>
  <c r="I774" i="10"/>
  <c r="P774" i="10" s="1"/>
  <c r="G774" i="10"/>
  <c r="G276" i="34" s="1"/>
  <c r="BB774" i="10"/>
  <c r="R774" i="10"/>
  <c r="N774" i="10"/>
  <c r="AM86" i="3"/>
  <c r="AT86" i="7"/>
  <c r="AW86" i="3" s="1"/>
  <c r="E19" i="8"/>
  <c r="L346" i="3"/>
  <c r="O61" i="9"/>
  <c r="BC61" i="9" s="1"/>
  <c r="CD61" i="9"/>
  <c r="AL264" i="7"/>
  <c r="AF361" i="7"/>
  <c r="AD361" i="7"/>
  <c r="AD269" i="7"/>
  <c r="AF269" i="7"/>
  <c r="AT216" i="7"/>
  <c r="AW216" i="3" s="1"/>
  <c r="I581" i="19"/>
  <c r="I646" i="10"/>
  <c r="P646" i="10" s="1"/>
  <c r="Q646" i="10"/>
  <c r="N646" i="10"/>
  <c r="BQ646" i="10"/>
  <c r="K646" i="10" s="1"/>
  <c r="BG646" i="10" s="1"/>
  <c r="BX646" i="10"/>
  <c r="G646" i="10"/>
  <c r="G148" i="34" s="1"/>
  <c r="BB646" i="10"/>
  <c r="T646" i="10"/>
  <c r="O646" i="10"/>
  <c r="R646" i="10"/>
  <c r="AF236" i="7"/>
  <c r="AD236" i="7"/>
  <c r="I612" i="19"/>
  <c r="T680" i="10"/>
  <c r="Q680" i="10"/>
  <c r="N680" i="10"/>
  <c r="BB680" i="10"/>
  <c r="BC680" i="10" s="1"/>
  <c r="O680" i="10"/>
  <c r="I680" i="10"/>
  <c r="P680" i="10" s="1"/>
  <c r="BQ680" i="10"/>
  <c r="K680" i="10" s="1"/>
  <c r="BG680" i="10" s="1"/>
  <c r="R680" i="10"/>
  <c r="BX680" i="10"/>
  <c r="G680" i="10"/>
  <c r="G182" i="34" s="1"/>
  <c r="AS319" i="7"/>
  <c r="AV319" i="3" s="1"/>
  <c r="AL313" i="7"/>
  <c r="AD280" i="7"/>
  <c r="AF280" i="7"/>
  <c r="AF10" i="7"/>
  <c r="AD10" i="7"/>
  <c r="AT122" i="7"/>
  <c r="AW122" i="3" s="1"/>
  <c r="AL129" i="7"/>
  <c r="I822" i="19"/>
  <c r="G893" i="10"/>
  <c r="G395" i="34" s="1"/>
  <c r="BX893" i="10"/>
  <c r="I893" i="10"/>
  <c r="P893" i="10" s="1"/>
  <c r="BQ893" i="10"/>
  <c r="K893" i="10" s="1"/>
  <c r="BG893" i="10" s="1"/>
  <c r="T893" i="10"/>
  <c r="R893" i="10"/>
  <c r="Q893" i="10"/>
  <c r="O893" i="10"/>
  <c r="N893" i="10"/>
  <c r="S893" i="10" s="1"/>
  <c r="BB893" i="10"/>
  <c r="BY512" i="10"/>
  <c r="I746" i="19"/>
  <c r="BB819" i="10"/>
  <c r="BC819" i="10" s="1"/>
  <c r="BX819" i="10"/>
  <c r="I819" i="10"/>
  <c r="P819" i="10" s="1"/>
  <c r="R819" i="10"/>
  <c r="Q819" i="10"/>
  <c r="G819" i="10"/>
  <c r="G321" i="34" s="1"/>
  <c r="BQ819" i="10"/>
  <c r="K819" i="10" s="1"/>
  <c r="BG819" i="10" s="1"/>
  <c r="O819" i="10"/>
  <c r="N819" i="10"/>
  <c r="T819" i="10"/>
  <c r="AD206" i="7"/>
  <c r="AF206" i="7"/>
  <c r="AD179" i="7"/>
  <c r="AG179" i="3" s="1"/>
  <c r="AF179" i="7"/>
  <c r="AI179" i="3" s="1"/>
  <c r="AF179" i="3"/>
  <c r="AT38" i="7"/>
  <c r="AW38" i="3" s="1"/>
  <c r="AS186" i="7"/>
  <c r="AV186" i="3" s="1"/>
  <c r="K11" i="8"/>
  <c r="AS139" i="7"/>
  <c r="AV139" i="3" s="1"/>
  <c r="AL335" i="7"/>
  <c r="M190" i="3"/>
  <c r="K190" i="7"/>
  <c r="N190" i="3" s="1"/>
  <c r="AL397" i="7"/>
  <c r="AL309" i="7"/>
  <c r="AL362" i="7"/>
  <c r="K35" i="7"/>
  <c r="N35" i="3" s="1"/>
  <c r="AF239" i="7"/>
  <c r="AD239" i="7"/>
  <c r="N13" i="8"/>
  <c r="AS43" i="7"/>
  <c r="AV43" i="3" s="1"/>
  <c r="P28" i="28"/>
  <c r="K25" i="28"/>
  <c r="P6" i="28"/>
  <c r="K3" i="28"/>
  <c r="P33" i="28"/>
  <c r="K30" i="28"/>
  <c r="P11" i="28"/>
  <c r="K8" i="28"/>
  <c r="K35" i="28"/>
  <c r="P16" i="28"/>
  <c r="K13" i="28"/>
  <c r="P31" i="28"/>
  <c r="K28" i="28"/>
  <c r="P9" i="28"/>
  <c r="K6" i="28"/>
  <c r="P36" i="28"/>
  <c r="K33" i="28"/>
  <c r="P14" i="28"/>
  <c r="K11" i="28"/>
  <c r="P24" i="28"/>
  <c r="K21" i="28"/>
  <c r="P2" i="28"/>
  <c r="P22" i="28"/>
  <c r="K34" i="28"/>
  <c r="P15" i="28"/>
  <c r="K27" i="28"/>
  <c r="P8" i="28"/>
  <c r="K36" i="28"/>
  <c r="K20" i="28"/>
  <c r="P17" i="28"/>
  <c r="K29" i="28"/>
  <c r="P10" i="28"/>
  <c r="K22" i="28"/>
  <c r="P3" i="28"/>
  <c r="K31" i="28"/>
  <c r="P19" i="28"/>
  <c r="K15" i="28"/>
  <c r="P12" i="28"/>
  <c r="K17" i="28"/>
  <c r="K26" i="28"/>
  <c r="K10" i="28"/>
  <c r="P7" i="28"/>
  <c r="P25" i="28"/>
  <c r="P29" i="28"/>
  <c r="K9" i="28"/>
  <c r="K5" i="28"/>
  <c r="P37" i="28"/>
  <c r="P13" i="28"/>
  <c r="K24" i="28"/>
  <c r="P23" i="28"/>
  <c r="P34" i="28"/>
  <c r="K23" i="28"/>
  <c r="P18" i="28"/>
  <c r="K12" i="28"/>
  <c r="P21" i="28"/>
  <c r="P30" i="28"/>
  <c r="K37" i="28"/>
  <c r="K19" i="28"/>
  <c r="P26" i="28"/>
  <c r="P5" i="28"/>
  <c r="P35" i="28"/>
  <c r="K32" i="28"/>
  <c r="K18" i="28"/>
  <c r="K4" i="28"/>
  <c r="K14" i="28"/>
  <c r="P32" i="28"/>
  <c r="K16" i="28"/>
  <c r="P27" i="28"/>
  <c r="K2" i="28"/>
  <c r="P20" i="28"/>
  <c r="P4" i="28"/>
  <c r="B138" i="2"/>
  <c r="K7" i="28"/>
  <c r="L342" i="34"/>
  <c r="CS840" i="10"/>
  <c r="N342" i="34" s="1"/>
  <c r="BY787" i="10"/>
  <c r="L389" i="34"/>
  <c r="CS887" i="10"/>
  <c r="N389" i="34" s="1"/>
  <c r="L424" i="34"/>
  <c r="CS922" i="10"/>
  <c r="N424" i="34" s="1"/>
  <c r="L304" i="34"/>
  <c r="CS802" i="10"/>
  <c r="N304" i="34" s="1"/>
  <c r="L192" i="34"/>
  <c r="CS690" i="10"/>
  <c r="N192" i="34" s="1"/>
  <c r="BY837" i="10"/>
  <c r="CE782" i="10"/>
  <c r="BY835" i="10"/>
  <c r="CE915" i="10"/>
  <c r="CE705" i="10"/>
  <c r="L369" i="34"/>
  <c r="CS867" i="10"/>
  <c r="N369" i="34" s="1"/>
  <c r="CE558" i="10"/>
  <c r="CE55" i="9"/>
  <c r="CE631" i="10"/>
  <c r="CE35" i="9"/>
  <c r="BY582" i="10"/>
  <c r="BY550" i="10"/>
  <c r="CE687" i="10"/>
  <c r="L228" i="34"/>
  <c r="CS726" i="10"/>
  <c r="N228" i="34" s="1"/>
  <c r="CE500" i="10"/>
  <c r="CK8" i="9"/>
  <c r="CE666" i="10"/>
  <c r="C269" i="11"/>
  <c r="I747" i="19"/>
  <c r="Q820" i="10"/>
  <c r="BB820" i="10"/>
  <c r="BX820" i="10"/>
  <c r="O820" i="10"/>
  <c r="N820" i="10"/>
  <c r="I820" i="10"/>
  <c r="P820" i="10" s="1"/>
  <c r="G820" i="10"/>
  <c r="G322" i="34" s="1"/>
  <c r="T820" i="10"/>
  <c r="R820" i="10"/>
  <c r="AN510" i="10"/>
  <c r="BQ820" i="10"/>
  <c r="K820" i="10" s="1"/>
  <c r="BG820" i="10" s="1"/>
  <c r="L211" i="34"/>
  <c r="CS709" i="10"/>
  <c r="N211" i="34" s="1"/>
  <c r="I805" i="19"/>
  <c r="R876" i="10"/>
  <c r="BB876" i="10"/>
  <c r="N876" i="10"/>
  <c r="BX876" i="10"/>
  <c r="G876" i="10"/>
  <c r="G378" i="34" s="1"/>
  <c r="Q876" i="10"/>
  <c r="T876" i="10"/>
  <c r="O876" i="10"/>
  <c r="I876" i="10"/>
  <c r="P876" i="10" s="1"/>
  <c r="BQ876" i="10"/>
  <c r="K876" i="10" s="1"/>
  <c r="BG876" i="10" s="1"/>
  <c r="L46" i="34"/>
  <c r="CS544" i="10"/>
  <c r="N46" i="34" s="1"/>
  <c r="K18" i="8"/>
  <c r="AM426" i="10"/>
  <c r="AN426" i="10" s="1"/>
  <c r="AP426" i="10" s="1"/>
  <c r="AO426" i="3"/>
  <c r="AM426" i="7"/>
  <c r="AP426" i="3" s="1"/>
  <c r="AL405" i="7"/>
  <c r="AM405" i="3"/>
  <c r="AD126" i="7"/>
  <c r="AG126" i="3" s="1"/>
  <c r="AF126" i="3"/>
  <c r="AF126" i="7"/>
  <c r="AI126" i="3" s="1"/>
  <c r="AM11" i="3"/>
  <c r="AL11" i="7"/>
  <c r="AS11" i="7"/>
  <c r="AV11" i="3" s="1"/>
  <c r="K330" i="7"/>
  <c r="N330" i="3" s="1"/>
  <c r="I651" i="19"/>
  <c r="T719" i="10"/>
  <c r="I719" i="10"/>
  <c r="P719" i="10" s="1"/>
  <c r="G719" i="10"/>
  <c r="G221" i="34" s="1"/>
  <c r="BB719" i="10"/>
  <c r="BX719" i="10"/>
  <c r="Q719" i="10"/>
  <c r="N719" i="10"/>
  <c r="O719" i="10"/>
  <c r="BQ719" i="10"/>
  <c r="K719" i="10" s="1"/>
  <c r="BG719" i="10" s="1"/>
  <c r="R719" i="10"/>
  <c r="AF167" i="7"/>
  <c r="AD167" i="7"/>
  <c r="AF100" i="7"/>
  <c r="AI100" i="3" s="1"/>
  <c r="AD100" i="7"/>
  <c r="AG100" i="3" s="1"/>
  <c r="AF100" i="3"/>
  <c r="I597" i="19"/>
  <c r="G662" i="10"/>
  <c r="G164" i="34" s="1"/>
  <c r="BQ662" i="10"/>
  <c r="K662" i="10" s="1"/>
  <c r="BG662" i="10" s="1"/>
  <c r="N662" i="10"/>
  <c r="BB662" i="10"/>
  <c r="T662" i="10"/>
  <c r="Q662" i="10"/>
  <c r="BX662" i="10"/>
  <c r="R662" i="10"/>
  <c r="O662" i="10"/>
  <c r="I662" i="10"/>
  <c r="P662" i="10" s="1"/>
  <c r="AF401" i="7"/>
  <c r="AD401" i="7"/>
  <c r="AF271" i="7"/>
  <c r="AD271" i="7"/>
  <c r="I576" i="19"/>
  <c r="T641" i="10"/>
  <c r="R641" i="10"/>
  <c r="BQ641" i="10"/>
  <c r="K641" i="10" s="1"/>
  <c r="BG641" i="10" s="1"/>
  <c r="I641" i="10"/>
  <c r="P641" i="10" s="1"/>
  <c r="BB641" i="10"/>
  <c r="BC641" i="10" s="1"/>
  <c r="BX641" i="10"/>
  <c r="Q641" i="10"/>
  <c r="G641" i="10"/>
  <c r="G143" i="34" s="1"/>
  <c r="O641" i="10"/>
  <c r="N641" i="10"/>
  <c r="AD165" i="7"/>
  <c r="AF165" i="7"/>
  <c r="I671" i="19"/>
  <c r="G743" i="10"/>
  <c r="G245" i="34" s="1"/>
  <c r="BX743" i="10"/>
  <c r="BQ743" i="10"/>
  <c r="K743" i="10" s="1"/>
  <c r="BG743" i="10" s="1"/>
  <c r="P743" i="10"/>
  <c r="T743" i="10"/>
  <c r="O743" i="10"/>
  <c r="BB743" i="10"/>
  <c r="Q743" i="10"/>
  <c r="N743" i="10"/>
  <c r="I743" i="10"/>
  <c r="R743" i="10"/>
  <c r="K356" i="7"/>
  <c r="N356" i="3" s="1"/>
  <c r="AS188" i="7"/>
  <c r="AV188" i="3" s="1"/>
  <c r="CE29" i="9"/>
  <c r="O67" i="9"/>
  <c r="BC67" i="9" s="1"/>
  <c r="CD67" i="9"/>
  <c r="AS369" i="7"/>
  <c r="AV369" i="3" s="1"/>
  <c r="L281" i="3"/>
  <c r="E16" i="8"/>
  <c r="C265" i="11"/>
  <c r="AS258" i="7"/>
  <c r="AV258" i="3" s="1"/>
  <c r="I595" i="19"/>
  <c r="T660" i="10"/>
  <c r="R660" i="10"/>
  <c r="N660" i="10"/>
  <c r="BB660" i="10"/>
  <c r="I660" i="10"/>
  <c r="P660" i="10" s="1"/>
  <c r="BX660" i="10"/>
  <c r="O660" i="10"/>
  <c r="G660" i="10"/>
  <c r="G162" i="34" s="1"/>
  <c r="Q660" i="10"/>
  <c r="BQ660" i="10"/>
  <c r="K660" i="10" s="1"/>
  <c r="BG660" i="10" s="1"/>
  <c r="AD91" i="7"/>
  <c r="AF91" i="7"/>
  <c r="K246" i="7"/>
  <c r="N246" i="3" s="1"/>
  <c r="AS173" i="7"/>
  <c r="AV173" i="3" s="1"/>
  <c r="M424" i="3"/>
  <c r="K424" i="7"/>
  <c r="N424" i="3" s="1"/>
  <c r="AM92" i="3"/>
  <c r="AS92" i="7"/>
  <c r="AV92" i="3" s="1"/>
  <c r="L88" i="34"/>
  <c r="CS586" i="10"/>
  <c r="N88" i="34" s="1"/>
  <c r="AD210" i="7"/>
  <c r="AF210" i="7"/>
  <c r="I568" i="19"/>
  <c r="T632" i="10"/>
  <c r="BX632" i="10"/>
  <c r="O632" i="10"/>
  <c r="R632" i="10"/>
  <c r="BB632" i="10"/>
  <c r="BC632" i="10" s="1"/>
  <c r="N632" i="10"/>
  <c r="I632" i="10"/>
  <c r="P632" i="10" s="1"/>
  <c r="G632" i="10"/>
  <c r="G134" i="34" s="1"/>
  <c r="Q632" i="10"/>
  <c r="BQ632" i="10"/>
  <c r="K632" i="10" s="1"/>
  <c r="BG632" i="10" s="1"/>
  <c r="AD93" i="7"/>
  <c r="AF93" i="7"/>
  <c r="AD380" i="7"/>
  <c r="AF380" i="7"/>
  <c r="AL58" i="7"/>
  <c r="AL210" i="7"/>
  <c r="M16" i="8"/>
  <c r="BY504" i="10"/>
  <c r="K428" i="7"/>
  <c r="N428" i="3" s="1"/>
  <c r="I567" i="19"/>
  <c r="BQ631" i="10"/>
  <c r="K631" i="10" s="1"/>
  <c r="BG631" i="10" s="1"/>
  <c r="Q631" i="10"/>
  <c r="BB631" i="10"/>
  <c r="N631" i="10"/>
  <c r="T631" i="10"/>
  <c r="O631" i="10"/>
  <c r="BX631" i="10"/>
  <c r="R631" i="10"/>
  <c r="I631" i="10"/>
  <c r="P631" i="10" s="1"/>
  <c r="G631" i="10"/>
  <c r="G133" i="34" s="1"/>
  <c r="AN12" i="3"/>
  <c r="AL12" i="7"/>
  <c r="AT12" i="7"/>
  <c r="AW12" i="3" s="1"/>
  <c r="AS12" i="7"/>
  <c r="AV12" i="3" s="1"/>
  <c r="K347" i="7"/>
  <c r="N347" i="3" s="1"/>
  <c r="AF241" i="7"/>
  <c r="AD241" i="7"/>
  <c r="K194" i="7"/>
  <c r="N194" i="3" s="1"/>
  <c r="AM61" i="3"/>
  <c r="AT61" i="7"/>
  <c r="AW61" i="3" s="1"/>
  <c r="AS61" i="7"/>
  <c r="AV61" i="3" s="1"/>
  <c r="AL61" i="7"/>
  <c r="AF404" i="7"/>
  <c r="AD404" i="7"/>
  <c r="AL224" i="7"/>
  <c r="I572" i="19"/>
  <c r="I636" i="10"/>
  <c r="P636" i="10" s="1"/>
  <c r="BB636" i="10"/>
  <c r="BC636" i="10" s="1"/>
  <c r="T636" i="10"/>
  <c r="R636" i="10"/>
  <c r="Q636" i="10"/>
  <c r="BX636" i="10"/>
  <c r="O636" i="10"/>
  <c r="BQ636" i="10"/>
  <c r="K636" i="10" s="1"/>
  <c r="BG636" i="10" s="1"/>
  <c r="N636" i="10"/>
  <c r="G636" i="10"/>
  <c r="G138" i="34" s="1"/>
  <c r="AM21" i="3"/>
  <c r="AT21" i="7"/>
  <c r="AW21" i="3" s="1"/>
  <c r="AS21" i="7"/>
  <c r="AV21" i="3" s="1"/>
  <c r="AF149" i="3"/>
  <c r="AD149" i="7"/>
  <c r="AG149" i="3" s="1"/>
  <c r="AF149" i="7"/>
  <c r="AI149" i="3" s="1"/>
  <c r="I540" i="19"/>
  <c r="I602" i="10"/>
  <c r="P602" i="10" s="1"/>
  <c r="N602" i="10"/>
  <c r="BB602" i="10"/>
  <c r="BC602" i="10" s="1"/>
  <c r="G602" i="10"/>
  <c r="G104" i="34" s="1"/>
  <c r="R602" i="10"/>
  <c r="BQ602" i="10"/>
  <c r="K602" i="10" s="1"/>
  <c r="BG602" i="10" s="1"/>
  <c r="T602" i="10"/>
  <c r="BX602" i="10"/>
  <c r="Q602" i="10"/>
  <c r="O602" i="10"/>
  <c r="K8" i="8"/>
  <c r="AS417" i="7"/>
  <c r="AV417" i="3" s="1"/>
  <c r="CD42" i="9"/>
  <c r="O42" i="9"/>
  <c r="BC42" i="9" s="1"/>
  <c r="AS184" i="7"/>
  <c r="AV184" i="3" s="1"/>
  <c r="AS95" i="7"/>
  <c r="AV95" i="3" s="1"/>
  <c r="AL289" i="7"/>
  <c r="AM41" i="3"/>
  <c r="AS41" i="7"/>
  <c r="AV41" i="3" s="1"/>
  <c r="AL41" i="7"/>
  <c r="CE830" i="10"/>
  <c r="O59" i="9"/>
  <c r="BC59" i="9" s="1"/>
  <c r="CD59" i="9"/>
  <c r="AS282" i="7"/>
  <c r="AV282" i="3" s="1"/>
  <c r="M116" i="3"/>
  <c r="K116" i="7"/>
  <c r="N116" i="3" s="1"/>
  <c r="I709" i="10"/>
  <c r="P709" i="10" s="1"/>
  <c r="S709" i="10" s="1"/>
  <c r="AL231" i="7"/>
  <c r="AM66" i="3"/>
  <c r="AL66" i="7"/>
  <c r="AS121" i="7"/>
  <c r="AV121" i="3" s="1"/>
  <c r="AS315" i="7"/>
  <c r="AV315" i="3" s="1"/>
  <c r="K265" i="7"/>
  <c r="N265" i="3" s="1"/>
  <c r="AL164" i="7"/>
  <c r="AL70" i="7"/>
  <c r="AS363" i="7"/>
  <c r="AV363" i="3" s="1"/>
  <c r="AS240" i="7"/>
  <c r="AV240" i="3" s="1"/>
  <c r="AF12" i="7"/>
  <c r="AD12" i="7"/>
  <c r="K41" i="35"/>
  <c r="M41" i="35"/>
  <c r="AS290" i="7"/>
  <c r="AV290" i="3" s="1"/>
  <c r="K221" i="7"/>
  <c r="N221" i="3" s="1"/>
  <c r="M221" i="3"/>
  <c r="AF297" i="7"/>
  <c r="AI297" i="3" s="1"/>
  <c r="AD297" i="7"/>
  <c r="AG297" i="3" s="1"/>
  <c r="AF297" i="3"/>
  <c r="K208" i="7"/>
  <c r="N208" i="3" s="1"/>
  <c r="AF104" i="7"/>
  <c r="AD104" i="7"/>
  <c r="AD108" i="7"/>
  <c r="AF108" i="7"/>
  <c r="J21" i="8"/>
  <c r="E290" i="8" s="1"/>
  <c r="I638" i="19"/>
  <c r="R706" i="10"/>
  <c r="Q706" i="10"/>
  <c r="O706" i="10"/>
  <c r="BX706" i="10"/>
  <c r="BB706" i="10"/>
  <c r="BC706" i="10" s="1"/>
  <c r="N706" i="10"/>
  <c r="I706" i="10"/>
  <c r="P706" i="10" s="1"/>
  <c r="G706" i="10"/>
  <c r="G208" i="34" s="1"/>
  <c r="BQ706" i="10"/>
  <c r="K706" i="10" s="1"/>
  <c r="BG706" i="10" s="1"/>
  <c r="BP706" i="10"/>
  <c r="T706" i="10"/>
  <c r="AL285" i="7"/>
  <c r="AL317" i="7"/>
  <c r="AL9" i="7"/>
  <c r="AL269" i="7"/>
  <c r="AS140" i="7"/>
  <c r="AV140" i="3" s="1"/>
  <c r="I509" i="19"/>
  <c r="R569" i="10"/>
  <c r="Q569" i="10"/>
  <c r="BB569" i="10"/>
  <c r="G569" i="10"/>
  <c r="G71" i="34" s="1"/>
  <c r="BQ569" i="10"/>
  <c r="K569" i="10" s="1"/>
  <c r="BG569" i="10" s="1"/>
  <c r="BX569" i="10"/>
  <c r="T569" i="10"/>
  <c r="O569" i="10"/>
  <c r="I569" i="10"/>
  <c r="P569" i="10" s="1"/>
  <c r="N569" i="10"/>
  <c r="I796" i="19"/>
  <c r="T867" i="10"/>
  <c r="R867" i="10"/>
  <c r="N867" i="10"/>
  <c r="BB867" i="10"/>
  <c r="BC867" i="10" s="1"/>
  <c r="G867" i="10"/>
  <c r="G369" i="34" s="1"/>
  <c r="Q867" i="10"/>
  <c r="BQ867" i="10"/>
  <c r="K867" i="10" s="1"/>
  <c r="BG867" i="10" s="1"/>
  <c r="O867" i="10"/>
  <c r="I867" i="10"/>
  <c r="P867" i="10" s="1"/>
  <c r="BX867" i="10"/>
  <c r="AL185" i="7"/>
  <c r="AL54" i="7"/>
  <c r="CK37" i="9"/>
  <c r="AF313" i="7"/>
  <c r="AD313" i="7"/>
  <c r="I735" i="19"/>
  <c r="O808" i="10"/>
  <c r="BB808" i="10"/>
  <c r="BC808" i="10" s="1"/>
  <c r="I808" i="10"/>
  <c r="G808" i="10"/>
  <c r="G310" i="34" s="1"/>
  <c r="R808" i="10"/>
  <c r="Q808" i="10"/>
  <c r="P808" i="10"/>
  <c r="T808" i="10"/>
  <c r="BQ808" i="10"/>
  <c r="K808" i="10" s="1"/>
  <c r="BG808" i="10" s="1"/>
  <c r="N808" i="10"/>
  <c r="BX808" i="10"/>
  <c r="F20" i="8"/>
  <c r="AD85" i="7"/>
  <c r="AF85" i="7"/>
  <c r="AL413" i="7"/>
  <c r="AL222" i="7"/>
  <c r="BY549" i="10"/>
  <c r="J11" i="8"/>
  <c r="I758" i="19"/>
  <c r="Q830" i="10"/>
  <c r="BB830" i="10"/>
  <c r="N830" i="10"/>
  <c r="G830" i="10"/>
  <c r="G332" i="34" s="1"/>
  <c r="R830" i="10"/>
  <c r="O830" i="10"/>
  <c r="I830" i="10"/>
  <c r="P830" i="10" s="1"/>
  <c r="BX830" i="10"/>
  <c r="BQ830" i="10"/>
  <c r="K830" i="10" s="1"/>
  <c r="BG830" i="10" s="1"/>
  <c r="T830" i="10"/>
  <c r="AT397" i="7"/>
  <c r="AW397" i="3" s="1"/>
  <c r="K349" i="7"/>
  <c r="N349" i="3" s="1"/>
  <c r="K204" i="7"/>
  <c r="N204" i="3" s="1"/>
  <c r="AF304" i="7"/>
  <c r="AD304" i="7"/>
  <c r="K362" i="7"/>
  <c r="N362" i="3" s="1"/>
  <c r="I810" i="19"/>
  <c r="Q881" i="10"/>
  <c r="BB881" i="10"/>
  <c r="BX881" i="10"/>
  <c r="O881" i="10"/>
  <c r="R881" i="10"/>
  <c r="N881" i="10"/>
  <c r="I881" i="10"/>
  <c r="P881" i="10" s="1"/>
  <c r="T881" i="10"/>
  <c r="BQ881" i="10"/>
  <c r="K881" i="10" s="1"/>
  <c r="BG881" i="10" s="1"/>
  <c r="G881" i="10"/>
  <c r="G383" i="34" s="1"/>
  <c r="AS35" i="7"/>
  <c r="AV35" i="3" s="1"/>
  <c r="M13" i="8"/>
  <c r="K37" i="7"/>
  <c r="N37" i="3" s="1"/>
  <c r="I656" i="19"/>
  <c r="R728" i="10"/>
  <c r="Q728" i="10"/>
  <c r="N728" i="10"/>
  <c r="I728" i="10"/>
  <c r="P728" i="10" s="1"/>
  <c r="O728" i="10"/>
  <c r="BQ728" i="10"/>
  <c r="K728" i="10" s="1"/>
  <c r="BG728" i="10" s="1"/>
  <c r="T728" i="10"/>
  <c r="G728" i="10"/>
  <c r="G230" i="34" s="1"/>
  <c r="BB728" i="10"/>
  <c r="BX728" i="10"/>
  <c r="AT42" i="7"/>
  <c r="AW42" i="3" s="1"/>
  <c r="K144" i="34"/>
  <c r="CC642" i="10"/>
  <c r="BY755" i="10"/>
  <c r="J311" i="34"/>
  <c r="CK809" i="10"/>
  <c r="CJ809" i="10"/>
  <c r="CI809" i="10"/>
  <c r="CF809" i="10"/>
  <c r="CL809" i="10" s="1"/>
  <c r="CG809" i="10"/>
  <c r="CH809" i="10"/>
  <c r="N18" i="8"/>
  <c r="AM268" i="3"/>
  <c r="AT268" i="7"/>
  <c r="AW268" i="3" s="1"/>
  <c r="I737" i="19"/>
  <c r="G810" i="10"/>
  <c r="G312" i="34" s="1"/>
  <c r="BB810" i="10"/>
  <c r="BC810" i="10" s="1"/>
  <c r="I810" i="10"/>
  <c r="P810" i="10" s="1"/>
  <c r="BQ810" i="10"/>
  <c r="K810" i="10" s="1"/>
  <c r="BG810" i="10" s="1"/>
  <c r="T810" i="10"/>
  <c r="R810" i="10"/>
  <c r="Q810" i="10"/>
  <c r="N810" i="10"/>
  <c r="BX810" i="10"/>
  <c r="O810" i="10"/>
  <c r="O46" i="9"/>
  <c r="BC46" i="9" s="1"/>
  <c r="CD46" i="9"/>
  <c r="K122" i="34"/>
  <c r="M72" i="35"/>
  <c r="K72" i="35"/>
  <c r="AF345" i="7"/>
  <c r="AD345" i="7"/>
  <c r="I818" i="19"/>
  <c r="T889" i="10"/>
  <c r="BQ889" i="10"/>
  <c r="K889" i="10" s="1"/>
  <c r="BG889" i="10" s="1"/>
  <c r="O889" i="10"/>
  <c r="BB889" i="10"/>
  <c r="BC889" i="10" s="1"/>
  <c r="N889" i="10"/>
  <c r="G889" i="10"/>
  <c r="G391" i="34" s="1"/>
  <c r="BX889" i="10"/>
  <c r="R889" i="10"/>
  <c r="Q889" i="10"/>
  <c r="I889" i="10"/>
  <c r="P889" i="10" s="1"/>
  <c r="K235" i="7"/>
  <c r="N235" i="3" s="1"/>
  <c r="I598" i="19"/>
  <c r="BX663" i="10"/>
  <c r="O663" i="10"/>
  <c r="BQ663" i="10"/>
  <c r="K663" i="10" s="1"/>
  <c r="BG663" i="10" s="1"/>
  <c r="R663" i="10"/>
  <c r="I663" i="10"/>
  <c r="P663" i="10" s="1"/>
  <c r="G663" i="10"/>
  <c r="G165" i="34" s="1"/>
  <c r="BB663" i="10"/>
  <c r="N663" i="10"/>
  <c r="T663" i="10"/>
  <c r="Q663" i="10"/>
  <c r="L186" i="34"/>
  <c r="CS684" i="10"/>
  <c r="N186" i="34" s="1"/>
  <c r="I814" i="19"/>
  <c r="T885" i="10"/>
  <c r="BB885" i="10"/>
  <c r="BC885" i="10" s="1"/>
  <c r="BQ885" i="10"/>
  <c r="K885" i="10" s="1"/>
  <c r="BG885" i="10" s="1"/>
  <c r="N885" i="10"/>
  <c r="G885" i="10"/>
  <c r="G387" i="34" s="1"/>
  <c r="I885" i="10"/>
  <c r="P885" i="10" s="1"/>
  <c r="R885" i="10"/>
  <c r="Q885" i="10"/>
  <c r="BX885" i="10"/>
  <c r="O885" i="10"/>
  <c r="I664" i="19"/>
  <c r="G736" i="10"/>
  <c r="G238" i="34" s="1"/>
  <c r="BQ736" i="10"/>
  <c r="K736" i="10" s="1"/>
  <c r="BG736" i="10" s="1"/>
  <c r="R736" i="10"/>
  <c r="BX736" i="10"/>
  <c r="BB736" i="10"/>
  <c r="T736" i="10"/>
  <c r="Q736" i="10"/>
  <c r="O736" i="10"/>
  <c r="I736" i="10"/>
  <c r="P736" i="10" s="1"/>
  <c r="N736" i="10"/>
  <c r="I577" i="19"/>
  <c r="BQ642" i="10"/>
  <c r="R642" i="10"/>
  <c r="O642" i="10"/>
  <c r="BX642" i="10"/>
  <c r="Q642" i="10"/>
  <c r="N642" i="10"/>
  <c r="BB642" i="10"/>
  <c r="T642" i="10"/>
  <c r="K642" i="10"/>
  <c r="BG642" i="10" s="1"/>
  <c r="I642" i="10"/>
  <c r="P642" i="10" s="1"/>
  <c r="G642" i="10"/>
  <c r="G144" i="34" s="1"/>
  <c r="AM244" i="3"/>
  <c r="AT244" i="7"/>
  <c r="AW244" i="3" s="1"/>
  <c r="AS244" i="7"/>
  <c r="AV244" i="3" s="1"/>
  <c r="AL244" i="7"/>
  <c r="AT257" i="7"/>
  <c r="AM257" i="3"/>
  <c r="AS257" i="7"/>
  <c r="AL257" i="7"/>
  <c r="O17" i="9"/>
  <c r="BC17" i="9" s="1"/>
  <c r="CD17" i="9"/>
  <c r="F18" i="8"/>
  <c r="AM108" i="3"/>
  <c r="AT108" i="7"/>
  <c r="AW108" i="3" s="1"/>
  <c r="AS108" i="7"/>
  <c r="AV108" i="3" s="1"/>
  <c r="AD205" i="7"/>
  <c r="AF205" i="7"/>
  <c r="I739" i="19"/>
  <c r="I812" i="10"/>
  <c r="P812" i="10" s="1"/>
  <c r="BQ812" i="10"/>
  <c r="K812" i="10" s="1"/>
  <c r="BG812" i="10" s="1"/>
  <c r="G812" i="10"/>
  <c r="G314" i="34" s="1"/>
  <c r="O812" i="10"/>
  <c r="N812" i="10"/>
  <c r="T812" i="10"/>
  <c r="BB812" i="10"/>
  <c r="R812" i="10"/>
  <c r="Q812" i="10"/>
  <c r="BX812" i="10"/>
  <c r="AS69" i="7"/>
  <c r="AV69" i="3" s="1"/>
  <c r="BY885" i="10"/>
  <c r="L381" i="34"/>
  <c r="CS879" i="10"/>
  <c r="N381" i="34" s="1"/>
  <c r="J153" i="34"/>
  <c r="CH651" i="10"/>
  <c r="CF651" i="10"/>
  <c r="CL651" i="10" s="1"/>
  <c r="CK651" i="10"/>
  <c r="CG651" i="10"/>
  <c r="CJ651" i="10"/>
  <c r="CI651" i="10"/>
  <c r="J14" i="35"/>
  <c r="CN17" i="9"/>
  <c r="CP17" i="9"/>
  <c r="CO17" i="9"/>
  <c r="CM17" i="9"/>
  <c r="CL17" i="9"/>
  <c r="CQ17" i="9" s="1"/>
  <c r="K408" i="34"/>
  <c r="CB906" i="10"/>
  <c r="CA906" i="10"/>
  <c r="BZ906" i="10"/>
  <c r="CC906" i="10"/>
  <c r="K55" i="35"/>
  <c r="M55" i="35"/>
  <c r="K7" i="8"/>
  <c r="AF369" i="7"/>
  <c r="AD369" i="7"/>
  <c r="AD60" i="7"/>
  <c r="AF60" i="7"/>
  <c r="AL144" i="7"/>
  <c r="AD129" i="7"/>
  <c r="AF129" i="7"/>
  <c r="AE202" i="7"/>
  <c r="AH202" i="3" s="1"/>
  <c r="O212" i="3"/>
  <c r="CD51" i="9"/>
  <c r="O51" i="9"/>
  <c r="BC51" i="9" s="1"/>
  <c r="I734" i="19"/>
  <c r="BX807" i="10"/>
  <c r="O807" i="10"/>
  <c r="N807" i="10"/>
  <c r="Q807" i="10"/>
  <c r="BB807" i="10"/>
  <c r="BC807" i="10" s="1"/>
  <c r="G807" i="10"/>
  <c r="G309" i="34" s="1"/>
  <c r="T807" i="10"/>
  <c r="R807" i="10"/>
  <c r="I807" i="10"/>
  <c r="P807" i="10" s="1"/>
  <c r="S807" i="10" s="1"/>
  <c r="BQ807" i="10"/>
  <c r="K807" i="10" s="1"/>
  <c r="BG807" i="10" s="1"/>
  <c r="I533" i="19"/>
  <c r="BQ595" i="10"/>
  <c r="K595" i="10" s="1"/>
  <c r="BG595" i="10" s="1"/>
  <c r="T595" i="10"/>
  <c r="O595" i="10"/>
  <c r="BX595" i="10"/>
  <c r="BB595" i="10"/>
  <c r="BC595" i="10" s="1"/>
  <c r="I595" i="10"/>
  <c r="P595" i="10" s="1"/>
  <c r="G595" i="10"/>
  <c r="G97" i="34" s="1"/>
  <c r="Q595" i="10"/>
  <c r="R595" i="10"/>
  <c r="N595" i="10"/>
  <c r="AS143" i="7"/>
  <c r="AV143" i="3" s="1"/>
  <c r="K231" i="7"/>
  <c r="N231" i="3" s="1"/>
  <c r="K297" i="7"/>
  <c r="N297" i="3" s="1"/>
  <c r="K250" i="7"/>
  <c r="N250" i="3" s="1"/>
  <c r="AD122" i="7"/>
  <c r="AF122" i="7"/>
  <c r="AL194" i="7"/>
  <c r="N21" i="8"/>
  <c r="AM377" i="10"/>
  <c r="AN377" i="10" s="1"/>
  <c r="AP377" i="10" s="1"/>
  <c r="AM377" i="7"/>
  <c r="AP377" i="3" s="1"/>
  <c r="AO377" i="3"/>
  <c r="AS395" i="7"/>
  <c r="AV395" i="3" s="1"/>
  <c r="AL51" i="7"/>
  <c r="AF293" i="7"/>
  <c r="AD293" i="7"/>
  <c r="AD49" i="7"/>
  <c r="AF49" i="7"/>
  <c r="L19" i="8"/>
  <c r="AE346" i="7"/>
  <c r="AH346" i="3" s="1"/>
  <c r="N19" i="8"/>
  <c r="J19" i="8"/>
  <c r="O346" i="3"/>
  <c r="M19" i="8"/>
  <c r="K19" i="8"/>
  <c r="K305" i="7"/>
  <c r="N305" i="3" s="1"/>
  <c r="AL254" i="7"/>
  <c r="I693" i="19"/>
  <c r="BQ764" i="10"/>
  <c r="K764" i="10" s="1"/>
  <c r="BG764" i="10" s="1"/>
  <c r="G764" i="10"/>
  <c r="G266" i="34" s="1"/>
  <c r="BX764" i="10"/>
  <c r="R764" i="10"/>
  <c r="O764" i="10"/>
  <c r="T764" i="10"/>
  <c r="BB764" i="10"/>
  <c r="Q764" i="10"/>
  <c r="N764" i="10"/>
  <c r="I764" i="10"/>
  <c r="P764" i="10" s="1"/>
  <c r="AS96" i="7"/>
  <c r="AV96" i="3" s="1"/>
  <c r="CD15" i="9"/>
  <c r="O15" i="9"/>
  <c r="BC15" i="9" s="1"/>
  <c r="AS10" i="7"/>
  <c r="AV10" i="3" s="1"/>
  <c r="AS194" i="7"/>
  <c r="AV194" i="3" s="1"/>
  <c r="AS87" i="7"/>
  <c r="AV87" i="3" s="1"/>
  <c r="K93" i="7"/>
  <c r="N93" i="3" s="1"/>
  <c r="AS260" i="7"/>
  <c r="AV260" i="3" s="1"/>
  <c r="AL290" i="7"/>
  <c r="C233" i="8"/>
  <c r="E233" i="8"/>
  <c r="AF228" i="7"/>
  <c r="AD228" i="7"/>
  <c r="K408" i="7"/>
  <c r="N408" i="3" s="1"/>
  <c r="AS334" i="7"/>
  <c r="AV334" i="3" s="1"/>
  <c r="AT319" i="7"/>
  <c r="AW319" i="3" s="1"/>
  <c r="I606" i="19"/>
  <c r="BX674" i="10"/>
  <c r="O674" i="10"/>
  <c r="N674" i="10"/>
  <c r="BQ674" i="10"/>
  <c r="K674" i="10" s="1"/>
  <c r="BG674" i="10" s="1"/>
  <c r="BB674" i="10"/>
  <c r="Q674" i="10"/>
  <c r="T674" i="10"/>
  <c r="G674" i="10"/>
  <c r="G176" i="34" s="1"/>
  <c r="R674" i="10"/>
  <c r="I674" i="10"/>
  <c r="P674" i="10" s="1"/>
  <c r="AS38" i="7"/>
  <c r="AV38" i="3" s="1"/>
  <c r="L11" i="8"/>
  <c r="AT139" i="7"/>
  <c r="AW139" i="3" s="1"/>
  <c r="AL188" i="7"/>
  <c r="AS304" i="7"/>
  <c r="AV304" i="3" s="1"/>
  <c r="I786" i="19"/>
  <c r="BX857" i="10"/>
  <c r="O857" i="10"/>
  <c r="N857" i="10"/>
  <c r="BB857" i="10"/>
  <c r="I857" i="10"/>
  <c r="P857" i="10" s="1"/>
  <c r="G857" i="10"/>
  <c r="G359" i="34" s="1"/>
  <c r="R857" i="10"/>
  <c r="T857" i="10"/>
  <c r="BQ857" i="10"/>
  <c r="K857" i="10" s="1"/>
  <c r="BG857" i="10" s="1"/>
  <c r="Q857" i="10"/>
  <c r="K288" i="7"/>
  <c r="N288" i="3" s="1"/>
  <c r="AL35" i="7"/>
  <c r="AT239" i="7"/>
  <c r="AW239" i="3" s="1"/>
  <c r="AD291" i="7"/>
  <c r="AF291" i="7"/>
  <c r="J13" i="8"/>
  <c r="AT270" i="7"/>
  <c r="AW270" i="3" s="1"/>
  <c r="AL42" i="7"/>
  <c r="AF65" i="7"/>
  <c r="AD65" i="7"/>
  <c r="K76" i="34"/>
  <c r="CA574" i="10"/>
  <c r="BZ574" i="10"/>
  <c r="AD387" i="7"/>
  <c r="AF387" i="7"/>
  <c r="AD394" i="7"/>
  <c r="AF394" i="7"/>
  <c r="AM215" i="3"/>
  <c r="AL215" i="7"/>
  <c r="AT215" i="7"/>
  <c r="AW215" i="3" s="1"/>
  <c r="AS215" i="7"/>
  <c r="AV215" i="3" s="1"/>
  <c r="K128" i="7"/>
  <c r="N128" i="3" s="1"/>
  <c r="M128" i="3"/>
  <c r="I510" i="19"/>
  <c r="BB570" i="10"/>
  <c r="I570" i="10"/>
  <c r="P570" i="10" s="1"/>
  <c r="R570" i="10"/>
  <c r="Q570" i="10"/>
  <c r="G570" i="10"/>
  <c r="G72" i="34" s="1"/>
  <c r="N570" i="10"/>
  <c r="T570" i="10"/>
  <c r="O570" i="10"/>
  <c r="BQ570" i="10"/>
  <c r="K570" i="10" s="1"/>
  <c r="BG570" i="10" s="1"/>
  <c r="BX570" i="10"/>
  <c r="K7" i="35"/>
  <c r="M7" i="35"/>
  <c r="O69" i="9"/>
  <c r="BC69" i="9" s="1"/>
  <c r="CD69" i="9"/>
  <c r="K17" i="34"/>
  <c r="CC515" i="10"/>
  <c r="CB515" i="10"/>
  <c r="CA515" i="10"/>
  <c r="BZ515" i="10"/>
  <c r="K4" i="35"/>
  <c r="M4" i="35"/>
  <c r="I833" i="19"/>
  <c r="Q669" i="10"/>
  <c r="N669" i="10"/>
  <c r="G669" i="10"/>
  <c r="G171" i="34" s="1"/>
  <c r="R669" i="10"/>
  <c r="I669" i="10"/>
  <c r="P669" i="10" s="1"/>
  <c r="T669" i="10"/>
  <c r="BB669" i="10"/>
  <c r="BC669" i="10" s="1"/>
  <c r="BX669" i="10"/>
  <c r="BQ669" i="10"/>
  <c r="K669" i="10" s="1"/>
  <c r="BG669" i="10" s="1"/>
  <c r="O669" i="10"/>
  <c r="AL94" i="7"/>
  <c r="AM94" i="3"/>
  <c r="AF48" i="7"/>
  <c r="AD48" i="7"/>
  <c r="K133" i="7"/>
  <c r="N133" i="3" s="1"/>
  <c r="AF128" i="7"/>
  <c r="AD128" i="7"/>
  <c r="AF249" i="7"/>
  <c r="AD249" i="7"/>
  <c r="L257" i="34"/>
  <c r="CS755" i="10"/>
  <c r="N257" i="34" s="1"/>
  <c r="L36" i="34"/>
  <c r="CS534" i="10"/>
  <c r="N36" i="34" s="1"/>
  <c r="I58" i="35"/>
  <c r="CI61" i="9"/>
  <c r="CH61" i="9"/>
  <c r="CG61" i="9"/>
  <c r="CF61" i="9"/>
  <c r="CD64" i="9"/>
  <c r="O64" i="9"/>
  <c r="BC64" i="9" s="1"/>
  <c r="AM235" i="3"/>
  <c r="AL235" i="7"/>
  <c r="AL344" i="7"/>
  <c r="AD270" i="7"/>
  <c r="AF270" i="7"/>
  <c r="CA676" i="10"/>
  <c r="L254" i="34"/>
  <c r="CS752" i="10"/>
  <c r="N254" i="34" s="1"/>
  <c r="J122" i="34"/>
  <c r="CH620" i="10"/>
  <c r="CI620" i="10"/>
  <c r="CK620" i="10"/>
  <c r="CG620" i="10"/>
  <c r="CF620" i="10"/>
  <c r="CL620" i="10" s="1"/>
  <c r="CJ620" i="10"/>
  <c r="I799" i="19"/>
  <c r="Q870" i="10"/>
  <c r="BB870" i="10"/>
  <c r="BX870" i="10"/>
  <c r="O870" i="10"/>
  <c r="T870" i="10"/>
  <c r="R870" i="10"/>
  <c r="N870" i="10"/>
  <c r="I870" i="10"/>
  <c r="P870" i="10" s="1"/>
  <c r="G870" i="10"/>
  <c r="G372" i="34" s="1"/>
  <c r="BQ870" i="10"/>
  <c r="K870" i="10" s="1"/>
  <c r="BG870" i="10" s="1"/>
  <c r="AM325" i="3"/>
  <c r="AS325" i="7"/>
  <c r="AT325" i="7"/>
  <c r="AL325" i="7"/>
  <c r="AF123" i="7"/>
  <c r="AD123" i="7"/>
  <c r="I748" i="19"/>
  <c r="G821" i="10"/>
  <c r="G323" i="34" s="1"/>
  <c r="BX821" i="10"/>
  <c r="BQ821" i="10"/>
  <c r="K821" i="10" s="1"/>
  <c r="BG821" i="10" s="1"/>
  <c r="T821" i="10"/>
  <c r="Q821" i="10"/>
  <c r="N821" i="10"/>
  <c r="BB821" i="10"/>
  <c r="O821" i="10"/>
  <c r="R821" i="10"/>
  <c r="I821" i="10"/>
  <c r="P821" i="10" s="1"/>
  <c r="K39" i="7"/>
  <c r="N39" i="3" s="1"/>
  <c r="AT169" i="7"/>
  <c r="AW169" i="3" s="1"/>
  <c r="AS169" i="7"/>
  <c r="AV169" i="3" s="1"/>
  <c r="AL169" i="7"/>
  <c r="AM169" i="3"/>
  <c r="I809" i="19"/>
  <c r="Q880" i="10"/>
  <c r="O880" i="10"/>
  <c r="N880" i="10"/>
  <c r="BB880" i="10"/>
  <c r="BX880" i="10"/>
  <c r="T880" i="10"/>
  <c r="G880" i="10"/>
  <c r="G382" i="34" s="1"/>
  <c r="I880" i="10"/>
  <c r="P880" i="10" s="1"/>
  <c r="R880" i="10"/>
  <c r="BQ880" i="10"/>
  <c r="K880" i="10" s="1"/>
  <c r="BG880" i="10" s="1"/>
  <c r="BZ856" i="10"/>
  <c r="L13" i="34"/>
  <c r="CS511" i="10"/>
  <c r="N13" i="34" s="1"/>
  <c r="J224" i="34"/>
  <c r="CK722" i="10"/>
  <c r="CJ722" i="10"/>
  <c r="CF722" i="10"/>
  <c r="CL722" i="10" s="1"/>
  <c r="CI722" i="10"/>
  <c r="CG722" i="10"/>
  <c r="CH722" i="10"/>
  <c r="M397" i="3"/>
  <c r="K397" i="7"/>
  <c r="N397" i="3" s="1"/>
  <c r="L132" i="3"/>
  <c r="K132" i="7"/>
  <c r="N132" i="3" s="1"/>
  <c r="I536" i="19"/>
  <c r="R598" i="10"/>
  <c r="BX598" i="10"/>
  <c r="O598" i="10"/>
  <c r="G598" i="10"/>
  <c r="G100" i="34" s="1"/>
  <c r="I598" i="10"/>
  <c r="P598" i="10" s="1"/>
  <c r="Q598" i="10"/>
  <c r="BB598" i="10"/>
  <c r="BC598" i="10" s="1"/>
  <c r="T598" i="10"/>
  <c r="N598" i="10"/>
  <c r="BQ598" i="10"/>
  <c r="K598" i="10" s="1"/>
  <c r="BG598" i="10" s="1"/>
  <c r="I501" i="19"/>
  <c r="BB558" i="10"/>
  <c r="BC558" i="10" s="1"/>
  <c r="O558" i="10"/>
  <c r="N558" i="10"/>
  <c r="I558" i="10"/>
  <c r="P558" i="10" s="1"/>
  <c r="BQ558" i="10"/>
  <c r="K558" i="10" s="1"/>
  <c r="BG558" i="10" s="1"/>
  <c r="BX558" i="10"/>
  <c r="G558" i="10"/>
  <c r="G60" i="34" s="1"/>
  <c r="T558" i="10"/>
  <c r="R558" i="10"/>
  <c r="Q558" i="10"/>
  <c r="Q658" i="10"/>
  <c r="BQ658" i="10"/>
  <c r="K658" i="10" s="1"/>
  <c r="G658" i="10"/>
  <c r="G160" i="34" s="1"/>
  <c r="I593" i="19"/>
  <c r="I658" i="10"/>
  <c r="P658" i="10" s="1"/>
  <c r="BB658" i="10"/>
  <c r="BC658" i="10" s="1"/>
  <c r="BX658" i="10"/>
  <c r="R658" i="10"/>
  <c r="N658" i="10"/>
  <c r="O658" i="10"/>
  <c r="T658" i="10"/>
  <c r="O29" i="9"/>
  <c r="BC29" i="9" s="1"/>
  <c r="CD29" i="9"/>
  <c r="CD32" i="9"/>
  <c r="O32" i="9"/>
  <c r="BC32" i="9" s="1"/>
  <c r="AL69" i="7"/>
  <c r="L119" i="34"/>
  <c r="CS617" i="10"/>
  <c r="N119" i="34" s="1"/>
  <c r="BY643" i="10"/>
  <c r="L350" i="34"/>
  <c r="CS848" i="10"/>
  <c r="N350" i="34" s="1"/>
  <c r="CE63" i="9"/>
  <c r="AD138" i="7"/>
  <c r="AF138" i="7"/>
  <c r="I525" i="19"/>
  <c r="T585" i="10"/>
  <c r="BB585" i="10"/>
  <c r="BX585" i="10"/>
  <c r="BQ585" i="10"/>
  <c r="K585" i="10" s="1"/>
  <c r="BG585" i="10" s="1"/>
  <c r="Q585" i="10"/>
  <c r="R585" i="10"/>
  <c r="I585" i="10"/>
  <c r="P585" i="10" s="1"/>
  <c r="N585" i="10"/>
  <c r="G585" i="10"/>
  <c r="G87" i="34" s="1"/>
  <c r="O585" i="10"/>
  <c r="AL19" i="7"/>
  <c r="AM316" i="3"/>
  <c r="AT316" i="7"/>
  <c r="AW316" i="3" s="1"/>
  <c r="AS316" i="7"/>
  <c r="AV316" i="3" s="1"/>
  <c r="I625" i="19"/>
  <c r="BB693" i="10"/>
  <c r="BQ693" i="10"/>
  <c r="K693" i="10" s="1"/>
  <c r="BG693" i="10" s="1"/>
  <c r="I693" i="10"/>
  <c r="P693" i="10" s="1"/>
  <c r="BX693" i="10"/>
  <c r="T693" i="10"/>
  <c r="R693" i="10"/>
  <c r="Q693" i="10"/>
  <c r="G693" i="10"/>
  <c r="G195" i="34" s="1"/>
  <c r="N693" i="10"/>
  <c r="O693" i="10"/>
  <c r="AF17" i="7"/>
  <c r="AD17" i="7"/>
  <c r="K359" i="7"/>
  <c r="N359" i="3" s="1"/>
  <c r="CO21" i="9"/>
  <c r="L367" i="34"/>
  <c r="CS865" i="10"/>
  <c r="N367" i="34" s="1"/>
  <c r="I44" i="35"/>
  <c r="CG47" i="9"/>
  <c r="CI47" i="9"/>
  <c r="CH47" i="9"/>
  <c r="I768" i="19"/>
  <c r="R839" i="10"/>
  <c r="BX839" i="10"/>
  <c r="I839" i="10"/>
  <c r="P839" i="10" s="1"/>
  <c r="BQ839" i="10"/>
  <c r="K839" i="10" s="1"/>
  <c r="BG839" i="10" s="1"/>
  <c r="G839" i="10"/>
  <c r="G341" i="34" s="1"/>
  <c r="BB839" i="10"/>
  <c r="T839" i="10"/>
  <c r="Q839" i="10"/>
  <c r="O839" i="10"/>
  <c r="N839" i="10"/>
  <c r="K377" i="7"/>
  <c r="N377" i="3" s="1"/>
  <c r="M377" i="3"/>
  <c r="I667" i="19"/>
  <c r="R739" i="10"/>
  <c r="BQ739" i="10"/>
  <c r="K739" i="10" s="1"/>
  <c r="BG739" i="10" s="1"/>
  <c r="BB739" i="10"/>
  <c r="G739" i="10"/>
  <c r="G241" i="34" s="1"/>
  <c r="Q739" i="10"/>
  <c r="I739" i="10"/>
  <c r="P739" i="10" s="1"/>
  <c r="O739" i="10"/>
  <c r="N739" i="10"/>
  <c r="BX739" i="10"/>
  <c r="T739" i="10"/>
  <c r="AD90" i="7"/>
  <c r="AF90" i="7"/>
  <c r="AM242" i="3"/>
  <c r="AL242" i="7"/>
  <c r="AT189" i="7"/>
  <c r="AW189" i="3" s="1"/>
  <c r="AL323" i="7"/>
  <c r="AF295" i="7"/>
  <c r="AD295" i="7"/>
  <c r="AT219" i="7"/>
  <c r="AW219" i="3" s="1"/>
  <c r="K403" i="7"/>
  <c r="N403" i="3" s="1"/>
  <c r="L288" i="34"/>
  <c r="CS786" i="10"/>
  <c r="N288" i="34" s="1"/>
  <c r="CA525" i="10"/>
  <c r="BZ525" i="10"/>
  <c r="J268" i="34"/>
  <c r="CH766" i="10"/>
  <c r="CG766" i="10"/>
  <c r="CF766" i="10"/>
  <c r="CL766" i="10" s="1"/>
  <c r="CI766" i="10"/>
  <c r="AF294" i="7"/>
  <c r="AD294" i="7"/>
  <c r="K308" i="7"/>
  <c r="N308" i="3" s="1"/>
  <c r="I505" i="19"/>
  <c r="BQ562" i="10"/>
  <c r="K562" i="10" s="1"/>
  <c r="BG562" i="10" s="1"/>
  <c r="T562" i="10"/>
  <c r="R562" i="10"/>
  <c r="Q562" i="10"/>
  <c r="O562" i="10"/>
  <c r="I562" i="10"/>
  <c r="P562" i="10" s="1"/>
  <c r="BB562" i="10"/>
  <c r="BC562" i="10" s="1"/>
  <c r="BP562" i="10"/>
  <c r="N562" i="10"/>
  <c r="BX562" i="10"/>
  <c r="G562" i="10"/>
  <c r="G64" i="34" s="1"/>
  <c r="K105" i="7"/>
  <c r="N105" i="3" s="1"/>
  <c r="M229" i="3"/>
  <c r="F14" i="8"/>
  <c r="K229" i="7"/>
  <c r="N229" i="3" s="1"/>
  <c r="K33" i="34"/>
  <c r="CA531" i="10"/>
  <c r="K329" i="7"/>
  <c r="N329" i="3" s="1"/>
  <c r="L117" i="34"/>
  <c r="CS615" i="10"/>
  <c r="N117" i="34" s="1"/>
  <c r="M299" i="3"/>
  <c r="K299" i="7"/>
  <c r="N299" i="3" s="1"/>
  <c r="BY627" i="10"/>
  <c r="I699" i="19"/>
  <c r="R769" i="10"/>
  <c r="BB769" i="10"/>
  <c r="BC769" i="10" s="1"/>
  <c r="O769" i="10"/>
  <c r="G769" i="10"/>
  <c r="G271" i="34" s="1"/>
  <c r="T769" i="10"/>
  <c r="BQ769" i="10"/>
  <c r="K769" i="10" s="1"/>
  <c r="BG769" i="10" s="1"/>
  <c r="Q769" i="10"/>
  <c r="N769" i="10"/>
  <c r="I769" i="10"/>
  <c r="P769" i="10" s="1"/>
  <c r="BX769" i="10"/>
  <c r="AL392" i="7"/>
  <c r="K6" i="7"/>
  <c r="N6" i="3" s="1"/>
  <c r="AS428" i="7"/>
  <c r="AV428" i="3" s="1"/>
  <c r="M22" i="3"/>
  <c r="K22" i="7"/>
  <c r="N22" i="3" s="1"/>
  <c r="I767" i="19"/>
  <c r="I838" i="10"/>
  <c r="P838" i="10" s="1"/>
  <c r="BX838" i="10"/>
  <c r="BQ838" i="10"/>
  <c r="K838" i="10" s="1"/>
  <c r="BG838" i="10" s="1"/>
  <c r="T838" i="10"/>
  <c r="R838" i="10"/>
  <c r="Q838" i="10"/>
  <c r="BB838" i="10"/>
  <c r="O838" i="10"/>
  <c r="G838" i="10"/>
  <c r="G340" i="34" s="1"/>
  <c r="N838" i="10"/>
  <c r="I765" i="19"/>
  <c r="I836" i="10"/>
  <c r="P836" i="10" s="1"/>
  <c r="G836" i="10"/>
  <c r="G338" i="34" s="1"/>
  <c r="T836" i="10"/>
  <c r="O836" i="10"/>
  <c r="N836" i="10"/>
  <c r="R836" i="10"/>
  <c r="BX836" i="10"/>
  <c r="Q836" i="10"/>
  <c r="BQ836" i="10"/>
  <c r="K836" i="10" s="1"/>
  <c r="BG836" i="10" s="1"/>
  <c r="BB836" i="10"/>
  <c r="AF233" i="7"/>
  <c r="AI233" i="3" s="1"/>
  <c r="AF233" i="3"/>
  <c r="AD233" i="7"/>
  <c r="AG233" i="3" s="1"/>
  <c r="L316" i="34"/>
  <c r="CS814" i="10"/>
  <c r="N316" i="34" s="1"/>
  <c r="L247" i="34"/>
  <c r="CS745" i="10"/>
  <c r="N247" i="34" s="1"/>
  <c r="CE846" i="10"/>
  <c r="L305" i="34"/>
  <c r="CS803" i="10"/>
  <c r="N305" i="34" s="1"/>
  <c r="L331" i="34"/>
  <c r="CS829" i="10"/>
  <c r="N331" i="34" s="1"/>
  <c r="L371" i="34"/>
  <c r="CS869" i="10"/>
  <c r="N371" i="34" s="1"/>
  <c r="L339" i="34"/>
  <c r="CS837" i="10"/>
  <c r="N339" i="34" s="1"/>
  <c r="BY581" i="10"/>
  <c r="BY846" i="10"/>
  <c r="CE596" i="10"/>
  <c r="L181" i="34"/>
  <c r="CS679" i="10"/>
  <c r="N181" i="34" s="1"/>
  <c r="L70" i="34"/>
  <c r="CS568" i="10"/>
  <c r="N70" i="34" s="1"/>
  <c r="CE547" i="10"/>
  <c r="L189" i="34"/>
  <c r="CS687" i="10"/>
  <c r="N189" i="34" s="1"/>
  <c r="K267" i="7"/>
  <c r="N267" i="3" s="1"/>
  <c r="AS237" i="7"/>
  <c r="AV237" i="3" s="1"/>
  <c r="AL237" i="7"/>
  <c r="AM237" i="3"/>
  <c r="AT237" i="7"/>
  <c r="AW237" i="3" s="1"/>
  <c r="I865" i="19"/>
  <c r="BQ921" i="10"/>
  <c r="K921" i="10" s="1"/>
  <c r="BG921" i="10" s="1"/>
  <c r="O921" i="10"/>
  <c r="N921" i="10"/>
  <c r="BX921" i="10"/>
  <c r="R921" i="10"/>
  <c r="Q921" i="10"/>
  <c r="G921" i="10"/>
  <c r="G423" i="34" s="1"/>
  <c r="I921" i="10"/>
  <c r="P921" i="10" s="1"/>
  <c r="BB921" i="10"/>
  <c r="T921" i="10"/>
  <c r="L276" i="3"/>
  <c r="K276" i="7"/>
  <c r="N276" i="3" s="1"/>
  <c r="AD88" i="7"/>
  <c r="AF88" i="7"/>
  <c r="AF52" i="3"/>
  <c r="AF52" i="7"/>
  <c r="AI52" i="3" s="1"/>
  <c r="AD52" i="7"/>
  <c r="AG52" i="3" s="1"/>
  <c r="L293" i="34"/>
  <c r="CS791" i="10"/>
  <c r="N293" i="34" s="1"/>
  <c r="I793" i="19"/>
  <c r="I864" i="10"/>
  <c r="R864" i="10"/>
  <c r="O864" i="10"/>
  <c r="Q864" i="10"/>
  <c r="P864" i="10"/>
  <c r="BB864" i="10"/>
  <c r="BQ864" i="10"/>
  <c r="K864" i="10" s="1"/>
  <c r="BG864" i="10" s="1"/>
  <c r="T864" i="10"/>
  <c r="N864" i="10"/>
  <c r="S864" i="10" s="1"/>
  <c r="BX864" i="10"/>
  <c r="G864" i="10"/>
  <c r="G366" i="34" s="1"/>
  <c r="F16" i="8"/>
  <c r="M281" i="3"/>
  <c r="K281" i="7"/>
  <c r="N281" i="3" s="1"/>
  <c r="AF145" i="7"/>
  <c r="AI145" i="3" s="1"/>
  <c r="AD145" i="7"/>
  <c r="AG145" i="3" s="1"/>
  <c r="AF145" i="3"/>
  <c r="CD18" i="9"/>
  <c r="O18" i="9"/>
  <c r="BC18" i="9" s="1"/>
  <c r="CE504" i="10"/>
  <c r="CD6" i="9"/>
  <c r="O6" i="9"/>
  <c r="BC6" i="9" s="1"/>
  <c r="I655" i="19"/>
  <c r="I727" i="10"/>
  <c r="P727" i="10" s="1"/>
  <c r="R727" i="10"/>
  <c r="BX727" i="10"/>
  <c r="O727" i="10"/>
  <c r="BQ727" i="10"/>
  <c r="K727" i="10" s="1"/>
  <c r="BG727" i="10" s="1"/>
  <c r="Q727" i="10"/>
  <c r="N727" i="10"/>
  <c r="G727" i="10"/>
  <c r="G229" i="34" s="1"/>
  <c r="BB727" i="10"/>
  <c r="BC727" i="10" s="1"/>
  <c r="T727" i="10"/>
  <c r="I566" i="19"/>
  <c r="R630" i="10"/>
  <c r="Q630" i="10"/>
  <c r="P630" i="10"/>
  <c r="BB630" i="10"/>
  <c r="BX630" i="10"/>
  <c r="I630" i="10"/>
  <c r="N630" i="10"/>
  <c r="G630" i="10"/>
  <c r="G132" i="34" s="1"/>
  <c r="T630" i="10"/>
  <c r="O630" i="10"/>
  <c r="BQ630" i="10"/>
  <c r="K630" i="10" s="1"/>
  <c r="BG630" i="10" s="1"/>
  <c r="CK19" i="9"/>
  <c r="O8" i="9"/>
  <c r="BC8" i="9" s="1"/>
  <c r="CD8" i="9"/>
  <c r="AT95" i="7"/>
  <c r="AW95" i="3" s="1"/>
  <c r="I719" i="19"/>
  <c r="T793" i="10"/>
  <c r="Q793" i="10"/>
  <c r="K793" i="10"/>
  <c r="BG793" i="10" s="1"/>
  <c r="BB793" i="10"/>
  <c r="BC793" i="10" s="1"/>
  <c r="BX793" i="10"/>
  <c r="O793" i="10"/>
  <c r="BQ793" i="10"/>
  <c r="N793" i="10"/>
  <c r="I793" i="10"/>
  <c r="P793" i="10" s="1"/>
  <c r="R793" i="10"/>
  <c r="G793" i="10"/>
  <c r="G295" i="34" s="1"/>
  <c r="BY881" i="10"/>
  <c r="L370" i="34"/>
  <c r="CS868" i="10"/>
  <c r="N370" i="34" s="1"/>
  <c r="BY746" i="10"/>
  <c r="CE704" i="10"/>
  <c r="BY730" i="10"/>
  <c r="BY683" i="10"/>
  <c r="K205" i="7"/>
  <c r="N205" i="3" s="1"/>
  <c r="I855" i="19"/>
  <c r="T771" i="10"/>
  <c r="BX771" i="10"/>
  <c r="R771" i="10"/>
  <c r="Q771" i="10"/>
  <c r="BB771" i="10"/>
  <c r="G771" i="10"/>
  <c r="G273" i="34" s="1"/>
  <c r="O771" i="10"/>
  <c r="N771" i="10"/>
  <c r="BQ771" i="10"/>
  <c r="K771" i="10" s="1"/>
  <c r="BG771" i="10" s="1"/>
  <c r="I771" i="10"/>
  <c r="P771" i="10" s="1"/>
  <c r="AE326" i="7"/>
  <c r="AH326" i="3" s="1"/>
  <c r="O330" i="3"/>
  <c r="L163" i="34"/>
  <c r="CS661" i="10"/>
  <c r="N163" i="34" s="1"/>
  <c r="AS81" i="7"/>
  <c r="AV81" i="3" s="1"/>
  <c r="AT81" i="7"/>
  <c r="AW81" i="3" s="1"/>
  <c r="AL81" i="7"/>
  <c r="AM81" i="3"/>
  <c r="CE626" i="10"/>
  <c r="CD27" i="9"/>
  <c r="O27" i="9"/>
  <c r="BC27" i="9" s="1"/>
  <c r="CE18" i="9"/>
  <c r="CK5" i="9"/>
  <c r="K388" i="7"/>
  <c r="N388" i="3" s="1"/>
  <c r="AT188" i="7"/>
  <c r="AW188" i="3" s="1"/>
  <c r="I848" i="19"/>
  <c r="BG918" i="10"/>
  <c r="T918" i="10"/>
  <c r="R918" i="10"/>
  <c r="BB918" i="10"/>
  <c r="I918" i="10"/>
  <c r="P918" i="10" s="1"/>
  <c r="G918" i="10"/>
  <c r="G420" i="34" s="1"/>
  <c r="BQ918" i="10"/>
  <c r="K918" i="10" s="1"/>
  <c r="O918" i="10"/>
  <c r="Q918" i="10"/>
  <c r="N918" i="10"/>
  <c r="BX918" i="10"/>
  <c r="AD374" i="7"/>
  <c r="AG374" i="3" s="1"/>
  <c r="AF374" i="7"/>
  <c r="AI374" i="3" s="1"/>
  <c r="AF374" i="3"/>
  <c r="AD357" i="7"/>
  <c r="AF357" i="7"/>
  <c r="E15" i="8"/>
  <c r="L257" i="3"/>
  <c r="K257" i="7"/>
  <c r="N257" i="3" s="1"/>
  <c r="M67" i="3"/>
  <c r="K67" i="7"/>
  <c r="N67" i="3" s="1"/>
  <c r="I781" i="19"/>
  <c r="T852" i="10"/>
  <c r="BB852" i="10"/>
  <c r="BC852" i="10" s="1"/>
  <c r="N852" i="10"/>
  <c r="BQ852" i="10"/>
  <c r="K852" i="10" s="1"/>
  <c r="BG852" i="10" s="1"/>
  <c r="Q852" i="10"/>
  <c r="I852" i="10"/>
  <c r="P852" i="10" s="1"/>
  <c r="R852" i="10"/>
  <c r="O852" i="10"/>
  <c r="BX852" i="10"/>
  <c r="G852" i="10"/>
  <c r="G354" i="34" s="1"/>
  <c r="AE204" i="7"/>
  <c r="AH204" i="3" s="1"/>
  <c r="O225" i="3"/>
  <c r="BY508" i="10"/>
  <c r="I779" i="19"/>
  <c r="R850" i="10"/>
  <c r="N850" i="10"/>
  <c r="BX850" i="10"/>
  <c r="O850" i="10"/>
  <c r="BB850" i="10"/>
  <c r="BC850" i="10" s="1"/>
  <c r="G850" i="10"/>
  <c r="G352" i="34" s="1"/>
  <c r="Q850" i="10"/>
  <c r="I850" i="10"/>
  <c r="P850" i="10" s="1"/>
  <c r="T850" i="10"/>
  <c r="BQ850" i="10"/>
  <c r="K850" i="10" s="1"/>
  <c r="BG850" i="10" s="1"/>
  <c r="AL424" i="7"/>
  <c r="BY586" i="10"/>
  <c r="BY573" i="10"/>
  <c r="AM314" i="7"/>
  <c r="AP314" i="3" s="1"/>
  <c r="AD278" i="7"/>
  <c r="AF278" i="7"/>
  <c r="AL174" i="7"/>
  <c r="AD105" i="7"/>
  <c r="AF105" i="7"/>
  <c r="AD83" i="7"/>
  <c r="AF83" i="7"/>
  <c r="K57" i="7"/>
  <c r="N57" i="3" s="1"/>
  <c r="I526" i="19"/>
  <c r="BX586" i="10"/>
  <c r="N586" i="10"/>
  <c r="BB586" i="10"/>
  <c r="T586" i="10"/>
  <c r="BQ586" i="10"/>
  <c r="K586" i="10" s="1"/>
  <c r="BG586" i="10" s="1"/>
  <c r="Q586" i="10"/>
  <c r="R586" i="10"/>
  <c r="O586" i="10"/>
  <c r="G586" i="10"/>
  <c r="G88" i="34" s="1"/>
  <c r="I586" i="10"/>
  <c r="P586" i="10" s="1"/>
  <c r="AS58" i="7"/>
  <c r="AV58" i="3" s="1"/>
  <c r="AS210" i="7"/>
  <c r="AV210" i="3" s="1"/>
  <c r="N16" i="8"/>
  <c r="AS33" i="7"/>
  <c r="AV33" i="3" s="1"/>
  <c r="I774" i="19"/>
  <c r="I845" i="10"/>
  <c r="P845" i="10" s="1"/>
  <c r="O845" i="10"/>
  <c r="G845" i="10"/>
  <c r="G347" i="34" s="1"/>
  <c r="Q845" i="10"/>
  <c r="N845" i="10"/>
  <c r="BX845" i="10"/>
  <c r="R845" i="10"/>
  <c r="T845" i="10"/>
  <c r="BQ845" i="10"/>
  <c r="K845" i="10" s="1"/>
  <c r="BG845" i="10" s="1"/>
  <c r="BB845" i="10"/>
  <c r="AE348" i="7"/>
  <c r="AH348" i="3" s="1"/>
  <c r="AF156" i="7"/>
  <c r="AD156" i="7"/>
  <c r="K61" i="7"/>
  <c r="N61" i="3" s="1"/>
  <c r="L61" i="3"/>
  <c r="I451" i="19"/>
  <c r="T507" i="10"/>
  <c r="G507" i="10"/>
  <c r="G9" i="34" s="1"/>
  <c r="I507" i="10"/>
  <c r="P507" i="10" s="1"/>
  <c r="BQ507" i="10"/>
  <c r="K507" i="10" s="1"/>
  <c r="BG507" i="10" s="1"/>
  <c r="O507" i="10"/>
  <c r="N507" i="10"/>
  <c r="BB507" i="10"/>
  <c r="R507" i="10"/>
  <c r="Q507" i="10"/>
  <c r="BX507" i="10"/>
  <c r="L3" i="34"/>
  <c r="CS501" i="10"/>
  <c r="N3" i="34" s="1"/>
  <c r="I811" i="19"/>
  <c r="G882" i="10"/>
  <c r="G384" i="34" s="1"/>
  <c r="T882" i="10"/>
  <c r="R882" i="10"/>
  <c r="BG882" i="10"/>
  <c r="Q882" i="10"/>
  <c r="O882" i="10"/>
  <c r="N882" i="10"/>
  <c r="BX882" i="10"/>
  <c r="BQ882" i="10"/>
  <c r="K882" i="10" s="1"/>
  <c r="P882" i="10"/>
  <c r="BB882" i="10"/>
  <c r="I882" i="10"/>
  <c r="AM347" i="3"/>
  <c r="AL347" i="7"/>
  <c r="AS347" i="7"/>
  <c r="AV347" i="3" s="1"/>
  <c r="AM229" i="7"/>
  <c r="AP229" i="3" s="1"/>
  <c r="L229" i="3"/>
  <c r="E14" i="8"/>
  <c r="AE179" i="7"/>
  <c r="AH179" i="3" s="1"/>
  <c r="O194" i="3"/>
  <c r="AM55" i="3"/>
  <c r="AL55" i="7"/>
  <c r="AS55" i="7"/>
  <c r="AV55" i="3" s="1"/>
  <c r="K404" i="7"/>
  <c r="N404" i="3" s="1"/>
  <c r="AO116" i="3"/>
  <c r="AM116" i="7"/>
  <c r="AP116" i="3" s="1"/>
  <c r="AM116" i="10"/>
  <c r="AN116" i="10" s="1"/>
  <c r="AP116" i="10" s="1"/>
  <c r="K227" i="7"/>
  <c r="N227" i="3" s="1"/>
  <c r="I517" i="19"/>
  <c r="BQ577" i="10"/>
  <c r="K577" i="10" s="1"/>
  <c r="BG577" i="10" s="1"/>
  <c r="G577" i="10"/>
  <c r="G79" i="34" s="1"/>
  <c r="BX577" i="10"/>
  <c r="Q577" i="10"/>
  <c r="O577" i="10"/>
  <c r="N577" i="10"/>
  <c r="BB577" i="10"/>
  <c r="T577" i="10"/>
  <c r="R577" i="10"/>
  <c r="I577" i="10"/>
  <c r="P577" i="10" s="1"/>
  <c r="K42" i="7"/>
  <c r="N42" i="3" s="1"/>
  <c r="M24" i="3"/>
  <c r="K24" i="7"/>
  <c r="N24" i="3" s="1"/>
  <c r="F6" i="8"/>
  <c r="M8" i="8"/>
  <c r="AD417" i="7"/>
  <c r="AF417" i="7"/>
  <c r="K114" i="7"/>
  <c r="N114" i="3" s="1"/>
  <c r="K367" i="7"/>
  <c r="N367" i="3" s="1"/>
  <c r="AD207" i="7"/>
  <c r="AF207" i="7"/>
  <c r="K370" i="7"/>
  <c r="N370" i="3" s="1"/>
  <c r="K210" i="7"/>
  <c r="N210" i="3" s="1"/>
  <c r="I550" i="19"/>
  <c r="BB611" i="10"/>
  <c r="BC611" i="10" s="1"/>
  <c r="I611" i="10"/>
  <c r="P611" i="10" s="1"/>
  <c r="BQ611" i="10"/>
  <c r="O611" i="10"/>
  <c r="N611" i="10"/>
  <c r="K611" i="10"/>
  <c r="BG611" i="10" s="1"/>
  <c r="BX611" i="10"/>
  <c r="Q611" i="10"/>
  <c r="T611" i="10"/>
  <c r="R611" i="10"/>
  <c r="G611" i="10"/>
  <c r="G113" i="34" s="1"/>
  <c r="BY593" i="10"/>
  <c r="BP689" i="10"/>
  <c r="K360" i="7"/>
  <c r="N360" i="3" s="1"/>
  <c r="AF215" i="7"/>
  <c r="AD215" i="7"/>
  <c r="AD353" i="7"/>
  <c r="AF353" i="7"/>
  <c r="AD265" i="7"/>
  <c r="AF265" i="7"/>
  <c r="I626" i="19"/>
  <c r="I694" i="10"/>
  <c r="P694" i="10" s="1"/>
  <c r="R694" i="10"/>
  <c r="O694" i="10"/>
  <c r="BQ694" i="10"/>
  <c r="K694" i="10" s="1"/>
  <c r="BG694" i="10" s="1"/>
  <c r="BB694" i="10"/>
  <c r="G694" i="10"/>
  <c r="G196" i="34" s="1"/>
  <c r="N694" i="10"/>
  <c r="BX694" i="10"/>
  <c r="Q694" i="10"/>
  <c r="T694" i="10"/>
  <c r="AD201" i="7"/>
  <c r="AG201" i="3" s="1"/>
  <c r="AF201" i="7"/>
  <c r="AI201" i="3" s="1"/>
  <c r="AF201" i="3"/>
  <c r="K171" i="7"/>
  <c r="N171" i="3" s="1"/>
  <c r="I787" i="19"/>
  <c r="O858" i="10"/>
  <c r="N858" i="10"/>
  <c r="BB858" i="10"/>
  <c r="BX858" i="10"/>
  <c r="T858" i="10"/>
  <c r="Q858" i="10"/>
  <c r="BQ858" i="10"/>
  <c r="K858" i="10" s="1"/>
  <c r="BG858" i="10" s="1"/>
  <c r="R858" i="10"/>
  <c r="I858" i="10"/>
  <c r="P858" i="10" s="1"/>
  <c r="G858" i="10"/>
  <c r="G360" i="34" s="1"/>
  <c r="M240" i="3"/>
  <c r="K240" i="7"/>
  <c r="N240" i="3" s="1"/>
  <c r="I468" i="19"/>
  <c r="R523" i="10"/>
  <c r="Q523" i="10"/>
  <c r="O523" i="10"/>
  <c r="N523" i="10"/>
  <c r="BB523" i="10"/>
  <c r="BC523" i="10" s="1"/>
  <c r="BX523" i="10"/>
  <c r="T523" i="10"/>
  <c r="BQ523" i="10"/>
  <c r="K523" i="10" s="1"/>
  <c r="BG523" i="10" s="1"/>
  <c r="I523" i="10"/>
  <c r="P523" i="10" s="1"/>
  <c r="G523" i="10"/>
  <c r="G25" i="34" s="1"/>
  <c r="I788" i="19"/>
  <c r="Q859" i="10"/>
  <c r="BB859" i="10"/>
  <c r="BX859" i="10"/>
  <c r="O859" i="10"/>
  <c r="N859" i="10"/>
  <c r="I859" i="10"/>
  <c r="P859" i="10" s="1"/>
  <c r="T859" i="10"/>
  <c r="R859" i="10"/>
  <c r="G859" i="10"/>
  <c r="G361" i="34" s="1"/>
  <c r="BQ859" i="10"/>
  <c r="K859" i="10" s="1"/>
  <c r="BG859" i="10" s="1"/>
  <c r="AT264" i="7"/>
  <c r="AW264" i="3" s="1"/>
  <c r="AF13" i="7"/>
  <c r="AD13" i="7"/>
  <c r="I760" i="19"/>
  <c r="G832" i="10"/>
  <c r="G334" i="34" s="1"/>
  <c r="O832" i="10"/>
  <c r="BB832" i="10"/>
  <c r="BC832" i="10" s="1"/>
  <c r="I832" i="10"/>
  <c r="P832" i="10" s="1"/>
  <c r="T832" i="10"/>
  <c r="BX832" i="10"/>
  <c r="R832" i="10"/>
  <c r="N832" i="10"/>
  <c r="BQ832" i="10"/>
  <c r="K832" i="10"/>
  <c r="BG832" i="10" s="1"/>
  <c r="Q832" i="10"/>
  <c r="AF247" i="7"/>
  <c r="AD247" i="7"/>
  <c r="AS231" i="7"/>
  <c r="AV231" i="3" s="1"/>
  <c r="AF312" i="7"/>
  <c r="AD312" i="7"/>
  <c r="AF319" i="7"/>
  <c r="AD319" i="7"/>
  <c r="AS208" i="7"/>
  <c r="AV208" i="3" s="1"/>
  <c r="AS250" i="7"/>
  <c r="AV250" i="3" s="1"/>
  <c r="K98" i="7"/>
  <c r="N98" i="3" s="1"/>
  <c r="AF148" i="3"/>
  <c r="AD148" i="7"/>
  <c r="AG148" i="3" s="1"/>
  <c r="AF148" i="7"/>
  <c r="AI148" i="3" s="1"/>
  <c r="AF321" i="7"/>
  <c r="AD321" i="7"/>
  <c r="AT253" i="7"/>
  <c r="AW253" i="3" s="1"/>
  <c r="AL170" i="7"/>
  <c r="AF284" i="7"/>
  <c r="AD284" i="7"/>
  <c r="AT395" i="7"/>
  <c r="AW395" i="3" s="1"/>
  <c r="AS317" i="7"/>
  <c r="AV317" i="3" s="1"/>
  <c r="CD16" i="9"/>
  <c r="O16" i="9"/>
  <c r="BC16" i="9" s="1"/>
  <c r="I866" i="19"/>
  <c r="BX922" i="10"/>
  <c r="O922" i="10"/>
  <c r="N922" i="10"/>
  <c r="BQ922" i="10"/>
  <c r="I922" i="10"/>
  <c r="P922" i="10" s="1"/>
  <c r="BB922" i="10"/>
  <c r="BC922" i="10" s="1"/>
  <c r="G922" i="10"/>
  <c r="G424" i="34" s="1"/>
  <c r="T922" i="10"/>
  <c r="Q922" i="10"/>
  <c r="K922" i="10"/>
  <c r="BG922" i="10" s="1"/>
  <c r="R922" i="10"/>
  <c r="AM293" i="3"/>
  <c r="AT293" i="7"/>
  <c r="AW293" i="3" s="1"/>
  <c r="M236" i="3"/>
  <c r="K236" i="7"/>
  <c r="N236" i="3" s="1"/>
  <c r="AS346" i="7"/>
  <c r="AL340" i="7"/>
  <c r="AS66" i="7"/>
  <c r="AV66" i="3" s="1"/>
  <c r="I643" i="19"/>
  <c r="R711" i="10"/>
  <c r="BX711" i="10"/>
  <c r="O711" i="10"/>
  <c r="BQ711" i="10"/>
  <c r="T711" i="10"/>
  <c r="K711" i="10"/>
  <c r="Q711" i="10"/>
  <c r="N711" i="10"/>
  <c r="I711" i="10"/>
  <c r="P711" i="10" s="1"/>
  <c r="G711" i="10"/>
  <c r="G213" i="34" s="1"/>
  <c r="BB711" i="10"/>
  <c r="BC711" i="10" s="1"/>
  <c r="BG711" i="10"/>
  <c r="AL96" i="7"/>
  <c r="AD409" i="7"/>
  <c r="AG409" i="3" s="1"/>
  <c r="AF409" i="7"/>
  <c r="AI409" i="3" s="1"/>
  <c r="AF409" i="3"/>
  <c r="AD427" i="7"/>
  <c r="AF427" i="7"/>
  <c r="AL236" i="7"/>
  <c r="AT185" i="7"/>
  <c r="AW185" i="3" s="1"/>
  <c r="K18" i="7"/>
  <c r="N18" i="3" s="1"/>
  <c r="AT130" i="7"/>
  <c r="AW130" i="3" s="1"/>
  <c r="O19" i="9"/>
  <c r="BC19" i="9" s="1"/>
  <c r="CD19" i="9"/>
  <c r="K158" i="7"/>
  <c r="N158" i="3" s="1"/>
  <c r="L14" i="34"/>
  <c r="CS512" i="10"/>
  <c r="N14" i="34" s="1"/>
  <c r="AF290" i="7"/>
  <c r="AD290" i="7"/>
  <c r="AF200" i="3"/>
  <c r="AF200" i="7"/>
  <c r="AI200" i="3" s="1"/>
  <c r="AD200" i="7"/>
  <c r="AG200" i="3" s="1"/>
  <c r="AL359" i="7"/>
  <c r="AT413" i="7"/>
  <c r="AW413" i="3" s="1"/>
  <c r="K222" i="7"/>
  <c r="N222" i="3" s="1"/>
  <c r="AS110" i="7"/>
  <c r="AV110" i="3" s="1"/>
  <c r="I478" i="19"/>
  <c r="BQ533" i="10"/>
  <c r="K533" i="10" s="1"/>
  <c r="BG533" i="10" s="1"/>
  <c r="N533" i="10"/>
  <c r="BB533" i="10"/>
  <c r="BC533" i="10" s="1"/>
  <c r="O533" i="10"/>
  <c r="I533" i="10"/>
  <c r="P533" i="10" s="1"/>
  <c r="Q533" i="10"/>
  <c r="T533" i="10"/>
  <c r="R533" i="10"/>
  <c r="G533" i="10"/>
  <c r="G35" i="34" s="1"/>
  <c r="BX533" i="10"/>
  <c r="K186" i="7"/>
  <c r="N186" i="3" s="1"/>
  <c r="AS349" i="7"/>
  <c r="AV349" i="3" s="1"/>
  <c r="AM84" i="7"/>
  <c r="AP84" i="3" s="1"/>
  <c r="AM84" i="10"/>
  <c r="AN84" i="10" s="1"/>
  <c r="AP84" i="10" s="1"/>
  <c r="AO84" i="3"/>
  <c r="AS67" i="7"/>
  <c r="AV67" i="3" s="1"/>
  <c r="K220" i="7"/>
  <c r="N220" i="3" s="1"/>
  <c r="AL134" i="7"/>
  <c r="AL138" i="7"/>
  <c r="I708" i="19"/>
  <c r="O783" i="10"/>
  <c r="I783" i="10"/>
  <c r="P783" i="10" s="1"/>
  <c r="BB783" i="10"/>
  <c r="BX783" i="10"/>
  <c r="T783" i="10"/>
  <c r="BQ783" i="10"/>
  <c r="K783" i="10" s="1"/>
  <c r="BG783" i="10" s="1"/>
  <c r="N783" i="10"/>
  <c r="G783" i="10"/>
  <c r="G285" i="34" s="1"/>
  <c r="R783" i="10"/>
  <c r="Q783" i="10"/>
  <c r="AT96" i="7"/>
  <c r="AW96" i="3" s="1"/>
  <c r="K291" i="7"/>
  <c r="N291" i="3" s="1"/>
  <c r="AE200" i="7"/>
  <c r="AH200" i="3" s="1"/>
  <c r="K301" i="7"/>
  <c r="N301" i="3" s="1"/>
  <c r="AS42" i="7"/>
  <c r="AV42" i="3" s="1"/>
  <c r="L421" i="34"/>
  <c r="CS919" i="10"/>
  <c r="N421" i="34" s="1"/>
  <c r="L401" i="34"/>
  <c r="CS899" i="10"/>
  <c r="N401" i="34" s="1"/>
  <c r="L354" i="34"/>
  <c r="CS852" i="10"/>
  <c r="N354" i="34" s="1"/>
  <c r="CI60" i="9"/>
  <c r="J20" i="35"/>
  <c r="CM23" i="9"/>
  <c r="CP23" i="9"/>
  <c r="CO23" i="9"/>
  <c r="CL23" i="9"/>
  <c r="CQ23" i="9" s="1"/>
  <c r="CN23" i="9"/>
  <c r="AF172" i="7"/>
  <c r="AD172" i="7"/>
  <c r="J26" i="35"/>
  <c r="CP29" i="9"/>
  <c r="CO29" i="9"/>
  <c r="CN29" i="9"/>
  <c r="CM29" i="9"/>
  <c r="CL29" i="9"/>
  <c r="AL287" i="7"/>
  <c r="AM287" i="3"/>
  <c r="CD30" i="9"/>
  <c r="O30" i="9"/>
  <c r="BC30" i="9" s="1"/>
  <c r="AM47" i="10"/>
  <c r="AN47" i="10" s="1"/>
  <c r="AP47" i="10" s="1"/>
  <c r="AM47" i="7"/>
  <c r="AP47" i="3" s="1"/>
  <c r="AO47" i="3"/>
  <c r="AM315" i="10"/>
  <c r="AN315" i="10" s="1"/>
  <c r="AP315" i="10" s="1"/>
  <c r="AM315" i="7"/>
  <c r="AP315" i="3" s="1"/>
  <c r="AO315" i="3"/>
  <c r="AM179" i="10"/>
  <c r="AN179" i="10" s="1"/>
  <c r="AP179" i="10" s="1"/>
  <c r="AM179" i="7"/>
  <c r="AP179" i="3" s="1"/>
  <c r="AO179" i="3"/>
  <c r="CM44" i="9"/>
  <c r="AF260" i="7"/>
  <c r="AI260" i="3" s="1"/>
  <c r="AF260" i="3"/>
  <c r="AD260" i="7"/>
  <c r="AG260" i="3" s="1"/>
  <c r="I477" i="19"/>
  <c r="I532" i="10"/>
  <c r="P532" i="10" s="1"/>
  <c r="BB532" i="10"/>
  <c r="BC532" i="10" s="1"/>
  <c r="R532" i="10"/>
  <c r="N532" i="10"/>
  <c r="BQ532" i="10"/>
  <c r="K532" i="10" s="1"/>
  <c r="BG532" i="10" s="1"/>
  <c r="T532" i="10"/>
  <c r="Q532" i="10"/>
  <c r="O532" i="10"/>
  <c r="G532" i="10"/>
  <c r="G34" i="34" s="1"/>
  <c r="BX532" i="10"/>
  <c r="AF184" i="7"/>
  <c r="AD184" i="7"/>
  <c r="I726" i="19"/>
  <c r="R800" i="10"/>
  <c r="Q800" i="10"/>
  <c r="BQ800" i="10"/>
  <c r="K800" i="10" s="1"/>
  <c r="BG800" i="10" s="1"/>
  <c r="BX800" i="10"/>
  <c r="G800" i="10"/>
  <c r="G302" i="34" s="1"/>
  <c r="O800" i="10"/>
  <c r="N800" i="10"/>
  <c r="BB800" i="10"/>
  <c r="I800" i="10"/>
  <c r="P800" i="10" s="1"/>
  <c r="T800" i="10"/>
  <c r="I834" i="19"/>
  <c r="G904" i="10"/>
  <c r="G406" i="34" s="1"/>
  <c r="T904" i="10"/>
  <c r="BQ904" i="10"/>
  <c r="K904" i="10" s="1"/>
  <c r="BG904" i="10" s="1"/>
  <c r="Q904" i="10"/>
  <c r="O904" i="10"/>
  <c r="I904" i="10"/>
  <c r="P904" i="10" s="1"/>
  <c r="BB904" i="10"/>
  <c r="N904" i="10"/>
  <c r="BX904" i="10"/>
  <c r="R904" i="10"/>
  <c r="M372" i="3"/>
  <c r="K372" i="7"/>
  <c r="N372" i="3" s="1"/>
  <c r="I449" i="19"/>
  <c r="Q505" i="10"/>
  <c r="BQ505" i="10"/>
  <c r="K505" i="10" s="1"/>
  <c r="BG505" i="10" s="1"/>
  <c r="BX505" i="10"/>
  <c r="T505" i="10"/>
  <c r="R505" i="10"/>
  <c r="BB505" i="10"/>
  <c r="BC505" i="10" s="1"/>
  <c r="I505" i="10"/>
  <c r="P505" i="10" s="1"/>
  <c r="O505" i="10"/>
  <c r="G505" i="10"/>
  <c r="G7" i="34" s="1"/>
  <c r="N505" i="10"/>
  <c r="AD214" i="7"/>
  <c r="AF214" i="7"/>
  <c r="AO408" i="3"/>
  <c r="AM408" i="7"/>
  <c r="AP408" i="3" s="1"/>
  <c r="AM408" i="10"/>
  <c r="AN408" i="10" s="1"/>
  <c r="AP408" i="10" s="1"/>
  <c r="L226" i="34"/>
  <c r="CS724" i="10"/>
  <c r="N226" i="34" s="1"/>
  <c r="J91" i="34"/>
  <c r="CG589" i="10"/>
  <c r="CJ589" i="10"/>
  <c r="CI589" i="10"/>
  <c r="L38" i="34"/>
  <c r="CS536" i="10"/>
  <c r="N38" i="34" s="1"/>
  <c r="L344" i="34"/>
  <c r="CS842" i="10"/>
  <c r="N344" i="34" s="1"/>
  <c r="K211" i="34"/>
  <c r="BZ709" i="10"/>
  <c r="CD709" i="10" s="1"/>
  <c r="CB709" i="10"/>
  <c r="I864" i="19"/>
  <c r="T920" i="10"/>
  <c r="R920" i="10"/>
  <c r="Q920" i="10"/>
  <c r="O920" i="10"/>
  <c r="N920" i="10"/>
  <c r="BX920" i="10"/>
  <c r="BB920" i="10"/>
  <c r="BC920" i="10" s="1"/>
  <c r="BQ920" i="10"/>
  <c r="K920" i="10" s="1"/>
  <c r="BG920" i="10" s="1"/>
  <c r="I920" i="10"/>
  <c r="P920" i="10" s="1"/>
  <c r="G920" i="10"/>
  <c r="G422" i="34" s="1"/>
  <c r="O58" i="9"/>
  <c r="BC58" i="9" s="1"/>
  <c r="CD58" i="9"/>
  <c r="CC734" i="10"/>
  <c r="L14" i="8"/>
  <c r="AL208" i="7"/>
  <c r="F10" i="8"/>
  <c r="AF80" i="7"/>
  <c r="AD80" i="7"/>
  <c r="E5" i="8"/>
  <c r="L5" i="3"/>
  <c r="I659" i="19"/>
  <c r="Q731" i="10"/>
  <c r="BB731" i="10"/>
  <c r="BX731" i="10"/>
  <c r="BQ731" i="10"/>
  <c r="K731" i="10" s="1"/>
  <c r="BG731" i="10" s="1"/>
  <c r="G731" i="10"/>
  <c r="G233" i="34" s="1"/>
  <c r="O731" i="10"/>
  <c r="T731" i="10"/>
  <c r="R731" i="10"/>
  <c r="N731" i="10"/>
  <c r="I731" i="10"/>
  <c r="P731" i="10" s="1"/>
  <c r="AF7" i="7"/>
  <c r="AI7" i="3" s="1"/>
  <c r="AF7" i="3"/>
  <c r="AD7" i="7"/>
  <c r="AG7" i="3" s="1"/>
  <c r="AF414" i="7"/>
  <c r="AD414" i="7"/>
  <c r="AM329" i="10"/>
  <c r="AN329" i="10" s="1"/>
  <c r="AP329" i="10" s="1"/>
  <c r="AL304" i="7"/>
  <c r="AD113" i="7"/>
  <c r="AF113" i="7"/>
  <c r="L410" i="34"/>
  <c r="CS908" i="10"/>
  <c r="N410" i="34" s="1"/>
  <c r="L379" i="34"/>
  <c r="CS877" i="10"/>
  <c r="N379" i="34" s="1"/>
  <c r="K286" i="34"/>
  <c r="CB784" i="10"/>
  <c r="CA784" i="10"/>
  <c r="BZ784" i="10"/>
  <c r="CC784" i="10"/>
  <c r="K186" i="34"/>
  <c r="CA684" i="10"/>
  <c r="BZ684" i="10"/>
  <c r="CC684" i="10"/>
  <c r="CB684" i="10"/>
  <c r="I701" i="19"/>
  <c r="Q776" i="10"/>
  <c r="BX776" i="10"/>
  <c r="O776" i="10"/>
  <c r="T776" i="10"/>
  <c r="N776" i="10"/>
  <c r="I776" i="10"/>
  <c r="P776" i="10" s="1"/>
  <c r="BB776" i="10"/>
  <c r="BC776" i="10" s="1"/>
  <c r="BQ776" i="10"/>
  <c r="K776" i="10" s="1"/>
  <c r="BG776" i="10" s="1"/>
  <c r="R776" i="10"/>
  <c r="AN508" i="10"/>
  <c r="G776" i="10"/>
  <c r="G278" i="34" s="1"/>
  <c r="K147" i="7"/>
  <c r="N147" i="3" s="1"/>
  <c r="M147" i="3"/>
  <c r="O56" i="3"/>
  <c r="AE51" i="7"/>
  <c r="AH51" i="3" s="1"/>
  <c r="AL225" i="7"/>
  <c r="AT147" i="7"/>
  <c r="AL147" i="7"/>
  <c r="AM147" i="3"/>
  <c r="AS147" i="7"/>
  <c r="AV147" i="3" s="1"/>
  <c r="AM286" i="3"/>
  <c r="AS286" i="7"/>
  <c r="AV286" i="3" s="1"/>
  <c r="AT286" i="7"/>
  <c r="AW286" i="3" s="1"/>
  <c r="I528" i="19"/>
  <c r="R587" i="10"/>
  <c r="BX587" i="10"/>
  <c r="O587" i="10"/>
  <c r="G587" i="10"/>
  <c r="G89" i="34" s="1"/>
  <c r="BQ587" i="10"/>
  <c r="K587" i="10" s="1"/>
  <c r="BG587" i="10" s="1"/>
  <c r="Q587" i="10"/>
  <c r="T587" i="10"/>
  <c r="N587" i="10"/>
  <c r="BB587" i="10"/>
  <c r="BC587" i="10" s="1"/>
  <c r="I587" i="10"/>
  <c r="P587" i="10" s="1"/>
  <c r="I495" i="19"/>
  <c r="T552" i="10"/>
  <c r="BB552" i="10"/>
  <c r="N552" i="10"/>
  <c r="R552" i="10"/>
  <c r="G552" i="10"/>
  <c r="G54" i="34" s="1"/>
  <c r="BX552" i="10"/>
  <c r="I552" i="10"/>
  <c r="P552" i="10" s="1"/>
  <c r="BQ552" i="10"/>
  <c r="K552" i="10" s="1"/>
  <c r="BG552" i="10" s="1"/>
  <c r="Q552" i="10"/>
  <c r="O552" i="10"/>
  <c r="AM380" i="3"/>
  <c r="AT380" i="7"/>
  <c r="AW380" i="3" s="1"/>
  <c r="O84" i="3"/>
  <c r="AE74" i="7"/>
  <c r="AH74" i="3" s="1"/>
  <c r="AS65" i="7"/>
  <c r="AV65" i="3" s="1"/>
  <c r="AL65" i="7"/>
  <c r="AM65" i="3"/>
  <c r="AT65" i="7"/>
  <c r="AW65" i="3" s="1"/>
  <c r="AT33" i="7"/>
  <c r="AW33" i="3" s="1"/>
  <c r="AL320" i="7"/>
  <c r="O247" i="3"/>
  <c r="AE232" i="7"/>
  <c r="AH232" i="3" s="1"/>
  <c r="M287" i="3"/>
  <c r="K287" i="7"/>
  <c r="N287" i="3" s="1"/>
  <c r="I548" i="19"/>
  <c r="BQ609" i="10"/>
  <c r="K609" i="10" s="1"/>
  <c r="BG609" i="10" s="1"/>
  <c r="I609" i="10"/>
  <c r="P609" i="10" s="1"/>
  <c r="T609" i="10"/>
  <c r="Q609" i="10"/>
  <c r="N609" i="10"/>
  <c r="BB609" i="10"/>
  <c r="BC609" i="10" s="1"/>
  <c r="G609" i="10"/>
  <c r="G111" i="34" s="1"/>
  <c r="R609" i="10"/>
  <c r="BX609" i="10"/>
  <c r="O609" i="10"/>
  <c r="AF92" i="7"/>
  <c r="AD92" i="7"/>
  <c r="AM370" i="3"/>
  <c r="AT370" i="7"/>
  <c r="AW370" i="3" s="1"/>
  <c r="AL16" i="7"/>
  <c r="AE329" i="7"/>
  <c r="AH329" i="3" s="1"/>
  <c r="O340" i="3"/>
  <c r="AD157" i="7"/>
  <c r="AF157" i="7"/>
  <c r="I541" i="19"/>
  <c r="R603" i="10"/>
  <c r="G603" i="10"/>
  <c r="G105" i="34" s="1"/>
  <c r="N603" i="10"/>
  <c r="I603" i="10"/>
  <c r="P603" i="10" s="1"/>
  <c r="BB603" i="10"/>
  <c r="Q603" i="10"/>
  <c r="BX603" i="10"/>
  <c r="BQ603" i="10"/>
  <c r="K603" i="10" s="1"/>
  <c r="BG603" i="10" s="1"/>
  <c r="O603" i="10"/>
  <c r="T603" i="10"/>
  <c r="AT34" i="7"/>
  <c r="AW34" i="3" s="1"/>
  <c r="AS371" i="7"/>
  <c r="AV371" i="3" s="1"/>
  <c r="AM371" i="3"/>
  <c r="AT371" i="7"/>
  <c r="AW371" i="3" s="1"/>
  <c r="I601" i="19"/>
  <c r="G666" i="10"/>
  <c r="G168" i="34" s="1"/>
  <c r="BB666" i="10"/>
  <c r="N666" i="10"/>
  <c r="BX666" i="10"/>
  <c r="I666" i="10"/>
  <c r="BQ666" i="10"/>
  <c r="K666" i="10" s="1"/>
  <c r="BG666" i="10" s="1"/>
  <c r="R666" i="10"/>
  <c r="T666" i="10"/>
  <c r="P666" i="10"/>
  <c r="Q666" i="10"/>
  <c r="O666" i="10"/>
  <c r="AF339" i="7"/>
  <c r="AD339" i="7"/>
  <c r="AF19" i="7"/>
  <c r="AD19" i="7"/>
  <c r="AF300" i="3"/>
  <c r="AD300" i="7"/>
  <c r="AG300" i="3" s="1"/>
  <c r="AF300" i="7"/>
  <c r="AI300" i="3" s="1"/>
  <c r="AF118" i="7"/>
  <c r="AD118" i="7"/>
  <c r="AO140" i="3"/>
  <c r="AM140" i="10"/>
  <c r="AN140" i="10" s="1"/>
  <c r="AP140" i="10" s="1"/>
  <c r="AM140" i="7"/>
  <c r="AP140" i="3" s="1"/>
  <c r="AF263" i="7"/>
  <c r="AD263" i="7"/>
  <c r="AM158" i="3"/>
  <c r="AT158" i="7"/>
  <c r="AW158" i="3" s="1"/>
  <c r="AS158" i="7"/>
  <c r="AV158" i="3" s="1"/>
  <c r="AF197" i="7"/>
  <c r="AD197" i="7"/>
  <c r="L368" i="34"/>
  <c r="CS866" i="10"/>
  <c r="N368" i="34" s="1"/>
  <c r="L307" i="34"/>
  <c r="CS805" i="10"/>
  <c r="N307" i="34" s="1"/>
  <c r="CA637" i="10"/>
  <c r="CC637" i="10"/>
  <c r="CB637" i="10"/>
  <c r="L35" i="34"/>
  <c r="CS533" i="10"/>
  <c r="N35" i="34" s="1"/>
  <c r="AF418" i="7"/>
  <c r="AD418" i="7"/>
  <c r="L151" i="34"/>
  <c r="CS649" i="10"/>
  <c r="N151" i="34" s="1"/>
  <c r="CO61" i="9"/>
  <c r="L174" i="34"/>
  <c r="CS672" i="10"/>
  <c r="N174" i="34" s="1"/>
  <c r="AD140" i="7"/>
  <c r="AF140" i="7"/>
  <c r="K394" i="7"/>
  <c r="N394" i="3" s="1"/>
  <c r="L394" i="3"/>
  <c r="AT168" i="7"/>
  <c r="AW168" i="3" s="1"/>
  <c r="AL390" i="7"/>
  <c r="AM354" i="3"/>
  <c r="AS354" i="7"/>
  <c r="AV354" i="3" s="1"/>
  <c r="AL354" i="7"/>
  <c r="I527" i="19"/>
  <c r="Q544" i="10"/>
  <c r="N544" i="10"/>
  <c r="BQ544" i="10"/>
  <c r="K544" i="10" s="1"/>
  <c r="BG544" i="10" s="1"/>
  <c r="R544" i="10"/>
  <c r="I544" i="10"/>
  <c r="P544" i="10" s="1"/>
  <c r="T544" i="10"/>
  <c r="BX544" i="10"/>
  <c r="O544" i="10"/>
  <c r="G544" i="10"/>
  <c r="G46" i="34" s="1"/>
  <c r="BB544" i="10"/>
  <c r="BC544" i="10" s="1"/>
  <c r="I716" i="19"/>
  <c r="T791" i="10"/>
  <c r="BQ791" i="10"/>
  <c r="K791" i="10" s="1"/>
  <c r="BG791" i="10" s="1"/>
  <c r="Q791" i="10"/>
  <c r="R791" i="10"/>
  <c r="P791" i="10"/>
  <c r="O791" i="10"/>
  <c r="I791" i="10"/>
  <c r="G791" i="10"/>
  <c r="G293" i="34" s="1"/>
  <c r="N791" i="10"/>
  <c r="S791" i="10" s="1"/>
  <c r="BX791" i="10"/>
  <c r="BB791" i="10"/>
  <c r="BC791" i="10" s="1"/>
  <c r="AD218" i="7"/>
  <c r="AF218" i="7"/>
  <c r="AS413" i="7"/>
  <c r="AV413" i="3" s="1"/>
  <c r="AD70" i="7"/>
  <c r="AF70" i="7"/>
  <c r="AL420" i="7"/>
  <c r="L357" i="34"/>
  <c r="CS855" i="10"/>
  <c r="N357" i="34" s="1"/>
  <c r="L261" i="34"/>
  <c r="CS759" i="10"/>
  <c r="N261" i="34" s="1"/>
  <c r="L194" i="34"/>
  <c r="CS692" i="10"/>
  <c r="N194" i="34" s="1"/>
  <c r="BY671" i="10"/>
  <c r="L418" i="34"/>
  <c r="CS916" i="10"/>
  <c r="N418" i="34" s="1"/>
  <c r="L330" i="34"/>
  <c r="CS828" i="10"/>
  <c r="N330" i="34" s="1"/>
  <c r="BY773" i="10"/>
  <c r="AM73" i="10"/>
  <c r="AN73" i="10" s="1"/>
  <c r="AP73" i="10" s="1"/>
  <c r="AM73" i="7"/>
  <c r="AP73" i="3" s="1"/>
  <c r="I852" i="19"/>
  <c r="G721" i="10"/>
  <c r="G223" i="34" s="1"/>
  <c r="I721" i="10"/>
  <c r="P721" i="10" s="1"/>
  <c r="BQ721" i="10"/>
  <c r="K721" i="10" s="1"/>
  <c r="Q721" i="10"/>
  <c r="N721" i="10"/>
  <c r="R721" i="10"/>
  <c r="BX721" i="10"/>
  <c r="BB721" i="10"/>
  <c r="T721" i="10"/>
  <c r="O721" i="10"/>
  <c r="CD34" i="9"/>
  <c r="O34" i="9"/>
  <c r="BC34" i="9" s="1"/>
  <c r="O13" i="9"/>
  <c r="BC13" i="9" s="1"/>
  <c r="CD13" i="9"/>
  <c r="AD72" i="7"/>
  <c r="AG72" i="3" s="1"/>
  <c r="AF72" i="7"/>
  <c r="AI72" i="3" s="1"/>
  <c r="AF72" i="3"/>
  <c r="K261" i="7"/>
  <c r="N261" i="3" s="1"/>
  <c r="AE375" i="7"/>
  <c r="AH375" i="3" s="1"/>
  <c r="O385" i="3"/>
  <c r="I794" i="19"/>
  <c r="R865" i="10"/>
  <c r="Q865" i="10"/>
  <c r="BX865" i="10"/>
  <c r="BQ865" i="10"/>
  <c r="K865" i="10" s="1"/>
  <c r="BG865" i="10" s="1"/>
  <c r="O865" i="10"/>
  <c r="N865" i="10"/>
  <c r="G865" i="10"/>
  <c r="G367" i="34" s="1"/>
  <c r="T865" i="10"/>
  <c r="I865" i="10"/>
  <c r="P865" i="10" s="1"/>
  <c r="BB865" i="10"/>
  <c r="AM16" i="3"/>
  <c r="AT16" i="7"/>
  <c r="AW16" i="3" s="1"/>
  <c r="I463" i="19"/>
  <c r="T542" i="10"/>
  <c r="I542" i="10"/>
  <c r="P542" i="10" s="1"/>
  <c r="BQ542" i="10"/>
  <c r="K542" i="10" s="1"/>
  <c r="BG542" i="10" s="1"/>
  <c r="N542" i="10"/>
  <c r="Q542" i="10"/>
  <c r="BX542" i="10"/>
  <c r="BB542" i="10"/>
  <c r="BC542" i="10" s="1"/>
  <c r="G542" i="10"/>
  <c r="G44" i="34" s="1"/>
  <c r="O542" i="10"/>
  <c r="R542" i="10"/>
  <c r="K323" i="7"/>
  <c r="N323" i="3" s="1"/>
  <c r="AF419" i="7"/>
  <c r="AD419" i="7"/>
  <c r="AL202" i="7"/>
  <c r="AS56" i="7"/>
  <c r="AV56" i="3" s="1"/>
  <c r="CB907" i="10"/>
  <c r="BZ907" i="10"/>
  <c r="J196" i="34"/>
  <c r="CK694" i="10"/>
  <c r="O7" i="9"/>
  <c r="BC7" i="9" s="1"/>
  <c r="CD7" i="9"/>
  <c r="I800" i="19"/>
  <c r="G871" i="10"/>
  <c r="G373" i="34" s="1"/>
  <c r="I871" i="10"/>
  <c r="P871" i="10" s="1"/>
  <c r="N871" i="10"/>
  <c r="BX871" i="10"/>
  <c r="K871" i="10"/>
  <c r="BG871" i="10" s="1"/>
  <c r="BB871" i="10"/>
  <c r="BC871" i="10" s="1"/>
  <c r="T871" i="10"/>
  <c r="Q871" i="10"/>
  <c r="O871" i="10"/>
  <c r="R871" i="10"/>
  <c r="BQ871" i="10"/>
  <c r="AF169" i="7"/>
  <c r="AD169" i="7"/>
  <c r="J186" i="34"/>
  <c r="CH684" i="10"/>
  <c r="CG684" i="10"/>
  <c r="CJ684" i="10"/>
  <c r="CI684" i="10"/>
  <c r="CK684" i="10"/>
  <c r="CF684" i="10"/>
  <c r="CL684" i="10" s="1"/>
  <c r="I615" i="19"/>
  <c r="I683" i="10"/>
  <c r="P683" i="10" s="1"/>
  <c r="T683" i="10"/>
  <c r="Q683" i="10"/>
  <c r="O683" i="10"/>
  <c r="R683" i="10"/>
  <c r="G683" i="10"/>
  <c r="G185" i="34" s="1"/>
  <c r="BB683" i="10"/>
  <c r="BC683" i="10" s="1"/>
  <c r="BQ683" i="10"/>
  <c r="K683" i="10" s="1"/>
  <c r="BP683" i="10"/>
  <c r="J683" i="10" s="1"/>
  <c r="BF683" i="10" s="1"/>
  <c r="BX683" i="10"/>
  <c r="N683" i="10"/>
  <c r="K354" i="7"/>
  <c r="N354" i="3" s="1"/>
  <c r="AF244" i="7"/>
  <c r="AD244" i="7"/>
  <c r="AT339" i="7"/>
  <c r="AW339" i="3" s="1"/>
  <c r="AE258" i="7"/>
  <c r="AH258" i="3" s="1"/>
  <c r="O261" i="3"/>
  <c r="CH603" i="10"/>
  <c r="AF37" i="7"/>
  <c r="AD37" i="7"/>
  <c r="AD47" i="7"/>
  <c r="AF47" i="7"/>
  <c r="AF202" i="7"/>
  <c r="AI202" i="3" s="1"/>
  <c r="AD202" i="7"/>
  <c r="AG202" i="3" s="1"/>
  <c r="AF202" i="3"/>
  <c r="AF64" i="7"/>
  <c r="AD64" i="7"/>
  <c r="AF187" i="7"/>
  <c r="AD187" i="7"/>
  <c r="AF20" i="7"/>
  <c r="AD20" i="7"/>
  <c r="I522" i="19"/>
  <c r="R582" i="10"/>
  <c r="I582" i="10"/>
  <c r="G582" i="10"/>
  <c r="G84" i="34" s="1"/>
  <c r="T582" i="10"/>
  <c r="Q582" i="10"/>
  <c r="P582" i="10"/>
  <c r="N582" i="10"/>
  <c r="O582" i="10"/>
  <c r="BX582" i="10"/>
  <c r="BQ582" i="10"/>
  <c r="K582" i="10" s="1"/>
  <c r="BG582" i="10" s="1"/>
  <c r="BB582" i="10"/>
  <c r="AF54" i="7"/>
  <c r="AD54" i="7"/>
  <c r="AF209" i="7"/>
  <c r="AD209" i="7"/>
  <c r="AD331" i="7"/>
  <c r="AF331" i="7"/>
  <c r="BY679" i="10"/>
  <c r="L375" i="34"/>
  <c r="CS873" i="10"/>
  <c r="N375" i="34" s="1"/>
  <c r="L378" i="34"/>
  <c r="CS876" i="10"/>
  <c r="N378" i="34" s="1"/>
  <c r="L333" i="34"/>
  <c r="CS831" i="10"/>
  <c r="N333" i="34" s="1"/>
  <c r="J158" i="34"/>
  <c r="CJ656" i="10"/>
  <c r="CG656" i="10"/>
  <c r="CK656" i="10"/>
  <c r="CI656" i="10"/>
  <c r="CH656" i="10"/>
  <c r="CF656" i="10"/>
  <c r="CL656" i="10" s="1"/>
  <c r="L196" i="34"/>
  <c r="CS694" i="10"/>
  <c r="N196" i="34" s="1"/>
  <c r="L17" i="34"/>
  <c r="CS515" i="10"/>
  <c r="N17" i="34" s="1"/>
  <c r="AF299" i="7"/>
  <c r="AI299" i="3" s="1"/>
  <c r="AF299" i="3"/>
  <c r="AD299" i="7"/>
  <c r="AG299" i="3" s="1"/>
  <c r="AL128" i="7"/>
  <c r="AL272" i="7"/>
  <c r="I778" i="19"/>
  <c r="T849" i="10"/>
  <c r="Q849" i="10"/>
  <c r="N849" i="10"/>
  <c r="R849" i="10"/>
  <c r="BB849" i="10"/>
  <c r="BX849" i="10"/>
  <c r="G849" i="10"/>
  <c r="G351" i="34" s="1"/>
  <c r="BQ849" i="10"/>
  <c r="K849" i="10" s="1"/>
  <c r="BG849" i="10" s="1"/>
  <c r="O849" i="10"/>
  <c r="I849" i="10"/>
  <c r="P849" i="10" s="1"/>
  <c r="AF286" i="7"/>
  <c r="AD286" i="7"/>
  <c r="AD94" i="7"/>
  <c r="AF94" i="7"/>
  <c r="I834" i="10"/>
  <c r="P834" i="10" s="1"/>
  <c r="BQ834" i="10"/>
  <c r="K834" i="10" s="1"/>
  <c r="BG834" i="10" s="1"/>
  <c r="G834" i="10"/>
  <c r="G336" i="34" s="1"/>
  <c r="I762" i="19"/>
  <c r="T834" i="10"/>
  <c r="Q834" i="10"/>
  <c r="BX834" i="10"/>
  <c r="R834" i="10"/>
  <c r="BB834" i="10"/>
  <c r="BC834" i="10" s="1"/>
  <c r="O834" i="10"/>
  <c r="N834" i="10"/>
  <c r="AD397" i="7"/>
  <c r="AF397" i="7"/>
  <c r="AM266" i="3"/>
  <c r="AS266" i="7"/>
  <c r="AV266" i="3" s="1"/>
  <c r="AT266" i="7"/>
  <c r="AW266" i="3" s="1"/>
  <c r="L25" i="3"/>
  <c r="E6" i="8"/>
  <c r="AF43" i="7"/>
  <c r="AD43" i="7"/>
  <c r="AS400" i="7"/>
  <c r="AV400" i="3" s="1"/>
  <c r="CE46" i="9"/>
  <c r="AS191" i="7"/>
  <c r="AV191" i="3" s="1"/>
  <c r="AT191" i="7"/>
  <c r="AW191" i="3" s="1"/>
  <c r="AM191" i="3"/>
  <c r="AL157" i="7"/>
  <c r="I456" i="19"/>
  <c r="Q512" i="10"/>
  <c r="BX512" i="10"/>
  <c r="G512" i="10"/>
  <c r="G14" i="34" s="1"/>
  <c r="R512" i="10"/>
  <c r="O512" i="10"/>
  <c r="BB512" i="10"/>
  <c r="BC512" i="10" s="1"/>
  <c r="N512" i="10"/>
  <c r="T512" i="10"/>
  <c r="I512" i="10"/>
  <c r="P512" i="10" s="1"/>
  <c r="BQ512" i="10"/>
  <c r="K512" i="10" s="1"/>
  <c r="BG512" i="10" s="1"/>
  <c r="AL38" i="7"/>
  <c r="AS270" i="7"/>
  <c r="AV270" i="3" s="1"/>
  <c r="AF125" i="7"/>
  <c r="AI125" i="3" s="1"/>
  <c r="AD125" i="7"/>
  <c r="AG125" i="3" s="1"/>
  <c r="AF125" i="3"/>
  <c r="AD67" i="7"/>
  <c r="AF67" i="7"/>
  <c r="AS80" i="7"/>
  <c r="I532" i="19"/>
  <c r="R594" i="10"/>
  <c r="N594" i="10"/>
  <c r="BB594" i="10"/>
  <c r="BC594" i="10" s="1"/>
  <c r="G594" i="10"/>
  <c r="G96" i="34" s="1"/>
  <c r="Q594" i="10"/>
  <c r="O594" i="10"/>
  <c r="BX594" i="10"/>
  <c r="T594" i="10"/>
  <c r="I594" i="10"/>
  <c r="P594" i="10" s="1"/>
  <c r="BQ594" i="10"/>
  <c r="K594" i="10" s="1"/>
  <c r="BG594" i="10" s="1"/>
  <c r="CD24" i="9"/>
  <c r="O24" i="9"/>
  <c r="BC24" i="9" s="1"/>
  <c r="AS416" i="7"/>
  <c r="AV416" i="3" s="1"/>
  <c r="AL197" i="7"/>
  <c r="AT166" i="7"/>
  <c r="AW166" i="3" s="1"/>
  <c r="AD366" i="7"/>
  <c r="AF366" i="7"/>
  <c r="K108" i="34"/>
  <c r="CC606" i="10"/>
  <c r="CB606" i="10"/>
  <c r="CA606" i="10"/>
  <c r="BZ606" i="10"/>
  <c r="L130" i="34"/>
  <c r="CS628" i="10"/>
  <c r="N130" i="34" s="1"/>
  <c r="CF895" i="10"/>
  <c r="CL895" i="10" s="1"/>
  <c r="CH895" i="10"/>
  <c r="BY809" i="10"/>
  <c r="L190" i="34"/>
  <c r="CS688" i="10"/>
  <c r="N190" i="34" s="1"/>
  <c r="L328" i="34"/>
  <c r="CS826" i="10"/>
  <c r="N328" i="34" s="1"/>
  <c r="L158" i="34"/>
  <c r="CS656" i="10"/>
  <c r="N158" i="34" s="1"/>
  <c r="AD31" i="7"/>
  <c r="AF31" i="7"/>
  <c r="I462" i="19"/>
  <c r="I517" i="10"/>
  <c r="P517" i="10" s="1"/>
  <c r="BX517" i="10"/>
  <c r="G517" i="10"/>
  <c r="G19" i="34" s="1"/>
  <c r="BQ517" i="10"/>
  <c r="K517" i="10" s="1"/>
  <c r="BG517" i="10" s="1"/>
  <c r="T517" i="10"/>
  <c r="O517" i="10"/>
  <c r="BB517" i="10"/>
  <c r="BC517" i="10" s="1"/>
  <c r="N517" i="10"/>
  <c r="R517" i="10"/>
  <c r="Q517" i="10"/>
  <c r="I506" i="19"/>
  <c r="T563" i="10"/>
  <c r="BB563" i="10"/>
  <c r="O563" i="10"/>
  <c r="N563" i="10"/>
  <c r="G563" i="10"/>
  <c r="G65" i="34" s="1"/>
  <c r="BX563" i="10"/>
  <c r="BQ563" i="10"/>
  <c r="K563" i="10" s="1"/>
  <c r="BG563" i="10" s="1"/>
  <c r="R563" i="10"/>
  <c r="I563" i="10"/>
  <c r="P563" i="10" s="1"/>
  <c r="Q563" i="10"/>
  <c r="AM343" i="3"/>
  <c r="AL343" i="7"/>
  <c r="L78" i="34"/>
  <c r="CS576" i="10"/>
  <c r="N78" i="34" s="1"/>
  <c r="AD259" i="7"/>
  <c r="AG259" i="3" s="1"/>
  <c r="AF259" i="3"/>
  <c r="AF259" i="7"/>
  <c r="AI259" i="3" s="1"/>
  <c r="AL212" i="7"/>
  <c r="AT202" i="7"/>
  <c r="AW202" i="3" s="1"/>
  <c r="K213" i="7"/>
  <c r="N213" i="3" s="1"/>
  <c r="AF371" i="7"/>
  <c r="AD371" i="7"/>
  <c r="AT412" i="7"/>
  <c r="AW412" i="3" s="1"/>
  <c r="CD36" i="9"/>
  <c r="O36" i="9"/>
  <c r="BC36" i="9" s="1"/>
  <c r="K8" i="7"/>
  <c r="N8" i="3" s="1"/>
  <c r="AS159" i="7"/>
  <c r="AV159" i="3" s="1"/>
  <c r="I544" i="19"/>
  <c r="BB606" i="10"/>
  <c r="BC606" i="10" s="1"/>
  <c r="R606" i="10"/>
  <c r="BX606" i="10"/>
  <c r="CD606" i="10" s="1"/>
  <c r="BQ606" i="10"/>
  <c r="K606" i="10" s="1"/>
  <c r="BG606" i="10" s="1"/>
  <c r="O606" i="10"/>
  <c r="T606" i="10"/>
  <c r="Q606" i="10"/>
  <c r="N606" i="10"/>
  <c r="I606" i="10"/>
  <c r="P606" i="10" s="1"/>
  <c r="G606" i="10"/>
  <c r="G108" i="34" s="1"/>
  <c r="AT420" i="7"/>
  <c r="AW420" i="3" s="1"/>
  <c r="L377" i="34"/>
  <c r="CS875" i="10"/>
  <c r="N377" i="34" s="1"/>
  <c r="J402" i="34"/>
  <c r="CH900" i="10"/>
  <c r="CG900" i="10"/>
  <c r="CF900" i="10"/>
  <c r="CI900" i="10"/>
  <c r="CK900" i="10"/>
  <c r="CJ900" i="10"/>
  <c r="L400" i="34"/>
  <c r="CS898" i="10"/>
  <c r="N400" i="34" s="1"/>
  <c r="L150" i="34"/>
  <c r="CS648" i="10"/>
  <c r="N150" i="34" s="1"/>
  <c r="K61" i="34"/>
  <c r="CB559" i="10"/>
  <c r="CC559" i="10"/>
  <c r="BZ559" i="10"/>
  <c r="CA559" i="10"/>
  <c r="AM401" i="3"/>
  <c r="AT401" i="7"/>
  <c r="AW401" i="3" s="1"/>
  <c r="AT344" i="7"/>
  <c r="AW344" i="3" s="1"/>
  <c r="I802" i="19"/>
  <c r="I873" i="10"/>
  <c r="P873" i="10" s="1"/>
  <c r="BQ873" i="10"/>
  <c r="K873" i="10" s="1"/>
  <c r="BG873" i="10" s="1"/>
  <c r="G873" i="10"/>
  <c r="G375" i="34" s="1"/>
  <c r="BB873" i="10"/>
  <c r="BX873" i="10"/>
  <c r="CD873" i="10" s="1"/>
  <c r="T873" i="10"/>
  <c r="R873" i="10"/>
  <c r="Q873" i="10"/>
  <c r="O873" i="10"/>
  <c r="N873" i="10"/>
  <c r="I599" i="19"/>
  <c r="BX664" i="10"/>
  <c r="N664" i="10"/>
  <c r="R664" i="10"/>
  <c r="O664" i="10"/>
  <c r="BB664" i="10"/>
  <c r="G664" i="10"/>
  <c r="G166" i="34" s="1"/>
  <c r="T664" i="10"/>
  <c r="Q664" i="10"/>
  <c r="BQ664" i="10"/>
  <c r="K664" i="10" s="1"/>
  <c r="BG664" i="10" s="1"/>
  <c r="I664" i="10"/>
  <c r="P664" i="10" s="1"/>
  <c r="AY247" i="3"/>
  <c r="AS247" i="7"/>
  <c r="AV247" i="3" s="1"/>
  <c r="AF253" i="7"/>
  <c r="AD253" i="7"/>
  <c r="AF161" i="7"/>
  <c r="AD161" i="7"/>
  <c r="AS76" i="7"/>
  <c r="AV76" i="3" s="1"/>
  <c r="AF109" i="7"/>
  <c r="AD109" i="7"/>
  <c r="I743" i="19"/>
  <c r="I816" i="10"/>
  <c r="P816" i="10" s="1"/>
  <c r="BX816" i="10"/>
  <c r="R816" i="10"/>
  <c r="Q816" i="10"/>
  <c r="N816" i="10"/>
  <c r="BB816" i="10"/>
  <c r="G816" i="10"/>
  <c r="G318" i="34" s="1"/>
  <c r="BQ816" i="10"/>
  <c r="K816" i="10" s="1"/>
  <c r="BG816" i="10" s="1"/>
  <c r="O816" i="10"/>
  <c r="T816" i="10"/>
  <c r="AL219" i="7"/>
  <c r="AF186" i="7"/>
  <c r="AD186" i="7"/>
  <c r="AL99" i="7"/>
  <c r="BB527" i="10"/>
  <c r="BX527" i="10"/>
  <c r="O527" i="10"/>
  <c r="G527" i="10"/>
  <c r="G29" i="34" s="1"/>
  <c r="R527" i="10"/>
  <c r="Q527" i="10"/>
  <c r="I472" i="19"/>
  <c r="N527" i="10"/>
  <c r="I527" i="10"/>
  <c r="P527" i="10" s="1"/>
  <c r="BQ527" i="10"/>
  <c r="K527" i="10" s="1"/>
  <c r="BG527" i="10" s="1"/>
  <c r="T527" i="10"/>
  <c r="K346" i="7"/>
  <c r="N346" i="3" s="1"/>
  <c r="CI616" i="10"/>
  <c r="CH616" i="10"/>
  <c r="AL283" i="7"/>
  <c r="I512" i="19"/>
  <c r="R572" i="10"/>
  <c r="N572" i="10"/>
  <c r="BB572" i="10"/>
  <c r="BC572" i="10" s="1"/>
  <c r="G572" i="10"/>
  <c r="G74" i="34" s="1"/>
  <c r="BX572" i="10"/>
  <c r="BQ572" i="10"/>
  <c r="K572" i="10" s="1"/>
  <c r="BG572" i="10" s="1"/>
  <c r="T572" i="10"/>
  <c r="Q572" i="10"/>
  <c r="O572" i="10"/>
  <c r="I572" i="10"/>
  <c r="P572" i="10" s="1"/>
  <c r="K331" i="7"/>
  <c r="N331" i="3" s="1"/>
  <c r="I585" i="19"/>
  <c r="I650" i="10"/>
  <c r="P650" i="10" s="1"/>
  <c r="T650" i="10"/>
  <c r="R650" i="10"/>
  <c r="BX650" i="10"/>
  <c r="BQ650" i="10"/>
  <c r="K650" i="10" s="1"/>
  <c r="BG650" i="10" s="1"/>
  <c r="Q650" i="10"/>
  <c r="O650" i="10"/>
  <c r="G650" i="10"/>
  <c r="G152" i="34" s="1"/>
  <c r="N650" i="10"/>
  <c r="BB650" i="10"/>
  <c r="BC650" i="10" s="1"/>
  <c r="AT56" i="7"/>
  <c r="AW56" i="3" s="1"/>
  <c r="AL32" i="7"/>
  <c r="AS120" i="7"/>
  <c r="AV120" i="3" s="1"/>
  <c r="AT261" i="7"/>
  <c r="AW261" i="3" s="1"/>
  <c r="AT249" i="7"/>
  <c r="AW249" i="3" s="1"/>
  <c r="L209" i="34"/>
  <c r="CS707" i="10"/>
  <c r="N209" i="34" s="1"/>
  <c r="L108" i="34"/>
  <c r="CS606" i="10"/>
  <c r="N108" i="34" s="1"/>
  <c r="L235" i="34"/>
  <c r="CS733" i="10"/>
  <c r="N235" i="34" s="1"/>
  <c r="L69" i="34"/>
  <c r="CS567" i="10"/>
  <c r="N69" i="34" s="1"/>
  <c r="AD336" i="7"/>
  <c r="AF336" i="7"/>
  <c r="CH742" i="10"/>
  <c r="CK742" i="10"/>
  <c r="K422" i="7"/>
  <c r="N422" i="3" s="1"/>
  <c r="I696" i="19"/>
  <c r="T767" i="10"/>
  <c r="Q767" i="10"/>
  <c r="BB767" i="10"/>
  <c r="R767" i="10"/>
  <c r="O767" i="10"/>
  <c r="I767" i="10"/>
  <c r="P767" i="10" s="1"/>
  <c r="BQ767" i="10"/>
  <c r="K767" i="10" s="1"/>
  <c r="BG767" i="10" s="1"/>
  <c r="N767" i="10"/>
  <c r="BX767" i="10"/>
  <c r="G767" i="10"/>
  <c r="G269" i="34" s="1"/>
  <c r="AL203" i="7"/>
  <c r="AM193" i="3"/>
  <c r="AS193" i="7"/>
  <c r="AV193" i="3" s="1"/>
  <c r="AT193" i="7"/>
  <c r="AW193" i="3" s="1"/>
  <c r="AM39" i="3"/>
  <c r="AS39" i="7"/>
  <c r="AV39" i="3" s="1"/>
  <c r="AS353" i="7"/>
  <c r="AV353" i="3" s="1"/>
  <c r="I669" i="19"/>
  <c r="T741" i="10"/>
  <c r="I741" i="10"/>
  <c r="BX741" i="10"/>
  <c r="P741" i="10"/>
  <c r="R741" i="10"/>
  <c r="Q741" i="10"/>
  <c r="O741" i="10"/>
  <c r="N741" i="10"/>
  <c r="G741" i="10"/>
  <c r="G243" i="34" s="1"/>
  <c r="BQ741" i="10"/>
  <c r="K741" i="10" s="1"/>
  <c r="BG741" i="10" s="1"/>
  <c r="BB741" i="10"/>
  <c r="K89" i="7"/>
  <c r="N89" i="3" s="1"/>
  <c r="L93" i="34"/>
  <c r="CS591" i="10"/>
  <c r="N93" i="34" s="1"/>
  <c r="M9" i="3"/>
  <c r="K9" i="7"/>
  <c r="N9" i="3" s="1"/>
  <c r="AF166" i="7"/>
  <c r="AD166" i="7"/>
  <c r="AL142" i="7"/>
  <c r="M12" i="8"/>
  <c r="L12" i="8"/>
  <c r="K12" i="8"/>
  <c r="J12" i="8"/>
  <c r="N12" i="8"/>
  <c r="AE176" i="7"/>
  <c r="AH176" i="3" s="1"/>
  <c r="O176" i="3"/>
  <c r="A2015" i="18"/>
  <c r="C2015" i="18" s="1"/>
  <c r="B2006" i="18"/>
  <c r="A1993" i="18"/>
  <c r="C1993" i="18" s="1"/>
  <c r="B1984" i="18"/>
  <c r="A1971" i="18"/>
  <c r="C1971" i="18" s="1"/>
  <c r="B1962" i="18"/>
  <c r="A1949" i="18"/>
  <c r="C1949" i="18" s="1"/>
  <c r="B1940" i="18"/>
  <c r="A1927" i="18"/>
  <c r="C1927" i="18" s="1"/>
  <c r="B1918" i="18"/>
  <c r="A1905" i="18"/>
  <c r="C1905" i="18" s="1"/>
  <c r="B1896" i="18"/>
  <c r="A1883" i="18"/>
  <c r="C1883" i="18" s="1"/>
  <c r="B1874" i="18"/>
  <c r="A1861" i="18"/>
  <c r="C1861" i="18" s="1"/>
  <c r="B1852" i="18"/>
  <c r="B2010" i="18"/>
  <c r="A1997" i="18"/>
  <c r="C1997" i="18" s="1"/>
  <c r="B1988" i="18"/>
  <c r="A1975" i="18"/>
  <c r="C1975" i="18" s="1"/>
  <c r="B1966" i="18"/>
  <c r="A1953" i="18"/>
  <c r="C1953" i="18" s="1"/>
  <c r="B1944" i="18"/>
  <c r="A1931" i="18"/>
  <c r="C1931" i="18" s="1"/>
  <c r="B1922" i="18"/>
  <c r="A1909" i="18"/>
  <c r="C1909" i="18" s="1"/>
  <c r="B1900" i="18"/>
  <c r="A1887" i="18"/>
  <c r="C1887" i="18" s="1"/>
  <c r="B1878" i="18"/>
  <c r="A1865" i="18"/>
  <c r="C1865" i="18" s="1"/>
  <c r="B1856" i="18"/>
  <c r="A1987" i="18"/>
  <c r="C1987" i="18" s="1"/>
  <c r="B1982" i="18"/>
  <c r="A1963" i="18"/>
  <c r="C1963" i="18" s="1"/>
  <c r="B1958" i="18"/>
  <c r="B1953" i="18"/>
  <c r="B1948" i="18"/>
  <c r="A1929" i="18"/>
  <c r="C1929" i="18" s="1"/>
  <c r="B1924" i="18"/>
  <c r="A1895" i="18"/>
  <c r="C1895" i="18" s="1"/>
  <c r="B1890" i="18"/>
  <c r="A1871" i="18"/>
  <c r="C1871" i="18" s="1"/>
  <c r="B1866" i="18"/>
  <c r="A1847" i="18"/>
  <c r="C1847" i="18" s="1"/>
  <c r="B1838" i="18"/>
  <c r="A1825" i="18"/>
  <c r="C1825" i="18" s="1"/>
  <c r="B1816" i="18"/>
  <c r="A1803" i="18"/>
  <c r="C1803" i="18" s="1"/>
  <c r="B1794" i="18"/>
  <c r="A1781" i="18"/>
  <c r="C1781" i="18" s="1"/>
  <c r="B1772" i="18"/>
  <c r="A1759" i="18"/>
  <c r="C1759" i="18" s="1"/>
  <c r="B1887" i="18"/>
  <c r="A1882" i="18"/>
  <c r="C1882" i="18" s="1"/>
  <c r="A1877" i="18"/>
  <c r="C1877" i="18" s="1"/>
  <c r="A1872" i="18"/>
  <c r="C1872" i="18" s="1"/>
  <c r="A1867" i="18"/>
  <c r="C1867" i="18" s="1"/>
  <c r="A1862" i="18"/>
  <c r="C1862" i="18" s="1"/>
  <c r="A1857" i="18"/>
  <c r="C1857" i="18" s="1"/>
  <c r="B1842" i="18"/>
  <c r="A1833" i="18"/>
  <c r="C1833" i="18" s="1"/>
  <c r="B1819" i="18"/>
  <c r="A1810" i="18"/>
  <c r="C1810" i="18" s="1"/>
  <c r="B1796" i="18"/>
  <c r="A1787" i="18"/>
  <c r="C1787" i="18" s="1"/>
  <c r="B1773" i="18"/>
  <c r="A1764" i="18"/>
  <c r="C1764" i="18" s="1"/>
  <c r="A1746" i="18"/>
  <c r="C1746" i="18" s="1"/>
  <c r="B1737" i="18"/>
  <c r="A1724" i="18"/>
  <c r="C1724" i="18" s="1"/>
  <c r="B1715" i="18"/>
  <c r="A1702" i="18"/>
  <c r="C1702" i="18" s="1"/>
  <c r="B1693" i="18"/>
  <c r="A1680" i="18"/>
  <c r="C1680" i="18" s="1"/>
  <c r="B1671" i="18"/>
  <c r="A1658" i="18"/>
  <c r="C1658" i="18" s="1"/>
  <c r="A1988" i="18"/>
  <c r="C1988" i="18" s="1"/>
  <c r="A1983" i="18"/>
  <c r="C1983" i="18" s="1"/>
  <c r="A1978" i="18"/>
  <c r="C1978" i="18" s="1"/>
  <c r="A1973" i="18"/>
  <c r="C1973" i="18" s="1"/>
  <c r="A1968" i="18"/>
  <c r="C1968" i="18" s="1"/>
  <c r="A1922" i="18"/>
  <c r="C1922" i="18" s="1"/>
  <c r="A1917" i="18"/>
  <c r="C1917" i="18" s="1"/>
  <c r="A1912" i="18"/>
  <c r="C1912" i="18" s="1"/>
  <c r="A1907" i="18"/>
  <c r="C1907" i="18" s="1"/>
  <c r="A1902" i="18"/>
  <c r="C1902" i="18" s="1"/>
  <c r="A1897" i="18"/>
  <c r="C1897" i="18" s="1"/>
  <c r="A1892" i="18"/>
  <c r="C1892" i="18" s="1"/>
  <c r="A1856" i="18"/>
  <c r="C1856" i="18" s="1"/>
  <c r="A1851" i="18"/>
  <c r="C1851" i="18" s="1"/>
  <c r="B1837" i="18"/>
  <c r="A1828" i="18"/>
  <c r="C1828" i="18" s="1"/>
  <c r="B1814" i="18"/>
  <c r="A1805" i="18"/>
  <c r="C1805" i="18" s="1"/>
  <c r="B1791" i="18"/>
  <c r="A1782" i="18"/>
  <c r="C1782" i="18" s="1"/>
  <c r="B1768" i="18"/>
  <c r="A1750" i="18"/>
  <c r="C1750" i="18" s="1"/>
  <c r="B1741" i="18"/>
  <c r="A1728" i="18"/>
  <c r="C1728" i="18" s="1"/>
  <c r="B1719" i="18"/>
  <c r="A1706" i="18"/>
  <c r="C1706" i="18" s="1"/>
  <c r="B1697" i="18"/>
  <c r="B2009" i="18"/>
  <c r="A1998" i="18"/>
  <c r="C1998" i="18" s="1"/>
  <c r="B1992" i="18"/>
  <c r="B1981" i="18"/>
  <c r="A1970" i="18"/>
  <c r="C1970" i="18" s="1"/>
  <c r="B1959" i="18"/>
  <c r="A1942" i="18"/>
  <c r="C1942" i="18" s="1"/>
  <c r="A1920" i="18"/>
  <c r="C1920" i="18" s="1"/>
  <c r="B1903" i="18"/>
  <c r="B1892" i="18"/>
  <c r="B1886" i="18"/>
  <c r="B1875" i="18"/>
  <c r="A1864" i="18"/>
  <c r="C1864" i="18" s="1"/>
  <c r="B1853" i="18"/>
  <c r="B1832" i="18"/>
  <c r="B1827" i="18"/>
  <c r="B1822" i="18"/>
  <c r="B1817" i="18"/>
  <c r="B1812" i="18"/>
  <c r="A1807" i="18"/>
  <c r="C1807" i="18" s="1"/>
  <c r="A1802" i="18"/>
  <c r="C1802" i="18" s="1"/>
  <c r="A1797" i="18"/>
  <c r="C1797" i="18" s="1"/>
  <c r="A1792" i="18"/>
  <c r="C1792" i="18" s="1"/>
  <c r="A1742" i="18"/>
  <c r="C1742" i="18" s="1"/>
  <c r="A1737" i="18"/>
  <c r="C1737" i="18" s="1"/>
  <c r="A1732" i="18"/>
  <c r="C1732" i="18" s="1"/>
  <c r="B1727" i="18"/>
  <c r="A1708" i="18"/>
  <c r="C1708" i="18" s="1"/>
  <c r="B1703" i="18"/>
  <c r="A1689" i="18"/>
  <c r="C1689" i="18" s="1"/>
  <c r="B1684" i="18"/>
  <c r="A1675" i="18"/>
  <c r="C1675" i="18" s="1"/>
  <c r="B1661" i="18"/>
  <c r="B1652" i="18"/>
  <c r="A1639" i="18"/>
  <c r="C1639" i="18" s="1"/>
  <c r="B1630" i="18"/>
  <c r="A1617" i="18"/>
  <c r="C1617" i="18" s="1"/>
  <c r="B1608" i="18"/>
  <c r="A1595" i="18"/>
  <c r="C1595" i="18" s="1"/>
  <c r="B1586" i="18"/>
  <c r="A1573" i="18"/>
  <c r="C1573" i="18" s="1"/>
  <c r="B1564" i="18"/>
  <c r="A2000" i="18"/>
  <c r="C2000" i="18" s="1"/>
  <c r="A1965" i="18"/>
  <c r="C1965" i="18" s="1"/>
  <c r="A1947" i="18"/>
  <c r="C1947" i="18" s="1"/>
  <c r="A1924" i="18"/>
  <c r="C1924" i="18" s="1"/>
  <c r="B1912" i="18"/>
  <c r="A1889" i="18"/>
  <c r="C1889" i="18" s="1"/>
  <c r="A1854" i="18"/>
  <c r="C1854" i="18" s="1"/>
  <c r="B1843" i="18"/>
  <c r="A1832" i="18"/>
  <c r="C1832" i="18" s="1"/>
  <c r="A1811" i="18"/>
  <c r="C1811" i="18" s="1"/>
  <c r="B1800" i="18"/>
  <c r="A1795" i="18"/>
  <c r="C1795" i="18" s="1"/>
  <c r="B1779" i="18"/>
  <c r="A1774" i="18"/>
  <c r="C1774" i="18" s="1"/>
  <c r="A1763" i="18"/>
  <c r="C1763" i="18" s="1"/>
  <c r="B1722" i="18"/>
  <c r="B1717" i="18"/>
  <c r="B1712" i="18"/>
  <c r="B1707" i="18"/>
  <c r="B1702" i="18"/>
  <c r="A1692" i="18"/>
  <c r="C1692" i="18" s="1"/>
  <c r="B1687" i="18"/>
  <c r="A1668" i="18"/>
  <c r="C1668" i="18" s="1"/>
  <c r="B1663" i="18"/>
  <c r="A1649" i="18"/>
  <c r="C1649" i="18" s="1"/>
  <c r="B1635" i="18"/>
  <c r="A1626" i="18"/>
  <c r="C1626" i="18" s="1"/>
  <c r="B1621" i="18"/>
  <c r="A1612" i="18"/>
  <c r="C1612" i="18" s="1"/>
  <c r="B1598" i="18"/>
  <c r="A1589" i="18"/>
  <c r="C1589" i="18" s="1"/>
  <c r="B1575" i="18"/>
  <c r="A1566" i="18"/>
  <c r="C1566" i="18" s="1"/>
  <c r="A1548" i="18"/>
  <c r="C1548" i="18" s="1"/>
  <c r="B1539" i="18"/>
  <c r="A1526" i="18"/>
  <c r="C1526" i="18" s="1"/>
  <c r="B1517" i="18"/>
  <c r="B2012" i="18"/>
  <c r="A2006" i="18"/>
  <c r="C2006" i="18" s="1"/>
  <c r="A1994" i="18"/>
  <c r="C1994" i="18" s="1"/>
  <c r="B1975" i="18"/>
  <c r="B1969" i="18"/>
  <c r="B1963" i="18"/>
  <c r="A1945" i="18"/>
  <c r="C1945" i="18" s="1"/>
  <c r="B1926" i="18"/>
  <c r="B1914" i="18"/>
  <c r="A1908" i="18"/>
  <c r="C1908" i="18" s="1"/>
  <c r="B1871" i="18"/>
  <c r="A1859" i="18"/>
  <c r="C1859" i="18" s="1"/>
  <c r="A1853" i="18"/>
  <c r="C1853" i="18" s="1"/>
  <c r="B1847" i="18"/>
  <c r="B1841" i="18"/>
  <c r="B1808" i="18"/>
  <c r="B1797" i="18"/>
  <c r="B1780" i="18"/>
  <c r="A1758" i="18"/>
  <c r="C1758" i="18" s="1"/>
  <c r="B1742" i="18"/>
  <c r="B1731" i="18"/>
  <c r="A1726" i="18"/>
  <c r="C1726" i="18" s="1"/>
  <c r="A1710" i="18"/>
  <c r="C1710" i="18" s="1"/>
  <c r="A1684" i="18"/>
  <c r="C1684" i="18" s="1"/>
  <c r="A1679" i="18"/>
  <c r="C1679" i="18" s="1"/>
  <c r="A1674" i="18"/>
  <c r="C1674" i="18" s="1"/>
  <c r="A1669" i="18"/>
  <c r="C1669" i="18" s="1"/>
  <c r="A1664" i="18"/>
  <c r="C1664" i="18" s="1"/>
  <c r="A1659" i="18"/>
  <c r="C1659" i="18" s="1"/>
  <c r="A1654" i="18"/>
  <c r="C1654" i="18" s="1"/>
  <c r="B1649" i="18"/>
  <c r="B1644" i="18"/>
  <c r="A1620" i="18"/>
  <c r="C1620" i="18" s="1"/>
  <c r="B1615" i="18"/>
  <c r="A1596" i="18"/>
  <c r="C1596" i="18" s="1"/>
  <c r="B1591" i="18"/>
  <c r="A1567" i="18"/>
  <c r="C1567" i="18" s="1"/>
  <c r="B1562" i="18"/>
  <c r="B1548" i="18"/>
  <c r="B1534" i="18"/>
  <c r="A1525" i="18"/>
  <c r="C1525" i="18" s="1"/>
  <c r="B1511" i="18"/>
  <c r="B2005" i="18"/>
  <c r="B1993" i="18"/>
  <c r="B1956" i="18"/>
  <c r="B1938" i="18"/>
  <c r="A1932" i="18"/>
  <c r="C1932" i="18" s="1"/>
  <c r="B1895" i="18"/>
  <c r="B1889" i="18"/>
  <c r="B1883" i="18"/>
  <c r="B1846" i="18"/>
  <c r="A1830" i="18"/>
  <c r="C1830" i="18" s="1"/>
  <c r="B1813" i="18"/>
  <c r="B1802" i="18"/>
  <c r="B1785" i="18"/>
  <c r="A1769" i="18"/>
  <c r="C1769" i="18" s="1"/>
  <c r="B1752" i="18"/>
  <c r="A1747" i="18"/>
  <c r="C1747" i="18" s="1"/>
  <c r="A1736" i="18"/>
  <c r="C1736" i="18" s="1"/>
  <c r="A1715" i="18"/>
  <c r="C1715" i="18" s="1"/>
  <c r="B1699" i="18"/>
  <c r="A1694" i="18"/>
  <c r="C1694" i="18" s="1"/>
  <c r="A1634" i="18"/>
  <c r="C1634" i="18" s="1"/>
  <c r="B1629" i="18"/>
  <c r="A1610" i="18"/>
  <c r="C1610" i="18" s="1"/>
  <c r="B1605" i="18"/>
  <c r="A1581" i="18"/>
  <c r="C1581" i="18" s="1"/>
  <c r="B1576" i="18"/>
  <c r="A1557" i="18"/>
  <c r="C1557" i="18" s="1"/>
  <c r="B1552" i="18"/>
  <c r="A1543" i="18"/>
  <c r="C1543" i="18" s="1"/>
  <c r="B1529" i="18"/>
  <c r="A1520" i="18"/>
  <c r="C1520" i="18" s="1"/>
  <c r="A1502" i="18"/>
  <c r="C1502" i="18" s="1"/>
  <c r="B1493" i="18"/>
  <c r="A1480" i="18"/>
  <c r="C1480" i="18" s="1"/>
  <c r="B1471" i="18"/>
  <c r="A1458" i="18"/>
  <c r="C1458" i="18" s="1"/>
  <c r="B1449" i="18"/>
  <c r="A1436" i="18"/>
  <c r="C1436" i="18" s="1"/>
  <c r="B1427" i="18"/>
  <c r="A1414" i="18"/>
  <c r="C1414" i="18" s="1"/>
  <c r="B1405" i="18"/>
  <c r="A1392" i="18"/>
  <c r="C1392" i="18" s="1"/>
  <c r="B1383" i="18"/>
  <c r="A1370" i="18"/>
  <c r="C1370" i="18" s="1"/>
  <c r="B1361" i="18"/>
  <c r="A1348" i="18"/>
  <c r="C1348" i="18" s="1"/>
  <c r="B1339" i="18"/>
  <c r="A1326" i="18"/>
  <c r="C1326" i="18" s="1"/>
  <c r="B1317" i="18"/>
  <c r="A1304" i="18"/>
  <c r="C1304" i="18" s="1"/>
  <c r="B1295" i="18"/>
  <c r="A1282" i="18"/>
  <c r="C1282" i="18" s="1"/>
  <c r="B1273" i="18"/>
  <c r="A1260" i="18"/>
  <c r="C1260" i="18" s="1"/>
  <c r="B1251" i="18"/>
  <c r="A1238" i="18"/>
  <c r="C1238" i="18" s="1"/>
  <c r="B1229" i="18"/>
  <c r="A1216" i="18"/>
  <c r="C1216" i="18" s="1"/>
  <c r="B1207" i="18"/>
  <c r="A1194" i="18"/>
  <c r="C1194" i="18" s="1"/>
  <c r="B1185" i="18"/>
  <c r="A1172" i="18"/>
  <c r="C1172" i="18" s="1"/>
  <c r="B1163" i="18"/>
  <c r="A1150" i="18"/>
  <c r="C1150" i="18" s="1"/>
  <c r="B1141" i="18"/>
  <c r="A1128" i="18"/>
  <c r="C1128" i="18" s="1"/>
  <c r="B1119" i="18"/>
  <c r="A1106" i="18"/>
  <c r="C1106" i="18" s="1"/>
  <c r="B1097" i="18"/>
  <c r="A1084" i="18"/>
  <c r="C1084" i="18" s="1"/>
  <c r="B1075" i="18"/>
  <c r="A1062" i="18"/>
  <c r="C1062" i="18" s="1"/>
  <c r="B1053" i="18"/>
  <c r="A1040" i="18"/>
  <c r="C1040" i="18" s="1"/>
  <c r="B1031" i="18"/>
  <c r="A1018" i="18"/>
  <c r="C1018" i="18" s="1"/>
  <c r="B1009" i="18"/>
  <c r="A996" i="18"/>
  <c r="C996" i="18" s="1"/>
  <c r="B987" i="18"/>
  <c r="A974" i="18"/>
  <c r="C974" i="18" s="1"/>
  <c r="B965" i="18"/>
  <c r="A952" i="18"/>
  <c r="C952" i="18" s="1"/>
  <c r="B943" i="18"/>
  <c r="A930" i="18"/>
  <c r="C930" i="18" s="1"/>
  <c r="B921" i="18"/>
  <c r="A908" i="18"/>
  <c r="C908" i="18" s="1"/>
  <c r="B899" i="18"/>
  <c r="A886" i="18"/>
  <c r="C886" i="18" s="1"/>
  <c r="B877" i="18"/>
  <c r="A864" i="18"/>
  <c r="C864" i="18" s="1"/>
  <c r="B855" i="18"/>
  <c r="A842" i="18"/>
  <c r="C842" i="18" s="1"/>
  <c r="B833" i="18"/>
  <c r="A820" i="18"/>
  <c r="C820" i="18" s="1"/>
  <c r="B811" i="18"/>
  <c r="A798" i="18"/>
  <c r="C798" i="18" s="1"/>
  <c r="B789" i="18"/>
  <c r="A776" i="18"/>
  <c r="C776" i="18" s="1"/>
  <c r="B767" i="18"/>
  <c r="A754" i="18"/>
  <c r="C754" i="18" s="1"/>
  <c r="B745" i="18"/>
  <c r="A732" i="18"/>
  <c r="C732" i="18" s="1"/>
  <c r="B723" i="18"/>
  <c r="A710" i="18"/>
  <c r="C710" i="18" s="1"/>
  <c r="B701" i="18"/>
  <c r="A688" i="18"/>
  <c r="C688" i="18" s="1"/>
  <c r="B679" i="18"/>
  <c r="A666" i="18"/>
  <c r="C666" i="18" s="1"/>
  <c r="B2011" i="18"/>
  <c r="A2005" i="18"/>
  <c r="C2005" i="18" s="1"/>
  <c r="B1999" i="18"/>
  <c r="A1962" i="18"/>
  <c r="C1962" i="18" s="1"/>
  <c r="A1956" i="18"/>
  <c r="C1956" i="18" s="1"/>
  <c r="B1950" i="18"/>
  <c r="A1944" i="18"/>
  <c r="C1944" i="18" s="1"/>
  <c r="A1938" i="18"/>
  <c r="C1938" i="18" s="1"/>
  <c r="B1913" i="18"/>
  <c r="B1907" i="18"/>
  <c r="B1901" i="18"/>
  <c r="B1864" i="18"/>
  <c r="B1858" i="18"/>
  <c r="A1846" i="18"/>
  <c r="C1846" i="18" s="1"/>
  <c r="B1835" i="18"/>
  <c r="B1824" i="18"/>
  <c r="A1813" i="18"/>
  <c r="C1813" i="18" s="1"/>
  <c r="A1785" i="18"/>
  <c r="C1785" i="18" s="1"/>
  <c r="B1774" i="18"/>
  <c r="B1757" i="18"/>
  <c r="A1752" i="18"/>
  <c r="C1752" i="18" s="1"/>
  <c r="A1741" i="18"/>
  <c r="C1741" i="18" s="1"/>
  <c r="B1720" i="18"/>
  <c r="B1704" i="18"/>
  <c r="A1699" i="18"/>
  <c r="C1699" i="18" s="1"/>
  <c r="B1658" i="18"/>
  <c r="B1653" i="18"/>
  <c r="A1629" i="18"/>
  <c r="C1629" i="18" s="1"/>
  <c r="B1624" i="18"/>
  <c r="A1605" i="18"/>
  <c r="C1605" i="18" s="1"/>
  <c r="B1600" i="18"/>
  <c r="A1576" i="18"/>
  <c r="C1576" i="18" s="1"/>
  <c r="B1571" i="18"/>
  <c r="A1552" i="18"/>
  <c r="C1552" i="18" s="1"/>
  <c r="B1538" i="18"/>
  <c r="A1529" i="18"/>
  <c r="C1529" i="18" s="1"/>
  <c r="B1515" i="18"/>
  <c r="B1506" i="18"/>
  <c r="A1493" i="18"/>
  <c r="C1493" i="18" s="1"/>
  <c r="B1484" i="18"/>
  <c r="A1471" i="18"/>
  <c r="C1471" i="18" s="1"/>
  <c r="B1462" i="18"/>
  <c r="A1449" i="18"/>
  <c r="C1449" i="18" s="1"/>
  <c r="B1440" i="18"/>
  <c r="A1427" i="18"/>
  <c r="C1427" i="18" s="1"/>
  <c r="B1418" i="18"/>
  <c r="A1405" i="18"/>
  <c r="C1405" i="18" s="1"/>
  <c r="B1396" i="18"/>
  <c r="B1974" i="18"/>
  <c r="B1967" i="18"/>
  <c r="A1954" i="18"/>
  <c r="C1954" i="18" s="1"/>
  <c r="B1946" i="18"/>
  <c r="B1932" i="18"/>
  <c r="B1882" i="18"/>
  <c r="A1875" i="18"/>
  <c r="C1875" i="18" s="1"/>
  <c r="B1868" i="18"/>
  <c r="B1861" i="18"/>
  <c r="B1815" i="18"/>
  <c r="A1789" i="18"/>
  <c r="C1789" i="18" s="1"/>
  <c r="A1783" i="18"/>
  <c r="C1783" i="18" s="1"/>
  <c r="B1776" i="18"/>
  <c r="B1770" i="18"/>
  <c r="B1764" i="18"/>
  <c r="A1733" i="18"/>
  <c r="C1733" i="18" s="1"/>
  <c r="A1720" i="18"/>
  <c r="C1720" i="18" s="1"/>
  <c r="A1690" i="18"/>
  <c r="C1690" i="18" s="1"/>
  <c r="A1672" i="18"/>
  <c r="C1672" i="18" s="1"/>
  <c r="B1666" i="18"/>
  <c r="A1643" i="18"/>
  <c r="C1643" i="18" s="1"/>
  <c r="B1632" i="18"/>
  <c r="A1621" i="18"/>
  <c r="C1621" i="18" s="1"/>
  <c r="B1604" i="18"/>
  <c r="A1593" i="18"/>
  <c r="C1593" i="18" s="1"/>
  <c r="B1582" i="18"/>
  <c r="A1565" i="18"/>
  <c r="C1565" i="18" s="1"/>
  <c r="B1554" i="18"/>
  <c r="A1549" i="18"/>
  <c r="C1549" i="18" s="1"/>
  <c r="B1522" i="18"/>
  <c r="A1506" i="18"/>
  <c r="C1506" i="18" s="1"/>
  <c r="B1501" i="18"/>
  <c r="A1482" i="18"/>
  <c r="C1482" i="18" s="1"/>
  <c r="B1477" i="18"/>
  <c r="A1448" i="18"/>
  <c r="C1448" i="18" s="1"/>
  <c r="B1443" i="18"/>
  <c r="A1424" i="18"/>
  <c r="C1424" i="18" s="1"/>
  <c r="B1419" i="18"/>
  <c r="B1409" i="18"/>
  <c r="A1390" i="18"/>
  <c r="C1390" i="18" s="1"/>
  <c r="B1385" i="18"/>
  <c r="A1376" i="18"/>
  <c r="C1376" i="18" s="1"/>
  <c r="B1362" i="18"/>
  <c r="A1353" i="18"/>
  <c r="C1353" i="18" s="1"/>
  <c r="A1339" i="18"/>
  <c r="C1339" i="18" s="1"/>
  <c r="B1325" i="18"/>
  <c r="A1316" i="18"/>
  <c r="C1316" i="18" s="1"/>
  <c r="B1302" i="18"/>
  <c r="A1293" i="18"/>
  <c r="C1293" i="18" s="1"/>
  <c r="B1279" i="18"/>
  <c r="A1270" i="18"/>
  <c r="C1270" i="18" s="1"/>
  <c r="B1256" i="18"/>
  <c r="A1247" i="18"/>
  <c r="C1247" i="18" s="1"/>
  <c r="B1242" i="18"/>
  <c r="A1233" i="18"/>
  <c r="C1233" i="18" s="1"/>
  <c r="B1219" i="18"/>
  <c r="A1210" i="18"/>
  <c r="C1210" i="18" s="1"/>
  <c r="B1196" i="18"/>
  <c r="A1187" i="18"/>
  <c r="C1187" i="18" s="1"/>
  <c r="B1173" i="18"/>
  <c r="A1164" i="18"/>
  <c r="C1164" i="18" s="1"/>
  <c r="B1150" i="18"/>
  <c r="B1136" i="18"/>
  <c r="A1127" i="18"/>
  <c r="C1127" i="18" s="1"/>
  <c r="B1113" i="18"/>
  <c r="A1104" i="18"/>
  <c r="C1104" i="18" s="1"/>
  <c r="B1090" i="18"/>
  <c r="A1081" i="18"/>
  <c r="C1081" i="18" s="1"/>
  <c r="B1067" i="18"/>
  <c r="A1058" i="18"/>
  <c r="C1058" i="18" s="1"/>
  <c r="A1044" i="18"/>
  <c r="C1044" i="18" s="1"/>
  <c r="B1030" i="18"/>
  <c r="A1021" i="18"/>
  <c r="C1021" i="18" s="1"/>
  <c r="B1007" i="18"/>
  <c r="A998" i="18"/>
  <c r="C998" i="18" s="1"/>
  <c r="B984" i="18"/>
  <c r="A975" i="18"/>
  <c r="C975" i="18" s="1"/>
  <c r="B961" i="18"/>
  <c r="B947" i="18"/>
  <c r="A938" i="18"/>
  <c r="C938" i="18" s="1"/>
  <c r="B924" i="18"/>
  <c r="A915" i="18"/>
  <c r="C915" i="18" s="1"/>
  <c r="B901" i="18"/>
  <c r="A892" i="18"/>
  <c r="C892" i="18" s="1"/>
  <c r="B878" i="18"/>
  <c r="A869" i="18"/>
  <c r="C869" i="18" s="1"/>
  <c r="A855" i="18"/>
  <c r="C855" i="18" s="1"/>
  <c r="B841" i="18"/>
  <c r="A832" i="18"/>
  <c r="C832" i="18" s="1"/>
  <c r="B818" i="18"/>
  <c r="A809" i="18"/>
  <c r="C809" i="18" s="1"/>
  <c r="B795" i="18"/>
  <c r="A786" i="18"/>
  <c r="C786" i="18" s="1"/>
  <c r="B772" i="18"/>
  <c r="A763" i="18"/>
  <c r="C763" i="18" s="1"/>
  <c r="B758" i="18"/>
  <c r="A749" i="18"/>
  <c r="C749" i="18" s="1"/>
  <c r="B735" i="18"/>
  <c r="A726" i="18"/>
  <c r="C726" i="18" s="1"/>
  <c r="B712" i="18"/>
  <c r="A703" i="18"/>
  <c r="C703" i="18" s="1"/>
  <c r="B689" i="18"/>
  <c r="A680" i="18"/>
  <c r="C680" i="18" s="1"/>
  <c r="B666" i="18"/>
  <c r="A657" i="18"/>
  <c r="C657" i="18" s="1"/>
  <c r="B648" i="18"/>
  <c r="A635" i="18"/>
  <c r="C635" i="18" s="1"/>
  <c r="B626" i="18"/>
  <c r="A613" i="18"/>
  <c r="C613" i="18" s="1"/>
  <c r="B604" i="18"/>
  <c r="A591" i="18"/>
  <c r="C591" i="18" s="1"/>
  <c r="B582" i="18"/>
  <c r="A569" i="18"/>
  <c r="C569" i="18" s="1"/>
  <c r="B560" i="18"/>
  <c r="A547" i="18"/>
  <c r="C547" i="18" s="1"/>
  <c r="B538" i="18"/>
  <c r="A1989" i="18"/>
  <c r="C1989" i="18" s="1"/>
  <c r="A1981" i="18"/>
  <c r="C1981" i="18" s="1"/>
  <c r="A1960" i="18"/>
  <c r="C1960" i="18" s="1"/>
  <c r="B1952" i="18"/>
  <c r="A1939" i="18"/>
  <c r="C1939" i="18" s="1"/>
  <c r="B1931" i="18"/>
  <c r="A1840" i="18"/>
  <c r="C1840" i="18" s="1"/>
  <c r="A1834" i="18"/>
  <c r="C1834" i="18" s="1"/>
  <c r="A1821" i="18"/>
  <c r="C1821" i="18" s="1"/>
  <c r="B1756" i="18"/>
  <c r="B1750" i="18"/>
  <c r="B1744" i="18"/>
  <c r="A1701" i="18"/>
  <c r="C1701" i="18" s="1"/>
  <c r="B1695" i="18"/>
  <c r="A1683" i="18"/>
  <c r="C1683" i="18" s="1"/>
  <c r="B1677" i="18"/>
  <c r="A1660" i="18"/>
  <c r="C1660" i="18" s="1"/>
  <c r="B1648" i="18"/>
  <c r="B1637" i="18"/>
  <c r="A1615" i="18"/>
  <c r="C1615" i="18" s="1"/>
  <c r="B1609" i="18"/>
  <c r="A1598" i="18"/>
  <c r="C1598" i="18" s="1"/>
  <c r="B1587" i="18"/>
  <c r="A1570" i="18"/>
  <c r="C1570" i="18" s="1"/>
  <c r="A1559" i="18"/>
  <c r="C1559" i="18" s="1"/>
  <c r="B1532" i="18"/>
  <c r="A1527" i="18"/>
  <c r="C1527" i="18" s="1"/>
  <c r="A1511" i="18"/>
  <c r="C1511" i="18" s="1"/>
  <c r="A1496" i="18"/>
  <c r="C1496" i="18" s="1"/>
  <c r="B1491" i="18"/>
  <c r="A1472" i="18"/>
  <c r="C1472" i="18" s="1"/>
  <c r="B1467" i="18"/>
  <c r="A1462" i="18"/>
  <c r="C1462" i="18" s="1"/>
  <c r="B1457" i="18"/>
  <c r="A1438" i="18"/>
  <c r="C1438" i="18" s="1"/>
  <c r="B1433" i="18"/>
  <c r="A1404" i="18"/>
  <c r="C1404" i="18" s="1"/>
  <c r="B1399" i="18"/>
  <c r="B1380" i="18"/>
  <c r="A1371" i="18"/>
  <c r="C1371" i="18" s="1"/>
  <c r="B1357" i="18"/>
  <c r="B1343" i="18"/>
  <c r="A1334" i="18"/>
  <c r="C1334" i="18" s="1"/>
  <c r="B1320" i="18"/>
  <c r="A1311" i="18"/>
  <c r="C1311" i="18" s="1"/>
  <c r="B1297" i="18"/>
  <c r="A1288" i="18"/>
  <c r="C1288" i="18" s="1"/>
  <c r="B1274" i="18"/>
  <c r="A1265" i="18"/>
  <c r="C1265" i="18" s="1"/>
  <c r="A1251" i="18"/>
  <c r="C1251" i="18" s="1"/>
  <c r="B1237" i="18"/>
  <c r="A1228" i="18"/>
  <c r="C1228" i="18" s="1"/>
  <c r="B1214" i="18"/>
  <c r="A1205" i="18"/>
  <c r="C1205" i="18" s="1"/>
  <c r="B1191" i="18"/>
  <c r="A1182" i="18"/>
  <c r="C1182" i="18" s="1"/>
  <c r="B1168" i="18"/>
  <c r="A1159" i="18"/>
  <c r="C1159" i="18" s="1"/>
  <c r="B1154" i="18"/>
  <c r="A1145" i="18"/>
  <c r="C1145" i="18" s="1"/>
  <c r="B1131" i="18"/>
  <c r="A1122" i="18"/>
  <c r="C1122" i="18" s="1"/>
  <c r="B1108" i="18"/>
  <c r="A1099" i="18"/>
  <c r="C1099" i="18" s="1"/>
  <c r="B1085" i="18"/>
  <c r="A1076" i="18"/>
  <c r="C1076" i="18" s="1"/>
  <c r="B1062" i="18"/>
  <c r="B1048" i="18"/>
  <c r="A1039" i="18"/>
  <c r="C1039" i="18" s="1"/>
  <c r="B1025" i="18"/>
  <c r="A1016" i="18"/>
  <c r="C1016" i="18" s="1"/>
  <c r="B1002" i="18"/>
  <c r="A993" i="18"/>
  <c r="C993" i="18" s="1"/>
  <c r="B979" i="18"/>
  <c r="A970" i="18"/>
  <c r="C970" i="18" s="1"/>
  <c r="A956" i="18"/>
  <c r="C956" i="18" s="1"/>
  <c r="B942" i="18"/>
  <c r="A933" i="18"/>
  <c r="C933" i="18" s="1"/>
  <c r="B919" i="18"/>
  <c r="A910" i="18"/>
  <c r="C910" i="18" s="1"/>
  <c r="B896" i="18"/>
  <c r="A887" i="18"/>
  <c r="C887" i="18" s="1"/>
  <c r="B873" i="18"/>
  <c r="B859" i="18"/>
  <c r="A850" i="18"/>
  <c r="C850" i="18" s="1"/>
  <c r="B836" i="18"/>
  <c r="A827" i="18"/>
  <c r="C827" i="18" s="1"/>
  <c r="B813" i="18"/>
  <c r="A804" i="18"/>
  <c r="C804" i="18" s="1"/>
  <c r="B790" i="18"/>
  <c r="A781" i="18"/>
  <c r="C781" i="18" s="1"/>
  <c r="A767" i="18"/>
  <c r="C767" i="18" s="1"/>
  <c r="B753" i="18"/>
  <c r="A744" i="18"/>
  <c r="C744" i="18" s="1"/>
  <c r="B730" i="18"/>
  <c r="A721" i="18"/>
  <c r="C721" i="18" s="1"/>
  <c r="B707" i="18"/>
  <c r="A698" i="18"/>
  <c r="C698" i="18" s="1"/>
  <c r="B684" i="18"/>
  <c r="A675" i="18"/>
  <c r="C675" i="18" s="1"/>
  <c r="B670" i="18"/>
  <c r="A661" i="18"/>
  <c r="C661" i="18" s="1"/>
  <c r="B652" i="18"/>
  <c r="A639" i="18"/>
  <c r="C639" i="18" s="1"/>
  <c r="B630" i="18"/>
  <c r="A617" i="18"/>
  <c r="C617" i="18" s="1"/>
  <c r="B608" i="18"/>
  <c r="A595" i="18"/>
  <c r="C595" i="18" s="1"/>
  <c r="B586" i="18"/>
  <c r="A2014" i="18"/>
  <c r="C2014" i="18" s="1"/>
  <c r="B1998" i="18"/>
  <c r="B1983" i="18"/>
  <c r="A1967" i="18"/>
  <c r="C1967" i="18" s="1"/>
  <c r="A1936" i="18"/>
  <c r="C1936" i="18" s="1"/>
  <c r="B1905" i="18"/>
  <c r="A1881" i="18"/>
  <c r="C1881" i="18" s="1"/>
  <c r="A1866" i="18"/>
  <c r="C1866" i="18" s="1"/>
  <c r="A1850" i="18"/>
  <c r="C1850" i="18" s="1"/>
  <c r="B1836" i="18"/>
  <c r="A1829" i="18"/>
  <c r="C1829" i="18" s="1"/>
  <c r="A1822" i="18"/>
  <c r="C1822" i="18" s="1"/>
  <c r="A1815" i="18"/>
  <c r="C1815" i="18" s="1"/>
  <c r="B1807" i="18"/>
  <c r="A1800" i="18"/>
  <c r="C1800" i="18" s="1"/>
  <c r="A1779" i="18"/>
  <c r="C1779" i="18" s="1"/>
  <c r="A1772" i="18"/>
  <c r="C1772" i="18" s="1"/>
  <c r="B1751" i="18"/>
  <c r="A1738" i="18"/>
  <c r="C1738" i="18" s="1"/>
  <c r="B1724" i="18"/>
  <c r="A1711" i="18"/>
  <c r="C1711" i="18" s="1"/>
  <c r="A1697" i="18"/>
  <c r="C1697" i="18" s="1"/>
  <c r="A1671" i="18"/>
  <c r="C1671" i="18" s="1"/>
  <c r="A1646" i="18"/>
  <c r="C1646" i="18" s="1"/>
  <c r="B1640" i="18"/>
  <c r="B1590" i="18"/>
  <c r="B1584" i="18"/>
  <c r="A1560" i="18"/>
  <c r="C1560" i="18" s="1"/>
  <c r="A1554" i="18"/>
  <c r="C1554" i="18" s="1"/>
  <c r="B1536" i="18"/>
  <c r="B1524" i="18"/>
  <c r="A1513" i="18"/>
  <c r="C1513" i="18" s="1"/>
  <c r="B1496" i="18"/>
  <c r="B1459" i="18"/>
  <c r="A1454" i="18"/>
  <c r="C1454" i="18" s="1"/>
  <c r="A1443" i="18"/>
  <c r="C1443" i="18" s="1"/>
  <c r="B1411" i="18"/>
  <c r="A1406" i="18"/>
  <c r="C1406" i="18" s="1"/>
  <c r="B1395" i="18"/>
  <c r="B1374" i="18"/>
  <c r="B1369" i="18"/>
  <c r="B1364" i="18"/>
  <c r="B1359" i="18"/>
  <c r="B1354" i="18"/>
  <c r="B1349" i="18"/>
  <c r="B1344" i="18"/>
  <c r="B1288" i="18"/>
  <c r="A1283" i="18"/>
  <c r="C1283" i="18" s="1"/>
  <c r="A1278" i="18"/>
  <c r="C1278" i="18" s="1"/>
  <c r="B1232" i="18"/>
  <c r="B1227" i="18"/>
  <c r="B1222" i="18"/>
  <c r="B1217" i="18"/>
  <c r="B1212" i="18"/>
  <c r="A1207" i="18"/>
  <c r="C1207" i="18" s="1"/>
  <c r="A1202" i="18"/>
  <c r="C1202" i="18" s="1"/>
  <c r="A1197" i="18"/>
  <c r="C1197" i="18" s="1"/>
  <c r="A1192" i="18"/>
  <c r="C1192" i="18" s="1"/>
  <c r="A1136" i="18"/>
  <c r="C1136" i="18" s="1"/>
  <c r="B1080" i="18"/>
  <c r="A1075" i="18"/>
  <c r="C1075" i="18" s="1"/>
  <c r="A1070" i="18"/>
  <c r="C1070" i="18" s="1"/>
  <c r="A1065" i="18"/>
  <c r="C1065" i="18" s="1"/>
  <c r="A1060" i="18"/>
  <c r="C1060" i="18" s="1"/>
  <c r="A1055" i="18"/>
  <c r="C1055" i="18" s="1"/>
  <c r="A1050" i="18"/>
  <c r="C1050" i="18" s="1"/>
  <c r="A1045" i="18"/>
  <c r="C1045" i="18" s="1"/>
  <c r="B1004" i="18"/>
  <c r="B999" i="18"/>
  <c r="B994" i="18"/>
  <c r="B989" i="18"/>
  <c r="A984" i="18"/>
  <c r="C984" i="18" s="1"/>
  <c r="B933" i="18"/>
  <c r="A928" i="18"/>
  <c r="C928" i="18" s="1"/>
  <c r="A923" i="18"/>
  <c r="C923" i="18" s="1"/>
  <c r="A918" i="18"/>
  <c r="C918" i="18" s="1"/>
  <c r="A913" i="18"/>
  <c r="C913" i="18" s="1"/>
  <c r="B872" i="18"/>
  <c r="B867" i="18"/>
  <c r="B862" i="18"/>
  <c r="B857" i="18"/>
  <c r="B852" i="18"/>
  <c r="B847" i="18"/>
  <c r="B842" i="18"/>
  <c r="A837" i="18"/>
  <c r="C837" i="18" s="1"/>
  <c r="B781" i="18"/>
  <c r="B725" i="18"/>
  <c r="B720" i="18"/>
  <c r="B715" i="18"/>
  <c r="B710" i="18"/>
  <c r="A705" i="18"/>
  <c r="C705" i="18" s="1"/>
  <c r="A700" i="18"/>
  <c r="C700" i="18" s="1"/>
  <c r="A695" i="18"/>
  <c r="C695" i="18" s="1"/>
  <c r="A690" i="18"/>
  <c r="C690" i="18" s="1"/>
  <c r="A685" i="18"/>
  <c r="C685" i="18" s="1"/>
  <c r="A645" i="18"/>
  <c r="C645" i="18" s="1"/>
  <c r="B640" i="18"/>
  <c r="A611" i="18"/>
  <c r="C611" i="18" s="1"/>
  <c r="B606" i="18"/>
  <c r="A587" i="18"/>
  <c r="C587" i="18" s="1"/>
  <c r="A582" i="18"/>
  <c r="C582" i="18" s="1"/>
  <c r="A577" i="18"/>
  <c r="C577" i="18" s="1"/>
  <c r="B563" i="18"/>
  <c r="A554" i="18"/>
  <c r="C554" i="18" s="1"/>
  <c r="A1959" i="18"/>
  <c r="C1959" i="18" s="1"/>
  <c r="B1951" i="18"/>
  <c r="B1943" i="18"/>
  <c r="B1935" i="18"/>
  <c r="B1928" i="18"/>
  <c r="B1897" i="18"/>
  <c r="B1873" i="18"/>
  <c r="A1836" i="18"/>
  <c r="C1836" i="18" s="1"/>
  <c r="B1793" i="18"/>
  <c r="B1786" i="18"/>
  <c r="B1765" i="18"/>
  <c r="B1758" i="18"/>
  <c r="A1751" i="18"/>
  <c r="C1751" i="18" s="1"/>
  <c r="A1744" i="18"/>
  <c r="C1744" i="18" s="1"/>
  <c r="B1730" i="18"/>
  <c r="A1717" i="18"/>
  <c r="C1717" i="18" s="1"/>
  <c r="A1677" i="18"/>
  <c r="C1677" i="18" s="1"/>
  <c r="A1640" i="18"/>
  <c r="C1640" i="18" s="1"/>
  <c r="B1633" i="18"/>
  <c r="A1590" i="18"/>
  <c r="C1590" i="18" s="1"/>
  <c r="A1584" i="18"/>
  <c r="C1584" i="18" s="1"/>
  <c r="B1578" i="18"/>
  <c r="B1572" i="18"/>
  <c r="B1547" i="18"/>
  <c r="A1536" i="18"/>
  <c r="C1536" i="18" s="1"/>
  <c r="B1530" i="18"/>
  <c r="A1524" i="18"/>
  <c r="C1524" i="18" s="1"/>
  <c r="B1507" i="18"/>
  <c r="B1480" i="18"/>
  <c r="B1464" i="18"/>
  <c r="A1459" i="18"/>
  <c r="C1459" i="18" s="1"/>
  <c r="B1448" i="18"/>
  <c r="B1432" i="18"/>
  <c r="B1416" i="18"/>
  <c r="A1411" i="18"/>
  <c r="C1411" i="18" s="1"/>
  <c r="B1400" i="18"/>
  <c r="A1395" i="18"/>
  <c r="C1395" i="18" s="1"/>
  <c r="B1384" i="18"/>
  <c r="B1379" i="18"/>
  <c r="A1374" i="18"/>
  <c r="C1374" i="18" s="1"/>
  <c r="A1369" i="18"/>
  <c r="C1369" i="18" s="1"/>
  <c r="A1364" i="18"/>
  <c r="C1364" i="18" s="1"/>
  <c r="A1359" i="18"/>
  <c r="C1359" i="18" s="1"/>
  <c r="A1354" i="18"/>
  <c r="C1354" i="18" s="1"/>
  <c r="A1349" i="18"/>
  <c r="C1349" i="18" s="1"/>
  <c r="A1344" i="18"/>
  <c r="C1344" i="18" s="1"/>
  <c r="B1308" i="18"/>
  <c r="B1303" i="18"/>
  <c r="B1298" i="18"/>
  <c r="B1293" i="18"/>
  <c r="A1237" i="18"/>
  <c r="C1237" i="18" s="1"/>
  <c r="A1232" i="18"/>
  <c r="C1232" i="18" s="1"/>
  <c r="A1227" i="18"/>
  <c r="C1227" i="18" s="1"/>
  <c r="A1222" i="18"/>
  <c r="C1222" i="18" s="1"/>
  <c r="A1217" i="18"/>
  <c r="C1217" i="18" s="1"/>
  <c r="A1212" i="18"/>
  <c r="C1212" i="18" s="1"/>
  <c r="B1176" i="18"/>
  <c r="B1171" i="18"/>
  <c r="B1166" i="18"/>
  <c r="B1161" i="18"/>
  <c r="B1156" i="18"/>
  <c r="B1151" i="18"/>
  <c r="B1146" i="18"/>
  <c r="A1141" i="18"/>
  <c r="C1141" i="18" s="1"/>
  <c r="A1085" i="18"/>
  <c r="C1085" i="18" s="1"/>
  <c r="A1080" i="18"/>
  <c r="C1080" i="18" s="1"/>
  <c r="B1034" i="18"/>
  <c r="B1029" i="18"/>
  <c r="B1024" i="18"/>
  <c r="B1019" i="18"/>
  <c r="B1014" i="18"/>
  <c r="A1009" i="18"/>
  <c r="C1009" i="18" s="1"/>
  <c r="A1004" i="18"/>
  <c r="C1004" i="18" s="1"/>
  <c r="A999" i="18"/>
  <c r="C999" i="18" s="1"/>
  <c r="A994" i="18"/>
  <c r="C994" i="18" s="1"/>
  <c r="A989" i="18"/>
  <c r="C989" i="18" s="1"/>
  <c r="B938" i="18"/>
  <c r="B882" i="18"/>
  <c r="A877" i="18"/>
  <c r="C877" i="18" s="1"/>
  <c r="A872" i="18"/>
  <c r="C872" i="18" s="1"/>
  <c r="A867" i="18"/>
  <c r="C867" i="18" s="1"/>
  <c r="A862" i="18"/>
  <c r="C862" i="18" s="1"/>
  <c r="A857" i="18"/>
  <c r="C857" i="18" s="1"/>
  <c r="A852" i="18"/>
  <c r="C852" i="18" s="1"/>
  <c r="A847" i="18"/>
  <c r="C847" i="18" s="1"/>
  <c r="B806" i="18"/>
  <c r="B801" i="18"/>
  <c r="B796" i="18"/>
  <c r="B791" i="18"/>
  <c r="B786" i="18"/>
  <c r="A730" i="18"/>
  <c r="C730" i="18" s="1"/>
  <c r="A725" i="18"/>
  <c r="C725" i="18" s="1"/>
  <c r="A720" i="18"/>
  <c r="C720" i="18" s="1"/>
  <c r="A715" i="18"/>
  <c r="C715" i="18" s="1"/>
  <c r="B674" i="18"/>
  <c r="B669" i="18"/>
  <c r="B664" i="18"/>
  <c r="B659" i="18"/>
  <c r="A640" i="18"/>
  <c r="C640" i="18" s="1"/>
  <c r="B635" i="18"/>
  <c r="A630" i="18"/>
  <c r="C630" i="18" s="1"/>
  <c r="B625" i="18"/>
  <c r="B1973" i="18"/>
  <c r="A1958" i="18"/>
  <c r="C1958" i="18" s="1"/>
  <c r="A1950" i="18"/>
  <c r="C1950" i="18" s="1"/>
  <c r="B1942" i="18"/>
  <c r="B1927" i="18"/>
  <c r="A1919" i="18"/>
  <c r="C1919" i="18" s="1"/>
  <c r="B1911" i="18"/>
  <c r="B1849" i="18"/>
  <c r="A1842" i="18"/>
  <c r="C1842" i="18" s="1"/>
  <c r="B1806" i="18"/>
  <c r="B1799" i="18"/>
  <c r="B1778" i="18"/>
  <c r="A1771" i="18"/>
  <c r="C1771" i="18" s="1"/>
  <c r="B1736" i="18"/>
  <c r="A1723" i="18"/>
  <c r="C1723" i="18" s="1"/>
  <c r="B1709" i="18"/>
  <c r="A1696" i="18"/>
  <c r="C1696" i="18" s="1"/>
  <c r="A1670" i="18"/>
  <c r="C1670" i="18" s="1"/>
  <c r="A1657" i="18"/>
  <c r="C1657" i="18" s="1"/>
  <c r="A1651" i="18"/>
  <c r="C1651" i="18" s="1"/>
  <c r="B1645" i="18"/>
  <c r="B1620" i="18"/>
  <c r="A1571" i="18"/>
  <c r="C1571" i="18" s="1"/>
  <c r="A1553" i="18"/>
  <c r="C1553" i="18" s="1"/>
  <c r="A1541" i="18"/>
  <c r="C1541" i="18" s="1"/>
  <c r="A1512" i="18"/>
  <c r="C1512" i="18" s="1"/>
  <c r="B1495" i="18"/>
  <c r="A1490" i="18"/>
  <c r="C1490" i="18" s="1"/>
  <c r="B1479" i="18"/>
  <c r="A1474" i="18"/>
  <c r="C1474" i="18" s="1"/>
  <c r="B1447" i="18"/>
  <c r="A1442" i="18"/>
  <c r="C1442" i="18" s="1"/>
  <c r="B1431" i="18"/>
  <c r="A1426" i="18"/>
  <c r="C1426" i="18" s="1"/>
  <c r="A1394" i="18"/>
  <c r="C1394" i="18" s="1"/>
  <c r="B1348" i="18"/>
  <c r="B1292" i="18"/>
  <c r="B1287" i="18"/>
  <c r="B1282" i="18"/>
  <c r="A1277" i="18"/>
  <c r="C1277" i="18" s="1"/>
  <c r="A1272" i="18"/>
  <c r="C1272" i="18" s="1"/>
  <c r="A1267" i="18"/>
  <c r="C1267" i="18" s="1"/>
  <c r="A1262" i="18"/>
  <c r="C1262" i="18" s="1"/>
  <c r="A1257" i="18"/>
  <c r="C1257" i="18" s="1"/>
  <c r="A1252" i="18"/>
  <c r="C1252" i="18" s="1"/>
  <c r="B1211" i="18"/>
  <c r="B1206" i="18"/>
  <c r="B1201" i="18"/>
  <c r="A1196" i="18"/>
  <c r="C1196" i="18" s="1"/>
  <c r="B1145" i="18"/>
  <c r="A1140" i="18"/>
  <c r="C1140" i="18" s="1"/>
  <c r="A1135" i="18"/>
  <c r="C1135" i="18" s="1"/>
  <c r="A1130" i="18"/>
  <c r="C1130" i="18" s="1"/>
  <c r="A1125" i="18"/>
  <c r="C1125" i="18" s="1"/>
  <c r="A1120" i="18"/>
  <c r="C1120" i="18" s="1"/>
  <c r="A1115" i="18"/>
  <c r="C1115" i="18" s="1"/>
  <c r="B1079" i="18"/>
  <c r="B1074" i="18"/>
  <c r="B1069" i="18"/>
  <c r="B1064" i="18"/>
  <c r="B1059" i="18"/>
  <c r="B1054" i="18"/>
  <c r="B1049" i="18"/>
  <c r="B993" i="18"/>
  <c r="A988" i="18"/>
  <c r="C988" i="18" s="1"/>
  <c r="A983" i="18"/>
  <c r="C983" i="18" s="1"/>
  <c r="B937" i="18"/>
  <c r="B932" i="18"/>
  <c r="B927" i="18"/>
  <c r="B922" i="18"/>
  <c r="B917" i="18"/>
  <c r="A912" i="18"/>
  <c r="C912" i="18" s="1"/>
  <c r="A907" i="18"/>
  <c r="C907" i="18" s="1"/>
  <c r="A902" i="18"/>
  <c r="C902" i="18" s="1"/>
  <c r="A897" i="18"/>
  <c r="C897" i="18" s="1"/>
  <c r="B846" i="18"/>
  <c r="A841" i="18"/>
  <c r="C841" i="18" s="1"/>
  <c r="B785" i="18"/>
  <c r="A780" i="18"/>
  <c r="C780" i="18" s="1"/>
  <c r="A775" i="18"/>
  <c r="C775" i="18" s="1"/>
  <c r="A770" i="18"/>
  <c r="C770" i="18" s="1"/>
  <c r="A765" i="18"/>
  <c r="C765" i="18" s="1"/>
  <c r="A760" i="18"/>
  <c r="C760" i="18" s="1"/>
  <c r="A755" i="18"/>
  <c r="C755" i="18" s="1"/>
  <c r="A750" i="18"/>
  <c r="C750" i="18" s="1"/>
  <c r="B714" i="18"/>
  <c r="B709" i="18"/>
  <c r="B704" i="18"/>
  <c r="B699" i="18"/>
  <c r="B694" i="18"/>
  <c r="A689" i="18"/>
  <c r="C689" i="18" s="1"/>
  <c r="A649" i="18"/>
  <c r="C649" i="18" s="1"/>
  <c r="B644" i="18"/>
  <c r="B639" i="18"/>
  <c r="B634" i="18"/>
  <c r="A615" i="18"/>
  <c r="C615" i="18" s="1"/>
  <c r="B610" i="18"/>
  <c r="A581" i="18"/>
  <c r="C581" i="18" s="1"/>
  <c r="B576" i="18"/>
  <c r="A567" i="18"/>
  <c r="C567" i="18" s="1"/>
  <c r="B553" i="18"/>
  <c r="A544" i="18"/>
  <c r="C544" i="18" s="1"/>
  <c r="A526" i="18"/>
  <c r="C526" i="18" s="1"/>
  <c r="B517" i="18"/>
  <c r="A504" i="18"/>
  <c r="C504" i="18" s="1"/>
  <c r="B495" i="18"/>
  <c r="A482" i="18"/>
  <c r="C482" i="18" s="1"/>
  <c r="B473" i="18"/>
  <c r="A460" i="18"/>
  <c r="C460" i="18" s="1"/>
  <c r="B451" i="18"/>
  <c r="A438" i="18"/>
  <c r="C438" i="18" s="1"/>
  <c r="B429" i="18"/>
  <c r="A416" i="18"/>
  <c r="C416" i="18" s="1"/>
  <c r="B407" i="18"/>
  <c r="A394" i="18"/>
  <c r="C394" i="18" s="1"/>
  <c r="B385" i="18"/>
  <c r="A372" i="18"/>
  <c r="C372" i="18" s="1"/>
  <c r="A1999" i="18"/>
  <c r="C1999" i="18" s="1"/>
  <c r="A1990" i="18"/>
  <c r="C1990" i="18" s="1"/>
  <c r="A1980" i="18"/>
  <c r="C1980" i="18" s="1"/>
  <c r="B1945" i="18"/>
  <c r="A1935" i="18"/>
  <c r="C1935" i="18" s="1"/>
  <c r="B1899" i="18"/>
  <c r="B1881" i="18"/>
  <c r="A1863" i="18"/>
  <c r="C1863" i="18" s="1"/>
  <c r="B1845" i="18"/>
  <c r="A1838" i="18"/>
  <c r="C1838" i="18" s="1"/>
  <c r="B1788" i="18"/>
  <c r="B1763" i="18"/>
  <c r="B1755" i="18"/>
  <c r="A1748" i="18"/>
  <c r="C1748" i="18" s="1"/>
  <c r="B1732" i="18"/>
  <c r="B1716" i="18"/>
  <c r="B1678" i="18"/>
  <c r="B1670" i="18"/>
  <c r="A1648" i="18"/>
  <c r="C1648" i="18" s="1"/>
  <c r="B1627" i="18"/>
  <c r="B1619" i="18"/>
  <c r="A1606" i="18"/>
  <c r="C1606" i="18" s="1"/>
  <c r="B1577" i="18"/>
  <c r="A1563" i="18"/>
  <c r="C1563" i="18" s="1"/>
  <c r="B1542" i="18"/>
  <c r="A1522" i="18"/>
  <c r="C1522" i="18" s="1"/>
  <c r="B1465" i="18"/>
  <c r="B1452" i="18"/>
  <c r="B1428" i="18"/>
  <c r="A1422" i="18"/>
  <c r="C1422" i="18" s="1"/>
  <c r="B1403" i="18"/>
  <c r="B1391" i="18"/>
  <c r="A1379" i="18"/>
  <c r="C1379" i="18" s="1"/>
  <c r="A1373" i="18"/>
  <c r="C1373" i="18" s="1"/>
  <c r="A1350" i="18"/>
  <c r="C1350" i="18" s="1"/>
  <c r="A1332" i="18"/>
  <c r="C1332" i="18" s="1"/>
  <c r="A1309" i="18"/>
  <c r="C1309" i="18" s="1"/>
  <c r="A1291" i="18"/>
  <c r="C1291" i="18" s="1"/>
  <c r="B1285" i="18"/>
  <c r="B1244" i="18"/>
  <c r="B1226" i="18"/>
  <c r="B1203" i="18"/>
  <c r="A1191" i="18"/>
  <c r="C1191" i="18" s="1"/>
  <c r="A1185" i="18"/>
  <c r="C1185" i="18" s="1"/>
  <c r="A1162" i="18"/>
  <c r="C1162" i="18" s="1"/>
  <c r="A1156" i="18"/>
  <c r="C1156" i="18" s="1"/>
  <c r="A1144" i="18"/>
  <c r="C1144" i="18" s="1"/>
  <c r="A1121" i="18"/>
  <c r="C1121" i="18" s="1"/>
  <c r="A1109" i="18"/>
  <c r="C1109" i="18" s="1"/>
  <c r="A1103" i="18"/>
  <c r="C1103" i="18" s="1"/>
  <c r="A1086" i="18"/>
  <c r="C1086" i="18" s="1"/>
  <c r="A1068" i="18"/>
  <c r="C1068" i="18" s="1"/>
  <c r="B1056" i="18"/>
  <c r="B1038" i="18"/>
  <c r="A1027" i="18"/>
  <c r="C1027" i="18" s="1"/>
  <c r="B1021" i="18"/>
  <c r="B1015" i="18"/>
  <c r="B1003" i="18"/>
  <c r="B997" i="18"/>
  <c r="B980" i="18"/>
  <c r="B974" i="18"/>
  <c r="A968" i="18"/>
  <c r="C968" i="18" s="1"/>
  <c r="B962" i="18"/>
  <c r="B956" i="18"/>
  <c r="B939" i="18"/>
  <c r="A921" i="18"/>
  <c r="C921" i="18" s="1"/>
  <c r="A898" i="18"/>
  <c r="C898" i="18" s="1"/>
  <c r="A880" i="18"/>
  <c r="C880" i="18" s="1"/>
  <c r="B868" i="18"/>
  <c r="A839" i="18"/>
  <c r="C839" i="18" s="1"/>
  <c r="B821" i="18"/>
  <c r="B815" i="18"/>
  <c r="B792" i="18"/>
  <c r="B774" i="18"/>
  <c r="B751" i="18"/>
  <c r="A745" i="18"/>
  <c r="C745" i="18" s="1"/>
  <c r="B733" i="18"/>
  <c r="A692" i="18"/>
  <c r="C692" i="18" s="1"/>
  <c r="B657" i="18"/>
  <c r="A646" i="18"/>
  <c r="C646" i="18" s="1"/>
  <c r="A618" i="18"/>
  <c r="C618" i="18" s="1"/>
  <c r="B612" i="18"/>
  <c r="B596" i="18"/>
  <c r="B585" i="18"/>
  <c r="A580" i="18"/>
  <c r="C580" i="18" s="1"/>
  <c r="A540" i="18"/>
  <c r="C540" i="18" s="1"/>
  <c r="B535" i="18"/>
  <c r="B521" i="18"/>
  <c r="A512" i="18"/>
  <c r="C512" i="18" s="1"/>
  <c r="B498" i="18"/>
  <c r="A489" i="18"/>
  <c r="C489" i="18" s="1"/>
  <c r="B475" i="18"/>
  <c r="A466" i="18"/>
  <c r="C466" i="18" s="1"/>
  <c r="B452" i="18"/>
  <c r="A443" i="18"/>
  <c r="C443" i="18" s="1"/>
  <c r="A429" i="18"/>
  <c r="C429" i="18" s="1"/>
  <c r="B415" i="18"/>
  <c r="A406" i="18"/>
  <c r="C406" i="18" s="1"/>
  <c r="B392" i="18"/>
  <c r="A383" i="18"/>
  <c r="C383" i="18" s="1"/>
  <c r="B369" i="18"/>
  <c r="A356" i="18"/>
  <c r="C356" i="18" s="1"/>
  <c r="B347" i="18"/>
  <c r="A334" i="18"/>
  <c r="C334" i="18" s="1"/>
  <c r="B325" i="18"/>
  <c r="A312" i="18"/>
  <c r="C312" i="18" s="1"/>
  <c r="B303" i="18"/>
  <c r="A290" i="18"/>
  <c r="C290" i="18" s="1"/>
  <c r="B281" i="18"/>
  <c r="A268" i="18"/>
  <c r="C268" i="18" s="1"/>
  <c r="B259" i="18"/>
  <c r="A246" i="18"/>
  <c r="C246" i="18" s="1"/>
  <c r="B237" i="18"/>
  <c r="A224" i="18"/>
  <c r="C224" i="18" s="1"/>
  <c r="B215" i="18"/>
  <c r="B1989" i="18"/>
  <c r="B1979" i="18"/>
  <c r="B1971" i="18"/>
  <c r="B1925" i="18"/>
  <c r="B1916" i="18"/>
  <c r="A1880" i="18"/>
  <c r="C1880" i="18" s="1"/>
  <c r="A1820" i="18"/>
  <c r="C1820" i="18" s="1"/>
  <c r="A1804" i="18"/>
  <c r="C1804" i="18" s="1"/>
  <c r="A1762" i="18"/>
  <c r="C1762" i="18" s="1"/>
  <c r="B1747" i="18"/>
  <c r="B1723" i="18"/>
  <c r="A1700" i="18"/>
  <c r="C1700" i="18" s="1"/>
  <c r="B1692" i="18"/>
  <c r="A1662" i="18"/>
  <c r="C1662" i="18" s="1"/>
  <c r="B1655" i="18"/>
  <c r="A1641" i="18"/>
  <c r="C1641" i="18" s="1"/>
  <c r="B1626" i="18"/>
  <c r="B1612" i="18"/>
  <c r="B1569" i="18"/>
  <c r="B1549" i="18"/>
  <c r="A1535" i="18"/>
  <c r="C1535" i="18" s="1"/>
  <c r="A1528" i="18"/>
  <c r="C1528" i="18" s="1"/>
  <c r="B1521" i="18"/>
  <c r="B1508" i="18"/>
  <c r="B1502" i="18"/>
  <c r="A1495" i="18"/>
  <c r="C1495" i="18" s="1"/>
  <c r="B1489" i="18"/>
  <c r="A1483" i="18"/>
  <c r="C1483" i="18" s="1"/>
  <c r="A1477" i="18"/>
  <c r="C1477" i="18" s="1"/>
  <c r="A1446" i="18"/>
  <c r="C1446" i="18" s="1"/>
  <c r="A1434" i="18"/>
  <c r="C1434" i="18" s="1"/>
  <c r="B1421" i="18"/>
  <c r="B1415" i="18"/>
  <c r="A1397" i="18"/>
  <c r="C1397" i="18" s="1"/>
  <c r="B1378" i="18"/>
  <c r="A1367" i="18"/>
  <c r="C1367" i="18" s="1"/>
  <c r="B1355" i="18"/>
  <c r="A1343" i="18"/>
  <c r="C1343" i="18" s="1"/>
  <c r="B1337" i="18"/>
  <c r="B1314" i="18"/>
  <c r="A1308" i="18"/>
  <c r="C1308" i="18" s="1"/>
  <c r="A1302" i="18"/>
  <c r="C1302" i="18" s="1"/>
  <c r="B1296" i="18"/>
  <c r="A1279" i="18"/>
  <c r="C1279" i="18" s="1"/>
  <c r="A1273" i="18"/>
  <c r="C1273" i="18" s="1"/>
  <c r="B1261" i="18"/>
  <c r="A1255" i="18"/>
  <c r="C1255" i="18" s="1"/>
  <c r="B1238" i="18"/>
  <c r="A1220" i="18"/>
  <c r="C1220" i="18" s="1"/>
  <c r="A1214" i="18"/>
  <c r="C1214" i="18" s="1"/>
  <c r="A1179" i="18"/>
  <c r="C1179" i="18" s="1"/>
  <c r="B1167" i="18"/>
  <c r="B1149" i="18"/>
  <c r="A1138" i="18"/>
  <c r="C1138" i="18" s="1"/>
  <c r="B1132" i="18"/>
  <c r="B1126" i="18"/>
  <c r="B1120" i="18"/>
  <c r="B1114" i="18"/>
  <c r="B1091" i="18"/>
  <c r="B1073" i="18"/>
  <c r="B1050" i="18"/>
  <c r="B1032" i="18"/>
  <c r="A991" i="18"/>
  <c r="C991" i="18" s="1"/>
  <c r="B973" i="18"/>
  <c r="A950" i="18"/>
  <c r="C950" i="18" s="1"/>
  <c r="A932" i="18"/>
  <c r="C932" i="18" s="1"/>
  <c r="A909" i="18"/>
  <c r="C909" i="18" s="1"/>
  <c r="B903" i="18"/>
  <c r="B897" i="18"/>
  <c r="A891" i="18"/>
  <c r="C891" i="18" s="1"/>
  <c r="B885" i="18"/>
  <c r="A874" i="18"/>
  <c r="C874" i="18" s="1"/>
  <c r="A856" i="18"/>
  <c r="C856" i="18" s="1"/>
  <c r="B844" i="18"/>
  <c r="B809" i="18"/>
  <c r="B803" i="18"/>
  <c r="B768" i="18"/>
  <c r="A762" i="18"/>
  <c r="C762" i="18" s="1"/>
  <c r="B744" i="18"/>
  <c r="A727" i="18"/>
  <c r="C727" i="18" s="1"/>
  <c r="B721" i="18"/>
  <c r="A709" i="18"/>
  <c r="C709" i="18" s="1"/>
  <c r="A686" i="18"/>
  <c r="C686" i="18" s="1"/>
  <c r="A668" i="18"/>
  <c r="C668" i="18" s="1"/>
  <c r="A651" i="18"/>
  <c r="C651" i="18" s="1"/>
  <c r="A623" i="18"/>
  <c r="C623" i="18" s="1"/>
  <c r="A601" i="18"/>
  <c r="C601" i="18" s="1"/>
  <c r="A590" i="18"/>
  <c r="C590" i="18" s="1"/>
  <c r="B564" i="18"/>
  <c r="B559" i="18"/>
  <c r="B554" i="18"/>
  <c r="B549" i="18"/>
  <c r="A530" i="18"/>
  <c r="C530" i="18" s="1"/>
  <c r="B516" i="18"/>
  <c r="A507" i="18"/>
  <c r="C507" i="18" s="1"/>
  <c r="B493" i="18"/>
  <c r="A484" i="18"/>
  <c r="C484" i="18" s="1"/>
  <c r="B470" i="18"/>
  <c r="A461" i="18"/>
  <c r="C461" i="18" s="1"/>
  <c r="B447" i="18"/>
  <c r="B433" i="18"/>
  <c r="A424" i="18"/>
  <c r="C424" i="18" s="1"/>
  <c r="B410" i="18"/>
  <c r="A401" i="18"/>
  <c r="C401" i="18" s="1"/>
  <c r="B387" i="18"/>
  <c r="A378" i="18"/>
  <c r="C378" i="18" s="1"/>
  <c r="A360" i="18"/>
  <c r="C360" i="18" s="1"/>
  <c r="B351" i="18"/>
  <c r="A338" i="18"/>
  <c r="C338" i="18" s="1"/>
  <c r="B329" i="18"/>
  <c r="A316" i="18"/>
  <c r="C316" i="18" s="1"/>
  <c r="B307" i="18"/>
  <c r="A294" i="18"/>
  <c r="C294" i="18" s="1"/>
  <c r="B285" i="18"/>
  <c r="A272" i="18"/>
  <c r="C272" i="18" s="1"/>
  <c r="B263" i="18"/>
  <c r="A250" i="18"/>
  <c r="C250" i="18" s="1"/>
  <c r="B241" i="18"/>
  <c r="A228" i="18"/>
  <c r="C228" i="18" s="1"/>
  <c r="B219" i="18"/>
  <c r="A206" i="18"/>
  <c r="C206" i="18" s="1"/>
  <c r="B197" i="18"/>
  <c r="A184" i="18"/>
  <c r="C184" i="18" s="1"/>
  <c r="B175" i="18"/>
  <c r="A162" i="18"/>
  <c r="C162" i="18" s="1"/>
  <c r="B153" i="18"/>
  <c r="A140" i="18"/>
  <c r="C140" i="18" s="1"/>
  <c r="B131" i="18"/>
  <c r="A118" i="18"/>
  <c r="C118" i="18" s="1"/>
  <c r="B109" i="18"/>
  <c r="A96" i="18"/>
  <c r="C96" i="18" s="1"/>
  <c r="B87" i="18"/>
  <c r="A74" i="18"/>
  <c r="C74" i="18" s="1"/>
  <c r="B65" i="18"/>
  <c r="A52" i="18"/>
  <c r="C52" i="18" s="1"/>
  <c r="B43" i="18"/>
  <c r="A30" i="18"/>
  <c r="C30" i="18" s="1"/>
  <c r="B21" i="18"/>
  <c r="B2007" i="18"/>
  <c r="B1997" i="18"/>
  <c r="A1979" i="18"/>
  <c r="C1979" i="18" s="1"/>
  <c r="B1961" i="18"/>
  <c r="A1952" i="18"/>
  <c r="C1952" i="18" s="1"/>
  <c r="A1943" i="18"/>
  <c r="C1943" i="18" s="1"/>
  <c r="B1934" i="18"/>
  <c r="A1925" i="18"/>
  <c r="C1925" i="18" s="1"/>
  <c r="A1916" i="18"/>
  <c r="C1916" i="18" s="1"/>
  <c r="A1890" i="18"/>
  <c r="C1890" i="18" s="1"/>
  <c r="B1828" i="18"/>
  <c r="B1795" i="18"/>
  <c r="B1754" i="18"/>
  <c r="B1739" i="18"/>
  <c r="A1731" i="18"/>
  <c r="C1731" i="18" s="1"/>
  <c r="A1707" i="18"/>
  <c r="C1707" i="18" s="1"/>
  <c r="B1685" i="18"/>
  <c r="A1655" i="18"/>
  <c r="C1655" i="18" s="1"/>
  <c r="B1647" i="18"/>
  <c r="A1633" i="18"/>
  <c r="C1633" i="18" s="1"/>
  <c r="A1591" i="18"/>
  <c r="C1591" i="18" s="1"/>
  <c r="B1583" i="18"/>
  <c r="A1569" i="18"/>
  <c r="C1569" i="18" s="1"/>
  <c r="B1555" i="18"/>
  <c r="B1541" i="18"/>
  <c r="A1521" i="18"/>
  <c r="C1521" i="18" s="1"/>
  <c r="B1514" i="18"/>
  <c r="A1508" i="18"/>
  <c r="C1508" i="18" s="1"/>
  <c r="A1501" i="18"/>
  <c r="C1501" i="18" s="1"/>
  <c r="A1489" i="18"/>
  <c r="C1489" i="18" s="1"/>
  <c r="B1458" i="18"/>
  <c r="A1421" i="18"/>
  <c r="C1421" i="18" s="1"/>
  <c r="A1415" i="18"/>
  <c r="C1415" i="18" s="1"/>
  <c r="A1384" i="18"/>
  <c r="C1384" i="18" s="1"/>
  <c r="A1378" i="18"/>
  <c r="C1378" i="18" s="1"/>
  <c r="A1355" i="18"/>
  <c r="C1355" i="18" s="1"/>
  <c r="A1337" i="18"/>
  <c r="C1337" i="18" s="1"/>
  <c r="A1314" i="18"/>
  <c r="C1314" i="18" s="1"/>
  <c r="A1296" i="18"/>
  <c r="C1296" i="18" s="1"/>
  <c r="B1290" i="18"/>
  <c r="A1261" i="18"/>
  <c r="C1261" i="18" s="1"/>
  <c r="B1249" i="18"/>
  <c r="B1231" i="18"/>
  <c r="B1208" i="18"/>
  <c r="B1190" i="18"/>
  <c r="A1173" i="18"/>
  <c r="C1173" i="18" s="1"/>
  <c r="A1167" i="18"/>
  <c r="C1167" i="18" s="1"/>
  <c r="A1161" i="18"/>
  <c r="C1161" i="18" s="1"/>
  <c r="B1155" i="18"/>
  <c r="A1149" i="18"/>
  <c r="C1149" i="18" s="1"/>
  <c r="A1132" i="18"/>
  <c r="C1132" i="18" s="1"/>
  <c r="A1126" i="18"/>
  <c r="C1126" i="18" s="1"/>
  <c r="A1114" i="18"/>
  <c r="C1114" i="18" s="1"/>
  <c r="A1108" i="18"/>
  <c r="C1108" i="18" s="1"/>
  <c r="A1091" i="18"/>
  <c r="C1091" i="18" s="1"/>
  <c r="A1073" i="18"/>
  <c r="C1073" i="18" s="1"/>
  <c r="B1061" i="18"/>
  <c r="B1043" i="18"/>
  <c r="A1032" i="18"/>
  <c r="C1032" i="18" s="1"/>
  <c r="B1026" i="18"/>
  <c r="B1020" i="18"/>
  <c r="B1008" i="18"/>
  <c r="B985" i="18"/>
  <c r="A973" i="18"/>
  <c r="C973" i="18" s="1"/>
  <c r="B967" i="18"/>
  <c r="B944" i="18"/>
  <c r="B926" i="18"/>
  <c r="A903" i="18"/>
  <c r="C903" i="18" s="1"/>
  <c r="A885" i="18"/>
  <c r="C885" i="18" s="1"/>
  <c r="A844" i="18"/>
  <c r="C844" i="18" s="1"/>
  <c r="B826" i="18"/>
  <c r="A803" i="18"/>
  <c r="C803" i="18" s="1"/>
  <c r="B797" i="18"/>
  <c r="A785" i="18"/>
  <c r="C785" i="18" s="1"/>
  <c r="B779" i="18"/>
  <c r="A768" i="18"/>
  <c r="C768" i="18" s="1"/>
  <c r="B756" i="18"/>
  <c r="B750" i="18"/>
  <c r="B738" i="18"/>
  <c r="B703" i="18"/>
  <c r="B697" i="18"/>
  <c r="B680" i="18"/>
  <c r="B662" i="18"/>
  <c r="B656" i="18"/>
  <c r="B628" i="18"/>
  <c r="B617" i="18"/>
  <c r="A606" i="18"/>
  <c r="C606" i="18" s="1"/>
  <c r="B595" i="18"/>
  <c r="B574" i="18"/>
  <c r="B569" i="18"/>
  <c r="A564" i="18"/>
  <c r="C564" i="18" s="1"/>
  <c r="A559" i="18"/>
  <c r="C559" i="18" s="1"/>
  <c r="A549" i="18"/>
  <c r="C549" i="18" s="1"/>
  <c r="B544" i="18"/>
  <c r="B539" i="18"/>
  <c r="B525" i="18"/>
  <c r="A516" i="18"/>
  <c r="C516" i="18" s="1"/>
  <c r="B502" i="18"/>
  <c r="A493" i="18"/>
  <c r="C493" i="18" s="1"/>
  <c r="B479" i="18"/>
  <c r="A470" i="18"/>
  <c r="C470" i="18" s="1"/>
  <c r="B456" i="18"/>
  <c r="A447" i="18"/>
  <c r="C447" i="18" s="1"/>
  <c r="B442" i="18"/>
  <c r="A433" i="18"/>
  <c r="C433" i="18" s="1"/>
  <c r="B419" i="18"/>
  <c r="A410" i="18"/>
  <c r="C410" i="18" s="1"/>
  <c r="B396" i="18"/>
  <c r="A387" i="18"/>
  <c r="C387" i="18" s="1"/>
  <c r="B373" i="18"/>
  <c r="B364" i="18"/>
  <c r="A351" i="18"/>
  <c r="C351" i="18" s="1"/>
  <c r="B342" i="18"/>
  <c r="A329" i="18"/>
  <c r="C329" i="18" s="1"/>
  <c r="B320" i="18"/>
  <c r="A307" i="18"/>
  <c r="C307" i="18" s="1"/>
  <c r="B298" i="18"/>
  <c r="A285" i="18"/>
  <c r="C285" i="18" s="1"/>
  <c r="B276" i="18"/>
  <c r="A263" i="18"/>
  <c r="C263" i="18" s="1"/>
  <c r="B254" i="18"/>
  <c r="A241" i="18"/>
  <c r="C241" i="18" s="1"/>
  <c r="B232" i="18"/>
  <c r="A219" i="18"/>
  <c r="C219" i="18" s="1"/>
  <c r="B210" i="18"/>
  <c r="A1928" i="18"/>
  <c r="C1928" i="18" s="1"/>
  <c r="A1906" i="18"/>
  <c r="C1906" i="18" s="1"/>
  <c r="B1885" i="18"/>
  <c r="B1844" i="18"/>
  <c r="B1834" i="18"/>
  <c r="A1816" i="18"/>
  <c r="C1816" i="18" s="1"/>
  <c r="A1806" i="18"/>
  <c r="C1806" i="18" s="1"/>
  <c r="B1777" i="18"/>
  <c r="B1749" i="18"/>
  <c r="A1713" i="18"/>
  <c r="C1713" i="18" s="1"/>
  <c r="A1695" i="18"/>
  <c r="C1695" i="18" s="1"/>
  <c r="A1652" i="18"/>
  <c r="C1652" i="18" s="1"/>
  <c r="A1644" i="18"/>
  <c r="C1644" i="18" s="1"/>
  <c r="A1636" i="18"/>
  <c r="C1636" i="18" s="1"/>
  <c r="A1628" i="18"/>
  <c r="C1628" i="18" s="1"/>
  <c r="A1611" i="18"/>
  <c r="C1611" i="18" s="1"/>
  <c r="B1602" i="18"/>
  <c r="B1594" i="18"/>
  <c r="A1561" i="18"/>
  <c r="C1561" i="18" s="1"/>
  <c r="B1553" i="18"/>
  <c r="A1530" i="18"/>
  <c r="C1530" i="18" s="1"/>
  <c r="A1499" i="18"/>
  <c r="C1499" i="18" s="1"/>
  <c r="B1492" i="18"/>
  <c r="A1485" i="18"/>
  <c r="C1485" i="18" s="1"/>
  <c r="A1478" i="18"/>
  <c r="C1478" i="18" s="1"/>
  <c r="B1470" i="18"/>
  <c r="B1463" i="18"/>
  <c r="A1456" i="18"/>
  <c r="C1456" i="18" s="1"/>
  <c r="A1435" i="18"/>
  <c r="C1435" i="18" s="1"/>
  <c r="A1428" i="18"/>
  <c r="C1428" i="18" s="1"/>
  <c r="B1420" i="18"/>
  <c r="A1413" i="18"/>
  <c r="C1413" i="18" s="1"/>
  <c r="B1371" i="18"/>
  <c r="A1351" i="18"/>
  <c r="C1351" i="18" s="1"/>
  <c r="B1310" i="18"/>
  <c r="A1276" i="18"/>
  <c r="C1276" i="18" s="1"/>
  <c r="A1263" i="18"/>
  <c r="C1263" i="18" s="1"/>
  <c r="A1256" i="18"/>
  <c r="C1256" i="18" s="1"/>
  <c r="B1235" i="18"/>
  <c r="B1215" i="18"/>
  <c r="A1208" i="18"/>
  <c r="C1208" i="18" s="1"/>
  <c r="A1201" i="18"/>
  <c r="C1201" i="18" s="1"/>
  <c r="A1188" i="18"/>
  <c r="C1188" i="18" s="1"/>
  <c r="A1181" i="18"/>
  <c r="C1181" i="18" s="1"/>
  <c r="B1160" i="18"/>
  <c r="B1147" i="18"/>
  <c r="B1127" i="18"/>
  <c r="B1099" i="18"/>
  <c r="B1072" i="18"/>
  <c r="A1038" i="18"/>
  <c r="C1038" i="18" s="1"/>
  <c r="A1011" i="18"/>
  <c r="C1011" i="18" s="1"/>
  <c r="A957" i="18"/>
  <c r="C957" i="18" s="1"/>
  <c r="A936" i="18"/>
  <c r="C936" i="18" s="1"/>
  <c r="A916" i="18"/>
  <c r="C916" i="18" s="1"/>
  <c r="B909" i="18"/>
  <c r="B895" i="18"/>
  <c r="B875" i="18"/>
  <c r="A861" i="18"/>
  <c r="C861" i="18" s="1"/>
  <c r="B854" i="18"/>
  <c r="A848" i="18"/>
  <c r="C848" i="18" s="1"/>
  <c r="A828" i="18"/>
  <c r="C828" i="18" s="1"/>
  <c r="B820" i="18"/>
  <c r="B807" i="18"/>
  <c r="B800" i="18"/>
  <c r="B787" i="18"/>
  <c r="A773" i="18"/>
  <c r="C773" i="18" s="1"/>
  <c r="B766" i="18"/>
  <c r="A739" i="18"/>
  <c r="C739" i="18" s="1"/>
  <c r="B732" i="18"/>
  <c r="A712" i="18"/>
  <c r="C712" i="18" s="1"/>
  <c r="B691" i="18"/>
  <c r="B651" i="18"/>
  <c r="A625" i="18"/>
  <c r="C625" i="18" s="1"/>
  <c r="B599" i="18"/>
  <c r="B581" i="18"/>
  <c r="B575" i="18"/>
  <c r="A563" i="18"/>
  <c r="C563" i="18" s="1"/>
  <c r="B557" i="18"/>
  <c r="A546" i="18"/>
  <c r="C546" i="18" s="1"/>
  <c r="A535" i="18"/>
  <c r="C535" i="18" s="1"/>
  <c r="B529" i="18"/>
  <c r="A524" i="18"/>
  <c r="C524" i="18" s="1"/>
  <c r="B508" i="18"/>
  <c r="A503" i="18"/>
  <c r="C503" i="18" s="1"/>
  <c r="B497" i="18"/>
  <c r="A492" i="18"/>
  <c r="C492" i="18" s="1"/>
  <c r="B476" i="18"/>
  <c r="A471" i="18"/>
  <c r="C471" i="18" s="1"/>
  <c r="B465" i="18"/>
  <c r="B444" i="18"/>
  <c r="A439" i="18"/>
  <c r="C439" i="18" s="1"/>
  <c r="B412" i="18"/>
  <c r="A380" i="18"/>
  <c r="C380" i="18" s="1"/>
  <c r="A364" i="18"/>
  <c r="C364" i="18" s="1"/>
  <c r="A359" i="18"/>
  <c r="C359" i="18" s="1"/>
  <c r="A354" i="18"/>
  <c r="C354" i="18" s="1"/>
  <c r="A349" i="18"/>
  <c r="C349" i="18" s="1"/>
  <c r="A344" i="18"/>
  <c r="C344" i="18" s="1"/>
  <c r="A339" i="18"/>
  <c r="C339" i="18" s="1"/>
  <c r="B267" i="18"/>
  <c r="B262" i="18"/>
  <c r="B257" i="18"/>
  <c r="B252" i="18"/>
  <c r="B247" i="18"/>
  <c r="B242" i="18"/>
  <c r="A237" i="18"/>
  <c r="C237" i="18" s="1"/>
  <c r="B201" i="18"/>
  <c r="A192" i="18"/>
  <c r="C192" i="18" s="1"/>
  <c r="B178" i="18"/>
  <c r="A169" i="18"/>
  <c r="C169" i="18" s="1"/>
  <c r="B155" i="18"/>
  <c r="A146" i="18"/>
  <c r="C146" i="18" s="1"/>
  <c r="B132" i="18"/>
  <c r="A123" i="18"/>
  <c r="C123" i="18" s="1"/>
  <c r="A109" i="18"/>
  <c r="C109" i="18" s="1"/>
  <c r="B95" i="18"/>
  <c r="A86" i="18"/>
  <c r="C86" i="18" s="1"/>
  <c r="B72" i="18"/>
  <c r="A63" i="18"/>
  <c r="C63" i="18" s="1"/>
  <c r="B49" i="18"/>
  <c r="A40" i="18"/>
  <c r="C40" i="18" s="1"/>
  <c r="B26" i="18"/>
  <c r="A17" i="18"/>
  <c r="C17" i="18" s="1"/>
  <c r="B1990" i="18"/>
  <c r="A1969" i="18"/>
  <c r="C1969" i="18" s="1"/>
  <c r="B1957" i="18"/>
  <c r="A1948" i="18"/>
  <c r="C1948" i="18" s="1"/>
  <c r="B1937" i="18"/>
  <c r="B1894" i="18"/>
  <c r="A1885" i="18"/>
  <c r="C1885" i="18" s="1"/>
  <c r="B1854" i="18"/>
  <c r="A1844" i="18"/>
  <c r="C1844" i="18" s="1"/>
  <c r="B1825" i="18"/>
  <c r="B1787" i="18"/>
  <c r="A1777" i="18"/>
  <c r="C1777" i="18" s="1"/>
  <c r="B1767" i="18"/>
  <c r="B1759" i="18"/>
  <c r="A1749" i="18"/>
  <c r="C1749" i="18" s="1"/>
  <c r="B1740" i="18"/>
  <c r="A1730" i="18"/>
  <c r="C1730" i="18" s="1"/>
  <c r="A1704" i="18"/>
  <c r="C1704" i="18" s="1"/>
  <c r="A1678" i="18"/>
  <c r="C1678" i="18" s="1"/>
  <c r="B1668" i="18"/>
  <c r="B1660" i="18"/>
  <c r="B1643" i="18"/>
  <c r="B1618" i="18"/>
  <c r="A1602" i="18"/>
  <c r="C1602" i="18" s="1"/>
  <c r="A1594" i="18"/>
  <c r="C1594" i="18" s="1"/>
  <c r="A1586" i="18"/>
  <c r="C1586" i="18" s="1"/>
  <c r="A1578" i="18"/>
  <c r="C1578" i="18" s="1"/>
  <c r="B1545" i="18"/>
  <c r="B1537" i="18"/>
  <c r="B1505" i="18"/>
  <c r="A1492" i="18"/>
  <c r="C1492" i="18" s="1"/>
  <c r="A1470" i="18"/>
  <c r="C1470" i="18" s="1"/>
  <c r="A1463" i="18"/>
  <c r="C1463" i="18" s="1"/>
  <c r="A1420" i="18"/>
  <c r="C1420" i="18" s="1"/>
  <c r="B1392" i="18"/>
  <c r="A1385" i="18"/>
  <c r="C1385" i="18" s="1"/>
  <c r="A2010" i="18"/>
  <c r="C2010" i="18" s="1"/>
  <c r="B1978" i="18"/>
  <c r="B1968" i="18"/>
  <c r="A1957" i="18"/>
  <c r="C1957" i="18" s="1"/>
  <c r="B1947" i="18"/>
  <c r="A1937" i="18"/>
  <c r="C1937" i="18" s="1"/>
  <c r="A1894" i="18"/>
  <c r="C1894" i="18" s="1"/>
  <c r="B1805" i="18"/>
  <c r="A1796" i="18"/>
  <c r="C1796" i="18" s="1"/>
  <c r="A1786" i="18"/>
  <c r="C1786" i="18" s="1"/>
  <c r="A1767" i="18"/>
  <c r="C1767" i="18" s="1"/>
  <c r="A1740" i="18"/>
  <c r="C1740" i="18" s="1"/>
  <c r="B1686" i="18"/>
  <c r="B1676" i="18"/>
  <c r="B1651" i="18"/>
  <c r="A1627" i="18"/>
  <c r="C1627" i="18" s="1"/>
  <c r="A1618" i="18"/>
  <c r="C1618" i="18" s="1"/>
  <c r="A1545" i="18"/>
  <c r="C1545" i="18" s="1"/>
  <c r="A1537" i="18"/>
  <c r="C1537" i="18" s="1"/>
  <c r="A1505" i="18"/>
  <c r="C1505" i="18" s="1"/>
  <c r="A1484" i="18"/>
  <c r="C1484" i="18" s="1"/>
  <c r="B1406" i="18"/>
  <c r="B1377" i="18"/>
  <c r="A1357" i="18"/>
  <c r="C1357" i="18" s="1"/>
  <c r="A1330" i="18"/>
  <c r="C1330" i="18" s="1"/>
  <c r="A1323" i="18"/>
  <c r="C1323" i="18" s="1"/>
  <c r="A1303" i="18"/>
  <c r="C1303" i="18" s="1"/>
  <c r="B1289" i="18"/>
  <c r="A1269" i="18"/>
  <c r="C1269" i="18" s="1"/>
  <c r="B1262" i="18"/>
  <c r="A1241" i="18"/>
  <c r="C1241" i="18" s="1"/>
  <c r="B1228" i="18"/>
  <c r="B1221" i="18"/>
  <c r="B1200" i="18"/>
  <c r="B1180" i="18"/>
  <c r="A1174" i="18"/>
  <c r="C1174" i="18" s="1"/>
  <c r="A1153" i="18"/>
  <c r="C1153" i="18" s="1"/>
  <c r="B1133" i="18"/>
  <c r="B1112" i="18"/>
  <c r="B1092" i="18"/>
  <c r="A1078" i="18"/>
  <c r="C1078" i="18" s="1"/>
  <c r="B1058" i="18"/>
  <c r="B1045" i="18"/>
  <c r="B1037" i="18"/>
  <c r="B1017" i="18"/>
  <c r="A990" i="18"/>
  <c r="C990" i="18" s="1"/>
  <c r="A963" i="18"/>
  <c r="C963" i="18" s="1"/>
  <c r="B949" i="18"/>
  <c r="B929" i="18"/>
  <c r="A922" i="18"/>
  <c r="C922" i="18" s="1"/>
  <c r="A881" i="18"/>
  <c r="C881" i="18" s="1"/>
  <c r="B840" i="18"/>
  <c r="A834" i="18"/>
  <c r="C834" i="18" s="1"/>
  <c r="B827" i="18"/>
  <c r="A813" i="18"/>
  <c r="C813" i="18" s="1"/>
  <c r="A793" i="18"/>
  <c r="C793" i="18" s="1"/>
  <c r="A759" i="18"/>
  <c r="C759" i="18" s="1"/>
  <c r="B752" i="18"/>
  <c r="A746" i="18"/>
  <c r="C746" i="18" s="1"/>
  <c r="A738" i="18"/>
  <c r="C738" i="18" s="1"/>
  <c r="A718" i="18"/>
  <c r="C718" i="18" s="1"/>
  <c r="B677" i="18"/>
  <c r="A671" i="18"/>
  <c r="C671" i="18" s="1"/>
  <c r="A605" i="18"/>
  <c r="C605" i="18" s="1"/>
  <c r="A593" i="18"/>
  <c r="C593" i="18" s="1"/>
  <c r="B587" i="18"/>
  <c r="A551" i="18"/>
  <c r="C551" i="18" s="1"/>
  <c r="B540" i="18"/>
  <c r="A534" i="18"/>
  <c r="C534" i="18" s="1"/>
  <c r="B513" i="18"/>
  <c r="A502" i="18"/>
  <c r="C502" i="18" s="1"/>
  <c r="B486" i="18"/>
  <c r="A481" i="18"/>
  <c r="C481" i="18" s="1"/>
  <c r="B454" i="18"/>
  <c r="A449" i="18"/>
  <c r="C449" i="18" s="1"/>
  <c r="B422" i="18"/>
  <c r="A417" i="18"/>
  <c r="C417" i="18" s="1"/>
  <c r="B390" i="18"/>
  <c r="A369" i="18"/>
  <c r="C369" i="18" s="1"/>
  <c r="A333" i="18"/>
  <c r="C333" i="18" s="1"/>
  <c r="A328" i="18"/>
  <c r="C328" i="18" s="1"/>
  <c r="A323" i="18"/>
  <c r="C323" i="18" s="1"/>
  <c r="A318" i="18"/>
  <c r="C318" i="18" s="1"/>
  <c r="A313" i="18"/>
  <c r="C313" i="18" s="1"/>
  <c r="A308" i="18"/>
  <c r="C308" i="18" s="1"/>
  <c r="B272" i="18"/>
  <c r="B236" i="18"/>
  <c r="B231" i="18"/>
  <c r="B226" i="18"/>
  <c r="B221" i="18"/>
  <c r="B216" i="18"/>
  <c r="B211" i="18"/>
  <c r="B196" i="18"/>
  <c r="A187" i="18"/>
  <c r="C187" i="18" s="1"/>
  <c r="B173" i="18"/>
  <c r="A164" i="18"/>
  <c r="C164" i="18" s="1"/>
  <c r="B150" i="18"/>
  <c r="A141" i="18"/>
  <c r="C141" i="18" s="1"/>
  <c r="B127" i="18"/>
  <c r="B113" i="18"/>
  <c r="A104" i="18"/>
  <c r="C104" i="18" s="1"/>
  <c r="B90" i="18"/>
  <c r="A81" i="18"/>
  <c r="C81" i="18" s="1"/>
  <c r="B67" i="18"/>
  <c r="A58" i="18"/>
  <c r="C58" i="18" s="1"/>
  <c r="B44" i="18"/>
  <c r="A35" i="18"/>
  <c r="C35" i="18" s="1"/>
  <c r="A21" i="18"/>
  <c r="C21" i="18" s="1"/>
  <c r="B2000" i="18"/>
  <c r="A1926" i="18"/>
  <c r="C1926" i="18" s="1"/>
  <c r="A1874" i="18"/>
  <c r="C1874" i="18" s="1"/>
  <c r="B1863" i="18"/>
  <c r="A1852" i="18"/>
  <c r="C1852" i="18" s="1"/>
  <c r="A1843" i="18"/>
  <c r="C1843" i="18" s="1"/>
  <c r="B1833" i="18"/>
  <c r="A1824" i="18"/>
  <c r="C1824" i="18" s="1"/>
  <c r="A1776" i="18"/>
  <c r="C1776" i="18" s="1"/>
  <c r="B1721" i="18"/>
  <c r="A1712" i="18"/>
  <c r="C1712" i="18" s="1"/>
  <c r="A1703" i="18"/>
  <c r="C1703" i="18" s="1"/>
  <c r="B1694" i="18"/>
  <c r="A1686" i="18"/>
  <c r="C1686" i="18" s="1"/>
  <c r="A1676" i="18"/>
  <c r="C1676" i="18" s="1"/>
  <c r="B1610" i="18"/>
  <c r="B1585" i="18"/>
  <c r="A1577" i="18"/>
  <c r="C1577" i="18" s="1"/>
  <c r="B1568" i="18"/>
  <c r="B1513" i="18"/>
  <c r="B1469" i="18"/>
  <c r="B1441" i="18"/>
  <c r="B1434" i="18"/>
  <c r="B1426" i="18"/>
  <c r="B1398" i="18"/>
  <c r="A1377" i="18"/>
  <c r="C1377" i="18" s="1"/>
  <c r="B1336" i="18"/>
  <c r="B1316" i="18"/>
  <c r="A1289" i="18"/>
  <c r="C1289" i="18" s="1"/>
  <c r="B1248" i="18"/>
  <c r="A1221" i="18"/>
  <c r="C1221" i="18" s="1"/>
  <c r="A1200" i="18"/>
  <c r="C1200" i="18" s="1"/>
  <c r="A1180" i="18"/>
  <c r="C1180" i="18" s="1"/>
  <c r="A1166" i="18"/>
  <c r="C1166" i="18" s="1"/>
  <c r="B1139" i="18"/>
  <c r="A1133" i="18"/>
  <c r="C1133" i="18" s="1"/>
  <c r="B1125" i="18"/>
  <c r="A1112" i="18"/>
  <c r="C1112" i="18" s="1"/>
  <c r="B1105" i="18"/>
  <c r="A1092" i="18"/>
  <c r="C1092" i="18" s="1"/>
  <c r="B1084" i="18"/>
  <c r="B1071" i="18"/>
  <c r="B1051" i="18"/>
  <c r="B1044" i="18"/>
  <c r="A1037" i="18"/>
  <c r="C1037" i="18" s="1"/>
  <c r="A1017" i="18"/>
  <c r="C1017" i="18" s="1"/>
  <c r="B996" i="18"/>
  <c r="B976" i="18"/>
  <c r="B955" i="18"/>
  <c r="A949" i="18"/>
  <c r="C949" i="18" s="1"/>
  <c r="A929" i="18"/>
  <c r="C929" i="18" s="1"/>
  <c r="B915" i="18"/>
  <c r="B908" i="18"/>
  <c r="A901" i="18"/>
  <c r="C901" i="18" s="1"/>
  <c r="B888" i="18"/>
  <c r="A840" i="18"/>
  <c r="C840" i="18" s="1"/>
  <c r="A826" i="18"/>
  <c r="C826" i="18" s="1"/>
  <c r="A806" i="18"/>
  <c r="C806" i="18" s="1"/>
  <c r="B799" i="18"/>
  <c r="B765" i="18"/>
  <c r="A752" i="18"/>
  <c r="C752" i="18" s="1"/>
  <c r="B724" i="18"/>
  <c r="B711" i="18"/>
  <c r="A697" i="18"/>
  <c r="C697" i="18" s="1"/>
  <c r="B683" i="18"/>
  <c r="A677" i="18"/>
  <c r="C677" i="18" s="1"/>
  <c r="B650" i="18"/>
  <c r="B643" i="18"/>
  <c r="B637" i="18"/>
  <c r="B631" i="18"/>
  <c r="B624" i="18"/>
  <c r="B618" i="18"/>
  <c r="B611" i="18"/>
  <c r="A574" i="18"/>
  <c r="C574" i="18" s="1"/>
  <c r="B568" i="18"/>
  <c r="B562" i="18"/>
  <c r="B518" i="18"/>
  <c r="A513" i="18"/>
  <c r="C513" i="18" s="1"/>
  <c r="A486" i="18"/>
  <c r="C486" i="18" s="1"/>
  <c r="B459" i="18"/>
  <c r="A454" i="18"/>
  <c r="C454" i="18" s="1"/>
  <c r="B438" i="18"/>
  <c r="B427" i="18"/>
  <c r="A422" i="18"/>
  <c r="C422" i="18" s="1"/>
  <c r="B406" i="18"/>
  <c r="B395" i="18"/>
  <c r="A390" i="18"/>
  <c r="C390" i="18" s="1"/>
  <c r="B374" i="18"/>
  <c r="B338" i="18"/>
  <c r="B302" i="18"/>
  <c r="B297" i="18"/>
  <c r="B292" i="18"/>
  <c r="B287" i="18"/>
  <c r="B282" i="18"/>
  <c r="B277" i="18"/>
  <c r="A236" i="18"/>
  <c r="C236" i="18" s="1"/>
  <c r="A231" i="18"/>
  <c r="C231" i="18" s="1"/>
  <c r="A226" i="18"/>
  <c r="C226" i="18" s="1"/>
  <c r="A221" i="18"/>
  <c r="C221" i="18" s="1"/>
  <c r="A216" i="18"/>
  <c r="C216" i="18" s="1"/>
  <c r="A211" i="18"/>
  <c r="C211" i="18" s="1"/>
  <c r="A196" i="18"/>
  <c r="C196" i="18" s="1"/>
  <c r="B182" i="18"/>
  <c r="A173" i="18"/>
  <c r="C173" i="18" s="1"/>
  <c r="B159" i="18"/>
  <c r="A150" i="18"/>
  <c r="C150" i="18" s="1"/>
  <c r="B136" i="18"/>
  <c r="A127" i="18"/>
  <c r="C127" i="18" s="1"/>
  <c r="B122" i="18"/>
  <c r="A113" i="18"/>
  <c r="C113" i="18" s="1"/>
  <c r="B99" i="18"/>
  <c r="A90" i="18"/>
  <c r="C90" i="18" s="1"/>
  <c r="B76" i="18"/>
  <c r="A67" i="18"/>
  <c r="C67" i="18" s="1"/>
  <c r="B53" i="18"/>
  <c r="A44" i="18"/>
  <c r="C44" i="18" s="1"/>
  <c r="B30" i="18"/>
  <c r="B16" i="18"/>
  <c r="A2009" i="18"/>
  <c r="C2009" i="18" s="1"/>
  <c r="B1987" i="18"/>
  <c r="B1915" i="18"/>
  <c r="B1904" i="18"/>
  <c r="B1851" i="18"/>
  <c r="A1814" i="18"/>
  <c r="C1814" i="18" s="1"/>
  <c r="A1757" i="18"/>
  <c r="C1757" i="18" s="1"/>
  <c r="A1739" i="18"/>
  <c r="C1739" i="18" s="1"/>
  <c r="B1729" i="18"/>
  <c r="A1721" i="18"/>
  <c r="C1721" i="18" s="1"/>
  <c r="B1642" i="18"/>
  <c r="A1635" i="18"/>
  <c r="C1635" i="18" s="1"/>
  <c r="B1625" i="18"/>
  <c r="B1601" i="18"/>
  <c r="B1593" i="18"/>
  <c r="A1585" i="18"/>
  <c r="C1585" i="18" s="1"/>
  <c r="A1568" i="18"/>
  <c r="C1568" i="18" s="1"/>
  <c r="B1560" i="18"/>
  <c r="B1528" i="18"/>
  <c r="B1520" i="18"/>
  <c r="B1498" i="18"/>
  <c r="A1491" i="18"/>
  <c r="C1491" i="18" s="1"/>
  <c r="B1476" i="18"/>
  <c r="A1469" i="18"/>
  <c r="C1469" i="18" s="1"/>
  <c r="B1455" i="18"/>
  <c r="A1441" i="18"/>
  <c r="C1441" i="18" s="1"/>
  <c r="B1412" i="18"/>
  <c r="A1398" i="18"/>
  <c r="C1398" i="18" s="1"/>
  <c r="A1391" i="18"/>
  <c r="C1391" i="18" s="1"/>
  <c r="A1383" i="18"/>
  <c r="C1383" i="18" s="1"/>
  <c r="B1370" i="18"/>
  <c r="B1363" i="18"/>
  <c r="B1350" i="18"/>
  <c r="B1342" i="18"/>
  <c r="A1336" i="18"/>
  <c r="C1336" i="18" s="1"/>
  <c r="B1329" i="18"/>
  <c r="A1295" i="18"/>
  <c r="C1295" i="18" s="1"/>
  <c r="B1275" i="18"/>
  <c r="B1254" i="18"/>
  <c r="A1248" i="18"/>
  <c r="C1248" i="18" s="1"/>
  <c r="B1187" i="18"/>
  <c r="B1159" i="18"/>
  <c r="A1146" i="18"/>
  <c r="C1146" i="18" s="1"/>
  <c r="A1139" i="18"/>
  <c r="C1139" i="18" s="1"/>
  <c r="A1105" i="18"/>
  <c r="C1105" i="18" s="1"/>
  <c r="B1098" i="18"/>
  <c r="A1071" i="18"/>
  <c r="C1071" i="18" s="1"/>
  <c r="A1064" i="18"/>
  <c r="C1064" i="18" s="1"/>
  <c r="B1057" i="18"/>
  <c r="A1051" i="18"/>
  <c r="C1051" i="18" s="1"/>
  <c r="A1043" i="18"/>
  <c r="C1043" i="18" s="1"/>
  <c r="B1023" i="18"/>
  <c r="B1010" i="18"/>
  <c r="A1003" i="18"/>
  <c r="C1003" i="18" s="1"/>
  <c r="B982" i="18"/>
  <c r="A976" i="18"/>
  <c r="C976" i="18" s="1"/>
  <c r="B969" i="18"/>
  <c r="B1986" i="18"/>
  <c r="B1977" i="18"/>
  <c r="A1966" i="18"/>
  <c r="C1966" i="18" s="1"/>
  <c r="B1936" i="18"/>
  <c r="A1915" i="18"/>
  <c r="C1915" i="18" s="1"/>
  <c r="A1904" i="18"/>
  <c r="C1904" i="18" s="1"/>
  <c r="B1884" i="18"/>
  <c r="A1873" i="18"/>
  <c r="C1873" i="18" s="1"/>
  <c r="B1862" i="18"/>
  <c r="B1823" i="18"/>
  <c r="B1804" i="18"/>
  <c r="A1794" i="18"/>
  <c r="C1794" i="18" s="1"/>
  <c r="B1784" i="18"/>
  <c r="B1766" i="18"/>
  <c r="A1756" i="18"/>
  <c r="C1756" i="18" s="1"/>
  <c r="B1748" i="18"/>
  <c r="A1729" i="18"/>
  <c r="C1729" i="18" s="1"/>
  <c r="A1693" i="18"/>
  <c r="C1693" i="18" s="1"/>
  <c r="A1685" i="18"/>
  <c r="C1685" i="18" s="1"/>
  <c r="B1667" i="18"/>
  <c r="B1659" i="18"/>
  <c r="A1642" i="18"/>
  <c r="C1642" i="18" s="1"/>
  <c r="B1634" i="18"/>
  <c r="A1625" i="18"/>
  <c r="C1625" i="18" s="1"/>
  <c r="A1609" i="18"/>
  <c r="C1609" i="18" s="1"/>
  <c r="A1601" i="18"/>
  <c r="C1601" i="18" s="1"/>
  <c r="A1575" i="18"/>
  <c r="C1575" i="18" s="1"/>
  <c r="B1559" i="18"/>
  <c r="B1551" i="18"/>
  <c r="B1512" i="18"/>
  <c r="A1498" i="18"/>
  <c r="C1498" i="18" s="1"/>
  <c r="B1483" i="18"/>
  <c r="A1476" i="18"/>
  <c r="C1476" i="18" s="1"/>
  <c r="A1455" i="18"/>
  <c r="C1455" i="18" s="1"/>
  <c r="A1433" i="18"/>
  <c r="C1433" i="18" s="1"/>
  <c r="A1419" i="18"/>
  <c r="C1419" i="18" s="1"/>
  <c r="A1412" i="18"/>
  <c r="C1412" i="18" s="1"/>
  <c r="A1363" i="18"/>
  <c r="C1363" i="18" s="1"/>
  <c r="B1356" i="18"/>
  <c r="A1342" i="18"/>
  <c r="C1342" i="18" s="1"/>
  <c r="A1329" i="18"/>
  <c r="C1329" i="18" s="1"/>
  <c r="B1322" i="18"/>
  <c r="B1309" i="18"/>
  <c r="B1301" i="18"/>
  <c r="B1281" i="18"/>
  <c r="A1275" i="18"/>
  <c r="C1275" i="18" s="1"/>
  <c r="B1268" i="18"/>
  <c r="A1254" i="18"/>
  <c r="C1254" i="18" s="1"/>
  <c r="B1234" i="18"/>
  <c r="B1220" i="18"/>
  <c r="B1213" i="18"/>
  <c r="B1193" i="18"/>
  <c r="B1186" i="18"/>
  <c r="B1118" i="18"/>
  <c r="A1098" i="18"/>
  <c r="C1098" i="18" s="1"/>
  <c r="A1057" i="18"/>
  <c r="C1057" i="18" s="1"/>
  <c r="A1030" i="18"/>
  <c r="C1030" i="18" s="1"/>
  <c r="A1023" i="18"/>
  <c r="C1023" i="18" s="1"/>
  <c r="A1010" i="18"/>
  <c r="C1010" i="18" s="1"/>
  <c r="A1002" i="18"/>
  <c r="C1002" i="18" s="1"/>
  <c r="A982" i="18"/>
  <c r="C982" i="18" s="1"/>
  <c r="A969" i="18"/>
  <c r="C969" i="18" s="1"/>
  <c r="A962" i="18"/>
  <c r="C962" i="18" s="1"/>
  <c r="B948" i="18"/>
  <c r="B941" i="18"/>
  <c r="A935" i="18"/>
  <c r="C935" i="18" s="1"/>
  <c r="B928" i="18"/>
  <c r="A914" i="18"/>
  <c r="C914" i="18" s="1"/>
  <c r="B907" i="18"/>
  <c r="A894" i="18"/>
  <c r="C894" i="18" s="1"/>
  <c r="B887" i="18"/>
  <c r="B866" i="18"/>
  <c r="A860" i="18"/>
  <c r="C860" i="18" s="1"/>
  <c r="B853" i="18"/>
  <c r="A833" i="18"/>
  <c r="C833" i="18" s="1"/>
  <c r="A819" i="18"/>
  <c r="C819" i="18" s="1"/>
  <c r="B778" i="18"/>
  <c r="A758" i="18"/>
  <c r="C758" i="18" s="1"/>
  <c r="A731" i="18"/>
  <c r="C731" i="18" s="1"/>
  <c r="B690" i="18"/>
  <c r="A663" i="18"/>
  <c r="C663" i="18" s="1"/>
  <c r="B598" i="18"/>
  <c r="A586" i="18"/>
  <c r="C586" i="18" s="1"/>
  <c r="B556" i="18"/>
  <c r="A545" i="18"/>
  <c r="C545" i="18" s="1"/>
  <c r="B528" i="18"/>
  <c r="A523" i="18"/>
  <c r="C523" i="18" s="1"/>
  <c r="B496" i="18"/>
  <c r="A491" i="18"/>
  <c r="C491" i="18" s="1"/>
  <c r="A475" i="18"/>
  <c r="C475" i="18" s="1"/>
  <c r="A464" i="18"/>
  <c r="C464" i="18" s="1"/>
  <c r="B443" i="18"/>
  <c r="B437" i="18"/>
  <c r="A432" i="18"/>
  <c r="C432" i="18" s="1"/>
  <c r="A411" i="18"/>
  <c r="C411" i="18" s="1"/>
  <c r="B405" i="18"/>
  <c r="A400" i="18"/>
  <c r="C400" i="18" s="1"/>
  <c r="B384" i="18"/>
  <c r="A379" i="18"/>
  <c r="C379" i="18" s="1"/>
  <c r="A368" i="18"/>
  <c r="C368" i="18" s="1"/>
  <c r="A363" i="18"/>
  <c r="C363" i="18" s="1"/>
  <c r="A358" i="18"/>
  <c r="C358" i="18" s="1"/>
  <c r="A353" i="18"/>
  <c r="C353" i="18" s="1"/>
  <c r="A348" i="18"/>
  <c r="C348" i="18" s="1"/>
  <c r="A343" i="18"/>
  <c r="C343" i="18" s="1"/>
  <c r="B271" i="18"/>
  <c r="B266" i="18"/>
  <c r="B261" i="18"/>
  <c r="B256" i="18"/>
  <c r="B251" i="18"/>
  <c r="B246" i="18"/>
  <c r="A210" i="18"/>
  <c r="C210" i="18" s="1"/>
  <c r="A205" i="18"/>
  <c r="C205" i="18" s="1"/>
  <c r="B200" i="18"/>
  <c r="A191" i="18"/>
  <c r="C191" i="18" s="1"/>
  <c r="B177" i="18"/>
  <c r="A168" i="18"/>
  <c r="C168" i="18" s="1"/>
  <c r="B154" i="18"/>
  <c r="A145" i="18"/>
  <c r="C145" i="18" s="1"/>
  <c r="A131" i="18"/>
  <c r="C131" i="18" s="1"/>
  <c r="B117" i="18"/>
  <c r="A108" i="18"/>
  <c r="C108" i="18" s="1"/>
  <c r="B94" i="18"/>
  <c r="A85" i="18"/>
  <c r="C85" i="18" s="1"/>
  <c r="B71" i="18"/>
  <c r="A62" i="18"/>
  <c r="C62" i="18" s="1"/>
  <c r="B48" i="18"/>
  <c r="A39" i="18"/>
  <c r="C39" i="18" s="1"/>
  <c r="B34" i="18"/>
  <c r="A25" i="18"/>
  <c r="C25" i="18" s="1"/>
  <c r="B2008" i="18"/>
  <c r="A1986" i="18"/>
  <c r="C1986" i="18" s="1"/>
  <c r="A1977" i="18"/>
  <c r="C1977" i="18" s="1"/>
  <c r="A1946" i="18"/>
  <c r="C1946" i="18" s="1"/>
  <c r="A1903" i="18"/>
  <c r="C1903" i="18" s="1"/>
  <c r="B1893" i="18"/>
  <c r="A1884" i="18"/>
  <c r="C1884" i="18" s="1"/>
  <c r="A1823" i="18"/>
  <c r="C1823" i="18" s="1"/>
  <c r="A1784" i="18"/>
  <c r="C1784" i="18" s="1"/>
  <c r="B1775" i="18"/>
  <c r="A1766" i="18"/>
  <c r="C1766" i="18" s="1"/>
  <c r="B1738" i="18"/>
  <c r="B1683" i="18"/>
  <c r="B1675" i="18"/>
  <c r="A1667" i="18"/>
  <c r="C1667" i="18" s="1"/>
  <c r="B1650" i="18"/>
  <c r="B1617" i="18"/>
  <c r="A1551" i="18"/>
  <c r="C1551" i="18" s="1"/>
  <c r="B1544" i="18"/>
  <c r="B1527" i="18"/>
  <c r="B1504" i="18"/>
  <c r="B1490" i="18"/>
  <c r="B1461" i="18"/>
  <c r="A1447" i="18"/>
  <c r="C1447" i="18" s="1"/>
  <c r="A1440" i="18"/>
  <c r="C1440" i="18" s="1"/>
  <c r="B1404" i="18"/>
  <c r="B1390" i="18"/>
  <c r="A1356" i="18"/>
  <c r="C1356" i="18" s="1"/>
  <c r="A1322" i="18"/>
  <c r="C1322" i="18" s="1"/>
  <c r="B1315" i="18"/>
  <c r="A1301" i="18"/>
  <c r="C1301" i="18" s="1"/>
  <c r="A1281" i="18"/>
  <c r="C1281" i="18" s="1"/>
  <c r="A1268" i="18"/>
  <c r="C1268" i="18" s="1"/>
  <c r="B1260" i="18"/>
  <c r="B1247" i="18"/>
  <c r="B1240" i="18"/>
  <c r="A1234" i="18"/>
  <c r="C1234" i="18" s="1"/>
  <c r="A1213" i="18"/>
  <c r="C1213" i="18" s="1"/>
  <c r="A1206" i="18"/>
  <c r="C1206" i="18" s="1"/>
  <c r="A1193" i="18"/>
  <c r="C1193" i="18" s="1"/>
  <c r="A1186" i="18"/>
  <c r="C1186" i="18" s="1"/>
  <c r="B1179" i="18"/>
  <c r="B1172" i="18"/>
  <c r="B1165" i="18"/>
  <c r="B1152" i="18"/>
  <c r="A1118" i="18"/>
  <c r="C1118" i="18" s="1"/>
  <c r="B1077" i="18"/>
  <c r="B1016" i="18"/>
  <c r="A948" i="18"/>
  <c r="C948" i="18" s="1"/>
  <c r="A941" i="18"/>
  <c r="C941" i="18" s="1"/>
  <c r="A2004" i="18"/>
  <c r="C2004" i="18" s="1"/>
  <c r="A1991" i="18"/>
  <c r="C1991" i="18" s="1"/>
  <c r="B1929" i="18"/>
  <c r="B1898" i="18"/>
  <c r="B1880" i="18"/>
  <c r="A1714" i="18"/>
  <c r="C1714" i="18" s="1"/>
  <c r="B1674" i="18"/>
  <c r="B1662" i="18"/>
  <c r="A1600" i="18"/>
  <c r="C1600" i="18" s="1"/>
  <c r="B1531" i="18"/>
  <c r="A1518" i="18"/>
  <c r="C1518" i="18" s="1"/>
  <c r="B1444" i="18"/>
  <c r="B1413" i="18"/>
  <c r="A1402" i="18"/>
  <c r="C1402" i="18" s="1"/>
  <c r="A1372" i="18"/>
  <c r="C1372" i="18" s="1"/>
  <c r="B1352" i="18"/>
  <c r="A1297" i="18"/>
  <c r="C1297" i="18" s="1"/>
  <c r="B1269" i="18"/>
  <c r="B1250" i="18"/>
  <c r="B1194" i="18"/>
  <c r="B1175" i="18"/>
  <c r="B1137" i="18"/>
  <c r="A1119" i="18"/>
  <c r="C1119" i="18" s="1"/>
  <c r="A1035" i="18"/>
  <c r="C1035" i="18" s="1"/>
  <c r="B998" i="18"/>
  <c r="B978" i="18"/>
  <c r="B970" i="18"/>
  <c r="A943" i="18"/>
  <c r="C943" i="18" s="1"/>
  <c r="A934" i="18"/>
  <c r="C934" i="18" s="1"/>
  <c r="B925" i="18"/>
  <c r="A900" i="18"/>
  <c r="C900" i="18" s="1"/>
  <c r="A884" i="18"/>
  <c r="C884" i="18" s="1"/>
  <c r="A851" i="18"/>
  <c r="C851" i="18" s="1"/>
  <c r="A825" i="18"/>
  <c r="C825" i="18" s="1"/>
  <c r="A801" i="18"/>
  <c r="C801" i="18" s="1"/>
  <c r="B776" i="18"/>
  <c r="A751" i="18"/>
  <c r="C751" i="18" s="1"/>
  <c r="B734" i="18"/>
  <c r="A701" i="18"/>
  <c r="C701" i="18" s="1"/>
  <c r="A693" i="18"/>
  <c r="C693" i="18" s="1"/>
  <c r="B685" i="18"/>
  <c r="B676" i="18"/>
  <c r="A652" i="18"/>
  <c r="C652" i="18" s="1"/>
  <c r="A643" i="18"/>
  <c r="C643" i="18" s="1"/>
  <c r="A636" i="18"/>
  <c r="C636" i="18" s="1"/>
  <c r="A620" i="18"/>
  <c r="C620" i="18" s="1"/>
  <c r="A597" i="18"/>
  <c r="C597" i="18" s="1"/>
  <c r="A589" i="18"/>
  <c r="C589" i="18" s="1"/>
  <c r="A560" i="18"/>
  <c r="C560" i="18" s="1"/>
  <c r="B546" i="18"/>
  <c r="B532" i="18"/>
  <c r="B526" i="18"/>
  <c r="A487" i="18"/>
  <c r="C487" i="18" s="1"/>
  <c r="A480" i="18"/>
  <c r="C480" i="18" s="1"/>
  <c r="B467" i="18"/>
  <c r="A428" i="18"/>
  <c r="C428" i="18" s="1"/>
  <c r="B421" i="18"/>
  <c r="B402" i="18"/>
  <c r="A395" i="18"/>
  <c r="C395" i="18" s="1"/>
  <c r="A382" i="18"/>
  <c r="C382" i="18" s="1"/>
  <c r="A282" i="18"/>
  <c r="C282" i="18" s="1"/>
  <c r="B195" i="18"/>
  <c r="B167" i="18"/>
  <c r="B156" i="18"/>
  <c r="A139" i="18"/>
  <c r="C139" i="18" s="1"/>
  <c r="B128" i="18"/>
  <c r="A122" i="18"/>
  <c r="C122" i="18" s="1"/>
  <c r="A111" i="18"/>
  <c r="C111" i="18" s="1"/>
  <c r="A100" i="18"/>
  <c r="C100" i="18" s="1"/>
  <c r="A83" i="18"/>
  <c r="C83" i="18" s="1"/>
  <c r="B60" i="18"/>
  <c r="A43" i="18"/>
  <c r="C43" i="18" s="1"/>
  <c r="B32" i="18"/>
  <c r="B2003" i="18"/>
  <c r="B1941" i="18"/>
  <c r="A1911" i="18"/>
  <c r="C1911" i="18" s="1"/>
  <c r="A1898" i="18"/>
  <c r="C1898" i="18" s="1"/>
  <c r="B1867" i="18"/>
  <c r="A1837" i="18"/>
  <c r="C1837" i="18" s="1"/>
  <c r="B1809" i="18"/>
  <c r="A1793" i="18"/>
  <c r="C1793" i="18" s="1"/>
  <c r="B1781" i="18"/>
  <c r="B1753" i="18"/>
  <c r="A1637" i="18"/>
  <c r="C1637" i="18" s="1"/>
  <c r="B1613" i="18"/>
  <c r="A1564" i="18"/>
  <c r="C1564" i="18" s="1"/>
  <c r="A1531" i="18"/>
  <c r="C1531" i="18" s="1"/>
  <c r="B1486" i="18"/>
  <c r="B1474" i="18"/>
  <c r="B1454" i="18"/>
  <c r="A1444" i="18"/>
  <c r="C1444" i="18" s="1"/>
  <c r="A1432" i="18"/>
  <c r="C1432" i="18" s="1"/>
  <c r="B1423" i="18"/>
  <c r="B1381" i="18"/>
  <c r="A1361" i="18"/>
  <c r="C1361" i="18" s="1"/>
  <c r="A1352" i="18"/>
  <c r="C1352" i="18" s="1"/>
  <c r="B1333" i="18"/>
  <c r="B1286" i="18"/>
  <c r="B1277" i="18"/>
  <c r="B1267" i="18"/>
  <c r="A1250" i="18"/>
  <c r="C1250" i="18" s="1"/>
  <c r="A1175" i="18"/>
  <c r="C1175" i="18" s="1"/>
  <c r="A1137" i="18"/>
  <c r="C1137" i="18" s="1"/>
  <c r="B1109" i="18"/>
  <c r="B1100" i="18"/>
  <c r="B1089" i="18"/>
  <c r="A1053" i="18"/>
  <c r="C1053" i="18" s="1"/>
  <c r="A1034" i="18"/>
  <c r="C1034" i="18" s="1"/>
  <c r="B1006" i="18"/>
  <c r="A987" i="18"/>
  <c r="C987" i="18" s="1"/>
  <c r="A978" i="18"/>
  <c r="C978" i="18" s="1"/>
  <c r="B968" i="18"/>
  <c r="B951" i="18"/>
  <c r="A942" i="18"/>
  <c r="C942" i="18" s="1"/>
  <c r="A925" i="18"/>
  <c r="C925" i="18" s="1"/>
  <c r="A917" i="18"/>
  <c r="C917" i="18" s="1"/>
  <c r="B892" i="18"/>
  <c r="A866" i="18"/>
  <c r="C866" i="18" s="1"/>
  <c r="B850" i="18"/>
  <c r="B834" i="18"/>
  <c r="B817" i="18"/>
  <c r="A792" i="18"/>
  <c r="C792" i="18" s="1"/>
  <c r="B759" i="18"/>
  <c r="B742" i="18"/>
  <c r="A734" i="18"/>
  <c r="C734" i="18" s="1"/>
  <c r="B726" i="18"/>
  <c r="B717" i="18"/>
  <c r="A684" i="18"/>
  <c r="C684" i="18" s="1"/>
  <c r="A676" i="18"/>
  <c r="C676" i="18" s="1"/>
  <c r="B667" i="18"/>
  <c r="A612" i="18"/>
  <c r="C612" i="18" s="1"/>
  <c r="B573" i="18"/>
  <c r="A538" i="18"/>
  <c r="C538" i="18" s="1"/>
  <c r="A532" i="18"/>
  <c r="C532" i="18" s="1"/>
  <c r="B519" i="18"/>
  <c r="B512" i="18"/>
  <c r="A473" i="18"/>
  <c r="C473" i="18" s="1"/>
  <c r="A467" i="18"/>
  <c r="C467" i="18" s="1"/>
  <c r="A421" i="18"/>
  <c r="C421" i="18" s="1"/>
  <c r="B414" i="18"/>
  <c r="B408" i="18"/>
  <c r="A402" i="18"/>
  <c r="C402" i="18" s="1"/>
  <c r="B350" i="18"/>
  <c r="B337" i="18"/>
  <c r="B319" i="18"/>
  <c r="B313" i="18"/>
  <c r="B306" i="18"/>
  <c r="B288" i="18"/>
  <c r="B275" i="18"/>
  <c r="A257" i="18"/>
  <c r="C257" i="18" s="1"/>
  <c r="B244" i="18"/>
  <c r="A232" i="18"/>
  <c r="C232" i="18" s="1"/>
  <c r="B213" i="18"/>
  <c r="A201" i="18"/>
  <c r="C201" i="18" s="1"/>
  <c r="A195" i="18"/>
  <c r="C195" i="18" s="1"/>
  <c r="B184" i="18"/>
  <c r="A167" i="18"/>
  <c r="C167" i="18" s="1"/>
  <c r="A156" i="18"/>
  <c r="C156" i="18" s="1"/>
  <c r="B144" i="18"/>
  <c r="A128" i="18"/>
  <c r="C128" i="18" s="1"/>
  <c r="B116" i="18"/>
  <c r="B88" i="18"/>
  <c r="B77" i="18"/>
  <c r="A71" i="18"/>
  <c r="C71" i="18" s="1"/>
  <c r="A60" i="18"/>
  <c r="C60" i="18" s="1"/>
  <c r="A49" i="18"/>
  <c r="C49" i="18" s="1"/>
  <c r="A32" i="18"/>
  <c r="C32" i="18" s="1"/>
  <c r="B20" i="18"/>
  <c r="A2003" i="18"/>
  <c r="C2003" i="18" s="1"/>
  <c r="B1972" i="18"/>
  <c r="A1941" i="18"/>
  <c r="C1941" i="18" s="1"/>
  <c r="B1879" i="18"/>
  <c r="A1849" i="18"/>
  <c r="C1849" i="18" s="1"/>
  <c r="B1821" i="18"/>
  <c r="A1809" i="18"/>
  <c r="C1809" i="18" s="1"/>
  <c r="A1753" i="18"/>
  <c r="C1753" i="18" s="1"/>
  <c r="B1726" i="18"/>
  <c r="B1713" i="18"/>
  <c r="A1687" i="18"/>
  <c r="C1687" i="18" s="1"/>
  <c r="B1673" i="18"/>
  <c r="A1613" i="18"/>
  <c r="C1613" i="18" s="1"/>
  <c r="B1588" i="18"/>
  <c r="B1540" i="18"/>
  <c r="A1507" i="18"/>
  <c r="C1507" i="18" s="1"/>
  <c r="A1486" i="18"/>
  <c r="C1486" i="18" s="1"/>
  <c r="A1465" i="18"/>
  <c r="C1465" i="18" s="1"/>
  <c r="B1453" i="18"/>
  <c r="A1423" i="18"/>
  <c r="C1423" i="18" s="1"/>
  <c r="B1389" i="18"/>
  <c r="A1381" i="18"/>
  <c r="C1381" i="18" s="1"/>
  <c r="A1333" i="18"/>
  <c r="C1333" i="18" s="1"/>
  <c r="B1324" i="18"/>
  <c r="B1305" i="18"/>
  <c r="A1286" i="18"/>
  <c r="C1286" i="18" s="1"/>
  <c r="B1230" i="18"/>
  <c r="A1211" i="18"/>
  <c r="C1211" i="18" s="1"/>
  <c r="A1203" i="18"/>
  <c r="C1203" i="18" s="1"/>
  <c r="A1147" i="18"/>
  <c r="C1147" i="18" s="1"/>
  <c r="B1128" i="18"/>
  <c r="B1117" i="18"/>
  <c r="A1100" i="18"/>
  <c r="C1100" i="18" s="1"/>
  <c r="A1089" i="18"/>
  <c r="C1089" i="18" s="1"/>
  <c r="A1072" i="18"/>
  <c r="C1072" i="18" s="1"/>
  <c r="B1042" i="18"/>
  <c r="A1025" i="18"/>
  <c r="C1025" i="18" s="1"/>
  <c r="A1015" i="18"/>
  <c r="C1015" i="18" s="1"/>
  <c r="A1006" i="18"/>
  <c r="C1006" i="18" s="1"/>
  <c r="A997" i="18"/>
  <c r="C997" i="18" s="1"/>
  <c r="A951" i="18"/>
  <c r="C951" i="18" s="1"/>
  <c r="B891" i="18"/>
  <c r="B858" i="18"/>
  <c r="A817" i="18"/>
  <c r="C817" i="18" s="1"/>
  <c r="B808" i="18"/>
  <c r="A791" i="18"/>
  <c r="C791" i="18" s="1"/>
  <c r="B783" i="18"/>
  <c r="B775" i="18"/>
  <c r="A742" i="18"/>
  <c r="C742" i="18" s="1"/>
  <c r="A717" i="18"/>
  <c r="C717" i="18" s="1"/>
  <c r="B708" i="18"/>
  <c r="A683" i="18"/>
  <c r="C683" i="18" s="1"/>
  <c r="A667" i="18"/>
  <c r="C667" i="18" s="1"/>
  <c r="A659" i="18"/>
  <c r="C659" i="18" s="1"/>
  <c r="B627" i="18"/>
  <c r="B603" i="18"/>
  <c r="A573" i="18"/>
  <c r="C573" i="18" s="1"/>
  <c r="B566" i="18"/>
  <c r="B552" i="18"/>
  <c r="B545" i="18"/>
  <c r="A525" i="18"/>
  <c r="C525" i="18" s="1"/>
  <c r="A519" i="18"/>
  <c r="C519" i="18" s="1"/>
  <c r="B499" i="18"/>
  <c r="A479" i="18"/>
  <c r="C479" i="18" s="1"/>
  <c r="B460" i="18"/>
  <c r="B453" i="18"/>
  <c r="A427" i="18"/>
  <c r="C427" i="18" s="1"/>
  <c r="A414" i="18"/>
  <c r="C414" i="18" s="1"/>
  <c r="A408" i="18"/>
  <c r="C408" i="18" s="1"/>
  <c r="B388" i="18"/>
  <c r="B368" i="18"/>
  <c r="B362" i="18"/>
  <c r="A350" i="18"/>
  <c r="C350" i="18" s="1"/>
  <c r="B344" i="18"/>
  <c r="A337" i="18"/>
  <c r="C337" i="18" s="1"/>
  <c r="B331" i="18"/>
  <c r="A319" i="18"/>
  <c r="C319" i="18" s="1"/>
  <c r="A306" i="18"/>
  <c r="C306" i="18" s="1"/>
  <c r="B300" i="18"/>
  <c r="B294" i="18"/>
  <c r="A288" i="18"/>
  <c r="C288" i="18" s="1"/>
  <c r="A275" i="18"/>
  <c r="C275" i="18" s="1"/>
  <c r="B269" i="18"/>
  <c r="B250" i="18"/>
  <c r="A244" i="18"/>
  <c r="C244" i="18" s="1"/>
  <c r="B238" i="18"/>
  <c r="B225" i="18"/>
  <c r="A213" i="18"/>
  <c r="C213" i="18" s="1"/>
  <c r="B207" i="18"/>
  <c r="B172" i="18"/>
  <c r="B161" i="18"/>
  <c r="A144" i="18"/>
  <c r="C144" i="18" s="1"/>
  <c r="B133" i="18"/>
  <c r="A116" i="18"/>
  <c r="C116" i="18" s="1"/>
  <c r="B105" i="18"/>
  <c r="A99" i="18"/>
  <c r="C99" i="18" s="1"/>
  <c r="A88" i="18"/>
  <c r="C88" i="18" s="1"/>
  <c r="A77" i="18"/>
  <c r="C77" i="18" s="1"/>
  <c r="B37" i="18"/>
  <c r="A20" i="18"/>
  <c r="C20" i="18" s="1"/>
  <c r="A1972" i="18"/>
  <c r="C1972" i="18" s="1"/>
  <c r="B1955" i="18"/>
  <c r="B1910" i="18"/>
  <c r="A1896" i="18"/>
  <c r="C1896" i="18" s="1"/>
  <c r="A1879" i="18"/>
  <c r="C1879" i="18" s="1"/>
  <c r="B1820" i="18"/>
  <c r="A1765" i="18"/>
  <c r="C1765" i="18" s="1"/>
  <c r="B1725" i="18"/>
  <c r="B1711" i="18"/>
  <c r="B1698" i="18"/>
  <c r="A1673" i="18"/>
  <c r="C1673" i="18" s="1"/>
  <c r="A1661" i="18"/>
  <c r="C1661" i="18" s="1"/>
  <c r="A1647" i="18"/>
  <c r="C1647" i="18" s="1"/>
  <c r="B1623" i="18"/>
  <c r="B1599" i="18"/>
  <c r="A1588" i="18"/>
  <c r="C1588" i="18" s="1"/>
  <c r="B1574" i="18"/>
  <c r="A1540" i="18"/>
  <c r="C1540" i="18" s="1"/>
  <c r="A1517" i="18"/>
  <c r="C1517" i="18" s="1"/>
  <c r="A1464" i="18"/>
  <c r="C1464" i="18" s="1"/>
  <c r="A1453" i="18"/>
  <c r="C1453" i="18" s="1"/>
  <c r="A1431" i="18"/>
  <c r="C1431" i="18" s="1"/>
  <c r="A1389" i="18"/>
  <c r="C1389" i="18" s="1"/>
  <c r="B1360" i="18"/>
  <c r="B1341" i="18"/>
  <c r="A1324" i="18"/>
  <c r="C1324" i="18" s="1"/>
  <c r="B1313" i="18"/>
  <c r="A1305" i="18"/>
  <c r="C1305" i="18" s="1"/>
  <c r="B1266" i="18"/>
  <c r="B1258" i="18"/>
  <c r="A1249" i="18"/>
  <c r="C1249" i="18" s="1"/>
  <c r="B1239" i="18"/>
  <c r="A1230" i="18"/>
  <c r="C1230" i="18" s="1"/>
  <c r="B1202" i="18"/>
  <c r="B1183" i="18"/>
  <c r="B1164" i="18"/>
  <c r="A1155" i="18"/>
  <c r="C1155" i="18" s="1"/>
  <c r="A1117" i="18"/>
  <c r="C1117" i="18" s="1"/>
  <c r="B1081" i="18"/>
  <c r="B1070" i="18"/>
  <c r="A1061" i="18"/>
  <c r="C1061" i="18" s="1"/>
  <c r="A1042" i="18"/>
  <c r="C1042" i="18" s="1"/>
  <c r="A1014" i="18"/>
  <c r="C1014" i="18" s="1"/>
  <c r="B995" i="18"/>
  <c r="A967" i="18"/>
  <c r="C967" i="18" s="1"/>
  <c r="B959" i="18"/>
  <c r="A875" i="18"/>
  <c r="C875" i="18" s="1"/>
  <c r="A858" i="18"/>
  <c r="C858" i="18" s="1"/>
  <c r="B849" i="18"/>
  <c r="B824" i="18"/>
  <c r="A808" i="18"/>
  <c r="C808" i="18" s="1"/>
  <c r="A800" i="18"/>
  <c r="C800" i="18" s="1"/>
  <c r="A783" i="18"/>
  <c r="C783" i="18" s="1"/>
  <c r="B749" i="18"/>
  <c r="A708" i="18"/>
  <c r="C708" i="18" s="1"/>
  <c r="B692" i="18"/>
  <c r="B642" i="18"/>
  <c r="A627" i="18"/>
  <c r="C627" i="18" s="1"/>
  <c r="B619" i="18"/>
  <c r="A610" i="18"/>
  <c r="C610" i="18" s="1"/>
  <c r="A603" i="18"/>
  <c r="C603" i="18" s="1"/>
  <c r="A596" i="18"/>
  <c r="C596" i="18" s="1"/>
  <c r="A566" i="18"/>
  <c r="C566" i="18" s="1"/>
  <c r="A552" i="18"/>
  <c r="C552" i="18" s="1"/>
  <c r="B1995" i="18"/>
  <c r="B1902" i="18"/>
  <c r="A1812" i="18"/>
  <c r="C1812" i="18" s="1"/>
  <c r="B1798" i="18"/>
  <c r="A1761" i="18"/>
  <c r="C1761" i="18" s="1"/>
  <c r="A1745" i="18"/>
  <c r="C1745" i="18" s="1"/>
  <c r="B1714" i="18"/>
  <c r="A1681" i="18"/>
  <c r="C1681" i="18" s="1"/>
  <c r="B1636" i="18"/>
  <c r="A1622" i="18"/>
  <c r="C1622" i="18" s="1"/>
  <c r="A1579" i="18"/>
  <c r="C1579" i="18" s="1"/>
  <c r="A1562" i="18"/>
  <c r="C1562" i="18" s="1"/>
  <c r="A1533" i="18"/>
  <c r="C1533" i="18" s="1"/>
  <c r="A1519" i="18"/>
  <c r="C1519" i="18" s="1"/>
  <c r="A1467" i="18"/>
  <c r="C1467" i="18" s="1"/>
  <c r="A1403" i="18"/>
  <c r="C1403" i="18" s="1"/>
  <c r="A1345" i="18"/>
  <c r="C1345" i="18" s="1"/>
  <c r="B1331" i="18"/>
  <c r="A1240" i="18"/>
  <c r="C1240" i="18" s="1"/>
  <c r="A1229" i="18"/>
  <c r="C1229" i="18" s="1"/>
  <c r="B1205" i="18"/>
  <c r="A1195" i="18"/>
  <c r="C1195" i="18" s="1"/>
  <c r="B1124" i="18"/>
  <c r="A1093" i="18"/>
  <c r="C1093" i="18" s="1"/>
  <c r="B1035" i="18"/>
  <c r="A1022" i="18"/>
  <c r="C1022" i="18" s="1"/>
  <c r="A1012" i="18"/>
  <c r="C1012" i="18" s="1"/>
  <c r="B1000" i="18"/>
  <c r="B988" i="18"/>
  <c r="A977" i="18"/>
  <c r="C977" i="18" s="1"/>
  <c r="B945" i="18"/>
  <c r="B934" i="18"/>
  <c r="A904" i="18"/>
  <c r="C904" i="18" s="1"/>
  <c r="A883" i="18"/>
  <c r="C883" i="18" s="1"/>
  <c r="A863" i="18"/>
  <c r="C863" i="18" s="1"/>
  <c r="A843" i="18"/>
  <c r="C843" i="18" s="1"/>
  <c r="B822" i="18"/>
  <c r="A802" i="18"/>
  <c r="C802" i="18" s="1"/>
  <c r="B761" i="18"/>
  <c r="A741" i="18"/>
  <c r="C741" i="18" s="1"/>
  <c r="A679" i="18"/>
  <c r="C679" i="18" s="1"/>
  <c r="A660" i="18"/>
  <c r="C660" i="18" s="1"/>
  <c r="A621" i="18"/>
  <c r="C621" i="18" s="1"/>
  <c r="B592" i="18"/>
  <c r="A575" i="18"/>
  <c r="C575" i="18" s="1"/>
  <c r="B565" i="18"/>
  <c r="A556" i="18"/>
  <c r="C556" i="18" s="1"/>
  <c r="B509" i="18"/>
  <c r="A501" i="18"/>
  <c r="C501" i="18" s="1"/>
  <c r="B494" i="18"/>
  <c r="B478" i="18"/>
  <c r="B463" i="18"/>
  <c r="A456" i="18"/>
  <c r="C456" i="18" s="1"/>
  <c r="A441" i="18"/>
  <c r="C441" i="18" s="1"/>
  <c r="B418" i="18"/>
  <c r="A396" i="18"/>
  <c r="C396" i="18" s="1"/>
  <c r="B358" i="18"/>
  <c r="B336" i="18"/>
  <c r="A322" i="18"/>
  <c r="C322" i="18" s="1"/>
  <c r="A315" i="18"/>
  <c r="C315" i="18" s="1"/>
  <c r="B293" i="18"/>
  <c r="A286" i="18"/>
  <c r="C286" i="18" s="1"/>
  <c r="A279" i="18"/>
  <c r="C279" i="18" s="1"/>
  <c r="A243" i="18"/>
  <c r="C243" i="18" s="1"/>
  <c r="B235" i="18"/>
  <c r="A214" i="18"/>
  <c r="C214" i="18" s="1"/>
  <c r="A207" i="18"/>
  <c r="C207" i="18" s="1"/>
  <c r="B174" i="18"/>
  <c r="A121" i="18"/>
  <c r="C121" i="18" s="1"/>
  <c r="A115" i="18"/>
  <c r="C115" i="18" s="1"/>
  <c r="B108" i="18"/>
  <c r="A102" i="18"/>
  <c r="C102" i="18" s="1"/>
  <c r="A89" i="18"/>
  <c r="C89" i="18" s="1"/>
  <c r="B82" i="18"/>
  <c r="B69" i="18"/>
  <c r="B63" i="18"/>
  <c r="B56" i="18"/>
  <c r="B50" i="18"/>
  <c r="B2014" i="18"/>
  <c r="A1995" i="18"/>
  <c r="C1995" i="18" s="1"/>
  <c r="A1940" i="18"/>
  <c r="C1940" i="18" s="1"/>
  <c r="B1921" i="18"/>
  <c r="B1865" i="18"/>
  <c r="B1830" i="18"/>
  <c r="B1811" i="18"/>
  <c r="A1798" i="18"/>
  <c r="C1798" i="18" s="1"/>
  <c r="A1778" i="18"/>
  <c r="C1778" i="18" s="1"/>
  <c r="B1728" i="18"/>
  <c r="B1710" i="18"/>
  <c r="B1696" i="18"/>
  <c r="B1665" i="18"/>
  <c r="A1650" i="18"/>
  <c r="C1650" i="18" s="1"/>
  <c r="B1606" i="18"/>
  <c r="A1574" i="18"/>
  <c r="C1574" i="18" s="1"/>
  <c r="B1561" i="18"/>
  <c r="A1452" i="18"/>
  <c r="C1452" i="18" s="1"/>
  <c r="B1439" i="18"/>
  <c r="B1429" i="18"/>
  <c r="A1416" i="18"/>
  <c r="C1416" i="18" s="1"/>
  <c r="B1388" i="18"/>
  <c r="B1376" i="18"/>
  <c r="A1341" i="18"/>
  <c r="C1341" i="18" s="1"/>
  <c r="A1331" i="18"/>
  <c r="C1331" i="18" s="1"/>
  <c r="B1319" i="18"/>
  <c r="B1307" i="18"/>
  <c r="A1298" i="18"/>
  <c r="C1298" i="18" s="1"/>
  <c r="A1285" i="18"/>
  <c r="C1285" i="18" s="1"/>
  <c r="A1239" i="18"/>
  <c r="C1239" i="18" s="1"/>
  <c r="B1170" i="18"/>
  <c r="A1160" i="18"/>
  <c r="C1160" i="18" s="1"/>
  <c r="A1124" i="18"/>
  <c r="C1124" i="18" s="1"/>
  <c r="B1102" i="18"/>
  <c r="B1068" i="18"/>
  <c r="B1033" i="18"/>
  <c r="A1000" i="18"/>
  <c r="C1000" i="18" s="1"/>
  <c r="A965" i="18"/>
  <c r="C965" i="18" s="1"/>
  <c r="B954" i="18"/>
  <c r="A945" i="18"/>
  <c r="C945" i="18" s="1"/>
  <c r="B923" i="18"/>
  <c r="B912" i="18"/>
  <c r="B893" i="18"/>
  <c r="A882" i="18"/>
  <c r="C882" i="18" s="1"/>
  <c r="B871" i="18"/>
  <c r="A822" i="18"/>
  <c r="C822" i="18" s="1"/>
  <c r="A811" i="18"/>
  <c r="C811" i="18" s="1"/>
  <c r="B770" i="18"/>
  <c r="A761" i="18"/>
  <c r="C761" i="18" s="1"/>
  <c r="B740" i="18"/>
  <c r="B729" i="18"/>
  <c r="A669" i="18"/>
  <c r="C669" i="18" s="1"/>
  <c r="B601" i="18"/>
  <c r="A592" i="18"/>
  <c r="C592" i="18" s="1"/>
  <c r="B583" i="18"/>
  <c r="A565" i="18"/>
  <c r="C565" i="18" s="1"/>
  <c r="A539" i="18"/>
  <c r="C539" i="18" s="1"/>
  <c r="B531" i="18"/>
  <c r="B523" i="18"/>
  <c r="A509" i="18"/>
  <c r="C509" i="18" s="1"/>
  <c r="A494" i="18"/>
  <c r="C494" i="18" s="1"/>
  <c r="B485" i="18"/>
  <c r="A478" i="18"/>
  <c r="C478" i="18" s="1"/>
  <c r="B471" i="18"/>
  <c r="A463" i="18"/>
  <c r="C463" i="18" s="1"/>
  <c r="B448" i="18"/>
  <c r="B440" i="18"/>
  <c r="B432" i="18"/>
  <c r="A418" i="18"/>
  <c r="C418" i="18" s="1"/>
  <c r="B403" i="18"/>
  <c r="B380" i="18"/>
  <c r="B372" i="18"/>
  <c r="B343" i="18"/>
  <c r="A336" i="18"/>
  <c r="C336" i="18" s="1"/>
  <c r="B308" i="18"/>
  <c r="A300" i="18"/>
  <c r="C300" i="18" s="1"/>
  <c r="A293" i="18"/>
  <c r="C293" i="18" s="1"/>
  <c r="A271" i="18"/>
  <c r="C271" i="18" s="1"/>
  <c r="B249" i="18"/>
  <c r="A235" i="18"/>
  <c r="C235" i="18" s="1"/>
  <c r="B199" i="18"/>
  <c r="B193" i="18"/>
  <c r="B186" i="18"/>
  <c r="B180" i="18"/>
  <c r="A174" i="18"/>
  <c r="C174" i="18" s="1"/>
  <c r="B141" i="18"/>
  <c r="A82" i="18"/>
  <c r="C82" i="18" s="1"/>
  <c r="B75" i="18"/>
  <c r="A69" i="18"/>
  <c r="C69" i="18" s="1"/>
  <c r="A56" i="18"/>
  <c r="C56" i="18" s="1"/>
  <c r="A50" i="18"/>
  <c r="C50" i="18" s="1"/>
  <c r="B2013" i="18"/>
  <c r="B1960" i="18"/>
  <c r="A1921" i="18"/>
  <c r="C1921" i="18" s="1"/>
  <c r="A1901" i="18"/>
  <c r="C1901" i="18" s="1"/>
  <c r="B1829" i="18"/>
  <c r="A1665" i="18"/>
  <c r="C1665" i="18" s="1"/>
  <c r="A1632" i="18"/>
  <c r="C1632" i="18" s="1"/>
  <c r="B1546" i="18"/>
  <c r="B1518" i="18"/>
  <c r="A1479" i="18"/>
  <c r="C1479" i="18" s="1"/>
  <c r="B1466" i="18"/>
  <c r="A1439" i="18"/>
  <c r="C1439" i="18" s="1"/>
  <c r="A1429" i="18"/>
  <c r="C1429" i="18" s="1"/>
  <c r="B1402" i="18"/>
  <c r="A1388" i="18"/>
  <c r="C1388" i="18" s="1"/>
  <c r="B1365" i="18"/>
  <c r="A1319" i="18"/>
  <c r="C1319" i="18" s="1"/>
  <c r="A1307" i="18"/>
  <c r="C1307" i="18" s="1"/>
  <c r="B1272" i="18"/>
  <c r="B1263" i="18"/>
  <c r="B1182" i="18"/>
  <c r="A1170" i="18"/>
  <c r="C1170" i="18" s="1"/>
  <c r="B1158" i="18"/>
  <c r="B1148" i="18"/>
  <c r="B1135" i="18"/>
  <c r="A1102" i="18"/>
  <c r="C1102" i="18" s="1"/>
  <c r="A1090" i="18"/>
  <c r="C1090" i="18" s="1"/>
  <c r="A1079" i="18"/>
  <c r="C1079" i="18" s="1"/>
  <c r="A1056" i="18"/>
  <c r="C1056" i="18" s="1"/>
  <c r="B1046" i="18"/>
  <c r="A1033" i="18"/>
  <c r="C1033" i="18" s="1"/>
  <c r="B1011" i="18"/>
  <c r="A954" i="18"/>
  <c r="C954" i="18" s="1"/>
  <c r="A893" i="18"/>
  <c r="C893" i="18" s="1"/>
  <c r="B881" i="18"/>
  <c r="A871" i="18"/>
  <c r="C871" i="18" s="1"/>
  <c r="B830" i="18"/>
  <c r="A740" i="18"/>
  <c r="C740" i="18" s="1"/>
  <c r="A729" i="18"/>
  <c r="C729" i="18" s="1"/>
  <c r="A699" i="18"/>
  <c r="C699" i="18" s="1"/>
  <c r="B688" i="18"/>
  <c r="B658" i="18"/>
  <c r="A648" i="18"/>
  <c r="C648" i="18" s="1"/>
  <c r="B629" i="18"/>
  <c r="B620" i="18"/>
  <c r="B609" i="18"/>
  <c r="A583" i="18"/>
  <c r="C583" i="18" s="1"/>
  <c r="B572" i="18"/>
  <c r="A531" i="18"/>
  <c r="C531" i="18" s="1"/>
  <c r="A485" i="18"/>
  <c r="C485" i="18" s="1"/>
  <c r="A448" i="18"/>
  <c r="C448" i="18" s="1"/>
  <c r="A440" i="18"/>
  <c r="C440" i="18" s="1"/>
  <c r="B425" i="18"/>
  <c r="A403" i="18"/>
  <c r="C403" i="18" s="1"/>
  <c r="B394" i="18"/>
  <c r="A256" i="18"/>
  <c r="C256" i="18" s="1"/>
  <c r="A249" i="18"/>
  <c r="C249" i="18" s="1"/>
  <c r="B228" i="18"/>
  <c r="B206" i="18"/>
  <c r="A199" i="18"/>
  <c r="C199" i="18" s="1"/>
  <c r="A193" i="18"/>
  <c r="C193" i="18" s="1"/>
  <c r="A186" i="18"/>
  <c r="C186" i="18" s="1"/>
  <c r="A180" i="18"/>
  <c r="C180" i="18" s="1"/>
  <c r="B166" i="18"/>
  <c r="B160" i="18"/>
  <c r="B147" i="18"/>
  <c r="B134" i="18"/>
  <c r="A75" i="18"/>
  <c r="C75" i="18" s="1"/>
  <c r="B62" i="18"/>
  <c r="B42" i="18"/>
  <c r="B36" i="18"/>
  <c r="B29" i="18"/>
  <c r="B23" i="18"/>
  <c r="B17" i="18"/>
  <c r="A2013" i="18"/>
  <c r="C2013" i="18" s="1"/>
  <c r="B1976" i="18"/>
  <c r="A1955" i="18"/>
  <c r="C1955" i="18" s="1"/>
  <c r="B1939" i="18"/>
  <c r="B1920" i="18"/>
  <c r="B1860" i="18"/>
  <c r="A1827" i="18"/>
  <c r="C1827" i="18" s="1"/>
  <c r="B1792" i="18"/>
  <c r="A1775" i="18"/>
  <c r="C1775" i="18" s="1"/>
  <c r="A1709" i="18"/>
  <c r="C1709" i="18" s="1"/>
  <c r="B1589" i="18"/>
  <c r="B1558" i="18"/>
  <c r="A1546" i="18"/>
  <c r="C1546" i="18" s="1"/>
  <c r="A1532" i="18"/>
  <c r="C1532" i="18" s="1"/>
  <c r="B1503" i="18"/>
  <c r="A1466" i="18"/>
  <c r="C1466" i="18" s="1"/>
  <c r="B1451" i="18"/>
  <c r="B1401" i="18"/>
  <c r="A1365" i="18"/>
  <c r="C1365" i="18" s="1"/>
  <c r="B1353" i="18"/>
  <c r="B1330" i="18"/>
  <c r="B1294" i="18"/>
  <c r="B1284" i="18"/>
  <c r="A1226" i="18"/>
  <c r="C1226" i="18" s="1"/>
  <c r="B1216" i="18"/>
  <c r="B1192" i="18"/>
  <c r="A1158" i="18"/>
  <c r="C1158" i="18" s="1"/>
  <c r="A1148" i="18"/>
  <c r="C1148" i="18" s="1"/>
  <c r="B1078" i="18"/>
  <c r="A1067" i="18"/>
  <c r="C1067" i="18" s="1"/>
  <c r="A1046" i="18"/>
  <c r="C1046" i="18" s="1"/>
  <c r="B975" i="18"/>
  <c r="A944" i="18"/>
  <c r="C944" i="18" s="1"/>
  <c r="B931" i="18"/>
  <c r="B902" i="18"/>
  <c r="B890" i="18"/>
  <c r="B861" i="18"/>
  <c r="A830" i="18"/>
  <c r="C830" i="18" s="1"/>
  <c r="A821" i="18"/>
  <c r="C821" i="18" s="1"/>
  <c r="A799" i="18"/>
  <c r="C799" i="18" s="1"/>
  <c r="A789" i="18"/>
  <c r="C789" i="18" s="1"/>
  <c r="B780" i="18"/>
  <c r="B760" i="18"/>
  <c r="B748" i="18"/>
  <c r="B739" i="18"/>
  <c r="B719" i="18"/>
  <c r="B678" i="18"/>
  <c r="B668" i="18"/>
  <c r="A658" i="18"/>
  <c r="C658" i="18" s="1"/>
  <c r="A629" i="18"/>
  <c r="C629" i="18" s="1"/>
  <c r="A619" i="18"/>
  <c r="C619" i="18" s="1"/>
  <c r="A609" i="18"/>
  <c r="C609" i="18" s="1"/>
  <c r="B600" i="18"/>
  <c r="A572" i="18"/>
  <c r="C572" i="18" s="1"/>
  <c r="B555" i="18"/>
  <c r="B547" i="18"/>
  <c r="B515" i="18"/>
  <c r="B455" i="18"/>
  <c r="A425" i="18"/>
  <c r="C425" i="18" s="1"/>
  <c r="B379" i="18"/>
  <c r="B365" i="18"/>
  <c r="A342" i="18"/>
  <c r="C342" i="18" s="1"/>
  <c r="A292" i="18"/>
  <c r="C292" i="18" s="1"/>
  <c r="B264" i="18"/>
  <c r="B205" i="18"/>
  <c r="A166" i="18"/>
  <c r="C166" i="18" s="1"/>
  <c r="A160" i="18"/>
  <c r="C160" i="18" s="1"/>
  <c r="A153" i="18"/>
  <c r="C153" i="18" s="1"/>
  <c r="A147" i="18"/>
  <c r="C147" i="18" s="1"/>
  <c r="B140" i="18"/>
  <c r="A134" i="18"/>
  <c r="C134" i="18" s="1"/>
  <c r="A95" i="18"/>
  <c r="C95" i="18" s="1"/>
  <c r="A42" i="18"/>
  <c r="C42" i="18" s="1"/>
  <c r="A36" i="18"/>
  <c r="C36" i="18" s="1"/>
  <c r="A29" i="18"/>
  <c r="C29" i="18" s="1"/>
  <c r="A23" i="18"/>
  <c r="C23" i="18" s="1"/>
  <c r="B1994" i="18"/>
  <c r="A1976" i="18"/>
  <c r="C1976" i="18" s="1"/>
  <c r="B1919" i="18"/>
  <c r="A1900" i="18"/>
  <c r="C1900" i="18" s="1"/>
  <c r="A1860" i="18"/>
  <c r="C1860" i="18" s="1"/>
  <c r="A1845" i="18"/>
  <c r="C1845" i="18" s="1"/>
  <c r="B1760" i="18"/>
  <c r="B1743" i="18"/>
  <c r="A1727" i="18"/>
  <c r="C1727" i="18" s="1"/>
  <c r="B1680" i="18"/>
  <c r="B1664" i="18"/>
  <c r="A1619" i="18"/>
  <c r="C1619" i="18" s="1"/>
  <c r="A1558" i="18"/>
  <c r="C1558" i="18" s="1"/>
  <c r="B1516" i="18"/>
  <c r="A1503" i="18"/>
  <c r="C1503" i="18" s="1"/>
  <c r="A1451" i="18"/>
  <c r="C1451" i="18" s="1"/>
  <c r="B1425" i="18"/>
  <c r="A1401" i="18"/>
  <c r="C1401" i="18" s="1"/>
  <c r="B1387" i="18"/>
  <c r="B1375" i="18"/>
  <c r="B1328" i="18"/>
  <c r="B1318" i="18"/>
  <c r="B1306" i="18"/>
  <c r="A1294" i="18"/>
  <c r="C1294" i="18" s="1"/>
  <c r="A1284" i="18"/>
  <c r="C1284" i="18" s="1"/>
  <c r="B1204" i="18"/>
  <c r="B1181" i="18"/>
  <c r="B1123" i="18"/>
  <c r="A1113" i="18"/>
  <c r="C1113" i="18" s="1"/>
  <c r="B1088" i="18"/>
  <c r="A1077" i="18"/>
  <c r="C1077" i="18" s="1"/>
  <c r="B1055" i="18"/>
  <c r="B986" i="18"/>
  <c r="B953" i="18"/>
  <c r="A931" i="18"/>
  <c r="C931" i="18" s="1"/>
  <c r="A890" i="18"/>
  <c r="C890" i="18" s="1"/>
  <c r="B880" i="18"/>
  <c r="B851" i="18"/>
  <c r="B810" i="18"/>
  <c r="A779" i="18"/>
  <c r="C779" i="18" s="1"/>
  <c r="A748" i="18"/>
  <c r="C748" i="18" s="1"/>
  <c r="A719" i="18"/>
  <c r="C719" i="18" s="1"/>
  <c r="B698" i="18"/>
  <c r="A678" i="18"/>
  <c r="C678" i="18" s="1"/>
  <c r="B638" i="18"/>
  <c r="A600" i="18"/>
  <c r="C600" i="18" s="1"/>
  <c r="B591" i="18"/>
  <c r="A555" i="18"/>
  <c r="C555" i="18" s="1"/>
  <c r="B537" i="18"/>
  <c r="B530" i="18"/>
  <c r="A515" i="18"/>
  <c r="C515" i="18" s="1"/>
  <c r="A508" i="18"/>
  <c r="C508" i="18" s="1"/>
  <c r="B500" i="18"/>
  <c r="B492" i="18"/>
  <c r="B477" i="18"/>
  <c r="B469" i="18"/>
  <c r="A455" i="18"/>
  <c r="C455" i="18" s="1"/>
  <c r="B446" i="18"/>
  <c r="B417" i="18"/>
  <c r="B409" i="18"/>
  <c r="A365" i="18"/>
  <c r="C365" i="18" s="1"/>
  <c r="B357" i="18"/>
  <c r="B328" i="18"/>
  <c r="B321" i="18"/>
  <c r="B314" i="18"/>
  <c r="B278" i="18"/>
  <c r="A264" i="18"/>
  <c r="C264" i="18" s="1"/>
  <c r="A242" i="18"/>
  <c r="C242" i="18" s="1"/>
  <c r="B220" i="18"/>
  <c r="A172" i="18"/>
  <c r="C172" i="18" s="1"/>
  <c r="B126" i="18"/>
  <c r="B120" i="18"/>
  <c r="B114" i="18"/>
  <c r="B107" i="18"/>
  <c r="B101" i="18"/>
  <c r="B81" i="18"/>
  <c r="A48" i="18"/>
  <c r="C48" i="18" s="1"/>
  <c r="A16" i="18"/>
  <c r="C16" i="18" s="1"/>
  <c r="A1974" i="18"/>
  <c r="C1974" i="18" s="1"/>
  <c r="A1934" i="18"/>
  <c r="C1934" i="18" s="1"/>
  <c r="B1810" i="18"/>
  <c r="A1791" i="18"/>
  <c r="C1791" i="18" s="1"/>
  <c r="A1760" i="18"/>
  <c r="C1760" i="18" s="1"/>
  <c r="A1743" i="18"/>
  <c r="C1743" i="18" s="1"/>
  <c r="A1725" i="18"/>
  <c r="C1725" i="18" s="1"/>
  <c r="A1663" i="18"/>
  <c r="C1663" i="18" s="1"/>
  <c r="B1631" i="18"/>
  <c r="A1604" i="18"/>
  <c r="C1604" i="18" s="1"/>
  <c r="B1573" i="18"/>
  <c r="A1516" i="18"/>
  <c r="C1516" i="18" s="1"/>
  <c r="B1438" i="18"/>
  <c r="A1425" i="18"/>
  <c r="C1425" i="18" s="1"/>
  <c r="B1414" i="18"/>
  <c r="A1400" i="18"/>
  <c r="C1400" i="18" s="1"/>
  <c r="A1387" i="18"/>
  <c r="C1387" i="18" s="1"/>
  <c r="A1375" i="18"/>
  <c r="C1375" i="18" s="1"/>
  <c r="B1340" i="18"/>
  <c r="A1328" i="18"/>
  <c r="C1328" i="18" s="1"/>
  <c r="A1318" i="18"/>
  <c r="C1318" i="18" s="1"/>
  <c r="A1306" i="18"/>
  <c r="C1306" i="18" s="1"/>
  <c r="B1225" i="18"/>
  <c r="A1204" i="18"/>
  <c r="C1204" i="18" s="1"/>
  <c r="A1123" i="18"/>
  <c r="C1123" i="18" s="1"/>
  <c r="B1101" i="18"/>
  <c r="A1088" i="18"/>
  <c r="C1088" i="18" s="1"/>
  <c r="B1066" i="18"/>
  <c r="A1020" i="18"/>
  <c r="C1020" i="18" s="1"/>
  <c r="A1008" i="18"/>
  <c r="C1008" i="18" s="1"/>
  <c r="A986" i="18"/>
  <c r="C986" i="18" s="1"/>
  <c r="B964" i="18"/>
  <c r="A953" i="18"/>
  <c r="C953" i="18" s="1"/>
  <c r="B920" i="18"/>
  <c r="B911" i="18"/>
  <c r="B860" i="18"/>
  <c r="A849" i="18"/>
  <c r="C849" i="18" s="1"/>
  <c r="B839" i="18"/>
  <c r="B819" i="18"/>
  <c r="A810" i="18"/>
  <c r="C810" i="18" s="1"/>
  <c r="B769" i="18"/>
  <c r="A707" i="18"/>
  <c r="C707" i="18" s="1"/>
  <c r="A656" i="18"/>
  <c r="C656" i="18" s="1"/>
  <c r="B647" i="18"/>
  <c r="A638" i="18"/>
  <c r="C638" i="18" s="1"/>
  <c r="A628" i="18"/>
  <c r="C628" i="18" s="1"/>
  <c r="B590" i="18"/>
  <c r="B580" i="18"/>
  <c r="A537" i="18"/>
  <c r="C537" i="18" s="1"/>
  <c r="B522" i="18"/>
  <c r="B507" i="18"/>
  <c r="A500" i="18"/>
  <c r="C500" i="18" s="1"/>
  <c r="B484" i="18"/>
  <c r="A477" i="18"/>
  <c r="C477" i="18" s="1"/>
  <c r="A469" i="18"/>
  <c r="C469" i="18" s="1"/>
  <c r="B462" i="18"/>
  <c r="A446" i="18"/>
  <c r="C446" i="18" s="1"/>
  <c r="B431" i="18"/>
  <c r="B424" i="18"/>
  <c r="A409" i="18"/>
  <c r="C409" i="18" s="1"/>
  <c r="B401" i="18"/>
  <c r="B386" i="18"/>
  <c r="B371" i="18"/>
  <c r="A357" i="18"/>
  <c r="C357" i="18" s="1"/>
  <c r="B335" i="18"/>
  <c r="A321" i="18"/>
  <c r="C321" i="18" s="1"/>
  <c r="A314" i="18"/>
  <c r="C314" i="18" s="1"/>
  <c r="B299" i="18"/>
  <c r="A278" i="18"/>
  <c r="C278" i="18" s="1"/>
  <c r="B270" i="18"/>
  <c r="B234" i="18"/>
  <c r="B227" i="18"/>
  <c r="A220" i="18"/>
  <c r="C220" i="18" s="1"/>
  <c r="B192" i="18"/>
  <c r="B179" i="18"/>
  <c r="A159" i="18"/>
  <c r="C159" i="18" s="1"/>
  <c r="A133" i="18"/>
  <c r="C133" i="18" s="1"/>
  <c r="A126" i="18"/>
  <c r="C126" i="18" s="1"/>
  <c r="A120" i="18"/>
  <c r="C120" i="18" s="1"/>
  <c r="A114" i="18"/>
  <c r="C114" i="18" s="1"/>
  <c r="A107" i="18"/>
  <c r="C107" i="18" s="1"/>
  <c r="A101" i="18"/>
  <c r="C101" i="18" s="1"/>
  <c r="A94" i="18"/>
  <c r="C94" i="18" s="1"/>
  <c r="B68" i="18"/>
  <c r="B55" i="18"/>
  <c r="A2012" i="18"/>
  <c r="C2012" i="18" s="1"/>
  <c r="B1954" i="18"/>
  <c r="A1841" i="18"/>
  <c r="C1841" i="18" s="1"/>
  <c r="B1826" i="18"/>
  <c r="B1708" i="18"/>
  <c r="B1646" i="18"/>
  <c r="A1631" i="18"/>
  <c r="C1631" i="18" s="1"/>
  <c r="A1544" i="18"/>
  <c r="C1544" i="18" s="1"/>
  <c r="B1488" i="18"/>
  <c r="B1478" i="18"/>
  <c r="B1351" i="18"/>
  <c r="A1340" i="18"/>
  <c r="C1340" i="18" s="1"/>
  <c r="B1283" i="18"/>
  <c r="B1271" i="18"/>
  <c r="B1246" i="18"/>
  <c r="B1236" i="18"/>
  <c r="A1225" i="18"/>
  <c r="C1225" i="18" s="1"/>
  <c r="A1190" i="18"/>
  <c r="C1190" i="18" s="1"/>
  <c r="B1169" i="18"/>
  <c r="B1144" i="18"/>
  <c r="B1134" i="18"/>
  <c r="B1111" i="18"/>
  <c r="A1101" i="18"/>
  <c r="C1101" i="18" s="1"/>
  <c r="A1066" i="18"/>
  <c r="C1066" i="18" s="1"/>
  <c r="A964" i="18"/>
  <c r="C964" i="18" s="1"/>
  <c r="A920" i="18"/>
  <c r="C920" i="18" s="1"/>
  <c r="A911" i="18"/>
  <c r="C911" i="18" s="1"/>
  <c r="B900" i="18"/>
  <c r="B879" i="18"/>
  <c r="B870" i="18"/>
  <c r="B798" i="18"/>
  <c r="A778" i="18"/>
  <c r="C778" i="18" s="1"/>
  <c r="A769" i="18"/>
  <c r="C769" i="18" s="1"/>
  <c r="B757" i="18"/>
  <c r="B737" i="18"/>
  <c r="B728" i="18"/>
  <c r="B718" i="18"/>
  <c r="B696" i="18"/>
  <c r="B687" i="18"/>
  <c r="A647" i="18"/>
  <c r="C647" i="18" s="1"/>
  <c r="A608" i="18"/>
  <c r="C608" i="18" s="1"/>
  <c r="A599" i="18"/>
  <c r="C599" i="18" s="1"/>
  <c r="B579" i="18"/>
  <c r="B571" i="18"/>
  <c r="A522" i="18"/>
  <c r="C522" i="18" s="1"/>
  <c r="A499" i="18"/>
  <c r="C499" i="18" s="1"/>
  <c r="B491" i="18"/>
  <c r="A462" i="18"/>
  <c r="C462" i="18" s="1"/>
  <c r="B439" i="18"/>
  <c r="A431" i="18"/>
  <c r="C431" i="18" s="1"/>
  <c r="B416" i="18"/>
  <c r="B400" i="18"/>
  <c r="B393" i="18"/>
  <c r="A386" i="18"/>
  <c r="C386" i="18" s="1"/>
  <c r="B378" i="18"/>
  <c r="A371" i="18"/>
  <c r="C371" i="18" s="1"/>
  <c r="B356" i="18"/>
  <c r="B349" i="18"/>
  <c r="A335" i="18"/>
  <c r="C335" i="18" s="1"/>
  <c r="B327" i="18"/>
  <c r="A299" i="18"/>
  <c r="C299" i="18" s="1"/>
  <c r="B291" i="18"/>
  <c r="B284" i="18"/>
  <c r="A270" i="18"/>
  <c r="C270" i="18" s="1"/>
  <c r="B255" i="18"/>
  <c r="B248" i="18"/>
  <c r="A234" i="18"/>
  <c r="C234" i="18" s="1"/>
  <c r="A227" i="18"/>
  <c r="C227" i="18" s="1"/>
  <c r="B212" i="18"/>
  <c r="B198" i="18"/>
  <c r="B185" i="18"/>
  <c r="A179" i="18"/>
  <c r="C179" i="18" s="1"/>
  <c r="B93" i="18"/>
  <c r="A87" i="18"/>
  <c r="C87" i="18" s="1"/>
  <c r="A2011" i="18"/>
  <c r="C2011" i="18" s="1"/>
  <c r="A1992" i="18"/>
  <c r="C1992" i="18" s="1"/>
  <c r="A1918" i="18"/>
  <c r="C1918" i="18" s="1"/>
  <c r="A1899" i="18"/>
  <c r="C1899" i="18" s="1"/>
  <c r="A1878" i="18"/>
  <c r="C1878" i="18" s="1"/>
  <c r="B1859" i="18"/>
  <c r="B1840" i="18"/>
  <c r="A1826" i="18"/>
  <c r="C1826" i="18" s="1"/>
  <c r="A1808" i="18"/>
  <c r="C1808" i="18" s="1"/>
  <c r="B1790" i="18"/>
  <c r="B1691" i="18"/>
  <c r="B1679" i="18"/>
  <c r="B1616" i="18"/>
  <c r="B1603" i="18"/>
  <c r="A1587" i="18"/>
  <c r="C1587" i="18" s="1"/>
  <c r="B1557" i="18"/>
  <c r="B1543" i="18"/>
  <c r="A1515" i="18"/>
  <c r="C1515" i="18" s="1"/>
  <c r="A1488" i="18"/>
  <c r="C1488" i="18" s="1"/>
  <c r="B1475" i="18"/>
  <c r="A1461" i="18"/>
  <c r="C1461" i="18" s="1"/>
  <c r="B1437" i="18"/>
  <c r="A1399" i="18"/>
  <c r="C1399" i="18" s="1"/>
  <c r="A2008" i="18"/>
  <c r="C2008" i="18" s="1"/>
  <c r="B1933" i="18"/>
  <c r="B1917" i="18"/>
  <c r="A1790" i="18"/>
  <c r="C1790" i="18" s="1"/>
  <c r="A1773" i="18"/>
  <c r="C1773" i="18" s="1"/>
  <c r="A1691" i="18"/>
  <c r="C1691" i="18" s="1"/>
  <c r="A1616" i="18"/>
  <c r="C1616" i="18" s="1"/>
  <c r="A1603" i="18"/>
  <c r="C1603" i="18" s="1"/>
  <c r="A1572" i="18"/>
  <c r="C1572" i="18" s="1"/>
  <c r="B1500" i="18"/>
  <c r="A1475" i="18"/>
  <c r="C1475" i="18" s="1"/>
  <c r="B1450" i="18"/>
  <c r="A1437" i="18"/>
  <c r="C1437" i="18" s="1"/>
  <c r="B1410" i="18"/>
  <c r="B1397" i="18"/>
  <c r="A1362" i="18"/>
  <c r="C1362" i="18" s="1"/>
  <c r="B1327" i="18"/>
  <c r="A1317" i="18"/>
  <c r="C1317" i="18" s="1"/>
  <c r="A1259" i="18"/>
  <c r="C1259" i="18" s="1"/>
  <c r="B1178" i="18"/>
  <c r="A1157" i="18"/>
  <c r="C1157" i="18" s="1"/>
  <c r="B1143" i="18"/>
  <c r="B1122" i="18"/>
  <c r="B1110" i="18"/>
  <c r="B1041" i="18"/>
  <c r="A1029" i="18"/>
  <c r="C1029" i="18" s="1"/>
  <c r="A1019" i="18"/>
  <c r="C1019" i="18" s="1"/>
  <c r="B952" i="18"/>
  <c r="A940" i="18"/>
  <c r="C940" i="18" s="1"/>
  <c r="B930" i="18"/>
  <c r="B889" i="18"/>
  <c r="A838" i="18"/>
  <c r="C838" i="18" s="1"/>
  <c r="A829" i="18"/>
  <c r="C829" i="18" s="1"/>
  <c r="A797" i="18"/>
  <c r="C797" i="18" s="1"/>
  <c r="A788" i="18"/>
  <c r="C788" i="18" s="1"/>
  <c r="B747" i="18"/>
  <c r="A716" i="18"/>
  <c r="C716" i="18" s="1"/>
  <c r="B655" i="18"/>
  <c r="B616" i="18"/>
  <c r="A598" i="18"/>
  <c r="C598" i="18" s="1"/>
  <c r="B589" i="18"/>
  <c r="B514" i="18"/>
  <c r="A506" i="18"/>
  <c r="C506" i="18" s="1"/>
  <c r="B483" i="18"/>
  <c r="B468" i="18"/>
  <c r="B423" i="18"/>
  <c r="B355" i="18"/>
  <c r="B348" i="18"/>
  <c r="A341" i="18"/>
  <c r="C341" i="18" s="1"/>
  <c r="A305" i="18"/>
  <c r="C305" i="18" s="1"/>
  <c r="A298" i="18"/>
  <c r="C298" i="18" s="1"/>
  <c r="B2002" i="18"/>
  <c r="A1848" i="18"/>
  <c r="C1848" i="18" s="1"/>
  <c r="A1788" i="18"/>
  <c r="C1788" i="18" s="1"/>
  <c r="A1755" i="18"/>
  <c r="C1755" i="18" s="1"/>
  <c r="A1705" i="18"/>
  <c r="C1705" i="18" s="1"/>
  <c r="A1653" i="18"/>
  <c r="C1653" i="18" s="1"/>
  <c r="B1628" i="18"/>
  <c r="B1550" i="18"/>
  <c r="A1504" i="18"/>
  <c r="C1504" i="18" s="1"/>
  <c r="B1373" i="18"/>
  <c r="B1335" i="18"/>
  <c r="A1313" i="18"/>
  <c r="C1313" i="18" s="1"/>
  <c r="B1299" i="18"/>
  <c r="B1224" i="18"/>
  <c r="A1209" i="18"/>
  <c r="C1209" i="18" s="1"/>
  <c r="B1153" i="18"/>
  <c r="A1097" i="18"/>
  <c r="C1097" i="18" s="1"/>
  <c r="B1063" i="18"/>
  <c r="B1047" i="18"/>
  <c r="B1012" i="18"/>
  <c r="B972" i="18"/>
  <c r="B906" i="18"/>
  <c r="B876" i="18"/>
  <c r="B828" i="18"/>
  <c r="A782" i="18"/>
  <c r="C782" i="18" s="1"/>
  <c r="A747" i="18"/>
  <c r="C747" i="18" s="1"/>
  <c r="A714" i="18"/>
  <c r="C714" i="18" s="1"/>
  <c r="A670" i="18"/>
  <c r="C670" i="18" s="1"/>
  <c r="B653" i="18"/>
  <c r="A607" i="18"/>
  <c r="C607" i="18" s="1"/>
  <c r="A550" i="18"/>
  <c r="C550" i="18" s="1"/>
  <c r="B536" i="18"/>
  <c r="B466" i="18"/>
  <c r="A442" i="18"/>
  <c r="C442" i="18" s="1"/>
  <c r="A430" i="18"/>
  <c r="C430" i="18" s="1"/>
  <c r="B383" i="18"/>
  <c r="B360" i="18"/>
  <c r="A325" i="18"/>
  <c r="C325" i="18" s="1"/>
  <c r="B315" i="18"/>
  <c r="A260" i="18"/>
  <c r="C260" i="18" s="1"/>
  <c r="A239" i="18"/>
  <c r="C239" i="18" s="1"/>
  <c r="B229" i="18"/>
  <c r="B208" i="18"/>
  <c r="A197" i="18"/>
  <c r="C197" i="18" s="1"/>
  <c r="A188" i="18"/>
  <c r="C188" i="18" s="1"/>
  <c r="B169" i="18"/>
  <c r="A158" i="18"/>
  <c r="C158" i="18" s="1"/>
  <c r="A149" i="18"/>
  <c r="C149" i="18" s="1"/>
  <c r="A130" i="18"/>
  <c r="C130" i="18" s="1"/>
  <c r="B111" i="18"/>
  <c r="B102" i="18"/>
  <c r="B73" i="18"/>
  <c r="A55" i="18"/>
  <c r="C55" i="18" s="1"/>
  <c r="B46" i="18"/>
  <c r="A38" i="18"/>
  <c r="C38" i="18" s="1"/>
  <c r="A28" i="18"/>
  <c r="C28" i="18" s="1"/>
  <c r="B19" i="18"/>
  <c r="A2002" i="18"/>
  <c r="C2002" i="18" s="1"/>
  <c r="B1908" i="18"/>
  <c r="B1872" i="18"/>
  <c r="A1817" i="18"/>
  <c r="C1817" i="18" s="1"/>
  <c r="A1754" i="18"/>
  <c r="C1754" i="18" s="1"/>
  <c r="B1701" i="18"/>
  <c r="A1624" i="18"/>
  <c r="C1624" i="18" s="1"/>
  <c r="B1597" i="18"/>
  <c r="B1579" i="18"/>
  <c r="A1550" i="18"/>
  <c r="C1550" i="18" s="1"/>
  <c r="B1525" i="18"/>
  <c r="A1500" i="18"/>
  <c r="C1500" i="18" s="1"/>
  <c r="B1481" i="18"/>
  <c r="B1417" i="18"/>
  <c r="B1394" i="18"/>
  <c r="A1335" i="18"/>
  <c r="C1335" i="18" s="1"/>
  <c r="A1299" i="18"/>
  <c r="C1299" i="18" s="1"/>
  <c r="B1259" i="18"/>
  <c r="A1244" i="18"/>
  <c r="C1244" i="18" s="1"/>
  <c r="A1224" i="18"/>
  <c r="C1224" i="18" s="1"/>
  <c r="A1171" i="18"/>
  <c r="C1171" i="18" s="1"/>
  <c r="A1152" i="18"/>
  <c r="C1152" i="18" s="1"/>
  <c r="A1134" i="18"/>
  <c r="C1134" i="18" s="1"/>
  <c r="A1063" i="18"/>
  <c r="C1063" i="18" s="1"/>
  <c r="A1047" i="18"/>
  <c r="C1047" i="18" s="1"/>
  <c r="B992" i="18"/>
  <c r="A972" i="18"/>
  <c r="C972" i="18" s="1"/>
  <c r="A939" i="18"/>
  <c r="C939" i="18" s="1"/>
  <c r="A924" i="18"/>
  <c r="C924" i="18" s="1"/>
  <c r="A906" i="18"/>
  <c r="C906" i="18" s="1"/>
  <c r="A876" i="18"/>
  <c r="C876" i="18" s="1"/>
  <c r="B812" i="18"/>
  <c r="A795" i="18"/>
  <c r="C795" i="18" s="1"/>
  <c r="B682" i="18"/>
  <c r="A653" i="18"/>
  <c r="C653" i="18" s="1"/>
  <c r="B636" i="18"/>
  <c r="B622" i="18"/>
  <c r="B593" i="18"/>
  <c r="B577" i="18"/>
  <c r="A562" i="18"/>
  <c r="C562" i="18" s="1"/>
  <c r="A536" i="18"/>
  <c r="C536" i="18" s="1"/>
  <c r="B511" i="18"/>
  <c r="B489" i="18"/>
  <c r="A405" i="18"/>
  <c r="C405" i="18" s="1"/>
  <c r="A393" i="18"/>
  <c r="C393" i="18" s="1"/>
  <c r="B370" i="18"/>
  <c r="A347" i="18"/>
  <c r="C347" i="18" s="1"/>
  <c r="B312" i="18"/>
  <c r="A303" i="18"/>
  <c r="C303" i="18" s="1"/>
  <c r="B280" i="18"/>
  <c r="A269" i="18"/>
  <c r="C269" i="18" s="1"/>
  <c r="A248" i="18"/>
  <c r="C248" i="18" s="1"/>
  <c r="A229" i="18"/>
  <c r="C229" i="18" s="1"/>
  <c r="B217" i="18"/>
  <c r="A208" i="18"/>
  <c r="C208" i="18" s="1"/>
  <c r="B138" i="18"/>
  <c r="B83" i="18"/>
  <c r="A73" i="18"/>
  <c r="C73" i="18" s="1"/>
  <c r="B64" i="18"/>
  <c r="B54" i="18"/>
  <c r="A46" i="18"/>
  <c r="C46" i="18" s="1"/>
  <c r="A19" i="18"/>
  <c r="C19" i="18" s="1"/>
  <c r="B2001" i="18"/>
  <c r="B1965" i="18"/>
  <c r="A1933" i="18"/>
  <c r="C1933" i="18" s="1"/>
  <c r="B1870" i="18"/>
  <c r="A1623" i="18"/>
  <c r="C1623" i="18" s="1"/>
  <c r="A1597" i="18"/>
  <c r="C1597" i="18" s="1"/>
  <c r="A1481" i="18"/>
  <c r="C1481" i="18" s="1"/>
  <c r="B1436" i="18"/>
  <c r="A1417" i="18"/>
  <c r="C1417" i="18" s="1"/>
  <c r="B1372" i="18"/>
  <c r="B1312" i="18"/>
  <c r="A1258" i="18"/>
  <c r="C1258" i="18" s="1"/>
  <c r="B1096" i="18"/>
  <c r="B1082" i="18"/>
  <c r="A1007" i="18"/>
  <c r="C1007" i="18" s="1"/>
  <c r="A992" i="18"/>
  <c r="C992" i="18" s="1"/>
  <c r="B957" i="18"/>
  <c r="A889" i="18"/>
  <c r="C889" i="18" s="1"/>
  <c r="B874" i="18"/>
  <c r="A812" i="18"/>
  <c r="C812" i="18" s="1"/>
  <c r="B731" i="18"/>
  <c r="B700" i="18"/>
  <c r="A682" i="18"/>
  <c r="C682" i="18" s="1"/>
  <c r="B665" i="18"/>
  <c r="A634" i="18"/>
  <c r="C634" i="18" s="1"/>
  <c r="A622" i="18"/>
  <c r="C622" i="18" s="1"/>
  <c r="A511" i="18"/>
  <c r="C511" i="18" s="1"/>
  <c r="B501" i="18"/>
  <c r="A476" i="18"/>
  <c r="C476" i="18" s="1"/>
  <c r="A465" i="18"/>
  <c r="C465" i="18" s="1"/>
  <c r="A452" i="18"/>
  <c r="C452" i="18" s="1"/>
  <c r="B382" i="18"/>
  <c r="A370" i="18"/>
  <c r="C370" i="18" s="1"/>
  <c r="B324" i="18"/>
  <c r="B311" i="18"/>
  <c r="A302" i="18"/>
  <c r="C302" i="18" s="1"/>
  <c r="A280" i="18"/>
  <c r="C280" i="18" s="1"/>
  <c r="A238" i="18"/>
  <c r="C238" i="18" s="1"/>
  <c r="A217" i="18"/>
  <c r="C217" i="18" s="1"/>
  <c r="B168" i="18"/>
  <c r="A138" i="18"/>
  <c r="C138" i="18" s="1"/>
  <c r="B119" i="18"/>
  <c r="B110" i="18"/>
  <c r="B100" i="18"/>
  <c r="B91" i="18"/>
  <c r="B80" i="18"/>
  <c r="A64" i="18"/>
  <c r="C64" i="18" s="1"/>
  <c r="A54" i="18"/>
  <c r="C54" i="18" s="1"/>
  <c r="A37" i="18"/>
  <c r="C37" i="18" s="1"/>
  <c r="A2001" i="18"/>
  <c r="C2001" i="18" s="1"/>
  <c r="B1906" i="18"/>
  <c r="A1870" i="18"/>
  <c r="C1870" i="18" s="1"/>
  <c r="B1839" i="18"/>
  <c r="B1733" i="18"/>
  <c r="B1672" i="18"/>
  <c r="A1645" i="18"/>
  <c r="C1645" i="18" s="1"/>
  <c r="B1334" i="18"/>
  <c r="A1312" i="18"/>
  <c r="C1312" i="18" s="1"/>
  <c r="B1278" i="18"/>
  <c r="B1243" i="18"/>
  <c r="B1223" i="18"/>
  <c r="B1188" i="18"/>
  <c r="A1169" i="18"/>
  <c r="C1169" i="18" s="1"/>
  <c r="A1131" i="18"/>
  <c r="C1131" i="18" s="1"/>
  <c r="B1116" i="18"/>
  <c r="A1096" i="18"/>
  <c r="C1096" i="18" s="1"/>
  <c r="A1082" i="18"/>
  <c r="C1082" i="18" s="1"/>
  <c r="B1027" i="18"/>
  <c r="A937" i="18"/>
  <c r="C937" i="18" s="1"/>
  <c r="B905" i="18"/>
  <c r="A873" i="18"/>
  <c r="C873" i="18" s="1"/>
  <c r="B825" i="18"/>
  <c r="B777" i="18"/>
  <c r="B763" i="18"/>
  <c r="B746" i="18"/>
  <c r="A696" i="18"/>
  <c r="C696" i="18" s="1"/>
  <c r="A665" i="18"/>
  <c r="C665" i="18" s="1"/>
  <c r="B605" i="18"/>
  <c r="B561" i="18"/>
  <c r="B488" i="18"/>
  <c r="B464" i="18"/>
  <c r="B359" i="18"/>
  <c r="B346" i="18"/>
  <c r="A324" i="18"/>
  <c r="C324" i="18" s="1"/>
  <c r="A311" i="18"/>
  <c r="C311" i="18" s="1"/>
  <c r="B290" i="18"/>
  <c r="B204" i="18"/>
  <c r="B187" i="18"/>
  <c r="B176" i="18"/>
  <c r="B157" i="18"/>
  <c r="B148" i="18"/>
  <c r="A119" i="18"/>
  <c r="C119" i="18" s="1"/>
  <c r="A110" i="18"/>
  <c r="C110" i="18" s="1"/>
  <c r="A91" i="18"/>
  <c r="C91" i="18" s="1"/>
  <c r="A80" i="18"/>
  <c r="C80" i="18" s="1"/>
  <c r="B1996" i="18"/>
  <c r="B1869" i="18"/>
  <c r="A1839" i="18"/>
  <c r="C1839" i="18" s="1"/>
  <c r="B1783" i="18"/>
  <c r="B1700" i="18"/>
  <c r="B1596" i="18"/>
  <c r="B1570" i="18"/>
  <c r="A1457" i="18"/>
  <c r="C1457" i="18" s="1"/>
  <c r="A1410" i="18"/>
  <c r="C1410" i="18" s="1"/>
  <c r="A1292" i="18"/>
  <c r="C1292" i="18" s="1"/>
  <c r="B1257" i="18"/>
  <c r="A1243" i="18"/>
  <c r="C1243" i="18" s="1"/>
  <c r="A1223" i="18"/>
  <c r="C1223" i="18" s="1"/>
  <c r="A1151" i="18"/>
  <c r="C1151" i="18" s="1"/>
  <c r="A1116" i="18"/>
  <c r="C1116" i="18" s="1"/>
  <c r="A1041" i="18"/>
  <c r="C1041" i="18" s="1"/>
  <c r="B991" i="18"/>
  <c r="A955" i="18"/>
  <c r="C955" i="18" s="1"/>
  <c r="A919" i="18"/>
  <c r="C919" i="18" s="1"/>
  <c r="A905" i="18"/>
  <c r="C905" i="18" s="1"/>
  <c r="A888" i="18"/>
  <c r="C888" i="18" s="1"/>
  <c r="B856" i="18"/>
  <c r="B843" i="18"/>
  <c r="A824" i="18"/>
  <c r="C824" i="18" s="1"/>
  <c r="B794" i="18"/>
  <c r="A777" i="18"/>
  <c r="C777" i="18" s="1"/>
  <c r="B762" i="18"/>
  <c r="B713" i="18"/>
  <c r="A650" i="18"/>
  <c r="C650" i="18" s="1"/>
  <c r="B633" i="18"/>
  <c r="B621" i="18"/>
  <c r="B588" i="18"/>
  <c r="A561" i="18"/>
  <c r="C561" i="18" s="1"/>
  <c r="B524" i="18"/>
  <c r="A488" i="18"/>
  <c r="C488" i="18" s="1"/>
  <c r="A451" i="18"/>
  <c r="C451" i="18" s="1"/>
  <c r="B441" i="18"/>
  <c r="A392" i="18"/>
  <c r="C392" i="18" s="1"/>
  <c r="B381" i="18"/>
  <c r="A346" i="18"/>
  <c r="C346" i="18" s="1"/>
  <c r="A259" i="18"/>
  <c r="C259" i="18" s="1"/>
  <c r="A225" i="18"/>
  <c r="C225" i="18" s="1"/>
  <c r="A204" i="18"/>
  <c r="C204" i="18" s="1"/>
  <c r="A185" i="18"/>
  <c r="C185" i="18" s="1"/>
  <c r="A176" i="18"/>
  <c r="C176" i="18" s="1"/>
  <c r="A157" i="18"/>
  <c r="C157" i="18" s="1"/>
  <c r="A148" i="18"/>
  <c r="C148" i="18" s="1"/>
  <c r="B129" i="18"/>
  <c r="A53" i="18"/>
  <c r="C53" i="18" s="1"/>
  <c r="B35" i="18"/>
  <c r="A1996" i="18"/>
  <c r="C1996" i="18" s="1"/>
  <c r="B1964" i="18"/>
  <c r="A1869" i="18"/>
  <c r="C1869" i="18" s="1"/>
  <c r="A1722" i="18"/>
  <c r="C1722" i="18" s="1"/>
  <c r="A1698" i="18"/>
  <c r="C1698" i="18" s="1"/>
  <c r="B1595" i="18"/>
  <c r="A1547" i="18"/>
  <c r="C1547" i="18" s="1"/>
  <c r="B1523" i="18"/>
  <c r="B1499" i="18"/>
  <c r="B1435" i="18"/>
  <c r="A1409" i="18"/>
  <c r="C1409" i="18" s="1"/>
  <c r="B1393" i="18"/>
  <c r="B1368" i="18"/>
  <c r="B1347" i="18"/>
  <c r="B1332" i="18"/>
  <c r="B1276" i="18"/>
  <c r="A1242" i="18"/>
  <c r="C1242" i="18" s="1"/>
  <c r="A1168" i="18"/>
  <c r="C1168" i="18" s="1"/>
  <c r="B1130" i="18"/>
  <c r="B1095" i="18"/>
  <c r="B1076" i="18"/>
  <c r="B1060" i="18"/>
  <c r="A1026" i="18"/>
  <c r="C1026" i="18" s="1"/>
  <c r="B971" i="18"/>
  <c r="B838" i="18"/>
  <c r="A807" i="18"/>
  <c r="C807" i="18" s="1"/>
  <c r="A794" i="18"/>
  <c r="C794" i="18" s="1"/>
  <c r="A728" i="18"/>
  <c r="C728" i="18" s="1"/>
  <c r="A713" i="18"/>
  <c r="C713" i="18" s="1"/>
  <c r="A664" i="18"/>
  <c r="C664" i="18" s="1"/>
  <c r="B649" i="18"/>
  <c r="A633" i="18"/>
  <c r="C633" i="18" s="1"/>
  <c r="A604" i="18"/>
  <c r="C604" i="18" s="1"/>
  <c r="A588" i="18"/>
  <c r="C588" i="18" s="1"/>
  <c r="A576" i="18"/>
  <c r="C576" i="18" s="1"/>
  <c r="B548" i="18"/>
  <c r="B534" i="18"/>
  <c r="A498" i="18"/>
  <c r="C498" i="18" s="1"/>
  <c r="B474" i="18"/>
  <c r="B428" i="18"/>
  <c r="A415" i="18"/>
  <c r="C415" i="18" s="1"/>
  <c r="B404" i="18"/>
  <c r="A381" i="18"/>
  <c r="C381" i="18" s="1"/>
  <c r="B334" i="18"/>
  <c r="B301" i="18"/>
  <c r="B289" i="18"/>
  <c r="B268" i="18"/>
  <c r="A247" i="18"/>
  <c r="C247" i="18" s="1"/>
  <c r="B165" i="18"/>
  <c r="A129" i="18"/>
  <c r="C129" i="18" s="1"/>
  <c r="B98" i="18"/>
  <c r="A72" i="18"/>
  <c r="C72" i="18" s="1"/>
  <c r="B45" i="18"/>
  <c r="A27" i="18"/>
  <c r="C27" i="18" s="1"/>
  <c r="B18" i="18"/>
  <c r="A1964" i="18"/>
  <c r="C1964" i="18" s="1"/>
  <c r="B1930" i="18"/>
  <c r="A1893" i="18"/>
  <c r="C1893" i="18" s="1"/>
  <c r="B1782" i="18"/>
  <c r="A1719" i="18"/>
  <c r="C1719" i="18" s="1"/>
  <c r="B1622" i="18"/>
  <c r="A1542" i="18"/>
  <c r="C1542" i="18" s="1"/>
  <c r="A1523" i="18"/>
  <c r="C1523" i="18" s="1"/>
  <c r="B1497" i="18"/>
  <c r="B1473" i="18"/>
  <c r="B1408" i="18"/>
  <c r="A1393" i="18"/>
  <c r="C1393" i="18" s="1"/>
  <c r="A1368" i="18"/>
  <c r="C1368" i="18" s="1"/>
  <c r="A1347" i="18"/>
  <c r="C1347" i="18" s="1"/>
  <c r="B1311" i="18"/>
  <c r="B1241" i="18"/>
  <c r="A1219" i="18"/>
  <c r="C1219" i="18" s="1"/>
  <c r="B1115" i="18"/>
  <c r="A1095" i="18"/>
  <c r="C1095" i="18" s="1"/>
  <c r="A1024" i="18"/>
  <c r="C1024" i="18" s="1"/>
  <c r="B1005" i="18"/>
  <c r="B990" i="18"/>
  <c r="A971" i="18"/>
  <c r="C971" i="18" s="1"/>
  <c r="B743" i="18"/>
  <c r="B727" i="18"/>
  <c r="B695" i="18"/>
  <c r="B681" i="18"/>
  <c r="B663" i="18"/>
  <c r="A616" i="18"/>
  <c r="C616" i="18" s="1"/>
  <c r="A548" i="18"/>
  <c r="C548" i="18" s="1"/>
  <c r="A521" i="18"/>
  <c r="C521" i="18" s="1"/>
  <c r="B510" i="18"/>
  <c r="A474" i="18"/>
  <c r="C474" i="18" s="1"/>
  <c r="A437" i="18"/>
  <c r="C437" i="18" s="1"/>
  <c r="A404" i="18"/>
  <c r="C404" i="18" s="1"/>
  <c r="B391" i="18"/>
  <c r="B367" i="18"/>
  <c r="A355" i="18"/>
  <c r="C355" i="18" s="1"/>
  <c r="B333" i="18"/>
  <c r="B323" i="18"/>
  <c r="A301" i="18"/>
  <c r="C301" i="18" s="1"/>
  <c r="A289" i="18"/>
  <c r="C289" i="18" s="1"/>
  <c r="B279" i="18"/>
  <c r="B258" i="18"/>
  <c r="A165" i="18"/>
  <c r="C165" i="18" s="1"/>
  <c r="B146" i="18"/>
  <c r="B137" i="18"/>
  <c r="B118" i="18"/>
  <c r="A98" i="18"/>
  <c r="C98" i="18" s="1"/>
  <c r="B61" i="18"/>
  <c r="A45" i="18"/>
  <c r="C45" i="18" s="1"/>
  <c r="A34" i="18"/>
  <c r="C34" i="18" s="1"/>
  <c r="A26" i="18"/>
  <c r="C26" i="18" s="1"/>
  <c r="A18" i="18"/>
  <c r="C18" i="18" s="1"/>
  <c r="A1930" i="18"/>
  <c r="C1930" i="18" s="1"/>
  <c r="A1835" i="18"/>
  <c r="C1835" i="18" s="1"/>
  <c r="B1803" i="18"/>
  <c r="B1641" i="18"/>
  <c r="B1567" i="18"/>
  <c r="A1497" i="18"/>
  <c r="C1497" i="18" s="1"/>
  <c r="A1473" i="18"/>
  <c r="C1473" i="18" s="1"/>
  <c r="A1408" i="18"/>
  <c r="C1408" i="18" s="1"/>
  <c r="A1327" i="18"/>
  <c r="C1327" i="18" s="1"/>
  <c r="A1236" i="18"/>
  <c r="C1236" i="18" s="1"/>
  <c r="B1199" i="18"/>
  <c r="A1165" i="18"/>
  <c r="C1165" i="18" s="1"/>
  <c r="A1111" i="18"/>
  <c r="C1111" i="18" s="1"/>
  <c r="B1094" i="18"/>
  <c r="A1005" i="18"/>
  <c r="C1005" i="18" s="1"/>
  <c r="A985" i="18"/>
  <c r="C985" i="18" s="1"/>
  <c r="B950" i="18"/>
  <c r="B936" i="18"/>
  <c r="B886" i="18"/>
  <c r="A870" i="18"/>
  <c r="C870" i="18" s="1"/>
  <c r="B805" i="18"/>
  <c r="B793" i="18"/>
  <c r="A757" i="18"/>
  <c r="C757" i="18" s="1"/>
  <c r="A743" i="18"/>
  <c r="C743" i="18" s="1"/>
  <c r="A681" i="18"/>
  <c r="C681" i="18" s="1"/>
  <c r="B1991" i="18"/>
  <c r="A1780" i="18"/>
  <c r="C1780" i="18" s="1"/>
  <c r="B1669" i="18"/>
  <c r="B1614" i="18"/>
  <c r="B1456" i="18"/>
  <c r="B1386" i="18"/>
  <c r="B1291" i="18"/>
  <c r="A1274" i="18"/>
  <c r="C1274" i="18" s="1"/>
  <c r="B1255" i="18"/>
  <c r="A1199" i="18"/>
  <c r="C1199" i="18" s="1"/>
  <c r="B1184" i="18"/>
  <c r="A1110" i="18"/>
  <c r="C1110" i="18" s="1"/>
  <c r="A1094" i="18"/>
  <c r="C1094" i="18" s="1"/>
  <c r="A1059" i="18"/>
  <c r="C1059" i="18" s="1"/>
  <c r="B1040" i="18"/>
  <c r="B1022" i="18"/>
  <c r="B918" i="18"/>
  <c r="B904" i="18"/>
  <c r="B837" i="18"/>
  <c r="B823" i="18"/>
  <c r="A805" i="18"/>
  <c r="C805" i="18" s="1"/>
  <c r="A790" i="18"/>
  <c r="C790" i="18" s="1"/>
  <c r="A774" i="18"/>
  <c r="C774" i="18" s="1"/>
  <c r="A756" i="18"/>
  <c r="C756" i="18" s="1"/>
  <c r="A724" i="18"/>
  <c r="C724" i="18" s="1"/>
  <c r="A662" i="18"/>
  <c r="C662" i="18" s="1"/>
  <c r="B615" i="18"/>
  <c r="A533" i="18"/>
  <c r="C533" i="18" s="1"/>
  <c r="B520" i="18"/>
  <c r="B487" i="18"/>
  <c r="B461" i="18"/>
  <c r="B450" i="18"/>
  <c r="B426" i="18"/>
  <c r="B377" i="18"/>
  <c r="B345" i="18"/>
  <c r="B332" i="18"/>
  <c r="B322" i="18"/>
  <c r="A310" i="18"/>
  <c r="C310" i="18" s="1"/>
  <c r="A276" i="18"/>
  <c r="C276" i="18" s="1"/>
  <c r="A255" i="18"/>
  <c r="C255" i="18" s="1"/>
  <c r="B245" i="18"/>
  <c r="B224" i="18"/>
  <c r="B203" i="18"/>
  <c r="A194" i="18"/>
  <c r="C194" i="18" s="1"/>
  <c r="A175" i="18"/>
  <c r="C175" i="18" s="1"/>
  <c r="B145" i="18"/>
  <c r="A117" i="18"/>
  <c r="C117" i="18" s="1"/>
  <c r="B89" i="18"/>
  <c r="A79" i="18"/>
  <c r="C79" i="18" s="1"/>
  <c r="B70" i="18"/>
  <c r="B1556" i="18"/>
  <c r="B1482" i="18"/>
  <c r="B1445" i="18"/>
  <c r="A1407" i="18"/>
  <c r="C1407" i="18" s="1"/>
  <c r="B1338" i="18"/>
  <c r="B1304" i="18"/>
  <c r="A1271" i="18"/>
  <c r="C1271" i="18" s="1"/>
  <c r="B1245" i="18"/>
  <c r="A1183" i="18"/>
  <c r="C1183" i="18" s="1"/>
  <c r="A1154" i="18"/>
  <c r="C1154" i="18" s="1"/>
  <c r="B1065" i="18"/>
  <c r="A1001" i="18"/>
  <c r="C1001" i="18" s="1"/>
  <c r="A835" i="18"/>
  <c r="C835" i="18" s="1"/>
  <c r="A723" i="18"/>
  <c r="C723" i="18" s="1"/>
  <c r="A702" i="18"/>
  <c r="C702" i="18" s="1"/>
  <c r="A570" i="18"/>
  <c r="C570" i="18" s="1"/>
  <c r="B550" i="18"/>
  <c r="B472" i="18"/>
  <c r="A457" i="18"/>
  <c r="C457" i="18" s="1"/>
  <c r="A419" i="18"/>
  <c r="C419" i="18" s="1"/>
  <c r="B398" i="18"/>
  <c r="A377" i="18"/>
  <c r="C377" i="18" s="1"/>
  <c r="B341" i="18"/>
  <c r="A309" i="18"/>
  <c r="C309" i="18" s="1"/>
  <c r="A291" i="18"/>
  <c r="C291" i="18" s="1"/>
  <c r="A274" i="18"/>
  <c r="C274" i="18" s="1"/>
  <c r="A240" i="18"/>
  <c r="C240" i="18" s="1"/>
  <c r="A223" i="18"/>
  <c r="C223" i="18" s="1"/>
  <c r="A177" i="18"/>
  <c r="C177" i="18" s="1"/>
  <c r="B31" i="18"/>
  <c r="A1886" i="18"/>
  <c r="C1886" i="18" s="1"/>
  <c r="B1682" i="18"/>
  <c r="B1639" i="18"/>
  <c r="A1599" i="18"/>
  <c r="C1599" i="18" s="1"/>
  <c r="A1556" i="18"/>
  <c r="C1556" i="18" s="1"/>
  <c r="A1445" i="18"/>
  <c r="C1445" i="18" s="1"/>
  <c r="B1367" i="18"/>
  <c r="A1338" i="18"/>
  <c r="C1338" i="18" s="1"/>
  <c r="A1245" i="18"/>
  <c r="C1245" i="18" s="1"/>
  <c r="B1093" i="18"/>
  <c r="A1031" i="18"/>
  <c r="C1031" i="18" s="1"/>
  <c r="B804" i="18"/>
  <c r="B672" i="18"/>
  <c r="A644" i="18"/>
  <c r="C644" i="18" s="1"/>
  <c r="B490" i="18"/>
  <c r="A472" i="18"/>
  <c r="C472" i="18" s="1"/>
  <c r="A398" i="18"/>
  <c r="C398" i="18" s="1"/>
  <c r="B361" i="18"/>
  <c r="B326" i="18"/>
  <c r="A254" i="18"/>
  <c r="C254" i="18" s="1"/>
  <c r="B162" i="18"/>
  <c r="B85" i="18"/>
  <c r="B58" i="18"/>
  <c r="A31" i="18"/>
  <c r="C31" i="18" s="1"/>
  <c r="A1984" i="18"/>
  <c r="C1984" i="18" s="1"/>
  <c r="B1923" i="18"/>
  <c r="B1877" i="18"/>
  <c r="B1771" i="18"/>
  <c r="B1734" i="18"/>
  <c r="A1682" i="18"/>
  <c r="C1682" i="18" s="1"/>
  <c r="B1638" i="18"/>
  <c r="B1510" i="18"/>
  <c r="B1366" i="18"/>
  <c r="A1178" i="18"/>
  <c r="C1178" i="18" s="1"/>
  <c r="B940" i="18"/>
  <c r="B863" i="18"/>
  <c r="B832" i="18"/>
  <c r="B782" i="18"/>
  <c r="A753" i="18"/>
  <c r="C753" i="18" s="1"/>
  <c r="A694" i="18"/>
  <c r="C694" i="18" s="1"/>
  <c r="A672" i="18"/>
  <c r="C672" i="18" s="1"/>
  <c r="A642" i="18"/>
  <c r="C642" i="18" s="1"/>
  <c r="B594" i="18"/>
  <c r="B543" i="18"/>
  <c r="B506" i="18"/>
  <c r="A490" i="18"/>
  <c r="C490" i="18" s="1"/>
  <c r="A453" i="18"/>
  <c r="C453" i="18" s="1"/>
  <c r="B435" i="18"/>
  <c r="B413" i="18"/>
  <c r="A361" i="18"/>
  <c r="C361" i="18" s="1"/>
  <c r="A326" i="18"/>
  <c r="C326" i="18" s="1"/>
  <c r="B305" i="18"/>
  <c r="B190" i="18"/>
  <c r="A70" i="18"/>
  <c r="C70" i="18" s="1"/>
  <c r="B41" i="18"/>
  <c r="A1923" i="18"/>
  <c r="C1923" i="18" s="1"/>
  <c r="B1876" i="18"/>
  <c r="A1734" i="18"/>
  <c r="C1734" i="18" s="1"/>
  <c r="A1638" i="18"/>
  <c r="C1638" i="18" s="1"/>
  <c r="B1592" i="18"/>
  <c r="A1555" i="18"/>
  <c r="C1555" i="18" s="1"/>
  <c r="A1510" i="18"/>
  <c r="C1510" i="18" s="1"/>
  <c r="B1472" i="18"/>
  <c r="A1366" i="18"/>
  <c r="C1366" i="18" s="1"/>
  <c r="B1270" i="18"/>
  <c r="B1087" i="18"/>
  <c r="A995" i="18"/>
  <c r="C995" i="18" s="1"/>
  <c r="B966" i="18"/>
  <c r="B913" i="18"/>
  <c r="A859" i="18"/>
  <c r="C859" i="18" s="1"/>
  <c r="B831" i="18"/>
  <c r="A594" i="18"/>
  <c r="C594" i="18" s="1"/>
  <c r="A568" i="18"/>
  <c r="C568" i="18" s="1"/>
  <c r="A543" i="18"/>
  <c r="C543" i="18" s="1"/>
  <c r="B527" i="18"/>
  <c r="B505" i="18"/>
  <c r="A435" i="18"/>
  <c r="C435" i="18" s="1"/>
  <c r="A413" i="18"/>
  <c r="C413" i="18" s="1"/>
  <c r="B376" i="18"/>
  <c r="A287" i="18"/>
  <c r="C287" i="18" s="1"/>
  <c r="A190" i="18"/>
  <c r="C190" i="18" s="1"/>
  <c r="A161" i="18"/>
  <c r="C161" i="18" s="1"/>
  <c r="B115" i="18"/>
  <c r="B57" i="18"/>
  <c r="A41" i="18"/>
  <c r="C41" i="18" s="1"/>
  <c r="A1982" i="18"/>
  <c r="C1982" i="18" s="1"/>
  <c r="A1868" i="18"/>
  <c r="C1868" i="18" s="1"/>
  <c r="B1818" i="18"/>
  <c r="B1718" i="18"/>
  <c r="A1583" i="18"/>
  <c r="C1583" i="18" s="1"/>
  <c r="B1442" i="18"/>
  <c r="B1300" i="18"/>
  <c r="A1266" i="18"/>
  <c r="C1266" i="18" s="1"/>
  <c r="A1235" i="18"/>
  <c r="C1235" i="18" s="1"/>
  <c r="A1177" i="18"/>
  <c r="C1177" i="18" s="1"/>
  <c r="B1052" i="18"/>
  <c r="A1028" i="18"/>
  <c r="C1028" i="18" s="1"/>
  <c r="B963" i="18"/>
  <c r="B935" i="18"/>
  <c r="B910" i="18"/>
  <c r="B883" i="18"/>
  <c r="B829" i="18"/>
  <c r="A722" i="18"/>
  <c r="C722" i="18" s="1"/>
  <c r="B671" i="18"/>
  <c r="A614" i="18"/>
  <c r="C614" i="18" s="1"/>
  <c r="B567" i="18"/>
  <c r="A468" i="18"/>
  <c r="C468" i="18" s="1"/>
  <c r="A434" i="18"/>
  <c r="C434" i="18" s="1"/>
  <c r="B397" i="18"/>
  <c r="B375" i="18"/>
  <c r="A340" i="18"/>
  <c r="C340" i="18" s="1"/>
  <c r="A273" i="18"/>
  <c r="C273" i="18" s="1"/>
  <c r="B253" i="18"/>
  <c r="A222" i="18"/>
  <c r="C222" i="18" s="1"/>
  <c r="A189" i="18"/>
  <c r="C189" i="18" s="1"/>
  <c r="A143" i="18"/>
  <c r="C143" i="18" s="1"/>
  <c r="B97" i="18"/>
  <c r="B84" i="18"/>
  <c r="A68" i="18"/>
  <c r="C68" i="18" s="1"/>
  <c r="B27" i="18"/>
  <c r="B1888" i="18"/>
  <c r="A1818" i="18"/>
  <c r="C1818" i="18" s="1"/>
  <c r="B1705" i="18"/>
  <c r="A1582" i="18"/>
  <c r="C1582" i="18" s="1"/>
  <c r="A1534" i="18"/>
  <c r="C1534" i="18" s="1"/>
  <c r="A1487" i="18"/>
  <c r="C1487" i="18" s="1"/>
  <c r="A1430" i="18"/>
  <c r="C1430" i="18" s="1"/>
  <c r="A1189" i="18"/>
  <c r="C1189" i="18" s="1"/>
  <c r="B1142" i="18"/>
  <c r="A1069" i="18"/>
  <c r="C1069" i="18" s="1"/>
  <c r="B983" i="18"/>
  <c r="A947" i="18"/>
  <c r="C947" i="18" s="1"/>
  <c r="B914" i="18"/>
  <c r="A878" i="18"/>
  <c r="C878" i="18" s="1"/>
  <c r="B845" i="18"/>
  <c r="A814" i="18"/>
  <c r="C814" i="18" s="1"/>
  <c r="B771" i="18"/>
  <c r="B705" i="18"/>
  <c r="B632" i="18"/>
  <c r="A602" i="18"/>
  <c r="C602" i="18" s="1"/>
  <c r="A495" i="18"/>
  <c r="C495" i="18" s="1"/>
  <c r="A373" i="18"/>
  <c r="C373" i="18" s="1"/>
  <c r="A352" i="18"/>
  <c r="C352" i="18" s="1"/>
  <c r="A330" i="18"/>
  <c r="C330" i="18" s="1"/>
  <c r="A304" i="18"/>
  <c r="C304" i="18" s="1"/>
  <c r="A283" i="18"/>
  <c r="C283" i="18" s="1"/>
  <c r="B239" i="18"/>
  <c r="A178" i="18"/>
  <c r="C178" i="18" s="1"/>
  <c r="A137" i="18"/>
  <c r="C137" i="18" s="1"/>
  <c r="B121" i="18"/>
  <c r="A97" i="18"/>
  <c r="C97" i="18" s="1"/>
  <c r="B24" i="18"/>
  <c r="A1888" i="18"/>
  <c r="C1888" i="18" s="1"/>
  <c r="B1761" i="18"/>
  <c r="B1690" i="18"/>
  <c r="B1581" i="18"/>
  <c r="B1485" i="18"/>
  <c r="B1382" i="18"/>
  <c r="A1300" i="18"/>
  <c r="C1300" i="18" s="1"/>
  <c r="B1264" i="18"/>
  <c r="A1184" i="18"/>
  <c r="C1184" i="18" s="1"/>
  <c r="A1142" i="18"/>
  <c r="C1142" i="18" s="1"/>
  <c r="B1106" i="18"/>
  <c r="A845" i="18"/>
  <c r="C845" i="18" s="1"/>
  <c r="A771" i="18"/>
  <c r="C771" i="18" s="1"/>
  <c r="B736" i="18"/>
  <c r="A704" i="18"/>
  <c r="C704" i="18" s="1"/>
  <c r="A632" i="18"/>
  <c r="C632" i="18" s="1"/>
  <c r="B570" i="18"/>
  <c r="A327" i="18"/>
  <c r="C327" i="18" s="1"/>
  <c r="A215" i="18"/>
  <c r="C215" i="18" s="1"/>
  <c r="A155" i="18"/>
  <c r="C155" i="18" s="1"/>
  <c r="A136" i="18"/>
  <c r="C136" i="18" s="1"/>
  <c r="B78" i="18"/>
  <c r="A24" i="18"/>
  <c r="C24" i="18" s="1"/>
  <c r="B1746" i="18"/>
  <c r="B1689" i="18"/>
  <c r="A1630" i="18"/>
  <c r="C1630" i="18" s="1"/>
  <c r="B1533" i="18"/>
  <c r="A1382" i="18"/>
  <c r="C1382" i="18" s="1"/>
  <c r="A1264" i="18"/>
  <c r="C1264" i="18" s="1"/>
  <c r="B1218" i="18"/>
  <c r="B1177" i="18"/>
  <c r="B1104" i="18"/>
  <c r="A736" i="18"/>
  <c r="C736" i="18" s="1"/>
  <c r="B661" i="18"/>
  <c r="A517" i="18"/>
  <c r="C517" i="18" s="1"/>
  <c r="A397" i="18"/>
  <c r="C397" i="18" s="1"/>
  <c r="A281" i="18"/>
  <c r="C281" i="18" s="1"/>
  <c r="B214" i="18"/>
  <c r="B194" i="18"/>
  <c r="A78" i="18"/>
  <c r="C78" i="18" s="1"/>
  <c r="B1688" i="18"/>
  <c r="B1526" i="18"/>
  <c r="B1424" i="18"/>
  <c r="B1345" i="18"/>
  <c r="A1218" i="18"/>
  <c r="C1218" i="18" s="1"/>
  <c r="B1018" i="18"/>
  <c r="B981" i="18"/>
  <c r="B946" i="18"/>
  <c r="A631" i="18"/>
  <c r="C631" i="18" s="1"/>
  <c r="B541" i="18"/>
  <c r="A444" i="18"/>
  <c r="C444" i="18" s="1"/>
  <c r="B420" i="18"/>
  <c r="A391" i="18"/>
  <c r="C391" i="18" s="1"/>
  <c r="A320" i="18"/>
  <c r="C320" i="18" s="1"/>
  <c r="A297" i="18"/>
  <c r="C297" i="18" s="1"/>
  <c r="A277" i="18"/>
  <c r="C277" i="18" s="1"/>
  <c r="B260" i="18"/>
  <c r="A212" i="18"/>
  <c r="C212" i="18" s="1"/>
  <c r="B171" i="18"/>
  <c r="A154" i="18"/>
  <c r="C154" i="18" s="1"/>
  <c r="B135" i="18"/>
  <c r="B59" i="18"/>
  <c r="B40" i="18"/>
  <c r="B2015" i="18"/>
  <c r="B1949" i="18"/>
  <c r="A1876" i="18"/>
  <c r="C1876" i="18" s="1"/>
  <c r="B1801" i="18"/>
  <c r="A1688" i="18"/>
  <c r="C1688" i="18" s="1"/>
  <c r="B1580" i="18"/>
  <c r="A1176" i="18"/>
  <c r="C1176" i="18" s="1"/>
  <c r="A1054" i="18"/>
  <c r="C1054" i="18" s="1"/>
  <c r="A981" i="18"/>
  <c r="C981" i="18" s="1"/>
  <c r="A946" i="18"/>
  <c r="C946" i="18" s="1"/>
  <c r="A836" i="18"/>
  <c r="C836" i="18" s="1"/>
  <c r="B802" i="18"/>
  <c r="A766" i="18"/>
  <c r="C766" i="18" s="1"/>
  <c r="A735" i="18"/>
  <c r="C735" i="18" s="1"/>
  <c r="B702" i="18"/>
  <c r="A541" i="18"/>
  <c r="C541" i="18" s="1"/>
  <c r="A420" i="18"/>
  <c r="C420" i="18" s="1"/>
  <c r="A367" i="18"/>
  <c r="C367" i="18" s="1"/>
  <c r="A258" i="18"/>
  <c r="C258" i="18" s="1"/>
  <c r="B233" i="18"/>
  <c r="A171" i="18"/>
  <c r="C171" i="18" s="1"/>
  <c r="B152" i="18"/>
  <c r="A135" i="18"/>
  <c r="C135" i="18" s="1"/>
  <c r="B96" i="18"/>
  <c r="A59" i="18"/>
  <c r="C59" i="18" s="1"/>
  <c r="B22" i="18"/>
  <c r="A1961" i="18"/>
  <c r="C1961" i="18" s="1"/>
  <c r="B1789" i="18"/>
  <c r="B1706" i="18"/>
  <c r="B1563" i="18"/>
  <c r="B1430" i="18"/>
  <c r="B1210" i="18"/>
  <c r="A1052" i="18"/>
  <c r="C1052" i="18" s="1"/>
  <c r="A960" i="18"/>
  <c r="C960" i="18" s="1"/>
  <c r="B916" i="18"/>
  <c r="B865" i="18"/>
  <c r="B645" i="18"/>
  <c r="B602" i="18"/>
  <c r="A527" i="18"/>
  <c r="C527" i="18" s="1"/>
  <c r="A459" i="18"/>
  <c r="C459" i="18" s="1"/>
  <c r="B310" i="18"/>
  <c r="A124" i="18"/>
  <c r="C124" i="18" s="1"/>
  <c r="B25" i="18"/>
  <c r="A1951" i="18"/>
  <c r="C1951" i="18" s="1"/>
  <c r="B1422" i="18"/>
  <c r="A1360" i="18"/>
  <c r="C1360" i="18" s="1"/>
  <c r="A1320" i="18"/>
  <c r="C1320" i="18" s="1"/>
  <c r="B1265" i="18"/>
  <c r="A959" i="18"/>
  <c r="C959" i="18" s="1"/>
  <c r="A865" i="18"/>
  <c r="C865" i="18" s="1"/>
  <c r="A818" i="18"/>
  <c r="C818" i="18" s="1"/>
  <c r="A733" i="18"/>
  <c r="C733" i="18" s="1"/>
  <c r="B686" i="18"/>
  <c r="B597" i="18"/>
  <c r="B283" i="18"/>
  <c r="B170" i="18"/>
  <c r="B149" i="18"/>
  <c r="A93" i="18"/>
  <c r="C93" i="18" s="1"/>
  <c r="A1768" i="18"/>
  <c r="C1768" i="18" s="1"/>
  <c r="B1487" i="18"/>
  <c r="A1418" i="18"/>
  <c r="C1418" i="18" s="1"/>
  <c r="A1310" i="18"/>
  <c r="C1310" i="18" s="1"/>
  <c r="B1198" i="18"/>
  <c r="B1157" i="18"/>
  <c r="B1103" i="18"/>
  <c r="A1048" i="18"/>
  <c r="C1048" i="18" s="1"/>
  <c r="B1001" i="18"/>
  <c r="B898" i="18"/>
  <c r="A854" i="18"/>
  <c r="C854" i="18" s="1"/>
  <c r="B675" i="18"/>
  <c r="A637" i="18"/>
  <c r="C637" i="18" s="1"/>
  <c r="A585" i="18"/>
  <c r="C585" i="18" s="1"/>
  <c r="A553" i="18"/>
  <c r="C553" i="18" s="1"/>
  <c r="A362" i="18"/>
  <c r="C362" i="18" s="1"/>
  <c r="A332" i="18"/>
  <c r="C332" i="18" s="1"/>
  <c r="B92" i="18"/>
  <c r="A2007" i="18"/>
  <c r="C2007" i="18" s="1"/>
  <c r="A1914" i="18"/>
  <c r="C1914" i="18" s="1"/>
  <c r="B1848" i="18"/>
  <c r="B1762" i="18"/>
  <c r="A1538" i="18"/>
  <c r="C1538" i="18" s="1"/>
  <c r="A1290" i="18"/>
  <c r="C1290" i="18" s="1"/>
  <c r="A896" i="18"/>
  <c r="C896" i="18" s="1"/>
  <c r="B814" i="18"/>
  <c r="A673" i="18"/>
  <c r="C673" i="18" s="1"/>
  <c r="A584" i="18"/>
  <c r="C584" i="18" s="1"/>
  <c r="B551" i="18"/>
  <c r="B482" i="18"/>
  <c r="B457" i="18"/>
  <c r="B296" i="18"/>
  <c r="A142" i="18"/>
  <c r="C142" i="18" s="1"/>
  <c r="A66" i="18"/>
  <c r="C66" i="18" s="1"/>
  <c r="B39" i="18"/>
  <c r="B2004" i="18"/>
  <c r="B1891" i="18"/>
  <c r="A1607" i="18"/>
  <c r="C1607" i="18" s="1"/>
  <c r="B1446" i="18"/>
  <c r="A764" i="18"/>
  <c r="C764" i="18" s="1"/>
  <c r="B654" i="18"/>
  <c r="B436" i="18"/>
  <c r="B399" i="18"/>
  <c r="A253" i="18"/>
  <c r="C253" i="18" s="1"/>
  <c r="B222" i="18"/>
  <c r="B158" i="18"/>
  <c r="B66" i="18"/>
  <c r="B1985" i="18"/>
  <c r="A1891" i="18"/>
  <c r="C1891" i="18" s="1"/>
  <c r="B1681" i="18"/>
  <c r="B1233" i="18"/>
  <c r="B1174" i="18"/>
  <c r="B869" i="18"/>
  <c r="B816" i="18"/>
  <c r="B755" i="18"/>
  <c r="B706" i="18"/>
  <c r="A654" i="18"/>
  <c r="C654" i="18" s="1"/>
  <c r="B607" i="18"/>
  <c r="A510" i="18"/>
  <c r="C510" i="18" s="1"/>
  <c r="A436" i="18"/>
  <c r="C436" i="18" s="1"/>
  <c r="A399" i="18"/>
  <c r="C399" i="18" s="1"/>
  <c r="B318" i="18"/>
  <c r="B218" i="18"/>
  <c r="B183" i="18"/>
  <c r="A65" i="18"/>
  <c r="C65" i="18" s="1"/>
  <c r="A1985" i="18"/>
  <c r="C1985" i="18" s="1"/>
  <c r="A1592" i="18"/>
  <c r="C1592" i="18" s="1"/>
  <c r="B1509" i="18"/>
  <c r="B1107" i="18"/>
  <c r="A927" i="18"/>
  <c r="C927" i="18" s="1"/>
  <c r="A868" i="18"/>
  <c r="C868" i="18" s="1"/>
  <c r="A816" i="18"/>
  <c r="C816" i="18" s="1"/>
  <c r="A706" i="18"/>
  <c r="C706" i="18" s="1"/>
  <c r="A505" i="18"/>
  <c r="C505" i="18" s="1"/>
  <c r="B354" i="18"/>
  <c r="B286" i="18"/>
  <c r="A252" i="18"/>
  <c r="C252" i="18" s="1"/>
  <c r="A218" i="18"/>
  <c r="C218" i="18" s="1"/>
  <c r="A183" i="18"/>
  <c r="C183" i="18" s="1"/>
  <c r="A152" i="18"/>
  <c r="C152" i="18" s="1"/>
  <c r="B33" i="18"/>
  <c r="B1857" i="18"/>
  <c r="B1657" i="18"/>
  <c r="A980" i="18"/>
  <c r="C980" i="18" s="1"/>
  <c r="B754" i="18"/>
  <c r="A691" i="18"/>
  <c r="C691" i="18" s="1"/>
  <c r="B542" i="18"/>
  <c r="B504" i="18"/>
  <c r="A388" i="18"/>
  <c r="C388" i="18" s="1"/>
  <c r="A245" i="18"/>
  <c r="C245" i="18" s="1"/>
  <c r="A1855" i="18"/>
  <c r="C1855" i="18" s="1"/>
  <c r="B1656" i="18"/>
  <c r="B1566" i="18"/>
  <c r="A1346" i="18"/>
  <c r="C1346" i="18" s="1"/>
  <c r="A1036" i="18"/>
  <c r="C1036" i="18" s="1"/>
  <c r="A966" i="18"/>
  <c r="C966" i="18" s="1"/>
  <c r="A899" i="18"/>
  <c r="C899" i="18" s="1"/>
  <c r="A796" i="18"/>
  <c r="C796" i="18" s="1"/>
  <c r="A423" i="18"/>
  <c r="C423" i="18" s="1"/>
  <c r="B352" i="18"/>
  <c r="B209" i="18"/>
  <c r="A181" i="18"/>
  <c r="C181" i="18" s="1"/>
  <c r="A112" i="18"/>
  <c r="C112" i="18" s="1"/>
  <c r="B52" i="18"/>
  <c r="A1913" i="18"/>
  <c r="C1913" i="18" s="1"/>
  <c r="A1799" i="18"/>
  <c r="C1799" i="18" s="1"/>
  <c r="A1450" i="18"/>
  <c r="C1450" i="18" s="1"/>
  <c r="A1358" i="18"/>
  <c r="C1358" i="18" s="1"/>
  <c r="A1280" i="18"/>
  <c r="C1280" i="18" s="1"/>
  <c r="B1121" i="18"/>
  <c r="A958" i="18"/>
  <c r="C958" i="18" s="1"/>
  <c r="B884" i="18"/>
  <c r="A737" i="18"/>
  <c r="C737" i="18" s="1"/>
  <c r="A385" i="18"/>
  <c r="C385" i="18" s="1"/>
  <c r="A251" i="18"/>
  <c r="C251" i="18" s="1"/>
  <c r="B164" i="18"/>
  <c r="A125" i="18"/>
  <c r="C125" i="18" s="1"/>
  <c r="A84" i="18"/>
  <c r="C84" i="18" s="1"/>
  <c r="A1656" i="18"/>
  <c r="C1656" i="18" s="1"/>
  <c r="A1107" i="18"/>
  <c r="C1107" i="18" s="1"/>
  <c r="B1028" i="18"/>
  <c r="A879" i="18"/>
  <c r="C879" i="18" s="1"/>
  <c r="B660" i="18"/>
  <c r="A384" i="18"/>
  <c r="C384" i="18" s="1"/>
  <c r="B339" i="18"/>
  <c r="B295" i="18"/>
  <c r="B163" i="18"/>
  <c r="B124" i="18"/>
  <c r="B47" i="18"/>
  <c r="A1770" i="18"/>
  <c r="C1770" i="18" s="1"/>
  <c r="A1539" i="18"/>
  <c r="C1539" i="18" s="1"/>
  <c r="B1346" i="18"/>
  <c r="B1195" i="18"/>
  <c r="B584" i="18"/>
  <c r="B434" i="18"/>
  <c r="A295" i="18"/>
  <c r="C295" i="18" s="1"/>
  <c r="B202" i="18"/>
  <c r="A163" i="18"/>
  <c r="C163" i="18" s="1"/>
  <c r="A47" i="18"/>
  <c r="C47" i="18" s="1"/>
  <c r="A1910" i="18"/>
  <c r="C1910" i="18" s="1"/>
  <c r="B1769" i="18"/>
  <c r="B788" i="18"/>
  <c r="A655" i="18"/>
  <c r="C655" i="18" s="1"/>
  <c r="B430" i="18"/>
  <c r="A202" i="18"/>
  <c r="C202" i="18" s="1"/>
  <c r="B123" i="18"/>
  <c r="B79" i="18"/>
  <c r="A1735" i="18"/>
  <c r="C1735" i="18" s="1"/>
  <c r="A1614" i="18"/>
  <c r="C1614" i="18" s="1"/>
  <c r="A1514" i="18"/>
  <c r="C1514" i="18" s="1"/>
  <c r="B1162" i="18"/>
  <c r="A641" i="18"/>
  <c r="C641" i="18" s="1"/>
  <c r="A578" i="18"/>
  <c r="C578" i="18" s="1"/>
  <c r="B330" i="18"/>
  <c r="B274" i="18"/>
  <c r="B189" i="18"/>
  <c r="B151" i="18"/>
  <c r="B74" i="18"/>
  <c r="A33" i="18"/>
  <c r="C33" i="18" s="1"/>
  <c r="B1831" i="18"/>
  <c r="A1666" i="18"/>
  <c r="C1666" i="18" s="1"/>
  <c r="B1519" i="18"/>
  <c r="B977" i="18"/>
  <c r="B784" i="18"/>
  <c r="A687" i="18"/>
  <c r="C687" i="18" s="1"/>
  <c r="B613" i="18"/>
  <c r="A458" i="18"/>
  <c r="C458" i="18" s="1"/>
  <c r="A267" i="18"/>
  <c r="C267" i="18" s="1"/>
  <c r="B223" i="18"/>
  <c r="A1831" i="18"/>
  <c r="C1831" i="18" s="1"/>
  <c r="A1509" i="18"/>
  <c r="C1509" i="18" s="1"/>
  <c r="A961" i="18"/>
  <c r="C961" i="18" s="1"/>
  <c r="A784" i="18"/>
  <c r="C784" i="18" s="1"/>
  <c r="A520" i="18"/>
  <c r="C520" i="18" s="1"/>
  <c r="A331" i="18"/>
  <c r="C331" i="18" s="1"/>
  <c r="A266" i="18"/>
  <c r="C266" i="18" s="1"/>
  <c r="B106" i="18"/>
  <c r="A61" i="18"/>
  <c r="C61" i="18" s="1"/>
  <c r="A1819" i="18"/>
  <c r="C1819" i="18" s="1"/>
  <c r="A1386" i="18"/>
  <c r="C1386" i="18" s="1"/>
  <c r="A1163" i="18"/>
  <c r="C1163" i="18" s="1"/>
  <c r="B864" i="18"/>
  <c r="B773" i="18"/>
  <c r="B389" i="18"/>
  <c r="A106" i="18"/>
  <c r="C106" i="18" s="1"/>
  <c r="A57" i="18"/>
  <c r="C57" i="18" s="1"/>
  <c r="B1970" i="18"/>
  <c r="A1380" i="18"/>
  <c r="C1380" i="18" s="1"/>
  <c r="A1253" i="18"/>
  <c r="C1253" i="18" s="1"/>
  <c r="A1143" i="18"/>
  <c r="C1143" i="18" s="1"/>
  <c r="B958" i="18"/>
  <c r="B764" i="18"/>
  <c r="B673" i="18"/>
  <c r="B449" i="18"/>
  <c r="A317" i="18"/>
  <c r="C317" i="18" s="1"/>
  <c r="B265" i="18"/>
  <c r="A209" i="18"/>
  <c r="C209" i="18" s="1"/>
  <c r="B1745" i="18"/>
  <c r="B1611" i="18"/>
  <c r="A1468" i="18"/>
  <c r="C1468" i="18" s="1"/>
  <c r="B1358" i="18"/>
  <c r="A445" i="18"/>
  <c r="C445" i="18" s="1"/>
  <c r="A375" i="18"/>
  <c r="C375" i="18" s="1"/>
  <c r="A198" i="18"/>
  <c r="C198" i="18" s="1"/>
  <c r="B103" i="18"/>
  <c r="B1083" i="18"/>
  <c r="A831" i="18"/>
  <c r="C831" i="18" s="1"/>
  <c r="B503" i="18"/>
  <c r="A345" i="18"/>
  <c r="C345" i="18" s="1"/>
  <c r="A265" i="18"/>
  <c r="C265" i="18" s="1"/>
  <c r="B188" i="18"/>
  <c r="B130" i="18"/>
  <c r="B1326" i="18"/>
  <c r="A1215" i="18"/>
  <c r="C1215" i="18" s="1"/>
  <c r="A1083" i="18"/>
  <c r="C1083" i="18" s="1"/>
  <c r="A711" i="18"/>
  <c r="C711" i="18" s="1"/>
  <c r="A579" i="18"/>
  <c r="C579" i="18" s="1"/>
  <c r="A497" i="18"/>
  <c r="C497" i="18" s="1"/>
  <c r="A412" i="18"/>
  <c r="C412" i="18" s="1"/>
  <c r="A262" i="18"/>
  <c r="C262" i="18" s="1"/>
  <c r="B125" i="18"/>
  <c r="A1716" i="18"/>
  <c r="C1716" i="18" s="1"/>
  <c r="B1494" i="18"/>
  <c r="B1209" i="18"/>
  <c r="A496" i="18"/>
  <c r="C496" i="18" s="1"/>
  <c r="B411" i="18"/>
  <c r="B340" i="18"/>
  <c r="A261" i="18"/>
  <c r="C261" i="18" s="1"/>
  <c r="A182" i="18"/>
  <c r="C182" i="18" s="1"/>
  <c r="B112" i="18"/>
  <c r="B51" i="18"/>
  <c r="A1858" i="18"/>
  <c r="C1858" i="18" s="1"/>
  <c r="B1468" i="18"/>
  <c r="A1198" i="18"/>
  <c r="C1198" i="18" s="1"/>
  <c r="A815" i="18"/>
  <c r="C815" i="18" s="1"/>
  <c r="A483" i="18"/>
  <c r="C483" i="18" s="1"/>
  <c r="B243" i="18"/>
  <c r="B1850" i="18"/>
  <c r="B1189" i="18"/>
  <c r="A558" i="18"/>
  <c r="C558" i="18" s="1"/>
  <c r="B480" i="18"/>
  <c r="A389" i="18"/>
  <c r="C389" i="18" s="1"/>
  <c r="A170" i="18"/>
  <c r="C170" i="18" s="1"/>
  <c r="A1580" i="18"/>
  <c r="C1580" i="18" s="1"/>
  <c r="B1197" i="18"/>
  <c r="A846" i="18"/>
  <c r="C846" i="18" s="1"/>
  <c r="B445" i="18"/>
  <c r="B230" i="18"/>
  <c r="B142" i="18"/>
  <c r="A1801" i="18"/>
  <c r="C1801" i="18" s="1"/>
  <c r="A1325" i="18"/>
  <c r="C1325" i="18" s="1"/>
  <c r="A674" i="18"/>
  <c r="C674" i="18" s="1"/>
  <c r="A542" i="18"/>
  <c r="C542" i="18" s="1"/>
  <c r="A426" i="18"/>
  <c r="C426" i="18" s="1"/>
  <c r="B317" i="18"/>
  <c r="A230" i="18"/>
  <c r="C230" i="18" s="1"/>
  <c r="B1565" i="18"/>
  <c r="B1323" i="18"/>
  <c r="B835" i="18"/>
  <c r="B316" i="18"/>
  <c r="B139" i="18"/>
  <c r="A51" i="18"/>
  <c r="C51" i="18" s="1"/>
  <c r="A1321" i="18"/>
  <c r="C1321" i="18" s="1"/>
  <c r="B1138" i="18"/>
  <c r="B646" i="18"/>
  <c r="A529" i="18"/>
  <c r="C529" i="18" s="1"/>
  <c r="B309" i="18"/>
  <c r="B960" i="18"/>
  <c r="A626" i="18"/>
  <c r="C626" i="18" s="1"/>
  <c r="A514" i="18"/>
  <c r="C514" i="18" s="1"/>
  <c r="A296" i="18"/>
  <c r="C296" i="18" s="1"/>
  <c r="A203" i="18"/>
  <c r="C203" i="18" s="1"/>
  <c r="A1129" i="18"/>
  <c r="C1129" i="18" s="1"/>
  <c r="B716" i="18"/>
  <c r="B363" i="18"/>
  <c r="A103" i="18"/>
  <c r="C103" i="18" s="1"/>
  <c r="A1396" i="18"/>
  <c r="C1396" i="18" s="1"/>
  <c r="B693" i="18"/>
  <c r="A92" i="18"/>
  <c r="C92" i="18" s="1"/>
  <c r="B1654" i="18"/>
  <c r="B641" i="18"/>
  <c r="B481" i="18"/>
  <c r="B353" i="18"/>
  <c r="A200" i="18"/>
  <c r="C200" i="18" s="1"/>
  <c r="B1321" i="18"/>
  <c r="A1087" i="18"/>
  <c r="C1087" i="18" s="1"/>
  <c r="A895" i="18"/>
  <c r="C895" i="18" s="1"/>
  <c r="B86" i="18"/>
  <c r="A1315" i="18"/>
  <c r="C1315" i="18" s="1"/>
  <c r="B1086" i="18"/>
  <c r="B894" i="18"/>
  <c r="B191" i="18"/>
  <c r="A1608" i="18"/>
  <c r="C1608" i="18" s="1"/>
  <c r="A1074" i="18"/>
  <c r="C1074" i="18" s="1"/>
  <c r="A853" i="18"/>
  <c r="C853" i="18" s="1"/>
  <c r="A624" i="18"/>
  <c r="C624" i="18" s="1"/>
  <c r="A1287" i="18"/>
  <c r="C1287" i="18" s="1"/>
  <c r="A1049" i="18"/>
  <c r="C1049" i="18" s="1"/>
  <c r="A823" i="18"/>
  <c r="C823" i="18" s="1"/>
  <c r="B623" i="18"/>
  <c r="B458" i="18"/>
  <c r="B181" i="18"/>
  <c r="B1280" i="18"/>
  <c r="B1039" i="18"/>
  <c r="B614" i="18"/>
  <c r="A450" i="18"/>
  <c r="C450" i="18" s="1"/>
  <c r="B1909" i="18"/>
  <c r="A979" i="18"/>
  <c r="C979" i="18" s="1"/>
  <c r="B578" i="18"/>
  <c r="A366" i="18"/>
  <c r="C366" i="18" s="1"/>
  <c r="B1252" i="18"/>
  <c r="A557" i="18"/>
  <c r="C557" i="18" s="1"/>
  <c r="B104" i="18"/>
  <c r="B1735" i="18"/>
  <c r="A528" i="18"/>
  <c r="C528" i="18" s="1"/>
  <c r="B273" i="18"/>
  <c r="B38" i="18"/>
  <c r="A1718" i="18"/>
  <c r="C1718" i="18" s="1"/>
  <c r="A772" i="18"/>
  <c r="C772" i="18" s="1"/>
  <c r="B28" i="18"/>
  <c r="A1231" i="18"/>
  <c r="C1231" i="18" s="1"/>
  <c r="B1855" i="18"/>
  <c r="A132" i="18"/>
  <c r="C132" i="18" s="1"/>
  <c r="A376" i="18"/>
  <c r="C376" i="18" s="1"/>
  <c r="B741" i="18"/>
  <c r="A374" i="18"/>
  <c r="C374" i="18" s="1"/>
  <c r="A105" i="18"/>
  <c r="C105" i="18" s="1"/>
  <c r="B1129" i="18"/>
  <c r="B304" i="18"/>
  <c r="A1013" i="18"/>
  <c r="C1013" i="18" s="1"/>
  <c r="A151" i="18"/>
  <c r="C151" i="18" s="1"/>
  <c r="B1607" i="18"/>
  <c r="B143" i="18"/>
  <c r="A76" i="18"/>
  <c r="C76" i="18" s="1"/>
  <c r="A22" i="18"/>
  <c r="C22" i="18" s="1"/>
  <c r="A1460" i="18"/>
  <c r="C1460" i="18" s="1"/>
  <c r="A787" i="18"/>
  <c r="C787" i="18" s="1"/>
  <c r="B1535" i="18"/>
  <c r="B240" i="18"/>
  <c r="D65" i="5"/>
  <c r="A1494" i="18"/>
  <c r="C1494" i="18" s="1"/>
  <c r="A233" i="18"/>
  <c r="C233" i="18" s="1"/>
  <c r="B722" i="18"/>
  <c r="B1460" i="18"/>
  <c r="A571" i="18"/>
  <c r="C571" i="18" s="1"/>
  <c r="B1407" i="18"/>
  <c r="A407" i="18"/>
  <c r="C407" i="18" s="1"/>
  <c r="B184" i="1"/>
  <c r="B1253" i="18"/>
  <c r="B366" i="18"/>
  <c r="A1246" i="18"/>
  <c r="C1246" i="18" s="1"/>
  <c r="A284" i="18"/>
  <c r="C284" i="18" s="1"/>
  <c r="B1140" i="18"/>
  <c r="B1036" i="18"/>
  <c r="B1013" i="18"/>
  <c r="A926" i="18"/>
  <c r="C926" i="18" s="1"/>
  <c r="B558" i="18"/>
  <c r="B533" i="18"/>
  <c r="A518" i="18"/>
  <c r="C518" i="18" s="1"/>
  <c r="B194" i="1"/>
  <c r="B848" i="18"/>
  <c r="B1980" i="18"/>
  <c r="BY812" i="10"/>
  <c r="L415" i="34"/>
  <c r="CS913" i="10"/>
  <c r="N415" i="34" s="1"/>
  <c r="BZ876" i="10"/>
  <c r="L279" i="34"/>
  <c r="CS777" i="10"/>
  <c r="N279" i="34" s="1"/>
  <c r="K411" i="7"/>
  <c r="N411" i="3" s="1"/>
  <c r="I826" i="19"/>
  <c r="BX618" i="10"/>
  <c r="N618" i="10"/>
  <c r="BQ618" i="10"/>
  <c r="K618" i="10" s="1"/>
  <c r="BG618" i="10" s="1"/>
  <c r="G618" i="10"/>
  <c r="G120" i="34" s="1"/>
  <c r="BB618" i="10"/>
  <c r="BC618" i="10" s="1"/>
  <c r="R618" i="10"/>
  <c r="O618" i="10"/>
  <c r="T618" i="10"/>
  <c r="Q618" i="10"/>
  <c r="I618" i="10"/>
  <c r="P618" i="10" s="1"/>
  <c r="K134" i="7"/>
  <c r="N134" i="3" s="1"/>
  <c r="J187" i="8"/>
  <c r="E10" i="8"/>
  <c r="I630" i="19"/>
  <c r="Q698" i="10"/>
  <c r="BB698" i="10"/>
  <c r="BC698" i="10" s="1"/>
  <c r="BX698" i="10"/>
  <c r="G698" i="10"/>
  <c r="G200" i="34" s="1"/>
  <c r="I698" i="10"/>
  <c r="P698" i="10" s="1"/>
  <c r="R698" i="10"/>
  <c r="O698" i="10"/>
  <c r="T698" i="10"/>
  <c r="BQ698" i="10"/>
  <c r="K698" i="10" s="1"/>
  <c r="BG698" i="10" s="1"/>
  <c r="N698" i="10"/>
  <c r="I482" i="19"/>
  <c r="BQ537" i="10"/>
  <c r="T537" i="10"/>
  <c r="R537" i="10"/>
  <c r="N537" i="10"/>
  <c r="K537" i="10"/>
  <c r="BG537" i="10" s="1"/>
  <c r="I537" i="10"/>
  <c r="P537" i="10" s="1"/>
  <c r="G537" i="10"/>
  <c r="G39" i="34" s="1"/>
  <c r="Q537" i="10"/>
  <c r="BX537" i="10"/>
  <c r="O537" i="10"/>
  <c r="BB537" i="10"/>
  <c r="AF327" i="3"/>
  <c r="AD327" i="7"/>
  <c r="AG327" i="3" s="1"/>
  <c r="AF327" i="7"/>
  <c r="AI327" i="3" s="1"/>
  <c r="I690" i="19"/>
  <c r="I761" i="10"/>
  <c r="P761" i="10" s="1"/>
  <c r="BQ761" i="10"/>
  <c r="K761" i="10" s="1"/>
  <c r="BG761" i="10" s="1"/>
  <c r="R761" i="10"/>
  <c r="BB761" i="10"/>
  <c r="T761" i="10"/>
  <c r="Q761" i="10"/>
  <c r="O761" i="10"/>
  <c r="BX761" i="10"/>
  <c r="N761" i="10"/>
  <c r="G761" i="10"/>
  <c r="G263" i="34" s="1"/>
  <c r="K68" i="35"/>
  <c r="M68" i="35"/>
  <c r="AN45" i="3"/>
  <c r="AL45" i="7"/>
  <c r="AL333" i="7"/>
  <c r="AT207" i="7"/>
  <c r="AW207" i="3" s="1"/>
  <c r="AF57" i="7"/>
  <c r="AD57" i="7"/>
  <c r="AF121" i="7"/>
  <c r="AD121" i="7"/>
  <c r="O44" i="9"/>
  <c r="BC44" i="9" s="1"/>
  <c r="CD44" i="9"/>
  <c r="K64" i="7"/>
  <c r="N64" i="3" s="1"/>
  <c r="AS219" i="7"/>
  <c r="AV219" i="3" s="1"/>
  <c r="I633" i="19"/>
  <c r="I701" i="10"/>
  <c r="P701" i="10" s="1"/>
  <c r="BQ701" i="10"/>
  <c r="K701" i="10" s="1"/>
  <c r="BG701" i="10" s="1"/>
  <c r="Q701" i="10"/>
  <c r="BB701" i="10"/>
  <c r="BC701" i="10" s="1"/>
  <c r="N701" i="10"/>
  <c r="G701" i="10"/>
  <c r="G203" i="34" s="1"/>
  <c r="R701" i="10"/>
  <c r="O701" i="10"/>
  <c r="BX701" i="10"/>
  <c r="T701" i="10"/>
  <c r="K18" i="35"/>
  <c r="M18" i="35"/>
  <c r="AT384" i="7"/>
  <c r="AW384" i="3" s="1"/>
  <c r="AT99" i="7"/>
  <c r="AW99" i="3" s="1"/>
  <c r="I860" i="19"/>
  <c r="T898" i="10"/>
  <c r="R898" i="10"/>
  <c r="BQ898" i="10"/>
  <c r="K898" i="10" s="1"/>
  <c r="BG898" i="10" s="1"/>
  <c r="Q898" i="10"/>
  <c r="BX898" i="10"/>
  <c r="O898" i="10"/>
  <c r="N898" i="10"/>
  <c r="I898" i="10"/>
  <c r="P898" i="10" s="1"/>
  <c r="G898" i="10"/>
  <c r="G400" i="34" s="1"/>
  <c r="BB898" i="10"/>
  <c r="BC898" i="10" s="1"/>
  <c r="K182" i="7"/>
  <c r="N182" i="3" s="1"/>
  <c r="K31" i="7"/>
  <c r="N31" i="3" s="1"/>
  <c r="AD346" i="7"/>
  <c r="AG346" i="3" s="1"/>
  <c r="AF346" i="7"/>
  <c r="AI346" i="3" s="1"/>
  <c r="AF346" i="3"/>
  <c r="C268" i="11"/>
  <c r="AD243" i="7"/>
  <c r="AF243" i="7"/>
  <c r="K412" i="7"/>
  <c r="N412" i="3" s="1"/>
  <c r="AM18" i="7"/>
  <c r="AP18" i="3" s="1"/>
  <c r="AO18" i="3"/>
  <c r="AM18" i="10"/>
  <c r="AN18" i="10" s="1"/>
  <c r="AP18" i="10" s="1"/>
  <c r="K54" i="7"/>
  <c r="N54" i="3" s="1"/>
  <c r="C262" i="11"/>
  <c r="AS322" i="7"/>
  <c r="AV322" i="3" s="1"/>
  <c r="AT410" i="7"/>
  <c r="AT254" i="7"/>
  <c r="AW254" i="3" s="1"/>
  <c r="AL36" i="7"/>
  <c r="BP522" i="10"/>
  <c r="AS128" i="7"/>
  <c r="BY527" i="10"/>
  <c r="AS343" i="7"/>
  <c r="AV343" i="3" s="1"/>
  <c r="K62" i="7"/>
  <c r="N62" i="3" s="1"/>
  <c r="AT176" i="7"/>
  <c r="AD199" i="7"/>
  <c r="AF199" i="7"/>
  <c r="AS176" i="7"/>
  <c r="AS17" i="7"/>
  <c r="AV17" i="3" s="1"/>
  <c r="S15" i="17"/>
  <c r="G15" i="17" s="1"/>
  <c r="S9" i="17"/>
  <c r="G9" i="17" s="1"/>
  <c r="S8" i="17"/>
  <c r="G8" i="17" s="1"/>
  <c r="S17" i="17"/>
  <c r="G17" i="17" s="1"/>
  <c r="S19" i="17"/>
  <c r="G19" i="17" s="1"/>
  <c r="S22" i="17"/>
  <c r="G22" i="17" s="1"/>
  <c r="S7" i="17"/>
  <c r="G7" i="17" s="1"/>
  <c r="L321" i="34"/>
  <c r="CS819" i="10"/>
  <c r="N321" i="34" s="1"/>
  <c r="J298" i="34"/>
  <c r="L263" i="34"/>
  <c r="CS761" i="10"/>
  <c r="N263" i="34" s="1"/>
  <c r="L154" i="34"/>
  <c r="CS652" i="10"/>
  <c r="N154" i="34" s="1"/>
  <c r="L411" i="34"/>
  <c r="CS909" i="10"/>
  <c r="N411" i="34" s="1"/>
  <c r="BY914" i="10"/>
  <c r="L74" i="34"/>
  <c r="CS572" i="10"/>
  <c r="N74" i="34" s="1"/>
  <c r="CI608" i="10"/>
  <c r="C257" i="11"/>
  <c r="AF347" i="7"/>
  <c r="AI347" i="3" s="1"/>
  <c r="AD347" i="7"/>
  <c r="AG347" i="3" s="1"/>
  <c r="AF347" i="3"/>
  <c r="AM232" i="7"/>
  <c r="AP232" i="3" s="1"/>
  <c r="AD296" i="7"/>
  <c r="AF296" i="7"/>
  <c r="AS141" i="7"/>
  <c r="AV141" i="3" s="1"/>
  <c r="AF24" i="3"/>
  <c r="AF24" i="7"/>
  <c r="AI24" i="3" s="1"/>
  <c r="AD24" i="7"/>
  <c r="AG24" i="3" s="1"/>
  <c r="K16" i="7"/>
  <c r="N16" i="3" s="1"/>
  <c r="AD406" i="7"/>
  <c r="AF406" i="7"/>
  <c r="O27" i="3"/>
  <c r="I522" i="10"/>
  <c r="P522" i="10" s="1"/>
  <c r="S522" i="10" s="1"/>
  <c r="AS384" i="7"/>
  <c r="AV384" i="3" s="1"/>
  <c r="I653" i="19"/>
  <c r="G725" i="10"/>
  <c r="G227" i="34" s="1"/>
  <c r="R725" i="10"/>
  <c r="Q725" i="10"/>
  <c r="O725" i="10"/>
  <c r="BX725" i="10"/>
  <c r="I725" i="10"/>
  <c r="P725" i="10" s="1"/>
  <c r="N725" i="10"/>
  <c r="T725" i="10"/>
  <c r="BQ725" i="10"/>
  <c r="K725" i="10" s="1"/>
  <c r="BG725" i="10" s="1"/>
  <c r="BB725" i="10"/>
  <c r="AL34" i="7"/>
  <c r="AF132" i="7"/>
  <c r="AD132" i="7"/>
  <c r="AF211" i="7"/>
  <c r="AD211" i="7"/>
  <c r="I646" i="19"/>
  <c r="G714" i="10"/>
  <c r="G216" i="34" s="1"/>
  <c r="BX714" i="10"/>
  <c r="T714" i="10"/>
  <c r="BQ714" i="10"/>
  <c r="K714" i="10" s="1"/>
  <c r="BG714" i="10" s="1"/>
  <c r="R714" i="10"/>
  <c r="Q714" i="10"/>
  <c r="O714" i="10"/>
  <c r="N714" i="10"/>
  <c r="I714" i="10"/>
  <c r="P714" i="10" s="1"/>
  <c r="BB714" i="10"/>
  <c r="AL182" i="7"/>
  <c r="I448" i="19"/>
  <c r="G504" i="10"/>
  <c r="G6" i="34" s="1"/>
  <c r="T504" i="10"/>
  <c r="BX504" i="10"/>
  <c r="O504" i="10"/>
  <c r="R504" i="10"/>
  <c r="Q504" i="10"/>
  <c r="BQ504" i="10"/>
  <c r="K504" i="10" s="1"/>
  <c r="BG504" i="10" s="1"/>
  <c r="N504" i="10"/>
  <c r="I504" i="10"/>
  <c r="P504" i="10" s="1"/>
  <c r="BB504" i="10"/>
  <c r="BC504" i="10" s="1"/>
  <c r="O151" i="3"/>
  <c r="AE146" i="7"/>
  <c r="AH146" i="3" s="1"/>
  <c r="I815" i="19"/>
  <c r="I886" i="10"/>
  <c r="BQ886" i="10"/>
  <c r="K886" i="10" s="1"/>
  <c r="BG886" i="10" s="1"/>
  <c r="BX886" i="10"/>
  <c r="R886" i="10"/>
  <c r="Q886" i="10"/>
  <c r="P886" i="10"/>
  <c r="O886" i="10"/>
  <c r="G886" i="10"/>
  <c r="G388" i="34" s="1"/>
  <c r="T886" i="10"/>
  <c r="N886" i="10"/>
  <c r="BB886" i="10"/>
  <c r="BC886" i="10" s="1"/>
  <c r="AF222" i="7"/>
  <c r="AD222" i="7"/>
  <c r="K416" i="7"/>
  <c r="N416" i="3" s="1"/>
  <c r="F5" i="8"/>
  <c r="M5" i="3"/>
  <c r="AF254" i="7"/>
  <c r="AD254" i="7"/>
  <c r="I677" i="19"/>
  <c r="I749" i="10"/>
  <c r="P749" i="10" s="1"/>
  <c r="R749" i="10"/>
  <c r="BB749" i="10"/>
  <c r="BC749" i="10" s="1"/>
  <c r="BQ749" i="10"/>
  <c r="K749" i="10" s="1"/>
  <c r="BG749" i="10" s="1"/>
  <c r="Q749" i="10"/>
  <c r="T749" i="10"/>
  <c r="BX749" i="10"/>
  <c r="BP749" i="10"/>
  <c r="BR749" i="10" s="1"/>
  <c r="O749" i="10"/>
  <c r="N749" i="10"/>
  <c r="G749" i="10"/>
  <c r="G251" i="34" s="1"/>
  <c r="K139" i="7"/>
  <c r="N139" i="3" s="1"/>
  <c r="D34" i="28"/>
  <c r="D12" i="28"/>
  <c r="D17" i="28"/>
  <c r="D22" i="28"/>
  <c r="D37" i="28"/>
  <c r="D15" i="28"/>
  <c r="D20" i="28"/>
  <c r="D30" i="28"/>
  <c r="D8" i="28"/>
  <c r="D16" i="28"/>
  <c r="D9" i="28"/>
  <c r="D25" i="28"/>
  <c r="D18" i="28"/>
  <c r="D2" i="28"/>
  <c r="D32" i="28"/>
  <c r="D11" i="28"/>
  <c r="D4" i="28"/>
  <c r="J4" i="28" s="1"/>
  <c r="D13" i="28"/>
  <c r="D27" i="28"/>
  <c r="D6" i="28"/>
  <c r="D33" i="28"/>
  <c r="D14" i="28"/>
  <c r="B171" i="22"/>
  <c r="D29" i="28"/>
  <c r="D78" i="22"/>
  <c r="E78" i="22" s="1"/>
  <c r="D24" i="28"/>
  <c r="D35" i="28"/>
  <c r="D19" i="28"/>
  <c r="D3" i="28"/>
  <c r="D28" i="28"/>
  <c r="D31" i="28"/>
  <c r="D21" i="28"/>
  <c r="D7" i="28"/>
  <c r="D36" i="28"/>
  <c r="D26" i="28"/>
  <c r="Q21" i="17"/>
  <c r="Q9" i="17"/>
  <c r="D82" i="14"/>
  <c r="D71" i="14"/>
  <c r="D23" i="28"/>
  <c r="Q16" i="17"/>
  <c r="Q14" i="17"/>
  <c r="R517" i="13"/>
  <c r="Q18" i="17"/>
  <c r="D78" i="14"/>
  <c r="D70" i="14"/>
  <c r="Q20" i="17"/>
  <c r="W111" i="12"/>
  <c r="W110" i="12"/>
  <c r="R515" i="13"/>
  <c r="R512" i="13"/>
  <c r="W108" i="12"/>
  <c r="D73" i="14"/>
  <c r="R506" i="13"/>
  <c r="W106" i="12"/>
  <c r="W104" i="12"/>
  <c r="Q19" i="17"/>
  <c r="R514" i="13"/>
  <c r="Q8" i="17"/>
  <c r="R509" i="13"/>
  <c r="CL882" i="10"/>
  <c r="Q7" i="17"/>
  <c r="D84" i="14"/>
  <c r="W107" i="12"/>
  <c r="D77" i="14"/>
  <c r="Q11" i="17"/>
  <c r="D83" i="14"/>
  <c r="R508" i="13"/>
  <c r="Q17" i="17"/>
  <c r="R505" i="13"/>
  <c r="CE877" i="10"/>
  <c r="Q10" i="17"/>
  <c r="R516" i="13"/>
  <c r="W112" i="12"/>
  <c r="D75" i="14"/>
  <c r="CE919" i="10"/>
  <c r="Q13" i="17"/>
  <c r="D80" i="14"/>
  <c r="BY908" i="10"/>
  <c r="BY893" i="10"/>
  <c r="CE912" i="10"/>
  <c r="BY910" i="10"/>
  <c r="CE871" i="10"/>
  <c r="BY844" i="10"/>
  <c r="W113" i="12"/>
  <c r="BY853" i="10"/>
  <c r="BY845" i="10"/>
  <c r="R511" i="13"/>
  <c r="W103" i="12"/>
  <c r="BY919" i="10"/>
  <c r="BY886" i="10"/>
  <c r="BY866" i="10"/>
  <c r="BY829" i="10"/>
  <c r="BY882" i="10"/>
  <c r="BY880" i="10"/>
  <c r="CE878" i="10"/>
  <c r="CE862" i="10"/>
  <c r="CE843" i="10"/>
  <c r="BY839" i="10"/>
  <c r="BY838" i="10"/>
  <c r="CE803" i="10"/>
  <c r="BY850" i="10"/>
  <c r="CE827" i="10"/>
  <c r="BY822" i="10"/>
  <c r="BY819" i="10"/>
  <c r="BY814" i="10"/>
  <c r="BY794" i="10"/>
  <c r="CE787" i="10"/>
  <c r="D74" i="14"/>
  <c r="W100" i="12"/>
  <c r="CE921" i="10"/>
  <c r="BY879" i="10"/>
  <c r="BY808" i="10"/>
  <c r="CE788" i="10"/>
  <c r="CE910" i="10"/>
  <c r="CE886" i="10"/>
  <c r="CE872" i="10"/>
  <c r="BY827" i="10"/>
  <c r="CE825" i="10"/>
  <c r="BY783" i="10"/>
  <c r="CE781" i="10"/>
  <c r="BY772" i="10"/>
  <c r="D72" i="14"/>
  <c r="CL900" i="10"/>
  <c r="CE885" i="10"/>
  <c r="CE853" i="10"/>
  <c r="BY805" i="10"/>
  <c r="BY788" i="10"/>
  <c r="BY897" i="10"/>
  <c r="BY875" i="10"/>
  <c r="BY834" i="10"/>
  <c r="BY815" i="10"/>
  <c r="BY807" i="10"/>
  <c r="CE772" i="10"/>
  <c r="BY759" i="10"/>
  <c r="BY740" i="10"/>
  <c r="CE641" i="10"/>
  <c r="BY857" i="10"/>
  <c r="CE840" i="10"/>
  <c r="CE833" i="10"/>
  <c r="CE821" i="10"/>
  <c r="BY792" i="10"/>
  <c r="BY770" i="10"/>
  <c r="CE760" i="10"/>
  <c r="CE747" i="10"/>
  <c r="CE725" i="10"/>
  <c r="BY718" i="10"/>
  <c r="BY696" i="10"/>
  <c r="CE678" i="10"/>
  <c r="BY674" i="10"/>
  <c r="D81" i="14"/>
  <c r="W101" i="12"/>
  <c r="BY898" i="10"/>
  <c r="BY887" i="10"/>
  <c r="CE881" i="10"/>
  <c r="BY871" i="10"/>
  <c r="CE845" i="10"/>
  <c r="CE790" i="10"/>
  <c r="CE800" i="10"/>
  <c r="CE795" i="10"/>
  <c r="CE761" i="10"/>
  <c r="Q12" i="17"/>
  <c r="BY888" i="10"/>
  <c r="BY843" i="10"/>
  <c r="BY832" i="10"/>
  <c r="BY790" i="10"/>
  <c r="BY703" i="10"/>
  <c r="BY681" i="10"/>
  <c r="CE663" i="10"/>
  <c r="BY890" i="10"/>
  <c r="CE834" i="10"/>
  <c r="CE780" i="10"/>
  <c r="CE883" i="10"/>
  <c r="BY877" i="10"/>
  <c r="CE849" i="10"/>
  <c r="BY833" i="10"/>
  <c r="CE832" i="10"/>
  <c r="CE818" i="10"/>
  <c r="CE739" i="10"/>
  <c r="BY725" i="10"/>
  <c r="CE674" i="10"/>
  <c r="BY662" i="10"/>
  <c r="CE659" i="10"/>
  <c r="CE617" i="10"/>
  <c r="CE908" i="10"/>
  <c r="BY899" i="10"/>
  <c r="CE897" i="10"/>
  <c r="CE866" i="10"/>
  <c r="CE838" i="10"/>
  <c r="BY796" i="10"/>
  <c r="CE794" i="10"/>
  <c r="BY785" i="10"/>
  <c r="CE765" i="10"/>
  <c r="CE763" i="10"/>
  <c r="BY761" i="10"/>
  <c r="W102" i="12"/>
  <c r="CE779" i="10"/>
  <c r="BY747" i="10"/>
  <c r="BY739" i="10"/>
  <c r="CE696" i="10"/>
  <c r="CE648" i="10"/>
  <c r="CE822" i="10"/>
  <c r="BY821" i="10"/>
  <c r="BY758" i="10"/>
  <c r="BY751" i="10"/>
  <c r="D79" i="14"/>
  <c r="BY717" i="10"/>
  <c r="CE606" i="10"/>
  <c r="CR606" i="10" s="1"/>
  <c r="P108" i="34" s="1"/>
  <c r="CE907" i="10"/>
  <c r="BY714" i="10"/>
  <c r="BY700" i="10"/>
  <c r="BY648" i="10"/>
  <c r="CL634" i="10"/>
  <c r="CE583" i="10"/>
  <c r="D76" i="14"/>
  <c r="BY909" i="10"/>
  <c r="BY889" i="10"/>
  <c r="BY764" i="10"/>
  <c r="BY736" i="10"/>
  <c r="R504" i="13"/>
  <c r="CE861" i="10"/>
  <c r="CE856" i="10"/>
  <c r="BY841" i="10"/>
  <c r="BY799" i="10"/>
  <c r="CE594" i="10"/>
  <c r="W109" i="12"/>
  <c r="BY900" i="10"/>
  <c r="BY818" i="10"/>
  <c r="CE786" i="10"/>
  <c r="BY707" i="10"/>
  <c r="R513" i="13"/>
  <c r="R507" i="13"/>
  <c r="BY921" i="10"/>
  <c r="CE899" i="10"/>
  <c r="CE893" i="10"/>
  <c r="CE875" i="10"/>
  <c r="BY855" i="10"/>
  <c r="CE824" i="10"/>
  <c r="CE811" i="10"/>
  <c r="BY781" i="10"/>
  <c r="CE759" i="10"/>
  <c r="BY719" i="10"/>
  <c r="CE717" i="10"/>
  <c r="BY701" i="10"/>
  <c r="BY623" i="10"/>
  <c r="BY594" i="10"/>
  <c r="CE545" i="10"/>
  <c r="CE889" i="10"/>
  <c r="BY824" i="10"/>
  <c r="CE813" i="10"/>
  <c r="BY786" i="10"/>
  <c r="CE740" i="10"/>
  <c r="CE738" i="10"/>
  <c r="BY728" i="10"/>
  <c r="BY710" i="10"/>
  <c r="CE695" i="10"/>
  <c r="BY657" i="10"/>
  <c r="CE868" i="10"/>
  <c r="BY851" i="10"/>
  <c r="D86" i="14"/>
  <c r="CE892" i="10"/>
  <c r="CE884" i="10"/>
  <c r="CR884" i="10" s="1"/>
  <c r="P386" i="34" s="1"/>
  <c r="CE829" i="10"/>
  <c r="CE819" i="10"/>
  <c r="BY804" i="10"/>
  <c r="CE618" i="10"/>
  <c r="BY601" i="10"/>
  <c r="D85" i="14"/>
  <c r="CE850" i="10"/>
  <c r="CE778" i="10"/>
  <c r="CE729" i="10"/>
  <c r="BY712" i="10"/>
  <c r="BY705" i="10"/>
  <c r="CE692" i="10"/>
  <c r="CL689" i="10"/>
  <c r="BY641" i="10"/>
  <c r="BY605" i="10"/>
  <c r="BY597" i="10"/>
  <c r="BY564" i="10"/>
  <c r="CE534" i="10"/>
  <c r="CQ29" i="9"/>
  <c r="CE755" i="10"/>
  <c r="CE731" i="10"/>
  <c r="BY729" i="10"/>
  <c r="CE690" i="10"/>
  <c r="BY678" i="10"/>
  <c r="CE673" i="10"/>
  <c r="R510" i="13"/>
  <c r="BY891" i="10"/>
  <c r="CE808" i="10"/>
  <c r="BY800" i="10"/>
  <c r="CE789" i="10"/>
  <c r="CE727" i="10"/>
  <c r="CE718" i="10"/>
  <c r="CE711" i="10"/>
  <c r="BY697" i="10"/>
  <c r="BY692" i="10"/>
  <c r="BY669" i="10"/>
  <c r="CE571" i="10"/>
  <c r="CE561" i="10"/>
  <c r="BY553" i="10"/>
  <c r="BY823" i="10"/>
  <c r="BY816" i="10"/>
  <c r="CE812" i="10"/>
  <c r="CE741" i="10"/>
  <c r="CL591" i="10"/>
  <c r="CE588" i="10"/>
  <c r="BY545" i="10"/>
  <c r="H316" i="8"/>
  <c r="H306" i="8"/>
  <c r="CE836" i="10"/>
  <c r="CE799" i="10"/>
  <c r="BY789" i="10"/>
  <c r="CE708" i="10"/>
  <c r="BY685" i="10"/>
  <c r="CE670" i="10"/>
  <c r="BY621" i="10"/>
  <c r="CE619" i="10"/>
  <c r="CE563" i="10"/>
  <c r="CE546" i="10"/>
  <c r="CE527" i="10"/>
  <c r="W105" i="12"/>
  <c r="BY861" i="10"/>
  <c r="BY797" i="10"/>
  <c r="BY775" i="10"/>
  <c r="BY756" i="10"/>
  <c r="CE605" i="10"/>
  <c r="BY583" i="10"/>
  <c r="BY580" i="10"/>
  <c r="CE575" i="10"/>
  <c r="BY571" i="10"/>
  <c r="BY518" i="10"/>
  <c r="CE890" i="10"/>
  <c r="BY865" i="10"/>
  <c r="CL746" i="10"/>
  <c r="CE719" i="10"/>
  <c r="CE652" i="10"/>
  <c r="CE905" i="10"/>
  <c r="BY840" i="10"/>
  <c r="BY836" i="10"/>
  <c r="BY702" i="10"/>
  <c r="BY686" i="10"/>
  <c r="BY673" i="10"/>
  <c r="BY670" i="10"/>
  <c r="CE640" i="10"/>
  <c r="BY923" i="10"/>
  <c r="CE888" i="10"/>
  <c r="Q15" i="17"/>
  <c r="CE864" i="10"/>
  <c r="BY779" i="10"/>
  <c r="BY769" i="10"/>
  <c r="BY765" i="10"/>
  <c r="BY754" i="10"/>
  <c r="CE728" i="10"/>
  <c r="CE716" i="10"/>
  <c r="CE662" i="10"/>
  <c r="BY652" i="10"/>
  <c r="CE642" i="10"/>
  <c r="CE635" i="10"/>
  <c r="CE610" i="10"/>
  <c r="CE604" i="10"/>
  <c r="BY575" i="10"/>
  <c r="CE555" i="10"/>
  <c r="D74" i="22"/>
  <c r="E74" i="22" s="1"/>
  <c r="CE870" i="10"/>
  <c r="BY825" i="10"/>
  <c r="CE801" i="10"/>
  <c r="CE757" i="10"/>
  <c r="CE917" i="10"/>
  <c r="CE901" i="10"/>
  <c r="BY858" i="10"/>
  <c r="BY810" i="10"/>
  <c r="BY801" i="10"/>
  <c r="BY768" i="10"/>
  <c r="CE736" i="10"/>
  <c r="CE556" i="10"/>
  <c r="BY554" i="10"/>
  <c r="CE553" i="10"/>
  <c r="BY514" i="10"/>
  <c r="CE835" i="10"/>
  <c r="CE745" i="10"/>
  <c r="CE679" i="10"/>
  <c r="CE624" i="10"/>
  <c r="BY556" i="10"/>
  <c r="BY920" i="10"/>
  <c r="BY695" i="10"/>
  <c r="BY690" i="10"/>
  <c r="CE602" i="10"/>
  <c r="CE564" i="10"/>
  <c r="CE896" i="10"/>
  <c r="CE894" i="10"/>
  <c r="CE751" i="10"/>
  <c r="BY724" i="10"/>
  <c r="BY849" i="10"/>
  <c r="CE669" i="10"/>
  <c r="CE658" i="10"/>
  <c r="CE628" i="10"/>
  <c r="BY511" i="10"/>
  <c r="CE66" i="9"/>
  <c r="CK57" i="9"/>
  <c r="CE56" i="9"/>
  <c r="R314" i="8"/>
  <c r="H313" i="8"/>
  <c r="R311" i="8"/>
  <c r="H310" i="8"/>
  <c r="R308" i="8"/>
  <c r="H307" i="8"/>
  <c r="AN426" i="7"/>
  <c r="AP416" i="7"/>
  <c r="AS416" i="3" s="1"/>
  <c r="AN404" i="7"/>
  <c r="AP394" i="7"/>
  <c r="AS394" i="3" s="1"/>
  <c r="AN382" i="7"/>
  <c r="AQ382" i="3" s="1"/>
  <c r="AP372" i="7"/>
  <c r="AS372" i="3" s="1"/>
  <c r="CE914" i="10"/>
  <c r="CE785" i="10"/>
  <c r="BY760" i="10"/>
  <c r="CE643" i="10"/>
  <c r="BY604" i="10"/>
  <c r="CE597" i="10"/>
  <c r="BY542" i="10"/>
  <c r="CE750" i="10"/>
  <c r="CE685" i="10"/>
  <c r="CE681" i="10"/>
  <c r="BY658" i="10"/>
  <c r="BY589" i="10"/>
  <c r="CK64" i="9"/>
  <c r="F313" i="8"/>
  <c r="F310" i="8"/>
  <c r="F307" i="8"/>
  <c r="H304" i="8"/>
  <c r="R302" i="8"/>
  <c r="AP428" i="7"/>
  <c r="AS428" i="3" s="1"/>
  <c r="AN416" i="7"/>
  <c r="AQ416" i="3" s="1"/>
  <c r="AP406" i="7"/>
  <c r="AS406" i="3" s="1"/>
  <c r="AN394" i="7"/>
  <c r="AQ394" i="3" s="1"/>
  <c r="AP384" i="7"/>
  <c r="AS384" i="3" s="1"/>
  <c r="AN372" i="7"/>
  <c r="BY869" i="10"/>
  <c r="CE675" i="10"/>
  <c r="BY663" i="10"/>
  <c r="BY660" i="10"/>
  <c r="CE655" i="10"/>
  <c r="CE584" i="10"/>
  <c r="CE535" i="10"/>
  <c r="CE521" i="10"/>
  <c r="CE69" i="9"/>
  <c r="F301" i="8"/>
  <c r="Q22" i="17"/>
  <c r="BY750" i="10"/>
  <c r="BY688" i="10"/>
  <c r="BY675" i="10"/>
  <c r="CE647" i="10"/>
  <c r="BY634" i="10"/>
  <c r="CE518" i="10"/>
  <c r="CK72" i="9"/>
  <c r="CK58" i="9"/>
  <c r="CE57" i="9"/>
  <c r="CK20" i="9"/>
  <c r="AN423" i="7"/>
  <c r="AQ423" i="3" s="1"/>
  <c r="AP413" i="7"/>
  <c r="AS413" i="3" s="1"/>
  <c r="BY610" i="10"/>
  <c r="BY555" i="10"/>
  <c r="BY513" i="10"/>
  <c r="CE511" i="10"/>
  <c r="CE67" i="9"/>
  <c r="CK63" i="9"/>
  <c r="CE50" i="9"/>
  <c r="F311" i="8"/>
  <c r="F302" i="8"/>
  <c r="AP426" i="7"/>
  <c r="AS426" i="3" s="1"/>
  <c r="AP419" i="7"/>
  <c r="AS419" i="3" s="1"/>
  <c r="AN412" i="7"/>
  <c r="AN398" i="7"/>
  <c r="AQ398" i="3" s="1"/>
  <c r="AP376" i="7"/>
  <c r="AS376" i="3" s="1"/>
  <c r="AP370" i="7"/>
  <c r="AS370" i="3" s="1"/>
  <c r="AN352" i="7"/>
  <c r="AP342" i="7"/>
  <c r="AS342" i="3" s="1"/>
  <c r="AN330" i="7"/>
  <c r="AP320" i="7"/>
  <c r="AS320" i="3" s="1"/>
  <c r="AN308" i="7"/>
  <c r="AQ308" i="3" s="1"/>
  <c r="AP298" i="7"/>
  <c r="AS298" i="3" s="1"/>
  <c r="AN286" i="7"/>
  <c r="AP276" i="7"/>
  <c r="AS276" i="3" s="1"/>
  <c r="AN264" i="7"/>
  <c r="AQ264" i="3" s="1"/>
  <c r="AP254" i="7"/>
  <c r="AS254" i="3" s="1"/>
  <c r="AN242" i="7"/>
  <c r="AQ242" i="3" s="1"/>
  <c r="AP232" i="7"/>
  <c r="AS232" i="3" s="1"/>
  <c r="AN220" i="7"/>
  <c r="AQ220" i="3" s="1"/>
  <c r="AP210" i="7"/>
  <c r="AS210" i="3" s="1"/>
  <c r="AN198" i="7"/>
  <c r="AP188" i="7"/>
  <c r="AS188" i="3" s="1"/>
  <c r="AN176" i="7"/>
  <c r="AQ176" i="3" s="1"/>
  <c r="AP166" i="7"/>
  <c r="AS166" i="3" s="1"/>
  <c r="AN154" i="7"/>
  <c r="AQ154" i="3" s="1"/>
  <c r="AP144" i="7"/>
  <c r="AS144" i="3" s="1"/>
  <c r="AN132" i="7"/>
  <c r="AQ132" i="3" s="1"/>
  <c r="AP122" i="7"/>
  <c r="AS122" i="3" s="1"/>
  <c r="AN110" i="7"/>
  <c r="AQ110" i="3" s="1"/>
  <c r="AP100" i="7"/>
  <c r="AS100" i="3" s="1"/>
  <c r="AN88" i="7"/>
  <c r="AP78" i="7"/>
  <c r="AS78" i="3" s="1"/>
  <c r="BY867" i="10"/>
  <c r="CE855" i="10"/>
  <c r="CE805" i="10"/>
  <c r="BY738" i="10"/>
  <c r="BY595" i="10"/>
  <c r="BY579" i="10"/>
  <c r="CE572" i="10"/>
  <c r="CE543" i="10"/>
  <c r="CE524" i="10"/>
  <c r="CK70" i="9"/>
  <c r="CE26" i="9"/>
  <c r="H309" i="8"/>
  <c r="R305" i="8"/>
  <c r="H300" i="8"/>
  <c r="AP415" i="7"/>
  <c r="AS415" i="3" s="1"/>
  <c r="AN408" i="7"/>
  <c r="AP401" i="7"/>
  <c r="AS401" i="3" s="1"/>
  <c r="AN395" i="7"/>
  <c r="AN392" i="7"/>
  <c r="AQ392" i="3" s="1"/>
  <c r="AP373" i="7"/>
  <c r="AS373" i="3" s="1"/>
  <c r="AP367" i="7"/>
  <c r="AS367" i="3" s="1"/>
  <c r="AP359" i="7"/>
  <c r="AS359" i="3" s="1"/>
  <c r="AN347" i="7"/>
  <c r="AQ347" i="3" s="1"/>
  <c r="AP337" i="7"/>
  <c r="AS337" i="3" s="1"/>
  <c r="AN325" i="7"/>
  <c r="AQ325" i="3" s="1"/>
  <c r="AP315" i="7"/>
  <c r="AS315" i="3" s="1"/>
  <c r="AN303" i="7"/>
  <c r="AQ303" i="3" s="1"/>
  <c r="AP293" i="7"/>
  <c r="AS293" i="3" s="1"/>
  <c r="AN281" i="7"/>
  <c r="AQ281" i="3" s="1"/>
  <c r="AP271" i="7"/>
  <c r="AS271" i="3" s="1"/>
  <c r="AN259" i="7"/>
  <c r="AQ259" i="3" s="1"/>
  <c r="AP249" i="7"/>
  <c r="AS249" i="3" s="1"/>
  <c r="AN237" i="7"/>
  <c r="AQ237" i="3" s="1"/>
  <c r="AP227" i="7"/>
  <c r="AS227" i="3" s="1"/>
  <c r="AN215" i="7"/>
  <c r="AQ215" i="3" s="1"/>
  <c r="AP205" i="7"/>
  <c r="AS205" i="3" s="1"/>
  <c r="AN193" i="7"/>
  <c r="AQ193" i="3" s="1"/>
  <c r="AP183" i="7"/>
  <c r="AS183" i="3" s="1"/>
  <c r="AN171" i="7"/>
  <c r="AP161" i="7"/>
  <c r="AS161" i="3" s="1"/>
  <c r="AN149" i="7"/>
  <c r="AQ149" i="3" s="1"/>
  <c r="AP139" i="7"/>
  <c r="AS139" i="3" s="1"/>
  <c r="AN127" i="7"/>
  <c r="AQ127" i="3" s="1"/>
  <c r="AP117" i="7"/>
  <c r="AS117" i="3" s="1"/>
  <c r="AN105" i="7"/>
  <c r="AQ105" i="3" s="1"/>
  <c r="AP95" i="7"/>
  <c r="AS95" i="3" s="1"/>
  <c r="AN83" i="7"/>
  <c r="AQ83" i="3" s="1"/>
  <c r="AP73" i="7"/>
  <c r="AS73" i="3" s="1"/>
  <c r="AN61" i="7"/>
  <c r="AQ61" i="3" s="1"/>
  <c r="AP51" i="7"/>
  <c r="AS51" i="3" s="1"/>
  <c r="AN39" i="7"/>
  <c r="AQ39" i="3" s="1"/>
  <c r="AP29" i="7"/>
  <c r="AS29" i="3" s="1"/>
  <c r="AN17" i="7"/>
  <c r="AQ17" i="3" s="1"/>
  <c r="AP7" i="7"/>
  <c r="AS7" i="3" s="1"/>
  <c r="B39" i="2"/>
  <c r="CE698" i="10"/>
  <c r="BY625" i="10"/>
  <c r="BY577" i="10"/>
  <c r="CE542" i="10"/>
  <c r="CE503" i="10"/>
  <c r="Q23" i="17"/>
  <c r="CE828" i="10"/>
  <c r="CE783" i="10"/>
  <c r="CE644" i="10"/>
  <c r="CE568" i="10"/>
  <c r="CK76" i="9"/>
  <c r="CK54" i="9"/>
  <c r="CK15" i="9"/>
  <c r="R310" i="8"/>
  <c r="H305" i="8"/>
  <c r="R301" i="8"/>
  <c r="AP418" i="7"/>
  <c r="AS418" i="3" s="1"/>
  <c r="AN411" i="7"/>
  <c r="AQ411" i="3" s="1"/>
  <c r="AP391" i="7"/>
  <c r="AS391" i="3" s="1"/>
  <c r="AN379" i="7"/>
  <c r="AQ379" i="3" s="1"/>
  <c r="AP361" i="7"/>
  <c r="AS361" i="3" s="1"/>
  <c r="AN349" i="7"/>
  <c r="AQ349" i="3" s="1"/>
  <c r="AP339" i="7"/>
  <c r="AS339" i="3" s="1"/>
  <c r="AN327" i="7"/>
  <c r="AQ327" i="3" s="1"/>
  <c r="AP317" i="7"/>
  <c r="AS317" i="3" s="1"/>
  <c r="AN305" i="7"/>
  <c r="AQ305" i="3" s="1"/>
  <c r="AP295" i="7"/>
  <c r="AS295" i="3" s="1"/>
  <c r="AN283" i="7"/>
  <c r="AQ283" i="3" s="1"/>
  <c r="AP273" i="7"/>
  <c r="AS273" i="3" s="1"/>
  <c r="AN261" i="7"/>
  <c r="AQ261" i="3" s="1"/>
  <c r="AP251" i="7"/>
  <c r="AS251" i="3" s="1"/>
  <c r="AN239" i="7"/>
  <c r="AQ239" i="3" s="1"/>
  <c r="AP229" i="7"/>
  <c r="AS229" i="3" s="1"/>
  <c r="AN217" i="7"/>
  <c r="AQ217" i="3" s="1"/>
  <c r="AP207" i="7"/>
  <c r="AS207" i="3" s="1"/>
  <c r="AN195" i="7"/>
  <c r="AP185" i="7"/>
  <c r="AS185" i="3" s="1"/>
  <c r="AN173" i="7"/>
  <c r="AP163" i="7"/>
  <c r="AS163" i="3" s="1"/>
  <c r="AN151" i="7"/>
  <c r="AQ151" i="3" s="1"/>
  <c r="AP141" i="7"/>
  <c r="AS141" i="3" s="1"/>
  <c r="AN129" i="7"/>
  <c r="AQ129" i="3" s="1"/>
  <c r="AP119" i="7"/>
  <c r="AS119" i="3" s="1"/>
  <c r="AN107" i="7"/>
  <c r="AQ107" i="3" s="1"/>
  <c r="AP97" i="7"/>
  <c r="AS97" i="3" s="1"/>
  <c r="AN85" i="7"/>
  <c r="AQ85" i="3" s="1"/>
  <c r="AP75" i="7"/>
  <c r="AS75" i="3" s="1"/>
  <c r="AN63" i="7"/>
  <c r="AQ63" i="3" s="1"/>
  <c r="AP53" i="7"/>
  <c r="AS53" i="3" s="1"/>
  <c r="AN41" i="7"/>
  <c r="AQ41" i="3" s="1"/>
  <c r="AP31" i="7"/>
  <c r="AS31" i="3" s="1"/>
  <c r="AN19" i="7"/>
  <c r="AQ19" i="3" s="1"/>
  <c r="AP9" i="7"/>
  <c r="AS9" i="3" s="1"/>
  <c r="CE724" i="10"/>
  <c r="BY644" i="10"/>
  <c r="CE607" i="10"/>
  <c r="BY535" i="10"/>
  <c r="CK51" i="9"/>
  <c r="CE49" i="9"/>
  <c r="F314" i="8"/>
  <c r="R306" i="8"/>
  <c r="AN425" i="7"/>
  <c r="AP400" i="7"/>
  <c r="AS400" i="3" s="1"/>
  <c r="AN369" i="7"/>
  <c r="AQ369" i="3" s="1"/>
  <c r="AN356" i="7"/>
  <c r="AP346" i="7"/>
  <c r="AS346" i="3" s="1"/>
  <c r="AN334" i="7"/>
  <c r="AQ334" i="3" s="1"/>
  <c r="AP324" i="7"/>
  <c r="AS324" i="3" s="1"/>
  <c r="AN312" i="7"/>
  <c r="AP302" i="7"/>
  <c r="AS302" i="3" s="1"/>
  <c r="AN290" i="7"/>
  <c r="AQ290" i="3" s="1"/>
  <c r="AP280" i="7"/>
  <c r="AS280" i="3" s="1"/>
  <c r="AN268" i="7"/>
  <c r="AP258" i="7"/>
  <c r="AS258" i="3" s="1"/>
  <c r="AN246" i="7"/>
  <c r="AQ246" i="3" s="1"/>
  <c r="CE814" i="10"/>
  <c r="BY813" i="10"/>
  <c r="BY588" i="10"/>
  <c r="BY523" i="10"/>
  <c r="CE15" i="9"/>
  <c r="R313" i="8"/>
  <c r="AP407" i="7"/>
  <c r="AS407" i="3" s="1"/>
  <c r="AN383" i="7"/>
  <c r="AN376" i="7"/>
  <c r="AQ376" i="3" s="1"/>
  <c r="AN361" i="7"/>
  <c r="AQ361" i="3" s="1"/>
  <c r="AN357" i="7"/>
  <c r="AQ357" i="3" s="1"/>
  <c r="AN344" i="7"/>
  <c r="AQ344" i="3" s="1"/>
  <c r="AN340" i="7"/>
  <c r="AQ340" i="3" s="1"/>
  <c r="AP331" i="7"/>
  <c r="AS331" i="3" s="1"/>
  <c r="AN314" i="7"/>
  <c r="AP310" i="7"/>
  <c r="AS310" i="3" s="1"/>
  <c r="AN293" i="7"/>
  <c r="AN255" i="7"/>
  <c r="AQ255" i="3" s="1"/>
  <c r="AP246" i="7"/>
  <c r="AS246" i="3" s="1"/>
  <c r="AN232" i="7"/>
  <c r="AQ232" i="3" s="1"/>
  <c r="AN218" i="7"/>
  <c r="AQ218" i="3" s="1"/>
  <c r="AP214" i="7"/>
  <c r="AS214" i="3" s="1"/>
  <c r="AP203" i="7"/>
  <c r="AS203" i="3" s="1"/>
  <c r="AP178" i="7"/>
  <c r="AS178" i="3" s="1"/>
  <c r="AN160" i="7"/>
  <c r="AQ160" i="3" s="1"/>
  <c r="AN153" i="7"/>
  <c r="AQ153" i="3" s="1"/>
  <c r="AP138" i="7"/>
  <c r="AS138" i="3" s="1"/>
  <c r="AN135" i="7"/>
  <c r="AP131" i="7"/>
  <c r="AS131" i="3" s="1"/>
  <c r="AN128" i="7"/>
  <c r="AQ128" i="3" s="1"/>
  <c r="AP124" i="7"/>
  <c r="AS124" i="3" s="1"/>
  <c r="AP77" i="7"/>
  <c r="AS77" i="3" s="1"/>
  <c r="AN74" i="7"/>
  <c r="AN67" i="7"/>
  <c r="AN64" i="7"/>
  <c r="AQ64" i="3" s="1"/>
  <c r="AP61" i="7"/>
  <c r="AS61" i="3" s="1"/>
  <c r="AP45" i="7"/>
  <c r="AS45" i="3" s="1"/>
  <c r="AP42" i="7"/>
  <c r="AS42" i="3" s="1"/>
  <c r="AP36" i="7"/>
  <c r="AS36" i="3" s="1"/>
  <c r="AN5" i="7"/>
  <c r="B45" i="2"/>
  <c r="CK42" i="9"/>
  <c r="AP422" i="7"/>
  <c r="AS422" i="3" s="1"/>
  <c r="AN339" i="7"/>
  <c r="AQ339" i="3" s="1"/>
  <c r="AP259" i="7"/>
  <c r="AS259" i="3" s="1"/>
  <c r="AN228" i="7"/>
  <c r="AQ228" i="3" s="1"/>
  <c r="AP174" i="7"/>
  <c r="AS174" i="3" s="1"/>
  <c r="AP145" i="7"/>
  <c r="AS145" i="3" s="1"/>
  <c r="AN113" i="7"/>
  <c r="CE520" i="10"/>
  <c r="CE76" i="9"/>
  <c r="CE22" i="9"/>
  <c r="AP423" i="7"/>
  <c r="AS423" i="3" s="1"/>
  <c r="AP414" i="7"/>
  <c r="AS414" i="3" s="1"/>
  <c r="AN407" i="7"/>
  <c r="AP395" i="7"/>
  <c r="AS395" i="3" s="1"/>
  <c r="AN390" i="7"/>
  <c r="AQ390" i="3" s="1"/>
  <c r="AP382" i="7"/>
  <c r="AS382" i="3" s="1"/>
  <c r="AP335" i="7"/>
  <c r="AS335" i="3" s="1"/>
  <c r="AP327" i="7"/>
  <c r="AS327" i="3" s="1"/>
  <c r="AN323" i="7"/>
  <c r="AQ323" i="3" s="1"/>
  <c r="AP318" i="7"/>
  <c r="AS318" i="3" s="1"/>
  <c r="AN306" i="7"/>
  <c r="AN297" i="7"/>
  <c r="AQ297" i="3" s="1"/>
  <c r="AN289" i="7"/>
  <c r="AQ289" i="3" s="1"/>
  <c r="AN276" i="7"/>
  <c r="AP263" i="7"/>
  <c r="AS263" i="3" s="1"/>
  <c r="AP250" i="7"/>
  <c r="AS250" i="3" s="1"/>
  <c r="AP239" i="7"/>
  <c r="AS239" i="3" s="1"/>
  <c r="AP228" i="7"/>
  <c r="AS228" i="3" s="1"/>
  <c r="AN221" i="7"/>
  <c r="AQ221" i="3" s="1"/>
  <c r="AP196" i="7"/>
  <c r="AS196" i="3" s="1"/>
  <c r="AN189" i="7"/>
  <c r="AQ189" i="3" s="1"/>
  <c r="AN185" i="7"/>
  <c r="AQ185" i="3" s="1"/>
  <c r="AP171" i="7"/>
  <c r="AS171" i="3" s="1"/>
  <c r="AP167" i="7"/>
  <c r="AS167" i="3" s="1"/>
  <c r="AN142" i="7"/>
  <c r="AQ142" i="3" s="1"/>
  <c r="AN124" i="7"/>
  <c r="AQ124" i="3" s="1"/>
  <c r="AP113" i="7"/>
  <c r="AS113" i="3" s="1"/>
  <c r="AP106" i="7"/>
  <c r="AS106" i="3" s="1"/>
  <c r="AN103" i="7"/>
  <c r="AP88" i="7"/>
  <c r="AS88" i="3" s="1"/>
  <c r="AN70" i="7"/>
  <c r="AQ70" i="3" s="1"/>
  <c r="AP48" i="7"/>
  <c r="AS48" i="3" s="1"/>
  <c r="AN36" i="7"/>
  <c r="AQ36" i="3" s="1"/>
  <c r="AN11" i="7"/>
  <c r="AQ11" i="3" s="1"/>
  <c r="AN8" i="7"/>
  <c r="AQ8" i="3" s="1"/>
  <c r="C32" i="4"/>
  <c r="N26" i="4" s="1"/>
  <c r="C28" i="4"/>
  <c r="N22" i="4" s="1"/>
  <c r="B44" i="2"/>
  <c r="CE707" i="10"/>
  <c r="BY672" i="10"/>
  <c r="BY520" i="10"/>
  <c r="CK12" i="9"/>
  <c r="R304" i="8"/>
  <c r="AN280" i="7"/>
  <c r="AP275" i="7"/>
  <c r="AS275" i="3" s="1"/>
  <c r="AN250" i="7"/>
  <c r="AP231" i="7"/>
  <c r="AS231" i="3" s="1"/>
  <c r="AN196" i="7"/>
  <c r="AQ196" i="3" s="1"/>
  <c r="AP181" i="7"/>
  <c r="AS181" i="3" s="1"/>
  <c r="AN167" i="7"/>
  <c r="AP149" i="7"/>
  <c r="AS149" i="3" s="1"/>
  <c r="AP116" i="7"/>
  <c r="AS116" i="3" s="1"/>
  <c r="AP109" i="7"/>
  <c r="AS109" i="3" s="1"/>
  <c r="BY803" i="10"/>
  <c r="CE557" i="10"/>
  <c r="F309" i="8"/>
  <c r="B73" i="8"/>
  <c r="AN400" i="7"/>
  <c r="AQ400" i="3" s="1"/>
  <c r="AP375" i="7"/>
  <c r="AS375" i="3" s="1"/>
  <c r="AP348" i="7"/>
  <c r="AS348" i="3" s="1"/>
  <c r="AN331" i="7"/>
  <c r="AP322" i="7"/>
  <c r="AS322" i="3" s="1"/>
  <c r="AN310" i="7"/>
  <c r="AN263" i="7"/>
  <c r="AP224" i="7"/>
  <c r="AS224" i="3" s="1"/>
  <c r="AN214" i="7"/>
  <c r="AN203" i="7"/>
  <c r="AQ203" i="3" s="1"/>
  <c r="AP199" i="7"/>
  <c r="AS199" i="3" s="1"/>
  <c r="AN178" i="7"/>
  <c r="AQ178" i="3" s="1"/>
  <c r="AP156" i="7"/>
  <c r="AS156" i="3" s="1"/>
  <c r="AN138" i="7"/>
  <c r="AQ138" i="3" s="1"/>
  <c r="AN131" i="7"/>
  <c r="AQ131" i="3" s="1"/>
  <c r="AP120" i="7"/>
  <c r="AS120" i="3" s="1"/>
  <c r="AN95" i="7"/>
  <c r="AQ95" i="3" s="1"/>
  <c r="AP81" i="7"/>
  <c r="AS81" i="3" s="1"/>
  <c r="AN77" i="7"/>
  <c r="AN45" i="7"/>
  <c r="AQ45" i="3" s="1"/>
  <c r="AN42" i="7"/>
  <c r="AQ42" i="3" s="1"/>
  <c r="AP39" i="7"/>
  <c r="AS39" i="3" s="1"/>
  <c r="AP23" i="7"/>
  <c r="AS23" i="3" s="1"/>
  <c r="AP20" i="7"/>
  <c r="AS20" i="3" s="1"/>
  <c r="AP14" i="7"/>
  <c r="AS14" i="3" s="1"/>
  <c r="B43" i="2"/>
  <c r="CE515" i="10"/>
  <c r="H311" i="8"/>
  <c r="AN414" i="7"/>
  <c r="AQ414" i="3" s="1"/>
  <c r="AN370" i="7"/>
  <c r="AP365" i="7"/>
  <c r="AS365" i="3" s="1"/>
  <c r="AP356" i="7"/>
  <c r="AS356" i="3" s="1"/>
  <c r="AN335" i="7"/>
  <c r="AQ335" i="3" s="1"/>
  <c r="AN322" i="7"/>
  <c r="AQ322" i="3" s="1"/>
  <c r="AN318" i="7"/>
  <c r="AQ318" i="3" s="1"/>
  <c r="AP309" i="7"/>
  <c r="AS309" i="3" s="1"/>
  <c r="AP292" i="7"/>
  <c r="AS292" i="3" s="1"/>
  <c r="AP267" i="7"/>
  <c r="AS267" i="3" s="1"/>
  <c r="AN210" i="7"/>
  <c r="AQ210" i="3" s="1"/>
  <c r="AP192" i="7"/>
  <c r="AS192" i="3" s="1"/>
  <c r="AN163" i="7"/>
  <c r="AQ163" i="3" s="1"/>
  <c r="AN106" i="7"/>
  <c r="AP102" i="7"/>
  <c r="AS102" i="3" s="1"/>
  <c r="CE816" i="10"/>
  <c r="CE776" i="10"/>
  <c r="BY655" i="10"/>
  <c r="BY568" i="10"/>
  <c r="CE536" i="10"/>
  <c r="CK56" i="9"/>
  <c r="AN421" i="7"/>
  <c r="AQ421" i="3" s="1"/>
  <c r="AP405" i="7"/>
  <c r="AS405" i="3" s="1"/>
  <c r="AP389" i="7"/>
  <c r="AS389" i="3" s="1"/>
  <c r="AN365" i="7"/>
  <c r="AQ365" i="3" s="1"/>
  <c r="AP326" i="7"/>
  <c r="AS326" i="3" s="1"/>
  <c r="AN309" i="7"/>
  <c r="AQ309" i="3" s="1"/>
  <c r="AP305" i="7"/>
  <c r="AS305" i="3" s="1"/>
  <c r="AN292" i="7"/>
  <c r="AP288" i="7"/>
  <c r="AS288" i="3" s="1"/>
  <c r="AN275" i="7"/>
  <c r="AN267" i="7"/>
  <c r="AN254" i="7"/>
  <c r="AQ254" i="3" s="1"/>
  <c r="AP235" i="7"/>
  <c r="AS235" i="3" s="1"/>
  <c r="AN231" i="7"/>
  <c r="AQ231" i="3" s="1"/>
  <c r="AP202" i="7"/>
  <c r="AS202" i="3" s="1"/>
  <c r="AN192" i="7"/>
  <c r="AQ192" i="3" s="1"/>
  <c r="AN181" i="7"/>
  <c r="AP177" i="7"/>
  <c r="AS177" i="3" s="1"/>
  <c r="AN174" i="7"/>
  <c r="AQ174" i="3" s="1"/>
  <c r="AP170" i="7"/>
  <c r="AS170" i="3" s="1"/>
  <c r="AP159" i="7"/>
  <c r="AS159" i="3" s="1"/>
  <c r="AN145" i="7"/>
  <c r="AN141" i="7"/>
  <c r="AQ141" i="3" s="1"/>
  <c r="AN116" i="7"/>
  <c r="AN109" i="7"/>
  <c r="AQ109" i="3" s="1"/>
  <c r="AP98" i="7"/>
  <c r="AS98" i="3" s="1"/>
  <c r="AN73" i="7"/>
  <c r="AN29" i="7"/>
  <c r="AQ29" i="3" s="1"/>
  <c r="AN26" i="7"/>
  <c r="AQ26" i="3" s="1"/>
  <c r="C27" i="4"/>
  <c r="N21" i="4" s="1"/>
  <c r="C25" i="4"/>
  <c r="N19" i="4" s="1"/>
  <c r="C23" i="4"/>
  <c r="N17" i="4" s="1"/>
  <c r="C21" i="4"/>
  <c r="N15" i="4" s="1"/>
  <c r="C19" i="4"/>
  <c r="N13" i="4" s="1"/>
  <c r="C17" i="4"/>
  <c r="N11" i="4" s="1"/>
  <c r="CE792" i="10"/>
  <c r="BY723" i="10"/>
  <c r="CE657" i="10"/>
  <c r="CE646" i="10"/>
  <c r="BY602" i="10"/>
  <c r="CE579" i="10"/>
  <c r="BY537" i="10"/>
  <c r="BY532" i="10"/>
  <c r="CK67" i="9"/>
  <c r="CE34" i="9"/>
  <c r="R316" i="8"/>
  <c r="F308" i="8"/>
  <c r="H303" i="8"/>
  <c r="AP421" i="7"/>
  <c r="AS421" i="3" s="1"/>
  <c r="AN420" i="7"/>
  <c r="AQ420" i="3" s="1"/>
  <c r="AP409" i="7"/>
  <c r="AS409" i="3" s="1"/>
  <c r="AP408" i="7"/>
  <c r="AS408" i="3" s="1"/>
  <c r="AP338" i="7"/>
  <c r="AS338" i="3" s="1"/>
  <c r="AP323" i="7"/>
  <c r="AS323" i="3" s="1"/>
  <c r="AN320" i="7"/>
  <c r="AQ320" i="3" s="1"/>
  <c r="AP319" i="7"/>
  <c r="AS319" i="3" s="1"/>
  <c r="AN304" i="7"/>
  <c r="AQ304" i="3" s="1"/>
  <c r="AP266" i="7"/>
  <c r="AS266" i="3" s="1"/>
  <c r="AP252" i="7"/>
  <c r="AS252" i="3" s="1"/>
  <c r="AN209" i="7"/>
  <c r="AN175" i="7"/>
  <c r="AP154" i="7"/>
  <c r="AS154" i="3" s="1"/>
  <c r="AP140" i="7"/>
  <c r="AS140" i="3" s="1"/>
  <c r="AP130" i="7"/>
  <c r="AS130" i="3" s="1"/>
  <c r="AN108" i="7"/>
  <c r="AQ108" i="3" s="1"/>
  <c r="AP15" i="7"/>
  <c r="AS15" i="3" s="1"/>
  <c r="C18" i="4"/>
  <c r="N12" i="4" s="1"/>
  <c r="AN419" i="7"/>
  <c r="AN417" i="7"/>
  <c r="AQ417" i="3" s="1"/>
  <c r="AN367" i="7"/>
  <c r="AQ367" i="3" s="1"/>
  <c r="AN366" i="7"/>
  <c r="AQ366" i="3" s="1"/>
  <c r="AP360" i="7"/>
  <c r="AS360" i="3" s="1"/>
  <c r="AN341" i="7"/>
  <c r="AQ341" i="3" s="1"/>
  <c r="AN317" i="7"/>
  <c r="AQ317" i="3" s="1"/>
  <c r="AP316" i="7"/>
  <c r="AS316" i="3" s="1"/>
  <c r="AP286" i="7"/>
  <c r="AS286" i="3" s="1"/>
  <c r="AP219" i="7"/>
  <c r="AS219" i="3" s="1"/>
  <c r="AN211" i="7"/>
  <c r="AP186" i="7"/>
  <c r="AS186" i="3" s="1"/>
  <c r="AP142" i="7"/>
  <c r="AS142" i="3" s="1"/>
  <c r="AP118" i="7"/>
  <c r="AS118" i="3" s="1"/>
  <c r="AP96" i="7"/>
  <c r="AS96" i="3" s="1"/>
  <c r="AP94" i="7"/>
  <c r="AS94" i="3" s="1"/>
  <c r="AN86" i="7"/>
  <c r="AN78" i="7"/>
  <c r="AQ78" i="3" s="1"/>
  <c r="AP69" i="7"/>
  <c r="AS69" i="3" s="1"/>
  <c r="AP64" i="7"/>
  <c r="AS64" i="3" s="1"/>
  <c r="AP52" i="7"/>
  <c r="AS52" i="3" s="1"/>
  <c r="AP46" i="7"/>
  <c r="AS46" i="3" s="1"/>
  <c r="AP40" i="7"/>
  <c r="AS40" i="3" s="1"/>
  <c r="AP34" i="7"/>
  <c r="AS34" i="3" s="1"/>
  <c r="AN21" i="7"/>
  <c r="AQ21" i="3" s="1"/>
  <c r="BY668" i="10"/>
  <c r="CE625" i="10"/>
  <c r="BY534" i="10"/>
  <c r="CE51" i="9"/>
  <c r="F300" i="8"/>
  <c r="AN345" i="7"/>
  <c r="AQ345" i="3" s="1"/>
  <c r="AP284" i="7"/>
  <c r="AS284" i="3" s="1"/>
  <c r="BY778" i="10"/>
  <c r="CE756" i="10"/>
  <c r="BY659" i="10"/>
  <c r="CE75" i="9"/>
  <c r="F303" i="8"/>
  <c r="AP427" i="7"/>
  <c r="AS427" i="3" s="1"/>
  <c r="AN409" i="7"/>
  <c r="AP362" i="7"/>
  <c r="AS362" i="3" s="1"/>
  <c r="AN360" i="7"/>
  <c r="AQ360" i="3" s="1"/>
  <c r="AN359" i="7"/>
  <c r="AQ359" i="3" s="1"/>
  <c r="AN338" i="7"/>
  <c r="AN319" i="7"/>
  <c r="AQ319" i="3" s="1"/>
  <c r="AP300" i="7"/>
  <c r="AS300" i="3" s="1"/>
  <c r="AP285" i="7"/>
  <c r="AS285" i="3" s="1"/>
  <c r="AN284" i="7"/>
  <c r="AQ284" i="3" s="1"/>
  <c r="AP283" i="7"/>
  <c r="AS283" i="3" s="1"/>
  <c r="AN266" i="7"/>
  <c r="AQ266" i="3" s="1"/>
  <c r="AP265" i="7"/>
  <c r="AS265" i="3" s="1"/>
  <c r="AN252" i="7"/>
  <c r="AQ252" i="3" s="1"/>
  <c r="AN229" i="7"/>
  <c r="AP197" i="7"/>
  <c r="AS197" i="3" s="1"/>
  <c r="AP153" i="7"/>
  <c r="AS153" i="3" s="1"/>
  <c r="AP152" i="7"/>
  <c r="AS152" i="3" s="1"/>
  <c r="AN140" i="7"/>
  <c r="AN130" i="7"/>
  <c r="AP107" i="7"/>
  <c r="AS107" i="3" s="1"/>
  <c r="AP85" i="7"/>
  <c r="AS85" i="3" s="1"/>
  <c r="AP84" i="7"/>
  <c r="AS84" i="3" s="1"/>
  <c r="AP59" i="7"/>
  <c r="AS59" i="3" s="1"/>
  <c r="AN34" i="7"/>
  <c r="AQ34" i="3" s="1"/>
  <c r="AN15" i="7"/>
  <c r="AQ15" i="3" s="1"/>
  <c r="AN14" i="7"/>
  <c r="AQ14" i="3" s="1"/>
  <c r="AP8" i="7"/>
  <c r="AS8" i="3" s="1"/>
  <c r="AN197" i="7"/>
  <c r="AQ197" i="3" s="1"/>
  <c r="AP195" i="7"/>
  <c r="AS195" i="3" s="1"/>
  <c r="AP162" i="7"/>
  <c r="AS162" i="3" s="1"/>
  <c r="AN152" i="7"/>
  <c r="AQ152" i="3" s="1"/>
  <c r="BY587" i="10"/>
  <c r="BY561" i="10"/>
  <c r="AN415" i="7"/>
  <c r="AP340" i="7"/>
  <c r="AS340" i="3" s="1"/>
  <c r="AN316" i="7"/>
  <c r="AN300" i="7"/>
  <c r="AQ300" i="3" s="1"/>
  <c r="AN285" i="7"/>
  <c r="AQ285" i="3" s="1"/>
  <c r="AN219" i="7"/>
  <c r="AQ219" i="3" s="1"/>
  <c r="AP208" i="7"/>
  <c r="AS208" i="3" s="1"/>
  <c r="AN186" i="7"/>
  <c r="AQ186" i="3" s="1"/>
  <c r="AP184" i="7"/>
  <c r="AS184" i="3" s="1"/>
  <c r="AP164" i="7"/>
  <c r="AS164" i="3" s="1"/>
  <c r="AN118" i="7"/>
  <c r="AQ118" i="3" s="1"/>
  <c r="AN96" i="7"/>
  <c r="AQ96" i="3" s="1"/>
  <c r="AN94" i="7"/>
  <c r="AQ94" i="3" s="1"/>
  <c r="AN84" i="7"/>
  <c r="AN69" i="7"/>
  <c r="AQ69" i="3" s="1"/>
  <c r="AN52" i="7"/>
  <c r="AQ52" i="3" s="1"/>
  <c r="AN51" i="7"/>
  <c r="AQ51" i="3" s="1"/>
  <c r="AN46" i="7"/>
  <c r="AN40" i="7"/>
  <c r="AQ40" i="3" s="1"/>
  <c r="AP27" i="7"/>
  <c r="AS27" i="3" s="1"/>
  <c r="AP13" i="7"/>
  <c r="AS13" i="3" s="1"/>
  <c r="AN7" i="7"/>
  <c r="AQ7" i="3" s="1"/>
  <c r="AP172" i="7"/>
  <c r="AS172" i="3" s="1"/>
  <c r="AP93" i="7"/>
  <c r="AS93" i="3" s="1"/>
  <c r="AP26" i="7"/>
  <c r="AS26" i="3" s="1"/>
  <c r="C20" i="4"/>
  <c r="N14" i="4" s="1"/>
  <c r="BY716" i="10"/>
  <c r="CE523" i="10"/>
  <c r="CE70" i="9"/>
  <c r="CE39" i="9"/>
  <c r="CE9" i="9"/>
  <c r="AP425" i="7"/>
  <c r="AS425" i="3" s="1"/>
  <c r="AP336" i="7"/>
  <c r="AS336" i="3" s="1"/>
  <c r="AP313" i="7"/>
  <c r="AS313" i="3" s="1"/>
  <c r="AP303" i="7"/>
  <c r="AS303" i="3" s="1"/>
  <c r="AP282" i="7"/>
  <c r="AS282" i="3" s="1"/>
  <c r="CE703" i="10"/>
  <c r="BY691" i="10"/>
  <c r="CE581" i="10"/>
  <c r="CE567" i="10"/>
  <c r="F316" i="8"/>
  <c r="AN428" i="7"/>
  <c r="AQ428" i="3" s="1"/>
  <c r="AN427" i="7"/>
  <c r="AQ427" i="3" s="1"/>
  <c r="AN422" i="7"/>
  <c r="AQ422" i="3" s="1"/>
  <c r="AN362" i="7"/>
  <c r="AQ362" i="3" s="1"/>
  <c r="AP358" i="7"/>
  <c r="AS358" i="3" s="1"/>
  <c r="AN337" i="7"/>
  <c r="AQ337" i="3" s="1"/>
  <c r="AP301" i="7"/>
  <c r="AS301" i="3" s="1"/>
  <c r="AN265" i="7"/>
  <c r="AQ265" i="3" s="1"/>
  <c r="AN251" i="7"/>
  <c r="AP240" i="7"/>
  <c r="AS240" i="3" s="1"/>
  <c r="AN227" i="7"/>
  <c r="AQ227" i="3" s="1"/>
  <c r="AP76" i="7"/>
  <c r="AS76" i="3" s="1"/>
  <c r="AP63" i="7"/>
  <c r="AS63" i="3" s="1"/>
  <c r="AN59" i="7"/>
  <c r="AQ59" i="3" s="1"/>
  <c r="AP50" i="7"/>
  <c r="AS50" i="3" s="1"/>
  <c r="AP33" i="7"/>
  <c r="AS33" i="3" s="1"/>
  <c r="BY757" i="10"/>
  <c r="CE701" i="10"/>
  <c r="BY624" i="10"/>
  <c r="BY619" i="10"/>
  <c r="CE525" i="10"/>
  <c r="CE506" i="10"/>
  <c r="CK45" i="9"/>
  <c r="AP334" i="7"/>
  <c r="AS334" i="3" s="1"/>
  <c r="AP312" i="7"/>
  <c r="AS312" i="3" s="1"/>
  <c r="AN301" i="7"/>
  <c r="AQ301" i="3" s="1"/>
  <c r="AP299" i="7"/>
  <c r="AS299" i="3" s="1"/>
  <c r="AN249" i="7"/>
  <c r="AQ249" i="3" s="1"/>
  <c r="CE758" i="10"/>
  <c r="CE733" i="10"/>
  <c r="CE574" i="10"/>
  <c r="BY529" i="10"/>
  <c r="BY864" i="10"/>
  <c r="CE654" i="10"/>
  <c r="BY502" i="10"/>
  <c r="CK62" i="9"/>
  <c r="CE45" i="9"/>
  <c r="CE12" i="9"/>
  <c r="AP410" i="7"/>
  <c r="AS410" i="3" s="1"/>
  <c r="AN405" i="7"/>
  <c r="AQ405" i="3" s="1"/>
  <c r="AP371" i="7"/>
  <c r="AS371" i="3" s="1"/>
  <c r="AP296" i="7"/>
  <c r="AS296" i="3" s="1"/>
  <c r="AN234" i="7"/>
  <c r="AQ234" i="3" s="1"/>
  <c r="AP215" i="7"/>
  <c r="AS215" i="3" s="1"/>
  <c r="AP213" i="7"/>
  <c r="AS213" i="3" s="1"/>
  <c r="AN162" i="7"/>
  <c r="AQ162" i="3" s="1"/>
  <c r="AP160" i="7"/>
  <c r="AS160" i="3" s="1"/>
  <c r="CE842" i="10"/>
  <c r="BY653" i="10"/>
  <c r="BY521" i="10"/>
  <c r="CE510" i="10"/>
  <c r="CE25" i="9"/>
  <c r="AP402" i="7"/>
  <c r="AS402" i="3" s="1"/>
  <c r="AP374" i="7"/>
  <c r="AS374" i="3" s="1"/>
  <c r="AN302" i="7"/>
  <c r="AQ302" i="3" s="1"/>
  <c r="AP289" i="7"/>
  <c r="AS289" i="3" s="1"/>
  <c r="AP270" i="7"/>
  <c r="AS270" i="3" s="1"/>
  <c r="AN253" i="7"/>
  <c r="AN238" i="7"/>
  <c r="AQ238" i="3" s="1"/>
  <c r="AP218" i="7"/>
  <c r="AS218" i="3" s="1"/>
  <c r="AN199" i="7"/>
  <c r="AQ199" i="3" s="1"/>
  <c r="AP198" i="7"/>
  <c r="AS198" i="3" s="1"/>
  <c r="AN156" i="7"/>
  <c r="AQ156" i="3" s="1"/>
  <c r="AN18" i="7"/>
  <c r="AQ18" i="3" s="1"/>
  <c r="AP17" i="7"/>
  <c r="AS17" i="3" s="1"/>
  <c r="AN16" i="7"/>
  <c r="AQ16" i="3" s="1"/>
  <c r="AN10" i="7"/>
  <c r="AQ10" i="3" s="1"/>
  <c r="AP237" i="7"/>
  <c r="AS237" i="3" s="1"/>
  <c r="AP236" i="7"/>
  <c r="AS236" i="3" s="1"/>
  <c r="AP157" i="7"/>
  <c r="AS157" i="3" s="1"/>
  <c r="CE622" i="10"/>
  <c r="CK74" i="9"/>
  <c r="R300" i="8"/>
  <c r="AP411" i="7"/>
  <c r="AS411" i="3" s="1"/>
  <c r="AN406" i="7"/>
  <c r="AQ406" i="3" s="1"/>
  <c r="AN348" i="7"/>
  <c r="AN233" i="7"/>
  <c r="AQ233" i="3" s="1"/>
  <c r="AN179" i="7"/>
  <c r="CE532" i="10"/>
  <c r="H314" i="8"/>
  <c r="R303" i="8"/>
  <c r="AN389" i="7"/>
  <c r="AQ389" i="3" s="1"/>
  <c r="AN236" i="7"/>
  <c r="AQ236" i="3" s="1"/>
  <c r="AP201" i="7"/>
  <c r="AS201" i="3" s="1"/>
  <c r="CL752" i="10"/>
  <c r="CE723" i="10"/>
  <c r="BY584" i="10"/>
  <c r="BY572" i="10"/>
  <c r="CE73" i="9"/>
  <c r="CE42" i="9"/>
  <c r="CK7" i="9"/>
  <c r="F304" i="8"/>
  <c r="AN410" i="7"/>
  <c r="AQ410" i="3" s="1"/>
  <c r="AN401" i="7"/>
  <c r="AQ401" i="3" s="1"/>
  <c r="AN371" i="7"/>
  <c r="AP347" i="7"/>
  <c r="AS347" i="3" s="1"/>
  <c r="AN296" i="7"/>
  <c r="AQ296" i="3" s="1"/>
  <c r="AP269" i="7"/>
  <c r="AS269" i="3" s="1"/>
  <c r="AP268" i="7"/>
  <c r="AS268" i="3" s="1"/>
  <c r="AP233" i="7"/>
  <c r="AS233" i="3" s="1"/>
  <c r="AN213" i="7"/>
  <c r="AP179" i="7"/>
  <c r="AS179" i="3" s="1"/>
  <c r="AN161" i="7"/>
  <c r="AQ161" i="3" s="1"/>
  <c r="AP148" i="7"/>
  <c r="AS148" i="3" s="1"/>
  <c r="AP110" i="7"/>
  <c r="AS110" i="3" s="1"/>
  <c r="AN9" i="7"/>
  <c r="AQ9" i="3" s="1"/>
  <c r="B136" i="2"/>
  <c r="CK16" i="9"/>
  <c r="AN270" i="7"/>
  <c r="AQ270" i="3" s="1"/>
  <c r="AP182" i="7"/>
  <c r="AS182" i="3" s="1"/>
  <c r="C16" i="4"/>
  <c r="N10" i="4" s="1"/>
  <c r="BY546" i="10"/>
  <c r="CK50" i="9"/>
  <c r="AN269" i="7"/>
  <c r="AQ269" i="3" s="1"/>
  <c r="AP204" i="7"/>
  <c r="AS204" i="3" s="1"/>
  <c r="AN183" i="7"/>
  <c r="AQ183" i="3" s="1"/>
  <c r="AN170" i="7"/>
  <c r="AQ170" i="3" s="1"/>
  <c r="AN148" i="7"/>
  <c r="AQ148" i="3" s="1"/>
  <c r="AP143" i="7"/>
  <c r="AS143" i="3" s="1"/>
  <c r="C22" i="4"/>
  <c r="N16" i="4" s="1"/>
  <c r="B6" i="4"/>
  <c r="B48" i="2"/>
  <c r="AP304" i="7"/>
  <c r="AS304" i="3" s="1"/>
  <c r="AN278" i="7"/>
  <c r="AQ278" i="3" s="1"/>
  <c r="AN182" i="7"/>
  <c r="AQ182" i="3" s="1"/>
  <c r="AN157" i="7"/>
  <c r="AQ157" i="3" s="1"/>
  <c r="B47" i="2"/>
  <c r="AN402" i="7"/>
  <c r="AQ402" i="3" s="1"/>
  <c r="AN375" i="7"/>
  <c r="AQ375" i="3" s="1"/>
  <c r="AN374" i="7"/>
  <c r="AN373" i="7"/>
  <c r="AQ373" i="3" s="1"/>
  <c r="AN205" i="7"/>
  <c r="AQ205" i="3" s="1"/>
  <c r="AN117" i="7"/>
  <c r="AQ117" i="3" s="1"/>
  <c r="AP278" i="7"/>
  <c r="AS278" i="3" s="1"/>
  <c r="AN235" i="7"/>
  <c r="AQ235" i="3" s="1"/>
  <c r="AP126" i="7"/>
  <c r="AS126" i="3" s="1"/>
  <c r="AP123" i="7"/>
  <c r="AS123" i="3" s="1"/>
  <c r="AN271" i="7"/>
  <c r="AP206" i="7"/>
  <c r="AS206" i="3" s="1"/>
  <c r="AP200" i="7"/>
  <c r="AS200" i="3" s="1"/>
  <c r="AN184" i="7"/>
  <c r="AQ184" i="3" s="1"/>
  <c r="AP165" i="7"/>
  <c r="AS165" i="3" s="1"/>
  <c r="C29" i="4"/>
  <c r="N23" i="4" s="1"/>
  <c r="AP381" i="7"/>
  <c r="AS381" i="3" s="1"/>
  <c r="AP379" i="7"/>
  <c r="AS379" i="3" s="1"/>
  <c r="AP378" i="7"/>
  <c r="AS378" i="3" s="1"/>
  <c r="AP355" i="7"/>
  <c r="AS355" i="3" s="1"/>
  <c r="AN342" i="7"/>
  <c r="AQ342" i="3" s="1"/>
  <c r="AP341" i="7"/>
  <c r="AS341" i="3" s="1"/>
  <c r="AP325" i="7"/>
  <c r="AS325" i="3" s="1"/>
  <c r="AN324" i="7"/>
  <c r="AQ324" i="3" s="1"/>
  <c r="AP308" i="7"/>
  <c r="AS308" i="3" s="1"/>
  <c r="AP279" i="7"/>
  <c r="AS279" i="3" s="1"/>
  <c r="AN277" i="7"/>
  <c r="AQ277" i="3" s="1"/>
  <c r="AN274" i="7"/>
  <c r="AQ274" i="3" s="1"/>
  <c r="AN273" i="7"/>
  <c r="AP272" i="7"/>
  <c r="AS272" i="3" s="1"/>
  <c r="AP262" i="7"/>
  <c r="AS262" i="3" s="1"/>
  <c r="AP256" i="7"/>
  <c r="AS256" i="3" s="1"/>
  <c r="AP255" i="7"/>
  <c r="AS255" i="3" s="1"/>
  <c r="AN248" i="7"/>
  <c r="AN241" i="7"/>
  <c r="AQ241" i="3" s="1"/>
  <c r="AN226" i="7"/>
  <c r="AQ226" i="3" s="1"/>
  <c r="AP225" i="7"/>
  <c r="AS225" i="3" s="1"/>
  <c r="AP223" i="7"/>
  <c r="AS223" i="3" s="1"/>
  <c r="AN172" i="7"/>
  <c r="AP168" i="7"/>
  <c r="AS168" i="3" s="1"/>
  <c r="AN97" i="7"/>
  <c r="AQ97" i="3" s="1"/>
  <c r="AP82" i="7"/>
  <c r="AS82" i="3" s="1"/>
  <c r="AP74" i="7"/>
  <c r="AS74" i="3" s="1"/>
  <c r="AP66" i="7"/>
  <c r="AS66" i="3" s="1"/>
  <c r="CE550" i="10"/>
  <c r="CE64" i="9"/>
  <c r="CK24" i="9"/>
  <c r="R309" i="8"/>
  <c r="AP417" i="7"/>
  <c r="AS417" i="3" s="1"/>
  <c r="AN393" i="7"/>
  <c r="AQ393" i="3" s="1"/>
  <c r="AP392" i="7"/>
  <c r="AS392" i="3" s="1"/>
  <c r="AP390" i="7"/>
  <c r="AS390" i="3" s="1"/>
  <c r="AN381" i="7"/>
  <c r="AP377" i="7"/>
  <c r="AS377" i="3" s="1"/>
  <c r="AP353" i="7"/>
  <c r="AS353" i="3" s="1"/>
  <c r="AP311" i="7"/>
  <c r="AS311" i="3" s="1"/>
  <c r="AP307" i="7"/>
  <c r="AS307" i="3" s="1"/>
  <c r="AN258" i="7"/>
  <c r="AQ258" i="3" s="1"/>
  <c r="AP257" i="7"/>
  <c r="AS257" i="3" s="1"/>
  <c r="AN256" i="7"/>
  <c r="AQ256" i="3" s="1"/>
  <c r="AP242" i="7"/>
  <c r="AS242" i="3" s="1"/>
  <c r="AN169" i="7"/>
  <c r="AQ169" i="3" s="1"/>
  <c r="AN168" i="7"/>
  <c r="AQ168" i="3" s="1"/>
  <c r="AP151" i="7"/>
  <c r="AS151" i="3" s="1"/>
  <c r="AP147" i="7"/>
  <c r="AS147" i="3" s="1"/>
  <c r="AP146" i="7"/>
  <c r="AS146" i="3" s="1"/>
  <c r="AN125" i="7"/>
  <c r="AQ125" i="3" s="1"/>
  <c r="AN121" i="7"/>
  <c r="AQ121" i="3" s="1"/>
  <c r="AN120" i="7"/>
  <c r="AQ120" i="3" s="1"/>
  <c r="AN72" i="7"/>
  <c r="AN68" i="7"/>
  <c r="AQ68" i="3" s="1"/>
  <c r="AP65" i="7"/>
  <c r="AS65" i="3" s="1"/>
  <c r="AP62" i="7"/>
  <c r="AS62" i="3" s="1"/>
  <c r="BY629" i="10"/>
  <c r="CE615" i="10"/>
  <c r="CK66" i="9"/>
  <c r="CE41" i="9"/>
  <c r="R312" i="8"/>
  <c r="CE517" i="10"/>
  <c r="CE32" i="9"/>
  <c r="CE23" i="9"/>
  <c r="AP387" i="7"/>
  <c r="AS387" i="3" s="1"/>
  <c r="AN364" i="7"/>
  <c r="AN329" i="7"/>
  <c r="AP220" i="7"/>
  <c r="AS220" i="3" s="1"/>
  <c r="AN200" i="7"/>
  <c r="AQ200" i="3" s="1"/>
  <c r="AP190" i="7"/>
  <c r="AS190" i="3" s="1"/>
  <c r="AP189" i="7"/>
  <c r="AS189" i="3" s="1"/>
  <c r="AP150" i="7"/>
  <c r="AS150" i="3" s="1"/>
  <c r="AP128" i="7"/>
  <c r="AS128" i="3" s="1"/>
  <c r="AN102" i="7"/>
  <c r="AN99" i="7"/>
  <c r="AQ99" i="3" s="1"/>
  <c r="AP57" i="7"/>
  <c r="AS57" i="3" s="1"/>
  <c r="AN56" i="7"/>
  <c r="AQ56" i="3" s="1"/>
  <c r="AN55" i="7"/>
  <c r="AQ55" i="3" s="1"/>
  <c r="AN50" i="7"/>
  <c r="AP47" i="7"/>
  <c r="AS47" i="3" s="1"/>
  <c r="AN35" i="7"/>
  <c r="AQ35" i="3" s="1"/>
  <c r="AP11" i="7"/>
  <c r="AS11" i="3" s="1"/>
  <c r="AP5" i="7"/>
  <c r="AS5" i="3" s="1"/>
  <c r="CE72" i="9"/>
  <c r="CK68" i="9"/>
  <c r="CK55" i="9"/>
  <c r="CE668" i="10"/>
  <c r="BY647" i="10"/>
  <c r="BY609" i="10"/>
  <c r="BY533" i="10"/>
  <c r="CE531" i="10"/>
  <c r="CE863" i="10"/>
  <c r="H308" i="8"/>
  <c r="AP412" i="7"/>
  <c r="AS412" i="3" s="1"/>
  <c r="AN387" i="7"/>
  <c r="AQ387" i="3" s="1"/>
  <c r="AP380" i="7"/>
  <c r="AS380" i="3" s="1"/>
  <c r="AN358" i="7"/>
  <c r="AP328" i="7"/>
  <c r="AS328" i="3" s="1"/>
  <c r="AN279" i="7"/>
  <c r="AP243" i="7"/>
  <c r="AS243" i="3" s="1"/>
  <c r="AN164" i="7"/>
  <c r="AQ164" i="3" s="1"/>
  <c r="AN150" i="7"/>
  <c r="AQ150" i="3" s="1"/>
  <c r="AN48" i="7"/>
  <c r="AN47" i="7"/>
  <c r="AP12" i="7"/>
  <c r="AS12" i="3" s="1"/>
  <c r="CE516" i="10"/>
  <c r="AP397" i="7"/>
  <c r="AS397" i="3" s="1"/>
  <c r="AP368" i="7"/>
  <c r="AS368" i="3" s="1"/>
  <c r="AN191" i="7"/>
  <c r="AQ191" i="3" s="1"/>
  <c r="AP79" i="7"/>
  <c r="AS79" i="3" s="1"/>
  <c r="AN20" i="7"/>
  <c r="AN104" i="7"/>
  <c r="AQ104" i="3" s="1"/>
  <c r="C31" i="4"/>
  <c r="N25" i="4" s="1"/>
  <c r="CK47" i="9"/>
  <c r="F312" i="8"/>
  <c r="CE770" i="10"/>
  <c r="BY618" i="10"/>
  <c r="CE31" i="9"/>
  <c r="H302" i="8"/>
  <c r="AP398" i="7"/>
  <c r="AS398" i="3" s="1"/>
  <c r="AP321" i="7"/>
  <c r="AS321" i="3" s="1"/>
  <c r="AN287" i="7"/>
  <c r="AQ287" i="3" s="1"/>
  <c r="AP261" i="7"/>
  <c r="AS261" i="3" s="1"/>
  <c r="AP212" i="7"/>
  <c r="AS212" i="3" s="1"/>
  <c r="AN146" i="7"/>
  <c r="AP104" i="7"/>
  <c r="AS104" i="3" s="1"/>
  <c r="AP38" i="7"/>
  <c r="AS38" i="3" s="1"/>
  <c r="AN27" i="7"/>
  <c r="AQ27" i="3" s="1"/>
  <c r="AN12" i="7"/>
  <c r="AQ12" i="3" s="1"/>
  <c r="AN6" i="7"/>
  <c r="AQ6" i="3" s="1"/>
  <c r="AP37" i="7"/>
  <c r="AS37" i="3" s="1"/>
  <c r="AP28" i="7"/>
  <c r="AS28" i="3" s="1"/>
  <c r="C26" i="4"/>
  <c r="N20" i="4" s="1"/>
  <c r="CE592" i="10"/>
  <c r="AP253" i="7"/>
  <c r="AS253" i="3" s="1"/>
  <c r="AN240" i="7"/>
  <c r="AQ240" i="3" s="1"/>
  <c r="AN165" i="7"/>
  <c r="AQ165" i="3" s="1"/>
  <c r="AN143" i="7"/>
  <c r="AN87" i="7"/>
  <c r="AQ87" i="3" s="1"/>
  <c r="BY777" i="10"/>
  <c r="BY733" i="10"/>
  <c r="CE697" i="10"/>
  <c r="BY507" i="10"/>
  <c r="CE68" i="9"/>
  <c r="CK49" i="9"/>
  <c r="CK38" i="9"/>
  <c r="CK22" i="9"/>
  <c r="B345" i="8"/>
  <c r="H312" i="8"/>
  <c r="R307" i="8"/>
  <c r="B113" i="8"/>
  <c r="AN397" i="7"/>
  <c r="AQ397" i="3" s="1"/>
  <c r="AP396" i="7"/>
  <c r="AS396" i="3" s="1"/>
  <c r="AN391" i="7"/>
  <c r="AQ391" i="3" s="1"/>
  <c r="AN380" i="7"/>
  <c r="AP344" i="7"/>
  <c r="AS344" i="3" s="1"/>
  <c r="AN328" i="7"/>
  <c r="AP314" i="7"/>
  <c r="AS314" i="3" s="1"/>
  <c r="AN262" i="7"/>
  <c r="AN243" i="7"/>
  <c r="AQ243" i="3" s="1"/>
  <c r="AN212" i="7"/>
  <c r="AQ212" i="3" s="1"/>
  <c r="AP169" i="7"/>
  <c r="AS169" i="3" s="1"/>
  <c r="AP129" i="7"/>
  <c r="AS129" i="3" s="1"/>
  <c r="AP87" i="7"/>
  <c r="AS87" i="3" s="1"/>
  <c r="AP80" i="7"/>
  <c r="AS80" i="3" s="1"/>
  <c r="AP70" i="7"/>
  <c r="AS70" i="3" s="1"/>
  <c r="AN65" i="7"/>
  <c r="AQ65" i="3" s="1"/>
  <c r="AP58" i="7"/>
  <c r="AS58" i="3" s="1"/>
  <c r="AN368" i="7"/>
  <c r="AQ368" i="3" s="1"/>
  <c r="AN321" i="7"/>
  <c r="AQ321" i="3" s="1"/>
  <c r="AP294" i="7"/>
  <c r="AS294" i="3" s="1"/>
  <c r="AN225" i="7"/>
  <c r="AQ225" i="3" s="1"/>
  <c r="AN208" i="7"/>
  <c r="AQ208" i="3" s="1"/>
  <c r="AN139" i="7"/>
  <c r="AQ139" i="3" s="1"/>
  <c r="AP103" i="7"/>
  <c r="AS103" i="3" s="1"/>
  <c r="AP86" i="7"/>
  <c r="AS86" i="3" s="1"/>
  <c r="AN80" i="7"/>
  <c r="AQ80" i="3" s="1"/>
  <c r="AN79" i="7"/>
  <c r="AQ79" i="3" s="1"/>
  <c r="AN75" i="7"/>
  <c r="AN58" i="7"/>
  <c r="AQ58" i="3" s="1"/>
  <c r="AN38" i="7"/>
  <c r="AQ38" i="3" s="1"/>
  <c r="BY503" i="10"/>
  <c r="AP403" i="7"/>
  <c r="AS403" i="3" s="1"/>
  <c r="AN396" i="7"/>
  <c r="AQ396" i="3" s="1"/>
  <c r="AP244" i="7"/>
  <c r="AS244" i="3" s="1"/>
  <c r="AN201" i="7"/>
  <c r="AQ201" i="3" s="1"/>
  <c r="AP125" i="7"/>
  <c r="AS125" i="3" s="1"/>
  <c r="AP105" i="7"/>
  <c r="AS105" i="3" s="1"/>
  <c r="AP111" i="7"/>
  <c r="AS111" i="3" s="1"/>
  <c r="BY650" i="10"/>
  <c r="CE637" i="10"/>
  <c r="CE513" i="10"/>
  <c r="CK32" i="9"/>
  <c r="AN388" i="7"/>
  <c r="AQ388" i="3" s="1"/>
  <c r="AN333" i="7"/>
  <c r="AQ333" i="3" s="1"/>
  <c r="AP330" i="7"/>
  <c r="AS330" i="3" s="1"/>
  <c r="AN313" i="7"/>
  <c r="AQ313" i="3" s="1"/>
  <c r="AP297" i="7"/>
  <c r="AS297" i="3" s="1"/>
  <c r="AP175" i="7"/>
  <c r="AS175" i="3" s="1"/>
  <c r="AP158" i="7"/>
  <c r="AS158" i="3" s="1"/>
  <c r="AP132" i="7"/>
  <c r="AS132" i="3" s="1"/>
  <c r="AN98" i="7"/>
  <c r="AQ98" i="3" s="1"/>
  <c r="AP25" i="7"/>
  <c r="AS25" i="3" s="1"/>
  <c r="C30" i="4"/>
  <c r="N24" i="4" s="1"/>
  <c r="C24" i="4"/>
  <c r="N18" i="4" s="1"/>
  <c r="CE599" i="10"/>
  <c r="BY540" i="10"/>
  <c r="CK60" i="9"/>
  <c r="CK35" i="9"/>
  <c r="CK34" i="9"/>
  <c r="CK33" i="9"/>
  <c r="AN424" i="7"/>
  <c r="AQ424" i="3" s="1"/>
  <c r="AP383" i="7"/>
  <c r="AS383" i="3" s="1"/>
  <c r="AN354" i="7"/>
  <c r="AQ354" i="3" s="1"/>
  <c r="AN350" i="7"/>
  <c r="AQ350" i="3" s="1"/>
  <c r="AN336" i="7"/>
  <c r="AP247" i="7"/>
  <c r="AS247" i="3" s="1"/>
  <c r="AP234" i="7"/>
  <c r="AS234" i="3" s="1"/>
  <c r="AN133" i="7"/>
  <c r="AQ133" i="3" s="1"/>
  <c r="AN93" i="7"/>
  <c r="AP67" i="7"/>
  <c r="AS67" i="3" s="1"/>
  <c r="H315" i="8"/>
  <c r="AP364" i="7"/>
  <c r="AS364" i="3" s="1"/>
  <c r="AN25" i="7"/>
  <c r="AP194" i="7"/>
  <c r="AS194" i="3" s="1"/>
  <c r="AP176" i="7"/>
  <c r="AS176" i="3" s="1"/>
  <c r="AP287" i="7"/>
  <c r="AS287" i="3" s="1"/>
  <c r="AN194" i="7"/>
  <c r="AQ194" i="3" s="1"/>
  <c r="CK73" i="9"/>
  <c r="AN180" i="7"/>
  <c r="AQ180" i="3" s="1"/>
  <c r="AP173" i="7"/>
  <c r="AS173" i="3" s="1"/>
  <c r="AN122" i="7"/>
  <c r="AQ122" i="3" s="1"/>
  <c r="AP90" i="7"/>
  <c r="AS90" i="3" s="1"/>
  <c r="AP16" i="7"/>
  <c r="AS16" i="3" s="1"/>
  <c r="AP345" i="7"/>
  <c r="AS345" i="3" s="1"/>
  <c r="AP22" i="7"/>
  <c r="AS22" i="3" s="1"/>
  <c r="AP281" i="7"/>
  <c r="AS281" i="3" s="1"/>
  <c r="AP393" i="7"/>
  <c r="AS393" i="3" s="1"/>
  <c r="AN377" i="7"/>
  <c r="AN207" i="7"/>
  <c r="AQ207" i="3" s="1"/>
  <c r="AP191" i="7"/>
  <c r="AS191" i="3" s="1"/>
  <c r="AN30" i="7"/>
  <c r="AP230" i="7"/>
  <c r="AS230" i="3" s="1"/>
  <c r="CK6" i="9"/>
  <c r="CE54" i="9"/>
  <c r="AN288" i="7"/>
  <c r="CE764" i="10"/>
  <c r="CE53" i="9"/>
  <c r="CE714" i="10"/>
  <c r="CK59" i="9"/>
  <c r="AP357" i="7"/>
  <c r="AS357" i="3" s="1"/>
  <c r="AN353" i="7"/>
  <c r="AQ353" i="3" s="1"/>
  <c r="AN332" i="7"/>
  <c r="AQ332" i="3" s="1"/>
  <c r="AP329" i="7"/>
  <c r="AS329" i="3" s="1"/>
  <c r="AN57" i="7"/>
  <c r="CE509" i="10"/>
  <c r="AN355" i="7"/>
  <c r="AN295" i="7"/>
  <c r="AQ295" i="3" s="1"/>
  <c r="AN158" i="7"/>
  <c r="AP155" i="7"/>
  <c r="AS155" i="3" s="1"/>
  <c r="AP121" i="7"/>
  <c r="AS121" i="3" s="1"/>
  <c r="AP241" i="7"/>
  <c r="AS241" i="3" s="1"/>
  <c r="AP134" i="7"/>
  <c r="AS134" i="3" s="1"/>
  <c r="AP306" i="7"/>
  <c r="AS306" i="3" s="1"/>
  <c r="AN222" i="7"/>
  <c r="AQ222" i="3" s="1"/>
  <c r="AP209" i="7"/>
  <c r="AS209" i="3" s="1"/>
  <c r="AP55" i="7"/>
  <c r="AS55" i="3" s="1"/>
  <c r="AP35" i="7"/>
  <c r="AS35" i="3" s="1"/>
  <c r="CE74" i="9"/>
  <c r="AP238" i="7"/>
  <c r="AS238" i="3" s="1"/>
  <c r="AP386" i="7"/>
  <c r="AS386" i="3" s="1"/>
  <c r="AP274" i="7"/>
  <c r="AS274" i="3" s="1"/>
  <c r="AN166" i="7"/>
  <c r="AQ166" i="3" s="1"/>
  <c r="AP71" i="7"/>
  <c r="AS71" i="3" s="1"/>
  <c r="AN307" i="7"/>
  <c r="AQ307" i="3" s="1"/>
  <c r="AN257" i="7"/>
  <c r="AQ257" i="3" s="1"/>
  <c r="AN13" i="7"/>
  <c r="AP352" i="7"/>
  <c r="AS352" i="3" s="1"/>
  <c r="AN299" i="7"/>
  <c r="AN177" i="7"/>
  <c r="AQ177" i="3" s="1"/>
  <c r="AN136" i="7"/>
  <c r="AP112" i="7"/>
  <c r="AS112" i="3" s="1"/>
  <c r="AP91" i="7"/>
  <c r="AS91" i="3" s="1"/>
  <c r="AN91" i="7"/>
  <c r="AN82" i="7"/>
  <c r="AQ82" i="3" s="1"/>
  <c r="AP72" i="7"/>
  <c r="AS72" i="3" s="1"/>
  <c r="AN112" i="7"/>
  <c r="AN60" i="7"/>
  <c r="AQ60" i="3" s="1"/>
  <c r="AP6" i="7"/>
  <c r="AS6" i="3" s="1"/>
  <c r="AN403" i="7"/>
  <c r="AQ403" i="3" s="1"/>
  <c r="AP343" i="7"/>
  <c r="AS343" i="3" s="1"/>
  <c r="AN245" i="7"/>
  <c r="AN62" i="7"/>
  <c r="AQ62" i="3" s="1"/>
  <c r="AN23" i="7"/>
  <c r="AN224" i="7"/>
  <c r="AQ224" i="3" s="1"/>
  <c r="D10" i="28"/>
  <c r="J10" i="28" s="1"/>
  <c r="BY560" i="10"/>
  <c r="AP349" i="7"/>
  <c r="AS349" i="3" s="1"/>
  <c r="AN137" i="7"/>
  <c r="AN44" i="7"/>
  <c r="AN43" i="7"/>
  <c r="AQ43" i="3" s="1"/>
  <c r="BY598" i="10"/>
  <c r="AP221" i="7"/>
  <c r="AS221" i="3" s="1"/>
  <c r="AN49" i="7"/>
  <c r="CE586" i="10"/>
  <c r="CE505" i="10"/>
  <c r="H301" i="8"/>
  <c r="AP351" i="7"/>
  <c r="AS351" i="3" s="1"/>
  <c r="AP277" i="7"/>
  <c r="AS277" i="3" s="1"/>
  <c r="AP260" i="7"/>
  <c r="AS260" i="3" s="1"/>
  <c r="AN247" i="7"/>
  <c r="AN206" i="7"/>
  <c r="AQ206" i="3" s="1"/>
  <c r="AP193" i="7"/>
  <c r="AS193" i="3" s="1"/>
  <c r="AN155" i="7"/>
  <c r="AQ155" i="3" s="1"/>
  <c r="AP54" i="7"/>
  <c r="AS54" i="3" s="1"/>
  <c r="F315" i="8"/>
  <c r="D213" i="8"/>
  <c r="AN413" i="7"/>
  <c r="AQ413" i="3" s="1"/>
  <c r="AN384" i="7"/>
  <c r="AQ384" i="3" s="1"/>
  <c r="AN351" i="7"/>
  <c r="AP290" i="7"/>
  <c r="AS290" i="3" s="1"/>
  <c r="AP264" i="7"/>
  <c r="AS264" i="3" s="1"/>
  <c r="AN260" i="7"/>
  <c r="AQ260" i="3" s="1"/>
  <c r="AP222" i="7"/>
  <c r="AS222" i="3" s="1"/>
  <c r="AN54" i="7"/>
  <c r="AQ54" i="3" s="1"/>
  <c r="AP248" i="7"/>
  <c r="AS248" i="3" s="1"/>
  <c r="F306" i="8"/>
  <c r="AN291" i="7"/>
  <c r="AQ291" i="3" s="1"/>
  <c r="AN190" i="7"/>
  <c r="AN119" i="7"/>
  <c r="AQ119" i="3" s="1"/>
  <c r="AN244" i="7"/>
  <c r="AQ244" i="3" s="1"/>
  <c r="AP136" i="7"/>
  <c r="AS136" i="3" s="1"/>
  <c r="AP135" i="7"/>
  <c r="AS135" i="3" s="1"/>
  <c r="B42" i="2"/>
  <c r="AN126" i="7"/>
  <c r="AQ126" i="3" s="1"/>
  <c r="AN81" i="7"/>
  <c r="AQ81" i="3" s="1"/>
  <c r="AN71" i="7"/>
  <c r="AQ71" i="3" s="1"/>
  <c r="AP60" i="7"/>
  <c r="AS60" i="3" s="1"/>
  <c r="AP30" i="7"/>
  <c r="AS30" i="3" s="1"/>
  <c r="AP10" i="7"/>
  <c r="AS10" i="3" s="1"/>
  <c r="AP385" i="7"/>
  <c r="AS385" i="3" s="1"/>
  <c r="AP291" i="7"/>
  <c r="AS291" i="3" s="1"/>
  <c r="AP226" i="7"/>
  <c r="AS226" i="3" s="1"/>
  <c r="AP217" i="7"/>
  <c r="AS217" i="3" s="1"/>
  <c r="AP180" i="7"/>
  <c r="AS180" i="3" s="1"/>
  <c r="AN159" i="7"/>
  <c r="AQ159" i="3" s="1"/>
  <c r="AN134" i="7"/>
  <c r="AQ134" i="3" s="1"/>
  <c r="AN111" i="7"/>
  <c r="AQ111" i="3" s="1"/>
  <c r="AP89" i="7"/>
  <c r="AS89" i="3" s="1"/>
  <c r="BY640" i="10"/>
  <c r="CE639" i="10"/>
  <c r="AP399" i="7"/>
  <c r="AS399" i="3" s="1"/>
  <c r="AN385" i="7"/>
  <c r="AN399" i="7"/>
  <c r="AN298" i="7"/>
  <c r="AN89" i="7"/>
  <c r="AP68" i="7"/>
  <c r="AS68" i="3" s="1"/>
  <c r="AP21" i="7"/>
  <c r="AS21" i="3" s="1"/>
  <c r="B46" i="2"/>
  <c r="AN223" i="7"/>
  <c r="AP99" i="7"/>
  <c r="AS99" i="3" s="1"/>
  <c r="AN90" i="7"/>
  <c r="AQ90" i="3" s="1"/>
  <c r="AN386" i="7"/>
  <c r="AP420" i="7"/>
  <c r="AS420" i="3" s="1"/>
  <c r="AN311" i="7"/>
  <c r="AQ311" i="3" s="1"/>
  <c r="AP245" i="7"/>
  <c r="AS245" i="3" s="1"/>
  <c r="AP108" i="7"/>
  <c r="AS108" i="3" s="1"/>
  <c r="AN22" i="7"/>
  <c r="AQ22" i="3" s="1"/>
  <c r="F305" i="8"/>
  <c r="CE20" i="9"/>
  <c r="AN100" i="7"/>
  <c r="AQ100" i="3" s="1"/>
  <c r="CK25" i="9"/>
  <c r="AN343" i="7"/>
  <c r="AQ343" i="3" s="1"/>
  <c r="AP44" i="7"/>
  <c r="AS44" i="3" s="1"/>
  <c r="CE58" i="9"/>
  <c r="AN378" i="7"/>
  <c r="AN230" i="7"/>
  <c r="AP83" i="7"/>
  <c r="AS83" i="3" s="1"/>
  <c r="AP366" i="7"/>
  <c r="AS366" i="3" s="1"/>
  <c r="AN101" i="7"/>
  <c r="AQ101" i="3" s="1"/>
  <c r="AP114" i="7"/>
  <c r="AS114" i="3" s="1"/>
  <c r="AP92" i="7"/>
  <c r="AS92" i="3" s="1"/>
  <c r="AP49" i="7"/>
  <c r="AS49" i="3" s="1"/>
  <c r="AN32" i="7"/>
  <c r="AQ32" i="3" s="1"/>
  <c r="AP18" i="7"/>
  <c r="AS18" i="3" s="1"/>
  <c r="CK69" i="9"/>
  <c r="AN346" i="7"/>
  <c r="AP19" i="7"/>
  <c r="AS19" i="3" s="1"/>
  <c r="D5" i="28"/>
  <c r="CE10" i="9"/>
  <c r="AN326" i="7"/>
  <c r="AQ326" i="3" s="1"/>
  <c r="AN188" i="7"/>
  <c r="AQ188" i="3" s="1"/>
  <c r="AP115" i="7"/>
  <c r="AS115" i="3" s="1"/>
  <c r="AN92" i="7"/>
  <c r="AQ92" i="3" s="1"/>
  <c r="AN204" i="7"/>
  <c r="AP56" i="7"/>
  <c r="AS56" i="3" s="1"/>
  <c r="CE559" i="10"/>
  <c r="AN282" i="7"/>
  <c r="AP187" i="7"/>
  <c r="AS187" i="3" s="1"/>
  <c r="AN31" i="7"/>
  <c r="CE19" i="9"/>
  <c r="CK26" i="9"/>
  <c r="AN187" i="7"/>
  <c r="AQ187" i="3" s="1"/>
  <c r="AP137" i="7"/>
  <c r="AS137" i="3" s="1"/>
  <c r="AN123" i="7"/>
  <c r="AQ123" i="3" s="1"/>
  <c r="AP101" i="7"/>
  <c r="AS101" i="3" s="1"/>
  <c r="AP43" i="7"/>
  <c r="AS43" i="3" s="1"/>
  <c r="AP41" i="7"/>
  <c r="AS41" i="3" s="1"/>
  <c r="CE43" i="9"/>
  <c r="AP332" i="7"/>
  <c r="AS332" i="3" s="1"/>
  <c r="AP32" i="7"/>
  <c r="AS32" i="3" s="1"/>
  <c r="AN315" i="7"/>
  <c r="CE24" i="9"/>
  <c r="AP127" i="7"/>
  <c r="AS127" i="3" s="1"/>
  <c r="AN76" i="7"/>
  <c r="AQ76" i="3" s="1"/>
  <c r="AP369" i="7"/>
  <c r="AS369" i="3" s="1"/>
  <c r="AP363" i="7"/>
  <c r="AS363" i="3" s="1"/>
  <c r="AN294" i="7"/>
  <c r="AQ294" i="3" s="1"/>
  <c r="AP216" i="7"/>
  <c r="AS216" i="3" s="1"/>
  <c r="AP211" i="7"/>
  <c r="AS211" i="3" s="1"/>
  <c r="AN114" i="7"/>
  <c r="AQ114" i="3" s="1"/>
  <c r="AP354" i="7"/>
  <c r="AS354" i="3" s="1"/>
  <c r="AP388" i="7"/>
  <c r="AS388" i="3" s="1"/>
  <c r="AN363" i="7"/>
  <c r="AQ363" i="3" s="1"/>
  <c r="AN147" i="7"/>
  <c r="AQ147" i="3" s="1"/>
  <c r="AP333" i="7"/>
  <c r="AS333" i="3" s="1"/>
  <c r="AN202" i="7"/>
  <c r="AQ202" i="3" s="1"/>
  <c r="AN53" i="7"/>
  <c r="AQ53" i="3" s="1"/>
  <c r="AN418" i="7"/>
  <c r="AN144" i="7"/>
  <c r="AQ144" i="3" s="1"/>
  <c r="AN115" i="7"/>
  <c r="R315" i="8"/>
  <c r="AP350" i="7"/>
  <c r="AS350" i="3" s="1"/>
  <c r="AP133" i="7"/>
  <c r="AS133" i="3" s="1"/>
  <c r="AN28" i="7"/>
  <c r="AQ28" i="3" s="1"/>
  <c r="AN24" i="7"/>
  <c r="AQ24" i="3" s="1"/>
  <c r="AN216" i="7"/>
  <c r="AQ216" i="3" s="1"/>
  <c r="CE609" i="10"/>
  <c r="AP424" i="7"/>
  <c r="AS424" i="3" s="1"/>
  <c r="AN37" i="7"/>
  <c r="AP404" i="7"/>
  <c r="AS404" i="3" s="1"/>
  <c r="AP24" i="7"/>
  <c r="AS24" i="3" s="1"/>
  <c r="BY522" i="10"/>
  <c r="AN272" i="7"/>
  <c r="AQ272" i="3" s="1"/>
  <c r="AN33" i="7"/>
  <c r="AQ33" i="3" s="1"/>
  <c r="AN66" i="7"/>
  <c r="AQ66" i="3" s="1"/>
  <c r="S18" i="17"/>
  <c r="G18" i="17" s="1"/>
  <c r="CE902" i="10"/>
  <c r="CE748" i="10"/>
  <c r="L337" i="34"/>
  <c r="CS835" i="10"/>
  <c r="N337" i="34" s="1"/>
  <c r="BY698" i="10"/>
  <c r="CE580" i="10"/>
  <c r="BY548" i="10"/>
  <c r="S12" i="17"/>
  <c r="G12" i="17" s="1"/>
  <c r="BY715" i="10"/>
  <c r="BY868" i="10"/>
  <c r="L299" i="34"/>
  <c r="CS797" i="10"/>
  <c r="N299" i="34" s="1"/>
  <c r="CE859" i="10"/>
  <c r="CE691" i="10"/>
  <c r="BY911" i="10"/>
  <c r="BY704" i="10"/>
  <c r="CE903" i="10"/>
  <c r="CR903" i="10" s="1"/>
  <c r="P405" i="34" s="1"/>
  <c r="BY547" i="10"/>
  <c r="L133" i="34"/>
  <c r="CS631" i="10"/>
  <c r="N133" i="34" s="1"/>
  <c r="CE582" i="10"/>
  <c r="CE611" i="10"/>
  <c r="AF386" i="7"/>
  <c r="AD386" i="7"/>
  <c r="I619" i="19"/>
  <c r="Q687" i="10"/>
  <c r="BB687" i="10"/>
  <c r="BC687" i="10" s="1"/>
  <c r="T687" i="10"/>
  <c r="R687" i="10"/>
  <c r="I687" i="10"/>
  <c r="P687" i="10" s="1"/>
  <c r="BX687" i="10"/>
  <c r="O687" i="10"/>
  <c r="N687" i="10"/>
  <c r="G687" i="10"/>
  <c r="G189" i="34" s="1"/>
  <c r="BQ687" i="10"/>
  <c r="K687" i="10" s="1"/>
  <c r="BG687" i="10" s="1"/>
  <c r="AD224" i="7"/>
  <c r="AF224" i="7"/>
  <c r="I823" i="19"/>
  <c r="R894" i="10"/>
  <c r="Q894" i="10"/>
  <c r="N894" i="10"/>
  <c r="I894" i="10"/>
  <c r="P894" i="10" s="1"/>
  <c r="G894" i="10"/>
  <c r="G396" i="34" s="1"/>
  <c r="BX894" i="10"/>
  <c r="O894" i="10"/>
  <c r="T894" i="10"/>
  <c r="BQ894" i="10"/>
  <c r="BB894" i="10"/>
  <c r="BC894" i="10" s="1"/>
  <c r="K894" i="10"/>
  <c r="BG894" i="10" s="1"/>
  <c r="K162" i="7"/>
  <c r="N162" i="3" s="1"/>
  <c r="AM150" i="3"/>
  <c r="AT150" i="7"/>
  <c r="AW150" i="3" s="1"/>
  <c r="AS150" i="7"/>
  <c r="AV150" i="3" s="1"/>
  <c r="AD388" i="7"/>
  <c r="AF388" i="7"/>
  <c r="AS238" i="7"/>
  <c r="AV238" i="3" s="1"/>
  <c r="AM388" i="10"/>
  <c r="AN388" i="10" s="1"/>
  <c r="AP388" i="10" s="1"/>
  <c r="AO388" i="3"/>
  <c r="AM388" i="7"/>
  <c r="AP388" i="3" s="1"/>
  <c r="AS423" i="7"/>
  <c r="AV423" i="3" s="1"/>
  <c r="AF373" i="7"/>
  <c r="AI373" i="3" s="1"/>
  <c r="AD373" i="7"/>
  <c r="AG373" i="3" s="1"/>
  <c r="AF373" i="3"/>
  <c r="I681" i="19"/>
  <c r="Q753" i="10"/>
  <c r="BB753" i="10"/>
  <c r="BC753" i="10" s="1"/>
  <c r="G753" i="10"/>
  <c r="G255" i="34" s="1"/>
  <c r="BX753" i="10"/>
  <c r="I753" i="10"/>
  <c r="P753" i="10" s="1"/>
  <c r="T753" i="10"/>
  <c r="R753" i="10"/>
  <c r="O753" i="10"/>
  <c r="BQ753" i="10"/>
  <c r="K753" i="10" s="1"/>
  <c r="BG753" i="10" s="1"/>
  <c r="N753" i="10"/>
  <c r="M148" i="3"/>
  <c r="K148" i="7"/>
  <c r="N148" i="3" s="1"/>
  <c r="E8" i="8"/>
  <c r="L72" i="3"/>
  <c r="AL357" i="7"/>
  <c r="AD355" i="7"/>
  <c r="AF355" i="7"/>
  <c r="J16" i="8"/>
  <c r="I867" i="19"/>
  <c r="T923" i="10"/>
  <c r="R923" i="10"/>
  <c r="Q923" i="10"/>
  <c r="I923" i="10"/>
  <c r="P923" i="10" s="1"/>
  <c r="G923" i="10"/>
  <c r="G425" i="34" s="1"/>
  <c r="BB923" i="10"/>
  <c r="BC923" i="10" s="1"/>
  <c r="BX923" i="10"/>
  <c r="BQ923" i="10"/>
  <c r="K923" i="10" s="1"/>
  <c r="BG923" i="10" s="1"/>
  <c r="O923" i="10"/>
  <c r="N923" i="10"/>
  <c r="AM350" i="3"/>
  <c r="AL350" i="7"/>
  <c r="AT350" i="7"/>
  <c r="AW350" i="3" s="1"/>
  <c r="AS350" i="7"/>
  <c r="AV350" i="3" s="1"/>
  <c r="I623" i="19"/>
  <c r="T691" i="10"/>
  <c r="Q691" i="10"/>
  <c r="N691" i="10"/>
  <c r="R691" i="10"/>
  <c r="BX691" i="10"/>
  <c r="G691" i="10"/>
  <c r="G193" i="34" s="1"/>
  <c r="BB691" i="10"/>
  <c r="BC691" i="10" s="1"/>
  <c r="O691" i="10"/>
  <c r="I691" i="10"/>
  <c r="P691" i="10" s="1"/>
  <c r="BQ691" i="10"/>
  <c r="K691" i="10" s="1"/>
  <c r="BG691" i="10" s="1"/>
  <c r="J20" i="28"/>
  <c r="AN387" i="3"/>
  <c r="AL387" i="7"/>
  <c r="AS387" i="7"/>
  <c r="AV387" i="3" s="1"/>
  <c r="AF55" i="7"/>
  <c r="AD55" i="7"/>
  <c r="I913" i="10"/>
  <c r="P913" i="10" s="1"/>
  <c r="CR519" i="10"/>
  <c r="P21" i="34" s="1"/>
  <c r="AT296" i="7"/>
  <c r="AW296" i="3" s="1"/>
  <c r="AL123" i="7"/>
  <c r="AS227" i="7"/>
  <c r="AV227" i="3" s="1"/>
  <c r="K144" i="7"/>
  <c r="N144" i="3" s="1"/>
  <c r="M144" i="3"/>
  <c r="AD107" i="7"/>
  <c r="AF107" i="7"/>
  <c r="AS82" i="7"/>
  <c r="AV82" i="3" s="1"/>
  <c r="AD45" i="7"/>
  <c r="AF45" i="7"/>
  <c r="J8" i="8"/>
  <c r="AL114" i="7"/>
  <c r="I709" i="19"/>
  <c r="BB784" i="10"/>
  <c r="BC784" i="10" s="1"/>
  <c r="I784" i="10"/>
  <c r="P784" i="10" s="1"/>
  <c r="G784" i="10"/>
  <c r="G286" i="34" s="1"/>
  <c r="BQ784" i="10"/>
  <c r="K784" i="10" s="1"/>
  <c r="BG784" i="10" s="1"/>
  <c r="BX784" i="10"/>
  <c r="T784" i="10"/>
  <c r="R784" i="10"/>
  <c r="O784" i="10"/>
  <c r="Q784" i="10"/>
  <c r="N784" i="10"/>
  <c r="AS149" i="7"/>
  <c r="AV149" i="3" s="1"/>
  <c r="BY830" i="10"/>
  <c r="I756" i="19"/>
  <c r="BX828" i="10"/>
  <c r="I828" i="10"/>
  <c r="P828" i="10" s="1"/>
  <c r="R828" i="10"/>
  <c r="Q828" i="10"/>
  <c r="BB828" i="10"/>
  <c r="N828" i="10"/>
  <c r="BQ828" i="10"/>
  <c r="K828" i="10" s="1"/>
  <c r="BG828" i="10" s="1"/>
  <c r="G828" i="10"/>
  <c r="G330" i="34" s="1"/>
  <c r="O828" i="10"/>
  <c r="T828" i="10"/>
  <c r="AT246" i="7"/>
  <c r="AW246" i="3" s="1"/>
  <c r="AS360" i="7"/>
  <c r="AV360" i="3" s="1"/>
  <c r="AD221" i="7"/>
  <c r="AF221" i="7"/>
  <c r="AF62" i="7"/>
  <c r="AD62" i="7"/>
  <c r="AT315" i="7"/>
  <c r="AW315" i="3" s="1"/>
  <c r="I594" i="19"/>
  <c r="G659" i="10"/>
  <c r="G161" i="34" s="1"/>
  <c r="O659" i="10"/>
  <c r="T659" i="10"/>
  <c r="Q659" i="10"/>
  <c r="BQ659" i="10"/>
  <c r="K659" i="10" s="1"/>
  <c r="N659" i="10"/>
  <c r="R659" i="10"/>
  <c r="I659" i="10"/>
  <c r="P659" i="10" s="1"/>
  <c r="BB659" i="10"/>
  <c r="BC659" i="10" s="1"/>
  <c r="BX659" i="10"/>
  <c r="K52" i="7"/>
  <c r="N52" i="3" s="1"/>
  <c r="I724" i="19"/>
  <c r="Q798" i="10"/>
  <c r="BB798" i="10"/>
  <c r="BC798" i="10" s="1"/>
  <c r="BX798" i="10"/>
  <c r="O798" i="10"/>
  <c r="T798" i="10"/>
  <c r="BQ798" i="10"/>
  <c r="K798" i="10" s="1"/>
  <c r="BG798" i="10" s="1"/>
  <c r="R798" i="10"/>
  <c r="I798" i="10"/>
  <c r="P798" i="10" s="1"/>
  <c r="N798" i="10"/>
  <c r="G798" i="10"/>
  <c r="G300" i="34" s="1"/>
  <c r="G230" i="8"/>
  <c r="AL28" i="7"/>
  <c r="CD65" i="9"/>
  <c r="O65" i="9"/>
  <c r="BC65" i="9" s="1"/>
  <c r="AS264" i="7"/>
  <c r="AV264" i="3" s="1"/>
  <c r="I813" i="19"/>
  <c r="I884" i="10"/>
  <c r="P884" i="10" s="1"/>
  <c r="BQ884" i="10"/>
  <c r="K884" i="10" s="1"/>
  <c r="BG884" i="10" s="1"/>
  <c r="G884" i="10"/>
  <c r="G386" i="34" s="1"/>
  <c r="O884" i="10"/>
  <c r="BB884" i="10"/>
  <c r="BC884" i="10" s="1"/>
  <c r="R884" i="10"/>
  <c r="Q884" i="10"/>
  <c r="BX884" i="10"/>
  <c r="T884" i="10"/>
  <c r="N884" i="10"/>
  <c r="K5" i="7"/>
  <c r="N5" i="3" s="1"/>
  <c r="S21" i="17"/>
  <c r="G21" i="17" s="1"/>
  <c r="Q254" i="11"/>
  <c r="AV270" i="11"/>
  <c r="L340" i="34"/>
  <c r="CS838" i="10"/>
  <c r="N340" i="34" s="1"/>
  <c r="L320" i="34"/>
  <c r="CS818" i="10"/>
  <c r="N320" i="34" s="1"/>
  <c r="S11" i="17"/>
  <c r="G11" i="17" s="1"/>
  <c r="CE715" i="10"/>
  <c r="BY802" i="10"/>
  <c r="L193" i="34"/>
  <c r="CS691" i="10"/>
  <c r="N193" i="34" s="1"/>
  <c r="BY860" i="10"/>
  <c r="BY745" i="10"/>
  <c r="BY711" i="10"/>
  <c r="CE514" i="10"/>
  <c r="BY689" i="10"/>
  <c r="L52" i="34"/>
  <c r="CS550" i="10"/>
  <c r="N52" i="34" s="1"/>
  <c r="BY611" i="10"/>
  <c r="CE8" i="9"/>
  <c r="I772" i="19"/>
  <c r="G843" i="10"/>
  <c r="G345" i="34" s="1"/>
  <c r="N843" i="10"/>
  <c r="I843" i="10"/>
  <c r="P843" i="10" s="1"/>
  <c r="BB843" i="10"/>
  <c r="BC843" i="10" s="1"/>
  <c r="BQ843" i="10"/>
  <c r="K843" i="10" s="1"/>
  <c r="BG843" i="10" s="1"/>
  <c r="R843" i="10"/>
  <c r="Q843" i="10"/>
  <c r="T843" i="10"/>
  <c r="O843" i="10"/>
  <c r="BX843" i="10"/>
  <c r="L64" i="34"/>
  <c r="CS562" i="10"/>
  <c r="N64" i="34" s="1"/>
  <c r="CE33" i="9"/>
  <c r="K20" i="8"/>
  <c r="O374" i="3"/>
  <c r="J20" i="8"/>
  <c r="E289" i="8" s="1"/>
  <c r="K109" i="7"/>
  <c r="N109" i="3" s="1"/>
  <c r="G732" i="10"/>
  <c r="G234" i="34" s="1"/>
  <c r="I660" i="19"/>
  <c r="N732" i="10"/>
  <c r="Q732" i="10"/>
  <c r="BX732" i="10"/>
  <c r="BQ732" i="10"/>
  <c r="K732" i="10" s="1"/>
  <c r="BG732" i="10" s="1"/>
  <c r="I732" i="10"/>
  <c r="P732" i="10" s="1"/>
  <c r="BB732" i="10"/>
  <c r="BC732" i="10" s="1"/>
  <c r="T732" i="10"/>
  <c r="R732" i="10"/>
  <c r="O732" i="10"/>
  <c r="S14" i="17"/>
  <c r="G14" i="17" s="1"/>
  <c r="L412" i="34"/>
  <c r="CS910" i="10"/>
  <c r="N412" i="34" s="1"/>
  <c r="L294" i="34"/>
  <c r="CS792" i="10"/>
  <c r="N294" i="34" s="1"/>
  <c r="BY883" i="10"/>
  <c r="L249" i="34"/>
  <c r="CS747" i="10"/>
  <c r="N249" i="34" s="1"/>
  <c r="CR852" i="10"/>
  <c r="P354" i="34" s="1"/>
  <c r="CE802" i="10"/>
  <c r="L159" i="34"/>
  <c r="CS657" i="10"/>
  <c r="N159" i="34" s="1"/>
  <c r="L271" i="34"/>
  <c r="CS769" i="10"/>
  <c r="N271" i="34" s="1"/>
  <c r="CE797" i="10"/>
  <c r="L361" i="34"/>
  <c r="CS859" i="10"/>
  <c r="N361" i="34" s="1"/>
  <c r="L425" i="34"/>
  <c r="CS923" i="10"/>
  <c r="N425" i="34" s="1"/>
  <c r="L413" i="34"/>
  <c r="CS911" i="10"/>
  <c r="N413" i="34" s="1"/>
  <c r="L213" i="34"/>
  <c r="CS711" i="10"/>
  <c r="N213" i="34" s="1"/>
  <c r="BY596" i="10"/>
  <c r="L100" i="34"/>
  <c r="CS598" i="10"/>
  <c r="N100" i="34" s="1"/>
  <c r="CE918" i="10"/>
  <c r="CE730" i="10"/>
  <c r="CE507" i="10"/>
  <c r="BY776" i="10"/>
  <c r="CR649" i="10"/>
  <c r="P151" i="34" s="1"/>
  <c r="AN342" i="3"/>
  <c r="AT342" i="7"/>
  <c r="AW342" i="3" s="1"/>
  <c r="AS342" i="7"/>
  <c r="AV342" i="3" s="1"/>
  <c r="AL342" i="7"/>
  <c r="AM278" i="10"/>
  <c r="AN278" i="10" s="1"/>
  <c r="AP278" i="10" s="1"/>
  <c r="AO278" i="3"/>
  <c r="AM278" i="7"/>
  <c r="AP278" i="3" s="1"/>
  <c r="AL109" i="7"/>
  <c r="AY109" i="3"/>
  <c r="I862" i="19"/>
  <c r="T900" i="10"/>
  <c r="G900" i="10"/>
  <c r="G402" i="34" s="1"/>
  <c r="BQ900" i="10"/>
  <c r="K900" i="10" s="1"/>
  <c r="BG900" i="10" s="1"/>
  <c r="N900" i="10"/>
  <c r="I900" i="10"/>
  <c r="P900" i="10" s="1"/>
  <c r="BB900" i="10"/>
  <c r="BC900" i="10" s="1"/>
  <c r="Q900" i="10"/>
  <c r="O900" i="10"/>
  <c r="BX900" i="10"/>
  <c r="R900" i="10"/>
  <c r="AL259" i="7"/>
  <c r="AY330" i="3"/>
  <c r="AS330" i="7"/>
  <c r="AV330" i="3" s="1"/>
  <c r="CE661" i="10"/>
  <c r="L19" i="34"/>
  <c r="CS517" i="10"/>
  <c r="N19" i="34" s="1"/>
  <c r="AS394" i="7"/>
  <c r="AV394" i="3" s="1"/>
  <c r="AL150" i="7"/>
  <c r="AL376" i="7"/>
  <c r="AF50" i="3"/>
  <c r="AF50" i="7"/>
  <c r="AI50" i="3" s="1"/>
  <c r="AD50" i="7"/>
  <c r="AG50" i="3" s="1"/>
  <c r="I617" i="19"/>
  <c r="BX685" i="10"/>
  <c r="O685" i="10"/>
  <c r="N685" i="10"/>
  <c r="BQ685" i="10"/>
  <c r="K685" i="10" s="1"/>
  <c r="BG685" i="10" s="1"/>
  <c r="T685" i="10"/>
  <c r="R685" i="10"/>
  <c r="G685" i="10"/>
  <c r="G187" i="34" s="1"/>
  <c r="Q685" i="10"/>
  <c r="I685" i="10"/>
  <c r="P685" i="10" s="1"/>
  <c r="BB685" i="10"/>
  <c r="BC685" i="10" s="1"/>
  <c r="BY680" i="10"/>
  <c r="CK18" i="9"/>
  <c r="AS326" i="7"/>
  <c r="AV326" i="3" s="1"/>
  <c r="K188" i="7"/>
  <c r="N188" i="3" s="1"/>
  <c r="K392" i="7"/>
  <c r="N392" i="3" s="1"/>
  <c r="M392" i="3"/>
  <c r="D20" i="8"/>
  <c r="D289" i="8" s="1"/>
  <c r="AM241" i="3"/>
  <c r="AT241" i="7"/>
  <c r="AW241" i="3" s="1"/>
  <c r="AS241" i="7"/>
  <c r="AV241" i="3" s="1"/>
  <c r="AL92" i="7"/>
  <c r="CE573" i="10"/>
  <c r="AF257" i="7"/>
  <c r="AI257" i="3" s="1"/>
  <c r="AD257" i="7"/>
  <c r="AG257" i="3" s="1"/>
  <c r="AF257" i="3"/>
  <c r="AM97" i="3"/>
  <c r="AS97" i="7"/>
  <c r="AV97" i="3" s="1"/>
  <c r="AL97" i="7"/>
  <c r="AS57" i="7"/>
  <c r="AV57" i="3" s="1"/>
  <c r="K380" i="7"/>
  <c r="N380" i="3" s="1"/>
  <c r="I496" i="19"/>
  <c r="Q553" i="10"/>
  <c r="T553" i="10"/>
  <c r="O553" i="10"/>
  <c r="BX553" i="10"/>
  <c r="N553" i="10"/>
  <c r="G553" i="10"/>
  <c r="G55" i="34" s="1"/>
  <c r="BQ553" i="10"/>
  <c r="K553" i="10" s="1"/>
  <c r="BG553" i="10" s="1"/>
  <c r="BB553" i="10"/>
  <c r="BC553" i="10" s="1"/>
  <c r="R553" i="10"/>
  <c r="I553" i="10"/>
  <c r="P553" i="10" s="1"/>
  <c r="K16" i="8"/>
  <c r="M33" i="3"/>
  <c r="K33" i="7"/>
  <c r="N33" i="3" s="1"/>
  <c r="AL260" i="7"/>
  <c r="AT354" i="7"/>
  <c r="AW354" i="3" s="1"/>
  <c r="AF385" i="7"/>
  <c r="AD385" i="7"/>
  <c r="CD35" i="9"/>
  <c r="O35" i="9"/>
  <c r="BC35" i="9" s="1"/>
  <c r="AM132" i="3"/>
  <c r="AL132" i="7"/>
  <c r="AS132" i="7"/>
  <c r="AV132" i="3" s="1"/>
  <c r="AT132" i="7"/>
  <c r="AW132" i="3" s="1"/>
  <c r="BP629" i="10"/>
  <c r="K296" i="7"/>
  <c r="N296" i="3" s="1"/>
  <c r="AD135" i="7"/>
  <c r="AF135" i="7"/>
  <c r="AM107" i="3"/>
  <c r="AL107" i="7"/>
  <c r="CD14" i="9"/>
  <c r="O14" i="9"/>
  <c r="BC14" i="9" s="1"/>
  <c r="AD28" i="7"/>
  <c r="AG28" i="3" s="1"/>
  <c r="AF28" i="3"/>
  <c r="AF28" i="7"/>
  <c r="AI28" i="3" s="1"/>
  <c r="AF175" i="7"/>
  <c r="AD175" i="7"/>
  <c r="I842" i="19"/>
  <c r="BX912" i="10"/>
  <c r="O912" i="10"/>
  <c r="N912" i="10"/>
  <c r="BB912" i="10"/>
  <c r="BQ912" i="10"/>
  <c r="K912" i="10" s="1"/>
  <c r="BG912" i="10" s="1"/>
  <c r="T912" i="10"/>
  <c r="I912" i="10"/>
  <c r="P912" i="10" s="1"/>
  <c r="G912" i="10"/>
  <c r="G414" i="34" s="1"/>
  <c r="Q912" i="10"/>
  <c r="R912" i="10"/>
  <c r="AF127" i="7"/>
  <c r="AI127" i="3" s="1"/>
  <c r="AD127" i="7"/>
  <c r="AG127" i="3" s="1"/>
  <c r="AF127" i="3"/>
  <c r="I717" i="19"/>
  <c r="N590" i="10"/>
  <c r="G590" i="10"/>
  <c r="G92" i="34" s="1"/>
  <c r="BQ590" i="10"/>
  <c r="K590" i="10" s="1"/>
  <c r="BG590" i="10" s="1"/>
  <c r="T590" i="10"/>
  <c r="Q590" i="10"/>
  <c r="R590" i="10"/>
  <c r="O590" i="10"/>
  <c r="I590" i="10"/>
  <c r="P590" i="10" s="1"/>
  <c r="BB590" i="10"/>
  <c r="BC590" i="10" s="1"/>
  <c r="BX590" i="10"/>
  <c r="CD590" i="10" s="1"/>
  <c r="AM367" i="3"/>
  <c r="AT367" i="7"/>
  <c r="AW367" i="3" s="1"/>
  <c r="AS367" i="7"/>
  <c r="AV367" i="3" s="1"/>
  <c r="AF180" i="7"/>
  <c r="AD180" i="7"/>
  <c r="AS163" i="7"/>
  <c r="AV163" i="3" s="1"/>
  <c r="I579" i="19"/>
  <c r="G644" i="10"/>
  <c r="G146" i="34" s="1"/>
  <c r="N644" i="10"/>
  <c r="Q644" i="10"/>
  <c r="BQ644" i="10"/>
  <c r="K644" i="10" s="1"/>
  <c r="BG644" i="10" s="1"/>
  <c r="T644" i="10"/>
  <c r="O644" i="10"/>
  <c r="R644" i="10"/>
  <c r="BB644" i="10"/>
  <c r="BC644" i="10" s="1"/>
  <c r="I644" i="10"/>
  <c r="P644" i="10" s="1"/>
  <c r="BX644" i="10"/>
  <c r="K41" i="7"/>
  <c r="N41" i="3" s="1"/>
  <c r="AF370" i="7"/>
  <c r="AD370" i="7"/>
  <c r="K282" i="7"/>
  <c r="N282" i="3" s="1"/>
  <c r="AL15" i="7"/>
  <c r="K115" i="7"/>
  <c r="N115" i="3" s="1"/>
  <c r="K406" i="7"/>
  <c r="N406" i="3" s="1"/>
  <c r="AT360" i="7"/>
  <c r="AW360" i="3" s="1"/>
  <c r="AL53" i="7"/>
  <c r="K340" i="7"/>
  <c r="N340" i="3" s="1"/>
  <c r="AF315" i="7"/>
  <c r="AD315" i="7"/>
  <c r="AL191" i="7"/>
  <c r="AM52" i="3"/>
  <c r="AS52" i="7"/>
  <c r="AT52" i="7"/>
  <c r="AW52" i="3" s="1"/>
  <c r="AL52" i="7"/>
  <c r="I628" i="19"/>
  <c r="BX696" i="10"/>
  <c r="O696" i="10"/>
  <c r="N696" i="10"/>
  <c r="BQ696" i="10"/>
  <c r="K696" i="10" s="1"/>
  <c r="BG696" i="10" s="1"/>
  <c r="BB696" i="10"/>
  <c r="BC696" i="10" s="1"/>
  <c r="T696" i="10"/>
  <c r="Q696" i="10"/>
  <c r="I696" i="10"/>
  <c r="P696" i="10" s="1"/>
  <c r="G696" i="10"/>
  <c r="G198" i="34" s="1"/>
  <c r="R696" i="10"/>
  <c r="K341" i="7"/>
  <c r="N341" i="3" s="1"/>
  <c r="AT240" i="7"/>
  <c r="AW240" i="3" s="1"/>
  <c r="CR734" i="10"/>
  <c r="P236" i="34" s="1"/>
  <c r="K324" i="7"/>
  <c r="N324" i="3" s="1"/>
  <c r="J14" i="8"/>
  <c r="CX44" i="9"/>
  <c r="O41" i="35" s="1"/>
  <c r="AF285" i="7"/>
  <c r="AD285" i="7"/>
  <c r="AL221" i="7"/>
  <c r="AT231" i="7"/>
  <c r="AW231" i="3" s="1"/>
  <c r="M17" i="8"/>
  <c r="J17" i="8"/>
  <c r="N17" i="8"/>
  <c r="L17" i="8"/>
  <c r="K17" i="8"/>
  <c r="O297" i="3"/>
  <c r="AE297" i="7"/>
  <c r="AH297" i="3" s="1"/>
  <c r="I635" i="19"/>
  <c r="G703" i="10"/>
  <c r="G205" i="34" s="1"/>
  <c r="R703" i="10"/>
  <c r="I703" i="10"/>
  <c r="P703" i="10" s="1"/>
  <c r="BQ703" i="10"/>
  <c r="K703" i="10" s="1"/>
  <c r="BG703" i="10" s="1"/>
  <c r="Q703" i="10"/>
  <c r="BB703" i="10"/>
  <c r="BC703" i="10" s="1"/>
  <c r="O703" i="10"/>
  <c r="BX703" i="10"/>
  <c r="T703" i="10"/>
  <c r="N703" i="10"/>
  <c r="AT250" i="7"/>
  <c r="AW250" i="3" s="1"/>
  <c r="AF103" i="7"/>
  <c r="AD103" i="7"/>
  <c r="I676" i="19"/>
  <c r="BB748" i="10"/>
  <c r="BC748" i="10" s="1"/>
  <c r="Q748" i="10"/>
  <c r="O748" i="10"/>
  <c r="N748" i="10"/>
  <c r="BX748" i="10"/>
  <c r="T748" i="10"/>
  <c r="R748" i="10"/>
  <c r="I748" i="10"/>
  <c r="P748" i="10" s="1"/>
  <c r="BQ748" i="10"/>
  <c r="K748" i="10" s="1"/>
  <c r="BG748" i="10" s="1"/>
  <c r="G748" i="10"/>
  <c r="G250" i="34" s="1"/>
  <c r="AF159" i="7"/>
  <c r="AD159" i="7"/>
  <c r="AM37" i="3"/>
  <c r="AT37" i="7"/>
  <c r="AW37" i="3" s="1"/>
  <c r="I489" i="19"/>
  <c r="N546" i="10"/>
  <c r="BX546" i="10"/>
  <c r="G546" i="10"/>
  <c r="G48" i="34" s="1"/>
  <c r="O546" i="10"/>
  <c r="BQ546" i="10"/>
  <c r="K546" i="10" s="1"/>
  <c r="BG546" i="10" s="1"/>
  <c r="R546" i="10"/>
  <c r="Q546" i="10"/>
  <c r="I546" i="10"/>
  <c r="P546" i="10" s="1"/>
  <c r="BB546" i="10"/>
  <c r="BC546" i="10" s="1"/>
  <c r="T546" i="10"/>
  <c r="K317" i="7"/>
  <c r="N317" i="3" s="1"/>
  <c r="AD192" i="7"/>
  <c r="AF192" i="7"/>
  <c r="K119" i="7"/>
  <c r="N119" i="3" s="1"/>
  <c r="I513" i="19"/>
  <c r="BQ573" i="10"/>
  <c r="K573" i="10" s="1"/>
  <c r="BG573" i="10" s="1"/>
  <c r="BX573" i="10"/>
  <c r="R573" i="10"/>
  <c r="O573" i="10"/>
  <c r="G573" i="10"/>
  <c r="G75" i="34" s="1"/>
  <c r="I573" i="10"/>
  <c r="Q573" i="10"/>
  <c r="T573" i="10"/>
  <c r="P573" i="10"/>
  <c r="BB573" i="10"/>
  <c r="BC573" i="10" s="1"/>
  <c r="N573" i="10"/>
  <c r="S573" i="10" s="1"/>
  <c r="AT419" i="7"/>
  <c r="AW419" i="3" s="1"/>
  <c r="AT9" i="7"/>
  <c r="AW9" i="3" s="1"/>
  <c r="AF360" i="7"/>
  <c r="AD360" i="7"/>
  <c r="I764" i="19"/>
  <c r="T835" i="10"/>
  <c r="Q835" i="10"/>
  <c r="BQ835" i="10"/>
  <c r="K835" i="10" s="1"/>
  <c r="BG835" i="10" s="1"/>
  <c r="O835" i="10"/>
  <c r="BB835" i="10"/>
  <c r="BC835" i="10" s="1"/>
  <c r="I835" i="10"/>
  <c r="P835" i="10" s="1"/>
  <c r="R835" i="10"/>
  <c r="BP835" i="10"/>
  <c r="BR835" i="10" s="1"/>
  <c r="N835" i="10"/>
  <c r="G835" i="10"/>
  <c r="G337" i="34" s="1"/>
  <c r="BX835" i="10"/>
  <c r="AS305" i="7"/>
  <c r="AV305" i="3" s="1"/>
  <c r="AD256" i="7"/>
  <c r="AF256" i="7"/>
  <c r="AD203" i="7"/>
  <c r="AG203" i="3" s="1"/>
  <c r="AF203" i="7"/>
  <c r="AI203" i="3" s="1"/>
  <c r="AF203" i="3"/>
  <c r="I553" i="19"/>
  <c r="BQ614" i="10"/>
  <c r="K614" i="10" s="1"/>
  <c r="BG614" i="10" s="1"/>
  <c r="BX614" i="10"/>
  <c r="Q614" i="10"/>
  <c r="BB614" i="10"/>
  <c r="BC614" i="10" s="1"/>
  <c r="R614" i="10"/>
  <c r="T614" i="10"/>
  <c r="O614" i="10"/>
  <c r="G614" i="10"/>
  <c r="G116" i="34" s="1"/>
  <c r="N614" i="10"/>
  <c r="I614" i="10"/>
  <c r="P614" i="10" s="1"/>
  <c r="AM407" i="3"/>
  <c r="AS407" i="7"/>
  <c r="AF415" i="7"/>
  <c r="AD415" i="7"/>
  <c r="AF372" i="7"/>
  <c r="AD372" i="7"/>
  <c r="K14" i="7"/>
  <c r="N14" i="3" s="1"/>
  <c r="AD283" i="7"/>
  <c r="AG283" i="3" s="1"/>
  <c r="AF283" i="7"/>
  <c r="AI283" i="3" s="1"/>
  <c r="AF283" i="3"/>
  <c r="K28" i="7"/>
  <c r="N28" i="3" s="1"/>
  <c r="AF87" i="7"/>
  <c r="AD87" i="7"/>
  <c r="AS419" i="7"/>
  <c r="AV419" i="3" s="1"/>
  <c r="M200" i="3"/>
  <c r="F13" i="8"/>
  <c r="BP842" i="10"/>
  <c r="K284" i="7"/>
  <c r="N284" i="3" s="1"/>
  <c r="AE377" i="7"/>
  <c r="AH377" i="3" s="1"/>
  <c r="K334" i="7"/>
  <c r="N334" i="3" s="1"/>
  <c r="I649" i="19"/>
  <c r="R717" i="10"/>
  <c r="G717" i="10"/>
  <c r="G219" i="34" s="1"/>
  <c r="I717" i="10"/>
  <c r="P717" i="10" s="1"/>
  <c r="BQ717" i="10"/>
  <c r="K717" i="10" s="1"/>
  <c r="BX717" i="10"/>
  <c r="T717" i="10"/>
  <c r="O717" i="10"/>
  <c r="BG717" i="10"/>
  <c r="BB717" i="10"/>
  <c r="BC717" i="10" s="1"/>
  <c r="Q717" i="10"/>
  <c r="N717" i="10"/>
  <c r="AT110" i="7"/>
  <c r="AW110" i="3" s="1"/>
  <c r="I741" i="19"/>
  <c r="I814" i="10"/>
  <c r="P814" i="10" s="1"/>
  <c r="BX814" i="10"/>
  <c r="G814" i="10"/>
  <c r="G316" i="34" s="1"/>
  <c r="BB814" i="10"/>
  <c r="BC814" i="10" s="1"/>
  <c r="T814" i="10"/>
  <c r="R814" i="10"/>
  <c r="O814" i="10"/>
  <c r="N814" i="10"/>
  <c r="BQ814" i="10"/>
  <c r="K814" i="10" s="1"/>
  <c r="BG814" i="10" s="1"/>
  <c r="Q814" i="10"/>
  <c r="K111" i="7"/>
  <c r="N111" i="3" s="1"/>
  <c r="AL139" i="7"/>
  <c r="AT203" i="7"/>
  <c r="AW203" i="3" s="1"/>
  <c r="I773" i="19"/>
  <c r="T844" i="10"/>
  <c r="R844" i="10"/>
  <c r="P844" i="10"/>
  <c r="BQ844" i="10"/>
  <c r="K844" i="10" s="1"/>
  <c r="BG844" i="10" s="1"/>
  <c r="O844" i="10"/>
  <c r="Q844" i="10"/>
  <c r="N844" i="10"/>
  <c r="BB844" i="10"/>
  <c r="I844" i="10"/>
  <c r="G844" i="10"/>
  <c r="G346" i="34" s="1"/>
  <c r="BX844" i="10"/>
  <c r="AL117" i="7"/>
  <c r="AF423" i="7"/>
  <c r="AD423" i="7"/>
  <c r="AT220" i="7"/>
  <c r="AW220" i="3" s="1"/>
  <c r="AL226" i="7"/>
  <c r="AL258" i="7"/>
  <c r="K142" i="7"/>
  <c r="N142" i="3" s="1"/>
  <c r="AS99" i="7"/>
  <c r="AV99" i="3" s="1"/>
  <c r="AF35" i="7"/>
  <c r="AD35" i="7"/>
  <c r="AL239" i="7"/>
  <c r="AT291" i="7"/>
  <c r="AW291" i="3" s="1"/>
  <c r="K386" i="7"/>
  <c r="N386" i="3" s="1"/>
  <c r="J501" i="10" l="1"/>
  <c r="BR501" i="10"/>
  <c r="I3" i="35"/>
  <c r="CF6" i="9"/>
  <c r="CG6" i="9"/>
  <c r="S897" i="10"/>
  <c r="CB687" i="10"/>
  <c r="K64" i="34"/>
  <c r="BZ562" i="10"/>
  <c r="CB562" i="10"/>
  <c r="CA562" i="10"/>
  <c r="CC562" i="10"/>
  <c r="CH608" i="10"/>
  <c r="CJ608" i="10"/>
  <c r="CF608" i="10"/>
  <c r="CL608" i="10" s="1"/>
  <c r="CG608" i="10"/>
  <c r="CK608" i="10"/>
  <c r="CC687" i="10"/>
  <c r="AO306" i="3"/>
  <c r="CR722" i="10"/>
  <c r="P224" i="34" s="1"/>
  <c r="K407" i="34"/>
  <c r="CB905" i="10"/>
  <c r="CA905" i="10"/>
  <c r="CF533" i="10"/>
  <c r="CL533" i="10" s="1"/>
  <c r="CG533" i="10"/>
  <c r="CK533" i="10"/>
  <c r="CH533" i="10"/>
  <c r="CG512" i="10"/>
  <c r="CH732" i="10"/>
  <c r="J246" i="34"/>
  <c r="CA856" i="10"/>
  <c r="CB856" i="10"/>
  <c r="AM276" i="10"/>
  <c r="AN276" i="10" s="1"/>
  <c r="AP276" i="10" s="1"/>
  <c r="AQ276" i="10" s="1"/>
  <c r="AM276" i="7"/>
  <c r="AP276" i="3" s="1"/>
  <c r="AO276" i="3"/>
  <c r="CG742" i="10"/>
  <c r="CF540" i="10"/>
  <c r="CL540" i="10" s="1"/>
  <c r="CC856" i="10"/>
  <c r="CJ598" i="10"/>
  <c r="CI512" i="10"/>
  <c r="CK732" i="10"/>
  <c r="CX17" i="9"/>
  <c r="O14" i="35" s="1"/>
  <c r="CF17" i="9"/>
  <c r="CJ17" i="9" s="1"/>
  <c r="CJ796" i="10"/>
  <c r="CK796" i="10"/>
  <c r="AM211" i="7"/>
  <c r="AP211" i="3" s="1"/>
  <c r="AO211" i="3"/>
  <c r="CI526" i="10"/>
  <c r="CH526" i="10"/>
  <c r="CF526" i="10"/>
  <c r="CL526" i="10" s="1"/>
  <c r="CJ526" i="10"/>
  <c r="CK526" i="10"/>
  <c r="CG526" i="10"/>
  <c r="CK603" i="10"/>
  <c r="CG540" i="10"/>
  <c r="K358" i="34"/>
  <c r="CF539" i="10"/>
  <c r="CL539" i="10" s="1"/>
  <c r="CF874" i="10"/>
  <c r="CL874" i="10" s="1"/>
  <c r="CI887" i="10"/>
  <c r="CK512" i="10"/>
  <c r="J234" i="34"/>
  <c r="BR752" i="10"/>
  <c r="CH6" i="9"/>
  <c r="BP588" i="10"/>
  <c r="J588" i="10" s="1"/>
  <c r="CP40" i="9"/>
  <c r="CF665" i="10"/>
  <c r="CL665" i="10" s="1"/>
  <c r="CJ749" i="10"/>
  <c r="CI749" i="10"/>
  <c r="AO199" i="3"/>
  <c r="AM199" i="10"/>
  <c r="AN199" i="10" s="1"/>
  <c r="AP199" i="10" s="1"/>
  <c r="AM199" i="7"/>
  <c r="AP199" i="3" s="1"/>
  <c r="BC501" i="10"/>
  <c r="J38" i="35"/>
  <c r="CM41" i="9"/>
  <c r="CO41" i="9"/>
  <c r="CP41" i="9"/>
  <c r="CN41" i="9"/>
  <c r="CL41" i="9"/>
  <c r="CQ41" i="9" s="1"/>
  <c r="CB916" i="10"/>
  <c r="K418" i="34"/>
  <c r="CA916" i="10"/>
  <c r="AO156" i="3"/>
  <c r="CF603" i="10"/>
  <c r="CL603" i="10" s="1"/>
  <c r="J42" i="34"/>
  <c r="AO404" i="3"/>
  <c r="CI539" i="10"/>
  <c r="J28" i="34"/>
  <c r="CH44" i="9"/>
  <c r="AO271" i="3"/>
  <c r="CK887" i="10"/>
  <c r="CB826" i="10"/>
  <c r="J14" i="34"/>
  <c r="CI6" i="9"/>
  <c r="CH576" i="10"/>
  <c r="CL40" i="9"/>
  <c r="CQ40" i="9" s="1"/>
  <c r="CG665" i="10"/>
  <c r="CD515" i="10"/>
  <c r="S802" i="10"/>
  <c r="J93" i="34"/>
  <c r="CG591" i="10"/>
  <c r="AM156" i="10"/>
  <c r="AN156" i="10" s="1"/>
  <c r="AP156" i="10" s="1"/>
  <c r="I11" i="17"/>
  <c r="K11" i="17" s="1"/>
  <c r="CD687" i="10"/>
  <c r="BP512" i="10"/>
  <c r="BR512" i="10" s="1"/>
  <c r="CI603" i="10"/>
  <c r="AM404" i="7"/>
  <c r="AP404" i="3" s="1"/>
  <c r="CI522" i="10"/>
  <c r="CG539" i="10"/>
  <c r="S681" i="10"/>
  <c r="AM271" i="7"/>
  <c r="AP271" i="3" s="1"/>
  <c r="CG852" i="10"/>
  <c r="CK576" i="10"/>
  <c r="CO40" i="9"/>
  <c r="J167" i="34"/>
  <c r="CH702" i="10"/>
  <c r="CH911" i="10"/>
  <c r="CJ911" i="10"/>
  <c r="CC907" i="10"/>
  <c r="CA907" i="10"/>
  <c r="J236" i="34"/>
  <c r="CI734" i="10"/>
  <c r="AM314" i="10"/>
  <c r="AN314" i="10" s="1"/>
  <c r="AP314" i="10" s="1"/>
  <c r="AQ314" i="10" s="1"/>
  <c r="AO314" i="3"/>
  <c r="AM374" i="10"/>
  <c r="AN374" i="10" s="1"/>
  <c r="AP374" i="10" s="1"/>
  <c r="AQ374" i="10" s="1"/>
  <c r="AO374" i="3"/>
  <c r="AM374" i="7"/>
  <c r="AP374" i="3" s="1"/>
  <c r="J21" i="34"/>
  <c r="CF519" i="10"/>
  <c r="CL519" i="10" s="1"/>
  <c r="BZ676" i="10"/>
  <c r="CD676" i="10" s="1"/>
  <c r="J863" i="10"/>
  <c r="BR863" i="10"/>
  <c r="BC581" i="10"/>
  <c r="BP581" i="10"/>
  <c r="J581" i="10" s="1"/>
  <c r="BF581" i="10" s="1"/>
  <c r="BH581" i="10" s="1"/>
  <c r="AM346" i="10"/>
  <c r="AN346" i="10" s="1"/>
  <c r="AM346" i="7"/>
  <c r="AP346" i="3" s="1"/>
  <c r="AO346" i="3"/>
  <c r="J129" i="34"/>
  <c r="CI627" i="10"/>
  <c r="CK627" i="10"/>
  <c r="CJ627" i="10"/>
  <c r="CH627" i="10"/>
  <c r="CF627" i="10"/>
  <c r="CL627" i="10" s="1"/>
  <c r="AM113" i="10"/>
  <c r="AN113" i="10" s="1"/>
  <c r="AP113" i="10" s="1"/>
  <c r="AM113" i="7"/>
  <c r="AP113" i="3" s="1"/>
  <c r="AO113" i="3"/>
  <c r="CG40" i="9"/>
  <c r="I37" i="35"/>
  <c r="CF40" i="9"/>
  <c r="CJ40" i="9" s="1"/>
  <c r="CI40" i="9"/>
  <c r="CI773" i="10"/>
  <c r="CF773" i="10"/>
  <c r="CL773" i="10" s="1"/>
  <c r="CK874" i="10"/>
  <c r="CJ874" i="10"/>
  <c r="CG874" i="10"/>
  <c r="CI874" i="10"/>
  <c r="CH874" i="10"/>
  <c r="CG773" i="10"/>
  <c r="BP742" i="10"/>
  <c r="BC655" i="10"/>
  <c r="BP655" i="10"/>
  <c r="BR655" i="10" s="1"/>
  <c r="K380" i="34"/>
  <c r="CC544" i="10"/>
  <c r="K46" i="34"/>
  <c r="CA544" i="10"/>
  <c r="BZ544" i="10"/>
  <c r="CD544" i="10" s="1"/>
  <c r="CR544" i="10"/>
  <c r="P46" i="34" s="1"/>
  <c r="CA722" i="10"/>
  <c r="J271" i="34"/>
  <c r="K114" i="34"/>
  <c r="CF501" i="10"/>
  <c r="CL501" i="10" s="1"/>
  <c r="BP680" i="10"/>
  <c r="J680" i="10" s="1"/>
  <c r="CB884" i="10"/>
  <c r="CN40" i="9"/>
  <c r="CR603" i="10"/>
  <c r="P105" i="34" s="1"/>
  <c r="K27" i="34"/>
  <c r="CC525" i="10"/>
  <c r="I14" i="17"/>
  <c r="K14" i="17" s="1"/>
  <c r="CF65" i="9"/>
  <c r="CK522" i="10"/>
  <c r="CH636" i="10"/>
  <c r="CI660" i="10"/>
  <c r="S569" i="10"/>
  <c r="CI28" i="9"/>
  <c r="CH852" i="10"/>
  <c r="BC848" i="10"/>
  <c r="BP848" i="10"/>
  <c r="BR848" i="10" s="1"/>
  <c r="CF576" i="10"/>
  <c r="CL576" i="10" s="1"/>
  <c r="CM40" i="9"/>
  <c r="AO44" i="3"/>
  <c r="BZ863" i="10"/>
  <c r="CD863" i="10" s="1"/>
  <c r="CJ916" i="10"/>
  <c r="J418" i="34"/>
  <c r="CH916" i="10"/>
  <c r="CG916" i="10"/>
  <c r="J118" i="34"/>
  <c r="CJ616" i="10"/>
  <c r="CF616" i="10"/>
  <c r="CL616" i="10" s="1"/>
  <c r="CG616" i="10"/>
  <c r="CK616" i="10"/>
  <c r="CF796" i="10"/>
  <c r="CL796" i="10" s="1"/>
  <c r="CG65" i="9"/>
  <c r="J105" i="34"/>
  <c r="J24" i="34"/>
  <c r="CF636" i="10"/>
  <c r="CL636" i="10" s="1"/>
  <c r="CG660" i="10"/>
  <c r="CK916" i="10"/>
  <c r="S830" i="10"/>
  <c r="CK539" i="10"/>
  <c r="CH40" i="9"/>
  <c r="CG28" i="9"/>
  <c r="CI852" i="10"/>
  <c r="CJ576" i="10"/>
  <c r="AM44" i="7"/>
  <c r="AP44" i="3" s="1"/>
  <c r="CA863" i="10"/>
  <c r="AO74" i="3"/>
  <c r="CH632" i="10"/>
  <c r="CF632" i="10"/>
  <c r="CL632" i="10" s="1"/>
  <c r="AO232" i="7"/>
  <c r="AR232" i="3" s="1"/>
  <c r="CG796" i="10"/>
  <c r="CI65" i="9"/>
  <c r="CB524" i="10"/>
  <c r="S630" i="10"/>
  <c r="CJ660" i="10"/>
  <c r="CF916" i="10"/>
  <c r="CL916" i="10" s="1"/>
  <c r="BC531" i="10"/>
  <c r="BP531" i="10"/>
  <c r="BR531" i="10" s="1"/>
  <c r="J41" i="34"/>
  <c r="BZ576" i="10"/>
  <c r="CD576" i="10" s="1"/>
  <c r="CJ634" i="10"/>
  <c r="CF28" i="9"/>
  <c r="CJ28" i="9" s="1"/>
  <c r="CJ852" i="10"/>
  <c r="CI576" i="10"/>
  <c r="BR506" i="10"/>
  <c r="CB863" i="10"/>
  <c r="AM74" i="7"/>
  <c r="AP74" i="3" s="1"/>
  <c r="CP75" i="9"/>
  <c r="J72" i="35"/>
  <c r="CO75" i="9"/>
  <c r="CN75" i="9"/>
  <c r="CL75" i="9"/>
  <c r="CQ75" i="9" s="1"/>
  <c r="K361" i="34"/>
  <c r="BZ859" i="10"/>
  <c r="CB780" i="10"/>
  <c r="BZ780" i="10"/>
  <c r="CD780" i="10" s="1"/>
  <c r="CC780" i="10"/>
  <c r="CA780" i="10"/>
  <c r="CG593" i="10"/>
  <c r="AO171" i="3"/>
  <c r="CK593" i="10"/>
  <c r="AM172" i="10"/>
  <c r="AN172" i="10" s="1"/>
  <c r="AP172" i="10" s="1"/>
  <c r="AO172" i="3"/>
  <c r="AM172" i="7"/>
  <c r="AP172" i="3" s="1"/>
  <c r="S861" i="10"/>
  <c r="CA878" i="10"/>
  <c r="BC647" i="10"/>
  <c r="BP647" i="10"/>
  <c r="J95" i="34"/>
  <c r="K118" i="34"/>
  <c r="CA616" i="10"/>
  <c r="CC616" i="10"/>
  <c r="CB616" i="10"/>
  <c r="BZ616" i="10"/>
  <c r="CD616" i="10" s="1"/>
  <c r="J110" i="34"/>
  <c r="BC678" i="10"/>
  <c r="BP678" i="10"/>
  <c r="BR678" i="10" s="1"/>
  <c r="CC878" i="10"/>
  <c r="CJ667" i="10"/>
  <c r="CG667" i="10"/>
  <c r="CI667" i="10"/>
  <c r="CK667" i="10"/>
  <c r="CH667" i="10"/>
  <c r="CF667" i="10"/>
  <c r="CL667" i="10" s="1"/>
  <c r="AM135" i="7"/>
  <c r="AP135" i="3" s="1"/>
  <c r="AO135" i="3"/>
  <c r="AM181" i="7"/>
  <c r="AP181" i="3" s="1"/>
  <c r="AO181" i="3"/>
  <c r="AM234" i="10"/>
  <c r="AN234" i="10" s="1"/>
  <c r="AP234" i="10" s="1"/>
  <c r="AR234" i="10" s="1"/>
  <c r="AO234" i="3"/>
  <c r="CI540" i="10"/>
  <c r="AM306" i="7"/>
  <c r="AP306" i="3" s="1"/>
  <c r="K189" i="34"/>
  <c r="CP53" i="9"/>
  <c r="CF512" i="10"/>
  <c r="CL512" i="10" s="1"/>
  <c r="CC722" i="10"/>
  <c r="CH769" i="10"/>
  <c r="CA612" i="10"/>
  <c r="CC600" i="10"/>
  <c r="CA600" i="10"/>
  <c r="J46" i="34"/>
  <c r="CJ544" i="10"/>
  <c r="CK544" i="10"/>
  <c r="CG544" i="10"/>
  <c r="CI544" i="10"/>
  <c r="CH544" i="10"/>
  <c r="J275" i="34"/>
  <c r="CK540" i="10"/>
  <c r="BZ722" i="10"/>
  <c r="CK769" i="10"/>
  <c r="CB612" i="10"/>
  <c r="CG702" i="10"/>
  <c r="CK702" i="10"/>
  <c r="CF702" i="10"/>
  <c r="CL702" i="10" s="1"/>
  <c r="CI702" i="10"/>
  <c r="CJ702" i="10"/>
  <c r="CJ540" i="10"/>
  <c r="BC556" i="10"/>
  <c r="BP556" i="10"/>
  <c r="J556" i="10" s="1"/>
  <c r="CC884" i="10"/>
  <c r="BC913" i="10"/>
  <c r="BP913" i="10"/>
  <c r="AM331" i="10"/>
  <c r="AN331" i="10" s="1"/>
  <c r="AP331" i="10" s="1"/>
  <c r="AO331" i="3"/>
  <c r="J151" i="34"/>
  <c r="CF649" i="10"/>
  <c r="CL649" i="10" s="1"/>
  <c r="CK649" i="10"/>
  <c r="CI649" i="10"/>
  <c r="CH649" i="10"/>
  <c r="CJ649" i="10"/>
  <c r="CI851" i="10"/>
  <c r="J353" i="34"/>
  <c r="CH851" i="10"/>
  <c r="CJ851" i="10"/>
  <c r="CK851" i="10"/>
  <c r="J244" i="34"/>
  <c r="CJ742" i="10"/>
  <c r="CF742" i="10"/>
  <c r="CL742" i="10" s="1"/>
  <c r="CJ603" i="10"/>
  <c r="CG627" i="10"/>
  <c r="BC860" i="10"/>
  <c r="BP860" i="10"/>
  <c r="K224" i="34"/>
  <c r="CI501" i="10"/>
  <c r="CR744" i="10"/>
  <c r="P246" i="34" s="1"/>
  <c r="BP703" i="10"/>
  <c r="J703" i="10" s="1"/>
  <c r="BF703" i="10" s="1"/>
  <c r="BH703" i="10" s="1"/>
  <c r="CJ539" i="10"/>
  <c r="CC826" i="10"/>
  <c r="CA826" i="10"/>
  <c r="CH796" i="10"/>
  <c r="I62" i="35"/>
  <c r="K26" i="34"/>
  <c r="CH660" i="10"/>
  <c r="CF600" i="10"/>
  <c r="CL600" i="10" s="1"/>
  <c r="CH28" i="9"/>
  <c r="CK852" i="10"/>
  <c r="BP578" i="10"/>
  <c r="J578" i="10" s="1"/>
  <c r="BP571" i="10"/>
  <c r="BR571" i="10" s="1"/>
  <c r="J78" i="34"/>
  <c r="K365" i="34"/>
  <c r="S501" i="10"/>
  <c r="CI796" i="10"/>
  <c r="BZ531" i="10"/>
  <c r="CD531" i="10" s="1"/>
  <c r="CK660" i="10"/>
  <c r="AM135" i="10"/>
  <c r="AN135" i="10" s="1"/>
  <c r="AP135" i="10" s="1"/>
  <c r="AR135" i="10" s="1"/>
  <c r="J169" i="34"/>
  <c r="CH600" i="10"/>
  <c r="CF852" i="10"/>
  <c r="CL852" i="10" s="1"/>
  <c r="G221" i="8"/>
  <c r="CA528" i="10"/>
  <c r="AO158" i="3"/>
  <c r="AM395" i="10"/>
  <c r="AN395" i="10" s="1"/>
  <c r="AP395" i="10" s="1"/>
  <c r="AO395" i="3"/>
  <c r="BZ528" i="10"/>
  <c r="AM158" i="7"/>
  <c r="AP158" i="3" s="1"/>
  <c r="J79" i="34"/>
  <c r="CJ577" i="10"/>
  <c r="CG577" i="10"/>
  <c r="CF577" i="10"/>
  <c r="CL577" i="10" s="1"/>
  <c r="BZ694" i="10"/>
  <c r="K196" i="34"/>
  <c r="K178" i="34"/>
  <c r="CB676" i="10"/>
  <c r="AM378" i="7"/>
  <c r="AP378" i="3" s="1"/>
  <c r="AO378" i="3"/>
  <c r="AM378" i="10"/>
  <c r="AN378" i="10" s="1"/>
  <c r="AP378" i="10" s="1"/>
  <c r="BC888" i="10"/>
  <c r="BP888" i="10"/>
  <c r="CR682" i="10"/>
  <c r="P184" i="34" s="1"/>
  <c r="CB682" i="10"/>
  <c r="BZ682" i="10"/>
  <c r="CA682" i="10"/>
  <c r="CC682" i="10"/>
  <c r="CC709" i="10"/>
  <c r="CA709" i="10"/>
  <c r="S832" i="10"/>
  <c r="BC724" i="10"/>
  <c r="BP724" i="10"/>
  <c r="BR724" i="10" s="1"/>
  <c r="CC612" i="10"/>
  <c r="BH576" i="10"/>
  <c r="AM75" i="10"/>
  <c r="AN75" i="10" s="1"/>
  <c r="AP75" i="10" s="1"/>
  <c r="AR75" i="10" s="1"/>
  <c r="AM75" i="7"/>
  <c r="AP75" i="3" s="1"/>
  <c r="AO75" i="3"/>
  <c r="AM214" i="7"/>
  <c r="AP214" i="3" s="1"/>
  <c r="AM214" i="10"/>
  <c r="AN214" i="10" s="1"/>
  <c r="AP214" i="10" s="1"/>
  <c r="AQ214" i="10" s="1"/>
  <c r="AO214" i="3"/>
  <c r="CF598" i="10"/>
  <c r="CL598" i="10" s="1"/>
  <c r="CK598" i="10"/>
  <c r="CI598" i="10"/>
  <c r="CG598" i="10"/>
  <c r="CH598" i="10"/>
  <c r="AM262" i="10"/>
  <c r="AN262" i="10" s="1"/>
  <c r="AP262" i="10" s="1"/>
  <c r="CH512" i="10"/>
  <c r="BC597" i="10"/>
  <c r="BP597" i="10"/>
  <c r="K38" i="34"/>
  <c r="CB536" i="10"/>
  <c r="CC536" i="10"/>
  <c r="CA536" i="10"/>
  <c r="BC725" i="10"/>
  <c r="BP725" i="10"/>
  <c r="J725" i="10" s="1"/>
  <c r="AO48" i="3"/>
  <c r="CF660" i="10"/>
  <c r="CL660" i="10" s="1"/>
  <c r="CI879" i="10"/>
  <c r="AO380" i="3"/>
  <c r="J102" i="34"/>
  <c r="AM234" i="7"/>
  <c r="AP234" i="3" s="1"/>
  <c r="BC761" i="10"/>
  <c r="BP761" i="10"/>
  <c r="BR761" i="10" s="1"/>
  <c r="CB531" i="10"/>
  <c r="CJ766" i="10"/>
  <c r="BZ642" i="10"/>
  <c r="BC743" i="10"/>
  <c r="BP743" i="10"/>
  <c r="J743" i="10" s="1"/>
  <c r="BF743" i="10" s="1"/>
  <c r="BH743" i="10" s="1"/>
  <c r="CG879" i="10"/>
  <c r="AM181" i="10"/>
  <c r="AN181" i="10" s="1"/>
  <c r="AP181" i="10" s="1"/>
  <c r="AM380" i="7"/>
  <c r="AP380" i="3" s="1"/>
  <c r="CX40" i="9"/>
  <c r="O37" i="35" s="1"/>
  <c r="CF688" i="10"/>
  <c r="CL688" i="10" s="1"/>
  <c r="AM112" i="7"/>
  <c r="AP112" i="3" s="1"/>
  <c r="CF593" i="10"/>
  <c r="CL593" i="10" s="1"/>
  <c r="CC676" i="10"/>
  <c r="BZ557" i="10"/>
  <c r="CD557" i="10" s="1"/>
  <c r="CB642" i="10"/>
  <c r="CR806" i="10"/>
  <c r="P308" i="34" s="1"/>
  <c r="CJ591" i="10"/>
  <c r="CJ682" i="10"/>
  <c r="CI688" i="10"/>
  <c r="CK570" i="10"/>
  <c r="K30" i="34"/>
  <c r="CD612" i="10"/>
  <c r="CB870" i="10"/>
  <c r="I16" i="17"/>
  <c r="K16" i="17" s="1"/>
  <c r="CJ30" i="9"/>
  <c r="CD848" i="10"/>
  <c r="BP667" i="10"/>
  <c r="AO229" i="3"/>
  <c r="J18" i="35"/>
  <c r="S730" i="10"/>
  <c r="BP756" i="10"/>
  <c r="AM102" i="10"/>
  <c r="AN102" i="10" s="1"/>
  <c r="AP102" i="10" s="1"/>
  <c r="AR102" i="10" s="1"/>
  <c r="S888" i="10"/>
  <c r="AM175" i="10"/>
  <c r="AN175" i="10" s="1"/>
  <c r="AP175" i="10" s="1"/>
  <c r="AO31" i="3"/>
  <c r="CK857" i="10"/>
  <c r="S605" i="10"/>
  <c r="BP549" i="10"/>
  <c r="J549" i="10" s="1"/>
  <c r="S635" i="10"/>
  <c r="CK552" i="10"/>
  <c r="AO308" i="7"/>
  <c r="AR308" i="3" s="1"/>
  <c r="CR526" i="10"/>
  <c r="P28" i="34" s="1"/>
  <c r="BP807" i="10"/>
  <c r="BR807" i="10" s="1"/>
  <c r="S583" i="10"/>
  <c r="S859" i="10"/>
  <c r="S669" i="10"/>
  <c r="S591" i="10"/>
  <c r="CH857" i="10"/>
  <c r="CD905" i="10"/>
  <c r="CG5" i="9"/>
  <c r="CJ552" i="10"/>
  <c r="I10" i="17"/>
  <c r="G229" i="8"/>
  <c r="CR913" i="10"/>
  <c r="P415" i="34" s="1"/>
  <c r="S734" i="10"/>
  <c r="S781" i="10"/>
  <c r="S778" i="10"/>
  <c r="CJ857" i="10"/>
  <c r="BH831" i="10"/>
  <c r="AM282" i="10"/>
  <c r="AN282" i="10" s="1"/>
  <c r="AP282" i="10" s="1"/>
  <c r="AQ282" i="10" s="1"/>
  <c r="AO282" i="3"/>
  <c r="J286" i="34"/>
  <c r="CH784" i="10"/>
  <c r="CF784" i="10"/>
  <c r="CL784" i="10" s="1"/>
  <c r="CJ784" i="10"/>
  <c r="BZ791" i="10"/>
  <c r="K293" i="34"/>
  <c r="CB791" i="10"/>
  <c r="CR569" i="10"/>
  <c r="P71" i="34" s="1"/>
  <c r="CB569" i="10"/>
  <c r="BC721" i="10"/>
  <c r="BP721" i="10"/>
  <c r="J721" i="10" s="1"/>
  <c r="BF721" i="10" s="1"/>
  <c r="BZ632" i="10"/>
  <c r="CA632" i="10"/>
  <c r="AM67" i="10"/>
  <c r="AN67" i="10" s="1"/>
  <c r="AP67" i="10" s="1"/>
  <c r="AM67" i="7"/>
  <c r="AP67" i="3" s="1"/>
  <c r="AO67" i="3"/>
  <c r="CI777" i="10"/>
  <c r="CG777" i="10"/>
  <c r="CI612" i="10"/>
  <c r="J114" i="34"/>
  <c r="CR612" i="10"/>
  <c r="P114" i="34" s="1"/>
  <c r="CH14" i="9"/>
  <c r="CF14" i="9"/>
  <c r="CJ14" i="9" s="1"/>
  <c r="K243" i="34"/>
  <c r="CA741" i="10"/>
  <c r="J8" i="35"/>
  <c r="S866" i="10"/>
  <c r="CF5" i="9"/>
  <c r="CF21" i="9"/>
  <c r="BZ731" i="10"/>
  <c r="CD731" i="10" s="1"/>
  <c r="CC731" i="10"/>
  <c r="CJ860" i="10"/>
  <c r="CG860" i="10"/>
  <c r="AM419" i="10"/>
  <c r="AN419" i="10" s="1"/>
  <c r="AP419" i="10" s="1"/>
  <c r="AQ419" i="10" s="1"/>
  <c r="AO419" i="3"/>
  <c r="AM419" i="7"/>
  <c r="AP419" i="3" s="1"/>
  <c r="CB645" i="10"/>
  <c r="BZ645" i="10"/>
  <c r="CD645" i="10" s="1"/>
  <c r="CA645" i="10"/>
  <c r="CC645" i="10"/>
  <c r="CJ841" i="10"/>
  <c r="CI841" i="10"/>
  <c r="CH841" i="10"/>
  <c r="CF841" i="10"/>
  <c r="CL841" i="10" s="1"/>
  <c r="CG841" i="10"/>
  <c r="J400" i="34"/>
  <c r="CF898" i="10"/>
  <c r="CL898" i="10" s="1"/>
  <c r="CG807" i="10"/>
  <c r="CG895" i="10"/>
  <c r="CI14" i="9"/>
  <c r="CK784" i="10"/>
  <c r="BC585" i="10"/>
  <c r="BP585" i="10"/>
  <c r="J585" i="10" s="1"/>
  <c r="BP885" i="10"/>
  <c r="J885" i="10" s="1"/>
  <c r="CI551" i="10"/>
  <c r="CG823" i="10"/>
  <c r="BP778" i="10"/>
  <c r="BR778" i="10" s="1"/>
  <c r="CR541" i="10"/>
  <c r="P43" i="34" s="1"/>
  <c r="CG831" i="10"/>
  <c r="CI857" i="10"/>
  <c r="S697" i="10"/>
  <c r="CG898" i="10"/>
  <c r="CH5" i="9"/>
  <c r="CH21" i="9"/>
  <c r="CL43" i="9"/>
  <c r="CQ43" i="9" s="1"/>
  <c r="CO43" i="9"/>
  <c r="BC780" i="10"/>
  <c r="BP780" i="10"/>
  <c r="BZ543" i="10"/>
  <c r="CD543" i="10" s="1"/>
  <c r="CA543" i="10"/>
  <c r="CC543" i="10"/>
  <c r="K330" i="34"/>
  <c r="BZ828" i="10"/>
  <c r="K115" i="34"/>
  <c r="BZ613" i="10"/>
  <c r="CH502" i="10"/>
  <c r="CI502" i="10"/>
  <c r="CG502" i="10"/>
  <c r="CF502" i="10"/>
  <c r="CL502" i="10" s="1"/>
  <c r="AO49" i="3"/>
  <c r="AM49" i="7"/>
  <c r="AP49" i="3" s="1"/>
  <c r="CN52" i="9"/>
  <c r="CI898" i="10"/>
  <c r="BP626" i="10"/>
  <c r="J626" i="10" s="1"/>
  <c r="BP699" i="10"/>
  <c r="J699" i="10" s="1"/>
  <c r="CH923" i="10"/>
  <c r="CC516" i="10"/>
  <c r="K18" i="34"/>
  <c r="CA516" i="10"/>
  <c r="BZ516" i="10"/>
  <c r="CD516" i="10" s="1"/>
  <c r="CH879" i="10"/>
  <c r="CK879" i="10"/>
  <c r="CI869" i="10"/>
  <c r="CH869" i="10"/>
  <c r="CG869" i="10"/>
  <c r="CF869" i="10"/>
  <c r="CL869" i="10" s="1"/>
  <c r="CD784" i="10"/>
  <c r="CF807" i="10"/>
  <c r="CL807" i="10" s="1"/>
  <c r="CK895" i="10"/>
  <c r="K139" i="34"/>
  <c r="K134" i="34"/>
  <c r="CF60" i="9"/>
  <c r="BC694" i="10"/>
  <c r="BP694" i="10"/>
  <c r="J694" i="10" s="1"/>
  <c r="BF694" i="10" s="1"/>
  <c r="BH694" i="10" s="1"/>
  <c r="BC838" i="10"/>
  <c r="BP838" i="10"/>
  <c r="BR838" i="10" s="1"/>
  <c r="CA913" i="10"/>
  <c r="CJ636" i="10"/>
  <c r="CJ906" i="10"/>
  <c r="CH810" i="10"/>
  <c r="J381" i="34"/>
  <c r="CF612" i="10"/>
  <c r="CL612" i="10" s="1"/>
  <c r="CJ823" i="10"/>
  <c r="AO418" i="3"/>
  <c r="J49" i="35"/>
  <c r="S869" i="10"/>
  <c r="CC912" i="10"/>
  <c r="BP720" i="10"/>
  <c r="CK923" i="10"/>
  <c r="CI37" i="9"/>
  <c r="AO370" i="3"/>
  <c r="S754" i="10"/>
  <c r="AM198" i="7"/>
  <c r="AP198" i="3" s="1"/>
  <c r="AM198" i="10"/>
  <c r="AN198" i="10" s="1"/>
  <c r="AP198" i="10" s="1"/>
  <c r="AQ198" i="10" s="1"/>
  <c r="AO198" i="3"/>
  <c r="AM115" i="7"/>
  <c r="AP115" i="3" s="1"/>
  <c r="AM115" i="10"/>
  <c r="AN115" i="10" s="1"/>
  <c r="AP115" i="10" s="1"/>
  <c r="AQ115" i="10" s="1"/>
  <c r="CH671" i="10"/>
  <c r="CJ671" i="10"/>
  <c r="CG671" i="10"/>
  <c r="CK508" i="10"/>
  <c r="CF508" i="10"/>
  <c r="CL508" i="10" s="1"/>
  <c r="CG508" i="10"/>
  <c r="CH508" i="10"/>
  <c r="CI508" i="10"/>
  <c r="S553" i="10"/>
  <c r="J309" i="34"/>
  <c r="CF873" i="10"/>
  <c r="CL873" i="10" s="1"/>
  <c r="AM312" i="7"/>
  <c r="AP312" i="3" s="1"/>
  <c r="BP606" i="10"/>
  <c r="J606" i="10" s="1"/>
  <c r="BF606" i="10" s="1"/>
  <c r="J397" i="34"/>
  <c r="CH7" i="9"/>
  <c r="CI680" i="10"/>
  <c r="S532" i="10"/>
  <c r="I57" i="35"/>
  <c r="CB913" i="10"/>
  <c r="CK636" i="10"/>
  <c r="CH906" i="10"/>
  <c r="AO162" i="3"/>
  <c r="S641" i="10"/>
  <c r="S740" i="10"/>
  <c r="CF810" i="10"/>
  <c r="CL810" i="10" s="1"/>
  <c r="CG612" i="10"/>
  <c r="J325" i="34"/>
  <c r="BP802" i="10"/>
  <c r="BR802" i="10" s="1"/>
  <c r="AM418" i="7"/>
  <c r="AP418" i="3" s="1"/>
  <c r="CB912" i="10"/>
  <c r="AM282" i="7"/>
  <c r="AP282" i="3" s="1"/>
  <c r="CG923" i="10"/>
  <c r="CG36" i="9"/>
  <c r="AM370" i="10"/>
  <c r="AN370" i="10" s="1"/>
  <c r="AP370" i="10" s="1"/>
  <c r="AQ370" i="10" s="1"/>
  <c r="BP553" i="10"/>
  <c r="BR553" i="10" s="1"/>
  <c r="CG873" i="10"/>
  <c r="AM312" i="10"/>
  <c r="AN312" i="10" s="1"/>
  <c r="AP312" i="10" s="1"/>
  <c r="AQ312" i="10" s="1"/>
  <c r="CF7" i="9"/>
  <c r="CJ502" i="10"/>
  <c r="CJ680" i="10"/>
  <c r="BP609" i="10"/>
  <c r="BR609" i="10" s="1"/>
  <c r="BZ569" i="10"/>
  <c r="CC913" i="10"/>
  <c r="CG636" i="10"/>
  <c r="CI906" i="10"/>
  <c r="CG538" i="10"/>
  <c r="AM162" i="7"/>
  <c r="AP162" i="3" s="1"/>
  <c r="BC569" i="10"/>
  <c r="BP569" i="10"/>
  <c r="BR569" i="10" s="1"/>
  <c r="S636" i="10"/>
  <c r="CG810" i="10"/>
  <c r="S678" i="10"/>
  <c r="S521" i="10"/>
  <c r="CO46" i="9"/>
  <c r="CL10" i="9"/>
  <c r="CQ10" i="9" s="1"/>
  <c r="CA617" i="10"/>
  <c r="S779" i="10"/>
  <c r="CO14" i="9"/>
  <c r="S883" i="10"/>
  <c r="CH612" i="10"/>
  <c r="S574" i="10"/>
  <c r="CJ633" i="10"/>
  <c r="CK712" i="10"/>
  <c r="CI923" i="10"/>
  <c r="CI36" i="9"/>
  <c r="S576" i="10"/>
  <c r="CI587" i="10"/>
  <c r="J89" i="34"/>
  <c r="CJ587" i="10"/>
  <c r="CH587" i="10"/>
  <c r="CB732" i="10"/>
  <c r="BZ732" i="10"/>
  <c r="CD732" i="10" s="1"/>
  <c r="CA732" i="10"/>
  <c r="BC570" i="10"/>
  <c r="BP570" i="10"/>
  <c r="J570" i="10" s="1"/>
  <c r="AM37" i="10"/>
  <c r="AN37" i="10" s="1"/>
  <c r="AP37" i="10" s="1"/>
  <c r="I11" i="35"/>
  <c r="S557" i="10"/>
  <c r="BP794" i="10"/>
  <c r="CO52" i="9"/>
  <c r="C76" i="14"/>
  <c r="C73" i="14"/>
  <c r="CB519" i="10"/>
  <c r="CA519" i="10"/>
  <c r="CJ817" i="10"/>
  <c r="CI817" i="10"/>
  <c r="CJ807" i="10"/>
  <c r="CI686" i="10"/>
  <c r="CG21" i="9"/>
  <c r="AM253" i="10"/>
  <c r="AN253" i="10" s="1"/>
  <c r="AP253" i="10" s="1"/>
  <c r="AR253" i="10" s="1"/>
  <c r="AM253" i="7"/>
  <c r="AP253" i="3" s="1"/>
  <c r="K414" i="34"/>
  <c r="BZ912" i="10"/>
  <c r="CD912" i="10" s="1"/>
  <c r="J228" i="34"/>
  <c r="CF726" i="10"/>
  <c r="CL726" i="10" s="1"/>
  <c r="CH726" i="10"/>
  <c r="CG726" i="10"/>
  <c r="CI726" i="10"/>
  <c r="CF906" i="10"/>
  <c r="CL906" i="10" s="1"/>
  <c r="BR872" i="10"/>
  <c r="CJ612" i="10"/>
  <c r="CK823" i="10"/>
  <c r="CM52" i="9"/>
  <c r="BC869" i="10"/>
  <c r="BP869" i="10"/>
  <c r="BR869" i="10" s="1"/>
  <c r="CF923" i="10"/>
  <c r="CL923" i="10" s="1"/>
  <c r="I18" i="35"/>
  <c r="BZ654" i="10"/>
  <c r="CD654" i="10" s="1"/>
  <c r="CA654" i="10"/>
  <c r="CB654" i="10"/>
  <c r="CC654" i="10"/>
  <c r="AM308" i="7"/>
  <c r="AP308" i="3" s="1"/>
  <c r="CC632" i="10"/>
  <c r="CH60" i="9"/>
  <c r="CK612" i="10"/>
  <c r="CH823" i="10"/>
  <c r="CH873" i="10"/>
  <c r="CF777" i="10"/>
  <c r="CL777" i="10" s="1"/>
  <c r="BP517" i="10"/>
  <c r="BR517" i="10" s="1"/>
  <c r="CK502" i="10"/>
  <c r="CF680" i="10"/>
  <c r="CL680" i="10" s="1"/>
  <c r="CC569" i="10"/>
  <c r="BZ913" i="10"/>
  <c r="CD913" i="10" s="1"/>
  <c r="BC693" i="10"/>
  <c r="BP693" i="10"/>
  <c r="BR693" i="10" s="1"/>
  <c r="CI636" i="10"/>
  <c r="CK906" i="10"/>
  <c r="AM190" i="7"/>
  <c r="AP190" i="3" s="1"/>
  <c r="BP775" i="10"/>
  <c r="BR775" i="10" s="1"/>
  <c r="CK810" i="10"/>
  <c r="CM46" i="9"/>
  <c r="CN10" i="9"/>
  <c r="K119" i="34"/>
  <c r="BZ741" i="10"/>
  <c r="CD741" i="10" s="1"/>
  <c r="CM14" i="9"/>
  <c r="BC735" i="10"/>
  <c r="BP735" i="10"/>
  <c r="J735" i="10" s="1"/>
  <c r="BF735" i="10" s="1"/>
  <c r="BH735" i="10" s="1"/>
  <c r="CI712" i="10"/>
  <c r="L576" i="10"/>
  <c r="M576" i="10" s="1"/>
  <c r="CJ923" i="10"/>
  <c r="CG37" i="9"/>
  <c r="CF37" i="9"/>
  <c r="CH37" i="9"/>
  <c r="K378" i="34"/>
  <c r="CA876" i="10"/>
  <c r="CB876" i="10"/>
  <c r="CF815" i="10"/>
  <c r="CL815" i="10" s="1"/>
  <c r="CK815" i="10"/>
  <c r="CA793" i="10"/>
  <c r="BZ793" i="10"/>
  <c r="CD793" i="10" s="1"/>
  <c r="CJ873" i="10"/>
  <c r="CC876" i="10"/>
  <c r="CH777" i="10"/>
  <c r="CA828" i="10"/>
  <c r="J4" i="34"/>
  <c r="CK680" i="10"/>
  <c r="BZ734" i="10"/>
  <c r="CD734" i="10" s="1"/>
  <c r="CA569" i="10"/>
  <c r="K415" i="34"/>
  <c r="J408" i="34"/>
  <c r="AO190" i="3"/>
  <c r="J312" i="34"/>
  <c r="CK841" i="10"/>
  <c r="CN46" i="9"/>
  <c r="CO10" i="9"/>
  <c r="CB741" i="10"/>
  <c r="CN14" i="9"/>
  <c r="J10" i="34"/>
  <c r="BP887" i="10"/>
  <c r="BR887" i="10" s="1"/>
  <c r="CH712" i="10"/>
  <c r="BR708" i="10"/>
  <c r="CC656" i="10"/>
  <c r="CR528" i="10"/>
  <c r="P30" i="34" s="1"/>
  <c r="J41" i="35"/>
  <c r="CP44" i="9"/>
  <c r="CO44" i="9"/>
  <c r="CN44" i="9"/>
  <c r="CL44" i="9"/>
  <c r="CQ44" i="9" s="1"/>
  <c r="CI600" i="10"/>
  <c r="CK600" i="10"/>
  <c r="J389" i="34"/>
  <c r="CF887" i="10"/>
  <c r="CL887" i="10" s="1"/>
  <c r="CJ887" i="10"/>
  <c r="CG887" i="10"/>
  <c r="CK817" i="10"/>
  <c r="CK777" i="10"/>
  <c r="AM386" i="7"/>
  <c r="AP386" i="3" s="1"/>
  <c r="CC828" i="10"/>
  <c r="AM48" i="7"/>
  <c r="AP48" i="3" s="1"/>
  <c r="CG680" i="10"/>
  <c r="CA734" i="10"/>
  <c r="K71" i="34"/>
  <c r="S812" i="10"/>
  <c r="AM146" i="10"/>
  <c r="AN146" i="10" s="1"/>
  <c r="AP146" i="10" s="1"/>
  <c r="AR146" i="10" s="1"/>
  <c r="J343" i="34"/>
  <c r="CL46" i="9"/>
  <c r="CQ46" i="9" s="1"/>
  <c r="CP10" i="9"/>
  <c r="CC741" i="10"/>
  <c r="CP14" i="9"/>
  <c r="BP883" i="10"/>
  <c r="BR883" i="10" s="1"/>
  <c r="J134" i="34"/>
  <c r="S782" i="10"/>
  <c r="CG600" i="10"/>
  <c r="BP608" i="10"/>
  <c r="BR608" i="10" s="1"/>
  <c r="CG712" i="10"/>
  <c r="S708" i="10"/>
  <c r="BZ656" i="10"/>
  <c r="CC661" i="10"/>
  <c r="BP919" i="10"/>
  <c r="J919" i="10" s="1"/>
  <c r="BF919" i="10" s="1"/>
  <c r="BH919" i="10" s="1"/>
  <c r="CB731" i="10"/>
  <c r="CR904" i="10"/>
  <c r="P406" i="34" s="1"/>
  <c r="AO286" i="3"/>
  <c r="S601" i="10"/>
  <c r="AM409" i="10"/>
  <c r="AN409" i="10" s="1"/>
  <c r="AP409" i="10" s="1"/>
  <c r="AQ409" i="10" s="1"/>
  <c r="AM409" i="7"/>
  <c r="AP409" i="3" s="1"/>
  <c r="AO409" i="3"/>
  <c r="AO88" i="3"/>
  <c r="AM88" i="10"/>
  <c r="AN88" i="10" s="1"/>
  <c r="AP88" i="10" s="1"/>
  <c r="AQ88" i="10" s="1"/>
  <c r="CJ775" i="10"/>
  <c r="J6" i="35"/>
  <c r="CP9" i="9"/>
  <c r="CN9" i="9"/>
  <c r="AO37" i="3"/>
  <c r="BP867" i="10"/>
  <c r="BR867" i="10" s="1"/>
  <c r="CL9" i="9"/>
  <c r="CQ9" i="9" s="1"/>
  <c r="J58" i="35"/>
  <c r="CP61" i="9"/>
  <c r="CN61" i="9"/>
  <c r="CM61" i="9"/>
  <c r="CI848" i="10"/>
  <c r="CG848" i="10"/>
  <c r="CJ848" i="10"/>
  <c r="CR848" i="10"/>
  <c r="P350" i="34" s="1"/>
  <c r="CF686" i="10"/>
  <c r="CL686" i="10" s="1"/>
  <c r="CK686" i="10"/>
  <c r="CG686" i="10"/>
  <c r="CH686" i="10"/>
  <c r="CC732" i="10"/>
  <c r="CR873" i="10"/>
  <c r="P375" i="34" s="1"/>
  <c r="CI873" i="10"/>
  <c r="CH775" i="10"/>
  <c r="S554" i="10"/>
  <c r="CG633" i="10"/>
  <c r="CI633" i="10"/>
  <c r="CA517" i="10"/>
  <c r="CC517" i="10"/>
  <c r="AM46" i="10"/>
  <c r="AN46" i="10" s="1"/>
  <c r="AP46" i="10" s="1"/>
  <c r="AQ46" i="10" s="1"/>
  <c r="AM46" i="7"/>
  <c r="AP46" i="3" s="1"/>
  <c r="AO46" i="3"/>
  <c r="CK904" i="10"/>
  <c r="CG904" i="10"/>
  <c r="S704" i="10"/>
  <c r="BC589" i="10"/>
  <c r="BP589" i="10"/>
  <c r="CN11" i="9"/>
  <c r="CA541" i="10"/>
  <c r="CC541" i="10"/>
  <c r="CB541" i="10"/>
  <c r="BZ541" i="10"/>
  <c r="CD541" i="10" s="1"/>
  <c r="CR831" i="10"/>
  <c r="P333" i="34" s="1"/>
  <c r="J333" i="34"/>
  <c r="CH831" i="10"/>
  <c r="CK831" i="10"/>
  <c r="CJ831" i="10"/>
  <c r="CI831" i="10"/>
  <c r="CD828" i="10"/>
  <c r="CL11" i="9"/>
  <c r="CQ11" i="9" s="1"/>
  <c r="CO11" i="9"/>
  <c r="CB896" i="10"/>
  <c r="CA896" i="10"/>
  <c r="BZ896" i="10"/>
  <c r="CX21" i="9"/>
  <c r="O18" i="35" s="1"/>
  <c r="CA630" i="10"/>
  <c r="CB630" i="10"/>
  <c r="BZ630" i="10"/>
  <c r="CD630" i="10" s="1"/>
  <c r="CC630" i="10"/>
  <c r="CO9" i="9"/>
  <c r="I12" i="17"/>
  <c r="K12" i="17" s="1"/>
  <c r="CI807" i="10"/>
  <c r="AO308" i="3"/>
  <c r="S776" i="10"/>
  <c r="CI784" i="10"/>
  <c r="BP922" i="10"/>
  <c r="K398" i="34"/>
  <c r="CI823" i="10"/>
  <c r="CH898" i="10"/>
  <c r="BC524" i="10"/>
  <c r="BP524" i="10"/>
  <c r="J524" i="10" s="1"/>
  <c r="BF524" i="10" s="1"/>
  <c r="BH524" i="10" s="1"/>
  <c r="CI5" i="9"/>
  <c r="CK844" i="10"/>
  <c r="CJ844" i="10"/>
  <c r="CI844" i="10"/>
  <c r="CH844" i="10"/>
  <c r="CG844" i="10"/>
  <c r="CF844" i="10"/>
  <c r="CL844" i="10" s="1"/>
  <c r="CM9" i="9"/>
  <c r="S511" i="10"/>
  <c r="BC584" i="10"/>
  <c r="BP584" i="10"/>
  <c r="J584" i="10" s="1"/>
  <c r="BF584" i="10" s="1"/>
  <c r="BH584" i="10" s="1"/>
  <c r="CJ62" i="9"/>
  <c r="I68" i="35"/>
  <c r="CG71" i="9"/>
  <c r="AM77" i="7"/>
  <c r="AP77" i="3" s="1"/>
  <c r="AO77" i="3"/>
  <c r="AM77" i="10"/>
  <c r="AN77" i="10" s="1"/>
  <c r="AP77" i="10" s="1"/>
  <c r="AR77" i="10" s="1"/>
  <c r="S723" i="10"/>
  <c r="BC827" i="10"/>
  <c r="BP827" i="10"/>
  <c r="BR827" i="10" s="1"/>
  <c r="BR647" i="10"/>
  <c r="J647" i="10"/>
  <c r="BF647" i="10" s="1"/>
  <c r="BH647" i="10" s="1"/>
  <c r="I4" i="35"/>
  <c r="CI7" i="9"/>
  <c r="AM308" i="10"/>
  <c r="AN308" i="10" s="1"/>
  <c r="AP308" i="10" s="1"/>
  <c r="CG784" i="10"/>
  <c r="BP777" i="10"/>
  <c r="BR777" i="10" s="1"/>
  <c r="CP52" i="9"/>
  <c r="CJ898" i="10"/>
  <c r="AM213" i="10"/>
  <c r="AN213" i="10" s="1"/>
  <c r="AP213" i="10" s="1"/>
  <c r="AO213" i="3"/>
  <c r="CB632" i="10"/>
  <c r="CK898" i="10"/>
  <c r="CK807" i="10"/>
  <c r="CI895" i="10"/>
  <c r="CD562" i="10"/>
  <c r="CG906" i="10"/>
  <c r="CD569" i="10"/>
  <c r="J375" i="34"/>
  <c r="CF817" i="10"/>
  <c r="CL817" i="10" s="1"/>
  <c r="AO386" i="3"/>
  <c r="CB828" i="10"/>
  <c r="CH680" i="10"/>
  <c r="CH904" i="10"/>
  <c r="CL14" i="9"/>
  <c r="CQ14" i="9" s="1"/>
  <c r="BZ517" i="10"/>
  <c r="CD517" i="10" s="1"/>
  <c r="BP905" i="10"/>
  <c r="S673" i="10"/>
  <c r="CA656" i="10"/>
  <c r="AM49" i="10"/>
  <c r="AN49" i="10" s="1"/>
  <c r="AP49" i="10" s="1"/>
  <c r="AQ49" i="10" s="1"/>
  <c r="CB661" i="10"/>
  <c r="CN43" i="9"/>
  <c r="CA731" i="10"/>
  <c r="CR565" i="10"/>
  <c r="P67" i="34" s="1"/>
  <c r="CB904" i="10"/>
  <c r="AM286" i="7"/>
  <c r="AP286" i="3" s="1"/>
  <c r="J279" i="34"/>
  <c r="CH848" i="10"/>
  <c r="K236" i="34"/>
  <c r="CI904" i="10"/>
  <c r="BC684" i="10"/>
  <c r="BP684" i="10"/>
  <c r="J684" i="10" s="1"/>
  <c r="BC656" i="10"/>
  <c r="BP656" i="10"/>
  <c r="BR656" i="10" s="1"/>
  <c r="E285" i="8"/>
  <c r="CA524" i="10"/>
  <c r="CN21" i="9"/>
  <c r="CJ904" i="10"/>
  <c r="CA557" i="10"/>
  <c r="CA620" i="10"/>
  <c r="BP665" i="10"/>
  <c r="J665" i="10" s="1"/>
  <c r="CJ815" i="10"/>
  <c r="S628" i="10"/>
  <c r="CB793" i="10"/>
  <c r="BP846" i="10"/>
  <c r="BR846" i="10" s="1"/>
  <c r="CG775" i="10"/>
  <c r="S895" i="10"/>
  <c r="K158" i="34"/>
  <c r="CJ726" i="10"/>
  <c r="AM171" i="10"/>
  <c r="AN171" i="10" s="1"/>
  <c r="AP171" i="10" s="1"/>
  <c r="AQ171" i="10" s="1"/>
  <c r="S801" i="10"/>
  <c r="BZ661" i="10"/>
  <c r="CD661" i="10" s="1"/>
  <c r="CP43" i="9"/>
  <c r="CA791" i="10"/>
  <c r="BZ565" i="10"/>
  <c r="CD565" i="10" s="1"/>
  <c r="CC904" i="10"/>
  <c r="BP696" i="10"/>
  <c r="J696" i="10" s="1"/>
  <c r="L696" i="10" s="1"/>
  <c r="M696" i="10" s="1"/>
  <c r="AO232" i="3"/>
  <c r="J319" i="34"/>
  <c r="CC524" i="10"/>
  <c r="CI71" i="9"/>
  <c r="J350" i="34"/>
  <c r="CK589" i="10"/>
  <c r="CJ869" i="10"/>
  <c r="CL21" i="9"/>
  <c r="CQ21" i="9" s="1"/>
  <c r="J406" i="34"/>
  <c r="CB557" i="10"/>
  <c r="CB620" i="10"/>
  <c r="S660" i="10"/>
  <c r="BP704" i="10"/>
  <c r="BR704" i="10" s="1"/>
  <c r="CD903" i="10"/>
  <c r="CK671" i="10"/>
  <c r="CB543" i="10"/>
  <c r="CA884" i="10"/>
  <c r="BC781" i="10"/>
  <c r="BP781" i="10"/>
  <c r="BR781" i="10" s="1"/>
  <c r="S803" i="10"/>
  <c r="CG815" i="10"/>
  <c r="CC793" i="10"/>
  <c r="CF775" i="10"/>
  <c r="CL775" i="10" s="1"/>
  <c r="S549" i="10"/>
  <c r="CR732" i="10"/>
  <c r="P234" i="34" s="1"/>
  <c r="AO89" i="3"/>
  <c r="K163" i="34"/>
  <c r="J40" i="35"/>
  <c r="CC791" i="10"/>
  <c r="CC565" i="10"/>
  <c r="K406" i="34"/>
  <c r="AO230" i="3"/>
  <c r="BC762" i="10"/>
  <c r="BP762" i="10"/>
  <c r="BR762" i="10" s="1"/>
  <c r="BR824" i="10"/>
  <c r="J346" i="34"/>
  <c r="CJ686" i="10"/>
  <c r="I33" i="35"/>
  <c r="CF36" i="9"/>
  <c r="CJ36" i="9" s="1"/>
  <c r="CJ777" i="10"/>
  <c r="CF848" i="10"/>
  <c r="CL848" i="10" s="1"/>
  <c r="S505" i="10"/>
  <c r="AO328" i="3"/>
  <c r="CP46" i="9"/>
  <c r="CM10" i="9"/>
  <c r="CJ712" i="10"/>
  <c r="CR620" i="10"/>
  <c r="P122" i="34" s="1"/>
  <c r="S725" i="10"/>
  <c r="CG817" i="10"/>
  <c r="CF71" i="9"/>
  <c r="CJ71" i="9" s="1"/>
  <c r="BZ620" i="10"/>
  <c r="CD620" i="10" s="1"/>
  <c r="BC891" i="10"/>
  <c r="BP891" i="10"/>
  <c r="AM328" i="10"/>
  <c r="AN328" i="10" s="1"/>
  <c r="AP328" i="10" s="1"/>
  <c r="AQ328" i="10" s="1"/>
  <c r="K19" i="34"/>
  <c r="BP518" i="10"/>
  <c r="J518" i="10" s="1"/>
  <c r="CH815" i="10"/>
  <c r="J214" i="34"/>
  <c r="J824" i="10"/>
  <c r="L824" i="10" s="1"/>
  <c r="CB656" i="10"/>
  <c r="CK726" i="10"/>
  <c r="CM43" i="9"/>
  <c r="K233" i="34"/>
  <c r="CB565" i="10"/>
  <c r="BZ904" i="10"/>
  <c r="CD904" i="10" s="1"/>
  <c r="BC718" i="10"/>
  <c r="BP718" i="10"/>
  <c r="BR576" i="10"/>
  <c r="CH817" i="10"/>
  <c r="CH71" i="9"/>
  <c r="CK848" i="10"/>
  <c r="CH589" i="10"/>
  <c r="CK869" i="10"/>
  <c r="BP523" i="10"/>
  <c r="BR523" i="10" s="1"/>
  <c r="BC858" i="10"/>
  <c r="BP858" i="10"/>
  <c r="BR858" i="10" s="1"/>
  <c r="BR555" i="10"/>
  <c r="CI671" i="10"/>
  <c r="AM232" i="10"/>
  <c r="AN232" i="10" s="1"/>
  <c r="AP232" i="10" s="1"/>
  <c r="AR232" i="10" s="1"/>
  <c r="S537" i="10"/>
  <c r="CL61" i="9"/>
  <c r="CQ61" i="9" s="1"/>
  <c r="CR784" i="10"/>
  <c r="P286" i="34" s="1"/>
  <c r="J371" i="34"/>
  <c r="S922" i="10"/>
  <c r="S852" i="10"/>
  <c r="CM21" i="9"/>
  <c r="K59" i="34"/>
  <c r="S642" i="10"/>
  <c r="CF671" i="10"/>
  <c r="CL671" i="10" s="1"/>
  <c r="K45" i="34"/>
  <c r="BZ884" i="10"/>
  <c r="CD884" i="10" s="1"/>
  <c r="BP874" i="10"/>
  <c r="BR874" i="10" s="1"/>
  <c r="BC909" i="10"/>
  <c r="BP909" i="10"/>
  <c r="BR909" i="10" s="1"/>
  <c r="BP538" i="10"/>
  <c r="J317" i="34"/>
  <c r="K295" i="34"/>
  <c r="CI775" i="10"/>
  <c r="BP715" i="10"/>
  <c r="BR715" i="10" s="1"/>
  <c r="BP657" i="10"/>
  <c r="BR657" i="10" s="1"/>
  <c r="K234" i="34"/>
  <c r="BP829" i="10"/>
  <c r="J829" i="10" s="1"/>
  <c r="S755" i="10"/>
  <c r="CH860" i="10"/>
  <c r="AM230" i="7"/>
  <c r="AP230" i="3" s="1"/>
  <c r="S824" i="10"/>
  <c r="S850" i="10"/>
  <c r="CX5" i="9"/>
  <c r="O2" i="35" s="1"/>
  <c r="CM75" i="9"/>
  <c r="CR613" i="10"/>
  <c r="P115" i="34" s="1"/>
  <c r="CR630" i="10"/>
  <c r="P132" i="34" s="1"/>
  <c r="S509" i="10"/>
  <c r="CB544" i="10"/>
  <c r="CR600" i="10"/>
  <c r="P102" i="34" s="1"/>
  <c r="CG851" i="10"/>
  <c r="BP773" i="10"/>
  <c r="BR773" i="10" s="1"/>
  <c r="S502" i="10"/>
  <c r="S718" i="10"/>
  <c r="CG522" i="10"/>
  <c r="S780" i="10"/>
  <c r="CJ773" i="10"/>
  <c r="CJ522" i="10"/>
  <c r="CD859" i="10"/>
  <c r="AO20" i="3"/>
  <c r="BZ614" i="10"/>
  <c r="CD614" i="10" s="1"/>
  <c r="S909" i="10"/>
  <c r="S720" i="10"/>
  <c r="S872" i="10"/>
  <c r="CF851" i="10"/>
  <c r="CL851" i="10" s="1"/>
  <c r="CK773" i="10"/>
  <c r="CH522" i="10"/>
  <c r="CB574" i="10"/>
  <c r="S799" i="10"/>
  <c r="CA614" i="10"/>
  <c r="CA538" i="10"/>
  <c r="S500" i="10"/>
  <c r="S796" i="10"/>
  <c r="CK682" i="10"/>
  <c r="S567" i="10"/>
  <c r="S571" i="10"/>
  <c r="BP649" i="10"/>
  <c r="J649" i="10" s="1"/>
  <c r="BP889" i="10"/>
  <c r="J889" i="10" s="1"/>
  <c r="CC614" i="10"/>
  <c r="CD628" i="10"/>
  <c r="BF801" i="10"/>
  <c r="BH801" i="10" s="1"/>
  <c r="L801" i="10"/>
  <c r="M801" i="10" s="1"/>
  <c r="S800" i="10"/>
  <c r="S534" i="10"/>
  <c r="S682" i="10"/>
  <c r="AM245" i="10"/>
  <c r="AN245" i="10" s="1"/>
  <c r="AP245" i="10" s="1"/>
  <c r="AO245" i="3"/>
  <c r="S563" i="10"/>
  <c r="S680" i="10"/>
  <c r="CH826" i="10"/>
  <c r="CK826" i="10"/>
  <c r="CI826" i="10"/>
  <c r="CJ826" i="10"/>
  <c r="BC912" i="10"/>
  <c r="BP912" i="10"/>
  <c r="AM106" i="7"/>
  <c r="AP106" i="3" s="1"/>
  <c r="S743" i="10"/>
  <c r="AM245" i="7"/>
  <c r="AP245" i="3" s="1"/>
  <c r="S687" i="10"/>
  <c r="S749" i="10"/>
  <c r="S659" i="10"/>
  <c r="L743" i="10"/>
  <c r="M743" i="10" s="1"/>
  <c r="BP579" i="10"/>
  <c r="BR579" i="10" s="1"/>
  <c r="BC760" i="10"/>
  <c r="BP760" i="10"/>
  <c r="J760" i="10" s="1"/>
  <c r="CB622" i="10"/>
  <c r="J201" i="34"/>
  <c r="CK699" i="10"/>
  <c r="BC754" i="10"/>
  <c r="BP754" i="10"/>
  <c r="AM204" i="10"/>
  <c r="AN204" i="10" s="1"/>
  <c r="AP204" i="10" s="1"/>
  <c r="AR204" i="10" s="1"/>
  <c r="AM204" i="7"/>
  <c r="AP204" i="3" s="1"/>
  <c r="AO204" i="3"/>
  <c r="AO415" i="3"/>
  <c r="AM415" i="10"/>
  <c r="AN415" i="10" s="1"/>
  <c r="AP415" i="10" s="1"/>
  <c r="AR415" i="10" s="1"/>
  <c r="AM415" i="7"/>
  <c r="AP415" i="3" s="1"/>
  <c r="S717" i="10"/>
  <c r="BC828" i="10"/>
  <c r="BP828" i="10"/>
  <c r="J828" i="10" s="1"/>
  <c r="BP650" i="10"/>
  <c r="BR650" i="10" s="1"/>
  <c r="S666" i="10"/>
  <c r="S653" i="10"/>
  <c r="S617" i="10"/>
  <c r="BC513" i="10"/>
  <c r="BP513" i="10"/>
  <c r="S649" i="10"/>
  <c r="S667" i="10"/>
  <c r="S555" i="10"/>
  <c r="CI699" i="10"/>
  <c r="S797" i="10"/>
  <c r="S835" i="10"/>
  <c r="CB525" i="10"/>
  <c r="J251" i="34"/>
  <c r="CK749" i="10"/>
  <c r="CG749" i="10"/>
  <c r="I22" i="17"/>
  <c r="K22" i="17" s="1"/>
  <c r="BC563" i="10"/>
  <c r="BP563" i="10"/>
  <c r="BR563" i="10" s="1"/>
  <c r="AM250" i="10"/>
  <c r="AN250" i="10" s="1"/>
  <c r="AP250" i="10" s="1"/>
  <c r="AR250" i="10" s="1"/>
  <c r="S727" i="10"/>
  <c r="BR891" i="10"/>
  <c r="J891" i="10"/>
  <c r="BP733" i="10"/>
  <c r="BR733" i="10" s="1"/>
  <c r="AM20" i="7"/>
  <c r="AP20" i="3" s="1"/>
  <c r="CF762" i="10"/>
  <c r="CL762" i="10" s="1"/>
  <c r="K116" i="34"/>
  <c r="S510" i="10"/>
  <c r="CH699" i="10"/>
  <c r="AM331" i="7"/>
  <c r="AP331" i="3" s="1"/>
  <c r="AO91" i="3"/>
  <c r="AM298" i="7"/>
  <c r="AP298" i="3" s="1"/>
  <c r="CF623" i="10"/>
  <c r="CL623" i="10" s="1"/>
  <c r="AM195" i="7"/>
  <c r="AP195" i="3" s="1"/>
  <c r="BC607" i="10"/>
  <c r="BP607" i="10"/>
  <c r="BR607" i="10" s="1"/>
  <c r="CC895" i="10"/>
  <c r="CB895" i="10"/>
  <c r="I10" i="35"/>
  <c r="CF13" i="9"/>
  <c r="CR576" i="10"/>
  <c r="P78" i="34" s="1"/>
  <c r="K78" i="34"/>
  <c r="AM373" i="7"/>
  <c r="AP373" i="3" s="1"/>
  <c r="AM373" i="10"/>
  <c r="AN373" i="10" s="1"/>
  <c r="AP373" i="10" s="1"/>
  <c r="AO373" i="3"/>
  <c r="BP590" i="10"/>
  <c r="BR590" i="10" s="1"/>
  <c r="AM40" i="7"/>
  <c r="AP40" i="3" s="1"/>
  <c r="BP898" i="10"/>
  <c r="BR898" i="10" s="1"/>
  <c r="AM250" i="7"/>
  <c r="AP250" i="3" s="1"/>
  <c r="CR590" i="10"/>
  <c r="P92" i="34" s="1"/>
  <c r="AM372" i="7"/>
  <c r="AP372" i="3" s="1"/>
  <c r="BP868" i="10"/>
  <c r="J868" i="10" s="1"/>
  <c r="BF868" i="10" s="1"/>
  <c r="BH868" i="10" s="1"/>
  <c r="S531" i="10"/>
  <c r="CR817" i="10"/>
  <c r="P319" i="34" s="1"/>
  <c r="S624" i="10"/>
  <c r="CA576" i="10"/>
  <c r="CG762" i="10"/>
  <c r="BP510" i="10"/>
  <c r="BR510" i="10" s="1"/>
  <c r="J805" i="10"/>
  <c r="BF805" i="10" s="1"/>
  <c r="BH805" i="10" s="1"/>
  <c r="CA694" i="10"/>
  <c r="AM91" i="7"/>
  <c r="AP91" i="3" s="1"/>
  <c r="AO298" i="3"/>
  <c r="BP673" i="10"/>
  <c r="BR673" i="10" s="1"/>
  <c r="CI623" i="10"/>
  <c r="BC561" i="10"/>
  <c r="BP561" i="10"/>
  <c r="AM195" i="10"/>
  <c r="AN195" i="10" s="1"/>
  <c r="AP195" i="10" s="1"/>
  <c r="AQ195" i="10" s="1"/>
  <c r="AM288" i="10"/>
  <c r="AN288" i="10" s="1"/>
  <c r="AP288" i="10" s="1"/>
  <c r="AQ288" i="10" s="1"/>
  <c r="AO288" i="3"/>
  <c r="AM86" i="7"/>
  <c r="AP86" i="3" s="1"/>
  <c r="AO86" i="3"/>
  <c r="CF911" i="10"/>
  <c r="CL911" i="10" s="1"/>
  <c r="CI911" i="10"/>
  <c r="CJ734" i="10"/>
  <c r="CG734" i="10"/>
  <c r="CK734" i="10"/>
  <c r="CF734" i="10"/>
  <c r="CL734" i="10" s="1"/>
  <c r="CH734" i="10"/>
  <c r="S614" i="10"/>
  <c r="D302" i="8"/>
  <c r="O302" i="8" s="1"/>
  <c r="BP685" i="10"/>
  <c r="BR685" i="10" s="1"/>
  <c r="S732" i="10"/>
  <c r="BP798" i="10"/>
  <c r="BR798" i="10" s="1"/>
  <c r="C303" i="8"/>
  <c r="K303" i="8" s="1"/>
  <c r="H77" i="8" s="1"/>
  <c r="AM40" i="10"/>
  <c r="AN40" i="10" s="1"/>
  <c r="AP40" i="10" s="1"/>
  <c r="AR40" i="10" s="1"/>
  <c r="CG826" i="10"/>
  <c r="K409" i="34"/>
  <c r="BP852" i="10"/>
  <c r="J852" i="10" s="1"/>
  <c r="BF852" i="10" s="1"/>
  <c r="BH852" i="10" s="1"/>
  <c r="CD918" i="10"/>
  <c r="BP727" i="10"/>
  <c r="BR727" i="10" s="1"/>
  <c r="BP598" i="10"/>
  <c r="J598" i="10" s="1"/>
  <c r="L598" i="10" s="1"/>
  <c r="CD870" i="10"/>
  <c r="E280" i="8"/>
  <c r="AM372" i="10"/>
  <c r="AN372" i="10" s="1"/>
  <c r="AP372" i="10" s="1"/>
  <c r="BZ817" i="10"/>
  <c r="CD817" i="10" s="1"/>
  <c r="CI762" i="10"/>
  <c r="BC520" i="10"/>
  <c r="BP520" i="10"/>
  <c r="BR520" i="10" s="1"/>
  <c r="J744" i="10"/>
  <c r="BF744" i="10" s="1"/>
  <c r="BH744" i="10" s="1"/>
  <c r="CD826" i="10"/>
  <c r="S581" i="10"/>
  <c r="AO352" i="3"/>
  <c r="BC600" i="10"/>
  <c r="BP600" i="10"/>
  <c r="S831" i="10"/>
  <c r="CJ623" i="10"/>
  <c r="CF590" i="10"/>
  <c r="CL590" i="10" s="1"/>
  <c r="CR552" i="10"/>
  <c r="P54" i="34" s="1"/>
  <c r="CR826" i="10"/>
  <c r="P328" i="34" s="1"/>
  <c r="CR916" i="10"/>
  <c r="P418" i="34" s="1"/>
  <c r="CI916" i="10"/>
  <c r="BC844" i="10"/>
  <c r="BP844" i="10"/>
  <c r="J844" i="10" s="1"/>
  <c r="L844" i="10" s="1"/>
  <c r="S622" i="10"/>
  <c r="BC537" i="10"/>
  <c r="BP537" i="10"/>
  <c r="BR537" i="10" s="1"/>
  <c r="CD694" i="10"/>
  <c r="BC672" i="10"/>
  <c r="BP672" i="10"/>
  <c r="J672" i="10" s="1"/>
  <c r="L672" i="10" s="1"/>
  <c r="BC586" i="10"/>
  <c r="BP586" i="10"/>
  <c r="BR586" i="10" s="1"/>
  <c r="BC747" i="10"/>
  <c r="BP747" i="10"/>
  <c r="BR747" i="10" s="1"/>
  <c r="AM280" i="10"/>
  <c r="AN280" i="10" s="1"/>
  <c r="AP280" i="10" s="1"/>
  <c r="AR280" i="10" s="1"/>
  <c r="AO280" i="3"/>
  <c r="S693" i="10"/>
  <c r="BC550" i="10"/>
  <c r="BP550" i="10"/>
  <c r="S710" i="10"/>
  <c r="CA622" i="10"/>
  <c r="J40" i="34"/>
  <c r="CH538" i="10"/>
  <c r="CF538" i="10"/>
  <c r="CL538" i="10" s="1"/>
  <c r="CK538" i="10"/>
  <c r="BC612" i="10"/>
  <c r="BP612" i="10"/>
  <c r="AO355" i="3"/>
  <c r="AM355" i="7"/>
  <c r="AP355" i="3" s="1"/>
  <c r="S762" i="10"/>
  <c r="S706" i="10"/>
  <c r="CB614" i="10"/>
  <c r="S690" i="10"/>
  <c r="BC772" i="10"/>
  <c r="BP772" i="10"/>
  <c r="BP530" i="10"/>
  <c r="I18" i="17"/>
  <c r="K18" i="17" s="1"/>
  <c r="S741" i="10"/>
  <c r="CF826" i="10"/>
  <c r="CL826" i="10" s="1"/>
  <c r="BP505" i="10"/>
  <c r="J505" i="10" s="1"/>
  <c r="BF505" i="10" s="1"/>
  <c r="BH505" i="10" s="1"/>
  <c r="AM381" i="7"/>
  <c r="AP381" i="3" s="1"/>
  <c r="CD642" i="10"/>
  <c r="S790" i="10"/>
  <c r="S513" i="10"/>
  <c r="CB817" i="10"/>
  <c r="S712" i="10"/>
  <c r="CJ762" i="10"/>
  <c r="S560" i="10"/>
  <c r="CI528" i="10"/>
  <c r="BC726" i="10"/>
  <c r="BP726" i="10"/>
  <c r="BR726" i="10" s="1"/>
  <c r="S851" i="10"/>
  <c r="AM352" i="10"/>
  <c r="AN352" i="10" s="1"/>
  <c r="AP352" i="10" s="1"/>
  <c r="AQ352" i="10" s="1"/>
  <c r="S756" i="10"/>
  <c r="CG623" i="10"/>
  <c r="AM145" i="7"/>
  <c r="AP145" i="3" s="1"/>
  <c r="CJ590" i="10"/>
  <c r="AM136" i="7"/>
  <c r="AP136" i="3" s="1"/>
  <c r="BZ552" i="10"/>
  <c r="CD552" i="10" s="1"/>
  <c r="S665" i="10"/>
  <c r="AO329" i="3"/>
  <c r="AM329" i="7"/>
  <c r="AP329" i="3" s="1"/>
  <c r="S698" i="10"/>
  <c r="J328" i="34"/>
  <c r="BP834" i="10"/>
  <c r="BR834" i="10" s="1"/>
  <c r="AM381" i="10"/>
  <c r="AN381" i="10" s="1"/>
  <c r="AP381" i="10" s="1"/>
  <c r="AR381" i="10" s="1"/>
  <c r="S598" i="10"/>
  <c r="S821" i="10"/>
  <c r="CC817" i="10"/>
  <c r="CH762" i="10"/>
  <c r="S901" i="10"/>
  <c r="CX13" i="9"/>
  <c r="O10" i="35" s="1"/>
  <c r="CR538" i="10"/>
  <c r="P40" i="34" s="1"/>
  <c r="BP690" i="10"/>
  <c r="J690" i="10" s="1"/>
  <c r="BC671" i="10"/>
  <c r="BP671" i="10"/>
  <c r="BR671" i="10" s="1"/>
  <c r="CF528" i="10"/>
  <c r="CL528" i="10" s="1"/>
  <c r="AM293" i="10"/>
  <c r="AN293" i="10" s="1"/>
  <c r="AP293" i="10" s="1"/>
  <c r="AR293" i="10" s="1"/>
  <c r="S833" i="10"/>
  <c r="CH623" i="10"/>
  <c r="AO145" i="3"/>
  <c r="BP866" i="10"/>
  <c r="J866" i="10" s="1"/>
  <c r="BF866" i="10" s="1"/>
  <c r="BH866" i="10" s="1"/>
  <c r="CG590" i="10"/>
  <c r="S773" i="10"/>
  <c r="CK911" i="10"/>
  <c r="AO136" i="3"/>
  <c r="AM143" i="10"/>
  <c r="AN143" i="10" s="1"/>
  <c r="AP143" i="10" s="1"/>
  <c r="AR143" i="10" s="1"/>
  <c r="AM143" i="7"/>
  <c r="AP143" i="3" s="1"/>
  <c r="S900" i="10"/>
  <c r="BP732" i="10"/>
  <c r="BR732" i="10" s="1"/>
  <c r="S884" i="10"/>
  <c r="S527" i="10"/>
  <c r="S606" i="10"/>
  <c r="CN71" i="9"/>
  <c r="S603" i="10"/>
  <c r="S876" i="10"/>
  <c r="AM137" i="10"/>
  <c r="AN137" i="10" s="1"/>
  <c r="AP137" i="10" s="1"/>
  <c r="AR137" i="10" s="1"/>
  <c r="S917" i="10"/>
  <c r="K319" i="34"/>
  <c r="J264" i="34"/>
  <c r="CD744" i="10"/>
  <c r="BC619" i="10"/>
  <c r="BP619" i="10"/>
  <c r="J619" i="10" s="1"/>
  <c r="CH528" i="10"/>
  <c r="AO293" i="3"/>
  <c r="S787" i="10"/>
  <c r="CK623" i="10"/>
  <c r="J773" i="10"/>
  <c r="L773" i="10" s="1"/>
  <c r="M773" i="10" s="1"/>
  <c r="CG911" i="10"/>
  <c r="CR665" i="10"/>
  <c r="P167" i="34" s="1"/>
  <c r="BZ665" i="10"/>
  <c r="CD665" i="10" s="1"/>
  <c r="CC665" i="10"/>
  <c r="CA665" i="10"/>
  <c r="CB665" i="10"/>
  <c r="CR677" i="10"/>
  <c r="P179" i="34" s="1"/>
  <c r="CC677" i="10"/>
  <c r="CA677" i="10"/>
  <c r="AM209" i="10"/>
  <c r="AN209" i="10" s="1"/>
  <c r="AP209" i="10" s="1"/>
  <c r="AQ209" i="10" s="1"/>
  <c r="AM209" i="7"/>
  <c r="AP209" i="3" s="1"/>
  <c r="AO209" i="3"/>
  <c r="BC574" i="10"/>
  <c r="BP574" i="10"/>
  <c r="BR574" i="10" s="1"/>
  <c r="S518" i="10"/>
  <c r="BP906" i="10"/>
  <c r="S844" i="10"/>
  <c r="S699" i="10"/>
  <c r="AO275" i="3"/>
  <c r="AM275" i="10"/>
  <c r="AN275" i="10" s="1"/>
  <c r="AP275" i="10" s="1"/>
  <c r="AM275" i="7"/>
  <c r="AP275" i="3" s="1"/>
  <c r="BC806" i="10"/>
  <c r="BP806" i="10"/>
  <c r="J806" i="10" s="1"/>
  <c r="BF806" i="10" s="1"/>
  <c r="BH806" i="10" s="1"/>
  <c r="BZ622" i="10"/>
  <c r="I14" i="35"/>
  <c r="AM399" i="10"/>
  <c r="AN399" i="10" s="1"/>
  <c r="AP399" i="10" s="1"/>
  <c r="AQ399" i="10" s="1"/>
  <c r="AM399" i="7"/>
  <c r="AP399" i="3" s="1"/>
  <c r="S634" i="10"/>
  <c r="J10" i="35"/>
  <c r="CP13" i="9"/>
  <c r="CO13" i="9"/>
  <c r="CN13" i="9"/>
  <c r="CL13" i="9"/>
  <c r="CQ13" i="9" s="1"/>
  <c r="S912" i="10"/>
  <c r="CJ65" i="9"/>
  <c r="BC714" i="10"/>
  <c r="BP714" i="10"/>
  <c r="BR714" i="10" s="1"/>
  <c r="AO62" i="7"/>
  <c r="AQ62" i="7" s="1"/>
  <c r="AT62" i="3" s="1"/>
  <c r="S579" i="10"/>
  <c r="BC892" i="10"/>
  <c r="BP892" i="10"/>
  <c r="J892" i="10" s="1"/>
  <c r="BF892" i="10" s="1"/>
  <c r="BH892" i="10" s="1"/>
  <c r="BP890" i="10"/>
  <c r="AM279" i="10"/>
  <c r="AN279" i="10" s="1"/>
  <c r="AP279" i="10" s="1"/>
  <c r="AR279" i="10" s="1"/>
  <c r="BP920" i="10"/>
  <c r="S611" i="10"/>
  <c r="AO62" i="3"/>
  <c r="S903" i="10"/>
  <c r="BC568" i="10"/>
  <c r="BP568" i="10"/>
  <c r="BR568" i="10" s="1"/>
  <c r="CB552" i="10"/>
  <c r="K54" i="34"/>
  <c r="CC552" i="10"/>
  <c r="AM62" i="10"/>
  <c r="AN62" i="10" s="1"/>
  <c r="AP62" i="10" s="1"/>
  <c r="AQ62" i="10" s="1"/>
  <c r="CF699" i="10"/>
  <c r="CL699" i="10" s="1"/>
  <c r="S707" i="10"/>
  <c r="BP797" i="10"/>
  <c r="J797" i="10" s="1"/>
  <c r="K403" i="34"/>
  <c r="CA901" i="10"/>
  <c r="CC901" i="10"/>
  <c r="CB901" i="10"/>
  <c r="AO234" i="7"/>
  <c r="AR234" i="3" s="1"/>
  <c r="S748" i="10"/>
  <c r="S753" i="10"/>
  <c r="AO106" i="3"/>
  <c r="S911" i="10"/>
  <c r="BP850" i="10"/>
  <c r="BR850" i="10" s="1"/>
  <c r="BP810" i="10"/>
  <c r="BC792" i="10"/>
  <c r="BP792" i="10"/>
  <c r="J792" i="10" s="1"/>
  <c r="BF792" i="10" s="1"/>
  <c r="BH792" i="10" s="1"/>
  <c r="BF620" i="10"/>
  <c r="BH620" i="10" s="1"/>
  <c r="CI52" i="9"/>
  <c r="I49" i="35"/>
  <c r="CH52" i="9"/>
  <c r="CX52" i="9"/>
  <c r="O49" i="35" s="1"/>
  <c r="CG699" i="10"/>
  <c r="K124" i="34"/>
  <c r="J35" i="34"/>
  <c r="CJ533" i="10"/>
  <c r="CI533" i="10"/>
  <c r="S701" i="10"/>
  <c r="S544" i="10"/>
  <c r="CJ38" i="9"/>
  <c r="S607" i="10"/>
  <c r="AM223" i="10"/>
  <c r="AN223" i="10" s="1"/>
  <c r="AP223" i="10" s="1"/>
  <c r="AQ223" i="10" s="1"/>
  <c r="AO223" i="3"/>
  <c r="AM223" i="7"/>
  <c r="AP223" i="3" s="1"/>
  <c r="AO278" i="7"/>
  <c r="AQ278" i="7" s="1"/>
  <c r="AT278" i="3" s="1"/>
  <c r="BP611" i="10"/>
  <c r="BR611" i="10" s="1"/>
  <c r="S827" i="10"/>
  <c r="I7" i="17"/>
  <c r="J7" i="17" s="1"/>
  <c r="CJ699" i="10"/>
  <c r="CR633" i="10"/>
  <c r="P135" i="34" s="1"/>
  <c r="BZ633" i="10"/>
  <c r="CD633" i="10" s="1"/>
  <c r="CC633" i="10"/>
  <c r="CB633" i="10"/>
  <c r="CH590" i="10"/>
  <c r="CI590" i="10"/>
  <c r="S846" i="10"/>
  <c r="AM263" i="10"/>
  <c r="AN263" i="10" s="1"/>
  <c r="AP263" i="10" s="1"/>
  <c r="AQ263" i="10" s="1"/>
  <c r="AO263" i="3"/>
  <c r="AM263" i="7"/>
  <c r="AP263" i="3" s="1"/>
  <c r="AM93" i="7"/>
  <c r="AP93" i="3" s="1"/>
  <c r="AO93" i="3"/>
  <c r="S515" i="10"/>
  <c r="S546" i="10"/>
  <c r="BP659" i="10"/>
  <c r="J659" i="10" s="1"/>
  <c r="BF659" i="10" s="1"/>
  <c r="S784" i="10"/>
  <c r="J92" i="34"/>
  <c r="BC679" i="10"/>
  <c r="BP679" i="10"/>
  <c r="BR679" i="10" s="1"/>
  <c r="AM192" i="7"/>
  <c r="AP192" i="3" s="1"/>
  <c r="BP572" i="10"/>
  <c r="BR572" i="10" s="1"/>
  <c r="S873" i="10"/>
  <c r="CM71" i="9"/>
  <c r="BP658" i="10"/>
  <c r="J658" i="10" s="1"/>
  <c r="BF658" i="10" s="1"/>
  <c r="BH658" i="10" s="1"/>
  <c r="AO251" i="3"/>
  <c r="BC541" i="10"/>
  <c r="BP541" i="10"/>
  <c r="BR541" i="10" s="1"/>
  <c r="BC785" i="10"/>
  <c r="BP785" i="10"/>
  <c r="AM364" i="7"/>
  <c r="AP364" i="3" s="1"/>
  <c r="BZ646" i="10"/>
  <c r="CD646" i="10" s="1"/>
  <c r="CC646" i="10"/>
  <c r="CK577" i="10"/>
  <c r="CI577" i="10"/>
  <c r="S512" i="10"/>
  <c r="CO71" i="9"/>
  <c r="AM395" i="7"/>
  <c r="AP395" i="3" s="1"/>
  <c r="S918" i="10"/>
  <c r="BP793" i="10"/>
  <c r="S595" i="10"/>
  <c r="BP878" i="10"/>
  <c r="S615" i="10"/>
  <c r="CC617" i="10"/>
  <c r="S910" i="10"/>
  <c r="CA895" i="10"/>
  <c r="AM338" i="10"/>
  <c r="AN338" i="10" s="1"/>
  <c r="AP338" i="10" s="1"/>
  <c r="AR338" i="10" s="1"/>
  <c r="BR735" i="10"/>
  <c r="CK528" i="10"/>
  <c r="S715" i="10"/>
  <c r="S892" i="10"/>
  <c r="CF587" i="10"/>
  <c r="CL587" i="10" s="1"/>
  <c r="AM251" i="7"/>
  <c r="AP251" i="3" s="1"/>
  <c r="CI13" i="9"/>
  <c r="AM364" i="10"/>
  <c r="AN364" i="10" s="1"/>
  <c r="AP364" i="10" s="1"/>
  <c r="AR364" i="10" s="1"/>
  <c r="S679" i="10"/>
  <c r="AM173" i="10"/>
  <c r="AN173" i="10" s="1"/>
  <c r="AP173" i="10" s="1"/>
  <c r="AQ173" i="10" s="1"/>
  <c r="AM173" i="7"/>
  <c r="AP173" i="3" s="1"/>
  <c r="AO173" i="3"/>
  <c r="S913" i="10"/>
  <c r="J68" i="35"/>
  <c r="S882" i="10"/>
  <c r="BC660" i="10"/>
  <c r="BP660" i="10"/>
  <c r="J660" i="10" s="1"/>
  <c r="BF660" i="10" s="1"/>
  <c r="BH660" i="10" s="1"/>
  <c r="BP557" i="10"/>
  <c r="CB617" i="10"/>
  <c r="BP799" i="10"/>
  <c r="BR799" i="10" s="1"/>
  <c r="BP637" i="10"/>
  <c r="J637" i="10" s="1"/>
  <c r="S668" i="10"/>
  <c r="S789" i="10"/>
  <c r="BP652" i="10"/>
  <c r="BR652" i="10" s="1"/>
  <c r="K397" i="34"/>
  <c r="AM338" i="7"/>
  <c r="AP338" i="3" s="1"/>
  <c r="J30" i="34"/>
  <c r="S806" i="10"/>
  <c r="BP515" i="10"/>
  <c r="J515" i="10" s="1"/>
  <c r="BP508" i="10"/>
  <c r="BR508" i="10" s="1"/>
  <c r="S765" i="10"/>
  <c r="S747" i="10"/>
  <c r="CG587" i="10"/>
  <c r="CH13" i="9"/>
  <c r="BZ901" i="10"/>
  <c r="CD901" i="10" s="1"/>
  <c r="BC836" i="10"/>
  <c r="BP836" i="10"/>
  <c r="CJ538" i="10"/>
  <c r="S840" i="10"/>
  <c r="S620" i="10"/>
  <c r="AM279" i="7"/>
  <c r="AP279" i="3" s="1"/>
  <c r="S828" i="10"/>
  <c r="AM13" i="7"/>
  <c r="AP13" i="3" s="1"/>
  <c r="AO13" i="3"/>
  <c r="J3" i="34"/>
  <c r="CJ501" i="10"/>
  <c r="CH501" i="10"/>
  <c r="CK501" i="10"/>
  <c r="BC741" i="10"/>
  <c r="BP741" i="10"/>
  <c r="BR741" i="10" s="1"/>
  <c r="BP768" i="10"/>
  <c r="BR768" i="10" s="1"/>
  <c r="S860" i="10"/>
  <c r="AM13" i="10"/>
  <c r="AN13" i="10" s="1"/>
  <c r="AP13" i="10" s="1"/>
  <c r="AQ13" i="10" s="1"/>
  <c r="S853" i="10"/>
  <c r="J601" i="10"/>
  <c r="AM383" i="10"/>
  <c r="AN383" i="10" s="1"/>
  <c r="AP383" i="10" s="1"/>
  <c r="AQ383" i="10" s="1"/>
  <c r="AO383" i="3"/>
  <c r="J555" i="10"/>
  <c r="L555" i="10" s="1"/>
  <c r="CG52" i="9"/>
  <c r="S683" i="10"/>
  <c r="S694" i="10"/>
  <c r="S845" i="10"/>
  <c r="BP923" i="10"/>
  <c r="BR923" i="10" s="1"/>
  <c r="BP544" i="10"/>
  <c r="BR544" i="10" s="1"/>
  <c r="S507" i="10"/>
  <c r="I231" i="8"/>
  <c r="AO192" i="7"/>
  <c r="AR192" i="7" s="1"/>
  <c r="AU192" i="3" s="1"/>
  <c r="CJ44" i="9"/>
  <c r="CP71" i="9"/>
  <c r="S774" i="10"/>
  <c r="AO137" i="3"/>
  <c r="S613" i="10"/>
  <c r="CR895" i="10"/>
  <c r="P397" i="34" s="1"/>
  <c r="AM355" i="10"/>
  <c r="AN355" i="10" s="1"/>
  <c r="AP355" i="10" s="1"/>
  <c r="AR355" i="10" s="1"/>
  <c r="CG528" i="10"/>
  <c r="S541" i="10"/>
  <c r="CB505" i="10"/>
  <c r="BZ505" i="10"/>
  <c r="CD505" i="10" s="1"/>
  <c r="CI694" i="10"/>
  <c r="CF694" i="10"/>
  <c r="CL694" i="10" s="1"/>
  <c r="CJ694" i="10"/>
  <c r="CG694" i="10"/>
  <c r="S826" i="10"/>
  <c r="S688" i="10"/>
  <c r="BP633" i="10"/>
  <c r="BR633" i="10" s="1"/>
  <c r="BZ895" i="10"/>
  <c r="CM13" i="9"/>
  <c r="L735" i="10"/>
  <c r="M735" i="10" s="1"/>
  <c r="S713" i="10"/>
  <c r="BC916" i="10"/>
  <c r="BP916" i="10"/>
  <c r="J655" i="10"/>
  <c r="L655" i="10" s="1"/>
  <c r="CK587" i="10"/>
  <c r="CX14" i="9"/>
  <c r="O11" i="35" s="1"/>
  <c r="CG14" i="9"/>
  <c r="CR694" i="10"/>
  <c r="P196" i="34" s="1"/>
  <c r="AO192" i="3"/>
  <c r="BP900" i="10"/>
  <c r="J900" i="10" s="1"/>
  <c r="BF900" i="10" s="1"/>
  <c r="BH900" i="10" s="1"/>
  <c r="I20" i="17"/>
  <c r="K20" i="17" s="1"/>
  <c r="CH694" i="10"/>
  <c r="BP542" i="10"/>
  <c r="J542" i="10" s="1"/>
  <c r="BC603" i="10"/>
  <c r="BP603" i="10"/>
  <c r="BR603" i="10" s="1"/>
  <c r="S552" i="10"/>
  <c r="CJ16" i="9"/>
  <c r="BP769" i="10"/>
  <c r="S585" i="10"/>
  <c r="BP558" i="10"/>
  <c r="S808" i="10"/>
  <c r="BC631" i="10"/>
  <c r="BP631" i="10"/>
  <c r="BC893" i="10"/>
  <c r="BP893" i="10"/>
  <c r="BR893" i="10" s="1"/>
  <c r="CD878" i="10"/>
  <c r="BP623" i="10"/>
  <c r="BR623" i="10" s="1"/>
  <c r="BP670" i="10"/>
  <c r="J670" i="10" s="1"/>
  <c r="S575" i="10"/>
  <c r="S716" i="10"/>
  <c r="S640" i="10"/>
  <c r="S639" i="10"/>
  <c r="BC543" i="10"/>
  <c r="BP543" i="10"/>
  <c r="J543" i="10" s="1"/>
  <c r="BF543" i="10" s="1"/>
  <c r="BH543" i="10" s="1"/>
  <c r="CG13" i="9"/>
  <c r="S599" i="10"/>
  <c r="CR762" i="10"/>
  <c r="P264" i="34" s="1"/>
  <c r="AM248" i="10"/>
  <c r="AN248" i="10" s="1"/>
  <c r="AP248" i="10" s="1"/>
  <c r="AO248" i="3"/>
  <c r="AM248" i="7"/>
  <c r="AP248" i="3" s="1"/>
  <c r="AO358" i="3"/>
  <c r="AM358" i="7"/>
  <c r="AP358" i="3" s="1"/>
  <c r="AM358" i="10"/>
  <c r="AN358" i="10" s="1"/>
  <c r="AP358" i="10" s="1"/>
  <c r="E283" i="8"/>
  <c r="S731" i="10"/>
  <c r="S880" i="10"/>
  <c r="S857" i="10"/>
  <c r="BP595" i="10"/>
  <c r="S847" i="10"/>
  <c r="S559" i="10"/>
  <c r="E284" i="8"/>
  <c r="CJ5" i="9"/>
  <c r="CD639" i="10"/>
  <c r="S919" i="10"/>
  <c r="S758" i="10"/>
  <c r="BC583" i="10"/>
  <c r="BP583" i="10"/>
  <c r="S652" i="10"/>
  <c r="S503" i="10"/>
  <c r="S923" i="10"/>
  <c r="CC762" i="10"/>
  <c r="S728" i="10"/>
  <c r="S867" i="10"/>
  <c r="S631" i="10"/>
  <c r="CD820" i="10"/>
  <c r="CI632" i="10"/>
  <c r="CD526" i="10"/>
  <c r="CD536" i="10"/>
  <c r="S822" i="10"/>
  <c r="CD617" i="10"/>
  <c r="S597" i="10"/>
  <c r="CH633" i="10"/>
  <c r="S908" i="10"/>
  <c r="CD566" i="10"/>
  <c r="S738" i="10"/>
  <c r="S647" i="10"/>
  <c r="CA820" i="10"/>
  <c r="S809" i="10"/>
  <c r="CR632" i="10"/>
  <c r="P134" i="34" s="1"/>
  <c r="S618" i="10"/>
  <c r="S685" i="10"/>
  <c r="E277" i="8"/>
  <c r="S650" i="10"/>
  <c r="BZ762" i="10"/>
  <c r="CD762" i="10" s="1"/>
  <c r="S836" i="10"/>
  <c r="S889" i="10"/>
  <c r="E287" i="8"/>
  <c r="S811" i="10"/>
  <c r="AO310" i="3"/>
  <c r="S792" i="10"/>
  <c r="CK632" i="10"/>
  <c r="CK633" i="10"/>
  <c r="BP908" i="10"/>
  <c r="BR908" i="10" s="1"/>
  <c r="S906" i="10"/>
  <c r="S539" i="10"/>
  <c r="S907" i="10"/>
  <c r="S625" i="10"/>
  <c r="S580" i="10"/>
  <c r="BZ820" i="10"/>
  <c r="AM412" i="10"/>
  <c r="AN412" i="10" s="1"/>
  <c r="AP412" i="10" s="1"/>
  <c r="CX71" i="9"/>
  <c r="O68" i="35" s="1"/>
  <c r="S657" i="10"/>
  <c r="S588" i="10"/>
  <c r="S729" i="10"/>
  <c r="S703" i="10"/>
  <c r="S798" i="10"/>
  <c r="S886" i="10"/>
  <c r="CB762" i="10"/>
  <c r="S920" i="10"/>
  <c r="E282" i="8"/>
  <c r="S632" i="10"/>
  <c r="AO146" i="3"/>
  <c r="AM310" i="7"/>
  <c r="AP310" i="3" s="1"/>
  <c r="AM262" i="7"/>
  <c r="AP262" i="3" s="1"/>
  <c r="CJ632" i="10"/>
  <c r="CJ37" i="9"/>
  <c r="S887" i="10"/>
  <c r="CF633" i="10"/>
  <c r="CL633" i="10" s="1"/>
  <c r="S879" i="10"/>
  <c r="S540" i="10"/>
  <c r="S675" i="10"/>
  <c r="S514" i="10"/>
  <c r="AO412" i="3"/>
  <c r="I13" i="17"/>
  <c r="K13" i="17" s="1"/>
  <c r="K264" i="34"/>
  <c r="S769" i="10"/>
  <c r="S870" i="10"/>
  <c r="S548" i="10"/>
  <c r="S695" i="10"/>
  <c r="S877" i="10"/>
  <c r="S815" i="10"/>
  <c r="S519" i="10"/>
  <c r="AM292" i="10"/>
  <c r="AN292" i="10" s="1"/>
  <c r="AP292" i="10" s="1"/>
  <c r="AO292" i="3"/>
  <c r="AM292" i="7"/>
  <c r="AP292" i="3" s="1"/>
  <c r="S843" i="10"/>
  <c r="L703" i="10"/>
  <c r="S761" i="10"/>
  <c r="S644" i="10"/>
  <c r="S814" i="10"/>
  <c r="S714" i="10"/>
  <c r="S696" i="10"/>
  <c r="S691" i="10"/>
  <c r="S894" i="10"/>
  <c r="S898" i="10"/>
  <c r="S590" i="10"/>
  <c r="L659" i="10"/>
  <c r="BG659" i="10"/>
  <c r="BH659" i="10" s="1"/>
  <c r="S504" i="10"/>
  <c r="J75" i="34"/>
  <c r="CI573" i="10"/>
  <c r="CF573" i="10"/>
  <c r="CL573" i="10" s="1"/>
  <c r="CK573" i="10"/>
  <c r="CG573" i="10"/>
  <c r="CH573" i="10"/>
  <c r="CJ573" i="10"/>
  <c r="AM387" i="10"/>
  <c r="AN387" i="10" s="1"/>
  <c r="AP387" i="10" s="1"/>
  <c r="AM387" i="7"/>
  <c r="AP387" i="3" s="1"/>
  <c r="AO387" i="3"/>
  <c r="AO387" i="7"/>
  <c r="AQ91" i="3"/>
  <c r="AO91" i="7"/>
  <c r="J225" i="34"/>
  <c r="CJ723" i="10"/>
  <c r="CG723" i="10"/>
  <c r="CK723" i="10"/>
  <c r="CH723" i="10"/>
  <c r="CI723" i="10"/>
  <c r="CF723" i="10"/>
  <c r="CL723" i="10" s="1"/>
  <c r="AQ116" i="3"/>
  <c r="AO116" i="7"/>
  <c r="AQ383" i="3"/>
  <c r="AO383" i="7"/>
  <c r="K226" i="34"/>
  <c r="CC724" i="10"/>
  <c r="BZ724" i="10"/>
  <c r="CB724" i="10"/>
  <c r="CA724" i="10"/>
  <c r="CR724" i="10"/>
  <c r="P226" i="34" s="1"/>
  <c r="J390" i="34"/>
  <c r="CH888" i="10"/>
  <c r="CG888" i="10"/>
  <c r="CK888" i="10"/>
  <c r="CJ888" i="10"/>
  <c r="CI888" i="10"/>
  <c r="CF888" i="10"/>
  <c r="CL888" i="10" s="1"/>
  <c r="J36" i="34"/>
  <c r="CJ534" i="10"/>
  <c r="CK534" i="10"/>
  <c r="CI534" i="10"/>
  <c r="CH534" i="10"/>
  <c r="CG534" i="10"/>
  <c r="CF534" i="10"/>
  <c r="CL534" i="10" s="1"/>
  <c r="J420" i="34"/>
  <c r="CH918" i="10"/>
  <c r="CG918" i="10"/>
  <c r="CF918" i="10"/>
  <c r="CL918" i="10" s="1"/>
  <c r="CK918" i="10"/>
  <c r="CI918" i="10"/>
  <c r="CJ918" i="10"/>
  <c r="AQ25" i="3"/>
  <c r="AO25" i="7"/>
  <c r="AQ47" i="3"/>
  <c r="AO47" i="7"/>
  <c r="K193" i="34"/>
  <c r="CC691" i="10"/>
  <c r="BZ691" i="10"/>
  <c r="CD691" i="10" s="1"/>
  <c r="CB691" i="10"/>
  <c r="CA691" i="10"/>
  <c r="CR691" i="10"/>
  <c r="P193" i="34" s="1"/>
  <c r="AQ86" i="3"/>
  <c r="AO86" i="7"/>
  <c r="AQ306" i="3"/>
  <c r="AO306" i="7"/>
  <c r="K56" i="34"/>
  <c r="CA554" i="10"/>
  <c r="BZ554" i="10"/>
  <c r="CD554" i="10" s="1"/>
  <c r="CC554" i="10"/>
  <c r="CB554" i="10"/>
  <c r="CR554" i="10"/>
  <c r="P56" i="34" s="1"/>
  <c r="K238" i="34"/>
  <c r="CB736" i="10"/>
  <c r="CA736" i="10"/>
  <c r="CC736" i="10"/>
  <c r="BZ736" i="10"/>
  <c r="CR736" i="10"/>
  <c r="P238" i="34" s="1"/>
  <c r="AM333" i="10"/>
  <c r="AN333" i="10" s="1"/>
  <c r="AP333" i="10" s="1"/>
  <c r="AO333" i="3"/>
  <c r="AM333" i="7"/>
  <c r="AP333" i="3" s="1"/>
  <c r="AO333" i="7"/>
  <c r="J65" i="35"/>
  <c r="CP68" i="9"/>
  <c r="CN68" i="9"/>
  <c r="CO68" i="9"/>
  <c r="CM68" i="9"/>
  <c r="CL68" i="9"/>
  <c r="CQ68" i="9" s="1"/>
  <c r="AQ271" i="3"/>
  <c r="AO271" i="7"/>
  <c r="J205" i="34"/>
  <c r="CI703" i="10"/>
  <c r="CG703" i="10"/>
  <c r="CF703" i="10"/>
  <c r="CL703" i="10" s="1"/>
  <c r="CJ703" i="10"/>
  <c r="CH703" i="10"/>
  <c r="CK703" i="10"/>
  <c r="J258" i="34"/>
  <c r="CJ756" i="10"/>
  <c r="CG756" i="10"/>
  <c r="CF756" i="10"/>
  <c r="CL756" i="10" s="1"/>
  <c r="CK756" i="10"/>
  <c r="CI756" i="10"/>
  <c r="CH756" i="10"/>
  <c r="I47" i="35"/>
  <c r="CH50" i="9"/>
  <c r="CF50" i="9"/>
  <c r="CJ50" i="9" s="1"/>
  <c r="CI50" i="9"/>
  <c r="CG50" i="9"/>
  <c r="CX50" i="9"/>
  <c r="O47" i="35" s="1"/>
  <c r="J55" i="35"/>
  <c r="CP58" i="9"/>
  <c r="CN58" i="9"/>
  <c r="CM58" i="9"/>
  <c r="CO58" i="9"/>
  <c r="CL58" i="9"/>
  <c r="CQ58" i="9" s="1"/>
  <c r="J58" i="34"/>
  <c r="CG556" i="10"/>
  <c r="CK556" i="10"/>
  <c r="CJ556" i="10"/>
  <c r="CI556" i="10"/>
  <c r="CH556" i="10"/>
  <c r="CF556" i="10"/>
  <c r="CL556" i="10" s="1"/>
  <c r="K66" i="34"/>
  <c r="CA564" i="10"/>
  <c r="CC564" i="10"/>
  <c r="CB564" i="10"/>
  <c r="BZ564" i="10"/>
  <c r="CD564" i="10" s="1"/>
  <c r="CR564" i="10"/>
  <c r="P66" i="34" s="1"/>
  <c r="K345" i="34"/>
  <c r="CC843" i="10"/>
  <c r="BZ843" i="10"/>
  <c r="CD843" i="10" s="1"/>
  <c r="CB843" i="10"/>
  <c r="CA843" i="10"/>
  <c r="CR843" i="10"/>
  <c r="P345" i="34" s="1"/>
  <c r="J388" i="34"/>
  <c r="CK886" i="10"/>
  <c r="CG886" i="10"/>
  <c r="CF886" i="10"/>
  <c r="CL886" i="10" s="1"/>
  <c r="CJ886" i="10"/>
  <c r="CH886" i="10"/>
  <c r="CI886" i="10"/>
  <c r="BG658" i="10"/>
  <c r="AO239" i="3"/>
  <c r="AM239" i="7"/>
  <c r="AP239" i="3" s="1"/>
  <c r="AO239" i="7"/>
  <c r="AM239" i="10"/>
  <c r="AN239" i="10" s="1"/>
  <c r="AP239" i="10" s="1"/>
  <c r="I69" i="35"/>
  <c r="CF72" i="9"/>
  <c r="CJ72" i="9" s="1"/>
  <c r="CI72" i="9"/>
  <c r="CH72" i="9"/>
  <c r="CG72" i="9"/>
  <c r="CX72" i="9"/>
  <c r="O69" i="35" s="1"/>
  <c r="K104" i="34"/>
  <c r="CB602" i="10"/>
  <c r="CA602" i="10"/>
  <c r="CC602" i="10"/>
  <c r="BZ602" i="10"/>
  <c r="CD602" i="10" s="1"/>
  <c r="CR602" i="10"/>
  <c r="P104" i="34" s="1"/>
  <c r="J253" i="34"/>
  <c r="CJ751" i="10"/>
  <c r="CI751" i="10"/>
  <c r="CG751" i="10"/>
  <c r="CK751" i="10"/>
  <c r="CH751" i="10"/>
  <c r="CF751" i="10"/>
  <c r="CL751" i="10" s="1"/>
  <c r="J142" i="34"/>
  <c r="CK640" i="10"/>
  <c r="CF640" i="10"/>
  <c r="CL640" i="10" s="1"/>
  <c r="CJ640" i="10"/>
  <c r="CI640" i="10"/>
  <c r="CG640" i="10"/>
  <c r="CH640" i="10"/>
  <c r="J392" i="34"/>
  <c r="CI890" i="10"/>
  <c r="CH890" i="10"/>
  <c r="CJ890" i="10"/>
  <c r="CK890" i="10"/>
  <c r="CG890" i="10"/>
  <c r="CF890" i="10"/>
  <c r="CL890" i="10" s="1"/>
  <c r="K320" i="34"/>
  <c r="CC818" i="10"/>
  <c r="CB818" i="10"/>
  <c r="CA818" i="10"/>
  <c r="BZ818" i="10"/>
  <c r="CD818" i="10" s="1"/>
  <c r="CR818" i="10"/>
  <c r="P320" i="34" s="1"/>
  <c r="J324" i="34"/>
  <c r="CK822" i="10"/>
  <c r="CH822" i="10"/>
  <c r="CJ822" i="10"/>
  <c r="CI822" i="10"/>
  <c r="CG822" i="10"/>
  <c r="CF822" i="10"/>
  <c r="CL822" i="10" s="1"/>
  <c r="J412" i="34"/>
  <c r="CJ910" i="10"/>
  <c r="CI910" i="10"/>
  <c r="CH910" i="10"/>
  <c r="CK910" i="10"/>
  <c r="CG910" i="10"/>
  <c r="CF910" i="10"/>
  <c r="CL910" i="10" s="1"/>
  <c r="AW410" i="3"/>
  <c r="D316" i="8"/>
  <c r="O316" i="8" s="1"/>
  <c r="BC918" i="10"/>
  <c r="BP918" i="10"/>
  <c r="AQ377" i="3"/>
  <c r="AO377" i="7"/>
  <c r="AQ84" i="3"/>
  <c r="AO84" i="7"/>
  <c r="J148" i="34"/>
  <c r="CJ646" i="10"/>
  <c r="CH646" i="10"/>
  <c r="CK646" i="10"/>
  <c r="CI646" i="10"/>
  <c r="CG646" i="10"/>
  <c r="CF646" i="10"/>
  <c r="CL646" i="10" s="1"/>
  <c r="CR646" i="10"/>
  <c r="P148" i="34" s="1"/>
  <c r="K172" i="34"/>
  <c r="CC670" i="10"/>
  <c r="CB670" i="10"/>
  <c r="CA670" i="10"/>
  <c r="BZ670" i="10"/>
  <c r="CD670" i="10" s="1"/>
  <c r="CR670" i="10"/>
  <c r="P172" i="34" s="1"/>
  <c r="J242" i="34"/>
  <c r="CJ740" i="10"/>
  <c r="CG740" i="10"/>
  <c r="CF740" i="10"/>
  <c r="CL740" i="10" s="1"/>
  <c r="CI740" i="10"/>
  <c r="CH740" i="10"/>
  <c r="CK740" i="10"/>
  <c r="K314" i="34"/>
  <c r="BZ812" i="10"/>
  <c r="CD812" i="10" s="1"/>
  <c r="CC812" i="10"/>
  <c r="CB812" i="10"/>
  <c r="CA812" i="10"/>
  <c r="CR812" i="10"/>
  <c r="P314" i="34" s="1"/>
  <c r="J232" i="34"/>
  <c r="CJ730" i="10"/>
  <c r="CI730" i="10"/>
  <c r="CF730" i="10"/>
  <c r="CL730" i="10" s="1"/>
  <c r="CK730" i="10"/>
  <c r="CH730" i="10"/>
  <c r="CG730" i="10"/>
  <c r="K155" i="34"/>
  <c r="CB653" i="10"/>
  <c r="CC653" i="10"/>
  <c r="BZ653" i="10"/>
  <c r="CD653" i="10" s="1"/>
  <c r="CA653" i="10"/>
  <c r="CR653" i="10"/>
  <c r="P155" i="34" s="1"/>
  <c r="AQ46" i="3"/>
  <c r="AO46" i="7"/>
  <c r="K362" i="34"/>
  <c r="CB860" i="10"/>
  <c r="BZ860" i="10"/>
  <c r="CD860" i="10" s="1"/>
  <c r="CC860" i="10"/>
  <c r="CA860" i="10"/>
  <c r="CR860" i="10"/>
  <c r="P362" i="34" s="1"/>
  <c r="AQ49" i="3"/>
  <c r="AO49" i="7"/>
  <c r="I20" i="35"/>
  <c r="CF23" i="9"/>
  <c r="CJ23" i="9" s="1"/>
  <c r="CI23" i="9"/>
  <c r="CH23" i="9"/>
  <c r="CG23" i="9"/>
  <c r="CX23" i="9"/>
  <c r="O20" i="35" s="1"/>
  <c r="J344" i="34"/>
  <c r="CJ842" i="10"/>
  <c r="CF842" i="10"/>
  <c r="CL842" i="10" s="1"/>
  <c r="CK842" i="10"/>
  <c r="CG842" i="10"/>
  <c r="CI842" i="10"/>
  <c r="CH842" i="10"/>
  <c r="CR842" i="10"/>
  <c r="P344" i="34" s="1"/>
  <c r="K77" i="34"/>
  <c r="CC575" i="10"/>
  <c r="CB575" i="10"/>
  <c r="BZ575" i="10"/>
  <c r="CD575" i="10" s="1"/>
  <c r="CA575" i="10"/>
  <c r="CR575" i="10"/>
  <c r="P77" i="34" s="1"/>
  <c r="J314" i="34"/>
  <c r="CH812" i="10"/>
  <c r="CG812" i="10"/>
  <c r="CF812" i="10"/>
  <c r="CL812" i="10" s="1"/>
  <c r="CI812" i="10"/>
  <c r="CJ812" i="10"/>
  <c r="CK812" i="10"/>
  <c r="K260" i="34"/>
  <c r="CB758" i="10"/>
  <c r="CC758" i="10"/>
  <c r="CA758" i="10"/>
  <c r="BZ758" i="10"/>
  <c r="CD758" i="10" s="1"/>
  <c r="CR758" i="10"/>
  <c r="P260" i="34" s="1"/>
  <c r="J368" i="34"/>
  <c r="CG866" i="10"/>
  <c r="CF866" i="10"/>
  <c r="CL866" i="10" s="1"/>
  <c r="CI866" i="10"/>
  <c r="CH866" i="10"/>
  <c r="CK866" i="10"/>
  <c r="CJ866" i="10"/>
  <c r="J374" i="34"/>
  <c r="CJ872" i="10"/>
  <c r="CI872" i="10"/>
  <c r="CH872" i="10"/>
  <c r="CK872" i="10"/>
  <c r="CG872" i="10"/>
  <c r="CF872" i="10"/>
  <c r="CL872" i="10" s="1"/>
  <c r="CR872" i="10"/>
  <c r="P374" i="34" s="1"/>
  <c r="J414" i="34"/>
  <c r="CF912" i="10"/>
  <c r="CL912" i="10" s="1"/>
  <c r="CI912" i="10"/>
  <c r="CH912" i="10"/>
  <c r="CG912" i="10"/>
  <c r="CK912" i="10"/>
  <c r="CJ912" i="10"/>
  <c r="CR912" i="10"/>
  <c r="P414" i="34" s="1"/>
  <c r="O23" i="28"/>
  <c r="M23" i="28"/>
  <c r="I23" i="28"/>
  <c r="H23" i="28"/>
  <c r="J23" i="28"/>
  <c r="M27" i="28"/>
  <c r="I27" i="28"/>
  <c r="H27" i="28"/>
  <c r="O27" i="28"/>
  <c r="J27" i="28"/>
  <c r="AO36" i="7"/>
  <c r="AM36" i="10"/>
  <c r="AN36" i="10" s="1"/>
  <c r="AP36" i="10" s="1"/>
  <c r="AM36" i="7"/>
  <c r="AP36" i="3" s="1"/>
  <c r="AO36" i="3"/>
  <c r="K385" i="34"/>
  <c r="CB883" i="10"/>
  <c r="CA883" i="10"/>
  <c r="BZ883" i="10"/>
  <c r="CC883" i="10"/>
  <c r="CR883" i="10"/>
  <c r="P385" i="34" s="1"/>
  <c r="J23" i="35"/>
  <c r="CO26" i="9"/>
  <c r="CN26" i="9"/>
  <c r="CM26" i="9"/>
  <c r="CL26" i="9"/>
  <c r="CQ26" i="9" s="1"/>
  <c r="CP26" i="9"/>
  <c r="J81" i="34"/>
  <c r="CK579" i="10"/>
  <c r="CI579" i="10"/>
  <c r="CF579" i="10"/>
  <c r="CL579" i="10" s="1"/>
  <c r="CH579" i="10"/>
  <c r="CJ579" i="10"/>
  <c r="CG579" i="10"/>
  <c r="AQ135" i="3"/>
  <c r="AO135" i="7"/>
  <c r="J73" i="35"/>
  <c r="CM76" i="9"/>
  <c r="CL76" i="9"/>
  <c r="CQ76" i="9" s="1"/>
  <c r="CP76" i="9"/>
  <c r="CN76" i="9"/>
  <c r="CO76" i="9"/>
  <c r="I66" i="35"/>
  <c r="CG69" i="9"/>
  <c r="CI69" i="9"/>
  <c r="CF69" i="9"/>
  <c r="CJ69" i="9" s="1"/>
  <c r="CH69" i="9"/>
  <c r="CX69" i="9"/>
  <c r="O66" i="35" s="1"/>
  <c r="K318" i="34"/>
  <c r="CC816" i="10"/>
  <c r="CB816" i="10"/>
  <c r="CA816" i="10"/>
  <c r="BZ816" i="10"/>
  <c r="CD816" i="10" s="1"/>
  <c r="CR816" i="10"/>
  <c r="P318" i="34" s="1"/>
  <c r="K176" i="34"/>
  <c r="BZ674" i="10"/>
  <c r="CD674" i="10" s="1"/>
  <c r="CA674" i="10"/>
  <c r="CC674" i="10"/>
  <c r="CB674" i="10"/>
  <c r="CR674" i="10"/>
  <c r="P176" i="34" s="1"/>
  <c r="G71" i="14"/>
  <c r="E71" i="14"/>
  <c r="AM99" i="7"/>
  <c r="AP99" i="3" s="1"/>
  <c r="AO99" i="3"/>
  <c r="AM99" i="10"/>
  <c r="AN99" i="10" s="1"/>
  <c r="AP99" i="10" s="1"/>
  <c r="AO99" i="7"/>
  <c r="BG721" i="10"/>
  <c r="AM55" i="10"/>
  <c r="AN55" i="10" s="1"/>
  <c r="AP55" i="10" s="1"/>
  <c r="AO55" i="3"/>
  <c r="AM55" i="7"/>
  <c r="AP55" i="3" s="1"/>
  <c r="AO55" i="7"/>
  <c r="AQ209" i="3"/>
  <c r="AO209" i="7"/>
  <c r="K325" i="34"/>
  <c r="BZ823" i="10"/>
  <c r="CD823" i="10" s="1"/>
  <c r="CB823" i="10"/>
  <c r="CA823" i="10"/>
  <c r="CC823" i="10"/>
  <c r="CR823" i="10"/>
  <c r="P325" i="34" s="1"/>
  <c r="K401" i="34"/>
  <c r="CA899" i="10"/>
  <c r="CB899" i="10"/>
  <c r="BZ899" i="10"/>
  <c r="CD899" i="10" s="1"/>
  <c r="CC899" i="10"/>
  <c r="CR899" i="10"/>
  <c r="P401" i="34" s="1"/>
  <c r="G82" i="14"/>
  <c r="E82" i="14"/>
  <c r="K304" i="34"/>
  <c r="CC802" i="10"/>
  <c r="CB802" i="10"/>
  <c r="CA802" i="10"/>
  <c r="BZ802" i="10"/>
  <c r="CD802" i="10" s="1"/>
  <c r="CR802" i="10"/>
  <c r="P304" i="34" s="1"/>
  <c r="K235" i="34"/>
  <c r="CB733" i="10"/>
  <c r="CA733" i="10"/>
  <c r="CC733" i="10"/>
  <c r="BZ733" i="10"/>
  <c r="CD733" i="10" s="1"/>
  <c r="CR733" i="10"/>
  <c r="P235" i="34" s="1"/>
  <c r="K270" i="34"/>
  <c r="CC768" i="10"/>
  <c r="CB768" i="10"/>
  <c r="CA768" i="10"/>
  <c r="BZ768" i="10"/>
  <c r="CD768" i="10" s="1"/>
  <c r="CR768" i="10"/>
  <c r="P270" i="34" s="1"/>
  <c r="K198" i="34"/>
  <c r="BZ696" i="10"/>
  <c r="CD696" i="10" s="1"/>
  <c r="CB696" i="10"/>
  <c r="CC696" i="10"/>
  <c r="CA696" i="10"/>
  <c r="CR696" i="10"/>
  <c r="P198" i="34" s="1"/>
  <c r="K98" i="34"/>
  <c r="CC596" i="10"/>
  <c r="BZ596" i="10"/>
  <c r="CD596" i="10" s="1"/>
  <c r="CB596" i="10"/>
  <c r="CA596" i="10"/>
  <c r="CR596" i="10"/>
  <c r="P98" i="34" s="1"/>
  <c r="AM114" i="10"/>
  <c r="AN114" i="10" s="1"/>
  <c r="AP114" i="10" s="1"/>
  <c r="AO114" i="3"/>
  <c r="AO114" i="7"/>
  <c r="AM114" i="7"/>
  <c r="AP114" i="3" s="1"/>
  <c r="AQ355" i="3"/>
  <c r="AO355" i="7"/>
  <c r="J19" i="34"/>
  <c r="CK517" i="10"/>
  <c r="CJ517" i="10"/>
  <c r="CI517" i="10"/>
  <c r="CG517" i="10"/>
  <c r="CF517" i="10"/>
  <c r="CL517" i="10" s="1"/>
  <c r="CH517" i="10"/>
  <c r="CR517" i="10"/>
  <c r="P19" i="34" s="1"/>
  <c r="J23" i="34"/>
  <c r="CH521" i="10"/>
  <c r="CI521" i="10"/>
  <c r="CG521" i="10"/>
  <c r="CF521" i="10"/>
  <c r="CL521" i="10" s="1"/>
  <c r="CK521" i="10"/>
  <c r="CJ521" i="10"/>
  <c r="H224" i="8"/>
  <c r="F81" i="8"/>
  <c r="J398" i="34"/>
  <c r="CK896" i="10"/>
  <c r="CJ896" i="10"/>
  <c r="CI896" i="10"/>
  <c r="CH896" i="10"/>
  <c r="CG896" i="10"/>
  <c r="CF896" i="10"/>
  <c r="CL896" i="10" s="1"/>
  <c r="CR896" i="10"/>
  <c r="P398" i="34" s="1"/>
  <c r="I16" i="35"/>
  <c r="CI19" i="9"/>
  <c r="CH19" i="9"/>
  <c r="CF19" i="9"/>
  <c r="CJ19" i="9" s="1"/>
  <c r="CG19" i="9"/>
  <c r="CX19" i="9"/>
  <c r="O16" i="35" s="1"/>
  <c r="J199" i="34"/>
  <c r="CJ697" i="10"/>
  <c r="CI697" i="10"/>
  <c r="CF697" i="10"/>
  <c r="CL697" i="10" s="1"/>
  <c r="CH697" i="10"/>
  <c r="CK697" i="10"/>
  <c r="CG697" i="10"/>
  <c r="AQ213" i="3"/>
  <c r="AO213" i="7"/>
  <c r="K266" i="34"/>
  <c r="CA764" i="10"/>
  <c r="BZ764" i="10"/>
  <c r="CD764" i="10" s="1"/>
  <c r="CC764" i="10"/>
  <c r="CB764" i="10"/>
  <c r="CR764" i="10"/>
  <c r="P266" i="34" s="1"/>
  <c r="J88" i="34"/>
  <c r="CK586" i="10"/>
  <c r="CH586" i="10"/>
  <c r="CI586" i="10"/>
  <c r="CF586" i="10"/>
  <c r="CL586" i="10" s="1"/>
  <c r="CG586" i="10"/>
  <c r="CJ586" i="10"/>
  <c r="K63" i="34"/>
  <c r="CA561" i="10"/>
  <c r="CC561" i="10"/>
  <c r="CB561" i="10"/>
  <c r="BZ561" i="10"/>
  <c r="CD561" i="10" s="1"/>
  <c r="CR561" i="10"/>
  <c r="P63" i="34" s="1"/>
  <c r="K97" i="34"/>
  <c r="CA595" i="10"/>
  <c r="CB595" i="10"/>
  <c r="CC595" i="10"/>
  <c r="BZ595" i="10"/>
  <c r="CD595" i="10" s="1"/>
  <c r="CR595" i="10"/>
  <c r="P97" i="34" s="1"/>
  <c r="J252" i="34"/>
  <c r="CH750" i="10"/>
  <c r="CG750" i="10"/>
  <c r="CI750" i="10"/>
  <c r="CF750" i="10"/>
  <c r="CL750" i="10" s="1"/>
  <c r="CK750" i="10"/>
  <c r="CJ750" i="10"/>
  <c r="J55" i="34"/>
  <c r="CK553" i="10"/>
  <c r="CI553" i="10"/>
  <c r="CF553" i="10"/>
  <c r="CL553" i="10" s="1"/>
  <c r="CJ553" i="10"/>
  <c r="CG553" i="10"/>
  <c r="CH553" i="10"/>
  <c r="J338" i="34"/>
  <c r="CI836" i="10"/>
  <c r="CK836" i="10"/>
  <c r="CJ836" i="10"/>
  <c r="CF836" i="10"/>
  <c r="CL836" i="10" s="1"/>
  <c r="CH836" i="10"/>
  <c r="CG836" i="10"/>
  <c r="K9" i="34"/>
  <c r="BZ507" i="10"/>
  <c r="CD507" i="10" s="1"/>
  <c r="CR507" i="10"/>
  <c r="P9" i="34" s="1"/>
  <c r="CA507" i="10"/>
  <c r="CC507" i="10"/>
  <c r="CB507" i="10"/>
  <c r="AQ72" i="3"/>
  <c r="AO72" i="7"/>
  <c r="K89" i="34"/>
  <c r="CA587" i="10"/>
  <c r="CC587" i="10"/>
  <c r="BZ587" i="10"/>
  <c r="CD587" i="10" s="1"/>
  <c r="CB587" i="10"/>
  <c r="CR587" i="10"/>
  <c r="P89" i="34" s="1"/>
  <c r="I54" i="35"/>
  <c r="CG57" i="9"/>
  <c r="CI57" i="9"/>
  <c r="CH57" i="9"/>
  <c r="CF57" i="9"/>
  <c r="CJ57" i="9" s="1"/>
  <c r="CX57" i="9"/>
  <c r="O54" i="35" s="1"/>
  <c r="K331" i="34"/>
  <c r="CB829" i="10"/>
  <c r="CC829" i="10"/>
  <c r="BZ829" i="10"/>
  <c r="CD829" i="10" s="1"/>
  <c r="CA829" i="10"/>
  <c r="CR829" i="10"/>
  <c r="P331" i="34" s="1"/>
  <c r="CD857" i="10"/>
  <c r="AO92" i="3"/>
  <c r="AM92" i="10"/>
  <c r="AN92" i="10" s="1"/>
  <c r="AP92" i="10" s="1"/>
  <c r="AO92" i="7"/>
  <c r="AM92" i="7"/>
  <c r="AP92" i="3" s="1"/>
  <c r="AQ273" i="3"/>
  <c r="AO273" i="7"/>
  <c r="AQ175" i="3"/>
  <c r="AO175" i="7"/>
  <c r="K425" i="34"/>
  <c r="CA923" i="10"/>
  <c r="BZ923" i="10"/>
  <c r="CD923" i="10" s="1"/>
  <c r="CC923" i="10"/>
  <c r="CB923" i="10"/>
  <c r="CR923" i="10"/>
  <c r="P425" i="34" s="1"/>
  <c r="K283" i="34"/>
  <c r="CB781" i="10"/>
  <c r="CC781" i="10"/>
  <c r="CA781" i="10"/>
  <c r="BZ781" i="10"/>
  <c r="CD781" i="10" s="1"/>
  <c r="CR781" i="10"/>
  <c r="P283" i="34" s="1"/>
  <c r="K296" i="34"/>
  <c r="CC794" i="10"/>
  <c r="CA794" i="10"/>
  <c r="CB794" i="10"/>
  <c r="BZ794" i="10"/>
  <c r="CD794" i="10" s="1"/>
  <c r="CR794" i="10"/>
  <c r="P296" i="34" s="1"/>
  <c r="M13" i="28"/>
  <c r="H13" i="28"/>
  <c r="O13" i="28"/>
  <c r="I13" i="28"/>
  <c r="J13" i="28"/>
  <c r="AM45" i="10"/>
  <c r="AN45" i="10" s="1"/>
  <c r="AP45" i="10" s="1"/>
  <c r="AO45" i="7"/>
  <c r="AO45" i="3"/>
  <c r="AM45" i="7"/>
  <c r="AP45" i="3" s="1"/>
  <c r="K217" i="34"/>
  <c r="CB715" i="10"/>
  <c r="CA715" i="10"/>
  <c r="CC715" i="10"/>
  <c r="BZ715" i="10"/>
  <c r="CD715" i="10" s="1"/>
  <c r="CR715" i="10"/>
  <c r="P217" i="34" s="1"/>
  <c r="AQ136" i="3"/>
  <c r="AO136" i="7"/>
  <c r="K280" i="34"/>
  <c r="CB778" i="10"/>
  <c r="BZ778" i="10"/>
  <c r="CD778" i="10" s="1"/>
  <c r="CC778" i="10"/>
  <c r="CA778" i="10"/>
  <c r="CR778" i="10"/>
  <c r="P280" i="34" s="1"/>
  <c r="K277" i="34"/>
  <c r="CB775" i="10"/>
  <c r="BZ775" i="10"/>
  <c r="CD775" i="10" s="1"/>
  <c r="CC775" i="10"/>
  <c r="CA775" i="10"/>
  <c r="CR775" i="10"/>
  <c r="P277" i="34" s="1"/>
  <c r="J240" i="34"/>
  <c r="CK738" i="10"/>
  <c r="CJ738" i="10"/>
  <c r="CG738" i="10"/>
  <c r="CF738" i="10"/>
  <c r="CL738" i="10" s="1"/>
  <c r="CI738" i="10"/>
  <c r="CH738" i="10"/>
  <c r="K390" i="34"/>
  <c r="CC888" i="10"/>
  <c r="BZ888" i="10"/>
  <c r="CD888" i="10" s="1"/>
  <c r="CB888" i="10"/>
  <c r="CA888" i="10"/>
  <c r="CR888" i="10"/>
  <c r="P390" i="34" s="1"/>
  <c r="J387" i="34"/>
  <c r="CK885" i="10"/>
  <c r="CH885" i="10"/>
  <c r="CG885" i="10"/>
  <c r="CI885" i="10"/>
  <c r="CF885" i="10"/>
  <c r="CL885" i="10" s="1"/>
  <c r="CJ885" i="10"/>
  <c r="K332" i="34"/>
  <c r="CC830" i="10"/>
  <c r="BZ830" i="10"/>
  <c r="CD830" i="10" s="1"/>
  <c r="CB830" i="10"/>
  <c r="CA830" i="10"/>
  <c r="CR830" i="10"/>
  <c r="P332" i="34" s="1"/>
  <c r="AQ386" i="3"/>
  <c r="AO386" i="7"/>
  <c r="J53" i="35"/>
  <c r="CP56" i="9"/>
  <c r="CO56" i="9"/>
  <c r="CL56" i="9"/>
  <c r="CQ56" i="9" s="1"/>
  <c r="CN56" i="9"/>
  <c r="CM56" i="9"/>
  <c r="AQ356" i="3"/>
  <c r="AO356" i="7"/>
  <c r="J69" i="35"/>
  <c r="CO72" i="9"/>
  <c r="CN72" i="9"/>
  <c r="CM72" i="9"/>
  <c r="CP72" i="9"/>
  <c r="CL72" i="9"/>
  <c r="CQ72" i="9" s="1"/>
  <c r="O11" i="28"/>
  <c r="I11" i="28"/>
  <c r="M11" i="28"/>
  <c r="H11" i="28"/>
  <c r="J11" i="28"/>
  <c r="BP717" i="10"/>
  <c r="CD553" i="10"/>
  <c r="AM109" i="10"/>
  <c r="AN109" i="10" s="1"/>
  <c r="AP109" i="10" s="1"/>
  <c r="AO109" i="3"/>
  <c r="AM109" i="7"/>
  <c r="AP109" i="3" s="1"/>
  <c r="AO109" i="7"/>
  <c r="J217" i="34"/>
  <c r="CF715" i="10"/>
  <c r="CL715" i="10" s="1"/>
  <c r="CK715" i="10"/>
  <c r="CG715" i="10"/>
  <c r="CJ715" i="10"/>
  <c r="CI715" i="10"/>
  <c r="CH715" i="10"/>
  <c r="AO350" i="3"/>
  <c r="AM350" i="10"/>
  <c r="AN350" i="10" s="1"/>
  <c r="AP350" i="10" s="1"/>
  <c r="AO350" i="7"/>
  <c r="AM350" i="7"/>
  <c r="AP350" i="3" s="1"/>
  <c r="K279" i="34"/>
  <c r="CB777" i="10"/>
  <c r="CA777" i="10"/>
  <c r="CC777" i="10"/>
  <c r="BZ777" i="10"/>
  <c r="CD777" i="10" s="1"/>
  <c r="CR777" i="10"/>
  <c r="P279" i="34" s="1"/>
  <c r="AQ103" i="3"/>
  <c r="AO103" i="7"/>
  <c r="J307" i="34"/>
  <c r="CK805" i="10"/>
  <c r="CG805" i="10"/>
  <c r="CI805" i="10"/>
  <c r="CH805" i="10"/>
  <c r="CF805" i="10"/>
  <c r="CL805" i="10" s="1"/>
  <c r="CJ805" i="10"/>
  <c r="J20" i="34"/>
  <c r="CJ518" i="10"/>
  <c r="CG518" i="10"/>
  <c r="CF518" i="10"/>
  <c r="CL518" i="10" s="1"/>
  <c r="CK518" i="10"/>
  <c r="CI518" i="10"/>
  <c r="CH518" i="10"/>
  <c r="K299" i="34"/>
  <c r="CA797" i="10"/>
  <c r="CC797" i="10"/>
  <c r="CB797" i="10"/>
  <c r="BZ797" i="10"/>
  <c r="CD797" i="10" s="1"/>
  <c r="CR797" i="10"/>
  <c r="P299" i="34" s="1"/>
  <c r="K391" i="34"/>
  <c r="CC889" i="10"/>
  <c r="BZ889" i="10"/>
  <c r="CD889" i="10" s="1"/>
  <c r="CB889" i="10"/>
  <c r="CA889" i="10"/>
  <c r="CR889" i="10"/>
  <c r="P391" i="34" s="1"/>
  <c r="K321" i="34"/>
  <c r="BZ819" i="10"/>
  <c r="CD819" i="10" s="1"/>
  <c r="CC819" i="10"/>
  <c r="CB819" i="10"/>
  <c r="CR819" i="10"/>
  <c r="P321" i="34" s="1"/>
  <c r="CA819" i="10"/>
  <c r="AM96" i="10"/>
  <c r="AN96" i="10" s="1"/>
  <c r="AP96" i="10" s="1"/>
  <c r="AO96" i="7"/>
  <c r="AM96" i="7"/>
  <c r="AP96" i="3" s="1"/>
  <c r="AO96" i="3"/>
  <c r="AQ137" i="3"/>
  <c r="AO137" i="7"/>
  <c r="J11" i="34"/>
  <c r="CI509" i="10"/>
  <c r="CH509" i="10"/>
  <c r="CK509" i="10"/>
  <c r="CG509" i="10"/>
  <c r="CJ509" i="10"/>
  <c r="CF509" i="10"/>
  <c r="CL509" i="10" s="1"/>
  <c r="AQ93" i="3"/>
  <c r="AO93" i="7"/>
  <c r="AQ279" i="3"/>
  <c r="AO279" i="7"/>
  <c r="H217" i="8"/>
  <c r="F74" i="8"/>
  <c r="I23" i="35"/>
  <c r="CF26" i="9"/>
  <c r="CJ26" i="9" s="1"/>
  <c r="CI26" i="9"/>
  <c r="CH26" i="9"/>
  <c r="CG26" i="9"/>
  <c r="CX26" i="9"/>
  <c r="O23" i="35" s="1"/>
  <c r="J60" i="35"/>
  <c r="CN63" i="9"/>
  <c r="CM63" i="9"/>
  <c r="CL63" i="9"/>
  <c r="CQ63" i="9" s="1"/>
  <c r="CO63" i="9"/>
  <c r="CP63" i="9"/>
  <c r="J99" i="34"/>
  <c r="CK597" i="10"/>
  <c r="CH597" i="10"/>
  <c r="CF597" i="10"/>
  <c r="CL597" i="10" s="1"/>
  <c r="CG597" i="10"/>
  <c r="CI597" i="10"/>
  <c r="CJ597" i="10"/>
  <c r="J66" i="34"/>
  <c r="CK564" i="10"/>
  <c r="CH564" i="10"/>
  <c r="CG564" i="10"/>
  <c r="CF564" i="10"/>
  <c r="CL564" i="10" s="1"/>
  <c r="CJ564" i="10"/>
  <c r="CI564" i="10"/>
  <c r="K363" i="34"/>
  <c r="CB861" i="10"/>
  <c r="CA861" i="10"/>
  <c r="BZ861" i="10"/>
  <c r="CD861" i="10" s="1"/>
  <c r="CC861" i="10"/>
  <c r="CR861" i="10"/>
  <c r="P363" i="34" s="1"/>
  <c r="J63" i="34"/>
  <c r="CK561" i="10"/>
  <c r="CJ561" i="10"/>
  <c r="CG561" i="10"/>
  <c r="CI561" i="10"/>
  <c r="CH561" i="10"/>
  <c r="CF561" i="10"/>
  <c r="CL561" i="10" s="1"/>
  <c r="K261" i="34"/>
  <c r="CR759" i="10"/>
  <c r="P261" i="34" s="1"/>
  <c r="CC759" i="10"/>
  <c r="CB759" i="10"/>
  <c r="BZ759" i="10"/>
  <c r="CA759" i="10"/>
  <c r="G80" i="14"/>
  <c r="E80" i="14"/>
  <c r="K200" i="34"/>
  <c r="BZ698" i="10"/>
  <c r="CD698" i="10" s="1"/>
  <c r="CA698" i="10"/>
  <c r="CB698" i="10"/>
  <c r="CC698" i="10"/>
  <c r="CR698" i="10"/>
  <c r="P200" i="34" s="1"/>
  <c r="AQ13" i="3"/>
  <c r="AO13" i="7"/>
  <c r="AQ262" i="3"/>
  <c r="AO262" i="7"/>
  <c r="AQ211" i="3"/>
  <c r="AO211" i="7"/>
  <c r="J38" i="34"/>
  <c r="CI536" i="10"/>
  <c r="CH536" i="10"/>
  <c r="CK536" i="10"/>
  <c r="CG536" i="10"/>
  <c r="CJ536" i="10"/>
  <c r="CF536" i="10"/>
  <c r="CL536" i="10" s="1"/>
  <c r="J146" i="34"/>
  <c r="CH644" i="10"/>
  <c r="CK644" i="10"/>
  <c r="CJ644" i="10"/>
  <c r="CG644" i="10"/>
  <c r="CF644" i="10"/>
  <c r="CL644" i="10" s="1"/>
  <c r="CI644" i="10"/>
  <c r="K388" i="34"/>
  <c r="CB886" i="10"/>
  <c r="CA886" i="10"/>
  <c r="BZ886" i="10"/>
  <c r="CD886" i="10" s="1"/>
  <c r="CC886" i="10"/>
  <c r="CR886" i="10"/>
  <c r="P388" i="34" s="1"/>
  <c r="AQ378" i="3"/>
  <c r="AO378" i="7"/>
  <c r="AQ358" i="3"/>
  <c r="AO358" i="7"/>
  <c r="K369" i="34"/>
  <c r="CC867" i="10"/>
  <c r="CA867" i="10"/>
  <c r="BZ867" i="10"/>
  <c r="CD867" i="10" s="1"/>
  <c r="CB867" i="10"/>
  <c r="CR867" i="10"/>
  <c r="P369" i="34" s="1"/>
  <c r="J145" i="34"/>
  <c r="CG643" i="10"/>
  <c r="CF643" i="10"/>
  <c r="CL643" i="10" s="1"/>
  <c r="CK643" i="10"/>
  <c r="CJ643" i="10"/>
  <c r="CH643" i="10"/>
  <c r="CI643" i="10"/>
  <c r="K306" i="34"/>
  <c r="CB804" i="10"/>
  <c r="CA804" i="10"/>
  <c r="BZ804" i="10"/>
  <c r="CD804" i="10" s="1"/>
  <c r="CC804" i="10"/>
  <c r="CR804" i="10"/>
  <c r="P306" i="34" s="1"/>
  <c r="J161" i="34"/>
  <c r="CJ659" i="10"/>
  <c r="CI659" i="10"/>
  <c r="CG659" i="10"/>
  <c r="CF659" i="10"/>
  <c r="CL659" i="10" s="1"/>
  <c r="CH659" i="10"/>
  <c r="CK659" i="10"/>
  <c r="J423" i="34"/>
  <c r="CH921" i="10"/>
  <c r="CG921" i="10"/>
  <c r="CF921" i="10"/>
  <c r="CL921" i="10" s="1"/>
  <c r="CJ921" i="10"/>
  <c r="CI921" i="10"/>
  <c r="CK921" i="10"/>
  <c r="AQ278" i="10"/>
  <c r="AR278" i="10"/>
  <c r="I229" i="8"/>
  <c r="I48" i="35"/>
  <c r="CH51" i="9"/>
  <c r="CF51" i="9"/>
  <c r="CJ51" i="9" s="1"/>
  <c r="CG51" i="9"/>
  <c r="CI51" i="9"/>
  <c r="CX51" i="9"/>
  <c r="O48" i="35" s="1"/>
  <c r="H231" i="8"/>
  <c r="F88" i="8"/>
  <c r="K136" i="34"/>
  <c r="BZ634" i="10"/>
  <c r="CB634" i="10"/>
  <c r="CC634" i="10"/>
  <c r="CR634" i="10"/>
  <c r="P136" i="34" s="1"/>
  <c r="CA634" i="10"/>
  <c r="J54" i="35"/>
  <c r="CM57" i="9"/>
  <c r="CL57" i="9"/>
  <c r="CQ57" i="9" s="1"/>
  <c r="CP57" i="9"/>
  <c r="CN57" i="9"/>
  <c r="CO57" i="9"/>
  <c r="J29" i="34"/>
  <c r="CJ527" i="10"/>
  <c r="CF527" i="10"/>
  <c r="CL527" i="10" s="1"/>
  <c r="CK527" i="10"/>
  <c r="CI527" i="10"/>
  <c r="CH527" i="10"/>
  <c r="CG527" i="10"/>
  <c r="J321" i="34"/>
  <c r="CJ819" i="10"/>
  <c r="CI819" i="10"/>
  <c r="CH819" i="10"/>
  <c r="CF819" i="10"/>
  <c r="CL819" i="10" s="1"/>
  <c r="CK819" i="10"/>
  <c r="CG819" i="10"/>
  <c r="K352" i="34"/>
  <c r="CA850" i="10"/>
  <c r="BZ850" i="10"/>
  <c r="CD850" i="10" s="1"/>
  <c r="CC850" i="10"/>
  <c r="CB850" i="10"/>
  <c r="CR850" i="10"/>
  <c r="P352" i="34" s="1"/>
  <c r="M21" i="28"/>
  <c r="I21" i="28"/>
  <c r="H21" i="28"/>
  <c r="O21" i="28"/>
  <c r="J21" i="28"/>
  <c r="AM34" i="10"/>
  <c r="AN34" i="10" s="1"/>
  <c r="AP34" i="10" s="1"/>
  <c r="AO34" i="7"/>
  <c r="AO34" i="3"/>
  <c r="AM34" i="7"/>
  <c r="AP34" i="3" s="1"/>
  <c r="I55" i="35"/>
  <c r="CG58" i="9"/>
  <c r="CI58" i="9"/>
  <c r="CH58" i="9"/>
  <c r="CF58" i="9"/>
  <c r="CX58" i="9"/>
  <c r="O55" i="35" s="1"/>
  <c r="K157" i="34"/>
  <c r="CC655" i="10"/>
  <c r="CA655" i="10"/>
  <c r="CB655" i="10"/>
  <c r="CR655" i="10"/>
  <c r="P157" i="34" s="1"/>
  <c r="BZ655" i="10"/>
  <c r="K197" i="34"/>
  <c r="CA695" i="10"/>
  <c r="CC695" i="10"/>
  <c r="BZ695" i="10"/>
  <c r="CD695" i="10" s="1"/>
  <c r="CB695" i="10"/>
  <c r="CR695" i="10"/>
  <c r="P197" i="34" s="1"/>
  <c r="K207" i="34"/>
  <c r="BZ705" i="10"/>
  <c r="CD705" i="10" s="1"/>
  <c r="CB705" i="10"/>
  <c r="CC705" i="10"/>
  <c r="CA705" i="10"/>
  <c r="CR705" i="10"/>
  <c r="P207" i="34" s="1"/>
  <c r="J391" i="34"/>
  <c r="CH889" i="10"/>
  <c r="CG889" i="10"/>
  <c r="CF889" i="10"/>
  <c r="CL889" i="10" s="1"/>
  <c r="CK889" i="10"/>
  <c r="CJ889" i="10"/>
  <c r="CI889" i="10"/>
  <c r="J176" i="34"/>
  <c r="CK674" i="10"/>
  <c r="CI674" i="10"/>
  <c r="CF674" i="10"/>
  <c r="CL674" i="10" s="1"/>
  <c r="CJ674" i="10"/>
  <c r="CG674" i="10"/>
  <c r="CH674" i="10"/>
  <c r="AV407" i="3"/>
  <c r="B32" i="4"/>
  <c r="C316" i="8"/>
  <c r="AM260" i="10"/>
  <c r="AN260" i="10" s="1"/>
  <c r="AP260" i="10" s="1"/>
  <c r="AO260" i="7"/>
  <c r="AM260" i="7"/>
  <c r="AP260" i="3" s="1"/>
  <c r="AO260" i="3"/>
  <c r="BP843" i="10"/>
  <c r="J29" i="35"/>
  <c r="CP32" i="9"/>
  <c r="CN32" i="9"/>
  <c r="CM32" i="9"/>
  <c r="CL32" i="9"/>
  <c r="CQ32" i="9" s="1"/>
  <c r="CO32" i="9"/>
  <c r="J94" i="34"/>
  <c r="CI592" i="10"/>
  <c r="CF592" i="10"/>
  <c r="CL592" i="10" s="1"/>
  <c r="CJ592" i="10"/>
  <c r="CG592" i="10"/>
  <c r="CH592" i="10"/>
  <c r="CK592" i="10"/>
  <c r="J8" i="34"/>
  <c r="CI506" i="10"/>
  <c r="CK506" i="10"/>
  <c r="CJ506" i="10"/>
  <c r="CH506" i="10"/>
  <c r="CG506" i="10"/>
  <c r="CF506" i="10"/>
  <c r="CL506" i="10" s="1"/>
  <c r="AQ280" i="3"/>
  <c r="AO280" i="7"/>
  <c r="I63" i="35"/>
  <c r="CI66" i="9"/>
  <c r="CF66" i="9"/>
  <c r="CJ66" i="9" s="1"/>
  <c r="CH66" i="9"/>
  <c r="CG66" i="9"/>
  <c r="CX66" i="9"/>
  <c r="O63" i="35" s="1"/>
  <c r="J218" i="34"/>
  <c r="CK716" i="10"/>
  <c r="CJ716" i="10"/>
  <c r="CH716" i="10"/>
  <c r="CG716" i="10"/>
  <c r="CF716" i="10"/>
  <c r="CL716" i="10" s="1"/>
  <c r="CI716" i="10"/>
  <c r="J90" i="34"/>
  <c r="CJ588" i="10"/>
  <c r="CF588" i="10"/>
  <c r="CL588" i="10" s="1"/>
  <c r="CK588" i="10"/>
  <c r="CI588" i="10"/>
  <c r="CH588" i="10"/>
  <c r="CG588" i="10"/>
  <c r="K317" i="34"/>
  <c r="CB815" i="10"/>
  <c r="CC815" i="10"/>
  <c r="CA815" i="10"/>
  <c r="BZ815" i="10"/>
  <c r="CD815" i="10" s="1"/>
  <c r="CR815" i="10"/>
  <c r="P317" i="34" s="1"/>
  <c r="I21" i="35"/>
  <c r="CG24" i="9"/>
  <c r="CF24" i="9"/>
  <c r="CJ24" i="9" s="1"/>
  <c r="CX24" i="9"/>
  <c r="O21" i="35" s="1"/>
  <c r="CI24" i="9"/>
  <c r="CH24" i="9"/>
  <c r="J48" i="35"/>
  <c r="CN51" i="9"/>
  <c r="CP51" i="9"/>
  <c r="CM51" i="9"/>
  <c r="CO51" i="9"/>
  <c r="CL51" i="9"/>
  <c r="CQ51" i="9" s="1"/>
  <c r="K199" i="34"/>
  <c r="CC697" i="10"/>
  <c r="CR697" i="10"/>
  <c r="P199" i="34" s="1"/>
  <c r="CB697" i="10"/>
  <c r="BZ697" i="10"/>
  <c r="CD697" i="10" s="1"/>
  <c r="CA697" i="10"/>
  <c r="J231" i="34"/>
  <c r="CJ729" i="10"/>
  <c r="CI729" i="10"/>
  <c r="CG729" i="10"/>
  <c r="CH729" i="10"/>
  <c r="CK729" i="10"/>
  <c r="CF729" i="10"/>
  <c r="CL729" i="10" s="1"/>
  <c r="J47" i="34"/>
  <c r="CG545" i="10"/>
  <c r="CK545" i="10"/>
  <c r="CJ545" i="10"/>
  <c r="CI545" i="10"/>
  <c r="CH545" i="10"/>
  <c r="CF545" i="10"/>
  <c r="CL545" i="10" s="1"/>
  <c r="J85" i="34"/>
  <c r="CF583" i="10"/>
  <c r="CL583" i="10" s="1"/>
  <c r="CK583" i="10"/>
  <c r="CI583" i="10"/>
  <c r="CJ583" i="10"/>
  <c r="CH583" i="10"/>
  <c r="CG583" i="10"/>
  <c r="J241" i="34"/>
  <c r="CH739" i="10"/>
  <c r="CG739" i="10"/>
  <c r="CF739" i="10"/>
  <c r="CL739" i="10" s="1"/>
  <c r="CI739" i="10"/>
  <c r="CK739" i="10"/>
  <c r="CJ739" i="10"/>
  <c r="I8" i="17"/>
  <c r="BP894" i="10"/>
  <c r="J4" i="35"/>
  <c r="CM7" i="9"/>
  <c r="CL7" i="9"/>
  <c r="CQ7" i="9" s="1"/>
  <c r="CP7" i="9"/>
  <c r="CO7" i="9"/>
  <c r="CN7" i="9"/>
  <c r="CX7" i="9"/>
  <c r="O4" i="35" s="1"/>
  <c r="I42" i="35"/>
  <c r="CI45" i="9"/>
  <c r="CF45" i="9"/>
  <c r="CJ45" i="9" s="1"/>
  <c r="CG45" i="9"/>
  <c r="CH45" i="9"/>
  <c r="CX45" i="9"/>
  <c r="O42" i="35" s="1"/>
  <c r="K218" i="34"/>
  <c r="CC716" i="10"/>
  <c r="BZ716" i="10"/>
  <c r="CB716" i="10"/>
  <c r="CA716" i="10"/>
  <c r="CR716" i="10"/>
  <c r="P218" i="34" s="1"/>
  <c r="K170" i="34"/>
  <c r="BZ668" i="10"/>
  <c r="CD668" i="10" s="1"/>
  <c r="CC668" i="10"/>
  <c r="CB668" i="10"/>
  <c r="CA668" i="10"/>
  <c r="CR668" i="10"/>
  <c r="P170" i="34" s="1"/>
  <c r="AQ267" i="3"/>
  <c r="AO267" i="7"/>
  <c r="J9" i="35"/>
  <c r="CP12" i="9"/>
  <c r="CO12" i="9"/>
  <c r="CM12" i="9"/>
  <c r="CN12" i="9"/>
  <c r="CL12" i="9"/>
  <c r="CQ12" i="9" s="1"/>
  <c r="I19" i="35"/>
  <c r="CH22" i="9"/>
  <c r="CG22" i="9"/>
  <c r="CF22" i="9"/>
  <c r="CI22" i="9"/>
  <c r="CX22" i="9"/>
  <c r="O19" i="35" s="1"/>
  <c r="AQ293" i="3"/>
  <c r="AO293" i="7"/>
  <c r="J285" i="34"/>
  <c r="CK783" i="10"/>
  <c r="CJ783" i="10"/>
  <c r="CG783" i="10"/>
  <c r="CI783" i="10"/>
  <c r="CH783" i="10"/>
  <c r="CF783" i="10"/>
  <c r="CL783" i="10" s="1"/>
  <c r="K165" i="34"/>
  <c r="CA663" i="10"/>
  <c r="CR663" i="10"/>
  <c r="P165" i="34" s="1"/>
  <c r="CC663" i="10"/>
  <c r="BZ663" i="10"/>
  <c r="CD663" i="10" s="1"/>
  <c r="CB663" i="10"/>
  <c r="K13" i="34"/>
  <c r="CC511" i="10"/>
  <c r="CB511" i="10"/>
  <c r="CA511" i="10"/>
  <c r="BZ511" i="10"/>
  <c r="CD511" i="10" s="1"/>
  <c r="CR511" i="10"/>
  <c r="P13" i="34" s="1"/>
  <c r="K58" i="34"/>
  <c r="CC556" i="10"/>
  <c r="CB556" i="10"/>
  <c r="CA556" i="10"/>
  <c r="CR556" i="10"/>
  <c r="P58" i="34" s="1"/>
  <c r="BZ556" i="10"/>
  <c r="CD556" i="10" s="1"/>
  <c r="J303" i="34"/>
  <c r="CK801" i="10"/>
  <c r="CJ801" i="10"/>
  <c r="CI801" i="10"/>
  <c r="CH801" i="10"/>
  <c r="CF801" i="10"/>
  <c r="CL801" i="10" s="1"/>
  <c r="CG801" i="10"/>
  <c r="J230" i="34"/>
  <c r="CH728" i="10"/>
  <c r="CG728" i="10"/>
  <c r="CI728" i="10"/>
  <c r="CF728" i="10"/>
  <c r="CL728" i="10" s="1"/>
  <c r="CJ728" i="10"/>
  <c r="CK728" i="10"/>
  <c r="K338" i="34"/>
  <c r="CC836" i="10"/>
  <c r="CB836" i="10"/>
  <c r="CA836" i="10"/>
  <c r="BZ836" i="10"/>
  <c r="CR836" i="10"/>
  <c r="P338" i="34" s="1"/>
  <c r="K82" i="34"/>
  <c r="CB580" i="10"/>
  <c r="CA580" i="10"/>
  <c r="CC580" i="10"/>
  <c r="BZ580" i="10"/>
  <c r="CD580" i="10" s="1"/>
  <c r="CR580" i="10"/>
  <c r="P82" i="34" s="1"/>
  <c r="J213" i="34"/>
  <c r="CI711" i="10"/>
  <c r="CJ711" i="10"/>
  <c r="CG711" i="10"/>
  <c r="CF711" i="10"/>
  <c r="CL711" i="10" s="1"/>
  <c r="CK711" i="10"/>
  <c r="CH711" i="10"/>
  <c r="J280" i="34"/>
  <c r="CK778" i="10"/>
  <c r="CJ778" i="10"/>
  <c r="CI778" i="10"/>
  <c r="CG778" i="10"/>
  <c r="CH778" i="10"/>
  <c r="CF778" i="10"/>
  <c r="CL778" i="10" s="1"/>
  <c r="J394" i="34"/>
  <c r="CK892" i="10"/>
  <c r="CJ892" i="10"/>
  <c r="CF892" i="10"/>
  <c r="CL892" i="10" s="1"/>
  <c r="CH892" i="10"/>
  <c r="CI892" i="10"/>
  <c r="CG892" i="10"/>
  <c r="J320" i="34"/>
  <c r="CF818" i="10"/>
  <c r="CL818" i="10" s="1"/>
  <c r="CI818" i="10"/>
  <c r="CK818" i="10"/>
  <c r="CJ818" i="10"/>
  <c r="CH818" i="10"/>
  <c r="CG818" i="10"/>
  <c r="J323" i="34"/>
  <c r="CK821" i="10"/>
  <c r="CJ821" i="10"/>
  <c r="CH821" i="10"/>
  <c r="CF821" i="10"/>
  <c r="CL821" i="10" s="1"/>
  <c r="CG821" i="10"/>
  <c r="CI821" i="10"/>
  <c r="K336" i="34"/>
  <c r="CC834" i="10"/>
  <c r="BZ834" i="10"/>
  <c r="CB834" i="10"/>
  <c r="CR834" i="10"/>
  <c r="P336" i="34" s="1"/>
  <c r="CA834" i="10"/>
  <c r="K340" i="34"/>
  <c r="CB838" i="10"/>
  <c r="CC838" i="10"/>
  <c r="CA838" i="10"/>
  <c r="BZ838" i="10"/>
  <c r="CD838" i="10" s="1"/>
  <c r="CR838" i="10"/>
  <c r="P340" i="34" s="1"/>
  <c r="O19" i="28"/>
  <c r="M19" i="28"/>
  <c r="H19" i="28"/>
  <c r="I19" i="28"/>
  <c r="J19" i="28"/>
  <c r="I20" i="28"/>
  <c r="H20" i="28"/>
  <c r="M20" i="28"/>
  <c r="O20" i="28"/>
  <c r="I9" i="17"/>
  <c r="AO40" i="7"/>
  <c r="CR536" i="10"/>
  <c r="P38" i="34" s="1"/>
  <c r="AO139" i="3"/>
  <c r="AM139" i="10"/>
  <c r="AN139" i="10" s="1"/>
  <c r="AP139" i="10" s="1"/>
  <c r="AM139" i="7"/>
  <c r="AP139" i="3" s="1"/>
  <c r="AO139" i="7"/>
  <c r="BP614" i="10"/>
  <c r="K182" i="34"/>
  <c r="CC680" i="10"/>
  <c r="BZ680" i="10"/>
  <c r="CD680" i="10" s="1"/>
  <c r="CB680" i="10"/>
  <c r="CA680" i="10"/>
  <c r="CR680" i="10"/>
  <c r="P182" i="34" s="1"/>
  <c r="I5" i="35"/>
  <c r="CH8" i="9"/>
  <c r="CF8" i="9"/>
  <c r="CJ8" i="9" s="1"/>
  <c r="CG8" i="9"/>
  <c r="CX8" i="9"/>
  <c r="O5" i="35" s="1"/>
  <c r="CI8" i="9"/>
  <c r="D144" i="22"/>
  <c r="E144" i="22" s="1"/>
  <c r="D146" i="22"/>
  <c r="E146" i="22" s="1"/>
  <c r="AQ418" i="3"/>
  <c r="AO418" i="7"/>
  <c r="AQ315" i="3"/>
  <c r="AO315" i="7"/>
  <c r="I7" i="35"/>
  <c r="CH10" i="9"/>
  <c r="CG10" i="9"/>
  <c r="CI10" i="9"/>
  <c r="CF10" i="9"/>
  <c r="CJ10" i="9" s="1"/>
  <c r="CX10" i="9"/>
  <c r="O7" i="35" s="1"/>
  <c r="J22" i="35"/>
  <c r="CO25" i="9"/>
  <c r="CL25" i="9"/>
  <c r="CQ25" i="9" s="1"/>
  <c r="CP25" i="9"/>
  <c r="CN25" i="9"/>
  <c r="CM25" i="9"/>
  <c r="AQ385" i="3"/>
  <c r="AO385" i="7"/>
  <c r="AQ245" i="3"/>
  <c r="AO245" i="7"/>
  <c r="J56" i="35"/>
  <c r="CO59" i="9"/>
  <c r="CN59" i="9"/>
  <c r="CM59" i="9"/>
  <c r="CL59" i="9"/>
  <c r="CQ59" i="9" s="1"/>
  <c r="CP59" i="9"/>
  <c r="CX59" i="9"/>
  <c r="O56" i="35" s="1"/>
  <c r="AQ172" i="3"/>
  <c r="AO172" i="7"/>
  <c r="K121" i="34"/>
  <c r="CA619" i="10"/>
  <c r="CC619" i="10"/>
  <c r="CB619" i="10"/>
  <c r="BZ619" i="10"/>
  <c r="CD619" i="10" s="1"/>
  <c r="CR619" i="10"/>
  <c r="P121" i="34" s="1"/>
  <c r="H220" i="8"/>
  <c r="F77" i="8"/>
  <c r="AQ275" i="3"/>
  <c r="AO275" i="7"/>
  <c r="J318" i="34"/>
  <c r="CK816" i="10"/>
  <c r="CJ816" i="10"/>
  <c r="CI816" i="10"/>
  <c r="CF816" i="10"/>
  <c r="CL816" i="10" s="1"/>
  <c r="CH816" i="10"/>
  <c r="CG816" i="10"/>
  <c r="AQ331" i="3"/>
  <c r="AO331" i="7"/>
  <c r="K22" i="34"/>
  <c r="CC520" i="10"/>
  <c r="CB520" i="10"/>
  <c r="CA520" i="10"/>
  <c r="BZ520" i="10"/>
  <c r="CD520" i="10" s="1"/>
  <c r="CR520" i="10"/>
  <c r="P22" i="34" s="1"/>
  <c r="K315" i="34"/>
  <c r="CC813" i="10"/>
  <c r="CB813" i="10"/>
  <c r="BZ813" i="10"/>
  <c r="CD813" i="10" s="1"/>
  <c r="CA813" i="10"/>
  <c r="CR813" i="10"/>
  <c r="P315" i="34" s="1"/>
  <c r="AQ173" i="3"/>
  <c r="AO173" i="7"/>
  <c r="J330" i="34"/>
  <c r="CH828" i="10"/>
  <c r="CG828" i="10"/>
  <c r="CF828" i="10"/>
  <c r="CL828" i="10" s="1"/>
  <c r="CJ828" i="10"/>
  <c r="CK828" i="10"/>
  <c r="CI828" i="10"/>
  <c r="CR828" i="10"/>
  <c r="P330" i="34" s="1"/>
  <c r="J67" i="35"/>
  <c r="CP70" i="9"/>
  <c r="CO70" i="9"/>
  <c r="CM70" i="9"/>
  <c r="CL70" i="9"/>
  <c r="CQ70" i="9" s="1"/>
  <c r="CN70" i="9"/>
  <c r="K190" i="34"/>
  <c r="CC688" i="10"/>
  <c r="CB688" i="10"/>
  <c r="CA688" i="10"/>
  <c r="BZ688" i="10"/>
  <c r="CD688" i="10" s="1"/>
  <c r="CR688" i="10"/>
  <c r="P190" i="34" s="1"/>
  <c r="J177" i="34"/>
  <c r="CJ675" i="10"/>
  <c r="CI675" i="10"/>
  <c r="CF675" i="10"/>
  <c r="CL675" i="10" s="1"/>
  <c r="CG675" i="10"/>
  <c r="CK675" i="10"/>
  <c r="CH675" i="10"/>
  <c r="J126" i="34"/>
  <c r="CK624" i="10"/>
  <c r="CH624" i="10"/>
  <c r="CJ624" i="10"/>
  <c r="CI624" i="10"/>
  <c r="CF624" i="10"/>
  <c r="CL624" i="10" s="1"/>
  <c r="CG624" i="10"/>
  <c r="K327" i="34"/>
  <c r="CC825" i="10"/>
  <c r="BZ825" i="10"/>
  <c r="CD825" i="10" s="1"/>
  <c r="CA825" i="10"/>
  <c r="CB825" i="10"/>
  <c r="CR825" i="10"/>
  <c r="P327" i="34" s="1"/>
  <c r="K256" i="34"/>
  <c r="CB754" i="10"/>
  <c r="CC754" i="10"/>
  <c r="CA754" i="10"/>
  <c r="BZ754" i="10"/>
  <c r="CD754" i="10" s="1"/>
  <c r="CR754" i="10"/>
  <c r="P256" i="34" s="1"/>
  <c r="K342" i="34"/>
  <c r="CA840" i="10"/>
  <c r="CC840" i="10"/>
  <c r="CB840" i="10"/>
  <c r="BZ840" i="10"/>
  <c r="CD840" i="10" s="1"/>
  <c r="CR840" i="10"/>
  <c r="P342" i="34" s="1"/>
  <c r="K85" i="34"/>
  <c r="CA583" i="10"/>
  <c r="CC583" i="10"/>
  <c r="CB583" i="10"/>
  <c r="BZ583" i="10"/>
  <c r="CD583" i="10" s="1"/>
  <c r="CR583" i="10"/>
  <c r="P85" i="34" s="1"/>
  <c r="J121" i="34"/>
  <c r="CJ619" i="10"/>
  <c r="CG619" i="10"/>
  <c r="CF619" i="10"/>
  <c r="CL619" i="10" s="1"/>
  <c r="CI619" i="10"/>
  <c r="CK619" i="10"/>
  <c r="CH619" i="10"/>
  <c r="J220" i="34"/>
  <c r="CI718" i="10"/>
  <c r="CF718" i="10"/>
  <c r="CL718" i="10" s="1"/>
  <c r="CK718" i="10"/>
  <c r="CH718" i="10"/>
  <c r="CJ718" i="10"/>
  <c r="CG718" i="10"/>
  <c r="E86" i="14"/>
  <c r="G86" i="14"/>
  <c r="K96" i="34"/>
  <c r="CA594" i="10"/>
  <c r="CB594" i="10"/>
  <c r="BZ594" i="10"/>
  <c r="CD594" i="10" s="1"/>
  <c r="CC594" i="10"/>
  <c r="CR594" i="10"/>
  <c r="P96" i="34" s="1"/>
  <c r="K423" i="34"/>
  <c r="CC921" i="10"/>
  <c r="CA921" i="10"/>
  <c r="CB921" i="10"/>
  <c r="BZ921" i="10"/>
  <c r="CD921" i="10" s="1"/>
  <c r="CR921" i="10"/>
  <c r="P423" i="34" s="1"/>
  <c r="K205" i="34"/>
  <c r="CR703" i="10"/>
  <c r="P205" i="34" s="1"/>
  <c r="CA703" i="10"/>
  <c r="CB703" i="10"/>
  <c r="BZ703" i="10"/>
  <c r="CC703" i="10"/>
  <c r="J292" i="34"/>
  <c r="CK790" i="10"/>
  <c r="CH790" i="10"/>
  <c r="CG790" i="10"/>
  <c r="CF790" i="10"/>
  <c r="CL790" i="10" s="1"/>
  <c r="CI790" i="10"/>
  <c r="CJ790" i="10"/>
  <c r="K377" i="34"/>
  <c r="CC875" i="10"/>
  <c r="CB875" i="10"/>
  <c r="CA875" i="10"/>
  <c r="BZ875" i="10"/>
  <c r="CD875" i="10" s="1"/>
  <c r="CR875" i="10"/>
  <c r="P377" i="34" s="1"/>
  <c r="K341" i="34"/>
  <c r="CA839" i="10"/>
  <c r="CC839" i="10"/>
  <c r="BZ839" i="10"/>
  <c r="CD839" i="10" s="1"/>
  <c r="CR839" i="10"/>
  <c r="P341" i="34" s="1"/>
  <c r="CB839" i="10"/>
  <c r="M35" i="28"/>
  <c r="H35" i="28"/>
  <c r="I35" i="28"/>
  <c r="O35" i="28"/>
  <c r="J35" i="28"/>
  <c r="I15" i="28"/>
  <c r="H15" i="28"/>
  <c r="O15" i="28"/>
  <c r="M15" i="28"/>
  <c r="J15" i="28"/>
  <c r="I15" i="17"/>
  <c r="AQ40" i="10"/>
  <c r="BP618" i="10"/>
  <c r="AV14" i="3"/>
  <c r="B16" i="4"/>
  <c r="K247" i="34"/>
  <c r="CC745" i="10"/>
  <c r="CB745" i="10"/>
  <c r="BZ745" i="10"/>
  <c r="CD745" i="10" s="1"/>
  <c r="CA745" i="10"/>
  <c r="CR745" i="10"/>
  <c r="P247" i="34" s="1"/>
  <c r="K34" i="34"/>
  <c r="CC532" i="10"/>
  <c r="CB532" i="10"/>
  <c r="CA532" i="10"/>
  <c r="BZ532" i="10"/>
  <c r="CD532" i="10" s="1"/>
  <c r="CR532" i="10"/>
  <c r="P34" i="34" s="1"/>
  <c r="AQ312" i="3"/>
  <c r="AO312" i="7"/>
  <c r="J51" i="35"/>
  <c r="CP54" i="9"/>
  <c r="CO54" i="9"/>
  <c r="CM54" i="9"/>
  <c r="CN54" i="9"/>
  <c r="CL54" i="9"/>
  <c r="CQ54" i="9" s="1"/>
  <c r="J200" i="34"/>
  <c r="CK698" i="10"/>
  <c r="CJ698" i="10"/>
  <c r="CF698" i="10"/>
  <c r="CL698" i="10" s="1"/>
  <c r="CH698" i="10"/>
  <c r="CI698" i="10"/>
  <c r="CG698" i="10"/>
  <c r="K221" i="34"/>
  <c r="CC719" i="10"/>
  <c r="BZ719" i="10"/>
  <c r="CD719" i="10" s="1"/>
  <c r="CB719" i="10"/>
  <c r="CA719" i="10"/>
  <c r="CR719" i="10"/>
  <c r="P221" i="34" s="1"/>
  <c r="J111" i="34"/>
  <c r="CH609" i="10"/>
  <c r="CK609" i="10"/>
  <c r="CG609" i="10"/>
  <c r="CF609" i="10"/>
  <c r="CL609" i="10" s="1"/>
  <c r="CI609" i="10"/>
  <c r="CJ609" i="10"/>
  <c r="AQ30" i="3"/>
  <c r="AO30" i="7"/>
  <c r="J52" i="35"/>
  <c r="CP55" i="9"/>
  <c r="CM55" i="9"/>
  <c r="CL55" i="9"/>
  <c r="CQ55" i="9" s="1"/>
  <c r="CO55" i="9"/>
  <c r="CN55" i="9"/>
  <c r="J235" i="34"/>
  <c r="CH733" i="10"/>
  <c r="CK733" i="10"/>
  <c r="CI733" i="10"/>
  <c r="CJ733" i="10"/>
  <c r="CG733" i="10"/>
  <c r="CF733" i="10"/>
  <c r="CL733" i="10" s="1"/>
  <c r="K103" i="34"/>
  <c r="CA601" i="10"/>
  <c r="CB601" i="10"/>
  <c r="BZ601" i="10"/>
  <c r="CD601" i="10" s="1"/>
  <c r="CC601" i="10"/>
  <c r="CR601" i="10"/>
  <c r="P103" i="34" s="1"/>
  <c r="K334" i="34"/>
  <c r="CC832" i="10"/>
  <c r="BZ832" i="10"/>
  <c r="CD832" i="10" s="1"/>
  <c r="CB832" i="10"/>
  <c r="CA832" i="10"/>
  <c r="CR832" i="10"/>
  <c r="P334" i="34" s="1"/>
  <c r="J289" i="34"/>
  <c r="CG787" i="10"/>
  <c r="CJ787" i="10"/>
  <c r="CF787" i="10"/>
  <c r="CL787" i="10" s="1"/>
  <c r="CI787" i="10"/>
  <c r="CH787" i="10"/>
  <c r="CK787" i="10"/>
  <c r="F108" i="12"/>
  <c r="F103" i="12"/>
  <c r="F102" i="12"/>
  <c r="F100" i="12"/>
  <c r="F109" i="12"/>
  <c r="F110" i="12"/>
  <c r="F111" i="12"/>
  <c r="F113" i="12"/>
  <c r="F112" i="12"/>
  <c r="F101" i="12"/>
  <c r="F106" i="12"/>
  <c r="F107" i="12"/>
  <c r="F105" i="12"/>
  <c r="F104" i="12"/>
  <c r="O5" i="8"/>
  <c r="G5" i="8"/>
  <c r="I5" i="8"/>
  <c r="K370" i="34"/>
  <c r="CC868" i="10"/>
  <c r="CB868" i="10"/>
  <c r="CA868" i="10"/>
  <c r="BZ868" i="10"/>
  <c r="CD868" i="10" s="1"/>
  <c r="CR868" i="10"/>
  <c r="P370" i="34" s="1"/>
  <c r="AQ48" i="3"/>
  <c r="AO48" i="7"/>
  <c r="J21" i="35"/>
  <c r="CP24" i="9"/>
  <c r="CL24" i="9"/>
  <c r="CQ24" i="9" s="1"/>
  <c r="CO24" i="9"/>
  <c r="CN24" i="9"/>
  <c r="CM24" i="9"/>
  <c r="J260" i="34"/>
  <c r="CH758" i="10"/>
  <c r="CG758" i="10"/>
  <c r="CF758" i="10"/>
  <c r="CL758" i="10" s="1"/>
  <c r="CK758" i="10"/>
  <c r="CJ758" i="10"/>
  <c r="CI758" i="10"/>
  <c r="AQ145" i="3"/>
  <c r="AO145" i="7"/>
  <c r="K367" i="34"/>
  <c r="CA865" i="10"/>
  <c r="CC865" i="10"/>
  <c r="CB865" i="10"/>
  <c r="BZ865" i="10"/>
  <c r="CD865" i="10" s="1"/>
  <c r="CR865" i="10"/>
  <c r="P367" i="34" s="1"/>
  <c r="K323" i="34"/>
  <c r="CC821" i="10"/>
  <c r="CB821" i="10"/>
  <c r="CA821" i="10"/>
  <c r="BZ821" i="10"/>
  <c r="CD821" i="10" s="1"/>
  <c r="CR821" i="10"/>
  <c r="P323" i="34" s="1"/>
  <c r="J336" i="34"/>
  <c r="CJ834" i="10"/>
  <c r="CI834" i="10"/>
  <c r="CF834" i="10"/>
  <c r="CL834" i="10" s="1"/>
  <c r="CK834" i="10"/>
  <c r="CH834" i="10"/>
  <c r="CG834" i="10"/>
  <c r="J355" i="34"/>
  <c r="CK853" i="10"/>
  <c r="CG853" i="10"/>
  <c r="CF853" i="10"/>
  <c r="CL853" i="10" s="1"/>
  <c r="CJ853" i="10"/>
  <c r="CI853" i="10"/>
  <c r="CH853" i="10"/>
  <c r="J10" i="17"/>
  <c r="K10" i="17"/>
  <c r="K100" i="34"/>
  <c r="CA598" i="10"/>
  <c r="CB598" i="10"/>
  <c r="BZ598" i="10"/>
  <c r="CD598" i="10" s="1"/>
  <c r="CC598" i="10"/>
  <c r="CR598" i="10"/>
  <c r="P100" i="34" s="1"/>
  <c r="AQ251" i="3"/>
  <c r="AO251" i="7"/>
  <c r="K99" i="34"/>
  <c r="CB597" i="10"/>
  <c r="CA597" i="10"/>
  <c r="CC597" i="10"/>
  <c r="BZ597" i="10"/>
  <c r="CD597" i="10" s="1"/>
  <c r="CR597" i="10"/>
  <c r="P99" i="34" s="1"/>
  <c r="K392" i="34"/>
  <c r="CA890" i="10"/>
  <c r="BZ890" i="10"/>
  <c r="CD890" i="10" s="1"/>
  <c r="CC890" i="10"/>
  <c r="CB890" i="10"/>
  <c r="CR890" i="10"/>
  <c r="P392" i="34" s="1"/>
  <c r="J180" i="34"/>
  <c r="CF678" i="10"/>
  <c r="CL678" i="10" s="1"/>
  <c r="CJ678" i="10"/>
  <c r="CH678" i="10"/>
  <c r="CK678" i="10"/>
  <c r="CI678" i="10"/>
  <c r="CG678" i="10"/>
  <c r="L885" i="10"/>
  <c r="BF885" i="10"/>
  <c r="BH885" i="10" s="1"/>
  <c r="AO259" i="7"/>
  <c r="AM259" i="10"/>
  <c r="AN259" i="10" s="1"/>
  <c r="AP259" i="10" s="1"/>
  <c r="AM259" i="7"/>
  <c r="AP259" i="3" s="1"/>
  <c r="AO259" i="3"/>
  <c r="AQ31" i="3"/>
  <c r="AO31" i="7"/>
  <c r="K55" i="34"/>
  <c r="CB553" i="10"/>
  <c r="CA553" i="10"/>
  <c r="CC553" i="10"/>
  <c r="BZ553" i="10"/>
  <c r="CR553" i="10"/>
  <c r="P55" i="34" s="1"/>
  <c r="J410" i="34"/>
  <c r="CK908" i="10"/>
  <c r="CJ908" i="10"/>
  <c r="CI908" i="10"/>
  <c r="CH908" i="10"/>
  <c r="CG908" i="10"/>
  <c r="CF908" i="10"/>
  <c r="CL908" i="10" s="1"/>
  <c r="J290" i="34"/>
  <c r="CK788" i="10"/>
  <c r="CJ788" i="10"/>
  <c r="CF788" i="10"/>
  <c r="CL788" i="10" s="1"/>
  <c r="CH788" i="10"/>
  <c r="CG788" i="10"/>
  <c r="CI788" i="10"/>
  <c r="AO162" i="7"/>
  <c r="BC547" i="10"/>
  <c r="BP547" i="10"/>
  <c r="AQ299" i="3"/>
  <c r="AO299" i="7"/>
  <c r="I12" i="35"/>
  <c r="CH15" i="9"/>
  <c r="CI15" i="9"/>
  <c r="CG15" i="9"/>
  <c r="CF15" i="9"/>
  <c r="CX15" i="9"/>
  <c r="O12" i="35" s="1"/>
  <c r="K175" i="34"/>
  <c r="CA673" i="10"/>
  <c r="CC673" i="10"/>
  <c r="CB673" i="10"/>
  <c r="BZ673" i="10"/>
  <c r="CD673" i="10" s="1"/>
  <c r="CR673" i="10"/>
  <c r="P175" i="34" s="1"/>
  <c r="K288" i="34"/>
  <c r="CR786" i="10"/>
  <c r="P288" i="34" s="1"/>
  <c r="BZ786" i="10"/>
  <c r="CD786" i="10" s="1"/>
  <c r="CC786" i="10"/>
  <c r="CB786" i="10"/>
  <c r="CA786" i="10"/>
  <c r="J313" i="34"/>
  <c r="CJ811" i="10"/>
  <c r="CI811" i="10"/>
  <c r="CH811" i="10"/>
  <c r="CG811" i="10"/>
  <c r="CK811" i="10"/>
  <c r="CF811" i="10"/>
  <c r="CL811" i="10" s="1"/>
  <c r="J119" i="34"/>
  <c r="CK617" i="10"/>
  <c r="CH617" i="10"/>
  <c r="CG617" i="10"/>
  <c r="CF617" i="10"/>
  <c r="CL617" i="10" s="1"/>
  <c r="CJ617" i="10"/>
  <c r="CI617" i="10"/>
  <c r="CR617" i="10"/>
  <c r="P119" i="34" s="1"/>
  <c r="K416" i="34"/>
  <c r="BZ914" i="10"/>
  <c r="CD914" i="10" s="1"/>
  <c r="CC914" i="10"/>
  <c r="CB914" i="10"/>
  <c r="CA914" i="10"/>
  <c r="CR914" i="10"/>
  <c r="P416" i="34" s="1"/>
  <c r="K410" i="34"/>
  <c r="CB908" i="10"/>
  <c r="CC908" i="10"/>
  <c r="CA908" i="10"/>
  <c r="BZ908" i="10"/>
  <c r="CD908" i="10" s="1"/>
  <c r="CR908" i="10"/>
  <c r="P410" i="34" s="1"/>
  <c r="AM182" i="10"/>
  <c r="AN182" i="10" s="1"/>
  <c r="AP182" i="10" s="1"/>
  <c r="AO182" i="7"/>
  <c r="AM182" i="7"/>
  <c r="AP182" i="3" s="1"/>
  <c r="AO182" i="3"/>
  <c r="M620" i="10"/>
  <c r="I28" i="35"/>
  <c r="CH31" i="9"/>
  <c r="CI31" i="9"/>
  <c r="CG31" i="9"/>
  <c r="CF31" i="9"/>
  <c r="CJ31" i="9" s="1"/>
  <c r="CX31" i="9"/>
  <c r="O28" i="35" s="1"/>
  <c r="K312" i="34"/>
  <c r="BZ810" i="10"/>
  <c r="CD810" i="10" s="1"/>
  <c r="CC810" i="10"/>
  <c r="CA810" i="10"/>
  <c r="CB810" i="10"/>
  <c r="CR810" i="10"/>
  <c r="P312" i="34" s="1"/>
  <c r="J112" i="34"/>
  <c r="CJ610" i="10"/>
  <c r="CG610" i="10"/>
  <c r="CK610" i="10"/>
  <c r="CH610" i="10"/>
  <c r="CF610" i="10"/>
  <c r="CL610" i="10" s="1"/>
  <c r="CI610" i="10"/>
  <c r="K180" i="34"/>
  <c r="CB678" i="10"/>
  <c r="CA678" i="10"/>
  <c r="CC678" i="10"/>
  <c r="BZ678" i="10"/>
  <c r="CD678" i="10" s="1"/>
  <c r="CR678" i="10"/>
  <c r="P180" i="34" s="1"/>
  <c r="K324" i="34"/>
  <c r="CB822" i="10"/>
  <c r="CA822" i="10"/>
  <c r="BZ822" i="10"/>
  <c r="CC822" i="10"/>
  <c r="CR822" i="10"/>
  <c r="P324" i="34" s="1"/>
  <c r="O26" i="28"/>
  <c r="M26" i="28"/>
  <c r="H26" i="28"/>
  <c r="I26" i="28"/>
  <c r="J26" i="28"/>
  <c r="AR308" i="10"/>
  <c r="AQ308" i="10"/>
  <c r="S885" i="10"/>
  <c r="AV52" i="3"/>
  <c r="B18" i="4"/>
  <c r="AQ223" i="3"/>
  <c r="AO223" i="7"/>
  <c r="AQ181" i="3"/>
  <c r="AO181" i="7"/>
  <c r="AQ425" i="3"/>
  <c r="AO425" i="7"/>
  <c r="J357" i="34"/>
  <c r="CI855" i="10"/>
  <c r="CH855" i="10"/>
  <c r="CJ855" i="10"/>
  <c r="CG855" i="10"/>
  <c r="CF855" i="10"/>
  <c r="CL855" i="10" s="1"/>
  <c r="CK855" i="10"/>
  <c r="K381" i="34"/>
  <c r="CC879" i="10"/>
  <c r="CB879" i="10"/>
  <c r="CA879" i="10"/>
  <c r="BZ879" i="10"/>
  <c r="CD879" i="10" s="1"/>
  <c r="CR879" i="10"/>
  <c r="P381" i="34" s="1"/>
  <c r="M18" i="28"/>
  <c r="I18" i="28"/>
  <c r="H18" i="28"/>
  <c r="O18" i="28"/>
  <c r="J18" i="28"/>
  <c r="AM258" i="10"/>
  <c r="AN258" i="10" s="1"/>
  <c r="AP258" i="10" s="1"/>
  <c r="AO258" i="3"/>
  <c r="AO258" i="7"/>
  <c r="AM258" i="7"/>
  <c r="AP258" i="3" s="1"/>
  <c r="AQ57" i="3"/>
  <c r="AO57" i="7"/>
  <c r="AQ50" i="3"/>
  <c r="AO50" i="7"/>
  <c r="J34" i="34"/>
  <c r="CK532" i="10"/>
  <c r="CJ532" i="10"/>
  <c r="CI532" i="10"/>
  <c r="CH532" i="10"/>
  <c r="CG532" i="10"/>
  <c r="CF532" i="10"/>
  <c r="CL532" i="10" s="1"/>
  <c r="K360" i="34"/>
  <c r="CB858" i="10"/>
  <c r="CA858" i="10"/>
  <c r="BZ858" i="10"/>
  <c r="CD858" i="10" s="1"/>
  <c r="CC858" i="10"/>
  <c r="CR858" i="10"/>
  <c r="P360" i="34" s="1"/>
  <c r="J144" i="34"/>
  <c r="CJ642" i="10"/>
  <c r="CF642" i="10"/>
  <c r="CL642" i="10" s="1"/>
  <c r="CI642" i="10"/>
  <c r="CK642" i="10"/>
  <c r="CH642" i="10"/>
  <c r="CG642" i="10"/>
  <c r="CR642" i="10"/>
  <c r="P144" i="34" s="1"/>
  <c r="J73" i="34"/>
  <c r="CK571" i="10"/>
  <c r="CG571" i="10"/>
  <c r="CI571" i="10"/>
  <c r="CJ571" i="10"/>
  <c r="CH571" i="10"/>
  <c r="CF571" i="10"/>
  <c r="CL571" i="10" s="1"/>
  <c r="J262" i="34"/>
  <c r="CF760" i="10"/>
  <c r="CL760" i="10" s="1"/>
  <c r="CG760" i="10"/>
  <c r="CJ760" i="10"/>
  <c r="CK760" i="10"/>
  <c r="CH760" i="10"/>
  <c r="CI760" i="10"/>
  <c r="AR84" i="10"/>
  <c r="AQ84" i="10"/>
  <c r="BC565" i="10"/>
  <c r="BP565" i="10"/>
  <c r="AO191" i="3"/>
  <c r="AM191" i="10"/>
  <c r="AN191" i="10" s="1"/>
  <c r="AP191" i="10" s="1"/>
  <c r="AO191" i="7"/>
  <c r="AM191" i="7"/>
  <c r="AP191" i="3" s="1"/>
  <c r="AQ204" i="3"/>
  <c r="AO204" i="7"/>
  <c r="AQ75" i="3"/>
  <c r="AO75" i="7"/>
  <c r="I36" i="35"/>
  <c r="CI39" i="9"/>
  <c r="CG39" i="9"/>
  <c r="CH39" i="9"/>
  <c r="CF39" i="9"/>
  <c r="CJ39" i="9" s="1"/>
  <c r="CX39" i="9"/>
  <c r="O36" i="35" s="1"/>
  <c r="AQ250" i="3"/>
  <c r="AO250" i="7"/>
  <c r="J86" i="34"/>
  <c r="CI584" i="10"/>
  <c r="CF584" i="10"/>
  <c r="CL584" i="10" s="1"/>
  <c r="CK584" i="10"/>
  <c r="CG584" i="10"/>
  <c r="CJ584" i="10"/>
  <c r="CH584" i="10"/>
  <c r="J403" i="34"/>
  <c r="CJ901" i="10"/>
  <c r="CK901" i="10"/>
  <c r="CH901" i="10"/>
  <c r="CG901" i="10"/>
  <c r="CI901" i="10"/>
  <c r="CF901" i="10"/>
  <c r="CL901" i="10" s="1"/>
  <c r="CR901" i="10"/>
  <c r="P403" i="34" s="1"/>
  <c r="K241" i="34"/>
  <c r="CA739" i="10"/>
  <c r="CC739" i="10"/>
  <c r="CB739" i="10"/>
  <c r="BZ739" i="10"/>
  <c r="CD739" i="10" s="1"/>
  <c r="CR739" i="10"/>
  <c r="P241" i="34" s="1"/>
  <c r="I219" i="8"/>
  <c r="G219" i="8"/>
  <c r="BC763" i="10"/>
  <c r="BP763" i="10"/>
  <c r="AO342" i="7"/>
  <c r="AO342" i="3"/>
  <c r="AM342" i="7"/>
  <c r="AP342" i="3" s="1"/>
  <c r="AM342" i="10"/>
  <c r="AN342" i="10" s="1"/>
  <c r="AP342" i="10" s="1"/>
  <c r="AM357" i="10"/>
  <c r="AN357" i="10" s="1"/>
  <c r="AP357" i="10" s="1"/>
  <c r="AM357" i="7"/>
  <c r="AP357" i="3" s="1"/>
  <c r="AO357" i="3"/>
  <c r="AO357" i="7"/>
  <c r="J44" i="35"/>
  <c r="CP47" i="9"/>
  <c r="CO47" i="9"/>
  <c r="CN47" i="9"/>
  <c r="CL47" i="9"/>
  <c r="CQ47" i="9" s="1"/>
  <c r="CM47" i="9"/>
  <c r="CX47" i="9"/>
  <c r="O44" i="35" s="1"/>
  <c r="I67" i="35"/>
  <c r="CG70" i="9"/>
  <c r="CI70" i="9"/>
  <c r="CH70" i="9"/>
  <c r="CF70" i="9"/>
  <c r="CJ70" i="9" s="1"/>
  <c r="CX70" i="9"/>
  <c r="O67" i="35" s="1"/>
  <c r="J294" i="34"/>
  <c r="CI792" i="10"/>
  <c r="CJ792" i="10"/>
  <c r="CH792" i="10"/>
  <c r="CG792" i="10"/>
  <c r="CF792" i="10"/>
  <c r="CL792" i="10" s="1"/>
  <c r="CK792" i="10"/>
  <c r="AQ330" i="3"/>
  <c r="AO330" i="7"/>
  <c r="J149" i="34"/>
  <c r="CG647" i="10"/>
  <c r="CJ647" i="10"/>
  <c r="CF647" i="10"/>
  <c r="CL647" i="10" s="1"/>
  <c r="CI647" i="10"/>
  <c r="CK647" i="10"/>
  <c r="CH647" i="10"/>
  <c r="K73" i="34"/>
  <c r="CA571" i="10"/>
  <c r="BZ571" i="10"/>
  <c r="CD571" i="10" s="1"/>
  <c r="CC571" i="10"/>
  <c r="CB571" i="10"/>
  <c r="CR571" i="10"/>
  <c r="P73" i="34" s="1"/>
  <c r="K272" i="34"/>
  <c r="BZ770" i="10"/>
  <c r="CC770" i="10"/>
  <c r="CB770" i="10"/>
  <c r="CR770" i="10"/>
  <c r="P272" i="34" s="1"/>
  <c r="CA770" i="10"/>
  <c r="G73" i="14"/>
  <c r="E73" i="14"/>
  <c r="O31" i="28"/>
  <c r="M31" i="28"/>
  <c r="I31" i="28"/>
  <c r="H31" i="28"/>
  <c r="J31" i="28"/>
  <c r="M16" i="28"/>
  <c r="O16" i="28"/>
  <c r="I16" i="28"/>
  <c r="H16" i="28"/>
  <c r="J16" i="28"/>
  <c r="I30" i="35"/>
  <c r="CF33" i="9"/>
  <c r="CJ33" i="9" s="1"/>
  <c r="CI33" i="9"/>
  <c r="CH33" i="9"/>
  <c r="CG33" i="9"/>
  <c r="CX33" i="9"/>
  <c r="O30" i="35" s="1"/>
  <c r="J404" i="34"/>
  <c r="CJ902" i="10"/>
  <c r="CI902" i="10"/>
  <c r="CH902" i="10"/>
  <c r="CG902" i="10"/>
  <c r="CF902" i="10"/>
  <c r="CL902" i="10" s="1"/>
  <c r="CK902" i="10"/>
  <c r="AQ89" i="3"/>
  <c r="AO89" i="7"/>
  <c r="I9" i="35"/>
  <c r="CI12" i="9"/>
  <c r="CH12" i="9"/>
  <c r="CG12" i="9"/>
  <c r="CF12" i="9"/>
  <c r="CJ12" i="9" s="1"/>
  <c r="CX12" i="9"/>
  <c r="O9" i="35" s="1"/>
  <c r="AQ263" i="3"/>
  <c r="AO263" i="7"/>
  <c r="K422" i="34"/>
  <c r="CC920" i="10"/>
  <c r="CA920" i="10"/>
  <c r="BZ920" i="10"/>
  <c r="CD920" i="10" s="1"/>
  <c r="CB920" i="10"/>
  <c r="CR920" i="10"/>
  <c r="P422" i="34" s="1"/>
  <c r="J48" i="34"/>
  <c r="CK546" i="10"/>
  <c r="CJ546" i="10"/>
  <c r="CG546" i="10"/>
  <c r="CF546" i="10"/>
  <c r="CL546" i="10" s="1"/>
  <c r="CI546" i="10"/>
  <c r="CH546" i="10"/>
  <c r="K183" i="34"/>
  <c r="CB681" i="10"/>
  <c r="CA681" i="10"/>
  <c r="CR681" i="10"/>
  <c r="P183" i="34" s="1"/>
  <c r="BZ681" i="10"/>
  <c r="CD681" i="10" s="1"/>
  <c r="CC681" i="10"/>
  <c r="O8" i="28"/>
  <c r="M8" i="28"/>
  <c r="I8" i="28"/>
  <c r="H8" i="28"/>
  <c r="J8" i="28"/>
  <c r="AO199" i="7"/>
  <c r="BC812" i="10"/>
  <c r="BP812" i="10"/>
  <c r="R264" i="11"/>
  <c r="S264" i="11" s="1"/>
  <c r="R265" i="11"/>
  <c r="S265" i="11" s="1"/>
  <c r="R270" i="11"/>
  <c r="S270" i="11" s="1"/>
  <c r="R263" i="11"/>
  <c r="S263" i="11" s="1"/>
  <c r="R258" i="11"/>
  <c r="S258" i="11" s="1"/>
  <c r="R266" i="11"/>
  <c r="S266" i="11" s="1"/>
  <c r="AW270" i="11"/>
  <c r="R267" i="11"/>
  <c r="S267" i="11" s="1"/>
  <c r="R256" i="11"/>
  <c r="S256" i="11" s="1"/>
  <c r="R259" i="11"/>
  <c r="S259" i="11" s="1"/>
  <c r="R255" i="11"/>
  <c r="S255" i="11" s="1"/>
  <c r="R262" i="11"/>
  <c r="S262" i="11" s="1"/>
  <c r="R260" i="11"/>
  <c r="S260" i="11" s="1"/>
  <c r="R269" i="11"/>
  <c r="S269" i="11" s="1"/>
  <c r="R254" i="11"/>
  <c r="R261" i="11"/>
  <c r="S261" i="11" s="1"/>
  <c r="R257" i="11"/>
  <c r="S257" i="11" s="1"/>
  <c r="R268" i="11"/>
  <c r="S268" i="11" s="1"/>
  <c r="AQ298" i="3"/>
  <c r="AO298" i="7"/>
  <c r="K48" i="34"/>
  <c r="CC546" i="10"/>
  <c r="CA546" i="10"/>
  <c r="CR546" i="10"/>
  <c r="P48" i="34" s="1"/>
  <c r="CB546" i="10"/>
  <c r="BZ546" i="10"/>
  <c r="CD546" i="10" s="1"/>
  <c r="AQ310" i="3"/>
  <c r="AO310" i="7"/>
  <c r="AQ5" i="3"/>
  <c r="AO5" i="7"/>
  <c r="K177" i="34"/>
  <c r="CC675" i="10"/>
  <c r="CB675" i="10"/>
  <c r="CA675" i="10"/>
  <c r="CR675" i="10"/>
  <c r="P177" i="34" s="1"/>
  <c r="BZ675" i="10"/>
  <c r="CD675" i="10" s="1"/>
  <c r="K219" i="34"/>
  <c r="CA717" i="10"/>
  <c r="CB717" i="10"/>
  <c r="BZ717" i="10"/>
  <c r="CD717" i="10" s="1"/>
  <c r="CC717" i="10"/>
  <c r="CR717" i="10"/>
  <c r="P219" i="34" s="1"/>
  <c r="J305" i="34"/>
  <c r="CJ803" i="10"/>
  <c r="CI803" i="10"/>
  <c r="CH803" i="10"/>
  <c r="CG803" i="10"/>
  <c r="CF803" i="10"/>
  <c r="CL803" i="10" s="1"/>
  <c r="CK803" i="10"/>
  <c r="I3" i="28"/>
  <c r="O3" i="28"/>
  <c r="M3" i="28"/>
  <c r="H3" i="28"/>
  <c r="J3" i="28"/>
  <c r="O30" i="28"/>
  <c r="H30" i="28"/>
  <c r="M30" i="28"/>
  <c r="I30" i="28"/>
  <c r="J30" i="28"/>
  <c r="AO156" i="7"/>
  <c r="AQ282" i="3"/>
  <c r="AO282" i="7"/>
  <c r="K5" i="34"/>
  <c r="CC503" i="10"/>
  <c r="CA503" i="10"/>
  <c r="CB503" i="10"/>
  <c r="CR503" i="10"/>
  <c r="P5" i="34" s="1"/>
  <c r="BZ503" i="10"/>
  <c r="CD503" i="10" s="1"/>
  <c r="K188" i="34"/>
  <c r="CC686" i="10"/>
  <c r="BZ686" i="10"/>
  <c r="CD686" i="10" s="1"/>
  <c r="CB686" i="10"/>
  <c r="CA686" i="10"/>
  <c r="CR686" i="10"/>
  <c r="P188" i="34" s="1"/>
  <c r="K143" i="34"/>
  <c r="CB641" i="10"/>
  <c r="CA641" i="10"/>
  <c r="CC641" i="10"/>
  <c r="BZ641" i="10"/>
  <c r="CD641" i="10" s="1"/>
  <c r="CR641" i="10"/>
  <c r="P143" i="34" s="1"/>
  <c r="K310" i="34"/>
  <c r="CA808" i="10"/>
  <c r="CB808" i="10"/>
  <c r="BZ808" i="10"/>
  <c r="CD808" i="10" s="1"/>
  <c r="CC808" i="10"/>
  <c r="CR808" i="10"/>
  <c r="P310" i="34" s="1"/>
  <c r="BC865" i="10"/>
  <c r="BP865" i="10"/>
  <c r="J835" i="10"/>
  <c r="J61" i="34"/>
  <c r="CG559" i="10"/>
  <c r="CK559" i="10"/>
  <c r="CJ559" i="10"/>
  <c r="CI559" i="10"/>
  <c r="CH559" i="10"/>
  <c r="CF559" i="10"/>
  <c r="CL559" i="10" s="1"/>
  <c r="CR559" i="10"/>
  <c r="P61" i="34" s="1"/>
  <c r="AQ143" i="3"/>
  <c r="AO143" i="7"/>
  <c r="H230" i="8"/>
  <c r="F87" i="8"/>
  <c r="E76" i="14"/>
  <c r="F76" i="14" s="1"/>
  <c r="G76" i="14"/>
  <c r="J249" i="34"/>
  <c r="CI747" i="10"/>
  <c r="CF747" i="10"/>
  <c r="CL747" i="10" s="1"/>
  <c r="CG747" i="10"/>
  <c r="CK747" i="10"/>
  <c r="CJ747" i="10"/>
  <c r="CH747" i="10"/>
  <c r="E83" i="14"/>
  <c r="G83" i="14"/>
  <c r="J272" i="34"/>
  <c r="CJ770" i="10"/>
  <c r="CH770" i="10"/>
  <c r="CK770" i="10"/>
  <c r="CI770" i="10"/>
  <c r="CG770" i="10"/>
  <c r="CF770" i="10"/>
  <c r="CL770" i="10" s="1"/>
  <c r="K70" i="34"/>
  <c r="BZ568" i="10"/>
  <c r="CD568" i="10" s="1"/>
  <c r="CC568" i="10"/>
  <c r="CB568" i="10"/>
  <c r="CA568" i="10"/>
  <c r="CR568" i="10"/>
  <c r="P70" i="34" s="1"/>
  <c r="J104" i="34"/>
  <c r="CJ602" i="10"/>
  <c r="CI602" i="10"/>
  <c r="CH602" i="10"/>
  <c r="CK602" i="10"/>
  <c r="CF602" i="10"/>
  <c r="CL602" i="10" s="1"/>
  <c r="CG602" i="10"/>
  <c r="K357" i="34"/>
  <c r="CC855" i="10"/>
  <c r="CB855" i="10"/>
  <c r="BZ855" i="10"/>
  <c r="CD855" i="10" s="1"/>
  <c r="CA855" i="10"/>
  <c r="CR855" i="10"/>
  <c r="P357" i="34" s="1"/>
  <c r="J274" i="34"/>
  <c r="CG772" i="10"/>
  <c r="CF772" i="10"/>
  <c r="CL772" i="10" s="1"/>
  <c r="CJ772" i="10"/>
  <c r="CI772" i="10"/>
  <c r="CK772" i="10"/>
  <c r="CH772" i="10"/>
  <c r="O7" i="28"/>
  <c r="M7" i="28"/>
  <c r="I7" i="28"/>
  <c r="H7" i="28"/>
  <c r="J7" i="28"/>
  <c r="I25" i="28"/>
  <c r="H25" i="28"/>
  <c r="O25" i="28"/>
  <c r="M25" i="28"/>
  <c r="J25" i="28"/>
  <c r="AM226" i="10"/>
  <c r="AN226" i="10" s="1"/>
  <c r="AP226" i="10" s="1"/>
  <c r="AM226" i="7"/>
  <c r="AP226" i="3" s="1"/>
  <c r="AO226" i="7"/>
  <c r="AO226" i="3"/>
  <c r="AQ156" i="10"/>
  <c r="AR156" i="10"/>
  <c r="AQ253" i="3"/>
  <c r="AO253" i="7"/>
  <c r="AQ407" i="3"/>
  <c r="AO407" i="7"/>
  <c r="K192" i="34"/>
  <c r="CC690" i="10"/>
  <c r="BZ690" i="10"/>
  <c r="CD690" i="10" s="1"/>
  <c r="CB690" i="10"/>
  <c r="CA690" i="10"/>
  <c r="CR690" i="10"/>
  <c r="P192" i="34" s="1"/>
  <c r="K164" i="34"/>
  <c r="CC662" i="10"/>
  <c r="BZ662" i="10"/>
  <c r="CD662" i="10" s="1"/>
  <c r="CB662" i="10"/>
  <c r="CA662" i="10"/>
  <c r="CR662" i="10"/>
  <c r="P164" i="34" s="1"/>
  <c r="BP814" i="10"/>
  <c r="BP884" i="10"/>
  <c r="AQ336" i="3"/>
  <c r="AO336" i="7"/>
  <c r="K90" i="34"/>
  <c r="CA588" i="10"/>
  <c r="CC588" i="10"/>
  <c r="CB588" i="10"/>
  <c r="BZ588" i="10"/>
  <c r="CD588" i="10" s="1"/>
  <c r="CR588" i="10"/>
  <c r="P90" i="34" s="1"/>
  <c r="K262" i="34"/>
  <c r="CB760" i="10"/>
  <c r="CA760" i="10"/>
  <c r="CC760" i="10"/>
  <c r="BZ760" i="10"/>
  <c r="CR760" i="10"/>
  <c r="P262" i="34" s="1"/>
  <c r="J419" i="34"/>
  <c r="CK917" i="10"/>
  <c r="CI917" i="10"/>
  <c r="CH917" i="10"/>
  <c r="CG917" i="10"/>
  <c r="CF917" i="10"/>
  <c r="CL917" i="10" s="1"/>
  <c r="CJ917" i="10"/>
  <c r="CR917" i="10"/>
  <c r="P419" i="34" s="1"/>
  <c r="J164" i="34"/>
  <c r="CH662" i="10"/>
  <c r="CJ662" i="10"/>
  <c r="CK662" i="10"/>
  <c r="CI662" i="10"/>
  <c r="CF662" i="10"/>
  <c r="CL662" i="10" s="1"/>
  <c r="CG662" i="10"/>
  <c r="K249" i="34"/>
  <c r="CC747" i="10"/>
  <c r="CB747" i="10"/>
  <c r="BZ747" i="10"/>
  <c r="CD747" i="10" s="1"/>
  <c r="CA747" i="10"/>
  <c r="CR747" i="10"/>
  <c r="P249" i="34" s="1"/>
  <c r="G74" i="14"/>
  <c r="E74" i="14"/>
  <c r="F74" i="14" s="1"/>
  <c r="I19" i="17"/>
  <c r="AQ192" i="10"/>
  <c r="AR192" i="10"/>
  <c r="I38" i="35"/>
  <c r="CI41" i="9"/>
  <c r="CH41" i="9"/>
  <c r="CG41" i="9"/>
  <c r="CF41" i="9"/>
  <c r="CJ41" i="9" s="1"/>
  <c r="CX41" i="9"/>
  <c r="O38" i="35" s="1"/>
  <c r="AQ348" i="3"/>
  <c r="AO348" i="7"/>
  <c r="J25" i="34"/>
  <c r="CJ523" i="10"/>
  <c r="CG523" i="10"/>
  <c r="CK523" i="10"/>
  <c r="CI523" i="10"/>
  <c r="CH523" i="10"/>
  <c r="CF523" i="10"/>
  <c r="CL523" i="10" s="1"/>
  <c r="I46" i="35"/>
  <c r="CH49" i="9"/>
  <c r="CI49" i="9"/>
  <c r="CG49" i="9"/>
  <c r="CF49" i="9"/>
  <c r="CJ49" i="9" s="1"/>
  <c r="CX49" i="9"/>
  <c r="O46" i="35" s="1"/>
  <c r="J157" i="34"/>
  <c r="CH655" i="10"/>
  <c r="CJ655" i="10"/>
  <c r="CG655" i="10"/>
  <c r="CF655" i="10"/>
  <c r="CL655" i="10" s="1"/>
  <c r="CK655" i="10"/>
  <c r="CI655" i="10"/>
  <c r="J287" i="34"/>
  <c r="CJ785" i="10"/>
  <c r="CI785" i="10"/>
  <c r="CH785" i="10"/>
  <c r="CG785" i="10"/>
  <c r="CK785" i="10"/>
  <c r="CF785" i="10"/>
  <c r="CL785" i="10" s="1"/>
  <c r="J259" i="34"/>
  <c r="CJ757" i="10"/>
  <c r="CK757" i="10"/>
  <c r="CI757" i="10"/>
  <c r="CF757" i="10"/>
  <c r="CL757" i="10" s="1"/>
  <c r="CG757" i="10"/>
  <c r="CH757" i="10"/>
  <c r="K214" i="34"/>
  <c r="CB712" i="10"/>
  <c r="CA712" i="10"/>
  <c r="BZ712" i="10"/>
  <c r="CD712" i="10" s="1"/>
  <c r="CC712" i="10"/>
  <c r="CR712" i="10"/>
  <c r="P214" i="34" s="1"/>
  <c r="J302" i="34"/>
  <c r="CH800" i="10"/>
  <c r="CG800" i="10"/>
  <c r="CF800" i="10"/>
  <c r="CL800" i="10" s="1"/>
  <c r="CJ800" i="10"/>
  <c r="CK800" i="10"/>
  <c r="CI800" i="10"/>
  <c r="J379" i="34"/>
  <c r="CF877" i="10"/>
  <c r="CL877" i="10" s="1"/>
  <c r="CG877" i="10"/>
  <c r="CJ877" i="10"/>
  <c r="CI877" i="10"/>
  <c r="CH877" i="10"/>
  <c r="CK877" i="10"/>
  <c r="O28" i="28"/>
  <c r="H28" i="28"/>
  <c r="M28" i="28"/>
  <c r="I28" i="28"/>
  <c r="J28" i="28"/>
  <c r="J27" i="34"/>
  <c r="CJ525" i="10"/>
  <c r="CI525" i="10"/>
  <c r="CH525" i="10"/>
  <c r="CG525" i="10"/>
  <c r="CK525" i="10"/>
  <c r="CF525" i="10"/>
  <c r="CL525" i="10" s="1"/>
  <c r="CR525" i="10"/>
  <c r="P27" i="34" s="1"/>
  <c r="J278" i="34"/>
  <c r="CG776" i="10"/>
  <c r="CF776" i="10"/>
  <c r="CL776" i="10" s="1"/>
  <c r="CJ776" i="10"/>
  <c r="CI776" i="10"/>
  <c r="CH776" i="10"/>
  <c r="CK776" i="10"/>
  <c r="AQ352" i="3"/>
  <c r="AO352" i="7"/>
  <c r="J416" i="34"/>
  <c r="CJ914" i="10"/>
  <c r="CI914" i="10"/>
  <c r="CH914" i="10"/>
  <c r="CG914" i="10"/>
  <c r="CF914" i="10"/>
  <c r="CL914" i="10" s="1"/>
  <c r="CK914" i="10"/>
  <c r="K29" i="34"/>
  <c r="CC527" i="10"/>
  <c r="CB527" i="10"/>
  <c r="CA527" i="10"/>
  <c r="BZ527" i="10"/>
  <c r="CD527" i="10" s="1"/>
  <c r="CR527" i="10"/>
  <c r="P29" i="34" s="1"/>
  <c r="AM117" i="10"/>
  <c r="AN117" i="10" s="1"/>
  <c r="AP117" i="10" s="1"/>
  <c r="AM117" i="7"/>
  <c r="AP117" i="3" s="1"/>
  <c r="AO117" i="3"/>
  <c r="AO117" i="7"/>
  <c r="J15" i="35"/>
  <c r="CL18" i="9"/>
  <c r="CQ18" i="9" s="1"/>
  <c r="CP18" i="9"/>
  <c r="CO18" i="9"/>
  <c r="CN18" i="9"/>
  <c r="CM18" i="9"/>
  <c r="J84" i="34"/>
  <c r="CK582" i="10"/>
  <c r="CG582" i="10"/>
  <c r="CF582" i="10"/>
  <c r="CL582" i="10" s="1"/>
  <c r="CH582" i="10"/>
  <c r="CJ582" i="10"/>
  <c r="CI582" i="10"/>
  <c r="AQ399" i="3"/>
  <c r="AO399" i="7"/>
  <c r="J63" i="35"/>
  <c r="CP66" i="9"/>
  <c r="CN66" i="9"/>
  <c r="CM66" i="9"/>
  <c r="CL66" i="9"/>
  <c r="CQ66" i="9" s="1"/>
  <c r="CO66" i="9"/>
  <c r="I71" i="35"/>
  <c r="CI74" i="9"/>
  <c r="CG74" i="9"/>
  <c r="CH74" i="9"/>
  <c r="CF74" i="9"/>
  <c r="CX74" i="9"/>
  <c r="O71" i="35" s="1"/>
  <c r="K126" i="34"/>
  <c r="CA624" i="10"/>
  <c r="BZ624" i="10"/>
  <c r="CD624" i="10" s="1"/>
  <c r="CR624" i="10"/>
  <c r="P126" i="34" s="1"/>
  <c r="CC624" i="10"/>
  <c r="CB624" i="10"/>
  <c r="J316" i="34"/>
  <c r="CI814" i="10"/>
  <c r="CH814" i="10"/>
  <c r="CG814" i="10"/>
  <c r="CF814" i="10"/>
  <c r="CL814" i="10" s="1"/>
  <c r="CK814" i="10"/>
  <c r="CJ814" i="10"/>
  <c r="K112" i="34"/>
  <c r="CC610" i="10"/>
  <c r="CR610" i="10"/>
  <c r="P112" i="34" s="1"/>
  <c r="CB610" i="10"/>
  <c r="BZ610" i="10"/>
  <c r="CD610" i="10" s="1"/>
  <c r="CA610" i="10"/>
  <c r="K267" i="34"/>
  <c r="BZ765" i="10"/>
  <c r="CD765" i="10" s="1"/>
  <c r="CA765" i="10"/>
  <c r="CR765" i="10"/>
  <c r="P267" i="34" s="1"/>
  <c r="CC765" i="10"/>
  <c r="CB765" i="10"/>
  <c r="J407" i="34"/>
  <c r="CJ905" i="10"/>
  <c r="CK905" i="10"/>
  <c r="CI905" i="10"/>
  <c r="CH905" i="10"/>
  <c r="CG905" i="10"/>
  <c r="CF905" i="10"/>
  <c r="CL905" i="10" s="1"/>
  <c r="K347" i="34"/>
  <c r="CR845" i="10"/>
  <c r="P347" i="34" s="1"/>
  <c r="CC845" i="10"/>
  <c r="CB845" i="10"/>
  <c r="CA845" i="10"/>
  <c r="BZ845" i="10"/>
  <c r="CD845" i="10" s="1"/>
  <c r="O24" i="28"/>
  <c r="M24" i="28"/>
  <c r="I24" i="28"/>
  <c r="H24" i="28"/>
  <c r="J24" i="28"/>
  <c r="I37" i="28"/>
  <c r="H37" i="28"/>
  <c r="M37" i="28"/>
  <c r="O37" i="28"/>
  <c r="J37" i="28"/>
  <c r="K24" i="34"/>
  <c r="CR522" i="10"/>
  <c r="P24" i="34" s="1"/>
  <c r="BZ522" i="10"/>
  <c r="CD522" i="10" s="1"/>
  <c r="CB522" i="10"/>
  <c r="CC522" i="10"/>
  <c r="CA522" i="10"/>
  <c r="I50" i="35"/>
  <c r="CG53" i="9"/>
  <c r="CI53" i="9"/>
  <c r="CH53" i="9"/>
  <c r="CF53" i="9"/>
  <c r="CJ53" i="9" s="1"/>
  <c r="CX53" i="9"/>
  <c r="O50" i="35" s="1"/>
  <c r="J15" i="34"/>
  <c r="CG513" i="10"/>
  <c r="CF513" i="10"/>
  <c r="CL513" i="10" s="1"/>
  <c r="CI513" i="10"/>
  <c r="CK513" i="10"/>
  <c r="CJ513" i="10"/>
  <c r="CH513" i="10"/>
  <c r="J33" i="34"/>
  <c r="CK531" i="10"/>
  <c r="CJ531" i="10"/>
  <c r="CH531" i="10"/>
  <c r="CI531" i="10"/>
  <c r="CG531" i="10"/>
  <c r="CF531" i="10"/>
  <c r="CL531" i="10" s="1"/>
  <c r="CR531" i="10"/>
  <c r="P33" i="34" s="1"/>
  <c r="I39" i="35"/>
  <c r="CI42" i="9"/>
  <c r="CF42" i="9"/>
  <c r="CJ42" i="9" s="1"/>
  <c r="CH42" i="9"/>
  <c r="CG42" i="9"/>
  <c r="CX42" i="9"/>
  <c r="O39" i="35" s="1"/>
  <c r="J124" i="34"/>
  <c r="CJ622" i="10"/>
  <c r="CG622" i="10"/>
  <c r="CK622" i="10"/>
  <c r="CH622" i="10"/>
  <c r="CF622" i="10"/>
  <c r="CL622" i="10" s="1"/>
  <c r="CI622" i="10"/>
  <c r="CR622" i="10"/>
  <c r="P124" i="34" s="1"/>
  <c r="K37" i="34"/>
  <c r="CB535" i="10"/>
  <c r="CC535" i="10"/>
  <c r="BZ535" i="10"/>
  <c r="CD535" i="10" s="1"/>
  <c r="CA535" i="10"/>
  <c r="CR535" i="10"/>
  <c r="P37" i="34" s="1"/>
  <c r="AQ404" i="3"/>
  <c r="AO404" i="7"/>
  <c r="J247" i="34"/>
  <c r="CJ745" i="10"/>
  <c r="CG745" i="10"/>
  <c r="CH745" i="10"/>
  <c r="CK745" i="10"/>
  <c r="CI745" i="10"/>
  <c r="CF745" i="10"/>
  <c r="CL745" i="10" s="1"/>
  <c r="K150" i="34"/>
  <c r="CB648" i="10"/>
  <c r="BZ648" i="10"/>
  <c r="CC648" i="10"/>
  <c r="CA648" i="10"/>
  <c r="CR648" i="10"/>
  <c r="P150" i="34" s="1"/>
  <c r="J265" i="34"/>
  <c r="CJ763" i="10"/>
  <c r="CG763" i="10"/>
  <c r="CF763" i="10"/>
  <c r="CL763" i="10" s="1"/>
  <c r="CI763" i="10"/>
  <c r="CH763" i="10"/>
  <c r="CK763" i="10"/>
  <c r="K335" i="34"/>
  <c r="CB833" i="10"/>
  <c r="CA833" i="10"/>
  <c r="BZ833" i="10"/>
  <c r="CD833" i="10" s="1"/>
  <c r="CC833" i="10"/>
  <c r="CR833" i="10"/>
  <c r="P335" i="34" s="1"/>
  <c r="K373" i="34"/>
  <c r="CR871" i="10"/>
  <c r="P373" i="34" s="1"/>
  <c r="CA871" i="10"/>
  <c r="CC871" i="10"/>
  <c r="CB871" i="10"/>
  <c r="BZ871" i="10"/>
  <c r="CD871" i="10" s="1"/>
  <c r="K399" i="34"/>
  <c r="CB897" i="10"/>
  <c r="CA897" i="10"/>
  <c r="BZ897" i="10"/>
  <c r="CD897" i="10" s="1"/>
  <c r="CC897" i="10"/>
  <c r="CR897" i="10"/>
  <c r="P399" i="34" s="1"/>
  <c r="K274" i="34"/>
  <c r="CC772" i="10"/>
  <c r="CB772" i="10"/>
  <c r="BZ772" i="10"/>
  <c r="CD772" i="10" s="1"/>
  <c r="CA772" i="10"/>
  <c r="CR772" i="10"/>
  <c r="P274" i="34" s="1"/>
  <c r="J364" i="34"/>
  <c r="CI862" i="10"/>
  <c r="CK862" i="10"/>
  <c r="CH862" i="10"/>
  <c r="CG862" i="10"/>
  <c r="CF862" i="10"/>
  <c r="CL862" i="10" s="1"/>
  <c r="CJ862" i="10"/>
  <c r="CR862" i="10"/>
  <c r="P364" i="34" s="1"/>
  <c r="K355" i="34"/>
  <c r="CB853" i="10"/>
  <c r="CA853" i="10"/>
  <c r="BZ853" i="10"/>
  <c r="CD853" i="10" s="1"/>
  <c r="CC853" i="10"/>
  <c r="CR853" i="10"/>
  <c r="P355" i="34" s="1"/>
  <c r="J20" i="17"/>
  <c r="O22" i="28"/>
  <c r="M22" i="28"/>
  <c r="H22" i="28"/>
  <c r="I22" i="28"/>
  <c r="J22" i="28"/>
  <c r="AV176" i="3"/>
  <c r="C307" i="8"/>
  <c r="B23" i="4"/>
  <c r="AR18" i="10"/>
  <c r="AQ18" i="10"/>
  <c r="BP701" i="10"/>
  <c r="BG683" i="10"/>
  <c r="BH683" i="10" s="1"/>
  <c r="L683" i="10"/>
  <c r="BR562" i="10"/>
  <c r="J562" i="10"/>
  <c r="AM207" i="10"/>
  <c r="AN207" i="10" s="1"/>
  <c r="AP207" i="10" s="1"/>
  <c r="AO207" i="3"/>
  <c r="AO207" i="7"/>
  <c r="AM207" i="7"/>
  <c r="AP207" i="3" s="1"/>
  <c r="AO15" i="7"/>
  <c r="AM15" i="7"/>
  <c r="AP15" i="3" s="1"/>
  <c r="AO15" i="3"/>
  <c r="AM15" i="10"/>
  <c r="AN15" i="10" s="1"/>
  <c r="AP15" i="10" s="1"/>
  <c r="AM376" i="10"/>
  <c r="AN376" i="10" s="1"/>
  <c r="AP376" i="10" s="1"/>
  <c r="AO376" i="7"/>
  <c r="AM376" i="7"/>
  <c r="AP376" i="3" s="1"/>
  <c r="AO376" i="3"/>
  <c r="AM28" i="10"/>
  <c r="AN28" i="10" s="1"/>
  <c r="AP28" i="10" s="1"/>
  <c r="AO28" i="3"/>
  <c r="AO28" i="7"/>
  <c r="AM28" i="7"/>
  <c r="AP28" i="3" s="1"/>
  <c r="J405" i="34"/>
  <c r="CK903" i="10"/>
  <c r="CJ903" i="10"/>
  <c r="CI903" i="10"/>
  <c r="CH903" i="10"/>
  <c r="CF903" i="10"/>
  <c r="CL903" i="10" s="1"/>
  <c r="CG903" i="10"/>
  <c r="I40" i="35"/>
  <c r="CH43" i="9"/>
  <c r="CI43" i="9"/>
  <c r="CF43" i="9"/>
  <c r="CJ43" i="9" s="1"/>
  <c r="CG43" i="9"/>
  <c r="CX43" i="9"/>
  <c r="O40" i="35" s="1"/>
  <c r="AQ346" i="3"/>
  <c r="AO346" i="7"/>
  <c r="J141" i="34"/>
  <c r="CK639" i="10"/>
  <c r="CJ639" i="10"/>
  <c r="CI639" i="10"/>
  <c r="CF639" i="10"/>
  <c r="CL639" i="10" s="1"/>
  <c r="CH639" i="10"/>
  <c r="CG639" i="10"/>
  <c r="CR639" i="10"/>
  <c r="P141" i="34" s="1"/>
  <c r="J266" i="34"/>
  <c r="CJ764" i="10"/>
  <c r="CK764" i="10"/>
  <c r="CI764" i="10"/>
  <c r="CH764" i="10"/>
  <c r="CF764" i="10"/>
  <c r="CL764" i="10" s="1"/>
  <c r="CG764" i="10"/>
  <c r="J32" i="35"/>
  <c r="CO35" i="9"/>
  <c r="CN35" i="9"/>
  <c r="CP35" i="9"/>
  <c r="CL35" i="9"/>
  <c r="CQ35" i="9" s="1"/>
  <c r="CM35" i="9"/>
  <c r="J139" i="34"/>
  <c r="CK637" i="10"/>
  <c r="CG637" i="10"/>
  <c r="CJ637" i="10"/>
  <c r="CH637" i="10"/>
  <c r="CI637" i="10"/>
  <c r="CF637" i="10"/>
  <c r="CL637" i="10" s="1"/>
  <c r="CR637" i="10"/>
  <c r="P139" i="34" s="1"/>
  <c r="K35" i="34"/>
  <c r="CC533" i="10"/>
  <c r="CB533" i="10"/>
  <c r="CA533" i="10"/>
  <c r="BZ533" i="10"/>
  <c r="CD533" i="10" s="1"/>
  <c r="CR533" i="10"/>
  <c r="P35" i="34" s="1"/>
  <c r="J117" i="34"/>
  <c r="CJ615" i="10"/>
  <c r="CG615" i="10"/>
  <c r="CH615" i="10"/>
  <c r="CF615" i="10"/>
  <c r="CL615" i="10" s="1"/>
  <c r="CK615" i="10"/>
  <c r="CI615" i="10"/>
  <c r="J13" i="35"/>
  <c r="CL16" i="9"/>
  <c r="CQ16" i="9" s="1"/>
  <c r="CO16" i="9"/>
  <c r="CN16" i="9"/>
  <c r="CM16" i="9"/>
  <c r="CP16" i="9"/>
  <c r="CX16" i="9"/>
  <c r="O13" i="35" s="1"/>
  <c r="K259" i="34"/>
  <c r="CC757" i="10"/>
  <c r="BZ757" i="10"/>
  <c r="CD757" i="10" s="1"/>
  <c r="CA757" i="10"/>
  <c r="CB757" i="10"/>
  <c r="CR757" i="10"/>
  <c r="P259" i="34" s="1"/>
  <c r="AQ415" i="3"/>
  <c r="AO415" i="7"/>
  <c r="AQ140" i="3"/>
  <c r="AO140" i="7"/>
  <c r="I72" i="35"/>
  <c r="CG75" i="9"/>
  <c r="CH75" i="9"/>
  <c r="CF75" i="9"/>
  <c r="CJ75" i="9" s="1"/>
  <c r="CI75" i="9"/>
  <c r="CX75" i="9"/>
  <c r="O72" i="35" s="1"/>
  <c r="AQ419" i="3"/>
  <c r="AO419" i="7"/>
  <c r="I233" i="8"/>
  <c r="AQ106" i="3"/>
  <c r="AO106" i="7"/>
  <c r="J209" i="34"/>
  <c r="CK707" i="10"/>
  <c r="CJ707" i="10"/>
  <c r="CH707" i="10"/>
  <c r="CI707" i="10"/>
  <c r="CF707" i="10"/>
  <c r="CL707" i="10" s="1"/>
  <c r="CG707" i="10"/>
  <c r="J109" i="34"/>
  <c r="CK607" i="10"/>
  <c r="CF607" i="10"/>
  <c r="CL607" i="10" s="1"/>
  <c r="CI607" i="10"/>
  <c r="CH607" i="10"/>
  <c r="CG607" i="10"/>
  <c r="CJ607" i="10"/>
  <c r="J5" i="34"/>
  <c r="CK503" i="10"/>
  <c r="CG503" i="10"/>
  <c r="CF503" i="10"/>
  <c r="CL503" i="10" s="1"/>
  <c r="CH503" i="10"/>
  <c r="CJ503" i="10"/>
  <c r="CI503" i="10"/>
  <c r="J26" i="34"/>
  <c r="CG524" i="10"/>
  <c r="CF524" i="10"/>
  <c r="CL524" i="10" s="1"/>
  <c r="CI524" i="10"/>
  <c r="CH524" i="10"/>
  <c r="CJ524" i="10"/>
  <c r="CK524" i="10"/>
  <c r="CR524" i="10"/>
  <c r="P26" i="34" s="1"/>
  <c r="K371" i="34"/>
  <c r="CA869" i="10"/>
  <c r="CC869" i="10"/>
  <c r="CB869" i="10"/>
  <c r="BZ869" i="10"/>
  <c r="CR869" i="10"/>
  <c r="P371" i="34" s="1"/>
  <c r="J130" i="34"/>
  <c r="CH628" i="10"/>
  <c r="CG628" i="10"/>
  <c r="CK628" i="10"/>
  <c r="CJ628" i="10"/>
  <c r="CF628" i="10"/>
  <c r="CL628" i="10" s="1"/>
  <c r="CI628" i="10"/>
  <c r="CR628" i="10"/>
  <c r="P130" i="34" s="1"/>
  <c r="K281" i="34"/>
  <c r="CB779" i="10"/>
  <c r="CA779" i="10"/>
  <c r="BZ779" i="10"/>
  <c r="CD779" i="10" s="1"/>
  <c r="CC779" i="10"/>
  <c r="CR779" i="10"/>
  <c r="P281" i="34" s="1"/>
  <c r="K187" i="34"/>
  <c r="CC685" i="10"/>
  <c r="CB685" i="10"/>
  <c r="CR685" i="10"/>
  <c r="P187" i="34" s="1"/>
  <c r="CA685" i="10"/>
  <c r="BZ685" i="10"/>
  <c r="CD685" i="10" s="1"/>
  <c r="J291" i="34"/>
  <c r="CI789" i="10"/>
  <c r="CF789" i="10"/>
  <c r="CL789" i="10" s="1"/>
  <c r="CK789" i="10"/>
  <c r="CJ789" i="10"/>
  <c r="CH789" i="10"/>
  <c r="CG789" i="10"/>
  <c r="K159" i="34"/>
  <c r="BZ657" i="10"/>
  <c r="CD657" i="10" s="1"/>
  <c r="CC657" i="10"/>
  <c r="CB657" i="10"/>
  <c r="CA657" i="10"/>
  <c r="CR657" i="10"/>
  <c r="P159" i="34" s="1"/>
  <c r="K301" i="34"/>
  <c r="CC799" i="10"/>
  <c r="CB799" i="10"/>
  <c r="CA799" i="10"/>
  <c r="BZ799" i="10"/>
  <c r="CR799" i="10"/>
  <c r="P301" i="34" s="1"/>
  <c r="J267" i="34"/>
  <c r="CK765" i="10"/>
  <c r="CJ765" i="10"/>
  <c r="CG765" i="10"/>
  <c r="CH765" i="10"/>
  <c r="CF765" i="10"/>
  <c r="CL765" i="10" s="1"/>
  <c r="CI765" i="10"/>
  <c r="J383" i="34"/>
  <c r="CJ881" i="10"/>
  <c r="CI881" i="10"/>
  <c r="CH881" i="10"/>
  <c r="CG881" i="10"/>
  <c r="CF881" i="10"/>
  <c r="CL881" i="10" s="1"/>
  <c r="CK881" i="10"/>
  <c r="J342" i="34"/>
  <c r="CK840" i="10"/>
  <c r="CH840" i="10"/>
  <c r="CJ840" i="10"/>
  <c r="CI840" i="10"/>
  <c r="CG840" i="10"/>
  <c r="CF840" i="10"/>
  <c r="CL840" i="10" s="1"/>
  <c r="J283" i="34"/>
  <c r="CI781" i="10"/>
  <c r="CH781" i="10"/>
  <c r="CK781" i="10"/>
  <c r="CJ781" i="10"/>
  <c r="CG781" i="10"/>
  <c r="CF781" i="10"/>
  <c r="CL781" i="10" s="1"/>
  <c r="J421" i="34"/>
  <c r="CK919" i="10"/>
  <c r="CI919" i="10"/>
  <c r="CH919" i="10"/>
  <c r="CG919" i="10"/>
  <c r="CF919" i="10"/>
  <c r="CL919" i="10" s="1"/>
  <c r="CJ919" i="10"/>
  <c r="E84" i="14"/>
  <c r="G84" i="14"/>
  <c r="G70" i="14"/>
  <c r="E70" i="14"/>
  <c r="F70" i="14" s="1"/>
  <c r="O17" i="28"/>
  <c r="M17" i="28"/>
  <c r="I17" i="28"/>
  <c r="H17" i="28"/>
  <c r="J17" i="28"/>
  <c r="I21" i="17"/>
  <c r="J299" i="34"/>
  <c r="CJ797" i="10"/>
  <c r="CI797" i="10"/>
  <c r="CH797" i="10"/>
  <c r="CF797" i="10"/>
  <c r="CL797" i="10" s="1"/>
  <c r="CK797" i="10"/>
  <c r="CG797" i="10"/>
  <c r="AM123" i="10"/>
  <c r="AN123" i="10" s="1"/>
  <c r="AP123" i="10" s="1"/>
  <c r="AO123" i="7"/>
  <c r="AO123" i="3"/>
  <c r="AM123" i="7"/>
  <c r="AP123" i="3" s="1"/>
  <c r="BP753" i="10"/>
  <c r="O5" i="28"/>
  <c r="M5" i="28"/>
  <c r="H5" i="28"/>
  <c r="I5" i="28"/>
  <c r="J5" i="28"/>
  <c r="J365" i="34"/>
  <c r="CI863" i="10"/>
  <c r="CH863" i="10"/>
  <c r="CG863" i="10"/>
  <c r="CF863" i="10"/>
  <c r="CL863" i="10" s="1"/>
  <c r="CK863" i="10"/>
  <c r="CJ863" i="10"/>
  <c r="CR863" i="10"/>
  <c r="P365" i="34" s="1"/>
  <c r="J59" i="35"/>
  <c r="CP62" i="9"/>
  <c r="CO62" i="9"/>
  <c r="CM62" i="9"/>
  <c r="CN62" i="9"/>
  <c r="CL62" i="9"/>
  <c r="CQ62" i="9" s="1"/>
  <c r="CX62" i="9"/>
  <c r="O59" i="35" s="1"/>
  <c r="AQ316" i="3"/>
  <c r="AO316" i="7"/>
  <c r="AQ314" i="3"/>
  <c r="AO314" i="7"/>
  <c r="K91" i="34"/>
  <c r="CC589" i="10"/>
  <c r="BZ589" i="10"/>
  <c r="CD589" i="10" s="1"/>
  <c r="CB589" i="10"/>
  <c r="CA589" i="10"/>
  <c r="CR589" i="10"/>
  <c r="P91" i="34" s="1"/>
  <c r="J181" i="34"/>
  <c r="CJ679" i="10"/>
  <c r="CG679" i="10"/>
  <c r="CI679" i="10"/>
  <c r="CF679" i="10"/>
  <c r="CL679" i="10" s="1"/>
  <c r="CH679" i="10"/>
  <c r="CK679" i="10"/>
  <c r="J372" i="34"/>
  <c r="CK870" i="10"/>
  <c r="CI870" i="10"/>
  <c r="CF870" i="10"/>
  <c r="CL870" i="10" s="1"/>
  <c r="CG870" i="10"/>
  <c r="CH870" i="10"/>
  <c r="CJ870" i="10"/>
  <c r="CR870" i="10"/>
  <c r="P372" i="34" s="1"/>
  <c r="K263" i="34"/>
  <c r="BZ761" i="10"/>
  <c r="CD761" i="10" s="1"/>
  <c r="CB761" i="10"/>
  <c r="CA761" i="10"/>
  <c r="CC761" i="10"/>
  <c r="CR761" i="10"/>
  <c r="P263" i="34" s="1"/>
  <c r="J335" i="34"/>
  <c r="CI833" i="10"/>
  <c r="CF833" i="10"/>
  <c r="CL833" i="10" s="1"/>
  <c r="CH833" i="10"/>
  <c r="CG833" i="10"/>
  <c r="CJ833" i="10"/>
  <c r="CK833" i="10"/>
  <c r="J345" i="34"/>
  <c r="CK843" i="10"/>
  <c r="CJ843" i="10"/>
  <c r="CH843" i="10"/>
  <c r="CI843" i="10"/>
  <c r="CF843" i="10"/>
  <c r="CL843" i="10" s="1"/>
  <c r="CG843" i="10"/>
  <c r="CD703" i="10"/>
  <c r="E286" i="8"/>
  <c r="AO97" i="3"/>
  <c r="AM97" i="10"/>
  <c r="AN97" i="10" s="1"/>
  <c r="AP97" i="10" s="1"/>
  <c r="AM97" i="7"/>
  <c r="AP97" i="3" s="1"/>
  <c r="AO97" i="7"/>
  <c r="AO373" i="7"/>
  <c r="I17" i="35"/>
  <c r="CI20" i="9"/>
  <c r="CH20" i="9"/>
  <c r="CG20" i="9"/>
  <c r="CF20" i="9"/>
  <c r="CJ20" i="9" s="1"/>
  <c r="CX20" i="9"/>
  <c r="O17" i="35" s="1"/>
  <c r="K4" i="34"/>
  <c r="CC502" i="10"/>
  <c r="CB502" i="10"/>
  <c r="CA502" i="10"/>
  <c r="BZ502" i="10"/>
  <c r="CD502" i="10" s="1"/>
  <c r="CR502" i="10"/>
  <c r="P4" i="34" s="1"/>
  <c r="AQ130" i="3"/>
  <c r="AO130" i="7"/>
  <c r="H225" i="8"/>
  <c r="F82" i="8"/>
  <c r="K174" i="34"/>
  <c r="CB672" i="10"/>
  <c r="CA672" i="10"/>
  <c r="CC672" i="10"/>
  <c r="BZ672" i="10"/>
  <c r="CD672" i="10" s="1"/>
  <c r="CR672" i="10"/>
  <c r="P174" i="34" s="1"/>
  <c r="AQ412" i="3"/>
  <c r="AO412" i="7"/>
  <c r="K125" i="34"/>
  <c r="BZ623" i="10"/>
  <c r="CD623" i="10" s="1"/>
  <c r="CA623" i="10"/>
  <c r="CB623" i="10"/>
  <c r="CC623" i="10"/>
  <c r="CR623" i="10"/>
  <c r="P125" i="34" s="1"/>
  <c r="BR842" i="10"/>
  <c r="J842" i="10"/>
  <c r="BR629" i="10"/>
  <c r="J629" i="10"/>
  <c r="K206" i="34"/>
  <c r="CB704" i="10"/>
  <c r="CA704" i="10"/>
  <c r="CC704" i="10"/>
  <c r="CR704" i="10"/>
  <c r="P206" i="34" s="1"/>
  <c r="BZ704" i="10"/>
  <c r="CD704" i="10" s="1"/>
  <c r="J66" i="35"/>
  <c r="CP69" i="9"/>
  <c r="CO69" i="9"/>
  <c r="CL69" i="9"/>
  <c r="CQ69" i="9" s="1"/>
  <c r="CN69" i="9"/>
  <c r="CM69" i="9"/>
  <c r="H222" i="8"/>
  <c r="F79" i="8"/>
  <c r="AQ190" i="3"/>
  <c r="AO190" i="7"/>
  <c r="K152" i="34"/>
  <c r="CC650" i="10"/>
  <c r="CA650" i="10"/>
  <c r="BZ650" i="10"/>
  <c r="CD650" i="10" s="1"/>
  <c r="CB650" i="10"/>
  <c r="CR650" i="10"/>
  <c r="P152" i="34" s="1"/>
  <c r="K111" i="34"/>
  <c r="CA609" i="10"/>
  <c r="CB609" i="10"/>
  <c r="BZ609" i="10"/>
  <c r="CD609" i="10" s="1"/>
  <c r="CC609" i="10"/>
  <c r="CR609" i="10"/>
  <c r="P111" i="34" s="1"/>
  <c r="K131" i="34"/>
  <c r="BZ629" i="10"/>
  <c r="CD629" i="10" s="1"/>
  <c r="CB629" i="10"/>
  <c r="CC629" i="10"/>
  <c r="CA629" i="10"/>
  <c r="CR629" i="10"/>
  <c r="P131" i="34" s="1"/>
  <c r="AQ381" i="3"/>
  <c r="AO381" i="7"/>
  <c r="I70" i="35"/>
  <c r="CG73" i="9"/>
  <c r="CF73" i="9"/>
  <c r="CJ73" i="9" s="1"/>
  <c r="CI73" i="9"/>
  <c r="CH73" i="9"/>
  <c r="CX73" i="9"/>
  <c r="O70" i="35" s="1"/>
  <c r="J156" i="34"/>
  <c r="CI654" i="10"/>
  <c r="CH654" i="10"/>
  <c r="CF654" i="10"/>
  <c r="CL654" i="10" s="1"/>
  <c r="CK654" i="10"/>
  <c r="CG654" i="10"/>
  <c r="CJ654" i="10"/>
  <c r="CR654" i="10"/>
  <c r="P156" i="34" s="1"/>
  <c r="J69" i="34"/>
  <c r="CG567" i="10"/>
  <c r="CJ567" i="10"/>
  <c r="CI567" i="10"/>
  <c r="CH567" i="10"/>
  <c r="CF567" i="10"/>
  <c r="CL567" i="10" s="1"/>
  <c r="CK567" i="10"/>
  <c r="I31" i="35"/>
  <c r="CG34" i="9"/>
  <c r="CI34" i="9"/>
  <c r="CH34" i="9"/>
  <c r="CF34" i="9"/>
  <c r="CX34" i="9"/>
  <c r="O31" i="35" s="1"/>
  <c r="J22" i="34"/>
  <c r="CH520" i="10"/>
  <c r="CF520" i="10"/>
  <c r="CL520" i="10" s="1"/>
  <c r="CG520" i="10"/>
  <c r="CJ520" i="10"/>
  <c r="CI520" i="10"/>
  <c r="CK520" i="10"/>
  <c r="AQ67" i="3"/>
  <c r="AO67" i="7"/>
  <c r="AQ268" i="3"/>
  <c r="AO268" i="7"/>
  <c r="K146" i="34"/>
  <c r="CB644" i="10"/>
  <c r="BZ644" i="10"/>
  <c r="CD644" i="10" s="1"/>
  <c r="CR644" i="10"/>
  <c r="P146" i="34" s="1"/>
  <c r="CA644" i="10"/>
  <c r="CC644" i="10"/>
  <c r="J12" i="35"/>
  <c r="CO15" i="9"/>
  <c r="CP15" i="9"/>
  <c r="CM15" i="9"/>
  <c r="CL15" i="9"/>
  <c r="CQ15" i="9" s="1"/>
  <c r="CN15" i="9"/>
  <c r="J44" i="34"/>
  <c r="CK542" i="10"/>
  <c r="CF542" i="10"/>
  <c r="CL542" i="10" s="1"/>
  <c r="CH542" i="10"/>
  <c r="CG542" i="10"/>
  <c r="CI542" i="10"/>
  <c r="CJ542" i="10"/>
  <c r="H218" i="8"/>
  <c r="F75" i="8"/>
  <c r="K160" i="34"/>
  <c r="BZ658" i="10"/>
  <c r="CD658" i="10" s="1"/>
  <c r="CB658" i="10"/>
  <c r="CC658" i="10"/>
  <c r="CA658" i="10"/>
  <c r="CR658" i="10"/>
  <c r="P160" i="34" s="1"/>
  <c r="AQ426" i="3"/>
  <c r="AO426" i="7"/>
  <c r="J337" i="34"/>
  <c r="CJ835" i="10"/>
  <c r="CH835" i="10"/>
  <c r="CG835" i="10"/>
  <c r="CF835" i="10"/>
  <c r="CL835" i="10" s="1"/>
  <c r="CK835" i="10"/>
  <c r="CI835" i="10"/>
  <c r="J366" i="34"/>
  <c r="CK864" i="10"/>
  <c r="CJ864" i="10"/>
  <c r="CI864" i="10"/>
  <c r="CF864" i="10"/>
  <c r="CL864" i="10" s="1"/>
  <c r="CG864" i="10"/>
  <c r="CH864" i="10"/>
  <c r="J221" i="34"/>
  <c r="CJ719" i="10"/>
  <c r="CI719" i="10"/>
  <c r="CF719" i="10"/>
  <c r="CL719" i="10" s="1"/>
  <c r="CK719" i="10"/>
  <c r="CH719" i="10"/>
  <c r="CG719" i="10"/>
  <c r="J210" i="34"/>
  <c r="CJ708" i="10"/>
  <c r="CI708" i="10"/>
  <c r="CF708" i="10"/>
  <c r="CL708" i="10" s="1"/>
  <c r="CK708" i="10"/>
  <c r="CG708" i="10"/>
  <c r="CH708" i="10"/>
  <c r="K302" i="34"/>
  <c r="CB800" i="10"/>
  <c r="CA800" i="10"/>
  <c r="BZ800" i="10"/>
  <c r="CD800" i="10" s="1"/>
  <c r="CC800" i="10"/>
  <c r="CR800" i="10"/>
  <c r="P302" i="34" s="1"/>
  <c r="K343" i="34"/>
  <c r="CC841" i="10"/>
  <c r="BZ841" i="10"/>
  <c r="CD841" i="10" s="1"/>
  <c r="CB841" i="10"/>
  <c r="CA841" i="10"/>
  <c r="CR841" i="10"/>
  <c r="P343" i="34" s="1"/>
  <c r="K202" i="34"/>
  <c r="CB700" i="10"/>
  <c r="CA700" i="10"/>
  <c r="CC700" i="10"/>
  <c r="BZ700" i="10"/>
  <c r="CD700" i="10" s="1"/>
  <c r="CR700" i="10"/>
  <c r="P202" i="34" s="1"/>
  <c r="K287" i="34"/>
  <c r="CB785" i="10"/>
  <c r="CA785" i="10"/>
  <c r="BZ785" i="10"/>
  <c r="CD785" i="10" s="1"/>
  <c r="CC785" i="10"/>
  <c r="CR785" i="10"/>
  <c r="P287" i="34" s="1"/>
  <c r="J351" i="34"/>
  <c r="CK849" i="10"/>
  <c r="CG849" i="10"/>
  <c r="CI849" i="10"/>
  <c r="CJ849" i="10"/>
  <c r="CH849" i="10"/>
  <c r="CF849" i="10"/>
  <c r="CL849" i="10" s="1"/>
  <c r="K389" i="34"/>
  <c r="CA887" i="10"/>
  <c r="CC887" i="10"/>
  <c r="CB887" i="10"/>
  <c r="BZ887" i="10"/>
  <c r="CD887" i="10" s="1"/>
  <c r="CR887" i="10"/>
  <c r="P389" i="34" s="1"/>
  <c r="K285" i="34"/>
  <c r="CC783" i="10"/>
  <c r="CB783" i="10"/>
  <c r="BZ783" i="10"/>
  <c r="CD783" i="10" s="1"/>
  <c r="CA783" i="10"/>
  <c r="CR783" i="10"/>
  <c r="P285" i="34" s="1"/>
  <c r="J380" i="34"/>
  <c r="CH878" i="10"/>
  <c r="CG878" i="10"/>
  <c r="CF878" i="10"/>
  <c r="CL878" i="10" s="1"/>
  <c r="CJ878" i="10"/>
  <c r="CI878" i="10"/>
  <c r="CK878" i="10"/>
  <c r="CR878" i="10"/>
  <c r="P380" i="34" s="1"/>
  <c r="G75" i="14"/>
  <c r="E75" i="14"/>
  <c r="G78" i="14"/>
  <c r="E78" i="14"/>
  <c r="O29" i="28"/>
  <c r="M29" i="28"/>
  <c r="I29" i="28"/>
  <c r="H29" i="28"/>
  <c r="J29" i="28"/>
  <c r="M12" i="28"/>
  <c r="O12" i="28"/>
  <c r="H12" i="28"/>
  <c r="I12" i="28"/>
  <c r="J12" i="28"/>
  <c r="AO18" i="7"/>
  <c r="D309" i="8"/>
  <c r="O309" i="8" s="1"/>
  <c r="K50" i="34"/>
  <c r="CC548" i="10"/>
  <c r="CB548" i="10"/>
  <c r="CA548" i="10"/>
  <c r="BZ548" i="10"/>
  <c r="CD548" i="10" s="1"/>
  <c r="CR548" i="10"/>
  <c r="P50" i="34" s="1"/>
  <c r="AQ44" i="3"/>
  <c r="AO44" i="7"/>
  <c r="J159" i="34"/>
  <c r="CJ657" i="10"/>
  <c r="CK657" i="10"/>
  <c r="CI657" i="10"/>
  <c r="CH657" i="10"/>
  <c r="CG657" i="10"/>
  <c r="CF657" i="10"/>
  <c r="CL657" i="10" s="1"/>
  <c r="K303" i="34"/>
  <c r="CB801" i="10"/>
  <c r="CA801" i="10"/>
  <c r="BZ801" i="10"/>
  <c r="CD801" i="10" s="1"/>
  <c r="CC801" i="10"/>
  <c r="CR801" i="10"/>
  <c r="P303" i="34" s="1"/>
  <c r="K107" i="34"/>
  <c r="CC605" i="10"/>
  <c r="CB605" i="10"/>
  <c r="CA605" i="10"/>
  <c r="BZ605" i="10"/>
  <c r="CD605" i="10" s="1"/>
  <c r="CR605" i="10"/>
  <c r="P107" i="34" s="1"/>
  <c r="K220" i="34"/>
  <c r="BZ718" i="10"/>
  <c r="CD718" i="10" s="1"/>
  <c r="CC718" i="10"/>
  <c r="CA718" i="10"/>
  <c r="CB718" i="10"/>
  <c r="CR718" i="10"/>
  <c r="P220" i="34" s="1"/>
  <c r="E72" i="14"/>
  <c r="G72" i="14"/>
  <c r="H32" i="28"/>
  <c r="I32" i="28"/>
  <c r="O32" i="28"/>
  <c r="M32" i="28"/>
  <c r="J32" i="28"/>
  <c r="I61" i="35"/>
  <c r="CH64" i="9"/>
  <c r="CI64" i="9"/>
  <c r="CF64" i="9"/>
  <c r="CJ64" i="9" s="1"/>
  <c r="CG64" i="9"/>
  <c r="CX64" i="9"/>
  <c r="O61" i="35" s="1"/>
  <c r="AQ286" i="3"/>
  <c r="AO286" i="7"/>
  <c r="K20" i="34"/>
  <c r="CA518" i="10"/>
  <c r="BZ518" i="10"/>
  <c r="CD518" i="10" s="1"/>
  <c r="CC518" i="10"/>
  <c r="CB518" i="10"/>
  <c r="CR518" i="10"/>
  <c r="P20" i="34" s="1"/>
  <c r="K411" i="34"/>
  <c r="CC909" i="10"/>
  <c r="CA909" i="10"/>
  <c r="CB909" i="10"/>
  <c r="BZ909" i="10"/>
  <c r="CD909" i="10" s="1"/>
  <c r="CR909" i="10"/>
  <c r="P411" i="34" s="1"/>
  <c r="J108" i="34"/>
  <c r="CJ606" i="10"/>
  <c r="CF606" i="10"/>
  <c r="CL606" i="10" s="1"/>
  <c r="CI606" i="10"/>
  <c r="CK606" i="10"/>
  <c r="CH606" i="10"/>
  <c r="CG606" i="10"/>
  <c r="J150" i="34"/>
  <c r="CH648" i="10"/>
  <c r="CJ648" i="10"/>
  <c r="CG648" i="10"/>
  <c r="CF648" i="10"/>
  <c r="CL648" i="10" s="1"/>
  <c r="CK648" i="10"/>
  <c r="CI648" i="10"/>
  <c r="J227" i="34"/>
  <c r="CI725" i="10"/>
  <c r="CF725" i="10"/>
  <c r="CL725" i="10" s="1"/>
  <c r="CG725" i="10"/>
  <c r="CK725" i="10"/>
  <c r="CJ725" i="10"/>
  <c r="CH725" i="10"/>
  <c r="I2" i="28"/>
  <c r="H2" i="28"/>
  <c r="O2" i="28"/>
  <c r="M2" i="28"/>
  <c r="J2" i="28"/>
  <c r="J14" i="17"/>
  <c r="K120" i="34"/>
  <c r="CC618" i="10"/>
  <c r="CB618" i="10"/>
  <c r="CA618" i="10"/>
  <c r="BZ618" i="10"/>
  <c r="CD618" i="10" s="1"/>
  <c r="CR618" i="10"/>
  <c r="P120" i="34" s="1"/>
  <c r="AQ370" i="3"/>
  <c r="AO370" i="7"/>
  <c r="I64" i="35"/>
  <c r="CI67" i="9"/>
  <c r="CG67" i="9"/>
  <c r="CH67" i="9"/>
  <c r="CF67" i="9"/>
  <c r="CX67" i="9"/>
  <c r="O64" i="35" s="1"/>
  <c r="J37" i="34"/>
  <c r="CG535" i="10"/>
  <c r="CF535" i="10"/>
  <c r="CL535" i="10" s="1"/>
  <c r="CK535" i="10"/>
  <c r="CJ535" i="10"/>
  <c r="CI535" i="10"/>
  <c r="CH535" i="10"/>
  <c r="J137" i="34"/>
  <c r="CK635" i="10"/>
  <c r="CH635" i="10"/>
  <c r="CJ635" i="10"/>
  <c r="CI635" i="10"/>
  <c r="CF635" i="10"/>
  <c r="CL635" i="10" s="1"/>
  <c r="CG635" i="10"/>
  <c r="J315" i="34"/>
  <c r="CI813" i="10"/>
  <c r="CH813" i="10"/>
  <c r="CF813" i="10"/>
  <c r="CL813" i="10" s="1"/>
  <c r="CG813" i="10"/>
  <c r="CK813" i="10"/>
  <c r="CJ813" i="10"/>
  <c r="J198" i="34"/>
  <c r="CI696" i="10"/>
  <c r="CG696" i="10"/>
  <c r="CF696" i="10"/>
  <c r="CL696" i="10" s="1"/>
  <c r="CK696" i="10"/>
  <c r="CJ696" i="10"/>
  <c r="CH696" i="10"/>
  <c r="O36" i="28"/>
  <c r="M36" i="28"/>
  <c r="I36" i="28"/>
  <c r="H36" i="28"/>
  <c r="J36" i="28"/>
  <c r="K62" i="34"/>
  <c r="CB560" i="10"/>
  <c r="CA560" i="10"/>
  <c r="CC560" i="10"/>
  <c r="BZ560" i="10"/>
  <c r="CR560" i="10"/>
  <c r="P62" i="34" s="1"/>
  <c r="I6" i="35"/>
  <c r="CI9" i="9"/>
  <c r="CG9" i="9"/>
  <c r="CF9" i="9"/>
  <c r="CJ9" i="9" s="1"/>
  <c r="CH9" i="9"/>
  <c r="CX9" i="9"/>
  <c r="O6" i="35" s="1"/>
  <c r="J39" i="35"/>
  <c r="CL42" i="9"/>
  <c r="CQ42" i="9" s="1"/>
  <c r="CP42" i="9"/>
  <c r="CO42" i="9"/>
  <c r="CM42" i="9"/>
  <c r="CN42" i="9"/>
  <c r="I53" i="35"/>
  <c r="CG56" i="9"/>
  <c r="CI56" i="9"/>
  <c r="CH56" i="9"/>
  <c r="CF56" i="9"/>
  <c r="CJ56" i="9" s="1"/>
  <c r="CX56" i="9"/>
  <c r="O53" i="35" s="1"/>
  <c r="K326" i="34"/>
  <c r="CC824" i="10"/>
  <c r="CB824" i="10"/>
  <c r="BZ824" i="10"/>
  <c r="CD824" i="10" s="1"/>
  <c r="CA824" i="10"/>
  <c r="CR824" i="10"/>
  <c r="P326" i="34" s="1"/>
  <c r="AV257" i="3"/>
  <c r="C310" i="8"/>
  <c r="B26" i="4"/>
  <c r="H232" i="8"/>
  <c r="F89" i="8"/>
  <c r="H10" i="28"/>
  <c r="O10" i="28"/>
  <c r="M10" i="28"/>
  <c r="I10" i="28"/>
  <c r="L10" i="28" s="1"/>
  <c r="AQ328" i="3"/>
  <c r="AO328" i="7"/>
  <c r="H229" i="8"/>
  <c r="F86" i="8"/>
  <c r="AQ179" i="3"/>
  <c r="AO179" i="7"/>
  <c r="K25" i="34"/>
  <c r="CR523" i="10"/>
  <c r="P25" i="34" s="1"/>
  <c r="CC523" i="10"/>
  <c r="BZ523" i="10"/>
  <c r="CD523" i="10" s="1"/>
  <c r="CB523" i="10"/>
  <c r="CA523" i="10"/>
  <c r="K154" i="34"/>
  <c r="CA652" i="10"/>
  <c r="CR652" i="10"/>
  <c r="P154" i="34" s="1"/>
  <c r="CC652" i="10"/>
  <c r="CB652" i="10"/>
  <c r="BZ652" i="10"/>
  <c r="CD652" i="10" s="1"/>
  <c r="J194" i="34"/>
  <c r="CI692" i="10"/>
  <c r="CK692" i="10"/>
  <c r="CH692" i="10"/>
  <c r="CG692" i="10"/>
  <c r="CF692" i="10"/>
  <c r="CL692" i="10" s="1"/>
  <c r="CJ692" i="10"/>
  <c r="K421" i="34"/>
  <c r="CB919" i="10"/>
  <c r="CC919" i="10"/>
  <c r="CA919" i="10"/>
  <c r="BZ919" i="10"/>
  <c r="CD919" i="10" s="1"/>
  <c r="CR919" i="10"/>
  <c r="P421" i="34" s="1"/>
  <c r="O9" i="28"/>
  <c r="M9" i="28"/>
  <c r="H9" i="28"/>
  <c r="I9" i="28"/>
  <c r="J9" i="28"/>
  <c r="I232" i="8"/>
  <c r="K36" i="34"/>
  <c r="CB534" i="10"/>
  <c r="BZ534" i="10"/>
  <c r="CD534" i="10" s="1"/>
  <c r="CA534" i="10"/>
  <c r="CC534" i="10"/>
  <c r="CR534" i="10"/>
  <c r="P36" i="34" s="1"/>
  <c r="AQ88" i="3"/>
  <c r="AO88" i="7"/>
  <c r="J13" i="34"/>
  <c r="CG511" i="10"/>
  <c r="CK511" i="10"/>
  <c r="CJ511" i="10"/>
  <c r="CF511" i="10"/>
  <c r="CL511" i="10" s="1"/>
  <c r="CI511" i="10"/>
  <c r="CH511" i="10"/>
  <c r="K47" i="34"/>
  <c r="BZ545" i="10"/>
  <c r="CD545" i="10" s="1"/>
  <c r="CA545" i="10"/>
  <c r="CC545" i="10"/>
  <c r="CB545" i="10"/>
  <c r="CR545" i="10"/>
  <c r="P47" i="34" s="1"/>
  <c r="K309" i="34"/>
  <c r="CA807" i="10"/>
  <c r="CC807" i="10"/>
  <c r="CB807" i="10"/>
  <c r="BZ807" i="10"/>
  <c r="CD807" i="10" s="1"/>
  <c r="CR807" i="10"/>
  <c r="P309" i="34" s="1"/>
  <c r="BC870" i="10"/>
  <c r="BP870" i="10"/>
  <c r="J732" i="10"/>
  <c r="AQ115" i="3"/>
  <c r="AO115" i="7"/>
  <c r="J47" i="35"/>
  <c r="CO50" i="9"/>
  <c r="CN50" i="9"/>
  <c r="CM50" i="9"/>
  <c r="CL50" i="9"/>
  <c r="CQ50" i="9" s="1"/>
  <c r="CP50" i="9"/>
  <c r="J127" i="34"/>
  <c r="CG625" i="10"/>
  <c r="CJ625" i="10"/>
  <c r="CF625" i="10"/>
  <c r="CL625" i="10" s="1"/>
  <c r="CK625" i="10"/>
  <c r="CH625" i="10"/>
  <c r="CI625" i="10"/>
  <c r="K15" i="34"/>
  <c r="BZ513" i="10"/>
  <c r="CD513" i="10" s="1"/>
  <c r="CR513" i="10"/>
  <c r="P15" i="34" s="1"/>
  <c r="CB513" i="10"/>
  <c r="CA513" i="10"/>
  <c r="CC513" i="10"/>
  <c r="J61" i="35"/>
  <c r="CM64" i="9"/>
  <c r="CO64" i="9"/>
  <c r="CN64" i="9"/>
  <c r="CL64" i="9"/>
  <c r="CQ64" i="9" s="1"/>
  <c r="CP64" i="9"/>
  <c r="K194" i="34"/>
  <c r="CB692" i="10"/>
  <c r="CA692" i="10"/>
  <c r="BZ692" i="10"/>
  <c r="CD692" i="10" s="1"/>
  <c r="CC692" i="10"/>
  <c r="CR692" i="10"/>
  <c r="P194" i="34" s="1"/>
  <c r="J257" i="34"/>
  <c r="CH755" i="10"/>
  <c r="CK755" i="10"/>
  <c r="CI755" i="10"/>
  <c r="CJ755" i="10"/>
  <c r="CG755" i="10"/>
  <c r="CF755" i="10"/>
  <c r="CL755" i="10" s="1"/>
  <c r="J395" i="34"/>
  <c r="CK893" i="10"/>
  <c r="CJ893" i="10"/>
  <c r="CG893" i="10"/>
  <c r="CI893" i="10"/>
  <c r="CH893" i="10"/>
  <c r="CF893" i="10"/>
  <c r="CL893" i="10" s="1"/>
  <c r="I17" i="17"/>
  <c r="BP784" i="10"/>
  <c r="I217" i="8"/>
  <c r="G217" i="8"/>
  <c r="AQ374" i="3"/>
  <c r="AO374" i="7"/>
  <c r="H233" i="8"/>
  <c r="F90" i="8"/>
  <c r="AQ409" i="3"/>
  <c r="AO409" i="7"/>
  <c r="J17" i="34"/>
  <c r="CI515" i="10"/>
  <c r="CH515" i="10"/>
  <c r="CK515" i="10"/>
  <c r="CJ515" i="10"/>
  <c r="CG515" i="10"/>
  <c r="CF515" i="10"/>
  <c r="CL515" i="10" s="1"/>
  <c r="CR515" i="10"/>
  <c r="P17" i="34" s="1"/>
  <c r="K57" i="34"/>
  <c r="CB555" i="10"/>
  <c r="CC555" i="10"/>
  <c r="BZ555" i="10"/>
  <c r="CD555" i="10" s="1"/>
  <c r="CA555" i="10"/>
  <c r="CR555" i="10"/>
  <c r="P57" i="34" s="1"/>
  <c r="J77" i="34"/>
  <c r="CK575" i="10"/>
  <c r="CH575" i="10"/>
  <c r="CI575" i="10"/>
  <c r="CG575" i="10"/>
  <c r="CJ575" i="10"/>
  <c r="CF575" i="10"/>
  <c r="CL575" i="10" s="1"/>
  <c r="K294" i="34"/>
  <c r="BZ792" i="10"/>
  <c r="CD792" i="10" s="1"/>
  <c r="CC792" i="10"/>
  <c r="CB792" i="10"/>
  <c r="CA792" i="10"/>
  <c r="CR792" i="10"/>
  <c r="P294" i="34" s="1"/>
  <c r="AQ199" i="10"/>
  <c r="AR199" i="10"/>
  <c r="AM107" i="10"/>
  <c r="AN107" i="10" s="1"/>
  <c r="AP107" i="10" s="1"/>
  <c r="AO107" i="3"/>
  <c r="AO107" i="7"/>
  <c r="AM107" i="7"/>
  <c r="AP107" i="3" s="1"/>
  <c r="B31" i="4"/>
  <c r="K113" i="34"/>
  <c r="CA611" i="10"/>
  <c r="CB611" i="10"/>
  <c r="CC611" i="10"/>
  <c r="BZ611" i="10"/>
  <c r="CD611" i="10" s="1"/>
  <c r="CR611" i="10"/>
  <c r="P113" i="34" s="1"/>
  <c r="BR659" i="10"/>
  <c r="J216" i="34"/>
  <c r="CI714" i="10"/>
  <c r="CK714" i="10"/>
  <c r="CJ714" i="10"/>
  <c r="CH714" i="10"/>
  <c r="CG714" i="10"/>
  <c r="CF714" i="10"/>
  <c r="CL714" i="10" s="1"/>
  <c r="J30" i="35"/>
  <c r="CP33" i="9"/>
  <c r="CM33" i="9"/>
  <c r="CO33" i="9"/>
  <c r="CN33" i="9"/>
  <c r="CL33" i="9"/>
  <c r="CQ33" i="9" s="1"/>
  <c r="AQ20" i="3"/>
  <c r="AO20" i="7"/>
  <c r="K123" i="34"/>
  <c r="CC621" i="10"/>
  <c r="CA621" i="10"/>
  <c r="CB621" i="10"/>
  <c r="BZ621" i="10"/>
  <c r="CD621" i="10" s="1"/>
  <c r="CR621" i="10"/>
  <c r="P123" i="34" s="1"/>
  <c r="J229" i="34"/>
  <c r="CK727" i="10"/>
  <c r="CG727" i="10"/>
  <c r="CF727" i="10"/>
  <c r="CL727" i="10" s="1"/>
  <c r="CJ727" i="10"/>
  <c r="CI727" i="10"/>
  <c r="CH727" i="10"/>
  <c r="J352" i="34"/>
  <c r="CJ850" i="10"/>
  <c r="CI850" i="10"/>
  <c r="CH850" i="10"/>
  <c r="CF850" i="10"/>
  <c r="CL850" i="10" s="1"/>
  <c r="CK850" i="10"/>
  <c r="CG850" i="10"/>
  <c r="E79" i="14"/>
  <c r="G79" i="14"/>
  <c r="J334" i="34"/>
  <c r="CK832" i="10"/>
  <c r="CJ832" i="10"/>
  <c r="CH832" i="10"/>
  <c r="CG832" i="10"/>
  <c r="CF832" i="10"/>
  <c r="CL832" i="10" s="1"/>
  <c r="CI832" i="10"/>
  <c r="BC662" i="10"/>
  <c r="BP662" i="10"/>
  <c r="K49" i="34"/>
  <c r="CC547" i="10"/>
  <c r="BZ547" i="10"/>
  <c r="CB547" i="10"/>
  <c r="CA547" i="10"/>
  <c r="CR547" i="10"/>
  <c r="P49" i="34" s="1"/>
  <c r="AQ247" i="3"/>
  <c r="AO247" i="7"/>
  <c r="J31" i="35"/>
  <c r="CO34" i="9"/>
  <c r="CP34" i="9"/>
  <c r="CN34" i="9"/>
  <c r="CL34" i="9"/>
  <c r="CQ34" i="9" s="1"/>
  <c r="CM34" i="9"/>
  <c r="I22" i="35"/>
  <c r="CG25" i="9"/>
  <c r="CF25" i="9"/>
  <c r="CJ25" i="9" s="1"/>
  <c r="CH25" i="9"/>
  <c r="CI25" i="9"/>
  <c r="CX25" i="9"/>
  <c r="O22" i="35" s="1"/>
  <c r="J203" i="34"/>
  <c r="CJ701" i="10"/>
  <c r="CG701" i="10"/>
  <c r="CK701" i="10"/>
  <c r="CH701" i="10"/>
  <c r="CI701" i="10"/>
  <c r="CF701" i="10"/>
  <c r="CL701" i="10" s="1"/>
  <c r="AQ292" i="3"/>
  <c r="AO292" i="7"/>
  <c r="I73" i="35"/>
  <c r="CH76" i="9"/>
  <c r="CI76" i="9"/>
  <c r="CF76" i="9"/>
  <c r="CJ76" i="9" s="1"/>
  <c r="CG76" i="9"/>
  <c r="CX76" i="9"/>
  <c r="O73" i="35" s="1"/>
  <c r="AQ195" i="3"/>
  <c r="AO195" i="7"/>
  <c r="K271" i="34"/>
  <c r="CC769" i="10"/>
  <c r="BZ769" i="10"/>
  <c r="CD769" i="10" s="1"/>
  <c r="CB769" i="10"/>
  <c r="CA769" i="10"/>
  <c r="CR769" i="10"/>
  <c r="P271" i="34" s="1"/>
  <c r="J154" i="34"/>
  <c r="CK652" i="10"/>
  <c r="CG652" i="10"/>
  <c r="CH652" i="10"/>
  <c r="CF652" i="10"/>
  <c r="CL652" i="10" s="1"/>
  <c r="CJ652" i="10"/>
  <c r="CI652" i="10"/>
  <c r="J107" i="34"/>
  <c r="CI605" i="10"/>
  <c r="CJ605" i="10"/>
  <c r="CF605" i="10"/>
  <c r="CL605" i="10" s="1"/>
  <c r="CK605" i="10"/>
  <c r="CH605" i="10"/>
  <c r="CG605" i="10"/>
  <c r="J172" i="34"/>
  <c r="CI670" i="10"/>
  <c r="CK670" i="10"/>
  <c r="CG670" i="10"/>
  <c r="CH670" i="10"/>
  <c r="CJ670" i="10"/>
  <c r="CF670" i="10"/>
  <c r="CL670" i="10" s="1"/>
  <c r="J370" i="34"/>
  <c r="CG868" i="10"/>
  <c r="CF868" i="10"/>
  <c r="CL868" i="10" s="1"/>
  <c r="CK868" i="10"/>
  <c r="CH868" i="10"/>
  <c r="CJ868" i="10"/>
  <c r="CI868" i="10"/>
  <c r="K191" i="34"/>
  <c r="CB689" i="10"/>
  <c r="CA689" i="10"/>
  <c r="CC689" i="10"/>
  <c r="BZ689" i="10"/>
  <c r="CD689" i="10" s="1"/>
  <c r="CR689" i="10"/>
  <c r="P191" i="34" s="1"/>
  <c r="BP691" i="10"/>
  <c r="K142" i="34"/>
  <c r="CC640" i="10"/>
  <c r="CA640" i="10"/>
  <c r="BZ640" i="10"/>
  <c r="CD640" i="10" s="1"/>
  <c r="CB640" i="10"/>
  <c r="CR640" i="10"/>
  <c r="P142" i="34" s="1"/>
  <c r="AQ288" i="3"/>
  <c r="AO288" i="7"/>
  <c r="J70" i="35"/>
  <c r="CO73" i="9"/>
  <c r="CN73" i="9"/>
  <c r="CP73" i="9"/>
  <c r="CM73" i="9"/>
  <c r="CL73" i="9"/>
  <c r="CQ73" i="9" s="1"/>
  <c r="J57" i="35"/>
  <c r="CL60" i="9"/>
  <c r="CQ60" i="9" s="1"/>
  <c r="CN60" i="9"/>
  <c r="CP60" i="9"/>
  <c r="CO60" i="9"/>
  <c r="CM60" i="9"/>
  <c r="CX60" i="9"/>
  <c r="O57" i="35" s="1"/>
  <c r="I13" i="8"/>
  <c r="G13" i="8"/>
  <c r="O13" i="8"/>
  <c r="AO221" i="7"/>
  <c r="AM221" i="7"/>
  <c r="AP221" i="3" s="1"/>
  <c r="AM221" i="10"/>
  <c r="AN221" i="10" s="1"/>
  <c r="AP221" i="10" s="1"/>
  <c r="AO221" i="3"/>
  <c r="BP644" i="10"/>
  <c r="AO150" i="3"/>
  <c r="AM150" i="10"/>
  <c r="AN150" i="10" s="1"/>
  <c r="AP150" i="10" s="1"/>
  <c r="AM150" i="7"/>
  <c r="AP150" i="3" s="1"/>
  <c r="AO150" i="7"/>
  <c r="J16" i="34"/>
  <c r="CI514" i="10"/>
  <c r="CK514" i="10"/>
  <c r="CJ514" i="10"/>
  <c r="CG514" i="10"/>
  <c r="CH514" i="10"/>
  <c r="CF514" i="10"/>
  <c r="CL514" i="10" s="1"/>
  <c r="AO388" i="7"/>
  <c r="K413" i="34"/>
  <c r="CC911" i="10"/>
  <c r="CA911" i="10"/>
  <c r="CB911" i="10"/>
  <c r="BZ911" i="10"/>
  <c r="CD911" i="10" s="1"/>
  <c r="CR911" i="10"/>
  <c r="P413" i="34" s="1"/>
  <c r="AQ112" i="3"/>
  <c r="AO112" i="7"/>
  <c r="I51" i="35"/>
  <c r="CH54" i="9"/>
  <c r="CG54" i="9"/>
  <c r="CF54" i="9"/>
  <c r="CJ54" i="9" s="1"/>
  <c r="CI54" i="9"/>
  <c r="CX54" i="9"/>
  <c r="O51" i="35" s="1"/>
  <c r="K42" i="34"/>
  <c r="CA540" i="10"/>
  <c r="BZ540" i="10"/>
  <c r="CD540" i="10" s="1"/>
  <c r="CC540" i="10"/>
  <c r="CR540" i="10"/>
  <c r="P42" i="34" s="1"/>
  <c r="CB540" i="10"/>
  <c r="J19" i="35"/>
  <c r="CP22" i="9"/>
  <c r="CN22" i="9"/>
  <c r="CM22" i="9"/>
  <c r="CO22" i="9"/>
  <c r="CL22" i="9"/>
  <c r="CQ22" i="9" s="1"/>
  <c r="K149" i="34"/>
  <c r="BZ647" i="10"/>
  <c r="CD647" i="10" s="1"/>
  <c r="CB647" i="10"/>
  <c r="CC647" i="10"/>
  <c r="CA647" i="10"/>
  <c r="CR647" i="10"/>
  <c r="P149" i="34" s="1"/>
  <c r="AQ248" i="3"/>
  <c r="AO248" i="7"/>
  <c r="J12" i="34"/>
  <c r="CK510" i="10"/>
  <c r="CH510" i="10"/>
  <c r="CJ510" i="10"/>
  <c r="CI510" i="10"/>
  <c r="CG510" i="10"/>
  <c r="CF510" i="10"/>
  <c r="CL510" i="10" s="1"/>
  <c r="K366" i="34"/>
  <c r="CC864" i="10"/>
  <c r="CB864" i="10"/>
  <c r="BZ864" i="10"/>
  <c r="CD864" i="10" s="1"/>
  <c r="CA864" i="10"/>
  <c r="CR864" i="10"/>
  <c r="P366" i="34" s="1"/>
  <c r="J83" i="34"/>
  <c r="CJ581" i="10"/>
  <c r="CI581" i="10"/>
  <c r="CF581" i="10"/>
  <c r="CL581" i="10" s="1"/>
  <c r="CK581" i="10"/>
  <c r="CH581" i="10"/>
  <c r="CG581" i="10"/>
  <c r="AQ73" i="3"/>
  <c r="AO73" i="7"/>
  <c r="H226" i="8"/>
  <c r="F83" i="8"/>
  <c r="AQ74" i="3"/>
  <c r="AO74" i="7"/>
  <c r="J226" i="34"/>
  <c r="CG724" i="10"/>
  <c r="CF724" i="10"/>
  <c r="CL724" i="10" s="1"/>
  <c r="CI724" i="10"/>
  <c r="CK724" i="10"/>
  <c r="CJ724" i="10"/>
  <c r="CH724" i="10"/>
  <c r="K79" i="34"/>
  <c r="CC577" i="10"/>
  <c r="CA577" i="10"/>
  <c r="BZ577" i="10"/>
  <c r="CB577" i="10"/>
  <c r="CR577" i="10"/>
  <c r="P79" i="34" s="1"/>
  <c r="AQ395" i="3"/>
  <c r="AO395" i="7"/>
  <c r="J45" i="34"/>
  <c r="CI543" i="10"/>
  <c r="CF543" i="10"/>
  <c r="CL543" i="10" s="1"/>
  <c r="CH543" i="10"/>
  <c r="CG543" i="10"/>
  <c r="CJ543" i="10"/>
  <c r="CK543" i="10"/>
  <c r="CR543" i="10"/>
  <c r="P45" i="34" s="1"/>
  <c r="H219" i="8"/>
  <c r="F76" i="8"/>
  <c r="AQ372" i="3"/>
  <c r="AO372" i="7"/>
  <c r="J160" i="34"/>
  <c r="CG658" i="10"/>
  <c r="CJ658" i="10"/>
  <c r="CI658" i="10"/>
  <c r="CF658" i="10"/>
  <c r="CL658" i="10" s="1"/>
  <c r="CK658" i="10"/>
  <c r="CH658" i="10"/>
  <c r="K16" i="34"/>
  <c r="CA514" i="10"/>
  <c r="CC514" i="10"/>
  <c r="CB514" i="10"/>
  <c r="BZ514" i="10"/>
  <c r="CD514" i="10" s="1"/>
  <c r="CR514" i="10"/>
  <c r="P16" i="34" s="1"/>
  <c r="J243" i="34"/>
  <c r="CJ741" i="10"/>
  <c r="CI741" i="10"/>
  <c r="CF741" i="10"/>
  <c r="CL741" i="10" s="1"/>
  <c r="CK741" i="10"/>
  <c r="CH741" i="10"/>
  <c r="CG741" i="10"/>
  <c r="CR741" i="10"/>
  <c r="P243" i="34" s="1"/>
  <c r="J310" i="34"/>
  <c r="CJ808" i="10"/>
  <c r="CI808" i="10"/>
  <c r="CH808" i="10"/>
  <c r="CK808" i="10"/>
  <c r="CG808" i="10"/>
  <c r="CF808" i="10"/>
  <c r="CL808" i="10" s="1"/>
  <c r="E85" i="14"/>
  <c r="G85" i="14"/>
  <c r="K203" i="34"/>
  <c r="CC701" i="10"/>
  <c r="CA701" i="10"/>
  <c r="CR701" i="10"/>
  <c r="P203" i="34" s="1"/>
  <c r="CB701" i="10"/>
  <c r="BZ701" i="10"/>
  <c r="CD701" i="10" s="1"/>
  <c r="J358" i="34"/>
  <c r="CH856" i="10"/>
  <c r="CG856" i="10"/>
  <c r="CF856" i="10"/>
  <c r="CL856" i="10" s="1"/>
  <c r="CK856" i="10"/>
  <c r="CI856" i="10"/>
  <c r="CJ856" i="10"/>
  <c r="CR856" i="10"/>
  <c r="P358" i="34" s="1"/>
  <c r="K216" i="34"/>
  <c r="BZ714" i="10"/>
  <c r="CD714" i="10" s="1"/>
  <c r="CA714" i="10"/>
  <c r="CC714" i="10"/>
  <c r="CB714" i="10"/>
  <c r="CR714" i="10"/>
  <c r="P216" i="34" s="1"/>
  <c r="J296" i="34"/>
  <c r="CF794" i="10"/>
  <c r="CL794" i="10" s="1"/>
  <c r="CH794" i="10"/>
  <c r="CG794" i="10"/>
  <c r="CJ794" i="10"/>
  <c r="CI794" i="10"/>
  <c r="CK794" i="10"/>
  <c r="K292" i="34"/>
  <c r="CC790" i="10"/>
  <c r="CA790" i="10"/>
  <c r="BZ790" i="10"/>
  <c r="CD790" i="10" s="1"/>
  <c r="CB790" i="10"/>
  <c r="CR790" i="10"/>
  <c r="P292" i="34" s="1"/>
  <c r="K359" i="34"/>
  <c r="CC857" i="10"/>
  <c r="CB857" i="10"/>
  <c r="BZ857" i="10"/>
  <c r="CA857" i="10"/>
  <c r="CR857" i="10"/>
  <c r="P359" i="34" s="1"/>
  <c r="K382" i="34"/>
  <c r="CC880" i="10"/>
  <c r="CB880" i="10"/>
  <c r="CA880" i="10"/>
  <c r="BZ880" i="10"/>
  <c r="CD880" i="10" s="1"/>
  <c r="CR880" i="10"/>
  <c r="P382" i="34" s="1"/>
  <c r="K346" i="34"/>
  <c r="CC844" i="10"/>
  <c r="CA844" i="10"/>
  <c r="BZ844" i="10"/>
  <c r="CD844" i="10" s="1"/>
  <c r="CR844" i="10"/>
  <c r="P346" i="34" s="1"/>
  <c r="CB844" i="10"/>
  <c r="I34" i="28"/>
  <c r="H34" i="28"/>
  <c r="M34" i="28"/>
  <c r="O34" i="28"/>
  <c r="J34" i="28"/>
  <c r="BP886" i="10"/>
  <c r="AW176" i="3"/>
  <c r="D307" i="8"/>
  <c r="O307" i="8" s="1"/>
  <c r="BR706" i="10"/>
  <c r="J706" i="10"/>
  <c r="CR905" i="10"/>
  <c r="P407" i="34" s="1"/>
  <c r="AO309" i="3"/>
  <c r="AM309" i="7"/>
  <c r="AP309" i="3" s="1"/>
  <c r="AO309" i="7"/>
  <c r="AM309" i="10"/>
  <c r="AN309" i="10" s="1"/>
  <c r="AP309" i="10" s="1"/>
  <c r="J396" i="34"/>
  <c r="CI894" i="10"/>
  <c r="CJ894" i="10"/>
  <c r="CH894" i="10"/>
  <c r="CG894" i="10"/>
  <c r="CK894" i="10"/>
  <c r="CF894" i="10"/>
  <c r="CL894" i="10" s="1"/>
  <c r="K395" i="34"/>
  <c r="CC893" i="10"/>
  <c r="BZ893" i="10"/>
  <c r="CD893" i="10" s="1"/>
  <c r="CB893" i="10"/>
  <c r="CA893" i="10"/>
  <c r="CR893" i="10"/>
  <c r="P395" i="34" s="1"/>
  <c r="J749" i="10"/>
  <c r="K106" i="34"/>
  <c r="CB604" i="10"/>
  <c r="CC604" i="10"/>
  <c r="BZ604" i="10"/>
  <c r="CD604" i="10" s="1"/>
  <c r="CR604" i="10"/>
  <c r="P106" i="34" s="1"/>
  <c r="CA604" i="10"/>
  <c r="J326" i="34"/>
  <c r="CH824" i="10"/>
  <c r="CJ824" i="10"/>
  <c r="CK824" i="10"/>
  <c r="CF824" i="10"/>
  <c r="CL824" i="10" s="1"/>
  <c r="CG824" i="10"/>
  <c r="CI824" i="10"/>
  <c r="J329" i="34"/>
  <c r="CG827" i="10"/>
  <c r="CF827" i="10"/>
  <c r="CL827" i="10" s="1"/>
  <c r="CK827" i="10"/>
  <c r="CJ827" i="10"/>
  <c r="CI827" i="10"/>
  <c r="CH827" i="10"/>
  <c r="BR667" i="10"/>
  <c r="J667" i="10"/>
  <c r="AQ338" i="3"/>
  <c r="AO338" i="7"/>
  <c r="K204" i="34"/>
  <c r="CC702" i="10"/>
  <c r="BZ702" i="10"/>
  <c r="CD702" i="10" s="1"/>
  <c r="CB702" i="10"/>
  <c r="CA702" i="10"/>
  <c r="CR702" i="10"/>
  <c r="P204" i="34" s="1"/>
  <c r="J192" i="34"/>
  <c r="CJ690" i="10"/>
  <c r="CG690" i="10"/>
  <c r="CH690" i="10"/>
  <c r="CK690" i="10"/>
  <c r="CI690" i="10"/>
  <c r="CF690" i="10"/>
  <c r="CL690" i="10" s="1"/>
  <c r="J165" i="34"/>
  <c r="CJ663" i="10"/>
  <c r="CF663" i="10"/>
  <c r="CL663" i="10" s="1"/>
  <c r="CH663" i="10"/>
  <c r="CG663" i="10"/>
  <c r="CI663" i="10"/>
  <c r="CK663" i="10"/>
  <c r="BP573" i="10"/>
  <c r="AQ371" i="3"/>
  <c r="AO371" i="7"/>
  <c r="AQ214" i="3"/>
  <c r="AO214" i="7"/>
  <c r="K231" i="34"/>
  <c r="CB729" i="10"/>
  <c r="CC729" i="10"/>
  <c r="BZ729" i="10"/>
  <c r="CD729" i="10" s="1"/>
  <c r="CR729" i="10"/>
  <c r="P231" i="34" s="1"/>
  <c r="CA729" i="10"/>
  <c r="J377" i="34"/>
  <c r="CK875" i="10"/>
  <c r="CH875" i="10"/>
  <c r="CG875" i="10"/>
  <c r="CF875" i="10"/>
  <c r="CL875" i="10" s="1"/>
  <c r="CJ875" i="10"/>
  <c r="CI875" i="10"/>
  <c r="J96" i="34"/>
  <c r="CJ594" i="10"/>
  <c r="CI594" i="10"/>
  <c r="CK594" i="10"/>
  <c r="CH594" i="10"/>
  <c r="CG594" i="10"/>
  <c r="CF594" i="10"/>
  <c r="CL594" i="10" s="1"/>
  <c r="J250" i="34"/>
  <c r="CF748" i="10"/>
  <c r="CL748" i="10" s="1"/>
  <c r="CH748" i="10"/>
  <c r="CG748" i="10"/>
  <c r="CK748" i="10"/>
  <c r="CI748" i="10"/>
  <c r="CJ748" i="10"/>
  <c r="J42" i="35"/>
  <c r="CM45" i="9"/>
  <c r="CP45" i="9"/>
  <c r="CO45" i="9"/>
  <c r="CN45" i="9"/>
  <c r="CL45" i="9"/>
  <c r="CQ45" i="9" s="1"/>
  <c r="K171" i="34"/>
  <c r="BZ669" i="10"/>
  <c r="CD669" i="10" s="1"/>
  <c r="CC669" i="10"/>
  <c r="CA669" i="10"/>
  <c r="CB669" i="10"/>
  <c r="CR669" i="10"/>
  <c r="P171" i="34" s="1"/>
  <c r="J233" i="34"/>
  <c r="CK731" i="10"/>
  <c r="CJ731" i="10"/>
  <c r="CH731" i="10"/>
  <c r="CI731" i="10"/>
  <c r="CG731" i="10"/>
  <c r="CF731" i="10"/>
  <c r="CL731" i="10" s="1"/>
  <c r="CR731" i="10"/>
  <c r="P233" i="34" s="1"/>
  <c r="J331" i="34"/>
  <c r="CF829" i="10"/>
  <c r="CL829" i="10" s="1"/>
  <c r="CJ829" i="10"/>
  <c r="CG829" i="10"/>
  <c r="CK829" i="10"/>
  <c r="CI829" i="10"/>
  <c r="CH829" i="10"/>
  <c r="J297" i="34"/>
  <c r="CH795" i="10"/>
  <c r="CG795" i="10"/>
  <c r="CF795" i="10"/>
  <c r="CL795" i="10" s="1"/>
  <c r="CK795" i="10"/>
  <c r="CJ795" i="10"/>
  <c r="CI795" i="10"/>
  <c r="CR795" i="10"/>
  <c r="P297" i="34" s="1"/>
  <c r="BP546" i="10"/>
  <c r="BP687" i="10"/>
  <c r="AQ23" i="3"/>
  <c r="AO23" i="7"/>
  <c r="AQ380" i="3"/>
  <c r="AO380" i="7"/>
  <c r="K227" i="34"/>
  <c r="CC725" i="10"/>
  <c r="BZ725" i="10"/>
  <c r="CD725" i="10" s="1"/>
  <c r="CA725" i="10"/>
  <c r="CB725" i="10"/>
  <c r="CR725" i="10"/>
  <c r="P227" i="34" s="1"/>
  <c r="J553" i="10"/>
  <c r="J113" i="34"/>
  <c r="CJ611" i="10"/>
  <c r="CH611" i="10"/>
  <c r="CF611" i="10"/>
  <c r="CL611" i="10" s="1"/>
  <c r="CK611" i="10"/>
  <c r="CI611" i="10"/>
  <c r="CG611" i="10"/>
  <c r="H221" i="8"/>
  <c r="F78" i="8"/>
  <c r="K162" i="34"/>
  <c r="CB660" i="10"/>
  <c r="CA660" i="10"/>
  <c r="CC660" i="10"/>
  <c r="BZ660" i="10"/>
  <c r="CD660" i="10" s="1"/>
  <c r="CR660" i="10"/>
  <c r="P162" i="34" s="1"/>
  <c r="J65" i="34"/>
  <c r="CG563" i="10"/>
  <c r="CF563" i="10"/>
  <c r="CL563" i="10" s="1"/>
  <c r="CK563" i="10"/>
  <c r="CH563" i="10"/>
  <c r="CI563" i="10"/>
  <c r="CJ563" i="10"/>
  <c r="J386" i="34"/>
  <c r="CI884" i="10"/>
  <c r="CK884" i="10"/>
  <c r="CG884" i="10"/>
  <c r="CF884" i="10"/>
  <c r="CL884" i="10" s="1"/>
  <c r="CH884" i="10"/>
  <c r="CJ884" i="10"/>
  <c r="J401" i="34"/>
  <c r="CJ899" i="10"/>
  <c r="CG899" i="10"/>
  <c r="CK899" i="10"/>
  <c r="CI899" i="10"/>
  <c r="CH899" i="10"/>
  <c r="CF899" i="10"/>
  <c r="CL899" i="10" s="1"/>
  <c r="J281" i="34"/>
  <c r="CJ779" i="10"/>
  <c r="CK779" i="10"/>
  <c r="CI779" i="10"/>
  <c r="CH779" i="10"/>
  <c r="CF779" i="10"/>
  <c r="CL779" i="10" s="1"/>
  <c r="CG779" i="10"/>
  <c r="AM53" i="10"/>
  <c r="AN53" i="10" s="1"/>
  <c r="AP53" i="10" s="1"/>
  <c r="AO53" i="3"/>
  <c r="AO53" i="7"/>
  <c r="AM53" i="7"/>
  <c r="AP53" i="3" s="1"/>
  <c r="AQ102" i="3"/>
  <c r="AO102" i="7"/>
  <c r="CN74" i="9"/>
  <c r="CP74" i="9"/>
  <c r="CL74" i="9"/>
  <c r="CQ74" i="9" s="1"/>
  <c r="CO74" i="9"/>
  <c r="CM74" i="9"/>
  <c r="J71" i="35"/>
  <c r="K252" i="34"/>
  <c r="CA750" i="10"/>
  <c r="CC750" i="10"/>
  <c r="CR750" i="10"/>
  <c r="P252" i="34" s="1"/>
  <c r="CB750" i="10"/>
  <c r="BZ750" i="10"/>
  <c r="CD750" i="10" s="1"/>
  <c r="K353" i="34"/>
  <c r="CB851" i="10"/>
  <c r="BZ851" i="10"/>
  <c r="CA851" i="10"/>
  <c r="CC851" i="10"/>
  <c r="CR851" i="10"/>
  <c r="P353" i="34" s="1"/>
  <c r="J347" i="34"/>
  <c r="CG845" i="10"/>
  <c r="CK845" i="10"/>
  <c r="CH845" i="10"/>
  <c r="CI845" i="10"/>
  <c r="CF845" i="10"/>
  <c r="CL845" i="10" s="1"/>
  <c r="CJ845" i="10"/>
  <c r="G77" i="14"/>
  <c r="E77" i="14"/>
  <c r="K278" i="34"/>
  <c r="BZ776" i="10"/>
  <c r="CD776" i="10" s="1"/>
  <c r="CC776" i="10"/>
  <c r="CA776" i="10"/>
  <c r="CB776" i="10"/>
  <c r="CR776" i="10"/>
  <c r="P278" i="34" s="1"/>
  <c r="J304" i="34"/>
  <c r="CG802" i="10"/>
  <c r="CF802" i="10"/>
  <c r="CL802" i="10" s="1"/>
  <c r="CJ802" i="10"/>
  <c r="CH802" i="10"/>
  <c r="CI802" i="10"/>
  <c r="CK802" i="10"/>
  <c r="CR918" i="10"/>
  <c r="P420" i="34" s="1"/>
  <c r="J193" i="34"/>
  <c r="CK691" i="10"/>
  <c r="CH691" i="10"/>
  <c r="CG691" i="10"/>
  <c r="CF691" i="10"/>
  <c r="CL691" i="10" s="1"/>
  <c r="CJ691" i="10"/>
  <c r="CI691" i="10"/>
  <c r="AQ37" i="3"/>
  <c r="AO37" i="7"/>
  <c r="H223" i="8"/>
  <c r="F80" i="8"/>
  <c r="J3" i="35"/>
  <c r="CM6" i="9"/>
  <c r="CO6" i="9"/>
  <c r="CP6" i="9"/>
  <c r="CL6" i="9"/>
  <c r="CQ6" i="9" s="1"/>
  <c r="CN6" i="9"/>
  <c r="CX6" i="9"/>
  <c r="O3" i="35" s="1"/>
  <c r="J101" i="34"/>
  <c r="CJ599" i="10"/>
  <c r="CI599" i="10"/>
  <c r="CH599" i="10"/>
  <c r="CG599" i="10"/>
  <c r="CF599" i="10"/>
  <c r="CL599" i="10" s="1"/>
  <c r="CK599" i="10"/>
  <c r="CL38" i="9"/>
  <c r="CQ38" i="9" s="1"/>
  <c r="CN38" i="9"/>
  <c r="CO38" i="9"/>
  <c r="CP38" i="9"/>
  <c r="CM38" i="9"/>
  <c r="J35" i="35"/>
  <c r="CX38" i="9"/>
  <c r="O35" i="35" s="1"/>
  <c r="AQ146" i="3"/>
  <c r="AO146" i="7"/>
  <c r="J170" i="34"/>
  <c r="CJ668" i="10"/>
  <c r="CG668" i="10"/>
  <c r="CH668" i="10"/>
  <c r="CF668" i="10"/>
  <c r="CL668" i="10" s="1"/>
  <c r="CK668" i="10"/>
  <c r="CI668" i="10"/>
  <c r="AQ329" i="3"/>
  <c r="AO329" i="7"/>
  <c r="K74" i="34"/>
  <c r="CA572" i="10"/>
  <c r="CB572" i="10"/>
  <c r="BZ572" i="10"/>
  <c r="CD572" i="10" s="1"/>
  <c r="CC572" i="10"/>
  <c r="CR572" i="10"/>
  <c r="P74" i="34" s="1"/>
  <c r="K23" i="34"/>
  <c r="CB521" i="10"/>
  <c r="CC521" i="10"/>
  <c r="CA521" i="10"/>
  <c r="BZ521" i="10"/>
  <c r="CD521" i="10" s="1"/>
  <c r="CR521" i="10"/>
  <c r="P23" i="34" s="1"/>
  <c r="K31" i="34"/>
  <c r="CA529" i="10"/>
  <c r="BZ529" i="10"/>
  <c r="CD529" i="10" s="1"/>
  <c r="CB529" i="10"/>
  <c r="CC529" i="10"/>
  <c r="CR529" i="10"/>
  <c r="P31" i="34" s="1"/>
  <c r="AQ276" i="3"/>
  <c r="AO276" i="7"/>
  <c r="AQ171" i="3"/>
  <c r="AO171" i="7"/>
  <c r="J74" i="34"/>
  <c r="CF572" i="10"/>
  <c r="CL572" i="10" s="1"/>
  <c r="CG572" i="10"/>
  <c r="CI572" i="10"/>
  <c r="CH572" i="10"/>
  <c r="CK572" i="10"/>
  <c r="CJ572" i="10"/>
  <c r="AQ198" i="3"/>
  <c r="AO198" i="7"/>
  <c r="H228" i="8"/>
  <c r="F85" i="8"/>
  <c r="J183" i="34"/>
  <c r="CI681" i="10"/>
  <c r="CG681" i="10"/>
  <c r="CF681" i="10"/>
  <c r="CL681" i="10" s="1"/>
  <c r="CH681" i="10"/>
  <c r="CJ681" i="10"/>
  <c r="CK681" i="10"/>
  <c r="J171" i="34"/>
  <c r="CK669" i="10"/>
  <c r="CG669" i="10"/>
  <c r="CJ669" i="10"/>
  <c r="CH669" i="10"/>
  <c r="CF669" i="10"/>
  <c r="CL669" i="10" s="1"/>
  <c r="CI669" i="10"/>
  <c r="J57" i="34"/>
  <c r="CI555" i="10"/>
  <c r="CK555" i="10"/>
  <c r="CJ555" i="10"/>
  <c r="CF555" i="10"/>
  <c r="CL555" i="10" s="1"/>
  <c r="CH555" i="10"/>
  <c r="CG555" i="10"/>
  <c r="K291" i="34"/>
  <c r="CB789" i="10"/>
  <c r="CA789" i="10"/>
  <c r="BZ789" i="10"/>
  <c r="CD789" i="10" s="1"/>
  <c r="CC789" i="10"/>
  <c r="CR789" i="10"/>
  <c r="P291" i="34" s="1"/>
  <c r="J197" i="34"/>
  <c r="CH695" i="10"/>
  <c r="CG695" i="10"/>
  <c r="CI695" i="10"/>
  <c r="CF695" i="10"/>
  <c r="CL695" i="10" s="1"/>
  <c r="CK695" i="10"/>
  <c r="CJ695" i="10"/>
  <c r="J363" i="34"/>
  <c r="CK861" i="10"/>
  <c r="CJ861" i="10"/>
  <c r="CH861" i="10"/>
  <c r="CG861" i="10"/>
  <c r="CF861" i="10"/>
  <c r="CL861" i="10" s="1"/>
  <c r="CI861" i="10"/>
  <c r="K298" i="34"/>
  <c r="BZ796" i="10"/>
  <c r="CD796" i="10" s="1"/>
  <c r="CA796" i="10"/>
  <c r="CC796" i="10"/>
  <c r="CB796" i="10"/>
  <c r="CR796" i="10"/>
  <c r="P298" i="34" s="1"/>
  <c r="K379" i="34"/>
  <c r="CC877" i="10"/>
  <c r="CB877" i="10"/>
  <c r="CA877" i="10"/>
  <c r="BZ877" i="10"/>
  <c r="CD877" i="10" s="1"/>
  <c r="CR877" i="10"/>
  <c r="P379" i="34" s="1"/>
  <c r="K400" i="34"/>
  <c r="CC898" i="10"/>
  <c r="CA898" i="10"/>
  <c r="CB898" i="10"/>
  <c r="BZ898" i="10"/>
  <c r="CD898" i="10" s="1"/>
  <c r="CR898" i="10"/>
  <c r="P400" i="34" s="1"/>
  <c r="K290" i="34"/>
  <c r="CB788" i="10"/>
  <c r="CC788" i="10"/>
  <c r="CA788" i="10"/>
  <c r="BZ788" i="10"/>
  <c r="CR788" i="10"/>
  <c r="P290" i="34" s="1"/>
  <c r="J327" i="34"/>
  <c r="CG825" i="10"/>
  <c r="CK825" i="10"/>
  <c r="CJ825" i="10"/>
  <c r="CI825" i="10"/>
  <c r="CH825" i="10"/>
  <c r="CF825" i="10"/>
  <c r="CL825" i="10" s="1"/>
  <c r="K384" i="34"/>
  <c r="CB882" i="10"/>
  <c r="BZ882" i="10"/>
  <c r="CD882" i="10" s="1"/>
  <c r="CC882" i="10"/>
  <c r="CA882" i="10"/>
  <c r="CR882" i="10"/>
  <c r="P384" i="34" s="1"/>
  <c r="I14" i="28"/>
  <c r="H14" i="28"/>
  <c r="O14" i="28"/>
  <c r="M14" i="28"/>
  <c r="J14" i="28"/>
  <c r="BC904" i="10"/>
  <c r="BP904" i="10"/>
  <c r="J64" i="34"/>
  <c r="CI562" i="10"/>
  <c r="CG562" i="10"/>
  <c r="CF562" i="10"/>
  <c r="CL562" i="10" s="1"/>
  <c r="CK562" i="10"/>
  <c r="CJ562" i="10"/>
  <c r="CH562" i="10"/>
  <c r="CR562" i="10"/>
  <c r="P64" i="34" s="1"/>
  <c r="I65" i="35"/>
  <c r="CH68" i="9"/>
  <c r="CG68" i="9"/>
  <c r="CI68" i="9"/>
  <c r="CF68" i="9"/>
  <c r="CJ68" i="9" s="1"/>
  <c r="CX68" i="9"/>
  <c r="O65" i="35" s="1"/>
  <c r="K305" i="34"/>
  <c r="CC803" i="10"/>
  <c r="BZ803" i="10"/>
  <c r="CD803" i="10" s="1"/>
  <c r="CA803" i="10"/>
  <c r="CR803" i="10"/>
  <c r="P305" i="34" s="1"/>
  <c r="CB803" i="10"/>
  <c r="J163" i="34"/>
  <c r="CK661" i="10"/>
  <c r="CI661" i="10"/>
  <c r="CF661" i="10"/>
  <c r="CL661" i="10" s="1"/>
  <c r="CJ661" i="10"/>
  <c r="CH661" i="10"/>
  <c r="CG661" i="10"/>
  <c r="CR661" i="10"/>
  <c r="P163" i="34" s="1"/>
  <c r="K39" i="34"/>
  <c r="CA537" i="10"/>
  <c r="BZ537" i="10"/>
  <c r="CD537" i="10" s="1"/>
  <c r="CB537" i="10"/>
  <c r="CC537" i="10"/>
  <c r="CR537" i="10"/>
  <c r="P39" i="34" s="1"/>
  <c r="K230" i="34"/>
  <c r="CA728" i="10"/>
  <c r="CC728" i="10"/>
  <c r="BZ728" i="10"/>
  <c r="CD728" i="10" s="1"/>
  <c r="CB728" i="10"/>
  <c r="CR728" i="10"/>
  <c r="P230" i="34" s="1"/>
  <c r="J261" i="34"/>
  <c r="CK759" i="10"/>
  <c r="CJ759" i="10"/>
  <c r="CG759" i="10"/>
  <c r="CH759" i="10"/>
  <c r="CI759" i="10"/>
  <c r="CF759" i="10"/>
  <c r="CL759" i="10" s="1"/>
  <c r="I29" i="35"/>
  <c r="CH32" i="9"/>
  <c r="CG32" i="9"/>
  <c r="CX32" i="9"/>
  <c r="O29" i="35" s="1"/>
  <c r="CF32" i="9"/>
  <c r="CJ32" i="9" s="1"/>
  <c r="CI32" i="9"/>
  <c r="K240" i="34"/>
  <c r="CB738" i="10"/>
  <c r="BZ738" i="10"/>
  <c r="CD738" i="10" s="1"/>
  <c r="CC738" i="10"/>
  <c r="CA738" i="10"/>
  <c r="CR738" i="10"/>
  <c r="P240" i="34" s="1"/>
  <c r="K258" i="34"/>
  <c r="CC756" i="10"/>
  <c r="BZ756" i="10"/>
  <c r="CD756" i="10" s="1"/>
  <c r="CB756" i="10"/>
  <c r="CA756" i="10"/>
  <c r="CR756" i="10"/>
  <c r="P258" i="34" s="1"/>
  <c r="J120" i="34"/>
  <c r="CK618" i="10"/>
  <c r="CF618" i="10"/>
  <c r="CL618" i="10" s="1"/>
  <c r="CI618" i="10"/>
  <c r="CH618" i="10"/>
  <c r="CJ618" i="10"/>
  <c r="CG618" i="10"/>
  <c r="J288" i="34"/>
  <c r="CJ786" i="10"/>
  <c r="CI786" i="10"/>
  <c r="CH786" i="10"/>
  <c r="CK786" i="10"/>
  <c r="CG786" i="10"/>
  <c r="CF786" i="10"/>
  <c r="CL786" i="10" s="1"/>
  <c r="J399" i="34"/>
  <c r="CK897" i="10"/>
  <c r="CJ897" i="10"/>
  <c r="CI897" i="10"/>
  <c r="CG897" i="10"/>
  <c r="CH897" i="10"/>
  <c r="CF897" i="10"/>
  <c r="CL897" i="10" s="1"/>
  <c r="AQ158" i="3"/>
  <c r="AO158" i="7"/>
  <c r="J238" i="34"/>
  <c r="CI736" i="10"/>
  <c r="CJ736" i="10"/>
  <c r="CK736" i="10"/>
  <c r="CF736" i="10"/>
  <c r="CL736" i="10" s="1"/>
  <c r="CH736" i="10"/>
  <c r="CG736" i="10"/>
  <c r="K368" i="34"/>
  <c r="CB866" i="10"/>
  <c r="CA866" i="10"/>
  <c r="BZ866" i="10"/>
  <c r="CD866" i="10" s="1"/>
  <c r="CC866" i="10"/>
  <c r="CR866" i="10"/>
  <c r="P368" i="34" s="1"/>
  <c r="O4" i="28"/>
  <c r="H4" i="28"/>
  <c r="I4" i="28"/>
  <c r="L4" i="28" s="1"/>
  <c r="M4" i="28"/>
  <c r="K316" i="34"/>
  <c r="BZ814" i="10"/>
  <c r="CD814" i="10" s="1"/>
  <c r="CA814" i="10"/>
  <c r="CC814" i="10"/>
  <c r="CB814" i="10"/>
  <c r="CR814" i="10"/>
  <c r="P316" i="34" s="1"/>
  <c r="AO52" i="3"/>
  <c r="AM52" i="10"/>
  <c r="AN52" i="10" s="1"/>
  <c r="AP52" i="10" s="1"/>
  <c r="AO52" i="7"/>
  <c r="AM52" i="7"/>
  <c r="AP52" i="3" s="1"/>
  <c r="AQ351" i="3"/>
  <c r="AO351" i="7"/>
  <c r="AQ167" i="3"/>
  <c r="AO167" i="7"/>
  <c r="K44" i="34"/>
  <c r="CC542" i="10"/>
  <c r="CB542" i="10"/>
  <c r="BZ542" i="10"/>
  <c r="CD542" i="10" s="1"/>
  <c r="CR542" i="10"/>
  <c r="P44" i="34" s="1"/>
  <c r="CA542" i="10"/>
  <c r="J106" i="34"/>
  <c r="CJ604" i="10"/>
  <c r="CK604" i="10"/>
  <c r="CH604" i="10"/>
  <c r="CI604" i="10"/>
  <c r="CF604" i="10"/>
  <c r="CL604" i="10" s="1"/>
  <c r="CG604" i="10"/>
  <c r="J175" i="34"/>
  <c r="CH673" i="10"/>
  <c r="CG673" i="10"/>
  <c r="CK673" i="10"/>
  <c r="CJ673" i="10"/>
  <c r="CI673" i="10"/>
  <c r="CF673" i="10"/>
  <c r="CL673" i="10" s="1"/>
  <c r="K242" i="34"/>
  <c r="CC740" i="10"/>
  <c r="CA740" i="10"/>
  <c r="CR740" i="10"/>
  <c r="P242" i="34" s="1"/>
  <c r="CB740" i="10"/>
  <c r="BZ740" i="10"/>
  <c r="CD740" i="10" s="1"/>
  <c r="J82" i="34"/>
  <c r="CI580" i="10"/>
  <c r="CK580" i="10"/>
  <c r="CJ580" i="10"/>
  <c r="CG580" i="10"/>
  <c r="CF580" i="10"/>
  <c r="CL580" i="10" s="1"/>
  <c r="CH580" i="10"/>
  <c r="K225" i="34"/>
  <c r="CC723" i="10"/>
  <c r="CB723" i="10"/>
  <c r="BZ723" i="10"/>
  <c r="CD723" i="10" s="1"/>
  <c r="CA723" i="10"/>
  <c r="CR723" i="10"/>
  <c r="P225" i="34" s="1"/>
  <c r="J70" i="34"/>
  <c r="CH568" i="10"/>
  <c r="CG568" i="10"/>
  <c r="CI568" i="10"/>
  <c r="CK568" i="10"/>
  <c r="CJ568" i="10"/>
  <c r="CF568" i="10"/>
  <c r="CL568" i="10" s="1"/>
  <c r="H227" i="8"/>
  <c r="F84" i="8"/>
  <c r="K402" i="34"/>
  <c r="CC900" i="10"/>
  <c r="CB900" i="10"/>
  <c r="CA900" i="10"/>
  <c r="BZ900" i="10"/>
  <c r="CD900" i="10" s="1"/>
  <c r="CR900" i="10"/>
  <c r="P402" i="34" s="1"/>
  <c r="AQ230" i="3"/>
  <c r="AO230" i="7"/>
  <c r="J52" i="34"/>
  <c r="CK550" i="10"/>
  <c r="CF550" i="10"/>
  <c r="CL550" i="10" s="1"/>
  <c r="CJ550" i="10"/>
  <c r="CI550" i="10"/>
  <c r="CH550" i="10"/>
  <c r="CG550" i="10"/>
  <c r="J263" i="34"/>
  <c r="CJ761" i="10"/>
  <c r="CH761" i="10"/>
  <c r="CG761" i="10"/>
  <c r="CK761" i="10"/>
  <c r="CI761" i="10"/>
  <c r="CF761" i="10"/>
  <c r="CL761" i="10" s="1"/>
  <c r="BP748" i="10"/>
  <c r="AM132" i="7"/>
  <c r="AP132" i="3" s="1"/>
  <c r="AM132" i="10"/>
  <c r="AN132" i="10" s="1"/>
  <c r="AP132" i="10" s="1"/>
  <c r="AO132" i="3"/>
  <c r="AO132" i="7"/>
  <c r="J9" i="34"/>
  <c r="CG507" i="10"/>
  <c r="CH507" i="10"/>
  <c r="CF507" i="10"/>
  <c r="CL507" i="10" s="1"/>
  <c r="CK507" i="10"/>
  <c r="CJ507" i="10"/>
  <c r="CI507" i="10"/>
  <c r="K213" i="34"/>
  <c r="CB711" i="10"/>
  <c r="CA711" i="10"/>
  <c r="BZ711" i="10"/>
  <c r="CD711" i="10" s="1"/>
  <c r="CC711" i="10"/>
  <c r="CR711" i="10"/>
  <c r="P213" i="34" s="1"/>
  <c r="AR388" i="10"/>
  <c r="AQ388" i="10"/>
  <c r="J361" i="34"/>
  <c r="CH859" i="10"/>
  <c r="CG859" i="10"/>
  <c r="CF859" i="10"/>
  <c r="CL859" i="10" s="1"/>
  <c r="CK859" i="10"/>
  <c r="CJ859" i="10"/>
  <c r="CI859" i="10"/>
  <c r="CR859" i="10"/>
  <c r="P361" i="34" s="1"/>
  <c r="J7" i="34"/>
  <c r="CJ505" i="10"/>
  <c r="CG505" i="10"/>
  <c r="CK505" i="10"/>
  <c r="CI505" i="10"/>
  <c r="CH505" i="10"/>
  <c r="CF505" i="10"/>
  <c r="CL505" i="10" s="1"/>
  <c r="CR505" i="10"/>
  <c r="P7" i="34" s="1"/>
  <c r="J46" i="35"/>
  <c r="CP49" i="9"/>
  <c r="CN49" i="9"/>
  <c r="CO49" i="9"/>
  <c r="CM49" i="9"/>
  <c r="CL49" i="9"/>
  <c r="CQ49" i="9" s="1"/>
  <c r="J18" i="34"/>
  <c r="CK516" i="10"/>
  <c r="CJ516" i="10"/>
  <c r="CH516" i="10"/>
  <c r="CI516" i="10"/>
  <c r="CG516" i="10"/>
  <c r="CF516" i="10"/>
  <c r="CL516" i="10" s="1"/>
  <c r="CR516" i="10"/>
  <c r="P18" i="34" s="1"/>
  <c r="AQ364" i="3"/>
  <c r="AO364" i="7"/>
  <c r="K86" i="34"/>
  <c r="CB584" i="10"/>
  <c r="CA584" i="10"/>
  <c r="BZ584" i="10"/>
  <c r="CD584" i="10" s="1"/>
  <c r="CC584" i="10"/>
  <c r="CR584" i="10"/>
  <c r="P86" i="34" s="1"/>
  <c r="J76" i="34"/>
  <c r="CI574" i="10"/>
  <c r="CG574" i="10"/>
  <c r="CJ574" i="10"/>
  <c r="CK574" i="10"/>
  <c r="CH574" i="10"/>
  <c r="CF574" i="10"/>
  <c r="CL574" i="10" s="1"/>
  <c r="CR574" i="10"/>
  <c r="P76" i="34" s="1"/>
  <c r="AQ229" i="3"/>
  <c r="AO229" i="7"/>
  <c r="K161" i="34"/>
  <c r="CB659" i="10"/>
  <c r="BZ659" i="10"/>
  <c r="CD659" i="10" s="1"/>
  <c r="CR659" i="10"/>
  <c r="P161" i="34" s="1"/>
  <c r="CA659" i="10"/>
  <c r="CC659" i="10"/>
  <c r="J64" i="35"/>
  <c r="CM67" i="9"/>
  <c r="CL67" i="9"/>
  <c r="CQ67" i="9" s="1"/>
  <c r="CP67" i="9"/>
  <c r="CO67" i="9"/>
  <c r="CN67" i="9"/>
  <c r="AQ77" i="3"/>
  <c r="AO77" i="7"/>
  <c r="J59" i="34"/>
  <c r="CG557" i="10"/>
  <c r="CF557" i="10"/>
  <c r="CL557" i="10" s="1"/>
  <c r="CK557" i="10"/>
  <c r="CJ557" i="10"/>
  <c r="CI557" i="10"/>
  <c r="CH557" i="10"/>
  <c r="CR557" i="10"/>
  <c r="P59" i="34" s="1"/>
  <c r="AQ113" i="3"/>
  <c r="AO113" i="7"/>
  <c r="K127" i="34"/>
  <c r="CB625" i="10"/>
  <c r="CC625" i="10"/>
  <c r="CA625" i="10"/>
  <c r="BZ625" i="10"/>
  <c r="CD625" i="10" s="1"/>
  <c r="CR625" i="10"/>
  <c r="P127" i="34" s="1"/>
  <c r="AQ408" i="3"/>
  <c r="AO408" i="7"/>
  <c r="K81" i="34"/>
  <c r="CC579" i="10"/>
  <c r="BZ579" i="10"/>
  <c r="CD579" i="10" s="1"/>
  <c r="CB579" i="10"/>
  <c r="CA579" i="10"/>
  <c r="CR579" i="10"/>
  <c r="P81" i="34" s="1"/>
  <c r="J17" i="35"/>
  <c r="CP20" i="9"/>
  <c r="CN20" i="9"/>
  <c r="CM20" i="9"/>
  <c r="CO20" i="9"/>
  <c r="CL20" i="9"/>
  <c r="CQ20" i="9" s="1"/>
  <c r="J187" i="34"/>
  <c r="CK685" i="10"/>
  <c r="CJ685" i="10"/>
  <c r="CH685" i="10"/>
  <c r="CG685" i="10"/>
  <c r="CF685" i="10"/>
  <c r="CL685" i="10" s="1"/>
  <c r="CI685" i="10"/>
  <c r="K351" i="34"/>
  <c r="CC849" i="10"/>
  <c r="BZ849" i="10"/>
  <c r="CD849" i="10" s="1"/>
  <c r="CB849" i="10"/>
  <c r="CA849" i="10"/>
  <c r="CR849" i="10"/>
  <c r="P351" i="34" s="1"/>
  <c r="J301" i="34"/>
  <c r="CK799" i="10"/>
  <c r="CJ799" i="10"/>
  <c r="CH799" i="10"/>
  <c r="CG799" i="10"/>
  <c r="CI799" i="10"/>
  <c r="CF799" i="10"/>
  <c r="CL799" i="10" s="1"/>
  <c r="K393" i="34"/>
  <c r="CC891" i="10"/>
  <c r="BZ891" i="10"/>
  <c r="CD891" i="10" s="1"/>
  <c r="CA891" i="10"/>
  <c r="CB891" i="10"/>
  <c r="CR891" i="10"/>
  <c r="P393" i="34" s="1"/>
  <c r="K212" i="34"/>
  <c r="CC710" i="10"/>
  <c r="CA710" i="10"/>
  <c r="BZ710" i="10"/>
  <c r="CD710" i="10" s="1"/>
  <c r="CB710" i="10"/>
  <c r="CR710" i="10"/>
  <c r="P212" i="34" s="1"/>
  <c r="J219" i="34"/>
  <c r="CH717" i="10"/>
  <c r="CG717" i="10"/>
  <c r="CK717" i="10"/>
  <c r="CJ717" i="10"/>
  <c r="CF717" i="10"/>
  <c r="CL717" i="10" s="1"/>
  <c r="CI717" i="10"/>
  <c r="J340" i="34"/>
  <c r="CI838" i="10"/>
  <c r="CJ838" i="10"/>
  <c r="CG838" i="10"/>
  <c r="CF838" i="10"/>
  <c r="CL838" i="10" s="1"/>
  <c r="CH838" i="10"/>
  <c r="CK838" i="10"/>
  <c r="J385" i="34"/>
  <c r="CK883" i="10"/>
  <c r="CJ883" i="10"/>
  <c r="CG883" i="10"/>
  <c r="CF883" i="10"/>
  <c r="CL883" i="10" s="1"/>
  <c r="CH883" i="10"/>
  <c r="CI883" i="10"/>
  <c r="J143" i="34"/>
  <c r="CI641" i="10"/>
  <c r="CH641" i="10"/>
  <c r="CJ641" i="10"/>
  <c r="CG641" i="10"/>
  <c r="CF641" i="10"/>
  <c r="CL641" i="10" s="1"/>
  <c r="CK641" i="10"/>
  <c r="K307" i="34"/>
  <c r="CB805" i="10"/>
  <c r="CC805" i="10"/>
  <c r="CA805" i="10"/>
  <c r="BZ805" i="10"/>
  <c r="CD805" i="10" s="1"/>
  <c r="CR805" i="10"/>
  <c r="P307" i="34" s="1"/>
  <c r="K329" i="34"/>
  <c r="CC827" i="10"/>
  <c r="BZ827" i="10"/>
  <c r="CD827" i="10" s="1"/>
  <c r="CA827" i="10"/>
  <c r="CB827" i="10"/>
  <c r="CR827" i="10"/>
  <c r="P329" i="34" s="1"/>
  <c r="J373" i="34"/>
  <c r="CK871" i="10"/>
  <c r="CJ871" i="10"/>
  <c r="CG871" i="10"/>
  <c r="CF871" i="10"/>
  <c r="CL871" i="10" s="1"/>
  <c r="CI871" i="10"/>
  <c r="CH871" i="10"/>
  <c r="O33" i="28"/>
  <c r="I33" i="28"/>
  <c r="M33" i="28"/>
  <c r="H33" i="28"/>
  <c r="J33" i="28"/>
  <c r="BP504" i="10"/>
  <c r="AV128" i="3"/>
  <c r="B21" i="4"/>
  <c r="AV346" i="3"/>
  <c r="C314" i="8"/>
  <c r="B30" i="4"/>
  <c r="K383" i="34"/>
  <c r="BZ881" i="10"/>
  <c r="CD881" i="10" s="1"/>
  <c r="CC881" i="10"/>
  <c r="CB881" i="10"/>
  <c r="CA881" i="10"/>
  <c r="CR881" i="10"/>
  <c r="P383" i="34" s="1"/>
  <c r="K209" i="34"/>
  <c r="CC707" i="10"/>
  <c r="BZ707" i="10"/>
  <c r="CD707" i="10" s="1"/>
  <c r="CB707" i="10"/>
  <c r="CA707" i="10"/>
  <c r="CR707" i="10"/>
  <c r="P209" i="34" s="1"/>
  <c r="J409" i="34"/>
  <c r="CJ907" i="10"/>
  <c r="CI907" i="10"/>
  <c r="CH907" i="10"/>
  <c r="CG907" i="10"/>
  <c r="CF907" i="10"/>
  <c r="CL907" i="10" s="1"/>
  <c r="CK907" i="10"/>
  <c r="CR907" i="10"/>
  <c r="P409" i="34" s="1"/>
  <c r="K253" i="34"/>
  <c r="CB751" i="10"/>
  <c r="CC751" i="10"/>
  <c r="CA751" i="10"/>
  <c r="CR751" i="10"/>
  <c r="P253" i="34" s="1"/>
  <c r="BZ751" i="10"/>
  <c r="CD751" i="10" s="1"/>
  <c r="J282" i="34"/>
  <c r="CJ780" i="10"/>
  <c r="CG780" i="10"/>
  <c r="CH780" i="10"/>
  <c r="CK780" i="10"/>
  <c r="CF780" i="10"/>
  <c r="CL780" i="10" s="1"/>
  <c r="CI780" i="10"/>
  <c r="CR780" i="10"/>
  <c r="P282" i="34" s="1"/>
  <c r="G81" i="14"/>
  <c r="E81" i="14"/>
  <c r="K412" i="34"/>
  <c r="BZ910" i="10"/>
  <c r="CD910" i="10" s="1"/>
  <c r="CB910" i="10"/>
  <c r="CC910" i="10"/>
  <c r="CA910" i="10"/>
  <c r="CR910" i="10"/>
  <c r="P412" i="34" s="1"/>
  <c r="O6" i="28"/>
  <c r="H6" i="28"/>
  <c r="M6" i="28"/>
  <c r="I6" i="28"/>
  <c r="J6" i="28"/>
  <c r="BR522" i="10"/>
  <c r="J522" i="10"/>
  <c r="BP698" i="10"/>
  <c r="BC750" i="10"/>
  <c r="BP750" i="10"/>
  <c r="S722" i="10"/>
  <c r="CJ74" i="9"/>
  <c r="S737" i="10"/>
  <c r="S777" i="10"/>
  <c r="BC617" i="10"/>
  <c r="BP617" i="10"/>
  <c r="J239" i="34"/>
  <c r="CF737" i="10"/>
  <c r="CL737" i="10" s="1"/>
  <c r="CK737" i="10"/>
  <c r="CI737" i="10"/>
  <c r="CJ737" i="10"/>
  <c r="CH737" i="10"/>
  <c r="CG737" i="10"/>
  <c r="BR597" i="10"/>
  <c r="J597" i="10"/>
  <c r="BC604" i="10"/>
  <c r="BP604" i="10"/>
  <c r="AM108" i="7"/>
  <c r="AP108" i="3" s="1"/>
  <c r="AM108" i="10"/>
  <c r="AN108" i="10" s="1"/>
  <c r="AP108" i="10" s="1"/>
  <c r="AO108" i="3"/>
  <c r="AO108" i="7"/>
  <c r="K284" i="34"/>
  <c r="CC782" i="10"/>
  <c r="CB782" i="10"/>
  <c r="CA782" i="10"/>
  <c r="BZ782" i="10"/>
  <c r="CD782" i="10" s="1"/>
  <c r="CR782" i="10"/>
  <c r="P284" i="34" s="1"/>
  <c r="BR516" i="10"/>
  <c r="J516" i="10"/>
  <c r="BC826" i="10"/>
  <c r="BP826" i="10"/>
  <c r="AM416" i="10"/>
  <c r="AN416" i="10" s="1"/>
  <c r="AP416" i="10" s="1"/>
  <c r="AO416" i="7"/>
  <c r="AM416" i="7"/>
  <c r="AP416" i="3" s="1"/>
  <c r="AO416" i="3"/>
  <c r="BC511" i="10"/>
  <c r="BP511" i="10"/>
  <c r="K244" i="34"/>
  <c r="BZ742" i="10"/>
  <c r="CD742" i="10" s="1"/>
  <c r="CB742" i="10"/>
  <c r="CC742" i="10"/>
  <c r="CA742" i="10"/>
  <c r="CR742" i="10"/>
  <c r="P244" i="34" s="1"/>
  <c r="AV98" i="3"/>
  <c r="B20" i="4"/>
  <c r="C304" i="8"/>
  <c r="J848" i="10"/>
  <c r="BC675" i="10"/>
  <c r="BP675" i="10"/>
  <c r="AO127" i="7"/>
  <c r="AM127" i="10"/>
  <c r="AN127" i="10" s="1"/>
  <c r="AP127" i="10" s="1"/>
  <c r="AO127" i="3"/>
  <c r="AM127" i="7"/>
  <c r="AP127" i="3" s="1"/>
  <c r="BR794" i="10"/>
  <c r="J794" i="10"/>
  <c r="J212" i="34"/>
  <c r="CK710" i="10"/>
  <c r="CH710" i="10"/>
  <c r="CJ710" i="10"/>
  <c r="CF710" i="10"/>
  <c r="CL710" i="10" s="1"/>
  <c r="CG710" i="10"/>
  <c r="CI710" i="10"/>
  <c r="K210" i="34"/>
  <c r="CC708" i="10"/>
  <c r="BZ708" i="10"/>
  <c r="CD708" i="10" s="1"/>
  <c r="CB708" i="10"/>
  <c r="CA708" i="10"/>
  <c r="CR708" i="10"/>
  <c r="P210" i="34" s="1"/>
  <c r="BC716" i="10"/>
  <c r="BP716" i="10"/>
  <c r="AM345" i="10"/>
  <c r="AN345" i="10" s="1"/>
  <c r="AP345" i="10" s="1"/>
  <c r="AO345" i="7"/>
  <c r="AM345" i="7"/>
  <c r="AP345" i="3" s="1"/>
  <c r="AO345" i="3"/>
  <c r="AM384" i="10"/>
  <c r="AN384" i="10" s="1"/>
  <c r="AP384" i="10" s="1"/>
  <c r="AO384" i="3"/>
  <c r="AO384" i="7"/>
  <c r="AM384" i="7"/>
  <c r="AP384" i="3" s="1"/>
  <c r="BC545" i="10"/>
  <c r="BP545" i="10"/>
  <c r="AM272" i="7"/>
  <c r="AP272" i="3" s="1"/>
  <c r="AM272" i="10"/>
  <c r="AN272" i="10" s="1"/>
  <c r="AP272" i="10" s="1"/>
  <c r="AO272" i="3"/>
  <c r="AO272" i="7"/>
  <c r="K181" i="34"/>
  <c r="CC679" i="10"/>
  <c r="CA679" i="10"/>
  <c r="CB679" i="10"/>
  <c r="BZ679" i="10"/>
  <c r="CD679" i="10" s="1"/>
  <c r="CR679" i="10"/>
  <c r="P181" i="34" s="1"/>
  <c r="J348" i="34"/>
  <c r="CK846" i="10"/>
  <c r="CJ846" i="10"/>
  <c r="CH846" i="10"/>
  <c r="CF846" i="10"/>
  <c r="CL846" i="10" s="1"/>
  <c r="CG846" i="10"/>
  <c r="CI846" i="10"/>
  <c r="AR113" i="10"/>
  <c r="AQ113" i="10"/>
  <c r="BC839" i="10"/>
  <c r="BP839" i="10"/>
  <c r="AM19" i="10"/>
  <c r="AN19" i="10" s="1"/>
  <c r="AP19" i="10" s="1"/>
  <c r="AO19" i="3"/>
  <c r="AO19" i="7"/>
  <c r="AM19" i="7"/>
  <c r="AP19" i="3" s="1"/>
  <c r="AQ162" i="10"/>
  <c r="AR162" i="10"/>
  <c r="AM42" i="10"/>
  <c r="AN42" i="10" s="1"/>
  <c r="AP42" i="10" s="1"/>
  <c r="AO42" i="7"/>
  <c r="AO42" i="3"/>
  <c r="AM42" i="7"/>
  <c r="AP42" i="3" s="1"/>
  <c r="AM413" i="10"/>
  <c r="AN413" i="10" s="1"/>
  <c r="AP413" i="10" s="1"/>
  <c r="AO413" i="7"/>
  <c r="AO413" i="3"/>
  <c r="AM413" i="7"/>
  <c r="AP413" i="3" s="1"/>
  <c r="AO166" i="7"/>
  <c r="AM166" i="7"/>
  <c r="AP166" i="3" s="1"/>
  <c r="AM166" i="10"/>
  <c r="AN166" i="10" s="1"/>
  <c r="AP166" i="10" s="1"/>
  <c r="AO166" i="3"/>
  <c r="AM391" i="10"/>
  <c r="AN391" i="10" s="1"/>
  <c r="AP391" i="10" s="1"/>
  <c r="AM391" i="7"/>
  <c r="AP391" i="3" s="1"/>
  <c r="AO391" i="3"/>
  <c r="AO391" i="7"/>
  <c r="S825" i="10"/>
  <c r="BC737" i="10"/>
  <c r="BP737" i="10"/>
  <c r="BC654" i="10"/>
  <c r="BP654" i="10"/>
  <c r="BC514" i="10"/>
  <c r="BP514" i="10"/>
  <c r="BR639" i="10"/>
  <c r="J639" i="10"/>
  <c r="K137" i="34"/>
  <c r="CC635" i="10"/>
  <c r="BZ635" i="10"/>
  <c r="CD635" i="10" s="1"/>
  <c r="CB635" i="10"/>
  <c r="CA635" i="10"/>
  <c r="CR635" i="10"/>
  <c r="P137" i="34" s="1"/>
  <c r="AO219" i="3"/>
  <c r="AO219" i="7"/>
  <c r="AM219" i="7"/>
  <c r="AP219" i="3" s="1"/>
  <c r="AM219" i="10"/>
  <c r="AN219" i="10" s="1"/>
  <c r="AP219" i="10" s="1"/>
  <c r="AM128" i="7"/>
  <c r="AP128" i="3" s="1"/>
  <c r="AO128" i="3"/>
  <c r="AM128" i="10"/>
  <c r="AN128" i="10" s="1"/>
  <c r="AP128" i="10" s="1"/>
  <c r="AO128" i="7"/>
  <c r="AM359" i="10"/>
  <c r="AN359" i="10" s="1"/>
  <c r="AP359" i="10" s="1"/>
  <c r="AO359" i="7"/>
  <c r="AM359" i="7"/>
  <c r="AP359" i="3" s="1"/>
  <c r="AO359" i="3"/>
  <c r="S858" i="10"/>
  <c r="AM174" i="10"/>
  <c r="AN174" i="10" s="1"/>
  <c r="AP174" i="10" s="1"/>
  <c r="AO174" i="7"/>
  <c r="AM174" i="7"/>
  <c r="AP174" i="3" s="1"/>
  <c r="AO174" i="3"/>
  <c r="S771" i="10"/>
  <c r="O16" i="8"/>
  <c r="G16" i="8"/>
  <c r="I16" i="8"/>
  <c r="K84" i="34"/>
  <c r="CA582" i="10"/>
  <c r="CC582" i="10"/>
  <c r="CB582" i="10"/>
  <c r="BZ582" i="10"/>
  <c r="CD582" i="10" s="1"/>
  <c r="CR582" i="10"/>
  <c r="P84" i="34" s="1"/>
  <c r="K289" i="34"/>
  <c r="BZ787" i="10"/>
  <c r="CD787" i="10" s="1"/>
  <c r="CA787" i="10"/>
  <c r="CC787" i="10"/>
  <c r="CB787" i="10"/>
  <c r="CR787" i="10"/>
  <c r="P289" i="34" s="1"/>
  <c r="AI270" i="11"/>
  <c r="BC790" i="10"/>
  <c r="BP790" i="10"/>
  <c r="BC862" i="10"/>
  <c r="BP862" i="10"/>
  <c r="S565" i="10"/>
  <c r="AM17" i="10"/>
  <c r="AN17" i="10" s="1"/>
  <c r="AP17" i="10" s="1"/>
  <c r="AO17" i="7"/>
  <c r="AM17" i="7"/>
  <c r="AP17" i="3" s="1"/>
  <c r="AO17" i="3"/>
  <c r="K300" i="34"/>
  <c r="BZ798" i="10"/>
  <c r="CD798" i="10" s="1"/>
  <c r="CC798" i="10"/>
  <c r="CB798" i="10"/>
  <c r="CA798" i="10"/>
  <c r="CR798" i="10"/>
  <c r="P300" i="34" s="1"/>
  <c r="AM101" i="10"/>
  <c r="AN101" i="10" s="1"/>
  <c r="AP101" i="10" s="1"/>
  <c r="AO101" i="3"/>
  <c r="AM101" i="7"/>
  <c r="AP101" i="3" s="1"/>
  <c r="AO101" i="7"/>
  <c r="BP613" i="10"/>
  <c r="BC786" i="10"/>
  <c r="BP786" i="10"/>
  <c r="BC640" i="10"/>
  <c r="BP640" i="10"/>
  <c r="K223" i="34"/>
  <c r="BZ721" i="10"/>
  <c r="CD721" i="10" s="1"/>
  <c r="CC721" i="10"/>
  <c r="CB721" i="10"/>
  <c r="CA721" i="10"/>
  <c r="CR721" i="10"/>
  <c r="P223" i="34" s="1"/>
  <c r="AV200" i="3"/>
  <c r="C308" i="8"/>
  <c r="B24" i="4"/>
  <c r="BR890" i="10"/>
  <c r="J890" i="10"/>
  <c r="BC551" i="10"/>
  <c r="BP551" i="10"/>
  <c r="AM152" i="10"/>
  <c r="AN152" i="10" s="1"/>
  <c r="AP152" i="10" s="1"/>
  <c r="AO152" i="7"/>
  <c r="AO152" i="3"/>
  <c r="AM152" i="7"/>
  <c r="AP152" i="3" s="1"/>
  <c r="AM16" i="7"/>
  <c r="AP16" i="3" s="1"/>
  <c r="AO16" i="3"/>
  <c r="AO16" i="7"/>
  <c r="AM16" i="10"/>
  <c r="AN16" i="10" s="1"/>
  <c r="AP16" i="10" s="1"/>
  <c r="S587" i="10"/>
  <c r="AM304" i="10"/>
  <c r="AN304" i="10" s="1"/>
  <c r="AP304" i="10" s="1"/>
  <c r="AM304" i="7"/>
  <c r="AP304" i="3" s="1"/>
  <c r="AO304" i="3"/>
  <c r="AO304" i="7"/>
  <c r="CJ58" i="9"/>
  <c r="I223" i="8"/>
  <c r="G223" i="8"/>
  <c r="S658" i="10"/>
  <c r="AO215" i="7"/>
  <c r="AO215" i="3"/>
  <c r="AM215" i="7"/>
  <c r="AP215" i="3" s="1"/>
  <c r="AM215" i="10"/>
  <c r="AN215" i="10" s="1"/>
  <c r="AP215" i="10" s="1"/>
  <c r="AM244" i="10"/>
  <c r="AN244" i="10" s="1"/>
  <c r="AP244" i="10" s="1"/>
  <c r="AM244" i="7"/>
  <c r="AP244" i="3" s="1"/>
  <c r="AO244" i="3"/>
  <c r="AO244" i="7"/>
  <c r="S736" i="10"/>
  <c r="AM54" i="10"/>
  <c r="AN54" i="10" s="1"/>
  <c r="AP54" i="10" s="1"/>
  <c r="AO54" i="7"/>
  <c r="AM54" i="7"/>
  <c r="AP54" i="3" s="1"/>
  <c r="AO54" i="3"/>
  <c r="I32" i="35"/>
  <c r="CH35" i="9"/>
  <c r="CG35" i="9"/>
  <c r="CF35" i="9"/>
  <c r="CJ35" i="9" s="1"/>
  <c r="CI35" i="9"/>
  <c r="CX35" i="9"/>
  <c r="O32" i="35" s="1"/>
  <c r="AM335" i="7"/>
  <c r="AP335" i="3" s="1"/>
  <c r="AO335" i="7"/>
  <c r="AO335" i="3"/>
  <c r="AM335" i="10"/>
  <c r="AN335" i="10" s="1"/>
  <c r="AP335" i="10" s="1"/>
  <c r="BP819" i="10"/>
  <c r="AQ310" i="10"/>
  <c r="AR310" i="10"/>
  <c r="S623" i="10"/>
  <c r="AR348" i="10"/>
  <c r="AQ348" i="10"/>
  <c r="S862" i="10"/>
  <c r="AM56" i="10"/>
  <c r="AN56" i="10" s="1"/>
  <c r="AP56" i="10" s="1"/>
  <c r="AO56" i="7"/>
  <c r="AM56" i="7"/>
  <c r="AP56" i="3" s="1"/>
  <c r="AO56" i="3"/>
  <c r="BC823" i="10"/>
  <c r="BP823" i="10"/>
  <c r="K87" i="34"/>
  <c r="CC585" i="10"/>
  <c r="CA585" i="10"/>
  <c r="BZ585" i="10"/>
  <c r="CD585" i="10" s="1"/>
  <c r="CB585" i="10"/>
  <c r="CR585" i="10"/>
  <c r="P87" i="34" s="1"/>
  <c r="J424" i="34"/>
  <c r="CG922" i="10"/>
  <c r="CF922" i="10"/>
  <c r="CL922" i="10" s="1"/>
  <c r="CI922" i="10"/>
  <c r="CH922" i="10"/>
  <c r="CJ922" i="10"/>
  <c r="CK922" i="10"/>
  <c r="J32" i="34"/>
  <c r="CF530" i="10"/>
  <c r="CL530" i="10" s="1"/>
  <c r="CK530" i="10"/>
  <c r="CG530" i="10"/>
  <c r="CI530" i="10"/>
  <c r="CH530" i="10"/>
  <c r="CJ530" i="10"/>
  <c r="J36" i="35"/>
  <c r="CN39" i="9"/>
  <c r="CM39" i="9"/>
  <c r="CP39" i="9"/>
  <c r="CO39" i="9"/>
  <c r="CL39" i="9"/>
  <c r="CQ39" i="9" s="1"/>
  <c r="BC745" i="10"/>
  <c r="BP745" i="10"/>
  <c r="J33" i="35"/>
  <c r="CO36" i="9"/>
  <c r="CL36" i="9"/>
  <c r="CQ36" i="9" s="1"/>
  <c r="CN36" i="9"/>
  <c r="CM36" i="9"/>
  <c r="CP36" i="9"/>
  <c r="CX36" i="9"/>
  <c r="O33" i="35" s="1"/>
  <c r="E231" i="8"/>
  <c r="C231" i="8"/>
  <c r="J295" i="34"/>
  <c r="CF793" i="10"/>
  <c r="CL793" i="10" s="1"/>
  <c r="CI793" i="10"/>
  <c r="CK793" i="10"/>
  <c r="CJ793" i="10"/>
  <c r="CH793" i="10"/>
  <c r="CG793" i="10"/>
  <c r="CR793" i="10"/>
  <c r="P295" i="34" s="1"/>
  <c r="CD524" i="10"/>
  <c r="AQ74" i="10"/>
  <c r="AR74" i="10"/>
  <c r="S865" i="10"/>
  <c r="BC783" i="10"/>
  <c r="BP783" i="10"/>
  <c r="AM235" i="10"/>
  <c r="AN235" i="10" s="1"/>
  <c r="AP235" i="10" s="1"/>
  <c r="AO235" i="7"/>
  <c r="AM235" i="7"/>
  <c r="AP235" i="3" s="1"/>
  <c r="AO235" i="3"/>
  <c r="BR810" i="10"/>
  <c r="J810" i="10"/>
  <c r="AM185" i="10"/>
  <c r="AN185" i="10" s="1"/>
  <c r="AP185" i="10" s="1"/>
  <c r="AO185" i="7"/>
  <c r="AM185" i="7"/>
  <c r="AP185" i="3" s="1"/>
  <c r="AO185" i="3"/>
  <c r="S602" i="10"/>
  <c r="J133" i="34"/>
  <c r="CH631" i="10"/>
  <c r="CI631" i="10"/>
  <c r="CJ631" i="10"/>
  <c r="CK631" i="10"/>
  <c r="CG631" i="10"/>
  <c r="CF631" i="10"/>
  <c r="CL631" i="10" s="1"/>
  <c r="S750" i="10"/>
  <c r="S556" i="10"/>
  <c r="BC700" i="10"/>
  <c r="BP700" i="10"/>
  <c r="AP407" i="10"/>
  <c r="S651" i="10"/>
  <c r="AQ262" i="10"/>
  <c r="AR262" i="10"/>
  <c r="J510" i="10"/>
  <c r="BR589" i="10"/>
  <c r="J589" i="10"/>
  <c r="I23" i="17"/>
  <c r="BR550" i="10"/>
  <c r="J550" i="10"/>
  <c r="AM249" i="10"/>
  <c r="AN249" i="10" s="1"/>
  <c r="AP249" i="10" s="1"/>
  <c r="AO249" i="7"/>
  <c r="AM249" i="7"/>
  <c r="AP249" i="3" s="1"/>
  <c r="AO249" i="3"/>
  <c r="BC914" i="10"/>
  <c r="BP914" i="10"/>
  <c r="I227" i="8"/>
  <c r="G227" i="8"/>
  <c r="S594" i="10"/>
  <c r="AO325" i="7"/>
  <c r="AM325" i="10"/>
  <c r="AN325" i="10" s="1"/>
  <c r="AM325" i="7"/>
  <c r="AP325" i="3" s="1"/>
  <c r="AO325" i="3"/>
  <c r="BC764" i="10"/>
  <c r="BP764" i="10"/>
  <c r="AM51" i="10"/>
  <c r="AN51" i="10" s="1"/>
  <c r="AP51" i="10" s="1"/>
  <c r="AO51" i="7"/>
  <c r="AM51" i="7"/>
  <c r="AP51" i="3" s="1"/>
  <c r="AO51" i="3"/>
  <c r="I52" i="35"/>
  <c r="CH55" i="9"/>
  <c r="CF55" i="9"/>
  <c r="CI55" i="9"/>
  <c r="CG55" i="9"/>
  <c r="CX55" i="9"/>
  <c r="O52" i="35" s="1"/>
  <c r="AM389" i="10"/>
  <c r="AN389" i="10" s="1"/>
  <c r="AP389" i="10" s="1"/>
  <c r="AO389" i="7"/>
  <c r="AM389" i="7"/>
  <c r="AP389" i="3" s="1"/>
  <c r="AO389" i="3"/>
  <c r="AM149" i="10"/>
  <c r="AN149" i="10" s="1"/>
  <c r="AP149" i="10" s="1"/>
  <c r="AO149" i="7"/>
  <c r="AO149" i="3"/>
  <c r="AM149" i="7"/>
  <c r="AP149" i="3" s="1"/>
  <c r="S733" i="10"/>
  <c r="I12" i="8"/>
  <c r="G12" i="8"/>
  <c r="O12" i="8"/>
  <c r="S856" i="10"/>
  <c r="S794" i="10"/>
  <c r="AM110" i="7"/>
  <c r="AP110" i="3" s="1"/>
  <c r="AO110" i="7"/>
  <c r="AM110" i="10"/>
  <c r="AN110" i="10" s="1"/>
  <c r="AP110" i="10" s="1"/>
  <c r="AO110" i="3"/>
  <c r="K228" i="34"/>
  <c r="CB726" i="10"/>
  <c r="CC726" i="10"/>
  <c r="CA726" i="10"/>
  <c r="BZ726" i="10"/>
  <c r="CD726" i="10" s="1"/>
  <c r="CR726" i="10"/>
  <c r="P228" i="34" s="1"/>
  <c r="BC645" i="10"/>
  <c r="BP645" i="10"/>
  <c r="AO265" i="7"/>
  <c r="AM265" i="7"/>
  <c r="AP265" i="3" s="1"/>
  <c r="AO265" i="3"/>
  <c r="AM265" i="10"/>
  <c r="AN265" i="10" s="1"/>
  <c r="AP265" i="10" s="1"/>
  <c r="AR67" i="10"/>
  <c r="AQ67" i="10"/>
  <c r="S550" i="10"/>
  <c r="BC911" i="10"/>
  <c r="BP911" i="10"/>
  <c r="J68" i="34"/>
  <c r="CK566" i="10"/>
  <c r="CH566" i="10"/>
  <c r="CF566" i="10"/>
  <c r="CL566" i="10" s="1"/>
  <c r="CI566" i="10"/>
  <c r="CJ566" i="10"/>
  <c r="CG566" i="10"/>
  <c r="CR566" i="10"/>
  <c r="P68" i="34" s="1"/>
  <c r="BC873" i="10"/>
  <c r="BP873" i="10"/>
  <c r="AQ404" i="10"/>
  <c r="AR404" i="10"/>
  <c r="S783" i="10"/>
  <c r="AR378" i="10"/>
  <c r="AQ378" i="10"/>
  <c r="S711" i="10"/>
  <c r="BC577" i="10"/>
  <c r="BP577" i="10"/>
  <c r="BR570" i="10"/>
  <c r="BC736" i="10"/>
  <c r="BP736" i="10"/>
  <c r="J60" i="34"/>
  <c r="CI558" i="10"/>
  <c r="CG558" i="10"/>
  <c r="CF558" i="10"/>
  <c r="CL558" i="10" s="1"/>
  <c r="CK558" i="10"/>
  <c r="CJ558" i="10"/>
  <c r="CH558" i="10"/>
  <c r="AO369" i="7"/>
  <c r="AM369" i="10"/>
  <c r="AN369" i="10" s="1"/>
  <c r="AP369" i="10" s="1"/>
  <c r="AO369" i="3"/>
  <c r="AM369" i="7"/>
  <c r="AP369" i="3" s="1"/>
  <c r="K110" i="34"/>
  <c r="CA608" i="10"/>
  <c r="CC608" i="10"/>
  <c r="BZ608" i="10"/>
  <c r="CD608" i="10" s="1"/>
  <c r="CB608" i="10"/>
  <c r="CR608" i="10"/>
  <c r="P110" i="34" s="1"/>
  <c r="AO252" i="3"/>
  <c r="AO252" i="7"/>
  <c r="AM252" i="7"/>
  <c r="AP252" i="3" s="1"/>
  <c r="AM252" i="10"/>
  <c r="AN252" i="10" s="1"/>
  <c r="AP252" i="10" s="1"/>
  <c r="J80" i="34"/>
  <c r="CG578" i="10"/>
  <c r="CJ578" i="10"/>
  <c r="CH578" i="10"/>
  <c r="CK578" i="10"/>
  <c r="CI578" i="10"/>
  <c r="CF578" i="10"/>
  <c r="CL578" i="10" s="1"/>
  <c r="CR578" i="10"/>
  <c r="P80" i="34" s="1"/>
  <c r="BC575" i="10"/>
  <c r="BP575" i="10"/>
  <c r="AM120" i="10"/>
  <c r="AN120" i="10" s="1"/>
  <c r="AP120" i="10" s="1"/>
  <c r="AO120" i="3"/>
  <c r="AO120" i="7"/>
  <c r="AM120" i="7"/>
  <c r="AP120" i="3" s="1"/>
  <c r="BC731" i="10"/>
  <c r="BP731" i="10"/>
  <c r="S577" i="10"/>
  <c r="BC921" i="10"/>
  <c r="BP921" i="10"/>
  <c r="J49" i="34"/>
  <c r="CI547" i="10"/>
  <c r="CF547" i="10"/>
  <c r="CL547" i="10" s="1"/>
  <c r="CK547" i="10"/>
  <c r="CG547" i="10"/>
  <c r="CJ547" i="10"/>
  <c r="CH547" i="10"/>
  <c r="J693" i="10"/>
  <c r="AM224" i="10"/>
  <c r="AN224" i="10" s="1"/>
  <c r="AP224" i="10" s="1"/>
  <c r="AO224" i="3"/>
  <c r="AO224" i="7"/>
  <c r="AM224" i="7"/>
  <c r="AP224" i="3" s="1"/>
  <c r="AV230" i="3"/>
  <c r="C309" i="8"/>
  <c r="B25" i="4"/>
  <c r="CD799" i="10"/>
  <c r="BC722" i="10"/>
  <c r="BP722" i="10"/>
  <c r="BC560" i="10"/>
  <c r="BP560" i="10"/>
  <c r="AR25" i="10"/>
  <c r="AQ25" i="10"/>
  <c r="AQ23" i="10"/>
  <c r="AR23" i="10"/>
  <c r="AM255" i="10"/>
  <c r="AN255" i="10" s="1"/>
  <c r="AP255" i="10" s="1"/>
  <c r="AM255" i="7"/>
  <c r="AP255" i="3" s="1"/>
  <c r="AO255" i="3"/>
  <c r="AO255" i="7"/>
  <c r="BR538" i="10"/>
  <c r="J538" i="10"/>
  <c r="AM341" i="10"/>
  <c r="AN341" i="10" s="1"/>
  <c r="AP341" i="10" s="1"/>
  <c r="AO341" i="3"/>
  <c r="AO341" i="7"/>
  <c r="AM341" i="7"/>
  <c r="AP341" i="3" s="1"/>
  <c r="E219" i="8"/>
  <c r="C219" i="8"/>
  <c r="BR525" i="10"/>
  <c r="AM396" i="10"/>
  <c r="AN396" i="10" s="1"/>
  <c r="AP396" i="10" s="1"/>
  <c r="AO396" i="3"/>
  <c r="AO396" i="7"/>
  <c r="AM396" i="7"/>
  <c r="AP396" i="3" s="1"/>
  <c r="S676" i="10"/>
  <c r="S627" i="10"/>
  <c r="BH606" i="10"/>
  <c r="AV80" i="3"/>
  <c r="B19" i="4"/>
  <c r="S586" i="10"/>
  <c r="S764" i="10"/>
  <c r="AQ211" i="10"/>
  <c r="AR211" i="10"/>
  <c r="S547" i="10"/>
  <c r="AV9" i="3"/>
  <c r="C300" i="8"/>
  <c r="AQ31" i="10"/>
  <c r="AR31" i="10"/>
  <c r="S818" i="10"/>
  <c r="F259" i="11"/>
  <c r="AL270" i="11" s="1"/>
  <c r="AK270" i="11"/>
  <c r="BR817" i="10"/>
  <c r="J817" i="10"/>
  <c r="AM365" i="10"/>
  <c r="AN365" i="10" s="1"/>
  <c r="AP365" i="10" s="1"/>
  <c r="AM365" i="7"/>
  <c r="AP365" i="3" s="1"/>
  <c r="AO365" i="3"/>
  <c r="AO365" i="7"/>
  <c r="BC766" i="10"/>
  <c r="BP766" i="10"/>
  <c r="S609" i="10"/>
  <c r="BR689" i="10"/>
  <c r="J689" i="10"/>
  <c r="BC845" i="10"/>
  <c r="BP845" i="10"/>
  <c r="I15" i="35"/>
  <c r="CF18" i="9"/>
  <c r="CJ18" i="9" s="1"/>
  <c r="CI18" i="9"/>
  <c r="CH18" i="9"/>
  <c r="CG18" i="9"/>
  <c r="CX18" i="9"/>
  <c r="O15" i="35" s="1"/>
  <c r="BC864" i="10"/>
  <c r="BP864" i="10"/>
  <c r="AR377" i="10"/>
  <c r="AQ377" i="10"/>
  <c r="BC728" i="10"/>
  <c r="BP728" i="10"/>
  <c r="AM11" i="10"/>
  <c r="AN11" i="10" s="1"/>
  <c r="AP11" i="10" s="1"/>
  <c r="AO11" i="7"/>
  <c r="AM11" i="7"/>
  <c r="AP11" i="3" s="1"/>
  <c r="AO11" i="3"/>
  <c r="S820" i="10"/>
  <c r="J207" i="34"/>
  <c r="CK705" i="10"/>
  <c r="CH705" i="10"/>
  <c r="CG705" i="10"/>
  <c r="CF705" i="10"/>
  <c r="CL705" i="10" s="1"/>
  <c r="CJ705" i="10"/>
  <c r="CI705" i="10"/>
  <c r="S891" i="10"/>
  <c r="AM422" i="10"/>
  <c r="AN422" i="10" s="1"/>
  <c r="AP422" i="10" s="1"/>
  <c r="AO422" i="7"/>
  <c r="AM422" i="7"/>
  <c r="AP422" i="3" s="1"/>
  <c r="AO422" i="3"/>
  <c r="BC712" i="10"/>
  <c r="BP712" i="10"/>
  <c r="BC651" i="10"/>
  <c r="BP651" i="10"/>
  <c r="S684" i="10"/>
  <c r="BR758" i="10"/>
  <c r="J758" i="10"/>
  <c r="AM151" i="10"/>
  <c r="AN151" i="10" s="1"/>
  <c r="AP151" i="10" s="1"/>
  <c r="AO151" i="3"/>
  <c r="AO151" i="7"/>
  <c r="AM151" i="7"/>
  <c r="AP151" i="3" s="1"/>
  <c r="BC816" i="10"/>
  <c r="BP816" i="10"/>
  <c r="S517" i="10"/>
  <c r="S834" i="10"/>
  <c r="CD603" i="10"/>
  <c r="BC800" i="10"/>
  <c r="BP800" i="10"/>
  <c r="AR315" i="10"/>
  <c r="AQ315" i="10"/>
  <c r="BC859" i="10"/>
  <c r="BP859" i="10"/>
  <c r="K95" i="34"/>
  <c r="CA593" i="10"/>
  <c r="BZ593" i="10"/>
  <c r="CB593" i="10"/>
  <c r="CC593" i="10"/>
  <c r="CR593" i="10"/>
  <c r="P95" i="34" s="1"/>
  <c r="K88" i="34"/>
  <c r="CC586" i="10"/>
  <c r="CA586" i="10"/>
  <c r="BZ586" i="10"/>
  <c r="CB586" i="10"/>
  <c r="CR586" i="10"/>
  <c r="P88" i="34" s="1"/>
  <c r="AM290" i="7"/>
  <c r="AP290" i="3" s="1"/>
  <c r="AM290" i="10"/>
  <c r="AN290" i="10" s="1"/>
  <c r="AP290" i="10" s="1"/>
  <c r="AO290" i="3"/>
  <c r="AO290" i="7"/>
  <c r="CD736" i="10"/>
  <c r="J417" i="34"/>
  <c r="CK915" i="10"/>
  <c r="CJ915" i="10"/>
  <c r="CI915" i="10"/>
  <c r="CG915" i="10"/>
  <c r="CH915" i="10"/>
  <c r="CF915" i="10"/>
  <c r="CL915" i="10" s="1"/>
  <c r="BP897" i="10"/>
  <c r="CJ47" i="9"/>
  <c r="AM205" i="10"/>
  <c r="AN205" i="10" s="1"/>
  <c r="AP205" i="10" s="1"/>
  <c r="AO205" i="7"/>
  <c r="AM205" i="7"/>
  <c r="AP205" i="3" s="1"/>
  <c r="AO205" i="3"/>
  <c r="S751" i="10"/>
  <c r="S621" i="10"/>
  <c r="AM334" i="10"/>
  <c r="AN334" i="10" s="1"/>
  <c r="AP334" i="10" s="1"/>
  <c r="AM334" i="7"/>
  <c r="AP334" i="3" s="1"/>
  <c r="AO334" i="7"/>
  <c r="AO334" i="3"/>
  <c r="AM295" i="10"/>
  <c r="AN295" i="10" s="1"/>
  <c r="AP295" i="10" s="1"/>
  <c r="AM295" i="7"/>
  <c r="AP295" i="3" s="1"/>
  <c r="AO295" i="3"/>
  <c r="AO295" i="7"/>
  <c r="J115" i="34"/>
  <c r="CI613" i="10"/>
  <c r="CH613" i="10"/>
  <c r="CG613" i="10"/>
  <c r="CF613" i="10"/>
  <c r="CL613" i="10" s="1"/>
  <c r="CK613" i="10"/>
  <c r="CJ613" i="10"/>
  <c r="S677" i="10"/>
  <c r="CJ22" i="9"/>
  <c r="BR596" i="10"/>
  <c r="J596" i="10"/>
  <c r="K53" i="34"/>
  <c r="CA551" i="10"/>
  <c r="CC551" i="10"/>
  <c r="BZ551" i="10"/>
  <c r="CD551" i="10" s="1"/>
  <c r="CB551" i="10"/>
  <c r="CR551" i="10"/>
  <c r="P53" i="34" s="1"/>
  <c r="AW281" i="3"/>
  <c r="D311" i="8"/>
  <c r="O311" i="8" s="1"/>
  <c r="AO379" i="7"/>
  <c r="AM379" i="10"/>
  <c r="AN379" i="10" s="1"/>
  <c r="AP379" i="10" s="1"/>
  <c r="AO379" i="3"/>
  <c r="AM379" i="7"/>
  <c r="AP379" i="3" s="1"/>
  <c r="S584" i="10"/>
  <c r="S916" i="10"/>
  <c r="S816" i="10"/>
  <c r="AM343" i="10"/>
  <c r="AN343" i="10" s="1"/>
  <c r="AP343" i="10" s="1"/>
  <c r="AO343" i="7"/>
  <c r="AM343" i="7"/>
  <c r="AP343" i="3" s="1"/>
  <c r="AO343" i="3"/>
  <c r="S871" i="10"/>
  <c r="B5" i="15"/>
  <c r="R8" i="8"/>
  <c r="R9" i="8" s="1"/>
  <c r="BC739" i="10"/>
  <c r="BP739" i="10"/>
  <c r="BR585" i="10"/>
  <c r="AO70" i="7"/>
  <c r="AO70" i="3"/>
  <c r="AM70" i="7"/>
  <c r="AP70" i="3" s="1"/>
  <c r="AM70" i="10"/>
  <c r="AN70" i="10" s="1"/>
  <c r="AP70" i="10" s="1"/>
  <c r="CD876" i="10"/>
  <c r="K337" i="34"/>
  <c r="CC835" i="10"/>
  <c r="CB835" i="10"/>
  <c r="BZ835" i="10"/>
  <c r="CD835" i="10" s="1"/>
  <c r="CA835" i="10"/>
  <c r="CR835" i="10"/>
  <c r="P337" i="34" s="1"/>
  <c r="BC646" i="10"/>
  <c r="BP646" i="10"/>
  <c r="AR223" i="10"/>
  <c r="S763" i="10"/>
  <c r="BC751" i="10"/>
  <c r="BP751" i="10"/>
  <c r="CD559" i="10"/>
  <c r="BR913" i="10"/>
  <c r="J913" i="10"/>
  <c r="BC610" i="10"/>
  <c r="BP610" i="10"/>
  <c r="S770" i="10"/>
  <c r="S508" i="10"/>
  <c r="AQ251" i="10"/>
  <c r="AR251" i="10"/>
  <c r="S705" i="10"/>
  <c r="BC664" i="10"/>
  <c r="BP664" i="10"/>
  <c r="L606" i="10"/>
  <c r="AM197" i="10"/>
  <c r="AN197" i="10" s="1"/>
  <c r="AP197" i="10" s="1"/>
  <c r="AO197" i="7"/>
  <c r="AM197" i="7"/>
  <c r="AP197" i="3" s="1"/>
  <c r="AO197" i="3"/>
  <c r="AQ48" i="10"/>
  <c r="AR48" i="10"/>
  <c r="AR419" i="10"/>
  <c r="BP711" i="10"/>
  <c r="BC507" i="10"/>
  <c r="BP507" i="10"/>
  <c r="J128" i="34"/>
  <c r="CI626" i="10"/>
  <c r="CF626" i="10"/>
  <c r="CL626" i="10" s="1"/>
  <c r="CK626" i="10"/>
  <c r="CG626" i="10"/>
  <c r="CJ626" i="10"/>
  <c r="CH626" i="10"/>
  <c r="BC630" i="10"/>
  <c r="BP630" i="10"/>
  <c r="AM164" i="7"/>
  <c r="AP164" i="3" s="1"/>
  <c r="AO164" i="3"/>
  <c r="AM164" i="10"/>
  <c r="AN164" i="10" s="1"/>
  <c r="AP164" i="10" s="1"/>
  <c r="AO164" i="7"/>
  <c r="C179" i="22"/>
  <c r="BR875" i="10"/>
  <c r="J875" i="10"/>
  <c r="AR385" i="10"/>
  <c r="AQ385" i="10"/>
  <c r="AM165" i="10"/>
  <c r="AN165" i="10" s="1"/>
  <c r="AP165" i="10" s="1"/>
  <c r="AO165" i="3"/>
  <c r="AM165" i="7"/>
  <c r="AP165" i="3" s="1"/>
  <c r="AO165" i="7"/>
  <c r="AM394" i="10"/>
  <c r="AN394" i="10" s="1"/>
  <c r="AP394" i="10" s="1"/>
  <c r="AM394" i="7"/>
  <c r="AP394" i="3" s="1"/>
  <c r="AO394" i="7"/>
  <c r="AO394" i="3"/>
  <c r="BC804" i="10"/>
  <c r="BP804" i="10"/>
  <c r="BR896" i="10"/>
  <c r="J896" i="10"/>
  <c r="AQ93" i="10"/>
  <c r="AR93" i="10"/>
  <c r="BR787" i="10"/>
  <c r="J787" i="10"/>
  <c r="BR905" i="10"/>
  <c r="J905" i="10"/>
  <c r="AP50" i="10"/>
  <c r="BC634" i="10"/>
  <c r="BP634" i="10"/>
  <c r="AR395" i="10"/>
  <c r="AQ395" i="10"/>
  <c r="BP871" i="10"/>
  <c r="K173" i="34"/>
  <c r="CB671" i="10"/>
  <c r="BZ671" i="10"/>
  <c r="CD671" i="10" s="1"/>
  <c r="CA671" i="10"/>
  <c r="CC671" i="10"/>
  <c r="CR671" i="10"/>
  <c r="P173" i="34" s="1"/>
  <c r="AQ408" i="10"/>
  <c r="AR408" i="10"/>
  <c r="AM138" i="10"/>
  <c r="AN138" i="10" s="1"/>
  <c r="AP138" i="10" s="1"/>
  <c r="AM138" i="7"/>
  <c r="AP138" i="3" s="1"/>
  <c r="AO138" i="7"/>
  <c r="AO138" i="3"/>
  <c r="O14" i="8"/>
  <c r="I14" i="8"/>
  <c r="G14" i="8"/>
  <c r="B237" i="8"/>
  <c r="B239" i="8"/>
  <c r="B238" i="8"/>
  <c r="BC820" i="10"/>
  <c r="BP820" i="10"/>
  <c r="K134" i="8"/>
  <c r="K132" i="8"/>
  <c r="K130" i="8"/>
  <c r="K128" i="8"/>
  <c r="K126" i="8"/>
  <c r="K124" i="8"/>
  <c r="K122" i="8"/>
  <c r="K120" i="8"/>
  <c r="K133" i="8"/>
  <c r="K119" i="8"/>
  <c r="K131" i="8"/>
  <c r="K125" i="8"/>
  <c r="K121" i="8"/>
  <c r="K123" i="8"/>
  <c r="K129" i="8"/>
  <c r="K127" i="8"/>
  <c r="K135" i="8"/>
  <c r="BC695" i="10"/>
  <c r="BP695" i="10"/>
  <c r="BR742" i="10"/>
  <c r="J742" i="10"/>
  <c r="AR181" i="10"/>
  <c r="AQ181" i="10"/>
  <c r="AR247" i="10"/>
  <c r="AQ247" i="10"/>
  <c r="BC788" i="10"/>
  <c r="BP788" i="10"/>
  <c r="CD770" i="10"/>
  <c r="J777" i="10"/>
  <c r="J140" i="34"/>
  <c r="CK638" i="10"/>
  <c r="CI638" i="10"/>
  <c r="CG638" i="10"/>
  <c r="CJ638" i="10"/>
  <c r="CF638" i="10"/>
  <c r="CL638" i="10" s="1"/>
  <c r="CH638" i="10"/>
  <c r="S633" i="10"/>
  <c r="S768" i="10"/>
  <c r="BC707" i="10"/>
  <c r="BP707" i="10"/>
  <c r="J525" i="10"/>
  <c r="J724" i="10"/>
  <c r="S655" i="10"/>
  <c r="BC539" i="10"/>
  <c r="BP539" i="10"/>
  <c r="S572" i="10"/>
  <c r="BC582" i="10"/>
  <c r="BP582" i="10"/>
  <c r="S542" i="10"/>
  <c r="O10" i="8"/>
  <c r="G10" i="8"/>
  <c r="I10" i="8"/>
  <c r="BP532" i="10"/>
  <c r="AR47" i="10"/>
  <c r="AQ47" i="10"/>
  <c r="BC882" i="10"/>
  <c r="BP882" i="10"/>
  <c r="CD693" i="10"/>
  <c r="S663" i="10"/>
  <c r="S881" i="10"/>
  <c r="BP636" i="10"/>
  <c r="S819" i="10"/>
  <c r="BC774" i="10"/>
  <c r="BP774" i="10"/>
  <c r="J126" i="8"/>
  <c r="J133" i="8"/>
  <c r="J121" i="8"/>
  <c r="J123" i="8"/>
  <c r="E278" i="8"/>
  <c r="J128" i="8"/>
  <c r="J131" i="8"/>
  <c r="J125" i="8"/>
  <c r="J122" i="8"/>
  <c r="J135" i="8"/>
  <c r="J120" i="8"/>
  <c r="J127" i="8"/>
  <c r="J134" i="8"/>
  <c r="J124" i="8"/>
  <c r="J132" i="8"/>
  <c r="J130" i="8"/>
  <c r="J129" i="8"/>
  <c r="J119" i="8"/>
  <c r="K12" i="34"/>
  <c r="CA510" i="10"/>
  <c r="BZ510" i="10"/>
  <c r="CD510" i="10" s="1"/>
  <c r="CC510" i="10"/>
  <c r="CB510" i="10"/>
  <c r="CR510" i="10"/>
  <c r="P12" i="34" s="1"/>
  <c r="AM421" i="10"/>
  <c r="AN421" i="10" s="1"/>
  <c r="AP421" i="10" s="1"/>
  <c r="AO421" i="7"/>
  <c r="AM421" i="7"/>
  <c r="AP421" i="3" s="1"/>
  <c r="AO421" i="3"/>
  <c r="AM318" i="10"/>
  <c r="AN318" i="10" s="1"/>
  <c r="AP318" i="10" s="1"/>
  <c r="AO318" i="7"/>
  <c r="AM318" i="7"/>
  <c r="AP318" i="3" s="1"/>
  <c r="AO318" i="3"/>
  <c r="BC779" i="10"/>
  <c r="BP779" i="10"/>
  <c r="S788" i="10"/>
  <c r="S568" i="10"/>
  <c r="AO10" i="3"/>
  <c r="AM10" i="7"/>
  <c r="AP10" i="3" s="1"/>
  <c r="AO10" i="7"/>
  <c r="AM10" i="10"/>
  <c r="AN10" i="10" s="1"/>
  <c r="AP10" i="10" s="1"/>
  <c r="AM78" i="10"/>
  <c r="AN78" i="10" s="1"/>
  <c r="AP78" i="10" s="1"/>
  <c r="AO78" i="7"/>
  <c r="AO78" i="3"/>
  <c r="AM78" i="7"/>
  <c r="AP78" i="3" s="1"/>
  <c r="K417" i="34"/>
  <c r="BZ915" i="10"/>
  <c r="CD915" i="10" s="1"/>
  <c r="CC915" i="10"/>
  <c r="CA915" i="10"/>
  <c r="CB915" i="10"/>
  <c r="CR915" i="10"/>
  <c r="P417" i="34" s="1"/>
  <c r="BR620" i="10"/>
  <c r="BR561" i="10"/>
  <c r="J561" i="10"/>
  <c r="S543" i="10"/>
  <c r="S664" i="10"/>
  <c r="K311" i="34"/>
  <c r="BZ809" i="10"/>
  <c r="CD809" i="10" s="1"/>
  <c r="CC809" i="10"/>
  <c r="CB809" i="10"/>
  <c r="CA809" i="10"/>
  <c r="CR809" i="10"/>
  <c r="P311" i="34" s="1"/>
  <c r="AM38" i="10"/>
  <c r="AN38" i="10" s="1"/>
  <c r="AP38" i="10" s="1"/>
  <c r="AO38" i="3"/>
  <c r="AM38" i="7"/>
  <c r="AP38" i="3" s="1"/>
  <c r="AO38" i="7"/>
  <c r="BC849" i="10"/>
  <c r="BP849" i="10"/>
  <c r="BP832" i="10"/>
  <c r="K185" i="34"/>
  <c r="BZ683" i="10"/>
  <c r="CD683" i="10" s="1"/>
  <c r="CA683" i="10"/>
  <c r="CC683" i="10"/>
  <c r="CB683" i="10"/>
  <c r="CR683" i="10"/>
  <c r="P185" i="34" s="1"/>
  <c r="CJ6" i="9"/>
  <c r="BC674" i="10"/>
  <c r="BP674" i="10"/>
  <c r="BC663" i="10"/>
  <c r="BP663" i="10"/>
  <c r="S662" i="10"/>
  <c r="AM405" i="10"/>
  <c r="AN405" i="10" s="1"/>
  <c r="AP405" i="10" s="1"/>
  <c r="AM405" i="7"/>
  <c r="AP405" i="3" s="1"/>
  <c r="AO405" i="7"/>
  <c r="AO405" i="3"/>
  <c r="BR548" i="10"/>
  <c r="J548" i="10"/>
  <c r="S868" i="10"/>
  <c r="BC615" i="10"/>
  <c r="BP615" i="10"/>
  <c r="BC624" i="10"/>
  <c r="BP624" i="10"/>
  <c r="BC653" i="10"/>
  <c r="BP653" i="10"/>
  <c r="AM297" i="10"/>
  <c r="AN297" i="10" s="1"/>
  <c r="AO297" i="7"/>
  <c r="AM297" i="7"/>
  <c r="AP297" i="3" s="1"/>
  <c r="AO297" i="3"/>
  <c r="AQ57" i="10"/>
  <c r="AR57" i="10"/>
  <c r="S874" i="10"/>
  <c r="BC688" i="10"/>
  <c r="BP688" i="10"/>
  <c r="BC855" i="10"/>
  <c r="BP855" i="10"/>
  <c r="CD896" i="10"/>
  <c r="S600" i="10"/>
  <c r="C71" i="14"/>
  <c r="C80" i="14"/>
  <c r="F80" i="14" s="1"/>
  <c r="C81" i="14"/>
  <c r="BC729" i="10"/>
  <c r="BP729" i="10"/>
  <c r="K275" i="34"/>
  <c r="CC773" i="10"/>
  <c r="CB773" i="10"/>
  <c r="CA773" i="10"/>
  <c r="BZ773" i="10"/>
  <c r="CD773" i="10" s="1"/>
  <c r="CR773" i="10"/>
  <c r="P275" i="34" s="1"/>
  <c r="K232" i="34"/>
  <c r="CC730" i="10"/>
  <c r="CA730" i="10"/>
  <c r="CB730" i="10"/>
  <c r="BZ730" i="10"/>
  <c r="CD730" i="10" s="1"/>
  <c r="CR730" i="10"/>
  <c r="P232" i="34" s="1"/>
  <c r="BC821" i="10"/>
  <c r="BP821" i="10"/>
  <c r="BC857" i="10"/>
  <c r="BP857" i="10"/>
  <c r="AM269" i="10"/>
  <c r="AN269" i="10" s="1"/>
  <c r="AP269" i="10" s="1"/>
  <c r="AM269" i="7"/>
  <c r="AP269" i="3" s="1"/>
  <c r="AO269" i="3"/>
  <c r="AO269" i="7"/>
  <c r="AM66" i="10"/>
  <c r="AN66" i="10" s="1"/>
  <c r="AP66" i="10" s="1"/>
  <c r="AM66" i="7"/>
  <c r="AP66" i="3" s="1"/>
  <c r="AO66" i="3"/>
  <c r="AO66" i="7"/>
  <c r="BC876" i="10"/>
  <c r="BP876" i="10"/>
  <c r="S646" i="10"/>
  <c r="S875" i="10"/>
  <c r="BC917" i="10"/>
  <c r="BP917" i="10"/>
  <c r="BC841" i="10"/>
  <c r="BP841" i="10"/>
  <c r="AV297" i="3"/>
  <c r="C312" i="8"/>
  <c r="B28" i="4"/>
  <c r="E279" i="8"/>
  <c r="BP668" i="10"/>
  <c r="BC599" i="10"/>
  <c r="BP599" i="10"/>
  <c r="S735" i="10"/>
  <c r="S854" i="10"/>
  <c r="BC879" i="10"/>
  <c r="BP879" i="10"/>
  <c r="BC915" i="10"/>
  <c r="BP915" i="10"/>
  <c r="AV24" i="3"/>
  <c r="C301" i="8"/>
  <c r="B17" i="4"/>
  <c r="S626" i="10"/>
  <c r="S849" i="10"/>
  <c r="BP587" i="10"/>
  <c r="AM147" i="10"/>
  <c r="AN147" i="10" s="1"/>
  <c r="AP147" i="10" s="1"/>
  <c r="AO147" i="3"/>
  <c r="AM147" i="7"/>
  <c r="AP147" i="3" s="1"/>
  <c r="AO147" i="7"/>
  <c r="J206" i="34"/>
  <c r="CF704" i="10"/>
  <c r="CL704" i="10" s="1"/>
  <c r="CI704" i="10"/>
  <c r="CH704" i="10"/>
  <c r="CJ704" i="10"/>
  <c r="CG704" i="10"/>
  <c r="CK704" i="10"/>
  <c r="S838" i="10"/>
  <c r="AM323" i="10"/>
  <c r="AN323" i="10" s="1"/>
  <c r="AP323" i="10" s="1"/>
  <c r="AO323" i="7"/>
  <c r="AM323" i="7"/>
  <c r="AP323" i="3" s="1"/>
  <c r="AO323" i="3"/>
  <c r="S810" i="10"/>
  <c r="BC830" i="10"/>
  <c r="BP830" i="10"/>
  <c r="BC740" i="10"/>
  <c r="BP740" i="10"/>
  <c r="S672" i="10"/>
  <c r="BP795" i="10"/>
  <c r="AM100" i="10"/>
  <c r="AN100" i="10" s="1"/>
  <c r="AP100" i="10" s="1"/>
  <c r="AO100" i="7"/>
  <c r="AO100" i="3"/>
  <c r="AM100" i="7"/>
  <c r="AP100" i="3" s="1"/>
  <c r="BR670" i="10"/>
  <c r="CD788" i="10"/>
  <c r="AM246" i="10"/>
  <c r="AN246" i="10" s="1"/>
  <c r="AP246" i="10" s="1"/>
  <c r="AO246" i="7"/>
  <c r="AM246" i="7"/>
  <c r="AP246" i="3" s="1"/>
  <c r="AO246" i="3"/>
  <c r="AO196" i="3"/>
  <c r="AO196" i="7"/>
  <c r="AM196" i="7"/>
  <c r="AP196" i="3" s="1"/>
  <c r="AM196" i="10"/>
  <c r="AN196" i="10" s="1"/>
  <c r="AP196" i="10" s="1"/>
  <c r="J874" i="10"/>
  <c r="J131" i="34"/>
  <c r="CK629" i="10"/>
  <c r="CF629" i="10"/>
  <c r="CL629" i="10" s="1"/>
  <c r="CI629" i="10"/>
  <c r="CH629" i="10"/>
  <c r="CJ629" i="10"/>
  <c r="CG629" i="10"/>
  <c r="BP840" i="10"/>
  <c r="J909" i="10"/>
  <c r="J887" i="10"/>
  <c r="BC628" i="10"/>
  <c r="BP628" i="10"/>
  <c r="BC854" i="10"/>
  <c r="BP854" i="10"/>
  <c r="CD869" i="10"/>
  <c r="AW297" i="3"/>
  <c r="D312" i="8"/>
  <c r="O312" i="8" s="1"/>
  <c r="S661" i="10"/>
  <c r="S721" i="10"/>
  <c r="AQ140" i="10"/>
  <c r="AR140" i="10"/>
  <c r="AW147" i="3"/>
  <c r="D306" i="8"/>
  <c r="O306" i="8" s="1"/>
  <c r="S904" i="10"/>
  <c r="S533" i="10"/>
  <c r="S562" i="10"/>
  <c r="S674" i="10"/>
  <c r="AM317" i="7"/>
  <c r="AP317" i="3" s="1"/>
  <c r="AO317" i="3"/>
  <c r="AO317" i="7"/>
  <c r="AM317" i="10"/>
  <c r="AN317" i="10" s="1"/>
  <c r="AP317" i="10" s="1"/>
  <c r="AM231" i="10"/>
  <c r="AN231" i="10" s="1"/>
  <c r="AP231" i="10" s="1"/>
  <c r="AO231" i="7"/>
  <c r="AO231" i="3"/>
  <c r="AM231" i="7"/>
  <c r="AP231" i="3" s="1"/>
  <c r="AQ426" i="10"/>
  <c r="AR426" i="10"/>
  <c r="K41" i="34"/>
  <c r="CB539" i="10"/>
  <c r="CC539" i="10"/>
  <c r="BZ539" i="10"/>
  <c r="CD539" i="10" s="1"/>
  <c r="CA539" i="10"/>
  <c r="CR539" i="10"/>
  <c r="P41" i="34" s="1"/>
  <c r="S795" i="10"/>
  <c r="AM153" i="7"/>
  <c r="AP153" i="3" s="1"/>
  <c r="AO153" i="3"/>
  <c r="AO153" i="7"/>
  <c r="AM153" i="10"/>
  <c r="AN153" i="10" s="1"/>
  <c r="AP153" i="10" s="1"/>
  <c r="AO400" i="7"/>
  <c r="AM400" i="7"/>
  <c r="AP400" i="3" s="1"/>
  <c r="AM400" i="10"/>
  <c r="AN400" i="10" s="1"/>
  <c r="AP400" i="10" s="1"/>
  <c r="AO400" i="3"/>
  <c r="BC825" i="10"/>
  <c r="BP825" i="10"/>
  <c r="AM339" i="10"/>
  <c r="AN339" i="10" s="1"/>
  <c r="AP339" i="10" s="1"/>
  <c r="AM339" i="7"/>
  <c r="AP339" i="3" s="1"/>
  <c r="AO339" i="7"/>
  <c r="AO339" i="3"/>
  <c r="K250" i="34"/>
  <c r="CB748" i="10"/>
  <c r="CC748" i="10"/>
  <c r="CA748" i="10"/>
  <c r="BZ748" i="10"/>
  <c r="CD748" i="10" s="1"/>
  <c r="CR748" i="10"/>
  <c r="P250" i="34" s="1"/>
  <c r="BP677" i="10"/>
  <c r="S516" i="10"/>
  <c r="S619" i="10"/>
  <c r="AM83" i="10"/>
  <c r="AN83" i="10" s="1"/>
  <c r="AP83" i="10" s="1"/>
  <c r="AO83" i="7"/>
  <c r="AM83" i="7"/>
  <c r="AP83" i="3" s="1"/>
  <c r="AO83" i="3"/>
  <c r="AP72" i="10"/>
  <c r="L581" i="10"/>
  <c r="BC566" i="10"/>
  <c r="BP566" i="10"/>
  <c r="S525" i="10"/>
  <c r="BR756" i="10"/>
  <c r="J756" i="10"/>
  <c r="S582" i="10"/>
  <c r="AM225" i="7"/>
  <c r="AP225" i="3" s="1"/>
  <c r="AM225" i="10"/>
  <c r="AN225" i="10" s="1"/>
  <c r="AP225" i="10" s="1"/>
  <c r="AO225" i="7"/>
  <c r="AO225" i="3"/>
  <c r="AM340" i="7"/>
  <c r="AP340" i="3" s="1"/>
  <c r="AO340" i="7"/>
  <c r="AO340" i="3"/>
  <c r="AM340" i="10"/>
  <c r="AN340" i="10" s="1"/>
  <c r="AP340" i="10" s="1"/>
  <c r="K248" i="34"/>
  <c r="CC746" i="10"/>
  <c r="BZ746" i="10"/>
  <c r="CD746" i="10" s="1"/>
  <c r="CB746" i="10"/>
  <c r="CA746" i="10"/>
  <c r="CR746" i="10"/>
  <c r="P248" i="34" s="1"/>
  <c r="AO285" i="7"/>
  <c r="AO285" i="3"/>
  <c r="AM285" i="10"/>
  <c r="AN285" i="10" s="1"/>
  <c r="AP285" i="10" s="1"/>
  <c r="AM285" i="7"/>
  <c r="AP285" i="3" s="1"/>
  <c r="BP641" i="10"/>
  <c r="S719" i="10"/>
  <c r="AM270" i="10"/>
  <c r="AN270" i="10" s="1"/>
  <c r="AP270" i="10" s="1"/>
  <c r="AO270" i="7"/>
  <c r="AO270" i="3"/>
  <c r="AM270" i="7"/>
  <c r="AP270" i="3" s="1"/>
  <c r="BC901" i="10"/>
  <c r="BP901" i="10"/>
  <c r="BC770" i="10"/>
  <c r="BP770" i="10"/>
  <c r="J308" i="34"/>
  <c r="CH806" i="10"/>
  <c r="CG806" i="10"/>
  <c r="CF806" i="10"/>
  <c r="CL806" i="10" s="1"/>
  <c r="CJ806" i="10"/>
  <c r="CK806" i="10"/>
  <c r="CI806" i="10"/>
  <c r="BC638" i="10"/>
  <c r="BP638" i="10"/>
  <c r="J726" i="10"/>
  <c r="BC567" i="10"/>
  <c r="BP567" i="10"/>
  <c r="K11" i="34"/>
  <c r="BZ509" i="10"/>
  <c r="CD509" i="10" s="1"/>
  <c r="CC509" i="10"/>
  <c r="CB509" i="10"/>
  <c r="CA509" i="10"/>
  <c r="CR509" i="10"/>
  <c r="P11" i="34" s="1"/>
  <c r="BC661" i="10"/>
  <c r="BP661" i="10"/>
  <c r="S785" i="10"/>
  <c r="CA854" i="10"/>
  <c r="BZ854" i="10"/>
  <c r="CD854" i="10" s="1"/>
  <c r="CC854" i="10"/>
  <c r="CB854" i="10"/>
  <c r="K356" i="34"/>
  <c r="CR854" i="10"/>
  <c r="P356" i="34" s="1"/>
  <c r="AM7" i="10"/>
  <c r="AN7" i="10" s="1"/>
  <c r="AP7" i="10" s="1"/>
  <c r="AO7" i="7"/>
  <c r="AM7" i="7"/>
  <c r="AP7" i="3" s="1"/>
  <c r="AO7" i="3"/>
  <c r="L752" i="10"/>
  <c r="BF752" i="10"/>
  <c r="BH752" i="10" s="1"/>
  <c r="AM393" i="10"/>
  <c r="AN393" i="10" s="1"/>
  <c r="AP393" i="10" s="1"/>
  <c r="AO393" i="7"/>
  <c r="AM393" i="7"/>
  <c r="AP393" i="3" s="1"/>
  <c r="AO393" i="3"/>
  <c r="K69" i="34"/>
  <c r="CC567" i="10"/>
  <c r="BZ567" i="10"/>
  <c r="CD567" i="10" s="1"/>
  <c r="CA567" i="10"/>
  <c r="CB567" i="10"/>
  <c r="CR567" i="10"/>
  <c r="P69" i="34" s="1"/>
  <c r="S817" i="10"/>
  <c r="S656" i="10"/>
  <c r="AM160" i="10"/>
  <c r="AN160" i="10" s="1"/>
  <c r="AP160" i="10" s="1"/>
  <c r="AM160" i="7"/>
  <c r="AP160" i="3" s="1"/>
  <c r="AO160" i="3"/>
  <c r="AO160" i="7"/>
  <c r="AM178" i="10"/>
  <c r="AN178" i="10" s="1"/>
  <c r="AP178" i="10" s="1"/>
  <c r="AM178" i="7"/>
  <c r="AP178" i="3" s="1"/>
  <c r="AO178" i="7"/>
  <c r="AO178" i="3"/>
  <c r="AO126" i="3"/>
  <c r="AO126" i="7"/>
  <c r="AM126" i="7"/>
  <c r="AP126" i="3" s="1"/>
  <c r="AM126" i="10"/>
  <c r="AN126" i="10" s="1"/>
  <c r="AP126" i="10" s="1"/>
  <c r="AQ30" i="10"/>
  <c r="AR30" i="10"/>
  <c r="AO237" i="7"/>
  <c r="AM237" i="7"/>
  <c r="AP237" i="3" s="1"/>
  <c r="AM237" i="10"/>
  <c r="AN237" i="10" s="1"/>
  <c r="AP237" i="10" s="1"/>
  <c r="AO237" i="3"/>
  <c r="I20" i="8"/>
  <c r="O20" i="8"/>
  <c r="G20" i="8"/>
  <c r="J34" i="35"/>
  <c r="CO37" i="9"/>
  <c r="CN37" i="9"/>
  <c r="CL37" i="9"/>
  <c r="CQ37" i="9" s="1"/>
  <c r="CP37" i="9"/>
  <c r="CM37" i="9"/>
  <c r="AO9" i="3"/>
  <c r="AM9" i="10"/>
  <c r="AN9" i="10" s="1"/>
  <c r="AP9" i="10" s="1"/>
  <c r="AO9" i="7"/>
  <c r="AM9" i="7"/>
  <c r="AP9" i="3" s="1"/>
  <c r="AW98" i="3"/>
  <c r="D304" i="8"/>
  <c r="O304" i="8" s="1"/>
  <c r="J211" i="34"/>
  <c r="CK709" i="10"/>
  <c r="CI709" i="10"/>
  <c r="CJ709" i="10"/>
  <c r="CF709" i="10"/>
  <c r="CL709" i="10" s="1"/>
  <c r="CH709" i="10"/>
  <c r="CG709" i="10"/>
  <c r="CR709" i="10"/>
  <c r="P211" i="34" s="1"/>
  <c r="BC723" i="10"/>
  <c r="BP723" i="10"/>
  <c r="S670" i="10"/>
  <c r="CD637" i="10"/>
  <c r="AM95" i="10"/>
  <c r="AN95" i="10" s="1"/>
  <c r="AP95" i="10" s="1"/>
  <c r="AO95" i="7"/>
  <c r="AM95" i="7"/>
  <c r="AP95" i="3" s="1"/>
  <c r="AO95" i="3"/>
  <c r="CJ21" i="9"/>
  <c r="S645" i="10"/>
  <c r="S536" i="10"/>
  <c r="BC822" i="10"/>
  <c r="BP822" i="10"/>
  <c r="S610" i="10"/>
  <c r="AO184" i="7"/>
  <c r="AO184" i="3"/>
  <c r="AM184" i="7"/>
  <c r="AP184" i="3" s="1"/>
  <c r="AM184" i="10"/>
  <c r="AN184" i="10" s="1"/>
  <c r="AP184" i="10" s="1"/>
  <c r="S804" i="10"/>
  <c r="S786" i="10"/>
  <c r="AM90" i="10"/>
  <c r="AN90" i="10" s="1"/>
  <c r="AP90" i="10" s="1"/>
  <c r="AM90" i="7"/>
  <c r="AP90" i="3" s="1"/>
  <c r="AO90" i="3"/>
  <c r="AO90" i="7"/>
  <c r="BC861" i="10"/>
  <c r="BP861" i="10"/>
  <c r="J39" i="34"/>
  <c r="CI537" i="10"/>
  <c r="CH537" i="10"/>
  <c r="CG537" i="10"/>
  <c r="CJ537" i="10"/>
  <c r="CF537" i="10"/>
  <c r="CL537" i="10" s="1"/>
  <c r="CK537" i="10"/>
  <c r="J300" i="34"/>
  <c r="CK798" i="10"/>
  <c r="CH798" i="10"/>
  <c r="CI798" i="10"/>
  <c r="CG798" i="10"/>
  <c r="CF798" i="10"/>
  <c r="CL798" i="10" s="1"/>
  <c r="CJ798" i="10"/>
  <c r="BC697" i="10"/>
  <c r="BP697" i="10"/>
  <c r="AM428" i="7"/>
  <c r="AP428" i="3" s="1"/>
  <c r="AO428" i="3"/>
  <c r="AO428" i="7"/>
  <c r="AM428" i="10"/>
  <c r="AN428" i="10" s="1"/>
  <c r="AP428" i="10" s="1"/>
  <c r="S905" i="10"/>
  <c r="BC503" i="10"/>
  <c r="BP503" i="10"/>
  <c r="BR831" i="10"/>
  <c r="AM98" i="10"/>
  <c r="AN98" i="10" s="1"/>
  <c r="AO98" i="3"/>
  <c r="AM98" i="7"/>
  <c r="AP98" i="3" s="1"/>
  <c r="AO98" i="7"/>
  <c r="AR44" i="10"/>
  <c r="AQ44" i="10"/>
  <c r="AM227" i="10"/>
  <c r="AN227" i="10" s="1"/>
  <c r="AP227" i="10" s="1"/>
  <c r="AO227" i="7"/>
  <c r="AM227" i="7"/>
  <c r="AP227" i="3" s="1"/>
  <c r="AO227" i="3"/>
  <c r="BR801" i="10"/>
  <c r="K153" i="34"/>
  <c r="BZ651" i="10"/>
  <c r="CD651" i="10" s="1"/>
  <c r="CA651" i="10"/>
  <c r="CC651" i="10"/>
  <c r="CB651" i="10"/>
  <c r="CR651" i="10"/>
  <c r="P153" i="34" s="1"/>
  <c r="K424" i="34"/>
  <c r="CC922" i="10"/>
  <c r="CA922" i="10"/>
  <c r="CB922" i="10"/>
  <c r="BZ922" i="10"/>
  <c r="CD922" i="10" s="1"/>
  <c r="CR922" i="10"/>
  <c r="P424" i="34" s="1"/>
  <c r="AW74" i="3"/>
  <c r="D303" i="8"/>
  <c r="O303" i="8" s="1"/>
  <c r="J87" i="34"/>
  <c r="CJ585" i="10"/>
  <c r="CI585" i="10"/>
  <c r="CH585" i="10"/>
  <c r="CG585" i="10"/>
  <c r="CF585" i="10"/>
  <c r="CL585" i="10" s="1"/>
  <c r="CK585" i="10"/>
  <c r="J123" i="34"/>
  <c r="CI621" i="10"/>
  <c r="CJ621" i="10"/>
  <c r="CH621" i="10"/>
  <c r="CG621" i="10"/>
  <c r="CK621" i="10"/>
  <c r="CF621" i="10"/>
  <c r="CL621" i="10" s="1"/>
  <c r="BC702" i="10"/>
  <c r="BP702" i="10"/>
  <c r="AO8" i="7"/>
  <c r="AM8" i="7"/>
  <c r="AP8" i="3" s="1"/>
  <c r="AO8" i="3"/>
  <c r="AM8" i="10"/>
  <c r="AN8" i="10" s="1"/>
  <c r="AP8" i="10" s="1"/>
  <c r="AM228" i="10"/>
  <c r="AN228" i="10" s="1"/>
  <c r="AP228" i="10" s="1"/>
  <c r="AO228" i="7"/>
  <c r="AO228" i="3"/>
  <c r="AM228" i="7"/>
  <c r="AP228" i="3" s="1"/>
  <c r="AM68" i="10"/>
  <c r="AN68" i="10" s="1"/>
  <c r="AP68" i="10" s="1"/>
  <c r="AM68" i="7"/>
  <c r="AP68" i="3" s="1"/>
  <c r="AO68" i="7"/>
  <c r="AO68" i="3"/>
  <c r="AM266" i="10"/>
  <c r="AN266" i="10" s="1"/>
  <c r="AP266" i="10" s="1"/>
  <c r="AM266" i="7"/>
  <c r="AP266" i="3" s="1"/>
  <c r="AO266" i="7"/>
  <c r="AO266" i="3"/>
  <c r="J50" i="34"/>
  <c r="CI548" i="10"/>
  <c r="CF548" i="10"/>
  <c r="CL548" i="10" s="1"/>
  <c r="CH548" i="10"/>
  <c r="CK548" i="10"/>
  <c r="CJ548" i="10"/>
  <c r="CG548" i="10"/>
  <c r="J356" i="34"/>
  <c r="CF854" i="10"/>
  <c r="CL854" i="10" s="1"/>
  <c r="CK854" i="10"/>
  <c r="CI854" i="10"/>
  <c r="CH854" i="10"/>
  <c r="CG854" i="10"/>
  <c r="CJ854" i="10"/>
  <c r="AM427" i="10"/>
  <c r="AN427" i="10" s="1"/>
  <c r="AP427" i="10" s="1"/>
  <c r="AO427" i="7"/>
  <c r="AM427" i="7"/>
  <c r="AP427" i="3" s="1"/>
  <c r="AO427" i="3"/>
  <c r="K215" i="34"/>
  <c r="CC713" i="10"/>
  <c r="BZ713" i="10"/>
  <c r="CD713" i="10" s="1"/>
  <c r="CB713" i="10"/>
  <c r="CA713" i="10"/>
  <c r="CR713" i="10"/>
  <c r="P215" i="34" s="1"/>
  <c r="K65" i="34"/>
  <c r="CC563" i="10"/>
  <c r="CB563" i="10"/>
  <c r="CA563" i="10"/>
  <c r="BZ563" i="10"/>
  <c r="CD563" i="10" s="1"/>
  <c r="CR563" i="10"/>
  <c r="P65" i="34" s="1"/>
  <c r="AM29" i="10"/>
  <c r="AN29" i="10" s="1"/>
  <c r="AP29" i="10" s="1"/>
  <c r="AO29" i="3"/>
  <c r="AO29" i="7"/>
  <c r="AM29" i="7"/>
  <c r="AP29" i="3" s="1"/>
  <c r="I230" i="8"/>
  <c r="S890" i="10"/>
  <c r="S746" i="10"/>
  <c r="BR720" i="10"/>
  <c r="J720" i="10"/>
  <c r="CD627" i="10"/>
  <c r="O17" i="8"/>
  <c r="I17" i="8"/>
  <c r="G17" i="8"/>
  <c r="AN5" i="10"/>
  <c r="BC903" i="10"/>
  <c r="BP903" i="10"/>
  <c r="I220" i="8"/>
  <c r="G220" i="8"/>
  <c r="CD883" i="10"/>
  <c r="AM241" i="10"/>
  <c r="AN241" i="10" s="1"/>
  <c r="AP241" i="10" s="1"/>
  <c r="AM241" i="7"/>
  <c r="AP241" i="3" s="1"/>
  <c r="AO241" i="3"/>
  <c r="AO241" i="7"/>
  <c r="I8" i="8"/>
  <c r="O8" i="8"/>
  <c r="G8" i="8"/>
  <c r="B240" i="8"/>
  <c r="BR690" i="10"/>
  <c r="J43" i="34"/>
  <c r="CK541" i="10"/>
  <c r="CJ541" i="10"/>
  <c r="CI541" i="10"/>
  <c r="CH541" i="10"/>
  <c r="CG541" i="10"/>
  <c r="CF541" i="10"/>
  <c r="CL541" i="10" s="1"/>
  <c r="D129" i="8"/>
  <c r="D122" i="8"/>
  <c r="D120" i="8"/>
  <c r="D278" i="8"/>
  <c r="D123" i="8"/>
  <c r="D131" i="8"/>
  <c r="D128" i="8"/>
  <c r="D134" i="8"/>
  <c r="D127" i="8"/>
  <c r="D130" i="8"/>
  <c r="D119" i="8"/>
  <c r="D126" i="8"/>
  <c r="D121" i="8"/>
  <c r="D132" i="8"/>
  <c r="D125" i="8"/>
  <c r="D135" i="8"/>
  <c r="D133" i="8"/>
  <c r="D124" i="8"/>
  <c r="G218" i="8"/>
  <c r="AO193" i="7"/>
  <c r="AM193" i="7"/>
  <c r="AP193" i="3" s="1"/>
  <c r="AM193" i="10"/>
  <c r="AN193" i="10" s="1"/>
  <c r="AP193" i="10" s="1"/>
  <c r="AO193" i="3"/>
  <c r="S745" i="10"/>
  <c r="CD593" i="10"/>
  <c r="S726" i="10"/>
  <c r="BR581" i="10"/>
  <c r="BC818" i="10"/>
  <c r="BP818" i="10"/>
  <c r="S648" i="10"/>
  <c r="J31" i="34"/>
  <c r="CJ529" i="10"/>
  <c r="CK529" i="10"/>
  <c r="CI529" i="10"/>
  <c r="CH529" i="10"/>
  <c r="CG529" i="10"/>
  <c r="CF529" i="10"/>
  <c r="CL529" i="10" s="1"/>
  <c r="S915" i="10"/>
  <c r="C75" i="14"/>
  <c r="K54" i="14"/>
  <c r="L54" i="14" s="1"/>
  <c r="C86" i="14"/>
  <c r="C72" i="14"/>
  <c r="K55" i="14"/>
  <c r="L55" i="14" s="1"/>
  <c r="K56" i="14"/>
  <c r="L56" i="14" s="1"/>
  <c r="K59" i="14"/>
  <c r="L59" i="14" s="1"/>
  <c r="K58" i="14"/>
  <c r="L58" i="14" s="1"/>
  <c r="K57" i="14"/>
  <c r="L57" i="14" s="1"/>
  <c r="S692" i="10"/>
  <c r="L831" i="10"/>
  <c r="S813" i="10"/>
  <c r="AO402" i="3"/>
  <c r="AM402" i="10"/>
  <c r="AN402" i="10" s="1"/>
  <c r="AP402" i="10" s="1"/>
  <c r="AO402" i="7"/>
  <c r="AM402" i="7"/>
  <c r="AP402" i="3" s="1"/>
  <c r="AM302" i="7"/>
  <c r="AP302" i="3" s="1"/>
  <c r="AM302" i="10"/>
  <c r="AN302" i="10" s="1"/>
  <c r="AP302" i="10" s="1"/>
  <c r="AO302" i="7"/>
  <c r="AO302" i="3"/>
  <c r="L815" i="10"/>
  <c r="S551" i="10"/>
  <c r="BR829" i="10"/>
  <c r="S528" i="10"/>
  <c r="BC643" i="10"/>
  <c r="BP643" i="10"/>
  <c r="BR592" i="10"/>
  <c r="J592" i="10"/>
  <c r="BR665" i="10"/>
  <c r="AR103" i="10"/>
  <c r="AQ103" i="10"/>
  <c r="BC593" i="10"/>
  <c r="BP593" i="10"/>
  <c r="BC564" i="10"/>
  <c r="BP564" i="10"/>
  <c r="AM200" i="10"/>
  <c r="AN200" i="10" s="1"/>
  <c r="AM200" i="7"/>
  <c r="AP200" i="3" s="1"/>
  <c r="AO200" i="3"/>
  <c r="AO200" i="7"/>
  <c r="S566" i="10"/>
  <c r="BC738" i="10"/>
  <c r="BP738" i="10"/>
  <c r="K269" i="34"/>
  <c r="CB767" i="10"/>
  <c r="CA767" i="10"/>
  <c r="BZ767" i="10"/>
  <c r="CD767" i="10" s="1"/>
  <c r="CC767" i="10"/>
  <c r="CR767" i="10"/>
  <c r="P269" i="34" s="1"/>
  <c r="BP895" i="10"/>
  <c r="BC676" i="10"/>
  <c r="BP676" i="10"/>
  <c r="AQ371" i="10"/>
  <c r="AR371" i="10"/>
  <c r="E281" i="8"/>
  <c r="AM157" i="10"/>
  <c r="AN157" i="10" s="1"/>
  <c r="AP157" i="10" s="1"/>
  <c r="AO157" i="7"/>
  <c r="AO157" i="3"/>
  <c r="AM157" i="7"/>
  <c r="AP157" i="3" s="1"/>
  <c r="CJ7" i="9"/>
  <c r="BR721" i="10"/>
  <c r="AO208" i="3"/>
  <c r="AO208" i="7"/>
  <c r="AM208" i="10"/>
  <c r="AN208" i="10" s="1"/>
  <c r="AP208" i="10" s="1"/>
  <c r="AM208" i="7"/>
  <c r="AP208" i="3" s="1"/>
  <c r="AM287" i="10"/>
  <c r="AN287" i="10" s="1"/>
  <c r="AP287" i="10" s="1"/>
  <c r="AO287" i="7"/>
  <c r="AM287" i="7"/>
  <c r="AP287" i="3" s="1"/>
  <c r="AO287" i="3"/>
  <c r="AM242" i="10"/>
  <c r="AN242" i="10" s="1"/>
  <c r="AP242" i="10" s="1"/>
  <c r="AM242" i="7"/>
  <c r="AP242" i="3" s="1"/>
  <c r="AO242" i="7"/>
  <c r="AO242" i="3"/>
  <c r="BC880" i="10"/>
  <c r="BP880" i="10"/>
  <c r="AM194" i="10"/>
  <c r="AN194" i="10" s="1"/>
  <c r="AP194" i="10" s="1"/>
  <c r="AO194" i="3"/>
  <c r="AM194" i="7"/>
  <c r="AP194" i="3" s="1"/>
  <c r="AO194" i="7"/>
  <c r="BF872" i="10"/>
  <c r="BH872" i="10" s="1"/>
  <c r="L872" i="10"/>
  <c r="BC642" i="10"/>
  <c r="BP642" i="10"/>
  <c r="BP632" i="10"/>
  <c r="BC719" i="10"/>
  <c r="BP719" i="10"/>
  <c r="K3" i="34"/>
  <c r="CC501" i="10"/>
  <c r="CA501" i="10"/>
  <c r="CB501" i="10"/>
  <c r="BZ501" i="10"/>
  <c r="CD501" i="10" s="1"/>
  <c r="CR501" i="10"/>
  <c r="P3" i="34" s="1"/>
  <c r="S775" i="10"/>
  <c r="CD856" i="10"/>
  <c r="S686" i="10"/>
  <c r="AR299" i="10"/>
  <c r="AQ299" i="10"/>
  <c r="AM87" i="10"/>
  <c r="AN87" i="10" s="1"/>
  <c r="AP87" i="10" s="1"/>
  <c r="AO87" i="3"/>
  <c r="AO87" i="7"/>
  <c r="AM87" i="7"/>
  <c r="AP87" i="3" s="1"/>
  <c r="CD763" i="10"/>
  <c r="BP734" i="10"/>
  <c r="AM361" i="10"/>
  <c r="AN361" i="10" s="1"/>
  <c r="AP361" i="10" s="1"/>
  <c r="AM361" i="7"/>
  <c r="AP361" i="3" s="1"/>
  <c r="AO361" i="3"/>
  <c r="AO361" i="7"/>
  <c r="S637" i="10"/>
  <c r="BP621" i="10"/>
  <c r="BC782" i="10"/>
  <c r="BP782" i="10"/>
  <c r="AM220" i="7"/>
  <c r="AP220" i="3" s="1"/>
  <c r="AM220" i="10"/>
  <c r="AN220" i="10" s="1"/>
  <c r="AP220" i="10" s="1"/>
  <c r="AO220" i="7"/>
  <c r="AO220" i="3"/>
  <c r="BC789" i="10"/>
  <c r="BP789" i="10"/>
  <c r="C315" i="8"/>
  <c r="J155" i="34"/>
  <c r="CJ653" i="10"/>
  <c r="CF653" i="10"/>
  <c r="CL653" i="10" s="1"/>
  <c r="CK653" i="10"/>
  <c r="CH653" i="10"/>
  <c r="CG653" i="10"/>
  <c r="CI653" i="10"/>
  <c r="J306" i="34"/>
  <c r="CF804" i="10"/>
  <c r="CL804" i="10" s="1"/>
  <c r="CJ804" i="10"/>
  <c r="CG804" i="10"/>
  <c r="CK804" i="10"/>
  <c r="CI804" i="10"/>
  <c r="CH804" i="10"/>
  <c r="BP757" i="10"/>
  <c r="K394" i="34"/>
  <c r="BZ892" i="10"/>
  <c r="CD892" i="10" s="1"/>
  <c r="CC892" i="10"/>
  <c r="CR892" i="10"/>
  <c r="P394" i="34" s="1"/>
  <c r="CA892" i="10"/>
  <c r="CB892" i="10"/>
  <c r="AO307" i="7"/>
  <c r="AO307" i="3"/>
  <c r="AM307" i="10"/>
  <c r="AN307" i="10" s="1"/>
  <c r="AP307" i="10" s="1"/>
  <c r="AM307" i="7"/>
  <c r="AP307" i="3" s="1"/>
  <c r="J97" i="34"/>
  <c r="CI595" i="10"/>
  <c r="CF595" i="10"/>
  <c r="CL595" i="10" s="1"/>
  <c r="CG595" i="10"/>
  <c r="CK595" i="10"/>
  <c r="CH595" i="10"/>
  <c r="CJ595" i="10"/>
  <c r="BC540" i="10"/>
  <c r="BP540" i="10"/>
  <c r="AW24" i="3"/>
  <c r="D301" i="8"/>
  <c r="O301" i="8" s="1"/>
  <c r="K94" i="34"/>
  <c r="CC592" i="10"/>
  <c r="CB592" i="10"/>
  <c r="CA592" i="10"/>
  <c r="BZ592" i="10"/>
  <c r="CD592" i="10" s="1"/>
  <c r="CR592" i="10"/>
  <c r="P94" i="34" s="1"/>
  <c r="S524" i="10"/>
  <c r="BP765" i="10"/>
  <c r="S702" i="10"/>
  <c r="AM218" i="10"/>
  <c r="AN218" i="10" s="1"/>
  <c r="AP218" i="10" s="1"/>
  <c r="AM218" i="7"/>
  <c r="AP218" i="3" s="1"/>
  <c r="AO218" i="3"/>
  <c r="AO218" i="7"/>
  <c r="AM401" i="10"/>
  <c r="AN401" i="10" s="1"/>
  <c r="AP401" i="10" s="1"/>
  <c r="AM401" i="7"/>
  <c r="AP401" i="3" s="1"/>
  <c r="AO401" i="3"/>
  <c r="AO401" i="7"/>
  <c r="AQ130" i="10"/>
  <c r="AR130" i="10"/>
  <c r="AR286" i="10"/>
  <c r="AQ286" i="10"/>
  <c r="S767" i="10"/>
  <c r="AM283" i="10"/>
  <c r="AN283" i="10" s="1"/>
  <c r="AP283" i="10" s="1"/>
  <c r="AO283" i="3"/>
  <c r="AO283" i="7"/>
  <c r="AM283" i="7"/>
  <c r="AP283" i="3" s="1"/>
  <c r="CJ13" i="9"/>
  <c r="AM354" i="10"/>
  <c r="AN354" i="10" s="1"/>
  <c r="AP354" i="10" s="1"/>
  <c r="AM354" i="7"/>
  <c r="AP354" i="3" s="1"/>
  <c r="AO354" i="3"/>
  <c r="AO354" i="7"/>
  <c r="AR106" i="10"/>
  <c r="AQ106" i="10"/>
  <c r="BP533" i="10"/>
  <c r="AP229" i="10"/>
  <c r="I224" i="8"/>
  <c r="G224" i="8"/>
  <c r="S558" i="10"/>
  <c r="AM35" i="10"/>
  <c r="AN35" i="10" s="1"/>
  <c r="AP35" i="10" s="1"/>
  <c r="AO35" i="3"/>
  <c r="AO35" i="7"/>
  <c r="AM35" i="7"/>
  <c r="AP35" i="3" s="1"/>
  <c r="AM188" i="10"/>
  <c r="AN188" i="10" s="1"/>
  <c r="AP188" i="10" s="1"/>
  <c r="AO188" i="7"/>
  <c r="AO188" i="3"/>
  <c r="AM188" i="7"/>
  <c r="AP188" i="3" s="1"/>
  <c r="CJ15" i="9"/>
  <c r="I225" i="8"/>
  <c r="G225" i="8"/>
  <c r="AQ372" i="10"/>
  <c r="AR372" i="10"/>
  <c r="L119" i="8"/>
  <c r="L130" i="8"/>
  <c r="L132" i="8"/>
  <c r="L131" i="8"/>
  <c r="L128" i="8"/>
  <c r="L122" i="8"/>
  <c r="L125" i="8"/>
  <c r="L133" i="8"/>
  <c r="L126" i="8"/>
  <c r="L129" i="8"/>
  <c r="L121" i="8"/>
  <c r="L127" i="8"/>
  <c r="L134" i="8"/>
  <c r="L124" i="8"/>
  <c r="L123" i="8"/>
  <c r="L120" i="8"/>
  <c r="L135" i="8"/>
  <c r="AO105" i="7"/>
  <c r="AO105" i="3"/>
  <c r="AM105" i="10"/>
  <c r="AN105" i="10" s="1"/>
  <c r="AP105" i="10" s="1"/>
  <c r="AM105" i="7"/>
  <c r="AP105" i="3" s="1"/>
  <c r="CD547" i="10"/>
  <c r="BC521" i="10"/>
  <c r="BP521" i="10"/>
  <c r="CD722" i="10"/>
  <c r="S759" i="10"/>
  <c r="S744" i="10"/>
  <c r="AO417" i="7"/>
  <c r="AM417" i="7"/>
  <c r="AP417" i="3" s="1"/>
  <c r="AM417" i="10"/>
  <c r="AN417" i="10" s="1"/>
  <c r="AP417" i="10" s="1"/>
  <c r="AO417" i="3"/>
  <c r="J273" i="34"/>
  <c r="CF771" i="10"/>
  <c r="CL771" i="10" s="1"/>
  <c r="CK771" i="10"/>
  <c r="CJ771" i="10"/>
  <c r="CG771" i="10"/>
  <c r="CI771" i="10"/>
  <c r="CH771" i="10"/>
  <c r="CD851" i="10"/>
  <c r="CD648" i="10"/>
  <c r="S724" i="10"/>
  <c r="J237" i="34"/>
  <c r="CJ735" i="10"/>
  <c r="CH735" i="10"/>
  <c r="CG735" i="10"/>
  <c r="CF735" i="10"/>
  <c r="CL735" i="10" s="1"/>
  <c r="CK735" i="10"/>
  <c r="CI735" i="10"/>
  <c r="J360" i="34"/>
  <c r="CJ858" i="10"/>
  <c r="CI858" i="10"/>
  <c r="CH858" i="10"/>
  <c r="CG858" i="10"/>
  <c r="CF858" i="10"/>
  <c r="CL858" i="10" s="1"/>
  <c r="CK858" i="10"/>
  <c r="AM24" i="10"/>
  <c r="AN24" i="10" s="1"/>
  <c r="AM24" i="7"/>
  <c r="AP24" i="3" s="1"/>
  <c r="AO24" i="3"/>
  <c r="AO24" i="7"/>
  <c r="BC535" i="10"/>
  <c r="BP535" i="10"/>
  <c r="K169" i="34"/>
  <c r="CB667" i="10"/>
  <c r="CC667" i="10"/>
  <c r="CA667" i="10"/>
  <c r="BZ667" i="10"/>
  <c r="CD667" i="10" s="1"/>
  <c r="CR667" i="10"/>
  <c r="P169" i="34" s="1"/>
  <c r="K229" i="34"/>
  <c r="CA727" i="10"/>
  <c r="BZ727" i="10"/>
  <c r="CD727" i="10" s="1"/>
  <c r="CB727" i="10"/>
  <c r="CC727" i="10"/>
  <c r="CR727" i="10"/>
  <c r="P229" i="34" s="1"/>
  <c r="BC692" i="10"/>
  <c r="BP692" i="10"/>
  <c r="AO324" i="3"/>
  <c r="AM324" i="7"/>
  <c r="AP324" i="3" s="1"/>
  <c r="AM324" i="10"/>
  <c r="AN324" i="10" s="1"/>
  <c r="AP324" i="10" s="1"/>
  <c r="AO324" i="7"/>
  <c r="S643" i="10"/>
  <c r="AR386" i="10"/>
  <c r="AQ386" i="10"/>
  <c r="BC666" i="10"/>
  <c r="BP666" i="10"/>
  <c r="AM134" i="10"/>
  <c r="AN134" i="10" s="1"/>
  <c r="AP134" i="10" s="1"/>
  <c r="AM134" i="7"/>
  <c r="AP134" i="3" s="1"/>
  <c r="AO134" i="7"/>
  <c r="AO134" i="3"/>
  <c r="S523" i="10"/>
  <c r="CD577" i="10"/>
  <c r="CD586" i="10"/>
  <c r="J6" i="34"/>
  <c r="CI504" i="10"/>
  <c r="CF504" i="10"/>
  <c r="CL504" i="10" s="1"/>
  <c r="CJ504" i="10"/>
  <c r="CK504" i="10"/>
  <c r="CH504" i="10"/>
  <c r="CG504" i="10"/>
  <c r="S839" i="10"/>
  <c r="J531" i="10"/>
  <c r="BC856" i="10"/>
  <c r="BP856" i="10"/>
  <c r="BC536" i="10"/>
  <c r="BP536" i="10"/>
  <c r="AM21" i="10"/>
  <c r="AN21" i="10" s="1"/>
  <c r="AP21" i="10" s="1"/>
  <c r="AO21" i="3"/>
  <c r="AO21" i="7"/>
  <c r="AM21" i="7"/>
  <c r="AP21" i="3" s="1"/>
  <c r="S608" i="10"/>
  <c r="S757" i="10"/>
  <c r="S593" i="10"/>
  <c r="J45" i="35"/>
  <c r="CO48" i="9"/>
  <c r="CM48" i="9"/>
  <c r="CL48" i="9"/>
  <c r="CQ48" i="9" s="1"/>
  <c r="CN48" i="9"/>
  <c r="CP48" i="9"/>
  <c r="BC648" i="10"/>
  <c r="BP648" i="10"/>
  <c r="R10" i="8"/>
  <c r="B196" i="1" s="1"/>
  <c r="E274" i="8"/>
  <c r="D288" i="8"/>
  <c r="G228" i="8"/>
  <c r="S530" i="10"/>
  <c r="BC853" i="10"/>
  <c r="BP853" i="10"/>
  <c r="BC635" i="10"/>
  <c r="BP635" i="10"/>
  <c r="BC502" i="10"/>
  <c r="BP502" i="10"/>
  <c r="S612" i="10"/>
  <c r="J607" i="10"/>
  <c r="AM168" i="10"/>
  <c r="AN168" i="10" s="1"/>
  <c r="AP168" i="10" s="1"/>
  <c r="AO168" i="7"/>
  <c r="AO168" i="3"/>
  <c r="AM168" i="7"/>
  <c r="AP168" i="3" s="1"/>
  <c r="AM142" i="10"/>
  <c r="AN142" i="10" s="1"/>
  <c r="AP142" i="10" s="1"/>
  <c r="AO142" i="7"/>
  <c r="AM142" i="7"/>
  <c r="AP142" i="3" s="1"/>
  <c r="AO142" i="3"/>
  <c r="AM32" i="10"/>
  <c r="AN32" i="10" s="1"/>
  <c r="AP32" i="10" s="1"/>
  <c r="AO32" i="3"/>
  <c r="AO32" i="7"/>
  <c r="AM32" i="7"/>
  <c r="AP32" i="3" s="1"/>
  <c r="J517" i="10"/>
  <c r="I43" i="35"/>
  <c r="CH46" i="9"/>
  <c r="CG46" i="9"/>
  <c r="CF46" i="9"/>
  <c r="CJ46" i="9" s="1"/>
  <c r="CI46" i="9"/>
  <c r="CX46" i="9"/>
  <c r="O43" i="35" s="1"/>
  <c r="CJ34" i="9"/>
  <c r="AO390" i="7"/>
  <c r="AM390" i="7"/>
  <c r="AP390" i="3" s="1"/>
  <c r="AM390" i="10"/>
  <c r="AN390" i="10" s="1"/>
  <c r="AP390" i="10" s="1"/>
  <c r="AO390" i="3"/>
  <c r="CD852" i="10"/>
  <c r="J16" i="35"/>
  <c r="CN19" i="9"/>
  <c r="CL19" i="9"/>
  <c r="CQ19" i="9" s="1"/>
  <c r="CP19" i="9"/>
  <c r="CM19" i="9"/>
  <c r="CO19" i="9"/>
  <c r="E288" i="8"/>
  <c r="K387" i="34"/>
  <c r="CC885" i="10"/>
  <c r="CB885" i="10"/>
  <c r="CA885" i="10"/>
  <c r="BZ885" i="10"/>
  <c r="CD885" i="10" s="1"/>
  <c r="CR885" i="10"/>
  <c r="P387" i="34" s="1"/>
  <c r="K257" i="34"/>
  <c r="CB755" i="10"/>
  <c r="CA755" i="10"/>
  <c r="BZ755" i="10"/>
  <c r="CD755" i="10" s="1"/>
  <c r="CR755" i="10"/>
  <c r="P257" i="34" s="1"/>
  <c r="CC755" i="10"/>
  <c r="CJ67" i="9"/>
  <c r="BR743" i="10"/>
  <c r="J5" i="35"/>
  <c r="CN8" i="9"/>
  <c r="CO8" i="9"/>
  <c r="CP8" i="9"/>
  <c r="CM8" i="9"/>
  <c r="CL8" i="9"/>
  <c r="CQ8" i="9" s="1"/>
  <c r="S878" i="10"/>
  <c r="BP534" i="10"/>
  <c r="K93" i="34"/>
  <c r="CB591" i="10"/>
  <c r="CA591" i="10"/>
  <c r="BZ591" i="10"/>
  <c r="CD591" i="10" s="1"/>
  <c r="CC591" i="10"/>
  <c r="CR591" i="10"/>
  <c r="P93" i="34" s="1"/>
  <c r="BC526" i="10"/>
  <c r="BP526" i="10"/>
  <c r="AM349" i="7"/>
  <c r="AP349" i="3" s="1"/>
  <c r="AM349" i="10"/>
  <c r="AN349" i="10" s="1"/>
  <c r="AP349" i="10" s="1"/>
  <c r="AO349" i="3"/>
  <c r="AO349" i="7"/>
  <c r="F124" i="8"/>
  <c r="F133" i="8"/>
  <c r="O9" i="8"/>
  <c r="F135" i="8"/>
  <c r="F123" i="8"/>
  <c r="F120" i="8"/>
  <c r="F134" i="8"/>
  <c r="F130" i="8"/>
  <c r="F119" i="8"/>
  <c r="F126" i="8"/>
  <c r="F122" i="8"/>
  <c r="F132" i="8"/>
  <c r="G9" i="8"/>
  <c r="F131" i="8"/>
  <c r="F127" i="8"/>
  <c r="F121" i="8"/>
  <c r="F125" i="8"/>
  <c r="F128" i="8"/>
  <c r="F129" i="8"/>
  <c r="I9" i="8"/>
  <c r="AV146" i="3"/>
  <c r="C306" i="8"/>
  <c r="B22" i="4"/>
  <c r="AQ267" i="10"/>
  <c r="AR267" i="10"/>
  <c r="AV281" i="3"/>
  <c r="B27" i="4"/>
  <c r="C311" i="8"/>
  <c r="S529" i="10"/>
  <c r="CD716" i="10"/>
  <c r="AM294" i="10"/>
  <c r="AN294" i="10" s="1"/>
  <c r="AP294" i="10" s="1"/>
  <c r="AM294" i="7"/>
  <c r="AP294" i="3" s="1"/>
  <c r="AO294" i="7"/>
  <c r="AO294" i="3"/>
  <c r="CD806" i="10"/>
  <c r="S896" i="10"/>
  <c r="G222" i="8"/>
  <c r="AM375" i="10"/>
  <c r="AN375" i="10" s="1"/>
  <c r="AP375" i="10" s="1"/>
  <c r="AO375" i="7"/>
  <c r="AM375" i="7"/>
  <c r="AP375" i="3" s="1"/>
  <c r="AO375" i="3"/>
  <c r="S848" i="10"/>
  <c r="K251" i="34"/>
  <c r="BZ749" i="10"/>
  <c r="CD749" i="10" s="1"/>
  <c r="CC749" i="10"/>
  <c r="CB749" i="10"/>
  <c r="CA749" i="10"/>
  <c r="CR749" i="10"/>
  <c r="P251" i="34" s="1"/>
  <c r="R11" i="8"/>
  <c r="B197" i="1" s="1"/>
  <c r="AO118" i="7"/>
  <c r="AM118" i="7"/>
  <c r="AP118" i="3" s="1"/>
  <c r="AM118" i="10"/>
  <c r="AN118" i="10" s="1"/>
  <c r="AP118" i="10" s="1"/>
  <c r="AO118" i="3"/>
  <c r="CJ52" i="9"/>
  <c r="BP616" i="10"/>
  <c r="BC902" i="10"/>
  <c r="BP902" i="10"/>
  <c r="AM212" i="10"/>
  <c r="AN212" i="10" s="1"/>
  <c r="AP212" i="10" s="1"/>
  <c r="AO212" i="7"/>
  <c r="AO212" i="3"/>
  <c r="AM212" i="7"/>
  <c r="AP212" i="3" s="1"/>
  <c r="BC771" i="10"/>
  <c r="BP771" i="10"/>
  <c r="AM94" i="10"/>
  <c r="AN94" i="10" s="1"/>
  <c r="AP94" i="10" s="1"/>
  <c r="AO94" i="7"/>
  <c r="AM94" i="7"/>
  <c r="AP94" i="3" s="1"/>
  <c r="AO94" i="3"/>
  <c r="S570" i="10"/>
  <c r="BC881" i="10"/>
  <c r="BP881" i="10"/>
  <c r="J332" i="34"/>
  <c r="CJ830" i="10"/>
  <c r="CI830" i="10"/>
  <c r="CH830" i="10"/>
  <c r="CF830" i="10"/>
  <c r="CL830" i="10" s="1"/>
  <c r="CG830" i="10"/>
  <c r="CK830" i="10"/>
  <c r="AM264" i="7"/>
  <c r="AP264" i="3" s="1"/>
  <c r="AM264" i="10"/>
  <c r="AN264" i="10" s="1"/>
  <c r="AP264" i="10" s="1"/>
  <c r="AO264" i="3"/>
  <c r="AO264" i="7"/>
  <c r="AO411" i="7"/>
  <c r="AM411" i="10"/>
  <c r="AN411" i="10" s="1"/>
  <c r="AP411" i="10" s="1"/>
  <c r="AM411" i="7"/>
  <c r="AP411" i="3" s="1"/>
  <c r="AO411" i="3"/>
  <c r="AM154" i="10"/>
  <c r="AN154" i="10" s="1"/>
  <c r="AP154" i="10" s="1"/>
  <c r="AM154" i="7"/>
  <c r="AP154" i="3" s="1"/>
  <c r="AO154" i="7"/>
  <c r="AO154" i="3"/>
  <c r="AM155" i="10"/>
  <c r="AN155" i="10" s="1"/>
  <c r="AP155" i="10" s="1"/>
  <c r="AO155" i="3"/>
  <c r="AO155" i="7"/>
  <c r="AM155" i="7"/>
  <c r="AP155" i="3" s="1"/>
  <c r="BR730" i="10"/>
  <c r="J730" i="10"/>
  <c r="J369" i="34"/>
  <c r="CH867" i="10"/>
  <c r="CG867" i="10"/>
  <c r="CF867" i="10"/>
  <c r="CL867" i="10" s="1"/>
  <c r="CI867" i="10"/>
  <c r="CK867" i="10"/>
  <c r="CJ867" i="10"/>
  <c r="AM363" i="7"/>
  <c r="AP363" i="3" s="1"/>
  <c r="AM363" i="10"/>
  <c r="AN363" i="10" s="1"/>
  <c r="AP363" i="10" s="1"/>
  <c r="AO363" i="3"/>
  <c r="AO363" i="7"/>
  <c r="K276" i="34"/>
  <c r="CC774" i="10"/>
  <c r="BZ774" i="10"/>
  <c r="CD774" i="10" s="1"/>
  <c r="CB774" i="10"/>
  <c r="CA774" i="10"/>
  <c r="CR774" i="10"/>
  <c r="P276" i="34" s="1"/>
  <c r="BP682" i="10"/>
  <c r="S805" i="10"/>
  <c r="J708" i="10"/>
  <c r="CD906" i="10"/>
  <c r="H274" i="8"/>
  <c r="I274" i="8" s="1"/>
  <c r="S561" i="10"/>
  <c r="AM353" i="7"/>
  <c r="AP353" i="3" s="1"/>
  <c r="AM353" i="10"/>
  <c r="AN353" i="10" s="1"/>
  <c r="AP353" i="10" s="1"/>
  <c r="AO353" i="3"/>
  <c r="AO353" i="7"/>
  <c r="S829" i="10"/>
  <c r="S616" i="10"/>
  <c r="BP528" i="10"/>
  <c r="S902" i="10"/>
  <c r="BP809" i="10"/>
  <c r="AR158" i="10"/>
  <c r="AQ158" i="10"/>
  <c r="BC527" i="10"/>
  <c r="BP527" i="10"/>
  <c r="BC552" i="10"/>
  <c r="BP552" i="10"/>
  <c r="AR329" i="10"/>
  <c r="AQ329" i="10"/>
  <c r="AM236" i="10"/>
  <c r="AN236" i="10" s="1"/>
  <c r="AP236" i="10" s="1"/>
  <c r="AM236" i="7"/>
  <c r="AP236" i="3" s="1"/>
  <c r="AO236" i="3"/>
  <c r="AO236" i="7"/>
  <c r="J2" i="35"/>
  <c r="D157" i="22"/>
  <c r="E157" i="22" s="1"/>
  <c r="CN5" i="9"/>
  <c r="CM5" i="9"/>
  <c r="CL5" i="9"/>
  <c r="CQ5" i="9" s="1"/>
  <c r="CP5" i="9"/>
  <c r="CO5" i="9"/>
  <c r="S921" i="10"/>
  <c r="K83" i="34"/>
  <c r="CB581" i="10"/>
  <c r="CA581" i="10"/>
  <c r="CC581" i="10"/>
  <c r="BZ581" i="10"/>
  <c r="CD581" i="10" s="1"/>
  <c r="CR581" i="10"/>
  <c r="P83" i="34" s="1"/>
  <c r="O18" i="8"/>
  <c r="I18" i="8"/>
  <c r="G18" i="8"/>
  <c r="AM12" i="10"/>
  <c r="AN12" i="10" s="1"/>
  <c r="AP12" i="10" s="1"/>
  <c r="AO12" i="7"/>
  <c r="AO12" i="3"/>
  <c r="AM12" i="7"/>
  <c r="AP12" i="3" s="1"/>
  <c r="K6" i="34"/>
  <c r="CA504" i="10"/>
  <c r="BZ504" i="10"/>
  <c r="CD504" i="10" s="1"/>
  <c r="CC504" i="10"/>
  <c r="CB504" i="10"/>
  <c r="CR504" i="10"/>
  <c r="P6" i="34" s="1"/>
  <c r="CD632" i="10"/>
  <c r="I26" i="35"/>
  <c r="CI29" i="9"/>
  <c r="CH29" i="9"/>
  <c r="CF29" i="9"/>
  <c r="CJ29" i="9" s="1"/>
  <c r="CG29" i="9"/>
  <c r="CX29" i="9"/>
  <c r="O26" i="35" s="1"/>
  <c r="CJ61" i="9"/>
  <c r="S700" i="10"/>
  <c r="AQ20" i="10"/>
  <c r="AR20" i="10"/>
  <c r="BC686" i="10"/>
  <c r="BP686" i="10"/>
  <c r="AM85" i="10"/>
  <c r="AN85" i="10" s="1"/>
  <c r="AP85" i="10" s="1"/>
  <c r="AM85" i="7"/>
  <c r="AP85" i="3" s="1"/>
  <c r="AO85" i="7"/>
  <c r="AO85" i="3"/>
  <c r="CD759" i="10"/>
  <c r="K349" i="34"/>
  <c r="CC847" i="10"/>
  <c r="CB847" i="10"/>
  <c r="BZ847" i="10"/>
  <c r="CD847" i="10" s="1"/>
  <c r="CA847" i="10"/>
  <c r="CR847" i="10"/>
  <c r="P349" i="34" s="1"/>
  <c r="AM291" i="10"/>
  <c r="AN291" i="10" s="1"/>
  <c r="AP291" i="10" s="1"/>
  <c r="AM291" i="7"/>
  <c r="AP291" i="3" s="1"/>
  <c r="AO291" i="3"/>
  <c r="AO291" i="7"/>
  <c r="S564" i="10"/>
  <c r="AW125" i="3"/>
  <c r="D305" i="8"/>
  <c r="O305" i="8" s="1"/>
  <c r="S535" i="10"/>
  <c r="S772" i="10"/>
  <c r="S578" i="10"/>
  <c r="AM368" i="10"/>
  <c r="AN368" i="10" s="1"/>
  <c r="AP368" i="10" s="1"/>
  <c r="AO368" i="3"/>
  <c r="AO368" i="7"/>
  <c r="AM368" i="7"/>
  <c r="AP368" i="3" s="1"/>
  <c r="BP746" i="10"/>
  <c r="AW376" i="3"/>
  <c r="D315" i="8"/>
  <c r="O315" i="8" s="1"/>
  <c r="BC899" i="10"/>
  <c r="BP899" i="10"/>
  <c r="S604" i="10"/>
  <c r="AM76" i="7"/>
  <c r="AP76" i="3" s="1"/>
  <c r="AM76" i="10"/>
  <c r="AN76" i="10" s="1"/>
  <c r="AP76" i="10" s="1"/>
  <c r="AO76" i="3"/>
  <c r="AO76" i="7"/>
  <c r="AM301" i="10"/>
  <c r="AN301" i="10" s="1"/>
  <c r="AP301" i="10" s="1"/>
  <c r="AO301" i="7"/>
  <c r="AO301" i="3"/>
  <c r="AM301" i="7"/>
  <c r="AP301" i="3" s="1"/>
  <c r="AM159" i="10"/>
  <c r="AN159" i="10" s="1"/>
  <c r="AP159" i="10" s="1"/>
  <c r="AM159" i="7"/>
  <c r="AP159" i="3" s="1"/>
  <c r="AO159" i="3"/>
  <c r="AO159" i="7"/>
  <c r="AR172" i="10"/>
  <c r="AQ172" i="10"/>
  <c r="L524" i="10"/>
  <c r="AM183" i="10"/>
  <c r="AN183" i="10" s="1"/>
  <c r="AP183" i="10" s="1"/>
  <c r="AO183" i="7"/>
  <c r="AM183" i="7"/>
  <c r="AP183" i="3" s="1"/>
  <c r="AO183" i="3"/>
  <c r="S766" i="10"/>
  <c r="I222" i="8"/>
  <c r="BC705" i="10"/>
  <c r="BP705" i="10"/>
  <c r="S837" i="10"/>
  <c r="AP346" i="10"/>
  <c r="BC767" i="10"/>
  <c r="BP767" i="10"/>
  <c r="CD664" i="10"/>
  <c r="AO202" i="3"/>
  <c r="AO202" i="7"/>
  <c r="AM202" i="10"/>
  <c r="AN202" i="10" s="1"/>
  <c r="AP202" i="10" s="1"/>
  <c r="AM202" i="7"/>
  <c r="AP202" i="3" s="1"/>
  <c r="BP791" i="10"/>
  <c r="BP776" i="10"/>
  <c r="BP602" i="10"/>
  <c r="AM210" i="10"/>
  <c r="AN210" i="10" s="1"/>
  <c r="AP210" i="10" s="1"/>
  <c r="AO210" i="7"/>
  <c r="AM210" i="7"/>
  <c r="AP210" i="3" s="1"/>
  <c r="AO210" i="3"/>
  <c r="J189" i="34"/>
  <c r="CK687" i="10"/>
  <c r="CI687" i="10"/>
  <c r="CG687" i="10"/>
  <c r="CJ687" i="10"/>
  <c r="CH687" i="10"/>
  <c r="CF687" i="10"/>
  <c r="CL687" i="10" s="1"/>
  <c r="CR687" i="10"/>
  <c r="P189" i="34" s="1"/>
  <c r="AM397" i="10"/>
  <c r="AN397" i="10" s="1"/>
  <c r="AP397" i="10" s="1"/>
  <c r="AO397" i="7"/>
  <c r="AO397" i="3"/>
  <c r="AM397" i="7"/>
  <c r="AP397" i="3" s="1"/>
  <c r="I7" i="8"/>
  <c r="G7" i="8"/>
  <c r="O7" i="8"/>
  <c r="J349" i="34"/>
  <c r="CI847" i="10"/>
  <c r="CG847" i="10"/>
  <c r="CK847" i="10"/>
  <c r="CJ847" i="10"/>
  <c r="CH847" i="10"/>
  <c r="CF847" i="10"/>
  <c r="CL847" i="10" s="1"/>
  <c r="CD795" i="10"/>
  <c r="S841" i="10"/>
  <c r="E229" i="8"/>
  <c r="C229" i="8"/>
  <c r="AW346" i="3"/>
  <c r="D314" i="8"/>
  <c r="O314" i="8" s="1"/>
  <c r="BP847" i="10"/>
  <c r="S526" i="10"/>
  <c r="BP500" i="10"/>
  <c r="AM423" i="7"/>
  <c r="AP423" i="3" s="1"/>
  <c r="AO423" i="7"/>
  <c r="AM423" i="10"/>
  <c r="AN423" i="10" s="1"/>
  <c r="AP423" i="10" s="1"/>
  <c r="AO423" i="3"/>
  <c r="AR167" i="10"/>
  <c r="AQ167" i="10"/>
  <c r="K2" i="34"/>
  <c r="D145" i="22"/>
  <c r="E145" i="22" s="1"/>
  <c r="CB500" i="10"/>
  <c r="CA500" i="10"/>
  <c r="BZ500" i="10"/>
  <c r="CD500" i="10" s="1"/>
  <c r="CC500" i="10"/>
  <c r="D147" i="22"/>
  <c r="E147" i="22" s="1"/>
  <c r="CR500" i="10"/>
  <c r="P2" i="34" s="1"/>
  <c r="BC910" i="10"/>
  <c r="BP910" i="10"/>
  <c r="K109" i="34"/>
  <c r="CC607" i="10"/>
  <c r="CB607" i="10"/>
  <c r="BZ607" i="10"/>
  <c r="CD607" i="10" s="1"/>
  <c r="CR607" i="10"/>
  <c r="P109" i="34" s="1"/>
  <c r="CA607" i="10"/>
  <c r="BC554" i="10"/>
  <c r="BP554" i="10"/>
  <c r="BP529" i="10"/>
  <c r="S671" i="10"/>
  <c r="BC851" i="10"/>
  <c r="BP851" i="10"/>
  <c r="BC813" i="10"/>
  <c r="BP813" i="10"/>
  <c r="BP833" i="10"/>
  <c r="S914" i="10"/>
  <c r="BR815" i="10"/>
  <c r="BC710" i="10"/>
  <c r="BP710" i="10"/>
  <c r="S760" i="10"/>
  <c r="CX37" i="9"/>
  <c r="O34" i="35" s="1"/>
  <c r="CD834" i="10"/>
  <c r="O6" i="8"/>
  <c r="G6" i="8"/>
  <c r="I6" i="8"/>
  <c r="S793" i="10"/>
  <c r="S739" i="10"/>
  <c r="AO169" i="7"/>
  <c r="AM169" i="10"/>
  <c r="AN169" i="10" s="1"/>
  <c r="AP169" i="10" s="1"/>
  <c r="AM169" i="7"/>
  <c r="AP169" i="3" s="1"/>
  <c r="AO169" i="3"/>
  <c r="AO257" i="3"/>
  <c r="AM257" i="10"/>
  <c r="AN257" i="10" s="1"/>
  <c r="AM257" i="7"/>
  <c r="AP257" i="3" s="1"/>
  <c r="AO257" i="7"/>
  <c r="CD706" i="10"/>
  <c r="AM289" i="10"/>
  <c r="AN289" i="10" s="1"/>
  <c r="AP289" i="10" s="1"/>
  <c r="AO289" i="7"/>
  <c r="AO289" i="3"/>
  <c r="AM289" i="7"/>
  <c r="AP289" i="3" s="1"/>
  <c r="AO58" i="7"/>
  <c r="AM58" i="7"/>
  <c r="AP58" i="3" s="1"/>
  <c r="AM58" i="10"/>
  <c r="AN58" i="10" s="1"/>
  <c r="AP58" i="10" s="1"/>
  <c r="AO58" i="3"/>
  <c r="K52" i="34"/>
  <c r="CA550" i="10"/>
  <c r="CC550" i="10"/>
  <c r="CB550" i="10"/>
  <c r="BZ550" i="10"/>
  <c r="CD550" i="10" s="1"/>
  <c r="CR550" i="10"/>
  <c r="P52" i="34" s="1"/>
  <c r="R7" i="8"/>
  <c r="AM124" i="10"/>
  <c r="AN124" i="10" s="1"/>
  <c r="AO124" i="7"/>
  <c r="AM124" i="7"/>
  <c r="AP124" i="3" s="1"/>
  <c r="AO124" i="3"/>
  <c r="BP681" i="10"/>
  <c r="AM111" i="10"/>
  <c r="AN111" i="10" s="1"/>
  <c r="AP111" i="10" s="1"/>
  <c r="AM111" i="7"/>
  <c r="AP111" i="3" s="1"/>
  <c r="AO111" i="7"/>
  <c r="AO111" i="3"/>
  <c r="AR380" i="10"/>
  <c r="AQ380" i="10"/>
  <c r="AM300" i="10"/>
  <c r="AN300" i="10" s="1"/>
  <c r="AP300" i="10" s="1"/>
  <c r="AO300" i="7"/>
  <c r="AM300" i="7"/>
  <c r="AP300" i="3" s="1"/>
  <c r="AO300" i="3"/>
  <c r="AO27" i="3"/>
  <c r="AO27" i="7"/>
  <c r="AM27" i="10"/>
  <c r="AN27" i="10" s="1"/>
  <c r="AP27" i="10" s="1"/>
  <c r="AM27" i="7"/>
  <c r="AP27" i="3" s="1"/>
  <c r="G15" i="8"/>
  <c r="O15" i="8"/>
  <c r="I15" i="8"/>
  <c r="AO122" i="7"/>
  <c r="AO122" i="3"/>
  <c r="AM122" i="10"/>
  <c r="AN122" i="10" s="1"/>
  <c r="AP122" i="10" s="1"/>
  <c r="AM122" i="7"/>
  <c r="AP122" i="3" s="1"/>
  <c r="AO64" i="3"/>
  <c r="AM64" i="10"/>
  <c r="AN64" i="10" s="1"/>
  <c r="AP64" i="10" s="1"/>
  <c r="AM64" i="7"/>
  <c r="AP64" i="3" s="1"/>
  <c r="AO64" i="7"/>
  <c r="J803" i="10"/>
  <c r="S638" i="10"/>
  <c r="AM189" i="10"/>
  <c r="AN189" i="10" s="1"/>
  <c r="AP189" i="10" s="1"/>
  <c r="AO189" i="7"/>
  <c r="AM189" i="7"/>
  <c r="AP189" i="3" s="1"/>
  <c r="AO189" i="3"/>
  <c r="S654" i="10"/>
  <c r="AM305" i="10"/>
  <c r="AN305" i="10" s="1"/>
  <c r="AP305" i="10" s="1"/>
  <c r="AO305" i="7"/>
  <c r="AO305" i="3"/>
  <c r="AM305" i="7"/>
  <c r="AP305" i="3" s="1"/>
  <c r="AM176" i="7"/>
  <c r="AP176" i="3" s="1"/>
  <c r="AM176" i="10"/>
  <c r="AN176" i="10" s="1"/>
  <c r="AO176" i="3"/>
  <c r="AO176" i="7"/>
  <c r="K140" i="34"/>
  <c r="CB638" i="10"/>
  <c r="CA638" i="10"/>
  <c r="BZ638" i="10"/>
  <c r="CD638" i="10" s="1"/>
  <c r="CC638" i="10"/>
  <c r="CR638" i="10"/>
  <c r="P140" i="34" s="1"/>
  <c r="BP509" i="10"/>
  <c r="K117" i="34"/>
  <c r="CR615" i="10"/>
  <c r="P117" i="34" s="1"/>
  <c r="CB615" i="10"/>
  <c r="CA615" i="10"/>
  <c r="BZ615" i="10"/>
  <c r="CD615" i="10" s="1"/>
  <c r="CC615" i="10"/>
  <c r="BR709" i="10"/>
  <c r="J709" i="10"/>
  <c r="S545" i="10"/>
  <c r="AR412" i="10"/>
  <c r="AQ412" i="10"/>
  <c r="BP837" i="10"/>
  <c r="AR198" i="10"/>
  <c r="AO206" i="7"/>
  <c r="AM206" i="10"/>
  <c r="AN206" i="10" s="1"/>
  <c r="AP206" i="10" s="1"/>
  <c r="AM206" i="7"/>
  <c r="AP206" i="3" s="1"/>
  <c r="AO206" i="3"/>
  <c r="AM163" i="10"/>
  <c r="AN163" i="10" s="1"/>
  <c r="AP163" i="10" s="1"/>
  <c r="AO163" i="7"/>
  <c r="AM163" i="7"/>
  <c r="AP163" i="3" s="1"/>
  <c r="AO163" i="3"/>
  <c r="AM256" i="10"/>
  <c r="AN256" i="10" s="1"/>
  <c r="AP256" i="10" s="1"/>
  <c r="AO256" i="7"/>
  <c r="AO256" i="3"/>
  <c r="AM256" i="7"/>
  <c r="AP256" i="3" s="1"/>
  <c r="I8" i="35"/>
  <c r="CF11" i="9"/>
  <c r="CJ11" i="9" s="1"/>
  <c r="CI11" i="9"/>
  <c r="CH11" i="9"/>
  <c r="CG11" i="9"/>
  <c r="CX11" i="9"/>
  <c r="O8" i="35" s="1"/>
  <c r="CJ60" i="9"/>
  <c r="CD525" i="10"/>
  <c r="K8" i="34"/>
  <c r="CR506" i="10"/>
  <c r="P8" i="34" s="1"/>
  <c r="CC506" i="10"/>
  <c r="BZ506" i="10"/>
  <c r="CD506" i="10" s="1"/>
  <c r="CB506" i="10"/>
  <c r="CA506" i="10"/>
  <c r="AM233" i="10"/>
  <c r="AN233" i="10" s="1"/>
  <c r="AP233" i="10" s="1"/>
  <c r="AO233" i="7"/>
  <c r="AM233" i="7"/>
  <c r="AP233" i="3" s="1"/>
  <c r="AO233" i="3"/>
  <c r="I45" i="35"/>
  <c r="CI48" i="9"/>
  <c r="CH48" i="9"/>
  <c r="CG48" i="9"/>
  <c r="CF48" i="9"/>
  <c r="CJ48" i="9" s="1"/>
  <c r="CX48" i="9"/>
  <c r="O45" i="35" s="1"/>
  <c r="K32" i="34"/>
  <c r="CA530" i="10"/>
  <c r="CB530" i="10"/>
  <c r="CC530" i="10"/>
  <c r="BZ530" i="10"/>
  <c r="CD530" i="10" s="1"/>
  <c r="CR530" i="10"/>
  <c r="P32" i="34" s="1"/>
  <c r="J415" i="34"/>
  <c r="CJ913" i="10"/>
  <c r="CI913" i="10"/>
  <c r="CH913" i="10"/>
  <c r="CG913" i="10"/>
  <c r="CF913" i="10"/>
  <c r="CL913" i="10" s="1"/>
  <c r="CK913" i="10"/>
  <c r="BF506" i="10"/>
  <c r="BH506" i="10" s="1"/>
  <c r="L506" i="10"/>
  <c r="AQ136" i="10"/>
  <c r="AR136" i="10"/>
  <c r="J245" i="34"/>
  <c r="CK743" i="10"/>
  <c r="CH743" i="10"/>
  <c r="CJ743" i="10"/>
  <c r="CG743" i="10"/>
  <c r="CI743" i="10"/>
  <c r="CF743" i="10"/>
  <c r="CL743" i="10" s="1"/>
  <c r="AO217" i="7"/>
  <c r="AM217" i="10"/>
  <c r="AN217" i="10" s="1"/>
  <c r="AP217" i="10" s="1"/>
  <c r="AM217" i="7"/>
  <c r="AP217" i="3" s="1"/>
  <c r="AO217" i="3"/>
  <c r="AM240" i="10"/>
  <c r="AN240" i="10" s="1"/>
  <c r="AP240" i="10" s="1"/>
  <c r="AO240" i="7"/>
  <c r="AM240" i="7"/>
  <c r="AP240" i="3" s="1"/>
  <c r="AO240" i="3"/>
  <c r="K255" i="34"/>
  <c r="BZ753" i="10"/>
  <c r="CD753" i="10" s="1"/>
  <c r="CC753" i="10"/>
  <c r="CB753" i="10"/>
  <c r="CA753" i="10"/>
  <c r="CR753" i="10"/>
  <c r="P255" i="34" s="1"/>
  <c r="AO14" i="7"/>
  <c r="AM14" i="7"/>
  <c r="AP14" i="3" s="1"/>
  <c r="AM14" i="10"/>
  <c r="AN14" i="10" s="1"/>
  <c r="AP14" i="10" s="1"/>
  <c r="AO14" i="3"/>
  <c r="AM186" i="10"/>
  <c r="AN186" i="10" s="1"/>
  <c r="AP186" i="10" s="1"/>
  <c r="AO186" i="7"/>
  <c r="AM186" i="7"/>
  <c r="AP186" i="3" s="1"/>
  <c r="AO186" i="3"/>
  <c r="AV125" i="3"/>
  <c r="C305" i="8"/>
  <c r="CD916" i="10"/>
  <c r="AM63" i="10"/>
  <c r="AN63" i="10" s="1"/>
  <c r="AP63" i="10" s="1"/>
  <c r="AO63" i="7"/>
  <c r="AM63" i="7"/>
  <c r="AP63" i="3" s="1"/>
  <c r="AO63" i="3"/>
  <c r="AM71" i="7"/>
  <c r="AP71" i="3" s="1"/>
  <c r="AM71" i="10"/>
  <c r="AN71" i="10" s="1"/>
  <c r="AP71" i="10" s="1"/>
  <c r="AO71" i="3"/>
  <c r="AO71" i="7"/>
  <c r="AQ425" i="10"/>
  <c r="AR425" i="10"/>
  <c r="J202" i="34"/>
  <c r="CF700" i="10"/>
  <c r="CL700" i="10" s="1"/>
  <c r="CJ700" i="10"/>
  <c r="CH700" i="10"/>
  <c r="CG700" i="10"/>
  <c r="CI700" i="10"/>
  <c r="CK700" i="10"/>
  <c r="AR91" i="10"/>
  <c r="AQ91" i="10"/>
  <c r="CD578" i="10"/>
  <c r="I221" i="8"/>
  <c r="K222" i="34"/>
  <c r="BZ720" i="10"/>
  <c r="CD720" i="10" s="1"/>
  <c r="CA720" i="10"/>
  <c r="CB720" i="10"/>
  <c r="CC720" i="10"/>
  <c r="CR720" i="10"/>
  <c r="P222" i="34" s="1"/>
  <c r="AM119" i="10"/>
  <c r="AN119" i="10" s="1"/>
  <c r="AP119" i="10" s="1"/>
  <c r="AO119" i="7"/>
  <c r="AO119" i="3"/>
  <c r="AM119" i="7"/>
  <c r="AP119" i="3" s="1"/>
  <c r="J256" i="34"/>
  <c r="CK754" i="10"/>
  <c r="CH754" i="10"/>
  <c r="CI754" i="10"/>
  <c r="CF754" i="10"/>
  <c r="CL754" i="10" s="1"/>
  <c r="CG754" i="10"/>
  <c r="CJ754" i="10"/>
  <c r="AM6" i="10"/>
  <c r="AN6" i="10" s="1"/>
  <c r="AP6" i="10" s="1"/>
  <c r="AO6" i="7"/>
  <c r="AM6" i="7"/>
  <c r="AP6" i="3" s="1"/>
  <c r="AO6" i="3"/>
  <c r="CD600" i="10"/>
  <c r="K72" i="34"/>
  <c r="CC570" i="10"/>
  <c r="CB570" i="10"/>
  <c r="CA570" i="10"/>
  <c r="BZ570" i="10"/>
  <c r="CD570" i="10" s="1"/>
  <c r="CR570" i="10"/>
  <c r="P72" i="34" s="1"/>
  <c r="J378" i="34"/>
  <c r="CF876" i="10"/>
  <c r="CL876" i="10" s="1"/>
  <c r="CI876" i="10"/>
  <c r="CK876" i="10"/>
  <c r="CJ876" i="10"/>
  <c r="CH876" i="10"/>
  <c r="CG876" i="10"/>
  <c r="CR876" i="10"/>
  <c r="P378" i="34" s="1"/>
  <c r="CD831" i="10"/>
  <c r="AR112" i="10"/>
  <c r="AQ112" i="10"/>
  <c r="AR298" i="10"/>
  <c r="AQ298" i="10"/>
  <c r="AM366" i="10"/>
  <c r="AN366" i="10" s="1"/>
  <c r="AP366" i="10" s="1"/>
  <c r="AM366" i="7"/>
  <c r="AP366" i="3" s="1"/>
  <c r="AO366" i="7"/>
  <c r="AO366" i="3"/>
  <c r="AM79" i="10"/>
  <c r="AN79" i="10" s="1"/>
  <c r="AP79" i="10" s="1"/>
  <c r="AO79" i="3"/>
  <c r="AM79" i="7"/>
  <c r="AP79" i="3" s="1"/>
  <c r="AO79" i="7"/>
  <c r="AM326" i="10"/>
  <c r="AN326" i="10" s="1"/>
  <c r="AP326" i="10" s="1"/>
  <c r="AO326" i="3"/>
  <c r="AO326" i="7"/>
  <c r="AM326" i="7"/>
  <c r="AP326" i="3" s="1"/>
  <c r="AQ330" i="10"/>
  <c r="AR330" i="10"/>
  <c r="AQ86" i="10"/>
  <c r="AR86" i="10"/>
  <c r="AV51" i="3"/>
  <c r="C302" i="8"/>
  <c r="CD874" i="10"/>
  <c r="K404" i="34"/>
  <c r="CB902" i="10"/>
  <c r="CA902" i="10"/>
  <c r="BZ902" i="10"/>
  <c r="CD902" i="10" s="1"/>
  <c r="CC902" i="10"/>
  <c r="CR902" i="10"/>
  <c r="P404" i="34" s="1"/>
  <c r="AM201" i="10"/>
  <c r="AN201" i="10" s="1"/>
  <c r="AP201" i="10" s="1"/>
  <c r="AM201" i="7"/>
  <c r="AP201" i="3" s="1"/>
  <c r="AO201" i="7"/>
  <c r="AO201" i="3"/>
  <c r="J293" i="34"/>
  <c r="CK791" i="10"/>
  <c r="CI791" i="10"/>
  <c r="CH791" i="10"/>
  <c r="CG791" i="10"/>
  <c r="CJ791" i="10"/>
  <c r="CF791" i="10"/>
  <c r="CL791" i="10" s="1"/>
  <c r="K396" i="34"/>
  <c r="CB894" i="10"/>
  <c r="CA894" i="10"/>
  <c r="BZ894" i="10"/>
  <c r="CD894" i="10" s="1"/>
  <c r="CC894" i="10"/>
  <c r="CR894" i="10"/>
  <c r="P396" i="34" s="1"/>
  <c r="AR336" i="10"/>
  <c r="AQ336" i="10"/>
  <c r="AR268" i="10"/>
  <c r="AQ268" i="10"/>
  <c r="BP713" i="10"/>
  <c r="J152" i="34"/>
  <c r="CF650" i="10"/>
  <c r="CL650" i="10" s="1"/>
  <c r="CK650" i="10"/>
  <c r="CH650" i="10"/>
  <c r="CJ650" i="10"/>
  <c r="CI650" i="10"/>
  <c r="CG650" i="10"/>
  <c r="J62" i="35"/>
  <c r="CP65" i="9"/>
  <c r="CM65" i="9"/>
  <c r="CN65" i="9"/>
  <c r="CL65" i="9"/>
  <c r="CQ65" i="9" s="1"/>
  <c r="CO65" i="9"/>
  <c r="K237" i="34"/>
  <c r="CC735" i="10"/>
  <c r="BZ735" i="10"/>
  <c r="CD735" i="10" s="1"/>
  <c r="CB735" i="10"/>
  <c r="CA735" i="10"/>
  <c r="CR735" i="10"/>
  <c r="P237" i="34" s="1"/>
  <c r="K201" i="34"/>
  <c r="BZ699" i="10"/>
  <c r="CD699" i="10" s="1"/>
  <c r="CC699" i="10"/>
  <c r="CB699" i="10"/>
  <c r="CA699" i="10"/>
  <c r="CR699" i="10"/>
  <c r="P201" i="34" s="1"/>
  <c r="CD649" i="10"/>
  <c r="AR89" i="10"/>
  <c r="AQ89" i="10"/>
  <c r="AO59" i="7"/>
  <c r="AM59" i="10"/>
  <c r="AN59" i="10" s="1"/>
  <c r="AP59" i="10" s="1"/>
  <c r="AO59" i="3"/>
  <c r="AM59" i="7"/>
  <c r="AP59" i="3" s="1"/>
  <c r="AM81" i="10"/>
  <c r="AN81" i="10" s="1"/>
  <c r="AP81" i="10" s="1"/>
  <c r="AM81" i="7"/>
  <c r="AP81" i="3" s="1"/>
  <c r="AO81" i="3"/>
  <c r="AO81" i="7"/>
  <c r="I60" i="35"/>
  <c r="CI63" i="9"/>
  <c r="CF63" i="9"/>
  <c r="CJ63" i="9" s="1"/>
  <c r="CH63" i="9"/>
  <c r="CG63" i="9"/>
  <c r="CX63" i="9"/>
  <c r="O60" i="35" s="1"/>
  <c r="BP669" i="10"/>
  <c r="AM144" i="10"/>
  <c r="AN144" i="10" s="1"/>
  <c r="AP144" i="10" s="1"/>
  <c r="AO144" i="7"/>
  <c r="AO144" i="3"/>
  <c r="AM144" i="7"/>
  <c r="AP144" i="3" s="1"/>
  <c r="BP808" i="10"/>
  <c r="J284" i="34"/>
  <c r="CF782" i="10"/>
  <c r="CL782" i="10" s="1"/>
  <c r="CG782" i="10"/>
  <c r="CJ782" i="10"/>
  <c r="CK782" i="10"/>
  <c r="CI782" i="10"/>
  <c r="CH782" i="10"/>
  <c r="K14" i="34"/>
  <c r="CA512" i="10"/>
  <c r="BZ512" i="10"/>
  <c r="CD512" i="10" s="1"/>
  <c r="CB512" i="10"/>
  <c r="CC512" i="10"/>
  <c r="CR512" i="10"/>
  <c r="P14" i="34" s="1"/>
  <c r="AM129" i="10"/>
  <c r="AN129" i="10" s="1"/>
  <c r="AP129" i="10" s="1"/>
  <c r="AO129" i="3"/>
  <c r="AO129" i="7"/>
  <c r="AM129" i="7"/>
  <c r="AP129" i="3" s="1"/>
  <c r="I228" i="8"/>
  <c r="I226" i="8"/>
  <c r="G226" i="8"/>
  <c r="AM410" i="10"/>
  <c r="AN410" i="10" s="1"/>
  <c r="AO410" i="7"/>
  <c r="AM410" i="7"/>
  <c r="AP410" i="3" s="1"/>
  <c r="AO410" i="3"/>
  <c r="AQ273" i="10"/>
  <c r="AR273" i="10"/>
  <c r="AM238" i="10"/>
  <c r="AN238" i="10" s="1"/>
  <c r="AP238" i="10" s="1"/>
  <c r="AO238" i="7"/>
  <c r="AM238" i="7"/>
  <c r="AP238" i="3" s="1"/>
  <c r="AO238" i="3"/>
  <c r="I24" i="35"/>
  <c r="CH27" i="9"/>
  <c r="CG27" i="9"/>
  <c r="CF27" i="9"/>
  <c r="CJ27" i="9" s="1"/>
  <c r="CI27" i="9"/>
  <c r="CX27" i="9"/>
  <c r="O24" i="35" s="1"/>
  <c r="K313" i="34"/>
  <c r="CB811" i="10"/>
  <c r="CA811" i="10"/>
  <c r="BZ811" i="10"/>
  <c r="CD811" i="10" s="1"/>
  <c r="CC811" i="10"/>
  <c r="CR811" i="10"/>
  <c r="P313" i="34" s="1"/>
  <c r="BP796" i="10"/>
  <c r="K168" i="34"/>
  <c r="CA666" i="10"/>
  <c r="BZ666" i="10"/>
  <c r="CD666" i="10" s="1"/>
  <c r="CC666" i="10"/>
  <c r="CB666" i="10"/>
  <c r="CR666" i="10"/>
  <c r="P168" i="34" s="1"/>
  <c r="K239" i="34"/>
  <c r="CB737" i="10"/>
  <c r="CC737" i="10"/>
  <c r="CA737" i="10"/>
  <c r="BZ737" i="10"/>
  <c r="CD737" i="10" s="1"/>
  <c r="CR737" i="10"/>
  <c r="P239" i="34" s="1"/>
  <c r="AR331" i="10"/>
  <c r="AQ331" i="10"/>
  <c r="AM296" i="10"/>
  <c r="AN296" i="10" s="1"/>
  <c r="AP296" i="10" s="1"/>
  <c r="AO296" i="7"/>
  <c r="AM296" i="7"/>
  <c r="AP296" i="3" s="1"/>
  <c r="AO296" i="3"/>
  <c r="AM216" i="10"/>
  <c r="AN216" i="10" s="1"/>
  <c r="AP216" i="10" s="1"/>
  <c r="AO216" i="3"/>
  <c r="AM216" i="7"/>
  <c r="AP216" i="3" s="1"/>
  <c r="AO216" i="7"/>
  <c r="AM277" i="10"/>
  <c r="AN277" i="10" s="1"/>
  <c r="AP277" i="10" s="1"/>
  <c r="AM277" i="7"/>
  <c r="AP277" i="3" s="1"/>
  <c r="AO277" i="3"/>
  <c r="AO277" i="7"/>
  <c r="BR860" i="10"/>
  <c r="C82" i="14"/>
  <c r="F82" i="14" s="1"/>
  <c r="C83" i="14"/>
  <c r="C84" i="14"/>
  <c r="C85" i="14"/>
  <c r="AM303" i="10"/>
  <c r="AN303" i="10" s="1"/>
  <c r="AP303" i="10" s="1"/>
  <c r="AO303" i="7"/>
  <c r="AM303" i="7"/>
  <c r="AP303" i="3" s="1"/>
  <c r="AO303" i="3"/>
  <c r="J147" i="34"/>
  <c r="CH645" i="10"/>
  <c r="CG645" i="10"/>
  <c r="CK645" i="10"/>
  <c r="CJ645" i="10"/>
  <c r="CI645" i="10"/>
  <c r="CF645" i="10"/>
  <c r="CL645" i="10" s="1"/>
  <c r="AW200" i="3"/>
  <c r="D308" i="8"/>
  <c r="O308" i="8" s="1"/>
  <c r="AM403" i="10"/>
  <c r="AN403" i="10" s="1"/>
  <c r="AP403" i="10" s="1"/>
  <c r="AO403" i="3"/>
  <c r="AM403" i="7"/>
  <c r="AP403" i="3" s="1"/>
  <c r="AO403" i="7"/>
  <c r="AM281" i="10"/>
  <c r="AN281" i="10" s="1"/>
  <c r="AO281" i="7"/>
  <c r="AM281" i="7"/>
  <c r="AP281" i="3" s="1"/>
  <c r="AO281" i="3"/>
  <c r="J519" i="10"/>
  <c r="BP594" i="10"/>
  <c r="AR73" i="10"/>
  <c r="AQ73" i="10"/>
  <c r="CD791" i="10"/>
  <c r="AO320" i="7"/>
  <c r="AM320" i="7"/>
  <c r="AP320" i="3" s="1"/>
  <c r="AM320" i="10"/>
  <c r="AN320" i="10" s="1"/>
  <c r="AP320" i="10" s="1"/>
  <c r="AO320" i="3"/>
  <c r="AQ306" i="10"/>
  <c r="AR306" i="10"/>
  <c r="AO347" i="7"/>
  <c r="AM347" i="10"/>
  <c r="AN347" i="10" s="1"/>
  <c r="AM347" i="7"/>
  <c r="AP347" i="3" s="1"/>
  <c r="AO347" i="3"/>
  <c r="K75" i="34"/>
  <c r="CA573" i="10"/>
  <c r="CB573" i="10"/>
  <c r="CC573" i="10"/>
  <c r="BZ573" i="10"/>
  <c r="CD573" i="10" s="1"/>
  <c r="CR573" i="10"/>
  <c r="P75" i="34" s="1"/>
  <c r="AW257" i="3"/>
  <c r="D310" i="8"/>
  <c r="O310" i="8" s="1"/>
  <c r="AO61" i="7"/>
  <c r="AM61" i="7"/>
  <c r="AP61" i="3" s="1"/>
  <c r="AM61" i="10"/>
  <c r="AN61" i="10" s="1"/>
  <c r="AP61" i="10" s="1"/>
  <c r="AO61" i="3"/>
  <c r="K339" i="34"/>
  <c r="CB837" i="10"/>
  <c r="BZ837" i="10"/>
  <c r="CD837" i="10" s="1"/>
  <c r="CA837" i="10"/>
  <c r="CC837" i="10"/>
  <c r="CR837" i="10"/>
  <c r="P339" i="34" s="1"/>
  <c r="AR190" i="10"/>
  <c r="AQ190" i="10"/>
  <c r="AO414" i="7"/>
  <c r="AO414" i="3"/>
  <c r="AM414" i="7"/>
  <c r="AP414" i="3" s="1"/>
  <c r="AM414" i="10"/>
  <c r="AN414" i="10" s="1"/>
  <c r="AP414" i="10" s="1"/>
  <c r="AM327" i="7"/>
  <c r="AP327" i="3" s="1"/>
  <c r="AO327" i="7"/>
  <c r="AM327" i="10"/>
  <c r="AN327" i="10" s="1"/>
  <c r="AP327" i="10" s="1"/>
  <c r="AO327" i="3"/>
  <c r="CD917" i="10"/>
  <c r="AR356" i="10"/>
  <c r="AQ356" i="10"/>
  <c r="J411" i="34"/>
  <c r="CF909" i="10"/>
  <c r="CL909" i="10" s="1"/>
  <c r="CK909" i="10"/>
  <c r="CJ909" i="10"/>
  <c r="CI909" i="10"/>
  <c r="CH909" i="10"/>
  <c r="CG909" i="10"/>
  <c r="CD677" i="10"/>
  <c r="CD613" i="10"/>
  <c r="J62" i="34"/>
  <c r="CK560" i="10"/>
  <c r="CG560" i="10"/>
  <c r="CF560" i="10"/>
  <c r="CL560" i="10" s="1"/>
  <c r="CH560" i="10"/>
  <c r="CI560" i="10"/>
  <c r="CJ560" i="10"/>
  <c r="K245" i="34"/>
  <c r="CR743" i="10"/>
  <c r="P245" i="34" s="1"/>
  <c r="CA743" i="10"/>
  <c r="BZ743" i="10"/>
  <c r="CD743" i="10" s="1"/>
  <c r="CB743" i="10"/>
  <c r="CC743" i="10"/>
  <c r="CD682" i="10"/>
  <c r="AQ418" i="10"/>
  <c r="AR418" i="10"/>
  <c r="AQ213" i="10"/>
  <c r="AR213" i="10"/>
  <c r="J255" i="34"/>
  <c r="CK753" i="10"/>
  <c r="CJ753" i="10"/>
  <c r="CH753" i="10"/>
  <c r="CF753" i="10"/>
  <c r="CL753" i="10" s="1"/>
  <c r="CG753" i="10"/>
  <c r="CI753" i="10"/>
  <c r="BP580" i="10"/>
  <c r="AM398" i="10"/>
  <c r="AN398" i="10" s="1"/>
  <c r="AP398" i="10" s="1"/>
  <c r="AM398" i="7"/>
  <c r="AP398" i="3" s="1"/>
  <c r="AO398" i="7"/>
  <c r="AO398" i="3"/>
  <c r="AM177" i="10"/>
  <c r="AN177" i="10" s="1"/>
  <c r="AP177" i="10" s="1"/>
  <c r="AM177" i="7"/>
  <c r="AP177" i="3" s="1"/>
  <c r="AO177" i="3"/>
  <c r="AO177" i="7"/>
  <c r="D300" i="8"/>
  <c r="O300" i="8" s="1"/>
  <c r="CR645" i="10"/>
  <c r="P147" i="34" s="1"/>
  <c r="AR230" i="10"/>
  <c r="AQ230" i="10"/>
  <c r="BR683" i="10"/>
  <c r="AQ179" i="10"/>
  <c r="AR179" i="10"/>
  <c r="AM170" i="10"/>
  <c r="AN170" i="10" s="1"/>
  <c r="AP170" i="10" s="1"/>
  <c r="AO170" i="3"/>
  <c r="AO170" i="7"/>
  <c r="AM170" i="7"/>
  <c r="AP170" i="3" s="1"/>
  <c r="AM424" i="10"/>
  <c r="AN424" i="10" s="1"/>
  <c r="AP424" i="10" s="1"/>
  <c r="AM424" i="7"/>
  <c r="AP424" i="3" s="1"/>
  <c r="AO424" i="3"/>
  <c r="AO424" i="7"/>
  <c r="K10" i="34"/>
  <c r="CC508" i="10"/>
  <c r="BZ508" i="10"/>
  <c r="CD508" i="10" s="1"/>
  <c r="CB508" i="10"/>
  <c r="CA508" i="10"/>
  <c r="CR508" i="10"/>
  <c r="P10" i="34" s="1"/>
  <c r="J98" i="34"/>
  <c r="CF596" i="10"/>
  <c r="CL596" i="10" s="1"/>
  <c r="CK596" i="10"/>
  <c r="CI596" i="10"/>
  <c r="CH596" i="10"/>
  <c r="CJ596" i="10"/>
  <c r="CG596" i="10"/>
  <c r="AO392" i="7"/>
  <c r="AM392" i="10"/>
  <c r="AN392" i="10" s="1"/>
  <c r="AP392" i="10" s="1"/>
  <c r="AO392" i="3"/>
  <c r="AM392" i="7"/>
  <c r="AP392" i="3" s="1"/>
  <c r="K129" i="34"/>
  <c r="CC627" i="10"/>
  <c r="CB627" i="10"/>
  <c r="CA627" i="10"/>
  <c r="BZ627" i="10"/>
  <c r="CR627" i="10"/>
  <c r="P129" i="34" s="1"/>
  <c r="K145" i="34"/>
  <c r="BZ643" i="10"/>
  <c r="CD643" i="10" s="1"/>
  <c r="CB643" i="10"/>
  <c r="CC643" i="10"/>
  <c r="CA643" i="10"/>
  <c r="CR643" i="10"/>
  <c r="P145" i="34" s="1"/>
  <c r="AW325" i="3"/>
  <c r="D313" i="8"/>
  <c r="O313" i="8" s="1"/>
  <c r="AO254" i="7"/>
  <c r="AM254" i="7"/>
  <c r="AP254" i="3" s="1"/>
  <c r="AO254" i="3"/>
  <c r="AM254" i="10"/>
  <c r="AN254" i="10" s="1"/>
  <c r="AP254" i="10" s="1"/>
  <c r="AR37" i="10"/>
  <c r="AQ37" i="10"/>
  <c r="K51" i="34"/>
  <c r="CB549" i="10"/>
  <c r="CA549" i="10"/>
  <c r="CC549" i="10"/>
  <c r="BZ549" i="10"/>
  <c r="CD549" i="10" s="1"/>
  <c r="CR549" i="10"/>
  <c r="P51" i="34" s="1"/>
  <c r="CJ59" i="9"/>
  <c r="AM337" i="10"/>
  <c r="AN337" i="10" s="1"/>
  <c r="AP337" i="10" s="1"/>
  <c r="AO337" i="3"/>
  <c r="AO337" i="7"/>
  <c r="AM337" i="7"/>
  <c r="AP337" i="3" s="1"/>
  <c r="AO82" i="3"/>
  <c r="AO82" i="7"/>
  <c r="AM82" i="7"/>
  <c r="AP82" i="3" s="1"/>
  <c r="AM82" i="10"/>
  <c r="AN82" i="10" s="1"/>
  <c r="AP82" i="10" s="1"/>
  <c r="K128" i="34"/>
  <c r="CB626" i="10"/>
  <c r="CC626" i="10"/>
  <c r="CA626" i="10"/>
  <c r="BZ626" i="10"/>
  <c r="CD626" i="10" s="1"/>
  <c r="CR626" i="10"/>
  <c r="P128" i="34" s="1"/>
  <c r="AM60" i="10"/>
  <c r="AN60" i="10" s="1"/>
  <c r="AP60" i="10" s="1"/>
  <c r="AO60" i="3"/>
  <c r="AM60" i="7"/>
  <c r="AP60" i="3" s="1"/>
  <c r="AO60" i="7"/>
  <c r="G19" i="8"/>
  <c r="O19" i="8"/>
  <c r="I19" i="8"/>
  <c r="BP759" i="10"/>
  <c r="AO284" i="7"/>
  <c r="AM284" i="7"/>
  <c r="AP284" i="3" s="1"/>
  <c r="AO284" i="3"/>
  <c r="AM284" i="10"/>
  <c r="AN284" i="10" s="1"/>
  <c r="AP284" i="10" s="1"/>
  <c r="BP559" i="10"/>
  <c r="J276" i="34"/>
  <c r="CK774" i="10"/>
  <c r="CH774" i="10"/>
  <c r="CI774" i="10"/>
  <c r="CJ774" i="10"/>
  <c r="CG774" i="10"/>
  <c r="CF774" i="10"/>
  <c r="CL774" i="10" s="1"/>
  <c r="C79" i="14"/>
  <c r="C78" i="14"/>
  <c r="C77" i="14"/>
  <c r="AO360" i="7"/>
  <c r="AM360" i="7"/>
  <c r="AP360" i="3" s="1"/>
  <c r="AM360" i="10"/>
  <c r="AN360" i="10" s="1"/>
  <c r="AP360" i="10" s="1"/>
  <c r="AO360" i="3"/>
  <c r="K138" i="34"/>
  <c r="CB636" i="10"/>
  <c r="CC636" i="10"/>
  <c r="CA636" i="10"/>
  <c r="BZ636" i="10"/>
  <c r="CD636" i="10" s="1"/>
  <c r="CR636" i="10"/>
  <c r="P138" i="34" s="1"/>
  <c r="AM187" i="10"/>
  <c r="AN187" i="10" s="1"/>
  <c r="AP187" i="10" s="1"/>
  <c r="AO187" i="3"/>
  <c r="AO187" i="7"/>
  <c r="AM187" i="7"/>
  <c r="AP187" i="3" s="1"/>
  <c r="BP622" i="10"/>
  <c r="J51" i="34"/>
  <c r="CK549" i="10"/>
  <c r="CG549" i="10"/>
  <c r="CH549" i="10"/>
  <c r="CI549" i="10"/>
  <c r="CJ549" i="10"/>
  <c r="CF549" i="10"/>
  <c r="CL549" i="10" s="1"/>
  <c r="CD724" i="10"/>
  <c r="K273" i="34"/>
  <c r="CC771" i="10"/>
  <c r="CB771" i="10"/>
  <c r="BZ771" i="10"/>
  <c r="CD771" i="10" s="1"/>
  <c r="CA771" i="10"/>
  <c r="CR771" i="10"/>
  <c r="P273" i="34" s="1"/>
  <c r="J25" i="35"/>
  <c r="CP28" i="9"/>
  <c r="CO28" i="9"/>
  <c r="CN28" i="9"/>
  <c r="CM28" i="9"/>
  <c r="CL28" i="9"/>
  <c r="CQ28" i="9" s="1"/>
  <c r="CX28" i="9"/>
  <c r="O25" i="35" s="1"/>
  <c r="CD655" i="10"/>
  <c r="E276" i="8"/>
  <c r="BP877" i="10"/>
  <c r="AM125" i="10"/>
  <c r="AN125" i="10" s="1"/>
  <c r="AP125" i="10" s="1"/>
  <c r="AO125" i="7"/>
  <c r="AM125" i="7"/>
  <c r="AP125" i="3" s="1"/>
  <c r="AO125" i="3"/>
  <c r="AO80" i="7"/>
  <c r="AM80" i="7"/>
  <c r="AP80" i="3" s="1"/>
  <c r="AM80" i="10"/>
  <c r="AN80" i="10" s="1"/>
  <c r="AP80" i="10" s="1"/>
  <c r="AO80" i="3"/>
  <c r="CD656" i="10"/>
  <c r="O11" i="8"/>
  <c r="G11" i="8"/>
  <c r="I11" i="8"/>
  <c r="CD528" i="10"/>
  <c r="BP627" i="10"/>
  <c r="CD634" i="10"/>
  <c r="CD760" i="10"/>
  <c r="K348" i="34"/>
  <c r="CC846" i="10"/>
  <c r="BZ846" i="10"/>
  <c r="CD846" i="10" s="1"/>
  <c r="CB846" i="10"/>
  <c r="CA846" i="10"/>
  <c r="CR846" i="10"/>
  <c r="P348" i="34" s="1"/>
  <c r="CD836" i="10"/>
  <c r="AV325" i="3"/>
  <c r="B29" i="4"/>
  <c r="C313" i="8"/>
  <c r="AM222" i="10"/>
  <c r="AN222" i="10" s="1"/>
  <c r="AP222" i="10" s="1"/>
  <c r="AM222" i="7"/>
  <c r="AP222" i="3" s="1"/>
  <c r="AO222" i="3"/>
  <c r="AO222" i="7"/>
  <c r="J168" i="34"/>
  <c r="CH666" i="10"/>
  <c r="CI666" i="10"/>
  <c r="CJ666" i="10"/>
  <c r="CK666" i="10"/>
  <c r="CF666" i="10"/>
  <c r="CL666" i="10" s="1"/>
  <c r="CG666" i="10"/>
  <c r="AM362" i="7"/>
  <c r="AP362" i="3" s="1"/>
  <c r="AM362" i="10"/>
  <c r="AN362" i="10" s="1"/>
  <c r="AP362" i="10" s="1"/>
  <c r="AO362" i="3"/>
  <c r="AO362" i="7"/>
  <c r="AM131" i="10"/>
  <c r="AN131" i="10" s="1"/>
  <c r="AP131" i="10" s="1"/>
  <c r="AM131" i="7"/>
  <c r="AP131" i="3" s="1"/>
  <c r="AO131" i="7"/>
  <c r="AO131" i="3"/>
  <c r="AM22" i="7"/>
  <c r="AP22" i="3" s="1"/>
  <c r="AO22" i="7"/>
  <c r="AO22" i="3"/>
  <c r="AM22" i="10"/>
  <c r="AN22" i="10" s="1"/>
  <c r="AP22" i="10" s="1"/>
  <c r="AM148" i="10"/>
  <c r="AN148" i="10" s="1"/>
  <c r="AP148" i="10" s="1"/>
  <c r="AO148" i="7"/>
  <c r="AM148" i="7"/>
  <c r="AP148" i="3" s="1"/>
  <c r="AO148" i="3"/>
  <c r="BP591" i="10"/>
  <c r="AM243" i="10"/>
  <c r="AN243" i="10" s="1"/>
  <c r="AP243" i="10" s="1"/>
  <c r="AO243" i="3"/>
  <c r="AM243" i="7"/>
  <c r="AP243" i="3" s="1"/>
  <c r="AO243" i="7"/>
  <c r="CD822" i="10"/>
  <c r="K133" i="34"/>
  <c r="CA631" i="10"/>
  <c r="CC631" i="10"/>
  <c r="CB631" i="10"/>
  <c r="CR631" i="10"/>
  <c r="P133" i="34" s="1"/>
  <c r="BZ631" i="10"/>
  <c r="CD631" i="10" s="1"/>
  <c r="J422" i="34"/>
  <c r="CF920" i="10"/>
  <c r="CL920" i="10" s="1"/>
  <c r="CK920" i="10"/>
  <c r="CJ920" i="10"/>
  <c r="CI920" i="10"/>
  <c r="CH920" i="10"/>
  <c r="CG920" i="10"/>
  <c r="AM406" i="10"/>
  <c r="AN406" i="10" s="1"/>
  <c r="AP406" i="10" s="1"/>
  <c r="AM406" i="7"/>
  <c r="AP406" i="3" s="1"/>
  <c r="AO406" i="7"/>
  <c r="AO406" i="3"/>
  <c r="CD538" i="10"/>
  <c r="CD574" i="10"/>
  <c r="J846" i="10"/>
  <c r="CD622" i="10"/>
  <c r="AO367" i="7"/>
  <c r="AO367" i="3"/>
  <c r="AM367" i="7"/>
  <c r="AP367" i="3" s="1"/>
  <c r="AM367" i="10"/>
  <c r="AN367" i="10" s="1"/>
  <c r="AP367" i="10" s="1"/>
  <c r="AM274" i="10"/>
  <c r="AN274" i="10" s="1"/>
  <c r="AP274" i="10" s="1"/>
  <c r="AO274" i="3"/>
  <c r="AM274" i="7"/>
  <c r="AP274" i="3" s="1"/>
  <c r="AO274" i="7"/>
  <c r="AR351" i="10"/>
  <c r="AQ351" i="10"/>
  <c r="CD907" i="10"/>
  <c r="I218" i="8"/>
  <c r="E135" i="8"/>
  <c r="E133" i="8"/>
  <c r="E131" i="8"/>
  <c r="E129" i="8"/>
  <c r="E127" i="8"/>
  <c r="E125" i="8"/>
  <c r="E123" i="8"/>
  <c r="E121" i="8"/>
  <c r="E119" i="8"/>
  <c r="E126" i="8"/>
  <c r="E128" i="8"/>
  <c r="E134" i="8"/>
  <c r="E120" i="8"/>
  <c r="E130" i="8"/>
  <c r="E132" i="8"/>
  <c r="E122" i="8"/>
  <c r="E124" i="8"/>
  <c r="AM261" i="10"/>
  <c r="AN261" i="10" s="1"/>
  <c r="AP261" i="10" s="1"/>
  <c r="AO261" i="3"/>
  <c r="AO261" i="7"/>
  <c r="AM261" i="7"/>
  <c r="AP261" i="3" s="1"/>
  <c r="AP145" i="10"/>
  <c r="BP755" i="10"/>
  <c r="AQ316" i="10"/>
  <c r="AR316" i="10"/>
  <c r="J132" i="34"/>
  <c r="CH630" i="10"/>
  <c r="CI630" i="10"/>
  <c r="CG630" i="10"/>
  <c r="CJ630" i="10"/>
  <c r="CF630" i="10"/>
  <c r="CL630" i="10" s="1"/>
  <c r="CK630" i="10"/>
  <c r="AR245" i="10"/>
  <c r="AQ245" i="10"/>
  <c r="AM161" i="10"/>
  <c r="AN161" i="10" s="1"/>
  <c r="AP161" i="10" s="1"/>
  <c r="AO161" i="7"/>
  <c r="AM161" i="7"/>
  <c r="AP161" i="3" s="1"/>
  <c r="AO161" i="3"/>
  <c r="K101" i="34"/>
  <c r="CA599" i="10"/>
  <c r="BZ599" i="10"/>
  <c r="CD599" i="10" s="1"/>
  <c r="CC599" i="10"/>
  <c r="CB599" i="10"/>
  <c r="CR599" i="10"/>
  <c r="P101" i="34" s="1"/>
  <c r="AM332" i="10"/>
  <c r="AN332" i="10" s="1"/>
  <c r="AP332" i="10" s="1"/>
  <c r="AM332" i="7"/>
  <c r="AP332" i="3" s="1"/>
  <c r="AO332" i="3"/>
  <c r="AO332" i="7"/>
  <c r="AM322" i="10"/>
  <c r="AN322" i="10" s="1"/>
  <c r="AP322" i="10" s="1"/>
  <c r="AO322" i="7"/>
  <c r="AM322" i="7"/>
  <c r="AP322" i="3" s="1"/>
  <c r="AO322" i="3"/>
  <c r="BP605" i="10"/>
  <c r="AM180" i="10"/>
  <c r="AN180" i="10" s="1"/>
  <c r="AP180" i="10" s="1"/>
  <c r="AO180" i="3"/>
  <c r="AO180" i="7"/>
  <c r="AM180" i="7"/>
  <c r="AP180" i="3" s="1"/>
  <c r="K265" i="34"/>
  <c r="CC763" i="10"/>
  <c r="CB763" i="10"/>
  <c r="BZ763" i="10"/>
  <c r="CA763" i="10"/>
  <c r="CR763" i="10"/>
  <c r="P265" i="34" s="1"/>
  <c r="AM311" i="10"/>
  <c r="AN311" i="10" s="1"/>
  <c r="AP311" i="10" s="1"/>
  <c r="AO311" i="3"/>
  <c r="AO311" i="7"/>
  <c r="AM311" i="7"/>
  <c r="AP311" i="3" s="1"/>
  <c r="BP907" i="10"/>
  <c r="AM121" i="10"/>
  <c r="AN121" i="10" s="1"/>
  <c r="AP121" i="10" s="1"/>
  <c r="AO121" i="7"/>
  <c r="AO121" i="3"/>
  <c r="AM121" i="7"/>
  <c r="AP121" i="3" s="1"/>
  <c r="J625" i="10"/>
  <c r="CD895" i="10"/>
  <c r="CX65" i="9"/>
  <c r="O62" i="35" s="1"/>
  <c r="AM203" i="7"/>
  <c r="AP203" i="3" s="1"/>
  <c r="AM203" i="10"/>
  <c r="AN203" i="10" s="1"/>
  <c r="AP203" i="10" s="1"/>
  <c r="AO203" i="7"/>
  <c r="AO203" i="3"/>
  <c r="AM420" i="10"/>
  <c r="AN420" i="10" s="1"/>
  <c r="AP420" i="10" s="1"/>
  <c r="AO420" i="3"/>
  <c r="AM420" i="7"/>
  <c r="AP420" i="3" s="1"/>
  <c r="AO420" i="7"/>
  <c r="AM65" i="10"/>
  <c r="AN65" i="10" s="1"/>
  <c r="AP65" i="10" s="1"/>
  <c r="AO65" i="3"/>
  <c r="AO65" i="7"/>
  <c r="AM65" i="7"/>
  <c r="AP65" i="3" s="1"/>
  <c r="AR116" i="10"/>
  <c r="AQ116" i="10"/>
  <c r="AM69" i="10"/>
  <c r="AN69" i="10" s="1"/>
  <c r="AP69" i="10" s="1"/>
  <c r="AO69" i="7"/>
  <c r="AM69" i="7"/>
  <c r="AP69" i="3" s="1"/>
  <c r="AO69" i="3"/>
  <c r="AM344" i="10"/>
  <c r="AN344" i="10" s="1"/>
  <c r="AP344" i="10" s="1"/>
  <c r="AO344" i="3"/>
  <c r="AO344" i="7"/>
  <c r="AM344" i="7"/>
  <c r="AP344" i="3" s="1"/>
  <c r="AM41" i="10"/>
  <c r="AN41" i="10" s="1"/>
  <c r="AP41" i="10" s="1"/>
  <c r="AO41" i="3"/>
  <c r="AO41" i="7"/>
  <c r="AM41" i="7"/>
  <c r="AP41" i="3" s="1"/>
  <c r="J2" i="34"/>
  <c r="D158" i="22"/>
  <c r="E158" i="22" s="1"/>
  <c r="CG500" i="10"/>
  <c r="CK500" i="10"/>
  <c r="CH500" i="10"/>
  <c r="CJ500" i="10"/>
  <c r="CI500" i="10"/>
  <c r="CF500" i="10"/>
  <c r="CL500" i="10" s="1"/>
  <c r="AM313" i="7"/>
  <c r="AP313" i="3" s="1"/>
  <c r="AO313" i="3"/>
  <c r="AO313" i="7"/>
  <c r="AM313" i="10"/>
  <c r="AN313" i="10" s="1"/>
  <c r="AP313" i="10" s="1"/>
  <c r="E228" i="8"/>
  <c r="C228" i="8"/>
  <c r="BP811" i="10"/>
  <c r="AM382" i="7"/>
  <c r="AP382" i="3" s="1"/>
  <c r="AM382" i="10"/>
  <c r="AN382" i="10" s="1"/>
  <c r="AP382" i="10" s="1"/>
  <c r="AO382" i="7"/>
  <c r="AO382" i="3"/>
  <c r="AO39" i="3"/>
  <c r="AM39" i="7"/>
  <c r="AP39" i="3" s="1"/>
  <c r="AO39" i="7"/>
  <c r="AM39" i="10"/>
  <c r="AN39" i="10" s="1"/>
  <c r="AP39" i="10" s="1"/>
  <c r="CD684" i="10"/>
  <c r="AM33" i="10"/>
  <c r="AN33" i="10" s="1"/>
  <c r="AP33" i="10" s="1"/>
  <c r="AM33" i="7"/>
  <c r="AP33" i="3" s="1"/>
  <c r="AO33" i="3"/>
  <c r="AO33" i="7"/>
  <c r="AR271" i="10"/>
  <c r="AQ271" i="10"/>
  <c r="AR175" i="10"/>
  <c r="AQ175" i="10"/>
  <c r="CD560" i="10"/>
  <c r="AM43" i="10"/>
  <c r="AN43" i="10" s="1"/>
  <c r="AP43" i="10" s="1"/>
  <c r="AO43" i="3"/>
  <c r="AO43" i="7"/>
  <c r="AM43" i="7"/>
  <c r="AP43" i="3" s="1"/>
  <c r="CJ55" i="9"/>
  <c r="K60" i="34"/>
  <c r="CA558" i="10"/>
  <c r="BZ558" i="10"/>
  <c r="CD558" i="10" s="1"/>
  <c r="CR558" i="10"/>
  <c r="P60" i="34" s="1"/>
  <c r="CB558" i="10"/>
  <c r="CC558" i="10"/>
  <c r="AO319" i="7"/>
  <c r="AM319" i="10"/>
  <c r="AN319" i="10" s="1"/>
  <c r="AP319" i="10" s="1"/>
  <c r="AM319" i="7"/>
  <c r="AP319" i="3" s="1"/>
  <c r="AO319" i="3"/>
  <c r="J341" i="34"/>
  <c r="CH839" i="10"/>
  <c r="CG839" i="10"/>
  <c r="CF839" i="10"/>
  <c r="CL839" i="10" s="1"/>
  <c r="CK839" i="10"/>
  <c r="CJ839" i="10"/>
  <c r="CI839" i="10"/>
  <c r="AM141" i="7"/>
  <c r="AP141" i="3" s="1"/>
  <c r="AM141" i="10"/>
  <c r="AN141" i="10" s="1"/>
  <c r="AP141" i="10" s="1"/>
  <c r="AO141" i="7"/>
  <c r="AO141" i="3"/>
  <c r="AM321" i="10"/>
  <c r="AN321" i="10" s="1"/>
  <c r="AP321" i="10" s="1"/>
  <c r="AO321" i="3"/>
  <c r="AM321" i="7"/>
  <c r="AP321" i="3" s="1"/>
  <c r="AO321" i="7"/>
  <c r="J860" i="10"/>
  <c r="AM26" i="10"/>
  <c r="AN26" i="10" s="1"/>
  <c r="AP26" i="10" s="1"/>
  <c r="AM26" i="7"/>
  <c r="AP26" i="3" s="1"/>
  <c r="AO26" i="7"/>
  <c r="AO26" i="3"/>
  <c r="AM104" i="10"/>
  <c r="AN104" i="10" s="1"/>
  <c r="AP104" i="10" s="1"/>
  <c r="AO104" i="3"/>
  <c r="AO104" i="7"/>
  <c r="AM104" i="7"/>
  <c r="AP104" i="3" s="1"/>
  <c r="O21" i="8"/>
  <c r="G21" i="8"/>
  <c r="I21" i="8"/>
  <c r="AO133" i="7"/>
  <c r="AM133" i="10"/>
  <c r="AN133" i="10" s="1"/>
  <c r="AP133" i="10" s="1"/>
  <c r="AM133" i="7"/>
  <c r="AP133" i="3" s="1"/>
  <c r="AO133" i="3"/>
  <c r="K268" i="34"/>
  <c r="CC766" i="10"/>
  <c r="BZ766" i="10"/>
  <c r="CD766" i="10" s="1"/>
  <c r="CB766" i="10"/>
  <c r="CA766" i="10"/>
  <c r="CR766" i="10"/>
  <c r="P268" i="34" s="1"/>
  <c r="E275" i="8"/>
  <c r="CD519" i="10"/>
  <c r="CR791" i="10"/>
  <c r="P293" i="34" s="1"/>
  <c r="BR524" i="10" l="1"/>
  <c r="AQ204" i="10"/>
  <c r="AQ293" i="10"/>
  <c r="J802" i="10"/>
  <c r="BF802" i="10" s="1"/>
  <c r="BH802" i="10" s="1"/>
  <c r="J512" i="10"/>
  <c r="L512" i="10" s="1"/>
  <c r="BR588" i="10"/>
  <c r="J608" i="10"/>
  <c r="J867" i="10"/>
  <c r="BR696" i="10"/>
  <c r="BR637" i="10"/>
  <c r="J603" i="10"/>
  <c r="BR699" i="10"/>
  <c r="BF844" i="10"/>
  <c r="BH844" i="10" s="1"/>
  <c r="AQ77" i="10"/>
  <c r="J883" i="10"/>
  <c r="BF883" i="10" s="1"/>
  <c r="BH883" i="10" s="1"/>
  <c r="J761" i="10"/>
  <c r="BF761" i="10" s="1"/>
  <c r="BH761" i="10" s="1"/>
  <c r="AQ135" i="10"/>
  <c r="J678" i="10"/>
  <c r="L678" i="10" s="1"/>
  <c r="J13" i="17"/>
  <c r="N13" i="17" s="1"/>
  <c r="BR725" i="10"/>
  <c r="BR549" i="10"/>
  <c r="L543" i="10"/>
  <c r="M543" i="10" s="1"/>
  <c r="BR868" i="10"/>
  <c r="J827" i="10"/>
  <c r="J16" i="17"/>
  <c r="J18" i="17"/>
  <c r="BR703" i="10"/>
  <c r="J11" i="17"/>
  <c r="J571" i="10"/>
  <c r="F73" i="14"/>
  <c r="BR556" i="10"/>
  <c r="AQ338" i="10"/>
  <c r="AQ308" i="7"/>
  <c r="AT308" i="3" s="1"/>
  <c r="AR232" i="7"/>
  <c r="AU232" i="3" s="1"/>
  <c r="AQ232" i="7"/>
  <c r="AT232" i="3" s="1"/>
  <c r="AR308" i="7"/>
  <c r="AU308" i="3" s="1"/>
  <c r="AQ253" i="10"/>
  <c r="J569" i="10"/>
  <c r="BF569" i="10" s="1"/>
  <c r="BH569" i="10" s="1"/>
  <c r="BR672" i="10"/>
  <c r="BR578" i="10"/>
  <c r="J781" i="10"/>
  <c r="BF781" i="10" s="1"/>
  <c r="BH781" i="10" s="1"/>
  <c r="AR374" i="10"/>
  <c r="AR314" i="10"/>
  <c r="BR542" i="10"/>
  <c r="AR115" i="10"/>
  <c r="AR282" i="10"/>
  <c r="AQ75" i="10"/>
  <c r="AR383" i="10"/>
  <c r="AR276" i="10"/>
  <c r="L647" i="10"/>
  <c r="J798" i="10"/>
  <c r="AQ234" i="10"/>
  <c r="AR399" i="10"/>
  <c r="J799" i="10"/>
  <c r="BR684" i="10"/>
  <c r="F71" i="14"/>
  <c r="J807" i="10"/>
  <c r="L807" i="10" s="1"/>
  <c r="J537" i="10"/>
  <c r="L660" i="10"/>
  <c r="M660" i="10" s="1"/>
  <c r="AQ279" i="10"/>
  <c r="L868" i="10"/>
  <c r="M868" i="10" s="1"/>
  <c r="BF555" i="10"/>
  <c r="BH555" i="10" s="1"/>
  <c r="BR680" i="10"/>
  <c r="J656" i="10"/>
  <c r="BF656" i="10" s="1"/>
  <c r="BH656" i="10" s="1"/>
  <c r="BR844" i="10"/>
  <c r="K7" i="17"/>
  <c r="N7" i="17" s="1"/>
  <c r="AR352" i="10"/>
  <c r="J633" i="10"/>
  <c r="BR660" i="10"/>
  <c r="AR214" i="10"/>
  <c r="J850" i="10"/>
  <c r="BF850" i="10" s="1"/>
  <c r="BH850" i="10" s="1"/>
  <c r="AQ102" i="10"/>
  <c r="BR888" i="10"/>
  <c r="J888" i="10"/>
  <c r="BF863" i="10"/>
  <c r="BH863" i="10" s="1"/>
  <c r="L863" i="10"/>
  <c r="M863" i="10" s="1"/>
  <c r="J520" i="10"/>
  <c r="BF520" i="10" s="1"/>
  <c r="BH520" i="10" s="1"/>
  <c r="BF696" i="10"/>
  <c r="BH696" i="10" s="1"/>
  <c r="BR543" i="10"/>
  <c r="L501" i="10"/>
  <c r="M501" i="10" s="1"/>
  <c r="BF501" i="10"/>
  <c r="BH501" i="10" s="1"/>
  <c r="BR760" i="10"/>
  <c r="N16" i="17"/>
  <c r="J733" i="10"/>
  <c r="BF733" i="10" s="1"/>
  <c r="BH733" i="10" s="1"/>
  <c r="L22" i="28"/>
  <c r="J657" i="10"/>
  <c r="BF657" i="10" s="1"/>
  <c r="BH657" i="10" s="1"/>
  <c r="BR649" i="10"/>
  <c r="BR518" i="10"/>
  <c r="J778" i="10"/>
  <c r="AR171" i="10"/>
  <c r="J858" i="10"/>
  <c r="BR889" i="10"/>
  <c r="N18" i="17"/>
  <c r="J508" i="10"/>
  <c r="BF508" i="10" s="1"/>
  <c r="BH508" i="10" s="1"/>
  <c r="J715" i="10"/>
  <c r="L715" i="10" s="1"/>
  <c r="J563" i="10"/>
  <c r="BF563" i="10" s="1"/>
  <c r="BH563" i="10" s="1"/>
  <c r="AR192" i="3"/>
  <c r="AR312" i="10"/>
  <c r="AQ146" i="10"/>
  <c r="AQ143" i="10"/>
  <c r="AQ192" i="7"/>
  <c r="AT192" i="3" s="1"/>
  <c r="J714" i="10"/>
  <c r="BF714" i="10" s="1"/>
  <c r="BH714" i="10" s="1"/>
  <c r="AR195" i="10"/>
  <c r="AR328" i="10"/>
  <c r="AQ364" i="10"/>
  <c r="BR694" i="10"/>
  <c r="BF824" i="10"/>
  <c r="BH824" i="10" s="1"/>
  <c r="J623" i="10"/>
  <c r="L623" i="10" s="1"/>
  <c r="AR173" i="10"/>
  <c r="AQ381" i="10"/>
  <c r="L584" i="10"/>
  <c r="AQ232" i="10"/>
  <c r="L852" i="10"/>
  <c r="J775" i="10"/>
  <c r="L775" i="10" s="1"/>
  <c r="J579" i="10"/>
  <c r="L579" i="10" s="1"/>
  <c r="J762" i="10"/>
  <c r="BF762" i="10" s="1"/>
  <c r="BH762" i="10" s="1"/>
  <c r="J838" i="10"/>
  <c r="L838" i="10" s="1"/>
  <c r="J704" i="10"/>
  <c r="L704" i="10" s="1"/>
  <c r="J609" i="10"/>
  <c r="AR49" i="10"/>
  <c r="AR370" i="10"/>
  <c r="AR88" i="10"/>
  <c r="AR288" i="10"/>
  <c r="J768" i="10"/>
  <c r="BF768" i="10" s="1"/>
  <c r="BH768" i="10" s="1"/>
  <c r="L721" i="10"/>
  <c r="M721" i="10" s="1"/>
  <c r="J523" i="10"/>
  <c r="BF598" i="10"/>
  <c r="BH598" i="10" s="1"/>
  <c r="BH721" i="10"/>
  <c r="BR718" i="10"/>
  <c r="J718" i="10"/>
  <c r="BR584" i="10"/>
  <c r="BR900" i="10"/>
  <c r="BR852" i="10"/>
  <c r="BR885" i="10"/>
  <c r="L32" i="28"/>
  <c r="BU508" i="10" s="1"/>
  <c r="L919" i="10"/>
  <c r="M919" i="10" s="1"/>
  <c r="J741" i="10"/>
  <c r="BF741" i="10" s="1"/>
  <c r="BH741" i="10" s="1"/>
  <c r="BR892" i="10"/>
  <c r="BR919" i="10"/>
  <c r="J908" i="10"/>
  <c r="L908" i="10" s="1"/>
  <c r="J898" i="10"/>
  <c r="AR62" i="7"/>
  <c r="AU62" i="3" s="1"/>
  <c r="AR409" i="10"/>
  <c r="AR46" i="10"/>
  <c r="BR606" i="10"/>
  <c r="L792" i="10"/>
  <c r="M792" i="10" s="1"/>
  <c r="BR626" i="10"/>
  <c r="L694" i="10"/>
  <c r="M694" i="10" s="1"/>
  <c r="L761" i="10"/>
  <c r="M761" i="10" s="1"/>
  <c r="AR62" i="3"/>
  <c r="AR278" i="3"/>
  <c r="J869" i="10"/>
  <c r="L869" i="10" s="1"/>
  <c r="M869" i="10" s="1"/>
  <c r="BR515" i="10"/>
  <c r="BR806" i="10"/>
  <c r="BF672" i="10"/>
  <c r="BH672" i="10" s="1"/>
  <c r="AR278" i="7"/>
  <c r="AU278" i="3" s="1"/>
  <c r="L806" i="10"/>
  <c r="AQ355" i="10"/>
  <c r="J12" i="17"/>
  <c r="BR780" i="10"/>
  <c r="J780" i="10"/>
  <c r="L892" i="10"/>
  <c r="M892" i="10" s="1"/>
  <c r="L805" i="10"/>
  <c r="M805" i="10" s="1"/>
  <c r="L900" i="10"/>
  <c r="M900" i="10" s="1"/>
  <c r="F83" i="14"/>
  <c r="J572" i="10"/>
  <c r="BF572" i="10" s="1"/>
  <c r="BH572" i="10" s="1"/>
  <c r="BR922" i="10"/>
  <c r="J922" i="10"/>
  <c r="BF891" i="10"/>
  <c r="BH891" i="10" s="1"/>
  <c r="L891" i="10"/>
  <c r="M891" i="10" s="1"/>
  <c r="BF828" i="10"/>
  <c r="BH828" i="10" s="1"/>
  <c r="L828" i="10"/>
  <c r="M828" i="10" s="1"/>
  <c r="AR248" i="10"/>
  <c r="AQ248" i="10"/>
  <c r="AQ280" i="10"/>
  <c r="AR263" i="10"/>
  <c r="BR769" i="10"/>
  <c r="J769" i="10"/>
  <c r="BR772" i="10"/>
  <c r="J772" i="10"/>
  <c r="AR62" i="10"/>
  <c r="L303" i="8"/>
  <c r="J685" i="10"/>
  <c r="L685" i="10" s="1"/>
  <c r="L658" i="10"/>
  <c r="M658" i="10" s="1"/>
  <c r="G303" i="8"/>
  <c r="N303" i="8" s="1"/>
  <c r="J673" i="10"/>
  <c r="L673" i="10" s="1"/>
  <c r="M303" i="8"/>
  <c r="N12" i="17"/>
  <c r="BF655" i="10"/>
  <c r="BH655" i="10" s="1"/>
  <c r="BR878" i="10"/>
  <c r="J878" i="10"/>
  <c r="BR658" i="10"/>
  <c r="AQ250" i="10"/>
  <c r="L744" i="10"/>
  <c r="M744" i="10" s="1"/>
  <c r="L866" i="10"/>
  <c r="M866" i="10" s="1"/>
  <c r="BR828" i="10"/>
  <c r="L9" i="28"/>
  <c r="BU897" i="10" s="1"/>
  <c r="L35" i="28"/>
  <c r="BR836" i="10"/>
  <c r="J836" i="10"/>
  <c r="J574" i="10"/>
  <c r="BF574" i="10" s="1"/>
  <c r="BH574" i="10" s="1"/>
  <c r="J727" i="10"/>
  <c r="L727" i="10" s="1"/>
  <c r="J834" i="10"/>
  <c r="J590" i="10"/>
  <c r="L590" i="10" s="1"/>
  <c r="BR793" i="10"/>
  <c r="J793" i="10"/>
  <c r="BR920" i="10"/>
  <c r="J920" i="10"/>
  <c r="BR754" i="10"/>
  <c r="J754" i="10"/>
  <c r="BR906" i="10"/>
  <c r="J906" i="10"/>
  <c r="E77" i="8"/>
  <c r="BR530" i="10"/>
  <c r="J530" i="10"/>
  <c r="L505" i="10"/>
  <c r="M505" i="10" s="1"/>
  <c r="BR912" i="10"/>
  <c r="J912" i="10"/>
  <c r="BR557" i="10"/>
  <c r="J557" i="10"/>
  <c r="BR598" i="10"/>
  <c r="J568" i="10"/>
  <c r="L568" i="10" s="1"/>
  <c r="AR13" i="10"/>
  <c r="AQ415" i="10"/>
  <c r="J586" i="10"/>
  <c r="L586" i="10" s="1"/>
  <c r="J611" i="10"/>
  <c r="BF611" i="10" s="1"/>
  <c r="BH611" i="10" s="1"/>
  <c r="BR619" i="10"/>
  <c r="AQ137" i="10"/>
  <c r="BR612" i="10"/>
  <c r="J612" i="10"/>
  <c r="L19" i="28"/>
  <c r="BU541" i="10" s="1"/>
  <c r="AQ358" i="10"/>
  <c r="AR358" i="10"/>
  <c r="BR916" i="10"/>
  <c r="J916" i="10"/>
  <c r="BR785" i="10"/>
  <c r="J785" i="10"/>
  <c r="BR797" i="10"/>
  <c r="BR558" i="10"/>
  <c r="J558" i="10"/>
  <c r="BR866" i="10"/>
  <c r="AR209" i="10"/>
  <c r="BR505" i="10"/>
  <c r="L33" i="28"/>
  <c r="BU504" i="10" s="1"/>
  <c r="L7" i="28"/>
  <c r="BU696" i="10" s="1"/>
  <c r="L21" i="28"/>
  <c r="BU655" i="10" s="1"/>
  <c r="BR583" i="10"/>
  <c r="J583" i="10"/>
  <c r="J541" i="10"/>
  <c r="L541" i="10" s="1"/>
  <c r="J679" i="10"/>
  <c r="BF679" i="10" s="1"/>
  <c r="BH679" i="10" s="1"/>
  <c r="BF773" i="10"/>
  <c r="BH773" i="10" s="1"/>
  <c r="L12" i="28"/>
  <c r="BU827" i="10" s="1"/>
  <c r="J923" i="10"/>
  <c r="BF923" i="10" s="1"/>
  <c r="BH923" i="10" s="1"/>
  <c r="BF601" i="10"/>
  <c r="BH601" i="10" s="1"/>
  <c r="L601" i="10"/>
  <c r="M601" i="10" s="1"/>
  <c r="BF797" i="10"/>
  <c r="BH797" i="10" s="1"/>
  <c r="L797" i="10"/>
  <c r="M797" i="10" s="1"/>
  <c r="L23" i="28"/>
  <c r="BU743" i="10" s="1"/>
  <c r="BR631" i="10"/>
  <c r="J631" i="10"/>
  <c r="BR600" i="10"/>
  <c r="J600" i="10"/>
  <c r="J650" i="10"/>
  <c r="L650" i="10" s="1"/>
  <c r="L571" i="10"/>
  <c r="M571" i="10" s="1"/>
  <c r="BF571" i="10"/>
  <c r="BH571" i="10" s="1"/>
  <c r="J22" i="17"/>
  <c r="AR234" i="7"/>
  <c r="AU234" i="3" s="1"/>
  <c r="AQ292" i="10"/>
  <c r="AR292" i="10"/>
  <c r="BR595" i="10"/>
  <c r="J595" i="10"/>
  <c r="AR275" i="10"/>
  <c r="AQ275" i="10"/>
  <c r="BR513" i="10"/>
  <c r="J513" i="10"/>
  <c r="F77" i="14"/>
  <c r="J652" i="10"/>
  <c r="BF652" i="10" s="1"/>
  <c r="BH652" i="10" s="1"/>
  <c r="J544" i="10"/>
  <c r="L544" i="10" s="1"/>
  <c r="AQ234" i="7"/>
  <c r="AT234" i="3" s="1"/>
  <c r="F78" i="14"/>
  <c r="J747" i="10"/>
  <c r="L747" i="10" s="1"/>
  <c r="BR792" i="10"/>
  <c r="J893" i="10"/>
  <c r="BF893" i="10" s="1"/>
  <c r="BH893" i="10" s="1"/>
  <c r="J671" i="10"/>
  <c r="F79" i="14"/>
  <c r="AQ186" i="7"/>
  <c r="AT186" i="3" s="1"/>
  <c r="AR186" i="7"/>
  <c r="AU186" i="3" s="1"/>
  <c r="AR186" i="3"/>
  <c r="AR217" i="7"/>
  <c r="AU217" i="3" s="1"/>
  <c r="AQ217" i="7"/>
  <c r="AT217" i="3" s="1"/>
  <c r="AR217" i="3"/>
  <c r="BR899" i="10"/>
  <c r="J899" i="10"/>
  <c r="AR236" i="3"/>
  <c r="AR236" i="7"/>
  <c r="AU236" i="3" s="1"/>
  <c r="AQ236" i="7"/>
  <c r="AT236" i="3" s="1"/>
  <c r="BF541" i="10"/>
  <c r="BH541" i="10" s="1"/>
  <c r="AQ411" i="7"/>
  <c r="AT411" i="3" s="1"/>
  <c r="AR411" i="3"/>
  <c r="AR411" i="7"/>
  <c r="AU411" i="3" s="1"/>
  <c r="BR666" i="10"/>
  <c r="J666" i="10"/>
  <c r="L508" i="10"/>
  <c r="AQ19" i="10"/>
  <c r="AR19" i="10"/>
  <c r="AR53" i="3"/>
  <c r="AR53" i="7"/>
  <c r="AU53" i="3" s="1"/>
  <c r="AQ53" i="7"/>
  <c r="AT53" i="3" s="1"/>
  <c r="AR338" i="7"/>
  <c r="AU338" i="3" s="1"/>
  <c r="AR338" i="3"/>
  <c r="AQ338" i="7"/>
  <c r="AT338" i="3" s="1"/>
  <c r="L562" i="10"/>
  <c r="BF562" i="10"/>
  <c r="BH562" i="10" s="1"/>
  <c r="AR204" i="3"/>
  <c r="AR204" i="7"/>
  <c r="AU204" i="3" s="1"/>
  <c r="AQ204" i="7"/>
  <c r="AT204" i="3" s="1"/>
  <c r="AR86" i="3"/>
  <c r="AR86" i="7"/>
  <c r="AU86" i="3" s="1"/>
  <c r="AQ86" i="7"/>
  <c r="AT86" i="3" s="1"/>
  <c r="AQ65" i="10"/>
  <c r="AR65" i="10"/>
  <c r="AR129" i="7"/>
  <c r="AU129" i="3" s="1"/>
  <c r="AR129" i="3"/>
  <c r="AQ129" i="7"/>
  <c r="AT129" i="3" s="1"/>
  <c r="BR529" i="10"/>
  <c r="J529" i="10"/>
  <c r="BR635" i="10"/>
  <c r="J635" i="10"/>
  <c r="BR642" i="10"/>
  <c r="J642" i="10"/>
  <c r="O11" i="4"/>
  <c r="F17" i="4"/>
  <c r="R11" i="4" s="1"/>
  <c r="D17" i="4"/>
  <c r="BR849" i="10"/>
  <c r="J849" i="10"/>
  <c r="AR10" i="3"/>
  <c r="AR10" i="7"/>
  <c r="AU10" i="3" s="1"/>
  <c r="AQ10" i="7"/>
  <c r="AT10" i="3" s="1"/>
  <c r="L637" i="10"/>
  <c r="BF637" i="10"/>
  <c r="BH637" i="10" s="1"/>
  <c r="AQ272" i="10"/>
  <c r="AR272" i="10"/>
  <c r="AR77" i="7"/>
  <c r="AU77" i="3" s="1"/>
  <c r="AR77" i="3"/>
  <c r="AQ77" i="7"/>
  <c r="AT77" i="3" s="1"/>
  <c r="AR382" i="7"/>
  <c r="AU382" i="3" s="1"/>
  <c r="AQ382" i="7"/>
  <c r="AT382" i="3" s="1"/>
  <c r="AR382" i="3"/>
  <c r="AR177" i="10"/>
  <c r="AQ177" i="10"/>
  <c r="BR554" i="10"/>
  <c r="J554" i="10"/>
  <c r="L592" i="10"/>
  <c r="BF592" i="10"/>
  <c r="BH592" i="10" s="1"/>
  <c r="BR917" i="10"/>
  <c r="J917" i="10"/>
  <c r="AQ295" i="10"/>
  <c r="AR295" i="10"/>
  <c r="AR235" i="3"/>
  <c r="AR235" i="7"/>
  <c r="AU235" i="3" s="1"/>
  <c r="AQ235" i="7"/>
  <c r="AT235" i="3" s="1"/>
  <c r="BR826" i="10"/>
  <c r="J826" i="10"/>
  <c r="AQ276" i="7"/>
  <c r="AT276" i="3" s="1"/>
  <c r="AR276" i="3"/>
  <c r="AR276" i="7"/>
  <c r="AU276" i="3" s="1"/>
  <c r="J17" i="17"/>
  <c r="K17" i="17"/>
  <c r="N17" i="17" s="1"/>
  <c r="L24" i="28"/>
  <c r="AQ129" i="10"/>
  <c r="AR129" i="10"/>
  <c r="AR423" i="10"/>
  <c r="AQ423" i="10"/>
  <c r="AR12" i="7"/>
  <c r="AU12" i="3" s="1"/>
  <c r="AQ12" i="7"/>
  <c r="AT12" i="3" s="1"/>
  <c r="AR12" i="3"/>
  <c r="AR264" i="10"/>
  <c r="AQ264" i="10"/>
  <c r="BR853" i="10"/>
  <c r="J853" i="10"/>
  <c r="AR417" i="3"/>
  <c r="AQ417" i="7"/>
  <c r="AT417" i="3" s="1"/>
  <c r="AR417" i="7"/>
  <c r="AU417" i="3" s="1"/>
  <c r="AR241" i="7"/>
  <c r="AU241" i="3" s="1"/>
  <c r="AQ241" i="7"/>
  <c r="AT241" i="3" s="1"/>
  <c r="AR241" i="3"/>
  <c r="AQ427" i="7"/>
  <c r="AT427" i="3" s="1"/>
  <c r="AR427" i="7"/>
  <c r="AU427" i="3" s="1"/>
  <c r="AR427" i="3"/>
  <c r="BR638" i="10"/>
  <c r="J638" i="10"/>
  <c r="BR840" i="10"/>
  <c r="J840" i="10"/>
  <c r="AR38" i="3"/>
  <c r="AQ38" i="7"/>
  <c r="AT38" i="3" s="1"/>
  <c r="AR38" i="7"/>
  <c r="AU38" i="3" s="1"/>
  <c r="AQ70" i="10"/>
  <c r="AR70" i="10"/>
  <c r="AQ235" i="10"/>
  <c r="AR235" i="10"/>
  <c r="AQ128" i="10"/>
  <c r="AR128" i="10"/>
  <c r="AR166" i="7"/>
  <c r="AU166" i="3" s="1"/>
  <c r="AQ166" i="7"/>
  <c r="AT166" i="3" s="1"/>
  <c r="AR166" i="3"/>
  <c r="AQ106" i="7"/>
  <c r="AT106" i="3" s="1"/>
  <c r="AR106" i="3"/>
  <c r="AR106" i="7"/>
  <c r="AU106" i="3" s="1"/>
  <c r="AR28" i="10"/>
  <c r="AQ28" i="10"/>
  <c r="BR701" i="10"/>
  <c r="J701" i="10"/>
  <c r="AR377" i="3"/>
  <c r="AQ377" i="7"/>
  <c r="AT377" i="3" s="1"/>
  <c r="AR377" i="7"/>
  <c r="AU377" i="3" s="1"/>
  <c r="AQ271" i="7"/>
  <c r="AT271" i="3" s="1"/>
  <c r="AR271" i="3"/>
  <c r="AR271" i="7"/>
  <c r="AU271" i="3" s="1"/>
  <c r="AR406" i="10"/>
  <c r="AQ406" i="10"/>
  <c r="AQ366" i="10"/>
  <c r="AR366" i="10"/>
  <c r="AR300" i="7"/>
  <c r="AU300" i="3" s="1"/>
  <c r="AQ300" i="7"/>
  <c r="AT300" i="3" s="1"/>
  <c r="AR300" i="3"/>
  <c r="C275" i="8"/>
  <c r="H6" i="8"/>
  <c r="BR818" i="10"/>
  <c r="J818" i="10"/>
  <c r="BR915" i="10"/>
  <c r="J915" i="10"/>
  <c r="BF896" i="10"/>
  <c r="BH896" i="10" s="1"/>
  <c r="L896" i="10"/>
  <c r="BF689" i="10"/>
  <c r="BH689" i="10" s="1"/>
  <c r="L689" i="10"/>
  <c r="BR722" i="10"/>
  <c r="J722" i="10"/>
  <c r="G304" i="8"/>
  <c r="K304" i="8"/>
  <c r="H78" i="8" s="1"/>
  <c r="M304" i="8"/>
  <c r="L304" i="8"/>
  <c r="E78" i="8"/>
  <c r="AR179" i="3"/>
  <c r="AR179" i="7"/>
  <c r="AU179" i="3" s="1"/>
  <c r="AQ179" i="7"/>
  <c r="AT179" i="3" s="1"/>
  <c r="AR412" i="7"/>
  <c r="AU412" i="3" s="1"/>
  <c r="AR412" i="3"/>
  <c r="AQ412" i="7"/>
  <c r="AT412" i="3" s="1"/>
  <c r="AR259" i="10"/>
  <c r="AQ259" i="10"/>
  <c r="AR43" i="7"/>
  <c r="AU43" i="3" s="1"/>
  <c r="AR43" i="3"/>
  <c r="AQ43" i="7"/>
  <c r="AT43" i="3" s="1"/>
  <c r="AQ148" i="10"/>
  <c r="AR148" i="10"/>
  <c r="AQ238" i="10"/>
  <c r="AR238" i="10"/>
  <c r="K315" i="8"/>
  <c r="H89" i="8" s="1"/>
  <c r="M315" i="8"/>
  <c r="L315" i="8"/>
  <c r="G315" i="8"/>
  <c r="E89" i="8"/>
  <c r="AQ68" i="7"/>
  <c r="AT68" i="3" s="1"/>
  <c r="AR68" i="7"/>
  <c r="AU68" i="3" s="1"/>
  <c r="AR68" i="3"/>
  <c r="AR90" i="7"/>
  <c r="AU90" i="3" s="1"/>
  <c r="AQ90" i="7"/>
  <c r="AT90" i="3" s="1"/>
  <c r="AR90" i="3"/>
  <c r="AQ285" i="10"/>
  <c r="AR285" i="10"/>
  <c r="M581" i="10"/>
  <c r="C283" i="8"/>
  <c r="H14" i="8"/>
  <c r="BF875" i="10"/>
  <c r="BH875" i="10" s="1"/>
  <c r="L875" i="10"/>
  <c r="BF817" i="10"/>
  <c r="BH817" i="10" s="1"/>
  <c r="L817" i="10"/>
  <c r="BR640" i="10"/>
  <c r="J640" i="10"/>
  <c r="BR654" i="10"/>
  <c r="J654" i="10"/>
  <c r="AQ209" i="7"/>
  <c r="AT209" i="3" s="1"/>
  <c r="AR209" i="3"/>
  <c r="AR209" i="7"/>
  <c r="AU209" i="3" s="1"/>
  <c r="AR22" i="10"/>
  <c r="AQ22" i="10"/>
  <c r="AR398" i="10"/>
  <c r="AQ398" i="10"/>
  <c r="AR320" i="3"/>
  <c r="AR320" i="7"/>
  <c r="AU320" i="3" s="1"/>
  <c r="AQ320" i="7"/>
  <c r="AT320" i="3" s="1"/>
  <c r="AR14" i="7"/>
  <c r="AU14" i="3" s="1"/>
  <c r="AQ14" i="7"/>
  <c r="AT14" i="3" s="1"/>
  <c r="AR14" i="3"/>
  <c r="AR397" i="7"/>
  <c r="AU397" i="3" s="1"/>
  <c r="AR397" i="3"/>
  <c r="AQ397" i="7"/>
  <c r="AT397" i="3" s="1"/>
  <c r="AQ202" i="7"/>
  <c r="AT202" i="3" s="1"/>
  <c r="AR202" i="3"/>
  <c r="AR202" i="7"/>
  <c r="AU202" i="3" s="1"/>
  <c r="AR291" i="10"/>
  <c r="AQ291" i="10"/>
  <c r="BR552" i="10"/>
  <c r="J552" i="10"/>
  <c r="BF708" i="10"/>
  <c r="BH708" i="10" s="1"/>
  <c r="L708" i="10"/>
  <c r="BR789" i="10"/>
  <c r="J789" i="10"/>
  <c r="AR9" i="10"/>
  <c r="AQ9" i="10"/>
  <c r="BR879" i="10"/>
  <c r="J879" i="10"/>
  <c r="BR663" i="10"/>
  <c r="J663" i="10"/>
  <c r="BR712" i="10"/>
  <c r="J712" i="10"/>
  <c r="J15" i="17"/>
  <c r="K15" i="17"/>
  <c r="BR559" i="10"/>
  <c r="J559" i="10"/>
  <c r="BF760" i="10"/>
  <c r="BH760" i="10" s="1"/>
  <c r="L760" i="10"/>
  <c r="AR155" i="7"/>
  <c r="AU155" i="3" s="1"/>
  <c r="AR155" i="3"/>
  <c r="AQ155" i="7"/>
  <c r="AT155" i="3" s="1"/>
  <c r="AQ32" i="10"/>
  <c r="AR32" i="10"/>
  <c r="AQ410" i="7"/>
  <c r="AT410" i="3" s="1"/>
  <c r="AR410" i="3"/>
  <c r="AR410" i="7"/>
  <c r="AU410" i="3" s="1"/>
  <c r="AR111" i="10"/>
  <c r="AQ111" i="10"/>
  <c r="AQ349" i="10"/>
  <c r="AR349" i="10"/>
  <c r="AR105" i="10"/>
  <c r="AQ105" i="10"/>
  <c r="AR83" i="3"/>
  <c r="AR83" i="7"/>
  <c r="AU83" i="3" s="1"/>
  <c r="AQ83" i="7"/>
  <c r="AT83" i="3" s="1"/>
  <c r="BF874" i="10"/>
  <c r="BH874" i="10" s="1"/>
  <c r="L874" i="10"/>
  <c r="AR50" i="10"/>
  <c r="AQ50" i="10"/>
  <c r="AR56" i="3"/>
  <c r="AR56" i="7"/>
  <c r="AU56" i="3" s="1"/>
  <c r="AQ56" i="7"/>
  <c r="AT56" i="3" s="1"/>
  <c r="AR101" i="3"/>
  <c r="AQ101" i="7"/>
  <c r="AT101" i="3" s="1"/>
  <c r="AR101" i="7"/>
  <c r="AU101" i="3" s="1"/>
  <c r="AR131" i="7"/>
  <c r="AU131" i="3" s="1"/>
  <c r="AR131" i="3"/>
  <c r="AQ131" i="7"/>
  <c r="AT131" i="3" s="1"/>
  <c r="AP410" i="10"/>
  <c r="C23" i="17"/>
  <c r="AQ81" i="10"/>
  <c r="AR81" i="10"/>
  <c r="AR122" i="10"/>
  <c r="AQ122" i="10"/>
  <c r="BR681" i="10"/>
  <c r="J681" i="10"/>
  <c r="AR159" i="10"/>
  <c r="AQ159" i="10"/>
  <c r="AR368" i="10"/>
  <c r="AQ368" i="10"/>
  <c r="BR881" i="10"/>
  <c r="J881" i="10"/>
  <c r="AQ142" i="7"/>
  <c r="AT142" i="3" s="1"/>
  <c r="AR142" i="3"/>
  <c r="AR142" i="7"/>
  <c r="AU142" i="3" s="1"/>
  <c r="AQ401" i="7"/>
  <c r="AT401" i="3" s="1"/>
  <c r="AR401" i="7"/>
  <c r="AU401" i="3" s="1"/>
  <c r="AR401" i="3"/>
  <c r="BR782" i="10"/>
  <c r="J782" i="10"/>
  <c r="AR242" i="7"/>
  <c r="AU242" i="3" s="1"/>
  <c r="AQ242" i="7"/>
  <c r="AT242" i="3" s="1"/>
  <c r="AR242" i="3"/>
  <c r="BR593" i="10"/>
  <c r="J593" i="10"/>
  <c r="BF829" i="10"/>
  <c r="BH829" i="10" s="1"/>
  <c r="L829" i="10"/>
  <c r="C61" i="14"/>
  <c r="C62" i="14" s="1"/>
  <c r="C63" i="14" s="1"/>
  <c r="C64" i="14" s="1"/>
  <c r="BR770" i="10"/>
  <c r="J770" i="10"/>
  <c r="AR83" i="10"/>
  <c r="AQ83" i="10"/>
  <c r="AQ66" i="10"/>
  <c r="AR66" i="10"/>
  <c r="BR688" i="10"/>
  <c r="J688" i="10"/>
  <c r="BR615" i="10"/>
  <c r="J615" i="10"/>
  <c r="L724" i="10"/>
  <c r="BF724" i="10"/>
  <c r="BH724" i="10" s="1"/>
  <c r="BF626" i="10"/>
  <c r="BH626" i="10" s="1"/>
  <c r="L626" i="10"/>
  <c r="B13" i="15"/>
  <c r="B15" i="5" s="1"/>
  <c r="K35" i="5" s="1"/>
  <c r="B15" i="15"/>
  <c r="B17" i="5" s="1"/>
  <c r="K37" i="5" s="1"/>
  <c r="B12" i="15"/>
  <c r="B14" i="5" s="1"/>
  <c r="K34" i="5" s="1"/>
  <c r="B11" i="15"/>
  <c r="B14" i="15"/>
  <c r="B16" i="5" s="1"/>
  <c r="K36" i="5" s="1"/>
  <c r="B8" i="4"/>
  <c r="H5" i="4" s="1"/>
  <c r="B8" i="5"/>
  <c r="BR859" i="10"/>
  <c r="J859" i="10"/>
  <c r="M647" i="10"/>
  <c r="L890" i="10"/>
  <c r="BF890" i="10"/>
  <c r="BH890" i="10" s="1"/>
  <c r="H16" i="8"/>
  <c r="C285" i="8"/>
  <c r="AR37" i="3"/>
  <c r="AR37" i="7"/>
  <c r="AU37" i="3" s="1"/>
  <c r="AQ37" i="7"/>
  <c r="AT37" i="3" s="1"/>
  <c r="AR380" i="7"/>
  <c r="AU380" i="3" s="1"/>
  <c r="AQ380" i="7"/>
  <c r="AT380" i="3" s="1"/>
  <c r="AR380" i="3"/>
  <c r="AR150" i="7"/>
  <c r="AU150" i="3" s="1"/>
  <c r="AQ150" i="7"/>
  <c r="AT150" i="3" s="1"/>
  <c r="AR150" i="3"/>
  <c r="L5" i="28"/>
  <c r="BR814" i="10"/>
  <c r="J814" i="10"/>
  <c r="F18" i="4"/>
  <c r="R12" i="4" s="1"/>
  <c r="O12" i="4"/>
  <c r="D18" i="4"/>
  <c r="BR894" i="10"/>
  <c r="J894" i="10"/>
  <c r="AR55" i="10"/>
  <c r="AQ55" i="10"/>
  <c r="AR33" i="7"/>
  <c r="AU33" i="3" s="1"/>
  <c r="AQ33" i="7"/>
  <c r="AT33" i="3" s="1"/>
  <c r="AR33" i="3"/>
  <c r="AR80" i="10"/>
  <c r="AQ80" i="10"/>
  <c r="AQ284" i="7"/>
  <c r="AT284" i="3" s="1"/>
  <c r="AR284" i="7"/>
  <c r="AU284" i="3" s="1"/>
  <c r="AR284" i="3"/>
  <c r="AR414" i="10"/>
  <c r="AQ414" i="10"/>
  <c r="AQ296" i="7"/>
  <c r="AT296" i="3" s="1"/>
  <c r="AR296" i="3"/>
  <c r="AR296" i="7"/>
  <c r="AU296" i="3" s="1"/>
  <c r="C14" i="17"/>
  <c r="AP176" i="10"/>
  <c r="BR809" i="10"/>
  <c r="J809" i="10"/>
  <c r="BR616" i="10"/>
  <c r="J616" i="10"/>
  <c r="AR142" i="10"/>
  <c r="AQ142" i="10"/>
  <c r="AR21" i="10"/>
  <c r="AQ21" i="10"/>
  <c r="F75" i="14"/>
  <c r="AR193" i="10"/>
  <c r="AQ193" i="10"/>
  <c r="AP5" i="10"/>
  <c r="C7" i="17"/>
  <c r="AQ8" i="10"/>
  <c r="AR8" i="10"/>
  <c r="AR98" i="7"/>
  <c r="AU98" i="3" s="1"/>
  <c r="AR98" i="3"/>
  <c r="AQ98" i="7"/>
  <c r="AT98" i="3" s="1"/>
  <c r="AQ400" i="10"/>
  <c r="AR400" i="10"/>
  <c r="AQ196" i="10"/>
  <c r="AR196" i="10"/>
  <c r="BR740" i="10"/>
  <c r="J740" i="10"/>
  <c r="AR269" i="7"/>
  <c r="AU269" i="3" s="1"/>
  <c r="AQ269" i="7"/>
  <c r="AT269" i="3" s="1"/>
  <c r="AR269" i="3"/>
  <c r="AR318" i="10"/>
  <c r="AQ318" i="10"/>
  <c r="L525" i="10"/>
  <c r="BF525" i="10"/>
  <c r="BH525" i="10" s="1"/>
  <c r="AR138" i="10"/>
  <c r="AQ138" i="10"/>
  <c r="AQ394" i="10"/>
  <c r="AR394" i="10"/>
  <c r="AR164" i="7"/>
  <c r="AU164" i="3" s="1"/>
  <c r="AQ164" i="7"/>
  <c r="AT164" i="3" s="1"/>
  <c r="AR164" i="3"/>
  <c r="AR151" i="7"/>
  <c r="AU151" i="3" s="1"/>
  <c r="AQ151" i="7"/>
  <c r="AT151" i="3" s="1"/>
  <c r="AR151" i="3"/>
  <c r="AR255" i="3"/>
  <c r="AR255" i="7"/>
  <c r="AU255" i="3" s="1"/>
  <c r="AQ255" i="7"/>
  <c r="AT255" i="3" s="1"/>
  <c r="AR304" i="3"/>
  <c r="AQ304" i="7"/>
  <c r="AT304" i="3" s="1"/>
  <c r="AR304" i="7"/>
  <c r="AU304" i="3" s="1"/>
  <c r="AR42" i="3"/>
  <c r="AQ42" i="7"/>
  <c r="AT42" i="3" s="1"/>
  <c r="AR42" i="7"/>
  <c r="AU42" i="3" s="1"/>
  <c r="AQ113" i="7"/>
  <c r="AT113" i="3" s="1"/>
  <c r="AR113" i="3"/>
  <c r="AR113" i="7"/>
  <c r="AU113" i="3" s="1"/>
  <c r="AR198" i="3"/>
  <c r="AQ198" i="7"/>
  <c r="AT198" i="3" s="1"/>
  <c r="AR198" i="7"/>
  <c r="AU198" i="3" s="1"/>
  <c r="AQ73" i="7"/>
  <c r="AT73" i="3" s="1"/>
  <c r="AR73" i="7"/>
  <c r="AU73" i="3" s="1"/>
  <c r="AR73" i="3"/>
  <c r="AR248" i="7"/>
  <c r="AU248" i="3" s="1"/>
  <c r="AQ248" i="7"/>
  <c r="AT248" i="3" s="1"/>
  <c r="AR248" i="3"/>
  <c r="AR207" i="3"/>
  <c r="AR207" i="7"/>
  <c r="AU207" i="3" s="1"/>
  <c r="AQ207" i="7"/>
  <c r="AT207" i="3" s="1"/>
  <c r="AQ258" i="10"/>
  <c r="AR258" i="10"/>
  <c r="L18" i="28"/>
  <c r="AR277" i="3"/>
  <c r="AR277" i="7"/>
  <c r="AU277" i="3" s="1"/>
  <c r="AQ277" i="7"/>
  <c r="AT277" i="3" s="1"/>
  <c r="AR79" i="10"/>
  <c r="AQ79" i="10"/>
  <c r="M311" i="8"/>
  <c r="K311" i="8"/>
  <c r="H85" i="8" s="1"/>
  <c r="L311" i="8"/>
  <c r="G311" i="8"/>
  <c r="E85" i="8"/>
  <c r="AR7" i="10"/>
  <c r="AQ7" i="10"/>
  <c r="AR10" i="10"/>
  <c r="AQ10" i="10"/>
  <c r="BR871" i="10"/>
  <c r="J871" i="10"/>
  <c r="AR335" i="10"/>
  <c r="AQ335" i="10"/>
  <c r="H13" i="8"/>
  <c r="C282" i="8"/>
  <c r="AR103" i="3"/>
  <c r="AR103" i="7"/>
  <c r="AU103" i="3" s="1"/>
  <c r="AQ103" i="7"/>
  <c r="AT103" i="3" s="1"/>
  <c r="BR907" i="10"/>
  <c r="J907" i="10"/>
  <c r="AR417" i="10"/>
  <c r="AQ417" i="10"/>
  <c r="AR237" i="7"/>
  <c r="AU237" i="3" s="1"/>
  <c r="AR237" i="3"/>
  <c r="AQ237" i="7"/>
  <c r="AT237" i="3" s="1"/>
  <c r="BR641" i="10"/>
  <c r="J641" i="10"/>
  <c r="AR365" i="7"/>
  <c r="AU365" i="3" s="1"/>
  <c r="AQ365" i="7"/>
  <c r="AT365" i="3" s="1"/>
  <c r="AR365" i="3"/>
  <c r="AR149" i="10"/>
  <c r="AQ149" i="10"/>
  <c r="AR166" i="10"/>
  <c r="AQ166" i="10"/>
  <c r="L36" i="28"/>
  <c r="AR28" i="3"/>
  <c r="AR28" i="7"/>
  <c r="AU28" i="3" s="1"/>
  <c r="AQ28" i="7"/>
  <c r="AT28" i="3" s="1"/>
  <c r="AR133" i="10"/>
  <c r="AQ133" i="10"/>
  <c r="AQ261" i="10"/>
  <c r="AR261" i="10"/>
  <c r="AR406" i="7"/>
  <c r="AU406" i="3" s="1"/>
  <c r="AQ406" i="7"/>
  <c r="AT406" i="3" s="1"/>
  <c r="AR406" i="3"/>
  <c r="H7" i="8"/>
  <c r="C276" i="8"/>
  <c r="G301" i="8"/>
  <c r="M301" i="8"/>
  <c r="L301" i="8"/>
  <c r="K301" i="8"/>
  <c r="H75" i="8" s="1"/>
  <c r="E75" i="8"/>
  <c r="AR325" i="7"/>
  <c r="AU325" i="3" s="1"/>
  <c r="AQ325" i="7"/>
  <c r="AT325" i="3" s="1"/>
  <c r="AR325" i="3"/>
  <c r="AQ335" i="7"/>
  <c r="AT335" i="3" s="1"/>
  <c r="AR335" i="7"/>
  <c r="AU335" i="3" s="1"/>
  <c r="AR335" i="3"/>
  <c r="BR622" i="10"/>
  <c r="J622" i="10"/>
  <c r="AR291" i="3"/>
  <c r="AR291" i="7"/>
  <c r="AU291" i="3" s="1"/>
  <c r="AQ291" i="7"/>
  <c r="AT291" i="3" s="1"/>
  <c r="BF518" i="10"/>
  <c r="BH518" i="10" s="1"/>
  <c r="L518" i="10"/>
  <c r="L706" i="10"/>
  <c r="BF706" i="10"/>
  <c r="BH706" i="10" s="1"/>
  <c r="BR627" i="10"/>
  <c r="J627" i="10"/>
  <c r="M584" i="10"/>
  <c r="AQ87" i="10"/>
  <c r="AR87" i="10"/>
  <c r="AR225" i="10"/>
  <c r="AQ225" i="10"/>
  <c r="BR664" i="10"/>
  <c r="J664" i="10"/>
  <c r="M314" i="8"/>
  <c r="K314" i="8"/>
  <c r="H88" i="8" s="1"/>
  <c r="L314" i="8"/>
  <c r="G314" i="8"/>
  <c r="E88" i="8"/>
  <c r="BF553" i="10"/>
  <c r="BH553" i="10" s="1"/>
  <c r="L553" i="10"/>
  <c r="AR115" i="7"/>
  <c r="AU115" i="3" s="1"/>
  <c r="AQ115" i="7"/>
  <c r="AT115" i="3" s="1"/>
  <c r="AR115" i="3"/>
  <c r="AR348" i="7"/>
  <c r="AU348" i="3" s="1"/>
  <c r="AQ348" i="7"/>
  <c r="AT348" i="3" s="1"/>
  <c r="AR348" i="3"/>
  <c r="AR5" i="3"/>
  <c r="AR5" i="7"/>
  <c r="AU5" i="3" s="1"/>
  <c r="AQ5" i="7"/>
  <c r="AT5" i="3" s="1"/>
  <c r="AR93" i="7"/>
  <c r="AU93" i="3" s="1"/>
  <c r="AQ93" i="7"/>
  <c r="AT93" i="3" s="1"/>
  <c r="AR93" i="3"/>
  <c r="C290" i="8"/>
  <c r="H21" i="8"/>
  <c r="BR811" i="10"/>
  <c r="J811" i="10"/>
  <c r="AR274" i="3"/>
  <c r="AR274" i="7"/>
  <c r="AU274" i="3" s="1"/>
  <c r="AQ274" i="7"/>
  <c r="AT274" i="3" s="1"/>
  <c r="AR6" i="7"/>
  <c r="AU6" i="3" s="1"/>
  <c r="AR6" i="3"/>
  <c r="AQ6" i="7"/>
  <c r="AT6" i="3" s="1"/>
  <c r="AR300" i="10"/>
  <c r="AQ300" i="10"/>
  <c r="AR202" i="10"/>
  <c r="AQ202" i="10"/>
  <c r="BF517" i="10"/>
  <c r="BH517" i="10" s="1"/>
  <c r="L517" i="10"/>
  <c r="AQ95" i="7"/>
  <c r="AT95" i="3" s="1"/>
  <c r="AR95" i="7"/>
  <c r="AU95" i="3" s="1"/>
  <c r="AR95" i="3"/>
  <c r="AQ249" i="7"/>
  <c r="AT249" i="3" s="1"/>
  <c r="AR249" i="3"/>
  <c r="AR249" i="7"/>
  <c r="AU249" i="3" s="1"/>
  <c r="AR215" i="3"/>
  <c r="AQ215" i="7"/>
  <c r="AT215" i="3" s="1"/>
  <c r="AR215" i="7"/>
  <c r="AU215" i="3" s="1"/>
  <c r="AR345" i="10"/>
  <c r="AQ345" i="10"/>
  <c r="AQ408" i="7"/>
  <c r="AT408" i="3" s="1"/>
  <c r="AR408" i="3"/>
  <c r="AR408" i="7"/>
  <c r="AU408" i="3" s="1"/>
  <c r="AR44" i="7"/>
  <c r="AU44" i="3" s="1"/>
  <c r="AQ44" i="7"/>
  <c r="AT44" i="3" s="1"/>
  <c r="AR44" i="3"/>
  <c r="AQ268" i="7"/>
  <c r="AT268" i="3" s="1"/>
  <c r="AR268" i="7"/>
  <c r="AU268" i="3" s="1"/>
  <c r="AR268" i="3"/>
  <c r="AQ143" i="7"/>
  <c r="AT143" i="3" s="1"/>
  <c r="AR143" i="7"/>
  <c r="AU143" i="3" s="1"/>
  <c r="AR143" i="3"/>
  <c r="AQ46" i="7"/>
  <c r="AT46" i="3" s="1"/>
  <c r="AR46" i="7"/>
  <c r="AU46" i="3" s="1"/>
  <c r="AR46" i="3"/>
  <c r="AQ311" i="10"/>
  <c r="AR311" i="10"/>
  <c r="AR322" i="7"/>
  <c r="AU322" i="3" s="1"/>
  <c r="AQ322" i="7"/>
  <c r="AT322" i="3" s="1"/>
  <c r="AR322" i="3"/>
  <c r="AR187" i="7"/>
  <c r="AU187" i="3" s="1"/>
  <c r="AQ187" i="7"/>
  <c r="AT187" i="3" s="1"/>
  <c r="AR187" i="3"/>
  <c r="AR170" i="7"/>
  <c r="AU170" i="3" s="1"/>
  <c r="AQ170" i="7"/>
  <c r="AT170" i="3" s="1"/>
  <c r="AR170" i="3"/>
  <c r="AR6" i="10"/>
  <c r="AQ6" i="10"/>
  <c r="AR71" i="7"/>
  <c r="AU71" i="3" s="1"/>
  <c r="AQ71" i="7"/>
  <c r="AT71" i="3" s="1"/>
  <c r="AR71" i="3"/>
  <c r="AQ243" i="10"/>
  <c r="AR243" i="10"/>
  <c r="AQ35" i="7"/>
  <c r="AT35" i="3" s="1"/>
  <c r="AR35" i="3"/>
  <c r="AR35" i="7"/>
  <c r="AU35" i="3" s="1"/>
  <c r="BR632" i="10"/>
  <c r="J632" i="10"/>
  <c r="L665" i="10"/>
  <c r="BF665" i="10"/>
  <c r="BH665" i="10" s="1"/>
  <c r="C277" i="8"/>
  <c r="H8" i="8"/>
  <c r="BR503" i="10"/>
  <c r="J503" i="10"/>
  <c r="AR340" i="7"/>
  <c r="AU340" i="3" s="1"/>
  <c r="AQ340" i="7"/>
  <c r="AT340" i="3" s="1"/>
  <c r="AR340" i="3"/>
  <c r="BR774" i="10"/>
  <c r="J774" i="10"/>
  <c r="AR396" i="10"/>
  <c r="AQ396" i="10"/>
  <c r="AQ359" i="7"/>
  <c r="AT359" i="3" s="1"/>
  <c r="AR359" i="7"/>
  <c r="AU359" i="3" s="1"/>
  <c r="AR359" i="3"/>
  <c r="AQ158" i="7"/>
  <c r="AT158" i="3" s="1"/>
  <c r="AR158" i="3"/>
  <c r="AR158" i="7"/>
  <c r="AU158" i="3" s="1"/>
  <c r="AR162" i="7"/>
  <c r="AU162" i="3" s="1"/>
  <c r="AQ162" i="7"/>
  <c r="AT162" i="3" s="1"/>
  <c r="AR162" i="3"/>
  <c r="AR173" i="7"/>
  <c r="AU173" i="3" s="1"/>
  <c r="AR173" i="3"/>
  <c r="AQ173" i="7"/>
  <c r="AT173" i="3" s="1"/>
  <c r="BU534" i="10"/>
  <c r="AQ41" i="10"/>
  <c r="AR41" i="10"/>
  <c r="BR591" i="10"/>
  <c r="J591" i="10"/>
  <c r="AR189" i="10"/>
  <c r="AQ189" i="10"/>
  <c r="D27" i="4"/>
  <c r="F27" i="4"/>
  <c r="R21" i="4" s="1"/>
  <c r="O21" i="4"/>
  <c r="AQ283" i="10"/>
  <c r="AR283" i="10"/>
  <c r="BF588" i="10"/>
  <c r="BH588" i="10" s="1"/>
  <c r="L588" i="10"/>
  <c r="AR266" i="7"/>
  <c r="AU266" i="3" s="1"/>
  <c r="AQ266" i="7"/>
  <c r="AT266" i="3" s="1"/>
  <c r="AR266" i="3"/>
  <c r="L726" i="10"/>
  <c r="BF726" i="10"/>
  <c r="BH726" i="10" s="1"/>
  <c r="AR384" i="10"/>
  <c r="AQ384" i="10"/>
  <c r="BR691" i="10"/>
  <c r="J691" i="10"/>
  <c r="AR84" i="7"/>
  <c r="AU84" i="3" s="1"/>
  <c r="AQ84" i="7"/>
  <c r="AT84" i="3" s="1"/>
  <c r="AR84" i="3"/>
  <c r="AQ420" i="7"/>
  <c r="AT420" i="3" s="1"/>
  <c r="AR420" i="3"/>
  <c r="AR420" i="7"/>
  <c r="AU420" i="3" s="1"/>
  <c r="J217" i="8"/>
  <c r="K217" i="8"/>
  <c r="M655" i="10"/>
  <c r="AR128" i="7"/>
  <c r="AU128" i="3" s="1"/>
  <c r="AQ128" i="7"/>
  <c r="AT128" i="3" s="1"/>
  <c r="AR128" i="3"/>
  <c r="AR279" i="3"/>
  <c r="AR279" i="7"/>
  <c r="AU279" i="3" s="1"/>
  <c r="AQ279" i="7"/>
  <c r="AT279" i="3" s="1"/>
  <c r="AQ382" i="10"/>
  <c r="AR382" i="10"/>
  <c r="AQ206" i="7"/>
  <c r="AT206" i="3" s="1"/>
  <c r="AR206" i="7"/>
  <c r="AU206" i="3" s="1"/>
  <c r="AR206" i="3"/>
  <c r="BR738" i="10"/>
  <c r="J738" i="10"/>
  <c r="AR428" i="10"/>
  <c r="AQ428" i="10"/>
  <c r="AR225" i="3"/>
  <c r="AR225" i="7"/>
  <c r="AU225" i="3" s="1"/>
  <c r="AQ225" i="7"/>
  <c r="AT225" i="3" s="1"/>
  <c r="M606" i="10"/>
  <c r="M672" i="10"/>
  <c r="L684" i="10"/>
  <c r="BF684" i="10"/>
  <c r="BH684" i="10" s="1"/>
  <c r="O24" i="4"/>
  <c r="F30" i="4"/>
  <c r="R24" i="4" s="1"/>
  <c r="D30" i="4"/>
  <c r="AQ191" i="7"/>
  <c r="AT191" i="3" s="1"/>
  <c r="AR191" i="7"/>
  <c r="AU191" i="3" s="1"/>
  <c r="AR191" i="3"/>
  <c r="L834" i="10"/>
  <c r="BF834" i="10"/>
  <c r="BH834" i="10" s="1"/>
  <c r="AR333" i="7"/>
  <c r="AU333" i="3" s="1"/>
  <c r="AR333" i="3"/>
  <c r="AQ333" i="7"/>
  <c r="AT333" i="3" s="1"/>
  <c r="AQ141" i="7"/>
  <c r="AT141" i="3" s="1"/>
  <c r="AR141" i="7"/>
  <c r="AU141" i="3" s="1"/>
  <c r="AR141" i="3"/>
  <c r="BF838" i="10"/>
  <c r="BH838" i="10" s="1"/>
  <c r="L561" i="10"/>
  <c r="BF561" i="10"/>
  <c r="BH561" i="10" s="1"/>
  <c r="L777" i="10"/>
  <c r="BF777" i="10"/>
  <c r="BH777" i="10" s="1"/>
  <c r="BF913" i="10"/>
  <c r="BH913" i="10" s="1"/>
  <c r="L913" i="10"/>
  <c r="AQ334" i="7"/>
  <c r="AT334" i="3" s="1"/>
  <c r="AR334" i="7"/>
  <c r="AU334" i="3" s="1"/>
  <c r="AR334" i="3"/>
  <c r="BR651" i="10"/>
  <c r="J651" i="10"/>
  <c r="BR604" i="10"/>
  <c r="J604" i="10"/>
  <c r="BF889" i="10"/>
  <c r="BH889" i="10" s="1"/>
  <c r="L889" i="10"/>
  <c r="R12" i="8"/>
  <c r="AR99" i="7"/>
  <c r="AU99" i="3" s="1"/>
  <c r="AQ99" i="7"/>
  <c r="AT99" i="3" s="1"/>
  <c r="AR99" i="3"/>
  <c r="AR135" i="7"/>
  <c r="AU135" i="3" s="1"/>
  <c r="AQ135" i="7"/>
  <c r="AT135" i="3" s="1"/>
  <c r="AR135" i="3"/>
  <c r="AR33" i="10"/>
  <c r="AQ33" i="10"/>
  <c r="AR303" i="10"/>
  <c r="AQ303" i="10"/>
  <c r="J224" i="8"/>
  <c r="K224" i="8"/>
  <c r="C17" i="17"/>
  <c r="AP257" i="10"/>
  <c r="BR813" i="10"/>
  <c r="J813" i="10"/>
  <c r="AR363" i="3"/>
  <c r="AR363" i="7"/>
  <c r="AU363" i="3" s="1"/>
  <c r="AQ363" i="7"/>
  <c r="AT363" i="3" s="1"/>
  <c r="BR648" i="10"/>
  <c r="J648" i="10"/>
  <c r="AR354" i="10"/>
  <c r="AQ354" i="10"/>
  <c r="AR178" i="10"/>
  <c r="AQ178" i="10"/>
  <c r="BR901" i="10"/>
  <c r="J901" i="10"/>
  <c r="L756" i="10"/>
  <c r="BF756" i="10"/>
  <c r="BH756" i="10" s="1"/>
  <c r="AR269" i="10"/>
  <c r="AQ269" i="10"/>
  <c r="J219" i="8"/>
  <c r="K219" i="8"/>
  <c r="BF905" i="10"/>
  <c r="BH905" i="10" s="1"/>
  <c r="L905" i="10"/>
  <c r="BR800" i="10"/>
  <c r="J800" i="10"/>
  <c r="BF556" i="10"/>
  <c r="BH556" i="10" s="1"/>
  <c r="L556" i="10"/>
  <c r="AR255" i="10"/>
  <c r="AQ255" i="10"/>
  <c r="J221" i="8"/>
  <c r="K221" i="8"/>
  <c r="AR304" i="10"/>
  <c r="AQ304" i="10"/>
  <c r="BR511" i="10"/>
  <c r="J511" i="10"/>
  <c r="AR108" i="3"/>
  <c r="AQ108" i="7"/>
  <c r="AT108" i="3" s="1"/>
  <c r="AR108" i="7"/>
  <c r="AU108" i="3" s="1"/>
  <c r="AR132" i="10"/>
  <c r="AQ132" i="10"/>
  <c r="AQ395" i="7"/>
  <c r="AT395" i="3" s="1"/>
  <c r="AR395" i="3"/>
  <c r="AR395" i="7"/>
  <c r="AU395" i="3" s="1"/>
  <c r="BR644" i="10"/>
  <c r="J644" i="10"/>
  <c r="F31" i="4"/>
  <c r="R25" i="4" s="1"/>
  <c r="O25" i="4"/>
  <c r="D31" i="4"/>
  <c r="F26" i="4"/>
  <c r="R20" i="4" s="1"/>
  <c r="D26" i="4"/>
  <c r="O20" i="4"/>
  <c r="N20" i="17"/>
  <c r="AQ319" i="7"/>
  <c r="AT319" i="3" s="1"/>
  <c r="AR319" i="3"/>
  <c r="AR319" i="7"/>
  <c r="AU319" i="3" s="1"/>
  <c r="AQ360" i="10"/>
  <c r="AR360" i="10"/>
  <c r="AQ337" i="10"/>
  <c r="AR337" i="10"/>
  <c r="BR808" i="10"/>
  <c r="J808" i="10"/>
  <c r="AR201" i="3"/>
  <c r="AQ201" i="7"/>
  <c r="AT201" i="3" s="1"/>
  <c r="AR201" i="7"/>
  <c r="AU201" i="3" s="1"/>
  <c r="K305" i="8"/>
  <c r="H79" i="8" s="1"/>
  <c r="L305" i="8"/>
  <c r="M305" i="8"/>
  <c r="G305" i="8"/>
  <c r="E79" i="8"/>
  <c r="AR256" i="10"/>
  <c r="AQ256" i="10"/>
  <c r="AR305" i="7"/>
  <c r="AU305" i="3" s="1"/>
  <c r="AR305" i="3"/>
  <c r="AQ305" i="7"/>
  <c r="AT305" i="3" s="1"/>
  <c r="BF699" i="10"/>
  <c r="BH699" i="10" s="1"/>
  <c r="L699" i="10"/>
  <c r="AR76" i="7"/>
  <c r="AU76" i="3" s="1"/>
  <c r="AQ76" i="7"/>
  <c r="AT76" i="3" s="1"/>
  <c r="AR76" i="3"/>
  <c r="AR85" i="7"/>
  <c r="AU85" i="3" s="1"/>
  <c r="AQ85" i="7"/>
  <c r="AT85" i="3" s="1"/>
  <c r="AR85" i="3"/>
  <c r="AR154" i="10"/>
  <c r="AQ154" i="10"/>
  <c r="AR390" i="3"/>
  <c r="AQ390" i="7"/>
  <c r="AT390" i="3" s="1"/>
  <c r="AR390" i="7"/>
  <c r="AU390" i="3" s="1"/>
  <c r="AQ168" i="10"/>
  <c r="AR168" i="10"/>
  <c r="AR361" i="7"/>
  <c r="AU361" i="3" s="1"/>
  <c r="AQ361" i="7"/>
  <c r="AT361" i="3" s="1"/>
  <c r="AR361" i="3"/>
  <c r="AQ287" i="7"/>
  <c r="AT287" i="3" s="1"/>
  <c r="AR287" i="3"/>
  <c r="AR287" i="7"/>
  <c r="AU287" i="3" s="1"/>
  <c r="BR895" i="10"/>
  <c r="J895" i="10"/>
  <c r="AR302" i="3"/>
  <c r="AR302" i="7"/>
  <c r="AU302" i="3" s="1"/>
  <c r="AQ302" i="7"/>
  <c r="AT302" i="3" s="1"/>
  <c r="BR702" i="10"/>
  <c r="J702" i="10"/>
  <c r="AR184" i="3"/>
  <c r="AR184" i="7"/>
  <c r="AU184" i="3" s="1"/>
  <c r="AQ184" i="7"/>
  <c r="AT184" i="3" s="1"/>
  <c r="AR153" i="10"/>
  <c r="AQ153" i="10"/>
  <c r="AR317" i="7"/>
  <c r="AU317" i="3" s="1"/>
  <c r="AQ317" i="7"/>
  <c r="AT317" i="3" s="1"/>
  <c r="AR317" i="3"/>
  <c r="BR668" i="10"/>
  <c r="J668" i="10"/>
  <c r="L867" i="10"/>
  <c r="BF867" i="10"/>
  <c r="BH867" i="10" s="1"/>
  <c r="BR729" i="10"/>
  <c r="J729" i="10"/>
  <c r="AQ421" i="10"/>
  <c r="AR421" i="10"/>
  <c r="C279" i="8"/>
  <c r="H10" i="8"/>
  <c r="AQ343" i="7"/>
  <c r="AT343" i="3" s="1"/>
  <c r="AR343" i="7"/>
  <c r="AU343" i="3" s="1"/>
  <c r="AR343" i="3"/>
  <c r="F19" i="4"/>
  <c r="R13" i="4" s="1"/>
  <c r="D19" i="4"/>
  <c r="O13" i="4"/>
  <c r="AR265" i="7"/>
  <c r="AU265" i="3" s="1"/>
  <c r="AQ265" i="7"/>
  <c r="AT265" i="3" s="1"/>
  <c r="AR265" i="3"/>
  <c r="AR51" i="7"/>
  <c r="AU51" i="3" s="1"/>
  <c r="AQ51" i="7"/>
  <c r="AT51" i="3" s="1"/>
  <c r="AR51" i="3"/>
  <c r="BR914" i="10"/>
  <c r="J914" i="10"/>
  <c r="AQ185" i="10"/>
  <c r="AR185" i="10"/>
  <c r="AR244" i="7"/>
  <c r="AU244" i="3" s="1"/>
  <c r="AQ244" i="7"/>
  <c r="AT244" i="3" s="1"/>
  <c r="AR244" i="3"/>
  <c r="AR174" i="7"/>
  <c r="AU174" i="3" s="1"/>
  <c r="AQ174" i="7"/>
  <c r="AT174" i="3" s="1"/>
  <c r="AR174" i="3"/>
  <c r="BR504" i="10"/>
  <c r="J504" i="10"/>
  <c r="AR112" i="7"/>
  <c r="AU112" i="3" s="1"/>
  <c r="AQ112" i="7"/>
  <c r="AT112" i="3" s="1"/>
  <c r="AR112" i="3"/>
  <c r="AR374" i="7"/>
  <c r="AU374" i="3" s="1"/>
  <c r="AR374" i="3"/>
  <c r="AQ374" i="7"/>
  <c r="AT374" i="3" s="1"/>
  <c r="L310" i="8"/>
  <c r="M310" i="8"/>
  <c r="K310" i="8"/>
  <c r="H84" i="8" s="1"/>
  <c r="G310" i="8"/>
  <c r="E84" i="8"/>
  <c r="H275" i="8"/>
  <c r="I275" i="8" s="1"/>
  <c r="AQ139" i="10"/>
  <c r="AR139" i="10"/>
  <c r="AQ136" i="7"/>
  <c r="AT136" i="3" s="1"/>
  <c r="AR136" i="3"/>
  <c r="AR136" i="7"/>
  <c r="AU136" i="3" s="1"/>
  <c r="AR36" i="10"/>
  <c r="AQ36" i="10"/>
  <c r="AR383" i="3"/>
  <c r="AQ383" i="7"/>
  <c r="AT383" i="3" s="1"/>
  <c r="AR383" i="7"/>
  <c r="AU383" i="3" s="1"/>
  <c r="M703" i="10"/>
  <c r="BU717" i="10"/>
  <c r="BU673" i="10"/>
  <c r="BU714" i="10"/>
  <c r="BU718" i="10"/>
  <c r="BU674" i="10"/>
  <c r="BU719" i="10"/>
  <c r="BU671" i="10"/>
  <c r="BU575" i="10"/>
  <c r="BU676" i="10"/>
  <c r="CA16" i="9"/>
  <c r="BU754" i="10"/>
  <c r="BU675" i="10"/>
  <c r="BU578" i="10"/>
  <c r="BU715" i="10"/>
  <c r="BU752" i="10"/>
  <c r="BU573" i="10"/>
  <c r="BU753" i="10"/>
  <c r="BU672" i="10"/>
  <c r="CA39" i="9"/>
  <c r="BU577" i="10"/>
  <c r="BU755" i="10"/>
  <c r="BU716" i="10"/>
  <c r="CA45" i="9"/>
  <c r="BU574" i="10"/>
  <c r="BU576" i="10"/>
  <c r="CA32" i="9"/>
  <c r="AR292" i="7"/>
  <c r="AU292" i="3" s="1"/>
  <c r="AQ292" i="7"/>
  <c r="AT292" i="3" s="1"/>
  <c r="AR292" i="3"/>
  <c r="L732" i="10"/>
  <c r="BF732" i="10"/>
  <c r="BH732" i="10" s="1"/>
  <c r="AQ419" i="7"/>
  <c r="AT419" i="3" s="1"/>
  <c r="AR419" i="7"/>
  <c r="AU419" i="3" s="1"/>
  <c r="AR419" i="3"/>
  <c r="L3" i="28"/>
  <c r="AR30" i="3"/>
  <c r="AR30" i="7"/>
  <c r="AU30" i="3" s="1"/>
  <c r="AQ30" i="7"/>
  <c r="AT30" i="3" s="1"/>
  <c r="K220" i="8"/>
  <c r="J220" i="8"/>
  <c r="AQ392" i="7"/>
  <c r="AT392" i="3" s="1"/>
  <c r="AR392" i="3"/>
  <c r="AR392" i="7"/>
  <c r="AU392" i="3" s="1"/>
  <c r="AQ64" i="7"/>
  <c r="AT64" i="3" s="1"/>
  <c r="AR64" i="7"/>
  <c r="AU64" i="3" s="1"/>
  <c r="AR64" i="3"/>
  <c r="AQ397" i="10"/>
  <c r="AR397" i="10"/>
  <c r="AR157" i="3"/>
  <c r="AR157" i="7"/>
  <c r="AU157" i="3" s="1"/>
  <c r="AQ157" i="7"/>
  <c r="AT157" i="3" s="1"/>
  <c r="AR68" i="10"/>
  <c r="AQ68" i="10"/>
  <c r="AR126" i="10"/>
  <c r="AQ126" i="10"/>
  <c r="AR285" i="7"/>
  <c r="AU285" i="3" s="1"/>
  <c r="AQ285" i="7"/>
  <c r="AT285" i="3" s="1"/>
  <c r="AR285" i="3"/>
  <c r="C10" i="17"/>
  <c r="AR339" i="7"/>
  <c r="AU339" i="3" s="1"/>
  <c r="AQ339" i="7"/>
  <c r="AT339" i="3" s="1"/>
  <c r="AR339" i="3"/>
  <c r="BR876" i="10"/>
  <c r="J876" i="10"/>
  <c r="AP297" i="10"/>
  <c r="C19" i="17"/>
  <c r="BR751" i="10"/>
  <c r="J751" i="10"/>
  <c r="F25" i="4"/>
  <c r="R19" i="4" s="1"/>
  <c r="D25" i="4"/>
  <c r="O19" i="4"/>
  <c r="AR413" i="7"/>
  <c r="AU413" i="3" s="1"/>
  <c r="AR413" i="3"/>
  <c r="AQ413" i="7"/>
  <c r="AT413" i="3" s="1"/>
  <c r="BR750" i="10"/>
  <c r="J750" i="10"/>
  <c r="AR346" i="3"/>
  <c r="AR346" i="7"/>
  <c r="AU346" i="3" s="1"/>
  <c r="AQ346" i="7"/>
  <c r="AT346" i="3" s="1"/>
  <c r="AR13" i="3"/>
  <c r="AR13" i="7"/>
  <c r="AU13" i="3" s="1"/>
  <c r="AQ13" i="7"/>
  <c r="AT13" i="3" s="1"/>
  <c r="AQ104" i="7"/>
  <c r="AT104" i="3" s="1"/>
  <c r="AR104" i="3"/>
  <c r="AR104" i="7"/>
  <c r="AU104" i="3" s="1"/>
  <c r="AR22" i="7"/>
  <c r="AU22" i="3" s="1"/>
  <c r="AQ22" i="7"/>
  <c r="AT22" i="3" s="1"/>
  <c r="AR22" i="3"/>
  <c r="C280" i="8"/>
  <c r="H11" i="8"/>
  <c r="L302" i="8"/>
  <c r="M302" i="8"/>
  <c r="K302" i="8"/>
  <c r="H76" i="8" s="1"/>
  <c r="G302" i="8"/>
  <c r="E76" i="8"/>
  <c r="AR71" i="10"/>
  <c r="AQ71" i="10"/>
  <c r="BR746" i="10"/>
  <c r="J746" i="10"/>
  <c r="AQ194" i="10"/>
  <c r="AR194" i="10"/>
  <c r="AR72" i="10"/>
  <c r="AQ72" i="10"/>
  <c r="BR674" i="10"/>
  <c r="J674" i="10"/>
  <c r="M309" i="8"/>
  <c r="G309" i="8"/>
  <c r="K309" i="8"/>
  <c r="H83" i="8" s="1"/>
  <c r="L309" i="8"/>
  <c r="E83" i="8"/>
  <c r="AR110" i="3"/>
  <c r="AR110" i="7"/>
  <c r="AU110" i="3" s="1"/>
  <c r="AQ110" i="7"/>
  <c r="AT110" i="3" s="1"/>
  <c r="AR413" i="10"/>
  <c r="AQ413" i="10"/>
  <c r="L619" i="10"/>
  <c r="BF619" i="10"/>
  <c r="BH619" i="10" s="1"/>
  <c r="AR111" i="3"/>
  <c r="AQ111" i="7"/>
  <c r="AT111" i="3" s="1"/>
  <c r="AR111" i="7"/>
  <c r="AU111" i="3" s="1"/>
  <c r="AR159" i="7"/>
  <c r="AU159" i="3" s="1"/>
  <c r="AR159" i="3"/>
  <c r="AQ159" i="7"/>
  <c r="AT159" i="3" s="1"/>
  <c r="L306" i="8"/>
  <c r="M306" i="8"/>
  <c r="K306" i="8"/>
  <c r="H80" i="8" s="1"/>
  <c r="G306" i="8"/>
  <c r="E80" i="8"/>
  <c r="AR349" i="7"/>
  <c r="AU349" i="3" s="1"/>
  <c r="AR349" i="3"/>
  <c r="AQ349" i="7"/>
  <c r="AT349" i="3" s="1"/>
  <c r="AQ229" i="10"/>
  <c r="AR229" i="10"/>
  <c r="BR540" i="10"/>
  <c r="J540" i="10"/>
  <c r="BR880" i="10"/>
  <c r="J880" i="10"/>
  <c r="AQ227" i="10"/>
  <c r="AR227" i="10"/>
  <c r="AQ339" i="10"/>
  <c r="AR339" i="10"/>
  <c r="BR795" i="10"/>
  <c r="J795" i="10"/>
  <c r="AQ66" i="7"/>
  <c r="AT66" i="3" s="1"/>
  <c r="AR66" i="3"/>
  <c r="AR66" i="7"/>
  <c r="AU66" i="3" s="1"/>
  <c r="BR507" i="10"/>
  <c r="J507" i="10"/>
  <c r="BR698" i="10"/>
  <c r="J698" i="10"/>
  <c r="AR364" i="7"/>
  <c r="AU364" i="3" s="1"/>
  <c r="AQ364" i="7"/>
  <c r="AT364" i="3" s="1"/>
  <c r="AR364" i="3"/>
  <c r="AQ146" i="7"/>
  <c r="AT146" i="3" s="1"/>
  <c r="AR146" i="7"/>
  <c r="AU146" i="3" s="1"/>
  <c r="AR146" i="3"/>
  <c r="AR336" i="7"/>
  <c r="AU336" i="3" s="1"/>
  <c r="AQ336" i="7"/>
  <c r="AT336" i="3" s="1"/>
  <c r="AR336" i="3"/>
  <c r="L31" i="28"/>
  <c r="AR350" i="3"/>
  <c r="AR350" i="7"/>
  <c r="AU350" i="3" s="1"/>
  <c r="AQ350" i="7"/>
  <c r="AT350" i="3" s="1"/>
  <c r="AR55" i="7"/>
  <c r="AU55" i="3" s="1"/>
  <c r="AQ55" i="7"/>
  <c r="AT55" i="3" s="1"/>
  <c r="AR55" i="3"/>
  <c r="AR69" i="3"/>
  <c r="AR69" i="7"/>
  <c r="AU69" i="3" s="1"/>
  <c r="AQ69" i="7"/>
  <c r="AT69" i="3" s="1"/>
  <c r="AR254" i="7"/>
  <c r="AU254" i="3" s="1"/>
  <c r="AR254" i="3"/>
  <c r="AQ254" i="7"/>
  <c r="AT254" i="3" s="1"/>
  <c r="AQ327" i="10"/>
  <c r="AR327" i="10"/>
  <c r="BF542" i="10"/>
  <c r="BH542" i="10" s="1"/>
  <c r="L542" i="10"/>
  <c r="BR796" i="10"/>
  <c r="J796" i="10"/>
  <c r="AR368" i="3"/>
  <c r="AR368" i="7"/>
  <c r="AU368" i="3" s="1"/>
  <c r="AQ368" i="7"/>
  <c r="AT368" i="3" s="1"/>
  <c r="AQ375" i="7"/>
  <c r="AT375" i="3" s="1"/>
  <c r="AR375" i="7"/>
  <c r="AU375" i="3" s="1"/>
  <c r="AR375" i="3"/>
  <c r="BR533" i="10"/>
  <c r="J533" i="10"/>
  <c r="BR564" i="10"/>
  <c r="J564" i="10"/>
  <c r="F72" i="14"/>
  <c r="BR903" i="10"/>
  <c r="J903" i="10"/>
  <c r="BR624" i="10"/>
  <c r="J624" i="10"/>
  <c r="BF596" i="10"/>
  <c r="BH596" i="10" s="1"/>
  <c r="L596" i="10"/>
  <c r="AR422" i="7"/>
  <c r="AU422" i="3" s="1"/>
  <c r="AQ422" i="7"/>
  <c r="AT422" i="3" s="1"/>
  <c r="AR422" i="3"/>
  <c r="BF807" i="10"/>
  <c r="BH807" i="10" s="1"/>
  <c r="BR873" i="10"/>
  <c r="J873" i="10"/>
  <c r="AQ52" i="7"/>
  <c r="AT52" i="3" s="1"/>
  <c r="AR52" i="7"/>
  <c r="AU52" i="3" s="1"/>
  <c r="AR52" i="3"/>
  <c r="BU845" i="10"/>
  <c r="BU850" i="10"/>
  <c r="BU843" i="10"/>
  <c r="BU853" i="10"/>
  <c r="BU851" i="10"/>
  <c r="BU852" i="10"/>
  <c r="BU849" i="10"/>
  <c r="BU861" i="10"/>
  <c r="BU854" i="10"/>
  <c r="BU841" i="10"/>
  <c r="BU858" i="10"/>
  <c r="CA63" i="9"/>
  <c r="CA64" i="9"/>
  <c r="BU842" i="10"/>
  <c r="BU860" i="10"/>
  <c r="CA65" i="9"/>
  <c r="BU844" i="10"/>
  <c r="BU857" i="10"/>
  <c r="BU846" i="10"/>
  <c r="BU862" i="10"/>
  <c r="BU847" i="10"/>
  <c r="BU848" i="10"/>
  <c r="BU859" i="10"/>
  <c r="CA62" i="9"/>
  <c r="BU855" i="10"/>
  <c r="BU856" i="10"/>
  <c r="AR280" i="7"/>
  <c r="AU280" i="3" s="1"/>
  <c r="AQ280" i="7"/>
  <c r="AT280" i="3" s="1"/>
  <c r="AR280" i="3"/>
  <c r="AQ92" i="7"/>
  <c r="AT92" i="3" s="1"/>
  <c r="AR92" i="3"/>
  <c r="AR92" i="7"/>
  <c r="AU92" i="3" s="1"/>
  <c r="M806" i="10"/>
  <c r="M313" i="8"/>
  <c r="L313" i="8"/>
  <c r="K313" i="8"/>
  <c r="H87" i="8" s="1"/>
  <c r="G313" i="8"/>
  <c r="E87" i="8"/>
  <c r="AR327" i="7"/>
  <c r="AU327" i="3" s="1"/>
  <c r="AQ327" i="7"/>
  <c r="AT327" i="3" s="1"/>
  <c r="AR327" i="3"/>
  <c r="BR594" i="10"/>
  <c r="J594" i="10"/>
  <c r="AR289" i="10"/>
  <c r="AQ289" i="10"/>
  <c r="AQ155" i="10"/>
  <c r="AR155" i="10"/>
  <c r="BR902" i="10"/>
  <c r="J902" i="10"/>
  <c r="AR375" i="10"/>
  <c r="AQ375" i="10"/>
  <c r="AR21" i="7"/>
  <c r="AU21" i="3" s="1"/>
  <c r="AR21" i="3"/>
  <c r="AQ21" i="7"/>
  <c r="AT21" i="3" s="1"/>
  <c r="AQ228" i="10"/>
  <c r="AR228" i="10"/>
  <c r="AR394" i="7"/>
  <c r="AU394" i="3" s="1"/>
  <c r="AQ394" i="7"/>
  <c r="AT394" i="3" s="1"/>
  <c r="AR394" i="3"/>
  <c r="AR422" i="10"/>
  <c r="AQ422" i="10"/>
  <c r="L538" i="10"/>
  <c r="BF538" i="10"/>
  <c r="BH538" i="10" s="1"/>
  <c r="K23" i="17"/>
  <c r="J23" i="17"/>
  <c r="BR790" i="10"/>
  <c r="J790" i="10"/>
  <c r="AR15" i="3"/>
  <c r="AQ15" i="7"/>
  <c r="AT15" i="3" s="1"/>
  <c r="AR15" i="7"/>
  <c r="AU15" i="3" s="1"/>
  <c r="AQ399" i="7"/>
  <c r="AT399" i="3" s="1"/>
  <c r="AR399" i="3"/>
  <c r="AR399" i="7"/>
  <c r="AU399" i="3" s="1"/>
  <c r="BR884" i="10"/>
  <c r="J884" i="10"/>
  <c r="AQ253" i="7"/>
  <c r="AT253" i="3" s="1"/>
  <c r="AR253" i="7"/>
  <c r="AU253" i="3" s="1"/>
  <c r="AR253" i="3"/>
  <c r="AR330" i="3"/>
  <c r="AR330" i="7"/>
  <c r="AU330" i="3" s="1"/>
  <c r="AQ330" i="7"/>
  <c r="AT330" i="3" s="1"/>
  <c r="AR357" i="3"/>
  <c r="AQ357" i="7"/>
  <c r="AT357" i="3" s="1"/>
  <c r="AR357" i="7"/>
  <c r="AU357" i="3" s="1"/>
  <c r="AQ258" i="7"/>
  <c r="AT258" i="3" s="1"/>
  <c r="AR258" i="3"/>
  <c r="AR258" i="7"/>
  <c r="AU258" i="3" s="1"/>
  <c r="AR172" i="7"/>
  <c r="AU172" i="3" s="1"/>
  <c r="AQ172" i="7"/>
  <c r="AT172" i="3" s="1"/>
  <c r="AR172" i="3"/>
  <c r="AR92" i="10"/>
  <c r="AQ92" i="10"/>
  <c r="AQ26" i="7"/>
  <c r="AT26" i="3" s="1"/>
  <c r="AR26" i="7"/>
  <c r="AU26" i="3" s="1"/>
  <c r="AR26" i="3"/>
  <c r="AQ367" i="7"/>
  <c r="AT367" i="3" s="1"/>
  <c r="AR367" i="7"/>
  <c r="AU367" i="3" s="1"/>
  <c r="AR367" i="3"/>
  <c r="O23" i="4"/>
  <c r="D29" i="4"/>
  <c r="F29" i="4"/>
  <c r="R23" i="4" s="1"/>
  <c r="AR131" i="10"/>
  <c r="AQ131" i="10"/>
  <c r="BR759" i="10"/>
  <c r="J759" i="10"/>
  <c r="BR526" i="10"/>
  <c r="J526" i="10"/>
  <c r="BR536" i="10"/>
  <c r="J536" i="10"/>
  <c r="BR621" i="10"/>
  <c r="J621" i="10"/>
  <c r="AR178" i="7"/>
  <c r="AU178" i="3" s="1"/>
  <c r="AQ178" i="7"/>
  <c r="AT178" i="3" s="1"/>
  <c r="AR178" i="3"/>
  <c r="BR707" i="10"/>
  <c r="J707" i="10"/>
  <c r="AQ165" i="7"/>
  <c r="AT165" i="3" s="1"/>
  <c r="AR165" i="7"/>
  <c r="AU165" i="3" s="1"/>
  <c r="AR165" i="3"/>
  <c r="BR711" i="10"/>
  <c r="J711" i="10"/>
  <c r="AR265" i="10"/>
  <c r="AQ265" i="10"/>
  <c r="L589" i="10"/>
  <c r="BF589" i="10"/>
  <c r="BH589" i="10" s="1"/>
  <c r="AR42" i="10"/>
  <c r="AQ42" i="10"/>
  <c r="L794" i="10"/>
  <c r="BF794" i="10"/>
  <c r="BH794" i="10" s="1"/>
  <c r="AR23" i="7"/>
  <c r="AU23" i="3" s="1"/>
  <c r="AQ23" i="7"/>
  <c r="AT23" i="3" s="1"/>
  <c r="AR23" i="3"/>
  <c r="AR20" i="7"/>
  <c r="AU20" i="3" s="1"/>
  <c r="AQ20" i="7"/>
  <c r="AT20" i="3" s="1"/>
  <c r="AR20" i="3"/>
  <c r="AR314" i="7"/>
  <c r="AU314" i="3" s="1"/>
  <c r="AR314" i="3"/>
  <c r="AQ314" i="7"/>
  <c r="AT314" i="3" s="1"/>
  <c r="AR140" i="3"/>
  <c r="AQ140" i="7"/>
  <c r="AT140" i="3" s="1"/>
  <c r="AR140" i="7"/>
  <c r="AU140" i="3" s="1"/>
  <c r="AQ357" i="10"/>
  <c r="AR357" i="10"/>
  <c r="AQ312" i="7"/>
  <c r="AT312" i="3" s="1"/>
  <c r="AR312" i="7"/>
  <c r="AU312" i="3" s="1"/>
  <c r="AR312" i="3"/>
  <c r="AR331" i="3"/>
  <c r="AR331" i="7"/>
  <c r="AU331" i="3" s="1"/>
  <c r="AQ331" i="7"/>
  <c r="AT331" i="3" s="1"/>
  <c r="BR614" i="10"/>
  <c r="J614" i="10"/>
  <c r="AR72" i="7"/>
  <c r="AU72" i="3" s="1"/>
  <c r="AR72" i="3"/>
  <c r="AQ72" i="7"/>
  <c r="AT72" i="3" s="1"/>
  <c r="AQ337" i="7"/>
  <c r="AT337" i="3" s="1"/>
  <c r="AR337" i="7"/>
  <c r="AU337" i="3" s="1"/>
  <c r="AR337" i="3"/>
  <c r="AQ63" i="10"/>
  <c r="AR63" i="10"/>
  <c r="AQ301" i="7"/>
  <c r="AT301" i="3" s="1"/>
  <c r="AR301" i="7"/>
  <c r="AU301" i="3" s="1"/>
  <c r="AR301" i="3"/>
  <c r="AR154" i="3"/>
  <c r="AR154" i="7"/>
  <c r="AU154" i="3" s="1"/>
  <c r="AQ154" i="7"/>
  <c r="AT154" i="3" s="1"/>
  <c r="AQ24" i="7"/>
  <c r="AT24" i="3" s="1"/>
  <c r="AR24" i="3"/>
  <c r="AR24" i="7"/>
  <c r="AU24" i="3" s="1"/>
  <c r="AQ401" i="10"/>
  <c r="AR401" i="10"/>
  <c r="AR193" i="3"/>
  <c r="AR193" i="7"/>
  <c r="AU193" i="3" s="1"/>
  <c r="AQ193" i="7"/>
  <c r="AT193" i="3" s="1"/>
  <c r="C286" i="8"/>
  <c r="H17" i="8"/>
  <c r="AQ400" i="7"/>
  <c r="AT400" i="3" s="1"/>
  <c r="AR400" i="7"/>
  <c r="AU400" i="3" s="1"/>
  <c r="AR400" i="3"/>
  <c r="AR231" i="10"/>
  <c r="AQ231" i="10"/>
  <c r="AQ196" i="7"/>
  <c r="AT196" i="3" s="1"/>
  <c r="AR196" i="3"/>
  <c r="AR196" i="7"/>
  <c r="AU196" i="3" s="1"/>
  <c r="L680" i="10"/>
  <c r="BF680" i="10"/>
  <c r="BH680" i="10" s="1"/>
  <c r="BR532" i="10"/>
  <c r="J532" i="10"/>
  <c r="BR646" i="10"/>
  <c r="J646" i="10"/>
  <c r="AR205" i="10"/>
  <c r="AQ205" i="10"/>
  <c r="AQ151" i="10"/>
  <c r="AR151" i="10"/>
  <c r="BR766" i="10"/>
  <c r="J766" i="10"/>
  <c r="C281" i="8"/>
  <c r="H12" i="8"/>
  <c r="G308" i="8"/>
  <c r="M308" i="8"/>
  <c r="K308" i="8"/>
  <c r="H82" i="8" s="1"/>
  <c r="L308" i="8"/>
  <c r="E82" i="8"/>
  <c r="BR545" i="10"/>
  <c r="J545" i="10"/>
  <c r="F21" i="4"/>
  <c r="R15" i="4" s="1"/>
  <c r="O15" i="4"/>
  <c r="D21" i="4"/>
  <c r="AR288" i="7"/>
  <c r="AU288" i="3" s="1"/>
  <c r="AQ288" i="7"/>
  <c r="AT288" i="3" s="1"/>
  <c r="AR288" i="3"/>
  <c r="BR662" i="10"/>
  <c r="J662" i="10"/>
  <c r="AQ352" i="7"/>
  <c r="AT352" i="3" s="1"/>
  <c r="AR352" i="7"/>
  <c r="AU352" i="3" s="1"/>
  <c r="AR352" i="3"/>
  <c r="AQ342" i="10"/>
  <c r="AR342" i="10"/>
  <c r="L15" i="28"/>
  <c r="AQ139" i="7"/>
  <c r="AT139" i="3" s="1"/>
  <c r="AR139" i="7"/>
  <c r="AU139" i="3" s="1"/>
  <c r="AR139" i="3"/>
  <c r="AR319" i="10"/>
  <c r="AQ319" i="10"/>
  <c r="L846" i="10"/>
  <c r="BF846" i="10"/>
  <c r="BH846" i="10" s="1"/>
  <c r="AQ414" i="7"/>
  <c r="AT414" i="3" s="1"/>
  <c r="AR414" i="7"/>
  <c r="AU414" i="3" s="1"/>
  <c r="AR414" i="3"/>
  <c r="L519" i="10"/>
  <c r="BF519" i="10"/>
  <c r="BH519" i="10" s="1"/>
  <c r="AR326" i="7"/>
  <c r="AU326" i="3" s="1"/>
  <c r="AQ326" i="7"/>
  <c r="AT326" i="3" s="1"/>
  <c r="AR326" i="3"/>
  <c r="AR256" i="7"/>
  <c r="AU256" i="3" s="1"/>
  <c r="AQ256" i="7"/>
  <c r="AT256" i="3" s="1"/>
  <c r="AR256" i="3"/>
  <c r="L709" i="10"/>
  <c r="BF709" i="10"/>
  <c r="BH709" i="10" s="1"/>
  <c r="AP124" i="10"/>
  <c r="C12" i="17"/>
  <c r="AQ301" i="10"/>
  <c r="AR301" i="10"/>
  <c r="AR218" i="7"/>
  <c r="AU218" i="3" s="1"/>
  <c r="AQ218" i="7"/>
  <c r="AT218" i="3" s="1"/>
  <c r="AR218" i="3"/>
  <c r="AQ393" i="10"/>
  <c r="AR393" i="10"/>
  <c r="AQ317" i="10"/>
  <c r="AR317" i="10"/>
  <c r="L858" i="10"/>
  <c r="BF858" i="10"/>
  <c r="BH858" i="10" s="1"/>
  <c r="BF608" i="10"/>
  <c r="BH608" i="10" s="1"/>
  <c r="L608" i="10"/>
  <c r="AR421" i="3"/>
  <c r="AR421" i="7"/>
  <c r="AU421" i="3" s="1"/>
  <c r="AQ421" i="7"/>
  <c r="AT421" i="3" s="1"/>
  <c r="AQ290" i="7"/>
  <c r="AT290" i="3" s="1"/>
  <c r="AR290" i="3"/>
  <c r="AR290" i="7"/>
  <c r="AU290" i="3" s="1"/>
  <c r="L758" i="10"/>
  <c r="BF758" i="10"/>
  <c r="BH758" i="10" s="1"/>
  <c r="BR864" i="10"/>
  <c r="J864" i="10"/>
  <c r="AQ224" i="10"/>
  <c r="AR224" i="10"/>
  <c r="AR185" i="7"/>
  <c r="AU185" i="3" s="1"/>
  <c r="AQ185" i="7"/>
  <c r="AT185" i="3" s="1"/>
  <c r="AR185" i="3"/>
  <c r="AR226" i="3"/>
  <c r="AR226" i="7"/>
  <c r="AU226" i="3" s="1"/>
  <c r="AQ226" i="7"/>
  <c r="AT226" i="3" s="1"/>
  <c r="L25" i="28"/>
  <c r="L835" i="10"/>
  <c r="BF835" i="10"/>
  <c r="BH835" i="10" s="1"/>
  <c r="C274" i="8"/>
  <c r="H5" i="8"/>
  <c r="K8" i="17"/>
  <c r="J8" i="17"/>
  <c r="AQ99" i="10"/>
  <c r="AR99" i="10"/>
  <c r="AR321" i="3"/>
  <c r="AR321" i="7"/>
  <c r="AU321" i="3" s="1"/>
  <c r="AQ321" i="7"/>
  <c r="AT321" i="3" s="1"/>
  <c r="BF625" i="10"/>
  <c r="BH625" i="10" s="1"/>
  <c r="L625" i="10"/>
  <c r="AR362" i="7"/>
  <c r="AU362" i="3" s="1"/>
  <c r="AQ362" i="7"/>
  <c r="AT362" i="3" s="1"/>
  <c r="AR362" i="3"/>
  <c r="AR125" i="3"/>
  <c r="AR125" i="7"/>
  <c r="AU125" i="3" s="1"/>
  <c r="AQ125" i="7"/>
  <c r="AT125" i="3" s="1"/>
  <c r="J228" i="8"/>
  <c r="K228" i="8"/>
  <c r="F84" i="14"/>
  <c r="AR326" i="10"/>
  <c r="AQ326" i="10"/>
  <c r="AQ240" i="10"/>
  <c r="AR240" i="10"/>
  <c r="AQ305" i="10"/>
  <c r="AR305" i="10"/>
  <c r="C284" i="8"/>
  <c r="H15" i="8"/>
  <c r="AR210" i="7"/>
  <c r="AU210" i="3" s="1"/>
  <c r="AQ210" i="7"/>
  <c r="AT210" i="3" s="1"/>
  <c r="AR210" i="3"/>
  <c r="BR705" i="10"/>
  <c r="J705" i="10"/>
  <c r="AR353" i="3"/>
  <c r="AQ353" i="7"/>
  <c r="AT353" i="3" s="1"/>
  <c r="AR353" i="7"/>
  <c r="AU353" i="3" s="1"/>
  <c r="AR363" i="10"/>
  <c r="AQ363" i="10"/>
  <c r="AQ94" i="7"/>
  <c r="AT94" i="3" s="1"/>
  <c r="AR94" i="7"/>
  <c r="AU94" i="3" s="1"/>
  <c r="AR94" i="3"/>
  <c r="AQ118" i="10"/>
  <c r="AR118" i="10"/>
  <c r="AQ294" i="10"/>
  <c r="AR294" i="10"/>
  <c r="G124" i="8"/>
  <c r="G131" i="8"/>
  <c r="G119" i="8"/>
  <c r="G121" i="8"/>
  <c r="G120" i="8"/>
  <c r="G128" i="8"/>
  <c r="G134" i="8"/>
  <c r="C278" i="8"/>
  <c r="G123" i="8"/>
  <c r="G133" i="8"/>
  <c r="G126" i="8"/>
  <c r="G122" i="8"/>
  <c r="H9" i="8"/>
  <c r="G127" i="8"/>
  <c r="G130" i="8"/>
  <c r="G135" i="8"/>
  <c r="G125" i="8"/>
  <c r="G129" i="8"/>
  <c r="G132" i="8"/>
  <c r="BF607" i="10"/>
  <c r="BH607" i="10" s="1"/>
  <c r="L607" i="10"/>
  <c r="AR324" i="10"/>
  <c r="AQ324" i="10"/>
  <c r="AP24" i="10"/>
  <c r="C8" i="17"/>
  <c r="BR719" i="10"/>
  <c r="J719" i="10"/>
  <c r="AQ287" i="10"/>
  <c r="AR287" i="10"/>
  <c r="AQ302" i="10"/>
  <c r="AR302" i="10"/>
  <c r="AR160" i="3"/>
  <c r="AQ160" i="7"/>
  <c r="AT160" i="3" s="1"/>
  <c r="AR160" i="7"/>
  <c r="AU160" i="3" s="1"/>
  <c r="M752" i="10"/>
  <c r="BR677" i="10"/>
  <c r="J677" i="10"/>
  <c r="AR153" i="7"/>
  <c r="AU153" i="3" s="1"/>
  <c r="AQ153" i="7"/>
  <c r="AT153" i="3" s="1"/>
  <c r="AR153" i="3"/>
  <c r="AQ147" i="7"/>
  <c r="AT147" i="3" s="1"/>
  <c r="AR147" i="7"/>
  <c r="AU147" i="3" s="1"/>
  <c r="AR147" i="3"/>
  <c r="L742" i="10"/>
  <c r="BF742" i="10"/>
  <c r="BH742" i="10" s="1"/>
  <c r="BF787" i="10"/>
  <c r="BH787" i="10" s="1"/>
  <c r="L787" i="10"/>
  <c r="BF693" i="10"/>
  <c r="BH693" i="10" s="1"/>
  <c r="L693" i="10"/>
  <c r="AR51" i="10"/>
  <c r="AQ51" i="10"/>
  <c r="BF810" i="10"/>
  <c r="BH810" i="10" s="1"/>
  <c r="L810" i="10"/>
  <c r="BR745" i="10"/>
  <c r="J745" i="10"/>
  <c r="AR16" i="10"/>
  <c r="AQ16" i="10"/>
  <c r="AQ174" i="10"/>
  <c r="AR174" i="10"/>
  <c r="AR391" i="3"/>
  <c r="AQ391" i="7"/>
  <c r="AT391" i="3" s="1"/>
  <c r="AR391" i="7"/>
  <c r="AU391" i="3" s="1"/>
  <c r="AQ108" i="10"/>
  <c r="AR108" i="10"/>
  <c r="AR221" i="10"/>
  <c r="AQ221" i="10"/>
  <c r="AR370" i="7"/>
  <c r="AU370" i="3" s="1"/>
  <c r="AQ370" i="7"/>
  <c r="AT370" i="3" s="1"/>
  <c r="AR370" i="3"/>
  <c r="AR226" i="10"/>
  <c r="AQ226" i="10"/>
  <c r="AR156" i="7"/>
  <c r="AU156" i="3" s="1"/>
  <c r="AQ156" i="7"/>
  <c r="AT156" i="3" s="1"/>
  <c r="AR156" i="3"/>
  <c r="AR299" i="7"/>
  <c r="AU299" i="3" s="1"/>
  <c r="AQ299" i="7"/>
  <c r="AT299" i="3" s="1"/>
  <c r="AR299" i="3"/>
  <c r="BF725" i="10"/>
  <c r="BH725" i="10" s="1"/>
  <c r="L725" i="10"/>
  <c r="AR36" i="3"/>
  <c r="AR36" i="7"/>
  <c r="AU36" i="3" s="1"/>
  <c r="AQ36" i="7"/>
  <c r="AT36" i="3" s="1"/>
  <c r="AR190" i="3"/>
  <c r="AQ190" i="7"/>
  <c r="AT190" i="3" s="1"/>
  <c r="AR190" i="7"/>
  <c r="AU190" i="3" s="1"/>
  <c r="AQ123" i="7"/>
  <c r="AT123" i="3" s="1"/>
  <c r="AR123" i="7"/>
  <c r="AU123" i="3" s="1"/>
  <c r="AR123" i="3"/>
  <c r="BU699" i="10"/>
  <c r="BU567" i="10"/>
  <c r="BU554" i="10"/>
  <c r="CA36" i="9"/>
  <c r="BU880" i="10"/>
  <c r="BU521" i="10"/>
  <c r="CA56" i="9"/>
  <c r="BU886" i="10"/>
  <c r="BU520" i="10"/>
  <c r="BU591" i="10"/>
  <c r="BU552" i="10"/>
  <c r="BU592" i="10"/>
  <c r="BU661" i="10"/>
  <c r="BU557" i="10"/>
  <c r="BU741" i="10"/>
  <c r="BU523" i="10"/>
  <c r="BU809" i="10"/>
  <c r="AX270" i="11"/>
  <c r="BR812" i="10"/>
  <c r="J812" i="10"/>
  <c r="AR109" i="7"/>
  <c r="AU109" i="3" s="1"/>
  <c r="AR109" i="3"/>
  <c r="AQ109" i="7"/>
  <c r="AT109" i="3" s="1"/>
  <c r="AR49" i="7"/>
  <c r="AU49" i="3" s="1"/>
  <c r="AR49" i="3"/>
  <c r="AQ49" i="7"/>
  <c r="AT49" i="3" s="1"/>
  <c r="AR116" i="7"/>
  <c r="AU116" i="3" s="1"/>
  <c r="AQ116" i="7"/>
  <c r="AT116" i="3" s="1"/>
  <c r="AR116" i="3"/>
  <c r="AR121" i="10"/>
  <c r="AQ121" i="10"/>
  <c r="AR261" i="7"/>
  <c r="AU261" i="3" s="1"/>
  <c r="AR261" i="3"/>
  <c r="AQ261" i="7"/>
  <c r="AT261" i="3" s="1"/>
  <c r="AR189" i="3"/>
  <c r="AR189" i="7"/>
  <c r="AU189" i="3" s="1"/>
  <c r="AQ189" i="7"/>
  <c r="AT189" i="3" s="1"/>
  <c r="AR402" i="10"/>
  <c r="AQ402" i="10"/>
  <c r="BR821" i="10"/>
  <c r="J821" i="10"/>
  <c r="AR405" i="7"/>
  <c r="AU405" i="3" s="1"/>
  <c r="AR405" i="3"/>
  <c r="AQ405" i="7"/>
  <c r="AT405" i="3" s="1"/>
  <c r="L300" i="8"/>
  <c r="E74" i="8"/>
  <c r="K300" i="8"/>
  <c r="M300" i="8"/>
  <c r="G300" i="8"/>
  <c r="AR385" i="3"/>
  <c r="AR385" i="7"/>
  <c r="AU385" i="3" s="1"/>
  <c r="AQ385" i="7"/>
  <c r="AT385" i="3" s="1"/>
  <c r="AQ109" i="10"/>
  <c r="AR109" i="10"/>
  <c r="BR605" i="10"/>
  <c r="J605" i="10"/>
  <c r="AR424" i="3"/>
  <c r="AR424" i="7"/>
  <c r="AU424" i="3" s="1"/>
  <c r="AQ424" i="7"/>
  <c r="AT424" i="3" s="1"/>
  <c r="AR186" i="10"/>
  <c r="AQ186" i="10"/>
  <c r="BF690" i="10"/>
  <c r="BH690" i="10" s="1"/>
  <c r="L690" i="10"/>
  <c r="BR771" i="10"/>
  <c r="J771" i="10"/>
  <c r="M598" i="10"/>
  <c r="AR197" i="7"/>
  <c r="AU197" i="3" s="1"/>
  <c r="AQ197" i="7"/>
  <c r="AT197" i="3" s="1"/>
  <c r="AR197" i="3"/>
  <c r="AQ379" i="7"/>
  <c r="AT379" i="3" s="1"/>
  <c r="AR379" i="3"/>
  <c r="AR379" i="7"/>
  <c r="AU379" i="3" s="1"/>
  <c r="AP325" i="10"/>
  <c r="C20" i="17"/>
  <c r="AR359" i="10"/>
  <c r="AQ359" i="10"/>
  <c r="BR839" i="10"/>
  <c r="J839" i="10"/>
  <c r="K222" i="8"/>
  <c r="J222" i="8"/>
  <c r="AR50" i="7"/>
  <c r="AU50" i="3" s="1"/>
  <c r="AQ50" i="7"/>
  <c r="AT50" i="3" s="1"/>
  <c r="AR50" i="3"/>
  <c r="AR45" i="3"/>
  <c r="AR45" i="7"/>
  <c r="AU45" i="3" s="1"/>
  <c r="AQ45" i="7"/>
  <c r="AT45" i="3" s="1"/>
  <c r="AR60" i="10"/>
  <c r="AQ60" i="10"/>
  <c r="BR669" i="10"/>
  <c r="J669" i="10"/>
  <c r="AQ366" i="7"/>
  <c r="AT366" i="3" s="1"/>
  <c r="AR366" i="3"/>
  <c r="AR366" i="7"/>
  <c r="AU366" i="3" s="1"/>
  <c r="AQ206" i="10"/>
  <c r="AR206" i="10"/>
  <c r="BR776" i="10"/>
  <c r="J776" i="10"/>
  <c r="AR35" i="10"/>
  <c r="AQ35" i="10"/>
  <c r="AR87" i="3"/>
  <c r="AR87" i="7"/>
  <c r="AU87" i="3" s="1"/>
  <c r="AQ87" i="7"/>
  <c r="AT87" i="3" s="1"/>
  <c r="BF909" i="10"/>
  <c r="BH909" i="10" s="1"/>
  <c r="L909" i="10"/>
  <c r="AQ405" i="10"/>
  <c r="AR405" i="10"/>
  <c r="BR610" i="10"/>
  <c r="J610" i="10"/>
  <c r="BR845" i="10"/>
  <c r="J845" i="10"/>
  <c r="AR215" i="10"/>
  <c r="AQ215" i="10"/>
  <c r="BF848" i="10"/>
  <c r="BH848" i="10" s="1"/>
  <c r="L848" i="10"/>
  <c r="AR53" i="10"/>
  <c r="AQ53" i="10"/>
  <c r="BF667" i="10"/>
  <c r="BH667" i="10" s="1"/>
  <c r="L667" i="10"/>
  <c r="AR133" i="7"/>
  <c r="AU133" i="3" s="1"/>
  <c r="AQ133" i="7"/>
  <c r="AT133" i="3" s="1"/>
  <c r="AR133" i="3"/>
  <c r="AR403" i="10"/>
  <c r="AQ403" i="10"/>
  <c r="BR791" i="10"/>
  <c r="J791" i="10"/>
  <c r="M872" i="10"/>
  <c r="M831" i="10"/>
  <c r="AR266" i="10"/>
  <c r="AQ266" i="10"/>
  <c r="BR861" i="10"/>
  <c r="J861" i="10"/>
  <c r="BR636" i="10"/>
  <c r="J636" i="10"/>
  <c r="F494" i="10"/>
  <c r="L749" i="10"/>
  <c r="BF749" i="10"/>
  <c r="BH749" i="10" s="1"/>
  <c r="BR717" i="10"/>
  <c r="J717" i="10"/>
  <c r="J230" i="8"/>
  <c r="K230" i="8"/>
  <c r="AR148" i="7"/>
  <c r="AU148" i="3" s="1"/>
  <c r="AQ148" i="7"/>
  <c r="AT148" i="3" s="1"/>
  <c r="AR148" i="3"/>
  <c r="AR238" i="7"/>
  <c r="AU238" i="3" s="1"/>
  <c r="AQ238" i="7"/>
  <c r="AT238" i="3" s="1"/>
  <c r="AR238" i="3"/>
  <c r="AQ14" i="10"/>
  <c r="AR14" i="10"/>
  <c r="BR509" i="10"/>
  <c r="J509" i="10"/>
  <c r="AQ183" i="7"/>
  <c r="AT183" i="3" s="1"/>
  <c r="AR183" i="3"/>
  <c r="AR183" i="7"/>
  <c r="AU183" i="3" s="1"/>
  <c r="AQ427" i="10"/>
  <c r="AR427" i="10"/>
  <c r="AR428" i="7"/>
  <c r="AU428" i="3" s="1"/>
  <c r="AQ428" i="7"/>
  <c r="AT428" i="3" s="1"/>
  <c r="AR428" i="3"/>
  <c r="AR365" i="10"/>
  <c r="AQ365" i="10"/>
  <c r="M555" i="10"/>
  <c r="AR17" i="3"/>
  <c r="AR17" i="7"/>
  <c r="AU17" i="3" s="1"/>
  <c r="AQ17" i="7"/>
  <c r="AT17" i="3" s="1"/>
  <c r="AR345" i="3"/>
  <c r="AQ345" i="7"/>
  <c r="AT345" i="3" s="1"/>
  <c r="AR345" i="7"/>
  <c r="AU345" i="3" s="1"/>
  <c r="AQ117" i="7"/>
  <c r="AT117" i="3" s="1"/>
  <c r="AR117" i="3"/>
  <c r="AR117" i="7"/>
  <c r="AU117" i="3" s="1"/>
  <c r="AR191" i="10"/>
  <c r="AQ191" i="10"/>
  <c r="AQ141" i="10"/>
  <c r="AR141" i="10"/>
  <c r="AR216" i="3"/>
  <c r="AR216" i="7"/>
  <c r="AU216" i="3" s="1"/>
  <c r="AQ216" i="7"/>
  <c r="AT216" i="3" s="1"/>
  <c r="AR58" i="10"/>
  <c r="AQ58" i="10"/>
  <c r="AR183" i="10"/>
  <c r="AQ183" i="10"/>
  <c r="C287" i="8"/>
  <c r="H18" i="8"/>
  <c r="AR194" i="3"/>
  <c r="AR194" i="7"/>
  <c r="AU194" i="3" s="1"/>
  <c r="AQ194" i="7"/>
  <c r="AT194" i="3" s="1"/>
  <c r="AR9" i="7"/>
  <c r="AU9" i="3" s="1"/>
  <c r="AR9" i="3"/>
  <c r="AQ9" i="7"/>
  <c r="AT9" i="3" s="1"/>
  <c r="AR323" i="10"/>
  <c r="AQ323" i="10"/>
  <c r="BR911" i="10"/>
  <c r="J911" i="10"/>
  <c r="AQ389" i="7"/>
  <c r="AT389" i="3" s="1"/>
  <c r="AR389" i="3"/>
  <c r="AR389" i="7"/>
  <c r="AU389" i="3" s="1"/>
  <c r="BR823" i="10"/>
  <c r="J823" i="10"/>
  <c r="AR17" i="10"/>
  <c r="AQ17" i="10"/>
  <c r="D20" i="4"/>
  <c r="O14" i="4"/>
  <c r="F20" i="4"/>
  <c r="R14" i="4" s="1"/>
  <c r="AQ167" i="7"/>
  <c r="AT167" i="3" s="1"/>
  <c r="AR167" i="7"/>
  <c r="AU167" i="3" s="1"/>
  <c r="AR167" i="3"/>
  <c r="BR886" i="10"/>
  <c r="J886" i="10"/>
  <c r="AR247" i="3"/>
  <c r="AR247" i="7"/>
  <c r="AU247" i="3" s="1"/>
  <c r="AQ247" i="7"/>
  <c r="AT247" i="3" s="1"/>
  <c r="AR259" i="7"/>
  <c r="AU259" i="3" s="1"/>
  <c r="AQ259" i="7"/>
  <c r="AT259" i="3" s="1"/>
  <c r="AR259" i="3"/>
  <c r="BR618" i="10"/>
  <c r="J618" i="10"/>
  <c r="AR262" i="7"/>
  <c r="AU262" i="3" s="1"/>
  <c r="AQ262" i="7"/>
  <c r="AT262" i="3" s="1"/>
  <c r="AR262" i="3"/>
  <c r="AR392" i="10"/>
  <c r="AQ392" i="10"/>
  <c r="AR61" i="10"/>
  <c r="AQ61" i="10"/>
  <c r="M524" i="10"/>
  <c r="J227" i="8"/>
  <c r="K227" i="8"/>
  <c r="AR212" i="3"/>
  <c r="AQ212" i="7"/>
  <c r="AT212" i="3" s="1"/>
  <c r="AR212" i="7"/>
  <c r="AU212" i="3" s="1"/>
  <c r="AR200" i="7"/>
  <c r="AU200" i="3" s="1"/>
  <c r="AQ200" i="7"/>
  <c r="AT200" i="3" s="1"/>
  <c r="AR200" i="3"/>
  <c r="AQ241" i="10"/>
  <c r="AR241" i="10"/>
  <c r="AR95" i="10"/>
  <c r="AQ95" i="10"/>
  <c r="AR100" i="10"/>
  <c r="AQ100" i="10"/>
  <c r="AQ297" i="7"/>
  <c r="AT297" i="3" s="1"/>
  <c r="AR297" i="7"/>
  <c r="AU297" i="3" s="1"/>
  <c r="AR297" i="3"/>
  <c r="AQ38" i="10"/>
  <c r="AR38" i="10"/>
  <c r="AQ70" i="7"/>
  <c r="AT70" i="3" s="1"/>
  <c r="AR70" i="3"/>
  <c r="AR70" i="7"/>
  <c r="AU70" i="3" s="1"/>
  <c r="AR334" i="10"/>
  <c r="AQ334" i="10"/>
  <c r="AR120" i="7"/>
  <c r="AU120" i="3" s="1"/>
  <c r="AQ120" i="7"/>
  <c r="AT120" i="3" s="1"/>
  <c r="AR120" i="3"/>
  <c r="AR389" i="10"/>
  <c r="AQ389" i="10"/>
  <c r="AR249" i="10"/>
  <c r="AQ249" i="10"/>
  <c r="AQ219" i="10"/>
  <c r="AR219" i="10"/>
  <c r="L516" i="10"/>
  <c r="BF516" i="10"/>
  <c r="BH516" i="10" s="1"/>
  <c r="L597" i="10"/>
  <c r="BF597" i="10"/>
  <c r="BH597" i="10" s="1"/>
  <c r="AQ376" i="7"/>
  <c r="AT376" i="3" s="1"/>
  <c r="AR376" i="7"/>
  <c r="AU376" i="3" s="1"/>
  <c r="AR376" i="3"/>
  <c r="AR425" i="7"/>
  <c r="AU425" i="3" s="1"/>
  <c r="AQ425" i="7"/>
  <c r="AT425" i="3" s="1"/>
  <c r="AR425" i="3"/>
  <c r="C22" i="17"/>
  <c r="AR386" i="3"/>
  <c r="AQ386" i="7"/>
  <c r="AT386" i="3" s="1"/>
  <c r="AR386" i="7"/>
  <c r="AU386" i="3" s="1"/>
  <c r="AR344" i="10"/>
  <c r="AQ344" i="10"/>
  <c r="AR203" i="3"/>
  <c r="AR203" i="7"/>
  <c r="AU203" i="3" s="1"/>
  <c r="AQ203" i="7"/>
  <c r="AT203" i="3" s="1"/>
  <c r="BF515" i="10"/>
  <c r="BH515" i="10" s="1"/>
  <c r="L515" i="10"/>
  <c r="AR58" i="7"/>
  <c r="AU58" i="3" s="1"/>
  <c r="AQ58" i="7"/>
  <c r="AT58" i="3" s="1"/>
  <c r="AR58" i="3"/>
  <c r="AQ32" i="7"/>
  <c r="AT32" i="3" s="1"/>
  <c r="AR32" i="3"/>
  <c r="AR32" i="7"/>
  <c r="AU32" i="3" s="1"/>
  <c r="BR521" i="10"/>
  <c r="J521" i="10"/>
  <c r="AR29" i="7"/>
  <c r="AU29" i="3" s="1"/>
  <c r="AQ29" i="7"/>
  <c r="AT29" i="3" s="1"/>
  <c r="AR29" i="3"/>
  <c r="BR779" i="10"/>
  <c r="J779" i="10"/>
  <c r="AR351" i="7"/>
  <c r="AU351" i="3" s="1"/>
  <c r="AQ351" i="7"/>
  <c r="AT351" i="3" s="1"/>
  <c r="AR351" i="3"/>
  <c r="AQ88" i="7"/>
  <c r="AT88" i="3" s="1"/>
  <c r="AR88" i="7"/>
  <c r="AU88" i="3" s="1"/>
  <c r="AR88" i="3"/>
  <c r="AR67" i="3"/>
  <c r="AR67" i="7"/>
  <c r="AU67" i="3" s="1"/>
  <c r="AQ67" i="7"/>
  <c r="AT67" i="3" s="1"/>
  <c r="AR273" i="7"/>
  <c r="AU273" i="3" s="1"/>
  <c r="AQ273" i="7"/>
  <c r="AT273" i="3" s="1"/>
  <c r="AR273" i="3"/>
  <c r="AR313" i="10"/>
  <c r="AQ313" i="10"/>
  <c r="AR274" i="10"/>
  <c r="AQ274" i="10"/>
  <c r="AQ187" i="10"/>
  <c r="AR187" i="10"/>
  <c r="AR216" i="10"/>
  <c r="AQ216" i="10"/>
  <c r="L30" i="28"/>
  <c r="AR75" i="3"/>
  <c r="AR75" i="7"/>
  <c r="AU75" i="3" s="1"/>
  <c r="AQ75" i="7"/>
  <c r="AT75" i="3" s="1"/>
  <c r="BR547" i="10"/>
  <c r="J547" i="10"/>
  <c r="L20" i="28"/>
  <c r="AR306" i="3"/>
  <c r="AR306" i="7"/>
  <c r="AU306" i="3" s="1"/>
  <c r="AQ306" i="7"/>
  <c r="AT306" i="3" s="1"/>
  <c r="AR182" i="7"/>
  <c r="AU182" i="3" s="1"/>
  <c r="AQ182" i="7"/>
  <c r="AT182" i="3" s="1"/>
  <c r="AR182" i="3"/>
  <c r="AR378" i="7"/>
  <c r="AU378" i="3" s="1"/>
  <c r="AR378" i="3"/>
  <c r="AQ378" i="7"/>
  <c r="AT378" i="3" s="1"/>
  <c r="AR333" i="10"/>
  <c r="AQ333" i="10"/>
  <c r="AR43" i="10"/>
  <c r="AQ43" i="10"/>
  <c r="AR222" i="7"/>
  <c r="AU222" i="3" s="1"/>
  <c r="AQ222" i="7"/>
  <c r="AT222" i="3" s="1"/>
  <c r="AR222" i="3"/>
  <c r="AQ254" i="10"/>
  <c r="AR254" i="10"/>
  <c r="BR580" i="10"/>
  <c r="J580" i="10"/>
  <c r="BR500" i="10"/>
  <c r="J500" i="10"/>
  <c r="BF633" i="10"/>
  <c r="BH633" i="10" s="1"/>
  <c r="L633" i="10"/>
  <c r="AR212" i="10"/>
  <c r="AQ212" i="10"/>
  <c r="BR697" i="10"/>
  <c r="J697" i="10"/>
  <c r="BR804" i="10"/>
  <c r="J804" i="10"/>
  <c r="L585" i="10"/>
  <c r="BF585" i="10"/>
  <c r="BH585" i="10" s="1"/>
  <c r="AR11" i="3"/>
  <c r="AR11" i="7"/>
  <c r="AU11" i="3" s="1"/>
  <c r="AQ11" i="7"/>
  <c r="AT11" i="3" s="1"/>
  <c r="BR921" i="10"/>
  <c r="J921" i="10"/>
  <c r="AR252" i="3"/>
  <c r="AQ252" i="7"/>
  <c r="AT252" i="3" s="1"/>
  <c r="AR252" i="7"/>
  <c r="AU252" i="3" s="1"/>
  <c r="AQ373" i="7"/>
  <c r="AT373" i="3" s="1"/>
  <c r="AR373" i="3"/>
  <c r="AR373" i="7"/>
  <c r="AU373" i="3" s="1"/>
  <c r="AR376" i="10"/>
  <c r="AQ376" i="10"/>
  <c r="AR182" i="10"/>
  <c r="AQ182" i="10"/>
  <c r="AQ373" i="10"/>
  <c r="AR373" i="10"/>
  <c r="AR203" i="10"/>
  <c r="AQ203" i="10"/>
  <c r="AR332" i="7"/>
  <c r="AU332" i="3" s="1"/>
  <c r="AQ332" i="7"/>
  <c r="AT332" i="3" s="1"/>
  <c r="AR332" i="3"/>
  <c r="AR61" i="3"/>
  <c r="AQ61" i="7"/>
  <c r="AT61" i="3" s="1"/>
  <c r="AR61" i="7"/>
  <c r="AU61" i="3" s="1"/>
  <c r="BR837" i="10"/>
  <c r="J837" i="10"/>
  <c r="F22" i="4"/>
  <c r="R16" i="4" s="1"/>
  <c r="D22" i="4"/>
  <c r="O16" i="4"/>
  <c r="C16" i="17"/>
  <c r="AR157" i="10"/>
  <c r="AQ157" i="10"/>
  <c r="BR634" i="10"/>
  <c r="J634" i="10"/>
  <c r="AR11" i="10"/>
  <c r="AQ11" i="10"/>
  <c r="AQ341" i="7"/>
  <c r="AT341" i="3" s="1"/>
  <c r="AR341" i="7"/>
  <c r="AU341" i="3" s="1"/>
  <c r="AR341" i="3"/>
  <c r="AQ120" i="10"/>
  <c r="AR120" i="10"/>
  <c r="BR783" i="10"/>
  <c r="J783" i="10"/>
  <c r="BR862" i="10"/>
  <c r="J862" i="10"/>
  <c r="BR716" i="10"/>
  <c r="J716" i="10"/>
  <c r="BR904" i="10"/>
  <c r="J904" i="10"/>
  <c r="AR328" i="7"/>
  <c r="AU328" i="3" s="1"/>
  <c r="AR328" i="3"/>
  <c r="AQ328" i="7"/>
  <c r="AT328" i="3" s="1"/>
  <c r="L307" i="8"/>
  <c r="K307" i="8"/>
  <c r="H81" i="8" s="1"/>
  <c r="M307" i="8"/>
  <c r="G307" i="8"/>
  <c r="E81" i="8"/>
  <c r="BR565" i="10"/>
  <c r="J565" i="10"/>
  <c r="AR181" i="7"/>
  <c r="AU181" i="3" s="1"/>
  <c r="AQ181" i="7"/>
  <c r="AT181" i="3" s="1"/>
  <c r="AR181" i="3"/>
  <c r="AQ367" i="10"/>
  <c r="AR367" i="10"/>
  <c r="AQ82" i="10"/>
  <c r="AR82" i="10"/>
  <c r="AR81" i="7"/>
  <c r="AU81" i="3" s="1"/>
  <c r="AQ81" i="7"/>
  <c r="AT81" i="3" s="1"/>
  <c r="AR81" i="3"/>
  <c r="AR64" i="10"/>
  <c r="AQ64" i="10"/>
  <c r="BR847" i="10"/>
  <c r="J847" i="10"/>
  <c r="BR767" i="10"/>
  <c r="J767" i="10"/>
  <c r="BR527" i="10"/>
  <c r="J527" i="10"/>
  <c r="BR682" i="10"/>
  <c r="J682" i="10"/>
  <c r="AR220" i="7"/>
  <c r="AU220" i="3" s="1"/>
  <c r="AR220" i="3"/>
  <c r="AQ220" i="7"/>
  <c r="AT220" i="3" s="1"/>
  <c r="AP200" i="10"/>
  <c r="C15" i="17"/>
  <c r="BR643" i="10"/>
  <c r="J643" i="10"/>
  <c r="AR29" i="10"/>
  <c r="AQ29" i="10"/>
  <c r="AR126" i="3"/>
  <c r="AR126" i="7"/>
  <c r="AU126" i="3" s="1"/>
  <c r="AQ126" i="7"/>
  <c r="AT126" i="3" s="1"/>
  <c r="BR788" i="10"/>
  <c r="J788" i="10"/>
  <c r="BR739" i="10"/>
  <c r="J739" i="10"/>
  <c r="BF550" i="10"/>
  <c r="BH550" i="10" s="1"/>
  <c r="L550" i="10"/>
  <c r="BR551" i="10"/>
  <c r="J551" i="10"/>
  <c r="AR74" i="3"/>
  <c r="AQ74" i="7"/>
  <c r="AT74" i="3" s="1"/>
  <c r="AR74" i="7"/>
  <c r="AU74" i="3" s="1"/>
  <c r="AR97" i="3"/>
  <c r="AR97" i="7"/>
  <c r="AU97" i="3" s="1"/>
  <c r="AQ97" i="7"/>
  <c r="AT97" i="3" s="1"/>
  <c r="AR404" i="7"/>
  <c r="AU404" i="3" s="1"/>
  <c r="AR404" i="3"/>
  <c r="AQ404" i="7"/>
  <c r="AT404" i="3" s="1"/>
  <c r="AR407" i="7"/>
  <c r="AU407" i="3" s="1"/>
  <c r="AQ407" i="7"/>
  <c r="AT407" i="3" s="1"/>
  <c r="AR407" i="3"/>
  <c r="AQ284" i="10"/>
  <c r="AR284" i="10"/>
  <c r="BR910" i="10"/>
  <c r="J910" i="10"/>
  <c r="AQ220" i="10"/>
  <c r="AR220" i="10"/>
  <c r="AQ228" i="7"/>
  <c r="AT228" i="3" s="1"/>
  <c r="AR228" i="7"/>
  <c r="AU228" i="3" s="1"/>
  <c r="AR228" i="3"/>
  <c r="C9" i="17"/>
  <c r="AQ341" i="10"/>
  <c r="AR341" i="10"/>
  <c r="BR731" i="10"/>
  <c r="J731" i="10"/>
  <c r="BR736" i="10"/>
  <c r="J736" i="10"/>
  <c r="BF522" i="10"/>
  <c r="BH522" i="10" s="1"/>
  <c r="L522" i="10"/>
  <c r="L34" i="28"/>
  <c r="N14" i="17"/>
  <c r="AR69" i="10"/>
  <c r="AQ69" i="10"/>
  <c r="AR82" i="3"/>
  <c r="AQ82" i="7"/>
  <c r="AT82" i="3" s="1"/>
  <c r="AR82" i="7"/>
  <c r="AU82" i="3" s="1"/>
  <c r="AR176" i="3"/>
  <c r="AR176" i="7"/>
  <c r="AU176" i="3" s="1"/>
  <c r="AQ176" i="7"/>
  <c r="AT176" i="3" s="1"/>
  <c r="AR346" i="10"/>
  <c r="AQ346" i="10"/>
  <c r="I126" i="8"/>
  <c r="I135" i="8"/>
  <c r="I131" i="8"/>
  <c r="I128" i="8"/>
  <c r="I122" i="8"/>
  <c r="I133" i="8"/>
  <c r="I127" i="8"/>
  <c r="I121" i="8"/>
  <c r="I125" i="8"/>
  <c r="I130" i="8"/>
  <c r="I120" i="8"/>
  <c r="I119" i="8"/>
  <c r="I134" i="8"/>
  <c r="J218" i="8"/>
  <c r="I132" i="8"/>
  <c r="I123" i="8"/>
  <c r="I129" i="8"/>
  <c r="I124" i="8"/>
  <c r="K218" i="8"/>
  <c r="BR757" i="10"/>
  <c r="J757" i="10"/>
  <c r="AR138" i="3"/>
  <c r="AR138" i="7"/>
  <c r="AU138" i="3" s="1"/>
  <c r="AQ138" i="7"/>
  <c r="AT138" i="3" s="1"/>
  <c r="H107" i="12"/>
  <c r="G103" i="12"/>
  <c r="I102" i="12"/>
  <c r="H102" i="12"/>
  <c r="I101" i="12"/>
  <c r="G101" i="12"/>
  <c r="H100" i="12"/>
  <c r="I111" i="12"/>
  <c r="H110" i="12"/>
  <c r="I112" i="12"/>
  <c r="H111" i="12"/>
  <c r="G110" i="12"/>
  <c r="I113" i="12"/>
  <c r="H112" i="12"/>
  <c r="G111" i="12"/>
  <c r="I100" i="12"/>
  <c r="H113" i="12"/>
  <c r="G112" i="12"/>
  <c r="G100" i="12"/>
  <c r="I110" i="12"/>
  <c r="I104" i="12"/>
  <c r="I103" i="12"/>
  <c r="G102" i="12"/>
  <c r="I105" i="12"/>
  <c r="H104" i="12"/>
  <c r="H103" i="12"/>
  <c r="I108" i="12"/>
  <c r="H108" i="12"/>
  <c r="G109" i="12"/>
  <c r="G105" i="12"/>
  <c r="H105" i="12"/>
  <c r="I109" i="12"/>
  <c r="I106" i="12"/>
  <c r="H109" i="12"/>
  <c r="G106" i="12"/>
  <c r="G107" i="12"/>
  <c r="H101" i="12"/>
  <c r="G108" i="12"/>
  <c r="G113" i="12"/>
  <c r="I107" i="12"/>
  <c r="G104" i="12"/>
  <c r="H106" i="12"/>
  <c r="B195" i="1"/>
  <c r="BF799" i="10"/>
  <c r="BH799" i="10" s="1"/>
  <c r="L799" i="10"/>
  <c r="J225" i="8"/>
  <c r="K225" i="8"/>
  <c r="BR737" i="10"/>
  <c r="J737" i="10"/>
  <c r="AQ52" i="10"/>
  <c r="AR52" i="10"/>
  <c r="AR97" i="10"/>
  <c r="AQ97" i="10"/>
  <c r="AQ296" i="10"/>
  <c r="AR296" i="10"/>
  <c r="AR242" i="10"/>
  <c r="AQ242" i="10"/>
  <c r="AQ184" i="10"/>
  <c r="AR184" i="10"/>
  <c r="C289" i="8"/>
  <c r="H20" i="8"/>
  <c r="AR231" i="7"/>
  <c r="AU231" i="3" s="1"/>
  <c r="AQ231" i="7"/>
  <c r="AT231" i="3" s="1"/>
  <c r="AR231" i="3"/>
  <c r="M852" i="10"/>
  <c r="BF650" i="10"/>
  <c r="BH650" i="10" s="1"/>
  <c r="AQ164" i="10"/>
  <c r="AR164" i="10"/>
  <c r="AQ224" i="7"/>
  <c r="AT224" i="3" s="1"/>
  <c r="AR224" i="7"/>
  <c r="AU224" i="3" s="1"/>
  <c r="AR224" i="3"/>
  <c r="BF570" i="10"/>
  <c r="BH570" i="10" s="1"/>
  <c r="L570" i="10"/>
  <c r="AR54" i="7"/>
  <c r="AU54" i="3" s="1"/>
  <c r="AQ54" i="7"/>
  <c r="AT54" i="3" s="1"/>
  <c r="AR54" i="3"/>
  <c r="AR150" i="10"/>
  <c r="AQ150" i="10"/>
  <c r="AQ315" i="7"/>
  <c r="AT315" i="3" s="1"/>
  <c r="AR315" i="7"/>
  <c r="AU315" i="3" s="1"/>
  <c r="AR315" i="3"/>
  <c r="L860" i="10"/>
  <c r="BF860" i="10"/>
  <c r="BH860" i="10" s="1"/>
  <c r="BR755" i="10"/>
  <c r="J755" i="10"/>
  <c r="AQ80" i="7"/>
  <c r="AT80" i="3" s="1"/>
  <c r="AR80" i="3"/>
  <c r="AR80" i="7"/>
  <c r="AU80" i="3" s="1"/>
  <c r="AR303" i="7"/>
  <c r="AU303" i="3" s="1"/>
  <c r="AQ303" i="7"/>
  <c r="AT303" i="3" s="1"/>
  <c r="AR303" i="3"/>
  <c r="BR713" i="10"/>
  <c r="J713" i="10"/>
  <c r="AR124" i="3"/>
  <c r="AR124" i="7"/>
  <c r="AU124" i="3" s="1"/>
  <c r="AQ124" i="7"/>
  <c r="AT124" i="3" s="1"/>
  <c r="BR833" i="10"/>
  <c r="J833" i="10"/>
  <c r="BR528" i="10"/>
  <c r="J528" i="10"/>
  <c r="L578" i="10"/>
  <c r="BF578" i="10"/>
  <c r="BH578" i="10" s="1"/>
  <c r="AR390" i="10"/>
  <c r="AQ390" i="10"/>
  <c r="L649" i="10"/>
  <c r="BF649" i="10"/>
  <c r="BH649" i="10" s="1"/>
  <c r="AR393" i="3"/>
  <c r="AR393" i="7"/>
  <c r="AU393" i="3" s="1"/>
  <c r="AQ393" i="7"/>
  <c r="AT393" i="3" s="1"/>
  <c r="AR39" i="10"/>
  <c r="AQ39" i="10"/>
  <c r="AQ180" i="7"/>
  <c r="AT180" i="3" s="1"/>
  <c r="AR180" i="3"/>
  <c r="AR180" i="7"/>
  <c r="AU180" i="3" s="1"/>
  <c r="C13" i="17"/>
  <c r="AR243" i="7"/>
  <c r="AU243" i="3" s="1"/>
  <c r="AQ243" i="7"/>
  <c r="AT243" i="3" s="1"/>
  <c r="AR243" i="3"/>
  <c r="AQ125" i="10"/>
  <c r="AR125" i="10"/>
  <c r="AQ360" i="7"/>
  <c r="AT360" i="3" s="1"/>
  <c r="AR360" i="7"/>
  <c r="AU360" i="3" s="1"/>
  <c r="AR360" i="3"/>
  <c r="AQ201" i="10"/>
  <c r="AR201" i="10"/>
  <c r="AR79" i="3"/>
  <c r="AQ79" i="7"/>
  <c r="AT79" i="3" s="1"/>
  <c r="AR79" i="7"/>
  <c r="AU79" i="3" s="1"/>
  <c r="AR119" i="7"/>
  <c r="AU119" i="3" s="1"/>
  <c r="AQ119" i="7"/>
  <c r="AT119" i="3" s="1"/>
  <c r="AR119" i="3"/>
  <c r="AR233" i="7"/>
  <c r="AU233" i="3" s="1"/>
  <c r="AQ233" i="7"/>
  <c r="AT233" i="3" s="1"/>
  <c r="AR233" i="3"/>
  <c r="K100" i="12"/>
  <c r="K113" i="12"/>
  <c r="K101" i="12"/>
  <c r="K110" i="12"/>
  <c r="K104" i="12"/>
  <c r="K103" i="12"/>
  <c r="K102" i="12"/>
  <c r="K105" i="12"/>
  <c r="K109" i="12"/>
  <c r="K111" i="12"/>
  <c r="K112" i="12"/>
  <c r="K107" i="12"/>
  <c r="K108" i="12"/>
  <c r="K106" i="12"/>
  <c r="AR210" i="10"/>
  <c r="AQ210" i="10"/>
  <c r="AR76" i="10"/>
  <c r="AQ76" i="10"/>
  <c r="AQ85" i="10"/>
  <c r="AR85" i="10"/>
  <c r="AR134" i="7"/>
  <c r="AU134" i="3" s="1"/>
  <c r="AQ134" i="7"/>
  <c r="AT134" i="3" s="1"/>
  <c r="AR134" i="3"/>
  <c r="AR188" i="3"/>
  <c r="AQ188" i="7"/>
  <c r="AT188" i="3" s="1"/>
  <c r="AR188" i="7"/>
  <c r="AU188" i="3" s="1"/>
  <c r="AQ218" i="10"/>
  <c r="AR218" i="10"/>
  <c r="AR307" i="10"/>
  <c r="AQ307" i="10"/>
  <c r="BR822" i="10"/>
  <c r="J822" i="10"/>
  <c r="BR854" i="10"/>
  <c r="J854" i="10"/>
  <c r="BR830" i="10"/>
  <c r="J830" i="10"/>
  <c r="D28" i="4"/>
  <c r="F28" i="4"/>
  <c r="R22" i="4" s="1"/>
  <c r="O22" i="4"/>
  <c r="BR857" i="10"/>
  <c r="J857" i="10"/>
  <c r="F81" i="14"/>
  <c r="BR832" i="10"/>
  <c r="J832" i="10"/>
  <c r="AR369" i="10"/>
  <c r="AQ369" i="10"/>
  <c r="BR764" i="10"/>
  <c r="J764" i="10"/>
  <c r="AR16" i="3"/>
  <c r="AQ16" i="7"/>
  <c r="AT16" i="3" s="1"/>
  <c r="AR16" i="7"/>
  <c r="AU16" i="3" s="1"/>
  <c r="BR617" i="10"/>
  <c r="J617" i="10"/>
  <c r="AQ371" i="7"/>
  <c r="AT371" i="3" s="1"/>
  <c r="AR371" i="7"/>
  <c r="AU371" i="3" s="1"/>
  <c r="AR371" i="3"/>
  <c r="AR39" i="3"/>
  <c r="AR39" i="7"/>
  <c r="AU39" i="3" s="1"/>
  <c r="AQ39" i="7"/>
  <c r="AT39" i="3" s="1"/>
  <c r="AQ161" i="7"/>
  <c r="AT161" i="3" s="1"/>
  <c r="AR161" i="3"/>
  <c r="AR161" i="7"/>
  <c r="AU161" i="3" s="1"/>
  <c r="AQ145" i="10"/>
  <c r="AR145" i="10"/>
  <c r="AQ362" i="10"/>
  <c r="AR362" i="10"/>
  <c r="BR877" i="10"/>
  <c r="J877" i="10"/>
  <c r="C288" i="8"/>
  <c r="H19" i="8"/>
  <c r="AR281" i="3"/>
  <c r="AQ281" i="7"/>
  <c r="AT281" i="3" s="1"/>
  <c r="AR281" i="7"/>
  <c r="AU281" i="3" s="1"/>
  <c r="AQ233" i="10"/>
  <c r="AR233" i="10"/>
  <c r="AR163" i="7"/>
  <c r="AU163" i="3" s="1"/>
  <c r="AQ163" i="7"/>
  <c r="AT163" i="3" s="1"/>
  <c r="AR163" i="3"/>
  <c r="AR27" i="10"/>
  <c r="AQ27" i="10"/>
  <c r="AR169" i="10"/>
  <c r="AQ169" i="10"/>
  <c r="BR851" i="10"/>
  <c r="J851" i="10"/>
  <c r="BR602" i="10"/>
  <c r="J602" i="10"/>
  <c r="AQ353" i="10"/>
  <c r="AR353" i="10"/>
  <c r="BR856" i="10"/>
  <c r="J856" i="10"/>
  <c r="AR188" i="10"/>
  <c r="AQ188" i="10"/>
  <c r="AQ208" i="10"/>
  <c r="AR208" i="10"/>
  <c r="AR270" i="7"/>
  <c r="AU270" i="3" s="1"/>
  <c r="AQ270" i="7"/>
  <c r="AT270" i="3" s="1"/>
  <c r="AR270" i="3"/>
  <c r="AR340" i="10"/>
  <c r="AQ340" i="10"/>
  <c r="AQ246" i="7"/>
  <c r="AT246" i="3" s="1"/>
  <c r="AR246" i="3"/>
  <c r="AR246" i="7"/>
  <c r="AU246" i="3" s="1"/>
  <c r="M312" i="8"/>
  <c r="L312" i="8"/>
  <c r="K312" i="8"/>
  <c r="H86" i="8" s="1"/>
  <c r="G312" i="8"/>
  <c r="E86" i="8"/>
  <c r="AQ78" i="7"/>
  <c r="AT78" i="3" s="1"/>
  <c r="AR78" i="3"/>
  <c r="AR78" i="7"/>
  <c r="AU78" i="3" s="1"/>
  <c r="BR695" i="10"/>
  <c r="J695" i="10"/>
  <c r="AR396" i="7"/>
  <c r="AU396" i="3" s="1"/>
  <c r="AQ396" i="7"/>
  <c r="AT396" i="3" s="1"/>
  <c r="AR396" i="3"/>
  <c r="AQ369" i="7"/>
  <c r="AT369" i="3" s="1"/>
  <c r="AR369" i="3"/>
  <c r="AR369" i="7"/>
  <c r="AU369" i="3" s="1"/>
  <c r="BR645" i="10"/>
  <c r="J645" i="10"/>
  <c r="AR407" i="10"/>
  <c r="AQ407" i="10"/>
  <c r="AQ244" i="10"/>
  <c r="AR244" i="10"/>
  <c r="BF639" i="10"/>
  <c r="BH639" i="10" s="1"/>
  <c r="L639" i="10"/>
  <c r="AQ127" i="7"/>
  <c r="AT127" i="3" s="1"/>
  <c r="AR127" i="3"/>
  <c r="AR127" i="7"/>
  <c r="AU127" i="3" s="1"/>
  <c r="AR416" i="7"/>
  <c r="AU416" i="3" s="1"/>
  <c r="AQ416" i="7"/>
  <c r="AT416" i="3" s="1"/>
  <c r="AR416" i="3"/>
  <c r="AR309" i="10"/>
  <c r="AQ309" i="10"/>
  <c r="AR221" i="3"/>
  <c r="AR221" i="7"/>
  <c r="AU221" i="3" s="1"/>
  <c r="AQ221" i="7"/>
  <c r="AT221" i="3" s="1"/>
  <c r="AR195" i="7"/>
  <c r="AU195" i="3" s="1"/>
  <c r="AR195" i="3"/>
  <c r="AQ195" i="7"/>
  <c r="AT195" i="3" s="1"/>
  <c r="AQ107" i="10"/>
  <c r="AR107" i="10"/>
  <c r="AQ286" i="7"/>
  <c r="AT286" i="3" s="1"/>
  <c r="AR286" i="3"/>
  <c r="AR286" i="7"/>
  <c r="AU286" i="3" s="1"/>
  <c r="BU513" i="10"/>
  <c r="BU507" i="10"/>
  <c r="BU510" i="10"/>
  <c r="BU512" i="10"/>
  <c r="AR426" i="7"/>
  <c r="AU426" i="3" s="1"/>
  <c r="AQ426" i="7"/>
  <c r="AT426" i="3" s="1"/>
  <c r="AR426" i="3"/>
  <c r="AR123" i="10"/>
  <c r="AQ123" i="10"/>
  <c r="AR321" i="10"/>
  <c r="AQ321" i="10"/>
  <c r="AR41" i="7"/>
  <c r="AU41" i="3" s="1"/>
  <c r="AR41" i="3"/>
  <c r="AQ41" i="7"/>
  <c r="AT41" i="3" s="1"/>
  <c r="AR65" i="7"/>
  <c r="AU65" i="3" s="1"/>
  <c r="AR65" i="3"/>
  <c r="AQ65" i="7"/>
  <c r="AT65" i="3" s="1"/>
  <c r="AR121" i="7"/>
  <c r="AU121" i="3" s="1"/>
  <c r="AR121" i="3"/>
  <c r="AQ121" i="7"/>
  <c r="AT121" i="3" s="1"/>
  <c r="AR180" i="10"/>
  <c r="AQ180" i="10"/>
  <c r="AR161" i="10"/>
  <c r="AQ161" i="10"/>
  <c r="L802" i="10"/>
  <c r="AQ60" i="7"/>
  <c r="AT60" i="3" s="1"/>
  <c r="AR60" i="3"/>
  <c r="AR60" i="7"/>
  <c r="AU60" i="3" s="1"/>
  <c r="AR177" i="7"/>
  <c r="AU177" i="3" s="1"/>
  <c r="AR177" i="3"/>
  <c r="AQ177" i="7"/>
  <c r="AT177" i="3" s="1"/>
  <c r="AP347" i="10"/>
  <c r="C21" i="17"/>
  <c r="AP281" i="10"/>
  <c r="C18" i="17"/>
  <c r="AQ144" i="10"/>
  <c r="AR144" i="10"/>
  <c r="AR59" i="10"/>
  <c r="AQ59" i="10"/>
  <c r="AQ217" i="10"/>
  <c r="AR217" i="10"/>
  <c r="AQ163" i="10"/>
  <c r="AR163" i="10"/>
  <c r="AR27" i="7"/>
  <c r="AU27" i="3" s="1"/>
  <c r="AQ27" i="7"/>
  <c r="AT27" i="3" s="1"/>
  <c r="AR27" i="3"/>
  <c r="AR169" i="7"/>
  <c r="AU169" i="3" s="1"/>
  <c r="AQ169" i="7"/>
  <c r="AT169" i="3" s="1"/>
  <c r="AR169" i="3"/>
  <c r="BR686" i="10"/>
  <c r="J686" i="10"/>
  <c r="AR411" i="10"/>
  <c r="AQ411" i="10"/>
  <c r="BR502" i="10"/>
  <c r="J502" i="10"/>
  <c r="AQ134" i="10"/>
  <c r="AR134" i="10"/>
  <c r="BR734" i="10"/>
  <c r="J734" i="10"/>
  <c r="AR208" i="3"/>
  <c r="AR208" i="7"/>
  <c r="AU208" i="3" s="1"/>
  <c r="AQ208" i="7"/>
  <c r="AT208" i="3" s="1"/>
  <c r="AQ402" i="7"/>
  <c r="AT402" i="3" s="1"/>
  <c r="AR402" i="3"/>
  <c r="AR402" i="7"/>
  <c r="AU402" i="3" s="1"/>
  <c r="L720" i="10"/>
  <c r="BF720" i="10"/>
  <c r="BH720" i="10" s="1"/>
  <c r="AR237" i="10"/>
  <c r="AQ237" i="10"/>
  <c r="AR160" i="10"/>
  <c r="AQ160" i="10"/>
  <c r="AQ7" i="7"/>
  <c r="AT7" i="3" s="1"/>
  <c r="AR7" i="7"/>
  <c r="AU7" i="3" s="1"/>
  <c r="AR7" i="3"/>
  <c r="BR567" i="10"/>
  <c r="J567" i="10"/>
  <c r="AR270" i="10"/>
  <c r="AQ270" i="10"/>
  <c r="BR628" i="10"/>
  <c r="J628" i="10"/>
  <c r="AR246" i="10"/>
  <c r="AQ246" i="10"/>
  <c r="AR147" i="10"/>
  <c r="AQ147" i="10"/>
  <c r="AR78" i="10"/>
  <c r="AQ78" i="10"/>
  <c r="BR582" i="10"/>
  <c r="J582" i="10"/>
  <c r="BR820" i="10"/>
  <c r="J820" i="10"/>
  <c r="AR295" i="7"/>
  <c r="AU295" i="3" s="1"/>
  <c r="AQ295" i="7"/>
  <c r="AT295" i="3" s="1"/>
  <c r="AR295" i="3"/>
  <c r="L671" i="10"/>
  <c r="BF671" i="10"/>
  <c r="BH671" i="10" s="1"/>
  <c r="BR577" i="10"/>
  <c r="J577" i="10"/>
  <c r="BR700" i="10"/>
  <c r="J700" i="10"/>
  <c r="BR819" i="10"/>
  <c r="J819" i="10"/>
  <c r="BR675" i="10"/>
  <c r="J675" i="10"/>
  <c r="BU516" i="10"/>
  <c r="BU518" i="10"/>
  <c r="BR573" i="10"/>
  <c r="J573" i="10"/>
  <c r="AR309" i="7"/>
  <c r="AU309" i="3" s="1"/>
  <c r="AQ309" i="7"/>
  <c r="AT309" i="3" s="1"/>
  <c r="AR309" i="3"/>
  <c r="BR784" i="10"/>
  <c r="J784" i="10"/>
  <c r="AR381" i="7"/>
  <c r="AU381" i="3" s="1"/>
  <c r="AQ381" i="7"/>
  <c r="AT381" i="3" s="1"/>
  <c r="AR381" i="3"/>
  <c r="S254" i="11"/>
  <c r="AY270" i="11" s="1"/>
  <c r="L8" i="28"/>
  <c r="AR263" i="3"/>
  <c r="AR263" i="7"/>
  <c r="AU263" i="3" s="1"/>
  <c r="AQ263" i="7"/>
  <c r="AT263" i="3" s="1"/>
  <c r="AR31" i="7"/>
  <c r="AU31" i="3" s="1"/>
  <c r="AQ31" i="7"/>
  <c r="AT31" i="3" s="1"/>
  <c r="AR31" i="3"/>
  <c r="AR239" i="7"/>
  <c r="AU239" i="3" s="1"/>
  <c r="AQ239" i="7"/>
  <c r="AT239" i="3" s="1"/>
  <c r="AR239" i="3"/>
  <c r="AR344" i="3"/>
  <c r="AR344" i="7"/>
  <c r="AU344" i="3" s="1"/>
  <c r="AQ344" i="7"/>
  <c r="AT344" i="3" s="1"/>
  <c r="AQ420" i="10"/>
  <c r="AR420" i="10"/>
  <c r="AQ311" i="7"/>
  <c r="AT311" i="3" s="1"/>
  <c r="AR311" i="3"/>
  <c r="AR311" i="7"/>
  <c r="AU311" i="3" s="1"/>
  <c r="F85" i="14"/>
  <c r="BF803" i="10"/>
  <c r="BH803" i="10" s="1"/>
  <c r="L803" i="10"/>
  <c r="AQ423" i="7"/>
  <c r="AT423" i="3" s="1"/>
  <c r="AR423" i="7"/>
  <c r="AU423" i="3" s="1"/>
  <c r="AR423" i="3"/>
  <c r="BF549" i="10"/>
  <c r="BH549" i="10" s="1"/>
  <c r="L549" i="10"/>
  <c r="AR94" i="10"/>
  <c r="AQ94" i="10"/>
  <c r="AR294" i="3"/>
  <c r="AR294" i="7"/>
  <c r="AU294" i="3" s="1"/>
  <c r="AQ294" i="7"/>
  <c r="AT294" i="3" s="1"/>
  <c r="AR168" i="3"/>
  <c r="AQ168" i="7"/>
  <c r="AT168" i="3" s="1"/>
  <c r="AR168" i="7"/>
  <c r="AU168" i="3" s="1"/>
  <c r="BR535" i="10"/>
  <c r="J535" i="10"/>
  <c r="AR105" i="3"/>
  <c r="AQ105" i="7"/>
  <c r="AT105" i="3" s="1"/>
  <c r="AR105" i="7"/>
  <c r="AU105" i="3" s="1"/>
  <c r="AR354" i="7"/>
  <c r="AU354" i="3" s="1"/>
  <c r="AQ354" i="7"/>
  <c r="AT354" i="3" s="1"/>
  <c r="AR354" i="3"/>
  <c r="F86" i="14"/>
  <c r="AQ227" i="7"/>
  <c r="AT227" i="3" s="1"/>
  <c r="AR227" i="3"/>
  <c r="AR227" i="7"/>
  <c r="AU227" i="3" s="1"/>
  <c r="AR90" i="10"/>
  <c r="AQ90" i="10"/>
  <c r="BR566" i="10"/>
  <c r="J566" i="10"/>
  <c r="L887" i="10"/>
  <c r="BF887" i="10"/>
  <c r="BH887" i="10" s="1"/>
  <c r="L670" i="10"/>
  <c r="BF670" i="10"/>
  <c r="BH670" i="10" s="1"/>
  <c r="BR587" i="10"/>
  <c r="J587" i="10"/>
  <c r="BR599" i="10"/>
  <c r="J599" i="10"/>
  <c r="BR855" i="10"/>
  <c r="J855" i="10"/>
  <c r="BR653" i="10"/>
  <c r="J653" i="10"/>
  <c r="AR165" i="10"/>
  <c r="AQ165" i="10"/>
  <c r="AQ205" i="7"/>
  <c r="AT205" i="3" s="1"/>
  <c r="AR205" i="7"/>
  <c r="AU205" i="3" s="1"/>
  <c r="AR205" i="3"/>
  <c r="BR728" i="10"/>
  <c r="J728" i="10"/>
  <c r="BR560" i="10"/>
  <c r="J560" i="10"/>
  <c r="AQ152" i="7"/>
  <c r="AT152" i="3" s="1"/>
  <c r="AR152" i="7"/>
  <c r="AU152" i="3" s="1"/>
  <c r="AR152" i="3"/>
  <c r="BR514" i="10"/>
  <c r="J514" i="10"/>
  <c r="AR19" i="7"/>
  <c r="AU19" i="3" s="1"/>
  <c r="AR19" i="3"/>
  <c r="AQ19" i="7"/>
  <c r="AT19" i="3" s="1"/>
  <c r="L6" i="28"/>
  <c r="AR132" i="3"/>
  <c r="AR132" i="7"/>
  <c r="AU132" i="3" s="1"/>
  <c r="AQ132" i="7"/>
  <c r="AT132" i="3" s="1"/>
  <c r="AR230" i="3"/>
  <c r="AR230" i="7"/>
  <c r="AU230" i="3" s="1"/>
  <c r="AQ230" i="7"/>
  <c r="AT230" i="3" s="1"/>
  <c r="BR687" i="10"/>
  <c r="J687" i="10"/>
  <c r="AR388" i="7"/>
  <c r="AU388" i="3" s="1"/>
  <c r="AR388" i="3"/>
  <c r="AQ388" i="7"/>
  <c r="AT388" i="3" s="1"/>
  <c r="AR107" i="7"/>
  <c r="AU107" i="3" s="1"/>
  <c r="AQ107" i="7"/>
  <c r="AT107" i="3" s="1"/>
  <c r="AR107" i="3"/>
  <c r="L2" i="28"/>
  <c r="E123" i="22"/>
  <c r="AR18" i="3"/>
  <c r="AQ18" i="7"/>
  <c r="AT18" i="3" s="1"/>
  <c r="AR18" i="7"/>
  <c r="AU18" i="3" s="1"/>
  <c r="AR15" i="10"/>
  <c r="AQ15" i="10"/>
  <c r="M683" i="10"/>
  <c r="L37" i="28"/>
  <c r="AR199" i="7"/>
  <c r="AU199" i="3" s="1"/>
  <c r="AR199" i="3"/>
  <c r="AQ199" i="7"/>
  <c r="AT199" i="3" s="1"/>
  <c r="AR223" i="3"/>
  <c r="AR223" i="7"/>
  <c r="AU223" i="3" s="1"/>
  <c r="AQ223" i="7"/>
  <c r="AT223" i="3" s="1"/>
  <c r="BF798" i="10"/>
  <c r="BH798" i="10" s="1"/>
  <c r="L798" i="10"/>
  <c r="N10" i="17"/>
  <c r="AQ48" i="7"/>
  <c r="AT48" i="3" s="1"/>
  <c r="AR48" i="7"/>
  <c r="AU48" i="3" s="1"/>
  <c r="AR48" i="3"/>
  <c r="L11" i="28"/>
  <c r="AR149" i="7"/>
  <c r="AU149" i="3" s="1"/>
  <c r="AQ149" i="7"/>
  <c r="AT149" i="3" s="1"/>
  <c r="AR149" i="3"/>
  <c r="AQ152" i="10"/>
  <c r="AR152" i="10"/>
  <c r="BR786" i="10"/>
  <c r="J786" i="10"/>
  <c r="AR391" i="10"/>
  <c r="AQ391" i="10"/>
  <c r="AR272" i="3"/>
  <c r="AR272" i="7"/>
  <c r="AU272" i="3" s="1"/>
  <c r="AQ272" i="7"/>
  <c r="AT272" i="3" s="1"/>
  <c r="AQ229" i="7"/>
  <c r="AT229" i="3" s="1"/>
  <c r="AR229" i="3"/>
  <c r="AR229" i="7"/>
  <c r="AU229" i="3" s="1"/>
  <c r="L14" i="28"/>
  <c r="AR102" i="7"/>
  <c r="AU102" i="3" s="1"/>
  <c r="AQ102" i="7"/>
  <c r="AT102" i="3" s="1"/>
  <c r="AR102" i="3"/>
  <c r="BR546" i="10"/>
  <c r="J546" i="10"/>
  <c r="AQ214" i="7"/>
  <c r="AT214" i="3" s="1"/>
  <c r="AR214" i="7"/>
  <c r="AU214" i="3" s="1"/>
  <c r="AR214" i="3"/>
  <c r="AR372" i="3"/>
  <c r="AR372" i="7"/>
  <c r="AU372" i="3" s="1"/>
  <c r="AQ372" i="7"/>
  <c r="AT372" i="3" s="1"/>
  <c r="AR409" i="3"/>
  <c r="AR409" i="7"/>
  <c r="AU409" i="3" s="1"/>
  <c r="AQ409" i="7"/>
  <c r="AT409" i="3" s="1"/>
  <c r="BR870" i="10"/>
  <c r="J870" i="10"/>
  <c r="L629" i="10"/>
  <c r="BF629" i="10"/>
  <c r="BH629" i="10" s="1"/>
  <c r="AR130" i="3"/>
  <c r="AR130" i="7"/>
  <c r="AU130" i="3" s="1"/>
  <c r="AQ130" i="7"/>
  <c r="AT130" i="3" s="1"/>
  <c r="K21" i="17"/>
  <c r="J21" i="17"/>
  <c r="F23" i="4"/>
  <c r="R17" i="4" s="1"/>
  <c r="O17" i="4"/>
  <c r="D23" i="4"/>
  <c r="AR310" i="7"/>
  <c r="AU310" i="3" s="1"/>
  <c r="AQ310" i="7"/>
  <c r="AT310" i="3" s="1"/>
  <c r="AR310" i="3"/>
  <c r="AR342" i="3"/>
  <c r="AR342" i="7"/>
  <c r="AU342" i="3" s="1"/>
  <c r="AQ342" i="7"/>
  <c r="AT342" i="3" s="1"/>
  <c r="AR267" i="7"/>
  <c r="AU267" i="3" s="1"/>
  <c r="AQ267" i="7"/>
  <c r="AT267" i="3" s="1"/>
  <c r="AR267" i="3"/>
  <c r="AR358" i="7"/>
  <c r="AU358" i="3" s="1"/>
  <c r="AQ358" i="7"/>
  <c r="AT358" i="3" s="1"/>
  <c r="AR358" i="3"/>
  <c r="AR137" i="7"/>
  <c r="AU137" i="3" s="1"/>
  <c r="AR137" i="3"/>
  <c r="AQ137" i="7"/>
  <c r="AT137" i="3" s="1"/>
  <c r="M659" i="10"/>
  <c r="AR104" i="10"/>
  <c r="AQ104" i="10"/>
  <c r="AQ313" i="7"/>
  <c r="AT313" i="3" s="1"/>
  <c r="AR313" i="7"/>
  <c r="AU313" i="3" s="1"/>
  <c r="AR313" i="3"/>
  <c r="AQ322" i="10"/>
  <c r="AR322" i="10"/>
  <c r="AR424" i="10"/>
  <c r="AQ424" i="10"/>
  <c r="AQ398" i="7"/>
  <c r="AT398" i="3" s="1"/>
  <c r="AR398" i="7"/>
  <c r="AU398" i="3" s="1"/>
  <c r="AR398" i="3"/>
  <c r="AR347" i="3"/>
  <c r="AR347" i="7"/>
  <c r="AU347" i="3" s="1"/>
  <c r="AQ347" i="7"/>
  <c r="AT347" i="3" s="1"/>
  <c r="AR403" i="7"/>
  <c r="AU403" i="3" s="1"/>
  <c r="AQ403" i="7"/>
  <c r="AT403" i="3" s="1"/>
  <c r="AR403" i="3"/>
  <c r="AR144" i="7"/>
  <c r="AU144" i="3" s="1"/>
  <c r="AQ144" i="7"/>
  <c r="AT144" i="3" s="1"/>
  <c r="AR144" i="3"/>
  <c r="AR63" i="7"/>
  <c r="AU63" i="3" s="1"/>
  <c r="AR63" i="3"/>
  <c r="AQ63" i="7"/>
  <c r="AT63" i="3" s="1"/>
  <c r="AQ289" i="7"/>
  <c r="AT289" i="3" s="1"/>
  <c r="AR289" i="3"/>
  <c r="AR289" i="7"/>
  <c r="AU289" i="3" s="1"/>
  <c r="BR710" i="10"/>
  <c r="J710" i="10"/>
  <c r="AQ12" i="10"/>
  <c r="AR12" i="10"/>
  <c r="AR236" i="10"/>
  <c r="AQ236" i="10"/>
  <c r="AR264" i="7"/>
  <c r="AU264" i="3" s="1"/>
  <c r="AQ264" i="7"/>
  <c r="AT264" i="3" s="1"/>
  <c r="AR264" i="3"/>
  <c r="AQ118" i="7"/>
  <c r="AT118" i="3" s="1"/>
  <c r="AR118" i="3"/>
  <c r="AR118" i="7"/>
  <c r="AU118" i="3" s="1"/>
  <c r="AR324" i="3"/>
  <c r="AR324" i="7"/>
  <c r="AU324" i="3" s="1"/>
  <c r="AQ324" i="7"/>
  <c r="AT324" i="3" s="1"/>
  <c r="BR676" i="10"/>
  <c r="J676" i="10"/>
  <c r="M815" i="10"/>
  <c r="M824" i="10"/>
  <c r="BR723" i="10"/>
  <c r="J723" i="10"/>
  <c r="BR661" i="10"/>
  <c r="J661" i="10"/>
  <c r="AQ100" i="7"/>
  <c r="AT100" i="3" s="1"/>
  <c r="AR100" i="7"/>
  <c r="AU100" i="3" s="1"/>
  <c r="AR100" i="3"/>
  <c r="AR323" i="7"/>
  <c r="AU323" i="3" s="1"/>
  <c r="AR323" i="3"/>
  <c r="AQ323" i="7"/>
  <c r="AT323" i="3" s="1"/>
  <c r="BR630" i="10"/>
  <c r="J630" i="10"/>
  <c r="AR343" i="10"/>
  <c r="AQ343" i="10"/>
  <c r="BF908" i="10"/>
  <c r="BH908" i="10" s="1"/>
  <c r="AR290" i="10"/>
  <c r="AQ290" i="10"/>
  <c r="AR252" i="10"/>
  <c r="AQ252" i="10"/>
  <c r="BF510" i="10"/>
  <c r="BH510" i="10" s="1"/>
  <c r="L510" i="10"/>
  <c r="AQ56" i="10"/>
  <c r="AR56" i="10"/>
  <c r="BR613" i="10"/>
  <c r="J613" i="10"/>
  <c r="AR384" i="7"/>
  <c r="AU384" i="3" s="1"/>
  <c r="AR384" i="3"/>
  <c r="AQ384" i="7"/>
  <c r="AT384" i="3" s="1"/>
  <c r="AR127" i="10"/>
  <c r="AQ127" i="10"/>
  <c r="BR748" i="10"/>
  <c r="J748" i="10"/>
  <c r="AQ171" i="7"/>
  <c r="AT171" i="3" s="1"/>
  <c r="AR171" i="7"/>
  <c r="AU171" i="3" s="1"/>
  <c r="AR171" i="3"/>
  <c r="AR329" i="7"/>
  <c r="AU329" i="3" s="1"/>
  <c r="AR329" i="3"/>
  <c r="AQ329" i="7"/>
  <c r="AT329" i="3" s="1"/>
  <c r="BF842" i="10"/>
  <c r="BH842" i="10" s="1"/>
  <c r="L842" i="10"/>
  <c r="K19" i="17"/>
  <c r="J19" i="17"/>
  <c r="AR418" i="7"/>
  <c r="AU418" i="3" s="1"/>
  <c r="AR418" i="3"/>
  <c r="AQ418" i="7"/>
  <c r="AT418" i="3" s="1"/>
  <c r="BR843" i="10"/>
  <c r="J843" i="10"/>
  <c r="N11" i="17"/>
  <c r="AQ350" i="10"/>
  <c r="AR350" i="10"/>
  <c r="AR355" i="3"/>
  <c r="AR355" i="7"/>
  <c r="AU355" i="3" s="1"/>
  <c r="AQ355" i="7"/>
  <c r="AT355" i="3" s="1"/>
  <c r="AQ239" i="10"/>
  <c r="AR239" i="10"/>
  <c r="AQ91" i="7"/>
  <c r="AT91" i="3" s="1"/>
  <c r="AR91" i="7"/>
  <c r="AU91" i="3" s="1"/>
  <c r="AR91" i="3"/>
  <c r="N22" i="17"/>
  <c r="AQ250" i="7"/>
  <c r="AT250" i="3" s="1"/>
  <c r="AR250" i="7"/>
  <c r="AU250" i="3" s="1"/>
  <c r="AR250" i="3"/>
  <c r="AR145" i="7"/>
  <c r="AU145" i="3" s="1"/>
  <c r="AQ145" i="7"/>
  <c r="AT145" i="3" s="1"/>
  <c r="AR145" i="3"/>
  <c r="BF537" i="10"/>
  <c r="BH537" i="10" s="1"/>
  <c r="L537" i="10"/>
  <c r="AR260" i="7"/>
  <c r="AU260" i="3" s="1"/>
  <c r="AQ260" i="7"/>
  <c r="AT260" i="3" s="1"/>
  <c r="AR260" i="3"/>
  <c r="AR34" i="3"/>
  <c r="AQ34" i="7"/>
  <c r="AT34" i="3" s="1"/>
  <c r="AR34" i="7"/>
  <c r="AU34" i="3" s="1"/>
  <c r="AQ96" i="7"/>
  <c r="AT96" i="3" s="1"/>
  <c r="AR96" i="3"/>
  <c r="AR96" i="7"/>
  <c r="AU96" i="3" s="1"/>
  <c r="AQ45" i="10"/>
  <c r="AR45" i="10"/>
  <c r="AQ114" i="7"/>
  <c r="AT114" i="3" s="1"/>
  <c r="AR114" i="3"/>
  <c r="AR114" i="7"/>
  <c r="AU114" i="3" s="1"/>
  <c r="AR47" i="7"/>
  <c r="AU47" i="3" s="1"/>
  <c r="AR47" i="3"/>
  <c r="AQ47" i="7"/>
  <c r="AT47" i="3" s="1"/>
  <c r="AQ387" i="7"/>
  <c r="AT387" i="3" s="1"/>
  <c r="AR387" i="7"/>
  <c r="AU387" i="3" s="1"/>
  <c r="AR387" i="3"/>
  <c r="AQ207" i="10"/>
  <c r="AR207" i="10"/>
  <c r="AR26" i="10"/>
  <c r="AQ26" i="10"/>
  <c r="AQ332" i="10"/>
  <c r="AR332" i="10"/>
  <c r="AQ222" i="10"/>
  <c r="AR222" i="10"/>
  <c r="AR170" i="10"/>
  <c r="AQ170" i="10"/>
  <c r="AR320" i="10"/>
  <c r="AQ320" i="10"/>
  <c r="AR277" i="10"/>
  <c r="AQ277" i="10"/>
  <c r="AR59" i="3"/>
  <c r="AR59" i="7"/>
  <c r="AU59" i="3" s="1"/>
  <c r="AQ59" i="7"/>
  <c r="AT59" i="3" s="1"/>
  <c r="AQ119" i="10"/>
  <c r="AR119" i="10"/>
  <c r="AR240" i="7"/>
  <c r="AU240" i="3" s="1"/>
  <c r="AQ240" i="7"/>
  <c r="AT240" i="3" s="1"/>
  <c r="AR240" i="3"/>
  <c r="M506" i="10"/>
  <c r="AR122" i="3"/>
  <c r="AQ122" i="7"/>
  <c r="AT122" i="3" s="1"/>
  <c r="AR122" i="7"/>
  <c r="AU122" i="3" s="1"/>
  <c r="AR257" i="3"/>
  <c r="AQ257" i="7"/>
  <c r="AT257" i="3" s="1"/>
  <c r="AR257" i="7"/>
  <c r="AU257" i="3" s="1"/>
  <c r="L730" i="10"/>
  <c r="BF730" i="10"/>
  <c r="BH730" i="10" s="1"/>
  <c r="BR534" i="10"/>
  <c r="J534" i="10"/>
  <c r="L531" i="10"/>
  <c r="BF531" i="10"/>
  <c r="BH531" i="10" s="1"/>
  <c r="BR692" i="10"/>
  <c r="J692" i="10"/>
  <c r="AR283" i="7"/>
  <c r="AU283" i="3" s="1"/>
  <c r="AQ283" i="7"/>
  <c r="AT283" i="3" s="1"/>
  <c r="AR283" i="3"/>
  <c r="BR765" i="10"/>
  <c r="J765" i="10"/>
  <c r="AR307" i="7"/>
  <c r="AU307" i="3" s="1"/>
  <c r="AR307" i="3"/>
  <c r="AQ307" i="7"/>
  <c r="AT307" i="3" s="1"/>
  <c r="AQ361" i="10"/>
  <c r="AR361" i="10"/>
  <c r="J226" i="8"/>
  <c r="K226" i="8"/>
  <c r="AR8" i="7"/>
  <c r="AU8" i="3" s="1"/>
  <c r="AQ8" i="7"/>
  <c r="AT8" i="3" s="1"/>
  <c r="AR8" i="3"/>
  <c r="AP98" i="10"/>
  <c r="C11" i="17"/>
  <c r="K229" i="8"/>
  <c r="J229" i="8"/>
  <c r="BF778" i="10"/>
  <c r="BH778" i="10" s="1"/>
  <c r="L778" i="10"/>
  <c r="BR825" i="10"/>
  <c r="J825" i="10"/>
  <c r="BR841" i="10"/>
  <c r="J841" i="10"/>
  <c r="L548" i="10"/>
  <c r="BF548" i="10"/>
  <c r="BH548" i="10" s="1"/>
  <c r="AQ318" i="7"/>
  <c r="AT318" i="3" s="1"/>
  <c r="AR318" i="3"/>
  <c r="AR318" i="7"/>
  <c r="AU318" i="3" s="1"/>
  <c r="BR882" i="10"/>
  <c r="J882" i="10"/>
  <c r="BR539" i="10"/>
  <c r="J539" i="10"/>
  <c r="J223" i="8"/>
  <c r="K223" i="8"/>
  <c r="AR197" i="10"/>
  <c r="AQ197" i="10"/>
  <c r="AR379" i="10"/>
  <c r="AQ379" i="10"/>
  <c r="BR897" i="10"/>
  <c r="J897" i="10"/>
  <c r="BR816" i="10"/>
  <c r="J816" i="10"/>
  <c r="BR575" i="10"/>
  <c r="J575" i="10"/>
  <c r="L603" i="10"/>
  <c r="BF603" i="10"/>
  <c r="BH603" i="10" s="1"/>
  <c r="AQ110" i="10"/>
  <c r="AR110" i="10"/>
  <c r="L827" i="10"/>
  <c r="BF827" i="10"/>
  <c r="BH827" i="10" s="1"/>
  <c r="AR54" i="10"/>
  <c r="AQ54" i="10"/>
  <c r="O18" i="4"/>
  <c r="D24" i="4"/>
  <c r="F24" i="4"/>
  <c r="R18" i="4" s="1"/>
  <c r="AR101" i="10"/>
  <c r="AQ101" i="10"/>
  <c r="AR219" i="7"/>
  <c r="AU219" i="3" s="1"/>
  <c r="AQ219" i="7"/>
  <c r="AT219" i="3" s="1"/>
  <c r="AR219" i="3"/>
  <c r="AQ416" i="10"/>
  <c r="AR416" i="10"/>
  <c r="BF609" i="10"/>
  <c r="BH609" i="10" s="1"/>
  <c r="L609" i="10"/>
  <c r="L29" i="28"/>
  <c r="BF898" i="10"/>
  <c r="BH898" i="10" s="1"/>
  <c r="L898" i="10"/>
  <c r="AQ415" i="7"/>
  <c r="AT415" i="3" s="1"/>
  <c r="AR415" i="7"/>
  <c r="AU415" i="3" s="1"/>
  <c r="AR415" i="3"/>
  <c r="AR117" i="10"/>
  <c r="AQ117" i="10"/>
  <c r="BR865" i="10"/>
  <c r="J865" i="10"/>
  <c r="AR282" i="7"/>
  <c r="AU282" i="3" s="1"/>
  <c r="AQ282" i="7"/>
  <c r="AT282" i="3" s="1"/>
  <c r="AR282" i="3"/>
  <c r="BR763" i="10"/>
  <c r="J763" i="10"/>
  <c r="AR57" i="7"/>
  <c r="AU57" i="3" s="1"/>
  <c r="AR57" i="3"/>
  <c r="AQ57" i="7"/>
  <c r="AT57" i="3" s="1"/>
  <c r="L26" i="28"/>
  <c r="AR245" i="7"/>
  <c r="AU245" i="3" s="1"/>
  <c r="AQ245" i="7"/>
  <c r="AT245" i="3" s="1"/>
  <c r="AR245" i="3"/>
  <c r="AQ40" i="7"/>
  <c r="AT40" i="3" s="1"/>
  <c r="AR40" i="7"/>
  <c r="AU40" i="3" s="1"/>
  <c r="AR40" i="3"/>
  <c r="AQ260" i="10"/>
  <c r="AR260" i="10"/>
  <c r="AR34" i="10"/>
  <c r="AQ34" i="10"/>
  <c r="AQ96" i="10"/>
  <c r="AR96" i="10"/>
  <c r="AQ356" i="7"/>
  <c r="AT356" i="3" s="1"/>
  <c r="AR356" i="7"/>
  <c r="AU356" i="3" s="1"/>
  <c r="AR356" i="3"/>
  <c r="AR213" i="3"/>
  <c r="AQ213" i="7"/>
  <c r="AT213" i="3" s="1"/>
  <c r="AR213" i="7"/>
  <c r="AU213" i="3" s="1"/>
  <c r="L27" i="28"/>
  <c r="BR918" i="10"/>
  <c r="J918" i="10"/>
  <c r="AR298" i="7"/>
  <c r="AU298" i="3" s="1"/>
  <c r="AQ298" i="7"/>
  <c r="AT298" i="3" s="1"/>
  <c r="AR298" i="3"/>
  <c r="L16" i="28"/>
  <c r="M885" i="10"/>
  <c r="AR251" i="3"/>
  <c r="AR251" i="7"/>
  <c r="AU251" i="3" s="1"/>
  <c r="AQ251" i="7"/>
  <c r="AT251" i="3" s="1"/>
  <c r="J9" i="17"/>
  <c r="K9" i="17"/>
  <c r="N9" i="17" s="1"/>
  <c r="AQ293" i="7"/>
  <c r="AT293" i="3" s="1"/>
  <c r="AR293" i="3"/>
  <c r="AR293" i="7"/>
  <c r="AU293" i="3" s="1"/>
  <c r="K316" i="8"/>
  <c r="H90" i="8" s="1"/>
  <c r="G316" i="8"/>
  <c r="M316" i="8"/>
  <c r="L316" i="8"/>
  <c r="E90" i="8"/>
  <c r="AR114" i="10"/>
  <c r="AQ114" i="10"/>
  <c r="AR25" i="3"/>
  <c r="AR25" i="7"/>
  <c r="AU25" i="3" s="1"/>
  <c r="AQ25" i="7"/>
  <c r="AT25" i="3" s="1"/>
  <c r="M844" i="10"/>
  <c r="D32" i="4"/>
  <c r="F32" i="4"/>
  <c r="R26" i="4" s="1"/>
  <c r="O26" i="4"/>
  <c r="AQ211" i="7"/>
  <c r="AT211" i="3" s="1"/>
  <c r="AR211" i="3"/>
  <c r="AR211" i="7"/>
  <c r="AU211" i="3" s="1"/>
  <c r="L13" i="28"/>
  <c r="AR175" i="7"/>
  <c r="AU175" i="3" s="1"/>
  <c r="AR175" i="3"/>
  <c r="AQ175" i="7"/>
  <c r="AT175" i="3" s="1"/>
  <c r="AQ387" i="10"/>
  <c r="AR387" i="10"/>
  <c r="AQ316" i="7"/>
  <c r="AT316" i="3" s="1"/>
  <c r="AR316" i="3"/>
  <c r="AR316" i="7"/>
  <c r="AU316" i="3" s="1"/>
  <c r="BR753" i="10"/>
  <c r="J753" i="10"/>
  <c r="L17" i="28"/>
  <c r="L28" i="28"/>
  <c r="AR89" i="3"/>
  <c r="AR89" i="7"/>
  <c r="AU89" i="3" s="1"/>
  <c r="AQ89" i="7"/>
  <c r="AT89" i="3" s="1"/>
  <c r="D16" i="4"/>
  <c r="O10" i="4"/>
  <c r="F16" i="4"/>
  <c r="AQ275" i="7"/>
  <c r="AT275" i="3" s="1"/>
  <c r="AR275" i="3"/>
  <c r="AR275" i="7"/>
  <c r="AU275" i="3" s="1"/>
  <c r="BU746" i="10" l="1"/>
  <c r="L657" i="10"/>
  <c r="BF678" i="10"/>
  <c r="BH678" i="10" s="1"/>
  <c r="L883" i="10"/>
  <c r="BU556" i="10"/>
  <c r="BF623" i="10"/>
  <c r="BH623" i="10" s="1"/>
  <c r="BF869" i="10"/>
  <c r="BH869" i="10" s="1"/>
  <c r="L888" i="10"/>
  <c r="M888" i="10" s="1"/>
  <c r="BF888" i="10"/>
  <c r="BH888" i="10" s="1"/>
  <c r="L569" i="10"/>
  <c r="L893" i="10"/>
  <c r="BU738" i="10"/>
  <c r="B738" i="10" s="1"/>
  <c r="BU736" i="10"/>
  <c r="B736" i="10" s="1"/>
  <c r="L733" i="10"/>
  <c r="M733" i="10" s="1"/>
  <c r="BF544" i="10"/>
  <c r="BH544" i="10" s="1"/>
  <c r="BU887" i="10"/>
  <c r="BW887" i="10" s="1"/>
  <c r="BU737" i="10"/>
  <c r="B737" i="10" s="1"/>
  <c r="BU816" i="10"/>
  <c r="L781" i="10"/>
  <c r="M781" i="10" s="1"/>
  <c r="BU722" i="10"/>
  <c r="B722" i="10" s="1"/>
  <c r="L520" i="10"/>
  <c r="BU721" i="10"/>
  <c r="B721" i="10" s="1"/>
  <c r="CA43" i="9"/>
  <c r="BU742" i="10"/>
  <c r="BU745" i="10"/>
  <c r="CA7" i="9"/>
  <c r="BU665" i="10"/>
  <c r="L656" i="10"/>
  <c r="BF512" i="10"/>
  <c r="BH512" i="10" s="1"/>
  <c r="L850" i="10"/>
  <c r="M850" i="10" s="1"/>
  <c r="BU505" i="10"/>
  <c r="CA30" i="9"/>
  <c r="CC30" i="9" s="1"/>
  <c r="CA35" i="9"/>
  <c r="L768" i="10"/>
  <c r="L572" i="10"/>
  <c r="M572" i="10" s="1"/>
  <c r="BU585" i="10"/>
  <c r="BW585" i="10" s="1"/>
  <c r="BU522" i="10"/>
  <c r="BW522" i="10" s="1"/>
  <c r="BF586" i="10"/>
  <c r="BH586" i="10" s="1"/>
  <c r="L714" i="10"/>
  <c r="M714" i="10" s="1"/>
  <c r="BU511" i="10"/>
  <c r="B511" i="10" s="1"/>
  <c r="BU666" i="10"/>
  <c r="B666" i="10" s="1"/>
  <c r="BU884" i="10"/>
  <c r="BW884" i="10" s="1"/>
  <c r="L563" i="10"/>
  <c r="M563" i="10" s="1"/>
  <c r="BF775" i="10"/>
  <c r="BH775" i="10" s="1"/>
  <c r="L922" i="10"/>
  <c r="M922" i="10" s="1"/>
  <c r="BF922" i="10"/>
  <c r="BH922" i="10" s="1"/>
  <c r="BU527" i="10"/>
  <c r="L780" i="10"/>
  <c r="M780" i="10" s="1"/>
  <c r="BF780" i="10"/>
  <c r="BH780" i="10" s="1"/>
  <c r="CA31" i="9"/>
  <c r="AS31" i="9" s="1"/>
  <c r="AW31" i="9" s="1"/>
  <c r="CA15" i="9"/>
  <c r="CC15" i="9" s="1"/>
  <c r="BF715" i="10"/>
  <c r="BH715" i="10" s="1"/>
  <c r="BU509" i="10"/>
  <c r="B509" i="10" s="1"/>
  <c r="BF579" i="10"/>
  <c r="BH579" i="10" s="1"/>
  <c r="BU582" i="10"/>
  <c r="CA55" i="9"/>
  <c r="CA5" i="9"/>
  <c r="CC5" i="9" s="1"/>
  <c r="CA6" i="9"/>
  <c r="CC6" i="9" s="1"/>
  <c r="BU881" i="10"/>
  <c r="B881" i="10" s="1"/>
  <c r="BU584" i="10"/>
  <c r="BW584" i="10" s="1"/>
  <c r="BU515" i="10"/>
  <c r="B515" i="10" s="1"/>
  <c r="BU500" i="10"/>
  <c r="BW500" i="10" s="1"/>
  <c r="BU555" i="10"/>
  <c r="BW555" i="10" s="1"/>
  <c r="BU739" i="10"/>
  <c r="N8" i="17"/>
  <c r="BF704" i="10"/>
  <c r="BH704" i="10" s="1"/>
  <c r="BF718" i="10"/>
  <c r="BH718" i="10" s="1"/>
  <c r="L718" i="10"/>
  <c r="M718" i="10" s="1"/>
  <c r="BU682" i="10"/>
  <c r="BW682" i="10" s="1"/>
  <c r="BU819" i="10"/>
  <c r="BW819" i="10" s="1"/>
  <c r="BF747" i="10"/>
  <c r="BH747" i="10" s="1"/>
  <c r="BU514" i="10"/>
  <c r="BW514" i="10" s="1"/>
  <c r="L762" i="10"/>
  <c r="M762" i="10" s="1"/>
  <c r="BU553" i="10"/>
  <c r="B553" i="10" s="1"/>
  <c r="BU883" i="10"/>
  <c r="BW883" i="10" s="1"/>
  <c r="L652" i="10"/>
  <c r="M652" i="10" s="1"/>
  <c r="L574" i="10"/>
  <c r="L741" i="10"/>
  <c r="BU506" i="10"/>
  <c r="B506" i="10" s="1"/>
  <c r="CA42" i="9"/>
  <c r="AS42" i="9" s="1"/>
  <c r="AW42" i="9" s="1"/>
  <c r="BU818" i="10"/>
  <c r="B818" i="10" s="1"/>
  <c r="L523" i="10"/>
  <c r="M523" i="10" s="1"/>
  <c r="BF523" i="10"/>
  <c r="BH523" i="10" s="1"/>
  <c r="BU536" i="10"/>
  <c r="BF920" i="10"/>
  <c r="BH920" i="10" s="1"/>
  <c r="L920" i="10"/>
  <c r="M920" i="10" s="1"/>
  <c r="CA11" i="9"/>
  <c r="AS11" i="9" s="1"/>
  <c r="AW11" i="9" s="1"/>
  <c r="BU539" i="10"/>
  <c r="BW539" i="10" s="1"/>
  <c r="BU691" i="10"/>
  <c r="BU533" i="10"/>
  <c r="BW533" i="10" s="1"/>
  <c r="BU668" i="10"/>
  <c r="BU654" i="10"/>
  <c r="BW654" i="10" s="1"/>
  <c r="BU723" i="10"/>
  <c r="BW723" i="10" s="1"/>
  <c r="BU581" i="10"/>
  <c r="BW581" i="10" s="1"/>
  <c r="CA69" i="9"/>
  <c r="CC69" i="9" s="1"/>
  <c r="BU659" i="10"/>
  <c r="BW659" i="10" s="1"/>
  <c r="BU531" i="10"/>
  <c r="BW531" i="10" s="1"/>
  <c r="BU656" i="10"/>
  <c r="BW656" i="10" s="1"/>
  <c r="BF772" i="10"/>
  <c r="BH772" i="10" s="1"/>
  <c r="L772" i="10"/>
  <c r="M772" i="10" s="1"/>
  <c r="L679" i="10"/>
  <c r="M679" i="10" s="1"/>
  <c r="BU679" i="10"/>
  <c r="B679" i="10" s="1"/>
  <c r="BU680" i="10"/>
  <c r="BW680" i="10" s="1"/>
  <c r="BU579" i="10"/>
  <c r="BW579" i="10" s="1"/>
  <c r="BU740" i="10"/>
  <c r="B740" i="10" s="1"/>
  <c r="BU896" i="10"/>
  <c r="BU528" i="10"/>
  <c r="BU653" i="10"/>
  <c r="BF568" i="10"/>
  <c r="BH568" i="10" s="1"/>
  <c r="BU667" i="10"/>
  <c r="BW667" i="10" s="1"/>
  <c r="BU695" i="10"/>
  <c r="CA8" i="9"/>
  <c r="CC8" i="9" s="1"/>
  <c r="BU817" i="10"/>
  <c r="BW817" i="10" s="1"/>
  <c r="CA72" i="9"/>
  <c r="AS72" i="9" s="1"/>
  <c r="AW72" i="9" s="1"/>
  <c r="BU526" i="10"/>
  <c r="BW526" i="10" s="1"/>
  <c r="BF727" i="10"/>
  <c r="BH727" i="10" s="1"/>
  <c r="BU657" i="10"/>
  <c r="BW657" i="10" s="1"/>
  <c r="L557" i="10"/>
  <c r="M557" i="10" s="1"/>
  <c r="BF557" i="10"/>
  <c r="BH557" i="10" s="1"/>
  <c r="BF836" i="10"/>
  <c r="BH836" i="10" s="1"/>
  <c r="L836" i="10"/>
  <c r="M836" i="10" s="1"/>
  <c r="BF769" i="10"/>
  <c r="BH769" i="10" s="1"/>
  <c r="L769" i="10"/>
  <c r="M769" i="10" s="1"/>
  <c r="AV15" i="9"/>
  <c r="BU566" i="10"/>
  <c r="BW566" i="10" s="1"/>
  <c r="BU698" i="10"/>
  <c r="B698" i="10" s="1"/>
  <c r="BU583" i="10"/>
  <c r="BW583" i="10" s="1"/>
  <c r="BU885" i="10"/>
  <c r="BW885" i="10" s="1"/>
  <c r="BU540" i="10"/>
  <c r="B540" i="10" s="1"/>
  <c r="CA29" i="9"/>
  <c r="CC29" i="9" s="1"/>
  <c r="L611" i="10"/>
  <c r="M611" i="10" s="1"/>
  <c r="AV18" i="9"/>
  <c r="BU664" i="10"/>
  <c r="BU700" i="10"/>
  <c r="BU571" i="10"/>
  <c r="BW571" i="10" s="1"/>
  <c r="BU663" i="10"/>
  <c r="B663" i="10" s="1"/>
  <c r="BU826" i="10"/>
  <c r="B826" i="10" s="1"/>
  <c r="BU669" i="10"/>
  <c r="BW669" i="10" s="1"/>
  <c r="BU744" i="10"/>
  <c r="BW744" i="10" s="1"/>
  <c r="BF685" i="10"/>
  <c r="BH685" i="10" s="1"/>
  <c r="L631" i="10"/>
  <c r="M631" i="10" s="1"/>
  <c r="BF631" i="10"/>
  <c r="BH631" i="10" s="1"/>
  <c r="BF513" i="10"/>
  <c r="BH513" i="10" s="1"/>
  <c r="L513" i="10"/>
  <c r="M513" i="10" s="1"/>
  <c r="BU693" i="10"/>
  <c r="BW693" i="10" s="1"/>
  <c r="BU537" i="10"/>
  <c r="BW537" i="10" s="1"/>
  <c r="L793" i="10"/>
  <c r="M793" i="10" s="1"/>
  <c r="BF793" i="10"/>
  <c r="BH793" i="10" s="1"/>
  <c r="BF673" i="10"/>
  <c r="BH673" i="10" s="1"/>
  <c r="L583" i="10"/>
  <c r="M583" i="10" s="1"/>
  <c r="BF583" i="10"/>
  <c r="BH583" i="10" s="1"/>
  <c r="BU530" i="10"/>
  <c r="B530" i="10" s="1"/>
  <c r="AV17" i="9"/>
  <c r="CA13" i="9"/>
  <c r="CC13" i="9" s="1"/>
  <c r="CA9" i="9"/>
  <c r="CC9" i="9" s="1"/>
  <c r="BF600" i="10"/>
  <c r="BH600" i="10" s="1"/>
  <c r="L600" i="10"/>
  <c r="M600" i="10" s="1"/>
  <c r="G77" i="8"/>
  <c r="BU815" i="10"/>
  <c r="BW815" i="10" s="1"/>
  <c r="BU568" i="10"/>
  <c r="B568" i="10" s="1"/>
  <c r="BU658" i="10"/>
  <c r="BW658" i="10" s="1"/>
  <c r="BU652" i="10"/>
  <c r="B652" i="10" s="1"/>
  <c r="BF590" i="10"/>
  <c r="BH590" i="10" s="1"/>
  <c r="AV16" i="9"/>
  <c r="BU569" i="10"/>
  <c r="BU564" i="10"/>
  <c r="BW564" i="10" s="1"/>
  <c r="CA58" i="9"/>
  <c r="CC58" i="9" s="1"/>
  <c r="L923" i="10"/>
  <c r="M923" i="10" s="1"/>
  <c r="BU570" i="10"/>
  <c r="BW570" i="10" s="1"/>
  <c r="BU524" i="10"/>
  <c r="BW524" i="10" s="1"/>
  <c r="BU882" i="10"/>
  <c r="BW882" i="10" s="1"/>
  <c r="BU825" i="10"/>
  <c r="BU501" i="10"/>
  <c r="BW501" i="10" s="1"/>
  <c r="CA33" i="9"/>
  <c r="CC33" i="9" s="1"/>
  <c r="BU747" i="10"/>
  <c r="B747" i="10" s="1"/>
  <c r="BU503" i="10"/>
  <c r="B503" i="10" s="1"/>
  <c r="BU811" i="10"/>
  <c r="BW811" i="10" s="1"/>
  <c r="BU519" i="10"/>
  <c r="B519" i="10" s="1"/>
  <c r="BU810" i="10"/>
  <c r="BU814" i="10"/>
  <c r="BW814" i="10" s="1"/>
  <c r="BU529" i="10"/>
  <c r="B529" i="10" s="1"/>
  <c r="L906" i="10"/>
  <c r="M906" i="10" s="1"/>
  <c r="BF906" i="10"/>
  <c r="BH906" i="10" s="1"/>
  <c r="BF754" i="10"/>
  <c r="BH754" i="10" s="1"/>
  <c r="L754" i="10"/>
  <c r="M754" i="10" s="1"/>
  <c r="BU689" i="10"/>
  <c r="BW689" i="10" s="1"/>
  <c r="L612" i="10"/>
  <c r="M612" i="10" s="1"/>
  <c r="BF612" i="10"/>
  <c r="BH612" i="10" s="1"/>
  <c r="CA10" i="9"/>
  <c r="AS10" i="9" s="1"/>
  <c r="AW10" i="9" s="1"/>
  <c r="BU690" i="10"/>
  <c r="B690" i="10" s="1"/>
  <c r="BF595" i="10"/>
  <c r="BH595" i="10" s="1"/>
  <c r="L595" i="10"/>
  <c r="M595" i="10" s="1"/>
  <c r="BU694" i="10"/>
  <c r="BW694" i="10" s="1"/>
  <c r="BU670" i="10"/>
  <c r="BU692" i="10"/>
  <c r="BU812" i="10"/>
  <c r="B812" i="10" s="1"/>
  <c r="BU551" i="10"/>
  <c r="B551" i="10" s="1"/>
  <c r="BU697" i="10"/>
  <c r="B697" i="10" s="1"/>
  <c r="BF558" i="10"/>
  <c r="BH558" i="10" s="1"/>
  <c r="L558" i="10"/>
  <c r="M558" i="10" s="1"/>
  <c r="BF912" i="10"/>
  <c r="BH912" i="10" s="1"/>
  <c r="L912" i="10"/>
  <c r="M912" i="10" s="1"/>
  <c r="BU678" i="10"/>
  <c r="B678" i="10" s="1"/>
  <c r="BU525" i="10"/>
  <c r="B525" i="10" s="1"/>
  <c r="BU517" i="10"/>
  <c r="BW517" i="10" s="1"/>
  <c r="BU660" i="10"/>
  <c r="B660" i="10" s="1"/>
  <c r="BU813" i="10"/>
  <c r="BW813" i="10" s="1"/>
  <c r="BU532" i="10"/>
  <c r="B532" i="10" s="1"/>
  <c r="L785" i="10"/>
  <c r="M785" i="10" s="1"/>
  <c r="BF785" i="10"/>
  <c r="BH785" i="10" s="1"/>
  <c r="BF530" i="10"/>
  <c r="BH530" i="10" s="1"/>
  <c r="L530" i="10"/>
  <c r="M530" i="10" s="1"/>
  <c r="BU502" i="10"/>
  <c r="BW502" i="10" s="1"/>
  <c r="BU580" i="10"/>
  <c r="B580" i="10" s="1"/>
  <c r="BU538" i="10"/>
  <c r="B538" i="10" s="1"/>
  <c r="BU720" i="10"/>
  <c r="B720" i="10" s="1"/>
  <c r="BU572" i="10"/>
  <c r="BW572" i="10" s="1"/>
  <c r="BU662" i="10"/>
  <c r="BW662" i="10" s="1"/>
  <c r="BU535" i="10"/>
  <c r="BW535" i="10" s="1"/>
  <c r="BF916" i="10"/>
  <c r="BH916" i="10" s="1"/>
  <c r="L916" i="10"/>
  <c r="M916" i="10" s="1"/>
  <c r="BU677" i="10"/>
  <c r="CA17" i="9"/>
  <c r="BU681" i="10"/>
  <c r="BW681" i="10" s="1"/>
  <c r="BF878" i="10"/>
  <c r="BH878" i="10" s="1"/>
  <c r="L878" i="10"/>
  <c r="M878" i="10" s="1"/>
  <c r="B885" i="10"/>
  <c r="H81" i="14"/>
  <c r="I311" i="8" s="1"/>
  <c r="J311" i="8" s="1"/>
  <c r="H71" i="14"/>
  <c r="I301" i="8" s="1"/>
  <c r="J301" i="8" s="1"/>
  <c r="L886" i="10"/>
  <c r="BF886" i="10"/>
  <c r="BH886" i="10" s="1"/>
  <c r="BW569" i="10"/>
  <c r="B569" i="10"/>
  <c r="M537" i="10"/>
  <c r="B662" i="10"/>
  <c r="BW518" i="10"/>
  <c r="B518" i="10"/>
  <c r="H73" i="14"/>
  <c r="I303" i="8" s="1"/>
  <c r="J303" i="8" s="1"/>
  <c r="BW508" i="10"/>
  <c r="B508" i="10"/>
  <c r="P64" i="9"/>
  <c r="P65" i="9"/>
  <c r="AB35" i="5"/>
  <c r="AD35" i="5" s="1"/>
  <c r="P66" i="9"/>
  <c r="P62" i="9"/>
  <c r="B288" i="8"/>
  <c r="P63" i="9"/>
  <c r="B314" i="8"/>
  <c r="E314" i="8" s="1"/>
  <c r="B231" i="8"/>
  <c r="F231" i="8" s="1"/>
  <c r="B268" i="11"/>
  <c r="BF547" i="10"/>
  <c r="BH547" i="10" s="1"/>
  <c r="L547" i="10"/>
  <c r="M9" i="17"/>
  <c r="L9" i="17"/>
  <c r="O9" i="17" s="1"/>
  <c r="BW516" i="10"/>
  <c r="B516" i="10"/>
  <c r="M590" i="10"/>
  <c r="L587" i="10"/>
  <c r="BF587" i="10"/>
  <c r="BH587" i="10" s="1"/>
  <c r="BF784" i="10"/>
  <c r="BH784" i="10" s="1"/>
  <c r="L784" i="10"/>
  <c r="BF921" i="10"/>
  <c r="BH921" i="10" s="1"/>
  <c r="L921" i="10"/>
  <c r="BF911" i="10"/>
  <c r="BH911" i="10" s="1"/>
  <c r="L911" i="10"/>
  <c r="L636" i="10"/>
  <c r="BF636" i="10"/>
  <c r="BH636" i="10" s="1"/>
  <c r="AR325" i="10"/>
  <c r="AQ325" i="10"/>
  <c r="L759" i="10"/>
  <c r="BF759" i="10"/>
  <c r="BH759" i="10" s="1"/>
  <c r="M548" i="10"/>
  <c r="BF599" i="10"/>
  <c r="BH599" i="10" s="1"/>
  <c r="L599" i="10"/>
  <c r="BF818" i="10"/>
  <c r="BH818" i="10" s="1"/>
  <c r="L818" i="10"/>
  <c r="BW897" i="10"/>
  <c r="B897" i="10"/>
  <c r="BF728" i="10"/>
  <c r="BH728" i="10" s="1"/>
  <c r="L728" i="10"/>
  <c r="CC32" i="9"/>
  <c r="AS32" i="9"/>
  <c r="AW32" i="9" s="1"/>
  <c r="BF767" i="10"/>
  <c r="BH767" i="10" s="1"/>
  <c r="L767" i="10"/>
  <c r="BF613" i="10"/>
  <c r="BH613" i="10" s="1"/>
  <c r="L613" i="10"/>
  <c r="M909" i="10"/>
  <c r="BU895" i="10"/>
  <c r="BU894" i="10"/>
  <c r="CA71" i="9"/>
  <c r="BW851" i="10"/>
  <c r="B851" i="10"/>
  <c r="BU805" i="10"/>
  <c r="BU794" i="10"/>
  <c r="BU808" i="10"/>
  <c r="BU875" i="10"/>
  <c r="BU822" i="10"/>
  <c r="BU807" i="10"/>
  <c r="BU878" i="10"/>
  <c r="BU800" i="10"/>
  <c r="BU802" i="10"/>
  <c r="BU879" i="10"/>
  <c r="BU804" i="10"/>
  <c r="BU803" i="10"/>
  <c r="BU646" i="10"/>
  <c r="BU874" i="10"/>
  <c r="BU648" i="10"/>
  <c r="BU795" i="10"/>
  <c r="BU821" i="10"/>
  <c r="CA68" i="9"/>
  <c r="CA57" i="9"/>
  <c r="CA28" i="9"/>
  <c r="CA53" i="9"/>
  <c r="BU647" i="10"/>
  <c r="CA54" i="9"/>
  <c r="BU792" i="10"/>
  <c r="BU820" i="10"/>
  <c r="BU797" i="10"/>
  <c r="BU649" i="10"/>
  <c r="BU799" i="10"/>
  <c r="BU801" i="10"/>
  <c r="CA52" i="9"/>
  <c r="BU796" i="10"/>
  <c r="BU806" i="10"/>
  <c r="BU798" i="10"/>
  <c r="BU876" i="10"/>
  <c r="BU877" i="10"/>
  <c r="BU823" i="10"/>
  <c r="BU824" i="10"/>
  <c r="BU650" i="10"/>
  <c r="BU651" i="10"/>
  <c r="BU793" i="10"/>
  <c r="L674" i="10"/>
  <c r="BF674" i="10"/>
  <c r="BH674" i="10" s="1"/>
  <c r="M592" i="10"/>
  <c r="BF580" i="10"/>
  <c r="BH580" i="10" s="1"/>
  <c r="L580" i="10"/>
  <c r="BF897" i="10"/>
  <c r="BH897" i="10" s="1"/>
  <c r="L897" i="10"/>
  <c r="H85" i="14"/>
  <c r="I315" i="8" s="1"/>
  <c r="J315" i="8" s="1"/>
  <c r="BW507" i="10"/>
  <c r="B507" i="10"/>
  <c r="P18" i="4"/>
  <c r="L734" i="10"/>
  <c r="BF734" i="10"/>
  <c r="BH734" i="10" s="1"/>
  <c r="L502" i="10"/>
  <c r="BF502" i="10"/>
  <c r="BH502" i="10" s="1"/>
  <c r="BF527" i="10"/>
  <c r="BH527" i="10" s="1"/>
  <c r="L527" i="10"/>
  <c r="P10" i="4"/>
  <c r="B11" i="4"/>
  <c r="N5" i="4" s="1"/>
  <c r="L812" i="10"/>
  <c r="BF812" i="10"/>
  <c r="BH812" i="10" s="1"/>
  <c r="AR257" i="10"/>
  <c r="AQ257" i="10"/>
  <c r="B500" i="10"/>
  <c r="BF820" i="10"/>
  <c r="BH820" i="10" s="1"/>
  <c r="L820" i="10"/>
  <c r="BW519" i="10"/>
  <c r="BF765" i="10"/>
  <c r="BH765" i="10" s="1"/>
  <c r="L765" i="10"/>
  <c r="M597" i="10"/>
  <c r="L582" i="10"/>
  <c r="BF582" i="10"/>
  <c r="BH582" i="10" s="1"/>
  <c r="BF841" i="10"/>
  <c r="BH841" i="10" s="1"/>
  <c r="L841" i="10"/>
  <c r="BF856" i="10"/>
  <c r="BH856" i="10" s="1"/>
  <c r="L856" i="10"/>
  <c r="L816" i="10"/>
  <c r="BF816" i="10"/>
  <c r="BH816" i="10" s="1"/>
  <c r="H76" i="14"/>
  <c r="I306" i="8" s="1"/>
  <c r="J306" i="8" s="1"/>
  <c r="H80" i="14"/>
  <c r="I310" i="8" s="1"/>
  <c r="J310" i="8" s="1"/>
  <c r="M667" i="10"/>
  <c r="BF559" i="10"/>
  <c r="BH559" i="10" s="1"/>
  <c r="L559" i="10"/>
  <c r="L546" i="10"/>
  <c r="BF546" i="10"/>
  <c r="BH546" i="10" s="1"/>
  <c r="BF514" i="10"/>
  <c r="BH514" i="10" s="1"/>
  <c r="L514" i="10"/>
  <c r="M749" i="10"/>
  <c r="L795" i="10"/>
  <c r="BF795" i="10"/>
  <c r="BH795" i="10" s="1"/>
  <c r="P17" i="4"/>
  <c r="H78" i="14"/>
  <c r="I308" i="8" s="1"/>
  <c r="J308" i="8" s="1"/>
  <c r="N312" i="8"/>
  <c r="AV55" i="9"/>
  <c r="AV56" i="9"/>
  <c r="AV54" i="9"/>
  <c r="AV52" i="9"/>
  <c r="AV53" i="9"/>
  <c r="G86" i="8"/>
  <c r="BW742" i="10"/>
  <c r="B742" i="10"/>
  <c r="BF567" i="10"/>
  <c r="BH567" i="10" s="1"/>
  <c r="L567" i="10"/>
  <c r="BW718" i="10"/>
  <c r="B718" i="10"/>
  <c r="P26" i="4"/>
  <c r="M650" i="10"/>
  <c r="M690" i="10"/>
  <c r="BW854" i="10"/>
  <c r="B854" i="10"/>
  <c r="BF766" i="10"/>
  <c r="BH766" i="10" s="1"/>
  <c r="L766" i="10"/>
  <c r="H82" i="14"/>
  <c r="I312" i="8" s="1"/>
  <c r="J312" i="8" s="1"/>
  <c r="BW810" i="10"/>
  <c r="B810" i="10"/>
  <c r="L653" i="10"/>
  <c r="BF653" i="10"/>
  <c r="BH653" i="10" s="1"/>
  <c r="M860" i="10"/>
  <c r="M516" i="10"/>
  <c r="H79" i="14"/>
  <c r="I309" i="8" s="1"/>
  <c r="J309" i="8" s="1"/>
  <c r="L825" i="10"/>
  <c r="BF825" i="10"/>
  <c r="BH825" i="10" s="1"/>
  <c r="M578" i="10"/>
  <c r="M858" i="10"/>
  <c r="BF535" i="10"/>
  <c r="BH535" i="10" s="1"/>
  <c r="L535" i="10"/>
  <c r="BW513" i="10"/>
  <c r="B513" i="10"/>
  <c r="M908" i="10"/>
  <c r="BU787" i="10"/>
  <c r="BU788" i="10"/>
  <c r="BU790" i="10"/>
  <c r="BU789" i="10"/>
  <c r="CA51" i="9"/>
  <c r="BU791" i="10"/>
  <c r="L865" i="10"/>
  <c r="BF865" i="10"/>
  <c r="BH865" i="10" s="1"/>
  <c r="L560" i="10"/>
  <c r="BF560" i="10"/>
  <c r="BH560" i="10" s="1"/>
  <c r="BF832" i="10"/>
  <c r="BH832" i="10" s="1"/>
  <c r="L832" i="10"/>
  <c r="N307" i="8"/>
  <c r="AV34" i="9"/>
  <c r="AV33" i="9"/>
  <c r="AV32" i="9"/>
  <c r="AV35" i="9"/>
  <c r="G81" i="8"/>
  <c r="BF796" i="10"/>
  <c r="BH796" i="10" s="1"/>
  <c r="L796" i="10"/>
  <c r="BU606" i="10"/>
  <c r="BU605" i="10"/>
  <c r="BU594" i="10"/>
  <c r="BU597" i="10"/>
  <c r="BU617" i="10"/>
  <c r="BU595" i="10"/>
  <c r="BU610" i="10"/>
  <c r="CA19" i="9"/>
  <c r="BU593" i="10"/>
  <c r="BU607" i="10"/>
  <c r="BU596" i="10"/>
  <c r="BU608" i="10"/>
  <c r="BU598" i="10"/>
  <c r="CA21" i="9"/>
  <c r="BU609" i="10"/>
  <c r="BU616" i="10"/>
  <c r="M842" i="10"/>
  <c r="N21" i="17"/>
  <c r="BU783" i="10"/>
  <c r="BU785" i="10"/>
  <c r="BU781" i="10"/>
  <c r="BU778" i="10"/>
  <c r="BU782" i="10"/>
  <c r="BU542" i="10"/>
  <c r="BU780" i="10"/>
  <c r="BU543" i="10"/>
  <c r="BU544" i="10"/>
  <c r="BU776" i="10"/>
  <c r="BU784" i="10"/>
  <c r="BU777" i="10"/>
  <c r="BU779" i="10"/>
  <c r="CA49" i="9"/>
  <c r="CA50" i="9"/>
  <c r="BU786" i="10"/>
  <c r="F181" i="22"/>
  <c r="E122" i="22"/>
  <c r="C181" i="22"/>
  <c r="L21" i="17"/>
  <c r="O21" i="17" s="1"/>
  <c r="M21" i="17"/>
  <c r="M13" i="17"/>
  <c r="L13" i="17"/>
  <c r="O13" i="17" s="1"/>
  <c r="BF509" i="10"/>
  <c r="BH509" i="10" s="1"/>
  <c r="L509" i="10"/>
  <c r="L861" i="10"/>
  <c r="BF861" i="10"/>
  <c r="BH861" i="10" s="1"/>
  <c r="M848" i="10"/>
  <c r="BW556" i="10"/>
  <c r="B556" i="10"/>
  <c r="BW552" i="10"/>
  <c r="B552" i="10"/>
  <c r="BW699" i="10"/>
  <c r="B699" i="10"/>
  <c r="L719" i="10"/>
  <c r="BF719" i="10"/>
  <c r="BH719" i="10" s="1"/>
  <c r="M625" i="10"/>
  <c r="BW862" i="10"/>
  <c r="B862" i="10"/>
  <c r="L903" i="10"/>
  <c r="BF903" i="10"/>
  <c r="BH903" i="10" s="1"/>
  <c r="BF698" i="10"/>
  <c r="BH698" i="10" s="1"/>
  <c r="L698" i="10"/>
  <c r="CC39" i="9"/>
  <c r="AS39" i="9"/>
  <c r="AW39" i="9" s="1"/>
  <c r="L668" i="10"/>
  <c r="BF668" i="10"/>
  <c r="BH668" i="10" s="1"/>
  <c r="P25" i="4"/>
  <c r="BW536" i="10"/>
  <c r="B536" i="10"/>
  <c r="N301" i="8"/>
  <c r="G75" i="8"/>
  <c r="AV8" i="9"/>
  <c r="AV10" i="9"/>
  <c r="AV11" i="9"/>
  <c r="AV9" i="9"/>
  <c r="BF907" i="10"/>
  <c r="BH907" i="10" s="1"/>
  <c r="L907" i="10"/>
  <c r="L663" i="10"/>
  <c r="BF663" i="10"/>
  <c r="BH663" i="10" s="1"/>
  <c r="L654" i="10"/>
  <c r="BF654" i="10"/>
  <c r="BH654" i="10" s="1"/>
  <c r="N315" i="8"/>
  <c r="AV72" i="9"/>
  <c r="AV68" i="9"/>
  <c r="AV70" i="9"/>
  <c r="G89" i="8"/>
  <c r="AV71" i="9"/>
  <c r="AV67" i="9"/>
  <c r="AV69" i="9"/>
  <c r="BU641" i="10"/>
  <c r="BU644" i="10"/>
  <c r="BU640" i="10"/>
  <c r="BU645" i="10"/>
  <c r="BU642" i="10"/>
  <c r="CA27" i="9"/>
  <c r="BU643" i="10"/>
  <c r="N19" i="17"/>
  <c r="M515" i="10"/>
  <c r="BW523" i="10"/>
  <c r="B523" i="10"/>
  <c r="BF646" i="10"/>
  <c r="BH646" i="10" s="1"/>
  <c r="L646" i="10"/>
  <c r="L614" i="10"/>
  <c r="BF614" i="10"/>
  <c r="BH614" i="10" s="1"/>
  <c r="BW847" i="10"/>
  <c r="B847" i="10"/>
  <c r="BW577" i="10"/>
  <c r="B577" i="10"/>
  <c r="L504" i="10"/>
  <c r="BF504" i="10"/>
  <c r="BH504" i="10" s="1"/>
  <c r="M867" i="10"/>
  <c r="BW534" i="10"/>
  <c r="B534" i="10"/>
  <c r="BW527" i="10"/>
  <c r="B527" i="10"/>
  <c r="BF881" i="10"/>
  <c r="BH881" i="10" s="1"/>
  <c r="L881" i="10"/>
  <c r="L753" i="10"/>
  <c r="BF753" i="10"/>
  <c r="BH753" i="10" s="1"/>
  <c r="M531" i="10"/>
  <c r="M887" i="10"/>
  <c r="AR347" i="10"/>
  <c r="AQ347" i="10"/>
  <c r="M579" i="10"/>
  <c r="BF833" i="10"/>
  <c r="BH833" i="10" s="1"/>
  <c r="L833" i="10"/>
  <c r="M893" i="10"/>
  <c r="M585" i="10"/>
  <c r="P14" i="4"/>
  <c r="BW738" i="10"/>
  <c r="BW591" i="10"/>
  <c r="B591" i="10"/>
  <c r="AS15" i="9"/>
  <c r="AW15" i="9" s="1"/>
  <c r="M810" i="10"/>
  <c r="BF864" i="10"/>
  <c r="BH864" i="10" s="1"/>
  <c r="L864" i="10"/>
  <c r="BF545" i="10"/>
  <c r="BH545" i="10" s="1"/>
  <c r="L545" i="10"/>
  <c r="BW846" i="10"/>
  <c r="B846" i="10"/>
  <c r="BW672" i="10"/>
  <c r="B672" i="10"/>
  <c r="P13" i="4"/>
  <c r="L808" i="10"/>
  <c r="BF808" i="10"/>
  <c r="BH808" i="10" s="1"/>
  <c r="BF774" i="10"/>
  <c r="BH774" i="10" s="1"/>
  <c r="L774" i="10"/>
  <c r="N311" i="8"/>
  <c r="AV51" i="9"/>
  <c r="AV49" i="9"/>
  <c r="G85" i="8"/>
  <c r="AV50" i="9"/>
  <c r="L809" i="10"/>
  <c r="BF809" i="10"/>
  <c r="BH809" i="10" s="1"/>
  <c r="BF770" i="10"/>
  <c r="BH770" i="10" s="1"/>
  <c r="L770" i="10"/>
  <c r="N304" i="8"/>
  <c r="AV19" i="9"/>
  <c r="AV20" i="9"/>
  <c r="G78" i="8"/>
  <c r="AV21" i="9"/>
  <c r="AV22" i="9"/>
  <c r="L849" i="10"/>
  <c r="BF849" i="10"/>
  <c r="BH849" i="10" s="1"/>
  <c r="BW677" i="10"/>
  <c r="B677" i="10"/>
  <c r="BW696" i="10"/>
  <c r="B696" i="10"/>
  <c r="BF705" i="10"/>
  <c r="BH705" i="10" s="1"/>
  <c r="L705" i="10"/>
  <c r="BW845" i="10"/>
  <c r="B845" i="10"/>
  <c r="BF540" i="10"/>
  <c r="BH540" i="10" s="1"/>
  <c r="L540" i="10"/>
  <c r="BW716" i="10"/>
  <c r="B716" i="10"/>
  <c r="BF651" i="10"/>
  <c r="BH651" i="10" s="1"/>
  <c r="L651" i="10"/>
  <c r="BW541" i="10"/>
  <c r="B541" i="10"/>
  <c r="BF712" i="10"/>
  <c r="BH712" i="10" s="1"/>
  <c r="L712" i="10"/>
  <c r="BF666" i="10"/>
  <c r="BH666" i="10" s="1"/>
  <c r="L666" i="10"/>
  <c r="BU639" i="10"/>
  <c r="BU601" i="10"/>
  <c r="BU619" i="10"/>
  <c r="BU770" i="10"/>
  <c r="BU623" i="10"/>
  <c r="BU768" i="10"/>
  <c r="BU620" i="10"/>
  <c r="BU604" i="10"/>
  <c r="BU618" i="10"/>
  <c r="CA20" i="9"/>
  <c r="CA22" i="9"/>
  <c r="BU769" i="10"/>
  <c r="BU612" i="10"/>
  <c r="BU621" i="10"/>
  <c r="BU602" i="10"/>
  <c r="BU614" i="10"/>
  <c r="BU613" i="10"/>
  <c r="BU761" i="10"/>
  <c r="CA47" i="9"/>
  <c r="BU764" i="10"/>
  <c r="CA48" i="9"/>
  <c r="BU599" i="10"/>
  <c r="BU762" i="10"/>
  <c r="BU615" i="10"/>
  <c r="CA23" i="9"/>
  <c r="BU763" i="10"/>
  <c r="BU603" i="10"/>
  <c r="BU600" i="10"/>
  <c r="BU622" i="10"/>
  <c r="BU767" i="10"/>
  <c r="BU624" i="10"/>
  <c r="BU766" i="10"/>
  <c r="BU765" i="10"/>
  <c r="BU611" i="10"/>
  <c r="L692" i="10"/>
  <c r="BF692" i="10"/>
  <c r="BH692" i="10" s="1"/>
  <c r="BF857" i="10"/>
  <c r="BH857" i="10" s="1"/>
  <c r="L857" i="10"/>
  <c r="L847" i="10"/>
  <c r="BF847" i="10"/>
  <c r="BH847" i="10" s="1"/>
  <c r="L634" i="10"/>
  <c r="BF634" i="10"/>
  <c r="BH634" i="10" s="1"/>
  <c r="BU586" i="10"/>
  <c r="BU589" i="10"/>
  <c r="BU590" i="10"/>
  <c r="CA18" i="9"/>
  <c r="BU588" i="10"/>
  <c r="BU587" i="10"/>
  <c r="BW809" i="10"/>
  <c r="B809" i="10"/>
  <c r="E29" i="4"/>
  <c r="Q23" i="4" s="1"/>
  <c r="P23" i="4"/>
  <c r="BF594" i="10"/>
  <c r="BH594" i="10" s="1"/>
  <c r="L594" i="10"/>
  <c r="M574" i="10"/>
  <c r="M619" i="10"/>
  <c r="L876" i="10"/>
  <c r="BF876" i="10"/>
  <c r="BH876" i="10" s="1"/>
  <c r="CC35" i="9"/>
  <c r="AS35" i="9"/>
  <c r="AW35" i="9" s="1"/>
  <c r="L616" i="10"/>
  <c r="BF616" i="10"/>
  <c r="BH616" i="10" s="1"/>
  <c r="M741" i="10"/>
  <c r="L645" i="10"/>
  <c r="BF645" i="10"/>
  <c r="BH645" i="10" s="1"/>
  <c r="BF528" i="10"/>
  <c r="BH528" i="10" s="1"/>
  <c r="L528" i="10"/>
  <c r="BF745" i="10"/>
  <c r="BH745" i="10" s="1"/>
  <c r="L745" i="10"/>
  <c r="L686" i="10"/>
  <c r="BF686" i="10"/>
  <c r="BH686" i="10" s="1"/>
  <c r="L804" i="10"/>
  <c r="BF804" i="10"/>
  <c r="BH804" i="10" s="1"/>
  <c r="BW520" i="10"/>
  <c r="B520" i="10"/>
  <c r="BW816" i="10"/>
  <c r="B816" i="10"/>
  <c r="BW857" i="10"/>
  <c r="B857" i="10"/>
  <c r="BF746" i="10"/>
  <c r="BH746" i="10" s="1"/>
  <c r="L746" i="10"/>
  <c r="BW753" i="10"/>
  <c r="B753" i="10"/>
  <c r="M913" i="10"/>
  <c r="M512" i="10"/>
  <c r="BF661" i="10"/>
  <c r="BH661" i="10" s="1"/>
  <c r="L661" i="10"/>
  <c r="BF551" i="10"/>
  <c r="BH551" i="10" s="1"/>
  <c r="L551" i="10"/>
  <c r="AQ24" i="10"/>
  <c r="AR24" i="10"/>
  <c r="BW844" i="10"/>
  <c r="B844" i="10"/>
  <c r="L564" i="10"/>
  <c r="BF564" i="10"/>
  <c r="BH564" i="10" s="1"/>
  <c r="L738" i="10"/>
  <c r="BF738" i="10"/>
  <c r="BH738" i="10" s="1"/>
  <c r="BW653" i="10"/>
  <c r="B653" i="10"/>
  <c r="P11" i="4"/>
  <c r="M798" i="10"/>
  <c r="BF823" i="10"/>
  <c r="BH823" i="10" s="1"/>
  <c r="L823" i="10"/>
  <c r="CC55" i="9"/>
  <c r="AS55" i="9"/>
  <c r="AW55" i="9" s="1"/>
  <c r="M758" i="10"/>
  <c r="M670" i="10"/>
  <c r="CC31" i="9"/>
  <c r="L566" i="10"/>
  <c r="BF566" i="10"/>
  <c r="BH566" i="10" s="1"/>
  <c r="L764" i="10"/>
  <c r="BF764" i="10"/>
  <c r="BH764" i="10" s="1"/>
  <c r="BW582" i="10"/>
  <c r="B582" i="10"/>
  <c r="M846" i="10"/>
  <c r="L895" i="10"/>
  <c r="BF895" i="10"/>
  <c r="BH895" i="10" s="1"/>
  <c r="P70" i="9"/>
  <c r="P67" i="9"/>
  <c r="P72" i="9"/>
  <c r="P68" i="9"/>
  <c r="B289" i="8"/>
  <c r="P71" i="9"/>
  <c r="B232" i="8"/>
  <c r="F232" i="8" s="1"/>
  <c r="AB36" i="5"/>
  <c r="AD36" i="5" s="1"/>
  <c r="P69" i="9"/>
  <c r="B315" i="8"/>
  <c r="E315" i="8" s="1"/>
  <c r="B269" i="11"/>
  <c r="BF532" i="10"/>
  <c r="BH532" i="10" s="1"/>
  <c r="L532" i="10"/>
  <c r="L10" i="17"/>
  <c r="O10" i="17" s="1"/>
  <c r="M10" i="17"/>
  <c r="BW573" i="10"/>
  <c r="B573" i="10"/>
  <c r="M657" i="10"/>
  <c r="BU863" i="10"/>
  <c r="BU864" i="10"/>
  <c r="BU865" i="10"/>
  <c r="BU867" i="10"/>
  <c r="BU866" i="10"/>
  <c r="CA66" i="9"/>
  <c r="L697" i="10"/>
  <c r="BF697" i="10"/>
  <c r="BH697" i="10" s="1"/>
  <c r="Q295" i="8"/>
  <c r="B75" i="8" s="1"/>
  <c r="AV5" i="9"/>
  <c r="G74" i="8"/>
  <c r="N300" i="8"/>
  <c r="AV6" i="9"/>
  <c r="AV7" i="9"/>
  <c r="CC56" i="9"/>
  <c r="AS56" i="9"/>
  <c r="AW56" i="9" s="1"/>
  <c r="L621" i="10"/>
  <c r="BF621" i="10"/>
  <c r="BH621" i="10" s="1"/>
  <c r="CC65" i="9"/>
  <c r="AS65" i="9"/>
  <c r="AW65" i="9" s="1"/>
  <c r="BF873" i="10"/>
  <c r="BH873" i="10" s="1"/>
  <c r="L873" i="10"/>
  <c r="BW752" i="10"/>
  <c r="B752" i="10"/>
  <c r="L800" i="10"/>
  <c r="BF800" i="10"/>
  <c r="BH800" i="10" s="1"/>
  <c r="BW691" i="10"/>
  <c r="B691" i="10"/>
  <c r="M829" i="10"/>
  <c r="M562" i="10"/>
  <c r="M730" i="10"/>
  <c r="BF723" i="10"/>
  <c r="BH723" i="10" s="1"/>
  <c r="L723" i="10"/>
  <c r="M629" i="10"/>
  <c r="M550" i="10"/>
  <c r="L779" i="10"/>
  <c r="BF779" i="10"/>
  <c r="BH779" i="10" s="1"/>
  <c r="L618" i="10"/>
  <c r="BF618" i="10"/>
  <c r="BH618" i="10" s="1"/>
  <c r="BW521" i="10"/>
  <c r="B521" i="10"/>
  <c r="L12" i="17"/>
  <c r="O12" i="17" s="1"/>
  <c r="M12" i="17"/>
  <c r="BF884" i="10"/>
  <c r="BH884" i="10" s="1"/>
  <c r="L884" i="10"/>
  <c r="BW860" i="10"/>
  <c r="B860" i="10"/>
  <c r="L853" i="10"/>
  <c r="BF853" i="10"/>
  <c r="BH853" i="10" s="1"/>
  <c r="M568" i="10"/>
  <c r="BF713" i="10"/>
  <c r="BH713" i="10" s="1"/>
  <c r="L713" i="10"/>
  <c r="M799" i="10"/>
  <c r="M16" i="17"/>
  <c r="L16" i="17"/>
  <c r="O16" i="17" s="1"/>
  <c r="L845" i="10"/>
  <c r="BF845" i="10"/>
  <c r="BH845" i="10" s="1"/>
  <c r="Q296" i="8"/>
  <c r="B76" i="8" s="1"/>
  <c r="H74" i="8"/>
  <c r="B328" i="8"/>
  <c r="BW665" i="10"/>
  <c r="B665" i="10"/>
  <c r="BW592" i="10"/>
  <c r="B592" i="10"/>
  <c r="BW880" i="10"/>
  <c r="B880" i="10"/>
  <c r="BW739" i="10"/>
  <c r="B739" i="10"/>
  <c r="L677" i="10"/>
  <c r="BF677" i="10"/>
  <c r="BH677" i="10" s="1"/>
  <c r="M607" i="10"/>
  <c r="M656" i="10"/>
  <c r="AQ124" i="10"/>
  <c r="AR124" i="10"/>
  <c r="M680" i="10"/>
  <c r="BF536" i="10"/>
  <c r="BH536" i="10" s="1"/>
  <c r="L536" i="10"/>
  <c r="BW842" i="10"/>
  <c r="B842" i="10"/>
  <c r="L507" i="10"/>
  <c r="BF507" i="10"/>
  <c r="BH507" i="10" s="1"/>
  <c r="BU838" i="10"/>
  <c r="BU829" i="10"/>
  <c r="BU834" i="10"/>
  <c r="BU839" i="10"/>
  <c r="BU832" i="10"/>
  <c r="BU836" i="10"/>
  <c r="BU759" i="10"/>
  <c r="BU837" i="10"/>
  <c r="BU833" i="10"/>
  <c r="BU840" i="10"/>
  <c r="BU757" i="10"/>
  <c r="BU758" i="10"/>
  <c r="CA60" i="9"/>
  <c r="BU835" i="10"/>
  <c r="BU831" i="10"/>
  <c r="BU760" i="10"/>
  <c r="CA61" i="9"/>
  <c r="BU830" i="10"/>
  <c r="CA59" i="9"/>
  <c r="CA46" i="9"/>
  <c r="BU828" i="10"/>
  <c r="BU756" i="10"/>
  <c r="BW578" i="10"/>
  <c r="B578" i="10"/>
  <c r="BW692" i="10"/>
  <c r="B692" i="10"/>
  <c r="L503" i="10"/>
  <c r="BF503" i="10"/>
  <c r="BH503" i="10" s="1"/>
  <c r="BF622" i="10"/>
  <c r="BH622" i="10" s="1"/>
  <c r="L622" i="10"/>
  <c r="P36" i="9"/>
  <c r="P37" i="9"/>
  <c r="A401" i="8"/>
  <c r="P39" i="9"/>
  <c r="B282" i="8"/>
  <c r="P38" i="9"/>
  <c r="AB29" i="5"/>
  <c r="AD29" i="5" s="1"/>
  <c r="B225" i="8"/>
  <c r="F225" i="8" s="1"/>
  <c r="B308" i="8"/>
  <c r="E308" i="8" s="1"/>
  <c r="B262" i="11"/>
  <c r="M7" i="17"/>
  <c r="L7" i="17"/>
  <c r="O7" i="17" s="1"/>
  <c r="L593" i="10"/>
  <c r="BF593" i="10"/>
  <c r="BH593" i="10" s="1"/>
  <c r="M875" i="10"/>
  <c r="BW655" i="10"/>
  <c r="B655" i="10"/>
  <c r="BF642" i="10"/>
  <c r="BH642" i="10" s="1"/>
  <c r="L642" i="10"/>
  <c r="BW859" i="10"/>
  <c r="B859" i="10"/>
  <c r="AR297" i="10"/>
  <c r="AQ297" i="10"/>
  <c r="BF702" i="10"/>
  <c r="BH702" i="10" s="1"/>
  <c r="L702" i="10"/>
  <c r="M23" i="17"/>
  <c r="L23" i="17"/>
  <c r="O23" i="17" s="1"/>
  <c r="M18" i="17"/>
  <c r="L18" i="17"/>
  <c r="O18" i="17" s="1"/>
  <c r="BW848" i="10"/>
  <c r="B848" i="10"/>
  <c r="BW755" i="10"/>
  <c r="B755" i="10"/>
  <c r="BF901" i="10"/>
  <c r="BH901" i="10" s="1"/>
  <c r="L901" i="10"/>
  <c r="BF675" i="10"/>
  <c r="BH675" i="10" s="1"/>
  <c r="L675" i="10"/>
  <c r="AR281" i="10"/>
  <c r="AQ281" i="10"/>
  <c r="L877" i="10"/>
  <c r="BF877" i="10"/>
  <c r="BH877" i="10" s="1"/>
  <c r="M11" i="17"/>
  <c r="L11" i="17"/>
  <c r="O11" i="17" s="1"/>
  <c r="BF602" i="10"/>
  <c r="BH602" i="10" s="1"/>
  <c r="L602" i="10"/>
  <c r="P22" i="4"/>
  <c r="M8" i="17"/>
  <c r="L8" i="17"/>
  <c r="O8" i="17" s="1"/>
  <c r="H72" i="14"/>
  <c r="I302" i="8" s="1"/>
  <c r="J302" i="8" s="1"/>
  <c r="M834" i="10"/>
  <c r="M726" i="10"/>
  <c r="B103" i="14"/>
  <c r="B13" i="5"/>
  <c r="K33" i="5" s="1"/>
  <c r="L640" i="10"/>
  <c r="BF640" i="10"/>
  <c r="BH640" i="10" s="1"/>
  <c r="BF722" i="10"/>
  <c r="BH722" i="10" s="1"/>
  <c r="L722" i="10"/>
  <c r="BF826" i="10"/>
  <c r="BH826" i="10" s="1"/>
  <c r="L826" i="10"/>
  <c r="M541" i="10"/>
  <c r="M898" i="10"/>
  <c r="M827" i="10"/>
  <c r="AR98" i="10"/>
  <c r="AQ98" i="10"/>
  <c r="BF830" i="10"/>
  <c r="BH830" i="10" s="1"/>
  <c r="L830" i="10"/>
  <c r="L904" i="10"/>
  <c r="BF904" i="10"/>
  <c r="BH904" i="10" s="1"/>
  <c r="BW741" i="10"/>
  <c r="B741" i="10"/>
  <c r="BW886" i="10"/>
  <c r="B886" i="10"/>
  <c r="BF644" i="10"/>
  <c r="BH644" i="10" s="1"/>
  <c r="L644" i="10"/>
  <c r="L700" i="10"/>
  <c r="BF700" i="10"/>
  <c r="BH700" i="10" s="1"/>
  <c r="L851" i="10"/>
  <c r="BF851" i="10"/>
  <c r="BH851" i="10" s="1"/>
  <c r="M794" i="10"/>
  <c r="N313" i="8"/>
  <c r="AV60" i="9"/>
  <c r="G87" i="8"/>
  <c r="AV58" i="9"/>
  <c r="AV57" i="9"/>
  <c r="AV59" i="9"/>
  <c r="AV61" i="9"/>
  <c r="P13" i="9"/>
  <c r="AB23" i="5"/>
  <c r="AD23" i="5" s="1"/>
  <c r="P12" i="9"/>
  <c r="P14" i="9"/>
  <c r="B276" i="8"/>
  <c r="B302" i="8"/>
  <c r="E302" i="8" s="1"/>
  <c r="B256" i="11"/>
  <c r="B219" i="8"/>
  <c r="F219" i="8" s="1"/>
  <c r="L879" i="10"/>
  <c r="BF879" i="10"/>
  <c r="BH879" i="10" s="1"/>
  <c r="M817" i="10"/>
  <c r="M689" i="10"/>
  <c r="L854" i="10"/>
  <c r="BF854" i="10"/>
  <c r="BH854" i="10" s="1"/>
  <c r="M522" i="10"/>
  <c r="L716" i="10"/>
  <c r="BF716" i="10"/>
  <c r="BH716" i="10" s="1"/>
  <c r="L771" i="10"/>
  <c r="BF771" i="10"/>
  <c r="BH771" i="10" s="1"/>
  <c r="BW661" i="10"/>
  <c r="B661" i="10"/>
  <c r="B584" i="10"/>
  <c r="L750" i="10"/>
  <c r="BF750" i="10"/>
  <c r="BH750" i="10" s="1"/>
  <c r="BW715" i="10"/>
  <c r="B715" i="10"/>
  <c r="BF648" i="10"/>
  <c r="BH648" i="10" s="1"/>
  <c r="L648" i="10"/>
  <c r="M777" i="10"/>
  <c r="BW670" i="10"/>
  <c r="B670" i="10"/>
  <c r="B285" i="8"/>
  <c r="P50" i="9"/>
  <c r="AB32" i="5"/>
  <c r="AD32" i="5" s="1"/>
  <c r="P51" i="9"/>
  <c r="P49" i="9"/>
  <c r="B311" i="8"/>
  <c r="E311" i="8" s="1"/>
  <c r="B228" i="8"/>
  <c r="F228" i="8" s="1"/>
  <c r="B265" i="11"/>
  <c r="L870" i="10"/>
  <c r="BF870" i="10"/>
  <c r="BH870" i="10" s="1"/>
  <c r="L577" i="10"/>
  <c r="BF577" i="10"/>
  <c r="BH577" i="10" s="1"/>
  <c r="L918" i="10"/>
  <c r="BF918" i="10"/>
  <c r="BH918" i="10" s="1"/>
  <c r="M609" i="10"/>
  <c r="M603" i="10"/>
  <c r="BF539" i="10"/>
  <c r="BH539" i="10" s="1"/>
  <c r="L539" i="10"/>
  <c r="L687" i="10"/>
  <c r="BF687" i="10"/>
  <c r="BH687" i="10" s="1"/>
  <c r="M720" i="10"/>
  <c r="BF822" i="10"/>
  <c r="BH822" i="10" s="1"/>
  <c r="L822" i="10"/>
  <c r="L643" i="10"/>
  <c r="BF643" i="10"/>
  <c r="BH643" i="10" s="1"/>
  <c r="BF862" i="10"/>
  <c r="BH862" i="10" s="1"/>
  <c r="L862" i="10"/>
  <c r="P60" i="9"/>
  <c r="P59" i="9"/>
  <c r="P61" i="9"/>
  <c r="B287" i="8"/>
  <c r="B230" i="8"/>
  <c r="F230" i="8" s="1"/>
  <c r="P57" i="9"/>
  <c r="P58" i="9"/>
  <c r="AB34" i="5"/>
  <c r="AD34" i="5" s="1"/>
  <c r="B313" i="8"/>
  <c r="E313" i="8" s="1"/>
  <c r="B267" i="11"/>
  <c r="CC36" i="9"/>
  <c r="AS36" i="9"/>
  <c r="AW36" i="9" s="1"/>
  <c r="N308" i="8"/>
  <c r="AV37" i="9"/>
  <c r="AV39" i="9"/>
  <c r="AV36" i="9"/>
  <c r="AV38" i="9"/>
  <c r="G82" i="8"/>
  <c r="CC64" i="9"/>
  <c r="AS64" i="9"/>
  <c r="AW64" i="9" s="1"/>
  <c r="M807" i="10"/>
  <c r="L533" i="10"/>
  <c r="BF533" i="10"/>
  <c r="BH533" i="10" s="1"/>
  <c r="N306" i="8"/>
  <c r="AV27" i="9"/>
  <c r="AV28" i="9"/>
  <c r="G80" i="8"/>
  <c r="AV29" i="9"/>
  <c r="AV31" i="9"/>
  <c r="AV30" i="9"/>
  <c r="N309" i="8"/>
  <c r="AV42" i="9"/>
  <c r="AV40" i="9"/>
  <c r="AV44" i="9"/>
  <c r="G83" i="8"/>
  <c r="AV43" i="9"/>
  <c r="AV41" i="9"/>
  <c r="BW675" i="10"/>
  <c r="B675" i="10"/>
  <c r="M699" i="10"/>
  <c r="M623" i="10"/>
  <c r="M561" i="10"/>
  <c r="P24" i="4"/>
  <c r="BW668" i="10"/>
  <c r="B668" i="10"/>
  <c r="AQ5" i="10"/>
  <c r="AR5" i="10"/>
  <c r="BF894" i="10"/>
  <c r="BH894" i="10" s="1"/>
  <c r="L894" i="10"/>
  <c r="M890" i="10"/>
  <c r="BF899" i="10"/>
  <c r="BH899" i="10" s="1"/>
  <c r="L899" i="10"/>
  <c r="BF605" i="10"/>
  <c r="BH605" i="10" s="1"/>
  <c r="L605" i="10"/>
  <c r="CC17" i="9"/>
  <c r="AS17" i="9"/>
  <c r="AW17" i="9" s="1"/>
  <c r="P15" i="4"/>
  <c r="M756" i="10"/>
  <c r="L664" i="10"/>
  <c r="BF664" i="10"/>
  <c r="BH664" i="10" s="1"/>
  <c r="M518" i="10"/>
  <c r="M544" i="10"/>
  <c r="BF552" i="10"/>
  <c r="BH552" i="10" s="1"/>
  <c r="L552" i="10"/>
  <c r="M778" i="10"/>
  <c r="L669" i="10"/>
  <c r="BF669" i="10"/>
  <c r="BH669" i="10" s="1"/>
  <c r="BW557" i="10"/>
  <c r="B557" i="10"/>
  <c r="BW554" i="10"/>
  <c r="B554" i="10"/>
  <c r="P20" i="4"/>
  <c r="AQ410" i="10"/>
  <c r="AR410" i="10"/>
  <c r="P8" i="9"/>
  <c r="P9" i="9"/>
  <c r="AB22" i="5"/>
  <c r="AD22" i="5" s="1"/>
  <c r="B275" i="8"/>
  <c r="P10" i="9"/>
  <c r="P11" i="9"/>
  <c r="B218" i="8"/>
  <c r="F218" i="8" s="1"/>
  <c r="B301" i="8"/>
  <c r="E301" i="8" s="1"/>
  <c r="B255" i="11"/>
  <c r="M510" i="10"/>
  <c r="BU917" i="10"/>
  <c r="BU919" i="10"/>
  <c r="BU918" i="10"/>
  <c r="CA76" i="9"/>
  <c r="BU916" i="10"/>
  <c r="BW567" i="10"/>
  <c r="B567" i="10"/>
  <c r="L534" i="10"/>
  <c r="BF534" i="10"/>
  <c r="BH534" i="10" s="1"/>
  <c r="L573" i="10"/>
  <c r="BF573" i="10"/>
  <c r="BH573" i="10" s="1"/>
  <c r="BF819" i="10"/>
  <c r="BH819" i="10" s="1"/>
  <c r="L819" i="10"/>
  <c r="L737" i="10"/>
  <c r="BF737" i="10"/>
  <c r="BH737" i="10" s="1"/>
  <c r="P48" i="9"/>
  <c r="A399" i="8"/>
  <c r="P46" i="9"/>
  <c r="P47" i="9"/>
  <c r="P45" i="9"/>
  <c r="B284" i="8"/>
  <c r="AB31" i="5"/>
  <c r="AD31" i="5" s="1"/>
  <c r="B310" i="8"/>
  <c r="E310" i="8" s="1"/>
  <c r="B227" i="8"/>
  <c r="F227" i="8" s="1"/>
  <c r="B264" i="11"/>
  <c r="M556" i="10"/>
  <c r="N316" i="8"/>
  <c r="AV75" i="9"/>
  <c r="AV74" i="9"/>
  <c r="AV76" i="9"/>
  <c r="G90" i="8"/>
  <c r="AV73" i="9"/>
  <c r="BF575" i="10"/>
  <c r="BH575" i="10" s="1"/>
  <c r="L575" i="10"/>
  <c r="L748" i="10"/>
  <c r="BF748" i="10"/>
  <c r="BH748" i="10" s="1"/>
  <c r="M549" i="10"/>
  <c r="L628" i="10"/>
  <c r="BF628" i="10"/>
  <c r="BH628" i="10" s="1"/>
  <c r="H77" i="14"/>
  <c r="I307" i="8" s="1"/>
  <c r="J307" i="8" s="1"/>
  <c r="L910" i="10"/>
  <c r="BF910" i="10"/>
  <c r="BH910" i="10" s="1"/>
  <c r="M569" i="10"/>
  <c r="P16" i="4"/>
  <c r="M520" i="10"/>
  <c r="M22" i="17"/>
  <c r="L22" i="17"/>
  <c r="O22" i="17" s="1"/>
  <c r="L610" i="10"/>
  <c r="BF610" i="10"/>
  <c r="BH610" i="10" s="1"/>
  <c r="M709" i="10"/>
  <c r="M589" i="10"/>
  <c r="L526" i="10"/>
  <c r="BF526" i="10"/>
  <c r="BH526" i="10" s="1"/>
  <c r="CC63" i="9"/>
  <c r="AS63" i="9"/>
  <c r="AW63" i="9" s="1"/>
  <c r="BW754" i="10"/>
  <c r="B754" i="10"/>
  <c r="M768" i="10"/>
  <c r="M588" i="10"/>
  <c r="P17" i="9"/>
  <c r="B277" i="8"/>
  <c r="P18" i="9"/>
  <c r="AB24" i="5"/>
  <c r="AD24" i="5" s="1"/>
  <c r="P16" i="9"/>
  <c r="P15" i="9"/>
  <c r="B220" i="8"/>
  <c r="F220" i="8" s="1"/>
  <c r="B303" i="8"/>
  <c r="E303" i="8" s="1"/>
  <c r="B257" i="11"/>
  <c r="BF811" i="10"/>
  <c r="BH811" i="10" s="1"/>
  <c r="L811" i="10"/>
  <c r="M525" i="10"/>
  <c r="AQ176" i="10"/>
  <c r="AR176" i="10"/>
  <c r="M626" i="10"/>
  <c r="P44" i="9"/>
  <c r="P42" i="9"/>
  <c r="B283" i="8"/>
  <c r="P41" i="9"/>
  <c r="P40" i="9"/>
  <c r="P43" i="9"/>
  <c r="AB30" i="5"/>
  <c r="AD30" i="5" s="1"/>
  <c r="B226" i="8"/>
  <c r="F226" i="8" s="1"/>
  <c r="B309" i="8"/>
  <c r="E309" i="8" s="1"/>
  <c r="B263" i="11"/>
  <c r="BU729" i="10"/>
  <c r="BU725" i="10"/>
  <c r="BU726" i="10"/>
  <c r="CA40" i="9"/>
  <c r="BU727" i="10"/>
  <c r="BU724" i="10"/>
  <c r="BU728" i="10"/>
  <c r="L882" i="10"/>
  <c r="BF882" i="10"/>
  <c r="BH882" i="10" s="1"/>
  <c r="M678" i="10"/>
  <c r="BF786" i="10"/>
  <c r="BH786" i="10" s="1"/>
  <c r="L786" i="10"/>
  <c r="H86" i="14"/>
  <c r="I316" i="8" s="1"/>
  <c r="J316" i="8" s="1"/>
  <c r="BW504" i="10"/>
  <c r="B504" i="10"/>
  <c r="M671" i="10"/>
  <c r="M802" i="10"/>
  <c r="BW511" i="10"/>
  <c r="M570" i="10"/>
  <c r="M15" i="17"/>
  <c r="L15" i="17"/>
  <c r="O15" i="17" s="1"/>
  <c r="BW896" i="10"/>
  <c r="B896" i="10"/>
  <c r="M693" i="10"/>
  <c r="P6" i="9"/>
  <c r="P5" i="9"/>
  <c r="B274" i="8"/>
  <c r="P7" i="9"/>
  <c r="B350" i="8"/>
  <c r="AB21" i="5"/>
  <c r="AD21" i="5" s="1"/>
  <c r="B217" i="8"/>
  <c r="B300" i="8"/>
  <c r="E300" i="8" s="1"/>
  <c r="B254" i="11"/>
  <c r="E110" i="12"/>
  <c r="E112" i="12"/>
  <c r="E102" i="12"/>
  <c r="E100" i="12"/>
  <c r="E111" i="12"/>
  <c r="E103" i="12"/>
  <c r="E109" i="12"/>
  <c r="E106" i="12"/>
  <c r="E113" i="12"/>
  <c r="E104" i="12"/>
  <c r="E107" i="12"/>
  <c r="E108" i="12"/>
  <c r="E101" i="12"/>
  <c r="E105" i="12"/>
  <c r="P34" i="9"/>
  <c r="P33" i="9"/>
  <c r="AB28" i="5"/>
  <c r="AD28" i="5" s="1"/>
  <c r="P35" i="9"/>
  <c r="B224" i="8"/>
  <c r="F224" i="8" s="1"/>
  <c r="B281" i="8"/>
  <c r="P32" i="9"/>
  <c r="B307" i="8"/>
  <c r="E307" i="8" s="1"/>
  <c r="B261" i="11"/>
  <c r="BW858" i="10"/>
  <c r="B858" i="10"/>
  <c r="N302" i="8"/>
  <c r="G76" i="8"/>
  <c r="AV14" i="9"/>
  <c r="AV13" i="9"/>
  <c r="AV12" i="9"/>
  <c r="CC16" i="9"/>
  <c r="AS16" i="9"/>
  <c r="AW16" i="9" s="1"/>
  <c r="BW528" i="10"/>
  <c r="B528" i="10"/>
  <c r="L14" i="17"/>
  <c r="O14" i="17" s="1"/>
  <c r="M14" i="17"/>
  <c r="P12" i="4"/>
  <c r="M586" i="10"/>
  <c r="BF635" i="10"/>
  <c r="BH635" i="10" s="1"/>
  <c r="L635" i="10"/>
  <c r="M704" i="10"/>
  <c r="L695" i="10"/>
  <c r="BF695" i="10"/>
  <c r="BH695" i="10" s="1"/>
  <c r="BF736" i="10"/>
  <c r="BH736" i="10" s="1"/>
  <c r="L736" i="10"/>
  <c r="AR200" i="10"/>
  <c r="AQ200" i="10"/>
  <c r="L783" i="10"/>
  <c r="BF783" i="10"/>
  <c r="BH783" i="10" s="1"/>
  <c r="L837" i="10"/>
  <c r="BF837" i="10"/>
  <c r="BH837" i="10" s="1"/>
  <c r="L521" i="10"/>
  <c r="BF521" i="10"/>
  <c r="BH521" i="10" s="1"/>
  <c r="L791" i="10"/>
  <c r="BF791" i="10"/>
  <c r="BH791" i="10" s="1"/>
  <c r="L839" i="10"/>
  <c r="BF839" i="10"/>
  <c r="BH839" i="10" s="1"/>
  <c r="BW695" i="10"/>
  <c r="B695" i="10"/>
  <c r="B817" i="10"/>
  <c r="BW841" i="10"/>
  <c r="B841" i="10"/>
  <c r="BW676" i="10"/>
  <c r="B676" i="10"/>
  <c r="M905" i="10"/>
  <c r="P74" i="9"/>
  <c r="P75" i="9"/>
  <c r="AB37" i="5"/>
  <c r="AD37" i="5" s="1"/>
  <c r="B290" i="8"/>
  <c r="P76" i="9"/>
  <c r="P73" i="9"/>
  <c r="B233" i="8"/>
  <c r="F233" i="8" s="1"/>
  <c r="B316" i="8"/>
  <c r="E316" i="8" s="1"/>
  <c r="B270" i="11"/>
  <c r="M553" i="10"/>
  <c r="L627" i="10"/>
  <c r="BF627" i="10"/>
  <c r="BH627" i="10" s="1"/>
  <c r="BF871" i="10"/>
  <c r="BH871" i="10" s="1"/>
  <c r="L871" i="10"/>
  <c r="H75" i="14"/>
  <c r="I305" i="8" s="1"/>
  <c r="L840" i="10"/>
  <c r="BF840" i="10"/>
  <c r="BH840" i="10" s="1"/>
  <c r="M732" i="10"/>
  <c r="BW575" i="10"/>
  <c r="B575" i="10"/>
  <c r="N310" i="8"/>
  <c r="G84" i="8"/>
  <c r="AV45" i="9"/>
  <c r="AV46" i="9"/>
  <c r="AV48" i="9"/>
  <c r="AV47" i="9"/>
  <c r="BW540" i="10"/>
  <c r="M665" i="10"/>
  <c r="L641" i="10"/>
  <c r="BF641" i="10"/>
  <c r="BH641" i="10" s="1"/>
  <c r="M715" i="10"/>
  <c r="M724" i="10"/>
  <c r="BF782" i="10"/>
  <c r="BH782" i="10" s="1"/>
  <c r="L782" i="10"/>
  <c r="BF681" i="10"/>
  <c r="BH681" i="10" s="1"/>
  <c r="L681" i="10"/>
  <c r="M896" i="10"/>
  <c r="P19" i="4"/>
  <c r="BW671" i="10"/>
  <c r="B671" i="10"/>
  <c r="BF632" i="10"/>
  <c r="BH632" i="10" s="1"/>
  <c r="L632" i="10"/>
  <c r="CC43" i="9"/>
  <c r="AS43" i="9"/>
  <c r="AW43" i="9" s="1"/>
  <c r="M685" i="10"/>
  <c r="L814" i="10"/>
  <c r="BF814" i="10"/>
  <c r="BH814" i="10" s="1"/>
  <c r="BF615" i="10"/>
  <c r="BH615" i="10" s="1"/>
  <c r="L615" i="10"/>
  <c r="M874" i="10"/>
  <c r="L638" i="10"/>
  <c r="BF638" i="10"/>
  <c r="BH638" i="10" s="1"/>
  <c r="L917" i="10"/>
  <c r="BF917" i="10"/>
  <c r="BH917" i="10" s="1"/>
  <c r="L529" i="10"/>
  <c r="BF529" i="10"/>
  <c r="BH529" i="10" s="1"/>
  <c r="BF776" i="10"/>
  <c r="BH776" i="10" s="1"/>
  <c r="L776" i="10"/>
  <c r="L821" i="10"/>
  <c r="BF821" i="10"/>
  <c r="BH821" i="10" s="1"/>
  <c r="M787" i="10"/>
  <c r="H84" i="14"/>
  <c r="I314" i="8" s="1"/>
  <c r="J314" i="8" s="1"/>
  <c r="BU908" i="10"/>
  <c r="BU902" i="10"/>
  <c r="BU907" i="10"/>
  <c r="BU922" i="10"/>
  <c r="BU923" i="10"/>
  <c r="CA73" i="9"/>
  <c r="CA75" i="9"/>
  <c r="CA74" i="9"/>
  <c r="BU910" i="10"/>
  <c r="BU912" i="10"/>
  <c r="BU920" i="10"/>
  <c r="BU905" i="10"/>
  <c r="BU921" i="10"/>
  <c r="BU915" i="10"/>
  <c r="BU911" i="10"/>
  <c r="BU906" i="10"/>
  <c r="BU903" i="10"/>
  <c r="BU914" i="10"/>
  <c r="BU904" i="10"/>
  <c r="BU913" i="10"/>
  <c r="BU909" i="10"/>
  <c r="BF790" i="10"/>
  <c r="BH790" i="10" s="1"/>
  <c r="L790" i="10"/>
  <c r="BW849" i="10"/>
  <c r="B849" i="10"/>
  <c r="P28" i="9"/>
  <c r="P29" i="9"/>
  <c r="P31" i="9"/>
  <c r="P27" i="9"/>
  <c r="P30" i="9"/>
  <c r="B280" i="8"/>
  <c r="AB27" i="5"/>
  <c r="AD27" i="5" s="1"/>
  <c r="B306" i="8"/>
  <c r="E306" i="8" s="1"/>
  <c r="B223" i="8"/>
  <c r="F223" i="8" s="1"/>
  <c r="B260" i="11"/>
  <c r="BW719" i="10"/>
  <c r="B719" i="10"/>
  <c r="L914" i="10"/>
  <c r="BF914" i="10"/>
  <c r="BH914" i="10" s="1"/>
  <c r="P26" i="9"/>
  <c r="B279" i="8"/>
  <c r="P25" i="9"/>
  <c r="P23" i="9"/>
  <c r="P24" i="9"/>
  <c r="AB26" i="5"/>
  <c r="AD26" i="5" s="1"/>
  <c r="B305" i="8"/>
  <c r="E305" i="8" s="1"/>
  <c r="B222" i="8"/>
  <c r="F222" i="8" s="1"/>
  <c r="B259" i="11"/>
  <c r="BF813" i="10"/>
  <c r="BH813" i="10" s="1"/>
  <c r="L813" i="10"/>
  <c r="M889" i="10"/>
  <c r="M747" i="10"/>
  <c r="M684" i="10"/>
  <c r="BW525" i="10"/>
  <c r="BW746" i="10"/>
  <c r="B746" i="10"/>
  <c r="N314" i="8"/>
  <c r="AV66" i="9"/>
  <c r="AV63" i="9"/>
  <c r="AV65" i="9"/>
  <c r="AV64" i="9"/>
  <c r="AV62" i="9"/>
  <c r="G88" i="8"/>
  <c r="M706" i="10"/>
  <c r="BU628" i="10"/>
  <c r="BU625" i="10"/>
  <c r="BU634" i="10"/>
  <c r="BU637" i="10"/>
  <c r="BU630" i="10"/>
  <c r="BU629" i="10"/>
  <c r="CA26" i="9"/>
  <c r="CA25" i="9"/>
  <c r="CA24" i="9"/>
  <c r="BU633" i="10"/>
  <c r="BU635" i="10"/>
  <c r="BU627" i="10"/>
  <c r="BU631" i="10"/>
  <c r="BU636" i="10"/>
  <c r="BU638" i="10"/>
  <c r="BU626" i="10"/>
  <c r="BU632" i="10"/>
  <c r="M775" i="10"/>
  <c r="M760" i="10"/>
  <c r="BF789" i="10"/>
  <c r="BH789" i="10" s="1"/>
  <c r="L789" i="10"/>
  <c r="BF915" i="10"/>
  <c r="BH915" i="10" s="1"/>
  <c r="L915" i="10"/>
  <c r="BF701" i="10"/>
  <c r="BH701" i="10" s="1"/>
  <c r="L701" i="10"/>
  <c r="H74" i="14"/>
  <c r="I304" i="8" s="1"/>
  <c r="J304" i="8" s="1"/>
  <c r="BF731" i="10"/>
  <c r="BH731" i="10" s="1"/>
  <c r="L731" i="10"/>
  <c r="L739" i="10"/>
  <c r="BF739" i="10"/>
  <c r="BH739" i="10" s="1"/>
  <c r="M633" i="10"/>
  <c r="L717" i="10"/>
  <c r="BF717" i="10"/>
  <c r="BH717" i="10" s="1"/>
  <c r="BW812" i="10"/>
  <c r="BW551" i="10"/>
  <c r="BW697" i="10"/>
  <c r="M835" i="10"/>
  <c r="M608" i="10"/>
  <c r="BF711" i="10"/>
  <c r="BH711" i="10" s="1"/>
  <c r="L711" i="10"/>
  <c r="BW861" i="10"/>
  <c r="B861" i="10"/>
  <c r="R10" i="4"/>
  <c r="B12" i="4"/>
  <c r="L763" i="10"/>
  <c r="BF763" i="10"/>
  <c r="BH763" i="10" s="1"/>
  <c r="L676" i="10"/>
  <c r="BF676" i="10"/>
  <c r="BH676" i="10" s="1"/>
  <c r="BF710" i="10"/>
  <c r="BH710" i="10" s="1"/>
  <c r="L710" i="10"/>
  <c r="L855" i="10"/>
  <c r="BF855" i="10"/>
  <c r="BH855" i="10" s="1"/>
  <c r="M803" i="10"/>
  <c r="CC7" i="9"/>
  <c r="AS7" i="9"/>
  <c r="AW7" i="9" s="1"/>
  <c r="BW512" i="10"/>
  <c r="B512" i="10"/>
  <c r="H83" i="14"/>
  <c r="I313" i="8" s="1"/>
  <c r="J313" i="8" s="1"/>
  <c r="BF843" i="10"/>
  <c r="BH843" i="10" s="1"/>
  <c r="L843" i="10"/>
  <c r="L630" i="10"/>
  <c r="BF630" i="10"/>
  <c r="BH630" i="10" s="1"/>
  <c r="BU893" i="10"/>
  <c r="BU891" i="10"/>
  <c r="BU890" i="10"/>
  <c r="BU563" i="10"/>
  <c r="BU558" i="10"/>
  <c r="BU748" i="10"/>
  <c r="BU751" i="10"/>
  <c r="BU775" i="10"/>
  <c r="CA70" i="9"/>
  <c r="BU561" i="10"/>
  <c r="BU772" i="10"/>
  <c r="BU546" i="10"/>
  <c r="BU562" i="10"/>
  <c r="BU888" i="10"/>
  <c r="BU889" i="10"/>
  <c r="BU773" i="10"/>
  <c r="BU559" i="10"/>
  <c r="CA44" i="9"/>
  <c r="BU545" i="10"/>
  <c r="BU771" i="10"/>
  <c r="BU549" i="10"/>
  <c r="BU774" i="10"/>
  <c r="BU550" i="10"/>
  <c r="BU547" i="10"/>
  <c r="BU749" i="10"/>
  <c r="CA12" i="9"/>
  <c r="BU565" i="10"/>
  <c r="BU548" i="10"/>
  <c r="BU560" i="10"/>
  <c r="BU750" i="10"/>
  <c r="BU900" i="10"/>
  <c r="BU892" i="10"/>
  <c r="BU901" i="10"/>
  <c r="CA14" i="9"/>
  <c r="BW505" i="10"/>
  <c r="B505" i="10"/>
  <c r="BW510" i="10"/>
  <c r="B510" i="10"/>
  <c r="M639" i="10"/>
  <c r="BF617" i="10"/>
  <c r="BH617" i="10" s="1"/>
  <c r="L617" i="10"/>
  <c r="M649" i="10"/>
  <c r="L755" i="10"/>
  <c r="BF755" i="10"/>
  <c r="BH755" i="10" s="1"/>
  <c r="BF757" i="10"/>
  <c r="BH757" i="10" s="1"/>
  <c r="L757" i="10"/>
  <c r="L788" i="10"/>
  <c r="BF788" i="10"/>
  <c r="BH788" i="10" s="1"/>
  <c r="L682" i="10"/>
  <c r="BF682" i="10"/>
  <c r="BH682" i="10" s="1"/>
  <c r="BF565" i="10"/>
  <c r="BH565" i="10" s="1"/>
  <c r="L565" i="10"/>
  <c r="L500" i="10"/>
  <c r="BF500" i="10"/>
  <c r="BH500" i="10" s="1"/>
  <c r="BU701" i="10"/>
  <c r="BU732" i="10"/>
  <c r="BU702" i="10"/>
  <c r="BU731" i="10"/>
  <c r="BU703" i="10"/>
  <c r="BU706" i="10"/>
  <c r="CA41" i="9"/>
  <c r="BU704" i="10"/>
  <c r="BU705" i="10"/>
  <c r="BU733" i="10"/>
  <c r="BU730" i="10"/>
  <c r="BU734" i="10"/>
  <c r="BU735" i="10"/>
  <c r="CA37" i="9"/>
  <c r="M20" i="17"/>
  <c r="L20" i="17"/>
  <c r="O20" i="17" s="1"/>
  <c r="BW664" i="10"/>
  <c r="B664" i="10"/>
  <c r="BW700" i="10"/>
  <c r="B700" i="10"/>
  <c r="H131" i="8"/>
  <c r="H128" i="8"/>
  <c r="H130" i="8"/>
  <c r="H134" i="8"/>
  <c r="B278" i="8"/>
  <c r="H125" i="8"/>
  <c r="H123" i="8"/>
  <c r="H119" i="8"/>
  <c r="P22" i="9"/>
  <c r="H126" i="8"/>
  <c r="H122" i="8"/>
  <c r="H133" i="8"/>
  <c r="H127" i="8"/>
  <c r="AB25" i="5"/>
  <c r="AD25" i="5" s="1"/>
  <c r="A400" i="8"/>
  <c r="H121" i="8"/>
  <c r="H135" i="8"/>
  <c r="H129" i="8"/>
  <c r="P19" i="9"/>
  <c r="H132" i="8"/>
  <c r="P21" i="9"/>
  <c r="P20" i="9"/>
  <c r="H120" i="8"/>
  <c r="H124" i="8"/>
  <c r="B304" i="8"/>
  <c r="E304" i="8" s="1"/>
  <c r="B221" i="8"/>
  <c r="F221" i="8" s="1"/>
  <c r="B258" i="11"/>
  <c r="L662" i="10"/>
  <c r="BF662" i="10"/>
  <c r="BH662" i="10" s="1"/>
  <c r="BF902" i="10"/>
  <c r="BH902" i="10" s="1"/>
  <c r="L902" i="10"/>
  <c r="BW852" i="10"/>
  <c r="B852" i="10"/>
  <c r="M596" i="10"/>
  <c r="BW674" i="10"/>
  <c r="B674" i="10"/>
  <c r="BF511" i="10"/>
  <c r="BH511" i="10" s="1"/>
  <c r="L511" i="10"/>
  <c r="M838" i="10"/>
  <c r="P21" i="4"/>
  <c r="M517" i="10"/>
  <c r="BU871" i="10"/>
  <c r="BU872" i="10"/>
  <c r="BU868" i="10"/>
  <c r="BU898" i="10"/>
  <c r="BU869" i="10"/>
  <c r="BU899" i="10"/>
  <c r="BU873" i="10"/>
  <c r="BU870" i="10"/>
  <c r="CA67" i="9"/>
  <c r="L688" i="10"/>
  <c r="BF688" i="10"/>
  <c r="BH688" i="10" s="1"/>
  <c r="M725" i="10"/>
  <c r="M742" i="10"/>
  <c r="N23" i="17"/>
  <c r="BW856" i="10"/>
  <c r="B856" i="10"/>
  <c r="BW853" i="10"/>
  <c r="B853" i="10"/>
  <c r="BF751" i="10"/>
  <c r="BH751" i="10" s="1"/>
  <c r="L751" i="10"/>
  <c r="BW576" i="10"/>
  <c r="B576" i="10"/>
  <c r="BW714" i="10"/>
  <c r="B714" i="10"/>
  <c r="N305" i="8"/>
  <c r="J305" i="8"/>
  <c r="AV23" i="9"/>
  <c r="G79" i="8"/>
  <c r="AV24" i="9"/>
  <c r="AV25" i="9"/>
  <c r="AV26" i="9"/>
  <c r="M17" i="17"/>
  <c r="L17" i="17"/>
  <c r="O17" i="17" s="1"/>
  <c r="BF691" i="10"/>
  <c r="BH691" i="10" s="1"/>
  <c r="L691" i="10"/>
  <c r="M727" i="10"/>
  <c r="BW745" i="10"/>
  <c r="B745" i="10"/>
  <c r="L740" i="10"/>
  <c r="BF740" i="10"/>
  <c r="BH740" i="10" s="1"/>
  <c r="BF554" i="10"/>
  <c r="BH554" i="10" s="1"/>
  <c r="L554" i="10"/>
  <c r="M508" i="10"/>
  <c r="P52" i="9"/>
  <c r="B286" i="8"/>
  <c r="P53" i="9"/>
  <c r="P56" i="9"/>
  <c r="AB33" i="5"/>
  <c r="AD33" i="5" s="1"/>
  <c r="P54" i="9"/>
  <c r="P55" i="9"/>
  <c r="B312" i="8"/>
  <c r="E312" i="8" s="1"/>
  <c r="B266" i="11"/>
  <c r="B229" i="8"/>
  <c r="F229" i="8" s="1"/>
  <c r="BF707" i="10"/>
  <c r="BH707" i="10" s="1"/>
  <c r="L707" i="10"/>
  <c r="BW855" i="10"/>
  <c r="B855" i="10"/>
  <c r="BW843" i="10"/>
  <c r="B843" i="10"/>
  <c r="M542" i="10"/>
  <c r="BF880" i="10"/>
  <c r="BH880" i="10" s="1"/>
  <c r="L880" i="10"/>
  <c r="BW574" i="10"/>
  <c r="B574" i="10"/>
  <c r="BW673" i="10"/>
  <c r="B673" i="10"/>
  <c r="BW825" i="10"/>
  <c r="B825" i="10"/>
  <c r="BF604" i="10"/>
  <c r="BH604" i="10" s="1"/>
  <c r="L604" i="10"/>
  <c r="BF591" i="10"/>
  <c r="BH591" i="10" s="1"/>
  <c r="L591" i="10"/>
  <c r="B535" i="10"/>
  <c r="L859" i="10"/>
  <c r="BF859" i="10"/>
  <c r="BH859" i="10" s="1"/>
  <c r="N15" i="17"/>
  <c r="M708" i="10"/>
  <c r="M637" i="10"/>
  <c r="H70" i="14"/>
  <c r="E16" i="4" s="1"/>
  <c r="Q10" i="4" s="1"/>
  <c r="M519" i="10"/>
  <c r="M883" i="10"/>
  <c r="M538" i="10"/>
  <c r="CC62" i="9"/>
  <c r="AS62" i="9"/>
  <c r="AW62" i="9" s="1"/>
  <c r="BW850" i="10"/>
  <c r="B850" i="10"/>
  <c r="L624" i="10"/>
  <c r="BF624" i="10"/>
  <c r="BH624" i="10" s="1"/>
  <c r="M19" i="17"/>
  <c r="L19" i="17"/>
  <c r="O19" i="17" s="1"/>
  <c r="CC45" i="9"/>
  <c r="AS45" i="9"/>
  <c r="AW45" i="9" s="1"/>
  <c r="BW717" i="10"/>
  <c r="B717" i="10"/>
  <c r="L729" i="10"/>
  <c r="BF729" i="10"/>
  <c r="BH729" i="10" s="1"/>
  <c r="M673" i="10"/>
  <c r="BW827" i="10"/>
  <c r="B827" i="10"/>
  <c r="BW743" i="10"/>
  <c r="B743" i="10"/>
  <c r="BU710" i="10"/>
  <c r="BU707" i="10"/>
  <c r="BU685" i="10"/>
  <c r="BU708" i="10"/>
  <c r="BU709" i="10"/>
  <c r="BU688" i="10"/>
  <c r="CA34" i="9"/>
  <c r="BU686" i="10"/>
  <c r="BU684" i="10"/>
  <c r="BU687" i="10"/>
  <c r="CA38" i="9"/>
  <c r="BU713" i="10"/>
  <c r="BU711" i="10"/>
  <c r="BU712" i="10"/>
  <c r="BU683" i="10"/>
  <c r="B585" i="10" l="1"/>
  <c r="B522" i="10"/>
  <c r="BW722" i="10"/>
  <c r="BW721" i="10"/>
  <c r="B884" i="10"/>
  <c r="AO884" i="10" s="1"/>
  <c r="BW503" i="10"/>
  <c r="E25" i="4"/>
  <c r="Q19" i="4" s="1"/>
  <c r="BW530" i="10"/>
  <c r="B555" i="10"/>
  <c r="AO555" i="10" s="1"/>
  <c r="BW736" i="10"/>
  <c r="BW666" i="10"/>
  <c r="BW506" i="10"/>
  <c r="CC72" i="9"/>
  <c r="AS30" i="9"/>
  <c r="AW30" i="9" s="1"/>
  <c r="B572" i="10"/>
  <c r="AX572" i="10" s="1"/>
  <c r="BD572" i="10" s="1"/>
  <c r="BW737" i="10"/>
  <c r="CC11" i="9"/>
  <c r="B524" i="10"/>
  <c r="AO524" i="10" s="1"/>
  <c r="BW515" i="10"/>
  <c r="BW818" i="10"/>
  <c r="BW509" i="10"/>
  <c r="BW580" i="10"/>
  <c r="CC42" i="9"/>
  <c r="B570" i="10"/>
  <c r="B667" i="10"/>
  <c r="AS29" i="9"/>
  <c r="AW29" i="9" s="1"/>
  <c r="AS5" i="9"/>
  <c r="B887" i="10"/>
  <c r="B501" i="10"/>
  <c r="BW881" i="10"/>
  <c r="BW747" i="10"/>
  <c r="B813" i="10"/>
  <c r="B659" i="10"/>
  <c r="AX659" i="10" s="1"/>
  <c r="BD659" i="10" s="1"/>
  <c r="BW553" i="10"/>
  <c r="E24" i="4"/>
  <c r="Q18" i="4" s="1"/>
  <c r="BW826" i="10"/>
  <c r="B581" i="10"/>
  <c r="AX581" i="10" s="1"/>
  <c r="BD581" i="10" s="1"/>
  <c r="B654" i="10"/>
  <c r="BW529" i="10"/>
  <c r="B682" i="10"/>
  <c r="AO682" i="10" s="1"/>
  <c r="BI682" i="10" s="1"/>
  <c r="K614" i="19" s="1"/>
  <c r="L614" i="19" s="1"/>
  <c r="AS69" i="9"/>
  <c r="AW69" i="9" s="1"/>
  <c r="B656" i="10"/>
  <c r="AO656" i="10" s="1"/>
  <c r="B723" i="10"/>
  <c r="AO723" i="10" s="1"/>
  <c r="BI723" i="10" s="1"/>
  <c r="K854" i="19" s="1"/>
  <c r="L854" i="19" s="1"/>
  <c r="E32" i="4"/>
  <c r="Q26" i="4" s="1"/>
  <c r="B539" i="10"/>
  <c r="P10" i="17"/>
  <c r="B533" i="10"/>
  <c r="AX533" i="10" s="1"/>
  <c r="BD533" i="10" s="1"/>
  <c r="AS9" i="9"/>
  <c r="AW9" i="9" s="1"/>
  <c r="BW720" i="10"/>
  <c r="B514" i="10"/>
  <c r="AX514" i="10" s="1"/>
  <c r="BD514" i="10" s="1"/>
  <c r="B819" i="10"/>
  <c r="AO819" i="10" s="1"/>
  <c r="BI819" i="10" s="1"/>
  <c r="K746" i="19" s="1"/>
  <c r="L746" i="19" s="1"/>
  <c r="B883" i="10"/>
  <c r="AO883" i="10" s="1"/>
  <c r="AS6" i="9"/>
  <c r="AW6" i="9" s="1"/>
  <c r="B811" i="10"/>
  <c r="AX811" i="10" s="1"/>
  <c r="BD811" i="10" s="1"/>
  <c r="AS8" i="9"/>
  <c r="AW8" i="9" s="1"/>
  <c r="BW740" i="10"/>
  <c r="B579" i="10"/>
  <c r="AO579" i="10" s="1"/>
  <c r="BW690" i="10"/>
  <c r="BW679" i="10"/>
  <c r="B658" i="10"/>
  <c r="AX658" i="10" s="1"/>
  <c r="BD658" i="10" s="1"/>
  <c r="B693" i="10"/>
  <c r="AO693" i="10" s="1"/>
  <c r="BW538" i="10"/>
  <c r="B689" i="10"/>
  <c r="AO689" i="10" s="1"/>
  <c r="BW660" i="10"/>
  <c r="BW568" i="10"/>
  <c r="B531" i="10"/>
  <c r="AO531" i="10" s="1"/>
  <c r="B744" i="10"/>
  <c r="AO744" i="10" s="1"/>
  <c r="B815" i="10"/>
  <c r="AX815" i="10" s="1"/>
  <c r="BD815" i="10" s="1"/>
  <c r="E26" i="4"/>
  <c r="Q20" i="4" s="1"/>
  <c r="B814" i="10"/>
  <c r="AX814" i="10" s="1"/>
  <c r="BD814" i="10" s="1"/>
  <c r="B680" i="10"/>
  <c r="AX680" i="10" s="1"/>
  <c r="BD680" i="10" s="1"/>
  <c r="B502" i="10"/>
  <c r="AX502" i="10" s="1"/>
  <c r="BD502" i="10" s="1"/>
  <c r="CC10" i="9"/>
  <c r="E21" i="4"/>
  <c r="Q15" i="4" s="1"/>
  <c r="B583" i="10"/>
  <c r="AO583" i="10" s="1"/>
  <c r="B694" i="10"/>
  <c r="AO694" i="10" s="1"/>
  <c r="AS13" i="9"/>
  <c r="AW13" i="9" s="1"/>
  <c r="BW652" i="10"/>
  <c r="BW698" i="10"/>
  <c r="BW532" i="10"/>
  <c r="AS58" i="9"/>
  <c r="AW58" i="9" s="1"/>
  <c r="B882" i="10"/>
  <c r="AX882" i="10" s="1"/>
  <c r="BD882" i="10" s="1"/>
  <c r="B669" i="10"/>
  <c r="AX669" i="10" s="1"/>
  <c r="BD669" i="10" s="1"/>
  <c r="BW663" i="10"/>
  <c r="BW678" i="10"/>
  <c r="B657" i="10"/>
  <c r="AX657" i="10" s="1"/>
  <c r="BD657" i="10" s="1"/>
  <c r="B564" i="10"/>
  <c r="AX564" i="10" s="1"/>
  <c r="BD564" i="10" s="1"/>
  <c r="P21" i="17"/>
  <c r="B537" i="10"/>
  <c r="E19" i="4"/>
  <c r="Q13" i="4" s="1"/>
  <c r="B526" i="10"/>
  <c r="AO526" i="10" s="1"/>
  <c r="BI526" i="10" s="1"/>
  <c r="K471" i="19" s="1"/>
  <c r="L471" i="19" s="1"/>
  <c r="E18" i="4"/>
  <c r="Q12" i="4" s="1"/>
  <c r="B517" i="10"/>
  <c r="AO517" i="10" s="1"/>
  <c r="B681" i="10"/>
  <c r="AO681" i="10" s="1"/>
  <c r="AS33" i="9"/>
  <c r="AW33" i="9" s="1"/>
  <c r="E17" i="4"/>
  <c r="Q11" i="4" s="1"/>
  <c r="B566" i="10"/>
  <c r="AO566" i="10" s="1"/>
  <c r="B571" i="10"/>
  <c r="AX571" i="10" s="1"/>
  <c r="BD571" i="10" s="1"/>
  <c r="E27" i="4"/>
  <c r="Q21" i="4" s="1"/>
  <c r="P14" i="17"/>
  <c r="BW760" i="10"/>
  <c r="B760" i="10"/>
  <c r="M536" i="10"/>
  <c r="M853" i="10"/>
  <c r="M873" i="10"/>
  <c r="BW865" i="10"/>
  <c r="B865" i="10"/>
  <c r="Q69" i="9"/>
  <c r="AO736" i="10"/>
  <c r="AX736" i="10"/>
  <c r="BD736" i="10" s="1"/>
  <c r="BW602" i="10"/>
  <c r="B602" i="10"/>
  <c r="BW645" i="10"/>
  <c r="B645" i="10"/>
  <c r="BW776" i="10"/>
  <c r="B776" i="10"/>
  <c r="BW593" i="10"/>
  <c r="B593" i="10"/>
  <c r="M560" i="10"/>
  <c r="M567" i="10"/>
  <c r="M514" i="10"/>
  <c r="AO507" i="10"/>
  <c r="AX507" i="10"/>
  <c r="BD507" i="10" s="1"/>
  <c r="BW877" i="10"/>
  <c r="B877" i="10"/>
  <c r="BW646" i="10"/>
  <c r="B646" i="10"/>
  <c r="AO532" i="10"/>
  <c r="BI532" i="10" s="1"/>
  <c r="K477" i="19" s="1"/>
  <c r="L477" i="19" s="1"/>
  <c r="AX532" i="10"/>
  <c r="BD532" i="10" s="1"/>
  <c r="Q62" i="9"/>
  <c r="M635" i="10"/>
  <c r="AO858" i="10"/>
  <c r="AX858" i="10"/>
  <c r="BD858" i="10" s="1"/>
  <c r="J103" i="12"/>
  <c r="N103" i="12"/>
  <c r="BW651" i="10"/>
  <c r="B651" i="10"/>
  <c r="BW821" i="10"/>
  <c r="B821" i="10"/>
  <c r="BW687" i="10"/>
  <c r="B687" i="10"/>
  <c r="BW704" i="10"/>
  <c r="B704" i="10"/>
  <c r="N111" i="12"/>
  <c r="J111" i="12"/>
  <c r="M643" i="10"/>
  <c r="M577" i="10"/>
  <c r="CC59" i="9"/>
  <c r="AS59" i="9"/>
  <c r="AW59" i="9" s="1"/>
  <c r="BW684" i="10"/>
  <c r="B684" i="10"/>
  <c r="AO538" i="10"/>
  <c r="AX538" i="10"/>
  <c r="BD538" i="10" s="1"/>
  <c r="AO853" i="10"/>
  <c r="BI853" i="10" s="1"/>
  <c r="K782" i="19" s="1"/>
  <c r="L782" i="19" s="1"/>
  <c r="AX853" i="10"/>
  <c r="BD853" i="10" s="1"/>
  <c r="CC41" i="9"/>
  <c r="AS41" i="9"/>
  <c r="AW41" i="9" s="1"/>
  <c r="CC25" i="9"/>
  <c r="AS25" i="9"/>
  <c r="AW25" i="9" s="1"/>
  <c r="CC27" i="9"/>
  <c r="AS27" i="9"/>
  <c r="AW27" i="9" s="1"/>
  <c r="AO862" i="10"/>
  <c r="BI862" i="10" s="1"/>
  <c r="K791" i="19" s="1"/>
  <c r="L791" i="19" s="1"/>
  <c r="AX862" i="10"/>
  <c r="BD862" i="10" s="1"/>
  <c r="BW596" i="10"/>
  <c r="B596" i="10"/>
  <c r="BW895" i="10"/>
  <c r="B895" i="10"/>
  <c r="M818" i="10"/>
  <c r="AO663" i="10"/>
  <c r="BI663" i="10" s="1"/>
  <c r="K598" i="19" s="1"/>
  <c r="AX663" i="10"/>
  <c r="BD663" i="10" s="1"/>
  <c r="AO551" i="10"/>
  <c r="BI551" i="10" s="1"/>
  <c r="K494" i="19" s="1"/>
  <c r="L494" i="19" s="1"/>
  <c r="AX551" i="10"/>
  <c r="BD551" i="10" s="1"/>
  <c r="M915" i="10"/>
  <c r="BW629" i="10"/>
  <c r="B629" i="10"/>
  <c r="BW911" i="10"/>
  <c r="B911" i="10"/>
  <c r="AO815" i="10"/>
  <c r="M681" i="10"/>
  <c r="D270" i="11"/>
  <c r="G270" i="11" s="1"/>
  <c r="I270" i="11" s="1"/>
  <c r="J270" i="11" s="1"/>
  <c r="M783" i="10"/>
  <c r="M786" i="10"/>
  <c r="M737" i="10"/>
  <c r="Q10" i="9"/>
  <c r="M822" i="10"/>
  <c r="AF36" i="5"/>
  <c r="AE36" i="5"/>
  <c r="AX653" i="10"/>
  <c r="BD653" i="10" s="1"/>
  <c r="AO653" i="10"/>
  <c r="BW621" i="10"/>
  <c r="B621" i="10"/>
  <c r="BW640" i="10"/>
  <c r="B640" i="10"/>
  <c r="CC19" i="9"/>
  <c r="AS19" i="9"/>
  <c r="AW19" i="9" s="1"/>
  <c r="AX660" i="10"/>
  <c r="BD660" i="10" s="1"/>
  <c r="AO660" i="10"/>
  <c r="BW876" i="10"/>
  <c r="B876" i="10"/>
  <c r="BW803" i="10"/>
  <c r="B803" i="10"/>
  <c r="BW709" i="10"/>
  <c r="B709" i="10"/>
  <c r="Q56" i="9"/>
  <c r="CC67" i="9"/>
  <c r="AS67" i="9"/>
  <c r="AW67" i="9" s="1"/>
  <c r="Q19" i="9"/>
  <c r="BW702" i="10"/>
  <c r="B702" i="10"/>
  <c r="BW889" i="10"/>
  <c r="B889" i="10"/>
  <c r="M676" i="10"/>
  <c r="M789" i="10"/>
  <c r="BW921" i="10"/>
  <c r="B921" i="10"/>
  <c r="AX678" i="10"/>
  <c r="BD678" i="10" s="1"/>
  <c r="AO678" i="10"/>
  <c r="M782" i="10"/>
  <c r="B272" i="11"/>
  <c r="D254" i="11"/>
  <c r="G254" i="11" s="1"/>
  <c r="I254" i="11" s="1"/>
  <c r="J254" i="11" s="1"/>
  <c r="Q42" i="9"/>
  <c r="M819" i="10"/>
  <c r="BW644" i="10"/>
  <c r="B644" i="10"/>
  <c r="BW543" i="10"/>
  <c r="B543" i="10"/>
  <c r="BW610" i="10"/>
  <c r="B610" i="10"/>
  <c r="AX742" i="10"/>
  <c r="BD742" i="10" s="1"/>
  <c r="AO742" i="10"/>
  <c r="M784" i="10"/>
  <c r="BW888" i="10"/>
  <c r="B888" i="10"/>
  <c r="M736" i="10"/>
  <c r="Q32" i="9"/>
  <c r="Q9" i="9"/>
  <c r="M622" i="10"/>
  <c r="Q71" i="9"/>
  <c r="BW641" i="10"/>
  <c r="B641" i="10"/>
  <c r="BW780" i="10"/>
  <c r="B780" i="10"/>
  <c r="M865" i="10"/>
  <c r="BW879" i="10"/>
  <c r="B879" i="10"/>
  <c r="Q65" i="9"/>
  <c r="BW873" i="10"/>
  <c r="B873" i="10"/>
  <c r="AX674" i="10"/>
  <c r="BD674" i="10" s="1"/>
  <c r="AO674" i="10"/>
  <c r="BI674" i="10" s="1"/>
  <c r="K606" i="19" s="1"/>
  <c r="L606" i="19" s="1"/>
  <c r="AX700" i="10"/>
  <c r="BD700" i="10" s="1"/>
  <c r="AO700" i="10"/>
  <c r="BI700" i="10" s="1"/>
  <c r="K632" i="19" s="1"/>
  <c r="L632" i="19" s="1"/>
  <c r="BW562" i="10"/>
  <c r="B562" i="10"/>
  <c r="AO812" i="10"/>
  <c r="BI812" i="10" s="1"/>
  <c r="K739" i="19" s="1"/>
  <c r="L739" i="19" s="1"/>
  <c r="AX812" i="10"/>
  <c r="BD812" i="10" s="1"/>
  <c r="AO575" i="10"/>
  <c r="BI575" i="10" s="1"/>
  <c r="K515" i="19" s="1"/>
  <c r="L515" i="19" s="1"/>
  <c r="AX575" i="10"/>
  <c r="BD575" i="10" s="1"/>
  <c r="AO537" i="10"/>
  <c r="AX537" i="10"/>
  <c r="BD537" i="10" s="1"/>
  <c r="Q8" i="9"/>
  <c r="M722" i="10"/>
  <c r="BW758" i="10"/>
  <c r="B758" i="10"/>
  <c r="CC22" i="9"/>
  <c r="AS22" i="9"/>
  <c r="AW22" i="9" s="1"/>
  <c r="AE21" i="5"/>
  <c r="AF21" i="5"/>
  <c r="M897" i="10"/>
  <c r="CC52" i="9"/>
  <c r="AS52" i="9"/>
  <c r="AW52" i="9" s="1"/>
  <c r="BW800" i="10"/>
  <c r="B800" i="10"/>
  <c r="M587" i="10"/>
  <c r="BW710" i="10"/>
  <c r="B710" i="10"/>
  <c r="M880" i="10"/>
  <c r="BW869" i="10"/>
  <c r="B869" i="10"/>
  <c r="AO664" i="10"/>
  <c r="AX664" i="10"/>
  <c r="BD664" i="10" s="1"/>
  <c r="D494" i="10"/>
  <c r="M500" i="10"/>
  <c r="BW901" i="10"/>
  <c r="B901" i="10"/>
  <c r="BW772" i="10"/>
  <c r="B772" i="10"/>
  <c r="R20" i="8"/>
  <c r="Q5" i="4"/>
  <c r="M813" i="10"/>
  <c r="Q31" i="9"/>
  <c r="BW910" i="10"/>
  <c r="B910" i="10"/>
  <c r="M776" i="10"/>
  <c r="AF37" i="5"/>
  <c r="AE37" i="5"/>
  <c r="AO528" i="10"/>
  <c r="BI528" i="10" s="1"/>
  <c r="K473" i="19" s="1"/>
  <c r="L473" i="19" s="1"/>
  <c r="AX528" i="10"/>
  <c r="BD528" i="10" s="1"/>
  <c r="Q35" i="9"/>
  <c r="M882" i="10"/>
  <c r="M664" i="10"/>
  <c r="D267" i="11"/>
  <c r="G267" i="11" s="1"/>
  <c r="I267" i="11" s="1"/>
  <c r="J267" i="11" s="1"/>
  <c r="AO755" i="10"/>
  <c r="AX755" i="10"/>
  <c r="BD755" i="10" s="1"/>
  <c r="M503" i="10"/>
  <c r="BW840" i="10"/>
  <c r="B840" i="10"/>
  <c r="Q72" i="9"/>
  <c r="AO737" i="10"/>
  <c r="BI737" i="10" s="1"/>
  <c r="K665" i="19" s="1"/>
  <c r="L665" i="19" s="1"/>
  <c r="AX737" i="10"/>
  <c r="BD737" i="10" s="1"/>
  <c r="BW624" i="10"/>
  <c r="B624" i="10"/>
  <c r="BW618" i="10"/>
  <c r="B618" i="10"/>
  <c r="AO847" i="10"/>
  <c r="AX847" i="10"/>
  <c r="BD847" i="10" s="1"/>
  <c r="BW778" i="10"/>
  <c r="B778" i="10"/>
  <c r="BW594" i="10"/>
  <c r="B594" i="10"/>
  <c r="BW789" i="10"/>
  <c r="B789" i="10"/>
  <c r="BW801" i="10"/>
  <c r="B801" i="10"/>
  <c r="BW878" i="10"/>
  <c r="B878" i="10"/>
  <c r="M613" i="10"/>
  <c r="AO508" i="10"/>
  <c r="AX508" i="10"/>
  <c r="BD508" i="10" s="1"/>
  <c r="AO886" i="10"/>
  <c r="AX886" i="10"/>
  <c r="BD886" i="10" s="1"/>
  <c r="M640" i="10"/>
  <c r="AO692" i="10"/>
  <c r="AX692" i="10"/>
  <c r="BD692" i="10" s="1"/>
  <c r="BW833" i="10"/>
  <c r="B833" i="10"/>
  <c r="P16" i="17"/>
  <c r="P12" i="17"/>
  <c r="Q67" i="9"/>
  <c r="BW587" i="10"/>
  <c r="B587" i="10"/>
  <c r="BW767" i="10"/>
  <c r="B767" i="10"/>
  <c r="BW604" i="10"/>
  <c r="B604" i="10"/>
  <c r="M705" i="10"/>
  <c r="AX666" i="10"/>
  <c r="BD666" i="10" s="1"/>
  <c r="AO666" i="10"/>
  <c r="BI666" i="10" s="1"/>
  <c r="K601" i="19" s="1"/>
  <c r="L601" i="19" s="1"/>
  <c r="AX883" i="10"/>
  <c r="BD883" i="10" s="1"/>
  <c r="BW781" i="10"/>
  <c r="B781" i="10"/>
  <c r="BW605" i="10"/>
  <c r="B605" i="10"/>
  <c r="BW790" i="10"/>
  <c r="B790" i="10"/>
  <c r="AX854" i="10"/>
  <c r="BD854" i="10" s="1"/>
  <c r="AO854" i="10"/>
  <c r="M580" i="10"/>
  <c r="BW799" i="10"/>
  <c r="B799" i="10"/>
  <c r="BW807" i="10"/>
  <c r="B807" i="10"/>
  <c r="AE24" i="5"/>
  <c r="AF24" i="5"/>
  <c r="D255" i="11"/>
  <c r="M899" i="10"/>
  <c r="M877" i="10"/>
  <c r="CC46" i="9"/>
  <c r="AS46" i="9"/>
  <c r="AW46" i="9" s="1"/>
  <c r="M507" i="10"/>
  <c r="AX582" i="10"/>
  <c r="BD582" i="10" s="1"/>
  <c r="AO582" i="10"/>
  <c r="BI582" i="10" s="1"/>
  <c r="K522" i="19" s="1"/>
  <c r="L522" i="19" s="1"/>
  <c r="CC47" i="9"/>
  <c r="AS47" i="9"/>
  <c r="AW47" i="9" s="1"/>
  <c r="CC49" i="9"/>
  <c r="AS49" i="9"/>
  <c r="AW49" i="9" s="1"/>
  <c r="AE30" i="5"/>
  <c r="AF30" i="5"/>
  <c r="AO887" i="10"/>
  <c r="AX887" i="10"/>
  <c r="BD887" i="10" s="1"/>
  <c r="Q38" i="9"/>
  <c r="M800" i="10"/>
  <c r="AX541" i="10"/>
  <c r="BD541" i="10" s="1"/>
  <c r="AO541" i="10"/>
  <c r="M903" i="10"/>
  <c r="BW608" i="10"/>
  <c r="B608" i="10"/>
  <c r="M841" i="10"/>
  <c r="M734" i="10"/>
  <c r="BW894" i="10"/>
  <c r="B894" i="10"/>
  <c r="M701" i="10"/>
  <c r="AX525" i="10"/>
  <c r="BD525" i="10" s="1"/>
  <c r="AO525" i="10"/>
  <c r="BW903" i="10"/>
  <c r="B903" i="10"/>
  <c r="AX568" i="10"/>
  <c r="BD568" i="10" s="1"/>
  <c r="AO568" i="10"/>
  <c r="M837" i="10"/>
  <c r="M854" i="10"/>
  <c r="BI55" i="9"/>
  <c r="BI33" i="9"/>
  <c r="BI11" i="9"/>
  <c r="BI60" i="9"/>
  <c r="BI59" i="9"/>
  <c r="BI6" i="9"/>
  <c r="BI61" i="9"/>
  <c r="BI8" i="9"/>
  <c r="BI76" i="9"/>
  <c r="BI74" i="9"/>
  <c r="BI57" i="9"/>
  <c r="BI52" i="9"/>
  <c r="BI37" i="9"/>
  <c r="BI18" i="9"/>
  <c r="BI9" i="9"/>
  <c r="BI67" i="9"/>
  <c r="BI64" i="9"/>
  <c r="BI38" i="9"/>
  <c r="BI10" i="9"/>
  <c r="BI63" i="9"/>
  <c r="BI22" i="9"/>
  <c r="BI70" i="9"/>
  <c r="BI30" i="9"/>
  <c r="BI46" i="9"/>
  <c r="BI44" i="9"/>
  <c r="BI40" i="9"/>
  <c r="BI36" i="9"/>
  <c r="BI13" i="9"/>
  <c r="BI56" i="9"/>
  <c r="BI72" i="9"/>
  <c r="BI43" i="9"/>
  <c r="BI42" i="9"/>
  <c r="BI20" i="9"/>
  <c r="BI66" i="9"/>
  <c r="BI73" i="9"/>
  <c r="BI32" i="9"/>
  <c r="BI25" i="9"/>
  <c r="BI53" i="9"/>
  <c r="BI54" i="9"/>
  <c r="BI24" i="9"/>
  <c r="BI14" i="9"/>
  <c r="BI49" i="9"/>
  <c r="BI45" i="9"/>
  <c r="BI29" i="9"/>
  <c r="BI71" i="9"/>
  <c r="BI68" i="9"/>
  <c r="BI41" i="9"/>
  <c r="BI26" i="9"/>
  <c r="BI35" i="9"/>
  <c r="BI27" i="9"/>
  <c r="BI17" i="9"/>
  <c r="BI69" i="9"/>
  <c r="BI48" i="9"/>
  <c r="BI39" i="9"/>
  <c r="BI21" i="9"/>
  <c r="BI19" i="9"/>
  <c r="BI5" i="9"/>
  <c r="BI75" i="9"/>
  <c r="BI58" i="9"/>
  <c r="BI34" i="9"/>
  <c r="BI16" i="9"/>
  <c r="BI23" i="9"/>
  <c r="BI51" i="9"/>
  <c r="BI50" i="9"/>
  <c r="BI31" i="9"/>
  <c r="BI7" i="9"/>
  <c r="BI28" i="9"/>
  <c r="BI12" i="9"/>
  <c r="BI62" i="9"/>
  <c r="BI47" i="9"/>
  <c r="BI65" i="9"/>
  <c r="BI15" i="9"/>
  <c r="AX859" i="10"/>
  <c r="BD859" i="10" s="1"/>
  <c r="AO859" i="10"/>
  <c r="BI859" i="10" s="1"/>
  <c r="K788" i="19" s="1"/>
  <c r="L788" i="19" s="1"/>
  <c r="BW830" i="10"/>
  <c r="B830" i="10"/>
  <c r="AO752" i="10"/>
  <c r="AX752" i="10"/>
  <c r="BD752" i="10" s="1"/>
  <c r="BW866" i="10"/>
  <c r="B866" i="10"/>
  <c r="D269" i="11"/>
  <c r="G269" i="11" s="1"/>
  <c r="I269" i="11" s="1"/>
  <c r="J269" i="11" s="1"/>
  <c r="M551" i="10"/>
  <c r="BW613" i="10"/>
  <c r="B613" i="10"/>
  <c r="M833" i="10"/>
  <c r="M861" i="10"/>
  <c r="BW777" i="10"/>
  <c r="B777" i="10"/>
  <c r="AO718" i="10"/>
  <c r="AX718" i="10"/>
  <c r="BD718" i="10" s="1"/>
  <c r="M812" i="10"/>
  <c r="BW824" i="10"/>
  <c r="B824" i="10"/>
  <c r="Q63" i="9"/>
  <c r="BW686" i="10"/>
  <c r="B686" i="10"/>
  <c r="BW706" i="10"/>
  <c r="B706" i="10"/>
  <c r="BW906" i="10"/>
  <c r="B906" i="10"/>
  <c r="AO679" i="10"/>
  <c r="AX679" i="10"/>
  <c r="BD679" i="10" s="1"/>
  <c r="Q17" i="9"/>
  <c r="M910" i="10"/>
  <c r="M552" i="10"/>
  <c r="Q39" i="9"/>
  <c r="M764" i="10"/>
  <c r="M645" i="10"/>
  <c r="BW614" i="10"/>
  <c r="B614" i="10"/>
  <c r="BW642" i="10"/>
  <c r="B642" i="10"/>
  <c r="M509" i="10"/>
  <c r="BW607" i="10"/>
  <c r="B607" i="10"/>
  <c r="AO810" i="10"/>
  <c r="AX810" i="10"/>
  <c r="BD810" i="10" s="1"/>
  <c r="AW5" i="9"/>
  <c r="BW874" i="10"/>
  <c r="B874" i="10"/>
  <c r="M921" i="10"/>
  <c r="AX717" i="10"/>
  <c r="BD717" i="10" s="1"/>
  <c r="AO717" i="10"/>
  <c r="BI717" i="10" s="1"/>
  <c r="K649" i="19" s="1"/>
  <c r="L649" i="19" s="1"/>
  <c r="Q54" i="9"/>
  <c r="M691" i="10"/>
  <c r="AO856" i="10"/>
  <c r="AX856" i="10"/>
  <c r="BD856" i="10" s="1"/>
  <c r="BW703" i="10"/>
  <c r="B703" i="10"/>
  <c r="BW559" i="10"/>
  <c r="B559" i="10"/>
  <c r="M630" i="10"/>
  <c r="J112" i="12"/>
  <c r="N112" i="12"/>
  <c r="Q41" i="9"/>
  <c r="BW688" i="10"/>
  <c r="B688" i="10"/>
  <c r="H87" i="14"/>
  <c r="I300" i="8"/>
  <c r="B10" i="4"/>
  <c r="K5" i="4" s="1"/>
  <c r="AO673" i="10"/>
  <c r="AX673" i="10"/>
  <c r="BD673" i="10" s="1"/>
  <c r="BW773" i="10"/>
  <c r="B773" i="10"/>
  <c r="BW630" i="10"/>
  <c r="B630" i="10"/>
  <c r="BW915" i="10"/>
  <c r="B915" i="10"/>
  <c r="AO817" i="10"/>
  <c r="AX817" i="10"/>
  <c r="BD817" i="10" s="1"/>
  <c r="D261" i="11"/>
  <c r="G261" i="11"/>
  <c r="I261" i="11" s="1"/>
  <c r="J261" i="11" s="1"/>
  <c r="M870" i="10"/>
  <c r="Q37" i="9"/>
  <c r="BW831" i="10"/>
  <c r="B831" i="10"/>
  <c r="BW864" i="10"/>
  <c r="B864" i="10"/>
  <c r="M566" i="10"/>
  <c r="M692" i="10"/>
  <c r="AX716" i="10"/>
  <c r="BD716" i="10" s="1"/>
  <c r="AO716" i="10"/>
  <c r="AX818" i="10"/>
  <c r="BD818" i="10" s="1"/>
  <c r="AO818" i="10"/>
  <c r="BI818" i="10" s="1"/>
  <c r="K745" i="19" s="1"/>
  <c r="L745" i="19" s="1"/>
  <c r="M504" i="10"/>
  <c r="BW544" i="10"/>
  <c r="B544" i="10"/>
  <c r="Q66" i="9"/>
  <c r="BW637" i="10"/>
  <c r="B637" i="10"/>
  <c r="AF22" i="5"/>
  <c r="AE22" i="5"/>
  <c r="AO715" i="10"/>
  <c r="AX715" i="10"/>
  <c r="BD715" i="10" s="1"/>
  <c r="M826" i="10"/>
  <c r="Q36" i="9"/>
  <c r="BW835" i="10"/>
  <c r="B835" i="10"/>
  <c r="AO860" i="10"/>
  <c r="AX860" i="10"/>
  <c r="BD860" i="10" s="1"/>
  <c r="M723" i="10"/>
  <c r="BW863" i="10"/>
  <c r="B863" i="10"/>
  <c r="AX816" i="10"/>
  <c r="BD816" i="10" s="1"/>
  <c r="AO816" i="10"/>
  <c r="AO553" i="10"/>
  <c r="AX553" i="10"/>
  <c r="BD553" i="10" s="1"/>
  <c r="BW612" i="10"/>
  <c r="B612" i="10"/>
  <c r="AO577" i="10"/>
  <c r="AX577" i="10"/>
  <c r="BD577" i="10" s="1"/>
  <c r="M582" i="10"/>
  <c r="BW798" i="10"/>
  <c r="B798" i="10"/>
  <c r="BW804" i="10"/>
  <c r="B804" i="10"/>
  <c r="M599" i="10"/>
  <c r="Q53" i="9"/>
  <c r="BW870" i="10"/>
  <c r="B870" i="10"/>
  <c r="AX505" i="10"/>
  <c r="BD505" i="10" s="1"/>
  <c r="AO505" i="10"/>
  <c r="M628" i="10"/>
  <c r="AX539" i="10"/>
  <c r="BD539" i="10" s="1"/>
  <c r="AO539" i="10"/>
  <c r="M642" i="10"/>
  <c r="AX819" i="10"/>
  <c r="BD819" i="10" s="1"/>
  <c r="BW611" i="10"/>
  <c r="B611" i="10"/>
  <c r="M546" i="10"/>
  <c r="BW920" i="10"/>
  <c r="B920" i="10"/>
  <c r="BW900" i="10"/>
  <c r="B900" i="10"/>
  <c r="D259" i="11"/>
  <c r="Q28" i="9"/>
  <c r="Q74" i="9"/>
  <c r="AO509" i="10"/>
  <c r="BI509" i="10" s="1"/>
  <c r="K453" i="19" s="1"/>
  <c r="L453" i="19" s="1"/>
  <c r="AX509" i="10"/>
  <c r="BD509" i="10" s="1"/>
  <c r="Q33" i="9"/>
  <c r="BW728" i="10"/>
  <c r="B728" i="10"/>
  <c r="D264" i="11"/>
  <c r="G264" i="11" s="1"/>
  <c r="I264" i="11" s="1"/>
  <c r="J264" i="11" s="1"/>
  <c r="AO584" i="10"/>
  <c r="AX584" i="10"/>
  <c r="BD584" i="10" s="1"/>
  <c r="Q70" i="9"/>
  <c r="BW785" i="10"/>
  <c r="B785" i="10"/>
  <c r="M624" i="10"/>
  <c r="BW872" i="10"/>
  <c r="B872" i="10"/>
  <c r="AO849" i="10"/>
  <c r="AX849" i="10"/>
  <c r="BD849" i="10" s="1"/>
  <c r="CC73" i="9"/>
  <c r="AS73" i="9"/>
  <c r="AW73" i="9" s="1"/>
  <c r="Q34" i="9"/>
  <c r="Q58" i="9"/>
  <c r="BW759" i="10"/>
  <c r="B759" i="10"/>
  <c r="CC18" i="9"/>
  <c r="AS18" i="9"/>
  <c r="AW18" i="9" s="1"/>
  <c r="BW768" i="10"/>
  <c r="B768" i="10"/>
  <c r="AX738" i="10"/>
  <c r="BD738" i="10" s="1"/>
  <c r="AO738" i="10"/>
  <c r="BI738" i="10" s="1"/>
  <c r="K666" i="19" s="1"/>
  <c r="L666" i="19" s="1"/>
  <c r="BW783" i="10"/>
  <c r="B783" i="10"/>
  <c r="AO506" i="10"/>
  <c r="AX506" i="10"/>
  <c r="BD506" i="10" s="1"/>
  <c r="BI886" i="10"/>
  <c r="K815" i="19" s="1"/>
  <c r="L815" i="19" s="1"/>
  <c r="M554" i="10"/>
  <c r="BW871" i="10"/>
  <c r="B871" i="10"/>
  <c r="P20" i="17"/>
  <c r="BW560" i="10"/>
  <c r="B560" i="10"/>
  <c r="BW923" i="10"/>
  <c r="B923" i="10"/>
  <c r="M529" i="10"/>
  <c r="M839" i="10"/>
  <c r="Q6" i="9"/>
  <c r="M539" i="10"/>
  <c r="AX844" i="10"/>
  <c r="BD844" i="10" s="1"/>
  <c r="AO844" i="10"/>
  <c r="BW590" i="10"/>
  <c r="B590" i="10"/>
  <c r="AO696" i="10"/>
  <c r="AX696" i="10"/>
  <c r="BD696" i="10" s="1"/>
  <c r="M753" i="10"/>
  <c r="AX698" i="10"/>
  <c r="BD698" i="10" s="1"/>
  <c r="AO698" i="10"/>
  <c r="BW820" i="10"/>
  <c r="B820" i="10"/>
  <c r="AX518" i="10"/>
  <c r="BD518" i="10" s="1"/>
  <c r="AO518" i="10"/>
  <c r="M886" i="10"/>
  <c r="AO850" i="10"/>
  <c r="AX850" i="10"/>
  <c r="BD850" i="10" s="1"/>
  <c r="AO843" i="10"/>
  <c r="BI843" i="10" s="1"/>
  <c r="K772" i="19" s="1"/>
  <c r="L772" i="19" s="1"/>
  <c r="AX843" i="10"/>
  <c r="BD843" i="10" s="1"/>
  <c r="M902" i="10"/>
  <c r="AX861" i="10"/>
  <c r="BD861" i="10" s="1"/>
  <c r="AO861" i="10"/>
  <c r="BI861" i="10" s="1"/>
  <c r="K790" i="19" s="1"/>
  <c r="L790" i="19" s="1"/>
  <c r="N105" i="12"/>
  <c r="J105" i="12"/>
  <c r="AO511" i="10"/>
  <c r="AX511" i="10"/>
  <c r="BD511" i="10" s="1"/>
  <c r="Q57" i="9"/>
  <c r="AF26" i="5"/>
  <c r="AE26" i="5"/>
  <c r="P22" i="17"/>
  <c r="Q51" i="9"/>
  <c r="AX855" i="10"/>
  <c r="BD855" i="10" s="1"/>
  <c r="AO855" i="10"/>
  <c r="BI855" i="10" s="1"/>
  <c r="K784" i="19" s="1"/>
  <c r="L784" i="19" s="1"/>
  <c r="Q22" i="9"/>
  <c r="M788" i="10"/>
  <c r="BW565" i="10"/>
  <c r="B565" i="10"/>
  <c r="BW558" i="10"/>
  <c r="B558" i="10"/>
  <c r="AX512" i="10"/>
  <c r="BD512" i="10" s="1"/>
  <c r="AO512" i="10"/>
  <c r="M711" i="10"/>
  <c r="BW626" i="10"/>
  <c r="B626" i="10"/>
  <c r="Q24" i="9"/>
  <c r="BW907" i="10"/>
  <c r="B907" i="10"/>
  <c r="M917" i="10"/>
  <c r="M791" i="10"/>
  <c r="N108" i="12"/>
  <c r="J108" i="12"/>
  <c r="BW726" i="10"/>
  <c r="B726" i="10"/>
  <c r="M748" i="10"/>
  <c r="CC76" i="9"/>
  <c r="AS76" i="9"/>
  <c r="AW76" i="9" s="1"/>
  <c r="AO554" i="10"/>
  <c r="AX554" i="10"/>
  <c r="BD554" i="10" s="1"/>
  <c r="AE32" i="5"/>
  <c r="AF32" i="5"/>
  <c r="M904" i="10"/>
  <c r="E28" i="4"/>
  <c r="Q22" i="4" s="1"/>
  <c r="P18" i="17"/>
  <c r="BW839" i="10"/>
  <c r="B839" i="10"/>
  <c r="AX739" i="10"/>
  <c r="BD739" i="10" s="1"/>
  <c r="AO739" i="10"/>
  <c r="BI739" i="10" s="1"/>
  <c r="K667" i="19" s="1"/>
  <c r="L667" i="19" s="1"/>
  <c r="M876" i="10"/>
  <c r="BW586" i="10"/>
  <c r="B586" i="10"/>
  <c r="CC23" i="9"/>
  <c r="AS23" i="9"/>
  <c r="AW23" i="9" s="1"/>
  <c r="BW619" i="10"/>
  <c r="B619" i="10"/>
  <c r="AX677" i="10"/>
  <c r="BD677" i="10" s="1"/>
  <c r="AO677" i="10"/>
  <c r="BI677" i="10" s="1"/>
  <c r="K609" i="19" s="1"/>
  <c r="AO846" i="10"/>
  <c r="AX846" i="10"/>
  <c r="BD846" i="10" s="1"/>
  <c r="M881" i="10"/>
  <c r="M668" i="10"/>
  <c r="M527" i="10"/>
  <c r="CC54" i="9"/>
  <c r="AS54" i="9"/>
  <c r="AW54" i="9" s="1"/>
  <c r="BW805" i="10"/>
  <c r="B805" i="10"/>
  <c r="M636" i="10"/>
  <c r="AX523" i="10"/>
  <c r="BD523" i="10" s="1"/>
  <c r="AO523" i="10"/>
  <c r="AX585" i="10"/>
  <c r="BD585" i="10" s="1"/>
  <c r="AO585" i="10"/>
  <c r="AO513" i="10"/>
  <c r="AX513" i="10"/>
  <c r="BD513" i="10" s="1"/>
  <c r="AX500" i="10"/>
  <c r="AO500" i="10"/>
  <c r="BI500" i="10" s="1"/>
  <c r="BW647" i="10"/>
  <c r="B647" i="10"/>
  <c r="AO851" i="10"/>
  <c r="AX851" i="10"/>
  <c r="BD851" i="10" s="1"/>
  <c r="M911" i="10"/>
  <c r="P9" i="17"/>
  <c r="AO885" i="10"/>
  <c r="AX885" i="10"/>
  <c r="BD885" i="10" s="1"/>
  <c r="BW791" i="10"/>
  <c r="B791" i="10"/>
  <c r="BW802" i="10"/>
  <c r="B802" i="10"/>
  <c r="AO813" i="10"/>
  <c r="BI813" i="10" s="1"/>
  <c r="K740" i="19" s="1"/>
  <c r="L740" i="19" s="1"/>
  <c r="AX813" i="10"/>
  <c r="BD813" i="10" s="1"/>
  <c r="AO569" i="10"/>
  <c r="AX569" i="10"/>
  <c r="BD569" i="10" s="1"/>
  <c r="P19" i="17"/>
  <c r="Q52" i="9"/>
  <c r="BW899" i="10"/>
  <c r="B899" i="10"/>
  <c r="CC14" i="9"/>
  <c r="AS14" i="9"/>
  <c r="AW14" i="9" s="1"/>
  <c r="BW628" i="10"/>
  <c r="B628" i="10"/>
  <c r="Q27" i="9"/>
  <c r="AX503" i="10"/>
  <c r="BD503" i="10" s="1"/>
  <c r="AO503" i="10"/>
  <c r="BI503" i="10" s="1"/>
  <c r="K447" i="19" s="1"/>
  <c r="L447" i="19" s="1"/>
  <c r="M573" i="10"/>
  <c r="M894" i="10"/>
  <c r="M750" i="10"/>
  <c r="M719" i="10"/>
  <c r="AE25" i="5"/>
  <c r="AF25" i="5"/>
  <c r="M565" i="10"/>
  <c r="BW892" i="10"/>
  <c r="B892" i="10"/>
  <c r="BW561" i="10"/>
  <c r="B561" i="10"/>
  <c r="Q29" i="9"/>
  <c r="CC74" i="9"/>
  <c r="AS74" i="9"/>
  <c r="AW74" i="9" s="1"/>
  <c r="Q75" i="9"/>
  <c r="AO667" i="10"/>
  <c r="AX667" i="10"/>
  <c r="BD667" i="10" s="1"/>
  <c r="M695" i="10"/>
  <c r="AE34" i="5"/>
  <c r="AF34" i="5"/>
  <c r="BW837" i="10"/>
  <c r="B837" i="10"/>
  <c r="BW588" i="10"/>
  <c r="B588" i="10"/>
  <c r="BW620" i="10"/>
  <c r="B620" i="10"/>
  <c r="M809" i="10"/>
  <c r="BW788" i="10"/>
  <c r="B788" i="10"/>
  <c r="AX519" i="10"/>
  <c r="BD519" i="10" s="1"/>
  <c r="AO519" i="10"/>
  <c r="BW750" i="10"/>
  <c r="B750" i="10"/>
  <c r="Q5" i="9"/>
  <c r="BW724" i="10"/>
  <c r="B724" i="10"/>
  <c r="M879" i="10"/>
  <c r="AO741" i="10"/>
  <c r="AX741" i="10"/>
  <c r="BD741" i="10" s="1"/>
  <c r="AX848" i="10"/>
  <c r="BD848" i="10" s="1"/>
  <c r="AO848" i="10"/>
  <c r="AO521" i="10"/>
  <c r="AX521" i="10"/>
  <c r="BD521" i="10" s="1"/>
  <c r="AX690" i="10"/>
  <c r="BD690" i="10" s="1"/>
  <c r="AO690" i="10"/>
  <c r="M564" i="10"/>
  <c r="M804" i="10"/>
  <c r="BW600" i="10"/>
  <c r="B600" i="10"/>
  <c r="BI753" i="10"/>
  <c r="K681" i="19" s="1"/>
  <c r="L681" i="19" s="1"/>
  <c r="M796" i="10"/>
  <c r="M682" i="10"/>
  <c r="BW751" i="10"/>
  <c r="B751" i="10"/>
  <c r="M840" i="10"/>
  <c r="BW836" i="10"/>
  <c r="B836" i="10"/>
  <c r="BW623" i="10"/>
  <c r="B623" i="10"/>
  <c r="M614" i="10"/>
  <c r="BW808" i="10"/>
  <c r="B808" i="10"/>
  <c r="AO747" i="10"/>
  <c r="AX747" i="10"/>
  <c r="BD747" i="10" s="1"/>
  <c r="BW548" i="10"/>
  <c r="B548" i="10"/>
  <c r="BW748" i="10"/>
  <c r="B748" i="10"/>
  <c r="BW922" i="10"/>
  <c r="B922" i="10"/>
  <c r="J101" i="12"/>
  <c r="N101" i="12"/>
  <c r="CC40" i="9"/>
  <c r="AS40" i="9"/>
  <c r="AW40" i="9" s="1"/>
  <c r="M811" i="10"/>
  <c r="BW829" i="10"/>
  <c r="B829" i="10"/>
  <c r="AO880" i="10"/>
  <c r="BI880" i="10" s="1"/>
  <c r="K809" i="19" s="1"/>
  <c r="L809" i="19" s="1"/>
  <c r="AX880" i="10"/>
  <c r="BD880" i="10" s="1"/>
  <c r="AX691" i="10"/>
  <c r="BD691" i="10" s="1"/>
  <c r="AO691" i="10"/>
  <c r="M895" i="10"/>
  <c r="M634" i="10"/>
  <c r="BW762" i="10"/>
  <c r="B762" i="10"/>
  <c r="BW639" i="10"/>
  <c r="B639" i="10"/>
  <c r="M545" i="10"/>
  <c r="M654" i="10"/>
  <c r="CC53" i="9"/>
  <c r="AS53" i="9"/>
  <c r="AW53" i="9" s="1"/>
  <c r="M728" i="10"/>
  <c r="M547" i="10"/>
  <c r="CC38" i="9"/>
  <c r="AS38" i="9"/>
  <c r="AW38" i="9" s="1"/>
  <c r="M604" i="10"/>
  <c r="BW705" i="10"/>
  <c r="B705" i="10"/>
  <c r="BW549" i="10"/>
  <c r="B549" i="10"/>
  <c r="BW633" i="10"/>
  <c r="B633" i="10"/>
  <c r="M914" i="10"/>
  <c r="BW904" i="10"/>
  <c r="B904" i="10"/>
  <c r="AF29" i="5"/>
  <c r="AE29" i="5"/>
  <c r="AX665" i="10"/>
  <c r="BD665" i="10" s="1"/>
  <c r="AO665" i="10"/>
  <c r="M697" i="10"/>
  <c r="M907" i="10"/>
  <c r="BW598" i="10"/>
  <c r="B598" i="10"/>
  <c r="M653" i="10"/>
  <c r="M795" i="10"/>
  <c r="CC71" i="9"/>
  <c r="AS71" i="9"/>
  <c r="AW71" i="9" s="1"/>
  <c r="AX662" i="10"/>
  <c r="BD662" i="10" s="1"/>
  <c r="AO662" i="10"/>
  <c r="D266" i="11"/>
  <c r="M617" i="10"/>
  <c r="BW771" i="10"/>
  <c r="B771" i="10"/>
  <c r="M855" i="10"/>
  <c r="CC24" i="9"/>
  <c r="AS24" i="9"/>
  <c r="AW24" i="9" s="1"/>
  <c r="AO719" i="10"/>
  <c r="BI719" i="10" s="1"/>
  <c r="K651" i="19" s="1"/>
  <c r="L651" i="19" s="1"/>
  <c r="AX719" i="10"/>
  <c r="BD719" i="10" s="1"/>
  <c r="BW914" i="10"/>
  <c r="B914" i="10"/>
  <c r="M627" i="10"/>
  <c r="Q18" i="9"/>
  <c r="AO522" i="10"/>
  <c r="AX522" i="10"/>
  <c r="BD522" i="10" s="1"/>
  <c r="M700" i="10"/>
  <c r="AX842" i="10"/>
  <c r="BD842" i="10" s="1"/>
  <c r="AO842" i="10"/>
  <c r="CC66" i="9"/>
  <c r="AS66" i="9"/>
  <c r="AW66" i="9" s="1"/>
  <c r="M746" i="10"/>
  <c r="BW761" i="10"/>
  <c r="B761" i="10"/>
  <c r="BW643" i="10"/>
  <c r="B643" i="10"/>
  <c r="BW779" i="10"/>
  <c r="B779" i="10"/>
  <c r="M832" i="10"/>
  <c r="BW650" i="10"/>
  <c r="B650" i="10"/>
  <c r="BW795" i="10"/>
  <c r="B795" i="10"/>
  <c r="AX826" i="10"/>
  <c r="BD826" i="10" s="1"/>
  <c r="AO826" i="10"/>
  <c r="AX825" i="10"/>
  <c r="BD825" i="10" s="1"/>
  <c r="AO825" i="10"/>
  <c r="BI825" i="10" s="1"/>
  <c r="K752" i="19" s="1"/>
  <c r="L752" i="19" s="1"/>
  <c r="BW545" i="10"/>
  <c r="B545" i="10"/>
  <c r="AO697" i="10"/>
  <c r="BI697" i="10" s="1"/>
  <c r="K629" i="19" s="1"/>
  <c r="L629" i="19" s="1"/>
  <c r="AX697" i="10"/>
  <c r="BD697" i="10" s="1"/>
  <c r="M615" i="10"/>
  <c r="E29" i="42"/>
  <c r="D29" i="42"/>
  <c r="N100" i="12"/>
  <c r="J100" i="12"/>
  <c r="Q43" i="9"/>
  <c r="AO659" i="10"/>
  <c r="BW648" i="10"/>
  <c r="B648" i="10"/>
  <c r="AX720" i="10"/>
  <c r="BD720" i="10" s="1"/>
  <c r="AO720" i="10"/>
  <c r="M729" i="10"/>
  <c r="Q55" i="9"/>
  <c r="Q20" i="9"/>
  <c r="CC44" i="9"/>
  <c r="AS44" i="9"/>
  <c r="AW44" i="9" s="1"/>
  <c r="M710" i="10"/>
  <c r="CC26" i="9"/>
  <c r="AS26" i="9"/>
  <c r="AW26" i="9" s="1"/>
  <c r="D260" i="11"/>
  <c r="J102" i="12"/>
  <c r="N102" i="12"/>
  <c r="Q40" i="9"/>
  <c r="Q11" i="9"/>
  <c r="AX652" i="10"/>
  <c r="BD652" i="10" s="1"/>
  <c r="AO652" i="10"/>
  <c r="M533" i="10"/>
  <c r="M648" i="10"/>
  <c r="M675" i="10"/>
  <c r="CC61" i="9"/>
  <c r="AS61" i="9"/>
  <c r="AW61" i="9" s="1"/>
  <c r="BW867" i="10"/>
  <c r="B867" i="10"/>
  <c r="AX857" i="10"/>
  <c r="BD857" i="10" s="1"/>
  <c r="AO857" i="10"/>
  <c r="BI857" i="10" s="1"/>
  <c r="K786" i="19" s="1"/>
  <c r="L786" i="19" s="1"/>
  <c r="M651" i="10"/>
  <c r="BW784" i="10"/>
  <c r="B784" i="10"/>
  <c r="BW823" i="10"/>
  <c r="B823" i="10"/>
  <c r="CC34" i="9"/>
  <c r="AS34" i="9"/>
  <c r="AW34" i="9" s="1"/>
  <c r="Q21" i="9"/>
  <c r="AF33" i="5"/>
  <c r="AE33" i="5"/>
  <c r="M688" i="10"/>
  <c r="M511" i="10"/>
  <c r="BW731" i="10"/>
  <c r="B731" i="10"/>
  <c r="AX510" i="10"/>
  <c r="BD510" i="10" s="1"/>
  <c r="AO510" i="10"/>
  <c r="M843" i="10"/>
  <c r="M814" i="10"/>
  <c r="N110" i="12"/>
  <c r="J110" i="12"/>
  <c r="AO675" i="10"/>
  <c r="BI675" i="10" s="1"/>
  <c r="K607" i="19" s="1"/>
  <c r="L607" i="19" s="1"/>
  <c r="AX675" i="10"/>
  <c r="BD675" i="10" s="1"/>
  <c r="AF27" i="5"/>
  <c r="AE27" i="5"/>
  <c r="AF35" i="5"/>
  <c r="AE35" i="5"/>
  <c r="BW708" i="10"/>
  <c r="B708" i="10"/>
  <c r="AX574" i="10"/>
  <c r="BD574" i="10" s="1"/>
  <c r="AO574" i="10"/>
  <c r="P17" i="17"/>
  <c r="BW732" i="10"/>
  <c r="B732" i="10"/>
  <c r="BW634" i="10"/>
  <c r="B634" i="10"/>
  <c r="BW905" i="10"/>
  <c r="B905" i="10"/>
  <c r="Q73" i="9"/>
  <c r="Q44" i="9"/>
  <c r="CC60" i="9"/>
  <c r="AS60" i="9"/>
  <c r="AW60" i="9" s="1"/>
  <c r="M845" i="10"/>
  <c r="BW769" i="10"/>
  <c r="B769" i="10"/>
  <c r="M540" i="10"/>
  <c r="BW595" i="10"/>
  <c r="B595" i="10"/>
  <c r="M766" i="10"/>
  <c r="BW806" i="10"/>
  <c r="B806" i="10"/>
  <c r="BW685" i="10"/>
  <c r="B685" i="10"/>
  <c r="BW701" i="10"/>
  <c r="B701" i="10"/>
  <c r="M763" i="10"/>
  <c r="BW625" i="10"/>
  <c r="B625" i="10"/>
  <c r="Q30" i="9"/>
  <c r="Q76" i="9"/>
  <c r="F217" i="8"/>
  <c r="R22" i="8"/>
  <c r="M901" i="10"/>
  <c r="M884" i="10"/>
  <c r="AX520" i="10"/>
  <c r="BD520" i="10" s="1"/>
  <c r="AO520" i="10"/>
  <c r="AX809" i="10"/>
  <c r="BD809" i="10" s="1"/>
  <c r="AO809" i="10"/>
  <c r="BI809" i="10" s="1"/>
  <c r="K736" i="19" s="1"/>
  <c r="BW765" i="10"/>
  <c r="B765" i="10"/>
  <c r="M808" i="10"/>
  <c r="BW542" i="10"/>
  <c r="B542" i="10"/>
  <c r="BW617" i="10"/>
  <c r="B617" i="10"/>
  <c r="M825" i="10"/>
  <c r="BW796" i="10"/>
  <c r="B796" i="10"/>
  <c r="Q64" i="9"/>
  <c r="BW707" i="10"/>
  <c r="B707" i="10"/>
  <c r="I494" i="10"/>
  <c r="R24" i="8" s="1"/>
  <c r="B198" i="1" s="1"/>
  <c r="BW546" i="10"/>
  <c r="B546" i="10"/>
  <c r="BW912" i="10"/>
  <c r="B912" i="10"/>
  <c r="M821" i="10"/>
  <c r="AO695" i="10"/>
  <c r="AX695" i="10"/>
  <c r="BD695" i="10" s="1"/>
  <c r="P15" i="17"/>
  <c r="AX501" i="10"/>
  <c r="BD501" i="10" s="1"/>
  <c r="AO501" i="10"/>
  <c r="M644" i="10"/>
  <c r="AX655" i="10"/>
  <c r="BD655" i="10" s="1"/>
  <c r="AO655" i="10"/>
  <c r="BW757" i="10"/>
  <c r="B757" i="10"/>
  <c r="M621" i="10"/>
  <c r="Q68" i="9"/>
  <c r="M738" i="10"/>
  <c r="M661" i="10"/>
  <c r="M616" i="10"/>
  <c r="BW766" i="10"/>
  <c r="B766" i="10"/>
  <c r="CC20" i="9"/>
  <c r="AS20" i="9"/>
  <c r="AW20" i="9" s="1"/>
  <c r="AX845" i="10"/>
  <c r="BD845" i="10" s="1"/>
  <c r="AO845" i="10"/>
  <c r="BI845" i="10" s="1"/>
  <c r="K774" i="19" s="1"/>
  <c r="L774" i="19" s="1"/>
  <c r="M770" i="10"/>
  <c r="AO591" i="10"/>
  <c r="AX591" i="10"/>
  <c r="BD591" i="10" s="1"/>
  <c r="AX536" i="10"/>
  <c r="BD536" i="10" s="1"/>
  <c r="AO536" i="10"/>
  <c r="BI536" i="10" s="1"/>
  <c r="K481" i="19" s="1"/>
  <c r="L481" i="19" s="1"/>
  <c r="P13" i="17"/>
  <c r="BW782" i="10"/>
  <c r="B782" i="10"/>
  <c r="BW597" i="10"/>
  <c r="B597" i="10"/>
  <c r="CC51" i="9"/>
  <c r="AS51" i="9"/>
  <c r="AW51" i="9" s="1"/>
  <c r="M559" i="10"/>
  <c r="M765" i="10"/>
  <c r="BW898" i="10"/>
  <c r="B898" i="10"/>
  <c r="AE28" i="5"/>
  <c r="AF28" i="5"/>
  <c r="Q7" i="9"/>
  <c r="AX754" i="10"/>
  <c r="BD754" i="10" s="1"/>
  <c r="AO754" i="10"/>
  <c r="M610" i="10"/>
  <c r="M534" i="10"/>
  <c r="D265" i="11"/>
  <c r="BW868" i="10"/>
  <c r="B868" i="10"/>
  <c r="AX852" i="10"/>
  <c r="BD852" i="10" s="1"/>
  <c r="AO852" i="10"/>
  <c r="CC70" i="9"/>
  <c r="AS70" i="9"/>
  <c r="AW70" i="9" s="1"/>
  <c r="M717" i="10"/>
  <c r="CC75" i="9"/>
  <c r="AS75" i="9"/>
  <c r="AW75" i="9" s="1"/>
  <c r="AO567" i="10"/>
  <c r="AX567" i="10"/>
  <c r="BD567" i="10" s="1"/>
  <c r="M687" i="10"/>
  <c r="BW622" i="10"/>
  <c r="B622" i="10"/>
  <c r="AX672" i="10"/>
  <c r="BD672" i="10" s="1"/>
  <c r="AO672" i="10"/>
  <c r="BW606" i="10"/>
  <c r="B606" i="10"/>
  <c r="BW649" i="10"/>
  <c r="B649" i="10"/>
  <c r="BW822" i="10"/>
  <c r="B822" i="10"/>
  <c r="M759" i="10"/>
  <c r="AX743" i="10"/>
  <c r="BD743" i="10" s="1"/>
  <c r="AO743" i="10"/>
  <c r="M859" i="10"/>
  <c r="BW775" i="10"/>
  <c r="B775" i="10"/>
  <c r="M632" i="10"/>
  <c r="E31" i="4"/>
  <c r="Q25" i="4" s="1"/>
  <c r="AX699" i="10"/>
  <c r="BD699" i="10" s="1"/>
  <c r="AO699" i="10"/>
  <c r="BW787" i="10"/>
  <c r="B787" i="10"/>
  <c r="BW797" i="10"/>
  <c r="B797" i="10"/>
  <c r="BW875" i="10"/>
  <c r="B875" i="10"/>
  <c r="M767" i="10"/>
  <c r="AO516" i="10"/>
  <c r="AX516" i="10"/>
  <c r="BD516" i="10" s="1"/>
  <c r="BW727" i="10"/>
  <c r="B727" i="10"/>
  <c r="AX661" i="10"/>
  <c r="BD661" i="10" s="1"/>
  <c r="AO661" i="10"/>
  <c r="AF31" i="5"/>
  <c r="AE31" i="5"/>
  <c r="BW916" i="10"/>
  <c r="B916" i="10"/>
  <c r="D256" i="11"/>
  <c r="M593" i="10"/>
  <c r="BW832" i="10"/>
  <c r="B832" i="10"/>
  <c r="BW589" i="10"/>
  <c r="B589" i="10"/>
  <c r="BW770" i="10"/>
  <c r="B770" i="10"/>
  <c r="AX552" i="10"/>
  <c r="BD552" i="10" s="1"/>
  <c r="AO552" i="10"/>
  <c r="BI552" i="10" s="1"/>
  <c r="K495" i="19" s="1"/>
  <c r="L495" i="19" s="1"/>
  <c r="M820" i="10"/>
  <c r="BW794" i="10"/>
  <c r="B794" i="10"/>
  <c r="M757" i="10"/>
  <c r="BW563" i="10"/>
  <c r="B563" i="10"/>
  <c r="Q23" i="9"/>
  <c r="BW902" i="10"/>
  <c r="B902" i="10"/>
  <c r="AX896" i="10"/>
  <c r="BD896" i="10" s="1"/>
  <c r="AO896" i="10"/>
  <c r="D257" i="11"/>
  <c r="G257" i="11" s="1"/>
  <c r="I257" i="11" s="1"/>
  <c r="J257" i="11" s="1"/>
  <c r="Q45" i="9"/>
  <c r="BW918" i="10"/>
  <c r="B918" i="10"/>
  <c r="AX668" i="10"/>
  <c r="BD668" i="10" s="1"/>
  <c r="AO668" i="10"/>
  <c r="Q50" i="9"/>
  <c r="M830" i="10"/>
  <c r="M602" i="10"/>
  <c r="B26" i="17"/>
  <c r="BW834" i="10"/>
  <c r="B834" i="10"/>
  <c r="M713" i="10"/>
  <c r="AO573" i="10"/>
  <c r="BI573" i="10" s="1"/>
  <c r="K513" i="19" s="1"/>
  <c r="L513" i="19" s="1"/>
  <c r="AX573" i="10"/>
  <c r="BD573" i="10" s="1"/>
  <c r="M745" i="10"/>
  <c r="BW615" i="10"/>
  <c r="B615" i="10"/>
  <c r="BW683" i="10"/>
  <c r="B683" i="10"/>
  <c r="BW890" i="10"/>
  <c r="B890" i="10"/>
  <c r="BW908" i="10"/>
  <c r="B908" i="10"/>
  <c r="J104" i="12"/>
  <c r="N104" i="12"/>
  <c r="BW729" i="10"/>
  <c r="B729" i="10"/>
  <c r="M526" i="10"/>
  <c r="M575" i="10"/>
  <c r="AX557" i="10"/>
  <c r="BD557" i="10" s="1"/>
  <c r="AO557" i="10"/>
  <c r="P23" i="17"/>
  <c r="BW547" i="10"/>
  <c r="B547" i="10"/>
  <c r="BW631" i="10"/>
  <c r="B631" i="10"/>
  <c r="N113" i="12"/>
  <c r="J113" i="12"/>
  <c r="E22" i="4"/>
  <c r="Q16" i="4" s="1"/>
  <c r="Q46" i="9"/>
  <c r="BW917" i="10"/>
  <c r="B917" i="10"/>
  <c r="M605" i="10"/>
  <c r="E30" i="4"/>
  <c r="Q24" i="4" s="1"/>
  <c r="Q60" i="9"/>
  <c r="AO670" i="10"/>
  <c r="AX670" i="10"/>
  <c r="BD670" i="10" s="1"/>
  <c r="Q12" i="9"/>
  <c r="M702" i="10"/>
  <c r="D262" i="11"/>
  <c r="BW838" i="10"/>
  <c r="B838" i="10"/>
  <c r="M618" i="10"/>
  <c r="M823" i="10"/>
  <c r="AX884" i="10"/>
  <c r="BD884" i="10" s="1"/>
  <c r="BW599" i="10"/>
  <c r="B599" i="10"/>
  <c r="M666" i="10"/>
  <c r="M849" i="10"/>
  <c r="E20" i="4"/>
  <c r="Q14" i="4" s="1"/>
  <c r="AO527" i="10"/>
  <c r="BI527" i="10" s="1"/>
  <c r="K472" i="19" s="1"/>
  <c r="L472" i="19" s="1"/>
  <c r="AX527" i="10"/>
  <c r="BD527" i="10" s="1"/>
  <c r="AO556" i="10"/>
  <c r="AX556" i="10"/>
  <c r="BD556" i="10" s="1"/>
  <c r="BW616" i="10"/>
  <c r="B616" i="10"/>
  <c r="M535" i="10"/>
  <c r="E23" i="4"/>
  <c r="Q17" i="4" s="1"/>
  <c r="M816" i="10"/>
  <c r="M502" i="10"/>
  <c r="CC28" i="9"/>
  <c r="AS28" i="9"/>
  <c r="AW28" i="9" s="1"/>
  <c r="Q49" i="9"/>
  <c r="P8" i="17"/>
  <c r="BW603" i="10"/>
  <c r="B603" i="10"/>
  <c r="AX529" i="10"/>
  <c r="BD529" i="10" s="1"/>
  <c r="AO529" i="10"/>
  <c r="AO580" i="10"/>
  <c r="BI580" i="10" s="1"/>
  <c r="K520" i="19" s="1"/>
  <c r="L520" i="19" s="1"/>
  <c r="AX580" i="10"/>
  <c r="BD580" i="10" s="1"/>
  <c r="BW632" i="10"/>
  <c r="B632" i="10"/>
  <c r="M790" i="10"/>
  <c r="M641" i="10"/>
  <c r="AO515" i="10"/>
  <c r="AX515" i="10"/>
  <c r="BD515" i="10" s="1"/>
  <c r="AO721" i="10"/>
  <c r="AX721" i="10"/>
  <c r="BD721" i="10" s="1"/>
  <c r="AX535" i="10"/>
  <c r="BD535" i="10" s="1"/>
  <c r="AO535" i="10"/>
  <c r="CC37" i="9"/>
  <c r="AS37" i="9"/>
  <c r="AW37" i="9" s="1"/>
  <c r="BW638" i="10"/>
  <c r="B638" i="10"/>
  <c r="BW725" i="10"/>
  <c r="B725" i="10"/>
  <c r="BW601" i="10"/>
  <c r="B601" i="10"/>
  <c r="M662" i="10"/>
  <c r="BW749" i="10"/>
  <c r="B749" i="10"/>
  <c r="BW636" i="10"/>
  <c r="B636" i="10"/>
  <c r="Q25" i="9"/>
  <c r="M638" i="10"/>
  <c r="AX676" i="10"/>
  <c r="BD676" i="10" s="1"/>
  <c r="AO676" i="10"/>
  <c r="Q47" i="9"/>
  <c r="AO578" i="10"/>
  <c r="AX578" i="10"/>
  <c r="BD578" i="10" s="1"/>
  <c r="M591" i="10"/>
  <c r="M740" i="10"/>
  <c r="M755" i="10"/>
  <c r="AF23" i="5"/>
  <c r="AE23" i="5"/>
  <c r="P11" i="17"/>
  <c r="BW756" i="10"/>
  <c r="B756" i="10"/>
  <c r="AO592" i="10"/>
  <c r="AX592" i="10"/>
  <c r="BD592" i="10" s="1"/>
  <c r="M847" i="10"/>
  <c r="CC48" i="9"/>
  <c r="AS48" i="9"/>
  <c r="AW48" i="9" s="1"/>
  <c r="AX654" i="10"/>
  <c r="BD654" i="10" s="1"/>
  <c r="AO654" i="10"/>
  <c r="M663" i="10"/>
  <c r="M698" i="10"/>
  <c r="BW786" i="10"/>
  <c r="B786" i="10"/>
  <c r="BW609" i="10"/>
  <c r="B609" i="10"/>
  <c r="M856" i="10"/>
  <c r="M674" i="10"/>
  <c r="CC57" i="9"/>
  <c r="AS57" i="9"/>
  <c r="AW57" i="9" s="1"/>
  <c r="AX897" i="10"/>
  <c r="BD897" i="10" s="1"/>
  <c r="AO897" i="10"/>
  <c r="AX744" i="10"/>
  <c r="BD744" i="10" s="1"/>
  <c r="AO722" i="10"/>
  <c r="BI722" i="10" s="1"/>
  <c r="K853" i="19" s="1"/>
  <c r="L853" i="19" s="1"/>
  <c r="AX722" i="10"/>
  <c r="BD722" i="10" s="1"/>
  <c r="M677" i="10"/>
  <c r="M686" i="10"/>
  <c r="BW763" i="10"/>
  <c r="B763" i="10"/>
  <c r="M646" i="10"/>
  <c r="BW792" i="10"/>
  <c r="B792" i="10"/>
  <c r="AO714" i="10"/>
  <c r="AX714" i="10"/>
  <c r="BD714" i="10" s="1"/>
  <c r="CC12" i="9"/>
  <c r="AS12" i="9"/>
  <c r="AW12" i="9" s="1"/>
  <c r="M739" i="10"/>
  <c r="N107" i="12"/>
  <c r="J107" i="12"/>
  <c r="Q61" i="9"/>
  <c r="M771" i="10"/>
  <c r="BW735" i="10"/>
  <c r="B735" i="10"/>
  <c r="M731" i="10"/>
  <c r="BW919" i="10"/>
  <c r="B919" i="10"/>
  <c r="Q59" i="9"/>
  <c r="Q14" i="9"/>
  <c r="P7" i="17"/>
  <c r="BW712" i="10"/>
  <c r="B712" i="10"/>
  <c r="M707" i="10"/>
  <c r="AO576" i="10"/>
  <c r="AX576" i="10"/>
  <c r="BD576" i="10" s="1"/>
  <c r="AX570" i="10"/>
  <c r="BD570" i="10" s="1"/>
  <c r="AO570" i="10"/>
  <c r="BW734" i="10"/>
  <c r="B734" i="10"/>
  <c r="BW891" i="10"/>
  <c r="B891" i="10"/>
  <c r="AO671" i="10"/>
  <c r="AX671" i="10"/>
  <c r="BD671" i="10" s="1"/>
  <c r="AO740" i="10"/>
  <c r="AX740" i="10"/>
  <c r="BD740" i="10" s="1"/>
  <c r="BW711" i="10"/>
  <c r="B711" i="10"/>
  <c r="AX827" i="10"/>
  <c r="BD827" i="10" s="1"/>
  <c r="AO827" i="10"/>
  <c r="AO745" i="10"/>
  <c r="BI745" i="10" s="1"/>
  <c r="K673" i="19" s="1"/>
  <c r="L673" i="19" s="1"/>
  <c r="AX745" i="10"/>
  <c r="BD745" i="10" s="1"/>
  <c r="D258" i="11"/>
  <c r="G258" i="11" s="1"/>
  <c r="I258" i="11" s="1"/>
  <c r="J258" i="11" s="1"/>
  <c r="BW730" i="10"/>
  <c r="B730" i="10"/>
  <c r="BW550" i="10"/>
  <c r="B550" i="10"/>
  <c r="BW893" i="10"/>
  <c r="B893" i="10"/>
  <c r="BW627" i="10"/>
  <c r="B627" i="10"/>
  <c r="Q26" i="9"/>
  <c r="BW909" i="10"/>
  <c r="B909" i="10"/>
  <c r="AX540" i="10"/>
  <c r="BD540" i="10" s="1"/>
  <c r="AO540" i="10"/>
  <c r="M871" i="10"/>
  <c r="M521" i="10"/>
  <c r="N106" i="12"/>
  <c r="J106" i="12"/>
  <c r="D263" i="11"/>
  <c r="Q15" i="9"/>
  <c r="M862" i="10"/>
  <c r="M716" i="10"/>
  <c r="BW713" i="10"/>
  <c r="B713" i="10"/>
  <c r="M751" i="10"/>
  <c r="BW733" i="10"/>
  <c r="B733" i="10"/>
  <c r="BW774" i="10"/>
  <c r="B774" i="10"/>
  <c r="BW635" i="10"/>
  <c r="B635" i="10"/>
  <c r="AX746" i="10"/>
  <c r="BD746" i="10" s="1"/>
  <c r="AO746" i="10"/>
  <c r="BW913" i="10"/>
  <c r="B913" i="10"/>
  <c r="AO841" i="10"/>
  <c r="BI841" i="10" s="1"/>
  <c r="K770" i="19" s="1"/>
  <c r="L770" i="19" s="1"/>
  <c r="AX841" i="10"/>
  <c r="BD841" i="10" s="1"/>
  <c r="N109" i="12"/>
  <c r="J109" i="12"/>
  <c r="AO504" i="10"/>
  <c r="BI504" i="10" s="1"/>
  <c r="K448" i="19" s="1"/>
  <c r="L448" i="19" s="1"/>
  <c r="AX504" i="10"/>
  <c r="BD504" i="10" s="1"/>
  <c r="Q16" i="9"/>
  <c r="Q48" i="9"/>
  <c r="M669" i="10"/>
  <c r="M918" i="10"/>
  <c r="AX530" i="10"/>
  <c r="BD530" i="10" s="1"/>
  <c r="AO530" i="10"/>
  <c r="Q13" i="9"/>
  <c r="M851" i="10"/>
  <c r="BW828" i="10"/>
  <c r="B828" i="10"/>
  <c r="BI507" i="10"/>
  <c r="K451" i="19" s="1"/>
  <c r="L451" i="19" s="1"/>
  <c r="M779" i="10"/>
  <c r="M532" i="10"/>
  <c r="AO881" i="10"/>
  <c r="BI881" i="10" s="1"/>
  <c r="K810" i="19" s="1"/>
  <c r="L810" i="19" s="1"/>
  <c r="AX881" i="10"/>
  <c r="BD881" i="10" s="1"/>
  <c r="AX753" i="10"/>
  <c r="BD753" i="10" s="1"/>
  <c r="AO753" i="10"/>
  <c r="M528" i="10"/>
  <c r="M594" i="10"/>
  <c r="M857" i="10"/>
  <c r="BW764" i="10"/>
  <c r="B764" i="10"/>
  <c r="M712" i="10"/>
  <c r="M774" i="10"/>
  <c r="M864" i="10"/>
  <c r="AX534" i="10"/>
  <c r="BD534" i="10" s="1"/>
  <c r="AO534" i="10"/>
  <c r="BI534" i="10" s="1"/>
  <c r="K479" i="19" s="1"/>
  <c r="L479" i="19" s="1"/>
  <c r="CC50" i="9"/>
  <c r="AS50" i="9"/>
  <c r="AW50" i="9" s="1"/>
  <c r="CC21" i="9"/>
  <c r="AS21" i="9"/>
  <c r="AW21" i="9" s="1"/>
  <c r="BI653" i="10"/>
  <c r="K588" i="19" s="1"/>
  <c r="L588" i="19" s="1"/>
  <c r="AO572" i="10"/>
  <c r="BW793" i="10"/>
  <c r="B793" i="10"/>
  <c r="CC68" i="9"/>
  <c r="AS68" i="9"/>
  <c r="AW68" i="9" s="1"/>
  <c r="D268" i="11"/>
  <c r="G268" i="11" s="1"/>
  <c r="I268" i="11" s="1"/>
  <c r="J268" i="11" s="1"/>
  <c r="AO882" i="10" l="1"/>
  <c r="BI882" i="10" s="1"/>
  <c r="K811" i="19" s="1"/>
  <c r="L811" i="19" s="1"/>
  <c r="AO657" i="10"/>
  <c r="AP657" i="10" s="1"/>
  <c r="AY657" i="10" s="1"/>
  <c r="AX682" i="10"/>
  <c r="BD682" i="10" s="1"/>
  <c r="AO581" i="10"/>
  <c r="BI581" i="10" s="1"/>
  <c r="K521" i="19" s="1"/>
  <c r="L521" i="19" s="1"/>
  <c r="AO669" i="10"/>
  <c r="BI669" i="10" s="1"/>
  <c r="K833" i="19" s="1"/>
  <c r="L833" i="19" s="1"/>
  <c r="AO811" i="10"/>
  <c r="BI811" i="10" s="1"/>
  <c r="K738" i="19" s="1"/>
  <c r="L738" i="19" s="1"/>
  <c r="AX555" i="10"/>
  <c r="BD555" i="10" s="1"/>
  <c r="AX524" i="10"/>
  <c r="BD524" i="10" s="1"/>
  <c r="AX656" i="10"/>
  <c r="BD656" i="10" s="1"/>
  <c r="AX531" i="10"/>
  <c r="BD531" i="10" s="1"/>
  <c r="AO564" i="10"/>
  <c r="BI564" i="10" s="1"/>
  <c r="K529" i="19" s="1"/>
  <c r="L529" i="19" s="1"/>
  <c r="AO658" i="10"/>
  <c r="AX723" i="10"/>
  <c r="BD723" i="10" s="1"/>
  <c r="AX694" i="10"/>
  <c r="BD694" i="10" s="1"/>
  <c r="AX517" i="10"/>
  <c r="BD517" i="10" s="1"/>
  <c r="AO514" i="10"/>
  <c r="BI514" i="10" s="1"/>
  <c r="K459" i="19" s="1"/>
  <c r="L459" i="19" s="1"/>
  <c r="AX693" i="10"/>
  <c r="BD693" i="10" s="1"/>
  <c r="AO533" i="10"/>
  <c r="BI533" i="10" s="1"/>
  <c r="K478" i="19" s="1"/>
  <c r="L478" i="19" s="1"/>
  <c r="AM504" i="10"/>
  <c r="AX579" i="10"/>
  <c r="BD579" i="10" s="1"/>
  <c r="F151" i="8"/>
  <c r="AL500" i="10"/>
  <c r="AX583" i="10"/>
  <c r="BD583" i="10" s="1"/>
  <c r="AO502" i="10"/>
  <c r="BI502" i="10" s="1"/>
  <c r="K446" i="19" s="1"/>
  <c r="L446" i="19" s="1"/>
  <c r="AX566" i="10"/>
  <c r="BD566" i="10" s="1"/>
  <c r="AX526" i="10"/>
  <c r="BD526" i="10" s="1"/>
  <c r="AO814" i="10"/>
  <c r="BI814" i="10" s="1"/>
  <c r="K741" i="19" s="1"/>
  <c r="L741" i="19" s="1"/>
  <c r="AO680" i="10"/>
  <c r="AX681" i="10"/>
  <c r="BD681" i="10" s="1"/>
  <c r="AK507" i="10"/>
  <c r="AO571" i="10"/>
  <c r="AQ571" i="10" s="1"/>
  <c r="AZ571" i="10" s="1"/>
  <c r="F147" i="8"/>
  <c r="AX689" i="10"/>
  <c r="BD689" i="10" s="1"/>
  <c r="AM505" i="10"/>
  <c r="F155" i="8"/>
  <c r="L736" i="19"/>
  <c r="L598" i="19"/>
  <c r="X12" i="9"/>
  <c r="L609" i="19"/>
  <c r="AX838" i="10"/>
  <c r="BD838" i="10" s="1"/>
  <c r="AO838" i="10"/>
  <c r="AX918" i="10"/>
  <c r="BD918" i="10" s="1"/>
  <c r="AO918" i="10"/>
  <c r="AQ896" i="10"/>
  <c r="AZ896" i="10" s="1"/>
  <c r="AP896" i="10"/>
  <c r="AY896" i="10" s="1"/>
  <c r="BS896" i="10"/>
  <c r="BI896" i="10"/>
  <c r="K828" i="19" s="1"/>
  <c r="AP693" i="10"/>
  <c r="AQ693" i="10"/>
  <c r="BI693" i="10"/>
  <c r="K625" i="19" s="1"/>
  <c r="L625" i="19" s="1"/>
  <c r="AP747" i="10"/>
  <c r="AY747" i="10" s="1"/>
  <c r="AQ747" i="10"/>
  <c r="AZ747" i="10" s="1"/>
  <c r="BS747" i="10"/>
  <c r="BI747" i="10"/>
  <c r="K675" i="19" s="1"/>
  <c r="L675" i="19" s="1"/>
  <c r="AX600" i="10"/>
  <c r="BD600" i="10" s="1"/>
  <c r="AO600" i="10"/>
  <c r="K156" i="8"/>
  <c r="G150" i="8"/>
  <c r="BD500" i="10"/>
  <c r="C151" i="8"/>
  <c r="E152" i="8"/>
  <c r="D152" i="8"/>
  <c r="M149" i="8"/>
  <c r="G153" i="8"/>
  <c r="E147" i="8"/>
  <c r="AQ513" i="10"/>
  <c r="AZ513" i="10" s="1"/>
  <c r="AP513" i="10"/>
  <c r="AY513" i="10" s="1"/>
  <c r="BS513" i="10"/>
  <c r="BI513" i="10"/>
  <c r="K457" i="19" s="1"/>
  <c r="L457" i="19" s="1"/>
  <c r="AX839" i="10"/>
  <c r="BD839" i="10" s="1"/>
  <c r="AO839" i="10"/>
  <c r="AQ512" i="10"/>
  <c r="AZ512" i="10" s="1"/>
  <c r="AP512" i="10"/>
  <c r="AY512" i="10" s="1"/>
  <c r="BS512" i="10"/>
  <c r="BI512" i="10"/>
  <c r="K456" i="19" s="1"/>
  <c r="L456" i="19" s="1"/>
  <c r="AX607" i="10"/>
  <c r="BD607" i="10" s="1"/>
  <c r="AO607" i="10"/>
  <c r="BM12" i="9"/>
  <c r="BL12" i="9"/>
  <c r="BK12" i="9"/>
  <c r="BJ12" i="9"/>
  <c r="BM68" i="9"/>
  <c r="BL68" i="9"/>
  <c r="BK68" i="9"/>
  <c r="BJ68" i="9"/>
  <c r="BL46" i="9"/>
  <c r="BM46" i="9"/>
  <c r="BK46" i="9"/>
  <c r="BJ46" i="9"/>
  <c r="BJ33" i="9"/>
  <c r="BL33" i="9"/>
  <c r="BM33" i="9"/>
  <c r="BK33" i="9"/>
  <c r="AQ689" i="10"/>
  <c r="AP689" i="10"/>
  <c r="BI689" i="10"/>
  <c r="K621" i="19" s="1"/>
  <c r="AO800" i="10"/>
  <c r="AX800" i="10"/>
  <c r="BD800" i="10" s="1"/>
  <c r="AQ674" i="10"/>
  <c r="AZ674" i="10" s="1"/>
  <c r="AP674" i="10"/>
  <c r="AY674" i="10" s="1"/>
  <c r="BS674" i="10"/>
  <c r="AX770" i="10"/>
  <c r="BD770" i="10" s="1"/>
  <c r="AO770" i="10"/>
  <c r="AX829" i="10"/>
  <c r="BD829" i="10" s="1"/>
  <c r="AO829" i="10"/>
  <c r="F146" i="8"/>
  <c r="AX820" i="10"/>
  <c r="BD820" i="10" s="1"/>
  <c r="AJ510" i="10"/>
  <c r="AO820" i="10"/>
  <c r="AM510" i="10"/>
  <c r="AL510" i="10"/>
  <c r="AK510" i="10"/>
  <c r="AI510" i="10"/>
  <c r="BK23" i="9"/>
  <c r="BM23" i="9"/>
  <c r="BL23" i="9"/>
  <c r="BJ23" i="9"/>
  <c r="BL38" i="9"/>
  <c r="BK38" i="9"/>
  <c r="BM38" i="9"/>
  <c r="BJ38" i="9"/>
  <c r="AO763" i="10"/>
  <c r="AX763" i="10"/>
  <c r="BD763" i="10" s="1"/>
  <c r="AQ524" i="10"/>
  <c r="AZ524" i="10" s="1"/>
  <c r="AP524" i="10"/>
  <c r="AY524" i="10" s="1"/>
  <c r="BI524" i="10"/>
  <c r="K469" i="19" s="1"/>
  <c r="L469" i="19" s="1"/>
  <c r="BS524" i="10"/>
  <c r="X104" i="12"/>
  <c r="T62" i="9"/>
  <c r="T65" i="9"/>
  <c r="AA65" i="9" s="1"/>
  <c r="T63" i="9"/>
  <c r="AA63" i="9" s="1"/>
  <c r="T66" i="9"/>
  <c r="AA66" i="9" s="1"/>
  <c r="T64" i="9"/>
  <c r="AA64" i="9" s="1"/>
  <c r="AQ699" i="10"/>
  <c r="AZ699" i="10" s="1"/>
  <c r="AP699" i="10"/>
  <c r="AY699" i="10" s="1"/>
  <c r="BS699" i="10"/>
  <c r="BI699" i="10"/>
  <c r="K631" i="19" s="1"/>
  <c r="L631" i="19" s="1"/>
  <c r="AO546" i="10"/>
  <c r="AX546" i="10"/>
  <c r="BD546" i="10" s="1"/>
  <c r="AQ851" i="10"/>
  <c r="AZ851" i="10" s="1"/>
  <c r="AP851" i="10"/>
  <c r="AY851" i="10" s="1"/>
  <c r="BS851" i="10"/>
  <c r="H153" i="8"/>
  <c r="C156" i="8"/>
  <c r="I149" i="8"/>
  <c r="V514" i="13"/>
  <c r="W514" i="13" s="1"/>
  <c r="X514" i="13" s="1"/>
  <c r="Y514" i="13" s="1"/>
  <c r="AP511" i="10"/>
  <c r="AY511" i="10" s="1"/>
  <c r="AQ511" i="10"/>
  <c r="AZ511" i="10" s="1"/>
  <c r="BS511" i="10"/>
  <c r="AQ849" i="10"/>
  <c r="AZ849" i="10" s="1"/>
  <c r="AP849" i="10"/>
  <c r="AY849" i="10" s="1"/>
  <c r="BS849" i="10"/>
  <c r="AL507" i="10"/>
  <c r="AX604" i="10"/>
  <c r="BD604" i="10" s="1"/>
  <c r="AO604" i="10"/>
  <c r="AQ692" i="10"/>
  <c r="AZ692" i="10" s="1"/>
  <c r="AP692" i="10"/>
  <c r="AY692" i="10" s="1"/>
  <c r="BS692" i="10"/>
  <c r="B34" i="5"/>
  <c r="B29" i="5"/>
  <c r="B37" i="5"/>
  <c r="B22" i="5"/>
  <c r="B35" i="5"/>
  <c r="B31" i="5"/>
  <c r="B27" i="5"/>
  <c r="B24" i="5"/>
  <c r="B21" i="5"/>
  <c r="B30" i="5"/>
  <c r="B26" i="5"/>
  <c r="B23" i="5"/>
  <c r="B36" i="5"/>
  <c r="B33" i="5"/>
  <c r="B28" i="5"/>
  <c r="B25" i="5"/>
  <c r="B32" i="5"/>
  <c r="AQ592" i="10"/>
  <c r="AZ592" i="10" s="1"/>
  <c r="AP592" i="10"/>
  <c r="AY592" i="10" s="1"/>
  <c r="BS592" i="10"/>
  <c r="BI592" i="10"/>
  <c r="K754" i="19" s="1"/>
  <c r="L754" i="19" s="1"/>
  <c r="AX908" i="10"/>
  <c r="BD908" i="10" s="1"/>
  <c r="AO908" i="10"/>
  <c r="AO589" i="10"/>
  <c r="AX589" i="10"/>
  <c r="BD589" i="10" s="1"/>
  <c r="AQ661" i="10"/>
  <c r="AZ661" i="10" s="1"/>
  <c r="AP661" i="10"/>
  <c r="AY661" i="10" s="1"/>
  <c r="BS661" i="10"/>
  <c r="AQ672" i="10"/>
  <c r="AZ672" i="10" s="1"/>
  <c r="AP672" i="10"/>
  <c r="AY672" i="10" s="1"/>
  <c r="BI672" i="10"/>
  <c r="K604" i="19" s="1"/>
  <c r="L604" i="19" s="1"/>
  <c r="BS672" i="10"/>
  <c r="AX542" i="10"/>
  <c r="BD542" i="10" s="1"/>
  <c r="AO542" i="10"/>
  <c r="AX633" i="10"/>
  <c r="BD633" i="10" s="1"/>
  <c r="AO633" i="10"/>
  <c r="AP656" i="10"/>
  <c r="AY656" i="10" s="1"/>
  <c r="AQ656" i="10"/>
  <c r="AZ656" i="10" s="1"/>
  <c r="BS656" i="10"/>
  <c r="BI656" i="10"/>
  <c r="K591" i="19" s="1"/>
  <c r="L591" i="19" s="1"/>
  <c r="AQ569" i="10"/>
  <c r="AZ569" i="10" s="1"/>
  <c r="AP569" i="10"/>
  <c r="AY569" i="10" s="1"/>
  <c r="BS569" i="10"/>
  <c r="BI569" i="10"/>
  <c r="K509" i="19" s="1"/>
  <c r="L509" i="19" s="1"/>
  <c r="E144" i="8"/>
  <c r="K150" i="8"/>
  <c r="D147" i="8"/>
  <c r="B142" i="8"/>
  <c r="X105" i="12"/>
  <c r="T17" i="9"/>
  <c r="AA17" i="9" s="1"/>
  <c r="T16" i="9"/>
  <c r="T18" i="9"/>
  <c r="AA18" i="9" s="1"/>
  <c r="T15" i="9"/>
  <c r="AQ698" i="10"/>
  <c r="AZ698" i="10" s="1"/>
  <c r="AP698" i="10"/>
  <c r="AY698" i="10" s="1"/>
  <c r="BS698" i="10"/>
  <c r="Q294" i="8"/>
  <c r="B74" i="8" s="1"/>
  <c r="B325" i="8"/>
  <c r="R19" i="8" s="1"/>
  <c r="J300" i="8"/>
  <c r="AM507" i="10"/>
  <c r="BL67" i="9"/>
  <c r="BK67" i="9"/>
  <c r="BM67" i="9"/>
  <c r="BJ67" i="9"/>
  <c r="AX776" i="10"/>
  <c r="BD776" i="10" s="1"/>
  <c r="AL508" i="10"/>
  <c r="AI508" i="10"/>
  <c r="AO776" i="10"/>
  <c r="AJ508" i="10"/>
  <c r="AM508" i="10"/>
  <c r="AK508" i="10"/>
  <c r="AO711" i="10"/>
  <c r="AX711" i="10"/>
  <c r="BD711" i="10" s="1"/>
  <c r="AO867" i="10"/>
  <c r="AX867" i="10"/>
  <c r="BD867" i="10" s="1"/>
  <c r="E146" i="8"/>
  <c r="B150" i="8"/>
  <c r="L143" i="8"/>
  <c r="BL9" i="9"/>
  <c r="BJ9" i="9"/>
  <c r="BK9" i="9"/>
  <c r="BM9" i="9"/>
  <c r="AX767" i="10"/>
  <c r="BD767" i="10" s="1"/>
  <c r="AO767" i="10"/>
  <c r="AO832" i="10"/>
  <c r="AX832" i="10"/>
  <c r="BD832" i="10" s="1"/>
  <c r="G148" i="8"/>
  <c r="D149" i="8"/>
  <c r="J145" i="8"/>
  <c r="AQ506" i="10"/>
  <c r="AZ506" i="10" s="1"/>
  <c r="AP506" i="10"/>
  <c r="AY506" i="10" s="1"/>
  <c r="BS506" i="10"/>
  <c r="BI506" i="10"/>
  <c r="K450" i="19" s="1"/>
  <c r="L450" i="19" s="1"/>
  <c r="AX872" i="10"/>
  <c r="BD872" i="10" s="1"/>
  <c r="AO872" i="10"/>
  <c r="AP717" i="10"/>
  <c r="AY717" i="10" s="1"/>
  <c r="AQ717" i="10"/>
  <c r="AZ717" i="10" s="1"/>
  <c r="BS717" i="10"/>
  <c r="AX840" i="10"/>
  <c r="BD840" i="10" s="1"/>
  <c r="AO840" i="10"/>
  <c r="AX910" i="10"/>
  <c r="BD910" i="10" s="1"/>
  <c r="AO910" i="10"/>
  <c r="AQ551" i="10"/>
  <c r="AZ551" i="10" s="1"/>
  <c r="AP551" i="10"/>
  <c r="AY551" i="10" s="1"/>
  <c r="BS551" i="10"/>
  <c r="AO865" i="10"/>
  <c r="AX865" i="10"/>
  <c r="BD865" i="10" s="1"/>
  <c r="AQ746" i="10"/>
  <c r="AZ746" i="10" s="1"/>
  <c r="AP746" i="10"/>
  <c r="AY746" i="10" s="1"/>
  <c r="BS746" i="10"/>
  <c r="AO730" i="10"/>
  <c r="AX730" i="10"/>
  <c r="BD730" i="10" s="1"/>
  <c r="X113" i="12"/>
  <c r="T8" i="9"/>
  <c r="AA8" i="9" s="1"/>
  <c r="T14" i="9"/>
  <c r="T13" i="9"/>
  <c r="AA13" i="9" s="1"/>
  <c r="T75" i="9"/>
  <c r="AA75" i="9" s="1"/>
  <c r="T12" i="9"/>
  <c r="AA12" i="9" s="1"/>
  <c r="AX639" i="10"/>
  <c r="BD639" i="10" s="1"/>
  <c r="AO639" i="10"/>
  <c r="AQ521" i="10"/>
  <c r="AZ521" i="10" s="1"/>
  <c r="AP521" i="10"/>
  <c r="AY521" i="10" s="1"/>
  <c r="BS521" i="10"/>
  <c r="AX628" i="10"/>
  <c r="BD628" i="10" s="1"/>
  <c r="AO628" i="10"/>
  <c r="F141" i="8"/>
  <c r="C155" i="8"/>
  <c r="V504" i="13"/>
  <c r="W504" i="13" s="1"/>
  <c r="X504" i="13" s="1"/>
  <c r="Y504" i="13" s="1"/>
  <c r="AX619" i="10"/>
  <c r="BD619" i="10" s="1"/>
  <c r="AK502" i="10"/>
  <c r="AJ502" i="10"/>
  <c r="AI502" i="10"/>
  <c r="AO619" i="10"/>
  <c r="AM502" i="10"/>
  <c r="AL502" i="10"/>
  <c r="AQ509" i="10"/>
  <c r="AZ509" i="10" s="1"/>
  <c r="AP509" i="10"/>
  <c r="AY509" i="10" s="1"/>
  <c r="BS509" i="10"/>
  <c r="AO790" i="10"/>
  <c r="AX790" i="10"/>
  <c r="BD790" i="10" s="1"/>
  <c r="AO587" i="10"/>
  <c r="AX587" i="10"/>
  <c r="BD587" i="10" s="1"/>
  <c r="AQ740" i="10"/>
  <c r="AZ740" i="10" s="1"/>
  <c r="AP740" i="10"/>
  <c r="AY740" i="10" s="1"/>
  <c r="BS740" i="10"/>
  <c r="AX868" i="10"/>
  <c r="BD868" i="10" s="1"/>
  <c r="AO868" i="10"/>
  <c r="AL512" i="10"/>
  <c r="AK512" i="10"/>
  <c r="AJ512" i="10"/>
  <c r="AI512" i="10"/>
  <c r="AM512" i="10"/>
  <c r="AX782" i="10"/>
  <c r="BD782" i="10" s="1"/>
  <c r="AO782" i="10"/>
  <c r="X110" i="12"/>
  <c r="T10" i="9"/>
  <c r="T9" i="9"/>
  <c r="T11" i="9"/>
  <c r="AX650" i="10"/>
  <c r="BD650" i="10" s="1"/>
  <c r="AO650" i="10"/>
  <c r="AX914" i="10"/>
  <c r="BD914" i="10" s="1"/>
  <c r="AO914" i="10"/>
  <c r="H151" i="8"/>
  <c r="G146" i="8"/>
  <c r="K148" i="8"/>
  <c r="AX783" i="10"/>
  <c r="BD783" i="10" s="1"/>
  <c r="AO783" i="10"/>
  <c r="AQ886" i="10"/>
  <c r="AZ886" i="10" s="1"/>
  <c r="AP886" i="10"/>
  <c r="AY886" i="10" s="1"/>
  <c r="BS886" i="10"/>
  <c r="AP664" i="10"/>
  <c r="AY664" i="10" s="1"/>
  <c r="AQ664" i="10"/>
  <c r="AZ664" i="10" s="1"/>
  <c r="BS664" i="10"/>
  <c r="AP581" i="10"/>
  <c r="AY581" i="10" s="1"/>
  <c r="AQ581" i="10"/>
  <c r="AZ581" i="10" s="1"/>
  <c r="AX631" i="10"/>
  <c r="BD631" i="10" s="1"/>
  <c r="AO631" i="10"/>
  <c r="AO762" i="10"/>
  <c r="AX762" i="10"/>
  <c r="BD762" i="10" s="1"/>
  <c r="AX802" i="10"/>
  <c r="BD802" i="10" s="1"/>
  <c r="AO802" i="10"/>
  <c r="G155" i="8"/>
  <c r="E145" i="8"/>
  <c r="AO863" i="10"/>
  <c r="AX863" i="10"/>
  <c r="BD863" i="10" s="1"/>
  <c r="BM21" i="9"/>
  <c r="BL21" i="9"/>
  <c r="BK21" i="9"/>
  <c r="BJ21" i="9"/>
  <c r="X107" i="12"/>
  <c r="T38" i="9"/>
  <c r="T39" i="9"/>
  <c r="AA39" i="9" s="1"/>
  <c r="T37" i="9"/>
  <c r="AA37" i="9" s="1"/>
  <c r="T36" i="9"/>
  <c r="AA36" i="9" s="1"/>
  <c r="T21" i="9"/>
  <c r="AA21" i="9" s="1"/>
  <c r="AO765" i="10"/>
  <c r="AX765" i="10"/>
  <c r="BD765" i="10" s="1"/>
  <c r="AO701" i="10"/>
  <c r="AX701" i="10"/>
  <c r="BD701" i="10" s="1"/>
  <c r="X100" i="12"/>
  <c r="T61" i="9"/>
  <c r="AA61" i="9" s="1"/>
  <c r="T60" i="9"/>
  <c r="AA60" i="9" s="1"/>
  <c r="T57" i="9"/>
  <c r="AA57" i="9" s="1"/>
  <c r="F153" i="8"/>
  <c r="J148" i="8"/>
  <c r="G147" i="8"/>
  <c r="BJ42" i="9"/>
  <c r="BM42" i="9"/>
  <c r="BL42" i="9"/>
  <c r="BK42" i="9"/>
  <c r="BL74" i="9"/>
  <c r="BJ74" i="9"/>
  <c r="BM74" i="9"/>
  <c r="BK74" i="9"/>
  <c r="B27" i="17"/>
  <c r="B33" i="17" s="1"/>
  <c r="B28" i="17" s="1"/>
  <c r="BI664" i="10"/>
  <c r="K599" i="19" s="1"/>
  <c r="L599" i="19" s="1"/>
  <c r="AO750" i="10"/>
  <c r="AX750" i="10"/>
  <c r="BD750" i="10" s="1"/>
  <c r="M156" i="8"/>
  <c r="H146" i="8"/>
  <c r="E155" i="8"/>
  <c r="AX874" i="10"/>
  <c r="BD874" i="10" s="1"/>
  <c r="AO874" i="10"/>
  <c r="BL76" i="9"/>
  <c r="BM76" i="9"/>
  <c r="BJ76" i="9"/>
  <c r="BK76" i="9"/>
  <c r="G255" i="11"/>
  <c r="I255" i="11" s="1"/>
  <c r="J255" i="11" s="1"/>
  <c r="AP660" i="10"/>
  <c r="AY660" i="10" s="1"/>
  <c r="AQ660" i="10"/>
  <c r="AZ660" i="10" s="1"/>
  <c r="BS660" i="10"/>
  <c r="BI660" i="10"/>
  <c r="K595" i="19" s="1"/>
  <c r="L595" i="19" s="1"/>
  <c r="AK504" i="10"/>
  <c r="AX563" i="10"/>
  <c r="BD563" i="10" s="1"/>
  <c r="AO563" i="10"/>
  <c r="D157" i="8"/>
  <c r="K155" i="8"/>
  <c r="J156" i="8"/>
  <c r="AQ539" i="10"/>
  <c r="AZ539" i="10" s="1"/>
  <c r="AP539" i="10"/>
  <c r="AY539" i="10" s="1"/>
  <c r="BS539" i="10"/>
  <c r="AP817" i="10"/>
  <c r="AY817" i="10" s="1"/>
  <c r="AQ817" i="10"/>
  <c r="AZ817" i="10" s="1"/>
  <c r="BS817" i="10"/>
  <c r="BI817" i="10"/>
  <c r="K744" i="19" s="1"/>
  <c r="L744" i="19" s="1"/>
  <c r="AX824" i="10"/>
  <c r="BD824" i="10" s="1"/>
  <c r="AO824" i="10"/>
  <c r="BM72" i="9"/>
  <c r="BK72" i="9"/>
  <c r="BJ72" i="9"/>
  <c r="BL72" i="9"/>
  <c r="AP755" i="10"/>
  <c r="AY755" i="10" s="1"/>
  <c r="AQ755" i="10"/>
  <c r="AZ755" i="10" s="1"/>
  <c r="BS755" i="10"/>
  <c r="AX888" i="10"/>
  <c r="BD888" i="10" s="1"/>
  <c r="AO888" i="10"/>
  <c r="AQ567" i="10"/>
  <c r="AZ567" i="10" s="1"/>
  <c r="AP567" i="10"/>
  <c r="AY567" i="10" s="1"/>
  <c r="BS567" i="10"/>
  <c r="AI505" i="10"/>
  <c r="D144" i="8"/>
  <c r="E156" i="8"/>
  <c r="D142" i="8"/>
  <c r="AQ526" i="10"/>
  <c r="AP526" i="10"/>
  <c r="BS526" i="10"/>
  <c r="AO562" i="10"/>
  <c r="AX562" i="10"/>
  <c r="BD562" i="10" s="1"/>
  <c r="AX877" i="10"/>
  <c r="BD877" i="10" s="1"/>
  <c r="AO877" i="10"/>
  <c r="AX601" i="10"/>
  <c r="BD601" i="10" s="1"/>
  <c r="AO601" i="10"/>
  <c r="B143" i="8"/>
  <c r="I150" i="8"/>
  <c r="M155" i="8"/>
  <c r="AO768" i="10"/>
  <c r="AX768" i="10"/>
  <c r="BD768" i="10" s="1"/>
  <c r="AQ860" i="10"/>
  <c r="AZ860" i="10" s="1"/>
  <c r="AP860" i="10"/>
  <c r="AY860" i="10" s="1"/>
  <c r="BS860" i="10"/>
  <c r="BI860" i="10"/>
  <c r="K789" i="19" s="1"/>
  <c r="E125" i="22"/>
  <c r="BJ27" i="9"/>
  <c r="BL27" i="9"/>
  <c r="BK27" i="9"/>
  <c r="BM27" i="9"/>
  <c r="BM13" i="9"/>
  <c r="BL13" i="9"/>
  <c r="BK13" i="9"/>
  <c r="BJ13" i="9"/>
  <c r="BL6" i="9"/>
  <c r="BM6" i="9"/>
  <c r="BK6" i="9"/>
  <c r="BJ6" i="9"/>
  <c r="AQ678" i="10"/>
  <c r="AZ678" i="10" s="1"/>
  <c r="AP678" i="10"/>
  <c r="AY678" i="10" s="1"/>
  <c r="BS678" i="10"/>
  <c r="BI678" i="10"/>
  <c r="K610" i="19" s="1"/>
  <c r="L610" i="19" s="1"/>
  <c r="AQ744" i="10"/>
  <c r="AZ744" i="10" s="1"/>
  <c r="AP744" i="10"/>
  <c r="AY744" i="10" s="1"/>
  <c r="BS744" i="10"/>
  <c r="BI744" i="10"/>
  <c r="K672" i="19" s="1"/>
  <c r="L672" i="19" s="1"/>
  <c r="AQ676" i="10"/>
  <c r="AZ676" i="10" s="1"/>
  <c r="AP676" i="10"/>
  <c r="AY676" i="10" s="1"/>
  <c r="BS676" i="10"/>
  <c r="AO616" i="10"/>
  <c r="AX616" i="10"/>
  <c r="BD616" i="10" s="1"/>
  <c r="AK505" i="10"/>
  <c r="AX806" i="10"/>
  <c r="BD806" i="10" s="1"/>
  <c r="AO806" i="10"/>
  <c r="AQ566" i="10"/>
  <c r="AP566" i="10"/>
  <c r="AP741" i="10"/>
  <c r="AY741" i="10" s="1"/>
  <c r="AQ741" i="10"/>
  <c r="AZ741" i="10" s="1"/>
  <c r="BS741" i="10"/>
  <c r="BI741" i="10"/>
  <c r="K669" i="19" s="1"/>
  <c r="L669" i="19" s="1"/>
  <c r="K143" i="8"/>
  <c r="I142" i="8"/>
  <c r="L145" i="8"/>
  <c r="AQ855" i="10"/>
  <c r="AZ855" i="10" s="1"/>
  <c r="AP855" i="10"/>
  <c r="AY855" i="10" s="1"/>
  <c r="BS855" i="10"/>
  <c r="BM65" i="9"/>
  <c r="BJ65" i="9"/>
  <c r="BL65" i="9"/>
  <c r="BK65" i="9"/>
  <c r="BJ36" i="9"/>
  <c r="BL36" i="9"/>
  <c r="BK36" i="9"/>
  <c r="BM36" i="9"/>
  <c r="AQ883" i="10"/>
  <c r="AZ883" i="10" s="1"/>
  <c r="AP883" i="10"/>
  <c r="AY883" i="10" s="1"/>
  <c r="BS883" i="10"/>
  <c r="BI883" i="10"/>
  <c r="K812" i="19" s="1"/>
  <c r="L812" i="19" s="1"/>
  <c r="AQ737" i="10"/>
  <c r="AZ737" i="10" s="1"/>
  <c r="AP737" i="10"/>
  <c r="AY737" i="10" s="1"/>
  <c r="BS737" i="10"/>
  <c r="AL505" i="10"/>
  <c r="G144" i="8"/>
  <c r="M145" i="8"/>
  <c r="B149" i="8"/>
  <c r="BK47" i="9"/>
  <c r="BL47" i="9"/>
  <c r="BJ47" i="9"/>
  <c r="BM47" i="9"/>
  <c r="BJ40" i="9"/>
  <c r="BL40" i="9"/>
  <c r="BM40" i="9"/>
  <c r="BK40" i="9"/>
  <c r="AX921" i="10"/>
  <c r="BD921" i="10" s="1"/>
  <c r="AO921" i="10"/>
  <c r="AP736" i="10"/>
  <c r="AY736" i="10" s="1"/>
  <c r="AQ736" i="10"/>
  <c r="AZ736" i="10" s="1"/>
  <c r="BS736" i="10"/>
  <c r="AO713" i="10"/>
  <c r="AX713" i="10"/>
  <c r="BD713" i="10" s="1"/>
  <c r="AP671" i="10"/>
  <c r="AY671" i="10" s="1"/>
  <c r="AQ671" i="10"/>
  <c r="AZ671" i="10" s="1"/>
  <c r="BS671" i="10"/>
  <c r="BI671" i="10"/>
  <c r="K603" i="19" s="1"/>
  <c r="AO771" i="10"/>
  <c r="AX771" i="10"/>
  <c r="BD771" i="10" s="1"/>
  <c r="G143" i="8"/>
  <c r="L149" i="8"/>
  <c r="D154" i="8"/>
  <c r="I146" i="8"/>
  <c r="L148" i="8"/>
  <c r="K149" i="8"/>
  <c r="H144" i="8"/>
  <c r="E151" i="8"/>
  <c r="G145" i="8"/>
  <c r="H149" i="8"/>
  <c r="AO923" i="10"/>
  <c r="AX923" i="10"/>
  <c r="BD923" i="10" s="1"/>
  <c r="AO835" i="10"/>
  <c r="AX835" i="10"/>
  <c r="BD835" i="10" s="1"/>
  <c r="AP718" i="10"/>
  <c r="AY718" i="10" s="1"/>
  <c r="AQ718" i="10"/>
  <c r="AZ718" i="10" s="1"/>
  <c r="BS718" i="10"/>
  <c r="BI718" i="10"/>
  <c r="K650" i="19" s="1"/>
  <c r="L650" i="19" s="1"/>
  <c r="BJ62" i="9"/>
  <c r="BM62" i="9"/>
  <c r="BL62" i="9"/>
  <c r="BK62" i="9"/>
  <c r="BM41" i="9"/>
  <c r="BK41" i="9"/>
  <c r="BL41" i="9"/>
  <c r="BJ41" i="9"/>
  <c r="BM44" i="9"/>
  <c r="BJ44" i="9"/>
  <c r="BL44" i="9"/>
  <c r="BK44" i="9"/>
  <c r="BM11" i="9"/>
  <c r="BK11" i="9"/>
  <c r="BJ11" i="9"/>
  <c r="BL11" i="9"/>
  <c r="AX894" i="10"/>
  <c r="BD894" i="10" s="1"/>
  <c r="AO894" i="10"/>
  <c r="AO801" i="10"/>
  <c r="AX801" i="10"/>
  <c r="BD801" i="10" s="1"/>
  <c r="BI661" i="10"/>
  <c r="K596" i="19" s="1"/>
  <c r="L596" i="19" s="1"/>
  <c r="AX641" i="10"/>
  <c r="BD641" i="10" s="1"/>
  <c r="AO641" i="10"/>
  <c r="AP815" i="10"/>
  <c r="AY815" i="10" s="1"/>
  <c r="AQ815" i="10"/>
  <c r="AZ815" i="10" s="1"/>
  <c r="BI815" i="10"/>
  <c r="K742" i="19" s="1"/>
  <c r="BS815" i="10"/>
  <c r="AX596" i="10"/>
  <c r="BD596" i="10" s="1"/>
  <c r="AO596" i="10"/>
  <c r="BI566" i="10"/>
  <c r="K682" i="19" s="1"/>
  <c r="L682" i="19" s="1"/>
  <c r="AM511" i="10"/>
  <c r="AX632" i="10"/>
  <c r="BD632" i="10" s="1"/>
  <c r="AO632" i="10"/>
  <c r="AQ753" i="10"/>
  <c r="AZ753" i="10" s="1"/>
  <c r="AP753" i="10"/>
  <c r="AY753" i="10" s="1"/>
  <c r="BS753" i="10"/>
  <c r="AI511" i="10"/>
  <c r="AO891" i="10"/>
  <c r="AX891" i="10"/>
  <c r="BD891" i="10" s="1"/>
  <c r="AQ714" i="10"/>
  <c r="AZ714" i="10" s="1"/>
  <c r="AP714" i="10"/>
  <c r="AY714" i="10" s="1"/>
  <c r="BS714" i="10"/>
  <c r="BI714" i="10"/>
  <c r="K646" i="19" s="1"/>
  <c r="AQ897" i="10"/>
  <c r="AZ897" i="10" s="1"/>
  <c r="AP897" i="10"/>
  <c r="AY897" i="10" s="1"/>
  <c r="BS897" i="10"/>
  <c r="AO638" i="10"/>
  <c r="AX638" i="10"/>
  <c r="BD638" i="10" s="1"/>
  <c r="AP556" i="10"/>
  <c r="AY556" i="10" s="1"/>
  <c r="AQ556" i="10"/>
  <c r="AZ556" i="10" s="1"/>
  <c r="BS556" i="10"/>
  <c r="BI556" i="10"/>
  <c r="K499" i="19" s="1"/>
  <c r="L499" i="19" s="1"/>
  <c r="AM500" i="10"/>
  <c r="AO898" i="10"/>
  <c r="AX898" i="10"/>
  <c r="BD898" i="10" s="1"/>
  <c r="AQ845" i="10"/>
  <c r="AZ845" i="10" s="1"/>
  <c r="AP845" i="10"/>
  <c r="AY845" i="10" s="1"/>
  <c r="BS845" i="10"/>
  <c r="AX796" i="10"/>
  <c r="BD796" i="10" s="1"/>
  <c r="AO796" i="10"/>
  <c r="AO595" i="10"/>
  <c r="AX595" i="10"/>
  <c r="BD595" i="10" s="1"/>
  <c r="AX784" i="10"/>
  <c r="BD784" i="10" s="1"/>
  <c r="AO784" i="10"/>
  <c r="T54" i="9"/>
  <c r="AA54" i="9" s="1"/>
  <c r="X102" i="12"/>
  <c r="T53" i="9"/>
  <c r="AA53" i="9" s="1"/>
  <c r="T56" i="9"/>
  <c r="T55" i="9"/>
  <c r="T52" i="9"/>
  <c r="AA52" i="9" s="1"/>
  <c r="AX545" i="10"/>
  <c r="BD545" i="10" s="1"/>
  <c r="AO545" i="10"/>
  <c r="AO808" i="10"/>
  <c r="AX808" i="10"/>
  <c r="BD808" i="10" s="1"/>
  <c r="AX724" i="10"/>
  <c r="BD724" i="10" s="1"/>
  <c r="AL506" i="10"/>
  <c r="AO724" i="10"/>
  <c r="AM506" i="10"/>
  <c r="AK506" i="10"/>
  <c r="AJ506" i="10"/>
  <c r="AI506" i="10"/>
  <c r="AO561" i="10"/>
  <c r="AX561" i="10"/>
  <c r="BD561" i="10" s="1"/>
  <c r="J143" i="8"/>
  <c r="F145" i="8"/>
  <c r="C145" i="8"/>
  <c r="F156" i="8"/>
  <c r="B156" i="8"/>
  <c r="J154" i="8"/>
  <c r="I157" i="8"/>
  <c r="H155" i="8"/>
  <c r="C149" i="8"/>
  <c r="D153" i="8"/>
  <c r="AQ585" i="10"/>
  <c r="AZ585" i="10" s="1"/>
  <c r="AP585" i="10"/>
  <c r="AY585" i="10" s="1"/>
  <c r="BS585" i="10"/>
  <c r="BI585" i="10"/>
  <c r="K525" i="19" s="1"/>
  <c r="L525" i="19" s="1"/>
  <c r="AO560" i="10"/>
  <c r="AX560" i="10"/>
  <c r="BD560" i="10" s="1"/>
  <c r="AQ657" i="10"/>
  <c r="AZ657" i="10" s="1"/>
  <c r="BI657" i="10"/>
  <c r="K592" i="19" s="1"/>
  <c r="L592" i="19" s="1"/>
  <c r="BI736" i="10"/>
  <c r="K664" i="19" s="1"/>
  <c r="AP505" i="10"/>
  <c r="AY505" i="10" s="1"/>
  <c r="AQ505" i="10"/>
  <c r="AZ505" i="10" s="1"/>
  <c r="BI505" i="10"/>
  <c r="K449" i="19" s="1"/>
  <c r="L449" i="19" s="1"/>
  <c r="BS505" i="10"/>
  <c r="BI511" i="10"/>
  <c r="K455" i="19" s="1"/>
  <c r="L455" i="19" s="1"/>
  <c r="BI676" i="10"/>
  <c r="K608" i="19" s="1"/>
  <c r="L608" i="19" s="1"/>
  <c r="BJ28" i="9"/>
  <c r="BM28" i="9"/>
  <c r="BL28" i="9"/>
  <c r="BK28" i="9"/>
  <c r="BM71" i="9"/>
  <c r="BL71" i="9"/>
  <c r="BK71" i="9"/>
  <c r="BJ71" i="9"/>
  <c r="BM30" i="9"/>
  <c r="BK30" i="9"/>
  <c r="BJ30" i="9"/>
  <c r="BL30" i="9"/>
  <c r="BK55" i="9"/>
  <c r="BM55" i="9"/>
  <c r="BL55" i="9"/>
  <c r="BJ55" i="9"/>
  <c r="AQ666" i="10"/>
  <c r="AZ666" i="10" s="1"/>
  <c r="AP666" i="10"/>
  <c r="AY666" i="10" s="1"/>
  <c r="BS666" i="10"/>
  <c r="BI897" i="10"/>
  <c r="K829" i="19" s="1"/>
  <c r="L829" i="19" s="1"/>
  <c r="AX640" i="10"/>
  <c r="BD640" i="10" s="1"/>
  <c r="AI503" i="10"/>
  <c r="AO640" i="10"/>
  <c r="AM503" i="10"/>
  <c r="AL503" i="10"/>
  <c r="AJ503" i="10"/>
  <c r="AK503" i="10"/>
  <c r="AX602" i="10"/>
  <c r="BD602" i="10" s="1"/>
  <c r="AO602" i="10"/>
  <c r="AO685" i="10"/>
  <c r="AX685" i="10"/>
  <c r="BD685" i="10" s="1"/>
  <c r="AX748" i="10"/>
  <c r="BD748" i="10" s="1"/>
  <c r="AO748" i="10"/>
  <c r="I147" i="8"/>
  <c r="AX626" i="10"/>
  <c r="BD626" i="10" s="1"/>
  <c r="AO626" i="10"/>
  <c r="AP679" i="10"/>
  <c r="AY679" i="10" s="1"/>
  <c r="AQ679" i="10"/>
  <c r="AZ679" i="10" s="1"/>
  <c r="BS679" i="10"/>
  <c r="BI679" i="10"/>
  <c r="K611" i="19" s="1"/>
  <c r="L611" i="19" s="1"/>
  <c r="AO733" i="10"/>
  <c r="AX733" i="10"/>
  <c r="BD733" i="10" s="1"/>
  <c r="AQ884" i="10"/>
  <c r="AZ884" i="10" s="1"/>
  <c r="AP884" i="10"/>
  <c r="AY884" i="10" s="1"/>
  <c r="BS884" i="10"/>
  <c r="C150" i="8"/>
  <c r="B144" i="8"/>
  <c r="AQ667" i="10"/>
  <c r="AZ667" i="10" s="1"/>
  <c r="AP667" i="10"/>
  <c r="AY667" i="10" s="1"/>
  <c r="BS667" i="10"/>
  <c r="BI667" i="10"/>
  <c r="K602" i="19" s="1"/>
  <c r="L602" i="19" s="1"/>
  <c r="D155" i="8"/>
  <c r="AX823" i="10"/>
  <c r="BD823" i="10" s="1"/>
  <c r="AO823" i="10"/>
  <c r="AO610" i="10"/>
  <c r="AX610" i="10"/>
  <c r="BD610" i="10" s="1"/>
  <c r="AO911" i="10"/>
  <c r="AX911" i="10"/>
  <c r="BD911" i="10" s="1"/>
  <c r="AQ530" i="10"/>
  <c r="AZ530" i="10" s="1"/>
  <c r="AP530" i="10"/>
  <c r="AY530" i="10" s="1"/>
  <c r="BS530" i="10"/>
  <c r="BI530" i="10"/>
  <c r="K475" i="19" s="1"/>
  <c r="L475" i="19" s="1"/>
  <c r="J152" i="8"/>
  <c r="AX594" i="10"/>
  <c r="BD594" i="10" s="1"/>
  <c r="AO594" i="10"/>
  <c r="AK501" i="10"/>
  <c r="AL501" i="10"/>
  <c r="AJ501" i="10"/>
  <c r="AI501" i="10"/>
  <c r="AO593" i="10"/>
  <c r="AX593" i="10"/>
  <c r="BD593" i="10" s="1"/>
  <c r="AM501" i="10"/>
  <c r="AO913" i="10"/>
  <c r="AX913" i="10"/>
  <c r="BD913" i="10" s="1"/>
  <c r="B494" i="10"/>
  <c r="B354" i="8" s="1"/>
  <c r="L142" i="8"/>
  <c r="AO609" i="10"/>
  <c r="AX609" i="10"/>
  <c r="BD609" i="10" s="1"/>
  <c r="J155" i="8"/>
  <c r="AO821" i="10"/>
  <c r="AX821" i="10"/>
  <c r="BD821" i="10" s="1"/>
  <c r="H150" i="8"/>
  <c r="J146" i="8"/>
  <c r="AQ816" i="10"/>
  <c r="AZ816" i="10" s="1"/>
  <c r="AP816" i="10"/>
  <c r="AY816" i="10" s="1"/>
  <c r="BS816" i="10"/>
  <c r="AQ568" i="10"/>
  <c r="AZ568" i="10" s="1"/>
  <c r="AP568" i="10"/>
  <c r="AY568" i="10" s="1"/>
  <c r="BS568" i="10"/>
  <c r="BI568" i="10"/>
  <c r="K508" i="19" s="1"/>
  <c r="L508" i="19" s="1"/>
  <c r="K157" i="8"/>
  <c r="AX559" i="10"/>
  <c r="BD559" i="10" s="1"/>
  <c r="AO559" i="10"/>
  <c r="BM66" i="9"/>
  <c r="BL66" i="9"/>
  <c r="BK66" i="9"/>
  <c r="BJ66" i="9"/>
  <c r="AO635" i="10"/>
  <c r="AX635" i="10"/>
  <c r="BD635" i="10" s="1"/>
  <c r="AO712" i="10"/>
  <c r="AX712" i="10"/>
  <c r="BD712" i="10" s="1"/>
  <c r="AX683" i="10"/>
  <c r="BD683" i="10" s="1"/>
  <c r="AO683" i="10"/>
  <c r="E153" i="8"/>
  <c r="L150" i="8"/>
  <c r="AQ532" i="10"/>
  <c r="AZ532" i="10" s="1"/>
  <c r="AP532" i="10"/>
  <c r="AY532" i="10" s="1"/>
  <c r="BS532" i="10"/>
  <c r="AQ882" i="10"/>
  <c r="AZ882" i="10" s="1"/>
  <c r="AP882" i="10"/>
  <c r="AY882" i="10" s="1"/>
  <c r="BS882" i="10"/>
  <c r="AP662" i="10"/>
  <c r="AY662" i="10" s="1"/>
  <c r="AQ662" i="10"/>
  <c r="AZ662" i="10" s="1"/>
  <c r="BS662" i="10"/>
  <c r="C153" i="8"/>
  <c r="BM39" i="9"/>
  <c r="BL39" i="9"/>
  <c r="BJ39" i="9"/>
  <c r="BK39" i="9"/>
  <c r="AX793" i="10"/>
  <c r="BD793" i="10" s="1"/>
  <c r="AO793" i="10"/>
  <c r="AX909" i="10"/>
  <c r="BD909" i="10" s="1"/>
  <c r="AO909" i="10"/>
  <c r="AO547" i="10"/>
  <c r="AX547" i="10"/>
  <c r="BD547" i="10" s="1"/>
  <c r="K144" i="8"/>
  <c r="G157" i="8"/>
  <c r="AP538" i="10"/>
  <c r="AY538" i="10" s="1"/>
  <c r="AQ538" i="10"/>
  <c r="AZ538" i="10" s="1"/>
  <c r="BS538" i="10"/>
  <c r="BI538" i="10"/>
  <c r="K483" i="19" s="1"/>
  <c r="L483" i="19" s="1"/>
  <c r="AL504" i="10"/>
  <c r="AX779" i="10"/>
  <c r="BD779" i="10" s="1"/>
  <c r="AO779" i="10"/>
  <c r="D148" i="8"/>
  <c r="V511" i="13"/>
  <c r="W511" i="13" s="1"/>
  <c r="X511" i="13" s="1"/>
  <c r="Y511" i="13" s="1"/>
  <c r="AX684" i="10"/>
  <c r="BD684" i="10" s="1"/>
  <c r="AO684" i="10"/>
  <c r="H152" i="8"/>
  <c r="AQ856" i="10"/>
  <c r="AZ856" i="10" s="1"/>
  <c r="AP856" i="10"/>
  <c r="AY856" i="10" s="1"/>
  <c r="BS856" i="10"/>
  <c r="AP858" i="10"/>
  <c r="AY858" i="10" s="1"/>
  <c r="AQ858" i="10"/>
  <c r="AZ858" i="10" s="1"/>
  <c r="BS858" i="10"/>
  <c r="BI858" i="10"/>
  <c r="K787" i="19" s="1"/>
  <c r="L787" i="19" s="1"/>
  <c r="AJ500" i="10"/>
  <c r="AQ510" i="10"/>
  <c r="AZ510" i="10" s="1"/>
  <c r="AP510" i="10"/>
  <c r="AY510" i="10" s="1"/>
  <c r="BS510" i="10"/>
  <c r="BI510" i="10"/>
  <c r="K454" i="19" s="1"/>
  <c r="L454" i="19" s="1"/>
  <c r="F144" i="8"/>
  <c r="X108" i="12"/>
  <c r="T40" i="9"/>
  <c r="AA40" i="9" s="1"/>
  <c r="T41" i="9"/>
  <c r="T43" i="9"/>
  <c r="T44" i="9"/>
  <c r="AA44" i="9" s="1"/>
  <c r="T42" i="9"/>
  <c r="T59" i="9"/>
  <c r="AA59" i="9" s="1"/>
  <c r="BI856" i="10"/>
  <c r="K785" i="19" s="1"/>
  <c r="L785" i="19" s="1"/>
  <c r="AQ652" i="10"/>
  <c r="AZ652" i="10" s="1"/>
  <c r="AP652" i="10"/>
  <c r="AY652" i="10" s="1"/>
  <c r="BS652" i="10"/>
  <c r="BI652" i="10"/>
  <c r="K587" i="19" s="1"/>
  <c r="E143" i="8"/>
  <c r="I143" i="8"/>
  <c r="AQ517" i="10"/>
  <c r="AP517" i="10"/>
  <c r="BI517" i="10"/>
  <c r="K462" i="19" s="1"/>
  <c r="L462" i="19" s="1"/>
  <c r="AO906" i="10"/>
  <c r="AX906" i="10"/>
  <c r="BD906" i="10" s="1"/>
  <c r="AO834" i="10"/>
  <c r="AX834" i="10"/>
  <c r="BD834" i="10" s="1"/>
  <c r="F150" i="8"/>
  <c r="J157" i="8"/>
  <c r="AO558" i="10"/>
  <c r="AX558" i="10"/>
  <c r="BD558" i="10" s="1"/>
  <c r="AX920" i="10"/>
  <c r="BD920" i="10" s="1"/>
  <c r="AO920" i="10"/>
  <c r="E154" i="8"/>
  <c r="B141" i="8"/>
  <c r="AX907" i="10"/>
  <c r="BD907" i="10" s="1"/>
  <c r="AO907" i="10"/>
  <c r="AQ518" i="10"/>
  <c r="AZ518" i="10" s="1"/>
  <c r="AP518" i="10"/>
  <c r="AY518" i="10" s="1"/>
  <c r="BS518" i="10"/>
  <c r="BI518" i="10"/>
  <c r="K458" i="19" s="1"/>
  <c r="AO759" i="10"/>
  <c r="AX759" i="10"/>
  <c r="BD759" i="10" s="1"/>
  <c r="AO870" i="10"/>
  <c r="AX870" i="10"/>
  <c r="BD870" i="10" s="1"/>
  <c r="AP577" i="10"/>
  <c r="AY577" i="10" s="1"/>
  <c r="AQ577" i="10"/>
  <c r="AZ577" i="10" s="1"/>
  <c r="BS577" i="10"/>
  <c r="AX866" i="10"/>
  <c r="BD866" i="10" s="1"/>
  <c r="AO866" i="10"/>
  <c r="BM31" i="9"/>
  <c r="BK31" i="9"/>
  <c r="BL31" i="9"/>
  <c r="BJ31" i="9"/>
  <c r="BM45" i="9"/>
  <c r="BL45" i="9"/>
  <c r="BK45" i="9"/>
  <c r="BJ45" i="9"/>
  <c r="BM22" i="9"/>
  <c r="BL22" i="9"/>
  <c r="BK22" i="9"/>
  <c r="BJ22" i="9"/>
  <c r="AO833" i="10"/>
  <c r="AX833" i="10"/>
  <c r="BD833" i="10" s="1"/>
  <c r="AQ528" i="10"/>
  <c r="AZ528" i="10" s="1"/>
  <c r="AP528" i="10"/>
  <c r="AY528" i="10" s="1"/>
  <c r="BS528" i="10"/>
  <c r="AO873" i="10"/>
  <c r="AX873" i="10"/>
  <c r="BD873" i="10" s="1"/>
  <c r="AX621" i="10"/>
  <c r="BD621" i="10" s="1"/>
  <c r="AO621" i="10"/>
  <c r="AQ862" i="10"/>
  <c r="AZ862" i="10" s="1"/>
  <c r="AP862" i="10"/>
  <c r="AY862" i="10" s="1"/>
  <c r="BS862" i="10"/>
  <c r="AQ534" i="10"/>
  <c r="AZ534" i="10" s="1"/>
  <c r="AP534" i="10"/>
  <c r="AY534" i="10" s="1"/>
  <c r="BS534" i="10"/>
  <c r="AX766" i="10"/>
  <c r="BD766" i="10" s="1"/>
  <c r="AO766" i="10"/>
  <c r="C144" i="8"/>
  <c r="H156" i="8"/>
  <c r="I152" i="8"/>
  <c r="AP537" i="10"/>
  <c r="AY537" i="10" s="1"/>
  <c r="AQ537" i="10"/>
  <c r="AZ537" i="10" s="1"/>
  <c r="BS537" i="10"/>
  <c r="BI537" i="10"/>
  <c r="K482" i="19" s="1"/>
  <c r="AO644" i="10"/>
  <c r="AX644" i="10"/>
  <c r="BD644" i="10" s="1"/>
  <c r="AX704" i="10"/>
  <c r="BD704" i="10" s="1"/>
  <c r="AO704" i="10"/>
  <c r="AX893" i="10"/>
  <c r="BD893" i="10" s="1"/>
  <c r="AO893" i="10"/>
  <c r="AQ578" i="10"/>
  <c r="AZ578" i="10" s="1"/>
  <c r="AP578" i="10"/>
  <c r="AY578" i="10" s="1"/>
  <c r="BS578" i="10"/>
  <c r="BI578" i="10"/>
  <c r="K518" i="19" s="1"/>
  <c r="L518" i="19" s="1"/>
  <c r="AQ811" i="10"/>
  <c r="AZ811" i="10" s="1"/>
  <c r="AP811" i="10"/>
  <c r="AY811" i="10" s="1"/>
  <c r="BS811" i="10"/>
  <c r="AQ826" i="10"/>
  <c r="AZ826" i="10" s="1"/>
  <c r="AP826" i="10"/>
  <c r="AY826" i="10" s="1"/>
  <c r="BS826" i="10"/>
  <c r="E157" i="8"/>
  <c r="K154" i="8"/>
  <c r="J144" i="8"/>
  <c r="I156" i="8"/>
  <c r="AP846" i="10"/>
  <c r="AY846" i="10" s="1"/>
  <c r="AQ846" i="10"/>
  <c r="AZ846" i="10" s="1"/>
  <c r="BS846" i="10"/>
  <c r="BI846" i="10"/>
  <c r="K775" i="19" s="1"/>
  <c r="L775" i="19" s="1"/>
  <c r="AO614" i="10"/>
  <c r="AX614" i="10"/>
  <c r="BD614" i="10" s="1"/>
  <c r="BM16" i="9"/>
  <c r="BL16" i="9"/>
  <c r="BK16" i="9"/>
  <c r="BJ16" i="9"/>
  <c r="BL54" i="9"/>
  <c r="BJ54" i="9"/>
  <c r="BM54" i="9"/>
  <c r="BK54" i="9"/>
  <c r="BL64" i="9"/>
  <c r="BK64" i="9"/>
  <c r="BM64" i="9"/>
  <c r="BJ64" i="9"/>
  <c r="AO702" i="10"/>
  <c r="AX702" i="10"/>
  <c r="BD702" i="10" s="1"/>
  <c r="AP535" i="10"/>
  <c r="AY535" i="10" s="1"/>
  <c r="AQ535" i="10"/>
  <c r="AZ535" i="10" s="1"/>
  <c r="BS535" i="10"/>
  <c r="AQ754" i="10"/>
  <c r="AZ754" i="10" s="1"/>
  <c r="AP754" i="10"/>
  <c r="AY754" i="10" s="1"/>
  <c r="BS754" i="10"/>
  <c r="BI754" i="10"/>
  <c r="K683" i="19" s="1"/>
  <c r="L683" i="19" s="1"/>
  <c r="AP555" i="10"/>
  <c r="AY555" i="10" s="1"/>
  <c r="AQ555" i="10"/>
  <c r="AZ555" i="10" s="1"/>
  <c r="BS555" i="10"/>
  <c r="BI555" i="10"/>
  <c r="K498" i="19" s="1"/>
  <c r="L498" i="19" s="1"/>
  <c r="AO647" i="10"/>
  <c r="AX647" i="10"/>
  <c r="BD647" i="10" s="1"/>
  <c r="L147" i="8"/>
  <c r="L141" i="8"/>
  <c r="M157" i="8"/>
  <c r="J151" i="8"/>
  <c r="V510" i="13"/>
  <c r="W510" i="13" s="1"/>
  <c r="X510" i="13" s="1"/>
  <c r="Y510" i="13" s="1"/>
  <c r="AQ584" i="10"/>
  <c r="AZ584" i="10" s="1"/>
  <c r="AP584" i="10"/>
  <c r="AY584" i="10" s="1"/>
  <c r="BI584" i="10"/>
  <c r="K524" i="19" s="1"/>
  <c r="L524" i="19" s="1"/>
  <c r="BS584" i="10"/>
  <c r="AO611" i="10"/>
  <c r="AX611" i="10"/>
  <c r="BD611" i="10" s="1"/>
  <c r="AX831" i="10"/>
  <c r="BD831" i="10" s="1"/>
  <c r="AO831" i="10"/>
  <c r="AX613" i="10"/>
  <c r="BD613" i="10" s="1"/>
  <c r="AO613" i="10"/>
  <c r="BK34" i="9"/>
  <c r="BM34" i="9"/>
  <c r="BL34" i="9"/>
  <c r="BJ34" i="9"/>
  <c r="BK53" i="9"/>
  <c r="BM53" i="9"/>
  <c r="BJ53" i="9"/>
  <c r="BL53" i="9"/>
  <c r="AQ854" i="10"/>
  <c r="AZ854" i="10" s="1"/>
  <c r="AP854" i="10"/>
  <c r="AY854" i="10" s="1"/>
  <c r="BS854" i="10"/>
  <c r="AX778" i="10"/>
  <c r="BD778" i="10" s="1"/>
  <c r="AO778" i="10"/>
  <c r="AP723" i="10"/>
  <c r="AQ723" i="10"/>
  <c r="AX687" i="10"/>
  <c r="BD687" i="10" s="1"/>
  <c r="AO687" i="10"/>
  <c r="AO550" i="10"/>
  <c r="AX550" i="10"/>
  <c r="BD550" i="10" s="1"/>
  <c r="BI535" i="10"/>
  <c r="K480" i="19" s="1"/>
  <c r="L480" i="19" s="1"/>
  <c r="AO756" i="10"/>
  <c r="AX756" i="10"/>
  <c r="BD756" i="10" s="1"/>
  <c r="AX603" i="10"/>
  <c r="BD603" i="10" s="1"/>
  <c r="AO603" i="10"/>
  <c r="AQ852" i="10"/>
  <c r="AZ852" i="10" s="1"/>
  <c r="AP852" i="10"/>
  <c r="AY852" i="10" s="1"/>
  <c r="BS852" i="10"/>
  <c r="BI852" i="10"/>
  <c r="K781" i="19" s="1"/>
  <c r="L781" i="19" s="1"/>
  <c r="H157" i="8"/>
  <c r="I148" i="8"/>
  <c r="H142" i="8"/>
  <c r="AQ553" i="10"/>
  <c r="AZ553" i="10" s="1"/>
  <c r="AP553" i="10"/>
  <c r="AY553" i="10" s="1"/>
  <c r="BS553" i="10"/>
  <c r="BI553" i="10"/>
  <c r="K496" i="19" s="1"/>
  <c r="L496" i="19" s="1"/>
  <c r="BK25" i="9"/>
  <c r="BL25" i="9"/>
  <c r="BM25" i="9"/>
  <c r="BJ25" i="9"/>
  <c r="AX709" i="10"/>
  <c r="BD709" i="10" s="1"/>
  <c r="AO709" i="10"/>
  <c r="AQ576" i="10"/>
  <c r="AZ576" i="10" s="1"/>
  <c r="AP576" i="10"/>
  <c r="AY576" i="10" s="1"/>
  <c r="BI576" i="10"/>
  <c r="K516" i="19" s="1"/>
  <c r="L516" i="19" s="1"/>
  <c r="BS576" i="10"/>
  <c r="AO625" i="10"/>
  <c r="AX625" i="10"/>
  <c r="BD625" i="10" s="1"/>
  <c r="AO905" i="10"/>
  <c r="AX905" i="10"/>
  <c r="BD905" i="10" s="1"/>
  <c r="AX795" i="10"/>
  <c r="BD795" i="10" s="1"/>
  <c r="AO795" i="10"/>
  <c r="M147" i="8"/>
  <c r="G152" i="8"/>
  <c r="L155" i="8"/>
  <c r="V509" i="13"/>
  <c r="W509" i="13" s="1"/>
  <c r="X509" i="13" s="1"/>
  <c r="Y509" i="13" s="1"/>
  <c r="AP861" i="10"/>
  <c r="AY861" i="10" s="1"/>
  <c r="AQ861" i="10"/>
  <c r="AZ861" i="10" s="1"/>
  <c r="BS861" i="10"/>
  <c r="AX688" i="10"/>
  <c r="BD688" i="10" s="1"/>
  <c r="AO688" i="10"/>
  <c r="BM75" i="9"/>
  <c r="BL75" i="9"/>
  <c r="BK75" i="9"/>
  <c r="BJ75" i="9"/>
  <c r="BJ18" i="9"/>
  <c r="BM18" i="9"/>
  <c r="BK18" i="9"/>
  <c r="BL18" i="9"/>
  <c r="AX727" i="10"/>
  <c r="BD727" i="10" s="1"/>
  <c r="AO727" i="10"/>
  <c r="AX622" i="10"/>
  <c r="BD622" i="10" s="1"/>
  <c r="AO622" i="10"/>
  <c r="AO707" i="10"/>
  <c r="AX707" i="10"/>
  <c r="BD707" i="10" s="1"/>
  <c r="B9" i="4"/>
  <c r="B351" i="8"/>
  <c r="AX549" i="10"/>
  <c r="BD549" i="10" s="1"/>
  <c r="AO549" i="10"/>
  <c r="B154" i="8"/>
  <c r="C494" i="10"/>
  <c r="C141" i="8"/>
  <c r="AQ554" i="10"/>
  <c r="AZ554" i="10" s="1"/>
  <c r="AP554" i="10"/>
  <c r="AY554" i="10" s="1"/>
  <c r="BS554" i="10"/>
  <c r="AP819" i="10"/>
  <c r="AY819" i="10" s="1"/>
  <c r="AQ819" i="10"/>
  <c r="AZ819" i="10" s="1"/>
  <c r="BS819" i="10"/>
  <c r="AP752" i="10"/>
  <c r="AY752" i="10" s="1"/>
  <c r="AQ752" i="10"/>
  <c r="AZ752" i="10" s="1"/>
  <c r="BS752" i="10"/>
  <c r="BI752" i="10"/>
  <c r="K680" i="19" s="1"/>
  <c r="BL37" i="9"/>
  <c r="BJ37" i="9"/>
  <c r="BK37" i="9"/>
  <c r="BM37" i="9"/>
  <c r="AX645" i="10"/>
  <c r="BD645" i="10" s="1"/>
  <c r="AO645" i="10"/>
  <c r="AO786" i="10"/>
  <c r="AX786" i="10"/>
  <c r="BD786" i="10" s="1"/>
  <c r="AQ721" i="10"/>
  <c r="AZ721" i="10" s="1"/>
  <c r="AP721" i="10"/>
  <c r="AY721" i="10" s="1"/>
  <c r="BS721" i="10"/>
  <c r="BI721" i="10"/>
  <c r="K852" i="19" s="1"/>
  <c r="L852" i="19" s="1"/>
  <c r="AX599" i="10"/>
  <c r="BD599" i="10" s="1"/>
  <c r="AO599" i="10"/>
  <c r="AO775" i="10"/>
  <c r="AX775" i="10"/>
  <c r="BD775" i="10" s="1"/>
  <c r="M151" i="8"/>
  <c r="G142" i="8"/>
  <c r="D143" i="8"/>
  <c r="V512" i="13"/>
  <c r="W512" i="13" s="1"/>
  <c r="X512" i="13" s="1"/>
  <c r="Y512" i="13" s="1"/>
  <c r="AX805" i="10"/>
  <c r="BD805" i="10" s="1"/>
  <c r="AO805" i="10"/>
  <c r="AQ847" i="10"/>
  <c r="AZ847" i="10" s="1"/>
  <c r="AP847" i="10"/>
  <c r="AY847" i="10" s="1"/>
  <c r="BS847" i="10"/>
  <c r="AQ853" i="10"/>
  <c r="AZ853" i="10" s="1"/>
  <c r="AP853" i="10"/>
  <c r="AY853" i="10" s="1"/>
  <c r="BS853" i="10"/>
  <c r="AX828" i="10"/>
  <c r="BD828" i="10" s="1"/>
  <c r="AO828" i="10"/>
  <c r="AQ540" i="10"/>
  <c r="AZ540" i="10" s="1"/>
  <c r="AP540" i="10"/>
  <c r="AY540" i="10" s="1"/>
  <c r="BS540" i="10"/>
  <c r="C154" i="8"/>
  <c r="M142" i="8"/>
  <c r="D151" i="8"/>
  <c r="AO830" i="10"/>
  <c r="AX830" i="10"/>
  <c r="BD830" i="10" s="1"/>
  <c r="BK20" i="9"/>
  <c r="BJ20" i="9"/>
  <c r="BM20" i="9"/>
  <c r="BL20" i="9"/>
  <c r="AX903" i="10"/>
  <c r="BD903" i="10" s="1"/>
  <c r="AO903" i="10"/>
  <c r="AO605" i="10"/>
  <c r="AX605" i="10"/>
  <c r="BD605" i="10" s="1"/>
  <c r="AX876" i="10"/>
  <c r="BD876" i="10" s="1"/>
  <c r="AO876" i="10"/>
  <c r="AQ504" i="10"/>
  <c r="AZ504" i="10" s="1"/>
  <c r="AP504" i="10"/>
  <c r="AY504" i="10" s="1"/>
  <c r="BS504" i="10"/>
  <c r="BI521" i="10"/>
  <c r="K466" i="19" s="1"/>
  <c r="L466" i="19" s="1"/>
  <c r="AX749" i="10"/>
  <c r="BD749" i="10" s="1"/>
  <c r="AO749" i="10"/>
  <c r="AX922" i="10"/>
  <c r="BD922" i="10" s="1"/>
  <c r="AO922" i="10"/>
  <c r="H143" i="8"/>
  <c r="B179" i="1"/>
  <c r="D146" i="8"/>
  <c r="B8" i="15"/>
  <c r="AP715" i="10"/>
  <c r="AY715" i="10" s="1"/>
  <c r="AQ715" i="10"/>
  <c r="AZ715" i="10" s="1"/>
  <c r="BS715" i="10"/>
  <c r="BI715" i="10"/>
  <c r="K647" i="19" s="1"/>
  <c r="L647" i="19" s="1"/>
  <c r="AQ681" i="10"/>
  <c r="AP681" i="10"/>
  <c r="AO618" i="10"/>
  <c r="AX618" i="10"/>
  <c r="BD618" i="10" s="1"/>
  <c r="AO869" i="10"/>
  <c r="AX869" i="10"/>
  <c r="BD869" i="10" s="1"/>
  <c r="BI826" i="10"/>
  <c r="K753" i="19" s="1"/>
  <c r="L753" i="19" s="1"/>
  <c r="AO764" i="10"/>
  <c r="AX764" i="10"/>
  <c r="BD764" i="10" s="1"/>
  <c r="AX774" i="10"/>
  <c r="BD774" i="10" s="1"/>
  <c r="AO774" i="10"/>
  <c r="AO732" i="10"/>
  <c r="AX732" i="10"/>
  <c r="BD732" i="10" s="1"/>
  <c r="AQ522" i="10"/>
  <c r="AZ522" i="10" s="1"/>
  <c r="AP522" i="10"/>
  <c r="AY522" i="10" s="1"/>
  <c r="BS522" i="10"/>
  <c r="BI522" i="10"/>
  <c r="K467" i="19" s="1"/>
  <c r="L467" i="19" s="1"/>
  <c r="AP848" i="10"/>
  <c r="AY848" i="10" s="1"/>
  <c r="AQ848" i="10"/>
  <c r="AZ848" i="10" s="1"/>
  <c r="BS848" i="10"/>
  <c r="BI848" i="10"/>
  <c r="K777" i="19" s="1"/>
  <c r="L777" i="19" s="1"/>
  <c r="AX899" i="10"/>
  <c r="BD899" i="10" s="1"/>
  <c r="AO899" i="10"/>
  <c r="AO791" i="10"/>
  <c r="AX791" i="10"/>
  <c r="BD791" i="10" s="1"/>
  <c r="C148" i="8"/>
  <c r="E149" i="8"/>
  <c r="L154" i="8"/>
  <c r="V505" i="13"/>
  <c r="W505" i="13" s="1"/>
  <c r="X505" i="13" s="1"/>
  <c r="Y505" i="13" s="1"/>
  <c r="AX586" i="10"/>
  <c r="BD586" i="10" s="1"/>
  <c r="AO586" i="10"/>
  <c r="AQ696" i="10"/>
  <c r="AZ696" i="10" s="1"/>
  <c r="AP696" i="10"/>
  <c r="AY696" i="10" s="1"/>
  <c r="BS696" i="10"/>
  <c r="BI696" i="10"/>
  <c r="K628" i="19" s="1"/>
  <c r="L628" i="19" s="1"/>
  <c r="BL48" i="9"/>
  <c r="BM48" i="9"/>
  <c r="BJ48" i="9"/>
  <c r="BK48" i="9"/>
  <c r="BL43" i="9"/>
  <c r="BM43" i="9"/>
  <c r="BK43" i="9"/>
  <c r="BJ43" i="9"/>
  <c r="AP525" i="10"/>
  <c r="AY525" i="10" s="1"/>
  <c r="AQ525" i="10"/>
  <c r="AZ525" i="10" s="1"/>
  <c r="BS525" i="10"/>
  <c r="BI525" i="10"/>
  <c r="K470" i="19" s="1"/>
  <c r="AX781" i="10"/>
  <c r="BD781" i="10" s="1"/>
  <c r="AO781" i="10"/>
  <c r="AP536" i="10"/>
  <c r="AY536" i="10" s="1"/>
  <c r="AQ536" i="10"/>
  <c r="AZ536" i="10" s="1"/>
  <c r="BS536" i="10"/>
  <c r="F154" i="8"/>
  <c r="M152" i="8"/>
  <c r="V508" i="13"/>
  <c r="W508" i="13" s="1"/>
  <c r="X508" i="13" s="1"/>
  <c r="Y508" i="13" s="1"/>
  <c r="BK69" i="9"/>
  <c r="BJ69" i="9"/>
  <c r="BM69" i="9"/>
  <c r="BL69" i="9"/>
  <c r="BK8" i="9"/>
  <c r="BM8" i="9"/>
  <c r="BL8" i="9"/>
  <c r="BJ8" i="9"/>
  <c r="AQ508" i="10"/>
  <c r="AZ508" i="10" s="1"/>
  <c r="AP508" i="10"/>
  <c r="AY508" i="10" s="1"/>
  <c r="BS508" i="10"/>
  <c r="BI508" i="10"/>
  <c r="K452" i="19" s="1"/>
  <c r="X103" i="12"/>
  <c r="T68" i="9"/>
  <c r="AA68" i="9" s="1"/>
  <c r="T70" i="9"/>
  <c r="AA70" i="9" s="1"/>
  <c r="T69" i="9"/>
  <c r="T72" i="9"/>
  <c r="AA72" i="9" s="1"/>
  <c r="T67" i="9"/>
  <c r="AA67" i="9" s="1"/>
  <c r="T71" i="9"/>
  <c r="AQ579" i="10"/>
  <c r="AZ579" i="10" s="1"/>
  <c r="AP579" i="10"/>
  <c r="AY579" i="10" s="1"/>
  <c r="BI579" i="10"/>
  <c r="K519" i="19" s="1"/>
  <c r="AP515" i="10"/>
  <c r="AY515" i="10" s="1"/>
  <c r="AQ515" i="10"/>
  <c r="AZ515" i="10" s="1"/>
  <c r="BS515" i="10"/>
  <c r="BI515" i="10"/>
  <c r="K460" i="19" s="1"/>
  <c r="L460" i="19" s="1"/>
  <c r="I151" i="8"/>
  <c r="I145" i="8"/>
  <c r="L153" i="8"/>
  <c r="AX726" i="10"/>
  <c r="BD726" i="10" s="1"/>
  <c r="AO726" i="10"/>
  <c r="AQ818" i="10"/>
  <c r="AZ818" i="10" s="1"/>
  <c r="AP818" i="10"/>
  <c r="AY818" i="10" s="1"/>
  <c r="BS818" i="10"/>
  <c r="BI692" i="10"/>
  <c r="K624" i="19" s="1"/>
  <c r="L624" i="19" s="1"/>
  <c r="AQ654" i="10"/>
  <c r="AZ654" i="10" s="1"/>
  <c r="AP654" i="10"/>
  <c r="AY654" i="10" s="1"/>
  <c r="BS654" i="10"/>
  <c r="AI500" i="10"/>
  <c r="AQ720" i="10"/>
  <c r="AZ720" i="10" s="1"/>
  <c r="AP720" i="10"/>
  <c r="AY720" i="10" s="1"/>
  <c r="BS720" i="10"/>
  <c r="BI720" i="10"/>
  <c r="K851" i="19" s="1"/>
  <c r="L851" i="19" s="1"/>
  <c r="AO548" i="10"/>
  <c r="AX548" i="10"/>
  <c r="BD548" i="10" s="1"/>
  <c r="AQ519" i="10"/>
  <c r="AZ519" i="10" s="1"/>
  <c r="AP519" i="10"/>
  <c r="AY519" i="10" s="1"/>
  <c r="BS519" i="10"/>
  <c r="BI519" i="10"/>
  <c r="K464" i="19" s="1"/>
  <c r="L464" i="19" s="1"/>
  <c r="G149" i="8"/>
  <c r="B152" i="8"/>
  <c r="L144" i="8"/>
  <c r="V517" i="13"/>
  <c r="W517" i="13" s="1"/>
  <c r="X517" i="13" s="1"/>
  <c r="Y517" i="13" s="1"/>
  <c r="AO637" i="10"/>
  <c r="AX637" i="10"/>
  <c r="BD637" i="10" s="1"/>
  <c r="BK15" i="9"/>
  <c r="BL15" i="9"/>
  <c r="BJ15" i="9"/>
  <c r="BM15" i="9"/>
  <c r="AO710" i="10"/>
  <c r="AX710" i="10"/>
  <c r="BD710" i="10" s="1"/>
  <c r="AO895" i="10"/>
  <c r="AX895" i="10"/>
  <c r="BD895" i="10" s="1"/>
  <c r="AX760" i="10"/>
  <c r="BD760" i="10" s="1"/>
  <c r="AO760" i="10"/>
  <c r="AQ572" i="10"/>
  <c r="AZ572" i="10" s="1"/>
  <c r="AP572" i="10"/>
  <c r="AY572" i="10" s="1"/>
  <c r="BS572" i="10"/>
  <c r="BI572" i="10"/>
  <c r="K512" i="19" s="1"/>
  <c r="L512" i="19" s="1"/>
  <c r="BI755" i="10"/>
  <c r="K684" i="19" s="1"/>
  <c r="L684" i="19" s="1"/>
  <c r="AQ665" i="10"/>
  <c r="AZ665" i="10" s="1"/>
  <c r="AP665" i="10"/>
  <c r="AY665" i="10" s="1"/>
  <c r="BS665" i="10"/>
  <c r="BI665" i="10"/>
  <c r="K600" i="19" s="1"/>
  <c r="L600" i="19" s="1"/>
  <c r="L151" i="8"/>
  <c r="J150" i="8"/>
  <c r="K141" i="8"/>
  <c r="AQ739" i="10"/>
  <c r="AZ739" i="10" s="1"/>
  <c r="AP739" i="10"/>
  <c r="AY739" i="10" s="1"/>
  <c r="BS739" i="10"/>
  <c r="AQ844" i="10"/>
  <c r="AZ844" i="10" s="1"/>
  <c r="AP844" i="10"/>
  <c r="AY844" i="10" s="1"/>
  <c r="BS844" i="10"/>
  <c r="BI844" i="10"/>
  <c r="K773" i="19" s="1"/>
  <c r="L773" i="19" s="1"/>
  <c r="AO728" i="10"/>
  <c r="AX728" i="10"/>
  <c r="BD728" i="10" s="1"/>
  <c r="AQ716" i="10"/>
  <c r="AZ716" i="10" s="1"/>
  <c r="AP716" i="10"/>
  <c r="AY716" i="10" s="1"/>
  <c r="BS716" i="10"/>
  <c r="BL35" i="9"/>
  <c r="BM35" i="9"/>
  <c r="BJ35" i="9"/>
  <c r="BK35" i="9"/>
  <c r="AX878" i="10"/>
  <c r="BD878" i="10" s="1"/>
  <c r="AO878" i="10"/>
  <c r="AJ504" i="10"/>
  <c r="BI740" i="10"/>
  <c r="K668" i="19" s="1"/>
  <c r="L668" i="19" s="1"/>
  <c r="BI662" i="10"/>
  <c r="K597" i="19" s="1"/>
  <c r="L597" i="19" s="1"/>
  <c r="AX794" i="10"/>
  <c r="BD794" i="10" s="1"/>
  <c r="AO794" i="10"/>
  <c r="AQ743" i="10"/>
  <c r="AZ743" i="10" s="1"/>
  <c r="AP743" i="10"/>
  <c r="AY743" i="10" s="1"/>
  <c r="BI743" i="10"/>
  <c r="K671" i="19" s="1"/>
  <c r="L671" i="19" s="1"/>
  <c r="BS743" i="10"/>
  <c r="AQ591" i="10"/>
  <c r="AZ591" i="10" s="1"/>
  <c r="AP591" i="10"/>
  <c r="AY591" i="10" s="1"/>
  <c r="BS591" i="10"/>
  <c r="AQ691" i="10"/>
  <c r="AZ691" i="10" s="1"/>
  <c r="AP691" i="10"/>
  <c r="AY691" i="10" s="1"/>
  <c r="BS691" i="10"/>
  <c r="AO788" i="10"/>
  <c r="AX788" i="10"/>
  <c r="BD788" i="10" s="1"/>
  <c r="AP885" i="10"/>
  <c r="AY885" i="10" s="1"/>
  <c r="AQ885" i="10"/>
  <c r="AZ885" i="10" s="1"/>
  <c r="BI885" i="10"/>
  <c r="K814" i="19" s="1"/>
  <c r="L814" i="19" s="1"/>
  <c r="BS885" i="10"/>
  <c r="H141" i="8"/>
  <c r="L157" i="8"/>
  <c r="AQ810" i="10"/>
  <c r="AZ810" i="10" s="1"/>
  <c r="AP810" i="10"/>
  <c r="AY810" i="10" s="1"/>
  <c r="BS810" i="10"/>
  <c r="BI810" i="10"/>
  <c r="K737" i="19" s="1"/>
  <c r="L737" i="19" s="1"/>
  <c r="AQ742" i="10"/>
  <c r="AZ742" i="10" s="1"/>
  <c r="AP742" i="10"/>
  <c r="AY742" i="10" s="1"/>
  <c r="BS742" i="10"/>
  <c r="BI742" i="10"/>
  <c r="K670" i="19" s="1"/>
  <c r="BI567" i="10"/>
  <c r="K507" i="19" s="1"/>
  <c r="AQ507" i="10"/>
  <c r="AZ507" i="10" s="1"/>
  <c r="AP507" i="10"/>
  <c r="AY507" i="10" s="1"/>
  <c r="BS507" i="10"/>
  <c r="AL511" i="10"/>
  <c r="G256" i="11"/>
  <c r="I256" i="11" s="1"/>
  <c r="J256" i="11" s="1"/>
  <c r="AO797" i="10"/>
  <c r="AX797" i="10"/>
  <c r="BD797" i="10" s="1"/>
  <c r="AX648" i="10"/>
  <c r="BD648" i="10" s="1"/>
  <c r="AO648" i="10"/>
  <c r="AQ552" i="10"/>
  <c r="AZ552" i="10" s="1"/>
  <c r="AP552" i="10"/>
  <c r="AY552" i="10" s="1"/>
  <c r="BS552" i="10"/>
  <c r="AX822" i="10"/>
  <c r="BD822" i="10" s="1"/>
  <c r="AO822" i="10"/>
  <c r="AP695" i="10"/>
  <c r="AY695" i="10" s="1"/>
  <c r="AQ695" i="10"/>
  <c r="AZ695" i="10" s="1"/>
  <c r="BS695" i="10"/>
  <c r="AQ658" i="10"/>
  <c r="AZ658" i="10" s="1"/>
  <c r="AP658" i="10"/>
  <c r="AY658" i="10" s="1"/>
  <c r="BI658" i="10"/>
  <c r="K593" i="19" s="1"/>
  <c r="BS658" i="10"/>
  <c r="B157" i="8"/>
  <c r="E494" i="10"/>
  <c r="F157" i="8"/>
  <c r="M150" i="8"/>
  <c r="AX706" i="10"/>
  <c r="BD706" i="10" s="1"/>
  <c r="AO706" i="10"/>
  <c r="AX777" i="10"/>
  <c r="BD777" i="10" s="1"/>
  <c r="AO777" i="10"/>
  <c r="BJ7" i="9"/>
  <c r="BM7" i="9"/>
  <c r="BL7" i="9"/>
  <c r="BK7" i="9"/>
  <c r="BM29" i="9"/>
  <c r="BK29" i="9"/>
  <c r="BJ29" i="9"/>
  <c r="BL29" i="9"/>
  <c r="BM70" i="9"/>
  <c r="BJ70" i="9"/>
  <c r="BL70" i="9"/>
  <c r="BK70" i="9"/>
  <c r="AQ694" i="10"/>
  <c r="AZ694" i="10" s="1"/>
  <c r="AP694" i="10"/>
  <c r="AY694" i="10" s="1"/>
  <c r="BI694" i="10"/>
  <c r="K626" i="19" s="1"/>
  <c r="L626" i="19" s="1"/>
  <c r="BS694" i="10"/>
  <c r="AX807" i="10"/>
  <c r="BD807" i="10" s="1"/>
  <c r="AO807" i="10"/>
  <c r="AO734" i="10"/>
  <c r="AX734" i="10"/>
  <c r="BD734" i="10" s="1"/>
  <c r="AO792" i="10"/>
  <c r="AX792" i="10"/>
  <c r="BD792" i="10" s="1"/>
  <c r="AJ509" i="10"/>
  <c r="AI509" i="10"/>
  <c r="AK509" i="10"/>
  <c r="AM509" i="10"/>
  <c r="AL509" i="10"/>
  <c r="AO902" i="10"/>
  <c r="AX902" i="10"/>
  <c r="BD902" i="10" s="1"/>
  <c r="AM513" i="10"/>
  <c r="AL513" i="10"/>
  <c r="AK513" i="10"/>
  <c r="AI513" i="10"/>
  <c r="AJ513" i="10"/>
  <c r="AQ659" i="10"/>
  <c r="AZ659" i="10" s="1"/>
  <c r="AP659" i="10"/>
  <c r="AY659" i="10" s="1"/>
  <c r="BS659" i="10"/>
  <c r="BI659" i="10"/>
  <c r="K594" i="19" s="1"/>
  <c r="L594" i="19" s="1"/>
  <c r="B180" i="1"/>
  <c r="H145" i="8"/>
  <c r="I141" i="8"/>
  <c r="M141" i="8"/>
  <c r="M144" i="8"/>
  <c r="K152" i="8"/>
  <c r="L156" i="8"/>
  <c r="AP841" i="10"/>
  <c r="AY841" i="10" s="1"/>
  <c r="AQ841" i="10"/>
  <c r="AZ841" i="10" s="1"/>
  <c r="BS841" i="10"/>
  <c r="AQ580" i="10"/>
  <c r="AZ580" i="10" s="1"/>
  <c r="AP580" i="10"/>
  <c r="AY580" i="10" s="1"/>
  <c r="BS580" i="10"/>
  <c r="AX729" i="10"/>
  <c r="BD729" i="10" s="1"/>
  <c r="AO729" i="10"/>
  <c r="B5" i="18"/>
  <c r="B56" i="5"/>
  <c r="AO787" i="10"/>
  <c r="AX787" i="10"/>
  <c r="BD787" i="10" s="1"/>
  <c r="AO649" i="10"/>
  <c r="AX649" i="10"/>
  <c r="BD649" i="10" s="1"/>
  <c r="BI884" i="10"/>
  <c r="K813" i="19" s="1"/>
  <c r="L813" i="19" s="1"/>
  <c r="AO904" i="10"/>
  <c r="AX904" i="10"/>
  <c r="BD904" i="10" s="1"/>
  <c r="AP880" i="10"/>
  <c r="AY880" i="10" s="1"/>
  <c r="AQ880" i="10"/>
  <c r="AZ880" i="10" s="1"/>
  <c r="BS880" i="10"/>
  <c r="AO588" i="10"/>
  <c r="AX588" i="10"/>
  <c r="BD588" i="10" s="1"/>
  <c r="E148" i="8"/>
  <c r="I153" i="8"/>
  <c r="D141" i="8"/>
  <c r="K146" i="8"/>
  <c r="B146" i="8"/>
  <c r="C147" i="8"/>
  <c r="K147" i="8"/>
  <c r="C143" i="8"/>
  <c r="I154" i="8"/>
  <c r="V513" i="13"/>
  <c r="W513" i="13" s="1"/>
  <c r="X513" i="13" s="1"/>
  <c r="Y513" i="13" s="1"/>
  <c r="BI654" i="10"/>
  <c r="K589" i="19" s="1"/>
  <c r="L589" i="19" s="1"/>
  <c r="AX565" i="10"/>
  <c r="BD565" i="10" s="1"/>
  <c r="AO565" i="10"/>
  <c r="AX871" i="10"/>
  <c r="BD871" i="10" s="1"/>
  <c r="AO871" i="10"/>
  <c r="AO864" i="10"/>
  <c r="AX864" i="10"/>
  <c r="BD864" i="10" s="1"/>
  <c r="AX642" i="10"/>
  <c r="BD642" i="10" s="1"/>
  <c r="AO642" i="10"/>
  <c r="AO686" i="10"/>
  <c r="AX686" i="10"/>
  <c r="BD686" i="10" s="1"/>
  <c r="BK50" i="9"/>
  <c r="BL50" i="9"/>
  <c r="BJ50" i="9"/>
  <c r="BM50" i="9"/>
  <c r="BK49" i="9"/>
  <c r="BM49" i="9"/>
  <c r="BL49" i="9"/>
  <c r="BJ49" i="9"/>
  <c r="BJ63" i="9"/>
  <c r="BL63" i="9"/>
  <c r="BK63" i="9"/>
  <c r="BM63" i="9"/>
  <c r="AQ502" i="10"/>
  <c r="AZ502" i="10" s="1"/>
  <c r="AP502" i="10"/>
  <c r="AY502" i="10" s="1"/>
  <c r="BS502" i="10"/>
  <c r="AX799" i="10"/>
  <c r="BD799" i="10" s="1"/>
  <c r="AO799" i="10"/>
  <c r="AO789" i="10"/>
  <c r="AX789" i="10"/>
  <c r="BD789" i="10" s="1"/>
  <c r="AX772" i="10"/>
  <c r="BD772" i="10" s="1"/>
  <c r="AO772" i="10"/>
  <c r="AO543" i="10"/>
  <c r="AX543" i="10"/>
  <c r="BD543" i="10" s="1"/>
  <c r="AX629" i="10"/>
  <c r="BD629" i="10" s="1"/>
  <c r="AO629" i="10"/>
  <c r="T45" i="9"/>
  <c r="T58" i="9"/>
  <c r="T51" i="9"/>
  <c r="AA51" i="9" s="1"/>
  <c r="T49" i="9"/>
  <c r="T47" i="9"/>
  <c r="T48" i="9"/>
  <c r="AA48" i="9" s="1"/>
  <c r="T46" i="9"/>
  <c r="AA46" i="9" s="1"/>
  <c r="X111" i="12"/>
  <c r="AQ881" i="10"/>
  <c r="AZ881" i="10" s="1"/>
  <c r="AP881" i="10"/>
  <c r="AY881" i="10" s="1"/>
  <c r="BS881" i="10"/>
  <c r="X106" i="12"/>
  <c r="T32" i="9"/>
  <c r="T73" i="9"/>
  <c r="AA73" i="9" s="1"/>
  <c r="T35" i="9"/>
  <c r="AA35" i="9" s="1"/>
  <c r="T34" i="9"/>
  <c r="T33" i="9"/>
  <c r="AA33" i="9" s="1"/>
  <c r="T74" i="9"/>
  <c r="AP827" i="10"/>
  <c r="AY827" i="10" s="1"/>
  <c r="AQ827" i="10"/>
  <c r="AZ827" i="10" s="1"/>
  <c r="BS827" i="10"/>
  <c r="BI827" i="10"/>
  <c r="K755" i="19" s="1"/>
  <c r="L755" i="19" s="1"/>
  <c r="AQ529" i="10"/>
  <c r="AZ529" i="10" s="1"/>
  <c r="AP529" i="10"/>
  <c r="AY529" i="10" s="1"/>
  <c r="BS529" i="10"/>
  <c r="AX606" i="10"/>
  <c r="BD606" i="10" s="1"/>
  <c r="AO606" i="10"/>
  <c r="AX617" i="10"/>
  <c r="BD617" i="10" s="1"/>
  <c r="AO617" i="10"/>
  <c r="AP690" i="10"/>
  <c r="AY690" i="10" s="1"/>
  <c r="AQ690" i="10"/>
  <c r="AZ690" i="10" s="1"/>
  <c r="BS690" i="10"/>
  <c r="BI690" i="10"/>
  <c r="K622" i="19" s="1"/>
  <c r="L622" i="19" s="1"/>
  <c r="J153" i="8"/>
  <c r="C142" i="8"/>
  <c r="V507" i="13"/>
  <c r="W507" i="13" s="1"/>
  <c r="X507" i="13" s="1"/>
  <c r="Y507" i="13" s="1"/>
  <c r="AQ673" i="10"/>
  <c r="AZ673" i="10" s="1"/>
  <c r="AP673" i="10"/>
  <c r="AY673" i="10" s="1"/>
  <c r="BS673" i="10"/>
  <c r="BI673" i="10"/>
  <c r="K605" i="19" s="1"/>
  <c r="L605" i="19" s="1"/>
  <c r="AI507" i="10"/>
  <c r="BK24" i="9"/>
  <c r="BJ24" i="9"/>
  <c r="BM24" i="9"/>
  <c r="BL24" i="9"/>
  <c r="AX901" i="10"/>
  <c r="BD901" i="10" s="1"/>
  <c r="AO901" i="10"/>
  <c r="AP655" i="10"/>
  <c r="AY655" i="10" s="1"/>
  <c r="AQ655" i="10"/>
  <c r="AZ655" i="10" s="1"/>
  <c r="BS655" i="10"/>
  <c r="BI655" i="10"/>
  <c r="K590" i="19" s="1"/>
  <c r="L590" i="19" s="1"/>
  <c r="AP675" i="10"/>
  <c r="AY675" i="10" s="1"/>
  <c r="AQ675" i="10"/>
  <c r="AZ675" i="10" s="1"/>
  <c r="BS675" i="10"/>
  <c r="AP842" i="10"/>
  <c r="AY842" i="10" s="1"/>
  <c r="AQ842" i="10"/>
  <c r="AZ842" i="10" s="1"/>
  <c r="BS842" i="10"/>
  <c r="BI842" i="10"/>
  <c r="K771" i="19" s="1"/>
  <c r="M153" i="8"/>
  <c r="C146" i="8"/>
  <c r="K153" i="8"/>
  <c r="V506" i="13"/>
  <c r="W506" i="13" s="1"/>
  <c r="X506" i="13" s="1"/>
  <c r="Y506" i="13" s="1"/>
  <c r="AQ677" i="10"/>
  <c r="AZ677" i="10" s="1"/>
  <c r="AP677" i="10"/>
  <c r="AY677" i="10" s="1"/>
  <c r="BS677" i="10"/>
  <c r="X112" i="12"/>
  <c r="T76" i="9"/>
  <c r="AA76" i="9" s="1"/>
  <c r="T20" i="9"/>
  <c r="T23" i="9"/>
  <c r="T25" i="9"/>
  <c r="AA25" i="9" s="1"/>
  <c r="T26" i="9"/>
  <c r="AA26" i="9" s="1"/>
  <c r="T24" i="9"/>
  <c r="BJ58" i="9"/>
  <c r="BM58" i="9"/>
  <c r="BK58" i="9"/>
  <c r="BL58" i="9"/>
  <c r="AX890" i="10"/>
  <c r="BD890" i="10" s="1"/>
  <c r="AO890" i="10"/>
  <c r="AX597" i="10"/>
  <c r="BD597" i="10" s="1"/>
  <c r="AO597" i="10"/>
  <c r="K444" i="19"/>
  <c r="BI849" i="10"/>
  <c r="K778" i="19" s="1"/>
  <c r="L778" i="19" s="1"/>
  <c r="AX836" i="10"/>
  <c r="BD836" i="10" s="1"/>
  <c r="AO836" i="10"/>
  <c r="AX837" i="10"/>
  <c r="BD837" i="10" s="1"/>
  <c r="AO837" i="10"/>
  <c r="H154" i="8"/>
  <c r="I144" i="8"/>
  <c r="BL32" i="9"/>
  <c r="BM32" i="9"/>
  <c r="BK32" i="9"/>
  <c r="BJ32" i="9"/>
  <c r="AQ541" i="10"/>
  <c r="AZ541" i="10" s="1"/>
  <c r="AP541" i="10"/>
  <c r="AY541" i="10" s="1"/>
  <c r="BS541" i="10"/>
  <c r="BI541" i="10"/>
  <c r="K487" i="19" s="1"/>
  <c r="L487" i="19" s="1"/>
  <c r="H148" i="8"/>
  <c r="L152" i="8"/>
  <c r="H147" i="8"/>
  <c r="BI746" i="10"/>
  <c r="K674" i="19" s="1"/>
  <c r="L674" i="19" s="1"/>
  <c r="BK5" i="9"/>
  <c r="BJ5" i="9"/>
  <c r="BM5" i="9"/>
  <c r="BL5" i="9"/>
  <c r="BM73" i="9"/>
  <c r="BL73" i="9"/>
  <c r="BK73" i="9"/>
  <c r="BJ73" i="9"/>
  <c r="AX758" i="10"/>
  <c r="BD758" i="10" s="1"/>
  <c r="AO758" i="10"/>
  <c r="AQ575" i="10"/>
  <c r="AZ575" i="10" s="1"/>
  <c r="AP575" i="10"/>
  <c r="AY575" i="10" s="1"/>
  <c r="BS575" i="10"/>
  <c r="AX803" i="10"/>
  <c r="BD803" i="10" s="1"/>
  <c r="AO803" i="10"/>
  <c r="AO636" i="10"/>
  <c r="AX636" i="10"/>
  <c r="BD636" i="10" s="1"/>
  <c r="AP501" i="10"/>
  <c r="AY501" i="10" s="1"/>
  <c r="AQ501" i="10"/>
  <c r="AZ501" i="10" s="1"/>
  <c r="BS501" i="10"/>
  <c r="BI501" i="10"/>
  <c r="K445" i="19" s="1"/>
  <c r="L445" i="19" s="1"/>
  <c r="AO634" i="10"/>
  <c r="AX634" i="10"/>
  <c r="BD634" i="10" s="1"/>
  <c r="AP813" i="10"/>
  <c r="AY813" i="10" s="1"/>
  <c r="AQ813" i="10"/>
  <c r="AZ813" i="10" s="1"/>
  <c r="BS813" i="10"/>
  <c r="B148" i="8"/>
  <c r="D156" i="8"/>
  <c r="F149" i="8"/>
  <c r="G259" i="11"/>
  <c r="I259" i="11" s="1"/>
  <c r="J259" i="11" s="1"/>
  <c r="AO544" i="10"/>
  <c r="AX544" i="10"/>
  <c r="BD544" i="10" s="1"/>
  <c r="BM19" i="9"/>
  <c r="BK19" i="9"/>
  <c r="BJ19" i="9"/>
  <c r="BL19" i="9"/>
  <c r="BK52" i="9"/>
  <c r="BM52" i="9"/>
  <c r="BJ52" i="9"/>
  <c r="BL52" i="9"/>
  <c r="AX651" i="10"/>
  <c r="BD651" i="10" s="1"/>
  <c r="AO651" i="10"/>
  <c r="BI851" i="10"/>
  <c r="K780" i="19" s="1"/>
  <c r="L780" i="19" s="1"/>
  <c r="BI540" i="10"/>
  <c r="K485" i="19" s="1"/>
  <c r="L485" i="19" s="1"/>
  <c r="BI854" i="10"/>
  <c r="K783" i="19" s="1"/>
  <c r="L783" i="19" s="1"/>
  <c r="AX705" i="10"/>
  <c r="BD705" i="10" s="1"/>
  <c r="AO705" i="10"/>
  <c r="X101" i="12"/>
  <c r="T19" i="9"/>
  <c r="T6" i="9"/>
  <c r="T50" i="9"/>
  <c r="T7" i="9"/>
  <c r="T5" i="9"/>
  <c r="AA5" i="9" s="1"/>
  <c r="T22" i="9"/>
  <c r="AA22" i="9" s="1"/>
  <c r="F143" i="8"/>
  <c r="K145" i="8"/>
  <c r="F152" i="8"/>
  <c r="V515" i="13"/>
  <c r="W515" i="13" s="1"/>
  <c r="X515" i="13" s="1"/>
  <c r="Y515" i="13" s="1"/>
  <c r="BJ57" i="9"/>
  <c r="BM57" i="9"/>
  <c r="BK57" i="9"/>
  <c r="BL57" i="9"/>
  <c r="AO919" i="10"/>
  <c r="AX919" i="10"/>
  <c r="BD919" i="10" s="1"/>
  <c r="BI847" i="10"/>
  <c r="K776" i="19" s="1"/>
  <c r="BI529" i="10"/>
  <c r="K474" i="19" s="1"/>
  <c r="L474" i="19" s="1"/>
  <c r="G141" i="8"/>
  <c r="E142" i="8"/>
  <c r="B153" i="8"/>
  <c r="AO703" i="10"/>
  <c r="AX703" i="10"/>
  <c r="BD703" i="10" s="1"/>
  <c r="AQ582" i="10"/>
  <c r="AZ582" i="10" s="1"/>
  <c r="AP582" i="10"/>
  <c r="AY582" i="10" s="1"/>
  <c r="BS582" i="10"/>
  <c r="AP663" i="10"/>
  <c r="AY663" i="10" s="1"/>
  <c r="AQ663" i="10"/>
  <c r="AZ663" i="10" s="1"/>
  <c r="BS663" i="10"/>
  <c r="AI504" i="10"/>
  <c r="AQ722" i="10"/>
  <c r="AZ722" i="10" s="1"/>
  <c r="AP722" i="10"/>
  <c r="AY722" i="10" s="1"/>
  <c r="BS722" i="10"/>
  <c r="AO615" i="10"/>
  <c r="AX615" i="10"/>
  <c r="BD615" i="10" s="1"/>
  <c r="AP719" i="10"/>
  <c r="AY719" i="10" s="1"/>
  <c r="AQ719" i="10"/>
  <c r="AZ719" i="10" s="1"/>
  <c r="BS719" i="10"/>
  <c r="AO751" i="10"/>
  <c r="AX751" i="10"/>
  <c r="BD751" i="10" s="1"/>
  <c r="C157" i="8"/>
  <c r="C152" i="8"/>
  <c r="J149" i="8"/>
  <c r="AQ738" i="10"/>
  <c r="AZ738" i="10" s="1"/>
  <c r="AP738" i="10"/>
  <c r="AY738" i="10" s="1"/>
  <c r="BS738" i="10"/>
  <c r="AX785" i="10"/>
  <c r="BD785" i="10" s="1"/>
  <c r="AO785" i="10"/>
  <c r="AQ859" i="10"/>
  <c r="AZ859" i="10" s="1"/>
  <c r="AP859" i="10"/>
  <c r="AY859" i="10" s="1"/>
  <c r="BS859" i="10"/>
  <c r="AP812" i="10"/>
  <c r="AY812" i="10" s="1"/>
  <c r="AQ812" i="10"/>
  <c r="AZ812" i="10" s="1"/>
  <c r="BS812" i="10"/>
  <c r="AX879" i="10"/>
  <c r="BD879" i="10" s="1"/>
  <c r="AO879" i="10"/>
  <c r="AO646" i="10"/>
  <c r="AX646" i="10"/>
  <c r="BD646" i="10" s="1"/>
  <c r="AQ516" i="10"/>
  <c r="AZ516" i="10" s="1"/>
  <c r="AP516" i="10"/>
  <c r="AY516" i="10" s="1"/>
  <c r="BS516" i="10"/>
  <c r="BI516" i="10"/>
  <c r="K461" i="19" s="1"/>
  <c r="L461" i="19" s="1"/>
  <c r="AQ809" i="10"/>
  <c r="AZ809" i="10" s="1"/>
  <c r="AP809" i="10"/>
  <c r="AY809" i="10" s="1"/>
  <c r="BS809" i="10"/>
  <c r="M143" i="8"/>
  <c r="B151" i="8"/>
  <c r="K151" i="8"/>
  <c r="AQ843" i="10"/>
  <c r="AZ843" i="10" s="1"/>
  <c r="AP843" i="10"/>
  <c r="AY843" i="10" s="1"/>
  <c r="BS843" i="10"/>
  <c r="AO624" i="10"/>
  <c r="AX624" i="10"/>
  <c r="BD624" i="10" s="1"/>
  <c r="I155" i="8"/>
  <c r="K142" i="8"/>
  <c r="AO590" i="10"/>
  <c r="AX590" i="10"/>
  <c r="BD590" i="10" s="1"/>
  <c r="AX804" i="10"/>
  <c r="BD804" i="10" s="1"/>
  <c r="AO804" i="10"/>
  <c r="BI681" i="10"/>
  <c r="K613" i="19" s="1"/>
  <c r="L613" i="19" s="1"/>
  <c r="BM17" i="9"/>
  <c r="BJ17" i="9"/>
  <c r="BK17" i="9"/>
  <c r="BL17" i="9"/>
  <c r="BK56" i="9"/>
  <c r="BM56" i="9"/>
  <c r="BL56" i="9"/>
  <c r="BJ56" i="9"/>
  <c r="BM61" i="9"/>
  <c r="BK61" i="9"/>
  <c r="BL61" i="9"/>
  <c r="BJ61" i="9"/>
  <c r="X109" i="12"/>
  <c r="T30" i="9"/>
  <c r="AA30" i="9" s="1"/>
  <c r="T31" i="9"/>
  <c r="AA31" i="9" s="1"/>
  <c r="T28" i="9"/>
  <c r="AA28" i="9" s="1"/>
  <c r="T29" i="9"/>
  <c r="T27" i="9"/>
  <c r="AO735" i="10"/>
  <c r="AX735" i="10"/>
  <c r="BD735" i="10" s="1"/>
  <c r="AJ505" i="10"/>
  <c r="AQ574" i="10"/>
  <c r="AZ574" i="10" s="1"/>
  <c r="AP574" i="10"/>
  <c r="AY574" i="10" s="1"/>
  <c r="BS574" i="10"/>
  <c r="BI574" i="10"/>
  <c r="K514" i="19" s="1"/>
  <c r="L514" i="19" s="1"/>
  <c r="G154" i="8"/>
  <c r="J141" i="8"/>
  <c r="AO915" i="10"/>
  <c r="AX915" i="10"/>
  <c r="BD915" i="10" s="1"/>
  <c r="AO917" i="10"/>
  <c r="AX917" i="10"/>
  <c r="BD917" i="10" s="1"/>
  <c r="AP668" i="10"/>
  <c r="AY668" i="10" s="1"/>
  <c r="AQ668" i="10"/>
  <c r="AZ668" i="10" s="1"/>
  <c r="BS668" i="10"/>
  <c r="AO875" i="10"/>
  <c r="AX875" i="10"/>
  <c r="BD875" i="10" s="1"/>
  <c r="AX643" i="10"/>
  <c r="BD643" i="10" s="1"/>
  <c r="AO643" i="10"/>
  <c r="AQ503" i="10"/>
  <c r="AZ503" i="10" s="1"/>
  <c r="AP503" i="10"/>
  <c r="AY503" i="10" s="1"/>
  <c r="BS503" i="10"/>
  <c r="B145" i="8"/>
  <c r="M146" i="8"/>
  <c r="V516" i="13"/>
  <c r="W516" i="13" s="1"/>
  <c r="X516" i="13" s="1"/>
  <c r="Y516" i="13" s="1"/>
  <c r="AP850" i="10"/>
  <c r="AY850" i="10" s="1"/>
  <c r="AQ850" i="10"/>
  <c r="AZ850" i="10" s="1"/>
  <c r="BS850" i="10"/>
  <c r="BI850" i="10"/>
  <c r="K779" i="19" s="1"/>
  <c r="L779" i="19" s="1"/>
  <c r="AO798" i="10"/>
  <c r="AX798" i="10"/>
  <c r="BD798" i="10" s="1"/>
  <c r="AQ531" i="10"/>
  <c r="AZ531" i="10" s="1"/>
  <c r="AP531" i="10"/>
  <c r="BI531" i="10"/>
  <c r="K476" i="19" s="1"/>
  <c r="BM59" i="9"/>
  <c r="BL59" i="9"/>
  <c r="BK59" i="9"/>
  <c r="BJ59" i="9"/>
  <c r="AP700" i="10"/>
  <c r="AY700" i="10" s="1"/>
  <c r="AQ700" i="10"/>
  <c r="AZ700" i="10" s="1"/>
  <c r="BS700" i="10"/>
  <c r="AO780" i="10"/>
  <c r="AX780" i="10"/>
  <c r="BD780" i="10" s="1"/>
  <c r="AP669" i="10"/>
  <c r="AY669" i="10" s="1"/>
  <c r="AQ669" i="10"/>
  <c r="AZ669" i="10" s="1"/>
  <c r="BS669" i="10"/>
  <c r="AO725" i="10"/>
  <c r="AX725" i="10"/>
  <c r="BD725" i="10" s="1"/>
  <c r="AP557" i="10"/>
  <c r="AY557" i="10" s="1"/>
  <c r="AQ557" i="10"/>
  <c r="AZ557" i="10" s="1"/>
  <c r="BS557" i="10"/>
  <c r="BI557" i="10"/>
  <c r="K500" i="19" s="1"/>
  <c r="L500" i="19" s="1"/>
  <c r="E150" i="8"/>
  <c r="L146" i="8"/>
  <c r="J147" i="8"/>
  <c r="AX900" i="10"/>
  <c r="BD900" i="10" s="1"/>
  <c r="AO900" i="10"/>
  <c r="AX630" i="10"/>
  <c r="BD630" i="10" s="1"/>
  <c r="AO630" i="10"/>
  <c r="BM26" i="9"/>
  <c r="BL26" i="9"/>
  <c r="BK26" i="9"/>
  <c r="BJ26" i="9"/>
  <c r="BM60" i="9"/>
  <c r="BK60" i="9"/>
  <c r="BL60" i="9"/>
  <c r="BJ60" i="9"/>
  <c r="G263" i="11"/>
  <c r="I263" i="11" s="1"/>
  <c r="J263" i="11" s="1"/>
  <c r="AP573" i="10"/>
  <c r="AY573" i="10" s="1"/>
  <c r="AQ573" i="10"/>
  <c r="AZ573" i="10" s="1"/>
  <c r="BS573" i="10"/>
  <c r="AK500" i="10"/>
  <c r="G265" i="11"/>
  <c r="I265" i="11" s="1"/>
  <c r="J265" i="11" s="1"/>
  <c r="AP520" i="10"/>
  <c r="AY520" i="10" s="1"/>
  <c r="AQ520" i="10"/>
  <c r="AZ520" i="10" s="1"/>
  <c r="BS520" i="10"/>
  <c r="BI520" i="10"/>
  <c r="K465" i="19" s="1"/>
  <c r="L465" i="19" s="1"/>
  <c r="AO708" i="10"/>
  <c r="AX708" i="10"/>
  <c r="BD708" i="10" s="1"/>
  <c r="AX731" i="10"/>
  <c r="BD731" i="10" s="1"/>
  <c r="AO731" i="10"/>
  <c r="AP697" i="10"/>
  <c r="AY697" i="10" s="1"/>
  <c r="AQ697" i="10"/>
  <c r="AZ697" i="10" s="1"/>
  <c r="BS697" i="10"/>
  <c r="AK511" i="10"/>
  <c r="AP745" i="10"/>
  <c r="AY745" i="10" s="1"/>
  <c r="AQ745" i="10"/>
  <c r="AZ745" i="10" s="1"/>
  <c r="BS745" i="10"/>
  <c r="BI716" i="10"/>
  <c r="K648" i="19" s="1"/>
  <c r="L648" i="19" s="1"/>
  <c r="BI539" i="10"/>
  <c r="K484" i="19" s="1"/>
  <c r="L484" i="19" s="1"/>
  <c r="AX761" i="10"/>
  <c r="BD761" i="10" s="1"/>
  <c r="AO761" i="10"/>
  <c r="AX620" i="10"/>
  <c r="BD620" i="10" s="1"/>
  <c r="AO620" i="10"/>
  <c r="AQ500" i="10"/>
  <c r="AZ500" i="10" s="1"/>
  <c r="AP500" i="10"/>
  <c r="AY500" i="10" s="1"/>
  <c r="BS500" i="10"/>
  <c r="A494" i="10"/>
  <c r="F142" i="8"/>
  <c r="B155" i="8"/>
  <c r="AX773" i="10"/>
  <c r="BD773" i="10" s="1"/>
  <c r="AO773" i="10"/>
  <c r="AJ511" i="10"/>
  <c r="AQ583" i="10"/>
  <c r="AZ583" i="10" s="1"/>
  <c r="AP583" i="10"/>
  <c r="AY583" i="10" s="1"/>
  <c r="BS583" i="10"/>
  <c r="BI583" i="10"/>
  <c r="K523" i="19" s="1"/>
  <c r="L523" i="19" s="1"/>
  <c r="G262" i="11"/>
  <c r="I262" i="11" s="1"/>
  <c r="J262" i="11" s="1"/>
  <c r="AO916" i="10"/>
  <c r="AX916" i="10"/>
  <c r="BD916" i="10" s="1"/>
  <c r="AP825" i="10"/>
  <c r="AY825" i="10" s="1"/>
  <c r="AQ825" i="10"/>
  <c r="AZ825" i="10" s="1"/>
  <c r="BS825" i="10"/>
  <c r="G266" i="11"/>
  <c r="I266" i="11" s="1"/>
  <c r="J266" i="11" s="1"/>
  <c r="AX892" i="10"/>
  <c r="BD892" i="10" s="1"/>
  <c r="AO892" i="10"/>
  <c r="J142" i="8"/>
  <c r="BI698" i="10"/>
  <c r="K630" i="19" s="1"/>
  <c r="L630" i="19" s="1"/>
  <c r="AO627" i="10"/>
  <c r="AX627" i="10"/>
  <c r="BD627" i="10" s="1"/>
  <c r="BI591" i="10"/>
  <c r="K728" i="19" s="1"/>
  <c r="L728" i="19" s="1"/>
  <c r="AQ570" i="10"/>
  <c r="AZ570" i="10" s="1"/>
  <c r="AP570" i="10"/>
  <c r="AY570" i="10" s="1"/>
  <c r="BS570" i="10"/>
  <c r="BI570" i="10"/>
  <c r="K510" i="19" s="1"/>
  <c r="L510" i="19" s="1"/>
  <c r="BI554" i="10"/>
  <c r="K497" i="19" s="1"/>
  <c r="L497" i="19" s="1"/>
  <c r="AP527" i="10"/>
  <c r="AY527" i="10" s="1"/>
  <c r="AQ527" i="10"/>
  <c r="AZ527" i="10" s="1"/>
  <c r="BS527" i="10"/>
  <c r="AP670" i="10"/>
  <c r="AY670" i="10" s="1"/>
  <c r="AQ670" i="10"/>
  <c r="AZ670" i="10" s="1"/>
  <c r="BS670" i="10"/>
  <c r="BI670" i="10"/>
  <c r="K850" i="19" s="1"/>
  <c r="L850" i="19" s="1"/>
  <c r="BI668" i="10"/>
  <c r="K830" i="19" s="1"/>
  <c r="L830" i="19" s="1"/>
  <c r="AO757" i="10"/>
  <c r="AX757" i="10"/>
  <c r="BD757" i="10" s="1"/>
  <c r="AX912" i="10"/>
  <c r="BD912" i="10" s="1"/>
  <c r="AO912" i="10"/>
  <c r="AX769" i="10"/>
  <c r="BD769" i="10" s="1"/>
  <c r="AO769" i="10"/>
  <c r="AP682" i="10"/>
  <c r="AY682" i="10" s="1"/>
  <c r="AQ682" i="10"/>
  <c r="AZ682" i="10" s="1"/>
  <c r="BS682" i="10"/>
  <c r="BI691" i="10"/>
  <c r="K623" i="19" s="1"/>
  <c r="L623" i="19" s="1"/>
  <c r="AP857" i="10"/>
  <c r="AY857" i="10" s="1"/>
  <c r="AQ857" i="10"/>
  <c r="AZ857" i="10" s="1"/>
  <c r="BS857" i="10"/>
  <c r="G260" i="11"/>
  <c r="I260" i="11" s="1"/>
  <c r="J260" i="11" s="1"/>
  <c r="AQ680" i="10"/>
  <c r="AZ680" i="10" s="1"/>
  <c r="AP680" i="10"/>
  <c r="AY680" i="10" s="1"/>
  <c r="BS680" i="10"/>
  <c r="BI680" i="10"/>
  <c r="K612" i="19" s="1"/>
  <c r="L612" i="19" s="1"/>
  <c r="AX598" i="10"/>
  <c r="BD598" i="10" s="1"/>
  <c r="AO598" i="10"/>
  <c r="BI816" i="10"/>
  <c r="K743" i="19" s="1"/>
  <c r="L743" i="19" s="1"/>
  <c r="AX623" i="10"/>
  <c r="BD623" i="10" s="1"/>
  <c r="AO623" i="10"/>
  <c r="F148" i="8"/>
  <c r="B147" i="8"/>
  <c r="E141" i="8"/>
  <c r="G151" i="8"/>
  <c r="M148" i="8"/>
  <c r="M154" i="8"/>
  <c r="D150" i="8"/>
  <c r="D145" i="8"/>
  <c r="G156" i="8"/>
  <c r="A495" i="10"/>
  <c r="B355" i="8" s="1"/>
  <c r="AQ523" i="10"/>
  <c r="AZ523" i="10" s="1"/>
  <c r="AP523" i="10"/>
  <c r="AY523" i="10" s="1"/>
  <c r="BS523" i="10"/>
  <c r="BI523" i="10"/>
  <c r="K468" i="19" s="1"/>
  <c r="L468" i="19" s="1"/>
  <c r="AX612" i="10"/>
  <c r="BD612" i="10" s="1"/>
  <c r="AO612" i="10"/>
  <c r="AJ507" i="10"/>
  <c r="BK51" i="9"/>
  <c r="BL51" i="9"/>
  <c r="BM51" i="9"/>
  <c r="BJ51" i="9"/>
  <c r="BK14" i="9"/>
  <c r="BJ14" i="9"/>
  <c r="BL14" i="9"/>
  <c r="BM14" i="9"/>
  <c r="BL10" i="9"/>
  <c r="BM10" i="9"/>
  <c r="BK10" i="9"/>
  <c r="BJ10" i="9"/>
  <c r="AX608" i="10"/>
  <c r="BD608" i="10" s="1"/>
  <c r="AO608" i="10"/>
  <c r="AQ887" i="10"/>
  <c r="AZ887" i="10" s="1"/>
  <c r="AP887" i="10"/>
  <c r="AY887" i="10" s="1"/>
  <c r="BS887" i="10"/>
  <c r="BI887" i="10"/>
  <c r="K816" i="19" s="1"/>
  <c r="L816" i="19" s="1"/>
  <c r="BI577" i="10"/>
  <c r="K517" i="19" s="1"/>
  <c r="L517" i="19" s="1"/>
  <c r="BI695" i="10"/>
  <c r="K627" i="19" s="1"/>
  <c r="AJ270" i="11"/>
  <c r="AO889" i="10"/>
  <c r="AX889" i="10"/>
  <c r="BD889" i="10" s="1"/>
  <c r="AP653" i="10"/>
  <c r="AY653" i="10" s="1"/>
  <c r="AQ653" i="10"/>
  <c r="AZ653" i="10" s="1"/>
  <c r="BS653" i="10"/>
  <c r="X70" i="9" l="1"/>
  <c r="BS517" i="10"/>
  <c r="G462" i="19" s="1"/>
  <c r="AY517" i="10"/>
  <c r="BS657" i="10"/>
  <c r="G592" i="19" s="1"/>
  <c r="AP514" i="10"/>
  <c r="AY514" i="10" s="1"/>
  <c r="BS531" i="10"/>
  <c r="BS581" i="10"/>
  <c r="BS693" i="10"/>
  <c r="AQ514" i="10"/>
  <c r="AZ514" i="10" s="1"/>
  <c r="AZ517" i="10"/>
  <c r="AY531" i="10"/>
  <c r="AZ693" i="10"/>
  <c r="AY693" i="10"/>
  <c r="BS723" i="10"/>
  <c r="AP533" i="10"/>
  <c r="AY533" i="10" s="1"/>
  <c r="BR16" i="9"/>
  <c r="AZ723" i="10"/>
  <c r="BS564" i="10"/>
  <c r="G529" i="19" s="1"/>
  <c r="AQ533" i="10"/>
  <c r="AZ533" i="10" s="1"/>
  <c r="AY723" i="10"/>
  <c r="AP564" i="10"/>
  <c r="AY564" i="10" s="1"/>
  <c r="BS579" i="10"/>
  <c r="G519" i="19" s="1"/>
  <c r="AQ564" i="10"/>
  <c r="AZ564" i="10" s="1"/>
  <c r="BI571" i="10"/>
  <c r="K511" i="19" s="1"/>
  <c r="L511" i="19" s="1"/>
  <c r="BS681" i="10"/>
  <c r="AP571" i="10"/>
  <c r="AY571" i="10" s="1"/>
  <c r="BS514" i="10"/>
  <c r="AY681" i="10"/>
  <c r="BS571" i="10"/>
  <c r="AZ681" i="10"/>
  <c r="BS814" i="10"/>
  <c r="X73" i="9"/>
  <c r="AP814" i="10"/>
  <c r="AY814" i="10" s="1"/>
  <c r="X76" i="9"/>
  <c r="AQ814" i="10"/>
  <c r="AZ814" i="10" s="1"/>
  <c r="X18" i="9"/>
  <c r="X53" i="9"/>
  <c r="AY526" i="10"/>
  <c r="AZ526" i="10"/>
  <c r="AY689" i="10"/>
  <c r="X48" i="9"/>
  <c r="BS689" i="10"/>
  <c r="G621" i="19" s="1"/>
  <c r="BS533" i="10"/>
  <c r="G478" i="19" s="1"/>
  <c r="X37" i="9"/>
  <c r="A102" i="12"/>
  <c r="L102" i="12" s="1"/>
  <c r="K268" i="11"/>
  <c r="L268" i="11" s="1"/>
  <c r="M268" i="11" s="1"/>
  <c r="X8" i="9"/>
  <c r="AY566" i="10"/>
  <c r="AR921" i="10"/>
  <c r="BS566" i="10"/>
  <c r="AZ566" i="10"/>
  <c r="X22" i="9"/>
  <c r="BR31" i="9"/>
  <c r="X72" i="9"/>
  <c r="K258" i="11"/>
  <c r="AZ689" i="10"/>
  <c r="X39" i="9"/>
  <c r="L258" i="11"/>
  <c r="M258" i="11" s="1"/>
  <c r="B199" i="1"/>
  <c r="B58" i="5"/>
  <c r="P5" i="5" s="1"/>
  <c r="AS705" i="10"/>
  <c r="AR715" i="10"/>
  <c r="AS577" i="10"/>
  <c r="AS917" i="10"/>
  <c r="AR600" i="10"/>
  <c r="AS804" i="10"/>
  <c r="AR538" i="10"/>
  <c r="AR781" i="10"/>
  <c r="AS571" i="10"/>
  <c r="AR502" i="10"/>
  <c r="G599" i="19"/>
  <c r="AQ840" i="10"/>
  <c r="AZ840" i="10" s="1"/>
  <c r="AP840" i="10"/>
  <c r="AY840" i="10" s="1"/>
  <c r="BS840" i="10"/>
  <c r="BI840" i="10"/>
  <c r="K769" i="19" s="1"/>
  <c r="L769" i="19" s="1"/>
  <c r="G509" i="19"/>
  <c r="G651" i="19"/>
  <c r="AQ705" i="10"/>
  <c r="AZ705" i="10" s="1"/>
  <c r="AP705" i="10"/>
  <c r="AY705" i="10" s="1"/>
  <c r="BS705" i="10"/>
  <c r="BI705" i="10"/>
  <c r="K637" i="19" s="1"/>
  <c r="L637" i="19" s="1"/>
  <c r="G605" i="19"/>
  <c r="AS670" i="10"/>
  <c r="AS872" i="10"/>
  <c r="AS807" i="10"/>
  <c r="AS729" i="10"/>
  <c r="AS876" i="10"/>
  <c r="AS530" i="10"/>
  <c r="AR891" i="10"/>
  <c r="AS858" i="10"/>
  <c r="AR705" i="10"/>
  <c r="AS698" i="10"/>
  <c r="AS533" i="10"/>
  <c r="AS504" i="10"/>
  <c r="AS518" i="10"/>
  <c r="G473" i="19"/>
  <c r="AP782" i="10"/>
  <c r="AY782" i="10" s="1"/>
  <c r="AQ782" i="10"/>
  <c r="AZ782" i="10" s="1"/>
  <c r="BS782" i="10"/>
  <c r="BI782" i="10"/>
  <c r="K707" i="19" s="1"/>
  <c r="L707" i="19" s="1"/>
  <c r="C29" i="5"/>
  <c r="R18" i="5" s="1"/>
  <c r="A29" i="5"/>
  <c r="E29" i="5"/>
  <c r="P18" i="5" s="1"/>
  <c r="D29" i="5"/>
  <c r="S18" i="5" s="1"/>
  <c r="F29" i="5"/>
  <c r="Q18" i="5" s="1"/>
  <c r="J18" i="5"/>
  <c r="AP769" i="10"/>
  <c r="AY769" i="10" s="1"/>
  <c r="AQ769" i="10"/>
  <c r="AZ769" i="10" s="1"/>
  <c r="BS769" i="10"/>
  <c r="BI769" i="10"/>
  <c r="K699" i="19" s="1"/>
  <c r="L699" i="19" s="1"/>
  <c r="AQ890" i="10"/>
  <c r="AZ890" i="10" s="1"/>
  <c r="AP890" i="10"/>
  <c r="AY890" i="10" s="1"/>
  <c r="BS890" i="10"/>
  <c r="BI890" i="10"/>
  <c r="K819" i="19" s="1"/>
  <c r="L819" i="19" s="1"/>
  <c r="AA74" i="9"/>
  <c r="X74" i="9"/>
  <c r="AR657" i="10"/>
  <c r="AS713" i="10"/>
  <c r="AR803" i="10"/>
  <c r="AR872" i="10"/>
  <c r="AS695" i="10"/>
  <c r="AS651" i="10"/>
  <c r="AR913" i="10"/>
  <c r="AS888" i="10"/>
  <c r="AR757" i="10"/>
  <c r="AS796" i="10"/>
  <c r="AS528" i="10"/>
  <c r="AR567" i="10"/>
  <c r="AR770" i="10"/>
  <c r="AS580" i="10"/>
  <c r="AS542" i="10"/>
  <c r="AS817" i="10"/>
  <c r="AQ799" i="10"/>
  <c r="AZ799" i="10" s="1"/>
  <c r="AP799" i="10"/>
  <c r="AY799" i="10" s="1"/>
  <c r="BS799" i="10"/>
  <c r="BI799" i="10"/>
  <c r="K725" i="19" s="1"/>
  <c r="L725" i="19" s="1"/>
  <c r="AP686" i="10"/>
  <c r="AY686" i="10" s="1"/>
  <c r="AQ686" i="10"/>
  <c r="AZ686" i="10" s="1"/>
  <c r="BS686" i="10"/>
  <c r="BI686" i="10"/>
  <c r="K618" i="19" s="1"/>
  <c r="L618" i="19" s="1"/>
  <c r="G495" i="19"/>
  <c r="AP728" i="10"/>
  <c r="AY728" i="10" s="1"/>
  <c r="AQ728" i="10"/>
  <c r="AZ728" i="10" s="1"/>
  <c r="BS728" i="10"/>
  <c r="BI728" i="10"/>
  <c r="K656" i="19" s="1"/>
  <c r="L656" i="19" s="1"/>
  <c r="AQ713" i="10"/>
  <c r="AZ713" i="10" s="1"/>
  <c r="AP713" i="10"/>
  <c r="AY713" i="10" s="1"/>
  <c r="BS713" i="10"/>
  <c r="BI713" i="10"/>
  <c r="K645" i="19" s="1"/>
  <c r="L645" i="19" s="1"/>
  <c r="G665" i="19"/>
  <c r="G606" i="19"/>
  <c r="B30" i="17"/>
  <c r="AQ899" i="10"/>
  <c r="AZ899" i="10" s="1"/>
  <c r="AP899" i="10"/>
  <c r="AY899" i="10" s="1"/>
  <c r="BS899" i="10"/>
  <c r="BI899" i="10"/>
  <c r="K861" i="19" s="1"/>
  <c r="L861" i="19" s="1"/>
  <c r="AQ751" i="10"/>
  <c r="AZ751" i="10" s="1"/>
  <c r="AP751" i="10"/>
  <c r="AY751" i="10" s="1"/>
  <c r="BS751" i="10"/>
  <c r="BI751" i="10"/>
  <c r="K679" i="19" s="1"/>
  <c r="L679" i="19" s="1"/>
  <c r="AP803" i="10"/>
  <c r="AY803" i="10" s="1"/>
  <c r="AQ803" i="10"/>
  <c r="AZ803" i="10" s="1"/>
  <c r="BS803" i="10"/>
  <c r="BI803" i="10"/>
  <c r="K730" i="19" s="1"/>
  <c r="AS797" i="10"/>
  <c r="D1634" i="18"/>
  <c r="E1634" i="18" s="1"/>
  <c r="D1612" i="18"/>
  <c r="E1612" i="18" s="1"/>
  <c r="D1590" i="18"/>
  <c r="E1590" i="18" s="1"/>
  <c r="D1725" i="18"/>
  <c r="E1725" i="18" s="1"/>
  <c r="D1389" i="18"/>
  <c r="E1389" i="18" s="1"/>
  <c r="D702" i="18"/>
  <c r="E702" i="18" s="1"/>
  <c r="D679" i="18"/>
  <c r="E679" i="18" s="1"/>
  <c r="D1627" i="18"/>
  <c r="E1627" i="18" s="1"/>
  <c r="D1114" i="18"/>
  <c r="E1114" i="18" s="1"/>
  <c r="D1091" i="18"/>
  <c r="E1091" i="18" s="1"/>
  <c r="D1073" i="18"/>
  <c r="E1073" i="18" s="1"/>
  <c r="D803" i="18"/>
  <c r="E803" i="18" s="1"/>
  <c r="D1017" i="18"/>
  <c r="E1017" i="18" s="1"/>
  <c r="D1721" i="18"/>
  <c r="E1721" i="18" s="1"/>
  <c r="D703" i="18"/>
  <c r="E703" i="18" s="1"/>
  <c r="D573" i="18"/>
  <c r="E573" i="18" s="1"/>
  <c r="D1835" i="18"/>
  <c r="E1835" i="18" s="1"/>
  <c r="D1808" i="18"/>
  <c r="E1808" i="18" s="1"/>
  <c r="D1780" i="18"/>
  <c r="E1780" i="18" s="1"/>
  <c r="D912" i="18"/>
  <c r="E912" i="18" s="1"/>
  <c r="D484" i="18"/>
  <c r="E484" i="18" s="1"/>
  <c r="D416" i="18"/>
  <c r="E416" i="18" s="1"/>
  <c r="D378" i="18"/>
  <c r="E378" i="18" s="1"/>
  <c r="D364" i="18"/>
  <c r="E364" i="18" s="1"/>
  <c r="D237" i="18"/>
  <c r="E237" i="18" s="1"/>
  <c r="D167" i="18"/>
  <c r="E167" i="18" s="1"/>
  <c r="D137" i="18"/>
  <c r="E137" i="18" s="1"/>
  <c r="D63" i="18"/>
  <c r="E63" i="18" s="1"/>
  <c r="D260" i="18"/>
  <c r="E260" i="18" s="1"/>
  <c r="D59" i="18"/>
  <c r="E59" i="18" s="1"/>
  <c r="D50" i="18"/>
  <c r="E50" i="18" s="1"/>
  <c r="D917" i="18"/>
  <c r="E917" i="18" s="1"/>
  <c r="AP734" i="10"/>
  <c r="AY734" i="10" s="1"/>
  <c r="AQ734" i="10"/>
  <c r="AZ734" i="10" s="1"/>
  <c r="BS734" i="10"/>
  <c r="BI734" i="10"/>
  <c r="K662" i="19" s="1"/>
  <c r="L662" i="19" s="1"/>
  <c r="AR822" i="10"/>
  <c r="AS610" i="10"/>
  <c r="AS826" i="10"/>
  <c r="AR819" i="10"/>
  <c r="AS783" i="10"/>
  <c r="AS584" i="10"/>
  <c r="AS765" i="10"/>
  <c r="AS557" i="10"/>
  <c r="L664" i="19"/>
  <c r="BR42" i="9"/>
  <c r="A109" i="12"/>
  <c r="AQ590" i="10"/>
  <c r="AZ590" i="10" s="1"/>
  <c r="AP590" i="10"/>
  <c r="AY590" i="10" s="1"/>
  <c r="BS590" i="10"/>
  <c r="BI590" i="10"/>
  <c r="K717" i="19" s="1"/>
  <c r="L717" i="19" s="1"/>
  <c r="AS886" i="10"/>
  <c r="AR909" i="10"/>
  <c r="AR503" i="10"/>
  <c r="AS550" i="10"/>
  <c r="AS786" i="10"/>
  <c r="AR794" i="10"/>
  <c r="AR749" i="10"/>
  <c r="AR569" i="10"/>
  <c r="AS848" i="10"/>
  <c r="AS716" i="10"/>
  <c r="AR773" i="10"/>
  <c r="AR551" i="10"/>
  <c r="AP866" i="10"/>
  <c r="AY866" i="10" s="1"/>
  <c r="AQ866" i="10"/>
  <c r="AZ866" i="10" s="1"/>
  <c r="BS866" i="10"/>
  <c r="BI866" i="10"/>
  <c r="K795" i="19" s="1"/>
  <c r="L795" i="19" s="1"/>
  <c r="AQ784" i="10"/>
  <c r="AZ784" i="10" s="1"/>
  <c r="AP784" i="10"/>
  <c r="AY784" i="10" s="1"/>
  <c r="BS784" i="10"/>
  <c r="BI784" i="10"/>
  <c r="K709" i="19" s="1"/>
  <c r="L709" i="19" s="1"/>
  <c r="AQ835" i="10"/>
  <c r="AZ835" i="10" s="1"/>
  <c r="AP835" i="10"/>
  <c r="AY835" i="10" s="1"/>
  <c r="BS835" i="10"/>
  <c r="BI835" i="10"/>
  <c r="K764" i="19" s="1"/>
  <c r="K265" i="11"/>
  <c r="AS818" i="10"/>
  <c r="AS831" i="10"/>
  <c r="AR615" i="10"/>
  <c r="AS882" i="10"/>
  <c r="AS656" i="10"/>
  <c r="AS674" i="10"/>
  <c r="AR796" i="10"/>
  <c r="AR583" i="10"/>
  <c r="AR562" i="10"/>
  <c r="AS725" i="10"/>
  <c r="AQ602" i="10"/>
  <c r="AZ602" i="10" s="1"/>
  <c r="AP602" i="10"/>
  <c r="AY602" i="10" s="1"/>
  <c r="BS602" i="10"/>
  <c r="BI602" i="10"/>
  <c r="K540" i="19" s="1"/>
  <c r="L540" i="19" s="1"/>
  <c r="AQ596" i="10"/>
  <c r="AZ596" i="10" s="1"/>
  <c r="AP596" i="10"/>
  <c r="AY596" i="10" s="1"/>
  <c r="BS596" i="10"/>
  <c r="BI596" i="10"/>
  <c r="K534" i="19" s="1"/>
  <c r="L534" i="19" s="1"/>
  <c r="AP923" i="10"/>
  <c r="AY923" i="10" s="1"/>
  <c r="AQ923" i="10"/>
  <c r="AZ923" i="10" s="1"/>
  <c r="BS923" i="10"/>
  <c r="BI923" i="10"/>
  <c r="K867" i="19" s="1"/>
  <c r="L867" i="19" s="1"/>
  <c r="G484" i="19"/>
  <c r="A113" i="12"/>
  <c r="G591" i="19"/>
  <c r="AS694" i="10"/>
  <c r="AR500" i="10"/>
  <c r="G754" i="19"/>
  <c r="G631" i="19"/>
  <c r="L627" i="19"/>
  <c r="BR36" i="9"/>
  <c r="F114" i="8"/>
  <c r="G779" i="19"/>
  <c r="AQ651" i="10"/>
  <c r="AZ651" i="10" s="1"/>
  <c r="AP651" i="10"/>
  <c r="AY651" i="10" s="1"/>
  <c r="BS651" i="10"/>
  <c r="BI651" i="10"/>
  <c r="K586" i="19" s="1"/>
  <c r="L586" i="19" s="1"/>
  <c r="AR673" i="10"/>
  <c r="AR660" i="10"/>
  <c r="AR644" i="10"/>
  <c r="AS863" i="10"/>
  <c r="AR716" i="10"/>
  <c r="AS894" i="10"/>
  <c r="AR748" i="10"/>
  <c r="AR655" i="10"/>
  <c r="AS843" i="10"/>
  <c r="AS699" i="10"/>
  <c r="AS884" i="10"/>
  <c r="AR728" i="10"/>
  <c r="AS586" i="10"/>
  <c r="AR704" i="10"/>
  <c r="AQ749" i="10"/>
  <c r="AZ749" i="10" s="1"/>
  <c r="AP749" i="10"/>
  <c r="AY749" i="10" s="1"/>
  <c r="BS749" i="10"/>
  <c r="BI749" i="10"/>
  <c r="K677" i="19" s="1"/>
  <c r="L677" i="19" s="1"/>
  <c r="AQ707" i="10"/>
  <c r="AZ707" i="10" s="1"/>
  <c r="AP707" i="10"/>
  <c r="AY707" i="10" s="1"/>
  <c r="BS707" i="10"/>
  <c r="BI707" i="10"/>
  <c r="K639" i="19" s="1"/>
  <c r="AQ920" i="10"/>
  <c r="AZ920" i="10" s="1"/>
  <c r="AP920" i="10"/>
  <c r="AY920" i="10" s="1"/>
  <c r="BS920" i="10"/>
  <c r="BI920" i="10"/>
  <c r="K864" i="19" s="1"/>
  <c r="L864" i="19" s="1"/>
  <c r="G602" i="19"/>
  <c r="AQ773" i="10"/>
  <c r="AZ773" i="10" s="1"/>
  <c r="AP773" i="10"/>
  <c r="AY773" i="10" s="1"/>
  <c r="BS773" i="10"/>
  <c r="BI773" i="10"/>
  <c r="K857" i="19" s="1"/>
  <c r="L857" i="19" s="1"/>
  <c r="G487" i="19"/>
  <c r="AS736" i="10"/>
  <c r="AR699" i="10"/>
  <c r="AS744" i="10"/>
  <c r="AR517" i="10"/>
  <c r="AP791" i="10"/>
  <c r="AY791" i="10" s="1"/>
  <c r="AQ791" i="10"/>
  <c r="AZ791" i="10" s="1"/>
  <c r="BS791" i="10"/>
  <c r="BI791" i="10"/>
  <c r="K716" i="19" s="1"/>
  <c r="L716" i="19" s="1"/>
  <c r="L680" i="19"/>
  <c r="BR45" i="9"/>
  <c r="AP622" i="10"/>
  <c r="AY622" i="10" s="1"/>
  <c r="AQ622" i="10"/>
  <c r="AZ622" i="10" s="1"/>
  <c r="BS622" i="10"/>
  <c r="BI622" i="10"/>
  <c r="K558" i="19" s="1"/>
  <c r="L558" i="19" s="1"/>
  <c r="G789" i="19"/>
  <c r="G744" i="19"/>
  <c r="K263" i="11"/>
  <c r="AQ889" i="10"/>
  <c r="AZ889" i="10" s="1"/>
  <c r="AP889" i="10"/>
  <c r="AY889" i="10" s="1"/>
  <c r="BS889" i="10"/>
  <c r="BI889" i="10"/>
  <c r="K818" i="19" s="1"/>
  <c r="L818" i="19" s="1"/>
  <c r="L771" i="19"/>
  <c r="BR62" i="9"/>
  <c r="B29" i="17"/>
  <c r="AP869" i="10"/>
  <c r="AY869" i="10" s="1"/>
  <c r="AQ869" i="10"/>
  <c r="AZ869" i="10" s="1"/>
  <c r="BS869" i="10"/>
  <c r="BI869" i="10"/>
  <c r="K798" i="19" s="1"/>
  <c r="L798" i="19" s="1"/>
  <c r="G680" i="19"/>
  <c r="AQ908" i="10"/>
  <c r="AZ908" i="10" s="1"/>
  <c r="AP908" i="10"/>
  <c r="AY908" i="10" s="1"/>
  <c r="BS908" i="10"/>
  <c r="BI908" i="10"/>
  <c r="K838" i="19" s="1"/>
  <c r="L838" i="19" s="1"/>
  <c r="AP731" i="10"/>
  <c r="AY731" i="10" s="1"/>
  <c r="AQ731" i="10"/>
  <c r="AZ731" i="10" s="1"/>
  <c r="BS731" i="10"/>
  <c r="BI731" i="10"/>
  <c r="K659" i="19" s="1"/>
  <c r="L659" i="19" s="1"/>
  <c r="AP879" i="10"/>
  <c r="AY879" i="10" s="1"/>
  <c r="AQ879" i="10"/>
  <c r="AZ879" i="10" s="1"/>
  <c r="BS879" i="10"/>
  <c r="BI879" i="10"/>
  <c r="K808" i="19" s="1"/>
  <c r="L808" i="19" s="1"/>
  <c r="AS707" i="10"/>
  <c r="AR755" i="10"/>
  <c r="AS775" i="10"/>
  <c r="AR772" i="10"/>
  <c r="AS653" i="10"/>
  <c r="AR518" i="10"/>
  <c r="AR898" i="10"/>
  <c r="AS677" i="10"/>
  <c r="AR566" i="10"/>
  <c r="AS575" i="10"/>
  <c r="AP775" i="10"/>
  <c r="AY775" i="10" s="1"/>
  <c r="AQ775" i="10"/>
  <c r="AZ775" i="10" s="1"/>
  <c r="BS775" i="10"/>
  <c r="BI775" i="10"/>
  <c r="K859" i="19" s="1"/>
  <c r="L859" i="19" s="1"/>
  <c r="BR64" i="9"/>
  <c r="G610" i="19"/>
  <c r="AP619" i="10"/>
  <c r="AY619" i="10" s="1"/>
  <c r="AQ619" i="10"/>
  <c r="AZ619" i="10" s="1"/>
  <c r="BS619" i="10"/>
  <c r="BI619" i="10"/>
  <c r="K555" i="19" s="1"/>
  <c r="K267" i="11"/>
  <c r="AR923" i="10"/>
  <c r="AR662" i="10"/>
  <c r="AS908" i="10"/>
  <c r="AS874" i="10"/>
  <c r="AS799" i="10"/>
  <c r="AR696" i="10"/>
  <c r="AR876" i="10"/>
  <c r="AR882" i="10"/>
  <c r="AR652" i="10"/>
  <c r="AS763" i="10"/>
  <c r="AR874" i="10"/>
  <c r="AS501" i="10"/>
  <c r="AS756" i="10"/>
  <c r="AS879" i="10"/>
  <c r="AS904" i="10"/>
  <c r="AS596" i="10"/>
  <c r="AP613" i="10"/>
  <c r="AY613" i="10" s="1"/>
  <c r="AQ613" i="10"/>
  <c r="AZ613" i="10" s="1"/>
  <c r="BS613" i="10"/>
  <c r="BI613" i="10"/>
  <c r="K552" i="19" s="1"/>
  <c r="L552" i="19" s="1"/>
  <c r="AQ725" i="10"/>
  <c r="AZ725" i="10" s="1"/>
  <c r="AP725" i="10"/>
  <c r="AY725" i="10" s="1"/>
  <c r="BS725" i="10"/>
  <c r="BI725" i="10"/>
  <c r="K653" i="19" s="1"/>
  <c r="L653" i="19" s="1"/>
  <c r="G740" i="19"/>
  <c r="AR509" i="10"/>
  <c r="AS910" i="10"/>
  <c r="AS812" i="10"/>
  <c r="AR854" i="10"/>
  <c r="AR900" i="10"/>
  <c r="AR604" i="10"/>
  <c r="AS573" i="10"/>
  <c r="AR631" i="10"/>
  <c r="AS667" i="10"/>
  <c r="AP648" i="10"/>
  <c r="AY648" i="10" s="1"/>
  <c r="AQ648" i="10"/>
  <c r="AZ648" i="10" s="1"/>
  <c r="BS648" i="10"/>
  <c r="BI648" i="10"/>
  <c r="K583" i="19" s="1"/>
  <c r="L583" i="19" s="1"/>
  <c r="G485" i="19"/>
  <c r="AQ727" i="10"/>
  <c r="AZ727" i="10" s="1"/>
  <c r="AP727" i="10"/>
  <c r="AY727" i="10" s="1"/>
  <c r="BS727" i="10"/>
  <c r="BI727" i="10"/>
  <c r="K655" i="19" s="1"/>
  <c r="L655" i="19" s="1"/>
  <c r="G496" i="19"/>
  <c r="AQ558" i="10"/>
  <c r="AZ558" i="10" s="1"/>
  <c r="AP558" i="10"/>
  <c r="AY558" i="10" s="1"/>
  <c r="BS558" i="10"/>
  <c r="BI558" i="10"/>
  <c r="K501" i="19" s="1"/>
  <c r="G828" i="19"/>
  <c r="G833" i="19"/>
  <c r="G607" i="19"/>
  <c r="AR838" i="10"/>
  <c r="AS552" i="10"/>
  <c r="AS883" i="10"/>
  <c r="AS771" i="10"/>
  <c r="AR665" i="10"/>
  <c r="AS609" i="10"/>
  <c r="AS555" i="10"/>
  <c r="AS836" i="10"/>
  <c r="AS569" i="10"/>
  <c r="AR650" i="10"/>
  <c r="G813" i="19"/>
  <c r="G829" i="19"/>
  <c r="P350" i="8"/>
  <c r="P352" i="8"/>
  <c r="P364" i="8"/>
  <c r="P351" i="8"/>
  <c r="P360" i="8"/>
  <c r="P359" i="8"/>
  <c r="P355" i="8"/>
  <c r="P363" i="8"/>
  <c r="P358" i="8"/>
  <c r="P354" i="8"/>
  <c r="P366" i="8"/>
  <c r="P357" i="8"/>
  <c r="P356" i="8"/>
  <c r="P362" i="8"/>
  <c r="P353" i="8"/>
  <c r="P361" i="8"/>
  <c r="P365" i="8"/>
  <c r="AQ604" i="10"/>
  <c r="AZ604" i="10" s="1"/>
  <c r="AP604" i="10"/>
  <c r="AY604" i="10" s="1"/>
  <c r="BS604" i="10"/>
  <c r="BI604" i="10"/>
  <c r="K542" i="19" s="1"/>
  <c r="L542" i="19" s="1"/>
  <c r="AP800" i="10"/>
  <c r="AY800" i="10" s="1"/>
  <c r="AQ800" i="10"/>
  <c r="AZ800" i="10" s="1"/>
  <c r="BS800" i="10"/>
  <c r="BI800" i="10"/>
  <c r="K726" i="19" s="1"/>
  <c r="L726" i="19" s="1"/>
  <c r="K262" i="11"/>
  <c r="AR810" i="10"/>
  <c r="AR723" i="10"/>
  <c r="AS639" i="10"/>
  <c r="AR547" i="10"/>
  <c r="AR557" i="10"/>
  <c r="AR901" i="10"/>
  <c r="AS899" i="10"/>
  <c r="AR917" i="10"/>
  <c r="AS539" i="10"/>
  <c r="AR573" i="10"/>
  <c r="AR560" i="10"/>
  <c r="AR679" i="10"/>
  <c r="AS733" i="10"/>
  <c r="X54" i="9"/>
  <c r="G622" i="19"/>
  <c r="AS723" i="10"/>
  <c r="AS583" i="10"/>
  <c r="AS918" i="10"/>
  <c r="AS913" i="10"/>
  <c r="AR549" i="10"/>
  <c r="C32" i="5"/>
  <c r="R21" i="5" s="1"/>
  <c r="E32" i="5"/>
  <c r="P21" i="5" s="1"/>
  <c r="F32" i="5"/>
  <c r="Q21" i="5" s="1"/>
  <c r="D32" i="5"/>
  <c r="S21" i="5" s="1"/>
  <c r="J21" i="5"/>
  <c r="A32" i="5"/>
  <c r="L621" i="19"/>
  <c r="BR35" i="9"/>
  <c r="K255" i="11"/>
  <c r="G816" i="19"/>
  <c r="AQ598" i="10"/>
  <c r="AZ598" i="10" s="1"/>
  <c r="AP598" i="10"/>
  <c r="AY598" i="10" s="1"/>
  <c r="BS598" i="10"/>
  <c r="BI598" i="10"/>
  <c r="K536" i="19" s="1"/>
  <c r="L536" i="19" s="1"/>
  <c r="G810" i="19"/>
  <c r="AS759" i="10"/>
  <c r="AQ893" i="10"/>
  <c r="AZ893" i="10" s="1"/>
  <c r="AP893" i="10"/>
  <c r="AY893" i="10" s="1"/>
  <c r="BS893" i="10"/>
  <c r="BI893" i="10"/>
  <c r="K822" i="19" s="1"/>
  <c r="L822" i="19" s="1"/>
  <c r="AQ870" i="10"/>
  <c r="AZ870" i="10" s="1"/>
  <c r="AP870" i="10"/>
  <c r="AY870" i="10" s="1"/>
  <c r="BS870" i="10"/>
  <c r="BI870" i="10"/>
  <c r="K799" i="19" s="1"/>
  <c r="L799" i="19" s="1"/>
  <c r="AP834" i="10"/>
  <c r="AY834" i="10" s="1"/>
  <c r="AQ834" i="10"/>
  <c r="AZ834" i="10" s="1"/>
  <c r="BS834" i="10"/>
  <c r="BI834" i="10"/>
  <c r="K762" i="19" s="1"/>
  <c r="L762" i="19" s="1"/>
  <c r="AQ888" i="10"/>
  <c r="AZ888" i="10" s="1"/>
  <c r="AP888" i="10"/>
  <c r="AY888" i="10" s="1"/>
  <c r="BS888" i="10"/>
  <c r="BI888" i="10"/>
  <c r="K817" i="19" s="1"/>
  <c r="G674" i="19"/>
  <c r="G630" i="19"/>
  <c r="X44" i="9"/>
  <c r="AS898" i="10"/>
  <c r="AS719" i="10"/>
  <c r="AS770" i="10"/>
  <c r="AS614" i="10"/>
  <c r="AQ892" i="10"/>
  <c r="AZ892" i="10" s="1"/>
  <c r="AP892" i="10"/>
  <c r="AY892" i="10" s="1"/>
  <c r="BS892" i="10"/>
  <c r="BI892" i="10"/>
  <c r="K821" i="19" s="1"/>
  <c r="L821" i="19" s="1"/>
  <c r="AP708" i="10"/>
  <c r="AY708" i="10" s="1"/>
  <c r="AQ708" i="10"/>
  <c r="AZ708" i="10" s="1"/>
  <c r="BS708" i="10"/>
  <c r="BI708" i="10"/>
  <c r="K640" i="19" s="1"/>
  <c r="L640" i="19" s="1"/>
  <c r="AP624" i="10"/>
  <c r="AY624" i="10" s="1"/>
  <c r="AQ624" i="10"/>
  <c r="AZ624" i="10" s="1"/>
  <c r="BS624" i="10"/>
  <c r="BI624" i="10"/>
  <c r="K560" i="19" s="1"/>
  <c r="L560" i="19" s="1"/>
  <c r="G853" i="19"/>
  <c r="AS538" i="10"/>
  <c r="AR635" i="10"/>
  <c r="AS832" i="10"/>
  <c r="AS745" i="10"/>
  <c r="AS638" i="10"/>
  <c r="AR677" i="10"/>
  <c r="AR637" i="10"/>
  <c r="AS798" i="10"/>
  <c r="AR700" i="10"/>
  <c r="AR798" i="10"/>
  <c r="AR875" i="10"/>
  <c r="AR827" i="10"/>
  <c r="AS784" i="10"/>
  <c r="AR866" i="10"/>
  <c r="AS563" i="10"/>
  <c r="AR544" i="10"/>
  <c r="AR504" i="10"/>
  <c r="AR808" i="10"/>
  <c r="AQ706" i="10"/>
  <c r="AZ706" i="10" s="1"/>
  <c r="AP706" i="10"/>
  <c r="AY706" i="10" s="1"/>
  <c r="BS706" i="10"/>
  <c r="BI706" i="10"/>
  <c r="K638" i="19" s="1"/>
  <c r="L638" i="19" s="1"/>
  <c r="AQ710" i="10"/>
  <c r="AZ710" i="10" s="1"/>
  <c r="AP710" i="10"/>
  <c r="AY710" i="10" s="1"/>
  <c r="BS710" i="10"/>
  <c r="BI710" i="10"/>
  <c r="K642" i="19" s="1"/>
  <c r="L642" i="19" s="1"/>
  <c r="AQ833" i="10"/>
  <c r="AZ833" i="10" s="1"/>
  <c r="AP833" i="10"/>
  <c r="AY833" i="10" s="1"/>
  <c r="BS833" i="10"/>
  <c r="BI833" i="10"/>
  <c r="K761" i="19" s="1"/>
  <c r="L761" i="19" s="1"/>
  <c r="AP633" i="10"/>
  <c r="AY633" i="10" s="1"/>
  <c r="AQ633" i="10"/>
  <c r="AZ633" i="10" s="1"/>
  <c r="BS633" i="10"/>
  <c r="BI633" i="10"/>
  <c r="K569" i="19" s="1"/>
  <c r="L569" i="19" s="1"/>
  <c r="AP270" i="11"/>
  <c r="G772" i="19"/>
  <c r="AS711" i="10"/>
  <c r="AR710" i="10"/>
  <c r="AR862" i="10"/>
  <c r="AS887" i="10"/>
  <c r="AS803" i="10"/>
  <c r="AR865" i="10"/>
  <c r="AS741" i="10"/>
  <c r="AR714" i="10"/>
  <c r="AS697" i="10"/>
  <c r="G683" i="19"/>
  <c r="AA41" i="9"/>
  <c r="X41" i="9"/>
  <c r="AP779" i="10"/>
  <c r="AY779" i="10" s="1"/>
  <c r="AQ779" i="10"/>
  <c r="AZ779" i="10" s="1"/>
  <c r="BS779" i="10"/>
  <c r="BI779" i="10"/>
  <c r="K704" i="19" s="1"/>
  <c r="L704" i="19" s="1"/>
  <c r="AQ635" i="10"/>
  <c r="AZ635" i="10" s="1"/>
  <c r="AP635" i="10"/>
  <c r="AY635" i="10" s="1"/>
  <c r="BS635" i="10"/>
  <c r="BI635" i="10"/>
  <c r="K571" i="19" s="1"/>
  <c r="L571" i="19" s="1"/>
  <c r="G475" i="19"/>
  <c r="AQ560" i="10"/>
  <c r="AZ560" i="10" s="1"/>
  <c r="AP560" i="10"/>
  <c r="AY560" i="10" s="1"/>
  <c r="BS560" i="10"/>
  <c r="BI560" i="10"/>
  <c r="K503" i="19" s="1"/>
  <c r="L503" i="19" s="1"/>
  <c r="AP724" i="10"/>
  <c r="AY724" i="10" s="1"/>
  <c r="AQ724" i="10"/>
  <c r="AZ724" i="10" s="1"/>
  <c r="BS724" i="10"/>
  <c r="BI724" i="10"/>
  <c r="K652" i="19" s="1"/>
  <c r="AP796" i="10"/>
  <c r="AY796" i="10" s="1"/>
  <c r="AQ796" i="10"/>
  <c r="AZ796" i="10" s="1"/>
  <c r="BS796" i="10"/>
  <c r="BI796" i="10"/>
  <c r="K722" i="19" s="1"/>
  <c r="L722" i="19" s="1"/>
  <c r="AP921" i="10"/>
  <c r="AY921" i="10" s="1"/>
  <c r="AQ921" i="10"/>
  <c r="AZ921" i="10" s="1"/>
  <c r="BS921" i="10"/>
  <c r="BI921" i="10"/>
  <c r="K865" i="19" s="1"/>
  <c r="L865" i="19" s="1"/>
  <c r="AS903" i="10"/>
  <c r="AR680" i="10"/>
  <c r="AR659" i="10"/>
  <c r="AR789" i="10"/>
  <c r="AR708" i="10"/>
  <c r="AS642" i="10"/>
  <c r="AR760" i="10"/>
  <c r="AR870" i="10"/>
  <c r="AS805" i="10"/>
  <c r="L646" i="19"/>
  <c r="BR39" i="9"/>
  <c r="AP868" i="10"/>
  <c r="AY868" i="10" s="1"/>
  <c r="AQ868" i="10"/>
  <c r="AZ868" i="10" s="1"/>
  <c r="BI868" i="10"/>
  <c r="K797" i="19" s="1"/>
  <c r="BS868" i="10"/>
  <c r="A25" i="5"/>
  <c r="E25" i="5"/>
  <c r="P14" i="5" s="1"/>
  <c r="D25" i="5"/>
  <c r="S14" i="5" s="1"/>
  <c r="F25" i="5"/>
  <c r="Q14" i="5" s="1"/>
  <c r="C25" i="5"/>
  <c r="R14" i="5" s="1"/>
  <c r="J14" i="5"/>
  <c r="G590" i="19"/>
  <c r="AS871" i="10"/>
  <c r="AR595" i="10"/>
  <c r="AR512" i="10"/>
  <c r="AR792" i="10"/>
  <c r="AR556" i="10"/>
  <c r="AS881" i="10"/>
  <c r="AR910" i="10"/>
  <c r="AR733" i="10"/>
  <c r="AS842" i="10"/>
  <c r="AS531" i="10"/>
  <c r="AR753" i="10"/>
  <c r="AR887" i="10"/>
  <c r="AS851" i="10"/>
  <c r="AS544" i="10"/>
  <c r="AR510" i="10"/>
  <c r="AS502" i="10"/>
  <c r="AS525" i="10"/>
  <c r="AR511" i="10"/>
  <c r="AQ871" i="10"/>
  <c r="AZ871" i="10" s="1"/>
  <c r="AP871" i="10"/>
  <c r="AY871" i="10" s="1"/>
  <c r="BS871" i="10"/>
  <c r="BI871" i="10"/>
  <c r="K800" i="19" s="1"/>
  <c r="L800" i="19" s="1"/>
  <c r="AA71" i="9"/>
  <c r="X71" i="9"/>
  <c r="G525" i="19"/>
  <c r="G646" i="19"/>
  <c r="AQ641" i="10"/>
  <c r="AZ641" i="10" s="1"/>
  <c r="AP641" i="10"/>
  <c r="AY641" i="10" s="1"/>
  <c r="BS641" i="10"/>
  <c r="BI641" i="10"/>
  <c r="K576" i="19" s="1"/>
  <c r="L576" i="19" s="1"/>
  <c r="K266" i="11"/>
  <c r="L266" i="11" s="1"/>
  <c r="M266" i="11" s="1"/>
  <c r="G511" i="19"/>
  <c r="AP780" i="10"/>
  <c r="AY780" i="10" s="1"/>
  <c r="AQ780" i="10"/>
  <c r="AZ780" i="10" s="1"/>
  <c r="BS780" i="10"/>
  <c r="BI780" i="10"/>
  <c r="K705" i="19" s="1"/>
  <c r="L705" i="19" s="1"/>
  <c r="G514" i="19"/>
  <c r="AP785" i="10"/>
  <c r="AY785" i="10" s="1"/>
  <c r="AQ785" i="10"/>
  <c r="AZ785" i="10" s="1"/>
  <c r="BS785" i="10"/>
  <c r="BI785" i="10"/>
  <c r="K710" i="19" s="1"/>
  <c r="L710" i="19" s="1"/>
  <c r="AS873" i="10"/>
  <c r="AR672" i="10"/>
  <c r="AR594" i="10"/>
  <c r="AR622" i="10"/>
  <c r="AR698" i="10"/>
  <c r="AR855" i="10"/>
  <c r="AS652" i="10"/>
  <c r="AR614" i="10"/>
  <c r="AR558" i="10"/>
  <c r="AR632" i="10"/>
  <c r="G628" i="19"/>
  <c r="G647" i="19"/>
  <c r="AP605" i="10"/>
  <c r="AY605" i="10" s="1"/>
  <c r="AQ605" i="10"/>
  <c r="AZ605" i="10" s="1"/>
  <c r="BS605" i="10"/>
  <c r="BI605" i="10"/>
  <c r="K543" i="19" s="1"/>
  <c r="G782" i="19"/>
  <c r="AP611" i="10"/>
  <c r="AY611" i="10" s="1"/>
  <c r="AQ611" i="10"/>
  <c r="AZ611" i="10" s="1"/>
  <c r="BS611" i="10"/>
  <c r="BI611" i="10"/>
  <c r="K550" i="19" s="1"/>
  <c r="AQ607" i="10"/>
  <c r="AZ607" i="10" s="1"/>
  <c r="AP607" i="10"/>
  <c r="AY607" i="10" s="1"/>
  <c r="BS607" i="10"/>
  <c r="BI607" i="10"/>
  <c r="K545" i="19" s="1"/>
  <c r="L545" i="19" s="1"/>
  <c r="X33" i="9"/>
  <c r="AQ608" i="10"/>
  <c r="AZ608" i="10" s="1"/>
  <c r="AP608" i="10"/>
  <c r="AY608" i="10" s="1"/>
  <c r="BS608" i="10"/>
  <c r="BI608" i="10"/>
  <c r="K546" i="19" s="1"/>
  <c r="L546" i="19" s="1"/>
  <c r="G612" i="19"/>
  <c r="BR69" i="9"/>
  <c r="AS671" i="10"/>
  <c r="AR568" i="10"/>
  <c r="AR612" i="10"/>
  <c r="G481" i="19"/>
  <c r="AQ903" i="10"/>
  <c r="AZ903" i="10" s="1"/>
  <c r="AP903" i="10"/>
  <c r="AY903" i="10" s="1"/>
  <c r="BS903" i="10"/>
  <c r="BI903" i="10"/>
  <c r="K832" i="19" s="1"/>
  <c r="L832" i="19" s="1"/>
  <c r="AQ625" i="10"/>
  <c r="AZ625" i="10" s="1"/>
  <c r="AP625" i="10"/>
  <c r="AY625" i="10" s="1"/>
  <c r="BS625" i="10"/>
  <c r="BI625" i="10"/>
  <c r="K561" i="19" s="1"/>
  <c r="AQ614" i="10"/>
  <c r="AZ614" i="10" s="1"/>
  <c r="AP614" i="10"/>
  <c r="AY614" i="10" s="1"/>
  <c r="BS614" i="10"/>
  <c r="BI614" i="10"/>
  <c r="K553" i="19" s="1"/>
  <c r="L553" i="19" s="1"/>
  <c r="AP759" i="10"/>
  <c r="AY759" i="10" s="1"/>
  <c r="AQ759" i="10"/>
  <c r="AZ759" i="10" s="1"/>
  <c r="BS759" i="10"/>
  <c r="BI759" i="10"/>
  <c r="K688" i="19" s="1"/>
  <c r="L688" i="19" s="1"/>
  <c r="E5" i="18"/>
  <c r="D2014" i="18" s="1"/>
  <c r="E2014" i="18" s="1"/>
  <c r="B34" i="17"/>
  <c r="B57" i="5"/>
  <c r="G741" i="19"/>
  <c r="AQ838" i="10"/>
  <c r="AZ838" i="10" s="1"/>
  <c r="AP838" i="10"/>
  <c r="AY838" i="10" s="1"/>
  <c r="BS838" i="10"/>
  <c r="BI838" i="10"/>
  <c r="K767" i="19" s="1"/>
  <c r="L767" i="19" s="1"/>
  <c r="X30" i="9"/>
  <c r="G468" i="19"/>
  <c r="G781" i="19"/>
  <c r="G783" i="19"/>
  <c r="AQ704" i="10"/>
  <c r="AZ704" i="10" s="1"/>
  <c r="AP704" i="10"/>
  <c r="AY704" i="10" s="1"/>
  <c r="BS704" i="10"/>
  <c r="BI704" i="10"/>
  <c r="K636" i="19" s="1"/>
  <c r="L636" i="19" s="1"/>
  <c r="AP621" i="10"/>
  <c r="AY621" i="10" s="1"/>
  <c r="AQ621" i="10"/>
  <c r="AZ621" i="10" s="1"/>
  <c r="BS621" i="10"/>
  <c r="BI621" i="10"/>
  <c r="K557" i="19" s="1"/>
  <c r="L557" i="19" s="1"/>
  <c r="L458" i="19"/>
  <c r="BR7" i="9"/>
  <c r="AQ906" i="10"/>
  <c r="AZ906" i="10" s="1"/>
  <c r="AP906" i="10"/>
  <c r="AY906" i="10" s="1"/>
  <c r="BS906" i="10"/>
  <c r="BI906" i="10"/>
  <c r="K836" i="19" s="1"/>
  <c r="G454" i="19"/>
  <c r="G483" i="19"/>
  <c r="A23" i="5"/>
  <c r="F23" i="5"/>
  <c r="Q12" i="5" s="1"/>
  <c r="J12" i="5"/>
  <c r="D23" i="5"/>
  <c r="S12" i="5" s="1"/>
  <c r="E23" i="5"/>
  <c r="P12" i="5" s="1"/>
  <c r="C23" i="5"/>
  <c r="R12" i="5" s="1"/>
  <c r="AP820" i="10"/>
  <c r="AY820" i="10" s="1"/>
  <c r="AQ820" i="10"/>
  <c r="AZ820" i="10" s="1"/>
  <c r="BS820" i="10"/>
  <c r="BI820" i="10"/>
  <c r="K747" i="19" s="1"/>
  <c r="X64" i="9"/>
  <c r="G666" i="19"/>
  <c r="AS827" i="10"/>
  <c r="AR845" i="10"/>
  <c r="AS647" i="10"/>
  <c r="AS623" i="10"/>
  <c r="AR636" i="10"/>
  <c r="AR867" i="10"/>
  <c r="AR751" i="10"/>
  <c r="AS907" i="10"/>
  <c r="AR731" i="10"/>
  <c r="AR775" i="10"/>
  <c r="AR628" i="10"/>
  <c r="AS554" i="10"/>
  <c r="AS905" i="10"/>
  <c r="AR619" i="10"/>
  <c r="AS659" i="10"/>
  <c r="G593" i="19"/>
  <c r="G451" i="19"/>
  <c r="AQ788" i="10"/>
  <c r="AZ788" i="10" s="1"/>
  <c r="AP788" i="10"/>
  <c r="AY788" i="10" s="1"/>
  <c r="BS788" i="10"/>
  <c r="BI788" i="10"/>
  <c r="K713" i="19" s="1"/>
  <c r="L713" i="19" s="1"/>
  <c r="G600" i="19"/>
  <c r="AQ586" i="10"/>
  <c r="AZ586" i="10" s="1"/>
  <c r="AP586" i="10"/>
  <c r="AY586" i="10" s="1"/>
  <c r="BS586" i="10"/>
  <c r="BI586" i="10"/>
  <c r="K526" i="19" s="1"/>
  <c r="AQ877" i="10"/>
  <c r="AZ877" i="10" s="1"/>
  <c r="AP877" i="10"/>
  <c r="AY877" i="10" s="1"/>
  <c r="BS877" i="10"/>
  <c r="BI877" i="10"/>
  <c r="K806" i="19" s="1"/>
  <c r="L806" i="19" s="1"/>
  <c r="AP765" i="10"/>
  <c r="AY765" i="10" s="1"/>
  <c r="AQ765" i="10"/>
  <c r="AZ765" i="10" s="1"/>
  <c r="BS765" i="10"/>
  <c r="BI765" i="10"/>
  <c r="K694" i="19" s="1"/>
  <c r="L694" i="19" s="1"/>
  <c r="G456" i="19"/>
  <c r="G445" i="19"/>
  <c r="AS921" i="10"/>
  <c r="AR791" i="10"/>
  <c r="AR888" i="10"/>
  <c r="AR782" i="10"/>
  <c r="AR649" i="10"/>
  <c r="AS657" i="10"/>
  <c r="AS845" i="10"/>
  <c r="AS581" i="10"/>
  <c r="AS859" i="10"/>
  <c r="AS620" i="10"/>
  <c r="AR912" i="10"/>
  <c r="AR718" i="10"/>
  <c r="AS637" i="10"/>
  <c r="AS615" i="10"/>
  <c r="AS628" i="10"/>
  <c r="AR514" i="10"/>
  <c r="AR584" i="10"/>
  <c r="AS660" i="10"/>
  <c r="AR734" i="10"/>
  <c r="AR642" i="10"/>
  <c r="L593" i="19"/>
  <c r="BR30" i="9"/>
  <c r="AP637" i="10"/>
  <c r="AY637" i="10" s="1"/>
  <c r="AQ637" i="10"/>
  <c r="AZ637" i="10" s="1"/>
  <c r="BS637" i="10"/>
  <c r="BI637" i="10"/>
  <c r="K573" i="19" s="1"/>
  <c r="G745" i="19"/>
  <c r="AQ781" i="10"/>
  <c r="AZ781" i="10" s="1"/>
  <c r="AP781" i="10"/>
  <c r="AY781" i="10" s="1"/>
  <c r="BS781" i="10"/>
  <c r="BI781" i="10"/>
  <c r="K706" i="19" s="1"/>
  <c r="AQ732" i="10"/>
  <c r="AZ732" i="10" s="1"/>
  <c r="AP732" i="10"/>
  <c r="AY732" i="10" s="1"/>
  <c r="BS732" i="10"/>
  <c r="BI732" i="10"/>
  <c r="K660" i="19" s="1"/>
  <c r="L660" i="19" s="1"/>
  <c r="AQ549" i="10"/>
  <c r="AZ549" i="10" s="1"/>
  <c r="AP549" i="10"/>
  <c r="AY549" i="10" s="1"/>
  <c r="BS549" i="10"/>
  <c r="BI549" i="10"/>
  <c r="K492" i="19" s="1"/>
  <c r="L492" i="19" s="1"/>
  <c r="AQ702" i="10"/>
  <c r="AZ702" i="10" s="1"/>
  <c r="AP702" i="10"/>
  <c r="AY702" i="10" s="1"/>
  <c r="BS702" i="10"/>
  <c r="BI702" i="10"/>
  <c r="K634" i="19" s="1"/>
  <c r="L634" i="19" s="1"/>
  <c r="R18" i="8"/>
  <c r="AQ559" i="10"/>
  <c r="AZ559" i="10" s="1"/>
  <c r="AP559" i="10"/>
  <c r="AY559" i="10" s="1"/>
  <c r="BS559" i="10"/>
  <c r="BI559" i="10"/>
  <c r="K502" i="19" s="1"/>
  <c r="L502" i="19" s="1"/>
  <c r="AP913" i="10"/>
  <c r="AY913" i="10" s="1"/>
  <c r="AQ913" i="10"/>
  <c r="AZ913" i="10" s="1"/>
  <c r="BS913" i="10"/>
  <c r="BI913" i="10"/>
  <c r="K843" i="19" s="1"/>
  <c r="L843" i="19" s="1"/>
  <c r="AP610" i="10"/>
  <c r="AY610" i="10" s="1"/>
  <c r="AQ610" i="10"/>
  <c r="AZ610" i="10" s="1"/>
  <c r="BS610" i="10"/>
  <c r="BI610" i="10"/>
  <c r="K549" i="19" s="1"/>
  <c r="L549" i="19" s="1"/>
  <c r="AP545" i="10"/>
  <c r="AY545" i="10" s="1"/>
  <c r="AQ545" i="10"/>
  <c r="AZ545" i="10" s="1"/>
  <c r="BS545" i="10"/>
  <c r="BI545" i="10"/>
  <c r="K488" i="19" s="1"/>
  <c r="G595" i="19"/>
  <c r="AQ650" i="10"/>
  <c r="AZ650" i="10" s="1"/>
  <c r="AP650" i="10"/>
  <c r="AY650" i="10" s="1"/>
  <c r="BS650" i="10"/>
  <c r="BI650" i="10"/>
  <c r="K585" i="19" s="1"/>
  <c r="L585" i="19" s="1"/>
  <c r="G466" i="19"/>
  <c r="G494" i="19"/>
  <c r="E30" i="5"/>
  <c r="P19" i="5" s="1"/>
  <c r="F30" i="5"/>
  <c r="Q19" i="5" s="1"/>
  <c r="C30" i="5"/>
  <c r="R19" i="5" s="1"/>
  <c r="A30" i="5"/>
  <c r="J19" i="5"/>
  <c r="D30" i="5"/>
  <c r="S19" i="5" s="1"/>
  <c r="AQ600" i="10"/>
  <c r="AZ600" i="10" s="1"/>
  <c r="AP600" i="10"/>
  <c r="AY600" i="10" s="1"/>
  <c r="BS600" i="10"/>
  <c r="BI600" i="10"/>
  <c r="K538" i="19" s="1"/>
  <c r="L538" i="19" s="1"/>
  <c r="X59" i="9"/>
  <c r="X40" i="9"/>
  <c r="X68" i="9"/>
  <c r="G786" i="19"/>
  <c r="AP916" i="10"/>
  <c r="AY916" i="10" s="1"/>
  <c r="AQ916" i="10"/>
  <c r="AZ916" i="10" s="1"/>
  <c r="BS916" i="10"/>
  <c r="BI916" i="10"/>
  <c r="K846" i="19" s="1"/>
  <c r="A112" i="12"/>
  <c r="AA47" i="9"/>
  <c r="X47" i="9"/>
  <c r="AS585" i="10"/>
  <c r="AS595" i="10"/>
  <c r="AS665" i="10"/>
  <c r="AR841" i="10"/>
  <c r="AS576" i="10"/>
  <c r="AS632" i="10"/>
  <c r="AR747" i="10"/>
  <c r="AS589" i="10"/>
  <c r="AS717" i="10"/>
  <c r="AS766" i="10"/>
  <c r="AR821" i="10"/>
  <c r="AR842" i="10"/>
  <c r="AR759" i="10"/>
  <c r="AS760" i="10"/>
  <c r="AS688" i="10"/>
  <c r="AR884" i="10"/>
  <c r="AR774" i="10"/>
  <c r="AS682" i="10"/>
  <c r="AS634" i="10"/>
  <c r="AS548" i="10"/>
  <c r="AS815" i="10"/>
  <c r="AS565" i="10"/>
  <c r="AS776" i="10"/>
  <c r="AR800" i="10"/>
  <c r="AS878" i="10"/>
  <c r="AR914" i="10"/>
  <c r="AS640" i="10"/>
  <c r="AS841" i="10"/>
  <c r="AR853" i="10"/>
  <c r="AR667" i="10"/>
  <c r="AR546" i="10"/>
  <c r="AS700" i="10"/>
  <c r="AR617" i="10"/>
  <c r="AR651" i="10"/>
  <c r="AS669" i="10"/>
  <c r="AS543" i="10"/>
  <c r="AR907" i="10"/>
  <c r="AS649" i="10"/>
  <c r="AP543" i="10"/>
  <c r="AY543" i="10" s="1"/>
  <c r="AQ543" i="10"/>
  <c r="AZ543" i="10" s="1"/>
  <c r="BI543" i="10"/>
  <c r="K486" i="19" s="1"/>
  <c r="L486" i="19" s="1"/>
  <c r="BS543" i="10"/>
  <c r="G623" i="19"/>
  <c r="A103" i="12"/>
  <c r="AQ774" i="10"/>
  <c r="AZ774" i="10" s="1"/>
  <c r="AP774" i="10"/>
  <c r="AY774" i="10" s="1"/>
  <c r="BS774" i="10"/>
  <c r="BI774" i="10"/>
  <c r="K858" i="19" s="1"/>
  <c r="L858" i="19" s="1"/>
  <c r="AQ645" i="10"/>
  <c r="AZ645" i="10" s="1"/>
  <c r="AP645" i="10"/>
  <c r="AY645" i="10" s="1"/>
  <c r="BS645" i="10"/>
  <c r="BI645" i="10"/>
  <c r="K580" i="19" s="1"/>
  <c r="L580" i="19" s="1"/>
  <c r="B274" i="11"/>
  <c r="AP626" i="10"/>
  <c r="AY626" i="10" s="1"/>
  <c r="AQ626" i="10"/>
  <c r="AZ626" i="10" s="1"/>
  <c r="BS626" i="10"/>
  <c r="BI626" i="10"/>
  <c r="K562" i="19" s="1"/>
  <c r="L562" i="19" s="1"/>
  <c r="G601" i="19"/>
  <c r="AQ898" i="10"/>
  <c r="AZ898" i="10" s="1"/>
  <c r="AP898" i="10"/>
  <c r="AY898" i="10" s="1"/>
  <c r="BS898" i="10"/>
  <c r="BI898" i="10"/>
  <c r="K860" i="19" s="1"/>
  <c r="L860" i="19" s="1"/>
  <c r="AP801" i="10"/>
  <c r="AY801" i="10" s="1"/>
  <c r="AQ801" i="10"/>
  <c r="AZ801" i="10" s="1"/>
  <c r="BI801" i="10"/>
  <c r="K727" i="19" s="1"/>
  <c r="L727" i="19" s="1"/>
  <c r="BS801" i="10"/>
  <c r="AQ616" i="10"/>
  <c r="AZ616" i="10" s="1"/>
  <c r="AP616" i="10"/>
  <c r="AY616" i="10" s="1"/>
  <c r="BS616" i="10"/>
  <c r="BI616" i="10"/>
  <c r="K763" i="19" s="1"/>
  <c r="L763" i="19" s="1"/>
  <c r="AP631" i="10"/>
  <c r="AY631" i="10" s="1"/>
  <c r="AQ631" i="10"/>
  <c r="AZ631" i="10" s="1"/>
  <c r="BS631" i="10"/>
  <c r="BI631" i="10"/>
  <c r="K567" i="19" s="1"/>
  <c r="AP587" i="10"/>
  <c r="AY587" i="10" s="1"/>
  <c r="AQ587" i="10"/>
  <c r="AZ587" i="10" s="1"/>
  <c r="BS587" i="10"/>
  <c r="BI587" i="10"/>
  <c r="K528" i="19" s="1"/>
  <c r="L528" i="19" s="1"/>
  <c r="A105" i="12"/>
  <c r="A21" i="5"/>
  <c r="R15" i="8"/>
  <c r="D21" i="5"/>
  <c r="S10" i="5" s="1"/>
  <c r="J10" i="5"/>
  <c r="C21" i="5"/>
  <c r="R10" i="5" s="1"/>
  <c r="E21" i="5"/>
  <c r="P10" i="5" s="1"/>
  <c r="F21" i="5"/>
  <c r="Q10" i="5" s="1"/>
  <c r="K269" i="11"/>
  <c r="X61" i="9"/>
  <c r="X17" i="9"/>
  <c r="G467" i="19"/>
  <c r="AQ905" i="10"/>
  <c r="AZ905" i="10" s="1"/>
  <c r="AP905" i="10"/>
  <c r="AY905" i="10" s="1"/>
  <c r="BS905" i="10"/>
  <c r="BI905" i="10"/>
  <c r="K835" i="19" s="1"/>
  <c r="L835" i="19" s="1"/>
  <c r="AP806" i="10"/>
  <c r="AY806" i="10" s="1"/>
  <c r="AQ806" i="10"/>
  <c r="AZ806" i="10" s="1"/>
  <c r="BI806" i="10"/>
  <c r="K733" i="19" s="1"/>
  <c r="L733" i="19" s="1"/>
  <c r="BS806" i="10"/>
  <c r="AQ601" i="10"/>
  <c r="AZ601" i="10" s="1"/>
  <c r="AP601" i="10"/>
  <c r="AY601" i="10" s="1"/>
  <c r="BS601" i="10"/>
  <c r="BI601" i="10"/>
  <c r="K539" i="19" s="1"/>
  <c r="L539" i="19" s="1"/>
  <c r="AP750" i="10"/>
  <c r="AY750" i="10" s="1"/>
  <c r="AQ750" i="10"/>
  <c r="AZ750" i="10" s="1"/>
  <c r="BS750" i="10"/>
  <c r="BI750" i="10"/>
  <c r="K678" i="19" s="1"/>
  <c r="L678" i="19" s="1"/>
  <c r="AP701" i="10"/>
  <c r="AY701" i="10" s="1"/>
  <c r="AQ701" i="10"/>
  <c r="AZ701" i="10" s="1"/>
  <c r="BS701" i="10"/>
  <c r="BI701" i="10"/>
  <c r="K633" i="19" s="1"/>
  <c r="AQ802" i="10"/>
  <c r="AZ802" i="10" s="1"/>
  <c r="AP802" i="10"/>
  <c r="AY802" i="10" s="1"/>
  <c r="BS802" i="10"/>
  <c r="BI802" i="10"/>
  <c r="K729" i="19" s="1"/>
  <c r="L729" i="19" s="1"/>
  <c r="AP617" i="10"/>
  <c r="AY617" i="10" s="1"/>
  <c r="AQ617" i="10"/>
  <c r="AZ617" i="10" s="1"/>
  <c r="BS617" i="10"/>
  <c r="BI617" i="10"/>
  <c r="K825" i="19" s="1"/>
  <c r="L825" i="19" s="1"/>
  <c r="AS757" i="10"/>
  <c r="AR693" i="10"/>
  <c r="AS809" i="10"/>
  <c r="AS679" i="10"/>
  <c r="AR814" i="10"/>
  <c r="AR785" i="10"/>
  <c r="AR703" i="10"/>
  <c r="AS560" i="10"/>
  <c r="AS514" i="10"/>
  <c r="AR515" i="10"/>
  <c r="AR559" i="10"/>
  <c r="AS515" i="10"/>
  <c r="AR506" i="10"/>
  <c r="AP902" i="10"/>
  <c r="AY902" i="10" s="1"/>
  <c r="AQ902" i="10"/>
  <c r="AZ902" i="10" s="1"/>
  <c r="BS902" i="10"/>
  <c r="BI902" i="10"/>
  <c r="K831" i="19" s="1"/>
  <c r="G668" i="19"/>
  <c r="AQ542" i="10"/>
  <c r="AZ542" i="10" s="1"/>
  <c r="AP542" i="10"/>
  <c r="AY542" i="10" s="1"/>
  <c r="BS542" i="10"/>
  <c r="BI542" i="10"/>
  <c r="K463" i="19" s="1"/>
  <c r="AS777" i="10"/>
  <c r="AR864" i="10"/>
  <c r="AS593" i="10"/>
  <c r="AS524" i="10"/>
  <c r="AR843" i="10"/>
  <c r="AR605" i="10"/>
  <c r="AS847" i="10"/>
  <c r="AS839" i="10"/>
  <c r="AS687" i="10"/>
  <c r="AQ911" i="10"/>
  <c r="AZ911" i="10" s="1"/>
  <c r="AP911" i="10"/>
  <c r="AY911" i="10" s="1"/>
  <c r="BS911" i="10"/>
  <c r="BI911" i="10"/>
  <c r="K841" i="19" s="1"/>
  <c r="AA15" i="9"/>
  <c r="X15" i="9"/>
  <c r="A36" i="5"/>
  <c r="F36" i="5"/>
  <c r="Q25" i="5" s="1"/>
  <c r="J25" i="5"/>
  <c r="E36" i="5"/>
  <c r="P25" i="5" s="1"/>
  <c r="D36" i="5"/>
  <c r="S25" i="5" s="1"/>
  <c r="C36" i="5"/>
  <c r="R25" i="5" s="1"/>
  <c r="X62" i="9"/>
  <c r="AA62" i="9"/>
  <c r="AQ634" i="10"/>
  <c r="AZ634" i="10" s="1"/>
  <c r="AP634" i="10"/>
  <c r="AY634" i="10" s="1"/>
  <c r="BS634" i="10"/>
  <c r="BI634" i="10"/>
  <c r="K570" i="19" s="1"/>
  <c r="L570" i="19" s="1"/>
  <c r="X23" i="9"/>
  <c r="AA23" i="9"/>
  <c r="AP901" i="10"/>
  <c r="AY901" i="10" s="1"/>
  <c r="AQ901" i="10"/>
  <c r="AZ901" i="10" s="1"/>
  <c r="BS901" i="10"/>
  <c r="BI901" i="10"/>
  <c r="K863" i="19" s="1"/>
  <c r="L863" i="19" s="1"/>
  <c r="AR897" i="10"/>
  <c r="AS830" i="10"/>
  <c r="AR919" i="10"/>
  <c r="AS566" i="10"/>
  <c r="AR606" i="10"/>
  <c r="AS730" i="10"/>
  <c r="AR530" i="10"/>
  <c r="AR806" i="10"/>
  <c r="AR545" i="10"/>
  <c r="X69" i="9"/>
  <c r="AA69" i="9"/>
  <c r="AP786" i="10"/>
  <c r="AY786" i="10" s="1"/>
  <c r="AQ786" i="10"/>
  <c r="AZ786" i="10" s="1"/>
  <c r="BS786" i="10"/>
  <c r="BI786" i="10"/>
  <c r="K711" i="19" s="1"/>
  <c r="L711" i="19" s="1"/>
  <c r="G611" i="19"/>
  <c r="AQ606" i="10"/>
  <c r="AZ606" i="10" s="1"/>
  <c r="AP606" i="10"/>
  <c r="AY606" i="10" s="1"/>
  <c r="BI606" i="10"/>
  <c r="K544" i="19" s="1"/>
  <c r="L544" i="19" s="1"/>
  <c r="BS606" i="10"/>
  <c r="AR571" i="10"/>
  <c r="AR532" i="10"/>
  <c r="B9" i="5"/>
  <c r="E21" i="15"/>
  <c r="E26" i="15"/>
  <c r="E24" i="15"/>
  <c r="E29" i="15"/>
  <c r="E31" i="15"/>
  <c r="E20" i="15"/>
  <c r="E19" i="15"/>
  <c r="E23" i="15"/>
  <c r="E18" i="15"/>
  <c r="E25" i="15"/>
  <c r="E28" i="15"/>
  <c r="E27" i="15"/>
  <c r="E22" i="15"/>
  <c r="E30" i="15"/>
  <c r="G776" i="19"/>
  <c r="G516" i="19"/>
  <c r="G775" i="19"/>
  <c r="G458" i="19"/>
  <c r="G469" i="19"/>
  <c r="X75" i="9"/>
  <c r="G472" i="19"/>
  <c r="AQ900" i="10"/>
  <c r="AZ900" i="10" s="1"/>
  <c r="AP900" i="10"/>
  <c r="AY900" i="10" s="1"/>
  <c r="BI900" i="10"/>
  <c r="K862" i="19" s="1"/>
  <c r="L862" i="19" s="1"/>
  <c r="BS900" i="10"/>
  <c r="AQ643" i="10"/>
  <c r="AZ643" i="10" s="1"/>
  <c r="AP643" i="10"/>
  <c r="AY643" i="10" s="1"/>
  <c r="BS643" i="10"/>
  <c r="BI643" i="10"/>
  <c r="K578" i="19" s="1"/>
  <c r="L578" i="19" s="1"/>
  <c r="AS506" i="10"/>
  <c r="AS774" i="10"/>
  <c r="AS693" i="10"/>
  <c r="AS625" i="10"/>
  <c r="AS755" i="10"/>
  <c r="AR823" i="10"/>
  <c r="AR581" i="10"/>
  <c r="AR633" i="10"/>
  <c r="AS838" i="10"/>
  <c r="AR878" i="10"/>
  <c r="AS728" i="10"/>
  <c r="AS721" i="10"/>
  <c r="AR707" i="10"/>
  <c r="AR856" i="10"/>
  <c r="AS648" i="10"/>
  <c r="AR668" i="10"/>
  <c r="AS535" i="10"/>
  <c r="AP735" i="10"/>
  <c r="AY735" i="10" s="1"/>
  <c r="AQ735" i="10"/>
  <c r="AZ735" i="10" s="1"/>
  <c r="BS735" i="10"/>
  <c r="BI735" i="10"/>
  <c r="K663" i="19" s="1"/>
  <c r="L663" i="19" s="1"/>
  <c r="AA7" i="9"/>
  <c r="X7" i="9"/>
  <c r="G609" i="19"/>
  <c r="G474" i="19"/>
  <c r="X49" i="9"/>
  <c r="AA49" i="9"/>
  <c r="AR735" i="10"/>
  <c r="AR656" i="10"/>
  <c r="AR880" i="10"/>
  <c r="AR779" i="10"/>
  <c r="AS702" i="10"/>
  <c r="AS633" i="10"/>
  <c r="AS875" i="10"/>
  <c r="AS523" i="10"/>
  <c r="AS641" i="10"/>
  <c r="AR695" i="10"/>
  <c r="AR873" i="10"/>
  <c r="AR863" i="10"/>
  <c r="AR565" i="10"/>
  <c r="AR603" i="10"/>
  <c r="AS619" i="10"/>
  <c r="AR681" i="10"/>
  <c r="AR608" i="10"/>
  <c r="AS562" i="10"/>
  <c r="AS686" i="10"/>
  <c r="AS597" i="10"/>
  <c r="AR701" i="10"/>
  <c r="AS787" i="10"/>
  <c r="AR531" i="10"/>
  <c r="AS661" i="10"/>
  <c r="AR811" i="10"/>
  <c r="AR834" i="10"/>
  <c r="AS532" i="10"/>
  <c r="AR540" i="10"/>
  <c r="AR816" i="10"/>
  <c r="AR645" i="10"/>
  <c r="AS549" i="10"/>
  <c r="AS513" i="10"/>
  <c r="AS510" i="10"/>
  <c r="AS726" i="10"/>
  <c r="AR758" i="10"/>
  <c r="AR609" i="10"/>
  <c r="AS534" i="10"/>
  <c r="AS782" i="10"/>
  <c r="AQ649" i="10"/>
  <c r="AZ649" i="10" s="1"/>
  <c r="AP649" i="10"/>
  <c r="AY649" i="10" s="1"/>
  <c r="BS649" i="10"/>
  <c r="BI649" i="10"/>
  <c r="K584" i="19" s="1"/>
  <c r="L584" i="19" s="1"/>
  <c r="L507" i="19"/>
  <c r="L452" i="19"/>
  <c r="BR6" i="9"/>
  <c r="AQ688" i="10"/>
  <c r="AZ688" i="10" s="1"/>
  <c r="AP688" i="10"/>
  <c r="AY688" i="10" s="1"/>
  <c r="BS688" i="10"/>
  <c r="BI688" i="10"/>
  <c r="K620" i="19" s="1"/>
  <c r="L620" i="19" s="1"/>
  <c r="AP603" i="10"/>
  <c r="AY603" i="10" s="1"/>
  <c r="AQ603" i="10"/>
  <c r="AZ603" i="10" s="1"/>
  <c r="BS603" i="10"/>
  <c r="BI603" i="10"/>
  <c r="K541" i="19" s="1"/>
  <c r="L541" i="19" s="1"/>
  <c r="AQ644" i="10"/>
  <c r="AZ644" i="10" s="1"/>
  <c r="AP644" i="10"/>
  <c r="AY644" i="10" s="1"/>
  <c r="BS644" i="10"/>
  <c r="BI644" i="10"/>
  <c r="K579" i="19" s="1"/>
  <c r="L579" i="19" s="1"/>
  <c r="AM270" i="11"/>
  <c r="AQ907" i="10"/>
  <c r="AZ907" i="10" s="1"/>
  <c r="AP907" i="10"/>
  <c r="AY907" i="10" s="1"/>
  <c r="BS907" i="10"/>
  <c r="BI907" i="10"/>
  <c r="K837" i="19" s="1"/>
  <c r="L837" i="19" s="1"/>
  <c r="G477" i="19"/>
  <c r="AP823" i="10"/>
  <c r="AY823" i="10" s="1"/>
  <c r="AQ823" i="10"/>
  <c r="AZ823" i="10" s="1"/>
  <c r="BS823" i="10"/>
  <c r="BI823" i="10"/>
  <c r="K750" i="19" s="1"/>
  <c r="L750" i="19" s="1"/>
  <c r="G681" i="19"/>
  <c r="AQ894" i="10"/>
  <c r="AZ894" i="10" s="1"/>
  <c r="AP894" i="10"/>
  <c r="AY894" i="10" s="1"/>
  <c r="BS894" i="10"/>
  <c r="BI894" i="10"/>
  <c r="K823" i="19" s="1"/>
  <c r="AP771" i="10"/>
  <c r="AY771" i="10" s="1"/>
  <c r="AQ771" i="10"/>
  <c r="AZ771" i="10" s="1"/>
  <c r="BS771" i="10"/>
  <c r="BI771" i="10"/>
  <c r="K855" i="19" s="1"/>
  <c r="L855" i="19" s="1"/>
  <c r="G608" i="19"/>
  <c r="AQ832" i="10"/>
  <c r="AZ832" i="10" s="1"/>
  <c r="AP832" i="10"/>
  <c r="AY832" i="10" s="1"/>
  <c r="BS832" i="10"/>
  <c r="BI832" i="10"/>
  <c r="K760" i="19" s="1"/>
  <c r="G596" i="19"/>
  <c r="A24" i="5"/>
  <c r="C24" i="5"/>
  <c r="R13" i="5" s="1"/>
  <c r="J13" i="5"/>
  <c r="F24" i="5"/>
  <c r="Q13" i="5" s="1"/>
  <c r="E24" i="5"/>
  <c r="P13" i="5" s="1"/>
  <c r="D24" i="5"/>
  <c r="S13" i="5" s="1"/>
  <c r="AP839" i="10"/>
  <c r="AY839" i="10" s="1"/>
  <c r="AQ839" i="10"/>
  <c r="AZ839" i="10" s="1"/>
  <c r="BS839" i="10"/>
  <c r="BI839" i="10"/>
  <c r="K768" i="19" s="1"/>
  <c r="L768" i="19" s="1"/>
  <c r="X28" i="9"/>
  <c r="X5" i="9"/>
  <c r="G500" i="19"/>
  <c r="AS734" i="10"/>
  <c r="AS692" i="10"/>
  <c r="AR720" i="10"/>
  <c r="AR709" i="10"/>
  <c r="AS747" i="10"/>
  <c r="AS906" i="10"/>
  <c r="AR799" i="10"/>
  <c r="AS752" i="10"/>
  <c r="AR625" i="10"/>
  <c r="AS579" i="10"/>
  <c r="AR582" i="10"/>
  <c r="AR548" i="10"/>
  <c r="AR577" i="10"/>
  <c r="A37" i="5"/>
  <c r="D37" i="5"/>
  <c r="S26" i="5" s="1"/>
  <c r="E37" i="5"/>
  <c r="P26" i="5" s="1"/>
  <c r="C37" i="5"/>
  <c r="R26" i="5" s="1"/>
  <c r="J26" i="5"/>
  <c r="F37" i="5"/>
  <c r="Q26" i="5" s="1"/>
  <c r="BR58" i="9"/>
  <c r="G737" i="19"/>
  <c r="G671" i="19"/>
  <c r="G625" i="19"/>
  <c r="L776" i="19"/>
  <c r="BR63" i="9"/>
  <c r="G515" i="19"/>
  <c r="AS773" i="10"/>
  <c r="AR790" i="10"/>
  <c r="AS607" i="10"/>
  <c r="AR780" i="10"/>
  <c r="AR804" i="10"/>
  <c r="AR739" i="10"/>
  <c r="AS896" i="10"/>
  <c r="AR541" i="10"/>
  <c r="G649" i="19"/>
  <c r="G771" i="19"/>
  <c r="AS666" i="10"/>
  <c r="AR788" i="10"/>
  <c r="AR729" i="10"/>
  <c r="AR889" i="10"/>
  <c r="AS691" i="10"/>
  <c r="AR610" i="10"/>
  <c r="AR702" i="10"/>
  <c r="AR648" i="10"/>
  <c r="AR654" i="10"/>
  <c r="AR537" i="10"/>
  <c r="AR572" i="10"/>
  <c r="AS655" i="10"/>
  <c r="AR553" i="10"/>
  <c r="AS587" i="10"/>
  <c r="AS629" i="10"/>
  <c r="AS507" i="10"/>
  <c r="BR13" i="9"/>
  <c r="G460" i="19"/>
  <c r="G448" i="19"/>
  <c r="AP594" i="10"/>
  <c r="AY594" i="10" s="1"/>
  <c r="AQ594" i="10"/>
  <c r="AZ594" i="10" s="1"/>
  <c r="BS594" i="10"/>
  <c r="BI594" i="10"/>
  <c r="K532" i="19" s="1"/>
  <c r="L532" i="19" s="1"/>
  <c r="AQ685" i="10"/>
  <c r="AZ685" i="10" s="1"/>
  <c r="AP685" i="10"/>
  <c r="AY685" i="10" s="1"/>
  <c r="BS685" i="10"/>
  <c r="BI685" i="10"/>
  <c r="K617" i="19" s="1"/>
  <c r="L617" i="19" s="1"/>
  <c r="AQ561" i="10"/>
  <c r="AZ561" i="10" s="1"/>
  <c r="AP561" i="10"/>
  <c r="AY561" i="10" s="1"/>
  <c r="BS561" i="10"/>
  <c r="BI561" i="10"/>
  <c r="K504" i="19" s="1"/>
  <c r="L504" i="19" s="1"/>
  <c r="AP874" i="10"/>
  <c r="AY874" i="10" s="1"/>
  <c r="AQ874" i="10"/>
  <c r="AZ874" i="10" s="1"/>
  <c r="BS874" i="10"/>
  <c r="BI874" i="10"/>
  <c r="K803" i="19" s="1"/>
  <c r="G815" i="19"/>
  <c r="AQ546" i="10"/>
  <c r="AZ546" i="10" s="1"/>
  <c r="AP546" i="10"/>
  <c r="AY546" i="10" s="1"/>
  <c r="BS546" i="10"/>
  <c r="BI546" i="10"/>
  <c r="K489" i="19" s="1"/>
  <c r="L489" i="19" s="1"/>
  <c r="AQ798" i="10"/>
  <c r="AZ798" i="10" s="1"/>
  <c r="AP798" i="10"/>
  <c r="AY798" i="10" s="1"/>
  <c r="BS798" i="10"/>
  <c r="BI798" i="10"/>
  <c r="K724" i="19" s="1"/>
  <c r="AQ917" i="10"/>
  <c r="AZ917" i="10" s="1"/>
  <c r="AP917" i="10"/>
  <c r="AY917" i="10" s="1"/>
  <c r="BS917" i="10"/>
  <c r="BI917" i="10"/>
  <c r="K847" i="19" s="1"/>
  <c r="L847" i="19" s="1"/>
  <c r="AA34" i="9"/>
  <c r="X34" i="9"/>
  <c r="AR894" i="10"/>
  <c r="AR766" i="10"/>
  <c r="AR767" i="10"/>
  <c r="AS658" i="10"/>
  <c r="AR730" i="10"/>
  <c r="AS866" i="10"/>
  <c r="AR719" i="10"/>
  <c r="AR852" i="10"/>
  <c r="AS834" i="10"/>
  <c r="AR754" i="10"/>
  <c r="AS714" i="10"/>
  <c r="AS701" i="10"/>
  <c r="AR744" i="10"/>
  <c r="AR555" i="10"/>
  <c r="AS600" i="10"/>
  <c r="AS663" i="10"/>
  <c r="AR629" i="10"/>
  <c r="AS748" i="10"/>
  <c r="AS520" i="10"/>
  <c r="AR607" i="10"/>
  <c r="AR687" i="10"/>
  <c r="AR536" i="10"/>
  <c r="AP642" i="10"/>
  <c r="AY642" i="10" s="1"/>
  <c r="AQ642" i="10"/>
  <c r="AZ642" i="10" s="1"/>
  <c r="BS642" i="10"/>
  <c r="BI642" i="10"/>
  <c r="K577" i="19" s="1"/>
  <c r="L577" i="19" s="1"/>
  <c r="B31" i="17"/>
  <c r="AP777" i="10"/>
  <c r="AY777" i="10" s="1"/>
  <c r="AQ777" i="10"/>
  <c r="AZ777" i="10" s="1"/>
  <c r="BS777" i="10"/>
  <c r="BI777" i="10"/>
  <c r="K702" i="19" s="1"/>
  <c r="L702" i="19" s="1"/>
  <c r="G459" i="19"/>
  <c r="G773" i="19"/>
  <c r="AQ548" i="10"/>
  <c r="AZ548" i="10" s="1"/>
  <c r="AP548" i="10"/>
  <c r="AY548" i="10" s="1"/>
  <c r="BS548" i="10"/>
  <c r="BI548" i="10"/>
  <c r="K491" i="19" s="1"/>
  <c r="L491" i="19" s="1"/>
  <c r="L828" i="19"/>
  <c r="BR72" i="9"/>
  <c r="K270" i="11"/>
  <c r="L270" i="11" s="1"/>
  <c r="M270" i="11" s="1"/>
  <c r="AR526" i="10"/>
  <c r="AS724" i="10"/>
  <c r="AR877" i="10"/>
  <c r="AR860" i="10"/>
  <c r="AR519" i="10"/>
  <c r="AS588" i="10"/>
  <c r="AR618" i="10"/>
  <c r="AS868" i="10"/>
  <c r="AR859" i="10"/>
  <c r="AR797" i="10"/>
  <c r="AR630" i="10"/>
  <c r="AS622" i="10"/>
  <c r="AP895" i="10"/>
  <c r="AY895" i="10" s="1"/>
  <c r="AQ895" i="10"/>
  <c r="AZ895" i="10" s="1"/>
  <c r="BS895" i="10"/>
  <c r="BI895" i="10"/>
  <c r="K824" i="19" s="1"/>
  <c r="L824" i="19" s="1"/>
  <c r="X42" i="9"/>
  <c r="AA42" i="9"/>
  <c r="AQ638" i="10"/>
  <c r="AZ638" i="10" s="1"/>
  <c r="AP638" i="10"/>
  <c r="AY638" i="10" s="1"/>
  <c r="BS638" i="10"/>
  <c r="BI638" i="10"/>
  <c r="K574" i="19" s="1"/>
  <c r="L574" i="19" s="1"/>
  <c r="AQ768" i="10"/>
  <c r="AZ768" i="10" s="1"/>
  <c r="AP768" i="10"/>
  <c r="AY768" i="10" s="1"/>
  <c r="BS768" i="10"/>
  <c r="BI768" i="10"/>
  <c r="K697" i="19" s="1"/>
  <c r="L697" i="19" s="1"/>
  <c r="AR904" i="10"/>
  <c r="AS627" i="10"/>
  <c r="AR737" i="10"/>
  <c r="AR850" i="10"/>
  <c r="AR738" i="10"/>
  <c r="AR795" i="10"/>
  <c r="AS900" i="10"/>
  <c r="AR711" i="10"/>
  <c r="AS806" i="10"/>
  <c r="AS522" i="10"/>
  <c r="AR623" i="10"/>
  <c r="AP588" i="10"/>
  <c r="AY588" i="10" s="1"/>
  <c r="AQ588" i="10"/>
  <c r="AZ588" i="10" s="1"/>
  <c r="BS588" i="10"/>
  <c r="BI588" i="10"/>
  <c r="K530" i="19" s="1"/>
  <c r="L530" i="19" s="1"/>
  <c r="G777" i="19"/>
  <c r="AQ795" i="10"/>
  <c r="AZ795" i="10" s="1"/>
  <c r="AP795" i="10"/>
  <c r="AY795" i="10" s="1"/>
  <c r="BS795" i="10"/>
  <c r="BI795" i="10"/>
  <c r="K721" i="19" s="1"/>
  <c r="L721" i="19" s="1"/>
  <c r="G518" i="19"/>
  <c r="G479" i="19"/>
  <c r="AQ821" i="10"/>
  <c r="AZ821" i="10" s="1"/>
  <c r="AP821" i="10"/>
  <c r="AY821" i="10" s="1"/>
  <c r="BS821" i="10"/>
  <c r="BI821" i="10"/>
  <c r="K748" i="19" s="1"/>
  <c r="L748" i="19" s="1"/>
  <c r="G742" i="19"/>
  <c r="AR678" i="10"/>
  <c r="G667" i="19"/>
  <c r="G851" i="19"/>
  <c r="AQ876" i="10"/>
  <c r="AZ876" i="10" s="1"/>
  <c r="AP876" i="10"/>
  <c r="AY876" i="10" s="1"/>
  <c r="BS876" i="10"/>
  <c r="BI876" i="10"/>
  <c r="K805" i="19" s="1"/>
  <c r="L805" i="19" s="1"/>
  <c r="G854" i="19"/>
  <c r="G788" i="19"/>
  <c r="A106" i="12"/>
  <c r="AR690" i="10"/>
  <c r="AR815" i="10"/>
  <c r="AS681" i="10"/>
  <c r="AP918" i="10"/>
  <c r="AY918" i="10" s="1"/>
  <c r="AQ918" i="10"/>
  <c r="AZ918" i="10" s="1"/>
  <c r="BS918" i="10"/>
  <c r="BI918" i="10"/>
  <c r="K848" i="19" s="1"/>
  <c r="L848" i="19" s="1"/>
  <c r="AR881" i="10"/>
  <c r="AR688" i="10"/>
  <c r="AS825" i="10"/>
  <c r="AS862" i="10"/>
  <c r="AR851" i="10"/>
  <c r="AR858" i="10"/>
  <c r="AS611" i="10"/>
  <c r="AR846" i="10"/>
  <c r="AR588" i="10"/>
  <c r="AS731" i="10"/>
  <c r="AR508" i="10"/>
  <c r="AQ864" i="10"/>
  <c r="AZ864" i="10" s="1"/>
  <c r="AP864" i="10"/>
  <c r="AY864" i="10" s="1"/>
  <c r="BS864" i="10"/>
  <c r="BI864" i="10"/>
  <c r="K793" i="19" s="1"/>
  <c r="L793" i="19" s="1"/>
  <c r="AP797" i="10"/>
  <c r="AY797" i="10" s="1"/>
  <c r="AQ797" i="10"/>
  <c r="AZ797" i="10" s="1"/>
  <c r="BS797" i="10"/>
  <c r="BI797" i="10"/>
  <c r="K723" i="19" s="1"/>
  <c r="L723" i="19" s="1"/>
  <c r="G814" i="19"/>
  <c r="AQ828" i="10"/>
  <c r="AZ828" i="10" s="1"/>
  <c r="AP828" i="10"/>
  <c r="AY828" i="10" s="1"/>
  <c r="BI828" i="10"/>
  <c r="K756" i="19" s="1"/>
  <c r="BS828" i="10"/>
  <c r="G852" i="19"/>
  <c r="G497" i="19"/>
  <c r="G791" i="19"/>
  <c r="E126" i="22"/>
  <c r="K260" i="11"/>
  <c r="AQ612" i="10"/>
  <c r="AZ612" i="10" s="1"/>
  <c r="AP612" i="10"/>
  <c r="AY612" i="10" s="1"/>
  <c r="BS612" i="10"/>
  <c r="BI612" i="10"/>
  <c r="K551" i="19" s="1"/>
  <c r="L551" i="19" s="1"/>
  <c r="AP620" i="10"/>
  <c r="AY620" i="10" s="1"/>
  <c r="AQ620" i="10"/>
  <c r="AZ620" i="10" s="1"/>
  <c r="BI620" i="10"/>
  <c r="K556" i="19" s="1"/>
  <c r="L556" i="19" s="1"/>
  <c r="BS620" i="10"/>
  <c r="G465" i="19"/>
  <c r="AA24" i="9"/>
  <c r="X24" i="9"/>
  <c r="AR643" i="10"/>
  <c r="AS778" i="10"/>
  <c r="AS833" i="10"/>
  <c r="AS856" i="10"/>
  <c r="AR824" i="10"/>
  <c r="AS751" i="10"/>
  <c r="AR664" i="10"/>
  <c r="AR513" i="10"/>
  <c r="AR857" i="10"/>
  <c r="AR641" i="10"/>
  <c r="AR694" i="10"/>
  <c r="AS618" i="10"/>
  <c r="AS673" i="10"/>
  <c r="AR592" i="10"/>
  <c r="AR658" i="10"/>
  <c r="AS604" i="10"/>
  <c r="AS795" i="10"/>
  <c r="A108" i="12"/>
  <c r="G598" i="19"/>
  <c r="AP837" i="10"/>
  <c r="AY837" i="10" s="1"/>
  <c r="AQ837" i="10"/>
  <c r="AZ837" i="10" s="1"/>
  <c r="BS837" i="10"/>
  <c r="BI837" i="10"/>
  <c r="K766" i="19" s="1"/>
  <c r="L766" i="19" s="1"/>
  <c r="AS500" i="10"/>
  <c r="AS867" i="10"/>
  <c r="AS635" i="10"/>
  <c r="AS891" i="10"/>
  <c r="AS792" i="10"/>
  <c r="AR543" i="10"/>
  <c r="AR725" i="10"/>
  <c r="AS676" i="10"/>
  <c r="G597" i="19"/>
  <c r="AQ609" i="10"/>
  <c r="AZ609" i="10" s="1"/>
  <c r="AP609" i="10"/>
  <c r="AY609" i="10" s="1"/>
  <c r="BS609" i="10"/>
  <c r="BI609" i="10"/>
  <c r="K548" i="19" s="1"/>
  <c r="L548" i="19" s="1"/>
  <c r="AP733" i="10"/>
  <c r="AY733" i="10" s="1"/>
  <c r="AQ733" i="10"/>
  <c r="AZ733" i="10" s="1"/>
  <c r="BS733" i="10"/>
  <c r="BI733" i="10"/>
  <c r="K661" i="19" s="1"/>
  <c r="L661" i="19" s="1"/>
  <c r="AQ640" i="10"/>
  <c r="AZ640" i="10" s="1"/>
  <c r="AP640" i="10"/>
  <c r="AY640" i="10" s="1"/>
  <c r="BS640" i="10"/>
  <c r="BI640" i="10"/>
  <c r="K575" i="19" s="1"/>
  <c r="G774" i="19"/>
  <c r="F33" i="5"/>
  <c r="Q22" i="5" s="1"/>
  <c r="E33" i="5"/>
  <c r="P22" i="5" s="1"/>
  <c r="D33" i="5"/>
  <c r="S22" i="5" s="1"/>
  <c r="C33" i="5"/>
  <c r="R22" i="5" s="1"/>
  <c r="J22" i="5"/>
  <c r="A33" i="5"/>
  <c r="AR922" i="10"/>
  <c r="AS746" i="10"/>
  <c r="AR722" i="10"/>
  <c r="AR885" i="10"/>
  <c r="AS753" i="10"/>
  <c r="AS877" i="10"/>
  <c r="AS800" i="10"/>
  <c r="AR712" i="10"/>
  <c r="AS865" i="10"/>
  <c r="AR752" i="10"/>
  <c r="AR598" i="10"/>
  <c r="AS547" i="10"/>
  <c r="AS624" i="10"/>
  <c r="AR527" i="10"/>
  <c r="AR570" i="10"/>
  <c r="AQ904" i="10"/>
  <c r="AZ904" i="10" s="1"/>
  <c r="AP904" i="10"/>
  <c r="AY904" i="10" s="1"/>
  <c r="BS904" i="10"/>
  <c r="BI904" i="10"/>
  <c r="K834" i="19" s="1"/>
  <c r="L834" i="19" s="1"/>
  <c r="G770" i="19"/>
  <c r="AP628" i="10"/>
  <c r="AY628" i="10" s="1"/>
  <c r="AQ628" i="10"/>
  <c r="AZ628" i="10" s="1"/>
  <c r="BS628" i="10"/>
  <c r="BI628" i="10"/>
  <c r="K564" i="19" s="1"/>
  <c r="L564" i="19" s="1"/>
  <c r="AS740" i="10"/>
  <c r="AR675" i="10"/>
  <c r="AR817" i="10"/>
  <c r="AR809" i="10"/>
  <c r="AR746" i="10"/>
  <c r="AS769" i="10"/>
  <c r="AR895" i="10"/>
  <c r="AR787" i="10"/>
  <c r="AS612" i="10"/>
  <c r="AS911" i="10"/>
  <c r="AS720" i="10"/>
  <c r="AS885" i="10"/>
  <c r="AR820" i="10"/>
  <c r="AS780" i="10"/>
  <c r="AS846" i="10"/>
  <c r="AR638" i="10"/>
  <c r="AS526" i="10"/>
  <c r="AS509" i="10"/>
  <c r="AS617" i="10"/>
  <c r="AR750" i="10"/>
  <c r="AS553" i="10"/>
  <c r="AR683" i="10"/>
  <c r="AS644" i="10"/>
  <c r="AS598" i="10"/>
  <c r="AS608" i="10"/>
  <c r="AP565" i="10"/>
  <c r="AY565" i="10" s="1"/>
  <c r="AQ565" i="10"/>
  <c r="AZ565" i="10" s="1"/>
  <c r="BS565" i="10"/>
  <c r="BI565" i="10"/>
  <c r="K547" i="19" s="1"/>
  <c r="L547" i="19" s="1"/>
  <c r="AP808" i="10"/>
  <c r="AY808" i="10" s="1"/>
  <c r="AQ808" i="10"/>
  <c r="AZ808" i="10" s="1"/>
  <c r="BS808" i="10"/>
  <c r="BI808" i="10"/>
  <c r="K735" i="19" s="1"/>
  <c r="L735" i="19" s="1"/>
  <c r="AQ711" i="10"/>
  <c r="AZ711" i="10" s="1"/>
  <c r="AP711" i="10"/>
  <c r="AY711" i="10" s="1"/>
  <c r="BS711" i="10"/>
  <c r="BI711" i="10"/>
  <c r="K643" i="19" s="1"/>
  <c r="L643" i="19" s="1"/>
  <c r="G604" i="19"/>
  <c r="G455" i="19"/>
  <c r="G522" i="19"/>
  <c r="AQ836" i="10"/>
  <c r="AZ836" i="10" s="1"/>
  <c r="AP836" i="10"/>
  <c r="AY836" i="10" s="1"/>
  <c r="BS836" i="10"/>
  <c r="BI836" i="10"/>
  <c r="K765" i="19" s="1"/>
  <c r="L765" i="19" s="1"/>
  <c r="AS545" i="10"/>
  <c r="AS616" i="10"/>
  <c r="AS761" i="10"/>
  <c r="AR896" i="10"/>
  <c r="AS864" i="10"/>
  <c r="AR692" i="10"/>
  <c r="AR761" i="10"/>
  <c r="AR807" i="10"/>
  <c r="AS582" i="10"/>
  <c r="AS606" i="10"/>
  <c r="AS742" i="10"/>
  <c r="AR602" i="10"/>
  <c r="AR520" i="10"/>
  <c r="AS561" i="10"/>
  <c r="AR501" i="10"/>
  <c r="AS621" i="10"/>
  <c r="AO270" i="11"/>
  <c r="AP891" i="10"/>
  <c r="AY891" i="10" s="1"/>
  <c r="AQ891" i="10"/>
  <c r="AZ891" i="10" s="1"/>
  <c r="BI891" i="10"/>
  <c r="K820" i="19" s="1"/>
  <c r="L820" i="19" s="1"/>
  <c r="BS891" i="10"/>
  <c r="AP762" i="10"/>
  <c r="AY762" i="10" s="1"/>
  <c r="AQ762" i="10"/>
  <c r="AZ762" i="10" s="1"/>
  <c r="BS762" i="10"/>
  <c r="BI762" i="10"/>
  <c r="K691" i="19" s="1"/>
  <c r="L691" i="19" s="1"/>
  <c r="AQ865" i="10"/>
  <c r="AZ865" i="10" s="1"/>
  <c r="AP865" i="10"/>
  <c r="AY865" i="10" s="1"/>
  <c r="BS865" i="10"/>
  <c r="BI865" i="10"/>
  <c r="K794" i="19" s="1"/>
  <c r="L794" i="19" s="1"/>
  <c r="AA16" i="9"/>
  <c r="X16" i="9"/>
  <c r="A26" i="5"/>
  <c r="F26" i="5"/>
  <c r="Q15" i="5" s="1"/>
  <c r="J15" i="5"/>
  <c r="C26" i="5"/>
  <c r="R15" i="5" s="1"/>
  <c r="D26" i="5"/>
  <c r="S15" i="5" s="1"/>
  <c r="E26" i="5"/>
  <c r="P15" i="5" s="1"/>
  <c r="X67" i="9"/>
  <c r="G513" i="19"/>
  <c r="AS821" i="10"/>
  <c r="G673" i="19"/>
  <c r="G461" i="19"/>
  <c r="X50" i="9"/>
  <c r="AA50" i="9"/>
  <c r="AR589" i="10"/>
  <c r="AR840" i="10"/>
  <c r="AR911" i="10"/>
  <c r="AR777" i="10"/>
  <c r="AR826" i="10"/>
  <c r="AR522" i="10"/>
  <c r="AR829" i="10"/>
  <c r="AS762" i="10"/>
  <c r="AS537" i="10"/>
  <c r="AS849" i="10"/>
  <c r="AR670" i="10"/>
  <c r="AS861" i="10"/>
  <c r="AR550" i="10"/>
  <c r="AS650" i="10"/>
  <c r="AR726" i="10"/>
  <c r="AR590" i="10"/>
  <c r="AS599" i="10"/>
  <c r="AR624" i="10"/>
  <c r="AS601" i="10"/>
  <c r="AR523" i="10"/>
  <c r="AS519" i="10"/>
  <c r="AR890" i="10"/>
  <c r="AS564" i="10"/>
  <c r="AS901" i="10"/>
  <c r="AS844" i="10"/>
  <c r="AR832" i="10"/>
  <c r="AS503" i="10"/>
  <c r="AS754" i="10"/>
  <c r="AS814" i="10"/>
  <c r="AR802" i="10"/>
  <c r="AR552" i="10"/>
  <c r="AR627" i="10"/>
  <c r="AR529" i="10"/>
  <c r="AR745" i="10"/>
  <c r="AS768" i="10"/>
  <c r="AS732" i="10"/>
  <c r="AS559" i="10"/>
  <c r="AR507" i="10"/>
  <c r="AQ772" i="10"/>
  <c r="AZ772" i="10" s="1"/>
  <c r="AP772" i="10"/>
  <c r="AY772" i="10" s="1"/>
  <c r="BS772" i="10"/>
  <c r="BI772" i="10"/>
  <c r="K856" i="19" s="1"/>
  <c r="L856" i="19" s="1"/>
  <c r="G627" i="19"/>
  <c r="L670" i="19"/>
  <c r="BR43" i="9"/>
  <c r="AP726" i="10"/>
  <c r="AY726" i="10" s="1"/>
  <c r="AQ726" i="10"/>
  <c r="AZ726" i="10" s="1"/>
  <c r="BS726" i="10"/>
  <c r="BI726" i="10"/>
  <c r="K654" i="19" s="1"/>
  <c r="L654" i="19" s="1"/>
  <c r="G452" i="19"/>
  <c r="L470" i="19"/>
  <c r="BR9" i="9"/>
  <c r="AQ922" i="10"/>
  <c r="AZ922" i="10" s="1"/>
  <c r="AP922" i="10"/>
  <c r="AY922" i="10" s="1"/>
  <c r="BS922" i="10"/>
  <c r="BI922" i="10"/>
  <c r="K866" i="19" s="1"/>
  <c r="L866" i="19" s="1"/>
  <c r="AP805" i="10"/>
  <c r="AY805" i="10" s="1"/>
  <c r="AQ805" i="10"/>
  <c r="AZ805" i="10" s="1"/>
  <c r="BS805" i="10"/>
  <c r="BI805" i="10"/>
  <c r="K732" i="19" s="1"/>
  <c r="L732" i="19" s="1"/>
  <c r="L482" i="19"/>
  <c r="BR11" i="9"/>
  <c r="B273" i="11"/>
  <c r="G787" i="19"/>
  <c r="AQ562" i="10"/>
  <c r="AZ562" i="10" s="1"/>
  <c r="AP562" i="10"/>
  <c r="AY562" i="10" s="1"/>
  <c r="BS562" i="10"/>
  <c r="BI562" i="10"/>
  <c r="K505" i="19" s="1"/>
  <c r="L505" i="19" s="1"/>
  <c r="G521" i="19"/>
  <c r="X11" i="9"/>
  <c r="AA11" i="9"/>
  <c r="AP639" i="10"/>
  <c r="AY639" i="10" s="1"/>
  <c r="AQ639" i="10"/>
  <c r="AZ639" i="10" s="1"/>
  <c r="BS639" i="10"/>
  <c r="BI639" i="10"/>
  <c r="K827" i="19" s="1"/>
  <c r="L827" i="19" s="1"/>
  <c r="AQ776" i="10"/>
  <c r="AZ776" i="10" s="1"/>
  <c r="AP776" i="10"/>
  <c r="AY776" i="10" s="1"/>
  <c r="BS776" i="10"/>
  <c r="BI776" i="10"/>
  <c r="K701" i="19" s="1"/>
  <c r="A27" i="5"/>
  <c r="F27" i="5"/>
  <c r="Q16" i="5" s="1"/>
  <c r="D27" i="5"/>
  <c r="S16" i="5" s="1"/>
  <c r="E27" i="5"/>
  <c r="P16" i="5" s="1"/>
  <c r="C27" i="5"/>
  <c r="R16" i="5" s="1"/>
  <c r="J16" i="5"/>
  <c r="K259" i="11"/>
  <c r="L259" i="11" s="1"/>
  <c r="M259" i="11" s="1"/>
  <c r="X21" i="9"/>
  <c r="X65" i="9"/>
  <c r="X52" i="9"/>
  <c r="G739" i="19"/>
  <c r="AQ919" i="10"/>
  <c r="AZ919" i="10" s="1"/>
  <c r="AP919" i="10"/>
  <c r="AY919" i="10" s="1"/>
  <c r="BS919" i="10"/>
  <c r="BI919" i="10"/>
  <c r="K849" i="19" s="1"/>
  <c r="L849" i="19" s="1"/>
  <c r="AP758" i="10"/>
  <c r="AY758" i="10" s="1"/>
  <c r="AQ758" i="10"/>
  <c r="AZ758" i="10" s="1"/>
  <c r="BS758" i="10"/>
  <c r="BI758" i="10"/>
  <c r="K687" i="19" s="1"/>
  <c r="L687" i="19" s="1"/>
  <c r="AS854" i="10"/>
  <c r="AS794" i="10"/>
  <c r="AS654" i="10"/>
  <c r="AS646" i="10"/>
  <c r="AR869" i="10"/>
  <c r="AR831" i="10"/>
  <c r="AR721" i="10"/>
  <c r="AR601" i="10"/>
  <c r="AS683" i="10"/>
  <c r="AR762" i="10"/>
  <c r="AR585" i="10"/>
  <c r="AP599" i="10"/>
  <c r="AY599" i="10" s="1"/>
  <c r="AQ599" i="10"/>
  <c r="AZ599" i="10" s="1"/>
  <c r="BS599" i="10"/>
  <c r="BI599" i="10"/>
  <c r="K537" i="19" s="1"/>
  <c r="AQ615" i="10"/>
  <c r="AZ615" i="10" s="1"/>
  <c r="AP615" i="10"/>
  <c r="AY615" i="10" s="1"/>
  <c r="BS615" i="10"/>
  <c r="BI615" i="10"/>
  <c r="K554" i="19" s="1"/>
  <c r="L554" i="19" s="1"/>
  <c r="AS602" i="10"/>
  <c r="AS853" i="10"/>
  <c r="AR812" i="10"/>
  <c r="AR613" i="10"/>
  <c r="AR574" i="10"/>
  <c r="AR580" i="10"/>
  <c r="AR769" i="10"/>
  <c r="AR903" i="10"/>
  <c r="AR539" i="10"/>
  <c r="AR741" i="10"/>
  <c r="AQ729" i="10"/>
  <c r="AZ729" i="10" s="1"/>
  <c r="AP729" i="10"/>
  <c r="AY729" i="10" s="1"/>
  <c r="BS729" i="10"/>
  <c r="BI729" i="10"/>
  <c r="K657" i="19" s="1"/>
  <c r="L657" i="19" s="1"/>
  <c r="L519" i="19"/>
  <c r="BR17" i="9"/>
  <c r="G812" i="19"/>
  <c r="X43" i="9"/>
  <c r="AA43" i="9"/>
  <c r="AQ595" i="10"/>
  <c r="AZ595" i="10" s="1"/>
  <c r="AP595" i="10"/>
  <c r="AY595" i="10" s="1"/>
  <c r="BI595" i="10"/>
  <c r="K533" i="19" s="1"/>
  <c r="L533" i="19" s="1"/>
  <c r="BS595" i="10"/>
  <c r="L742" i="19"/>
  <c r="BR56" i="9"/>
  <c r="G682" i="19"/>
  <c r="AQ783" i="10"/>
  <c r="AZ783" i="10" s="1"/>
  <c r="AP783" i="10"/>
  <c r="AY783" i="10" s="1"/>
  <c r="BS783" i="10"/>
  <c r="BI783" i="10"/>
  <c r="K708" i="19" s="1"/>
  <c r="L708" i="19" s="1"/>
  <c r="AR669" i="10"/>
  <c r="AR586" i="10"/>
  <c r="AS709" i="10"/>
  <c r="AS749" i="10"/>
  <c r="AS603" i="10"/>
  <c r="AS680" i="10"/>
  <c r="AR892" i="10"/>
  <c r="AS912" i="10"/>
  <c r="AS517" i="10"/>
  <c r="AR554" i="10"/>
  <c r="AS570" i="10"/>
  <c r="AR578" i="10"/>
  <c r="AR879" i="10"/>
  <c r="BR55" i="9"/>
  <c r="AP757" i="10"/>
  <c r="AY757" i="10" s="1"/>
  <c r="AQ757" i="10"/>
  <c r="AZ757" i="10" s="1"/>
  <c r="BS757" i="10"/>
  <c r="BI757" i="10"/>
  <c r="K686" i="19" s="1"/>
  <c r="L686" i="19" s="1"/>
  <c r="AR813" i="10"/>
  <c r="AR833" i="10"/>
  <c r="AR861" i="10"/>
  <c r="AS631" i="10"/>
  <c r="AR684" i="10"/>
  <c r="AR686" i="10"/>
  <c r="AR849" i="10"/>
  <c r="AS737" i="10"/>
  <c r="AR621" i="10"/>
  <c r="AS590" i="10"/>
  <c r="AR778" i="10"/>
  <c r="G520" i="19"/>
  <c r="G450" i="19"/>
  <c r="AQ867" i="10"/>
  <c r="AZ867" i="10" s="1"/>
  <c r="AP867" i="10"/>
  <c r="AY867" i="10" s="1"/>
  <c r="BS867" i="10"/>
  <c r="BI867" i="10"/>
  <c r="K796" i="19" s="1"/>
  <c r="L796" i="19" s="1"/>
  <c r="F28" i="5"/>
  <c r="Q17" i="5" s="1"/>
  <c r="A28" i="5"/>
  <c r="E28" i="5"/>
  <c r="P17" i="5" s="1"/>
  <c r="C28" i="5"/>
  <c r="R17" i="5" s="1"/>
  <c r="D28" i="5"/>
  <c r="S17" i="5" s="1"/>
  <c r="J17" i="5"/>
  <c r="G778" i="19"/>
  <c r="X60" i="9"/>
  <c r="G752" i="19"/>
  <c r="AS855" i="10"/>
  <c r="AS727" i="10"/>
  <c r="AR732" i="10"/>
  <c r="AR647" i="10"/>
  <c r="AS664" i="10"/>
  <c r="AS779" i="10"/>
  <c r="AR847" i="10"/>
  <c r="AS558" i="10"/>
  <c r="G589" i="19"/>
  <c r="AQ778" i="10"/>
  <c r="AZ778" i="10" s="1"/>
  <c r="AP778" i="10"/>
  <c r="AY778" i="10" s="1"/>
  <c r="BS778" i="10"/>
  <c r="BI778" i="10"/>
  <c r="K703" i="19" s="1"/>
  <c r="L703" i="19" s="1"/>
  <c r="G480" i="19"/>
  <c r="G684" i="19"/>
  <c r="AQ563" i="10"/>
  <c r="AZ563" i="10" s="1"/>
  <c r="AP563" i="10"/>
  <c r="AY563" i="10" s="1"/>
  <c r="BS563" i="10"/>
  <c r="BI563" i="10"/>
  <c r="K506" i="19" s="1"/>
  <c r="L506" i="19" s="1"/>
  <c r="X57" i="9"/>
  <c r="G850" i="19"/>
  <c r="G632" i="19"/>
  <c r="G447" i="19"/>
  <c r="AS685" i="10"/>
  <c r="AS556" i="10"/>
  <c r="AS722" i="10"/>
  <c r="AS743" i="10"/>
  <c r="AR706" i="10"/>
  <c r="AS823" i="10"/>
  <c r="AR591" i="10"/>
  <c r="AS708" i="10"/>
  <c r="AS613" i="10"/>
  <c r="AS541" i="10"/>
  <c r="AR611" i="10"/>
  <c r="AS672" i="10"/>
  <c r="AQ878" i="10"/>
  <c r="AZ878" i="10" s="1"/>
  <c r="AP878" i="10"/>
  <c r="AY878" i="10" s="1"/>
  <c r="BS878" i="10"/>
  <c r="BI878" i="10"/>
  <c r="K807" i="19" s="1"/>
  <c r="L807" i="19" s="1"/>
  <c r="A111" i="12"/>
  <c r="AR599" i="10"/>
  <c r="AR674" i="10"/>
  <c r="AS592" i="10"/>
  <c r="AS662" i="10"/>
  <c r="AS895" i="10"/>
  <c r="G524" i="19"/>
  <c r="AQ914" i="10"/>
  <c r="AZ914" i="10" s="1"/>
  <c r="AP914" i="10"/>
  <c r="AY914" i="10" s="1"/>
  <c r="BS914" i="10"/>
  <c r="BI914" i="10"/>
  <c r="K844" i="19" s="1"/>
  <c r="L844" i="19" s="1"/>
  <c r="A104" i="12"/>
  <c r="X63" i="9"/>
  <c r="AP761" i="10"/>
  <c r="AY761" i="10" s="1"/>
  <c r="AQ761" i="10"/>
  <c r="AZ761" i="10" s="1"/>
  <c r="BI761" i="10"/>
  <c r="K690" i="19" s="1"/>
  <c r="BS761" i="10"/>
  <c r="G736" i="19"/>
  <c r="X20" i="9"/>
  <c r="AA20" i="9"/>
  <c r="AR528" i="10"/>
  <c r="AS801" i="10"/>
  <c r="AS793" i="10"/>
  <c r="AS572" i="10"/>
  <c r="AS914" i="10"/>
  <c r="G811" i="19"/>
  <c r="G523" i="19"/>
  <c r="AQ875" i="10"/>
  <c r="AZ875" i="10" s="1"/>
  <c r="AP875" i="10"/>
  <c r="AY875" i="10" s="1"/>
  <c r="BS875" i="10"/>
  <c r="BI875" i="10"/>
  <c r="K804" i="19" s="1"/>
  <c r="L804" i="19" s="1"/>
  <c r="AA27" i="9"/>
  <c r="X27" i="9"/>
  <c r="AP703" i="10"/>
  <c r="AY703" i="10" s="1"/>
  <c r="AQ703" i="10"/>
  <c r="AZ703" i="10" s="1"/>
  <c r="BI703" i="10"/>
  <c r="K635" i="19" s="1"/>
  <c r="L635" i="19" s="1"/>
  <c r="BS703" i="10"/>
  <c r="X6" i="9"/>
  <c r="AA6" i="9"/>
  <c r="L444" i="19"/>
  <c r="BR5" i="9"/>
  <c r="AA58" i="9"/>
  <c r="X58" i="9"/>
  <c r="AR697" i="10"/>
  <c r="AS828" i="10"/>
  <c r="AR893" i="10"/>
  <c r="AS897" i="10"/>
  <c r="AR742" i="10"/>
  <c r="AS574" i="10"/>
  <c r="AS636" i="10"/>
  <c r="AS718" i="10"/>
  <c r="AS689" i="10"/>
  <c r="AS715" i="10"/>
  <c r="AS811" i="10"/>
  <c r="AR835" i="10"/>
  <c r="AR689" i="10"/>
  <c r="AR616" i="10"/>
  <c r="AR765" i="10"/>
  <c r="AS820" i="10"/>
  <c r="AS819" i="10"/>
  <c r="AS923" i="10"/>
  <c r="AR639" i="10"/>
  <c r="AR663" i="10"/>
  <c r="AS869" i="10"/>
  <c r="AS684" i="10"/>
  <c r="AR676" i="10"/>
  <c r="AS892" i="10"/>
  <c r="AS785" i="10"/>
  <c r="AS822" i="10"/>
  <c r="AR576" i="10"/>
  <c r="AS516" i="10"/>
  <c r="AR764" i="10"/>
  <c r="AS802" i="10"/>
  <c r="AR597" i="10"/>
  <c r="AS578" i="10"/>
  <c r="AR533" i="10"/>
  <c r="AS750" i="10"/>
  <c r="AR587" i="10"/>
  <c r="AS909" i="10"/>
  <c r="AR575" i="10"/>
  <c r="AS508" i="10"/>
  <c r="AP787" i="10"/>
  <c r="AY787" i="10" s="1"/>
  <c r="AQ787" i="10"/>
  <c r="AZ787" i="10" s="1"/>
  <c r="BS787" i="10"/>
  <c r="BI787" i="10"/>
  <c r="K712" i="19" s="1"/>
  <c r="G670" i="19"/>
  <c r="G728" i="19"/>
  <c r="G648" i="19"/>
  <c r="G512" i="19"/>
  <c r="G470" i="19"/>
  <c r="AP709" i="10"/>
  <c r="AY709" i="10" s="1"/>
  <c r="AQ709" i="10"/>
  <c r="AZ709" i="10" s="1"/>
  <c r="BS709" i="10"/>
  <c r="BI709" i="10"/>
  <c r="K641" i="19" s="1"/>
  <c r="L641" i="19" s="1"/>
  <c r="G482" i="19"/>
  <c r="G508" i="19"/>
  <c r="G449" i="19"/>
  <c r="AA55" i="9"/>
  <c r="X55" i="9"/>
  <c r="G650" i="19"/>
  <c r="L603" i="19"/>
  <c r="BR32" i="9"/>
  <c r="G784" i="19"/>
  <c r="G471" i="19"/>
  <c r="AA38" i="9"/>
  <c r="X38" i="9"/>
  <c r="X9" i="9"/>
  <c r="AA9" i="9"/>
  <c r="AQ790" i="10"/>
  <c r="AZ790" i="10" s="1"/>
  <c r="AP790" i="10"/>
  <c r="AY790" i="10" s="1"/>
  <c r="BS790" i="10"/>
  <c r="BI790" i="10"/>
  <c r="K715" i="19" s="1"/>
  <c r="L715" i="19" s="1"/>
  <c r="AQ910" i="10"/>
  <c r="AZ910" i="10" s="1"/>
  <c r="AP910" i="10"/>
  <c r="AY910" i="10" s="1"/>
  <c r="BS910" i="10"/>
  <c r="BI910" i="10"/>
  <c r="K840" i="19" s="1"/>
  <c r="L840" i="19" s="1"/>
  <c r="AQ767" i="10"/>
  <c r="AZ767" i="10" s="1"/>
  <c r="AP767" i="10"/>
  <c r="AY767" i="10" s="1"/>
  <c r="BS767" i="10"/>
  <c r="BI767" i="10"/>
  <c r="K696" i="19" s="1"/>
  <c r="J20" i="5"/>
  <c r="E31" i="5"/>
  <c r="P20" i="5" s="1"/>
  <c r="D31" i="5"/>
  <c r="S20" i="5" s="1"/>
  <c r="C31" i="5"/>
  <c r="R20" i="5" s="1"/>
  <c r="A31" i="5"/>
  <c r="F31" i="5"/>
  <c r="Q20" i="5" s="1"/>
  <c r="AQ829" i="10"/>
  <c r="AZ829" i="10" s="1"/>
  <c r="AP829" i="10"/>
  <c r="AY829" i="10" s="1"/>
  <c r="BS829" i="10"/>
  <c r="BI829" i="10"/>
  <c r="K757" i="19" s="1"/>
  <c r="L757" i="19" s="1"/>
  <c r="G675" i="19"/>
  <c r="K264" i="11"/>
  <c r="X26" i="9"/>
  <c r="X36" i="9"/>
  <c r="X51" i="9"/>
  <c r="AR563" i="10"/>
  <c r="AS643" i="10"/>
  <c r="AS764" i="10"/>
  <c r="AR640" i="10"/>
  <c r="AR713" i="10"/>
  <c r="AS568" i="10"/>
  <c r="G594" i="19"/>
  <c r="AR653" i="10"/>
  <c r="AS758" i="10"/>
  <c r="AR727" i="10"/>
  <c r="AA14" i="9"/>
  <c r="X14" i="9"/>
  <c r="F34" i="5"/>
  <c r="Q23" i="5" s="1"/>
  <c r="E34" i="5"/>
  <c r="P23" i="5" s="1"/>
  <c r="A34" i="5"/>
  <c r="J23" i="5"/>
  <c r="C34" i="5"/>
  <c r="R23" i="5" s="1"/>
  <c r="D34" i="5"/>
  <c r="S23" i="5" s="1"/>
  <c r="BR33" i="9"/>
  <c r="AR736" i="10"/>
  <c r="AR564" i="10"/>
  <c r="AR837" i="10"/>
  <c r="AS890" i="10"/>
  <c r="G624" i="19"/>
  <c r="AQ623" i="10"/>
  <c r="AZ623" i="10" s="1"/>
  <c r="AP623" i="10"/>
  <c r="AY623" i="10" s="1"/>
  <c r="BS623" i="10"/>
  <c r="BI623" i="10"/>
  <c r="K559" i="19" s="1"/>
  <c r="L559" i="19" s="1"/>
  <c r="AQ912" i="10"/>
  <c r="AZ912" i="10" s="1"/>
  <c r="AP912" i="10"/>
  <c r="AY912" i="10" s="1"/>
  <c r="BS912" i="10"/>
  <c r="BI912" i="10"/>
  <c r="K842" i="19" s="1"/>
  <c r="L842" i="19" s="1"/>
  <c r="AQ627" i="10"/>
  <c r="AZ627" i="10" s="1"/>
  <c r="AP627" i="10"/>
  <c r="AY627" i="10" s="1"/>
  <c r="BS627" i="10"/>
  <c r="BI627" i="10"/>
  <c r="K563" i="19" s="1"/>
  <c r="L563" i="19" s="1"/>
  <c r="G498" i="19"/>
  <c r="AP766" i="10"/>
  <c r="AY766" i="10" s="1"/>
  <c r="AQ766" i="10"/>
  <c r="AZ766" i="10" s="1"/>
  <c r="BS766" i="10"/>
  <c r="BI766" i="10"/>
  <c r="K695" i="19" s="1"/>
  <c r="L695" i="19" s="1"/>
  <c r="G517" i="19"/>
  <c r="AQ684" i="10"/>
  <c r="AZ684" i="10" s="1"/>
  <c r="AP684" i="10"/>
  <c r="AY684" i="10" s="1"/>
  <c r="BS684" i="10"/>
  <c r="BI684" i="10"/>
  <c r="K616" i="19" s="1"/>
  <c r="L616" i="19" s="1"/>
  <c r="AP712" i="10"/>
  <c r="AY712" i="10" s="1"/>
  <c r="AQ712" i="10"/>
  <c r="AZ712" i="10" s="1"/>
  <c r="BS712" i="10"/>
  <c r="BI712" i="10"/>
  <c r="K644" i="19" s="1"/>
  <c r="L644" i="19" s="1"/>
  <c r="G664" i="19"/>
  <c r="G669" i="19"/>
  <c r="G507" i="19"/>
  <c r="AS922" i="10"/>
  <c r="AS536" i="10"/>
  <c r="AR666" i="10"/>
  <c r="AR521" i="10"/>
  <c r="AR691" i="10"/>
  <c r="G446" i="19"/>
  <c r="AQ807" i="10"/>
  <c r="AZ807" i="10" s="1"/>
  <c r="AP807" i="10"/>
  <c r="AY807" i="10" s="1"/>
  <c r="BS807" i="10"/>
  <c r="BI807" i="10"/>
  <c r="K734" i="19" s="1"/>
  <c r="L734" i="19" s="1"/>
  <c r="AQ794" i="10"/>
  <c r="AZ794" i="10" s="1"/>
  <c r="AP794" i="10"/>
  <c r="AY794" i="10" s="1"/>
  <c r="BS794" i="10"/>
  <c r="BI794" i="10"/>
  <c r="K720" i="19" s="1"/>
  <c r="L720" i="19" s="1"/>
  <c r="AQ618" i="10"/>
  <c r="AZ618" i="10" s="1"/>
  <c r="AP618" i="10"/>
  <c r="AY618" i="10" s="1"/>
  <c r="BS618" i="10"/>
  <c r="BI618" i="10"/>
  <c r="K826" i="19" s="1"/>
  <c r="L826" i="19" s="1"/>
  <c r="G746" i="19"/>
  <c r="AQ687" i="10"/>
  <c r="AZ687" i="10" s="1"/>
  <c r="AP687" i="10"/>
  <c r="AY687" i="10" s="1"/>
  <c r="BS687" i="10"/>
  <c r="BI687" i="10"/>
  <c r="K619" i="19" s="1"/>
  <c r="L619" i="19" s="1"/>
  <c r="K256" i="11"/>
  <c r="AQ915" i="10"/>
  <c r="AZ915" i="10" s="1"/>
  <c r="AP915" i="10"/>
  <c r="AY915" i="10" s="1"/>
  <c r="BS915" i="10"/>
  <c r="BI915" i="10"/>
  <c r="K845" i="19" s="1"/>
  <c r="L845" i="19" s="1"/>
  <c r="AS790" i="10"/>
  <c r="AP730" i="10"/>
  <c r="AY730" i="10" s="1"/>
  <c r="AQ730" i="10"/>
  <c r="AZ730" i="10" s="1"/>
  <c r="BS730" i="10"/>
  <c r="BI730" i="10"/>
  <c r="K658" i="19" s="1"/>
  <c r="AR542" i="10"/>
  <c r="AS791" i="10"/>
  <c r="A100" i="12"/>
  <c r="AP630" i="10"/>
  <c r="AY630" i="10" s="1"/>
  <c r="AQ630" i="10"/>
  <c r="AZ630" i="10" s="1"/>
  <c r="BS630" i="10"/>
  <c r="BI630" i="10"/>
  <c r="K566" i="19" s="1"/>
  <c r="L566" i="19" s="1"/>
  <c r="AS630" i="10"/>
  <c r="AR906" i="10"/>
  <c r="AQ804" i="10"/>
  <c r="AZ804" i="10" s="1"/>
  <c r="AP804" i="10"/>
  <c r="AY804" i="10" s="1"/>
  <c r="BS804" i="10"/>
  <c r="BI804" i="10"/>
  <c r="K731" i="19" s="1"/>
  <c r="L731" i="19" s="1"/>
  <c r="AQ597" i="10"/>
  <c r="AZ597" i="10" s="1"/>
  <c r="AP597" i="10"/>
  <c r="AY597" i="10" s="1"/>
  <c r="BS597" i="10"/>
  <c r="BI597" i="10"/>
  <c r="K535" i="19" s="1"/>
  <c r="L535" i="19" s="1"/>
  <c r="X45" i="9"/>
  <c r="AA45" i="9"/>
  <c r="AR724" i="10"/>
  <c r="AR915" i="10"/>
  <c r="AS767" i="10"/>
  <c r="AR916" i="10"/>
  <c r="AR918" i="10"/>
  <c r="AS870" i="10"/>
  <c r="AR883" i="10"/>
  <c r="AR743" i="10"/>
  <c r="AS781" i="10"/>
  <c r="AR920" i="10"/>
  <c r="AR534" i="10"/>
  <c r="AR771" i="10"/>
  <c r="AR783" i="10"/>
  <c r="AS916" i="10"/>
  <c r="AR818" i="10"/>
  <c r="AS880" i="10"/>
  <c r="AS645" i="10"/>
  <c r="AR793" i="10"/>
  <c r="AR825" i="10"/>
  <c r="AS789" i="10"/>
  <c r="AR871" i="10"/>
  <c r="AR868" i="10"/>
  <c r="AS915" i="10"/>
  <c r="AR805" i="10"/>
  <c r="AR844" i="10"/>
  <c r="AR671" i="10"/>
  <c r="AR561" i="10"/>
  <c r="AS626" i="10"/>
  <c r="AR620" i="10"/>
  <c r="AS540" i="10"/>
  <c r="AS521" i="10"/>
  <c r="AS512" i="10"/>
  <c r="AR505" i="10"/>
  <c r="AR593" i="10"/>
  <c r="AS511" i="10"/>
  <c r="AP792" i="10"/>
  <c r="AY792" i="10" s="1"/>
  <c r="AQ792" i="10"/>
  <c r="AZ792" i="10" s="1"/>
  <c r="BS792" i="10"/>
  <c r="BI792" i="10"/>
  <c r="K718" i="19" s="1"/>
  <c r="AP764" i="10"/>
  <c r="AY764" i="10" s="1"/>
  <c r="AQ764" i="10"/>
  <c r="AZ764" i="10" s="1"/>
  <c r="BS764" i="10"/>
  <c r="BI764" i="10"/>
  <c r="K693" i="19" s="1"/>
  <c r="L693" i="19" s="1"/>
  <c r="G790" i="19"/>
  <c r="AP756" i="10"/>
  <c r="AY756" i="10" s="1"/>
  <c r="AQ756" i="10"/>
  <c r="AZ756" i="10" s="1"/>
  <c r="BS756" i="10"/>
  <c r="BI756" i="10"/>
  <c r="K685" i="19" s="1"/>
  <c r="L587" i="19"/>
  <c r="BR29" i="9"/>
  <c r="AQ547" i="10"/>
  <c r="AZ547" i="10" s="1"/>
  <c r="AP547" i="10"/>
  <c r="AY547" i="10" s="1"/>
  <c r="BS547" i="10"/>
  <c r="BI547" i="10"/>
  <c r="K490" i="19" s="1"/>
  <c r="L490" i="19" s="1"/>
  <c r="AQ593" i="10"/>
  <c r="AZ593" i="10" s="1"/>
  <c r="AP593" i="10"/>
  <c r="AY593" i="10" s="1"/>
  <c r="BS593" i="10"/>
  <c r="BI593" i="10"/>
  <c r="K531" i="19" s="1"/>
  <c r="X56" i="9"/>
  <c r="AA56" i="9"/>
  <c r="AQ632" i="10"/>
  <c r="AZ632" i="10" s="1"/>
  <c r="AP632" i="10"/>
  <c r="AY632" i="10" s="1"/>
  <c r="BS632" i="10"/>
  <c r="BI632" i="10"/>
  <c r="K568" i="19" s="1"/>
  <c r="L568" i="19" s="1"/>
  <c r="G603" i="19"/>
  <c r="AQ824" i="10"/>
  <c r="AZ824" i="10" s="1"/>
  <c r="AP824" i="10"/>
  <c r="AY824" i="10" s="1"/>
  <c r="BS824" i="10"/>
  <c r="BI824" i="10"/>
  <c r="K751" i="19" s="1"/>
  <c r="L751" i="19" s="1"/>
  <c r="A107" i="12"/>
  <c r="AA10" i="9"/>
  <c r="X10" i="9"/>
  <c r="G453" i="19"/>
  <c r="E35" i="5"/>
  <c r="P24" i="5" s="1"/>
  <c r="F35" i="5"/>
  <c r="Q24" i="5" s="1"/>
  <c r="D35" i="5"/>
  <c r="S24" i="5" s="1"/>
  <c r="C35" i="5"/>
  <c r="R24" i="5" s="1"/>
  <c r="A35" i="5"/>
  <c r="J24" i="5"/>
  <c r="G780" i="19"/>
  <c r="AQ763" i="10"/>
  <c r="AZ763" i="10" s="1"/>
  <c r="AP763" i="10"/>
  <c r="AY763" i="10" s="1"/>
  <c r="BS763" i="10"/>
  <c r="BI763" i="10"/>
  <c r="K692" i="19" s="1"/>
  <c r="L692" i="19" s="1"/>
  <c r="K254" i="11"/>
  <c r="X35" i="9"/>
  <c r="X25" i="9"/>
  <c r="X46" i="9"/>
  <c r="G629" i="19"/>
  <c r="AP646" i="10"/>
  <c r="AY646" i="10" s="1"/>
  <c r="AQ646" i="10"/>
  <c r="AZ646" i="10" s="1"/>
  <c r="BS646" i="10"/>
  <c r="BI646" i="10"/>
  <c r="K581" i="19" s="1"/>
  <c r="AQ629" i="10"/>
  <c r="AZ629" i="10" s="1"/>
  <c r="AP629" i="10"/>
  <c r="AY629" i="10" s="1"/>
  <c r="BS629" i="10"/>
  <c r="BI629" i="10"/>
  <c r="K565" i="19" s="1"/>
  <c r="L565" i="19" s="1"/>
  <c r="AR776" i="10"/>
  <c r="AR717" i="10"/>
  <c r="AS857" i="10"/>
  <c r="AR908" i="10"/>
  <c r="AS529" i="10"/>
  <c r="AS813" i="10"/>
  <c r="G464" i="19"/>
  <c r="AQ683" i="10"/>
  <c r="AZ683" i="10" s="1"/>
  <c r="AP683" i="10"/>
  <c r="AY683" i="10" s="1"/>
  <c r="BI683" i="10"/>
  <c r="K615" i="19" s="1"/>
  <c r="BS683" i="10"/>
  <c r="G743" i="19"/>
  <c r="S55" i="9"/>
  <c r="G499" i="19"/>
  <c r="L789" i="19"/>
  <c r="BR65" i="9"/>
  <c r="K261" i="11"/>
  <c r="AS850" i="10"/>
  <c r="AS696" i="10"/>
  <c r="AS837" i="10"/>
  <c r="AS919" i="10"/>
  <c r="AR685" i="10"/>
  <c r="AS704" i="10"/>
  <c r="AS594" i="10"/>
  <c r="AQ789" i="10"/>
  <c r="AZ789" i="10" s="1"/>
  <c r="AP789" i="10"/>
  <c r="AY789" i="10" s="1"/>
  <c r="BS789" i="10"/>
  <c r="BI789" i="10"/>
  <c r="K714" i="19" s="1"/>
  <c r="L714" i="19" s="1"/>
  <c r="AP760" i="10"/>
  <c r="AY760" i="10" s="1"/>
  <c r="AQ760" i="10"/>
  <c r="AZ760" i="10" s="1"/>
  <c r="BS760" i="10"/>
  <c r="BI760" i="10"/>
  <c r="K689" i="19" s="1"/>
  <c r="L689" i="19" s="1"/>
  <c r="AQ550" i="10"/>
  <c r="AZ550" i="10" s="1"/>
  <c r="AP550" i="10"/>
  <c r="AY550" i="10" s="1"/>
  <c r="BS550" i="10"/>
  <c r="BI550" i="10"/>
  <c r="K493" i="19" s="1"/>
  <c r="L493" i="19" s="1"/>
  <c r="AQ647" i="10"/>
  <c r="AZ647" i="10" s="1"/>
  <c r="AP647" i="10"/>
  <c r="AY647" i="10" s="1"/>
  <c r="BS647" i="10"/>
  <c r="BI647" i="10"/>
  <c r="K582" i="19" s="1"/>
  <c r="L582" i="19" s="1"/>
  <c r="G738" i="19"/>
  <c r="AQ793" i="10"/>
  <c r="AZ793" i="10" s="1"/>
  <c r="AP793" i="10"/>
  <c r="AY793" i="10" s="1"/>
  <c r="BS793" i="10"/>
  <c r="BI793" i="10"/>
  <c r="K719" i="19" s="1"/>
  <c r="L719" i="19" s="1"/>
  <c r="AP863" i="10"/>
  <c r="AY863" i="10" s="1"/>
  <c r="AQ863" i="10"/>
  <c r="AZ863" i="10" s="1"/>
  <c r="BS863" i="10"/>
  <c r="BI863" i="10"/>
  <c r="K792" i="19" s="1"/>
  <c r="AP872" i="10"/>
  <c r="AY872" i="10" s="1"/>
  <c r="AQ872" i="10"/>
  <c r="AZ872" i="10" s="1"/>
  <c r="BS872" i="10"/>
  <c r="BI872" i="10"/>
  <c r="K801" i="19" s="1"/>
  <c r="L801" i="19" s="1"/>
  <c r="X31" i="9"/>
  <c r="G444" i="19"/>
  <c r="X32" i="9"/>
  <c r="AA32" i="9"/>
  <c r="AS840" i="10"/>
  <c r="AR516" i="10"/>
  <c r="AR763" i="10"/>
  <c r="AS788" i="10"/>
  <c r="AR646" i="10"/>
  <c r="AS893" i="10"/>
  <c r="AS567" i="10"/>
  <c r="G626" i="19"/>
  <c r="G613" i="19"/>
  <c r="AQ831" i="10"/>
  <c r="AZ831" i="10" s="1"/>
  <c r="AP831" i="10"/>
  <c r="AY831" i="10" s="1"/>
  <c r="BI831" i="10"/>
  <c r="K759" i="19" s="1"/>
  <c r="L759" i="19" s="1"/>
  <c r="BS831" i="10"/>
  <c r="AS902" i="10"/>
  <c r="AR828" i="10"/>
  <c r="AS739" i="10"/>
  <c r="AS706" i="10"/>
  <c r="AS605" i="10"/>
  <c r="AS852" i="10"/>
  <c r="AS772" i="10"/>
  <c r="G809" i="19"/>
  <c r="AS920" i="10"/>
  <c r="AS824" i="10"/>
  <c r="AR768" i="10"/>
  <c r="AS675" i="10"/>
  <c r="AS505" i="10"/>
  <c r="G588" i="19"/>
  <c r="G614" i="19"/>
  <c r="G510" i="19"/>
  <c r="L476" i="19"/>
  <c r="BR10" i="9"/>
  <c r="X29" i="9"/>
  <c r="AA29" i="9"/>
  <c r="X19" i="9"/>
  <c r="AA19" i="9"/>
  <c r="AP636" i="10"/>
  <c r="AY636" i="10" s="1"/>
  <c r="AQ636" i="10"/>
  <c r="AZ636" i="10" s="1"/>
  <c r="BS636" i="10"/>
  <c r="BI636" i="10"/>
  <c r="K572" i="19" s="1"/>
  <c r="L572" i="19" s="1"/>
  <c r="AS668" i="10"/>
  <c r="AS712" i="10"/>
  <c r="AR682" i="10"/>
  <c r="G476" i="19"/>
  <c r="G830" i="19"/>
  <c r="A101" i="12"/>
  <c r="AQ544" i="10"/>
  <c r="AZ544" i="10" s="1"/>
  <c r="AP544" i="10"/>
  <c r="AY544" i="10" s="1"/>
  <c r="BS544" i="10"/>
  <c r="BI544" i="10"/>
  <c r="K527" i="19" s="1"/>
  <c r="L527" i="19" s="1"/>
  <c r="G755" i="19"/>
  <c r="AS551" i="10"/>
  <c r="AR661" i="10"/>
  <c r="AS860" i="10"/>
  <c r="AS835" i="10"/>
  <c r="AS816" i="10"/>
  <c r="AR626" i="10"/>
  <c r="AR839" i="10"/>
  <c r="AS829" i="10"/>
  <c r="AR634" i="10"/>
  <c r="AS703" i="10"/>
  <c r="AR579" i="10"/>
  <c r="AR886" i="10"/>
  <c r="AS889" i="10"/>
  <c r="AR836" i="10"/>
  <c r="AS591" i="10"/>
  <c r="AR902" i="10"/>
  <c r="AR784" i="10"/>
  <c r="AS738" i="10"/>
  <c r="AS710" i="10"/>
  <c r="AR899" i="10"/>
  <c r="AS810" i="10"/>
  <c r="AR905" i="10"/>
  <c r="AS678" i="10"/>
  <c r="AS690" i="10"/>
  <c r="AR801" i="10"/>
  <c r="AS808" i="10"/>
  <c r="AR740" i="10"/>
  <c r="AR830" i="10"/>
  <c r="AR848" i="10"/>
  <c r="AR535" i="10"/>
  <c r="AS546" i="10"/>
  <c r="AR756" i="10"/>
  <c r="AR786" i="10"/>
  <c r="AR596" i="10"/>
  <c r="AR524" i="10"/>
  <c r="AR525" i="10"/>
  <c r="AS735" i="10"/>
  <c r="AS527" i="10"/>
  <c r="AQ822" i="10"/>
  <c r="AZ822" i="10" s="1"/>
  <c r="AP822" i="10"/>
  <c r="AY822" i="10" s="1"/>
  <c r="BS822" i="10"/>
  <c r="BI822" i="10"/>
  <c r="K749" i="19" s="1"/>
  <c r="L749" i="19" s="1"/>
  <c r="AP830" i="10"/>
  <c r="AY830" i="10" s="1"/>
  <c r="AQ830" i="10"/>
  <c r="AZ830" i="10" s="1"/>
  <c r="BS830" i="10"/>
  <c r="BI830" i="10"/>
  <c r="K758" i="19" s="1"/>
  <c r="L758" i="19" s="1"/>
  <c r="G753" i="19"/>
  <c r="AQ873" i="10"/>
  <c r="AZ873" i="10" s="1"/>
  <c r="AP873" i="10"/>
  <c r="AY873" i="10" s="1"/>
  <c r="BS873" i="10"/>
  <c r="BI873" i="10"/>
  <c r="K802" i="19" s="1"/>
  <c r="L802" i="19" s="1"/>
  <c r="G587" i="19"/>
  <c r="G785" i="19"/>
  <c r="AP909" i="10"/>
  <c r="AY909" i="10" s="1"/>
  <c r="AQ909" i="10"/>
  <c r="AZ909" i="10" s="1"/>
  <c r="BS909" i="10"/>
  <c r="BI909" i="10"/>
  <c r="K839" i="19" s="1"/>
  <c r="L839" i="19" s="1"/>
  <c r="AQ748" i="10"/>
  <c r="AZ748" i="10" s="1"/>
  <c r="AP748" i="10"/>
  <c r="AY748" i="10" s="1"/>
  <c r="BS748" i="10"/>
  <c r="BI748" i="10"/>
  <c r="K676" i="19" s="1"/>
  <c r="G672" i="19"/>
  <c r="A110" i="12"/>
  <c r="AQ589" i="10"/>
  <c r="AZ589" i="10" s="1"/>
  <c r="AP589" i="10"/>
  <c r="AY589" i="10" s="1"/>
  <c r="BS589" i="10"/>
  <c r="BI589" i="10"/>
  <c r="K698" i="19" s="1"/>
  <c r="L698" i="19" s="1"/>
  <c r="A22" i="5"/>
  <c r="J11" i="5"/>
  <c r="D22" i="5"/>
  <c r="S11" i="5" s="1"/>
  <c r="C22" i="5"/>
  <c r="R11" i="5" s="1"/>
  <c r="F22" i="5"/>
  <c r="Q11" i="5" s="1"/>
  <c r="E22" i="5"/>
  <c r="P11" i="5" s="1"/>
  <c r="AQ770" i="10"/>
  <c r="AZ770" i="10" s="1"/>
  <c r="AP770" i="10"/>
  <c r="AY770" i="10" s="1"/>
  <c r="BS770" i="10"/>
  <c r="BI770" i="10"/>
  <c r="K700" i="19" s="1"/>
  <c r="L700" i="19" s="1"/>
  <c r="G457" i="19"/>
  <c r="K257" i="11"/>
  <c r="X66" i="9"/>
  <c r="X13" i="9"/>
  <c r="D676" i="18" l="1"/>
  <c r="E676" i="18" s="1"/>
  <c r="D743" i="18"/>
  <c r="E743" i="18" s="1"/>
  <c r="D408" i="18"/>
  <c r="E408" i="18" s="1"/>
  <c r="D1712" i="18"/>
  <c r="E1712" i="18" s="1"/>
  <c r="F30" i="15"/>
  <c r="D252" i="18"/>
  <c r="E252" i="18" s="1"/>
  <c r="D1024" i="18"/>
  <c r="E1024" i="18" s="1"/>
  <c r="BR15" i="9"/>
  <c r="D279" i="18"/>
  <c r="E279" i="18" s="1"/>
  <c r="D2002" i="18"/>
  <c r="E2002" i="18" s="1"/>
  <c r="D1045" i="18"/>
  <c r="E1045" i="18" s="1"/>
  <c r="D1620" i="18"/>
  <c r="E1620" i="18" s="1"/>
  <c r="D618" i="18"/>
  <c r="E618" i="18" s="1"/>
  <c r="D316" i="18"/>
  <c r="E316" i="18" s="1"/>
  <c r="D1671" i="18"/>
  <c r="E1671" i="18" s="1"/>
  <c r="D407" i="18"/>
  <c r="E407" i="18" s="1"/>
  <c r="D568" i="18"/>
  <c r="E568" i="18" s="1"/>
  <c r="D905" i="18"/>
  <c r="E905" i="18" s="1"/>
  <c r="D121" i="18"/>
  <c r="E121" i="18" s="1"/>
  <c r="D1702" i="18"/>
  <c r="E1702" i="18" s="1"/>
  <c r="D732" i="18"/>
  <c r="E732" i="18" s="1"/>
  <c r="D795" i="18"/>
  <c r="E795" i="18" s="1"/>
  <c r="D1878" i="18"/>
  <c r="E1878" i="18" s="1"/>
  <c r="D46" i="18"/>
  <c r="E46" i="18" s="1"/>
  <c r="D722" i="18"/>
  <c r="E722" i="18" s="1"/>
  <c r="D119" i="18"/>
  <c r="E119" i="18" s="1"/>
  <c r="D769" i="18"/>
  <c r="E769" i="18" s="1"/>
  <c r="D189" i="18"/>
  <c r="E189" i="18" s="1"/>
  <c r="D1030" i="18"/>
  <c r="E1030" i="18" s="1"/>
  <c r="D791" i="18"/>
  <c r="E791" i="18" s="1"/>
  <c r="D2004" i="18"/>
  <c r="E2004" i="18" s="1"/>
  <c r="D1399" i="18"/>
  <c r="E1399" i="18" s="1"/>
  <c r="D1922" i="18"/>
  <c r="E1922" i="18" s="1"/>
  <c r="D293" i="18"/>
  <c r="E293" i="18" s="1"/>
  <c r="D884" i="18"/>
  <c r="E884" i="18" s="1"/>
  <c r="D1137" i="18"/>
  <c r="E1137" i="18" s="1"/>
  <c r="D1573" i="18"/>
  <c r="E1573" i="18" s="1"/>
  <c r="D20" i="18"/>
  <c r="E20" i="18" s="1"/>
  <c r="D1118" i="18"/>
  <c r="E1118" i="18" s="1"/>
  <c r="D814" i="18"/>
  <c r="E814" i="18" s="1"/>
  <c r="D615" i="18"/>
  <c r="E615" i="18" s="1"/>
  <c r="D1433" i="18"/>
  <c r="E1433" i="18" s="1"/>
  <c r="D332" i="18"/>
  <c r="E332" i="18" s="1"/>
  <c r="D1984" i="18"/>
  <c r="E1984" i="18" s="1"/>
  <c r="D1171" i="18"/>
  <c r="E1171" i="18" s="1"/>
  <c r="D1604" i="18"/>
  <c r="E1604" i="18" s="1"/>
  <c r="D37" i="18"/>
  <c r="E37" i="18" s="1"/>
  <c r="D1146" i="18"/>
  <c r="E1146" i="18" s="1"/>
  <c r="D1879" i="18"/>
  <c r="E1879" i="18" s="1"/>
  <c r="D649" i="18"/>
  <c r="E649" i="18" s="1"/>
  <c r="D1457" i="18"/>
  <c r="E1457" i="18" s="1"/>
  <c r="D383" i="18"/>
  <c r="E383" i="18" s="1"/>
  <c r="D33" i="18"/>
  <c r="E33" i="18" s="1"/>
  <c r="D1394" i="18"/>
  <c r="E1394" i="18" s="1"/>
  <c r="D987" i="18"/>
  <c r="E987" i="18" s="1"/>
  <c r="D105" i="18"/>
  <c r="E105" i="18" s="1"/>
  <c r="D1159" i="18"/>
  <c r="E1159" i="18" s="1"/>
  <c r="D1898" i="18"/>
  <c r="E1898" i="18" s="1"/>
  <c r="D745" i="18"/>
  <c r="E745" i="18" s="1"/>
  <c r="D727" i="18"/>
  <c r="E727" i="18" s="1"/>
  <c r="S54" i="9"/>
  <c r="D419" i="18"/>
  <c r="E419" i="18" s="1"/>
  <c r="D563" i="18"/>
  <c r="E563" i="18" s="1"/>
  <c r="D1544" i="18"/>
  <c r="E1544" i="18" s="1"/>
  <c r="D1220" i="18"/>
  <c r="E1220" i="18" s="1"/>
  <c r="D1986" i="18"/>
  <c r="E1986" i="18" s="1"/>
  <c r="D517" i="18"/>
  <c r="E517" i="18" s="1"/>
  <c r="D1058" i="18"/>
  <c r="E1058" i="18" s="1"/>
  <c r="D671" i="18"/>
  <c r="E671" i="18" s="1"/>
  <c r="D1650" i="18"/>
  <c r="E1650" i="18" s="1"/>
  <c r="D678" i="18"/>
  <c r="E678" i="18" s="1"/>
  <c r="D1938" i="18"/>
  <c r="E1938" i="18" s="1"/>
  <c r="A826" i="10"/>
  <c r="D2007" i="18"/>
  <c r="E2007" i="18" s="1"/>
  <c r="D614" i="18"/>
  <c r="E614" i="18" s="1"/>
  <c r="D647" i="18"/>
  <c r="E647" i="18" s="1"/>
  <c r="D178" i="18"/>
  <c r="E178" i="18" s="1"/>
  <c r="D1003" i="18"/>
  <c r="E1003" i="18" s="1"/>
  <c r="D773" i="18"/>
  <c r="E773" i="18" s="1"/>
  <c r="D800" i="18"/>
  <c r="E800" i="18" s="1"/>
  <c r="D1900" i="18"/>
  <c r="E1900" i="18" s="1"/>
  <c r="D124" i="18"/>
  <c r="E124" i="18" s="1"/>
  <c r="D60" i="18"/>
  <c r="E60" i="18" s="1"/>
  <c r="D1436" i="18"/>
  <c r="E1436" i="18" s="1"/>
  <c r="D1883" i="18"/>
  <c r="E1883" i="18" s="1"/>
  <c r="D362" i="18"/>
  <c r="E362" i="18" s="1"/>
  <c r="D358" i="18"/>
  <c r="E358" i="18" s="1"/>
  <c r="D2015" i="18"/>
  <c r="E2015" i="18" s="1"/>
  <c r="D750" i="18"/>
  <c r="E750" i="18" s="1"/>
  <c r="D749" i="18"/>
  <c r="E749" i="18" s="1"/>
  <c r="D286" i="18"/>
  <c r="E286" i="18" s="1"/>
  <c r="D97" i="18"/>
  <c r="E97" i="18" s="1"/>
  <c r="D171" i="18"/>
  <c r="E171" i="18" s="1"/>
  <c r="D1939" i="18"/>
  <c r="E1939" i="18" s="1"/>
  <c r="D388" i="18"/>
  <c r="E388" i="18" s="1"/>
  <c r="D363" i="18"/>
  <c r="E363" i="18" s="1"/>
  <c r="D25" i="18"/>
  <c r="E25" i="18" s="1"/>
  <c r="D1684" i="18"/>
  <c r="E1684" i="18" s="1"/>
  <c r="D771" i="18"/>
  <c r="E771" i="18" s="1"/>
  <c r="D478" i="18"/>
  <c r="E478" i="18" s="1"/>
  <c r="D106" i="18"/>
  <c r="E106" i="18" s="1"/>
  <c r="D218" i="18"/>
  <c r="E218" i="18" s="1"/>
  <c r="D95" i="18"/>
  <c r="E95" i="18" s="1"/>
  <c r="D1361" i="18"/>
  <c r="E1361" i="18" s="1"/>
  <c r="D379" i="18"/>
  <c r="E379" i="18" s="1"/>
  <c r="D47" i="18"/>
  <c r="E47" i="18" s="1"/>
  <c r="D1690" i="18"/>
  <c r="E1690" i="18" s="1"/>
  <c r="D793" i="18"/>
  <c r="E793" i="18" s="1"/>
  <c r="S52" i="9"/>
  <c r="S53" i="9"/>
  <c r="S56" i="9"/>
  <c r="D282" i="18"/>
  <c r="E282" i="18" s="1"/>
  <c r="D1316" i="18"/>
  <c r="E1316" i="18" s="1"/>
  <c r="D582" i="18"/>
  <c r="E582" i="18" s="1"/>
  <c r="D1617" i="18"/>
  <c r="E1617" i="18" s="1"/>
  <c r="D1642" i="18"/>
  <c r="E1642" i="18" s="1"/>
  <c r="D639" i="18"/>
  <c r="E639" i="18" s="1"/>
  <c r="D923" i="18"/>
  <c r="E923" i="18" s="1"/>
  <c r="D1109" i="18"/>
  <c r="E1109" i="18" s="1"/>
  <c r="D184" i="18"/>
  <c r="E184" i="18" s="1"/>
  <c r="D277" i="18"/>
  <c r="E277" i="18" s="1"/>
  <c r="D153" i="18"/>
  <c r="E153" i="18" s="1"/>
  <c r="D1941" i="18"/>
  <c r="E1941" i="18" s="1"/>
  <c r="D724" i="18"/>
  <c r="E724" i="18" s="1"/>
  <c r="D1202" i="18"/>
  <c r="E1202" i="18" s="1"/>
  <c r="D1696" i="18"/>
  <c r="E1696" i="18" s="1"/>
  <c r="D815" i="18"/>
  <c r="E815" i="18" s="1"/>
  <c r="D1445" i="18"/>
  <c r="E1445" i="18" s="1"/>
  <c r="D203" i="18"/>
  <c r="E203" i="18" s="1"/>
  <c r="D320" i="18"/>
  <c r="E320" i="18" s="1"/>
  <c r="D729" i="18"/>
  <c r="E729" i="18" s="1"/>
  <c r="D954" i="18"/>
  <c r="E954" i="18" s="1"/>
  <c r="D731" i="18"/>
  <c r="E731" i="18" s="1"/>
  <c r="D1231" i="18"/>
  <c r="E1231" i="18" s="1"/>
  <c r="D1703" i="18"/>
  <c r="E1703" i="18" s="1"/>
  <c r="D1678" i="18"/>
  <c r="E1678" i="18" s="1"/>
  <c r="D1051" i="18"/>
  <c r="E1051" i="18" s="1"/>
  <c r="D224" i="18"/>
  <c r="E224" i="18" s="1"/>
  <c r="D423" i="18"/>
  <c r="E423" i="18" s="1"/>
  <c r="D830" i="18"/>
  <c r="E830" i="18" s="1"/>
  <c r="D975" i="18"/>
  <c r="E975" i="18" s="1"/>
  <c r="D1601" i="18"/>
  <c r="E1601" i="18" s="1"/>
  <c r="D1331" i="18"/>
  <c r="E1331" i="18" s="1"/>
  <c r="D1710" i="18"/>
  <c r="E1710" i="18" s="1"/>
  <c r="D1683" i="18"/>
  <c r="E1683" i="18" s="1"/>
  <c r="D1493" i="18"/>
  <c r="E1493" i="18" s="1"/>
  <c r="D345" i="18"/>
  <c r="E345" i="18" s="1"/>
  <c r="D327" i="18"/>
  <c r="E327" i="18" s="1"/>
  <c r="D852" i="18"/>
  <c r="E852" i="18" s="1"/>
  <c r="D988" i="18"/>
  <c r="E988" i="18" s="1"/>
  <c r="D1513" i="18"/>
  <c r="E1513" i="18" s="1"/>
  <c r="D1795" i="18"/>
  <c r="E1795" i="18" s="1"/>
  <c r="D1530" i="18"/>
  <c r="E1530" i="18" s="1"/>
  <c r="D1688" i="18"/>
  <c r="E1688" i="18" s="1"/>
  <c r="D1931" i="18"/>
  <c r="E1931" i="18" s="1"/>
  <c r="D42" i="18"/>
  <c r="E42" i="18" s="1"/>
  <c r="D673" i="18"/>
  <c r="E673" i="18" s="1"/>
  <c r="D2003" i="18"/>
  <c r="E2003" i="18" s="1"/>
  <c r="D38" i="18"/>
  <c r="E38" i="18" s="1"/>
  <c r="D27" i="18"/>
  <c r="E27" i="18" s="1"/>
  <c r="D93" i="18"/>
  <c r="E93" i="18" s="1"/>
  <c r="D1092" i="18"/>
  <c r="E1092" i="18" s="1"/>
  <c r="D1665" i="18"/>
  <c r="E1665" i="18" s="1"/>
  <c r="D1403" i="18"/>
  <c r="E1403" i="18" s="1"/>
  <c r="D129" i="18"/>
  <c r="E129" i="18" s="1"/>
  <c r="D628" i="18"/>
  <c r="E628" i="18" s="1"/>
  <c r="D99" i="18"/>
  <c r="E99" i="18" s="1"/>
  <c r="D1685" i="18"/>
  <c r="E1685" i="18" s="1"/>
  <c r="D739" i="18"/>
  <c r="E739" i="18" s="1"/>
  <c r="D1856" i="18"/>
  <c r="E1856" i="18" s="1"/>
  <c r="D522" i="18"/>
  <c r="E522" i="18" s="1"/>
  <c r="D1357" i="18"/>
  <c r="E1357" i="18" s="1"/>
  <c r="D1380" i="18"/>
  <c r="E1380" i="18" s="1"/>
  <c r="D1855" i="18"/>
  <c r="E1855" i="18" s="1"/>
  <c r="D380" i="18"/>
  <c r="E380" i="18" s="1"/>
  <c r="D341" i="18"/>
  <c r="E341" i="18" s="1"/>
  <c r="D871" i="18"/>
  <c r="E871" i="18" s="1"/>
  <c r="D567" i="18"/>
  <c r="E567" i="18" s="1"/>
  <c r="D1552" i="18"/>
  <c r="E1552" i="18" s="1"/>
  <c r="D1811" i="18"/>
  <c r="E1811" i="18" s="1"/>
  <c r="D1602" i="18"/>
  <c r="E1602" i="18" s="1"/>
  <c r="D1709" i="18"/>
  <c r="E1709" i="18" s="1"/>
  <c r="D183" i="18"/>
  <c r="E183" i="18" s="1"/>
  <c r="D1223" i="18"/>
  <c r="E1223" i="18" s="1"/>
  <c r="D965" i="18"/>
  <c r="E965" i="18" s="1"/>
  <c r="D1419" i="18"/>
  <c r="E1419" i="18" s="1"/>
  <c r="D1828" i="18"/>
  <c r="E1828" i="18" s="1"/>
  <c r="D1467" i="18"/>
  <c r="E1467" i="18" s="1"/>
  <c r="D318" i="18"/>
  <c r="E318" i="18" s="1"/>
  <c r="D505" i="18"/>
  <c r="E505" i="18" s="1"/>
  <c r="D459" i="18"/>
  <c r="E459" i="18" s="1"/>
  <c r="D883" i="18"/>
  <c r="E883" i="18" s="1"/>
  <c r="D715" i="18"/>
  <c r="E715" i="18" s="1"/>
  <c r="D365" i="18"/>
  <c r="E365" i="18" s="1"/>
  <c r="D1246" i="18"/>
  <c r="E1246" i="18" s="1"/>
  <c r="D848" i="18"/>
  <c r="E848" i="18" s="1"/>
  <c r="D1641" i="18"/>
  <c r="E1641" i="18" s="1"/>
  <c r="D1293" i="18"/>
  <c r="E1293" i="18" s="1"/>
  <c r="D933" i="18"/>
  <c r="E933" i="18" s="1"/>
  <c r="D177" i="18"/>
  <c r="E177" i="18" s="1"/>
  <c r="D442" i="18"/>
  <c r="E442" i="18" s="1"/>
  <c r="D1488" i="18"/>
  <c r="E1488" i="18" s="1"/>
  <c r="D741" i="18"/>
  <c r="E741" i="18" s="1"/>
  <c r="D1945" i="18"/>
  <c r="E1945" i="18" s="1"/>
  <c r="D274" i="18"/>
  <c r="E274" i="18" s="1"/>
  <c r="D939" i="18"/>
  <c r="E939" i="18" s="1"/>
  <c r="D1381" i="18"/>
  <c r="E1381" i="18" s="1"/>
  <c r="D40" i="18"/>
  <c r="E40" i="18" s="1"/>
  <c r="D1825" i="18"/>
  <c r="E1825" i="18" s="1"/>
  <c r="D1640" i="18"/>
  <c r="E1640" i="18" s="1"/>
  <c r="D1670" i="18"/>
  <c r="E1670" i="18" s="1"/>
  <c r="D45" i="18"/>
  <c r="E45" i="18" s="1"/>
  <c r="D1906" i="18"/>
  <c r="E1906" i="18" s="1"/>
  <c r="D807" i="18"/>
  <c r="E807" i="18" s="1"/>
  <c r="D1317" i="18"/>
  <c r="E1317" i="18" s="1"/>
  <c r="D1283" i="18"/>
  <c r="E1283" i="18" s="1"/>
  <c r="D2012" i="18"/>
  <c r="E2012" i="18" s="1"/>
  <c r="D101" i="18"/>
  <c r="E101" i="18" s="1"/>
  <c r="D1492" i="18"/>
  <c r="E1492" i="18" s="1"/>
  <c r="D682" i="18"/>
  <c r="E682" i="18" s="1"/>
  <c r="D967" i="18"/>
  <c r="E967" i="18" s="1"/>
  <c r="D659" i="18"/>
  <c r="E659" i="18" s="1"/>
  <c r="D708" i="18"/>
  <c r="E708" i="18" s="1"/>
  <c r="D1850" i="18"/>
  <c r="E1850" i="18" s="1"/>
  <c r="D1404" i="18"/>
  <c r="E1404" i="18" s="1"/>
  <c r="D200" i="18"/>
  <c r="E200" i="18" s="1"/>
  <c r="D1667" i="18"/>
  <c r="E1667" i="18" s="1"/>
  <c r="D894" i="18"/>
  <c r="E894" i="18" s="1"/>
  <c r="D226" i="18"/>
  <c r="E226" i="18" s="1"/>
  <c r="D1759" i="18"/>
  <c r="E1759" i="18" s="1"/>
  <c r="D1301" i="18"/>
  <c r="E1301" i="18" s="1"/>
  <c r="D465" i="18"/>
  <c r="E465" i="18" s="1"/>
  <c r="D241" i="18"/>
  <c r="E241" i="18" s="1"/>
  <c r="D1655" i="18"/>
  <c r="E1655" i="18" s="1"/>
  <c r="D1307" i="18"/>
  <c r="E1307" i="18" s="1"/>
  <c r="D1135" i="18"/>
  <c r="E1135" i="18" s="1"/>
  <c r="D958" i="18"/>
  <c r="E958" i="18" s="1"/>
  <c r="D868" i="18"/>
  <c r="E868" i="18" s="1"/>
  <c r="D813" i="18"/>
  <c r="E813" i="18" s="1"/>
  <c r="D1510" i="18"/>
  <c r="E1510" i="18" s="1"/>
  <c r="D1233" i="18"/>
  <c r="E1233" i="18" s="1"/>
  <c r="D1889" i="18"/>
  <c r="E1889" i="18" s="1"/>
  <c r="D1832" i="18"/>
  <c r="E1832" i="18" s="1"/>
  <c r="D898" i="18"/>
  <c r="E898" i="18" s="1"/>
  <c r="D104" i="18"/>
  <c r="E104" i="18" s="1"/>
  <c r="D315" i="18"/>
  <c r="E315" i="18" s="1"/>
  <c r="D993" i="18"/>
  <c r="E993" i="18" s="1"/>
  <c r="D116" i="18"/>
  <c r="E116" i="18" s="1"/>
  <c r="D125" i="18"/>
  <c r="E125" i="18" s="1"/>
  <c r="D58" i="18"/>
  <c r="E58" i="18" s="1"/>
  <c r="D1718" i="18"/>
  <c r="E1718" i="18" s="1"/>
  <c r="D1750" i="18"/>
  <c r="E1750" i="18" s="1"/>
  <c r="D53" i="18"/>
  <c r="E53" i="18" s="1"/>
  <c r="D100" i="18"/>
  <c r="E100" i="18" s="1"/>
  <c r="D910" i="18"/>
  <c r="E910" i="18" s="1"/>
  <c r="D1327" i="18"/>
  <c r="E1327" i="18" s="1"/>
  <c r="D1531" i="18"/>
  <c r="E1531" i="18" s="1"/>
  <c r="D16" i="18"/>
  <c r="E16" i="18" s="1"/>
  <c r="D107" i="18"/>
  <c r="E107" i="18" s="1"/>
  <c r="D1503" i="18"/>
  <c r="E1503" i="18" s="1"/>
  <c r="D716" i="18"/>
  <c r="E716" i="18" s="1"/>
  <c r="D977" i="18"/>
  <c r="E977" i="18" s="1"/>
  <c r="D842" i="18"/>
  <c r="E842" i="18" s="1"/>
  <c r="D717" i="18"/>
  <c r="E717" i="18" s="1"/>
  <c r="D1923" i="18"/>
  <c r="E1923" i="18" s="1"/>
  <c r="D1425" i="18"/>
  <c r="E1425" i="18" s="1"/>
  <c r="D246" i="18"/>
  <c r="E246" i="18" s="1"/>
  <c r="D1739" i="18"/>
  <c r="E1739" i="18" s="1"/>
  <c r="D915" i="18"/>
  <c r="E915" i="18" s="1"/>
  <c r="D231" i="18"/>
  <c r="E231" i="18" s="1"/>
  <c r="D1797" i="18"/>
  <c r="E1797" i="18" s="1"/>
  <c r="D1319" i="18"/>
  <c r="E1319" i="18" s="1"/>
  <c r="D488" i="18"/>
  <c r="E488" i="18" s="1"/>
  <c r="D263" i="18"/>
  <c r="E263" i="18" s="1"/>
  <c r="D1662" i="18"/>
  <c r="E1662" i="18" s="1"/>
  <c r="D1312" i="18"/>
  <c r="E1312" i="18" s="1"/>
  <c r="D1242" i="18"/>
  <c r="E1242" i="18" s="1"/>
  <c r="D963" i="18"/>
  <c r="E963" i="18" s="1"/>
  <c r="D891" i="18"/>
  <c r="E891" i="18" s="1"/>
  <c r="D836" i="18"/>
  <c r="E836" i="18" s="1"/>
  <c r="D1533" i="18"/>
  <c r="E1533" i="18" s="1"/>
  <c r="D1255" i="18"/>
  <c r="E1255" i="18" s="1"/>
  <c r="D1895" i="18"/>
  <c r="E1895" i="18" s="1"/>
  <c r="D1861" i="18"/>
  <c r="E1861" i="18" s="1"/>
  <c r="D1613" i="18"/>
  <c r="E1613" i="18" s="1"/>
  <c r="D151" i="18"/>
  <c r="E151" i="18" s="1"/>
  <c r="D536" i="18"/>
  <c r="E536" i="18" s="1"/>
  <c r="D1093" i="18"/>
  <c r="E1093" i="18" s="1"/>
  <c r="D466" i="18"/>
  <c r="E466" i="18" s="1"/>
  <c r="D253" i="18"/>
  <c r="E253" i="18" s="1"/>
  <c r="D190" i="18"/>
  <c r="E190" i="18" s="1"/>
  <c r="D1834" i="18"/>
  <c r="E1834" i="18" s="1"/>
  <c r="D1838" i="18"/>
  <c r="E1838" i="18" s="1"/>
  <c r="D72" i="18"/>
  <c r="E72" i="18" s="1"/>
  <c r="D1027" i="18"/>
  <c r="E1027" i="18" s="1"/>
  <c r="D1065" i="18"/>
  <c r="E1065" i="18" s="1"/>
  <c r="D1362" i="18"/>
  <c r="E1362" i="18" s="1"/>
  <c r="D1545" i="18"/>
  <c r="E1545" i="18" s="1"/>
  <c r="D49" i="18"/>
  <c r="E49" i="18" s="1"/>
  <c r="D409" i="18"/>
  <c r="E409" i="18" s="1"/>
  <c r="D1885" i="18"/>
  <c r="E1885" i="18" s="1"/>
  <c r="D733" i="18"/>
  <c r="E733" i="18" s="1"/>
  <c r="D1052" i="18"/>
  <c r="E1052" i="18" s="1"/>
  <c r="D875" i="18"/>
  <c r="E875" i="18" s="1"/>
  <c r="D1128" i="18"/>
  <c r="E1128" i="18" s="1"/>
  <c r="D1955" i="18"/>
  <c r="E1955" i="18" s="1"/>
  <c r="D1468" i="18"/>
  <c r="E1468" i="18" s="1"/>
  <c r="D251" i="18"/>
  <c r="E251" i="18" s="1"/>
  <c r="D1748" i="18"/>
  <c r="E1748" i="18" s="1"/>
  <c r="D1350" i="18"/>
  <c r="E1350" i="18" s="1"/>
  <c r="D369" i="18"/>
  <c r="E369" i="18" s="1"/>
  <c r="D1864" i="18"/>
  <c r="E1864" i="18" s="1"/>
  <c r="D1325" i="18"/>
  <c r="E1325" i="18" s="1"/>
  <c r="D511" i="18"/>
  <c r="E511" i="18" s="1"/>
  <c r="D554" i="18"/>
  <c r="E554" i="18" s="1"/>
  <c r="D1692" i="18"/>
  <c r="E1692" i="18" s="1"/>
  <c r="D1383" i="18"/>
  <c r="E1383" i="18" s="1"/>
  <c r="D1247" i="18"/>
  <c r="E1247" i="18" s="1"/>
  <c r="D968" i="18"/>
  <c r="E968" i="18" s="1"/>
  <c r="D1186" i="18"/>
  <c r="E1186" i="18" s="1"/>
  <c r="D873" i="18"/>
  <c r="E873" i="18" s="1"/>
  <c r="D1556" i="18"/>
  <c r="E1556" i="18" s="1"/>
  <c r="D1277" i="18"/>
  <c r="E1277" i="18" s="1"/>
  <c r="D1932" i="18"/>
  <c r="E1932" i="18" s="1"/>
  <c r="D1814" i="18"/>
  <c r="E1814" i="18" s="1"/>
  <c r="D895" i="18"/>
  <c r="E895" i="18" s="1"/>
  <c r="D504" i="18"/>
  <c r="E504" i="18" s="1"/>
  <c r="D583" i="18"/>
  <c r="E583" i="18" s="1"/>
  <c r="D1142" i="18"/>
  <c r="E1142" i="18" s="1"/>
  <c r="D597" i="18"/>
  <c r="E597" i="18" s="1"/>
  <c r="D322" i="18"/>
  <c r="E322" i="18" s="1"/>
  <c r="D254" i="18"/>
  <c r="E254" i="18" s="1"/>
  <c r="D1892" i="18"/>
  <c r="E1892" i="18" s="1"/>
  <c r="D1995" i="18"/>
  <c r="E1995" i="18" s="1"/>
  <c r="D98" i="18"/>
  <c r="E98" i="18" s="1"/>
  <c r="D1116" i="18"/>
  <c r="E1116" i="18" s="1"/>
  <c r="D1097" i="18"/>
  <c r="E1097" i="18" s="1"/>
  <c r="D1450" i="18"/>
  <c r="E1450" i="18" s="1"/>
  <c r="D1691" i="18"/>
  <c r="E1691" i="18" s="1"/>
  <c r="D55" i="18"/>
  <c r="E55" i="18" s="1"/>
  <c r="D500" i="18"/>
  <c r="E500" i="18" s="1"/>
  <c r="D1901" i="18"/>
  <c r="E1901" i="18" s="1"/>
  <c r="D757" i="18"/>
  <c r="E757" i="18" s="1"/>
  <c r="D1061" i="18"/>
  <c r="E1061" i="18" s="1"/>
  <c r="D908" i="18"/>
  <c r="E908" i="18" s="1"/>
  <c r="D1147" i="18"/>
  <c r="E1147" i="18" s="1"/>
  <c r="D29" i="18"/>
  <c r="E29" i="18" s="1"/>
  <c r="D1519" i="18"/>
  <c r="E1519" i="18" s="1"/>
  <c r="D256" i="18"/>
  <c r="E256" i="18" s="1"/>
  <c r="D1757" i="18"/>
  <c r="E1757" i="18" s="1"/>
  <c r="D1370" i="18"/>
  <c r="E1370" i="18" s="1"/>
  <c r="D390" i="18"/>
  <c r="E390" i="18" s="1"/>
  <c r="D1937" i="18"/>
  <c r="E1937" i="18" s="1"/>
  <c r="D1342" i="18"/>
  <c r="E1342" i="18" s="1"/>
  <c r="D534" i="18"/>
  <c r="E534" i="18" s="1"/>
  <c r="D559" i="18"/>
  <c r="E559" i="18" s="1"/>
  <c r="D1771" i="18"/>
  <c r="E1771" i="18" s="1"/>
  <c r="D1415" i="18"/>
  <c r="E1415" i="18" s="1"/>
  <c r="D1252" i="18"/>
  <c r="E1252" i="18" s="1"/>
  <c r="D973" i="18"/>
  <c r="E973" i="18" s="1"/>
  <c r="D1209" i="18"/>
  <c r="E1209" i="18" s="1"/>
  <c r="D896" i="18"/>
  <c r="E896" i="18" s="1"/>
  <c r="D1561" i="18"/>
  <c r="E1561" i="18" s="1"/>
  <c r="D1299" i="18"/>
  <c r="E1299" i="18" s="1"/>
  <c r="D1956" i="18"/>
  <c r="E1956" i="18" s="1"/>
  <c r="D1837" i="18"/>
  <c r="E1837" i="18" s="1"/>
  <c r="D209" i="18"/>
  <c r="E209" i="18" s="1"/>
  <c r="D1487" i="18"/>
  <c r="E1487" i="18" s="1"/>
  <c r="D742" i="18"/>
  <c r="E742" i="18" s="1"/>
  <c r="D1197" i="18"/>
  <c r="E1197" i="18" s="1"/>
  <c r="D631" i="18"/>
  <c r="E631" i="18" s="1"/>
  <c r="D397" i="18"/>
  <c r="E397" i="18" s="1"/>
  <c r="D435" i="18"/>
  <c r="E435" i="18" s="1"/>
  <c r="D1929" i="18"/>
  <c r="E1929" i="18" s="1"/>
  <c r="D34" i="18"/>
  <c r="E34" i="18" s="1"/>
  <c r="D1347" i="18"/>
  <c r="E1347" i="18" s="1"/>
  <c r="D1188" i="18"/>
  <c r="E1188" i="18" s="1"/>
  <c r="D1304" i="18"/>
  <c r="E1304" i="18" s="1"/>
  <c r="D1515" i="18"/>
  <c r="E1515" i="18" s="1"/>
  <c r="D1708" i="18"/>
  <c r="E1708" i="18" s="1"/>
  <c r="D386" i="18"/>
  <c r="E386" i="18" s="1"/>
  <c r="D538" i="18"/>
  <c r="E538" i="18" s="1"/>
  <c r="D1960" i="18"/>
  <c r="E1960" i="18" s="1"/>
  <c r="D766" i="18"/>
  <c r="E766" i="18" s="1"/>
  <c r="D1136" i="18"/>
  <c r="E1136" i="18" s="1"/>
  <c r="D1517" i="18"/>
  <c r="E1517" i="18" s="1"/>
  <c r="D1203" i="18"/>
  <c r="E1203" i="18" s="1"/>
  <c r="D43" i="18"/>
  <c r="E43" i="18" s="1"/>
  <c r="D1527" i="18"/>
  <c r="E1527" i="18" s="1"/>
  <c r="D261" i="18"/>
  <c r="E261" i="18" s="1"/>
  <c r="D168" i="18"/>
  <c r="E168" i="18" s="1"/>
  <c r="D1391" i="18"/>
  <c r="E1391" i="18" s="1"/>
  <c r="D401" i="18"/>
  <c r="E401" i="18" s="1"/>
  <c r="D1958" i="18"/>
  <c r="E1958" i="18" s="1"/>
  <c r="D1360" i="18"/>
  <c r="E1360" i="18" s="1"/>
  <c r="D1008" i="18"/>
  <c r="E1008" i="18" s="1"/>
  <c r="D601" i="18"/>
  <c r="E601" i="18" s="1"/>
  <c r="D1829" i="18"/>
  <c r="E1829" i="18" s="1"/>
  <c r="D1452" i="18"/>
  <c r="E1452" i="18" s="1"/>
  <c r="D1257" i="18"/>
  <c r="E1257" i="18" s="1"/>
  <c r="D1333" i="18"/>
  <c r="E1333" i="18" s="1"/>
  <c r="D1232" i="18"/>
  <c r="E1232" i="18" s="1"/>
  <c r="D919" i="18"/>
  <c r="E919" i="18" s="1"/>
  <c r="D1585" i="18"/>
  <c r="E1585" i="18" s="1"/>
  <c r="D1321" i="18"/>
  <c r="E1321" i="18" s="1"/>
  <c r="D1865" i="18"/>
  <c r="E1865" i="18" s="1"/>
  <c r="D1851" i="18"/>
  <c r="E1851" i="18" s="1"/>
  <c r="D1127" i="18"/>
  <c r="E1127" i="18" s="1"/>
  <c r="D1799" i="18"/>
  <c r="E1799" i="18" s="1"/>
  <c r="D1086" i="18"/>
  <c r="E1086" i="18" s="1"/>
  <c r="D1245" i="18"/>
  <c r="E1245" i="18" s="1"/>
  <c r="D1068" i="18"/>
  <c r="E1068" i="18" s="1"/>
  <c r="D471" i="18"/>
  <c r="E471" i="18" s="1"/>
  <c r="D490" i="18"/>
  <c r="E490" i="18" s="1"/>
  <c r="D1963" i="18"/>
  <c r="E1963" i="18" s="1"/>
  <c r="D52" i="18"/>
  <c r="E52" i="18" s="1"/>
  <c r="D1393" i="18"/>
  <c r="E1393" i="18" s="1"/>
  <c r="D1208" i="18"/>
  <c r="E1208" i="18" s="1"/>
  <c r="D1339" i="18"/>
  <c r="E1339" i="18" s="1"/>
  <c r="D1557" i="18"/>
  <c r="E1557" i="18" s="1"/>
  <c r="D1899" i="18"/>
  <c r="E1899" i="18" s="1"/>
  <c r="D402" i="18"/>
  <c r="E402" i="18" s="1"/>
  <c r="D591" i="18"/>
  <c r="E591" i="18" s="1"/>
  <c r="D17" i="18"/>
  <c r="E17" i="18" s="1"/>
  <c r="D841" i="18"/>
  <c r="E841" i="18" s="1"/>
  <c r="D1192" i="18"/>
  <c r="E1192" i="18" s="1"/>
  <c r="D1574" i="18"/>
  <c r="E1574" i="18" s="1"/>
  <c r="D1222" i="18"/>
  <c r="E1222" i="18" s="1"/>
  <c r="D66" i="18"/>
  <c r="E66" i="18" s="1"/>
  <c r="D1711" i="18"/>
  <c r="E1711" i="18" s="1"/>
  <c r="D266" i="18"/>
  <c r="E266" i="18" s="1"/>
  <c r="D191" i="18"/>
  <c r="E191" i="18" s="1"/>
  <c r="D1412" i="18"/>
  <c r="E1412" i="18" s="1"/>
  <c r="D422" i="18"/>
  <c r="E422" i="18" s="1"/>
  <c r="D214" i="18"/>
  <c r="E214" i="18" s="1"/>
  <c r="D1366" i="18"/>
  <c r="E1366" i="18" s="1"/>
  <c r="D1067" i="18"/>
  <c r="E1067" i="18" s="1"/>
  <c r="D640" i="18"/>
  <c r="E640" i="18" s="1"/>
  <c r="D1854" i="18"/>
  <c r="E1854" i="18" s="1"/>
  <c r="D1463" i="18"/>
  <c r="E1463" i="18" s="1"/>
  <c r="D1262" i="18"/>
  <c r="E1262" i="18" s="1"/>
  <c r="D1421" i="18"/>
  <c r="E1421" i="18" s="1"/>
  <c r="D1269" i="18"/>
  <c r="E1269" i="18" s="1"/>
  <c r="D942" i="18"/>
  <c r="E942" i="18" s="1"/>
  <c r="D1614" i="18"/>
  <c r="E1614" i="18" s="1"/>
  <c r="D1343" i="18"/>
  <c r="E1343" i="18" s="1"/>
  <c r="D1894" i="18"/>
  <c r="E1894" i="18" s="1"/>
  <c r="D1776" i="18"/>
  <c r="E1776" i="18" s="1"/>
  <c r="D445" i="18"/>
  <c r="E445" i="18" s="1"/>
  <c r="D481" i="18"/>
  <c r="E481" i="18" s="1"/>
  <c r="D296" i="18"/>
  <c r="E296" i="18" s="1"/>
  <c r="D1000" i="18"/>
  <c r="E1000" i="18" s="1"/>
  <c r="D136" i="18"/>
  <c r="E136" i="18" s="1"/>
  <c r="D1523" i="18"/>
  <c r="E1523" i="18" s="1"/>
  <c r="D468" i="18"/>
  <c r="E468" i="18" s="1"/>
  <c r="D1631" i="18"/>
  <c r="E1631" i="18" s="1"/>
  <c r="D110" i="18"/>
  <c r="E110" i="18" s="1"/>
  <c r="D460" i="18"/>
  <c r="E460" i="18" s="1"/>
  <c r="D1029" i="18"/>
  <c r="E1029" i="18" s="1"/>
  <c r="D1766" i="18"/>
  <c r="E1766" i="18" s="1"/>
  <c r="D772" i="18"/>
  <c r="E772" i="18" s="1"/>
  <c r="D1112" i="18"/>
  <c r="E1112" i="18" s="1"/>
  <c r="D1238" i="18"/>
  <c r="E1238" i="18" s="1"/>
  <c r="D755" i="18"/>
  <c r="E755" i="18" s="1"/>
  <c r="D821" i="18"/>
  <c r="E821" i="18" s="1"/>
  <c r="D1689" i="18"/>
  <c r="E1689" i="18" s="1"/>
  <c r="D837" i="18"/>
  <c r="E837" i="18" s="1"/>
  <c r="D1701" i="18"/>
  <c r="E1701" i="18" s="1"/>
  <c r="D1944" i="18"/>
  <c r="E1944" i="18" s="1"/>
  <c r="D531" i="18"/>
  <c r="E531" i="18" s="1"/>
  <c r="D1087" i="18"/>
  <c r="E1087" i="18" s="1"/>
  <c r="D1622" i="18"/>
  <c r="E1622" i="18" s="1"/>
  <c r="D483" i="18"/>
  <c r="E483" i="18" s="1"/>
  <c r="D228" i="18"/>
  <c r="E228" i="18" s="1"/>
  <c r="D512" i="18"/>
  <c r="E512" i="18" s="1"/>
  <c r="D1448" i="18"/>
  <c r="E1448" i="18" s="1"/>
  <c r="D355" i="18"/>
  <c r="E355" i="18" s="1"/>
  <c r="D826" i="18"/>
  <c r="E826" i="18" s="1"/>
  <c r="D1715" i="18"/>
  <c r="E1715" i="18" s="1"/>
  <c r="D934" i="18"/>
  <c r="E934" i="18" s="1"/>
  <c r="D1121" i="18"/>
  <c r="E1121" i="18" s="1"/>
  <c r="D1722" i="18"/>
  <c r="E1722" i="18" s="1"/>
  <c r="D514" i="18"/>
  <c r="E514" i="18" s="1"/>
  <c r="D257" i="18"/>
  <c r="E257" i="18" s="1"/>
  <c r="D552" i="18"/>
  <c r="E552" i="18" s="1"/>
  <c r="D1520" i="18"/>
  <c r="E1520" i="18" s="1"/>
  <c r="D1243" i="18"/>
  <c r="E1243" i="18" s="1"/>
  <c r="D886" i="18"/>
  <c r="E886" i="18" s="1"/>
  <c r="D1788" i="18"/>
  <c r="E1788" i="18" s="1"/>
  <c r="D1745" i="18"/>
  <c r="E1745" i="18" s="1"/>
  <c r="D1930" i="18"/>
  <c r="E1930" i="18" s="1"/>
  <c r="D619" i="18"/>
  <c r="E619" i="18" s="1"/>
  <c r="D1997" i="18"/>
  <c r="E1997" i="18" s="1"/>
  <c r="D182" i="18"/>
  <c r="E182" i="18" s="1"/>
  <c r="D529" i="18"/>
  <c r="E529" i="18" s="1"/>
  <c r="D333" i="18"/>
  <c r="E333" i="18" s="1"/>
  <c r="D449" i="18"/>
  <c r="E449" i="18" s="1"/>
  <c r="D347" i="18"/>
  <c r="E347" i="18" s="1"/>
  <c r="D155" i="18"/>
  <c r="E155" i="18" s="1"/>
  <c r="D1334" i="18"/>
  <c r="E1334" i="18" s="1"/>
  <c r="D546" i="18"/>
  <c r="E546" i="18" s="1"/>
  <c r="D1727" i="18"/>
  <c r="E1727" i="18" s="1"/>
  <c r="D138" i="18"/>
  <c r="E138" i="18" s="1"/>
  <c r="D764" i="18"/>
  <c r="E764" i="18" s="1"/>
  <c r="D799" i="18"/>
  <c r="E799" i="18" s="1"/>
  <c r="D1133" i="18"/>
  <c r="E1133" i="18" s="1"/>
  <c r="D1853" i="18"/>
  <c r="E1853" i="18" s="1"/>
  <c r="D810" i="18"/>
  <c r="E810" i="18" s="1"/>
  <c r="D748" i="18"/>
  <c r="E748" i="18" s="1"/>
  <c r="D1491" i="18"/>
  <c r="E1491" i="18" s="1"/>
  <c r="D1723" i="18"/>
  <c r="E1723" i="18" s="1"/>
  <c r="D578" i="18"/>
  <c r="E578" i="18" s="1"/>
  <c r="D489" i="18"/>
  <c r="E489" i="18" s="1"/>
  <c r="D1106" i="18"/>
  <c r="E1106" i="18" s="1"/>
  <c r="D164" i="18"/>
  <c r="E164" i="18" s="1"/>
  <c r="D1256" i="18"/>
  <c r="E1256" i="18" s="1"/>
  <c r="D1354" i="18"/>
  <c r="E1354" i="18" s="1"/>
  <c r="D334" i="18"/>
  <c r="E334" i="18" s="1"/>
  <c r="D1215" i="18"/>
  <c r="E1215" i="18" s="1"/>
  <c r="D1478" i="18"/>
  <c r="E1478" i="18" s="1"/>
  <c r="D1743" i="18"/>
  <c r="E1743" i="18" s="1"/>
  <c r="D1056" i="18"/>
  <c r="E1056" i="18" s="1"/>
  <c r="D525" i="18"/>
  <c r="E525" i="18" s="1"/>
  <c r="D839" i="18"/>
  <c r="E839" i="18" s="1"/>
  <c r="D117" i="18"/>
  <c r="E117" i="18" s="1"/>
  <c r="D806" i="18"/>
  <c r="E806" i="18" s="1"/>
  <c r="D1863" i="18"/>
  <c r="E1863" i="18" s="1"/>
  <c r="D1241" i="18"/>
  <c r="E1241" i="18" s="1"/>
  <c r="D382" i="18"/>
  <c r="E382" i="18" s="1"/>
  <c r="D1862" i="18"/>
  <c r="E1862" i="18" s="1"/>
  <c r="D1273" i="18"/>
  <c r="E1273" i="18" s="1"/>
  <c r="D1115" i="18"/>
  <c r="E1115" i="18" s="1"/>
  <c r="D882" i="18"/>
  <c r="E882" i="18" s="1"/>
  <c r="D785" i="18"/>
  <c r="E785" i="18" s="1"/>
  <c r="D1511" i="18"/>
  <c r="E1511" i="18" s="1"/>
  <c r="D1145" i="18"/>
  <c r="E1145" i="18" s="1"/>
  <c r="D1752" i="18"/>
  <c r="E1752" i="18" s="1"/>
  <c r="D1988" i="18"/>
  <c r="E1988" i="18" s="1"/>
  <c r="D720" i="18"/>
  <c r="E720" i="18" s="1"/>
  <c r="D1909" i="18"/>
  <c r="E1909" i="18" s="1"/>
  <c r="D1446" i="18"/>
  <c r="E1446" i="18" s="1"/>
  <c r="D625" i="18"/>
  <c r="E625" i="18" s="1"/>
  <c r="D660" i="18"/>
  <c r="E660" i="18" s="1"/>
  <c r="D1264" i="18"/>
  <c r="E1264" i="18" s="1"/>
  <c r="D1153" i="18"/>
  <c r="E1153" i="18" s="1"/>
  <c r="D288" i="18"/>
  <c r="E288" i="18" s="1"/>
  <c r="D1291" i="18"/>
  <c r="E1291" i="18" s="1"/>
  <c r="D1812" i="18"/>
  <c r="E1812" i="18" s="1"/>
  <c r="D370" i="18"/>
  <c r="E370" i="18" s="1"/>
  <c r="D589" i="18"/>
  <c r="E589" i="18" s="1"/>
  <c r="D1236" i="18"/>
  <c r="E1236" i="18" s="1"/>
  <c r="D1646" i="18"/>
  <c r="E1646" i="18" s="1"/>
  <c r="D1810" i="18"/>
  <c r="E1810" i="18" s="1"/>
  <c r="D264" i="18"/>
  <c r="E264" i="18" s="1"/>
  <c r="D1148" i="18"/>
  <c r="E1148" i="18" s="1"/>
  <c r="D899" i="18"/>
  <c r="E899" i="18" s="1"/>
  <c r="D581" i="18"/>
  <c r="E581" i="18" s="1"/>
  <c r="D566" i="18"/>
  <c r="E566" i="18" s="1"/>
  <c r="D1138" i="18"/>
  <c r="E1138" i="18" s="1"/>
  <c r="D846" i="18"/>
  <c r="E846" i="18" s="1"/>
  <c r="D131" i="18"/>
  <c r="E131" i="18" s="1"/>
  <c r="D1528" i="18"/>
  <c r="E1528" i="18" s="1"/>
  <c r="D819" i="18"/>
  <c r="E819" i="18" s="1"/>
  <c r="D1282" i="18"/>
  <c r="E1282" i="18" s="1"/>
  <c r="D1266" i="18"/>
  <c r="E1266" i="18" s="1"/>
  <c r="D405" i="18"/>
  <c r="E405" i="18" s="1"/>
  <c r="D1952" i="18"/>
  <c r="E1952" i="18" s="1"/>
  <c r="D1279" i="18"/>
  <c r="E1279" i="18" s="1"/>
  <c r="D1018" i="18"/>
  <c r="E1018" i="18" s="1"/>
  <c r="D1120" i="18"/>
  <c r="E1120" i="18" s="1"/>
  <c r="D943" i="18"/>
  <c r="E943" i="18" s="1"/>
  <c r="D808" i="18"/>
  <c r="E808" i="18" s="1"/>
  <c r="D1846" i="18"/>
  <c r="E1846" i="18" s="1"/>
  <c r="D1532" i="18"/>
  <c r="E1532" i="18" s="1"/>
  <c r="D1167" i="18"/>
  <c r="E1167" i="18" s="1"/>
  <c r="D1802" i="18"/>
  <c r="E1802" i="18" s="1"/>
  <c r="D1763" i="18"/>
  <c r="E1763" i="18" s="1"/>
  <c r="D2010" i="18"/>
  <c r="E2010" i="18" s="1"/>
  <c r="D1198" i="18"/>
  <c r="E1198" i="18" s="1"/>
  <c r="D51" i="18"/>
  <c r="E51" i="18" s="1"/>
  <c r="D1195" i="18"/>
  <c r="E1195" i="18" s="1"/>
  <c r="D1140" i="18"/>
  <c r="E1140" i="18" s="1"/>
  <c r="D1761" i="18"/>
  <c r="E1761" i="18" s="1"/>
  <c r="D1210" i="18"/>
  <c r="E1210" i="18" s="1"/>
  <c r="D1367" i="18"/>
  <c r="E1367" i="18" s="1"/>
  <c r="D1456" i="18"/>
  <c r="E1456" i="18" s="1"/>
  <c r="D1652" i="18"/>
  <c r="E1652" i="18" s="1"/>
  <c r="D385" i="18"/>
  <c r="E385" i="18" s="1"/>
  <c r="D1178" i="18"/>
  <c r="E1178" i="18" s="1"/>
  <c r="D1248" i="18"/>
  <c r="E1248" i="18" s="1"/>
  <c r="D1774" i="18"/>
  <c r="E1774" i="18" s="1"/>
  <c r="D1994" i="18"/>
  <c r="E1994" i="18" s="1"/>
  <c r="D650" i="18"/>
  <c r="E650" i="18" s="1"/>
  <c r="D916" i="18"/>
  <c r="E916" i="18" s="1"/>
  <c r="D603" i="18"/>
  <c r="E603" i="18" s="1"/>
  <c r="D1219" i="18"/>
  <c r="E1219" i="18" s="1"/>
  <c r="D1288" i="18"/>
  <c r="E1288" i="18" s="1"/>
  <c r="D154" i="18"/>
  <c r="E154" i="18" s="1"/>
  <c r="D1551" i="18"/>
  <c r="E1551" i="18" s="1"/>
  <c r="D847" i="18"/>
  <c r="E847" i="18" s="1"/>
  <c r="D1978" i="18"/>
  <c r="E1978" i="18" s="1"/>
  <c r="D1704" i="18"/>
  <c r="E1704" i="18" s="1"/>
  <c r="D1278" i="18"/>
  <c r="E1278" i="18" s="1"/>
  <c r="D428" i="18"/>
  <c r="E428" i="18" s="1"/>
  <c r="D1296" i="18"/>
  <c r="E1296" i="18" s="1"/>
  <c r="D1125" i="18"/>
  <c r="E1125" i="18" s="1"/>
  <c r="D948" i="18"/>
  <c r="E948" i="18" s="1"/>
  <c r="D831" i="18"/>
  <c r="E831" i="18" s="1"/>
  <c r="D1874" i="18"/>
  <c r="E1874" i="18" s="1"/>
  <c r="D1466" i="18"/>
  <c r="E1466" i="18" s="1"/>
  <c r="D1189" i="18"/>
  <c r="E1189" i="18" s="1"/>
  <c r="D1813" i="18"/>
  <c r="E1813" i="18" s="1"/>
  <c r="D1786" i="18"/>
  <c r="E1786" i="18" s="1"/>
  <c r="D377" i="18"/>
  <c r="E377" i="18" s="1"/>
  <c r="D243" i="18"/>
  <c r="E243" i="18" s="1"/>
  <c r="D1290" i="18"/>
  <c r="E1290" i="18" s="1"/>
  <c r="D1950" i="18"/>
  <c r="E1950" i="18" s="1"/>
  <c r="D1472" i="18"/>
  <c r="E1472" i="18" s="1"/>
  <c r="D1522" i="18"/>
  <c r="E1522" i="18" s="1"/>
  <c r="D18" i="18"/>
  <c r="E18" i="18" s="1"/>
  <c r="D1783" i="18"/>
  <c r="E1783" i="18" s="1"/>
  <c r="D399" i="18"/>
  <c r="E399" i="18" s="1"/>
  <c r="D1259" i="18"/>
  <c r="E1259" i="18" s="1"/>
  <c r="D88" i="18"/>
  <c r="E88" i="18" s="1"/>
  <c r="D395" i="18"/>
  <c r="E395" i="18" s="1"/>
  <c r="D675" i="18"/>
  <c r="E675" i="18" s="1"/>
  <c r="D642" i="18"/>
  <c r="E642" i="18" s="1"/>
  <c r="D627" i="18"/>
  <c r="E627" i="18" s="1"/>
  <c r="D1287" i="18"/>
  <c r="E1287" i="18" s="1"/>
  <c r="D1376" i="18"/>
  <c r="E1376" i="18" s="1"/>
  <c r="D1659" i="18"/>
  <c r="E1659" i="18" s="1"/>
  <c r="D860" i="18"/>
  <c r="E860" i="18" s="1"/>
  <c r="D2000" i="18"/>
  <c r="E2000" i="18" s="1"/>
  <c r="D1731" i="18"/>
  <c r="E1731" i="18" s="1"/>
  <c r="D1284" i="18"/>
  <c r="E1284" i="18" s="1"/>
  <c r="D219" i="18"/>
  <c r="E219" i="18" s="1"/>
  <c r="D1314" i="18"/>
  <c r="E1314" i="18" s="1"/>
  <c r="D1302" i="18"/>
  <c r="E1302" i="18" s="1"/>
  <c r="D1130" i="18"/>
  <c r="E1130" i="18" s="1"/>
  <c r="D953" i="18"/>
  <c r="E953" i="18" s="1"/>
  <c r="D854" i="18"/>
  <c r="E854" i="18" s="1"/>
  <c r="D1888" i="18"/>
  <c r="E1888" i="18" s="1"/>
  <c r="D1211" i="18"/>
  <c r="E1211" i="18" s="1"/>
  <c r="D1877" i="18"/>
  <c r="E1877" i="18" s="1"/>
  <c r="D1809" i="18"/>
  <c r="E1809" i="18" s="1"/>
  <c r="D1705" i="18"/>
  <c r="E1705" i="18" s="1"/>
  <c r="D1217" i="18"/>
  <c r="E1217" i="18" s="1"/>
  <c r="D1429" i="18"/>
  <c r="E1429" i="18" s="1"/>
  <c r="D509" i="18"/>
  <c r="E509" i="18" s="1"/>
  <c r="D1185" i="18"/>
  <c r="E1185" i="18" s="1"/>
  <c r="D1459" i="18"/>
  <c r="E1459" i="18" s="1"/>
  <c r="D1742" i="18"/>
  <c r="E1742" i="18" s="1"/>
  <c r="D417" i="18"/>
  <c r="E417" i="18" s="1"/>
  <c r="D23" i="18"/>
  <c r="E23" i="18" s="1"/>
  <c r="D1985" i="18"/>
  <c r="E1985" i="18" s="1"/>
  <c r="D1230" i="18"/>
  <c r="E1230" i="18" s="1"/>
  <c r="D1720" i="18"/>
  <c r="E1720" i="18" s="1"/>
  <c r="D778" i="18"/>
  <c r="E778" i="18" s="1"/>
  <c r="D1434" i="18"/>
  <c r="E1434" i="18" s="1"/>
  <c r="D454" i="18"/>
  <c r="E454" i="18" s="1"/>
  <c r="D1770" i="18"/>
  <c r="E1770" i="18" s="1"/>
  <c r="D674" i="18"/>
  <c r="E674" i="18" s="1"/>
  <c r="D1546" i="18"/>
  <c r="E1546" i="18" s="1"/>
  <c r="D1437" i="18"/>
  <c r="E1437" i="18" s="1"/>
  <c r="D956" i="18"/>
  <c r="E956" i="18" s="1"/>
  <c r="D1648" i="18"/>
  <c r="E1648" i="18" s="1"/>
  <c r="D1798" i="18"/>
  <c r="E1798" i="18" s="1"/>
  <c r="B275" i="11"/>
  <c r="R17" i="8" s="1"/>
  <c r="D229" i="18"/>
  <c r="E229" i="18" s="1"/>
  <c r="D210" i="18"/>
  <c r="E210" i="18" s="1"/>
  <c r="D1280" i="18"/>
  <c r="E1280" i="18" s="1"/>
  <c r="D495" i="18"/>
  <c r="E495" i="18" s="1"/>
  <c r="D1580" i="18"/>
  <c r="E1580" i="18" s="1"/>
  <c r="D1177" i="18"/>
  <c r="E1177" i="18" s="1"/>
  <c r="D594" i="18"/>
  <c r="E594" i="18" s="1"/>
  <c r="D602" i="18"/>
  <c r="E602" i="18" s="1"/>
  <c r="D1201" i="18"/>
  <c r="E1201" i="18" s="1"/>
  <c r="D1499" i="18"/>
  <c r="E1499" i="18" s="1"/>
  <c r="D1672" i="18"/>
  <c r="E1672" i="18" s="1"/>
  <c r="D1514" i="18"/>
  <c r="E1514" i="18" s="1"/>
  <c r="D1773" i="18"/>
  <c r="E1773" i="18" s="1"/>
  <c r="D349" i="18"/>
  <c r="E349" i="18" s="1"/>
  <c r="D431" i="18"/>
  <c r="E431" i="18" s="1"/>
  <c r="D36" i="18"/>
  <c r="E36" i="18" s="1"/>
  <c r="D890" i="18"/>
  <c r="E890" i="18" s="1"/>
  <c r="D26" i="18"/>
  <c r="E26" i="18" s="1"/>
  <c r="D1661" i="18"/>
  <c r="E1661" i="18" s="1"/>
  <c r="D1286" i="18"/>
  <c r="E1286" i="18" s="1"/>
  <c r="D112" i="18"/>
  <c r="E112" i="18" s="1"/>
  <c r="D1738" i="18"/>
  <c r="E1738" i="18" s="1"/>
  <c r="D853" i="18"/>
  <c r="E853" i="18" s="1"/>
  <c r="D338" i="18"/>
  <c r="E338" i="18" s="1"/>
  <c r="D1455" i="18"/>
  <c r="E1455" i="18" s="1"/>
  <c r="D513" i="18"/>
  <c r="E513" i="18" s="1"/>
  <c r="D258" i="18"/>
  <c r="E258" i="18" s="1"/>
  <c r="D1778" i="18"/>
  <c r="E1778" i="18" s="1"/>
  <c r="D1143" i="18"/>
  <c r="E1143" i="18" s="1"/>
  <c r="D709" i="18"/>
  <c r="E709" i="18" s="1"/>
  <c r="D1962" i="18"/>
  <c r="E1962" i="18" s="1"/>
  <c r="D1558" i="18"/>
  <c r="E1558" i="18" s="1"/>
  <c r="D1621" i="18"/>
  <c r="E1621" i="18" s="1"/>
  <c r="D1469" i="18"/>
  <c r="E1469" i="18" s="1"/>
  <c r="D1315" i="18"/>
  <c r="E1315" i="18" s="1"/>
  <c r="D979" i="18"/>
  <c r="E979" i="18" s="1"/>
  <c r="D1643" i="18"/>
  <c r="E1643" i="18" s="1"/>
  <c r="D1658" i="18"/>
  <c r="E1658" i="18" s="1"/>
  <c r="D1953" i="18"/>
  <c r="E1953" i="18" s="1"/>
  <c r="D1820" i="18"/>
  <c r="E1820" i="18" s="1"/>
  <c r="D31" i="18"/>
  <c r="E31" i="18" s="1"/>
  <c r="D1674" i="18"/>
  <c r="E1674" i="18" s="1"/>
  <c r="D1817" i="18"/>
  <c r="E1817" i="18" s="1"/>
  <c r="D622" i="18"/>
  <c r="E622" i="18" s="1"/>
  <c r="D1311" i="18"/>
  <c r="E1311" i="18" s="1"/>
  <c r="D1700" i="18"/>
  <c r="E1700" i="18" s="1"/>
  <c r="D1706" i="18"/>
  <c r="E1706" i="18" s="1"/>
  <c r="D393" i="18"/>
  <c r="E393" i="18" s="1"/>
  <c r="D462" i="18"/>
  <c r="E462" i="18" s="1"/>
  <c r="D128" i="18"/>
  <c r="E128" i="18" s="1"/>
  <c r="D1563" i="18"/>
  <c r="E1563" i="18" s="1"/>
  <c r="D1713" i="18"/>
  <c r="E1713" i="18" s="1"/>
  <c r="D149" i="18"/>
  <c r="E149" i="18" s="1"/>
  <c r="D874" i="18"/>
  <c r="E874" i="18" s="1"/>
  <c r="D343" i="18"/>
  <c r="E343" i="18" s="1"/>
  <c r="D540" i="18"/>
  <c r="E540" i="18" s="1"/>
  <c r="D1787" i="18"/>
  <c r="E1787" i="18" s="1"/>
  <c r="D762" i="18"/>
  <c r="E762" i="18" s="1"/>
  <c r="D1934" i="18"/>
  <c r="E1934" i="18" s="1"/>
  <c r="D1485" i="18"/>
  <c r="E1485" i="18" s="1"/>
  <c r="D1338" i="18"/>
  <c r="E1338" i="18" s="1"/>
  <c r="D661" i="18"/>
  <c r="E661" i="18" s="1"/>
  <c r="D1663" i="18"/>
  <c r="E1663" i="18" s="1"/>
  <c r="D1842" i="18"/>
  <c r="E1842" i="18" s="1"/>
  <c r="D111" i="18"/>
  <c r="E111" i="18" s="1"/>
  <c r="D518" i="18"/>
  <c r="E518" i="18" s="1"/>
  <c r="D1890" i="18"/>
  <c r="E1890" i="18" s="1"/>
  <c r="D641" i="18"/>
  <c r="E641" i="18" s="1"/>
  <c r="D1887" i="18"/>
  <c r="E1887" i="18" s="1"/>
  <c r="D1300" i="18"/>
  <c r="E1300" i="18" s="1"/>
  <c r="D644" i="18"/>
  <c r="E644" i="18" s="1"/>
  <c r="D156" i="18"/>
  <c r="E156" i="18" s="1"/>
  <c r="D1644" i="18"/>
  <c r="E1644" i="18" s="1"/>
  <c r="D1753" i="18"/>
  <c r="E1753" i="18" s="1"/>
  <c r="D1839" i="18"/>
  <c r="E1839" i="18" s="1"/>
  <c r="D1806" i="18"/>
  <c r="E1806" i="18" s="1"/>
  <c r="D262" i="18"/>
  <c r="E262" i="18" s="1"/>
  <c r="D424" i="18"/>
  <c r="E424" i="18" s="1"/>
  <c r="D469" i="18"/>
  <c r="E469" i="18" s="1"/>
  <c r="D801" i="18"/>
  <c r="E801" i="18" s="1"/>
  <c r="D134" i="18"/>
  <c r="E134" i="18" s="1"/>
  <c r="D1636" i="18"/>
  <c r="E1636" i="18" s="1"/>
  <c r="D65" i="18"/>
  <c r="E65" i="18" s="1"/>
  <c r="D1726" i="18"/>
  <c r="E1726" i="18" s="1"/>
  <c r="D1324" i="18"/>
  <c r="E1324" i="18" s="1"/>
  <c r="D172" i="18"/>
  <c r="E172" i="18" s="1"/>
  <c r="D1504" i="18"/>
  <c r="E1504" i="18" s="1"/>
  <c r="D941" i="18"/>
  <c r="E941" i="18" s="1"/>
  <c r="D348" i="18"/>
  <c r="E348" i="18" s="1"/>
  <c r="D1498" i="18"/>
  <c r="E1498" i="18" s="1"/>
  <c r="D551" i="18"/>
  <c r="E551" i="18" s="1"/>
  <c r="D611" i="18"/>
  <c r="E611" i="18" s="1"/>
  <c r="D1836" i="18"/>
  <c r="E1836" i="18" s="1"/>
  <c r="D1184" i="18"/>
  <c r="E1184" i="18" s="1"/>
  <c r="D768" i="18"/>
  <c r="E768" i="18" s="1"/>
  <c r="D389" i="18"/>
  <c r="E389" i="18" s="1"/>
  <c r="D1965" i="18"/>
  <c r="E1965" i="18" s="1"/>
  <c r="D1657" i="18"/>
  <c r="E1657" i="18" s="1"/>
  <c r="D1501" i="18"/>
  <c r="E1501" i="18" s="1"/>
  <c r="D1352" i="18"/>
  <c r="E1352" i="18" s="1"/>
  <c r="D1025" i="18"/>
  <c r="E1025" i="18" s="1"/>
  <c r="D683" i="18"/>
  <c r="E683" i="18" s="1"/>
  <c r="D1668" i="18"/>
  <c r="E1668" i="18" s="1"/>
  <c r="D2005" i="18"/>
  <c r="E2005" i="18" s="1"/>
  <c r="D1880" i="18"/>
  <c r="E1880" i="18" s="1"/>
  <c r="D565" i="18"/>
  <c r="E565" i="18" s="1"/>
  <c r="D736" i="18"/>
  <c r="E736" i="18" s="1"/>
  <c r="D426" i="18"/>
  <c r="E426" i="18" s="1"/>
  <c r="D1875" i="18"/>
  <c r="E1875" i="18" s="1"/>
  <c r="D1414" i="18"/>
  <c r="E1414" i="18" s="1"/>
  <c r="D166" i="18"/>
  <c r="E166" i="18" s="1"/>
  <c r="D486" i="18"/>
  <c r="E486" i="18" s="1"/>
  <c r="D751" i="18"/>
  <c r="E751" i="18" s="1"/>
  <c r="D1805" i="18"/>
  <c r="E1805" i="18" s="1"/>
  <c r="D832" i="18"/>
  <c r="E832" i="18" s="1"/>
  <c r="D805" i="18"/>
  <c r="E805" i="18" s="1"/>
  <c r="D725" i="18"/>
  <c r="E725" i="18" s="1"/>
  <c r="D1699" i="18"/>
  <c r="E1699" i="18" s="1"/>
  <c r="D689" i="18"/>
  <c r="E689" i="18" s="1"/>
  <c r="D1019" i="18"/>
  <c r="E1019" i="18" s="1"/>
  <c r="D450" i="18"/>
  <c r="E450" i="18" s="1"/>
  <c r="D1969" i="18"/>
  <c r="E1969" i="18" s="1"/>
  <c r="D1438" i="18"/>
  <c r="E1438" i="18" s="1"/>
  <c r="D1046" i="18"/>
  <c r="E1046" i="18" s="1"/>
  <c r="D1042" i="18"/>
  <c r="E1042" i="18" s="1"/>
  <c r="D1775" i="18"/>
  <c r="E1775" i="18" s="1"/>
  <c r="D1833" i="18"/>
  <c r="E1833" i="18" s="1"/>
  <c r="D849" i="18"/>
  <c r="E849" i="18" s="1"/>
  <c r="D1261" i="18"/>
  <c r="E1261" i="18" s="1"/>
  <c r="D760" i="18"/>
  <c r="E760" i="18" s="1"/>
  <c r="D1782" i="18"/>
  <c r="E1782" i="18" s="1"/>
  <c r="D859" i="18"/>
  <c r="E859" i="18" s="1"/>
  <c r="D1966" i="18"/>
  <c r="E1966" i="18" s="1"/>
  <c r="D360" i="18"/>
  <c r="E360" i="18" s="1"/>
  <c r="D1063" i="18"/>
  <c r="E1063" i="18" s="1"/>
  <c r="D1571" i="18"/>
  <c r="E1571" i="18" s="1"/>
  <c r="D1927" i="18"/>
  <c r="E1927" i="18" s="1"/>
  <c r="B209" i="1"/>
  <c r="A541" i="10"/>
  <c r="D1826" i="18"/>
  <c r="E1826" i="18" s="1"/>
  <c r="D162" i="18"/>
  <c r="E162" i="18" s="1"/>
  <c r="D458" i="18"/>
  <c r="E458" i="18" s="1"/>
  <c r="D693" i="18"/>
  <c r="E693" i="18" s="1"/>
  <c r="D575" i="18"/>
  <c r="E575" i="18" s="1"/>
  <c r="D1435" i="18"/>
  <c r="E1435" i="18" s="1"/>
  <c r="D1348" i="18"/>
  <c r="E1348" i="18" s="1"/>
  <c r="D291" i="18"/>
  <c r="E291" i="18" s="1"/>
  <c r="D638" i="18"/>
  <c r="E638" i="18" s="1"/>
  <c r="D865" i="18"/>
  <c r="E865" i="18" s="1"/>
  <c r="D1623" i="18"/>
  <c r="E1623" i="18" s="1"/>
  <c r="D89" i="18"/>
  <c r="E89" i="18" s="1"/>
  <c r="D205" i="18"/>
  <c r="E205" i="18" s="1"/>
  <c r="D236" i="18"/>
  <c r="E236" i="18" s="1"/>
  <c r="D1102" i="18"/>
  <c r="E1102" i="18" s="1"/>
  <c r="D1916" i="18"/>
  <c r="E1916" i="18" s="1"/>
  <c r="D1608" i="18"/>
  <c r="E1608" i="18" s="1"/>
  <c r="D1292" i="18"/>
  <c r="E1292" i="18" s="1"/>
  <c r="D1638" i="18"/>
  <c r="E1638" i="18" s="1"/>
  <c r="D1935" i="18"/>
  <c r="E1935" i="18" s="1"/>
  <c r="D719" i="18"/>
  <c r="E719" i="18" s="1"/>
  <c r="A580" i="10"/>
  <c r="D330" i="18"/>
  <c r="E330" i="18" s="1"/>
  <c r="D526" i="18"/>
  <c r="E526" i="18" s="1"/>
  <c r="D1244" i="18"/>
  <c r="E1244" i="18" s="1"/>
  <c r="D70" i="18"/>
  <c r="E70" i="18" s="1"/>
  <c r="D1733" i="18"/>
  <c r="E1733" i="18" s="1"/>
  <c r="D204" i="18"/>
  <c r="E204" i="18" s="1"/>
  <c r="D780" i="18"/>
  <c r="E780" i="18" s="1"/>
  <c r="D54" i="18"/>
  <c r="E54" i="18" s="1"/>
  <c r="D1305" i="18"/>
  <c r="E1305" i="18" s="1"/>
  <c r="D1483" i="18"/>
  <c r="E1483" i="18" s="1"/>
  <c r="D1462" i="18"/>
  <c r="E1462" i="18" s="1"/>
  <c r="D584" i="18"/>
  <c r="E584" i="18" s="1"/>
  <c r="D1161" i="18"/>
  <c r="E1161" i="18" s="1"/>
  <c r="D1971" i="18"/>
  <c r="E1971" i="18" s="1"/>
  <c r="D1651" i="18"/>
  <c r="E1651" i="18" s="1"/>
  <c r="D1002" i="18"/>
  <c r="E1002" i="18" s="1"/>
  <c r="D1976" i="18"/>
  <c r="E1976" i="18" s="1"/>
  <c r="D132" i="18"/>
  <c r="E132" i="18" s="1"/>
  <c r="D1001" i="18"/>
  <c r="E1001" i="18" s="1"/>
  <c r="D92" i="18"/>
  <c r="E92" i="18" s="1"/>
  <c r="D1012" i="18"/>
  <c r="E1012" i="18" s="1"/>
  <c r="D1949" i="18"/>
  <c r="E1949" i="18" s="1"/>
  <c r="D1336" i="18"/>
  <c r="E1336" i="18" s="1"/>
  <c r="D1942" i="18"/>
  <c r="E1942" i="18" s="1"/>
  <c r="D175" i="18"/>
  <c r="E175" i="18" s="1"/>
  <c r="D1902" i="18"/>
  <c r="E1902" i="18" s="1"/>
  <c r="D1816" i="18"/>
  <c r="E1816" i="18" s="1"/>
  <c r="D1940" i="18"/>
  <c r="E1940" i="18" s="1"/>
  <c r="D158" i="18"/>
  <c r="E158" i="18" s="1"/>
  <c r="D305" i="18"/>
  <c r="E305" i="18" s="1"/>
  <c r="D439" i="18"/>
  <c r="E439" i="18" s="1"/>
  <c r="D508" i="18"/>
  <c r="E508" i="18" s="1"/>
  <c r="D944" i="18"/>
  <c r="E944" i="18" s="1"/>
  <c r="D710" i="18"/>
  <c r="E710" i="18" s="1"/>
  <c r="D1736" i="18"/>
  <c r="E1736" i="18" s="1"/>
  <c r="D82" i="18"/>
  <c r="E82" i="18" s="1"/>
  <c r="D1740" i="18"/>
  <c r="E1740" i="18" s="1"/>
  <c r="D1344" i="18"/>
  <c r="E1344" i="18" s="1"/>
  <c r="D506" i="18"/>
  <c r="E506" i="18" s="1"/>
  <c r="D1536" i="18"/>
  <c r="E1536" i="18" s="1"/>
  <c r="D962" i="18"/>
  <c r="E962" i="18" s="1"/>
  <c r="D353" i="18"/>
  <c r="E353" i="18" s="1"/>
  <c r="D1560" i="18"/>
  <c r="E1560" i="18" s="1"/>
  <c r="D1004" i="18"/>
  <c r="E1004" i="18" s="1"/>
  <c r="D633" i="18"/>
  <c r="E633" i="18" s="1"/>
  <c r="D1844" i="18"/>
  <c r="E1844" i="18" s="1"/>
  <c r="D1196" i="18"/>
  <c r="E1196" i="18" s="1"/>
  <c r="D786" i="18"/>
  <c r="E786" i="18" s="1"/>
  <c r="D668" i="18"/>
  <c r="E668" i="18" s="1"/>
  <c r="D1981" i="18"/>
  <c r="E1981" i="18" s="1"/>
  <c r="D1664" i="18"/>
  <c r="E1664" i="18" s="1"/>
  <c r="D1518" i="18"/>
  <c r="E1518" i="18" s="1"/>
  <c r="D1375" i="18"/>
  <c r="E1375" i="18" s="1"/>
  <c r="D1320" i="18"/>
  <c r="E1320" i="18" s="1"/>
  <c r="D705" i="18"/>
  <c r="E705" i="18" s="1"/>
  <c r="D1673" i="18"/>
  <c r="E1673" i="18" s="1"/>
  <c r="D1568" i="18"/>
  <c r="E1568" i="18" s="1"/>
  <c r="D1914" i="18"/>
  <c r="E1914" i="18" s="1"/>
  <c r="T259" i="11"/>
  <c r="N259" i="11"/>
  <c r="O259" i="11"/>
  <c r="BB259" i="11" s="1"/>
  <c r="W259" i="11"/>
  <c r="T266" i="11"/>
  <c r="W266" i="11"/>
  <c r="O266" i="11"/>
  <c r="N266" i="11"/>
  <c r="M5" i="9"/>
  <c r="L5" i="9"/>
  <c r="BB5" i="9"/>
  <c r="G690" i="19"/>
  <c r="A761" i="10"/>
  <c r="G505" i="19"/>
  <c r="A562" i="10"/>
  <c r="G834" i="19"/>
  <c r="A904" i="10"/>
  <c r="O22" i="5"/>
  <c r="N22" i="5"/>
  <c r="M22" i="5"/>
  <c r="L22" i="5"/>
  <c r="K22" i="5"/>
  <c r="G805" i="19"/>
  <c r="A876" i="10"/>
  <c r="L255" i="11"/>
  <c r="M255" i="11" s="1"/>
  <c r="A755" i="10"/>
  <c r="G643" i="19"/>
  <c r="A711" i="10"/>
  <c r="L7" i="9"/>
  <c r="M7" i="9"/>
  <c r="BB7" i="9"/>
  <c r="L706" i="19"/>
  <c r="BR50" i="9"/>
  <c r="G699" i="19"/>
  <c r="A769" i="10"/>
  <c r="G490" i="19"/>
  <c r="A547" i="10"/>
  <c r="A846" i="10"/>
  <c r="G841" i="19"/>
  <c r="A911" i="10"/>
  <c r="G633" i="19"/>
  <c r="A701" i="10"/>
  <c r="G832" i="19"/>
  <c r="A903" i="10"/>
  <c r="A819" i="10"/>
  <c r="G641" i="19"/>
  <c r="A709" i="10"/>
  <c r="G767" i="19"/>
  <c r="A838" i="10"/>
  <c r="A744" i="10"/>
  <c r="A691" i="10"/>
  <c r="A720" i="10"/>
  <c r="G617" i="19"/>
  <c r="A685" i="10"/>
  <c r="G502" i="19"/>
  <c r="A559" i="10"/>
  <c r="G710" i="19"/>
  <c r="A785" i="10"/>
  <c r="A695" i="10"/>
  <c r="A814" i="10"/>
  <c r="G558" i="19"/>
  <c r="A622" i="10"/>
  <c r="A676" i="10"/>
  <c r="G800" i="19"/>
  <c r="A871" i="10"/>
  <c r="A682" i="10"/>
  <c r="A669" i="10"/>
  <c r="N18" i="5"/>
  <c r="M18" i="5"/>
  <c r="O18" i="5"/>
  <c r="L18" i="5"/>
  <c r="K18" i="5"/>
  <c r="A844" i="10"/>
  <c r="G532" i="19"/>
  <c r="A594" i="10"/>
  <c r="G578" i="19"/>
  <c r="A643" i="10"/>
  <c r="G543" i="19"/>
  <c r="A605" i="10"/>
  <c r="A855" i="10"/>
  <c r="G796" i="19"/>
  <c r="A867" i="10"/>
  <c r="L108" i="12"/>
  <c r="S40" i="9"/>
  <c r="S44" i="9"/>
  <c r="S42" i="9"/>
  <c r="S43" i="9"/>
  <c r="S59" i="9"/>
  <c r="S41" i="9"/>
  <c r="G867" i="19"/>
  <c r="A923" i="10"/>
  <c r="G839" i="19"/>
  <c r="A909" i="10"/>
  <c r="A514" i="10"/>
  <c r="G489" i="19"/>
  <c r="A546" i="10"/>
  <c r="F28" i="15"/>
  <c r="L105" i="12"/>
  <c r="S18" i="9"/>
  <c r="S17" i="9"/>
  <c r="S16" i="9"/>
  <c r="S15" i="9"/>
  <c r="L747" i="19"/>
  <c r="BR57" i="9"/>
  <c r="A519" i="10"/>
  <c r="A504" i="10"/>
  <c r="A715" i="10"/>
  <c r="M14" i="5"/>
  <c r="O14" i="5"/>
  <c r="K14" i="5"/>
  <c r="N14" i="5"/>
  <c r="L14" i="5"/>
  <c r="G722" i="19"/>
  <c r="A796" i="10"/>
  <c r="G726" i="19"/>
  <c r="A800" i="10"/>
  <c r="L501" i="19"/>
  <c r="BR14" i="9"/>
  <c r="G798" i="19"/>
  <c r="A869" i="10"/>
  <c r="G716" i="19"/>
  <c r="A791" i="10"/>
  <c r="G764" i="19"/>
  <c r="A835" i="10"/>
  <c r="D265" i="18"/>
  <c r="E265" i="18" s="1"/>
  <c r="D1582" i="18"/>
  <c r="E1582" i="18" s="1"/>
  <c r="D672" i="18"/>
  <c r="E672" i="18" s="1"/>
  <c r="D1716" i="18"/>
  <c r="E1716" i="18" s="1"/>
  <c r="D685" i="18"/>
  <c r="E685" i="18" s="1"/>
  <c r="D123" i="18"/>
  <c r="E123" i="18" s="1"/>
  <c r="D32" i="18"/>
  <c r="E32" i="18" s="1"/>
  <c r="D706" i="18"/>
  <c r="E706" i="18" s="1"/>
  <c r="D1666" i="18"/>
  <c r="E1666" i="18" s="1"/>
  <c r="D557" i="18"/>
  <c r="E557" i="18" s="1"/>
  <c r="D1141" i="18"/>
  <c r="E1141" i="18" s="1"/>
  <c r="D541" i="18"/>
  <c r="E541" i="18" s="1"/>
  <c r="D585" i="18"/>
  <c r="E585" i="18" s="1"/>
  <c r="D30" i="18"/>
  <c r="E30" i="18" s="1"/>
  <c r="D115" i="18"/>
  <c r="E115" i="18" s="1"/>
  <c r="D863" i="18"/>
  <c r="E863" i="18" s="1"/>
  <c r="D403" i="18"/>
  <c r="E403" i="18" s="1"/>
  <c r="D694" i="18"/>
  <c r="E694" i="18" s="1"/>
  <c r="D560" i="18"/>
  <c r="E560" i="18" s="1"/>
  <c r="D118" i="18"/>
  <c r="E118" i="18" s="1"/>
  <c r="D604" i="18"/>
  <c r="E604" i="18" s="1"/>
  <c r="D301" i="18"/>
  <c r="E301" i="18" s="1"/>
  <c r="D392" i="18"/>
  <c r="E392" i="18" s="1"/>
  <c r="D290" i="18"/>
  <c r="E290" i="18" s="1"/>
  <c r="D396" i="18"/>
  <c r="E396" i="18" s="1"/>
  <c r="D461" i="18"/>
  <c r="E461" i="18" s="1"/>
  <c r="D1374" i="18"/>
  <c r="E1374" i="18" s="1"/>
  <c r="D655" i="18"/>
  <c r="E655" i="18" s="1"/>
  <c r="D1973" i="18"/>
  <c r="E1973" i="18" s="1"/>
  <c r="D696" i="18"/>
  <c r="E696" i="18" s="1"/>
  <c r="D61" i="18"/>
  <c r="E61" i="18" s="1"/>
  <c r="D687" i="18"/>
  <c r="E687" i="18" s="1"/>
  <c r="D126" i="18"/>
  <c r="E126" i="18" s="1"/>
  <c r="D911" i="18"/>
  <c r="E911" i="18" s="1"/>
  <c r="D140" i="18"/>
  <c r="E140" i="18" s="1"/>
  <c r="D1194" i="18"/>
  <c r="E1194" i="18" s="1"/>
  <c r="D555" i="18"/>
  <c r="E555" i="18" s="1"/>
  <c r="D160" i="18"/>
  <c r="E160" i="18" s="1"/>
  <c r="D1416" i="18"/>
  <c r="E1416" i="18" s="1"/>
  <c r="D1099" i="18"/>
  <c r="E1099" i="18" s="1"/>
  <c r="D492" i="18"/>
  <c r="E492" i="18" s="1"/>
  <c r="D1371" i="18"/>
  <c r="E1371" i="18" s="1"/>
  <c r="D294" i="18"/>
  <c r="E294" i="18" s="1"/>
  <c r="D1117" i="18"/>
  <c r="E1117" i="18" s="1"/>
  <c r="D161" i="18"/>
  <c r="E161" i="18" s="1"/>
  <c r="D792" i="18"/>
  <c r="E792" i="18" s="1"/>
  <c r="D1486" i="18"/>
  <c r="E1486" i="18" s="1"/>
  <c r="D1369" i="18"/>
  <c r="E1369" i="18" s="1"/>
  <c r="D220" i="18"/>
  <c r="E220" i="18" s="1"/>
  <c r="D1036" i="18"/>
  <c r="E1036" i="18" s="1"/>
  <c r="D2008" i="18"/>
  <c r="E2008" i="18" s="1"/>
  <c r="D1823" i="18"/>
  <c r="E1823" i="18" s="1"/>
  <c r="D443" i="18"/>
  <c r="E443" i="18" s="1"/>
  <c r="D1213" i="18"/>
  <c r="E1213" i="18" s="1"/>
  <c r="D1884" i="18"/>
  <c r="E1884" i="18" s="1"/>
  <c r="D438" i="18"/>
  <c r="E438" i="18" s="1"/>
  <c r="D1010" i="18"/>
  <c r="E1010" i="18" s="1"/>
  <c r="D1694" i="18"/>
  <c r="E1694" i="18" s="1"/>
  <c r="D67" i="18"/>
  <c r="E67" i="18" s="1"/>
  <c r="D664" i="18"/>
  <c r="E664" i="18" s="1"/>
  <c r="D1364" i="18"/>
  <c r="E1364" i="18" s="1"/>
  <c r="D324" i="18"/>
  <c r="E324" i="18" s="1"/>
  <c r="D961" i="18"/>
  <c r="E961" i="18" s="1"/>
  <c r="D1427" i="18"/>
  <c r="E1427" i="18" s="1"/>
  <c r="D113" i="18"/>
  <c r="E113" i="18" s="1"/>
  <c r="D595" i="18"/>
  <c r="E595" i="18" s="1"/>
  <c r="D1384" i="18"/>
  <c r="E1384" i="18" s="1"/>
  <c r="D329" i="18"/>
  <c r="E329" i="18" s="1"/>
  <c r="D844" i="18"/>
  <c r="E844" i="18" s="1"/>
  <c r="D1440" i="18"/>
  <c r="E1440" i="18" s="1"/>
  <c r="D455" i="18"/>
  <c r="E455" i="18" s="1"/>
  <c r="D1033" i="18"/>
  <c r="E1033" i="18" s="1"/>
  <c r="D1632" i="18"/>
  <c r="E1632" i="18" s="1"/>
  <c r="D775" i="18"/>
  <c r="E775" i="18" s="1"/>
  <c r="D1426" i="18"/>
  <c r="E1426" i="18" s="1"/>
  <c r="D1920" i="18"/>
  <c r="E1920" i="18" s="1"/>
  <c r="D1095" i="18"/>
  <c r="E1095" i="18" s="1"/>
  <c r="D1912" i="18"/>
  <c r="E1912" i="18" s="1"/>
  <c r="D960" i="18"/>
  <c r="E960" i="18" s="1"/>
  <c r="D1447" i="18"/>
  <c r="E1447" i="18" s="1"/>
  <c r="D586" i="18"/>
  <c r="E586" i="18" s="1"/>
  <c r="D1085" i="18"/>
  <c r="E1085" i="18" s="1"/>
  <c r="D1609" i="18"/>
  <c r="E1609" i="18" s="1"/>
  <c r="D1746" i="18"/>
  <c r="E1746" i="18" s="1"/>
  <c r="D925" i="18"/>
  <c r="E925" i="18" s="1"/>
  <c r="D1409" i="18"/>
  <c r="E1409" i="18" s="1"/>
  <c r="D1852" i="18"/>
  <c r="E1852" i="18" s="1"/>
  <c r="D1570" i="18"/>
  <c r="E1570" i="18" s="1"/>
  <c r="D1693" i="18"/>
  <c r="E1693" i="18" s="1"/>
  <c r="D1876" i="18"/>
  <c r="E1876" i="18" s="1"/>
  <c r="D2001" i="18"/>
  <c r="E2001" i="18" s="1"/>
  <c r="A552" i="10"/>
  <c r="G707" i="19"/>
  <c r="A782" i="10"/>
  <c r="A531" i="10"/>
  <c r="G692" i="19"/>
  <c r="A763" i="10"/>
  <c r="A506" i="10"/>
  <c r="G827" i="19"/>
  <c r="A639" i="10"/>
  <c r="G548" i="19"/>
  <c r="A609" i="10"/>
  <c r="G723" i="19"/>
  <c r="A797" i="10"/>
  <c r="G748" i="19"/>
  <c r="A821" i="10"/>
  <c r="A717" i="10"/>
  <c r="L823" i="19"/>
  <c r="BR71" i="9"/>
  <c r="G541" i="19"/>
  <c r="A603" i="10"/>
  <c r="F18" i="15"/>
  <c r="G733" i="19"/>
  <c r="A806" i="10"/>
  <c r="G528" i="19"/>
  <c r="A587" i="10"/>
  <c r="G562" i="19"/>
  <c r="A626" i="10"/>
  <c r="A512" i="10"/>
  <c r="A658" i="10"/>
  <c r="A754" i="10"/>
  <c r="B361" i="8"/>
  <c r="R25" i="8" s="1"/>
  <c r="G501" i="19"/>
  <c r="A558" i="10"/>
  <c r="A850" i="10"/>
  <c r="D1069" i="18"/>
  <c r="E1069" i="18" s="1"/>
  <c r="D75" i="18"/>
  <c r="E75" i="18" s="1"/>
  <c r="D1800" i="18"/>
  <c r="E1800" i="18" s="1"/>
  <c r="D1921" i="18"/>
  <c r="E1921" i="18" s="1"/>
  <c r="D64" i="18"/>
  <c r="E64" i="18" s="1"/>
  <c r="D723" i="18"/>
  <c r="E723" i="18" s="1"/>
  <c r="D86" i="18"/>
  <c r="E86" i="18" s="1"/>
  <c r="D817" i="18"/>
  <c r="E817" i="18" s="1"/>
  <c r="D142" i="18"/>
  <c r="E142" i="18" s="1"/>
  <c r="D686" i="18"/>
  <c r="E686" i="18" s="1"/>
  <c r="D1253" i="18"/>
  <c r="E1253" i="18" s="1"/>
  <c r="D877" i="18"/>
  <c r="E877" i="18" s="1"/>
  <c r="D802" i="18"/>
  <c r="E802" i="18" s="1"/>
  <c r="D57" i="18"/>
  <c r="E57" i="18" s="1"/>
  <c r="D208" i="18"/>
  <c r="E208" i="18" s="1"/>
  <c r="D945" i="18"/>
  <c r="E945" i="18" s="1"/>
  <c r="D436" i="18"/>
  <c r="E436" i="18" s="1"/>
  <c r="D712" i="18"/>
  <c r="E712" i="18" s="1"/>
  <c r="D774" i="18"/>
  <c r="E774" i="18" s="1"/>
  <c r="D194" i="18"/>
  <c r="E194" i="18" s="1"/>
  <c r="D681" i="18"/>
  <c r="E681" i="18" s="1"/>
  <c r="D404" i="18"/>
  <c r="E404" i="18" s="1"/>
  <c r="D429" i="18"/>
  <c r="E429" i="18" s="1"/>
  <c r="D336" i="18"/>
  <c r="E336" i="18" s="1"/>
  <c r="D452" i="18"/>
  <c r="E452" i="18" s="1"/>
  <c r="D498" i="18"/>
  <c r="E498" i="18" s="1"/>
  <c r="D1386" i="18"/>
  <c r="E1386" i="18" s="1"/>
  <c r="D747" i="18"/>
  <c r="E747" i="18" s="1"/>
  <c r="D22" i="18"/>
  <c r="E22" i="18" s="1"/>
  <c r="D718" i="18"/>
  <c r="E718" i="18" s="1"/>
  <c r="D74" i="18"/>
  <c r="E74" i="18" s="1"/>
  <c r="D728" i="18"/>
  <c r="E728" i="18" s="1"/>
  <c r="D192" i="18"/>
  <c r="E192" i="18" s="1"/>
  <c r="D921" i="18"/>
  <c r="E921" i="18" s="1"/>
  <c r="D213" i="18"/>
  <c r="E213" i="18" s="1"/>
  <c r="D1204" i="18"/>
  <c r="E1204" i="18" s="1"/>
  <c r="D572" i="18"/>
  <c r="E572" i="18" s="1"/>
  <c r="D186" i="18"/>
  <c r="E186" i="18" s="1"/>
  <c r="D1454" i="18"/>
  <c r="E1454" i="18" s="1"/>
  <c r="D1144" i="18"/>
  <c r="E1144" i="18" s="1"/>
  <c r="D588" i="18"/>
  <c r="E588" i="18" s="1"/>
  <c r="D1401" i="18"/>
  <c r="E1401" i="18" s="1"/>
  <c r="D325" i="18"/>
  <c r="E325" i="18" s="1"/>
  <c r="D1156" i="18"/>
  <c r="E1156" i="18" s="1"/>
  <c r="D207" i="18"/>
  <c r="E207" i="18" s="1"/>
  <c r="D834" i="18"/>
  <c r="E834" i="18" s="1"/>
  <c r="D1496" i="18"/>
  <c r="E1496" i="18" s="1"/>
  <c r="D1382" i="18"/>
  <c r="E1382" i="18" s="1"/>
  <c r="D225" i="18"/>
  <c r="E225" i="18" s="1"/>
  <c r="D1070" i="18"/>
  <c r="E1070" i="18" s="1"/>
  <c r="D989" i="18"/>
  <c r="E989" i="18" s="1"/>
  <c r="D1873" i="18"/>
  <c r="E1873" i="18" s="1"/>
  <c r="D464" i="18"/>
  <c r="E464" i="18" s="1"/>
  <c r="D1234" i="18"/>
  <c r="E1234" i="18" s="1"/>
  <c r="D1967" i="18"/>
  <c r="E1967" i="18" s="1"/>
  <c r="D491" i="18"/>
  <c r="E491" i="18" s="1"/>
  <c r="D1064" i="18"/>
  <c r="E1064" i="18" s="1"/>
  <c r="D1758" i="18"/>
  <c r="E1758" i="18" s="1"/>
  <c r="D90" i="18"/>
  <c r="E90" i="18" s="1"/>
  <c r="D677" i="18"/>
  <c r="E677" i="18" s="1"/>
  <c r="D1377" i="18"/>
  <c r="E1377" i="18" s="1"/>
  <c r="D346" i="18"/>
  <c r="E346" i="18" s="1"/>
  <c r="D996" i="18"/>
  <c r="E996" i="18" s="1"/>
  <c r="D1439" i="18"/>
  <c r="E1439" i="18" s="1"/>
  <c r="D135" i="18"/>
  <c r="E135" i="18" s="1"/>
  <c r="D617" i="18"/>
  <c r="E617" i="18" s="1"/>
  <c r="D1408" i="18"/>
  <c r="E1408" i="18" s="1"/>
  <c r="D351" i="18"/>
  <c r="E351" i="18" s="1"/>
  <c r="D850" i="18"/>
  <c r="E850" i="18" s="1"/>
  <c r="D1477" i="18"/>
  <c r="E1477" i="18" s="1"/>
  <c r="D477" i="18"/>
  <c r="E477" i="18" s="1"/>
  <c r="D1038" i="18"/>
  <c r="E1038" i="18" s="1"/>
  <c r="D1682" i="18"/>
  <c r="E1682" i="18" s="1"/>
  <c r="D887" i="18"/>
  <c r="E887" i="18" s="1"/>
  <c r="D1442" i="18"/>
  <c r="E1442" i="18" s="1"/>
  <c r="D2013" i="18"/>
  <c r="E2013" i="18" s="1"/>
  <c r="D1100" i="18"/>
  <c r="E1100" i="18" s="1"/>
  <c r="D1943" i="18"/>
  <c r="E1943" i="18" s="1"/>
  <c r="D974" i="18"/>
  <c r="E974" i="18" s="1"/>
  <c r="D1481" i="18"/>
  <c r="E1481" i="18" s="1"/>
  <c r="D608" i="18"/>
  <c r="E608" i="18" s="1"/>
  <c r="D1108" i="18"/>
  <c r="E1108" i="18" s="1"/>
  <c r="D1615" i="18"/>
  <c r="E1615" i="18" s="1"/>
  <c r="D1762" i="18"/>
  <c r="E1762" i="18" s="1"/>
  <c r="D947" i="18"/>
  <c r="E947" i="18" s="1"/>
  <c r="D1431" i="18"/>
  <c r="E1431" i="18" s="1"/>
  <c r="D1870" i="18"/>
  <c r="E1870" i="18" s="1"/>
  <c r="D1593" i="18"/>
  <c r="E1593" i="18" s="1"/>
  <c r="D1717" i="18"/>
  <c r="E1717" i="18" s="1"/>
  <c r="D1881" i="18"/>
  <c r="E1881" i="18" s="1"/>
  <c r="D2006" i="18"/>
  <c r="E2006" i="18" s="1"/>
  <c r="D613" i="18"/>
  <c r="E613" i="18" s="1"/>
  <c r="D76" i="18"/>
  <c r="E76" i="18" s="1"/>
  <c r="D1154" i="18"/>
  <c r="E1154" i="18" s="1"/>
  <c r="D714" i="18"/>
  <c r="E714" i="18" s="1"/>
  <c r="D406" i="18"/>
  <c r="E406" i="18" s="1"/>
  <c r="D1911" i="18"/>
  <c r="E1911" i="18" s="1"/>
  <c r="D283" i="18"/>
  <c r="E283" i="18" s="1"/>
  <c r="D992" i="18"/>
  <c r="E992" i="18" s="1"/>
  <c r="D519" i="18"/>
  <c r="E519" i="18" s="1"/>
  <c r="D1107" i="18"/>
  <c r="E1107" i="18" s="1"/>
  <c r="D96" i="18"/>
  <c r="E96" i="18" s="1"/>
  <c r="D981" i="18"/>
  <c r="E981" i="18" s="1"/>
  <c r="D1396" i="18"/>
  <c r="E1396" i="18" s="1"/>
  <c r="D143" i="18"/>
  <c r="E143" i="18" s="1"/>
  <c r="D456" i="18"/>
  <c r="E456" i="18" s="1"/>
  <c r="D1122" i="18"/>
  <c r="E1122" i="18" s="1"/>
  <c r="D680" i="18"/>
  <c r="E680" i="18" s="1"/>
  <c r="D1022" i="18"/>
  <c r="E1022" i="18" s="1"/>
  <c r="D904" i="18"/>
  <c r="E904" i="18" s="1"/>
  <c r="D323" i="18"/>
  <c r="E323" i="18" s="1"/>
  <c r="D744" i="18"/>
  <c r="E744" i="18" s="1"/>
  <c r="D576" i="18"/>
  <c r="E576" i="18" s="1"/>
  <c r="D524" i="18"/>
  <c r="E524" i="18" s="1"/>
  <c r="D418" i="18"/>
  <c r="E418" i="18" s="1"/>
  <c r="D577" i="18"/>
  <c r="E577" i="18" s="1"/>
  <c r="D561" i="18"/>
  <c r="E561" i="18" s="1"/>
  <c r="D1424" i="18"/>
  <c r="E1424" i="18" s="1"/>
  <c r="D930" i="18"/>
  <c r="E930" i="18" s="1"/>
  <c r="D35" i="18"/>
  <c r="E35" i="18" s="1"/>
  <c r="D788" i="18"/>
  <c r="E788" i="18" s="1"/>
  <c r="D159" i="18"/>
  <c r="E159" i="18" s="1"/>
  <c r="D798" i="18"/>
  <c r="E798" i="18" s="1"/>
  <c r="D234" i="18"/>
  <c r="E234" i="18" s="1"/>
  <c r="D999" i="18"/>
  <c r="E999" i="18" s="1"/>
  <c r="D278" i="18"/>
  <c r="E278" i="18" s="1"/>
  <c r="D1226" i="18"/>
  <c r="E1226" i="18" s="1"/>
  <c r="D781" i="18"/>
  <c r="E781" i="18" s="1"/>
  <c r="D425" i="18"/>
  <c r="E425" i="18" s="1"/>
  <c r="D1591" i="18"/>
  <c r="E1591" i="18" s="1"/>
  <c r="D1276" i="18"/>
  <c r="E1276" i="18" s="1"/>
  <c r="D635" i="18"/>
  <c r="E635" i="18" s="1"/>
  <c r="D1599" i="18"/>
  <c r="E1599" i="18" s="1"/>
  <c r="D375" i="18"/>
  <c r="E375" i="18" s="1"/>
  <c r="D1183" i="18"/>
  <c r="E1183" i="18" s="1"/>
  <c r="D238" i="18"/>
  <c r="E238" i="18" s="1"/>
  <c r="D866" i="18"/>
  <c r="E866" i="18" s="1"/>
  <c r="D1588" i="18"/>
  <c r="E1588" i="18" s="1"/>
  <c r="D1418" i="18"/>
  <c r="E1418" i="18" s="1"/>
  <c r="D235" i="18"/>
  <c r="E235" i="18" s="1"/>
  <c r="D1104" i="18"/>
  <c r="E1104" i="18" s="1"/>
  <c r="D1132" i="18"/>
  <c r="E1132" i="18" s="1"/>
  <c r="D1924" i="18"/>
  <c r="E1924" i="18" s="1"/>
  <c r="D496" i="18"/>
  <c r="E496" i="18" s="1"/>
  <c r="D1281" i="18"/>
  <c r="E1281" i="18" s="1"/>
  <c r="D2009" i="18"/>
  <c r="E2009" i="18" s="1"/>
  <c r="D1098" i="18"/>
  <c r="E1098" i="18" s="1"/>
  <c r="D1824" i="18"/>
  <c r="E1824" i="18" s="1"/>
  <c r="D150" i="18"/>
  <c r="E150" i="18" s="1"/>
  <c r="D752" i="18"/>
  <c r="E752" i="18" s="1"/>
  <c r="D1406" i="18"/>
  <c r="E1406" i="18" s="1"/>
  <c r="D391" i="18"/>
  <c r="E391" i="18" s="1"/>
  <c r="D1037" i="18"/>
  <c r="E1037" i="18" s="1"/>
  <c r="D1464" i="18"/>
  <c r="E1464" i="18" s="1"/>
  <c r="D179" i="18"/>
  <c r="E179" i="18" s="1"/>
  <c r="D691" i="18"/>
  <c r="E691" i="18" s="1"/>
  <c r="D1470" i="18"/>
  <c r="E1470" i="18" s="1"/>
  <c r="D410" i="18"/>
  <c r="E410" i="18" s="1"/>
  <c r="D862" i="18"/>
  <c r="E862" i="18" s="1"/>
  <c r="D1495" i="18"/>
  <c r="E1495" i="18" s="1"/>
  <c r="D521" i="18"/>
  <c r="E521" i="18" s="1"/>
  <c r="D1150" i="18"/>
  <c r="E1150" i="18" s="1"/>
  <c r="D1749" i="18"/>
  <c r="E1749" i="18" s="1"/>
  <c r="D897" i="18"/>
  <c r="E897" i="18" s="1"/>
  <c r="D1490" i="18"/>
  <c r="E1490" i="18" s="1"/>
  <c r="D596" i="18"/>
  <c r="E596" i="18" s="1"/>
  <c r="D1176" i="18"/>
  <c r="E1176" i="18" s="1"/>
  <c r="D1975" i="18"/>
  <c r="E1975" i="18" s="1"/>
  <c r="D1020" i="18"/>
  <c r="E1020" i="18" s="1"/>
  <c r="D1542" i="18"/>
  <c r="E1542" i="18" s="1"/>
  <c r="D652" i="18"/>
  <c r="E652" i="18" s="1"/>
  <c r="D1168" i="18"/>
  <c r="E1168" i="18" s="1"/>
  <c r="D1695" i="18"/>
  <c r="E1695" i="18" s="1"/>
  <c r="D1790" i="18"/>
  <c r="E1790" i="18" s="1"/>
  <c r="D991" i="18"/>
  <c r="E991" i="18" s="1"/>
  <c r="D1475" i="18"/>
  <c r="E1475" i="18" s="1"/>
  <c r="D1913" i="18"/>
  <c r="E1913" i="18" s="1"/>
  <c r="D1630" i="18"/>
  <c r="E1630" i="18" s="1"/>
  <c r="D1781" i="18"/>
  <c r="E1781" i="18" s="1"/>
  <c r="D1957" i="18"/>
  <c r="E1957" i="18" s="1"/>
  <c r="D1882" i="18"/>
  <c r="E1882" i="18" s="1"/>
  <c r="G618" i="19"/>
  <c r="A686" i="10"/>
  <c r="A670" i="10"/>
  <c r="BB16" i="9"/>
  <c r="L16" i="9"/>
  <c r="M16" i="9"/>
  <c r="G564" i="19"/>
  <c r="A628" i="10"/>
  <c r="L106" i="12"/>
  <c r="S73" i="9"/>
  <c r="S33" i="9"/>
  <c r="S34" i="9"/>
  <c r="S32" i="9"/>
  <c r="S35" i="9"/>
  <c r="S74" i="9"/>
  <c r="L803" i="19"/>
  <c r="BR68" i="9"/>
  <c r="G825" i="19"/>
  <c r="A617" i="10"/>
  <c r="A553" i="10"/>
  <c r="G709" i="19"/>
  <c r="A784" i="10"/>
  <c r="D170" i="18"/>
  <c r="E170" i="18" s="1"/>
  <c r="D309" i="18"/>
  <c r="E309" i="18" s="1"/>
  <c r="D845" i="18"/>
  <c r="E845" i="18" s="1"/>
  <c r="D1229" i="18"/>
  <c r="E1229" i="18" s="1"/>
  <c r="D1285" i="18"/>
  <c r="E1285" i="18" s="1"/>
  <c r="D532" i="18"/>
  <c r="E532" i="18" s="1"/>
  <c r="D797" i="18"/>
  <c r="E797" i="18" s="1"/>
  <c r="D1119" i="18"/>
  <c r="E1119" i="18" s="1"/>
  <c r="D721" i="18"/>
  <c r="E721" i="18" s="1"/>
  <c r="D1162" i="18"/>
  <c r="E1162" i="18" s="1"/>
  <c r="D233" i="18"/>
  <c r="E233" i="18" s="1"/>
  <c r="D1224" i="18"/>
  <c r="E1224" i="18" s="1"/>
  <c r="D1471" i="18"/>
  <c r="E1471" i="18" s="1"/>
  <c r="D222" i="18"/>
  <c r="E222" i="18" s="1"/>
  <c r="D527" i="18"/>
  <c r="E527" i="18" s="1"/>
  <c r="D1212" i="18"/>
  <c r="E1212" i="18" s="1"/>
  <c r="D869" i="18"/>
  <c r="E869" i="18" s="1"/>
  <c r="D1129" i="18"/>
  <c r="E1129" i="18" s="1"/>
  <c r="D918" i="18"/>
  <c r="E918" i="18" s="1"/>
  <c r="D463" i="18"/>
  <c r="E463" i="18" s="1"/>
  <c r="D872" i="18"/>
  <c r="E872" i="18" s="1"/>
  <c r="D621" i="18"/>
  <c r="E621" i="18" s="1"/>
  <c r="D592" i="18"/>
  <c r="E592" i="18" s="1"/>
  <c r="D476" i="18"/>
  <c r="E476" i="18" s="1"/>
  <c r="D593" i="18"/>
  <c r="E593" i="18" s="1"/>
  <c r="D607" i="18"/>
  <c r="E607" i="18" s="1"/>
  <c r="D1500" i="18"/>
  <c r="E1500" i="18" s="1"/>
  <c r="D952" i="18"/>
  <c r="E952" i="18" s="1"/>
  <c r="D41" i="18"/>
  <c r="E41" i="18" s="1"/>
  <c r="D829" i="18"/>
  <c r="E829" i="18" s="1"/>
  <c r="D185" i="18"/>
  <c r="E185" i="18" s="1"/>
  <c r="D870" i="18"/>
  <c r="E870" i="18" s="1"/>
  <c r="D270" i="18"/>
  <c r="E270" i="18" s="1"/>
  <c r="D1088" i="18"/>
  <c r="E1088" i="18" s="1"/>
  <c r="D292" i="18"/>
  <c r="E292" i="18" s="1"/>
  <c r="D1353" i="18"/>
  <c r="E1353" i="18" s="1"/>
  <c r="D789" i="18"/>
  <c r="E789" i="18" s="1"/>
  <c r="D448" i="18"/>
  <c r="E448" i="18" s="1"/>
  <c r="D1728" i="18"/>
  <c r="E1728" i="18" s="1"/>
  <c r="D1332" i="18"/>
  <c r="E1332" i="18" s="1"/>
  <c r="D651" i="18"/>
  <c r="E651" i="18" s="1"/>
  <c r="D1647" i="18"/>
  <c r="E1647" i="18" s="1"/>
  <c r="D394" i="18"/>
  <c r="E394" i="18" s="1"/>
  <c r="D1239" i="18"/>
  <c r="E1239" i="18" s="1"/>
  <c r="D269" i="18"/>
  <c r="E269" i="18" s="1"/>
  <c r="D909" i="18"/>
  <c r="E909" i="18" s="1"/>
  <c r="D1649" i="18"/>
  <c r="E1649" i="18" s="1"/>
  <c r="D1482" i="18"/>
  <c r="E1482" i="18" s="1"/>
  <c r="D240" i="18"/>
  <c r="E240" i="18" s="1"/>
  <c r="D1111" i="18"/>
  <c r="E1111" i="18" s="1"/>
  <c r="D1152" i="18"/>
  <c r="E1152" i="18" s="1"/>
  <c r="D1946" i="18"/>
  <c r="E1946" i="18" s="1"/>
  <c r="D507" i="18"/>
  <c r="E507" i="18" s="1"/>
  <c r="D1309" i="18"/>
  <c r="E1309" i="18" s="1"/>
  <c r="D39" i="18"/>
  <c r="E39" i="18" s="1"/>
  <c r="D562" i="18"/>
  <c r="E562" i="18" s="1"/>
  <c r="D1166" i="18"/>
  <c r="E1166" i="18" s="1"/>
  <c r="D1905" i="18"/>
  <c r="E1905" i="18" s="1"/>
  <c r="D173" i="18"/>
  <c r="E173" i="18" s="1"/>
  <c r="D779" i="18"/>
  <c r="E779" i="18" s="1"/>
  <c r="D1449" i="18"/>
  <c r="E1449" i="18" s="1"/>
  <c r="D414" i="18"/>
  <c r="E414" i="18" s="1"/>
  <c r="D1049" i="18"/>
  <c r="E1049" i="18" s="1"/>
  <c r="D1476" i="18"/>
  <c r="E1476" i="18" s="1"/>
  <c r="D201" i="18"/>
  <c r="E201" i="18" s="1"/>
  <c r="D820" i="18"/>
  <c r="E820" i="18" s="1"/>
  <c r="D1562" i="18"/>
  <c r="E1562" i="18" s="1"/>
  <c r="D447" i="18"/>
  <c r="E447" i="18" s="1"/>
  <c r="D885" i="18"/>
  <c r="E885" i="18" s="1"/>
  <c r="D1502" i="18"/>
  <c r="E1502" i="18" s="1"/>
  <c r="D548" i="18"/>
  <c r="E548" i="18" s="1"/>
  <c r="D1155" i="18"/>
  <c r="E1155" i="18" s="1"/>
  <c r="D902" i="18"/>
  <c r="E902" i="18" s="1"/>
  <c r="D1512" i="18"/>
  <c r="E1512" i="18" s="1"/>
  <c r="D620" i="18"/>
  <c r="E620" i="18" s="1"/>
  <c r="D1181" i="18"/>
  <c r="E1181" i="18" s="1"/>
  <c r="D1990" i="18"/>
  <c r="E1990" i="18" s="1"/>
  <c r="D1043" i="18"/>
  <c r="E1043" i="18" s="1"/>
  <c r="D1548" i="18"/>
  <c r="E1548" i="18" s="1"/>
  <c r="D684" i="18"/>
  <c r="E684" i="18" s="1"/>
  <c r="D1191" i="18"/>
  <c r="E1191" i="18" s="1"/>
  <c r="D1744" i="18"/>
  <c r="E1744" i="18" s="1"/>
  <c r="D1807" i="18"/>
  <c r="E1807" i="18" s="1"/>
  <c r="D1013" i="18"/>
  <c r="E1013" i="18" s="1"/>
  <c r="D1497" i="18"/>
  <c r="E1497" i="18" s="1"/>
  <c r="D1974" i="18"/>
  <c r="E1974" i="18" s="1"/>
  <c r="D1653" i="18"/>
  <c r="E1653" i="18" s="1"/>
  <c r="D1858" i="18"/>
  <c r="E1858" i="18" s="1"/>
  <c r="D1675" i="18"/>
  <c r="E1675" i="18" s="1"/>
  <c r="D1904" i="18"/>
  <c r="E1904" i="18" s="1"/>
  <c r="BB29" i="9"/>
  <c r="M29" i="9"/>
  <c r="L29" i="9"/>
  <c r="A880" i="10"/>
  <c r="G582" i="19"/>
  <c r="A647" i="10"/>
  <c r="L261" i="11"/>
  <c r="M261" i="11" s="1"/>
  <c r="L718" i="19"/>
  <c r="BR52" i="9"/>
  <c r="G845" i="19"/>
  <c r="A915" i="10"/>
  <c r="A502" i="10"/>
  <c r="A577" i="10"/>
  <c r="G712" i="19"/>
  <c r="A787" i="10"/>
  <c r="S47" i="9"/>
  <c r="S49" i="9"/>
  <c r="S48" i="9"/>
  <c r="S46" i="9"/>
  <c r="L111" i="12"/>
  <c r="S51" i="9"/>
  <c r="S58" i="9"/>
  <c r="S45" i="9"/>
  <c r="A883" i="10"/>
  <c r="L537" i="19"/>
  <c r="BR20" i="9"/>
  <c r="G793" i="19"/>
  <c r="A864" i="10"/>
  <c r="A859" i="10"/>
  <c r="B202" i="1"/>
  <c r="B61" i="5"/>
  <c r="G803" i="19"/>
  <c r="A874" i="10"/>
  <c r="A753" i="10"/>
  <c r="G620" i="19"/>
  <c r="A688" i="10"/>
  <c r="F31" i="15"/>
  <c r="N25" i="5"/>
  <c r="O25" i="5"/>
  <c r="L25" i="5"/>
  <c r="M25" i="5"/>
  <c r="K25" i="5"/>
  <c r="G567" i="19"/>
  <c r="A631" i="10"/>
  <c r="G538" i="19"/>
  <c r="A600" i="10"/>
  <c r="A854" i="10"/>
  <c r="A722" i="10"/>
  <c r="A746" i="10"/>
  <c r="G536" i="19"/>
  <c r="A598" i="10"/>
  <c r="L109" i="12"/>
  <c r="S29" i="9"/>
  <c r="S30" i="9"/>
  <c r="S31" i="9"/>
  <c r="S27" i="9"/>
  <c r="S28" i="9"/>
  <c r="D1460" i="18"/>
  <c r="E1460" i="18" s="1"/>
  <c r="D1982" i="18"/>
  <c r="E1982" i="18" s="1"/>
  <c r="D1579" i="18"/>
  <c r="E1579" i="18" s="1"/>
  <c r="D1379" i="18"/>
  <c r="E1379" i="18" s="1"/>
  <c r="D1395" i="18"/>
  <c r="E1395" i="18" s="1"/>
  <c r="D734" i="18"/>
  <c r="E734" i="18" s="1"/>
  <c r="D864" i="18"/>
  <c r="E864" i="18" s="1"/>
  <c r="D1359" i="18"/>
  <c r="E1359" i="18" s="1"/>
  <c r="D1358" i="18"/>
  <c r="E1358" i="18" s="1"/>
  <c r="D1265" i="18"/>
  <c r="E1265" i="18" s="1"/>
  <c r="D298" i="18"/>
  <c r="E298" i="18" s="1"/>
  <c r="D1345" i="18"/>
  <c r="E1345" i="18" s="1"/>
  <c r="D1509" i="18"/>
  <c r="E1509" i="18" s="1"/>
  <c r="D239" i="18"/>
  <c r="E239" i="18" s="1"/>
  <c r="D569" i="18"/>
  <c r="E569" i="18" s="1"/>
  <c r="D1373" i="18"/>
  <c r="E1373" i="18" s="1"/>
  <c r="D984" i="18"/>
  <c r="E984" i="18" s="1"/>
  <c r="D1218" i="18"/>
  <c r="E1218" i="18" s="1"/>
  <c r="D950" i="18"/>
  <c r="E950" i="18" s="1"/>
  <c r="D761" i="18"/>
  <c r="E761" i="18" s="1"/>
  <c r="D1005" i="18"/>
  <c r="E1005" i="18" s="1"/>
  <c r="D888" i="18"/>
  <c r="E888" i="18" s="1"/>
  <c r="D713" i="18"/>
  <c r="E713" i="18" s="1"/>
  <c r="D501" i="18"/>
  <c r="E501" i="18" s="1"/>
  <c r="D701" i="18"/>
  <c r="E701" i="18" s="1"/>
  <c r="D626" i="18"/>
  <c r="E626" i="18" s="1"/>
  <c r="D1526" i="18"/>
  <c r="E1526" i="18" s="1"/>
  <c r="D985" i="18"/>
  <c r="E985" i="18" s="1"/>
  <c r="D80" i="18"/>
  <c r="E80" i="18" s="1"/>
  <c r="D900" i="18"/>
  <c r="E900" i="18" s="1"/>
  <c r="D198" i="18"/>
  <c r="E198" i="18" s="1"/>
  <c r="D901" i="18"/>
  <c r="E901" i="18" s="1"/>
  <c r="D299" i="18"/>
  <c r="E299" i="18" s="1"/>
  <c r="D1250" i="18"/>
  <c r="E1250" i="18" s="1"/>
  <c r="D314" i="18"/>
  <c r="E314" i="18" s="1"/>
  <c r="D1589" i="18"/>
  <c r="E1589" i="18" s="1"/>
  <c r="D931" i="18"/>
  <c r="E931" i="18" s="1"/>
  <c r="D609" i="18"/>
  <c r="E609" i="18" s="1"/>
  <c r="D1830" i="18"/>
  <c r="E1830" i="18" s="1"/>
  <c r="D1351" i="18"/>
  <c r="E1351" i="18" s="1"/>
  <c r="D692" i="18"/>
  <c r="E692" i="18" s="1"/>
  <c r="D1698" i="18"/>
  <c r="E1698" i="18" s="1"/>
  <c r="D427" i="18"/>
  <c r="E427" i="18" s="1"/>
  <c r="D1258" i="18"/>
  <c r="E1258" i="18" s="1"/>
  <c r="D300" i="18"/>
  <c r="E300" i="18" s="1"/>
  <c r="D951" i="18"/>
  <c r="E951" i="18" s="1"/>
  <c r="D1687" i="18"/>
  <c r="E1687" i="18" s="1"/>
  <c r="D1567" i="18"/>
  <c r="E1567" i="18" s="1"/>
  <c r="D276" i="18"/>
  <c r="E276" i="18" s="1"/>
  <c r="D1124" i="18"/>
  <c r="E1124" i="18" s="1"/>
  <c r="D1172" i="18"/>
  <c r="E1172" i="18" s="1"/>
  <c r="D1977" i="18"/>
  <c r="E1977" i="18" s="1"/>
  <c r="D528" i="18"/>
  <c r="E528" i="18" s="1"/>
  <c r="D1322" i="18"/>
  <c r="E1322" i="18" s="1"/>
  <c r="D62" i="18"/>
  <c r="E62" i="18" s="1"/>
  <c r="D574" i="18"/>
  <c r="E574" i="18" s="1"/>
  <c r="D1187" i="18"/>
  <c r="E1187" i="18" s="1"/>
  <c r="D1915" i="18"/>
  <c r="E1915" i="18" s="1"/>
  <c r="D196" i="18"/>
  <c r="E196" i="18" s="1"/>
  <c r="D840" i="18"/>
  <c r="E840" i="18" s="1"/>
  <c r="D1537" i="18"/>
  <c r="E1537" i="18" s="1"/>
  <c r="D437" i="18"/>
  <c r="E437" i="18" s="1"/>
  <c r="D1055" i="18"/>
  <c r="E1055" i="18" s="1"/>
  <c r="D1534" i="18"/>
  <c r="E1534" i="18" s="1"/>
  <c r="D223" i="18"/>
  <c r="E223" i="18" s="1"/>
  <c r="D838" i="18"/>
  <c r="E838" i="18" s="1"/>
  <c r="D1583" i="18"/>
  <c r="E1583" i="18" s="1"/>
  <c r="D470" i="18"/>
  <c r="E470" i="18" s="1"/>
  <c r="D932" i="18"/>
  <c r="E932" i="18" s="1"/>
  <c r="D1508" i="18"/>
  <c r="E1508" i="18" s="1"/>
  <c r="D571" i="18"/>
  <c r="E571" i="18" s="1"/>
  <c r="D1160" i="18"/>
  <c r="E1160" i="18" s="1"/>
  <c r="D1764" i="18"/>
  <c r="E1764" i="18" s="1"/>
  <c r="D907" i="18"/>
  <c r="E907" i="18" s="1"/>
  <c r="D1541" i="18"/>
  <c r="E1541" i="18" s="1"/>
  <c r="D654" i="18"/>
  <c r="E654" i="18" s="1"/>
  <c r="D1308" i="18"/>
  <c r="E1308" i="18" s="1"/>
  <c r="D590" i="18"/>
  <c r="E590" i="18" s="1"/>
  <c r="D1080" i="18"/>
  <c r="E1080" i="18" s="1"/>
  <c r="D1564" i="18"/>
  <c r="E1564" i="18" s="1"/>
  <c r="D707" i="18"/>
  <c r="E707" i="18" s="1"/>
  <c r="D1214" i="18"/>
  <c r="E1214" i="18" s="1"/>
  <c r="D1847" i="18"/>
  <c r="E1847" i="18" s="1"/>
  <c r="D1840" i="18"/>
  <c r="E1840" i="18" s="1"/>
  <c r="D1035" i="18"/>
  <c r="E1035" i="18" s="1"/>
  <c r="D1524" i="18"/>
  <c r="E1524" i="18" s="1"/>
  <c r="D2011" i="18"/>
  <c r="E2011" i="18" s="1"/>
  <c r="D1677" i="18"/>
  <c r="E1677" i="18" s="1"/>
  <c r="D1869" i="18"/>
  <c r="E1869" i="18" s="1"/>
  <c r="D1697" i="18"/>
  <c r="E1697" i="18" s="1"/>
  <c r="D1926" i="18"/>
  <c r="E1926" i="18" s="1"/>
  <c r="A569" i="10"/>
  <c r="G619" i="19"/>
  <c r="A687" i="10"/>
  <c r="G657" i="19"/>
  <c r="A729" i="10"/>
  <c r="A540" i="10"/>
  <c r="A661" i="10"/>
  <c r="L633" i="19"/>
  <c r="BR37" i="9"/>
  <c r="G843" i="19"/>
  <c r="A913" i="10"/>
  <c r="L526" i="19"/>
  <c r="BR18" i="9"/>
  <c r="A509" i="10"/>
  <c r="A585" i="10"/>
  <c r="G640" i="19"/>
  <c r="A708" i="10"/>
  <c r="A567" i="10"/>
  <c r="G708" i="19"/>
  <c r="A783" i="10"/>
  <c r="L760" i="19"/>
  <c r="BR60" i="9"/>
  <c r="G563" i="19"/>
  <c r="A627" i="10"/>
  <c r="A576" i="10"/>
  <c r="A693" i="10"/>
  <c r="M33" i="9"/>
  <c r="L33" i="9"/>
  <c r="BB33" i="9"/>
  <c r="O10" i="5"/>
  <c r="K10" i="5"/>
  <c r="N10" i="5"/>
  <c r="L10" i="5"/>
  <c r="M10" i="5"/>
  <c r="BB13" i="9"/>
  <c r="M13" i="9"/>
  <c r="L13" i="9"/>
  <c r="A816" i="10"/>
  <c r="L107" i="12"/>
  <c r="S39" i="9"/>
  <c r="S38" i="9"/>
  <c r="S36" i="9"/>
  <c r="S21" i="9"/>
  <c r="S37" i="9"/>
  <c r="G826" i="19"/>
  <c r="A618" i="10"/>
  <c r="M17" i="5"/>
  <c r="O17" i="5"/>
  <c r="N17" i="5"/>
  <c r="K17" i="5"/>
  <c r="L17" i="5"/>
  <c r="L112" i="12"/>
  <c r="S25" i="9"/>
  <c r="S24" i="9"/>
  <c r="S76" i="9"/>
  <c r="S23" i="9"/>
  <c r="S26" i="9"/>
  <c r="S20" i="9"/>
  <c r="G569" i="19"/>
  <c r="A633" i="10"/>
  <c r="A666" i="10"/>
  <c r="G822" i="19"/>
  <c r="A893" i="10"/>
  <c r="A882" i="10"/>
  <c r="A501" i="10"/>
  <c r="A503" i="10"/>
  <c r="F25" i="15"/>
  <c r="G688" i="19"/>
  <c r="A759" i="10"/>
  <c r="G693" i="19"/>
  <c r="A764" i="10"/>
  <c r="A515" i="10"/>
  <c r="A881" i="10"/>
  <c r="A719" i="10"/>
  <c r="K11" i="5"/>
  <c r="O11" i="5"/>
  <c r="N11" i="5"/>
  <c r="L11" i="5"/>
  <c r="M11" i="5"/>
  <c r="BB43" i="9"/>
  <c r="M43" i="9"/>
  <c r="L43" i="9"/>
  <c r="A698" i="10"/>
  <c r="A692" i="10"/>
  <c r="G718" i="19"/>
  <c r="A792" i="10"/>
  <c r="G537" i="19"/>
  <c r="A599" i="10"/>
  <c r="A578" i="10"/>
  <c r="N13" i="5"/>
  <c r="M13" i="5"/>
  <c r="L13" i="5"/>
  <c r="O13" i="5"/>
  <c r="K13" i="5"/>
  <c r="F29" i="15"/>
  <c r="A740" i="10"/>
  <c r="G835" i="19"/>
  <c r="A905" i="10"/>
  <c r="G580" i="19"/>
  <c r="A645" i="10"/>
  <c r="G638" i="19"/>
  <c r="A706" i="10"/>
  <c r="G653" i="19"/>
  <c r="A725" i="10"/>
  <c r="G540" i="19"/>
  <c r="A602" i="10"/>
  <c r="D623" i="18"/>
  <c r="E623" i="18" s="1"/>
  <c r="D472" i="18"/>
  <c r="E472" i="18" s="1"/>
  <c r="D550" i="18"/>
  <c r="E550" i="18" s="1"/>
  <c r="D503" i="18"/>
  <c r="E503" i="18" s="1"/>
  <c r="D374" i="18"/>
  <c r="E374" i="18" s="1"/>
  <c r="D796" i="18"/>
  <c r="E796" i="18" s="1"/>
  <c r="D1420" i="18"/>
  <c r="E1420" i="18" s="1"/>
  <c r="D163" i="18"/>
  <c r="E163" i="18" s="1"/>
  <c r="D1681" i="18"/>
  <c r="E1681" i="18" s="1"/>
  <c r="D1378" i="18"/>
  <c r="E1378" i="18" s="1"/>
  <c r="D326" i="18"/>
  <c r="E326" i="18" s="1"/>
  <c r="D78" i="18"/>
  <c r="E78" i="18" s="1"/>
  <c r="D1554" i="18"/>
  <c r="E1554" i="18" s="1"/>
  <c r="D273" i="18"/>
  <c r="E273" i="18" s="1"/>
  <c r="D913" i="18"/>
  <c r="E913" i="18" s="1"/>
  <c r="D1606" i="18"/>
  <c r="E1606" i="18" s="1"/>
  <c r="D1074" i="18"/>
  <c r="E1074" i="18" s="1"/>
  <c r="D1388" i="18"/>
  <c r="E1388" i="18" s="1"/>
  <c r="D1040" i="18"/>
  <c r="E1040" i="18" s="1"/>
  <c r="D776" i="18"/>
  <c r="E776" i="18" s="1"/>
  <c r="D1026" i="18"/>
  <c r="E1026" i="18" s="1"/>
  <c r="D971" i="18"/>
  <c r="E971" i="18" s="1"/>
  <c r="D746" i="18"/>
  <c r="E746" i="18" s="1"/>
  <c r="D606" i="18"/>
  <c r="E606" i="18" s="1"/>
  <c r="D812" i="18"/>
  <c r="E812" i="18" s="1"/>
  <c r="D636" i="18"/>
  <c r="E636" i="18" s="1"/>
  <c r="D1572" i="18"/>
  <c r="E1572" i="18" s="1"/>
  <c r="D998" i="18"/>
  <c r="E998" i="18" s="1"/>
  <c r="D139" i="18"/>
  <c r="E139" i="18" s="1"/>
  <c r="D940" i="18"/>
  <c r="E940" i="18" s="1"/>
  <c r="D212" i="18"/>
  <c r="E212" i="18" s="1"/>
  <c r="D1066" i="18"/>
  <c r="E1066" i="18" s="1"/>
  <c r="D306" i="18"/>
  <c r="E306" i="18" s="1"/>
  <c r="D1306" i="18"/>
  <c r="E1306" i="18" s="1"/>
  <c r="D321" i="18"/>
  <c r="E321" i="18" s="1"/>
  <c r="D1680" i="18"/>
  <c r="E1680" i="18" s="1"/>
  <c r="D976" i="18"/>
  <c r="E976" i="18" s="1"/>
  <c r="D648" i="18"/>
  <c r="E648" i="18" s="1"/>
  <c r="D1867" i="18"/>
  <c r="E1867" i="18" s="1"/>
  <c r="D1443" i="18"/>
  <c r="E1443" i="18" s="1"/>
  <c r="D700" i="18"/>
  <c r="E700" i="18" s="1"/>
  <c r="D1765" i="18"/>
  <c r="E1765" i="18" s="1"/>
  <c r="D434" i="18"/>
  <c r="E434" i="18" s="1"/>
  <c r="D1341" i="18"/>
  <c r="E1341" i="18" s="1"/>
  <c r="D313" i="18"/>
  <c r="E313" i="18" s="1"/>
  <c r="D1015" i="18"/>
  <c r="E1015" i="18" s="1"/>
  <c r="D1767" i="18"/>
  <c r="E1767" i="18" s="1"/>
  <c r="D1600" i="18"/>
  <c r="E1600" i="18" s="1"/>
  <c r="D373" i="18"/>
  <c r="E373" i="18" s="1"/>
  <c r="D1158" i="18"/>
  <c r="E1158" i="18" s="1"/>
  <c r="D1206" i="18"/>
  <c r="E1206" i="18" s="1"/>
  <c r="D1999" i="18"/>
  <c r="E1999" i="18" s="1"/>
  <c r="D556" i="18"/>
  <c r="E556" i="18" s="1"/>
  <c r="D1329" i="18"/>
  <c r="E1329" i="18" s="1"/>
  <c r="D85" i="18"/>
  <c r="E85" i="18" s="1"/>
  <c r="D580" i="18"/>
  <c r="E580" i="18" s="1"/>
  <c r="D1207" i="18"/>
  <c r="E1207" i="18" s="1"/>
  <c r="D1989" i="18"/>
  <c r="E1989" i="18" s="1"/>
  <c r="D206" i="18"/>
  <c r="E206" i="18" s="1"/>
  <c r="D922" i="18"/>
  <c r="E922" i="18" s="1"/>
  <c r="D1578" i="18"/>
  <c r="E1578" i="18" s="1"/>
  <c r="D451" i="18"/>
  <c r="E451" i="18" s="1"/>
  <c r="D1078" i="18"/>
  <c r="E1078" i="18" s="1"/>
  <c r="D1597" i="18"/>
  <c r="E1597" i="18" s="1"/>
  <c r="D245" i="18"/>
  <c r="E245" i="18" s="1"/>
  <c r="D879" i="18"/>
  <c r="E879" i="18" s="1"/>
  <c r="D1633" i="18"/>
  <c r="E1633" i="18" s="1"/>
  <c r="D493" i="18"/>
  <c r="E493" i="18" s="1"/>
  <c r="D1009" i="18"/>
  <c r="E1009" i="18" s="1"/>
  <c r="D1535" i="18"/>
  <c r="E1535" i="18" s="1"/>
  <c r="D600" i="18"/>
  <c r="E600" i="18" s="1"/>
  <c r="D1165" i="18"/>
  <c r="E1165" i="18" s="1"/>
  <c r="D1792" i="18"/>
  <c r="E1792" i="18" s="1"/>
  <c r="D978" i="18"/>
  <c r="E978" i="18" s="1"/>
  <c r="D1553" i="18"/>
  <c r="E1553" i="18" s="1"/>
  <c r="D735" i="18"/>
  <c r="E735" i="18" s="1"/>
  <c r="D1313" i="18"/>
  <c r="E1313" i="18" s="1"/>
  <c r="D612" i="18"/>
  <c r="E612" i="18" s="1"/>
  <c r="D1103" i="18"/>
  <c r="E1103" i="18" s="1"/>
  <c r="D1575" i="18"/>
  <c r="E1575" i="18" s="1"/>
  <c r="D730" i="18"/>
  <c r="E730" i="18" s="1"/>
  <c r="D1237" i="18"/>
  <c r="E1237" i="18" s="1"/>
  <c r="D1917" i="18"/>
  <c r="E1917" i="18" s="1"/>
  <c r="D1919" i="18"/>
  <c r="E1919" i="18" s="1"/>
  <c r="D1057" i="18"/>
  <c r="E1057" i="18" s="1"/>
  <c r="D1547" i="18"/>
  <c r="E1547" i="18" s="1"/>
  <c r="D1529" i="18"/>
  <c r="E1529" i="18" s="1"/>
  <c r="D1732" i="18"/>
  <c r="E1732" i="18" s="1"/>
  <c r="D1908" i="18"/>
  <c r="E1908" i="18" s="1"/>
  <c r="D1719" i="18"/>
  <c r="E1719" i="18" s="1"/>
  <c r="D1948" i="18"/>
  <c r="E1948" i="18" s="1"/>
  <c r="G861" i="19"/>
  <c r="A899" i="10"/>
  <c r="G698" i="19"/>
  <c r="A589" i="10"/>
  <c r="A674" i="10"/>
  <c r="N24" i="5"/>
  <c r="M24" i="5"/>
  <c r="L24" i="5"/>
  <c r="K24" i="5"/>
  <c r="O24" i="5"/>
  <c r="L690" i="19"/>
  <c r="BR47" i="9"/>
  <c r="A575" i="10"/>
  <c r="A530" i="10"/>
  <c r="A747" i="10"/>
  <c r="A554" i="10"/>
  <c r="A529" i="10"/>
  <c r="A678" i="10"/>
  <c r="G659" i="19"/>
  <c r="A731" i="10"/>
  <c r="L110" i="12"/>
  <c r="S9" i="9"/>
  <c r="S11" i="9"/>
  <c r="S10" i="9"/>
  <c r="G758" i="19"/>
  <c r="A830" i="10"/>
  <c r="G801" i="19"/>
  <c r="A872" i="10"/>
  <c r="G689" i="19"/>
  <c r="A760" i="10"/>
  <c r="G581" i="19"/>
  <c r="A646" i="10"/>
  <c r="G566" i="19"/>
  <c r="A630" i="10"/>
  <c r="A579" i="10"/>
  <c r="G574" i="19"/>
  <c r="A638" i="10"/>
  <c r="A667" i="10"/>
  <c r="A721" i="10"/>
  <c r="G760" i="19"/>
  <c r="A832" i="10"/>
  <c r="G837" i="19"/>
  <c r="A907" i="10"/>
  <c r="A656" i="10"/>
  <c r="K23" i="5"/>
  <c r="O23" i="5"/>
  <c r="L23" i="5"/>
  <c r="N23" i="5"/>
  <c r="M23" i="5"/>
  <c r="G794" i="19"/>
  <c r="A865" i="10"/>
  <c r="G735" i="19"/>
  <c r="A808" i="10"/>
  <c r="G766" i="19"/>
  <c r="A837" i="10"/>
  <c r="A536" i="10"/>
  <c r="G645" i="19"/>
  <c r="A713" i="10"/>
  <c r="A697" i="10"/>
  <c r="G703" i="19"/>
  <c r="A778" i="10"/>
  <c r="A847" i="10"/>
  <c r="G678" i="19"/>
  <c r="A750" i="10"/>
  <c r="A853" i="10"/>
  <c r="G821" i="19"/>
  <c r="A892" i="10"/>
  <c r="G799" i="19"/>
  <c r="A870" i="10"/>
  <c r="A736" i="10"/>
  <c r="A743" i="10"/>
  <c r="BB63" i="9"/>
  <c r="M63" i="9"/>
  <c r="L63" i="9"/>
  <c r="G860" i="19"/>
  <c r="A898" i="10"/>
  <c r="L64" i="9"/>
  <c r="M64" i="9"/>
  <c r="BB64" i="9"/>
  <c r="A681" i="10"/>
  <c r="G615" i="19"/>
  <c r="A683" i="10"/>
  <c r="G751" i="19"/>
  <c r="A824" i="10"/>
  <c r="G685" i="19"/>
  <c r="A756" i="10"/>
  <c r="L42" i="9"/>
  <c r="BB42" i="9"/>
  <c r="M42" i="9"/>
  <c r="G842" i="19"/>
  <c r="A912" i="10"/>
  <c r="A520" i="10"/>
  <c r="A517" i="10"/>
  <c r="G573" i="19"/>
  <c r="A637" i="10"/>
  <c r="G713" i="19"/>
  <c r="A788" i="10"/>
  <c r="L543" i="19"/>
  <c r="BR21" i="9"/>
  <c r="A654" i="10"/>
  <c r="G701" i="19"/>
  <c r="A776" i="10"/>
  <c r="A557" i="10"/>
  <c r="G663" i="19"/>
  <c r="A735" i="10"/>
  <c r="F22" i="15"/>
  <c r="L730" i="19"/>
  <c r="BR54" i="9"/>
  <c r="G656" i="19"/>
  <c r="A728" i="10"/>
  <c r="L101" i="12"/>
  <c r="S19" i="9"/>
  <c r="S6" i="9"/>
  <c r="S50" i="9"/>
  <c r="S22" i="9"/>
  <c r="S7" i="9"/>
  <c r="S5" i="9"/>
  <c r="A716" i="10"/>
  <c r="A885" i="10"/>
  <c r="G848" i="19"/>
  <c r="A918" i="10"/>
  <c r="G855" i="19"/>
  <c r="A771" i="10"/>
  <c r="F27" i="15"/>
  <c r="G539" i="19"/>
  <c r="A601" i="10"/>
  <c r="D1555" i="18"/>
  <c r="E1555" i="18" s="1"/>
  <c r="A668" i="10"/>
  <c r="G719" i="19"/>
  <c r="A793" i="10"/>
  <c r="L254" i="11"/>
  <c r="AQ270" i="11"/>
  <c r="L658" i="19"/>
  <c r="BR41" i="9"/>
  <c r="BB56" i="9"/>
  <c r="M56" i="9"/>
  <c r="L56" i="9"/>
  <c r="A680" i="10"/>
  <c r="G705" i="19"/>
  <c r="A780" i="10"/>
  <c r="D928" i="18"/>
  <c r="E928" i="18" s="1"/>
  <c r="D980" i="18"/>
  <c r="E980" i="18" s="1"/>
  <c r="D1525" i="18"/>
  <c r="E1525" i="18" s="1"/>
  <c r="D457" i="18"/>
  <c r="E457" i="18" s="1"/>
  <c r="D1735" i="18"/>
  <c r="E1735" i="18" s="1"/>
  <c r="D553" i="18"/>
  <c r="E553" i="18" s="1"/>
  <c r="D1607" i="18"/>
  <c r="E1607" i="18" s="1"/>
  <c r="D366" i="18"/>
  <c r="E366" i="18" s="1"/>
  <c r="D467" i="18"/>
  <c r="E467" i="18" s="1"/>
  <c r="D412" i="18"/>
  <c r="E412" i="18" s="1"/>
  <c r="D1983" i="18"/>
  <c r="E1983" i="18" s="1"/>
  <c r="D804" i="18"/>
  <c r="E804" i="18" s="1"/>
  <c r="D354" i="18"/>
  <c r="E354" i="18" s="1"/>
  <c r="D662" i="18"/>
  <c r="E662" i="18" s="1"/>
  <c r="D533" i="18"/>
  <c r="E533" i="18" s="1"/>
  <c r="D510" i="18"/>
  <c r="E510" i="18" s="1"/>
  <c r="D268" i="18"/>
  <c r="E268" i="18" s="1"/>
  <c r="D259" i="18"/>
  <c r="E259" i="18" s="1"/>
  <c r="D303" i="18"/>
  <c r="E303" i="18" s="1"/>
  <c r="D430" i="18"/>
  <c r="E430" i="18" s="1"/>
  <c r="D1991" i="18"/>
  <c r="E1991" i="18" s="1"/>
  <c r="D1933" i="18"/>
  <c r="E1933" i="18" s="1"/>
  <c r="D1993" i="18"/>
  <c r="E1993" i="18" s="1"/>
  <c r="D81" i="18"/>
  <c r="E81" i="18" s="1"/>
  <c r="D880" i="18"/>
  <c r="E880" i="18" s="1"/>
  <c r="D120" i="18"/>
  <c r="E120" i="18" s="1"/>
  <c r="D547" i="18"/>
  <c r="E547" i="18" s="1"/>
  <c r="D147" i="18"/>
  <c r="E147" i="18" s="1"/>
  <c r="D1298" i="18"/>
  <c r="E1298" i="18" s="1"/>
  <c r="D381" i="18"/>
  <c r="E381" i="18" s="1"/>
  <c r="D1249" i="18"/>
  <c r="E1249" i="18" s="1"/>
  <c r="D281" i="18"/>
  <c r="E281" i="18" s="1"/>
  <c r="D144" i="18"/>
  <c r="E144" i="18" s="1"/>
  <c r="D783" i="18"/>
  <c r="E783" i="18" s="1"/>
  <c r="D1465" i="18"/>
  <c r="E1465" i="18" s="1"/>
  <c r="D215" i="18"/>
  <c r="E215" i="18" s="1"/>
  <c r="D1016" i="18"/>
  <c r="E1016" i="18" s="1"/>
  <c r="D1998" i="18"/>
  <c r="E1998" i="18" s="1"/>
  <c r="D384" i="18"/>
  <c r="E384" i="18" s="1"/>
  <c r="D1193" i="18"/>
  <c r="E1193" i="18" s="1"/>
  <c r="D1794" i="18"/>
  <c r="E1794" i="18" s="1"/>
  <c r="D982" i="18"/>
  <c r="E982" i="18" s="1"/>
  <c r="D1635" i="18"/>
  <c r="E1635" i="18" s="1"/>
  <c r="D605" i="18"/>
  <c r="E605" i="18" s="1"/>
  <c r="D1330" i="18"/>
  <c r="E1330" i="18" s="1"/>
  <c r="D867" i="18"/>
  <c r="E867" i="18" s="1"/>
  <c r="D1402" i="18"/>
  <c r="E1402" i="18" s="1"/>
  <c r="D579" i="18"/>
  <c r="E579" i="18" s="1"/>
  <c r="D1372" i="18"/>
  <c r="E1372" i="18" s="1"/>
  <c r="D827" i="18"/>
  <c r="E827" i="18" s="1"/>
  <c r="D1355" i="18"/>
  <c r="E1355" i="18" s="1"/>
  <c r="D1028" i="18"/>
  <c r="E1028" i="18" s="1"/>
  <c r="D1626" i="18"/>
  <c r="E1626" i="18" s="1"/>
  <c r="D1272" i="18"/>
  <c r="E1272" i="18" s="1"/>
  <c r="D1857" i="18"/>
  <c r="E1857" i="18" s="1"/>
  <c r="D1897" i="18"/>
  <c r="E1897" i="18" s="1"/>
  <c r="D937" i="18"/>
  <c r="E937" i="18" s="1"/>
  <c r="D564" i="18"/>
  <c r="E564" i="18" s="1"/>
  <c r="D1062" i="18"/>
  <c r="E1062" i="18" s="1"/>
  <c r="D1730" i="18"/>
  <c r="E1730" i="18" s="1"/>
  <c r="D903" i="18"/>
  <c r="E903" i="18" s="1"/>
  <c r="D1818" i="18"/>
  <c r="E1818" i="18" s="1"/>
  <c r="D1543" i="18"/>
  <c r="E1543" i="18" s="1"/>
  <c r="D1679" i="18"/>
  <c r="E1679" i="18" s="1"/>
  <c r="D1996" i="18"/>
  <c r="E1996" i="18" s="1"/>
  <c r="M32" i="9"/>
  <c r="BB32" i="9"/>
  <c r="L32" i="9"/>
  <c r="A591" i="10"/>
  <c r="G765" i="19"/>
  <c r="A836" i="10"/>
  <c r="A660" i="10"/>
  <c r="G634" i="19"/>
  <c r="A702" i="10"/>
  <c r="L6" i="9"/>
  <c r="BB6" i="9"/>
  <c r="M6" i="9"/>
  <c r="G747" i="19"/>
  <c r="A820" i="10"/>
  <c r="M10" i="9"/>
  <c r="L10" i="9"/>
  <c r="BB10" i="9"/>
  <c r="G568" i="19"/>
  <c r="A632" i="10"/>
  <c r="A718" i="10"/>
  <c r="A886" i="10"/>
  <c r="G823" i="19"/>
  <c r="A894" i="10"/>
  <c r="F23" i="15"/>
  <c r="L463" i="19"/>
  <c r="BR8" i="9"/>
  <c r="A696" i="10"/>
  <c r="G797" i="19"/>
  <c r="A868" i="10"/>
  <c r="G642" i="19"/>
  <c r="A710" i="10"/>
  <c r="A897" i="10"/>
  <c r="G677" i="19"/>
  <c r="A749" i="10"/>
  <c r="G534" i="19"/>
  <c r="A596" i="10"/>
  <c r="G717" i="19"/>
  <c r="A590" i="10"/>
  <c r="D275" i="18"/>
  <c r="E275" i="18" s="1"/>
  <c r="D1961" i="18"/>
  <c r="E1961" i="18" s="1"/>
  <c r="D994" i="18"/>
  <c r="E994" i="18" s="1"/>
  <c r="D56" i="18"/>
  <c r="E56" i="18" s="1"/>
  <c r="D169" i="18"/>
  <c r="E169" i="18" s="1"/>
  <c r="D878" i="18"/>
  <c r="E878" i="18" s="1"/>
  <c r="D181" i="18"/>
  <c r="E181" i="18" s="1"/>
  <c r="D927" i="18"/>
  <c r="E927" i="18" s="1"/>
  <c r="D304" i="18"/>
  <c r="E304" i="18" s="1"/>
  <c r="D818" i="18"/>
  <c r="E818" i="18" s="1"/>
  <c r="D1801" i="18"/>
  <c r="E1801" i="18" s="1"/>
  <c r="D946" i="18"/>
  <c r="E946" i="18" s="1"/>
  <c r="D1326" i="18"/>
  <c r="E1326" i="18" s="1"/>
  <c r="D130" i="18"/>
  <c r="E130" i="18" s="1"/>
  <c r="D413" i="18"/>
  <c r="E413" i="18" s="1"/>
  <c r="D972" i="18"/>
  <c r="E972" i="18" s="1"/>
  <c r="D473" i="18"/>
  <c r="E473" i="18" s="1"/>
  <c r="D726" i="18"/>
  <c r="E726" i="18" s="1"/>
  <c r="D823" i="18"/>
  <c r="E823" i="18" s="1"/>
  <c r="D310" i="18"/>
  <c r="E310" i="18" s="1"/>
  <c r="D695" i="18"/>
  <c r="E695" i="18" s="1"/>
  <c r="D535" i="18"/>
  <c r="E535" i="18" s="1"/>
  <c r="D441" i="18"/>
  <c r="E441" i="18" s="1"/>
  <c r="D359" i="18"/>
  <c r="E359" i="18" s="1"/>
  <c r="D502" i="18"/>
  <c r="E502" i="18" s="1"/>
  <c r="D543" i="18"/>
  <c r="E543" i="18" s="1"/>
  <c r="D1410" i="18"/>
  <c r="E1410" i="18" s="1"/>
  <c r="D889" i="18"/>
  <c r="E889" i="18" s="1"/>
  <c r="D28" i="18"/>
  <c r="E28" i="18" s="1"/>
  <c r="D737" i="18"/>
  <c r="E737" i="18" s="1"/>
  <c r="D87" i="18"/>
  <c r="E87" i="18" s="1"/>
  <c r="D738" i="18"/>
  <c r="E738" i="18" s="1"/>
  <c r="D227" i="18"/>
  <c r="E227" i="18" s="1"/>
  <c r="D964" i="18"/>
  <c r="E964" i="18" s="1"/>
  <c r="D242" i="18"/>
  <c r="E242" i="18" s="1"/>
  <c r="D1216" i="18"/>
  <c r="E1216" i="18" s="1"/>
  <c r="D629" i="18"/>
  <c r="E629" i="18" s="1"/>
  <c r="D308" i="18"/>
  <c r="E308" i="18" s="1"/>
  <c r="D1479" i="18"/>
  <c r="E1479" i="18" s="1"/>
  <c r="D1174" i="18"/>
  <c r="E1174" i="18" s="1"/>
  <c r="D610" i="18"/>
  <c r="E610" i="18" s="1"/>
  <c r="D1494" i="18"/>
  <c r="E1494" i="18" s="1"/>
  <c r="D356" i="18"/>
  <c r="E356" i="18" s="1"/>
  <c r="D1164" i="18"/>
  <c r="E1164" i="18" s="1"/>
  <c r="D232" i="18"/>
  <c r="E232" i="18" s="1"/>
  <c r="D858" i="18"/>
  <c r="E858" i="18" s="1"/>
  <c r="D1540" i="18"/>
  <c r="E1540" i="18" s="1"/>
  <c r="D1397" i="18"/>
  <c r="E1397" i="18" s="1"/>
  <c r="D230" i="18"/>
  <c r="E230" i="18" s="1"/>
  <c r="D1083" i="18"/>
  <c r="E1083" i="18" s="1"/>
  <c r="G849" i="19"/>
  <c r="A919" i="10"/>
  <c r="G866" i="19"/>
  <c r="A922" i="10"/>
  <c r="F19" i="15"/>
  <c r="L652" i="19"/>
  <c r="BR40" i="9"/>
  <c r="D545" i="18"/>
  <c r="E545" i="18" s="1"/>
  <c r="A652" i="10"/>
  <c r="A662" i="10"/>
  <c r="A884" i="10"/>
  <c r="D1756" i="18"/>
  <c r="E1756" i="18" s="1"/>
  <c r="A505" i="10"/>
  <c r="A511" i="10"/>
  <c r="L260" i="11"/>
  <c r="M260" i="11" s="1"/>
  <c r="BB65" i="9"/>
  <c r="M65" i="9"/>
  <c r="L65" i="9"/>
  <c r="G802" i="19"/>
  <c r="A873" i="10"/>
  <c r="G572" i="19"/>
  <c r="A636" i="10"/>
  <c r="L531" i="19"/>
  <c r="BR19" i="9"/>
  <c r="G731" i="19"/>
  <c r="A804" i="10"/>
  <c r="G840" i="19"/>
  <c r="A910" i="10"/>
  <c r="G807" i="19"/>
  <c r="A878" i="10"/>
  <c r="A841" i="10"/>
  <c r="A723" i="10"/>
  <c r="G577" i="19"/>
  <c r="A642" i="10"/>
  <c r="F24" i="15"/>
  <c r="G549" i="19"/>
  <c r="A610" i="10"/>
  <c r="A852" i="10"/>
  <c r="L561" i="19"/>
  <c r="BR24" i="9"/>
  <c r="G576" i="19"/>
  <c r="A641" i="10"/>
  <c r="L817" i="19"/>
  <c r="BR70" i="9"/>
  <c r="G655" i="19"/>
  <c r="A727" i="10"/>
  <c r="L267" i="11"/>
  <c r="M267" i="11" s="1"/>
  <c r="G818" i="19"/>
  <c r="A889" i="10"/>
  <c r="D754" i="18"/>
  <c r="E754" i="18" s="1"/>
  <c r="D1611" i="18"/>
  <c r="E1611" i="18" s="1"/>
  <c r="D1831" i="18"/>
  <c r="E1831" i="18" s="1"/>
  <c r="D570" i="18"/>
  <c r="E570" i="18" s="1"/>
  <c r="D711" i="18"/>
  <c r="E711" i="18" s="1"/>
  <c r="D1539" i="18"/>
  <c r="E1539" i="18" s="1"/>
  <c r="D317" i="18"/>
  <c r="E317" i="18" s="1"/>
  <c r="D188" i="18"/>
  <c r="E188" i="18" s="1"/>
  <c r="D24" i="18"/>
  <c r="E24" i="18" s="1"/>
  <c r="D1628" i="18"/>
  <c r="E1628" i="18" s="1"/>
  <c r="D372" i="18"/>
  <c r="E372" i="18" s="1"/>
  <c r="D197" i="18"/>
  <c r="E197" i="18" s="1"/>
  <c r="D1769" i="18"/>
  <c r="E1769" i="18" s="1"/>
  <c r="D287" i="18"/>
  <c r="E287" i="18" s="1"/>
  <c r="D966" i="18"/>
  <c r="E966" i="18" s="1"/>
  <c r="D1639" i="18"/>
  <c r="E1639" i="18" s="1"/>
  <c r="D1235" i="18"/>
  <c r="E1235" i="18" s="1"/>
  <c r="D1430" i="18"/>
  <c r="E1430" i="18" s="1"/>
  <c r="D1059" i="18"/>
  <c r="E1059" i="18" s="1"/>
  <c r="D855" i="18"/>
  <c r="E855" i="18" s="1"/>
  <c r="D1205" i="18"/>
  <c r="E1205" i="18" s="1"/>
  <c r="D1006" i="18"/>
  <c r="E1006" i="18" s="1"/>
  <c r="D794" i="18"/>
  <c r="E794" i="18" s="1"/>
  <c r="D763" i="18"/>
  <c r="E763" i="18" s="1"/>
  <c r="D893" i="18"/>
  <c r="E893" i="18" s="1"/>
  <c r="D646" i="18"/>
  <c r="E646" i="18" s="1"/>
  <c r="D1645" i="18"/>
  <c r="E1645" i="18" s="1"/>
  <c r="D1031" i="18"/>
  <c r="E1031" i="18" s="1"/>
  <c r="D146" i="18"/>
  <c r="E146" i="18" s="1"/>
  <c r="D1054" i="18"/>
  <c r="E1054" i="18" s="1"/>
  <c r="D248" i="18"/>
  <c r="E248" i="18" s="1"/>
  <c r="D1134" i="18"/>
  <c r="E1134" i="18" s="1"/>
  <c r="D328" i="18"/>
  <c r="E328" i="18" s="1"/>
  <c r="D1340" i="18"/>
  <c r="E1340" i="18" s="1"/>
  <c r="D342" i="18"/>
  <c r="E342" i="18" s="1"/>
  <c r="D1760" i="18"/>
  <c r="E1760" i="18" s="1"/>
  <c r="D1011" i="18"/>
  <c r="E1011" i="18" s="1"/>
  <c r="D669" i="18"/>
  <c r="E669" i="18" s="1"/>
  <c r="D1979" i="18"/>
  <c r="E1979" i="18" s="1"/>
  <c r="D1473" i="18"/>
  <c r="E1473" i="18" s="1"/>
  <c r="D758" i="18"/>
  <c r="E758" i="18" s="1"/>
  <c r="D1896" i="18"/>
  <c r="E1896" i="18" s="1"/>
  <c r="D440" i="18"/>
  <c r="E440" i="18" s="1"/>
  <c r="D1392" i="18"/>
  <c r="E1392" i="18" s="1"/>
  <c r="D331" i="18"/>
  <c r="E331" i="18" s="1"/>
  <c r="D1053" i="18"/>
  <c r="E1053" i="18" s="1"/>
  <c r="D1793" i="18"/>
  <c r="E1793" i="18" s="1"/>
  <c r="D1624" i="18"/>
  <c r="E1624" i="18" s="1"/>
  <c r="D421" i="18"/>
  <c r="E421" i="18" s="1"/>
  <c r="D1179" i="18"/>
  <c r="E1179" i="18" s="1"/>
  <c r="D1227" i="18"/>
  <c r="E1227" i="18" s="1"/>
  <c r="D48" i="18"/>
  <c r="E48" i="18" s="1"/>
  <c r="D598" i="18"/>
  <c r="E598" i="18" s="1"/>
  <c r="D1356" i="18"/>
  <c r="E1356" i="18" s="1"/>
  <c r="D108" i="18"/>
  <c r="E108" i="18" s="1"/>
  <c r="D643" i="18"/>
  <c r="E643" i="18" s="1"/>
  <c r="D1254" i="18"/>
  <c r="E1254" i="18" s="1"/>
  <c r="D1398" i="18"/>
  <c r="E1398" i="18" s="1"/>
  <c r="D211" i="18"/>
  <c r="E211" i="18" s="1"/>
  <c r="D929" i="18"/>
  <c r="E929" i="18" s="1"/>
  <c r="D1586" i="18"/>
  <c r="E1586" i="18" s="1"/>
  <c r="D474" i="18"/>
  <c r="E474" i="18" s="1"/>
  <c r="D1084" i="18"/>
  <c r="E1084" i="18" s="1"/>
  <c r="D1618" i="18"/>
  <c r="E1618" i="18" s="1"/>
  <c r="D267" i="18"/>
  <c r="E267" i="18" s="1"/>
  <c r="D920" i="18"/>
  <c r="E920" i="18" s="1"/>
  <c r="D1669" i="18"/>
  <c r="E1669" i="18" s="1"/>
  <c r="D516" i="18"/>
  <c r="E516" i="18" s="1"/>
  <c r="D1032" i="18"/>
  <c r="E1032" i="18" s="1"/>
  <c r="D1549" i="18"/>
  <c r="E1549" i="18" s="1"/>
  <c r="D624" i="18"/>
  <c r="E624" i="18" s="1"/>
  <c r="D1170" i="18"/>
  <c r="E1170" i="18" s="1"/>
  <c r="D1827" i="18"/>
  <c r="E1827" i="18" s="1"/>
  <c r="D983" i="18"/>
  <c r="E983" i="18" s="1"/>
  <c r="D1559" i="18"/>
  <c r="E1559" i="18" s="1"/>
  <c r="D740" i="18"/>
  <c r="E740" i="18" s="1"/>
  <c r="D1318" i="18"/>
  <c r="E1318" i="18" s="1"/>
  <c r="D634" i="18"/>
  <c r="E634" i="18" s="1"/>
  <c r="D1126" i="18"/>
  <c r="E1126" i="18" s="1"/>
  <c r="D1581" i="18"/>
  <c r="E1581" i="18" s="1"/>
  <c r="D753" i="18"/>
  <c r="E753" i="18" s="1"/>
  <c r="D1251" i="18"/>
  <c r="E1251" i="18" s="1"/>
  <c r="D1400" i="18"/>
  <c r="E1400" i="18" s="1"/>
  <c r="D1925" i="18"/>
  <c r="E1925" i="18" s="1"/>
  <c r="D1079" i="18"/>
  <c r="E1079" i="18" s="1"/>
  <c r="D1566" i="18"/>
  <c r="E1566" i="18" s="1"/>
  <c r="D1576" i="18"/>
  <c r="E1576" i="18" s="1"/>
  <c r="D1789" i="18"/>
  <c r="E1789" i="18" s="1"/>
  <c r="D1936" i="18"/>
  <c r="E1936" i="18" s="1"/>
  <c r="D1741" i="18"/>
  <c r="E1741" i="18" s="1"/>
  <c r="D1970" i="18"/>
  <c r="E1970" i="18" s="1"/>
  <c r="G725" i="19"/>
  <c r="A799" i="10"/>
  <c r="G819" i="19"/>
  <c r="A890" i="10"/>
  <c r="A537" i="10"/>
  <c r="A862" i="10"/>
  <c r="A714" i="10"/>
  <c r="G552" i="19"/>
  <c r="A613" i="10"/>
  <c r="L263" i="11"/>
  <c r="M263" i="11" s="1"/>
  <c r="G857" i="19"/>
  <c r="A773" i="10"/>
  <c r="A555" i="10"/>
  <c r="L264" i="11"/>
  <c r="M264" i="11" s="1"/>
  <c r="G715" i="19"/>
  <c r="A790" i="10"/>
  <c r="L11" i="9"/>
  <c r="M11" i="9"/>
  <c r="BB11" i="9"/>
  <c r="A532" i="10"/>
  <c r="L841" i="19"/>
  <c r="BR75" i="9"/>
  <c r="A817" i="10"/>
  <c r="A845" i="10"/>
  <c r="A657" i="10"/>
  <c r="G727" i="19"/>
  <c r="A801" i="10"/>
  <c r="G706" i="19"/>
  <c r="A781" i="10"/>
  <c r="G526" i="19"/>
  <c r="A586" i="10"/>
  <c r="G550" i="19"/>
  <c r="A611" i="10"/>
  <c r="A737" i="10"/>
  <c r="A535" i="10"/>
  <c r="G584" i="19"/>
  <c r="A649" i="10"/>
  <c r="A860" i="10"/>
  <c r="M16" i="5"/>
  <c r="O16" i="5"/>
  <c r="K16" i="5"/>
  <c r="N16" i="5"/>
  <c r="L16" i="5"/>
  <c r="L575" i="19"/>
  <c r="BR27" i="9"/>
  <c r="A677" i="10"/>
  <c r="G836" i="19"/>
  <c r="A906" i="10"/>
  <c r="G571" i="19"/>
  <c r="A635" i="10"/>
  <c r="A741" i="10"/>
  <c r="G757" i="19"/>
  <c r="A829" i="10"/>
  <c r="L104" i="12"/>
  <c r="S62" i="9"/>
  <c r="S65" i="9"/>
  <c r="S63" i="9"/>
  <c r="S66" i="9"/>
  <c r="S64" i="9"/>
  <c r="A665" i="10"/>
  <c r="L676" i="19"/>
  <c r="BR44" i="9"/>
  <c r="A525" i="10"/>
  <c r="G804" i="19"/>
  <c r="A875" i="10"/>
  <c r="J494" i="10"/>
  <c r="G756" i="19"/>
  <c r="A828" i="10"/>
  <c r="G491" i="19"/>
  <c r="A548" i="10"/>
  <c r="L724" i="19"/>
  <c r="BR53" i="9"/>
  <c r="G486" i="19"/>
  <c r="A543" i="10"/>
  <c r="A655" i="10"/>
  <c r="L113" i="12"/>
  <c r="S75" i="9"/>
  <c r="S8" i="9"/>
  <c r="S13" i="9"/>
  <c r="S14" i="9"/>
  <c r="S12" i="9"/>
  <c r="G749" i="19"/>
  <c r="A822" i="10"/>
  <c r="G527" i="19"/>
  <c r="A544" i="10"/>
  <c r="L685" i="19"/>
  <c r="BR46" i="9"/>
  <c r="L9" i="9"/>
  <c r="M9" i="9"/>
  <c r="BB9" i="9"/>
  <c r="A739" i="10"/>
  <c r="G724" i="19"/>
  <c r="A798" i="10"/>
  <c r="A539" i="10"/>
  <c r="G662" i="19"/>
  <c r="A734" i="10"/>
  <c r="A526" i="10"/>
  <c r="L701" i="19"/>
  <c r="BR49" i="9"/>
  <c r="A574" i="10"/>
  <c r="G865" i="19"/>
  <c r="A921" i="10"/>
  <c r="A513" i="10"/>
  <c r="A583" i="10"/>
  <c r="G856" i="19"/>
  <c r="A772" i="10"/>
  <c r="A810" i="10"/>
  <c r="G579" i="19"/>
  <c r="A644" i="10"/>
  <c r="G570" i="19"/>
  <c r="A634" i="10"/>
  <c r="G585" i="19"/>
  <c r="A650" i="10"/>
  <c r="A694" i="10"/>
  <c r="G720" i="19"/>
  <c r="A794" i="10"/>
  <c r="G644" i="19"/>
  <c r="A712" i="10"/>
  <c r="A815" i="10"/>
  <c r="G711" i="19"/>
  <c r="A786" i="10"/>
  <c r="N35" i="5"/>
  <c r="C207" i="1" s="1"/>
  <c r="N39" i="5"/>
  <c r="N37" i="5"/>
  <c r="M37" i="5"/>
  <c r="N41" i="5"/>
  <c r="M41" i="5"/>
  <c r="M35" i="5"/>
  <c r="B207" i="1" s="1"/>
  <c r="N34" i="5"/>
  <c r="C206" i="1" s="1"/>
  <c r="M33" i="5"/>
  <c r="B205" i="1" s="1"/>
  <c r="N36" i="5"/>
  <c r="N33" i="5"/>
  <c r="C205" i="1" s="1"/>
  <c r="M36" i="5"/>
  <c r="M39" i="5"/>
  <c r="N38" i="5"/>
  <c r="M38" i="5"/>
  <c r="M42" i="5"/>
  <c r="N42" i="5"/>
  <c r="N40" i="5"/>
  <c r="M40" i="5"/>
  <c r="M34" i="5"/>
  <c r="B206" i="1" s="1"/>
  <c r="G557" i="19"/>
  <c r="A621" i="10"/>
  <c r="G761" i="19"/>
  <c r="A833" i="10"/>
  <c r="L262" i="11"/>
  <c r="M262" i="11" s="1"/>
  <c r="M45" i="9"/>
  <c r="L45" i="9"/>
  <c r="BB45" i="9"/>
  <c r="G639" i="19"/>
  <c r="A707" i="10"/>
  <c r="L265" i="11"/>
  <c r="M265" i="11" s="1"/>
  <c r="D1891" i="18"/>
  <c r="E1891" i="18" s="1"/>
  <c r="D822" i="18"/>
  <c r="E822" i="18" s="1"/>
  <c r="D1654" i="18"/>
  <c r="E1654" i="18" s="1"/>
  <c r="D1417" i="18"/>
  <c r="E1417" i="18" s="1"/>
  <c r="D1407" i="18"/>
  <c r="E1407" i="18" s="1"/>
  <c r="D876" i="18"/>
  <c r="E876" i="18" s="1"/>
  <c r="D319" i="18"/>
  <c r="E319" i="18" s="1"/>
  <c r="D782" i="18"/>
  <c r="E782" i="18" s="1"/>
  <c r="D632" i="18"/>
  <c r="E632" i="18" s="1"/>
  <c r="D79" i="18"/>
  <c r="E79" i="18" s="1"/>
  <c r="D367" i="18"/>
  <c r="E367" i="18" s="1"/>
  <c r="D187" i="18"/>
  <c r="E187" i="18" s="1"/>
  <c r="D148" i="18"/>
  <c r="E148" i="18" s="1"/>
  <c r="D415" i="18"/>
  <c r="E415" i="18" s="1"/>
  <c r="D1951" i="18"/>
  <c r="E1951" i="18" s="1"/>
  <c r="D1918" i="18"/>
  <c r="E1918" i="18" s="1"/>
  <c r="D1954" i="18"/>
  <c r="E1954" i="18" s="1"/>
  <c r="D68" i="18"/>
  <c r="E68" i="18" s="1"/>
  <c r="D114" i="18"/>
  <c r="E114" i="18" s="1"/>
  <c r="D1021" i="18"/>
  <c r="E1021" i="18" s="1"/>
  <c r="D141" i="18"/>
  <c r="E141" i="18" s="1"/>
  <c r="D924" i="18"/>
  <c r="E924" i="18" s="1"/>
  <c r="D1221" i="18"/>
  <c r="E1221" i="18" s="1"/>
  <c r="D959" i="18"/>
  <c r="E959" i="18" s="1"/>
  <c r="D759" i="18"/>
  <c r="E759" i="18" s="1"/>
  <c r="D1294" i="18"/>
  <c r="E1294" i="18" s="1"/>
  <c r="D995" i="18"/>
  <c r="E995" i="18" s="1"/>
  <c r="D1784" i="18"/>
  <c r="E1784" i="18" s="1"/>
  <c r="D1173" i="18"/>
  <c r="E1173" i="18" s="1"/>
  <c r="D400" i="18"/>
  <c r="E400" i="18" s="1"/>
  <c r="D935" i="18"/>
  <c r="E935" i="18" s="1"/>
  <c r="D21" i="18"/>
  <c r="E21" i="18" s="1"/>
  <c r="D587" i="18"/>
  <c r="E587" i="18" s="1"/>
  <c r="D280" i="18"/>
  <c r="E280" i="18" s="1"/>
  <c r="D861" i="18"/>
  <c r="E861" i="18" s="1"/>
  <c r="D69" i="18"/>
  <c r="E69" i="18" s="1"/>
  <c r="D539" i="18"/>
  <c r="E539" i="18" s="1"/>
  <c r="D1349" i="18"/>
  <c r="E1349" i="18" s="1"/>
  <c r="D809" i="18"/>
  <c r="E809" i="18" s="1"/>
  <c r="D1337" i="18"/>
  <c r="E1337" i="18" s="1"/>
  <c r="D411" i="18"/>
  <c r="E411" i="18" s="1"/>
  <c r="D1577" i="18"/>
  <c r="E1577" i="18" s="1"/>
  <c r="D765" i="18"/>
  <c r="E765" i="18" s="1"/>
  <c r="D1737" i="18"/>
  <c r="E1737" i="18" s="1"/>
  <c r="D1034" i="18"/>
  <c r="E1034" i="18" s="1"/>
  <c r="D914" i="18"/>
  <c r="E914" i="18" s="1"/>
  <c r="D1413" i="18"/>
  <c r="E1413" i="18" s="1"/>
  <c r="D1048" i="18"/>
  <c r="E1048" i="18" s="1"/>
  <c r="D1587" i="18"/>
  <c r="E1587" i="18" s="1"/>
  <c r="D881" i="18"/>
  <c r="E881" i="18" s="1"/>
  <c r="D1365" i="18"/>
  <c r="E1365" i="18" s="1"/>
  <c r="D1521" i="18"/>
  <c r="E1521" i="18" s="1"/>
  <c r="D1656" i="18"/>
  <c r="E1656" i="18" s="1"/>
  <c r="D1972" i="18"/>
  <c r="E1972" i="18" s="1"/>
  <c r="A861" i="10"/>
  <c r="A842" i="10"/>
  <c r="A507" i="10"/>
  <c r="D666" i="18"/>
  <c r="E666" i="18" s="1"/>
  <c r="A659" i="10"/>
  <c r="L20" i="5"/>
  <c r="K20" i="5"/>
  <c r="O20" i="5"/>
  <c r="N20" i="5"/>
  <c r="M20" i="5"/>
  <c r="G820" i="19"/>
  <c r="A891" i="10"/>
  <c r="G862" i="19"/>
  <c r="A900" i="10"/>
  <c r="A811" i="10"/>
  <c r="G616" i="19"/>
  <c r="A684" i="10"/>
  <c r="L696" i="19"/>
  <c r="BR48" i="9"/>
  <c r="A700" i="10"/>
  <c r="G702" i="19"/>
  <c r="A777" i="10"/>
  <c r="A571" i="10"/>
  <c r="D1077" i="18"/>
  <c r="E1077" i="18" s="1"/>
  <c r="D1893" i="18"/>
  <c r="E1893" i="18" s="1"/>
  <c r="D475" i="18"/>
  <c r="E475" i="18" s="1"/>
  <c r="D1268" i="18"/>
  <c r="E1268" i="18" s="1"/>
  <c r="D1987" i="18"/>
  <c r="E1987" i="18" s="1"/>
  <c r="D523" i="18"/>
  <c r="E523" i="18" s="1"/>
  <c r="D1071" i="18"/>
  <c r="E1071" i="18" s="1"/>
  <c r="D1815" i="18"/>
  <c r="E1815" i="18" s="1"/>
  <c r="D127" i="18"/>
  <c r="E127" i="18" s="1"/>
  <c r="D698" i="18"/>
  <c r="E698" i="18" s="1"/>
  <c r="D1385" i="18"/>
  <c r="E1385" i="18" s="1"/>
  <c r="D368" i="18"/>
  <c r="E368" i="18" s="1"/>
  <c r="D1014" i="18"/>
  <c r="E1014" i="18" s="1"/>
  <c r="D1451" i="18"/>
  <c r="E1451" i="18" s="1"/>
  <c r="D157" i="18"/>
  <c r="E157" i="18" s="1"/>
  <c r="D645" i="18"/>
  <c r="E645" i="18" s="1"/>
  <c r="D1458" i="18"/>
  <c r="E1458" i="18" s="1"/>
  <c r="D387" i="18"/>
  <c r="E387" i="18" s="1"/>
  <c r="D856" i="18"/>
  <c r="E856" i="18" s="1"/>
  <c r="D1489" i="18"/>
  <c r="E1489" i="18" s="1"/>
  <c r="D499" i="18"/>
  <c r="E499" i="18" s="1"/>
  <c r="D1094" i="18"/>
  <c r="E1094" i="18" s="1"/>
  <c r="D1729" i="18"/>
  <c r="E1729" i="18" s="1"/>
  <c r="D892" i="18"/>
  <c r="E892" i="18" s="1"/>
  <c r="D1474" i="18"/>
  <c r="E1474" i="18" s="1"/>
  <c r="D558" i="18"/>
  <c r="E558" i="18" s="1"/>
  <c r="D1105" i="18"/>
  <c r="E1105" i="18" s="1"/>
  <c r="D1959" i="18"/>
  <c r="E1959" i="18" s="1"/>
  <c r="D997" i="18"/>
  <c r="E997" i="18" s="1"/>
  <c r="D1505" i="18"/>
  <c r="E1505" i="18" s="1"/>
  <c r="D630" i="18"/>
  <c r="E630" i="18" s="1"/>
  <c r="D1131" i="18"/>
  <c r="E1131" i="18" s="1"/>
  <c r="D1637" i="18"/>
  <c r="E1637" i="18" s="1"/>
  <c r="D1779" i="18"/>
  <c r="E1779" i="18" s="1"/>
  <c r="D969" i="18"/>
  <c r="E969" i="18" s="1"/>
  <c r="D1453" i="18"/>
  <c r="E1453" i="18" s="1"/>
  <c r="D1907" i="18"/>
  <c r="E1907" i="18" s="1"/>
  <c r="D1616" i="18"/>
  <c r="E1616" i="18" s="1"/>
  <c r="D1751" i="18"/>
  <c r="E1751" i="18" s="1"/>
  <c r="D1886" i="18"/>
  <c r="E1886" i="18" s="1"/>
  <c r="D1860" i="18"/>
  <c r="E1860" i="18" s="1"/>
  <c r="G679" i="19"/>
  <c r="A751" i="10"/>
  <c r="A573" i="10"/>
  <c r="N26" i="5"/>
  <c r="K26" i="5"/>
  <c r="M26" i="5"/>
  <c r="L26" i="5"/>
  <c r="O26" i="5"/>
  <c r="G463" i="19"/>
  <c r="A542" i="10"/>
  <c r="G488" i="19"/>
  <c r="A545" i="10"/>
  <c r="L797" i="19"/>
  <c r="BR67" i="9"/>
  <c r="B200" i="1"/>
  <c r="B59" i="5"/>
  <c r="A528" i="10"/>
  <c r="T268" i="11"/>
  <c r="O268" i="11"/>
  <c r="N268" i="11"/>
  <c r="W268" i="11"/>
  <c r="L712" i="19"/>
  <c r="BR51" i="9"/>
  <c r="A527" i="10"/>
  <c r="F20" i="15"/>
  <c r="L567" i="19"/>
  <c r="BR25" i="9"/>
  <c r="G492" i="19"/>
  <c r="A549" i="10"/>
  <c r="G694" i="19"/>
  <c r="A765" i="10"/>
  <c r="M12" i="5"/>
  <c r="L12" i="5"/>
  <c r="K12" i="5"/>
  <c r="O12" i="5"/>
  <c r="N12" i="5"/>
  <c r="G553" i="19"/>
  <c r="A614" i="10"/>
  <c r="G652" i="19"/>
  <c r="A724" i="10"/>
  <c r="G542" i="19"/>
  <c r="A604" i="10"/>
  <c r="BB69" i="9"/>
  <c r="M69" i="9"/>
  <c r="L69" i="9"/>
  <c r="A581" i="10"/>
  <c r="O15" i="5"/>
  <c r="N15" i="5"/>
  <c r="K15" i="5"/>
  <c r="L15" i="5"/>
  <c r="M15" i="5"/>
  <c r="A568" i="10"/>
  <c r="A825" i="10"/>
  <c r="A508" i="10"/>
  <c r="A672" i="10"/>
  <c r="BB62" i="9"/>
  <c r="L62" i="9"/>
  <c r="M62" i="9"/>
  <c r="A689" i="10"/>
  <c r="G750" i="19"/>
  <c r="A823" i="10"/>
  <c r="A524" i="10"/>
  <c r="F26" i="15"/>
  <c r="L831" i="19"/>
  <c r="BR73" i="9"/>
  <c r="G729" i="19"/>
  <c r="A802" i="10"/>
  <c r="G660" i="19"/>
  <c r="A732" i="10"/>
  <c r="G806" i="19"/>
  <c r="A877" i="10"/>
  <c r="G561" i="19"/>
  <c r="A625" i="10"/>
  <c r="G545" i="19"/>
  <c r="A607" i="10"/>
  <c r="G503" i="19"/>
  <c r="A560" i="10"/>
  <c r="G560" i="19"/>
  <c r="A624" i="10"/>
  <c r="G817" i="19"/>
  <c r="A888" i="10"/>
  <c r="A887" i="10"/>
  <c r="L555" i="19"/>
  <c r="BR23" i="9"/>
  <c r="G808" i="19"/>
  <c r="A879" i="10"/>
  <c r="A699" i="10"/>
  <c r="G795" i="19"/>
  <c r="A866" i="10"/>
  <c r="D19" i="18"/>
  <c r="E19" i="18" s="1"/>
  <c r="D352" i="18"/>
  <c r="E352" i="18" s="1"/>
  <c r="D103" i="18"/>
  <c r="E103" i="18" s="1"/>
  <c r="D835" i="18"/>
  <c r="E835" i="18" s="1"/>
  <c r="D784" i="18"/>
  <c r="E784" i="18" s="1"/>
  <c r="D202" i="18"/>
  <c r="E202" i="18" s="1"/>
  <c r="D653" i="18"/>
  <c r="E653" i="18" s="1"/>
  <c r="D244" i="18"/>
  <c r="E244" i="18" s="1"/>
  <c r="D73" i="18"/>
  <c r="E73" i="18" s="1"/>
  <c r="D77" i="18"/>
  <c r="E77" i="18" s="1"/>
  <c r="D420" i="18"/>
  <c r="E420" i="18" s="1"/>
  <c r="D217" i="18"/>
  <c r="E217" i="18" s="1"/>
  <c r="D84" i="18"/>
  <c r="E84" i="18" s="1"/>
  <c r="D340" i="18"/>
  <c r="E340" i="18" s="1"/>
  <c r="D1270" i="18"/>
  <c r="E1270" i="18" s="1"/>
  <c r="D1734" i="18"/>
  <c r="E1734" i="18" s="1"/>
  <c r="D1310" i="18"/>
  <c r="E1310" i="18" s="1"/>
  <c r="D1594" i="18"/>
  <c r="E1594" i="18" s="1"/>
  <c r="D1075" i="18"/>
  <c r="E1075" i="18" s="1"/>
  <c r="D936" i="18"/>
  <c r="E936" i="18" s="1"/>
  <c r="D1368" i="18"/>
  <c r="E1368" i="18" s="1"/>
  <c r="D1060" i="18"/>
  <c r="E1060" i="18" s="1"/>
  <c r="D825" i="18"/>
  <c r="E825" i="18" s="1"/>
  <c r="D857" i="18"/>
  <c r="E857" i="18" s="1"/>
  <c r="D957" i="18"/>
  <c r="E957" i="18" s="1"/>
  <c r="D756" i="18"/>
  <c r="E756" i="18" s="1"/>
  <c r="D1724" i="18"/>
  <c r="E1724" i="18" s="1"/>
  <c r="D1041" i="18"/>
  <c r="E1041" i="18" s="1"/>
  <c r="D152" i="18"/>
  <c r="E152" i="18" s="1"/>
  <c r="D1157" i="18"/>
  <c r="E1157" i="18" s="1"/>
  <c r="D255" i="18"/>
  <c r="E255" i="18" s="1"/>
  <c r="D1169" i="18"/>
  <c r="E1169" i="18" s="1"/>
  <c r="D335" i="18"/>
  <c r="E335" i="18" s="1"/>
  <c r="D1428" i="18"/>
  <c r="E1428" i="18" s="1"/>
  <c r="D350" i="18"/>
  <c r="E350" i="18" s="1"/>
  <c r="D1777" i="18"/>
  <c r="E1777" i="18" s="1"/>
  <c r="D1182" i="18"/>
  <c r="E1182" i="18" s="1"/>
  <c r="D688" i="18"/>
  <c r="E688" i="18" s="1"/>
  <c r="D537" i="18"/>
  <c r="E537" i="18" s="1"/>
  <c r="D1506" i="18"/>
  <c r="E1506" i="18" s="1"/>
  <c r="D824" i="18"/>
  <c r="E824" i="18" s="1"/>
  <c r="D1910" i="18"/>
  <c r="E1910" i="18" s="1"/>
  <c r="D446" i="18"/>
  <c r="E446" i="18" s="1"/>
  <c r="D1411" i="18"/>
  <c r="E1411" i="18" s="1"/>
  <c r="D337" i="18"/>
  <c r="E337" i="18" s="1"/>
  <c r="D1072" i="18"/>
  <c r="E1072" i="18" s="1"/>
  <c r="D1822" i="18"/>
  <c r="E1822" i="18" s="1"/>
  <c r="D1747" i="18"/>
  <c r="E1747" i="18" s="1"/>
  <c r="D453" i="18"/>
  <c r="E453" i="18" s="1"/>
  <c r="D1199" i="18"/>
  <c r="E1199" i="18" s="1"/>
  <c r="D1240" i="18"/>
  <c r="E1240" i="18" s="1"/>
  <c r="D71" i="18"/>
  <c r="E71" i="18" s="1"/>
  <c r="D670" i="18"/>
  <c r="E670" i="18" s="1"/>
  <c r="D1363" i="18"/>
  <c r="E1363" i="18" s="1"/>
  <c r="D122" i="18"/>
  <c r="E122" i="18" s="1"/>
  <c r="D697" i="18"/>
  <c r="E697" i="18" s="1"/>
  <c r="D1275" i="18"/>
  <c r="E1275" i="18" s="1"/>
  <c r="D1441" i="18"/>
  <c r="E1441" i="18" s="1"/>
  <c r="D216" i="18"/>
  <c r="E216" i="18" s="1"/>
  <c r="D949" i="18"/>
  <c r="E949" i="18" s="1"/>
  <c r="D1660" i="18"/>
  <c r="E1660" i="18" s="1"/>
  <c r="D497" i="18"/>
  <c r="E497" i="18" s="1"/>
  <c r="D1096" i="18"/>
  <c r="E1096" i="18" s="1"/>
  <c r="D1625" i="18"/>
  <c r="E1625" i="18" s="1"/>
  <c r="D289" i="18"/>
  <c r="E289" i="18" s="1"/>
  <c r="D938" i="18"/>
  <c r="E938" i="18" s="1"/>
  <c r="D1707" i="18"/>
  <c r="E1707" i="18" s="1"/>
  <c r="D530" i="18"/>
  <c r="E530" i="18" s="1"/>
  <c r="D1044" i="18"/>
  <c r="E1044" i="18" s="1"/>
  <c r="D1569" i="18"/>
  <c r="E1569" i="18" s="1"/>
  <c r="D658" i="18"/>
  <c r="E658" i="18" s="1"/>
  <c r="D1175" i="18"/>
  <c r="E1175" i="18" s="1"/>
  <c r="D1872" i="18"/>
  <c r="E1872" i="18" s="1"/>
  <c r="D1039" i="18"/>
  <c r="E1039" i="18" s="1"/>
  <c r="D1565" i="18"/>
  <c r="E1565" i="18" s="1"/>
  <c r="D811" i="18"/>
  <c r="E811" i="18" s="1"/>
  <c r="D1323" i="18"/>
  <c r="E1323" i="18" s="1"/>
  <c r="D656" i="18"/>
  <c r="E656" i="18" s="1"/>
  <c r="D1149" i="18"/>
  <c r="E1149" i="18" s="1"/>
  <c r="D1592" i="18"/>
  <c r="E1592" i="18" s="1"/>
  <c r="D767" i="18"/>
  <c r="E767" i="18" s="1"/>
  <c r="D1274" i="18"/>
  <c r="E1274" i="18" s="1"/>
  <c r="D1422" i="18"/>
  <c r="E1422" i="18" s="1"/>
  <c r="D1968" i="18"/>
  <c r="E1968" i="18" s="1"/>
  <c r="D1101" i="18"/>
  <c r="E1101" i="18" s="1"/>
  <c r="D1595" i="18"/>
  <c r="E1595" i="18" s="1"/>
  <c r="D1605" i="18"/>
  <c r="E1605" i="18" s="1"/>
  <c r="D1821" i="18"/>
  <c r="E1821" i="18" s="1"/>
  <c r="D1947" i="18"/>
  <c r="E1947" i="18" s="1"/>
  <c r="D1768" i="18"/>
  <c r="E1768" i="18" s="1"/>
  <c r="D1992" i="18"/>
  <c r="E1992" i="18" s="1"/>
  <c r="G769" i="19"/>
  <c r="A840" i="10"/>
  <c r="A518" i="10"/>
  <c r="G858" i="19"/>
  <c r="A774" i="10"/>
  <c r="A592" i="10"/>
  <c r="A849" i="10"/>
  <c r="G654" i="19"/>
  <c r="A726" i="10"/>
  <c r="A510" i="10"/>
  <c r="L550" i="19"/>
  <c r="BR22" i="9"/>
  <c r="M39" i="9"/>
  <c r="BB39" i="9"/>
  <c r="L39" i="9"/>
  <c r="A664" i="10"/>
  <c r="L581" i="19"/>
  <c r="BR28" i="9"/>
  <c r="A848" i="10"/>
  <c r="T270" i="11"/>
  <c r="W270" i="11"/>
  <c r="N270" i="11"/>
  <c r="O270" i="11"/>
  <c r="A843" i="10"/>
  <c r="G762" i="19"/>
  <c r="A834" i="10"/>
  <c r="A564" i="10"/>
  <c r="G847" i="19"/>
  <c r="A917" i="10"/>
  <c r="G544" i="19"/>
  <c r="A606" i="10"/>
  <c r="G863" i="19"/>
  <c r="A901" i="10"/>
  <c r="L269" i="11"/>
  <c r="M269" i="11" s="1"/>
  <c r="L103" i="12"/>
  <c r="S69" i="9"/>
  <c r="S72" i="9"/>
  <c r="S70" i="9"/>
  <c r="S71" i="9"/>
  <c r="S68" i="9"/>
  <c r="S67" i="9"/>
  <c r="O19" i="5"/>
  <c r="N19" i="5"/>
  <c r="L19" i="5"/>
  <c r="K19" i="5"/>
  <c r="M19" i="5"/>
  <c r="L836" i="19"/>
  <c r="BR74" i="9"/>
  <c r="G583" i="19"/>
  <c r="A648" i="10"/>
  <c r="A827" i="10"/>
  <c r="G759" i="19"/>
  <c r="A831" i="10"/>
  <c r="BB15" i="9"/>
  <c r="L15" i="9"/>
  <c r="M15" i="9"/>
  <c r="M17" i="9"/>
  <c r="L17" i="9"/>
  <c r="BB17" i="9"/>
  <c r="A551" i="10"/>
  <c r="A858" i="10"/>
  <c r="G575" i="19"/>
  <c r="A640" i="10"/>
  <c r="G530" i="19"/>
  <c r="A588" i="10"/>
  <c r="A818" i="10"/>
  <c r="A570" i="10"/>
  <c r="L792" i="19"/>
  <c r="BR66" i="9"/>
  <c r="A566" i="10"/>
  <c r="A521" i="10"/>
  <c r="A675" i="10"/>
  <c r="G859" i="19"/>
  <c r="A775" i="10"/>
  <c r="G838" i="19"/>
  <c r="A908" i="10"/>
  <c r="G864" i="19"/>
  <c r="A920" i="10"/>
  <c r="G676" i="19"/>
  <c r="A748" i="10"/>
  <c r="G792" i="19"/>
  <c r="A863" i="10"/>
  <c r="G714" i="19"/>
  <c r="A789" i="10"/>
  <c r="B97" i="12"/>
  <c r="L100" i="12"/>
  <c r="B96" i="12"/>
  <c r="B7" i="6" s="1"/>
  <c r="B95" i="12"/>
  <c r="S60" i="9"/>
  <c r="S61" i="9"/>
  <c r="S57" i="9"/>
  <c r="G844" i="19"/>
  <c r="A914" i="10"/>
  <c r="G686" i="19"/>
  <c r="A757" i="10"/>
  <c r="M36" i="9"/>
  <c r="BB36" i="9"/>
  <c r="L36" i="9"/>
  <c r="L756" i="19"/>
  <c r="BR59" i="9"/>
  <c r="A679" i="10"/>
  <c r="L846" i="19"/>
  <c r="BR76" i="9"/>
  <c r="L573" i="19"/>
  <c r="BR26" i="9"/>
  <c r="O21" i="5"/>
  <c r="M21" i="5"/>
  <c r="L21" i="5"/>
  <c r="K21" i="5"/>
  <c r="N21" i="5"/>
  <c r="L257" i="11"/>
  <c r="M257" i="11" s="1"/>
  <c r="A572" i="10"/>
  <c r="A663" i="10"/>
  <c r="G846" i="19"/>
  <c r="A916" i="10"/>
  <c r="A738" i="10"/>
  <c r="G704" i="19"/>
  <c r="A779" i="10"/>
  <c r="A673" i="10"/>
  <c r="L615" i="19"/>
  <c r="BR34" i="9"/>
  <c r="A516" i="10"/>
  <c r="G691" i="19"/>
  <c r="A762" i="10"/>
  <c r="G547" i="19"/>
  <c r="A565" i="10"/>
  <c r="G661" i="19"/>
  <c r="A733" i="10"/>
  <c r="BB31" i="9"/>
  <c r="M31" i="9"/>
  <c r="L31" i="9"/>
  <c r="G824" i="19"/>
  <c r="A895" i="10"/>
  <c r="A752" i="10"/>
  <c r="L639" i="19"/>
  <c r="BR38" i="9"/>
  <c r="A653" i="10"/>
  <c r="A584" i="10"/>
  <c r="G533" i="19"/>
  <c r="A595" i="10"/>
  <c r="G556" i="19"/>
  <c r="A620" i="10"/>
  <c r="A896" i="10"/>
  <c r="G586" i="19"/>
  <c r="A651" i="10"/>
  <c r="D1848" i="18"/>
  <c r="E1848" i="18" s="1"/>
  <c r="D828" i="18"/>
  <c r="E828" i="18" s="1"/>
  <c r="D1538" i="18"/>
  <c r="E1538" i="18" s="1"/>
  <c r="D361" i="18"/>
  <c r="E361" i="18" s="1"/>
  <c r="D339" i="18"/>
  <c r="E339" i="18" s="1"/>
  <c r="D444" i="18"/>
  <c r="E444" i="18" s="1"/>
  <c r="D1819" i="18"/>
  <c r="E1819" i="18" s="1"/>
  <c r="D297" i="18"/>
  <c r="E297" i="18" s="1"/>
  <c r="D487" i="18"/>
  <c r="E487" i="18" s="1"/>
  <c r="D247" i="18"/>
  <c r="E247" i="18" s="1"/>
  <c r="D249" i="18"/>
  <c r="E249" i="18" s="1"/>
  <c r="D616" i="18"/>
  <c r="E616" i="18" s="1"/>
  <c r="D599" i="18"/>
  <c r="E599" i="18" s="1"/>
  <c r="D657" i="18"/>
  <c r="E657" i="18" s="1"/>
  <c r="D851" i="18"/>
  <c r="E851" i="18" s="1"/>
  <c r="D515" i="18"/>
  <c r="E515" i="18" s="1"/>
  <c r="D1263" i="18"/>
  <c r="E1263" i="18" s="1"/>
  <c r="D312" i="18"/>
  <c r="E312" i="18" s="1"/>
  <c r="D250" i="18"/>
  <c r="E250" i="18" s="1"/>
  <c r="D133" i="18"/>
  <c r="E133" i="18" s="1"/>
  <c r="D1432" i="18"/>
  <c r="E1432" i="18" s="1"/>
  <c r="D195" i="18"/>
  <c r="E195" i="18" s="1"/>
  <c r="D1841" i="18"/>
  <c r="E1841" i="18" s="1"/>
  <c r="D271" i="18"/>
  <c r="E271" i="18" s="1"/>
  <c r="D1785" i="18"/>
  <c r="E1785" i="18" s="1"/>
  <c r="D1610" i="18"/>
  <c r="E1610" i="18" s="1"/>
  <c r="D1289" i="18"/>
  <c r="E1289" i="18" s="1"/>
  <c r="D1390" i="18"/>
  <c r="E1390" i="18" s="1"/>
  <c r="D285" i="18"/>
  <c r="E285" i="18" s="1"/>
  <c r="D1023" i="18"/>
  <c r="E1023" i="18" s="1"/>
  <c r="D1267" i="18"/>
  <c r="E1267" i="18" s="1"/>
  <c r="D1843" i="18"/>
  <c r="E1843" i="18" s="1"/>
  <c r="D542" i="18"/>
  <c r="E542" i="18" s="1"/>
  <c r="D1714" i="18"/>
  <c r="E1714" i="18" s="1"/>
  <c r="D1796" i="18"/>
  <c r="E1796" i="18" s="1"/>
  <c r="D1866" i="18"/>
  <c r="E1866" i="18" s="1"/>
  <c r="G730" i="19"/>
  <c r="A803" i="10"/>
  <c r="A671" i="10"/>
  <c r="G687" i="19"/>
  <c r="A758" i="10"/>
  <c r="G732" i="19"/>
  <c r="A805" i="10"/>
  <c r="A857" i="10"/>
  <c r="BB72" i="9"/>
  <c r="L72" i="9"/>
  <c r="M72" i="9"/>
  <c r="L764" i="19"/>
  <c r="BR61" i="9"/>
  <c r="D180" i="18"/>
  <c r="E180" i="18" s="1"/>
  <c r="D83" i="18"/>
  <c r="E83" i="18" s="1"/>
  <c r="D906" i="18"/>
  <c r="E906" i="18" s="1"/>
  <c r="D102" i="18"/>
  <c r="E102" i="18" s="1"/>
  <c r="D109" i="18"/>
  <c r="E109" i="18" s="1"/>
  <c r="D176" i="18"/>
  <c r="E176" i="18" s="1"/>
  <c r="D637" i="18"/>
  <c r="E637" i="18" s="1"/>
  <c r="D667" i="18"/>
  <c r="E667" i="18" s="1"/>
  <c r="D1113" i="18"/>
  <c r="E1113" i="18" s="1"/>
  <c r="D986" i="18"/>
  <c r="E986" i="18" s="1"/>
  <c r="D1081" i="18"/>
  <c r="E1081" i="18" s="1"/>
  <c r="D1335" i="18"/>
  <c r="E1335" i="18" s="1"/>
  <c r="D1804" i="18"/>
  <c r="E1804" i="18" s="1"/>
  <c r="D432" i="18"/>
  <c r="E432" i="18" s="1"/>
  <c r="D44" i="18"/>
  <c r="E44" i="18" s="1"/>
  <c r="D302" i="18"/>
  <c r="E302" i="18" s="1"/>
  <c r="D91" i="18"/>
  <c r="E91" i="18" s="1"/>
  <c r="D307" i="18"/>
  <c r="E307" i="18" s="1"/>
  <c r="D433" i="18"/>
  <c r="E433" i="18" s="1"/>
  <c r="D770" i="18"/>
  <c r="E770" i="18" s="1"/>
  <c r="D1090" i="18"/>
  <c r="E1090" i="18" s="1"/>
  <c r="D1423" i="18"/>
  <c r="E1423" i="18" s="1"/>
  <c r="D1598" i="18"/>
  <c r="E1598" i="18" s="1"/>
  <c r="D1387" i="18"/>
  <c r="E1387" i="18" s="1"/>
  <c r="D1871" i="18"/>
  <c r="E1871" i="18" s="1"/>
  <c r="G637" i="19"/>
  <c r="A705" i="10"/>
  <c r="G700" i="19"/>
  <c r="A770" i="10"/>
  <c r="G658" i="19"/>
  <c r="A730" i="10"/>
  <c r="G559" i="19"/>
  <c r="A623" i="10"/>
  <c r="A745" i="10"/>
  <c r="A856" i="10"/>
  <c r="G734" i="19"/>
  <c r="A807" i="10"/>
  <c r="A742" i="10"/>
  <c r="G554" i="19"/>
  <c r="A615" i="10"/>
  <c r="G768" i="19"/>
  <c r="A839" i="10"/>
  <c r="L488" i="19"/>
  <c r="BR12" i="9"/>
  <c r="L30" i="9"/>
  <c r="M30" i="9"/>
  <c r="BB30" i="9"/>
  <c r="G636" i="19"/>
  <c r="A704" i="10"/>
  <c r="G546" i="19"/>
  <c r="A608" i="10"/>
  <c r="A690" i="10"/>
  <c r="G535" i="19"/>
  <c r="A597" i="10"/>
  <c r="G696" i="19"/>
  <c r="A767" i="10"/>
  <c r="A582" i="10"/>
  <c r="G551" i="19"/>
  <c r="A612" i="10"/>
  <c r="A813" i="10"/>
  <c r="A851" i="10"/>
  <c r="A534" i="10"/>
  <c r="A533" i="10"/>
  <c r="A812" i="10"/>
  <c r="A556" i="10"/>
  <c r="G531" i="19"/>
  <c r="A593" i="10"/>
  <c r="L256" i="11"/>
  <c r="M256" i="11" s="1"/>
  <c r="G695" i="19"/>
  <c r="A766" i="10"/>
  <c r="A809" i="10"/>
  <c r="G506" i="19"/>
  <c r="A563" i="10"/>
  <c r="A500" i="10"/>
  <c r="G493" i="19"/>
  <c r="A550" i="10"/>
  <c r="G565" i="19"/>
  <c r="A629" i="10"/>
  <c r="G635" i="19"/>
  <c r="A703" i="10"/>
  <c r="BB55" i="9"/>
  <c r="M55" i="9"/>
  <c r="L55" i="9"/>
  <c r="M58" i="9"/>
  <c r="L58" i="9"/>
  <c r="BB58" i="9"/>
  <c r="M35" i="9"/>
  <c r="L35" i="9"/>
  <c r="BB35" i="9"/>
  <c r="G721" i="19"/>
  <c r="A795" i="10"/>
  <c r="G697" i="19"/>
  <c r="A768" i="10"/>
  <c r="G504" i="19"/>
  <c r="A561" i="10"/>
  <c r="F21" i="15"/>
  <c r="G831" i="19"/>
  <c r="A902" i="10"/>
  <c r="A522" i="10"/>
  <c r="G763" i="19"/>
  <c r="A616" i="10"/>
  <c r="A538" i="10"/>
  <c r="A523" i="10"/>
  <c r="G555" i="19"/>
  <c r="A619" i="10"/>
  <c r="D295" i="18"/>
  <c r="E295" i="18" s="1"/>
  <c r="D480" i="18"/>
  <c r="E480" i="18" s="1"/>
  <c r="D787" i="18"/>
  <c r="E787" i="18" s="1"/>
  <c r="D1139" i="18"/>
  <c r="E1139" i="18" s="1"/>
  <c r="D926" i="18"/>
  <c r="E926" i="18" s="1"/>
  <c r="D482" i="18"/>
  <c r="E482" i="18" s="1"/>
  <c r="D1047" i="18"/>
  <c r="E1047" i="18" s="1"/>
  <c r="D272" i="18"/>
  <c r="E272" i="18" s="1"/>
  <c r="D199" i="18"/>
  <c r="E199" i="18" s="1"/>
  <c r="D193" i="18"/>
  <c r="E193" i="18" s="1"/>
  <c r="D494" i="18"/>
  <c r="E494" i="18" s="1"/>
  <c r="D398" i="18"/>
  <c r="E398" i="18" s="1"/>
  <c r="D174" i="18"/>
  <c r="E174" i="18" s="1"/>
  <c r="D376" i="18"/>
  <c r="E376" i="18" s="1"/>
  <c r="D1303" i="18"/>
  <c r="E1303" i="18" s="1"/>
  <c r="D1772" i="18"/>
  <c r="E1772" i="18" s="1"/>
  <c r="D1346" i="18"/>
  <c r="E1346" i="18" s="1"/>
  <c r="D1868" i="18"/>
  <c r="E1868" i="18" s="1"/>
  <c r="D1200" i="18"/>
  <c r="E1200" i="18" s="1"/>
  <c r="D990" i="18"/>
  <c r="E990" i="18" s="1"/>
  <c r="D1480" i="18"/>
  <c r="E1480" i="18" s="1"/>
  <c r="D1151" i="18"/>
  <c r="E1151" i="18" s="1"/>
  <c r="D843" i="18"/>
  <c r="E843" i="18" s="1"/>
  <c r="D1007" i="18"/>
  <c r="E1007" i="18" s="1"/>
  <c r="D1082" i="18"/>
  <c r="E1082" i="18" s="1"/>
  <c r="D777" i="18"/>
  <c r="E777" i="18" s="1"/>
  <c r="D1755" i="18"/>
  <c r="E1755" i="18" s="1"/>
  <c r="D1076" i="18"/>
  <c r="E1076" i="18" s="1"/>
  <c r="D165" i="18"/>
  <c r="E165" i="18" s="1"/>
  <c r="D1190" i="18"/>
  <c r="E1190" i="18" s="1"/>
  <c r="D284" i="18"/>
  <c r="E284" i="18" s="1"/>
  <c r="D1271" i="18"/>
  <c r="E1271" i="18" s="1"/>
  <c r="D371" i="18"/>
  <c r="E371" i="18" s="1"/>
  <c r="D1516" i="18"/>
  <c r="E1516" i="18" s="1"/>
  <c r="D357" i="18"/>
  <c r="E357" i="18" s="1"/>
  <c r="D1845" i="18"/>
  <c r="E1845" i="18" s="1"/>
  <c r="D1228" i="18"/>
  <c r="E1228" i="18" s="1"/>
  <c r="D699" i="18"/>
  <c r="E699" i="18" s="1"/>
  <c r="D544" i="18"/>
  <c r="E544" i="18" s="1"/>
  <c r="D1550" i="18"/>
  <c r="E1550" i="18" s="1"/>
  <c r="D833" i="18"/>
  <c r="E833" i="18" s="1"/>
  <c r="D1928" i="18"/>
  <c r="E1928" i="18" s="1"/>
  <c r="D479" i="18"/>
  <c r="E479" i="18" s="1"/>
  <c r="D1507" i="18"/>
  <c r="E1507" i="18" s="1"/>
  <c r="D344" i="18"/>
  <c r="E344" i="18" s="1"/>
  <c r="D1089" i="18"/>
  <c r="E1089" i="18" s="1"/>
  <c r="D1849" i="18"/>
  <c r="E1849" i="18" s="1"/>
  <c r="D1803" i="18"/>
  <c r="E1803" i="18" s="1"/>
  <c r="D485" i="18"/>
  <c r="E485" i="18" s="1"/>
  <c r="D1260" i="18"/>
  <c r="E1260" i="18" s="1"/>
  <c r="D1461" i="18"/>
  <c r="E1461" i="18" s="1"/>
  <c r="D94" i="18"/>
  <c r="E94" i="18" s="1"/>
  <c r="D690" i="18"/>
  <c r="E690" i="18" s="1"/>
  <c r="D1405" i="18"/>
  <c r="E1405" i="18" s="1"/>
  <c r="D145" i="18"/>
  <c r="E145" i="18" s="1"/>
  <c r="D704" i="18"/>
  <c r="E704" i="18" s="1"/>
  <c r="D1295" i="18"/>
  <c r="E1295" i="18" s="1"/>
  <c r="D1484" i="18"/>
  <c r="E1484" i="18" s="1"/>
  <c r="D221" i="18"/>
  <c r="E221" i="18" s="1"/>
  <c r="D970" i="18"/>
  <c r="E970" i="18" s="1"/>
  <c r="D1686" i="18"/>
  <c r="E1686" i="18" s="1"/>
  <c r="D520" i="18"/>
  <c r="E520" i="18" s="1"/>
  <c r="D1225" i="18"/>
  <c r="E1225" i="18" s="1"/>
  <c r="D1676" i="18"/>
  <c r="E1676" i="18" s="1"/>
  <c r="D311" i="18"/>
  <c r="E311" i="18" s="1"/>
  <c r="D955" i="18"/>
  <c r="E955" i="18" s="1"/>
  <c r="D1754" i="18"/>
  <c r="E1754" i="18" s="1"/>
  <c r="D549" i="18"/>
  <c r="E549" i="18" s="1"/>
  <c r="D1050" i="18"/>
  <c r="E1050" i="18" s="1"/>
  <c r="D1584" i="18"/>
  <c r="E1584" i="18" s="1"/>
  <c r="D663" i="18"/>
  <c r="E663" i="18" s="1"/>
  <c r="D1180" i="18"/>
  <c r="E1180" i="18" s="1"/>
  <c r="D1903" i="18"/>
  <c r="E1903" i="18" s="1"/>
  <c r="D1110" i="18"/>
  <c r="E1110" i="18" s="1"/>
  <c r="D1596" i="18"/>
  <c r="E1596" i="18" s="1"/>
  <c r="D816" i="18"/>
  <c r="E816" i="18" s="1"/>
  <c r="D1328" i="18"/>
  <c r="E1328" i="18" s="1"/>
  <c r="D665" i="18"/>
  <c r="E665" i="18" s="1"/>
  <c r="D1163" i="18"/>
  <c r="E1163" i="18" s="1"/>
  <c r="D1603" i="18"/>
  <c r="E1603" i="18" s="1"/>
  <c r="D790" i="18"/>
  <c r="E790" i="18" s="1"/>
  <c r="D1297" i="18"/>
  <c r="E1297" i="18" s="1"/>
  <c r="D1444" i="18"/>
  <c r="E1444" i="18" s="1"/>
  <c r="D1980" i="18"/>
  <c r="E1980" i="18" s="1"/>
  <c r="D1123" i="18"/>
  <c r="E1123" i="18" s="1"/>
  <c r="D1619" i="18"/>
  <c r="E1619" i="18" s="1"/>
  <c r="D1629" i="18"/>
  <c r="E1629" i="18" s="1"/>
  <c r="D1859" i="18"/>
  <c r="E1859" i="18" s="1"/>
  <c r="D1964" i="18"/>
  <c r="E1964" i="18" s="1"/>
  <c r="D1791" i="18"/>
  <c r="E1791" i="18" s="1"/>
  <c r="B201" i="1"/>
  <c r="B60" i="5"/>
  <c r="T258" i="11"/>
  <c r="O258" i="11"/>
  <c r="N258" i="11"/>
  <c r="W258" i="11"/>
  <c r="B8" i="18" l="1"/>
  <c r="B203" i="1" s="1"/>
  <c r="BB268" i="11"/>
  <c r="L76" i="9"/>
  <c r="BB76" i="9"/>
  <c r="M76" i="9"/>
  <c r="Y62" i="9"/>
  <c r="Z62" i="9"/>
  <c r="BD62" i="9" s="1"/>
  <c r="Z64" i="9"/>
  <c r="BD64" i="9" s="1"/>
  <c r="Y64" i="9"/>
  <c r="BS64" i="9" s="1"/>
  <c r="L68" i="9"/>
  <c r="M68" i="9"/>
  <c r="BB68" i="9"/>
  <c r="U268" i="11"/>
  <c r="V268" i="11"/>
  <c r="T260" i="11"/>
  <c r="O260" i="11"/>
  <c r="N260" i="11"/>
  <c r="W260" i="11"/>
  <c r="Z58" i="9"/>
  <c r="BD58" i="9" s="1"/>
  <c r="Y58" i="9"/>
  <c r="Y72" i="9"/>
  <c r="Z72" i="9"/>
  <c r="BD72" i="9" s="1"/>
  <c r="Z7" i="9"/>
  <c r="BD7" i="9" s="1"/>
  <c r="Y7" i="9"/>
  <c r="BS7" i="9" s="1"/>
  <c r="AR270" i="11"/>
  <c r="M254" i="11"/>
  <c r="Z16" i="9"/>
  <c r="BD16" i="9" s="1"/>
  <c r="Y16" i="9"/>
  <c r="U270" i="11"/>
  <c r="V270" i="11"/>
  <c r="T265" i="11"/>
  <c r="O265" i="11"/>
  <c r="N265" i="11"/>
  <c r="W265" i="11"/>
  <c r="BB22" i="9"/>
  <c r="L22" i="9"/>
  <c r="M22" i="9"/>
  <c r="M25" i="9"/>
  <c r="L25" i="9"/>
  <c r="BB25" i="9"/>
  <c r="Z29" i="9"/>
  <c r="BD29" i="9" s="1"/>
  <c r="Y29" i="9"/>
  <c r="L18" i="9"/>
  <c r="M18" i="9"/>
  <c r="BB18" i="9"/>
  <c r="L67" i="9"/>
  <c r="M67" i="9"/>
  <c r="BB67" i="9"/>
  <c r="Y43" i="9"/>
  <c r="Z43" i="9"/>
  <c r="BD43" i="9" s="1"/>
  <c r="B33" i="15"/>
  <c r="B10" i="5" s="1"/>
  <c r="Z5" i="9"/>
  <c r="BD5" i="9" s="1"/>
  <c r="Y5" i="9"/>
  <c r="BS5" i="9" s="1"/>
  <c r="T256" i="11"/>
  <c r="O256" i="11"/>
  <c r="W256" i="11"/>
  <c r="N256" i="11"/>
  <c r="Y30" i="9"/>
  <c r="Z30" i="9"/>
  <c r="BD30" i="9" s="1"/>
  <c r="L20" i="9"/>
  <c r="M20" i="9"/>
  <c r="BB20" i="9"/>
  <c r="M19" i="9"/>
  <c r="BB19" i="9"/>
  <c r="L19" i="9"/>
  <c r="BB26" i="9"/>
  <c r="L26" i="9"/>
  <c r="M26" i="9"/>
  <c r="Z31" i="9"/>
  <c r="BD31" i="9" s="1"/>
  <c r="Y31" i="9"/>
  <c r="B77" i="8"/>
  <c r="B57" i="8"/>
  <c r="R16" i="8"/>
  <c r="H276" i="8" s="1"/>
  <c r="I276" i="8" s="1"/>
  <c r="B114" i="8"/>
  <c r="B6" i="6"/>
  <c r="N5" i="6" s="1"/>
  <c r="B7" i="18"/>
  <c r="Z63" i="9"/>
  <c r="BD63" i="9" s="1"/>
  <c r="Y63" i="9"/>
  <c r="BS63" i="9" s="1"/>
  <c r="T261" i="11"/>
  <c r="N261" i="11"/>
  <c r="O261" i="11"/>
  <c r="BB261" i="11" s="1"/>
  <c r="W261" i="11"/>
  <c r="Y55" i="9"/>
  <c r="Z55" i="9"/>
  <c r="BD55" i="9" s="1"/>
  <c r="Z6" i="9"/>
  <c r="BD6" i="9" s="1"/>
  <c r="Y6" i="9"/>
  <c r="BB66" i="9"/>
  <c r="M66" i="9"/>
  <c r="L66" i="9"/>
  <c r="BB44" i="9"/>
  <c r="L44" i="9"/>
  <c r="M44" i="9"/>
  <c r="Z13" i="9"/>
  <c r="BD13" i="9" s="1"/>
  <c r="Y13" i="9"/>
  <c r="Z9" i="9"/>
  <c r="BD9" i="9" s="1"/>
  <c r="Y9" i="9"/>
  <c r="BS9" i="9" s="1"/>
  <c r="M61" i="9"/>
  <c r="L61" i="9"/>
  <c r="BB61" i="9"/>
  <c r="U266" i="11"/>
  <c r="V266" i="11"/>
  <c r="Z35" i="9"/>
  <c r="BD35" i="9" s="1"/>
  <c r="Y35" i="9"/>
  <c r="BS35" i="9" s="1"/>
  <c r="M40" i="9"/>
  <c r="BB40" i="9"/>
  <c r="L40" i="9"/>
  <c r="Y33" i="9"/>
  <c r="Z33" i="9"/>
  <c r="BD33" i="9" s="1"/>
  <c r="T257" i="11"/>
  <c r="O257" i="11"/>
  <c r="N257" i="11"/>
  <c r="W257" i="11"/>
  <c r="Z11" i="9"/>
  <c r="BD11" i="9" s="1"/>
  <c r="Y11" i="9"/>
  <c r="Z56" i="9"/>
  <c r="BD56" i="9" s="1"/>
  <c r="Y56" i="9"/>
  <c r="M23" i="9"/>
  <c r="BB23" i="9"/>
  <c r="L23" i="9"/>
  <c r="Z10" i="9"/>
  <c r="BD10" i="9" s="1"/>
  <c r="Y10" i="9"/>
  <c r="BS10" i="9" s="1"/>
  <c r="M52" i="9"/>
  <c r="L52" i="9"/>
  <c r="BB52" i="9"/>
  <c r="L57" i="9"/>
  <c r="BB57" i="9"/>
  <c r="M57" i="9"/>
  <c r="BB47" i="9"/>
  <c r="L47" i="9"/>
  <c r="M47" i="9"/>
  <c r="Z17" i="9"/>
  <c r="BD17" i="9" s="1"/>
  <c r="Y17" i="9"/>
  <c r="BS17" i="9" s="1"/>
  <c r="T255" i="11"/>
  <c r="O255" i="11"/>
  <c r="N255" i="11"/>
  <c r="W255" i="11"/>
  <c r="BB266" i="11"/>
  <c r="L48" i="9"/>
  <c r="M48" i="9"/>
  <c r="BB48" i="9"/>
  <c r="Z15" i="9"/>
  <c r="BD15" i="9" s="1"/>
  <c r="Y15" i="9"/>
  <c r="BS15" i="9" s="1"/>
  <c r="Y39" i="9"/>
  <c r="Z39" i="9"/>
  <c r="BD39" i="9" s="1"/>
  <c r="T262" i="11"/>
  <c r="O262" i="11"/>
  <c r="W262" i="11"/>
  <c r="N262" i="11"/>
  <c r="M59" i="9"/>
  <c r="L59" i="9"/>
  <c r="BB59" i="9"/>
  <c r="M37" i="9"/>
  <c r="BB37" i="9"/>
  <c r="L37" i="9"/>
  <c r="BB14" i="9"/>
  <c r="M14" i="9"/>
  <c r="L14" i="9"/>
  <c r="BB34" i="9"/>
  <c r="L34" i="9"/>
  <c r="M34" i="9"/>
  <c r="BB21" i="9"/>
  <c r="M21" i="9"/>
  <c r="L21" i="9"/>
  <c r="BB24" i="9"/>
  <c r="M24" i="9"/>
  <c r="L24" i="9"/>
  <c r="B10" i="18"/>
  <c r="M28" i="9"/>
  <c r="L28" i="9"/>
  <c r="BB28" i="9"/>
  <c r="L8" i="9"/>
  <c r="BB8" i="9"/>
  <c r="M8" i="9"/>
  <c r="Y42" i="9"/>
  <c r="Z42" i="9"/>
  <c r="BD42" i="9" s="1"/>
  <c r="M38" i="9"/>
  <c r="L38" i="9"/>
  <c r="BB38" i="9"/>
  <c r="M53" i="9"/>
  <c r="L53" i="9"/>
  <c r="BB53" i="9"/>
  <c r="M50" i="9"/>
  <c r="L50" i="9"/>
  <c r="BB50" i="9"/>
  <c r="B45" i="6"/>
  <c r="D41" i="6"/>
  <c r="D38" i="6"/>
  <c r="B50" i="5"/>
  <c r="H46" i="5"/>
  <c r="G43" i="5"/>
  <c r="C41" i="5"/>
  <c r="D44" i="6"/>
  <c r="E49" i="5"/>
  <c r="D46" i="5"/>
  <c r="C43" i="5"/>
  <c r="C45" i="6"/>
  <c r="B41" i="6"/>
  <c r="H48" i="5"/>
  <c r="E45" i="5"/>
  <c r="D42" i="5"/>
  <c r="G48" i="5"/>
  <c r="D45" i="5"/>
  <c r="C42" i="5"/>
  <c r="E40" i="6"/>
  <c r="E37" i="6"/>
  <c r="F48" i="5"/>
  <c r="C45" i="5"/>
  <c r="B42" i="5"/>
  <c r="B44" i="6"/>
  <c r="B40" i="6"/>
  <c r="B37" i="6"/>
  <c r="C48" i="5"/>
  <c r="G44" i="5"/>
  <c r="H41" i="5"/>
  <c r="C42" i="6"/>
  <c r="B38" i="6"/>
  <c r="G50" i="5"/>
  <c r="F46" i="5"/>
  <c r="G42" i="5"/>
  <c r="B42" i="6"/>
  <c r="F50" i="5"/>
  <c r="E46" i="5"/>
  <c r="F42" i="5"/>
  <c r="D37" i="6"/>
  <c r="E50" i="5"/>
  <c r="C46" i="5"/>
  <c r="E42" i="5"/>
  <c r="H45" i="5"/>
  <c r="C37" i="6"/>
  <c r="D50" i="5"/>
  <c r="B46" i="5"/>
  <c r="E41" i="6"/>
  <c r="C50" i="5"/>
  <c r="H49" i="5"/>
  <c r="E44" i="5"/>
  <c r="D42" i="6"/>
  <c r="C41" i="6"/>
  <c r="D49" i="5"/>
  <c r="H43" i="5"/>
  <c r="E42" i="6"/>
  <c r="E36" i="6"/>
  <c r="G49" i="5"/>
  <c r="D44" i="5"/>
  <c r="F49" i="5"/>
  <c r="C36" i="6"/>
  <c r="B36" i="6"/>
  <c r="C49" i="5"/>
  <c r="D36" i="6"/>
  <c r="C44" i="5"/>
  <c r="B44" i="5"/>
  <c r="D40" i="6"/>
  <c r="D48" i="5"/>
  <c r="D43" i="5"/>
  <c r="B48" i="5"/>
  <c r="B43" i="5"/>
  <c r="C43" i="6"/>
  <c r="G46" i="5"/>
  <c r="F45" i="5"/>
  <c r="B45" i="5"/>
  <c r="H44" i="5"/>
  <c r="C40" i="6"/>
  <c r="F44" i="5"/>
  <c r="E39" i="6"/>
  <c r="F43" i="5"/>
  <c r="E43" i="6"/>
  <c r="H50" i="5"/>
  <c r="D43" i="6"/>
  <c r="B49" i="5"/>
  <c r="C39" i="6"/>
  <c r="D47" i="5"/>
  <c r="B47" i="5"/>
  <c r="C38" i="6"/>
  <c r="E43" i="5"/>
  <c r="G41" i="5"/>
  <c r="B43" i="6"/>
  <c r="E48" i="5"/>
  <c r="G47" i="5"/>
  <c r="E41" i="5"/>
  <c r="E44" i="6"/>
  <c r="D39" i="6"/>
  <c r="H47" i="5"/>
  <c r="C47" i="5"/>
  <c r="D41" i="5"/>
  <c r="B39" i="6"/>
  <c r="F47" i="5"/>
  <c r="E47" i="5"/>
  <c r="E38" i="6"/>
  <c r="G45" i="5"/>
  <c r="H42" i="5"/>
  <c r="E45" i="6"/>
  <c r="D45" i="6"/>
  <c r="F41" i="5"/>
  <c r="C44" i="6"/>
  <c r="B41" i="5"/>
  <c r="M54" i="9"/>
  <c r="BB54" i="9"/>
  <c r="L54" i="9"/>
  <c r="BB258" i="11"/>
  <c r="M41" i="9"/>
  <c r="L41" i="9"/>
  <c r="BB41" i="9"/>
  <c r="Z65" i="9"/>
  <c r="BD65" i="9" s="1"/>
  <c r="Y65" i="9"/>
  <c r="BS65" i="9" s="1"/>
  <c r="Y32" i="9"/>
  <c r="Z32" i="9"/>
  <c r="BD32" i="9" s="1"/>
  <c r="M49" i="9"/>
  <c r="L49" i="9"/>
  <c r="BB49" i="9"/>
  <c r="M51" i="9"/>
  <c r="L51" i="9"/>
  <c r="BB51" i="9"/>
  <c r="L75" i="9"/>
  <c r="M75" i="9"/>
  <c r="BB75" i="9"/>
  <c r="BB12" i="9"/>
  <c r="M12" i="9"/>
  <c r="L12" i="9"/>
  <c r="T264" i="11"/>
  <c r="W264" i="11"/>
  <c r="O264" i="11"/>
  <c r="N264" i="11"/>
  <c r="T267" i="11"/>
  <c r="N267" i="11"/>
  <c r="W267" i="11"/>
  <c r="O267" i="11"/>
  <c r="BB267" i="11" s="1"/>
  <c r="M27" i="9"/>
  <c r="L27" i="9"/>
  <c r="BB27" i="9"/>
  <c r="L73" i="9"/>
  <c r="M73" i="9"/>
  <c r="BB73" i="9"/>
  <c r="T263" i="11"/>
  <c r="W263" i="11"/>
  <c r="O263" i="11"/>
  <c r="N263" i="11"/>
  <c r="BB46" i="9"/>
  <c r="M46" i="9"/>
  <c r="L46" i="9"/>
  <c r="Z45" i="9"/>
  <c r="BD45" i="9" s="1"/>
  <c r="Y45" i="9"/>
  <c r="BS45" i="9" s="1"/>
  <c r="M74" i="9"/>
  <c r="L74" i="9"/>
  <c r="BB74" i="9"/>
  <c r="Z36" i="9"/>
  <c r="BD36" i="9" s="1"/>
  <c r="Y36" i="9"/>
  <c r="BS36" i="9" s="1"/>
  <c r="T269" i="11"/>
  <c r="W269" i="11"/>
  <c r="N269" i="11"/>
  <c r="O269" i="11"/>
  <c r="BB269" i="11" s="1"/>
  <c r="Z69" i="9"/>
  <c r="BD69" i="9" s="1"/>
  <c r="Y69" i="9"/>
  <c r="V258" i="11"/>
  <c r="U258" i="11"/>
  <c r="L70" i="9"/>
  <c r="M70" i="9"/>
  <c r="BB70" i="9"/>
  <c r="M71" i="9"/>
  <c r="BB71" i="9"/>
  <c r="L71" i="9"/>
  <c r="M60" i="9"/>
  <c r="L60" i="9"/>
  <c r="BB60" i="9"/>
  <c r="V259" i="11"/>
  <c r="U259" i="11"/>
  <c r="B9" i="18" l="1"/>
  <c r="B65" i="5" s="1"/>
  <c r="B64" i="5"/>
  <c r="S5" i="5" s="1"/>
  <c r="BB260" i="11"/>
  <c r="BB262" i="11"/>
  <c r="BS56" i="9"/>
  <c r="BS13" i="9"/>
  <c r="BU13" i="9" s="1"/>
  <c r="BV13" i="9" s="1"/>
  <c r="BS16" i="9"/>
  <c r="BU16" i="9" s="1"/>
  <c r="BV16" i="9" s="1"/>
  <c r="BS30" i="9"/>
  <c r="BS39" i="9"/>
  <c r="BU39" i="9" s="1"/>
  <c r="BV39" i="9" s="1"/>
  <c r="BB256" i="11"/>
  <c r="BS11" i="9"/>
  <c r="BU11" i="9" s="1"/>
  <c r="BV11" i="9" s="1"/>
  <c r="BS6" i="9"/>
  <c r="BY6" i="9" s="1"/>
  <c r="BS29" i="9"/>
  <c r="BU29" i="9" s="1"/>
  <c r="BV29" i="9" s="1"/>
  <c r="BS58" i="9"/>
  <c r="BU58" i="9" s="1"/>
  <c r="BV58" i="9" s="1"/>
  <c r="Z48" i="9"/>
  <c r="BD48" i="9" s="1"/>
  <c r="Y48" i="9"/>
  <c r="BS48" i="9" s="1"/>
  <c r="Z68" i="9"/>
  <c r="BD68" i="9" s="1"/>
  <c r="Y68" i="9"/>
  <c r="BS55" i="9"/>
  <c r="BU56" i="9"/>
  <c r="BV56" i="9" s="1"/>
  <c r="BY56" i="9"/>
  <c r="BU9" i="9"/>
  <c r="BV9" i="9" s="1"/>
  <c r="BY9" i="9"/>
  <c r="Y19" i="9"/>
  <c r="Z19" i="9"/>
  <c r="BD19" i="9" s="1"/>
  <c r="V255" i="11"/>
  <c r="U255" i="11"/>
  <c r="BU7" i="9"/>
  <c r="BV7" i="9" s="1"/>
  <c r="BY7" i="9"/>
  <c r="BU17" i="9"/>
  <c r="BV17" i="9" s="1"/>
  <c r="BY17" i="9"/>
  <c r="BS62" i="9"/>
  <c r="Z46" i="9"/>
  <c r="BD46" i="9" s="1"/>
  <c r="Y46" i="9"/>
  <c r="Y28" i="9"/>
  <c r="Z28" i="9"/>
  <c r="BD28" i="9" s="1"/>
  <c r="Z59" i="9"/>
  <c r="BD59" i="9" s="1"/>
  <c r="Y59" i="9"/>
  <c r="BS59" i="9" s="1"/>
  <c r="Z47" i="9"/>
  <c r="BD47" i="9" s="1"/>
  <c r="Y47" i="9"/>
  <c r="BB257" i="11"/>
  <c r="BS72" i="9"/>
  <c r="Y76" i="9"/>
  <c r="Z76" i="9"/>
  <c r="BD76" i="9" s="1"/>
  <c r="Z40" i="9"/>
  <c r="BD40" i="9" s="1"/>
  <c r="Y40" i="9"/>
  <c r="Z34" i="9"/>
  <c r="BD34" i="9" s="1"/>
  <c r="Y34" i="9"/>
  <c r="BU15" i="9"/>
  <c r="BV15" i="9" s="1"/>
  <c r="BY15" i="9"/>
  <c r="BU35" i="9"/>
  <c r="BV35" i="9" s="1"/>
  <c r="BY35" i="9"/>
  <c r="BU36" i="9"/>
  <c r="BV36" i="9" s="1"/>
  <c r="BY36" i="9"/>
  <c r="Z14" i="9"/>
  <c r="BD14" i="9" s="1"/>
  <c r="Y14" i="9"/>
  <c r="BS14" i="9" s="1"/>
  <c r="Y23" i="9"/>
  <c r="Z23" i="9"/>
  <c r="BD23" i="9" s="1"/>
  <c r="BS42" i="9"/>
  <c r="Z74" i="9"/>
  <c r="BD74" i="9" s="1"/>
  <c r="Y74" i="9"/>
  <c r="BS74" i="9" s="1"/>
  <c r="Y60" i="9"/>
  <c r="Z60" i="9"/>
  <c r="BD60" i="9" s="1"/>
  <c r="Y37" i="9"/>
  <c r="Z37" i="9"/>
  <c r="BD37" i="9" s="1"/>
  <c r="BU63" i="9"/>
  <c r="BV63" i="9" s="1"/>
  <c r="BY63" i="9"/>
  <c r="U264" i="11"/>
  <c r="V264" i="11"/>
  <c r="B11" i="18"/>
  <c r="B67" i="5" s="1"/>
  <c r="B66" i="5"/>
  <c r="V257" i="11"/>
  <c r="U257" i="11"/>
  <c r="Y44" i="9"/>
  <c r="Z44" i="9"/>
  <c r="BD44" i="9" s="1"/>
  <c r="Z53" i="9"/>
  <c r="BD53" i="9" s="1"/>
  <c r="Y53" i="9"/>
  <c r="BB265" i="11"/>
  <c r="BU10" i="9"/>
  <c r="BV10" i="9" s="1"/>
  <c r="BY10" i="9"/>
  <c r="BS43" i="9"/>
  <c r="BS32" i="9"/>
  <c r="Y20" i="9"/>
  <c r="Z20" i="9"/>
  <c r="BD20" i="9" s="1"/>
  <c r="Y70" i="9"/>
  <c r="Z70" i="9"/>
  <c r="BD70" i="9" s="1"/>
  <c r="BU30" i="9"/>
  <c r="BV30" i="9" s="1"/>
  <c r="BY30" i="9"/>
  <c r="Y25" i="9"/>
  <c r="Z25" i="9"/>
  <c r="BD25" i="9" s="1"/>
  <c r="V260" i="11"/>
  <c r="U260" i="11"/>
  <c r="Z73" i="9"/>
  <c r="BD73" i="9" s="1"/>
  <c r="Y73" i="9"/>
  <c r="BU65" i="9"/>
  <c r="BV65" i="9" s="1"/>
  <c r="BY65" i="9"/>
  <c r="BU64" i="9"/>
  <c r="BV64" i="9" s="1"/>
  <c r="BY64" i="9"/>
  <c r="Y8" i="9"/>
  <c r="Z8" i="9"/>
  <c r="BD8" i="9" s="1"/>
  <c r="BB255" i="11"/>
  <c r="Z54" i="9"/>
  <c r="BD54" i="9" s="1"/>
  <c r="Y54" i="9"/>
  <c r="BS54" i="9" s="1"/>
  <c r="BB263" i="11"/>
  <c r="Y24" i="9"/>
  <c r="Z24" i="9"/>
  <c r="BD24" i="9" s="1"/>
  <c r="Z57" i="9"/>
  <c r="BD57" i="9" s="1"/>
  <c r="Y57" i="9"/>
  <c r="Y38" i="9"/>
  <c r="Z38" i="9"/>
  <c r="BD38" i="9" s="1"/>
  <c r="Z61" i="9"/>
  <c r="BD61" i="9" s="1"/>
  <c r="Y61" i="9"/>
  <c r="V267" i="11"/>
  <c r="U267" i="11"/>
  <c r="Y41" i="9"/>
  <c r="Z41" i="9"/>
  <c r="BD41" i="9" s="1"/>
  <c r="Y12" i="9"/>
  <c r="Z12" i="9"/>
  <c r="BD12" i="9" s="1"/>
  <c r="Y75" i="9"/>
  <c r="Z75" i="9"/>
  <c r="BD75" i="9" s="1"/>
  <c r="Z50" i="9"/>
  <c r="BD50" i="9" s="1"/>
  <c r="Y50" i="9"/>
  <c r="BS50" i="9" s="1"/>
  <c r="U262" i="11"/>
  <c r="V262" i="11"/>
  <c r="BS33" i="9"/>
  <c r="Z22" i="9"/>
  <c r="BD22" i="9" s="1"/>
  <c r="Y22" i="9"/>
  <c r="BS22" i="9" s="1"/>
  <c r="Z66" i="9"/>
  <c r="BD66" i="9" s="1"/>
  <c r="Y66" i="9"/>
  <c r="BU5" i="9"/>
  <c r="BV5" i="9" s="1"/>
  <c r="BY5" i="9"/>
  <c r="Y49" i="9"/>
  <c r="Z49" i="9"/>
  <c r="BD49" i="9" s="1"/>
  <c r="V269" i="11"/>
  <c r="U269" i="11"/>
  <c r="Z18" i="9"/>
  <c r="BD18" i="9" s="1"/>
  <c r="Y18" i="9"/>
  <c r="Z71" i="9"/>
  <c r="BD71" i="9" s="1"/>
  <c r="Y71" i="9"/>
  <c r="U263" i="11"/>
  <c r="V263" i="11"/>
  <c r="Y51" i="9"/>
  <c r="Z51" i="9"/>
  <c r="BD51" i="9" s="1"/>
  <c r="Y52" i="9"/>
  <c r="Z52" i="9"/>
  <c r="BD52" i="9" s="1"/>
  <c r="Z26" i="9"/>
  <c r="BD26" i="9" s="1"/>
  <c r="Y26" i="9"/>
  <c r="BS26" i="9" s="1"/>
  <c r="U265" i="11"/>
  <c r="V265" i="11"/>
  <c r="Y27" i="9"/>
  <c r="Z27" i="9"/>
  <c r="BD27" i="9" s="1"/>
  <c r="Z67" i="9"/>
  <c r="BD67" i="9" s="1"/>
  <c r="Y67" i="9"/>
  <c r="BS67" i="9" s="1"/>
  <c r="AS270" i="11"/>
  <c r="T254" i="11"/>
  <c r="X255" i="11" s="1"/>
  <c r="W254" i="11"/>
  <c r="O254" i="11"/>
  <c r="N254" i="11"/>
  <c r="BU45" i="9"/>
  <c r="BV45" i="9" s="1"/>
  <c r="BY45" i="9"/>
  <c r="BB264" i="11"/>
  <c r="V261" i="11"/>
  <c r="U261" i="11"/>
  <c r="BS69" i="9"/>
  <c r="Y21" i="9"/>
  <c r="Z21" i="9"/>
  <c r="BD21" i="9" s="1"/>
  <c r="BS31" i="9"/>
  <c r="U256" i="11"/>
  <c r="V256" i="11"/>
  <c r="BU6" i="9" l="1"/>
  <c r="BV6" i="9" s="1"/>
  <c r="BB254" i="11"/>
  <c r="B281" i="11" s="1"/>
  <c r="B204" i="1"/>
  <c r="BY11" i="9"/>
  <c r="BY29" i="9"/>
  <c r="BS18" i="9"/>
  <c r="BS61" i="9"/>
  <c r="BY16" i="9"/>
  <c r="BY39" i="9"/>
  <c r="BS57" i="9"/>
  <c r="BY57" i="9" s="1"/>
  <c r="BS40" i="9"/>
  <c r="BU40" i="9" s="1"/>
  <c r="BV40" i="9" s="1"/>
  <c r="X267" i="11"/>
  <c r="BS44" i="9"/>
  <c r="X260" i="11"/>
  <c r="BY13" i="9"/>
  <c r="X261" i="11"/>
  <c r="BY58" i="9"/>
  <c r="BS34" i="9"/>
  <c r="BY34" i="9" s="1"/>
  <c r="X265" i="11"/>
  <c r="BS21" i="9"/>
  <c r="BY21" i="9" s="1"/>
  <c r="X257" i="11"/>
  <c r="X262" i="11"/>
  <c r="X264" i="11"/>
  <c r="X263" i="11"/>
  <c r="BS71" i="9"/>
  <c r="BU71" i="9" s="1"/>
  <c r="BV71" i="9" s="1"/>
  <c r="BS51" i="9"/>
  <c r="AC17" i="9"/>
  <c r="AC63" i="9"/>
  <c r="BS70" i="9"/>
  <c r="BS76" i="9"/>
  <c r="B278" i="11"/>
  <c r="B277" i="11"/>
  <c r="AU270" i="11"/>
  <c r="BU18" i="9"/>
  <c r="BV18" i="9" s="1"/>
  <c r="BY18" i="9"/>
  <c r="BS12" i="9"/>
  <c r="BS8" i="9"/>
  <c r="BS37" i="9"/>
  <c r="BU72" i="9"/>
  <c r="BV72" i="9" s="1"/>
  <c r="BY72" i="9"/>
  <c r="BS20" i="9"/>
  <c r="BS19" i="9"/>
  <c r="X254" i="11"/>
  <c r="U254" i="11"/>
  <c r="V254" i="11"/>
  <c r="X258" i="11"/>
  <c r="X259" i="11"/>
  <c r="X266" i="11"/>
  <c r="X270" i="11"/>
  <c r="X268" i="11"/>
  <c r="X269" i="11"/>
  <c r="BS41" i="9"/>
  <c r="AC64" i="9"/>
  <c r="BU32" i="9"/>
  <c r="BV32" i="9" s="1"/>
  <c r="BY32" i="9"/>
  <c r="BS60" i="9"/>
  <c r="BS47" i="9"/>
  <c r="BU26" i="9"/>
  <c r="BV26" i="9" s="1"/>
  <c r="BY26" i="9"/>
  <c r="AC35" i="9"/>
  <c r="BU69" i="9"/>
  <c r="BV69" i="9" s="1"/>
  <c r="BY69" i="9"/>
  <c r="AC36" i="9"/>
  <c r="AC29" i="9"/>
  <c r="BU57" i="9"/>
  <c r="BV57" i="9" s="1"/>
  <c r="AC13" i="9"/>
  <c r="AC58" i="9"/>
  <c r="AC15" i="9"/>
  <c r="BU50" i="9"/>
  <c r="BV50" i="9" s="1"/>
  <c r="BY50" i="9"/>
  <c r="BU54" i="9"/>
  <c r="BV54" i="9" s="1"/>
  <c r="BY54" i="9"/>
  <c r="AC45" i="9"/>
  <c r="B276" i="11"/>
  <c r="AT270" i="11"/>
  <c r="BU43" i="9"/>
  <c r="BV43" i="9" s="1"/>
  <c r="BY43" i="9"/>
  <c r="AC9" i="9"/>
  <c r="BU67" i="9"/>
  <c r="BV67" i="9" s="1"/>
  <c r="BY67" i="9"/>
  <c r="BU42" i="9"/>
  <c r="BV42" i="9" s="1"/>
  <c r="BY42" i="9"/>
  <c r="AC56" i="9"/>
  <c r="BS49" i="9"/>
  <c r="BU61" i="9"/>
  <c r="BV61" i="9" s="1"/>
  <c r="BY61" i="9"/>
  <c r="AC6" i="9"/>
  <c r="BU55" i="9"/>
  <c r="BV55" i="9" s="1"/>
  <c r="BY55" i="9"/>
  <c r="X256" i="11"/>
  <c r="BS27" i="9"/>
  <c r="BS73" i="9"/>
  <c r="BS53" i="9"/>
  <c r="BS23" i="9"/>
  <c r="BS28" i="9"/>
  <c r="BS68" i="9"/>
  <c r="BU33" i="9"/>
  <c r="BV33" i="9" s="1"/>
  <c r="BY33" i="9"/>
  <c r="BS52" i="9"/>
  <c r="BS24" i="9"/>
  <c r="AC11" i="9"/>
  <c r="BU59" i="9"/>
  <c r="BV59" i="9" s="1"/>
  <c r="BY59" i="9"/>
  <c r="AC10" i="9"/>
  <c r="AC5" i="9"/>
  <c r="BU14" i="9"/>
  <c r="BV14" i="9" s="1"/>
  <c r="BY14" i="9"/>
  <c r="BS46" i="9"/>
  <c r="BU22" i="9"/>
  <c r="BV22" i="9" s="1"/>
  <c r="BY22" i="9"/>
  <c r="BS38" i="9"/>
  <c r="AC30" i="9"/>
  <c r="BS75" i="9"/>
  <c r="BU74" i="9"/>
  <c r="BV74" i="9" s="1"/>
  <c r="BY74" i="9"/>
  <c r="AC65" i="9"/>
  <c r="BU31" i="9"/>
  <c r="BV31" i="9" s="1"/>
  <c r="BY31" i="9"/>
  <c r="BS66" i="9"/>
  <c r="AC16" i="9"/>
  <c r="BU48" i="9"/>
  <c r="BV48" i="9" s="1"/>
  <c r="BY48" i="9"/>
  <c r="AC39" i="9"/>
  <c r="BS25" i="9"/>
  <c r="AC7" i="9"/>
  <c r="BU44" i="9"/>
  <c r="BV44" i="9" s="1"/>
  <c r="BY44" i="9"/>
  <c r="BU62" i="9"/>
  <c r="BV62" i="9" s="1"/>
  <c r="BY62" i="9"/>
  <c r="BU21" i="9" l="1"/>
  <c r="BV21" i="9" s="1"/>
  <c r="BU34" i="9"/>
  <c r="BV34" i="9" s="1"/>
  <c r="BY40" i="9"/>
  <c r="BY71" i="9"/>
  <c r="AC21" i="9"/>
  <c r="AC69" i="9"/>
  <c r="BU46" i="9"/>
  <c r="BV46" i="9" s="1"/>
  <c r="BY46" i="9"/>
  <c r="AV517" i="10"/>
  <c r="AV518" i="10"/>
  <c r="AV516" i="10"/>
  <c r="AV515" i="10"/>
  <c r="AV514" i="10"/>
  <c r="AT7" i="9"/>
  <c r="AV692" i="10"/>
  <c r="AV693" i="10"/>
  <c r="AV691" i="10"/>
  <c r="AV689" i="10"/>
  <c r="AV690" i="10"/>
  <c r="AV694" i="10"/>
  <c r="AT35" i="9"/>
  <c r="AC14" i="9"/>
  <c r="BU37" i="9"/>
  <c r="BV37" i="9" s="1"/>
  <c r="BY37" i="9"/>
  <c r="AV511" i="10"/>
  <c r="AV512" i="10"/>
  <c r="AV510" i="10"/>
  <c r="AV507" i="10"/>
  <c r="AV509" i="10"/>
  <c r="AV508" i="10"/>
  <c r="AV513" i="10"/>
  <c r="AT6" i="9"/>
  <c r="AC59" i="9"/>
  <c r="AV825" i="10"/>
  <c r="AV827" i="10"/>
  <c r="AV826" i="10"/>
  <c r="AT58" i="9"/>
  <c r="BU41" i="9"/>
  <c r="BV41" i="9" s="1"/>
  <c r="BY41" i="9"/>
  <c r="BU76" i="9"/>
  <c r="BV76" i="9" s="1"/>
  <c r="BY76" i="9"/>
  <c r="AC31" i="9"/>
  <c r="AV541" i="10"/>
  <c r="AV539" i="10"/>
  <c r="AV540" i="10"/>
  <c r="AV538" i="10"/>
  <c r="AV537" i="10"/>
  <c r="AT11" i="9"/>
  <c r="AC42" i="9"/>
  <c r="BU70" i="9"/>
  <c r="BV70" i="9" s="1"/>
  <c r="BY70" i="9"/>
  <c r="BU20" i="9"/>
  <c r="BV20" i="9" s="1"/>
  <c r="BY20" i="9"/>
  <c r="BU25" i="9"/>
  <c r="BV25" i="9" s="1"/>
  <c r="BY25" i="9"/>
  <c r="BU8" i="9"/>
  <c r="BV8" i="9" s="1"/>
  <c r="BY8" i="9"/>
  <c r="AV506" i="10"/>
  <c r="AV500" i="10"/>
  <c r="AV501" i="10"/>
  <c r="AV503" i="10"/>
  <c r="AV505" i="10"/>
  <c r="AV502" i="10"/>
  <c r="AV504" i="10"/>
  <c r="AT5" i="9"/>
  <c r="BU60" i="9"/>
  <c r="BV60" i="9" s="1"/>
  <c r="BY60" i="9"/>
  <c r="AC61" i="9"/>
  <c r="AC18" i="9"/>
  <c r="V105" i="12" s="1"/>
  <c r="AV534" i="10"/>
  <c r="AV531" i="10"/>
  <c r="AV535" i="10"/>
  <c r="AV536" i="10"/>
  <c r="AV533" i="10"/>
  <c r="AV532" i="10"/>
  <c r="AT10" i="9"/>
  <c r="AC32" i="9"/>
  <c r="AV816" i="10"/>
  <c r="AV818" i="10"/>
  <c r="AV819" i="10"/>
  <c r="AV817" i="10"/>
  <c r="AV815" i="10"/>
  <c r="AT56" i="9"/>
  <c r="AV853" i="10"/>
  <c r="AV855" i="10"/>
  <c r="AV857" i="10"/>
  <c r="AV854" i="10"/>
  <c r="AV858" i="10"/>
  <c r="AV856" i="10"/>
  <c r="AT64" i="9"/>
  <c r="BU66" i="9"/>
  <c r="BV66" i="9" s="1"/>
  <c r="BY66" i="9"/>
  <c r="AV572" i="10"/>
  <c r="AV592" i="10"/>
  <c r="AV568" i="10"/>
  <c r="AV571" i="10"/>
  <c r="AV567" i="10"/>
  <c r="AV570" i="10"/>
  <c r="AV569" i="10"/>
  <c r="AT15" i="9"/>
  <c r="AV860" i="10"/>
  <c r="AV862" i="10"/>
  <c r="AV859" i="10"/>
  <c r="AV861" i="10"/>
  <c r="AT65" i="9"/>
  <c r="BU24" i="9"/>
  <c r="BV24" i="9" s="1"/>
  <c r="BY24" i="9"/>
  <c r="AV554" i="10"/>
  <c r="AV564" i="10"/>
  <c r="AV553" i="10"/>
  <c r="AV551" i="10"/>
  <c r="AV552" i="10"/>
  <c r="AV557" i="10"/>
  <c r="AV556" i="10"/>
  <c r="AV555" i="10"/>
  <c r="AV566" i="10"/>
  <c r="AT13" i="9"/>
  <c r="AV848" i="10"/>
  <c r="AV851" i="10"/>
  <c r="AV850" i="10"/>
  <c r="AV849" i="10"/>
  <c r="AV852" i="10"/>
  <c r="AV847" i="10"/>
  <c r="AT63" i="9"/>
  <c r="V110" i="12"/>
  <c r="AV525" i="10"/>
  <c r="AV526" i="10"/>
  <c r="AV530" i="10"/>
  <c r="AV528" i="10"/>
  <c r="AV527" i="10"/>
  <c r="AV529" i="10"/>
  <c r="AT9" i="9"/>
  <c r="BU19" i="9"/>
  <c r="BV19" i="9" s="1"/>
  <c r="BY19" i="9"/>
  <c r="AC71" i="9"/>
  <c r="AV754" i="10"/>
  <c r="AV755" i="10"/>
  <c r="AV753" i="10"/>
  <c r="AV752" i="10"/>
  <c r="AT45" i="9"/>
  <c r="AC26" i="9"/>
  <c r="AV714" i="10"/>
  <c r="AV718" i="10"/>
  <c r="AV719" i="10"/>
  <c r="AV716" i="10"/>
  <c r="AV715" i="10"/>
  <c r="AV717" i="10"/>
  <c r="AT39" i="9"/>
  <c r="BU47" i="9"/>
  <c r="BV47" i="9" s="1"/>
  <c r="BY47" i="9"/>
  <c r="AC50" i="9"/>
  <c r="AC48" i="9"/>
  <c r="BU49" i="9"/>
  <c r="BV49" i="9" s="1"/>
  <c r="BY49" i="9"/>
  <c r="AC34" i="9"/>
  <c r="AV578" i="10"/>
  <c r="AV576" i="10"/>
  <c r="AV573" i="10"/>
  <c r="AV577" i="10"/>
  <c r="AV574" i="10"/>
  <c r="AV575" i="10"/>
  <c r="AT16" i="9"/>
  <c r="BU52" i="9"/>
  <c r="BV52" i="9" s="1"/>
  <c r="BY52" i="9"/>
  <c r="AC67" i="9"/>
  <c r="AC74" i="9"/>
  <c r="AC33" i="9"/>
  <c r="AC57" i="9"/>
  <c r="BU75" i="9"/>
  <c r="BV75" i="9" s="1"/>
  <c r="BY75" i="9"/>
  <c r="BU68" i="9"/>
  <c r="BV68" i="9" s="1"/>
  <c r="BY68" i="9"/>
  <c r="AV652" i="10"/>
  <c r="AV657" i="10"/>
  <c r="AV654" i="10"/>
  <c r="AV655" i="10"/>
  <c r="AV653" i="10"/>
  <c r="AV656" i="10"/>
  <c r="AT29" i="9"/>
  <c r="AC40" i="9"/>
  <c r="BU73" i="9"/>
  <c r="BV73" i="9" s="1"/>
  <c r="BY73" i="9"/>
  <c r="BU27" i="9"/>
  <c r="BV27" i="9" s="1"/>
  <c r="BY27" i="9"/>
  <c r="AC55" i="9"/>
  <c r="BU12" i="9"/>
  <c r="BV12" i="9" s="1"/>
  <c r="BY12" i="9"/>
  <c r="AC62" i="9"/>
  <c r="AC43" i="9"/>
  <c r="BU23" i="9"/>
  <c r="BV23" i="9" s="1"/>
  <c r="BY23" i="9"/>
  <c r="B280" i="11"/>
  <c r="B279" i="11"/>
  <c r="AV583" i="10"/>
  <c r="AV585" i="10"/>
  <c r="AV582" i="10"/>
  <c r="AV579" i="10"/>
  <c r="AV584" i="10"/>
  <c r="AV591" i="10"/>
  <c r="AV580" i="10"/>
  <c r="AV581" i="10"/>
  <c r="AT17" i="9"/>
  <c r="AC22" i="9"/>
  <c r="AC72" i="9"/>
  <c r="AC54" i="9"/>
  <c r="BU28" i="9"/>
  <c r="BV28" i="9" s="1"/>
  <c r="BY28" i="9"/>
  <c r="AV659" i="10"/>
  <c r="AV658" i="10"/>
  <c r="AV660" i="10"/>
  <c r="AV662" i="10"/>
  <c r="AV661" i="10"/>
  <c r="AT30" i="9"/>
  <c r="AC44" i="9"/>
  <c r="BU38" i="9"/>
  <c r="BV38" i="9" s="1"/>
  <c r="BY38" i="9"/>
  <c r="BU53" i="9"/>
  <c r="BV53" i="9" s="1"/>
  <c r="BY53" i="9"/>
  <c r="AV696" i="10"/>
  <c r="AV698" i="10"/>
  <c r="AV699" i="10"/>
  <c r="AV695" i="10"/>
  <c r="AV697" i="10"/>
  <c r="AV700" i="10"/>
  <c r="AT36" i="9"/>
  <c r="BU51" i="9"/>
  <c r="BV51" i="9" s="1"/>
  <c r="BY51" i="9"/>
  <c r="BW26" i="9" l="1"/>
  <c r="AD26" i="9"/>
  <c r="BX26" i="9"/>
  <c r="AE26" i="9" s="1"/>
  <c r="BW31" i="9"/>
  <c r="AC8" i="9"/>
  <c r="BW8" i="9"/>
  <c r="BW29" i="9"/>
  <c r="BW7" i="9"/>
  <c r="BW36" i="9"/>
  <c r="BW17" i="9"/>
  <c r="BW30" i="9"/>
  <c r="BW5" i="9"/>
  <c r="BW9" i="9"/>
  <c r="BW63" i="9"/>
  <c r="BW10" i="9"/>
  <c r="BW6" i="9"/>
  <c r="BW39" i="9"/>
  <c r="BW13" i="9"/>
  <c r="BW65" i="9"/>
  <c r="BW15" i="9"/>
  <c r="BW58" i="9"/>
  <c r="BW11" i="9"/>
  <c r="BW64" i="9"/>
  <c r="BW56" i="9"/>
  <c r="BW16" i="9"/>
  <c r="B60" i="8"/>
  <c r="BW35" i="9"/>
  <c r="BW45" i="9"/>
  <c r="BW25" i="9"/>
  <c r="AC25" i="9"/>
  <c r="AV829" i="10"/>
  <c r="AV831" i="10"/>
  <c r="AV828" i="10"/>
  <c r="AV830" i="10"/>
  <c r="AT59" i="9"/>
  <c r="AV845" i="10"/>
  <c r="AV844" i="10"/>
  <c r="AV843" i="10"/>
  <c r="AV846" i="10"/>
  <c r="V104" i="12"/>
  <c r="AV841" i="10"/>
  <c r="AV842" i="10"/>
  <c r="AT62" i="9"/>
  <c r="BW53" i="9"/>
  <c r="AC53" i="9"/>
  <c r="AV663" i="10"/>
  <c r="AV667" i="10"/>
  <c r="AV666" i="10"/>
  <c r="AV664" i="10"/>
  <c r="AV665" i="10"/>
  <c r="AT31" i="9"/>
  <c r="BW14" i="9"/>
  <c r="AV751" i="10"/>
  <c r="AV748" i="10"/>
  <c r="AV749" i="10"/>
  <c r="AV750" i="10"/>
  <c r="AT44" i="9"/>
  <c r="V106" i="12"/>
  <c r="AV674" i="10"/>
  <c r="AV676" i="10"/>
  <c r="AV671" i="10"/>
  <c r="AV672" i="10"/>
  <c r="AV673" i="10"/>
  <c r="AV675" i="10"/>
  <c r="AT32" i="9"/>
  <c r="BW41" i="9"/>
  <c r="AC41" i="9"/>
  <c r="AV685" i="10"/>
  <c r="AV688" i="10"/>
  <c r="AV684" i="10"/>
  <c r="AV687" i="10"/>
  <c r="AV683" i="10"/>
  <c r="AV686" i="10"/>
  <c r="AT34" i="9"/>
  <c r="AC23" i="9"/>
  <c r="BW23" i="9"/>
  <c r="AC20" i="9"/>
  <c r="BW20" i="9"/>
  <c r="BW66" i="9"/>
  <c r="AC66" i="9"/>
  <c r="AV588" i="10"/>
  <c r="AV589" i="10"/>
  <c r="AV590" i="10"/>
  <c r="AV587" i="10"/>
  <c r="AV586" i="10"/>
  <c r="AT18" i="9"/>
  <c r="BW70" i="9"/>
  <c r="AC70" i="9"/>
  <c r="AV897" i="10"/>
  <c r="AV896" i="10"/>
  <c r="AT72" i="9"/>
  <c r="AC12" i="9"/>
  <c r="BW12" i="9"/>
  <c r="AV681" i="10"/>
  <c r="AV682" i="10"/>
  <c r="AV679" i="10"/>
  <c r="AV677" i="10"/>
  <c r="AV678" i="10"/>
  <c r="AV680" i="10"/>
  <c r="AT33" i="9"/>
  <c r="BW50" i="9"/>
  <c r="BW18" i="9"/>
  <c r="BW42" i="9"/>
  <c r="BW72" i="9"/>
  <c r="AV814" i="10"/>
  <c r="AV813" i="10"/>
  <c r="AV812" i="10"/>
  <c r="AV809" i="10"/>
  <c r="AV810" i="10"/>
  <c r="AV811" i="10"/>
  <c r="AT55" i="9"/>
  <c r="BW33" i="9"/>
  <c r="BW61" i="9"/>
  <c r="AV736" i="10"/>
  <c r="AV740" i="10"/>
  <c r="AV741" i="10"/>
  <c r="AV739" i="10"/>
  <c r="AV737" i="10"/>
  <c r="AV738" i="10"/>
  <c r="AT42" i="9"/>
  <c r="AC76" i="9"/>
  <c r="BW76" i="9"/>
  <c r="AC49" i="9"/>
  <c r="BW49" i="9"/>
  <c r="AV894" i="10"/>
  <c r="AV895" i="10"/>
  <c r="AT71" i="9"/>
  <c r="BW40" i="9"/>
  <c r="AC52" i="9"/>
  <c r="BW52" i="9"/>
  <c r="AC37" i="9"/>
  <c r="V107" i="12" s="1"/>
  <c r="BW37" i="9"/>
  <c r="AV559" i="10"/>
  <c r="AV563" i="10"/>
  <c r="AV561" i="10"/>
  <c r="AV560" i="10"/>
  <c r="AV558" i="10"/>
  <c r="AV562" i="10"/>
  <c r="AT14" i="9"/>
  <c r="AC38" i="9"/>
  <c r="BW38" i="9"/>
  <c r="BW44" i="9"/>
  <c r="AV747" i="10"/>
  <c r="AV742" i="10"/>
  <c r="AV744" i="10"/>
  <c r="AV743" i="10"/>
  <c r="AV745" i="10"/>
  <c r="AV746" i="10"/>
  <c r="AT43" i="9"/>
  <c r="BW68" i="9"/>
  <c r="AC68" i="9"/>
  <c r="BW43" i="9"/>
  <c r="AC28" i="9"/>
  <c r="BW28" i="9"/>
  <c r="BW75" i="9"/>
  <c r="AC75" i="9"/>
  <c r="BW48" i="9"/>
  <c r="BW71" i="9"/>
  <c r="AC51" i="9"/>
  <c r="BW51" i="9"/>
  <c r="AV803" i="10"/>
  <c r="AV805" i="10"/>
  <c r="AV808" i="10"/>
  <c r="AV804" i="10"/>
  <c r="AV807" i="10"/>
  <c r="AV806" i="10"/>
  <c r="AT54" i="9"/>
  <c r="BW62" i="9"/>
  <c r="AV823" i="10"/>
  <c r="AV822" i="10"/>
  <c r="AV824" i="10"/>
  <c r="AV821" i="10"/>
  <c r="AV820" i="10"/>
  <c r="AT57" i="9"/>
  <c r="AV770" i="10"/>
  <c r="AV768" i="10"/>
  <c r="AV769" i="10"/>
  <c r="AV767" i="10"/>
  <c r="AT48" i="9"/>
  <c r="BW54" i="9"/>
  <c r="BW57" i="9"/>
  <c r="AV781" i="10"/>
  <c r="AV783" i="10"/>
  <c r="AV786" i="10"/>
  <c r="AV782" i="10"/>
  <c r="AV785" i="10"/>
  <c r="AV784" i="10"/>
  <c r="AT50" i="9"/>
  <c r="AC19" i="9"/>
  <c r="BW19" i="9"/>
  <c r="AV614" i="10"/>
  <c r="AV618" i="10"/>
  <c r="AV613" i="10"/>
  <c r="AV612" i="10"/>
  <c r="AV611" i="10"/>
  <c r="AV615" i="10"/>
  <c r="AT22" i="9"/>
  <c r="BW55" i="9"/>
  <c r="BW74" i="9"/>
  <c r="BW47" i="9"/>
  <c r="AC47" i="9"/>
  <c r="AV836" i="10"/>
  <c r="AV838" i="10"/>
  <c r="AV840" i="10"/>
  <c r="AV835" i="10"/>
  <c r="AV837" i="10"/>
  <c r="AV839" i="10"/>
  <c r="AT61" i="9"/>
  <c r="AC46" i="9"/>
  <c r="BW46" i="9"/>
  <c r="BW22" i="9"/>
  <c r="AV908" i="10"/>
  <c r="AV910" i="10"/>
  <c r="AV907" i="10"/>
  <c r="AV909" i="10"/>
  <c r="AV906" i="10"/>
  <c r="AT74" i="9"/>
  <c r="AV886" i="10"/>
  <c r="AV883" i="10"/>
  <c r="AV880" i="10"/>
  <c r="AV887" i="10"/>
  <c r="AV885" i="10"/>
  <c r="AV884" i="10"/>
  <c r="AV882" i="10"/>
  <c r="AV881" i="10"/>
  <c r="AT69" i="9"/>
  <c r="V108" i="12"/>
  <c r="AV725" i="10"/>
  <c r="AV729" i="10"/>
  <c r="AV724" i="10"/>
  <c r="AV726" i="10"/>
  <c r="AV728" i="10"/>
  <c r="AV727" i="10"/>
  <c r="AT40" i="9"/>
  <c r="BW32" i="9"/>
  <c r="BW34" i="9"/>
  <c r="BW59" i="9"/>
  <c r="AC27" i="9"/>
  <c r="BW27" i="9"/>
  <c r="BW67" i="9"/>
  <c r="BW24" i="9"/>
  <c r="AC24" i="9"/>
  <c r="BW60" i="9"/>
  <c r="AC60" i="9"/>
  <c r="BW69" i="9"/>
  <c r="AV637" i="10"/>
  <c r="AV638" i="10"/>
  <c r="AT26" i="9"/>
  <c r="AV899" i="10"/>
  <c r="AV872" i="10"/>
  <c r="AV871" i="10"/>
  <c r="AV873" i="10"/>
  <c r="AV869" i="10"/>
  <c r="AV868" i="10"/>
  <c r="AV898" i="10"/>
  <c r="AV870" i="10"/>
  <c r="AT67" i="9"/>
  <c r="AV609" i="10"/>
  <c r="AV605" i="10"/>
  <c r="AV607" i="10"/>
  <c r="AV606" i="10"/>
  <c r="AV610" i="10"/>
  <c r="AV608" i="10"/>
  <c r="AT21" i="9"/>
  <c r="AC73" i="9"/>
  <c r="BW73" i="9"/>
  <c r="BW21" i="9"/>
  <c r="V103" i="12" l="1"/>
  <c r="BX53" i="9"/>
  <c r="AE53" i="9" s="1"/>
  <c r="AD53" i="9"/>
  <c r="AV834" i="10"/>
  <c r="AV832" i="10"/>
  <c r="AV833" i="10"/>
  <c r="AT60" i="9"/>
  <c r="BX60" i="9"/>
  <c r="AE60" i="9" s="1"/>
  <c r="AD60" i="9"/>
  <c r="BX57" i="9"/>
  <c r="AE57" i="9" s="1"/>
  <c r="AD57" i="9"/>
  <c r="AD44" i="9"/>
  <c r="BX44" i="9"/>
  <c r="AE44" i="9" s="1"/>
  <c r="BX18" i="9"/>
  <c r="AE18" i="9" s="1"/>
  <c r="AD18" i="9"/>
  <c r="AD13" i="9"/>
  <c r="BX13" i="9"/>
  <c r="AE13" i="9" s="1"/>
  <c r="BX48" i="9"/>
  <c r="AE48" i="9" s="1"/>
  <c r="AD48" i="9"/>
  <c r="AD9" i="9"/>
  <c r="BX9" i="9"/>
  <c r="AE9" i="9" s="1"/>
  <c r="BX28" i="9"/>
  <c r="AE28" i="9" s="1"/>
  <c r="AD28" i="9"/>
  <c r="BX23" i="9"/>
  <c r="AE23" i="9" s="1"/>
  <c r="AD23" i="9"/>
  <c r="B165" i="8"/>
  <c r="B171" i="8"/>
  <c r="B166" i="8"/>
  <c r="B178" i="8"/>
  <c r="B174" i="8"/>
  <c r="B177" i="8"/>
  <c r="B168" i="8"/>
  <c r="J32" i="6"/>
  <c r="U29" i="6" s="1"/>
  <c r="B25" i="6"/>
  <c r="M25" i="6" s="1"/>
  <c r="D24" i="6"/>
  <c r="F23" i="6"/>
  <c r="X20" i="6" s="1"/>
  <c r="H22" i="6"/>
  <c r="J21" i="6"/>
  <c r="U18" i="6" s="1"/>
  <c r="L20" i="6"/>
  <c r="W17" i="6" s="1"/>
  <c r="B14" i="6"/>
  <c r="M14" i="6" s="1"/>
  <c r="D13" i="6"/>
  <c r="F32" i="6"/>
  <c r="X29" i="6" s="1"/>
  <c r="J30" i="6"/>
  <c r="U27" i="6" s="1"/>
  <c r="L29" i="6"/>
  <c r="W26" i="6" s="1"/>
  <c r="B23" i="6"/>
  <c r="M23" i="6" s="1"/>
  <c r="D22" i="6"/>
  <c r="F21" i="6"/>
  <c r="X18" i="6" s="1"/>
  <c r="H20" i="6"/>
  <c r="J19" i="6"/>
  <c r="U16" i="6" s="1"/>
  <c r="L18" i="6"/>
  <c r="W15" i="6" s="1"/>
  <c r="B175" i="8"/>
  <c r="B172" i="8"/>
  <c r="B164" i="8"/>
  <c r="C32" i="6"/>
  <c r="N29" i="6" s="1"/>
  <c r="F30" i="6"/>
  <c r="X27" i="6" s="1"/>
  <c r="F29" i="6"/>
  <c r="X26" i="6" s="1"/>
  <c r="F28" i="6"/>
  <c r="X25" i="6" s="1"/>
  <c r="F27" i="6"/>
  <c r="X24" i="6" s="1"/>
  <c r="F26" i="6"/>
  <c r="X23" i="6" s="1"/>
  <c r="F25" i="6"/>
  <c r="X22" i="6" s="1"/>
  <c r="F24" i="6"/>
  <c r="X21" i="6" s="1"/>
  <c r="E23" i="6"/>
  <c r="E22" i="6"/>
  <c r="D21" i="6"/>
  <c r="D20" i="6"/>
  <c r="D19" i="6"/>
  <c r="D18" i="6"/>
  <c r="D17" i="6"/>
  <c r="D16" i="6"/>
  <c r="D15" i="6"/>
  <c r="D14" i="6"/>
  <c r="C13" i="6"/>
  <c r="B169" i="8"/>
  <c r="B182" i="8"/>
  <c r="B32" i="6"/>
  <c r="M32" i="6" s="1"/>
  <c r="E30" i="6"/>
  <c r="E29" i="6"/>
  <c r="E28" i="6"/>
  <c r="E27" i="6"/>
  <c r="E26" i="6"/>
  <c r="E25" i="6"/>
  <c r="E24" i="6"/>
  <c r="D23" i="6"/>
  <c r="C22" i="6"/>
  <c r="C21" i="6"/>
  <c r="C20" i="6"/>
  <c r="C19" i="6"/>
  <c r="C18" i="6"/>
  <c r="C17" i="6"/>
  <c r="C16" i="6"/>
  <c r="C15" i="6"/>
  <c r="C14" i="6"/>
  <c r="B13" i="6"/>
  <c r="D30" i="6"/>
  <c r="D29" i="6"/>
  <c r="D28" i="6"/>
  <c r="D27" i="6"/>
  <c r="D26" i="6"/>
  <c r="D25" i="6"/>
  <c r="C24" i="6"/>
  <c r="N21" i="6" s="1"/>
  <c r="C23" i="6"/>
  <c r="N20" i="6" s="1"/>
  <c r="B22" i="6"/>
  <c r="M22" i="6" s="1"/>
  <c r="B21" i="6"/>
  <c r="M21" i="6" s="1"/>
  <c r="B20" i="6"/>
  <c r="M20" i="6" s="1"/>
  <c r="B19" i="6"/>
  <c r="M19" i="6" s="1"/>
  <c r="B18" i="6"/>
  <c r="M18" i="6" s="1"/>
  <c r="B17" i="6"/>
  <c r="M17" i="6" s="1"/>
  <c r="B16" i="6"/>
  <c r="M16" i="6" s="1"/>
  <c r="B15" i="6"/>
  <c r="M15" i="6" s="1"/>
  <c r="B180" i="8"/>
  <c r="B167" i="8"/>
  <c r="K31" i="6"/>
  <c r="V28" i="6" s="1"/>
  <c r="AD5" i="9"/>
  <c r="L31" i="6"/>
  <c r="W28" i="6" s="1"/>
  <c r="K26" i="6"/>
  <c r="V23" i="6" s="1"/>
  <c r="H25" i="6"/>
  <c r="S22" i="6" s="1"/>
  <c r="I20" i="6"/>
  <c r="T17" i="6" s="1"/>
  <c r="J15" i="6"/>
  <c r="U12" i="6" s="1"/>
  <c r="F14" i="6"/>
  <c r="X11" i="6" s="1"/>
  <c r="B163" i="8"/>
  <c r="J31" i="6"/>
  <c r="U28" i="6" s="1"/>
  <c r="J26" i="6"/>
  <c r="U23" i="6" s="1"/>
  <c r="I15" i="6"/>
  <c r="T12" i="6" s="1"/>
  <c r="E14" i="6"/>
  <c r="I31" i="6"/>
  <c r="T28" i="6" s="1"/>
  <c r="L27" i="6"/>
  <c r="W24" i="6" s="1"/>
  <c r="I26" i="6"/>
  <c r="T23" i="6" s="1"/>
  <c r="C25" i="6"/>
  <c r="N22" i="6" s="1"/>
  <c r="L21" i="6"/>
  <c r="W18" i="6" s="1"/>
  <c r="F20" i="6"/>
  <c r="X17" i="6" s="1"/>
  <c r="L16" i="6"/>
  <c r="W13" i="6" s="1"/>
  <c r="H15" i="6"/>
  <c r="H31" i="6"/>
  <c r="S28" i="6" s="1"/>
  <c r="K27" i="6"/>
  <c r="V24" i="6" s="1"/>
  <c r="H26" i="6"/>
  <c r="S23" i="6" s="1"/>
  <c r="K21" i="6"/>
  <c r="V18" i="6" s="1"/>
  <c r="E20" i="6"/>
  <c r="K16" i="6"/>
  <c r="V13" i="6" s="1"/>
  <c r="J27" i="6"/>
  <c r="U24" i="6" s="1"/>
  <c r="G26" i="6"/>
  <c r="I21" i="6"/>
  <c r="T18" i="6" s="1"/>
  <c r="F15" i="6"/>
  <c r="X12" i="6" s="1"/>
  <c r="B8" i="6"/>
  <c r="Q5" i="6" s="1"/>
  <c r="B59" i="8"/>
  <c r="B170" i="8"/>
  <c r="J16" i="6"/>
  <c r="U13" i="6" s="1"/>
  <c r="N173" i="8"/>
  <c r="Q166" i="8"/>
  <c r="L30" i="6"/>
  <c r="W27" i="6" s="1"/>
  <c r="I27" i="6"/>
  <c r="T24" i="6" s="1"/>
  <c r="L24" i="6"/>
  <c r="W21" i="6" s="1"/>
  <c r="E21" i="6"/>
  <c r="I30" i="6"/>
  <c r="T27" i="6" s="1"/>
  <c r="J24" i="6"/>
  <c r="U21" i="6" s="1"/>
  <c r="E18" i="6"/>
  <c r="K13" i="6"/>
  <c r="BX5" i="9"/>
  <c r="G20" i="6" s="1"/>
  <c r="I24" i="6"/>
  <c r="T21" i="6" s="1"/>
  <c r="H16" i="6"/>
  <c r="N182" i="8"/>
  <c r="B176" i="8"/>
  <c r="P169" i="8"/>
  <c r="P166" i="8"/>
  <c r="K30" i="6"/>
  <c r="V27" i="6" s="1"/>
  <c r="H27" i="6"/>
  <c r="S24" i="6" s="1"/>
  <c r="K24" i="6"/>
  <c r="V21" i="6" s="1"/>
  <c r="F18" i="6"/>
  <c r="X15" i="6" s="1"/>
  <c r="L13" i="6"/>
  <c r="P182" i="8"/>
  <c r="C27" i="6"/>
  <c r="N24" i="6" s="1"/>
  <c r="J13" i="6"/>
  <c r="B179" i="8"/>
  <c r="L22" i="6"/>
  <c r="W19" i="6" s="1"/>
  <c r="P179" i="8"/>
  <c r="I16" i="6"/>
  <c r="T13" i="6" s="1"/>
  <c r="N179" i="8"/>
  <c r="H30" i="6"/>
  <c r="S27" i="6" s="1"/>
  <c r="B27" i="6"/>
  <c r="M27" i="6" s="1"/>
  <c r="H24" i="6"/>
  <c r="S21" i="6" s="1"/>
  <c r="L19" i="6"/>
  <c r="W16" i="6" s="1"/>
  <c r="I13" i="6"/>
  <c r="Q178" i="8"/>
  <c r="Q175" i="8"/>
  <c r="K32" i="6"/>
  <c r="V29" i="6" s="1"/>
  <c r="J28" i="6"/>
  <c r="U25" i="6" s="1"/>
  <c r="I22" i="6"/>
  <c r="T19" i="6" s="1"/>
  <c r="H19" i="6"/>
  <c r="F13" i="6"/>
  <c r="X10" i="6" s="1"/>
  <c r="P178" i="8"/>
  <c r="Q171" i="8"/>
  <c r="I32" i="6"/>
  <c r="T29" i="6" s="1"/>
  <c r="I28" i="6"/>
  <c r="T25" i="6" s="1"/>
  <c r="L25" i="6"/>
  <c r="W22" i="6" s="1"/>
  <c r="L17" i="6"/>
  <c r="W14" i="6" s="1"/>
  <c r="L14" i="6"/>
  <c r="W11" i="6" s="1"/>
  <c r="E13" i="6"/>
  <c r="E32" i="6"/>
  <c r="H29" i="6"/>
  <c r="S26" i="6" s="1"/>
  <c r="K22" i="6"/>
  <c r="V19" i="6" s="1"/>
  <c r="K20" i="6"/>
  <c r="V17" i="6" s="1"/>
  <c r="I18" i="6"/>
  <c r="T15" i="6" s="1"/>
  <c r="Q168" i="8"/>
  <c r="P168" i="8"/>
  <c r="C29" i="6"/>
  <c r="N26" i="6" s="1"/>
  <c r="F22" i="6"/>
  <c r="X19" i="6" s="1"/>
  <c r="B29" i="6"/>
  <c r="M29" i="6" s="1"/>
  <c r="F31" i="6"/>
  <c r="X28" i="6" s="1"/>
  <c r="L28" i="6"/>
  <c r="W25" i="6" s="1"/>
  <c r="K17" i="6"/>
  <c r="V14" i="6" s="1"/>
  <c r="D31" i="6"/>
  <c r="K28" i="6"/>
  <c r="V25" i="6" s="1"/>
  <c r="J17" i="6"/>
  <c r="U14" i="6" s="1"/>
  <c r="N178" i="8"/>
  <c r="N168" i="8"/>
  <c r="Q173" i="8"/>
  <c r="E31" i="6"/>
  <c r="H13" i="6"/>
  <c r="G13" i="6"/>
  <c r="P180" i="8"/>
  <c r="E16" i="6"/>
  <c r="N180" i="8"/>
  <c r="H21" i="6"/>
  <c r="J18" i="6"/>
  <c r="U15" i="6" s="1"/>
  <c r="J177" i="8"/>
  <c r="L23" i="6"/>
  <c r="W20" i="6" s="1"/>
  <c r="J23" i="6"/>
  <c r="U20" i="6" s="1"/>
  <c r="H17" i="6"/>
  <c r="J20" i="6"/>
  <c r="U17" i="6" s="1"/>
  <c r="J166" i="8"/>
  <c r="Q177" i="8"/>
  <c r="J171" i="8"/>
  <c r="C30" i="6"/>
  <c r="N27" i="6" s="1"/>
  <c r="L26" i="6"/>
  <c r="W23" i="6" s="1"/>
  <c r="B26" i="6"/>
  <c r="M26" i="6" s="1"/>
  <c r="K14" i="6"/>
  <c r="V11" i="6" s="1"/>
  <c r="I29" i="6"/>
  <c r="T26" i="6" s="1"/>
  <c r="H23" i="6"/>
  <c r="S20" i="6" s="1"/>
  <c r="F17" i="6"/>
  <c r="X14" i="6" s="1"/>
  <c r="G175" i="8"/>
  <c r="H14" i="6"/>
  <c r="G181" i="8"/>
  <c r="L32" i="6"/>
  <c r="W29" i="6" s="1"/>
  <c r="E181" i="8"/>
  <c r="K25" i="6"/>
  <c r="V22" i="6" s="1"/>
  <c r="B181" i="8"/>
  <c r="P171" i="8"/>
  <c r="P165" i="8"/>
  <c r="J22" i="6"/>
  <c r="U19" i="6" s="1"/>
  <c r="B30" i="6"/>
  <c r="M30" i="6" s="1"/>
  <c r="B24" i="6"/>
  <c r="M24" i="6" s="1"/>
  <c r="N177" i="8"/>
  <c r="L15" i="6"/>
  <c r="W12" i="6" s="1"/>
  <c r="E15" i="6"/>
  <c r="K29" i="6"/>
  <c r="V26" i="6" s="1"/>
  <c r="J25" i="6"/>
  <c r="U22" i="6" s="1"/>
  <c r="M177" i="8"/>
  <c r="P170" i="8"/>
  <c r="K15" i="6"/>
  <c r="V12" i="6" s="1"/>
  <c r="L177" i="8"/>
  <c r="L170" i="8"/>
  <c r="K18" i="6"/>
  <c r="V15" i="6" s="1"/>
  <c r="J170" i="8"/>
  <c r="H18" i="6"/>
  <c r="P176" i="8"/>
  <c r="E168" i="8"/>
  <c r="C26" i="6"/>
  <c r="N23" i="6" s="1"/>
  <c r="K23" i="6"/>
  <c r="V20" i="6" s="1"/>
  <c r="I17" i="6"/>
  <c r="T14" i="6" s="1"/>
  <c r="L182" i="8"/>
  <c r="L175" i="8"/>
  <c r="I23" i="6"/>
  <c r="T20" i="6" s="1"/>
  <c r="B173" i="8"/>
  <c r="Q165" i="8"/>
  <c r="C28" i="6"/>
  <c r="N25" i="6" s="1"/>
  <c r="K19" i="6"/>
  <c r="V16" i="6" s="1"/>
  <c r="D32" i="6"/>
  <c r="I19" i="6"/>
  <c r="T16" i="6" s="1"/>
  <c r="J29" i="6"/>
  <c r="U26" i="6" s="1"/>
  <c r="J14" i="6"/>
  <c r="U11" i="6" s="1"/>
  <c r="I14" i="6"/>
  <c r="T11" i="6" s="1"/>
  <c r="E17" i="6"/>
  <c r="H28" i="6"/>
  <c r="S25" i="6" s="1"/>
  <c r="H32" i="6"/>
  <c r="S29" i="6" s="1"/>
  <c r="B28" i="6"/>
  <c r="M28" i="6" s="1"/>
  <c r="M171" i="8"/>
  <c r="I25" i="6"/>
  <c r="T22" i="6" s="1"/>
  <c r="F16" i="6"/>
  <c r="X13" i="6" s="1"/>
  <c r="Q180" i="8"/>
  <c r="M164" i="8"/>
  <c r="E19" i="6"/>
  <c r="F19" i="6"/>
  <c r="X16" i="6" s="1"/>
  <c r="C31" i="6"/>
  <c r="N28" i="6" s="1"/>
  <c r="B31" i="6"/>
  <c r="M31" i="6" s="1"/>
  <c r="N171" i="8"/>
  <c r="G178" i="8"/>
  <c r="J172" i="8"/>
  <c r="E176" i="8"/>
  <c r="L180" i="8"/>
  <c r="M175" i="8"/>
  <c r="N172" i="8"/>
  <c r="P173" i="8"/>
  <c r="G167" i="8"/>
  <c r="E174" i="8"/>
  <c r="G165" i="8"/>
  <c r="J173" i="8"/>
  <c r="L173" i="8"/>
  <c r="M178" i="8"/>
  <c r="N174" i="8"/>
  <c r="G170" i="8"/>
  <c r="N170" i="8"/>
  <c r="Q172" i="8"/>
  <c r="E180" i="8"/>
  <c r="G173" i="8"/>
  <c r="J165" i="8"/>
  <c r="E182" i="8"/>
  <c r="L163" i="8"/>
  <c r="M172" i="8"/>
  <c r="N175" i="8"/>
  <c r="P172" i="8"/>
  <c r="L167" i="8"/>
  <c r="L171" i="8"/>
  <c r="E178" i="8"/>
  <c r="Q174" i="8"/>
  <c r="G168" i="8"/>
  <c r="J174" i="8"/>
  <c r="E170" i="8"/>
  <c r="L178" i="8"/>
  <c r="M166" i="8"/>
  <c r="Q176" i="8"/>
  <c r="G164" i="8"/>
  <c r="N176" i="8"/>
  <c r="P175" i="8"/>
  <c r="G163" i="8"/>
  <c r="J164" i="8"/>
  <c r="E179" i="8"/>
  <c r="L169" i="8"/>
  <c r="M182" i="8"/>
  <c r="P174" i="8"/>
  <c r="G171" i="8"/>
  <c r="E177" i="8"/>
  <c r="L172" i="8"/>
  <c r="M173" i="8"/>
  <c r="P167" i="8"/>
  <c r="Q181" i="8"/>
  <c r="N169" i="8"/>
  <c r="Q164" i="8"/>
  <c r="J168" i="8"/>
  <c r="G180" i="8"/>
  <c r="L168" i="8"/>
  <c r="G166" i="8"/>
  <c r="E167" i="8"/>
  <c r="E173" i="8"/>
  <c r="N163" i="8"/>
  <c r="E171" i="8"/>
  <c r="J178" i="8"/>
  <c r="M180" i="8"/>
  <c r="Q179" i="8"/>
  <c r="J167" i="8"/>
  <c r="M163" i="8"/>
  <c r="N165" i="8"/>
  <c r="L174" i="8"/>
  <c r="P163" i="8"/>
  <c r="N164" i="8"/>
  <c r="G169" i="8"/>
  <c r="E172" i="8"/>
  <c r="L179" i="8"/>
  <c r="M174" i="8"/>
  <c r="G176" i="8"/>
  <c r="E164" i="8"/>
  <c r="L164" i="8"/>
  <c r="M165" i="8"/>
  <c r="M181" i="8"/>
  <c r="N181" i="8"/>
  <c r="Q182" i="8"/>
  <c r="J182" i="8"/>
  <c r="M176" i="8"/>
  <c r="M168" i="8"/>
  <c r="P164" i="8"/>
  <c r="G174" i="8"/>
  <c r="G179" i="8"/>
  <c r="E163" i="8"/>
  <c r="L165" i="8"/>
  <c r="M170" i="8"/>
  <c r="Q170" i="8"/>
  <c r="G177" i="8"/>
  <c r="L181" i="8"/>
  <c r="M179" i="8"/>
  <c r="Q169" i="8"/>
  <c r="G172" i="8"/>
  <c r="J175" i="8"/>
  <c r="L176" i="8"/>
  <c r="M167" i="8"/>
  <c r="E166" i="8"/>
  <c r="L166" i="8"/>
  <c r="J180" i="8"/>
  <c r="J163" i="8"/>
  <c r="Q167" i="8"/>
  <c r="J181" i="8"/>
  <c r="N166" i="8"/>
  <c r="G182" i="8"/>
  <c r="J169" i="8"/>
  <c r="P177" i="8"/>
  <c r="Q163" i="8"/>
  <c r="J176" i="8"/>
  <c r="E165" i="8"/>
  <c r="E175" i="8"/>
  <c r="N167" i="8"/>
  <c r="P181" i="8"/>
  <c r="J179" i="8"/>
  <c r="E169" i="8"/>
  <c r="M169" i="8"/>
  <c r="D179" i="8"/>
  <c r="F174" i="8"/>
  <c r="H176" i="8"/>
  <c r="I179" i="8"/>
  <c r="T177" i="8"/>
  <c r="R177" i="8"/>
  <c r="S180" i="8"/>
  <c r="O163" i="8"/>
  <c r="D165" i="8"/>
  <c r="F177" i="8"/>
  <c r="H174" i="8"/>
  <c r="I168" i="8"/>
  <c r="T166" i="8"/>
  <c r="R176" i="8"/>
  <c r="D164" i="8"/>
  <c r="H177" i="8"/>
  <c r="I174" i="8"/>
  <c r="T175" i="8"/>
  <c r="R171" i="8"/>
  <c r="S178" i="8"/>
  <c r="C167" i="8"/>
  <c r="O175" i="8"/>
  <c r="F176" i="8"/>
  <c r="H181" i="8"/>
  <c r="I181" i="8"/>
  <c r="T172" i="8"/>
  <c r="R167" i="8"/>
  <c r="S181" i="8"/>
  <c r="C168" i="8"/>
  <c r="O170" i="8"/>
  <c r="D175" i="8"/>
  <c r="F173" i="8"/>
  <c r="H180" i="8"/>
  <c r="I166" i="8"/>
  <c r="R166" i="8"/>
  <c r="S170" i="8"/>
  <c r="C182" i="8"/>
  <c r="D174" i="8"/>
  <c r="F164" i="8"/>
  <c r="H170" i="8"/>
  <c r="I178" i="8"/>
  <c r="T171" i="8"/>
  <c r="R169" i="8"/>
  <c r="S176" i="8"/>
  <c r="C178" i="8"/>
  <c r="O174" i="8"/>
  <c r="D168" i="8"/>
  <c r="F182" i="8"/>
  <c r="H163" i="8"/>
  <c r="I176" i="8"/>
  <c r="T176" i="8"/>
  <c r="R179" i="8"/>
  <c r="S171" i="8"/>
  <c r="D167" i="8"/>
  <c r="F168" i="8"/>
  <c r="H182" i="8"/>
  <c r="I165" i="8"/>
  <c r="T182" i="8"/>
  <c r="R168" i="8"/>
  <c r="D173" i="8"/>
  <c r="H164" i="8"/>
  <c r="I177" i="8"/>
  <c r="T179" i="8"/>
  <c r="D166" i="8"/>
  <c r="F181" i="8"/>
  <c r="H168" i="8"/>
  <c r="I172" i="8"/>
  <c r="T173" i="8"/>
  <c r="R173" i="8"/>
  <c r="D180" i="8"/>
  <c r="I169" i="8"/>
  <c r="T174" i="8"/>
  <c r="S175" i="8"/>
  <c r="C175" i="8"/>
  <c r="D169" i="8"/>
  <c r="I180" i="8"/>
  <c r="S165" i="8"/>
  <c r="C163" i="8"/>
  <c r="D182" i="8"/>
  <c r="F172" i="8"/>
  <c r="I164" i="8"/>
  <c r="T169" i="8"/>
  <c r="D170" i="8"/>
  <c r="F167" i="8"/>
  <c r="I171" i="8"/>
  <c r="T168" i="8"/>
  <c r="C179" i="8"/>
  <c r="F179" i="8"/>
  <c r="T178" i="8"/>
  <c r="C165" i="8"/>
  <c r="D176" i="8"/>
  <c r="F165" i="8"/>
  <c r="T164" i="8"/>
  <c r="C164" i="8"/>
  <c r="O180" i="8"/>
  <c r="F178" i="8"/>
  <c r="H167" i="8"/>
  <c r="C173" i="8"/>
  <c r="O169" i="8"/>
  <c r="F166" i="8"/>
  <c r="H179" i="8"/>
  <c r="C166" i="8"/>
  <c r="F180" i="8"/>
  <c r="H172" i="8"/>
  <c r="R163" i="8"/>
  <c r="S164" i="8"/>
  <c r="C174" i="8"/>
  <c r="O165" i="8"/>
  <c r="F171" i="8"/>
  <c r="H178" i="8"/>
  <c r="R175" i="8"/>
  <c r="S182" i="8"/>
  <c r="H169" i="8"/>
  <c r="R182" i="8"/>
  <c r="O176" i="8"/>
  <c r="F163" i="8"/>
  <c r="H175" i="8"/>
  <c r="R165" i="8"/>
  <c r="F175" i="8"/>
  <c r="R164" i="8"/>
  <c r="H171" i="8"/>
  <c r="R181" i="8"/>
  <c r="S163" i="8"/>
  <c r="O172" i="8"/>
  <c r="D172" i="8"/>
  <c r="H166" i="8"/>
  <c r="I182" i="8"/>
  <c r="T165" i="8"/>
  <c r="R172" i="8"/>
  <c r="S168" i="8"/>
  <c r="R180" i="8"/>
  <c r="D178" i="8"/>
  <c r="S179" i="8"/>
  <c r="O179" i="8"/>
  <c r="D177" i="8"/>
  <c r="D171" i="8"/>
  <c r="S177" i="8"/>
  <c r="O181" i="8"/>
  <c r="D181" i="8"/>
  <c r="S172" i="8"/>
  <c r="O167" i="8"/>
  <c r="D163" i="8"/>
  <c r="S167" i="8"/>
  <c r="O166" i="8"/>
  <c r="S174" i="8"/>
  <c r="C180" i="8"/>
  <c r="O182" i="8"/>
  <c r="S169" i="8"/>
  <c r="C177" i="8"/>
  <c r="O178" i="8"/>
  <c r="T180" i="8"/>
  <c r="S173" i="8"/>
  <c r="O168" i="8"/>
  <c r="T170" i="8"/>
  <c r="S166" i="8"/>
  <c r="C172" i="8"/>
  <c r="O173" i="8"/>
  <c r="T163" i="8"/>
  <c r="C169" i="8"/>
  <c r="O177" i="8"/>
  <c r="I167" i="8"/>
  <c r="T181" i="8"/>
  <c r="C171" i="8"/>
  <c r="O171" i="8"/>
  <c r="I175" i="8"/>
  <c r="T167" i="8"/>
  <c r="C170" i="8"/>
  <c r="O164" i="8"/>
  <c r="F169" i="8"/>
  <c r="H173" i="8"/>
  <c r="I163" i="8"/>
  <c r="C176" i="8"/>
  <c r="F170" i="8"/>
  <c r="H165" i="8"/>
  <c r="I170" i="8"/>
  <c r="C181" i="8"/>
  <c r="I173" i="8"/>
  <c r="R170" i="8"/>
  <c r="R174" i="8"/>
  <c r="R178" i="8"/>
  <c r="K167" i="8"/>
  <c r="K165" i="8"/>
  <c r="K172" i="8"/>
  <c r="K177" i="8"/>
  <c r="K182" i="8"/>
  <c r="K168" i="8"/>
  <c r="K169" i="8"/>
  <c r="K181" i="8"/>
  <c r="K173" i="8"/>
  <c r="K166" i="8"/>
  <c r="K163" i="8"/>
  <c r="K171" i="8"/>
  <c r="K179" i="8"/>
  <c r="K178" i="8"/>
  <c r="K180" i="8"/>
  <c r="K164" i="8"/>
  <c r="K174" i="8"/>
  <c r="K175" i="8"/>
  <c r="K170" i="8"/>
  <c r="K176" i="8"/>
  <c r="AD41" i="9"/>
  <c r="BX41" i="9"/>
  <c r="AE41" i="9" s="1"/>
  <c r="AV799" i="10"/>
  <c r="AV800" i="10"/>
  <c r="AV798" i="10"/>
  <c r="AV801" i="10"/>
  <c r="AV802" i="10"/>
  <c r="AT53" i="9"/>
  <c r="AD64" i="9"/>
  <c r="BX64" i="9"/>
  <c r="AE64" i="9" s="1"/>
  <c r="AD65" i="9"/>
  <c r="BX65" i="9"/>
  <c r="AE65" i="9" s="1"/>
  <c r="AD54" i="9"/>
  <c r="BX54" i="9"/>
  <c r="AE54" i="9" s="1"/>
  <c r="BX76" i="9"/>
  <c r="AE76" i="9" s="1"/>
  <c r="AD76" i="9"/>
  <c r="BX6" i="9"/>
  <c r="AE6" i="9" s="1"/>
  <c r="AD6" i="9"/>
  <c r="BX27" i="9"/>
  <c r="AE27" i="9" s="1"/>
  <c r="AD27" i="9"/>
  <c r="AD74" i="9"/>
  <c r="BX74" i="9"/>
  <c r="AE74" i="9" s="1"/>
  <c r="AD43" i="9"/>
  <c r="BX43" i="9"/>
  <c r="AE43" i="9" s="1"/>
  <c r="BX17" i="9"/>
  <c r="AE17" i="9" s="1"/>
  <c r="AD17" i="9"/>
  <c r="AV875" i="10"/>
  <c r="AV877" i="10"/>
  <c r="AV874" i="10"/>
  <c r="AV879" i="10"/>
  <c r="AV878" i="10"/>
  <c r="AV876" i="10"/>
  <c r="AT68" i="9"/>
  <c r="BX12" i="9"/>
  <c r="AE12" i="9" s="1"/>
  <c r="AD12" i="9"/>
  <c r="BX14" i="9"/>
  <c r="AE14" i="9" s="1"/>
  <c r="AD14" i="9"/>
  <c r="AV636" i="10"/>
  <c r="AV635" i="10"/>
  <c r="AV633" i="10"/>
  <c r="AV632" i="10"/>
  <c r="AV631" i="10"/>
  <c r="AV634" i="10"/>
  <c r="AT25" i="9"/>
  <c r="AD7" i="9"/>
  <c r="BX7" i="9"/>
  <c r="AE7" i="9" s="1"/>
  <c r="AV703" i="10"/>
  <c r="AV704" i="10"/>
  <c r="AV701" i="10"/>
  <c r="AV702" i="10"/>
  <c r="AV706" i="10"/>
  <c r="AV705" i="10"/>
  <c r="AT37" i="9"/>
  <c r="AD33" i="9"/>
  <c r="BX33" i="9"/>
  <c r="AE33" i="9" s="1"/>
  <c r="BX25" i="9"/>
  <c r="AE25" i="9" s="1"/>
  <c r="AD25" i="9"/>
  <c r="AD29" i="9"/>
  <c r="BX29" i="9"/>
  <c r="AE29" i="9" s="1"/>
  <c r="AV864" i="10"/>
  <c r="AV866" i="10"/>
  <c r="AV867" i="10"/>
  <c r="AV863" i="10"/>
  <c r="AV865" i="10"/>
  <c r="AT66" i="9"/>
  <c r="AV602" i="10"/>
  <c r="AV601" i="10"/>
  <c r="AV599" i="10"/>
  <c r="AV603" i="10"/>
  <c r="AV604" i="10"/>
  <c r="AV600" i="10"/>
  <c r="V112" i="12"/>
  <c r="AT20" i="9"/>
  <c r="AD30" i="9"/>
  <c r="BX30" i="9"/>
  <c r="AE30" i="9" s="1"/>
  <c r="BX68" i="9"/>
  <c r="AE68" i="9" s="1"/>
  <c r="AD68" i="9"/>
  <c r="BX37" i="9"/>
  <c r="AE37" i="9" s="1"/>
  <c r="AD37" i="9"/>
  <c r="BX61" i="9"/>
  <c r="AE61" i="9" s="1"/>
  <c r="AD61" i="9"/>
  <c r="AV545" i="10"/>
  <c r="AV548" i="10"/>
  <c r="AV547" i="10"/>
  <c r="AV549" i="10"/>
  <c r="AV550" i="10"/>
  <c r="AV546" i="10"/>
  <c r="AV565" i="10"/>
  <c r="AT12" i="9"/>
  <c r="BX21" i="9"/>
  <c r="AE21" i="9" s="1"/>
  <c r="AD21" i="9"/>
  <c r="AD22" i="9"/>
  <c r="BX22" i="9"/>
  <c r="AE22" i="9" s="1"/>
  <c r="BX19" i="9"/>
  <c r="AE19" i="9" s="1"/>
  <c r="AD19" i="9"/>
  <c r="AD52" i="9"/>
  <c r="BX52" i="9"/>
  <c r="AE52" i="9" s="1"/>
  <c r="AD45" i="9"/>
  <c r="BX45" i="9"/>
  <c r="AE45" i="9" s="1"/>
  <c r="AD8" i="9"/>
  <c r="BX8" i="9"/>
  <c r="AE8" i="9" s="1"/>
  <c r="AV761" i="10"/>
  <c r="AV764" i="10"/>
  <c r="AV763" i="10"/>
  <c r="AV762" i="10"/>
  <c r="AV766" i="10"/>
  <c r="AV765" i="10"/>
  <c r="AT47" i="9"/>
  <c r="AV787" i="10"/>
  <c r="AV788" i="10"/>
  <c r="AV790" i="10"/>
  <c r="AV789" i="10"/>
  <c r="AV791" i="10"/>
  <c r="AT51" i="9"/>
  <c r="AV919" i="10"/>
  <c r="AV917" i="10"/>
  <c r="AV918" i="10"/>
  <c r="AV916" i="10"/>
  <c r="AT76" i="9"/>
  <c r="BX50" i="9"/>
  <c r="AE50" i="9" s="1"/>
  <c r="AD50" i="9"/>
  <c r="BX39" i="9"/>
  <c r="AE39" i="9" s="1"/>
  <c r="AD39" i="9"/>
  <c r="BX55" i="9"/>
  <c r="AE55" i="9" s="1"/>
  <c r="AD55" i="9"/>
  <c r="AV648" i="10"/>
  <c r="AV647" i="10"/>
  <c r="AV646" i="10"/>
  <c r="AV649" i="10"/>
  <c r="AV651" i="10"/>
  <c r="AV650" i="10"/>
  <c r="AT28" i="9"/>
  <c r="BX46" i="9"/>
  <c r="AE46" i="9" s="1"/>
  <c r="AD46" i="9"/>
  <c r="AV617" i="10"/>
  <c r="AV594" i="10"/>
  <c r="AV597" i="10"/>
  <c r="AV595" i="10"/>
  <c r="AV593" i="10"/>
  <c r="AV598" i="10"/>
  <c r="AV616" i="10"/>
  <c r="AV596" i="10"/>
  <c r="AT19" i="9"/>
  <c r="V101" i="12"/>
  <c r="AD35" i="9"/>
  <c r="BX35" i="9"/>
  <c r="AE35" i="9" s="1"/>
  <c r="AV523" i="10"/>
  <c r="AV522" i="10"/>
  <c r="AV519" i="10"/>
  <c r="AV520" i="10"/>
  <c r="V113" i="12"/>
  <c r="AV521" i="10"/>
  <c r="AV524" i="10"/>
  <c r="AT8" i="9"/>
  <c r="AD11" i="9"/>
  <c r="BX11" i="9"/>
  <c r="AE11" i="9" s="1"/>
  <c r="BX69" i="9"/>
  <c r="AE69" i="9" s="1"/>
  <c r="AD69" i="9"/>
  <c r="AD51" i="9"/>
  <c r="BX51" i="9"/>
  <c r="AE51" i="9" s="1"/>
  <c r="BX75" i="9"/>
  <c r="AE75" i="9" s="1"/>
  <c r="AD75" i="9"/>
  <c r="AD32" i="9"/>
  <c r="BX32" i="9"/>
  <c r="AE32" i="9" s="1"/>
  <c r="V100" i="12"/>
  <c r="AD62" i="9"/>
  <c r="BX62" i="9"/>
  <c r="AE62" i="9" s="1"/>
  <c r="BX40" i="9"/>
  <c r="AE40" i="9" s="1"/>
  <c r="AD40" i="9"/>
  <c r="BX31" i="9"/>
  <c r="AE31" i="9" s="1"/>
  <c r="AD31" i="9"/>
  <c r="AV777" i="10"/>
  <c r="AV779" i="10"/>
  <c r="AV780" i="10"/>
  <c r="AV776" i="10"/>
  <c r="AV778" i="10"/>
  <c r="AT49" i="9"/>
  <c r="BX72" i="9"/>
  <c r="AE72" i="9" s="1"/>
  <c r="AD72" i="9"/>
  <c r="BX58" i="9"/>
  <c r="AE58" i="9" s="1"/>
  <c r="AD58" i="9"/>
  <c r="BX15" i="9"/>
  <c r="AE15" i="9" s="1"/>
  <c r="AD15" i="9"/>
  <c r="AV628" i="10"/>
  <c r="AV626" i="10"/>
  <c r="AV630" i="10"/>
  <c r="AV629" i="10"/>
  <c r="AV625" i="10"/>
  <c r="AV627" i="10"/>
  <c r="AT24" i="9"/>
  <c r="BX24" i="9"/>
  <c r="AE24" i="9" s="1"/>
  <c r="AD24" i="9"/>
  <c r="BX38" i="9"/>
  <c r="AE38" i="9" s="1"/>
  <c r="AD38" i="9"/>
  <c r="BX71" i="9"/>
  <c r="AE71" i="9" s="1"/>
  <c r="AD71" i="9"/>
  <c r="AV707" i="10"/>
  <c r="AV710" i="10"/>
  <c r="AV713" i="10"/>
  <c r="AV712" i="10"/>
  <c r="AV709" i="10"/>
  <c r="AV708" i="10"/>
  <c r="AV711" i="10"/>
  <c r="AT38" i="9"/>
  <c r="AV921" i="10"/>
  <c r="AV912" i="10"/>
  <c r="AV914" i="10"/>
  <c r="AV911" i="10"/>
  <c r="AV922" i="10"/>
  <c r="AV920" i="10"/>
  <c r="AV913" i="10"/>
  <c r="AV915" i="10"/>
  <c r="AV923" i="10"/>
  <c r="AT75" i="9"/>
  <c r="AD34" i="9"/>
  <c r="BX34" i="9"/>
  <c r="AE34" i="9" s="1"/>
  <c r="AV639" i="10"/>
  <c r="AV620" i="10"/>
  <c r="AV624" i="10"/>
  <c r="AV619" i="10"/>
  <c r="AV621" i="10"/>
  <c r="AV622" i="10"/>
  <c r="AV623" i="10"/>
  <c r="AT23" i="9"/>
  <c r="AV792" i="10"/>
  <c r="AV794" i="10"/>
  <c r="AV793" i="10"/>
  <c r="AV795" i="10"/>
  <c r="AV796" i="10"/>
  <c r="V102" i="12"/>
  <c r="AV797" i="10"/>
  <c r="AT52" i="9"/>
  <c r="BX73" i="9"/>
  <c r="AE73" i="9" s="1"/>
  <c r="AD73" i="9"/>
  <c r="AV888" i="10"/>
  <c r="AV901" i="10"/>
  <c r="AV893" i="10"/>
  <c r="AV900" i="10"/>
  <c r="AV892" i="10"/>
  <c r="AV891" i="10"/>
  <c r="AV889" i="10"/>
  <c r="AV890" i="10"/>
  <c r="AT70" i="9"/>
  <c r="AV904" i="10"/>
  <c r="AV905" i="10"/>
  <c r="AV903" i="10"/>
  <c r="AV902" i="10"/>
  <c r="AT73" i="9"/>
  <c r="BX70" i="9"/>
  <c r="AE70" i="9" s="1"/>
  <c r="AD70" i="9"/>
  <c r="AD16" i="9"/>
  <c r="BX16" i="9"/>
  <c r="AE16" i="9" s="1"/>
  <c r="AW638" i="10"/>
  <c r="AW637" i="10"/>
  <c r="BX49" i="9"/>
  <c r="AE49" i="9" s="1"/>
  <c r="AD49" i="9"/>
  <c r="AD42" i="9"/>
  <c r="BX42" i="9"/>
  <c r="AE42" i="9" s="1"/>
  <c r="BX67" i="9"/>
  <c r="AE67" i="9" s="1"/>
  <c r="AD67" i="9"/>
  <c r="BX47" i="9"/>
  <c r="AE47" i="9" s="1"/>
  <c r="AD47" i="9"/>
  <c r="BX66" i="9"/>
  <c r="AE66" i="9" s="1"/>
  <c r="AD66" i="9"/>
  <c r="BX10" i="9"/>
  <c r="AE10" i="9" s="1"/>
  <c r="AD10" i="9"/>
  <c r="AV641" i="10"/>
  <c r="AV643" i="10"/>
  <c r="AV640" i="10"/>
  <c r="AV642" i="10"/>
  <c r="AV645" i="10"/>
  <c r="AV644" i="10"/>
  <c r="V109" i="12"/>
  <c r="AT27" i="9"/>
  <c r="BX20" i="9"/>
  <c r="AE20" i="9" s="1"/>
  <c r="AD20" i="9"/>
  <c r="AD63" i="9"/>
  <c r="BX63" i="9"/>
  <c r="AE63" i="9" s="1"/>
  <c r="BX59" i="9"/>
  <c r="AE59" i="9" s="1"/>
  <c r="AD59" i="9"/>
  <c r="AD36" i="9"/>
  <c r="BX36" i="9"/>
  <c r="AE36" i="9" s="1"/>
  <c r="AV759" i="10"/>
  <c r="AV758" i="10"/>
  <c r="AV756" i="10"/>
  <c r="AV757" i="10"/>
  <c r="AV760" i="10"/>
  <c r="AT46" i="9"/>
  <c r="V111" i="12"/>
  <c r="AV732" i="10"/>
  <c r="AV735" i="10"/>
  <c r="AV731" i="10"/>
  <c r="AV730" i="10"/>
  <c r="AV733" i="10"/>
  <c r="AV734" i="10"/>
  <c r="AT41" i="9"/>
  <c r="BX56" i="9"/>
  <c r="AE56" i="9" s="1"/>
  <c r="AD56" i="9"/>
  <c r="G17" i="6" l="1"/>
  <c r="G16" i="6"/>
  <c r="B9" i="6"/>
  <c r="T5" i="6" s="1"/>
  <c r="G30" i="6"/>
  <c r="G15" i="6"/>
  <c r="O12" i="6" s="1"/>
  <c r="G25" i="6"/>
  <c r="Q22" i="6" s="1"/>
  <c r="AU12" i="9"/>
  <c r="AU59" i="9"/>
  <c r="G27" i="6"/>
  <c r="G19" i="6"/>
  <c r="P16" i="6" s="1"/>
  <c r="AU47" i="9"/>
  <c r="N189" i="8"/>
  <c r="N188" i="8"/>
  <c r="N190" i="8" s="1"/>
  <c r="U110" i="12"/>
  <c r="AW525" i="10"/>
  <c r="AW527" i="10"/>
  <c r="AW526" i="10"/>
  <c r="AW528" i="10"/>
  <c r="AW530" i="10"/>
  <c r="AW529" i="10"/>
  <c r="I188" i="8"/>
  <c r="I190" i="8" s="1"/>
  <c r="I189" i="8"/>
  <c r="AU57" i="9"/>
  <c r="U106" i="12"/>
  <c r="AW672" i="10"/>
  <c r="AW676" i="10"/>
  <c r="AW674" i="10"/>
  <c r="AW675" i="10"/>
  <c r="AW673" i="10"/>
  <c r="AW671" i="10"/>
  <c r="AU69" i="9"/>
  <c r="AW910" i="10"/>
  <c r="AW906" i="10"/>
  <c r="AW908" i="10"/>
  <c r="AW907" i="10"/>
  <c r="AW909" i="10"/>
  <c r="AU42" i="9"/>
  <c r="AW700" i="10"/>
  <c r="AW698" i="10"/>
  <c r="AW696" i="10"/>
  <c r="AW697" i="10"/>
  <c r="AW699" i="10"/>
  <c r="AW695" i="10"/>
  <c r="AU76" i="9"/>
  <c r="G21" i="6"/>
  <c r="G24" i="6"/>
  <c r="V10" i="6"/>
  <c r="O38" i="6"/>
  <c r="R12" i="6"/>
  <c r="AU55" i="9"/>
  <c r="AW877" i="10"/>
  <c r="AW874" i="10"/>
  <c r="AW876" i="10"/>
  <c r="AW879" i="10"/>
  <c r="AW878" i="10"/>
  <c r="AW875" i="10"/>
  <c r="AW633" i="10"/>
  <c r="AW635" i="10"/>
  <c r="AW634" i="10"/>
  <c r="AW632" i="10"/>
  <c r="AW631" i="10"/>
  <c r="AW636" i="10"/>
  <c r="S10" i="6"/>
  <c r="R36" i="6"/>
  <c r="AW822" i="10"/>
  <c r="AW821" i="10"/>
  <c r="AW823" i="10"/>
  <c r="AW824" i="10"/>
  <c r="AW820" i="10"/>
  <c r="U100" i="12"/>
  <c r="AW627" i="10"/>
  <c r="AW630" i="10"/>
  <c r="AW626" i="10"/>
  <c r="AW628" i="10"/>
  <c r="AW629" i="10"/>
  <c r="AW625" i="10"/>
  <c r="AW577" i="10"/>
  <c r="AW575" i="10"/>
  <c r="AW578" i="10"/>
  <c r="AW574" i="10"/>
  <c r="AW573" i="10"/>
  <c r="AW576" i="10"/>
  <c r="AW903" i="10"/>
  <c r="AW904" i="10"/>
  <c r="AW902" i="10"/>
  <c r="AW905" i="10"/>
  <c r="AU24" i="9"/>
  <c r="U108" i="12"/>
  <c r="AW727" i="10"/>
  <c r="AW728" i="10"/>
  <c r="AW729" i="10"/>
  <c r="AW725" i="10"/>
  <c r="AW726" i="10"/>
  <c r="AW724" i="10"/>
  <c r="AW581" i="10"/>
  <c r="AW583" i="10"/>
  <c r="AW585" i="10"/>
  <c r="AW580" i="10"/>
  <c r="AW584" i="10"/>
  <c r="AW579" i="10"/>
  <c r="AW591" i="10"/>
  <c r="AW582" i="10"/>
  <c r="G188" i="8"/>
  <c r="G190" i="8" s="1"/>
  <c r="G189" i="8"/>
  <c r="AW744" i="10"/>
  <c r="AW746" i="10"/>
  <c r="AW745" i="10"/>
  <c r="AW742" i="10"/>
  <c r="AW743" i="10"/>
  <c r="AW747" i="10"/>
  <c r="AU71" i="9"/>
  <c r="R41" i="6"/>
  <c r="S15" i="6"/>
  <c r="S19" i="6"/>
  <c r="R45" i="6"/>
  <c r="AU26" i="9"/>
  <c r="AW838" i="10"/>
  <c r="AW839" i="10"/>
  <c r="AW840" i="10"/>
  <c r="AW837" i="10"/>
  <c r="AW835" i="10"/>
  <c r="AW836" i="10"/>
  <c r="G29" i="6"/>
  <c r="AU38" i="9"/>
  <c r="AW921" i="10"/>
  <c r="AW912" i="10"/>
  <c r="AW914" i="10"/>
  <c r="AW922" i="10"/>
  <c r="AW913" i="10"/>
  <c r="AW915" i="10"/>
  <c r="AW911" i="10"/>
  <c r="AW923" i="10"/>
  <c r="AW920" i="10"/>
  <c r="AW705" i="10"/>
  <c r="AW706" i="10"/>
  <c r="AW704" i="10"/>
  <c r="AW702" i="10"/>
  <c r="AW703" i="10"/>
  <c r="AW701" i="10"/>
  <c r="AW896" i="10"/>
  <c r="AW897" i="10"/>
  <c r="AW794" i="10"/>
  <c r="AW796" i="10"/>
  <c r="AW795" i="10"/>
  <c r="AW792" i="10"/>
  <c r="AW797" i="10"/>
  <c r="AW793" i="10"/>
  <c r="U102" i="12"/>
  <c r="AU40" i="9"/>
  <c r="AW559" i="10"/>
  <c r="AW558" i="10"/>
  <c r="AW563" i="10"/>
  <c r="AW561" i="10"/>
  <c r="AW560" i="10"/>
  <c r="AW562" i="10"/>
  <c r="O189" i="8"/>
  <c r="O188" i="8"/>
  <c r="O190" i="8" s="1"/>
  <c r="AW661" i="10"/>
  <c r="AW660" i="10"/>
  <c r="AW659" i="10"/>
  <c r="AW662" i="10"/>
  <c r="AW658" i="10"/>
  <c r="AU34" i="9"/>
  <c r="AW805" i="10"/>
  <c r="AW803" i="10"/>
  <c r="AW806" i="10"/>
  <c r="AW804" i="10"/>
  <c r="AW808" i="10"/>
  <c r="AW807" i="10"/>
  <c r="R24" i="6"/>
  <c r="P24" i="6"/>
  <c r="O24" i="6"/>
  <c r="Q24" i="6"/>
  <c r="N10" i="6"/>
  <c r="Q36" i="6"/>
  <c r="AW833" i="10"/>
  <c r="AW834" i="10"/>
  <c r="AW832" i="10"/>
  <c r="AW816" i="10"/>
  <c r="AW815" i="10"/>
  <c r="AW818" i="10"/>
  <c r="AW817" i="10"/>
  <c r="AW819" i="10"/>
  <c r="AW848" i="10"/>
  <c r="AW852" i="10"/>
  <c r="AW850" i="10"/>
  <c r="AW851" i="10"/>
  <c r="AW847" i="10"/>
  <c r="AW849" i="10"/>
  <c r="AW899" i="10"/>
  <c r="AW870" i="10"/>
  <c r="AW871" i="10"/>
  <c r="AW873" i="10"/>
  <c r="AW868" i="10"/>
  <c r="U103" i="12"/>
  <c r="AW869" i="10"/>
  <c r="AW898" i="10"/>
  <c r="AW872" i="10"/>
  <c r="AW539" i="10"/>
  <c r="AW540" i="10"/>
  <c r="AW541" i="10"/>
  <c r="AW538" i="10"/>
  <c r="AW537" i="10"/>
  <c r="AU51" i="9"/>
  <c r="J189" i="8"/>
  <c r="J188" i="8"/>
  <c r="J190" i="8" s="1"/>
  <c r="K189" i="8"/>
  <c r="K188" i="8"/>
  <c r="K190" i="8" s="1"/>
  <c r="G22" i="6"/>
  <c r="M13" i="6"/>
  <c r="W5" i="6"/>
  <c r="AU60" i="9"/>
  <c r="AU41" i="9"/>
  <c r="AW738" i="10"/>
  <c r="AW741" i="10"/>
  <c r="AW739" i="10"/>
  <c r="AW736" i="10"/>
  <c r="AW740" i="10"/>
  <c r="AW737" i="10"/>
  <c r="AW595" i="10"/>
  <c r="AW617" i="10"/>
  <c r="AW596" i="10"/>
  <c r="AW616" i="10"/>
  <c r="AW593" i="10"/>
  <c r="AW598" i="10"/>
  <c r="AW597" i="10"/>
  <c r="AW594" i="10"/>
  <c r="AW548" i="10"/>
  <c r="AW545" i="10"/>
  <c r="AW549" i="10"/>
  <c r="AW547" i="10"/>
  <c r="AW565" i="10"/>
  <c r="AW546" i="10"/>
  <c r="AW550" i="10"/>
  <c r="AW859" i="10"/>
  <c r="AW860" i="10"/>
  <c r="AW862" i="10"/>
  <c r="AW861" i="10"/>
  <c r="P188" i="8"/>
  <c r="P190" i="8" s="1"/>
  <c r="P189" i="8"/>
  <c r="D188" i="8"/>
  <c r="D190" i="8" s="1"/>
  <c r="D189" i="8"/>
  <c r="L189" i="8"/>
  <c r="L188" i="8"/>
  <c r="L190" i="8" s="1"/>
  <c r="G28" i="6"/>
  <c r="G18" i="6"/>
  <c r="Q37" i="6"/>
  <c r="N11" i="6"/>
  <c r="S17" i="6"/>
  <c r="R43" i="6"/>
  <c r="R14" i="6"/>
  <c r="P14" i="6"/>
  <c r="Q14" i="6"/>
  <c r="O14" i="6"/>
  <c r="AU18" i="9"/>
  <c r="R40" i="6"/>
  <c r="S14" i="6"/>
  <c r="AU43" i="9"/>
  <c r="AW517" i="10"/>
  <c r="AW515" i="10"/>
  <c r="AW518" i="10"/>
  <c r="AW516" i="10"/>
  <c r="AW514" i="10"/>
  <c r="AW888" i="10"/>
  <c r="AW901" i="10"/>
  <c r="AW892" i="10"/>
  <c r="AW893" i="10"/>
  <c r="AW900" i="10"/>
  <c r="AW890" i="10"/>
  <c r="AW891" i="10"/>
  <c r="AW889" i="10"/>
  <c r="AW694" i="10"/>
  <c r="AW689" i="10"/>
  <c r="AW693" i="10"/>
  <c r="AW690" i="10"/>
  <c r="AW691" i="10"/>
  <c r="AW692" i="10"/>
  <c r="AW814" i="10"/>
  <c r="AW810" i="10"/>
  <c r="AW809" i="10"/>
  <c r="AW813" i="10"/>
  <c r="AW812" i="10"/>
  <c r="AW811" i="10"/>
  <c r="R37" i="6"/>
  <c r="S11" i="6"/>
  <c r="R13" i="6"/>
  <c r="P13" i="6"/>
  <c r="O13" i="6"/>
  <c r="Q13" i="6"/>
  <c r="R23" i="6"/>
  <c r="Q23" i="6"/>
  <c r="P23" i="6"/>
  <c r="O23" i="6"/>
  <c r="AW588" i="10"/>
  <c r="AW590" i="10"/>
  <c r="AW586" i="10"/>
  <c r="AW589" i="10"/>
  <c r="AW587" i="10"/>
  <c r="AU22" i="9"/>
  <c r="AW788" i="10"/>
  <c r="AW791" i="10"/>
  <c r="AW789" i="10"/>
  <c r="AW790" i="10"/>
  <c r="AW787" i="10"/>
  <c r="AW829" i="10"/>
  <c r="AW830" i="10"/>
  <c r="AW828" i="10"/>
  <c r="AW831" i="10"/>
  <c r="AW764" i="10"/>
  <c r="AW765" i="10"/>
  <c r="AW763" i="10"/>
  <c r="AW761" i="10"/>
  <c r="AW762" i="10"/>
  <c r="AW766" i="10"/>
  <c r="AU70" i="9"/>
  <c r="AU32" i="9"/>
  <c r="AW758" i="10"/>
  <c r="AW760" i="10"/>
  <c r="AW759" i="10"/>
  <c r="AW757" i="10"/>
  <c r="AW756" i="10"/>
  <c r="AW613" i="10"/>
  <c r="AW612" i="10"/>
  <c r="AW618" i="10"/>
  <c r="AW611" i="10"/>
  <c r="AW614" i="10"/>
  <c r="AW615" i="10"/>
  <c r="AU20" i="9"/>
  <c r="AU37" i="9"/>
  <c r="AU68" i="9"/>
  <c r="R188" i="8"/>
  <c r="R190" i="8" s="1"/>
  <c r="R189" i="8"/>
  <c r="O37" i="6"/>
  <c r="U10" i="6"/>
  <c r="N12" i="6"/>
  <c r="Q38" i="6"/>
  <c r="M189" i="8"/>
  <c r="M188" i="8"/>
  <c r="M190" i="8" s="1"/>
  <c r="N17" i="6"/>
  <c r="Q43" i="6"/>
  <c r="Q44" i="6"/>
  <c r="N18" i="6"/>
  <c r="AU61" i="9"/>
  <c r="AU52" i="9"/>
  <c r="AW844" i="10"/>
  <c r="AW845" i="10"/>
  <c r="AW843" i="10"/>
  <c r="AW842" i="10"/>
  <c r="U104" i="12"/>
  <c r="AW846" i="10"/>
  <c r="AW841" i="10"/>
  <c r="E188" i="8"/>
  <c r="E190" i="8" s="1"/>
  <c r="E189" i="8"/>
  <c r="AU46" i="9"/>
  <c r="S189" i="8"/>
  <c r="S188" i="8"/>
  <c r="S190" i="8" s="1"/>
  <c r="R39" i="6"/>
  <c r="S13" i="6"/>
  <c r="AW592" i="10"/>
  <c r="AW570" i="10"/>
  <c r="AW569" i="10"/>
  <c r="AW568" i="10"/>
  <c r="AW571" i="10"/>
  <c r="AW572" i="10"/>
  <c r="AW567" i="10"/>
  <c r="U105" i="12"/>
  <c r="AW783" i="10"/>
  <c r="AW786" i="10"/>
  <c r="AW784" i="10"/>
  <c r="AW785" i="10"/>
  <c r="AW781" i="10"/>
  <c r="AW782" i="10"/>
  <c r="AW657" i="10"/>
  <c r="AW652" i="10"/>
  <c r="AW656" i="10"/>
  <c r="AW655" i="10"/>
  <c r="AW654" i="10"/>
  <c r="AW653" i="10"/>
  <c r="AW642" i="10"/>
  <c r="AW640" i="10"/>
  <c r="AW645" i="10"/>
  <c r="AW643" i="10"/>
  <c r="AW641" i="10"/>
  <c r="AW644" i="10"/>
  <c r="U109" i="12"/>
  <c r="P10" i="6"/>
  <c r="O10" i="6"/>
  <c r="Q10" i="6"/>
  <c r="R10" i="6"/>
  <c r="AW827" i="10"/>
  <c r="AW826" i="10"/>
  <c r="AW825" i="10"/>
  <c r="AU31" i="9"/>
  <c r="H189" i="8"/>
  <c r="H188" i="8"/>
  <c r="H190" i="8" s="1"/>
  <c r="AU67" i="9"/>
  <c r="AU49" i="9"/>
  <c r="AW678" i="10"/>
  <c r="AW677" i="10"/>
  <c r="AW680" i="10"/>
  <c r="AW679" i="10"/>
  <c r="AW682" i="10"/>
  <c r="AW681" i="10"/>
  <c r="AW602" i="10"/>
  <c r="AW599" i="10"/>
  <c r="AW603" i="10"/>
  <c r="AW600" i="10"/>
  <c r="AW604" i="10"/>
  <c r="AW601" i="10"/>
  <c r="U112" i="12"/>
  <c r="AU62" i="9"/>
  <c r="AW683" i="10"/>
  <c r="AW686" i="10"/>
  <c r="AW685" i="10"/>
  <c r="AW687" i="10"/>
  <c r="AW684" i="10"/>
  <c r="AW688" i="10"/>
  <c r="AW894" i="10"/>
  <c r="AW895" i="10"/>
  <c r="AU8" i="9"/>
  <c r="AU63" i="9"/>
  <c r="AU56" i="9"/>
  <c r="AU13" i="9"/>
  <c r="AU39" i="9"/>
  <c r="AU17" i="9"/>
  <c r="AU15" i="9"/>
  <c r="AU45" i="9"/>
  <c r="AU11" i="9"/>
  <c r="AU7" i="9"/>
  <c r="AU10" i="9"/>
  <c r="AU35" i="9"/>
  <c r="AU6" i="9"/>
  <c r="AU36" i="9"/>
  <c r="AU16" i="9"/>
  <c r="AU65" i="9"/>
  <c r="AU5" i="9"/>
  <c r="AU64" i="9"/>
  <c r="AU9" i="9"/>
  <c r="AU29" i="9"/>
  <c r="AU30" i="9"/>
  <c r="AU58" i="9"/>
  <c r="AU28" i="9"/>
  <c r="AW855" i="10"/>
  <c r="AW854" i="10"/>
  <c r="AW856" i="10"/>
  <c r="AW853" i="10"/>
  <c r="AW858" i="10"/>
  <c r="AW857" i="10"/>
  <c r="B188" i="8"/>
  <c r="B190" i="8" s="1"/>
  <c r="B189" i="8"/>
  <c r="G14" i="6"/>
  <c r="G32" i="6"/>
  <c r="S12" i="6"/>
  <c r="R38" i="6"/>
  <c r="Q39" i="6"/>
  <c r="N13" i="6"/>
  <c r="AW624" i="10"/>
  <c r="AW622" i="10"/>
  <c r="AW619" i="10"/>
  <c r="AW639" i="10"/>
  <c r="AW621" i="10"/>
  <c r="AW620" i="10"/>
  <c r="AW623" i="10"/>
  <c r="AW733" i="10"/>
  <c r="AW734" i="10"/>
  <c r="AW735" i="10"/>
  <c r="AW731" i="10"/>
  <c r="AW730" i="10"/>
  <c r="AW732" i="10"/>
  <c r="AU25" i="9"/>
  <c r="AW534" i="10"/>
  <c r="AW532" i="10"/>
  <c r="AW535" i="10"/>
  <c r="AW531" i="10"/>
  <c r="AW533" i="10"/>
  <c r="AW536" i="10"/>
  <c r="AU54" i="9"/>
  <c r="R44" i="6"/>
  <c r="S18" i="6"/>
  <c r="O36" i="6"/>
  <c r="T10" i="6"/>
  <c r="R17" i="6"/>
  <c r="Q17" i="6"/>
  <c r="P17" i="6"/>
  <c r="O17" i="6"/>
  <c r="AU19" i="9"/>
  <c r="AW716" i="10"/>
  <c r="AW718" i="10"/>
  <c r="AW719" i="10"/>
  <c r="AW715" i="10"/>
  <c r="AW714" i="10"/>
  <c r="AW717" i="10"/>
  <c r="AU21" i="9"/>
  <c r="G31" i="6"/>
  <c r="AW749" i="10"/>
  <c r="AW750" i="10"/>
  <c r="AW751" i="10"/>
  <c r="AW748" i="10"/>
  <c r="AU14" i="9"/>
  <c r="AU23" i="9"/>
  <c r="AW755" i="10"/>
  <c r="AW753" i="10"/>
  <c r="AW752" i="10"/>
  <c r="AW754" i="10"/>
  <c r="U111" i="12"/>
  <c r="AW511" i="10"/>
  <c r="AW509" i="10"/>
  <c r="AW507" i="10"/>
  <c r="AW510" i="10"/>
  <c r="AW512" i="10"/>
  <c r="AW508" i="10"/>
  <c r="AW513" i="10"/>
  <c r="AW917" i="10"/>
  <c r="AW918" i="10"/>
  <c r="AW919" i="10"/>
  <c r="AW916" i="10"/>
  <c r="Q189" i="8"/>
  <c r="Q188" i="8"/>
  <c r="Q190" i="8" s="1"/>
  <c r="G23" i="6"/>
  <c r="Q40" i="6"/>
  <c r="N14" i="6"/>
  <c r="AW667" i="10"/>
  <c r="AW663" i="10"/>
  <c r="AW666" i="10"/>
  <c r="AW664" i="10"/>
  <c r="AW665" i="10"/>
  <c r="N16" i="6"/>
  <c r="Q42" i="6"/>
  <c r="AU74" i="9"/>
  <c r="R42" i="6"/>
  <c r="S16" i="6"/>
  <c r="N19" i="6"/>
  <c r="Q45" i="6"/>
  <c r="AU44" i="9"/>
  <c r="AU66" i="9"/>
  <c r="AU50" i="9"/>
  <c r="P27" i="6"/>
  <c r="Q27" i="6"/>
  <c r="R27" i="6"/>
  <c r="O27" i="6"/>
  <c r="AW767" i="10"/>
  <c r="AW770" i="10"/>
  <c r="AW768" i="10"/>
  <c r="AW769" i="10"/>
  <c r="AW566" i="10"/>
  <c r="AW555" i="10"/>
  <c r="AW554" i="10"/>
  <c r="AW557" i="10"/>
  <c r="AW553" i="10"/>
  <c r="AW564" i="10"/>
  <c r="AW556" i="10"/>
  <c r="AW552" i="10"/>
  <c r="AW551" i="10"/>
  <c r="AW866" i="10"/>
  <c r="AW863" i="10"/>
  <c r="AW867" i="10"/>
  <c r="AW864" i="10"/>
  <c r="AW865" i="10"/>
  <c r="AU73" i="9"/>
  <c r="AU33" i="9"/>
  <c r="AW523" i="10"/>
  <c r="AW521" i="10"/>
  <c r="AW519" i="10"/>
  <c r="AW522" i="10"/>
  <c r="AW524" i="10"/>
  <c r="AW520" i="10"/>
  <c r="U113" i="12"/>
  <c r="AE5" i="9"/>
  <c r="B62" i="8"/>
  <c r="B61" i="8"/>
  <c r="AU48" i="9"/>
  <c r="AW881" i="10"/>
  <c r="AW880" i="10"/>
  <c r="AW886" i="10"/>
  <c r="AW887" i="10"/>
  <c r="AW885" i="10"/>
  <c r="AW882" i="10"/>
  <c r="AW884" i="10"/>
  <c r="AW883" i="10"/>
  <c r="AU72" i="9"/>
  <c r="Q16" i="6"/>
  <c r="O16" i="6"/>
  <c r="R16" i="6"/>
  <c r="AU27" i="9"/>
  <c r="AW778" i="10"/>
  <c r="AW780" i="10"/>
  <c r="AW777" i="10"/>
  <c r="AW776" i="10"/>
  <c r="AW779" i="10"/>
  <c r="AU75" i="9"/>
  <c r="AW711" i="10"/>
  <c r="AW707" i="10"/>
  <c r="AW708" i="10"/>
  <c r="AW709" i="10"/>
  <c r="AW712" i="10"/>
  <c r="AW713" i="10"/>
  <c r="AW710" i="10"/>
  <c r="U107" i="12"/>
  <c r="AW606" i="10"/>
  <c r="AW607" i="10"/>
  <c r="AW605" i="10"/>
  <c r="AW609" i="10"/>
  <c r="AW610" i="10"/>
  <c r="AW608" i="10"/>
  <c r="AU53" i="9"/>
  <c r="C188" i="8"/>
  <c r="C190" i="8" s="1"/>
  <c r="C189" i="8"/>
  <c r="F188" i="8"/>
  <c r="F190" i="8" s="1"/>
  <c r="F189" i="8"/>
  <c r="W10" i="6"/>
  <c r="O39" i="6"/>
  <c r="Q41" i="6"/>
  <c r="N15" i="6"/>
  <c r="AW647" i="10"/>
  <c r="AW646" i="10"/>
  <c r="AW648" i="10"/>
  <c r="AW649" i="10"/>
  <c r="AW651" i="10"/>
  <c r="AW650" i="10"/>
  <c r="AW802" i="10"/>
  <c r="AW800" i="10"/>
  <c r="AW799" i="10"/>
  <c r="AW801" i="10"/>
  <c r="AW798" i="10"/>
  <c r="P12" i="6" l="1"/>
  <c r="U37" i="6"/>
  <c r="O22" i="6"/>
  <c r="P22" i="6"/>
  <c r="R22" i="6"/>
  <c r="Q12" i="6"/>
  <c r="U39" i="6"/>
  <c r="C180" i="22"/>
  <c r="P29" i="6"/>
  <c r="R29" i="6"/>
  <c r="O29" i="6"/>
  <c r="Q29" i="6"/>
  <c r="R21" i="6"/>
  <c r="Q21" i="6"/>
  <c r="P21" i="6"/>
  <c r="O21" i="6"/>
  <c r="P18" i="6"/>
  <c r="R18" i="6"/>
  <c r="Q18" i="6"/>
  <c r="O18" i="6"/>
  <c r="R28" i="6"/>
  <c r="Q28" i="6"/>
  <c r="P28" i="6"/>
  <c r="O28" i="6"/>
  <c r="U101" i="12"/>
  <c r="AW503" i="10"/>
  <c r="AW506" i="10"/>
  <c r="AW500" i="10"/>
  <c r="F180" i="22" s="1"/>
  <c r="AW501" i="10"/>
  <c r="AW505" i="10"/>
  <c r="AW502" i="10"/>
  <c r="AW504" i="10"/>
  <c r="Q25" i="6"/>
  <c r="R25" i="6"/>
  <c r="P25" i="6"/>
  <c r="O25" i="6"/>
  <c r="R20" i="6"/>
  <c r="Q20" i="6"/>
  <c r="O20" i="6"/>
  <c r="P20" i="6"/>
  <c r="Q11" i="6"/>
  <c r="O11" i="6"/>
  <c r="R11" i="6"/>
  <c r="P11" i="6"/>
  <c r="U36" i="6"/>
  <c r="B178" i="1"/>
  <c r="R26" i="6"/>
  <c r="Q26" i="6"/>
  <c r="P26" i="6"/>
  <c r="O26" i="6"/>
  <c r="Q19" i="6"/>
  <c r="P19" i="6"/>
  <c r="O19" i="6"/>
  <c r="R19" i="6"/>
  <c r="R15" i="6"/>
  <c r="Q15" i="6"/>
  <c r="P15" i="6"/>
  <c r="O15" i="6"/>
  <c r="U38" i="6"/>
</calcChain>
</file>

<file path=xl/sharedStrings.xml><?xml version="1.0" encoding="utf-8"?>
<sst xmlns="http://schemas.openxmlformats.org/spreadsheetml/2006/main" count="60221" uniqueCount="16924">
  <si>
    <t>RR Framework — Guidelines</t>
  </si>
  <si>
    <t>Consolidated user guide, methodology, model calibration, workbook map, and change history for the RR-framework Excel tool.</t>
  </si>
  <si>
    <t>Workbook status</t>
  </si>
  <si>
    <t>Workbook version</t>
  </si>
  <si>
    <t>v3.0</t>
  </si>
  <si>
    <t>Static audit fixes: hardened visible crisis fallback, cleaned initiative QIDs, aligned risk→initiative coverage, normalized dropdown registry.</t>
  </si>
  <si>
    <t>Build ID</t>
  </si>
  <si>
    <t>Build ID derives from Guidelines!B5 so the current version is maintained in one place.</t>
  </si>
  <si>
    <t>Recommended audience</t>
  </si>
  <si>
    <t>CEO / COO / CTO / CIO / CFO / CHRO / Consultant / Analyst</t>
  </si>
  <si>
    <t>Business users should focus on visible workflow sheets; model owners may use calibration/config sheets.</t>
  </si>
  <si>
    <t>Monte Carlo mode</t>
  </si>
  <si>
    <t>Default should be Frozen for public templates and formal reports.</t>
  </si>
  <si>
    <t>Live seed / Frozen seed</t>
  </si>
  <si>
    <t>Change mc_live_seed only for intentional reruns; copy to mc_frozen_seed when freezing a scenario.</t>
  </si>
  <si>
    <t>0. Quick navigation</t>
  </si>
  <si>
    <t>Section</t>
  </si>
  <si>
    <t>Action</t>
  </si>
  <si>
    <t>Purpose</t>
  </si>
  <si>
    <t>Internal link</t>
  </si>
  <si>
    <t>How to use this file</t>
  </si>
  <si>
    <t>Go to section 1</t>
  </si>
  <si>
    <t>Step-by-step workflow from company profile to roadmap.</t>
  </si>
  <si>
    <t>#Guidelines!A18</t>
  </si>
  <si>
    <t>Quick menu</t>
  </si>
  <si>
    <t>Select a topic</t>
  </si>
  <si>
    <t>Use the table links or Excel outline +/- controls to expand/collapse sections.</t>
  </si>
  <si>
    <t>Methodology &amp; calculations</t>
  </si>
  <si>
    <t>Go to section 2</t>
  </si>
  <si>
    <t>Scoring, risk engine, crisis simulation, MC VaR/CVaR, WSJF.</t>
  </si>
  <si>
    <t>#Guidelines!A39</t>
  </si>
  <si>
    <t>Calibration &amp; weights</t>
  </si>
  <si>
    <t>Go to section 3</t>
  </si>
  <si>
    <t>Which parameters can be tuned and where they live.</t>
  </si>
  <si>
    <t>#Guidelines!A70</t>
  </si>
  <si>
    <t>Workbook tabs</t>
  </si>
  <si>
    <t>Go to section 4</t>
  </si>
  <si>
    <t>Visible, hidden, and veryHidden sheets with edit policy.</t>
  </si>
  <si>
    <t>#Guidelines!A98</t>
  </si>
  <si>
    <t>Change history</t>
  </si>
  <si>
    <t>Go to section 5</t>
  </si>
  <si>
    <t>Release notes from v2.0 to current release.</t>
  </si>
  <si>
    <t>#Guidelines!A140</t>
  </si>
  <si>
    <t>1. How to use this file</t>
  </si>
  <si>
    <t>Step</t>
  </si>
  <si>
    <t>What to do</t>
  </si>
  <si>
    <t>Description</t>
  </si>
  <si>
    <t>Primary sheet</t>
  </si>
  <si>
    <t>1</t>
  </si>
  <si>
    <t>Start with Company Profile</t>
  </si>
  <si>
    <t>Enter company size, industry, geography, revenue model, location criticality, crisis exposure, concentration risks, and operational context.</t>
  </si>
  <si>
    <t>Company Profile</t>
  </si>
  <si>
    <t>2</t>
  </si>
  <si>
    <t>Complete the assessment</t>
  </si>
  <si>
    <t>Use Assessment Questions / AS-IS Assessment to evaluate digitalization, process maturity, organizational resilience, crisis readiness, and domain capabilities.</t>
  </si>
  <si>
    <t>Assessment Questions; AS-IS Assessment</t>
  </si>
  <si>
    <t>3</t>
  </si>
  <si>
    <t>Review AS-IS diagnostics</t>
  </si>
  <si>
    <t>Check maturity gaps, weak domains, scoring distribution, and management-level interpretation before moving to risk and strategy.</t>
  </si>
  <si>
    <t>AS-IS Assessment</t>
  </si>
  <si>
    <t>4</t>
  </si>
  <si>
    <t>Run risk and crisis scenario review</t>
  </si>
  <si>
    <t>Use Resilience &amp; Risk Scenario to review risk exposure, crisis amplification, Indexed VaR/CVaR, and top areas of vulnerability.</t>
  </si>
  <si>
    <t>Resilience &amp; Risk Scenario</t>
  </si>
  <si>
    <t>5</t>
  </si>
  <si>
    <t>Build action plan and roadmap</t>
  </si>
  <si>
    <t>Review prioritized initiatives, WSJF, strategic alignment, risk pressure, financial value, and roadmap waves.</t>
  </si>
  <si>
    <t>Action Plan &amp; Roadmap</t>
  </si>
  <si>
    <t>6</t>
  </si>
  <si>
    <t>Calibrate only when needed</t>
  </si>
  <si>
    <t>Consultants/model owners can adjust weights and assumptions in config sheets. Always document changes and rerun QA checks.</t>
  </si>
  <si>
    <t>Guidelines + hidden config sheets</t>
  </si>
  <si>
    <t>Operating principles</t>
  </si>
  <si>
    <t>Principle</t>
  </si>
  <si>
    <t>Guidance</t>
  </si>
  <si>
    <t>Client-facing use</t>
  </si>
  <si>
    <t>Use the six visible workflow sheets. Hidden/veryHidden sheets are calculation and configuration layers.</t>
  </si>
  <si>
    <t>Public template mode</t>
  </si>
  <si>
    <t>Public templates should ship with Monte Carlo in Frozen mode and with one visible documentation hub: Guidelines.</t>
  </si>
  <si>
    <t>Formal report mode</t>
  </si>
  <si>
    <t>Record selected crisis scenario, mc_mode, active seed, date/time of run, and any calibration changes.</t>
  </si>
  <si>
    <t>Excel limitation</t>
  </si>
  <si>
    <t>The RR-framework Excel file is a calculation/model prototype. The future web-app should implement governed backend calculation, audit logs, and deterministic simulation runs.</t>
  </si>
  <si>
    <t>2. Methodology &amp; calculations</t>
  </si>
  <si>
    <t>Logic block</t>
  </si>
  <si>
    <t>How it works</t>
  </si>
  <si>
    <t>Important note</t>
  </si>
  <si>
    <t>Assessment scoring</t>
  </si>
  <si>
    <t>Question-level scores are aggregated into maturity, process, digitalization and resilience views.</t>
  </si>
  <si>
    <t>Input: Assessment Questions. Output: _DATA_Assessment_Model / dashboard facts.</t>
  </si>
  <si>
    <t>Profile Vector</t>
  </si>
  <si>
    <t>Company Profile values are normalized into canonical model fields such as Canonical Industry, Org Type, cloud dependency, data criticality, supplier dependency, physical footprint and selected crisis.</t>
  </si>
  <si>
    <t>Downstream logic should consume PV_* named outputs, not raw profile cells.</t>
  </si>
  <si>
    <t>Relevance Engine</t>
  </si>
  <si>
    <t>Applicability gates, context multipliers and crisis dominance determine whether a capability/risk/initiative is relevant for the company.</t>
  </si>
  <si>
    <t>Hard exclusions must be applied before ranking; they are not merely low weights.</t>
  </si>
  <si>
    <t>Capability Bridge</t>
  </si>
  <si>
    <t>Broad domains and subdomains are mapped to Capability_ID so SaaS, Banking, Retail and Manufacturing can share the same engine without misleading labels.</t>
  </si>
  <si>
    <t>Use Capability_ID for ranking and wording; do not rely on text labels alone.</t>
  </si>
  <si>
    <t>Risk engine</t>
  </si>
  <si>
    <t>Assessment gaps and scenario pressure become capability-adjusted risk exposure and prioritized risk items.</t>
  </si>
  <si>
    <t>Risk ontology sheets document the canonical output schema.</t>
  </si>
  <si>
    <t>Treatment Library</t>
  </si>
  <si>
    <t>Current maturity band selects the appropriate action style: establish, standardize, integrate, optimize or stress-test.</t>
  </si>
  <si>
    <t>High maturity companies should receive evidence/proof/stress-test treatments, not beginner recommendations.</t>
  </si>
  <si>
    <t>Industry Wording</t>
  </si>
  <si>
    <t>The same capability receives different risk/recommendation wording by industry.</t>
  </si>
  <si>
    <t>Prevents MES/WMS/TMS wording for SaaS/Banking and core banking wording for Manufacturing.</t>
  </si>
  <si>
    <t>Crisis simulation</t>
  </si>
  <si>
    <t>Selected crisis and severity apply dominance multipliers and cascade logic.</t>
  </si>
  <si>
    <t>Ransomware should prioritize cyber/DR/data/legal/system themes; cloud outage should prioritize platform/cloud/SRE/customer communication.</t>
  </si>
  <si>
    <t>Monte Carlo / indexed exposure</t>
  </si>
  <si>
    <t>Deterministic seed-based Monte Carlo and analytic VaR/CVaR remain directional indexed outputs unless calibrated with financial loss data.</t>
  </si>
  <si>
    <t>Keep Frozen mode for formal reports.</t>
  </si>
  <si>
    <t>Model chain — from company context to roadmap (current v3.0)</t>
  </si>
  <si>
    <t>Order</t>
  </si>
  <si>
    <t>Layer</t>
  </si>
  <si>
    <t>Output</t>
  </si>
  <si>
    <t>Source of truth / control</t>
  </si>
  <si>
    <t>Company Profile inputs</t>
  </si>
  <si>
    <t>Structured company context, selected crisis, operating model and controlled dropdown values</t>
  </si>
  <si>
    <t>Company Profile + _REF_Dropdowns</t>
  </si>
  <si>
    <t>Canonical industry, org type, dependency, concentration, regulatory/data/physical context</t>
  </si>
  <si>
    <t>_ENGINE_Profile_Vector</t>
  </si>
  <si>
    <t>Assessment answers</t>
  </si>
  <si>
    <t>Question-level maturity/evidence/confidence data</t>
  </si>
  <si>
    <t>Assessment Questions → _DATA_Assessment_Model</t>
  </si>
  <si>
    <t>Industry applicability, hard gates, context relevance and crisis dominance</t>
  </si>
  <si>
    <t>_ENGINE_Relevance + _REF_Applicability_Gates + _REF_Context_Relevance + _REF_Crisis_Dominance</t>
  </si>
  <si>
    <t>Domain/subdomain/initiative/risk mapped to Capability_ID</t>
  </si>
  <si>
    <t>_REF_Capability_Taxonomy + _REF_Capability_Bridge</t>
  </si>
  <si>
    <t>Risk interpretation</t>
  </si>
  <si>
    <t>Capability-adjusted risk pressure, scenario effects and ontology-driven risk outputs</t>
  </si>
  <si>
    <t>_ENGINE_Risk + _REF_Risk_Ontology</t>
  </si>
  <si>
    <t>Treatment / wording selection</t>
  </si>
  <si>
    <t>Maturity-aware recommendation pattern and industry-specific wording</t>
  </si>
  <si>
    <t>_REF_Treatment_Library + _REF_Industry_Wording</t>
  </si>
  <si>
    <t>Initiative prioritization</t>
  </si>
  <si>
    <t>Capability/relevance-adjusted WSJF and roadmap wave assignment</t>
  </si>
  <si>
    <t>_ENGINE_Initiatives + _REF_Initiative_Ontology</t>
  </si>
  <si>
    <t>Visible outputs / backend contract</t>
  </si>
  <si>
    <t>Dashboards, roadmap, lineage, data dictionary and import contract</t>
  </si>
  <si>
    <t>_REF_Output_Reconciliation + _LINT (consolidated) + _REF_Backend_*</t>
  </si>
  <si>
    <t>3. Calibration &amp; weights</t>
  </si>
  <si>
    <t>Profile normalization</t>
  </si>
  <si>
    <t>_REF_Industry_Aliases; _ENGINE_Profile_Vector</t>
  </si>
  <si>
    <t>Maintain aliases, canonical industry keys and derived profile factors before tuning downstream logic.</t>
  </si>
  <si>
    <t>Model owner</t>
  </si>
  <si>
    <t>Dropdown / controlled inputs</t>
  </si>
  <si>
    <t>_REF_Dropdowns; Company Profile validations</t>
  </si>
  <si>
    <t>Add new user-facing categories here before using them in relevance or backend mapping.</t>
  </si>
  <si>
    <t>Product/model owner</t>
  </si>
  <si>
    <t>Applicability / hard gates</t>
  </si>
  <si>
    <t>_REF_Applicability_Gates; _ENGINE_Relevance</t>
  </si>
  <si>
    <t>Use hard gates for impossible/irrelevant capability combinations, not just weak weights.</t>
  </si>
  <si>
    <t>Context relevance</t>
  </si>
  <si>
    <t>_REF_Context_Relevance; _ENGINE_Profile_Vector</t>
  </si>
  <si>
    <t>Tune how cloud, physical footprint, data, regulatory, supplier/customer concentration and workforce factors affect relevance.</t>
  </si>
  <si>
    <t>Consultant/model owner</t>
  </si>
  <si>
    <t>Crisis dominance</t>
  </si>
  <si>
    <t>_REF_Crisis_Dominance</t>
  </si>
  <si>
    <t>Tune scenario-specific dominance rules and ensure top-N sanity checks remain valid.</t>
  </si>
  <si>
    <t>Scenario owner</t>
  </si>
  <si>
    <t>Capability taxonomy / bridge</t>
  </si>
  <si>
    <t>_REF_Capability_Taxonomy; _REF_Capability_Bridge</t>
  </si>
  <si>
    <t>Map domains, subdomains, risks and initiatives to Capability_ID. Avoid text-label-only rules.</t>
  </si>
  <si>
    <t>Treatment / maturity bands</t>
  </si>
  <si>
    <t>_REF_Treatment_Library</t>
  </si>
  <si>
    <t>Tune action language and KPI/evidence by capability, industry and maturity score band.</t>
  </si>
  <si>
    <t>Industry wording</t>
  </si>
  <si>
    <t>_REF_Industry_Wording</t>
  </si>
  <si>
    <t>Maintain preferred/forbidden terms and industry-specific examples.</t>
  </si>
  <si>
    <t>Content owner</t>
  </si>
  <si>
    <t>Backend import contract</t>
  </si>
  <si>
    <t>_REF_Backend_*; _API_Import_Contract</t>
  </si>
  <si>
    <t>Keep entity/field mappings aligned with future web/backend model.</t>
  </si>
  <si>
    <t>Backend/product owner</t>
  </si>
  <si>
    <t>Calibration governance checklist</t>
  </si>
  <si>
    <t>Control point</t>
  </si>
  <si>
    <t>Required action</t>
  </si>
  <si>
    <t>Before changing weights</t>
  </si>
  <si>
    <t>Define reason, affected domain, client/industry assumption, and expected direction of change.</t>
  </si>
  <si>
    <t>When changing assumptions</t>
  </si>
  <si>
    <t>Change config/data sheets, not formulas in engine sheets, unless doing advanced model development.</t>
  </si>
  <si>
    <t>After changing mappings</t>
  </si>
  <si>
    <t>Check invalid IDs, missing IDs, duplicate IDs, and coverage of risk questions.</t>
  </si>
  <si>
    <t>After Monte Carlo rerun</t>
  </si>
  <si>
    <t>Record mc_mode, active seed, scenario, date, and freeze the seed for reports.</t>
  </si>
  <si>
    <t>Before sharing externally</t>
  </si>
  <si>
    <t>Keep public templates in Frozen mode, hide legacy/internal sheets, and validate that no formula error tokens are present.</t>
  </si>
  <si>
    <t>4. Workbook tabs and edit policy</t>
  </si>
  <si>
    <t>Sheet</t>
  </si>
  <si>
    <t>Visibility / role</t>
  </si>
  <si>
    <t>Edit policy</t>
  </si>
  <si>
    <t>Guidelines</t>
  </si>
  <si>
    <t>Visible</t>
  </si>
  <si>
    <t>Consolidated guide, methodology, calibration guide, workbook map, change history.</t>
  </si>
  <si>
    <t>Edit content only; do not place calculations here.</t>
  </si>
  <si>
    <t>Company context, segmentation inputs, crisis exposure, operational profile.</t>
  </si>
  <si>
    <t>Client/consultant editable.</t>
  </si>
  <si>
    <t>Assessment Questions</t>
  </si>
  <si>
    <t>Questionnaire and scoring input layer for domain assessment.</t>
  </si>
  <si>
    <t>Client/consultant editable where input fields are provided.</t>
  </si>
  <si>
    <t>Dashboard-like diagnostic output for current maturity/resilience state.</t>
  </si>
  <si>
    <t>Review only; formulas should be protected.</t>
  </si>
  <si>
    <t>Risk scenario, crisis stress test, Indexed VaR/CVaR, exposure matrix, fuzzy posture radar and risk visualization.</t>
  </si>
  <si>
    <t>Review scenario outputs; use configuration sheets for deep calibration.</t>
  </si>
  <si>
    <t>Prioritized initiatives, WSJF, roadmap waves, action planning matrix and portfolio visualization.</t>
  </si>
  <si>
    <t>Review/edit action planning fields where designed.</t>
  </si>
  <si>
    <t>_DATA_Assessment_Model</t>
  </si>
  <si>
    <t>Hidden</t>
  </si>
  <si>
    <t>Assessment model, question metadata, score logic data.</t>
  </si>
  <si>
    <t>Model owner only.</t>
  </si>
  <si>
    <t>_DATA_Dashboard_Facts</t>
  </si>
  <si>
    <t>Dashboard staging and computed facts.</t>
  </si>
  <si>
    <t>Do not manually edit formulas.</t>
  </si>
  <si>
    <t>_ENGINE_Initiatives</t>
  </si>
  <si>
    <t>VeryHidden</t>
  </si>
  <si>
    <t>Initiative value, risk pressure, WSJF and roadmap logic.</t>
  </si>
  <si>
    <t>Engine layer; advanced model owner only.</t>
  </si>
  <si>
    <t>_DATA_Mappings</t>
  </si>
  <si>
    <t>Recommendation mapping table.</t>
  </si>
  <si>
    <t>_ENGINE_Risk</t>
  </si>
  <si>
    <t>Risk scoring, control weakness, evidence, standards, crisis tags and risk distribution logic.</t>
  </si>
  <si>
    <t>_ENGINE_Crisis</t>
  </si>
  <si>
    <t>Crisis scenario logic and multipliers.</t>
  </si>
  <si>
    <t>_ENGINE_Strategy</t>
  </si>
  <si>
    <t>Strategy fit and objective weighting logic.</t>
  </si>
  <si>
    <t>_REF_Model_Content</t>
  </si>
  <si>
    <t>Reference content, benchmarks, templates and descriptive libraries.</t>
  </si>
  <si>
    <t>Content/model owner.</t>
  </si>
  <si>
    <t>_CONFIG_Model_Settings</t>
  </si>
  <si>
    <t>Global model settings, weights, financial anchors, Monte Carlo mode and seeds.</t>
  </si>
  <si>
    <t>_ENGINE_Fuzzy_Posture</t>
  </si>
  <si>
    <t>Fuzzy classification of posture/state.</t>
  </si>
  <si>
    <t>_CONFIG_Risk_Calibration</t>
  </si>
  <si>
    <t>Risk calibration parameters.</t>
  </si>
  <si>
    <t>Risk/model owner only.</t>
  </si>
  <si>
    <t>_ENGINE_Simulation</t>
  </si>
  <si>
    <t>Analytic portfolio simulation and VaR/CVaR calculations.</t>
  </si>
  <si>
    <t>_ENGINE_MonteCarlo</t>
  </si>
  <si>
    <t>Deterministic seed-based Monte Carlo iterations.</t>
  </si>
  <si>
    <t>_DATA_RiskInitiativeMap</t>
  </si>
  <si>
    <t>Question/risk-to-initiative coverage mapping.</t>
  </si>
  <si>
    <t>5. Change history</t>
  </si>
  <si>
    <t>Version</t>
  </si>
  <si>
    <t>Theme</t>
  </si>
  <si>
    <t>What changed</t>
  </si>
  <si>
    <t>v2.0</t>
  </si>
  <si>
    <t>Clean architecture baseline</t>
  </si>
  <si>
    <t>Layered workbook structure, visible workflow sheets, hidden data/config, veryHidden engine layers, clearer assessment-to-roadmap flow.</t>
  </si>
  <si>
    <t>v2.4</t>
  </si>
  <si>
    <t>Quantitative risk layer</t>
  </si>
  <si>
    <t>Added risk table, simulation layer, Monte Carlo logic, Indexed VaR/CVaR outputs, and crisis/risk quantification.</t>
  </si>
  <si>
    <t>v2.5 candidate</t>
  </si>
  <si>
    <t>Risk-initiative mapping &amp; coverage governance</t>
  </si>
  <si>
    <t>Separated risk-initiative mapping, restored standards/evidence/crisis tags, fixed mapping integrity, added coverage governance.</t>
  </si>
  <si>
    <t>v2.9.30 candidate</t>
  </si>
  <si>
    <t>Monte Carlo freeze / deterministic simulation</t>
  </si>
  <si>
    <t>Removed volatile RAND(); added Frozen/Live mode, mc_live_seed/mc_frozen_seed, and reproducible non-volatile Monte Carlo simulation.</t>
  </si>
  <si>
    <t>v2.5.2 candidate</t>
  </si>
  <si>
    <t>Consolidated Guidelines</t>
  </si>
  <si>
    <t>Merged START HERE, Release &amp; QA, Methodology &amp; Controls, and Model Calibration into one visible Guidelines tab; initially kept old pages hidden for traceability.</t>
  </si>
  <si>
    <t>v2.5.3 candidate</t>
  </si>
  <si>
    <t>Guidelines cleanup / legacy sheet deletion</t>
  </si>
  <si>
    <t>Physically deleted four old documentation sheets after confirming they had no calculation-critical dependencies; redirected seven navigation hyperlinks to Guidelines.</t>
  </si>
  <si>
    <t>v2.5.4 candidate</t>
  </si>
  <si>
    <t>AS-IS visual dashboard</t>
  </si>
  <si>
    <t>Added AgileTPI-inspired AS-IS maturity matrix, current-vs-target radar and bar chart.</t>
  </si>
  <si>
    <t>v2.5.5 candidate</t>
  </si>
  <si>
    <t>Risk &amp; Roadmap visual dashboards</t>
  </si>
  <si>
    <t>Added scenario exposure matrix, fuzzy posture radar, domain exposure bar chart, roadmap wave matrix, WSJF component radar and initiative bar chart.</t>
  </si>
  <si>
    <t>Recommended next backlog items</t>
  </si>
  <si>
    <t>Priority</t>
  </si>
  <si>
    <t>Item</t>
  </si>
  <si>
    <t>P0</t>
  </si>
  <si>
    <t>Add automated QA counters to Guidelines</t>
  </si>
  <si>
    <t>Formula error count, invalid mapping IDs, missing risk coverage, duplicate IDs, MC mode/seed status.</t>
  </si>
  <si>
    <t>Add report snapshot block</t>
  </si>
  <si>
    <t>Scenario, date, version, calibration ID, mc_mode, active seed, VaR/CVaR, top risk contributors.</t>
  </si>
  <si>
    <t>P1</t>
  </si>
  <si>
    <t>Add sensitivity analysis</t>
  </si>
  <si>
    <t>Show which calibration factors most influence Indexed VaR/CVaR and roadmap prioritization.</t>
  </si>
  <si>
    <t>v2.9.4</t>
  </si>
  <si>
    <t>Profile Vector layer</t>
  </si>
  <si>
    <t>Added canonical _ENGINE_Profile_Vector and industry alias normalization.</t>
  </si>
  <si>
    <t>v2.9.5</t>
  </si>
  <si>
    <t>Consumer redirect</t>
  </si>
  <si>
    <t>Redirected downstream industry formulas to PV_Canonical_Industry and fixed selected-scenario reference B60→B6.</t>
  </si>
  <si>
    <t>v2.9.6</t>
  </si>
  <si>
    <t>Relevance seed</t>
  </si>
  <si>
    <t>Added applicability gates, crisis dominance and _ENGINE_Relevance seed layer.</t>
  </si>
  <si>
    <t>v2.9.7</t>
  </si>
  <si>
    <t>Relevance consumption</t>
  </si>
  <si>
    <t>Connected final relevance to risk/initiative multiplier fields.</t>
  </si>
  <si>
    <t>v2.9.8</t>
  </si>
  <si>
    <t>Capability bridge</t>
  </si>
  <si>
    <t>Added capability taxonomy/bridge so relevance works below broad domain level.</t>
  </si>
  <si>
    <t>v2.9.9</t>
  </si>
  <si>
    <t>Treatment library</t>
  </si>
  <si>
    <t>Added maturity-aware treatment selection by capability, industry and score band.</t>
  </si>
  <si>
    <t>v2.9.10</t>
  </si>
  <si>
    <t>Added industry-specific wording with preferred/forbidden terminology.</t>
  </si>
  <si>
    <t>v2.9.11</t>
  </si>
  <si>
    <t>Company Profile cleanup</t>
  </si>
  <si>
    <t>Retired duplicate profile fields as derived summaries and added profile vector preview.</t>
  </si>
  <si>
    <t>v2.9.12</t>
  </si>
  <si>
    <t>Relevance expansion</t>
  </si>
  <si>
    <t>Expanded relevance rules with context multipliers and industry-specific crisis dominance.</t>
  </si>
  <si>
    <t>v2.9.13</t>
  </si>
  <si>
    <t>Ontology cleanup</t>
  </si>
  <si>
    <t>Added risk/initiative ontology views and capability-driven schema outputs.</t>
  </si>
  <si>
    <t>v2.9.14</t>
  </si>
  <si>
    <t>Regression pack</t>
  </si>
  <si>
    <t>Created external 10-case regression harness for sanity checks.</t>
  </si>
  <si>
    <t>v2.9.15</t>
  </si>
  <si>
    <t>Legacy retirement</t>
  </si>
  <si>
    <t>Removed active legacy branches and direct raw profile references outside allowed layers.</t>
  </si>
  <si>
    <t>v2.9.16</t>
  </si>
  <si>
    <t>Output reconciliation</t>
  </si>
  <si>
    <t>Documented output lineage and verified dashboards consume the new pipeline.</t>
  </si>
  <si>
    <t>v2.9.17</t>
  </si>
  <si>
    <t>Backend readiness</t>
  </si>
  <si>
    <t>Added backend entity map, data dictionary, field map and import contract.</t>
  </si>
  <si>
    <t>XML repair / version metadata sync</t>
  </si>
  <si>
    <t>Fixed invalid worksheet XML ordering, synchronized version metadata across workbook/config/README/DOC/LINT/core/custom properties, and re-audited formulas, named ranges, relationships and validations.</t>
  </si>
  <si>
    <t>Flow:  Inputs -&gt; ENGINE uses REF/CONFIG -&gt; results land in DATA -&gt; UI reads DATA</t>
  </si>
  <si>
    <t>Initiatives scoring = ONE pipeline: Inputs -&gt; WSJF (fuzzy + industry-adjusted) -&gt; Rank -&gt; Roadmap wave. Legacy v2 ranking retired (v2.7.4).</t>
  </si>
  <si>
    <t>6. QA &amp; integrity (auto-computed)</t>
  </si>
  <si>
    <t>Check</t>
  </si>
  <si>
    <t>Result</t>
  </si>
  <si>
    <t>Target / meaning</t>
  </si>
  <si>
    <t>Self-check (lint) overall</t>
  </si>
  <si>
    <t>Must read ALL OK</t>
  </si>
  <si>
    <t>Formula errors in key outputs</t>
  </si>
  <si>
    <t>Should be 0</t>
  </si>
  <si>
    <t>Open (active) risks</t>
  </si>
  <si>
    <t>Risks flagged for action</t>
  </si>
  <si>
    <t>Active risks with no mapped initiative</t>
  </si>
  <si>
    <t>Coverage gap; aim 0</t>
  </si>
  <si>
    <t>Duplicate initiative ID cells</t>
  </si>
  <si>
    <t>Risk-map IDs not found in initiatives</t>
  </si>
  <si>
    <t>Invalid mapping IDs; should be 0</t>
  </si>
  <si>
    <t>Frozen for formal reports</t>
  </si>
  <si>
    <t>Active Monte Carlo seed</t>
  </si>
  <si>
    <t>Record with any exported report</t>
  </si>
  <si>
    <t>7. Report snapshot (record when freezing a report)</t>
  </si>
  <si>
    <t>Field</t>
  </si>
  <si>
    <t>Value</t>
  </si>
  <si>
    <t>Note</t>
  </si>
  <si>
    <t>Snapshot date</t>
  </si>
  <si>
    <t>Enter date manually when freezing this report</t>
  </si>
  <si>
    <t>Selected crisis scenario</t>
  </si>
  <si>
    <t>Scenario severity (1-5)</t>
  </si>
  <si>
    <t>Overall maturity (0-5)</t>
  </si>
  <si>
    <t>Critical items</t>
  </si>
  <si>
    <t>High-risk items</t>
  </si>
  <si>
    <t>Cost of inaction (annual ALE, EUR k)</t>
  </si>
  <si>
    <t>Indexed VaR 95% (analytic)</t>
  </si>
  <si>
    <t>Indexed CVaR 95% (analytic)</t>
  </si>
  <si>
    <t>Indexed VaR 99% (analytic)</t>
  </si>
  <si>
    <t>Indexed CVaR 99% (analytic)</t>
  </si>
  <si>
    <t>Indexed VaR 95% (Monte Carlo)</t>
  </si>
  <si>
    <t>Indexed CVaR 95% (Monte Carlo)</t>
  </si>
  <si>
    <t>Top exposed domain 1</t>
  </si>
  <si>
    <t>Top exposed domain 2</t>
  </si>
  <si>
    <t>Top exposed domain 3</t>
  </si>
  <si>
    <t>Indexed VaR/CVaR are directional risk-exposure indices, not currency, unless calibrated with validated loss data.</t>
  </si>
  <si>
    <t>Roadmap expected avoided loss (EUR k/yr, total)</t>
  </si>
  <si>
    <t>Sum of mapped ALE coverage x reduction (B169); gross of overlaps</t>
  </si>
  <si>
    <t>8. Recent changes and current logic (v3.0)</t>
  </si>
  <si>
    <t>Consolidated the v2.9.46 calibration safety fixes into the v3.0 stable public release; synchronized workbook/config/README/DOC/LINT/core/custom metadata and added DOI/ORCID attribution.</t>
  </si>
  <si>
    <t>Calibration inputs (defaults are conservative; tune per client)</t>
  </si>
  <si>
    <t>Revenue band</t>
  </si>
  <si>
    <t>Company Profile B108 is the biggest lever for euro outputs; also margin/runway/debt/FX in B109-B112.</t>
  </si>
  <si>
    <t>Current calculation logic (v3.0 key chains)</t>
  </si>
  <si>
    <t>_CONFIG_Model_Settings rows 154-158: revenue midpoints, likelihood-to-probability, impact-to-revenue-share.</t>
  </si>
  <si>
    <t>Chain</t>
  </si>
  <si>
    <t>Canonical source</t>
  </si>
  <si>
    <t>Rule</t>
  </si>
  <si>
    <t>QA expectation</t>
  </si>
  <si>
    <t>Industry / org type</t>
  </si>
  <si>
    <t>_ENGINE_Profile_Vector / PV_Canonical_Industry</t>
  </si>
  <si>
    <t>Raw Company Profile industry is normalized via _REF_Industry_Aliases.</t>
  </si>
  <si>
    <t>No downstream direct Company Profile!B9/B48 refs outside Profile Vector/lint.</t>
  </si>
  <si>
    <t>Relevance</t>
  </si>
  <si>
    <t>_ENGINE_Relevance</t>
  </si>
  <si>
    <t>Final relevance = applicability × context × crisis dominance, with hard-exclude override.</t>
  </si>
  <si>
    <t>Hard-excluded items must score 0 before ranking.</t>
  </si>
  <si>
    <t>Capabilities</t>
  </si>
  <si>
    <t>_REF_Capability_Bridge</t>
  </si>
  <si>
    <t>Risk and initiative rows resolve to Capability_ID before treatment/wording/ranking.</t>
  </si>
  <si>
    <t>No output should rely on text labels as the only ontology key.</t>
  </si>
  <si>
    <t>Treatment</t>
  </si>
  <si>
    <t>Capability + industry + maturity band selects establish/standardize/integrate/optimize/stress-test treatment.</t>
  </si>
  <si>
    <t>High maturity cases receive advanced treatment language.</t>
  </si>
  <si>
    <t>Capability + industry selects wording, examples and forbidden terms.</t>
  </si>
  <si>
    <t>SaaS/Banking/IT Services must not surface MES/shop-floor wording.</t>
  </si>
  <si>
    <t>Outputs</t>
  </si>
  <si>
    <t>_REF_Output_Reconciliation / _LINT (consolidated)</t>
  </si>
  <si>
    <t>Visible dashboards are downstream views of the canonical pipeline.</t>
  </si>
  <si>
    <t>Dashboards must not create independent scoring branches.</t>
  </si>
  <si>
    <t>Backend</t>
  </si>
  <si>
    <t>_REF_Backend_* / _API_Import_Contract</t>
  </si>
  <si>
    <t>Backend import reads controlled refs first, then inputs, then computed output views.</t>
  </si>
  <si>
    <t>Schema fields should be documented in _REF_Data_Dictionary.</t>
  </si>
  <si>
    <t>Documentation index (v3.0)</t>
  </si>
  <si>
    <t>Audience</t>
  </si>
  <si>
    <t>Update policy</t>
  </si>
  <si>
    <t>Business users + model owners</t>
  </si>
  <si>
    <t>Visible single guide and methodology summary.</t>
  </si>
  <si>
    <t>Keep current version, change history and model chain aligned with active architecture.</t>
  </si>
  <si>
    <t>_README</t>
  </si>
  <si>
    <t>Model owners</t>
  </si>
  <si>
    <t>Short release README for v3.0 stable public release, calibration safety fixes, DOI/ORCID attribution and backend contract hardening.</t>
  </si>
  <si>
    <t>Update each methodology release.</t>
  </si>
  <si>
    <t>_DOC</t>
  </si>
  <si>
    <t>Consultants + developers</t>
  </si>
  <si>
    <t>Detailed method for Profile Vector, Relevance, Capability, Treatment and Wording.</t>
  </si>
  <si>
    <t>Update when rules or engine layers change.</t>
  </si>
  <si>
    <t>Model/product/backend owners</t>
  </si>
  <si>
    <t>Governance rules preventing duplicate logic and legacy branches.</t>
  </si>
  <si>
    <t>Update when adding fields/sheets/engine paths.</t>
  </si>
  <si>
    <t>Users + reviewers</t>
  </si>
  <si>
    <t>Known limitations and interpretation guardrails.</t>
  </si>
  <si>
    <t>Update before public release.</t>
  </si>
  <si>
    <t>9. Attribution, license and citation (v3.0)</t>
  </si>
  <si>
    <t>Author</t>
  </si>
  <si>
    <t>Roman Reznikov</t>
  </si>
  <si>
    <t>ORCID</t>
  </si>
  <si>
    <t>https://orcid.org/0000-0001-5581-5651</t>
  </si>
  <si>
    <t>Copyright</t>
  </si>
  <si>
    <t>Copyright © 2026 Roman Reznikov</t>
  </si>
  <si>
    <t>License</t>
  </si>
  <si>
    <t>Creative Commons Attribution-NonCommercial-ShareAlike 4.0 International (CC-BY-NC-SA-4.0)</t>
  </si>
  <si>
    <t>DOI</t>
  </si>
  <si>
    <t>10.5281/zenodo.20583866</t>
  </si>
  <si>
    <t>Concept DOI</t>
  </si>
  <si>
    <t>10.5281/zenodo.20583865</t>
  </si>
  <si>
    <t>Citation</t>
  </si>
  <si>
    <t>Reznikov, R. (2026). RR-framework v3.0: Business Resilience and Digital Maturity Assessment Workbook. DOI: 10.5281/zenodo.20583866. ORCID: https://orcid.org/0000-0001-5581-5651.</t>
  </si>
  <si>
    <t>Commercial use</t>
  </si>
  <si>
    <t>Requires separate written permission from Roman Reznikov.</t>
  </si>
  <si>
    <t>Fill controlled inputs once per organization. Duplicate summary fields are now formula-derived; Profile Vector preview shows canonical values used by engines.</t>
  </si>
  <si>
    <t>✎ Input: edit coloured dropdown cells only. Grey/formula rows are derived or compatibility-only.</t>
  </si>
  <si>
    <t>Profile field</t>
  </si>
  <si>
    <t>Value / input</t>
  </si>
  <si>
    <t>Used by</t>
  </si>
  <si>
    <t>How this sheet is used</t>
  </si>
  <si>
    <t>Organization name</t>
  </si>
  <si>
    <t>Legal or commercial name used in the assessment.</t>
  </si>
  <si>
    <t>Dashboard / executive summary</t>
  </si>
  <si>
    <t>1. Define organization context and assessment boundaries.
2. Use Crisis Simulator for active scenario and severity.
3. Use Assessment date as the roadmap start date.
4. Use target scores to calibrate expected maturity level.
5. Keep LLM and financial analysis outside this workbook version.</t>
  </si>
  <si>
    <t>Assessment date</t>
  </si>
  <si>
    <t>Baseline date. Defaults to TODAY() and can be replaced by the actual assessment date.</t>
  </si>
  <si>
    <t>Gantt Roadmap</t>
  </si>
  <si>
    <t>Assessment owner</t>
  </si>
  <si>
    <t>Person responsible for coordinating the assessment.</t>
  </si>
  <si>
    <t>Quality Control</t>
  </si>
  <si>
    <t>Executive sponsor</t>
  </si>
  <si>
    <t>Senior owner who accepts priorities and crisis roadmap.</t>
  </si>
  <si>
    <t>Roadmap governance</t>
  </si>
  <si>
    <t>Industry</t>
  </si>
  <si>
    <t>Primary industry or sector.</t>
  </si>
  <si>
    <t>Strategy logic</t>
  </si>
  <si>
    <t>Sub-industry / segment</t>
  </si>
  <si>
    <t>More specific segment, e.g. manufacturing, SaaS, retail, healthcare.</t>
  </si>
  <si>
    <t>Headquarters country</t>
  </si>
  <si>
    <t>Country where the main legal or management entity is located.</t>
  </si>
  <si>
    <t>Risk context</t>
  </si>
  <si>
    <t>Operating countries / regions</t>
  </si>
  <si>
    <t>List countries, regions and key cities where the company operates.</t>
  </si>
  <si>
    <t>Geographical exposure</t>
  </si>
  <si>
    <t>Ownership type</t>
  </si>
  <si>
    <t>Private, public, state-owned, family-owned, PE-backed, NGO or other.</t>
  </si>
  <si>
    <t>Governance context</t>
  </si>
  <si>
    <t>Legal entities</t>
  </si>
  <si>
    <t>Main legal entities and subsidiaries.</t>
  </si>
  <si>
    <t>Legal / continuity context</t>
  </si>
  <si>
    <t>Employee count</t>
  </si>
  <si>
    <t>Total employees and contractors.</t>
  </si>
  <si>
    <t>HR / continuity logic</t>
  </si>
  <si>
    <t>Revenue size band (derived)</t>
  </si>
  <si>
    <t>Derived from Annual revenue band in Financial Anchors. Do not edit here.</t>
  </si>
  <si>
    <t>Derived summary / compatibility</t>
  </si>
  <si>
    <t>Operating model</t>
  </si>
  <si>
    <t>Centralized, decentralized, hub-and-spoke, remote-first, multi-site, franchise, hybrid.</t>
  </si>
  <si>
    <t>Crisis exposure</t>
  </si>
  <si>
    <t>Business model</t>
  </si>
  <si>
    <t>B2B, B2C, B2B2C, marketplace, subscription, project-based, manufacturing, distribution.</t>
  </si>
  <si>
    <t>GTM / resilience logic</t>
  </si>
  <si>
    <t>Critical products / services (derived)</t>
  </si>
  <si>
    <t>Derived from structured Critical Product / Service List rows 87–91. Do not edit here.</t>
  </si>
  <si>
    <t>Continuity summary</t>
  </si>
  <si>
    <t>ICP / key customer segments</t>
  </si>
  <si>
    <t>Ideal customer profiles and most important customer groups.</t>
  </si>
  <si>
    <t>GTM / revenue resilience</t>
  </si>
  <si>
    <t>Top markets by revenue</t>
  </si>
  <si>
    <t>Countries, regions or customer segments with highest revenue share.</t>
  </si>
  <si>
    <t>Revenue concentration</t>
  </si>
  <si>
    <t>Customer concentration (derived)</t>
  </si>
  <si>
    <t>Derived from top 1 / top 5 / top 10 structured concentration bands. Do not edit here.</t>
  </si>
  <si>
    <t>Revenue concentration summary</t>
  </si>
  <si>
    <t>Critical sites / facilities (derived)</t>
  </si>
  <si>
    <t>Derived from Business Criticality of Locations table rows 63–70. Do not edit here.</t>
  </si>
  <si>
    <t>Physical footprint summary</t>
  </si>
  <si>
    <t>Critical people / roles</t>
  </si>
  <si>
    <t>Roles where loss of individuals creates continuity risk.</t>
  </si>
  <si>
    <t>Workforce resilience</t>
  </si>
  <si>
    <t>Regulatory exposure level</t>
  </si>
  <si>
    <t>Low, medium, high or critical regulatory exposure.</t>
  </si>
  <si>
    <t>Legal / compliance risk</t>
  </si>
  <si>
    <t>Main regulations / obligations</t>
  </si>
  <si>
    <t>Examples: GDPR, NIS2, HIPAA, SOX, ISO, industry licenses, customer audit obligations.</t>
  </si>
  <si>
    <t>Compliance context</t>
  </si>
  <si>
    <t>Core business systems</t>
  </si>
  <si>
    <t>ERP, CRM, MES, HRMS, BI, WMS, SCM, billing, support desk, data warehouse.</t>
  </si>
  <si>
    <t>Digital maturity</t>
  </si>
  <si>
    <t>Cloud and infrastructure model</t>
  </si>
  <si>
    <t>On-premise, public cloud, private cloud, hybrid, multi-cloud, SaaS-first.</t>
  </si>
  <si>
    <t>IT / DR strategy</t>
  </si>
  <si>
    <t>Primary crisis scenario to test</t>
  </si>
  <si>
    <t>Active scenario is selected in Crisis Simulator.</t>
  </si>
  <si>
    <t>Crisis Simulator</t>
  </si>
  <si>
    <t>Scenario severity 1-5</t>
  </si>
  <si>
    <t>Active scenario severity is selected in Crisis Simulator.</t>
  </si>
  <si>
    <t>Target process maturity 0-5</t>
  </si>
  <si>
    <t>Target level for process maturity.</t>
  </si>
  <si>
    <t>Gap analysis</t>
  </si>
  <si>
    <t>Target digitalization 0-5</t>
  </si>
  <si>
    <t>Target level for implementation of digital technologies.</t>
  </si>
  <si>
    <t>Target resilience 0-5</t>
  </si>
  <si>
    <t>Target level for resilience against relevant risks.</t>
  </si>
  <si>
    <t>Assessment cadence</t>
  </si>
  <si>
    <t>Quarterly, semi-annual, annual, or crisis-triggered review.</t>
  </si>
  <si>
    <t>Governance</t>
  </si>
  <si>
    <t>Risk appetite statement</t>
  </si>
  <si>
    <t>Closed choice: Low / Balanced / High. Low = risk-averse (targets tightened), High = more residual risk accepted (targets relaxed). Adjusts industry maturity targets across the model via _CONFIG_Model_Settings.</t>
  </si>
  <si>
    <t>Risk treatment</t>
  </si>
  <si>
    <t>Key assumptions / comments</t>
  </si>
  <si>
    <t>Context notes, assumptions, excluded scope or special assessment limitations. Leave blank until the real assessment is configured.</t>
  </si>
  <si>
    <t>All outputs</t>
  </si>
  <si>
    <t>Industry Template and Improved Scoring Logic</t>
  </si>
  <si>
    <t>Selected industry template</t>
  </si>
  <si>
    <t>Derived from _ENGINE_Profile_Vector. Compatibility display only; not an active input.</t>
  </si>
  <si>
    <t>Default evidence confidence</t>
  </si>
  <si>
    <t>Medium</t>
  </si>
  <si>
    <t>Used when question-level evidence confidence is blank.</t>
  </si>
  <si>
    <t>Default assessor confidence</t>
  </si>
  <si>
    <t>Used when question-level assessor confidence is blank.</t>
  </si>
  <si>
    <t>Template domains</t>
  </si>
  <si>
    <t>Derived from PV_Canonical_Industry; should match template row count.</t>
  </si>
  <si>
    <t>Average target maturity</t>
  </si>
  <si>
    <t>Derived from PV_Canonical_Industry; legacy direct B9 reference retired.</t>
  </si>
  <si>
    <t>Average criticality multiplier</t>
  </si>
  <si>
    <t>Critical systems</t>
  </si>
  <si>
    <t>Red-line controls</t>
  </si>
  <si>
    <t>Preferred strategy logic</t>
  </si>
  <si>
    <t>Selected industry (_REF benchmark / weights)</t>
  </si>
  <si>
    <t>Derived canonical industry used as compatibility bridge. Do not edit manually.</t>
  </si>
  <si>
    <t>Extended Company Context Inputs (closed answers only)</t>
  </si>
  <si>
    <t>Revenue model</t>
  </si>
  <si>
    <t>Primary revenue model used by the company.</t>
  </si>
  <si>
    <t>Risk, strategy and initiative logic</t>
  </si>
  <si>
    <t>Secondary revenue model</t>
  </si>
  <si>
    <t>Secondary or supporting monetization model.</t>
  </si>
  <si>
    <t>Revenue diversification logic</t>
  </si>
  <si>
    <t>Revenue recurrence</t>
  </si>
  <si>
    <t>Revenue stability profile.</t>
  </si>
  <si>
    <t>Crisis impact and revenue risk</t>
  </si>
  <si>
    <t>Primary sales motion</t>
  </si>
  <si>
    <t>Dominant sales motion.</t>
  </si>
  <si>
    <t>GTM and CRM strategy</t>
  </si>
  <si>
    <t>Customer concentration: top 1 client revenue share</t>
  </si>
  <si>
    <t>Estimated revenue share of the largest customer.</t>
  </si>
  <si>
    <t>Customer concentration risk</t>
  </si>
  <si>
    <t>Customer concentration: top 5 clients revenue share</t>
  </si>
  <si>
    <t>Estimated revenue share of top 5 customers.</t>
  </si>
  <si>
    <t>Customer concentration: top 10 clients revenue share</t>
  </si>
  <si>
    <t>Estimated revenue share of top 10 customers.</t>
  </si>
  <si>
    <t>Revenue diversification risk</t>
  </si>
  <si>
    <t>Supplier concentration: top 1 supplier dependency</t>
  </si>
  <si>
    <t>Estimated dependency on largest supplier/vendor/input.</t>
  </si>
  <si>
    <t>Supplier risk</t>
  </si>
  <si>
    <t>Supplier concentration: top 5 supplier dependency</t>
  </si>
  <si>
    <t>Estimated dependency on top 5 suppliers/vendors/inputs.</t>
  </si>
  <si>
    <t>Supply chain risk</t>
  </si>
  <si>
    <t>Critical supplier substitutability</t>
  </si>
  <si>
    <t>Availability of alternatives for critical suppliers.</t>
  </si>
  <si>
    <t>Supply chain resilience</t>
  </si>
  <si>
    <t>Business Criticality of Locations</t>
  </si>
  <si>
    <t>Location type</t>
  </si>
  <si>
    <t>Business criticality</t>
  </si>
  <si>
    <t>Disruption impact</t>
  </si>
  <si>
    <t>Continuity option</t>
  </si>
  <si>
    <t>HQ</t>
  </si>
  <si>
    <t>Location and physical resilience logic</t>
  </si>
  <si>
    <t>Production site</t>
  </si>
  <si>
    <t>Warehouse</t>
  </si>
  <si>
    <t>Data center / core cloud region</t>
  </si>
  <si>
    <t>Call center / customer support center</t>
  </si>
  <si>
    <t>R&amp;D / engineering center</t>
  </si>
  <si>
    <t>Sales office</t>
  </si>
  <si>
    <t>Retail / service branch</t>
  </si>
  <si>
    <t>Workforce Distribution</t>
  </si>
  <si>
    <t>Countries with workforce</t>
  </si>
  <si>
    <t>Workforce country footprint.</t>
  </si>
  <si>
    <t>Workforce/geographic concentration</t>
  </si>
  <si>
    <t>Largest country workforce share</t>
  </si>
  <si>
    <t>Estimated share of workforce in largest country.</t>
  </si>
  <si>
    <t>Workforce concentration risk</t>
  </si>
  <si>
    <t>Largest city/location workforce share</t>
  </si>
  <si>
    <t>Estimated share of workforce in largest city/site.</t>
  </si>
  <si>
    <t>Location concentration risk</t>
  </si>
  <si>
    <t>Remote work readiness</t>
  </si>
  <si>
    <t>Ability to continue work remotely.</t>
  </si>
  <si>
    <t>Pandemic/war/infrastructure resilience</t>
  </si>
  <si>
    <t>Cross-border mobility / relocation support</t>
  </si>
  <si>
    <t>Ability to relocate or support distributed workforce during crisis.</t>
  </si>
  <si>
    <t>Workforce continuity</t>
  </si>
  <si>
    <t>Critical Process List (select top processes)</t>
  </si>
  <si>
    <t>Critical process #1</t>
  </si>
  <si>
    <t>Select one of the most business-critical processes.</t>
  </si>
  <si>
    <t>Risk, continuity and roadmap logic</t>
  </si>
  <si>
    <t>Critical process #2</t>
  </si>
  <si>
    <t>Critical process #3</t>
  </si>
  <si>
    <t>Critical process #4</t>
  </si>
  <si>
    <t>Critical process #5</t>
  </si>
  <si>
    <t>Critical Product / Service List (select top items)</t>
  </si>
  <si>
    <t>Critical product/service #1</t>
  </si>
  <si>
    <t>Select one of the most critical products or services.</t>
  </si>
  <si>
    <t>Revenue and continuity logic</t>
  </si>
  <si>
    <t>Critical product/service #2</t>
  </si>
  <si>
    <t>Critical product/service #3</t>
  </si>
  <si>
    <t>Critical product/service #4</t>
  </si>
  <si>
    <t>Critical product/service #5</t>
  </si>
  <si>
    <t>Crisis History</t>
  </si>
  <si>
    <t>Experienced crisis</t>
  </si>
  <si>
    <t>Impact level</t>
  </si>
  <si>
    <t>Pandemic</t>
  </si>
  <si>
    <t>Select a crisis the organization has already experienced and its observed impact.</t>
  </si>
  <si>
    <t>Calibration of scenario logic</t>
  </si>
  <si>
    <t>War / geopolitical escalation</t>
  </si>
  <si>
    <t>Cyberattack / ransomware</t>
  </si>
  <si>
    <t>Supply chain disruption</t>
  </si>
  <si>
    <t>None experienced</t>
  </si>
  <si>
    <t>Change Capacity and Brownfield</t>
  </si>
  <si>
    <t>Monthly change capacity (complexity points)</t>
  </si>
  <si>
    <t>Sum of initiative complexity points the organization can absorb per month. Rule of thumb: ~3 points per dedicated change FTE; adjust by transformation experience. Used as the overload threshold in Gantt Roadmap.</t>
  </si>
  <si>
    <t>Transformation experience</t>
  </si>
  <si>
    <t>Low = few successful change programs (reduce capacity); High = mature PMO and delivery track record.</t>
  </si>
  <si>
    <t>Capacity guidance</t>
  </si>
  <si>
    <t>Brownfield note</t>
  </si>
  <si>
    <t>Mark initiatives already underway or completed on the Initiative Status sheet. Done / Not applicable items are excluded from rankings and the roadmap; In progress items keep consuming capacity.</t>
  </si>
  <si>
    <t>Company size band</t>
  </si>
  <si>
    <t>Peer benchmarks are size-adjusted. Eurostat DII shows ~1-level digital maturity gap between SMEs and large enterprises.</t>
  </si>
  <si>
    <t>Benchmark View</t>
  </si>
  <si>
    <t>Financial Anchors (hard data)</t>
  </si>
  <si>
    <t>Annual revenue band</t>
  </si>
  <si>
    <t>Pick the closest band. Used to monetize risks (cost of inaction) and size revenue-at-risk.</t>
  </si>
  <si>
    <t>Financial Resilience / Cost of inaction</t>
  </si>
  <si>
    <t>Gross margin %</t>
  </si>
  <si>
    <t>Approximate gross margin as decimal (0.35 = 35%). Used for EBITDA-proxy impact.</t>
  </si>
  <si>
    <t>Cash runway (months if sales stop)</t>
  </si>
  <si>
    <t>Months the company survives on cash + committed financing with zero new sales.</t>
  </si>
  <si>
    <t>Debt load</t>
  </si>
  <si>
    <t>Qualitative leverage level relative to EBITDA.</t>
  </si>
  <si>
    <t>FX exposure (foreign-currency revenue share)</t>
  </si>
  <si>
    <t>Share of revenue in currencies other than the cost base.</t>
  </si>
  <si>
    <t>Revenue midpoint used (EUR k)</t>
  </si>
  <si>
    <t>Calculated from the revenue band. Override with the exact number if known.</t>
  </si>
  <si>
    <t>Structured Core Systems Table (preferred over free text)</t>
  </si>
  <si>
    <t>Use this table to specify actual system families and criticality for Relevance Engine. B27 remains compatibility summary/input for now.</t>
  </si>
  <si>
    <t>System family</t>
  </si>
  <si>
    <t>Used?</t>
  </si>
  <si>
    <t>Recovery criticality</t>
  </si>
  <si>
    <t>Primary owner / notes</t>
  </si>
  <si>
    <t>ERP</t>
  </si>
  <si>
    <t>CRM</t>
  </si>
  <si>
    <t>HRMS</t>
  </si>
  <si>
    <t>BI / DWH</t>
  </si>
  <si>
    <t>Billing / Subscription management</t>
  </si>
  <si>
    <t>Support desk / ITSM</t>
  </si>
  <si>
    <t>Core platform / Product backend</t>
  </si>
  <si>
    <t>POS</t>
  </si>
  <si>
    <t>Ecommerce platform</t>
  </si>
  <si>
    <t>WMS</t>
  </si>
  <si>
    <t>TMS</t>
  </si>
  <si>
    <t>MES</t>
  </si>
  <si>
    <t>SCADA / OT</t>
  </si>
  <si>
    <t>Core banking</t>
  </si>
  <si>
    <t>Payment rails</t>
  </si>
  <si>
    <t>Derived Profile Vector Preview</t>
  </si>
  <si>
    <t>Read-only normalized values consumed by downstream engines.</t>
  </si>
  <si>
    <t>Profile vector field</t>
  </si>
  <si>
    <t>Derived value</t>
  </si>
  <si>
    <t>Named output / source</t>
  </si>
  <si>
    <t>Canonical Industry</t>
  </si>
  <si>
    <t>Industry normalization result</t>
  </si>
  <si>
    <t>PV_Canonical_Industry</t>
  </si>
  <si>
    <t>Org Type</t>
  </si>
  <si>
    <t>Operating model inferred from profile</t>
  </si>
  <si>
    <t>PV_Org_Type</t>
  </si>
  <si>
    <t>Physical Footprint Intensity</t>
  </si>
  <si>
    <t>How strongly physical/site risks should matter</t>
  </si>
  <si>
    <t>PV_Physical_Footprint_Intensity</t>
  </si>
  <si>
    <t>Cloud Dependency</t>
  </si>
  <si>
    <t>Cloud/platform relevance for DR and outage risk</t>
  </si>
  <si>
    <t>PV_Cloud_Dependency</t>
  </si>
  <si>
    <t>Data Criticality</t>
  </si>
  <si>
    <t>Data governance/security relevance</t>
  </si>
  <si>
    <t>PV_Data_Criticality</t>
  </si>
  <si>
    <t>Regulatory Intensity</t>
  </si>
  <si>
    <t>Legal/compliance weighting</t>
  </si>
  <si>
    <t>PV_Regulatory_Intensity</t>
  </si>
  <si>
    <t>Customer Concentration</t>
  </si>
  <si>
    <t>Revenue concentration relevance</t>
  </si>
  <si>
    <t>PV_Customer_Concentration</t>
  </si>
  <si>
    <t>Supplier Dependency</t>
  </si>
  <si>
    <t>Vendor/supplier disruption relevance</t>
  </si>
  <si>
    <t>PV_Supplier_Dependency</t>
  </si>
  <si>
    <t>Remote Readiness</t>
  </si>
  <si>
    <t>Remote continuity relevance</t>
  </si>
  <si>
    <t>PV_Remote_Work_Readiness</t>
  </si>
  <si>
    <t>Critical People Dependency</t>
  </si>
  <si>
    <t>Critical-role exposure</t>
  </si>
  <si>
    <t>PV_Critical_People_Dependency</t>
  </si>
  <si>
    <t>Financial Buffer</t>
  </si>
  <si>
    <t>Ability to absorb disruption</t>
  </si>
  <si>
    <t>PV_Financial_Buffer</t>
  </si>
  <si>
    <t>Change Capacity</t>
  </si>
  <si>
    <t>Roadmap overload control</t>
  </si>
  <si>
    <t>PV_Change_Capacity</t>
  </si>
  <si>
    <t>Selected Crisis</t>
  </si>
  <si>
    <t>Scenario driver used by relevance/crisis logic</t>
  </si>
  <si>
    <t>PV_Selected_Crisis_Scenario</t>
  </si>
  <si>
    <t>Crisis Severity</t>
  </si>
  <si>
    <t>Scenario severity 1–5</t>
  </si>
  <si>
    <t>PV_Crisis_Severity</t>
  </si>
  <si>
    <t>Retired / Derived Profile Fields</t>
  </si>
  <si>
    <t>These fields are preserved for compatibility but should not be manually edited.</t>
  </si>
  <si>
    <t>Old field</t>
  </si>
  <si>
    <t>Status</t>
  </si>
  <si>
    <t>Canonical replacement</t>
  </si>
  <si>
    <t>Notes</t>
  </si>
  <si>
    <t>B16 Revenue size band</t>
  </si>
  <si>
    <t>Derived summary</t>
  </si>
  <si>
    <t>B108 Annual revenue band</t>
  </si>
  <si>
    <t>Value is mirrored from Financial Anchors.</t>
  </si>
  <si>
    <t>B19 Critical products / services</t>
  </si>
  <si>
    <t>B87:B91 Critical product/service list</t>
  </si>
  <si>
    <t>Structured list is canonical.</t>
  </si>
  <si>
    <t>B22 Customer concentration</t>
  </si>
  <si>
    <t>B54:B56 concentration bands</t>
  </si>
  <si>
    <t>Structured top 1/5/10 bands are canonical.</t>
  </si>
  <si>
    <t>B23 Critical sites / facilities</t>
  </si>
  <si>
    <t>B63:D70 location criticality table</t>
  </si>
  <si>
    <t>Location table is canonical.</t>
  </si>
  <si>
    <t>B39 Selected industry template</t>
  </si>
  <si>
    <t>Derived compatibility</t>
  </si>
  <si>
    <t>No manual branch.</t>
  </si>
  <si>
    <t>B48 Selected industry benchmark</t>
  </si>
  <si>
    <t>Main assessment surface with all 424 questions. Use green/input columns for answers, evidence confidence, coverage, owners and comments.</t>
  </si>
  <si>
    <t>✎ Input: edit answer / confidence / comment columns only — the rest is formula-driven.</t>
  </si>
  <si>
    <t>Domain</t>
  </si>
  <si>
    <t>Source sheet</t>
  </si>
  <si>
    <t>Source row</t>
  </si>
  <si>
    <t>ID</t>
  </si>
  <si>
    <t>Subdomain</t>
  </si>
  <si>
    <t>Question</t>
  </si>
  <si>
    <t>Crisis relevance / why it matters</t>
  </si>
  <si>
    <t>Standards / frameworks</t>
  </si>
  <si>
    <t>Evidence to request</t>
  </si>
  <si>
    <t>Weight 1-5</t>
  </si>
  <si>
    <t>Score 0-5 (auto from answer)</t>
  </si>
  <si>
    <t>Weighted score</t>
  </si>
  <si>
    <t>Max score</t>
  </si>
  <si>
    <t>Gap</t>
  </si>
  <si>
    <t>Risk level</t>
  </si>
  <si>
    <t>Score 0 criteria</t>
  </si>
  <si>
    <t>Score 1 criteria</t>
  </si>
  <si>
    <t>Score 2 criteria</t>
  </si>
  <si>
    <t>Score 3 criteria</t>
  </si>
  <si>
    <t>Score 4 criteria</t>
  </si>
  <si>
    <t>Score 5 criteria</t>
  </si>
  <si>
    <t>Crisis scenario tags</t>
  </si>
  <si>
    <t>Owner / SME</t>
  </si>
  <si>
    <t>Comments / findings</t>
  </si>
  <si>
    <t>Recommended action</t>
  </si>
  <si>
    <t>Digitalization relevance 0-5</t>
  </si>
  <si>
    <t>Resilience relevance 0-5</t>
  </si>
  <si>
    <t>Process maturity relevance 0-5</t>
  </si>
  <si>
    <t>Answer (0–5) — select stage</t>
  </si>
  <si>
    <t>Subarea</t>
  </si>
  <si>
    <t>Questions</t>
  </si>
  <si>
    <t>Avg score 0-5</t>
  </si>
  <si>
    <t>Maturity %</t>
  </si>
  <si>
    <t>Critical/High</t>
  </si>
  <si>
    <t>Gap to 5</t>
  </si>
  <si>
    <t>Answered</t>
  </si>
  <si>
    <t>Evidence confidence</t>
  </si>
  <si>
    <t>Assessor confidence</t>
  </si>
  <si>
    <t>Evidence factor</t>
  </si>
  <si>
    <t>Assessor factor</t>
  </si>
  <si>
    <t>Confidence-adjusted score 0-5</t>
  </si>
  <si>
    <t>Normalized score 0-100</t>
  </si>
  <si>
    <t>Industry target 0-5</t>
  </si>
  <si>
    <t>Gap to industry target</t>
  </si>
  <si>
    <t>Industry criticality multiplier</t>
  </si>
  <si>
    <t>Industry-adjusted gap priority</t>
  </si>
  <si>
    <t>Improved scoring note</t>
  </si>
  <si>
    <t>v2 conf-adj score</t>
  </si>
  <si>
    <t>v2 conf factor</t>
  </si>
  <si>
    <t>Coverage (how widely deployed)</t>
  </si>
  <si>
    <t>Coverage factor</t>
  </si>
  <si>
    <t>Company Geography</t>
  </si>
  <si>
    <t>COMP-001</t>
  </si>
  <si>
    <t>Company profile</t>
  </si>
  <si>
    <t>How mature is the organization in managing legal entity structure, ownership, subsidiaries and operating countries, including ownership, evidence, metrics, fallback procedures and crisis stress testing?</t>
  </si>
  <si>
    <t>This topic affects exposure to Geopolitical risk; Physical site loss; Regulatory/legal shock. It helps identify how disruption may impact operations, people, revenue, systems, legal exposure or recovery time.</t>
  </si>
  <si>
    <t>ISO 22301; ISO 31000; ISO 9001; ISO 37000; PESTLE; Business Model Canvas</t>
  </si>
  <si>
    <t>Policy/SOP; owner/RACI; system report; dashboard; contracts; test records; incident history; interview evidence related to legal entity structure, ownership, subsidiaries and operating countries.</t>
  </si>
  <si>
    <t>No reliable evidence that legal entity structure, ownership, subsidiaries and operating countries is defined, owned or managed.</t>
  </si>
  <si>
    <t>Legal entity structure, ownership, subsidiaries and operating countries is handled informally and depends on individual knowledge or heroic effort.</t>
  </si>
  <si>
    <t>Legal entity structure, ownership, subsidiaries and operating countries is partially documented or implemented, but coverage is inconsistent and not crisis-tested.</t>
  </si>
  <si>
    <t>Legal entity structure, ownership, subsidiaries and operating countries is documented, owned, used in normal operations and supported by basic evidence or metrics.</t>
  </si>
  <si>
    <t>Legal entity structure, ownership, subsidiaries and operating countries is measured, periodically reviewed, integrated with related processes and tested against relevant disruption scenarios.</t>
  </si>
  <si>
    <t>Legal entity structure, ownership, subsidiaries and operating countries is optimized, continuously improved, automated where practical and demonstrably supports crisis resilience.</t>
  </si>
  <si>
    <t>Geopolitical risk; Physical site loss; Regulatory/legal shock</t>
  </si>
  <si>
    <t>Use the recommended action generated by the model; validate with domain owner during real assessment.</t>
  </si>
  <si>
    <t>COMP-002</t>
  </si>
  <si>
    <t>How mature is the organization in managing business model, value proposition, revenue streams and cost drivers, including ownership, evidence, metrics, fallback procedures and crisis stress testing?</t>
  </si>
  <si>
    <t>Policy/SOP; owner/RACI; system report; dashboard; contracts; test records; incident history; interview evidence related to business model, value proposition, revenue streams and cost drivers.</t>
  </si>
  <si>
    <t>Does not exist; no owner, no documentation, no practice.</t>
  </si>
  <si>
    <t>Ad hoc; depends entirely on specific individuals.</t>
  </si>
  <si>
    <t>Partially documented or implemented; coverage inconsistent; never tested under stress.</t>
  </si>
  <si>
    <t>Documented, owned, executed consistently; basic evidence and metrics exist.</t>
  </si>
  <si>
    <t>Measured and periodically tested/audited; integrated with adjacent processes.</t>
  </si>
  <si>
    <t>Optimized and automated where practical; stress-tested; benchmarked externally.</t>
  </si>
  <si>
    <t>Geographical distribution</t>
  </si>
  <si>
    <t>COMP-003</t>
  </si>
  <si>
    <t>How mature is the organization in managing critical products and services ranked by revenue, margin and continuity priority, including ownership, evidence, metrics, fallback procedures and crisis stress testing?</t>
  </si>
  <si>
    <t>Policy/SOP; owner/RACI; system report; dashboard; contracts; test records; incident history; interview evidence related to critical products and services ranked by revenue, margin and continuity priority.</t>
  </si>
  <si>
    <t>Context and dependencies</t>
  </si>
  <si>
    <t>COMP-004</t>
  </si>
  <si>
    <t>How mature is the organization in managing operating model: centralized, distributed, outsourced, remote or hybrid, including ownership, evidence, metrics, fallback procedures and crisis stress testing?</t>
  </si>
  <si>
    <t>Policy/SOP; owner/RACI; system report; dashboard; contracts; test records; incident history; interview evidence related to operating model: centralized, distributed, outsourced, remote or hybrid.</t>
  </si>
  <si>
    <t>No reliable evidence that operating model: centralized, distributed, outsourced, remote or hybrid is defined, owned or managed.</t>
  </si>
  <si>
    <t>Operating model: centralized, distributed, outsourced, remote or hybrid is handled informally and depends on individual knowledge or heroic effort.</t>
  </si>
  <si>
    <t>Operating model: centralized, distributed, outsourced, remote or hybrid is partially documented or implemented, but coverage is inconsistent and not crisis-tested.</t>
  </si>
  <si>
    <t>Operating model: centralized, distributed, outsourced, remote or hybrid is documented, owned, used in normal operations and supported by basic evidence or metrics.</t>
  </si>
  <si>
    <t>Operating model: centralized, distributed, outsourced, remote or hybrid is measured, periodically reviewed, integrated with related processes and tested against relevant disruption scenarios.</t>
  </si>
  <si>
    <t>Operating model: centralized, distributed, outsourced, remote or hybrid is optimized, continuously improved, automated where practical and demonstrably supports crisis resilience.</t>
  </si>
  <si>
    <t>COMP-005</t>
  </si>
  <si>
    <t>How mature is the organization in managing critical assets: people, facilities, systems, data, equipment and intellectual property, including ownership, evidence, metrics, fallback procedures and crisis stress testing?</t>
  </si>
  <si>
    <t>Policy/SOP; owner/RACI; system report; dashboard; contracts; test records; incident history; interview evidence related to critical assets: people, facilities, systems, data, equipment and intellectual property.</t>
  </si>
  <si>
    <t>COMP-006</t>
  </si>
  <si>
    <t>How mature is the organization in managing regulatory exposure by country, market, product and customer type, including ownership, evidence, metrics, fallback procedures and crisis stress testing?</t>
  </si>
  <si>
    <t>Policy/SOP; owner/RACI; system report; dashboard; contracts; test records; incident history; interview evidence related to regulatory exposure by country, market, product and customer type.</t>
  </si>
  <si>
    <t>No reliable evidence that regulatory exposure by country, market, product and customer type is defined, owned or managed.</t>
  </si>
  <si>
    <t>Regulatory exposure by country, market, product and customer type is handled informally and depends on individual knowledge or heroic effort.</t>
  </si>
  <si>
    <t>Regulatory exposure by country, market, product and customer type is partially documented or implemented, but coverage is inconsistent and not crisis-tested.</t>
  </si>
  <si>
    <t>Regulatory exposure by country, market, product and customer type is documented, owned, used in normal operations and supported by basic evidence or metrics.</t>
  </si>
  <si>
    <t>Regulatory exposure by country, market, product and customer type is measured, periodically reviewed, integrated with related processes and tested against relevant disruption scenarios.</t>
  </si>
  <si>
    <t>Regulatory exposure by country, market, product and customer type is optimized, continuously improved, automated where practical and demonstrably supports crisis resilience.</t>
  </si>
  <si>
    <t>COMP-007</t>
  </si>
  <si>
    <t>How mature is the organization in managing insurance coverage for business interruption, cyber, liability, property and key assets, including ownership, evidence, metrics, fallback procedures and crisis stress testing?</t>
  </si>
  <si>
    <t>Policy/SOP; owner/RACI; system report; dashboard; contracts; test records; incident history; interview evidence related to insurance coverage for business interruption, cyber, liability, property and key assets.</t>
  </si>
  <si>
    <t>COMP-008</t>
  </si>
  <si>
    <t>How mature is the organization in managing workforce distribution by country, city, function, contract type and criticality, including ownership, evidence, metrics, fallback procedures and crisis stress testing?</t>
  </si>
  <si>
    <t>Policy/SOP; owner/RACI; system report; dashboard; contracts; test records; incident history; interview evidence related to workforce distribution by country, city, function, contract type and criticality.</t>
  </si>
  <si>
    <t>COMP-009</t>
  </si>
  <si>
    <t>How mature is the organization in managing site distribution across offices, plants, warehouses, stores, labs and data centers, including ownership, evidence, metrics, fallback procedures and crisis stress testing?</t>
  </si>
  <si>
    <t>Policy/SOP; owner/RACI; system report; dashboard; contracts; test records; incident history; interview evidence related to site distribution across offices, plants, warehouses, stores, labs and data centers.</t>
  </si>
  <si>
    <t>No plan or procedure exists.</t>
  </si>
  <si>
    <t>Knowledge lives with individuals; nothing usable is written down.</t>
  </si>
  <si>
    <t>Drafted but outdated, not approved, or unknown to the people who must use it.</t>
  </si>
  <si>
    <t>Approved and current; owners assigned; affected staff know it exists and where to find it.</t>
  </si>
  <si>
    <t>Tested against realistic scenarios; updated after each test or real incident.</t>
  </si>
  <si>
    <t>Exercised regularly including external parties; readiness measured; continuously improved.</t>
  </si>
  <si>
    <t>COMP-010</t>
  </si>
  <si>
    <t>How mature is the organization in managing revenue distribution by country, currency, customer geography and market exposure, including ownership, evidence, metrics, fallback procedures and crisis stress testing?</t>
  </si>
  <si>
    <t>Policy/SOP; owner/RACI; system report; dashboard; contracts; test records; incident history; interview evidence related to revenue distribution by country, currency, customer geography and market exposure.</t>
  </si>
  <si>
    <t>No reliable evidence that revenue distribution by country, currency, customer geography and market exposure is defined, owned or managed.</t>
  </si>
  <si>
    <t>Revenue distribution by country, currency, customer geography and market exposure is handled informally and depends on individual knowledge or heroic effort.</t>
  </si>
  <si>
    <t>Revenue distribution by country, currency, customer geography and market exposure is partially documented or implemented, but coverage is inconsistent and not crisis-tested.</t>
  </si>
  <si>
    <t>Revenue distribution by country, currency, customer geography and market exposure is documented, owned, used in normal operations and supported by basic evidence or metrics.</t>
  </si>
  <si>
    <t>Revenue distribution by country, currency, customer geography and market exposure is measured, periodically reviewed, integrated with related processes and tested against relevant disruption scenarios.</t>
  </si>
  <si>
    <t>Revenue distribution by country, currency, customer geography and market exposure is optimized, continuously improved, automated where practical and demonstrably supports crisis resilience.</t>
  </si>
  <si>
    <t>COMP-011</t>
  </si>
  <si>
    <t>How mature is the organization in managing supplier distribution by country, tier, criticality and replacement options, including ownership, evidence, metrics, fallback procedures and crisis stress testing?</t>
  </si>
  <si>
    <t>Policy/SOP; owner/RACI; system report; dashboard; contracts; test records; incident history; interview evidence related to supplier distribution by country, tier, criticality and replacement options.</t>
  </si>
  <si>
    <t>COMP-012</t>
  </si>
  <si>
    <t>How mature is the organization in managing customer distribution by geography, industry, contract and crisis sensitivity, including ownership, evidence, metrics, fallback procedures and crisis stress testing?</t>
  </si>
  <si>
    <t>Policy/SOP; owner/RACI; system report; dashboard; contracts; test records; incident history; interview evidence related to customer distribution by geography, industry, contract and crisis sensitivity.</t>
  </si>
  <si>
    <t>COMP-013</t>
  </si>
  <si>
    <t>How mature is the organization in managing country risk monitoring for war, sanctions, political instability, natural disaster and energy risks, including ownership, evidence, metrics, fallback procedures and crisis stress testing?</t>
  </si>
  <si>
    <t>Policy/SOP; owner/RACI; system report; dashboard; contracts; test records; incident history; interview evidence related to country risk monitoring for war, sanctions, political instability, natural disaster and energy risks.</t>
  </si>
  <si>
    <t>No reliable evidence that country risk monitoring for war, sanctions, political instability, natural disaster and energy risks is defined, owned or managed.</t>
  </si>
  <si>
    <t>Country risk monitoring for war, sanctions, political instability, natural disaster and energy risks is handled informally and depends on individual knowledge or heroic effort.</t>
  </si>
  <si>
    <t>Country risk monitoring for war, sanctions, political instability, natural disaster and energy risks is partially documented or implemented, but coverage is inconsistent and not crisis-tested.</t>
  </si>
  <si>
    <t>Country risk monitoring for war, sanctions, political instability, natural disaster and energy risks is documented, owned, used in normal operations and supported by basic evidence or metrics.</t>
  </si>
  <si>
    <t>Country risk monitoring for war, sanctions, political instability, natural disaster and energy risks is measured, periodically reviewed, integrated with related processes and tested against relevant disruption scenarios.</t>
  </si>
  <si>
    <t>Country risk monitoring for war, sanctions, political instability, natural disaster and energy risks is optimized, continuously improved, automated where practical and demonstrably supports crisis resilience.</t>
  </si>
  <si>
    <t>COMP-014</t>
  </si>
  <si>
    <t>How mature is the organization in managing relocation and alternative location options for critical teams and operations, including ownership, evidence, metrics, fallback procedures and crisis stress testing?</t>
  </si>
  <si>
    <t>Policy/SOP; owner/RACI; system report; dashboard; contracts; test records; incident history; interview evidence related to relocation and alternative location options for critical teams and operations.</t>
  </si>
  <si>
    <t>COMP-016</t>
  </si>
  <si>
    <t>How mature is the organization in managing single-country, single-site and single-provider concentration risks, including ownership, evidence, metrics, fallback procedures and crisis stress testing?</t>
  </si>
  <si>
    <t>Policy/SOP; owner/RACI; system report; dashboard; contracts; test records; incident history; interview evidence related to single-country, single-site and single-provider concentration risks.</t>
  </si>
  <si>
    <t>COMP-017</t>
  </si>
  <si>
    <t>How mature is the organization in managing external stakeholder map: owners, banks, regulators, insurers, local authorities and strategic partners, including ownership, evidence, metrics, fallback procedures and crisis stress testing?</t>
  </si>
  <si>
    <t>Policy/SOP; owner/RACI; system report; dashboard; contracts; test records; incident history; interview evidence related to external stakeholder map: owners, banks, regulators, insurers, local authorities and strategic partners.</t>
  </si>
  <si>
    <t>No reliable evidence that external stakeholder map: owners, banks, regulators, insurers, local authorities and strategic partners is defined, owned or managed.</t>
  </si>
  <si>
    <t>External stakeholder map: owners, banks, regulators, insurers, local authorities and strategic partners is handled informally and depends on individual knowledge or heroic effort.</t>
  </si>
  <si>
    <t>External stakeholder map: owners, banks, regulators, insurers, local authorities and strategic partners is partially documented or implemented, but coverage is inconsistent and not crisis-tested.</t>
  </si>
  <si>
    <t>External stakeholder map: owners, banks, regulators, insurers, local authorities and strategic partners is documented, owned, used in normal operations and supported by basic evidence or metrics.</t>
  </si>
  <si>
    <t>External stakeholder map: owners, banks, regulators, insurers, local authorities and strategic partners is measured, periodically reviewed, integrated with related processes and tested against relevant disruption scenarios.</t>
  </si>
  <si>
    <t>External stakeholder map: owners, banks, regulators, insurers, local authorities and strategic partners is optimized, continuously improved, automated where practical and demonstrably supports crisis resilience.</t>
  </si>
  <si>
    <t>COMP-018</t>
  </si>
  <si>
    <t>How mature is the organization in managing data residency and cross-border transfer exposure by system and geography, including ownership, evidence, metrics, fallback procedures and crisis stress testing?</t>
  </si>
  <si>
    <t>Policy/SOP; owner/RACI; system report; dashboard; contracts; test records; incident history; interview evidence related to data residency and cross-border transfer exposure by system and geography.</t>
  </si>
  <si>
    <t>No reliable evidence that data residency and cross-border transfer exposure by system and geography is defined, owned or managed.</t>
  </si>
  <si>
    <t>Data residency and cross-border transfer exposure by system and geography is handled informally and depends on individual knowledge or heroic effort.</t>
  </si>
  <si>
    <t>Data residency and cross-border transfer exposure by system and geography is partially documented or implemented, but coverage is inconsistent and not crisis-tested.</t>
  </si>
  <si>
    <t>Data residency and cross-border transfer exposure by system and geography is documented, owned, used in normal operations and supported by basic evidence or metrics.</t>
  </si>
  <si>
    <t>Data residency and cross-border transfer exposure by system and geography is measured, periodically reviewed, integrated with related processes and tested against relevant disruption scenarios.</t>
  </si>
  <si>
    <t>Data residency and cross-border transfer exposure by system and geography is optimized, continuously improved, automated where practical and demonstrably supports crisis resilience.</t>
  </si>
  <si>
    <t>COMP-019</t>
  </si>
  <si>
    <t>How mature is the organization in managing acceptable downtime thresholds by geography, function, customer and process, including ownership, evidence, metrics, fallback procedures and crisis stress testing?</t>
  </si>
  <si>
    <t>Policy/SOP; owner/RACI; system report; dashboard; contracts; test records; incident history; interview evidence related to acceptable downtime thresholds by geography, function, customer and process.</t>
  </si>
  <si>
    <t>No reliable evidence that acceptable downtime thresholds by geography, function, customer and process is defined, owned or managed.</t>
  </si>
  <si>
    <t>Acceptable downtime thresholds by geography, function, customer and process is handled informally and depends on individual knowledge or heroic effort.</t>
  </si>
  <si>
    <t>Acceptable downtime thresholds by geography, function, customer and process is partially documented or implemented, but coverage is inconsistent and not crisis-tested.</t>
  </si>
  <si>
    <t>Acceptable downtime thresholds by geography, function, customer and process is documented, owned, used in normal operations and supported by basic evidence or metrics.</t>
  </si>
  <si>
    <t>Acceptable downtime thresholds by geography, function, customer and process is measured, periodically reviewed, integrated with related processes and tested against relevant disruption scenarios.</t>
  </si>
  <si>
    <t>Acceptable downtime thresholds by geography, function, customer and process is optimized, continuously improved, automated where practical and demonstrably supports crisis resilience.</t>
  </si>
  <si>
    <t>COMP-021</t>
  </si>
  <si>
    <t>How mature is the organization in managing critical infrastructure status and government emergency obligations across operating geographies, including ownership, evidence, metrics, fallback procedures and crisis stress testing?</t>
  </si>
  <si>
    <t>This topic affects exposure to War/security crisis; Energy/utilities outage; Regulatory/legal shock. It helps identify how disruption may impact operations, people, revenue, systems, legal exposure or recovery time.</t>
  </si>
  <si>
    <t>ISO 22301; NIS2; national critical infrastructure regulation</t>
  </si>
  <si>
    <t>Policy/SOP; owner/RACI; system report; dashboard; contracts; test records; incident history; interview evidence</t>
  </si>
  <si>
    <t>No reliable evidence that critical infrastructure status and government emergency obligations across operating geographies is defined, owned or managed.</t>
  </si>
  <si>
    <t>Critical infrastructure status and government emergency obligations across operating geographies is handled informally and depends on individual knowledge or heroic effort.</t>
  </si>
  <si>
    <t>Critical infrastructure status and government emergency obligations across operating geographies is partially documented or implemented, but coverage is inconsistent and not crisis-tested.</t>
  </si>
  <si>
    <t>Critical infrastructure status and government emergency obligations across operating geographies is documented, owned, used in normal operations and supported by basic evidence or metrics.</t>
  </si>
  <si>
    <t>Critical infrastructure status and government emergency obligations across operating geographies is measured, periodically reviewed, integrated with related processes and tested against relevant disruption scenarios.</t>
  </si>
  <si>
    <t>Critical infrastructure status and government emergency obligations across operating geographies is optimized, continuously improved, automated where practical and demonstrably supports crisis resilience.</t>
  </si>
  <si>
    <t>War/security crisis; Energy/utilities outage; Regulatory/legal shock</t>
  </si>
  <si>
    <t>Strategy GTM</t>
  </si>
  <si>
    <t>STRA-001</t>
  </si>
  <si>
    <t>Corporate strategy</t>
  </si>
  <si>
    <t>How mature is the organization in managing documented strategy translated into objectives, KPIs, budgets and accountable owners, including ownership, evidence, metrics, fallback procedures and crisis stress testing?</t>
  </si>
  <si>
    <t>This topic affects exposure to Demand shock; Financial / liquidity shock; Reputation crisis. It helps identify how disruption may impact operations, people, revenue, systems, legal exposure or recovery time.</t>
  </si>
  <si>
    <t>ISO 9001; ISO 31000; ISO 37000; McKinsey 7S; OHI; Bain Elements of Value; Jobs-to-be-Done; Porter Five Forces; OKR</t>
  </si>
  <si>
    <t>Policy/SOP; owner/RACI; system report; dashboard; contracts; test records; incident history; interview evidence related to documented strategy translated into objectives, KPIs, budgets and accountable owners.</t>
  </si>
  <si>
    <t>No reliable evidence that documented strategy translated into objectives, kpis, budgets and accountable owners is defined, owned or managed.</t>
  </si>
  <si>
    <t>Documented strategy translated into objectives, KPIs, budgets and accountable owners is handled informally and depends on individual knowledge or heroic effort.</t>
  </si>
  <si>
    <t>Documented strategy translated into objectives, KPIs, budgets and accountable owners is partially documented or implemented, but coverage is inconsistent and not crisis-tested.</t>
  </si>
  <si>
    <t>Documented strategy translated into objectives, KPIs, budgets and accountable owners is documented, owned, used in normal operations and supported by basic evidence or metrics.</t>
  </si>
  <si>
    <t>Documented strategy translated into objectives, KPIs, budgets and accountable owners is measured, periodically reviewed, integrated with related processes and tested against relevant disruption scenarios.</t>
  </si>
  <si>
    <t>Documented strategy translated into objectives, KPIs, budgets and accountable owners is optimized, continuously improved, automated where practical and demonstrably supports crisis resilience.</t>
  </si>
  <si>
    <t>Demand shock; Financial / liquidity shock; Reputation crisis</t>
  </si>
  <si>
    <t>STRA-002</t>
  </si>
  <si>
    <t>How mature is the organization in managing explicit strategic assumptions and periodic challenge of those assumptions, including ownership, evidence, metrics, fallback procedures and crisis stress testing?</t>
  </si>
  <si>
    <t>Policy/SOP; owner/RACI; system report; dashboard; contracts; test records; incident history; interview evidence related to explicit strategic assumptions and periodic challenge of those assumptions.</t>
  </si>
  <si>
    <t>No reliable evidence that explicit strategic assumptions and periodic challenge of those assumptions is defined, owned or managed.</t>
  </si>
  <si>
    <t>Explicit strategic assumptions and periodic challenge of those assumptions is handled informally and depends on individual knowledge or heroic effort.</t>
  </si>
  <si>
    <t>Explicit strategic assumptions and periodic challenge of those assumptions is partially documented or implemented, but coverage is inconsistent and not crisis-tested.</t>
  </si>
  <si>
    <t>Explicit strategic assumptions and periodic challenge of those assumptions is documented, owned, used in normal operations and supported by basic evidence or metrics.</t>
  </si>
  <si>
    <t>Explicit strategic assumptions and periodic challenge of those assumptions is measured, periodically reviewed, integrated with related processes and tested against relevant disruption scenarios.</t>
  </si>
  <si>
    <t>Explicit strategic assumptions and periodic challenge of those assumptions is optimized, continuously improved, automated where practical and demonstrably supports crisis resilience.</t>
  </si>
  <si>
    <t>Market and ICP</t>
  </si>
  <si>
    <t>STRA-003</t>
  </si>
  <si>
    <t>How mature is the organization in managing crisis-resilient strategy including adaptation, continuity, digital enablement and recovery options, including ownership, evidence, metrics, fallback procedures and crisis stress testing?</t>
  </si>
  <si>
    <t>Policy/SOP; owner/RACI; system report; dashboard; contracts; test records; incident history; interview evidence related to crisis-resilient strategy including adaptation, continuity, digital enablement and recovery options.</t>
  </si>
  <si>
    <t>Offering and positioning</t>
  </si>
  <si>
    <t>STRA-004</t>
  </si>
  <si>
    <t>How mature is the organization in managing strategic priorities ranked by business value, urgency, risk and resource constraints, including ownership, evidence, metrics, fallback procedures and crisis stress testing?</t>
  </si>
  <si>
    <t>Policy/SOP; owner/RACI; system report; dashboard; contracts; test records; incident history; interview evidence related to strategic priorities ranked by business value, urgency, risk and resource constraints.</t>
  </si>
  <si>
    <t>No reliable evidence that strategic priorities ranked by business value, urgency, risk and resource constraints is defined, owned or managed.</t>
  </si>
  <si>
    <t>Strategic priorities ranked by business value, urgency, risk and resource constraints is handled informally and depends on individual knowledge or heroic effort.</t>
  </si>
  <si>
    <t>Strategic priorities ranked by business value, urgency, risk and resource constraints is partially documented or implemented, but coverage is inconsistent and not crisis-tested.</t>
  </si>
  <si>
    <t>Strategic priorities ranked by business value, urgency, risk and resource constraints is documented, owned, used in normal operations and supported by basic evidence or metrics.</t>
  </si>
  <si>
    <t>Strategic priorities ranked by business value, urgency, risk and resource constraints is measured, periodically reviewed, integrated with related processes and tested against relevant disruption scenarios.</t>
  </si>
  <si>
    <t>Strategic priorities ranked by business value, urgency, risk and resource constraints is optimized, continuously improved, automated where practical and demonstrably supports crisis resilience.</t>
  </si>
  <si>
    <t>GTM execution</t>
  </si>
  <si>
    <t>STRA-005</t>
  </si>
  <si>
    <t>How mature is the organization in managing strategic options for pivoting under demand shock, war, regulation, supply or liquidity crisis, including ownership, evidence, metrics, fallback procedures and crisis stress testing?</t>
  </si>
  <si>
    <t>Policy/SOP; owner/RACI; system report; dashboard; contracts; test records; incident history; interview evidence related to strategic options for pivoting under demand shock, war, regulation, supply or liquidity crisis.</t>
  </si>
  <si>
    <t>External relations and partnerships</t>
  </si>
  <si>
    <t>STRA-006</t>
  </si>
  <si>
    <t>How mature is the organization in managing alignment between strategy, structure, systems, skills, staff, leadership style and culture, including ownership, evidence, metrics, fallback procedures and crisis stress testing?</t>
  </si>
  <si>
    <t>Policy/SOP; owner/RACI; system report; dashboard; contracts; test records; incident history; interview evidence related to alignment between strategy, structure, systems, skills, staff, leadership style and culture.</t>
  </si>
  <si>
    <t>No reliable evidence that alignment between strategy, structure, systems, skills, staff, leadership style and culture is defined, owned or managed.</t>
  </si>
  <si>
    <t>Alignment between strategy, structure, systems, skills, staff, leadership style and culture is handled informally and depends on individual knowledge or heroic effort.</t>
  </si>
  <si>
    <t>Alignment between strategy, structure, systems, skills, staff, leadership style and culture is partially documented or implemented, but coverage is inconsistent and not crisis-tested.</t>
  </si>
  <si>
    <t>Alignment between strategy, structure, systems, skills, staff, leadership style and culture is documented, owned, used in normal operations and supported by basic evidence or metrics.</t>
  </si>
  <si>
    <t>Alignment between strategy, structure, systems, skills, staff, leadership style and culture is measured, periodically reviewed, integrated with related processes and tested against relevant disruption scenarios.</t>
  </si>
  <si>
    <t>Alignment between strategy, structure, systems, skills, staff, leadership style and culture is optimized, continuously improved, automated where practical and demonstrably supports crisis resilience.</t>
  </si>
  <si>
    <t>STRA-007</t>
  </si>
  <si>
    <t>How mature is the organization in managing ideal customer profile by segment, geography, industry, company size, pain, budget and buying trigger, including ownership, evidence, metrics, fallback procedures and crisis stress testing?</t>
  </si>
  <si>
    <t>Policy/SOP; owner/RACI; system report; dashboard; contracts; test records; incident history; interview evidence related to ideal customer profile by segment, geography, industry, company size, pain, budget and buying trigger.</t>
  </si>
  <si>
    <t>No reliable evidence that ideal customer profile by segment, geography, industry, company size, pain, budget and buying trigger is defined, owned or managed.</t>
  </si>
  <si>
    <t>Ideal customer profile by segment, geography, industry, company size, pain, budget and buying trigger is handled informally and depends on individual knowledge or heroic effort.</t>
  </si>
  <si>
    <t>Ideal customer profile by segment, geography, industry, company size, pain, budget and buying trigger is partially documented or implemented, but coverage is inconsistent and not crisis-tested.</t>
  </si>
  <si>
    <t>Ideal customer profile by segment, geography, industry, company size, pain, budget and buying trigger is documented, owned, used in normal operations and supported by basic evidence or metrics.</t>
  </si>
  <si>
    <t>Ideal customer profile by segment, geography, industry, company size, pain, budget and buying trigger is measured, periodically reviewed, integrated with related processes and tested against relevant disruption scenarios.</t>
  </si>
  <si>
    <t>Ideal customer profile by segment, geography, industry, company size, pain, budget and buying trigger is optimized, continuously improved, automated where practical and demonstrably supports crisis resilience.</t>
  </si>
  <si>
    <t>STRA-008</t>
  </si>
  <si>
    <t>How mature is the organization in managing buyer personas covering economic buyer, technical buyer, user, influencer and blocker, including ownership, evidence, metrics, fallback procedures and crisis stress testing?</t>
  </si>
  <si>
    <t>Policy/SOP; owner/RACI; system report; dashboard; contracts; test records; incident history; interview evidence related to buyer personas covering economic buyer, technical buyer, user, influencer and blocker.</t>
  </si>
  <si>
    <t>No reliable evidence that buyer personas covering economic buyer, technical buyer, user, influencer and blocker is defined, owned or managed.</t>
  </si>
  <si>
    <t>Buyer personas covering economic buyer, technical buyer, user, influencer and blocker is handled informally and depends on individual knowledge or heroic effort.</t>
  </si>
  <si>
    <t>Buyer personas covering economic buyer, technical buyer, user, influencer and blocker is partially documented or implemented, but coverage is inconsistent and not crisis-tested.</t>
  </si>
  <si>
    <t>Buyer personas covering economic buyer, technical buyer, user, influencer and blocker is documented, owned, used in normal operations and supported by basic evidence or metrics.</t>
  </si>
  <si>
    <t>Buyer personas covering economic buyer, technical buyer, user, influencer and blocker is measured, periodically reviewed, integrated with related processes and tested against relevant disruption scenarios.</t>
  </si>
  <si>
    <t>Buyer personas covering economic buyer, technical buyer, user, influencer and blocker is optimized, continuously improved, automated where practical and demonstrably supports crisis resilience.</t>
  </si>
  <si>
    <t>STRA-009</t>
  </si>
  <si>
    <t>How mature is the organization in managing validated customer problems, jobs-to-be-done, urgency triggers and willingness to pay, including ownership, evidence, metrics, fallback procedures and crisis stress testing?</t>
  </si>
  <si>
    <t>Policy/SOP; owner/RACI; system report; dashboard; contracts; test records; incident history; interview evidence related to validated customer problems, jobs-to-be-done, urgency triggers and willingness to pay.</t>
  </si>
  <si>
    <t>No reliable evidence that validated customer problems, jobs-to-be-done, urgency triggers and willingness to pay is defined, owned or managed.</t>
  </si>
  <si>
    <t>Validated customer problems, jobs-to-be-done, urgency triggers and willingness to pay is handled informally and depends on individual knowledge or heroic effort.</t>
  </si>
  <si>
    <t>Validated customer problems, jobs-to-be-done, urgency triggers and willingness to pay is partially documented or implemented, but coverage is inconsistent and not crisis-tested.</t>
  </si>
  <si>
    <t>Validated customer problems, jobs-to-be-done, urgency triggers and willingness to pay is documented, owned, used in normal operations and supported by basic evidence or metrics.</t>
  </si>
  <si>
    <t>Validated customer problems, jobs-to-be-done, urgency triggers and willingness to pay is measured, periodically reviewed, integrated with related processes and tested against relevant disruption scenarios.</t>
  </si>
  <si>
    <t>Validated customer problems, jobs-to-be-done, urgency triggers and willingness to pay is optimized, continuously improved, automated where practical and demonstrably supports crisis resilience.</t>
  </si>
  <si>
    <t>STRA-010</t>
  </si>
  <si>
    <t>How mature is the organization in managing market segmentation by attractiveness, accessibility, profitability and crisis sensitivity, including ownership, evidence, metrics, fallback procedures and crisis stress testing?</t>
  </si>
  <si>
    <t>Policy/SOP; owner/RACI; system report; dashboard; contracts; test records; incident history; interview evidence related to market segmentation by attractiveness, accessibility, profitability and crisis sensitivity.</t>
  </si>
  <si>
    <t>STRA-011</t>
  </si>
  <si>
    <t>How mature is the organization in managing market size and growth assumptions with explicit evidence and uncertainty level, including ownership, evidence, metrics, fallback procedures and crisis stress testing?</t>
  </si>
  <si>
    <t>Policy/SOP; owner/RACI; system report; dashboard; contracts; test records; incident history; interview evidence related to market size and growth assumptions with explicit evidence and uncertainty level.</t>
  </si>
  <si>
    <t>No reliable evidence that market size and growth assumptions with explicit evidence and uncertainty level is defined, owned or managed.</t>
  </si>
  <si>
    <t>Market size and growth assumptions with explicit evidence and uncertainty level is handled informally and depends on individual knowledge or heroic effort.</t>
  </si>
  <si>
    <t>Market size and growth assumptions with explicit evidence and uncertainty level is partially documented or implemented, but coverage is inconsistent and not crisis-tested.</t>
  </si>
  <si>
    <t>Market size and growth assumptions with explicit evidence and uncertainty level is documented, owned, used in normal operations and supported by basic evidence or metrics.</t>
  </si>
  <si>
    <t>Market size and growth assumptions with explicit evidence and uncertainty level is measured, periodically reviewed, integrated with related processes and tested against relevant disruption scenarios.</t>
  </si>
  <si>
    <t>Market size and growth assumptions with explicit evidence and uncertainty level is optimized, continuously improved, automated where practical and demonstrably supports crisis resilience.</t>
  </si>
  <si>
    <t>STRA-012</t>
  </si>
  <si>
    <t>How mature is the organization in managing customer concentration and exposure to specific industries, geographies or budget cycles, including ownership, evidence, metrics, fallback procedures and crisis stress testing?</t>
  </si>
  <si>
    <t>Policy/SOP; owner/RACI; system report; dashboard; contracts; test records; incident history; interview evidence related to customer concentration and exposure to specific industries, geographies or budget cycles.</t>
  </si>
  <si>
    <t>No reliable evidence that customer concentration and exposure to specific industries, geographies or budget cycles is defined, owned or managed.</t>
  </si>
  <si>
    <t>Customer concentration and exposure to specific industries, geographies or budget cycles is handled informally and depends on individual knowledge or heroic effort.</t>
  </si>
  <si>
    <t>Customer concentration and exposure to specific industries, geographies or budget cycles is partially documented or implemented, but coverage is inconsistent and not crisis-tested.</t>
  </si>
  <si>
    <t>Customer concentration and exposure to specific industries, geographies or budget cycles is documented, owned, used in normal operations and supported by basic evidence or metrics.</t>
  </si>
  <si>
    <t>Customer concentration and exposure to specific industries, geographies or budget cycles is measured, periodically reviewed, integrated with related processes and tested against relevant disruption scenarios.</t>
  </si>
  <si>
    <t>Customer concentration and exposure to specific industries, geographies or budget cycles is optimized, continuously improved, automated where practical and demonstrably supports crisis resilience.</t>
  </si>
  <si>
    <t>STRA-013</t>
  </si>
  <si>
    <t>How mature is the organization in managing structured offering catalog with packages, scope, outcomes, assumptions and delivery requirements, including ownership, evidence, metrics, fallback procedures and crisis stress testing?</t>
  </si>
  <si>
    <t>Policy/SOP; owner/RACI; system report; dashboard; contracts; test records; incident history; interview evidence related to structured offering catalog with packages, scope, outcomes, assumptions and delivery requirements.</t>
  </si>
  <si>
    <t>No inventory/register exists.</t>
  </si>
  <si>
    <t>Partial lists live in individuals' heads or personal files.</t>
  </si>
  <si>
    <t>A register exists but is incomplete or outdated (&gt;1 year) and has no owner.</t>
  </si>
  <si>
    <t>Owned, documented, updated on a defined schedule, covers the main scope.</t>
  </si>
  <si>
    <t>Complete and periodically reviewed; integrated with related processes; completeness measured.</t>
  </si>
  <si>
    <t>Maintained automatically or synced with systems; drives decisions; audited.</t>
  </si>
  <si>
    <t>STRA-014</t>
  </si>
  <si>
    <t>How mature is the organization in managing clear differentiation against direct competitors, substitutes and in-house alternatives, including ownership, evidence, metrics, fallback procedures and crisis stress testing?</t>
  </si>
  <si>
    <t>Policy/SOP; owner/RACI; system report; dashboard; contracts; test records; incident history; interview evidence related to clear differentiation against direct competitors, substitutes and in-house alternatives.</t>
  </si>
  <si>
    <t>No reliable evidence that clear differentiation against direct competitors, substitutes and in-house alternatives is defined, owned or managed.</t>
  </si>
  <si>
    <t>Clear differentiation against direct competitors, substitutes and in-house alternatives is handled informally and depends on individual knowledge or heroic effort.</t>
  </si>
  <si>
    <t>Clear differentiation against direct competitors, substitutes and in-house alternatives is partially documented or implemented, but coverage is inconsistent and not crisis-tested.</t>
  </si>
  <si>
    <t>Clear differentiation against direct competitors, substitutes and in-house alternatives is documented, owned, used in normal operations and supported by basic evidence or metrics.</t>
  </si>
  <si>
    <t>Clear differentiation against direct competitors, substitutes and in-house alternatives is measured, periodically reviewed, integrated with related processes and tested against relevant disruption scenarios.</t>
  </si>
  <si>
    <t>Clear differentiation against direct competitors, substitutes and in-house alternatives is optimized, continuously improved, automated where practical and demonstrably supports crisis resilience.</t>
  </si>
  <si>
    <t>STRA-015</t>
  </si>
  <si>
    <t>How mature is the organization in managing value proposition linked to measurable customer economic value, risk reduction or continuity impact, including ownership, evidence, metrics, fallback procedures and crisis stress testing?</t>
  </si>
  <si>
    <t>Policy/SOP; owner/RACI; system report; dashboard; contracts; test records; incident history; interview evidence related to value proposition linked to measurable customer economic value, risk reduction or continuity impact.</t>
  </si>
  <si>
    <t>Nothing is monitored or measured.</t>
  </si>
  <si>
    <t>Occasional manual checks by individuals.</t>
  </si>
  <si>
    <t>Some metrics exist but are not reviewed regularly and trigger no action.</t>
  </si>
  <si>
    <t>Defined metrics with an owner, reviewed on a set cadence.</t>
  </si>
  <si>
    <t>Thresholds and alerts in place; deviations trigger documented action; trends analyzed.</t>
  </si>
  <si>
    <t>Automated monitoring with leading indicators, integrated into management decisions.</t>
  </si>
  <si>
    <t>STRA-016</t>
  </si>
  <si>
    <t>How mature is the organization in managing pricing strategy with margin thresholds, discount governance and crisis boundaries, including ownership, evidence, metrics, fallback procedures and crisis stress testing?</t>
  </si>
  <si>
    <t>Policy/SOP; owner/RACI; system report; dashboard; contracts; test records; incident history; interview evidence related to pricing strategy with margin thresholds, discount governance and crisis boundaries.</t>
  </si>
  <si>
    <t>STRA-017</t>
  </si>
  <si>
    <t>How mature is the organization in managing proof assets such as case studies, references, certifications, security evidence and continuity commitments, including ownership, evidence, metrics, fallback procedures and crisis stress testing?</t>
  </si>
  <si>
    <t>Policy/SOP; owner/RACI; system report; dashboard; contracts; test records; incident history; interview evidence related to proof assets such as case studies, references, certifications, security evidence and continuity commitments.</t>
  </si>
  <si>
    <t>STRA-018</t>
  </si>
  <si>
    <t>How mature is the organization in managing product or service modularity that allows budget-sensitive or crisis-driven adaptation, including ownership, evidence, metrics, fallback procedures and crisis stress testing?</t>
  </si>
  <si>
    <t>Policy/SOP; owner/RACI; system report; dashboard; contracts; test records; incident history; interview evidence related to product or service modularity that allows budget-sensitive or crisis-driven adaptation.</t>
  </si>
  <si>
    <t>STRA-019</t>
  </si>
  <si>
    <t>How mature is the organization in managing sales playbooks for ICPs, offerings, objections, competitors and crisis-specific customer concerns, including ownership, evidence, metrics, fallback procedures and crisis stress testing?</t>
  </si>
  <si>
    <t>Policy/SOP; owner/RACI; system report; dashboard; contracts; test records; incident history; interview evidence related to sales playbooks for ICPs, offerings, objections, competitors and crisis-specific customer concerns.</t>
  </si>
  <si>
    <t>STRA-020</t>
  </si>
  <si>
    <t>How mature is the organization in managing pipeline governance with clear stages, qualification criteria, forecast probability and CRM discipline, including ownership, evidence, metrics, fallback procedures and crisis stress testing?</t>
  </si>
  <si>
    <t>Policy/SOP; owner/RACI; system report; dashboard; contracts; test records; incident history; interview evidence related to pipeline governance with clear stages, qualification criteria, forecast probability and CRM discipline.</t>
  </si>
  <si>
    <t>No reliable evidence that pipeline governance with clear stages, qualification criteria, forecast probability and crm discipline is defined, owned or managed.</t>
  </si>
  <si>
    <t>Pipeline governance with clear stages, qualification criteria, forecast probability and CRM discipline is handled informally and depends on individual knowledge or heroic effort.</t>
  </si>
  <si>
    <t>Pipeline governance with clear stages, qualification criteria, forecast probability and CRM discipline is partially documented or implemented, but coverage is inconsistent and not crisis-tested.</t>
  </si>
  <si>
    <t>Pipeline governance with clear stages, qualification criteria, forecast probability and CRM discipline is documented, owned, used in normal operations and supported by basic evidence or metrics.</t>
  </si>
  <si>
    <t>Pipeline governance with clear stages, qualification criteria, forecast probability and CRM discipline is measured, periodically reviewed, integrated with related processes and tested against relevant disruption scenarios.</t>
  </si>
  <si>
    <t>Pipeline governance with clear stages, qualification criteria, forecast probability and CRM discipline is optimized, continuously improved, automated where practical and demonstrably supports crisis resilience.</t>
  </si>
  <si>
    <t>STRA-021</t>
  </si>
  <si>
    <t>How mature is the organization in managing channel strategy across direct sales, partners, ecommerce, marketplaces, distributors and digital channels, including ownership, evidence, metrics, fallback procedures and crisis stress testing?</t>
  </si>
  <si>
    <t>Policy/SOP; owner/RACI; system report; dashboard; contracts; test records; incident history; interview evidence related to channel strategy across direct sales, partners, ecommerce, marketplaces, distributors and digital channels.</t>
  </si>
  <si>
    <t>No reliable evidence that channel strategy across direct sales, partners, ecommerce, marketplaces, distributors and digital channels is defined, owned or managed.</t>
  </si>
  <si>
    <t>Channel strategy across direct sales, partners, ecommerce, marketplaces, distributors and digital channels is handled informally and depends on individual knowledge or heroic effort.</t>
  </si>
  <si>
    <t>Channel strategy across direct sales, partners, ecommerce, marketplaces, distributors and digital channels is partially documented or implemented, but coverage is inconsistent and not crisis-tested.</t>
  </si>
  <si>
    <t>Channel strategy across direct sales, partners, ecommerce, marketplaces, distributors and digital channels is documented, owned, used in normal operations and supported by basic evidence or metrics.</t>
  </si>
  <si>
    <t>Channel strategy across direct sales, partners, ecommerce, marketplaces, distributors and digital channels is measured, periodically reviewed, integrated with related processes and tested against relevant disruption scenarios.</t>
  </si>
  <si>
    <t>Channel strategy across direct sales, partners, ecommerce, marketplaces, distributors and digital channels is optimized, continuously improved, automated where practical and demonstrably supports crisis resilience.</t>
  </si>
  <si>
    <t>STRA-022</t>
  </si>
  <si>
    <t>How mature is the organization in managing win/loss analysis feeding back into strategy, offering, pricing and messaging, including ownership, evidence, metrics, fallback procedures and crisis stress testing?</t>
  </si>
  <si>
    <t>Policy/SOP; owner/RACI; system report; dashboard; contracts; test records; incident history; interview evidence related to win/loss analysis feeding back into strategy, offering, pricing and messaging.</t>
  </si>
  <si>
    <t>STRA-024</t>
  </si>
  <si>
    <t>How mature is the organization in managing leading indicators for demand, churn, pricing pressure, conversion, sales velocity and customer health, including ownership, evidence, metrics, fallback procedures and crisis stress testing?</t>
  </si>
  <si>
    <t>Policy/SOP; owner/RACI; system report; dashboard; contracts; test records; incident history; interview evidence related to leading indicators for demand, churn, pricing pressure, conversion, sales velocity and customer health.</t>
  </si>
  <si>
    <t>No reliable evidence that leading indicators for demand, churn, pricing pressure, conversion, sales velocity and customer health is defined, owned or managed.</t>
  </si>
  <si>
    <t>Leading indicators for demand, churn, pricing pressure, conversion, sales velocity and customer health is handled informally and depends on individual knowledge or heroic effort.</t>
  </si>
  <si>
    <t>Leading indicators for demand, churn, pricing pressure, conversion, sales velocity and customer health is partially documented or implemented, but coverage is inconsistent and not crisis-tested.</t>
  </si>
  <si>
    <t>Leading indicators for demand, churn, pricing pressure, conversion, sales velocity and customer health is documented, owned, used in normal operations and supported by basic evidence or metrics.</t>
  </si>
  <si>
    <t>Leading indicators for demand, churn, pricing pressure, conversion, sales velocity and customer health is measured, periodically reviewed, integrated with related processes and tested against relevant disruption scenarios.</t>
  </si>
  <si>
    <t>Leading indicators for demand, churn, pricing pressure, conversion, sales velocity and customer health is optimized, continuously improved, automated where practical and demonstrably supports crisis resilience.</t>
  </si>
  <si>
    <t>STRA-025</t>
  </si>
  <si>
    <t>How mature is the organization in managing partner and alliance portfolio management with selection criteria, contracts, performance review and dependency control, including ownership, evidence, metrics, fallback procedures and crisis stress testing?</t>
  </si>
  <si>
    <t>This topic affects exposure to Demand shock; Supplier/logistics disruption; Reputation crisis. It helps identify how disruption may impact operations, people, revenue, systems, legal exposure or recovery time.</t>
  </si>
  <si>
    <t>APQC PCF 12.0; EFQM 2025 3.5; ISO 44001</t>
  </si>
  <si>
    <t>No reliable evidence that partner and alliance portfolio management with selection criteria, contracts, performance review and dependency control is defined, owned or managed.</t>
  </si>
  <si>
    <t>Partner and alliance portfolio management with selection criteria, contracts, performance review and dependency control is handled informally and depends on individual knowledge or heroic effort.</t>
  </si>
  <si>
    <t>Partner and alliance portfolio management with selection criteria, contracts, performance review and dependency control is partially documented or implemented, but coverage is inconsistent and not crisis-tested.</t>
  </si>
  <si>
    <t>Partner and alliance portfolio management with selection criteria, contracts, performance review and dependency control is documented, owned, used in normal operations and supported by basic evidence or metrics.</t>
  </si>
  <si>
    <t>Partner and alliance portfolio management with selection criteria, contracts, performance review and dependency control is measured, periodically reviewed, integrated with related processes and tested against relevant disruption scenarios.</t>
  </si>
  <si>
    <t>Partner and alliance portfolio management with selection criteria, contracts, performance review and dependency control is optimized, continuously improved, automated where practical and demonstrably supports crisis resilience.</t>
  </si>
  <si>
    <t>Demand shock; Supplier/logistics disruption; Reputation crisis</t>
  </si>
  <si>
    <t>STRA-026</t>
  </si>
  <si>
    <t>How mature is the organization in managing government and regulator relations with named owners, engagement plan and crisis escalation contacts, including ownership, evidence, metrics, fallback procedures and crisis stress testing?</t>
  </si>
  <si>
    <t>This topic affects exposure to Regulatory/legal shock; War/security crisis. It helps identify how disruption may impact operations, people, revenue, systems, legal exposure or recovery time.</t>
  </si>
  <si>
    <t>APQC PCF 12.1; ISO 37301; PESTLE</t>
  </si>
  <si>
    <t>No reliable evidence that government and regulator relations with named owners, engagement plan and crisis escalation contacts is defined, owned or managed.</t>
  </si>
  <si>
    <t>Government and regulator relations with named owners, engagement plan and crisis escalation contacts is handled informally and depends on individual knowledge or heroic effort.</t>
  </si>
  <si>
    <t>Government and regulator relations with named owners, engagement plan and crisis escalation contacts is partially documented or implemented, but coverage is inconsistent and not crisis-tested.</t>
  </si>
  <si>
    <t>Government and regulator relations with named owners, engagement plan and crisis escalation contacts is documented, owned, used in normal operations and supported by basic evidence or metrics.</t>
  </si>
  <si>
    <t>Government and regulator relations with named owners, engagement plan and crisis escalation contacts is measured, periodically reviewed, integrated with related processes and tested against relevant disruption scenarios.</t>
  </si>
  <si>
    <t>Government and regulator relations with named owners, engagement plan and crisis escalation contacts is optimized, continuously improved, automated where practical and demonstrably supports crisis resilience.</t>
  </si>
  <si>
    <t>Regulatory/legal shock; War/security crisis</t>
  </si>
  <si>
    <t>STRA-028</t>
  </si>
  <si>
    <t>How mature is the organization in managing owner, investor and lender communication discipline including bad-news protocols and crisis updates, including ownership, evidence, metrics, fallback procedures and crisis stress testing?</t>
  </si>
  <si>
    <t>This topic affects exposure to Financial/liquidity crisis; Reputation crisis. It helps identify how disruption may impact operations, people, revenue, systems, legal exposure or recovery time.</t>
  </si>
  <si>
    <t>APQC PCF 12.2; ISO 37000; COSO</t>
  </si>
  <si>
    <t>No reliable evidence that owner, investor and lender communication discipline including bad-news protocols and crisis updates is defined, owned or managed.</t>
  </si>
  <si>
    <t>Owner, investor and lender communication discipline including bad-news protocols and crisis updates is handled informally and depends on individual knowledge or heroic effort.</t>
  </si>
  <si>
    <t>Owner, investor and lender communication discipline including bad-news protocols and crisis updates is partially documented or implemented, but coverage is inconsistent and not crisis-tested.</t>
  </si>
  <si>
    <t>Owner, investor and lender communication discipline including bad-news protocols and crisis updates is documented, owned, used in normal operations and supported by basic evidence or metrics.</t>
  </si>
  <si>
    <t>Owner, investor and lender communication discipline including bad-news protocols and crisis updates is measured, periodically reviewed, integrated with related processes and tested against relevant disruption scenarios.</t>
  </si>
  <si>
    <t>Owner, investor and lender communication discipline including bad-news protocols and crisis updates is optimized, continuously improved, automated where practical and demonstrably supports crisis resilience.</t>
  </si>
  <si>
    <t>Financial/liquidity crisis; Reputation crisis</t>
  </si>
  <si>
    <t>Governance Crisis</t>
  </si>
  <si>
    <t>GOVE-001</t>
  </si>
  <si>
    <t>Crisis governance</t>
  </si>
  <si>
    <t>How mature is the organization in managing formal crisis management structure with named roles, deputies, escalation paths and decision authority, including ownership, evidence, metrics, fallback procedures and crisis stress testing?</t>
  </si>
  <si>
    <t>This topic affects exposure to All crisis types. It helps identify how disruption may impact operations, people, revenue, systems, legal exposure or recovery time.</t>
  </si>
  <si>
    <t>ISO 22301; ISO 22320; ISO 31000; ISO 37000; NIST SP 800-34; BCI Good Practice Guidelines; Bain RAPID</t>
  </si>
  <si>
    <t>Policy/SOP; owner/RACI; system report; dashboard; contracts; test records; incident history; interview evidence related to formal crisis management structure with named roles, deputies, escalation paths and decision authority.</t>
  </si>
  <si>
    <t>All crisis types</t>
  </si>
  <si>
    <t>GOVE-002</t>
  </si>
  <si>
    <t>How mature is the organization in managing executive crisis team trained for cross-functional crisis response, including ownership, evidence, metrics, fallback procedures and crisis stress testing?</t>
  </si>
  <si>
    <t>Policy/SOP; owner/RACI; system report; dashboard; contracts; test records; incident history; interview evidence related to executive crisis team trained for cross-functional crisis response.</t>
  </si>
  <si>
    <t>Risk and continuity</t>
  </si>
  <si>
    <t>GOVE-003</t>
  </si>
  <si>
    <t>How mature is the organization in managing clear crisis decision rights for finance, people, operations, IT, legal, safety and communications, including ownership, evidence, metrics, fallback procedures and crisis stress testing?</t>
  </si>
  <si>
    <t>Policy/SOP; owner/RACI; system report; dashboard; contracts; test records; incident history; interview evidence related to clear crisis decision rights for finance, people, operations, IT, legal, safety and communications.</t>
  </si>
  <si>
    <t>Incident management</t>
  </si>
  <si>
    <t>GOVE-004</t>
  </si>
  <si>
    <t>How mature is the organization in managing crisis cadence for situation reports, decisions, action owners, deadlines and follow-up, including ownership, evidence, metrics, fallback procedures and crisis stress testing?</t>
  </si>
  <si>
    <t>Policy/SOP; owner/RACI; system report; dashboard; contracts; test records; incident history; interview evidence related to crisis cadence for situation reports, decisions, action owners, deadlines and follow-up.</t>
  </si>
  <si>
    <t>GOVE-005</t>
  </si>
  <si>
    <t>How mature is the organization in managing board or owner-level oversight of resilience, continuity and enterprise risk, including ownership, evidence, metrics, fallback procedures and crisis stress testing?</t>
  </si>
  <si>
    <t>Policy/SOP; owner/RACI; system report; dashboard; contracts; test records; incident history; interview evidence related to board or owner-level oversight of resilience, continuity and enterprise risk.</t>
  </si>
  <si>
    <t>GOVE-006</t>
  </si>
  <si>
    <t>How mature is the organization in managing emergency spending authority and budget release rules, including ownership, evidence, metrics, fallback procedures and crisis stress testing?</t>
  </si>
  <si>
    <t>Policy/SOP; owner/RACI; system report; dashboard; contracts; test records; incident history; interview evidence related to emergency spending authority and budget release rules.</t>
  </si>
  <si>
    <t>No reliable evidence that emergency spending authority and budget release rules is defined, owned or managed.</t>
  </si>
  <si>
    <t>Emergency spending authority and budget release rules is handled informally and depends on individual knowledge or heroic effort.</t>
  </si>
  <si>
    <t>Emergency spending authority and budget release rules is partially documented or implemented, but coverage is inconsistent and not crisis-tested.</t>
  </si>
  <si>
    <t>Emergency spending authority and budget release rules is documented, owned, used in normal operations and supported by basic evidence or metrics.</t>
  </si>
  <si>
    <t>Emergency spending authority and budget release rules is measured, periodically reviewed, integrated with related processes and tested against relevant disruption scenarios.</t>
  </si>
  <si>
    <t>Emergency spending authority and budget release rules is optimized, continuously improved, automated where practical and demonstrably supports crisis resilience.</t>
  </si>
  <si>
    <t>GOVE-007</t>
  </si>
  <si>
    <t>How mature is the organization in managing enterprise risk register with owners, likelihood, impact, controls, triggers and residual risk, including ownership, evidence, metrics, fallback procedures and crisis stress testing?</t>
  </si>
  <si>
    <t>Policy/SOP; owner/RACI; system report; dashboard; contracts; test records; incident history; interview evidence related to enterprise risk register with owners, likelihood, impact, controls, triggers and residual risk.</t>
  </si>
  <si>
    <t>GOVE-008</t>
  </si>
  <si>
    <t>How mature is the organization in managing risk appetite for safety, cash, cyber, delivery, compliance, reputation and operational continuity, including ownership, evidence, metrics, fallback procedures and crisis stress testing?</t>
  </si>
  <si>
    <t>Policy/SOP; owner/RACI; system report; dashboard; contracts; test records; incident history; interview evidence related to risk appetite for safety, cash, cyber, delivery, compliance, reputation and operational continuity.</t>
  </si>
  <si>
    <t>GOVE-009</t>
  </si>
  <si>
    <t>How mature is the organization in managing early warning indicators for major crisis types and objective crisis activation triggers, including ownership, evidence, metrics, fallback procedures and crisis stress testing?</t>
  </si>
  <si>
    <t>Policy/SOP; owner/RACI; system report; dashboard; contracts; test records; incident history; interview evidence related to early warning indicators for major crisis types and objective crisis activation triggers.</t>
  </si>
  <si>
    <t>GOVE-010</t>
  </si>
  <si>
    <t>How mature is the organization in managing business impact analysis across functions, sites, systems, people and suppliers, including ownership, evidence, metrics, fallback procedures and crisis stress testing?</t>
  </si>
  <si>
    <t>Policy/SOP; owner/RACI; system report; dashboard; contracts; test records; incident history; interview evidence related to business impact analysis across functions, sites, systems, people and suppliers.</t>
  </si>
  <si>
    <t>GOVE-011</t>
  </si>
  <si>
    <t>How mature is the organization in managing business continuity plans covering critical processes, people, systems, sites, suppliers and communication, including ownership, evidence, metrics, fallback procedures and crisis stress testing?</t>
  </si>
  <si>
    <t>Policy/SOP; owner/RACI; system report; dashboard; contracts; test records; incident history; interview evidence related to business continuity plans covering critical processes, people, systems, sites, suppliers and communication.</t>
  </si>
  <si>
    <t>GOVE-012</t>
  </si>
  <si>
    <t>How mature is the organization in managing scenario library covering cyberattack, war/security, site loss, supplier disruption, cloud outage, pandemic, demand shock and liquidity crisis, including ownership, evidence, metrics, fallback procedures and crisis stress testing?</t>
  </si>
  <si>
    <t>Policy/SOP; owner/RACI; system report; dashboard; contracts; test records; incident history; interview evidence related to scenario library covering cyberattack, war/security, site loss, supplier disruption, cloud outage, pandemic, demand shock and liquidity crisis.</t>
  </si>
  <si>
    <t>GOVE-013</t>
  </si>
  <si>
    <t>How mature is the organization in managing continuity testing through tabletop exercises, simulations and real incident reviews, including ownership, evidence, metrics, fallback procedures and crisis stress testing?</t>
  </si>
  <si>
    <t>Policy/SOP; owner/RACI; system report; dashboard; contracts; test records; incident history; interview evidence related to continuity testing through tabletop exercises, simulations and real incident reviews.</t>
  </si>
  <si>
    <t>Never done; no records exist.</t>
  </si>
  <si>
    <t>Done once long ago or only after an incident; no schedule, no records.</t>
  </si>
  <si>
    <t>Done irregularly; results are not documented and findings are not tracked.</t>
  </si>
  <si>
    <t>Done on a defined schedule (at least annually); results documented, owner assigned.</t>
  </si>
  <si>
    <t>Done quarterly/semi-annually; findings tracked to closure, effectiveness measured against targets.</t>
  </si>
  <si>
    <t>Continuous or automated where possible; results drive improvements and are validated externally (audit/customer).</t>
  </si>
  <si>
    <t>GOVE-014</t>
  </si>
  <si>
    <t>How mature is the organization in managing common incident classification model for severity, impact, escalation and communication, including ownership, evidence, metrics, fallback procedures and crisis stress testing?</t>
  </si>
  <si>
    <t>Policy/SOP; owner/RACI; system report; dashboard; contracts; test records; incident history; interview evidence related to common incident classification model for severity, impact, escalation and communication.</t>
  </si>
  <si>
    <t>GOVE-015</t>
  </si>
  <si>
    <t>How mature is the organization in managing post-incident review process that converts incidents into corrective and preventive actions, including ownership, evidence, metrics, fallback procedures and crisis stress testing?</t>
  </si>
  <si>
    <t>Policy/SOP; owner/RACI; system report; dashboard; contracts; test records; incident history; interview evidence related to post-incident review process that converts incidents into corrective and preventive actions.</t>
  </si>
  <si>
    <t>GOVE-016</t>
  </si>
  <si>
    <t>How mature is the organization in managing interdependency map linking functions, sites, systems, people, suppliers and customers, including ownership, evidence, metrics, fallback procedures and crisis stress testing?</t>
  </si>
  <si>
    <t>Policy/SOP; owner/RACI; system report; dashboard; contracts; test records; incident history; interview evidence related to interdependency map linking functions, sites, systems, people, suppliers and customers.</t>
  </si>
  <si>
    <t>GOVE-017</t>
  </si>
  <si>
    <t>How mature is the organization in managing crisis communication protocol for employees, customers, suppliers, regulators, insurers and media, including ownership, evidence, metrics, fallback procedures and crisis stress testing?</t>
  </si>
  <si>
    <t>Policy/SOP; owner/RACI; system report; dashboard; contracts; test records; incident history; interview evidence related to crisis communication protocol for employees, customers, suppliers, regulators, insurers and media.</t>
  </si>
  <si>
    <t>GOVE-018</t>
  </si>
  <si>
    <t>How mature is the organization in managing mass notification and emergency coordination tools, including ownership, evidence, metrics, fallback procedures and crisis stress testing?</t>
  </si>
  <si>
    <t>Policy/SOP; owner/RACI; system report; dashboard; contracts; test records; incident history; interview evidence related to mass notification and emergency coordination tools.</t>
  </si>
  <si>
    <t>No reliable evidence that mass notification and emergency coordination tools is defined, owned or managed.</t>
  </si>
  <si>
    <t>Mass notification and emergency coordination tools is handled informally and depends on individual knowledge or heroic effort.</t>
  </si>
  <si>
    <t>Mass notification and emergency coordination tools is partially documented or implemented, but coverage is inconsistent and not crisis-tested.</t>
  </si>
  <si>
    <t>Mass notification and emergency coordination tools is documented, owned, used in normal operations and supported by basic evidence or metrics.</t>
  </si>
  <si>
    <t>Mass notification and emergency coordination tools is measured, periodically reviewed, integrated with related processes and tested against relevant disruption scenarios.</t>
  </si>
  <si>
    <t>Mass notification and emergency coordination tools is optimized, continuously improved, automated where practical and demonstrably supports crisis resilience.</t>
  </si>
  <si>
    <t>GOVE-019</t>
  </si>
  <si>
    <t>How mature is the organization in managing crisis lessons-learned process tied to improvement backlog and management review, including ownership, evidence, metrics, fallback procedures and crisis stress testing?</t>
  </si>
  <si>
    <t>Policy/SOP; owner/RACI; system report; dashboard; contracts; test records; incident history; interview evidence related to crisis lessons-learned process tied to improvement backlog and management review.</t>
  </si>
  <si>
    <t>GOVE-020</t>
  </si>
  <si>
    <t>How mature is the organization in managing offline availability of continuity plans, runbooks, contact lists and key contracts when core IT is unavailable, including ownership, evidence, metrics, fallback procedures and crisis stress testing?</t>
  </si>
  <si>
    <t>This topic affects exposure to Cyberattack/ransomware; Energy/utilities outage; Cloud/SaaS outage. It helps identify how disruption may impact operations, people, revenue, systems, legal exposure or recovery time.</t>
  </si>
  <si>
    <t>ISO 22301; NIST SP 800-34</t>
  </si>
  <si>
    <t>No reliable evidence that offline availability of continuity plans, runbooks, contact lists and key contracts when core IT is unavailable is defined, owned or managed.</t>
  </si>
  <si>
    <t>Offline availability of continuity plans, runbooks, contact lists and key contracts when core IT is unavailable is handled informally and depends on individual knowledge or heroic effort.</t>
  </si>
  <si>
    <t>Offline availability of continuity plans, runbooks, contact lists and key contracts when core IT is unavailable is partially documented or implemented, but coverage is inconsistent and not crisis-tested.</t>
  </si>
  <si>
    <t>Offline availability of continuity plans, runbooks, contact lists and key contracts when core IT is unavailable is documented, owned, used in normal operations and supported by basic evidence or metrics.</t>
  </si>
  <si>
    <t>Offline availability of continuity plans, runbooks, contact lists and key contracts when core IT is unavailable is measured, periodically reviewed, integrated with related processes and tested against relevant disruption scenarios.</t>
  </si>
  <si>
    <t>Offline availability of continuity plans, runbooks, contact lists and key contracts when core IT is unavailable is optimized, continuously improved, automated where practical and demonstrably supports crisis resilience.</t>
  </si>
  <si>
    <t>Cyberattack/ransomware; Energy/utilities outage; Cloud/SaaS outage</t>
  </si>
  <si>
    <t>GOVE-021</t>
  </si>
  <si>
    <t>How mature is the organization in managing primary and alternate crisis command arrangements with independent communications and access to crisis tools, including ownership, evidence, metrics, fallback procedures and crisis stress testing?</t>
  </si>
  <si>
    <t>This topic affects exposure to War/security crisis; Physical site loss; Energy/utilities outage. It helps identify how disruption may impact operations, people, revenue, systems, legal exposure or recovery time.</t>
  </si>
  <si>
    <t>ISO 22301; ISO 22320</t>
  </si>
  <si>
    <t>No reliable evidence that primary and alternate crisis command arrangements with independent communications and access to crisis tools is defined, owned or managed.</t>
  </si>
  <si>
    <t>Primary and alternate crisis command arrangements with independent communications and access to crisis tools is handled informally and depends on individual knowledge or heroic effort.</t>
  </si>
  <si>
    <t>Primary and alternate crisis command arrangements with independent communications and access to crisis tools is partially documented or implemented, but coverage is inconsistent and not crisis-tested.</t>
  </si>
  <si>
    <t>Primary and alternate crisis command arrangements with independent communications and access to crisis tools is documented, owned, used in normal operations and supported by basic evidence or metrics.</t>
  </si>
  <si>
    <t>Primary and alternate crisis command arrangements with independent communications and access to crisis tools is measured, periodically reviewed, integrated with related processes and tested against relevant disruption scenarios.</t>
  </si>
  <si>
    <t>Primary and alternate crisis command arrangements with independent communications and access to crisis tools is optimized, continuously improved, automated where practical and demonstrably supports crisis resilience.</t>
  </si>
  <si>
    <t>War/security crisis; Physical site loss; Energy/utilities outage</t>
  </si>
  <si>
    <t>GOVE-022</t>
  </si>
  <si>
    <t>How mature is the organization in managing joint crisis exercises with critical suppliers, customers, authorities and insurers, including ownership, evidence, metrics, fallback procedures and crisis stress testing?</t>
  </si>
  <si>
    <t>This topic affects exposure to Supplier/logistics disruption; War/security crisis; Cyberattack/ransomware. It helps identify how disruption may impact operations, people, revenue, systems, legal exposure or recovery time.</t>
  </si>
  <si>
    <t>ISO 22301; ISO 22398</t>
  </si>
  <si>
    <t>Supplier/logistics disruption; War/security crisis; Cyberattack/ransomware</t>
  </si>
  <si>
    <t>HR Workforce</t>
  </si>
  <si>
    <t>HRWO-001</t>
  </si>
  <si>
    <t>Workforce visibility</t>
  </si>
  <si>
    <t>How mature is the organization in managing workforce inventory by role, location, manager, contract type, employment entity, skill and criticality, including ownership, evidence, metrics, fallback procedures and crisis stress testing?</t>
  </si>
  <si>
    <t>This topic affects exposure to Workforce disruption; Pandemic/health crisis; War/security crisis. It helps identify how disruption may impact operations, people, revenue, systems, legal exposure or recovery time.</t>
  </si>
  <si>
    <t>ISO 30414; ISO 30405; ISO 45001; ISO 22301; CIPD; SHRM</t>
  </si>
  <si>
    <t>Policy/SOP; owner/RACI; system report; dashboard; contracts; test records; incident history; interview evidence related to workforce inventory by role, location, manager, contract type, employment entity, skill and criticality.</t>
  </si>
  <si>
    <t>Workforce disruption; Pandemic/health crisis; War/security crisis</t>
  </si>
  <si>
    <t>HRWO-002</t>
  </si>
  <si>
    <t>How mature is the organization in managing critical role mapping by process dependency, customer impact, system access and knowledge concentration, including ownership, evidence, metrics, fallback procedures and crisis stress testing?</t>
  </si>
  <si>
    <t>Policy/SOP; owner/RACI; system report; dashboard; contracts; test records; incident history; interview evidence related to critical role mapping by process dependency, customer impact, system access and knowledge concentration.</t>
  </si>
  <si>
    <t>Recruitment and retention</t>
  </si>
  <si>
    <t>HRWO-003</t>
  </si>
  <si>
    <t>How mature is the organization in managing key-person risk for executives, founders, architects, plant specialists, client owners and finance signatories, including ownership, evidence, metrics, fallback procedures and crisis stress testing?</t>
  </si>
  <si>
    <t>Policy/SOP; owner/RACI; system report; dashboard; contracts; test records; incident history; interview evidence related to key-person risk for executives, founders, architects, plant specialists, client owners and finance signatories.</t>
  </si>
  <si>
    <t>Continuity and wellbeing</t>
  </si>
  <si>
    <t>HRWO-004</t>
  </si>
  <si>
    <t>How mature is the organization in managing skills matrix linked to critical processes, systems, products, sites and backup coverage, including ownership, evidence, metrics, fallback procedures and crisis stress testing?</t>
  </si>
  <si>
    <t>Policy/SOP; owner/RACI; system report; dashboard; contracts; test records; incident history; interview evidence related to skills matrix linked to critical processes, systems, products, sites and backup coverage.</t>
  </si>
  <si>
    <t>HR systems and compliance</t>
  </si>
  <si>
    <t>HRWO-005</t>
  </si>
  <si>
    <t>How mature is the organization in managing minimum staffing levels for critical functions, shifts, production lines and customer support, including ownership, evidence, metrics, fallback procedures and crisis stress testing?</t>
  </si>
  <si>
    <t>Policy/SOP; owner/RACI; system report; dashboard; contracts; test records; incident history; interview evidence related to minimum staffing levels for critical functions, shifts, production lines and customer support.</t>
  </si>
  <si>
    <t>HRWO-006</t>
  </si>
  <si>
    <t>How mature is the organization in managing absence trends, sick leave spikes and workforce availability monitoring, including ownership, evidence, metrics, fallback procedures and crisis stress testing?</t>
  </si>
  <si>
    <t>Policy/SOP; owner/RACI; system report; dashboard; contracts; test records; incident history; interview evidence related to absence trends, sick leave spikes and workforce availability monitoring.</t>
  </si>
  <si>
    <t>No reliable evidence that absence trends, sick leave spikes and workforce availability monitoring is defined, owned or managed.</t>
  </si>
  <si>
    <t>Absence trends, sick leave spikes and workforce availability monitoring is handled informally and depends on individual knowledge or heroic effort.</t>
  </si>
  <si>
    <t>Absence trends, sick leave spikes and workforce availability monitoring is partially documented or implemented, but coverage is inconsistent and not crisis-tested.</t>
  </si>
  <si>
    <t>Absence trends, sick leave spikes and workforce availability monitoring is documented, owned, used in normal operations and supported by basic evidence or metrics.</t>
  </si>
  <si>
    <t>Absence trends, sick leave spikes and workforce availability monitoring is measured, periodically reviewed, integrated with related processes and tested against relevant disruption scenarios.</t>
  </si>
  <si>
    <t>Absence trends, sick leave spikes and workforce availability monitoring is optimized, continuously improved, automated where practical and demonstrably supports crisis resilience.</t>
  </si>
  <si>
    <t>HRWO-007</t>
  </si>
  <si>
    <t>How mature is the organization in managing hiring pipeline resilience for critical roles under market shortage or geographic disruption, including ownership, evidence, metrics, fallback procedures and crisis stress testing?</t>
  </si>
  <si>
    <t>Policy/SOP; owner/RACI; system report; dashboard; contracts; test records; incident history; interview evidence related to hiring pipeline resilience for critical roles under market shortage or geographic disruption.</t>
  </si>
  <si>
    <t>HRWO-008</t>
  </si>
  <si>
    <t>How mature is the organization in managing time-to-hire tracking by critical role, geography and seniority, including ownership, evidence, metrics, fallback procedures and crisis stress testing?</t>
  </si>
  <si>
    <t>Policy/SOP; owner/RACI; system report; dashboard; contracts; test records; incident history; interview evidence related to time-to-hire tracking by critical role, geography and seniority.</t>
  </si>
  <si>
    <t>HRWO-009</t>
  </si>
  <si>
    <t>How mature is the organization in managing alternative sourcing channels for critical roles, geographies and rare skills, including ownership, evidence, metrics, fallback procedures and crisis stress testing?</t>
  </si>
  <si>
    <t>Policy/SOP; owner/RACI; system report; dashboard; contracts; test records; incident history; interview evidence related to alternative sourcing channels for critical roles, geographies and rare skills.</t>
  </si>
  <si>
    <t>HRWO-010</t>
  </si>
  <si>
    <t>How mature is the organization in managing retention risk monitoring for critical people, high performers and scarce-skill roles, including ownership, evidence, metrics, fallback procedures and crisis stress testing?</t>
  </si>
  <si>
    <t>Policy/SOP; owner/RACI; system report; dashboard; contracts; test records; incident history; interview evidence related to retention risk monitoring for critical people, high performers and scarce-skill roles.</t>
  </si>
  <si>
    <t>HRWO-011</t>
  </si>
  <si>
    <t>How mature is the organization in managing compensation and payroll continuity during banking, legal or system disruption, including ownership, evidence, metrics, fallback procedures and crisis stress testing?</t>
  </si>
  <si>
    <t>Policy/SOP; owner/RACI; system report; dashboard; contracts; test records; incident history; interview evidence related to compensation and payroll continuity during banking, legal or system disruption.</t>
  </si>
  <si>
    <t>HRWO-012</t>
  </si>
  <si>
    <t>How mature is the organization in managing succession planning and deputies for all critical leadership and operational roles, including ownership, evidence, metrics, fallback procedures and crisis stress testing?</t>
  </si>
  <si>
    <t>Policy/SOP; owner/RACI; system report; dashboard; contracts; test records; incident history; interview evidence related to succession planning and deputies for all critical leadership and operational roles.</t>
  </si>
  <si>
    <t>HRWO-013</t>
  </si>
  <si>
    <t>How mature is the organization in managing remote onboarding with secure access, equipment, training and manager support, including ownership, evidence, metrics, fallback procedures and crisis stress testing?</t>
  </si>
  <si>
    <t>Policy/SOP; owner/RACI; system report; dashboard; contracts; test records; incident history; interview evidence related to remote onboarding with secure access, equipment, training and manager support.</t>
  </si>
  <si>
    <t>HRWO-014</t>
  </si>
  <si>
    <t>How mature is the organization in managing remote work capability with secure access, connectivity, equipment and documented procedures, including ownership, evidence, metrics, fallback procedures and crisis stress testing?</t>
  </si>
  <si>
    <t>Policy/SOP; owner/RACI; system report; dashboard; contracts; test records; incident history; interview evidence related to remote work capability with secure access, connectivity, equipment and documented procedures.</t>
  </si>
  <si>
    <t>No reliable evidence that remote work capability with secure access, connectivity, equipment and documented procedures is defined, owned or managed.</t>
  </si>
  <si>
    <t>Remote work capability with secure access, connectivity, equipment and documented procedures is handled informally and depends on individual knowledge or heroic effort.</t>
  </si>
  <si>
    <t>Remote work capability with secure access, connectivity, equipment and documented procedures is partially documented or implemented, but coverage is inconsistent and not crisis-tested.</t>
  </si>
  <si>
    <t>Remote work capability with secure access, connectivity, equipment and documented procedures is documented, owned, used in normal operations and supported by basic evidence or metrics.</t>
  </si>
  <si>
    <t>Remote work capability with secure access, connectivity, equipment and documented procedures is measured, periodically reviewed, integrated with related processes and tested against relevant disruption scenarios.</t>
  </si>
  <si>
    <t>Remote work capability with secure access, connectivity, equipment and documented procedures is optimized, continuously improved, automated where practical and demonstrably supports crisis resilience.</t>
  </si>
  <si>
    <t>HRWO-015</t>
  </si>
  <si>
    <t>How mature is the organization in managing backup connectivity options for critical staff and locations, including ownership, evidence, metrics, fallback procedures and crisis stress testing?</t>
  </si>
  <si>
    <t>Policy/SOP; owner/RACI; system report; dashboard; contracts; test records; incident history; interview evidence related to backup connectivity options for critical staff and locations.</t>
  </si>
  <si>
    <t>HRWO-016</t>
  </si>
  <si>
    <t>How mature is the organization in managing employee location and safety check process during severe incidents, including ownership, evidence, metrics, fallback procedures and crisis stress testing?</t>
  </si>
  <si>
    <t>Policy/SOP; owner/RACI; system report; dashboard; contracts; test records; incident history; interview evidence related to employee location and safety check process during severe incidents.</t>
  </si>
  <si>
    <t>HRWO-017</t>
  </si>
  <si>
    <t>How mature is the organization in managing wellbeing, fatigue, burnout and psychological safety monitoring during prolonged crisis, including ownership, evidence, metrics, fallback procedures and crisis stress testing?</t>
  </si>
  <si>
    <t>Policy/SOP; owner/RACI; system report; dashboard; contracts; test records; incident history; interview evidence related to wellbeing, fatigue, burnout and psychological safety monitoring during prolonged crisis.</t>
  </si>
  <si>
    <t>HRWO-018</t>
  </si>
  <si>
    <t>How mature is the organization in managing emergency HR policies for relocation, evacuation, hardship support, flexible work and temporary staffing, including ownership, evidence, metrics, fallback procedures and crisis stress testing?</t>
  </si>
  <si>
    <t>Policy/SOP; owner/RACI; system report; dashboard; contracts; test records; incident history; interview evidence related to emergency HR policies for relocation, evacuation, hardship support, flexible work and temporary staffing.</t>
  </si>
  <si>
    <t>No reliable evidence that emergency hr policies for relocation, evacuation, hardship support, flexible work and temporary staffing is defined, owned or managed.</t>
  </si>
  <si>
    <t>Emergency HR policies for relocation, evacuation, hardship support, flexible work and temporary staffing is handled informally and depends on individual knowledge or heroic effort.</t>
  </si>
  <si>
    <t>Emergency HR policies for relocation, evacuation, hardship support, flexible work and temporary staffing is partially documented or implemented, but coverage is inconsistent and not crisis-tested.</t>
  </si>
  <si>
    <t>Emergency HR policies for relocation, evacuation, hardship support, flexible work and temporary staffing is documented, owned, used in normal operations and supported by basic evidence or metrics.</t>
  </si>
  <si>
    <t>Emergency HR policies for relocation, evacuation, hardship support, flexible work and temporary staffing is measured, periodically reviewed, integrated with related processes and tested against relevant disruption scenarios.</t>
  </si>
  <si>
    <t>Emergency HR policies for relocation, evacuation, hardship support, flexible work and temporary staffing is optimized, continuously improved, automated where practical and demonstrably supports crisis resilience.</t>
  </si>
  <si>
    <t>HRWO-019</t>
  </si>
  <si>
    <t>How mature is the organization in managing cross-training and knowledge transfer for critical operations and rare skills, including ownership, evidence, metrics, fallback procedures and crisis stress testing?</t>
  </si>
  <si>
    <t>Policy/SOP; owner/RACI; system report; dashboard; contracts; test records; incident history; interview evidence related to cross-training and knowledge transfer for critical operations and rare skills.</t>
  </si>
  <si>
    <t>HRWO-020</t>
  </si>
  <si>
    <t>How mature is the organization in managing HRMS reliability, backup, manual fallback and data quality for employee records and emergency contacts, including ownership, evidence, metrics, fallback procedures and crisis stress testing?</t>
  </si>
  <si>
    <t>Policy/SOP; owner/RACI; system report; dashboard; contracts; test records; incident history; interview evidence related to HRMS reliability, backup, manual fallback and data quality for employee records and emergency contacts.</t>
  </si>
  <si>
    <t>HRWO-022</t>
  </si>
  <si>
    <t>How mature is the organization in managing employment compliance by country, contract type, working hours and emergency measures, including ownership, evidence, metrics, fallback procedures and crisis stress testing?</t>
  </si>
  <si>
    <t>Policy/SOP; owner/RACI; system report; dashboard; contracts; test records; incident history; interview evidence related to employment compliance by country, contract type, working hours and emergency measures.</t>
  </si>
  <si>
    <t>No reliable evidence that employment compliance by country, contract type, working hours and emergency measures is defined, owned or managed.</t>
  </si>
  <si>
    <t>Employment compliance by country, contract type, working hours and emergency measures is handled informally and depends on individual knowledge or heroic effort.</t>
  </si>
  <si>
    <t>Employment compliance by country, contract type, working hours and emergency measures is partially documented or implemented, but coverage is inconsistent and not crisis-tested.</t>
  </si>
  <si>
    <t>Employment compliance by country, contract type, working hours and emergency measures is documented, owned, used in normal operations and supported by basic evidence or metrics.</t>
  </si>
  <si>
    <t>Employment compliance by country, contract type, working hours and emergency measures is measured, periodically reviewed, integrated with related processes and tested against relevant disruption scenarios.</t>
  </si>
  <si>
    <t>Employment compliance by country, contract type, working hours and emergency measures is optimized, continuously improved, automated where practical and demonstrably supports crisis resilience.</t>
  </si>
  <si>
    <t>HRWO-024</t>
  </si>
  <si>
    <t>How mature is the organization in managing health emergency protocols for infectious disease, injury, evacuation and return-to-work, including ownership, evidence, metrics, fallback procedures and crisis stress testing?</t>
  </si>
  <si>
    <t>Policy/SOP; owner/RACI; system report; dashboard; contracts; test records; incident history; interview evidence related to health emergency protocols for infectious disease, injury, evacuation and return-to-work.</t>
  </si>
  <si>
    <t>No reliable evidence that health emergency protocols for infectious disease, injury, evacuation and return-to-work is defined, owned or managed.</t>
  </si>
  <si>
    <t>Health emergency protocols for infectious disease, injury, evacuation and return-to-work is handled informally and depends on individual knowledge or heroic effort.</t>
  </si>
  <si>
    <t>Health emergency protocols for infectious disease, injury, evacuation and return-to-work is partially documented or implemented, but coverage is inconsistent and not crisis-tested.</t>
  </si>
  <si>
    <t>Health emergency protocols for infectious disease, injury, evacuation and return-to-work is documented, owned, used in normal operations and supported by basic evidence or metrics.</t>
  </si>
  <si>
    <t>Health emergency protocols for infectious disease, injury, evacuation and return-to-work is measured, periodically reviewed, integrated with related processes and tested against relevant disruption scenarios.</t>
  </si>
  <si>
    <t>Health emergency protocols for infectious disease, injury, evacuation and return-to-work is optimized, continuously improved, automated where practical and demonstrably supports crisis resilience.</t>
  </si>
  <si>
    <t>HRWO-025</t>
  </si>
  <si>
    <t>How mature is the organization in managing background verification and vetting for roles with access to funds, sensitive data or critical systems, including ownership, evidence, metrics, fallback procedures and crisis stress testing?</t>
  </si>
  <si>
    <t>This topic affects exposure to Cyberattack/ransomware; Regulatory/legal shock. It helps identify how disruption may impact operations, people, revenue, systems, legal exposure or recovery time.</t>
  </si>
  <si>
    <t>C2M2 WORKFORCE; ISO 27001 HR security; customer audit requirements</t>
  </si>
  <si>
    <t>No reliable evidence that background verification and vetting for roles with access to funds, sensitive data or critical systems is defined, owned or managed.</t>
  </si>
  <si>
    <t>Background verification and vetting for roles with access to funds, sensitive data or critical systems is handled informally and depends on individual knowledge or heroic effort.</t>
  </si>
  <si>
    <t>Background verification and vetting for roles with access to funds, sensitive data or critical systems is partially documented or implemented, but coverage is inconsistent and not crisis-tested.</t>
  </si>
  <si>
    <t>Background verification and vetting for roles with access to funds, sensitive data or critical systems is documented, owned, used in normal operations and supported by basic evidence or metrics.</t>
  </si>
  <si>
    <t>Background verification and vetting for roles with access to funds, sensitive data or critical systems is measured, periodically reviewed, integrated with related processes and tested against relevant disruption scenarios.</t>
  </si>
  <si>
    <t>Background verification and vetting for roles with access to funds, sensitive data or critical systems is optimized, continuously improved, automated where practical and demonstrably supports crisis resilience.</t>
  </si>
  <si>
    <t>Cyberattack/ransomware; Regulatory/legal shock</t>
  </si>
  <si>
    <t>HRWO-026</t>
  </si>
  <si>
    <t>How mature is the organization in managing role-specific security responsibilities embedded in job descriptions with specialized training for high-risk roles, including ownership, evidence, metrics, fallback procedures and crisis stress testing?</t>
  </si>
  <si>
    <t>This topic affects exposure to Cyberattack/ransomware; Workforce disruption. It helps identify how disruption may impact operations, people, revenue, systems, legal exposure or recovery time.</t>
  </si>
  <si>
    <t>C2M2 WORKFORCE; NIST CSF 2.0 PR.AT-02; ISO 27001</t>
  </si>
  <si>
    <t>Cyberattack/ransomware; Workforce disruption</t>
  </si>
  <si>
    <t>HRWO-027</t>
  </si>
  <si>
    <t>How mature is the organization in managing systematic employee engagement measurement with trends, segmentation and follow-up actions, including ownership, evidence, metrics, fallback procedures and crisis stress testing?</t>
  </si>
  <si>
    <t>This topic affects exposure to Workforce disruption; Pandemic/health crisis. It helps identify how disruption may impact operations, people, revenue, systems, legal exposure or recovery time.</t>
  </si>
  <si>
    <t>EFQM 2025 3.2 and Results; ISO 30414</t>
  </si>
  <si>
    <t>No reliable evidence that systematic employee engagement measurement with trends, segmentation and follow-up actions is defined, owned or managed.</t>
  </si>
  <si>
    <t>Systematic employee engagement measurement with trends, segmentation and follow-up actions is handled informally and depends on individual knowledge or heroic effort.</t>
  </si>
  <si>
    <t>Systematic employee engagement measurement with trends, segmentation and follow-up actions is partially documented or implemented, but coverage is inconsistent and not crisis-tested.</t>
  </si>
  <si>
    <t>Systematic employee engagement measurement with trends, segmentation and follow-up actions is documented, owned, used in normal operations and supported by basic evidence or metrics.</t>
  </si>
  <si>
    <t>Systematic employee engagement measurement with trends, segmentation and follow-up actions is measured, periodically reviewed, integrated with related processes and tested against relevant disruption scenarios.</t>
  </si>
  <si>
    <t>Systematic employee engagement measurement with trends, segmentation and follow-up actions is optimized, continuously improved, automated where practical and demonstrably supports crisis resilience.</t>
  </si>
  <si>
    <t>Workforce disruption; Pandemic/health crisis</t>
  </si>
  <si>
    <t>HRWO-028</t>
  </si>
  <si>
    <t>How mature is the organization in managing workforce exposure to national emergency duties such as conscription, reservist service or civil mobilization, including exemption processes and continuity planning, including ownership, evidence, metrics, fallback procedures and crisis stress testing?</t>
  </si>
  <si>
    <t>This topic affects exposure to War/security crisis; Workforce disruption. It helps identify how disruption may impact operations, people, revenue, systems, legal exposure or recovery time.</t>
  </si>
  <si>
    <t>ISO 22301; national emergency and labor legislation; workforce planning</t>
  </si>
  <si>
    <t>No reliable evidence that workforce exposure to national emergency duties such as conscription, reservist service or civil mobilization, including exemption processes and continuity planning is defined, owned or managed.</t>
  </si>
  <si>
    <t>Workforce exposure to national emergency duties such as conscription, reservist service or civil mobilization, including exemption processes and continuity planning is handled informally and depends on individual knowledge or heroic effort.</t>
  </si>
  <si>
    <t>Workforce exposure to national emergency duties such as conscription, reservist service or civil mobilization, including exemption processes and continuity planning is partially documented or implemented, but coverage is inconsistent and not crisis-tested.</t>
  </si>
  <si>
    <t>Workforce exposure to national emergency duties such as conscription, reservist service or civil mobilization, including exemption processes and continuity planning is documented, owned, used in normal operations and supported by basic evidence or metrics.</t>
  </si>
  <si>
    <t>Workforce exposure to national emergency duties such as conscription, reservist service or civil mobilization, including exemption processes and continuity planning is measured, periodically reviewed, integrated with related processes and tested against relevant disruption scenarios.</t>
  </si>
  <si>
    <t>Workforce exposure to national emergency duties such as conscription, reservist service or civil mobilization, including exemption processes and continuity planning is optimized, continuously improved, automated where practical and demonstrably supports crisis resilience.</t>
  </si>
  <si>
    <t>War/security crisis; Workforce disruption</t>
  </si>
  <si>
    <t>Finance Procurement</t>
  </si>
  <si>
    <t>FINA-001</t>
  </si>
  <si>
    <t>Financial resilience</t>
  </si>
  <si>
    <t>How mature is the organization in managing cash visibility by legal entity, bank, currency, restrictions and emergency access, including ownership, evidence, metrics, fallback procedures and crisis stress testing?</t>
  </si>
  <si>
    <t>This topic affects exposure to Financial / liquidity shock; Supplier disruption; Fraud risk. It helps identify how disruption may impact operations, people, revenue, systems, legal exposure or recovery time.</t>
  </si>
  <si>
    <t>COSO Internal Control; COSO ERM; IFRS; ISO 20400; ISO 37001; CIPS</t>
  </si>
  <si>
    <t>Policy/SOP; owner/RACI; system report; dashboard; contracts; test records; incident history; interview evidence related to cash visibility by legal entity, bank, currency, restrictions and emergency access.</t>
  </si>
  <si>
    <t>Financial / liquidity shock; Supplier disruption; Fraud risk</t>
  </si>
  <si>
    <t>FINA-002</t>
  </si>
  <si>
    <t>How mature is the organization in managing cash-flow forecasting under base, downside and severe crisis scenarios, including ownership, evidence, metrics, fallback procedures and crisis stress testing?</t>
  </si>
  <si>
    <t>Policy/SOP; owner/RACI; system report; dashboard; contracts; test records; incident history; interview evidence related to cash-flow forecasting under base, downside and severe crisis scenarios.</t>
  </si>
  <si>
    <t>Controls and accounting</t>
  </si>
  <si>
    <t>FINA-003</t>
  </si>
  <si>
    <t>How mature is the organization in managing liquidity buffers, credit lines, emergency funding options and covenant monitoring, including ownership, evidence, metrics, fallback procedures and crisis stress testing?</t>
  </si>
  <si>
    <t>Policy/SOP; owner/RACI; system report; dashboard; contracts; test records; incident history; interview evidence related to liquidity buffers, credit lines, emergency funding options and covenant monitoring.</t>
  </si>
  <si>
    <t>No liquidity buffer; no credit lines; cash position unclear.</t>
  </si>
  <si>
    <t>Buffer exists informally; size not based on analysis.</t>
  </si>
  <si>
    <t>Buffer or credit line exists but covers under 1 month of fixed costs or is untested.</t>
  </si>
  <si>
    <t>Defined buffer target (&gt;=1-3 months) plus committed credit lines; covenants monitored.</t>
  </si>
  <si>
    <t>Buffer sized from stress scenarios; emergency funding options pre-negotiated and reviewed.</t>
  </si>
  <si>
    <t>Multi-source liquidity strategy tested in real or simulated stress; covenant headroom actively managed.</t>
  </si>
  <si>
    <t>Procurement and suppliers</t>
  </si>
  <si>
    <t>FINA-004</t>
  </si>
  <si>
    <t>How mature is the organization in managing driver-based financial forecasting linked to sales, delivery, workforce, inventory and production, including ownership, evidence, metrics, fallback procedures and crisis stress testing?</t>
  </si>
  <si>
    <t>Policy/SOP; owner/RACI; system report; dashboard; contracts; test records; incident history; interview evidence related to driver-based financial forecasting linked to sales, delivery, workforce, inventory and production.</t>
  </si>
  <si>
    <t>Working capital</t>
  </si>
  <si>
    <t>FINA-005</t>
  </si>
  <si>
    <t>How mature is the organization in managing budget flexibility and emergency reallocation rules, including ownership, evidence, metrics, fallback procedures and crisis stress testing?</t>
  </si>
  <si>
    <t>Policy/SOP; owner/RACI; system report; dashboard; contracts; test records; incident history; interview evidence related to budget flexibility and emergency reallocation rules.</t>
  </si>
  <si>
    <t>No reliable evidence that budget flexibility and emergency reallocation rules is defined, owned or managed.</t>
  </si>
  <si>
    <t>Budget flexibility and emergency reallocation rules is handled informally and depends on individual knowledge or heroic effort.</t>
  </si>
  <si>
    <t>Budget flexibility and emergency reallocation rules is partially documented or implemented, but coverage is inconsistent and not crisis-tested.</t>
  </si>
  <si>
    <t>Budget flexibility and emergency reallocation rules is documented, owned, used in normal operations and supported by basic evidence or metrics.</t>
  </si>
  <si>
    <t>Budget flexibility and emergency reallocation rules is measured, periodically reviewed, integrated with related processes and tested against relevant disruption scenarios.</t>
  </si>
  <si>
    <t>Budget flexibility and emergency reallocation rules is optimized, continuously improved, automated where practical and demonstrably supports crisis resilience.</t>
  </si>
  <si>
    <t>FINA-006</t>
  </si>
  <si>
    <t>How mature is the organization in managing financial stress tests for revenue collapse, currency shock, supplier price spikes, debt pressure and delayed receivables, including ownership, evidence, metrics, fallback procedures and crisis stress testing?</t>
  </si>
  <si>
    <t>Policy/SOP; owner/RACI; system report; dashboard; contracts; test records; incident history; interview evidence related to financial stress tests for revenue collapse, currency shock, supplier price spikes, debt pressure and delayed receivables.</t>
  </si>
  <si>
    <t>FINA-007</t>
  </si>
  <si>
    <t>How mature is the organization in managing approval limits and emergency approvals resilient if key approvers are unavailable, including ownership, evidence, metrics, fallback procedures and crisis stress testing?</t>
  </si>
  <si>
    <t>Policy/SOP; owner/RACI; system report; dashboard; contracts; test records; incident history; interview evidence related to approval limits and emergency approvals resilient if key approvers are unavailable.</t>
  </si>
  <si>
    <t>No reliable evidence that approval limits and emergency approvals resilient if key approvers are unavailable is defined, owned or managed.</t>
  </si>
  <si>
    <t>Approval limits and emergency approvals resilient if key approvers are unavailable is handled informally and depends on individual knowledge or heroic effort.</t>
  </si>
  <si>
    <t>Approval limits and emergency approvals resilient if key approvers are unavailable is partially documented or implemented, but coverage is inconsistent and not crisis-tested.</t>
  </si>
  <si>
    <t>Approval limits and emergency approvals resilient if key approvers are unavailable is documented, owned, used in normal operations and supported by basic evidence or metrics.</t>
  </si>
  <si>
    <t>Approval limits and emergency approvals resilient if key approvers are unavailable is measured, periodically reviewed, integrated with related processes and tested against relevant disruption scenarios.</t>
  </si>
  <si>
    <t>Approval limits and emergency approvals resilient if key approvers are unavailable is optimized, continuously improved, automated where practical and demonstrably supports crisis resilience.</t>
  </si>
  <si>
    <t>FINA-008</t>
  </si>
  <si>
    <t>How mature is the organization in managing segregation of duties in finance, procurement, ERP and payment processes, including ownership, evidence, metrics, fallback procedures and crisis stress testing?</t>
  </si>
  <si>
    <t>Policy/SOP; owner/RACI; system report; dashboard; contracts; test records; incident history; interview evidence related to segregation of duties in finance, procurement, ERP and payment processes.</t>
  </si>
  <si>
    <t>FINA-009</t>
  </si>
  <si>
    <t>How mature is the organization in managing month-end close continuity under remote work, system outage or unavailable finance staff, including ownership, evidence, metrics, fallback procedures and crisis stress testing?</t>
  </si>
  <si>
    <t>Policy/SOP; owner/RACI; system report; dashboard; contracts; test records; incident history; interview evidence related to month-end close continuity under remote work, system outage or unavailable finance staff.</t>
  </si>
  <si>
    <t>FINA-010</t>
  </si>
  <si>
    <t>How mature is the organization in managing manual fallback procedures for billing, payments, payroll, procurement and accounting close, including ownership, evidence, metrics, fallback procedures and crisis stress testing?</t>
  </si>
  <si>
    <t>Policy/SOP; owner/RACI; system report; dashboard; contracts; test records; incident history; interview evidence related to manual fallback procedures for billing, payments, payroll, procurement and accounting close.</t>
  </si>
  <si>
    <t>FINA-011</t>
  </si>
  <si>
    <t>How mature is the organization in managing fraud risk controls for fake invoices, payment diversion, supplier impersonation and business email compromise, including ownership, evidence, metrics, fallback procedures and crisis stress testing?</t>
  </si>
  <si>
    <t>Policy/SOP; owner/RACI; system report; dashboard; contracts; test records; incident history; interview evidence related to fraud risk controls for fake invoices, payment diversion, supplier impersonation and business email compromise.</t>
  </si>
  <si>
    <t>FINA-012</t>
  </si>
  <si>
    <t>How mature is the organization in managing finance master data controls for chart of accounts, cost centers, vendors, customers and reporting dimensions, including ownership, evidence, metrics, fallback procedures and crisis stress testing?</t>
  </si>
  <si>
    <t>Policy/SOP; owner/RACI; system report; dashboard; contracts; test records; incident history; interview evidence related to finance master data controls for chart of accounts, cost centers, vendors, customers and reporting dimensions.</t>
  </si>
  <si>
    <t>No reliable evidence that finance master data controls for chart of accounts, cost centers, vendors, customers and reporting dimensions is defined, owned or managed.</t>
  </si>
  <si>
    <t>Finance master data controls for chart of accounts, cost centers, vendors, customers and reporting dimensions is handled informally and depends on individual knowledge or heroic effort.</t>
  </si>
  <si>
    <t>Finance master data controls for chart of accounts, cost centers, vendors, customers and reporting dimensions is partially documented or implemented, but coverage is inconsistent and not crisis-tested.</t>
  </si>
  <si>
    <t>Finance master data controls for chart of accounts, cost centers, vendors, customers and reporting dimensions is documented, owned, used in normal operations and supported by basic evidence or metrics.</t>
  </si>
  <si>
    <t>Finance master data controls for chart of accounts, cost centers, vendors, customers and reporting dimensions is measured, periodically reviewed, integrated with related processes and tested against relevant disruption scenarios.</t>
  </si>
  <si>
    <t>Finance master data controls for chart of accounts, cost centers, vendors, customers and reporting dimensions is optimized, continuously improved, automated where practical and demonstrably supports crisis resilience.</t>
  </si>
  <si>
    <t>FINA-013</t>
  </si>
  <si>
    <t>How mature is the organization in managing procurement policy covering sourcing, approvals, conflicts of interest and emergency purchasing, including ownership, evidence, metrics, fallback procedures and crisis stress testing?</t>
  </si>
  <si>
    <t>Policy/SOP; owner/RACI; system report; dashboard; contracts; test records; incident history; interview evidence related to procurement policy covering sourcing, approvals, conflicts of interest and emergency purchasing.</t>
  </si>
  <si>
    <t>No reliable evidence that procurement policy covering sourcing, approvals, conflicts of interest and emergency purchasing is defined, owned or managed.</t>
  </si>
  <si>
    <t>Procurement policy covering sourcing, approvals, conflicts of interest and emergency purchasing is handled informally and depends on individual knowledge or heroic effort.</t>
  </si>
  <si>
    <t>Procurement policy covering sourcing, approvals, conflicts of interest and emergency purchasing is partially documented or implemented, but coverage is inconsistent and not crisis-tested.</t>
  </si>
  <si>
    <t>Procurement policy covering sourcing, approvals, conflicts of interest and emergency purchasing is documented, owned, used in normal operations and supported by basic evidence or metrics.</t>
  </si>
  <si>
    <t>Procurement policy covering sourcing, approvals, conflicts of interest and emergency purchasing is measured, periodically reviewed, integrated with related processes and tested against relevant disruption scenarios.</t>
  </si>
  <si>
    <t>Procurement policy covering sourcing, approvals, conflicts of interest and emergency purchasing is optimized, continuously improved, automated where practical and demonstrably supports crisis resilience.</t>
  </si>
  <si>
    <t>FINA-014</t>
  </si>
  <si>
    <t>How mature is the organization in managing critical supplier classification by business impact, replaceability, geography, financial health and SLA, including ownership, evidence, metrics, fallback procedures and crisis stress testing?</t>
  </si>
  <si>
    <t>Policy/SOP; owner/RACI; system report; dashboard; contracts; test records; incident history; interview evidence related to critical supplier classification by business impact, replaceability, geography, financial health and SLA.</t>
  </si>
  <si>
    <t>FINA-015</t>
  </si>
  <si>
    <t>How mature is the organization in managing single-source and sole-source supplier exposure and mitigation plans, including ownership, evidence, metrics, fallback procedures and crisis stress testing?</t>
  </si>
  <si>
    <t>Policy/SOP; owner/RACI; system report; dashboard; contracts; test records; incident history; interview evidence related to single-source and sole-source supplier exposure and mitigation plans.</t>
  </si>
  <si>
    <t>FINA-016</t>
  </si>
  <si>
    <t>How mature is the organization in managing supplier financial health, sanctions, insurance, delivery reliability and crisis exposure monitoring, including ownership, evidence, metrics, fallback procedures and crisis stress testing?</t>
  </si>
  <si>
    <t>Policy/SOP; owner/RACI; system report; dashboard; contracts; test records; incident history; interview evidence related to supplier financial health, sanctions, insurance, delivery reliability and crisis exposure monitoring.</t>
  </si>
  <si>
    <t>FINA-018</t>
  </si>
  <si>
    <t>How mature is the organization in managing emergency purchasing process that preserves essential controls and fraud prevention, including ownership, evidence, metrics, fallback procedures and crisis stress testing?</t>
  </si>
  <si>
    <t>Policy/SOP; owner/RACI; system report; dashboard; contracts; test records; incident history; interview evidence related to emergency purchasing process that preserves essential controls and fraud prevention.</t>
  </si>
  <si>
    <t>No reliable evidence that emergency purchasing process that preserves essential controls and fraud prevention is defined, owned or managed.</t>
  </si>
  <si>
    <t>Emergency purchasing process that preserves essential controls and fraud prevention is handled informally and depends on individual knowledge or heroic effort.</t>
  </si>
  <si>
    <t>Emergency purchasing process that preserves essential controls and fraud prevention is partially documented or implemented, but coverage is inconsistent and not crisis-tested.</t>
  </si>
  <si>
    <t>Emergency purchasing process that preserves essential controls and fraud prevention is documented, owned, used in normal operations and supported by basic evidence or metrics.</t>
  </si>
  <si>
    <t>Emergency purchasing process that preserves essential controls and fraud prevention is measured, periodically reviewed, integrated with related processes and tested against relevant disruption scenarios.</t>
  </si>
  <si>
    <t>Emergency purchasing process that preserves essential controls and fraud prevention is optimized, continuously improved, automated where practical and demonstrably supports crisis resilience.</t>
  </si>
  <si>
    <t>FINA-019</t>
  </si>
  <si>
    <t>How mature is the organization in managing purchasing triggers linked to demand, lead time, minimum stock and crisis buffers, including ownership, evidence, metrics, fallback procedures and crisis stress testing?</t>
  </si>
  <si>
    <t>Policy/SOP; owner/RACI; system report; dashboard; contracts; test records; incident history; interview evidence related to purchasing triggers linked to demand, lead time, minimum stock and crisis buffers.</t>
  </si>
  <si>
    <t>FINA-020</t>
  </si>
  <si>
    <t>How mature is the organization in managing receivables aging, customer payment risk and collection scenarios, including ownership, evidence, metrics, fallback procedures and crisis stress testing?</t>
  </si>
  <si>
    <t>Policy/SOP; owner/RACI; system report; dashboard; contracts; test records; incident history; interview evidence related to receivables aging, customer payment risk and collection scenarios.</t>
  </si>
  <si>
    <t>No reliable evidence that receivables aging, customer payment risk and collection scenarios is defined, owned or managed.</t>
  </si>
  <si>
    <t>Receivables aging, customer payment risk and collection scenarios is handled informally and depends on individual knowledge or heroic effort.</t>
  </si>
  <si>
    <t>Receivables aging, customer payment risk and collection scenarios is partially documented or implemented, but coverage is inconsistent and not crisis-tested.</t>
  </si>
  <si>
    <t>Receivables aging, customer payment risk and collection scenarios is documented, owned, used in normal operations and supported by basic evidence or metrics.</t>
  </si>
  <si>
    <t>Receivables aging, customer payment risk and collection scenarios is measured, periodically reviewed, integrated with related processes and tested against relevant disruption scenarios.</t>
  </si>
  <si>
    <t>Receivables aging, customer payment risk and collection scenarios is optimized, continuously improved, automated where practical and demonstrably supports crisis resilience.</t>
  </si>
  <si>
    <t>FINA-021</t>
  </si>
  <si>
    <t>How mature is the organization in managing supplier payment priority rules during cash constraint, including ownership, evidence, metrics, fallback procedures and crisis stress testing?</t>
  </si>
  <si>
    <t>Policy/SOP; owner/RACI; system report; dashboard; contracts; test records; incident history; interview evidence related to supplier payment priority rules during cash constraint.</t>
  </si>
  <si>
    <t>FINA-022</t>
  </si>
  <si>
    <t>How mature is the organization in managing banking resilience with backup banks, signatories, online access and payment release fallback, including ownership, evidence, metrics, fallback procedures and crisis stress testing?</t>
  </si>
  <si>
    <t>Policy/SOP; owner/RACI; system report; dashboard; contracts; test records; incident history; interview evidence related to banking resilience with backup banks, signatories, online access and payment release fallback.</t>
  </si>
  <si>
    <t>FINA-023</t>
  </si>
  <si>
    <t>How mature is the organization in managing tax compliance calendar and statutory reporting continuity, including ownership, evidence, metrics, fallback procedures and crisis stress testing?</t>
  </si>
  <si>
    <t>Policy/SOP; owner/RACI; system report; dashboard; contracts; test records; incident history; interview evidence related to tax compliance calendar and statutory reporting continuity.</t>
  </si>
  <si>
    <t>FINA-024</t>
  </si>
  <si>
    <t>How mature is the organization in managing business interruption insurance fit against realistic recovery scenarios, including ownership, evidence, metrics, fallback procedures and crisis stress testing?</t>
  </si>
  <si>
    <t>Policy/SOP; owner/RACI; system report; dashboard; contracts; test records; incident history; interview evidence related to business interruption insurance fit against realistic recovery scenarios.</t>
  </si>
  <si>
    <t>FINA-025</t>
  </si>
  <si>
    <t>How mature is the organization in managing currency risk management using natural hedges, contract indexation or hedging instruments, including ownership, evidence, metrics, fallback procedures and crisis stress testing?</t>
  </si>
  <si>
    <t>This topic affects exposure to Financial/liquidity crisis; Demand shock. It helps identify how disruption may impact operations, people, revenue, systems, legal exposure or recovery time.</t>
  </si>
  <si>
    <t>COSO; IFRS; treasury management practices</t>
  </si>
  <si>
    <t>No reliable evidence that currency risk management using natural hedges, contract indexation or hedging instruments is defined, owned or managed.</t>
  </si>
  <si>
    <t>Currency risk management using natural hedges, contract indexation or hedging instruments is handled informally and depends on individual knowledge or heroic effort.</t>
  </si>
  <si>
    <t>Currency risk management using natural hedges, contract indexation or hedging instruments is partially documented or implemented, but coverage is inconsistent and not crisis-tested.</t>
  </si>
  <si>
    <t>Currency risk management using natural hedges, contract indexation or hedging instruments is documented, owned, used in normal operations and supported by basic evidence or metrics.</t>
  </si>
  <si>
    <t>Currency risk management using natural hedges, contract indexation or hedging instruments is measured, periodically reviewed, integrated with related processes and tested against relevant disruption scenarios.</t>
  </si>
  <si>
    <t>Currency risk management using natural hedges, contract indexation or hedging instruments is optimized, continuously improved, automated where practical and demonstrably supports crisis resilience.</t>
  </si>
  <si>
    <t>Financial/liquidity crisis; Demand shock</t>
  </si>
  <si>
    <t>FINA-026</t>
  </si>
  <si>
    <t>How mature is the organization in managing cost structure flexibility with fixed-to-variable ratio visibility and cost reduction levers ranked by speed and impact, including ownership, evidence, metrics, fallback procedures and crisis stress testing?</t>
  </si>
  <si>
    <t>driver-based planning practices; COSO</t>
  </si>
  <si>
    <t>No reliable evidence that cost structure flexibility with fixed-to-variable ratio visibility and cost reduction levers ranked by speed and impact is defined, owned or managed.</t>
  </si>
  <si>
    <t>Cost structure flexibility with fixed-to-variable ratio visibility and cost reduction levers ranked by speed and impact is handled informally and depends on individual knowledge or heroic effort.</t>
  </si>
  <si>
    <t>Cost structure flexibility with fixed-to-variable ratio visibility and cost reduction levers ranked by speed and impact is partially documented or implemented, but coverage is inconsistent and not crisis-tested.</t>
  </si>
  <si>
    <t>Cost structure flexibility with fixed-to-variable ratio visibility and cost reduction levers ranked by speed and impact is documented, owned, used in normal operations and supported by basic evidence or metrics.</t>
  </si>
  <si>
    <t>Cost structure flexibility with fixed-to-variable ratio visibility and cost reduction levers ranked by speed and impact is measured, periodically reviewed, integrated with related processes and tested against relevant disruption scenarios.</t>
  </si>
  <si>
    <t>Cost structure flexibility with fixed-to-variable ratio visibility and cost reduction levers ranked by speed and impact is optimized, continuously improved, automated where practical and demonstrably supports crisis resilience.</t>
  </si>
  <si>
    <t>FINA-027</t>
  </si>
  <si>
    <t>How mature is the organization in managing customer credit risk assessment with credit checks, limits and payment terms control before contracting, including ownership, evidence, metrics, fallback procedures and crisis stress testing?</t>
  </si>
  <si>
    <t>This topic affects exposure to Financial/liquidity crisis; Key customer loss. It helps identify how disruption may impact operations, people, revenue, systems, legal exposure or recovery time.</t>
  </si>
  <si>
    <t>credit management practices; COSO</t>
  </si>
  <si>
    <t>No reliable evidence that customer credit risk assessment with credit checks, limits and payment terms control before contracting is defined, owned or managed.</t>
  </si>
  <si>
    <t>Customer credit risk assessment with credit checks, limits and payment terms control before contracting is handled informally and depends on individual knowledge or heroic effort.</t>
  </si>
  <si>
    <t>Customer credit risk assessment with credit checks, limits and payment terms control before contracting is partially documented or implemented, but coverage is inconsistent and not crisis-tested.</t>
  </si>
  <si>
    <t>Customer credit risk assessment with credit checks, limits and payment terms control before contracting is documented, owned, used in normal operations and supported by basic evidence or metrics.</t>
  </si>
  <si>
    <t>Customer credit risk assessment with credit checks, limits and payment terms control before contracting is measured, periodically reviewed, integrated with related processes and tested against relevant disruption scenarios.</t>
  </si>
  <si>
    <t>Customer credit risk assessment with credit checks, limits and payment terms control before contracting is optimized, continuously improved, automated where practical and demonstrably supports crisis resilience.</t>
  </si>
  <si>
    <t>Financial/liquidity crisis; Key customer loss</t>
  </si>
  <si>
    <t>Legal Risk</t>
  </si>
  <si>
    <t>LEGA-001</t>
  </si>
  <si>
    <t>Compliance</t>
  </si>
  <si>
    <t>How mature is the organization in managing compliance obligations register by jurisdiction, license, customer, industry and function, including ownership, evidence, metrics, fallback procedures and crisis stress testing?</t>
  </si>
  <si>
    <t>This topic affects exposure to Regulatory/legal shock; Contractual exposure; Data breach. It helps identify how disruption may impact operations, people, revenue, systems, legal exposure or recovery time.</t>
  </si>
  <si>
    <t>ISO 37301; ISO 31000; ISO 37001; ISO/IEC 27701; GDPR; contract management best practices</t>
  </si>
  <si>
    <t>Policy/SOP; owner/RACI; system report; dashboard; contracts; test records; incident history; interview evidence related to compliance obligations register by jurisdiction, license, customer, industry and function.</t>
  </si>
  <si>
    <t>No reliable evidence that compliance obligations register by jurisdiction, license, customer, industry and function is defined, owned or managed.</t>
  </si>
  <si>
    <t>Compliance obligations register by jurisdiction, license, customer, industry and function is handled informally and depends on individual knowledge or heroic effort.</t>
  </si>
  <si>
    <t>Compliance obligations register by jurisdiction, license, customer, industry and function is partially documented or implemented, but coverage is inconsistent and not crisis-tested.</t>
  </si>
  <si>
    <t>Compliance obligations register by jurisdiction, license, customer, industry and function is documented, owned, used in normal operations and supported by basic evidence or metrics.</t>
  </si>
  <si>
    <t>Compliance obligations register by jurisdiction, license, customer, industry and function is measured, periodically reviewed, integrated with related processes and tested against relevant disruption scenarios.</t>
  </si>
  <si>
    <t>Compliance obligations register by jurisdiction, license, customer, industry and function is optimized, continuously improved, automated where practical and demonstrably supports crisis resilience.</t>
  </si>
  <si>
    <t>Regulatory/legal shock; Contractual exposure; Data breach</t>
  </si>
  <si>
    <t>LEGA-002</t>
  </si>
  <si>
    <t>How mature is the organization in managing regulatory reporting calendar and emergency reporting triggers for cyber, safety, finance, environment and privacy, including ownership, evidence, metrics, fallback procedures and crisis stress testing?</t>
  </si>
  <si>
    <t>Policy/SOP; owner/RACI; system report; dashboard; contracts; test records; incident history; interview evidence related to regulatory reporting calendar and emergency reporting triggers for cyber, safety, finance, environment and privacy.</t>
  </si>
  <si>
    <t>Contracts</t>
  </si>
  <si>
    <t>LEGA-003</t>
  </si>
  <si>
    <t>How mature is the organization in managing sanctions and restricted-party screening for customers, suppliers, owners and payments, including ownership, evidence, metrics, fallback procedures and crisis stress testing?</t>
  </si>
  <si>
    <t>Policy/SOP; owner/RACI; system report; dashboard; contracts; test records; incident history; interview evidence related to sanctions and restricted-party screening for customers, suppliers, owners and payments.</t>
  </si>
  <si>
    <t>Data and IP</t>
  </si>
  <si>
    <t>LEGA-004</t>
  </si>
  <si>
    <t>How mature is the organization in managing anti-bribery and corruption controls during emergency procurement and high-pressure sales, including ownership, evidence, metrics, fallback procedures and crisis stress testing?</t>
  </si>
  <si>
    <t>Policy/SOP; owner/RACI; system report; dashboard; contracts; test records; incident history; interview evidence related to anti-bribery and corruption controls during emergency procurement and high-pressure sales.</t>
  </si>
  <si>
    <t>No reliable evidence that anti-bribery and corruption controls during emergency procurement and high-pressure sales is defined, owned or managed.</t>
  </si>
  <si>
    <t>Anti-bribery and corruption controls during emergency procurement and high-pressure sales is handled informally and depends on individual knowledge or heroic effort.</t>
  </si>
  <si>
    <t>Anti-bribery and corruption controls during emergency procurement and high-pressure sales is partially documented or implemented, but coverage is inconsistent and not crisis-tested.</t>
  </si>
  <si>
    <t>Anti-bribery and corruption controls during emergency procurement and high-pressure sales is documented, owned, used in normal operations and supported by basic evidence or metrics.</t>
  </si>
  <si>
    <t>Anti-bribery and corruption controls during emergency procurement and high-pressure sales is measured, periodically reviewed, integrated with related processes and tested against relevant disruption scenarios.</t>
  </si>
  <si>
    <t>Anti-bribery and corruption controls during emergency procurement and high-pressure sales is optimized, continuously improved, automated where practical and demonstrably supports crisis resilience.</t>
  </si>
  <si>
    <t>Employment law</t>
  </si>
  <si>
    <t>LEGA-005</t>
  </si>
  <si>
    <t>How mature is the organization in managing whistleblowing and misconduct reporting mechanism with investigation process, including ownership, evidence, metrics, fallback procedures and crisis stress testing?</t>
  </si>
  <si>
    <t>Policy/SOP; owner/RACI; system report; dashboard; contracts; test records; incident history; interview evidence related to whistleblowing and misconduct reporting mechanism with investigation process.</t>
  </si>
  <si>
    <t>No reliable evidence that whistleblowing and misconduct reporting mechanism with investigation process is defined, owned or managed.</t>
  </si>
  <si>
    <t>Whistleblowing and misconduct reporting mechanism with investigation process is handled informally and depends on individual knowledge or heroic effort.</t>
  </si>
  <si>
    <t>Whistleblowing and misconduct reporting mechanism with investigation process is partially documented or implemented, but coverage is inconsistent and not crisis-tested.</t>
  </si>
  <si>
    <t>Whistleblowing and misconduct reporting mechanism with investigation process is documented, owned, used in normal operations and supported by basic evidence or metrics.</t>
  </si>
  <si>
    <t>Whistleblowing and misconduct reporting mechanism with investigation process is measured, periodically reviewed, integrated with related processes and tested against relevant disruption scenarios.</t>
  </si>
  <si>
    <t>Whistleblowing and misconduct reporting mechanism with investigation process is optimized, continuously improved, automated where practical and demonstrably supports crisis resilience.</t>
  </si>
  <si>
    <t>LEGA-006</t>
  </si>
  <si>
    <t>How mature is the organization in managing legal support continuity if internal or external counsel is unavailable, including ownership, evidence, metrics, fallback procedures and crisis stress testing?</t>
  </si>
  <si>
    <t>Policy/SOP; owner/RACI; system report; dashboard; contracts; test records; incident history; interview evidence related to legal support continuity if internal or external counsel is unavailable.</t>
  </si>
  <si>
    <t>LEGA-007</t>
  </si>
  <si>
    <t>How mature is the organization in managing complete contract register for customers, suppliers, leases, loans, employment, insurance and IP, including ownership, evidence, metrics, fallback procedures and crisis stress testing?</t>
  </si>
  <si>
    <t>Policy/SOP; owner/RACI; system report; dashboard; contracts; test records; incident history; interview evidence related to complete contract register for customers, suppliers, leases, loans, employment, insurance and IP.</t>
  </si>
  <si>
    <t>LEGA-008</t>
  </si>
  <si>
    <t>How mature is the organization in managing analysis of force majeure, hardship, termination, liability and continuity clauses in critical contracts, including ownership, evidence, metrics, fallback procedures and crisis stress testing?</t>
  </si>
  <si>
    <t>Policy/SOP; owner/RACI; system report; dashboard; contracts; test records; incident history; interview evidence related to analysis of force majeure, hardship, termination, liability and continuity clauses in critical contracts.</t>
  </si>
  <si>
    <t>LEGA-009</t>
  </si>
  <si>
    <t>How mature is the organization in managing customer SLA obligations, penalties, notification timelines and service credits during disruption, including ownership, evidence, metrics, fallback procedures and crisis stress testing?</t>
  </si>
  <si>
    <t>Policy/SOP; owner/RACI; system report; dashboard; contracts; test records; incident history; interview evidence related to customer SLA obligations, penalties, notification timelines and service credits during disruption.</t>
  </si>
  <si>
    <t>No reliable evidence that customer sla obligations, penalties, notification timelines and service credits during disruption is defined, owned or managed.</t>
  </si>
  <si>
    <t>Customer SLA obligations, penalties, notification timelines and service credits during disruption is handled informally and depends on individual knowledge or heroic effort.</t>
  </si>
  <si>
    <t>Customer SLA obligations, penalties, notification timelines and service credits during disruption is partially documented or implemented, but coverage is inconsistent and not crisis-tested.</t>
  </si>
  <si>
    <t>Customer SLA obligations, penalties, notification timelines and service credits during disruption is documented, owned, used in normal operations and supported by basic evidence or metrics.</t>
  </si>
  <si>
    <t>Customer SLA obligations, penalties, notification timelines and service credits during disruption is measured, periodically reviewed, integrated with related processes and tested against relevant disruption scenarios.</t>
  </si>
  <si>
    <t>Customer SLA obligations, penalties, notification timelines and service credits during disruption is optimized, continuously improved, automated where practical and demonstrably supports crisis resilience.</t>
  </si>
  <si>
    <t>LEGA-010</t>
  </si>
  <si>
    <t>How mature is the organization in managing supplier continuity, security, audit, subcontractor and incident notification clauses, including ownership, evidence, metrics, fallback procedures and crisis stress testing?</t>
  </si>
  <si>
    <t>Policy/SOP; owner/RACI; system report; dashboard; contracts; test records; incident history; interview evidence related to supplier continuity, security, audit, subcontractor and incident notification clauses.</t>
  </si>
  <si>
    <t>LEGA-011</t>
  </si>
  <si>
    <t>How mature is the organization in managing signatory continuity with powers of attorney, board approvals and emergency delegation, including ownership, evidence, metrics, fallback procedures and crisis stress testing?</t>
  </si>
  <si>
    <t>Policy/SOP; owner/RACI; system report; dashboard; contracts; test records; incident history; interview evidence related to signatory continuity with powers of attorney, board approvals and emergency delegation.</t>
  </si>
  <si>
    <t>LEGA-012</t>
  </si>
  <si>
    <t>How mature is the organization in managing insurance claims process linked to incident evidence collection, including ownership, evidence, metrics, fallback procedures and crisis stress testing?</t>
  </si>
  <si>
    <t>Policy/SOP; owner/RACI; system report; dashboard; contracts; test records; incident history; interview evidence related to insurance claims process linked to incident evidence collection.</t>
  </si>
  <si>
    <t>LEGA-013</t>
  </si>
  <si>
    <t>How mature is the organization in managing personal data processing map by system, purpose, location, processor and transfer mechanism, including ownership, evidence, metrics, fallback procedures and crisis stress testing?</t>
  </si>
  <si>
    <t>Policy/SOP; owner/RACI; system report; dashboard; contracts; test records; incident history; interview evidence related to personal data processing map by system, purpose, location, processor and transfer mechanism.</t>
  </si>
  <si>
    <t>LEGA-014</t>
  </si>
  <si>
    <t>How mature is the organization in managing breach notification readiness for personal data and customer contractual obligations, including ownership, evidence, metrics, fallback procedures and crisis stress testing?</t>
  </si>
  <si>
    <t>Policy/SOP; owner/RACI; system report; dashboard; contracts; test records; incident history; interview evidence related to breach notification readiness for personal data and customer contractual obligations.</t>
  </si>
  <si>
    <t>No reliable evidence that breach notification readiness for personal data and customer contractual obligations is defined, owned or managed.</t>
  </si>
  <si>
    <t>Breach notification readiness for personal data and customer contractual obligations is handled informally and depends on individual knowledge or heroic effort.</t>
  </si>
  <si>
    <t>Breach notification readiness for personal data and customer contractual obligations is partially documented or implemented, but coverage is inconsistent and not crisis-tested.</t>
  </si>
  <si>
    <t>Breach notification readiness for personal data and customer contractual obligations is documented, owned, used in normal operations and supported by basic evidence or metrics.</t>
  </si>
  <si>
    <t>Breach notification readiness for personal data and customer contractual obligations is measured, periodically reviewed, integrated with related processes and tested against relevant disruption scenarios.</t>
  </si>
  <si>
    <t>Breach notification readiness for personal data and customer contractual obligations is optimized, continuously improved, automated where practical and demonstrably supports crisis resilience.</t>
  </si>
  <si>
    <t>LEGA-015</t>
  </si>
  <si>
    <t>How mature is the organization in managing data processing agreements with vendors covering security, incident response, sub-processors and continuity, including ownership, evidence, metrics, fallback procedures and crisis stress testing?</t>
  </si>
  <si>
    <t>Policy/SOP; owner/RACI; system report; dashboard; contracts; test records; incident history; interview evidence related to data processing agreements with vendors covering security, incident response, sub-processors and continuity.</t>
  </si>
  <si>
    <t>LEGA-016</t>
  </si>
  <si>
    <t>How mature is the organization in managing intellectual property ownership for employees, contractors, suppliers, software, designs, data and AI models, including ownership, evidence, metrics, fallback procedures and crisis stress testing?</t>
  </si>
  <si>
    <t>Policy/SOP; owner/RACI; system report; dashboard; contracts; test records; incident history; interview evidence related to intellectual property ownership for employees, contractors, suppliers, software, designs, data and AI models.</t>
  </si>
  <si>
    <t>LEGA-017</t>
  </si>
  <si>
    <t>How mature is the organization in managing software license and open-source compliance for critical systems and products, including ownership, evidence, metrics, fallback procedures and crisis stress testing?</t>
  </si>
  <si>
    <t>Policy/SOP; owner/RACI; system report; dashboard; contracts; test records; incident history; interview evidence related to software license and open-source compliance for critical systems and products.</t>
  </si>
  <si>
    <t>LEGA-018</t>
  </si>
  <si>
    <t>How mature is the organization in managing records retention rules for legal, finance, HR, contracts, safety, customer and technical records, including ownership, evidence, metrics, fallback procedures and crisis stress testing?</t>
  </si>
  <si>
    <t>Policy/SOP; owner/RACI; system report; dashboard; contracts; test records; incident history; interview evidence related to records retention rules for legal, finance, HR, contracts, safety, customer and technical records.</t>
  </si>
  <si>
    <t>LEGA-019</t>
  </si>
  <si>
    <t>How mature is the organization in managing legal options for relocation, evacuation, furlough, flexible work, terminations or hardship support by country, including ownership, evidence, metrics, fallback procedures and crisis stress testing?</t>
  </si>
  <si>
    <t>Policy/SOP; owner/RACI; system report; dashboard; contracts; test records; incident history; interview evidence related to legal options for relocation, evacuation, furlough, flexible work, terminations or hardship support by country.</t>
  </si>
  <si>
    <t>No reliable evidence that legal options for relocation, evacuation, furlough, flexible work, terminations or hardship support by country is defined, owned or managed.</t>
  </si>
  <si>
    <t>Legal options for relocation, evacuation, furlough, flexible work, terminations or hardship support by country is handled informally and depends on individual knowledge or heroic effort.</t>
  </si>
  <si>
    <t>Legal options for relocation, evacuation, furlough, flexible work, terminations or hardship support by country is partially documented or implemented, but coverage is inconsistent and not crisis-tested.</t>
  </si>
  <si>
    <t>Legal options for relocation, evacuation, furlough, flexible work, terminations or hardship support by country is documented, owned, used in normal operations and supported by basic evidence or metrics.</t>
  </si>
  <si>
    <t>Legal options for relocation, evacuation, furlough, flexible work, terminations or hardship support by country is measured, periodically reviewed, integrated with related processes and tested against relevant disruption scenarios.</t>
  </si>
  <si>
    <t>Legal options for relocation, evacuation, furlough, flexible work, terminations or hardship support by country is optimized, continuously improved, automated where practical and demonstrably supports crisis resilience.</t>
  </si>
  <si>
    <t>LEGA-020</t>
  </si>
  <si>
    <t>How mature is the organization in managing labor relations, works council or union obligations during restructuring or crisis measures, including ownership, evidence, metrics, fallback procedures and crisis stress testing?</t>
  </si>
  <si>
    <t>Policy/SOP; owner/RACI; system report; dashboard; contracts; test records; incident history; interview evidence related to labor relations, works council or union obligations during restructuring or crisis measures.</t>
  </si>
  <si>
    <t>LEGA-021</t>
  </si>
  <si>
    <t>How mature is the organization in managing litigation and dispute portfolio management with a dispute register, external counsel panel and budget control, including ownership, evidence, metrics, fallback procedures and crisis stress testing?</t>
  </si>
  <si>
    <t>This topic affects exposure to Regulatory/legal shock; Financial/liquidity crisis. It helps identify how disruption may impact operations, people, revenue, systems, legal exposure or recovery time.</t>
  </si>
  <si>
    <t>legal operations practices; ISO 31000</t>
  </si>
  <si>
    <t>No reliable evidence that litigation and dispute portfolio management with a dispute register, external counsel panel and budget control is defined, owned or managed.</t>
  </si>
  <si>
    <t>Litigation and dispute portfolio management with a dispute register, external counsel panel and budget control is handled informally and depends on individual knowledge or heroic effort.</t>
  </si>
  <si>
    <t>Litigation and dispute portfolio management with a dispute register, external counsel panel and budget control is partially documented or implemented, but coverage is inconsistent and not crisis-tested.</t>
  </si>
  <si>
    <t>Litigation and dispute portfolio management with a dispute register, external counsel panel and budget control is documented, owned, used in normal operations and supported by basic evidence or metrics.</t>
  </si>
  <si>
    <t>Litigation and dispute portfolio management with a dispute register, external counsel panel and budget control is measured, periodically reviewed, integrated with related processes and tested against relevant disruption scenarios.</t>
  </si>
  <si>
    <t>Litigation and dispute portfolio management with a dispute register, external counsel panel and budget control is optimized, continuously improved, automated where practical and demonstrably supports crisis resilience.</t>
  </si>
  <si>
    <t>Regulatory/legal shock; Financial/liquidity crisis</t>
  </si>
  <si>
    <t>Physical Safety</t>
  </si>
  <si>
    <t>PHYS-001</t>
  </si>
  <si>
    <t>OH&amp;S governance</t>
  </si>
  <si>
    <t>How mature is the organization in managing occupational health and safety management system with owners, objectives, audits and management review, including ownership, evidence, metrics, fallback procedures and crisis stress testing?</t>
  </si>
  <si>
    <t>This topic affects exposure to Safety incident; Physical site loss; War/security crisis; Natural disaster. It helps identify how disruption may impact operations, people, revenue, systems, legal exposure or recovery time.</t>
  </si>
  <si>
    <t>ISO 45001; ISO 22320; ISO 31030; ISO 18788; ISO 22301; NFPA; local OH&amp;S rules</t>
  </si>
  <si>
    <t>Policy/SOP; owner/RACI; system report; dashboard; contracts; test records; incident history; interview evidence related to occupational health and safety management system with owners, objectives, audits and management review.</t>
  </si>
  <si>
    <t>Safety incident; Physical site loss; War/security crisis; Natural disaster</t>
  </si>
  <si>
    <t>PHYS-002</t>
  </si>
  <si>
    <t>How mature is the organization in managing site risk assessments for fire, structure, utilities, hazardous materials, crime, weather, war/security and access, including ownership, evidence, metrics, fallback procedures and crisis stress testing?</t>
  </si>
  <si>
    <t>Policy/SOP; owner/RACI; system report; dashboard; contracts; test records; incident history; interview evidence related to site risk assessments for fire, structure, utilities, hazardous materials, crime, weather, war/security and access.</t>
  </si>
  <si>
    <t>Facilities and access</t>
  </si>
  <si>
    <t>PHYS-003</t>
  </si>
  <si>
    <t>How mature is the organization in managing job hazard analysis for roles, tasks, production activities and field work, including ownership, evidence, metrics, fallback procedures and crisis stress testing?</t>
  </si>
  <si>
    <t>Policy/SOP; owner/RACI; system report; dashboard; contracts; test records; incident history; interview evidence related to job hazard analysis for roles, tasks, production activities and field work.</t>
  </si>
  <si>
    <t>Emergency response</t>
  </si>
  <si>
    <t>PHYS-004</t>
  </si>
  <si>
    <t>How mature is the organization in managing contractor and visitor safety induction, permits-to-work, site rules and emergency procedures, including ownership, evidence, metrics, fallback procedures and crisis stress testing?</t>
  </si>
  <si>
    <t>Policy/SOP; owner/RACI; system report; dashboard; contracts; test records; incident history; interview evidence related to contractor and visitor safety induction, permits-to-work, site rules and emergency procedures.</t>
  </si>
  <si>
    <t>Security and travel</t>
  </si>
  <si>
    <t>PHYS-005</t>
  </si>
  <si>
    <t>How mature is the organization in managing near-miss and safety incident reporting, investigation and corrective action, including ownership, evidence, metrics, fallback procedures and crisis stress testing?</t>
  </si>
  <si>
    <t>Policy/SOP; owner/RACI; system report; dashboard; contracts; test records; incident history; interview evidence related to near-miss and safety incident reporting, investigation and corrective action.</t>
  </si>
  <si>
    <t>Utilities and resilience</t>
  </si>
  <si>
    <t>PHYS-006</t>
  </si>
  <si>
    <t>How mature is the organization in managing serious incident escalation to executives, legal, insurers and regulators, including ownership, evidence, metrics, fallback procedures and crisis stress testing?</t>
  </si>
  <si>
    <t>Policy/SOP; owner/RACI; system report; dashboard; contracts; test records; incident history; interview evidence related to serious incident escalation to executives, legal, insurers and regulators.</t>
  </si>
  <si>
    <t>Asset management</t>
  </si>
  <si>
    <t>PHYS-007</t>
  </si>
  <si>
    <t>How mature is the organization in managing critical facility register with occupancy, business processes, utilities, safety risks and recovery priority, including ownership, evidence, metrics, fallback procedures and crisis stress testing?</t>
  </si>
  <si>
    <t>Policy/SOP; owner/RACI; system report; dashboard; contracts; test records; incident history; interview evidence related to critical facility register with occupancy, business processes, utilities, safety risks and recovery priority.</t>
  </si>
  <si>
    <t>PHYS-008</t>
  </si>
  <si>
    <t>How mature is the organization in managing building integrity, fire systems, emergency exits, shelters, alarms, lighting and backup power inspection, including ownership, evidence, metrics, fallback procedures and crisis stress testing?</t>
  </si>
  <si>
    <t>Policy/SOP; owner/RACI; system report; dashboard; contracts; test records; incident history; interview evidence related to building integrity, fire systems, emergency exits, shelters, alarms, lighting and backup power inspection.</t>
  </si>
  <si>
    <t>PHYS-009</t>
  </si>
  <si>
    <t>How mature is the organization in managing physical access control linked to HR onboarding, offboarding and periodic access review, including ownership, evidence, metrics, fallback procedures and crisis stress testing?</t>
  </si>
  <si>
    <t>Policy/SOP; owner/RACI; system report; dashboard; contracts; test records; incident history; interview evidence related to physical access control linked to HR onboarding, offboarding and periodic access review.</t>
  </si>
  <si>
    <t>No reliable evidence that physical access control linked to hr onboarding, offboarding and periodic access review is defined, owned or managed.</t>
  </si>
  <si>
    <t>Physical access control linked to HR onboarding, offboarding and periodic access review is handled informally and depends on individual knowledge or heroic effort.</t>
  </si>
  <si>
    <t>Physical access control linked to HR onboarding, offboarding and periodic access review is partially documented or implemented, but coverage is inconsistent and not crisis-tested.</t>
  </si>
  <si>
    <t>Physical access control linked to HR onboarding, offboarding and periodic access review is documented, owned, used in normal operations and supported by basic evidence or metrics.</t>
  </si>
  <si>
    <t>Physical access control linked to HR onboarding, offboarding and periodic access review is measured, periodically reviewed, integrated with related processes and tested against relevant disruption scenarios.</t>
  </si>
  <si>
    <t>Physical access control linked to HR onboarding, offboarding and periodic access review is optimized, continuously improved, automated where practical and demonstrably supports crisis resilience.</t>
  </si>
  <si>
    <t>PHYS-010</t>
  </si>
  <si>
    <t>How mature is the organization in managing visitor management covering identity checks, escorting, sensitive areas and evacuation accountability, including ownership, evidence, metrics, fallback procedures and crisis stress testing?</t>
  </si>
  <si>
    <t>Policy/SOP; owner/RACI; system report; dashboard; contracts; test records; incident history; interview evidence related to visitor management covering identity checks, escorting, sensitive areas and evacuation accountability.</t>
  </si>
  <si>
    <t>No reliable evidence that visitor management covering identity checks, escorting, sensitive areas and evacuation accountability is defined, owned or managed.</t>
  </si>
  <si>
    <t>Visitor management covering identity checks, escorting, sensitive areas and evacuation accountability is handled informally and depends on individual knowledge or heroic effort.</t>
  </si>
  <si>
    <t>Visitor management covering identity checks, escorting, sensitive areas and evacuation accountability is partially documented or implemented, but coverage is inconsistent and not crisis-tested.</t>
  </si>
  <si>
    <t>Visitor management covering identity checks, escorting, sensitive areas and evacuation accountability is documented, owned, used in normal operations and supported by basic evidence or metrics.</t>
  </si>
  <si>
    <t>Visitor management covering identity checks, escorting, sensitive areas and evacuation accountability is measured, periodically reviewed, integrated with related processes and tested against relevant disruption scenarios.</t>
  </si>
  <si>
    <t>Visitor management covering identity checks, escorting, sensitive areas and evacuation accountability is optimized, continuously improved, automated where practical and demonstrably supports crisis resilience.</t>
  </si>
  <si>
    <t>PHYS-011</t>
  </si>
  <si>
    <t>How mature is the organization in managing security guarding, CCTV, alarm monitoring and response procedures, including ownership, evidence, metrics, fallback procedures and crisis stress testing?</t>
  </si>
  <si>
    <t>Policy/SOP; owner/RACI; system report; dashboard; contracts; test records; incident history; interview evidence related to security guarding, CCTV, alarm monitoring and response procedures.</t>
  </si>
  <si>
    <t>No reliable evidence that security guarding, cctv, alarm monitoring and response procedures is defined, owned or managed.</t>
  </si>
  <si>
    <t>Security guarding, CCTV, alarm monitoring and response procedures is handled informally and depends on individual knowledge or heroic effort.</t>
  </si>
  <si>
    <t>Security guarding, CCTV, alarm monitoring and response procedures is partially documented or implemented, but coverage is inconsistent and not crisis-tested.</t>
  </si>
  <si>
    <t>Security guarding, CCTV, alarm monitoring and response procedures is documented, owned, used in normal operations and supported by basic evidence or metrics.</t>
  </si>
  <si>
    <t>Security guarding, CCTV, alarm monitoring and response procedures is measured, periodically reviewed, integrated with related processes and tested against relevant disruption scenarios.</t>
  </si>
  <si>
    <t>Security guarding, CCTV, alarm monitoring and response procedures is optimized, continuously improved, automated where practical and demonstrably supports crisis resilience.</t>
  </si>
  <si>
    <t>PHYS-012</t>
  </si>
  <si>
    <t>How mature is the organization in managing physical asset protection against theft, sabotage, environmental damage and unauthorized access, including ownership, evidence, metrics, fallback procedures and crisis stress testing?</t>
  </si>
  <si>
    <t>Policy/SOP; owner/RACI; system report; dashboard; contracts; test records; incident history; interview evidence related to physical asset protection against theft, sabotage, environmental damage and unauthorized access.</t>
  </si>
  <si>
    <t>No reliable evidence that physical asset protection against theft, sabotage, environmental damage and unauthorized access is defined, owned or managed.</t>
  </si>
  <si>
    <t>Physical asset protection against theft, sabotage, environmental damage and unauthorized access is handled informally and depends on individual knowledge or heroic effort.</t>
  </si>
  <si>
    <t>Physical asset protection against theft, sabotage, environmental damage and unauthorized access is partially documented or implemented, but coverage is inconsistent and not crisis-tested.</t>
  </si>
  <si>
    <t>Physical asset protection against theft, sabotage, environmental damage and unauthorized access is documented, owned, used in normal operations and supported by basic evidence or metrics.</t>
  </si>
  <si>
    <t>Physical asset protection against theft, sabotage, environmental damage and unauthorized access is measured, periodically reviewed, integrated with related processes and tested against relevant disruption scenarios.</t>
  </si>
  <si>
    <t>Physical asset protection against theft, sabotage, environmental damage and unauthorized access is optimized, continuously improved, automated where practical and demonstrably supports crisis resilience.</t>
  </si>
  <si>
    <t>PHYS-013</t>
  </si>
  <si>
    <t>How mature is the organization in managing emergency response plans for fire, medical emergency, violence, bomb threat, shelling, evacuation, shelter-in-place and utility failure, including ownership, evidence, metrics, fallback procedures and crisis stress testing?</t>
  </si>
  <si>
    <t>Policy/SOP; owner/RACI; system report; dashboard; contracts; test records; incident history; interview evidence related to emergency response plans for fire, medical emergency, violence, bomb threat, shelling, evacuation, shelter-in-place and utility failure.</t>
  </si>
  <si>
    <t>No reliable evidence that emergency response plans for fire, medical emergency, violence, bomb threat, shelling, evacuation, shelter-in-place and utility failure is defined, owned or managed.</t>
  </si>
  <si>
    <t>Emergency response plans for fire, medical emergency, violence, bomb threat, shelling, evacuation, shelter-in-place and utility failure is handled informally and depends on individual knowledge or heroic effort.</t>
  </si>
  <si>
    <t>Emergency response plans for fire, medical emergency, violence, bomb threat, shelling, evacuation, shelter-in-place and utility failure is partially documented or implemented, but coverage is inconsistent and not crisis-tested.</t>
  </si>
  <si>
    <t>Emergency response plans for fire, medical emergency, violence, bomb threat, shelling, evacuation, shelter-in-place and utility failure is documented, owned, used in normal operations and supported by basic evidence or metrics.</t>
  </si>
  <si>
    <t>Emergency response plans for fire, medical emergency, violence, bomb threat, shelling, evacuation, shelter-in-place and utility failure is measured, periodically reviewed, integrated with related processes and tested against relevant disruption scenarios.</t>
  </si>
  <si>
    <t>Emergency response plans for fire, medical emergency, violence, bomb threat, shelling, evacuation, shelter-in-place and utility failure is optimized, continuously improved, automated where practical and demonstrably supports crisis resilience.</t>
  </si>
  <si>
    <t>PHYS-014</t>
  </si>
  <si>
    <t>How mature is the organization in managing evacuation and shelter drills with attendance, outcomes and corrective actions, including ownership, evidence, metrics, fallback procedures and crisis stress testing?</t>
  </si>
  <si>
    <t>Policy/SOP; owner/RACI; system report; dashboard; contracts; test records; incident history; interview evidence related to evacuation and shelter drills with attendance, outcomes and corrective actions.</t>
  </si>
  <si>
    <t>Never conducted.</t>
  </si>
  <si>
    <t>Conducted once, long ago; no records.</t>
  </si>
  <si>
    <t>Conducted irregularly; attendance and outcomes not recorded.</t>
  </si>
  <si>
    <t>Conducted at least annually with recorded attendance and outcomes.</t>
  </si>
  <si>
    <t>Conducted per site at least semi-annually; corrective actions tracked to closure.</t>
  </si>
  <si>
    <t>Realistic scenario drills incl. out-of-hours; results measured and drive facility/procedure changes.</t>
  </si>
  <si>
    <t>PHYS-015</t>
  </si>
  <si>
    <t>How mature is the organization in managing first aid readiness with trained responders, AEDs, medical contacts and first aid supplies, including ownership, evidence, metrics, fallback procedures and crisis stress testing?</t>
  </si>
  <si>
    <t>Policy/SOP; owner/RACI; system report; dashboard; contracts; test records; incident history; interview evidence related to first aid readiness with trained responders, AEDs, medical contacts and first aid supplies.</t>
  </si>
  <si>
    <t>No reliable evidence that first aid readiness with trained responders, aeds, medical contacts and first aid supplies is defined, owned or managed.</t>
  </si>
  <si>
    <t>First aid readiness with trained responders, AEDs, medical contacts and first aid supplies is handled informally and depends on individual knowledge or heroic effort.</t>
  </si>
  <si>
    <t>First aid readiness with trained responders, AEDs, medical contacts and first aid supplies is partially documented or implemented, but coverage is inconsistent and not crisis-tested.</t>
  </si>
  <si>
    <t>First aid readiness with trained responders, AEDs, medical contacts and first aid supplies is documented, owned, used in normal operations and supported by basic evidence or metrics.</t>
  </si>
  <si>
    <t>First aid readiness with trained responders, AEDs, medical contacts and first aid supplies is measured, periodically reviewed, integrated with related processes and tested against relevant disruption scenarios.</t>
  </si>
  <si>
    <t>First aid readiness with trained responders, AEDs, medical contacts and first aid supplies is optimized, continuously improved, automated where practical and demonstrably supports crisis resilience.</t>
  </si>
  <si>
    <t>PHYS-016</t>
  </si>
  <si>
    <t>How mature is the organization in managing mass notification to employees, visitors and contractors during site emergencies, including ownership, evidence, metrics, fallback procedures and crisis stress testing?</t>
  </si>
  <si>
    <t>Policy/SOP; owner/RACI; system report; dashboard; contracts; test records; incident history; interview evidence related to mass notification to employees, visitors and contractors during site emergencies.</t>
  </si>
  <si>
    <t>PHYS-017</t>
  </si>
  <si>
    <t>How mature is the organization in managing employee and visitor accountability after evacuation or sheltering, including ownership, evidence, metrics, fallback procedures and crisis stress testing?</t>
  </si>
  <si>
    <t>Policy/SOP; owner/RACI; system report; dashboard; contracts; test records; incident history; interview evidence related to employee and visitor accountability after evacuation or sheltering.</t>
  </si>
  <si>
    <t>No reliable evidence that employee and visitor accountability after evacuation or sheltering is defined, owned or managed.</t>
  </si>
  <si>
    <t>Employee and visitor accountability after evacuation or sheltering is handled informally and depends on individual knowledge or heroic effort.</t>
  </si>
  <si>
    <t>Employee and visitor accountability after evacuation or sheltering is partially documented or implemented, but coverage is inconsistent and not crisis-tested.</t>
  </si>
  <si>
    <t>Employee and visitor accountability after evacuation or sheltering is documented, owned, used in normal operations and supported by basic evidence or metrics.</t>
  </si>
  <si>
    <t>Employee and visitor accountability after evacuation or sheltering is measured, periodically reviewed, integrated with related processes and tested against relevant disruption scenarios.</t>
  </si>
  <si>
    <t>Employee and visitor accountability after evacuation or sheltering is optimized, continuously improved, automated where practical and demonstrably supports crisis resilience.</t>
  </si>
  <si>
    <t>PHYS-018</t>
  </si>
  <si>
    <t>How mature is the organization in managing emergency supplies such as water, batteries, power banks, fuel, PPE, radios and flashlights, including ownership, evidence, metrics, fallback procedures and crisis stress testing?</t>
  </si>
  <si>
    <t>Policy/SOP; owner/RACI; system report; dashboard; contracts; test records; incident history; interview evidence related to emergency supplies such as water, batteries, power banks, fuel, PPE, radios and flashlights.</t>
  </si>
  <si>
    <t>No reliable evidence that emergency supplies such as water, batteries, power banks, fuel, ppe, radios and flashlights is defined, owned or managed.</t>
  </si>
  <si>
    <t>Emergency supplies such as water, batteries, power banks, fuel, PPE, radios and flashlights is handled informally and depends on individual knowledge or heroic effort.</t>
  </si>
  <si>
    <t>Emergency supplies such as water, batteries, power banks, fuel, PPE, radios and flashlights is partially documented or implemented, but coverage is inconsistent and not crisis-tested.</t>
  </si>
  <si>
    <t>Emergency supplies such as water, batteries, power banks, fuel, PPE, radios and flashlights is documented, owned, used in normal operations and supported by basic evidence or metrics.</t>
  </si>
  <si>
    <t>Emergency supplies such as water, batteries, power banks, fuel, PPE, radios and flashlights is measured, periodically reviewed, integrated with related processes and tested against relevant disruption scenarios.</t>
  </si>
  <si>
    <t>Emergency supplies such as water, batteries, power banks, fuel, PPE, radios and flashlights is optimized, continuously improved, automated where practical and demonstrably supports crisis resilience.</t>
  </si>
  <si>
    <t>PHYS-019</t>
  </si>
  <si>
    <t>How mature is the organization in managing air raid, shelling, curfew, checkpoints, movement restriction and shelter procedures for high-risk geographies, including ownership, evidence, metrics, fallback procedures and crisis stress testing?</t>
  </si>
  <si>
    <t>Policy/SOP; owner/RACI; system report; dashboard; contracts; test records; incident history; interview evidence related to air raid, shelling, curfew, checkpoints, movement restriction and shelter procedures for high-risk geographies.</t>
  </si>
  <si>
    <t>No reliable evidence that air raid, shelling, curfew, checkpoints, movement restriction and shelter procedures for high-risk geographies is defined, owned or managed.</t>
  </si>
  <si>
    <t>Air raid, shelling, curfew, checkpoints, movement restriction and shelter procedures for high-risk geographies is handled informally and depends on individual knowledge or heroic effort.</t>
  </si>
  <si>
    <t>Air raid, shelling, curfew, checkpoints, movement restriction and shelter procedures for high-risk geographies is partially documented or implemented, but coverage is inconsistent and not crisis-tested.</t>
  </si>
  <si>
    <t>Air raid, shelling, curfew, checkpoints, movement restriction and shelter procedures for high-risk geographies is documented, owned, used in normal operations and supported by basic evidence or metrics.</t>
  </si>
  <si>
    <t>Air raid, shelling, curfew, checkpoints, movement restriction and shelter procedures for high-risk geographies is measured, periodically reviewed, integrated with related processes and tested against relevant disruption scenarios.</t>
  </si>
  <si>
    <t>Air raid, shelling, curfew, checkpoints, movement restriction and shelter procedures for high-risk geographies is optimized, continuously improved, automated where practical and demonstrably supports crisis resilience.</t>
  </si>
  <si>
    <t>PHYS-020</t>
  </si>
  <si>
    <t>How mature is the organization in managing relocation and evacuation options for employees and critical teams, including ownership, evidence, metrics, fallback procedures and crisis stress testing?</t>
  </si>
  <si>
    <t>Policy/SOP; owner/RACI; system report; dashboard; contracts; test records; incident history; interview evidence related to relocation and evacuation options for employees and critical teams.</t>
  </si>
  <si>
    <t>PHYS-021</t>
  </si>
  <si>
    <t>How mature is the organization in managing travel risk assessment by destination, route, purpose, employee profile and emergency support, including ownership, evidence, metrics, fallback procedures and crisis stress testing?</t>
  </si>
  <si>
    <t>Policy/SOP; owner/RACI; system report; dashboard; contracts; test records; incident history; interview evidence related to travel risk assessment by destination, route, purpose, employee profile and emergency support.</t>
  </si>
  <si>
    <t>PHYS-022</t>
  </si>
  <si>
    <t>How mature is the organization in managing local threat monitoring for critical sites and geographies, including ownership, evidence, metrics, fallback procedures and crisis stress testing?</t>
  </si>
  <si>
    <t>Policy/SOP; owner/RACI; system report; dashboard; contracts; test records; incident history; interview evidence related to local threat monitoring for critical sites and geographies.</t>
  </si>
  <si>
    <t>PHYS-023</t>
  </si>
  <si>
    <t>How mature is the organization in managing coordination with fire, police, medical, local administration and utility providers, including ownership, evidence, metrics, fallback procedures and crisis stress testing?</t>
  </si>
  <si>
    <t>Policy/SOP; owner/RACI; system report; dashboard; contracts; test records; incident history; interview evidence related to coordination with fire, police, medical, local administration and utility providers.</t>
  </si>
  <si>
    <t>No reliable evidence that coordination with fire, police, medical, local administration and utility providers is defined, owned or managed.</t>
  </si>
  <si>
    <t>Coordination with fire, police, medical, local administration and utility providers is handled informally and depends on individual knowledge or heroic effort.</t>
  </si>
  <si>
    <t>Coordination with fire, police, medical, local administration and utility providers is partially documented or implemented, but coverage is inconsistent and not crisis-tested.</t>
  </si>
  <si>
    <t>Coordination with fire, police, medical, local administration and utility providers is documented, owned, used in normal operations and supported by basic evidence or metrics.</t>
  </si>
  <si>
    <t>Coordination with fire, police, medical, local administration and utility providers is measured, periodically reviewed, integrated with related processes and tested against relevant disruption scenarios.</t>
  </si>
  <si>
    <t>Coordination with fire, police, medical, local administration and utility providers is optimized, continuously improved, automated where practical and demonstrably supports crisis resilience.</t>
  </si>
  <si>
    <t>PHYS-024</t>
  </si>
  <si>
    <t>How mature is the organization in managing backup power for critical sites with capacity, maintenance, fuel and test records, including ownership, evidence, metrics, fallback procedures and crisis stress testing?</t>
  </si>
  <si>
    <t>Policy/SOP; owner/RACI; system report; dashboard; contracts; test records; incident history; interview evidence related to backup power for critical sites with capacity, maintenance, fuel and test records.</t>
  </si>
  <si>
    <t>PHYS-025</t>
  </si>
  <si>
    <t>How mature is the organization in managing water, sanitation, HVAC and environmental controls in facility continuity plans, including ownership, evidence, metrics, fallback procedures and crisis stress testing?</t>
  </si>
  <si>
    <t>Policy/SOP; owner/RACI; system report; dashboard; contracts; test records; incident history; interview evidence related to water, sanitation, HVAC and environmental controls in facility continuity plans.</t>
  </si>
  <si>
    <t>PHYS-026</t>
  </si>
  <si>
    <t>How mature is the organization in managing backup internet and telecom connectivity at critical sites, including ownership, evidence, metrics, fallback procedures and crisis stress testing?</t>
  </si>
  <si>
    <t>Policy/SOP; owner/RACI; system report; dashboard; contracts; test records; incident history; interview evidence related to backup internet and telecom connectivity at critical sites.</t>
  </si>
  <si>
    <t>PHYS-027</t>
  </si>
  <si>
    <t>How mature is the organization in managing preventive maintenance for safety-critical facility systems, including ownership, evidence, metrics, fallback procedures and crisis stress testing?</t>
  </si>
  <si>
    <t>Policy/SOP; owner/RACI; system report; dashboard; contracts; test records; incident history; interview evidence related to preventive maintenance for safety-critical facility systems.</t>
  </si>
  <si>
    <t>PHYS-028</t>
  </si>
  <si>
    <t>How mature is the organization in managing alternative worksites, temporary facilities, coworking spaces or remote-work options if a site is lost, including ownership, evidence, metrics, fallback procedures and crisis stress testing?</t>
  </si>
  <si>
    <t>Policy/SOP; owner/RACI; system report; dashboard; contracts; test records; incident history; interview evidence related to alternative worksites, temporary facilities, coworking spaces or remote-work options if a site is lost.</t>
  </si>
  <si>
    <t>PHYS-029</t>
  </si>
  <si>
    <t>How mature is the organization in managing enterprise asset register covering ownership, location, condition, replacement value and insurance linkage, including ownership, evidence, metrics, fallback procedures and crisis stress testing?</t>
  </si>
  <si>
    <t>This topic affects exposure to Physical site loss; Natural disaster; War/security crisis. It helps identify how disruption may impact operations, people, revenue, systems, legal exposure or recovery time.</t>
  </si>
  <si>
    <t>APQC PCF 10.2; ISO 55000; ISO 22301</t>
  </si>
  <si>
    <t>No reliable evidence that enterprise asset register covering ownership, location, condition, replacement value and insurance linkage is defined, owned or managed.</t>
  </si>
  <si>
    <t>Enterprise asset register covering ownership, location, condition, replacement value and insurance linkage is handled informally and depends on individual knowledge or heroic effort.</t>
  </si>
  <si>
    <t>Enterprise asset register covering ownership, location, condition, replacement value and insurance linkage is partially documented or implemented, but coverage is inconsistent and not crisis-tested.</t>
  </si>
  <si>
    <t>Enterprise asset register covering ownership, location, condition, replacement value and insurance linkage is documented, owned, used in normal operations and supported by basic evidence or metrics.</t>
  </si>
  <si>
    <t>Enterprise asset register covering ownership, location, condition, replacement value and insurance linkage is measured, periodically reviewed, integrated with related processes and tested against relevant disruption scenarios.</t>
  </si>
  <si>
    <t>Enterprise asset register covering ownership, location, condition, replacement value and insurance linkage is optimized, continuously improved, automated where practical and demonstrably supports crisis resilience.</t>
  </si>
  <si>
    <t>Physical site loss; Natural disaster; War/security crisis</t>
  </si>
  <si>
    <t>PHYS-030</t>
  </si>
  <si>
    <t>How mature is the organization in managing asset lifecycle planning for acquisition, maintenance, renewal and disposal of critical equipment and facilities, including ownership, evidence, metrics, fallback procedures and crisis stress testing?</t>
  </si>
  <si>
    <t>This topic affects exposure to Physical site loss; Energy/utilities outage; Financial/liquidity crisis. It helps identify how disruption may impact operations, people, revenue, systems, legal exposure or recovery time.</t>
  </si>
  <si>
    <t>APQC PCF 10.3; ISO 55000; TPM</t>
  </si>
  <si>
    <t>No reliable evidence that asset lifecycle planning for acquisition, maintenance, renewal and disposal of critical equipment and facilities is defined, owned or managed.</t>
  </si>
  <si>
    <t>Asset lifecycle planning for acquisition, maintenance, renewal and disposal of critical equipment and facilities is handled informally and depends on individual knowledge or heroic effort.</t>
  </si>
  <si>
    <t>Asset lifecycle planning for acquisition, maintenance, renewal and disposal of critical equipment and facilities is partially documented or implemented, but coverage is inconsistent and not crisis-tested.</t>
  </si>
  <si>
    <t>Asset lifecycle planning for acquisition, maintenance, renewal and disposal of critical equipment and facilities is documented, owned, used in normal operations and supported by basic evidence or metrics.</t>
  </si>
  <si>
    <t>Asset lifecycle planning for acquisition, maintenance, renewal and disposal of critical equipment and facilities is measured, periodically reviewed, integrated with related processes and tested against relevant disruption scenarios.</t>
  </si>
  <si>
    <t>Asset lifecycle planning for acquisition, maintenance, renewal and disposal of critical equipment and facilities is optimized, continuously improved, automated where practical and demonstrably supports crisis resilience.</t>
  </si>
  <si>
    <t>Physical site loss; Energy/utilities outage; Financial/liquidity crisis</t>
  </si>
  <si>
    <t>PHYS-031</t>
  </si>
  <si>
    <t>How mature is the organization in managing property and lease portfolio management with obligations, expiry dates, exit options and flexibility, including ownership, evidence, metrics, fallback procedures and crisis stress testing?</t>
  </si>
  <si>
    <t>This topic affects exposure to Physical site loss; Financial/liquidity crisis; War/security crisis. It helps identify how disruption may impact operations, people, revenue, systems, legal exposure or recovery time.</t>
  </si>
  <si>
    <t>APQC PCF 10.1; IFRS 16; ISO 22301</t>
  </si>
  <si>
    <t>No reliable evidence that property and lease portfolio management with obligations, expiry dates, exit options and flexibility is defined, owned or managed.</t>
  </si>
  <si>
    <t>Property and lease portfolio management with obligations, expiry dates, exit options and flexibility is handled informally and depends on individual knowledge or heroic effort.</t>
  </si>
  <si>
    <t>Property and lease portfolio management with obligations, expiry dates, exit options and flexibility is partially documented or implemented, but coverage is inconsistent and not crisis-tested.</t>
  </si>
  <si>
    <t>Property and lease portfolio management with obligations, expiry dates, exit options and flexibility is documented, owned, used in normal operations and supported by basic evidence or metrics.</t>
  </si>
  <si>
    <t>Property and lease portfolio management with obligations, expiry dates, exit options and flexibility is measured, periodically reviewed, integrated with related processes and tested against relevant disruption scenarios.</t>
  </si>
  <si>
    <t>Property and lease portfolio management with obligations, expiry dates, exit options and flexibility is optimized, continuously improved, automated where practical and demonstrably supports crisis resilience.</t>
  </si>
  <si>
    <t>Physical site loss; Financial/liquidity crisis; War/security crisis</t>
  </si>
  <si>
    <t>Delivery Ops</t>
  </si>
  <si>
    <t>DELI-001</t>
  </si>
  <si>
    <t>Delivery governance</t>
  </si>
  <si>
    <t>How mature is the organization in managing documented delivery operating model across functions, teams, sites, vendors and customer interfaces, including ownership, evidence, metrics, fallback procedures and crisis stress testing?</t>
  </si>
  <si>
    <t>This topic affects exposure to Delivery disruption; Customer impact; Workforce disruption. It helps identify how disruption may impact operations, people, revenue, systems, legal exposure or recovery time.</t>
  </si>
  <si>
    <t>ISO 9001; ISO 22301; ITIL 4; Lean; Six Sigma; APQC; service management best practices</t>
  </si>
  <si>
    <t>Policy/SOP; owner/RACI; system report; dashboard; contracts; test records; incident history; interview evidence related to documented delivery operating model across functions, teams, sites, vendors and customer interfaces.</t>
  </si>
  <si>
    <t>Delivery disruption; Customer impact; Workforce disruption</t>
  </si>
  <si>
    <t>DELI-002</t>
  </si>
  <si>
    <t>How mature is the organization in managing critical delivery processes ranked by customer, revenue, safety and contractual impact, including ownership, evidence, metrics, fallback procedures and crisis stress testing?</t>
  </si>
  <si>
    <t>Policy/SOP; owner/RACI; system report; dashboard; contracts; test records; incident history; interview evidence related to critical delivery processes ranked by customer, revenue, safety and contractual impact.</t>
  </si>
  <si>
    <t>Capacity and continuity</t>
  </si>
  <si>
    <t>DELI-003</t>
  </si>
  <si>
    <t>How mature is the organization in managing SLA and OLA management with owners, escalation rules and customer communication, including ownership, evidence, metrics, fallback procedures and crisis stress testing?</t>
  </si>
  <si>
    <t>Policy/SOP; owner/RACI; system report; dashboard; contracts; test records; incident history; interview evidence related to SLA and OLA management with owners, escalation rules and customer communication.</t>
  </si>
  <si>
    <t>No reliable evidence that sla and ola management with owners, escalation rules and customer communication is defined, owned or managed.</t>
  </si>
  <si>
    <t>SLA and OLA management with owners, escalation rules and customer communication is handled informally and depends on individual knowledge or heroic effort.</t>
  </si>
  <si>
    <t>SLA and OLA management with owners, escalation rules and customer communication is partially documented or implemented, but coverage is inconsistent and not crisis-tested.</t>
  </si>
  <si>
    <t>SLA and OLA management with owners, escalation rules and customer communication is documented, owned, used in normal operations and supported by basic evidence or metrics.</t>
  </si>
  <si>
    <t>SLA and OLA management with owners, escalation rules and customer communication is measured, periodically reviewed, integrated with related processes and tested against relevant disruption scenarios.</t>
  </si>
  <si>
    <t>SLA and OLA management with owners, escalation rules and customer communication is optimized, continuously improved, automated where practical and demonstrably supports crisis resilience.</t>
  </si>
  <si>
    <t>Process control</t>
  </si>
  <si>
    <t>DELI-004</t>
  </si>
  <si>
    <t>How mature is the organization in managing operational incident link to delivery impact, customer communication and corrective action, including ownership, evidence, metrics, fallback procedures and crisis stress testing?</t>
  </si>
  <si>
    <t>Policy/SOP; owner/RACI; system report; dashboard; contracts; test records; incident history; interview evidence related to operational incident link to delivery impact, customer communication and corrective action.</t>
  </si>
  <si>
    <t>Operational visibility</t>
  </si>
  <si>
    <t>DELI-005</t>
  </si>
  <si>
    <t>How mature is the organization in managing customer prioritization rules during capacity constraints, including ownership, evidence, metrics, fallback procedures and crisis stress testing?</t>
  </si>
  <si>
    <t>Policy/SOP; owner/RACI; system report; dashboard; contracts; test records; incident history; interview evidence related to customer prioritization rules during capacity constraints.</t>
  </si>
  <si>
    <t>No reliable evidence that customer prioritization rules during capacity constraints is defined, owned or managed.</t>
  </si>
  <si>
    <t>Customer prioritization rules during capacity constraints is handled informally and depends on individual knowledge or heroic effort.</t>
  </si>
  <si>
    <t>Customer prioritization rules during capacity constraints is partially documented or implemented, but coverage is inconsistent and not crisis-tested.</t>
  </si>
  <si>
    <t>Customer prioritization rules during capacity constraints is documented, owned, used in normal operations and supported by basic evidence or metrics.</t>
  </si>
  <si>
    <t>Customer prioritization rules during capacity constraints is measured, periodically reviewed, integrated with related processes and tested against relevant disruption scenarios.</t>
  </si>
  <si>
    <t>Customer prioritization rules during capacity constraints is optimized, continuously improved, automated where practical and demonstrably supports crisis resilience.</t>
  </si>
  <si>
    <t>DELI-006</t>
  </si>
  <si>
    <t>How mature is the organization in managing delivery transparency to customers during delays, incidents or disruption, including ownership, evidence, metrics, fallback procedures and crisis stress testing?</t>
  </si>
  <si>
    <t>Policy/SOP; owner/RACI; system report; dashboard; contracts; test records; incident history; interview evidence related to delivery transparency to customers during delays, incidents or disruption.</t>
  </si>
  <si>
    <t>DELI-007</t>
  </si>
  <si>
    <t>How mature is the organization in managing capacity planning for people, equipment, production lines, cloud resources, warehouses and suppliers, including ownership, evidence, metrics, fallback procedures and crisis stress testing?</t>
  </si>
  <si>
    <t>Policy/SOP; owner/RACI; system report; dashboard; contracts; test records; incident history; interview evidence related to capacity planning for people, equipment, production lines, cloud resources, warehouses and suppliers.</t>
  </si>
  <si>
    <t>DELI-008</t>
  </si>
  <si>
    <t>How mature is the organization in managing surge capacity for demand spikes, backlog recovery and emergency orders, including ownership, evidence, metrics, fallback procedures and crisis stress testing?</t>
  </si>
  <si>
    <t>Policy/SOP; owner/RACI; system report; dashboard; contracts; test records; incident history; interview evidence related to surge capacity for demand spikes, backlog recovery and emergency orders.</t>
  </si>
  <si>
    <t>DELI-009</t>
  </si>
  <si>
    <t>How mature is the organization in managing minimum viable operating model for severe constraints, including ownership, evidence, metrics, fallback procedures and crisis stress testing?</t>
  </si>
  <si>
    <t>Policy/SOP; owner/RACI; system report; dashboard; contracts; test records; incident history; interview evidence related to minimum viable operating model for severe constraints.</t>
  </si>
  <si>
    <t>No reliable evidence that minimum viable operating model for severe constraints is defined, owned or managed.</t>
  </si>
  <si>
    <t>Minimum viable operating model for severe constraints is handled informally and depends on individual knowledge or heroic effort.</t>
  </si>
  <si>
    <t>Minimum viable operating model for severe constraints is partially documented or implemented, but coverage is inconsistent and not crisis-tested.</t>
  </si>
  <si>
    <t>Minimum viable operating model for severe constraints is documented, owned, used in normal operations and supported by basic evidence or metrics.</t>
  </si>
  <si>
    <t>Minimum viable operating model for severe constraints is measured, periodically reviewed, integrated with related processes and tested against relevant disruption scenarios.</t>
  </si>
  <si>
    <t>Minimum viable operating model for severe constraints is optimized, continuously improved, automated where practical and demonstrably supports crisis resilience.</t>
  </si>
  <si>
    <t>DELI-010</t>
  </si>
  <si>
    <t>How mature is the organization in managing cross-site or cross-team work transfer if one location or team fails, including ownership, evidence, metrics, fallback procedures and crisis stress testing?</t>
  </si>
  <si>
    <t>Policy/SOP; owner/RACI; system report; dashboard; contracts; test records; incident history; interview evidence related to cross-site or cross-team work transfer if one location or team fails.</t>
  </si>
  <si>
    <t>DELI-011</t>
  </si>
  <si>
    <t>How mature is the organization in managing recovery sequencing for processes, systems, teams, sites and customers, including ownership, evidence, metrics, fallback procedures and crisis stress testing?</t>
  </si>
  <si>
    <t>Policy/SOP; owner/RACI; system report; dashboard; contracts; test records; incident history; interview evidence related to recovery sequencing for processes, systems, teams, sites and customers.</t>
  </si>
  <si>
    <t>DELI-012</t>
  </si>
  <si>
    <t>How mature is the organization in managing delivery tabletop exercises with absent people, unavailable systems or supplier failure, including ownership, evidence, metrics, fallback procedures and crisis stress testing?</t>
  </si>
  <si>
    <t>Policy/SOP; owner/RACI; system report; dashboard; contracts; test records; incident history; interview evidence related to delivery tabletop exercises with absent people, unavailable systems or supplier failure.</t>
  </si>
  <si>
    <t>DELI-013</t>
  </si>
  <si>
    <t>How mature is the organization in managing SOP documentation for critical delivery activities, including ownership, evidence, metrics, fallback procedures and crisis stress testing?</t>
  </si>
  <si>
    <t>Policy/SOP; owner/RACI; system report; dashboard; contracts; test records; incident history; interview evidence related to SOP documentation for critical delivery activities.</t>
  </si>
  <si>
    <t>DELI-014</t>
  </si>
  <si>
    <t>How mature is the organization in managing handover procedures between shifts, teams, vendors and customers, including ownership, evidence, metrics, fallback procedures and crisis stress testing?</t>
  </si>
  <si>
    <t>Policy/SOP; owner/RACI; system report; dashboard; contracts; test records; incident history; interview evidence related to handover procedures between shifts, teams, vendors and customers.</t>
  </si>
  <si>
    <t>No reliable evidence that handover procedures between shifts, teams, vendors and customers is defined, owned or managed.</t>
  </si>
  <si>
    <t>Handover procedures between shifts, teams, vendors and customers is handled informally and depends on individual knowledge or heroic effort.</t>
  </si>
  <si>
    <t>Handover procedures between shifts, teams, vendors and customers is partially documented or implemented, but coverage is inconsistent and not crisis-tested.</t>
  </si>
  <si>
    <t>Handover procedures between shifts, teams, vendors and customers is documented, owned, used in normal operations and supported by basic evidence or metrics.</t>
  </si>
  <si>
    <t>Handover procedures between shifts, teams, vendors and customers is measured, periodically reviewed, integrated with related processes and tested against relevant disruption scenarios.</t>
  </si>
  <si>
    <t>Handover procedures between shifts, teams, vendors and customers is optimized, continuously improved, automated where practical and demonstrably supports crisis resilience.</t>
  </si>
  <si>
    <t>DELI-015</t>
  </si>
  <si>
    <t>How mature is the organization in managing quality gates across delivery, production, release or service lifecycle, including ownership, evidence, metrics, fallback procedures and crisis stress testing?</t>
  </si>
  <si>
    <t>Policy/SOP; owner/RACI; system report; dashboard; contracts; test records; incident history; interview evidence related to quality gates across delivery, production, release or service lifecycle.</t>
  </si>
  <si>
    <t>DELI-016</t>
  </si>
  <si>
    <t>How mature is the organization in managing change control with risk, customer impact, rollback and communication, including ownership, evidence, metrics, fallback procedures and crisis stress testing?</t>
  </si>
  <si>
    <t>Policy/SOP; owner/RACI; system report; dashboard; contracts; test records; incident history; interview evidence related to change control with risk, customer impact, rollback and communication.</t>
  </si>
  <si>
    <t>No reliable evidence that change control with risk, customer impact, rollback and communication is defined, owned or managed.</t>
  </si>
  <si>
    <t>Change control with risk, customer impact, rollback and communication is handled informally and depends on individual knowledge or heroic effort.</t>
  </si>
  <si>
    <t>Change control with risk, customer impact, rollback and communication is partially documented or implemented, but coverage is inconsistent and not crisis-tested.</t>
  </si>
  <si>
    <t>Change control with risk, customer impact, rollback and communication is documented, owned, used in normal operations and supported by basic evidence or metrics.</t>
  </si>
  <si>
    <t>Change control with risk, customer impact, rollback and communication is measured, periodically reviewed, integrated with related processes and tested against relevant disruption scenarios.</t>
  </si>
  <si>
    <t>Change control with risk, customer impact, rollback and communication is optimized, continuously improved, automated where practical and demonstrably supports crisis resilience.</t>
  </si>
  <si>
    <t>DELI-017</t>
  </si>
  <si>
    <t>How mature is the organization in managing manual workarounds if delivery systems are unavailable, including ownership, evidence, metrics, fallback procedures and crisis stress testing?</t>
  </si>
  <si>
    <t>Policy/SOP; owner/RACI; system report; dashboard; contracts; test records; incident history; interview evidence related to manual workarounds if delivery systems are unavailable.</t>
  </si>
  <si>
    <t>No reliable evidence that manual workarounds if delivery systems are unavailable is defined, owned or managed.</t>
  </si>
  <si>
    <t>Manual workarounds if delivery systems are unavailable is handled informally and depends on individual knowledge or heroic effort.</t>
  </si>
  <si>
    <t>Manual workarounds if delivery systems are unavailable is partially documented or implemented, but coverage is inconsistent and not crisis-tested.</t>
  </si>
  <si>
    <t>Manual workarounds if delivery systems are unavailable is documented, owned, used in normal operations and supported by basic evidence or metrics.</t>
  </si>
  <si>
    <t>Manual workarounds if delivery systems are unavailable is measured, periodically reviewed, integrated with related processes and tested against relevant disruption scenarios.</t>
  </si>
  <si>
    <t>Manual workarounds if delivery systems are unavailable is optimized, continuously improved, automated where practical and demonstrably supports crisis resilience.</t>
  </si>
  <si>
    <t>DELI-018</t>
  </si>
  <si>
    <t>How mature is the organization in managing root cause analysis for recurring delivery failures, including ownership, evidence, metrics, fallback procedures and crisis stress testing?</t>
  </si>
  <si>
    <t>Policy/SOP; owner/RACI; system report; dashboard; contracts; test records; incident history; interview evidence related to root cause analysis for recurring delivery failures.</t>
  </si>
  <si>
    <t>No reliable evidence that root cause analysis for recurring delivery failures is defined, owned or managed.</t>
  </si>
  <si>
    <t>Root cause analysis for recurring delivery failures is handled informally and depends on individual knowledge or heroic effort.</t>
  </si>
  <si>
    <t>Root cause analysis for recurring delivery failures is partially documented or implemented, but coverage is inconsistent and not crisis-tested.</t>
  </si>
  <si>
    <t>Root cause analysis for recurring delivery failures is documented, owned, used in normal operations and supported by basic evidence or metrics.</t>
  </si>
  <si>
    <t>Root cause analysis for recurring delivery failures is measured, periodically reviewed, integrated with related processes and tested against relevant disruption scenarios.</t>
  </si>
  <si>
    <t>Root cause analysis for recurring delivery failures is optimized, continuously improved, automated where practical and demonstrably supports crisis resilience.</t>
  </si>
  <si>
    <t>DELI-019</t>
  </si>
  <si>
    <t>How mature is the organization in managing real-time visibility into orders, backlog, incidents, production, logistics and service performance, including ownership, evidence, metrics, fallback procedures and crisis stress testing?</t>
  </si>
  <si>
    <t>Policy/SOP; owner/RACI; system report; dashboard; contracts; test records; incident history; interview evidence related to real-time visibility into orders, backlog, incidents, production, logistics and service performance.</t>
  </si>
  <si>
    <t>DELI-020</t>
  </si>
  <si>
    <t>How mature is the organization in managing operational KPIs for delivery quality, timeliness, throughput, cost, incidents and customer impact, including ownership, evidence, metrics, fallback procedures and crisis stress testing?</t>
  </si>
  <si>
    <t>Policy/SOP; owner/RACI; system report; dashboard; contracts; test records; incident history; interview evidence related to operational KPIs for delivery quality, timeliness, throughput, cost, incidents and customer impact.</t>
  </si>
  <si>
    <t>DELI-021</t>
  </si>
  <si>
    <t>How mature is the organization in managing backlog aging analysis linked to customer risk, revenue risk and operational constraints, including ownership, evidence, metrics, fallback procedures and crisis stress testing?</t>
  </si>
  <si>
    <t>Policy/SOP; owner/RACI; system report; dashboard; contracts; test records; incident history; interview evidence related to backlog aging analysis linked to customer risk, revenue risk and operational constraints.</t>
  </si>
  <si>
    <t>No reliable evidence that backlog aging analysis linked to customer risk, revenue risk and operational constraints is defined, owned or managed.</t>
  </si>
  <si>
    <t>Backlog aging analysis linked to customer risk, revenue risk and operational constraints is handled informally and depends on individual knowledge or heroic effort.</t>
  </si>
  <si>
    <t>Backlog aging analysis linked to customer risk, revenue risk and operational constraints is partially documented or implemented, but coverage is inconsistent and not crisis-tested.</t>
  </si>
  <si>
    <t>Backlog aging analysis linked to customer risk, revenue risk and operational constraints is documented, owned, used in normal operations and supported by basic evidence or metrics.</t>
  </si>
  <si>
    <t>Backlog aging analysis linked to customer risk, revenue risk and operational constraints is measured, periodically reviewed, integrated with related processes and tested against relevant disruption scenarios.</t>
  </si>
  <si>
    <t>Backlog aging analysis linked to customer risk, revenue risk and operational constraints is optimized, continuously improved, automated where practical and demonstrably supports crisis resilience.</t>
  </si>
  <si>
    <t>DELI-022</t>
  </si>
  <si>
    <t>How mature is the organization in managing customer-specific runbooks for critical accounts, including ownership, evidence, metrics, fallback procedures and crisis stress testing?</t>
  </si>
  <si>
    <t>Policy/SOP; owner/RACI; system report; dashboard; contracts; test records; incident history; interview evidence related to customer-specific runbooks for critical accounts.</t>
  </si>
  <si>
    <t>DELI-023</t>
  </si>
  <si>
    <t>How mature is the organization in managing critical tools, equipment and licenses required for delivery, including ownership, evidence, metrics, fallback procedures and crisis stress testing?</t>
  </si>
  <si>
    <t>Policy/SOP; owner/RACI; system report; dashboard; contracts; test records; incident history; interview evidence related to critical tools, equipment and licenses required for delivery.</t>
  </si>
  <si>
    <t>DELI-024</t>
  </si>
  <si>
    <t>How mature is the organization in managing geographic delivery exposure by customer, supplier, team and site location, including ownership, evidence, metrics, fallback procedures and crisis stress testing?</t>
  </si>
  <si>
    <t>Policy/SOP; owner/RACI; system report; dashboard; contracts; test records; incident history; interview evidence related to geographic delivery exposure by customer, supplier, team and site location.</t>
  </si>
  <si>
    <t>Supply Chain</t>
  </si>
  <si>
    <t>SUPP-001</t>
  </si>
  <si>
    <t>Supply chain design</t>
  </si>
  <si>
    <t>How mature is the organization in managing end-to-end supply chain map from raw materials and suppliers to production, logistics, delivery and customers, including ownership, evidence, metrics, fallback procedures and crisis stress testing?</t>
  </si>
  <si>
    <t>This topic affects exposure to Supplier/logistics disruption; Manufacturing disruption; Demand shock. It helps identify how disruption may impact operations, people, revenue, systems, legal exposure or recovery time.</t>
  </si>
  <si>
    <t>ISO 22301; ISO 20400; ISO 28000; SCOR Digital Standard; S&amp;OP/IBP; APICS/ASCM</t>
  </si>
  <si>
    <t>Policy/SOP; owner/RACI; system report; dashboard; contracts; test records; incident history; interview evidence related to end-to-end supply chain map from raw materials and suppliers to production, logistics, delivery and customers.</t>
  </si>
  <si>
    <t>Supplier/logistics disruption; Manufacturing disruption; Demand shock</t>
  </si>
  <si>
    <t>SUPP-002</t>
  </si>
  <si>
    <t>How mature is the organization in managing visibility beyond tier-1 suppliers for critical materials, components and services, including ownership, evidence, metrics, fallback procedures and crisis stress testing?</t>
  </si>
  <si>
    <t>Policy/SOP; owner/RACI; system report; dashboard; contracts; test records; incident history; interview evidence related to visibility beyond tier-1 suppliers for critical materials, components and services.</t>
  </si>
  <si>
    <t>Logistics</t>
  </si>
  <si>
    <t>SUPP-003</t>
  </si>
  <si>
    <t>How mature is the organization in managing supplier criticality scoring by business impact, availability, substitution, lead time and geography, including ownership, evidence, metrics, fallback procedures and crisis stress testing?</t>
  </si>
  <si>
    <t>Policy/SOP; owner/RACI; system report; dashboard; contracts; test records; incident history; interview evidence related to supplier criticality scoring by business impact, availability, substitution, lead time and geography.</t>
  </si>
  <si>
    <t>Inventory and planning</t>
  </si>
  <si>
    <t>SUPP-004</t>
  </si>
  <si>
    <t>How mature is the organization in managing supplier concentration by spend, dependency, category, geography and product line, including ownership, evidence, metrics, fallback procedures and crisis stress testing?</t>
  </si>
  <si>
    <t>Policy/SOP; owner/RACI; system report; dashboard; contracts; test records; incident history; interview evidence related to supplier concentration by spend, dependency, category, geography and product line.</t>
  </si>
  <si>
    <t>Technology and risk</t>
  </si>
  <si>
    <t>SUPP-005</t>
  </si>
  <si>
    <t>How mature is the organization in managing critical supplier continuity plans, recovery times and incident notification commitments, including ownership, evidence, metrics, fallback procedures and crisis stress testing?</t>
  </si>
  <si>
    <t>Policy/SOP; owner/RACI; system report; dashboard; contracts; test records; incident history; interview evidence related to critical supplier continuity plans, recovery times and incident notification commitments.</t>
  </si>
  <si>
    <t>Orchestration and resilience</t>
  </si>
  <si>
    <t>SUPP-006</t>
  </si>
  <si>
    <t>How mature is the organization in managing pre-qualified alternative suppliers for critical categories, including ownership, evidence, metrics, fallback procedures and crisis stress testing?</t>
  </si>
  <si>
    <t>Policy/SOP; owner/RACI; system report; dashboard; contracts; test records; incident history; interview evidence related to pre-qualified alternative suppliers for critical categories.</t>
  </si>
  <si>
    <t>SUPP-007</t>
  </si>
  <si>
    <t>How mature is the organization in managing critical logistics routes, carriers, ports, borders, warehouses and transit risks, including ownership, evidence, metrics, fallback procedures and crisis stress testing?</t>
  </si>
  <si>
    <t>Policy/SOP; owner/RACI; system report; dashboard; contracts; test records; incident history; interview evidence related to critical logistics routes, carriers, ports, borders, warehouses and transit risks.</t>
  </si>
  <si>
    <t>SUPP-008</t>
  </si>
  <si>
    <t>How mature is the organization in managing alternative carriers, routes and warehouses for disruption scenarios, including ownership, evidence, metrics, fallback procedures and crisis stress testing?</t>
  </si>
  <si>
    <t>Policy/SOP; owner/RACI; system report; dashboard; contracts; test records; incident history; interview evidence related to alternative carriers, routes and warehouses for disruption scenarios.</t>
  </si>
  <si>
    <t>No reliable evidence that alternative carriers, routes and warehouses for disruption scenarios is defined, owned or managed.</t>
  </si>
  <si>
    <t>Alternative carriers, routes and warehouses for disruption scenarios is handled informally and depends on individual knowledge or heroic effort.</t>
  </si>
  <si>
    <t>Alternative carriers, routes and warehouses for disruption scenarios is partially documented or implemented, but coverage is inconsistent and not crisis-tested.</t>
  </si>
  <si>
    <t>Alternative carriers, routes and warehouses for disruption scenarios is documented, owned, used in normal operations and supported by basic evidence or metrics.</t>
  </si>
  <si>
    <t>Alternative carriers, routes and warehouses for disruption scenarios is measured, periodically reviewed, integrated with related processes and tested against relevant disruption scenarios.</t>
  </si>
  <si>
    <t>Alternative carriers, routes and warehouses for disruption scenarios is optimized, continuously improved, automated where practical and demonstrably supports crisis resilience.</t>
  </si>
  <si>
    <t>SUPP-009</t>
  </si>
  <si>
    <t>How mature is the organization in managing transport capacity for peak demand or disruption periods, including ownership, evidence, metrics, fallback procedures and crisis stress testing?</t>
  </si>
  <si>
    <t>Policy/SOP; owner/RACI; system report; dashboard; contracts; test records; incident history; interview evidence related to transport capacity for peak demand or disruption periods.</t>
  </si>
  <si>
    <t>No reliable evidence that transport capacity for peak demand or disruption periods is defined, owned or managed.</t>
  </si>
  <si>
    <t>Transport capacity for peak demand or disruption periods is handled informally and depends on individual knowledge or heroic effort.</t>
  </si>
  <si>
    <t>Transport capacity for peak demand or disruption periods is partially documented or implemented, but coverage is inconsistent and not crisis-tested.</t>
  </si>
  <si>
    <t>Transport capacity for peak demand or disruption periods is documented, owned, used in normal operations and supported by basic evidence or metrics.</t>
  </si>
  <si>
    <t>Transport capacity for peak demand or disruption periods is measured, periodically reviewed, integrated with related processes and tested against relevant disruption scenarios.</t>
  </si>
  <si>
    <t>Transport capacity for peak demand or disruption periods is optimized, continuously improved, automated where practical and demonstrably supports crisis resilience.</t>
  </si>
  <si>
    <t>SUPP-010</t>
  </si>
  <si>
    <t>How mature is the organization in managing shipment tracking and reliable ETA communication for critical shipments, including ownership, evidence, metrics, fallback procedures and crisis stress testing?</t>
  </si>
  <si>
    <t>Policy/SOP; owner/RACI; system report; dashboard; contracts; test records; incident history; interview evidence related to shipment tracking and reliable ETA communication for critical shipments.</t>
  </si>
  <si>
    <t>SUPP-011</t>
  </si>
  <si>
    <t>How mature is the organization in managing customs, import/export, sanctions and trade documentation controls, including ownership, evidence, metrics, fallback procedures and crisis stress testing?</t>
  </si>
  <si>
    <t>Policy/SOP; owner/RACI; system report; dashboard; contracts; test records; incident history; interview evidence related to customs, import/export, sanctions and trade documentation controls.</t>
  </si>
  <si>
    <t>No reliable evidence that customs, import/export, sanctions and trade documentation controls is defined, owned or managed.</t>
  </si>
  <si>
    <t>Customs, import/export, sanctions and trade documentation controls is handled informally and depends on individual knowledge or heroic effort.</t>
  </si>
  <si>
    <t>Customs, import/export, sanctions and trade documentation controls is partially documented or implemented, but coverage is inconsistent and not crisis-tested.</t>
  </si>
  <si>
    <t>Customs, import/export, sanctions and trade documentation controls is documented, owned, used in normal operations and supported by basic evidence or metrics.</t>
  </si>
  <si>
    <t>Customs, import/export, sanctions and trade documentation controls is measured, periodically reviewed, integrated with related processes and tested against relevant disruption scenarios.</t>
  </si>
  <si>
    <t>Customs, import/export, sanctions and trade documentation controls is optimized, continuously improved, automated where practical and demonstrably supports crisis resilience.</t>
  </si>
  <si>
    <t>SUPP-012</t>
  </si>
  <si>
    <t>How mature is the organization in managing Incoterms, insurance, liability and delivery obligations for critical flows, including ownership, evidence, metrics, fallback procedures and crisis stress testing?</t>
  </si>
  <si>
    <t>Policy/SOP; owner/RACI; system report; dashboard; contracts; test records; incident history; interview evidence related to Incoterms, insurance, liability and delivery obligations for critical flows.</t>
  </si>
  <si>
    <t>SUPP-013</t>
  </si>
  <si>
    <t>How mature is the organization in managing safety stock, reorder points, min/max levels and buffer rules by criticality and lead time, including ownership, evidence, metrics, fallback procedures and crisis stress testing?</t>
  </si>
  <si>
    <t>Policy/SOP; owner/RACI; system report; dashboard; contracts; test records; incident history; interview evidence related to safety stock, reorder points, min/max levels and buffer rules by criticality and lead time.</t>
  </si>
  <si>
    <t>SUPP-014</t>
  </si>
  <si>
    <t>How mature is the organization in managing inventory visibility by SKU, location, status, shelf life, batch and ownership, including ownership, evidence, metrics, fallback procedures and crisis stress testing?</t>
  </si>
  <si>
    <t>Policy/SOP; owner/RACI; system report; dashboard; contracts; test records; incident history; interview evidence related to inventory visibility by SKU, location, status, shelf life, batch and ownership.</t>
  </si>
  <si>
    <t>No reliable evidence that inventory visibility by sku, location, status, shelf life, batch and ownership is defined, owned or managed.</t>
  </si>
  <si>
    <t>Inventory visibility by SKU, location, status, shelf life, batch and ownership is handled informally and depends on individual knowledge or heroic effort.</t>
  </si>
  <si>
    <t>Inventory visibility by SKU, location, status, shelf life, batch and ownership is partially documented or implemented, but coverage is inconsistent and not crisis-tested.</t>
  </si>
  <si>
    <t>Inventory visibility by SKU, location, status, shelf life, batch and ownership is documented, owned, used in normal operations and supported by basic evidence or metrics.</t>
  </si>
  <si>
    <t>Inventory visibility by SKU, location, status, shelf life, batch and ownership is measured, periodically reviewed, integrated with related processes and tested against relevant disruption scenarios.</t>
  </si>
  <si>
    <t>Inventory visibility by SKU, location, status, shelf life, batch and ownership is optimized, continuously improved, automated where practical and demonstrably supports crisis resilience.</t>
  </si>
  <si>
    <t>SUPP-015</t>
  </si>
  <si>
    <t>How mature is the organization in managing slow-moving, obsolete or stagnant inventory analysis linked to sales and procurement decisions, including ownership, evidence, metrics, fallback procedures and crisis stress testing?</t>
  </si>
  <si>
    <t>Policy/SOP; owner/RACI; system report; dashboard; contracts; test records; incident history; interview evidence related to slow-moving, obsolete or stagnant inventory analysis linked to sales and procurement decisions.</t>
  </si>
  <si>
    <t>No reliable evidence that slow-moving, obsolete or stagnant inventory analysis linked to sales and procurement decisions is defined, owned or managed.</t>
  </si>
  <si>
    <t>Slow-moving, obsolete or stagnant inventory analysis linked to sales and procurement decisions is handled informally and depends on individual knowledge or heroic effort.</t>
  </si>
  <si>
    <t>Slow-moving, obsolete or stagnant inventory analysis linked to sales and procurement decisions is partially documented or implemented, but coverage is inconsistent and not crisis-tested.</t>
  </si>
  <si>
    <t>Slow-moving, obsolete or stagnant inventory analysis linked to sales and procurement decisions is documented, owned, used in normal operations and supported by basic evidence or metrics.</t>
  </si>
  <si>
    <t>Slow-moving, obsolete or stagnant inventory analysis linked to sales and procurement decisions is measured, periodically reviewed, integrated with related processes and tested against relevant disruption scenarios.</t>
  </si>
  <si>
    <t>Slow-moving, obsolete or stagnant inventory analysis linked to sales and procurement decisions is optimized, continuously improved, automated where practical and demonstrably supports crisis resilience.</t>
  </si>
  <si>
    <t>SUPP-016</t>
  </si>
  <si>
    <t>How mature is the organization in managing critical materials and spare parts buffers sized using risk, demand variability and supplier lead time, including ownership, evidence, metrics, fallback procedures and crisis stress testing?</t>
  </si>
  <si>
    <t>Policy/SOP; owner/RACI; system report; dashboard; contracts; test records; incident history; interview evidence related to critical materials and spare parts buffers sized using risk, demand variability and supplier lead time.</t>
  </si>
  <si>
    <t>SUPP-017</t>
  </si>
  <si>
    <t>How mature is the organization in managing demand forecast integrated with sales pipeline, history, seasonality and crisis scenarios, including ownership, evidence, metrics, fallback procedures and crisis stress testing?</t>
  </si>
  <si>
    <t>Policy/SOP; owner/RACI; system report; dashboard; contracts; test records; incident history; interview evidence related to demand forecast integrated with sales pipeline, history, seasonality and crisis scenarios.</t>
  </si>
  <si>
    <t>SUPP-018</t>
  </si>
  <si>
    <t>How mature is the organization in managing S&amp;OP or IBP process connecting sales, finance, production, procurement and logistics, including ownership, evidence, metrics, fallback procedures and crisis stress testing?</t>
  </si>
  <si>
    <t>Policy/SOP; owner/RACI; system report; dashboard; contracts; test records; incident history; interview evidence related to S&amp;OP or IBP process connecting sales, finance, production, procurement and logistics.</t>
  </si>
  <si>
    <t>SUPP-019</t>
  </si>
  <si>
    <t>How mature is the organization in managing planning cycle acceleration during crisis without losing data quality, including ownership, evidence, metrics, fallback procedures and crisis stress testing?</t>
  </si>
  <si>
    <t>Policy/SOP; owner/RACI; system report; dashboard; contracts; test records; incident history; interview evidence related to planning cycle acceleration during crisis without losing data quality.</t>
  </si>
  <si>
    <t>SUPP-020</t>
  </si>
  <si>
    <t>How mature is the organization in managing ERP, MRP, WMS, TMS and supplier portal integration and resilience, including ownership, evidence, metrics, fallback procedures and crisis stress testing?</t>
  </si>
  <si>
    <t>Policy/SOP; owner/RACI; system report; dashboard; contracts; test records; incident history; interview evidence related to ERP, MRP, WMS, TMS and supplier portal integration and resilience.</t>
  </si>
  <si>
    <t>SUPP-021</t>
  </si>
  <si>
    <t>How mature is the organization in managing supply chain early warning monitoring for supplier, geopolitical, weather, port, customs and price risks, including ownership, evidence, metrics, fallback procedures and crisis stress testing?</t>
  </si>
  <si>
    <t>Policy/SOP; owner/RACI; system report; dashboard; contracts; test records; incident history; interview evidence related to supply chain early warning monitoring for supplier, geopolitical, weather, port, customs and price risks.</t>
  </si>
  <si>
    <t>SUPP-022</t>
  </si>
  <si>
    <t>How mature is the organization in managing supply cost volatility monitoring for freight, energy, commodities and currency, including ownership, evidence, metrics, fallback procedures and crisis stress testing?</t>
  </si>
  <si>
    <t>Policy/SOP; owner/RACI; system report; dashboard; contracts; test records; incident history; interview evidence related to supply cost volatility monitoring for freight, energy, commodities and currency.</t>
  </si>
  <si>
    <t>No reliable evidence that supply cost volatility monitoring for freight, energy, commodities and currency is defined, owned or managed.</t>
  </si>
  <si>
    <t>Supply cost volatility monitoring for freight, energy, commodities and currency is handled informally and depends on individual knowledge or heroic effort.</t>
  </si>
  <si>
    <t>Supply cost volatility monitoring for freight, energy, commodities and currency is partially documented or implemented, but coverage is inconsistent and not crisis-tested.</t>
  </si>
  <si>
    <t>Supply cost volatility monitoring for freight, energy, commodities and currency is documented, owned, used in normal operations and supported by basic evidence or metrics.</t>
  </si>
  <si>
    <t>Supply cost volatility monitoring for freight, energy, commodities and currency is measured, periodically reviewed, integrated with related processes and tested against relevant disruption scenarios.</t>
  </si>
  <si>
    <t>Supply cost volatility monitoring for freight, energy, commodities and currency is optimized, continuously improved, automated where practical and demonstrably supports crisis resilience.</t>
  </si>
  <si>
    <t>SUPP-023</t>
  </si>
  <si>
    <t>How mature is the organization in managing allocation rules when supply is insufficient to serve all customers, including ownership, evidence, metrics, fallback procedures and crisis stress testing?</t>
  </si>
  <si>
    <t>Policy/SOP; owner/RACI; system report; dashboard; contracts; test records; incident history; interview evidence related to allocation rules when supply is insufficient to serve all customers.</t>
  </si>
  <si>
    <t>No reliable evidence that allocation rules when supply is insufficient to serve all customers is defined, owned or managed.</t>
  </si>
  <si>
    <t>Allocation rules when supply is insufficient to serve all customers is handled informally and depends on individual knowledge or heroic effort.</t>
  </si>
  <si>
    <t>Allocation rules when supply is insufficient to serve all customers is partially documented or implemented, but coverage is inconsistent and not crisis-tested.</t>
  </si>
  <si>
    <t>Allocation rules when supply is insufficient to serve all customers is documented, owned, used in normal operations and supported by basic evidence or metrics.</t>
  </si>
  <si>
    <t>Allocation rules when supply is insufficient to serve all customers is measured, periodically reviewed, integrated with related processes and tested against relevant disruption scenarios.</t>
  </si>
  <si>
    <t>Allocation rules when supply is insufficient to serve all customers is optimized, continuously improved, automated where practical and demonstrably supports crisis resilience.</t>
  </si>
  <si>
    <t>SUPP-024</t>
  </si>
  <si>
    <t>How mature is the organization in managing SKU, supplier, BOM, lead-time and replenishment master data quality, including ownership, evidence, metrics, fallback procedures and crisis stress testing?</t>
  </si>
  <si>
    <t>Policy/SOP; owner/RACI; system report; dashboard; contracts; test records; incident history; interview evidence related to SKU, supplier, BOM, lead-time and replenishment master data quality.</t>
  </si>
  <si>
    <t>SUPP-025</t>
  </si>
  <si>
    <t>How mature is the organization in managing approved substitution rules for materials, components and suppliers, including ownership, evidence, metrics, fallback procedures and crisis stress testing?</t>
  </si>
  <si>
    <t>Policy/SOP; owner/RACI; system report; dashboard; contracts; test records; incident history; interview evidence related to approved substitution rules for materials, components and suppliers.</t>
  </si>
  <si>
    <t>SUPP-026</t>
  </si>
  <si>
    <t>How mature is the organization in managing supply chain strategy aligned with business strategy and reviewed against scenarios and market shifts, including ownership, evidence, metrics, fallback procedures and crisis stress testing?</t>
  </si>
  <si>
    <t>This topic affects exposure to Supplier/logistics disruption; Demand shock; Geopolitical risk. It helps identify how disruption may impact operations, people, revenue, systems, legal exposure or recovery time.</t>
  </si>
  <si>
    <t>SCOR DS OE1; APQC PCF 4.0</t>
  </si>
  <si>
    <t>No reliable evidence that supply chain strategy aligned with business strategy and reviewed against scenarios and market shifts is defined, owned or managed.</t>
  </si>
  <si>
    <t>Supply chain strategy aligned with business strategy and reviewed against scenarios and market shifts is handled informally and depends on individual knowledge or heroic effort.</t>
  </si>
  <si>
    <t>Supply chain strategy aligned with business strategy and reviewed against scenarios and market shifts is partially documented or implemented, but coverage is inconsistent and not crisis-tested.</t>
  </si>
  <si>
    <t>Supply chain strategy aligned with business strategy and reviewed against scenarios and market shifts is documented, owned, used in normal operations and supported by basic evidence or metrics.</t>
  </si>
  <si>
    <t>Supply chain strategy aligned with business strategy and reviewed against scenarios and market shifts is measured, periodically reviewed, integrated with related processes and tested against relevant disruption scenarios.</t>
  </si>
  <si>
    <t>Supply chain strategy aligned with business strategy and reviewed against scenarios and market shifts is optimized, continuously improved, automated where practical and demonstrably supports crisis resilience.</t>
  </si>
  <si>
    <t>Supplier/logistics disruption; Demand shock; Geopolitical risk</t>
  </si>
  <si>
    <t>SUPP-027</t>
  </si>
  <si>
    <t>How mature is the organization in managing supply chain risk and resilience management with time-to-recovery and time-to-survive analysis for critical nodes, including ownership, evidence, metrics, fallback procedures and crisis stress testing?</t>
  </si>
  <si>
    <t>This topic affects exposure to Supplier/logistics disruption; War/security crisis; Natural disaster. It helps identify how disruption may impact operations, people, revenue, systems, legal exposure or recovery time.</t>
  </si>
  <si>
    <t>SCOR DS OE10; ISO 28000; ISO 22301</t>
  </si>
  <si>
    <t>Supplier/logistics disruption; War/security crisis; Natural disaster</t>
  </si>
  <si>
    <t>SUPP-028</t>
  </si>
  <si>
    <t>How mature is the organization in managing supply chain agility measurement covering upside and downside flexibility and adaptability metrics, including ownership, evidence, metrics, fallback procedures and crisis stress testing?</t>
  </si>
  <si>
    <t>This topic affects exposure to Demand shock; Supplier/logistics disruption. It helps identify how disruption may impact operations, people, revenue, systems, legal exposure or recovery time.</t>
  </si>
  <si>
    <t>SCOR DS Agility (AG) metrics; APQC PCF 4.0</t>
  </si>
  <si>
    <t>No reliable evidence that supply chain agility measurement covering upside and downside flexibility and adaptability metrics is defined, owned or managed.</t>
  </si>
  <si>
    <t>Supply chain agility measurement covering upside and downside flexibility and adaptability metrics is handled informally and depends on individual knowledge or heroic effort.</t>
  </si>
  <si>
    <t>Supply chain agility measurement covering upside and downside flexibility and adaptability metrics is partially documented or implemented, but coverage is inconsistent and not crisis-tested.</t>
  </si>
  <si>
    <t>Supply chain agility measurement covering upside and downside flexibility and adaptability metrics is documented, owned, used in normal operations and supported by basic evidence or metrics.</t>
  </si>
  <si>
    <t>Supply chain agility measurement covering upside and downside flexibility and adaptability metrics is measured, periodically reviewed, integrated with related processes and tested against relevant disruption scenarios.</t>
  </si>
  <si>
    <t>Supply chain agility measurement covering upside and downside flexibility and adaptability metrics is optimized, continuously improved, automated where practical and demonstrably supports crisis resilience.</t>
  </si>
  <si>
    <t>Demand shock; Supplier/logistics disruption</t>
  </si>
  <si>
    <t>SUPP-029</t>
  </si>
  <si>
    <t>How mature is the organization in managing periodic supply network design review stress-testing nodes, routes and capacity against crisis scenarios, including ownership, evidence, metrics, fallback procedures and crisis stress testing?</t>
  </si>
  <si>
    <t>This topic affects exposure to Supplier/logistics disruption; Geopolitical risk; Natural disaster. It helps identify how disruption may impact operations, people, revenue, systems, legal exposure or recovery time.</t>
  </si>
  <si>
    <t>SCOR DS network design practices; ISO 22301</t>
  </si>
  <si>
    <t>Supplier/logistics disruption; Geopolitical risk; Natural disaster</t>
  </si>
  <si>
    <t>Manufacturing MES</t>
  </si>
  <si>
    <t>MANU-001</t>
  </si>
  <si>
    <t>Production footprint</t>
  </si>
  <si>
    <t>How mature is the organization in managing production footprint by plant, line, product family, capacity, workforce and crisis exposure, including ownership, evidence, metrics, fallback procedures and crisis stress testing?</t>
  </si>
  <si>
    <t>This topic affects exposure to Manufacturing disruption; Safety incident; Energy outage; Cyberattack. It helps identify how disruption may impact operations, people, revenue, systems, legal exposure or recovery time.</t>
  </si>
  <si>
    <t>ISO 9001; ISO 45001; ISA-95; IEC 62443; ISO 55001; Lean; Six Sigma; TPM; MES/MOM practices</t>
  </si>
  <si>
    <t>Policy/SOP; owner/RACI; system report; dashboard; contracts; test records; incident history; interview evidence related to production footprint by plant, line, product family, capacity, workforce and crisis exposure.</t>
  </si>
  <si>
    <t>Manufacturing disruption; Safety incident; Energy outage; Cyberattack</t>
  </si>
  <si>
    <t>MANU-002</t>
  </si>
  <si>
    <t>How mature is the organization in managing production planning integrated with demand, supply, inventory, workforce and maintenance constraints, including ownership, evidence, metrics, fallback procedures and crisis stress testing?</t>
  </si>
  <si>
    <t>Policy/SOP; owner/RACI; system report; dashboard; contracts; test records; incident history; interview evidence related to production planning integrated with demand, supply, inventory, workforce and maintenance constraints.</t>
  </si>
  <si>
    <t>MES and shop floor</t>
  </si>
  <si>
    <t>MANU-003</t>
  </si>
  <si>
    <t>How mature is the organization in managing finite capacity planning for bottlenecks, machines, shifts and labor, including ownership, evidence, metrics, fallback procedures and crisis stress testing?</t>
  </si>
  <si>
    <t>Policy/SOP; owner/RACI; system report; dashboard; contracts; test records; incident history; interview evidence related to finite capacity planning for bottlenecks, machines, shifts and labor.</t>
  </si>
  <si>
    <t>No reliable evidence that finite capacity planning for bottlenecks, machines, shifts and labor is defined, owned or managed.</t>
  </si>
  <si>
    <t>Finite capacity planning for bottlenecks, machines, shifts and labor is handled informally and depends on individual knowledge or heroic effort.</t>
  </si>
  <si>
    <t>Finite capacity planning for bottlenecks, machines, shifts and labor is partially documented or implemented, but coverage is inconsistent and not crisis-tested.</t>
  </si>
  <si>
    <t>Finite capacity planning for bottlenecks, machines, shifts and labor is documented, owned, used in normal operations and supported by basic evidence or metrics.</t>
  </si>
  <si>
    <t>Finite capacity planning for bottlenecks, machines, shifts and labor is measured, periodically reviewed, integrated with related processes and tested against relevant disruption scenarios.</t>
  </si>
  <si>
    <t>Finite capacity planning for bottlenecks, machines, shifts and labor is optimized, continuously improved, automated where practical and demonstrably supports crisis resilience.</t>
  </si>
  <si>
    <t>Maintenance and assets</t>
  </si>
  <si>
    <t>MANU-004</t>
  </si>
  <si>
    <t>How mature is the organization in managing minimum viable production under staff absence, utility outage, supplier delay or site risk, including ownership, evidence, metrics, fallback procedures and crisis stress testing?</t>
  </si>
  <si>
    <t>Policy/SOP; owner/RACI; system report; dashboard; contracts; test records; incident history; interview evidence related to minimum viable production under staff absence, utility outage, supplier delay or site risk.</t>
  </si>
  <si>
    <t>Quality and safety</t>
  </si>
  <si>
    <t>MANU-005</t>
  </si>
  <si>
    <t>How mature is the organization in managing line or site transferability if a facility fails, including ownership, evidence, metrics, fallback procedures and crisis stress testing?</t>
  </si>
  <si>
    <t>Policy/SOP; owner/RACI; system report; dashboard; contracts; test records; incident history; interview evidence related to line or site transferability if a facility fails.</t>
  </si>
  <si>
    <t>OT security</t>
  </si>
  <si>
    <t>MANU-006</t>
  </si>
  <si>
    <t>How mature is the organization in managing contract manufacturing capacity, quality, continuity, security and compliance, including ownership, evidence, metrics, fallback procedures and crisis stress testing?</t>
  </si>
  <si>
    <t>Policy/SOP; owner/RACI; system report; dashboard; contracts; test records; incident history; interview evidence related to contract manufacturing capacity, quality, continuity, security and compliance.</t>
  </si>
  <si>
    <t>MANU-007</t>
  </si>
  <si>
    <t>How mature is the organization in managing MES or equivalent shop-floor control for orders, operations, traceability, downtime and quality, including ownership, evidence, metrics, fallback procedures and crisis stress testing?</t>
  </si>
  <si>
    <t>Policy/SOP; owner/RACI; system report; dashboard; contracts; test records; incident history; interview evidence related to MES or equivalent shop-floor control for orders, operations, traceability, downtime and quality.</t>
  </si>
  <si>
    <t>MANU-008</t>
  </si>
  <si>
    <t>How mature is the organization in managing MES manual or offline fallback procedures, including ownership, evidence, metrics, fallback procedures and crisis stress testing?</t>
  </si>
  <si>
    <t>Policy/SOP; owner/RACI; system report; dashboard; contracts; test records; incident history; interview evidence related to MES manual or offline fallback procedures.</t>
  </si>
  <si>
    <t>MANU-009</t>
  </si>
  <si>
    <t>How mature is the organization in managing ERP-MES-MRP-WMS-quality-maintenance integration and reconciliation, including ownership, evidence, metrics, fallback procedures and crisis stress testing?</t>
  </si>
  <si>
    <t>Policy/SOP; owner/RACI; system report; dashboard; contracts; test records; incident history; interview evidence related to ERP-MES-MRP-WMS-quality-maintenance integration and reconciliation.</t>
  </si>
  <si>
    <t>MANU-010</t>
  </si>
  <si>
    <t>How mature is the organization in managing machine data collection for states, output, downtime, cycle time, defects and energy, including ownership, evidence, metrics, fallback procedures and crisis stress testing?</t>
  </si>
  <si>
    <t>Policy/SOP; owner/RACI; system report; dashboard; contracts; test records; incident history; interview evidence related to machine data collection for states, output, downtime, cycle time, defects and energy.</t>
  </si>
  <si>
    <t>No reliable evidence that machine data collection for states, output, downtime, cycle time, defects and energy is defined, owned or managed.</t>
  </si>
  <si>
    <t>Machine data collection for states, output, downtime, cycle time, defects and energy is handled informally and depends on individual knowledge or heroic effort.</t>
  </si>
  <si>
    <t>Machine data collection for states, output, downtime, cycle time, defects and energy is partially documented or implemented, but coverage is inconsistent and not crisis-tested.</t>
  </si>
  <si>
    <t>Machine data collection for states, output, downtime, cycle time, defects and energy is documented, owned, used in normal operations and supported by basic evidence or metrics.</t>
  </si>
  <si>
    <t>Machine data collection for states, output, downtime, cycle time, defects and energy is measured, periodically reviewed, integrated with related processes and tested against relevant disruption scenarios.</t>
  </si>
  <si>
    <t>Machine data collection for states, output, downtime, cycle time, defects and energy is optimized, continuously improved, automated where practical and demonstrably supports crisis resilience.</t>
  </si>
  <si>
    <t>MANU-011</t>
  </si>
  <si>
    <t>How mature is the organization in managing OEE, downtime reasons, microstops, rejects and performance loss analysis, including ownership, evidence, metrics, fallback procedures and crisis stress testing?</t>
  </si>
  <si>
    <t>Policy/SOP; owner/RACI; system report; dashboard; contracts; test records; incident history; interview evidence related to OEE, downtime reasons, microstops, rejects and performance loss analysis.</t>
  </si>
  <si>
    <t>No reliable evidence that oee, downtime reasons, microstops, rejects and performance loss analysis is defined, owned or managed.</t>
  </si>
  <si>
    <t>OEE, downtime reasons, microstops, rejects and performance loss analysis is handled informally and depends on individual knowledge or heroic effort.</t>
  </si>
  <si>
    <t>OEE, downtime reasons, microstops, rejects and performance loss analysis is partially documented or implemented, but coverage is inconsistent and not crisis-tested.</t>
  </si>
  <si>
    <t>OEE, downtime reasons, microstops, rejects and performance loss analysis is documented, owned, used in normal operations and supported by basic evidence or metrics.</t>
  </si>
  <si>
    <t>OEE, downtime reasons, microstops, rejects and performance loss analysis is measured, periodically reviewed, integrated with related processes and tested against relevant disruption scenarios.</t>
  </si>
  <si>
    <t>OEE, downtime reasons, microstops, rejects and performance loss analysis is optimized, continuously improved, automated where practical and demonstrably supports crisis resilience.</t>
  </si>
  <si>
    <t>MANU-012</t>
  </si>
  <si>
    <t>How mature is the organization in managing production data standards, reason codes and master data across lines and sites, including ownership, evidence, metrics, fallback procedures and crisis stress testing?</t>
  </si>
  <si>
    <t>Policy/SOP; owner/RACI; system report; dashboard; contracts; test records; incident history; interview evidence related to production data standards, reason codes and master data across lines and sites.</t>
  </si>
  <si>
    <t>MANU-013</t>
  </si>
  <si>
    <t>How mature is the organization in managing preventive maintenance based on criticality, manufacturer requirements and failure history, including ownership, evidence, metrics, fallback procedures and crisis stress testing?</t>
  </si>
  <si>
    <t>Policy/SOP; owner/RACI; system report; dashboard; contracts; test records; incident history; interview evidence related to preventive maintenance based on criticality, manufacturer requirements and failure history.</t>
  </si>
  <si>
    <t>MANU-014</t>
  </si>
  <si>
    <t>How mature is the organization in managing critical spare parts identification, stocking or sourcing with acceptable lead times, including ownership, evidence, metrics, fallback procedures and crisis stress testing?</t>
  </si>
  <si>
    <t>Policy/SOP; owner/RACI; system report; dashboard; contracts; test records; incident history; interview evidence related to critical spare parts identification, stocking or sourcing with acceptable lead times.</t>
  </si>
  <si>
    <t>MANU-015</t>
  </si>
  <si>
    <t>How mature is the organization in managing predictive or condition-based maintenance for critical assets where economically justified, including ownership, evidence, metrics, fallback procedures and crisis stress testing?</t>
  </si>
  <si>
    <t>Policy/SOP; owner/RACI; system report; dashboard; contracts; test records; incident history; interview evidence related to predictive or condition-based maintenance for critical assets where economically justified.</t>
  </si>
  <si>
    <t>MANU-016</t>
  </si>
  <si>
    <t>How mature is the organization in managing utility dependency map for electricity, gas, water, compressed air, HVAC and other utilities, including ownership, evidence, metrics, fallback procedures and crisis stress testing?</t>
  </si>
  <si>
    <t>Policy/SOP; owner/RACI; system report; dashboard; contracts; test records; incident history; interview evidence related to utility dependency map for electricity, gas, water, compressed air, HVAC and other utilities.</t>
  </si>
  <si>
    <t>No reliable evidence that utility dependency map for electricity, gas, water, compressed air, hvac and other utilities is defined, owned or managed.</t>
  </si>
  <si>
    <t>Utility dependency map for electricity, gas, water, compressed air, HVAC and other utilities is handled informally and depends on individual knowledge or heroic effort.</t>
  </si>
  <si>
    <t>Utility dependency map for electricity, gas, water, compressed air, HVAC and other utilities is partially documented or implemented, but coverage is inconsistent and not crisis-tested.</t>
  </si>
  <si>
    <t>Utility dependency map for electricity, gas, water, compressed air, HVAC and other utilities is documented, owned, used in normal operations and supported by basic evidence or metrics.</t>
  </si>
  <si>
    <t>Utility dependency map for electricity, gas, water, compressed air, HVAC and other utilities is measured, periodically reviewed, integrated with related processes and tested against relevant disruption scenarios.</t>
  </si>
  <si>
    <t>Utility dependency map for electricity, gas, water, compressed air, HVAC and other utilities is optimized, continuously improved, automated where practical and demonstrably supports crisis resilience.</t>
  </si>
  <si>
    <t>MANU-017</t>
  </si>
  <si>
    <t>How mature is the organization in managing backup utility options for critical production processes, including ownership, evidence, metrics, fallback procedures and crisis stress testing?</t>
  </si>
  <si>
    <t>Policy/SOP; owner/RACI; system report; dashboard; contracts; test records; incident history; interview evidence related to backup utility options for critical production processes.</t>
  </si>
  <si>
    <t>MANU-018</t>
  </si>
  <si>
    <t>How mature is the organization in managing asset management for critical production equipment, tooling and calibration, including ownership, evidence, metrics, fallback procedures and crisis stress testing?</t>
  </si>
  <si>
    <t>Policy/SOP; owner/RACI; system report; dashboard; contracts; test records; incident history; interview evidence related to asset management for critical production equipment, tooling and calibration.</t>
  </si>
  <si>
    <t>MANU-019</t>
  </si>
  <si>
    <t>How mature is the organization in managing quality controls, inspections, sampling, nonconformance and corrective actions integrated into production, including ownership, evidence, metrics, fallback procedures and crisis stress testing?</t>
  </si>
  <si>
    <t>Policy/SOP; owner/RACI; system report; dashboard; contracts; test records; incident history; interview evidence related to quality controls, inspections, sampling, nonconformance and corrective actions integrated into production.</t>
  </si>
  <si>
    <t>MANU-020</t>
  </si>
  <si>
    <t>How mature is the organization in managing traceability of products, batches, materials, operators and process parameters, including ownership, evidence, metrics, fallback procedures and crisis stress testing?</t>
  </si>
  <si>
    <t>Policy/SOP; owner/RACI; system report; dashboard; contracts; test records; incident history; interview evidence related to traceability of products, batches, materials, operators and process parameters.</t>
  </si>
  <si>
    <t>No reliable evidence that traceability of products, batches, materials, operators and process parameters is defined, owned or managed.</t>
  </si>
  <si>
    <t>Traceability of products, batches, materials, operators and process parameters is handled informally and depends on individual knowledge or heroic effort.</t>
  </si>
  <si>
    <t>Traceability of products, batches, materials, operators and process parameters is partially documented or implemented, but coverage is inconsistent and not crisis-tested.</t>
  </si>
  <si>
    <t>Traceability of products, batches, materials, operators and process parameters is documented, owned, used in normal operations and supported by basic evidence or metrics.</t>
  </si>
  <si>
    <t>Traceability of products, batches, materials, operators and process parameters is measured, periodically reviewed, integrated with related processes and tested against relevant disruption scenarios.</t>
  </si>
  <si>
    <t>Traceability of products, batches, materials, operators and process parameters is optimized, continuously improved, automated where practical and demonstrably supports crisis resilience.</t>
  </si>
  <si>
    <t>MANU-021</t>
  </si>
  <si>
    <t>How mature is the organization in managing BOM, routing, recipe and engineering change control synchronized with ERP/MES, including ownership, evidence, metrics, fallback procedures and crisis stress testing?</t>
  </si>
  <si>
    <t>Policy/SOP; owner/RACI; system report; dashboard; contracts; test records; incident history; interview evidence related to BOM, routing, recipe and engineering change control synchronized with ERP/MES.</t>
  </si>
  <si>
    <t>MANU-022</t>
  </si>
  <si>
    <t>How mature is the organization in managing operator training and certification for equipment, safety, quality and emergency procedures, including ownership, evidence, metrics, fallback procedures and crisis stress testing?</t>
  </si>
  <si>
    <t>Policy/SOP; owner/RACI; system report; dashboard; contracts; test records; incident history; interview evidence related to operator training and certification for equipment, safety, quality and emergency procedures.</t>
  </si>
  <si>
    <t>MANU-023</t>
  </si>
  <si>
    <t>How mature is the organization in managing machine safety controls, guarding, emergency stops and lockout/tagout, including ownership, evidence, metrics, fallback procedures and crisis stress testing?</t>
  </si>
  <si>
    <t>Policy/SOP; owner/RACI; system report; dashboard; contracts; test records; incident history; interview evidence related to machine safety controls, guarding, emergency stops and lockout/tagout.</t>
  </si>
  <si>
    <t>MANU-024</t>
  </si>
  <si>
    <t>How mature is the organization in managing rework, scrap, yield loss and defect cost analysis, including ownership, evidence, metrics, fallback procedures and crisis stress testing?</t>
  </si>
  <si>
    <t>Policy/SOP; owner/RACI; system report; dashboard; contracts; test records; incident history; interview evidence related to rework, scrap, yield loss and defect cost analysis.</t>
  </si>
  <si>
    <t>No reliable evidence that rework, scrap, yield loss and defect cost analysis is defined, owned or managed.</t>
  </si>
  <si>
    <t>Rework, scrap, yield loss and defect cost analysis is handled informally and depends on individual knowledge or heroic effort.</t>
  </si>
  <si>
    <t>Rework, scrap, yield loss and defect cost analysis is partially documented or implemented, but coverage is inconsistent and not crisis-tested.</t>
  </si>
  <si>
    <t>Rework, scrap, yield loss and defect cost analysis is documented, owned, used in normal operations and supported by basic evidence or metrics.</t>
  </si>
  <si>
    <t>Rework, scrap, yield loss and defect cost analysis is measured, periodically reviewed, integrated with related processes and tested against relevant disruption scenarios.</t>
  </si>
  <si>
    <t>Rework, scrap, yield loss and defect cost analysis is optimized, continuously improved, automated where practical and demonstrably supports crisis resilience.</t>
  </si>
  <si>
    <t>MANU-025</t>
  </si>
  <si>
    <t>How mature is the organization in managing OT asset inventory for PLCs, SCADA, HMIs, industrial networks and engineering workstations, including ownership, evidence, metrics, fallback procedures and crisis stress testing?</t>
  </si>
  <si>
    <t>Policy/SOP; owner/RACI; system report; dashboard; contracts; test records; incident history; interview evidence related to OT asset inventory for PLCs, SCADA, HMIs, industrial networks and engineering workstations.</t>
  </si>
  <si>
    <t>No reliable evidence that ot asset inventory for plcs, scada, hmis, industrial networks and engineering workstations is defined, owned or managed.</t>
  </si>
  <si>
    <t>OT asset inventory for PLCs, SCADA, HMIs, industrial networks and engineering workstations is handled informally and depends on individual knowledge or heroic effort.</t>
  </si>
  <si>
    <t>OT asset inventory for PLCs, SCADA, HMIs, industrial networks and engineering workstations is partially documented or implemented, but coverage is inconsistent and not crisis-tested.</t>
  </si>
  <si>
    <t>OT asset inventory for PLCs, SCADA, HMIs, industrial networks and engineering workstations is documented, owned, used in normal operations and supported by basic evidence or metrics.</t>
  </si>
  <si>
    <t>OT asset inventory for PLCs, SCADA, HMIs, industrial networks and engineering workstations is measured, periodically reviewed, integrated with related processes and tested against relevant disruption scenarios.</t>
  </si>
  <si>
    <t>OT asset inventory for PLCs, SCADA, HMIs, industrial networks and engineering workstations is optimized, continuously improved, automated where practical and demonstrably supports crisis resilience.</t>
  </si>
  <si>
    <t>MANU-026</t>
  </si>
  <si>
    <t>How mature is the organization in managing OT network segmentation and secure remote access for vendors and maintenance, including ownership, evidence, metrics, fallback procedures and crisis stress testing?</t>
  </si>
  <si>
    <t>Policy/SOP; owner/RACI; system report; dashboard; contracts; test records; incident history; interview evidence related to OT network segmentation and secure remote access for vendors and maintenance.</t>
  </si>
  <si>
    <t>No reliable evidence that ot network segmentation and secure remote access for vendors and maintenance is defined, owned or managed.</t>
  </si>
  <si>
    <t>OT network segmentation and secure remote access for vendors and maintenance is handled informally and depends on individual knowledge or heroic effort.</t>
  </si>
  <si>
    <t>OT network segmentation and secure remote access for vendors and maintenance is partially documented or implemented, but coverage is inconsistent and not crisis-tested.</t>
  </si>
  <si>
    <t>OT network segmentation and secure remote access for vendors and maintenance is documented, owned, used in normal operations and supported by basic evidence or metrics.</t>
  </si>
  <si>
    <t>OT network segmentation and secure remote access for vendors and maintenance is measured, periodically reviewed, integrated with related processes and tested against relevant disruption scenarios.</t>
  </si>
  <si>
    <t>OT network segmentation and secure remote access for vendors and maintenance is optimized, continuously improved, automated where practical and demonstrably supports crisis resilience.</t>
  </si>
  <si>
    <t>MANU-027</t>
  </si>
  <si>
    <t>How mature is the organization in managing PLC, HMI, SCADA and recipe configuration backup and restore testing, including ownership, evidence, metrics, fallback procedures and crisis stress testing?</t>
  </si>
  <si>
    <t>Policy/SOP; owner/RACI; system report; dashboard; contracts; test records; incident history; interview evidence related to PLC, HMI, SCADA and recipe configuration backup and restore testing.</t>
  </si>
  <si>
    <t>MANU-028</t>
  </si>
  <si>
    <t>How mature is the organization in managing cyber incident response procedures specific to production and OT, including ownership, evidence, metrics, fallback procedures and crisis stress testing?</t>
  </si>
  <si>
    <t>Policy/SOP; owner/RACI; system report; dashboard; contracts; test records; incident history; interview evidence related to cyber incident response procedures specific to production and OT.</t>
  </si>
  <si>
    <t>Sales CRM</t>
  </si>
  <si>
    <t>SALE-001</t>
  </si>
  <si>
    <t>CRM foundation</t>
  </si>
  <si>
    <t>How mature is the organization in managing CRM as single source of truth for accounts, contacts, opportunities, activities and forecasts, including ownership, evidence, metrics, fallback procedures and crisis stress testing?</t>
  </si>
  <si>
    <t>This topic affects exposure to Demand shock; Revenue loss; Reputation crisis. It helps identify how disruption may impact operations, people, revenue, systems, legal exposure or recovery time.</t>
  </si>
  <si>
    <t>ISO 9001; ISO 10002; ISO 10004; RevOps; MEDDICC; customer success best practices</t>
  </si>
  <si>
    <t>Policy/SOP; owner/RACI; system report; dashboard; contracts; test records; incident history; interview evidence related to CRM as single source of truth for accounts, contacts, opportunities, activities and forecasts.</t>
  </si>
  <si>
    <t>No reliable evidence that crm as single source of truth for accounts, contacts, opportunities, activities and forecasts is defined, owned or managed.</t>
  </si>
  <si>
    <t>CRM as single source of truth for accounts, contacts, opportunities, activities and forecasts is handled informally and depends on individual knowledge or heroic effort.</t>
  </si>
  <si>
    <t>CRM as single source of truth for accounts, contacts, opportunities, activities and forecasts is partially documented or implemented, but coverage is inconsistent and not crisis-tested.</t>
  </si>
  <si>
    <t>CRM as single source of truth for accounts, contacts, opportunities, activities and forecasts is documented, owned, used in normal operations and supported by basic evidence or metrics.</t>
  </si>
  <si>
    <t>CRM as single source of truth for accounts, contacts, opportunities, activities and forecasts is measured, periodically reviewed, integrated with related processes and tested against relevant disruption scenarios.</t>
  </si>
  <si>
    <t>CRM as single source of truth for accounts, contacts, opportunities, activities and forecasts is optimized, continuously improved, automated where practical and demonstrably supports crisis resilience.</t>
  </si>
  <si>
    <t>Demand shock; Revenue loss; Reputation crisis</t>
  </si>
  <si>
    <t>SALE-002</t>
  </si>
  <si>
    <t>How mature is the organization in managing CRM data quality for segmentation, pipeline, ICP, offerings, win/loss reasons and customer health, including ownership, evidence, metrics, fallback procedures and crisis stress testing?</t>
  </si>
  <si>
    <t>Policy/SOP; owner/RACI; system report; dashboard; contracts; test records; incident history; interview evidence related to CRM data quality for segmentation, pipeline, ICP, offerings, win/loss reasons and customer health.</t>
  </si>
  <si>
    <t>No reliable evidence that crm data quality for segmentation, pipeline, icp, offerings, win/loss reasons and customer health is defined, owned or managed.</t>
  </si>
  <si>
    <t>CRM data quality for segmentation, pipeline, ICP, offerings, win/loss reasons and customer health is handled informally and depends on individual knowledge or heroic effort.</t>
  </si>
  <si>
    <t>CRM data quality for segmentation, pipeline, ICP, offerings, win/loss reasons and customer health is partially documented or implemented, but coverage is inconsistent and not crisis-tested.</t>
  </si>
  <si>
    <t>CRM data quality for segmentation, pipeline, ICP, offerings, win/loss reasons and customer health is documented, owned, used in normal operations and supported by basic evidence or metrics.</t>
  </si>
  <si>
    <t>CRM data quality for segmentation, pipeline, ICP, offerings, win/loss reasons and customer health is measured, periodically reviewed, integrated with related processes and tested against relevant disruption scenarios.</t>
  </si>
  <si>
    <t>CRM data quality for segmentation, pipeline, ICP, offerings, win/loss reasons and customer health is optimized, continuously improved, automated where practical and demonstrably supports crisis resilience.</t>
  </si>
  <si>
    <t>Pipeline and forecast</t>
  </si>
  <si>
    <t>SALE-004</t>
  </si>
  <si>
    <t>How mature is the organization in managing sales process governance from lead to opportunity to contract to handover, including ownership, evidence, metrics, fallback procedures and crisis stress testing?</t>
  </si>
  <si>
    <t>Policy/SOP; owner/RACI; system report; dashboard; contracts; test records; incident history; interview evidence related to sales process governance from lead to opportunity to contract to handover.</t>
  </si>
  <si>
    <t>No reliable evidence that sales process governance from lead to opportunity to contract to handover is defined, owned or managed.</t>
  </si>
  <si>
    <t>Sales process governance from lead to opportunity to contract to handover is handled informally and depends on individual knowledge or heroic effort.</t>
  </si>
  <si>
    <t>Sales process governance from lead to opportunity to contract to handover is partially documented or implemented, but coverage is inconsistent and not crisis-tested.</t>
  </si>
  <si>
    <t>Sales process governance from lead to opportunity to contract to handover is documented, owned, used in normal operations and supported by basic evidence or metrics.</t>
  </si>
  <si>
    <t>Sales process governance from lead to opportunity to contract to handover is measured, periodically reviewed, integrated with related processes and tested against relevant disruption scenarios.</t>
  </si>
  <si>
    <t>Sales process governance from lead to opportunity to contract to handover is optimized, continuously improved, automated where practical and demonstrably supports crisis resilience.</t>
  </si>
  <si>
    <t>Customer continuity</t>
  </si>
  <si>
    <t>SALE-005</t>
  </si>
  <si>
    <t>How mature is the organization in managing customer and contract data linked to renewal, SLA and revenue risk, including ownership, evidence, metrics, fallback procedures and crisis stress testing?</t>
  </si>
  <si>
    <t>Policy/SOP; owner/RACI; system report; dashboard; contracts; test records; incident history; interview evidence related to customer and contract data linked to renewal, SLA and revenue risk.</t>
  </si>
  <si>
    <t>No reliable evidence that customer and contract data linked to renewal, sla and revenue risk is defined, owned or managed.</t>
  </si>
  <si>
    <t>Customer and contract data linked to renewal, SLA and revenue risk is handled informally and depends on individual knowledge or heroic effort.</t>
  </si>
  <si>
    <t>Customer and contract data linked to renewal, SLA and revenue risk is partially documented or implemented, but coverage is inconsistent and not crisis-tested.</t>
  </si>
  <si>
    <t>Customer and contract data linked to renewal, SLA and revenue risk is documented, owned, used in normal operations and supported by basic evidence or metrics.</t>
  </si>
  <si>
    <t>Customer and contract data linked to renewal, SLA and revenue risk is measured, periodically reviewed, integrated with related processes and tested against relevant disruption scenarios.</t>
  </si>
  <si>
    <t>Customer and contract data linked to renewal, SLA and revenue risk is optimized, continuously improved, automated where practical and demonstrably supports crisis resilience.</t>
  </si>
  <si>
    <t>Revenue controls</t>
  </si>
  <si>
    <t>SALE-006</t>
  </si>
  <si>
    <t>How mature is the organization in managing pipeline qualification criteria and stage exit rules, including ownership, evidence, metrics, fallback procedures and crisis stress testing?</t>
  </si>
  <si>
    <t>Policy/SOP; owner/RACI; system report; dashboard; contracts; test records; incident history; interview evidence related to pipeline qualification criteria and stage exit rules.</t>
  </si>
  <si>
    <t>No reliable evidence that pipeline qualification criteria and stage exit rules is defined, owned or managed.</t>
  </si>
  <si>
    <t>Pipeline qualification criteria and stage exit rules is handled informally and depends on individual knowledge or heroic effort.</t>
  </si>
  <si>
    <t>Pipeline qualification criteria and stage exit rules is partially documented or implemented, but coverage is inconsistent and not crisis-tested.</t>
  </si>
  <si>
    <t>Pipeline qualification criteria and stage exit rules is documented, owned, used in normal operations and supported by basic evidence or metrics.</t>
  </si>
  <si>
    <t>Pipeline qualification criteria and stage exit rules is measured, periodically reviewed, integrated with related processes and tested against relevant disruption scenarios.</t>
  </si>
  <si>
    <t>Pipeline qualification criteria and stage exit rules is optimized, continuously improved, automated where practical and demonstrably supports crisis resilience.</t>
  </si>
  <si>
    <t>Customer service</t>
  </si>
  <si>
    <t>SALE-007</t>
  </si>
  <si>
    <t>How mature is the organization in managing pipeline coverage relative to targets, sales cycle, win rate and crisis scenarios, including ownership, evidence, metrics, fallback procedures and crisis stress testing?</t>
  </si>
  <si>
    <t>Policy/SOP; owner/RACI; system report; dashboard; contracts; test records; incident history; interview evidence related to pipeline coverage relative to targets, sales cycle, win rate and crisis scenarios.</t>
  </si>
  <si>
    <t>SALE-008</t>
  </si>
  <si>
    <t>How mature is the organization in managing sales forecast cadence connected to finance, delivery and supply planning, including ownership, evidence, metrics, fallback procedures and crisis stress testing?</t>
  </si>
  <si>
    <t>Policy/SOP; owner/RACI; system report; dashboard; contracts; test records; incident history; interview evidence related to sales forecast cadence connected to finance, delivery and supply planning.</t>
  </si>
  <si>
    <t>No reliable evidence that sales forecast cadence connected to finance, delivery and supply planning is defined, owned or managed.</t>
  </si>
  <si>
    <t>Sales forecast cadence connected to finance, delivery and supply planning is handled informally and depends on individual knowledge or heroic effort.</t>
  </si>
  <si>
    <t>Sales forecast cadence connected to finance, delivery and supply planning is partially documented or implemented, but coverage is inconsistent and not crisis-tested.</t>
  </si>
  <si>
    <t>Sales forecast cadence connected to finance, delivery and supply planning is documented, owned, used in normal operations and supported by basic evidence or metrics.</t>
  </si>
  <si>
    <t>Sales forecast cadence connected to finance, delivery and supply planning is measured, periodically reviewed, integrated with related processes and tested against relevant disruption scenarios.</t>
  </si>
  <si>
    <t>Sales forecast cadence connected to finance, delivery and supply planning is optimized, continuously improved, automated where practical and demonstrably supports crisis resilience.</t>
  </si>
  <si>
    <t>SALE-009</t>
  </si>
  <si>
    <t>How mature is the organization in managing sales forecast stress tests for delayed decisions, budget cuts and customer churn, including ownership, evidence, metrics, fallback procedures and crisis stress testing?</t>
  </si>
  <si>
    <t>Policy/SOP; owner/RACI; system report; dashboard; contracts; test records; incident history; interview evidence related to sales forecast stress tests for delayed decisions, budget cuts and customer churn.</t>
  </si>
  <si>
    <t>SALE-010</t>
  </si>
  <si>
    <t>How mature is the organization in managing sales analytics by conversion, cycle time, win rate, deal size, margin and loss reason, including ownership, evidence, metrics, fallback procedures and crisis stress testing?</t>
  </si>
  <si>
    <t>Policy/SOP; owner/RACI; system report; dashboard; contracts; test records; incident history; interview evidence related to sales analytics by conversion, cycle time, win rate, deal size, margin and loss reason.</t>
  </si>
  <si>
    <t>No reliable evidence that sales analytics by conversion, cycle time, win rate, deal size, margin and loss reason is defined, owned or managed.</t>
  </si>
  <si>
    <t>Sales analytics by conversion, cycle time, win rate, deal size, margin and loss reason is handled informally and depends on individual knowledge or heroic effort.</t>
  </si>
  <si>
    <t>Sales analytics by conversion, cycle time, win rate, deal size, margin and loss reason is partially documented or implemented, but coverage is inconsistent and not crisis-tested.</t>
  </si>
  <si>
    <t>Sales analytics by conversion, cycle time, win rate, deal size, margin and loss reason is documented, owned, used in normal operations and supported by basic evidence or metrics.</t>
  </si>
  <si>
    <t>Sales analytics by conversion, cycle time, win rate, deal size, margin and loss reason is measured, periodically reviewed, integrated with related processes and tested against relevant disruption scenarios.</t>
  </si>
  <si>
    <t>Sales analytics by conversion, cycle time, win rate, deal size, margin and loss reason is optimized, continuously improved, automated where practical and demonstrably supports crisis resilience.</t>
  </si>
  <si>
    <t>SALE-011</t>
  </si>
  <si>
    <t>How mature is the organization in managing customer health scoring using usage, satisfaction, payment behavior, delivery issues and engagement, including ownership, evidence, metrics, fallback procedures and crisis stress testing?</t>
  </si>
  <si>
    <t>Policy/SOP; owner/RACI; system report; dashboard; contracts; test records; incident history; interview evidence related to customer health scoring using usage, satisfaction, payment behavior, delivery issues and engagement.</t>
  </si>
  <si>
    <t>No reliable evidence that customer health scoring using usage, satisfaction, payment behavior, delivery issues and engagement is defined, owned or managed.</t>
  </si>
  <si>
    <t>Customer health scoring using usage, satisfaction, payment behavior, delivery issues and engagement is handled informally and depends on individual knowledge or heroic effort.</t>
  </si>
  <si>
    <t>Customer health scoring using usage, satisfaction, payment behavior, delivery issues and engagement is partially documented or implemented, but coverage is inconsistent and not crisis-tested.</t>
  </si>
  <si>
    <t>Customer health scoring using usage, satisfaction, payment behavior, delivery issues and engagement is documented, owned, used in normal operations and supported by basic evidence or metrics.</t>
  </si>
  <si>
    <t>Customer health scoring using usage, satisfaction, payment behavior, delivery issues and engagement is measured, periodically reviewed, integrated with related processes and tested against relevant disruption scenarios.</t>
  </si>
  <si>
    <t>Customer health scoring using usage, satisfaction, payment behavior, delivery issues and engagement is optimized, continuously improved, automated where practical and demonstrably supports crisis resilience.</t>
  </si>
  <si>
    <t>SALE-012</t>
  </si>
  <si>
    <t>How mature is the organization in managing churn risk identification, prioritization and mitigation actions, including ownership, evidence, metrics, fallback procedures and crisis stress testing?</t>
  </si>
  <si>
    <t>Policy/SOP; owner/RACI; system report; dashboard; contracts; test records; incident history; interview evidence related to churn risk identification, prioritization and mitigation actions.</t>
  </si>
  <si>
    <t>No reliable evidence that churn risk identification, prioritization and mitigation actions is defined, owned or managed.</t>
  </si>
  <si>
    <t>Churn risk identification, prioritization and mitigation actions is handled informally and depends on individual knowledge or heroic effort.</t>
  </si>
  <si>
    <t>Churn risk identification, prioritization and mitigation actions is partially documented or implemented, but coverage is inconsistent and not crisis-tested.</t>
  </si>
  <si>
    <t>Churn risk identification, prioritization and mitigation actions is documented, owned, used in normal operations and supported by basic evidence or metrics.</t>
  </si>
  <si>
    <t>Churn risk identification, prioritization and mitigation actions is measured, periodically reviewed, integrated with related processes and tested against relevant disruption scenarios.</t>
  </si>
  <si>
    <t>Churn risk identification, prioritization and mitigation actions is optimized, continuously improved, automated where practical and demonstrably supports crisis resilience.</t>
  </si>
  <si>
    <t>SALE-013</t>
  </si>
  <si>
    <t>How mature is the organization in managing renewal calendar and proactive renewal process, including ownership, evidence, metrics, fallback procedures and crisis stress testing?</t>
  </si>
  <si>
    <t>Policy/SOP; owner/RACI; system report; dashboard; contracts; test records; incident history; interview evidence related to renewal calendar and proactive renewal process.</t>
  </si>
  <si>
    <t>No reliable evidence that renewal calendar and proactive renewal process is defined, owned or managed.</t>
  </si>
  <si>
    <t>Renewal calendar and proactive renewal process is handled informally and depends on individual knowledge or heroic effort.</t>
  </si>
  <si>
    <t>Renewal calendar and proactive renewal process is partially documented or implemented, but coverage is inconsistent and not crisis-tested.</t>
  </si>
  <si>
    <t>Renewal calendar and proactive renewal process is documented, owned, used in normal operations and supported by basic evidence or metrics.</t>
  </si>
  <si>
    <t>Renewal calendar and proactive renewal process is measured, periodically reviewed, integrated with related processes and tested against relevant disruption scenarios.</t>
  </si>
  <si>
    <t>Renewal calendar and proactive renewal process is optimized, continuously improved, automated where practical and demonstrably supports crisis resilience.</t>
  </si>
  <si>
    <t>SALE-014</t>
  </si>
  <si>
    <t>How mature is the organization in managing critical account plans covering stakeholders, risks, contracts, renewals and crisis communication, including ownership, evidence, metrics, fallback procedures and crisis stress testing?</t>
  </si>
  <si>
    <t>Policy/SOP; owner/RACI; system report; dashboard; contracts; test records; incident history; interview evidence related to critical account plans covering stakeholders, risks, contracts, renewals and crisis communication.</t>
  </si>
  <si>
    <t>SALE-015</t>
  </si>
  <si>
    <t>How mature is the organization in managing customer notification rules for incidents, delays, cyber events and service disruption, including ownership, evidence, metrics, fallback procedures and crisis stress testing?</t>
  </si>
  <si>
    <t>Policy/SOP; owner/RACI; system report; dashboard; contracts; test records; incident history; interview evidence related to customer notification rules for incidents, delays, cyber events and service disruption.</t>
  </si>
  <si>
    <t>SALE-016</t>
  </si>
  <si>
    <t>How mature is the organization in managing support knowledge base and agent fallback if experienced people are unavailable, including ownership, evidence, metrics, fallback procedures and crisis stress testing?</t>
  </si>
  <si>
    <t>Policy/SOP; owner/RACI; system report; dashboard; contracts; test records; incident history; interview evidence related to support knowledge base and agent fallback if experienced people are unavailable.</t>
  </si>
  <si>
    <t>No reliable evidence that support knowledge base and agent fallback if experienced people are unavailable is defined, owned or managed.</t>
  </si>
  <si>
    <t>Support knowledge base and agent fallback if experienced people are unavailable is handled informally and depends on individual knowledge or heroic effort.</t>
  </si>
  <si>
    <t>Support knowledge base and agent fallback if experienced people are unavailable is partially documented or implemented, but coverage is inconsistent and not crisis-tested.</t>
  </si>
  <si>
    <t>Support knowledge base and agent fallback if experienced people are unavailable is documented, owned, used in normal operations and supported by basic evidence or metrics.</t>
  </si>
  <si>
    <t>Support knowledge base and agent fallback if experienced people are unavailable is measured, periodically reviewed, integrated with related processes and tested against relevant disruption scenarios.</t>
  </si>
  <si>
    <t>Support knowledge base and agent fallback if experienced people are unavailable is optimized, continuously improved, automated where practical and demonstrably supports crisis resilience.</t>
  </si>
  <si>
    <t>SALE-017</t>
  </si>
  <si>
    <t>How mature is the organization in managing discount governance, pricing exceptions, payment terms and margin protection, including ownership, evidence, metrics, fallback procedures and crisis stress testing?</t>
  </si>
  <si>
    <t>Policy/SOP; owner/RACI; system report; dashboard; contracts; test records; incident history; interview evidence related to discount governance, pricing exceptions, payment terms and margin protection.</t>
  </si>
  <si>
    <t>No reliable evidence that discount governance, pricing exceptions, payment terms and margin protection is defined, owned or managed.</t>
  </si>
  <si>
    <t>Discount governance, pricing exceptions, payment terms and margin protection is handled informally and depends on individual knowledge or heroic effort.</t>
  </si>
  <si>
    <t>Discount governance, pricing exceptions, payment terms and margin protection is partially documented or implemented, but coverage is inconsistent and not crisis-tested.</t>
  </si>
  <si>
    <t>Discount governance, pricing exceptions, payment terms and margin protection is documented, owned, used in normal operations and supported by basic evidence or metrics.</t>
  </si>
  <si>
    <t>Discount governance, pricing exceptions, payment terms and margin protection is measured, periodically reviewed, integrated with related processes and tested against relevant disruption scenarios.</t>
  </si>
  <si>
    <t>Discount governance, pricing exceptions, payment terms and margin protection is optimized, continuously improved, automated where practical and demonstrably supports crisis resilience.</t>
  </si>
  <si>
    <t>SALE-018</t>
  </si>
  <si>
    <t>How mature is the organization in managing deal review for margin, delivery feasibility, legal obligations, security and crisis risk, including ownership, evidence, metrics, fallback procedures and crisis stress testing?</t>
  </si>
  <si>
    <t>Policy/SOP; owner/RACI; system report; dashboard; contracts; test records; incident history; interview evidence related to deal review for margin, delivery feasibility, legal obligations, security and crisis risk.</t>
  </si>
  <si>
    <t>SALE-020</t>
  </si>
  <si>
    <t>How mature is the organization in managing sales channel continuity if offices close, travel stops, events cancel or one channel fails, including ownership, evidence, metrics, fallback procedures and crisis stress testing?</t>
  </si>
  <si>
    <t>Policy/SOP; owner/RACI; system report; dashboard; contracts; test records; incident history; interview evidence related to sales channel continuity if offices close, travel stops, events cancel or one channel fails.</t>
  </si>
  <si>
    <t>SALE-021</t>
  </si>
  <si>
    <t>How mature is the organization in managing ecommerce continuity for payments, logistics, website, stock and customer support where relevant, including ownership, evidence, metrics, fallback procedures and crisis stress testing?</t>
  </si>
  <si>
    <t>Policy/SOP; owner/RACI; system report; dashboard; contracts; test records; incident history; interview evidence related to ecommerce continuity for payments, logistics, website, stock and customer support where relevant.</t>
  </si>
  <si>
    <t>SALE-022</t>
  </si>
  <si>
    <t>How mature is the organization in managing customer service operating model with channels, coverage hours, tiers and service levels, including ownership, evidence, metrics, fallback procedures and crisis stress testing?</t>
  </si>
  <si>
    <t>This topic affects exposure to Demand shock; Reputation crisis; Workforce disruption. It helps identify how disruption may impact operations, people, revenue, systems, legal exposure or recovery time.</t>
  </si>
  <si>
    <t>APQC PCF 6.0; ITIL; ISO 10002; ISO 22301</t>
  </si>
  <si>
    <t>No reliable evidence that customer service operating model with channels, coverage hours, tiers and service levels is defined, owned or managed.</t>
  </si>
  <si>
    <t>Customer service operating model with channels, coverage hours, tiers and service levels is handled informally and depends on individual knowledge or heroic effort.</t>
  </si>
  <si>
    <t>Customer service operating model with channels, coverage hours, tiers and service levels is partially documented or implemented, but coverage is inconsistent and not crisis-tested.</t>
  </si>
  <si>
    <t>Customer service operating model with channels, coverage hours, tiers and service levels is documented, owned, used in normal operations and supported by basic evidence or metrics.</t>
  </si>
  <si>
    <t>Customer service operating model with channels, coverage hours, tiers and service levels is measured, periodically reviewed, integrated with related processes and tested against relevant disruption scenarios.</t>
  </si>
  <si>
    <t>Customer service operating model with channels, coverage hours, tiers and service levels is optimized, continuously improved, automated where practical and demonstrably supports crisis resilience.</t>
  </si>
  <si>
    <t>Demand shock; Reputation crisis; Workforce disruption</t>
  </si>
  <si>
    <t>SALE-023</t>
  </si>
  <si>
    <t>How mature is the organization in managing case and ticket management with logging, categorization, prioritization, escalation and backlog control, including ownership, evidence, metrics, fallback procedures and crisis stress testing?</t>
  </si>
  <si>
    <t>This topic affects exposure to Demand shock; Reputation crisis; Cyberattack/ransomware. It helps identify how disruption may impact operations, people, revenue, systems, legal exposure or recovery time.</t>
  </si>
  <si>
    <t>APQC PCF 6.2; ITIL; ISO 10002</t>
  </si>
  <si>
    <t>No reliable evidence that case and ticket management with logging, categorization, prioritization, escalation and backlog control is defined, owned or managed.</t>
  </si>
  <si>
    <t>Case and ticket management with logging, categorization, prioritization, escalation and backlog control is handled informally and depends on individual knowledge or heroic effort.</t>
  </si>
  <si>
    <t>Case and ticket management with logging, categorization, prioritization, escalation and backlog control is partially documented or implemented, but coverage is inconsistent and not crisis-tested.</t>
  </si>
  <si>
    <t>Case and ticket management with logging, categorization, prioritization, escalation and backlog control is documented, owned, used in normal operations and supported by basic evidence or metrics.</t>
  </si>
  <si>
    <t>Case and ticket management with logging, categorization, prioritization, escalation and backlog control is measured, periodically reviewed, integrated with related processes and tested against relevant disruption scenarios.</t>
  </si>
  <si>
    <t>Case and ticket management with logging, categorization, prioritization, escalation and backlog control is optimized, continuously improved, automated where practical and demonstrably supports crisis resilience.</t>
  </si>
  <si>
    <t>Demand shock; Reputation crisis; Cyberattack/ransomware</t>
  </si>
  <si>
    <t>SALE-024</t>
  </si>
  <si>
    <t>How mature is the organization in managing customer service continuity with surge handling, channel failover and after-hours emergency coverage, including ownership, evidence, metrics, fallback procedures and crisis stress testing?</t>
  </si>
  <si>
    <t>This topic affects exposure to Demand shock; Workforce disruption; Cloud/SaaS outage. It helps identify how disruption may impact operations, people, revenue, systems, legal exposure or recovery time.</t>
  </si>
  <si>
    <t>ISO 22301; ITIL; APQC PCF 6.0</t>
  </si>
  <si>
    <t>Demand shock; Workforce disruption; Cloud/SaaS outage</t>
  </si>
  <si>
    <t>SALE-025</t>
  </si>
  <si>
    <t>How mature is the organization in managing voice-of-customer loop converting complaints and feedback into product and process improvements, including ownership, evidence, metrics, fallback procedures and crisis stress testing?</t>
  </si>
  <si>
    <t>This topic affects exposure to Reputation crisis; Demand shock. It helps identify how disruption may impact operations, people, revenue, systems, legal exposure or recovery time.</t>
  </si>
  <si>
    <t>ISO 10002; ISO 10004; APQC PCF 6.3</t>
  </si>
  <si>
    <t>No reliable evidence that voice-of-customer loop converting complaints and feedback into product and process improvements is defined, owned or managed.</t>
  </si>
  <si>
    <t>Voice-of-customer loop converting complaints and feedback into product and process improvements is handled informally and depends on individual knowledge or heroic effort.</t>
  </si>
  <si>
    <t>Voice-of-customer loop converting complaints and feedback into product and process improvements is partially documented or implemented, but coverage is inconsistent and not crisis-tested.</t>
  </si>
  <si>
    <t>Voice-of-customer loop converting complaints and feedback into product and process improvements is documented, owned, used in normal operations and supported by basic evidence or metrics.</t>
  </si>
  <si>
    <t>Voice-of-customer loop converting complaints and feedback into product and process improvements is measured, periodically reviewed, integrated with related processes and tested against relevant disruption scenarios.</t>
  </si>
  <si>
    <t>Voice-of-customer loop converting complaints and feedback into product and process improvements is optimized, continuously improved, automated where practical and demonstrably supports crisis resilience.</t>
  </si>
  <si>
    <t>Reputation crisis; Demand shock</t>
  </si>
  <si>
    <t>SALE-026</t>
  </si>
  <si>
    <t>How mature is the organization in managing systematic customer perception measurement with NPS or CSAT trends, segmentation and follow-up actions, including ownership, evidence, metrics, fallback procedures and crisis stress testing?</t>
  </si>
  <si>
    <t>This topic affects exposure to Reputation crisis; Demand shock; Key customer loss. It helps identify how disruption may impact operations, people, revenue, systems, legal exposure or recovery time.</t>
  </si>
  <si>
    <t>ISO 10004; EFQM 2025 Results; APQC PCF 3.0</t>
  </si>
  <si>
    <t>No reliable evidence that systematic customer perception measurement with NPS or CSAT trends, segmentation and follow-up actions is defined, owned or managed.</t>
  </si>
  <si>
    <t>Systematic customer perception measurement with NPS or CSAT trends, segmentation and follow-up actions is handled informally and depends on individual knowledge or heroic effort.</t>
  </si>
  <si>
    <t>Systematic customer perception measurement with NPS or CSAT trends, segmentation and follow-up actions is partially documented or implemented, but coverage is inconsistent and not crisis-tested.</t>
  </si>
  <si>
    <t>Systematic customer perception measurement with NPS or CSAT trends, segmentation and follow-up actions is documented, owned, used in normal operations and supported by basic evidence or metrics.</t>
  </si>
  <si>
    <t>Systematic customer perception measurement with NPS or CSAT trends, segmentation and follow-up actions is measured, periodically reviewed, integrated with related processes and tested against relevant disruption scenarios.</t>
  </si>
  <si>
    <t>Systematic customer perception measurement with NPS or CSAT trends, segmentation and follow-up actions is optimized, continuously improved, automated where practical and demonstrably supports crisis resilience.</t>
  </si>
  <si>
    <t>Reputation crisis; Demand shock; Key customer loss</t>
  </si>
  <si>
    <t>Marketing Comms</t>
  </si>
  <si>
    <t>MARK-001</t>
  </si>
  <si>
    <t>Brand and market presence</t>
  </si>
  <si>
    <t>How mature is the organization in managing brand positioning aligned with ICP, offering, differentiation and proof points, including ownership, evidence, metrics, fallback procedures and crisis stress testing?</t>
  </si>
  <si>
    <t>This topic affects exposure to Reputation crisis; Demand shock; IT outage. It helps identify how disruption may impact operations, people, revenue, systems, legal exposure or recovery time.</t>
  </si>
  <si>
    <t>ISO 10002; ISO 10004; ISO 20671-1; ISO 22301; AMEC; crisis communication best practices</t>
  </si>
  <si>
    <t>Policy/SOP; owner/RACI; system report; dashboard; contracts; test records; incident history; interview evidence related to brand positioning aligned with ICP, offering, differentiation and proof points.</t>
  </si>
  <si>
    <t>No reliable evidence that brand positioning aligned with icp, offering, differentiation and proof points is defined, owned or managed.</t>
  </si>
  <si>
    <t>Brand positioning aligned with ICP, offering, differentiation and proof points is handled informally and depends on individual knowledge or heroic effort.</t>
  </si>
  <si>
    <t>Brand positioning aligned with ICP, offering, differentiation and proof points is partially documented or implemented, but coverage is inconsistent and not crisis-tested.</t>
  </si>
  <si>
    <t>Brand positioning aligned with ICP, offering, differentiation and proof points is documented, owned, used in normal operations and supported by basic evidence or metrics.</t>
  </si>
  <si>
    <t>Brand positioning aligned with ICP, offering, differentiation and proof points is measured, periodically reviewed, integrated with related processes and tested against relevant disruption scenarios.</t>
  </si>
  <si>
    <t>Brand positioning aligned with ICP, offering, differentiation and proof points is optimized, continuously improved, automated where practical and demonstrably supports crisis resilience.</t>
  </si>
  <si>
    <t>Reputation crisis; Demand shock; IT outage</t>
  </si>
  <si>
    <t>MARK-002</t>
  </si>
  <si>
    <t>How mature is the organization in managing digital channel dependency across website, search, paid media, social, events and partners, including ownership, evidence, metrics, fallback procedures and crisis stress testing?</t>
  </si>
  <si>
    <t>Policy/SOP; owner/RACI; system report; dashboard; contracts; test records; incident history; interview evidence related to digital channel dependency across website, search, paid media, social, events and partners.</t>
  </si>
  <si>
    <t>Crisis communication</t>
  </si>
  <si>
    <t>MARK-003</t>
  </si>
  <si>
    <t>How mature is the organization in managing website and lead-form availability during traffic spikes, cyberattacks or hosting outages, including ownership, evidence, metrics, fallback procedures and crisis stress testing?</t>
  </si>
  <si>
    <t>Policy/SOP; owner/RACI; system report; dashboard; contracts; test records; incident history; interview evidence related to website and lead-form availability during traffic spikes, cyberattacks or hosting outages.</t>
  </si>
  <si>
    <t>Marketing operations</t>
  </si>
  <si>
    <t>MARK-004</t>
  </si>
  <si>
    <t>How mature is the organization in managing campaign performance, attribution, conversion, CAC and channel ROI measurement, including ownership, evidence, metrics, fallback procedures and crisis stress testing?</t>
  </si>
  <si>
    <t>Policy/SOP; owner/RACI; system report; dashboard; contracts; test records; incident history; interview evidence related to campaign performance, attribution, conversion, CAC and channel ROI measurement.</t>
  </si>
  <si>
    <t>No reliable evidence that campaign performance, attribution, conversion, cac and channel roi measurement is defined, owned or managed.</t>
  </si>
  <si>
    <t>Campaign performance, attribution, conversion, CAC and channel ROI measurement is handled informally and depends on individual knowledge or heroic effort.</t>
  </si>
  <si>
    <t>Campaign performance, attribution, conversion, CAC and channel ROI measurement is partially documented or implemented, but coverage is inconsistent and not crisis-tested.</t>
  </si>
  <si>
    <t>Campaign performance, attribution, conversion, CAC and channel ROI measurement is documented, owned, used in normal operations and supported by basic evidence or metrics.</t>
  </si>
  <si>
    <t>Campaign performance, attribution, conversion, CAC and channel ROI measurement is measured, periodically reviewed, integrated with related processes and tested against relevant disruption scenarios.</t>
  </si>
  <si>
    <t>Campaign performance, attribution, conversion, CAC and channel ROI measurement is optimized, continuously improved, automated where practical and demonstrably supports crisis resilience.</t>
  </si>
  <si>
    <t>MARK-005</t>
  </si>
  <si>
    <t>How mature is the organization in managing lead capture, routing, qualification and follow-up resilience, including ownership, evidence, metrics, fallback procedures and crisis stress testing?</t>
  </si>
  <si>
    <t>Policy/SOP; owner/RACI; system report; dashboard; contracts; test records; incident history; interview evidence related to lead capture, routing, qualification and follow-up resilience.</t>
  </si>
  <si>
    <t>No reliable evidence that lead capture, routing, qualification and follow-up resilience is defined, owned or managed.</t>
  </si>
  <si>
    <t>Lead capture, routing, qualification and follow-up resilience is handled informally and depends on individual knowledge or heroic effort.</t>
  </si>
  <si>
    <t>Lead capture, routing, qualification and follow-up resilience is partially documented or implemented, but coverage is inconsistent and not crisis-tested.</t>
  </si>
  <si>
    <t>Lead capture, routing, qualification and follow-up resilience is documented, owned, used in normal operations and supported by basic evidence or metrics.</t>
  </si>
  <si>
    <t>Lead capture, routing, qualification and follow-up resilience is measured, periodically reviewed, integrated with related processes and tested against relevant disruption scenarios.</t>
  </si>
  <si>
    <t>Lead capture, routing, qualification and follow-up resilience is optimized, continuously improved, automated where practical and demonstrably supports crisis resilience.</t>
  </si>
  <si>
    <t>MARK-006</t>
  </si>
  <si>
    <t>How mature is the organization in managing approved crisis communication templates for customers, employees, media, regulators and partners, including ownership, evidence, metrics, fallback procedures and crisis stress testing?</t>
  </si>
  <si>
    <t>Policy/SOP; owner/RACI; system report; dashboard; contracts; test records; incident history; interview evidence related to approved crisis communication templates for customers, employees, media, regulators and partners.</t>
  </si>
  <si>
    <t>MARK-007</t>
  </si>
  <si>
    <t>How mature is the organization in managing spokesperson identification, media training and backup coverage, including ownership, evidence, metrics, fallback procedures and crisis stress testing?</t>
  </si>
  <si>
    <t>Policy/SOP; owner/RACI; system report; dashboard; contracts; test records; incident history; interview evidence related to spokesperson identification, media training and backup coverage.</t>
  </si>
  <si>
    <t>MARK-008</t>
  </si>
  <si>
    <t>How mature is the organization in managing media, social, review and customer sentiment monitoring, including ownership, evidence, metrics, fallback procedures and crisis stress testing?</t>
  </si>
  <si>
    <t>Policy/SOP; owner/RACI; system report; dashboard; contracts; test records; incident history; interview evidence related to media, social, review and customer sentiment monitoring.</t>
  </si>
  <si>
    <t>No reliable evidence that media, social, review and customer sentiment monitoring is defined, owned or managed.</t>
  </si>
  <si>
    <t>Media, social, review and customer sentiment monitoring is handled informally and depends on individual knowledge or heroic effort.</t>
  </si>
  <si>
    <t>Media, social, review and customer sentiment monitoring is partially documented or implemented, but coverage is inconsistent and not crisis-tested.</t>
  </si>
  <si>
    <t>Media, social, review and customer sentiment monitoring is documented, owned, used in normal operations and supported by basic evidence or metrics.</t>
  </si>
  <si>
    <t>Media, social, review and customer sentiment monitoring is measured, periodically reviewed, integrated with related processes and tested against relevant disruption scenarios.</t>
  </si>
  <si>
    <t>Media, social, review and customer sentiment monitoring is optimized, continuously improved, automated where practical and demonstrably supports crisis resilience.</t>
  </si>
  <si>
    <t>MARK-009</t>
  </si>
  <si>
    <t>How mature is the organization in managing escalation and approval rules for sensitive public responses, including ownership, evidence, metrics, fallback procedures and crisis stress testing?</t>
  </si>
  <si>
    <t>Policy/SOP; owner/RACI; system report; dashboard; contracts; test records; incident history; interview evidence related to escalation and approval rules for sensitive public responses.</t>
  </si>
  <si>
    <t>No reliable evidence that escalation and approval rules for sensitive public responses is defined, owned or managed.</t>
  </si>
  <si>
    <t>Escalation and approval rules for sensitive public responses is handled informally and depends on individual knowledge or heroic effort.</t>
  </si>
  <si>
    <t>Escalation and approval rules for sensitive public responses is partially documented or implemented, but coverage is inconsistent and not crisis-tested.</t>
  </si>
  <si>
    <t>Escalation and approval rules for sensitive public responses is documented, owned, used in normal operations and supported by basic evidence or metrics.</t>
  </si>
  <si>
    <t>Escalation and approval rules for sensitive public responses is measured, periodically reviewed, integrated with related processes and tested against relevant disruption scenarios.</t>
  </si>
  <si>
    <t>Escalation and approval rules for sensitive public responses is optimized, continuously improved, automated where practical and demonstrably supports crisis resilience.</t>
  </si>
  <si>
    <t>MARK-010</t>
  </si>
  <si>
    <t>How mature is the organization in managing customer communication channel diversity across email, phone, portal, SMS, account managers and social media, including ownership, evidence, metrics, fallback procedures and crisis stress testing?</t>
  </si>
  <si>
    <t>Policy/SOP; owner/RACI; system report; dashboard; contracts; test records; incident history; interview evidence related to customer communication channel diversity across email, phone, portal, SMS, account managers and social media.</t>
  </si>
  <si>
    <t>No reliable evidence that customer communication channel diversity across email, phone, portal, sms, account managers and social media is defined, owned or managed.</t>
  </si>
  <si>
    <t>Customer communication channel diversity across email, phone, portal, SMS, account managers and social media is handled informally and depends on individual knowledge or heroic effort.</t>
  </si>
  <si>
    <t>Customer communication channel diversity across email, phone, portal, SMS, account managers and social media is partially documented or implemented, but coverage is inconsistent and not crisis-tested.</t>
  </si>
  <si>
    <t>Customer communication channel diversity across email, phone, portal, SMS, account managers and social media is documented, owned, used in normal operations and supported by basic evidence or metrics.</t>
  </si>
  <si>
    <t>Customer communication channel diversity across email, phone, portal, SMS, account managers and social media is measured, periodically reviewed, integrated with related processes and tested against relevant disruption scenarios.</t>
  </si>
  <si>
    <t>Customer communication channel diversity across email, phone, portal, SMS, account managers and social media is optimized, continuously improved, automated where practical and demonstrably supports crisis resilience.</t>
  </si>
  <si>
    <t>MARK-011</t>
  </si>
  <si>
    <t>How mature is the organization in managing misinformation, impersonation, fake invoice and brand-abuse response process, including ownership, evidence, metrics, fallback procedures and crisis stress testing?</t>
  </si>
  <si>
    <t>Policy/SOP; owner/RACI; system report; dashboard; contracts; test records; incident history; interview evidence related to misinformation, impersonation, fake invoice and brand-abuse response process.</t>
  </si>
  <si>
    <t>No reliable evidence that misinformation, impersonation, fake invoice and brand-abuse response process is defined, owned or managed.</t>
  </si>
  <si>
    <t>Misinformation, impersonation, fake invoice and brand-abuse response process is handled informally and depends on individual knowledge or heroic effort.</t>
  </si>
  <si>
    <t>Misinformation, impersonation, fake invoice and brand-abuse response process is partially documented or implemented, but coverage is inconsistent and not crisis-tested.</t>
  </si>
  <si>
    <t>Misinformation, impersonation, fake invoice and brand-abuse response process is documented, owned, used in normal operations and supported by basic evidence or metrics.</t>
  </si>
  <si>
    <t>Misinformation, impersonation, fake invoice and brand-abuse response process is measured, periodically reviewed, integrated with related processes and tested against relevant disruption scenarios.</t>
  </si>
  <si>
    <t>Misinformation, impersonation, fake invoice and brand-abuse response process is optimized, continuously improved, automated where practical and demonstrably supports crisis resilience.</t>
  </si>
  <si>
    <t>MARK-012</t>
  </si>
  <si>
    <t>How mature is the organization in managing critical marketing and communication asset access if cloud tools or key people are unavailable, including ownership, evidence, metrics, fallback procedures and crisis stress testing?</t>
  </si>
  <si>
    <t>Policy/SOP; owner/RACI; system report; dashboard; contracts; test records; incident history; interview evidence related to critical marketing and communication asset access if cloud tools or key people are unavailable.</t>
  </si>
  <si>
    <t>MARK-013</t>
  </si>
  <si>
    <t>How mature is the organization in managing marketing automation, email, analytics, CMS, domain and DNS dependency documentation, including ownership, evidence, metrics, fallback procedures and crisis stress testing?</t>
  </si>
  <si>
    <t>Policy/SOP; owner/RACI; system report; dashboard; contracts; test records; incident history; interview evidence related to marketing automation, email, analytics, CMS, domain and DNS dependency documentation.</t>
  </si>
  <si>
    <t>No reliable evidence that marketing automation, email, analytics, cms, domain and dns dependency documentation is defined, owned or managed.</t>
  </si>
  <si>
    <t>Marketing automation, email, analytics, CMS, domain and DNS dependency documentation is handled informally and depends on individual knowledge or heroic effort.</t>
  </si>
  <si>
    <t>Marketing automation, email, analytics, CMS, domain and DNS dependency documentation is partially documented or implemented, but coverage is inconsistent and not crisis-tested.</t>
  </si>
  <si>
    <t>Marketing automation, email, analytics, CMS, domain and DNS dependency documentation is documented, owned, used in normal operations and supported by basic evidence or metrics.</t>
  </si>
  <si>
    <t>Marketing automation, email, analytics, CMS, domain and DNS dependency documentation is measured, periodically reviewed, integrated with related processes and tested against relevant disruption scenarios.</t>
  </si>
  <si>
    <t>Marketing automation, email, analytics, CMS, domain and DNS dependency documentation is optimized, continuously improved, automated where practical and demonstrably supports crisis resilience.</t>
  </si>
  <si>
    <t>MARK-014</t>
  </si>
  <si>
    <t>How mature is the organization in managing privacy, consent, unsubscribe, advertising claims and industry marketing compliance, including ownership, evidence, metrics, fallback procedures and crisis stress testing?</t>
  </si>
  <si>
    <t>Policy/SOP; owner/RACI; system report; dashboard; contracts; test records; incident history; interview evidence related to privacy, consent, unsubscribe, advertising claims and industry marketing compliance.</t>
  </si>
  <si>
    <t>No reliable evidence that privacy, consent, unsubscribe, advertising claims and industry marketing compliance is defined, owned or managed.</t>
  </si>
  <si>
    <t>Privacy, consent, unsubscribe, advertising claims and industry marketing compliance is handled informally and depends on individual knowledge or heroic effort.</t>
  </si>
  <si>
    <t>Privacy, consent, unsubscribe, advertising claims and industry marketing compliance is partially documented or implemented, but coverage is inconsistent and not crisis-tested.</t>
  </si>
  <si>
    <t>Privacy, consent, unsubscribe, advertising claims and industry marketing compliance is documented, owned, used in normal operations and supported by basic evidence or metrics.</t>
  </si>
  <si>
    <t>Privacy, consent, unsubscribe, advertising claims and industry marketing compliance is measured, periodically reviewed, integrated with related processes and tested against relevant disruption scenarios.</t>
  </si>
  <si>
    <t>Privacy, consent, unsubscribe, advertising claims and industry marketing compliance is optimized, continuously improved, automated where practical and demonstrably supports crisis resilience.</t>
  </si>
  <si>
    <t>MARK-015</t>
  </si>
  <si>
    <t>How mature is the organization in managing demand-generation playbooks for budget cuts, channel failure, competitive pressure or geopolitical restrictions, including ownership, evidence, metrics, fallback procedures and crisis stress testing?</t>
  </si>
  <si>
    <t>Policy/SOP; owner/RACI; system report; dashboard; contracts; test records; incident history; interview evidence related to demand-generation playbooks for budget cuts, channel failure, competitive pressure or geopolitical restrictions.</t>
  </si>
  <si>
    <t>No reliable evidence that demand-generation playbooks for budget cuts, channel failure, competitive pressure or geopolitical restrictions is defined, owned or managed.</t>
  </si>
  <si>
    <t>Demand-generation playbooks for budget cuts, channel failure, competitive pressure or geopolitical restrictions is handled informally and depends on individual knowledge or heroic effort.</t>
  </si>
  <si>
    <t>Demand-generation playbooks for budget cuts, channel failure, competitive pressure or geopolitical restrictions is partially documented or implemented, but coverage is inconsistent and not crisis-tested.</t>
  </si>
  <si>
    <t>Demand-generation playbooks for budget cuts, channel failure, competitive pressure or geopolitical restrictions is documented, owned, used in normal operations and supported by basic evidence or metrics.</t>
  </si>
  <si>
    <t>Demand-generation playbooks for budget cuts, channel failure, competitive pressure or geopolitical restrictions is measured, periodically reviewed, integrated with related processes and tested against relevant disruption scenarios.</t>
  </si>
  <si>
    <t>Demand-generation playbooks for budget cuts, channel failure, competitive pressure or geopolitical restrictions is optimized, continuously improved, automated where practical and demonstrably supports crisis resilience.</t>
  </si>
  <si>
    <t>MARK-016</t>
  </si>
  <si>
    <t>How mature is the organization in managing sales-marketing alignment on ICP, lead definitions, messages, offers and crisis concerns, including ownership, evidence, metrics, fallback procedures and crisis stress testing?</t>
  </si>
  <si>
    <t>Policy/SOP; owner/RACI; system report; dashboard; contracts; test records; incident history; interview evidence related to sales-marketing alignment on ICP, lead definitions, messages, offers and crisis concerns.</t>
  </si>
  <si>
    <t>IT Cloud DR</t>
  </si>
  <si>
    <t>ITCL-001</t>
  </si>
  <si>
    <t>IT inventory and architecture</t>
  </si>
  <si>
    <t>How mature is the organization in managing complete inventory of applications, infrastructure, cloud accounts, integrations, data stores and owners, including ownership, evidence, metrics, fallback procedures and crisis stress testing?</t>
  </si>
  <si>
    <t>This topic affects exposure to IT outage; Cloud outage; Data loss; Cyberattack. It helps identify how disruption may impact operations, people, revenue, systems, legal exposure or recovery time.</t>
  </si>
  <si>
    <t>ISO/IEC 27001; ISO/IEC 20000-1; NIST CSF 2.0; NIST SP 800-34; COBIT; ITIL 4; FinOps</t>
  </si>
  <si>
    <t>Policy/SOP; owner/RACI; system report; dashboard; contracts; test records; incident history; interview evidence related to complete inventory of applications, infrastructure, cloud accounts, integrations, data stores and owners.</t>
  </si>
  <si>
    <t>IT outage; Cloud outage; Data loss; Cyberattack</t>
  </si>
  <si>
    <t>ITCL-002</t>
  </si>
  <si>
    <t>How mature is the organization in managing system criticality tiering by business process, RTO, RPO, users and data sensitivity, including ownership, evidence, metrics, fallback procedures and crisis stress testing?</t>
  </si>
  <si>
    <t>Policy/SOP; owner/RACI; system report; dashboard; contracts; test records; incident history; interview evidence related to system criticality tiering by business process, RTO, RPO, users and data sensitivity.</t>
  </si>
  <si>
    <t>Cloud usage</t>
  </si>
  <si>
    <t>ITCL-003</t>
  </si>
  <si>
    <t>How mature is the organization in managing current-state and target-state IT architecture documentation, including ownership, evidence, metrics, fallback procedures and crisis stress testing?</t>
  </si>
  <si>
    <t>Policy/SOP; owner/RACI; system report; dashboard; contracts; test records; incident history; interview evidence related to current-state and target-state IT architecture documentation.</t>
  </si>
  <si>
    <t>No reliable evidence that current-state and target-state it architecture documentation is defined, owned or managed.</t>
  </si>
  <si>
    <t>Current-state and target-state IT architecture documentation is handled informally and depends on individual knowledge or heroic effort.</t>
  </si>
  <si>
    <t>Current-state and target-state IT architecture documentation is partially documented or implemented, but coverage is inconsistent and not crisis-tested.</t>
  </si>
  <si>
    <t>Current-state and target-state IT architecture documentation is documented, owned, used in normal operations and supported by basic evidence or metrics.</t>
  </si>
  <si>
    <t>Current-state and target-state IT architecture documentation is measured, periodically reviewed, integrated with related processes and tested against relevant disruption scenarios.</t>
  </si>
  <si>
    <t>Current-state and target-state IT architecture documentation is optimized, continuously improved, automated where practical and demonstrably supports crisis resilience.</t>
  </si>
  <si>
    <t>Resilience and DR</t>
  </si>
  <si>
    <t>ITCL-004</t>
  </si>
  <si>
    <t>How mature is the organization in managing technical single points of failure across network, identity, DNS, cloud, databases, integrations and support teams, including ownership, evidence, metrics, fallback procedures and crisis stress testing?</t>
  </si>
  <si>
    <t>Policy/SOP; owner/RACI; system report; dashboard; contracts; test records; incident history; interview evidence related to technical single points of failure across network, identity, DNS, cloud, databases, integrations and support teams.</t>
  </si>
  <si>
    <t>Operations</t>
  </si>
  <si>
    <t>ITCL-005</t>
  </si>
  <si>
    <t>How mature is the organization in managing legacy system risk for vendor support, skills, security, integration and replacement options, including ownership, evidence, metrics, fallback procedures and crisis stress testing?</t>
  </si>
  <si>
    <t>Policy/SOP; owner/RACI; system report; dashboard; contracts; test records; incident history; interview evidence related to legacy system risk for vendor support, skills, security, integration and replacement options.</t>
  </si>
  <si>
    <t>No reliable evidence that legacy system risk for vendor support, skills, security, integration and replacement options is defined, owned or managed.</t>
  </si>
  <si>
    <t>Legacy system risk for vendor support, skills, security, integration and replacement options is handled informally and depends on individual knowledge or heroic effort.</t>
  </si>
  <si>
    <t>Legacy system risk for vendor support, skills, security, integration and replacement options is partially documented or implemented, but coverage is inconsistent and not crisis-tested.</t>
  </si>
  <si>
    <t>Legacy system risk for vendor support, skills, security, integration and replacement options is documented, owned, used in normal operations and supported by basic evidence or metrics.</t>
  </si>
  <si>
    <t>Legacy system risk for vendor support, skills, security, integration and replacement options is measured, periodically reviewed, integrated with related processes and tested against relevant disruption scenarios.</t>
  </si>
  <si>
    <t>Legacy system risk for vendor support, skills, security, integration and replacement options is optimized, continuously improved, automated where practical and demonstrably supports crisis resilience.</t>
  </si>
  <si>
    <t>SaaS and integrations</t>
  </si>
  <si>
    <t>ITCL-006</t>
  </si>
  <si>
    <t>How mature is the organization in managing technical debt register linked to resilience, security and business impact, including ownership, evidence, metrics, fallback procedures and crisis stress testing?</t>
  </si>
  <si>
    <t>Policy/SOP; owner/RACI; system report; dashboard; contracts; test records; incident history; interview evidence related to technical debt register linked to resilience, security and business impact.</t>
  </si>
  <si>
    <t>No reliable evidence that technical debt register linked to resilience, security and business impact is defined, owned or managed.</t>
  </si>
  <si>
    <t>Technical debt register linked to resilience, security and business impact is handled informally and depends on individual knowledge or heroic effort.</t>
  </si>
  <si>
    <t>Technical debt register linked to resilience, security and business impact is partially documented or implemented, but coverage is inconsistent and not crisis-tested.</t>
  </si>
  <si>
    <t>Technical debt register linked to resilience, security and business impact is documented, owned, used in normal operations and supported by basic evidence or metrics.</t>
  </si>
  <si>
    <t>Technical debt register linked to resilience, security and business impact is measured, periodically reviewed, integrated with related processes and tested against relevant disruption scenarios.</t>
  </si>
  <si>
    <t>Technical debt register linked to resilience, security and business impact is optimized, continuously improved, automated where practical and demonstrably supports crisis resilience.</t>
  </si>
  <si>
    <t>ITCL-007</t>
  </si>
  <si>
    <t>How mature is the organization in managing cloud account, subscription or project governance with ownership, billing, IAM, tagging and guardrails, including ownership, evidence, metrics, fallback procedures and crisis stress testing?</t>
  </si>
  <si>
    <t>Policy/SOP; owner/RACI; system report; dashboard; contracts; test records; incident history; interview evidence related to cloud account, subscription or project governance with ownership, billing, IAM, tagging and guardrails.</t>
  </si>
  <si>
    <t>ITCL-008</t>
  </si>
  <si>
    <t>How mature is the organization in managing cloud provider, SaaS, region and managed-service concentration risk, including ownership, evidence, metrics, fallback procedures and crisis stress testing?</t>
  </si>
  <si>
    <t>Policy/SOP; owner/RACI; system report; dashboard; contracts; test records; incident history; interview evidence related to cloud provider, SaaS, region and managed-service concentration risk.</t>
  </si>
  <si>
    <t>ITCL-009</t>
  </si>
  <si>
    <t>How mature is the organization in managing multi-region, multi-zone or failover design for critical cloud services where justified, including ownership, evidence, metrics, fallback procedures and crisis stress testing?</t>
  </si>
  <si>
    <t>Policy/SOP; owner/RACI; system report; dashboard; contracts; test records; incident history; interview evidence related to multi-region, multi-zone or failover design for critical cloud services where justified.</t>
  </si>
  <si>
    <t>ITCL-010</t>
  </si>
  <si>
    <t>How mature is the organization in managing cloud cost monitoring, budgets, alerts, forecasting and FinOps practices, including ownership, evidence, metrics, fallback procedures and crisis stress testing?</t>
  </si>
  <si>
    <t>Policy/SOP; owner/RACI; system report; dashboard; contracts; test records; incident history; interview evidence related to cloud cost monitoring, budgets, alerts, forecasting and FinOps practices.</t>
  </si>
  <si>
    <t>ITCL-012</t>
  </si>
  <si>
    <t>How mature is the organization in managing cloud backup and restore of configurations, data, infrastructure-as-code and managed services, including ownership, evidence, metrics, fallback procedures and crisis stress testing?</t>
  </si>
  <si>
    <t>Policy/SOP; owner/RACI; system report; dashboard; contracts; test records; incident history; interview evidence related to cloud backup and restore of configurations, data, infrastructure-as-code and managed services.</t>
  </si>
  <si>
    <t>ITCL-013</t>
  </si>
  <si>
    <t>How mature is the organization in managing backup coverage for systems, databases, files, SaaS data, configurations and cloud resources, including ownership, evidence, metrics, fallback procedures and crisis stress testing?</t>
  </si>
  <si>
    <t>Policy/SOP; owner/RACI; system report; dashboard; contracts; test records; incident history; interview evidence related to backup coverage for systems, databases, files, SaaS data, configurations and cloud resources.</t>
  </si>
  <si>
    <t>ITCL-014</t>
  </si>
  <si>
    <t>How mature is the organization in managing regular restore testing against defined RTO and RPO, including ownership, evidence, metrics, fallback procedures and crisis stress testing?</t>
  </si>
  <si>
    <t>Policy/SOP; owner/RACI; system report; dashboard; contracts; test records; incident history; interview evidence related to regular restore testing against defined RTO and RPO.</t>
  </si>
  <si>
    <t>No backups or restores have never been attempted.</t>
  </si>
  <si>
    <t>Backups exist; restore never tested.</t>
  </si>
  <si>
    <t>Restore tested once or long ago; RTO/RPO unknown.</t>
  </si>
  <si>
    <t>Restore tested at least annually; RTO/RPO defined and met in tests.</t>
  </si>
  <si>
    <t>Restore tested quarterly incl. critical systems; RTO/RPO measured and reported.</t>
  </si>
  <si>
    <t>Automated recovery/failover, tested regularly; recovery proven during real events or full DR exercises.</t>
  </si>
  <si>
    <t>ITCL-015</t>
  </si>
  <si>
    <t>How mature is the organization in managing DR runbooks for critical systems with owners, dependencies and communication rules, including ownership, evidence, metrics, fallback procedures and crisis stress testing?</t>
  </si>
  <si>
    <t>Policy/SOP; owner/RACI; system report; dashboard; contracts; test records; incident history; interview evidence related to DR runbooks for critical systems with owners, dependencies and communication rules.</t>
  </si>
  <si>
    <t>ITCL-016</t>
  </si>
  <si>
    <t>How mature is the organization in managing DR exercises for ransomware, cloud region failure, identity outage and data corruption, including ownership, evidence, metrics, fallback procedures and crisis stress testing?</t>
  </si>
  <si>
    <t>Policy/SOP; owner/RACI; system report; dashboard; contracts; test records; incident history; interview evidence related to DR exercises for ransomware, cloud region failure, identity outage and data corruption.</t>
  </si>
  <si>
    <t>ITCL-017</t>
  </si>
  <si>
    <t>How mature is the organization in managing manual fallback for critical IT-dependent business processes, including ownership, evidence, metrics, fallback procedures and crisis stress testing?</t>
  </si>
  <si>
    <t>Policy/SOP; owner/RACI; system report; dashboard; contracts; test records; incident history; interview evidence related to manual fallback for critical IT-dependent business processes.</t>
  </si>
  <si>
    <t>ITCL-018</t>
  </si>
  <si>
    <t>How mature is the organization in managing on-call coverage, escalation and vendor support for critical systems, including ownership, evidence, metrics, fallback procedures and crisis stress testing?</t>
  </si>
  <si>
    <t>Policy/SOP; owner/RACI; system report; dashboard; contracts; test records; incident history; interview evidence related to on-call coverage, escalation and vendor support for critical systems.</t>
  </si>
  <si>
    <t>ITCL-019</t>
  </si>
  <si>
    <t>How mature is the organization in managing IT service management for incidents, requests, problems, changes and assets, including ownership, evidence, metrics, fallback procedures and crisis stress testing?</t>
  </si>
  <si>
    <t>Policy/SOP; owner/RACI; system report; dashboard; contracts; test records; incident history; interview evidence related to IT service management for incidents, requests, problems, changes and assets.</t>
  </si>
  <si>
    <t>ITCL-020</t>
  </si>
  <si>
    <t>How mature is the organization in managing monitoring and alerting for availability, performance, capacity, security and user impact, including ownership, evidence, metrics, fallback procedures and crisis stress testing?</t>
  </si>
  <si>
    <t>Policy/SOP; owner/RACI; system report; dashboard; contracts; test records; incident history; interview evidence related to monitoring and alerting for availability, performance, capacity, security and user impact.</t>
  </si>
  <si>
    <t>No reliable evidence that monitoring and alerting for availability, performance, capacity, security and user impact is defined, owned or managed.</t>
  </si>
  <si>
    <t>Monitoring and alerting for availability, performance, capacity, security and user impact is handled informally and depends on individual knowledge or heroic effort.</t>
  </si>
  <si>
    <t>Monitoring and alerting for availability, performance, capacity, security and user impact is partially documented or implemented, but coverage is inconsistent and not crisis-tested.</t>
  </si>
  <si>
    <t>Monitoring and alerting for availability, performance, capacity, security and user impact is documented, owned, used in normal operations and supported by basic evidence or metrics.</t>
  </si>
  <si>
    <t>Monitoring and alerting for availability, performance, capacity, security and user impact is measured, periodically reviewed, integrated with related processes and tested against relevant disruption scenarios.</t>
  </si>
  <si>
    <t>Monitoring and alerting for availability, performance, capacity, security and user impact is optimized, continuously improved, automated where practical and demonstrably supports crisis resilience.</t>
  </si>
  <si>
    <t>ITCL-021</t>
  </si>
  <si>
    <t>How mature is the organization in managing network resilience for internet, DNS, firewalls, VPN/ZTNA, routing and telecom, including ownership, evidence, metrics, fallback procedures and crisis stress testing?</t>
  </si>
  <si>
    <t>Policy/SOP; owner/RACI; system report; dashboard; contracts; test records; incident history; interview evidence related to network resilience for internet, DNS, firewalls, VPN/ZTNA, routing and telecom.</t>
  </si>
  <si>
    <t>No reliable evidence that network resilience for internet, dns, firewalls, vpn/ztna, routing and telecom is defined, owned or managed.</t>
  </si>
  <si>
    <t>Network resilience for internet, DNS, firewalls, VPN/ZTNA, routing and telecom is handled informally and depends on individual knowledge or heroic effort.</t>
  </si>
  <si>
    <t>Network resilience for internet, DNS, firewalls, VPN/ZTNA, routing and telecom is partially documented or implemented, but coverage is inconsistent and not crisis-tested.</t>
  </si>
  <si>
    <t>Network resilience for internet, DNS, firewalls, VPN/ZTNA, routing and telecom is documented, owned, used in normal operations and supported by basic evidence or metrics.</t>
  </si>
  <si>
    <t>Network resilience for internet, DNS, firewalls, VPN/ZTNA, routing and telecom is measured, periodically reviewed, integrated with related processes and tested against relevant disruption scenarios.</t>
  </si>
  <si>
    <t>Network resilience for internet, DNS, firewalls, VPN/ZTNA, routing and telecom is optimized, continuously improved, automated where practical and demonstrably supports crisis resilience.</t>
  </si>
  <si>
    <t>ITCL-022</t>
  </si>
  <si>
    <t>How mature is the organization in managing secure remote access for critical users during remote-only operations, including ownership, evidence, metrics, fallback procedures and crisis stress testing?</t>
  </si>
  <si>
    <t>Policy/SOP; owner/RACI; system report; dashboard; contracts; test records; incident history; interview evidence related to secure remote access for critical users during remote-only operations.</t>
  </si>
  <si>
    <t>ITCL-023</t>
  </si>
  <si>
    <t>How mature is the organization in managing endpoint inventory, patching, encryption, backup and remote management, including ownership, evidence, metrics, fallback procedures and crisis stress testing?</t>
  </si>
  <si>
    <t>Policy/SOP; owner/RACI; system report; dashboard; contracts; test records; incident history; interview evidence related to endpoint inventory, patching, encryption, backup and remote management.</t>
  </si>
  <si>
    <t>ITCL-024</t>
  </si>
  <si>
    <t>How mature is the organization in managing license continuity for software, cloud services and critical SaaS tools, including ownership, evidence, metrics, fallback procedures and crisis stress testing?</t>
  </si>
  <si>
    <t>Policy/SOP; owner/RACI; system report; dashboard; contracts; test records; incident history; interview evidence related to license continuity for software, cloud services and critical SaaS tools.</t>
  </si>
  <si>
    <t>ITCL-025</t>
  </si>
  <si>
    <t>How mature is the organization in managing critical SaaS assessment for availability, export, backup, admin access, integrations and contract continuity, including ownership, evidence, metrics, fallback procedures and crisis stress testing?</t>
  </si>
  <si>
    <t>Policy/SOP; owner/RACI; system report; dashboard; contracts; test records; incident history; interview evidence related to critical SaaS assessment for availability, export, backup, admin access, integrations and contract continuity.</t>
  </si>
  <si>
    <t>ITCL-026</t>
  </si>
  <si>
    <t>How mature is the organization in managing SaaS data backup or exportability if provider or account becomes unavailable, including ownership, evidence, metrics, fallback procedures and crisis stress testing?</t>
  </si>
  <si>
    <t>Policy/SOP; owner/RACI; system report; dashboard; contracts; test records; incident history; interview evidence related to SaaS data backup or exportability if provider or account becomes unavailable.</t>
  </si>
  <si>
    <t>ITCL-027</t>
  </si>
  <si>
    <t>How mature is the organization in managing API, ETL, middleware, file exchange and manual integration catalog, including ownership, evidence, metrics, fallback procedures and crisis stress testing?</t>
  </si>
  <si>
    <t>Policy/SOP; owner/RACI; system report; dashboard; contracts; test records; incident history; interview evidence related to API, ETL, middleware, file exchange and manual integration catalog.</t>
  </si>
  <si>
    <t>No reliable evidence that api, etl, middleware, file exchange and manual integration catalog is defined, owned or managed.</t>
  </si>
  <si>
    <t>API, ETL, middleware, file exchange and manual integration catalog is handled informally and depends on individual knowledge or heroic effort.</t>
  </si>
  <si>
    <t>API, ETL, middleware, file exchange and manual integration catalog is partially documented or implemented, but coverage is inconsistent and not crisis-tested.</t>
  </si>
  <si>
    <t>API, ETL, middleware, file exchange and manual integration catalog is documented, owned, used in normal operations and supported by basic evidence or metrics.</t>
  </si>
  <si>
    <t>API, ETL, middleware, file exchange and manual integration catalog is measured, periodically reviewed, integrated with related processes and tested against relevant disruption scenarios.</t>
  </si>
  <si>
    <t>API, ETL, middleware, file exchange and manual integration catalog is optimized, continuously improved, automated where practical and demonstrably supports crisis resilience.</t>
  </si>
  <si>
    <t>ITCL-028</t>
  </si>
  <si>
    <t>How mature is the organization in managing integration monitoring, retry, queue, reconciliation and fallback procedures, including ownership, evidence, metrics, fallback procedures and crisis stress testing?</t>
  </si>
  <si>
    <t>Policy/SOP; owner/RACI; system report; dashboard; contracts; test records; incident history; interview evidence related to integration monitoring, retry, queue, reconciliation and fallback procedures.</t>
  </si>
  <si>
    <t>No reliable evidence that integration monitoring, retry, queue, reconciliation and fallback procedures is defined, owned or managed.</t>
  </si>
  <si>
    <t>Integration monitoring, retry, queue, reconciliation and fallback procedures is handled informally and depends on individual knowledge or heroic effort.</t>
  </si>
  <si>
    <t>Integration monitoring, retry, queue, reconciliation and fallback procedures is partially documented or implemented, but coverage is inconsistent and not crisis-tested.</t>
  </si>
  <si>
    <t>Integration monitoring, retry, queue, reconciliation and fallback procedures is documented, owned, used in normal operations and supported by basic evidence or metrics.</t>
  </si>
  <si>
    <t>Integration monitoring, retry, queue, reconciliation and fallback procedures is measured, periodically reviewed, integrated with related processes and tested against relevant disruption scenarios.</t>
  </si>
  <si>
    <t>Integration monitoring, retry, queue, reconciliation and fallback procedures is optimized, continuously improved, automated where practical and demonstrably supports crisis resilience.</t>
  </si>
  <si>
    <t>ITCL-029</t>
  </si>
  <si>
    <t>How mature is the organization in managing configuration management and version control for infrastructure, cloud and applications, including ownership, evidence, metrics, fallback procedures and crisis stress testing?</t>
  </si>
  <si>
    <t>Policy/SOP; owner/RACI; system report; dashboard; contracts; test records; incident history; interview evidence related to configuration management and version control for infrastructure, cloud and applications.</t>
  </si>
  <si>
    <t>Business Systems</t>
  </si>
  <si>
    <t>BUSI-001</t>
  </si>
  <si>
    <t>How mature is the organization in managing ERP process coverage for finance, procurement, inventory, orders, production or project accounting, including ownership, evidence, metrics, fallback procedures and crisis stress testing?</t>
  </si>
  <si>
    <t>This topic affects exposure to IT outage; Decision failure; Process disruption. It helps identify how disruption may impact operations, people, revenue, systems, legal exposure or recovery time.</t>
  </si>
  <si>
    <t>COBIT; ITIL 4; ISO/IEC 27001; ISO/IEC 20000-1; ERP/CRM/MES/HRMS implementation practices</t>
  </si>
  <si>
    <t>Policy/SOP; owner/RACI; system report; dashboard; contracts; test records; incident history; interview evidence related to ERP process coverage for finance, procurement, inventory, orders, production or project accounting.</t>
  </si>
  <si>
    <t>IT outage; Decision failure; Process disruption</t>
  </si>
  <si>
    <t>BUSI-002</t>
  </si>
  <si>
    <t>How mature is the organization in managing ERP master data governance for customers, suppliers, items, BOMs, chart of accounts, cost centers and pricing, including ownership, evidence, metrics, fallback procedures and crisis stress testing?</t>
  </si>
  <si>
    <t>Policy/SOP; owner/RACI; system report; dashboard; contracts; test records; incident history; interview evidence related to ERP master data governance for customers, suppliers, items, BOMs, chart of accounts, cost centers and pricing.</t>
  </si>
  <si>
    <t>CRM and commerce</t>
  </si>
  <si>
    <t>BUSI-003</t>
  </si>
  <si>
    <t>How mature is the organization in managing ERP access controls, approvals and segregation of duties, including ownership, evidence, metrics, fallback procedures and crisis stress testing?</t>
  </si>
  <si>
    <t>Policy/SOP; owner/RACI; system report; dashboard; contracts; test records; incident history; interview evidence related to ERP access controls, approvals and segregation of duties.</t>
  </si>
  <si>
    <t>MES WMS TMS</t>
  </si>
  <si>
    <t>BUSI-004</t>
  </si>
  <si>
    <t>How mature is the organization in managing ERP continuity with RTO, RPO, backup, vendor support and manual fallback, including ownership, evidence, metrics, fallback procedures and crisis stress testing?</t>
  </si>
  <si>
    <t>Policy/SOP; owner/RACI; system report; dashboard; contracts; test records; incident history; interview evidence related to ERP continuity with RTO, RPO, backup, vendor support and manual fallback.</t>
  </si>
  <si>
    <t>HRMS and finance systems</t>
  </si>
  <si>
    <t>BUSI-005</t>
  </si>
  <si>
    <t>How mature is the organization in managing ERP workflow for procure-to-pay, order-to-cash, record-to-report and plan-to-produce where relevant, including ownership, evidence, metrics, fallback procedures and crisis stress testing?</t>
  </si>
  <si>
    <t>Policy/SOP; owner/RACI; system report; dashboard; contracts; test records; incident history; interview evidence related to ERP workflow for procure-to-pay, order-to-cash, record-to-report and plan-to-produce where relevant.</t>
  </si>
  <si>
    <t>Governance and lifecycle</t>
  </si>
  <si>
    <t>BUSI-006</t>
  </si>
  <si>
    <t>How mature is the organization in managing CRM process coverage for lead-to-cash, customer ownership, pipeline, forecast and account management, including ownership, evidence, metrics, fallback procedures and crisis stress testing?</t>
  </si>
  <si>
    <t>Policy/SOP; owner/RACI; system report; dashboard; contracts; test records; incident history; interview evidence related to CRM process coverage for lead-to-cash, customer ownership, pipeline, forecast and account management.</t>
  </si>
  <si>
    <t>BUSI-007</t>
  </si>
  <si>
    <t>How mature is the organization in managing CRM integration with ERP, billing, support, ecommerce and marketing automation, including ownership, evidence, metrics, fallback procedures and crisis stress testing?</t>
  </si>
  <si>
    <t>Policy/SOP; owner/RACI; system report; dashboard; contracts; test records; incident history; interview evidence related to CRM integration with ERP, billing, support, ecommerce and marketing automation.</t>
  </si>
  <si>
    <t>BUSI-009</t>
  </si>
  <si>
    <t>How mature is the organization in managing customer portal availability and data accuracy during disruption, including ownership, evidence, metrics, fallback procedures and crisis stress testing?</t>
  </si>
  <si>
    <t>Policy/SOP; owner/RACI; system report; dashboard; contracts; test records; incident history; interview evidence related to customer portal availability and data accuracy during disruption.</t>
  </si>
  <si>
    <t>No reliable evidence that customer portal availability and data accuracy during disruption is defined, owned or managed.</t>
  </si>
  <si>
    <t>Customer portal availability and data accuracy during disruption is handled informally and depends on individual knowledge or heroic effort.</t>
  </si>
  <si>
    <t>Customer portal availability and data accuracy during disruption is partially documented or implemented, but coverage is inconsistent and not crisis-tested.</t>
  </si>
  <si>
    <t>Customer portal availability and data accuracy during disruption is documented, owned, used in normal operations and supported by basic evidence or metrics.</t>
  </si>
  <si>
    <t>Customer portal availability and data accuracy during disruption is measured, periodically reviewed, integrated with related processes and tested against relevant disruption scenarios.</t>
  </si>
  <si>
    <t>Customer portal availability and data accuracy during disruption is optimized, continuously improved, automated where practical and demonstrably supports crisis resilience.</t>
  </si>
  <si>
    <t>BUSI-010</t>
  </si>
  <si>
    <t>How mature is the organization in managing MES support for production orders, execution, traceability, downtime, quality and labor, including ownership, evidence, metrics, fallback procedures and crisis stress testing?</t>
  </si>
  <si>
    <t>Policy/SOP; owner/RACI; system report; dashboard; contracts; test records; incident history; interview evidence related to MES support for production orders, execution, traceability, downtime, quality and labor.</t>
  </si>
  <si>
    <t>BUSI-011</t>
  </si>
  <si>
    <t>How mature is the organization in managing MES-ERP integration for orders, inventory consumption, output and quality data, including ownership, evidence, metrics, fallback procedures and crisis stress testing?</t>
  </si>
  <si>
    <t>Policy/SOP; owner/RACI; system report; dashboard; contracts; test records; incident history; interview evidence related to MES-ERP integration for orders, inventory consumption, output and quality data.</t>
  </si>
  <si>
    <t>BUSI-012</t>
  </si>
  <si>
    <t>How mature is the organization in managing WMS support for inventory movement, location, status, batch, picking, packing and cycle counts, including ownership, evidence, metrics, fallback procedures and crisis stress testing?</t>
  </si>
  <si>
    <t>Policy/SOP; owner/RACI; system report; dashboard; contracts; test records; incident history; interview evidence related to WMS support for inventory movement, location, status, batch, picking, packing and cycle counts.</t>
  </si>
  <si>
    <t>No reliable evidence that wms support for inventory movement, location, status, batch, picking, packing and cycle counts is defined, owned or managed.</t>
  </si>
  <si>
    <t>WMS support for inventory movement, location, status, batch, picking, packing and cycle counts is handled informally and depends on individual knowledge or heroic effort.</t>
  </si>
  <si>
    <t>WMS support for inventory movement, location, status, batch, picking, packing and cycle counts is partially documented or implemented, but coverage is inconsistent and not crisis-tested.</t>
  </si>
  <si>
    <t>WMS support for inventory movement, location, status, batch, picking, packing and cycle counts is documented, owned, used in normal operations and supported by basic evidence or metrics.</t>
  </si>
  <si>
    <t>WMS support for inventory movement, location, status, batch, picking, packing and cycle counts is measured, periodically reviewed, integrated with related processes and tested against relevant disruption scenarios.</t>
  </si>
  <si>
    <t>WMS support for inventory movement, location, status, batch, picking, packing and cycle counts is optimized, continuously improved, automated where practical and demonstrably supports crisis resilience.</t>
  </si>
  <si>
    <t>BUSI-013</t>
  </si>
  <si>
    <t>How mature is the organization in managing TMS support for carrier booking, route planning, tracking and delivery visibility, including ownership, evidence, metrics, fallback procedures and crisis stress testing?</t>
  </si>
  <si>
    <t>Policy/SOP; owner/RACI; system report; dashboard; contracts; test records; incident history; interview evidence related to TMS support for carrier booking, route planning, tracking and delivery visibility.</t>
  </si>
  <si>
    <t>No reliable evidence that tms support for carrier booking, route planning, tracking and delivery visibility is defined, owned or managed.</t>
  </si>
  <si>
    <t>TMS support for carrier booking, route planning, tracking and delivery visibility is handled informally and depends on individual knowledge or heroic effort.</t>
  </si>
  <si>
    <t>TMS support for carrier booking, route planning, tracking and delivery visibility is partially documented or implemented, but coverage is inconsistent and not crisis-tested.</t>
  </si>
  <si>
    <t>TMS support for carrier booking, route planning, tracking and delivery visibility is documented, owned, used in normal operations and supported by basic evidence or metrics.</t>
  </si>
  <si>
    <t>TMS support for carrier booking, route planning, tracking and delivery visibility is measured, periodically reviewed, integrated with related processes and tested against relevant disruption scenarios.</t>
  </si>
  <si>
    <t>TMS support for carrier booking, route planning, tracking and delivery visibility is optimized, continuously improved, automated where practical and demonstrably supports crisis resilience.</t>
  </si>
  <si>
    <t>BUSI-014</t>
  </si>
  <si>
    <t>How mature is the organization in managing HRMS coverage for employee records, roles, skills, absence, payroll inputs and emergency contacts, including ownership, evidence, metrics, fallback procedures and crisis stress testing?</t>
  </si>
  <si>
    <t>Policy/SOP; owner/RACI; system report; dashboard; contracts; test records; incident history; interview evidence related to HRMS coverage for employee records, roles, skills, absence, payroll inputs and emergency contacts.</t>
  </si>
  <si>
    <t>BUSI-015</t>
  </si>
  <si>
    <t>How mature is the organization in managing HRMS data quality for employee location, manager, emergency contacts and criticality, including ownership, evidence, metrics, fallback procedures and crisis stress testing?</t>
  </si>
  <si>
    <t>Policy/SOP; owner/RACI; system report; dashboard; contracts; test records; incident history; interview evidence related to HRMS data quality for employee location, manager, emergency contacts and criticality.</t>
  </si>
  <si>
    <t>BUSI-016</t>
  </si>
  <si>
    <t>How mature is the organization in managing finance, banking, expense, payroll and procurement system integration or reconciliation, including ownership, evidence, metrics, fallback procedures and crisis stress testing?</t>
  </si>
  <si>
    <t>Policy/SOP; owner/RACI; system report; dashboard; contracts; test records; incident history; interview evidence related to finance, banking, expense, payroll and procurement system integration or reconciliation.</t>
  </si>
  <si>
    <t>BUSI-018</t>
  </si>
  <si>
    <t>How mature is the organization in managing system ownership with business owner, technical owner, data owner and support owner, including ownership, evidence, metrics, fallback procedures and crisis stress testing?</t>
  </si>
  <si>
    <t>Policy/SOP; owner/RACI; system report; dashboard; contracts; test records; incident history; interview evidence related to system ownership with business owner, technical owner, data owner and support owner.</t>
  </si>
  <si>
    <t>No reliable evidence that system ownership with business owner, technical owner, data owner and support owner is defined, owned or managed.</t>
  </si>
  <si>
    <t>System ownership with business owner, technical owner, data owner and support owner is handled informally and depends on individual knowledge or heroic effort.</t>
  </si>
  <si>
    <t>System ownership with business owner, technical owner, data owner and support owner is partially documented or implemented, but coverage is inconsistent and not crisis-tested.</t>
  </si>
  <si>
    <t>System ownership with business owner, technical owner, data owner and support owner is documented, owned, used in normal operations and supported by basic evidence or metrics.</t>
  </si>
  <si>
    <t>System ownership with business owner, technical owner, data owner and support owner is measured, periodically reviewed, integrated with related processes and tested against relevant disruption scenarios.</t>
  </si>
  <si>
    <t>System ownership with business owner, technical owner, data owner and support owner is optimized, continuously improved, automated where practical and demonstrably supports crisis resilience.</t>
  </si>
  <si>
    <t>BUSI-019</t>
  </si>
  <si>
    <t>How mature is the organization in managing critical system lifecycle review for fit, cost, risk, security, scalability and replacement needs, including ownership, evidence, metrics, fallback procedures and crisis stress testing?</t>
  </si>
  <si>
    <t>Policy/SOP; owner/RACI; system report; dashboard; contracts; test records; incident history; interview evidence related to critical system lifecycle review for fit, cost, risk, security, scalability and replacement needs.</t>
  </si>
  <si>
    <t>BUSI-020</t>
  </si>
  <si>
    <t>How mature is the organization in managing shadow IT inventory for business-critical spreadsheets, scripts, low-code apps and unmanaged SaaS, including ownership, evidence, metrics, fallback procedures and crisis stress testing?</t>
  </si>
  <si>
    <t>Policy/SOP; owner/RACI; system report; dashboard; contracts; test records; incident history; interview evidence related to shadow IT inventory for business-critical spreadsheets, scripts, low-code apps and unmanaged SaaS.</t>
  </si>
  <si>
    <t>BUSI-021</t>
  </si>
  <si>
    <t>How mature is the organization in managing admin account governance across ERP, CRM, HRMS, MES, BI and SaaS tools, including ownership, evidence, metrics, fallback procedures and crisis stress testing?</t>
  </si>
  <si>
    <t>Policy/SOP; owner/RACI; system report; dashboard; contracts; test records; incident history; interview evidence related to admin account governance across ERP, CRM, HRMS, MES, BI and SaaS tools.</t>
  </si>
  <si>
    <t>BUSI-022</t>
  </si>
  <si>
    <t>How mature is the organization in managing data portability and export procedures for critical systems, including ownership, evidence, metrics, fallback procedures and crisis stress testing?</t>
  </si>
  <si>
    <t>Policy/SOP; owner/RACI; system report; dashboard; contracts; test records; incident history; interview evidence related to data portability and export procedures for critical systems.</t>
  </si>
  <si>
    <t>BUSI-023</t>
  </si>
  <si>
    <t>How mature is the organization in managing configuration and customization documentation for critical business systems, including ownership, evidence, metrics, fallback procedures and crisis stress testing?</t>
  </si>
  <si>
    <t>Policy/SOP; owner/RACI; system report; dashboard; contracts; test records; incident history; interview evidence related to configuration and customization documentation for critical business systems.</t>
  </si>
  <si>
    <t>Data BI AI</t>
  </si>
  <si>
    <t>DATA-001</t>
  </si>
  <si>
    <t>Data governance</t>
  </si>
  <si>
    <t>How mature is the organization in managing data owners and stewards for critical data domains, including ownership, evidence, metrics, fallback procedures and crisis stress testing?</t>
  </si>
  <si>
    <t>This topic affects exposure to Decision failure; Data loss; Regulatory/legal shock. It helps identify how disruption may impact operations, people, revenue, systems, legal exposure or recovery time.</t>
  </si>
  <si>
    <t>DAMA-DMBOK; ISO/IEC 38505; ISO/IEC 42001; ISO/IEC 23894; NIST AI RMF; DCAM</t>
  </si>
  <si>
    <t>Policy/SOP; owner/RACI; system report; dashboard; contracts; test records; incident history; interview evidence related to data owners and stewards for critical data domains.</t>
  </si>
  <si>
    <t>Decision failure; Data loss; Regulatory/legal shock</t>
  </si>
  <si>
    <t>DATA-002</t>
  </si>
  <si>
    <t>How mature is the organization in managing data catalog of critical datasets, reports, dashboards, data sources and users, including ownership, evidence, metrics, fallback procedures and crisis stress testing?</t>
  </si>
  <si>
    <t>Policy/SOP; owner/RACI; system report; dashboard; contracts; test records; incident history; interview evidence related to data catalog of critical datasets, reports, dashboards, data sources and users.</t>
  </si>
  <si>
    <t>Data architecture</t>
  </si>
  <si>
    <t>DATA-003</t>
  </si>
  <si>
    <t>How mature is the organization in managing consistent metric definitions across finance, sales, operations, HR, supply chain and manufacturing, including ownership, evidence, metrics, fallback procedures and crisis stress testing?</t>
  </si>
  <si>
    <t>Policy/SOP; owner/RACI; system report; dashboard; contracts; test records; incident history; interview evidence related to consistent metric definitions across finance, sales, operations, HR, supply chain and manufacturing.</t>
  </si>
  <si>
    <t>No reliable evidence that consistent metric definitions across finance, sales, operations, hr, supply chain and manufacturing is defined, owned or managed.</t>
  </si>
  <si>
    <t>Consistent metric definitions across finance, sales, operations, HR, supply chain and manufacturing is handled informally and depends on individual knowledge or heroic effort.</t>
  </si>
  <si>
    <t>Consistent metric definitions across finance, sales, operations, HR, supply chain and manufacturing is partially documented or implemented, but coverage is inconsistent and not crisis-tested.</t>
  </si>
  <si>
    <t>Consistent metric definitions across finance, sales, operations, HR, supply chain and manufacturing is documented, owned, used in normal operations and supported by basic evidence or metrics.</t>
  </si>
  <si>
    <t>Consistent metric definitions across finance, sales, operations, HR, supply chain and manufacturing is measured, periodically reviewed, integrated with related processes and tested against relevant disruption scenarios.</t>
  </si>
  <si>
    <t>Consistent metric definitions across finance, sales, operations, HR, supply chain and manufacturing is optimized, continuously improved, automated where practical and demonstrably supports crisis resilience.</t>
  </si>
  <si>
    <t>BI and analytics</t>
  </si>
  <si>
    <t>DATA-004</t>
  </si>
  <si>
    <t>How mature is the organization in managing data quality rules, monitoring and issue resolution process, including ownership, evidence, metrics, fallback procedures and crisis stress testing?</t>
  </si>
  <si>
    <t>Policy/SOP; owner/RACI; system report; dashboard; contracts; test records; incident history; interview evidence related to data quality rules, monitoring and issue resolution process.</t>
  </si>
  <si>
    <t>No reliable evidence that data quality rules, monitoring and issue resolution process is defined, owned or managed.</t>
  </si>
  <si>
    <t>Data quality rules, monitoring and issue resolution process is handled informally and depends on individual knowledge or heroic effort.</t>
  </si>
  <si>
    <t>Data quality rules, monitoring and issue resolution process is partially documented or implemented, but coverage is inconsistent and not crisis-tested.</t>
  </si>
  <si>
    <t>Data quality rules, monitoring and issue resolution process is documented, owned, used in normal operations and supported by basic evidence or metrics.</t>
  </si>
  <si>
    <t>Data quality rules, monitoring and issue resolution process is measured, periodically reviewed, integrated with related processes and tested against relevant disruption scenarios.</t>
  </si>
  <si>
    <t>Data quality rules, monitoring and issue resolution process is optimized, continuously improved, automated where practical and demonstrably supports crisis resilience.</t>
  </si>
  <si>
    <t>Forecasting and scenarios</t>
  </si>
  <si>
    <t>DATA-005</t>
  </si>
  <si>
    <t>How mature is the organization in managing data classification by sensitivity, business criticality, privacy and retention requirement, including ownership, evidence, metrics, fallback procedures and crisis stress testing?</t>
  </si>
  <si>
    <t>Policy/SOP; owner/RACI; system report; dashboard; contracts; test records; incident history; interview evidence related to data classification by sensitivity, business criticality, privacy and retention requirement.</t>
  </si>
  <si>
    <t>AI readiness</t>
  </si>
  <si>
    <t>DATA-006</t>
  </si>
  <si>
    <t>How mature is the organization in managing data access governance for datasets, warehouses, BI reports and analytics workspaces, including ownership, evidence, metrics, fallback procedures and crisis stress testing?</t>
  </si>
  <si>
    <t>Policy/SOP; owner/RACI; system report; dashboard; contracts; test records; incident history; interview evidence related to data access governance for datasets, warehouses, BI reports and analytics workspaces.</t>
  </si>
  <si>
    <t>No reliable evidence that data access governance for datasets, warehouses, bi reports and analytics workspaces is defined, owned or managed.</t>
  </si>
  <si>
    <t>Data access governance for datasets, warehouses, BI reports and analytics workspaces is handled informally and depends on individual knowledge or heroic effort.</t>
  </si>
  <si>
    <t>Data access governance for datasets, warehouses, BI reports and analytics workspaces is partially documented or implemented, but coverage is inconsistent and not crisis-tested.</t>
  </si>
  <si>
    <t>Data access governance for datasets, warehouses, BI reports and analytics workspaces is documented, owned, used in normal operations and supported by basic evidence or metrics.</t>
  </si>
  <si>
    <t>Data access governance for datasets, warehouses, BI reports and analytics workspaces is measured, periodically reviewed, integrated with related processes and tested against relevant disruption scenarios.</t>
  </si>
  <si>
    <t>Data access governance for datasets, warehouses, BI reports and analytics workspaces is optimized, continuously improved, automated where practical and demonstrably supports crisis resilience.</t>
  </si>
  <si>
    <t>DATA-007</t>
  </si>
  <si>
    <t>How mature is the organization in managing data architecture from source systems to warehouse, lake, BI, AI models and reports, including ownership, evidence, metrics, fallback procedures and crisis stress testing?</t>
  </si>
  <si>
    <t>Policy/SOP; owner/RACI; system report; dashboard; contracts; test records; incident history; interview evidence related to data architecture from source systems to warehouse, lake, BI, AI models and reports.</t>
  </si>
  <si>
    <t>No reliable evidence that data architecture from source systems to warehouse, lake, bi, ai models and reports is defined, owned or managed.</t>
  </si>
  <si>
    <t>Data architecture from source systems to warehouse, lake, BI, AI models and reports is handled informally and depends on individual knowledge or heroic effort.</t>
  </si>
  <si>
    <t>Data architecture from source systems to warehouse, lake, BI, AI models and reports is partially documented or implemented, but coverage is inconsistent and not crisis-tested.</t>
  </si>
  <si>
    <t>Data architecture from source systems to warehouse, lake, BI, AI models and reports is documented, owned, used in normal operations and supported by basic evidence or metrics.</t>
  </si>
  <si>
    <t>Data architecture from source systems to warehouse, lake, BI, AI models and reports is measured, periodically reviewed, integrated with related processes and tested against relevant disruption scenarios.</t>
  </si>
  <si>
    <t>Data architecture from source systems to warehouse, lake, BI, AI models and reports is optimized, continuously improved, automated where practical and demonstrably supports crisis resilience.</t>
  </si>
  <si>
    <t>DATA-008</t>
  </si>
  <si>
    <t>How mature is the organization in managing ETL or ELT monitoring for failures, latency, completeness and reconciliation, including ownership, evidence, metrics, fallback procedures and crisis stress testing?</t>
  </si>
  <si>
    <t>Policy/SOP; owner/RACI; system report; dashboard; contracts; test records; incident history; interview evidence related to ETL or ELT monitoring for failures, latency, completeness and reconciliation.</t>
  </si>
  <si>
    <t>No reliable evidence that etl or elt monitoring for failures, latency, completeness and reconciliation is defined, owned or managed.</t>
  </si>
  <si>
    <t>ETL or ELT monitoring for failures, latency, completeness and reconciliation is handled informally and depends on individual knowledge or heroic effort.</t>
  </si>
  <si>
    <t>ETL or ELT monitoring for failures, latency, completeness and reconciliation is partially documented or implemented, but coverage is inconsistent and not crisis-tested.</t>
  </si>
  <si>
    <t>ETL or ELT monitoring for failures, latency, completeness and reconciliation is documented, owned, used in normal operations and supported by basic evidence or metrics.</t>
  </si>
  <si>
    <t>ETL or ELT monitoring for failures, latency, completeness and reconciliation is measured, periodically reviewed, integrated with related processes and tested against relevant disruption scenarios.</t>
  </si>
  <si>
    <t>ETL or ELT monitoring for failures, latency, completeness and reconciliation is optimized, continuously improved, automated where practical and demonstrably supports crisis resilience.</t>
  </si>
  <si>
    <t>DATA-009</t>
  </si>
  <si>
    <t>How mature is the organization in managing data lineage for critical KPIs, regulatory reports and board dashboards, including ownership, evidence, metrics, fallback procedures and crisis stress testing?</t>
  </si>
  <si>
    <t>Policy/SOP; owner/RACI; system report; dashboard; contracts; test records; incident history; interview evidence related to data lineage for critical KPIs, regulatory reports and board dashboards.</t>
  </si>
  <si>
    <t>DATA-010</t>
  </si>
  <si>
    <t>How mature is the organization in managing backup and recovery for critical datasets, warehouses, BI content and analytics code, including ownership, evidence, metrics, fallback procedures and crisis stress testing?</t>
  </si>
  <si>
    <t>Policy/SOP; owner/RACI; system report; dashboard; contracts; test records; incident history; interview evidence related to backup and recovery for critical datasets, warehouses, BI content and analytics code.</t>
  </si>
  <si>
    <t>DATA-011</t>
  </si>
  <si>
    <t>How mature is the organization in managing retention and deletion rules for structured and unstructured data, including ownership, evidence, metrics, fallback procedures and crisis stress testing?</t>
  </si>
  <si>
    <t>Policy/SOP; owner/RACI; system report; dashboard; contracts; test records; incident history; interview evidence related to retention and deletion rules for structured and unstructured data.</t>
  </si>
  <si>
    <t>No reliable evidence that retention and deletion rules for structured and unstructured data is defined, owned or managed.</t>
  </si>
  <si>
    <t>Retention and deletion rules for structured and unstructured data is handled informally and depends on individual knowledge or heroic effort.</t>
  </si>
  <si>
    <t>Retention and deletion rules for structured and unstructured data is partially documented or implemented, but coverage is inconsistent and not crisis-tested.</t>
  </si>
  <si>
    <t>Retention and deletion rules for structured and unstructured data is documented, owned, used in normal operations and supported by basic evidence or metrics.</t>
  </si>
  <si>
    <t>Retention and deletion rules for structured and unstructured data is measured, periodically reviewed, integrated with related processes and tested against relevant disruption scenarios.</t>
  </si>
  <si>
    <t>Retention and deletion rules for structured and unstructured data is optimized, continuously improved, automated where practical and demonstrably supports crisis resilience.</t>
  </si>
  <si>
    <t>DATA-012</t>
  </si>
  <si>
    <t>How mature is the organization in managing external data source validation for quality, licensing, availability and continuity, including ownership, evidence, metrics, fallback procedures and crisis stress testing?</t>
  </si>
  <si>
    <t>Policy/SOP; owner/RACI; system report; dashboard; contracts; test records; incident history; interview evidence related to external data source validation for quality, licensing, availability and continuity.</t>
  </si>
  <si>
    <t>DATA-013</t>
  </si>
  <si>
    <t>How mature is the organization in managing executive dashboards for crisis KPIs such as cash, workforce, supply, delivery, revenue and incidents, including ownership, evidence, metrics, fallback procedures and crisis stress testing?</t>
  </si>
  <si>
    <t>Policy/SOP; owner/RACI; system report; dashboard; contracts; test records; incident history; interview evidence related to executive dashboards for crisis KPIs such as cash, workforce, supply, delivery, revenue and incidents.</t>
  </si>
  <si>
    <t>DATA-014</t>
  </si>
  <si>
    <t>How mature is the organization in managing operational dashboards for daily management and crisis response, including ownership, evidence, metrics, fallback procedures and crisis stress testing?</t>
  </si>
  <si>
    <t>Policy/SOP; owner/RACI; system report; dashboard; contracts; test records; incident history; interview evidence related to operational dashboards for daily management and crisis response.</t>
  </si>
  <si>
    <t>DATA-015</t>
  </si>
  <si>
    <t>How mature is the organization in managing single source of truth for critical reports instead of manually reconciled spreadsheets, including ownership, evidence, metrics, fallback procedures and crisis stress testing?</t>
  </si>
  <si>
    <t>Policy/SOP; owner/RACI; system report; dashboard; contracts; test records; incident history; interview evidence related to single source of truth for critical reports instead of manually reconciled spreadsheets.</t>
  </si>
  <si>
    <t>DATA-016</t>
  </si>
  <si>
    <t>How mature is the organization in managing self-service analytics governance to avoid uncontrolled reporting, including ownership, evidence, metrics, fallback procedures and crisis stress testing?</t>
  </si>
  <si>
    <t>Policy/SOP; owner/RACI; system report; dashboard; contracts; test records; incident history; interview evidence related to self-service analytics governance to avoid uncontrolled reporting.</t>
  </si>
  <si>
    <t>No reliable evidence that self-service analytics governance to avoid uncontrolled reporting is defined, owned or managed.</t>
  </si>
  <si>
    <t>Self-service analytics governance to avoid uncontrolled reporting is handled informally and depends on individual knowledge or heroic effort.</t>
  </si>
  <si>
    <t>Self-service analytics governance to avoid uncontrolled reporting is partially documented or implemented, but coverage is inconsistent and not crisis-tested.</t>
  </si>
  <si>
    <t>Self-service analytics governance to avoid uncontrolled reporting is documented, owned, used in normal operations and supported by basic evidence or metrics.</t>
  </si>
  <si>
    <t>Self-service analytics governance to avoid uncontrolled reporting is measured, periodically reviewed, integrated with related processes and tested against relevant disruption scenarios.</t>
  </si>
  <si>
    <t>Self-service analytics governance to avoid uncontrolled reporting is optimized, continuously improved, automated where practical and demonstrably supports crisis resilience.</t>
  </si>
  <si>
    <t>DATA-017</t>
  </si>
  <si>
    <t>How mature is the organization in managing rapid ad hoc crisis reporting without breaking data controls, including ownership, evidence, metrics, fallback procedures and crisis stress testing?</t>
  </si>
  <si>
    <t>Policy/SOP; owner/RACI; system report; dashboard; contracts; test records; incident history; interview evidence related to rapid ad hoc crisis reporting without breaking data controls.</t>
  </si>
  <si>
    <t>DATA-018</t>
  </si>
  <si>
    <t>How mature is the organization in managing data literacy of managers and employees interpreting KPIs, forecasts and analytics, including ownership, evidence, metrics, fallback procedures and crisis stress testing?</t>
  </si>
  <si>
    <t>Policy/SOP; owner/RACI; system report; dashboard; contracts; test records; incident history; interview evidence related to data literacy of managers and employees interpreting KPIs, forecasts and analytics.</t>
  </si>
  <si>
    <t>DATA-019</t>
  </si>
  <si>
    <t>How mature is the organization in managing forecasting capability for demand, cash, inventory, workforce, production, churn or supplier risk, including ownership, evidence, metrics, fallback procedures and crisis stress testing?</t>
  </si>
  <si>
    <t>Policy/SOP; owner/RACI; system report; dashboard; contracts; test records; incident history; interview evidence related to forecasting capability for demand, cash, inventory, workforce, production, churn or supplier risk.</t>
  </si>
  <si>
    <t>DATA-020</t>
  </si>
  <si>
    <t>How mature is the organization in managing scenario modeling using sales, suppliers, workforce, cash, inventory and system downtime, including ownership, evidence, metrics, fallback procedures and crisis stress testing?</t>
  </si>
  <si>
    <t>Policy/SOP; owner/RACI; system report; dashboard; contracts; test records; incident history; interview evidence related to scenario modeling using sales, suppliers, workforce, cash, inventory and system downtime.</t>
  </si>
  <si>
    <t>DATA-021</t>
  </si>
  <si>
    <t>How mature is the organization in managing leading indicators and early warnings built from internal and external data, including ownership, evidence, metrics, fallback procedures and crisis stress testing?</t>
  </si>
  <si>
    <t>Policy/SOP; owner/RACI; system report; dashboard; contracts; test records; incident history; interview evidence related to leading indicators and early warnings built from internal and external data.</t>
  </si>
  <si>
    <t>No reliable evidence that leading indicators and early warnings built from internal and external data is defined, owned or managed.</t>
  </si>
  <si>
    <t>Leading indicators and early warnings built from internal and external data is handled informally and depends on individual knowledge or heroic effort.</t>
  </si>
  <si>
    <t>Leading indicators and early warnings built from internal and external data is partially documented or implemented, but coverage is inconsistent and not crisis-tested.</t>
  </si>
  <si>
    <t>Leading indicators and early warnings built from internal and external data is documented, owned, used in normal operations and supported by basic evidence or metrics.</t>
  </si>
  <si>
    <t>Leading indicators and early warnings built from internal and external data is measured, periodically reviewed, integrated with related processes and tested against relevant disruption scenarios.</t>
  </si>
  <si>
    <t>Leading indicators and early warnings built from internal and external data is optimized, continuously improved, automated where practical and demonstrably supports crisis resilience.</t>
  </si>
  <si>
    <t>DATA-022</t>
  </si>
  <si>
    <t>How mature is the organization in managing model validation and backtesting for forecasts and risk models, including ownership, evidence, metrics, fallback procedures and crisis stress testing?</t>
  </si>
  <si>
    <t>Policy/SOP; owner/RACI; system report; dashboard; contracts; test records; incident history; interview evidence related to model validation and backtesting for forecasts and risk models.</t>
  </si>
  <si>
    <t>DATA-023</t>
  </si>
  <si>
    <t>How mature is the organization in managing AI and analytics use case portfolio linked to business value, risk and feasibility, including ownership, evidence, metrics, fallback procedures and crisis stress testing?</t>
  </si>
  <si>
    <t>Policy/SOP; owner/RACI; system report; dashboard; contracts; test records; incident history; interview evidence related to AI and analytics use case portfolio linked to business value, risk and feasibility.</t>
  </si>
  <si>
    <t>No reliable evidence that ai and analytics use case portfolio linked to business value, risk and feasibility is defined, owned or managed.</t>
  </si>
  <si>
    <t>AI and analytics use case portfolio linked to business value, risk and feasibility is handled informally and depends on individual knowledge or heroic effort.</t>
  </si>
  <si>
    <t>AI and analytics use case portfolio linked to business value, risk and feasibility is partially documented or implemented, but coverage is inconsistent and not crisis-tested.</t>
  </si>
  <si>
    <t>AI and analytics use case portfolio linked to business value, risk and feasibility is documented, owned, used in normal operations and supported by basic evidence or metrics.</t>
  </si>
  <si>
    <t>AI and analytics use case portfolio linked to business value, risk and feasibility is measured, periodically reviewed, integrated with related processes and tested against relevant disruption scenarios.</t>
  </si>
  <si>
    <t>AI and analytics use case portfolio linked to business value, risk and feasibility is optimized, continuously improved, automated where practical and demonstrably supports crisis resilience.</t>
  </si>
  <si>
    <t>DATA-024</t>
  </si>
  <si>
    <t>How mature is the organization in managing AI governance for privacy, security, explainability, bias, human oversight and model risk, including ownership, evidence, metrics, fallback procedures and crisis stress testing?</t>
  </si>
  <si>
    <t>Policy/SOP; owner/RACI; system report; dashboard; contracts; test records; incident history; interview evidence related to AI governance for privacy, security, explainability, bias, human oversight and model risk.</t>
  </si>
  <si>
    <t>No reliable evidence that ai governance for privacy, security, explainability, bias, human oversight and model risk is defined, owned or managed.</t>
  </si>
  <si>
    <t>AI governance for privacy, security, explainability, bias, human oversight and model risk is handled informally and depends on individual knowledge or heroic effort.</t>
  </si>
  <si>
    <t>AI governance for privacy, security, explainability, bias, human oversight and model risk is partially documented or implemented, but coverage is inconsistent and not crisis-tested.</t>
  </si>
  <si>
    <t>AI governance for privacy, security, explainability, bias, human oversight and model risk is documented, owned, used in normal operations and supported by basic evidence or metrics.</t>
  </si>
  <si>
    <t>AI governance for privacy, security, explainability, bias, human oversight and model risk is measured, periodically reviewed, integrated with related processes and tested against relevant disruption scenarios.</t>
  </si>
  <si>
    <t>AI governance for privacy, security, explainability, bias, human oversight and model risk is optimized, continuously improved, automated where practical and demonstrably supports crisis resilience.</t>
  </si>
  <si>
    <t>DATA-025</t>
  </si>
  <si>
    <t>How mature is the organization in managing LLM usage policy covering data leakage, IP, accuracy, approval and acceptable use, including ownership, evidence, metrics, fallback procedures and crisis stress testing?</t>
  </si>
  <si>
    <t>Policy/SOP; owner/RACI; system report; dashboard; contracts; test records; incident history; interview evidence related to LLM usage policy covering data leakage, IP, accuracy, approval and acceptable use.</t>
  </si>
  <si>
    <t>No reliable evidence that llm usage policy covering data leakage, ip, accuracy, approval and acceptable use is defined, owned or managed.</t>
  </si>
  <si>
    <t>LLM usage policy covering data leakage, IP, accuracy, approval and acceptable use is handled informally and depends on individual knowledge or heroic effort.</t>
  </si>
  <si>
    <t>LLM usage policy covering data leakage, IP, accuracy, approval and acceptable use is partially documented or implemented, but coverage is inconsistent and not crisis-tested.</t>
  </si>
  <si>
    <t>LLM usage policy covering data leakage, IP, accuracy, approval and acceptable use is documented, owned, used in normal operations and supported by basic evidence or metrics.</t>
  </si>
  <si>
    <t>LLM usage policy covering data leakage, IP, accuracy, approval and acceptable use is measured, periodically reviewed, integrated with related processes and tested against relevant disruption scenarios.</t>
  </si>
  <si>
    <t>LLM usage policy covering data leakage, IP, accuracy, approval and acceptable use is optimized, continuously improved, automated where practical and demonstrably supports crisis resilience.</t>
  </si>
  <si>
    <t>DATA-026</t>
  </si>
  <si>
    <t>How mature is the organization in managing AI model register and monitoring for drift, accuracy, performance and business impact, including ownership, evidence, metrics, fallback procedures and crisis stress testing?</t>
  </si>
  <si>
    <t>Policy/SOP; owner/RACI; system report; dashboard; contracts; test records; incident history; interview evidence related to AI model register and monitoring for drift, accuracy, performance and business impact.</t>
  </si>
  <si>
    <t>DATA-027</t>
  </si>
  <si>
    <t>How mature is the organization in managing responsible AI controls for customer-facing, employee-facing and decision-support use cases, including ownership, evidence, metrics, fallback procedures and crisis stress testing?</t>
  </si>
  <si>
    <t>Policy/SOP; owner/RACI; system report; dashboard; contracts; test records; incident history; interview evidence related to responsible AI controls for customer-facing, employee-facing and decision-support use cases.</t>
  </si>
  <si>
    <t>No reliable evidence that responsible ai controls for customer-facing, employee-facing and decision-support use cases is defined, owned or managed.</t>
  </si>
  <si>
    <t>Responsible AI controls for customer-facing, employee-facing and decision-support use cases is handled informally and depends on individual knowledge or heroic effort.</t>
  </si>
  <si>
    <t>Responsible AI controls for customer-facing, employee-facing and decision-support use cases is partially documented or implemented, but coverage is inconsistent and not crisis-tested.</t>
  </si>
  <si>
    <t>Responsible AI controls for customer-facing, employee-facing and decision-support use cases is documented, owned, used in normal operations and supported by basic evidence or metrics.</t>
  </si>
  <si>
    <t>Responsible AI controls for customer-facing, employee-facing and decision-support use cases is measured, periodically reviewed, integrated with related processes and tested against relevant disruption scenarios.</t>
  </si>
  <si>
    <t>Responsible AI controls for customer-facing, employee-facing and decision-support use cases is optimized, continuously improved, automated where practical and demonstrably supports crisis resilience.</t>
  </si>
  <si>
    <t>Cyber Privacy</t>
  </si>
  <si>
    <t>CYBE-001</t>
  </si>
  <si>
    <t>Security governance</t>
  </si>
  <si>
    <t>How mature is the organization in managing information security management system with policies, owners, risks and controls, including ownership, evidence, metrics, fallback procedures and crisis stress testing?</t>
  </si>
  <si>
    <t>This topic affects exposure to Cyberattack; Data breach; Ransomware; Insider threat. It helps identify how disruption may impact operations, people, revenue, systems, legal exposure or recovery time.</t>
  </si>
  <si>
    <t>ISO/IEC 27001; ISO/IEC 27002; NIST CSF 2.0; CIS Controls; ISO/IEC 27701; GDPR; IEC 62443</t>
  </si>
  <si>
    <t>Policy/SOP; owner/RACI; system report; dashboard; contracts; test records; incident history; interview evidence related to information security management system with policies, owners, risks and controls.</t>
  </si>
  <si>
    <t>No reliable evidence that information security management system with policies, owners, risks and controls is defined, owned or managed.</t>
  </si>
  <si>
    <t>Information security management system with policies, owners, risks and controls is handled informally and depends on individual knowledge or heroic effort.</t>
  </si>
  <si>
    <t>Information security management system with policies, owners, risks and controls is partially documented or implemented, but coverage is inconsistent and not crisis-tested.</t>
  </si>
  <si>
    <t>Information security management system with policies, owners, risks and controls is documented, owned, used in normal operations and supported by basic evidence or metrics.</t>
  </si>
  <si>
    <t>Information security management system with policies, owners, risks and controls is measured, periodically reviewed, integrated with related processes and tested against relevant disruption scenarios.</t>
  </si>
  <si>
    <t>Information security management system with policies, owners, risks and controls is optimized, continuously improved, automated where practical and demonstrably supports crisis resilience.</t>
  </si>
  <si>
    <t>Cyberattack; Data breach; Ransomware; Insider threat</t>
  </si>
  <si>
    <t>CYBE-002</t>
  </si>
  <si>
    <t>How mature is the organization in managing cyber risk register linked to business impact and crisis scenarios, including ownership, evidence, metrics, fallback procedures and crisis stress testing?</t>
  </si>
  <si>
    <t>Policy/SOP; owner/RACI; system report; dashboard; contracts; test records; incident history; interview evidence related to cyber risk register linked to business impact and crisis scenarios.</t>
  </si>
  <si>
    <t>Identity and access</t>
  </si>
  <si>
    <t>CYBE-003</t>
  </si>
  <si>
    <t>How mature is the organization in managing security KPI reporting to leadership covering vulnerabilities, incidents, MFA, phishing, backups and access reviews, including ownership, evidence, metrics, fallback procedures and crisis stress testing?</t>
  </si>
  <si>
    <t>Policy/SOP; owner/RACI; system report; dashboard; contracts; test records; incident history; interview evidence related to security KPI reporting to leadership covering vulnerabilities, incidents, MFA, phishing, backups and access reviews.</t>
  </si>
  <si>
    <t>Never performed.</t>
  </si>
  <si>
    <t>Performed once after an incident or audit finding.</t>
  </si>
  <si>
    <t>Performed irregularly; results not documented; revocations not verified.</t>
  </si>
  <si>
    <t>Performed at least annually for critical systems; revocations verified.</t>
  </si>
  <si>
    <t>Performed quarterly for critical systems; exceptions tracked; tied to JML process.</t>
  </si>
  <si>
    <t>Automated recertification campaigns; continuous anomaly detection on entitlements.</t>
  </si>
  <si>
    <t>Protection</t>
  </si>
  <si>
    <t>CYBE-004</t>
  </si>
  <si>
    <t>How mature is the organization in managing security evidence readiness for customers, regulators, insurers and partners, including ownership, evidence, metrics, fallback procedures and crisis stress testing?</t>
  </si>
  <si>
    <t>Policy/SOP; owner/RACI; system report; dashboard; contracts; test records; incident history; interview evidence related to security evidence readiness for customers, regulators, insurers and partners.</t>
  </si>
  <si>
    <t>No reliable evidence that security evidence readiness for customers, regulators, insurers and partners is defined, owned or managed.</t>
  </si>
  <si>
    <t>Security evidence readiness for customers, regulators, insurers and partners is handled informally and depends on individual knowledge or heroic effort.</t>
  </si>
  <si>
    <t>Security evidence readiness for customers, regulators, insurers and partners is partially documented or implemented, but coverage is inconsistent and not crisis-tested.</t>
  </si>
  <si>
    <t>Security evidence readiness for customers, regulators, insurers and partners is documented, owned, used in normal operations and supported by basic evidence or metrics.</t>
  </si>
  <si>
    <t>Security evidence readiness for customers, regulators, insurers and partners is measured, periodically reviewed, integrated with related processes and tested against relevant disruption scenarios.</t>
  </si>
  <si>
    <t>Security evidence readiness for customers, regulators, insurers and partners is optimized, continuously improved, automated where practical and demonstrably supports crisis resilience.</t>
  </si>
  <si>
    <t>Detection and response</t>
  </si>
  <si>
    <t>CYBE-005</t>
  </si>
  <si>
    <t>How mature is the organization in managing third-party cyber risk assessment for critical vendors and outsourced services, including ownership, evidence, metrics, fallback procedures and crisis stress testing?</t>
  </si>
  <si>
    <t>Policy/SOP; owner/RACI; system report; dashboard; contracts; test records; incident history; interview evidence related to third-party cyber risk assessment for critical vendors and outsourced services.</t>
  </si>
  <si>
    <t>Application and OT security</t>
  </si>
  <si>
    <t>CYBE-006</t>
  </si>
  <si>
    <t>How mature is the organization in managing security awareness and phishing training for employees and contractors, including ownership, evidence, metrics, fallback procedures and crisis stress testing?</t>
  </si>
  <si>
    <t>Policy/SOP; owner/RACI; system report; dashboard; contracts; test records; incident history; interview evidence related to security awareness and phishing training for employees and contractors.</t>
  </si>
  <si>
    <t>Privacy</t>
  </si>
  <si>
    <t>CYBE-007</t>
  </si>
  <si>
    <t>How mature is the organization in managing joiner-mover-leaver access lifecycle across systems, SaaS and physical access, including ownership, evidence, metrics, fallback procedures and crisis stress testing?</t>
  </si>
  <si>
    <t>Policy/SOP; owner/RACI; system report; dashboard; contracts; test records; incident history; interview evidence related to joiner-mover-leaver access lifecycle across systems, SaaS and physical access.</t>
  </si>
  <si>
    <t>No reliable evidence that joiner-mover-leaver access lifecycle across systems, saas and physical access is defined, owned or managed.</t>
  </si>
  <si>
    <t>Joiner-mover-leaver access lifecycle across systems, SaaS and physical access is handled informally and depends on individual knowledge or heroic effort.</t>
  </si>
  <si>
    <t>Joiner-mover-leaver access lifecycle across systems, SaaS and physical access is partially documented or implemented, but coverage is inconsistent and not crisis-tested.</t>
  </si>
  <si>
    <t>Joiner-mover-leaver access lifecycle across systems, SaaS and physical access is documented, owned, used in normal operations and supported by basic evidence or metrics.</t>
  </si>
  <si>
    <t>Joiner-mover-leaver access lifecycle across systems, SaaS and physical access is measured, periodically reviewed, integrated with related processes and tested against relevant disruption scenarios.</t>
  </si>
  <si>
    <t>Joiner-mover-leaver access lifecycle across systems, SaaS and physical access is optimized, continuously improved, automated where practical and demonstrably supports crisis resilience.</t>
  </si>
  <si>
    <t>CYBE-008</t>
  </si>
  <si>
    <t>How mature is the organization in managing MFA enforcement for email, cloud, VPN/ZTNA, admin accounts, finance systems and critical SaaS, including ownership, evidence, metrics, fallback procedures and crisis stress testing?</t>
  </si>
  <si>
    <t>Policy/SOP; owner/RACI; system report; dashboard; contracts; test records; incident history; interview evidence related to MFA enforcement for email, cloud, VPN/ZTNA, admin accounts, finance systems and critical SaaS.</t>
  </si>
  <si>
    <t>No MFA anywhere.</t>
  </si>
  <si>
    <t>MFA only on isolated accounts, by individual choice.</t>
  </si>
  <si>
    <t>MFA on email or VPN only; admins or critical SaaS not fully covered.</t>
  </si>
  <si>
    <t>MFA enforced for email, VPN/ZTNA and admin accounts; exceptions documented.</t>
  </si>
  <si>
    <t>MFA enforced everywhere incl. finance systems and critical SaaS; coverage monitored; phishing-resistant methods for admins.</t>
  </si>
  <si>
    <t>Phishing-resistant MFA (FIDO2/keys) as standard; coverage 100% monitored; conditional access policies in place.</t>
  </si>
  <si>
    <t>CYBE-009</t>
  </si>
  <si>
    <t>How mature is the organization in managing privileged access management for admin accounts and superusers, including ownership, evidence, metrics, fallback procedures and crisis stress testing?</t>
  </si>
  <si>
    <t>Policy/SOP; owner/RACI; system report; dashboard; contracts; test records; incident history; interview evidence related to privileged access management for admin accounts and superusers.</t>
  </si>
  <si>
    <t>No reliable evidence that privileged access management for admin accounts and superusers is defined, owned or managed.</t>
  </si>
  <si>
    <t>Privileged access management for admin accounts and superusers is handled informally and depends on individual knowledge or heroic effort.</t>
  </si>
  <si>
    <t>Privileged access management for admin accounts and superusers is partially documented or implemented, but coverage is inconsistent and not crisis-tested.</t>
  </si>
  <si>
    <t>Privileged access management for admin accounts and superusers is documented, owned, used in normal operations and supported by basic evidence or metrics.</t>
  </si>
  <si>
    <t>Privileged access management for admin accounts and superusers is measured, periodically reviewed, integrated with related processes and tested against relevant disruption scenarios.</t>
  </si>
  <si>
    <t>Privileged access management for admin accounts and superusers is optimized, continuously improved, automated where practical and demonstrably supports crisis resilience.</t>
  </si>
  <si>
    <t>CYBE-010</t>
  </si>
  <si>
    <t>How mature is the organization in managing break-glass account control, monitoring and testing, including ownership, evidence, metrics, fallback procedures and crisis stress testing?</t>
  </si>
  <si>
    <t>Policy/SOP; owner/RACI; system report; dashboard; contracts; test records; incident history; interview evidence related to break-glass account control, monitoring and testing.</t>
  </si>
  <si>
    <t>CYBE-011</t>
  </si>
  <si>
    <t>How mature is the organization in managing third-party access that is limited, monitored, time-bound and reviewed, including ownership, evidence, metrics, fallback procedures and crisis stress testing?</t>
  </si>
  <si>
    <t>Policy/SOP; owner/RACI; system report; dashboard; contracts; test records; incident history; interview evidence related to third-party access that is limited, monitored, time-bound and reviewed.</t>
  </si>
  <si>
    <t>No reliable evidence that third-party access that is limited, monitored, time-bound and reviewed is defined, owned or managed.</t>
  </si>
  <si>
    <t>Third-party access that is limited, monitored, time-bound and reviewed is handled informally and depends on individual knowledge or heroic effort.</t>
  </si>
  <si>
    <t>Third-party access that is limited, monitored, time-bound and reviewed is partially documented or implemented, but coverage is inconsistent and not crisis-tested.</t>
  </si>
  <si>
    <t>Third-party access that is limited, monitored, time-bound and reviewed is documented, owned, used in normal operations and supported by basic evidence or metrics.</t>
  </si>
  <si>
    <t>Third-party access that is limited, monitored, time-bound and reviewed is measured, periodically reviewed, integrated with related processes and tested against relevant disruption scenarios.</t>
  </si>
  <si>
    <t>Third-party access that is limited, monitored, time-bound and reviewed is optimized, continuously improved, automated where practical and demonstrably supports crisis resilience.</t>
  </si>
  <si>
    <t>CYBE-012</t>
  </si>
  <si>
    <t>How mature is the organization in managing access reviews for critical systems, datasets, ERP, CRM, HRMS, MES and cloud, including ownership, evidence, metrics, fallback procedures and crisis stress testing?</t>
  </si>
  <si>
    <t>Policy/SOP; owner/RACI; system report; dashboard; contracts; test records; incident history; interview evidence related to access reviews for critical systems, datasets, ERP, CRM, HRMS, MES and cloud.</t>
  </si>
  <si>
    <t>CYBE-013</t>
  </si>
  <si>
    <t>How mature is the organization in managing endpoint protection with EDR, disk encryption, patching and remote management, including ownership, evidence, metrics, fallback procedures and crisis stress testing?</t>
  </si>
  <si>
    <t>Policy/SOP; owner/RACI; system report; dashboard; contracts; test records; incident history; interview evidence related to endpoint protection with EDR, disk encryption, patching and remote management.</t>
  </si>
  <si>
    <t>CYBE-014</t>
  </si>
  <si>
    <t>How mature is the organization in managing vulnerability and patch management prioritized by risk, exposure and asset criticality, including ownership, evidence, metrics, fallback procedures and crisis stress testing?</t>
  </si>
  <si>
    <t>Policy/SOP; owner/RACI; system report; dashboard; contracts; test records; incident history; interview evidence related to vulnerability and patch management prioritized by risk, exposure and asset criticality.</t>
  </si>
  <si>
    <t>CYBE-015</t>
  </si>
  <si>
    <t>How mature is the organization in managing network segmentation for users, servers, cloud, OT, guest, production and sensitive systems, including ownership, evidence, metrics, fallback procedures and crisis stress testing?</t>
  </si>
  <si>
    <t>Policy/SOP; owner/RACI; system report; dashboard; contracts; test records; incident history; interview evidence related to network segmentation for users, servers, cloud, OT, guest, production and sensitive systems.</t>
  </si>
  <si>
    <t>CYBE-016</t>
  </si>
  <si>
    <t>How mature is the organization in managing email protection against phishing, spoofing, malware and business email compromise, including ownership, evidence, metrics, fallback procedures and crisis stress testing?</t>
  </si>
  <si>
    <t>Policy/SOP; owner/RACI; system report; dashboard; contracts; test records; incident history; interview evidence related to email protection against phishing, spoofing, malware and business email compromise.</t>
  </si>
  <si>
    <t>No reliable evidence that email protection against phishing, spoofing, malware and business email compromise is defined, owned or managed.</t>
  </si>
  <si>
    <t>Email protection against phishing, spoofing, malware and business email compromise is handled informally and depends on individual knowledge or heroic effort.</t>
  </si>
  <si>
    <t>Email protection against phishing, spoofing, malware and business email compromise is partially documented or implemented, but coverage is inconsistent and not crisis-tested.</t>
  </si>
  <si>
    <t>Email protection against phishing, spoofing, malware and business email compromise is documented, owned, used in normal operations and supported by basic evidence or metrics.</t>
  </si>
  <si>
    <t>Email protection against phishing, spoofing, malware and business email compromise is measured, periodically reviewed, integrated with related processes and tested against relevant disruption scenarios.</t>
  </si>
  <si>
    <t>Email protection against phishing, spoofing, malware and business email compromise is optimized, continuously improved, automated where practical and demonstrably supports crisis resilience.</t>
  </si>
  <si>
    <t>CYBE-017</t>
  </si>
  <si>
    <t>How mature is the organization in managing cloud security guardrails for IAM, logging, encryption, public exposure, secrets and network access, including ownership, evidence, metrics, fallback procedures and crisis stress testing?</t>
  </si>
  <si>
    <t>Policy/SOP; owner/RACI; system report; dashboard; contracts; test records; incident history; interview evidence related to cloud security guardrails for IAM, logging, encryption, public exposure, secrets and network access.</t>
  </si>
  <si>
    <t>CYBE-018</t>
  </si>
  <si>
    <t>How mature is the organization in managing secrets, API keys, certificates and credentials management and rotation, including ownership, evidence, metrics, fallback procedures and crisis stress testing?</t>
  </si>
  <si>
    <t>Policy/SOP; owner/RACI; system report; dashboard; contracts; test records; incident history; interview evidence related to secrets, API keys, certificates and credentials management and rotation.</t>
  </si>
  <si>
    <t>No reliable evidence that secrets, api keys, certificates and credentials management and rotation is defined, owned or managed.</t>
  </si>
  <si>
    <t>Secrets, API keys, certificates and credentials management and rotation is handled informally and depends on individual knowledge or heroic effort.</t>
  </si>
  <si>
    <t>Secrets, API keys, certificates and credentials management and rotation is partially documented or implemented, but coverage is inconsistent and not crisis-tested.</t>
  </si>
  <si>
    <t>Secrets, API keys, certificates and credentials management and rotation is documented, owned, used in normal operations and supported by basic evidence or metrics.</t>
  </si>
  <si>
    <t>Secrets, API keys, certificates and credentials management and rotation is measured, periodically reviewed, integrated with related processes and tested against relevant disruption scenarios.</t>
  </si>
  <si>
    <t>Secrets, API keys, certificates and credentials management and rotation is optimized, continuously improved, automated where practical and demonstrably supports crisis resilience.</t>
  </si>
  <si>
    <t>CYBE-019</t>
  </si>
  <si>
    <t>How mature is the organization in managing encryption for sensitive data at rest and in transit, including ownership, evidence, metrics, fallback procedures and crisis stress testing?</t>
  </si>
  <si>
    <t>Policy/SOP; owner/RACI; system report; dashboard; contracts; test records; incident history; interview evidence related to encryption for sensitive data at rest and in transit.</t>
  </si>
  <si>
    <t>No reliable evidence that encryption for sensitive data at rest and in transit is defined, owned or managed.</t>
  </si>
  <si>
    <t>Encryption for sensitive data at rest and in transit is handled informally and depends on individual knowledge or heroic effort.</t>
  </si>
  <si>
    <t>Encryption for sensitive data at rest and in transit is partially documented or implemented, but coverage is inconsistent and not crisis-tested.</t>
  </si>
  <si>
    <t>Encryption for sensitive data at rest and in transit is documented, owned, used in normal operations and supported by basic evidence or metrics.</t>
  </si>
  <si>
    <t>Encryption for sensitive data at rest and in transit is measured, periodically reviewed, integrated with related processes and tested against relevant disruption scenarios.</t>
  </si>
  <si>
    <t>Encryption for sensitive data at rest and in transit is optimized, continuously improved, automated where practical and demonstrably supports crisis resilience.</t>
  </si>
  <si>
    <t>CYBE-020</t>
  </si>
  <si>
    <t>How mature is the organization in managing DLP controls for sensitive data in email, cloud storage, endpoints and collaboration tools, including ownership, evidence, metrics, fallback procedures and crisis stress testing?</t>
  </si>
  <si>
    <t>Policy/SOP; owner/RACI; system report; dashboard; contracts; test records; incident history; interview evidence related to DLP controls for sensitive data in email, cloud storage, endpoints and collaboration tools.</t>
  </si>
  <si>
    <t>CYBE-021</t>
  </si>
  <si>
    <t>How mature is the organization in managing log collection and monitoring for identity, endpoints, cloud, network, critical apps and security tools, including ownership, evidence, metrics, fallback procedures and crisis stress testing?</t>
  </si>
  <si>
    <t>Policy/SOP; owner/RACI; system report; dashboard; contracts; test records; incident history; interview evidence related to log collection and monitoring for identity, endpoints, cloud, network, critical apps and security tools.</t>
  </si>
  <si>
    <t>CYBE-022</t>
  </si>
  <si>
    <t>How mature is the organization in managing threat detection coverage mapped to likely threat scenarios, including ownership, evidence, metrics, fallback procedures and crisis stress testing?</t>
  </si>
  <si>
    <t>Policy/SOP; owner/RACI; system report; dashboard; contracts; test records; incident history; interview evidence related to threat detection coverage mapped to likely threat scenarios.</t>
  </si>
  <si>
    <t>No reliable evidence that threat detection coverage mapped to likely threat scenarios is defined, owned or managed.</t>
  </si>
  <si>
    <t>Threat detection coverage mapped to likely threat scenarios is handled informally and depends on individual knowledge or heroic effort.</t>
  </si>
  <si>
    <t>Threat detection coverage mapped to likely threat scenarios is partially documented or implemented, but coverage is inconsistent and not crisis-tested.</t>
  </si>
  <si>
    <t>Threat detection coverage mapped to likely threat scenarios is documented, owned, used in normal operations and supported by basic evidence or metrics.</t>
  </si>
  <si>
    <t>Threat detection coverage mapped to likely threat scenarios is measured, periodically reviewed, integrated with related processes and tested against relevant disruption scenarios.</t>
  </si>
  <si>
    <t>Threat detection coverage mapped to likely threat scenarios is optimized, continuously improved, automated where practical and demonstrably supports crisis resilience.</t>
  </si>
  <si>
    <t>CYBE-023</t>
  </si>
  <si>
    <t>How mature is the organization in managing cyber incident response plan involving IT, legal, communications, executives and insurers, including ownership, evidence, metrics, fallback procedures and crisis stress testing?</t>
  </si>
  <si>
    <t>Policy/SOP; owner/RACI; system report; dashboard; contracts; test records; incident history; interview evidence related to cyber incident response plan involving IT, legal, communications, executives and insurers.</t>
  </si>
  <si>
    <t>CYBE-024</t>
  </si>
  <si>
    <t>How mature is the organization in managing ransomware playbook covering isolation, recovery, communication, legal and decision-making, including ownership, evidence, metrics, fallback procedures and crisis stress testing?</t>
  </si>
  <si>
    <t>Policy/SOP; owner/RACI; system report; dashboard; contracts; test records; incident history; interview evidence related to ransomware playbook covering isolation, recovery, communication, legal and decision-making.</t>
  </si>
  <si>
    <t>CYBE-025</t>
  </si>
  <si>
    <t>How mature is the organization in managing cyber incident exercises with business, legal, communication, IT and executives, including ownership, evidence, metrics, fallback procedures and crisis stress testing?</t>
  </si>
  <si>
    <t>Policy/SOP; owner/RACI; system report; dashboard; contracts; test records; incident history; interview evidence related to cyber incident exercises with business, legal, communication, IT and executives.</t>
  </si>
  <si>
    <t>CYBE-026</t>
  </si>
  <si>
    <t>How mature is the organization in managing immutable or isolated backups protected against ransomware, including ownership, evidence, metrics, fallback procedures and crisis stress testing?</t>
  </si>
  <si>
    <t>Policy/SOP; owner/RACI; system report; dashboard; contracts; test records; incident history; interview evidence related to immutable or isolated backups protected against ransomware.</t>
  </si>
  <si>
    <t>CYBE-027</t>
  </si>
  <si>
    <t>How mature is the organization in managing secure SDLC for internally developed applications, APIs and integrations, including ownership, evidence, metrics, fallback procedures and crisis stress testing?</t>
  </si>
  <si>
    <t>Policy/SOP; owner/RACI; system report; dashboard; contracts; test records; incident history; interview evidence related to secure SDLC for internally developed applications, APIs and integrations.</t>
  </si>
  <si>
    <t>No reliable evidence that secure sdlc for internally developed applications, apis and integrations is defined, owned or managed.</t>
  </si>
  <si>
    <t>Secure SDLC for internally developed applications, APIs and integrations is handled informally and depends on individual knowledge or heroic effort.</t>
  </si>
  <si>
    <t>Secure SDLC for internally developed applications, APIs and integrations is partially documented or implemented, but coverage is inconsistent and not crisis-tested.</t>
  </si>
  <si>
    <t>Secure SDLC for internally developed applications, APIs and integrations is documented, owned, used in normal operations and supported by basic evidence or metrics.</t>
  </si>
  <si>
    <t>Secure SDLC for internally developed applications, APIs and integrations is measured, periodically reviewed, integrated with related processes and tested against relevant disruption scenarios.</t>
  </si>
  <si>
    <t>Secure SDLC for internally developed applications, APIs and integrations is optimized, continuously improved, automated where practical and demonstrably supports crisis resilience.</t>
  </si>
  <si>
    <t>CYBE-028</t>
  </si>
  <si>
    <t>How mature is the organization in managing application vulnerability testing through SAST, DAST, code review and penetration testing, including ownership, evidence, metrics, fallback procedures and crisis stress testing?</t>
  </si>
  <si>
    <t>Policy/SOP; owner/RACI; system report; dashboard; contracts; test records; incident history; interview evidence related to application vulnerability testing through SAST, DAST, code review and penetration testing.</t>
  </si>
  <si>
    <t>CYBE-032</t>
  </si>
  <si>
    <t>How mature is the organization in managing privacy governance with roles, lawful basis, DPIA, RoPA and data subject processes, including ownership, evidence, metrics, fallback procedures and crisis stress testing?</t>
  </si>
  <si>
    <t>Policy/SOP; owner/RACI; system report; dashboard; contracts; test records; incident history; interview evidence related to privacy governance with roles, lawful basis, DPIA, RoPA and data subject processes.</t>
  </si>
  <si>
    <t>No reliable evidence that privacy governance with roles, lawful basis, dpia, ropa and data subject processes is defined, owned or managed.</t>
  </si>
  <si>
    <t>Privacy governance with roles, lawful basis, DPIA, RoPA and data subject processes is handled informally and depends on individual knowledge or heroic effort.</t>
  </si>
  <si>
    <t>Privacy governance with roles, lawful basis, DPIA, RoPA and data subject processes is partially documented or implemented, but coverage is inconsistent and not crisis-tested.</t>
  </si>
  <si>
    <t>Privacy governance with roles, lawful basis, DPIA, RoPA and data subject processes is documented, owned, used in normal operations and supported by basic evidence or metrics.</t>
  </si>
  <si>
    <t>Privacy governance with roles, lawful basis, DPIA, RoPA and data subject processes is measured, periodically reviewed, integrated with related processes and tested against relevant disruption scenarios.</t>
  </si>
  <si>
    <t>Privacy governance with roles, lawful basis, DPIA, RoPA and data subject processes is optimized, continuously improved, automated where practical and demonstrably supports crisis resilience.</t>
  </si>
  <si>
    <t>CYBE-033</t>
  </si>
  <si>
    <t>How mature is the organization in managing personal data breach detection, assessment and notification within required timelines, including ownership, evidence, metrics, fallback procedures and crisis stress testing?</t>
  </si>
  <si>
    <t>Policy/SOP; owner/RACI; system report; dashboard; contracts; test records; incident history; interview evidence related to personal data breach detection, assessment and notification within required timelines.</t>
  </si>
  <si>
    <t>No reliable evidence that personal data breach detection, assessment and notification within required timelines is defined, owned or managed.</t>
  </si>
  <si>
    <t>Personal data breach detection, assessment and notification within required timelines is handled informally and depends on individual knowledge or heroic effort.</t>
  </si>
  <si>
    <t>Personal data breach detection, assessment and notification within required timelines is partially documented or implemented, but coverage is inconsistent and not crisis-tested.</t>
  </si>
  <si>
    <t>Personal data breach detection, assessment and notification within required timelines is documented, owned, used in normal operations and supported by basic evidence or metrics.</t>
  </si>
  <si>
    <t>Personal data breach detection, assessment and notification within required timelines is measured, periodically reviewed, integrated with related processes and tested against relevant disruption scenarios.</t>
  </si>
  <si>
    <t>Personal data breach detection, assessment and notification within required timelines is optimized, continuously improved, automated where practical and demonstrably supports crisis resilience.</t>
  </si>
  <si>
    <t>CYBE-035</t>
  </si>
  <si>
    <t>How mature is the organization in managing inclusion of critical suppliers and service providers in incident response planning, contact lists and joint exercises, including ownership, evidence, metrics, fallback procedures and crisis stress testing?</t>
  </si>
  <si>
    <t>This topic affects exposure to Cyberattack/ransomware; Supplier/logistics disruption; Cloud/SaaS outage. It helps identify how disruption may impact operations, people, revenue, systems, legal exposure or recovery time.</t>
  </si>
  <si>
    <t>NIST CSF 2.0 GV.SC-08; ISO 27036; ISO 22301</t>
  </si>
  <si>
    <t>Cyberattack/ransomware; Supplier/logistics disruption; Cloud/SaaS outage</t>
  </si>
  <si>
    <t>CYBE-036</t>
  </si>
  <si>
    <t>How mature is the organization in managing vendor offboarding with access revocation, data return or deletion and post-contract security obligations, including ownership, evidence, metrics, fallback procedures and crisis stress testing?</t>
  </si>
  <si>
    <t>NIST CSF 2.0 GV.SC-10; ISO 27001; GDPR</t>
  </si>
  <si>
    <t>No reliable evidence that vendor offboarding with access revocation, data return or deletion and post-contract security obligations is defined, owned or managed.</t>
  </si>
  <si>
    <t>Vendor offboarding with access revocation, data return or deletion and post-contract security obligations is handled informally and depends on individual knowledge or heroic effort.</t>
  </si>
  <si>
    <t>Vendor offboarding with access revocation, data return or deletion and post-contract security obligations is partially documented or implemented, but coverage is inconsistent and not crisis-tested.</t>
  </si>
  <si>
    <t>Vendor offboarding with access revocation, data return or deletion and post-contract security obligations is documented, owned, used in normal operations and supported by basic evidence or metrics.</t>
  </si>
  <si>
    <t>Vendor offboarding with access revocation, data return or deletion and post-contract security obligations is measured, periodically reviewed, integrated with related processes and tested against relevant disruption scenarios.</t>
  </si>
  <si>
    <t>Vendor offboarding with access revocation, data return or deletion and post-contract security obligations is optimized, continuously improved, automated where practical and demonstrably supports crisis resilience.</t>
  </si>
  <si>
    <t>CYBE-037</t>
  </si>
  <si>
    <t>How mature is the organization in managing threat intelligence intake from CERT, sector and vendor sources integrated into detection and patch priorities, including ownership, evidence, metrics, fallback procedures and crisis stress testing?</t>
  </si>
  <si>
    <t>This topic affects exposure to Cyberattack/ransomware. It helps identify how disruption may impact operations, people, revenue, systems, legal exposure or recovery time.</t>
  </si>
  <si>
    <t>NIST CSF 2.0 ID.RA-02; CIS Controls; ISO 27001</t>
  </si>
  <si>
    <t>No reliable evidence that threat intelligence intake from CERT, sector and vendor sources integrated into detection and patch priorities is defined, owned or managed.</t>
  </si>
  <si>
    <t>Threat intelligence intake from CERT, sector and vendor sources integrated into detection and patch priorities is handled informally and depends on individual knowledge or heroic effort.</t>
  </si>
  <si>
    <t>Threat intelligence intake from CERT, sector and vendor sources integrated into detection and patch priorities is partially documented or implemented, but coverage is inconsistent and not crisis-tested.</t>
  </si>
  <si>
    <t>Threat intelligence intake from CERT, sector and vendor sources integrated into detection and patch priorities is documented, owned, used in normal operations and supported by basic evidence or metrics.</t>
  </si>
  <si>
    <t>Threat intelligence intake from CERT, sector and vendor sources integrated into detection and patch priorities is measured, periodically reviewed, integrated with related processes and tested against relevant disruption scenarios.</t>
  </si>
  <si>
    <t>Threat intelligence intake from CERT, sector and vendor sources integrated into detection and patch priorities is optimized, continuously improved, automated where practical and demonstrably supports crisis resilience.</t>
  </si>
  <si>
    <t>Cyberattack/ransomware</t>
  </si>
  <si>
    <t>CYBE-038</t>
  </si>
  <si>
    <t>How mature is the organization in managing forensic evidence preservation with defined collection procedures, integrity protection and chain of custody, including ownership, evidence, metrics, fallback procedures and crisis stress testing?</t>
  </si>
  <si>
    <t>NIST CSF 2.0 RS.AN-06/07; ISO 27037</t>
  </si>
  <si>
    <t>No reliable evidence that forensic evidence preservation with defined collection procedures, integrity protection and chain of custody is defined, owned or managed.</t>
  </si>
  <si>
    <t>Forensic evidence preservation with defined collection procedures, integrity protection and chain of custody is handled informally and depends on individual knowledge or heroic effort.</t>
  </si>
  <si>
    <t>Forensic evidence preservation with defined collection procedures, integrity protection and chain of custody is partially documented or implemented, but coverage is inconsistent and not crisis-tested.</t>
  </si>
  <si>
    <t>Forensic evidence preservation with defined collection procedures, integrity protection and chain of custody is documented, owned, used in normal operations and supported by basic evidence or metrics.</t>
  </si>
  <si>
    <t>Forensic evidence preservation with defined collection procedures, integrity protection and chain of custody is measured, periodically reviewed, integrated with related processes and tested against relevant disruption scenarios.</t>
  </si>
  <si>
    <t>Forensic evidence preservation with defined collection procedures, integrity protection and chain of custody is optimized, continuously improved, automated where practical and demonstrably supports crisis resilience.</t>
  </si>
  <si>
    <t>Quality Portfolio</t>
  </si>
  <si>
    <t>QUAL-001</t>
  </si>
  <si>
    <t>Process management</t>
  </si>
  <si>
    <t>How mature is the organization in managing process architecture covering major value streams and support processes, including ownership, evidence, metrics, fallback procedures and crisis stress testing?</t>
  </si>
  <si>
    <t>This topic affects exposure to Execution failure; Delivery disruption; Decision failure. It helps identify how disruption may impact operations, people, revenue, systems, legal exposure or recovery time.</t>
  </si>
  <si>
    <t>ISO 9001; ISO 21502; ISO 21500; APQC; Lean; Six Sigma; PMBOK; COBIT</t>
  </si>
  <si>
    <t>Policy/SOP; owner/RACI; system report; dashboard; contracts; test records; incident history; interview evidence related to process architecture covering major value streams and support processes.</t>
  </si>
  <si>
    <t>No reliable evidence that process architecture covering major value streams and support processes is defined, owned or managed.</t>
  </si>
  <si>
    <t>Process architecture covering major value streams and support processes is handled informally and depends on individual knowledge or heroic effort.</t>
  </si>
  <si>
    <t>Process architecture covering major value streams and support processes is partially documented or implemented, but coverage is inconsistent and not crisis-tested.</t>
  </si>
  <si>
    <t>Process architecture covering major value streams and support processes is documented, owned, used in normal operations and supported by basic evidence or metrics.</t>
  </si>
  <si>
    <t>Process architecture covering major value streams and support processes is measured, periodically reviewed, integrated with related processes and tested against relevant disruption scenarios.</t>
  </si>
  <si>
    <t>Process architecture covering major value streams and support processes is optimized, continuously improved, automated where practical and demonstrably supports crisis resilience.</t>
  </si>
  <si>
    <t>Execution failure; Delivery disruption; Decision failure</t>
  </si>
  <si>
    <t>QUAL-002</t>
  </si>
  <si>
    <t>How mature is the organization in managing process ownership for critical processes with inputs, outputs, controls and KPIs, including ownership, evidence, metrics, fallback procedures and crisis stress testing?</t>
  </si>
  <si>
    <t>Policy/SOP; owner/RACI; system report; dashboard; contracts; test records; incident history; interview evidence related to process ownership for critical processes with inputs, outputs, controls and KPIs.</t>
  </si>
  <si>
    <t>Quality management</t>
  </si>
  <si>
    <t>QUAL-004</t>
  </si>
  <si>
    <t>How mature is the organization in managing SOP and policy document control with versioning, ownership and review cadence, including ownership, evidence, metrics, fallback procedures and crisis stress testing?</t>
  </si>
  <si>
    <t>Policy/SOP; owner/RACI; system report; dashboard; contracts; test records; incident history; interview evidence related to SOP and policy document control with versioning, ownership and review cadence.</t>
  </si>
  <si>
    <t>Portfolio and change</t>
  </si>
  <si>
    <t>QUAL-005</t>
  </si>
  <si>
    <t>How mature is the organization in managing process automation documented, monitored and covered by manual fallback, including ownership, evidence, metrics, fallback procedures and crisis stress testing?</t>
  </si>
  <si>
    <t>Policy/SOP; owner/RACI; system report; dashboard; contracts; test records; incident history; interview evidence related to process automation documented, monitored and covered by manual fallback.</t>
  </si>
  <si>
    <t>No reliable evidence that process automation documented, monitored and covered by manual fallback is defined, owned or managed.</t>
  </si>
  <si>
    <t>Process automation documented, monitored and covered by manual fallback is handled informally and depends on individual knowledge or heroic effort.</t>
  </si>
  <si>
    <t>Process automation documented, monitored and covered by manual fallback is partially documented or implemented, but coverage is inconsistent and not crisis-tested.</t>
  </si>
  <si>
    <t>Process automation documented, monitored and covered by manual fallback is documented, owned, used in normal operations and supported by basic evidence or metrics.</t>
  </si>
  <si>
    <t>Process automation documented, monitored and covered by manual fallback is measured, periodically reviewed, integrated with related processes and tested against relevant disruption scenarios.</t>
  </si>
  <si>
    <t>Process automation documented, monitored and covered by manual fallback is optimized, continuously improved, automated where practical and demonstrably supports crisis resilience.</t>
  </si>
  <si>
    <t>Management system</t>
  </si>
  <si>
    <t>QUAL-006</t>
  </si>
  <si>
    <t>How mature is the organization in managing quality objectives linked to customer, delivery and operational performance, including ownership, evidence, metrics, fallback procedures and crisis stress testing?</t>
  </si>
  <si>
    <t>Policy/SOP; owner/RACI; system report; dashboard; contracts; test records; incident history; interview evidence related to quality objectives linked to customer, delivery and operational performance.</t>
  </si>
  <si>
    <t>No reliable evidence that quality objectives linked to customer, delivery and operational performance is defined, owned or managed.</t>
  </si>
  <si>
    <t>Quality objectives linked to customer, delivery and operational performance is handled informally and depends on individual knowledge or heroic effort.</t>
  </si>
  <si>
    <t>Quality objectives linked to customer, delivery and operational performance is partially documented or implemented, but coverage is inconsistent and not crisis-tested.</t>
  </si>
  <si>
    <t>Quality objectives linked to customer, delivery and operational performance is documented, owned, used in normal operations and supported by basic evidence or metrics.</t>
  </si>
  <si>
    <t>Quality objectives linked to customer, delivery and operational performance is measured, periodically reviewed, integrated with related processes and tested against relevant disruption scenarios.</t>
  </si>
  <si>
    <t>Quality objectives linked to customer, delivery and operational performance is optimized, continuously improved, automated where practical and demonstrably supports crisis resilience.</t>
  </si>
  <si>
    <t>QUAL-007</t>
  </si>
  <si>
    <t>How mature is the organization in managing nonconformity, defect, complaint and corrective action management, including ownership, evidence, metrics, fallback procedures and crisis stress testing?</t>
  </si>
  <si>
    <t>Policy/SOP; owner/RACI; system report; dashboard; contracts; test records; incident history; interview evidence related to nonconformity, defect, complaint and corrective action management.</t>
  </si>
  <si>
    <t>No reliable evidence that nonconformity, defect, complaint and corrective action management is defined, owned or managed.</t>
  </si>
  <si>
    <t>Nonconformity, defect, complaint and corrective action management is handled informally and depends on individual knowledge or heroic effort.</t>
  </si>
  <si>
    <t>Nonconformity, defect, complaint and corrective action management is partially documented or implemented, but coverage is inconsistent and not crisis-tested.</t>
  </si>
  <si>
    <t>Nonconformity, defect, complaint and corrective action management is documented, owned, used in normal operations and supported by basic evidence or metrics.</t>
  </si>
  <si>
    <t>Nonconformity, defect, complaint and corrective action management is measured, periodically reviewed, integrated with related processes and tested against relevant disruption scenarios.</t>
  </si>
  <si>
    <t>Nonconformity, defect, complaint and corrective action management is optimized, continuously improved, automated where practical and demonstrably supports crisis resilience.</t>
  </si>
  <si>
    <t>QUAL-008</t>
  </si>
  <si>
    <t>How mature is the organization in managing internal audit program for critical processes and controls, including ownership, evidence, metrics, fallback procedures and crisis stress testing?</t>
  </si>
  <si>
    <t>Policy/SOP; owner/RACI; system report; dashboard; contracts; test records; incident history; interview evidence related to internal audit program for critical processes and controls.</t>
  </si>
  <si>
    <t>QUAL-009</t>
  </si>
  <si>
    <t>How mature is the organization in managing control testing for effectiveness, not only existence, including ownership, evidence, metrics, fallback procedures and crisis stress testing?</t>
  </si>
  <si>
    <t>Policy/SOP; owner/RACI; system report; dashboard; contracts; test records; incident history; interview evidence related to control testing for effectiveness, not only existence.</t>
  </si>
  <si>
    <t>QUAL-010</t>
  </si>
  <si>
    <t>How mature is the organization in managing customer complaint handling and root cause analysis, including ownership, evidence, metrics, fallback procedures and crisis stress testing?</t>
  </si>
  <si>
    <t>Policy/SOP; owner/RACI; system report; dashboard; contracts; test records; incident history; interview evidence related to customer complaint handling and root cause analysis.</t>
  </si>
  <si>
    <t>No reliable evidence that customer complaint handling and root cause analysis is defined, owned or managed.</t>
  </si>
  <si>
    <t>Customer complaint handling and root cause analysis is handled informally and depends on individual knowledge or heroic effort.</t>
  </si>
  <si>
    <t>Customer complaint handling and root cause analysis is partially documented or implemented, but coverage is inconsistent and not crisis-tested.</t>
  </si>
  <si>
    <t>Customer complaint handling and root cause analysis is documented, owned, used in normal operations and supported by basic evidence or metrics.</t>
  </si>
  <si>
    <t>Customer complaint handling and root cause analysis is measured, periodically reviewed, integrated with related processes and tested against relevant disruption scenarios.</t>
  </si>
  <si>
    <t>Customer complaint handling and root cause analysis is optimized, continuously improved, automated where practical and demonstrably supports crisis resilience.</t>
  </si>
  <si>
    <t>QUAL-011</t>
  </si>
  <si>
    <t>How mature is the organization in managing portfolio governance with prioritization, capacity, benefits, risks and dependencies, including ownership, evidence, metrics, fallback procedures and crisis stress testing?</t>
  </si>
  <si>
    <t>Policy/SOP; owner/RACI; system report; dashboard; contracts; test records; incident history; interview evidence related to portfolio governance with prioritization, capacity, benefits, risks and dependencies.</t>
  </si>
  <si>
    <t>No reliable evidence that portfolio governance with prioritization, capacity, benefits, risks and dependencies is defined, owned or managed.</t>
  </si>
  <si>
    <t>Portfolio governance with prioritization, capacity, benefits, risks and dependencies is handled informally and depends on individual knowledge or heroic effort.</t>
  </si>
  <si>
    <t>Portfolio governance with prioritization, capacity, benefits, risks and dependencies is partially documented or implemented, but coverage is inconsistent and not crisis-tested.</t>
  </si>
  <si>
    <t>Portfolio governance with prioritization, capacity, benefits, risks and dependencies is documented, owned, used in normal operations and supported by basic evidence or metrics.</t>
  </si>
  <si>
    <t>Portfolio governance with prioritization, capacity, benefits, risks and dependencies is measured, periodically reviewed, integrated with related processes and tested against relevant disruption scenarios.</t>
  </si>
  <si>
    <t>Portfolio governance with prioritization, capacity, benefits, risks and dependencies is optimized, continuously improved, automated where practical and demonstrably supports crisis resilience.</t>
  </si>
  <si>
    <t>QUAL-012</t>
  </si>
  <si>
    <t>How mature is the organization in managing rapid reprioritization of initiatives during crisis using value, urgency, risk and capacity, including ownership, evidence, metrics, fallback procedures and crisis stress testing?</t>
  </si>
  <si>
    <t>Policy/SOP; owner/RACI; system report; dashboard; contracts; test records; incident history; interview evidence related to rapid reprioritization of initiatives during crisis using value, urgency, risk and capacity.</t>
  </si>
  <si>
    <t>QUAL-013</t>
  </si>
  <si>
    <t>How mature is the organization in managing benefits realization tracking for resilience, digital and operational initiatives, including ownership, evidence, metrics, fallback procedures and crisis stress testing?</t>
  </si>
  <si>
    <t>Policy/SOP; owner/RACI; system report; dashboard; contracts; test records; incident history; interview evidence related to benefits realization tracking for resilience, digital and operational initiatives.</t>
  </si>
  <si>
    <t>No reliable evidence that benefits realization tracking for resilience, digital and operational initiatives is defined, owned or managed.</t>
  </si>
  <si>
    <t>Benefits realization tracking for resilience, digital and operational initiatives is handled informally and depends on individual knowledge or heroic effort.</t>
  </si>
  <si>
    <t>Benefits realization tracking for resilience, digital and operational initiatives is partially documented or implemented, but coverage is inconsistent and not crisis-tested.</t>
  </si>
  <si>
    <t>Benefits realization tracking for resilience, digital and operational initiatives is documented, owned, used in normal operations and supported by basic evidence or metrics.</t>
  </si>
  <si>
    <t>Benefits realization tracking for resilience, digital and operational initiatives is measured, periodically reviewed, integrated with related processes and tested against relevant disruption scenarios.</t>
  </si>
  <si>
    <t>Benefits realization tracking for resilience, digital and operational initiatives is optimized, continuously improved, automated where practical and demonstrably supports crisis resilience.</t>
  </si>
  <si>
    <t>QUAL-014</t>
  </si>
  <si>
    <t>How mature is the organization in managing change adoption management with communication, training, sponsor accountability and adoption metrics, including ownership, evidence, metrics, fallback procedures and crisis stress testing?</t>
  </si>
  <si>
    <t>Policy/SOP; owner/RACI; system report; dashboard; contracts; test records; incident history; interview evidence related to change adoption management with communication, training, sponsor accountability and adoption metrics.</t>
  </si>
  <si>
    <t>QUAL-015</t>
  </si>
  <si>
    <t>How mature is the organization in managing improvement backlog linked to incidents, audits, customer feedback, risk and strategy, including ownership, evidence, metrics, fallback procedures and crisis stress testing?</t>
  </si>
  <si>
    <t>Policy/SOP; owner/RACI; system report; dashboard; contracts; test records; incident history; interview evidence related to improvement backlog linked to incidents, audits, customer feedback, risk and strategy.</t>
  </si>
  <si>
    <t>QUAL-016</t>
  </si>
  <si>
    <t>How mature is the organization in managing KPI hierarchy from strategy to functions, processes, teams and crisis readiness, including ownership, evidence, metrics, fallback procedures and crisis stress testing?</t>
  </si>
  <si>
    <t>Policy/SOP; owner/RACI; system report; dashboard; contracts; test records; incident history; interview evidence related to KPI hierarchy from strategy to functions, processes, teams and crisis readiness.</t>
  </si>
  <si>
    <t>QUAL-017</t>
  </si>
  <si>
    <t>How mature is the organization in managing management review of performance, risks, audit findings, incidents, customers and improvements, including ownership, evidence, metrics, fallback procedures and crisis stress testing?</t>
  </si>
  <si>
    <t>Policy/SOP; owner/RACI; system report; dashboard; contracts; test records; incident history; interview evidence related to management review of performance, risks, audit findings, incidents, customers and improvements.</t>
  </si>
  <si>
    <t>QUAL-018</t>
  </si>
  <si>
    <t>How mature is the organization in managing decision log for major decisions with alternatives, risks, assumptions, owners and follow-up, including ownership, evidence, metrics, fallback procedures and crisis stress testing?</t>
  </si>
  <si>
    <t>Policy/SOP; owner/RACI; system report; dashboard; contracts; test records; incident history; interview evidence related to decision log for major decisions with alternatives, risks, assumptions, owners and follow-up.</t>
  </si>
  <si>
    <t>No reliable evidence that decision log for major decisions with alternatives, risks, assumptions, owners and follow-up is defined, owned or managed.</t>
  </si>
  <si>
    <t>Decision log for major decisions with alternatives, risks, assumptions, owners and follow-up is handled informally and depends on individual knowledge or heroic effort.</t>
  </si>
  <si>
    <t>Decision log for major decisions with alternatives, risks, assumptions, owners and follow-up is partially documented or implemented, but coverage is inconsistent and not crisis-tested.</t>
  </si>
  <si>
    <t>Decision log for major decisions with alternatives, risks, assumptions, owners and follow-up is documented, owned, used in normal operations and supported by basic evidence or metrics.</t>
  </si>
  <si>
    <t>Decision log for major decisions with alternatives, risks, assumptions, owners and follow-up is measured, periodically reviewed, integrated with related processes and tested against relevant disruption scenarios.</t>
  </si>
  <si>
    <t>Decision log for major decisions with alternatives, risks, assumptions, owners and follow-up is optimized, continuously improved, automated where practical and demonstrably supports crisis resilience.</t>
  </si>
  <si>
    <t>QUAL-019</t>
  </si>
  <si>
    <t>How mature is the organization in managing evidence readiness for audits, customers, insurers or regulators during crisis, including ownership, evidence, metrics, fallback procedures and crisis stress testing?</t>
  </si>
  <si>
    <t>Policy/SOP; owner/RACI; system report; dashboard; contracts; test records; incident history; interview evidence related to evidence readiness for audits, customers, insurers or regulators during crisis.</t>
  </si>
  <si>
    <t>QUAL-021</t>
  </si>
  <si>
    <t>How mature is the organization in managing organizational project management alignment connecting strategy to portfolios, programs and projects with defined governance layers, including ownership, evidence, metrics, fallback procedures and crisis stress testing?</t>
  </si>
  <si>
    <t>PMI Standard for OPM; ISO 21502; APQC PCF 13.0</t>
  </si>
  <si>
    <t>No reliable evidence that organizational project management alignment connecting strategy to portfolios, programs and projects with defined governance layers is defined, owned or managed.</t>
  </si>
  <si>
    <t>Organizational project management alignment connecting strategy to portfolios, programs and projects with defined governance layers is handled informally and depends on individual knowledge or heroic effort.</t>
  </si>
  <si>
    <t>Organizational project management alignment connecting strategy to portfolios, programs and projects with defined governance layers is partially documented or implemented, but coverage is inconsistent and not crisis-tested.</t>
  </si>
  <si>
    <t>Organizational project management alignment connecting strategy to portfolios, programs and projects with defined governance layers is documented, owned, used in normal operations and supported by basic evidence or metrics.</t>
  </si>
  <si>
    <t>Organizational project management alignment connecting strategy to portfolios, programs and projects with defined governance layers is measured, periodically reviewed, integrated with related processes and tested against relevant disruption scenarios.</t>
  </si>
  <si>
    <t>Organizational project management alignment connecting strategy to portfolios, programs and projects with defined governance layers is optimized, continuously improved, automated where practical and demonstrably supports crisis resilience.</t>
  </si>
  <si>
    <t>QUAL-022</t>
  </si>
  <si>
    <t>How mature is the organization in managing standardized and tailored project delivery methodology with knowledge transfer between initiatives, including ownership, evidence, metrics, fallback procedures and crisis stress testing?</t>
  </si>
  <si>
    <t>This topic affects exposure to Demand shock; Workforce disruption. It helps identify how disruption may impact operations, people, revenue, systems, legal exposure or recovery time.</t>
  </si>
  <si>
    <t>PMI OPM; PMBOK; ISO 21502</t>
  </si>
  <si>
    <t>No reliable evidence that standardized and tailored project delivery methodology with knowledge transfer between initiatives is defined, owned or managed.</t>
  </si>
  <si>
    <t>Standardized and tailored project delivery methodology with knowledge transfer between initiatives is handled informally and depends on individual knowledge or heroic effort.</t>
  </si>
  <si>
    <t>Standardized and tailored project delivery methodology with knowledge transfer between initiatives is partially documented or implemented, but coverage is inconsistent and not crisis-tested.</t>
  </si>
  <si>
    <t>Standardized and tailored project delivery methodology with knowledge transfer between initiatives is documented, owned, used in normal operations and supported by basic evidence or metrics.</t>
  </si>
  <si>
    <t>Standardized and tailored project delivery methodology with knowledge transfer between initiatives is measured, periodically reviewed, integrated with related processes and tested against relevant disruption scenarios.</t>
  </si>
  <si>
    <t>Standardized and tailored project delivery methodology with knowledge transfer between initiatives is optimized, continuously improved, automated where practical and demonstrably supports crisis resilience.</t>
  </si>
  <si>
    <t>Demand shock; Workforce disruption</t>
  </si>
  <si>
    <t>QUAL-023</t>
  </si>
  <si>
    <t>How mature is the organization in managing project and change management competency development with a visible resource pool and capacity view, including ownership, evidence, metrics, fallback procedures and crisis stress testing?</t>
  </si>
  <si>
    <t>This topic affects exposure to Workforce disruption; Demand shock. It helps identify how disruption may impact operations, people, revenue, systems, legal exposure or recovery time.</t>
  </si>
  <si>
    <t>PMI OPM organizational enablers; APQC PCF 13.0</t>
  </si>
  <si>
    <t>No reliable evidence that project and change management competency development with a visible resource pool and capacity view is defined, owned or managed.</t>
  </si>
  <si>
    <t>Project and change management competency development with a visible resource pool and capacity view is handled informally and depends on individual knowledge or heroic effort.</t>
  </si>
  <si>
    <t>Project and change management competency development with a visible resource pool and capacity view is partially documented or implemented, but coverage is inconsistent and not crisis-tested.</t>
  </si>
  <si>
    <t>Project and change management competency development with a visible resource pool and capacity view is documented, owned, used in normal operations and supported by basic evidence or metrics.</t>
  </si>
  <si>
    <t>Project and change management competency development with a visible resource pool and capacity view is measured, periodically reviewed, integrated with related processes and tested against relevant disruption scenarios.</t>
  </si>
  <si>
    <t>Project and change management competency development with a visible resource pool and capacity view is optimized, continuously improved, automated where practical and demonstrably supports crisis resilience.</t>
  </si>
  <si>
    <t>Workforce disruption; Demand shock</t>
  </si>
  <si>
    <t>QUAL-024</t>
  </si>
  <si>
    <t>How mature is the organization in managing innovation and idea pipeline capturing, evaluating and funding employee and customer-driven improvements, including ownership, evidence, metrics, fallback procedures and crisis stress testing?</t>
  </si>
  <si>
    <t>This topic affects exposure to Demand shock; Reputation crisis. It helps identify how disruption may impact operations, people, revenue, systems, legal exposure or recovery time.</t>
  </si>
  <si>
    <t>EFQM 2025 2.3; ISO 56002; APQC PCF 13.0</t>
  </si>
  <si>
    <t>No reliable evidence that innovation and idea pipeline capturing, evaluating and funding employee and customer-driven improvements is defined, owned or managed.</t>
  </si>
  <si>
    <t>Innovation and idea pipeline capturing, evaluating and funding employee and customer-driven improvements is handled informally and depends on individual knowledge or heroic effort.</t>
  </si>
  <si>
    <t>Innovation and idea pipeline capturing, evaluating and funding employee and customer-driven improvements is partially documented or implemented, but coverage is inconsistent and not crisis-tested.</t>
  </si>
  <si>
    <t>Innovation and idea pipeline capturing, evaluating and funding employee and customer-driven improvements is documented, owned, used in normal operations and supported by basic evidence or metrics.</t>
  </si>
  <si>
    <t>Innovation and idea pipeline capturing, evaluating and funding employee and customer-driven improvements is measured, periodically reviewed, integrated with related processes and tested against relevant disruption scenarios.</t>
  </si>
  <si>
    <t>Innovation and idea pipeline capturing, evaluating and funding employee and customer-driven improvements is optimized, continuously improved, automated where practical and demonstrably supports crisis resilience.</t>
  </si>
  <si>
    <t>Demand shock; Reputation crisis</t>
  </si>
  <si>
    <t>AS-IS State</t>
  </si>
  <si>
    <t>AS-IS State Visual Dashboard</t>
  </si>
  <si>
    <t>Current state assessment combining executive summary, domain diagnostics, maturity matrix, radar chart and bar chart.</t>
  </si>
  <si>
    <t>Matrix, radar and bar views built from the same AS-IS domain diagnostics table. Score scale: 0–5.</t>
  </si>
  <si>
    <t>Overall maturity</t>
  </si>
  <si>
    <t>Industry-adjusted</t>
  </si>
  <si>
    <t>Avg. target gap</t>
  </si>
  <si>
    <t>Red-line breaches</t>
  </si>
  <si>
    <t>KPI</t>
  </si>
  <si>
    <t>Source / Logic</t>
  </si>
  <si>
    <t>0–5 weighted domain average</t>
  </si>
  <si>
    <t>0–5 weighted score</t>
  </si>
  <si>
    <t>Target minus current</t>
  </si>
  <si>
    <t>Domains below target</t>
  </si>
  <si>
    <t>Risk Appetite</t>
  </si>
  <si>
    <t>Overall Maturity 0-5</t>
  </si>
  <si>
    <t>Source-of-truth: _ENGINE_Fuzzy_Posture!B5</t>
  </si>
  <si>
    <t>Maturity Matrix — domain × level</t>
  </si>
  <si>
    <t>Benchmark Percentile</t>
  </si>
  <si>
    <t>Direct from _DATA_Dashboard_Facts</t>
  </si>
  <si>
    <t>L1</t>
  </si>
  <si>
    <t>L2</t>
  </si>
  <si>
    <t>L3</t>
  </si>
  <si>
    <t>L4</t>
  </si>
  <si>
    <t>L5</t>
  </si>
  <si>
    <t>Target</t>
  </si>
  <si>
    <t>Score</t>
  </si>
  <si>
    <t>Industry-adjusted weighted score 0-5</t>
  </si>
  <si>
    <t>Weighted visible score using AS-IS domain diagnostics + CONFIG weights</t>
  </si>
  <si>
    <t>Average gap to industry target</t>
  </si>
  <si>
    <t>Direct from AS-IS domain gap table</t>
  </si>
  <si>
    <t>Red-line floor breaches</t>
  </si>
  <si>
    <t>Direct from AS-IS threshold table</t>
  </si>
  <si>
    <t>Domain Diagnostics</t>
  </si>
  <si>
    <t>Conf-adj maturity 0-5</t>
  </si>
  <si>
    <t>Industry target</t>
  </si>
  <si>
    <t>Gap to target</t>
  </si>
  <si>
    <t>Threshold status</t>
  </si>
  <si>
    <t>Legend:</t>
  </si>
  <si>
    <t>Achieved level</t>
  </si>
  <si>
    <t>Target gap</t>
  </si>
  <si>
    <t>Not required / above target</t>
  </si>
  <si>
    <t>Breach</t>
  </si>
  <si>
    <t>Colour key</t>
  </si>
  <si>
    <t>Low / at-risk</t>
  </si>
  <si>
    <t>Mid</t>
  </si>
  <si>
    <t>Strong</t>
  </si>
  <si>
    <t>Critical</t>
  </si>
  <si>
    <t>High</t>
  </si>
  <si>
    <t>Moderate</t>
  </si>
  <si>
    <t>Low</t>
  </si>
  <si>
    <t>Note: the matrix, radar and bar chart read directly from AS-IS domain diagnostics. Update answers in Assessment Questions; the dashboard will refresh when Excel recalculates.</t>
  </si>
  <si>
    <t>Resilience &amp; Risk Visual Dashboard</t>
  </si>
  <si>
    <t>Scenario-adjusted state: crisis, resilience, fuzzy posture and top risk exposure. This is the stressed/current-state layer, not the action plan.</t>
  </si>
  <si>
    <t>Scenario KPI, exposure matrix, fuzzy posture radar and domain exposure bar chart built from the same scenario/risk engine data.</t>
  </si>
  <si>
    <t>Selected scenario</t>
  </si>
  <si>
    <t>Severity</t>
  </si>
  <si>
    <t>Indexed VaR 95</t>
  </si>
  <si>
    <t>MC VaR 95</t>
  </si>
  <si>
    <t>Scenario KPI</t>
  </si>
  <si>
    <t>User input; hidden engine reads this value</t>
  </si>
  <si>
    <t>Scenario input</t>
  </si>
  <si>
    <t>1–5 crisis stress</t>
  </si>
  <si>
    <t>Analytic model</t>
  </si>
  <si>
    <t>Frozen/seeded MC</t>
  </si>
  <si>
    <t>Severity 1-5</t>
  </si>
  <si>
    <t>User input 1-5; hidden engine reads this value</t>
  </si>
  <si>
    <t>Overall maturity 0-5</t>
  </si>
  <si>
    <t>Fuzzy input</t>
  </si>
  <si>
    <t>Risk Exposure Matrix — domain × exposure band</t>
  </si>
  <si>
    <t>Critical/high risk pressure</t>
  </si>
  <si>
    <t>Extreme</t>
  </si>
  <si>
    <t>Exposure</t>
  </si>
  <si>
    <t>Maturity</t>
  </si>
  <si>
    <t>Crisis x</t>
  </si>
  <si>
    <t>Recommended fuzzy strategy</t>
  </si>
  <si>
    <t>Top fuzzy strategy posture</t>
  </si>
  <si>
    <t>Fuzzy membership</t>
  </si>
  <si>
    <t>Membership</t>
  </si>
  <si>
    <t>Meaning</t>
  </si>
  <si>
    <t>Fragile</t>
  </si>
  <si>
    <t>Little resilience; crisis likely overwhelms controls.</t>
  </si>
  <si>
    <t>Exposed</t>
  </si>
  <si>
    <t>Some controls exist, but coverage/evidence gaps remain.</t>
  </si>
  <si>
    <t>Adaptive</t>
  </si>
  <si>
    <t>Company can adapt but still has material gaps.</t>
  </si>
  <si>
    <t>Resilient</t>
  </si>
  <si>
    <t>Controls are measured/tested and recovery is credible.</t>
  </si>
  <si>
    <t>Anti-fragile</t>
  </si>
  <si>
    <t>Company can improve through stress and exploit disruption.</t>
  </si>
  <si>
    <t>Top exposure domains (baseline or selected scenario)</t>
  </si>
  <si>
    <t>Rank</t>
  </si>
  <si>
    <t>Crisis multiplier</t>
  </si>
  <si>
    <t>Adjusted exposure</t>
  </si>
  <si>
    <t>Moderate/High</t>
  </si>
  <si>
    <t>Critical/Extreme</t>
  </si>
  <si>
    <t>Exposure = crisis-adjusted weakness</t>
  </si>
  <si>
    <t>Fuzzy posture radar data</t>
  </si>
  <si>
    <t>Domain exposure chart data</t>
  </si>
  <si>
    <t>State</t>
  </si>
  <si>
    <t>Top risk-treatment priorities</t>
  </si>
  <si>
    <t>Risk ID</t>
  </si>
  <si>
    <t>Baseline risk level</t>
  </si>
  <si>
    <t>Probability</t>
  </si>
  <si>
    <t>Impact</t>
  </si>
  <si>
    <t>P1 adjusted score</t>
  </si>
  <si>
    <t>Recommendation</t>
  </si>
  <si>
    <t>Backlog note</t>
  </si>
  <si>
    <t>Resilience loss distribution (v2.2, analytic Normal-ES)</t>
  </si>
  <si>
    <t>Mean loss (index)</t>
  </si>
  <si>
    <t>Loss sd</t>
  </si>
  <si>
    <t>VaR 95%</t>
  </si>
  <si>
    <t>CVaR 95%</t>
  </si>
  <si>
    <t>VaR 99%</t>
  </si>
  <si>
    <t>Note: this dashboard mirrors the AgileTPI-style matrix approach, but uses RR scenario outputs: maturity, crisis multiplier, adjusted exposure, fuzzy posture, analytic VaR/CVaR and deterministic Monte Carlo values.</t>
  </si>
  <si>
    <t>CVaR 99%</t>
  </si>
  <si>
    <t>Sampling MC with systemic shock (v3.0, deterministic seed / non-volatile)</t>
  </si>
  <si>
    <t>VaR 95% (MC)</t>
  </si>
  <si>
    <t>MC mode</t>
  </si>
  <si>
    <t>CVaR 95% (MC)</t>
  </si>
  <si>
    <t>Active seed</t>
  </si>
  <si>
    <t>VaR 99% (MC)</t>
  </si>
  <si>
    <t>Engine policy</t>
  </si>
  <si>
    <t>RAND() removed; reproducible seed-based MC</t>
  </si>
  <si>
    <t>CVaR 99% (MC)</t>
  </si>
  <si>
    <t>Rerun policy</t>
  </si>
  <si>
    <t>Change mc_live_seed, then freeze seed back into mc_frozen_seed</t>
  </si>
  <si>
    <t>Action Plan &amp; Roadmap Visual Dashboard</t>
  </si>
  <si>
    <t>What to do next: recommendations, initiatives, WSJF and roadmap waves. This sheet connects risk treatment to portfolio execution.</t>
  </si>
  <si>
    <t>Portfolio view of prioritized initiatives: roadmap matrix, WSJF component radar and ranked initiative bar chart.</t>
  </si>
  <si>
    <t>Primary strategy</t>
  </si>
  <si>
    <t>Top WSJF</t>
  </si>
  <si>
    <t>Top wave</t>
  </si>
  <si>
    <t>Top 20 initiatives</t>
  </si>
  <si>
    <t>Strategy / action KPI</t>
  </si>
  <si>
    <t>Risk &amp; Recommendations</t>
  </si>
  <si>
    <t>Strategy engine</t>
  </si>
  <si>
    <t>Best initiative score</t>
  </si>
  <si>
    <t>Roadmap bucket</t>
  </si>
  <si>
    <t>Visible portfolio</t>
  </si>
  <si>
    <t>Supporting strategy 1</t>
  </si>
  <si>
    <t>Top P2 initiative WSJF</t>
  </si>
  <si>
    <t>Roadmap Matrix — top initiatives × wave</t>
  </si>
  <si>
    <t>Top roadmap wave</t>
  </si>
  <si>
    <t>Initiative</t>
  </si>
  <si>
    <t>0-90 days</t>
  </si>
  <si>
    <t>3-6 months</t>
  </si>
  <si>
    <t>6-12 months</t>
  </si>
  <si>
    <t>12+ months</t>
  </si>
  <si>
    <t>WSJF</t>
  </si>
  <si>
    <t>BV</t>
  </si>
  <si>
    <t>TC</t>
  </si>
  <si>
    <t>RR</t>
  </si>
  <si>
    <t>OE</t>
  </si>
  <si>
    <t>Strategy</t>
  </si>
  <si>
    <t>Top prioritized initiatives</t>
  </si>
  <si>
    <t>Initiative ID</t>
  </si>
  <si>
    <t>Wave</t>
  </si>
  <si>
    <t>WSJF (CoD/JobSize 1-5)</t>
  </si>
  <si>
    <t>Business value</t>
  </si>
  <si>
    <t>Time criticality</t>
  </si>
  <si>
    <t>Risk reduction</t>
  </si>
  <si>
    <t>Opportunity</t>
  </si>
  <si>
    <t>Avoided loss (EUR k/yr)</t>
  </si>
  <si>
    <t>Near-term</t>
  </si>
  <si>
    <t>Mid-term</t>
  </si>
  <si>
    <t>Later wave</t>
  </si>
  <si>
    <t>WSJF = value/time/risk/opportunity ÷ complexity</t>
  </si>
  <si>
    <t>Recommendations</t>
  </si>
  <si>
    <t>WSJF component radar data</t>
  </si>
  <si>
    <t>Top initiative WSJF data</t>
  </si>
  <si>
    <t>Wave distribution</t>
  </si>
  <si>
    <t>Risk / Question ID</t>
  </si>
  <si>
    <t>Complexity</t>
  </si>
  <si>
    <t>Component</t>
  </si>
  <si>
    <t>Average</t>
  </si>
  <si>
    <t>Count</t>
  </si>
  <si>
    <t>Legacy Roadmap &amp; Portfolio staging was refactored and removed in v1.98. Action Plan &amp; Roadmap now owns the visible action/status workflow.</t>
  </si>
  <si>
    <t>Initiative status input</t>
  </si>
  <si>
    <t>Optional brownfield input: set current status and notes for each initiative. _ENGINE_Initiatives reads this table directly.</t>
  </si>
  <si>
    <t>Initiative theme</t>
  </si>
  <si>
    <t>Current status</t>
  </si>
  <si>
    <t>Note: this dashboard mirrors the AgileTPI-style visual pattern using RR initiative logic: top-ranked initiatives, roadmap wave assignment, WSJF components and portfolio distribution.</t>
  </si>
  <si>
    <t>Normalized Backend Question Table</t>
  </si>
  <si>
    <t>One row per assessment question. This hidden sheet replaces the 17 legacy domain question tabs and feeds formulas/dashboards.</t>
  </si>
  <si>
    <t>Answer - select stage</t>
  </si>
  <si>
    <t>Legacy source tab</t>
  </si>
  <si>
    <t>Legacy source row</t>
  </si>
  <si>
    <t>Backend row</t>
  </si>
  <si>
    <t>Crisis Management Assessment Dashboard</t>
  </si>
  <si>
    <t>Consolidated dashboard source map</t>
  </si>
  <si>
    <t>How to use: fill Score 0-5 or N/A in each domain tab; add evidence and comments; review Critical/High gaps; then build crisis-specific mitigation roadmaps. The focus is crisis impact across people, geography, physical safety, suppliers, manufacturing, systems, cloud, data, cybersecurity, strategy and GTM.</t>
  </si>
  <si>
    <t>Original sheet</t>
  </si>
  <si>
    <t>Backend block start</t>
  </si>
  <si>
    <t>Original range size</t>
  </si>
  <si>
    <t>Dashboard</t>
  </si>
  <si>
    <t>A1</t>
  </si>
  <si>
    <t>90 rows × 22 cols</t>
  </si>
  <si>
    <t>Completion %</t>
  </si>
  <si>
    <t>Maturity 0-5</t>
  </si>
  <si>
    <t>Priority note</t>
  </si>
  <si>
    <t>Overall metric</t>
  </si>
  <si>
    <t>Interpretation</t>
  </si>
  <si>
    <t>Heatmaps</t>
  </si>
  <si>
    <t>A110</t>
  </si>
  <si>
    <t>81 rows × 22 cols</t>
  </si>
  <si>
    <t>Total questions</t>
  </si>
  <si>
    <t>Total number of questions across all domains.</t>
  </si>
  <si>
    <t>A210</t>
  </si>
  <si>
    <t>37 rows × 11 cols</t>
  </si>
  <si>
    <t>Answered questions</t>
  </si>
  <si>
    <t>Includes N/A as answered.</t>
  </si>
  <si>
    <t>Spider Dashboards</t>
  </si>
  <si>
    <t>A270</t>
  </si>
  <si>
    <t>51 rows × 18 cols</t>
  </si>
  <si>
    <t>Overall completion</t>
  </si>
  <si>
    <t>Target: 100% before final diagnosis.</t>
  </si>
  <si>
    <t>Executive Brief</t>
  </si>
  <si>
    <t>A340</t>
  </si>
  <si>
    <t>26 rows × 4 cols</t>
  </si>
  <si>
    <t>Overall maturity %</t>
  </si>
  <si>
    <t>Weighted resilience maturity across answered items.</t>
  </si>
  <si>
    <t>0 = absent, 5 = optimized/resilient.</t>
  </si>
  <si>
    <t>Immediate action required.</t>
  </si>
  <si>
    <t>Near-term mitigation required.</t>
  </si>
  <si>
    <t>Total weighted gap</t>
  </si>
  <si>
    <t>Weighted improvement opportunity.</t>
  </si>
  <si>
    <t>Used by scenario-adjusted risk and strategy logic.</t>
  </si>
  <si>
    <t>Crisis severity</t>
  </si>
  <si>
    <t>1 mild; 3 base; 5 severe.</t>
  </si>
  <si>
    <t>Top exposed domain</t>
  </si>
  <si>
    <t>Domain with highest scenario-adjusted exposure.</t>
  </si>
  <si>
    <t>Highest-scoring strategy under the selected crisis scenario.</t>
  </si>
  <si>
    <t>Effective resilience (weak-link, 0-5)</t>
  </si>
  <si>
    <t>Weak-link, red-line and cascade adjusted. Compare with Overall maturity 0-5: a large drop means uneven or gated profile.</t>
  </si>
  <si>
    <t>Weakest domain (cascade engine)</t>
  </si>
  <si>
    <t>Single biggest structural constraint on resilience.</t>
  </si>
  <si>
    <t>Penalty-adjusted maturity 0-5</t>
  </si>
  <si>
    <t>Additive maturity penalized for dispersion across domains.</t>
  </si>
  <si>
    <t>Domains below the industry minimum viable threshold.</t>
  </si>
  <si>
    <t>Risk appetite</t>
  </si>
  <si>
    <t>Adjusts industry targets (Low +0.25 / Balanced 0 / High -0.25).</t>
  </si>
  <si>
    <t>Domains below peer median (seed benchmark)</t>
  </si>
  <si>
    <t>Seed peer benchmark - indicative only until measured data accumulates.</t>
  </si>
  <si>
    <t>Financial Resilience Index (0-5)</t>
  </si>
  <si>
    <t>Computed from hard financial facts, not self-assessment.</t>
  </si>
  <si>
    <t>Annualized expected loss of all active risks if nothing is done.</t>
  </si>
  <si>
    <t>Decision Stability Index (0-100)</t>
  </si>
  <si>
    <t>How robust the priority ranking is to alternative weighting schemes.</t>
  </si>
  <si>
    <t>Crisis scenario</t>
  </si>
  <si>
    <t>Primary diagnostic tabs</t>
  </si>
  <si>
    <t>Typical management output</t>
  </si>
  <si>
    <t>Company Geography; Physical Safety; HR Workforce; Supply Chain; IT Cloud DR</t>
  </si>
  <si>
    <t>Employee safety map; site recovery plan; relocation options; logistics fallback; remote operations plan</t>
  </si>
  <si>
    <t>Physical site loss</t>
  </si>
  <si>
    <t>Physical Safety; Delivery Ops; Manufacturing MES; IT Cloud DR; Business Systems</t>
  </si>
  <si>
    <t>Alternative site plan; production/service transfer plan; insurance/evidence package; recovery sequencing</t>
  </si>
  <si>
    <t>Cyber Privacy; IT Cloud DR; Business Systems; Legal Risk; Marketing Comms</t>
  </si>
  <si>
    <t>Incident response plan; isolation and restore runbook; notification workflow; customer communication pack</t>
  </si>
  <si>
    <t>Cloud / SaaS outage</t>
  </si>
  <si>
    <t>IT Cloud DR; Business Systems; Data BI AI; Sales CRM</t>
  </si>
  <si>
    <t>Cloud/SaaS dependency map; RTO/RPO gaps; backup/export strategy; failover exercise</t>
  </si>
  <si>
    <t>Supply Chain; Finance Procurement; Manufacturing MES; Delivery Ops</t>
  </si>
  <si>
    <t>Critical supplier map; alternate suppliers; inventory buffer model; customer allocation rules</t>
  </si>
  <si>
    <t>Energy / utilities outage</t>
  </si>
  <si>
    <t>Physical Safety; Manufacturing MES; IT Cloud DR; Delivery Ops</t>
  </si>
  <si>
    <t>Backup power/fuel plan; utility dependency map; minimum viable operations</t>
  </si>
  <si>
    <t>Financial / liquidity shock</t>
  </si>
  <si>
    <t>Finance Procurement; Strategy GTM; Sales CRM; Governance Crisis</t>
  </si>
  <si>
    <t>Cash-flow stress test; payment priority rules; revenue defense plan; emergency budget actions</t>
  </si>
  <si>
    <t>Demand shock</t>
  </si>
  <si>
    <t>Strategy GTM; Sales CRM; Marketing Comms; Finance Procurement</t>
  </si>
  <si>
    <t>ICP/offering review; pipeline stress test; pricing response; market pivot options</t>
  </si>
  <si>
    <t>Pandemic / workforce disruption</t>
  </si>
  <si>
    <t>HR Workforce; Physical Safety; IT Cloud DR; Delivery Ops</t>
  </si>
  <si>
    <t>Remote operating model; absence plan; health protocols; minimum staffing</t>
  </si>
  <si>
    <t>Regulatory / compliance shock</t>
  </si>
  <si>
    <t>Legal Risk; Data BI AI; Cyber Privacy; Finance Procurement</t>
  </si>
  <si>
    <t>Compliance gap map; contract/legal exposure; data/privacy remediation plan</t>
  </si>
  <si>
    <t>Reputation crisis</t>
  </si>
  <si>
    <t>Marketing Comms; Sales CRM; Legal Risk; Cyber Privacy</t>
  </si>
  <si>
    <t>Crisis communication playbook; customer notification plan; spokesperson matrix</t>
  </si>
  <si>
    <t>Natural disaster / climate shock</t>
  </si>
  <si>
    <t>Physical Safety; Supply Chain; HR Workforce; Delivery Ops</t>
  </si>
  <si>
    <t>Site risk map; emergency supplies; alternate routes; employee notification</t>
  </si>
  <si>
    <t>Initiative roadmap summary</t>
  </si>
  <si>
    <t>Metric</t>
  </si>
  <si>
    <t>How it is calculated</t>
  </si>
  <si>
    <t>Top-ranked strategy from Strategy Selection.</t>
  </si>
  <si>
    <t>Use as portfolio theme.</t>
  </si>
  <si>
    <t>Selected crisis</t>
  </si>
  <si>
    <t>Scenario selected in Crisis Simulator.</t>
  </si>
  <si>
    <t>Review if scenario changed.</t>
  </si>
  <si>
    <t>Active / triggered initiatives</t>
  </si>
  <si>
    <t>Initiatives ranked into 0-90 days through 12+ months from _ENGINE_Initiatives.</t>
  </si>
  <si>
    <t>Start with top 10.</t>
  </si>
  <si>
    <t>Highest P2 WSJF v3 across initiative library.</t>
  </si>
  <si>
    <t>Use for first wave.</t>
  </si>
  <si>
    <t>0-90 days initiatives</t>
  </si>
  <si>
    <t>Roadmap wave based on P2 rank and WSJF.</t>
  </si>
  <si>
    <t>Assign owners.</t>
  </si>
  <si>
    <t>3-6 months initiatives</t>
  </si>
  <si>
    <t>Prepare budget.</t>
  </si>
  <si>
    <t>Scope update</t>
  </si>
  <si>
    <t>Context and target settings</t>
  </si>
  <si>
    <t>Completeness and quality checks</t>
  </si>
  <si>
    <t>Time-based initiative roadmap</t>
  </si>
  <si>
    <t>Standards per Question</t>
  </si>
  <si>
    <t>Question-level standards mapping</t>
  </si>
  <si>
    <t>Industry-adjusted scoring overview</t>
  </si>
  <si>
    <t>Selected industry</t>
  </si>
  <si>
    <t>Adjusted score</t>
  </si>
  <si>
    <t>Red-line threshold breaches</t>
  </si>
  <si>
    <t>Primary industry-adjusted strategy</t>
  </si>
  <si>
    <t>Roadmap and heatmap outputs</t>
  </si>
  <si>
    <t>Open the Gantt Roadmap tab to review initiative sequencing, capacity load, overload months, dependencies and decision flags.</t>
  </si>
  <si>
    <t>Open the Heatmaps tab to review domain-by-crisis exposure, risk category concentration and roadmap capacity pressure.</t>
  </si>
  <si>
    <t>Crisis and Risk Heatmaps</t>
  </si>
  <si>
    <t>Visual heatmaps to help executives see which domains are most exposed to selected crisis scenarios, risk categories and roadmap workload. Values recalculate when the questionnaire, crisis scenario or industry template changes.</t>
  </si>
  <si>
    <t>Business resilience score</t>
  </si>
  <si>
    <t>Active risks</t>
  </si>
  <si>
    <t>Heatmap 1. Domain vs crisis scenario exposure</t>
  </si>
  <si>
    <t>Heatmap 2. Domain vs active risk category score</t>
  </si>
  <si>
    <t>Geographic, entity and market exposure</t>
  </si>
  <si>
    <t>Strategic and go-to-market resilience</t>
  </si>
  <si>
    <t>Crisis governance and decision-making</t>
  </si>
  <si>
    <t>People, critical roles and knowledge continuity</t>
  </si>
  <si>
    <t>Financial control and procurement resilience</t>
  </si>
  <si>
    <t>Legal, compliance and contractual exposure</t>
  </si>
  <si>
    <t>Physical safety, security and facility resilience</t>
  </si>
  <si>
    <t>Delivery, service continuity and operational execution</t>
  </si>
  <si>
    <t>Supply chain, logistics and supplier continuity</t>
  </si>
  <si>
    <t>Manufacturing, MES and production continuity</t>
  </si>
  <si>
    <t>Revenue, sales pipeline and CRM continuity</t>
  </si>
  <si>
    <t>Market communication and reputation resilience</t>
  </si>
  <si>
    <t>Heatmap 3. Top 20 prioritized initiatives vs timeline</t>
  </si>
  <si>
    <t>7</t>
  </si>
  <si>
    <t>8</t>
  </si>
  <si>
    <t>9</t>
  </si>
  <si>
    <t>10</t>
  </si>
  <si>
    <t>11</t>
  </si>
  <si>
    <t>12</t>
  </si>
  <si>
    <t>13</t>
  </si>
  <si>
    <t>14</t>
  </si>
  <si>
    <t>15</t>
  </si>
  <si>
    <t>16</t>
  </si>
  <si>
    <t>17</t>
  </si>
  <si>
    <t>18</t>
  </si>
  <si>
    <t>19</t>
  </si>
  <si>
    <t>20</t>
  </si>
  <si>
    <t>Heatmap 4. Monthly capacity load and overload signal</t>
  </si>
  <si>
    <t>Capacity load</t>
  </si>
  <si>
    <t>Active initiatives</t>
  </si>
  <si>
    <t>Overload flag</t>
  </si>
  <si>
    <t>Benchmark View - peers and optimal targets (seed v1)</t>
  </si>
  <si>
    <t>Compares your confidence-adjusted maturity with an estimated peer corridor (P25/P50/P75) for your industry criticality and company size, and with an OPTIMAL target (not the maximum). Peer values are expert seed estimates calibrated to public studies - treat percentiles as indicative (+/-15 pp). Edit seeds and parameters in _REF_Model_Content; replace with measured data as assessments accumulate.</t>
  </si>
  <si>
    <t>Your maturity (conf-adj)</t>
  </si>
  <si>
    <t>Peer P25</t>
  </si>
  <si>
    <t>Peer P50</t>
  </si>
  <si>
    <t>Peer P75</t>
  </si>
  <si>
    <t>Est. percentile</t>
  </si>
  <si>
    <t>Position vs peers</t>
  </si>
  <si>
    <t>Optimal target</t>
  </si>
  <si>
    <t>Gap to optimal</t>
  </si>
  <si>
    <t>Summary</t>
  </si>
  <si>
    <t>Domains under-invested vs peers</t>
  </si>
  <si>
    <t>Domains below optimum</t>
  </si>
  <si>
    <t>Domains above optimum (check cost)</t>
  </si>
  <si>
    <t>Average percentile vs peers</t>
  </si>
  <si>
    <t>Principle: optimum, not maximum</t>
  </si>
  <si>
    <t>Not every domain should reach 5. The optimal target balances industry red-lines, criticality and the peer corridor. Pushing a low-criticality domain far above the optimum consumes change capacity and budget that critical gaps need - the "Above optimum - check cost" flag highlights this.</t>
  </si>
  <si>
    <t>v1.5 benchmark governance note</t>
  </si>
  <si>
    <t>Benchmark confidence: Seed / Low. P25/P50/P75 and percentile values are expert seed corridors, not measured market percentiles. Replace with measured peer data as the assessment base grows; keep source and sample-size notes in _REF_Model_Content.</t>
  </si>
  <si>
    <t>Spider Dashboards - Crisis Management Assessment</t>
  </si>
  <si>
    <t>Radar charts are driven by scores entered in each domain tab. Blank or N/A scores are excluded from weighted averages. Horizontal metrics use relevance weights added to each questionnaire row.</t>
  </si>
  <si>
    <t>Critical + High</t>
  </si>
  <si>
    <t>Horizontal metric</t>
  </si>
  <si>
    <t>Overall score 0-5</t>
  </si>
  <si>
    <t>Definition</t>
  </si>
  <si>
    <t>Digitalization score</t>
  </si>
  <si>
    <t>Digitalization weight</t>
  </si>
  <si>
    <t>Resilience score</t>
  </si>
  <si>
    <t>Resilience weight</t>
  </si>
  <si>
    <t>Process score</t>
  </si>
  <si>
    <t>Process weight</t>
  </si>
  <si>
    <t>Digitalization</t>
  </si>
  <si>
    <t>Level of implementation and dependency on digital technologies, systems, data, automation, cloud and platforms.</t>
  </si>
  <si>
    <t>Resilience</t>
  </si>
  <si>
    <t>Ability to withstand and recover from crisis scenarios, disruptions, outages, site loss and people/supplier risks.</t>
  </si>
  <si>
    <t>Process Maturity</t>
  </si>
  <si>
    <t>Level of documented, owned, measured, repeatable and continuously improved processes.</t>
  </si>
  <si>
    <t>v2.6 refactored domain scoring helper</t>
  </si>
  <si>
    <t>This hidden block replaces the former AS-IS scoring staging logic.</t>
  </si>
  <si>
    <t>Weighted AS-IS</t>
  </si>
  <si>
    <t>Coverage %</t>
  </si>
  <si>
    <t>Validation</t>
  </si>
  <si>
    <t>Industry multiplier</t>
  </si>
  <si>
    <t>Domain weight</t>
  </si>
  <si>
    <t>Priority score</t>
  </si>
  <si>
    <t>Index</t>
  </si>
  <si>
    <t>Active flag</t>
  </si>
  <si>
    <t>Gap raw</t>
  </si>
  <si>
    <t>Coverage raw</t>
  </si>
  <si>
    <t>Benchmark target</t>
  </si>
  <si>
    <t>Common domain spider</t>
  </si>
  <si>
    <t>Compares all assessment domains by weighted maturity score from the main Dashboard. Use it to identify the weakest crisis exposure areas.</t>
  </si>
  <si>
    <t>Subarea spiders</t>
  </si>
  <si>
    <t>Each domain tab now has a subarea summary and a radar chart. Subareas are calculated from the Subdomain column.</t>
  </si>
  <si>
    <t>Horizontal metrics</t>
  </si>
  <si>
    <t>Digitalization, Resilience and Process Maturity are calculated across all questions using relevance weights in columns W:Y of each domain sheet.</t>
  </si>
  <si>
    <t>Metric weights</t>
  </si>
  <si>
    <t>0 means the question is not relevant to the horizontal metric. 5 means the question strongly affects that metric. You can adjust these weights manually.</t>
  </si>
  <si>
    <t>Scoring summary replacement</t>
  </si>
  <si>
    <t>RR-framework Executive Brief (v1.5)</t>
  </si>
  <si>
    <t>Consolidated executive view. Values are formula-driven and recalculate when the workbook is opened in Excel.</t>
  </si>
  <si>
    <t>Assessment context</t>
  </si>
  <si>
    <t>Organization</t>
  </si>
  <si>
    <t>Decision stability helper</t>
  </si>
  <si>
    <t>Source / interpretation</t>
  </si>
  <si>
    <t>Average of domain maturity scores from Dashboard.</t>
  </si>
  <si>
    <t>Average benchmark percentile</t>
  </si>
  <si>
    <t>Seed benchmark corridor, not a measured market percentile.</t>
  </si>
  <si>
    <t>Financial Resilience Index 0-5</t>
  </si>
  <si>
    <t>Indicative exposure model, not financial valuation or audit.</t>
  </si>
  <si>
    <t>Financial Resilience level</t>
  </si>
  <si>
    <t>Derived from cash runway, concentration, margin, debt and FX inputs.</t>
  </si>
  <si>
    <t>Critical / High risks</t>
  </si>
  <si>
    <t>Number of active Critical / High risks.</t>
  </si>
  <si>
    <t>Actionable recommendations</t>
  </si>
  <si>
    <t>Recommendations with Show = Yes.</t>
  </si>
  <si>
    <t>Board-level interpretation prompts</t>
  </si>
  <si>
    <t>1. Where are we below peers or target?</t>
  </si>
  <si>
    <t>Review Benchmark View, especially bottom-quartile and below-median domains.</t>
  </si>
  <si>
    <t>2. Which risks can create a crisis cascade?</t>
  </si>
  <si>
    <t>Review Risk Summary and Resilience Engine (Cascade).</t>
  </si>
  <si>
    <t>3. Which 90-day actions matter most?</t>
  </si>
  <si>
    <t>Review Executive Recommendations and Gantt Roadmap.</t>
  </si>
  <si>
    <t>4. Can we execute the roadmap?</t>
  </si>
  <si>
    <t>5. What should leadership decide?</t>
  </si>
  <si>
    <t>Confirm target posture, funding decisions, owners, risk appetite and reassessment cadence.</t>
  </si>
  <si>
    <t>Release note</t>
  </si>
  <si>
    <t>This sheet was added in v1.5 to provide a lightweight executive storytelling layer without adding an implementation office module.</t>
  </si>
  <si>
    <t>Financial resilience source</t>
  </si>
  <si>
    <t>Financial Resilience (computed from hard facts)</t>
  </si>
  <si>
    <t>No self-assessment here: every score is derived from factual profile inputs (concentration, runway, margin, debt, FX). Mappings are editable in _CONFIG_Model_Settings. Use alongside domain maturity: a mature process stack with 2 months of runway is still fragile.</t>
  </si>
  <si>
    <t>Revenue midpoint (EUR k)</t>
  </si>
  <si>
    <t>Gross margin</t>
  </si>
  <si>
    <t>Input (from profile)</t>
  </si>
  <si>
    <t>Score 0-5</t>
  </si>
  <si>
    <t>Weight</t>
  </si>
  <si>
    <t>Comment</t>
  </si>
  <si>
    <t>Cash runway</t>
  </si>
  <si>
    <t>Strongest single predictor of crisis survival.</t>
  </si>
  <si>
    <t>Customer concentration (top-1)</t>
  </si>
  <si>
    <t>Key-customer dependency.</t>
  </si>
  <si>
    <t>Customer concentration (top-5)</t>
  </si>
  <si>
    <t>Breadth of revenue base.</t>
  </si>
  <si>
    <t>Supplier dependency (top-1)</t>
  </si>
  <si>
    <t>Input-side concentration.</t>
  </si>
  <si>
    <t>Supplier substitutability</t>
  </si>
  <si>
    <t>How replaceable critical suppliers are.</t>
  </si>
  <si>
    <t>Gross margin buffer</t>
  </si>
  <si>
    <t>Ability to absorb cost shocks.</t>
  </si>
  <si>
    <t>Leverage constrains crisis options.</t>
  </si>
  <si>
    <t>FX exposure</t>
  </si>
  <si>
    <t>Currency mismatch risk.</t>
  </si>
  <si>
    <t>Level</t>
  </si>
  <si>
    <t>Revenue at risk (annual, from concentration facts)</t>
  </si>
  <si>
    <t>Stress event</t>
  </si>
  <si>
    <t>Assumption</t>
  </si>
  <si>
    <t>Revenue at risk (EUR k/yr)</t>
  </si>
  <si>
    <t>EBITDA-proxy impact (EUR k/yr)</t>
  </si>
  <si>
    <t>Key customer loss</t>
  </si>
  <si>
    <t>Top-1 customer share midpoint x revenue</t>
  </si>
  <si>
    <t>Top-5 customers stress</t>
  </si>
  <si>
    <t>Top-5 share midpoint x 30% decline</t>
  </si>
  <si>
    <t>Critical supplier disruption</t>
  </si>
  <si>
    <t>Top-1 supplier dependency midpoint x 25% capacity loss</t>
  </si>
  <si>
    <t>Consistency checks (fact vs self-assessment)</t>
  </si>
  <si>
    <t>v1.5 financial governance note</t>
  </si>
  <si>
    <t>Financial Resilience is an indicative exposure model, not financial valuation, audit, credit assessment or investment advice. Assumptions and revenue-at-risk proxies should be reviewed with the finance owner before leadership decisions.</t>
  </si>
  <si>
    <t>Technical Initiative Library</t>
  </si>
  <si>
    <t>Very hidden technical sheet. Each row is a structured initiative mapped to strategies, risks, recommendations, crisis multipliers, WSJF and roadmap wave.</t>
  </si>
  <si>
    <t>Strategy ID</t>
  </si>
  <si>
    <t>Initiative objective</t>
  </si>
  <si>
    <t>Related risk category</t>
  </si>
  <si>
    <t>Related crisis scenarios</t>
  </si>
  <si>
    <t>Related question IDs</t>
  </si>
  <si>
    <t>Question count</t>
  </si>
  <si>
    <t>Active recommendations</t>
  </si>
  <si>
    <t>Avg current score 0-5</t>
  </si>
  <si>
    <t>Maturity gap</t>
  </si>
  <si>
    <t>Domain maturity 0-5</t>
  </si>
  <si>
    <t>Domain gap</t>
  </si>
  <si>
    <t>Strategy rank</t>
  </si>
  <si>
    <t>Strategy score</t>
  </si>
  <si>
    <t>Digital impact</t>
  </si>
  <si>
    <t>Resilience impact</t>
  </si>
  <si>
    <t>Process impact</t>
  </si>
  <si>
    <t>Opportunity enablement</t>
  </si>
  <si>
    <t>Complexity / job size</t>
  </si>
  <si>
    <t>Roadmap wave</t>
  </si>
  <si>
    <t>Owner role</t>
  </si>
  <si>
    <t>Default duration</t>
  </si>
  <si>
    <t>Dependencies</t>
  </si>
  <si>
    <t>KPI examples</t>
  </si>
  <si>
    <t>Expected output</t>
  </si>
  <si>
    <t>Recommendation engine link</t>
  </si>
  <si>
    <t>Risk engine link</t>
  </si>
  <si>
    <t>Strategy engine link</t>
  </si>
  <si>
    <t>Trigger rule</t>
  </si>
  <si>
    <t>Default status</t>
  </si>
  <si>
    <t>Budget estimate</t>
  </si>
  <si>
    <t>Manual priority override</t>
  </si>
  <si>
    <t>Industry initiative multiplier</t>
  </si>
  <si>
    <t>Industry-adjusted WSJF</t>
  </si>
  <si>
    <t>Industry-adjusted rank</t>
  </si>
  <si>
    <t>Industry target gap</t>
  </si>
  <si>
    <t>Industry adjustment rationale</t>
  </si>
  <si>
    <t>Manual status (Initiative Status sheet)</t>
  </si>
  <si>
    <t>Effective status</t>
  </si>
  <si>
    <t>PCF metric examples (APQC v8.0)</t>
  </si>
  <si>
    <t>Input · mapped risk count</t>
  </si>
  <si>
    <t>Input · avg risk pressure</t>
  </si>
  <si>
    <t>Input · expected score uplift</t>
  </si>
  <si>
    <t>Input · risk reduction</t>
  </si>
  <si>
    <t>— retired (legacy WSJF v2)</t>
  </si>
  <si>
    <t>WSJF · fuzzy state</t>
  </si>
  <si>
    <t>WSJF · fuzzy BV weight</t>
  </si>
  <si>
    <t>WSJF · fuzzy TC weight</t>
  </si>
  <si>
    <t>WSJF · fuzzy RR weight</t>
  </si>
  <si>
    <t>WSJF · fuzzy OE weight</t>
  </si>
  <si>
    <t>WSJF · goal BV multiplier</t>
  </si>
  <si>
    <t>WSJF · goal TC multiplier</t>
  </si>
  <si>
    <t>WSJF · goal RR multiplier</t>
  </si>
  <si>
    <t>WSJF · goal OE multiplier</t>
  </si>
  <si>
    <t>WSJF · financial value score</t>
  </si>
  <si>
    <t>WSJF · weighted Cost of Delay</t>
  </si>
  <si>
    <t>WSJF · complexity / job size</t>
  </si>
  <si>
    <t>WSJF score</t>
  </si>
  <si>
    <t>WSJF · industry-adjusted</t>
  </si>
  <si>
    <t>Rationale</t>
  </si>
  <si>
    <t>Capability ID</t>
  </si>
  <si>
    <t>Capability relevance</t>
  </si>
  <si>
    <t>Capability bridge rule</t>
  </si>
  <si>
    <t>Capability relevance rationale</t>
  </si>
  <si>
    <t>Maturity band</t>
  </si>
  <si>
    <t>Treatment ID</t>
  </si>
  <si>
    <t>Treatment type</t>
  </si>
  <si>
    <t>Treatment title</t>
  </si>
  <si>
    <t>Evidence required</t>
  </si>
  <si>
    <t>Treatment rationale</t>
  </si>
  <si>
    <t>Industry wording ID</t>
  </si>
  <si>
    <t>Industry wording title</t>
  </si>
  <si>
    <t>Industry wording text</t>
  </si>
  <si>
    <t>Preferred terms</t>
  </si>
  <si>
    <t>Forbidden terms</t>
  </si>
  <si>
    <t>Example systems</t>
  </si>
  <si>
    <t>Industry wording rationale</t>
  </si>
  <si>
    <t>Initiative ontology ID</t>
  </si>
  <si>
    <t>Ontology source row</t>
  </si>
  <si>
    <t>Canonical capability ID</t>
  </si>
  <si>
    <t>Ontology source key</t>
  </si>
  <si>
    <t>Ontology status</t>
  </si>
  <si>
    <t>Legacy label dependency flag</t>
  </si>
  <si>
    <t>Ontology rationale</t>
  </si>
  <si>
    <t>INI-001</t>
  </si>
  <si>
    <t>Business Continuity and Resilience Strategy</t>
  </si>
  <si>
    <t>STR-02</t>
  </si>
  <si>
    <t>Create company context, entity and operating model register</t>
  </si>
  <si>
    <t>Close maturity gaps in company profile by assigning ownership, documenting the process, connecting it to evidence and systems, testing it against crisis scenarios and measuring improvement.</t>
  </si>
  <si>
    <t>War / geopolitical escalation; Physical site loss; Regulatory / compliance shock</t>
  </si>
  <si>
    <t>COMP-001; COMP-002; COMP-003; COMP-004; COMP-005; COMP-006; COMP-007</t>
  </si>
  <si>
    <t>CEO / COO / Risk Lead</t>
  </si>
  <si>
    <t>4-8 weeks</t>
  </si>
  <si>
    <t>Executive sponsor; accountable process owner; baseline evidence; risk acceptance threshold</t>
  </si>
  <si>
    <t>maturity score improvement; open risk reduction; evidence completeness; control test pass rate</t>
  </si>
  <si>
    <t>Documented company profile operating model, owner/RACI, KPI set, evidence pack, tested crisis playbook and improvement backlog.</t>
  </si>
  <si>
    <t>Counts active next-level recommendations for Company Geography / Company profile.</t>
  </si>
  <si>
    <t>Counts active risks and risk scores for Company Geography / Company profile.</t>
  </si>
  <si>
    <t>Uses the current rank and total score of Business Continuity and Resilience Strategy.</t>
  </si>
  <si>
    <t>Trigger when avg score &lt; 4, active risk exists, active recommendation exists or strategy rank &lt;= 3.</t>
  </si>
  <si>
    <t>Not started</t>
  </si>
  <si>
    <t>Low-Medium</t>
  </si>
  <si>
    <t>Actual Open-to-buy retail inventory as a percentage of planned retail inventory</t>
  </si>
  <si>
    <t>INI-002</t>
  </si>
  <si>
    <t>Build geographic exposure and site continuity model</t>
  </si>
  <si>
    <t>Close maturity gaps in geographical distribution by assigning ownership, documenting the process, connecting it to evidence and systems, testing it against crisis scenarios and measuring improvement.</t>
  </si>
  <si>
    <t>COMP-008; COMP-009; COMP-010; COMP-011; COMP-012; COMP-013; COMP-014</t>
  </si>
  <si>
    <t>Documented geographical distribution operating model, owner/RACI, KPI set, evidence pack, tested crisis playbook and improvement backlog.</t>
  </si>
  <si>
    <t>Counts active next-level recommendations for Company Geography / Geographical distribution.</t>
  </si>
  <si>
    <t>Counts active risks and risk scores for Company Geography / Geographical distribution.</t>
  </si>
  <si>
    <t>INI-003</t>
  </si>
  <si>
    <t>Map critical business dependencies and external exposures</t>
  </si>
  <si>
    <t>Close maturity gaps in context and dependencies by assigning ownership, documenting the process, connecting it to evidence and systems, testing it against crisis scenarios and measuring improvement.</t>
  </si>
  <si>
    <t>COMP-016; COMP-017; COMP-018; COMP-019</t>
  </si>
  <si>
    <t>Documented context and dependencies operating model, owner/RACI, KPI set, evidence pack, tested crisis playbook and improvement backlog.</t>
  </si>
  <si>
    <t>Counts active next-level recommendations for Company Geography / Context and dependencies.</t>
  </si>
  <si>
    <t>Counts active risks and risk scores for Company Geography / Context and dependencies.</t>
  </si>
  <si>
    <t>INI-004</t>
  </si>
  <si>
    <t>Governance and Decision-Speed Strategy</t>
  </si>
  <si>
    <t>STR-14</t>
  </si>
  <si>
    <t>Stress-test corporate strategy and decision assumptions</t>
  </si>
  <si>
    <t>Close maturity gaps in corporate strategy by assigning ownership, documenting the process, connecting it to evidence and systems, testing it against crisis scenarios and measuring improvement.</t>
  </si>
  <si>
    <t>Demand shock; Reputation crisis; Financial / liquidity shock</t>
  </si>
  <si>
    <t>STRA-001; STRA-002; STRA-003; STRA-004; STRA-005; STRA-006; STRA-025; STRA-026; STRA-028</t>
  </si>
  <si>
    <t>CEO / CRO / Head of Strategy</t>
  </si>
  <si>
    <t>2-3 months</t>
  </si>
  <si>
    <t>Executive sponsor; accountable process owner; baseline evidence; risk acceptance threshold; customer and pipeline data; market assumptions</t>
  </si>
  <si>
    <t>maturity score improvement; open risk reduction; evidence completeness; control test pass rate; forecast accuracy; customer concentration reduction</t>
  </si>
  <si>
    <t>Documented corporate strategy operating model, owner/RACI, KPI set, evidence pack, tested crisis playbook and improvement backlog.</t>
  </si>
  <si>
    <t>Counts active next-level recommendations for Strategy GTM / Corporate strategy.</t>
  </si>
  <si>
    <t>Counts active risks and risk scores for Strategy GTM / Corporate strategy.</t>
  </si>
  <si>
    <t>Uses the current rank and total score of Governance and Decision-Speed Strategy.</t>
  </si>
  <si>
    <t>INI-005</t>
  </si>
  <si>
    <t>Sales Channel Diversification Strategy</t>
  </si>
  <si>
    <t>STR-11</t>
  </si>
  <si>
    <t>Define crisis-adjusted ICP, market segments and demand exposure</t>
  </si>
  <si>
    <t>Close maturity gaps in market and icp by assigning ownership, documenting the process, connecting it to evidence and systems, testing it against crisis scenarios and measuring improvement.</t>
  </si>
  <si>
    <t>STRA-007; STRA-008; STRA-009; STRA-010; STRA-011; STRA-012</t>
  </si>
  <si>
    <t>Documented market and icp operating model, owner/RACI, KPI set, evidence pack, tested crisis playbook and improvement backlog.</t>
  </si>
  <si>
    <t>Counts active next-level recommendations for Strategy GTM / Market and ICP.</t>
  </si>
  <si>
    <t>Counts active risks and risk scores for Strategy GTM / Market and ICP.</t>
  </si>
  <si>
    <t>Uses the current rank and total score of Sales Channel Diversification Strategy.</t>
  </si>
  <si>
    <t>Number of sales &amp; marketing FTEs as a percentage of total business entity FTEs; B2B business customer one-year attrition rate</t>
  </si>
  <si>
    <t>INI-006</t>
  </si>
  <si>
    <t>Standardize offering architecture and crisis-proof value proposition</t>
  </si>
  <si>
    <t>Close maturity gaps in offering and positioning by assigning ownership, documenting the process, connecting it to evidence and systems, testing it against crisis scenarios and measuring improvement.</t>
  </si>
  <si>
    <t>STRA-013; STRA-014; STRA-015; STRA-016; STRA-017; STRA-018</t>
  </si>
  <si>
    <t>Documented offering and positioning operating model, owner/RACI, KPI set, evidence pack, tested crisis playbook and improvement backlog.</t>
  </si>
  <si>
    <t>Counts active next-level recommendations for Strategy GTM / Offering and positioning.</t>
  </si>
  <si>
    <t>Counts active risks and risk scores for Strategy GTM / Offering and positioning.</t>
  </si>
  <si>
    <t>Percentage growth in R&amp;D cost from three reporting periods prior; Budget for research and development (R&amp;D) as a percentage of revenue</t>
  </si>
  <si>
    <t>INI-007</t>
  </si>
  <si>
    <t>Build resilient GTM execution cadence and channel plan</t>
  </si>
  <si>
    <t>Close maturity gaps in gtm execution by assigning ownership, documenting the process, connecting it to evidence and systems, testing it against crisis scenarios and measuring improvement.</t>
  </si>
  <si>
    <t>STRA-019; STRA-020; STRA-021; STRA-022; STRA-024</t>
  </si>
  <si>
    <t>Documented gtm execution operating model, owner/RACI, KPI set, evidence pack, tested crisis playbook and improvement backlog.</t>
  </si>
  <si>
    <t>Counts active next-level recommendations for Strategy GTM / GTM execution.</t>
  </si>
  <si>
    <t>Counts active risks and risk scores for Strategy GTM / GTM execution.</t>
  </si>
  <si>
    <t>INI-008</t>
  </si>
  <si>
    <t>Implement crisis governance, roles and escalation model</t>
  </si>
  <si>
    <t>Close maturity gaps in crisis governance by assigning ownership, documenting the process, connecting it to evidence and systems, testing it against crisis scenarios and measuring improvement.</t>
  </si>
  <si>
    <t>War / geopolitical escalation; Cyberattack / ransomware; Regulatory / compliance shock; Reputation crisis</t>
  </si>
  <si>
    <t>GOVE-001; GOVE-002; GOVE-003; GOVE-004; GOVE-005; GOVE-006</t>
  </si>
  <si>
    <t>Documented crisis governance operating model, owner/RACI, KPI set, evidence pack, tested crisis playbook and improvement backlog.</t>
  </si>
  <si>
    <t>Counts active next-level recommendations for Governance Crisis / Crisis governance.</t>
  </si>
  <si>
    <t>Counts active risks and risk scores for Governance Crisis / Crisis governance.</t>
  </si>
  <si>
    <t>Incident loss ratio; Relative change in fraud losses since digital tools/technologies have been implemented</t>
  </si>
  <si>
    <t>INI-009</t>
  </si>
  <si>
    <t>Build integrated risk, continuity and resilience control cycle</t>
  </si>
  <si>
    <t>Close maturity gaps in risk and continuity by assigning ownership, documenting the process, connecting it to evidence and systems, testing it against crisis scenarios and measuring improvement.</t>
  </si>
  <si>
    <t>GOVE-007; GOVE-008; GOVE-009; GOVE-010; GOVE-011; GOVE-012; GOVE-013</t>
  </si>
  <si>
    <t>Documented risk and continuity operating model, owner/RACI, KPI set, evidence pack, tested crisis playbook and improvement backlog.</t>
  </si>
  <si>
    <t>Counts active next-level recommendations for Governance Crisis / Risk and continuity.</t>
  </si>
  <si>
    <t>Counts active risks and risk scores for Governance Crisis / Risk and continuity.</t>
  </si>
  <si>
    <t>INI-010</t>
  </si>
  <si>
    <t>Implement incident command, escalation and after-action review</t>
  </si>
  <si>
    <t>Close maturity gaps in incident management by assigning ownership, documenting the process, connecting it to evidence and systems, testing it against crisis scenarios and measuring improvement.</t>
  </si>
  <si>
    <t>GOVE-014; GOVE-015; GOVE-016; GOVE-017; GOVE-018; GOVE-019</t>
  </si>
  <si>
    <t>Documented incident management operating model, owner/RACI, KPI set, evidence pack, tested crisis playbook and improvement backlog.</t>
  </si>
  <si>
    <t>Counts active next-level recommendations for Governance Crisis / Incident management.</t>
  </si>
  <si>
    <t>Counts active risks and risk scores for Governance Crisis / Incident management.</t>
  </si>
  <si>
    <t>INI-011</t>
  </si>
  <si>
    <t>Workforce Resilience Strategy</t>
  </si>
  <si>
    <t>STR-06</t>
  </si>
  <si>
    <t>Create workforce visibility, critical-role and location dashboard</t>
  </si>
  <si>
    <t>Close maturity gaps in workforce visibility by assigning ownership, documenting the process, connecting it to evidence and systems, testing it against crisis scenarios and measuring improvement.</t>
  </si>
  <si>
    <t>War / geopolitical escalation; Pandemic / workforce disruption; Workforce availability crisis</t>
  </si>
  <si>
    <t>HRWO-001; HRWO-002; HRWO-003; HRWO-004; HRWO-005; HRWO-006</t>
  </si>
  <si>
    <t>CHRO / HR Director</t>
  </si>
  <si>
    <t>Documented workforce visibility operating model, owner/RACI, KPI set, evidence pack, tested crisis playbook and improvement backlog.</t>
  </si>
  <si>
    <t>Counts active next-level recommendations for HR Workforce / Workforce visibility.</t>
  </si>
  <si>
    <t>Counts active risks and risk scores for HR Workforce / Workforce visibility.</t>
  </si>
  <si>
    <t>Uses the current rank and total score of Workforce Resilience Strategy.</t>
  </si>
  <si>
    <t>Percentage of total employee headcount that is unionized; Average fully loaded salary for middle management or specialists</t>
  </si>
  <si>
    <t>INI-012</t>
  </si>
  <si>
    <t>Build recruitment, retention and succession resilience plan</t>
  </si>
  <si>
    <t>Close maturity gaps in recruitment and retention by assigning ownership, documenting the process, connecting it to evidence and systems, testing it against crisis scenarios and measuring improvement.</t>
  </si>
  <si>
    <t>HRWO-007; HRWO-008; HRWO-009; HRWO-010; HRWO-011; HRWO-012</t>
  </si>
  <si>
    <t>Documented recruitment and retention operating model, owner/RACI, KPI set, evidence pack, tested crisis playbook and improvement backlog.</t>
  </si>
  <si>
    <t>Counts active next-level recommendations for HR Workforce / Recruitment and retention.</t>
  </si>
  <si>
    <t>Counts active risks and risk scores for HR Workforce / Recruitment and retention.</t>
  </si>
  <si>
    <t>INI-013</t>
  </si>
  <si>
    <t>Implement workforce continuity, wellbeing and availability playbook</t>
  </si>
  <si>
    <t>Close maturity gaps in continuity and wellbeing by assigning ownership, documenting the process, connecting it to evidence and systems, testing it against crisis scenarios and measuring improvement.</t>
  </si>
  <si>
    <t>HRWO-013; HRWO-014; HRWO-015; HRWO-016; HRWO-017; HRWO-018; HRWO-019</t>
  </si>
  <si>
    <t>Documented continuity and wellbeing operating model, owner/RACI, KPI set, evidence pack, tested crisis playbook and improvement backlog.</t>
  </si>
  <si>
    <t>Counts active next-level recommendations for HR Workforce / Continuity and wellbeing.</t>
  </si>
  <si>
    <t>Counts active risks and risk scores for HR Workforce / Continuity and wellbeing.</t>
  </si>
  <si>
    <t>INI-014</t>
  </si>
  <si>
    <t>Stabilize HRMS, workforce data and HR compliance controls</t>
  </si>
  <si>
    <t>Close maturity gaps in hr systems and compliance by assigning ownership, documenting the process, connecting it to evidence and systems, testing it against crisis scenarios and measuring improvement.</t>
  </si>
  <si>
    <t>HRWO-020; HRWO-022; HRWO-024</t>
  </si>
  <si>
    <t>Documented hr systems and compliance operating model, owner/RACI, KPI set, evidence pack, tested crisis playbook and improvement backlog.</t>
  </si>
  <si>
    <t>Counts active next-level recommendations for HR Workforce / HR systems and compliance.</t>
  </si>
  <si>
    <t>Counts active risks and risk scores for HR Workforce / HR systems and compliance.</t>
  </si>
  <si>
    <t>INI-015</t>
  </si>
  <si>
    <t>Implement cash-flow resilience and financial scenario planning</t>
  </si>
  <si>
    <t>Close maturity gaps in financial resilience by assigning ownership, documenting the process, connecting it to evidence and systems, testing it against crisis scenarios and measuring improvement.</t>
  </si>
  <si>
    <t>Financial / liquidity shock; Demand shock; Supply chain disruption</t>
  </si>
  <si>
    <t>FINA-001; FINA-002; FINA-003; FINA-004; FINA-005; FINA-006</t>
  </si>
  <si>
    <t>CFO / Procurement Lead</t>
  </si>
  <si>
    <t>Documented financial resilience operating model, owner/RACI, KPI set, evidence pack, tested crisis playbook and improvement backlog.</t>
  </si>
  <si>
    <t>Counts active next-level recommendations for Finance Procurement / Financial resilience.</t>
  </si>
  <si>
    <t>Counts active risks and risk scores for Finance Procurement / Financial resilience.</t>
  </si>
  <si>
    <t>Other cost to perform the finance function per $100,000 revenue; Percentage of finance function IT costs allocated to transaction processing</t>
  </si>
  <si>
    <t>INI-016</t>
  </si>
  <si>
    <t>Compliance and Risk Control Strategy</t>
  </si>
  <si>
    <t>STR-13</t>
  </si>
  <si>
    <t>Strengthen financial controls, approvals and accounting continuity</t>
  </si>
  <si>
    <t>Close maturity gaps in controls and accounting by assigning ownership, documenting the process, connecting it to evidence and systems, testing it against crisis scenarios and measuring improvement.</t>
  </si>
  <si>
    <t>FINA-007; FINA-008; FINA-009; FINA-010; FINA-011; FINA-012</t>
  </si>
  <si>
    <t>Documented controls and accounting operating model, owner/RACI, KPI set, evidence pack, tested crisis playbook and improvement backlog.</t>
  </si>
  <si>
    <t>Counts active next-level recommendations for Finance Procurement / Controls and accounting.</t>
  </si>
  <si>
    <t>Counts active risks and risk scores for Finance Procurement / Controls and accounting.</t>
  </si>
  <si>
    <t>Uses the current rank and total score of Compliance and Risk Control Strategy.</t>
  </si>
  <si>
    <t>INI-017</t>
  </si>
  <si>
    <t>Supply Chain and Delivery Resilience Strategy</t>
  </si>
  <si>
    <t>STR-08</t>
  </si>
  <si>
    <t>Build resilient procurement governance and supplier risk controls</t>
  </si>
  <si>
    <t>Close maturity gaps in procurement and suppliers by assigning ownership, documenting the process, connecting it to evidence and systems, testing it against crisis scenarios and measuring improvement.</t>
  </si>
  <si>
    <t>FINA-013; FINA-014; FINA-015; FINA-016; FINA-018; FINA-019</t>
  </si>
  <si>
    <t>Documented procurement and suppliers operating model, owner/RACI, KPI set, evidence pack, tested crisis playbook and improvement backlog.</t>
  </si>
  <si>
    <t>Counts active next-level recommendations for Finance Procurement / Procurement and suppliers.</t>
  </si>
  <si>
    <t>Counts active risks and risk scores for Finance Procurement / Procurement and suppliers.</t>
  </si>
  <si>
    <t>Uses the current rank and total score of Supply Chain and Delivery Resilience Strategy.</t>
  </si>
  <si>
    <t>Percentage of supply chain FTEs added/hired in the past 12 months attributed to AI; Percentage change in finished goods inventory turns in the past 12 months</t>
  </si>
  <si>
    <t>INI-018</t>
  </si>
  <si>
    <t>Optimize working capital and liquidity early-warning controls</t>
  </si>
  <si>
    <t>Close maturity gaps in working capital by assigning ownership, documenting the process, connecting it to evidence and systems, testing it against crisis scenarios and measuring improvement.</t>
  </si>
  <si>
    <t>FINA-020; FINA-021; FINA-022; FINA-023; FINA-024</t>
  </si>
  <si>
    <t>Documented working capital operating model, owner/RACI, KPI set, evidence pack, tested crisis playbook and improvement backlog.</t>
  </si>
  <si>
    <t>Counts active next-level recommendations for Finance Procurement / Working capital.</t>
  </si>
  <si>
    <t>Counts active risks and risk scores for Finance Procurement / Working capital.</t>
  </si>
  <si>
    <t>INI-019</t>
  </si>
  <si>
    <t>Implement compliance obligation monitoring and crisis legal controls</t>
  </si>
  <si>
    <t>Close maturity gaps in compliance by assigning ownership, documenting the process, connecting it to evidence and systems, testing it against crisis scenarios and measuring improvement.</t>
  </si>
  <si>
    <t>Regulatory / compliance shock; Cyberattack / ransomware; Reputation crisis</t>
  </si>
  <si>
    <t>LEGA-001; LEGA-002; LEGA-003; LEGA-004; LEGA-005; LEGA-006</t>
  </si>
  <si>
    <t>General Counsel / Compliance Lead</t>
  </si>
  <si>
    <t>Documented compliance operating model, owner/RACI, KPI set, evidence pack, tested crisis playbook and improvement backlog.</t>
  </si>
  <si>
    <t>Counts active next-level recommendations for Legal Risk / Compliance.</t>
  </si>
  <si>
    <t>Counts active risks and risk scores for Legal Risk / Compliance.</t>
  </si>
  <si>
    <t>INI-020</t>
  </si>
  <si>
    <t>Build contract register, obligations and force-majeure response model</t>
  </si>
  <si>
    <t>Close maturity gaps in contracts by assigning ownership, documenting the process, connecting it to evidence and systems, testing it against crisis scenarios and measuring improvement.</t>
  </si>
  <si>
    <t>LEGA-007; LEGA-008; LEGA-009; LEGA-010; LEGA-011; LEGA-012</t>
  </si>
  <si>
    <t>Documented contracts operating model, owner/RACI, KPI set, evidence pack, tested crisis playbook and improvement backlog.</t>
  </si>
  <si>
    <t>Counts active next-level recommendations for Legal Risk / Contracts.</t>
  </si>
  <si>
    <t>Counts active risks and risk scores for Legal Risk / Contracts.</t>
  </si>
  <si>
    <t>INI-021</t>
  </si>
  <si>
    <t>Strengthen data, IP and confidentiality legal safeguards</t>
  </si>
  <si>
    <t>Close maturity gaps in data and ip by assigning ownership, documenting the process, connecting it to evidence and systems, testing it against crisis scenarios and measuring improvement.</t>
  </si>
  <si>
    <t>LEGA-013; LEGA-014; LEGA-015; LEGA-016; LEGA-017; LEGA-018</t>
  </si>
  <si>
    <t>Documented data and ip operating model, owner/RACI, KPI set, evidence pack, tested crisis playbook and improvement backlog.</t>
  </si>
  <si>
    <t>Counts active next-level recommendations for Legal Risk / Data and IP.</t>
  </si>
  <si>
    <t>Counts active risks and risk scores for Legal Risk / Data and IP.</t>
  </si>
  <si>
    <t>INI-022</t>
  </si>
  <si>
    <t>Prepare employment-law continuity and workforce-location compliance</t>
  </si>
  <si>
    <t>Close maturity gaps in employment law by assigning ownership, documenting the process, connecting it to evidence and systems, testing it against crisis scenarios and measuring improvement.</t>
  </si>
  <si>
    <t>LEGA-019; LEGA-020</t>
  </si>
  <si>
    <t>Documented employment law operating model, owner/RACI, KPI set, evidence pack, tested crisis playbook and improvement backlog.</t>
  </si>
  <si>
    <t>Counts active next-level recommendations for Legal Risk / Employment law.</t>
  </si>
  <si>
    <t>Counts active risks and risk scores for Legal Risk / Employment law.</t>
  </si>
  <si>
    <t>INI-023</t>
  </si>
  <si>
    <t>Physical Safety and Site Resilience Strategy</t>
  </si>
  <si>
    <t>STR-10</t>
  </si>
  <si>
    <t>Implement occupational health and safety governance system</t>
  </si>
  <si>
    <t>Close maturity gaps in oh&amp;s governance by assigning ownership, documenting the process, connecting it to evidence and systems, testing it against crisis scenarios and measuring improvement.</t>
  </si>
  <si>
    <t>War / geopolitical escalation; Physical site loss; Energy / utilities outage; Pandemic / workforce disruption</t>
  </si>
  <si>
    <t>PHYS-001; PHYS-002; PHYS-003; PHYS-004; PHYS-005; PHYS-006; PHYS-029; PHYS-030; PHYS-031</t>
  </si>
  <si>
    <t>COO / HSE / Security Lead</t>
  </si>
  <si>
    <t>Executive sponsor; accountable process owner; baseline evidence; risk acceptance threshold; site inventory; emergency contacts; facility access data</t>
  </si>
  <si>
    <t>maturity score improvement; open risk reduction; evidence completeness; control test pass rate; drill completion; incident rate; site access review completion</t>
  </si>
  <si>
    <t>Documented oh&amp;s governance operating model, owner/RACI, KPI set, evidence pack, tested crisis playbook and improvement backlog.</t>
  </si>
  <si>
    <t>Counts active next-level recommendations for Physical Safety / OH&amp;S governance.</t>
  </si>
  <si>
    <t>Counts active risks and risk scores for Physical Safety / OH&amp;S governance.</t>
  </si>
  <si>
    <t>Uses the current rank and total score of Physical Safety and Site Resilience Strategy.</t>
  </si>
  <si>
    <t>INI-024</t>
  </si>
  <si>
    <t>Secure facilities, physical access and site protection controls</t>
  </si>
  <si>
    <t>Close maturity gaps in facilities and access by assigning ownership, documenting the process, connecting it to evidence and systems, testing it against crisis scenarios and measuring improvement.</t>
  </si>
  <si>
    <t>PHYS-007; PHYS-008; PHYS-009; PHYS-010; PHYS-011; PHYS-012</t>
  </si>
  <si>
    <t>Documented facilities and access operating model, owner/RACI, KPI set, evidence pack, tested crisis playbook and improvement backlog.</t>
  </si>
  <si>
    <t>Counts active next-level recommendations for Physical Safety / Facilities and access.</t>
  </si>
  <si>
    <t>Counts active risks and risk scores for Physical Safety / Facilities and access.</t>
  </si>
  <si>
    <t>INI-025</t>
  </si>
  <si>
    <t>Build emergency response, evacuation and shelter procedures</t>
  </si>
  <si>
    <t>Close maturity gaps in emergency response by assigning ownership, documenting the process, connecting it to evidence and systems, testing it against crisis scenarios and measuring improvement.</t>
  </si>
  <si>
    <t>PHYS-013; PHYS-014; PHYS-015; PHYS-016; PHYS-017; PHYS-018</t>
  </si>
  <si>
    <t>Documented emergency response operating model, owner/RACI, KPI set, evidence pack, tested crisis playbook and improvement backlog.</t>
  </si>
  <si>
    <t>Counts active next-level recommendations for Physical Safety / Emergency response.</t>
  </si>
  <si>
    <t>Counts active risks and risk scores for Physical Safety / Emergency response.</t>
  </si>
  <si>
    <t>INI-026</t>
  </si>
  <si>
    <t>Implement physical security and travel risk management</t>
  </si>
  <si>
    <t>Close maturity gaps in security and travel by assigning ownership, documenting the process, connecting it to evidence and systems, testing it against crisis scenarios and measuring improvement.</t>
  </si>
  <si>
    <t>PHYS-019; PHYS-020; PHYS-021; PHYS-022; PHYS-023</t>
  </si>
  <si>
    <t>Documented security and travel operating model, owner/RACI, KPI set, evidence pack, tested crisis playbook and improvement backlog.</t>
  </si>
  <si>
    <t>Counts active next-level recommendations for Physical Safety / Security and travel.</t>
  </si>
  <si>
    <t>Counts active risks and risk scores for Physical Safety / Security and travel.</t>
  </si>
  <si>
    <t>INI-027</t>
  </si>
  <si>
    <t>Build utilities backup and facility resilience plan</t>
  </si>
  <si>
    <t>Close maturity gaps in utilities and resilience by assigning ownership, documenting the process, connecting it to evidence and systems, testing it against crisis scenarios and measuring improvement.</t>
  </si>
  <si>
    <t>PHYS-024; PHYS-025; PHYS-026; PHYS-027; PHYS-028</t>
  </si>
  <si>
    <t>Documented utilities and resilience operating model, owner/RACI, KPI set, evidence pack, tested crisis playbook and improvement backlog.</t>
  </si>
  <si>
    <t>Counts active next-level recommendations for Physical Safety / Utilities and resilience.</t>
  </si>
  <si>
    <t>Counts active risks and risk scores for Physical Safety / Utilities and resilience.</t>
  </si>
  <si>
    <t>INI-028</t>
  </si>
  <si>
    <t>Operational Excellence and Automation Strategy</t>
  </si>
  <si>
    <t>STR-07</t>
  </si>
  <si>
    <t>Standardize delivery governance, ownership and escalation</t>
  </si>
  <si>
    <t>Close maturity gaps in delivery governance by assigning ownership, documenting the process, connecting it to evidence and systems, testing it against crisis scenarios and measuring improvement.</t>
  </si>
  <si>
    <t>War / geopolitical escalation; Supply chain disruption; Demand shock; Physical site loss</t>
  </si>
  <si>
    <t>DELI-001; DELI-002; DELI-003; DELI-004; DELI-005; DELI-006</t>
  </si>
  <si>
    <t>COO / Delivery Director</t>
  </si>
  <si>
    <t>Executive sponsor; accountable process owner; baseline evidence; risk acceptance threshold; supplier/process map; operational data</t>
  </si>
  <si>
    <t>Documented delivery governance operating model, owner/RACI, KPI set, evidence pack, tested crisis playbook and improvement backlog.</t>
  </si>
  <si>
    <t>Counts active next-level recommendations for Delivery Ops / Delivery governance.</t>
  </si>
  <si>
    <t>Counts active risks and risk scores for Delivery Ops / Delivery governance.</t>
  </si>
  <si>
    <t>Uses the current rank and total score of Operational Excellence and Automation Strategy.</t>
  </si>
  <si>
    <t>Annual non-interest expense as a percentage of operating expense</t>
  </si>
  <si>
    <t>INI-029</t>
  </si>
  <si>
    <t>Build capacity resilience and delivery continuity model</t>
  </si>
  <si>
    <t>Close maturity gaps in capacity and continuity by assigning ownership, documenting the process, connecting it to evidence and systems, testing it against crisis scenarios and measuring improvement.</t>
  </si>
  <si>
    <t>DELI-007; DELI-008; DELI-009; DELI-010; DELI-011; DELI-012</t>
  </si>
  <si>
    <t>Documented capacity and continuity operating model, owner/RACI, KPI set, evidence pack, tested crisis playbook and improvement backlog.</t>
  </si>
  <si>
    <t>Counts active next-level recommendations for Delivery Ops / Capacity and continuity.</t>
  </si>
  <si>
    <t>Counts active risks and risk scores for Delivery Ops / Capacity and continuity.</t>
  </si>
  <si>
    <t>INI-030</t>
  </si>
  <si>
    <t>Strengthen process control, SOPs and operational quality gates</t>
  </si>
  <si>
    <t>Close maturity gaps in process control by assigning ownership, documenting the process, connecting it to evidence and systems, testing it against crisis scenarios and measuring improvement.</t>
  </si>
  <si>
    <t>DELI-013; DELI-014; DELI-015; DELI-016; DELI-017; DELI-018</t>
  </si>
  <si>
    <t>Documented process control operating model, owner/RACI, KPI set, evidence pack, tested crisis playbook and improvement backlog.</t>
  </si>
  <si>
    <t>Counts active next-level recommendations for Delivery Ops / Process control.</t>
  </si>
  <si>
    <t>Counts active risks and risk scores for Delivery Ops / Process control.</t>
  </si>
  <si>
    <t>INI-031</t>
  </si>
  <si>
    <t>Implement operational visibility dashboards and early warning</t>
  </si>
  <si>
    <t>Close maturity gaps in operational visibility by assigning ownership, documenting the process, connecting it to evidence and systems, testing it against crisis scenarios and measuring improvement.</t>
  </si>
  <si>
    <t>DELI-019; DELI-020; DELI-021; DELI-022; DELI-023; DELI-024</t>
  </si>
  <si>
    <t>Documented operational visibility operating model, owner/RACI, KPI set, evidence pack, tested crisis playbook and improvement backlog.</t>
  </si>
  <si>
    <t>Counts active next-level recommendations for Delivery Ops / Operational visibility.</t>
  </si>
  <si>
    <t>Counts active risks and risk scores for Delivery Ops / Operational visibility.</t>
  </si>
  <si>
    <t>INI-032</t>
  </si>
  <si>
    <t>Redesign supply chain for resilience and alternative sourcing</t>
  </si>
  <si>
    <t>Close maturity gaps in supply chain design by assigning ownership, documenting the process, connecting it to evidence and systems, testing it against crisis scenarios and measuring improvement.</t>
  </si>
  <si>
    <t>Supply chain disruption; Energy / utilities outage; War / geopolitical escalation</t>
  </si>
  <si>
    <t>SUPP-001; SUPP-002; SUPP-003; SUPP-004; SUPP-005; SUPP-006</t>
  </si>
  <si>
    <t>COO / Supply Chain Lead</t>
  </si>
  <si>
    <t>maturity score improvement; open risk reduction; evidence completeness; control test pass rate; supplier diversification; on-time delivery; inventory visibility</t>
  </si>
  <si>
    <t>Documented supply chain design operating model, owner/RACI, KPI set, evidence pack, tested crisis playbook and improvement backlog.</t>
  </si>
  <si>
    <t>Counts active next-level recommendations for Supply Chain / Supply chain design.</t>
  </si>
  <si>
    <t>Counts active risks and risk scores for Supply Chain / Supply chain design.</t>
  </si>
  <si>
    <t>INI-033</t>
  </si>
  <si>
    <t>Build logistics continuity and transport fallback options</t>
  </si>
  <si>
    <t>Close maturity gaps in logistics by assigning ownership, documenting the process, connecting it to evidence and systems, testing it against crisis scenarios and measuring improvement.</t>
  </si>
  <si>
    <t>SUPP-007; SUPP-008; SUPP-009; SUPP-010; SUPP-011; SUPP-012</t>
  </si>
  <si>
    <t>Documented logistics operating model, owner/RACI, KPI set, evidence pack, tested crisis playbook and improvement backlog.</t>
  </si>
  <si>
    <t>Counts active next-level recommendations for Supply Chain / Logistics.</t>
  </si>
  <si>
    <t>Counts active risks and risk scores for Supply Chain / Logistics.</t>
  </si>
  <si>
    <t>INI-034</t>
  </si>
  <si>
    <t>Implement inventory visibility and demand/supply planning</t>
  </si>
  <si>
    <t>Close maturity gaps in inventory and planning by assigning ownership, documenting the process, connecting it to evidence and systems, testing it against crisis scenarios and measuring improvement.</t>
  </si>
  <si>
    <t>SUPP-013; SUPP-014; SUPP-015; SUPP-016; SUPP-017; SUPP-018; SUPP-019; SUPP-026; SUPP-027; SUPP-028; SUPP-029</t>
  </si>
  <si>
    <t>Documented inventory and planning operating model, owner/RACI, KPI set, evidence pack, tested crisis playbook and improvement backlog.</t>
  </si>
  <si>
    <t>Counts active next-level recommendations for Supply Chain / Inventory and planning.</t>
  </si>
  <si>
    <t>Counts active risks and risk scores for Supply Chain / Inventory and planning.</t>
  </si>
  <si>
    <t>INI-035</t>
  </si>
  <si>
    <t>Implement supply-chain technology, risk monitoring and supplier data</t>
  </si>
  <si>
    <t>Close maturity gaps in technology and risk by assigning ownership, documenting the process, connecting it to evidence and systems, testing it against crisis scenarios and measuring improvement.</t>
  </si>
  <si>
    <t>SUPP-020; SUPP-021; SUPP-022; SUPP-023; SUPP-024; SUPP-025</t>
  </si>
  <si>
    <t>Documented technology and risk operating model, owner/RACI, KPI set, evidence pack, tested crisis playbook and improvement backlog.</t>
  </si>
  <si>
    <t>Counts active next-level recommendations for Supply Chain / Technology and risk.</t>
  </si>
  <si>
    <t>Counts active risks and risk scores for Supply Chain / Technology and risk.</t>
  </si>
  <si>
    <t>INI-036</t>
  </si>
  <si>
    <t>Manufacturing Continuity and MES Strategy</t>
  </si>
  <si>
    <t>STR-09</t>
  </si>
  <si>
    <t>Assess production footprint and build alternate production options</t>
  </si>
  <si>
    <t>Close maturity gaps in production footprint by assigning ownership, documenting the process, connecting it to evidence and systems, testing it against crisis scenarios and measuring improvement.</t>
  </si>
  <si>
    <t>Physical site loss; Energy / utilities outage; Supply chain disruption; Cyberattack / ransomware</t>
  </si>
  <si>
    <t>MANU-001; MANU-002; MANU-003; MANU-004; MANU-005; MANU-006</t>
  </si>
  <si>
    <t>COO / Plant Manager / MES Lead</t>
  </si>
  <si>
    <t>maturity score improvement; open risk reduction; evidence completeness; control test pass rate; OEE visibility; downtime reduction; OT security coverage</t>
  </si>
  <si>
    <t>Documented production footprint operating model, owner/RACI, KPI set, evidence pack, tested crisis playbook and improvement backlog.</t>
  </si>
  <si>
    <t>Counts active next-level recommendations for Manufacturing MES / Production footprint.</t>
  </si>
  <si>
    <t>Counts active risks and risk scores for Manufacturing MES / Production footprint.</t>
  </si>
  <si>
    <t>Uses the current rank and total score of Manufacturing Continuity and MES Strategy.</t>
  </si>
  <si>
    <t>Medium-High</t>
  </si>
  <si>
    <t>INI-037</t>
  </si>
  <si>
    <t>Implement MES and shop-floor digital control foundation</t>
  </si>
  <si>
    <t>Close maturity gaps in mes and shop floor by assigning ownership, documenting the process, connecting it to evidence and systems, testing it against crisis scenarios and measuring improvement.</t>
  </si>
  <si>
    <t>MANU-007; MANU-008; MANU-009; MANU-010; MANU-011; MANU-012</t>
  </si>
  <si>
    <t>Documented mes and shop floor operating model, owner/RACI, KPI set, evidence pack, tested crisis playbook and improvement backlog.</t>
  </si>
  <si>
    <t>Counts active next-level recommendations for Manufacturing MES / MES and shop floor.</t>
  </si>
  <si>
    <t>Counts active risks and risk scores for Manufacturing MES / MES and shop floor.</t>
  </si>
  <si>
    <t>INI-038</t>
  </si>
  <si>
    <t>Build maintenance, spare-parts and asset resilience program</t>
  </si>
  <si>
    <t>Close maturity gaps in maintenance and assets by assigning ownership, documenting the process, connecting it to evidence and systems, testing it against crisis scenarios and measuring improvement.</t>
  </si>
  <si>
    <t>MANU-013; MANU-014; MANU-015; MANU-016; MANU-017; MANU-018</t>
  </si>
  <si>
    <t>Documented maintenance and assets operating model, owner/RACI, KPI set, evidence pack, tested crisis playbook and improvement backlog.</t>
  </si>
  <si>
    <t>Counts active next-level recommendations for Manufacturing MES / Maintenance and assets.</t>
  </si>
  <si>
    <t>Counts active risks and risk scores for Manufacturing MES / Maintenance and assets.</t>
  </si>
  <si>
    <t>INI-039</t>
  </si>
  <si>
    <t>Strengthen manufacturing quality, safety and release controls</t>
  </si>
  <si>
    <t>Close maturity gaps in quality and safety by assigning ownership, documenting the process, connecting it to evidence and systems, testing it against crisis scenarios and measuring improvement.</t>
  </si>
  <si>
    <t>MANU-019; MANU-020; MANU-021; MANU-022; MANU-023; MANU-024</t>
  </si>
  <si>
    <t>Documented quality and safety operating model, owner/RACI, KPI set, evidence pack, tested crisis playbook and improvement backlog.</t>
  </si>
  <si>
    <t>Counts active next-level recommendations for Manufacturing MES / Quality and safety.</t>
  </si>
  <si>
    <t>Counts active risks and risk scores for Manufacturing MES / Quality and safety.</t>
  </si>
  <si>
    <t>INI-040</t>
  </si>
  <si>
    <t>Implement OT security and industrial network resilience controls</t>
  </si>
  <si>
    <t>Close maturity gaps in ot security by assigning ownership, documenting the process, connecting it to evidence and systems, testing it against crisis scenarios and measuring improvement.</t>
  </si>
  <si>
    <t>MANU-025; MANU-026; MANU-027; MANU-028</t>
  </si>
  <si>
    <t>Documented ot security operating model, owner/RACI, KPI set, evidence pack, tested crisis playbook and improvement backlog.</t>
  </si>
  <si>
    <t>Counts active next-level recommendations for Manufacturing MES / OT security.</t>
  </si>
  <si>
    <t>Counts active risks and risk scores for Manufacturing MES / OT security.</t>
  </si>
  <si>
    <t>INI-041</t>
  </si>
  <si>
    <t>Customer Retention and Revenue Protection Strategy</t>
  </si>
  <si>
    <t>STR-12</t>
  </si>
  <si>
    <t>Stabilize CRM data model, ownership and adoption</t>
  </si>
  <si>
    <t>Close maturity gaps in crm foundation by assigning ownership, documenting the process, connecting it to evidence and systems, testing it against crisis scenarios and measuring improvement.</t>
  </si>
  <si>
    <t>Demand shock; Key customer loss; Reputation crisis; Cloud / SaaS outage</t>
  </si>
  <si>
    <t>SALE-001; SALE-002; SALE-004; SALE-005</t>
  </si>
  <si>
    <t>CRO / Head of Sales</t>
  </si>
  <si>
    <t>Documented crm foundation operating model, owner/RACI, KPI set, evidence pack, tested crisis playbook and improvement backlog.</t>
  </si>
  <si>
    <t>Counts active next-level recommendations for Sales CRM / CRM foundation.</t>
  </si>
  <si>
    <t>Counts active risks and risk scores for Sales CRM / CRM foundation.</t>
  </si>
  <si>
    <t>Uses the current rank and total score of Customer Retention and Revenue Protection Strategy.</t>
  </si>
  <si>
    <t>INI-042</t>
  </si>
  <si>
    <t>Build pipeline visibility, forecast discipline and revenue scenarios</t>
  </si>
  <si>
    <t>Close maturity gaps in pipeline and forecast by assigning ownership, documenting the process, connecting it to evidence and systems, testing it against crisis scenarios and measuring improvement.</t>
  </si>
  <si>
    <t>SALE-006; SALE-007; SALE-008; SALE-009; SALE-010</t>
  </si>
  <si>
    <t>Documented pipeline and forecast operating model, owner/RACI, KPI set, evidence pack, tested crisis playbook and improvement backlog.</t>
  </si>
  <si>
    <t>Counts active next-level recommendations for Sales CRM / Pipeline and forecast.</t>
  </si>
  <si>
    <t>Counts active risks and risk scores for Sales CRM / Pipeline and forecast.</t>
  </si>
  <si>
    <t>INI-043</t>
  </si>
  <si>
    <t>Implement customer continuity and key-account protection program</t>
  </si>
  <si>
    <t>Close maturity gaps in customer continuity by assigning ownership, documenting the process, connecting it to evidence and systems, testing it against crisis scenarios and measuring improvement.</t>
  </si>
  <si>
    <t>SALE-011; SALE-012; SALE-013; SALE-014; SALE-015; SALE-016; SALE-022; SALE-023; SALE-024; SALE-025; SALE-026</t>
  </si>
  <si>
    <t>Documented customer continuity operating model, owner/RACI, KPI set, evidence pack, tested crisis playbook and improvement backlog.</t>
  </si>
  <si>
    <t>Counts active next-level recommendations for Sales CRM / Customer continuity.</t>
  </si>
  <si>
    <t>Counts active risks and risk scores for Sales CRM / Customer continuity.</t>
  </si>
  <si>
    <t>INI-044</t>
  </si>
  <si>
    <t>Strengthen pricing, discounting and revenue-control governance</t>
  </si>
  <si>
    <t>Close maturity gaps in revenue controls by assigning ownership, documenting the process, connecting it to evidence and systems, testing it against crisis scenarios and measuring improvement.</t>
  </si>
  <si>
    <t>SALE-017; SALE-018; SALE-020; SALE-021</t>
  </si>
  <si>
    <t>Documented revenue controls operating model, owner/RACI, KPI set, evidence pack, tested crisis playbook and improvement backlog.</t>
  </si>
  <si>
    <t>Counts active next-level recommendations for Sales CRM / Revenue controls.</t>
  </si>
  <si>
    <t>Counts active risks and risk scores for Sales CRM / Revenue controls.</t>
  </si>
  <si>
    <t>INI-045</t>
  </si>
  <si>
    <t>Build resilient brand presence and digital demand generation</t>
  </si>
  <si>
    <t>Close maturity gaps in brand and market presence by assigning ownership, documenting the process, connecting it to evidence and systems, testing it against crisis scenarios and measuring improvement.</t>
  </si>
  <si>
    <t>Demand shock; Reputation crisis; Regulatory / compliance shock</t>
  </si>
  <si>
    <t>MARK-001; MARK-002; MARK-003; MARK-004; MARK-005</t>
  </si>
  <si>
    <t>CMO / Communications Lead</t>
  </si>
  <si>
    <t>Documented brand and market presence operating model, owner/RACI, KPI set, evidence pack, tested crisis playbook and improvement backlog.</t>
  </si>
  <si>
    <t>Counts active next-level recommendations for Marketing Comms / Brand and market presence.</t>
  </si>
  <si>
    <t>Counts active risks and risk scores for Marketing Comms / Brand and market presence.</t>
  </si>
  <si>
    <t>INI-046</t>
  </si>
  <si>
    <t>Prepare crisis communication playbooks and customer notification flows</t>
  </si>
  <si>
    <t>Close maturity gaps in crisis communication by assigning ownership, documenting the process, connecting it to evidence and systems, testing it against crisis scenarios and measuring improvement.</t>
  </si>
  <si>
    <t>MARK-006; MARK-007; MARK-008; MARK-009; MARK-010; MARK-011</t>
  </si>
  <si>
    <t>Documented crisis communication operating model, owner/RACI, KPI set, evidence pack, tested crisis playbook and improvement backlog.</t>
  </si>
  <si>
    <t>Counts active next-level recommendations for Marketing Comms / Crisis communication.</t>
  </si>
  <si>
    <t>Counts active risks and risk scores for Marketing Comms / Crisis communication.</t>
  </si>
  <si>
    <t>Percentage of legal services FTEs that perform other legal services processes; Total cost to perform the legal services function as a percentage of revenue</t>
  </si>
  <si>
    <t>INI-047</t>
  </si>
  <si>
    <t>Standardize marketing operations, content and analytics cadence</t>
  </si>
  <si>
    <t>Close maturity gaps in marketing operations by assigning ownership, documenting the process, connecting it to evidence and systems, testing it against crisis scenarios and measuring improvement.</t>
  </si>
  <si>
    <t>MARK-012; MARK-013; MARK-014; MARK-015; MARK-016</t>
  </si>
  <si>
    <t>Documented marketing operations operating model, owner/RACI, KPI set, evidence pack, tested crisis playbook and improvement backlog.</t>
  </si>
  <si>
    <t>Counts active next-level recommendations for Marketing Comms / Marketing operations.</t>
  </si>
  <si>
    <t>Counts active risks and risk scores for Marketing Comms / Marketing operations.</t>
  </si>
  <si>
    <t>INI-048</t>
  </si>
  <si>
    <t>Cloud and Infrastructure Resilience Strategy</t>
  </si>
  <si>
    <t>STR-03</t>
  </si>
  <si>
    <t>Create IT asset, application and architecture criticality map</t>
  </si>
  <si>
    <t>Close maturity gaps in it inventory and architecture by assigning ownership, documenting the process, connecting it to evidence and systems, testing it against crisis scenarios and measuring improvement.</t>
  </si>
  <si>
    <t>IT, cloud and disaster recovery</t>
  </si>
  <si>
    <t>Cloud / SaaS outage; Cyberattack / ransomware; Physical site loss; War / geopolitical escalation</t>
  </si>
  <si>
    <t>ITCL-001; ITCL-002; ITCL-003; ITCL-004; ITCL-005; ITCL-006</t>
  </si>
  <si>
    <t>CIO / CTO / Infrastructure Lead</t>
  </si>
  <si>
    <t>Executive sponsor; accountable process owner; baseline evidence; risk acceptance threshold; IT architecture inventory; data/system owners</t>
  </si>
  <si>
    <t>maturity score improvement; open risk reduction; evidence completeness; control test pass rate; RTO/RPO achievement; backup test success; incident MTTR</t>
  </si>
  <si>
    <t>Documented it inventory and architecture operating model, owner/RACI, KPI set, evidence pack, tested crisis playbook and improvement backlog.</t>
  </si>
  <si>
    <t>Counts active next-level recommendations for IT Cloud DR / IT inventory and architecture.</t>
  </si>
  <si>
    <t>Counts active risks and risk scores for IT Cloud DR / IT inventory and architecture.</t>
  </si>
  <si>
    <t>Uses the current rank and total score of Cloud and Infrastructure Resilience Strategy.</t>
  </si>
  <si>
    <t>Number of lines of code maintained each year per application maintenance FTE; Annual revenue impact through investment in robotic process automation</t>
  </si>
  <si>
    <t>INI-049</t>
  </si>
  <si>
    <t>Optimize cloud usage, landing zones and infrastructure resilience</t>
  </si>
  <si>
    <t>Close maturity gaps in cloud usage by assigning ownership, documenting the process, connecting it to evidence and systems, testing it against crisis scenarios and measuring improvement.</t>
  </si>
  <si>
    <t>ITCL-007; ITCL-008; ITCL-009; ITCL-010; ITCL-012</t>
  </si>
  <si>
    <t>Documented cloud usage operating model, owner/RACI, KPI set, evidence pack, tested crisis playbook and improvement backlog.</t>
  </si>
  <si>
    <t>Counts active next-level recommendations for IT Cloud DR / Cloud usage.</t>
  </si>
  <si>
    <t>Counts active risks and risk scores for IT Cloud DR / Cloud usage.</t>
  </si>
  <si>
    <t>INI-050</t>
  </si>
  <si>
    <t>Implement disaster recovery, backup testing and RTO/RPO controls</t>
  </si>
  <si>
    <t>Close maturity gaps in resilience and dr by assigning ownership, documenting the process, connecting it to evidence and systems, testing it against crisis scenarios and measuring improvement.</t>
  </si>
  <si>
    <t>ITCL-013; ITCL-014; ITCL-015; ITCL-016; ITCL-017; ITCL-018</t>
  </si>
  <si>
    <t>Documented resilience and dr operating model, owner/RACI, KPI set, evidence pack, tested crisis playbook and improvement backlog.</t>
  </si>
  <si>
    <t>Counts active next-level recommendations for IT Cloud DR / Resilience and DR.</t>
  </si>
  <si>
    <t>Counts active risks and risk scores for IT Cloud DR / Resilience and DR.</t>
  </si>
  <si>
    <t>INI-051</t>
  </si>
  <si>
    <t>Strengthen IT operations, monitoring, incident and change management</t>
  </si>
  <si>
    <t>Close maturity gaps in operations by assigning ownership, documenting the process, connecting it to evidence and systems, testing it against crisis scenarios and measuring improvement.</t>
  </si>
  <si>
    <t>ITCL-019; ITCL-020; ITCL-021; ITCL-022; ITCL-023; ITCL-024</t>
  </si>
  <si>
    <t>Documented operations operating model, owner/RACI, KPI set, evidence pack, tested crisis playbook and improvement backlog.</t>
  </si>
  <si>
    <t>Counts active next-level recommendations for IT Cloud DR / Operations.</t>
  </si>
  <si>
    <t>Counts active risks and risk scores for IT Cloud DR / Operations.</t>
  </si>
  <si>
    <t>INI-052</t>
  </si>
  <si>
    <t>Stabilize SaaS ownership, integrations and vendor continuity</t>
  </si>
  <si>
    <t>Close maturity gaps in saas and integrations by assigning ownership, documenting the process, connecting it to evidence and systems, testing it against crisis scenarios and measuring improvement.</t>
  </si>
  <si>
    <t>ITCL-025; ITCL-026; ITCL-027; ITCL-028; ITCL-029</t>
  </si>
  <si>
    <t>Documented saas and integrations operating model, owner/RACI, KPI set, evidence pack, tested crisis playbook and improvement backlog.</t>
  </si>
  <si>
    <t>Counts active next-level recommendations for IT Cloud DR / SaaS and integrations.</t>
  </si>
  <si>
    <t>Counts active risks and risk scores for IT Cloud DR / SaaS and integrations.</t>
  </si>
  <si>
    <t>INI-053</t>
  </si>
  <si>
    <t>Digital Foundation Strategy</t>
  </si>
  <si>
    <t>STR-01</t>
  </si>
  <si>
    <t>Stabilize ERP process ownership, master data and continuity controls</t>
  </si>
  <si>
    <t>Close maturity gaps in erp by assigning ownership, documenting the process, connecting it to evidence and systems, testing it against crisis scenarios and measuring improvement.</t>
  </si>
  <si>
    <t>Enterprise systems and application continuity</t>
  </si>
  <si>
    <t>Cloud / SaaS outage; Cyberattack / ransomware; Operational disruption</t>
  </si>
  <si>
    <t>BUSI-001; BUSI-002; BUSI-003; BUSI-004; BUSI-005</t>
  </si>
  <si>
    <t>CIO / Business Applications Lead</t>
  </si>
  <si>
    <t>Documented erp operating model, owner/RACI, KPI set, evidence pack, tested crisis playbook and improvement backlog.</t>
  </si>
  <si>
    <t>Counts active next-level recommendations for Business Systems / ERP.</t>
  </si>
  <si>
    <t>Counts active risks and risk scores for Business Systems / ERP.</t>
  </si>
  <si>
    <t>Uses the current rank and total score of Digital Foundation Strategy.</t>
  </si>
  <si>
    <t>INI-054</t>
  </si>
  <si>
    <t>Integrate CRM, commerce and customer-service systems</t>
  </si>
  <si>
    <t>Close maturity gaps in crm and commerce by assigning ownership, documenting the process, connecting it to evidence and systems, testing it against crisis scenarios and measuring improvement.</t>
  </si>
  <si>
    <t>BUSI-006; BUSI-007; BUSI-009</t>
  </si>
  <si>
    <t>Documented crm and commerce operating model, owner/RACI, KPI set, evidence pack, tested crisis playbook and improvement backlog.</t>
  </si>
  <si>
    <t>Counts active next-level recommendations for Business Systems / CRM and commerce.</t>
  </si>
  <si>
    <t>Counts active risks and risk scores for Business Systems / CRM and commerce.</t>
  </si>
  <si>
    <t>INI-055</t>
  </si>
  <si>
    <t>Integrate MES, WMS and TMS into operational continuity model</t>
  </si>
  <si>
    <t>Close maturity gaps in mes wms tms by assigning ownership, documenting the process, connecting it to evidence and systems, testing it against crisis scenarios and measuring improvement.</t>
  </si>
  <si>
    <t>BUSI-010; BUSI-011; BUSI-012; BUSI-013</t>
  </si>
  <si>
    <t>Documented mes wms tms operating model, owner/RACI, KPI set, evidence pack, tested crisis playbook and improvement backlog.</t>
  </si>
  <si>
    <t>Counts active next-level recommendations for Business Systems / MES WMS TMS.</t>
  </si>
  <si>
    <t>Counts active risks and risk scores for Business Systems / MES WMS TMS.</t>
  </si>
  <si>
    <t>INI-056</t>
  </si>
  <si>
    <t>Stabilize HRMS, finance systems and core administrative workflows</t>
  </si>
  <si>
    <t>Close maturity gaps in hrms and finance systems by assigning ownership, documenting the process, connecting it to evidence and systems, testing it against crisis scenarios and measuring improvement.</t>
  </si>
  <si>
    <t>BUSI-014; BUSI-015; BUSI-016</t>
  </si>
  <si>
    <t>Documented hrms and finance systems operating model, owner/RACI, KPI set, evidence pack, tested crisis playbook and improvement backlog.</t>
  </si>
  <si>
    <t>Counts active next-level recommendations for Business Systems / HRMS and finance systems.</t>
  </si>
  <si>
    <t>Counts active risks and risk scores for Business Systems / HRMS and finance systems.</t>
  </si>
  <si>
    <t>INI-057</t>
  </si>
  <si>
    <t>Implement business-system governance and lifecycle control</t>
  </si>
  <si>
    <t>Close maturity gaps in governance and lifecycle by assigning ownership, documenting the process, connecting it to evidence and systems, testing it against crisis scenarios and measuring improvement.</t>
  </si>
  <si>
    <t>BUSI-018; BUSI-019; BUSI-020; BUSI-021; BUSI-022; BUSI-023</t>
  </si>
  <si>
    <t>Documented governance and lifecycle operating model, owner/RACI, KPI set, evidence pack, tested crisis playbook and improvement backlog.</t>
  </si>
  <si>
    <t>Counts active next-level recommendations for Business Systems / Governance and lifecycle.</t>
  </si>
  <si>
    <t>Counts active risks and risk scores for Business Systems / Governance and lifecycle.</t>
  </si>
  <si>
    <t>INI-058</t>
  </si>
  <si>
    <t>Data Governance and AI Readiness Strategy</t>
  </si>
  <si>
    <t>STR-05</t>
  </si>
  <si>
    <t>Implement data ownership, quality and governance framework</t>
  </si>
  <si>
    <t>Close maturity gaps in data governance by assigning ownership, documenting the process, connecting it to evidence and systems, testing it against crisis scenarios and measuring improvement.</t>
  </si>
  <si>
    <t>Data, BI, analytics and AI governance</t>
  </si>
  <si>
    <t>Cyberattack / ransomware; Regulatory / compliance shock; Demand shock</t>
  </si>
  <si>
    <t>DATA-001; DATA-002; DATA-003; DATA-004; DATA-005; DATA-006</t>
  </si>
  <si>
    <t>CDO / Head of Data</t>
  </si>
  <si>
    <t>Documented data governance operating model, owner/RACI, KPI set, evidence pack, tested crisis playbook and improvement backlog.</t>
  </si>
  <si>
    <t>Counts active next-level recommendations for Data BI AI / Data governance.</t>
  </si>
  <si>
    <t>Counts active risks and risk scores for Data BI AI / Data governance.</t>
  </si>
  <si>
    <t>Uses the current rank and total score of Data Governance and AI Readiness Strategy.</t>
  </si>
  <si>
    <t>Percentage achieved from supply chain generative AI use for: reduced accidents at work; Percentage achieved from supply chain generative AI use for: reduced production downtime</t>
  </si>
  <si>
    <t>INI-059</t>
  </si>
  <si>
    <t>Build resilient data architecture, integration and storage foundation</t>
  </si>
  <si>
    <t>Close maturity gaps in data architecture by assigning ownership, documenting the process, connecting it to evidence and systems, testing it against crisis scenarios and measuring improvement.</t>
  </si>
  <si>
    <t>DATA-007; DATA-008; DATA-009; DATA-010; DATA-011; DATA-012</t>
  </si>
  <si>
    <t>Documented data architecture operating model, owner/RACI, KPI set, evidence pack, tested crisis playbook and improvement backlog.</t>
  </si>
  <si>
    <t>Counts active next-level recommendations for Data BI AI / Data architecture.</t>
  </si>
  <si>
    <t>Counts active risks and risk scores for Data BI AI / Data architecture.</t>
  </si>
  <si>
    <t>INI-060</t>
  </si>
  <si>
    <t>Create BI analytics layer for crisis and operational decisions</t>
  </si>
  <si>
    <t>Close maturity gaps in bi and analytics by assigning ownership, documenting the process, connecting it to evidence and systems, testing it against crisis scenarios and measuring improvement.</t>
  </si>
  <si>
    <t>DATA-013; DATA-014; DATA-015; DATA-016; DATA-017; DATA-018</t>
  </si>
  <si>
    <t>Documented bi and analytics operating model, owner/RACI, KPI set, evidence pack, tested crisis playbook and improvement backlog.</t>
  </si>
  <si>
    <t>Counts active next-level recommendations for Data BI AI / BI and analytics.</t>
  </si>
  <si>
    <t>Counts active risks and risk scores for Data BI AI / BI and analytics.</t>
  </si>
  <si>
    <t>INI-061</t>
  </si>
  <si>
    <t>Build forecasting and scenario analytics capability</t>
  </si>
  <si>
    <t>Close maturity gaps in forecasting and scenarios by assigning ownership, documenting the process, connecting it to evidence and systems, testing it against crisis scenarios and measuring improvement.</t>
  </si>
  <si>
    <t>DATA-019; DATA-020; DATA-021; DATA-022</t>
  </si>
  <si>
    <t>Documented forecasting and scenarios operating model, owner/RACI, KPI set, evidence pack, tested crisis playbook and improvement backlog.</t>
  </si>
  <si>
    <t>Counts active next-level recommendations for Data BI AI / Forecasting and scenarios.</t>
  </si>
  <si>
    <t>Counts active risks and risk scores for Data BI AI / Forecasting and scenarios.</t>
  </si>
  <si>
    <t>INI-062</t>
  </si>
  <si>
    <t>Implement AI readiness, governance and use-case portfolio</t>
  </si>
  <si>
    <t>Close maturity gaps in ai readiness by assigning ownership, documenting the process, connecting it to evidence and systems, testing it against crisis scenarios and measuring improvement.</t>
  </si>
  <si>
    <t>DATA-023; DATA-024; DATA-025; DATA-026; DATA-027</t>
  </si>
  <si>
    <t>Documented ai readiness operating model, owner/RACI, KPI set, evidence pack, tested crisis playbook and improvement backlog.</t>
  </si>
  <si>
    <t>Counts active next-level recommendations for Data BI AI / AI readiness.</t>
  </si>
  <si>
    <t>Counts active risks and risk scores for Data BI AI / AI readiness.</t>
  </si>
  <si>
    <t>INI-063</t>
  </si>
  <si>
    <t>Cyber Resilience Strategy</t>
  </si>
  <si>
    <t>STR-04</t>
  </si>
  <si>
    <t>Implement security governance and risk-management operating model</t>
  </si>
  <si>
    <t>Close maturity gaps in security governance by assigning ownership, documenting the process, connecting it to evidence and systems, testing it against crisis scenarios and measuring improvement.</t>
  </si>
  <si>
    <t>Cybersecurity, privacy and access control</t>
  </si>
  <si>
    <t>Cyberattack / ransomware; Regulatory / compliance shock; Reputation crisis</t>
  </si>
  <si>
    <t>CYBE-001; CYBE-002; CYBE-003; CYBE-004; CYBE-005; CYBE-006</t>
  </si>
  <si>
    <t>CISO / DPO</t>
  </si>
  <si>
    <t>maturity score improvement; open risk reduction; evidence completeness; control test pass rate; MFA coverage; vulnerabilities remediated; incident response exercise completion</t>
  </si>
  <si>
    <t>Documented security governance operating model, owner/RACI, KPI set, evidence pack, tested crisis playbook and improvement backlog.</t>
  </si>
  <si>
    <t>Counts active next-level recommendations for Cyber Privacy / Security governance.</t>
  </si>
  <si>
    <t>Counts active risks and risk scores for Cyber Privacy / Security governance.</t>
  </si>
  <si>
    <t>Uses the current rank and total score of Cyber Resilience Strategy.</t>
  </si>
  <si>
    <t>INI-064</t>
  </si>
  <si>
    <t>Strengthen IAM, MFA, privileged access and joiner/mover/leaver controls</t>
  </si>
  <si>
    <t>Close maturity gaps in identity and access by assigning ownership, documenting the process, connecting it to evidence and systems, testing it against crisis scenarios and measuring improvement.</t>
  </si>
  <si>
    <t>CYBE-007; CYBE-008; CYBE-009; CYBE-010; CYBE-011; CYBE-012</t>
  </si>
  <si>
    <t>Documented identity and access operating model, owner/RACI, KPI set, evidence pack, tested crisis playbook and improvement backlog.</t>
  </si>
  <si>
    <t>Counts active next-level recommendations for Cyber Privacy / Identity and access.</t>
  </si>
  <si>
    <t>Counts active risks and risk scores for Cyber Privacy / Identity and access.</t>
  </si>
  <si>
    <t>INI-065</t>
  </si>
  <si>
    <t>Improve endpoint, network, backup and vulnerability protection</t>
  </si>
  <si>
    <t>Close maturity gaps in protection by assigning ownership, documenting the process, connecting it to evidence and systems, testing it against crisis scenarios and measuring improvement.</t>
  </si>
  <si>
    <t>CYBE-013; CYBE-014; CYBE-015; CYBE-016; CYBE-017; CYBE-018; CYBE-019; CYBE-020</t>
  </si>
  <si>
    <t>Documented protection operating model, owner/RACI, KPI set, evidence pack, tested crisis playbook and improvement backlog.</t>
  </si>
  <si>
    <t>Counts active next-level recommendations for Cyber Privacy / Protection.</t>
  </si>
  <si>
    <t>Counts active risks and risk scores for Cyber Privacy / Protection.</t>
  </si>
  <si>
    <t>INI-066</t>
  </si>
  <si>
    <t>Implement detection, response, logging and security incident exercises</t>
  </si>
  <si>
    <t>Close maturity gaps in detection and response by assigning ownership, documenting the process, connecting it to evidence and systems, testing it against crisis scenarios and measuring improvement.</t>
  </si>
  <si>
    <t>CYBE-021; CYBE-022; CYBE-023; CYBE-024; CYBE-025; CYBE-026</t>
  </si>
  <si>
    <t>Documented detection and response operating model, owner/RACI, KPI set, evidence pack, tested crisis playbook and improvement backlog.</t>
  </si>
  <si>
    <t>Counts active next-level recommendations for Cyber Privacy / Detection and response.</t>
  </si>
  <si>
    <t>Counts active risks and risk scores for Cyber Privacy / Detection and response.</t>
  </si>
  <si>
    <t>INI-067</t>
  </si>
  <si>
    <t>Strengthen application, API and OT security controls</t>
  </si>
  <si>
    <t>Close maturity gaps in application and ot security by assigning ownership, documenting the process, connecting it to evidence and systems, testing it against crisis scenarios and measuring improvement.</t>
  </si>
  <si>
    <t>CYBE-027; CYBE-028</t>
  </si>
  <si>
    <t>Documented application and ot security operating model, owner/RACI, KPI set, evidence pack, tested crisis playbook and improvement backlog.</t>
  </si>
  <si>
    <t>Counts active next-level recommendations for Cyber Privacy / Application and OT security.</t>
  </si>
  <si>
    <t>Counts active risks and risk scores for Cyber Privacy / Application and OT security.</t>
  </si>
  <si>
    <t>INI-068</t>
  </si>
  <si>
    <t>Implement privacy governance, DPIA and personal-data controls</t>
  </si>
  <si>
    <t>Close maturity gaps in privacy by assigning ownership, documenting the process, connecting it to evidence and systems, testing it against crisis scenarios and measuring improvement.</t>
  </si>
  <si>
    <t>CYBE-032; CYBE-033</t>
  </si>
  <si>
    <t>Documented privacy operating model, owner/RACI, KPI set, evidence pack, tested crisis playbook and improvement backlog.</t>
  </si>
  <si>
    <t>Counts active next-level recommendations for Cyber Privacy / Privacy.</t>
  </si>
  <si>
    <t>Counts active risks and risk scores for Cyber Privacy / Privacy.</t>
  </si>
  <si>
    <t>INI-069</t>
  </si>
  <si>
    <t>Build process ownership, SOP and continuous-improvement model</t>
  </si>
  <si>
    <t>Close maturity gaps in process management by assigning ownership, documenting the process, connecting it to evidence and systems, testing it against crisis scenarios and measuring improvement.</t>
  </si>
  <si>
    <t>Quality, portfolio and change execution risk</t>
  </si>
  <si>
    <t>Demand shock; Regulatory / compliance shock; Operational disruption</t>
  </si>
  <si>
    <t>QUAL-001; QUAL-002; QUAL-004; QUAL-005</t>
  </si>
  <si>
    <t>COO / Transformation Lead</t>
  </si>
  <si>
    <t>Documented process management operating model, owner/RACI, KPI set, evidence pack, tested crisis playbook and improvement backlog.</t>
  </si>
  <si>
    <t>Counts active next-level recommendations for Quality Portfolio / Process management.</t>
  </si>
  <si>
    <t>Counts active risks and risk scores for Quality Portfolio / Process management.</t>
  </si>
  <si>
    <t>INI-070</t>
  </si>
  <si>
    <t>Strengthen quality management and audit readiness</t>
  </si>
  <si>
    <t>Close maturity gaps in quality management by assigning ownership, documenting the process, connecting it to evidence and systems, testing it against crisis scenarios and measuring improvement.</t>
  </si>
  <si>
    <t>QUAL-006; QUAL-007; QUAL-008; QUAL-009; QUAL-010</t>
  </si>
  <si>
    <t>Documented quality management operating model, owner/RACI, KPI set, evidence pack, tested crisis playbook and improvement backlog.</t>
  </si>
  <si>
    <t>Counts active next-level recommendations for Quality Portfolio / Quality management.</t>
  </si>
  <si>
    <t>Counts active risks and risk scores for Quality Portfolio / Quality management.</t>
  </si>
  <si>
    <t>INI-071</t>
  </si>
  <si>
    <t>Implement portfolio governance, prioritization and change control</t>
  </si>
  <si>
    <t>Close maturity gaps in portfolio and change by assigning ownership, documenting the process, connecting it to evidence and systems, testing it against crisis scenarios and measuring improvement.</t>
  </si>
  <si>
    <t>QUAL-011; QUAL-012; QUAL-013; QUAL-014; QUAL-015</t>
  </si>
  <si>
    <t>Documented portfolio and change operating model, owner/RACI, KPI set, evidence pack, tested crisis playbook and improvement backlog.</t>
  </si>
  <si>
    <t>Counts active next-level recommendations for Quality Portfolio / Portfolio and change.</t>
  </si>
  <si>
    <t>Counts active risks and risk scores for Quality Portfolio / Portfolio and change.</t>
  </si>
  <si>
    <t>INI-072</t>
  </si>
  <si>
    <t>Integrate management system, KPIs and continual improvement cycle</t>
  </si>
  <si>
    <t>Close maturity gaps in management system by assigning ownership, documenting the process, connecting it to evidence and systems, testing it against crisis scenarios and measuring improvement.</t>
  </si>
  <si>
    <t>QUAL-016; QUAL-017; QUAL-018; QUAL-019</t>
  </si>
  <si>
    <t>Documented management system operating model, owner/RACI, KPI set, evidence pack, tested crisis playbook and improvement backlog.</t>
  </si>
  <si>
    <t>Counts active next-level recommendations for Quality Portfolio / Management system.</t>
  </si>
  <si>
    <t>Counts active risks and risk scores for Quality Portfolio / Management system.</t>
  </si>
  <si>
    <t>_ENGINE_Risk / Hidden Vocabulary</t>
  </si>
  <si>
    <t>Internal admin sheet. Each row is one questionnaire item. Score-specific risk statements, risk treatments and complexity values are used by the visible Risk Summary sheet.</t>
  </si>
  <si>
    <t>Question ID</t>
  </si>
  <si>
    <t>Risk category</t>
  </si>
  <si>
    <t>Risk event</t>
  </si>
  <si>
    <t>Risk drivers</t>
  </si>
  <si>
    <t>Risk if score 0</t>
  </si>
  <si>
    <t>Risk if score 1</t>
  </si>
  <si>
    <t>Risk if score 2</t>
  </si>
  <si>
    <t>Risk if score 3</t>
  </si>
  <si>
    <t>Risk if score 4</t>
  </si>
  <si>
    <t>Risk if score 5</t>
  </si>
  <si>
    <t>Risk treatment if score 0</t>
  </si>
  <si>
    <t>Risk treatment if score 1</t>
  </si>
  <si>
    <t>Risk treatment if score 2</t>
  </si>
  <si>
    <t>Risk treatment if score 3</t>
  </si>
  <si>
    <t>Risk treatment if score 4</t>
  </si>
  <si>
    <t>Risk treatment if score 5</t>
  </si>
  <si>
    <t>Complexity if score 0</t>
  </si>
  <si>
    <t>Complexity if score 1</t>
  </si>
  <si>
    <t>Complexity if score 2</t>
  </si>
  <si>
    <t>Complexity if score 3</t>
  </si>
  <si>
    <t>Complexity if score 4</t>
  </si>
  <si>
    <t>Complexity if score 5</t>
  </si>
  <si>
    <t>Crisis tags</t>
  </si>
  <si>
    <t>Source sheet row</t>
  </si>
  <si>
    <t>Risk velocity</t>
  </si>
  <si>
    <t>P1 exposure default</t>
  </si>
  <si>
    <t>P1 incident history default</t>
  </si>
  <si>
    <t>P1 evidence uncertainty default</t>
  </si>
  <si>
    <t>P1 dependency/cascade score</t>
  </si>
  <si>
    <t>P1 red-line flag</t>
  </si>
  <si>
    <t>P1 red-line impact floor</t>
  </si>
  <si>
    <t>P1 calibration rationale</t>
  </si>
  <si>
    <t>MC maturity score 0-5</t>
  </si>
  <si>
    <t>MC control weakness 0-1</t>
  </si>
  <si>
    <t>MC impact severity 0-100</t>
  </si>
  <si>
    <t>MC loss mode 0-100</t>
  </si>
  <si>
    <t>MC loss min 0-100</t>
  </si>
  <si>
    <t>MC loss max 0-100</t>
  </si>
  <si>
    <t>Industry risk label</t>
  </si>
  <si>
    <t>Industry recommendation title</t>
  </si>
  <si>
    <t>Immature capability for legal entity structure, ownership, subsidiaries and operating countries may lead to unclear exposure across entities, sites and markets, delayed strategic response and underestimated crisis impact during Geopolitical risk; Physical site loss; Regulatory/legal shock.</t>
  </si>
  <si>
    <t>Low maturity, weak ownership, incomplete evidence, insufficient testing and poor integration with crisis-management routines for legal entity structure, ownership, subsidiaries and operating countries.</t>
  </si>
  <si>
    <t>Severe risk: legal entity structure, ownership, subsidiaries and operating countries is not reliably controlled. During Geopolitical risk; Physical site loss; Regulatory/legal shock, the organization may face unclear exposure across entities, sites and markets, delayed strategic response and underestimated crisis impact with limited visibility or accountability.</t>
  </si>
  <si>
    <t>High risk: legal entity structure, ownership, subsidiaries and operating countries depends on informal practices or individual knowledge. Disruption may expose unclear exposure across entities, sites and markets, delayed strategic response and underestimated crisis impact and slow recovery.</t>
  </si>
  <si>
    <t>Elevated risk: legal entity structure, ownership, subsidiaries and operating countries is partially controlled, but coverage, evidence or testing is inconsistent. Crisis response may be fragmented.</t>
  </si>
  <si>
    <t>Moderate risk: legal entity structure, ownership, subsidiaries and operating countries is documented and owned, but measurement, stress testing and integration with dependent processes need strengthening.</t>
  </si>
  <si>
    <t>Residual risk: legal entity structure, ownership, subsidiaries and operating countries is measured and reviewed, but monitoring, automation or scenario testing should be improved to prevent maturity drift.</t>
  </si>
  <si>
    <t>Low residual risk: legal entity structure, ownership, subsidiaries and operating countries is mature and crisis-tested. Maintain monitoring, evidence, ownership and periodic stress testing.</t>
  </si>
  <si>
    <t>Create an immediate risk owner, minimum control baseline and fallback procedure for legal entity structure, ownership, subsidiaries and operating countries. Add it to the crisis risk register and collect first evidence.</t>
  </si>
  <si>
    <t>Document legal entity structure, ownership, subsidiaries and operating countries, assign RACI, define minimum controls and KPIs, and validate coverage across key sites, teams or systems.</t>
  </si>
  <si>
    <t>Standardize legal entity structure, ownership, subsidiaries and operating countries, close coverage gaps, train accountable roles and connect controls to the relevant crisis scenarios and continuity plans.</t>
  </si>
  <si>
    <t>Measure and test legal entity structure, ownership, subsidiaries and operating countries, run tabletop or operational stress tests, integrate it with dependent processes and update crisis playbooks.</t>
  </si>
  <si>
    <t>Automate monitoring where practical, define leading indicators, run periodic scenario tests and track residual risk after each major change.</t>
  </si>
  <si>
    <t>Sustain maturity for legal entity structure, ownership, subsidiaries and operating countries: keep evidence current, monitor drift, benchmark externally and refresh risk tests after organizational, system or market changes.</t>
  </si>
  <si>
    <t>CEO / COO / Risk</t>
  </si>
  <si>
    <t>Company Geography!5</t>
  </si>
  <si>
    <t>Immature capability for business model, value proposition, revenue streams and cost drivers may lead to unclear exposure across entities, sites and markets, delayed strategic response and underestimated crisis impact during Geopolitical risk; Physical site loss; Regulatory/legal shock.</t>
  </si>
  <si>
    <t>Low maturity, weak ownership, incomplete evidence, insufficient testing and poor integration with crisis-management routines for business model, value proposition, revenue streams and cost drivers.</t>
  </si>
  <si>
    <t>Severe risk: business model, value proposition, revenue streams and cost drivers is not reliably controlled. During Geopolitical risk; Physical site loss; Regulatory/legal shock, the organization may face unclear exposure across entities, sites and markets, delayed strategic response and underestimated crisis impact with limited visibility or accountability.</t>
  </si>
  <si>
    <t>High risk: business model, value proposition, revenue streams and cost drivers depends on informal practices or individual knowledge. Disruption may expose unclear exposure across entities, sites and markets, delayed strategic response and underestimated crisis impact and slow recovery.</t>
  </si>
  <si>
    <t>Elevated risk: business model, value proposition, revenue streams and cost drivers is partially controlled, but coverage, evidence or testing is inconsistent. Crisis response may be fragmented.</t>
  </si>
  <si>
    <t>Moderate risk: business model, value proposition, revenue streams and cost drivers is documented and owned, but measurement, stress testing and integration with dependent processes need strengthening.</t>
  </si>
  <si>
    <t>Residual risk: business model, value proposition, revenue streams and cost drivers is measured and reviewed, but monitoring, automation or scenario testing should be improved to prevent maturity drift.</t>
  </si>
  <si>
    <t>Low residual risk: business model, value proposition, revenue streams and cost drivers is mature and crisis-tested. Maintain monitoring, evidence, ownership and periodic stress testing.</t>
  </si>
  <si>
    <t>Create an immediate risk owner, minimum control baseline and fallback procedure for business model, value proposition, revenue streams and cost drivers. Add it to the crisis risk register and collect first evidence.</t>
  </si>
  <si>
    <t>Document business model, value proposition, revenue streams and cost drivers, assign RACI, define minimum controls and KPIs, and validate coverage across key sites, teams or systems.</t>
  </si>
  <si>
    <t>Standardize business model, value proposition, revenue streams and cost drivers, close coverage gaps, train accountable roles and connect controls to the relevant crisis scenarios and continuity plans.</t>
  </si>
  <si>
    <t>Measure and test business model, value proposition, revenue streams and cost drivers, run tabletop or operational stress tests, integrate it with dependent processes and update crisis playbooks.</t>
  </si>
  <si>
    <t>Sustain maturity for business model, value proposition, revenue streams and cost drivers: keep evidence current, monitor drift, benchmark externally and refresh risk tests after organizational, system or market changes.</t>
  </si>
  <si>
    <t>Company Geography!6</t>
  </si>
  <si>
    <t>Immature capability for critical products and services ranked by revenue, margin and continuity priority may lead to unclear exposure across entities, sites and markets, delayed strategic response and underestimated crisis impact during Geopolitical risk; Physical site loss; Regulatory/legal shock.</t>
  </si>
  <si>
    <t>Low maturity, weak ownership, incomplete evidence, insufficient testing and poor integration with crisis-management routines for critical products and services ranked by revenue, margin and continuity priority.</t>
  </si>
  <si>
    <t>Severe risk: critical products and services ranked by revenue, margin and continuity priority is not reliably controlled. During Geopolitical risk; Physical site loss; Regulatory/legal shock, the organization may face unclear exposure across entities, sites and markets, delayed strategic response and underestimated crisis impact with limited visibility or accountability.</t>
  </si>
  <si>
    <t>High risk: critical products and services ranked by revenue, margin and continuity priority depends on informal practices or individual knowledge. Disruption may expose unclear exposure across entities, sites and markets, delayed strategic response and underestimated crisis impact and slow recovery.</t>
  </si>
  <si>
    <t>Elevated risk: critical products and services ranked by revenue, margin and continuity priority is partially controlled, but coverage, evidence or testing is inconsistent. Crisis response may be fragmented.</t>
  </si>
  <si>
    <t>Moderate risk: critical products and services ranked by revenue, margin and continuity priority is documented and owned, but measurement, stress testing and integration with dependent processes need strengthening.</t>
  </si>
  <si>
    <t>Residual risk: critical products and services ranked by revenue, margin and continuity priority is measured and reviewed, but monitoring, automation or scenario testing should be improved to prevent maturity drift.</t>
  </si>
  <si>
    <t>Low residual risk: critical products and services ranked by revenue, margin and continuity priority is mature and crisis-tested. Maintain monitoring, evidence, ownership and periodic stress testing.</t>
  </si>
  <si>
    <t>Create an immediate risk owner, minimum control baseline and fallback procedure for critical products and services ranked by revenue, margin and continuity priority. Add it to the crisis risk register and collect first evidence.</t>
  </si>
  <si>
    <t>Document critical products and services ranked by revenue, margin and continuity priority, assign RACI, define minimum controls and KPIs, and validate coverage across key sites, teams or systems.</t>
  </si>
  <si>
    <t>Standardize critical products and services ranked by revenue, margin and continuity priority, close coverage gaps, train accountable roles and connect controls to the relevant crisis scenarios and continuity plans.</t>
  </si>
  <si>
    <t>Measure and test critical products and services ranked by revenue, margin and continuity priority, run tabletop or operational stress tests, integrate it with dependent processes and update crisis playbooks.</t>
  </si>
  <si>
    <t>Sustain maturity for critical products and services ranked by revenue, margin and continuity priority: keep evidence current, monitor drift, benchmark externally and refresh risk tests after organizational, system or market changes.</t>
  </si>
  <si>
    <t>Company Geography!7</t>
  </si>
  <si>
    <t>Immature capability for operating model: centralized, distributed, outsourced, remote or hybrid may lead to unclear exposure across entities, sites and markets, delayed strategic response and underestimated crisis impact during Geopolitical risk; Physical site loss; Regulatory/legal shock.</t>
  </si>
  <si>
    <t>Low maturity, weak ownership, incomplete evidence, insufficient testing and poor integration with crisis-management routines for operating model: centralized, distributed, outsourced, remote or hybrid.</t>
  </si>
  <si>
    <t>Severe risk: operating model: centralized, distributed, outsourced, remote or hybrid is not reliably controlled. During Geopolitical risk; Physical site loss; Regulatory/legal shock, the organization may face unclear exposure across entities, sites and markets, delayed strategic response and underestimated crisis impact with limited visibility or accountability.</t>
  </si>
  <si>
    <t>High risk: operating model: centralized, distributed, outsourced, remote or hybrid depends on informal practices or individual knowledge. Disruption may expose unclear exposure across entities, sites and markets, delayed strategic response and underestimated crisis impact and slow recovery.</t>
  </si>
  <si>
    <t>Elevated risk: operating model: centralized, distributed, outsourced, remote or hybrid is partially controlled, but coverage, evidence or testing is inconsistent. Crisis response may be fragmented.</t>
  </si>
  <si>
    <t>Moderate risk: operating model: centralized, distributed, outsourced, remote or hybrid is documented and owned, but measurement, stress testing and integration with dependent processes need strengthening.</t>
  </si>
  <si>
    <t>Residual risk: operating model: centralized, distributed, outsourced, remote or hybrid is measured and reviewed, but monitoring, automation or scenario testing should be improved to prevent maturity drift.</t>
  </si>
  <si>
    <t>Low residual risk: operating model: centralized, distributed, outsourced, remote or hybrid is mature and crisis-tested. Maintain monitoring, evidence, ownership and periodic stress testing.</t>
  </si>
  <si>
    <t>Create an immediate risk owner, minimum control baseline and fallback procedure for operating model: centralized, distributed, outsourced, remote or hybrid. Add it to the crisis risk register and collect first evidence.</t>
  </si>
  <si>
    <t>Document operating model: centralized, distributed, outsourced, remote or hybrid, assign RACI, define minimum controls and KPIs, and validate coverage across key sites, teams or systems.</t>
  </si>
  <si>
    <t>Standardize operating model: centralized, distributed, outsourced, remote or hybrid, close coverage gaps, train accountable roles and connect controls to the relevant crisis scenarios and continuity plans.</t>
  </si>
  <si>
    <t>Measure and test operating model: centralized, distributed, outsourced, remote or hybrid, run tabletop or operational stress tests, integrate it with dependent processes and update crisis playbooks.</t>
  </si>
  <si>
    <t>Sustain maturity for operating model: centralized, distributed, outsourced, remote or hybrid: keep evidence current, monitor drift, benchmark externally and refresh risk tests after organizational, system or market changes.</t>
  </si>
  <si>
    <t>Company Geography!8</t>
  </si>
  <si>
    <t>Immature capability for critical assets: people, facilities, systems, data, equipment and intellectual property may lead to unclear exposure across entities, sites and markets, delayed strategic response and underestimated crisis impact during Geopolitical risk; Physical site loss; Regulatory/legal shock.</t>
  </si>
  <si>
    <t>Low maturity, weak ownership, incomplete evidence, insufficient testing and poor integration with crisis-management routines for critical assets: people, facilities, systems, data, equipment and intellectual property.</t>
  </si>
  <si>
    <t>Severe risk: critical assets: people, facilities, systems, data, equipment and intellectual property is not reliably controlled. During Geopolitical risk; Physical site loss; Regulatory/legal shock, the organization may face unclear exposure across entities, sites and markets, delayed strategic response and underestimated crisis impact with limited visibility or accountability.</t>
  </si>
  <si>
    <t>High risk: critical assets: people, facilities, systems, data, equipment and intellectual property depends on informal practices or individual knowledge. Disruption may expose unclear exposure across entities, sites and markets, delayed strategic response and underestimated crisis impact and slow recovery.</t>
  </si>
  <si>
    <t>Elevated risk: critical assets: people, facilities, systems, data, equipment and intellectual property is partially controlled, but coverage, evidence or testing is inconsistent. Crisis response may be fragmented.</t>
  </si>
  <si>
    <t>Moderate risk: critical assets: people, facilities, systems, data, equipment and intellectual property is documented and owned, but measurement, stress testing and integration with dependent processes need strengthening.</t>
  </si>
  <si>
    <t>Residual risk: critical assets: people, facilities, systems, data, equipment and intellectual property is measured and reviewed, but monitoring, automation or scenario testing should be improved to prevent maturity drift.</t>
  </si>
  <si>
    <t>Low residual risk: critical assets: people, facilities, systems, data, equipment and intellectual property is mature and crisis-tested. Maintain monitoring, evidence, ownership and periodic stress testing.</t>
  </si>
  <si>
    <t>Create an immediate risk owner, minimum control baseline and fallback procedure for critical assets: people, facilities, systems, data, equipment and intellectual property. Add it to the crisis risk register and collect first evidence.</t>
  </si>
  <si>
    <t>Document critical assets: people, facilities, systems, data, equipment and intellectual property, assign RACI, define minimum controls and KPIs, and validate coverage across key sites, teams or systems.</t>
  </si>
  <si>
    <t>Standardize critical assets: people, facilities, systems, data, equipment and intellectual property, close coverage gaps, train accountable roles and connect controls to the relevant crisis scenarios and continuity plans.</t>
  </si>
  <si>
    <t>Measure and test critical assets: people, facilities, systems, data, equipment and intellectual property, run tabletop or operational stress tests, integrate it with dependent processes and update crisis playbooks.</t>
  </si>
  <si>
    <t>Sustain maturity for critical assets: people, facilities, systems, data, equipment and intellectual property: keep evidence current, monitor drift, benchmark externally and refresh risk tests after organizational, system or market changes.</t>
  </si>
  <si>
    <t>Company Geography!9</t>
  </si>
  <si>
    <t>Immature capability for regulatory exposure by country, market, product and customer type may lead to unclear exposure across entities, sites and markets, delayed strategic response and underestimated crisis impact during Geopolitical risk; Physical site loss; Regulatory/legal shock.</t>
  </si>
  <si>
    <t>Low maturity, weak ownership, incomplete evidence, insufficient testing and poor integration with crisis-management routines for regulatory exposure by country, market, product and customer type.</t>
  </si>
  <si>
    <t>Severe risk: regulatory exposure by country, market, product and customer type is not reliably controlled. During Geopolitical risk; Physical site loss; Regulatory/legal shock, the organization may face unclear exposure across entities, sites and markets, delayed strategic response and underestimated crisis impact with limited visibility or accountability.</t>
  </si>
  <si>
    <t>High risk: regulatory exposure by country, market, product and customer type depends on informal practices or individual knowledge. Disruption may expose unclear exposure across entities, sites and markets, delayed strategic response and underestimated crisis impact and slow recovery.</t>
  </si>
  <si>
    <t>Elevated risk: regulatory exposure by country, market, product and customer type is partially controlled, but coverage, evidence or testing is inconsistent. Crisis response may be fragmented.</t>
  </si>
  <si>
    <t>Moderate risk: regulatory exposure by country, market, product and customer type is documented and owned, but measurement, stress testing and integration with dependent processes need strengthening.</t>
  </si>
  <si>
    <t>Residual risk: regulatory exposure by country, market, product and customer type is measured and reviewed, but monitoring, automation or scenario testing should be improved to prevent maturity drift.</t>
  </si>
  <si>
    <t>Low residual risk: regulatory exposure by country, market, product and customer type is mature and crisis-tested. Maintain monitoring, evidence, ownership and periodic stress testing.</t>
  </si>
  <si>
    <t>Create an immediate risk owner, minimum control baseline and fallback procedure for regulatory exposure by country, market, product and customer type. Add it to the crisis risk register and collect first evidence.</t>
  </si>
  <si>
    <t>Document regulatory exposure by country, market, product and customer type, assign RACI, define minimum controls and KPIs, and validate coverage across key sites, teams or systems.</t>
  </si>
  <si>
    <t>Standardize regulatory exposure by country, market, product and customer type, close coverage gaps, train accountable roles and connect controls to the relevant crisis scenarios and continuity plans.</t>
  </si>
  <si>
    <t>Measure and test regulatory exposure by country, market, product and customer type, run tabletop or operational stress tests, integrate it with dependent processes and update crisis playbooks.</t>
  </si>
  <si>
    <t>Sustain maturity for regulatory exposure by country, market, product and customer type: keep evidence current, monitor drift, benchmark externally and refresh risk tests after organizational, system or market changes.</t>
  </si>
  <si>
    <t>Company Geography!10</t>
  </si>
  <si>
    <t>Immature capability for insurance coverage for business interruption, cyber, liability, property and key assets may lead to unclear exposure across entities, sites and markets, delayed strategic response and underestimated crisis impact during Geopolitical risk; Physical site loss; Regulatory/legal shock.</t>
  </si>
  <si>
    <t>Low maturity, weak ownership, incomplete evidence, insufficient testing and poor integration with crisis-management routines for insurance coverage for business interruption, cyber, liability, property and key assets.</t>
  </si>
  <si>
    <t>Severe risk: insurance coverage for business interruption, cyber, liability, property and key assets is not reliably controlled. During Geopolitical risk; Physical site loss; Regulatory/legal shock, the organization may face unclear exposure across entities, sites and markets, delayed strategic response and underestimated crisis impact with limited visibility or accountability.</t>
  </si>
  <si>
    <t>High risk: insurance coverage for business interruption, cyber, liability, property and key assets depends on informal practices or individual knowledge. Disruption may expose unclear exposure across entities, sites and markets, delayed strategic response and underestimated crisis impact and slow recovery.</t>
  </si>
  <si>
    <t>Elevated risk: insurance coverage for business interruption, cyber, liability, property and key assets is partially controlled, but coverage, evidence or testing is inconsistent. Crisis response may be fragmented.</t>
  </si>
  <si>
    <t>Moderate risk: insurance coverage for business interruption, cyber, liability, property and key assets is documented and owned, but measurement, stress testing and integration with dependent processes need strengthening.</t>
  </si>
  <si>
    <t>Residual risk: insurance coverage for business interruption, cyber, liability, property and key assets is measured and reviewed, but monitoring, automation or scenario testing should be improved to prevent maturity drift.</t>
  </si>
  <si>
    <t>Low residual risk: insurance coverage for business interruption, cyber, liability, property and key assets is mature and crisis-tested. Maintain monitoring, evidence, ownership and periodic stress testing.</t>
  </si>
  <si>
    <t>Create an immediate risk owner, minimum control baseline and fallback procedure for insurance coverage for business interruption, cyber, liability, property and key assets. Add it to the crisis risk register and collect first evidence.</t>
  </si>
  <si>
    <t>Document insurance coverage for business interruption, cyber, liability, property and key assets, assign RACI, define minimum controls and KPIs, and validate coverage across key sites, teams or systems.</t>
  </si>
  <si>
    <t>Standardize insurance coverage for business interruption, cyber, liability, property and key assets, close coverage gaps, train accountable roles and connect controls to the relevant crisis scenarios and continuity plans.</t>
  </si>
  <si>
    <t>Measure and test insurance coverage for business interruption, cyber, liability, property and key assets, run tabletop or operational stress tests, integrate it with dependent processes and update crisis playbooks.</t>
  </si>
  <si>
    <t>Sustain maturity for insurance coverage for business interruption, cyber, liability, property and key assets: keep evidence current, monitor drift, benchmark externally and refresh risk tests after organizational, system or market changes.</t>
  </si>
  <si>
    <t>Company Geography!11</t>
  </si>
  <si>
    <t>Immature capability for workforce distribution by country, city, function, contract type and criticality may lead to unclear exposure across entities, sites and markets, delayed strategic response and underestimated crisis impact during Geopolitical risk; Physical site loss; Regulatory/legal shock.</t>
  </si>
  <si>
    <t>Low maturity, weak ownership, incomplete evidence, insufficient testing and poor integration with crisis-management routines for workforce distribution by country, city, function, contract type and criticality.</t>
  </si>
  <si>
    <t>Severe risk: workforce distribution by country, city, function, contract type and criticality is not reliably controlled. During Geopolitical risk; Physical site loss; Regulatory/legal shock, the organization may face unclear exposure across entities, sites and markets, delayed strategic response and underestimated crisis impact with limited visibility or accountability.</t>
  </si>
  <si>
    <t>High risk: workforce distribution by country, city, function, contract type and criticality depends on informal practices or individual knowledge. Disruption may expose unclear exposure across entities, sites and markets, delayed strategic response and underestimated crisis impact and slow recovery.</t>
  </si>
  <si>
    <t>Elevated risk: workforce distribution by country, city, function, contract type and criticality is partially controlled, but coverage, evidence or testing is inconsistent. Crisis response may be fragmented.</t>
  </si>
  <si>
    <t>Moderate risk: workforce distribution by country, city, function, contract type and criticality is documented and owned, but measurement, stress testing and integration with dependent processes need strengthening.</t>
  </si>
  <si>
    <t>Residual risk: workforce distribution by country, city, function, contract type and criticality is measured and reviewed, but monitoring, automation or scenario testing should be improved to prevent maturity drift.</t>
  </si>
  <si>
    <t>Low residual risk: workforce distribution by country, city, function, contract type and criticality is mature and crisis-tested. Maintain monitoring, evidence, ownership and periodic stress testing.</t>
  </si>
  <si>
    <t>Create an immediate risk owner, minimum control baseline and fallback procedure for workforce distribution by country, city, function, contract type and criticality. Add it to the crisis risk register and collect first evidence.</t>
  </si>
  <si>
    <t>Document workforce distribution by country, city, function, contract type and criticality, assign RACI, define minimum controls and KPIs, and validate coverage across key sites, teams or systems.</t>
  </si>
  <si>
    <t>Standardize workforce distribution by country, city, function, contract type and criticality, close coverage gaps, train accountable roles and connect controls to the relevant crisis scenarios and continuity plans.</t>
  </si>
  <si>
    <t>Measure and test workforce distribution by country, city, function, contract type and criticality, run tabletop or operational stress tests, integrate it with dependent processes and update crisis playbooks.</t>
  </si>
  <si>
    <t>Sustain maturity for workforce distribution by country, city, function, contract type and criticality: keep evidence current, monitor drift, benchmark externally and refresh risk tests after organizational, system or market changes.</t>
  </si>
  <si>
    <t>Company Geography!12</t>
  </si>
  <si>
    <t>Immature capability for site distribution across offices, plants, warehouses, stores, labs and data centers may lead to unclear exposure across entities, sites and markets, delayed strategic response and underestimated crisis impact during Geopolitical risk; Physical site loss; Regulatory/legal shock.</t>
  </si>
  <si>
    <t>Low maturity, weak ownership, incomplete evidence, insufficient testing and poor integration with crisis-management routines for site distribution across offices, plants, warehouses, stores, labs and data centers.</t>
  </si>
  <si>
    <t>Severe risk: site distribution across offices, plants, warehouses, stores, labs and data centers is not reliably controlled. During Geopolitical risk; Physical site loss; Regulatory/legal shock, the organization may face unclear exposure across entities, sites and markets, delayed strategic response and underestimated crisis impact with limited visibility or accountability.</t>
  </si>
  <si>
    <t>High risk: site distribution across offices, plants, warehouses, stores, labs and data centers depends on informal practices or individual knowledge. Disruption may expose unclear exposure across entities, sites and markets, delayed strategic response and underestimated crisis impact and slow recovery.</t>
  </si>
  <si>
    <t>Elevated risk: site distribution across offices, plants, warehouses, stores, labs and data centers is partially controlled, but coverage, evidence or testing is inconsistent. Crisis response may be fragmented.</t>
  </si>
  <si>
    <t>Moderate risk: site distribution across offices, plants, warehouses, stores, labs and data centers is documented and owned, but measurement, stress testing and integration with dependent processes need strengthening.</t>
  </si>
  <si>
    <t>Residual risk: site distribution across offices, plants, warehouses, stores, labs and data centers is measured and reviewed, but monitoring, automation or scenario testing should be improved to prevent maturity drift.</t>
  </si>
  <si>
    <t>Low residual risk: site distribution across offices, plants, warehouses, stores, labs and data centers is mature and crisis-tested. Maintain monitoring, evidence, ownership and periodic stress testing.</t>
  </si>
  <si>
    <t>Create an immediate risk owner, minimum control baseline and fallback procedure for site distribution across offices, plants, warehouses, stores, labs and data centers. Add it to the crisis risk register and collect first evidence.</t>
  </si>
  <si>
    <t>Document site distribution across offices, plants, warehouses, stores, labs and data centers, assign RACI, define minimum controls and KPIs, and validate coverage across key sites, teams or systems.</t>
  </si>
  <si>
    <t>Standardize site distribution across offices, plants, warehouses, stores, labs and data centers, close coverage gaps, train accountable roles and connect controls to the relevant crisis scenarios and continuity plans.</t>
  </si>
  <si>
    <t>Measure and test site distribution across offices, plants, warehouses, stores, labs and data centers, run tabletop or operational stress tests, integrate it with dependent processes and update crisis playbooks.</t>
  </si>
  <si>
    <t>Sustain maturity for site distribution across offices, plants, warehouses, stores, labs and data centers: keep evidence current, monitor drift, benchmark externally and refresh risk tests after organizational, system or market changes.</t>
  </si>
  <si>
    <t>Company Geography!13</t>
  </si>
  <si>
    <t>Immature capability for revenue distribution by country, currency, customer geography and market exposure may lead to unclear exposure across entities, sites and markets, delayed strategic response and underestimated crisis impact during Geopolitical risk; Physical site loss; Regulatory/legal shock.</t>
  </si>
  <si>
    <t>Low maturity, weak ownership, incomplete evidence, insufficient testing and poor integration with crisis-management routines for revenue distribution by country, currency, customer geography and market exposure.</t>
  </si>
  <si>
    <t>Severe risk: revenue distribution by country, currency, customer geography and market exposure is not reliably controlled. During Geopolitical risk; Physical site loss; Regulatory/legal shock, the organization may face unclear exposure across entities, sites and markets, delayed strategic response and underestimated crisis impact with limited visibility or accountability.</t>
  </si>
  <si>
    <t>High risk: revenue distribution by country, currency, customer geography and market exposure depends on informal practices or individual knowledge. Disruption may expose unclear exposure across entities, sites and markets, delayed strategic response and underestimated crisis impact and slow recovery.</t>
  </si>
  <si>
    <t>Elevated risk: revenue distribution by country, currency, customer geography and market exposure is partially controlled, but coverage, evidence or testing is inconsistent. Crisis response may be fragmented.</t>
  </si>
  <si>
    <t>Moderate risk: revenue distribution by country, currency, customer geography and market exposure is documented and owned, but measurement, stress testing and integration with dependent processes need strengthening.</t>
  </si>
  <si>
    <t>Residual risk: revenue distribution by country, currency, customer geography and market exposure is measured and reviewed, but monitoring, automation or scenario testing should be improved to prevent maturity drift.</t>
  </si>
  <si>
    <t>Low residual risk: revenue distribution by country, currency, customer geography and market exposure is mature and crisis-tested. Maintain monitoring, evidence, ownership and periodic stress testing.</t>
  </si>
  <si>
    <t>Create an immediate risk owner, minimum control baseline and fallback procedure for revenue distribution by country, currency, customer geography and market exposure. Add it to the crisis risk register and collect first evidence.</t>
  </si>
  <si>
    <t>Document revenue distribution by country, currency, customer geography and market exposure, assign RACI, define minimum controls and KPIs, and validate coverage across key sites, teams or systems.</t>
  </si>
  <si>
    <t>Standardize revenue distribution by country, currency, customer geography and market exposure, close coverage gaps, train accountable roles and connect controls to the relevant crisis scenarios and continuity plans.</t>
  </si>
  <si>
    <t>Measure and test revenue distribution by country, currency, customer geography and market exposure, run tabletop or operational stress tests, integrate it with dependent processes and update crisis playbooks.</t>
  </si>
  <si>
    <t>Sustain maturity for revenue distribution by country, currency, customer geography and market exposure: keep evidence current, monitor drift, benchmark externally and refresh risk tests after organizational, system or market changes.</t>
  </si>
  <si>
    <t>Company Geography!14</t>
  </si>
  <si>
    <t>Immature capability for supplier distribution by country, tier, criticality and replacement options may lead to unclear exposure across entities, sites and markets, delayed strategic response and underestimated crisis impact during Geopolitical risk; Physical site loss; Regulatory/legal shock.</t>
  </si>
  <si>
    <t>Low maturity, weak ownership, incomplete evidence, insufficient testing and poor integration with crisis-management routines for supplier distribution by country, tier, criticality and replacement options.</t>
  </si>
  <si>
    <t>Severe risk: supplier distribution by country, tier, criticality and replacement options is not reliably controlled. During Geopolitical risk; Physical site loss; Regulatory/legal shock, the organization may face unclear exposure across entities, sites and markets, delayed strategic response and underestimated crisis impact with limited visibility or accountability.</t>
  </si>
  <si>
    <t>High risk: supplier distribution by country, tier, criticality and replacement options depends on informal practices or individual knowledge. Disruption may expose unclear exposure across entities, sites and markets, delayed strategic response and underestimated crisis impact and slow recovery.</t>
  </si>
  <si>
    <t>Elevated risk: supplier distribution by country, tier, criticality and replacement options is partially controlled, but coverage, evidence or testing is inconsistent. Crisis response may be fragmented.</t>
  </si>
  <si>
    <t>Moderate risk: supplier distribution by country, tier, criticality and replacement options is documented and owned, but measurement, stress testing and integration with dependent processes need strengthening.</t>
  </si>
  <si>
    <t>Residual risk: supplier distribution by country, tier, criticality and replacement options is measured and reviewed, but monitoring, automation or scenario testing should be improved to prevent maturity drift.</t>
  </si>
  <si>
    <t>Low residual risk: supplier distribution by country, tier, criticality and replacement options is mature and crisis-tested. Maintain monitoring, evidence, ownership and periodic stress testing.</t>
  </si>
  <si>
    <t>Create an immediate risk owner, minimum control baseline and fallback procedure for supplier distribution by country, tier, criticality and replacement options. Add it to the crisis risk register and collect first evidence.</t>
  </si>
  <si>
    <t>Document supplier distribution by country, tier, criticality and replacement options, assign RACI, define minimum controls and KPIs, and validate coverage across key sites, teams or systems.</t>
  </si>
  <si>
    <t>Standardize supplier distribution by country, tier, criticality and replacement options, close coverage gaps, train accountable roles and connect controls to the relevant crisis scenarios and continuity plans.</t>
  </si>
  <si>
    <t>Measure and test supplier distribution by country, tier, criticality and replacement options, run tabletop or operational stress tests, integrate it with dependent processes and update crisis playbooks.</t>
  </si>
  <si>
    <t>Sustain maturity for supplier distribution by country, tier, criticality and replacement options: keep evidence current, monitor drift, benchmark externally and refresh risk tests after organizational, system or market changes.</t>
  </si>
  <si>
    <t>Company Geography!15</t>
  </si>
  <si>
    <t>Immature capability for customer distribution by geography, industry, contract and crisis sensitivity may lead to unclear exposure across entities, sites and markets, delayed strategic response and underestimated crisis impact during Geopolitical risk; Physical site loss; Regulatory/legal shock.</t>
  </si>
  <si>
    <t>Low maturity, weak ownership, incomplete evidence, insufficient testing and poor integration with crisis-management routines for customer distribution by geography, industry, contract and crisis sensitivity.</t>
  </si>
  <si>
    <t>Severe risk: customer distribution by geography, industry, contract and crisis sensitivity is not reliably controlled. During Geopolitical risk; Physical site loss; Regulatory/legal shock, the organization may face unclear exposure across entities, sites and markets, delayed strategic response and underestimated crisis impact with limited visibility or accountability.</t>
  </si>
  <si>
    <t>High risk: customer distribution by geography, industry, contract and crisis sensitivity depends on informal practices or individual knowledge. Disruption may expose unclear exposure across entities, sites and markets, delayed strategic response and underestimated crisis impact and slow recovery.</t>
  </si>
  <si>
    <t>Elevated risk: customer distribution by geography, industry, contract and crisis sensitivity is partially controlled, but coverage, evidence or testing is inconsistent. Crisis response may be fragmented.</t>
  </si>
  <si>
    <t>Moderate risk: customer distribution by geography, industry, contract and crisis sensitivity is documented and owned, but measurement, stress testing and integration with dependent processes need strengthening.</t>
  </si>
  <si>
    <t>Residual risk: customer distribution by geography, industry, contract and crisis sensitivity is measured and reviewed, but monitoring, automation or scenario testing should be improved to prevent maturity drift.</t>
  </si>
  <si>
    <t>Low residual risk: customer distribution by geography, industry, contract and crisis sensitivity is mature and crisis-tested. Maintain monitoring, evidence, ownership and periodic stress testing.</t>
  </si>
  <si>
    <t>Create an immediate risk owner, minimum control baseline and fallback procedure for customer distribution by geography, industry, contract and crisis sensitivity. Add it to the crisis risk register and collect first evidence.</t>
  </si>
  <si>
    <t>Document customer distribution by geography, industry, contract and crisis sensitivity, assign RACI, define minimum controls and KPIs, and validate coverage across key sites, teams or systems.</t>
  </si>
  <si>
    <t>Standardize customer distribution by geography, industry, contract and crisis sensitivity, close coverage gaps, train accountable roles and connect controls to the relevant crisis scenarios and continuity plans.</t>
  </si>
  <si>
    <t>Measure and test customer distribution by geography, industry, contract and crisis sensitivity, run tabletop or operational stress tests, integrate it with dependent processes and update crisis playbooks.</t>
  </si>
  <si>
    <t>Sustain maturity for customer distribution by geography, industry, contract and crisis sensitivity: keep evidence current, monitor drift, benchmark externally and refresh risk tests after organizational, system or market changes.</t>
  </si>
  <si>
    <t>Company Geography!16</t>
  </si>
  <si>
    <t>Immature capability for country risk monitoring for war, sanctions, political instability, natural disaster and energy risks may lead to unclear exposure across entities, sites and markets, delayed strategic response and underestimated crisis impact during Geopolitical risk; Physical site loss; Regulatory/legal shock.</t>
  </si>
  <si>
    <t>Low maturity, weak ownership, incomplete evidence, insufficient testing and poor integration with crisis-management routines for country risk monitoring for war, sanctions, political instability, natural disaster and energy risks.</t>
  </si>
  <si>
    <t>Severe risk: country risk monitoring for war, sanctions, political instability, natural disaster and energy risks is not reliably controlled. During Geopolitical risk; Physical site loss; Regulatory/legal shock, the organization may face unclear exposure across entities, sites and markets, delayed strategic response and underestimated crisis impact with limited visibility or accountability.</t>
  </si>
  <si>
    <t>High risk: country risk monitoring for war, sanctions, political instability, natural disaster and energy risks depends on informal practices or individual knowledge. Disruption may expose unclear exposure across entities, sites and markets, delayed strategic response and underestimated crisis impact and slow recovery.</t>
  </si>
  <si>
    <t>Elevated risk: country risk monitoring for war, sanctions, political instability, natural disaster and energy risks is partially controlled, but coverage, evidence or testing is inconsistent. Crisis response may be fragmented.</t>
  </si>
  <si>
    <t>Moderate risk: country risk monitoring for war, sanctions, political instability, natural disaster and energy risks is documented and owned, but measurement, stress testing and integration with dependent processes need strengthening.</t>
  </si>
  <si>
    <t>Residual risk: country risk monitoring for war, sanctions, political instability, natural disaster and energy risks is measured and reviewed, but monitoring, automation or scenario testing should be improved to prevent maturity drift.</t>
  </si>
  <si>
    <t>Low residual risk: country risk monitoring for war, sanctions, political instability, natural disaster and energy risks is mature and crisis-tested. Maintain monitoring, evidence, ownership and periodic stress testing.</t>
  </si>
  <si>
    <t>Create an immediate risk owner, minimum control baseline and fallback procedure for country risk monitoring for war, sanctions, political instability, natural disaster and energy risks. Add it to the crisis risk register and collect first evidence.</t>
  </si>
  <si>
    <t>Document country risk monitoring for war, sanctions, political instability, natural disaster and energy risks, assign RACI, define minimum controls and KPIs, and validate coverage across key sites, teams or systems.</t>
  </si>
  <si>
    <t>Standardize country risk monitoring for war, sanctions, political instability, natural disaster and energy risks, close coverage gaps, train accountable roles and connect controls to the relevant crisis scenarios and continuity plans.</t>
  </si>
  <si>
    <t>Measure and test country risk monitoring for war, sanctions, political instability, natural disaster and energy risks, run tabletop or operational stress tests, integrate it with dependent processes and update crisis playbooks.</t>
  </si>
  <si>
    <t>Sustain maturity for country risk monitoring for war, sanctions, political instability, natural disaster and energy risks: keep evidence current, monitor drift, benchmark externally and refresh risk tests after organizational, system or market changes.</t>
  </si>
  <si>
    <t>Company Geography!17</t>
  </si>
  <si>
    <t>Immature capability for relocation and alternative location options for critical teams and operations may lead to unclear exposure across entities, sites and markets, delayed strategic response and underestimated crisis impact during Geopolitical risk; Physical site loss; Regulatory/legal shock.</t>
  </si>
  <si>
    <t>Low maturity, weak ownership, incomplete evidence, insufficient testing and poor integration with crisis-management routines for relocation and alternative location options for critical teams and operations.</t>
  </si>
  <si>
    <t>Severe risk: relocation and alternative location options for critical teams and operations is not reliably controlled. During Geopolitical risk; Physical site loss; Regulatory/legal shock, the organization may face unclear exposure across entities, sites and markets, delayed strategic response and underestimated crisis impact with limited visibility or accountability.</t>
  </si>
  <si>
    <t>High risk: relocation and alternative location options for critical teams and operations depends on informal practices or individual knowledge. Disruption may expose unclear exposure across entities, sites and markets, delayed strategic response and underestimated crisis impact and slow recovery.</t>
  </si>
  <si>
    <t>Elevated risk: relocation and alternative location options for critical teams and operations is partially controlled, but coverage, evidence or testing is inconsistent. Crisis response may be fragmented.</t>
  </si>
  <si>
    <t>Moderate risk: relocation and alternative location options for critical teams and operations is documented and owned, but measurement, stress testing and integration with dependent processes need strengthening.</t>
  </si>
  <si>
    <t>Residual risk: relocation and alternative location options for critical teams and operations is measured and reviewed, but monitoring, automation or scenario testing should be improved to prevent maturity drift.</t>
  </si>
  <si>
    <t>Low residual risk: relocation and alternative location options for critical teams and operations is mature and crisis-tested. Maintain monitoring, evidence, ownership and periodic stress testing.</t>
  </si>
  <si>
    <t>Create an immediate risk owner, minimum control baseline and fallback procedure for relocation and alternative location options for critical teams and operations. Add it to the crisis risk register and collect first evidence.</t>
  </si>
  <si>
    <t>Document relocation and alternative location options for critical teams and operations, assign RACI, define minimum controls and KPIs, and validate coverage across key sites, teams or systems.</t>
  </si>
  <si>
    <t>Standardize relocation and alternative location options for critical teams and operations, close coverage gaps, train accountable roles and connect controls to the relevant crisis scenarios and continuity plans.</t>
  </si>
  <si>
    <t>Measure and test relocation and alternative location options for critical teams and operations, run tabletop or operational stress tests, integrate it with dependent processes and update crisis playbooks.</t>
  </si>
  <si>
    <t>Sustain maturity for relocation and alternative location options for critical teams and operations: keep evidence current, monitor drift, benchmark externally and refresh risk tests after organizational, system or market changes.</t>
  </si>
  <si>
    <t>Company Geography!18</t>
  </si>
  <si>
    <t>Immature capability for single-country, single-site and single-provider concentration risks may lead to unclear exposure across entities, sites and markets, delayed strategic response and underestimated crisis impact during Geopolitical risk; Physical site loss; Regulatory/legal shock.</t>
  </si>
  <si>
    <t>Low maturity, weak ownership, incomplete evidence, insufficient testing and poor integration with crisis-management routines for single-country, single-site and single-provider concentration risks.</t>
  </si>
  <si>
    <t>Severe risk: single-country, single-site and single-provider concentration risks is not reliably controlled. During Geopolitical risk; Physical site loss; Regulatory/legal shock, the organization may face unclear exposure across entities, sites and markets, delayed strategic response and underestimated crisis impact with limited visibility or accountability.</t>
  </si>
  <si>
    <t>High risk: single-country, single-site and single-provider concentration risks depends on informal practices or individual knowledge. Disruption may expose unclear exposure across entities, sites and markets, delayed strategic response and underestimated crisis impact and slow recovery.</t>
  </si>
  <si>
    <t>Elevated risk: single-country, single-site and single-provider concentration risks is partially controlled, but coverage, evidence or testing is inconsistent. Crisis response may be fragmented.</t>
  </si>
  <si>
    <t>Moderate risk: single-country, single-site and single-provider concentration risks is documented and owned, but measurement, stress testing and integration with dependent processes need strengthening.</t>
  </si>
  <si>
    <t>Residual risk: single-country, single-site and single-provider concentration risks is measured and reviewed, but monitoring, automation or scenario testing should be improved to prevent maturity drift.</t>
  </si>
  <si>
    <t>Low residual risk: single-country, single-site and single-provider concentration risks is mature and crisis-tested. Maintain monitoring, evidence, ownership and periodic stress testing.</t>
  </si>
  <si>
    <t>Create an immediate risk owner, minimum control baseline and fallback procedure for single-country, single-site and single-provider concentration risks. Add it to the crisis risk register and collect first evidence.</t>
  </si>
  <si>
    <t>Document single-country, single-site and single-provider concentration risks, assign RACI, define minimum controls and KPIs, and validate coverage across key sites, teams or systems.</t>
  </si>
  <si>
    <t>Standardize single-country, single-site and single-provider concentration risks, close coverage gaps, train accountable roles and connect controls to the relevant crisis scenarios and continuity plans.</t>
  </si>
  <si>
    <t>Measure and test single-country, single-site and single-provider concentration risks, run tabletop or operational stress tests, integrate it with dependent processes and update crisis playbooks.</t>
  </si>
  <si>
    <t>Sustain maturity for single-country, single-site and single-provider concentration risks: keep evidence current, monitor drift, benchmark externally and refresh risk tests after organizational, system or market changes.</t>
  </si>
  <si>
    <t>Company Geography!19</t>
  </si>
  <si>
    <t>Immature capability for external stakeholder map: owners, banks, regulators, insurers, local authorities and strategic partners may lead to unclear exposure across entities, sites and markets, delayed strategic response and underestimated crisis impact during Geopolitical risk; Physical site loss; Regulatory/legal shock.</t>
  </si>
  <si>
    <t>Low maturity, weak ownership, incomplete evidence, insufficient testing and poor integration with crisis-management routines for external stakeholder map: owners, banks, regulators, insurers, local authorities and strategic partners.</t>
  </si>
  <si>
    <t>Severe risk: external stakeholder map: owners, banks, regulators, insurers, local authorities and strategic partners is not reliably controlled. During Geopolitical risk; Physical site loss; Regulatory/legal shock, the organization may face unclear exposure across entities, sites and markets, delayed strategic response and underestimated crisis impact with limited visibility or accountability.</t>
  </si>
  <si>
    <t>High risk: external stakeholder map: owners, banks, regulators, insurers, local authorities and strategic partners depends on informal practices or individual knowledge. Disruption may expose unclear exposure across entities, sites and markets, delayed strategic response and underestimated crisis impact and slow recovery.</t>
  </si>
  <si>
    <t>Elevated risk: external stakeholder map: owners, banks, regulators, insurers, local authorities and strategic partners is partially controlled, but coverage, evidence or testing is inconsistent. Crisis response may be fragmented.</t>
  </si>
  <si>
    <t>Moderate risk: external stakeholder map: owners, banks, regulators, insurers, local authorities and strategic partners is documented and owned, but measurement, stress testing and integration with dependent processes need strengthening.</t>
  </si>
  <si>
    <t>Residual risk: external stakeholder map: owners, banks, regulators, insurers, local authorities and strategic partners is measured and reviewed, but monitoring, automation or scenario testing should be improved to prevent maturity drift.</t>
  </si>
  <si>
    <t>Low residual risk: external stakeholder map: owners, banks, regulators, insurers, local authorities and strategic partners is mature and crisis-tested. Maintain monitoring, evidence, ownership and periodic stress testing.</t>
  </si>
  <si>
    <t>Create an immediate risk owner, minimum control baseline and fallback procedure for external stakeholder map: owners, banks, regulators, insurers, local authorities and strategic partners. Add it to the crisis risk register and collect first evidence.</t>
  </si>
  <si>
    <t>Document external stakeholder map: owners, banks, regulators, insurers, local authorities and strategic partners, assign RACI, define minimum controls and KPIs, and validate coverage across key sites, teams or systems.</t>
  </si>
  <si>
    <t>Standardize external stakeholder map: owners, banks, regulators, insurers, local authorities and strategic partners, close coverage gaps, train accountable roles and connect controls to the relevant crisis scenarios and continuity plans.</t>
  </si>
  <si>
    <t>Measure and test external stakeholder map: owners, banks, regulators, insurers, local authorities and strategic partners, run tabletop or operational stress tests, integrate it with dependent processes and update crisis playbooks.</t>
  </si>
  <si>
    <t>Sustain maturity for external stakeholder map: owners, banks, regulators, insurers, local authorities and strategic partners: keep evidence current, monitor drift, benchmark externally and refresh risk tests after organizational, system or market changes.</t>
  </si>
  <si>
    <t>Company Geography!20</t>
  </si>
  <si>
    <t>Immature capability for data residency and cross-border transfer exposure by system and geography may lead to unclear exposure across entities, sites and markets, delayed strategic response and underestimated crisis impact during Geopolitical risk; Physical site loss; Regulatory/legal shock.</t>
  </si>
  <si>
    <t>Low maturity, weak ownership, incomplete evidence, insufficient testing and poor integration with crisis-management routines for data residency and cross-border transfer exposure by system and geography.</t>
  </si>
  <si>
    <t>Severe risk: data residency and cross-border transfer exposure by system and geography is not reliably controlled. During Geopolitical risk; Physical site loss; Regulatory/legal shock, the organization may face unclear exposure across entities, sites and markets, delayed strategic response and underestimated crisis impact with limited visibility or accountability.</t>
  </si>
  <si>
    <t>High risk: data residency and cross-border transfer exposure by system and geography depends on informal practices or individual knowledge. Disruption may expose unclear exposure across entities, sites and markets, delayed strategic response and underestimated crisis impact and slow recovery.</t>
  </si>
  <si>
    <t>Elevated risk: data residency and cross-border transfer exposure by system and geography is partially controlled, but coverage, evidence or testing is inconsistent. Crisis response may be fragmented.</t>
  </si>
  <si>
    <t>Moderate risk: data residency and cross-border transfer exposure by system and geography is documented and owned, but measurement, stress testing and integration with dependent processes need strengthening.</t>
  </si>
  <si>
    <t>Residual risk: data residency and cross-border transfer exposure by system and geography is measured and reviewed, but monitoring, automation or scenario testing should be improved to prevent maturity drift.</t>
  </si>
  <si>
    <t>Low residual risk: data residency and cross-border transfer exposure by system and geography is mature and crisis-tested. Maintain monitoring, evidence, ownership and periodic stress testing.</t>
  </si>
  <si>
    <t>Create an immediate risk owner, minimum control baseline and fallback procedure for data residency and cross-border transfer exposure by system and geography. Add it to the crisis risk register and collect first evidence.</t>
  </si>
  <si>
    <t>Document data residency and cross-border transfer exposure by system and geography, assign RACI, define minimum controls and KPIs, and validate coverage across key sites, teams or systems.</t>
  </si>
  <si>
    <t>Standardize data residency and cross-border transfer exposure by system and geography, close coverage gaps, train accountable roles and connect controls to the relevant crisis scenarios and continuity plans.</t>
  </si>
  <si>
    <t>Measure and test data residency and cross-border transfer exposure by system and geography, run tabletop or operational stress tests, integrate it with dependent processes and update crisis playbooks.</t>
  </si>
  <si>
    <t>Sustain maturity for data residency and cross-border transfer exposure by system and geography: keep evidence current, monitor drift, benchmark externally and refresh risk tests after organizational, system or market changes.</t>
  </si>
  <si>
    <t>Company Geography!21</t>
  </si>
  <si>
    <t>Immature capability for acceptable downtime thresholds by geography, function, customer and process may lead to unclear exposure across entities, sites and markets, delayed strategic response and underestimated crisis impact during Geopolitical risk; Physical site loss; Regulatory/legal shock.</t>
  </si>
  <si>
    <t>Low maturity, weak ownership, incomplete evidence, insufficient testing and poor integration with crisis-management routines for acceptable downtime thresholds by geography, function, customer and process.</t>
  </si>
  <si>
    <t>Severe risk: acceptable downtime thresholds by geography, function, customer and process is not reliably controlled. During Geopolitical risk; Physical site loss; Regulatory/legal shock, the organization may face unclear exposure across entities, sites and markets, delayed strategic response and underestimated crisis impact with limited visibility or accountability.</t>
  </si>
  <si>
    <t>High risk: acceptable downtime thresholds by geography, function, customer and process depends on informal practices or individual knowledge. Disruption may expose unclear exposure across entities, sites and markets, delayed strategic response and underestimated crisis impact and slow recovery.</t>
  </si>
  <si>
    <t>Elevated risk: acceptable downtime thresholds by geography, function, customer and process is partially controlled, but coverage, evidence or testing is inconsistent. Crisis response may be fragmented.</t>
  </si>
  <si>
    <t>Moderate risk: acceptable downtime thresholds by geography, function, customer and process is documented and owned, but measurement, stress testing and integration with dependent processes need strengthening.</t>
  </si>
  <si>
    <t>Residual risk: acceptable downtime thresholds by geography, function, customer and process is measured and reviewed, but monitoring, automation or scenario testing should be improved to prevent maturity drift.</t>
  </si>
  <si>
    <t>Low residual risk: acceptable downtime thresholds by geography, function, customer and process is mature and crisis-tested. Maintain monitoring, evidence, ownership and periodic stress testing.</t>
  </si>
  <si>
    <t>Create an immediate risk owner, minimum control baseline and fallback procedure for acceptable downtime thresholds by geography, function, customer and process. Add it to the crisis risk register and collect first evidence.</t>
  </si>
  <si>
    <t>Document acceptable downtime thresholds by geography, function, customer and process, assign RACI, define minimum controls and KPIs, and validate coverage across key sites, teams or systems.</t>
  </si>
  <si>
    <t>Standardize acceptable downtime thresholds by geography, function, customer and process, close coverage gaps, train accountable roles and connect controls to the relevant crisis scenarios and continuity plans.</t>
  </si>
  <si>
    <t>Measure and test acceptable downtime thresholds by geography, function, customer and process, run tabletop or operational stress tests, integrate it with dependent processes and update crisis playbooks.</t>
  </si>
  <si>
    <t>Sustain maturity for acceptable downtime thresholds by geography, function, customer and process: keep evidence current, monitor drift, benchmark externally and refresh risk tests after organizational, system or market changes.</t>
  </si>
  <si>
    <t>Company Geography!22</t>
  </si>
  <si>
    <t>Immature capability for critical infrastructure status and government emergency obligations across operating geographies may lead to unexpected state-imposed duties, missed protective entitlements and unmanaged compliance exposure during emergencies during War/security crisis; Energy/utilities outage; Regulatory/legal shock.</t>
  </si>
  <si>
    <t>Low maturity, weak ownership, incomplete evidence, insufficient testing and poor integration with crisis-management routines for critical infrastructure status and government emergency obligations across operating geographies.</t>
  </si>
  <si>
    <t>Severe risk: critical infrastructure status and government emergency obligations across operating geographies is not reliably controlled. During War/security crisis; Energy/utilities outage; Regulatory/legal shock, the organization may face unexpected state-imposed duties, missed protective entitlements and unmanaged compliance exposure during emergencies with limited visibility or accountability.</t>
  </si>
  <si>
    <t>High risk: critical infrastructure status and government emergency obligations across operating geographies depends on informal practices or individual knowledge. Disruption may expose unexpected state-imposed duties, missed protective entitlements and unmanaged compliance exposure during emergencies and slow recovery.</t>
  </si>
  <si>
    <t>Elevated risk: critical infrastructure status and government emergency obligations across operating geographies is partially controlled, but coverage, evidence or testing is inconsistent. Crisis response may be fragmented.</t>
  </si>
  <si>
    <t>Moderate risk: critical infrastructure status and government emergency obligations across operating geographies is documented and owned, but measurement, stress testing and integration with dependent processes need strengthening.</t>
  </si>
  <si>
    <t>Residual risk: critical infrastructure status and government emergency obligations across operating geographies is measured and reviewed, but monitoring, automation or scenario testing should be improved to prevent maturity drift.</t>
  </si>
  <si>
    <t>Low residual risk: critical infrastructure status and government emergency obligations across operating geographies is mature and crisis-tested. Maintain monitoring, evidence, ownership and periodic stress testing.</t>
  </si>
  <si>
    <t>Create an immediate risk owner, minimum control baseline and fallback procedure for critical infrastructure status and government emergency obligations across operating geographies. Add it to the crisis risk register and collect first evidence.</t>
  </si>
  <si>
    <t>Document critical infrastructure status and government emergency obligations across operating geographies, assign RACI, define minimum controls and KPIs, and validate coverage across key sites, teams or systems.</t>
  </si>
  <si>
    <t>Standardize critical infrastructure status and government emergency obligations across operating geographies, close coverage gaps, train accountable roles and connect controls to the relevant crisis scenarios and continuity plans.</t>
  </si>
  <si>
    <t>Measure and test critical infrastructure status and government emergency obligations across operating geographies, run tabletop or operational stress tests, integrate it with dependent processes and update crisis playbooks.</t>
  </si>
  <si>
    <t>Sustain maturity for critical infrastructure status and government emergency obligations across operating geographies: keep evidence current, monitor drift, benchmark externally and refresh risk tests after organizational, system or market changes.</t>
  </si>
  <si>
    <t>Policy/SOP; owner/RACI; system report; dashboard; contracts; test records; incident history; interview evidence related to critical infrastructure status and government emergency obligations across operating geographies</t>
  </si>
  <si>
    <t>CEO / Legal</t>
  </si>
  <si>
    <t>Company Geography!23</t>
  </si>
  <si>
    <t>Immature capability for documented strategy translated into objectives, KPIs, budgets and accountable owners may lead to weak crisis positioning, poor prioritization of segments, revenue leakage and inability to adapt the offering during Demand shock; Financial / liquidity shock; Reputation crisis.</t>
  </si>
  <si>
    <t>Low maturity, weak ownership, incomplete evidence, insufficient testing and poor integration with crisis-management routines for documented strategy translated into objectives, KPIs, budgets and accountable owners.</t>
  </si>
  <si>
    <t>Severe risk: documented strategy translated into objectives, KPIs, budgets and accountable owners is not reliably controlled. During Demand shock; Financial / liquidity shock; Reputation crisis, the organization may face weak crisis positioning, poor prioritization of segments, revenue leakage and inability to adapt the offering with limited visibility or accountability.</t>
  </si>
  <si>
    <t>High risk: documented strategy translated into objectives, KPIs, budgets and accountable owners depends on informal practices or individual knowledge. Disruption may expose weak crisis positioning, poor prioritization of segments, revenue leakage and inability to adapt the offering and slow recovery.</t>
  </si>
  <si>
    <t>Elevated risk: documented strategy translated into objectives, KPIs, budgets and accountable owners is partially controlled, but coverage, evidence or testing is inconsistent. Crisis response may be fragmented.</t>
  </si>
  <si>
    <t>Moderate risk: documented strategy translated into objectives, KPIs, budgets and accountable owners is documented and owned, but measurement, stress testing and integration with dependent processes need strengthening.</t>
  </si>
  <si>
    <t>Residual risk: documented strategy translated into objectives, KPIs, budgets and accountable owners is measured and reviewed, but monitoring, automation or scenario testing should be improved to prevent maturity drift.</t>
  </si>
  <si>
    <t>Low residual risk: documented strategy translated into objectives, KPIs, budgets and accountable owners is mature and crisis-tested. Maintain monitoring, evidence, ownership and periodic stress testing.</t>
  </si>
  <si>
    <t>Create an immediate risk owner, minimum control baseline and fallback procedure for documented strategy translated into objectives, KPIs, budgets and accountable owners. Add it to the crisis risk register and collect first evidence.</t>
  </si>
  <si>
    <t>Document documented strategy translated into objectives, KPIs, budgets and accountable owners, assign RACI, define minimum controls and KPIs, and validate coverage across key sites, teams or systems.</t>
  </si>
  <si>
    <t>Standardize documented strategy translated into objectives, KPIs, budgets and accountable owners, close coverage gaps, train accountable roles and connect controls to the relevant crisis scenarios and continuity plans.</t>
  </si>
  <si>
    <t>Measure and test documented strategy translated into objectives, KPIs, budgets and accountable owners, run tabletop or operational stress tests, integrate it with dependent processes and update crisis playbooks.</t>
  </si>
  <si>
    <t>Sustain maturity for documented strategy translated into objectives, KPIs, budgets and accountable owners: keep evidence current, monitor drift, benchmark externally and refresh risk tests after organizational, system or market changes.</t>
  </si>
  <si>
    <t>CEO / CSO / CCO</t>
  </si>
  <si>
    <t>Strategy GTM!5</t>
  </si>
  <si>
    <t>Immature capability for explicit strategic assumptions and periodic challenge of those assumptions may lead to weak crisis positioning, poor prioritization of segments, revenue leakage and inability to adapt the offering during Demand shock; Financial / liquidity shock; Reputation crisis.</t>
  </si>
  <si>
    <t>Low maturity, weak ownership, incomplete evidence, insufficient testing and poor integration with crisis-management routines for explicit strategic assumptions and periodic challenge of those assumptions.</t>
  </si>
  <si>
    <t>Severe risk: explicit strategic assumptions and periodic challenge of those assumptions is not reliably controlled. During Demand shock; Financial / liquidity shock; Reputation crisis, the organization may face weak crisis positioning, poor prioritization of segments, revenue leakage and inability to adapt the offering with limited visibility or accountability.</t>
  </si>
  <si>
    <t>High risk: explicit strategic assumptions and periodic challenge of those assumptions depends on informal practices or individual knowledge. Disruption may expose weak crisis positioning, poor prioritization of segments, revenue leakage and inability to adapt the offering and slow recovery.</t>
  </si>
  <si>
    <t>Elevated risk: explicit strategic assumptions and periodic challenge of those assumptions is partially controlled, but coverage, evidence or testing is inconsistent. Crisis response may be fragmented.</t>
  </si>
  <si>
    <t>Moderate risk: explicit strategic assumptions and periodic challenge of those assumptions is documented and owned, but measurement, stress testing and integration with dependent processes need strengthening.</t>
  </si>
  <si>
    <t>Residual risk: explicit strategic assumptions and periodic challenge of those assumptions is measured and reviewed, but monitoring, automation or scenario testing should be improved to prevent maturity drift.</t>
  </si>
  <si>
    <t>Low residual risk: explicit strategic assumptions and periodic challenge of those assumptions is mature and crisis-tested. Maintain monitoring, evidence, ownership and periodic stress testing.</t>
  </si>
  <si>
    <t>Create an immediate risk owner, minimum control baseline and fallback procedure for explicit strategic assumptions and periodic challenge of those assumptions. Add it to the crisis risk register and collect first evidence.</t>
  </si>
  <si>
    <t>Document explicit strategic assumptions and periodic challenge of those assumptions, assign RACI, define minimum controls and KPIs, and validate coverage across key sites, teams or systems.</t>
  </si>
  <si>
    <t>Standardize explicit strategic assumptions and periodic challenge of those assumptions, close coverage gaps, train accountable roles and connect controls to the relevant crisis scenarios and continuity plans.</t>
  </si>
  <si>
    <t>Measure and test explicit strategic assumptions and periodic challenge of those assumptions, run tabletop or operational stress tests, integrate it with dependent processes and update crisis playbooks.</t>
  </si>
  <si>
    <t>Sustain maturity for explicit strategic assumptions and periodic challenge of those assumptions: keep evidence current, monitor drift, benchmark externally and refresh risk tests after organizational, system or market changes.</t>
  </si>
  <si>
    <t>Strategy GTM!6</t>
  </si>
  <si>
    <t>Immature capability for crisis-resilient strategy including adaptation, continuity, digital enablement and recovery options may lead to weak crisis positioning, poor prioritization of segments, revenue leakage and inability to adapt the offering during Demand shock; Financial / liquidity shock; Reputation crisis.</t>
  </si>
  <si>
    <t>Low maturity, weak ownership, incomplete evidence, insufficient testing and poor integration with crisis-management routines for crisis-resilient strategy including adaptation, continuity, digital enablement and recovery options.</t>
  </si>
  <si>
    <t>Severe risk: crisis-resilient strategy including adaptation, continuity, digital enablement and recovery options is not reliably controlled. During Demand shock; Financial / liquidity shock; Reputation crisis, the organization may face weak crisis positioning, poor prioritization of segments, revenue leakage and inability to adapt the offering with limited visibility or accountability.</t>
  </si>
  <si>
    <t>High risk: crisis-resilient strategy including adaptation, continuity, digital enablement and recovery options depends on informal practices or individual knowledge. Disruption may expose weak crisis positioning, poor prioritization of segments, revenue leakage and inability to adapt the offering and slow recovery.</t>
  </si>
  <si>
    <t>Elevated risk: crisis-resilient strategy including adaptation, continuity, digital enablement and recovery options is partially controlled, but coverage, evidence or testing is inconsistent. Crisis response may be fragmented.</t>
  </si>
  <si>
    <t>Moderate risk: crisis-resilient strategy including adaptation, continuity, digital enablement and recovery options is documented and owned, but measurement, stress testing and integration with dependent processes need strengthening.</t>
  </si>
  <si>
    <t>Residual risk: crisis-resilient strategy including adaptation, continuity, digital enablement and recovery options is measured and reviewed, but monitoring, automation or scenario testing should be improved to prevent maturity drift.</t>
  </si>
  <si>
    <t>Low residual risk: crisis-resilient strategy including adaptation, continuity, digital enablement and recovery options is mature and crisis-tested. Maintain monitoring, evidence, ownership and periodic stress testing.</t>
  </si>
  <si>
    <t>Create an immediate risk owner, minimum control baseline and fallback procedure for crisis-resilient strategy including adaptation, continuity, digital enablement and recovery options. Add it to the crisis risk register and collect first evidence.</t>
  </si>
  <si>
    <t>Document crisis-resilient strategy including adaptation, continuity, digital enablement and recovery options, assign RACI, define minimum controls and KPIs, and validate coverage across key sites, teams or systems.</t>
  </si>
  <si>
    <t>Standardize crisis-resilient strategy including adaptation, continuity, digital enablement and recovery options, close coverage gaps, train accountable roles and connect controls to the relevant crisis scenarios and continuity plans.</t>
  </si>
  <si>
    <t>Measure and test crisis-resilient strategy including adaptation, continuity, digital enablement and recovery options, run tabletop or operational stress tests, integrate it with dependent processes and update crisis playbooks.</t>
  </si>
  <si>
    <t>Sustain maturity for crisis-resilient strategy including adaptation, continuity, digital enablement and recovery options: keep evidence current, monitor drift, benchmark externally and refresh risk tests after organizational, system or market changes.</t>
  </si>
  <si>
    <t>Strategy GTM!7</t>
  </si>
  <si>
    <t>Immature capability for strategic priorities ranked by business value, urgency, risk and resource constraints may lead to weak crisis positioning, poor prioritization of segments, revenue leakage and inability to adapt the offering during Demand shock; Financial / liquidity shock; Reputation crisis.</t>
  </si>
  <si>
    <t>Low maturity, weak ownership, incomplete evidence, insufficient testing and poor integration with crisis-management routines for strategic priorities ranked by business value, urgency, risk and resource constraints.</t>
  </si>
  <si>
    <t>Severe risk: strategic priorities ranked by business value, urgency, risk and resource constraints is not reliably controlled. During Demand shock; Financial / liquidity shock; Reputation crisis, the organization may face weak crisis positioning, poor prioritization of segments, revenue leakage and inability to adapt the offering with limited visibility or accountability.</t>
  </si>
  <si>
    <t>High risk: strategic priorities ranked by business value, urgency, risk and resource constraints depends on informal practices or individual knowledge. Disruption may expose weak crisis positioning, poor prioritization of segments, revenue leakage and inability to adapt the offering and slow recovery.</t>
  </si>
  <si>
    <t>Elevated risk: strategic priorities ranked by business value, urgency, risk and resource constraints is partially controlled, but coverage, evidence or testing is inconsistent. Crisis response may be fragmented.</t>
  </si>
  <si>
    <t>Moderate risk: strategic priorities ranked by business value, urgency, risk and resource constraints is documented and owned, but measurement, stress testing and integration with dependent processes need strengthening.</t>
  </si>
  <si>
    <t>Residual risk: strategic priorities ranked by business value, urgency, risk and resource constraints is measured and reviewed, but monitoring, automation or scenario testing should be improved to prevent maturity drift.</t>
  </si>
  <si>
    <t>Low residual risk: strategic priorities ranked by business value, urgency, risk and resource constraints is mature and crisis-tested. Maintain monitoring, evidence, ownership and periodic stress testing.</t>
  </si>
  <si>
    <t>Create an immediate risk owner, minimum control baseline and fallback procedure for strategic priorities ranked by business value, urgency, risk and resource constraints. Add it to the crisis risk register and collect first evidence.</t>
  </si>
  <si>
    <t>Document strategic priorities ranked by business value, urgency, risk and resource constraints, assign RACI, define minimum controls and KPIs, and validate coverage across key sites, teams or systems.</t>
  </si>
  <si>
    <t>Standardize strategic priorities ranked by business value, urgency, risk and resource constraints, close coverage gaps, train accountable roles and connect controls to the relevant crisis scenarios and continuity plans.</t>
  </si>
  <si>
    <t>Measure and test strategic priorities ranked by business value, urgency, risk and resource constraints, run tabletop or operational stress tests, integrate it with dependent processes and update crisis playbooks.</t>
  </si>
  <si>
    <t>Sustain maturity for strategic priorities ranked by business value, urgency, risk and resource constraints: keep evidence current, monitor drift, benchmark externally and refresh risk tests after organizational, system or market changes.</t>
  </si>
  <si>
    <t>Strategy GTM!8</t>
  </si>
  <si>
    <t>Immature capability for strategic options for pivoting under demand shock, war, regulation, supply or liquidity crisis may lead to weak crisis positioning, poor prioritization of segments, revenue leakage and inability to adapt the offering during Demand shock; Financial / liquidity shock; Reputation crisis.</t>
  </si>
  <si>
    <t>Low maturity, weak ownership, incomplete evidence, insufficient testing and poor integration with crisis-management routines for strategic options for pivoting under demand shock, war, regulation, supply or liquidity crisis.</t>
  </si>
  <si>
    <t>Severe risk: strategic options for pivoting under demand shock, war, regulation, supply or liquidity crisis is not reliably controlled. During Demand shock; Financial / liquidity shock; Reputation crisis, the organization may face weak crisis positioning, poor prioritization of segments, revenue leakage and inability to adapt the offering with limited visibility or accountability.</t>
  </si>
  <si>
    <t>High risk: strategic options for pivoting under demand shock, war, regulation, supply or liquidity crisis depends on informal practices or individual knowledge. Disruption may expose weak crisis positioning, poor prioritization of segments, revenue leakage and inability to adapt the offering and slow recovery.</t>
  </si>
  <si>
    <t>Elevated risk: strategic options for pivoting under demand shock, war, regulation, supply or liquidity crisis is partially controlled, but coverage, evidence or testing is inconsistent. Crisis response may be fragmented.</t>
  </si>
  <si>
    <t>Moderate risk: strategic options for pivoting under demand shock, war, regulation, supply or liquidity crisis is documented and owned, but measurement, stress testing and integration with dependent processes need strengthening.</t>
  </si>
  <si>
    <t>Residual risk: strategic options for pivoting under demand shock, war, regulation, supply or liquidity crisis is measured and reviewed, but monitoring, automation or scenario testing should be improved to prevent maturity drift.</t>
  </si>
  <si>
    <t>Low residual risk: strategic options for pivoting under demand shock, war, regulation, supply or liquidity crisis is mature and crisis-tested. Maintain monitoring, evidence, ownership and periodic stress testing.</t>
  </si>
  <si>
    <t>Create an immediate risk owner, minimum control baseline and fallback procedure for strategic options for pivoting under demand shock, war, regulation, supply or liquidity crisis. Add it to the crisis risk register and collect first evidence.</t>
  </si>
  <si>
    <t>Document strategic options for pivoting under demand shock, war, regulation, supply or liquidity crisis, assign RACI, define minimum controls and KPIs, and validate coverage across key sites, teams or systems.</t>
  </si>
  <si>
    <t>Standardize strategic options for pivoting under demand shock, war, regulation, supply or liquidity crisis, close coverage gaps, train accountable roles and connect controls to the relevant crisis scenarios and continuity plans.</t>
  </si>
  <si>
    <t>Measure and test strategic options for pivoting under demand shock, war, regulation, supply or liquidity crisis, run tabletop or operational stress tests, integrate it with dependent processes and update crisis playbooks.</t>
  </si>
  <si>
    <t>Sustain maturity for strategic options for pivoting under demand shock, war, regulation, supply or liquidity crisis: keep evidence current, monitor drift, benchmark externally and refresh risk tests after organizational, system or market changes.</t>
  </si>
  <si>
    <t>Strategy GTM!9</t>
  </si>
  <si>
    <t>Immature capability for alignment between strategy, structure, systems, skills, staff, leadership style and culture may lead to weak crisis positioning, poor prioritization of segments, revenue leakage and inability to adapt the offering during Demand shock; Financial / liquidity shock; Reputation crisis.</t>
  </si>
  <si>
    <t>Low maturity, weak ownership, incomplete evidence, insufficient testing and poor integration with crisis-management routines for alignment between strategy, structure, systems, skills, staff, leadership style and culture.</t>
  </si>
  <si>
    <t>Severe risk: alignment between strategy, structure, systems, skills, staff, leadership style and culture is not reliably controlled. During Demand shock; Financial / liquidity shock; Reputation crisis, the organization may face weak crisis positioning, poor prioritization of segments, revenue leakage and inability to adapt the offering with limited visibility or accountability.</t>
  </si>
  <si>
    <t>High risk: alignment between strategy, structure, systems, skills, staff, leadership style and culture depends on informal practices or individual knowledge. Disruption may expose weak crisis positioning, poor prioritization of segments, revenue leakage and inability to adapt the offering and slow recovery.</t>
  </si>
  <si>
    <t>Elevated risk: alignment between strategy, structure, systems, skills, staff, leadership style and culture is partially controlled, but coverage, evidence or testing is inconsistent. Crisis response may be fragmented.</t>
  </si>
  <si>
    <t>Moderate risk: alignment between strategy, structure, systems, skills, staff, leadership style and culture is documented and owned, but measurement, stress testing and integration with dependent processes need strengthening.</t>
  </si>
  <si>
    <t>Residual risk: alignment between strategy, structure, systems, skills, staff, leadership style and culture is measured and reviewed, but monitoring, automation or scenario testing should be improved to prevent maturity drift.</t>
  </si>
  <si>
    <t>Low residual risk: alignment between strategy, structure, systems, skills, staff, leadership style and culture is mature and crisis-tested. Maintain monitoring, evidence, ownership and periodic stress testing.</t>
  </si>
  <si>
    <t>Create an immediate risk owner, minimum control baseline and fallback procedure for alignment between strategy, structure, systems, skills, staff, leadership style and culture. Add it to the crisis risk register and collect first evidence.</t>
  </si>
  <si>
    <t>Document alignment between strategy, structure, systems, skills, staff, leadership style and culture, assign RACI, define minimum controls and KPIs, and validate coverage across key sites, teams or systems.</t>
  </si>
  <si>
    <t>Standardize alignment between strategy, structure, systems, skills, staff, leadership style and culture, close coverage gaps, train accountable roles and connect controls to the relevant crisis scenarios and continuity plans.</t>
  </si>
  <si>
    <t>Measure and test alignment between strategy, structure, systems, skills, staff, leadership style and culture, run tabletop or operational stress tests, integrate it with dependent processes and update crisis playbooks.</t>
  </si>
  <si>
    <t>Sustain maturity for alignment between strategy, structure, systems, skills, staff, leadership style and culture: keep evidence current, monitor drift, benchmark externally and refresh risk tests after organizational, system or market changes.</t>
  </si>
  <si>
    <t>Strategy GTM!10</t>
  </si>
  <si>
    <t>Immature capability for ideal customer profile by segment, geography, industry, company size, pain, budget and buying trigger may lead to weak crisis positioning, poor prioritization of segments, revenue leakage and inability to adapt the offering during Demand shock; Financial / liquidity shock; Reputation crisis.</t>
  </si>
  <si>
    <t>Low maturity, weak ownership, incomplete evidence, insufficient testing and poor integration with crisis-management routines for ideal customer profile by segment, geography, industry, company size, pain, budget and buying trigger.</t>
  </si>
  <si>
    <t>Severe risk: ideal customer profile by segment, geography, industry, company size, pain, budget and buying trigger is not reliably controlled. During Demand shock; Financial / liquidity shock; Reputation crisis, the organization may face weak crisis positioning, poor prioritization of segments, revenue leakage and inability to adapt the offering with limited visibility or accountability.</t>
  </si>
  <si>
    <t>High risk: ideal customer profile by segment, geography, industry, company size, pain, budget and buying trigger depends on informal practices or individual knowledge. Disruption may expose weak crisis positioning, poor prioritization of segments, revenue leakage and inability to adapt the offering and slow recovery.</t>
  </si>
  <si>
    <t>Elevated risk: ideal customer profile by segment, geography, industry, company size, pain, budget and buying trigger is partially controlled, but coverage, evidence or testing is inconsistent. Crisis response may be fragmented.</t>
  </si>
  <si>
    <t>Moderate risk: ideal customer profile by segment, geography, industry, company size, pain, budget and buying trigger is documented and owned, but measurement, stress testing and integration with dependent processes need strengthening.</t>
  </si>
  <si>
    <t>Residual risk: ideal customer profile by segment, geography, industry, company size, pain, budget and buying trigger is measured and reviewed, but monitoring, automation or scenario testing should be improved to prevent maturity drift.</t>
  </si>
  <si>
    <t>Low residual risk: ideal customer profile by segment, geography, industry, company size, pain, budget and buying trigger is mature and crisis-tested. Maintain monitoring, evidence, ownership and periodic stress testing.</t>
  </si>
  <si>
    <t>Create an immediate risk owner, minimum control baseline and fallback procedure for ideal customer profile by segment, geography, industry, company size, pain, budget and buying trigger. Add it to the crisis risk register and collect first evidence.</t>
  </si>
  <si>
    <t>Document ideal customer profile by segment, geography, industry, company size, pain, budget and buying trigger, assign RACI, define minimum controls and KPIs, and validate coverage across key sites, teams or systems.</t>
  </si>
  <si>
    <t>Standardize ideal customer profile by segment, geography, industry, company size, pain, budget and buying trigger, close coverage gaps, train accountable roles and connect controls to the relevant crisis scenarios and continuity plans.</t>
  </si>
  <si>
    <t>Measure and test ideal customer profile by segment, geography, industry, company size, pain, budget and buying trigger, run tabletop or operational stress tests, integrate it with dependent processes and update crisis playbooks.</t>
  </si>
  <si>
    <t>Sustain maturity for ideal customer profile by segment, geography, industry, company size, pain, budget and buying trigger: keep evidence current, monitor drift, benchmark externally and refresh risk tests after organizational, system or market changes.</t>
  </si>
  <si>
    <t>Strategy GTM!11</t>
  </si>
  <si>
    <t>Immature capability for buyer personas covering economic buyer, technical buyer, user, influencer and blocker may lead to weak crisis positioning, poor prioritization of segments, revenue leakage and inability to adapt the offering during Demand shock; Financial / liquidity shock; Reputation crisis.</t>
  </si>
  <si>
    <t>Low maturity, weak ownership, incomplete evidence, insufficient testing and poor integration with crisis-management routines for buyer personas covering economic buyer, technical buyer, user, influencer and blocker.</t>
  </si>
  <si>
    <t>Severe risk: buyer personas covering economic buyer, technical buyer, user, influencer and blocker is not reliably controlled. During Demand shock; Financial / liquidity shock; Reputation crisis, the organization may face weak crisis positioning, poor prioritization of segments, revenue leakage and inability to adapt the offering with limited visibility or accountability.</t>
  </si>
  <si>
    <t>High risk: buyer personas covering economic buyer, technical buyer, user, influencer and blocker depends on informal practices or individual knowledge. Disruption may expose weak crisis positioning, poor prioritization of segments, revenue leakage and inability to adapt the offering and slow recovery.</t>
  </si>
  <si>
    <t>Elevated risk: buyer personas covering economic buyer, technical buyer, user, influencer and blocker is partially controlled, but coverage, evidence or testing is inconsistent. Crisis response may be fragmented.</t>
  </si>
  <si>
    <t>Moderate risk: buyer personas covering economic buyer, technical buyer, user, influencer and blocker is documented and owned, but measurement, stress testing and integration with dependent processes need strengthening.</t>
  </si>
  <si>
    <t>Residual risk: buyer personas covering economic buyer, technical buyer, user, influencer and blocker is measured and reviewed, but monitoring, automation or scenario testing should be improved to prevent maturity drift.</t>
  </si>
  <si>
    <t>Low residual risk: buyer personas covering economic buyer, technical buyer, user, influencer and blocker is mature and crisis-tested. Maintain monitoring, evidence, ownership and periodic stress testing.</t>
  </si>
  <si>
    <t>Create an immediate risk owner, minimum control baseline and fallback procedure for buyer personas covering economic buyer, technical buyer, user, influencer and blocker. Add it to the crisis risk register and collect first evidence.</t>
  </si>
  <si>
    <t>Document buyer personas covering economic buyer, technical buyer, user, influencer and blocker, assign RACI, define minimum controls and KPIs, and validate coverage across key sites, teams or systems.</t>
  </si>
  <si>
    <t>Standardize buyer personas covering economic buyer, technical buyer, user, influencer and blocker, close coverage gaps, train accountable roles and connect controls to the relevant crisis scenarios and continuity plans.</t>
  </si>
  <si>
    <t>Measure and test buyer personas covering economic buyer, technical buyer, user, influencer and blocker, run tabletop or operational stress tests, integrate it with dependent processes and update crisis playbooks.</t>
  </si>
  <si>
    <t>Sustain maturity for buyer personas covering economic buyer, technical buyer, user, influencer and blocker: keep evidence current, monitor drift, benchmark externally and refresh risk tests after organizational, system or market changes.</t>
  </si>
  <si>
    <t>Strategy GTM!12</t>
  </si>
  <si>
    <t>Immature capability for validated customer problems, jobs-to-be-done, urgency triggers and willingness to pay may lead to weak crisis positioning, poor prioritization of segments, revenue leakage and inability to adapt the offering during Demand shock; Financial / liquidity shock; Reputation crisis.</t>
  </si>
  <si>
    <t>Low maturity, weak ownership, incomplete evidence, insufficient testing and poor integration with crisis-management routines for validated customer problems, jobs-to-be-done, urgency triggers and willingness to pay.</t>
  </si>
  <si>
    <t>Severe risk: validated customer problems, jobs-to-be-done, urgency triggers and willingness to pay is not reliably controlled. During Demand shock; Financial / liquidity shock; Reputation crisis, the organization may face weak crisis positioning, poor prioritization of segments, revenue leakage and inability to adapt the offering with limited visibility or accountability.</t>
  </si>
  <si>
    <t>High risk: validated customer problems, jobs-to-be-done, urgency triggers and willingness to pay depends on informal practices or individual knowledge. Disruption may expose weak crisis positioning, poor prioritization of segments, revenue leakage and inability to adapt the offering and slow recovery.</t>
  </si>
  <si>
    <t>Elevated risk: validated customer problems, jobs-to-be-done, urgency triggers and willingness to pay is partially controlled, but coverage, evidence or testing is inconsistent. Crisis response may be fragmented.</t>
  </si>
  <si>
    <t>Moderate risk: validated customer problems, jobs-to-be-done, urgency triggers and willingness to pay is documented and owned, but measurement, stress testing and integration with dependent processes need strengthening.</t>
  </si>
  <si>
    <t>Residual risk: validated customer problems, jobs-to-be-done, urgency triggers and willingness to pay is measured and reviewed, but monitoring, automation or scenario testing should be improved to prevent maturity drift.</t>
  </si>
  <si>
    <t>Low residual risk: validated customer problems, jobs-to-be-done, urgency triggers and willingness to pay is mature and crisis-tested. Maintain monitoring, evidence, ownership and periodic stress testing.</t>
  </si>
  <si>
    <t>Create an immediate risk owner, minimum control baseline and fallback procedure for validated customer problems, jobs-to-be-done, urgency triggers and willingness to pay. Add it to the crisis risk register and collect first evidence.</t>
  </si>
  <si>
    <t>Document validated customer problems, jobs-to-be-done, urgency triggers and willingness to pay, assign RACI, define minimum controls and KPIs, and validate coverage across key sites, teams or systems.</t>
  </si>
  <si>
    <t>Standardize validated customer problems, jobs-to-be-done, urgency triggers and willingness to pay, close coverage gaps, train accountable roles and connect controls to the relevant crisis scenarios and continuity plans.</t>
  </si>
  <si>
    <t>Measure and test validated customer problems, jobs-to-be-done, urgency triggers and willingness to pay, run tabletop or operational stress tests, integrate it with dependent processes and update crisis playbooks.</t>
  </si>
  <si>
    <t>Sustain maturity for validated customer problems, jobs-to-be-done, urgency triggers and willingness to pay: keep evidence current, monitor drift, benchmark externally and refresh risk tests after organizational, system or market changes.</t>
  </si>
  <si>
    <t>Strategy GTM!13</t>
  </si>
  <si>
    <t>Immature capability for market segmentation by attractiveness, accessibility, profitability and crisis sensitivity may lead to weak crisis positioning, poor prioritization of segments, revenue leakage and inability to adapt the offering during Demand shock; Financial / liquidity shock; Reputation crisis.</t>
  </si>
  <si>
    <t>Low maturity, weak ownership, incomplete evidence, insufficient testing and poor integration with crisis-management routines for market segmentation by attractiveness, accessibility, profitability and crisis sensitivity.</t>
  </si>
  <si>
    <t>Severe risk: market segmentation by attractiveness, accessibility, profitability and crisis sensitivity is not reliably controlled. During Demand shock; Financial / liquidity shock; Reputation crisis, the organization may face weak crisis positioning, poor prioritization of segments, revenue leakage and inability to adapt the offering with limited visibility or accountability.</t>
  </si>
  <si>
    <t>High risk: market segmentation by attractiveness, accessibility, profitability and crisis sensitivity depends on informal practices or individual knowledge. Disruption may expose weak crisis positioning, poor prioritization of segments, revenue leakage and inability to adapt the offering and slow recovery.</t>
  </si>
  <si>
    <t>Elevated risk: market segmentation by attractiveness, accessibility, profitability and crisis sensitivity is partially controlled, but coverage, evidence or testing is inconsistent. Crisis response may be fragmented.</t>
  </si>
  <si>
    <t>Moderate risk: market segmentation by attractiveness, accessibility, profitability and crisis sensitivity is documented and owned, but measurement, stress testing and integration with dependent processes need strengthening.</t>
  </si>
  <si>
    <t>Residual risk: market segmentation by attractiveness, accessibility, profitability and crisis sensitivity is measured and reviewed, but monitoring, automation or scenario testing should be improved to prevent maturity drift.</t>
  </si>
  <si>
    <t>Low residual risk: market segmentation by attractiveness, accessibility, profitability and crisis sensitivity is mature and crisis-tested. Maintain monitoring, evidence, ownership and periodic stress testing.</t>
  </si>
  <si>
    <t>Create an immediate risk owner, minimum control baseline and fallback procedure for market segmentation by attractiveness, accessibility, profitability and crisis sensitivity. Add it to the crisis risk register and collect first evidence.</t>
  </si>
  <si>
    <t>Document market segmentation by attractiveness, accessibility, profitability and crisis sensitivity, assign RACI, define minimum controls and KPIs, and validate coverage across key sites, teams or systems.</t>
  </si>
  <si>
    <t>Standardize market segmentation by attractiveness, accessibility, profitability and crisis sensitivity, close coverage gaps, train accountable roles and connect controls to the relevant crisis scenarios and continuity plans.</t>
  </si>
  <si>
    <t>Measure and test market segmentation by attractiveness, accessibility, profitability and crisis sensitivity, run tabletop or operational stress tests, integrate it with dependent processes and update crisis playbooks.</t>
  </si>
  <si>
    <t>Sustain maturity for market segmentation by attractiveness, accessibility, profitability and crisis sensitivity: keep evidence current, monitor drift, benchmark externally and refresh risk tests after organizational, system or market changes.</t>
  </si>
  <si>
    <t>Strategy GTM!14</t>
  </si>
  <si>
    <t>Immature capability for market size and growth assumptions with explicit evidence and uncertainty level may lead to weak crisis positioning, poor prioritization of segments, revenue leakage and inability to adapt the offering during Demand shock; Financial / liquidity shock; Reputation crisis.</t>
  </si>
  <si>
    <t>Low maturity, weak ownership, incomplete evidence, insufficient testing and poor integration with crisis-management routines for market size and growth assumptions with explicit evidence and uncertainty level.</t>
  </si>
  <si>
    <t>Severe risk: market size and growth assumptions with explicit evidence and uncertainty level is not reliably controlled. During Demand shock; Financial / liquidity shock; Reputation crisis, the organization may face weak crisis positioning, poor prioritization of segments, revenue leakage and inability to adapt the offering with limited visibility or accountability.</t>
  </si>
  <si>
    <t>High risk: market size and growth assumptions with explicit evidence and uncertainty level depends on informal practices or individual knowledge. Disruption may expose weak crisis positioning, poor prioritization of segments, revenue leakage and inability to adapt the offering and slow recovery.</t>
  </si>
  <si>
    <t>Elevated risk: market size and growth assumptions with explicit evidence and uncertainty level is partially controlled, but coverage, evidence or testing is inconsistent. Crisis response may be fragmented.</t>
  </si>
  <si>
    <t>Moderate risk: market size and growth assumptions with explicit evidence and uncertainty level is documented and owned, but measurement, stress testing and integration with dependent processes need strengthening.</t>
  </si>
  <si>
    <t>Residual risk: market size and growth assumptions with explicit evidence and uncertainty level is measured and reviewed, but monitoring, automation or scenario testing should be improved to prevent maturity drift.</t>
  </si>
  <si>
    <t>Low residual risk: market size and growth assumptions with explicit evidence and uncertainty level is mature and crisis-tested. Maintain monitoring, evidence, ownership and periodic stress testing.</t>
  </si>
  <si>
    <t>Create an immediate risk owner, minimum control baseline and fallback procedure for market size and growth assumptions with explicit evidence and uncertainty level. Add it to the crisis risk register and collect first evidence.</t>
  </si>
  <si>
    <t>Document market size and growth assumptions with explicit evidence and uncertainty level, assign RACI, define minimum controls and KPIs, and validate coverage across key sites, teams or systems.</t>
  </si>
  <si>
    <t>Standardize market size and growth assumptions with explicit evidence and uncertainty level, close coverage gaps, train accountable roles and connect controls to the relevant crisis scenarios and continuity plans.</t>
  </si>
  <si>
    <t>Measure and test market size and growth assumptions with explicit evidence and uncertainty level, run tabletop or operational stress tests, integrate it with dependent processes and update crisis playbooks.</t>
  </si>
  <si>
    <t>Sustain maturity for market size and growth assumptions with explicit evidence and uncertainty level: keep evidence current, monitor drift, benchmark externally and refresh risk tests after organizational, system or market changes.</t>
  </si>
  <si>
    <t>Strategy GTM!15</t>
  </si>
  <si>
    <t>Immature capability for customer concentration and exposure to specific industries, geographies or budget cycles may lead to weak crisis positioning, poor prioritization of segments, revenue leakage and inability to adapt the offering during Demand shock; Financial / liquidity shock; Reputation crisis.</t>
  </si>
  <si>
    <t>Low maturity, weak ownership, incomplete evidence, insufficient testing and poor integration with crisis-management routines for customer concentration and exposure to specific industries, geographies or budget cycles.</t>
  </si>
  <si>
    <t>Severe risk: customer concentration and exposure to specific industries, geographies or budget cycles is not reliably controlled. During Demand shock; Financial / liquidity shock; Reputation crisis, the organization may face weak crisis positioning, poor prioritization of segments, revenue leakage and inability to adapt the offering with limited visibility or accountability.</t>
  </si>
  <si>
    <t>High risk: customer concentration and exposure to specific industries, geographies or budget cycles depends on informal practices or individual knowledge. Disruption may expose weak crisis positioning, poor prioritization of segments, revenue leakage and inability to adapt the offering and slow recovery.</t>
  </si>
  <si>
    <t>Elevated risk: customer concentration and exposure to specific industries, geographies or budget cycles is partially controlled, but coverage, evidence or testing is inconsistent. Crisis response may be fragmented.</t>
  </si>
  <si>
    <t>Moderate risk: customer concentration and exposure to specific industries, geographies or budget cycles is documented and owned, but measurement, stress testing and integration with dependent processes need strengthening.</t>
  </si>
  <si>
    <t>Residual risk: customer concentration and exposure to specific industries, geographies or budget cycles is measured and reviewed, but monitoring, automation or scenario testing should be improved to prevent maturity drift.</t>
  </si>
  <si>
    <t>Low residual risk: customer concentration and exposure to specific industries, geographies or budget cycles is mature and crisis-tested. Maintain monitoring, evidence, ownership and periodic stress testing.</t>
  </si>
  <si>
    <t>Create an immediate risk owner, minimum control baseline and fallback procedure for customer concentration and exposure to specific industries, geographies or budget cycles. Add it to the crisis risk register and collect first evidence.</t>
  </si>
  <si>
    <t>Document customer concentration and exposure to specific industries, geographies or budget cycles, assign RACI, define minimum controls and KPIs, and validate coverage across key sites, teams or systems.</t>
  </si>
  <si>
    <t>Standardize customer concentration and exposure to specific industries, geographies or budget cycles, close coverage gaps, train accountable roles and connect controls to the relevant crisis scenarios and continuity plans.</t>
  </si>
  <si>
    <t>Measure and test customer concentration and exposure to specific industries, geographies or budget cycles, run tabletop or operational stress tests, integrate it with dependent processes and update crisis playbooks.</t>
  </si>
  <si>
    <t>Sustain maturity for customer concentration and exposure to specific industries, geographies or budget cycles: keep evidence current, monitor drift, benchmark externally and refresh risk tests after organizational, system or market changes.</t>
  </si>
  <si>
    <t>Strategy GTM!16</t>
  </si>
  <si>
    <t>Immature capability for structured offering catalog with packages, scope, outcomes, assumptions and delivery requirements may lead to weak crisis positioning, poor prioritization of segments, revenue leakage and inability to adapt the offering during Demand shock; Financial / liquidity shock; Reputation crisis.</t>
  </si>
  <si>
    <t>Low maturity, weak ownership, incomplete evidence, insufficient testing and poor integration with crisis-management routines for structured offering catalog with packages, scope, outcomes, assumptions and delivery requirements.</t>
  </si>
  <si>
    <t>Severe risk: structured offering catalog with packages, scope, outcomes, assumptions and delivery requirements is not reliably controlled. During Demand shock; Financial / liquidity shock; Reputation crisis, the organization may face weak crisis positioning, poor prioritization of segments, revenue leakage and inability to adapt the offering with limited visibility or accountability.</t>
  </si>
  <si>
    <t>High risk: structured offering catalog with packages, scope, outcomes, assumptions and delivery requirements depends on informal practices or individual knowledge. Disruption may expose weak crisis positioning, poor prioritization of segments, revenue leakage and inability to adapt the offering and slow recovery.</t>
  </si>
  <si>
    <t>Elevated risk: structured offering catalog with packages, scope, outcomes, assumptions and delivery requirements is partially controlled, but coverage, evidence or testing is inconsistent. Crisis response may be fragmented.</t>
  </si>
  <si>
    <t>Moderate risk: structured offering catalog with packages, scope, outcomes, assumptions and delivery requirements is documented and owned, but measurement, stress testing and integration with dependent processes need strengthening.</t>
  </si>
  <si>
    <t>Residual risk: structured offering catalog with packages, scope, outcomes, assumptions and delivery requirements is measured and reviewed, but monitoring, automation or scenario testing should be improved to prevent maturity drift.</t>
  </si>
  <si>
    <t>Low residual risk: structured offering catalog with packages, scope, outcomes, assumptions and delivery requirements is mature and crisis-tested. Maintain monitoring, evidence, ownership and periodic stress testing.</t>
  </si>
  <si>
    <t>Create an immediate risk owner, minimum control baseline and fallback procedure for structured offering catalog with packages, scope, outcomes, assumptions and delivery requirements. Add it to the crisis risk register and collect first evidence.</t>
  </si>
  <si>
    <t>Document structured offering catalog with packages, scope, outcomes, assumptions and delivery requirements, assign RACI, define minimum controls and KPIs, and validate coverage across key sites, teams or systems.</t>
  </si>
  <si>
    <t>Standardize structured offering catalog with packages, scope, outcomes, assumptions and delivery requirements, close coverage gaps, train accountable roles and connect controls to the relevant crisis scenarios and continuity plans.</t>
  </si>
  <si>
    <t>Measure and test structured offering catalog with packages, scope, outcomes, assumptions and delivery requirements, run tabletop or operational stress tests, integrate it with dependent processes and update crisis playbooks.</t>
  </si>
  <si>
    <t>Sustain maturity for structured offering catalog with packages, scope, outcomes, assumptions and delivery requirements: keep evidence current, monitor drift, benchmark externally and refresh risk tests after organizational, system or market changes.</t>
  </si>
  <si>
    <t>Strategy GTM!17</t>
  </si>
  <si>
    <t>Immature capability for clear differentiation against direct competitors, substitutes and in-house alternatives may lead to weak crisis positioning, poor prioritization of segments, revenue leakage and inability to adapt the offering during Demand shock; Financial / liquidity shock; Reputation crisis.</t>
  </si>
  <si>
    <t>Low maturity, weak ownership, incomplete evidence, insufficient testing and poor integration with crisis-management routines for clear differentiation against direct competitors, substitutes and in-house alternatives.</t>
  </si>
  <si>
    <t>Severe risk: clear differentiation against direct competitors, substitutes and in-house alternatives is not reliably controlled. During Demand shock; Financial / liquidity shock; Reputation crisis, the organization may face weak crisis positioning, poor prioritization of segments, revenue leakage and inability to adapt the offering with limited visibility or accountability.</t>
  </si>
  <si>
    <t>High risk: clear differentiation against direct competitors, substitutes and in-house alternatives depends on informal practices or individual knowledge. Disruption may expose weak crisis positioning, poor prioritization of segments, revenue leakage and inability to adapt the offering and slow recovery.</t>
  </si>
  <si>
    <t>Elevated risk: clear differentiation against direct competitors, substitutes and in-house alternatives is partially controlled, but coverage, evidence or testing is inconsistent. Crisis response may be fragmented.</t>
  </si>
  <si>
    <t>Moderate risk: clear differentiation against direct competitors, substitutes and in-house alternatives is documented and owned, but measurement, stress testing and integration with dependent processes need strengthening.</t>
  </si>
  <si>
    <t>Residual risk: clear differentiation against direct competitors, substitutes and in-house alternatives is measured and reviewed, but monitoring, automation or scenario testing should be improved to prevent maturity drift.</t>
  </si>
  <si>
    <t>Low residual risk: clear differentiation against direct competitors, substitutes and in-house alternatives is mature and crisis-tested. Maintain monitoring, evidence, ownership and periodic stress testing.</t>
  </si>
  <si>
    <t>Create an immediate risk owner, minimum control baseline and fallback procedure for clear differentiation against direct competitors, substitutes and in-house alternatives. Add it to the crisis risk register and collect first evidence.</t>
  </si>
  <si>
    <t>Document clear differentiation against direct competitors, substitutes and in-house alternatives, assign RACI, define minimum controls and KPIs, and validate coverage across key sites, teams or systems.</t>
  </si>
  <si>
    <t>Standardize clear differentiation against direct competitors, substitutes and in-house alternatives, close coverage gaps, train accountable roles and connect controls to the relevant crisis scenarios and continuity plans.</t>
  </si>
  <si>
    <t>Measure and test clear differentiation against direct competitors, substitutes and in-house alternatives, run tabletop or operational stress tests, integrate it with dependent processes and update crisis playbooks.</t>
  </si>
  <si>
    <t>Sustain maturity for clear differentiation against direct competitors, substitutes and in-house alternatives: keep evidence current, monitor drift, benchmark externally and refresh risk tests after organizational, system or market changes.</t>
  </si>
  <si>
    <t>Strategy GTM!18</t>
  </si>
  <si>
    <t>Immature capability for value proposition linked to measurable customer economic value, risk reduction or continuity impact may lead to weak crisis positioning, poor prioritization of segments, revenue leakage and inability to adapt the offering during Demand shock; Financial / liquidity shock; Reputation crisis.</t>
  </si>
  <si>
    <t>Low maturity, weak ownership, incomplete evidence, insufficient testing and poor integration with crisis-management routines for value proposition linked to measurable customer economic value, risk reduction or continuity impact.</t>
  </si>
  <si>
    <t>Severe risk: value proposition linked to measurable customer economic value, risk reduction or continuity impact is not reliably controlled. During Demand shock; Financial / liquidity shock; Reputation crisis, the organization may face weak crisis positioning, poor prioritization of segments, revenue leakage and inability to adapt the offering with limited visibility or accountability.</t>
  </si>
  <si>
    <t>High risk: value proposition linked to measurable customer economic value, risk reduction or continuity impact depends on informal practices or individual knowledge. Disruption may expose weak crisis positioning, poor prioritization of segments, revenue leakage and inability to adapt the offering and slow recovery.</t>
  </si>
  <si>
    <t>Elevated risk: value proposition linked to measurable customer economic value, risk reduction or continuity impact is partially controlled, but coverage, evidence or testing is inconsistent. Crisis response may be fragmented.</t>
  </si>
  <si>
    <t>Moderate risk: value proposition linked to measurable customer economic value, risk reduction or continuity impact is documented and owned, but measurement, stress testing and integration with dependent processes need strengthening.</t>
  </si>
  <si>
    <t>Residual risk: value proposition linked to measurable customer economic value, risk reduction or continuity impact is measured and reviewed, but monitoring, automation or scenario testing should be improved to prevent maturity drift.</t>
  </si>
  <si>
    <t>Low residual risk: value proposition linked to measurable customer economic value, risk reduction or continuity impact is mature and crisis-tested. Maintain monitoring, evidence, ownership and periodic stress testing.</t>
  </si>
  <si>
    <t>Create an immediate risk owner, minimum control baseline and fallback procedure for value proposition linked to measurable customer economic value, risk reduction or continuity impact. Add it to the crisis risk register and collect first evidence.</t>
  </si>
  <si>
    <t>Document value proposition linked to measurable customer economic value, risk reduction or continuity impact, assign RACI, define minimum controls and KPIs, and validate coverage across key sites, teams or systems.</t>
  </si>
  <si>
    <t>Standardize value proposition linked to measurable customer economic value, risk reduction or continuity impact, close coverage gaps, train accountable roles and connect controls to the relevant crisis scenarios and continuity plans.</t>
  </si>
  <si>
    <t>Measure and test value proposition linked to measurable customer economic value, risk reduction or continuity impact, run tabletop or operational stress tests, integrate it with dependent processes and update crisis playbooks.</t>
  </si>
  <si>
    <t>Sustain maturity for value proposition linked to measurable customer economic value, risk reduction or continuity impact: keep evidence current, monitor drift, benchmark externally and refresh risk tests after organizational, system or market changes.</t>
  </si>
  <si>
    <t>Strategy GTM!19</t>
  </si>
  <si>
    <t>Immature capability for pricing strategy with margin thresholds, discount governance and crisis boundaries may lead to weak crisis positioning, poor prioritization of segments, revenue leakage and inability to adapt the offering during Demand shock; Financial / liquidity shock; Reputation crisis.</t>
  </si>
  <si>
    <t>Low maturity, weak ownership, incomplete evidence, insufficient testing and poor integration with crisis-management routines for pricing strategy with margin thresholds, discount governance and crisis boundaries.</t>
  </si>
  <si>
    <t>Severe risk: pricing strategy with margin thresholds, discount governance and crisis boundaries is not reliably controlled. During Demand shock; Financial / liquidity shock; Reputation crisis, the organization may face weak crisis positioning, poor prioritization of segments, revenue leakage and inability to adapt the offering with limited visibility or accountability.</t>
  </si>
  <si>
    <t>High risk: pricing strategy with margin thresholds, discount governance and crisis boundaries depends on informal practices or individual knowledge. Disruption may expose weak crisis positioning, poor prioritization of segments, revenue leakage and inability to adapt the offering and slow recovery.</t>
  </si>
  <si>
    <t>Elevated risk: pricing strategy with margin thresholds, discount governance and crisis boundaries is partially controlled, but coverage, evidence or testing is inconsistent. Crisis response may be fragmented.</t>
  </si>
  <si>
    <t>Moderate risk: pricing strategy with margin thresholds, discount governance and crisis boundaries is documented and owned, but measurement, stress testing and integration with dependent processes need strengthening.</t>
  </si>
  <si>
    <t>Residual risk: pricing strategy with margin thresholds, discount governance and crisis boundaries is measured and reviewed, but monitoring, automation or scenario testing should be improved to prevent maturity drift.</t>
  </si>
  <si>
    <t>Low residual risk: pricing strategy with margin thresholds, discount governance and crisis boundaries is mature and crisis-tested. Maintain monitoring, evidence, ownership and periodic stress testing.</t>
  </si>
  <si>
    <t>Create an immediate risk owner, minimum control baseline and fallback procedure for pricing strategy with margin thresholds, discount governance and crisis boundaries. Add it to the crisis risk register and collect first evidence.</t>
  </si>
  <si>
    <t>Document pricing strategy with margin thresholds, discount governance and crisis boundaries, assign RACI, define minimum controls and KPIs, and validate coverage across key sites, teams or systems.</t>
  </si>
  <si>
    <t>Standardize pricing strategy with margin thresholds, discount governance and crisis boundaries, close coverage gaps, train accountable roles and connect controls to the relevant crisis scenarios and continuity plans.</t>
  </si>
  <si>
    <t>Measure and test pricing strategy with margin thresholds, discount governance and crisis boundaries, run tabletop or operational stress tests, integrate it with dependent processes and update crisis playbooks.</t>
  </si>
  <si>
    <t>Sustain maturity for pricing strategy with margin thresholds, discount governance and crisis boundaries: keep evidence current, monitor drift, benchmark externally and refresh risk tests after organizational, system or market changes.</t>
  </si>
  <si>
    <t>Strategy GTM!20</t>
  </si>
  <si>
    <t>Immature capability for proof assets such as case studies, references, certifications, security evidence and continuity commitments may lead to weak crisis positioning, poor prioritization of segments, revenue leakage and inability to adapt the offering during Demand shock; Financial / liquidity shock; Reputation crisis.</t>
  </si>
  <si>
    <t>Low maturity, weak ownership, incomplete evidence, insufficient testing and poor integration with crisis-management routines for proof assets such as case studies, references, certifications, security evidence and continuity commitments.</t>
  </si>
  <si>
    <t>Severe risk: proof assets such as case studies, references, certifications, security evidence and continuity commitments is not reliably controlled. During Demand shock; Financial / liquidity shock; Reputation crisis, the organization may face weak crisis positioning, poor prioritization of segments, revenue leakage and inability to adapt the offering with limited visibility or accountability.</t>
  </si>
  <si>
    <t>High risk: proof assets such as case studies, references, certifications, security evidence and continuity commitments depends on informal practices or individual knowledge. Disruption may expose weak crisis positioning, poor prioritization of segments, revenue leakage and inability to adapt the offering and slow recovery.</t>
  </si>
  <si>
    <t>Elevated risk: proof assets such as case studies, references, certifications, security evidence and continuity commitments is partially controlled, but coverage, evidence or testing is inconsistent. Crisis response may be fragmented.</t>
  </si>
  <si>
    <t>Moderate risk: proof assets such as case studies, references, certifications, security evidence and continuity commitments is documented and owned, but measurement, stress testing and integration with dependent processes need strengthening.</t>
  </si>
  <si>
    <t>Residual risk: proof assets such as case studies, references, certifications, security evidence and continuity commitments is measured and reviewed, but monitoring, automation or scenario testing should be improved to prevent maturity drift.</t>
  </si>
  <si>
    <t>Low residual risk: proof assets such as case studies, references, certifications, security evidence and continuity commitments is mature and crisis-tested. Maintain monitoring, evidence, ownership and periodic stress testing.</t>
  </si>
  <si>
    <t>Create an immediate risk owner, minimum control baseline and fallback procedure for proof assets such as case studies, references, certifications, security evidence and continuity commitments. Add it to the crisis risk register and collect first evidence.</t>
  </si>
  <si>
    <t>Document proof assets such as case studies, references, certifications, security evidence and continuity commitments, assign RACI, define minimum controls and KPIs, and validate coverage across key sites, teams or systems.</t>
  </si>
  <si>
    <t>Standardize proof assets such as case studies, references, certifications, security evidence and continuity commitments, close coverage gaps, train accountable roles and connect controls to the relevant crisis scenarios and continuity plans.</t>
  </si>
  <si>
    <t>Measure and test proof assets such as case studies, references, certifications, security evidence and continuity commitments, run tabletop or operational stress tests, integrate it with dependent processes and update crisis playbooks.</t>
  </si>
  <si>
    <t>Sustain maturity for proof assets such as case studies, references, certifications, security evidence and continuity commitments: keep evidence current, monitor drift, benchmark externally and refresh risk tests after organizational, system or market changes.</t>
  </si>
  <si>
    <t>Strategy GTM!21</t>
  </si>
  <si>
    <t>Immature capability for product or service modularity that allows budget-sensitive or crisis-driven adaptation may lead to weak crisis positioning, poor prioritization of segments, revenue leakage and inability to adapt the offering during Demand shock; Financial / liquidity shock; Reputation crisis.</t>
  </si>
  <si>
    <t>Low maturity, weak ownership, incomplete evidence, insufficient testing and poor integration with crisis-management routines for product or service modularity that allows budget-sensitive or crisis-driven adaptation.</t>
  </si>
  <si>
    <t>Severe risk: product or service modularity that allows budget-sensitive or crisis-driven adaptation is not reliably controlled. During Demand shock; Financial / liquidity shock; Reputation crisis, the organization may face weak crisis positioning, poor prioritization of segments, revenue leakage and inability to adapt the offering with limited visibility or accountability.</t>
  </si>
  <si>
    <t>High risk: product or service modularity that allows budget-sensitive or crisis-driven adaptation depends on informal practices or individual knowledge. Disruption may expose weak crisis positioning, poor prioritization of segments, revenue leakage and inability to adapt the offering and slow recovery.</t>
  </si>
  <si>
    <t>Elevated risk: product or service modularity that allows budget-sensitive or crisis-driven adaptation is partially controlled, but coverage, evidence or testing is inconsistent. Crisis response may be fragmented.</t>
  </si>
  <si>
    <t>Moderate risk: product or service modularity that allows budget-sensitive or crisis-driven adaptation is documented and owned, but measurement, stress testing and integration with dependent processes need strengthening.</t>
  </si>
  <si>
    <t>Residual risk: product or service modularity that allows budget-sensitive or crisis-driven adaptation is measured and reviewed, but monitoring, automation or scenario testing should be improved to prevent maturity drift.</t>
  </si>
  <si>
    <t>Low residual risk: product or service modularity that allows budget-sensitive or crisis-driven adaptation is mature and crisis-tested. Maintain monitoring, evidence, ownership and periodic stress testing.</t>
  </si>
  <si>
    <t>Create an immediate risk owner, minimum control baseline and fallback procedure for product or service modularity that allows budget-sensitive or crisis-driven adaptation. Add it to the crisis risk register and collect first evidence.</t>
  </si>
  <si>
    <t>Document product or service modularity that allows budget-sensitive or crisis-driven adaptation, assign RACI, define minimum controls and KPIs, and validate coverage across key sites, teams or systems.</t>
  </si>
  <si>
    <t>Standardize product or service modularity that allows budget-sensitive or crisis-driven adaptation, close coverage gaps, train accountable roles and connect controls to the relevant crisis scenarios and continuity plans.</t>
  </si>
  <si>
    <t>Measure and test product or service modularity that allows budget-sensitive or crisis-driven adaptation, run tabletop or operational stress tests, integrate it with dependent processes and update crisis playbooks.</t>
  </si>
  <si>
    <t>Sustain maturity for product or service modularity that allows budget-sensitive or crisis-driven adaptation: keep evidence current, monitor drift, benchmark externally and refresh risk tests after organizational, system or market changes.</t>
  </si>
  <si>
    <t>Strategy GTM!22</t>
  </si>
  <si>
    <t>Immature capability for sales playbooks for ICPs, offerings, objections, competitors and crisis-specific customer concerns may lead to weak crisis positioning, poor prioritization of segments, revenue leakage and inability to adapt the offering during Demand shock; Financial / liquidity shock; Reputation crisis.</t>
  </si>
  <si>
    <t>Low maturity, weak ownership, incomplete evidence, insufficient testing and poor integration with crisis-management routines for sales playbooks for ICPs, offerings, objections, competitors and crisis-specific customer concerns.</t>
  </si>
  <si>
    <t>Severe risk: sales playbooks for ICPs, offerings, objections, competitors and crisis-specific customer concerns is not reliably controlled. During Demand shock; Financial / liquidity shock; Reputation crisis, the organization may face weak crisis positioning, poor prioritization of segments, revenue leakage and inability to adapt the offering with limited visibility or accountability.</t>
  </si>
  <si>
    <t>High risk: sales playbooks for ICPs, offerings, objections, competitors and crisis-specific customer concerns depends on informal practices or individual knowledge. Disruption may expose weak crisis positioning, poor prioritization of segments, revenue leakage and inability to adapt the offering and slow recovery.</t>
  </si>
  <si>
    <t>Elevated risk: sales playbooks for ICPs, offerings, objections, competitors and crisis-specific customer concerns is partially controlled, but coverage, evidence or testing is inconsistent. Crisis response may be fragmented.</t>
  </si>
  <si>
    <t>Moderate risk: sales playbooks for ICPs, offerings, objections, competitors and crisis-specific customer concerns is documented and owned, but measurement, stress testing and integration with dependent processes need strengthening.</t>
  </si>
  <si>
    <t>Residual risk: sales playbooks for ICPs, offerings, objections, competitors and crisis-specific customer concerns is measured and reviewed, but monitoring, automation or scenario testing should be improved to prevent maturity drift.</t>
  </si>
  <si>
    <t>Low residual risk: sales playbooks for ICPs, offerings, objections, competitors and crisis-specific customer concerns is mature and crisis-tested. Maintain monitoring, evidence, ownership and periodic stress testing.</t>
  </si>
  <si>
    <t>Create an immediate risk owner, minimum control baseline and fallback procedure for sales playbooks for ICPs, offerings, objections, competitors and crisis-specific customer concerns. Add it to the crisis risk register and collect first evidence.</t>
  </si>
  <si>
    <t>Document sales playbooks for ICPs, offerings, objections, competitors and crisis-specific customer concerns, assign RACI, define minimum controls and KPIs, and validate coverage across key sites, teams or systems.</t>
  </si>
  <si>
    <t>Standardize sales playbooks for ICPs, offerings, objections, competitors and crisis-specific customer concerns, close coverage gaps, train accountable roles and connect controls to the relevant crisis scenarios and continuity plans.</t>
  </si>
  <si>
    <t>Measure and test sales playbooks for ICPs, offerings, objections, competitors and crisis-specific customer concerns, run tabletop or operational stress tests, integrate it with dependent processes and update crisis playbooks.</t>
  </si>
  <si>
    <t>Sustain maturity for sales playbooks for ICPs, offerings, objections, competitors and crisis-specific customer concerns: keep evidence current, monitor drift, benchmark externally and refresh risk tests after organizational, system or market changes.</t>
  </si>
  <si>
    <t>Strategy GTM!23</t>
  </si>
  <si>
    <t>Immature capability for pipeline governance with clear stages, qualification criteria, forecast probability and CRM discipline may lead to weak crisis positioning, poor prioritization of segments, revenue leakage and inability to adapt the offering during Demand shock; Financial / liquidity shock; Reputation crisis.</t>
  </si>
  <si>
    <t>Low maturity, weak ownership, incomplete evidence, insufficient testing and poor integration with crisis-management routines for pipeline governance with clear stages, qualification criteria, forecast probability and CRM discipline.</t>
  </si>
  <si>
    <t>Severe risk: pipeline governance with clear stages, qualification criteria, forecast probability and CRM discipline is not reliably controlled. During Demand shock; Financial / liquidity shock; Reputation crisis, the organization may face weak crisis positioning, poor prioritization of segments, revenue leakage and inability to adapt the offering with limited visibility or accountability.</t>
  </si>
  <si>
    <t>High risk: pipeline governance with clear stages, qualification criteria, forecast probability and CRM discipline depends on informal practices or individual knowledge. Disruption may expose weak crisis positioning, poor prioritization of segments, revenue leakage and inability to adapt the offering and slow recovery.</t>
  </si>
  <si>
    <t>Elevated risk: pipeline governance with clear stages, qualification criteria, forecast probability and CRM discipline is partially controlled, but coverage, evidence or testing is inconsistent. Crisis response may be fragmented.</t>
  </si>
  <si>
    <t>Moderate risk: pipeline governance with clear stages, qualification criteria, forecast probability and CRM discipline is documented and owned, but measurement, stress testing and integration with dependent processes need strengthening.</t>
  </si>
  <si>
    <t>Residual risk: pipeline governance with clear stages, qualification criteria, forecast probability and CRM discipline is measured and reviewed, but monitoring, automation or scenario testing should be improved to prevent maturity drift.</t>
  </si>
  <si>
    <t>Low residual risk: pipeline governance with clear stages, qualification criteria, forecast probability and CRM discipline is mature and crisis-tested. Maintain monitoring, evidence, ownership and periodic stress testing.</t>
  </si>
  <si>
    <t>Create an immediate risk owner, minimum control baseline and fallback procedure for pipeline governance with clear stages, qualification criteria, forecast probability and CRM discipline. Add it to the crisis risk register and collect first evidence.</t>
  </si>
  <si>
    <t>Document pipeline governance with clear stages, qualification criteria, forecast probability and CRM discipline, assign RACI, define minimum controls and KPIs, and validate coverage across key sites, teams or systems.</t>
  </si>
  <si>
    <t>Standardize pipeline governance with clear stages, qualification criteria, forecast probability and CRM discipline, close coverage gaps, train accountable roles and connect controls to the relevant crisis scenarios and continuity plans.</t>
  </si>
  <si>
    <t>Measure and test pipeline governance with clear stages, qualification criteria, forecast probability and CRM discipline, run tabletop or operational stress tests, integrate it with dependent processes and update crisis playbooks.</t>
  </si>
  <si>
    <t>Sustain maturity for pipeline governance with clear stages, qualification criteria, forecast probability and CRM discipline: keep evidence current, monitor drift, benchmark externally and refresh risk tests after organizational, system or market changes.</t>
  </si>
  <si>
    <t>Strategy GTM!24</t>
  </si>
  <si>
    <t>Immature capability for channel strategy across direct sales, partners, ecommerce, marketplaces, distributors and digital channels may lead to weak crisis positioning, poor prioritization of segments, revenue leakage and inability to adapt the offering during Demand shock; Financial / liquidity shock; Reputation crisis.</t>
  </si>
  <si>
    <t>Low maturity, weak ownership, incomplete evidence, insufficient testing and poor integration with crisis-management routines for channel strategy across direct sales, partners, ecommerce, marketplaces, distributors and digital channels.</t>
  </si>
  <si>
    <t>Severe risk: channel strategy across direct sales, partners, ecommerce, marketplaces, distributors and digital channels is not reliably controlled. During Demand shock; Financial / liquidity shock; Reputation crisis, the organization may face weak crisis positioning, poor prioritization of segments, revenue leakage and inability to adapt the offering with limited visibility or accountability.</t>
  </si>
  <si>
    <t>High risk: channel strategy across direct sales, partners, ecommerce, marketplaces, distributors and digital channels depends on informal practices or individual knowledge. Disruption may expose weak crisis positioning, poor prioritization of segments, revenue leakage and inability to adapt the offering and slow recovery.</t>
  </si>
  <si>
    <t>Elevated risk: channel strategy across direct sales, partners, ecommerce, marketplaces, distributors and digital channels is partially controlled, but coverage, evidence or testing is inconsistent. Crisis response may be fragmented.</t>
  </si>
  <si>
    <t>Moderate risk: channel strategy across direct sales, partners, ecommerce, marketplaces, distributors and digital channels is documented and owned, but measurement, stress testing and integration with dependent processes need strengthening.</t>
  </si>
  <si>
    <t>Residual risk: channel strategy across direct sales, partners, ecommerce, marketplaces, distributors and digital channels is measured and reviewed, but monitoring, automation or scenario testing should be improved to prevent maturity drift.</t>
  </si>
  <si>
    <t>Low residual risk: channel strategy across direct sales, partners, ecommerce, marketplaces, distributors and digital channels is mature and crisis-tested. Maintain monitoring, evidence, ownership and periodic stress testing.</t>
  </si>
  <si>
    <t>Create an immediate risk owner, minimum control baseline and fallback procedure for channel strategy across direct sales, partners, ecommerce, marketplaces, distributors and digital channels. Add it to the crisis risk register and collect first evidence.</t>
  </si>
  <si>
    <t>Document channel strategy across direct sales, partners, ecommerce, marketplaces, distributors and digital channels, assign RACI, define minimum controls and KPIs, and validate coverage across key sites, teams or systems.</t>
  </si>
  <si>
    <t>Standardize channel strategy across direct sales, partners, ecommerce, marketplaces, distributors and digital channels, close coverage gaps, train accountable roles and connect controls to the relevant crisis scenarios and continuity plans.</t>
  </si>
  <si>
    <t>Measure and test channel strategy across direct sales, partners, ecommerce, marketplaces, distributors and digital channels, run tabletop or operational stress tests, integrate it with dependent processes and update crisis playbooks.</t>
  </si>
  <si>
    <t>Sustain maturity for channel strategy across direct sales, partners, ecommerce, marketplaces, distributors and digital channels: keep evidence current, monitor drift, benchmark externally and refresh risk tests after organizational, system or market changes.</t>
  </si>
  <si>
    <t>Strategy GTM!25</t>
  </si>
  <si>
    <t>Immature capability for win/loss analysis feeding back into strategy, offering, pricing and messaging may lead to weak crisis positioning, poor prioritization of segments, revenue leakage and inability to adapt the offering during Demand shock; Financial / liquidity shock; Reputation crisis.</t>
  </si>
  <si>
    <t>Low maturity, weak ownership, incomplete evidence, insufficient testing and poor integration with crisis-management routines for win/loss analysis feeding back into strategy, offering, pricing and messaging.</t>
  </si>
  <si>
    <t>Severe risk: win/loss analysis feeding back into strategy, offering, pricing and messaging is not reliably controlled. During Demand shock; Financial / liquidity shock; Reputation crisis, the organization may face weak crisis positioning, poor prioritization of segments, revenue leakage and inability to adapt the offering with limited visibility or accountability.</t>
  </si>
  <si>
    <t>High risk: win/loss analysis feeding back into strategy, offering, pricing and messaging depends on informal practices or individual knowledge. Disruption may expose weak crisis positioning, poor prioritization of segments, revenue leakage and inability to adapt the offering and slow recovery.</t>
  </si>
  <si>
    <t>Elevated risk: win/loss analysis feeding back into strategy, offering, pricing and messaging is partially controlled, but coverage, evidence or testing is inconsistent. Crisis response may be fragmented.</t>
  </si>
  <si>
    <t>Moderate risk: win/loss analysis feeding back into strategy, offering, pricing and messaging is documented and owned, but measurement, stress testing and integration with dependent processes need strengthening.</t>
  </si>
  <si>
    <t>Residual risk: win/loss analysis feeding back into strategy, offering, pricing and messaging is measured and reviewed, but monitoring, automation or scenario testing should be improved to prevent maturity drift.</t>
  </si>
  <si>
    <t>Low residual risk: win/loss analysis feeding back into strategy, offering, pricing and messaging is mature and crisis-tested. Maintain monitoring, evidence, ownership and periodic stress testing.</t>
  </si>
  <si>
    <t>Create an immediate risk owner, minimum control baseline and fallback procedure for win/loss analysis feeding back into strategy, offering, pricing and messaging. Add it to the crisis risk register and collect first evidence.</t>
  </si>
  <si>
    <t>Document win/loss analysis feeding back into strategy, offering, pricing and messaging, assign RACI, define minimum controls and KPIs, and validate coverage across key sites, teams or systems.</t>
  </si>
  <si>
    <t>Standardize win/loss analysis feeding back into strategy, offering, pricing and messaging, close coverage gaps, train accountable roles and connect controls to the relevant crisis scenarios and continuity plans.</t>
  </si>
  <si>
    <t>Measure and test win/loss analysis feeding back into strategy, offering, pricing and messaging, run tabletop or operational stress tests, integrate it with dependent processes and update crisis playbooks.</t>
  </si>
  <si>
    <t>Sustain maturity for win/loss analysis feeding back into strategy, offering, pricing and messaging: keep evidence current, monitor drift, benchmark externally and refresh risk tests after organizational, system or market changes.</t>
  </si>
  <si>
    <t>Strategy GTM!26</t>
  </si>
  <si>
    <t>Immature capability for leading indicators for demand, churn, pricing pressure, conversion, sales velocity and customer health may lead to weak crisis positioning, poor prioritization of segments, revenue leakage and inability to adapt the offering during Demand shock; Financial / liquidity shock; Reputation crisis.</t>
  </si>
  <si>
    <t>Low maturity, weak ownership, incomplete evidence, insufficient testing and poor integration with crisis-management routines for leading indicators for demand, churn, pricing pressure, conversion, sales velocity and customer health.</t>
  </si>
  <si>
    <t>Severe risk: leading indicators for demand, churn, pricing pressure, conversion, sales velocity and customer health is not reliably controlled. During Demand shock; Financial / liquidity shock; Reputation crisis, the organization may face weak crisis positioning, poor prioritization of segments, revenue leakage and inability to adapt the offering with limited visibility or accountability.</t>
  </si>
  <si>
    <t>High risk: leading indicators for demand, churn, pricing pressure, conversion, sales velocity and customer health depends on informal practices or individual knowledge. Disruption may expose weak crisis positioning, poor prioritization of segments, revenue leakage and inability to adapt the offering and slow recovery.</t>
  </si>
  <si>
    <t>Elevated risk: leading indicators for demand, churn, pricing pressure, conversion, sales velocity and customer health is partially controlled, but coverage, evidence or testing is inconsistent. Crisis response may be fragmented.</t>
  </si>
  <si>
    <t>Moderate risk: leading indicators for demand, churn, pricing pressure, conversion, sales velocity and customer health is documented and owned, but measurement, stress testing and integration with dependent processes need strengthening.</t>
  </si>
  <si>
    <t>Residual risk: leading indicators for demand, churn, pricing pressure, conversion, sales velocity and customer health is measured and reviewed, but monitoring, automation or scenario testing should be improved to prevent maturity drift.</t>
  </si>
  <si>
    <t>Low residual risk: leading indicators for demand, churn, pricing pressure, conversion, sales velocity and customer health is mature and crisis-tested. Maintain monitoring, evidence, ownership and periodic stress testing.</t>
  </si>
  <si>
    <t>Create an immediate risk owner, minimum control baseline and fallback procedure for leading indicators for demand, churn, pricing pressure, conversion, sales velocity and customer health. Add it to the crisis risk register and collect first evidence.</t>
  </si>
  <si>
    <t>Document leading indicators for demand, churn, pricing pressure, conversion, sales velocity and customer health, assign RACI, define minimum controls and KPIs, and validate coverage across key sites, teams or systems.</t>
  </si>
  <si>
    <t>Standardize leading indicators for demand, churn, pricing pressure, conversion, sales velocity and customer health, close coverage gaps, train accountable roles and connect controls to the relevant crisis scenarios and continuity plans.</t>
  </si>
  <si>
    <t>Measure and test leading indicators for demand, churn, pricing pressure, conversion, sales velocity and customer health, run tabletop or operational stress tests, integrate it with dependent processes and update crisis playbooks.</t>
  </si>
  <si>
    <t>Sustain maturity for leading indicators for demand, churn, pricing pressure, conversion, sales velocity and customer health: keep evidence current, monitor drift, benchmark externally and refresh risk tests after organizational, system or market changes.</t>
  </si>
  <si>
    <t>Strategy GTM!27</t>
  </si>
  <si>
    <t>External relationships and stakeholder resilience</t>
  </si>
  <si>
    <t>Immature capability for partner and alliance portfolio management with selection criteria, contracts, performance review and dependency control may lead to partner-driven revenue loss, channel conflicts and unmanaged third-party dependencies during Demand shock; Supplier/logistics disruption; Reputation crisis.</t>
  </si>
  <si>
    <t>Low maturity, weak ownership, incomplete evidence, insufficient testing and poor integration with crisis-management routines for partner and alliance portfolio management with selection criteria, contracts, performance review and dependency control.</t>
  </si>
  <si>
    <t>Severe risk: partner and alliance portfolio management with selection criteria, contracts, performance review and dependency control is not reliably controlled. During Demand shock; Supplier/logistics disruption; Reputation crisis, the organization may face partner-driven revenue loss, channel conflicts and unmanaged third-party dependencies with limited visibility or accountability.</t>
  </si>
  <si>
    <t>High risk: partner and alliance portfolio management with selection criteria, contracts, performance review and dependency control depends on informal practices or individual knowledge. Disruption may expose partner-driven revenue loss, channel conflicts and unmanaged third-party dependencies and slow recovery.</t>
  </si>
  <si>
    <t>Elevated risk: partner and alliance portfolio management with selection criteria, contracts, performance review and dependency control is partially controlled, but coverage, evidence or testing is inconsistent. Crisis response may be fragmented.</t>
  </si>
  <si>
    <t>Moderate risk: partner and alliance portfolio management with selection criteria, contracts, performance review and dependency control is documented and owned, but measurement, stress testing and integration with dependent processes need strengthening.</t>
  </si>
  <si>
    <t>Residual risk: partner and alliance portfolio management with selection criteria, contracts, performance review and dependency control is measured and reviewed, but monitoring, automation or scenario testing should be improved to prevent maturity drift.</t>
  </si>
  <si>
    <t>Low residual risk: partner and alliance portfolio management with selection criteria, contracts, performance review and dependency control is mature and crisis-tested. Maintain monitoring, evidence, ownership and periodic stress testing.</t>
  </si>
  <si>
    <t>Create an immediate risk owner, minimum control baseline and fallback procedure for partner and alliance portfolio management with selection criteria, contracts, performance review and dependency control. Add it to the crisis risk register and collect first evidence.</t>
  </si>
  <si>
    <t>Document partner and alliance portfolio management with selection criteria, contracts, performance review and dependency control, assign RACI, define minimum controls and KPIs, and validate coverage across key sites, teams or systems.</t>
  </si>
  <si>
    <t>Standardize partner and alliance portfolio management with selection criteria, contracts, performance review and dependency control, close coverage gaps, train accountable roles and connect controls to the relevant crisis scenarios and continuity plans.</t>
  </si>
  <si>
    <t>Measure and test partner and alliance portfolio management with selection criteria, contracts, performance review and dependency control, run tabletop or operational stress tests, integrate it with dependent processes and update crisis playbooks.</t>
  </si>
  <si>
    <t>Sustain maturity for partner and alliance portfolio management with selection criteria, contracts, performance review and dependency control: keep evidence current, monitor drift, benchmark externally and refresh risk tests after organizational, system or market changes.</t>
  </si>
  <si>
    <t>Policy/SOP; owner/RACI; system report; dashboard; contracts; test records; incident history; interview evidence related to partner and alliance portfolio management with selection criteria, contracts, performance review and dependency control</t>
  </si>
  <si>
    <t>CEO / Head of Partnerships</t>
  </si>
  <si>
    <t>Strategy GTM!28</t>
  </si>
  <si>
    <t>Immature capability for government and regulator relations with named owners, engagement plan and crisis escalation contacts may lead to slow regulatory escalation, missed license or permit issues and weak institutional support during crisis during Regulatory/legal shock; War/security crisis.</t>
  </si>
  <si>
    <t>Low maturity, weak ownership, incomplete evidence, insufficient testing and poor integration with crisis-management routines for government and regulator relations with named owners, engagement plan and crisis escalation contacts.</t>
  </si>
  <si>
    <t>Severe risk: government and regulator relations with named owners, engagement plan and crisis escalation contacts is not reliably controlled. During Regulatory/legal shock; War/security crisis, the organization may face slow regulatory escalation, missed license or permit issues and weak institutional support during crisis with limited visibility or accountability.</t>
  </si>
  <si>
    <t>High risk: government and regulator relations with named owners, engagement plan and crisis escalation contacts depends on informal practices or individual knowledge. Disruption may expose slow regulatory escalation, missed license or permit issues and weak institutional support during crisis and slow recovery.</t>
  </si>
  <si>
    <t>Elevated risk: government and regulator relations with named owners, engagement plan and crisis escalation contacts is partially controlled, but coverage, evidence or testing is inconsistent. Crisis response may be fragmented.</t>
  </si>
  <si>
    <t>Moderate risk: government and regulator relations with named owners, engagement plan and crisis escalation contacts is documented and owned, but measurement, stress testing and integration with dependent processes need strengthening.</t>
  </si>
  <si>
    <t>Residual risk: government and regulator relations with named owners, engagement plan and crisis escalation contacts is measured and reviewed, but monitoring, automation or scenario testing should be improved to prevent maturity drift.</t>
  </si>
  <si>
    <t>Low residual risk: government and regulator relations with named owners, engagement plan and crisis escalation contacts is mature and crisis-tested. Maintain monitoring, evidence, ownership and periodic stress testing.</t>
  </si>
  <si>
    <t>Create an immediate risk owner, minimum control baseline and fallback procedure for government and regulator relations with named owners, engagement plan and crisis escalation contacts. Add it to the crisis risk register and collect first evidence.</t>
  </si>
  <si>
    <t>Document government and regulator relations with named owners, engagement plan and crisis escalation contacts, assign RACI, define minimum controls and KPIs, and validate coverage across key sites, teams or systems.</t>
  </si>
  <si>
    <t>Standardize government and regulator relations with named owners, engagement plan and crisis escalation contacts, close coverage gaps, train accountable roles and connect controls to the relevant crisis scenarios and continuity plans.</t>
  </si>
  <si>
    <t>Measure and test government and regulator relations with named owners, engagement plan and crisis escalation contacts, run tabletop or operational stress tests, integrate it with dependent processes and update crisis playbooks.</t>
  </si>
  <si>
    <t>Sustain maturity for government and regulator relations with named owners, engagement plan and crisis escalation contacts: keep evidence current, monitor drift, benchmark externally and refresh risk tests after organizational, system or market changes.</t>
  </si>
  <si>
    <t>Policy/SOP; owner/RACI; system report; dashboard; contracts; test records; incident history; interview evidence related to government and regulator relations with named owners, engagement plan and crisis escalation contacts</t>
  </si>
  <si>
    <t>Strategy GTM!29</t>
  </si>
  <si>
    <t>Immature capability for owner, investor and lender communication discipline including bad-news protocols and crisis updates may lead to loss of funding confidence, covenant surprises and shareholder conflict during downturn during Financial/liquidity crisis; Reputation crisis.</t>
  </si>
  <si>
    <t>Low maturity, weak ownership, incomplete evidence, insufficient testing and poor integration with crisis-management routines for owner, investor and lender communication discipline including bad-news protocols and crisis updates.</t>
  </si>
  <si>
    <t>Severe risk: owner, investor and lender communication discipline including bad-news protocols and crisis updates is not reliably controlled. During Financial/liquidity crisis; Reputation crisis, the organization may face loss of funding confidence, covenant surprises and shareholder conflict during downturn with limited visibility or accountability.</t>
  </si>
  <si>
    <t>High risk: owner, investor and lender communication discipline including bad-news protocols and crisis updates depends on informal practices or individual knowledge. Disruption may expose loss of funding confidence, covenant surprises and shareholder conflict during downturn and slow recovery.</t>
  </si>
  <si>
    <t>Elevated risk: owner, investor and lender communication discipline including bad-news protocols and crisis updates is partially controlled, but coverage, evidence or testing is inconsistent. Crisis response may be fragmented.</t>
  </si>
  <si>
    <t>Moderate risk: owner, investor and lender communication discipline including bad-news protocols and crisis updates is documented and owned, but measurement, stress testing and integration with dependent processes need strengthening.</t>
  </si>
  <si>
    <t>Residual risk: owner, investor and lender communication discipline including bad-news protocols and crisis updates is measured and reviewed, but monitoring, automation or scenario testing should be improved to prevent maturity drift.</t>
  </si>
  <si>
    <t>Low residual risk: owner, investor and lender communication discipline including bad-news protocols and crisis updates is mature and crisis-tested. Maintain monitoring, evidence, ownership and periodic stress testing.</t>
  </si>
  <si>
    <t>Create an immediate risk owner, minimum control baseline and fallback procedure for owner, investor and lender communication discipline including bad-news protocols and crisis updates. Add it to the crisis risk register and collect first evidence.</t>
  </si>
  <si>
    <t>Document owner, investor and lender communication discipline including bad-news protocols and crisis updates, assign RACI, define minimum controls and KPIs, and validate coverage across key sites, teams or systems.</t>
  </si>
  <si>
    <t>Standardize owner, investor and lender communication discipline including bad-news protocols and crisis updates, close coverage gaps, train accountable roles and connect controls to the relevant crisis scenarios and continuity plans.</t>
  </si>
  <si>
    <t>Measure and test owner, investor and lender communication discipline including bad-news protocols and crisis updates, run tabletop or operational stress tests, integrate it with dependent processes and update crisis playbooks.</t>
  </si>
  <si>
    <t>Sustain maturity for owner, investor and lender communication discipline including bad-news protocols and crisis updates: keep evidence current, monitor drift, benchmark externally and refresh risk tests after organizational, system or market changes.</t>
  </si>
  <si>
    <t>Policy/SOP; owner/RACI; system report; dashboard; contracts; test records; incident history; interview evidence related to owner, investor and lender communication discipline including bad-news protocols and crisis updates</t>
  </si>
  <si>
    <t>CEO / CFO</t>
  </si>
  <si>
    <t>Strategy GTM!30</t>
  </si>
  <si>
    <t>Immature capability for formal crisis management structure with named roles, deputies, escalation paths and decision authority may lead to slow decisions, unclear escalation, duplicated actions and weak crisis command during All crisis types.</t>
  </si>
  <si>
    <t>Low maturity, weak ownership, incomplete evidence, insufficient testing and poor integration with crisis-management routines for formal crisis management structure with named roles, deputies, escalation paths and decision authority.</t>
  </si>
  <si>
    <t>Severe risk: formal crisis management structure with named roles, deputies, escalation paths and decision authority is not reliably controlled. During All crisis types, the organization may face slow decisions, unclear escalation, duplicated actions and weak crisis command with limited visibility or accountability.</t>
  </si>
  <si>
    <t>High risk: formal crisis management structure with named roles, deputies, escalation paths and decision authority depends on informal practices or individual knowledge. Disruption may expose slow decisions, unclear escalation, duplicated actions and weak crisis command and slow recovery.</t>
  </si>
  <si>
    <t>Elevated risk: formal crisis management structure with named roles, deputies, escalation paths and decision authority is partially controlled, but coverage, evidence or testing is inconsistent. Crisis response may be fragmented.</t>
  </si>
  <si>
    <t>Moderate risk: formal crisis management structure with named roles, deputies, escalation paths and decision authority is documented and owned, but measurement, stress testing and integration with dependent processes need strengthening.</t>
  </si>
  <si>
    <t>Residual risk: formal crisis management structure with named roles, deputies, escalation paths and decision authority is measured and reviewed, but monitoring, automation or scenario testing should be improved to prevent maturity drift.</t>
  </si>
  <si>
    <t>Low residual risk: formal crisis management structure with named roles, deputies, escalation paths and decision authority is mature and crisis-tested. Maintain monitoring, evidence, ownership and periodic stress testing.</t>
  </si>
  <si>
    <t>Create an immediate risk owner, minimum control baseline and fallback procedure for formal crisis management structure with named roles, deputies, escalation paths and decision authority. Add it to the crisis risk register and collect first evidence.</t>
  </si>
  <si>
    <t>Document formal crisis management structure with named roles, deputies, escalation paths and decision authority, assign RACI, define minimum controls and KPIs, and validate coverage across key sites, teams or systems.</t>
  </si>
  <si>
    <t>Standardize formal crisis management structure with named roles, deputies, escalation paths and decision authority, close coverage gaps, train accountable roles and connect controls to the relevant crisis scenarios and continuity plans.</t>
  </si>
  <si>
    <t>Measure and test formal crisis management structure with named roles, deputies, escalation paths and decision authority, run tabletop or operational stress tests, integrate it with dependent processes and update crisis playbooks.</t>
  </si>
  <si>
    <t>Sustain maturity for formal crisis management structure with named roles, deputies, escalation paths and decision authority: keep evidence current, monitor drift, benchmark externally and refresh risk tests after organizational, system or market changes.</t>
  </si>
  <si>
    <t>Governance Crisis!5</t>
  </si>
  <si>
    <t>Immature capability for executive crisis team trained for cross-functional crisis response may lead to slow decisions, unclear escalation, duplicated actions and weak crisis command during All crisis types.</t>
  </si>
  <si>
    <t>Low maturity, weak ownership, incomplete evidence, insufficient testing and poor integration with crisis-management routines for executive crisis team trained for cross-functional crisis response.</t>
  </si>
  <si>
    <t>Severe risk: executive crisis team trained for cross-functional crisis response is not reliably controlled. During All crisis types, the organization may face slow decisions, unclear escalation, duplicated actions and weak crisis command with limited visibility or accountability.</t>
  </si>
  <si>
    <t>High risk: executive crisis team trained for cross-functional crisis response depends on informal practices or individual knowledge. Disruption may expose slow decisions, unclear escalation, duplicated actions and weak crisis command and slow recovery.</t>
  </si>
  <si>
    <t>Elevated risk: executive crisis team trained for cross-functional crisis response is partially controlled, but coverage, evidence or testing is inconsistent. Crisis response may be fragmented.</t>
  </si>
  <si>
    <t>Moderate risk: executive crisis team trained for cross-functional crisis response is documented and owned, but measurement, stress testing and integration with dependent processes need strengthening.</t>
  </si>
  <si>
    <t>Residual risk: executive crisis team trained for cross-functional crisis response is measured and reviewed, but monitoring, automation or scenario testing should be improved to prevent maturity drift.</t>
  </si>
  <si>
    <t>Low residual risk: executive crisis team trained for cross-functional crisis response is mature and crisis-tested. Maintain monitoring, evidence, ownership and periodic stress testing.</t>
  </si>
  <si>
    <t>Create an immediate risk owner, minimum control baseline and fallback procedure for executive crisis team trained for cross-functional crisis response. Add it to the crisis risk register and collect first evidence.</t>
  </si>
  <si>
    <t>Document executive crisis team trained for cross-functional crisis response, assign RACI, define minimum controls and KPIs, and validate coverage across key sites, teams or systems.</t>
  </si>
  <si>
    <t>Standardize executive crisis team trained for cross-functional crisis response, close coverage gaps, train accountable roles and connect controls to the relevant crisis scenarios and continuity plans.</t>
  </si>
  <si>
    <t>Measure and test executive crisis team trained for cross-functional crisis response, run tabletop or operational stress tests, integrate it with dependent processes and update crisis playbooks.</t>
  </si>
  <si>
    <t>Sustain maturity for executive crisis team trained for cross-functional crisis response: keep evidence current, monitor drift, benchmark externally and refresh risk tests after organizational, system or market changes.</t>
  </si>
  <si>
    <t>Governance Crisis!6</t>
  </si>
  <si>
    <t>Immature capability for clear crisis decision rights for finance, people, operations, IT, legal, safety and communications may lead to slow decisions, unclear escalation, duplicated actions and weak crisis command during All crisis types.</t>
  </si>
  <si>
    <t>Low maturity, weak ownership, incomplete evidence, insufficient testing and poor integration with crisis-management routines for clear crisis decision rights for finance, people, operations, IT, legal, safety and communications.</t>
  </si>
  <si>
    <t>Severe risk: clear crisis decision rights for finance, people, operations, IT, legal, safety and communications is not reliably controlled. During All crisis types, the organization may face slow decisions, unclear escalation, duplicated actions and weak crisis command with limited visibility or accountability.</t>
  </si>
  <si>
    <t>High risk: clear crisis decision rights for finance, people, operations, IT, legal, safety and communications depends on informal practices or individual knowledge. Disruption may expose slow decisions, unclear escalation, duplicated actions and weak crisis command and slow recovery.</t>
  </si>
  <si>
    <t>Elevated risk: clear crisis decision rights for finance, people, operations, IT, legal, safety and communications is partially controlled, but coverage, evidence or testing is inconsistent. Crisis response may be fragmented.</t>
  </si>
  <si>
    <t>Moderate risk: clear crisis decision rights for finance, people, operations, IT, legal, safety and communications is documented and owned, but measurement, stress testing and integration with dependent processes need strengthening.</t>
  </si>
  <si>
    <t>Residual risk: clear crisis decision rights for finance, people, operations, IT, legal, safety and communications is measured and reviewed, but monitoring, automation or scenario testing should be improved to prevent maturity drift.</t>
  </si>
  <si>
    <t>Low residual risk: clear crisis decision rights for finance, people, operations, IT, legal, safety and communications is mature and crisis-tested. Maintain monitoring, evidence, ownership and periodic stress testing.</t>
  </si>
  <si>
    <t>Create an immediate risk owner, minimum control baseline and fallback procedure for clear crisis decision rights for finance, people, operations, IT, legal, safety and communications. Add it to the crisis risk register and collect first evidence.</t>
  </si>
  <si>
    <t>Document clear crisis decision rights for finance, people, operations, IT, legal, safety and communications, assign RACI, define minimum controls and KPIs, and validate coverage across key sites, teams or systems.</t>
  </si>
  <si>
    <t>Standardize clear crisis decision rights for finance, people, operations, IT, legal, safety and communications, close coverage gaps, train accountable roles and connect controls to the relevant crisis scenarios and continuity plans.</t>
  </si>
  <si>
    <t>Measure and test clear crisis decision rights for finance, people, operations, IT, legal, safety and communications, run tabletop or operational stress tests, integrate it with dependent processes and update crisis playbooks.</t>
  </si>
  <si>
    <t>Sustain maturity for clear crisis decision rights for finance, people, operations, IT, legal, safety and communications: keep evidence current, monitor drift, benchmark externally and refresh risk tests after organizational, system or market changes.</t>
  </si>
  <si>
    <t>Governance Crisis!7</t>
  </si>
  <si>
    <t>Immature capability for crisis cadence for situation reports, decisions, action owners, deadlines and follow-up may lead to slow decisions, unclear escalation, duplicated actions and weak crisis command during All crisis types.</t>
  </si>
  <si>
    <t>Low maturity, weak ownership, incomplete evidence, insufficient testing and poor integration with crisis-management routines for crisis cadence for situation reports, decisions, action owners, deadlines and follow-up.</t>
  </si>
  <si>
    <t>Severe risk: crisis cadence for situation reports, decisions, action owners, deadlines and follow-up is not reliably controlled. During All crisis types, the organization may face slow decisions, unclear escalation, duplicated actions and weak crisis command with limited visibility or accountability.</t>
  </si>
  <si>
    <t>High risk: crisis cadence for situation reports, decisions, action owners, deadlines and follow-up depends on informal practices or individual knowledge. Disruption may expose slow decisions, unclear escalation, duplicated actions and weak crisis command and slow recovery.</t>
  </si>
  <si>
    <t>Elevated risk: crisis cadence for situation reports, decisions, action owners, deadlines and follow-up is partially controlled, but coverage, evidence or testing is inconsistent. Crisis response may be fragmented.</t>
  </si>
  <si>
    <t>Moderate risk: crisis cadence for situation reports, decisions, action owners, deadlines and follow-up is documented and owned, but measurement, stress testing and integration with dependent processes need strengthening.</t>
  </si>
  <si>
    <t>Residual risk: crisis cadence for situation reports, decisions, action owners, deadlines and follow-up is measured and reviewed, but monitoring, automation or scenario testing should be improved to prevent maturity drift.</t>
  </si>
  <si>
    <t>Low residual risk: crisis cadence for situation reports, decisions, action owners, deadlines and follow-up is mature and crisis-tested. Maintain monitoring, evidence, ownership and periodic stress testing.</t>
  </si>
  <si>
    <t>Create an immediate risk owner, minimum control baseline and fallback procedure for crisis cadence for situation reports, decisions, action owners, deadlines and follow-up. Add it to the crisis risk register and collect first evidence.</t>
  </si>
  <si>
    <t>Document crisis cadence for situation reports, decisions, action owners, deadlines and follow-up, assign RACI, define minimum controls and KPIs, and validate coverage across key sites, teams or systems.</t>
  </si>
  <si>
    <t>Standardize crisis cadence for situation reports, decisions, action owners, deadlines and follow-up, close coverage gaps, train accountable roles and connect controls to the relevant crisis scenarios and continuity plans.</t>
  </si>
  <si>
    <t>Measure and test crisis cadence for situation reports, decisions, action owners, deadlines and follow-up, run tabletop or operational stress tests, integrate it with dependent processes and update crisis playbooks.</t>
  </si>
  <si>
    <t>Sustain maturity for crisis cadence for situation reports, decisions, action owners, deadlines and follow-up: keep evidence current, monitor drift, benchmark externally and refresh risk tests after organizational, system or market changes.</t>
  </si>
  <si>
    <t>Governance Crisis!8</t>
  </si>
  <si>
    <t>Immature capability for board or owner-level oversight of resilience, continuity and enterprise risk may lead to slow decisions, unclear escalation, duplicated actions and weak crisis command during All crisis types.</t>
  </si>
  <si>
    <t>Low maturity, weak ownership, incomplete evidence, insufficient testing and poor integration with crisis-management routines for board or owner-level oversight of resilience, continuity and enterprise risk.</t>
  </si>
  <si>
    <t>Severe risk: board or owner-level oversight of resilience, continuity and enterprise risk is not reliably controlled. During All crisis types, the organization may face slow decisions, unclear escalation, duplicated actions and weak crisis command with limited visibility or accountability.</t>
  </si>
  <si>
    <t>High risk: board or owner-level oversight of resilience, continuity and enterprise risk depends on informal practices or individual knowledge. Disruption may expose slow decisions, unclear escalation, duplicated actions and weak crisis command and slow recovery.</t>
  </si>
  <si>
    <t>Elevated risk: board or owner-level oversight of resilience, continuity and enterprise risk is partially controlled, but coverage, evidence or testing is inconsistent. Crisis response may be fragmented.</t>
  </si>
  <si>
    <t>Moderate risk: board or owner-level oversight of resilience, continuity and enterprise risk is documented and owned, but measurement, stress testing and integration with dependent processes need strengthening.</t>
  </si>
  <si>
    <t>Residual risk: board or owner-level oversight of resilience, continuity and enterprise risk is measured and reviewed, but monitoring, automation or scenario testing should be improved to prevent maturity drift.</t>
  </si>
  <si>
    <t>Low residual risk: board or owner-level oversight of resilience, continuity and enterprise risk is mature and crisis-tested. Maintain monitoring, evidence, ownership and periodic stress testing.</t>
  </si>
  <si>
    <t>Create an immediate risk owner, minimum control baseline and fallback procedure for board or owner-level oversight of resilience, continuity and enterprise risk. Add it to the crisis risk register and collect first evidence.</t>
  </si>
  <si>
    <t>Document board or owner-level oversight of resilience, continuity and enterprise risk, assign RACI, define minimum controls and KPIs, and validate coverage across key sites, teams or systems.</t>
  </si>
  <si>
    <t>Standardize board or owner-level oversight of resilience, continuity and enterprise risk, close coverage gaps, train accountable roles and connect controls to the relevant crisis scenarios and continuity plans.</t>
  </si>
  <si>
    <t>Measure and test board or owner-level oversight of resilience, continuity and enterprise risk, run tabletop or operational stress tests, integrate it with dependent processes and update crisis playbooks.</t>
  </si>
  <si>
    <t>Sustain maturity for board or owner-level oversight of resilience, continuity and enterprise risk: keep evidence current, monitor drift, benchmark externally and refresh risk tests after organizational, system or market changes.</t>
  </si>
  <si>
    <t>Governance Crisis!9</t>
  </si>
  <si>
    <t>Immature capability for emergency spending authority and budget release rules may lead to slow decisions, unclear escalation, duplicated actions and weak crisis command during All crisis types.</t>
  </si>
  <si>
    <t>Low maturity, weak ownership, incomplete evidence, insufficient testing and poor integration with crisis-management routines for emergency spending authority and budget release rules.</t>
  </si>
  <si>
    <t>Severe risk: emergency spending authority and budget release rules is not reliably controlled. During All crisis types, the organization may face slow decisions, unclear escalation, duplicated actions and weak crisis command with limited visibility or accountability.</t>
  </si>
  <si>
    <t>High risk: emergency spending authority and budget release rules depends on informal practices or individual knowledge. Disruption may expose slow decisions, unclear escalation, duplicated actions and weak crisis command and slow recovery.</t>
  </si>
  <si>
    <t>Elevated risk: emergency spending authority and budget release rules is partially controlled, but coverage, evidence or testing is inconsistent. Crisis response may be fragmented.</t>
  </si>
  <si>
    <t>Moderate risk: emergency spending authority and budget release rules is documented and owned, but measurement, stress testing and integration with dependent processes need strengthening.</t>
  </si>
  <si>
    <t>Residual risk: emergency spending authority and budget release rules is measured and reviewed, but monitoring, automation or scenario testing should be improved to prevent maturity drift.</t>
  </si>
  <si>
    <t>Low residual risk: emergency spending authority and budget release rules is mature and crisis-tested. Maintain monitoring, evidence, ownership and periodic stress testing.</t>
  </si>
  <si>
    <t>Create an immediate risk owner, minimum control baseline and fallback procedure for emergency spending authority and budget release rules. Add it to the crisis risk register and collect first evidence.</t>
  </si>
  <si>
    <t>Document emergency spending authority and budget release rules, assign RACI, define minimum controls and KPIs, and validate coverage across key sites, teams or systems.</t>
  </si>
  <si>
    <t>Standardize emergency spending authority and budget release rules, close coverage gaps, train accountable roles and connect controls to the relevant crisis scenarios and continuity plans.</t>
  </si>
  <si>
    <t>Measure and test emergency spending authority and budget release rules, run tabletop or operational stress tests, integrate it with dependent processes and update crisis playbooks.</t>
  </si>
  <si>
    <t>Sustain maturity for emergency spending authority and budget release rules: keep evidence current, monitor drift, benchmark externally and refresh risk tests after organizational, system or market changes.</t>
  </si>
  <si>
    <t>Governance Crisis!10</t>
  </si>
  <si>
    <t>Immature capability for enterprise risk register with owners, likelihood, impact, controls, triggers and residual risk may lead to slow decisions, unclear escalation, duplicated actions and weak crisis command during All crisis types.</t>
  </si>
  <si>
    <t>Low maturity, weak ownership, incomplete evidence, insufficient testing and poor integration with crisis-management routines for enterprise risk register with owners, likelihood, impact, controls, triggers and residual risk.</t>
  </si>
  <si>
    <t>Severe risk: enterprise risk register with owners, likelihood, impact, controls, triggers and residual risk is not reliably controlled. During All crisis types, the organization may face slow decisions, unclear escalation, duplicated actions and weak crisis command with limited visibility or accountability.</t>
  </si>
  <si>
    <t>High risk: enterprise risk register with owners, likelihood, impact, controls, triggers and residual risk depends on informal practices or individual knowledge. Disruption may expose slow decisions, unclear escalation, duplicated actions and weak crisis command and slow recovery.</t>
  </si>
  <si>
    <t>Elevated risk: enterprise risk register with owners, likelihood, impact, controls, triggers and residual risk is partially controlled, but coverage, evidence or testing is inconsistent. Crisis response may be fragmented.</t>
  </si>
  <si>
    <t>Moderate risk: enterprise risk register with owners, likelihood, impact, controls, triggers and residual risk is documented and owned, but measurement, stress testing and integration with dependent processes need strengthening.</t>
  </si>
  <si>
    <t>Residual risk: enterprise risk register with owners, likelihood, impact, controls, triggers and residual risk is measured and reviewed, but monitoring, automation or scenario testing should be improved to prevent maturity drift.</t>
  </si>
  <si>
    <t>Low residual risk: enterprise risk register with owners, likelihood, impact, controls, triggers and residual risk is mature and crisis-tested. Maintain monitoring, evidence, ownership and periodic stress testing.</t>
  </si>
  <si>
    <t>Create an immediate risk owner, minimum control baseline and fallback procedure for enterprise risk register with owners, likelihood, impact, controls, triggers and residual risk. Add it to the crisis risk register and collect first evidence.</t>
  </si>
  <si>
    <t>Document enterprise risk register with owners, likelihood, impact, controls, triggers and residual risk, assign RACI, define minimum controls and KPIs, and validate coverage across key sites, teams or systems.</t>
  </si>
  <si>
    <t>Standardize enterprise risk register with owners, likelihood, impact, controls, triggers and residual risk, close coverage gaps, train accountable roles and connect controls to the relevant crisis scenarios and continuity plans.</t>
  </si>
  <si>
    <t>Measure and test enterprise risk register with owners, likelihood, impact, controls, triggers and residual risk, run tabletop or operational stress tests, integrate it with dependent processes and update crisis playbooks.</t>
  </si>
  <si>
    <t>Sustain maturity for enterprise risk register with owners, likelihood, impact, controls, triggers and residual risk: keep evidence current, monitor drift, benchmark externally and refresh risk tests after organizational, system or market changes.</t>
  </si>
  <si>
    <t>Governance Crisis!11</t>
  </si>
  <si>
    <t>Immature capability for risk appetite for safety, cash, cyber, delivery, compliance, reputation and operational continuity may lead to slow decisions, unclear escalation, duplicated actions and weak crisis command during All crisis types.</t>
  </si>
  <si>
    <t>Low maturity, weak ownership, incomplete evidence, insufficient testing and poor integration with crisis-management routines for risk appetite for safety, cash, cyber, delivery, compliance, reputation and operational continuity.</t>
  </si>
  <si>
    <t>Severe risk: risk appetite for safety, cash, cyber, delivery, compliance, reputation and operational continuity is not reliably controlled. During All crisis types, the organization may face slow decisions, unclear escalation, duplicated actions and weak crisis command with limited visibility or accountability.</t>
  </si>
  <si>
    <t>High risk: risk appetite for safety, cash, cyber, delivery, compliance, reputation and operational continuity depends on informal practices or individual knowledge. Disruption may expose slow decisions, unclear escalation, duplicated actions and weak crisis command and slow recovery.</t>
  </si>
  <si>
    <t>Elevated risk: risk appetite for safety, cash, cyber, delivery, compliance, reputation and operational continuity is partially controlled, but coverage, evidence or testing is inconsistent. Crisis response may be fragmented.</t>
  </si>
  <si>
    <t>Moderate risk: risk appetite for safety, cash, cyber, delivery, compliance, reputation and operational continuity is documented and owned, but measurement, stress testing and integration with dependent processes need strengthening.</t>
  </si>
  <si>
    <t>Residual risk: risk appetite for safety, cash, cyber, delivery, compliance, reputation and operational continuity is measured and reviewed, but monitoring, automation or scenario testing should be improved to prevent maturity drift.</t>
  </si>
  <si>
    <t>Low residual risk: risk appetite for safety, cash, cyber, delivery, compliance, reputation and operational continuity is mature and crisis-tested. Maintain monitoring, evidence, ownership and periodic stress testing.</t>
  </si>
  <si>
    <t>Create an immediate risk owner, minimum control baseline and fallback procedure for risk appetite for safety, cash, cyber, delivery, compliance, reputation and operational continuity. Add it to the crisis risk register and collect first evidence.</t>
  </si>
  <si>
    <t>Document risk appetite for safety, cash, cyber, delivery, compliance, reputation and operational continuity, assign RACI, define minimum controls and KPIs, and validate coverage across key sites, teams or systems.</t>
  </si>
  <si>
    <t>Standardize risk appetite for safety, cash, cyber, delivery, compliance, reputation and operational continuity, close coverage gaps, train accountable roles and connect controls to the relevant crisis scenarios and continuity plans.</t>
  </si>
  <si>
    <t>Measure and test risk appetite for safety, cash, cyber, delivery, compliance, reputation and operational continuity, run tabletop or operational stress tests, integrate it with dependent processes and update crisis playbooks.</t>
  </si>
  <si>
    <t>Sustain maturity for risk appetite for safety, cash, cyber, delivery, compliance, reputation and operational continuity: keep evidence current, monitor drift, benchmark externally and refresh risk tests after organizational, system or market changes.</t>
  </si>
  <si>
    <t>Governance Crisis!12</t>
  </si>
  <si>
    <t>Immature capability for early warning indicators for major crisis types and objective crisis activation triggers may lead to slow decisions, unclear escalation, duplicated actions and weak crisis command during All crisis types.</t>
  </si>
  <si>
    <t>Low maturity, weak ownership, incomplete evidence, insufficient testing and poor integration with crisis-management routines for early warning indicators for major crisis types and objective crisis activation triggers.</t>
  </si>
  <si>
    <t>Severe risk: early warning indicators for major crisis types and objective crisis activation triggers is not reliably controlled. During All crisis types, the organization may face slow decisions, unclear escalation, duplicated actions and weak crisis command with limited visibility or accountability.</t>
  </si>
  <si>
    <t>High risk: early warning indicators for major crisis types and objective crisis activation triggers depends on informal practices or individual knowledge. Disruption may expose slow decisions, unclear escalation, duplicated actions and weak crisis command and slow recovery.</t>
  </si>
  <si>
    <t>Elevated risk: early warning indicators for major crisis types and objective crisis activation triggers is partially controlled, but coverage, evidence or testing is inconsistent. Crisis response may be fragmented.</t>
  </si>
  <si>
    <t>Moderate risk: early warning indicators for major crisis types and objective crisis activation triggers is documented and owned, but measurement, stress testing and integration with dependent processes need strengthening.</t>
  </si>
  <si>
    <t>Residual risk: early warning indicators for major crisis types and objective crisis activation triggers is measured and reviewed, but monitoring, automation or scenario testing should be improved to prevent maturity drift.</t>
  </si>
  <si>
    <t>Low residual risk: early warning indicators for major crisis types and objective crisis activation triggers is mature and crisis-tested. Maintain monitoring, evidence, ownership and periodic stress testing.</t>
  </si>
  <si>
    <t>Create an immediate risk owner, minimum control baseline and fallback procedure for early warning indicators for major crisis types and objective crisis activation triggers. Add it to the crisis risk register and collect first evidence.</t>
  </si>
  <si>
    <t>Document early warning indicators for major crisis types and objective crisis activation triggers, assign RACI, define minimum controls and KPIs, and validate coverage across key sites, teams or systems.</t>
  </si>
  <si>
    <t>Standardize early warning indicators for major crisis types and objective crisis activation triggers, close coverage gaps, train accountable roles and connect controls to the relevant crisis scenarios and continuity plans.</t>
  </si>
  <si>
    <t>Measure and test early warning indicators for major crisis types and objective crisis activation triggers, run tabletop or operational stress tests, integrate it with dependent processes and update crisis playbooks.</t>
  </si>
  <si>
    <t>Sustain maturity for early warning indicators for major crisis types and objective crisis activation triggers: keep evidence current, monitor drift, benchmark externally and refresh risk tests after organizational, system or market changes.</t>
  </si>
  <si>
    <t>Governance Crisis!13</t>
  </si>
  <si>
    <t>Immature capability for business impact analysis across functions, sites, systems, people and suppliers may lead to slow decisions, unclear escalation, duplicated actions and weak crisis command during All crisis types.</t>
  </si>
  <si>
    <t>Low maturity, weak ownership, incomplete evidence, insufficient testing and poor integration with crisis-management routines for business impact analysis across functions, sites, systems, people and suppliers.</t>
  </si>
  <si>
    <t>Severe risk: business impact analysis across functions, sites, systems, people and suppliers is not reliably controlled. During All crisis types, the organization may face slow decisions, unclear escalation, duplicated actions and weak crisis command with limited visibility or accountability.</t>
  </si>
  <si>
    <t>High risk: business impact analysis across functions, sites, systems, people and suppliers depends on informal practices or individual knowledge. Disruption may expose slow decisions, unclear escalation, duplicated actions and weak crisis command and slow recovery.</t>
  </si>
  <si>
    <t>Elevated risk: business impact analysis across functions, sites, systems, people and suppliers is partially controlled, but coverage, evidence or testing is inconsistent. Crisis response may be fragmented.</t>
  </si>
  <si>
    <t>Moderate risk: business impact analysis across functions, sites, systems, people and suppliers is documented and owned, but measurement, stress testing and integration with dependent processes need strengthening.</t>
  </si>
  <si>
    <t>Residual risk: business impact analysis across functions, sites, systems, people and suppliers is measured and reviewed, but monitoring, automation or scenario testing should be improved to prevent maturity drift.</t>
  </si>
  <si>
    <t>Low residual risk: business impact analysis across functions, sites, systems, people and suppliers is mature and crisis-tested. Maintain monitoring, evidence, ownership and periodic stress testing.</t>
  </si>
  <si>
    <t>Create an immediate risk owner, minimum control baseline and fallback procedure for business impact analysis across functions, sites, systems, people and suppliers. Add it to the crisis risk register and collect first evidence.</t>
  </si>
  <si>
    <t>Document business impact analysis across functions, sites, systems, people and suppliers, assign RACI, define minimum controls and KPIs, and validate coverage across key sites, teams or systems.</t>
  </si>
  <si>
    <t>Standardize business impact analysis across functions, sites, systems, people and suppliers, close coverage gaps, train accountable roles and connect controls to the relevant crisis scenarios and continuity plans.</t>
  </si>
  <si>
    <t>Measure and test business impact analysis across functions, sites, systems, people and suppliers, run tabletop or operational stress tests, integrate it with dependent processes and update crisis playbooks.</t>
  </si>
  <si>
    <t>Sustain maturity for business impact analysis across functions, sites, systems, people and suppliers: keep evidence current, monitor drift, benchmark externally and refresh risk tests after organizational, system or market changes.</t>
  </si>
  <si>
    <t>Governance Crisis!14</t>
  </si>
  <si>
    <t>Immature capability for business continuity plans covering critical processes, people, systems, sites, suppliers and communication may lead to slow decisions, unclear escalation, duplicated actions and weak crisis command during All crisis types.</t>
  </si>
  <si>
    <t>Low maturity, weak ownership, incomplete evidence, insufficient testing and poor integration with crisis-management routines for business continuity plans covering critical processes, people, systems, sites, suppliers and communication.</t>
  </si>
  <si>
    <t>Severe risk: business continuity plans covering critical processes, people, systems, sites, suppliers and communication is not reliably controlled. During All crisis types, the organization may face slow decisions, unclear escalation, duplicated actions and weak crisis command with limited visibility or accountability.</t>
  </si>
  <si>
    <t>High risk: business continuity plans covering critical processes, people, systems, sites, suppliers and communication depends on informal practices or individual knowledge. Disruption may expose slow decisions, unclear escalation, duplicated actions and weak crisis command and slow recovery.</t>
  </si>
  <si>
    <t>Elevated risk: business continuity plans covering critical processes, people, systems, sites, suppliers and communication is partially controlled, but coverage, evidence or testing is inconsistent. Crisis response may be fragmented.</t>
  </si>
  <si>
    <t>Moderate risk: business continuity plans covering critical processes, people, systems, sites, suppliers and communication is documented and owned, but measurement, stress testing and integration with dependent processes need strengthening.</t>
  </si>
  <si>
    <t>Residual risk: business continuity plans covering critical processes, people, systems, sites, suppliers and communication is measured and reviewed, but monitoring, automation or scenario testing should be improved to prevent maturity drift.</t>
  </si>
  <si>
    <t>Low residual risk: business continuity plans covering critical processes, people, systems, sites, suppliers and communication is mature and crisis-tested. Maintain monitoring, evidence, ownership and periodic stress testing.</t>
  </si>
  <si>
    <t>Create an immediate risk owner, minimum control baseline and fallback procedure for business continuity plans covering critical processes, people, systems, sites, suppliers and communication. Add it to the crisis risk register and collect first evidence.</t>
  </si>
  <si>
    <t>Document business continuity plans covering critical processes, people, systems, sites, suppliers and communication, assign RACI, define minimum controls and KPIs, and validate coverage across key sites, teams or systems.</t>
  </si>
  <si>
    <t>Standardize business continuity plans covering critical processes, people, systems, sites, suppliers and communication, close coverage gaps, train accountable roles and connect controls to the relevant crisis scenarios and continuity plans.</t>
  </si>
  <si>
    <t>Measure and test business continuity plans covering critical processes, people, systems, sites, suppliers and communication, run tabletop or operational stress tests, integrate it with dependent processes and update crisis playbooks.</t>
  </si>
  <si>
    <t>Sustain maturity for business continuity plans covering critical processes, people, systems, sites, suppliers and communication: keep evidence current, monitor drift, benchmark externally and refresh risk tests after organizational, system or market changes.</t>
  </si>
  <si>
    <t>Governance Crisis!15</t>
  </si>
  <si>
    <t>Immature capability for scenario library covering cyberattack, war/security, site loss, supplier disruption, cloud outage, pandemic, demand shock and liquidity crisis may lead to slow decisions, unclear escalation, duplicated actions and weak crisis command during All crisis types.</t>
  </si>
  <si>
    <t>Low maturity, weak ownership, incomplete evidence, insufficient testing and poor integration with crisis-management routines for scenario library covering cyberattack, war/security, site loss, supplier disruption, cloud outage, pandemic, demand shock and liquidity crisis.</t>
  </si>
  <si>
    <t>Severe risk: scenario library covering cyberattack, war/security, site loss, supplier disruption, cloud outage, pandemic, demand shock and liquidity crisis is not reliably controlled. During All crisis types, the organization may face slow decisions, unclear escalation, duplicated actions and weak crisis command with limited visibility or accountability.</t>
  </si>
  <si>
    <t>High risk: scenario library covering cyberattack, war/security, site loss, supplier disruption, cloud outage, pandemic, demand shock and liquidity crisis depends on informal practices or individual knowledge. Disruption may expose slow decisions, unclear escalation, duplicated actions and weak crisis command and slow recovery.</t>
  </si>
  <si>
    <t>Elevated risk: scenario library covering cyberattack, war/security, site loss, supplier disruption, cloud outage, pandemic, demand shock and liquidity crisis is partially controlled, but coverage, evidence or testing is inconsistent. Crisis response may be fragmented.</t>
  </si>
  <si>
    <t>Moderate risk: scenario library covering cyberattack, war/security, site loss, supplier disruption, cloud outage, pandemic, demand shock and liquidity crisis is documented and owned, but measurement, stress testing and integration with dependent processes need strengthening.</t>
  </si>
  <si>
    <t>Residual risk: scenario library covering cyberattack, war/security, site loss, supplier disruption, cloud outage, pandemic, demand shock and liquidity crisis is measured and reviewed, but monitoring, automation or scenario testing should be improved to prevent maturity drift.</t>
  </si>
  <si>
    <t>Low residual risk: scenario library covering cyberattack, war/security, site loss, supplier disruption, cloud outage, pandemic, demand shock and liquidity crisis is mature and crisis-tested. Maintain monitoring, evidence, ownership and periodic stress testing.</t>
  </si>
  <si>
    <t>Create an immediate risk owner, minimum control baseline and fallback procedure for scenario library covering cyberattack, war/security, site loss, supplier disruption, cloud outage, pandemic, demand shock and liquidity crisis. Add it to the crisis risk register and collect first evidence.</t>
  </si>
  <si>
    <t>Document scenario library covering cyberattack, war/security, site loss, supplier disruption, cloud outage, pandemic, demand shock and liquidity crisis, assign RACI, define minimum controls and KPIs, and validate coverage across key sites, teams or systems.</t>
  </si>
  <si>
    <t>Standardize scenario library covering cyberattack, war/security, site loss, supplier disruption, cloud outage, pandemic, demand shock and liquidity crisis, close coverage gaps, train accountable roles and connect controls to the relevant crisis scenarios and continuity plans.</t>
  </si>
  <si>
    <t>Measure and test scenario library covering cyberattack, war/security, site loss, supplier disruption, cloud outage, pandemic, demand shock and liquidity crisis, run tabletop or operational stress tests, integrate it with dependent processes and update crisis playbooks.</t>
  </si>
  <si>
    <t>Sustain maturity for scenario library covering cyberattack, war/security, site loss, supplier disruption, cloud outage, pandemic, demand shock and liquidity crisis: keep evidence current, monitor drift, benchmark externally and refresh risk tests after organizational, system or market changes.</t>
  </si>
  <si>
    <t>Governance Crisis!16</t>
  </si>
  <si>
    <t>Immature capability for continuity testing through tabletop exercises, simulations and real incident reviews may lead to slow decisions, unclear escalation, duplicated actions and weak crisis command during All crisis types.</t>
  </si>
  <si>
    <t>Low maturity, weak ownership, incomplete evidence, insufficient testing and poor integration with crisis-management routines for continuity testing through tabletop exercises, simulations and real incident reviews.</t>
  </si>
  <si>
    <t>Severe risk: continuity testing through tabletop exercises, simulations and real incident reviews is not reliably controlled. During All crisis types, the organization may face slow decisions, unclear escalation, duplicated actions and weak crisis command with limited visibility or accountability.</t>
  </si>
  <si>
    <t>High risk: continuity testing through tabletop exercises, simulations and real incident reviews depends on informal practices or individual knowledge. Disruption may expose slow decisions, unclear escalation, duplicated actions and weak crisis command and slow recovery.</t>
  </si>
  <si>
    <t>Elevated risk: continuity testing through tabletop exercises, simulations and real incident reviews is partially controlled, but coverage, evidence or testing is inconsistent. Crisis response may be fragmented.</t>
  </si>
  <si>
    <t>Moderate risk: continuity testing through tabletop exercises, simulations and real incident reviews is documented and owned, but measurement, stress testing and integration with dependent processes need strengthening.</t>
  </si>
  <si>
    <t>Residual risk: continuity testing through tabletop exercises, simulations and real incident reviews is measured and reviewed, but monitoring, automation or scenario testing should be improved to prevent maturity drift.</t>
  </si>
  <si>
    <t>Low residual risk: continuity testing through tabletop exercises, simulations and real incident reviews is mature and crisis-tested. Maintain monitoring, evidence, ownership and periodic stress testing.</t>
  </si>
  <si>
    <t>Create an immediate risk owner, minimum control baseline and fallback procedure for continuity testing through tabletop exercises, simulations and real incident reviews. Add it to the crisis risk register and collect first evidence.</t>
  </si>
  <si>
    <t>Document continuity testing through tabletop exercises, simulations and real incident reviews, assign RACI, define minimum controls and KPIs, and validate coverage across key sites, teams or systems.</t>
  </si>
  <si>
    <t>Standardize continuity testing through tabletop exercises, simulations and real incident reviews, close coverage gaps, train accountable roles and connect controls to the relevant crisis scenarios and continuity plans.</t>
  </si>
  <si>
    <t>Measure and test continuity testing through tabletop exercises, simulations and real incident reviews, run tabletop or operational stress tests, integrate it with dependent processes and update crisis playbooks.</t>
  </si>
  <si>
    <t>Sustain maturity for continuity testing through tabletop exercises, simulations and real incident reviews: keep evidence current, monitor drift, benchmark externally and refresh risk tests after organizational, system or market changes.</t>
  </si>
  <si>
    <t>Governance Crisis!17</t>
  </si>
  <si>
    <t>Immature capability for common incident classification model for severity, impact, escalation and communication may lead to slow decisions, unclear escalation, duplicated actions and weak crisis command during All crisis types.</t>
  </si>
  <si>
    <t>Low maturity, weak ownership, incomplete evidence, insufficient testing and poor integration with crisis-management routines for common incident classification model for severity, impact, escalation and communication.</t>
  </si>
  <si>
    <t>Severe risk: common incident classification model for severity, impact, escalation and communication is not reliably controlled. During All crisis types, the organization may face slow decisions, unclear escalation, duplicated actions and weak crisis command with limited visibility or accountability.</t>
  </si>
  <si>
    <t>High risk: common incident classification model for severity, impact, escalation and communication depends on informal practices or individual knowledge. Disruption may expose slow decisions, unclear escalation, duplicated actions and weak crisis command and slow recovery.</t>
  </si>
  <si>
    <t>Elevated risk: common incident classification model for severity, impact, escalation and communication is partially controlled, but coverage, evidence or testing is inconsistent. Crisis response may be fragmented.</t>
  </si>
  <si>
    <t>Moderate risk: common incident classification model for severity, impact, escalation and communication is documented and owned, but measurement, stress testing and integration with dependent processes need strengthening.</t>
  </si>
  <si>
    <t>Residual risk: common incident classification model for severity, impact, escalation and communication is measured and reviewed, but monitoring, automation or scenario testing should be improved to prevent maturity drift.</t>
  </si>
  <si>
    <t>Low residual risk: common incident classification model for severity, impact, escalation and communication is mature and crisis-tested. Maintain monitoring, evidence, ownership and periodic stress testing.</t>
  </si>
  <si>
    <t>Create an immediate risk owner, minimum control baseline and fallback procedure for common incident classification model for severity, impact, escalation and communication. Add it to the crisis risk register and collect first evidence.</t>
  </si>
  <si>
    <t>Document common incident classification model for severity, impact, escalation and communication, assign RACI, define minimum controls and KPIs, and validate coverage across key sites, teams or systems.</t>
  </si>
  <si>
    <t>Standardize common incident classification model for severity, impact, escalation and communication, close coverage gaps, train accountable roles and connect controls to the relevant crisis scenarios and continuity plans.</t>
  </si>
  <si>
    <t>Measure and test common incident classification model for severity, impact, escalation and communication, run tabletop or operational stress tests, integrate it with dependent processes and update crisis playbooks.</t>
  </si>
  <si>
    <t>Sustain maturity for common incident classification model for severity, impact, escalation and communication: keep evidence current, monitor drift, benchmark externally and refresh risk tests after organizational, system or market changes.</t>
  </si>
  <si>
    <t>Governance Crisis!18</t>
  </si>
  <si>
    <t>Immature capability for post-incident review process that converts incidents into corrective and preventive actions may lead to slow decisions, unclear escalation, duplicated actions and weak crisis command during All crisis types.</t>
  </si>
  <si>
    <t>Low maturity, weak ownership, incomplete evidence, insufficient testing and poor integration with crisis-management routines for post-incident review process that converts incidents into corrective and preventive actions.</t>
  </si>
  <si>
    <t>Severe risk: post-incident review process that converts incidents into corrective and preventive actions is not reliably controlled. During All crisis types, the organization may face slow decisions, unclear escalation, duplicated actions and weak crisis command with limited visibility or accountability.</t>
  </si>
  <si>
    <t>High risk: post-incident review process that converts incidents into corrective and preventive actions depends on informal practices or individual knowledge. Disruption may expose slow decisions, unclear escalation, duplicated actions and weak crisis command and slow recovery.</t>
  </si>
  <si>
    <t>Elevated risk: post-incident review process that converts incidents into corrective and preventive actions is partially controlled, but coverage, evidence or testing is inconsistent. Crisis response may be fragmented.</t>
  </si>
  <si>
    <t>Moderate risk: post-incident review process that converts incidents into corrective and preventive actions is documented and owned, but measurement, stress testing and integration with dependent processes need strengthening.</t>
  </si>
  <si>
    <t>Residual risk: post-incident review process that converts incidents into corrective and preventive actions is measured and reviewed, but monitoring, automation or scenario testing should be improved to prevent maturity drift.</t>
  </si>
  <si>
    <t>Low residual risk: post-incident review process that converts incidents into corrective and preventive actions is mature and crisis-tested. Maintain monitoring, evidence, ownership and periodic stress testing.</t>
  </si>
  <si>
    <t>Create an immediate risk owner, minimum control baseline and fallback procedure for post-incident review process that converts incidents into corrective and preventive actions. Add it to the crisis risk register and collect first evidence.</t>
  </si>
  <si>
    <t>Document post-incident review process that converts incidents into corrective and preventive actions, assign RACI, define minimum controls and KPIs, and validate coverage across key sites, teams or systems.</t>
  </si>
  <si>
    <t>Standardize post-incident review process that converts incidents into corrective and preventive actions, close coverage gaps, train accountable roles and connect controls to the relevant crisis scenarios and continuity plans.</t>
  </si>
  <si>
    <t>Measure and test post-incident review process that converts incidents into corrective and preventive actions, run tabletop or operational stress tests, integrate it with dependent processes and update crisis playbooks.</t>
  </si>
  <si>
    <t>Sustain maturity for post-incident review process that converts incidents into corrective and preventive actions: keep evidence current, monitor drift, benchmark externally and refresh risk tests after organizational, system or market changes.</t>
  </si>
  <si>
    <t>Governance Crisis!19</t>
  </si>
  <si>
    <t>Immature capability for interdependency map linking functions, sites, systems, people, suppliers and customers may lead to slow decisions, unclear escalation, duplicated actions and weak crisis command during All crisis types.</t>
  </si>
  <si>
    <t>Low maturity, weak ownership, incomplete evidence, insufficient testing and poor integration with crisis-management routines for interdependency map linking functions, sites, systems, people, suppliers and customers.</t>
  </si>
  <si>
    <t>Severe risk: interdependency map linking functions, sites, systems, people, suppliers and customers is not reliably controlled. During All crisis types, the organization may face slow decisions, unclear escalation, duplicated actions and weak crisis command with limited visibility or accountability.</t>
  </si>
  <si>
    <t>High risk: interdependency map linking functions, sites, systems, people, suppliers and customers depends on informal practices or individual knowledge. Disruption may expose slow decisions, unclear escalation, duplicated actions and weak crisis command and slow recovery.</t>
  </si>
  <si>
    <t>Elevated risk: interdependency map linking functions, sites, systems, people, suppliers and customers is partially controlled, but coverage, evidence or testing is inconsistent. Crisis response may be fragmented.</t>
  </si>
  <si>
    <t>Moderate risk: interdependency map linking functions, sites, systems, people, suppliers and customers is documented and owned, but measurement, stress testing and integration with dependent processes need strengthening.</t>
  </si>
  <si>
    <t>Residual risk: interdependency map linking functions, sites, systems, people, suppliers and customers is measured and reviewed, but monitoring, automation or scenario testing should be improved to prevent maturity drift.</t>
  </si>
  <si>
    <t>Low residual risk: interdependency map linking functions, sites, systems, people, suppliers and customers is mature and crisis-tested. Maintain monitoring, evidence, ownership and periodic stress testing.</t>
  </si>
  <si>
    <t>Create an immediate risk owner, minimum control baseline and fallback procedure for interdependency map linking functions, sites, systems, people, suppliers and customers. Add it to the crisis risk register and collect first evidence.</t>
  </si>
  <si>
    <t>Document interdependency map linking functions, sites, systems, people, suppliers and customers, assign RACI, define minimum controls and KPIs, and validate coverage across key sites, teams or systems.</t>
  </si>
  <si>
    <t>Standardize interdependency map linking functions, sites, systems, people, suppliers and customers, close coverage gaps, train accountable roles and connect controls to the relevant crisis scenarios and continuity plans.</t>
  </si>
  <si>
    <t>Measure and test interdependency map linking functions, sites, systems, people, suppliers and customers, run tabletop or operational stress tests, integrate it with dependent processes and update crisis playbooks.</t>
  </si>
  <si>
    <t>Sustain maturity for interdependency map linking functions, sites, systems, people, suppliers and customers: keep evidence current, monitor drift, benchmark externally and refresh risk tests after organizational, system or market changes.</t>
  </si>
  <si>
    <t>Governance Crisis!20</t>
  </si>
  <si>
    <t>Immature capability for crisis communication protocol for employees, customers, suppliers, regulators, insurers and media may lead to slow decisions, unclear escalation, duplicated actions and weak crisis command during All crisis types.</t>
  </si>
  <si>
    <t>Low maturity, weak ownership, incomplete evidence, insufficient testing and poor integration with crisis-management routines for crisis communication protocol for employees, customers, suppliers, regulators, insurers and media.</t>
  </si>
  <si>
    <t>Severe risk: crisis communication protocol for employees, customers, suppliers, regulators, insurers and media is not reliably controlled. During All crisis types, the organization may face slow decisions, unclear escalation, duplicated actions and weak crisis command with limited visibility or accountability.</t>
  </si>
  <si>
    <t>High risk: crisis communication protocol for employees, customers, suppliers, regulators, insurers and media depends on informal practices or individual knowledge. Disruption may expose slow decisions, unclear escalation, duplicated actions and weak crisis command and slow recovery.</t>
  </si>
  <si>
    <t>Elevated risk: crisis communication protocol for employees, customers, suppliers, regulators, insurers and media is partially controlled, but coverage, evidence or testing is inconsistent. Crisis response may be fragmented.</t>
  </si>
  <si>
    <t>Moderate risk: crisis communication protocol for employees, customers, suppliers, regulators, insurers and media is documented and owned, but measurement, stress testing and integration with dependent processes need strengthening.</t>
  </si>
  <si>
    <t>Residual risk: crisis communication protocol for employees, customers, suppliers, regulators, insurers and media is measured and reviewed, but monitoring, automation or scenario testing should be improved to prevent maturity drift.</t>
  </si>
  <si>
    <t>Low residual risk: crisis communication protocol for employees, customers, suppliers, regulators, insurers and media is mature and crisis-tested. Maintain monitoring, evidence, ownership and periodic stress testing.</t>
  </si>
  <si>
    <t>Create an immediate risk owner, minimum control baseline and fallback procedure for crisis communication protocol for employees, customers, suppliers, regulators, insurers and media. Add it to the crisis risk register and collect first evidence.</t>
  </si>
  <si>
    <t>Document crisis communication protocol for employees, customers, suppliers, regulators, insurers and media, assign RACI, define minimum controls and KPIs, and validate coverage across key sites, teams or systems.</t>
  </si>
  <si>
    <t>Standardize crisis communication protocol for employees, customers, suppliers, regulators, insurers and media, close coverage gaps, train accountable roles and connect controls to the relevant crisis scenarios and continuity plans.</t>
  </si>
  <si>
    <t>Measure and test crisis communication protocol for employees, customers, suppliers, regulators, insurers and media, run tabletop or operational stress tests, integrate it with dependent processes and update crisis playbooks.</t>
  </si>
  <si>
    <t>Sustain maturity for crisis communication protocol for employees, customers, suppliers, regulators, insurers and media: keep evidence current, monitor drift, benchmark externally and refresh risk tests after organizational, system or market changes.</t>
  </si>
  <si>
    <t>Governance Crisis!21</t>
  </si>
  <si>
    <t>Immature capability for mass notification and emergency coordination tools may lead to slow decisions, unclear escalation, duplicated actions and weak crisis command during All crisis types.</t>
  </si>
  <si>
    <t>Low maturity, weak ownership, incomplete evidence, insufficient testing and poor integration with crisis-management routines for mass notification and emergency coordination tools.</t>
  </si>
  <si>
    <t>Severe risk: mass notification and emergency coordination tools is not reliably controlled. During All crisis types, the organization may face slow decisions, unclear escalation, duplicated actions and weak crisis command with limited visibility or accountability.</t>
  </si>
  <si>
    <t>High risk: mass notification and emergency coordination tools depends on informal practices or individual knowledge. Disruption may expose slow decisions, unclear escalation, duplicated actions and weak crisis command and slow recovery.</t>
  </si>
  <si>
    <t>Elevated risk: mass notification and emergency coordination tools is partially controlled, but coverage, evidence or testing is inconsistent. Crisis response may be fragmented.</t>
  </si>
  <si>
    <t>Moderate risk: mass notification and emergency coordination tools is documented and owned, but measurement, stress testing and integration with dependent processes need strengthening.</t>
  </si>
  <si>
    <t>Residual risk: mass notification and emergency coordination tools is measured and reviewed, but monitoring, automation or scenario testing should be improved to prevent maturity drift.</t>
  </si>
  <si>
    <t>Low residual risk: mass notification and emergency coordination tools is mature and crisis-tested. Maintain monitoring, evidence, ownership and periodic stress testing.</t>
  </si>
  <si>
    <t>Create an immediate risk owner, minimum control baseline and fallback procedure for mass notification and emergency coordination tools. Add it to the crisis risk register and collect first evidence.</t>
  </si>
  <si>
    <t>Document mass notification and emergency coordination tools, assign RACI, define minimum controls and KPIs, and validate coverage across key sites, teams or systems.</t>
  </si>
  <si>
    <t>Standardize mass notification and emergency coordination tools, close coverage gaps, train accountable roles and connect controls to the relevant crisis scenarios and continuity plans.</t>
  </si>
  <si>
    <t>Measure and test mass notification and emergency coordination tools, run tabletop or operational stress tests, integrate it with dependent processes and update crisis playbooks.</t>
  </si>
  <si>
    <t>Sustain maturity for mass notification and emergency coordination tools: keep evidence current, monitor drift, benchmark externally and refresh risk tests after organizational, system or market changes.</t>
  </si>
  <si>
    <t>Governance Crisis!22</t>
  </si>
  <si>
    <t>Immature capability for crisis lessons-learned process tied to improvement backlog and management review may lead to slow decisions, unclear escalation, duplicated actions and weak crisis command during All crisis types.</t>
  </si>
  <si>
    <t>Low maturity, weak ownership, incomplete evidence, insufficient testing and poor integration with crisis-management routines for crisis lessons-learned process tied to improvement backlog and management review.</t>
  </si>
  <si>
    <t>Severe risk: crisis lessons-learned process tied to improvement backlog and management review is not reliably controlled. During All crisis types, the organization may face slow decisions, unclear escalation, duplicated actions and weak crisis command with limited visibility or accountability.</t>
  </si>
  <si>
    <t>High risk: crisis lessons-learned process tied to improvement backlog and management review depends on informal practices or individual knowledge. Disruption may expose slow decisions, unclear escalation, duplicated actions and weak crisis command and slow recovery.</t>
  </si>
  <si>
    <t>Elevated risk: crisis lessons-learned process tied to improvement backlog and management review is partially controlled, but coverage, evidence or testing is inconsistent. Crisis response may be fragmented.</t>
  </si>
  <si>
    <t>Moderate risk: crisis lessons-learned process tied to improvement backlog and management review is documented and owned, but measurement, stress testing and integration with dependent processes need strengthening.</t>
  </si>
  <si>
    <t>Residual risk: crisis lessons-learned process tied to improvement backlog and management review is measured and reviewed, but monitoring, automation or scenario testing should be improved to prevent maturity drift.</t>
  </si>
  <si>
    <t>Low residual risk: crisis lessons-learned process tied to improvement backlog and management review is mature and crisis-tested. Maintain monitoring, evidence, ownership and periodic stress testing.</t>
  </si>
  <si>
    <t>Create an immediate risk owner, minimum control baseline and fallback procedure for crisis lessons-learned process tied to improvement backlog and management review. Add it to the crisis risk register and collect first evidence.</t>
  </si>
  <si>
    <t>Document crisis lessons-learned process tied to improvement backlog and management review, assign RACI, define minimum controls and KPIs, and validate coverage across key sites, teams or systems.</t>
  </si>
  <si>
    <t>Standardize crisis lessons-learned process tied to improvement backlog and management review, close coverage gaps, train accountable roles and connect controls to the relevant crisis scenarios and continuity plans.</t>
  </si>
  <si>
    <t>Measure and test crisis lessons-learned process tied to improvement backlog and management review, run tabletop or operational stress tests, integrate it with dependent processes and update crisis playbooks.</t>
  </si>
  <si>
    <t>Sustain maturity for crisis lessons-learned process tied to improvement backlog and management review: keep evidence current, monitor drift, benchmark externally and refresh risk tests after organizational, system or market changes.</t>
  </si>
  <si>
    <t>Governance Crisis!23</t>
  </si>
  <si>
    <t>Crisis governance and continuity readiness</t>
  </si>
  <si>
    <t>Immature capability for offline availability of continuity plans, runbooks, contact lists and key contracts when core IT is unavailable may lead to recovery plans locked inside failed systems, unreachable contacts and improvised crisis response during Cyberattack/ransomware; Energy/utilities outage; Cloud/SaaS outage.</t>
  </si>
  <si>
    <t>Low maturity, weak ownership, incomplete evidence, insufficient testing and poor integration with crisis-management routines for offline availability of continuity plans, runbooks, contact lists and key contracts when core IT is unavailable.</t>
  </si>
  <si>
    <t>Severe risk: offline availability of continuity plans, runbooks, contact lists and key contracts when core IT is unavailable is not reliably controlled. During Cyberattack/ransomware; Energy/utilities outage; Cloud/SaaS outage, the organization may face recovery plans locked inside failed systems, unreachable contacts and improvised crisis response with limited visibility or accountability.</t>
  </si>
  <si>
    <t>High risk: offline availability of continuity plans, runbooks, contact lists and key contracts when core IT is unavailable depends on informal practices or individual knowledge. Disruption may expose recovery plans locked inside failed systems, unreachable contacts and improvised crisis response and slow recovery.</t>
  </si>
  <si>
    <t>Elevated risk: offline availability of continuity plans, runbooks, contact lists and key contracts when core IT is unavailable is partially controlled, but coverage, evidence or testing is inconsistent. Crisis response may be fragmented.</t>
  </si>
  <si>
    <t>Moderate risk: offline availability of continuity plans, runbooks, contact lists and key contracts when core IT is unavailable is documented and owned, but measurement, stress testing and integration with dependent processes need strengthening.</t>
  </si>
  <si>
    <t>Residual risk: offline availability of continuity plans, runbooks, contact lists and key contracts when core IT is unavailable is measured and reviewed, but monitoring, automation or scenario testing should be improved to prevent maturity drift.</t>
  </si>
  <si>
    <t>Low residual risk: offline availability of continuity plans, runbooks, contact lists and key contracts when core IT is unavailable is mature and crisis-tested. Maintain monitoring, evidence, ownership and periodic stress testing.</t>
  </si>
  <si>
    <t>Create an immediate risk owner, minimum control baseline and fallback procedure for offline availability of continuity plans, runbooks, contact lists and key contracts when core IT is unavailable. Add it to the crisis risk register and collect first evidence.</t>
  </si>
  <si>
    <t>Document offline availability of continuity plans, runbooks, contact lists and key contracts when core IT is unavailable, assign RACI, define minimum controls and KPIs, and validate coverage across key sites, teams or systems.</t>
  </si>
  <si>
    <t>Standardize offline availability of continuity plans, runbooks, contact lists and key contracts when core IT is unavailable, close coverage gaps, train accountable roles and connect controls to the relevant crisis scenarios and continuity plans.</t>
  </si>
  <si>
    <t>Measure and test offline availability of continuity plans, runbooks, contact lists and key contracts when core IT is unavailable, run tabletop or operational stress tests, integrate it with dependent processes and update crisis playbooks.</t>
  </si>
  <si>
    <t>Sustain maturity for offline availability of continuity plans, runbooks, contact lists and key contracts when core IT is unavailable: keep evidence current, monitor drift, benchmark externally and refresh risk tests after organizational, system or market changes.</t>
  </si>
  <si>
    <t>Policy/SOP; owner/RACI; system report; dashboard; contracts; test records; incident history; interview evidence related to offline availability of continuity plans, runbooks, contact lists and key contracts when core IT is unavailable</t>
  </si>
  <si>
    <t>COO / Risk</t>
  </si>
  <si>
    <t>Governance Crisis!24</t>
  </si>
  <si>
    <t>Immature capability for primary and alternate crisis command arrangements with independent communications and access to crisis tools may lead to no functioning command point when the main site or communications fail, delaying coordinated response during War/security crisis; Physical site loss; Energy/utilities outage.</t>
  </si>
  <si>
    <t>Low maturity, weak ownership, incomplete evidence, insufficient testing and poor integration with crisis-management routines for primary and alternate crisis command arrangements with independent communications and access to crisis tools.</t>
  </si>
  <si>
    <t>Severe risk: primary and alternate crisis command arrangements with independent communications and access to crisis tools is not reliably controlled. During War/security crisis; Physical site loss; Energy/utilities outage, the organization may face no functioning command point when the main site or communications fail, delaying coordinated response with limited visibility or accountability.</t>
  </si>
  <si>
    <t>High risk: primary and alternate crisis command arrangements with independent communications and access to crisis tools depends on informal practices or individual knowledge. Disruption may expose no functioning command point when the main site or communications fail, delaying coordinated response and slow recovery.</t>
  </si>
  <si>
    <t>Elevated risk: primary and alternate crisis command arrangements with independent communications and access to crisis tools is partially controlled, but coverage, evidence or testing is inconsistent. Crisis response may be fragmented.</t>
  </si>
  <si>
    <t>Moderate risk: primary and alternate crisis command arrangements with independent communications and access to crisis tools is documented and owned, but measurement, stress testing and integration with dependent processes need strengthening.</t>
  </si>
  <si>
    <t>Residual risk: primary and alternate crisis command arrangements with independent communications and access to crisis tools is measured and reviewed, but monitoring, automation or scenario testing should be improved to prevent maturity drift.</t>
  </si>
  <si>
    <t>Low residual risk: primary and alternate crisis command arrangements with independent communications and access to crisis tools is mature and crisis-tested. Maintain monitoring, evidence, ownership and periodic stress testing.</t>
  </si>
  <si>
    <t>Create an immediate risk owner, minimum control baseline and fallback procedure for primary and alternate crisis command arrangements with independent communications and access to crisis tools. Add it to the crisis risk register and collect first evidence.</t>
  </si>
  <si>
    <t>Document primary and alternate crisis command arrangements with independent communications and access to crisis tools, assign RACI, define minimum controls and KPIs, and validate coverage across key sites, teams or systems.</t>
  </si>
  <si>
    <t>Standardize primary and alternate crisis command arrangements with independent communications and access to crisis tools, close coverage gaps, train accountable roles and connect controls to the relevant crisis scenarios and continuity plans.</t>
  </si>
  <si>
    <t>Measure and test primary and alternate crisis command arrangements with independent communications and access to crisis tools, run tabletop or operational stress tests, integrate it with dependent processes and update crisis playbooks.</t>
  </si>
  <si>
    <t>Sustain maturity for primary and alternate crisis command arrangements with independent communications and access to crisis tools: keep evidence current, monitor drift, benchmark externally and refresh risk tests after organizational, system or market changes.</t>
  </si>
  <si>
    <t>Policy/SOP; owner/RACI; system report; dashboard; contracts; test records; incident history; interview evidence related to primary and alternate crisis command arrangements with independent communications and access to crisis tools</t>
  </si>
  <si>
    <t>Governance Crisis!25</t>
  </si>
  <si>
    <t>Immature capability for joint crisis exercises with critical suppliers, customers, authorities and insurers may lead to untested cross-organizational response, conflicting assumptions and slow joint recovery in real events during Supplier/logistics disruption; War/security crisis; Cyberattack/ransomware.</t>
  </si>
  <si>
    <t>Low maturity, weak ownership, incomplete evidence, insufficient testing and poor integration with crisis-management routines for joint crisis exercises with critical suppliers, customers, authorities and insurers.</t>
  </si>
  <si>
    <t>Severe risk: joint crisis exercises with critical suppliers, customers, authorities and insurers is not reliably controlled. During Supplier/logistics disruption; War/security crisis; Cyberattack/ransomware, the organization may face untested cross-organizational response, conflicting assumptions and slow joint recovery in real events with limited visibility or accountability.</t>
  </si>
  <si>
    <t>High risk: joint crisis exercises with critical suppliers, customers, authorities and insurers depends on informal practices or individual knowledge. Disruption may expose untested cross-organizational response, conflicting assumptions and slow joint recovery in real events and slow recovery.</t>
  </si>
  <si>
    <t>Elevated risk: joint crisis exercises with critical suppliers, customers, authorities and insurers is partially controlled, but coverage, evidence or testing is inconsistent. Crisis response may be fragmented.</t>
  </si>
  <si>
    <t>Moderate risk: joint crisis exercises with critical suppliers, customers, authorities and insurers is documented and owned, but measurement, stress testing and integration with dependent processes need strengthening.</t>
  </si>
  <si>
    <t>Residual risk: joint crisis exercises with critical suppliers, customers, authorities and insurers is measured and reviewed, but monitoring, automation or scenario testing should be improved to prevent maturity drift.</t>
  </si>
  <si>
    <t>Low residual risk: joint crisis exercises with critical suppliers, customers, authorities and insurers is mature and crisis-tested. Maintain monitoring, evidence, ownership and periodic stress testing.</t>
  </si>
  <si>
    <t>Create an immediate risk owner, minimum control baseline and fallback procedure for joint crisis exercises with critical suppliers, customers, authorities and insurers. Add it to the crisis risk register and collect first evidence.</t>
  </si>
  <si>
    <t>Document joint crisis exercises with critical suppliers, customers, authorities and insurers, assign RACI, define minimum controls and KPIs, and validate coverage across key sites, teams or systems.</t>
  </si>
  <si>
    <t>Standardize joint crisis exercises with critical suppliers, customers, authorities and insurers, close coverage gaps, train accountable roles and connect controls to the relevant crisis scenarios and continuity plans.</t>
  </si>
  <si>
    <t>Measure and test joint crisis exercises with critical suppliers, customers, authorities and insurers, run tabletop or operational stress tests, integrate it with dependent processes and update crisis playbooks.</t>
  </si>
  <si>
    <t>Sustain maturity for joint crisis exercises with critical suppliers, customers, authorities and insurers: keep evidence current, monitor drift, benchmark externally and refresh risk tests after organizational, system or market changes.</t>
  </si>
  <si>
    <t>Policy/SOP; owner/RACI; system report; dashboard; contracts; test records; incident history; interview evidence related to joint crisis exercises with critical suppliers, customers, authorities and insurers</t>
  </si>
  <si>
    <t>Governance Crisis!26</t>
  </si>
  <si>
    <t>Immature capability for workforce inventory by role, location, manager, contract type, employment entity, skill and criticality may lead to loss of critical knowledge, reduced productivity, unmanaged absenteeism and inability to keep essential work running during Workforce disruption; Pandemic/health crisis; War/security crisis.</t>
  </si>
  <si>
    <t>Low maturity, weak ownership, incomplete evidence, insufficient testing and poor integration with crisis-management routines for workforce inventory by role, location, manager, contract type, employment entity, skill and criticality.</t>
  </si>
  <si>
    <t>Severe risk: workforce inventory by role, location, manager, contract type, employment entity, skill and criticality is not reliably controlled. During Workforce disruption; Pandemic/health crisis; War/security crisis, the organization may face loss of critical knowledge, reduced productivity, unmanaged absenteeism and inability to keep essential work running with limited visibility or accountability.</t>
  </si>
  <si>
    <t>High risk: workforce inventory by role, location, manager, contract type, employment entity, skill and criticality depends on informal practices or individual knowledge. Disruption may expose loss of critical knowledge, reduced productivity, unmanaged absenteeism and inability to keep essential work running and slow recovery.</t>
  </si>
  <si>
    <t>Elevated risk: workforce inventory by role, location, manager, contract type, employment entity, skill and criticality is partially controlled, but coverage, evidence or testing is inconsistent. Crisis response may be fragmented.</t>
  </si>
  <si>
    <t>Moderate risk: workforce inventory by role, location, manager, contract type, employment entity, skill and criticality is documented and owned, but measurement, stress testing and integration with dependent processes need strengthening.</t>
  </si>
  <si>
    <t>Residual risk: workforce inventory by role, location, manager, contract type, employment entity, skill and criticality is measured and reviewed, but monitoring, automation or scenario testing should be improved to prevent maturity drift.</t>
  </si>
  <si>
    <t>Low residual risk: workforce inventory by role, location, manager, contract type, employment entity, skill and criticality is mature and crisis-tested. Maintain monitoring, evidence, ownership and periodic stress testing.</t>
  </si>
  <si>
    <t>Create an immediate risk owner, minimum control baseline and fallback procedure for workforce inventory by role, location, manager, contract type, employment entity, skill and criticality. Add it to the crisis risk register and collect first evidence.</t>
  </si>
  <si>
    <t>Document workforce inventory by role, location, manager, contract type, employment entity, skill and criticality, assign RACI, define minimum controls and KPIs, and validate coverage across key sites, teams or systems.</t>
  </si>
  <si>
    <t>Standardize workforce inventory by role, location, manager, contract type, employment entity, skill and criticality, close coverage gaps, train accountable roles and connect controls to the relevant crisis scenarios and continuity plans.</t>
  </si>
  <si>
    <t>Measure and test workforce inventory by role, location, manager, contract type, employment entity, skill and criticality, run tabletop or operational stress tests, integrate it with dependent processes and update crisis playbooks.</t>
  </si>
  <si>
    <t>Sustain maturity for workforce inventory by role, location, manager, contract type, employment entity, skill and criticality: keep evidence current, monitor drift, benchmark externally and refresh risk tests after organizational, system or market changes.</t>
  </si>
  <si>
    <t>CHRO / HR</t>
  </si>
  <si>
    <t>HR Workforce!5</t>
  </si>
  <si>
    <t>Immature capability for critical role mapping by process dependency, customer impact, system access and knowledge concentration may lead to loss of critical knowledge, reduced productivity, unmanaged absenteeism and inability to keep essential work running during Workforce disruption; Pandemic/health crisis; War/security crisis.</t>
  </si>
  <si>
    <t>Low maturity, weak ownership, incomplete evidence, insufficient testing and poor integration with crisis-management routines for critical role mapping by process dependency, customer impact, system access and knowledge concentration.</t>
  </si>
  <si>
    <t>Severe risk: critical role mapping by process dependency, customer impact, system access and knowledge concentration is not reliably controlled. During Workforce disruption; Pandemic/health crisis; War/security crisis, the organization may face loss of critical knowledge, reduced productivity, unmanaged absenteeism and inability to keep essential work running with limited visibility or accountability.</t>
  </si>
  <si>
    <t>High risk: critical role mapping by process dependency, customer impact, system access and knowledge concentration depends on informal practices or individual knowledge. Disruption may expose loss of critical knowledge, reduced productivity, unmanaged absenteeism and inability to keep essential work running and slow recovery.</t>
  </si>
  <si>
    <t>Elevated risk: critical role mapping by process dependency, customer impact, system access and knowledge concentration is partially controlled, but coverage, evidence or testing is inconsistent. Crisis response may be fragmented.</t>
  </si>
  <si>
    <t>Moderate risk: critical role mapping by process dependency, customer impact, system access and knowledge concentration is documented and owned, but measurement, stress testing and integration with dependent processes need strengthening.</t>
  </si>
  <si>
    <t>Residual risk: critical role mapping by process dependency, customer impact, system access and knowledge concentration is measured and reviewed, but monitoring, automation or scenario testing should be improved to prevent maturity drift.</t>
  </si>
  <si>
    <t>Low residual risk: critical role mapping by process dependency, customer impact, system access and knowledge concentration is mature and crisis-tested. Maintain monitoring, evidence, ownership and periodic stress testing.</t>
  </si>
  <si>
    <t>Create an immediate risk owner, minimum control baseline and fallback procedure for critical role mapping by process dependency, customer impact, system access and knowledge concentration. Add it to the crisis risk register and collect first evidence.</t>
  </si>
  <si>
    <t>Document critical role mapping by process dependency, customer impact, system access and knowledge concentration, assign RACI, define minimum controls and KPIs, and validate coverage across key sites, teams or systems.</t>
  </si>
  <si>
    <t>Standardize critical role mapping by process dependency, customer impact, system access and knowledge concentration, close coverage gaps, train accountable roles and connect controls to the relevant crisis scenarios and continuity plans.</t>
  </si>
  <si>
    <t>Measure and test critical role mapping by process dependency, customer impact, system access and knowledge concentration, run tabletop or operational stress tests, integrate it with dependent processes and update crisis playbooks.</t>
  </si>
  <si>
    <t>Sustain maturity for critical role mapping by process dependency, customer impact, system access and knowledge concentration: keep evidence current, monitor drift, benchmark externally and refresh risk tests after organizational, system or market changes.</t>
  </si>
  <si>
    <t>HR Workforce!6</t>
  </si>
  <si>
    <t>Immature capability for key-person risk for executives, founders, architects, plant specialists, client owners and finance signatories may lead to loss of critical knowledge, reduced productivity, unmanaged absenteeism and inability to keep essential work running during Workforce disruption; Pandemic/health crisis; War/security crisis.</t>
  </si>
  <si>
    <t>Low maturity, weak ownership, incomplete evidence, insufficient testing and poor integration with crisis-management routines for key-person risk for executives, founders, architects, plant specialists, client owners and finance signatories.</t>
  </si>
  <si>
    <t>Severe risk: key-person risk for executives, founders, architects, plant specialists, client owners and finance signatories is not reliably controlled. During Workforce disruption; Pandemic/health crisis; War/security crisis, the organization may face loss of critical knowledge, reduced productivity, unmanaged absenteeism and inability to keep essential work running with limited visibility or accountability.</t>
  </si>
  <si>
    <t>High risk: key-person risk for executives, founders, architects, plant specialists, client owners and finance signatories depends on informal practices or individual knowledge. Disruption may expose loss of critical knowledge, reduced productivity, unmanaged absenteeism and inability to keep essential work running and slow recovery.</t>
  </si>
  <si>
    <t>Elevated risk: key-person risk for executives, founders, architects, plant specialists, client owners and finance signatories is partially controlled, but coverage, evidence or testing is inconsistent. Crisis response may be fragmented.</t>
  </si>
  <si>
    <t>Moderate risk: key-person risk for executives, founders, architects, plant specialists, client owners and finance signatories is documented and owned, but measurement, stress testing and integration with dependent processes need strengthening.</t>
  </si>
  <si>
    <t>Residual risk: key-person risk for executives, founders, architects, plant specialists, client owners and finance signatories is measured and reviewed, but monitoring, automation or scenario testing should be improved to prevent maturity drift.</t>
  </si>
  <si>
    <t>Low residual risk: key-person risk for executives, founders, architects, plant specialists, client owners and finance signatories is mature and crisis-tested. Maintain monitoring, evidence, ownership and periodic stress testing.</t>
  </si>
  <si>
    <t>Create an immediate risk owner, minimum control baseline and fallback procedure for key-person risk for executives, founders, architects, plant specialists, client owners and finance signatories. Add it to the crisis risk register and collect first evidence.</t>
  </si>
  <si>
    <t>Document key-person risk for executives, founders, architects, plant specialists, client owners and finance signatories, assign RACI, define minimum controls and KPIs, and validate coverage across key sites, teams or systems.</t>
  </si>
  <si>
    <t>Standardize key-person risk for executives, founders, architects, plant specialists, client owners and finance signatories, close coverage gaps, train accountable roles and connect controls to the relevant crisis scenarios and continuity plans.</t>
  </si>
  <si>
    <t>Measure and test key-person risk for executives, founders, architects, plant specialists, client owners and finance signatories, run tabletop or operational stress tests, integrate it with dependent processes and update crisis playbooks.</t>
  </si>
  <si>
    <t>Sustain maturity for key-person risk for executives, founders, architects, plant specialists, client owners and finance signatories: keep evidence current, monitor drift, benchmark externally and refresh risk tests after organizational, system or market changes.</t>
  </si>
  <si>
    <t>HR Workforce!7</t>
  </si>
  <si>
    <t>Immature capability for skills matrix linked to critical processes, systems, products, sites and backup coverage may lead to loss of critical knowledge, reduced productivity, unmanaged absenteeism and inability to keep essential work running during Workforce disruption; Pandemic/health crisis; War/security crisis.</t>
  </si>
  <si>
    <t>Low maturity, weak ownership, incomplete evidence, insufficient testing and poor integration with crisis-management routines for skills matrix linked to critical processes, systems, products, sites and backup coverage.</t>
  </si>
  <si>
    <t>Severe risk: skills matrix linked to critical processes, systems, products, sites and backup coverage is not reliably controlled. During Workforce disruption; Pandemic/health crisis; War/security crisis, the organization may face loss of critical knowledge, reduced productivity, unmanaged absenteeism and inability to keep essential work running with limited visibility or accountability.</t>
  </si>
  <si>
    <t>High risk: skills matrix linked to critical processes, systems, products, sites and backup coverage depends on informal practices or individual knowledge. Disruption may expose loss of critical knowledge, reduced productivity, unmanaged absenteeism and inability to keep essential work running and slow recovery.</t>
  </si>
  <si>
    <t>Elevated risk: skills matrix linked to critical processes, systems, products, sites and backup coverage is partially controlled, but coverage, evidence or testing is inconsistent. Crisis response may be fragmented.</t>
  </si>
  <si>
    <t>Moderate risk: skills matrix linked to critical processes, systems, products, sites and backup coverage is documented and owned, but measurement, stress testing and integration with dependent processes need strengthening.</t>
  </si>
  <si>
    <t>Residual risk: skills matrix linked to critical processes, systems, products, sites and backup coverage is measured and reviewed, but monitoring, automation or scenario testing should be improved to prevent maturity drift.</t>
  </si>
  <si>
    <t>Low residual risk: skills matrix linked to critical processes, systems, products, sites and backup coverage is mature and crisis-tested. Maintain monitoring, evidence, ownership and periodic stress testing.</t>
  </si>
  <si>
    <t>Create an immediate risk owner, minimum control baseline and fallback procedure for skills matrix linked to critical processes, systems, products, sites and backup coverage. Add it to the crisis risk register and collect first evidence.</t>
  </si>
  <si>
    <t>Document skills matrix linked to critical processes, systems, products, sites and backup coverage, assign RACI, define minimum controls and KPIs, and validate coverage across key sites, teams or systems.</t>
  </si>
  <si>
    <t>Standardize skills matrix linked to critical processes, systems, products, sites and backup coverage, close coverage gaps, train accountable roles and connect controls to the relevant crisis scenarios and continuity plans.</t>
  </si>
  <si>
    <t>Measure and test skills matrix linked to critical processes, systems, products, sites and backup coverage, run tabletop or operational stress tests, integrate it with dependent processes and update crisis playbooks.</t>
  </si>
  <si>
    <t>Sustain maturity for skills matrix linked to critical processes, systems, products, sites and backup coverage: keep evidence current, monitor drift, benchmark externally and refresh risk tests after organizational, system or market changes.</t>
  </si>
  <si>
    <t>HR Workforce!8</t>
  </si>
  <si>
    <t>Immature capability for minimum staffing levels for critical functions, shifts, production lines and customer support may lead to loss of critical knowledge, reduced productivity, unmanaged absenteeism and inability to keep essential work running during Workforce disruption; Pandemic/health crisis; War/security crisis.</t>
  </si>
  <si>
    <t>Low maturity, weak ownership, incomplete evidence, insufficient testing and poor integration with crisis-management routines for minimum staffing levels for critical functions, shifts, production lines and customer support.</t>
  </si>
  <si>
    <t>Severe risk: minimum staffing levels for critical functions, shifts, production lines and customer support is not reliably controlled. During Workforce disruption; Pandemic/health crisis; War/security crisis, the organization may face loss of critical knowledge, reduced productivity, unmanaged absenteeism and inability to keep essential work running with limited visibility or accountability.</t>
  </si>
  <si>
    <t>High risk: minimum staffing levels for critical functions, shifts, production lines and customer support depends on informal practices or individual knowledge. Disruption may expose loss of critical knowledge, reduced productivity, unmanaged absenteeism and inability to keep essential work running and slow recovery.</t>
  </si>
  <si>
    <t>Elevated risk: minimum staffing levels for critical functions, shifts, production lines and customer support is partially controlled, but coverage, evidence or testing is inconsistent. Crisis response may be fragmented.</t>
  </si>
  <si>
    <t>Moderate risk: minimum staffing levels for critical functions, shifts, production lines and customer support is documented and owned, but measurement, stress testing and integration with dependent processes need strengthening.</t>
  </si>
  <si>
    <t>Residual risk: minimum staffing levels for critical functions, shifts, production lines and customer support is measured and reviewed, but monitoring, automation or scenario testing should be improved to prevent maturity drift.</t>
  </si>
  <si>
    <t>Low residual risk: minimum staffing levels for critical functions, shifts, production lines and customer support is mature and crisis-tested. Maintain monitoring, evidence, ownership and periodic stress testing.</t>
  </si>
  <si>
    <t>Create an immediate risk owner, minimum control baseline and fallback procedure for minimum staffing levels for critical functions, shifts, production lines and customer support. Add it to the crisis risk register and collect first evidence.</t>
  </si>
  <si>
    <t>Document minimum staffing levels for critical functions, shifts, production lines and customer support, assign RACI, define minimum controls and KPIs, and validate coverage across key sites, teams or systems.</t>
  </si>
  <si>
    <t>Standardize minimum staffing levels for critical functions, shifts, production lines and customer support, close coverage gaps, train accountable roles and connect controls to the relevant crisis scenarios and continuity plans.</t>
  </si>
  <si>
    <t>Measure and test minimum staffing levels for critical functions, shifts, production lines and customer support, run tabletop or operational stress tests, integrate it with dependent processes and update crisis playbooks.</t>
  </si>
  <si>
    <t>Sustain maturity for minimum staffing levels for critical functions, shifts, production lines and customer support: keep evidence current, monitor drift, benchmark externally and refresh risk tests after organizational, system or market changes.</t>
  </si>
  <si>
    <t>HR Workforce!9</t>
  </si>
  <si>
    <t>Immature capability for absence trends, sick leave spikes and workforce availability monitoring may lead to loss of critical knowledge, reduced productivity, unmanaged absenteeism and inability to keep essential work running during Workforce disruption; Pandemic/health crisis; War/security crisis.</t>
  </si>
  <si>
    <t>Low maturity, weak ownership, incomplete evidence, insufficient testing and poor integration with crisis-management routines for absence trends, sick leave spikes and workforce availability monitoring.</t>
  </si>
  <si>
    <t>Severe risk: absence trends, sick leave spikes and workforce availability monitoring is not reliably controlled. During Workforce disruption; Pandemic/health crisis; War/security crisis, the organization may face loss of critical knowledge, reduced productivity, unmanaged absenteeism and inability to keep essential work running with limited visibility or accountability.</t>
  </si>
  <si>
    <t>High risk: absence trends, sick leave spikes and workforce availability monitoring depends on informal practices or individual knowledge. Disruption may expose loss of critical knowledge, reduced productivity, unmanaged absenteeism and inability to keep essential work running and slow recovery.</t>
  </si>
  <si>
    <t>Elevated risk: absence trends, sick leave spikes and workforce availability monitoring is partially controlled, but coverage, evidence or testing is inconsistent. Crisis response may be fragmented.</t>
  </si>
  <si>
    <t>Moderate risk: absence trends, sick leave spikes and workforce availability monitoring is documented and owned, but measurement, stress testing and integration with dependent processes need strengthening.</t>
  </si>
  <si>
    <t>Residual risk: absence trends, sick leave spikes and workforce availability monitoring is measured and reviewed, but monitoring, automation or scenario testing should be improved to prevent maturity drift.</t>
  </si>
  <si>
    <t>Low residual risk: absence trends, sick leave spikes and workforce availability monitoring is mature and crisis-tested. Maintain monitoring, evidence, ownership and periodic stress testing.</t>
  </si>
  <si>
    <t>Create an immediate risk owner, minimum control baseline and fallback procedure for absence trends, sick leave spikes and workforce availability monitoring. Add it to the crisis risk register and collect first evidence.</t>
  </si>
  <si>
    <t>Document absence trends, sick leave spikes and workforce availability monitoring, assign RACI, define minimum controls and KPIs, and validate coverage across key sites, teams or systems.</t>
  </si>
  <si>
    <t>Standardize absence trends, sick leave spikes and workforce availability monitoring, close coverage gaps, train accountable roles and connect controls to the relevant crisis scenarios and continuity plans.</t>
  </si>
  <si>
    <t>Measure and test absence trends, sick leave spikes and workforce availability monitoring, run tabletop or operational stress tests, integrate it with dependent processes and update crisis playbooks.</t>
  </si>
  <si>
    <t>Sustain maturity for absence trends, sick leave spikes and workforce availability monitoring: keep evidence current, monitor drift, benchmark externally and refresh risk tests after organizational, system or market changes.</t>
  </si>
  <si>
    <t>HR Workforce!10</t>
  </si>
  <si>
    <t>Immature capability for hiring pipeline resilience for critical roles under market shortage or geographic disruption may lead to loss of critical knowledge, reduced productivity, unmanaged absenteeism and inability to keep essential work running during Workforce disruption; Pandemic/health crisis; War/security crisis.</t>
  </si>
  <si>
    <t>Low maturity, weak ownership, incomplete evidence, insufficient testing and poor integration with crisis-management routines for hiring pipeline resilience for critical roles under market shortage or geographic disruption.</t>
  </si>
  <si>
    <t>Severe risk: hiring pipeline resilience for critical roles under market shortage or geographic disruption is not reliably controlled. During Workforce disruption; Pandemic/health crisis; War/security crisis, the organization may face loss of critical knowledge, reduced productivity, unmanaged absenteeism and inability to keep essential work running with limited visibility or accountability.</t>
  </si>
  <si>
    <t>High risk: hiring pipeline resilience for critical roles under market shortage or geographic disruption depends on informal practices or individual knowledge. Disruption may expose loss of critical knowledge, reduced productivity, unmanaged absenteeism and inability to keep essential work running and slow recovery.</t>
  </si>
  <si>
    <t>Elevated risk: hiring pipeline resilience for critical roles under market shortage or geographic disruption is partially controlled, but coverage, evidence or testing is inconsistent. Crisis response may be fragmented.</t>
  </si>
  <si>
    <t>Moderate risk: hiring pipeline resilience for critical roles under market shortage or geographic disruption is documented and owned, but measurement, stress testing and integration with dependent processes need strengthening.</t>
  </si>
  <si>
    <t>Residual risk: hiring pipeline resilience for critical roles under market shortage or geographic disruption is measured and reviewed, but monitoring, automation or scenario testing should be improved to prevent maturity drift.</t>
  </si>
  <si>
    <t>Low residual risk: hiring pipeline resilience for critical roles under market shortage or geographic disruption is mature and crisis-tested. Maintain monitoring, evidence, ownership and periodic stress testing.</t>
  </si>
  <si>
    <t>Create an immediate risk owner, minimum control baseline and fallback procedure for hiring pipeline resilience for critical roles under market shortage or geographic disruption. Add it to the crisis risk register and collect first evidence.</t>
  </si>
  <si>
    <t>Document hiring pipeline resilience for critical roles under market shortage or geographic disruption, assign RACI, define minimum controls and KPIs, and validate coverage across key sites, teams or systems.</t>
  </si>
  <si>
    <t>Standardize hiring pipeline resilience for critical roles under market shortage or geographic disruption, close coverage gaps, train accountable roles and connect controls to the relevant crisis scenarios and continuity plans.</t>
  </si>
  <si>
    <t>Measure and test hiring pipeline resilience for critical roles under market shortage or geographic disruption, run tabletop or operational stress tests, integrate it with dependent processes and update crisis playbooks.</t>
  </si>
  <si>
    <t>Sustain maturity for hiring pipeline resilience for critical roles under market shortage or geographic disruption: keep evidence current, monitor drift, benchmark externally and refresh risk tests after organizational, system or market changes.</t>
  </si>
  <si>
    <t>HR Workforce!11</t>
  </si>
  <si>
    <t>Immature capability for time-to-hire tracking by critical role, geography and seniority may lead to loss of critical knowledge, reduced productivity, unmanaged absenteeism and inability to keep essential work running during Workforce disruption; Pandemic/health crisis; War/security crisis.</t>
  </si>
  <si>
    <t>Low maturity, weak ownership, incomplete evidence, insufficient testing and poor integration with crisis-management routines for time-to-hire tracking by critical role, geography and seniority.</t>
  </si>
  <si>
    <t>Severe risk: time-to-hire tracking by critical role, geography and seniority is not reliably controlled. During Workforce disruption; Pandemic/health crisis; War/security crisis, the organization may face loss of critical knowledge, reduced productivity, unmanaged absenteeism and inability to keep essential work running with limited visibility or accountability.</t>
  </si>
  <si>
    <t>High risk: time-to-hire tracking by critical role, geography and seniority depends on informal practices or individual knowledge. Disruption may expose loss of critical knowledge, reduced productivity, unmanaged absenteeism and inability to keep essential work running and slow recovery.</t>
  </si>
  <si>
    <t>Elevated risk: time-to-hire tracking by critical role, geography and seniority is partially controlled, but coverage, evidence or testing is inconsistent. Crisis response may be fragmented.</t>
  </si>
  <si>
    <t>Moderate risk: time-to-hire tracking by critical role, geography and seniority is documented and owned, but measurement, stress testing and integration with dependent processes need strengthening.</t>
  </si>
  <si>
    <t>Residual risk: time-to-hire tracking by critical role, geography and seniority is measured and reviewed, but monitoring, automation or scenario testing should be improved to prevent maturity drift.</t>
  </si>
  <si>
    <t>Low residual risk: time-to-hire tracking by critical role, geography and seniority is mature and crisis-tested. Maintain monitoring, evidence, ownership and periodic stress testing.</t>
  </si>
  <si>
    <t>Create an immediate risk owner, minimum control baseline and fallback procedure for time-to-hire tracking by critical role, geography and seniority. Add it to the crisis risk register and collect first evidence.</t>
  </si>
  <si>
    <t>Document time-to-hire tracking by critical role, geography and seniority, assign RACI, define minimum controls and KPIs, and validate coverage across key sites, teams or systems.</t>
  </si>
  <si>
    <t>Standardize time-to-hire tracking by critical role, geography and seniority, close coverage gaps, train accountable roles and connect controls to the relevant crisis scenarios and continuity plans.</t>
  </si>
  <si>
    <t>Measure and test time-to-hire tracking by critical role, geography and seniority, run tabletop or operational stress tests, integrate it with dependent processes and update crisis playbooks.</t>
  </si>
  <si>
    <t>Sustain maturity for time-to-hire tracking by critical role, geography and seniority: keep evidence current, monitor drift, benchmark externally and refresh risk tests after organizational, system or market changes.</t>
  </si>
  <si>
    <t>HR Workforce!12</t>
  </si>
  <si>
    <t>Immature capability for alternative sourcing channels for critical roles, geographies and rare skills may lead to loss of critical knowledge, reduced productivity, unmanaged absenteeism and inability to keep essential work running during Workforce disruption; Pandemic/health crisis; War/security crisis.</t>
  </si>
  <si>
    <t>Low maturity, weak ownership, incomplete evidence, insufficient testing and poor integration with crisis-management routines for alternative sourcing channels for critical roles, geographies and rare skills.</t>
  </si>
  <si>
    <t>Severe risk: alternative sourcing channels for critical roles, geographies and rare skills is not reliably controlled. During Workforce disruption; Pandemic/health crisis; War/security crisis, the organization may face loss of critical knowledge, reduced productivity, unmanaged absenteeism and inability to keep essential work running with limited visibility or accountability.</t>
  </si>
  <si>
    <t>High risk: alternative sourcing channels for critical roles, geographies and rare skills depends on informal practices or individual knowledge. Disruption may expose loss of critical knowledge, reduced productivity, unmanaged absenteeism and inability to keep essential work running and slow recovery.</t>
  </si>
  <si>
    <t>Elevated risk: alternative sourcing channels for critical roles, geographies and rare skills is partially controlled, but coverage, evidence or testing is inconsistent. Crisis response may be fragmented.</t>
  </si>
  <si>
    <t>Moderate risk: alternative sourcing channels for critical roles, geographies and rare skills is documented and owned, but measurement, stress testing and integration with dependent processes need strengthening.</t>
  </si>
  <si>
    <t>Residual risk: alternative sourcing channels for critical roles, geographies and rare skills is measured and reviewed, but monitoring, automation or scenario testing should be improved to prevent maturity drift.</t>
  </si>
  <si>
    <t>Low residual risk: alternative sourcing channels for critical roles, geographies and rare skills is mature and crisis-tested. Maintain monitoring, evidence, ownership and periodic stress testing.</t>
  </si>
  <si>
    <t>Create an immediate risk owner, minimum control baseline and fallback procedure for alternative sourcing channels for critical roles, geographies and rare skills. Add it to the crisis risk register and collect first evidence.</t>
  </si>
  <si>
    <t>Document alternative sourcing channels for critical roles, geographies and rare skills, assign RACI, define minimum controls and KPIs, and validate coverage across key sites, teams or systems.</t>
  </si>
  <si>
    <t>Standardize alternative sourcing channels for critical roles, geographies and rare skills, close coverage gaps, train accountable roles and connect controls to the relevant crisis scenarios and continuity plans.</t>
  </si>
  <si>
    <t>Measure and test alternative sourcing channels for critical roles, geographies and rare skills, run tabletop or operational stress tests, integrate it with dependent processes and update crisis playbooks.</t>
  </si>
  <si>
    <t>Sustain maturity for alternative sourcing channels for critical roles, geographies and rare skills: keep evidence current, monitor drift, benchmark externally and refresh risk tests after organizational, system or market changes.</t>
  </si>
  <si>
    <t>HR Workforce!13</t>
  </si>
  <si>
    <t>Immature capability for retention risk monitoring for critical people, high performers and scarce-skill roles may lead to loss of critical knowledge, reduced productivity, unmanaged absenteeism and inability to keep essential work running during Workforce disruption; Pandemic/health crisis; War/security crisis.</t>
  </si>
  <si>
    <t>Low maturity, weak ownership, incomplete evidence, insufficient testing and poor integration with crisis-management routines for retention risk monitoring for critical people, high performers and scarce-skill roles.</t>
  </si>
  <si>
    <t>Severe risk: retention risk monitoring for critical people, high performers and scarce-skill roles is not reliably controlled. During Workforce disruption; Pandemic/health crisis; War/security crisis, the organization may face loss of critical knowledge, reduced productivity, unmanaged absenteeism and inability to keep essential work running with limited visibility or accountability.</t>
  </si>
  <si>
    <t>High risk: retention risk monitoring for critical people, high performers and scarce-skill roles depends on informal practices or individual knowledge. Disruption may expose loss of critical knowledge, reduced productivity, unmanaged absenteeism and inability to keep essential work running and slow recovery.</t>
  </si>
  <si>
    <t>Elevated risk: retention risk monitoring for critical people, high performers and scarce-skill roles is partially controlled, but coverage, evidence or testing is inconsistent. Crisis response may be fragmented.</t>
  </si>
  <si>
    <t>Moderate risk: retention risk monitoring for critical people, high performers and scarce-skill roles is documented and owned, but measurement, stress testing and integration with dependent processes need strengthening.</t>
  </si>
  <si>
    <t>Residual risk: retention risk monitoring for critical people, high performers and scarce-skill roles is measured and reviewed, but monitoring, automation or scenario testing should be improved to prevent maturity drift.</t>
  </si>
  <si>
    <t>Low residual risk: retention risk monitoring for critical people, high performers and scarce-skill roles is mature and crisis-tested. Maintain monitoring, evidence, ownership and periodic stress testing.</t>
  </si>
  <si>
    <t>Create an immediate risk owner, minimum control baseline and fallback procedure for retention risk monitoring for critical people, high performers and scarce-skill roles. Add it to the crisis risk register and collect first evidence.</t>
  </si>
  <si>
    <t>Document retention risk monitoring for critical people, high performers and scarce-skill roles, assign RACI, define minimum controls and KPIs, and validate coverage across key sites, teams or systems.</t>
  </si>
  <si>
    <t>Standardize retention risk monitoring for critical people, high performers and scarce-skill roles, close coverage gaps, train accountable roles and connect controls to the relevant crisis scenarios and continuity plans.</t>
  </si>
  <si>
    <t>Measure and test retention risk monitoring for critical people, high performers and scarce-skill roles, run tabletop or operational stress tests, integrate it with dependent processes and update crisis playbooks.</t>
  </si>
  <si>
    <t>Sustain maturity for retention risk monitoring for critical people, high performers and scarce-skill roles: keep evidence current, monitor drift, benchmark externally and refresh risk tests after organizational, system or market changes.</t>
  </si>
  <si>
    <t>HR Workforce!14</t>
  </si>
  <si>
    <t>Immature capability for compensation and payroll continuity during banking, legal or system disruption may lead to loss of critical knowledge, reduced productivity, unmanaged absenteeism and inability to keep essential work running during Workforce disruption; Pandemic/health crisis; War/security crisis.</t>
  </si>
  <si>
    <t>Low maturity, weak ownership, incomplete evidence, insufficient testing and poor integration with crisis-management routines for compensation and payroll continuity during banking, legal or system disruption.</t>
  </si>
  <si>
    <t>Severe risk: compensation and payroll continuity during banking, legal or system disruption is not reliably controlled. During Workforce disruption; Pandemic/health crisis; War/security crisis, the organization may face loss of critical knowledge, reduced productivity, unmanaged absenteeism and inability to keep essential work running with limited visibility or accountability.</t>
  </si>
  <si>
    <t>High risk: compensation and payroll continuity during banking, legal or system disruption depends on informal practices or individual knowledge. Disruption may expose loss of critical knowledge, reduced productivity, unmanaged absenteeism and inability to keep essential work running and slow recovery.</t>
  </si>
  <si>
    <t>Elevated risk: compensation and payroll continuity during banking, legal or system disruption is partially controlled, but coverage, evidence or testing is inconsistent. Crisis response may be fragmented.</t>
  </si>
  <si>
    <t>Moderate risk: compensation and payroll continuity during banking, legal or system disruption is documented and owned, but measurement, stress testing and integration with dependent processes need strengthening.</t>
  </si>
  <si>
    <t>Residual risk: compensation and payroll continuity during banking, legal or system disruption is measured and reviewed, but monitoring, automation or scenario testing should be improved to prevent maturity drift.</t>
  </si>
  <si>
    <t>Low residual risk: compensation and payroll continuity during banking, legal or system disruption is mature and crisis-tested. Maintain monitoring, evidence, ownership and periodic stress testing.</t>
  </si>
  <si>
    <t>Create an immediate risk owner, minimum control baseline and fallback procedure for compensation and payroll continuity during banking, legal or system disruption. Add it to the crisis risk register and collect first evidence.</t>
  </si>
  <si>
    <t>Document compensation and payroll continuity during banking, legal or system disruption, assign RACI, define minimum controls and KPIs, and validate coverage across key sites, teams or systems.</t>
  </si>
  <si>
    <t>Standardize compensation and payroll continuity during banking, legal or system disruption, close coverage gaps, train accountable roles and connect controls to the relevant crisis scenarios and continuity plans.</t>
  </si>
  <si>
    <t>Measure and test compensation and payroll continuity during banking, legal or system disruption, run tabletop or operational stress tests, integrate it with dependent processes and update crisis playbooks.</t>
  </si>
  <si>
    <t>Sustain maturity for compensation and payroll continuity during banking, legal or system disruption: keep evidence current, monitor drift, benchmark externally and refresh risk tests after organizational, system or market changes.</t>
  </si>
  <si>
    <t>HR Workforce!15</t>
  </si>
  <si>
    <t>Immature capability for succession planning and deputies for all critical leadership and operational roles may lead to loss of critical knowledge, reduced productivity, unmanaged absenteeism and inability to keep essential work running during Workforce disruption; Pandemic/health crisis; War/security crisis.</t>
  </si>
  <si>
    <t>Low maturity, weak ownership, incomplete evidence, insufficient testing and poor integration with crisis-management routines for succession planning and deputies for all critical leadership and operational roles.</t>
  </si>
  <si>
    <t>Severe risk: succession planning and deputies for all critical leadership and operational roles is not reliably controlled. During Workforce disruption; Pandemic/health crisis; War/security crisis, the organization may face loss of critical knowledge, reduced productivity, unmanaged absenteeism and inability to keep essential work running with limited visibility or accountability.</t>
  </si>
  <si>
    <t>High risk: succession planning and deputies for all critical leadership and operational roles depends on informal practices or individual knowledge. Disruption may expose loss of critical knowledge, reduced productivity, unmanaged absenteeism and inability to keep essential work running and slow recovery.</t>
  </si>
  <si>
    <t>Elevated risk: succession planning and deputies for all critical leadership and operational roles is partially controlled, but coverage, evidence or testing is inconsistent. Crisis response may be fragmented.</t>
  </si>
  <si>
    <t>Moderate risk: succession planning and deputies for all critical leadership and operational roles is documented and owned, but measurement, stress testing and integration with dependent processes need strengthening.</t>
  </si>
  <si>
    <t>Residual risk: succession planning and deputies for all critical leadership and operational roles is measured and reviewed, but monitoring, automation or scenario testing should be improved to prevent maturity drift.</t>
  </si>
  <si>
    <t>Low residual risk: succession planning and deputies for all critical leadership and operational roles is mature and crisis-tested. Maintain monitoring, evidence, ownership and periodic stress testing.</t>
  </si>
  <si>
    <t>Create an immediate risk owner, minimum control baseline and fallback procedure for succession planning and deputies for all critical leadership and operational roles. Add it to the crisis risk register and collect first evidence.</t>
  </si>
  <si>
    <t>Document succession planning and deputies for all critical leadership and operational roles, assign RACI, define minimum controls and KPIs, and validate coverage across key sites, teams or systems.</t>
  </si>
  <si>
    <t>Standardize succession planning and deputies for all critical leadership and operational roles, close coverage gaps, train accountable roles and connect controls to the relevant crisis scenarios and continuity plans.</t>
  </si>
  <si>
    <t>Measure and test succession planning and deputies for all critical leadership and operational roles, run tabletop or operational stress tests, integrate it with dependent processes and update crisis playbooks.</t>
  </si>
  <si>
    <t>Sustain maturity for succession planning and deputies for all critical leadership and operational roles: keep evidence current, monitor drift, benchmark externally and refresh risk tests after organizational, system or market changes.</t>
  </si>
  <si>
    <t>HR Workforce!16</t>
  </si>
  <si>
    <t>Immature capability for remote onboarding with secure access, equipment, training and manager support may lead to loss of critical knowledge, reduced productivity, unmanaged absenteeism and inability to keep essential work running during Workforce disruption; Pandemic/health crisis; War/security crisis.</t>
  </si>
  <si>
    <t>Low maturity, weak ownership, incomplete evidence, insufficient testing and poor integration with crisis-management routines for remote onboarding with secure access, equipment, training and manager support.</t>
  </si>
  <si>
    <t>Severe risk: remote onboarding with secure access, equipment, training and manager support is not reliably controlled. During Workforce disruption; Pandemic/health crisis; War/security crisis, the organization may face loss of critical knowledge, reduced productivity, unmanaged absenteeism and inability to keep essential work running with limited visibility or accountability.</t>
  </si>
  <si>
    <t>High risk: remote onboarding with secure access, equipment, training and manager support depends on informal practices or individual knowledge. Disruption may expose loss of critical knowledge, reduced productivity, unmanaged absenteeism and inability to keep essential work running and slow recovery.</t>
  </si>
  <si>
    <t>Elevated risk: remote onboarding with secure access, equipment, training and manager support is partially controlled, but coverage, evidence or testing is inconsistent. Crisis response may be fragmented.</t>
  </si>
  <si>
    <t>Moderate risk: remote onboarding with secure access, equipment, training and manager support is documented and owned, but measurement, stress testing and integration with dependent processes need strengthening.</t>
  </si>
  <si>
    <t>Residual risk: remote onboarding with secure access, equipment, training and manager support is measured and reviewed, but monitoring, automation or scenario testing should be improved to prevent maturity drift.</t>
  </si>
  <si>
    <t>Low residual risk: remote onboarding with secure access, equipment, training and manager support is mature and crisis-tested. Maintain monitoring, evidence, ownership and periodic stress testing.</t>
  </si>
  <si>
    <t>Create an immediate risk owner, minimum control baseline and fallback procedure for remote onboarding with secure access, equipment, training and manager support. Add it to the crisis risk register and collect first evidence.</t>
  </si>
  <si>
    <t>Document remote onboarding with secure access, equipment, training and manager support, assign RACI, define minimum controls and KPIs, and validate coverage across key sites, teams or systems.</t>
  </si>
  <si>
    <t>Standardize remote onboarding with secure access, equipment, training and manager support, close coverage gaps, train accountable roles and connect controls to the relevant crisis scenarios and continuity plans.</t>
  </si>
  <si>
    <t>Measure and test remote onboarding with secure access, equipment, training and manager support, run tabletop or operational stress tests, integrate it with dependent processes and update crisis playbooks.</t>
  </si>
  <si>
    <t>Sustain maturity for remote onboarding with secure access, equipment, training and manager support: keep evidence current, monitor drift, benchmark externally and refresh risk tests after organizational, system or market changes.</t>
  </si>
  <si>
    <t>HR Workforce!17</t>
  </si>
  <si>
    <t>Immature capability for remote work capability with secure access, connectivity, equipment and documented procedures may lead to loss of critical knowledge, reduced productivity, unmanaged absenteeism and inability to keep essential work running during Workforce disruption; Pandemic/health crisis; War/security crisis.</t>
  </si>
  <si>
    <t>Low maturity, weak ownership, incomplete evidence, insufficient testing and poor integration with crisis-management routines for remote work capability with secure access, connectivity, equipment and documented procedures.</t>
  </si>
  <si>
    <t>Severe risk: remote work capability with secure access, connectivity, equipment and documented procedures is not reliably controlled. During Workforce disruption; Pandemic/health crisis; War/security crisis, the organization may face loss of critical knowledge, reduced productivity, unmanaged absenteeism and inability to keep essential work running with limited visibility or accountability.</t>
  </si>
  <si>
    <t>High risk: remote work capability with secure access, connectivity, equipment and documented procedures depends on informal practices or individual knowledge. Disruption may expose loss of critical knowledge, reduced productivity, unmanaged absenteeism and inability to keep essential work running and slow recovery.</t>
  </si>
  <si>
    <t>Elevated risk: remote work capability with secure access, connectivity, equipment and documented procedures is partially controlled, but coverage, evidence or testing is inconsistent. Crisis response may be fragmented.</t>
  </si>
  <si>
    <t>Moderate risk: remote work capability with secure access, connectivity, equipment and documented procedures is documented and owned, but measurement, stress testing and integration with dependent processes need strengthening.</t>
  </si>
  <si>
    <t>Residual risk: remote work capability with secure access, connectivity, equipment and documented procedures is measured and reviewed, but monitoring, automation or scenario testing should be improved to prevent maturity drift.</t>
  </si>
  <si>
    <t>Low residual risk: remote work capability with secure access, connectivity, equipment and documented procedures is mature and crisis-tested. Maintain monitoring, evidence, ownership and periodic stress testing.</t>
  </si>
  <si>
    <t>Create an immediate risk owner, minimum control baseline and fallback procedure for remote work capability with secure access, connectivity, equipment and documented procedures. Add it to the crisis risk register and collect first evidence.</t>
  </si>
  <si>
    <t>Document remote work capability with secure access, connectivity, equipment and documented procedures, assign RACI, define minimum controls and KPIs, and validate coverage across key sites, teams or systems.</t>
  </si>
  <si>
    <t>Standardize remote work capability with secure access, connectivity, equipment and documented procedures, close coverage gaps, train accountable roles and connect controls to the relevant crisis scenarios and continuity plans.</t>
  </si>
  <si>
    <t>Measure and test remote work capability with secure access, connectivity, equipment and documented procedures, run tabletop or operational stress tests, integrate it with dependent processes and update crisis playbooks.</t>
  </si>
  <si>
    <t>Sustain maturity for remote work capability with secure access, connectivity, equipment and documented procedures: keep evidence current, monitor drift, benchmark externally and refresh risk tests after organizational, system or market changes.</t>
  </si>
  <si>
    <t>HR Workforce!18</t>
  </si>
  <si>
    <t>Immature capability for backup connectivity options for critical staff and locations may lead to loss of critical knowledge, reduced productivity, unmanaged absenteeism and inability to keep essential work running during Workforce disruption; Pandemic/health crisis; War/security crisis.</t>
  </si>
  <si>
    <t>Low maturity, weak ownership, incomplete evidence, insufficient testing and poor integration with crisis-management routines for backup connectivity options for critical staff and locations.</t>
  </si>
  <si>
    <t>Severe risk: backup connectivity options for critical staff and locations is not reliably controlled. During Workforce disruption; Pandemic/health crisis; War/security crisis, the organization may face loss of critical knowledge, reduced productivity, unmanaged absenteeism and inability to keep essential work running with limited visibility or accountability.</t>
  </si>
  <si>
    <t>High risk: backup connectivity options for critical staff and locations depends on informal practices or individual knowledge. Disruption may expose loss of critical knowledge, reduced productivity, unmanaged absenteeism and inability to keep essential work running and slow recovery.</t>
  </si>
  <si>
    <t>Elevated risk: backup connectivity options for critical staff and locations is partially controlled, but coverage, evidence or testing is inconsistent. Crisis response may be fragmented.</t>
  </si>
  <si>
    <t>Moderate risk: backup connectivity options for critical staff and locations is documented and owned, but measurement, stress testing and integration with dependent processes need strengthening.</t>
  </si>
  <si>
    <t>Residual risk: backup connectivity options for critical staff and locations is measured and reviewed, but monitoring, automation or scenario testing should be improved to prevent maturity drift.</t>
  </si>
  <si>
    <t>Low residual risk: backup connectivity options for critical staff and locations is mature and crisis-tested. Maintain monitoring, evidence, ownership and periodic stress testing.</t>
  </si>
  <si>
    <t>Create an immediate risk owner, minimum control baseline and fallback procedure for backup connectivity options for critical staff and locations. Add it to the crisis risk register and collect first evidence.</t>
  </si>
  <si>
    <t>Document backup connectivity options for critical staff and locations, assign RACI, define minimum controls and KPIs, and validate coverage across key sites, teams or systems.</t>
  </si>
  <si>
    <t>Standardize backup connectivity options for critical staff and locations, close coverage gaps, train accountable roles and connect controls to the relevant crisis scenarios and continuity plans.</t>
  </si>
  <si>
    <t>Measure and test backup connectivity options for critical staff and locations, run tabletop or operational stress tests, integrate it with dependent processes and update crisis playbooks.</t>
  </si>
  <si>
    <t>Sustain maturity for backup connectivity options for critical staff and locations: keep evidence current, monitor drift, benchmark externally and refresh risk tests after organizational, system or market changes.</t>
  </si>
  <si>
    <t>HR Workforce!19</t>
  </si>
  <si>
    <t>Immature capability for employee location and safety check process during severe incidents may lead to loss of critical knowledge, reduced productivity, unmanaged absenteeism and inability to keep essential work running during Workforce disruption; Pandemic/health crisis; War/security crisis.</t>
  </si>
  <si>
    <t>Low maturity, weak ownership, incomplete evidence, insufficient testing and poor integration with crisis-management routines for employee location and safety check process during severe incidents.</t>
  </si>
  <si>
    <t>Severe risk: employee location and safety check process during severe incidents is not reliably controlled. During Workforce disruption; Pandemic/health crisis; War/security crisis, the organization may face loss of critical knowledge, reduced productivity, unmanaged absenteeism and inability to keep essential work running with limited visibility or accountability.</t>
  </si>
  <si>
    <t>High risk: employee location and safety check process during severe incidents depends on informal practices or individual knowledge. Disruption may expose loss of critical knowledge, reduced productivity, unmanaged absenteeism and inability to keep essential work running and slow recovery.</t>
  </si>
  <si>
    <t>Elevated risk: employee location and safety check process during severe incidents is partially controlled, but coverage, evidence or testing is inconsistent. Crisis response may be fragmented.</t>
  </si>
  <si>
    <t>Moderate risk: employee location and safety check process during severe incidents is documented and owned, but measurement, stress testing and integration with dependent processes need strengthening.</t>
  </si>
  <si>
    <t>Residual risk: employee location and safety check process during severe incidents is measured and reviewed, but monitoring, automation or scenario testing should be improved to prevent maturity drift.</t>
  </si>
  <si>
    <t>Low residual risk: employee location and safety check process during severe incidents is mature and crisis-tested. Maintain monitoring, evidence, ownership and periodic stress testing.</t>
  </si>
  <si>
    <t>Create an immediate risk owner, minimum control baseline and fallback procedure for employee location and safety check process during severe incidents. Add it to the crisis risk register and collect first evidence.</t>
  </si>
  <si>
    <t>Document employee location and safety check process during severe incidents, assign RACI, define minimum controls and KPIs, and validate coverage across key sites, teams or systems.</t>
  </si>
  <si>
    <t>Standardize employee location and safety check process during severe incidents, close coverage gaps, train accountable roles and connect controls to the relevant crisis scenarios and continuity plans.</t>
  </si>
  <si>
    <t>Measure and test employee location and safety check process during severe incidents, run tabletop or operational stress tests, integrate it with dependent processes and update crisis playbooks.</t>
  </si>
  <si>
    <t>Sustain maturity for employee location and safety check process during severe incidents: keep evidence current, monitor drift, benchmark externally and refresh risk tests after organizational, system or market changes.</t>
  </si>
  <si>
    <t>HR Workforce!20</t>
  </si>
  <si>
    <t>Immature capability for wellbeing, fatigue, burnout and psychological safety monitoring during prolonged crisis may lead to loss of critical knowledge, reduced productivity, unmanaged absenteeism and inability to keep essential work running during Workforce disruption; Pandemic/health crisis; War/security crisis.</t>
  </si>
  <si>
    <t>Low maturity, weak ownership, incomplete evidence, insufficient testing and poor integration with crisis-management routines for wellbeing, fatigue, burnout and psychological safety monitoring during prolonged crisis.</t>
  </si>
  <si>
    <t>Severe risk: wellbeing, fatigue, burnout and psychological safety monitoring during prolonged crisis is not reliably controlled. During Workforce disruption; Pandemic/health crisis; War/security crisis, the organization may face loss of critical knowledge, reduced productivity, unmanaged absenteeism and inability to keep essential work running with limited visibility or accountability.</t>
  </si>
  <si>
    <t>High risk: wellbeing, fatigue, burnout and psychological safety monitoring during prolonged crisis depends on informal practices or individual knowledge. Disruption may expose loss of critical knowledge, reduced productivity, unmanaged absenteeism and inability to keep essential work running and slow recovery.</t>
  </si>
  <si>
    <t>Elevated risk: wellbeing, fatigue, burnout and psychological safety monitoring during prolonged crisis is partially controlled, but coverage, evidence or testing is inconsistent. Crisis response may be fragmented.</t>
  </si>
  <si>
    <t>Moderate risk: wellbeing, fatigue, burnout and psychological safety monitoring during prolonged crisis is documented and owned, but measurement, stress testing and integration with dependent processes need strengthening.</t>
  </si>
  <si>
    <t>Residual risk: wellbeing, fatigue, burnout and psychological safety monitoring during prolonged crisis is measured and reviewed, but monitoring, automation or scenario testing should be improved to prevent maturity drift.</t>
  </si>
  <si>
    <t>Low residual risk: wellbeing, fatigue, burnout and psychological safety monitoring during prolonged crisis is mature and crisis-tested. Maintain monitoring, evidence, ownership and periodic stress testing.</t>
  </si>
  <si>
    <t>Create an immediate risk owner, minimum control baseline and fallback procedure for wellbeing, fatigue, burnout and psychological safety monitoring during prolonged crisis. Add it to the crisis risk register and collect first evidence.</t>
  </si>
  <si>
    <t>Document wellbeing, fatigue, burnout and psychological safety monitoring during prolonged crisis, assign RACI, define minimum controls and KPIs, and validate coverage across key sites, teams or systems.</t>
  </si>
  <si>
    <t>Standardize wellbeing, fatigue, burnout and psychological safety monitoring during prolonged crisis, close coverage gaps, train accountable roles and connect controls to the relevant crisis scenarios and continuity plans.</t>
  </si>
  <si>
    <t>Measure and test wellbeing, fatigue, burnout and psychological safety monitoring during prolonged crisis, run tabletop or operational stress tests, integrate it with dependent processes and update crisis playbooks.</t>
  </si>
  <si>
    <t>Sustain maturity for wellbeing, fatigue, burnout and psychological safety monitoring during prolonged crisis: keep evidence current, monitor drift, benchmark externally and refresh risk tests after organizational, system or market changes.</t>
  </si>
  <si>
    <t>HR Workforce!21</t>
  </si>
  <si>
    <t>Immature capability for emergency HR policies for relocation, evacuation, hardship support, flexible work and temporary staffing may lead to loss of critical knowledge, reduced productivity, unmanaged absenteeism and inability to keep essential work running during Workforce disruption; Pandemic/health crisis; War/security crisis.</t>
  </si>
  <si>
    <t>Low maturity, weak ownership, incomplete evidence, insufficient testing and poor integration with crisis-management routines for emergency HR policies for relocation, evacuation, hardship support, flexible work and temporary staffing.</t>
  </si>
  <si>
    <t>Severe risk: emergency HR policies for relocation, evacuation, hardship support, flexible work and temporary staffing is not reliably controlled. During Workforce disruption; Pandemic/health crisis; War/security crisis, the organization may face loss of critical knowledge, reduced productivity, unmanaged absenteeism and inability to keep essential work running with limited visibility or accountability.</t>
  </si>
  <si>
    <t>High risk: emergency HR policies for relocation, evacuation, hardship support, flexible work and temporary staffing depends on informal practices or individual knowledge. Disruption may expose loss of critical knowledge, reduced productivity, unmanaged absenteeism and inability to keep essential work running and slow recovery.</t>
  </si>
  <si>
    <t>Elevated risk: emergency HR policies for relocation, evacuation, hardship support, flexible work and temporary staffing is partially controlled, but coverage, evidence or testing is inconsistent. Crisis response may be fragmented.</t>
  </si>
  <si>
    <t>Moderate risk: emergency HR policies for relocation, evacuation, hardship support, flexible work and temporary staffing is documented and owned, but measurement, stress testing and integration with dependent processes need strengthening.</t>
  </si>
  <si>
    <t>Residual risk: emergency HR policies for relocation, evacuation, hardship support, flexible work and temporary staffing is measured and reviewed, but monitoring, automation or scenario testing should be improved to prevent maturity drift.</t>
  </si>
  <si>
    <t>Low residual risk: emergency HR policies for relocation, evacuation, hardship support, flexible work and temporary staffing is mature and crisis-tested. Maintain monitoring, evidence, ownership and periodic stress testing.</t>
  </si>
  <si>
    <t>Create an immediate risk owner, minimum control baseline and fallback procedure for emergency HR policies for relocation, evacuation, hardship support, flexible work and temporary staffing. Add it to the crisis risk register and collect first evidence.</t>
  </si>
  <si>
    <t>Document emergency HR policies for relocation, evacuation, hardship support, flexible work and temporary staffing, assign RACI, define minimum controls and KPIs, and validate coverage across key sites, teams or systems.</t>
  </si>
  <si>
    <t>Standardize emergency HR policies for relocation, evacuation, hardship support, flexible work and temporary staffing, close coverage gaps, train accountable roles and connect controls to the relevant crisis scenarios and continuity plans.</t>
  </si>
  <si>
    <t>Measure and test emergency HR policies for relocation, evacuation, hardship support, flexible work and temporary staffing, run tabletop or operational stress tests, integrate it with dependent processes and update crisis playbooks.</t>
  </si>
  <si>
    <t>Sustain maturity for emergency HR policies for relocation, evacuation, hardship support, flexible work and temporary staffing: keep evidence current, monitor drift, benchmark externally and refresh risk tests after organizational, system or market changes.</t>
  </si>
  <si>
    <t>HR Workforce!22</t>
  </si>
  <si>
    <t>Immature capability for cross-training and knowledge transfer for critical operations and rare skills may lead to loss of critical knowledge, reduced productivity, unmanaged absenteeism and inability to keep essential work running during Workforce disruption; Pandemic/health crisis; War/security crisis.</t>
  </si>
  <si>
    <t>Low maturity, weak ownership, incomplete evidence, insufficient testing and poor integration with crisis-management routines for cross-training and knowledge transfer for critical operations and rare skills.</t>
  </si>
  <si>
    <t>Severe risk: cross-training and knowledge transfer for critical operations and rare skills is not reliably controlled. During Workforce disruption; Pandemic/health crisis; War/security crisis, the organization may face loss of critical knowledge, reduced productivity, unmanaged absenteeism and inability to keep essential work running with limited visibility or accountability.</t>
  </si>
  <si>
    <t>High risk: cross-training and knowledge transfer for critical operations and rare skills depends on informal practices or individual knowledge. Disruption may expose loss of critical knowledge, reduced productivity, unmanaged absenteeism and inability to keep essential work running and slow recovery.</t>
  </si>
  <si>
    <t>Elevated risk: cross-training and knowledge transfer for critical operations and rare skills is partially controlled, but coverage, evidence or testing is inconsistent. Crisis response may be fragmented.</t>
  </si>
  <si>
    <t>Moderate risk: cross-training and knowledge transfer for critical operations and rare skills is documented and owned, but measurement, stress testing and integration with dependent processes need strengthening.</t>
  </si>
  <si>
    <t>Residual risk: cross-training and knowledge transfer for critical operations and rare skills is measured and reviewed, but monitoring, automation or scenario testing should be improved to prevent maturity drift.</t>
  </si>
  <si>
    <t>Low residual risk: cross-training and knowledge transfer for critical operations and rare skills is mature and crisis-tested. Maintain monitoring, evidence, ownership and periodic stress testing.</t>
  </si>
  <si>
    <t>Create an immediate risk owner, minimum control baseline and fallback procedure for cross-training and knowledge transfer for critical operations and rare skills. Add it to the crisis risk register and collect first evidence.</t>
  </si>
  <si>
    <t>Document cross-training and knowledge transfer for critical operations and rare skills, assign RACI, define minimum controls and KPIs, and validate coverage across key sites, teams or systems.</t>
  </si>
  <si>
    <t>Standardize cross-training and knowledge transfer for critical operations and rare skills, close coverage gaps, train accountable roles and connect controls to the relevant crisis scenarios and continuity plans.</t>
  </si>
  <si>
    <t>Measure and test cross-training and knowledge transfer for critical operations and rare skills, run tabletop or operational stress tests, integrate it with dependent processes and update crisis playbooks.</t>
  </si>
  <si>
    <t>Sustain maturity for cross-training and knowledge transfer for critical operations and rare skills: keep evidence current, monitor drift, benchmark externally and refresh risk tests after organizational, system or market changes.</t>
  </si>
  <si>
    <t>HR Workforce!23</t>
  </si>
  <si>
    <t>Immature capability for HRMS reliability, backup, manual fallback and data quality for employee records and emergency contacts may lead to loss of critical knowledge, reduced productivity, unmanaged absenteeism and inability to keep essential work running during Workforce disruption; Pandemic/health crisis; War/security crisis.</t>
  </si>
  <si>
    <t>Low maturity, weak ownership, incomplete evidence, insufficient testing and poor integration with crisis-management routines for HRMS reliability, backup, manual fallback and data quality for employee records and emergency contacts.</t>
  </si>
  <si>
    <t>Severe risk: HRMS reliability, backup, manual fallback and data quality for employee records and emergency contacts is not reliably controlled. During Workforce disruption; Pandemic/health crisis; War/security crisis, the organization may face loss of critical knowledge, reduced productivity, unmanaged absenteeism and inability to keep essential work running with limited visibility or accountability.</t>
  </si>
  <si>
    <t>High risk: HRMS reliability, backup, manual fallback and data quality for employee records and emergency contacts depends on informal practices or individual knowledge. Disruption may expose loss of critical knowledge, reduced productivity, unmanaged absenteeism and inability to keep essential work running and slow recovery.</t>
  </si>
  <si>
    <t>Elevated risk: HRMS reliability, backup, manual fallback and data quality for employee records and emergency contacts is partially controlled, but coverage, evidence or testing is inconsistent. Crisis response may be fragmented.</t>
  </si>
  <si>
    <t>Moderate risk: HRMS reliability, backup, manual fallback and data quality for employee records and emergency contacts is documented and owned, but measurement, stress testing and integration with dependent processes need strengthening.</t>
  </si>
  <si>
    <t>Residual risk: HRMS reliability, backup, manual fallback and data quality for employee records and emergency contacts is measured and reviewed, but monitoring, automation or scenario testing should be improved to prevent maturity drift.</t>
  </si>
  <si>
    <t>Low residual risk: HRMS reliability, backup, manual fallback and data quality for employee records and emergency contacts is mature and crisis-tested. Maintain monitoring, evidence, ownership and periodic stress testing.</t>
  </si>
  <si>
    <t>Create an immediate risk owner, minimum control baseline and fallback procedure for HRMS reliability, backup, manual fallback and data quality for employee records and emergency contacts. Add it to the crisis risk register and collect first evidence.</t>
  </si>
  <si>
    <t>Document HRMS reliability, backup, manual fallback and data quality for employee records and emergency contacts, assign RACI, define minimum controls and KPIs, and validate coverage across key sites, teams or systems.</t>
  </si>
  <si>
    <t>Standardize HRMS reliability, backup, manual fallback and data quality for employee records and emergency contacts, close coverage gaps, train accountable roles and connect controls to the relevant crisis scenarios and continuity plans.</t>
  </si>
  <si>
    <t>Measure and test HRMS reliability, backup, manual fallback and data quality for employee records and emergency contacts, run tabletop or operational stress tests, integrate it with dependent processes and update crisis playbooks.</t>
  </si>
  <si>
    <t>Sustain maturity for HRMS reliability, backup, manual fallback and data quality for employee records and emergency contacts: keep evidence current, monitor drift, benchmark externally and refresh risk tests after organizational, system or market changes.</t>
  </si>
  <si>
    <t>HR Workforce!24</t>
  </si>
  <si>
    <t>Immature capability for employment compliance by country, contract type, working hours and emergency measures may lead to loss of critical knowledge, reduced productivity, unmanaged absenteeism and inability to keep essential work running during Workforce disruption; Pandemic/health crisis; War/security crisis.</t>
  </si>
  <si>
    <t>Low maturity, weak ownership, incomplete evidence, insufficient testing and poor integration with crisis-management routines for employment compliance by country, contract type, working hours and emergency measures.</t>
  </si>
  <si>
    <t>Severe risk: employment compliance by country, contract type, working hours and emergency measures is not reliably controlled. During Workforce disruption; Pandemic/health crisis; War/security crisis, the organization may face loss of critical knowledge, reduced productivity, unmanaged absenteeism and inability to keep essential work running with limited visibility or accountability.</t>
  </si>
  <si>
    <t>High risk: employment compliance by country, contract type, working hours and emergency measures depends on informal practices or individual knowledge. Disruption may expose loss of critical knowledge, reduced productivity, unmanaged absenteeism and inability to keep essential work running and slow recovery.</t>
  </si>
  <si>
    <t>Elevated risk: employment compliance by country, contract type, working hours and emergency measures is partially controlled, but coverage, evidence or testing is inconsistent. Crisis response may be fragmented.</t>
  </si>
  <si>
    <t>Moderate risk: employment compliance by country, contract type, working hours and emergency measures is documented and owned, but measurement, stress testing and integration with dependent processes need strengthening.</t>
  </si>
  <si>
    <t>Residual risk: employment compliance by country, contract type, working hours and emergency measures is measured and reviewed, but monitoring, automation or scenario testing should be improved to prevent maturity drift.</t>
  </si>
  <si>
    <t>Low residual risk: employment compliance by country, contract type, working hours and emergency measures is mature and crisis-tested. Maintain monitoring, evidence, ownership and periodic stress testing.</t>
  </si>
  <si>
    <t>Create an immediate risk owner, minimum control baseline and fallback procedure for employment compliance by country, contract type, working hours and emergency measures. Add it to the crisis risk register and collect first evidence.</t>
  </si>
  <si>
    <t>Document employment compliance by country, contract type, working hours and emergency measures, assign RACI, define minimum controls and KPIs, and validate coverage across key sites, teams or systems.</t>
  </si>
  <si>
    <t>Standardize employment compliance by country, contract type, working hours and emergency measures, close coverage gaps, train accountable roles and connect controls to the relevant crisis scenarios and continuity plans.</t>
  </si>
  <si>
    <t>Measure and test employment compliance by country, contract type, working hours and emergency measures, run tabletop or operational stress tests, integrate it with dependent processes and update crisis playbooks.</t>
  </si>
  <si>
    <t>Sustain maturity for employment compliance by country, contract type, working hours and emergency measures: keep evidence current, monitor drift, benchmark externally and refresh risk tests after organizational, system or market changes.</t>
  </si>
  <si>
    <t>HR Workforce!25</t>
  </si>
  <si>
    <t>Immature capability for health emergency protocols for infectious disease, injury, evacuation and return-to-work may lead to loss of critical knowledge, reduced productivity, unmanaged absenteeism and inability to keep essential work running during Workforce disruption; Pandemic/health crisis; War/security crisis.</t>
  </si>
  <si>
    <t>Low maturity, weak ownership, incomplete evidence, insufficient testing and poor integration with crisis-management routines for health emergency protocols for infectious disease, injury, evacuation and return-to-work.</t>
  </si>
  <si>
    <t>Severe risk: health emergency protocols for infectious disease, injury, evacuation and return-to-work is not reliably controlled. During Workforce disruption; Pandemic/health crisis; War/security crisis, the organization may face loss of critical knowledge, reduced productivity, unmanaged absenteeism and inability to keep essential work running with limited visibility or accountability.</t>
  </si>
  <si>
    <t>High risk: health emergency protocols for infectious disease, injury, evacuation and return-to-work depends on informal practices or individual knowledge. Disruption may expose loss of critical knowledge, reduced productivity, unmanaged absenteeism and inability to keep essential work running and slow recovery.</t>
  </si>
  <si>
    <t>Elevated risk: health emergency protocols for infectious disease, injury, evacuation and return-to-work is partially controlled, but coverage, evidence or testing is inconsistent. Crisis response may be fragmented.</t>
  </si>
  <si>
    <t>Moderate risk: health emergency protocols for infectious disease, injury, evacuation and return-to-work is documented and owned, but measurement, stress testing and integration with dependent processes need strengthening.</t>
  </si>
  <si>
    <t>Residual risk: health emergency protocols for infectious disease, injury, evacuation and return-to-work is measured and reviewed, but monitoring, automation or scenario testing should be improved to prevent maturity drift.</t>
  </si>
  <si>
    <t>Low residual risk: health emergency protocols for infectious disease, injury, evacuation and return-to-work is mature and crisis-tested. Maintain monitoring, evidence, ownership and periodic stress testing.</t>
  </si>
  <si>
    <t>Create an immediate risk owner, minimum control baseline and fallback procedure for health emergency protocols for infectious disease, injury, evacuation and return-to-work. Add it to the crisis risk register and collect first evidence.</t>
  </si>
  <si>
    <t>Document health emergency protocols for infectious disease, injury, evacuation and return-to-work, assign RACI, define minimum controls and KPIs, and validate coverage across key sites, teams or systems.</t>
  </si>
  <si>
    <t>Standardize health emergency protocols for infectious disease, injury, evacuation and return-to-work, close coverage gaps, train accountable roles and connect controls to the relevant crisis scenarios and continuity plans.</t>
  </si>
  <si>
    <t>Measure and test health emergency protocols for infectious disease, injury, evacuation and return-to-work, run tabletop or operational stress tests, integrate it with dependent processes and update crisis playbooks.</t>
  </si>
  <si>
    <t>Sustain maturity for health emergency protocols for infectious disease, injury, evacuation and return-to-work: keep evidence current, monitor drift, benchmark externally and refresh risk tests after organizational, system or market changes.</t>
  </si>
  <si>
    <t>HR Workforce!26</t>
  </si>
  <si>
    <t>Workforce trust and security</t>
  </si>
  <si>
    <t>Immature capability for background verification and vetting for roles with access to funds, sensitive data or critical systems may lead to insider risk in critical roles, fraud exposure and compliance gaps in regulated engagements during Cyberattack/ransomware; Regulatory/legal shock.</t>
  </si>
  <si>
    <t>Low maturity, weak ownership, incomplete evidence, insufficient testing and poor integration with crisis-management routines for background verification and vetting for roles with access to funds, sensitive data or critical systems.</t>
  </si>
  <si>
    <t>Severe risk: background verification and vetting for roles with access to funds, sensitive data or critical systems is not reliably controlled. During Cyberattack/ransomware; Regulatory/legal shock, the organization may face insider risk in critical roles, fraud exposure and compliance gaps in regulated engagements with limited visibility or accountability.</t>
  </si>
  <si>
    <t>High risk: background verification and vetting for roles with access to funds, sensitive data or critical systems depends on informal practices or individual knowledge. Disruption may expose insider risk in critical roles, fraud exposure and compliance gaps in regulated engagements and slow recovery.</t>
  </si>
  <si>
    <t>Elevated risk: background verification and vetting for roles with access to funds, sensitive data or critical systems is partially controlled, but coverage, evidence or testing is inconsistent. Crisis response may be fragmented.</t>
  </si>
  <si>
    <t>Moderate risk: background verification and vetting for roles with access to funds, sensitive data or critical systems is documented and owned, but measurement, stress testing and integration with dependent processes need strengthening.</t>
  </si>
  <si>
    <t>Residual risk: background verification and vetting for roles with access to funds, sensitive data or critical systems is measured and reviewed, but monitoring, automation or scenario testing should be improved to prevent maturity drift.</t>
  </si>
  <si>
    <t>Low residual risk: background verification and vetting for roles with access to funds, sensitive data or critical systems is mature and crisis-tested. Maintain monitoring, evidence, ownership and periodic stress testing.</t>
  </si>
  <si>
    <t>Create an immediate risk owner, minimum control baseline and fallback procedure for background verification and vetting for roles with access to funds, sensitive data or critical systems. Add it to the crisis risk register and collect first evidence.</t>
  </si>
  <si>
    <t>Document background verification and vetting for roles with access to funds, sensitive data or critical systems, assign RACI, define minimum controls and KPIs, and validate coverage across key sites, teams or systems.</t>
  </si>
  <si>
    <t>Standardize background verification and vetting for roles with access to funds, sensitive data or critical systems, close coverage gaps, train accountable roles and connect controls to the relevant crisis scenarios and continuity plans.</t>
  </si>
  <si>
    <t>Measure and test background verification and vetting for roles with access to funds, sensitive data or critical systems, run tabletop or operational stress tests, integrate it with dependent processes and update crisis playbooks.</t>
  </si>
  <si>
    <t>Sustain maturity for background verification and vetting for roles with access to funds, sensitive data or critical systems: keep evidence current, monitor drift, benchmark externally and refresh risk tests after organizational, system or market changes.</t>
  </si>
  <si>
    <t>Policy/SOP; owner/RACI; system report; dashboard; contracts; test records; incident history; interview evidence related to background verification and vetting for roles with access to funds, sensitive data or critical systems</t>
  </si>
  <si>
    <t>CHRO / CISO</t>
  </si>
  <si>
    <t>HR Workforce!27</t>
  </si>
  <si>
    <t>Immature capability for role-specific security responsibilities embedded in job descriptions with specialized training for high-risk roles may lead to critical-role employees unaware of security duties and untrained for role-specific threats during Cyberattack/ransomware; Workforce disruption.</t>
  </si>
  <si>
    <t>Low maturity, weak ownership, incomplete evidence, insufficient testing and poor integration with crisis-management routines for role-specific security responsibilities embedded in job descriptions with specialized training for high-risk roles.</t>
  </si>
  <si>
    <t>Severe risk: role-specific security responsibilities embedded in job descriptions with specialized training for high-risk roles is not reliably controlled. During Cyberattack/ransomware; Workforce disruption, the organization may face critical-role employees unaware of security duties and untrained for role-specific threats with limited visibility or accountability.</t>
  </si>
  <si>
    <t>High risk: role-specific security responsibilities embedded in job descriptions with specialized training for high-risk roles depends on informal practices or individual knowledge. Disruption may expose critical-role employees unaware of security duties and untrained for role-specific threats and slow recovery.</t>
  </si>
  <si>
    <t>Elevated risk: role-specific security responsibilities embedded in job descriptions with specialized training for high-risk roles is partially controlled, but coverage, evidence or testing is inconsistent. Crisis response may be fragmented.</t>
  </si>
  <si>
    <t>Moderate risk: role-specific security responsibilities embedded in job descriptions with specialized training for high-risk roles is documented and owned, but measurement, stress testing and integration with dependent processes need strengthening.</t>
  </si>
  <si>
    <t>Residual risk: role-specific security responsibilities embedded in job descriptions with specialized training for high-risk roles is measured and reviewed, but monitoring, automation or scenario testing should be improved to prevent maturity drift.</t>
  </si>
  <si>
    <t>Low residual risk: role-specific security responsibilities embedded in job descriptions with specialized training for high-risk roles is mature and crisis-tested. Maintain monitoring, evidence, ownership and periodic stress testing.</t>
  </si>
  <si>
    <t>Create an immediate risk owner, minimum control baseline and fallback procedure for role-specific security responsibilities embedded in job descriptions with specialized training for high-risk roles. Add it to the crisis risk register and collect first evidence.</t>
  </si>
  <si>
    <t>Document role-specific security responsibilities embedded in job descriptions with specialized training for high-risk roles, assign RACI, define minimum controls and KPIs, and validate coverage across key sites, teams or systems.</t>
  </si>
  <si>
    <t>Standardize role-specific security responsibilities embedded in job descriptions with specialized training for high-risk roles, close coverage gaps, train accountable roles and connect controls to the relevant crisis scenarios and continuity plans.</t>
  </si>
  <si>
    <t>Measure and test role-specific security responsibilities embedded in job descriptions with specialized training for high-risk roles, run tabletop or operational stress tests, integrate it with dependent processes and update crisis playbooks.</t>
  </si>
  <si>
    <t>Sustain maturity for role-specific security responsibilities embedded in job descriptions with specialized training for high-risk roles: keep evidence current, monitor drift, benchmark externally and refresh risk tests after organizational, system or market changes.</t>
  </si>
  <si>
    <t>Policy/SOP; owner/RACI; system report; dashboard; contracts; test records; incident history; interview evidence related to role-specific security responsibilities embedded in job descriptions with specialized training for high-risk roles</t>
  </si>
  <si>
    <t>HR Workforce!28</t>
  </si>
  <si>
    <t>Immature capability for systematic employee engagement measurement with trends, segmentation and follow-up actions may lead to invisible morale erosion, late attrition warnings and unverified people-related claims during Workforce disruption; Pandemic/health crisis.</t>
  </si>
  <si>
    <t>Low maturity, weak ownership, incomplete evidence, insufficient testing and poor integration with crisis-management routines for systematic employee engagement measurement with trends, segmentation and follow-up actions.</t>
  </si>
  <si>
    <t>Severe risk: systematic employee engagement measurement with trends, segmentation and follow-up actions is not reliably controlled. During Workforce disruption; Pandemic/health crisis, the organization may face invisible morale erosion, late attrition warnings and unverified people-related claims with limited visibility or accountability.</t>
  </si>
  <si>
    <t>High risk: systematic employee engagement measurement with trends, segmentation and follow-up actions depends on informal practices or individual knowledge. Disruption may expose invisible morale erosion, late attrition warnings and unverified people-related claims and slow recovery.</t>
  </si>
  <si>
    <t>Elevated risk: systematic employee engagement measurement with trends, segmentation and follow-up actions is partially controlled, but coverage, evidence or testing is inconsistent. Crisis response may be fragmented.</t>
  </si>
  <si>
    <t>Moderate risk: systematic employee engagement measurement with trends, segmentation and follow-up actions is documented and owned, but measurement, stress testing and integration with dependent processes need strengthening.</t>
  </si>
  <si>
    <t>Residual risk: systematic employee engagement measurement with trends, segmentation and follow-up actions is measured and reviewed, but monitoring, automation or scenario testing should be improved to prevent maturity drift.</t>
  </si>
  <si>
    <t>Low residual risk: systematic employee engagement measurement with trends, segmentation and follow-up actions is mature and crisis-tested. Maintain monitoring, evidence, ownership and periodic stress testing.</t>
  </si>
  <si>
    <t>Create an immediate risk owner, minimum control baseline and fallback procedure for systematic employee engagement measurement with trends, segmentation and follow-up actions. Add it to the crisis risk register and collect first evidence.</t>
  </si>
  <si>
    <t>Document systematic employee engagement measurement with trends, segmentation and follow-up actions, assign RACI, define minimum controls and KPIs, and validate coverage across key sites, teams or systems.</t>
  </si>
  <si>
    <t>Standardize systematic employee engagement measurement with trends, segmentation and follow-up actions, close coverage gaps, train accountable roles and connect controls to the relevant crisis scenarios and continuity plans.</t>
  </si>
  <si>
    <t>Measure and test systematic employee engagement measurement with trends, segmentation and follow-up actions, run tabletop or operational stress tests, integrate it with dependent processes and update crisis playbooks.</t>
  </si>
  <si>
    <t>Sustain maturity for systematic employee engagement measurement with trends, segmentation and follow-up actions: keep evidence current, monitor drift, benchmark externally and refresh risk tests after organizational, system or market changes.</t>
  </si>
  <si>
    <t>Policy/SOP; owner/RACI; system report; dashboard; contracts; test records; incident history; interview evidence related to systematic employee engagement measurement with trends, segmentation and follow-up actions</t>
  </si>
  <si>
    <t>CHRO</t>
  </si>
  <si>
    <t>HR Workforce!29</t>
  </si>
  <si>
    <t>Workforce availability under state obligations</t>
  </si>
  <si>
    <t>Immature capability for workforce exposure to national emergency duties such as conscription, reservist service or civil mobilization, including exemption processes and continuity planning may lead to sudden loss of critical staff to state duties, unplanned absence waves and stalled critical operations during War/security crisis; Workforce disruption.</t>
  </si>
  <si>
    <t>Low maturity, weak ownership, incomplete evidence, insufficient testing and poor integration with crisis-management routines for workforce exposure to national emergency duties such as conscription, reservist service or civil mobilization, including exemption processes and continuity planning.</t>
  </si>
  <si>
    <t>Severe risk: workforce exposure to national emergency duties such as conscription, reservist service or civil mobilization, including exemption processes and continuity planning is not reliably controlled. During War/security crisis; Workforce disruption, the organization may face sudden loss of critical staff to state duties, unplanned absence waves and stalled critical operations with limited visibility or accountability.</t>
  </si>
  <si>
    <t>High risk: workforce exposure to national emergency duties such as conscription, reservist service or civil mobilization, including exemption processes and continuity planning depends on informal practices or individual knowledge. Disruption may expose sudden loss of critical staff to state duties, unplanned absence waves and stalled critical operations and slow recovery.</t>
  </si>
  <si>
    <t>Elevated risk: workforce exposure to national emergency duties such as conscription, reservist service or civil mobilization, including exemption processes and continuity planning is partially controlled, but coverage, evidence or testing is inconsistent. Crisis response may be fragmented.</t>
  </si>
  <si>
    <t>Moderate risk: workforce exposure to national emergency duties such as conscription, reservist service or civil mobilization, including exemption processes and continuity planning is documented and owned, but measurement, stress testing and integration with dependent processes need strengthening.</t>
  </si>
  <si>
    <t>Residual risk: workforce exposure to national emergency duties such as conscription, reservist service or civil mobilization, including exemption processes and continuity planning is measured and reviewed, but monitoring, automation or scenario testing should be improved to prevent maturity drift.</t>
  </si>
  <si>
    <t>Low residual risk: workforce exposure to national emergency duties such as conscription, reservist service or civil mobilization, including exemption processes and continuity planning is mature and crisis-tested. Maintain monitoring, evidence, ownership and periodic stress testing.</t>
  </si>
  <si>
    <t>Create an immediate risk owner, minimum control baseline and fallback procedure for workforce exposure to national emergency duties such as conscription, reservist service or civil mobilization, including exemption processes and continuity planning. Add it to the crisis risk register and collect first evidence.</t>
  </si>
  <si>
    <t>Document workforce exposure to national emergency duties such as conscription, reservist service or civil mobilization, including exemption processes and continuity planning, assign RACI, define minimum controls and KPIs, and validate coverage across key sites, teams or systems.</t>
  </si>
  <si>
    <t>Standardize workforce exposure to national emergency duties such as conscription, reservist service or civil mobilization, including exemption processes and continuity planning, close coverage gaps, train accountable roles and connect controls to the relevant crisis scenarios and continuity plans.</t>
  </si>
  <si>
    <t>Measure and test workforce exposure to national emergency duties such as conscription, reservist service or civil mobilization, including exemption processes and continuity planning, run tabletop or operational stress tests, integrate it with dependent processes and update crisis playbooks.</t>
  </si>
  <si>
    <t>Sustain maturity for workforce exposure to national emergency duties such as conscription, reservist service or civil mobilization, including exemption processes and continuity planning: keep evidence current, monitor drift, benchmark externally and refresh risk tests after organizational, system or market changes.</t>
  </si>
  <si>
    <t>Policy/SOP; owner/RACI; system report; dashboard; contracts; test records; incident history; interview evidence related to workforce exposure to national emergency duties such as conscription, reservist service or civil mobilization, including exemption processes and continuity planning</t>
  </si>
  <si>
    <t>CHRO / Legal</t>
  </si>
  <si>
    <t>HR Workforce!30</t>
  </si>
  <si>
    <t>Immature capability for cash visibility by legal entity, bank, currency, restrictions and emergency access may lead to cash-flow stress, uncontrolled spend, supplier payment disruption and weak financial visibility during Financial / liquidity shock; Supplier disruption; Fraud risk.</t>
  </si>
  <si>
    <t>Low maturity, weak ownership, incomplete evidence, insufficient testing and poor integration with crisis-management routines for cash visibility by legal entity, bank, currency, restrictions and emergency access.</t>
  </si>
  <si>
    <t>Severe risk: cash visibility by legal entity, bank, currency, restrictions and emergency access is not reliably controlled. During Financial / liquidity shock; Supplier disruption; Fraud risk, the organization may face cash-flow stress, uncontrolled spend, supplier payment disruption and weak financial visibility with limited visibility or accountability.</t>
  </si>
  <si>
    <t>High risk: cash visibility by legal entity, bank, currency, restrictions and emergency access depends on informal practices or individual knowledge. Disruption may expose cash-flow stress, uncontrolled spend, supplier payment disruption and weak financial visibility and slow recovery.</t>
  </si>
  <si>
    <t>Elevated risk: cash visibility by legal entity, bank, currency, restrictions and emergency access is partially controlled, but coverage, evidence or testing is inconsistent. Crisis response may be fragmented.</t>
  </si>
  <si>
    <t>Moderate risk: cash visibility by legal entity, bank, currency, restrictions and emergency access is documented and owned, but measurement, stress testing and integration with dependent processes need strengthening.</t>
  </si>
  <si>
    <t>Residual risk: cash visibility by legal entity, bank, currency, restrictions and emergency access is measured and reviewed, but monitoring, automation or scenario testing should be improved to prevent maturity drift.</t>
  </si>
  <si>
    <t>Low residual risk: cash visibility by legal entity, bank, currency, restrictions and emergency access is mature and crisis-tested. Maintain monitoring, evidence, ownership and periodic stress testing.</t>
  </si>
  <si>
    <t>Create an immediate risk owner, minimum control baseline and fallback procedure for cash visibility by legal entity, bank, currency, restrictions and emergency access. Add it to the crisis risk register and collect first evidence.</t>
  </si>
  <si>
    <t>Document cash visibility by legal entity, bank, currency, restrictions and emergency access, assign RACI, define minimum controls and KPIs, and validate coverage across key sites, teams or systems.</t>
  </si>
  <si>
    <t>Standardize cash visibility by legal entity, bank, currency, restrictions and emergency access, close coverage gaps, train accountable roles and connect controls to the relevant crisis scenarios and continuity plans.</t>
  </si>
  <si>
    <t>Measure and test cash visibility by legal entity, bank, currency, restrictions and emergency access, run tabletop or operational stress tests, integrate it with dependent processes and update crisis playbooks.</t>
  </si>
  <si>
    <t>Sustain maturity for cash visibility by legal entity, bank, currency, restrictions and emergency access: keep evidence current, monitor drift, benchmark externally and refresh risk tests after organizational, system or market changes.</t>
  </si>
  <si>
    <t>CFO / Procurement</t>
  </si>
  <si>
    <t>Finance Procurement!5</t>
  </si>
  <si>
    <t>Immature capability for cash-flow forecasting under base, downside and severe crisis scenarios may lead to cash-flow stress, uncontrolled spend, supplier payment disruption and weak financial visibility during Financial / liquidity shock; Supplier disruption; Fraud risk.</t>
  </si>
  <si>
    <t>Low maturity, weak ownership, incomplete evidence, insufficient testing and poor integration with crisis-management routines for cash-flow forecasting under base, downside and severe crisis scenarios.</t>
  </si>
  <si>
    <t>Severe risk: cash-flow forecasting under base, downside and severe crisis scenarios is not reliably controlled. During Financial / liquidity shock; Supplier disruption; Fraud risk, the organization may face cash-flow stress, uncontrolled spend, supplier payment disruption and weak financial visibility with limited visibility or accountability.</t>
  </si>
  <si>
    <t>High risk: cash-flow forecasting under base, downside and severe crisis scenarios depends on informal practices or individual knowledge. Disruption may expose cash-flow stress, uncontrolled spend, supplier payment disruption and weak financial visibility and slow recovery.</t>
  </si>
  <si>
    <t>Elevated risk: cash-flow forecasting under base, downside and severe crisis scenarios is partially controlled, but coverage, evidence or testing is inconsistent. Crisis response may be fragmented.</t>
  </si>
  <si>
    <t>Moderate risk: cash-flow forecasting under base, downside and severe crisis scenarios is documented and owned, but measurement, stress testing and integration with dependent processes need strengthening.</t>
  </si>
  <si>
    <t>Residual risk: cash-flow forecasting under base, downside and severe crisis scenarios is measured and reviewed, but monitoring, automation or scenario testing should be improved to prevent maturity drift.</t>
  </si>
  <si>
    <t>Low residual risk: cash-flow forecasting under base, downside and severe crisis scenarios is mature and crisis-tested. Maintain monitoring, evidence, ownership and periodic stress testing.</t>
  </si>
  <si>
    <t>Create an immediate risk owner, minimum control baseline and fallback procedure for cash-flow forecasting under base, downside and severe crisis scenarios. Add it to the crisis risk register and collect first evidence.</t>
  </si>
  <si>
    <t>Document cash-flow forecasting under base, downside and severe crisis scenarios, assign RACI, define minimum controls and KPIs, and validate coverage across key sites, teams or systems.</t>
  </si>
  <si>
    <t>Standardize cash-flow forecasting under base, downside and severe crisis scenarios, close coverage gaps, train accountable roles and connect controls to the relevant crisis scenarios and continuity plans.</t>
  </si>
  <si>
    <t>Measure and test cash-flow forecasting under base, downside and severe crisis scenarios, run tabletop or operational stress tests, integrate it with dependent processes and update crisis playbooks.</t>
  </si>
  <si>
    <t>Sustain maturity for cash-flow forecasting under base, downside and severe crisis scenarios: keep evidence current, monitor drift, benchmark externally and refresh risk tests after organizational, system or market changes.</t>
  </si>
  <si>
    <t>Finance Procurement!6</t>
  </si>
  <si>
    <t>Immature capability for liquidity buffers, credit lines, emergency funding options and covenant monitoring may lead to cash-flow stress, uncontrolled spend, supplier payment disruption and weak financial visibility during Financial / liquidity shock; Supplier disruption; Fraud risk.</t>
  </si>
  <si>
    <t>Low maturity, weak ownership, incomplete evidence, insufficient testing and poor integration with crisis-management routines for liquidity buffers, credit lines, emergency funding options and covenant monitoring.</t>
  </si>
  <si>
    <t>Severe risk: liquidity buffers, credit lines, emergency funding options and covenant monitoring is not reliably controlled. During Financial / liquidity shock; Supplier disruption; Fraud risk, the organization may face cash-flow stress, uncontrolled spend, supplier payment disruption and weak financial visibility with limited visibility or accountability.</t>
  </si>
  <si>
    <t>High risk: liquidity buffers, credit lines, emergency funding options and covenant monitoring depends on informal practices or individual knowledge. Disruption may expose cash-flow stress, uncontrolled spend, supplier payment disruption and weak financial visibility and slow recovery.</t>
  </si>
  <si>
    <t>Elevated risk: liquidity buffers, credit lines, emergency funding options and covenant monitoring is partially controlled, but coverage, evidence or testing is inconsistent. Crisis response may be fragmented.</t>
  </si>
  <si>
    <t>Moderate risk: liquidity buffers, credit lines, emergency funding options and covenant monitoring is documented and owned, but measurement, stress testing and integration with dependent processes need strengthening.</t>
  </si>
  <si>
    <t>Residual risk: liquidity buffers, credit lines, emergency funding options and covenant monitoring is measured and reviewed, but monitoring, automation or scenario testing should be improved to prevent maturity drift.</t>
  </si>
  <si>
    <t>Low residual risk: liquidity buffers, credit lines, emergency funding options and covenant monitoring is mature and crisis-tested. Maintain monitoring, evidence, ownership and periodic stress testing.</t>
  </si>
  <si>
    <t>Create an immediate risk owner, minimum control baseline and fallback procedure for liquidity buffers, credit lines, emergency funding options and covenant monitoring. Add it to the crisis risk register and collect first evidence.</t>
  </si>
  <si>
    <t>Document liquidity buffers, credit lines, emergency funding options and covenant monitoring, assign RACI, define minimum controls and KPIs, and validate coverage across key sites, teams or systems.</t>
  </si>
  <si>
    <t>Standardize liquidity buffers, credit lines, emergency funding options and covenant monitoring, close coverage gaps, train accountable roles and connect controls to the relevant crisis scenarios and continuity plans.</t>
  </si>
  <si>
    <t>Measure and test liquidity buffers, credit lines, emergency funding options and covenant monitoring, run tabletop or operational stress tests, integrate it with dependent processes and update crisis playbooks.</t>
  </si>
  <si>
    <t>Sustain maturity for liquidity buffers, credit lines, emergency funding options and covenant monitoring: keep evidence current, monitor drift, benchmark externally and refresh risk tests after organizational, system or market changes.</t>
  </si>
  <si>
    <t>Finance Procurement!7</t>
  </si>
  <si>
    <t>Immature capability for driver-based financial forecasting linked to sales, delivery, workforce, inventory and production may lead to cash-flow stress, uncontrolled spend, supplier payment disruption and weak financial visibility during Financial / liquidity shock; Supplier disruption; Fraud risk.</t>
  </si>
  <si>
    <t>Low maturity, weak ownership, incomplete evidence, insufficient testing and poor integration with crisis-management routines for driver-based financial forecasting linked to sales, delivery, workforce, inventory and production.</t>
  </si>
  <si>
    <t>Severe risk: driver-based financial forecasting linked to sales, delivery, workforce, inventory and production is not reliably controlled. During Financial / liquidity shock; Supplier disruption; Fraud risk, the organization may face cash-flow stress, uncontrolled spend, supplier payment disruption and weak financial visibility with limited visibility or accountability.</t>
  </si>
  <si>
    <t>High risk: driver-based financial forecasting linked to sales, delivery, workforce, inventory and production depends on informal practices or individual knowledge. Disruption may expose cash-flow stress, uncontrolled spend, supplier payment disruption and weak financial visibility and slow recovery.</t>
  </si>
  <si>
    <t>Elevated risk: driver-based financial forecasting linked to sales, delivery, workforce, inventory and production is partially controlled, but coverage, evidence or testing is inconsistent. Crisis response may be fragmented.</t>
  </si>
  <si>
    <t>Moderate risk: driver-based financial forecasting linked to sales, delivery, workforce, inventory and production is documented and owned, but measurement, stress testing and integration with dependent processes need strengthening.</t>
  </si>
  <si>
    <t>Residual risk: driver-based financial forecasting linked to sales, delivery, workforce, inventory and production is measured and reviewed, but monitoring, automation or scenario testing should be improved to prevent maturity drift.</t>
  </si>
  <si>
    <t>Low residual risk: driver-based financial forecasting linked to sales, delivery, workforce, inventory and production is mature and crisis-tested. Maintain monitoring, evidence, ownership and periodic stress testing.</t>
  </si>
  <si>
    <t>Create an immediate risk owner, minimum control baseline and fallback procedure for driver-based financial forecasting linked to sales, delivery, workforce, inventory and production. Add it to the crisis risk register and collect first evidence.</t>
  </si>
  <si>
    <t>Document driver-based financial forecasting linked to sales, delivery, workforce, inventory and production, assign RACI, define minimum controls and KPIs, and validate coverage across key sites, teams or systems.</t>
  </si>
  <si>
    <t>Standardize driver-based financial forecasting linked to sales, delivery, workforce, inventory and production, close coverage gaps, train accountable roles and connect controls to the relevant crisis scenarios and continuity plans.</t>
  </si>
  <si>
    <t>Measure and test driver-based financial forecasting linked to sales, delivery, workforce, inventory and production, run tabletop or operational stress tests, integrate it with dependent processes and update crisis playbooks.</t>
  </si>
  <si>
    <t>Sustain maturity for driver-based financial forecasting linked to sales, delivery, workforce, inventory and production: keep evidence current, monitor drift, benchmark externally and refresh risk tests after organizational, system or market changes.</t>
  </si>
  <si>
    <t>Finance Procurement!8</t>
  </si>
  <si>
    <t>Immature capability for budget flexibility and emergency reallocation rules may lead to cash-flow stress, uncontrolled spend, supplier payment disruption and weak financial visibility during Financial / liquidity shock; Supplier disruption; Fraud risk.</t>
  </si>
  <si>
    <t>Low maturity, weak ownership, incomplete evidence, insufficient testing and poor integration with crisis-management routines for budget flexibility and emergency reallocation rules.</t>
  </si>
  <si>
    <t>Severe risk: budget flexibility and emergency reallocation rules is not reliably controlled. During Financial / liquidity shock; Supplier disruption; Fraud risk, the organization may face cash-flow stress, uncontrolled spend, supplier payment disruption and weak financial visibility with limited visibility or accountability.</t>
  </si>
  <si>
    <t>High risk: budget flexibility and emergency reallocation rules depends on informal practices or individual knowledge. Disruption may expose cash-flow stress, uncontrolled spend, supplier payment disruption and weak financial visibility and slow recovery.</t>
  </si>
  <si>
    <t>Elevated risk: budget flexibility and emergency reallocation rules is partially controlled, but coverage, evidence or testing is inconsistent. Crisis response may be fragmented.</t>
  </si>
  <si>
    <t>Moderate risk: budget flexibility and emergency reallocation rules is documented and owned, but measurement, stress testing and integration with dependent processes need strengthening.</t>
  </si>
  <si>
    <t>Residual risk: budget flexibility and emergency reallocation rules is measured and reviewed, but monitoring, automation or scenario testing should be improved to prevent maturity drift.</t>
  </si>
  <si>
    <t>Low residual risk: budget flexibility and emergency reallocation rules is mature and crisis-tested. Maintain monitoring, evidence, ownership and periodic stress testing.</t>
  </si>
  <si>
    <t>Create an immediate risk owner, minimum control baseline and fallback procedure for budget flexibility and emergency reallocation rules. Add it to the crisis risk register and collect first evidence.</t>
  </si>
  <si>
    <t>Document budget flexibility and emergency reallocation rules, assign RACI, define minimum controls and KPIs, and validate coverage across key sites, teams or systems.</t>
  </si>
  <si>
    <t>Standardize budget flexibility and emergency reallocation rules, close coverage gaps, train accountable roles and connect controls to the relevant crisis scenarios and continuity plans.</t>
  </si>
  <si>
    <t>Measure and test budget flexibility and emergency reallocation rules, run tabletop or operational stress tests, integrate it with dependent processes and update crisis playbooks.</t>
  </si>
  <si>
    <t>Sustain maturity for budget flexibility and emergency reallocation rules: keep evidence current, monitor drift, benchmark externally and refresh risk tests after organizational, system or market changes.</t>
  </si>
  <si>
    <t>Finance Procurement!9</t>
  </si>
  <si>
    <t>Immature capability for financial stress tests for revenue collapse, currency shock, supplier price spikes, debt pressure and delayed receivables may lead to cash-flow stress, uncontrolled spend, supplier payment disruption and weak financial visibility during Financial / liquidity shock; Supplier disruption; Fraud risk.</t>
  </si>
  <si>
    <t>Low maturity, weak ownership, incomplete evidence, insufficient testing and poor integration with crisis-management routines for financial stress tests for revenue collapse, currency shock, supplier price spikes, debt pressure and delayed receivables.</t>
  </si>
  <si>
    <t>Severe risk: financial stress tests for revenue collapse, currency shock, supplier price spikes, debt pressure and delayed receivables is not reliably controlled. During Financial / liquidity shock; Supplier disruption; Fraud risk, the organization may face cash-flow stress, uncontrolled spend, supplier payment disruption and weak financial visibility with limited visibility or accountability.</t>
  </si>
  <si>
    <t>High risk: financial stress tests for revenue collapse, currency shock, supplier price spikes, debt pressure and delayed receivables depends on informal practices or individual knowledge. Disruption may expose cash-flow stress, uncontrolled spend, supplier payment disruption and weak financial visibility and slow recovery.</t>
  </si>
  <si>
    <t>Elevated risk: financial stress tests for revenue collapse, currency shock, supplier price spikes, debt pressure and delayed receivables is partially controlled, but coverage, evidence or testing is inconsistent. Crisis response may be fragmented.</t>
  </si>
  <si>
    <t>Moderate risk: financial stress tests for revenue collapse, currency shock, supplier price spikes, debt pressure and delayed receivables is documented and owned, but measurement, stress testing and integration with dependent processes need strengthening.</t>
  </si>
  <si>
    <t>Residual risk: financial stress tests for revenue collapse, currency shock, supplier price spikes, debt pressure and delayed receivables is measured and reviewed, but monitoring, automation or scenario testing should be improved to prevent maturity drift.</t>
  </si>
  <si>
    <t>Low residual risk: financial stress tests for revenue collapse, currency shock, supplier price spikes, debt pressure and delayed receivables is mature and crisis-tested. Maintain monitoring, evidence, ownership and periodic stress testing.</t>
  </si>
  <si>
    <t>Create an immediate risk owner, minimum control baseline and fallback procedure for financial stress tests for revenue collapse, currency shock, supplier price spikes, debt pressure and delayed receivables. Add it to the crisis risk register and collect first evidence.</t>
  </si>
  <si>
    <t>Document financial stress tests for revenue collapse, currency shock, supplier price spikes, debt pressure and delayed receivables, assign RACI, define minimum controls and KPIs, and validate coverage across key sites, teams or systems.</t>
  </si>
  <si>
    <t>Standardize financial stress tests for revenue collapse, currency shock, supplier price spikes, debt pressure and delayed receivables, close coverage gaps, train accountable roles and connect controls to the relevant crisis scenarios and continuity plans.</t>
  </si>
  <si>
    <t>Measure and test financial stress tests for revenue collapse, currency shock, supplier price spikes, debt pressure and delayed receivables, run tabletop or operational stress tests, integrate it with dependent processes and update crisis playbooks.</t>
  </si>
  <si>
    <t>Sustain maturity for financial stress tests for revenue collapse, currency shock, supplier price spikes, debt pressure and delayed receivables: keep evidence current, monitor drift, benchmark externally and refresh risk tests after organizational, system or market changes.</t>
  </si>
  <si>
    <t>Finance Procurement!10</t>
  </si>
  <si>
    <t>Immature capability for approval limits and emergency approvals resilient if key approvers are unavailable may lead to cash-flow stress, uncontrolled spend, supplier payment disruption and weak financial visibility during Financial / liquidity shock; Supplier disruption; Fraud risk.</t>
  </si>
  <si>
    <t>Low maturity, weak ownership, incomplete evidence, insufficient testing and poor integration with crisis-management routines for approval limits and emergency approvals resilient if key approvers are unavailable.</t>
  </si>
  <si>
    <t>Severe risk: approval limits and emergency approvals resilient if key approvers are unavailable is not reliably controlled. During Financial / liquidity shock; Supplier disruption; Fraud risk, the organization may face cash-flow stress, uncontrolled spend, supplier payment disruption and weak financial visibility with limited visibility or accountability.</t>
  </si>
  <si>
    <t>High risk: approval limits and emergency approvals resilient if key approvers are unavailable depends on informal practices or individual knowledge. Disruption may expose cash-flow stress, uncontrolled spend, supplier payment disruption and weak financial visibility and slow recovery.</t>
  </si>
  <si>
    <t>Elevated risk: approval limits and emergency approvals resilient if key approvers are unavailable is partially controlled, but coverage, evidence or testing is inconsistent. Crisis response may be fragmented.</t>
  </si>
  <si>
    <t>Moderate risk: approval limits and emergency approvals resilient if key approvers are unavailable is documented and owned, but measurement, stress testing and integration with dependent processes need strengthening.</t>
  </si>
  <si>
    <t>Residual risk: approval limits and emergency approvals resilient if key approvers are unavailable is measured and reviewed, but monitoring, automation or scenario testing should be improved to prevent maturity drift.</t>
  </si>
  <si>
    <t>Low residual risk: approval limits and emergency approvals resilient if key approvers are unavailable is mature and crisis-tested. Maintain monitoring, evidence, ownership and periodic stress testing.</t>
  </si>
  <si>
    <t>Create an immediate risk owner, minimum control baseline and fallback procedure for approval limits and emergency approvals resilient if key approvers are unavailable. Add it to the crisis risk register and collect first evidence.</t>
  </si>
  <si>
    <t>Document approval limits and emergency approvals resilient if key approvers are unavailable, assign RACI, define minimum controls and KPIs, and validate coverage across key sites, teams or systems.</t>
  </si>
  <si>
    <t>Standardize approval limits and emergency approvals resilient if key approvers are unavailable, close coverage gaps, train accountable roles and connect controls to the relevant crisis scenarios and continuity plans.</t>
  </si>
  <si>
    <t>Measure and test approval limits and emergency approvals resilient if key approvers are unavailable, run tabletop or operational stress tests, integrate it with dependent processes and update crisis playbooks.</t>
  </si>
  <si>
    <t>Sustain maturity for approval limits and emergency approvals resilient if key approvers are unavailable: keep evidence current, monitor drift, benchmark externally and refresh risk tests after organizational, system or market changes.</t>
  </si>
  <si>
    <t>Finance Procurement!11</t>
  </si>
  <si>
    <t>Immature capability for segregation of duties in finance, procurement, ERP and payment processes may lead to cash-flow stress, uncontrolled spend, supplier payment disruption and weak financial visibility during Financial / liquidity shock; Supplier disruption; Fraud risk.</t>
  </si>
  <si>
    <t>Low maturity, weak ownership, incomplete evidence, insufficient testing and poor integration with crisis-management routines for segregation of duties in finance, procurement, ERP and payment processes.</t>
  </si>
  <si>
    <t>Severe risk: segregation of duties in finance, procurement, ERP and payment processes is not reliably controlled. During Financial / liquidity shock; Supplier disruption; Fraud risk, the organization may face cash-flow stress, uncontrolled spend, supplier payment disruption and weak financial visibility with limited visibility or accountability.</t>
  </si>
  <si>
    <t>High risk: segregation of duties in finance, procurement, ERP and payment processes depends on informal practices or individual knowledge. Disruption may expose cash-flow stress, uncontrolled spend, supplier payment disruption and weak financial visibility and slow recovery.</t>
  </si>
  <si>
    <t>Elevated risk: segregation of duties in finance, procurement, ERP and payment processes is partially controlled, but coverage, evidence or testing is inconsistent. Crisis response may be fragmented.</t>
  </si>
  <si>
    <t>Moderate risk: segregation of duties in finance, procurement, ERP and payment processes is documented and owned, but measurement, stress testing and integration with dependent processes need strengthening.</t>
  </si>
  <si>
    <t>Residual risk: segregation of duties in finance, procurement, ERP and payment processes is measured and reviewed, but monitoring, automation or scenario testing should be improved to prevent maturity drift.</t>
  </si>
  <si>
    <t>Low residual risk: segregation of duties in finance, procurement, ERP and payment processes is mature and crisis-tested. Maintain monitoring, evidence, ownership and periodic stress testing.</t>
  </si>
  <si>
    <t>Create an immediate risk owner, minimum control baseline and fallback procedure for segregation of duties in finance, procurement, ERP and payment processes. Add it to the crisis risk register and collect first evidence.</t>
  </si>
  <si>
    <t>Document segregation of duties in finance, procurement, ERP and payment processes, assign RACI, define minimum controls and KPIs, and validate coverage across key sites, teams or systems.</t>
  </si>
  <si>
    <t>Standardize segregation of duties in finance, procurement, ERP and payment processes, close coverage gaps, train accountable roles and connect controls to the relevant crisis scenarios and continuity plans.</t>
  </si>
  <si>
    <t>Measure and test segregation of duties in finance, procurement, ERP and payment processes, run tabletop or operational stress tests, integrate it with dependent processes and update crisis playbooks.</t>
  </si>
  <si>
    <t>Sustain maturity for segregation of duties in finance, procurement, ERP and payment processes: keep evidence current, monitor drift, benchmark externally and refresh risk tests after organizational, system or market changes.</t>
  </si>
  <si>
    <t>Finance Procurement!12</t>
  </si>
  <si>
    <t>Immature capability for month-end close continuity under remote work, system outage or unavailable finance staff may lead to cash-flow stress, uncontrolled spend, supplier payment disruption and weak financial visibility during Financial / liquidity shock; Supplier disruption; Fraud risk.</t>
  </si>
  <si>
    <t>Low maturity, weak ownership, incomplete evidence, insufficient testing and poor integration with crisis-management routines for month-end close continuity under remote work, system outage or unavailable finance staff.</t>
  </si>
  <si>
    <t>Severe risk: month-end close continuity under remote work, system outage or unavailable finance staff is not reliably controlled. During Financial / liquidity shock; Supplier disruption; Fraud risk, the organization may face cash-flow stress, uncontrolled spend, supplier payment disruption and weak financial visibility with limited visibility or accountability.</t>
  </si>
  <si>
    <t>High risk: month-end close continuity under remote work, system outage or unavailable finance staff depends on informal practices or individual knowledge. Disruption may expose cash-flow stress, uncontrolled spend, supplier payment disruption and weak financial visibility and slow recovery.</t>
  </si>
  <si>
    <t>Elevated risk: month-end close continuity under remote work, system outage or unavailable finance staff is partially controlled, but coverage, evidence or testing is inconsistent. Crisis response may be fragmented.</t>
  </si>
  <si>
    <t>Moderate risk: month-end close continuity under remote work, system outage or unavailable finance staff is documented and owned, but measurement, stress testing and integration with dependent processes need strengthening.</t>
  </si>
  <si>
    <t>Residual risk: month-end close continuity under remote work, system outage or unavailable finance staff is measured and reviewed, but monitoring, automation or scenario testing should be improved to prevent maturity drift.</t>
  </si>
  <si>
    <t>Low residual risk: month-end close continuity under remote work, system outage or unavailable finance staff is mature and crisis-tested. Maintain monitoring, evidence, ownership and periodic stress testing.</t>
  </si>
  <si>
    <t>Create an immediate risk owner, minimum control baseline and fallback procedure for month-end close continuity under remote work, system outage or unavailable finance staff. Add it to the crisis risk register and collect first evidence.</t>
  </si>
  <si>
    <t>Document month-end close continuity under remote work, system outage or unavailable finance staff, assign RACI, define minimum controls and KPIs, and validate coverage across key sites, teams or systems.</t>
  </si>
  <si>
    <t>Standardize month-end close continuity under remote work, system outage or unavailable finance staff, close coverage gaps, train accountable roles and connect controls to the relevant crisis scenarios and continuity plans.</t>
  </si>
  <si>
    <t>Measure and test month-end close continuity under remote work, system outage or unavailable finance staff, run tabletop or operational stress tests, integrate it with dependent processes and update crisis playbooks.</t>
  </si>
  <si>
    <t>Sustain maturity for month-end close continuity under remote work, system outage or unavailable finance staff: keep evidence current, monitor drift, benchmark externally and refresh risk tests after organizational, system or market changes.</t>
  </si>
  <si>
    <t>Finance Procurement!13</t>
  </si>
  <si>
    <t>Immature capability for manual fallback procedures for billing, payments, payroll, procurement and accounting close may lead to cash-flow stress, uncontrolled spend, supplier payment disruption and weak financial visibility during Financial / liquidity shock; Supplier disruption; Fraud risk.</t>
  </si>
  <si>
    <t>Low maturity, weak ownership, incomplete evidence, insufficient testing and poor integration with crisis-management routines for manual fallback procedures for billing, payments, payroll, procurement and accounting close.</t>
  </si>
  <si>
    <t>Severe risk: manual fallback procedures for billing, payments, payroll, procurement and accounting close is not reliably controlled. During Financial / liquidity shock; Supplier disruption; Fraud risk, the organization may face cash-flow stress, uncontrolled spend, supplier payment disruption and weak financial visibility with limited visibility or accountability.</t>
  </si>
  <si>
    <t>High risk: manual fallback procedures for billing, payments, payroll, procurement and accounting close depends on informal practices or individual knowledge. Disruption may expose cash-flow stress, uncontrolled spend, supplier payment disruption and weak financial visibility and slow recovery.</t>
  </si>
  <si>
    <t>Elevated risk: manual fallback procedures for billing, payments, payroll, procurement and accounting close is partially controlled, but coverage, evidence or testing is inconsistent. Crisis response may be fragmented.</t>
  </si>
  <si>
    <t>Moderate risk: manual fallback procedures for billing, payments, payroll, procurement and accounting close is documented and owned, but measurement, stress testing and integration with dependent processes need strengthening.</t>
  </si>
  <si>
    <t>Residual risk: manual fallback procedures for billing, payments, payroll, procurement and accounting close is measured and reviewed, but monitoring, automation or scenario testing should be improved to prevent maturity drift.</t>
  </si>
  <si>
    <t>Low residual risk: manual fallback procedures for billing, payments, payroll, procurement and accounting close is mature and crisis-tested. Maintain monitoring, evidence, ownership and periodic stress testing.</t>
  </si>
  <si>
    <t>Create an immediate risk owner, minimum control baseline and fallback procedure for manual fallback procedures for billing, payments, payroll, procurement and accounting close. Add it to the crisis risk register and collect first evidence.</t>
  </si>
  <si>
    <t>Document manual fallback procedures for billing, payments, payroll, procurement and accounting close, assign RACI, define minimum controls and KPIs, and validate coverage across key sites, teams or systems.</t>
  </si>
  <si>
    <t>Standardize manual fallback procedures for billing, payments, payroll, procurement and accounting close, close coverage gaps, train accountable roles and connect controls to the relevant crisis scenarios and continuity plans.</t>
  </si>
  <si>
    <t>Measure and test manual fallback procedures for billing, payments, payroll, procurement and accounting close, run tabletop or operational stress tests, integrate it with dependent processes and update crisis playbooks.</t>
  </si>
  <si>
    <t>Sustain maturity for manual fallback procedures for billing, payments, payroll, procurement and accounting close: keep evidence current, monitor drift, benchmark externally and refresh risk tests after organizational, system or market changes.</t>
  </si>
  <si>
    <t>Finance Procurement!14</t>
  </si>
  <si>
    <t>Immature capability for fraud risk controls for fake invoices, payment diversion, supplier impersonation and business email compromise may lead to cash-flow stress, uncontrolled spend, supplier payment disruption and weak financial visibility during Financial / liquidity shock; Supplier disruption; Fraud risk.</t>
  </si>
  <si>
    <t>Low maturity, weak ownership, incomplete evidence, insufficient testing and poor integration with crisis-management routines for fraud risk controls for fake invoices, payment diversion, supplier impersonation and business email compromise.</t>
  </si>
  <si>
    <t>Severe risk: fraud risk controls for fake invoices, payment diversion, supplier impersonation and business email compromise is not reliably controlled. During Financial / liquidity shock; Supplier disruption; Fraud risk, the organization may face cash-flow stress, uncontrolled spend, supplier payment disruption and weak financial visibility with limited visibility or accountability.</t>
  </si>
  <si>
    <t>High risk: fraud risk controls for fake invoices, payment diversion, supplier impersonation and business email compromise depends on informal practices or individual knowledge. Disruption may expose cash-flow stress, uncontrolled spend, supplier payment disruption and weak financial visibility and slow recovery.</t>
  </si>
  <si>
    <t>Elevated risk: fraud risk controls for fake invoices, payment diversion, supplier impersonation and business email compromise is partially controlled, but coverage, evidence or testing is inconsistent. Crisis response may be fragmented.</t>
  </si>
  <si>
    <t>Moderate risk: fraud risk controls for fake invoices, payment diversion, supplier impersonation and business email compromise is documented and owned, but measurement, stress testing and integration with dependent processes need strengthening.</t>
  </si>
  <si>
    <t>Residual risk: fraud risk controls for fake invoices, payment diversion, supplier impersonation and business email compromise is measured and reviewed, but monitoring, automation or scenario testing should be improved to prevent maturity drift.</t>
  </si>
  <si>
    <t>Low residual risk: fraud risk controls for fake invoices, payment diversion, supplier impersonation and business email compromise is mature and crisis-tested. Maintain monitoring, evidence, ownership and periodic stress testing.</t>
  </si>
  <si>
    <t>Create an immediate risk owner, minimum control baseline and fallback procedure for fraud risk controls for fake invoices, payment diversion, supplier impersonation and business email compromise. Add it to the crisis risk register and collect first evidence.</t>
  </si>
  <si>
    <t>Document fraud risk controls for fake invoices, payment diversion, supplier impersonation and business email compromise, assign RACI, define minimum controls and KPIs, and validate coverage across key sites, teams or systems.</t>
  </si>
  <si>
    <t>Standardize fraud risk controls for fake invoices, payment diversion, supplier impersonation and business email compromise, close coverage gaps, train accountable roles and connect controls to the relevant crisis scenarios and continuity plans.</t>
  </si>
  <si>
    <t>Measure and test fraud risk controls for fake invoices, payment diversion, supplier impersonation and business email compromise, run tabletop or operational stress tests, integrate it with dependent processes and update crisis playbooks.</t>
  </si>
  <si>
    <t>Sustain maturity for fraud risk controls for fake invoices, payment diversion, supplier impersonation and business email compromise: keep evidence current, monitor drift, benchmark externally and refresh risk tests after organizational, system or market changes.</t>
  </si>
  <si>
    <t>Finance Procurement!15</t>
  </si>
  <si>
    <t>Immature capability for finance master data controls for chart of accounts, cost centers, vendors, customers and reporting dimensions may lead to cash-flow stress, uncontrolled spend, supplier payment disruption and weak financial visibility during Financial / liquidity shock; Supplier disruption; Fraud risk.</t>
  </si>
  <si>
    <t>Low maturity, weak ownership, incomplete evidence, insufficient testing and poor integration with crisis-management routines for finance master data controls for chart of accounts, cost centers, vendors, customers and reporting dimensions.</t>
  </si>
  <si>
    <t>Severe risk: finance master data controls for chart of accounts, cost centers, vendors, customers and reporting dimensions is not reliably controlled. During Financial / liquidity shock; Supplier disruption; Fraud risk, the organization may face cash-flow stress, uncontrolled spend, supplier payment disruption and weak financial visibility with limited visibility or accountability.</t>
  </si>
  <si>
    <t>High risk: finance master data controls for chart of accounts, cost centers, vendors, customers and reporting dimensions depends on informal practices or individual knowledge. Disruption may expose cash-flow stress, uncontrolled spend, supplier payment disruption and weak financial visibility and slow recovery.</t>
  </si>
  <si>
    <t>Elevated risk: finance master data controls for chart of accounts, cost centers, vendors, customers and reporting dimensions is partially controlled, but coverage, evidence or testing is inconsistent. Crisis response may be fragmented.</t>
  </si>
  <si>
    <t>Moderate risk: finance master data controls for chart of accounts, cost centers, vendors, customers and reporting dimensions is documented and owned, but measurement, stress testing and integration with dependent processes need strengthening.</t>
  </si>
  <si>
    <t>Residual risk: finance master data controls for chart of accounts, cost centers, vendors, customers and reporting dimensions is measured and reviewed, but monitoring, automation or scenario testing should be improved to prevent maturity drift.</t>
  </si>
  <si>
    <t>Low residual risk: finance master data controls for chart of accounts, cost centers, vendors, customers and reporting dimensions is mature and crisis-tested. Maintain monitoring, evidence, ownership and periodic stress testing.</t>
  </si>
  <si>
    <t>Create an immediate risk owner, minimum control baseline and fallback procedure for finance master data controls for chart of accounts, cost centers, vendors, customers and reporting dimensions. Add it to the crisis risk register and collect first evidence.</t>
  </si>
  <si>
    <t>Document finance master data controls for chart of accounts, cost centers, vendors, customers and reporting dimensions, assign RACI, define minimum controls and KPIs, and validate coverage across key sites, teams or systems.</t>
  </si>
  <si>
    <t>Standardize finance master data controls for chart of accounts, cost centers, vendors, customers and reporting dimensions, close coverage gaps, train accountable roles and connect controls to the relevant crisis scenarios and continuity plans.</t>
  </si>
  <si>
    <t>Measure and test finance master data controls for chart of accounts, cost centers, vendors, customers and reporting dimensions, run tabletop or operational stress tests, integrate it with dependent processes and update crisis playbooks.</t>
  </si>
  <si>
    <t>Sustain maturity for finance master data controls for chart of accounts, cost centers, vendors, customers and reporting dimensions: keep evidence current, monitor drift, benchmark externally and refresh risk tests after organizational, system or market changes.</t>
  </si>
  <si>
    <t>Finance Procurement!16</t>
  </si>
  <si>
    <t>Immature capability for procurement policy covering sourcing, approvals, conflicts of interest and emergency purchasing may lead to cash-flow stress, uncontrolled spend, supplier payment disruption and weak financial visibility during Financial / liquidity shock; Supplier disruption; Fraud risk.</t>
  </si>
  <si>
    <t>Low maturity, weak ownership, incomplete evidence, insufficient testing and poor integration with crisis-management routines for procurement policy covering sourcing, approvals, conflicts of interest and emergency purchasing.</t>
  </si>
  <si>
    <t>Severe risk: procurement policy covering sourcing, approvals, conflicts of interest and emergency purchasing is not reliably controlled. During Financial / liquidity shock; Supplier disruption; Fraud risk, the organization may face cash-flow stress, uncontrolled spend, supplier payment disruption and weak financial visibility with limited visibility or accountability.</t>
  </si>
  <si>
    <t>High risk: procurement policy covering sourcing, approvals, conflicts of interest and emergency purchasing depends on informal practices or individual knowledge. Disruption may expose cash-flow stress, uncontrolled spend, supplier payment disruption and weak financial visibility and slow recovery.</t>
  </si>
  <si>
    <t>Elevated risk: procurement policy covering sourcing, approvals, conflicts of interest and emergency purchasing is partially controlled, but coverage, evidence or testing is inconsistent. Crisis response may be fragmented.</t>
  </si>
  <si>
    <t>Moderate risk: procurement policy covering sourcing, approvals, conflicts of interest and emergency purchasing is documented and owned, but measurement, stress testing and integration with dependent processes need strengthening.</t>
  </si>
  <si>
    <t>Residual risk: procurement policy covering sourcing, approvals, conflicts of interest and emergency purchasing is measured and reviewed, but monitoring, automation or scenario testing should be improved to prevent maturity drift.</t>
  </si>
  <si>
    <t>Low residual risk: procurement policy covering sourcing, approvals, conflicts of interest and emergency purchasing is mature and crisis-tested. Maintain monitoring, evidence, ownership and periodic stress testing.</t>
  </si>
  <si>
    <t>Create an immediate risk owner, minimum control baseline and fallback procedure for procurement policy covering sourcing, approvals, conflicts of interest and emergency purchasing. Add it to the crisis risk register and collect first evidence.</t>
  </si>
  <si>
    <t>Document procurement policy covering sourcing, approvals, conflicts of interest and emergency purchasing, assign RACI, define minimum controls and KPIs, and validate coverage across key sites, teams or systems.</t>
  </si>
  <si>
    <t>Standardize procurement policy covering sourcing, approvals, conflicts of interest and emergency purchasing, close coverage gaps, train accountable roles and connect controls to the relevant crisis scenarios and continuity plans.</t>
  </si>
  <si>
    <t>Measure and test procurement policy covering sourcing, approvals, conflicts of interest and emergency purchasing, run tabletop or operational stress tests, integrate it with dependent processes and update crisis playbooks.</t>
  </si>
  <si>
    <t>Sustain maturity for procurement policy covering sourcing, approvals, conflicts of interest and emergency purchasing: keep evidence current, monitor drift, benchmark externally and refresh risk tests after organizational, system or market changes.</t>
  </si>
  <si>
    <t>Finance Procurement!17</t>
  </si>
  <si>
    <t>Immature capability for critical supplier classification by business impact, replaceability, geography, financial health and SLA may lead to cash-flow stress, uncontrolled spend, supplier payment disruption and weak financial visibility during Financial / liquidity shock; Supplier disruption; Fraud risk.</t>
  </si>
  <si>
    <t>Low maturity, weak ownership, incomplete evidence, insufficient testing and poor integration with crisis-management routines for critical supplier classification by business impact, replaceability, geography, financial health and SLA.</t>
  </si>
  <si>
    <t>Severe risk: critical supplier classification by business impact, replaceability, geography, financial health and SLA is not reliably controlled. During Financial / liquidity shock; Supplier disruption; Fraud risk, the organization may face cash-flow stress, uncontrolled spend, supplier payment disruption and weak financial visibility with limited visibility or accountability.</t>
  </si>
  <si>
    <t>High risk: critical supplier classification by business impact, replaceability, geography, financial health and SLA depends on informal practices or individual knowledge. Disruption may expose cash-flow stress, uncontrolled spend, supplier payment disruption and weak financial visibility and slow recovery.</t>
  </si>
  <si>
    <t>Elevated risk: critical supplier classification by business impact, replaceability, geography, financial health and SLA is partially controlled, but coverage, evidence or testing is inconsistent. Crisis response may be fragmented.</t>
  </si>
  <si>
    <t>Moderate risk: critical supplier classification by business impact, replaceability, geography, financial health and SLA is documented and owned, but measurement, stress testing and integration with dependent processes need strengthening.</t>
  </si>
  <si>
    <t>Residual risk: critical supplier classification by business impact, replaceability, geography, financial health and SLA is measured and reviewed, but monitoring, automation or scenario testing should be improved to prevent maturity drift.</t>
  </si>
  <si>
    <t>Low residual risk: critical supplier classification by business impact, replaceability, geography, financial health and SLA is mature and crisis-tested. Maintain monitoring, evidence, ownership and periodic stress testing.</t>
  </si>
  <si>
    <t>Create an immediate risk owner, minimum control baseline and fallback procedure for critical supplier classification by business impact, replaceability, geography, financial health and SLA. Add it to the crisis risk register and collect first evidence.</t>
  </si>
  <si>
    <t>Document critical supplier classification by business impact, replaceability, geography, financial health and SLA, assign RACI, define minimum controls and KPIs, and validate coverage across key sites, teams or systems.</t>
  </si>
  <si>
    <t>Standardize critical supplier classification by business impact, replaceability, geography, financial health and SLA, close coverage gaps, train accountable roles and connect controls to the relevant crisis scenarios and continuity plans.</t>
  </si>
  <si>
    <t>Measure and test critical supplier classification by business impact, replaceability, geography, financial health and SLA, run tabletop or operational stress tests, integrate it with dependent processes and update crisis playbooks.</t>
  </si>
  <si>
    <t>Sustain maturity for critical supplier classification by business impact, replaceability, geography, financial health and SLA: keep evidence current, monitor drift, benchmark externally and refresh risk tests after organizational, system or market changes.</t>
  </si>
  <si>
    <t>Finance Procurement!18</t>
  </si>
  <si>
    <t>Immature capability for single-source and sole-source supplier exposure and mitigation plans may lead to cash-flow stress, uncontrolled spend, supplier payment disruption and weak financial visibility during Financial / liquidity shock; Supplier disruption; Fraud risk.</t>
  </si>
  <si>
    <t>Low maturity, weak ownership, incomplete evidence, insufficient testing and poor integration with crisis-management routines for single-source and sole-source supplier exposure and mitigation plans.</t>
  </si>
  <si>
    <t>Severe risk: single-source and sole-source supplier exposure and mitigation plans is not reliably controlled. During Financial / liquidity shock; Supplier disruption; Fraud risk, the organization may face cash-flow stress, uncontrolled spend, supplier payment disruption and weak financial visibility with limited visibility or accountability.</t>
  </si>
  <si>
    <t>High risk: single-source and sole-source supplier exposure and mitigation plans depends on informal practices or individual knowledge. Disruption may expose cash-flow stress, uncontrolled spend, supplier payment disruption and weak financial visibility and slow recovery.</t>
  </si>
  <si>
    <t>Elevated risk: single-source and sole-source supplier exposure and mitigation plans is partially controlled, but coverage, evidence or testing is inconsistent. Crisis response may be fragmented.</t>
  </si>
  <si>
    <t>Moderate risk: single-source and sole-source supplier exposure and mitigation plans is documented and owned, but measurement, stress testing and integration with dependent processes need strengthening.</t>
  </si>
  <si>
    <t>Residual risk: single-source and sole-source supplier exposure and mitigation plans is measured and reviewed, but monitoring, automation or scenario testing should be improved to prevent maturity drift.</t>
  </si>
  <si>
    <t>Low residual risk: single-source and sole-source supplier exposure and mitigation plans is mature and crisis-tested. Maintain monitoring, evidence, ownership and periodic stress testing.</t>
  </si>
  <si>
    <t>Create an immediate risk owner, minimum control baseline and fallback procedure for single-source and sole-source supplier exposure and mitigation plans. Add it to the crisis risk register and collect first evidence.</t>
  </si>
  <si>
    <t>Document single-source and sole-source supplier exposure and mitigation plans, assign RACI, define minimum controls and KPIs, and validate coverage across key sites, teams or systems.</t>
  </si>
  <si>
    <t>Standardize single-source and sole-source supplier exposure and mitigation plans, close coverage gaps, train accountable roles and connect controls to the relevant crisis scenarios and continuity plans.</t>
  </si>
  <si>
    <t>Measure and test single-source and sole-source supplier exposure and mitigation plans, run tabletop or operational stress tests, integrate it with dependent processes and update crisis playbooks.</t>
  </si>
  <si>
    <t>Sustain maturity for single-source and sole-source supplier exposure and mitigation plans: keep evidence current, monitor drift, benchmark externally and refresh risk tests after organizational, system or market changes.</t>
  </si>
  <si>
    <t>Finance Procurement!19</t>
  </si>
  <si>
    <t>Immature capability for supplier financial health, sanctions, insurance, delivery reliability and crisis exposure monitoring may lead to cash-flow stress, uncontrolled spend, supplier payment disruption and weak financial visibility during Financial / liquidity shock; Supplier disruption; Fraud risk.</t>
  </si>
  <si>
    <t>Low maturity, weak ownership, incomplete evidence, insufficient testing and poor integration with crisis-management routines for supplier financial health, sanctions, insurance, delivery reliability and crisis exposure monitoring.</t>
  </si>
  <si>
    <t>Severe risk: supplier financial health, sanctions, insurance, delivery reliability and crisis exposure monitoring is not reliably controlled. During Financial / liquidity shock; Supplier disruption; Fraud risk, the organization may face cash-flow stress, uncontrolled spend, supplier payment disruption and weak financial visibility with limited visibility or accountability.</t>
  </si>
  <si>
    <t>High risk: supplier financial health, sanctions, insurance, delivery reliability and crisis exposure monitoring depends on informal practices or individual knowledge. Disruption may expose cash-flow stress, uncontrolled spend, supplier payment disruption and weak financial visibility and slow recovery.</t>
  </si>
  <si>
    <t>Elevated risk: supplier financial health, sanctions, insurance, delivery reliability and crisis exposure monitoring is partially controlled, but coverage, evidence or testing is inconsistent. Crisis response may be fragmented.</t>
  </si>
  <si>
    <t>Moderate risk: supplier financial health, sanctions, insurance, delivery reliability and crisis exposure monitoring is documented and owned, but measurement, stress testing and integration with dependent processes need strengthening.</t>
  </si>
  <si>
    <t>Residual risk: supplier financial health, sanctions, insurance, delivery reliability and crisis exposure monitoring is measured and reviewed, but monitoring, automation or scenario testing should be improved to prevent maturity drift.</t>
  </si>
  <si>
    <t>Low residual risk: supplier financial health, sanctions, insurance, delivery reliability and crisis exposure monitoring is mature and crisis-tested. Maintain monitoring, evidence, ownership and periodic stress testing.</t>
  </si>
  <si>
    <t>Create an immediate risk owner, minimum control baseline and fallback procedure for supplier financial health, sanctions, insurance, delivery reliability and crisis exposure monitoring. Add it to the crisis risk register and collect first evidence.</t>
  </si>
  <si>
    <t>Document supplier financial health, sanctions, insurance, delivery reliability and crisis exposure monitoring, assign RACI, define minimum controls and KPIs, and validate coverage across key sites, teams or systems.</t>
  </si>
  <si>
    <t>Standardize supplier financial health, sanctions, insurance, delivery reliability and crisis exposure monitoring, close coverage gaps, train accountable roles and connect controls to the relevant crisis scenarios and continuity plans.</t>
  </si>
  <si>
    <t>Measure and test supplier financial health, sanctions, insurance, delivery reliability and crisis exposure monitoring, run tabletop or operational stress tests, integrate it with dependent processes and update crisis playbooks.</t>
  </si>
  <si>
    <t>Sustain maturity for supplier financial health, sanctions, insurance, delivery reliability and crisis exposure monitoring: keep evidence current, monitor drift, benchmark externally and refresh risk tests after organizational, system or market changes.</t>
  </si>
  <si>
    <t>Finance Procurement!20</t>
  </si>
  <si>
    <t>Immature capability for emergency purchasing process that preserves essential controls and fraud prevention may lead to cash-flow stress, uncontrolled spend, supplier payment disruption and weak financial visibility during Financial / liquidity shock; Supplier disruption; Fraud risk.</t>
  </si>
  <si>
    <t>Low maturity, weak ownership, incomplete evidence, insufficient testing and poor integration with crisis-management routines for emergency purchasing process that preserves essential controls and fraud prevention.</t>
  </si>
  <si>
    <t>Severe risk: emergency purchasing process that preserves essential controls and fraud prevention is not reliably controlled. During Financial / liquidity shock; Supplier disruption; Fraud risk, the organization may face cash-flow stress, uncontrolled spend, supplier payment disruption and weak financial visibility with limited visibility or accountability.</t>
  </si>
  <si>
    <t>High risk: emergency purchasing process that preserves essential controls and fraud prevention depends on informal practices or individual knowledge. Disruption may expose cash-flow stress, uncontrolled spend, supplier payment disruption and weak financial visibility and slow recovery.</t>
  </si>
  <si>
    <t>Elevated risk: emergency purchasing process that preserves essential controls and fraud prevention is partially controlled, but coverage, evidence or testing is inconsistent. Crisis response may be fragmented.</t>
  </si>
  <si>
    <t>Moderate risk: emergency purchasing process that preserves essential controls and fraud prevention is documented and owned, but measurement, stress testing and integration with dependent processes need strengthening.</t>
  </si>
  <si>
    <t>Residual risk: emergency purchasing process that preserves essential controls and fraud prevention is measured and reviewed, but monitoring, automation or scenario testing should be improved to prevent maturity drift.</t>
  </si>
  <si>
    <t>Low residual risk: emergency purchasing process that preserves essential controls and fraud prevention is mature and crisis-tested. Maintain monitoring, evidence, ownership and periodic stress testing.</t>
  </si>
  <si>
    <t>Create an immediate risk owner, minimum control baseline and fallback procedure for emergency purchasing process that preserves essential controls and fraud prevention. Add it to the crisis risk register and collect first evidence.</t>
  </si>
  <si>
    <t>Document emergency purchasing process that preserves essential controls and fraud prevention, assign RACI, define minimum controls and KPIs, and validate coverage across key sites, teams or systems.</t>
  </si>
  <si>
    <t>Standardize emergency purchasing process that preserves essential controls and fraud prevention, close coverage gaps, train accountable roles and connect controls to the relevant crisis scenarios and continuity plans.</t>
  </si>
  <si>
    <t>Measure and test emergency purchasing process that preserves essential controls and fraud prevention, run tabletop or operational stress tests, integrate it with dependent processes and update crisis playbooks.</t>
  </si>
  <si>
    <t>Sustain maturity for emergency purchasing process that preserves essential controls and fraud prevention: keep evidence current, monitor drift, benchmark externally and refresh risk tests after organizational, system or market changes.</t>
  </si>
  <si>
    <t>Finance Procurement!21</t>
  </si>
  <si>
    <t>Immature capability for purchasing triggers linked to demand, lead time, minimum stock and crisis buffers may lead to cash-flow stress, uncontrolled spend, supplier payment disruption and weak financial visibility during Financial / liquidity shock; Supplier disruption; Fraud risk.</t>
  </si>
  <si>
    <t>Low maturity, weak ownership, incomplete evidence, insufficient testing and poor integration with crisis-management routines for purchasing triggers linked to demand, lead time, minimum stock and crisis buffers.</t>
  </si>
  <si>
    <t>Severe risk: purchasing triggers linked to demand, lead time, minimum stock and crisis buffers is not reliably controlled. During Financial / liquidity shock; Supplier disruption; Fraud risk, the organization may face cash-flow stress, uncontrolled spend, supplier payment disruption and weak financial visibility with limited visibility or accountability.</t>
  </si>
  <si>
    <t>High risk: purchasing triggers linked to demand, lead time, minimum stock and crisis buffers depends on informal practices or individual knowledge. Disruption may expose cash-flow stress, uncontrolled spend, supplier payment disruption and weak financial visibility and slow recovery.</t>
  </si>
  <si>
    <t>Elevated risk: purchasing triggers linked to demand, lead time, minimum stock and crisis buffers is partially controlled, but coverage, evidence or testing is inconsistent. Crisis response may be fragmented.</t>
  </si>
  <si>
    <t>Moderate risk: purchasing triggers linked to demand, lead time, minimum stock and crisis buffers is documented and owned, but measurement, stress testing and integration with dependent processes need strengthening.</t>
  </si>
  <si>
    <t>Residual risk: purchasing triggers linked to demand, lead time, minimum stock and crisis buffers is measured and reviewed, but monitoring, automation or scenario testing should be improved to prevent maturity drift.</t>
  </si>
  <si>
    <t>Low residual risk: purchasing triggers linked to demand, lead time, minimum stock and crisis buffers is mature and crisis-tested. Maintain monitoring, evidence, ownership and periodic stress testing.</t>
  </si>
  <si>
    <t>Create an immediate risk owner, minimum control baseline and fallback procedure for purchasing triggers linked to demand, lead time, minimum stock and crisis buffers. Add it to the crisis risk register and collect first evidence.</t>
  </si>
  <si>
    <t>Document purchasing triggers linked to demand, lead time, minimum stock and crisis buffers, assign RACI, define minimum controls and KPIs, and validate coverage across key sites, teams or systems.</t>
  </si>
  <si>
    <t>Standardize purchasing triggers linked to demand, lead time, minimum stock and crisis buffers, close coverage gaps, train accountable roles and connect controls to the relevant crisis scenarios and continuity plans.</t>
  </si>
  <si>
    <t>Measure and test purchasing triggers linked to demand, lead time, minimum stock and crisis buffers, run tabletop or operational stress tests, integrate it with dependent processes and update crisis playbooks.</t>
  </si>
  <si>
    <t>Sustain maturity for purchasing triggers linked to demand, lead time, minimum stock and crisis buffers: keep evidence current, monitor drift, benchmark externally and refresh risk tests after organizational, system or market changes.</t>
  </si>
  <si>
    <t>Finance Procurement!22</t>
  </si>
  <si>
    <t>Immature capability for receivables aging, customer payment risk and collection scenarios may lead to cash-flow stress, uncontrolled spend, supplier payment disruption and weak financial visibility during Financial / liquidity shock; Supplier disruption; Fraud risk.</t>
  </si>
  <si>
    <t>Low maturity, weak ownership, incomplete evidence, insufficient testing and poor integration with crisis-management routines for receivables aging, customer payment risk and collection scenarios.</t>
  </si>
  <si>
    <t>Severe risk: receivables aging, customer payment risk and collection scenarios is not reliably controlled. During Financial / liquidity shock; Supplier disruption; Fraud risk, the organization may face cash-flow stress, uncontrolled spend, supplier payment disruption and weak financial visibility with limited visibility or accountability.</t>
  </si>
  <si>
    <t>High risk: receivables aging, customer payment risk and collection scenarios depends on informal practices or individual knowledge. Disruption may expose cash-flow stress, uncontrolled spend, supplier payment disruption and weak financial visibility and slow recovery.</t>
  </si>
  <si>
    <t>Elevated risk: receivables aging, customer payment risk and collection scenarios is partially controlled, but coverage, evidence or testing is inconsistent. Crisis response may be fragmented.</t>
  </si>
  <si>
    <t>Moderate risk: receivables aging, customer payment risk and collection scenarios is documented and owned, but measurement, stress testing and integration with dependent processes need strengthening.</t>
  </si>
  <si>
    <t>Residual risk: receivables aging, customer payment risk and collection scenarios is measured and reviewed, but monitoring, automation or scenario testing should be improved to prevent maturity drift.</t>
  </si>
  <si>
    <t>Low residual risk: receivables aging, customer payment risk and collection scenarios is mature and crisis-tested. Maintain monitoring, evidence, ownership and periodic stress testing.</t>
  </si>
  <si>
    <t>Create an immediate risk owner, minimum control baseline and fallback procedure for receivables aging, customer payment risk and collection scenarios. Add it to the crisis risk register and collect first evidence.</t>
  </si>
  <si>
    <t>Document receivables aging, customer payment risk and collection scenarios, assign RACI, define minimum controls and KPIs, and validate coverage across key sites, teams or systems.</t>
  </si>
  <si>
    <t>Standardize receivables aging, customer payment risk and collection scenarios, close coverage gaps, train accountable roles and connect controls to the relevant crisis scenarios and continuity plans.</t>
  </si>
  <si>
    <t>Measure and test receivables aging, customer payment risk and collection scenarios, run tabletop or operational stress tests, integrate it with dependent processes and update crisis playbooks.</t>
  </si>
  <si>
    <t>Sustain maturity for receivables aging, customer payment risk and collection scenarios: keep evidence current, monitor drift, benchmark externally and refresh risk tests after organizational, system or market changes.</t>
  </si>
  <si>
    <t>Finance Procurement!23</t>
  </si>
  <si>
    <t>Immature capability for supplier payment priority rules during cash constraint may lead to cash-flow stress, uncontrolled spend, supplier payment disruption and weak financial visibility during Financial / liquidity shock; Supplier disruption; Fraud risk.</t>
  </si>
  <si>
    <t>Low maturity, weak ownership, incomplete evidence, insufficient testing and poor integration with crisis-management routines for supplier payment priority rules during cash constraint.</t>
  </si>
  <si>
    <t>Severe risk: supplier payment priority rules during cash constraint is not reliably controlled. During Financial / liquidity shock; Supplier disruption; Fraud risk, the organization may face cash-flow stress, uncontrolled spend, supplier payment disruption and weak financial visibility with limited visibility or accountability.</t>
  </si>
  <si>
    <t>High risk: supplier payment priority rules during cash constraint depends on informal practices or individual knowledge. Disruption may expose cash-flow stress, uncontrolled spend, supplier payment disruption and weak financial visibility and slow recovery.</t>
  </si>
  <si>
    <t>Elevated risk: supplier payment priority rules during cash constraint is partially controlled, but coverage, evidence or testing is inconsistent. Crisis response may be fragmented.</t>
  </si>
  <si>
    <t>Moderate risk: supplier payment priority rules during cash constraint is documented and owned, but measurement, stress testing and integration with dependent processes need strengthening.</t>
  </si>
  <si>
    <t>Residual risk: supplier payment priority rules during cash constraint is measured and reviewed, but monitoring, automation or scenario testing should be improved to prevent maturity drift.</t>
  </si>
  <si>
    <t>Low residual risk: supplier payment priority rules during cash constraint is mature and crisis-tested. Maintain monitoring, evidence, ownership and periodic stress testing.</t>
  </si>
  <si>
    <t>Create an immediate risk owner, minimum control baseline and fallback procedure for supplier payment priority rules during cash constraint. Add it to the crisis risk register and collect first evidence.</t>
  </si>
  <si>
    <t>Document supplier payment priority rules during cash constraint, assign RACI, define minimum controls and KPIs, and validate coverage across key sites, teams or systems.</t>
  </si>
  <si>
    <t>Standardize supplier payment priority rules during cash constraint, close coverage gaps, train accountable roles and connect controls to the relevant crisis scenarios and continuity plans.</t>
  </si>
  <si>
    <t>Measure and test supplier payment priority rules during cash constraint, run tabletop or operational stress tests, integrate it with dependent processes and update crisis playbooks.</t>
  </si>
  <si>
    <t>Sustain maturity for supplier payment priority rules during cash constraint: keep evidence current, monitor drift, benchmark externally and refresh risk tests after organizational, system or market changes.</t>
  </si>
  <si>
    <t>Finance Procurement!24</t>
  </si>
  <si>
    <t>Immature capability for banking resilience with backup banks, signatories, online access and payment release fallback may lead to cash-flow stress, uncontrolled spend, supplier payment disruption and weak financial visibility during Financial / liquidity shock; Supplier disruption; Fraud risk.</t>
  </si>
  <si>
    <t>Low maturity, weak ownership, incomplete evidence, insufficient testing and poor integration with crisis-management routines for banking resilience with backup banks, signatories, online access and payment release fallback.</t>
  </si>
  <si>
    <t>Severe risk: banking resilience with backup banks, signatories, online access and payment release fallback is not reliably controlled. During Financial / liquidity shock; Supplier disruption; Fraud risk, the organization may face cash-flow stress, uncontrolled spend, supplier payment disruption and weak financial visibility with limited visibility or accountability.</t>
  </si>
  <si>
    <t>High risk: banking resilience with backup banks, signatories, online access and payment release fallback depends on informal practices or individual knowledge. Disruption may expose cash-flow stress, uncontrolled spend, supplier payment disruption and weak financial visibility and slow recovery.</t>
  </si>
  <si>
    <t>Elevated risk: banking resilience with backup banks, signatories, online access and payment release fallback is partially controlled, but coverage, evidence or testing is inconsistent. Crisis response may be fragmented.</t>
  </si>
  <si>
    <t>Moderate risk: banking resilience with backup banks, signatories, online access and payment release fallback is documented and owned, but measurement, stress testing and integration with dependent processes need strengthening.</t>
  </si>
  <si>
    <t>Residual risk: banking resilience with backup banks, signatories, online access and payment release fallback is measured and reviewed, but monitoring, automation or scenario testing should be improved to prevent maturity drift.</t>
  </si>
  <si>
    <t>Low residual risk: banking resilience with backup banks, signatories, online access and payment release fallback is mature and crisis-tested. Maintain monitoring, evidence, ownership and periodic stress testing.</t>
  </si>
  <si>
    <t>Create an immediate risk owner, minimum control baseline and fallback procedure for banking resilience with backup banks, signatories, online access and payment release fallback. Add it to the crisis risk register and collect first evidence.</t>
  </si>
  <si>
    <t>Document banking resilience with backup banks, signatories, online access and payment release fallback, assign RACI, define minimum controls and KPIs, and validate coverage across key sites, teams or systems.</t>
  </si>
  <si>
    <t>Standardize banking resilience with backup banks, signatories, online access and payment release fallback, close coverage gaps, train accountable roles and connect controls to the relevant crisis scenarios and continuity plans.</t>
  </si>
  <si>
    <t>Measure and test banking resilience with backup banks, signatories, online access and payment release fallback, run tabletop or operational stress tests, integrate it with dependent processes and update crisis playbooks.</t>
  </si>
  <si>
    <t>Sustain maturity for banking resilience with backup banks, signatories, online access and payment release fallback: keep evidence current, monitor drift, benchmark externally and refresh risk tests after organizational, system or market changes.</t>
  </si>
  <si>
    <t>Finance Procurement!25</t>
  </si>
  <si>
    <t>Immature capability for tax compliance calendar and statutory reporting continuity may lead to cash-flow stress, uncontrolled spend, supplier payment disruption and weak financial visibility during Financial / liquidity shock; Supplier disruption; Fraud risk.</t>
  </si>
  <si>
    <t>Low maturity, weak ownership, incomplete evidence, insufficient testing and poor integration with crisis-management routines for tax compliance calendar and statutory reporting continuity.</t>
  </si>
  <si>
    <t>Severe risk: tax compliance calendar and statutory reporting continuity is not reliably controlled. During Financial / liquidity shock; Supplier disruption; Fraud risk, the organization may face cash-flow stress, uncontrolled spend, supplier payment disruption and weak financial visibility with limited visibility or accountability.</t>
  </si>
  <si>
    <t>High risk: tax compliance calendar and statutory reporting continuity depends on informal practices or individual knowledge. Disruption may expose cash-flow stress, uncontrolled spend, supplier payment disruption and weak financial visibility and slow recovery.</t>
  </si>
  <si>
    <t>Elevated risk: tax compliance calendar and statutory reporting continuity is partially controlled, but coverage, evidence or testing is inconsistent. Crisis response may be fragmented.</t>
  </si>
  <si>
    <t>Moderate risk: tax compliance calendar and statutory reporting continuity is documented and owned, but measurement, stress testing and integration with dependent processes need strengthening.</t>
  </si>
  <si>
    <t>Residual risk: tax compliance calendar and statutory reporting continuity is measured and reviewed, but monitoring, automation or scenario testing should be improved to prevent maturity drift.</t>
  </si>
  <si>
    <t>Low residual risk: tax compliance calendar and statutory reporting continuity is mature and crisis-tested. Maintain monitoring, evidence, ownership and periodic stress testing.</t>
  </si>
  <si>
    <t>Create an immediate risk owner, minimum control baseline and fallback procedure for tax compliance calendar and statutory reporting continuity. Add it to the crisis risk register and collect first evidence.</t>
  </si>
  <si>
    <t>Document tax compliance calendar and statutory reporting continuity, assign RACI, define minimum controls and KPIs, and validate coverage across key sites, teams or systems.</t>
  </si>
  <si>
    <t>Standardize tax compliance calendar and statutory reporting continuity, close coverage gaps, train accountable roles and connect controls to the relevant crisis scenarios and continuity plans.</t>
  </si>
  <si>
    <t>Measure and test tax compliance calendar and statutory reporting continuity, run tabletop or operational stress tests, integrate it with dependent processes and update crisis playbooks.</t>
  </si>
  <si>
    <t>Sustain maturity for tax compliance calendar and statutory reporting continuity: keep evidence current, monitor drift, benchmark externally and refresh risk tests after organizational, system or market changes.</t>
  </si>
  <si>
    <t>Finance Procurement!26</t>
  </si>
  <si>
    <t>Immature capability for business interruption insurance fit against realistic recovery scenarios may lead to cash-flow stress, uncontrolled spend, supplier payment disruption and weak financial visibility during Financial / liquidity shock; Supplier disruption; Fraud risk.</t>
  </si>
  <si>
    <t>Low maturity, weak ownership, incomplete evidence, insufficient testing and poor integration with crisis-management routines for business interruption insurance fit against realistic recovery scenarios.</t>
  </si>
  <si>
    <t>Severe risk: business interruption insurance fit against realistic recovery scenarios is not reliably controlled. During Financial / liquidity shock; Supplier disruption; Fraud risk, the organization may face cash-flow stress, uncontrolled spend, supplier payment disruption and weak financial visibility with limited visibility or accountability.</t>
  </si>
  <si>
    <t>High risk: business interruption insurance fit against realistic recovery scenarios depends on informal practices or individual knowledge. Disruption may expose cash-flow stress, uncontrolled spend, supplier payment disruption and weak financial visibility and slow recovery.</t>
  </si>
  <si>
    <t>Elevated risk: business interruption insurance fit against realistic recovery scenarios is partially controlled, but coverage, evidence or testing is inconsistent. Crisis response may be fragmented.</t>
  </si>
  <si>
    <t>Moderate risk: business interruption insurance fit against realistic recovery scenarios is documented and owned, but measurement, stress testing and integration with dependent processes need strengthening.</t>
  </si>
  <si>
    <t>Residual risk: business interruption insurance fit against realistic recovery scenarios is measured and reviewed, but monitoring, automation or scenario testing should be improved to prevent maturity drift.</t>
  </si>
  <si>
    <t>Low residual risk: business interruption insurance fit against realistic recovery scenarios is mature and crisis-tested. Maintain monitoring, evidence, ownership and periodic stress testing.</t>
  </si>
  <si>
    <t>Create an immediate risk owner, minimum control baseline and fallback procedure for business interruption insurance fit against realistic recovery scenarios. Add it to the crisis risk register and collect first evidence.</t>
  </si>
  <si>
    <t>Document business interruption insurance fit against realistic recovery scenarios, assign RACI, define minimum controls and KPIs, and validate coverage across key sites, teams or systems.</t>
  </si>
  <si>
    <t>Standardize business interruption insurance fit against realistic recovery scenarios, close coverage gaps, train accountable roles and connect controls to the relevant crisis scenarios and continuity plans.</t>
  </si>
  <si>
    <t>Measure and test business interruption insurance fit against realistic recovery scenarios, run tabletop or operational stress tests, integrate it with dependent processes and update crisis playbooks.</t>
  </si>
  <si>
    <t>Sustain maturity for business interruption insurance fit against realistic recovery scenarios: keep evidence current, monitor drift, benchmark externally and refresh risk tests after organizational, system or market changes.</t>
  </si>
  <si>
    <t>Finance Procurement!27</t>
  </si>
  <si>
    <t>Financial flexibility and market risk</t>
  </si>
  <si>
    <t>Immature capability for currency risk management using natural hedges, contract indexation or hedging instruments may lead to margin erosion from currency mismatch between revenue and cost base and unbudgeted FX losses during Financial/liquidity crisis; Demand shock.</t>
  </si>
  <si>
    <t>Low maturity, weak ownership, incomplete evidence, insufficient testing and poor integration with crisis-management routines for currency risk management using natural hedges, contract indexation or hedging instruments.</t>
  </si>
  <si>
    <t>Severe risk: currency risk management using natural hedges, contract indexation or hedging instruments is not reliably controlled. During Financial/liquidity crisis; Demand shock, the organization may face margin erosion from currency mismatch between revenue and cost base and unbudgeted FX losses with limited visibility or accountability.</t>
  </si>
  <si>
    <t>High risk: currency risk management using natural hedges, contract indexation or hedging instruments depends on informal practices or individual knowledge. Disruption may expose margin erosion from currency mismatch between revenue and cost base and unbudgeted FX losses and slow recovery.</t>
  </si>
  <si>
    <t>Elevated risk: currency risk management using natural hedges, contract indexation or hedging instruments is partially controlled, but coverage, evidence or testing is inconsistent. Crisis response may be fragmented.</t>
  </si>
  <si>
    <t>Moderate risk: currency risk management using natural hedges, contract indexation or hedging instruments is documented and owned, but measurement, stress testing and integration with dependent processes need strengthening.</t>
  </si>
  <si>
    <t>Residual risk: currency risk management using natural hedges, contract indexation or hedging instruments is measured and reviewed, but monitoring, automation or scenario testing should be improved to prevent maturity drift.</t>
  </si>
  <si>
    <t>Low residual risk: currency risk management using natural hedges, contract indexation or hedging instruments is mature and crisis-tested. Maintain monitoring, evidence, ownership and periodic stress testing.</t>
  </si>
  <si>
    <t>Create an immediate risk owner, minimum control baseline and fallback procedure for currency risk management using natural hedges, contract indexation or hedging instruments. Add it to the crisis risk register and collect first evidence.</t>
  </si>
  <si>
    <t>Document currency risk management using natural hedges, contract indexation or hedging instruments, assign RACI, define minimum controls and KPIs, and validate coverage across key sites, teams or systems.</t>
  </si>
  <si>
    <t>Standardize currency risk management using natural hedges, contract indexation or hedging instruments, close coverage gaps, train accountable roles and connect controls to the relevant crisis scenarios and continuity plans.</t>
  </si>
  <si>
    <t>Measure and test currency risk management using natural hedges, contract indexation or hedging instruments, run tabletop or operational stress tests, integrate it with dependent processes and update crisis playbooks.</t>
  </si>
  <si>
    <t>Sustain maturity for currency risk management using natural hedges, contract indexation or hedging instruments: keep evidence current, monitor drift, benchmark externally and refresh risk tests after organizational, system or market changes.</t>
  </si>
  <si>
    <t>Policy/SOP; owner/RACI; system report; dashboard; contracts; test records; incident history; interview evidence related to currency risk management using natural hedges, contract indexation or hedging instruments</t>
  </si>
  <si>
    <t>CFO</t>
  </si>
  <si>
    <t>Finance Procurement!28</t>
  </si>
  <si>
    <t>Immature capability for cost structure flexibility with fixed-to-variable ratio visibility and cost reduction levers ranked by speed and impact may lead to slow and unfocused cost response to revenue decline and overcutting of value-critical spend during Financial/liquidity crisis; Demand shock.</t>
  </si>
  <si>
    <t>Low maturity, weak ownership, incomplete evidence, insufficient testing and poor integration with crisis-management routines for cost structure flexibility with fixed-to-variable ratio visibility and cost reduction levers ranked by speed and impact.</t>
  </si>
  <si>
    <t>Severe risk: cost structure flexibility with fixed-to-variable ratio visibility and cost reduction levers ranked by speed and impact is not reliably controlled. During Financial/liquidity crisis; Demand shock, the organization may face slow and unfocused cost response to revenue decline and overcutting of value-critical spend with limited visibility or accountability.</t>
  </si>
  <si>
    <t>High risk: cost structure flexibility with fixed-to-variable ratio visibility and cost reduction levers ranked by speed and impact depends on informal practices or individual knowledge. Disruption may expose slow and unfocused cost response to revenue decline and overcutting of value-critical spend and slow recovery.</t>
  </si>
  <si>
    <t>Elevated risk: cost structure flexibility with fixed-to-variable ratio visibility and cost reduction levers ranked by speed and impact is partially controlled, but coverage, evidence or testing is inconsistent. Crisis response may be fragmented.</t>
  </si>
  <si>
    <t>Moderate risk: cost structure flexibility with fixed-to-variable ratio visibility and cost reduction levers ranked by speed and impact is documented and owned, but measurement, stress testing and integration with dependent processes need strengthening.</t>
  </si>
  <si>
    <t>Residual risk: cost structure flexibility with fixed-to-variable ratio visibility and cost reduction levers ranked by speed and impact is measured and reviewed, but monitoring, automation or scenario testing should be improved to prevent maturity drift.</t>
  </si>
  <si>
    <t>Low residual risk: cost structure flexibility with fixed-to-variable ratio visibility and cost reduction levers ranked by speed and impact is mature and crisis-tested. Maintain monitoring, evidence, ownership and periodic stress testing.</t>
  </si>
  <si>
    <t>Create an immediate risk owner, minimum control baseline and fallback procedure for cost structure flexibility with fixed-to-variable ratio visibility and cost reduction levers ranked by speed and impact. Add it to the crisis risk register and collect first evidence.</t>
  </si>
  <si>
    <t>Document cost structure flexibility with fixed-to-variable ratio visibility and cost reduction levers ranked by speed and impact, assign RACI, define minimum controls and KPIs, and validate coverage across key sites, teams or systems.</t>
  </si>
  <si>
    <t>Standardize cost structure flexibility with fixed-to-variable ratio visibility and cost reduction levers ranked by speed and impact, close coverage gaps, train accountable roles and connect controls to the relevant crisis scenarios and continuity plans.</t>
  </si>
  <si>
    <t>Measure and test cost structure flexibility with fixed-to-variable ratio visibility and cost reduction levers ranked by speed and impact, run tabletop or operational stress tests, integrate it with dependent processes and update crisis playbooks.</t>
  </si>
  <si>
    <t>Sustain maturity for cost structure flexibility with fixed-to-variable ratio visibility and cost reduction levers ranked by speed and impact: keep evidence current, monitor drift, benchmark externally and refresh risk tests after organizational, system or market changes.</t>
  </si>
  <si>
    <t>Policy/SOP; owner/RACI; system report; dashboard; contracts; test records; incident history; interview evidence related to cost structure flexibility with fixed-to-variable ratio visibility and cost reduction levers ranked by speed and impact</t>
  </si>
  <si>
    <t>Finance Procurement!29</t>
  </si>
  <si>
    <t>Immature capability for customer credit risk assessment with credit checks, limits and payment terms control before contracting may lead to revenue converted into bad debt, cash gaps from defaulting customers and unpriced credit exposure during Financial/liquidity crisis; Key customer loss.</t>
  </si>
  <si>
    <t>Low maturity, weak ownership, incomplete evidence, insufficient testing and poor integration with crisis-management routines for customer credit risk assessment with credit checks, limits and payment terms control before contracting.</t>
  </si>
  <si>
    <t>Severe risk: customer credit risk assessment with credit checks, limits and payment terms control before contracting is not reliably controlled. During Financial/liquidity crisis; Key customer loss, the organization may face revenue converted into bad debt, cash gaps from defaulting customers and unpriced credit exposure with limited visibility or accountability.</t>
  </si>
  <si>
    <t>High risk: customer credit risk assessment with credit checks, limits and payment terms control before contracting depends on informal practices or individual knowledge. Disruption may expose revenue converted into bad debt, cash gaps from defaulting customers and unpriced credit exposure and slow recovery.</t>
  </si>
  <si>
    <t>Elevated risk: customer credit risk assessment with credit checks, limits and payment terms control before contracting is partially controlled, but coverage, evidence or testing is inconsistent. Crisis response may be fragmented.</t>
  </si>
  <si>
    <t>Moderate risk: customer credit risk assessment with credit checks, limits and payment terms control before contracting is documented and owned, but measurement, stress testing and integration with dependent processes need strengthening.</t>
  </si>
  <si>
    <t>Residual risk: customer credit risk assessment with credit checks, limits and payment terms control before contracting is measured and reviewed, but monitoring, automation or scenario testing should be improved to prevent maturity drift.</t>
  </si>
  <si>
    <t>Low residual risk: customer credit risk assessment with credit checks, limits and payment terms control before contracting is mature and crisis-tested. Maintain monitoring, evidence, ownership and periodic stress testing.</t>
  </si>
  <si>
    <t>Create an immediate risk owner, minimum control baseline and fallback procedure for customer credit risk assessment with credit checks, limits and payment terms control before contracting. Add it to the crisis risk register and collect first evidence.</t>
  </si>
  <si>
    <t>Document customer credit risk assessment with credit checks, limits and payment terms control before contracting, assign RACI, define minimum controls and KPIs, and validate coverage across key sites, teams or systems.</t>
  </si>
  <si>
    <t>Standardize customer credit risk assessment with credit checks, limits and payment terms control before contracting, close coverage gaps, train accountable roles and connect controls to the relevant crisis scenarios and continuity plans.</t>
  </si>
  <si>
    <t>Measure and test customer credit risk assessment with credit checks, limits and payment terms control before contracting, run tabletop or operational stress tests, integrate it with dependent processes and update crisis playbooks.</t>
  </si>
  <si>
    <t>Sustain maturity for customer credit risk assessment with credit checks, limits and payment terms control before contracting: keep evidence current, monitor drift, benchmark externally and refresh risk tests after organizational, system or market changes.</t>
  </si>
  <si>
    <t>Policy/SOP; owner/RACI; system report; dashboard; contracts; test records; incident history; interview evidence related to customer credit risk assessment with credit checks, limits and payment terms control before contracting</t>
  </si>
  <si>
    <t>CFO / Sales</t>
  </si>
  <si>
    <t>Finance Procurement!30</t>
  </si>
  <si>
    <t>Immature capability for compliance obligations register by jurisdiction, license, customer, industry and function may lead to contractual disputes, compliance breaches, regulatory penalties and delayed legal response during Regulatory/legal shock; Contractual exposure; Data breach.</t>
  </si>
  <si>
    <t>Low maturity, weak ownership, incomplete evidence, insufficient testing and poor integration with crisis-management routines for compliance obligations register by jurisdiction, license, customer, industry and function.</t>
  </si>
  <si>
    <t>Severe risk: compliance obligations register by jurisdiction, license, customer, industry and function is not reliably controlled. During Regulatory/legal shock; Contractual exposure; Data breach, the organization may face contractual disputes, compliance breaches, regulatory penalties and delayed legal response with limited visibility or accountability.</t>
  </si>
  <si>
    <t>High risk: compliance obligations register by jurisdiction, license, customer, industry and function depends on informal practices or individual knowledge. Disruption may expose contractual disputes, compliance breaches, regulatory penalties and delayed legal response and slow recovery.</t>
  </si>
  <si>
    <t>Elevated risk: compliance obligations register by jurisdiction, license, customer, industry and function is partially controlled, but coverage, evidence or testing is inconsistent. Crisis response may be fragmented.</t>
  </si>
  <si>
    <t>Moderate risk: compliance obligations register by jurisdiction, license, customer, industry and function is documented and owned, but measurement, stress testing and integration with dependent processes need strengthening.</t>
  </si>
  <si>
    <t>Residual risk: compliance obligations register by jurisdiction, license, customer, industry and function is measured and reviewed, but monitoring, automation or scenario testing should be improved to prevent maturity drift.</t>
  </si>
  <si>
    <t>Low residual risk: compliance obligations register by jurisdiction, license, customer, industry and function is mature and crisis-tested. Maintain monitoring, evidence, ownership and periodic stress testing.</t>
  </si>
  <si>
    <t>Create an immediate risk owner, minimum control baseline and fallback procedure for compliance obligations register by jurisdiction, license, customer, industry and function. Add it to the crisis risk register and collect first evidence.</t>
  </si>
  <si>
    <t>Document compliance obligations register by jurisdiction, license, customer, industry and function, assign RACI, define minimum controls and KPIs, and validate coverage across key sites, teams or systems.</t>
  </si>
  <si>
    <t>Standardize compliance obligations register by jurisdiction, license, customer, industry and function, close coverage gaps, train accountable roles and connect controls to the relevant crisis scenarios and continuity plans.</t>
  </si>
  <si>
    <t>Measure and test compliance obligations register by jurisdiction, license, customer, industry and function, run tabletop or operational stress tests, integrate it with dependent processes and update crisis playbooks.</t>
  </si>
  <si>
    <t>Sustain maturity for compliance obligations register by jurisdiction, license, customer, industry and function: keep evidence current, monitor drift, benchmark externally and refresh risk tests after organizational, system or market changes.</t>
  </si>
  <si>
    <t>Legal / Compliance</t>
  </si>
  <si>
    <t>Legal Risk!5</t>
  </si>
  <si>
    <t>Immature capability for regulatory reporting calendar and emergency reporting triggers for cyber, safety, finance, environment and privacy may lead to contractual disputes, compliance breaches, regulatory penalties and delayed legal response during Regulatory/legal shock; Contractual exposure; Data breach.</t>
  </si>
  <si>
    <t>Low maturity, weak ownership, incomplete evidence, insufficient testing and poor integration with crisis-management routines for regulatory reporting calendar and emergency reporting triggers for cyber, safety, finance, environment and privacy.</t>
  </si>
  <si>
    <t>Severe risk: regulatory reporting calendar and emergency reporting triggers for cyber, safety, finance, environment and privacy is not reliably controlled. During Regulatory/legal shock; Contractual exposure; Data breach, the organization may face contractual disputes, compliance breaches, regulatory penalties and delayed legal response with limited visibility or accountability.</t>
  </si>
  <si>
    <t>High risk: regulatory reporting calendar and emergency reporting triggers for cyber, safety, finance, environment and privacy depends on informal practices or individual knowledge. Disruption may expose contractual disputes, compliance breaches, regulatory penalties and delayed legal response and slow recovery.</t>
  </si>
  <si>
    <t>Elevated risk: regulatory reporting calendar and emergency reporting triggers for cyber, safety, finance, environment and privacy is partially controlled, but coverage, evidence or testing is inconsistent. Crisis response may be fragmented.</t>
  </si>
  <si>
    <t>Moderate risk: regulatory reporting calendar and emergency reporting triggers for cyber, safety, finance, environment and privacy is documented and owned, but measurement, stress testing and integration with dependent processes need strengthening.</t>
  </si>
  <si>
    <t>Residual risk: regulatory reporting calendar and emergency reporting triggers for cyber, safety, finance, environment and privacy is measured and reviewed, but monitoring, automation or scenario testing should be improved to prevent maturity drift.</t>
  </si>
  <si>
    <t>Low residual risk: regulatory reporting calendar and emergency reporting triggers for cyber, safety, finance, environment and privacy is mature and crisis-tested. Maintain monitoring, evidence, ownership and periodic stress testing.</t>
  </si>
  <si>
    <t>Create an immediate risk owner, minimum control baseline and fallback procedure for regulatory reporting calendar and emergency reporting triggers for cyber, safety, finance, environment and privacy. Add it to the crisis risk register and collect first evidence.</t>
  </si>
  <si>
    <t>Document regulatory reporting calendar and emergency reporting triggers for cyber, safety, finance, environment and privacy, assign RACI, define minimum controls and KPIs, and validate coverage across key sites, teams or systems.</t>
  </si>
  <si>
    <t>Standardize regulatory reporting calendar and emergency reporting triggers for cyber, safety, finance, environment and privacy, close coverage gaps, train accountable roles and connect controls to the relevant crisis scenarios and continuity plans.</t>
  </si>
  <si>
    <t>Measure and test regulatory reporting calendar and emergency reporting triggers for cyber, safety, finance, environment and privacy, run tabletop or operational stress tests, integrate it with dependent processes and update crisis playbooks.</t>
  </si>
  <si>
    <t>Sustain maturity for regulatory reporting calendar and emergency reporting triggers for cyber, safety, finance, environment and privacy: keep evidence current, monitor drift, benchmark externally and refresh risk tests after organizational, system or market changes.</t>
  </si>
  <si>
    <t>Legal Risk!6</t>
  </si>
  <si>
    <t>Immature capability for sanctions and restricted-party screening for customers, suppliers, owners and payments may lead to contractual disputes, compliance breaches, regulatory penalties and delayed legal response during Regulatory/legal shock; Contractual exposure; Data breach.</t>
  </si>
  <si>
    <t>Low maturity, weak ownership, incomplete evidence, insufficient testing and poor integration with crisis-management routines for sanctions and restricted-party screening for customers, suppliers, owners and payments.</t>
  </si>
  <si>
    <t>Severe risk: sanctions and restricted-party screening for customers, suppliers, owners and payments is not reliably controlled. During Regulatory/legal shock; Contractual exposure; Data breach, the organization may face contractual disputes, compliance breaches, regulatory penalties and delayed legal response with limited visibility or accountability.</t>
  </si>
  <si>
    <t>High risk: sanctions and restricted-party screening for customers, suppliers, owners and payments depends on informal practices or individual knowledge. Disruption may expose contractual disputes, compliance breaches, regulatory penalties and delayed legal response and slow recovery.</t>
  </si>
  <si>
    <t>Elevated risk: sanctions and restricted-party screening for customers, suppliers, owners and payments is partially controlled, but coverage, evidence or testing is inconsistent. Crisis response may be fragmented.</t>
  </si>
  <si>
    <t>Moderate risk: sanctions and restricted-party screening for customers, suppliers, owners and payments is documented and owned, but measurement, stress testing and integration with dependent processes need strengthening.</t>
  </si>
  <si>
    <t>Residual risk: sanctions and restricted-party screening for customers, suppliers, owners and payments is measured and reviewed, but monitoring, automation or scenario testing should be improved to prevent maturity drift.</t>
  </si>
  <si>
    <t>Low residual risk: sanctions and restricted-party screening for customers, suppliers, owners and payments is mature and crisis-tested. Maintain monitoring, evidence, ownership and periodic stress testing.</t>
  </si>
  <si>
    <t>Create an immediate risk owner, minimum control baseline and fallback procedure for sanctions and restricted-party screening for customers, suppliers, owners and payments. Add it to the crisis risk register and collect first evidence.</t>
  </si>
  <si>
    <t>Document sanctions and restricted-party screening for customers, suppliers, owners and payments, assign RACI, define minimum controls and KPIs, and validate coverage across key sites, teams or systems.</t>
  </si>
  <si>
    <t>Standardize sanctions and restricted-party screening for customers, suppliers, owners and payments, close coverage gaps, train accountable roles and connect controls to the relevant crisis scenarios and continuity plans.</t>
  </si>
  <si>
    <t>Measure and test sanctions and restricted-party screening for customers, suppliers, owners and payments, run tabletop or operational stress tests, integrate it with dependent processes and update crisis playbooks.</t>
  </si>
  <si>
    <t>Sustain maturity for sanctions and restricted-party screening for customers, suppliers, owners and payments: keep evidence current, monitor drift, benchmark externally and refresh risk tests after organizational, system or market changes.</t>
  </si>
  <si>
    <t>Legal Risk!7</t>
  </si>
  <si>
    <t>Immature capability for anti-bribery and corruption controls during emergency procurement and high-pressure sales may lead to contractual disputes, compliance breaches, regulatory penalties and delayed legal response during Regulatory/legal shock; Contractual exposure; Data breach.</t>
  </si>
  <si>
    <t>Low maturity, weak ownership, incomplete evidence, insufficient testing and poor integration with crisis-management routines for anti-bribery and corruption controls during emergency procurement and high-pressure sales.</t>
  </si>
  <si>
    <t>Severe risk: anti-bribery and corruption controls during emergency procurement and high-pressure sales is not reliably controlled. During Regulatory/legal shock; Contractual exposure; Data breach, the organization may face contractual disputes, compliance breaches, regulatory penalties and delayed legal response with limited visibility or accountability.</t>
  </si>
  <si>
    <t>High risk: anti-bribery and corruption controls during emergency procurement and high-pressure sales depends on informal practices or individual knowledge. Disruption may expose contractual disputes, compliance breaches, regulatory penalties and delayed legal response and slow recovery.</t>
  </si>
  <si>
    <t>Elevated risk: anti-bribery and corruption controls during emergency procurement and high-pressure sales is partially controlled, but coverage, evidence or testing is inconsistent. Crisis response may be fragmented.</t>
  </si>
  <si>
    <t>Moderate risk: anti-bribery and corruption controls during emergency procurement and high-pressure sales is documented and owned, but measurement, stress testing and integration with dependent processes need strengthening.</t>
  </si>
  <si>
    <t>Residual risk: anti-bribery and corruption controls during emergency procurement and high-pressure sales is measured and reviewed, but monitoring, automation or scenario testing should be improved to prevent maturity drift.</t>
  </si>
  <si>
    <t>Low residual risk: anti-bribery and corruption controls during emergency procurement and high-pressure sales is mature and crisis-tested. Maintain monitoring, evidence, ownership and periodic stress testing.</t>
  </si>
  <si>
    <t>Create an immediate risk owner, minimum control baseline and fallback procedure for anti-bribery and corruption controls during emergency procurement and high-pressure sales. Add it to the crisis risk register and collect first evidence.</t>
  </si>
  <si>
    <t>Document anti-bribery and corruption controls during emergency procurement and high-pressure sales, assign RACI, define minimum controls and KPIs, and validate coverage across key sites, teams or systems.</t>
  </si>
  <si>
    <t>Standardize anti-bribery and corruption controls during emergency procurement and high-pressure sales, close coverage gaps, train accountable roles and connect controls to the relevant crisis scenarios and continuity plans.</t>
  </si>
  <si>
    <t>Measure and test anti-bribery and corruption controls during emergency procurement and high-pressure sales, run tabletop or operational stress tests, integrate it with dependent processes and update crisis playbooks.</t>
  </si>
  <si>
    <t>Sustain maturity for anti-bribery and corruption controls during emergency procurement and high-pressure sales: keep evidence current, monitor drift, benchmark externally and refresh risk tests after organizational, system or market changes.</t>
  </si>
  <si>
    <t>Legal Risk!8</t>
  </si>
  <si>
    <t>Immature capability for whistleblowing and misconduct reporting mechanism with investigation process may lead to contractual disputes, compliance breaches, regulatory penalties and delayed legal response during Regulatory/legal shock; Contractual exposure; Data breach.</t>
  </si>
  <si>
    <t>Low maturity, weak ownership, incomplete evidence, insufficient testing and poor integration with crisis-management routines for whistleblowing and misconduct reporting mechanism with investigation process.</t>
  </si>
  <si>
    <t>Severe risk: whistleblowing and misconduct reporting mechanism with investigation process is not reliably controlled. During Regulatory/legal shock; Contractual exposure; Data breach, the organization may face contractual disputes, compliance breaches, regulatory penalties and delayed legal response with limited visibility or accountability.</t>
  </si>
  <si>
    <t>High risk: whistleblowing and misconduct reporting mechanism with investigation process depends on informal practices or individual knowledge. Disruption may expose contractual disputes, compliance breaches, regulatory penalties and delayed legal response and slow recovery.</t>
  </si>
  <si>
    <t>Elevated risk: whistleblowing and misconduct reporting mechanism with investigation process is partially controlled, but coverage, evidence or testing is inconsistent. Crisis response may be fragmented.</t>
  </si>
  <si>
    <t>Moderate risk: whistleblowing and misconduct reporting mechanism with investigation process is documented and owned, but measurement, stress testing and integration with dependent processes need strengthening.</t>
  </si>
  <si>
    <t>Residual risk: whistleblowing and misconduct reporting mechanism with investigation process is measured and reviewed, but monitoring, automation or scenario testing should be improved to prevent maturity drift.</t>
  </si>
  <si>
    <t>Low residual risk: whistleblowing and misconduct reporting mechanism with investigation process is mature and crisis-tested. Maintain monitoring, evidence, ownership and periodic stress testing.</t>
  </si>
  <si>
    <t>Create an immediate risk owner, minimum control baseline and fallback procedure for whistleblowing and misconduct reporting mechanism with investigation process. Add it to the crisis risk register and collect first evidence.</t>
  </si>
  <si>
    <t>Document whistleblowing and misconduct reporting mechanism with investigation process, assign RACI, define minimum controls and KPIs, and validate coverage across key sites, teams or systems.</t>
  </si>
  <si>
    <t>Standardize whistleblowing and misconduct reporting mechanism with investigation process, close coverage gaps, train accountable roles and connect controls to the relevant crisis scenarios and continuity plans.</t>
  </si>
  <si>
    <t>Measure and test whistleblowing and misconduct reporting mechanism with investigation process, run tabletop or operational stress tests, integrate it with dependent processes and update crisis playbooks.</t>
  </si>
  <si>
    <t>Sustain maturity for whistleblowing and misconduct reporting mechanism with investigation process: keep evidence current, monitor drift, benchmark externally and refresh risk tests after organizational, system or market changes.</t>
  </si>
  <si>
    <t>Legal Risk!9</t>
  </si>
  <si>
    <t>Immature capability for legal support continuity if internal or external counsel is unavailable may lead to contractual disputes, compliance breaches, regulatory penalties and delayed legal response during Regulatory/legal shock; Contractual exposure; Data breach.</t>
  </si>
  <si>
    <t>Low maturity, weak ownership, incomplete evidence, insufficient testing and poor integration with crisis-management routines for legal support continuity if internal or external counsel is unavailable.</t>
  </si>
  <si>
    <t>Severe risk: legal support continuity if internal or external counsel is unavailable is not reliably controlled. During Regulatory/legal shock; Contractual exposure; Data breach, the organization may face contractual disputes, compliance breaches, regulatory penalties and delayed legal response with limited visibility or accountability.</t>
  </si>
  <si>
    <t>High risk: legal support continuity if internal or external counsel is unavailable depends on informal practices or individual knowledge. Disruption may expose contractual disputes, compliance breaches, regulatory penalties and delayed legal response and slow recovery.</t>
  </si>
  <si>
    <t>Elevated risk: legal support continuity if internal or external counsel is unavailable is partially controlled, but coverage, evidence or testing is inconsistent. Crisis response may be fragmented.</t>
  </si>
  <si>
    <t>Moderate risk: legal support continuity if internal or external counsel is unavailable is documented and owned, but measurement, stress testing and integration with dependent processes need strengthening.</t>
  </si>
  <si>
    <t>Residual risk: legal support continuity if internal or external counsel is unavailable is measured and reviewed, but monitoring, automation or scenario testing should be improved to prevent maturity drift.</t>
  </si>
  <si>
    <t>Low residual risk: legal support continuity if internal or external counsel is unavailable is mature and crisis-tested. Maintain monitoring, evidence, ownership and periodic stress testing.</t>
  </si>
  <si>
    <t>Create an immediate risk owner, minimum control baseline and fallback procedure for legal support continuity if internal or external counsel is unavailable. Add it to the crisis risk register and collect first evidence.</t>
  </si>
  <si>
    <t>Document legal support continuity if internal or external counsel is unavailable, assign RACI, define minimum controls and KPIs, and validate coverage across key sites, teams or systems.</t>
  </si>
  <si>
    <t>Standardize legal support continuity if internal or external counsel is unavailable, close coverage gaps, train accountable roles and connect controls to the relevant crisis scenarios and continuity plans.</t>
  </si>
  <si>
    <t>Measure and test legal support continuity if internal or external counsel is unavailable, run tabletop or operational stress tests, integrate it with dependent processes and update crisis playbooks.</t>
  </si>
  <si>
    <t>Sustain maturity for legal support continuity if internal or external counsel is unavailable: keep evidence current, monitor drift, benchmark externally and refresh risk tests after organizational, system or market changes.</t>
  </si>
  <si>
    <t>Legal Risk!10</t>
  </si>
  <si>
    <t>Immature capability for complete contract register for customers, suppliers, leases, loans, employment, insurance and IP may lead to contractual disputes, compliance breaches, regulatory penalties and delayed legal response during Regulatory/legal shock; Contractual exposure; Data breach.</t>
  </si>
  <si>
    <t>Low maturity, weak ownership, incomplete evidence, insufficient testing and poor integration with crisis-management routines for complete contract register for customers, suppliers, leases, loans, employment, insurance and IP.</t>
  </si>
  <si>
    <t>Severe risk: complete contract register for customers, suppliers, leases, loans, employment, insurance and IP is not reliably controlled. During Regulatory/legal shock; Contractual exposure; Data breach, the organization may face contractual disputes, compliance breaches, regulatory penalties and delayed legal response with limited visibility or accountability.</t>
  </si>
  <si>
    <t>High risk: complete contract register for customers, suppliers, leases, loans, employment, insurance and IP depends on informal practices or individual knowledge. Disruption may expose contractual disputes, compliance breaches, regulatory penalties and delayed legal response and slow recovery.</t>
  </si>
  <si>
    <t>Elevated risk: complete contract register for customers, suppliers, leases, loans, employment, insurance and IP is partially controlled, but coverage, evidence or testing is inconsistent. Crisis response may be fragmented.</t>
  </si>
  <si>
    <t>Moderate risk: complete contract register for customers, suppliers, leases, loans, employment, insurance and IP is documented and owned, but measurement, stress testing and integration with dependent processes need strengthening.</t>
  </si>
  <si>
    <t>Residual risk: complete contract register for customers, suppliers, leases, loans, employment, insurance and IP is measured and reviewed, but monitoring, automation or scenario testing should be improved to prevent maturity drift.</t>
  </si>
  <si>
    <t>Low residual risk: complete contract register for customers, suppliers, leases, loans, employment, insurance and IP is mature and crisis-tested. Maintain monitoring, evidence, ownership and periodic stress testing.</t>
  </si>
  <si>
    <t>Create an immediate risk owner, minimum control baseline and fallback procedure for complete contract register for customers, suppliers, leases, loans, employment, insurance and IP. Add it to the crisis risk register and collect first evidence.</t>
  </si>
  <si>
    <t>Document complete contract register for customers, suppliers, leases, loans, employment, insurance and IP, assign RACI, define minimum controls and KPIs, and validate coverage across key sites, teams or systems.</t>
  </si>
  <si>
    <t>Standardize complete contract register for customers, suppliers, leases, loans, employment, insurance and IP, close coverage gaps, train accountable roles and connect controls to the relevant crisis scenarios and continuity plans.</t>
  </si>
  <si>
    <t>Measure and test complete contract register for customers, suppliers, leases, loans, employment, insurance and IP, run tabletop or operational stress tests, integrate it with dependent processes and update crisis playbooks.</t>
  </si>
  <si>
    <t>Sustain maturity for complete contract register for customers, suppliers, leases, loans, employment, insurance and IP: keep evidence current, monitor drift, benchmark externally and refresh risk tests after organizational, system or market changes.</t>
  </si>
  <si>
    <t>Legal Risk!11</t>
  </si>
  <si>
    <t>Immature capability for analysis of force majeure, hardship, termination, liability and continuity clauses in critical contracts may lead to contractual disputes, compliance breaches, regulatory penalties and delayed legal response during Regulatory/legal shock; Contractual exposure; Data breach.</t>
  </si>
  <si>
    <t>Low maturity, weak ownership, incomplete evidence, insufficient testing and poor integration with crisis-management routines for analysis of force majeure, hardship, termination, liability and continuity clauses in critical contracts.</t>
  </si>
  <si>
    <t>Severe risk: analysis of force majeure, hardship, termination, liability and continuity clauses in critical contracts is not reliably controlled. During Regulatory/legal shock; Contractual exposure; Data breach, the organization may face contractual disputes, compliance breaches, regulatory penalties and delayed legal response with limited visibility or accountability.</t>
  </si>
  <si>
    <t>High risk: analysis of force majeure, hardship, termination, liability and continuity clauses in critical contracts depends on informal practices or individual knowledge. Disruption may expose contractual disputes, compliance breaches, regulatory penalties and delayed legal response and slow recovery.</t>
  </si>
  <si>
    <t>Elevated risk: analysis of force majeure, hardship, termination, liability and continuity clauses in critical contracts is partially controlled, but coverage, evidence or testing is inconsistent. Crisis response may be fragmented.</t>
  </si>
  <si>
    <t>Moderate risk: analysis of force majeure, hardship, termination, liability and continuity clauses in critical contracts is documented and owned, but measurement, stress testing and integration with dependent processes need strengthening.</t>
  </si>
  <si>
    <t>Residual risk: analysis of force majeure, hardship, termination, liability and continuity clauses in critical contracts is measured and reviewed, but monitoring, automation or scenario testing should be improved to prevent maturity drift.</t>
  </si>
  <si>
    <t>Low residual risk: analysis of force majeure, hardship, termination, liability and continuity clauses in critical contracts is mature and crisis-tested. Maintain monitoring, evidence, ownership and periodic stress testing.</t>
  </si>
  <si>
    <t>Create an immediate risk owner, minimum control baseline and fallback procedure for analysis of force majeure, hardship, termination, liability and continuity clauses in critical contracts. Add it to the crisis risk register and collect first evidence.</t>
  </si>
  <si>
    <t>Document analysis of force majeure, hardship, termination, liability and continuity clauses in critical contracts, assign RACI, define minimum controls and KPIs, and validate coverage across key sites, teams or systems.</t>
  </si>
  <si>
    <t>Standardize analysis of force majeure, hardship, termination, liability and continuity clauses in critical contracts, close coverage gaps, train accountable roles and connect controls to the relevant crisis scenarios and continuity plans.</t>
  </si>
  <si>
    <t>Measure and test analysis of force majeure, hardship, termination, liability and continuity clauses in critical contracts, run tabletop or operational stress tests, integrate it with dependent processes and update crisis playbooks.</t>
  </si>
  <si>
    <t>Sustain maturity for analysis of force majeure, hardship, termination, liability and continuity clauses in critical contracts: keep evidence current, monitor drift, benchmark externally and refresh risk tests after organizational, system or market changes.</t>
  </si>
  <si>
    <t>Legal Risk!12</t>
  </si>
  <si>
    <t>Immature capability for customer SLA obligations, penalties, notification timelines and service credits during disruption may lead to contractual disputes, compliance breaches, regulatory penalties and delayed legal response during Regulatory/legal shock; Contractual exposure; Data breach.</t>
  </si>
  <si>
    <t>Low maturity, weak ownership, incomplete evidence, insufficient testing and poor integration with crisis-management routines for customer SLA obligations, penalties, notification timelines and service credits during disruption.</t>
  </si>
  <si>
    <t>Severe risk: customer SLA obligations, penalties, notification timelines and service credits during disruption is not reliably controlled. During Regulatory/legal shock; Contractual exposure; Data breach, the organization may face contractual disputes, compliance breaches, regulatory penalties and delayed legal response with limited visibility or accountability.</t>
  </si>
  <si>
    <t>High risk: customer SLA obligations, penalties, notification timelines and service credits during disruption depends on informal practices or individual knowledge. Disruption may expose contractual disputes, compliance breaches, regulatory penalties and delayed legal response and slow recovery.</t>
  </si>
  <si>
    <t>Elevated risk: customer SLA obligations, penalties, notification timelines and service credits during disruption is partially controlled, but coverage, evidence or testing is inconsistent. Crisis response may be fragmented.</t>
  </si>
  <si>
    <t>Moderate risk: customer SLA obligations, penalties, notification timelines and service credits during disruption is documented and owned, but measurement, stress testing and integration with dependent processes need strengthening.</t>
  </si>
  <si>
    <t>Residual risk: customer SLA obligations, penalties, notification timelines and service credits during disruption is measured and reviewed, but monitoring, automation or scenario testing should be improved to prevent maturity drift.</t>
  </si>
  <si>
    <t>Low residual risk: customer SLA obligations, penalties, notification timelines and service credits during disruption is mature and crisis-tested. Maintain monitoring, evidence, ownership and periodic stress testing.</t>
  </si>
  <si>
    <t>Create an immediate risk owner, minimum control baseline and fallback procedure for customer SLA obligations, penalties, notification timelines and service credits during disruption. Add it to the crisis risk register and collect first evidence.</t>
  </si>
  <si>
    <t>Document customer SLA obligations, penalties, notification timelines and service credits during disruption, assign RACI, define minimum controls and KPIs, and validate coverage across key sites, teams or systems.</t>
  </si>
  <si>
    <t>Standardize customer SLA obligations, penalties, notification timelines and service credits during disruption, close coverage gaps, train accountable roles and connect controls to the relevant crisis scenarios and continuity plans.</t>
  </si>
  <si>
    <t>Measure and test customer SLA obligations, penalties, notification timelines and service credits during disruption, run tabletop or operational stress tests, integrate it with dependent processes and update crisis playbooks.</t>
  </si>
  <si>
    <t>Sustain maturity for customer SLA obligations, penalties, notification timelines and service credits during disruption: keep evidence current, monitor drift, benchmark externally and refresh risk tests after organizational, system or market changes.</t>
  </si>
  <si>
    <t>Legal Risk!13</t>
  </si>
  <si>
    <t>Immature capability for supplier continuity, security, audit, subcontractor and incident notification clauses may lead to contractual disputes, compliance breaches, regulatory penalties and delayed legal response during Regulatory/legal shock; Contractual exposure; Data breach.</t>
  </si>
  <si>
    <t>Low maturity, weak ownership, incomplete evidence, insufficient testing and poor integration with crisis-management routines for supplier continuity, security, audit, subcontractor and incident notification clauses.</t>
  </si>
  <si>
    <t>Severe risk: supplier continuity, security, audit, subcontractor and incident notification clauses is not reliably controlled. During Regulatory/legal shock; Contractual exposure; Data breach, the organization may face contractual disputes, compliance breaches, regulatory penalties and delayed legal response with limited visibility or accountability.</t>
  </si>
  <si>
    <t>High risk: supplier continuity, security, audit, subcontractor and incident notification clauses depends on informal practices or individual knowledge. Disruption may expose contractual disputes, compliance breaches, regulatory penalties and delayed legal response and slow recovery.</t>
  </si>
  <si>
    <t>Elevated risk: supplier continuity, security, audit, subcontractor and incident notification clauses is partially controlled, but coverage, evidence or testing is inconsistent. Crisis response may be fragmented.</t>
  </si>
  <si>
    <t>Moderate risk: supplier continuity, security, audit, subcontractor and incident notification clauses is documented and owned, but measurement, stress testing and integration with dependent processes need strengthening.</t>
  </si>
  <si>
    <t>Residual risk: supplier continuity, security, audit, subcontractor and incident notification clauses is measured and reviewed, but monitoring, automation or scenario testing should be improved to prevent maturity drift.</t>
  </si>
  <si>
    <t>Low residual risk: supplier continuity, security, audit, subcontractor and incident notification clauses is mature and crisis-tested. Maintain monitoring, evidence, ownership and periodic stress testing.</t>
  </si>
  <si>
    <t>Create an immediate risk owner, minimum control baseline and fallback procedure for supplier continuity, security, audit, subcontractor and incident notification clauses. Add it to the crisis risk register and collect first evidence.</t>
  </si>
  <si>
    <t>Document supplier continuity, security, audit, subcontractor and incident notification clauses, assign RACI, define minimum controls and KPIs, and validate coverage across key sites, teams or systems.</t>
  </si>
  <si>
    <t>Standardize supplier continuity, security, audit, subcontractor and incident notification clauses, close coverage gaps, train accountable roles and connect controls to the relevant crisis scenarios and continuity plans.</t>
  </si>
  <si>
    <t>Measure and test supplier continuity, security, audit, subcontractor and incident notification clauses, run tabletop or operational stress tests, integrate it with dependent processes and update crisis playbooks.</t>
  </si>
  <si>
    <t>Sustain maturity for supplier continuity, security, audit, subcontractor and incident notification clauses: keep evidence current, monitor drift, benchmark externally and refresh risk tests after organizational, system or market changes.</t>
  </si>
  <si>
    <t>Legal Risk!14</t>
  </si>
  <si>
    <t>Immature capability for signatory continuity with powers of attorney, board approvals and emergency delegation may lead to contractual disputes, compliance breaches, regulatory penalties and delayed legal response during Regulatory/legal shock; Contractual exposure; Data breach.</t>
  </si>
  <si>
    <t>Low maturity, weak ownership, incomplete evidence, insufficient testing and poor integration with crisis-management routines for signatory continuity with powers of attorney, board approvals and emergency delegation.</t>
  </si>
  <si>
    <t>Severe risk: signatory continuity with powers of attorney, board approvals and emergency delegation is not reliably controlled. During Regulatory/legal shock; Contractual exposure; Data breach, the organization may face contractual disputes, compliance breaches, regulatory penalties and delayed legal response with limited visibility or accountability.</t>
  </si>
  <si>
    <t>High risk: signatory continuity with powers of attorney, board approvals and emergency delegation depends on informal practices or individual knowledge. Disruption may expose contractual disputes, compliance breaches, regulatory penalties and delayed legal response and slow recovery.</t>
  </si>
  <si>
    <t>Elevated risk: signatory continuity with powers of attorney, board approvals and emergency delegation is partially controlled, but coverage, evidence or testing is inconsistent. Crisis response may be fragmented.</t>
  </si>
  <si>
    <t>Moderate risk: signatory continuity with powers of attorney, board approvals and emergency delegation is documented and owned, but measurement, stress testing and integration with dependent processes need strengthening.</t>
  </si>
  <si>
    <t>Residual risk: signatory continuity with powers of attorney, board approvals and emergency delegation is measured and reviewed, but monitoring, automation or scenario testing should be improved to prevent maturity drift.</t>
  </si>
  <si>
    <t>Low residual risk: signatory continuity with powers of attorney, board approvals and emergency delegation is mature and crisis-tested. Maintain monitoring, evidence, ownership and periodic stress testing.</t>
  </si>
  <si>
    <t>Create an immediate risk owner, minimum control baseline and fallback procedure for signatory continuity with powers of attorney, board approvals and emergency delegation. Add it to the crisis risk register and collect first evidence.</t>
  </si>
  <si>
    <t>Document signatory continuity with powers of attorney, board approvals and emergency delegation, assign RACI, define minimum controls and KPIs, and validate coverage across key sites, teams or systems.</t>
  </si>
  <si>
    <t>Standardize signatory continuity with powers of attorney, board approvals and emergency delegation, close coverage gaps, train accountable roles and connect controls to the relevant crisis scenarios and continuity plans.</t>
  </si>
  <si>
    <t>Measure and test signatory continuity with powers of attorney, board approvals and emergency delegation, run tabletop or operational stress tests, integrate it with dependent processes and update crisis playbooks.</t>
  </si>
  <si>
    <t>Sustain maturity for signatory continuity with powers of attorney, board approvals and emergency delegation: keep evidence current, monitor drift, benchmark externally and refresh risk tests after organizational, system or market changes.</t>
  </si>
  <si>
    <t>Legal Risk!15</t>
  </si>
  <si>
    <t>Immature capability for insurance claims process linked to incident evidence collection may lead to contractual disputes, compliance breaches, regulatory penalties and delayed legal response during Regulatory/legal shock; Contractual exposure; Data breach.</t>
  </si>
  <si>
    <t>Low maturity, weak ownership, incomplete evidence, insufficient testing and poor integration with crisis-management routines for insurance claims process linked to incident evidence collection.</t>
  </si>
  <si>
    <t>Severe risk: insurance claims process linked to incident evidence collection is not reliably controlled. During Regulatory/legal shock; Contractual exposure; Data breach, the organization may face contractual disputes, compliance breaches, regulatory penalties and delayed legal response with limited visibility or accountability.</t>
  </si>
  <si>
    <t>High risk: insurance claims process linked to incident evidence collection depends on informal practices or individual knowledge. Disruption may expose contractual disputes, compliance breaches, regulatory penalties and delayed legal response and slow recovery.</t>
  </si>
  <si>
    <t>Elevated risk: insurance claims process linked to incident evidence collection is partially controlled, but coverage, evidence or testing is inconsistent. Crisis response may be fragmented.</t>
  </si>
  <si>
    <t>Moderate risk: insurance claims process linked to incident evidence collection is documented and owned, but measurement, stress testing and integration with dependent processes need strengthening.</t>
  </si>
  <si>
    <t>Residual risk: insurance claims process linked to incident evidence collection is measured and reviewed, but monitoring, automation or scenario testing should be improved to prevent maturity drift.</t>
  </si>
  <si>
    <t>Low residual risk: insurance claims process linked to incident evidence collection is mature and crisis-tested. Maintain monitoring, evidence, ownership and periodic stress testing.</t>
  </si>
  <si>
    <t>Create an immediate risk owner, minimum control baseline and fallback procedure for insurance claims process linked to incident evidence collection. Add it to the crisis risk register and collect first evidence.</t>
  </si>
  <si>
    <t>Document insurance claims process linked to incident evidence collection, assign RACI, define minimum controls and KPIs, and validate coverage across key sites, teams or systems.</t>
  </si>
  <si>
    <t>Standardize insurance claims process linked to incident evidence collection, close coverage gaps, train accountable roles and connect controls to the relevant crisis scenarios and continuity plans.</t>
  </si>
  <si>
    <t>Measure and test insurance claims process linked to incident evidence collection, run tabletop or operational stress tests, integrate it with dependent processes and update crisis playbooks.</t>
  </si>
  <si>
    <t>Sustain maturity for insurance claims process linked to incident evidence collection: keep evidence current, monitor drift, benchmark externally and refresh risk tests after organizational, system or market changes.</t>
  </si>
  <si>
    <t>Legal Risk!16</t>
  </si>
  <si>
    <t>Immature capability for personal data processing map by system, purpose, location, processor and transfer mechanism may lead to contractual disputes, compliance breaches, regulatory penalties and delayed legal response during Regulatory/legal shock; Contractual exposure; Data breach.</t>
  </si>
  <si>
    <t>Low maturity, weak ownership, incomplete evidence, insufficient testing and poor integration with crisis-management routines for personal data processing map by system, purpose, location, processor and transfer mechanism.</t>
  </si>
  <si>
    <t>Severe risk: personal data processing map by system, purpose, location, processor and transfer mechanism is not reliably controlled. During Regulatory/legal shock; Contractual exposure; Data breach, the organization may face contractual disputes, compliance breaches, regulatory penalties and delayed legal response with limited visibility or accountability.</t>
  </si>
  <si>
    <t>High risk: personal data processing map by system, purpose, location, processor and transfer mechanism depends on informal practices or individual knowledge. Disruption may expose contractual disputes, compliance breaches, regulatory penalties and delayed legal response and slow recovery.</t>
  </si>
  <si>
    <t>Elevated risk: personal data processing map by system, purpose, location, processor and transfer mechanism is partially controlled, but coverage, evidence or testing is inconsistent. Crisis response may be fragmented.</t>
  </si>
  <si>
    <t>Moderate risk: personal data processing map by system, purpose, location, processor and transfer mechanism is documented and owned, but measurement, stress testing and integration with dependent processes need strengthening.</t>
  </si>
  <si>
    <t>Residual risk: personal data processing map by system, purpose, location, processor and transfer mechanism is measured and reviewed, but monitoring, automation or scenario testing should be improved to prevent maturity drift.</t>
  </si>
  <si>
    <t>Low residual risk: personal data processing map by system, purpose, location, processor and transfer mechanism is mature and crisis-tested. Maintain monitoring, evidence, ownership and periodic stress testing.</t>
  </si>
  <si>
    <t>Create an immediate risk owner, minimum control baseline and fallback procedure for personal data processing map by system, purpose, location, processor and transfer mechanism. Add it to the crisis risk register and collect first evidence.</t>
  </si>
  <si>
    <t>Document personal data processing map by system, purpose, location, processor and transfer mechanism, assign RACI, define minimum controls and KPIs, and validate coverage across key sites, teams or systems.</t>
  </si>
  <si>
    <t>Standardize personal data processing map by system, purpose, location, processor and transfer mechanism, close coverage gaps, train accountable roles and connect controls to the relevant crisis scenarios and continuity plans.</t>
  </si>
  <si>
    <t>Measure and test personal data processing map by system, purpose, location, processor and transfer mechanism, run tabletop or operational stress tests, integrate it with dependent processes and update crisis playbooks.</t>
  </si>
  <si>
    <t>Sustain maturity for personal data processing map by system, purpose, location, processor and transfer mechanism: keep evidence current, monitor drift, benchmark externally and refresh risk tests after organizational, system or market changes.</t>
  </si>
  <si>
    <t>Legal Risk!17</t>
  </si>
  <si>
    <t>Immature capability for breach notification readiness for personal data and customer contractual obligations may lead to contractual disputes, compliance breaches, regulatory penalties and delayed legal response during Regulatory/legal shock; Contractual exposure; Data breach.</t>
  </si>
  <si>
    <t>Low maturity, weak ownership, incomplete evidence, insufficient testing and poor integration with crisis-management routines for breach notification readiness for personal data and customer contractual obligations.</t>
  </si>
  <si>
    <t>Severe risk: breach notification readiness for personal data and customer contractual obligations is not reliably controlled. During Regulatory/legal shock; Contractual exposure; Data breach, the organization may face contractual disputes, compliance breaches, regulatory penalties and delayed legal response with limited visibility or accountability.</t>
  </si>
  <si>
    <t>High risk: breach notification readiness for personal data and customer contractual obligations depends on informal practices or individual knowledge. Disruption may expose contractual disputes, compliance breaches, regulatory penalties and delayed legal response and slow recovery.</t>
  </si>
  <si>
    <t>Elevated risk: breach notification readiness for personal data and customer contractual obligations is partially controlled, but coverage, evidence or testing is inconsistent. Crisis response may be fragmented.</t>
  </si>
  <si>
    <t>Moderate risk: breach notification readiness for personal data and customer contractual obligations is documented and owned, but measurement, stress testing and integration with dependent processes need strengthening.</t>
  </si>
  <si>
    <t>Residual risk: breach notification readiness for personal data and customer contractual obligations is measured and reviewed, but monitoring, automation or scenario testing should be improved to prevent maturity drift.</t>
  </si>
  <si>
    <t>Low residual risk: breach notification readiness for personal data and customer contractual obligations is mature and crisis-tested. Maintain monitoring, evidence, ownership and periodic stress testing.</t>
  </si>
  <si>
    <t>Create an immediate risk owner, minimum control baseline and fallback procedure for breach notification readiness for personal data and customer contractual obligations. Add it to the crisis risk register and collect first evidence.</t>
  </si>
  <si>
    <t>Document breach notification readiness for personal data and customer contractual obligations, assign RACI, define minimum controls and KPIs, and validate coverage across key sites, teams or systems.</t>
  </si>
  <si>
    <t>Standardize breach notification readiness for personal data and customer contractual obligations, close coverage gaps, train accountable roles and connect controls to the relevant crisis scenarios and continuity plans.</t>
  </si>
  <si>
    <t>Measure and test breach notification readiness for personal data and customer contractual obligations, run tabletop or operational stress tests, integrate it with dependent processes and update crisis playbooks.</t>
  </si>
  <si>
    <t>Sustain maturity for breach notification readiness for personal data and customer contractual obligations: keep evidence current, monitor drift, benchmark externally and refresh risk tests after organizational, system or market changes.</t>
  </si>
  <si>
    <t>Legal Risk!18</t>
  </si>
  <si>
    <t>Immature capability for data processing agreements with vendors covering security, incident response, sub-processors and continuity may lead to contractual disputes, compliance breaches, regulatory penalties and delayed legal response during Regulatory/legal shock; Contractual exposure; Data breach.</t>
  </si>
  <si>
    <t>Low maturity, weak ownership, incomplete evidence, insufficient testing and poor integration with crisis-management routines for data processing agreements with vendors covering security, incident response, sub-processors and continuity.</t>
  </si>
  <si>
    <t>Severe risk: data processing agreements with vendors covering security, incident response, sub-processors and continuity is not reliably controlled. During Regulatory/legal shock; Contractual exposure; Data breach, the organization may face contractual disputes, compliance breaches, regulatory penalties and delayed legal response with limited visibility or accountability.</t>
  </si>
  <si>
    <t>High risk: data processing agreements with vendors covering security, incident response, sub-processors and continuity depends on informal practices or individual knowledge. Disruption may expose contractual disputes, compliance breaches, regulatory penalties and delayed legal response and slow recovery.</t>
  </si>
  <si>
    <t>Elevated risk: data processing agreements with vendors covering security, incident response, sub-processors and continuity is partially controlled, but coverage, evidence or testing is inconsistent. Crisis response may be fragmented.</t>
  </si>
  <si>
    <t>Moderate risk: data processing agreements with vendors covering security, incident response, sub-processors and continuity is documented and owned, but measurement, stress testing and integration with dependent processes need strengthening.</t>
  </si>
  <si>
    <t>Residual risk: data processing agreements with vendors covering security, incident response, sub-processors and continuity is measured and reviewed, but monitoring, automation or scenario testing should be improved to prevent maturity drift.</t>
  </si>
  <si>
    <t>Low residual risk: data processing agreements with vendors covering security, incident response, sub-processors and continuity is mature and crisis-tested. Maintain monitoring, evidence, ownership and periodic stress testing.</t>
  </si>
  <si>
    <t>Create an immediate risk owner, minimum control baseline and fallback procedure for data processing agreements with vendors covering security, incident response, sub-processors and continuity. Add it to the crisis risk register and collect first evidence.</t>
  </si>
  <si>
    <t>Document data processing agreements with vendors covering security, incident response, sub-processors and continuity, assign RACI, define minimum controls and KPIs, and validate coverage across key sites, teams or systems.</t>
  </si>
  <si>
    <t>Standardize data processing agreements with vendors covering security, incident response, sub-processors and continuity, close coverage gaps, train accountable roles and connect controls to the relevant crisis scenarios and continuity plans.</t>
  </si>
  <si>
    <t>Measure and test data processing agreements with vendors covering security, incident response, sub-processors and continuity, run tabletop or operational stress tests, integrate it with dependent processes and update crisis playbooks.</t>
  </si>
  <si>
    <t>Sustain maturity for data processing agreements with vendors covering security, incident response, sub-processors and continuity: keep evidence current, monitor drift, benchmark externally and refresh risk tests after organizational, system or market changes.</t>
  </si>
  <si>
    <t>Legal Risk!19</t>
  </si>
  <si>
    <t>Immature capability for intellectual property ownership for employees, contractors, suppliers, software, designs, data and AI models may lead to contractual disputes, compliance breaches, regulatory penalties and delayed legal response during Regulatory/legal shock; Contractual exposure; Data breach.</t>
  </si>
  <si>
    <t>Low maturity, weak ownership, incomplete evidence, insufficient testing and poor integration with crisis-management routines for intellectual property ownership for employees, contractors, suppliers, software, designs, data and AI models.</t>
  </si>
  <si>
    <t>Severe risk: intellectual property ownership for employees, contractors, suppliers, software, designs, data and AI models is not reliably controlled. During Regulatory/legal shock; Contractual exposure; Data breach, the organization may face contractual disputes, compliance breaches, regulatory penalties and delayed legal response with limited visibility or accountability.</t>
  </si>
  <si>
    <t>High risk: intellectual property ownership for employees, contractors, suppliers, software, designs, data and AI models depends on informal practices or individual knowledge. Disruption may expose contractual disputes, compliance breaches, regulatory penalties and delayed legal response and slow recovery.</t>
  </si>
  <si>
    <t>Elevated risk: intellectual property ownership for employees, contractors, suppliers, software, designs, data and AI models is partially controlled, but coverage, evidence or testing is inconsistent. Crisis response may be fragmented.</t>
  </si>
  <si>
    <t>Moderate risk: intellectual property ownership for employees, contractors, suppliers, software, designs, data and AI models is documented and owned, but measurement, stress testing and integration with dependent processes need strengthening.</t>
  </si>
  <si>
    <t>Residual risk: intellectual property ownership for employees, contractors, suppliers, software, designs, data and AI models is measured and reviewed, but monitoring, automation or scenario testing should be improved to prevent maturity drift.</t>
  </si>
  <si>
    <t>Low residual risk: intellectual property ownership for employees, contractors, suppliers, software, designs, data and AI models is mature and crisis-tested. Maintain monitoring, evidence, ownership and periodic stress testing.</t>
  </si>
  <si>
    <t>Create an immediate risk owner, minimum control baseline and fallback procedure for intellectual property ownership for employees, contractors, suppliers, software, designs, data and AI models. Add it to the crisis risk register and collect first evidence.</t>
  </si>
  <si>
    <t>Document intellectual property ownership for employees, contractors, suppliers, software, designs, data and AI models, assign RACI, define minimum controls and KPIs, and validate coverage across key sites, teams or systems.</t>
  </si>
  <si>
    <t>Standardize intellectual property ownership for employees, contractors, suppliers, software, designs, data and AI models, close coverage gaps, train accountable roles and connect controls to the relevant crisis scenarios and continuity plans.</t>
  </si>
  <si>
    <t>Measure and test intellectual property ownership for employees, contractors, suppliers, software, designs, data and AI models, run tabletop or operational stress tests, integrate it with dependent processes and update crisis playbooks.</t>
  </si>
  <si>
    <t>Sustain maturity for intellectual property ownership for employees, contractors, suppliers, software, designs, data and AI models: keep evidence current, monitor drift, benchmark externally and refresh risk tests after organizational, system or market changes.</t>
  </si>
  <si>
    <t>Legal Risk!20</t>
  </si>
  <si>
    <t>Immature capability for software license and open-source compliance for critical systems and products may lead to contractual disputes, compliance breaches, regulatory penalties and delayed legal response during Regulatory/legal shock; Contractual exposure; Data breach.</t>
  </si>
  <si>
    <t>Low maturity, weak ownership, incomplete evidence, insufficient testing and poor integration with crisis-management routines for software license and open-source compliance for critical systems and products.</t>
  </si>
  <si>
    <t>Severe risk: software license and open-source compliance for critical systems and products is not reliably controlled. During Regulatory/legal shock; Contractual exposure; Data breach, the organization may face contractual disputes, compliance breaches, regulatory penalties and delayed legal response with limited visibility or accountability.</t>
  </si>
  <si>
    <t>High risk: software license and open-source compliance for critical systems and products depends on informal practices or individual knowledge. Disruption may expose contractual disputes, compliance breaches, regulatory penalties and delayed legal response and slow recovery.</t>
  </si>
  <si>
    <t>Elevated risk: software license and open-source compliance for critical systems and products is partially controlled, but coverage, evidence or testing is inconsistent. Crisis response may be fragmented.</t>
  </si>
  <si>
    <t>Moderate risk: software license and open-source compliance for critical systems and products is documented and owned, but measurement, stress testing and integration with dependent processes need strengthening.</t>
  </si>
  <si>
    <t>Residual risk: software license and open-source compliance for critical systems and products is measured and reviewed, but monitoring, automation or scenario testing should be improved to prevent maturity drift.</t>
  </si>
  <si>
    <t>Low residual risk: software license and open-source compliance for critical systems and products is mature and crisis-tested. Maintain monitoring, evidence, ownership and periodic stress testing.</t>
  </si>
  <si>
    <t>Create an immediate risk owner, minimum control baseline and fallback procedure for software license and open-source compliance for critical systems and products. Add it to the crisis risk register and collect first evidence.</t>
  </si>
  <si>
    <t>Document software license and open-source compliance for critical systems and products, assign RACI, define minimum controls and KPIs, and validate coverage across key sites, teams or systems.</t>
  </si>
  <si>
    <t>Standardize software license and open-source compliance for critical systems and products, close coverage gaps, train accountable roles and connect controls to the relevant crisis scenarios and continuity plans.</t>
  </si>
  <si>
    <t>Measure and test software license and open-source compliance for critical systems and products, run tabletop or operational stress tests, integrate it with dependent processes and update crisis playbooks.</t>
  </si>
  <si>
    <t>Sustain maturity for software license and open-source compliance for critical systems and products: keep evidence current, monitor drift, benchmark externally and refresh risk tests after organizational, system or market changes.</t>
  </si>
  <si>
    <t>Legal Risk!21</t>
  </si>
  <si>
    <t>Immature capability for records retention rules for legal, finance, HR, contracts, safety, customer and technical records may lead to contractual disputes, compliance breaches, regulatory penalties and delayed legal response during Regulatory/legal shock; Contractual exposure; Data breach.</t>
  </si>
  <si>
    <t>Low maturity, weak ownership, incomplete evidence, insufficient testing and poor integration with crisis-management routines for records retention rules for legal, finance, HR, contracts, safety, customer and technical records.</t>
  </si>
  <si>
    <t>Severe risk: records retention rules for legal, finance, HR, contracts, safety, customer and technical records is not reliably controlled. During Regulatory/legal shock; Contractual exposure; Data breach, the organization may face contractual disputes, compliance breaches, regulatory penalties and delayed legal response with limited visibility or accountability.</t>
  </si>
  <si>
    <t>High risk: records retention rules for legal, finance, HR, contracts, safety, customer and technical records depends on informal practices or individual knowledge. Disruption may expose contractual disputes, compliance breaches, regulatory penalties and delayed legal response and slow recovery.</t>
  </si>
  <si>
    <t>Elevated risk: records retention rules for legal, finance, HR, contracts, safety, customer and technical records is partially controlled, but coverage, evidence or testing is inconsistent. Crisis response may be fragmented.</t>
  </si>
  <si>
    <t>Moderate risk: records retention rules for legal, finance, HR, contracts, safety, customer and technical records is documented and owned, but measurement, stress testing and integration with dependent processes need strengthening.</t>
  </si>
  <si>
    <t>Residual risk: records retention rules for legal, finance, HR, contracts, safety, customer and technical records is measured and reviewed, but monitoring, automation or scenario testing should be improved to prevent maturity drift.</t>
  </si>
  <si>
    <t>Low residual risk: records retention rules for legal, finance, HR, contracts, safety, customer and technical records is mature and crisis-tested. Maintain monitoring, evidence, ownership and periodic stress testing.</t>
  </si>
  <si>
    <t>Create an immediate risk owner, minimum control baseline and fallback procedure for records retention rules for legal, finance, HR, contracts, safety, customer and technical records. Add it to the crisis risk register and collect first evidence.</t>
  </si>
  <si>
    <t>Document records retention rules for legal, finance, HR, contracts, safety, customer and technical records, assign RACI, define minimum controls and KPIs, and validate coverage across key sites, teams or systems.</t>
  </si>
  <si>
    <t>Standardize records retention rules for legal, finance, HR, contracts, safety, customer and technical records, close coverage gaps, train accountable roles and connect controls to the relevant crisis scenarios and continuity plans.</t>
  </si>
  <si>
    <t>Measure and test records retention rules for legal, finance, HR, contracts, safety, customer and technical records, run tabletop or operational stress tests, integrate it with dependent processes and update crisis playbooks.</t>
  </si>
  <si>
    <t>Sustain maturity for records retention rules for legal, finance, HR, contracts, safety, customer and technical records: keep evidence current, monitor drift, benchmark externally and refresh risk tests after organizational, system or market changes.</t>
  </si>
  <si>
    <t>Legal Risk!22</t>
  </si>
  <si>
    <t>Immature capability for legal options for relocation, evacuation, furlough, flexible work, terminations or hardship support by country may lead to contractual disputes, compliance breaches, regulatory penalties and delayed legal response during Regulatory/legal shock; Contractual exposure; Data breach.</t>
  </si>
  <si>
    <t>Low maturity, weak ownership, incomplete evidence, insufficient testing and poor integration with crisis-management routines for legal options for relocation, evacuation, furlough, flexible work, terminations or hardship support by country.</t>
  </si>
  <si>
    <t>Severe risk: legal options for relocation, evacuation, furlough, flexible work, terminations or hardship support by country is not reliably controlled. During Regulatory/legal shock; Contractual exposure; Data breach, the organization may face contractual disputes, compliance breaches, regulatory penalties and delayed legal response with limited visibility or accountability.</t>
  </si>
  <si>
    <t>High risk: legal options for relocation, evacuation, furlough, flexible work, terminations or hardship support by country depends on informal practices or individual knowledge. Disruption may expose contractual disputes, compliance breaches, regulatory penalties and delayed legal response and slow recovery.</t>
  </si>
  <si>
    <t>Elevated risk: legal options for relocation, evacuation, furlough, flexible work, terminations or hardship support by country is partially controlled, but coverage, evidence or testing is inconsistent. Crisis response may be fragmented.</t>
  </si>
  <si>
    <t>Moderate risk: legal options for relocation, evacuation, furlough, flexible work, terminations or hardship support by country is documented and owned, but measurement, stress testing and integration with dependent processes need strengthening.</t>
  </si>
  <si>
    <t>Residual risk: legal options for relocation, evacuation, furlough, flexible work, terminations or hardship support by country is measured and reviewed, but monitoring, automation or scenario testing should be improved to prevent maturity drift.</t>
  </si>
  <si>
    <t>Low residual risk: legal options for relocation, evacuation, furlough, flexible work, terminations or hardship support by country is mature and crisis-tested. Maintain monitoring, evidence, ownership and periodic stress testing.</t>
  </si>
  <si>
    <t>Create an immediate risk owner, minimum control baseline and fallback procedure for legal options for relocation, evacuation, furlough, flexible work, terminations or hardship support by country. Add it to the crisis risk register and collect first evidence.</t>
  </si>
  <si>
    <t>Document legal options for relocation, evacuation, furlough, flexible work, terminations or hardship support by country, assign RACI, define minimum controls and KPIs, and validate coverage across key sites, teams or systems.</t>
  </si>
  <si>
    <t>Standardize legal options for relocation, evacuation, furlough, flexible work, terminations or hardship support by country, close coverage gaps, train accountable roles and connect controls to the relevant crisis scenarios and continuity plans.</t>
  </si>
  <si>
    <t>Measure and test legal options for relocation, evacuation, furlough, flexible work, terminations or hardship support by country, run tabletop or operational stress tests, integrate it with dependent processes and update crisis playbooks.</t>
  </si>
  <si>
    <t>Sustain maturity for legal options for relocation, evacuation, furlough, flexible work, terminations or hardship support by country: keep evidence current, monitor drift, benchmark externally and refresh risk tests after organizational, system or market changes.</t>
  </si>
  <si>
    <t>Legal Risk!23</t>
  </si>
  <si>
    <t>Immature capability for labor relations, works council or union obligations during restructuring or crisis measures may lead to contractual disputes, compliance breaches, regulatory penalties and delayed legal response during Regulatory/legal shock; Contractual exposure; Data breach.</t>
  </si>
  <si>
    <t>Low maturity, weak ownership, incomplete evidence, insufficient testing and poor integration with crisis-management routines for labor relations, works council or union obligations during restructuring or crisis measures.</t>
  </si>
  <si>
    <t>Severe risk: labor relations, works council or union obligations during restructuring or crisis measures is not reliably controlled. During Regulatory/legal shock; Contractual exposure; Data breach, the organization may face contractual disputes, compliance breaches, regulatory penalties and delayed legal response with limited visibility or accountability.</t>
  </si>
  <si>
    <t>High risk: labor relations, works council or union obligations during restructuring or crisis measures depends on informal practices or individual knowledge. Disruption may expose contractual disputes, compliance breaches, regulatory penalties and delayed legal response and slow recovery.</t>
  </si>
  <si>
    <t>Elevated risk: labor relations, works council or union obligations during restructuring or crisis measures is partially controlled, but coverage, evidence or testing is inconsistent. Crisis response may be fragmented.</t>
  </si>
  <si>
    <t>Moderate risk: labor relations, works council or union obligations during restructuring or crisis measures is documented and owned, but measurement, stress testing and integration with dependent processes need strengthening.</t>
  </si>
  <si>
    <t>Residual risk: labor relations, works council or union obligations during restructuring or crisis measures is measured and reviewed, but monitoring, automation or scenario testing should be improved to prevent maturity drift.</t>
  </si>
  <si>
    <t>Low residual risk: labor relations, works council or union obligations during restructuring or crisis measures is mature and crisis-tested. Maintain monitoring, evidence, ownership and periodic stress testing.</t>
  </si>
  <si>
    <t>Create an immediate risk owner, minimum control baseline and fallback procedure for labor relations, works council or union obligations during restructuring or crisis measures. Add it to the crisis risk register and collect first evidence.</t>
  </si>
  <si>
    <t>Document labor relations, works council or union obligations during restructuring or crisis measures, assign RACI, define minimum controls and KPIs, and validate coverage across key sites, teams or systems.</t>
  </si>
  <si>
    <t>Standardize labor relations, works council or union obligations during restructuring or crisis measures, close coverage gaps, train accountable roles and connect controls to the relevant crisis scenarios and continuity plans.</t>
  </si>
  <si>
    <t>Measure and test labor relations, works council or union obligations during restructuring or crisis measures, run tabletop or operational stress tests, integrate it with dependent processes and update crisis playbooks.</t>
  </si>
  <si>
    <t>Sustain maturity for labor relations, works council or union obligations during restructuring or crisis measures: keep evidence current, monitor drift, benchmark externally and refresh risk tests after organizational, system or market changes.</t>
  </si>
  <si>
    <t>Legal Risk!24</t>
  </si>
  <si>
    <t>Legal exposure and dispute readiness</t>
  </si>
  <si>
    <t>Immature capability for litigation and dispute portfolio management with a dispute register, external counsel panel and budget control may lead to unmanaged dispute exposure, surprise legal costs and weak positions in crisis-driven conflicts during Regulatory/legal shock; Financial/liquidity crisis.</t>
  </si>
  <si>
    <t>Low maturity, weak ownership, incomplete evidence, insufficient testing and poor integration with crisis-management routines for litigation and dispute portfolio management with a dispute register, external counsel panel and budget control.</t>
  </si>
  <si>
    <t>Severe risk: litigation and dispute portfolio management with a dispute register, external counsel panel and budget control is not reliably controlled. During Regulatory/legal shock; Financial/liquidity crisis, the organization may face unmanaged dispute exposure, surprise legal costs and weak positions in crisis-driven conflicts with limited visibility or accountability.</t>
  </si>
  <si>
    <t>High risk: litigation and dispute portfolio management with a dispute register, external counsel panel and budget control depends on informal practices or individual knowledge. Disruption may expose unmanaged dispute exposure, surprise legal costs and weak positions in crisis-driven conflicts and slow recovery.</t>
  </si>
  <si>
    <t>Elevated risk: litigation and dispute portfolio management with a dispute register, external counsel panel and budget control is partially controlled, but coverage, evidence or testing is inconsistent. Crisis response may be fragmented.</t>
  </si>
  <si>
    <t>Moderate risk: litigation and dispute portfolio management with a dispute register, external counsel panel and budget control is documented and owned, but measurement, stress testing and integration with dependent processes need strengthening.</t>
  </si>
  <si>
    <t>Residual risk: litigation and dispute portfolio management with a dispute register, external counsel panel and budget control is measured and reviewed, but monitoring, automation or scenario testing should be improved to prevent maturity drift.</t>
  </si>
  <si>
    <t>Low residual risk: litigation and dispute portfolio management with a dispute register, external counsel panel and budget control is mature and crisis-tested. Maintain monitoring, evidence, ownership and periodic stress testing.</t>
  </si>
  <si>
    <t>Create an immediate risk owner, minimum control baseline and fallback procedure for litigation and dispute portfolio management with a dispute register, external counsel panel and budget control. Add it to the crisis risk register and collect first evidence.</t>
  </si>
  <si>
    <t>Document litigation and dispute portfolio management with a dispute register, external counsel panel and budget control, assign RACI, define minimum controls and KPIs, and validate coverage across key sites, teams or systems.</t>
  </si>
  <si>
    <t>Standardize litigation and dispute portfolio management with a dispute register, external counsel panel and budget control, close coverage gaps, train accountable roles and connect controls to the relevant crisis scenarios and continuity plans.</t>
  </si>
  <si>
    <t>Measure and test litigation and dispute portfolio management with a dispute register, external counsel panel and budget control, run tabletop or operational stress tests, integrate it with dependent processes and update crisis playbooks.</t>
  </si>
  <si>
    <t>Sustain maturity for litigation and dispute portfolio management with a dispute register, external counsel panel and budget control: keep evidence current, monitor drift, benchmark externally and refresh risk tests after organizational, system or market changes.</t>
  </si>
  <si>
    <t>Policy/SOP; owner/RACI; system report; dashboard; contracts; test records; incident history; interview evidence related to litigation and dispute portfolio management with a dispute register, external counsel panel and budget control</t>
  </si>
  <si>
    <t>General Counsel / CFO</t>
  </si>
  <si>
    <t>Legal Risk!25</t>
  </si>
  <si>
    <t>Immature capability for occupational health and safety management system with owners, objectives, audits and management review may lead to injury, unsafe facilities, uncontrolled access, asset loss and failure to protect people during incidents during Safety incident; Physical site loss; War/security crisis; Natural disaster.</t>
  </si>
  <si>
    <t>Low maturity, weak ownership, incomplete evidence, insufficient testing and poor integration with crisis-management routines for occupational health and safety management system with owners, objectives, audits and management review.</t>
  </si>
  <si>
    <t>Severe risk: occupational health and safety management system with owners, objectives, audits and management review is not reliably controlled. During Safety incident; Physical site loss; War/security crisis; Natural disaster, the organization may face injury, unsafe facilities, uncontrolled access, asset loss and failure to protect people during incidents with limited visibility or accountability.</t>
  </si>
  <si>
    <t>High risk: occupational health and safety management system with owners, objectives, audits and management review depends on informal practices or individual knowledge. Disruption may expose injury, unsafe facilities, uncontrolled access, asset loss and failure to protect people during incidents and slow recovery.</t>
  </si>
  <si>
    <t>Elevated risk: occupational health and safety management system with owners, objectives, audits and management review is partially controlled, but coverage, evidence or testing is inconsistent. Crisis response may be fragmented.</t>
  </si>
  <si>
    <t>Moderate risk: occupational health and safety management system with owners, objectives, audits and management review is documented and owned, but measurement, stress testing and integration with dependent processes need strengthening.</t>
  </si>
  <si>
    <t>Residual risk: occupational health and safety management system with owners, objectives, audits and management review is measured and reviewed, but monitoring, automation or scenario testing should be improved to prevent maturity drift.</t>
  </si>
  <si>
    <t>Low residual risk: occupational health and safety management system with owners, objectives, audits and management review is mature and crisis-tested. Maintain monitoring, evidence, ownership and periodic stress testing.</t>
  </si>
  <si>
    <t>Create an immediate risk owner, minimum control baseline and fallback procedure for occupational health and safety management system with owners, objectives, audits and management review. Add it to the crisis risk register and collect first evidence.</t>
  </si>
  <si>
    <t>Document occupational health and safety management system with owners, objectives, audits and management review, assign RACI, define minimum controls and KPIs, and validate coverage across key sites, teams or systems.</t>
  </si>
  <si>
    <t>Standardize occupational health and safety management system with owners, objectives, audits and management review, close coverage gaps, train accountable roles and connect controls to the relevant crisis scenarios and continuity plans.</t>
  </si>
  <si>
    <t>Measure and test occupational health and safety management system with owners, objectives, audits and management review, run tabletop or operational stress tests, integrate it with dependent processes and update crisis playbooks.</t>
  </si>
  <si>
    <t>Sustain maturity for occupational health and safety management system with owners, objectives, audits and management review: keep evidence current, monitor drift, benchmark externally and refresh risk tests after organizational, system or market changes.</t>
  </si>
  <si>
    <t>Facilities / Security / HSE</t>
  </si>
  <si>
    <t>Physical Safety!5</t>
  </si>
  <si>
    <t>Immature capability for site risk assessments for fire, structure, utilities, hazardous materials, crime, weather, war/security and access may lead to injury, unsafe facilities, uncontrolled access, asset loss and failure to protect people during incidents during Safety incident; Physical site loss; War/security crisis; Natural disaster.</t>
  </si>
  <si>
    <t>Low maturity, weak ownership, incomplete evidence, insufficient testing and poor integration with crisis-management routines for site risk assessments for fire, structure, utilities, hazardous materials, crime, weather, war/security and access.</t>
  </si>
  <si>
    <t>Severe risk: site risk assessments for fire, structure, utilities, hazardous materials, crime, weather, war/security and access is not reliably controlled. During Safety incident; Physical site loss; War/security crisis; Natural disaster, the organization may face injury, unsafe facilities, uncontrolled access, asset loss and failure to protect people during incidents with limited visibility or accountability.</t>
  </si>
  <si>
    <t>High risk: site risk assessments for fire, structure, utilities, hazardous materials, crime, weather, war/security and access depends on informal practices or individual knowledge. Disruption may expose injury, unsafe facilities, uncontrolled access, asset loss and failure to protect people during incidents and slow recovery.</t>
  </si>
  <si>
    <t>Elevated risk: site risk assessments for fire, structure, utilities, hazardous materials, crime, weather, war/security and access is partially controlled, but coverage, evidence or testing is inconsistent. Crisis response may be fragmented.</t>
  </si>
  <si>
    <t>Moderate risk: site risk assessments for fire, structure, utilities, hazardous materials, crime, weather, war/security and access is documented and owned, but measurement, stress testing and integration with dependent processes need strengthening.</t>
  </si>
  <si>
    <t>Residual risk: site risk assessments for fire, structure, utilities, hazardous materials, crime, weather, war/security and access is measured and reviewed, but monitoring, automation or scenario testing should be improved to prevent maturity drift.</t>
  </si>
  <si>
    <t>Low residual risk: site risk assessments for fire, structure, utilities, hazardous materials, crime, weather, war/security and access is mature and crisis-tested. Maintain monitoring, evidence, ownership and periodic stress testing.</t>
  </si>
  <si>
    <t>Create an immediate risk owner, minimum control baseline and fallback procedure for site risk assessments for fire, structure, utilities, hazardous materials, crime, weather, war/security and access. Add it to the crisis risk register and collect first evidence.</t>
  </si>
  <si>
    <t>Document site risk assessments for fire, structure, utilities, hazardous materials, crime, weather, war/security and access, assign RACI, define minimum controls and KPIs, and validate coverage across key sites, teams or systems.</t>
  </si>
  <si>
    <t>Standardize site risk assessments for fire, structure, utilities, hazardous materials, crime, weather, war/security and access, close coverage gaps, train accountable roles and connect controls to the relevant crisis scenarios and continuity plans.</t>
  </si>
  <si>
    <t>Measure and test site risk assessments for fire, structure, utilities, hazardous materials, crime, weather, war/security and access, run tabletop or operational stress tests, integrate it with dependent processes and update crisis playbooks.</t>
  </si>
  <si>
    <t>Sustain maturity for site risk assessments for fire, structure, utilities, hazardous materials, crime, weather, war/security and access: keep evidence current, monitor drift, benchmark externally and refresh risk tests after organizational, system or market changes.</t>
  </si>
  <si>
    <t>Physical Safety!6</t>
  </si>
  <si>
    <t>Immature capability for job hazard analysis for roles, tasks, production activities and field work may lead to injury, unsafe facilities, uncontrolled access, asset loss and failure to protect people during incidents during Safety incident; Physical site loss; War/security crisis; Natural disaster.</t>
  </si>
  <si>
    <t>Low maturity, weak ownership, incomplete evidence, insufficient testing and poor integration with crisis-management routines for job hazard analysis for roles, tasks, production activities and field work.</t>
  </si>
  <si>
    <t>Severe risk: job hazard analysis for roles, tasks, production activities and field work is not reliably controlled. During Safety incident; Physical site loss; War/security crisis; Natural disaster, the organization may face injury, unsafe facilities, uncontrolled access, asset loss and failure to protect people during incidents with limited visibility or accountability.</t>
  </si>
  <si>
    <t>High risk: job hazard analysis for roles, tasks, production activities and field work depends on informal practices or individual knowledge. Disruption may expose injury, unsafe facilities, uncontrolled access, asset loss and failure to protect people during incidents and slow recovery.</t>
  </si>
  <si>
    <t>Elevated risk: job hazard analysis for roles, tasks, production activities and field work is partially controlled, but coverage, evidence or testing is inconsistent. Crisis response may be fragmented.</t>
  </si>
  <si>
    <t>Moderate risk: job hazard analysis for roles, tasks, production activities and field work is documented and owned, but measurement, stress testing and integration with dependent processes need strengthening.</t>
  </si>
  <si>
    <t>Residual risk: job hazard analysis for roles, tasks, production activities and field work is measured and reviewed, but monitoring, automation or scenario testing should be improved to prevent maturity drift.</t>
  </si>
  <si>
    <t>Low residual risk: job hazard analysis for roles, tasks, production activities and field work is mature and crisis-tested. Maintain monitoring, evidence, ownership and periodic stress testing.</t>
  </si>
  <si>
    <t>Create an immediate risk owner, minimum control baseline and fallback procedure for job hazard analysis for roles, tasks, production activities and field work. Add it to the crisis risk register and collect first evidence.</t>
  </si>
  <si>
    <t>Document job hazard analysis for roles, tasks, production activities and field work, assign RACI, define minimum controls and KPIs, and validate coverage across key sites, teams or systems.</t>
  </si>
  <si>
    <t>Standardize job hazard analysis for roles, tasks, production activities and field work, close coverage gaps, train accountable roles and connect controls to the relevant crisis scenarios and continuity plans.</t>
  </si>
  <si>
    <t>Measure and test job hazard analysis for roles, tasks, production activities and field work, run tabletop or operational stress tests, integrate it with dependent processes and update crisis playbooks.</t>
  </si>
  <si>
    <t>Sustain maturity for job hazard analysis for roles, tasks, production activities and field work: keep evidence current, monitor drift, benchmark externally and refresh risk tests after organizational, system or market changes.</t>
  </si>
  <si>
    <t>Physical Safety!7</t>
  </si>
  <si>
    <t>Immature capability for contractor and visitor safety induction, permits-to-work, site rules and emergency procedures may lead to injury, unsafe facilities, uncontrolled access, asset loss and failure to protect people during incidents during Safety incident; Physical site loss; War/security crisis; Natural disaster.</t>
  </si>
  <si>
    <t>Low maturity, weak ownership, incomplete evidence, insufficient testing and poor integration with crisis-management routines for contractor and visitor safety induction, permits-to-work, site rules and emergency procedures.</t>
  </si>
  <si>
    <t>Severe risk: contractor and visitor safety induction, permits-to-work, site rules and emergency procedures is not reliably controlled. During Safety incident; Physical site loss; War/security crisis; Natural disaster, the organization may face injury, unsafe facilities, uncontrolled access, asset loss and failure to protect people during incidents with limited visibility or accountability.</t>
  </si>
  <si>
    <t>High risk: contractor and visitor safety induction, permits-to-work, site rules and emergency procedures depends on informal practices or individual knowledge. Disruption may expose injury, unsafe facilities, uncontrolled access, asset loss and failure to protect people during incidents and slow recovery.</t>
  </si>
  <si>
    <t>Elevated risk: contractor and visitor safety induction, permits-to-work, site rules and emergency procedures is partially controlled, but coverage, evidence or testing is inconsistent. Crisis response may be fragmented.</t>
  </si>
  <si>
    <t>Moderate risk: contractor and visitor safety induction, permits-to-work, site rules and emergency procedures is documented and owned, but measurement, stress testing and integration with dependent processes need strengthening.</t>
  </si>
  <si>
    <t>Residual risk: contractor and visitor safety induction, permits-to-work, site rules and emergency procedures is measured and reviewed, but monitoring, automation or scenario testing should be improved to prevent maturity drift.</t>
  </si>
  <si>
    <t>Low residual risk: contractor and visitor safety induction, permits-to-work, site rules and emergency procedures is mature and crisis-tested. Maintain monitoring, evidence, ownership and periodic stress testing.</t>
  </si>
  <si>
    <t>Create an immediate risk owner, minimum control baseline and fallback procedure for contractor and visitor safety induction, permits-to-work, site rules and emergency procedures. Add it to the crisis risk register and collect first evidence.</t>
  </si>
  <si>
    <t>Document contractor and visitor safety induction, permits-to-work, site rules and emergency procedures, assign RACI, define minimum controls and KPIs, and validate coverage across key sites, teams or systems.</t>
  </si>
  <si>
    <t>Standardize contractor and visitor safety induction, permits-to-work, site rules and emergency procedures, close coverage gaps, train accountable roles and connect controls to the relevant crisis scenarios and continuity plans.</t>
  </si>
  <si>
    <t>Measure and test contractor and visitor safety induction, permits-to-work, site rules and emergency procedures, run tabletop or operational stress tests, integrate it with dependent processes and update crisis playbooks.</t>
  </si>
  <si>
    <t>Sustain maturity for contractor and visitor safety induction, permits-to-work, site rules and emergency procedures: keep evidence current, monitor drift, benchmark externally and refresh risk tests after organizational, system or market changes.</t>
  </si>
  <si>
    <t>Physical Safety!8</t>
  </si>
  <si>
    <t>Immature capability for near-miss and safety incident reporting, investigation and corrective action may lead to injury, unsafe facilities, uncontrolled access, asset loss and failure to protect people during incidents during Safety incident; Physical site loss; War/security crisis; Natural disaster.</t>
  </si>
  <si>
    <t>Low maturity, weak ownership, incomplete evidence, insufficient testing and poor integration with crisis-management routines for near-miss and safety incident reporting, investigation and corrective action.</t>
  </si>
  <si>
    <t>Severe risk: near-miss and safety incident reporting, investigation and corrective action is not reliably controlled. During Safety incident; Physical site loss; War/security crisis; Natural disaster, the organization may face injury, unsafe facilities, uncontrolled access, asset loss and failure to protect people during incidents with limited visibility or accountability.</t>
  </si>
  <si>
    <t>High risk: near-miss and safety incident reporting, investigation and corrective action depends on informal practices or individual knowledge. Disruption may expose injury, unsafe facilities, uncontrolled access, asset loss and failure to protect people during incidents and slow recovery.</t>
  </si>
  <si>
    <t>Elevated risk: near-miss and safety incident reporting, investigation and corrective action is partially controlled, but coverage, evidence or testing is inconsistent. Crisis response may be fragmented.</t>
  </si>
  <si>
    <t>Moderate risk: near-miss and safety incident reporting, investigation and corrective action is documented and owned, but measurement, stress testing and integration with dependent processes need strengthening.</t>
  </si>
  <si>
    <t>Residual risk: near-miss and safety incident reporting, investigation and corrective action is measured and reviewed, but monitoring, automation or scenario testing should be improved to prevent maturity drift.</t>
  </si>
  <si>
    <t>Low residual risk: near-miss and safety incident reporting, investigation and corrective action is mature and crisis-tested. Maintain monitoring, evidence, ownership and periodic stress testing.</t>
  </si>
  <si>
    <t>Create an immediate risk owner, minimum control baseline and fallback procedure for near-miss and safety incident reporting, investigation and corrective action. Add it to the crisis risk register and collect first evidence.</t>
  </si>
  <si>
    <t>Document near-miss and safety incident reporting, investigation and corrective action, assign RACI, define minimum controls and KPIs, and validate coverage across key sites, teams or systems.</t>
  </si>
  <si>
    <t>Standardize near-miss and safety incident reporting, investigation and corrective action, close coverage gaps, train accountable roles and connect controls to the relevant crisis scenarios and continuity plans.</t>
  </si>
  <si>
    <t>Measure and test near-miss and safety incident reporting, investigation and corrective action, run tabletop or operational stress tests, integrate it with dependent processes and update crisis playbooks.</t>
  </si>
  <si>
    <t>Sustain maturity for near-miss and safety incident reporting, investigation and corrective action: keep evidence current, monitor drift, benchmark externally and refresh risk tests after organizational, system or market changes.</t>
  </si>
  <si>
    <t>Physical Safety!9</t>
  </si>
  <si>
    <t>Immature capability for serious incident escalation to executives, legal, insurers and regulators may lead to injury, unsafe facilities, uncontrolled access, asset loss and failure to protect people during incidents during Safety incident; Physical site loss; War/security crisis; Natural disaster.</t>
  </si>
  <si>
    <t>Low maturity, weak ownership, incomplete evidence, insufficient testing and poor integration with crisis-management routines for serious incident escalation to executives, legal, insurers and regulators.</t>
  </si>
  <si>
    <t>Severe risk: serious incident escalation to executives, legal, insurers and regulators is not reliably controlled. During Safety incident; Physical site loss; War/security crisis; Natural disaster, the organization may face injury, unsafe facilities, uncontrolled access, asset loss and failure to protect people during incidents with limited visibility or accountability.</t>
  </si>
  <si>
    <t>High risk: serious incident escalation to executives, legal, insurers and regulators depends on informal practices or individual knowledge. Disruption may expose injury, unsafe facilities, uncontrolled access, asset loss and failure to protect people during incidents and slow recovery.</t>
  </si>
  <si>
    <t>Elevated risk: serious incident escalation to executives, legal, insurers and regulators is partially controlled, but coverage, evidence or testing is inconsistent. Crisis response may be fragmented.</t>
  </si>
  <si>
    <t>Moderate risk: serious incident escalation to executives, legal, insurers and regulators is documented and owned, but measurement, stress testing and integration with dependent processes need strengthening.</t>
  </si>
  <si>
    <t>Residual risk: serious incident escalation to executives, legal, insurers and regulators is measured and reviewed, but monitoring, automation or scenario testing should be improved to prevent maturity drift.</t>
  </si>
  <si>
    <t>Low residual risk: serious incident escalation to executives, legal, insurers and regulators is mature and crisis-tested. Maintain monitoring, evidence, ownership and periodic stress testing.</t>
  </si>
  <si>
    <t>Create an immediate risk owner, minimum control baseline and fallback procedure for serious incident escalation to executives, legal, insurers and regulators. Add it to the crisis risk register and collect first evidence.</t>
  </si>
  <si>
    <t>Document serious incident escalation to executives, legal, insurers and regulators, assign RACI, define minimum controls and KPIs, and validate coverage across key sites, teams or systems.</t>
  </si>
  <si>
    <t>Standardize serious incident escalation to executives, legal, insurers and regulators, close coverage gaps, train accountable roles and connect controls to the relevant crisis scenarios and continuity plans.</t>
  </si>
  <si>
    <t>Measure and test serious incident escalation to executives, legal, insurers and regulators, run tabletop or operational stress tests, integrate it with dependent processes and update crisis playbooks.</t>
  </si>
  <si>
    <t>Sustain maturity for serious incident escalation to executives, legal, insurers and regulators: keep evidence current, monitor drift, benchmark externally and refresh risk tests after organizational, system or market changes.</t>
  </si>
  <si>
    <t>Physical Safety!10</t>
  </si>
  <si>
    <t>Immature capability for critical facility register with occupancy, business processes, utilities, safety risks and recovery priority may lead to injury, unsafe facilities, uncontrolled access, asset loss and failure to protect people during incidents during Safety incident; Physical site loss; War/security crisis; Natural disaster.</t>
  </si>
  <si>
    <t>Low maturity, weak ownership, incomplete evidence, insufficient testing and poor integration with crisis-management routines for critical facility register with occupancy, business processes, utilities, safety risks and recovery priority.</t>
  </si>
  <si>
    <t>Severe risk: critical facility register with occupancy, business processes, utilities, safety risks and recovery priority is not reliably controlled. During Safety incident; Physical site loss; War/security crisis; Natural disaster, the organization may face injury, unsafe facilities, uncontrolled access, asset loss and failure to protect people during incidents with limited visibility or accountability.</t>
  </si>
  <si>
    <t>High risk: critical facility register with occupancy, business processes, utilities, safety risks and recovery priority depends on informal practices or individual knowledge. Disruption may expose injury, unsafe facilities, uncontrolled access, asset loss and failure to protect people during incidents and slow recovery.</t>
  </si>
  <si>
    <t>Elevated risk: critical facility register with occupancy, business processes, utilities, safety risks and recovery priority is partially controlled, but coverage, evidence or testing is inconsistent. Crisis response may be fragmented.</t>
  </si>
  <si>
    <t>Moderate risk: critical facility register with occupancy, business processes, utilities, safety risks and recovery priority is documented and owned, but measurement, stress testing and integration with dependent processes need strengthening.</t>
  </si>
  <si>
    <t>Residual risk: critical facility register with occupancy, business processes, utilities, safety risks and recovery priority is measured and reviewed, but monitoring, automation or scenario testing should be improved to prevent maturity drift.</t>
  </si>
  <si>
    <t>Low residual risk: critical facility register with occupancy, business processes, utilities, safety risks and recovery priority is mature and crisis-tested. Maintain monitoring, evidence, ownership and periodic stress testing.</t>
  </si>
  <si>
    <t>Create an immediate risk owner, minimum control baseline and fallback procedure for critical facility register with occupancy, business processes, utilities, safety risks and recovery priority. Add it to the crisis risk register and collect first evidence.</t>
  </si>
  <si>
    <t>Document critical facility register with occupancy, business processes, utilities, safety risks and recovery priority, assign RACI, define minimum controls and KPIs, and validate coverage across key sites, teams or systems.</t>
  </si>
  <si>
    <t>Standardize critical facility register with occupancy, business processes, utilities, safety risks and recovery priority, close coverage gaps, train accountable roles and connect controls to the relevant crisis scenarios and continuity plans.</t>
  </si>
  <si>
    <t>Measure and test critical facility register with occupancy, business processes, utilities, safety risks and recovery priority, run tabletop or operational stress tests, integrate it with dependent processes and update crisis playbooks.</t>
  </si>
  <si>
    <t>Sustain maturity for critical facility register with occupancy, business processes, utilities, safety risks and recovery priority: keep evidence current, monitor drift, benchmark externally and refresh risk tests after organizational, system or market changes.</t>
  </si>
  <si>
    <t>Physical Safety!11</t>
  </si>
  <si>
    <t>Immature capability for building integrity, fire systems, emergency exits, shelters, alarms, lighting and backup power inspection may lead to injury, unsafe facilities, uncontrolled access, asset loss and failure to protect people during incidents during Safety incident; Physical site loss; War/security crisis; Natural disaster.</t>
  </si>
  <si>
    <t>Low maturity, weak ownership, incomplete evidence, insufficient testing and poor integration with crisis-management routines for building integrity, fire systems, emergency exits, shelters, alarms, lighting and backup power inspection.</t>
  </si>
  <si>
    <t>Severe risk: building integrity, fire systems, emergency exits, shelters, alarms, lighting and backup power inspection is not reliably controlled. During Safety incident; Physical site loss; War/security crisis; Natural disaster, the organization may face injury, unsafe facilities, uncontrolled access, asset loss and failure to protect people during incidents with limited visibility or accountability.</t>
  </si>
  <si>
    <t>High risk: building integrity, fire systems, emergency exits, shelters, alarms, lighting and backup power inspection depends on informal practices or individual knowledge. Disruption may expose injury, unsafe facilities, uncontrolled access, asset loss and failure to protect people during incidents and slow recovery.</t>
  </si>
  <si>
    <t>Elevated risk: building integrity, fire systems, emergency exits, shelters, alarms, lighting and backup power inspection is partially controlled, but coverage, evidence or testing is inconsistent. Crisis response may be fragmented.</t>
  </si>
  <si>
    <t>Moderate risk: building integrity, fire systems, emergency exits, shelters, alarms, lighting and backup power inspection is documented and owned, but measurement, stress testing and integration with dependent processes need strengthening.</t>
  </si>
  <si>
    <t>Residual risk: building integrity, fire systems, emergency exits, shelters, alarms, lighting and backup power inspection is measured and reviewed, but monitoring, automation or scenario testing should be improved to prevent maturity drift.</t>
  </si>
  <si>
    <t>Low residual risk: building integrity, fire systems, emergency exits, shelters, alarms, lighting and backup power inspection is mature and crisis-tested. Maintain monitoring, evidence, ownership and periodic stress testing.</t>
  </si>
  <si>
    <t>Create an immediate risk owner, minimum control baseline and fallback procedure for building integrity, fire systems, emergency exits, shelters, alarms, lighting and backup power inspection. Add it to the crisis risk register and collect first evidence.</t>
  </si>
  <si>
    <t>Document building integrity, fire systems, emergency exits, shelters, alarms, lighting and backup power inspection, assign RACI, define minimum controls and KPIs, and validate coverage across key sites, teams or systems.</t>
  </si>
  <si>
    <t>Standardize building integrity, fire systems, emergency exits, shelters, alarms, lighting and backup power inspection, close coverage gaps, train accountable roles and connect controls to the relevant crisis scenarios and continuity plans.</t>
  </si>
  <si>
    <t>Measure and test building integrity, fire systems, emergency exits, shelters, alarms, lighting and backup power inspection, run tabletop or operational stress tests, integrate it with dependent processes and update crisis playbooks.</t>
  </si>
  <si>
    <t>Sustain maturity for building integrity, fire systems, emergency exits, shelters, alarms, lighting and backup power inspection: keep evidence current, monitor drift, benchmark externally and refresh risk tests after organizational, system or market changes.</t>
  </si>
  <si>
    <t>Physical Safety!12</t>
  </si>
  <si>
    <t>Immature capability for physical access control linked to HR onboarding, offboarding and periodic access review may lead to injury, unsafe facilities, uncontrolled access, asset loss and failure to protect people during incidents during Safety incident; Physical site loss; War/security crisis; Natural disaster.</t>
  </si>
  <si>
    <t>Low maturity, weak ownership, incomplete evidence, insufficient testing and poor integration with crisis-management routines for physical access control linked to HR onboarding, offboarding and periodic access review.</t>
  </si>
  <si>
    <t>Severe risk: physical access control linked to HR onboarding, offboarding and periodic access review is not reliably controlled. During Safety incident; Physical site loss; War/security crisis; Natural disaster, the organization may face injury, unsafe facilities, uncontrolled access, asset loss and failure to protect people during incidents with limited visibility or accountability.</t>
  </si>
  <si>
    <t>High risk: physical access control linked to HR onboarding, offboarding and periodic access review depends on informal practices or individual knowledge. Disruption may expose injury, unsafe facilities, uncontrolled access, asset loss and failure to protect people during incidents and slow recovery.</t>
  </si>
  <si>
    <t>Elevated risk: physical access control linked to HR onboarding, offboarding and periodic access review is partially controlled, but coverage, evidence or testing is inconsistent. Crisis response may be fragmented.</t>
  </si>
  <si>
    <t>Moderate risk: physical access control linked to HR onboarding, offboarding and periodic access review is documented and owned, but measurement, stress testing and integration with dependent processes need strengthening.</t>
  </si>
  <si>
    <t>Residual risk: physical access control linked to HR onboarding, offboarding and periodic access review is measured and reviewed, but monitoring, automation or scenario testing should be improved to prevent maturity drift.</t>
  </si>
  <si>
    <t>Low residual risk: physical access control linked to HR onboarding, offboarding and periodic access review is mature and crisis-tested. Maintain monitoring, evidence, ownership and periodic stress testing.</t>
  </si>
  <si>
    <t>Create an immediate risk owner, minimum control baseline and fallback procedure for physical access control linked to HR onboarding, offboarding and periodic access review. Add it to the crisis risk register and collect first evidence.</t>
  </si>
  <si>
    <t>Document physical access control linked to HR onboarding, offboarding and periodic access review, assign RACI, define minimum controls and KPIs, and validate coverage across key sites, teams or systems.</t>
  </si>
  <si>
    <t>Standardize physical access control linked to HR onboarding, offboarding and periodic access review, close coverage gaps, train accountable roles and connect controls to the relevant crisis scenarios and continuity plans.</t>
  </si>
  <si>
    <t>Measure and test physical access control linked to HR onboarding, offboarding and periodic access review, run tabletop or operational stress tests, integrate it with dependent processes and update crisis playbooks.</t>
  </si>
  <si>
    <t>Sustain maturity for physical access control linked to HR onboarding, offboarding and periodic access review: keep evidence current, monitor drift, benchmark externally and refresh risk tests after organizational, system or market changes.</t>
  </si>
  <si>
    <t>Physical Safety!13</t>
  </si>
  <si>
    <t>Immature capability for visitor management covering identity checks, escorting, sensitive areas and evacuation accountability may lead to injury, unsafe facilities, uncontrolled access, asset loss and failure to protect people during incidents during Safety incident; Physical site loss; War/security crisis; Natural disaster.</t>
  </si>
  <si>
    <t>Low maturity, weak ownership, incomplete evidence, insufficient testing and poor integration with crisis-management routines for visitor management covering identity checks, escorting, sensitive areas and evacuation accountability.</t>
  </si>
  <si>
    <t>Severe risk: visitor management covering identity checks, escorting, sensitive areas and evacuation accountability is not reliably controlled. During Safety incident; Physical site loss; War/security crisis; Natural disaster, the organization may face injury, unsafe facilities, uncontrolled access, asset loss and failure to protect people during incidents with limited visibility or accountability.</t>
  </si>
  <si>
    <t>High risk: visitor management covering identity checks, escorting, sensitive areas and evacuation accountability depends on informal practices or individual knowledge. Disruption may expose injury, unsafe facilities, uncontrolled access, asset loss and failure to protect people during incidents and slow recovery.</t>
  </si>
  <si>
    <t>Elevated risk: visitor management covering identity checks, escorting, sensitive areas and evacuation accountability is partially controlled, but coverage, evidence or testing is inconsistent. Crisis response may be fragmented.</t>
  </si>
  <si>
    <t>Moderate risk: visitor management covering identity checks, escorting, sensitive areas and evacuation accountability is documented and owned, but measurement, stress testing and integration with dependent processes need strengthening.</t>
  </si>
  <si>
    <t>Residual risk: visitor management covering identity checks, escorting, sensitive areas and evacuation accountability is measured and reviewed, but monitoring, automation or scenario testing should be improved to prevent maturity drift.</t>
  </si>
  <si>
    <t>Low residual risk: visitor management covering identity checks, escorting, sensitive areas and evacuation accountability is mature and crisis-tested. Maintain monitoring, evidence, ownership and periodic stress testing.</t>
  </si>
  <si>
    <t>Create an immediate risk owner, minimum control baseline and fallback procedure for visitor management covering identity checks, escorting, sensitive areas and evacuation accountability. Add it to the crisis risk register and collect first evidence.</t>
  </si>
  <si>
    <t>Document visitor management covering identity checks, escorting, sensitive areas and evacuation accountability, assign RACI, define minimum controls and KPIs, and validate coverage across key sites, teams or systems.</t>
  </si>
  <si>
    <t>Standardize visitor management covering identity checks, escorting, sensitive areas and evacuation accountability, close coverage gaps, train accountable roles and connect controls to the relevant crisis scenarios and continuity plans.</t>
  </si>
  <si>
    <t>Measure and test visitor management covering identity checks, escorting, sensitive areas and evacuation accountability, run tabletop or operational stress tests, integrate it with dependent processes and update crisis playbooks.</t>
  </si>
  <si>
    <t>Sustain maturity for visitor management covering identity checks, escorting, sensitive areas and evacuation accountability: keep evidence current, monitor drift, benchmark externally and refresh risk tests after organizational, system or market changes.</t>
  </si>
  <si>
    <t>Physical Safety!14</t>
  </si>
  <si>
    <t>Immature capability for security guarding, CCTV, alarm monitoring and response procedures may lead to injury, unsafe facilities, uncontrolled access, asset loss and failure to protect people during incidents during Safety incident; Physical site loss; War/security crisis; Natural disaster.</t>
  </si>
  <si>
    <t>Low maturity, weak ownership, incomplete evidence, insufficient testing and poor integration with crisis-management routines for security guarding, CCTV, alarm monitoring and response procedures.</t>
  </si>
  <si>
    <t>Severe risk: security guarding, CCTV, alarm monitoring and response procedures is not reliably controlled. During Safety incident; Physical site loss; War/security crisis; Natural disaster, the organization may face injury, unsafe facilities, uncontrolled access, asset loss and failure to protect people during incidents with limited visibility or accountability.</t>
  </si>
  <si>
    <t>High risk: security guarding, CCTV, alarm monitoring and response procedures depends on informal practices or individual knowledge. Disruption may expose injury, unsafe facilities, uncontrolled access, asset loss and failure to protect people during incidents and slow recovery.</t>
  </si>
  <si>
    <t>Elevated risk: security guarding, CCTV, alarm monitoring and response procedures is partially controlled, but coverage, evidence or testing is inconsistent. Crisis response may be fragmented.</t>
  </si>
  <si>
    <t>Moderate risk: security guarding, CCTV, alarm monitoring and response procedures is documented and owned, but measurement, stress testing and integration with dependent processes need strengthening.</t>
  </si>
  <si>
    <t>Residual risk: security guarding, CCTV, alarm monitoring and response procedures is measured and reviewed, but monitoring, automation or scenario testing should be improved to prevent maturity drift.</t>
  </si>
  <si>
    <t>Low residual risk: security guarding, CCTV, alarm monitoring and response procedures is mature and crisis-tested. Maintain monitoring, evidence, ownership and periodic stress testing.</t>
  </si>
  <si>
    <t>Create an immediate risk owner, minimum control baseline and fallback procedure for security guarding, CCTV, alarm monitoring and response procedures. Add it to the crisis risk register and collect first evidence.</t>
  </si>
  <si>
    <t>Document security guarding, CCTV, alarm monitoring and response procedures, assign RACI, define minimum controls and KPIs, and validate coverage across key sites, teams or systems.</t>
  </si>
  <si>
    <t>Standardize security guarding, CCTV, alarm monitoring and response procedures, close coverage gaps, train accountable roles and connect controls to the relevant crisis scenarios and continuity plans.</t>
  </si>
  <si>
    <t>Measure and test security guarding, CCTV, alarm monitoring and response procedures, run tabletop or operational stress tests, integrate it with dependent processes and update crisis playbooks.</t>
  </si>
  <si>
    <t>Sustain maturity for security guarding, CCTV, alarm monitoring and response procedures: keep evidence current, monitor drift, benchmark externally and refresh risk tests after organizational, system or market changes.</t>
  </si>
  <si>
    <t>Physical Safety!15</t>
  </si>
  <si>
    <t>Immature capability for physical asset protection against theft, sabotage, environmental damage and unauthorized access may lead to injury, unsafe facilities, uncontrolled access, asset loss and failure to protect people during incidents during Safety incident; Physical site loss; War/security crisis; Natural disaster.</t>
  </si>
  <si>
    <t>Low maturity, weak ownership, incomplete evidence, insufficient testing and poor integration with crisis-management routines for physical asset protection against theft, sabotage, environmental damage and unauthorized access.</t>
  </si>
  <si>
    <t>Severe risk: physical asset protection against theft, sabotage, environmental damage and unauthorized access is not reliably controlled. During Safety incident; Physical site loss; War/security crisis; Natural disaster, the organization may face injury, unsafe facilities, uncontrolled access, asset loss and failure to protect people during incidents with limited visibility or accountability.</t>
  </si>
  <si>
    <t>High risk: physical asset protection against theft, sabotage, environmental damage and unauthorized access depends on informal practices or individual knowledge. Disruption may expose injury, unsafe facilities, uncontrolled access, asset loss and failure to protect people during incidents and slow recovery.</t>
  </si>
  <si>
    <t>Elevated risk: physical asset protection against theft, sabotage, environmental damage and unauthorized access is partially controlled, but coverage, evidence or testing is inconsistent. Crisis response may be fragmented.</t>
  </si>
  <si>
    <t>Moderate risk: physical asset protection against theft, sabotage, environmental damage and unauthorized access is documented and owned, but measurement, stress testing and integration with dependent processes need strengthening.</t>
  </si>
  <si>
    <t>Residual risk: physical asset protection against theft, sabotage, environmental damage and unauthorized access is measured and reviewed, but monitoring, automation or scenario testing should be improved to prevent maturity drift.</t>
  </si>
  <si>
    <t>Low residual risk: physical asset protection against theft, sabotage, environmental damage and unauthorized access is mature and crisis-tested. Maintain monitoring, evidence, ownership and periodic stress testing.</t>
  </si>
  <si>
    <t>Create an immediate risk owner, minimum control baseline and fallback procedure for physical asset protection against theft, sabotage, environmental damage and unauthorized access. Add it to the crisis risk register and collect first evidence.</t>
  </si>
  <si>
    <t>Document physical asset protection against theft, sabotage, environmental damage and unauthorized access, assign RACI, define minimum controls and KPIs, and validate coverage across key sites, teams or systems.</t>
  </si>
  <si>
    <t>Standardize physical asset protection against theft, sabotage, environmental damage and unauthorized access, close coverage gaps, train accountable roles and connect controls to the relevant crisis scenarios and continuity plans.</t>
  </si>
  <si>
    <t>Measure and test physical asset protection against theft, sabotage, environmental damage and unauthorized access, run tabletop or operational stress tests, integrate it with dependent processes and update crisis playbooks.</t>
  </si>
  <si>
    <t>Sustain maturity for physical asset protection against theft, sabotage, environmental damage and unauthorized access: keep evidence current, monitor drift, benchmark externally and refresh risk tests after organizational, system or market changes.</t>
  </si>
  <si>
    <t>Physical Safety!16</t>
  </si>
  <si>
    <t>Immature capability for emergency response plans for fire, medical emergency, violence, bomb threat, shelling, evacuation, shelter-in-place and utility failure may lead to injury, unsafe facilities, uncontrolled access, asset loss and failure to protect people during incidents during Safety incident; Physical site loss; War/security crisis; Natural disaster.</t>
  </si>
  <si>
    <t>Low maturity, weak ownership, incomplete evidence, insufficient testing and poor integration with crisis-management routines for emergency response plans for fire, medical emergency, violence, bomb threat, shelling, evacuation, shelter-in-place and utility failure.</t>
  </si>
  <si>
    <t>Severe risk: emergency response plans for fire, medical emergency, violence, bomb threat, shelling, evacuation, shelter-in-place and utility failure is not reliably controlled. During Safety incident; Physical site loss; War/security crisis; Natural disaster, the organization may face injury, unsafe facilities, uncontrolled access, asset loss and failure to protect people during incidents with limited visibility or accountability.</t>
  </si>
  <si>
    <t>High risk: emergency response plans for fire, medical emergency, violence, bomb threat, shelling, evacuation, shelter-in-place and utility failure depends on informal practices or individual knowledge. Disruption may expose injury, unsafe facilities, uncontrolled access, asset loss and failure to protect people during incidents and slow recovery.</t>
  </si>
  <si>
    <t>Elevated risk: emergency response plans for fire, medical emergency, violence, bomb threat, shelling, evacuation, shelter-in-place and utility failure is partially controlled, but coverage, evidence or testing is inconsistent. Crisis response may be fragmented.</t>
  </si>
  <si>
    <t>Moderate risk: emergency response plans for fire, medical emergency, violence, bomb threat, shelling, evacuation, shelter-in-place and utility failure is documented and owned, but measurement, stress testing and integration with dependent processes need strengthening.</t>
  </si>
  <si>
    <t>Residual risk: emergency response plans for fire, medical emergency, violence, bomb threat, shelling, evacuation, shelter-in-place and utility failure is measured and reviewed, but monitoring, automation or scenario testing should be improved to prevent maturity drift.</t>
  </si>
  <si>
    <t>Low residual risk: emergency response plans for fire, medical emergency, violence, bomb threat, shelling, evacuation, shelter-in-place and utility failure is mature and crisis-tested. Maintain monitoring, evidence, ownership and periodic stress testing.</t>
  </si>
  <si>
    <t>Create an immediate risk owner, minimum control baseline and fallback procedure for emergency response plans for fire, medical emergency, violence, bomb threat, shelling, evacuation, shelter-in-place and utility failure. Add it to the crisis risk register and collect first evidence.</t>
  </si>
  <si>
    <t>Document emergency response plans for fire, medical emergency, violence, bomb threat, shelling, evacuation, shelter-in-place and utility failure, assign RACI, define minimum controls and KPIs, and validate coverage across key sites, teams or systems.</t>
  </si>
  <si>
    <t>Standardize emergency response plans for fire, medical emergency, violence, bomb threat, shelling, evacuation, shelter-in-place and utility failure, close coverage gaps, train accountable roles and connect controls to the relevant crisis scenarios and continuity plans.</t>
  </si>
  <si>
    <t>Measure and test emergency response plans for fire, medical emergency, violence, bomb threat, shelling, evacuation, shelter-in-place and utility failure, run tabletop or operational stress tests, integrate it with dependent processes and update crisis playbooks.</t>
  </si>
  <si>
    <t>Sustain maturity for emergency response plans for fire, medical emergency, violence, bomb threat, shelling, evacuation, shelter-in-place and utility failure: keep evidence current, monitor drift, benchmark externally and refresh risk tests after organizational, system or market changes.</t>
  </si>
  <si>
    <t>Physical Safety!17</t>
  </si>
  <si>
    <t>Immature capability for evacuation and shelter drills with attendance, outcomes and corrective actions may lead to injury, unsafe facilities, uncontrolled access, asset loss and failure to protect people during incidents during Safety incident; Physical site loss; War/security crisis; Natural disaster.</t>
  </si>
  <si>
    <t>Low maturity, weak ownership, incomplete evidence, insufficient testing and poor integration with crisis-management routines for evacuation and shelter drills with attendance, outcomes and corrective actions.</t>
  </si>
  <si>
    <t>Severe risk: evacuation and shelter drills with attendance, outcomes and corrective actions is not reliably controlled. During Safety incident; Physical site loss; War/security crisis; Natural disaster, the organization may face injury, unsafe facilities, uncontrolled access, asset loss and failure to protect people during incidents with limited visibility or accountability.</t>
  </si>
  <si>
    <t>High risk: evacuation and shelter drills with attendance, outcomes and corrective actions depends on informal practices or individual knowledge. Disruption may expose injury, unsafe facilities, uncontrolled access, asset loss and failure to protect people during incidents and slow recovery.</t>
  </si>
  <si>
    <t>Elevated risk: evacuation and shelter drills with attendance, outcomes and corrective actions is partially controlled, but coverage, evidence or testing is inconsistent. Crisis response may be fragmented.</t>
  </si>
  <si>
    <t>Moderate risk: evacuation and shelter drills with attendance, outcomes and corrective actions is documented and owned, but measurement, stress testing and integration with dependent processes need strengthening.</t>
  </si>
  <si>
    <t>Residual risk: evacuation and shelter drills with attendance, outcomes and corrective actions is measured and reviewed, but monitoring, automation or scenario testing should be improved to prevent maturity drift.</t>
  </si>
  <si>
    <t>Low residual risk: evacuation and shelter drills with attendance, outcomes and corrective actions is mature and crisis-tested. Maintain monitoring, evidence, ownership and periodic stress testing.</t>
  </si>
  <si>
    <t>Create an immediate risk owner, minimum control baseline and fallback procedure for evacuation and shelter drills with attendance, outcomes and corrective actions. Add it to the crisis risk register and collect first evidence.</t>
  </si>
  <si>
    <t>Document evacuation and shelter drills with attendance, outcomes and corrective actions, assign RACI, define minimum controls and KPIs, and validate coverage across key sites, teams or systems.</t>
  </si>
  <si>
    <t>Standardize evacuation and shelter drills with attendance, outcomes and corrective actions, close coverage gaps, train accountable roles and connect controls to the relevant crisis scenarios and continuity plans.</t>
  </si>
  <si>
    <t>Measure and test evacuation and shelter drills with attendance, outcomes and corrective actions, run tabletop or operational stress tests, integrate it with dependent processes and update crisis playbooks.</t>
  </si>
  <si>
    <t>Sustain maturity for evacuation and shelter drills with attendance, outcomes and corrective actions: keep evidence current, monitor drift, benchmark externally and refresh risk tests after organizational, system or market changes.</t>
  </si>
  <si>
    <t>Physical Safety!18</t>
  </si>
  <si>
    <t>Immature capability for first aid readiness with trained responders, AEDs, medical contacts and first aid supplies may lead to injury, unsafe facilities, uncontrolled access, asset loss and failure to protect people during incidents during Safety incident; Physical site loss; War/security crisis; Natural disaster.</t>
  </si>
  <si>
    <t>Low maturity, weak ownership, incomplete evidence, insufficient testing and poor integration with crisis-management routines for first aid readiness with trained responders, AEDs, medical contacts and first aid supplies.</t>
  </si>
  <si>
    <t>Severe risk: first aid readiness with trained responders, AEDs, medical contacts and first aid supplies is not reliably controlled. During Safety incident; Physical site loss; War/security crisis; Natural disaster, the organization may face injury, unsafe facilities, uncontrolled access, asset loss and failure to protect people during incidents with limited visibility or accountability.</t>
  </si>
  <si>
    <t>High risk: first aid readiness with trained responders, AEDs, medical contacts and first aid supplies depends on informal practices or individual knowledge. Disruption may expose injury, unsafe facilities, uncontrolled access, asset loss and failure to protect people during incidents and slow recovery.</t>
  </si>
  <si>
    <t>Elevated risk: first aid readiness with trained responders, AEDs, medical contacts and first aid supplies is partially controlled, but coverage, evidence or testing is inconsistent. Crisis response may be fragmented.</t>
  </si>
  <si>
    <t>Moderate risk: first aid readiness with trained responders, AEDs, medical contacts and first aid supplies is documented and owned, but measurement, stress testing and integration with dependent processes need strengthening.</t>
  </si>
  <si>
    <t>Residual risk: first aid readiness with trained responders, AEDs, medical contacts and first aid supplies is measured and reviewed, but monitoring, automation or scenario testing should be improved to prevent maturity drift.</t>
  </si>
  <si>
    <t>Low residual risk: first aid readiness with trained responders, AEDs, medical contacts and first aid supplies is mature and crisis-tested. Maintain monitoring, evidence, ownership and periodic stress testing.</t>
  </si>
  <si>
    <t>Create an immediate risk owner, minimum control baseline and fallback procedure for first aid readiness with trained responders, AEDs, medical contacts and first aid supplies. Add it to the crisis risk register and collect first evidence.</t>
  </si>
  <si>
    <t>Document first aid readiness with trained responders, AEDs, medical contacts and first aid supplies, assign RACI, define minimum controls and KPIs, and validate coverage across key sites, teams or systems.</t>
  </si>
  <si>
    <t>Standardize first aid readiness with trained responders, AEDs, medical contacts and first aid supplies, close coverage gaps, train accountable roles and connect controls to the relevant crisis scenarios and continuity plans.</t>
  </si>
  <si>
    <t>Measure and test first aid readiness with trained responders, AEDs, medical contacts and first aid supplies, run tabletop or operational stress tests, integrate it with dependent processes and update crisis playbooks.</t>
  </si>
  <si>
    <t>Sustain maturity for first aid readiness with trained responders, AEDs, medical contacts and first aid supplies: keep evidence current, monitor drift, benchmark externally and refresh risk tests after organizational, system or market changes.</t>
  </si>
  <si>
    <t>Physical Safety!19</t>
  </si>
  <si>
    <t>Immature capability for mass notification to employees, visitors and contractors during site emergencies may lead to injury, unsafe facilities, uncontrolled access, asset loss and failure to protect people during incidents during Safety incident; Physical site loss; War/security crisis; Natural disaster.</t>
  </si>
  <si>
    <t>Low maturity, weak ownership, incomplete evidence, insufficient testing and poor integration with crisis-management routines for mass notification to employees, visitors and contractors during site emergencies.</t>
  </si>
  <si>
    <t>Severe risk: mass notification to employees, visitors and contractors during site emergencies is not reliably controlled. During Safety incident; Physical site loss; War/security crisis; Natural disaster, the organization may face injury, unsafe facilities, uncontrolled access, asset loss and failure to protect people during incidents with limited visibility or accountability.</t>
  </si>
  <si>
    <t>High risk: mass notification to employees, visitors and contractors during site emergencies depends on informal practices or individual knowledge. Disruption may expose injury, unsafe facilities, uncontrolled access, asset loss and failure to protect people during incidents and slow recovery.</t>
  </si>
  <si>
    <t>Elevated risk: mass notification to employees, visitors and contractors during site emergencies is partially controlled, but coverage, evidence or testing is inconsistent. Crisis response may be fragmented.</t>
  </si>
  <si>
    <t>Moderate risk: mass notification to employees, visitors and contractors during site emergencies is documented and owned, but measurement, stress testing and integration with dependent processes need strengthening.</t>
  </si>
  <si>
    <t>Residual risk: mass notification to employees, visitors and contractors during site emergencies is measured and reviewed, but monitoring, automation or scenario testing should be improved to prevent maturity drift.</t>
  </si>
  <si>
    <t>Low residual risk: mass notification to employees, visitors and contractors during site emergencies is mature and crisis-tested. Maintain monitoring, evidence, ownership and periodic stress testing.</t>
  </si>
  <si>
    <t>Create an immediate risk owner, minimum control baseline and fallback procedure for mass notification to employees, visitors and contractors during site emergencies. Add it to the crisis risk register and collect first evidence.</t>
  </si>
  <si>
    <t>Document mass notification to employees, visitors and contractors during site emergencies, assign RACI, define minimum controls and KPIs, and validate coverage across key sites, teams or systems.</t>
  </si>
  <si>
    <t>Standardize mass notification to employees, visitors and contractors during site emergencies, close coverage gaps, train accountable roles and connect controls to the relevant crisis scenarios and continuity plans.</t>
  </si>
  <si>
    <t>Measure and test mass notification to employees, visitors and contractors during site emergencies, run tabletop or operational stress tests, integrate it with dependent processes and update crisis playbooks.</t>
  </si>
  <si>
    <t>Sustain maturity for mass notification to employees, visitors and contractors during site emergencies: keep evidence current, monitor drift, benchmark externally and refresh risk tests after organizational, system or market changes.</t>
  </si>
  <si>
    <t>Physical Safety!20</t>
  </si>
  <si>
    <t>Immature capability for employee and visitor accountability after evacuation or sheltering may lead to injury, unsafe facilities, uncontrolled access, asset loss and failure to protect people during incidents during Safety incident; Physical site loss; War/security crisis; Natural disaster.</t>
  </si>
  <si>
    <t>Low maturity, weak ownership, incomplete evidence, insufficient testing and poor integration with crisis-management routines for employee and visitor accountability after evacuation or sheltering.</t>
  </si>
  <si>
    <t>Severe risk: employee and visitor accountability after evacuation or sheltering is not reliably controlled. During Safety incident; Physical site loss; War/security crisis; Natural disaster, the organization may face injury, unsafe facilities, uncontrolled access, asset loss and failure to protect people during incidents with limited visibility or accountability.</t>
  </si>
  <si>
    <t>High risk: employee and visitor accountability after evacuation or sheltering depends on informal practices or individual knowledge. Disruption may expose injury, unsafe facilities, uncontrolled access, asset loss and failure to protect people during incidents and slow recovery.</t>
  </si>
  <si>
    <t>Elevated risk: employee and visitor accountability after evacuation or sheltering is partially controlled, but coverage, evidence or testing is inconsistent. Crisis response may be fragmented.</t>
  </si>
  <si>
    <t>Moderate risk: employee and visitor accountability after evacuation or sheltering is documented and owned, but measurement, stress testing and integration with dependent processes need strengthening.</t>
  </si>
  <si>
    <t>Residual risk: employee and visitor accountability after evacuation or sheltering is measured and reviewed, but monitoring, automation or scenario testing should be improved to prevent maturity drift.</t>
  </si>
  <si>
    <t>Low residual risk: employee and visitor accountability after evacuation or sheltering is mature and crisis-tested. Maintain monitoring, evidence, ownership and periodic stress testing.</t>
  </si>
  <si>
    <t>Create an immediate risk owner, minimum control baseline and fallback procedure for employee and visitor accountability after evacuation or sheltering. Add it to the crisis risk register and collect first evidence.</t>
  </si>
  <si>
    <t>Document employee and visitor accountability after evacuation or sheltering, assign RACI, define minimum controls and KPIs, and validate coverage across key sites, teams or systems.</t>
  </si>
  <si>
    <t>Standardize employee and visitor accountability after evacuation or sheltering, close coverage gaps, train accountable roles and connect controls to the relevant crisis scenarios and continuity plans.</t>
  </si>
  <si>
    <t>Measure and test employee and visitor accountability after evacuation or sheltering, run tabletop or operational stress tests, integrate it with dependent processes and update crisis playbooks.</t>
  </si>
  <si>
    <t>Sustain maturity for employee and visitor accountability after evacuation or sheltering: keep evidence current, monitor drift, benchmark externally and refresh risk tests after organizational, system or market changes.</t>
  </si>
  <si>
    <t>Physical Safety!21</t>
  </si>
  <si>
    <t>Immature capability for emergency supplies such as water, batteries, power banks, fuel, PPE, radios and flashlights may lead to injury, unsafe facilities, uncontrolled access, asset loss and failure to protect people during incidents during Safety incident; Physical site loss; War/security crisis; Natural disaster.</t>
  </si>
  <si>
    <t>Low maturity, weak ownership, incomplete evidence, insufficient testing and poor integration with crisis-management routines for emergency supplies such as water, batteries, power banks, fuel, PPE, radios and flashlights.</t>
  </si>
  <si>
    <t>Severe risk: emergency supplies such as water, batteries, power banks, fuel, PPE, radios and flashlights is not reliably controlled. During Safety incident; Physical site loss; War/security crisis; Natural disaster, the organization may face injury, unsafe facilities, uncontrolled access, asset loss and failure to protect people during incidents with limited visibility or accountability.</t>
  </si>
  <si>
    <t>High risk: emergency supplies such as water, batteries, power banks, fuel, PPE, radios and flashlights depends on informal practices or individual knowledge. Disruption may expose injury, unsafe facilities, uncontrolled access, asset loss and failure to protect people during incidents and slow recovery.</t>
  </si>
  <si>
    <t>Elevated risk: emergency supplies such as water, batteries, power banks, fuel, PPE, radios and flashlights is partially controlled, but coverage, evidence or testing is inconsistent. Crisis response may be fragmented.</t>
  </si>
  <si>
    <t>Moderate risk: emergency supplies such as water, batteries, power banks, fuel, PPE, radios and flashlights is documented and owned, but measurement, stress testing and integration with dependent processes need strengthening.</t>
  </si>
  <si>
    <t>Residual risk: emergency supplies such as water, batteries, power banks, fuel, PPE, radios and flashlights is measured and reviewed, but monitoring, automation or scenario testing should be improved to prevent maturity drift.</t>
  </si>
  <si>
    <t>Low residual risk: emergency supplies such as water, batteries, power banks, fuel, PPE, radios and flashlights is mature and crisis-tested. Maintain monitoring, evidence, ownership and periodic stress testing.</t>
  </si>
  <si>
    <t>Create an immediate risk owner, minimum control baseline and fallback procedure for emergency supplies such as water, batteries, power banks, fuel, PPE, radios and flashlights. Add it to the crisis risk register and collect first evidence.</t>
  </si>
  <si>
    <t>Document emergency supplies such as water, batteries, power banks, fuel, PPE, radios and flashlights, assign RACI, define minimum controls and KPIs, and validate coverage across key sites, teams or systems.</t>
  </si>
  <si>
    <t>Standardize emergency supplies such as water, batteries, power banks, fuel, PPE, radios and flashlights, close coverage gaps, train accountable roles and connect controls to the relevant crisis scenarios and continuity plans.</t>
  </si>
  <si>
    <t>Measure and test emergency supplies such as water, batteries, power banks, fuel, PPE, radios and flashlights, run tabletop or operational stress tests, integrate it with dependent processes and update crisis playbooks.</t>
  </si>
  <si>
    <t>Sustain maturity for emergency supplies such as water, batteries, power banks, fuel, PPE, radios and flashlights: keep evidence current, monitor drift, benchmark externally and refresh risk tests after organizational, system or market changes.</t>
  </si>
  <si>
    <t>Physical Safety!22</t>
  </si>
  <si>
    <t>Immature capability for air raid, shelling, curfew, checkpoints, movement restriction and shelter procedures for high-risk geographies may lead to injury, unsafe facilities, uncontrolled access, asset loss and failure to protect people during incidents during Safety incident; Physical site loss; War/security crisis; Natural disaster.</t>
  </si>
  <si>
    <t>Low maturity, weak ownership, incomplete evidence, insufficient testing and poor integration with crisis-management routines for air raid, shelling, curfew, checkpoints, movement restriction and shelter procedures for high-risk geographies.</t>
  </si>
  <si>
    <t>Severe risk: air raid, shelling, curfew, checkpoints, movement restriction and shelter procedures for high-risk geographies is not reliably controlled. During Safety incident; Physical site loss; War/security crisis; Natural disaster, the organization may face injury, unsafe facilities, uncontrolled access, asset loss and failure to protect people during incidents with limited visibility or accountability.</t>
  </si>
  <si>
    <t>High risk: air raid, shelling, curfew, checkpoints, movement restriction and shelter procedures for high-risk geographies depends on informal practices or individual knowledge. Disruption may expose injury, unsafe facilities, uncontrolled access, asset loss and failure to protect people during incidents and slow recovery.</t>
  </si>
  <si>
    <t>Elevated risk: air raid, shelling, curfew, checkpoints, movement restriction and shelter procedures for high-risk geographies is partially controlled, but coverage, evidence or testing is inconsistent. Crisis response may be fragmented.</t>
  </si>
  <si>
    <t>Moderate risk: air raid, shelling, curfew, checkpoints, movement restriction and shelter procedures for high-risk geographies is documented and owned, but measurement, stress testing and integration with dependent processes need strengthening.</t>
  </si>
  <si>
    <t>Residual risk: air raid, shelling, curfew, checkpoints, movement restriction and shelter procedures for high-risk geographies is measured and reviewed, but monitoring, automation or scenario testing should be improved to prevent maturity drift.</t>
  </si>
  <si>
    <t>Low residual risk: air raid, shelling, curfew, checkpoints, movement restriction and shelter procedures for high-risk geographies is mature and crisis-tested. Maintain monitoring, evidence, ownership and periodic stress testing.</t>
  </si>
  <si>
    <t>Create an immediate risk owner, minimum control baseline and fallback procedure for air raid, shelling, curfew, checkpoints, movement restriction and shelter procedures for high-risk geographies. Add it to the crisis risk register and collect first evidence.</t>
  </si>
  <si>
    <t>Document air raid, shelling, curfew, checkpoints, movement restriction and shelter procedures for high-risk geographies, assign RACI, define minimum controls and KPIs, and validate coverage across key sites, teams or systems.</t>
  </si>
  <si>
    <t>Standardize air raid, shelling, curfew, checkpoints, movement restriction and shelter procedures for high-risk geographies, close coverage gaps, train accountable roles and connect controls to the relevant crisis scenarios and continuity plans.</t>
  </si>
  <si>
    <t>Measure and test air raid, shelling, curfew, checkpoints, movement restriction and shelter procedures for high-risk geographies, run tabletop or operational stress tests, integrate it with dependent processes and update crisis playbooks.</t>
  </si>
  <si>
    <t>Sustain maturity for air raid, shelling, curfew, checkpoints, movement restriction and shelter procedures for high-risk geographies: keep evidence current, monitor drift, benchmark externally and refresh risk tests after organizational, system or market changes.</t>
  </si>
  <si>
    <t>Physical Safety!23</t>
  </si>
  <si>
    <t>Immature capability for relocation and evacuation options for employees and critical teams may lead to injury, unsafe facilities, uncontrolled access, asset loss and failure to protect people during incidents during Safety incident; Physical site loss; War/security crisis; Natural disaster.</t>
  </si>
  <si>
    <t>Low maturity, weak ownership, incomplete evidence, insufficient testing and poor integration with crisis-management routines for relocation and evacuation options for employees and critical teams.</t>
  </si>
  <si>
    <t>Severe risk: relocation and evacuation options for employees and critical teams is not reliably controlled. During Safety incident; Physical site loss; War/security crisis; Natural disaster, the organization may face injury, unsafe facilities, uncontrolled access, asset loss and failure to protect people during incidents with limited visibility or accountability.</t>
  </si>
  <si>
    <t>High risk: relocation and evacuation options for employees and critical teams depends on informal practices or individual knowledge. Disruption may expose injury, unsafe facilities, uncontrolled access, asset loss and failure to protect people during incidents and slow recovery.</t>
  </si>
  <si>
    <t>Elevated risk: relocation and evacuation options for employees and critical teams is partially controlled, but coverage, evidence or testing is inconsistent. Crisis response may be fragmented.</t>
  </si>
  <si>
    <t>Moderate risk: relocation and evacuation options for employees and critical teams is documented and owned, but measurement, stress testing and integration with dependent processes need strengthening.</t>
  </si>
  <si>
    <t>Residual risk: relocation and evacuation options for employees and critical teams is measured and reviewed, but monitoring, automation or scenario testing should be improved to prevent maturity drift.</t>
  </si>
  <si>
    <t>Low residual risk: relocation and evacuation options for employees and critical teams is mature and crisis-tested. Maintain monitoring, evidence, ownership and periodic stress testing.</t>
  </si>
  <si>
    <t>Create an immediate risk owner, minimum control baseline and fallback procedure for relocation and evacuation options for employees and critical teams. Add it to the crisis risk register and collect first evidence.</t>
  </si>
  <si>
    <t>Document relocation and evacuation options for employees and critical teams, assign RACI, define minimum controls and KPIs, and validate coverage across key sites, teams or systems.</t>
  </si>
  <si>
    <t>Standardize relocation and evacuation options for employees and critical teams, close coverage gaps, train accountable roles and connect controls to the relevant crisis scenarios and continuity plans.</t>
  </si>
  <si>
    <t>Measure and test relocation and evacuation options for employees and critical teams, run tabletop or operational stress tests, integrate it with dependent processes and update crisis playbooks.</t>
  </si>
  <si>
    <t>Sustain maturity for relocation and evacuation options for employees and critical teams: keep evidence current, monitor drift, benchmark externally and refresh risk tests after organizational, system or market changes.</t>
  </si>
  <si>
    <t>Physical Safety!24</t>
  </si>
  <si>
    <t>Immature capability for travel risk assessment by destination, route, purpose, employee profile and emergency support may lead to injury, unsafe facilities, uncontrolled access, asset loss and failure to protect people during incidents during Safety incident; Physical site loss; War/security crisis; Natural disaster.</t>
  </si>
  <si>
    <t>Low maturity, weak ownership, incomplete evidence, insufficient testing and poor integration with crisis-management routines for travel risk assessment by destination, route, purpose, employee profile and emergency support.</t>
  </si>
  <si>
    <t>Severe risk: travel risk assessment by destination, route, purpose, employee profile and emergency support is not reliably controlled. During Safety incident; Physical site loss; War/security crisis; Natural disaster, the organization may face injury, unsafe facilities, uncontrolled access, asset loss and failure to protect people during incidents with limited visibility or accountability.</t>
  </si>
  <si>
    <t>High risk: travel risk assessment by destination, route, purpose, employee profile and emergency support depends on informal practices or individual knowledge. Disruption may expose injury, unsafe facilities, uncontrolled access, asset loss and failure to protect people during incidents and slow recovery.</t>
  </si>
  <si>
    <t>Elevated risk: travel risk assessment by destination, route, purpose, employee profile and emergency support is partially controlled, but coverage, evidence or testing is inconsistent. Crisis response may be fragmented.</t>
  </si>
  <si>
    <t>Moderate risk: travel risk assessment by destination, route, purpose, employee profile and emergency support is documented and owned, but measurement, stress testing and integration with dependent processes need strengthening.</t>
  </si>
  <si>
    <t>Residual risk: travel risk assessment by destination, route, purpose, employee profile and emergency support is measured and reviewed, but monitoring, automation or scenario testing should be improved to prevent maturity drift.</t>
  </si>
  <si>
    <t>Low residual risk: travel risk assessment by destination, route, purpose, employee profile and emergency support is mature and crisis-tested. Maintain monitoring, evidence, ownership and periodic stress testing.</t>
  </si>
  <si>
    <t>Create an immediate risk owner, minimum control baseline and fallback procedure for travel risk assessment by destination, route, purpose, employee profile and emergency support. Add it to the crisis risk register and collect first evidence.</t>
  </si>
  <si>
    <t>Document travel risk assessment by destination, route, purpose, employee profile and emergency support, assign RACI, define minimum controls and KPIs, and validate coverage across key sites, teams or systems.</t>
  </si>
  <si>
    <t>Standardize travel risk assessment by destination, route, purpose, employee profile and emergency support, close coverage gaps, train accountable roles and connect controls to the relevant crisis scenarios and continuity plans.</t>
  </si>
  <si>
    <t>Measure and test travel risk assessment by destination, route, purpose, employee profile and emergency support, run tabletop or operational stress tests, integrate it with dependent processes and update crisis playbooks.</t>
  </si>
  <si>
    <t>Sustain maturity for travel risk assessment by destination, route, purpose, employee profile and emergency support: keep evidence current, monitor drift, benchmark externally and refresh risk tests after organizational, system or market changes.</t>
  </si>
  <si>
    <t>Physical Safety!25</t>
  </si>
  <si>
    <t>Immature capability for local threat monitoring for critical sites and geographies may lead to injury, unsafe facilities, uncontrolled access, asset loss and failure to protect people during incidents during Safety incident; Physical site loss; War/security crisis; Natural disaster.</t>
  </si>
  <si>
    <t>Low maturity, weak ownership, incomplete evidence, insufficient testing and poor integration with crisis-management routines for local threat monitoring for critical sites and geographies.</t>
  </si>
  <si>
    <t>Severe risk: local threat monitoring for critical sites and geographies is not reliably controlled. During Safety incident; Physical site loss; War/security crisis; Natural disaster, the organization may face injury, unsafe facilities, uncontrolled access, asset loss and failure to protect people during incidents with limited visibility or accountability.</t>
  </si>
  <si>
    <t>High risk: local threat monitoring for critical sites and geographies depends on informal practices or individual knowledge. Disruption may expose injury, unsafe facilities, uncontrolled access, asset loss and failure to protect people during incidents and slow recovery.</t>
  </si>
  <si>
    <t>Elevated risk: local threat monitoring for critical sites and geographies is partially controlled, but coverage, evidence or testing is inconsistent. Crisis response may be fragmented.</t>
  </si>
  <si>
    <t>Moderate risk: local threat monitoring for critical sites and geographies is documented and owned, but measurement, stress testing and integration with dependent processes need strengthening.</t>
  </si>
  <si>
    <t>Residual risk: local threat monitoring for critical sites and geographies is measured and reviewed, but monitoring, automation or scenario testing should be improved to prevent maturity drift.</t>
  </si>
  <si>
    <t>Low residual risk: local threat monitoring for critical sites and geographies is mature and crisis-tested. Maintain monitoring, evidence, ownership and periodic stress testing.</t>
  </si>
  <si>
    <t>Create an immediate risk owner, minimum control baseline and fallback procedure for local threat monitoring for critical sites and geographies. Add it to the crisis risk register and collect first evidence.</t>
  </si>
  <si>
    <t>Document local threat monitoring for critical sites and geographies, assign RACI, define minimum controls and KPIs, and validate coverage across key sites, teams or systems.</t>
  </si>
  <si>
    <t>Standardize local threat monitoring for critical sites and geographies, close coverage gaps, train accountable roles and connect controls to the relevant crisis scenarios and continuity plans.</t>
  </si>
  <si>
    <t>Measure and test local threat monitoring for critical sites and geographies, run tabletop or operational stress tests, integrate it with dependent processes and update crisis playbooks.</t>
  </si>
  <si>
    <t>Sustain maturity for local threat monitoring for critical sites and geographies: keep evidence current, monitor drift, benchmark externally and refresh risk tests after organizational, system or market changes.</t>
  </si>
  <si>
    <t>Physical Safety!26</t>
  </si>
  <si>
    <t>Immature capability for coordination with fire, police, medical, local administration and utility providers may lead to injury, unsafe facilities, uncontrolled access, asset loss and failure to protect people during incidents during Safety incident; Physical site loss; War/security crisis; Natural disaster.</t>
  </si>
  <si>
    <t>Low maturity, weak ownership, incomplete evidence, insufficient testing and poor integration with crisis-management routines for coordination with fire, police, medical, local administration and utility providers.</t>
  </si>
  <si>
    <t>Severe risk: coordination with fire, police, medical, local administration and utility providers is not reliably controlled. During Safety incident; Physical site loss; War/security crisis; Natural disaster, the organization may face injury, unsafe facilities, uncontrolled access, asset loss and failure to protect people during incidents with limited visibility or accountability.</t>
  </si>
  <si>
    <t>High risk: coordination with fire, police, medical, local administration and utility providers depends on informal practices or individual knowledge. Disruption may expose injury, unsafe facilities, uncontrolled access, asset loss and failure to protect people during incidents and slow recovery.</t>
  </si>
  <si>
    <t>Elevated risk: coordination with fire, police, medical, local administration and utility providers is partially controlled, but coverage, evidence or testing is inconsistent. Crisis response may be fragmented.</t>
  </si>
  <si>
    <t>Moderate risk: coordination with fire, police, medical, local administration and utility providers is documented and owned, but measurement, stress testing and integration with dependent processes need strengthening.</t>
  </si>
  <si>
    <t>Residual risk: coordination with fire, police, medical, local administration and utility providers is measured and reviewed, but monitoring, automation or scenario testing should be improved to prevent maturity drift.</t>
  </si>
  <si>
    <t>Low residual risk: coordination with fire, police, medical, local administration and utility providers is mature and crisis-tested. Maintain monitoring, evidence, ownership and periodic stress testing.</t>
  </si>
  <si>
    <t>Create an immediate risk owner, minimum control baseline and fallback procedure for coordination with fire, police, medical, local administration and utility providers. Add it to the crisis risk register and collect first evidence.</t>
  </si>
  <si>
    <t>Document coordination with fire, police, medical, local administration and utility providers, assign RACI, define minimum controls and KPIs, and validate coverage across key sites, teams or systems.</t>
  </si>
  <si>
    <t>Standardize coordination with fire, police, medical, local administration and utility providers, close coverage gaps, train accountable roles and connect controls to the relevant crisis scenarios and continuity plans.</t>
  </si>
  <si>
    <t>Measure and test coordination with fire, police, medical, local administration and utility providers, run tabletop or operational stress tests, integrate it with dependent processes and update crisis playbooks.</t>
  </si>
  <si>
    <t>Sustain maturity for coordination with fire, police, medical, local administration and utility providers: keep evidence current, monitor drift, benchmark externally and refresh risk tests after organizational, system or market changes.</t>
  </si>
  <si>
    <t>Physical Safety!27</t>
  </si>
  <si>
    <t>Immature capability for backup power for critical sites with capacity, maintenance, fuel and test records may lead to injury, unsafe facilities, uncontrolled access, asset loss and failure to protect people during incidents during Safety incident; Physical site loss; War/security crisis; Natural disaster.</t>
  </si>
  <si>
    <t>Low maturity, weak ownership, incomplete evidence, insufficient testing and poor integration with crisis-management routines for backup power for critical sites with capacity, maintenance, fuel and test records.</t>
  </si>
  <si>
    <t>Severe risk: backup power for critical sites with capacity, maintenance, fuel and test records is not reliably controlled. During Safety incident; Physical site loss; War/security crisis; Natural disaster, the organization may face injury, unsafe facilities, uncontrolled access, asset loss and failure to protect people during incidents with limited visibility or accountability.</t>
  </si>
  <si>
    <t>High risk: backup power for critical sites with capacity, maintenance, fuel and test records depends on informal practices or individual knowledge. Disruption may expose injury, unsafe facilities, uncontrolled access, asset loss and failure to protect people during incidents and slow recovery.</t>
  </si>
  <si>
    <t>Elevated risk: backup power for critical sites with capacity, maintenance, fuel and test records is partially controlled, but coverage, evidence or testing is inconsistent. Crisis response may be fragmented.</t>
  </si>
  <si>
    <t>Moderate risk: backup power for critical sites with capacity, maintenance, fuel and test records is documented and owned, but measurement, stress testing and integration with dependent processes need strengthening.</t>
  </si>
  <si>
    <t>Residual risk: backup power for critical sites with capacity, maintenance, fuel and test records is measured and reviewed, but monitoring, automation or scenario testing should be improved to prevent maturity drift.</t>
  </si>
  <si>
    <t>Low residual risk: backup power for critical sites with capacity, maintenance, fuel and test records is mature and crisis-tested. Maintain monitoring, evidence, ownership and periodic stress testing.</t>
  </si>
  <si>
    <t>Create an immediate risk owner, minimum control baseline and fallback procedure for backup power for critical sites with capacity, maintenance, fuel and test records. Add it to the crisis risk register and collect first evidence.</t>
  </si>
  <si>
    <t>Document backup power for critical sites with capacity, maintenance, fuel and test records, assign RACI, define minimum controls and KPIs, and validate coverage across key sites, teams or systems.</t>
  </si>
  <si>
    <t>Standardize backup power for critical sites with capacity, maintenance, fuel and test records, close coverage gaps, train accountable roles and connect controls to the relevant crisis scenarios and continuity plans.</t>
  </si>
  <si>
    <t>Measure and test backup power for critical sites with capacity, maintenance, fuel and test records, run tabletop or operational stress tests, integrate it with dependent processes and update crisis playbooks.</t>
  </si>
  <si>
    <t>Sustain maturity for backup power for critical sites with capacity, maintenance, fuel and test records: keep evidence current, monitor drift, benchmark externally and refresh risk tests after organizational, system or market changes.</t>
  </si>
  <si>
    <t>Physical Safety!28</t>
  </si>
  <si>
    <t>Immature capability for water, sanitation, HVAC and environmental controls in facility continuity plans may lead to injury, unsafe facilities, uncontrolled access, asset loss and failure to protect people during incidents during Safety incident; Physical site loss; War/security crisis; Natural disaster.</t>
  </si>
  <si>
    <t>Low maturity, weak ownership, incomplete evidence, insufficient testing and poor integration with crisis-management routines for water, sanitation, HVAC and environmental controls in facility continuity plans.</t>
  </si>
  <si>
    <t>Severe risk: water, sanitation, HVAC and environmental controls in facility continuity plans is not reliably controlled. During Safety incident; Physical site loss; War/security crisis; Natural disaster, the organization may face injury, unsafe facilities, uncontrolled access, asset loss and failure to protect people during incidents with limited visibility or accountability.</t>
  </si>
  <si>
    <t>High risk: water, sanitation, HVAC and environmental controls in facility continuity plans depends on informal practices or individual knowledge. Disruption may expose injury, unsafe facilities, uncontrolled access, asset loss and failure to protect people during incidents and slow recovery.</t>
  </si>
  <si>
    <t>Elevated risk: water, sanitation, HVAC and environmental controls in facility continuity plans is partially controlled, but coverage, evidence or testing is inconsistent. Crisis response may be fragmented.</t>
  </si>
  <si>
    <t>Moderate risk: water, sanitation, HVAC and environmental controls in facility continuity plans is documented and owned, but measurement, stress testing and integration with dependent processes need strengthening.</t>
  </si>
  <si>
    <t>Residual risk: water, sanitation, HVAC and environmental controls in facility continuity plans is measured and reviewed, but monitoring, automation or scenario testing should be improved to prevent maturity drift.</t>
  </si>
  <si>
    <t>Low residual risk: water, sanitation, HVAC and environmental controls in facility continuity plans is mature and crisis-tested. Maintain monitoring, evidence, ownership and periodic stress testing.</t>
  </si>
  <si>
    <t>Create an immediate risk owner, minimum control baseline and fallback procedure for water, sanitation, HVAC and environmental controls in facility continuity plans. Add it to the crisis risk register and collect first evidence.</t>
  </si>
  <si>
    <t>Document water, sanitation, HVAC and environmental controls in facility continuity plans, assign RACI, define minimum controls and KPIs, and validate coverage across key sites, teams or systems.</t>
  </si>
  <si>
    <t>Standardize water, sanitation, HVAC and environmental controls in facility continuity plans, close coverage gaps, train accountable roles and connect controls to the relevant crisis scenarios and continuity plans.</t>
  </si>
  <si>
    <t>Measure and test water, sanitation, HVAC and environmental controls in facility continuity plans, run tabletop or operational stress tests, integrate it with dependent processes and update crisis playbooks.</t>
  </si>
  <si>
    <t>Sustain maturity for water, sanitation, HVAC and environmental controls in facility continuity plans: keep evidence current, monitor drift, benchmark externally and refresh risk tests after organizational, system or market changes.</t>
  </si>
  <si>
    <t>Physical Safety!29</t>
  </si>
  <si>
    <t>Immature capability for backup internet and telecom connectivity at critical sites may lead to injury, unsafe facilities, uncontrolled access, asset loss and failure to protect people during incidents during Safety incident; Physical site loss; War/security crisis; Natural disaster.</t>
  </si>
  <si>
    <t>Low maturity, weak ownership, incomplete evidence, insufficient testing and poor integration with crisis-management routines for backup internet and telecom connectivity at critical sites.</t>
  </si>
  <si>
    <t>Severe risk: backup internet and telecom connectivity at critical sites is not reliably controlled. During Safety incident; Physical site loss; War/security crisis; Natural disaster, the organization may face injury, unsafe facilities, uncontrolled access, asset loss and failure to protect people during incidents with limited visibility or accountability.</t>
  </si>
  <si>
    <t>High risk: backup internet and telecom connectivity at critical sites depends on informal practices or individual knowledge. Disruption may expose injury, unsafe facilities, uncontrolled access, asset loss and failure to protect people during incidents and slow recovery.</t>
  </si>
  <si>
    <t>Elevated risk: backup internet and telecom connectivity at critical sites is partially controlled, but coverage, evidence or testing is inconsistent. Crisis response may be fragmented.</t>
  </si>
  <si>
    <t>Moderate risk: backup internet and telecom connectivity at critical sites is documented and owned, but measurement, stress testing and integration with dependent processes need strengthening.</t>
  </si>
  <si>
    <t>Residual risk: backup internet and telecom connectivity at critical sites is measured and reviewed, but monitoring, automation or scenario testing should be improved to prevent maturity drift.</t>
  </si>
  <si>
    <t>Low residual risk: backup internet and telecom connectivity at critical sites is mature and crisis-tested. Maintain monitoring, evidence, ownership and periodic stress testing.</t>
  </si>
  <si>
    <t>Create an immediate risk owner, minimum control baseline and fallback procedure for backup internet and telecom connectivity at critical sites. Add it to the crisis risk register and collect first evidence.</t>
  </si>
  <si>
    <t>Document backup internet and telecom connectivity at critical sites, assign RACI, define minimum controls and KPIs, and validate coverage across key sites, teams or systems.</t>
  </si>
  <si>
    <t>Standardize backup internet and telecom connectivity at critical sites, close coverage gaps, train accountable roles and connect controls to the relevant crisis scenarios and continuity plans.</t>
  </si>
  <si>
    <t>Measure and test backup internet and telecom connectivity at critical sites, run tabletop or operational stress tests, integrate it with dependent processes and update crisis playbooks.</t>
  </si>
  <si>
    <t>Sustain maturity for backup internet and telecom connectivity at critical sites: keep evidence current, monitor drift, benchmark externally and refresh risk tests after organizational, system or market changes.</t>
  </si>
  <si>
    <t>Physical Safety!30</t>
  </si>
  <si>
    <t>Immature capability for preventive maintenance for safety-critical facility systems may lead to injury, unsafe facilities, uncontrolled access, asset loss and failure to protect people during incidents during Safety incident; Physical site loss; War/security crisis; Natural disaster.</t>
  </si>
  <si>
    <t>Low maturity, weak ownership, incomplete evidence, insufficient testing and poor integration with crisis-management routines for preventive maintenance for safety-critical facility systems.</t>
  </si>
  <si>
    <t>Severe risk: preventive maintenance for safety-critical facility systems is not reliably controlled. During Safety incident; Physical site loss; War/security crisis; Natural disaster, the organization may face injury, unsafe facilities, uncontrolled access, asset loss and failure to protect people during incidents with limited visibility or accountability.</t>
  </si>
  <si>
    <t>High risk: preventive maintenance for safety-critical facility systems depends on informal practices or individual knowledge. Disruption may expose injury, unsafe facilities, uncontrolled access, asset loss and failure to protect people during incidents and slow recovery.</t>
  </si>
  <si>
    <t>Elevated risk: preventive maintenance for safety-critical facility systems is partially controlled, but coverage, evidence or testing is inconsistent. Crisis response may be fragmented.</t>
  </si>
  <si>
    <t>Moderate risk: preventive maintenance for safety-critical facility systems is documented and owned, but measurement, stress testing and integration with dependent processes need strengthening.</t>
  </si>
  <si>
    <t>Residual risk: preventive maintenance for safety-critical facility systems is measured and reviewed, but monitoring, automation or scenario testing should be improved to prevent maturity drift.</t>
  </si>
  <si>
    <t>Low residual risk: preventive maintenance for safety-critical facility systems is mature and crisis-tested. Maintain monitoring, evidence, ownership and periodic stress testing.</t>
  </si>
  <si>
    <t>Create an immediate risk owner, minimum control baseline and fallback procedure for preventive maintenance for safety-critical facility systems. Add it to the crisis risk register and collect first evidence.</t>
  </si>
  <si>
    <t>Document preventive maintenance for safety-critical facility systems, assign RACI, define minimum controls and KPIs, and validate coverage across key sites, teams or systems.</t>
  </si>
  <si>
    <t>Standardize preventive maintenance for safety-critical facility systems, close coverage gaps, train accountable roles and connect controls to the relevant crisis scenarios and continuity plans.</t>
  </si>
  <si>
    <t>Measure and test preventive maintenance for safety-critical facility systems, run tabletop or operational stress tests, integrate it with dependent processes and update crisis playbooks.</t>
  </si>
  <si>
    <t>Sustain maturity for preventive maintenance for safety-critical facility systems: keep evidence current, monitor drift, benchmark externally and refresh risk tests after organizational, system or market changes.</t>
  </si>
  <si>
    <t>Physical Safety!31</t>
  </si>
  <si>
    <t>Immature capability for alternative worksites, temporary facilities, coworking spaces or remote-work options if a site is lost may lead to injury, unsafe facilities, uncontrolled access, asset loss and failure to protect people during incidents during Safety incident; Physical site loss; War/security crisis; Natural disaster.</t>
  </si>
  <si>
    <t>Low maturity, weak ownership, incomplete evidence, insufficient testing and poor integration with crisis-management routines for alternative worksites, temporary facilities, coworking spaces or remote-work options if a site is lost.</t>
  </si>
  <si>
    <t>Severe risk: alternative worksites, temporary facilities, coworking spaces or remote-work options if a site is lost is not reliably controlled. During Safety incident; Physical site loss; War/security crisis; Natural disaster, the organization may face injury, unsafe facilities, uncontrolled access, asset loss and failure to protect people during incidents with limited visibility or accountability.</t>
  </si>
  <si>
    <t>High risk: alternative worksites, temporary facilities, coworking spaces or remote-work options if a site is lost depends on informal practices or individual knowledge. Disruption may expose injury, unsafe facilities, uncontrolled access, asset loss and failure to protect people during incidents and slow recovery.</t>
  </si>
  <si>
    <t>Elevated risk: alternative worksites, temporary facilities, coworking spaces or remote-work options if a site is lost is partially controlled, but coverage, evidence or testing is inconsistent. Crisis response may be fragmented.</t>
  </si>
  <si>
    <t>Moderate risk: alternative worksites, temporary facilities, coworking spaces or remote-work options if a site is lost is documented and owned, but measurement, stress testing and integration with dependent processes need strengthening.</t>
  </si>
  <si>
    <t>Residual risk: alternative worksites, temporary facilities, coworking spaces or remote-work options if a site is lost is measured and reviewed, but monitoring, automation or scenario testing should be improved to prevent maturity drift.</t>
  </si>
  <si>
    <t>Low residual risk: alternative worksites, temporary facilities, coworking spaces or remote-work options if a site is lost is mature and crisis-tested. Maintain monitoring, evidence, ownership and periodic stress testing.</t>
  </si>
  <si>
    <t>Create an immediate risk owner, minimum control baseline and fallback procedure for alternative worksites, temporary facilities, coworking spaces or remote-work options if a site is lost. Add it to the crisis risk register and collect first evidence.</t>
  </si>
  <si>
    <t>Document alternative worksites, temporary facilities, coworking spaces or remote-work options if a site is lost, assign RACI, define minimum controls and KPIs, and validate coverage across key sites, teams or systems.</t>
  </si>
  <si>
    <t>Standardize alternative worksites, temporary facilities, coworking spaces or remote-work options if a site is lost, close coverage gaps, train accountable roles and connect controls to the relevant crisis scenarios and continuity plans.</t>
  </si>
  <si>
    <t>Measure and test alternative worksites, temporary facilities, coworking spaces or remote-work options if a site is lost, run tabletop or operational stress tests, integrate it with dependent processes and update crisis playbooks.</t>
  </si>
  <si>
    <t>Sustain maturity for alternative worksites, temporary facilities, coworking spaces or remote-work options if a site is lost: keep evidence current, monitor drift, benchmark externally and refresh risk tests after organizational, system or market changes.</t>
  </si>
  <si>
    <t>Physical Safety!32</t>
  </si>
  <si>
    <t>Physical asset and facility resilience</t>
  </si>
  <si>
    <t>Immature capability for enterprise asset register covering ownership, location, condition, replacement value and insurance linkage may lead to unknown asset exposure, slow insurance claims and uninformed recovery investment decisions during Physical site loss; Natural disaster; War/security crisis.</t>
  </si>
  <si>
    <t>Low maturity, weak ownership, incomplete evidence, insufficient testing and poor integration with crisis-management routines for enterprise asset register covering ownership, location, condition, replacement value and insurance linkage.</t>
  </si>
  <si>
    <t>Severe risk: enterprise asset register covering ownership, location, condition, replacement value and insurance linkage is not reliably controlled. During Physical site loss; Natural disaster; War/security crisis, the organization may face unknown asset exposure, slow insurance claims and uninformed recovery investment decisions with limited visibility or accountability.</t>
  </si>
  <si>
    <t>High risk: enterprise asset register covering ownership, location, condition, replacement value and insurance linkage depends on informal practices or individual knowledge. Disruption may expose unknown asset exposure, slow insurance claims and uninformed recovery investment decisions and slow recovery.</t>
  </si>
  <si>
    <t>Elevated risk: enterprise asset register covering ownership, location, condition, replacement value and insurance linkage is partially controlled, but coverage, evidence or testing is inconsistent. Crisis response may be fragmented.</t>
  </si>
  <si>
    <t>Moderate risk: enterprise asset register covering ownership, location, condition, replacement value and insurance linkage is documented and owned, but measurement, stress testing and integration with dependent processes need strengthening.</t>
  </si>
  <si>
    <t>Residual risk: enterprise asset register covering ownership, location, condition, replacement value and insurance linkage is measured and reviewed, but monitoring, automation or scenario testing should be improved to prevent maturity drift.</t>
  </si>
  <si>
    <t>Low residual risk: enterprise asset register covering ownership, location, condition, replacement value and insurance linkage is mature and crisis-tested. Maintain monitoring, evidence, ownership and periodic stress testing.</t>
  </si>
  <si>
    <t>Create an immediate risk owner, minimum control baseline and fallback procedure for enterprise asset register covering ownership, location, condition, replacement value and insurance linkage. Add it to the crisis risk register and collect first evidence.</t>
  </si>
  <si>
    <t>Document enterprise asset register covering ownership, location, condition, replacement value and insurance linkage, assign RACI, define minimum controls and KPIs, and validate coverage across key sites, teams or systems.</t>
  </si>
  <si>
    <t>Standardize enterprise asset register covering ownership, location, condition, replacement value and insurance linkage, close coverage gaps, train accountable roles and connect controls to the relevant crisis scenarios and continuity plans.</t>
  </si>
  <si>
    <t>Measure and test enterprise asset register covering ownership, location, condition, replacement value and insurance linkage, run tabletop or operational stress tests, integrate it with dependent processes and update crisis playbooks.</t>
  </si>
  <si>
    <t>Sustain maturity for enterprise asset register covering ownership, location, condition, replacement value and insurance linkage: keep evidence current, monitor drift, benchmark externally and refresh risk tests after organizational, system or market changes.</t>
  </si>
  <si>
    <t>Policy/SOP; owner/RACI; system report; dashboard; contracts; test records; incident history; interview evidence related to enterprise asset register covering ownership, location, condition, replacement value and insurance linkage</t>
  </si>
  <si>
    <t>COO / Facilities</t>
  </si>
  <si>
    <t>Physical Safety!33</t>
  </si>
  <si>
    <t>Immature capability for asset lifecycle planning for acquisition, maintenance, renewal and disposal of critical equipment and facilities may lead to aging critical assets, unplanned failures and capex surprises under cash constraints during Physical site loss; Energy/utilities outage; Financial/liquidity crisis.</t>
  </si>
  <si>
    <t>Low maturity, weak ownership, incomplete evidence, insufficient testing and poor integration with crisis-management routines for asset lifecycle planning for acquisition, maintenance, renewal and disposal of critical equipment and facilities.</t>
  </si>
  <si>
    <t>Severe risk: asset lifecycle planning for acquisition, maintenance, renewal and disposal of critical equipment and facilities is not reliably controlled. During Physical site loss; Energy/utilities outage; Financial/liquidity crisis, the organization may face aging critical assets, unplanned failures and capex surprises under cash constraints with limited visibility or accountability.</t>
  </si>
  <si>
    <t>High risk: asset lifecycle planning for acquisition, maintenance, renewal and disposal of critical equipment and facilities depends on informal practices or individual knowledge. Disruption may expose aging critical assets, unplanned failures and capex surprises under cash constraints and slow recovery.</t>
  </si>
  <si>
    <t>Elevated risk: asset lifecycle planning for acquisition, maintenance, renewal and disposal of critical equipment and facilities is partially controlled, but coverage, evidence or testing is inconsistent. Crisis response may be fragmented.</t>
  </si>
  <si>
    <t>Moderate risk: asset lifecycle planning for acquisition, maintenance, renewal and disposal of critical equipment and facilities is documented and owned, but measurement, stress testing and integration with dependent processes need strengthening.</t>
  </si>
  <si>
    <t>Residual risk: asset lifecycle planning for acquisition, maintenance, renewal and disposal of critical equipment and facilities is measured and reviewed, but monitoring, automation or scenario testing should be improved to prevent maturity drift.</t>
  </si>
  <si>
    <t>Low residual risk: asset lifecycle planning for acquisition, maintenance, renewal and disposal of critical equipment and facilities is mature and crisis-tested. Maintain monitoring, evidence, ownership and periodic stress testing.</t>
  </si>
  <si>
    <t>Create an immediate risk owner, minimum control baseline and fallback procedure for asset lifecycle planning for acquisition, maintenance, renewal and disposal of critical equipment and facilities. Add it to the crisis risk register and collect first evidence.</t>
  </si>
  <si>
    <t>Document asset lifecycle planning for acquisition, maintenance, renewal and disposal of critical equipment and facilities, assign RACI, define minimum controls and KPIs, and validate coverage across key sites, teams or systems.</t>
  </si>
  <si>
    <t>Standardize asset lifecycle planning for acquisition, maintenance, renewal and disposal of critical equipment and facilities, close coverage gaps, train accountable roles and connect controls to the relevant crisis scenarios and continuity plans.</t>
  </si>
  <si>
    <t>Measure and test asset lifecycle planning for acquisition, maintenance, renewal and disposal of critical equipment and facilities, run tabletop or operational stress tests, integrate it with dependent processes and update crisis playbooks.</t>
  </si>
  <si>
    <t>Sustain maturity for asset lifecycle planning for acquisition, maintenance, renewal and disposal of critical equipment and facilities: keep evidence current, monitor drift, benchmark externally and refresh risk tests after organizational, system or market changes.</t>
  </si>
  <si>
    <t>Policy/SOP; owner/RACI; system report; dashboard; contracts; test records; incident history; interview evidence related to asset lifecycle planning for acquisition, maintenance, renewal and disposal of critical equipment and facilities</t>
  </si>
  <si>
    <t>Physical Safety!34</t>
  </si>
  <si>
    <t>Immature capability for property and lease portfolio management with obligations, expiry dates, exit options and flexibility may lead to rigid site costs, missed exit windows and contractual exposure when the footprint must change fast during Physical site loss; Financial/liquidity crisis; War/security crisis.</t>
  </si>
  <si>
    <t>Low maturity, weak ownership, incomplete evidence, insufficient testing and poor integration with crisis-management routines for property and lease portfolio management with obligations, expiry dates, exit options and flexibility.</t>
  </si>
  <si>
    <t>Severe risk: property and lease portfolio management with obligations, expiry dates, exit options and flexibility is not reliably controlled. During Physical site loss; Financial/liquidity crisis; War/security crisis, the organization may face rigid site costs, missed exit windows and contractual exposure when the footprint must change fast with limited visibility or accountability.</t>
  </si>
  <si>
    <t>High risk: property and lease portfolio management with obligations, expiry dates, exit options and flexibility depends on informal practices or individual knowledge. Disruption may expose rigid site costs, missed exit windows and contractual exposure when the footprint must change fast and slow recovery.</t>
  </si>
  <si>
    <t>Elevated risk: property and lease portfolio management with obligations, expiry dates, exit options and flexibility is partially controlled, but coverage, evidence or testing is inconsistent. Crisis response may be fragmented.</t>
  </si>
  <si>
    <t>Moderate risk: property and lease portfolio management with obligations, expiry dates, exit options and flexibility is documented and owned, but measurement, stress testing and integration with dependent processes need strengthening.</t>
  </si>
  <si>
    <t>Residual risk: property and lease portfolio management with obligations, expiry dates, exit options and flexibility is measured and reviewed, but monitoring, automation or scenario testing should be improved to prevent maturity drift.</t>
  </si>
  <si>
    <t>Low residual risk: property and lease portfolio management with obligations, expiry dates, exit options and flexibility is mature and crisis-tested. Maintain monitoring, evidence, ownership and periodic stress testing.</t>
  </si>
  <si>
    <t>Create an immediate risk owner, minimum control baseline and fallback procedure for property and lease portfolio management with obligations, expiry dates, exit options and flexibility. Add it to the crisis risk register and collect first evidence.</t>
  </si>
  <si>
    <t>Document property and lease portfolio management with obligations, expiry dates, exit options and flexibility, assign RACI, define minimum controls and KPIs, and validate coverage across key sites, teams or systems.</t>
  </si>
  <si>
    <t>Standardize property and lease portfolio management with obligations, expiry dates, exit options and flexibility, close coverage gaps, train accountable roles and connect controls to the relevant crisis scenarios and continuity plans.</t>
  </si>
  <si>
    <t>Measure and test property and lease portfolio management with obligations, expiry dates, exit options and flexibility, run tabletop or operational stress tests, integrate it with dependent processes and update crisis playbooks.</t>
  </si>
  <si>
    <t>Sustain maturity for property and lease portfolio management with obligations, expiry dates, exit options and flexibility: keep evidence current, monitor drift, benchmark externally and refresh risk tests after organizational, system or market changes.</t>
  </si>
  <si>
    <t>Policy/SOP; owner/RACI; system report; dashboard; contracts; test records; incident history; interview evidence related to property and lease portfolio management with obligations, expiry dates, exit options and flexibility</t>
  </si>
  <si>
    <t>CFO / Facilities</t>
  </si>
  <si>
    <t>Physical Safety!35</t>
  </si>
  <si>
    <t>Immature capability for documented delivery operating model across functions, teams, sites, vendors and customer interfaces may lead to missed commitments, SLA breaches, service interruption and weak customer recovery during Delivery disruption; Customer impact; Workforce disruption.</t>
  </si>
  <si>
    <t>Low maturity, weak ownership, incomplete evidence, insufficient testing and poor integration with crisis-management routines for documented delivery operating model across functions, teams, sites, vendors and customer interfaces.</t>
  </si>
  <si>
    <t>Severe risk: documented delivery operating model across functions, teams, sites, vendors and customer interfaces is not reliably controlled. During Delivery disruption; Customer impact; Workforce disruption, the organization may face missed commitments, SLA breaches, service interruption and weak customer recovery with limited visibility or accountability.</t>
  </si>
  <si>
    <t>High risk: documented delivery operating model across functions, teams, sites, vendors and customer interfaces depends on informal practices or individual knowledge. Disruption may expose missed commitments, SLA breaches, service interruption and weak customer recovery and slow recovery.</t>
  </si>
  <si>
    <t>Elevated risk: documented delivery operating model across functions, teams, sites, vendors and customer interfaces is partially controlled, but coverage, evidence or testing is inconsistent. Crisis response may be fragmented.</t>
  </si>
  <si>
    <t>Moderate risk: documented delivery operating model across functions, teams, sites, vendors and customer interfaces is documented and owned, but measurement, stress testing and integration with dependent processes need strengthening.</t>
  </si>
  <si>
    <t>Residual risk: documented delivery operating model across functions, teams, sites, vendors and customer interfaces is measured and reviewed, but monitoring, automation or scenario testing should be improved to prevent maturity drift.</t>
  </si>
  <si>
    <t>Low residual risk: documented delivery operating model across functions, teams, sites, vendors and customer interfaces is mature and crisis-tested. Maintain monitoring, evidence, ownership and periodic stress testing.</t>
  </si>
  <si>
    <t>Create an immediate risk owner, minimum control baseline and fallback procedure for documented delivery operating model across functions, teams, sites, vendors and customer interfaces. Add it to the crisis risk register and collect first evidence.</t>
  </si>
  <si>
    <t>Document documented delivery operating model across functions, teams, sites, vendors and customer interfaces, assign RACI, define minimum controls and KPIs, and validate coverage across key sites, teams or systems.</t>
  </si>
  <si>
    <t>Standardize documented delivery operating model across functions, teams, sites, vendors and customer interfaces, close coverage gaps, train accountable roles and connect controls to the relevant crisis scenarios and continuity plans.</t>
  </si>
  <si>
    <t>Measure and test documented delivery operating model across functions, teams, sites, vendors and customer interfaces, run tabletop or operational stress tests, integrate it with dependent processes and update crisis playbooks.</t>
  </si>
  <si>
    <t>Sustain maturity for documented delivery operating model across functions, teams, sites, vendors and customer interfaces: keep evidence current, monitor drift, benchmark externally and refresh risk tests after organizational, system or market changes.</t>
  </si>
  <si>
    <t>COO / Delivery</t>
  </si>
  <si>
    <t>Delivery Ops!5</t>
  </si>
  <si>
    <t>Immature capability for critical delivery processes ranked by customer, revenue, safety and contractual impact may lead to missed commitments, SLA breaches, service interruption and weak customer recovery during Delivery disruption; Customer impact; Workforce disruption.</t>
  </si>
  <si>
    <t>Low maturity, weak ownership, incomplete evidence, insufficient testing and poor integration with crisis-management routines for critical delivery processes ranked by customer, revenue, safety and contractual impact.</t>
  </si>
  <si>
    <t>Severe risk: critical delivery processes ranked by customer, revenue, safety and contractual impact is not reliably controlled. During Delivery disruption; Customer impact; Workforce disruption, the organization may face missed commitments, SLA breaches, service interruption and weak customer recovery with limited visibility or accountability.</t>
  </si>
  <si>
    <t>High risk: critical delivery processes ranked by customer, revenue, safety and contractual impact depends on informal practices or individual knowledge. Disruption may expose missed commitments, SLA breaches, service interruption and weak customer recovery and slow recovery.</t>
  </si>
  <si>
    <t>Elevated risk: critical delivery processes ranked by customer, revenue, safety and contractual impact is partially controlled, but coverage, evidence or testing is inconsistent. Crisis response may be fragmented.</t>
  </si>
  <si>
    <t>Moderate risk: critical delivery processes ranked by customer, revenue, safety and contractual impact is documented and owned, but measurement, stress testing and integration with dependent processes need strengthening.</t>
  </si>
  <si>
    <t>Residual risk: critical delivery processes ranked by customer, revenue, safety and contractual impact is measured and reviewed, but monitoring, automation or scenario testing should be improved to prevent maturity drift.</t>
  </si>
  <si>
    <t>Low residual risk: critical delivery processes ranked by customer, revenue, safety and contractual impact is mature and crisis-tested. Maintain monitoring, evidence, ownership and periodic stress testing.</t>
  </si>
  <si>
    <t>Create an immediate risk owner, minimum control baseline and fallback procedure for critical delivery processes ranked by customer, revenue, safety and contractual impact. Add it to the crisis risk register and collect first evidence.</t>
  </si>
  <si>
    <t>Document critical delivery processes ranked by customer, revenue, safety and contractual impact, assign RACI, define minimum controls and KPIs, and validate coverage across key sites, teams or systems.</t>
  </si>
  <si>
    <t>Standardize critical delivery processes ranked by customer, revenue, safety and contractual impact, close coverage gaps, train accountable roles and connect controls to the relevant crisis scenarios and continuity plans.</t>
  </si>
  <si>
    <t>Measure and test critical delivery processes ranked by customer, revenue, safety and contractual impact, run tabletop or operational stress tests, integrate it with dependent processes and update crisis playbooks.</t>
  </si>
  <si>
    <t>Sustain maturity for critical delivery processes ranked by customer, revenue, safety and contractual impact: keep evidence current, monitor drift, benchmark externally and refresh risk tests after organizational, system or market changes.</t>
  </si>
  <si>
    <t>Delivery Ops!6</t>
  </si>
  <si>
    <t>Immature capability for SLA and OLA management with owners, escalation rules and customer communication may lead to missed commitments, SLA breaches, service interruption and weak customer recovery during Delivery disruption; Customer impact; Workforce disruption.</t>
  </si>
  <si>
    <t>Low maturity, weak ownership, incomplete evidence, insufficient testing and poor integration with crisis-management routines for SLA and OLA management with owners, escalation rules and customer communication.</t>
  </si>
  <si>
    <t>Severe risk: SLA and OLA management with owners, escalation rules and customer communication is not reliably controlled. During Delivery disruption; Customer impact; Workforce disruption, the organization may face missed commitments, SLA breaches, service interruption and weak customer recovery with limited visibility or accountability.</t>
  </si>
  <si>
    <t>High risk: SLA and OLA management with owners, escalation rules and customer communication depends on informal practices or individual knowledge. Disruption may expose missed commitments, SLA breaches, service interruption and weak customer recovery and slow recovery.</t>
  </si>
  <si>
    <t>Elevated risk: SLA and OLA management with owners, escalation rules and customer communication is partially controlled, but coverage, evidence or testing is inconsistent. Crisis response may be fragmented.</t>
  </si>
  <si>
    <t>Moderate risk: SLA and OLA management with owners, escalation rules and customer communication is documented and owned, but measurement, stress testing and integration with dependent processes need strengthening.</t>
  </si>
  <si>
    <t>Residual risk: SLA and OLA management with owners, escalation rules and customer communication is measured and reviewed, but monitoring, automation or scenario testing should be improved to prevent maturity drift.</t>
  </si>
  <si>
    <t>Low residual risk: SLA and OLA management with owners, escalation rules and customer communication is mature and crisis-tested. Maintain monitoring, evidence, ownership and periodic stress testing.</t>
  </si>
  <si>
    <t>Create an immediate risk owner, minimum control baseline and fallback procedure for SLA and OLA management with owners, escalation rules and customer communication. Add it to the crisis risk register and collect first evidence.</t>
  </si>
  <si>
    <t>Document SLA and OLA management with owners, escalation rules and customer communication, assign RACI, define minimum controls and KPIs, and validate coverage across key sites, teams or systems.</t>
  </si>
  <si>
    <t>Standardize SLA and OLA management with owners, escalation rules and customer communication, close coverage gaps, train accountable roles and connect controls to the relevant crisis scenarios and continuity plans.</t>
  </si>
  <si>
    <t>Measure and test SLA and OLA management with owners, escalation rules and customer communication, run tabletop or operational stress tests, integrate it with dependent processes and update crisis playbooks.</t>
  </si>
  <si>
    <t>Sustain maturity for SLA and OLA management with owners, escalation rules and customer communication: keep evidence current, monitor drift, benchmark externally and refresh risk tests after organizational, system or market changes.</t>
  </si>
  <si>
    <t>Delivery Ops!7</t>
  </si>
  <si>
    <t>Immature capability for operational incident link to delivery impact, customer communication and corrective action may lead to missed commitments, SLA breaches, service interruption and weak customer recovery during Delivery disruption; Customer impact; Workforce disruption.</t>
  </si>
  <si>
    <t>Low maturity, weak ownership, incomplete evidence, insufficient testing and poor integration with crisis-management routines for operational incident link to delivery impact, customer communication and corrective action.</t>
  </si>
  <si>
    <t>Severe risk: operational incident link to delivery impact, customer communication and corrective action is not reliably controlled. During Delivery disruption; Customer impact; Workforce disruption, the organization may face missed commitments, SLA breaches, service interruption and weak customer recovery with limited visibility or accountability.</t>
  </si>
  <si>
    <t>High risk: operational incident link to delivery impact, customer communication and corrective action depends on informal practices or individual knowledge. Disruption may expose missed commitments, SLA breaches, service interruption and weak customer recovery and slow recovery.</t>
  </si>
  <si>
    <t>Elevated risk: operational incident link to delivery impact, customer communication and corrective action is partially controlled, but coverage, evidence or testing is inconsistent. Crisis response may be fragmented.</t>
  </si>
  <si>
    <t>Moderate risk: operational incident link to delivery impact, customer communication and corrective action is documented and owned, but measurement, stress testing and integration with dependent processes need strengthening.</t>
  </si>
  <si>
    <t>Residual risk: operational incident link to delivery impact, customer communication and corrective action is measured and reviewed, but monitoring, automation or scenario testing should be improved to prevent maturity drift.</t>
  </si>
  <si>
    <t>Low residual risk: operational incident link to delivery impact, customer communication and corrective action is mature and crisis-tested. Maintain monitoring, evidence, ownership and periodic stress testing.</t>
  </si>
  <si>
    <t>Create an immediate risk owner, minimum control baseline and fallback procedure for operational incident link to delivery impact, customer communication and corrective action. Add it to the crisis risk register and collect first evidence.</t>
  </si>
  <si>
    <t>Document operational incident link to delivery impact, customer communication and corrective action, assign RACI, define minimum controls and KPIs, and validate coverage across key sites, teams or systems.</t>
  </si>
  <si>
    <t>Standardize operational incident link to delivery impact, customer communication and corrective action, close coverage gaps, train accountable roles and connect controls to the relevant crisis scenarios and continuity plans.</t>
  </si>
  <si>
    <t>Measure and test operational incident link to delivery impact, customer communication and corrective action, run tabletop or operational stress tests, integrate it with dependent processes and update crisis playbooks.</t>
  </si>
  <si>
    <t>Sustain maturity for operational incident link to delivery impact, customer communication and corrective action: keep evidence current, monitor drift, benchmark externally and refresh risk tests after organizational, system or market changes.</t>
  </si>
  <si>
    <t>Delivery Ops!8</t>
  </si>
  <si>
    <t>Immature capability for customer prioritization rules during capacity constraints may lead to missed commitments, SLA breaches, service interruption and weak customer recovery during Delivery disruption; Customer impact; Workforce disruption.</t>
  </si>
  <si>
    <t>Low maturity, weak ownership, incomplete evidence, insufficient testing and poor integration with crisis-management routines for customer prioritization rules during capacity constraints.</t>
  </si>
  <si>
    <t>Severe risk: customer prioritization rules during capacity constraints is not reliably controlled. During Delivery disruption; Customer impact; Workforce disruption, the organization may face missed commitments, SLA breaches, service interruption and weak customer recovery with limited visibility or accountability.</t>
  </si>
  <si>
    <t>High risk: customer prioritization rules during capacity constraints depends on informal practices or individual knowledge. Disruption may expose missed commitments, SLA breaches, service interruption and weak customer recovery and slow recovery.</t>
  </si>
  <si>
    <t>Elevated risk: customer prioritization rules during capacity constraints is partially controlled, but coverage, evidence or testing is inconsistent. Crisis response may be fragmented.</t>
  </si>
  <si>
    <t>Moderate risk: customer prioritization rules during capacity constraints is documented and owned, but measurement, stress testing and integration with dependent processes need strengthening.</t>
  </si>
  <si>
    <t>Residual risk: customer prioritization rules during capacity constraints is measured and reviewed, but monitoring, automation or scenario testing should be improved to prevent maturity drift.</t>
  </si>
  <si>
    <t>Low residual risk: customer prioritization rules during capacity constraints is mature and crisis-tested. Maintain monitoring, evidence, ownership and periodic stress testing.</t>
  </si>
  <si>
    <t>Create an immediate risk owner, minimum control baseline and fallback procedure for customer prioritization rules during capacity constraints. Add it to the crisis risk register and collect first evidence.</t>
  </si>
  <si>
    <t>Document customer prioritization rules during capacity constraints, assign RACI, define minimum controls and KPIs, and validate coverage across key sites, teams or systems.</t>
  </si>
  <si>
    <t>Standardize customer prioritization rules during capacity constraints, close coverage gaps, train accountable roles and connect controls to the relevant crisis scenarios and continuity plans.</t>
  </si>
  <si>
    <t>Measure and test customer prioritization rules during capacity constraints, run tabletop or operational stress tests, integrate it with dependent processes and update crisis playbooks.</t>
  </si>
  <si>
    <t>Sustain maturity for customer prioritization rules during capacity constraints: keep evidence current, monitor drift, benchmark externally and refresh risk tests after organizational, system or market changes.</t>
  </si>
  <si>
    <t>Delivery Ops!9</t>
  </si>
  <si>
    <t>Immature capability for delivery transparency to customers during delays, incidents or disruption may lead to missed commitments, SLA breaches, service interruption and weak customer recovery during Delivery disruption; Customer impact; Workforce disruption.</t>
  </si>
  <si>
    <t>Low maturity, weak ownership, incomplete evidence, insufficient testing and poor integration with crisis-management routines for delivery transparency to customers during delays, incidents or disruption.</t>
  </si>
  <si>
    <t>Severe risk: delivery transparency to customers during delays, incidents or disruption is not reliably controlled. During Delivery disruption; Customer impact; Workforce disruption, the organization may face missed commitments, SLA breaches, service interruption and weak customer recovery with limited visibility or accountability.</t>
  </si>
  <si>
    <t>High risk: delivery transparency to customers during delays, incidents or disruption depends on informal practices or individual knowledge. Disruption may expose missed commitments, SLA breaches, service interruption and weak customer recovery and slow recovery.</t>
  </si>
  <si>
    <t>Elevated risk: delivery transparency to customers during delays, incidents or disruption is partially controlled, but coverage, evidence or testing is inconsistent. Crisis response may be fragmented.</t>
  </si>
  <si>
    <t>Moderate risk: delivery transparency to customers during delays, incidents or disruption is documented and owned, but measurement, stress testing and integration with dependent processes need strengthening.</t>
  </si>
  <si>
    <t>Residual risk: delivery transparency to customers during delays, incidents or disruption is measured and reviewed, but monitoring, automation or scenario testing should be improved to prevent maturity drift.</t>
  </si>
  <si>
    <t>Low residual risk: delivery transparency to customers during delays, incidents or disruption is mature and crisis-tested. Maintain monitoring, evidence, ownership and periodic stress testing.</t>
  </si>
  <si>
    <t>Create an immediate risk owner, minimum control baseline and fallback procedure for delivery transparency to customers during delays, incidents or disruption. Add it to the crisis risk register and collect first evidence.</t>
  </si>
  <si>
    <t>Document delivery transparency to customers during delays, incidents or disruption, assign RACI, define minimum controls and KPIs, and validate coverage across key sites, teams or systems.</t>
  </si>
  <si>
    <t>Standardize delivery transparency to customers during delays, incidents or disruption, close coverage gaps, train accountable roles and connect controls to the relevant crisis scenarios and continuity plans.</t>
  </si>
  <si>
    <t>Measure and test delivery transparency to customers during delays, incidents or disruption, run tabletop or operational stress tests, integrate it with dependent processes and update crisis playbooks.</t>
  </si>
  <si>
    <t>Sustain maturity for delivery transparency to customers during delays, incidents or disruption: keep evidence current, monitor drift, benchmark externally and refresh risk tests after organizational, system or market changes.</t>
  </si>
  <si>
    <t>Delivery Ops!10</t>
  </si>
  <si>
    <t>Immature capability for capacity planning for people, equipment, production lines, cloud resources, warehouses and suppliers may lead to missed commitments, SLA breaches, service interruption and weak customer recovery during Delivery disruption; Customer impact; Workforce disruption.</t>
  </si>
  <si>
    <t>Low maturity, weak ownership, incomplete evidence, insufficient testing and poor integration with crisis-management routines for capacity planning for people, equipment, production lines, cloud resources, warehouses and suppliers.</t>
  </si>
  <si>
    <t>Severe risk: capacity planning for people, equipment, production lines, cloud resources, warehouses and suppliers is not reliably controlled. During Delivery disruption; Customer impact; Workforce disruption, the organization may face missed commitments, SLA breaches, service interruption and weak customer recovery with limited visibility or accountability.</t>
  </si>
  <si>
    <t>High risk: capacity planning for people, equipment, production lines, cloud resources, warehouses and suppliers depends on informal practices or individual knowledge. Disruption may expose missed commitments, SLA breaches, service interruption and weak customer recovery and slow recovery.</t>
  </si>
  <si>
    <t>Elevated risk: capacity planning for people, equipment, production lines, cloud resources, warehouses and suppliers is partially controlled, but coverage, evidence or testing is inconsistent. Crisis response may be fragmented.</t>
  </si>
  <si>
    <t>Moderate risk: capacity planning for people, equipment, production lines, cloud resources, warehouses and suppliers is documented and owned, but measurement, stress testing and integration with dependent processes need strengthening.</t>
  </si>
  <si>
    <t>Residual risk: capacity planning for people, equipment, production lines, cloud resources, warehouses and suppliers is measured and reviewed, but monitoring, automation or scenario testing should be improved to prevent maturity drift.</t>
  </si>
  <si>
    <t>Low residual risk: capacity planning for people, equipment, production lines, cloud resources, warehouses and suppliers is mature and crisis-tested. Maintain monitoring, evidence, ownership and periodic stress testing.</t>
  </si>
  <si>
    <t>Create an immediate risk owner, minimum control baseline and fallback procedure for capacity planning for people, equipment, production lines, cloud resources, warehouses and suppliers. Add it to the crisis risk register and collect first evidence.</t>
  </si>
  <si>
    <t>Document capacity planning for people, equipment, production lines, cloud resources, warehouses and suppliers, assign RACI, define minimum controls and KPIs, and validate coverage across key sites, teams or systems.</t>
  </si>
  <si>
    <t>Standardize capacity planning for people, equipment, production lines, cloud resources, warehouses and suppliers, close coverage gaps, train accountable roles and connect controls to the relevant crisis scenarios and continuity plans.</t>
  </si>
  <si>
    <t>Measure and test capacity planning for people, equipment, production lines, cloud resources, warehouses and suppliers, run tabletop or operational stress tests, integrate it with dependent processes and update crisis playbooks.</t>
  </si>
  <si>
    <t>Sustain maturity for capacity planning for people, equipment, production lines, cloud resources, warehouses and suppliers: keep evidence current, monitor drift, benchmark externally and refresh risk tests after organizational, system or market changes.</t>
  </si>
  <si>
    <t>Delivery Ops!11</t>
  </si>
  <si>
    <t>Immature capability for surge capacity for demand spikes, backlog recovery and emergency orders may lead to missed commitments, SLA breaches, service interruption and weak customer recovery during Delivery disruption; Customer impact; Workforce disruption.</t>
  </si>
  <si>
    <t>Low maturity, weak ownership, incomplete evidence, insufficient testing and poor integration with crisis-management routines for surge capacity for demand spikes, backlog recovery and emergency orders.</t>
  </si>
  <si>
    <t>Severe risk: surge capacity for demand spikes, backlog recovery and emergency orders is not reliably controlled. During Delivery disruption; Customer impact; Workforce disruption, the organization may face missed commitments, SLA breaches, service interruption and weak customer recovery with limited visibility or accountability.</t>
  </si>
  <si>
    <t>High risk: surge capacity for demand spikes, backlog recovery and emergency orders depends on informal practices or individual knowledge. Disruption may expose missed commitments, SLA breaches, service interruption and weak customer recovery and slow recovery.</t>
  </si>
  <si>
    <t>Elevated risk: surge capacity for demand spikes, backlog recovery and emergency orders is partially controlled, but coverage, evidence or testing is inconsistent. Crisis response may be fragmented.</t>
  </si>
  <si>
    <t>Moderate risk: surge capacity for demand spikes, backlog recovery and emergency orders is documented and owned, but measurement, stress testing and integration with dependent processes need strengthening.</t>
  </si>
  <si>
    <t>Residual risk: surge capacity for demand spikes, backlog recovery and emergency orders is measured and reviewed, but monitoring, automation or scenario testing should be improved to prevent maturity drift.</t>
  </si>
  <si>
    <t>Low residual risk: surge capacity for demand spikes, backlog recovery and emergency orders is mature and crisis-tested. Maintain monitoring, evidence, ownership and periodic stress testing.</t>
  </si>
  <si>
    <t>Create an immediate risk owner, minimum control baseline and fallback procedure for surge capacity for demand spikes, backlog recovery and emergency orders. Add it to the crisis risk register and collect first evidence.</t>
  </si>
  <si>
    <t>Document surge capacity for demand spikes, backlog recovery and emergency orders, assign RACI, define minimum controls and KPIs, and validate coverage across key sites, teams or systems.</t>
  </si>
  <si>
    <t>Standardize surge capacity for demand spikes, backlog recovery and emergency orders, close coverage gaps, train accountable roles and connect controls to the relevant crisis scenarios and continuity plans.</t>
  </si>
  <si>
    <t>Measure and test surge capacity for demand spikes, backlog recovery and emergency orders, run tabletop or operational stress tests, integrate it with dependent processes and update crisis playbooks.</t>
  </si>
  <si>
    <t>Sustain maturity for surge capacity for demand spikes, backlog recovery and emergency orders: keep evidence current, monitor drift, benchmark externally and refresh risk tests after organizational, system or market changes.</t>
  </si>
  <si>
    <t>Delivery Ops!12</t>
  </si>
  <si>
    <t>Immature capability for minimum viable operating model for severe constraints may lead to missed commitments, SLA breaches, service interruption and weak customer recovery during Delivery disruption; Customer impact; Workforce disruption.</t>
  </si>
  <si>
    <t>Low maturity, weak ownership, incomplete evidence, insufficient testing and poor integration with crisis-management routines for minimum viable operating model for severe constraints.</t>
  </si>
  <si>
    <t>Severe risk: minimum viable operating model for severe constraints is not reliably controlled. During Delivery disruption; Customer impact; Workforce disruption, the organization may face missed commitments, SLA breaches, service interruption and weak customer recovery with limited visibility or accountability.</t>
  </si>
  <si>
    <t>High risk: minimum viable operating model for severe constraints depends on informal practices or individual knowledge. Disruption may expose missed commitments, SLA breaches, service interruption and weak customer recovery and slow recovery.</t>
  </si>
  <si>
    <t>Elevated risk: minimum viable operating model for severe constraints is partially controlled, but coverage, evidence or testing is inconsistent. Crisis response may be fragmented.</t>
  </si>
  <si>
    <t>Moderate risk: minimum viable operating model for severe constraints is documented and owned, but measurement, stress testing and integration with dependent processes need strengthening.</t>
  </si>
  <si>
    <t>Residual risk: minimum viable operating model for severe constraints is measured and reviewed, but monitoring, automation or scenario testing should be improved to prevent maturity drift.</t>
  </si>
  <si>
    <t>Low residual risk: minimum viable operating model for severe constraints is mature and crisis-tested. Maintain monitoring, evidence, ownership and periodic stress testing.</t>
  </si>
  <si>
    <t>Create an immediate risk owner, minimum control baseline and fallback procedure for minimum viable operating model for severe constraints. Add it to the crisis risk register and collect first evidence.</t>
  </si>
  <si>
    <t>Document minimum viable operating model for severe constraints, assign RACI, define minimum controls and KPIs, and validate coverage across key sites, teams or systems.</t>
  </si>
  <si>
    <t>Standardize minimum viable operating model for severe constraints, close coverage gaps, train accountable roles and connect controls to the relevant crisis scenarios and continuity plans.</t>
  </si>
  <si>
    <t>Measure and test minimum viable operating model for severe constraints, run tabletop or operational stress tests, integrate it with dependent processes and update crisis playbooks.</t>
  </si>
  <si>
    <t>Sustain maturity for minimum viable operating model for severe constraints: keep evidence current, monitor drift, benchmark externally and refresh risk tests after organizational, system or market changes.</t>
  </si>
  <si>
    <t>Delivery Ops!13</t>
  </si>
  <si>
    <t>Immature capability for cross-site or cross-team work transfer if one location or team fails may lead to missed commitments, SLA breaches, service interruption and weak customer recovery during Delivery disruption; Customer impact; Workforce disruption.</t>
  </si>
  <si>
    <t>Low maturity, weak ownership, incomplete evidence, insufficient testing and poor integration with crisis-management routines for cross-site or cross-team work transfer if one location or team fails.</t>
  </si>
  <si>
    <t>Severe risk: cross-site or cross-team work transfer if one location or team fails is not reliably controlled. During Delivery disruption; Customer impact; Workforce disruption, the organization may face missed commitments, SLA breaches, service interruption and weak customer recovery with limited visibility or accountability.</t>
  </si>
  <si>
    <t>High risk: cross-site or cross-team work transfer if one location or team fails depends on informal practices or individual knowledge. Disruption may expose missed commitments, SLA breaches, service interruption and weak customer recovery and slow recovery.</t>
  </si>
  <si>
    <t>Elevated risk: cross-site or cross-team work transfer if one location or team fails is partially controlled, but coverage, evidence or testing is inconsistent. Crisis response may be fragmented.</t>
  </si>
  <si>
    <t>Moderate risk: cross-site or cross-team work transfer if one location or team fails is documented and owned, but measurement, stress testing and integration with dependent processes need strengthening.</t>
  </si>
  <si>
    <t>Residual risk: cross-site or cross-team work transfer if one location or team fails is measured and reviewed, but monitoring, automation or scenario testing should be improved to prevent maturity drift.</t>
  </si>
  <si>
    <t>Low residual risk: cross-site or cross-team work transfer if one location or team fails is mature and crisis-tested. Maintain monitoring, evidence, ownership and periodic stress testing.</t>
  </si>
  <si>
    <t>Create an immediate risk owner, minimum control baseline and fallback procedure for cross-site or cross-team work transfer if one location or team fails. Add it to the crisis risk register and collect first evidence.</t>
  </si>
  <si>
    <t>Document cross-site or cross-team work transfer if one location or team fails, assign RACI, define minimum controls and KPIs, and validate coverage across key sites, teams or systems.</t>
  </si>
  <si>
    <t>Standardize cross-site or cross-team work transfer if one location or team fails, close coverage gaps, train accountable roles and connect controls to the relevant crisis scenarios and continuity plans.</t>
  </si>
  <si>
    <t>Measure and test cross-site or cross-team work transfer if one location or team fails, run tabletop or operational stress tests, integrate it with dependent processes and update crisis playbooks.</t>
  </si>
  <si>
    <t>Sustain maturity for cross-site or cross-team work transfer if one location or team fails: keep evidence current, monitor drift, benchmark externally and refresh risk tests after organizational, system or market changes.</t>
  </si>
  <si>
    <t>Delivery Ops!14</t>
  </si>
  <si>
    <t>Immature capability for recovery sequencing for processes, systems, teams, sites and customers may lead to missed commitments, SLA breaches, service interruption and weak customer recovery during Delivery disruption; Customer impact; Workforce disruption.</t>
  </si>
  <si>
    <t>Low maturity, weak ownership, incomplete evidence, insufficient testing and poor integration with crisis-management routines for recovery sequencing for processes, systems, teams, sites and customers.</t>
  </si>
  <si>
    <t>Severe risk: recovery sequencing for processes, systems, teams, sites and customers is not reliably controlled. During Delivery disruption; Customer impact; Workforce disruption, the organization may face missed commitments, SLA breaches, service interruption and weak customer recovery with limited visibility or accountability.</t>
  </si>
  <si>
    <t>High risk: recovery sequencing for processes, systems, teams, sites and customers depends on informal practices or individual knowledge. Disruption may expose missed commitments, SLA breaches, service interruption and weak customer recovery and slow recovery.</t>
  </si>
  <si>
    <t>Elevated risk: recovery sequencing for processes, systems, teams, sites and customers is partially controlled, but coverage, evidence or testing is inconsistent. Crisis response may be fragmented.</t>
  </si>
  <si>
    <t>Moderate risk: recovery sequencing for processes, systems, teams, sites and customers is documented and owned, but measurement, stress testing and integration with dependent processes need strengthening.</t>
  </si>
  <si>
    <t>Residual risk: recovery sequencing for processes, systems, teams, sites and customers is measured and reviewed, but monitoring, automation or scenario testing should be improved to prevent maturity drift.</t>
  </si>
  <si>
    <t>Low residual risk: recovery sequencing for processes, systems, teams, sites and customers is mature and crisis-tested. Maintain monitoring, evidence, ownership and periodic stress testing.</t>
  </si>
  <si>
    <t>Create an immediate risk owner, minimum control baseline and fallback procedure for recovery sequencing for processes, systems, teams, sites and customers. Add it to the crisis risk register and collect first evidence.</t>
  </si>
  <si>
    <t>Document recovery sequencing for processes, systems, teams, sites and customers, assign RACI, define minimum controls and KPIs, and validate coverage across key sites, teams or systems.</t>
  </si>
  <si>
    <t>Standardize recovery sequencing for processes, systems, teams, sites and customers, close coverage gaps, train accountable roles and connect controls to the relevant crisis scenarios and continuity plans.</t>
  </si>
  <si>
    <t>Measure and test recovery sequencing for processes, systems, teams, sites and customers, run tabletop or operational stress tests, integrate it with dependent processes and update crisis playbooks.</t>
  </si>
  <si>
    <t>Sustain maturity for recovery sequencing for processes, systems, teams, sites and customers: keep evidence current, monitor drift, benchmark externally and refresh risk tests after organizational, system or market changes.</t>
  </si>
  <si>
    <t>Delivery Ops!15</t>
  </si>
  <si>
    <t>Immature capability for delivery tabletop exercises with absent people, unavailable systems or supplier failure may lead to missed commitments, SLA breaches, service interruption and weak customer recovery during Delivery disruption; Customer impact; Workforce disruption.</t>
  </si>
  <si>
    <t>Low maturity, weak ownership, incomplete evidence, insufficient testing and poor integration with crisis-management routines for delivery tabletop exercises with absent people, unavailable systems or supplier failure.</t>
  </si>
  <si>
    <t>Severe risk: delivery tabletop exercises with absent people, unavailable systems or supplier failure is not reliably controlled. During Delivery disruption; Customer impact; Workforce disruption, the organization may face missed commitments, SLA breaches, service interruption and weak customer recovery with limited visibility or accountability.</t>
  </si>
  <si>
    <t>High risk: delivery tabletop exercises with absent people, unavailable systems or supplier failure depends on informal practices or individual knowledge. Disruption may expose missed commitments, SLA breaches, service interruption and weak customer recovery and slow recovery.</t>
  </si>
  <si>
    <t>Elevated risk: delivery tabletop exercises with absent people, unavailable systems or supplier failure is partially controlled, but coverage, evidence or testing is inconsistent. Crisis response may be fragmented.</t>
  </si>
  <si>
    <t>Moderate risk: delivery tabletop exercises with absent people, unavailable systems or supplier failure is documented and owned, but measurement, stress testing and integration with dependent processes need strengthening.</t>
  </si>
  <si>
    <t>Residual risk: delivery tabletop exercises with absent people, unavailable systems or supplier failure is measured and reviewed, but monitoring, automation or scenario testing should be improved to prevent maturity drift.</t>
  </si>
  <si>
    <t>Low residual risk: delivery tabletop exercises with absent people, unavailable systems or supplier failure is mature and crisis-tested. Maintain monitoring, evidence, ownership and periodic stress testing.</t>
  </si>
  <si>
    <t>Create an immediate risk owner, minimum control baseline and fallback procedure for delivery tabletop exercises with absent people, unavailable systems or supplier failure. Add it to the crisis risk register and collect first evidence.</t>
  </si>
  <si>
    <t>Document delivery tabletop exercises with absent people, unavailable systems or supplier failure, assign RACI, define minimum controls and KPIs, and validate coverage across key sites, teams or systems.</t>
  </si>
  <si>
    <t>Standardize delivery tabletop exercises with absent people, unavailable systems or supplier failure, close coverage gaps, train accountable roles and connect controls to the relevant crisis scenarios and continuity plans.</t>
  </si>
  <si>
    <t>Measure and test delivery tabletop exercises with absent people, unavailable systems or supplier failure, run tabletop or operational stress tests, integrate it with dependent processes and update crisis playbooks.</t>
  </si>
  <si>
    <t>Sustain maturity for delivery tabletop exercises with absent people, unavailable systems or supplier failure: keep evidence current, monitor drift, benchmark externally and refresh risk tests after organizational, system or market changes.</t>
  </si>
  <si>
    <t>Delivery Ops!16</t>
  </si>
  <si>
    <t>Immature capability for SOP documentation for critical delivery activities may lead to missed commitments, SLA breaches, service interruption and weak customer recovery during Delivery disruption; Customer impact; Workforce disruption.</t>
  </si>
  <si>
    <t>Low maturity, weak ownership, incomplete evidence, insufficient testing and poor integration with crisis-management routines for SOP documentation for critical delivery activities.</t>
  </si>
  <si>
    <t>Severe risk: SOP documentation for critical delivery activities is not reliably controlled. During Delivery disruption; Customer impact; Workforce disruption, the organization may face missed commitments, SLA breaches, service interruption and weak customer recovery with limited visibility or accountability.</t>
  </si>
  <si>
    <t>High risk: SOP documentation for critical delivery activities depends on informal practices or individual knowledge. Disruption may expose missed commitments, SLA breaches, service interruption and weak customer recovery and slow recovery.</t>
  </si>
  <si>
    <t>Elevated risk: SOP documentation for critical delivery activities is partially controlled, but coverage, evidence or testing is inconsistent. Crisis response may be fragmented.</t>
  </si>
  <si>
    <t>Moderate risk: SOP documentation for critical delivery activities is documented and owned, but measurement, stress testing and integration with dependent processes need strengthening.</t>
  </si>
  <si>
    <t>Residual risk: SOP documentation for critical delivery activities is measured and reviewed, but monitoring, automation or scenario testing should be improved to prevent maturity drift.</t>
  </si>
  <si>
    <t>Low residual risk: SOP documentation for critical delivery activities is mature and crisis-tested. Maintain monitoring, evidence, ownership and periodic stress testing.</t>
  </si>
  <si>
    <t>Create an immediate risk owner, minimum control baseline and fallback procedure for SOP documentation for critical delivery activities. Add it to the crisis risk register and collect first evidence.</t>
  </si>
  <si>
    <t>Document SOP documentation for critical delivery activities, assign RACI, define minimum controls and KPIs, and validate coverage across key sites, teams or systems.</t>
  </si>
  <si>
    <t>Standardize SOP documentation for critical delivery activities, close coverage gaps, train accountable roles and connect controls to the relevant crisis scenarios and continuity plans.</t>
  </si>
  <si>
    <t>Measure and test SOP documentation for critical delivery activities, run tabletop or operational stress tests, integrate it with dependent processes and update crisis playbooks.</t>
  </si>
  <si>
    <t>Sustain maturity for SOP documentation for critical delivery activities: keep evidence current, monitor drift, benchmark externally and refresh risk tests after organizational, system or market changes.</t>
  </si>
  <si>
    <t>Delivery Ops!17</t>
  </si>
  <si>
    <t>Immature capability for handover procedures between shifts, teams, vendors and customers may lead to missed commitments, SLA breaches, service interruption and weak customer recovery during Delivery disruption; Customer impact; Workforce disruption.</t>
  </si>
  <si>
    <t>Low maturity, weak ownership, incomplete evidence, insufficient testing and poor integration with crisis-management routines for handover procedures between shifts, teams, vendors and customers.</t>
  </si>
  <si>
    <t>Severe risk: handover procedures between shifts, teams, vendors and customers is not reliably controlled. During Delivery disruption; Customer impact; Workforce disruption, the organization may face missed commitments, SLA breaches, service interruption and weak customer recovery with limited visibility or accountability.</t>
  </si>
  <si>
    <t>High risk: handover procedures between shifts, teams, vendors and customers depends on informal practices or individual knowledge. Disruption may expose missed commitments, SLA breaches, service interruption and weak customer recovery and slow recovery.</t>
  </si>
  <si>
    <t>Elevated risk: handover procedures between shifts, teams, vendors and customers is partially controlled, but coverage, evidence or testing is inconsistent. Crisis response may be fragmented.</t>
  </si>
  <si>
    <t>Moderate risk: handover procedures between shifts, teams, vendors and customers is documented and owned, but measurement, stress testing and integration with dependent processes need strengthening.</t>
  </si>
  <si>
    <t>Residual risk: handover procedures between shifts, teams, vendors and customers is measured and reviewed, but monitoring, automation or scenario testing should be improved to prevent maturity drift.</t>
  </si>
  <si>
    <t>Low residual risk: handover procedures between shifts, teams, vendors and customers is mature and crisis-tested. Maintain monitoring, evidence, ownership and periodic stress testing.</t>
  </si>
  <si>
    <t>Create an immediate risk owner, minimum control baseline and fallback procedure for handover procedures between shifts, teams, vendors and customers. Add it to the crisis risk register and collect first evidence.</t>
  </si>
  <si>
    <t>Document handover procedures between shifts, teams, vendors and customers, assign RACI, define minimum controls and KPIs, and validate coverage across key sites, teams or systems.</t>
  </si>
  <si>
    <t>Standardize handover procedures between shifts, teams, vendors and customers, close coverage gaps, train accountable roles and connect controls to the relevant crisis scenarios and continuity plans.</t>
  </si>
  <si>
    <t>Measure and test handover procedures between shifts, teams, vendors and customers, run tabletop or operational stress tests, integrate it with dependent processes and update crisis playbooks.</t>
  </si>
  <si>
    <t>Sustain maturity for handover procedures between shifts, teams, vendors and customers: keep evidence current, monitor drift, benchmark externally and refresh risk tests after organizational, system or market changes.</t>
  </si>
  <si>
    <t>Delivery Ops!18</t>
  </si>
  <si>
    <t>Immature capability for quality gates across delivery, production, release or service lifecycle may lead to missed commitments, SLA breaches, service interruption and weak customer recovery during Delivery disruption; Customer impact; Workforce disruption.</t>
  </si>
  <si>
    <t>Low maturity, weak ownership, incomplete evidence, insufficient testing and poor integration with crisis-management routines for quality gates across delivery, production, release or service lifecycle.</t>
  </si>
  <si>
    <t>Severe risk: quality gates across delivery, production, release or service lifecycle is not reliably controlled. During Delivery disruption; Customer impact; Workforce disruption, the organization may face missed commitments, SLA breaches, service interruption and weak customer recovery with limited visibility or accountability.</t>
  </si>
  <si>
    <t>High risk: quality gates across delivery, production, release or service lifecycle depends on informal practices or individual knowledge. Disruption may expose missed commitments, SLA breaches, service interruption and weak customer recovery and slow recovery.</t>
  </si>
  <si>
    <t>Elevated risk: quality gates across delivery, production, release or service lifecycle is partially controlled, but coverage, evidence or testing is inconsistent. Crisis response may be fragmented.</t>
  </si>
  <si>
    <t>Moderate risk: quality gates across delivery, production, release or service lifecycle is documented and owned, but measurement, stress testing and integration with dependent processes need strengthening.</t>
  </si>
  <si>
    <t>Residual risk: quality gates across delivery, production, release or service lifecycle is measured and reviewed, but monitoring, automation or scenario testing should be improved to prevent maturity drift.</t>
  </si>
  <si>
    <t>Low residual risk: quality gates across delivery, production, release or service lifecycle is mature and crisis-tested. Maintain monitoring, evidence, ownership and periodic stress testing.</t>
  </si>
  <si>
    <t>Create an immediate risk owner, minimum control baseline and fallback procedure for quality gates across delivery, production, release or service lifecycle. Add it to the crisis risk register and collect first evidence.</t>
  </si>
  <si>
    <t>Document quality gates across delivery, production, release or service lifecycle, assign RACI, define minimum controls and KPIs, and validate coverage across key sites, teams or systems.</t>
  </si>
  <si>
    <t>Standardize quality gates across delivery, production, release or service lifecycle, close coverage gaps, train accountable roles and connect controls to the relevant crisis scenarios and continuity plans.</t>
  </si>
  <si>
    <t>Measure and test quality gates across delivery, production, release or service lifecycle, run tabletop or operational stress tests, integrate it with dependent processes and update crisis playbooks.</t>
  </si>
  <si>
    <t>Sustain maturity for quality gates across delivery, production, release or service lifecycle: keep evidence current, monitor drift, benchmark externally and refresh risk tests after organizational, system or market changes.</t>
  </si>
  <si>
    <t>Delivery Ops!19</t>
  </si>
  <si>
    <t>Immature capability for change control with risk, customer impact, rollback and communication may lead to missed commitments, SLA breaches, service interruption and weak customer recovery during Delivery disruption; Customer impact; Workforce disruption.</t>
  </si>
  <si>
    <t>Low maturity, weak ownership, incomplete evidence, insufficient testing and poor integration with crisis-management routines for change control with risk, customer impact, rollback and communication.</t>
  </si>
  <si>
    <t>Severe risk: change control with risk, customer impact, rollback and communication is not reliably controlled. During Delivery disruption; Customer impact; Workforce disruption, the organization may face missed commitments, SLA breaches, service interruption and weak customer recovery with limited visibility or accountability.</t>
  </si>
  <si>
    <t>High risk: change control with risk, customer impact, rollback and communication depends on informal practices or individual knowledge. Disruption may expose missed commitments, SLA breaches, service interruption and weak customer recovery and slow recovery.</t>
  </si>
  <si>
    <t>Elevated risk: change control with risk, customer impact, rollback and communication is partially controlled, but coverage, evidence or testing is inconsistent. Crisis response may be fragmented.</t>
  </si>
  <si>
    <t>Moderate risk: change control with risk, customer impact, rollback and communication is documented and owned, but measurement, stress testing and integration with dependent processes need strengthening.</t>
  </si>
  <si>
    <t>Residual risk: change control with risk, customer impact, rollback and communication is measured and reviewed, but monitoring, automation or scenario testing should be improved to prevent maturity drift.</t>
  </si>
  <si>
    <t>Low residual risk: change control with risk, customer impact, rollback and communication is mature and crisis-tested. Maintain monitoring, evidence, ownership and periodic stress testing.</t>
  </si>
  <si>
    <t>Create an immediate risk owner, minimum control baseline and fallback procedure for change control with risk, customer impact, rollback and communication. Add it to the crisis risk register and collect first evidence.</t>
  </si>
  <si>
    <t>Document change control with risk, customer impact, rollback and communication, assign RACI, define minimum controls and KPIs, and validate coverage across key sites, teams or systems.</t>
  </si>
  <si>
    <t>Standardize change control with risk, customer impact, rollback and communication, close coverage gaps, train accountable roles and connect controls to the relevant crisis scenarios and continuity plans.</t>
  </si>
  <si>
    <t>Measure and test change control with risk, customer impact, rollback and communication, run tabletop or operational stress tests, integrate it with dependent processes and update crisis playbooks.</t>
  </si>
  <si>
    <t>Sustain maturity for change control with risk, customer impact, rollback and communication: keep evidence current, monitor drift, benchmark externally and refresh risk tests after organizational, system or market changes.</t>
  </si>
  <si>
    <t>Delivery Ops!20</t>
  </si>
  <si>
    <t>Immature capability for manual workarounds if delivery systems are unavailable may lead to missed commitments, SLA breaches, service interruption and weak customer recovery during Delivery disruption; Customer impact; Workforce disruption.</t>
  </si>
  <si>
    <t>Low maturity, weak ownership, incomplete evidence, insufficient testing and poor integration with crisis-management routines for manual workarounds if delivery systems are unavailable.</t>
  </si>
  <si>
    <t>Severe risk: manual workarounds if delivery systems are unavailable is not reliably controlled. During Delivery disruption; Customer impact; Workforce disruption, the organization may face missed commitments, SLA breaches, service interruption and weak customer recovery with limited visibility or accountability.</t>
  </si>
  <si>
    <t>High risk: manual workarounds if delivery systems are unavailable depends on informal practices or individual knowledge. Disruption may expose missed commitments, SLA breaches, service interruption and weak customer recovery and slow recovery.</t>
  </si>
  <si>
    <t>Elevated risk: manual workarounds if delivery systems are unavailable is partially controlled, but coverage, evidence or testing is inconsistent. Crisis response may be fragmented.</t>
  </si>
  <si>
    <t>Moderate risk: manual workarounds if delivery systems are unavailable is documented and owned, but measurement, stress testing and integration with dependent processes need strengthening.</t>
  </si>
  <si>
    <t>Residual risk: manual workarounds if delivery systems are unavailable is measured and reviewed, but monitoring, automation or scenario testing should be improved to prevent maturity drift.</t>
  </si>
  <si>
    <t>Low residual risk: manual workarounds if delivery systems are unavailable is mature and crisis-tested. Maintain monitoring, evidence, ownership and periodic stress testing.</t>
  </si>
  <si>
    <t>Create an immediate risk owner, minimum control baseline and fallback procedure for manual workarounds if delivery systems are unavailable. Add it to the crisis risk register and collect first evidence.</t>
  </si>
  <si>
    <t>Document manual workarounds if delivery systems are unavailable, assign RACI, define minimum controls and KPIs, and validate coverage across key sites, teams or systems.</t>
  </si>
  <si>
    <t>Standardize manual workarounds if delivery systems are unavailable, close coverage gaps, train accountable roles and connect controls to the relevant crisis scenarios and continuity plans.</t>
  </si>
  <si>
    <t>Measure and test manual workarounds if delivery systems are unavailable, run tabletop or operational stress tests, integrate it with dependent processes and update crisis playbooks.</t>
  </si>
  <si>
    <t>Sustain maturity for manual workarounds if delivery systems are unavailable: keep evidence current, monitor drift, benchmark externally and refresh risk tests after organizational, system or market changes.</t>
  </si>
  <si>
    <t>Delivery Ops!21</t>
  </si>
  <si>
    <t>Immature capability for root cause analysis for recurring delivery failures may lead to missed commitments, SLA breaches, service interruption and weak customer recovery during Delivery disruption; Customer impact; Workforce disruption.</t>
  </si>
  <si>
    <t>Low maturity, weak ownership, incomplete evidence, insufficient testing and poor integration with crisis-management routines for root cause analysis for recurring delivery failures.</t>
  </si>
  <si>
    <t>Severe risk: root cause analysis for recurring delivery failures is not reliably controlled. During Delivery disruption; Customer impact; Workforce disruption, the organization may face missed commitments, SLA breaches, service interruption and weak customer recovery with limited visibility or accountability.</t>
  </si>
  <si>
    <t>High risk: root cause analysis for recurring delivery failures depends on informal practices or individual knowledge. Disruption may expose missed commitments, SLA breaches, service interruption and weak customer recovery and slow recovery.</t>
  </si>
  <si>
    <t>Elevated risk: root cause analysis for recurring delivery failures is partially controlled, but coverage, evidence or testing is inconsistent. Crisis response may be fragmented.</t>
  </si>
  <si>
    <t>Moderate risk: root cause analysis for recurring delivery failures is documented and owned, but measurement, stress testing and integration with dependent processes need strengthening.</t>
  </si>
  <si>
    <t>Residual risk: root cause analysis for recurring delivery failures is measured and reviewed, but monitoring, automation or scenario testing should be improved to prevent maturity drift.</t>
  </si>
  <si>
    <t>Low residual risk: root cause analysis for recurring delivery failures is mature and crisis-tested. Maintain monitoring, evidence, ownership and periodic stress testing.</t>
  </si>
  <si>
    <t>Create an immediate risk owner, minimum control baseline and fallback procedure for root cause analysis for recurring delivery failures. Add it to the crisis risk register and collect first evidence.</t>
  </si>
  <si>
    <t>Document root cause analysis for recurring delivery failures, assign RACI, define minimum controls and KPIs, and validate coverage across key sites, teams or systems.</t>
  </si>
  <si>
    <t>Standardize root cause analysis for recurring delivery failures, close coverage gaps, train accountable roles and connect controls to the relevant crisis scenarios and continuity plans.</t>
  </si>
  <si>
    <t>Measure and test root cause analysis for recurring delivery failures, run tabletop or operational stress tests, integrate it with dependent processes and update crisis playbooks.</t>
  </si>
  <si>
    <t>Sustain maturity for root cause analysis for recurring delivery failures: keep evidence current, monitor drift, benchmark externally and refresh risk tests after organizational, system or market changes.</t>
  </si>
  <si>
    <t>Delivery Ops!22</t>
  </si>
  <si>
    <t>Immature capability for real-time visibility into orders, backlog, incidents, production, logistics and service performance may lead to missed commitments, SLA breaches, service interruption and weak customer recovery during Delivery disruption; Customer impact; Workforce disruption.</t>
  </si>
  <si>
    <t>Low maturity, weak ownership, incomplete evidence, insufficient testing and poor integration with crisis-management routines for real-time visibility into orders, backlog, incidents, production, logistics and service performance.</t>
  </si>
  <si>
    <t>Severe risk: real-time visibility into orders, backlog, incidents, production, logistics and service performance is not reliably controlled. During Delivery disruption; Customer impact; Workforce disruption, the organization may face missed commitments, SLA breaches, service interruption and weak customer recovery with limited visibility or accountability.</t>
  </si>
  <si>
    <t>High risk: real-time visibility into orders, backlog, incidents, production, logistics and service performance depends on informal practices or individual knowledge. Disruption may expose missed commitments, SLA breaches, service interruption and weak customer recovery and slow recovery.</t>
  </si>
  <si>
    <t>Elevated risk: real-time visibility into orders, backlog, incidents, production, logistics and service performance is partially controlled, but coverage, evidence or testing is inconsistent. Crisis response may be fragmented.</t>
  </si>
  <si>
    <t>Moderate risk: real-time visibility into orders, backlog, incidents, production, logistics and service performance is documented and owned, but measurement, stress testing and integration with dependent processes need strengthening.</t>
  </si>
  <si>
    <t>Residual risk: real-time visibility into orders, backlog, incidents, production, logistics and service performance is measured and reviewed, but monitoring, automation or scenario testing should be improved to prevent maturity drift.</t>
  </si>
  <si>
    <t>Low residual risk: real-time visibility into orders, backlog, incidents, production, logistics and service performance is mature and crisis-tested. Maintain monitoring, evidence, ownership and periodic stress testing.</t>
  </si>
  <si>
    <t>Create an immediate risk owner, minimum control baseline and fallback procedure for real-time visibility into orders, backlog, incidents, production, logistics and service performance. Add it to the crisis risk register and collect first evidence.</t>
  </si>
  <si>
    <t>Document real-time visibility into orders, backlog, incidents, production, logistics and service performance, assign RACI, define minimum controls and KPIs, and validate coverage across key sites, teams or systems.</t>
  </si>
  <si>
    <t>Standardize real-time visibility into orders, backlog, incidents, production, logistics and service performance, close coverage gaps, train accountable roles and connect controls to the relevant crisis scenarios and continuity plans.</t>
  </si>
  <si>
    <t>Measure and test real-time visibility into orders, backlog, incidents, production, logistics and service performance, run tabletop or operational stress tests, integrate it with dependent processes and update crisis playbooks.</t>
  </si>
  <si>
    <t>Sustain maturity for real-time visibility into orders, backlog, incidents, production, logistics and service performance: keep evidence current, monitor drift, benchmark externally and refresh risk tests after organizational, system or market changes.</t>
  </si>
  <si>
    <t>Delivery Ops!23</t>
  </si>
  <si>
    <t>Immature capability for operational KPIs for delivery quality, timeliness, throughput, cost, incidents and customer impact may lead to missed commitments, SLA breaches, service interruption and weak customer recovery during Delivery disruption; Customer impact; Workforce disruption.</t>
  </si>
  <si>
    <t>Low maturity, weak ownership, incomplete evidence, insufficient testing and poor integration with crisis-management routines for operational KPIs for delivery quality, timeliness, throughput, cost, incidents and customer impact.</t>
  </si>
  <si>
    <t>Severe risk: operational KPIs for delivery quality, timeliness, throughput, cost, incidents and customer impact is not reliably controlled. During Delivery disruption; Customer impact; Workforce disruption, the organization may face missed commitments, SLA breaches, service interruption and weak customer recovery with limited visibility or accountability.</t>
  </si>
  <si>
    <t>High risk: operational KPIs for delivery quality, timeliness, throughput, cost, incidents and customer impact depends on informal practices or individual knowledge. Disruption may expose missed commitments, SLA breaches, service interruption and weak customer recovery and slow recovery.</t>
  </si>
  <si>
    <t>Elevated risk: operational KPIs for delivery quality, timeliness, throughput, cost, incidents and customer impact is partially controlled, but coverage, evidence or testing is inconsistent. Crisis response may be fragmented.</t>
  </si>
  <si>
    <t>Moderate risk: operational KPIs for delivery quality, timeliness, throughput, cost, incidents and customer impact is documented and owned, but measurement, stress testing and integration with dependent processes need strengthening.</t>
  </si>
  <si>
    <t>Residual risk: operational KPIs for delivery quality, timeliness, throughput, cost, incidents and customer impact is measured and reviewed, but monitoring, automation or scenario testing should be improved to prevent maturity drift.</t>
  </si>
  <si>
    <t>Low residual risk: operational KPIs for delivery quality, timeliness, throughput, cost, incidents and customer impact is mature and crisis-tested. Maintain monitoring, evidence, ownership and periodic stress testing.</t>
  </si>
  <si>
    <t>Create an immediate risk owner, minimum control baseline and fallback procedure for operational KPIs for delivery quality, timeliness, throughput, cost, incidents and customer impact. Add it to the crisis risk register and collect first evidence.</t>
  </si>
  <si>
    <t>Document operational KPIs for delivery quality, timeliness, throughput, cost, incidents and customer impact, assign RACI, define minimum controls and KPIs, and validate coverage across key sites, teams or systems.</t>
  </si>
  <si>
    <t>Standardize operational KPIs for delivery quality, timeliness, throughput, cost, incidents and customer impact, close coverage gaps, train accountable roles and connect controls to the relevant crisis scenarios and continuity plans.</t>
  </si>
  <si>
    <t>Measure and test operational KPIs for delivery quality, timeliness, throughput, cost, incidents and customer impact, run tabletop or operational stress tests, integrate it with dependent processes and update crisis playbooks.</t>
  </si>
  <si>
    <t>Sustain maturity for operational KPIs for delivery quality, timeliness, throughput, cost, incidents and customer impact: keep evidence current, monitor drift, benchmark externally and refresh risk tests after organizational, system or market changes.</t>
  </si>
  <si>
    <t>Delivery Ops!24</t>
  </si>
  <si>
    <t>Immature capability for backlog aging analysis linked to customer risk, revenue risk and operational constraints may lead to missed commitments, SLA breaches, service interruption and weak customer recovery during Delivery disruption; Customer impact; Workforce disruption.</t>
  </si>
  <si>
    <t>Low maturity, weak ownership, incomplete evidence, insufficient testing and poor integration with crisis-management routines for backlog aging analysis linked to customer risk, revenue risk and operational constraints.</t>
  </si>
  <si>
    <t>Severe risk: backlog aging analysis linked to customer risk, revenue risk and operational constraints is not reliably controlled. During Delivery disruption; Customer impact; Workforce disruption, the organization may face missed commitments, SLA breaches, service interruption and weak customer recovery with limited visibility or accountability.</t>
  </si>
  <si>
    <t>High risk: backlog aging analysis linked to customer risk, revenue risk and operational constraints depends on informal practices or individual knowledge. Disruption may expose missed commitments, SLA breaches, service interruption and weak customer recovery and slow recovery.</t>
  </si>
  <si>
    <t>Elevated risk: backlog aging analysis linked to customer risk, revenue risk and operational constraints is partially controlled, but coverage, evidence or testing is inconsistent. Crisis response may be fragmented.</t>
  </si>
  <si>
    <t>Moderate risk: backlog aging analysis linked to customer risk, revenue risk and operational constraints is documented and owned, but measurement, stress testing and integration with dependent processes need strengthening.</t>
  </si>
  <si>
    <t>Residual risk: backlog aging analysis linked to customer risk, revenue risk and operational constraints is measured and reviewed, but monitoring, automation or scenario testing should be improved to prevent maturity drift.</t>
  </si>
  <si>
    <t>Low residual risk: backlog aging analysis linked to customer risk, revenue risk and operational constraints is mature and crisis-tested. Maintain monitoring, evidence, ownership and periodic stress testing.</t>
  </si>
  <si>
    <t>Create an immediate risk owner, minimum control baseline and fallback procedure for backlog aging analysis linked to customer risk, revenue risk and operational constraints. Add it to the crisis risk register and collect first evidence.</t>
  </si>
  <si>
    <t>Document backlog aging analysis linked to customer risk, revenue risk and operational constraints, assign RACI, define minimum controls and KPIs, and validate coverage across key sites, teams or systems.</t>
  </si>
  <si>
    <t>Standardize backlog aging analysis linked to customer risk, revenue risk and operational constraints, close coverage gaps, train accountable roles and connect controls to the relevant crisis scenarios and continuity plans.</t>
  </si>
  <si>
    <t>Measure and test backlog aging analysis linked to customer risk, revenue risk and operational constraints, run tabletop or operational stress tests, integrate it with dependent processes and update crisis playbooks.</t>
  </si>
  <si>
    <t>Sustain maturity for backlog aging analysis linked to customer risk, revenue risk and operational constraints: keep evidence current, monitor drift, benchmark externally and refresh risk tests after organizational, system or market changes.</t>
  </si>
  <si>
    <t>Delivery Ops!25</t>
  </si>
  <si>
    <t>Immature capability for customer-specific runbooks for critical accounts may lead to missed commitments, SLA breaches, service interruption and weak customer recovery during Delivery disruption; Customer impact; Workforce disruption.</t>
  </si>
  <si>
    <t>Low maturity, weak ownership, incomplete evidence, insufficient testing and poor integration with crisis-management routines for customer-specific runbooks for critical accounts.</t>
  </si>
  <si>
    <t>Severe risk: customer-specific runbooks for critical accounts is not reliably controlled. During Delivery disruption; Customer impact; Workforce disruption, the organization may face missed commitments, SLA breaches, service interruption and weak customer recovery with limited visibility or accountability.</t>
  </si>
  <si>
    <t>High risk: customer-specific runbooks for critical accounts depends on informal practices or individual knowledge. Disruption may expose missed commitments, SLA breaches, service interruption and weak customer recovery and slow recovery.</t>
  </si>
  <si>
    <t>Elevated risk: customer-specific runbooks for critical accounts is partially controlled, but coverage, evidence or testing is inconsistent. Crisis response may be fragmented.</t>
  </si>
  <si>
    <t>Moderate risk: customer-specific runbooks for critical accounts is documented and owned, but measurement, stress testing and integration with dependent processes need strengthening.</t>
  </si>
  <si>
    <t>Residual risk: customer-specific runbooks for critical accounts is measured and reviewed, but monitoring, automation or scenario testing should be improved to prevent maturity drift.</t>
  </si>
  <si>
    <t>Low residual risk: customer-specific runbooks for critical accounts is mature and crisis-tested. Maintain monitoring, evidence, ownership and periodic stress testing.</t>
  </si>
  <si>
    <t>Create an immediate risk owner, minimum control baseline and fallback procedure for customer-specific runbooks for critical accounts. Add it to the crisis risk register and collect first evidence.</t>
  </si>
  <si>
    <t>Document customer-specific runbooks for critical accounts, assign RACI, define minimum controls and KPIs, and validate coverage across key sites, teams or systems.</t>
  </si>
  <si>
    <t>Standardize customer-specific runbooks for critical accounts, close coverage gaps, train accountable roles and connect controls to the relevant crisis scenarios and continuity plans.</t>
  </si>
  <si>
    <t>Measure and test customer-specific runbooks for critical accounts, run tabletop or operational stress tests, integrate it with dependent processes and update crisis playbooks.</t>
  </si>
  <si>
    <t>Sustain maturity for customer-specific runbooks for critical accounts: keep evidence current, monitor drift, benchmark externally and refresh risk tests after organizational, system or market changes.</t>
  </si>
  <si>
    <t>Delivery Ops!26</t>
  </si>
  <si>
    <t>Immature capability for critical tools, equipment and licenses required for delivery may lead to missed commitments, SLA breaches, service interruption and weak customer recovery during Delivery disruption; Customer impact; Workforce disruption.</t>
  </si>
  <si>
    <t>Low maturity, weak ownership, incomplete evidence, insufficient testing and poor integration with crisis-management routines for critical tools, equipment and licenses required for delivery.</t>
  </si>
  <si>
    <t>Severe risk: critical tools, equipment and licenses required for delivery is not reliably controlled. During Delivery disruption; Customer impact; Workforce disruption, the organization may face missed commitments, SLA breaches, service interruption and weak customer recovery with limited visibility or accountability.</t>
  </si>
  <si>
    <t>High risk: critical tools, equipment and licenses required for delivery depends on informal practices or individual knowledge. Disruption may expose missed commitments, SLA breaches, service interruption and weak customer recovery and slow recovery.</t>
  </si>
  <si>
    <t>Elevated risk: critical tools, equipment and licenses required for delivery is partially controlled, but coverage, evidence or testing is inconsistent. Crisis response may be fragmented.</t>
  </si>
  <si>
    <t>Moderate risk: critical tools, equipment and licenses required for delivery is documented and owned, but measurement, stress testing and integration with dependent processes need strengthening.</t>
  </si>
  <si>
    <t>Residual risk: critical tools, equipment and licenses required for delivery is measured and reviewed, but monitoring, automation or scenario testing should be improved to prevent maturity drift.</t>
  </si>
  <si>
    <t>Low residual risk: critical tools, equipment and licenses required for delivery is mature and crisis-tested. Maintain monitoring, evidence, ownership and periodic stress testing.</t>
  </si>
  <si>
    <t>Create an immediate risk owner, minimum control baseline and fallback procedure for critical tools, equipment and licenses required for delivery. Add it to the crisis risk register and collect first evidence.</t>
  </si>
  <si>
    <t>Document critical tools, equipment and licenses required for delivery, assign RACI, define minimum controls and KPIs, and validate coverage across key sites, teams or systems.</t>
  </si>
  <si>
    <t>Standardize critical tools, equipment and licenses required for delivery, close coverage gaps, train accountable roles and connect controls to the relevant crisis scenarios and continuity plans.</t>
  </si>
  <si>
    <t>Measure and test critical tools, equipment and licenses required for delivery, run tabletop or operational stress tests, integrate it with dependent processes and update crisis playbooks.</t>
  </si>
  <si>
    <t>Sustain maturity for critical tools, equipment and licenses required for delivery: keep evidence current, monitor drift, benchmark externally and refresh risk tests after organizational, system or market changes.</t>
  </si>
  <si>
    <t>Delivery Ops!27</t>
  </si>
  <si>
    <t>Immature capability for geographic delivery exposure by customer, supplier, team and site location may lead to missed commitments, SLA breaches, service interruption and weak customer recovery during Delivery disruption; Customer impact; Workforce disruption.</t>
  </si>
  <si>
    <t>Low maturity, weak ownership, incomplete evidence, insufficient testing and poor integration with crisis-management routines for geographic delivery exposure by customer, supplier, team and site location.</t>
  </si>
  <si>
    <t>Severe risk: geographic delivery exposure by customer, supplier, team and site location is not reliably controlled. During Delivery disruption; Customer impact; Workforce disruption, the organization may face missed commitments, SLA breaches, service interruption and weak customer recovery with limited visibility or accountability.</t>
  </si>
  <si>
    <t>High risk: geographic delivery exposure by customer, supplier, team and site location depends on informal practices or individual knowledge. Disruption may expose missed commitments, SLA breaches, service interruption and weak customer recovery and slow recovery.</t>
  </si>
  <si>
    <t>Elevated risk: geographic delivery exposure by customer, supplier, team and site location is partially controlled, but coverage, evidence or testing is inconsistent. Crisis response may be fragmented.</t>
  </si>
  <si>
    <t>Moderate risk: geographic delivery exposure by customer, supplier, team and site location is documented and owned, but measurement, stress testing and integration with dependent processes need strengthening.</t>
  </si>
  <si>
    <t>Residual risk: geographic delivery exposure by customer, supplier, team and site location is measured and reviewed, but monitoring, automation or scenario testing should be improved to prevent maturity drift.</t>
  </si>
  <si>
    <t>Low residual risk: geographic delivery exposure by customer, supplier, team and site location is mature and crisis-tested. Maintain monitoring, evidence, ownership and periodic stress testing.</t>
  </si>
  <si>
    <t>Create an immediate risk owner, minimum control baseline and fallback procedure for geographic delivery exposure by customer, supplier, team and site location. Add it to the crisis risk register and collect first evidence.</t>
  </si>
  <si>
    <t>Document geographic delivery exposure by customer, supplier, team and site location, assign RACI, define minimum controls and KPIs, and validate coverage across key sites, teams or systems.</t>
  </si>
  <si>
    <t>Standardize geographic delivery exposure by customer, supplier, team and site location, close coverage gaps, train accountable roles and connect controls to the relevant crisis scenarios and continuity plans.</t>
  </si>
  <si>
    <t>Measure and test geographic delivery exposure by customer, supplier, team and site location, run tabletop or operational stress tests, integrate it with dependent processes and update crisis playbooks.</t>
  </si>
  <si>
    <t>Sustain maturity for geographic delivery exposure by customer, supplier, team and site location: keep evidence current, monitor drift, benchmark externally and refresh risk tests after organizational, system or market changes.</t>
  </si>
  <si>
    <t>Delivery Ops!28</t>
  </si>
  <si>
    <t>Immature capability for end-to-end supply chain map from raw materials and suppliers to production, logistics, delivery and customers may lead to supplier failure, logistics disruption, inventory shortages and production or delivery delays during Supplier/logistics disruption; Manufacturing disruption; Demand shock.</t>
  </si>
  <si>
    <t>Low maturity, weak ownership, incomplete evidence, insufficient testing and poor integration with crisis-management routines for end-to-end supply chain map from raw materials and suppliers to production, logistics, delivery and customers.</t>
  </si>
  <si>
    <t>Severe risk: end-to-end supply chain map from raw materials and suppliers to production, logistics, delivery and customers is not reliably controlled. During Supplier/logistics disruption; Manufacturing disruption; Demand shock, the organization may face supplier failure, logistics disruption, inventory shortages and production or delivery delays with limited visibility or accountability.</t>
  </si>
  <si>
    <t>High risk: end-to-end supply chain map from raw materials and suppliers to production, logistics, delivery and customers depends on informal practices or individual knowledge. Disruption may expose supplier failure, logistics disruption, inventory shortages and production or delivery delays and slow recovery.</t>
  </si>
  <si>
    <t>Elevated risk: end-to-end supply chain map from raw materials and suppliers to production, logistics, delivery and customers is partially controlled, but coverage, evidence or testing is inconsistent. Crisis response may be fragmented.</t>
  </si>
  <si>
    <t>Moderate risk: end-to-end supply chain map from raw materials and suppliers to production, logistics, delivery and customers is documented and owned, but measurement, stress testing and integration with dependent processes need strengthening.</t>
  </si>
  <si>
    <t>Residual risk: end-to-end supply chain map from raw materials and suppliers to production, logistics, delivery and customers is measured and reviewed, but monitoring, automation or scenario testing should be improved to prevent maturity drift.</t>
  </si>
  <si>
    <t>Low residual risk: end-to-end supply chain map from raw materials and suppliers to production, logistics, delivery and customers is mature and crisis-tested. Maintain monitoring, evidence, ownership and periodic stress testing.</t>
  </si>
  <si>
    <t>Create an immediate risk owner, minimum control baseline and fallback procedure for end-to-end supply chain map from raw materials and suppliers to production, logistics, delivery and customers. Add it to the crisis risk register and collect first evidence.</t>
  </si>
  <si>
    <t>Document end-to-end supply chain map from raw materials and suppliers to production, logistics, delivery and customers, assign RACI, define minimum controls and KPIs, and validate coverage across key sites, teams or systems.</t>
  </si>
  <si>
    <t>Standardize end-to-end supply chain map from raw materials and suppliers to production, logistics, delivery and customers, close coverage gaps, train accountable roles and connect controls to the relevant crisis scenarios and continuity plans.</t>
  </si>
  <si>
    <t>Measure and test end-to-end supply chain map from raw materials and suppliers to production, logistics, delivery and customers, run tabletop or operational stress tests, integrate it with dependent processes and update crisis playbooks.</t>
  </si>
  <si>
    <t>Sustain maturity for end-to-end supply chain map from raw materials and suppliers to production, logistics, delivery and customers: keep evidence current, monitor drift, benchmark externally and refresh risk tests after organizational, system or market changes.</t>
  </si>
  <si>
    <t>Supply Chain / Procurement</t>
  </si>
  <si>
    <t>Supply Chain!5</t>
  </si>
  <si>
    <t>Immature capability for visibility beyond tier-1 suppliers for critical materials, components and services may lead to supplier failure, logistics disruption, inventory shortages and production or delivery delays during Supplier/logistics disruption; Manufacturing disruption; Demand shock.</t>
  </si>
  <si>
    <t>Low maturity, weak ownership, incomplete evidence, insufficient testing and poor integration with crisis-management routines for visibility beyond tier-1 suppliers for critical materials, components and services.</t>
  </si>
  <si>
    <t>Severe risk: visibility beyond tier-1 suppliers for critical materials, components and services is not reliably controlled. During Supplier/logistics disruption; Manufacturing disruption; Demand shock, the organization may face supplier failure, logistics disruption, inventory shortages and production or delivery delays with limited visibility or accountability.</t>
  </si>
  <si>
    <t>High risk: visibility beyond tier-1 suppliers for critical materials, components and services depends on informal practices or individual knowledge. Disruption may expose supplier failure, logistics disruption, inventory shortages and production or delivery delays and slow recovery.</t>
  </si>
  <si>
    <t>Elevated risk: visibility beyond tier-1 suppliers for critical materials, components and services is partially controlled, but coverage, evidence or testing is inconsistent. Crisis response may be fragmented.</t>
  </si>
  <si>
    <t>Moderate risk: visibility beyond tier-1 suppliers for critical materials, components and services is documented and owned, but measurement, stress testing and integration with dependent processes need strengthening.</t>
  </si>
  <si>
    <t>Residual risk: visibility beyond tier-1 suppliers for critical materials, components and services is measured and reviewed, but monitoring, automation or scenario testing should be improved to prevent maturity drift.</t>
  </si>
  <si>
    <t>Low residual risk: visibility beyond tier-1 suppliers for critical materials, components and services is mature and crisis-tested. Maintain monitoring, evidence, ownership and periodic stress testing.</t>
  </si>
  <si>
    <t>Create an immediate risk owner, minimum control baseline and fallback procedure for visibility beyond tier-1 suppliers for critical materials, components and services. Add it to the crisis risk register and collect first evidence.</t>
  </si>
  <si>
    <t>Document visibility beyond tier-1 suppliers for critical materials, components and services, assign RACI, define minimum controls and KPIs, and validate coverage across key sites, teams or systems.</t>
  </si>
  <si>
    <t>Standardize visibility beyond tier-1 suppliers for critical materials, components and services, close coverage gaps, train accountable roles and connect controls to the relevant crisis scenarios and continuity plans.</t>
  </si>
  <si>
    <t>Measure and test visibility beyond tier-1 suppliers for critical materials, components and services, run tabletop or operational stress tests, integrate it with dependent processes and update crisis playbooks.</t>
  </si>
  <si>
    <t>Sustain maturity for visibility beyond tier-1 suppliers for critical materials, components and services: keep evidence current, monitor drift, benchmark externally and refresh risk tests after organizational, system or market changes.</t>
  </si>
  <si>
    <t>Supply Chain!6</t>
  </si>
  <si>
    <t>Immature capability for supplier criticality scoring by business impact, availability, substitution, lead time and geography may lead to supplier failure, logistics disruption, inventory shortages and production or delivery delays during Supplier/logistics disruption; Manufacturing disruption; Demand shock.</t>
  </si>
  <si>
    <t>Low maturity, weak ownership, incomplete evidence, insufficient testing and poor integration with crisis-management routines for supplier criticality scoring by business impact, availability, substitution, lead time and geography.</t>
  </si>
  <si>
    <t>Severe risk: supplier criticality scoring by business impact, availability, substitution, lead time and geography is not reliably controlled. During Supplier/logistics disruption; Manufacturing disruption; Demand shock, the organization may face supplier failure, logistics disruption, inventory shortages and production or delivery delays with limited visibility or accountability.</t>
  </si>
  <si>
    <t>High risk: supplier criticality scoring by business impact, availability, substitution, lead time and geography depends on informal practices or individual knowledge. Disruption may expose supplier failure, logistics disruption, inventory shortages and production or delivery delays and slow recovery.</t>
  </si>
  <si>
    <t>Elevated risk: supplier criticality scoring by business impact, availability, substitution, lead time and geography is partially controlled, but coverage, evidence or testing is inconsistent. Crisis response may be fragmented.</t>
  </si>
  <si>
    <t>Moderate risk: supplier criticality scoring by business impact, availability, substitution, lead time and geography is documented and owned, but measurement, stress testing and integration with dependent processes need strengthening.</t>
  </si>
  <si>
    <t>Residual risk: supplier criticality scoring by business impact, availability, substitution, lead time and geography is measured and reviewed, but monitoring, automation or scenario testing should be improved to prevent maturity drift.</t>
  </si>
  <si>
    <t>Low residual risk: supplier criticality scoring by business impact, availability, substitution, lead time and geography is mature and crisis-tested. Maintain monitoring, evidence, ownership and periodic stress testing.</t>
  </si>
  <si>
    <t>Create an immediate risk owner, minimum control baseline and fallback procedure for supplier criticality scoring by business impact, availability, substitution, lead time and geography. Add it to the crisis risk register and collect first evidence.</t>
  </si>
  <si>
    <t>Document supplier criticality scoring by business impact, availability, substitution, lead time and geography, assign RACI, define minimum controls and KPIs, and validate coverage across key sites, teams or systems.</t>
  </si>
  <si>
    <t>Standardize supplier criticality scoring by business impact, availability, substitution, lead time and geography, close coverage gaps, train accountable roles and connect controls to the relevant crisis scenarios and continuity plans.</t>
  </si>
  <si>
    <t>Measure and test supplier criticality scoring by business impact, availability, substitution, lead time and geography, run tabletop or operational stress tests, integrate it with dependent processes and update crisis playbooks.</t>
  </si>
  <si>
    <t>Sustain maturity for supplier criticality scoring by business impact, availability, substitution, lead time and geography: keep evidence current, monitor drift, benchmark externally and refresh risk tests after organizational, system or market changes.</t>
  </si>
  <si>
    <t>Supply Chain!7</t>
  </si>
  <si>
    <t>Immature capability for supplier concentration by spend, dependency, category, geography and product line may lead to supplier failure, logistics disruption, inventory shortages and production or delivery delays during Supplier/logistics disruption; Manufacturing disruption; Demand shock.</t>
  </si>
  <si>
    <t>Low maturity, weak ownership, incomplete evidence, insufficient testing and poor integration with crisis-management routines for supplier concentration by spend, dependency, category, geography and product line.</t>
  </si>
  <si>
    <t>Severe risk: supplier concentration by spend, dependency, category, geography and product line is not reliably controlled. During Supplier/logistics disruption; Manufacturing disruption; Demand shock, the organization may face supplier failure, logistics disruption, inventory shortages and production or delivery delays with limited visibility or accountability.</t>
  </si>
  <si>
    <t>High risk: supplier concentration by spend, dependency, category, geography and product line depends on informal practices or individual knowledge. Disruption may expose supplier failure, logistics disruption, inventory shortages and production or delivery delays and slow recovery.</t>
  </si>
  <si>
    <t>Elevated risk: supplier concentration by spend, dependency, category, geography and product line is partially controlled, but coverage, evidence or testing is inconsistent. Crisis response may be fragmented.</t>
  </si>
  <si>
    <t>Moderate risk: supplier concentration by spend, dependency, category, geography and product line is documented and owned, but measurement, stress testing and integration with dependent processes need strengthening.</t>
  </si>
  <si>
    <t>Residual risk: supplier concentration by spend, dependency, category, geography and product line is measured and reviewed, but monitoring, automation or scenario testing should be improved to prevent maturity drift.</t>
  </si>
  <si>
    <t>Low residual risk: supplier concentration by spend, dependency, category, geography and product line is mature and crisis-tested. Maintain monitoring, evidence, ownership and periodic stress testing.</t>
  </si>
  <si>
    <t>Create an immediate risk owner, minimum control baseline and fallback procedure for supplier concentration by spend, dependency, category, geography and product line. Add it to the crisis risk register and collect first evidence.</t>
  </si>
  <si>
    <t>Document supplier concentration by spend, dependency, category, geography and product line, assign RACI, define minimum controls and KPIs, and validate coverage across key sites, teams or systems.</t>
  </si>
  <si>
    <t>Standardize supplier concentration by spend, dependency, category, geography and product line, close coverage gaps, train accountable roles and connect controls to the relevant crisis scenarios and continuity plans.</t>
  </si>
  <si>
    <t>Measure and test supplier concentration by spend, dependency, category, geography and product line, run tabletop or operational stress tests, integrate it with dependent processes and update crisis playbooks.</t>
  </si>
  <si>
    <t>Sustain maturity for supplier concentration by spend, dependency, category, geography and product line: keep evidence current, monitor drift, benchmark externally and refresh risk tests after organizational, system or market changes.</t>
  </si>
  <si>
    <t>Supply Chain!8</t>
  </si>
  <si>
    <t>Immature capability for critical supplier continuity plans, recovery times and incident notification commitments may lead to supplier failure, logistics disruption, inventory shortages and production or delivery delays during Supplier/logistics disruption; Manufacturing disruption; Demand shock.</t>
  </si>
  <si>
    <t>Low maturity, weak ownership, incomplete evidence, insufficient testing and poor integration with crisis-management routines for critical supplier continuity plans, recovery times and incident notification commitments.</t>
  </si>
  <si>
    <t>Severe risk: critical supplier continuity plans, recovery times and incident notification commitments is not reliably controlled. During Supplier/logistics disruption; Manufacturing disruption; Demand shock, the organization may face supplier failure, logistics disruption, inventory shortages and production or delivery delays with limited visibility or accountability.</t>
  </si>
  <si>
    <t>High risk: critical supplier continuity plans, recovery times and incident notification commitments depends on informal practices or individual knowledge. Disruption may expose supplier failure, logistics disruption, inventory shortages and production or delivery delays and slow recovery.</t>
  </si>
  <si>
    <t>Elevated risk: critical supplier continuity plans, recovery times and incident notification commitments is partially controlled, but coverage, evidence or testing is inconsistent. Crisis response may be fragmented.</t>
  </si>
  <si>
    <t>Moderate risk: critical supplier continuity plans, recovery times and incident notification commitments is documented and owned, but measurement, stress testing and integration with dependent processes need strengthening.</t>
  </si>
  <si>
    <t>Residual risk: critical supplier continuity plans, recovery times and incident notification commitments is measured and reviewed, but monitoring, automation or scenario testing should be improved to prevent maturity drift.</t>
  </si>
  <si>
    <t>Low residual risk: critical supplier continuity plans, recovery times and incident notification commitments is mature and crisis-tested. Maintain monitoring, evidence, ownership and periodic stress testing.</t>
  </si>
  <si>
    <t>Create an immediate risk owner, minimum control baseline and fallback procedure for critical supplier continuity plans, recovery times and incident notification commitments. Add it to the crisis risk register and collect first evidence.</t>
  </si>
  <si>
    <t>Document critical supplier continuity plans, recovery times and incident notification commitments, assign RACI, define minimum controls and KPIs, and validate coverage across key sites, teams or systems.</t>
  </si>
  <si>
    <t>Standardize critical supplier continuity plans, recovery times and incident notification commitments, close coverage gaps, train accountable roles and connect controls to the relevant crisis scenarios and continuity plans.</t>
  </si>
  <si>
    <t>Measure and test critical supplier continuity plans, recovery times and incident notification commitments, run tabletop or operational stress tests, integrate it with dependent processes and update crisis playbooks.</t>
  </si>
  <si>
    <t>Sustain maturity for critical supplier continuity plans, recovery times and incident notification commitments: keep evidence current, monitor drift, benchmark externally and refresh risk tests after organizational, system or market changes.</t>
  </si>
  <si>
    <t>Supply Chain!9</t>
  </si>
  <si>
    <t>Immature capability for pre-qualified alternative suppliers for critical categories may lead to supplier failure, logistics disruption, inventory shortages and production or delivery delays during Supplier/logistics disruption; Manufacturing disruption; Demand shock.</t>
  </si>
  <si>
    <t>Low maturity, weak ownership, incomplete evidence, insufficient testing and poor integration with crisis-management routines for pre-qualified alternative suppliers for critical categories.</t>
  </si>
  <si>
    <t>Severe risk: pre-qualified alternative suppliers for critical categories is not reliably controlled. During Supplier/logistics disruption; Manufacturing disruption; Demand shock, the organization may face supplier failure, logistics disruption, inventory shortages and production or delivery delays with limited visibility or accountability.</t>
  </si>
  <si>
    <t>High risk: pre-qualified alternative suppliers for critical categories depends on informal practices or individual knowledge. Disruption may expose supplier failure, logistics disruption, inventory shortages and production or delivery delays and slow recovery.</t>
  </si>
  <si>
    <t>Elevated risk: pre-qualified alternative suppliers for critical categories is partially controlled, but coverage, evidence or testing is inconsistent. Crisis response may be fragmented.</t>
  </si>
  <si>
    <t>Moderate risk: pre-qualified alternative suppliers for critical categories is documented and owned, but measurement, stress testing and integration with dependent processes need strengthening.</t>
  </si>
  <si>
    <t>Residual risk: pre-qualified alternative suppliers for critical categories is measured and reviewed, but monitoring, automation or scenario testing should be improved to prevent maturity drift.</t>
  </si>
  <si>
    <t>Low residual risk: pre-qualified alternative suppliers for critical categories is mature and crisis-tested. Maintain monitoring, evidence, ownership and periodic stress testing.</t>
  </si>
  <si>
    <t>Create an immediate risk owner, minimum control baseline and fallback procedure for pre-qualified alternative suppliers for critical categories. Add it to the crisis risk register and collect first evidence.</t>
  </si>
  <si>
    <t>Document pre-qualified alternative suppliers for critical categories, assign RACI, define minimum controls and KPIs, and validate coverage across key sites, teams or systems.</t>
  </si>
  <si>
    <t>Standardize pre-qualified alternative suppliers for critical categories, close coverage gaps, train accountable roles and connect controls to the relevant crisis scenarios and continuity plans.</t>
  </si>
  <si>
    <t>Measure and test pre-qualified alternative suppliers for critical categories, run tabletop or operational stress tests, integrate it with dependent processes and update crisis playbooks.</t>
  </si>
  <si>
    <t>Sustain maturity for pre-qualified alternative suppliers for critical categories: keep evidence current, monitor drift, benchmark externally and refresh risk tests after organizational, system or market changes.</t>
  </si>
  <si>
    <t>Supply Chain!10</t>
  </si>
  <si>
    <t>Immature capability for critical logistics routes, carriers, ports, borders, warehouses and transit risks may lead to supplier failure, logistics disruption, inventory shortages and production or delivery delays during Supplier/logistics disruption; Manufacturing disruption; Demand shock.</t>
  </si>
  <si>
    <t>Low maturity, weak ownership, incomplete evidence, insufficient testing and poor integration with crisis-management routines for critical logistics routes, carriers, ports, borders, warehouses and transit risks.</t>
  </si>
  <si>
    <t>Severe risk: critical logistics routes, carriers, ports, borders, warehouses and transit risks is not reliably controlled. During Supplier/logistics disruption; Manufacturing disruption; Demand shock, the organization may face supplier failure, logistics disruption, inventory shortages and production or delivery delays with limited visibility or accountability.</t>
  </si>
  <si>
    <t>High risk: critical logistics routes, carriers, ports, borders, warehouses and transit risks depends on informal practices or individual knowledge. Disruption may expose supplier failure, logistics disruption, inventory shortages and production or delivery delays and slow recovery.</t>
  </si>
  <si>
    <t>Elevated risk: critical logistics routes, carriers, ports, borders, warehouses and transit risks is partially controlled, but coverage, evidence or testing is inconsistent. Crisis response may be fragmented.</t>
  </si>
  <si>
    <t>Moderate risk: critical logistics routes, carriers, ports, borders, warehouses and transit risks is documented and owned, but measurement, stress testing and integration with dependent processes need strengthening.</t>
  </si>
  <si>
    <t>Residual risk: critical logistics routes, carriers, ports, borders, warehouses and transit risks is measured and reviewed, but monitoring, automation or scenario testing should be improved to prevent maturity drift.</t>
  </si>
  <si>
    <t>Low residual risk: critical logistics routes, carriers, ports, borders, warehouses and transit risks is mature and crisis-tested. Maintain monitoring, evidence, ownership and periodic stress testing.</t>
  </si>
  <si>
    <t>Create an immediate risk owner, minimum control baseline and fallback procedure for critical logistics routes, carriers, ports, borders, warehouses and transit risks. Add it to the crisis risk register and collect first evidence.</t>
  </si>
  <si>
    <t>Document critical logistics routes, carriers, ports, borders, warehouses and transit risks, assign RACI, define minimum controls and KPIs, and validate coverage across key sites, teams or systems.</t>
  </si>
  <si>
    <t>Standardize critical logistics routes, carriers, ports, borders, warehouses and transit risks, close coverage gaps, train accountable roles and connect controls to the relevant crisis scenarios and continuity plans.</t>
  </si>
  <si>
    <t>Measure and test critical logistics routes, carriers, ports, borders, warehouses and transit risks, run tabletop or operational stress tests, integrate it with dependent processes and update crisis playbooks.</t>
  </si>
  <si>
    <t>Sustain maturity for critical logistics routes, carriers, ports, borders, warehouses and transit risks: keep evidence current, monitor drift, benchmark externally and refresh risk tests after organizational, system or market changes.</t>
  </si>
  <si>
    <t>Supply Chain!11</t>
  </si>
  <si>
    <t>Immature capability for alternative carriers, routes and warehouses for disruption scenarios may lead to supplier failure, logistics disruption, inventory shortages and production or delivery delays during Supplier/logistics disruption; Manufacturing disruption; Demand shock.</t>
  </si>
  <si>
    <t>Low maturity, weak ownership, incomplete evidence, insufficient testing and poor integration with crisis-management routines for alternative carriers, routes and warehouses for disruption scenarios.</t>
  </si>
  <si>
    <t>Severe risk: alternative carriers, routes and warehouses for disruption scenarios is not reliably controlled. During Supplier/logistics disruption; Manufacturing disruption; Demand shock, the organization may face supplier failure, logistics disruption, inventory shortages and production or delivery delays with limited visibility or accountability.</t>
  </si>
  <si>
    <t>High risk: alternative carriers, routes and warehouses for disruption scenarios depends on informal practices or individual knowledge. Disruption may expose supplier failure, logistics disruption, inventory shortages and production or delivery delays and slow recovery.</t>
  </si>
  <si>
    <t>Elevated risk: alternative carriers, routes and warehouses for disruption scenarios is partially controlled, but coverage, evidence or testing is inconsistent. Crisis response may be fragmented.</t>
  </si>
  <si>
    <t>Moderate risk: alternative carriers, routes and warehouses for disruption scenarios is documented and owned, but measurement, stress testing and integration with dependent processes need strengthening.</t>
  </si>
  <si>
    <t>Residual risk: alternative carriers, routes and warehouses for disruption scenarios is measured and reviewed, but monitoring, automation or scenario testing should be improved to prevent maturity drift.</t>
  </si>
  <si>
    <t>Low residual risk: alternative carriers, routes and warehouses for disruption scenarios is mature and crisis-tested. Maintain monitoring, evidence, ownership and periodic stress testing.</t>
  </si>
  <si>
    <t>Create an immediate risk owner, minimum control baseline and fallback procedure for alternative carriers, routes and warehouses for disruption scenarios. Add it to the crisis risk register and collect first evidence.</t>
  </si>
  <si>
    <t>Document alternative carriers, routes and warehouses for disruption scenarios, assign RACI, define minimum controls and KPIs, and validate coverage across key sites, teams or systems.</t>
  </si>
  <si>
    <t>Standardize alternative carriers, routes and warehouses for disruption scenarios, close coverage gaps, train accountable roles and connect controls to the relevant crisis scenarios and continuity plans.</t>
  </si>
  <si>
    <t>Measure and test alternative carriers, routes and warehouses for disruption scenarios, run tabletop or operational stress tests, integrate it with dependent processes and update crisis playbooks.</t>
  </si>
  <si>
    <t>Sustain maturity for alternative carriers, routes and warehouses for disruption scenarios: keep evidence current, monitor drift, benchmark externally and refresh risk tests after organizational, system or market changes.</t>
  </si>
  <si>
    <t>Supply Chain!12</t>
  </si>
  <si>
    <t>Immature capability for transport capacity for peak demand or disruption periods may lead to supplier failure, logistics disruption, inventory shortages and production or delivery delays during Supplier/logistics disruption; Manufacturing disruption; Demand shock.</t>
  </si>
  <si>
    <t>Low maturity, weak ownership, incomplete evidence, insufficient testing and poor integration with crisis-management routines for transport capacity for peak demand or disruption periods.</t>
  </si>
  <si>
    <t>Severe risk: transport capacity for peak demand or disruption periods is not reliably controlled. During Supplier/logistics disruption; Manufacturing disruption; Demand shock, the organization may face supplier failure, logistics disruption, inventory shortages and production or delivery delays with limited visibility or accountability.</t>
  </si>
  <si>
    <t>High risk: transport capacity for peak demand or disruption periods depends on informal practices or individual knowledge. Disruption may expose supplier failure, logistics disruption, inventory shortages and production or delivery delays and slow recovery.</t>
  </si>
  <si>
    <t>Elevated risk: transport capacity for peak demand or disruption periods is partially controlled, but coverage, evidence or testing is inconsistent. Crisis response may be fragmented.</t>
  </si>
  <si>
    <t>Moderate risk: transport capacity for peak demand or disruption periods is documented and owned, but measurement, stress testing and integration with dependent processes need strengthening.</t>
  </si>
  <si>
    <t>Residual risk: transport capacity for peak demand or disruption periods is measured and reviewed, but monitoring, automation or scenario testing should be improved to prevent maturity drift.</t>
  </si>
  <si>
    <t>Low residual risk: transport capacity for peak demand or disruption periods is mature and crisis-tested. Maintain monitoring, evidence, ownership and periodic stress testing.</t>
  </si>
  <si>
    <t>Create an immediate risk owner, minimum control baseline and fallback procedure for transport capacity for peak demand or disruption periods. Add it to the crisis risk register and collect first evidence.</t>
  </si>
  <si>
    <t>Document transport capacity for peak demand or disruption periods, assign RACI, define minimum controls and KPIs, and validate coverage across key sites, teams or systems.</t>
  </si>
  <si>
    <t>Standardize transport capacity for peak demand or disruption periods, close coverage gaps, train accountable roles and connect controls to the relevant crisis scenarios and continuity plans.</t>
  </si>
  <si>
    <t>Measure and test transport capacity for peak demand or disruption periods, run tabletop or operational stress tests, integrate it with dependent processes and update crisis playbooks.</t>
  </si>
  <si>
    <t>Sustain maturity for transport capacity for peak demand or disruption periods: keep evidence current, monitor drift, benchmark externally and refresh risk tests after organizational, system or market changes.</t>
  </si>
  <si>
    <t>Supply Chain!13</t>
  </si>
  <si>
    <t>Immature capability for shipment tracking and reliable ETA communication for critical shipments may lead to supplier failure, logistics disruption, inventory shortages and production or delivery delays during Supplier/logistics disruption; Manufacturing disruption; Demand shock.</t>
  </si>
  <si>
    <t>Low maturity, weak ownership, incomplete evidence, insufficient testing and poor integration with crisis-management routines for shipment tracking and reliable ETA communication for critical shipments.</t>
  </si>
  <si>
    <t>Severe risk: shipment tracking and reliable ETA communication for critical shipments is not reliably controlled. During Supplier/logistics disruption; Manufacturing disruption; Demand shock, the organization may face supplier failure, logistics disruption, inventory shortages and production or delivery delays with limited visibility or accountability.</t>
  </si>
  <si>
    <t>High risk: shipment tracking and reliable ETA communication for critical shipments depends on informal practices or individual knowledge. Disruption may expose supplier failure, logistics disruption, inventory shortages and production or delivery delays and slow recovery.</t>
  </si>
  <si>
    <t>Elevated risk: shipment tracking and reliable ETA communication for critical shipments is partially controlled, but coverage, evidence or testing is inconsistent. Crisis response may be fragmented.</t>
  </si>
  <si>
    <t>Moderate risk: shipment tracking and reliable ETA communication for critical shipments is documented and owned, but measurement, stress testing and integration with dependent processes need strengthening.</t>
  </si>
  <si>
    <t>Residual risk: shipment tracking and reliable ETA communication for critical shipments is measured and reviewed, but monitoring, automation or scenario testing should be improved to prevent maturity drift.</t>
  </si>
  <si>
    <t>Low residual risk: shipment tracking and reliable ETA communication for critical shipments is mature and crisis-tested. Maintain monitoring, evidence, ownership and periodic stress testing.</t>
  </si>
  <si>
    <t>Create an immediate risk owner, minimum control baseline and fallback procedure for shipment tracking and reliable ETA communication for critical shipments. Add it to the crisis risk register and collect first evidence.</t>
  </si>
  <si>
    <t>Document shipment tracking and reliable ETA communication for critical shipments, assign RACI, define minimum controls and KPIs, and validate coverage across key sites, teams or systems.</t>
  </si>
  <si>
    <t>Standardize shipment tracking and reliable ETA communication for critical shipments, close coverage gaps, train accountable roles and connect controls to the relevant crisis scenarios and continuity plans.</t>
  </si>
  <si>
    <t>Measure and test shipment tracking and reliable ETA communication for critical shipments, run tabletop or operational stress tests, integrate it with dependent processes and update crisis playbooks.</t>
  </si>
  <si>
    <t>Sustain maturity for shipment tracking and reliable ETA communication for critical shipments: keep evidence current, monitor drift, benchmark externally and refresh risk tests after organizational, system or market changes.</t>
  </si>
  <si>
    <t>Supply Chain!14</t>
  </si>
  <si>
    <t>Immature capability for customs, import/export, sanctions and trade documentation controls may lead to supplier failure, logistics disruption, inventory shortages and production or delivery delays during Supplier/logistics disruption; Manufacturing disruption; Demand shock.</t>
  </si>
  <si>
    <t>Low maturity, weak ownership, incomplete evidence, insufficient testing and poor integration with crisis-management routines for customs, import/export, sanctions and trade documentation controls.</t>
  </si>
  <si>
    <t>Severe risk: customs, import/export, sanctions and trade documentation controls is not reliably controlled. During Supplier/logistics disruption; Manufacturing disruption; Demand shock, the organization may face supplier failure, logistics disruption, inventory shortages and production or delivery delays with limited visibility or accountability.</t>
  </si>
  <si>
    <t>High risk: customs, import/export, sanctions and trade documentation controls depends on informal practices or individual knowledge. Disruption may expose supplier failure, logistics disruption, inventory shortages and production or delivery delays and slow recovery.</t>
  </si>
  <si>
    <t>Elevated risk: customs, import/export, sanctions and trade documentation controls is partially controlled, but coverage, evidence or testing is inconsistent. Crisis response may be fragmented.</t>
  </si>
  <si>
    <t>Moderate risk: customs, import/export, sanctions and trade documentation controls is documented and owned, but measurement, stress testing and integration with dependent processes need strengthening.</t>
  </si>
  <si>
    <t>Residual risk: customs, import/export, sanctions and trade documentation controls is measured and reviewed, but monitoring, automation or scenario testing should be improved to prevent maturity drift.</t>
  </si>
  <si>
    <t>Low residual risk: customs, import/export, sanctions and trade documentation controls is mature and crisis-tested. Maintain monitoring, evidence, ownership and periodic stress testing.</t>
  </si>
  <si>
    <t>Create an immediate risk owner, minimum control baseline and fallback procedure for customs, import/export, sanctions and trade documentation controls. Add it to the crisis risk register and collect first evidence.</t>
  </si>
  <si>
    <t>Document customs, import/export, sanctions and trade documentation controls, assign RACI, define minimum controls and KPIs, and validate coverage across key sites, teams or systems.</t>
  </si>
  <si>
    <t>Standardize customs, import/export, sanctions and trade documentation controls, close coverage gaps, train accountable roles and connect controls to the relevant crisis scenarios and continuity plans.</t>
  </si>
  <si>
    <t>Measure and test customs, import/export, sanctions and trade documentation controls, run tabletop or operational stress tests, integrate it with dependent processes and update crisis playbooks.</t>
  </si>
  <si>
    <t>Sustain maturity for customs, import/export, sanctions and trade documentation controls: keep evidence current, monitor drift, benchmark externally and refresh risk tests after organizational, system or market changes.</t>
  </si>
  <si>
    <t>Supply Chain!15</t>
  </si>
  <si>
    <t>Immature capability for Incoterms, insurance, liability and delivery obligations for critical flows may lead to supplier failure, logistics disruption, inventory shortages and production or delivery delays during Supplier/logistics disruption; Manufacturing disruption; Demand shock.</t>
  </si>
  <si>
    <t>Low maturity, weak ownership, incomplete evidence, insufficient testing and poor integration with crisis-management routines for Incoterms, insurance, liability and delivery obligations for critical flows.</t>
  </si>
  <si>
    <t>Severe risk: Incoterms, insurance, liability and delivery obligations for critical flows is not reliably controlled. During Supplier/logistics disruption; Manufacturing disruption; Demand shock, the organization may face supplier failure, logistics disruption, inventory shortages and production or delivery delays with limited visibility or accountability.</t>
  </si>
  <si>
    <t>High risk: Incoterms, insurance, liability and delivery obligations for critical flows depends on informal practices or individual knowledge. Disruption may expose supplier failure, logistics disruption, inventory shortages and production or delivery delays and slow recovery.</t>
  </si>
  <si>
    <t>Elevated risk: Incoterms, insurance, liability and delivery obligations for critical flows is partially controlled, but coverage, evidence or testing is inconsistent. Crisis response may be fragmented.</t>
  </si>
  <si>
    <t>Moderate risk: Incoterms, insurance, liability and delivery obligations for critical flows is documented and owned, but measurement, stress testing and integration with dependent processes need strengthening.</t>
  </si>
  <si>
    <t>Residual risk: Incoterms, insurance, liability and delivery obligations for critical flows is measured and reviewed, but monitoring, automation or scenario testing should be improved to prevent maturity drift.</t>
  </si>
  <si>
    <t>Low residual risk: Incoterms, insurance, liability and delivery obligations for critical flows is mature and crisis-tested. Maintain monitoring, evidence, ownership and periodic stress testing.</t>
  </si>
  <si>
    <t>Create an immediate risk owner, minimum control baseline and fallback procedure for Incoterms, insurance, liability and delivery obligations for critical flows. Add it to the crisis risk register and collect first evidence.</t>
  </si>
  <si>
    <t>Document Incoterms, insurance, liability and delivery obligations for critical flows, assign RACI, define minimum controls and KPIs, and validate coverage across key sites, teams or systems.</t>
  </si>
  <si>
    <t>Standardize Incoterms, insurance, liability and delivery obligations for critical flows, close coverage gaps, train accountable roles and connect controls to the relevant crisis scenarios and continuity plans.</t>
  </si>
  <si>
    <t>Measure and test Incoterms, insurance, liability and delivery obligations for critical flows, run tabletop or operational stress tests, integrate it with dependent processes and update crisis playbooks.</t>
  </si>
  <si>
    <t>Sustain maturity for Incoterms, insurance, liability and delivery obligations for critical flows: keep evidence current, monitor drift, benchmark externally and refresh risk tests after organizational, system or market changes.</t>
  </si>
  <si>
    <t>Supply Chain!16</t>
  </si>
  <si>
    <t>Immature capability for safety stock, reorder points, min/max levels and buffer rules by criticality and lead time may lead to supplier failure, logistics disruption, inventory shortages and production or delivery delays during Supplier/logistics disruption; Manufacturing disruption; Demand shock.</t>
  </si>
  <si>
    <t>Low maturity, weak ownership, incomplete evidence, insufficient testing and poor integration with crisis-management routines for safety stock, reorder points, min/max levels and buffer rules by criticality and lead time.</t>
  </si>
  <si>
    <t>Severe risk: safety stock, reorder points, min/max levels and buffer rules by criticality and lead time is not reliably controlled. During Supplier/logistics disruption; Manufacturing disruption; Demand shock, the organization may face supplier failure, logistics disruption, inventory shortages and production or delivery delays with limited visibility or accountability.</t>
  </si>
  <si>
    <t>High risk: safety stock, reorder points, min/max levels and buffer rules by criticality and lead time depends on informal practices or individual knowledge. Disruption may expose supplier failure, logistics disruption, inventory shortages and production or delivery delays and slow recovery.</t>
  </si>
  <si>
    <t>Elevated risk: safety stock, reorder points, min/max levels and buffer rules by criticality and lead time is partially controlled, but coverage, evidence or testing is inconsistent. Crisis response may be fragmented.</t>
  </si>
  <si>
    <t>Moderate risk: safety stock, reorder points, min/max levels and buffer rules by criticality and lead time is documented and owned, but measurement, stress testing and integration with dependent processes need strengthening.</t>
  </si>
  <si>
    <t>Residual risk: safety stock, reorder points, min/max levels and buffer rules by criticality and lead time is measured and reviewed, but monitoring, automation or scenario testing should be improved to prevent maturity drift.</t>
  </si>
  <si>
    <t>Low residual risk: safety stock, reorder points, min/max levels and buffer rules by criticality and lead time is mature and crisis-tested. Maintain monitoring, evidence, ownership and periodic stress testing.</t>
  </si>
  <si>
    <t>Create an immediate risk owner, minimum control baseline and fallback procedure for safety stock, reorder points, min/max levels and buffer rules by criticality and lead time. Add it to the crisis risk register and collect first evidence.</t>
  </si>
  <si>
    <t>Document safety stock, reorder points, min/max levels and buffer rules by criticality and lead time, assign RACI, define minimum controls and KPIs, and validate coverage across key sites, teams or systems.</t>
  </si>
  <si>
    <t>Standardize safety stock, reorder points, min/max levels and buffer rules by criticality and lead time, close coverage gaps, train accountable roles and connect controls to the relevant crisis scenarios and continuity plans.</t>
  </si>
  <si>
    <t>Measure and test safety stock, reorder points, min/max levels and buffer rules by criticality and lead time, run tabletop or operational stress tests, integrate it with dependent processes and update crisis playbooks.</t>
  </si>
  <si>
    <t>Sustain maturity for safety stock, reorder points, min/max levels and buffer rules by criticality and lead time: keep evidence current, monitor drift, benchmark externally and refresh risk tests after organizational, system or market changes.</t>
  </si>
  <si>
    <t>Supply Chain!17</t>
  </si>
  <si>
    <t>Immature capability for inventory visibility by SKU, location, status, shelf life, batch and ownership may lead to supplier failure, logistics disruption, inventory shortages and production or delivery delays during Supplier/logistics disruption; Manufacturing disruption; Demand shock.</t>
  </si>
  <si>
    <t>Low maturity, weak ownership, incomplete evidence, insufficient testing and poor integration with crisis-management routines for inventory visibility by SKU, location, status, shelf life, batch and ownership.</t>
  </si>
  <si>
    <t>Severe risk: inventory visibility by SKU, location, status, shelf life, batch and ownership is not reliably controlled. During Supplier/logistics disruption; Manufacturing disruption; Demand shock, the organization may face supplier failure, logistics disruption, inventory shortages and production or delivery delays with limited visibility or accountability.</t>
  </si>
  <si>
    <t>High risk: inventory visibility by SKU, location, status, shelf life, batch and ownership depends on informal practices or individual knowledge. Disruption may expose supplier failure, logistics disruption, inventory shortages and production or delivery delays and slow recovery.</t>
  </si>
  <si>
    <t>Elevated risk: inventory visibility by SKU, location, status, shelf life, batch and ownership is partially controlled, but coverage, evidence or testing is inconsistent. Crisis response may be fragmented.</t>
  </si>
  <si>
    <t>Moderate risk: inventory visibility by SKU, location, status, shelf life, batch and ownership is documented and owned, but measurement, stress testing and integration with dependent processes need strengthening.</t>
  </si>
  <si>
    <t>Residual risk: inventory visibility by SKU, location, status, shelf life, batch and ownership is measured and reviewed, but monitoring, automation or scenario testing should be improved to prevent maturity drift.</t>
  </si>
  <si>
    <t>Low residual risk: inventory visibility by SKU, location, status, shelf life, batch and ownership is mature and crisis-tested. Maintain monitoring, evidence, ownership and periodic stress testing.</t>
  </si>
  <si>
    <t>Create an immediate risk owner, minimum control baseline and fallback procedure for inventory visibility by SKU, location, status, shelf life, batch and ownership. Add it to the crisis risk register and collect first evidence.</t>
  </si>
  <si>
    <t>Document inventory visibility by SKU, location, status, shelf life, batch and ownership, assign RACI, define minimum controls and KPIs, and validate coverage across key sites, teams or systems.</t>
  </si>
  <si>
    <t>Standardize inventory visibility by SKU, location, status, shelf life, batch and ownership, close coverage gaps, train accountable roles and connect controls to the relevant crisis scenarios and continuity plans.</t>
  </si>
  <si>
    <t>Measure and test inventory visibility by SKU, location, status, shelf life, batch and ownership, run tabletop or operational stress tests, integrate it with dependent processes and update crisis playbooks.</t>
  </si>
  <si>
    <t>Sustain maturity for inventory visibility by SKU, location, status, shelf life, batch and ownership: keep evidence current, monitor drift, benchmark externally and refresh risk tests after organizational, system or market changes.</t>
  </si>
  <si>
    <t>Supply Chain!18</t>
  </si>
  <si>
    <t>Immature capability for slow-moving, obsolete or stagnant inventory analysis linked to sales and procurement decisions may lead to supplier failure, logistics disruption, inventory shortages and production or delivery delays during Supplier/logistics disruption; Manufacturing disruption; Demand shock.</t>
  </si>
  <si>
    <t>Low maturity, weak ownership, incomplete evidence, insufficient testing and poor integration with crisis-management routines for slow-moving, obsolete or stagnant inventory analysis linked to sales and procurement decisions.</t>
  </si>
  <si>
    <t>Severe risk: slow-moving, obsolete or stagnant inventory analysis linked to sales and procurement decisions is not reliably controlled. During Supplier/logistics disruption; Manufacturing disruption; Demand shock, the organization may face supplier failure, logistics disruption, inventory shortages and production or delivery delays with limited visibility or accountability.</t>
  </si>
  <si>
    <t>High risk: slow-moving, obsolete or stagnant inventory analysis linked to sales and procurement decisions depends on informal practices or individual knowledge. Disruption may expose supplier failure, logistics disruption, inventory shortages and production or delivery delays and slow recovery.</t>
  </si>
  <si>
    <t>Elevated risk: slow-moving, obsolete or stagnant inventory analysis linked to sales and procurement decisions is partially controlled, but coverage, evidence or testing is inconsistent. Crisis response may be fragmented.</t>
  </si>
  <si>
    <t>Moderate risk: slow-moving, obsolete or stagnant inventory analysis linked to sales and procurement decisions is documented and owned, but measurement, stress testing and integration with dependent processes need strengthening.</t>
  </si>
  <si>
    <t>Residual risk: slow-moving, obsolete or stagnant inventory analysis linked to sales and procurement decisions is measured and reviewed, but monitoring, automation or scenario testing should be improved to prevent maturity drift.</t>
  </si>
  <si>
    <t>Low residual risk: slow-moving, obsolete or stagnant inventory analysis linked to sales and procurement decisions is mature and crisis-tested. Maintain monitoring, evidence, ownership and periodic stress testing.</t>
  </si>
  <si>
    <t>Create an immediate risk owner, minimum control baseline and fallback procedure for slow-moving, obsolete or stagnant inventory analysis linked to sales and procurement decisions. Add it to the crisis risk register and collect first evidence.</t>
  </si>
  <si>
    <t>Document slow-moving, obsolete or stagnant inventory analysis linked to sales and procurement decisions, assign RACI, define minimum controls and KPIs, and validate coverage across key sites, teams or systems.</t>
  </si>
  <si>
    <t>Standardize slow-moving, obsolete or stagnant inventory analysis linked to sales and procurement decisions, close coverage gaps, train accountable roles and connect controls to the relevant crisis scenarios and continuity plans.</t>
  </si>
  <si>
    <t>Measure and test slow-moving, obsolete or stagnant inventory analysis linked to sales and procurement decisions, run tabletop or operational stress tests, integrate it with dependent processes and update crisis playbooks.</t>
  </si>
  <si>
    <t>Sustain maturity for slow-moving, obsolete or stagnant inventory analysis linked to sales and procurement decisions: keep evidence current, monitor drift, benchmark externally and refresh risk tests after organizational, system or market changes.</t>
  </si>
  <si>
    <t>Supply Chain!19</t>
  </si>
  <si>
    <t>Immature capability for critical materials and spare parts buffers sized using risk, demand variability and supplier lead time may lead to supplier failure, logistics disruption, inventory shortages and production or delivery delays during Supplier/logistics disruption; Manufacturing disruption; Demand shock.</t>
  </si>
  <si>
    <t>Low maturity, weak ownership, incomplete evidence, insufficient testing and poor integration with crisis-management routines for critical materials and spare parts buffers sized using risk, demand variability and supplier lead time.</t>
  </si>
  <si>
    <t>Severe risk: critical materials and spare parts buffers sized using risk, demand variability and supplier lead time is not reliably controlled. During Supplier/logistics disruption; Manufacturing disruption; Demand shock, the organization may face supplier failure, logistics disruption, inventory shortages and production or delivery delays with limited visibility or accountability.</t>
  </si>
  <si>
    <t>High risk: critical materials and spare parts buffers sized using risk, demand variability and supplier lead time depends on informal practices or individual knowledge. Disruption may expose supplier failure, logistics disruption, inventory shortages and production or delivery delays and slow recovery.</t>
  </si>
  <si>
    <t>Elevated risk: critical materials and spare parts buffers sized using risk, demand variability and supplier lead time is partially controlled, but coverage, evidence or testing is inconsistent. Crisis response may be fragmented.</t>
  </si>
  <si>
    <t>Moderate risk: critical materials and spare parts buffers sized using risk, demand variability and supplier lead time is documented and owned, but measurement, stress testing and integration with dependent processes need strengthening.</t>
  </si>
  <si>
    <t>Residual risk: critical materials and spare parts buffers sized using risk, demand variability and supplier lead time is measured and reviewed, but monitoring, automation or scenario testing should be improved to prevent maturity drift.</t>
  </si>
  <si>
    <t>Low residual risk: critical materials and spare parts buffers sized using risk, demand variability and supplier lead time is mature and crisis-tested. Maintain monitoring, evidence, ownership and periodic stress testing.</t>
  </si>
  <si>
    <t>Create an immediate risk owner, minimum control baseline and fallback procedure for critical materials and spare parts buffers sized using risk, demand variability and supplier lead time. Add it to the crisis risk register and collect first evidence.</t>
  </si>
  <si>
    <t>Document critical materials and spare parts buffers sized using risk, demand variability and supplier lead time, assign RACI, define minimum controls and KPIs, and validate coverage across key sites, teams or systems.</t>
  </si>
  <si>
    <t>Standardize critical materials and spare parts buffers sized using risk, demand variability and supplier lead time, close coverage gaps, train accountable roles and connect controls to the relevant crisis scenarios and continuity plans.</t>
  </si>
  <si>
    <t>Measure and test critical materials and spare parts buffers sized using risk, demand variability and supplier lead time, run tabletop or operational stress tests, integrate it with dependent processes and update crisis playbooks.</t>
  </si>
  <si>
    <t>Sustain maturity for critical materials and spare parts buffers sized using risk, demand variability and supplier lead time: keep evidence current, monitor drift, benchmark externally and refresh risk tests after organizational, system or market changes.</t>
  </si>
  <si>
    <t>Supply Chain!20</t>
  </si>
  <si>
    <t>Immature capability for demand forecast integrated with sales pipeline, history, seasonality and crisis scenarios may lead to supplier failure, logistics disruption, inventory shortages and production or delivery delays during Supplier/logistics disruption; Manufacturing disruption; Demand shock.</t>
  </si>
  <si>
    <t>Low maturity, weak ownership, incomplete evidence, insufficient testing and poor integration with crisis-management routines for demand forecast integrated with sales pipeline, history, seasonality and crisis scenarios.</t>
  </si>
  <si>
    <t>Severe risk: demand forecast integrated with sales pipeline, history, seasonality and crisis scenarios is not reliably controlled. During Supplier/logistics disruption; Manufacturing disruption; Demand shock, the organization may face supplier failure, logistics disruption, inventory shortages and production or delivery delays with limited visibility or accountability.</t>
  </si>
  <si>
    <t>High risk: demand forecast integrated with sales pipeline, history, seasonality and crisis scenarios depends on informal practices or individual knowledge. Disruption may expose supplier failure, logistics disruption, inventory shortages and production or delivery delays and slow recovery.</t>
  </si>
  <si>
    <t>Elevated risk: demand forecast integrated with sales pipeline, history, seasonality and crisis scenarios is partially controlled, but coverage, evidence or testing is inconsistent. Crisis response may be fragmented.</t>
  </si>
  <si>
    <t>Moderate risk: demand forecast integrated with sales pipeline, history, seasonality and crisis scenarios is documented and owned, but measurement, stress testing and integration with dependent processes need strengthening.</t>
  </si>
  <si>
    <t>Residual risk: demand forecast integrated with sales pipeline, history, seasonality and crisis scenarios is measured and reviewed, but monitoring, automation or scenario testing should be improved to prevent maturity drift.</t>
  </si>
  <si>
    <t>Low residual risk: demand forecast integrated with sales pipeline, history, seasonality and crisis scenarios is mature and crisis-tested. Maintain monitoring, evidence, ownership and periodic stress testing.</t>
  </si>
  <si>
    <t>Create an immediate risk owner, minimum control baseline and fallback procedure for demand forecast integrated with sales pipeline, history, seasonality and crisis scenarios. Add it to the crisis risk register and collect first evidence.</t>
  </si>
  <si>
    <t>Document demand forecast integrated with sales pipeline, history, seasonality and crisis scenarios, assign RACI, define minimum controls and KPIs, and validate coverage across key sites, teams or systems.</t>
  </si>
  <si>
    <t>Standardize demand forecast integrated with sales pipeline, history, seasonality and crisis scenarios, close coverage gaps, train accountable roles and connect controls to the relevant crisis scenarios and continuity plans.</t>
  </si>
  <si>
    <t>Measure and test demand forecast integrated with sales pipeline, history, seasonality and crisis scenarios, run tabletop or operational stress tests, integrate it with dependent processes and update crisis playbooks.</t>
  </si>
  <si>
    <t>Sustain maturity for demand forecast integrated with sales pipeline, history, seasonality and crisis scenarios: keep evidence current, monitor drift, benchmark externally and refresh risk tests after organizational, system or market changes.</t>
  </si>
  <si>
    <t>Supply Chain!21</t>
  </si>
  <si>
    <t>Immature capability for S&amp;OP or IBP process connecting sales, finance, production, procurement and logistics may lead to supplier failure, logistics disruption, inventory shortages and production or delivery delays during Supplier/logistics disruption; Manufacturing disruption; Demand shock.</t>
  </si>
  <si>
    <t>Low maturity, weak ownership, incomplete evidence, insufficient testing and poor integration with crisis-management routines for S&amp;OP or IBP process connecting sales, finance, production, procurement and logistics.</t>
  </si>
  <si>
    <t>Severe risk: S&amp;OP or IBP process connecting sales, finance, production, procurement and logistics is not reliably controlled. During Supplier/logistics disruption; Manufacturing disruption; Demand shock, the organization may face supplier failure, logistics disruption, inventory shortages and production or delivery delays with limited visibility or accountability.</t>
  </si>
  <si>
    <t>High risk: S&amp;OP or IBP process connecting sales, finance, production, procurement and logistics depends on informal practices or individual knowledge. Disruption may expose supplier failure, logistics disruption, inventory shortages and production or delivery delays and slow recovery.</t>
  </si>
  <si>
    <t>Elevated risk: S&amp;OP or IBP process connecting sales, finance, production, procurement and logistics is partially controlled, but coverage, evidence or testing is inconsistent. Crisis response may be fragmented.</t>
  </si>
  <si>
    <t>Moderate risk: S&amp;OP or IBP process connecting sales, finance, production, procurement and logistics is documented and owned, but measurement, stress testing and integration with dependent processes need strengthening.</t>
  </si>
  <si>
    <t>Residual risk: S&amp;OP or IBP process connecting sales, finance, production, procurement and logistics is measured and reviewed, but monitoring, automation or scenario testing should be improved to prevent maturity drift.</t>
  </si>
  <si>
    <t>Low residual risk: S&amp;OP or IBP process connecting sales, finance, production, procurement and logistics is mature and crisis-tested. Maintain monitoring, evidence, ownership and periodic stress testing.</t>
  </si>
  <si>
    <t>Create an immediate risk owner, minimum control baseline and fallback procedure for S&amp;OP or IBP process connecting sales, finance, production, procurement and logistics. Add it to the crisis risk register and collect first evidence.</t>
  </si>
  <si>
    <t>Document S&amp;OP or IBP process connecting sales, finance, production, procurement and logistics, assign RACI, define minimum controls and KPIs, and validate coverage across key sites, teams or systems.</t>
  </si>
  <si>
    <t>Standardize S&amp;OP or IBP process connecting sales, finance, production, procurement and logistics, close coverage gaps, train accountable roles and connect controls to the relevant crisis scenarios and continuity plans.</t>
  </si>
  <si>
    <t>Measure and test S&amp;OP or IBP process connecting sales, finance, production, procurement and logistics, run tabletop or operational stress tests, integrate it with dependent processes and update crisis playbooks.</t>
  </si>
  <si>
    <t>Sustain maturity for S&amp;OP or IBP process connecting sales, finance, production, procurement and logistics: keep evidence current, monitor drift, benchmark externally and refresh risk tests after organizational, system or market changes.</t>
  </si>
  <si>
    <t>Supply Chain!22</t>
  </si>
  <si>
    <t>Immature capability for planning cycle acceleration during crisis without losing data quality may lead to supplier failure, logistics disruption, inventory shortages and production or delivery delays during Supplier/logistics disruption; Manufacturing disruption; Demand shock.</t>
  </si>
  <si>
    <t>Low maturity, weak ownership, incomplete evidence, insufficient testing and poor integration with crisis-management routines for planning cycle acceleration during crisis without losing data quality.</t>
  </si>
  <si>
    <t>Severe risk: planning cycle acceleration during crisis without losing data quality is not reliably controlled. During Supplier/logistics disruption; Manufacturing disruption; Demand shock, the organization may face supplier failure, logistics disruption, inventory shortages and production or delivery delays with limited visibility or accountability.</t>
  </si>
  <si>
    <t>High risk: planning cycle acceleration during crisis without losing data quality depends on informal practices or individual knowledge. Disruption may expose supplier failure, logistics disruption, inventory shortages and production or delivery delays and slow recovery.</t>
  </si>
  <si>
    <t>Elevated risk: planning cycle acceleration during crisis without losing data quality is partially controlled, but coverage, evidence or testing is inconsistent. Crisis response may be fragmented.</t>
  </si>
  <si>
    <t>Moderate risk: planning cycle acceleration during crisis without losing data quality is documented and owned, but measurement, stress testing and integration with dependent processes need strengthening.</t>
  </si>
  <si>
    <t>Residual risk: planning cycle acceleration during crisis without losing data quality is measured and reviewed, but monitoring, automation or scenario testing should be improved to prevent maturity drift.</t>
  </si>
  <si>
    <t>Low residual risk: planning cycle acceleration during crisis without losing data quality is mature and crisis-tested. Maintain monitoring, evidence, ownership and periodic stress testing.</t>
  </si>
  <si>
    <t>Create an immediate risk owner, minimum control baseline and fallback procedure for planning cycle acceleration during crisis without losing data quality. Add it to the crisis risk register and collect first evidence.</t>
  </si>
  <si>
    <t>Document planning cycle acceleration during crisis without losing data quality, assign RACI, define minimum controls and KPIs, and validate coverage across key sites, teams or systems.</t>
  </si>
  <si>
    <t>Standardize planning cycle acceleration during crisis without losing data quality, close coverage gaps, train accountable roles and connect controls to the relevant crisis scenarios and continuity plans.</t>
  </si>
  <si>
    <t>Measure and test planning cycle acceleration during crisis without losing data quality, run tabletop or operational stress tests, integrate it with dependent processes and update crisis playbooks.</t>
  </si>
  <si>
    <t>Sustain maturity for planning cycle acceleration during crisis without losing data quality: keep evidence current, monitor drift, benchmark externally and refresh risk tests after organizational, system or market changes.</t>
  </si>
  <si>
    <t>Supply Chain!23</t>
  </si>
  <si>
    <t>Immature capability for ERP, MRP, WMS, TMS and supplier portal integration and resilience may lead to supplier failure, logistics disruption, inventory shortages and production or delivery delays during Supplier/logistics disruption; Manufacturing disruption; Demand shock.</t>
  </si>
  <si>
    <t>Low maturity, weak ownership, incomplete evidence, insufficient testing and poor integration with crisis-management routines for ERP, MRP, WMS, TMS and supplier portal integration and resilience.</t>
  </si>
  <si>
    <t>Severe risk: ERP, MRP, WMS, TMS and supplier portal integration and resilience is not reliably controlled. During Supplier/logistics disruption; Manufacturing disruption; Demand shock, the organization may face supplier failure, logistics disruption, inventory shortages and production or delivery delays with limited visibility or accountability.</t>
  </si>
  <si>
    <t>High risk: ERP, MRP, WMS, TMS and supplier portal integration and resilience depends on informal practices or individual knowledge. Disruption may expose supplier failure, logistics disruption, inventory shortages and production or delivery delays and slow recovery.</t>
  </si>
  <si>
    <t>Elevated risk: ERP, MRP, WMS, TMS and supplier portal integration and resilience is partially controlled, but coverage, evidence or testing is inconsistent. Crisis response may be fragmented.</t>
  </si>
  <si>
    <t>Moderate risk: ERP, MRP, WMS, TMS and supplier portal integration and resilience is documented and owned, but measurement, stress testing and integration with dependent processes need strengthening.</t>
  </si>
  <si>
    <t>Residual risk: ERP, MRP, WMS, TMS and supplier portal integration and resilience is measured and reviewed, but monitoring, automation or scenario testing should be improved to prevent maturity drift.</t>
  </si>
  <si>
    <t>Low residual risk: ERP, MRP, WMS, TMS and supplier portal integration and resilience is mature and crisis-tested. Maintain monitoring, evidence, ownership and periodic stress testing.</t>
  </si>
  <si>
    <t>Create an immediate risk owner, minimum control baseline and fallback procedure for ERP, MRP, WMS, TMS and supplier portal integration and resilience. Add it to the crisis risk register and collect first evidence.</t>
  </si>
  <si>
    <t>Document ERP, MRP, WMS, TMS and supplier portal integration and resilience, assign RACI, define minimum controls and KPIs, and validate coverage across key sites, teams or systems.</t>
  </si>
  <si>
    <t>Standardize ERP, MRP, WMS, TMS and supplier portal integration and resilience, close coverage gaps, train accountable roles and connect controls to the relevant crisis scenarios and continuity plans.</t>
  </si>
  <si>
    <t>Measure and test ERP, MRP, WMS, TMS and supplier portal integration and resilience, run tabletop or operational stress tests, integrate it with dependent processes and update crisis playbooks.</t>
  </si>
  <si>
    <t>Sustain maturity for ERP, MRP, WMS, TMS and supplier portal integration and resilience: keep evidence current, monitor drift, benchmark externally and refresh risk tests after organizational, system or market changes.</t>
  </si>
  <si>
    <t>Supply Chain!24</t>
  </si>
  <si>
    <t>Immature capability for supply chain early warning monitoring for supplier, geopolitical, weather, port, customs and price risks may lead to supplier failure, logistics disruption, inventory shortages and production or delivery delays during Supplier/logistics disruption; Manufacturing disruption; Demand shock.</t>
  </si>
  <si>
    <t>Low maturity, weak ownership, incomplete evidence, insufficient testing and poor integration with crisis-management routines for supply chain early warning monitoring for supplier, geopolitical, weather, port, customs and price risks.</t>
  </si>
  <si>
    <t>Severe risk: supply chain early warning monitoring for supplier, geopolitical, weather, port, customs and price risks is not reliably controlled. During Supplier/logistics disruption; Manufacturing disruption; Demand shock, the organization may face supplier failure, logistics disruption, inventory shortages and production or delivery delays with limited visibility or accountability.</t>
  </si>
  <si>
    <t>High risk: supply chain early warning monitoring for supplier, geopolitical, weather, port, customs and price risks depends on informal practices or individual knowledge. Disruption may expose supplier failure, logistics disruption, inventory shortages and production or delivery delays and slow recovery.</t>
  </si>
  <si>
    <t>Elevated risk: supply chain early warning monitoring for supplier, geopolitical, weather, port, customs and price risks is partially controlled, but coverage, evidence or testing is inconsistent. Crisis response may be fragmented.</t>
  </si>
  <si>
    <t>Moderate risk: supply chain early warning monitoring for supplier, geopolitical, weather, port, customs and price risks is documented and owned, but measurement, stress testing and integration with dependent processes need strengthening.</t>
  </si>
  <si>
    <t>Residual risk: supply chain early warning monitoring for supplier, geopolitical, weather, port, customs and price risks is measured and reviewed, but monitoring, automation or scenario testing should be improved to prevent maturity drift.</t>
  </si>
  <si>
    <t>Low residual risk: supply chain early warning monitoring for supplier, geopolitical, weather, port, customs and price risks is mature and crisis-tested. Maintain monitoring, evidence, ownership and periodic stress testing.</t>
  </si>
  <si>
    <t>Create an immediate risk owner, minimum control baseline and fallback procedure for supply chain early warning monitoring for supplier, geopolitical, weather, port, customs and price risks. Add it to the crisis risk register and collect first evidence.</t>
  </si>
  <si>
    <t>Document supply chain early warning monitoring for supplier, geopolitical, weather, port, customs and price risks, assign RACI, define minimum controls and KPIs, and validate coverage across key sites, teams or systems.</t>
  </si>
  <si>
    <t>Standardize supply chain early warning monitoring for supplier, geopolitical, weather, port, customs and price risks, close coverage gaps, train accountable roles and connect controls to the relevant crisis scenarios and continuity plans.</t>
  </si>
  <si>
    <t>Measure and test supply chain early warning monitoring for supplier, geopolitical, weather, port, customs and price risks, run tabletop or operational stress tests, integrate it with dependent processes and update crisis playbooks.</t>
  </si>
  <si>
    <t>Sustain maturity for supply chain early warning monitoring for supplier, geopolitical, weather, port, customs and price risks: keep evidence current, monitor drift, benchmark externally and refresh risk tests after organizational, system or market changes.</t>
  </si>
  <si>
    <t>Supply Chain!25</t>
  </si>
  <si>
    <t>Immature capability for supply cost volatility monitoring for freight, energy, commodities and currency may lead to supplier failure, logistics disruption, inventory shortages and production or delivery delays during Supplier/logistics disruption; Manufacturing disruption; Demand shock.</t>
  </si>
  <si>
    <t>Low maturity, weak ownership, incomplete evidence, insufficient testing and poor integration with crisis-management routines for supply cost volatility monitoring for freight, energy, commodities and currency.</t>
  </si>
  <si>
    <t>Severe risk: supply cost volatility monitoring for freight, energy, commodities and currency is not reliably controlled. During Supplier/logistics disruption; Manufacturing disruption; Demand shock, the organization may face supplier failure, logistics disruption, inventory shortages and production or delivery delays with limited visibility or accountability.</t>
  </si>
  <si>
    <t>High risk: supply cost volatility monitoring for freight, energy, commodities and currency depends on informal practices or individual knowledge. Disruption may expose supplier failure, logistics disruption, inventory shortages and production or delivery delays and slow recovery.</t>
  </si>
  <si>
    <t>Elevated risk: supply cost volatility monitoring for freight, energy, commodities and currency is partially controlled, but coverage, evidence or testing is inconsistent. Crisis response may be fragmented.</t>
  </si>
  <si>
    <t>Moderate risk: supply cost volatility monitoring for freight, energy, commodities and currency is documented and owned, but measurement, stress testing and integration with dependent processes need strengthening.</t>
  </si>
  <si>
    <t>Residual risk: supply cost volatility monitoring for freight, energy, commodities and currency is measured and reviewed, but monitoring, automation or scenario testing should be improved to prevent maturity drift.</t>
  </si>
  <si>
    <t>Low residual risk: supply cost volatility monitoring for freight, energy, commodities and currency is mature and crisis-tested. Maintain monitoring, evidence, ownership and periodic stress testing.</t>
  </si>
  <si>
    <t>Create an immediate risk owner, minimum control baseline and fallback procedure for supply cost volatility monitoring for freight, energy, commodities and currency. Add it to the crisis risk register and collect first evidence.</t>
  </si>
  <si>
    <t>Document supply cost volatility monitoring for freight, energy, commodities and currency, assign RACI, define minimum controls and KPIs, and validate coverage across key sites, teams or systems.</t>
  </si>
  <si>
    <t>Standardize supply cost volatility monitoring for freight, energy, commodities and currency, close coverage gaps, train accountable roles and connect controls to the relevant crisis scenarios and continuity plans.</t>
  </si>
  <si>
    <t>Measure and test supply cost volatility monitoring for freight, energy, commodities and currency, run tabletop or operational stress tests, integrate it with dependent processes and update crisis playbooks.</t>
  </si>
  <si>
    <t>Sustain maturity for supply cost volatility monitoring for freight, energy, commodities and currency: keep evidence current, monitor drift, benchmark externally and refresh risk tests after organizational, system or market changes.</t>
  </si>
  <si>
    <t>Supply Chain!26</t>
  </si>
  <si>
    <t>Immature capability for allocation rules when supply is insufficient to serve all customers may lead to supplier failure, logistics disruption, inventory shortages and production or delivery delays during Supplier/logistics disruption; Manufacturing disruption; Demand shock.</t>
  </si>
  <si>
    <t>Low maturity, weak ownership, incomplete evidence, insufficient testing and poor integration with crisis-management routines for allocation rules when supply is insufficient to serve all customers.</t>
  </si>
  <si>
    <t>Severe risk: allocation rules when supply is insufficient to serve all customers is not reliably controlled. During Supplier/logistics disruption; Manufacturing disruption; Demand shock, the organization may face supplier failure, logistics disruption, inventory shortages and production or delivery delays with limited visibility or accountability.</t>
  </si>
  <si>
    <t>High risk: allocation rules when supply is insufficient to serve all customers depends on informal practices or individual knowledge. Disruption may expose supplier failure, logistics disruption, inventory shortages and production or delivery delays and slow recovery.</t>
  </si>
  <si>
    <t>Elevated risk: allocation rules when supply is insufficient to serve all customers is partially controlled, but coverage, evidence or testing is inconsistent. Crisis response may be fragmented.</t>
  </si>
  <si>
    <t>Moderate risk: allocation rules when supply is insufficient to serve all customers is documented and owned, but measurement, stress testing and integration with dependent processes need strengthening.</t>
  </si>
  <si>
    <t>Residual risk: allocation rules when supply is insufficient to serve all customers is measured and reviewed, but monitoring, automation or scenario testing should be improved to prevent maturity drift.</t>
  </si>
  <si>
    <t>Low residual risk: allocation rules when supply is insufficient to serve all customers is mature and crisis-tested. Maintain monitoring, evidence, ownership and periodic stress testing.</t>
  </si>
  <si>
    <t>Create an immediate risk owner, minimum control baseline and fallback procedure for allocation rules when supply is insufficient to serve all customers. Add it to the crisis risk register and collect first evidence.</t>
  </si>
  <si>
    <t>Document allocation rules when supply is insufficient to serve all customers, assign RACI, define minimum controls and KPIs, and validate coverage across key sites, teams or systems.</t>
  </si>
  <si>
    <t>Standardize allocation rules when supply is insufficient to serve all customers, close coverage gaps, train accountable roles and connect controls to the relevant crisis scenarios and continuity plans.</t>
  </si>
  <si>
    <t>Measure and test allocation rules when supply is insufficient to serve all customers, run tabletop or operational stress tests, integrate it with dependent processes and update crisis playbooks.</t>
  </si>
  <si>
    <t>Sustain maturity for allocation rules when supply is insufficient to serve all customers: keep evidence current, monitor drift, benchmark externally and refresh risk tests after organizational, system or market changes.</t>
  </si>
  <si>
    <t>Supply Chain!27</t>
  </si>
  <si>
    <t>Immature capability for SKU, supplier, BOM, lead-time and replenishment master data quality may lead to supplier failure, logistics disruption, inventory shortages and production or delivery delays during Supplier/logistics disruption; Manufacturing disruption; Demand shock.</t>
  </si>
  <si>
    <t>Low maturity, weak ownership, incomplete evidence, insufficient testing and poor integration with crisis-management routines for SKU, supplier, BOM, lead-time and replenishment master data quality.</t>
  </si>
  <si>
    <t>Severe risk: SKU, supplier, BOM, lead-time and replenishment master data quality is not reliably controlled. During Supplier/logistics disruption; Manufacturing disruption; Demand shock, the organization may face supplier failure, logistics disruption, inventory shortages and production or delivery delays with limited visibility or accountability.</t>
  </si>
  <si>
    <t>High risk: SKU, supplier, BOM, lead-time and replenishment master data quality depends on informal practices or individual knowledge. Disruption may expose supplier failure, logistics disruption, inventory shortages and production or delivery delays and slow recovery.</t>
  </si>
  <si>
    <t>Elevated risk: SKU, supplier, BOM, lead-time and replenishment master data quality is partially controlled, but coverage, evidence or testing is inconsistent. Crisis response may be fragmented.</t>
  </si>
  <si>
    <t>Moderate risk: SKU, supplier, BOM, lead-time and replenishment master data quality is documented and owned, but measurement, stress testing and integration with dependent processes need strengthening.</t>
  </si>
  <si>
    <t>Residual risk: SKU, supplier, BOM, lead-time and replenishment master data quality is measured and reviewed, but monitoring, automation or scenario testing should be improved to prevent maturity drift.</t>
  </si>
  <si>
    <t>Low residual risk: SKU, supplier, BOM, lead-time and replenishment master data quality is mature and crisis-tested. Maintain monitoring, evidence, ownership and periodic stress testing.</t>
  </si>
  <si>
    <t>Create an immediate risk owner, minimum control baseline and fallback procedure for SKU, supplier, BOM, lead-time and replenishment master data quality. Add it to the crisis risk register and collect first evidence.</t>
  </si>
  <si>
    <t>Document SKU, supplier, BOM, lead-time and replenishment master data quality, assign RACI, define minimum controls and KPIs, and validate coverage across key sites, teams or systems.</t>
  </si>
  <si>
    <t>Standardize SKU, supplier, BOM, lead-time and replenishment master data quality, close coverage gaps, train accountable roles and connect controls to the relevant crisis scenarios and continuity plans.</t>
  </si>
  <si>
    <t>Measure and test SKU, supplier, BOM, lead-time and replenishment master data quality, run tabletop or operational stress tests, integrate it with dependent processes and update crisis playbooks.</t>
  </si>
  <si>
    <t>Sustain maturity for SKU, supplier, BOM, lead-time and replenishment master data quality: keep evidence current, monitor drift, benchmark externally and refresh risk tests after organizational, system or market changes.</t>
  </si>
  <si>
    <t>Supply Chain!28</t>
  </si>
  <si>
    <t>Immature capability for approved substitution rules for materials, components and suppliers may lead to supplier failure, logistics disruption, inventory shortages and production or delivery delays during Supplier/logistics disruption; Manufacturing disruption; Demand shock.</t>
  </si>
  <si>
    <t>Low maturity, weak ownership, incomplete evidence, insufficient testing and poor integration with crisis-management routines for approved substitution rules for materials, components and suppliers.</t>
  </si>
  <si>
    <t>Severe risk: approved substitution rules for materials, components and suppliers is not reliably controlled. During Supplier/logistics disruption; Manufacturing disruption; Demand shock, the organization may face supplier failure, logistics disruption, inventory shortages and production or delivery delays with limited visibility or accountability.</t>
  </si>
  <si>
    <t>High risk: approved substitution rules for materials, components and suppliers depends on informal practices or individual knowledge. Disruption may expose supplier failure, logistics disruption, inventory shortages and production or delivery delays and slow recovery.</t>
  </si>
  <si>
    <t>Elevated risk: approved substitution rules for materials, components and suppliers is partially controlled, but coverage, evidence or testing is inconsistent. Crisis response may be fragmented.</t>
  </si>
  <si>
    <t>Moderate risk: approved substitution rules for materials, components and suppliers is documented and owned, but measurement, stress testing and integration with dependent processes need strengthening.</t>
  </si>
  <si>
    <t>Residual risk: approved substitution rules for materials, components and suppliers is measured and reviewed, but monitoring, automation or scenario testing should be improved to prevent maturity drift.</t>
  </si>
  <si>
    <t>Low residual risk: approved substitution rules for materials, components and suppliers is mature and crisis-tested. Maintain monitoring, evidence, ownership and periodic stress testing.</t>
  </si>
  <si>
    <t>Create an immediate risk owner, minimum control baseline and fallback procedure for approved substitution rules for materials, components and suppliers. Add it to the crisis risk register and collect first evidence.</t>
  </si>
  <si>
    <t>Document approved substitution rules for materials, components and suppliers, assign RACI, define minimum controls and KPIs, and validate coverage across key sites, teams or systems.</t>
  </si>
  <si>
    <t>Standardize approved substitution rules for materials, components and suppliers, close coverage gaps, train accountable roles and connect controls to the relevant crisis scenarios and continuity plans.</t>
  </si>
  <si>
    <t>Measure and test approved substitution rules for materials, components and suppliers, run tabletop or operational stress tests, integrate it with dependent processes and update crisis playbooks.</t>
  </si>
  <si>
    <t>Sustain maturity for approved substitution rules for materials, components and suppliers: keep evidence current, monitor drift, benchmark externally and refresh risk tests after organizational, system or market changes.</t>
  </si>
  <si>
    <t>Supply Chain!29</t>
  </si>
  <si>
    <t>Supply chain orchestration and resilience</t>
  </si>
  <si>
    <t>Immature capability for supply chain strategy aligned with business strategy and reviewed against scenarios and market shifts may lead to a supply network optimized for yesterday’s business, misaligned investments and slow strategic response during Supplier/logistics disruption; Demand shock; Geopolitical risk.</t>
  </si>
  <si>
    <t>Low maturity, weak ownership, incomplete evidence, insufficient testing and poor integration with crisis-management routines for supply chain strategy aligned with business strategy and reviewed against scenarios and market shifts.</t>
  </si>
  <si>
    <t>Severe risk: supply chain strategy aligned with business strategy and reviewed against scenarios and market shifts is not reliably controlled. During Supplier/logistics disruption; Demand shock; Geopolitical risk, the organization may face a supply network optimized for yesterday’s business, misaligned investments and slow strategic response with limited visibility or accountability.</t>
  </si>
  <si>
    <t>High risk: supply chain strategy aligned with business strategy and reviewed against scenarios and market shifts depends on informal practices or individual knowledge. Disruption may expose a supply network optimized for yesterday’s business, misaligned investments and slow strategic response and slow recovery.</t>
  </si>
  <si>
    <t>Elevated risk: supply chain strategy aligned with business strategy and reviewed against scenarios and market shifts is partially controlled, but coverage, evidence or testing is inconsistent. Crisis response may be fragmented.</t>
  </si>
  <si>
    <t>Moderate risk: supply chain strategy aligned with business strategy and reviewed against scenarios and market shifts is documented and owned, but measurement, stress testing and integration with dependent processes need strengthening.</t>
  </si>
  <si>
    <t>Residual risk: supply chain strategy aligned with business strategy and reviewed against scenarios and market shifts is measured and reviewed, but monitoring, automation or scenario testing should be improved to prevent maturity drift.</t>
  </si>
  <si>
    <t>Low residual risk: supply chain strategy aligned with business strategy and reviewed against scenarios and market shifts is mature and crisis-tested. Maintain monitoring, evidence, ownership and periodic stress testing.</t>
  </si>
  <si>
    <t>Create an immediate risk owner, minimum control baseline and fallback procedure for supply chain strategy aligned with business strategy and reviewed against scenarios and market shifts. Add it to the crisis risk register and collect first evidence.</t>
  </si>
  <si>
    <t>Document supply chain strategy aligned with business strategy and reviewed against scenarios and market shifts, assign RACI, define minimum controls and KPIs, and validate coverage across key sites, teams or systems.</t>
  </si>
  <si>
    <t>Standardize supply chain strategy aligned with business strategy and reviewed against scenarios and market shifts, close coverage gaps, train accountable roles and connect controls to the relevant crisis scenarios and continuity plans.</t>
  </si>
  <si>
    <t>Measure and test supply chain strategy aligned with business strategy and reviewed against scenarios and market shifts, run tabletop or operational stress tests, integrate it with dependent processes and update crisis playbooks.</t>
  </si>
  <si>
    <t>Sustain maturity for supply chain strategy aligned with business strategy and reviewed against scenarios and market shifts: keep evidence current, monitor drift, benchmark externally and refresh risk tests after organizational, system or market changes.</t>
  </si>
  <si>
    <t>Policy/SOP; owner/RACI; system report; dashboard; contracts; test records; incident history; interview evidence related to supply chain strategy aligned with business strategy and reviewed against scenarios and market shifts</t>
  </si>
  <si>
    <t>COO / Head of Supply Chain</t>
  </si>
  <si>
    <t>Supply Chain!30</t>
  </si>
  <si>
    <t>Immature capability for supply chain risk and resilience management with time-to-recovery and time-to-survive analysis for critical nodes may lead to unknown recovery times, untested failure modes and cascading supply failures during crisis during Supplier/logistics disruption; War/security crisis; Natural disaster.</t>
  </si>
  <si>
    <t>Low maturity, weak ownership, incomplete evidence, insufficient testing and poor integration with crisis-management routines for supply chain risk and resilience management with time-to-recovery and time-to-survive analysis for critical nodes.</t>
  </si>
  <si>
    <t>Severe risk: supply chain risk and resilience management with time-to-recovery and time-to-survive analysis for critical nodes is not reliably controlled. During Supplier/logistics disruption; War/security crisis; Natural disaster, the organization may face unknown recovery times, untested failure modes and cascading supply failures during crisis with limited visibility or accountability.</t>
  </si>
  <si>
    <t>High risk: supply chain risk and resilience management with time-to-recovery and time-to-survive analysis for critical nodes depends on informal practices or individual knowledge. Disruption may expose unknown recovery times, untested failure modes and cascading supply failures during crisis and slow recovery.</t>
  </si>
  <si>
    <t>Elevated risk: supply chain risk and resilience management with time-to-recovery and time-to-survive analysis for critical nodes is partially controlled, but coverage, evidence or testing is inconsistent. Crisis response may be fragmented.</t>
  </si>
  <si>
    <t>Moderate risk: supply chain risk and resilience management with time-to-recovery and time-to-survive analysis for critical nodes is documented and owned, but measurement, stress testing and integration with dependent processes need strengthening.</t>
  </si>
  <si>
    <t>Residual risk: supply chain risk and resilience management with time-to-recovery and time-to-survive analysis for critical nodes is measured and reviewed, but monitoring, automation or scenario testing should be improved to prevent maturity drift.</t>
  </si>
  <si>
    <t>Low residual risk: supply chain risk and resilience management with time-to-recovery and time-to-survive analysis for critical nodes is mature and crisis-tested. Maintain monitoring, evidence, ownership and periodic stress testing.</t>
  </si>
  <si>
    <t>Create an immediate risk owner, minimum control baseline and fallback procedure for supply chain risk and resilience management with time-to-recovery and time-to-survive analysis for critical nodes. Add it to the crisis risk register and collect first evidence.</t>
  </si>
  <si>
    <t>Document supply chain risk and resilience management with time-to-recovery and time-to-survive analysis for critical nodes, assign RACI, define minimum controls and KPIs, and validate coverage across key sites, teams or systems.</t>
  </si>
  <si>
    <t>Standardize supply chain risk and resilience management with time-to-recovery and time-to-survive analysis for critical nodes, close coverage gaps, train accountable roles and connect controls to the relevant crisis scenarios and continuity plans.</t>
  </si>
  <si>
    <t>Measure and test supply chain risk and resilience management with time-to-recovery and time-to-survive analysis for critical nodes, run tabletop or operational stress tests, integrate it with dependent processes and update crisis playbooks.</t>
  </si>
  <si>
    <t>Sustain maturity for supply chain risk and resilience management with time-to-recovery and time-to-survive analysis for critical nodes: keep evidence current, monitor drift, benchmark externally and refresh risk tests after organizational, system or market changes.</t>
  </si>
  <si>
    <t>Policy/SOP; owner/RACI; system report; dashboard; contracts; test records; incident history; interview evidence related to supply chain risk and resilience management with time-to-recovery and time-to-survive analysis for critical nodes</t>
  </si>
  <si>
    <t>Head of Supply Chain / Risk</t>
  </si>
  <si>
    <t>Supply Chain!31</t>
  </si>
  <si>
    <t>Immature capability for supply chain agility measurement covering upside and downside flexibility and adaptability metrics may lead to slow reaction to demand and supply swings and unquantified flexibility limits during Demand shock; Supplier/logistics disruption.</t>
  </si>
  <si>
    <t>Low maturity, weak ownership, incomplete evidence, insufficient testing and poor integration with crisis-management routines for supply chain agility measurement covering upside and downside flexibility and adaptability metrics.</t>
  </si>
  <si>
    <t>Severe risk: supply chain agility measurement covering upside and downside flexibility and adaptability metrics is not reliably controlled. During Demand shock; Supplier/logistics disruption, the organization may face slow reaction to demand and supply swings and unquantified flexibility limits with limited visibility or accountability.</t>
  </si>
  <si>
    <t>High risk: supply chain agility measurement covering upside and downside flexibility and adaptability metrics depends on informal practices or individual knowledge. Disruption may expose slow reaction to demand and supply swings and unquantified flexibility limits and slow recovery.</t>
  </si>
  <si>
    <t>Elevated risk: supply chain agility measurement covering upside and downside flexibility and adaptability metrics is partially controlled, but coverage, evidence or testing is inconsistent. Crisis response may be fragmented.</t>
  </si>
  <si>
    <t>Moderate risk: supply chain agility measurement covering upside and downside flexibility and adaptability metrics is documented and owned, but measurement, stress testing and integration with dependent processes need strengthening.</t>
  </si>
  <si>
    <t>Residual risk: supply chain agility measurement covering upside and downside flexibility and adaptability metrics is measured and reviewed, but monitoring, automation or scenario testing should be improved to prevent maturity drift.</t>
  </si>
  <si>
    <t>Low residual risk: supply chain agility measurement covering upside and downside flexibility and adaptability metrics is mature and crisis-tested. Maintain monitoring, evidence, ownership and periodic stress testing.</t>
  </si>
  <si>
    <t>Create an immediate risk owner, minimum control baseline and fallback procedure for supply chain agility measurement covering upside and downside flexibility and adaptability metrics. Add it to the crisis risk register and collect first evidence.</t>
  </si>
  <si>
    <t>Document supply chain agility measurement covering upside and downside flexibility and adaptability metrics, assign RACI, define minimum controls and KPIs, and validate coverage across key sites, teams or systems.</t>
  </si>
  <si>
    <t>Standardize supply chain agility measurement covering upside and downside flexibility and adaptability metrics, close coverage gaps, train accountable roles and connect controls to the relevant crisis scenarios and continuity plans.</t>
  </si>
  <si>
    <t>Measure and test supply chain agility measurement covering upside and downside flexibility and adaptability metrics, run tabletop or operational stress tests, integrate it with dependent processes and update crisis playbooks.</t>
  </si>
  <si>
    <t>Sustain maturity for supply chain agility measurement covering upside and downside flexibility and adaptability metrics: keep evidence current, monitor drift, benchmark externally and refresh risk tests after organizational, system or market changes.</t>
  </si>
  <si>
    <t>Policy/SOP; owner/RACI; system report; dashboard; contracts; test records; incident history; interview evidence related to supply chain agility measurement covering upside and downside flexibility and adaptability metrics</t>
  </si>
  <si>
    <t>Head of Supply Chain</t>
  </si>
  <si>
    <t>Supply Chain!32</t>
  </si>
  <si>
    <t>Immature capability for periodic supply network design review stress-testing nodes, routes and capacity against crisis scenarios may lead to a structurally fragile network, hidden chokepoints and overdependence on single nodes during Supplier/logistics disruption; Geopolitical risk; Natural disaster.</t>
  </si>
  <si>
    <t>Low maturity, weak ownership, incomplete evidence, insufficient testing and poor integration with crisis-management routines for periodic supply network design review stress-testing nodes, routes and capacity against crisis scenarios.</t>
  </si>
  <si>
    <t>Severe risk: periodic supply network design review stress-testing nodes, routes and capacity against crisis scenarios is not reliably controlled. During Supplier/logistics disruption; Geopolitical risk; Natural disaster, the organization may face a structurally fragile network, hidden chokepoints and overdependence on single nodes with limited visibility or accountability.</t>
  </si>
  <si>
    <t>High risk: periodic supply network design review stress-testing nodes, routes and capacity against crisis scenarios depends on informal practices or individual knowledge. Disruption may expose a structurally fragile network, hidden chokepoints and overdependence on single nodes and slow recovery.</t>
  </si>
  <si>
    <t>Elevated risk: periodic supply network design review stress-testing nodes, routes and capacity against crisis scenarios is partially controlled, but coverage, evidence or testing is inconsistent. Crisis response may be fragmented.</t>
  </si>
  <si>
    <t>Moderate risk: periodic supply network design review stress-testing nodes, routes and capacity against crisis scenarios is documented and owned, but measurement, stress testing and integration with dependent processes need strengthening.</t>
  </si>
  <si>
    <t>Residual risk: periodic supply network design review stress-testing nodes, routes and capacity against crisis scenarios is measured and reviewed, but monitoring, automation or scenario testing should be improved to prevent maturity drift.</t>
  </si>
  <si>
    <t>Low residual risk: periodic supply network design review stress-testing nodes, routes and capacity against crisis scenarios is mature and crisis-tested. Maintain monitoring, evidence, ownership and periodic stress testing.</t>
  </si>
  <si>
    <t>Create an immediate risk owner, minimum control baseline and fallback procedure for periodic supply network design review stress-testing nodes, routes and capacity against crisis scenarios. Add it to the crisis risk register and collect first evidence.</t>
  </si>
  <si>
    <t>Document periodic supply network design review stress-testing nodes, routes and capacity against crisis scenarios, assign RACI, define minimum controls and KPIs, and validate coverage across key sites, teams or systems.</t>
  </si>
  <si>
    <t>Standardize periodic supply network design review stress-testing nodes, routes and capacity against crisis scenarios, close coverage gaps, train accountable roles and connect controls to the relevant crisis scenarios and continuity plans.</t>
  </si>
  <si>
    <t>Measure and test periodic supply network design review stress-testing nodes, routes and capacity against crisis scenarios, run tabletop or operational stress tests, integrate it with dependent processes and update crisis playbooks.</t>
  </si>
  <si>
    <t>Sustain maturity for periodic supply network design review stress-testing nodes, routes and capacity against crisis scenarios: keep evidence current, monitor drift, benchmark externally and refresh risk tests after organizational, system or market changes.</t>
  </si>
  <si>
    <t>Policy/SOP; owner/RACI; system report; dashboard; contracts; test records; incident history; interview evidence related to periodic supply network design review stress-testing nodes, routes and capacity against crisis scenarios</t>
  </si>
  <si>
    <t>Supply Chain!33</t>
  </si>
  <si>
    <t>Immature capability for production footprint by plant, line, product family, capacity, workforce and crisis exposure may lead to production stoppage, quality defects, low asset visibility and inability to recover shop-floor operations during Manufacturing disruption; Safety incident; Energy outage; Cyberattack.</t>
  </si>
  <si>
    <t>Low maturity, weak ownership, incomplete evidence, insufficient testing and poor integration with crisis-management routines for production footprint by plant, line, product family, capacity, workforce and crisis exposure.</t>
  </si>
  <si>
    <t>Severe risk: production footprint by plant, line, product family, capacity, workforce and crisis exposure is not reliably controlled. During Manufacturing disruption; Safety incident; Energy outage; Cyberattack, the organization may face production stoppage, quality defects, low asset visibility and inability to recover shop-floor operations with limited visibility or accountability.</t>
  </si>
  <si>
    <t>High risk: production footprint by plant, line, product family, capacity, workforce and crisis exposure depends on informal practices or individual knowledge. Disruption may expose production stoppage, quality defects, low asset visibility and inability to recover shop-floor operations and slow recovery.</t>
  </si>
  <si>
    <t>Elevated risk: production footprint by plant, line, product family, capacity, workforce and crisis exposure is partially controlled, but coverage, evidence or testing is inconsistent. Crisis response may be fragmented.</t>
  </si>
  <si>
    <t>Moderate risk: production footprint by plant, line, product family, capacity, workforce and crisis exposure is documented and owned, but measurement, stress testing and integration with dependent processes need strengthening.</t>
  </si>
  <si>
    <t>Residual risk: production footprint by plant, line, product family, capacity, workforce and crisis exposure is measured and reviewed, but monitoring, automation or scenario testing should be improved to prevent maturity drift.</t>
  </si>
  <si>
    <t>Low residual risk: production footprint by plant, line, product family, capacity, workforce and crisis exposure is mature and crisis-tested. Maintain monitoring, evidence, ownership and periodic stress testing.</t>
  </si>
  <si>
    <t>Create an immediate risk owner, minimum control baseline and fallback procedure for production footprint by plant, line, product family, capacity, workforce and crisis exposure. Add it to the crisis risk register and collect first evidence.</t>
  </si>
  <si>
    <t>Document production footprint by plant, line, product family, capacity, workforce and crisis exposure, assign RACI, define minimum controls and KPIs, and validate coverage across key sites, teams or systems.</t>
  </si>
  <si>
    <t>Standardize production footprint by plant, line, product family, capacity, workforce and crisis exposure, close coverage gaps, train accountable roles and connect controls to the relevant crisis scenarios and continuity plans.</t>
  </si>
  <si>
    <t>Measure and test production footprint by plant, line, product family, capacity, workforce and crisis exposure, run tabletop or operational stress tests, integrate it with dependent processes and update crisis playbooks.</t>
  </si>
  <si>
    <t>Sustain maturity for production footprint by plant, line, product family, capacity, workforce and crisis exposure: keep evidence current, monitor drift, benchmark externally and refresh risk tests after organizational, system or market changes.</t>
  </si>
  <si>
    <t>COO / Plant / Manufacturing</t>
  </si>
  <si>
    <t>Manufacturing MES!5</t>
  </si>
  <si>
    <t>Immature capability for production planning integrated with demand, supply, inventory, workforce and maintenance constraints may lead to production stoppage, quality defects, low asset visibility and inability to recover shop-floor operations during Manufacturing disruption; Safety incident; Energy outage; Cyberattack.</t>
  </si>
  <si>
    <t>Low maturity, weak ownership, incomplete evidence, insufficient testing and poor integration with crisis-management routines for production planning integrated with demand, supply, inventory, workforce and maintenance constraints.</t>
  </si>
  <si>
    <t>Severe risk: production planning integrated with demand, supply, inventory, workforce and maintenance constraints is not reliably controlled. During Manufacturing disruption; Safety incident; Energy outage; Cyberattack, the organization may face production stoppage, quality defects, low asset visibility and inability to recover shop-floor operations with limited visibility or accountability.</t>
  </si>
  <si>
    <t>High risk: production planning integrated with demand, supply, inventory, workforce and maintenance constraints depends on informal practices or individual knowledge. Disruption may expose production stoppage, quality defects, low asset visibility and inability to recover shop-floor operations and slow recovery.</t>
  </si>
  <si>
    <t>Elevated risk: production planning integrated with demand, supply, inventory, workforce and maintenance constraints is partially controlled, but coverage, evidence or testing is inconsistent. Crisis response may be fragmented.</t>
  </si>
  <si>
    <t>Moderate risk: production planning integrated with demand, supply, inventory, workforce and maintenance constraints is documented and owned, but measurement, stress testing and integration with dependent processes need strengthening.</t>
  </si>
  <si>
    <t>Residual risk: production planning integrated with demand, supply, inventory, workforce and maintenance constraints is measured and reviewed, but monitoring, automation or scenario testing should be improved to prevent maturity drift.</t>
  </si>
  <si>
    <t>Low residual risk: production planning integrated with demand, supply, inventory, workforce and maintenance constraints is mature and crisis-tested. Maintain monitoring, evidence, ownership and periodic stress testing.</t>
  </si>
  <si>
    <t>Create an immediate risk owner, minimum control baseline and fallback procedure for production planning integrated with demand, supply, inventory, workforce and maintenance constraints. Add it to the crisis risk register and collect first evidence.</t>
  </si>
  <si>
    <t>Document production planning integrated with demand, supply, inventory, workforce and maintenance constraints, assign RACI, define minimum controls and KPIs, and validate coverage across key sites, teams or systems.</t>
  </si>
  <si>
    <t>Standardize production planning integrated with demand, supply, inventory, workforce and maintenance constraints, close coverage gaps, train accountable roles and connect controls to the relevant crisis scenarios and continuity plans.</t>
  </si>
  <si>
    <t>Measure and test production planning integrated with demand, supply, inventory, workforce and maintenance constraints, run tabletop or operational stress tests, integrate it with dependent processes and update crisis playbooks.</t>
  </si>
  <si>
    <t>Sustain maturity for production planning integrated with demand, supply, inventory, workforce and maintenance constraints: keep evidence current, monitor drift, benchmark externally and refresh risk tests after organizational, system or market changes.</t>
  </si>
  <si>
    <t>Manufacturing MES!6</t>
  </si>
  <si>
    <t>Immature capability for finite capacity planning for bottlenecks, machines, shifts and labor may lead to production stoppage, quality defects, low asset visibility and inability to recover shop-floor operations during Manufacturing disruption; Safety incident; Energy outage; Cyberattack.</t>
  </si>
  <si>
    <t>Low maturity, weak ownership, incomplete evidence, insufficient testing and poor integration with crisis-management routines for finite capacity planning for bottlenecks, machines, shifts and labor.</t>
  </si>
  <si>
    <t>Severe risk: finite capacity planning for bottlenecks, machines, shifts and labor is not reliably controlled. During Manufacturing disruption; Safety incident; Energy outage; Cyberattack, the organization may face production stoppage, quality defects, low asset visibility and inability to recover shop-floor operations with limited visibility or accountability.</t>
  </si>
  <si>
    <t>High risk: finite capacity planning for bottlenecks, machines, shifts and labor depends on informal practices or individual knowledge. Disruption may expose production stoppage, quality defects, low asset visibility and inability to recover shop-floor operations and slow recovery.</t>
  </si>
  <si>
    <t>Elevated risk: finite capacity planning for bottlenecks, machines, shifts and labor is partially controlled, but coverage, evidence or testing is inconsistent. Crisis response may be fragmented.</t>
  </si>
  <si>
    <t>Moderate risk: finite capacity planning for bottlenecks, machines, shifts and labor is documented and owned, but measurement, stress testing and integration with dependent processes need strengthening.</t>
  </si>
  <si>
    <t>Residual risk: finite capacity planning for bottlenecks, machines, shifts and labor is measured and reviewed, but monitoring, automation or scenario testing should be improved to prevent maturity drift.</t>
  </si>
  <si>
    <t>Low residual risk: finite capacity planning for bottlenecks, machines, shifts and labor is mature and crisis-tested. Maintain monitoring, evidence, ownership and periodic stress testing.</t>
  </si>
  <si>
    <t>Create an immediate risk owner, minimum control baseline and fallback procedure for finite capacity planning for bottlenecks, machines, shifts and labor. Add it to the crisis risk register and collect first evidence.</t>
  </si>
  <si>
    <t>Document finite capacity planning for bottlenecks, machines, shifts and labor, assign RACI, define minimum controls and KPIs, and validate coverage across key sites, teams or systems.</t>
  </si>
  <si>
    <t>Standardize finite capacity planning for bottlenecks, machines, shifts and labor, close coverage gaps, train accountable roles and connect controls to the relevant crisis scenarios and continuity plans.</t>
  </si>
  <si>
    <t>Measure and test finite capacity planning for bottlenecks, machines, shifts and labor, run tabletop or operational stress tests, integrate it with dependent processes and update crisis playbooks.</t>
  </si>
  <si>
    <t>Sustain maturity for finite capacity planning for bottlenecks, machines, shifts and labor: keep evidence current, monitor drift, benchmark externally and refresh risk tests after organizational, system or market changes.</t>
  </si>
  <si>
    <t>Manufacturing MES!7</t>
  </si>
  <si>
    <t>Immature capability for minimum viable production under staff absence, utility outage, supplier delay or site risk may lead to production stoppage, quality defects, low asset visibility and inability to recover shop-floor operations during Manufacturing disruption; Safety incident; Energy outage; Cyberattack.</t>
  </si>
  <si>
    <t>Low maturity, weak ownership, incomplete evidence, insufficient testing and poor integration with crisis-management routines for minimum viable production under staff absence, utility outage, supplier delay or site risk.</t>
  </si>
  <si>
    <t>Severe risk: minimum viable production under staff absence, utility outage, supplier delay or site risk is not reliably controlled. During Manufacturing disruption; Safety incident; Energy outage; Cyberattack, the organization may face production stoppage, quality defects, low asset visibility and inability to recover shop-floor operations with limited visibility or accountability.</t>
  </si>
  <si>
    <t>High risk: minimum viable production under staff absence, utility outage, supplier delay or site risk depends on informal practices or individual knowledge. Disruption may expose production stoppage, quality defects, low asset visibility and inability to recover shop-floor operations and slow recovery.</t>
  </si>
  <si>
    <t>Elevated risk: minimum viable production under staff absence, utility outage, supplier delay or site risk is partially controlled, but coverage, evidence or testing is inconsistent. Crisis response may be fragmented.</t>
  </si>
  <si>
    <t>Moderate risk: minimum viable production under staff absence, utility outage, supplier delay or site risk is documented and owned, but measurement, stress testing and integration with dependent processes need strengthening.</t>
  </si>
  <si>
    <t>Residual risk: minimum viable production under staff absence, utility outage, supplier delay or site risk is measured and reviewed, but monitoring, automation or scenario testing should be improved to prevent maturity drift.</t>
  </si>
  <si>
    <t>Low residual risk: minimum viable production under staff absence, utility outage, supplier delay or site risk is mature and crisis-tested. Maintain monitoring, evidence, ownership and periodic stress testing.</t>
  </si>
  <si>
    <t>Create an immediate risk owner, minimum control baseline and fallback procedure for minimum viable production under staff absence, utility outage, supplier delay or site risk. Add it to the crisis risk register and collect first evidence.</t>
  </si>
  <si>
    <t>Document minimum viable production under staff absence, utility outage, supplier delay or site risk, assign RACI, define minimum controls and KPIs, and validate coverage across key sites, teams or systems.</t>
  </si>
  <si>
    <t>Standardize minimum viable production under staff absence, utility outage, supplier delay or site risk, close coverage gaps, train accountable roles and connect controls to the relevant crisis scenarios and continuity plans.</t>
  </si>
  <si>
    <t>Measure and test minimum viable production under staff absence, utility outage, supplier delay or site risk, run tabletop or operational stress tests, integrate it with dependent processes and update crisis playbooks.</t>
  </si>
  <si>
    <t>Sustain maturity for minimum viable production under staff absence, utility outage, supplier delay or site risk: keep evidence current, monitor drift, benchmark externally and refresh risk tests after organizational, system or market changes.</t>
  </si>
  <si>
    <t>Manufacturing MES!8</t>
  </si>
  <si>
    <t>Immature capability for line or site transferability if a facility fails may lead to production stoppage, quality defects, low asset visibility and inability to recover shop-floor operations during Manufacturing disruption; Safety incident; Energy outage; Cyberattack.</t>
  </si>
  <si>
    <t>Low maturity, weak ownership, incomplete evidence, insufficient testing and poor integration with crisis-management routines for line or site transferability if a facility fails.</t>
  </si>
  <si>
    <t>Severe risk: line or site transferability if a facility fails is not reliably controlled. During Manufacturing disruption; Safety incident; Energy outage; Cyberattack, the organization may face production stoppage, quality defects, low asset visibility and inability to recover shop-floor operations with limited visibility or accountability.</t>
  </si>
  <si>
    <t>High risk: line or site transferability if a facility fails depends on informal practices or individual knowledge. Disruption may expose production stoppage, quality defects, low asset visibility and inability to recover shop-floor operations and slow recovery.</t>
  </si>
  <si>
    <t>Elevated risk: line or site transferability if a facility fails is partially controlled, but coverage, evidence or testing is inconsistent. Crisis response may be fragmented.</t>
  </si>
  <si>
    <t>Moderate risk: line or site transferability if a facility fails is documented and owned, but measurement, stress testing and integration with dependent processes need strengthening.</t>
  </si>
  <si>
    <t>Residual risk: line or site transferability if a facility fails is measured and reviewed, but monitoring, automation or scenario testing should be improved to prevent maturity drift.</t>
  </si>
  <si>
    <t>Low residual risk: line or site transferability if a facility fails is mature and crisis-tested. Maintain monitoring, evidence, ownership and periodic stress testing.</t>
  </si>
  <si>
    <t>Create an immediate risk owner, minimum control baseline and fallback procedure for line or site transferability if a facility fails. Add it to the crisis risk register and collect first evidence.</t>
  </si>
  <si>
    <t>Document line or site transferability if a facility fails, assign RACI, define minimum controls and KPIs, and validate coverage across key sites, teams or systems.</t>
  </si>
  <si>
    <t>Standardize line or site transferability if a facility fails, close coverage gaps, train accountable roles and connect controls to the relevant crisis scenarios and continuity plans.</t>
  </si>
  <si>
    <t>Measure and test line or site transferability if a facility fails, run tabletop or operational stress tests, integrate it with dependent processes and update crisis playbooks.</t>
  </si>
  <si>
    <t>Sustain maturity for line or site transferability if a facility fails: keep evidence current, monitor drift, benchmark externally and refresh risk tests after organizational, system or market changes.</t>
  </si>
  <si>
    <t>Manufacturing MES!9</t>
  </si>
  <si>
    <t>Immature capability for contract manufacturing capacity, quality, continuity, security and compliance may lead to production stoppage, quality defects, low asset visibility and inability to recover shop-floor operations during Manufacturing disruption; Safety incident; Energy outage; Cyberattack.</t>
  </si>
  <si>
    <t>Low maturity, weak ownership, incomplete evidence, insufficient testing and poor integration with crisis-management routines for contract manufacturing capacity, quality, continuity, security and compliance.</t>
  </si>
  <si>
    <t>Severe risk: contract manufacturing capacity, quality, continuity, security and compliance is not reliably controlled. During Manufacturing disruption; Safety incident; Energy outage; Cyberattack, the organization may face production stoppage, quality defects, low asset visibility and inability to recover shop-floor operations with limited visibility or accountability.</t>
  </si>
  <si>
    <t>High risk: contract manufacturing capacity, quality, continuity, security and compliance depends on informal practices or individual knowledge. Disruption may expose production stoppage, quality defects, low asset visibility and inability to recover shop-floor operations and slow recovery.</t>
  </si>
  <si>
    <t>Elevated risk: contract manufacturing capacity, quality, continuity, security and compliance is partially controlled, but coverage, evidence or testing is inconsistent. Crisis response may be fragmented.</t>
  </si>
  <si>
    <t>Moderate risk: contract manufacturing capacity, quality, continuity, security and compliance is documented and owned, but measurement, stress testing and integration with dependent processes need strengthening.</t>
  </si>
  <si>
    <t>Residual risk: contract manufacturing capacity, quality, continuity, security and compliance is measured and reviewed, but monitoring, automation or scenario testing should be improved to prevent maturity drift.</t>
  </si>
  <si>
    <t>Low residual risk: contract manufacturing capacity, quality, continuity, security and compliance is mature and crisis-tested. Maintain monitoring, evidence, ownership and periodic stress testing.</t>
  </si>
  <si>
    <t>Create an immediate risk owner, minimum control baseline and fallback procedure for contract manufacturing capacity, quality, continuity, security and compliance. Add it to the crisis risk register and collect first evidence.</t>
  </si>
  <si>
    <t>Document contract manufacturing capacity, quality, continuity, security and compliance, assign RACI, define minimum controls and KPIs, and validate coverage across key sites, teams or systems.</t>
  </si>
  <si>
    <t>Standardize contract manufacturing capacity, quality, continuity, security and compliance, close coverage gaps, train accountable roles and connect controls to the relevant crisis scenarios and continuity plans.</t>
  </si>
  <si>
    <t>Measure and test contract manufacturing capacity, quality, continuity, security and compliance, run tabletop or operational stress tests, integrate it with dependent processes and update crisis playbooks.</t>
  </si>
  <si>
    <t>Sustain maturity for contract manufacturing capacity, quality, continuity, security and compliance: keep evidence current, monitor drift, benchmark externally and refresh risk tests after organizational, system or market changes.</t>
  </si>
  <si>
    <t>Manufacturing MES!10</t>
  </si>
  <si>
    <t>Immature capability for MES or equivalent shop-floor control for orders, operations, traceability, downtime and quality may lead to production stoppage, quality defects, low asset visibility and inability to recover shop-floor operations during Manufacturing disruption; Safety incident; Energy outage; Cyberattack.</t>
  </si>
  <si>
    <t>Low maturity, weak ownership, incomplete evidence, insufficient testing and poor integration with crisis-management routines for MES or equivalent shop-floor control for orders, operations, traceability, downtime and quality.</t>
  </si>
  <si>
    <t>Severe risk: MES or equivalent shop-floor control for orders, operations, traceability, downtime and quality is not reliably controlled. During Manufacturing disruption; Safety incident; Energy outage; Cyberattack, the organization may face production stoppage, quality defects, low asset visibility and inability to recover shop-floor operations with limited visibility or accountability.</t>
  </si>
  <si>
    <t>High risk: MES or equivalent shop-floor control for orders, operations, traceability, downtime and quality depends on informal practices or individual knowledge. Disruption may expose production stoppage, quality defects, low asset visibility and inability to recover shop-floor operations and slow recovery.</t>
  </si>
  <si>
    <t>Elevated risk: MES or equivalent shop-floor control for orders, operations, traceability, downtime and quality is partially controlled, but coverage, evidence or testing is inconsistent. Crisis response may be fragmented.</t>
  </si>
  <si>
    <t>Moderate risk: MES or equivalent shop-floor control for orders, operations, traceability, downtime and quality is documented and owned, but measurement, stress testing and integration with dependent processes need strengthening.</t>
  </si>
  <si>
    <t>Residual risk: MES or equivalent shop-floor control for orders, operations, traceability, downtime and quality is measured and reviewed, but monitoring, automation or scenario testing should be improved to prevent maturity drift.</t>
  </si>
  <si>
    <t>Low residual risk: MES or equivalent shop-floor control for orders, operations, traceability, downtime and quality is mature and crisis-tested. Maintain monitoring, evidence, ownership and periodic stress testing.</t>
  </si>
  <si>
    <t>Create an immediate risk owner, minimum control baseline and fallback procedure for MES or equivalent shop-floor control for orders, operations, traceability, downtime and quality. Add it to the crisis risk register and collect first evidence.</t>
  </si>
  <si>
    <t>Document MES or equivalent shop-floor control for orders, operations, traceability, downtime and quality, assign RACI, define minimum controls and KPIs, and validate coverage across key sites, teams or systems.</t>
  </si>
  <si>
    <t>Standardize MES or equivalent shop-floor control for orders, operations, traceability, downtime and quality, close coverage gaps, train accountable roles and connect controls to the relevant crisis scenarios and continuity plans.</t>
  </si>
  <si>
    <t>Measure and test MES or equivalent shop-floor control for orders, operations, traceability, downtime and quality, run tabletop or operational stress tests, integrate it with dependent processes and update crisis playbooks.</t>
  </si>
  <si>
    <t>Sustain maturity for MES or equivalent shop-floor control for orders, operations, traceability, downtime and quality: keep evidence current, monitor drift, benchmark externally and refresh risk tests after organizational, system or market changes.</t>
  </si>
  <si>
    <t>Manufacturing MES!11</t>
  </si>
  <si>
    <t>Immature capability for MES manual or offline fallback procedures may lead to production stoppage, quality defects, low asset visibility and inability to recover shop-floor operations during Manufacturing disruption; Safety incident; Energy outage; Cyberattack.</t>
  </si>
  <si>
    <t>Low maturity, weak ownership, incomplete evidence, insufficient testing and poor integration with crisis-management routines for MES manual or offline fallback procedures.</t>
  </si>
  <si>
    <t>Severe risk: MES manual or offline fallback procedures is not reliably controlled. During Manufacturing disruption; Safety incident; Energy outage; Cyberattack, the organization may face production stoppage, quality defects, low asset visibility and inability to recover shop-floor operations with limited visibility or accountability.</t>
  </si>
  <si>
    <t>High risk: MES manual or offline fallback procedures depends on informal practices or individual knowledge. Disruption may expose production stoppage, quality defects, low asset visibility and inability to recover shop-floor operations and slow recovery.</t>
  </si>
  <si>
    <t>Elevated risk: MES manual or offline fallback procedures is partially controlled, but coverage, evidence or testing is inconsistent. Crisis response may be fragmented.</t>
  </si>
  <si>
    <t>Moderate risk: MES manual or offline fallback procedures is documented and owned, but measurement, stress testing and integration with dependent processes need strengthening.</t>
  </si>
  <si>
    <t>Residual risk: MES manual or offline fallback procedures is measured and reviewed, but monitoring, automation or scenario testing should be improved to prevent maturity drift.</t>
  </si>
  <si>
    <t>Low residual risk: MES manual or offline fallback procedures is mature and crisis-tested. Maintain monitoring, evidence, ownership and periodic stress testing.</t>
  </si>
  <si>
    <t>Create an immediate risk owner, minimum control baseline and fallback procedure for MES manual or offline fallback procedures. Add it to the crisis risk register and collect first evidence.</t>
  </si>
  <si>
    <t>Document MES manual or offline fallback procedures, assign RACI, define minimum controls and KPIs, and validate coverage across key sites, teams or systems.</t>
  </si>
  <si>
    <t>Standardize MES manual or offline fallback procedures, close coverage gaps, train accountable roles and connect controls to the relevant crisis scenarios and continuity plans.</t>
  </si>
  <si>
    <t>Measure and test MES manual or offline fallback procedures, run tabletop or operational stress tests, integrate it with dependent processes and update crisis playbooks.</t>
  </si>
  <si>
    <t>Sustain maturity for MES manual or offline fallback procedures: keep evidence current, monitor drift, benchmark externally and refresh risk tests after organizational, system or market changes.</t>
  </si>
  <si>
    <t>Manufacturing MES!12</t>
  </si>
  <si>
    <t>Immature capability for ERP-MES-MRP-WMS-quality-maintenance integration and reconciliation may lead to production stoppage, quality defects, low asset visibility and inability to recover shop-floor operations during Manufacturing disruption; Safety incident; Energy outage; Cyberattack.</t>
  </si>
  <si>
    <t>Low maturity, weak ownership, incomplete evidence, insufficient testing and poor integration with crisis-management routines for ERP-MES-MRP-WMS-quality-maintenance integration and reconciliation.</t>
  </si>
  <si>
    <t>Severe risk: ERP-MES-MRP-WMS-quality-maintenance integration and reconciliation is not reliably controlled. During Manufacturing disruption; Safety incident; Energy outage; Cyberattack, the organization may face production stoppage, quality defects, low asset visibility and inability to recover shop-floor operations with limited visibility or accountability.</t>
  </si>
  <si>
    <t>High risk: ERP-MES-MRP-WMS-quality-maintenance integration and reconciliation depends on informal practices or individual knowledge. Disruption may expose production stoppage, quality defects, low asset visibility and inability to recover shop-floor operations and slow recovery.</t>
  </si>
  <si>
    <t>Elevated risk: ERP-MES-MRP-WMS-quality-maintenance integration and reconciliation is partially controlled, but coverage, evidence or testing is inconsistent. Crisis response may be fragmented.</t>
  </si>
  <si>
    <t>Moderate risk: ERP-MES-MRP-WMS-quality-maintenance integration and reconciliation is documented and owned, but measurement, stress testing and integration with dependent processes need strengthening.</t>
  </si>
  <si>
    <t>Residual risk: ERP-MES-MRP-WMS-quality-maintenance integration and reconciliation is measured and reviewed, but monitoring, automation or scenario testing should be improved to prevent maturity drift.</t>
  </si>
  <si>
    <t>Low residual risk: ERP-MES-MRP-WMS-quality-maintenance integration and reconciliation is mature and crisis-tested. Maintain monitoring, evidence, ownership and periodic stress testing.</t>
  </si>
  <si>
    <t>Create an immediate risk owner, minimum control baseline and fallback procedure for ERP-MES-MRP-WMS-quality-maintenance integration and reconciliation. Add it to the crisis risk register and collect first evidence.</t>
  </si>
  <si>
    <t>Document ERP-MES-MRP-WMS-quality-maintenance integration and reconciliation, assign RACI, define minimum controls and KPIs, and validate coverage across key sites, teams or systems.</t>
  </si>
  <si>
    <t>Standardize ERP-MES-MRP-WMS-quality-maintenance integration and reconciliation, close coverage gaps, train accountable roles and connect controls to the relevant crisis scenarios and continuity plans.</t>
  </si>
  <si>
    <t>Measure and test ERP-MES-MRP-WMS-quality-maintenance integration and reconciliation, run tabletop or operational stress tests, integrate it with dependent processes and update crisis playbooks.</t>
  </si>
  <si>
    <t>Sustain maturity for ERP-MES-MRP-WMS-quality-maintenance integration and reconciliation: keep evidence current, monitor drift, benchmark externally and refresh risk tests after organizational, system or market changes.</t>
  </si>
  <si>
    <t>Manufacturing MES!13</t>
  </si>
  <si>
    <t>Immature capability for machine data collection for states, output, downtime, cycle time, defects and energy may lead to production stoppage, quality defects, low asset visibility and inability to recover shop-floor operations during Manufacturing disruption; Safety incident; Energy outage; Cyberattack.</t>
  </si>
  <si>
    <t>Low maturity, weak ownership, incomplete evidence, insufficient testing and poor integration with crisis-management routines for machine data collection for states, output, downtime, cycle time, defects and energy.</t>
  </si>
  <si>
    <t>Severe risk: machine data collection for states, output, downtime, cycle time, defects and energy is not reliably controlled. During Manufacturing disruption; Safety incident; Energy outage; Cyberattack, the organization may face production stoppage, quality defects, low asset visibility and inability to recover shop-floor operations with limited visibility or accountability.</t>
  </si>
  <si>
    <t>High risk: machine data collection for states, output, downtime, cycle time, defects and energy depends on informal practices or individual knowledge. Disruption may expose production stoppage, quality defects, low asset visibility and inability to recover shop-floor operations and slow recovery.</t>
  </si>
  <si>
    <t>Elevated risk: machine data collection for states, output, downtime, cycle time, defects and energy is partially controlled, but coverage, evidence or testing is inconsistent. Crisis response may be fragmented.</t>
  </si>
  <si>
    <t>Moderate risk: machine data collection for states, output, downtime, cycle time, defects and energy is documented and owned, but measurement, stress testing and integration with dependent processes need strengthening.</t>
  </si>
  <si>
    <t>Residual risk: machine data collection for states, output, downtime, cycle time, defects and energy is measured and reviewed, but monitoring, automation or scenario testing should be improved to prevent maturity drift.</t>
  </si>
  <si>
    <t>Low residual risk: machine data collection for states, output, downtime, cycle time, defects and energy is mature and crisis-tested. Maintain monitoring, evidence, ownership and periodic stress testing.</t>
  </si>
  <si>
    <t>Create an immediate risk owner, minimum control baseline and fallback procedure for machine data collection for states, output, downtime, cycle time, defects and energy. Add it to the crisis risk register and collect first evidence.</t>
  </si>
  <si>
    <t>Document machine data collection for states, output, downtime, cycle time, defects and energy, assign RACI, define minimum controls and KPIs, and validate coverage across key sites, teams or systems.</t>
  </si>
  <si>
    <t>Standardize machine data collection for states, output, downtime, cycle time, defects and energy, close coverage gaps, train accountable roles and connect controls to the relevant crisis scenarios and continuity plans.</t>
  </si>
  <si>
    <t>Measure and test machine data collection for states, output, downtime, cycle time, defects and energy, run tabletop or operational stress tests, integrate it with dependent processes and update crisis playbooks.</t>
  </si>
  <si>
    <t>Sustain maturity for machine data collection for states, output, downtime, cycle time, defects and energy: keep evidence current, monitor drift, benchmark externally and refresh risk tests after organizational, system or market changes.</t>
  </si>
  <si>
    <t>Manufacturing MES!14</t>
  </si>
  <si>
    <t>Immature capability for OEE, downtime reasons, microstops, rejects and performance loss analysis may lead to production stoppage, quality defects, low asset visibility and inability to recover shop-floor operations during Manufacturing disruption; Safety incident; Energy outage; Cyberattack.</t>
  </si>
  <si>
    <t>Low maturity, weak ownership, incomplete evidence, insufficient testing and poor integration with crisis-management routines for OEE, downtime reasons, microstops, rejects and performance loss analysis.</t>
  </si>
  <si>
    <t>Severe risk: OEE, downtime reasons, microstops, rejects and performance loss analysis is not reliably controlled. During Manufacturing disruption; Safety incident; Energy outage; Cyberattack, the organization may face production stoppage, quality defects, low asset visibility and inability to recover shop-floor operations with limited visibility or accountability.</t>
  </si>
  <si>
    <t>High risk: OEE, downtime reasons, microstops, rejects and performance loss analysis depends on informal practices or individual knowledge. Disruption may expose production stoppage, quality defects, low asset visibility and inability to recover shop-floor operations and slow recovery.</t>
  </si>
  <si>
    <t>Elevated risk: OEE, downtime reasons, microstops, rejects and performance loss analysis is partially controlled, but coverage, evidence or testing is inconsistent. Crisis response may be fragmented.</t>
  </si>
  <si>
    <t>Moderate risk: OEE, downtime reasons, microstops, rejects and performance loss analysis is documented and owned, but measurement, stress testing and integration with dependent processes need strengthening.</t>
  </si>
  <si>
    <t>Residual risk: OEE, downtime reasons, microstops, rejects and performance loss analysis is measured and reviewed, but monitoring, automation or scenario testing should be improved to prevent maturity drift.</t>
  </si>
  <si>
    <t>Low residual risk: OEE, downtime reasons, microstops, rejects and performance loss analysis is mature and crisis-tested. Maintain monitoring, evidence, ownership and periodic stress testing.</t>
  </si>
  <si>
    <t>Create an immediate risk owner, minimum control baseline and fallback procedure for OEE, downtime reasons, microstops, rejects and performance loss analysis. Add it to the crisis risk register and collect first evidence.</t>
  </si>
  <si>
    <t>Document OEE, downtime reasons, microstops, rejects and performance loss analysis, assign RACI, define minimum controls and KPIs, and validate coverage across key sites, teams or systems.</t>
  </si>
  <si>
    <t>Standardize OEE, downtime reasons, microstops, rejects and performance loss analysis, close coverage gaps, train accountable roles and connect controls to the relevant crisis scenarios and continuity plans.</t>
  </si>
  <si>
    <t>Measure and test OEE, downtime reasons, microstops, rejects and performance loss analysis, run tabletop or operational stress tests, integrate it with dependent processes and update crisis playbooks.</t>
  </si>
  <si>
    <t>Sustain maturity for OEE, downtime reasons, microstops, rejects and performance loss analysis: keep evidence current, monitor drift, benchmark externally and refresh risk tests after organizational, system or market changes.</t>
  </si>
  <si>
    <t>Manufacturing MES!15</t>
  </si>
  <si>
    <t>Immature capability for production data standards, reason codes and master data across lines and sites may lead to production stoppage, quality defects, low asset visibility and inability to recover shop-floor operations during Manufacturing disruption; Safety incident; Energy outage; Cyberattack.</t>
  </si>
  <si>
    <t>Low maturity, weak ownership, incomplete evidence, insufficient testing and poor integration with crisis-management routines for production data standards, reason codes and master data across lines and sites.</t>
  </si>
  <si>
    <t>Severe risk: production data standards, reason codes and master data across lines and sites is not reliably controlled. During Manufacturing disruption; Safety incident; Energy outage; Cyberattack, the organization may face production stoppage, quality defects, low asset visibility and inability to recover shop-floor operations with limited visibility or accountability.</t>
  </si>
  <si>
    <t>High risk: production data standards, reason codes and master data across lines and sites depends on informal practices or individual knowledge. Disruption may expose production stoppage, quality defects, low asset visibility and inability to recover shop-floor operations and slow recovery.</t>
  </si>
  <si>
    <t>Elevated risk: production data standards, reason codes and master data across lines and sites is partially controlled, but coverage, evidence or testing is inconsistent. Crisis response may be fragmented.</t>
  </si>
  <si>
    <t>Moderate risk: production data standards, reason codes and master data across lines and sites is documented and owned, but measurement, stress testing and integration with dependent processes need strengthening.</t>
  </si>
  <si>
    <t>Residual risk: production data standards, reason codes and master data across lines and sites is measured and reviewed, but monitoring, automation or scenario testing should be improved to prevent maturity drift.</t>
  </si>
  <si>
    <t>Low residual risk: production data standards, reason codes and master data across lines and sites is mature and crisis-tested. Maintain monitoring, evidence, ownership and periodic stress testing.</t>
  </si>
  <si>
    <t>Create an immediate risk owner, minimum control baseline and fallback procedure for production data standards, reason codes and master data across lines and sites. Add it to the crisis risk register and collect first evidence.</t>
  </si>
  <si>
    <t>Document production data standards, reason codes and master data across lines and sites, assign RACI, define minimum controls and KPIs, and validate coverage across key sites, teams or systems.</t>
  </si>
  <si>
    <t>Standardize production data standards, reason codes and master data across lines and sites, close coverage gaps, train accountable roles and connect controls to the relevant crisis scenarios and continuity plans.</t>
  </si>
  <si>
    <t>Measure and test production data standards, reason codes and master data across lines and sites, run tabletop or operational stress tests, integrate it with dependent processes and update crisis playbooks.</t>
  </si>
  <si>
    <t>Sustain maturity for production data standards, reason codes and master data across lines and sites: keep evidence current, monitor drift, benchmark externally and refresh risk tests after organizational, system or market changes.</t>
  </si>
  <si>
    <t>Manufacturing MES!16</t>
  </si>
  <si>
    <t>Immature capability for preventive maintenance based on criticality, manufacturer requirements and failure history may lead to production stoppage, quality defects, low asset visibility and inability to recover shop-floor operations during Manufacturing disruption; Safety incident; Energy outage; Cyberattack.</t>
  </si>
  <si>
    <t>Low maturity, weak ownership, incomplete evidence, insufficient testing and poor integration with crisis-management routines for preventive maintenance based on criticality, manufacturer requirements and failure history.</t>
  </si>
  <si>
    <t>Severe risk: preventive maintenance based on criticality, manufacturer requirements and failure history is not reliably controlled. During Manufacturing disruption; Safety incident; Energy outage; Cyberattack, the organization may face production stoppage, quality defects, low asset visibility and inability to recover shop-floor operations with limited visibility or accountability.</t>
  </si>
  <si>
    <t>High risk: preventive maintenance based on criticality, manufacturer requirements and failure history depends on informal practices or individual knowledge. Disruption may expose production stoppage, quality defects, low asset visibility and inability to recover shop-floor operations and slow recovery.</t>
  </si>
  <si>
    <t>Elevated risk: preventive maintenance based on criticality, manufacturer requirements and failure history is partially controlled, but coverage, evidence or testing is inconsistent. Crisis response may be fragmented.</t>
  </si>
  <si>
    <t>Moderate risk: preventive maintenance based on criticality, manufacturer requirements and failure history is documented and owned, but measurement, stress testing and integration with dependent processes need strengthening.</t>
  </si>
  <si>
    <t>Residual risk: preventive maintenance based on criticality, manufacturer requirements and failure history is measured and reviewed, but monitoring, automation or scenario testing should be improved to prevent maturity drift.</t>
  </si>
  <si>
    <t>Low residual risk: preventive maintenance based on criticality, manufacturer requirements and failure history is mature and crisis-tested. Maintain monitoring, evidence, ownership and periodic stress testing.</t>
  </si>
  <si>
    <t>Create an immediate risk owner, minimum control baseline and fallback procedure for preventive maintenance based on criticality, manufacturer requirements and failure history. Add it to the crisis risk register and collect first evidence.</t>
  </si>
  <si>
    <t>Document preventive maintenance based on criticality, manufacturer requirements and failure history, assign RACI, define minimum controls and KPIs, and validate coverage across key sites, teams or systems.</t>
  </si>
  <si>
    <t>Standardize preventive maintenance based on criticality, manufacturer requirements and failure history, close coverage gaps, train accountable roles and connect controls to the relevant crisis scenarios and continuity plans.</t>
  </si>
  <si>
    <t>Measure and test preventive maintenance based on criticality, manufacturer requirements and failure history, run tabletop or operational stress tests, integrate it with dependent processes and update crisis playbooks.</t>
  </si>
  <si>
    <t>Sustain maturity for preventive maintenance based on criticality, manufacturer requirements and failure history: keep evidence current, monitor drift, benchmark externally and refresh risk tests after organizational, system or market changes.</t>
  </si>
  <si>
    <t>Manufacturing MES!17</t>
  </si>
  <si>
    <t>Immature capability for critical spare parts identification, stocking or sourcing with acceptable lead times may lead to production stoppage, quality defects, low asset visibility and inability to recover shop-floor operations during Manufacturing disruption; Safety incident; Energy outage; Cyberattack.</t>
  </si>
  <si>
    <t>Low maturity, weak ownership, incomplete evidence, insufficient testing and poor integration with crisis-management routines for critical spare parts identification, stocking or sourcing with acceptable lead times.</t>
  </si>
  <si>
    <t>Severe risk: critical spare parts identification, stocking or sourcing with acceptable lead times is not reliably controlled. During Manufacturing disruption; Safety incident; Energy outage; Cyberattack, the organization may face production stoppage, quality defects, low asset visibility and inability to recover shop-floor operations with limited visibility or accountability.</t>
  </si>
  <si>
    <t>High risk: critical spare parts identification, stocking or sourcing with acceptable lead times depends on informal practices or individual knowledge. Disruption may expose production stoppage, quality defects, low asset visibility and inability to recover shop-floor operations and slow recovery.</t>
  </si>
  <si>
    <t>Elevated risk: critical spare parts identification, stocking or sourcing with acceptable lead times is partially controlled, but coverage, evidence or testing is inconsistent. Crisis response may be fragmented.</t>
  </si>
  <si>
    <t>Moderate risk: critical spare parts identification, stocking or sourcing with acceptable lead times is documented and owned, but measurement, stress testing and integration with dependent processes need strengthening.</t>
  </si>
  <si>
    <t>Residual risk: critical spare parts identification, stocking or sourcing with acceptable lead times is measured and reviewed, but monitoring, automation or scenario testing should be improved to prevent maturity drift.</t>
  </si>
  <si>
    <t>Low residual risk: critical spare parts identification, stocking or sourcing with acceptable lead times is mature and crisis-tested. Maintain monitoring, evidence, ownership and periodic stress testing.</t>
  </si>
  <si>
    <t>Create an immediate risk owner, minimum control baseline and fallback procedure for critical spare parts identification, stocking or sourcing with acceptable lead times. Add it to the crisis risk register and collect first evidence.</t>
  </si>
  <si>
    <t>Document critical spare parts identification, stocking or sourcing with acceptable lead times, assign RACI, define minimum controls and KPIs, and validate coverage across key sites, teams or systems.</t>
  </si>
  <si>
    <t>Standardize critical spare parts identification, stocking or sourcing with acceptable lead times, close coverage gaps, train accountable roles and connect controls to the relevant crisis scenarios and continuity plans.</t>
  </si>
  <si>
    <t>Measure and test critical spare parts identification, stocking or sourcing with acceptable lead times, run tabletop or operational stress tests, integrate it with dependent processes and update crisis playbooks.</t>
  </si>
  <si>
    <t>Sustain maturity for critical spare parts identification, stocking or sourcing with acceptable lead times: keep evidence current, monitor drift, benchmark externally and refresh risk tests after organizational, system or market changes.</t>
  </si>
  <si>
    <t>Manufacturing MES!18</t>
  </si>
  <si>
    <t>Immature capability for predictive or condition-based maintenance for critical assets where economically justified may lead to production stoppage, quality defects, low asset visibility and inability to recover shop-floor operations during Manufacturing disruption; Safety incident; Energy outage; Cyberattack.</t>
  </si>
  <si>
    <t>Low maturity, weak ownership, incomplete evidence, insufficient testing and poor integration with crisis-management routines for predictive or condition-based maintenance for critical assets where economically justified.</t>
  </si>
  <si>
    <t>Severe risk: predictive or condition-based maintenance for critical assets where economically justified is not reliably controlled. During Manufacturing disruption; Safety incident; Energy outage; Cyberattack, the organization may face production stoppage, quality defects, low asset visibility and inability to recover shop-floor operations with limited visibility or accountability.</t>
  </si>
  <si>
    <t>High risk: predictive or condition-based maintenance for critical assets where economically justified depends on informal practices or individual knowledge. Disruption may expose production stoppage, quality defects, low asset visibility and inability to recover shop-floor operations and slow recovery.</t>
  </si>
  <si>
    <t>Elevated risk: predictive or condition-based maintenance for critical assets where economically justified is partially controlled, but coverage, evidence or testing is inconsistent. Crisis response may be fragmented.</t>
  </si>
  <si>
    <t>Moderate risk: predictive or condition-based maintenance for critical assets where economically justified is documented and owned, but measurement, stress testing and integration with dependent processes need strengthening.</t>
  </si>
  <si>
    <t>Residual risk: predictive or condition-based maintenance for critical assets where economically justified is measured and reviewed, but monitoring, automation or scenario testing should be improved to prevent maturity drift.</t>
  </si>
  <si>
    <t>Low residual risk: predictive or condition-based maintenance for critical assets where economically justified is mature and crisis-tested. Maintain monitoring, evidence, ownership and periodic stress testing.</t>
  </si>
  <si>
    <t>Create an immediate risk owner, minimum control baseline and fallback procedure for predictive or condition-based maintenance for critical assets where economically justified. Add it to the crisis risk register and collect first evidence.</t>
  </si>
  <si>
    <t>Document predictive or condition-based maintenance for critical assets where economically justified, assign RACI, define minimum controls and KPIs, and validate coverage across key sites, teams or systems.</t>
  </si>
  <si>
    <t>Standardize predictive or condition-based maintenance for critical assets where economically justified, close coverage gaps, train accountable roles and connect controls to the relevant crisis scenarios and continuity plans.</t>
  </si>
  <si>
    <t>Measure and test predictive or condition-based maintenance for critical assets where economically justified, run tabletop or operational stress tests, integrate it with dependent processes and update crisis playbooks.</t>
  </si>
  <si>
    <t>Sustain maturity for predictive or condition-based maintenance for critical assets where economically justified: keep evidence current, monitor drift, benchmark externally and refresh risk tests after organizational, system or market changes.</t>
  </si>
  <si>
    <t>Manufacturing MES!19</t>
  </si>
  <si>
    <t>Immature capability for utility dependency map for electricity, gas, water, compressed air, HVAC and other utilities may lead to production stoppage, quality defects, low asset visibility and inability to recover shop-floor operations during Manufacturing disruption; Safety incident; Energy outage; Cyberattack.</t>
  </si>
  <si>
    <t>Low maturity, weak ownership, incomplete evidence, insufficient testing and poor integration with crisis-management routines for utility dependency map for electricity, gas, water, compressed air, HVAC and other utilities.</t>
  </si>
  <si>
    <t>Severe risk: utility dependency map for electricity, gas, water, compressed air, HVAC and other utilities is not reliably controlled. During Manufacturing disruption; Safety incident; Energy outage; Cyberattack, the organization may face production stoppage, quality defects, low asset visibility and inability to recover shop-floor operations with limited visibility or accountability.</t>
  </si>
  <si>
    <t>High risk: utility dependency map for electricity, gas, water, compressed air, HVAC and other utilities depends on informal practices or individual knowledge. Disruption may expose production stoppage, quality defects, low asset visibility and inability to recover shop-floor operations and slow recovery.</t>
  </si>
  <si>
    <t>Elevated risk: utility dependency map for electricity, gas, water, compressed air, HVAC and other utilities is partially controlled, but coverage, evidence or testing is inconsistent. Crisis response may be fragmented.</t>
  </si>
  <si>
    <t>Moderate risk: utility dependency map for electricity, gas, water, compressed air, HVAC and other utilities is documented and owned, but measurement, stress testing and integration with dependent processes need strengthening.</t>
  </si>
  <si>
    <t>Residual risk: utility dependency map for electricity, gas, water, compressed air, HVAC and other utilities is measured and reviewed, but monitoring, automation or scenario testing should be improved to prevent maturity drift.</t>
  </si>
  <si>
    <t>Low residual risk: utility dependency map for electricity, gas, water, compressed air, HVAC and other utilities is mature and crisis-tested. Maintain monitoring, evidence, ownership and periodic stress testing.</t>
  </si>
  <si>
    <t>Create an immediate risk owner, minimum control baseline and fallback procedure for utility dependency map for electricity, gas, water, compressed air, HVAC and other utilities. Add it to the crisis risk register and collect first evidence.</t>
  </si>
  <si>
    <t>Document utility dependency map for electricity, gas, water, compressed air, HVAC and other utilities, assign RACI, define minimum controls and KPIs, and validate coverage across key sites, teams or systems.</t>
  </si>
  <si>
    <t>Standardize utility dependency map for electricity, gas, water, compressed air, HVAC and other utilities, close coverage gaps, train accountable roles and connect controls to the relevant crisis scenarios and continuity plans.</t>
  </si>
  <si>
    <t>Measure and test utility dependency map for electricity, gas, water, compressed air, HVAC and other utilities, run tabletop or operational stress tests, integrate it with dependent processes and update crisis playbooks.</t>
  </si>
  <si>
    <t>Sustain maturity for utility dependency map for electricity, gas, water, compressed air, HVAC and other utilities: keep evidence current, monitor drift, benchmark externally and refresh risk tests after organizational, system or market changes.</t>
  </si>
  <si>
    <t>Manufacturing MES!20</t>
  </si>
  <si>
    <t>Immature capability for backup utility options for critical production processes may lead to production stoppage, quality defects, low asset visibility and inability to recover shop-floor operations during Manufacturing disruption; Safety incident; Energy outage; Cyberattack.</t>
  </si>
  <si>
    <t>Low maturity, weak ownership, incomplete evidence, insufficient testing and poor integration with crisis-management routines for backup utility options for critical production processes.</t>
  </si>
  <si>
    <t>Severe risk: backup utility options for critical production processes is not reliably controlled. During Manufacturing disruption; Safety incident; Energy outage; Cyberattack, the organization may face production stoppage, quality defects, low asset visibility and inability to recover shop-floor operations with limited visibility or accountability.</t>
  </si>
  <si>
    <t>High risk: backup utility options for critical production processes depends on informal practices or individual knowledge. Disruption may expose production stoppage, quality defects, low asset visibility and inability to recover shop-floor operations and slow recovery.</t>
  </si>
  <si>
    <t>Elevated risk: backup utility options for critical production processes is partially controlled, but coverage, evidence or testing is inconsistent. Crisis response may be fragmented.</t>
  </si>
  <si>
    <t>Moderate risk: backup utility options for critical production processes is documented and owned, but measurement, stress testing and integration with dependent processes need strengthening.</t>
  </si>
  <si>
    <t>Residual risk: backup utility options for critical production processes is measured and reviewed, but monitoring, automation or scenario testing should be improved to prevent maturity drift.</t>
  </si>
  <si>
    <t>Low residual risk: backup utility options for critical production processes is mature and crisis-tested. Maintain monitoring, evidence, ownership and periodic stress testing.</t>
  </si>
  <si>
    <t>Create an immediate risk owner, minimum control baseline and fallback procedure for backup utility options for critical production processes. Add it to the crisis risk register and collect first evidence.</t>
  </si>
  <si>
    <t>Document backup utility options for critical production processes, assign RACI, define minimum controls and KPIs, and validate coverage across key sites, teams or systems.</t>
  </si>
  <si>
    <t>Standardize backup utility options for critical production processes, close coverage gaps, train accountable roles and connect controls to the relevant crisis scenarios and continuity plans.</t>
  </si>
  <si>
    <t>Measure and test backup utility options for critical production processes, run tabletop or operational stress tests, integrate it with dependent processes and update crisis playbooks.</t>
  </si>
  <si>
    <t>Sustain maturity for backup utility options for critical production processes: keep evidence current, monitor drift, benchmark externally and refresh risk tests after organizational, system or market changes.</t>
  </si>
  <si>
    <t>Manufacturing MES!21</t>
  </si>
  <si>
    <t>Immature capability for asset management for critical production equipment, tooling and calibration may lead to production stoppage, quality defects, low asset visibility and inability to recover shop-floor operations during Manufacturing disruption; Safety incident; Energy outage; Cyberattack.</t>
  </si>
  <si>
    <t>Low maturity, weak ownership, incomplete evidence, insufficient testing and poor integration with crisis-management routines for asset management for critical production equipment, tooling and calibration.</t>
  </si>
  <si>
    <t>Severe risk: asset management for critical production equipment, tooling and calibration is not reliably controlled. During Manufacturing disruption; Safety incident; Energy outage; Cyberattack, the organization may face production stoppage, quality defects, low asset visibility and inability to recover shop-floor operations with limited visibility or accountability.</t>
  </si>
  <si>
    <t>High risk: asset management for critical production equipment, tooling and calibration depends on informal practices or individual knowledge. Disruption may expose production stoppage, quality defects, low asset visibility and inability to recover shop-floor operations and slow recovery.</t>
  </si>
  <si>
    <t>Elevated risk: asset management for critical production equipment, tooling and calibration is partially controlled, but coverage, evidence or testing is inconsistent. Crisis response may be fragmented.</t>
  </si>
  <si>
    <t>Moderate risk: asset management for critical production equipment, tooling and calibration is documented and owned, but measurement, stress testing and integration with dependent processes need strengthening.</t>
  </si>
  <si>
    <t>Residual risk: asset management for critical production equipment, tooling and calibration is measured and reviewed, but monitoring, automation or scenario testing should be improved to prevent maturity drift.</t>
  </si>
  <si>
    <t>Low residual risk: asset management for critical production equipment, tooling and calibration is mature and crisis-tested. Maintain monitoring, evidence, ownership and periodic stress testing.</t>
  </si>
  <si>
    <t>Create an immediate risk owner, minimum control baseline and fallback procedure for asset management for critical production equipment, tooling and calibration. Add it to the crisis risk register and collect first evidence.</t>
  </si>
  <si>
    <t>Document asset management for critical production equipment, tooling and calibration, assign RACI, define minimum controls and KPIs, and validate coverage across key sites, teams or systems.</t>
  </si>
  <si>
    <t>Standardize asset management for critical production equipment, tooling and calibration, close coverage gaps, train accountable roles and connect controls to the relevant crisis scenarios and continuity plans.</t>
  </si>
  <si>
    <t>Measure and test asset management for critical production equipment, tooling and calibration, run tabletop or operational stress tests, integrate it with dependent processes and update crisis playbooks.</t>
  </si>
  <si>
    <t>Sustain maturity for asset management for critical production equipment, tooling and calibration: keep evidence current, monitor drift, benchmark externally and refresh risk tests after organizational, system or market changes.</t>
  </si>
  <si>
    <t>Manufacturing MES!22</t>
  </si>
  <si>
    <t>Immature capability for quality controls, inspections, sampling, nonconformance and corrective actions integrated into production may lead to production stoppage, quality defects, low asset visibility and inability to recover shop-floor operations during Manufacturing disruption; Safety incident; Energy outage; Cyberattack.</t>
  </si>
  <si>
    <t>Low maturity, weak ownership, incomplete evidence, insufficient testing and poor integration with crisis-management routines for quality controls, inspections, sampling, nonconformance and corrective actions integrated into production.</t>
  </si>
  <si>
    <t>Severe risk: quality controls, inspections, sampling, nonconformance and corrective actions integrated into production is not reliably controlled. During Manufacturing disruption; Safety incident; Energy outage; Cyberattack, the organization may face production stoppage, quality defects, low asset visibility and inability to recover shop-floor operations with limited visibility or accountability.</t>
  </si>
  <si>
    <t>High risk: quality controls, inspections, sampling, nonconformance and corrective actions integrated into production depends on informal practices or individual knowledge. Disruption may expose production stoppage, quality defects, low asset visibility and inability to recover shop-floor operations and slow recovery.</t>
  </si>
  <si>
    <t>Elevated risk: quality controls, inspections, sampling, nonconformance and corrective actions integrated into production is partially controlled, but coverage, evidence or testing is inconsistent. Crisis response may be fragmented.</t>
  </si>
  <si>
    <t>Moderate risk: quality controls, inspections, sampling, nonconformance and corrective actions integrated into production is documented and owned, but measurement, stress testing and integration with dependent processes need strengthening.</t>
  </si>
  <si>
    <t>Residual risk: quality controls, inspections, sampling, nonconformance and corrective actions integrated into production is measured and reviewed, but monitoring, automation or scenario testing should be improved to prevent maturity drift.</t>
  </si>
  <si>
    <t>Low residual risk: quality controls, inspections, sampling, nonconformance and corrective actions integrated into production is mature and crisis-tested. Maintain monitoring, evidence, ownership and periodic stress testing.</t>
  </si>
  <si>
    <t>Create an immediate risk owner, minimum control baseline and fallback procedure for quality controls, inspections, sampling, nonconformance and corrective actions integrated into production. Add it to the crisis risk register and collect first evidence.</t>
  </si>
  <si>
    <t>Document quality controls, inspections, sampling, nonconformance and corrective actions integrated into production, assign RACI, define minimum controls and KPIs, and validate coverage across key sites, teams or systems.</t>
  </si>
  <si>
    <t>Standardize quality controls, inspections, sampling, nonconformance and corrective actions integrated into production, close coverage gaps, train accountable roles and connect controls to the relevant crisis scenarios and continuity plans.</t>
  </si>
  <si>
    <t>Measure and test quality controls, inspections, sampling, nonconformance and corrective actions integrated into production, run tabletop or operational stress tests, integrate it with dependent processes and update crisis playbooks.</t>
  </si>
  <si>
    <t>Sustain maturity for quality controls, inspections, sampling, nonconformance and corrective actions integrated into production: keep evidence current, monitor drift, benchmark externally and refresh risk tests after organizational, system or market changes.</t>
  </si>
  <si>
    <t>Manufacturing MES!23</t>
  </si>
  <si>
    <t>Immature capability for traceability of products, batches, materials, operators and process parameters may lead to production stoppage, quality defects, low asset visibility and inability to recover shop-floor operations during Manufacturing disruption; Safety incident; Energy outage; Cyberattack.</t>
  </si>
  <si>
    <t>Low maturity, weak ownership, incomplete evidence, insufficient testing and poor integration with crisis-management routines for traceability of products, batches, materials, operators and process parameters.</t>
  </si>
  <si>
    <t>Severe risk: traceability of products, batches, materials, operators and process parameters is not reliably controlled. During Manufacturing disruption; Safety incident; Energy outage; Cyberattack, the organization may face production stoppage, quality defects, low asset visibility and inability to recover shop-floor operations with limited visibility or accountability.</t>
  </si>
  <si>
    <t>High risk: traceability of products, batches, materials, operators and process parameters depends on informal practices or individual knowledge. Disruption may expose production stoppage, quality defects, low asset visibility and inability to recover shop-floor operations and slow recovery.</t>
  </si>
  <si>
    <t>Elevated risk: traceability of products, batches, materials, operators and process parameters is partially controlled, but coverage, evidence or testing is inconsistent. Crisis response may be fragmented.</t>
  </si>
  <si>
    <t>Moderate risk: traceability of products, batches, materials, operators and process parameters is documented and owned, but measurement, stress testing and integration with dependent processes need strengthening.</t>
  </si>
  <si>
    <t>Residual risk: traceability of products, batches, materials, operators and process parameters is measured and reviewed, but monitoring, automation or scenario testing should be improved to prevent maturity drift.</t>
  </si>
  <si>
    <t>Low residual risk: traceability of products, batches, materials, operators and process parameters is mature and crisis-tested. Maintain monitoring, evidence, ownership and periodic stress testing.</t>
  </si>
  <si>
    <t>Create an immediate risk owner, minimum control baseline and fallback procedure for traceability of products, batches, materials, operators and process parameters. Add it to the crisis risk register and collect first evidence.</t>
  </si>
  <si>
    <t>Document traceability of products, batches, materials, operators and process parameters, assign RACI, define minimum controls and KPIs, and validate coverage across key sites, teams or systems.</t>
  </si>
  <si>
    <t>Standardize traceability of products, batches, materials, operators and process parameters, close coverage gaps, train accountable roles and connect controls to the relevant crisis scenarios and continuity plans.</t>
  </si>
  <si>
    <t>Measure and test traceability of products, batches, materials, operators and process parameters, run tabletop or operational stress tests, integrate it with dependent processes and update crisis playbooks.</t>
  </si>
  <si>
    <t>Sustain maturity for traceability of products, batches, materials, operators and process parameters: keep evidence current, monitor drift, benchmark externally and refresh risk tests after organizational, system or market changes.</t>
  </si>
  <si>
    <t>Manufacturing MES!24</t>
  </si>
  <si>
    <t>Immature capability for BOM, routing, recipe and engineering change control synchronized with ERP/MES may lead to production stoppage, quality defects, low asset visibility and inability to recover shop-floor operations during Manufacturing disruption; Safety incident; Energy outage; Cyberattack.</t>
  </si>
  <si>
    <t>Low maturity, weak ownership, incomplete evidence, insufficient testing and poor integration with crisis-management routines for BOM, routing, recipe and engineering change control synchronized with ERP/MES.</t>
  </si>
  <si>
    <t>Severe risk: BOM, routing, recipe and engineering change control synchronized with ERP/MES is not reliably controlled. During Manufacturing disruption; Safety incident; Energy outage; Cyberattack, the organization may face production stoppage, quality defects, low asset visibility and inability to recover shop-floor operations with limited visibility or accountability.</t>
  </si>
  <si>
    <t>High risk: BOM, routing, recipe and engineering change control synchronized with ERP/MES depends on informal practices or individual knowledge. Disruption may expose production stoppage, quality defects, low asset visibility and inability to recover shop-floor operations and slow recovery.</t>
  </si>
  <si>
    <t>Elevated risk: BOM, routing, recipe and engineering change control synchronized with ERP/MES is partially controlled, but coverage, evidence or testing is inconsistent. Crisis response may be fragmented.</t>
  </si>
  <si>
    <t>Moderate risk: BOM, routing, recipe and engineering change control synchronized with ERP/MES is documented and owned, but measurement, stress testing and integration with dependent processes need strengthening.</t>
  </si>
  <si>
    <t>Residual risk: BOM, routing, recipe and engineering change control synchronized with ERP/MES is measured and reviewed, but monitoring, automation or scenario testing should be improved to prevent maturity drift.</t>
  </si>
  <si>
    <t>Low residual risk: BOM, routing, recipe and engineering change control synchronized with ERP/MES is mature and crisis-tested. Maintain monitoring, evidence, ownership and periodic stress testing.</t>
  </si>
  <si>
    <t>Create an immediate risk owner, minimum control baseline and fallback procedure for BOM, routing, recipe and engineering change control synchronized with ERP/MES. Add it to the crisis risk register and collect first evidence.</t>
  </si>
  <si>
    <t>Document BOM, routing, recipe and engineering change control synchronized with ERP/MES, assign RACI, define minimum controls and KPIs, and validate coverage across key sites, teams or systems.</t>
  </si>
  <si>
    <t>Standardize BOM, routing, recipe and engineering change control synchronized with ERP/MES, close coverage gaps, train accountable roles and connect controls to the relevant crisis scenarios and continuity plans.</t>
  </si>
  <si>
    <t>Measure and test BOM, routing, recipe and engineering change control synchronized with ERP/MES, run tabletop or operational stress tests, integrate it with dependent processes and update crisis playbooks.</t>
  </si>
  <si>
    <t>Sustain maturity for BOM, routing, recipe and engineering change control synchronized with ERP/MES: keep evidence current, monitor drift, benchmark externally and refresh risk tests after organizational, system or market changes.</t>
  </si>
  <si>
    <t>Manufacturing MES!25</t>
  </si>
  <si>
    <t>Immature capability for operator training and certification for equipment, safety, quality and emergency procedures may lead to production stoppage, quality defects, low asset visibility and inability to recover shop-floor operations during Manufacturing disruption; Safety incident; Energy outage; Cyberattack.</t>
  </si>
  <si>
    <t>Low maturity, weak ownership, incomplete evidence, insufficient testing and poor integration with crisis-management routines for operator training and certification for equipment, safety, quality and emergency procedures.</t>
  </si>
  <si>
    <t>Severe risk: operator training and certification for equipment, safety, quality and emergency procedures is not reliably controlled. During Manufacturing disruption; Safety incident; Energy outage; Cyberattack, the organization may face production stoppage, quality defects, low asset visibility and inability to recover shop-floor operations with limited visibility or accountability.</t>
  </si>
  <si>
    <t>High risk: operator training and certification for equipment, safety, quality and emergency procedures depends on informal practices or individual knowledge. Disruption may expose production stoppage, quality defects, low asset visibility and inability to recover shop-floor operations and slow recovery.</t>
  </si>
  <si>
    <t>Elevated risk: operator training and certification for equipment, safety, quality and emergency procedures is partially controlled, but coverage, evidence or testing is inconsistent. Crisis response may be fragmented.</t>
  </si>
  <si>
    <t>Moderate risk: operator training and certification for equipment, safety, quality and emergency procedures is documented and owned, but measurement, stress testing and integration with dependent processes need strengthening.</t>
  </si>
  <si>
    <t>Residual risk: operator training and certification for equipment, safety, quality and emergency procedures is measured and reviewed, but monitoring, automation or scenario testing should be improved to prevent maturity drift.</t>
  </si>
  <si>
    <t>Low residual risk: operator training and certification for equipment, safety, quality and emergency procedures is mature and crisis-tested. Maintain monitoring, evidence, ownership and periodic stress testing.</t>
  </si>
  <si>
    <t>Create an immediate risk owner, minimum control baseline and fallback procedure for operator training and certification for equipment, safety, quality and emergency procedures. Add it to the crisis risk register and collect first evidence.</t>
  </si>
  <si>
    <t>Document operator training and certification for equipment, safety, quality and emergency procedures, assign RACI, define minimum controls and KPIs, and validate coverage across key sites, teams or systems.</t>
  </si>
  <si>
    <t>Standardize operator training and certification for equipment, safety, quality and emergency procedures, close coverage gaps, train accountable roles and connect controls to the relevant crisis scenarios and continuity plans.</t>
  </si>
  <si>
    <t>Measure and test operator training and certification for equipment, safety, quality and emergency procedures, run tabletop or operational stress tests, integrate it with dependent processes and update crisis playbooks.</t>
  </si>
  <si>
    <t>Sustain maturity for operator training and certification for equipment, safety, quality and emergency procedures: keep evidence current, monitor drift, benchmark externally and refresh risk tests after organizational, system or market changes.</t>
  </si>
  <si>
    <t>Manufacturing MES!26</t>
  </si>
  <si>
    <t>Immature capability for machine safety controls, guarding, emergency stops and lockout/tagout may lead to production stoppage, quality defects, low asset visibility and inability to recover shop-floor operations during Manufacturing disruption; Safety incident; Energy outage; Cyberattack.</t>
  </si>
  <si>
    <t>Low maturity, weak ownership, incomplete evidence, insufficient testing and poor integration with crisis-management routines for machine safety controls, guarding, emergency stops and lockout/tagout.</t>
  </si>
  <si>
    <t>Severe risk: machine safety controls, guarding, emergency stops and lockout/tagout is not reliably controlled. During Manufacturing disruption; Safety incident; Energy outage; Cyberattack, the organization may face production stoppage, quality defects, low asset visibility and inability to recover shop-floor operations with limited visibility or accountability.</t>
  </si>
  <si>
    <t>High risk: machine safety controls, guarding, emergency stops and lockout/tagout depends on informal practices or individual knowledge. Disruption may expose production stoppage, quality defects, low asset visibility and inability to recover shop-floor operations and slow recovery.</t>
  </si>
  <si>
    <t>Elevated risk: machine safety controls, guarding, emergency stops and lockout/tagout is partially controlled, but coverage, evidence or testing is inconsistent. Crisis response may be fragmented.</t>
  </si>
  <si>
    <t>Moderate risk: machine safety controls, guarding, emergency stops and lockout/tagout is documented and owned, but measurement, stress testing and integration with dependent processes need strengthening.</t>
  </si>
  <si>
    <t>Residual risk: machine safety controls, guarding, emergency stops and lockout/tagout is measured and reviewed, but monitoring, automation or scenario testing should be improved to prevent maturity drift.</t>
  </si>
  <si>
    <t>Low residual risk: machine safety controls, guarding, emergency stops and lockout/tagout is mature and crisis-tested. Maintain monitoring, evidence, ownership and periodic stress testing.</t>
  </si>
  <si>
    <t>Create an immediate risk owner, minimum control baseline and fallback procedure for machine safety controls, guarding, emergency stops and lockout/tagout. Add it to the crisis risk register and collect first evidence.</t>
  </si>
  <si>
    <t>Document machine safety controls, guarding, emergency stops and lockout/tagout, assign RACI, define minimum controls and KPIs, and validate coverage across key sites, teams or systems.</t>
  </si>
  <si>
    <t>Standardize machine safety controls, guarding, emergency stops and lockout/tagout, close coverage gaps, train accountable roles and connect controls to the relevant crisis scenarios and continuity plans.</t>
  </si>
  <si>
    <t>Measure and test machine safety controls, guarding, emergency stops and lockout/tagout, run tabletop or operational stress tests, integrate it with dependent processes and update crisis playbooks.</t>
  </si>
  <si>
    <t>Sustain maturity for machine safety controls, guarding, emergency stops and lockout/tagout: keep evidence current, monitor drift, benchmark externally and refresh risk tests after organizational, system or market changes.</t>
  </si>
  <si>
    <t>Manufacturing MES!27</t>
  </si>
  <si>
    <t>Immature capability for rework, scrap, yield loss and defect cost analysis may lead to production stoppage, quality defects, low asset visibility and inability to recover shop-floor operations during Manufacturing disruption; Safety incident; Energy outage; Cyberattack.</t>
  </si>
  <si>
    <t>Low maturity, weak ownership, incomplete evidence, insufficient testing and poor integration with crisis-management routines for rework, scrap, yield loss and defect cost analysis.</t>
  </si>
  <si>
    <t>Severe risk: rework, scrap, yield loss and defect cost analysis is not reliably controlled. During Manufacturing disruption; Safety incident; Energy outage; Cyberattack, the organization may face production stoppage, quality defects, low asset visibility and inability to recover shop-floor operations with limited visibility or accountability.</t>
  </si>
  <si>
    <t>High risk: rework, scrap, yield loss and defect cost analysis depends on informal practices or individual knowledge. Disruption may expose production stoppage, quality defects, low asset visibility and inability to recover shop-floor operations and slow recovery.</t>
  </si>
  <si>
    <t>Elevated risk: rework, scrap, yield loss and defect cost analysis is partially controlled, but coverage, evidence or testing is inconsistent. Crisis response may be fragmented.</t>
  </si>
  <si>
    <t>Moderate risk: rework, scrap, yield loss and defect cost analysis is documented and owned, but measurement, stress testing and integration with dependent processes need strengthening.</t>
  </si>
  <si>
    <t>Residual risk: rework, scrap, yield loss and defect cost analysis is measured and reviewed, but monitoring, automation or scenario testing should be improved to prevent maturity drift.</t>
  </si>
  <si>
    <t>Low residual risk: rework, scrap, yield loss and defect cost analysis is mature and crisis-tested. Maintain monitoring, evidence, ownership and periodic stress testing.</t>
  </si>
  <si>
    <t>Create an immediate risk owner, minimum control baseline and fallback procedure for rework, scrap, yield loss and defect cost analysis. Add it to the crisis risk register and collect first evidence.</t>
  </si>
  <si>
    <t>Document rework, scrap, yield loss and defect cost analysis, assign RACI, define minimum controls and KPIs, and validate coverage across key sites, teams or systems.</t>
  </si>
  <si>
    <t>Standardize rework, scrap, yield loss and defect cost analysis, close coverage gaps, train accountable roles and connect controls to the relevant crisis scenarios and continuity plans.</t>
  </si>
  <si>
    <t>Measure and test rework, scrap, yield loss and defect cost analysis, run tabletop or operational stress tests, integrate it with dependent processes and update crisis playbooks.</t>
  </si>
  <si>
    <t>Sustain maturity for rework, scrap, yield loss and defect cost analysis: keep evidence current, monitor drift, benchmark externally and refresh risk tests after organizational, system or market changes.</t>
  </si>
  <si>
    <t>Manufacturing MES!28</t>
  </si>
  <si>
    <t>Immature capability for OT asset inventory for PLCs, SCADA, HMIs, industrial networks and engineering workstations may lead to production stoppage, quality defects, low asset visibility and inability to recover shop-floor operations during Manufacturing disruption; Safety incident; Energy outage; Cyberattack.</t>
  </si>
  <si>
    <t>Low maturity, weak ownership, incomplete evidence, insufficient testing and poor integration with crisis-management routines for OT asset inventory for PLCs, SCADA, HMIs, industrial networks and engineering workstations.</t>
  </si>
  <si>
    <t>Severe risk: OT asset inventory for PLCs, SCADA, HMIs, industrial networks and engineering workstations is not reliably controlled. During Manufacturing disruption; Safety incident; Energy outage; Cyberattack, the organization may face production stoppage, quality defects, low asset visibility and inability to recover shop-floor operations with limited visibility or accountability.</t>
  </si>
  <si>
    <t>High risk: OT asset inventory for PLCs, SCADA, HMIs, industrial networks and engineering workstations depends on informal practices or individual knowledge. Disruption may expose production stoppage, quality defects, low asset visibility and inability to recover shop-floor operations and slow recovery.</t>
  </si>
  <si>
    <t>Elevated risk: OT asset inventory for PLCs, SCADA, HMIs, industrial networks and engineering workstations is partially controlled, but coverage, evidence or testing is inconsistent. Crisis response may be fragmented.</t>
  </si>
  <si>
    <t>Moderate risk: OT asset inventory for PLCs, SCADA, HMIs, industrial networks and engineering workstations is documented and owned, but measurement, stress testing and integration with dependent processes need strengthening.</t>
  </si>
  <si>
    <t>Residual risk: OT asset inventory for PLCs, SCADA, HMIs, industrial networks and engineering workstations is measured and reviewed, but monitoring, automation or scenario testing should be improved to prevent maturity drift.</t>
  </si>
  <si>
    <t>Low residual risk: OT asset inventory for PLCs, SCADA, HMIs, industrial networks and engineering workstations is mature and crisis-tested. Maintain monitoring, evidence, ownership and periodic stress testing.</t>
  </si>
  <si>
    <t>Create an immediate risk owner, minimum control baseline and fallback procedure for OT asset inventory for PLCs, SCADA, HMIs, industrial networks and engineering workstations. Add it to the crisis risk register and collect first evidence.</t>
  </si>
  <si>
    <t>Document OT asset inventory for PLCs, SCADA, HMIs, industrial networks and engineering workstations, assign RACI, define minimum controls and KPIs, and validate coverage across key sites, teams or systems.</t>
  </si>
  <si>
    <t>Standardize OT asset inventory for PLCs, SCADA, HMIs, industrial networks and engineering workstations, close coverage gaps, train accountable roles and connect controls to the relevant crisis scenarios and continuity plans.</t>
  </si>
  <si>
    <t>Measure and test OT asset inventory for PLCs, SCADA, HMIs, industrial networks and engineering workstations, run tabletop or operational stress tests, integrate it with dependent processes and update crisis playbooks.</t>
  </si>
  <si>
    <t>Sustain maturity for OT asset inventory for PLCs, SCADA, HMIs, industrial networks and engineering workstations: keep evidence current, monitor drift, benchmark externally and refresh risk tests after organizational, system or market changes.</t>
  </si>
  <si>
    <t>Manufacturing MES!29</t>
  </si>
  <si>
    <t>Immature capability for OT network segmentation and secure remote access for vendors and maintenance may lead to production stoppage, quality defects, low asset visibility and inability to recover shop-floor operations during Manufacturing disruption; Safety incident; Energy outage; Cyberattack.</t>
  </si>
  <si>
    <t>Low maturity, weak ownership, incomplete evidence, insufficient testing and poor integration with crisis-management routines for OT network segmentation and secure remote access for vendors and maintenance.</t>
  </si>
  <si>
    <t>Severe risk: OT network segmentation and secure remote access for vendors and maintenance is not reliably controlled. During Manufacturing disruption; Safety incident; Energy outage; Cyberattack, the organization may face production stoppage, quality defects, low asset visibility and inability to recover shop-floor operations with limited visibility or accountability.</t>
  </si>
  <si>
    <t>High risk: OT network segmentation and secure remote access for vendors and maintenance depends on informal practices or individual knowledge. Disruption may expose production stoppage, quality defects, low asset visibility and inability to recover shop-floor operations and slow recovery.</t>
  </si>
  <si>
    <t>Elevated risk: OT network segmentation and secure remote access for vendors and maintenance is partially controlled, but coverage, evidence or testing is inconsistent. Crisis response may be fragmented.</t>
  </si>
  <si>
    <t>Moderate risk: OT network segmentation and secure remote access for vendors and maintenance is documented and owned, but measurement, stress testing and integration with dependent processes need strengthening.</t>
  </si>
  <si>
    <t>Residual risk: OT network segmentation and secure remote access for vendors and maintenance is measured and reviewed, but monitoring, automation or scenario testing should be improved to prevent maturity drift.</t>
  </si>
  <si>
    <t>Low residual risk: OT network segmentation and secure remote access for vendors and maintenance is mature and crisis-tested. Maintain monitoring, evidence, ownership and periodic stress testing.</t>
  </si>
  <si>
    <t>Create an immediate risk owner, minimum control baseline and fallback procedure for OT network segmentation and secure remote access for vendors and maintenance. Add it to the crisis risk register and collect first evidence.</t>
  </si>
  <si>
    <t>Document OT network segmentation and secure remote access for vendors and maintenance, assign RACI, define minimum controls and KPIs, and validate coverage across key sites, teams or systems.</t>
  </si>
  <si>
    <t>Standardize OT network segmentation and secure remote access for vendors and maintenance, close coverage gaps, train accountable roles and connect controls to the relevant crisis scenarios and continuity plans.</t>
  </si>
  <si>
    <t>Measure and test OT network segmentation and secure remote access for vendors and maintenance, run tabletop or operational stress tests, integrate it with dependent processes and update crisis playbooks.</t>
  </si>
  <si>
    <t>Sustain maturity for OT network segmentation and secure remote access for vendors and maintenance: keep evidence current, monitor drift, benchmark externally and refresh risk tests after organizational, system or market changes.</t>
  </si>
  <si>
    <t>Manufacturing MES!30</t>
  </si>
  <si>
    <t>Immature capability for PLC, HMI, SCADA and recipe configuration backup and restore testing may lead to production stoppage, quality defects, low asset visibility and inability to recover shop-floor operations during Manufacturing disruption; Safety incident; Energy outage; Cyberattack.</t>
  </si>
  <si>
    <t>Low maturity, weak ownership, incomplete evidence, insufficient testing and poor integration with crisis-management routines for PLC, HMI, SCADA and recipe configuration backup and restore testing.</t>
  </si>
  <si>
    <t>Severe risk: PLC, HMI, SCADA and recipe configuration backup and restore testing is not reliably controlled. During Manufacturing disruption; Safety incident; Energy outage; Cyberattack, the organization may face production stoppage, quality defects, low asset visibility and inability to recover shop-floor operations with limited visibility or accountability.</t>
  </si>
  <si>
    <t>High risk: PLC, HMI, SCADA and recipe configuration backup and restore testing depends on informal practices or individual knowledge. Disruption may expose production stoppage, quality defects, low asset visibility and inability to recover shop-floor operations and slow recovery.</t>
  </si>
  <si>
    <t>Elevated risk: PLC, HMI, SCADA and recipe configuration backup and restore testing is partially controlled, but coverage, evidence or testing is inconsistent. Crisis response may be fragmented.</t>
  </si>
  <si>
    <t>Moderate risk: PLC, HMI, SCADA and recipe configuration backup and restore testing is documented and owned, but measurement, stress testing and integration with dependent processes need strengthening.</t>
  </si>
  <si>
    <t>Residual risk: PLC, HMI, SCADA and recipe configuration backup and restore testing is measured and reviewed, but monitoring, automation or scenario testing should be improved to prevent maturity drift.</t>
  </si>
  <si>
    <t>Low residual risk: PLC, HMI, SCADA and recipe configuration backup and restore testing is mature and crisis-tested. Maintain monitoring, evidence, ownership and periodic stress testing.</t>
  </si>
  <si>
    <t>Create an immediate risk owner, minimum control baseline and fallback procedure for PLC, HMI, SCADA and recipe configuration backup and restore testing. Add it to the crisis risk register and collect first evidence.</t>
  </si>
  <si>
    <t>Document PLC, HMI, SCADA and recipe configuration backup and restore testing, assign RACI, define minimum controls and KPIs, and validate coverage across key sites, teams or systems.</t>
  </si>
  <si>
    <t>Standardize PLC, HMI, SCADA and recipe configuration backup and restore testing, close coverage gaps, train accountable roles and connect controls to the relevant crisis scenarios and continuity plans.</t>
  </si>
  <si>
    <t>Measure and test PLC, HMI, SCADA and recipe configuration backup and restore testing, run tabletop or operational stress tests, integrate it with dependent processes and update crisis playbooks.</t>
  </si>
  <si>
    <t>Sustain maturity for PLC, HMI, SCADA and recipe configuration backup and restore testing: keep evidence current, monitor drift, benchmark externally and refresh risk tests after organizational, system or market changes.</t>
  </si>
  <si>
    <t>Manufacturing MES!31</t>
  </si>
  <si>
    <t>Immature capability for cyber incident response procedures specific to production and OT may lead to production stoppage, quality defects, low asset visibility and inability to recover shop-floor operations during Manufacturing disruption; Safety incident; Energy outage; Cyberattack.</t>
  </si>
  <si>
    <t>Low maturity, weak ownership, incomplete evidence, insufficient testing and poor integration with crisis-management routines for cyber incident response procedures specific to production and OT.</t>
  </si>
  <si>
    <t>Severe risk: cyber incident response procedures specific to production and OT is not reliably controlled. During Manufacturing disruption; Safety incident; Energy outage; Cyberattack, the organization may face production stoppage, quality defects, low asset visibility and inability to recover shop-floor operations with limited visibility or accountability.</t>
  </si>
  <si>
    <t>High risk: cyber incident response procedures specific to production and OT depends on informal practices or individual knowledge. Disruption may expose production stoppage, quality defects, low asset visibility and inability to recover shop-floor operations and slow recovery.</t>
  </si>
  <si>
    <t>Elevated risk: cyber incident response procedures specific to production and OT is partially controlled, but coverage, evidence or testing is inconsistent. Crisis response may be fragmented.</t>
  </si>
  <si>
    <t>Moderate risk: cyber incident response procedures specific to production and OT is documented and owned, but measurement, stress testing and integration with dependent processes need strengthening.</t>
  </si>
  <si>
    <t>Residual risk: cyber incident response procedures specific to production and OT is measured and reviewed, but monitoring, automation or scenario testing should be improved to prevent maturity drift.</t>
  </si>
  <si>
    <t>Low residual risk: cyber incident response procedures specific to production and OT is mature and crisis-tested. Maintain monitoring, evidence, ownership and periodic stress testing.</t>
  </si>
  <si>
    <t>Create an immediate risk owner, minimum control baseline and fallback procedure for cyber incident response procedures specific to production and OT. Add it to the crisis risk register and collect first evidence.</t>
  </si>
  <si>
    <t>Document cyber incident response procedures specific to production and OT, assign RACI, define minimum controls and KPIs, and validate coverage across key sites, teams or systems.</t>
  </si>
  <si>
    <t>Standardize cyber incident response procedures specific to production and OT, close coverage gaps, train accountable roles and connect controls to the relevant crisis scenarios and continuity plans.</t>
  </si>
  <si>
    <t>Measure and test cyber incident response procedures specific to production and OT, run tabletop or operational stress tests, integrate it with dependent processes and update crisis playbooks.</t>
  </si>
  <si>
    <t>Sustain maturity for cyber incident response procedures specific to production and OT: keep evidence current, monitor drift, benchmark externally and refresh risk tests after organizational, system or market changes.</t>
  </si>
  <si>
    <t>Manufacturing MES!32</t>
  </si>
  <si>
    <t>Immature capability for CRM as single source of truth for accounts, contacts, opportunities, activities and forecasts may lead to pipeline loss, poor customer retention, weak forecasting and inability to protect revenue channels during Demand shock; Revenue loss; Reputation crisis.</t>
  </si>
  <si>
    <t>Low maturity, weak ownership, incomplete evidence, insufficient testing and poor integration with crisis-management routines for CRM as single source of truth for accounts, contacts, opportunities, activities and forecasts.</t>
  </si>
  <si>
    <t>Severe risk: CRM as single source of truth for accounts, contacts, opportunities, activities and forecasts is not reliably controlled. During Demand shock; Revenue loss; Reputation crisis, the organization may face pipeline loss, poor customer retention, weak forecasting and inability to protect revenue channels with limited visibility or accountability.</t>
  </si>
  <si>
    <t>High risk: CRM as single source of truth for accounts, contacts, opportunities, activities and forecasts depends on informal practices or individual knowledge. Disruption may expose pipeline loss, poor customer retention, weak forecasting and inability to protect revenue channels and slow recovery.</t>
  </si>
  <si>
    <t>Elevated risk: CRM as single source of truth for accounts, contacts, opportunities, activities and forecasts is partially controlled, but coverage, evidence or testing is inconsistent. Crisis response may be fragmented.</t>
  </si>
  <si>
    <t>Moderate risk: CRM as single source of truth for accounts, contacts, opportunities, activities and forecasts is documented and owned, but measurement, stress testing and integration with dependent processes need strengthening.</t>
  </si>
  <si>
    <t>Residual risk: CRM as single source of truth for accounts, contacts, opportunities, activities and forecasts is measured and reviewed, but monitoring, automation or scenario testing should be improved to prevent maturity drift.</t>
  </si>
  <si>
    <t>Low residual risk: CRM as single source of truth for accounts, contacts, opportunities, activities and forecasts is mature and crisis-tested. Maintain monitoring, evidence, ownership and periodic stress testing.</t>
  </si>
  <si>
    <t>Create an immediate risk owner, minimum control baseline and fallback procedure for CRM as single source of truth for accounts, contacts, opportunities, activities and forecasts. Add it to the crisis risk register and collect first evidence.</t>
  </si>
  <si>
    <t>Document CRM as single source of truth for accounts, contacts, opportunities, activities and forecasts, assign RACI, define minimum controls and KPIs, and validate coverage across key sites, teams or systems.</t>
  </si>
  <si>
    <t>Standardize CRM as single source of truth for accounts, contacts, opportunities, activities and forecasts, close coverage gaps, train accountable roles and connect controls to the relevant crisis scenarios and continuity plans.</t>
  </si>
  <si>
    <t>Measure and test CRM as single source of truth for accounts, contacts, opportunities, activities and forecasts, run tabletop or operational stress tests, integrate it with dependent processes and update crisis playbooks.</t>
  </si>
  <si>
    <t>Sustain maturity for CRM as single source of truth for accounts, contacts, opportunities, activities and forecasts: keep evidence current, monitor drift, benchmark externally and refresh risk tests after organizational, system or market changes.</t>
  </si>
  <si>
    <t>CCO / Sales Ops</t>
  </si>
  <si>
    <t>Sales CRM!5</t>
  </si>
  <si>
    <t>Immature capability for CRM data quality for segmentation, pipeline, ICP, offerings, win/loss reasons and customer health may lead to pipeline loss, poor customer retention, weak forecasting and inability to protect revenue channels during Demand shock; Revenue loss; Reputation crisis.</t>
  </si>
  <si>
    <t>Low maturity, weak ownership, incomplete evidence, insufficient testing and poor integration with crisis-management routines for CRM data quality for segmentation, pipeline, ICP, offerings, win/loss reasons and customer health.</t>
  </si>
  <si>
    <t>Severe risk: CRM data quality for segmentation, pipeline, ICP, offerings, win/loss reasons and customer health is not reliably controlled. During Demand shock; Revenue loss; Reputation crisis, the organization may face pipeline loss, poor customer retention, weak forecasting and inability to protect revenue channels with limited visibility or accountability.</t>
  </si>
  <si>
    <t>High risk: CRM data quality for segmentation, pipeline, ICP, offerings, win/loss reasons and customer health depends on informal practices or individual knowledge. Disruption may expose pipeline loss, poor customer retention, weak forecasting and inability to protect revenue channels and slow recovery.</t>
  </si>
  <si>
    <t>Elevated risk: CRM data quality for segmentation, pipeline, ICP, offerings, win/loss reasons and customer health is partially controlled, but coverage, evidence or testing is inconsistent. Crisis response may be fragmented.</t>
  </si>
  <si>
    <t>Moderate risk: CRM data quality for segmentation, pipeline, ICP, offerings, win/loss reasons and customer health is documented and owned, but measurement, stress testing and integration with dependent processes need strengthening.</t>
  </si>
  <si>
    <t>Residual risk: CRM data quality for segmentation, pipeline, ICP, offerings, win/loss reasons and customer health is measured and reviewed, but monitoring, automation or scenario testing should be improved to prevent maturity drift.</t>
  </si>
  <si>
    <t>Low residual risk: CRM data quality for segmentation, pipeline, ICP, offerings, win/loss reasons and customer health is mature and crisis-tested. Maintain monitoring, evidence, ownership and periodic stress testing.</t>
  </si>
  <si>
    <t>Create an immediate risk owner, minimum control baseline and fallback procedure for CRM data quality for segmentation, pipeline, ICP, offerings, win/loss reasons and customer health. Add it to the crisis risk register and collect first evidence.</t>
  </si>
  <si>
    <t>Document CRM data quality for segmentation, pipeline, ICP, offerings, win/loss reasons and customer health, assign RACI, define minimum controls and KPIs, and validate coverage across key sites, teams or systems.</t>
  </si>
  <si>
    <t>Standardize CRM data quality for segmentation, pipeline, ICP, offerings, win/loss reasons and customer health, close coverage gaps, train accountable roles and connect controls to the relevant crisis scenarios and continuity plans.</t>
  </si>
  <si>
    <t>Measure and test CRM data quality for segmentation, pipeline, ICP, offerings, win/loss reasons and customer health, run tabletop or operational stress tests, integrate it with dependent processes and update crisis playbooks.</t>
  </si>
  <si>
    <t>Sustain maturity for CRM data quality for segmentation, pipeline, ICP, offerings, win/loss reasons and customer health: keep evidence current, monitor drift, benchmark externally and refresh risk tests after organizational, system or market changes.</t>
  </si>
  <si>
    <t>Sales CRM!6</t>
  </si>
  <si>
    <t>Immature capability for sales process governance from lead to opportunity to contract to handover may lead to pipeline loss, poor customer retention, weak forecasting and inability to protect revenue channels during Demand shock; Revenue loss; Reputation crisis.</t>
  </si>
  <si>
    <t>Low maturity, weak ownership, incomplete evidence, insufficient testing and poor integration with crisis-management routines for sales process governance from lead to opportunity to contract to handover.</t>
  </si>
  <si>
    <t>Severe risk: sales process governance from lead to opportunity to contract to handover is not reliably controlled. During Demand shock; Revenue loss; Reputation crisis, the organization may face pipeline loss, poor customer retention, weak forecasting and inability to protect revenue channels with limited visibility or accountability.</t>
  </si>
  <si>
    <t>High risk: sales process governance from lead to opportunity to contract to handover depends on informal practices or individual knowledge. Disruption may expose pipeline loss, poor customer retention, weak forecasting and inability to protect revenue channels and slow recovery.</t>
  </si>
  <si>
    <t>Elevated risk: sales process governance from lead to opportunity to contract to handover is partially controlled, but coverage, evidence or testing is inconsistent. Crisis response may be fragmented.</t>
  </si>
  <si>
    <t>Moderate risk: sales process governance from lead to opportunity to contract to handover is documented and owned, but measurement, stress testing and integration with dependent processes need strengthening.</t>
  </si>
  <si>
    <t>Residual risk: sales process governance from lead to opportunity to contract to handover is measured and reviewed, but monitoring, automation or scenario testing should be improved to prevent maturity drift.</t>
  </si>
  <si>
    <t>Low residual risk: sales process governance from lead to opportunity to contract to handover is mature and crisis-tested. Maintain monitoring, evidence, ownership and periodic stress testing.</t>
  </si>
  <si>
    <t>Create an immediate risk owner, minimum control baseline and fallback procedure for sales process governance from lead to opportunity to contract to handover. Add it to the crisis risk register and collect first evidence.</t>
  </si>
  <si>
    <t>Document sales process governance from lead to opportunity to contract to handover, assign RACI, define minimum controls and KPIs, and validate coverage across key sites, teams or systems.</t>
  </si>
  <si>
    <t>Standardize sales process governance from lead to opportunity to contract to handover, close coverage gaps, train accountable roles and connect controls to the relevant crisis scenarios and continuity plans.</t>
  </si>
  <si>
    <t>Measure and test sales process governance from lead to opportunity to contract to handover, run tabletop or operational stress tests, integrate it with dependent processes and update crisis playbooks.</t>
  </si>
  <si>
    <t>Sustain maturity for sales process governance from lead to opportunity to contract to handover: keep evidence current, monitor drift, benchmark externally and refresh risk tests after organizational, system or market changes.</t>
  </si>
  <si>
    <t>Sales CRM!7</t>
  </si>
  <si>
    <t>Immature capability for customer and contract data linked to renewal, SLA and revenue risk may lead to pipeline loss, poor customer retention, weak forecasting and inability to protect revenue channels during Demand shock; Revenue loss; Reputation crisis.</t>
  </si>
  <si>
    <t>Low maturity, weak ownership, incomplete evidence, insufficient testing and poor integration with crisis-management routines for customer and contract data linked to renewal, SLA and revenue risk.</t>
  </si>
  <si>
    <t>Severe risk: customer and contract data linked to renewal, SLA and revenue risk is not reliably controlled. During Demand shock; Revenue loss; Reputation crisis, the organization may face pipeline loss, poor customer retention, weak forecasting and inability to protect revenue channels with limited visibility or accountability.</t>
  </si>
  <si>
    <t>High risk: customer and contract data linked to renewal, SLA and revenue risk depends on informal practices or individual knowledge. Disruption may expose pipeline loss, poor customer retention, weak forecasting and inability to protect revenue channels and slow recovery.</t>
  </si>
  <si>
    <t>Elevated risk: customer and contract data linked to renewal, SLA and revenue risk is partially controlled, but coverage, evidence or testing is inconsistent. Crisis response may be fragmented.</t>
  </si>
  <si>
    <t>Moderate risk: customer and contract data linked to renewal, SLA and revenue risk is documented and owned, but measurement, stress testing and integration with dependent processes need strengthening.</t>
  </si>
  <si>
    <t>Residual risk: customer and contract data linked to renewal, SLA and revenue risk is measured and reviewed, but monitoring, automation or scenario testing should be improved to prevent maturity drift.</t>
  </si>
  <si>
    <t>Low residual risk: customer and contract data linked to renewal, SLA and revenue risk is mature and crisis-tested. Maintain monitoring, evidence, ownership and periodic stress testing.</t>
  </si>
  <si>
    <t>Create an immediate risk owner, minimum control baseline and fallback procedure for customer and contract data linked to renewal, SLA and revenue risk. Add it to the crisis risk register and collect first evidence.</t>
  </si>
  <si>
    <t>Document customer and contract data linked to renewal, SLA and revenue risk, assign RACI, define minimum controls and KPIs, and validate coverage across key sites, teams or systems.</t>
  </si>
  <si>
    <t>Standardize customer and contract data linked to renewal, SLA and revenue risk, close coverage gaps, train accountable roles and connect controls to the relevant crisis scenarios and continuity plans.</t>
  </si>
  <si>
    <t>Measure and test customer and contract data linked to renewal, SLA and revenue risk, run tabletop or operational stress tests, integrate it with dependent processes and update crisis playbooks.</t>
  </si>
  <si>
    <t>Sustain maturity for customer and contract data linked to renewal, SLA and revenue risk: keep evidence current, monitor drift, benchmark externally and refresh risk tests after organizational, system or market changes.</t>
  </si>
  <si>
    <t>Sales CRM!8</t>
  </si>
  <si>
    <t>Immature capability for pipeline qualification criteria and stage exit rules may lead to pipeline loss, poor customer retention, weak forecasting and inability to protect revenue channels during Demand shock; Revenue loss; Reputation crisis.</t>
  </si>
  <si>
    <t>Low maturity, weak ownership, incomplete evidence, insufficient testing and poor integration with crisis-management routines for pipeline qualification criteria and stage exit rules.</t>
  </si>
  <si>
    <t>Severe risk: pipeline qualification criteria and stage exit rules is not reliably controlled. During Demand shock; Revenue loss; Reputation crisis, the organization may face pipeline loss, poor customer retention, weak forecasting and inability to protect revenue channels with limited visibility or accountability.</t>
  </si>
  <si>
    <t>High risk: pipeline qualification criteria and stage exit rules depends on informal practices or individual knowledge. Disruption may expose pipeline loss, poor customer retention, weak forecasting and inability to protect revenue channels and slow recovery.</t>
  </si>
  <si>
    <t>Elevated risk: pipeline qualification criteria and stage exit rules is partially controlled, but coverage, evidence or testing is inconsistent. Crisis response may be fragmented.</t>
  </si>
  <si>
    <t>Moderate risk: pipeline qualification criteria and stage exit rules is documented and owned, but measurement, stress testing and integration with dependent processes need strengthening.</t>
  </si>
  <si>
    <t>Residual risk: pipeline qualification criteria and stage exit rules is measured and reviewed, but monitoring, automation or scenario testing should be improved to prevent maturity drift.</t>
  </si>
  <si>
    <t>Low residual risk: pipeline qualification criteria and stage exit rules is mature and crisis-tested. Maintain monitoring, evidence, ownership and periodic stress testing.</t>
  </si>
  <si>
    <t>Create an immediate risk owner, minimum control baseline and fallback procedure for pipeline qualification criteria and stage exit rules. Add it to the crisis risk register and collect first evidence.</t>
  </si>
  <si>
    <t>Document pipeline qualification criteria and stage exit rules, assign RACI, define minimum controls and KPIs, and validate coverage across key sites, teams or systems.</t>
  </si>
  <si>
    <t>Standardize pipeline qualification criteria and stage exit rules, close coverage gaps, train accountable roles and connect controls to the relevant crisis scenarios and continuity plans.</t>
  </si>
  <si>
    <t>Measure and test pipeline qualification criteria and stage exit rules, run tabletop or operational stress tests, integrate it with dependent processes and update crisis playbooks.</t>
  </si>
  <si>
    <t>Sustain maturity for pipeline qualification criteria and stage exit rules: keep evidence current, monitor drift, benchmark externally and refresh risk tests after organizational, system or market changes.</t>
  </si>
  <si>
    <t>Sales CRM!9</t>
  </si>
  <si>
    <t>Immature capability for pipeline coverage relative to targets, sales cycle, win rate and crisis scenarios may lead to pipeline loss, poor customer retention, weak forecasting and inability to protect revenue channels during Demand shock; Revenue loss; Reputation crisis.</t>
  </si>
  <si>
    <t>Low maturity, weak ownership, incomplete evidence, insufficient testing and poor integration with crisis-management routines for pipeline coverage relative to targets, sales cycle, win rate and crisis scenarios.</t>
  </si>
  <si>
    <t>Severe risk: pipeline coverage relative to targets, sales cycle, win rate and crisis scenarios is not reliably controlled. During Demand shock; Revenue loss; Reputation crisis, the organization may face pipeline loss, poor customer retention, weak forecasting and inability to protect revenue channels with limited visibility or accountability.</t>
  </si>
  <si>
    <t>High risk: pipeline coverage relative to targets, sales cycle, win rate and crisis scenarios depends on informal practices or individual knowledge. Disruption may expose pipeline loss, poor customer retention, weak forecasting and inability to protect revenue channels and slow recovery.</t>
  </si>
  <si>
    <t>Elevated risk: pipeline coverage relative to targets, sales cycle, win rate and crisis scenarios is partially controlled, but coverage, evidence or testing is inconsistent. Crisis response may be fragmented.</t>
  </si>
  <si>
    <t>Moderate risk: pipeline coverage relative to targets, sales cycle, win rate and crisis scenarios is documented and owned, but measurement, stress testing and integration with dependent processes need strengthening.</t>
  </si>
  <si>
    <t>Residual risk: pipeline coverage relative to targets, sales cycle, win rate and crisis scenarios is measured and reviewed, but monitoring, automation or scenario testing should be improved to prevent maturity drift.</t>
  </si>
  <si>
    <t>Low residual risk: pipeline coverage relative to targets, sales cycle, win rate and crisis scenarios is mature and crisis-tested. Maintain monitoring, evidence, ownership and periodic stress testing.</t>
  </si>
  <si>
    <t>Create an immediate risk owner, minimum control baseline and fallback procedure for pipeline coverage relative to targets, sales cycle, win rate and crisis scenarios. Add it to the crisis risk register and collect first evidence.</t>
  </si>
  <si>
    <t>Document pipeline coverage relative to targets, sales cycle, win rate and crisis scenarios, assign RACI, define minimum controls and KPIs, and validate coverage across key sites, teams or systems.</t>
  </si>
  <si>
    <t>Standardize pipeline coverage relative to targets, sales cycle, win rate and crisis scenarios, close coverage gaps, train accountable roles and connect controls to the relevant crisis scenarios and continuity plans.</t>
  </si>
  <si>
    <t>Measure and test pipeline coverage relative to targets, sales cycle, win rate and crisis scenarios, run tabletop or operational stress tests, integrate it with dependent processes and update crisis playbooks.</t>
  </si>
  <si>
    <t>Sustain maturity for pipeline coverage relative to targets, sales cycle, win rate and crisis scenarios: keep evidence current, monitor drift, benchmark externally and refresh risk tests after organizational, system or market changes.</t>
  </si>
  <si>
    <t>Sales CRM!10</t>
  </si>
  <si>
    <t>Immature capability for sales forecast cadence connected to finance, delivery and supply planning may lead to pipeline loss, poor customer retention, weak forecasting and inability to protect revenue channels during Demand shock; Revenue loss; Reputation crisis.</t>
  </si>
  <si>
    <t>Low maturity, weak ownership, incomplete evidence, insufficient testing and poor integration with crisis-management routines for sales forecast cadence connected to finance, delivery and supply planning.</t>
  </si>
  <si>
    <t>Severe risk: sales forecast cadence connected to finance, delivery and supply planning is not reliably controlled. During Demand shock; Revenue loss; Reputation crisis, the organization may face pipeline loss, poor customer retention, weak forecasting and inability to protect revenue channels with limited visibility or accountability.</t>
  </si>
  <si>
    <t>High risk: sales forecast cadence connected to finance, delivery and supply planning depends on informal practices or individual knowledge. Disruption may expose pipeline loss, poor customer retention, weak forecasting and inability to protect revenue channels and slow recovery.</t>
  </si>
  <si>
    <t>Elevated risk: sales forecast cadence connected to finance, delivery and supply planning is partially controlled, but coverage, evidence or testing is inconsistent. Crisis response may be fragmented.</t>
  </si>
  <si>
    <t>Moderate risk: sales forecast cadence connected to finance, delivery and supply planning is documented and owned, but measurement, stress testing and integration with dependent processes need strengthening.</t>
  </si>
  <si>
    <t>Residual risk: sales forecast cadence connected to finance, delivery and supply planning is measured and reviewed, but monitoring, automation or scenario testing should be improved to prevent maturity drift.</t>
  </si>
  <si>
    <t>Low residual risk: sales forecast cadence connected to finance, delivery and supply planning is mature and crisis-tested. Maintain monitoring, evidence, ownership and periodic stress testing.</t>
  </si>
  <si>
    <t>Create an immediate risk owner, minimum control baseline and fallback procedure for sales forecast cadence connected to finance, delivery and supply planning. Add it to the crisis risk register and collect first evidence.</t>
  </si>
  <si>
    <t>Document sales forecast cadence connected to finance, delivery and supply planning, assign RACI, define minimum controls and KPIs, and validate coverage across key sites, teams or systems.</t>
  </si>
  <si>
    <t>Standardize sales forecast cadence connected to finance, delivery and supply planning, close coverage gaps, train accountable roles and connect controls to the relevant crisis scenarios and continuity plans.</t>
  </si>
  <si>
    <t>Measure and test sales forecast cadence connected to finance, delivery and supply planning, run tabletop or operational stress tests, integrate it with dependent processes and update crisis playbooks.</t>
  </si>
  <si>
    <t>Sustain maturity for sales forecast cadence connected to finance, delivery and supply planning: keep evidence current, monitor drift, benchmark externally and refresh risk tests after organizational, system or market changes.</t>
  </si>
  <si>
    <t>Sales CRM!11</t>
  </si>
  <si>
    <t>Immature capability for sales forecast stress tests for delayed decisions, budget cuts and customer churn may lead to pipeline loss, poor customer retention, weak forecasting and inability to protect revenue channels during Demand shock; Revenue loss; Reputation crisis.</t>
  </si>
  <si>
    <t>Low maturity, weak ownership, incomplete evidence, insufficient testing and poor integration with crisis-management routines for sales forecast stress tests for delayed decisions, budget cuts and customer churn.</t>
  </si>
  <si>
    <t>Severe risk: sales forecast stress tests for delayed decisions, budget cuts and customer churn is not reliably controlled. During Demand shock; Revenue loss; Reputation crisis, the organization may face pipeline loss, poor customer retention, weak forecasting and inability to protect revenue channels with limited visibility or accountability.</t>
  </si>
  <si>
    <t>High risk: sales forecast stress tests for delayed decisions, budget cuts and customer churn depends on informal practices or individual knowledge. Disruption may expose pipeline loss, poor customer retention, weak forecasting and inability to protect revenue channels and slow recovery.</t>
  </si>
  <si>
    <t>Elevated risk: sales forecast stress tests for delayed decisions, budget cuts and customer churn is partially controlled, but coverage, evidence or testing is inconsistent. Crisis response may be fragmented.</t>
  </si>
  <si>
    <t>Moderate risk: sales forecast stress tests for delayed decisions, budget cuts and customer churn is documented and owned, but measurement, stress testing and integration with dependent processes need strengthening.</t>
  </si>
  <si>
    <t>Residual risk: sales forecast stress tests for delayed decisions, budget cuts and customer churn is measured and reviewed, but monitoring, automation or scenario testing should be improved to prevent maturity drift.</t>
  </si>
  <si>
    <t>Low residual risk: sales forecast stress tests for delayed decisions, budget cuts and customer churn is mature and crisis-tested. Maintain monitoring, evidence, ownership and periodic stress testing.</t>
  </si>
  <si>
    <t>Create an immediate risk owner, minimum control baseline and fallback procedure for sales forecast stress tests for delayed decisions, budget cuts and customer churn. Add it to the crisis risk register and collect first evidence.</t>
  </si>
  <si>
    <t>Document sales forecast stress tests for delayed decisions, budget cuts and customer churn, assign RACI, define minimum controls and KPIs, and validate coverage across key sites, teams or systems.</t>
  </si>
  <si>
    <t>Standardize sales forecast stress tests for delayed decisions, budget cuts and customer churn, close coverage gaps, train accountable roles and connect controls to the relevant crisis scenarios and continuity plans.</t>
  </si>
  <si>
    <t>Measure and test sales forecast stress tests for delayed decisions, budget cuts and customer churn, run tabletop or operational stress tests, integrate it with dependent processes and update crisis playbooks.</t>
  </si>
  <si>
    <t>Sustain maturity for sales forecast stress tests for delayed decisions, budget cuts and customer churn: keep evidence current, monitor drift, benchmark externally and refresh risk tests after organizational, system or market changes.</t>
  </si>
  <si>
    <t>Sales CRM!12</t>
  </si>
  <si>
    <t>Immature capability for sales analytics by conversion, cycle time, win rate, deal size, margin and loss reason may lead to pipeline loss, poor customer retention, weak forecasting and inability to protect revenue channels during Demand shock; Revenue loss; Reputation crisis.</t>
  </si>
  <si>
    <t>Low maturity, weak ownership, incomplete evidence, insufficient testing and poor integration with crisis-management routines for sales analytics by conversion, cycle time, win rate, deal size, margin and loss reason.</t>
  </si>
  <si>
    <t>Severe risk: sales analytics by conversion, cycle time, win rate, deal size, margin and loss reason is not reliably controlled. During Demand shock; Revenue loss; Reputation crisis, the organization may face pipeline loss, poor customer retention, weak forecasting and inability to protect revenue channels with limited visibility or accountability.</t>
  </si>
  <si>
    <t>High risk: sales analytics by conversion, cycle time, win rate, deal size, margin and loss reason depends on informal practices or individual knowledge. Disruption may expose pipeline loss, poor customer retention, weak forecasting and inability to protect revenue channels and slow recovery.</t>
  </si>
  <si>
    <t>Elevated risk: sales analytics by conversion, cycle time, win rate, deal size, margin and loss reason is partially controlled, but coverage, evidence or testing is inconsistent. Crisis response may be fragmented.</t>
  </si>
  <si>
    <t>Moderate risk: sales analytics by conversion, cycle time, win rate, deal size, margin and loss reason is documented and owned, but measurement, stress testing and integration with dependent processes need strengthening.</t>
  </si>
  <si>
    <t>Residual risk: sales analytics by conversion, cycle time, win rate, deal size, margin and loss reason is measured and reviewed, but monitoring, automation or scenario testing should be improved to prevent maturity drift.</t>
  </si>
  <si>
    <t>Low residual risk: sales analytics by conversion, cycle time, win rate, deal size, margin and loss reason is mature and crisis-tested. Maintain monitoring, evidence, ownership and periodic stress testing.</t>
  </si>
  <si>
    <t>Create an immediate risk owner, minimum control baseline and fallback procedure for sales analytics by conversion, cycle time, win rate, deal size, margin and loss reason. Add it to the crisis risk register and collect first evidence.</t>
  </si>
  <si>
    <t>Document sales analytics by conversion, cycle time, win rate, deal size, margin and loss reason, assign RACI, define minimum controls and KPIs, and validate coverage across key sites, teams or systems.</t>
  </si>
  <si>
    <t>Standardize sales analytics by conversion, cycle time, win rate, deal size, margin and loss reason, close coverage gaps, train accountable roles and connect controls to the relevant crisis scenarios and continuity plans.</t>
  </si>
  <si>
    <t>Measure and test sales analytics by conversion, cycle time, win rate, deal size, margin and loss reason, run tabletop or operational stress tests, integrate it with dependent processes and update crisis playbooks.</t>
  </si>
  <si>
    <t>Sustain maturity for sales analytics by conversion, cycle time, win rate, deal size, margin and loss reason: keep evidence current, monitor drift, benchmark externally and refresh risk tests after organizational, system or market changes.</t>
  </si>
  <si>
    <t>Sales CRM!13</t>
  </si>
  <si>
    <t>Immature capability for customer health scoring using usage, satisfaction, payment behavior, delivery issues and engagement may lead to pipeline loss, poor customer retention, weak forecasting and inability to protect revenue channels during Demand shock; Revenue loss; Reputation crisis.</t>
  </si>
  <si>
    <t>Low maturity, weak ownership, incomplete evidence, insufficient testing and poor integration with crisis-management routines for customer health scoring using usage, satisfaction, payment behavior, delivery issues and engagement.</t>
  </si>
  <si>
    <t>Severe risk: customer health scoring using usage, satisfaction, payment behavior, delivery issues and engagement is not reliably controlled. During Demand shock; Revenue loss; Reputation crisis, the organization may face pipeline loss, poor customer retention, weak forecasting and inability to protect revenue channels with limited visibility or accountability.</t>
  </si>
  <si>
    <t>High risk: customer health scoring using usage, satisfaction, payment behavior, delivery issues and engagement depends on informal practices or individual knowledge. Disruption may expose pipeline loss, poor customer retention, weak forecasting and inability to protect revenue channels and slow recovery.</t>
  </si>
  <si>
    <t>Elevated risk: customer health scoring using usage, satisfaction, payment behavior, delivery issues and engagement is partially controlled, but coverage, evidence or testing is inconsistent. Crisis response may be fragmented.</t>
  </si>
  <si>
    <t>Moderate risk: customer health scoring using usage, satisfaction, payment behavior, delivery issues and engagement is documented and owned, but measurement, stress testing and integration with dependent processes need strengthening.</t>
  </si>
  <si>
    <t>Residual risk: customer health scoring using usage, satisfaction, payment behavior, delivery issues and engagement is measured and reviewed, but monitoring, automation or scenario testing should be improved to prevent maturity drift.</t>
  </si>
  <si>
    <t>Low residual risk: customer health scoring using usage, satisfaction, payment behavior, delivery issues and engagement is mature and crisis-tested. Maintain monitoring, evidence, ownership and periodic stress testing.</t>
  </si>
  <si>
    <t>Create an immediate risk owner, minimum control baseline and fallback procedure for customer health scoring using usage, satisfaction, payment behavior, delivery issues and engagement. Add it to the crisis risk register and collect first evidence.</t>
  </si>
  <si>
    <t>Document customer health scoring using usage, satisfaction, payment behavior, delivery issues and engagement, assign RACI, define minimum controls and KPIs, and validate coverage across key sites, teams or systems.</t>
  </si>
  <si>
    <t>Standardize customer health scoring using usage, satisfaction, payment behavior, delivery issues and engagement, close coverage gaps, train accountable roles and connect controls to the relevant crisis scenarios and continuity plans.</t>
  </si>
  <si>
    <t>Measure and test customer health scoring using usage, satisfaction, payment behavior, delivery issues and engagement, run tabletop or operational stress tests, integrate it with dependent processes and update crisis playbooks.</t>
  </si>
  <si>
    <t>Sustain maturity for customer health scoring using usage, satisfaction, payment behavior, delivery issues and engagement: keep evidence current, monitor drift, benchmark externally and refresh risk tests after organizational, system or market changes.</t>
  </si>
  <si>
    <t>Sales CRM!14</t>
  </si>
  <si>
    <t>Immature capability for churn risk identification, prioritization and mitigation actions may lead to pipeline loss, poor customer retention, weak forecasting and inability to protect revenue channels during Demand shock; Revenue loss; Reputation crisis.</t>
  </si>
  <si>
    <t>Low maturity, weak ownership, incomplete evidence, insufficient testing and poor integration with crisis-management routines for churn risk identification, prioritization and mitigation actions.</t>
  </si>
  <si>
    <t>Severe risk: churn risk identification, prioritization and mitigation actions is not reliably controlled. During Demand shock; Revenue loss; Reputation crisis, the organization may face pipeline loss, poor customer retention, weak forecasting and inability to protect revenue channels with limited visibility or accountability.</t>
  </si>
  <si>
    <t>High risk: churn risk identification, prioritization and mitigation actions depends on informal practices or individual knowledge. Disruption may expose pipeline loss, poor customer retention, weak forecasting and inability to protect revenue channels and slow recovery.</t>
  </si>
  <si>
    <t>Elevated risk: churn risk identification, prioritization and mitigation actions is partially controlled, but coverage, evidence or testing is inconsistent. Crisis response may be fragmented.</t>
  </si>
  <si>
    <t>Moderate risk: churn risk identification, prioritization and mitigation actions is documented and owned, but measurement, stress testing and integration with dependent processes need strengthening.</t>
  </si>
  <si>
    <t>Residual risk: churn risk identification, prioritization and mitigation actions is measured and reviewed, but monitoring, automation or scenario testing should be improved to prevent maturity drift.</t>
  </si>
  <si>
    <t>Low residual risk: churn risk identification, prioritization and mitigation actions is mature and crisis-tested. Maintain monitoring, evidence, ownership and periodic stress testing.</t>
  </si>
  <si>
    <t>Create an immediate risk owner, minimum control baseline and fallback procedure for churn risk identification, prioritization and mitigation actions. Add it to the crisis risk register and collect first evidence.</t>
  </si>
  <si>
    <t>Document churn risk identification, prioritization and mitigation actions, assign RACI, define minimum controls and KPIs, and validate coverage across key sites, teams or systems.</t>
  </si>
  <si>
    <t>Standardize churn risk identification, prioritization and mitigation actions, close coverage gaps, train accountable roles and connect controls to the relevant crisis scenarios and continuity plans.</t>
  </si>
  <si>
    <t>Measure and test churn risk identification, prioritization and mitigation actions, run tabletop or operational stress tests, integrate it with dependent processes and update crisis playbooks.</t>
  </si>
  <si>
    <t>Sustain maturity for churn risk identification, prioritization and mitigation actions: keep evidence current, monitor drift, benchmark externally and refresh risk tests after organizational, system or market changes.</t>
  </si>
  <si>
    <t>Sales CRM!15</t>
  </si>
  <si>
    <t>Immature capability for renewal calendar and proactive renewal process may lead to pipeline loss, poor customer retention, weak forecasting and inability to protect revenue channels during Demand shock; Revenue loss; Reputation crisis.</t>
  </si>
  <si>
    <t>Low maturity, weak ownership, incomplete evidence, insufficient testing and poor integration with crisis-management routines for renewal calendar and proactive renewal process.</t>
  </si>
  <si>
    <t>Severe risk: renewal calendar and proactive renewal process is not reliably controlled. During Demand shock; Revenue loss; Reputation crisis, the organization may face pipeline loss, poor customer retention, weak forecasting and inability to protect revenue channels with limited visibility or accountability.</t>
  </si>
  <si>
    <t>High risk: renewal calendar and proactive renewal process depends on informal practices or individual knowledge. Disruption may expose pipeline loss, poor customer retention, weak forecasting and inability to protect revenue channels and slow recovery.</t>
  </si>
  <si>
    <t>Elevated risk: renewal calendar and proactive renewal process is partially controlled, but coverage, evidence or testing is inconsistent. Crisis response may be fragmented.</t>
  </si>
  <si>
    <t>Moderate risk: renewal calendar and proactive renewal process is documented and owned, but measurement, stress testing and integration with dependent processes need strengthening.</t>
  </si>
  <si>
    <t>Residual risk: renewal calendar and proactive renewal process is measured and reviewed, but monitoring, automation or scenario testing should be improved to prevent maturity drift.</t>
  </si>
  <si>
    <t>Low residual risk: renewal calendar and proactive renewal process is mature and crisis-tested. Maintain monitoring, evidence, ownership and periodic stress testing.</t>
  </si>
  <si>
    <t>Create an immediate risk owner, minimum control baseline and fallback procedure for renewal calendar and proactive renewal process. Add it to the crisis risk register and collect first evidence.</t>
  </si>
  <si>
    <t>Document renewal calendar and proactive renewal process, assign RACI, define minimum controls and KPIs, and validate coverage across key sites, teams or systems.</t>
  </si>
  <si>
    <t>Standardize renewal calendar and proactive renewal process, close coverage gaps, train accountable roles and connect controls to the relevant crisis scenarios and continuity plans.</t>
  </si>
  <si>
    <t>Measure and test renewal calendar and proactive renewal process, run tabletop or operational stress tests, integrate it with dependent processes and update crisis playbooks.</t>
  </si>
  <si>
    <t>Sustain maturity for renewal calendar and proactive renewal process: keep evidence current, monitor drift, benchmark externally and refresh risk tests after organizational, system or market changes.</t>
  </si>
  <si>
    <t>Sales CRM!16</t>
  </si>
  <si>
    <t>Immature capability for critical account plans covering stakeholders, risks, contracts, renewals and crisis communication may lead to pipeline loss, poor customer retention, weak forecasting and inability to protect revenue channels during Demand shock; Revenue loss; Reputation crisis.</t>
  </si>
  <si>
    <t>Low maturity, weak ownership, incomplete evidence, insufficient testing and poor integration with crisis-management routines for critical account plans covering stakeholders, risks, contracts, renewals and crisis communication.</t>
  </si>
  <si>
    <t>Severe risk: critical account plans covering stakeholders, risks, contracts, renewals and crisis communication is not reliably controlled. During Demand shock; Revenue loss; Reputation crisis, the organization may face pipeline loss, poor customer retention, weak forecasting and inability to protect revenue channels with limited visibility or accountability.</t>
  </si>
  <si>
    <t>High risk: critical account plans covering stakeholders, risks, contracts, renewals and crisis communication depends on informal practices or individual knowledge. Disruption may expose pipeline loss, poor customer retention, weak forecasting and inability to protect revenue channels and slow recovery.</t>
  </si>
  <si>
    <t>Elevated risk: critical account plans covering stakeholders, risks, contracts, renewals and crisis communication is partially controlled, but coverage, evidence or testing is inconsistent. Crisis response may be fragmented.</t>
  </si>
  <si>
    <t>Moderate risk: critical account plans covering stakeholders, risks, contracts, renewals and crisis communication is documented and owned, but measurement, stress testing and integration with dependent processes need strengthening.</t>
  </si>
  <si>
    <t>Residual risk: critical account plans covering stakeholders, risks, contracts, renewals and crisis communication is measured and reviewed, but monitoring, automation or scenario testing should be improved to prevent maturity drift.</t>
  </si>
  <si>
    <t>Low residual risk: critical account plans covering stakeholders, risks, contracts, renewals and crisis communication is mature and crisis-tested. Maintain monitoring, evidence, ownership and periodic stress testing.</t>
  </si>
  <si>
    <t>Create an immediate risk owner, minimum control baseline and fallback procedure for critical account plans covering stakeholders, risks, contracts, renewals and crisis communication. Add it to the crisis risk register and collect first evidence.</t>
  </si>
  <si>
    <t>Document critical account plans covering stakeholders, risks, contracts, renewals and crisis communication, assign RACI, define minimum controls and KPIs, and validate coverage across key sites, teams or systems.</t>
  </si>
  <si>
    <t>Standardize critical account plans covering stakeholders, risks, contracts, renewals and crisis communication, close coverage gaps, train accountable roles and connect controls to the relevant crisis scenarios and continuity plans.</t>
  </si>
  <si>
    <t>Measure and test critical account plans covering stakeholders, risks, contracts, renewals and crisis communication, run tabletop or operational stress tests, integrate it with dependent processes and update crisis playbooks.</t>
  </si>
  <si>
    <t>Sustain maturity for critical account plans covering stakeholders, risks, contracts, renewals and crisis communication: keep evidence current, monitor drift, benchmark externally and refresh risk tests after organizational, system or market changes.</t>
  </si>
  <si>
    <t>Sales CRM!17</t>
  </si>
  <si>
    <t>Immature capability for customer notification rules for incidents, delays, cyber events and service disruption may lead to pipeline loss, poor customer retention, weak forecasting and inability to protect revenue channels during Demand shock; Revenue loss; Reputation crisis.</t>
  </si>
  <si>
    <t>Low maturity, weak ownership, incomplete evidence, insufficient testing and poor integration with crisis-management routines for customer notification rules for incidents, delays, cyber events and service disruption.</t>
  </si>
  <si>
    <t>Severe risk: customer notification rules for incidents, delays, cyber events and service disruption is not reliably controlled. During Demand shock; Revenue loss; Reputation crisis, the organization may face pipeline loss, poor customer retention, weak forecasting and inability to protect revenue channels with limited visibility or accountability.</t>
  </si>
  <si>
    <t>High risk: customer notification rules for incidents, delays, cyber events and service disruption depends on informal practices or individual knowledge. Disruption may expose pipeline loss, poor customer retention, weak forecasting and inability to protect revenue channels and slow recovery.</t>
  </si>
  <si>
    <t>Elevated risk: customer notification rules for incidents, delays, cyber events and service disruption is partially controlled, but coverage, evidence or testing is inconsistent. Crisis response may be fragmented.</t>
  </si>
  <si>
    <t>Moderate risk: customer notification rules for incidents, delays, cyber events and service disruption is documented and owned, but measurement, stress testing and integration with dependent processes need strengthening.</t>
  </si>
  <si>
    <t>Residual risk: customer notification rules for incidents, delays, cyber events and service disruption is measured and reviewed, but monitoring, automation or scenario testing should be improved to prevent maturity drift.</t>
  </si>
  <si>
    <t>Low residual risk: customer notification rules for incidents, delays, cyber events and service disruption is mature and crisis-tested. Maintain monitoring, evidence, ownership and periodic stress testing.</t>
  </si>
  <si>
    <t>Create an immediate risk owner, minimum control baseline and fallback procedure for customer notification rules for incidents, delays, cyber events and service disruption. Add it to the crisis risk register and collect first evidence.</t>
  </si>
  <si>
    <t>Document customer notification rules for incidents, delays, cyber events and service disruption, assign RACI, define minimum controls and KPIs, and validate coverage across key sites, teams or systems.</t>
  </si>
  <si>
    <t>Standardize customer notification rules for incidents, delays, cyber events and service disruption, close coverage gaps, train accountable roles and connect controls to the relevant crisis scenarios and continuity plans.</t>
  </si>
  <si>
    <t>Measure and test customer notification rules for incidents, delays, cyber events and service disruption, run tabletop or operational stress tests, integrate it with dependent processes and update crisis playbooks.</t>
  </si>
  <si>
    <t>Sustain maturity for customer notification rules for incidents, delays, cyber events and service disruption: keep evidence current, monitor drift, benchmark externally and refresh risk tests after organizational, system or market changes.</t>
  </si>
  <si>
    <t>Sales CRM!18</t>
  </si>
  <si>
    <t>Immature capability for support knowledge base and agent fallback if experienced people are unavailable may lead to pipeline loss, poor customer retention, weak forecasting and inability to protect revenue channels during Demand shock; Revenue loss; Reputation crisis.</t>
  </si>
  <si>
    <t>Low maturity, weak ownership, incomplete evidence, insufficient testing and poor integration with crisis-management routines for support knowledge base and agent fallback if experienced people are unavailable.</t>
  </si>
  <si>
    <t>Severe risk: support knowledge base and agent fallback if experienced people are unavailable is not reliably controlled. During Demand shock; Revenue loss; Reputation crisis, the organization may face pipeline loss, poor customer retention, weak forecasting and inability to protect revenue channels with limited visibility or accountability.</t>
  </si>
  <si>
    <t>High risk: support knowledge base and agent fallback if experienced people are unavailable depends on informal practices or individual knowledge. Disruption may expose pipeline loss, poor customer retention, weak forecasting and inability to protect revenue channels and slow recovery.</t>
  </si>
  <si>
    <t>Elevated risk: support knowledge base and agent fallback if experienced people are unavailable is partially controlled, but coverage, evidence or testing is inconsistent. Crisis response may be fragmented.</t>
  </si>
  <si>
    <t>Moderate risk: support knowledge base and agent fallback if experienced people are unavailable is documented and owned, but measurement, stress testing and integration with dependent processes need strengthening.</t>
  </si>
  <si>
    <t>Residual risk: support knowledge base and agent fallback if experienced people are unavailable is measured and reviewed, but monitoring, automation or scenario testing should be improved to prevent maturity drift.</t>
  </si>
  <si>
    <t>Low residual risk: support knowledge base and agent fallback if experienced people are unavailable is mature and crisis-tested. Maintain monitoring, evidence, ownership and periodic stress testing.</t>
  </si>
  <si>
    <t>Create an immediate risk owner, minimum control baseline and fallback procedure for support knowledge base and agent fallback if experienced people are unavailable. Add it to the crisis risk register and collect first evidence.</t>
  </si>
  <si>
    <t>Document support knowledge base and agent fallback if experienced people are unavailable, assign RACI, define minimum controls and KPIs, and validate coverage across key sites, teams or systems.</t>
  </si>
  <si>
    <t>Standardize support knowledge base and agent fallback if experienced people are unavailable, close coverage gaps, train accountable roles and connect controls to the relevant crisis scenarios and continuity plans.</t>
  </si>
  <si>
    <t>Measure and test support knowledge base and agent fallback if experienced people are unavailable, run tabletop or operational stress tests, integrate it with dependent processes and update crisis playbooks.</t>
  </si>
  <si>
    <t>Sustain maturity for support knowledge base and agent fallback if experienced people are unavailable: keep evidence current, monitor drift, benchmark externally and refresh risk tests after organizational, system or market changes.</t>
  </si>
  <si>
    <t>Sales CRM!19</t>
  </si>
  <si>
    <t>Immature capability for discount governance, pricing exceptions, payment terms and margin protection may lead to pipeline loss, poor customer retention, weak forecasting and inability to protect revenue channels during Demand shock; Revenue loss; Reputation crisis.</t>
  </si>
  <si>
    <t>Low maturity, weak ownership, incomplete evidence, insufficient testing and poor integration with crisis-management routines for discount governance, pricing exceptions, payment terms and margin protection.</t>
  </si>
  <si>
    <t>Severe risk: discount governance, pricing exceptions, payment terms and margin protection is not reliably controlled. During Demand shock; Revenue loss; Reputation crisis, the organization may face pipeline loss, poor customer retention, weak forecasting and inability to protect revenue channels with limited visibility or accountability.</t>
  </si>
  <si>
    <t>High risk: discount governance, pricing exceptions, payment terms and margin protection depends on informal practices or individual knowledge. Disruption may expose pipeline loss, poor customer retention, weak forecasting and inability to protect revenue channels and slow recovery.</t>
  </si>
  <si>
    <t>Elevated risk: discount governance, pricing exceptions, payment terms and margin protection is partially controlled, but coverage, evidence or testing is inconsistent. Crisis response may be fragmented.</t>
  </si>
  <si>
    <t>Moderate risk: discount governance, pricing exceptions, payment terms and margin protection is documented and owned, but measurement, stress testing and integration with dependent processes need strengthening.</t>
  </si>
  <si>
    <t>Residual risk: discount governance, pricing exceptions, payment terms and margin protection is measured and reviewed, but monitoring, automation or scenario testing should be improved to prevent maturity drift.</t>
  </si>
  <si>
    <t>Low residual risk: discount governance, pricing exceptions, payment terms and margin protection is mature and crisis-tested. Maintain monitoring, evidence, ownership and periodic stress testing.</t>
  </si>
  <si>
    <t>Create an immediate risk owner, minimum control baseline and fallback procedure for discount governance, pricing exceptions, payment terms and margin protection. Add it to the crisis risk register and collect first evidence.</t>
  </si>
  <si>
    <t>Document discount governance, pricing exceptions, payment terms and margin protection, assign RACI, define minimum controls and KPIs, and validate coverage across key sites, teams or systems.</t>
  </si>
  <si>
    <t>Standardize discount governance, pricing exceptions, payment terms and margin protection, close coverage gaps, train accountable roles and connect controls to the relevant crisis scenarios and continuity plans.</t>
  </si>
  <si>
    <t>Measure and test discount governance, pricing exceptions, payment terms and margin protection, run tabletop or operational stress tests, integrate it with dependent processes and update crisis playbooks.</t>
  </si>
  <si>
    <t>Sustain maturity for discount governance, pricing exceptions, payment terms and margin protection: keep evidence current, monitor drift, benchmark externally and refresh risk tests after organizational, system or market changes.</t>
  </si>
  <si>
    <t>Sales CRM!20</t>
  </si>
  <si>
    <t>Immature capability for deal review for margin, delivery feasibility, legal obligations, security and crisis risk may lead to pipeline loss, poor customer retention, weak forecasting and inability to protect revenue channels during Demand shock; Revenue loss; Reputation crisis.</t>
  </si>
  <si>
    <t>Low maturity, weak ownership, incomplete evidence, insufficient testing and poor integration with crisis-management routines for deal review for margin, delivery feasibility, legal obligations, security and crisis risk.</t>
  </si>
  <si>
    <t>Severe risk: deal review for margin, delivery feasibility, legal obligations, security and crisis risk is not reliably controlled. During Demand shock; Revenue loss; Reputation crisis, the organization may face pipeline loss, poor customer retention, weak forecasting and inability to protect revenue channels with limited visibility or accountability.</t>
  </si>
  <si>
    <t>High risk: deal review for margin, delivery feasibility, legal obligations, security and crisis risk depends on informal practices or individual knowledge. Disruption may expose pipeline loss, poor customer retention, weak forecasting and inability to protect revenue channels and slow recovery.</t>
  </si>
  <si>
    <t>Elevated risk: deal review for margin, delivery feasibility, legal obligations, security and crisis risk is partially controlled, but coverage, evidence or testing is inconsistent. Crisis response may be fragmented.</t>
  </si>
  <si>
    <t>Moderate risk: deal review for margin, delivery feasibility, legal obligations, security and crisis risk is documented and owned, but measurement, stress testing and integration with dependent processes need strengthening.</t>
  </si>
  <si>
    <t>Residual risk: deal review for margin, delivery feasibility, legal obligations, security and crisis risk is measured and reviewed, but monitoring, automation or scenario testing should be improved to prevent maturity drift.</t>
  </si>
  <si>
    <t>Low residual risk: deal review for margin, delivery feasibility, legal obligations, security and crisis risk is mature and crisis-tested. Maintain monitoring, evidence, ownership and periodic stress testing.</t>
  </si>
  <si>
    <t>Create an immediate risk owner, minimum control baseline and fallback procedure for deal review for margin, delivery feasibility, legal obligations, security and crisis risk. Add it to the crisis risk register and collect first evidence.</t>
  </si>
  <si>
    <t>Document deal review for margin, delivery feasibility, legal obligations, security and crisis risk, assign RACI, define minimum controls and KPIs, and validate coverage across key sites, teams or systems.</t>
  </si>
  <si>
    <t>Standardize deal review for margin, delivery feasibility, legal obligations, security and crisis risk, close coverage gaps, train accountable roles and connect controls to the relevant crisis scenarios and continuity plans.</t>
  </si>
  <si>
    <t>Measure and test deal review for margin, delivery feasibility, legal obligations, security and crisis risk, run tabletop or operational stress tests, integrate it with dependent processes and update crisis playbooks.</t>
  </si>
  <si>
    <t>Sustain maturity for deal review for margin, delivery feasibility, legal obligations, security and crisis risk: keep evidence current, monitor drift, benchmark externally and refresh risk tests after organizational, system or market changes.</t>
  </si>
  <si>
    <t>Sales CRM!21</t>
  </si>
  <si>
    <t>Immature capability for sales channel continuity if offices close, travel stops, events cancel or one channel fails may lead to pipeline loss, poor customer retention, weak forecasting and inability to protect revenue channels during Demand shock; Revenue loss; Reputation crisis.</t>
  </si>
  <si>
    <t>Low maturity, weak ownership, incomplete evidence, insufficient testing and poor integration with crisis-management routines for sales channel continuity if offices close, travel stops, events cancel or one channel fails.</t>
  </si>
  <si>
    <t>Severe risk: sales channel continuity if offices close, travel stops, events cancel or one channel fails is not reliably controlled. During Demand shock; Revenue loss; Reputation crisis, the organization may face pipeline loss, poor customer retention, weak forecasting and inability to protect revenue channels with limited visibility or accountability.</t>
  </si>
  <si>
    <t>High risk: sales channel continuity if offices close, travel stops, events cancel or one channel fails depends on informal practices or individual knowledge. Disruption may expose pipeline loss, poor customer retention, weak forecasting and inability to protect revenue channels and slow recovery.</t>
  </si>
  <si>
    <t>Elevated risk: sales channel continuity if offices close, travel stops, events cancel or one channel fails is partially controlled, but coverage, evidence or testing is inconsistent. Crisis response may be fragmented.</t>
  </si>
  <si>
    <t>Moderate risk: sales channel continuity if offices close, travel stops, events cancel or one channel fails is documented and owned, but measurement, stress testing and integration with dependent processes need strengthening.</t>
  </si>
  <si>
    <t>Residual risk: sales channel continuity if offices close, travel stops, events cancel or one channel fails is measured and reviewed, but monitoring, automation or scenario testing should be improved to prevent maturity drift.</t>
  </si>
  <si>
    <t>Low residual risk: sales channel continuity if offices close, travel stops, events cancel or one channel fails is mature and crisis-tested. Maintain monitoring, evidence, ownership and periodic stress testing.</t>
  </si>
  <si>
    <t>Create an immediate risk owner, minimum control baseline and fallback procedure for sales channel continuity if offices close, travel stops, events cancel or one channel fails. Add it to the crisis risk register and collect first evidence.</t>
  </si>
  <si>
    <t>Document sales channel continuity if offices close, travel stops, events cancel or one channel fails, assign RACI, define minimum controls and KPIs, and validate coverage across key sites, teams or systems.</t>
  </si>
  <si>
    <t>Standardize sales channel continuity if offices close, travel stops, events cancel or one channel fails, close coverage gaps, train accountable roles and connect controls to the relevant crisis scenarios and continuity plans.</t>
  </si>
  <si>
    <t>Measure and test sales channel continuity if offices close, travel stops, events cancel or one channel fails, run tabletop or operational stress tests, integrate it with dependent processes and update crisis playbooks.</t>
  </si>
  <si>
    <t>Sustain maturity for sales channel continuity if offices close, travel stops, events cancel or one channel fails: keep evidence current, monitor drift, benchmark externally and refresh risk tests after organizational, system or market changes.</t>
  </si>
  <si>
    <t>Sales CRM!22</t>
  </si>
  <si>
    <t>Immature capability for ecommerce continuity for payments, logistics, website, stock and customer support where relevant may lead to pipeline loss, poor customer retention, weak forecasting and inability to protect revenue channels during Demand shock; Revenue loss; Reputation crisis.</t>
  </si>
  <si>
    <t>Low maturity, weak ownership, incomplete evidence, insufficient testing and poor integration with crisis-management routines for ecommerce continuity for payments, logistics, website, stock and customer support where relevant.</t>
  </si>
  <si>
    <t>Severe risk: ecommerce continuity for payments, logistics, website, stock and customer support where relevant is not reliably controlled. During Demand shock; Revenue loss; Reputation crisis, the organization may face pipeline loss, poor customer retention, weak forecasting and inability to protect revenue channels with limited visibility or accountability.</t>
  </si>
  <si>
    <t>High risk: ecommerce continuity for payments, logistics, website, stock and customer support where relevant depends on informal practices or individual knowledge. Disruption may expose pipeline loss, poor customer retention, weak forecasting and inability to protect revenue channels and slow recovery.</t>
  </si>
  <si>
    <t>Elevated risk: ecommerce continuity for payments, logistics, website, stock and customer support where relevant is partially controlled, but coverage, evidence or testing is inconsistent. Crisis response may be fragmented.</t>
  </si>
  <si>
    <t>Moderate risk: ecommerce continuity for payments, logistics, website, stock and customer support where relevant is documented and owned, but measurement, stress testing and integration with dependent processes need strengthening.</t>
  </si>
  <si>
    <t>Residual risk: ecommerce continuity for payments, logistics, website, stock and customer support where relevant is measured and reviewed, but monitoring, automation or scenario testing should be improved to prevent maturity drift.</t>
  </si>
  <si>
    <t>Low residual risk: ecommerce continuity for payments, logistics, website, stock and customer support where relevant is mature and crisis-tested. Maintain monitoring, evidence, ownership and periodic stress testing.</t>
  </si>
  <si>
    <t>Create an immediate risk owner, minimum control baseline and fallback procedure for ecommerce continuity for payments, logistics, website, stock and customer support where relevant. Add it to the crisis risk register and collect first evidence.</t>
  </si>
  <si>
    <t>Document ecommerce continuity for payments, logistics, website, stock and customer support where relevant, assign RACI, define minimum controls and KPIs, and validate coverage across key sites, teams or systems.</t>
  </si>
  <si>
    <t>Standardize ecommerce continuity for payments, logistics, website, stock and customer support where relevant, close coverage gaps, train accountable roles and connect controls to the relevant crisis scenarios and continuity plans.</t>
  </si>
  <si>
    <t>Measure and test ecommerce continuity for payments, logistics, website, stock and customer support where relevant, run tabletop or operational stress tests, integrate it with dependent processes and update crisis playbooks.</t>
  </si>
  <si>
    <t>Sustain maturity for ecommerce continuity for payments, logistics, website, stock and customer support where relevant: keep evidence current, monitor drift, benchmark externally and refresh risk tests after organizational, system or market changes.</t>
  </si>
  <si>
    <t>Sales CRM!23</t>
  </si>
  <si>
    <t>Customer service continuity and experience</t>
  </si>
  <si>
    <t>Immature capability for customer service operating model with channels, coverage hours, tiers and service levels may lead to uncontrolled response times, inconsistent customer experience and SLA breaches during disruption during Demand shock; Reputation crisis; Workforce disruption.</t>
  </si>
  <si>
    <t>Low maturity, weak ownership, incomplete evidence, insufficient testing and poor integration with crisis-management routines for customer service operating model with channels, coverage hours, tiers and service levels.</t>
  </si>
  <si>
    <t>Severe risk: customer service operating model with channels, coverage hours, tiers and service levels is not reliably controlled. During Demand shock; Reputation crisis; Workforce disruption, the organization may face uncontrolled response times, inconsistent customer experience and SLA breaches during disruption with limited visibility or accountability.</t>
  </si>
  <si>
    <t>High risk: customer service operating model with channels, coverage hours, tiers and service levels depends on informal practices or individual knowledge. Disruption may expose uncontrolled response times, inconsistent customer experience and SLA breaches during disruption and slow recovery.</t>
  </si>
  <si>
    <t>Elevated risk: customer service operating model with channels, coverage hours, tiers and service levels is partially controlled, but coverage, evidence or testing is inconsistent. Crisis response may be fragmented.</t>
  </si>
  <si>
    <t>Moderate risk: customer service operating model with channels, coverage hours, tiers and service levels is documented and owned, but measurement, stress testing and integration with dependent processes need strengthening.</t>
  </si>
  <si>
    <t>Residual risk: customer service operating model with channels, coverage hours, tiers and service levels is measured and reviewed, but monitoring, automation or scenario testing should be improved to prevent maturity drift.</t>
  </si>
  <si>
    <t>Low residual risk: customer service operating model with channels, coverage hours, tiers and service levels is mature and crisis-tested. Maintain monitoring, evidence, ownership and periodic stress testing.</t>
  </si>
  <si>
    <t>Create an immediate risk owner, minimum control baseline and fallback procedure for customer service operating model with channels, coverage hours, tiers and service levels. Add it to the crisis risk register and collect first evidence.</t>
  </si>
  <si>
    <t>Document customer service operating model with channels, coverage hours, tiers and service levels, assign RACI, define minimum controls and KPIs, and validate coverage across key sites, teams or systems.</t>
  </si>
  <si>
    <t>Standardize customer service operating model with channels, coverage hours, tiers and service levels, close coverage gaps, train accountable roles and connect controls to the relevant crisis scenarios and continuity plans.</t>
  </si>
  <si>
    <t>Measure and test customer service operating model with channels, coverage hours, tiers and service levels, run tabletop or operational stress tests, integrate it with dependent processes and update crisis playbooks.</t>
  </si>
  <si>
    <t>Sustain maturity for customer service operating model with channels, coverage hours, tiers and service levels: keep evidence current, monitor drift, benchmark externally and refresh risk tests after organizational, system or market changes.</t>
  </si>
  <si>
    <t>Policy/SOP; owner/RACI; system report; dashboard; contracts; test records; incident history; interview evidence related to customer service operating model with channels, coverage hours, tiers and service levels</t>
  </si>
  <si>
    <t>Head of Customer Service / COO</t>
  </si>
  <si>
    <t>Sales CRM!24</t>
  </si>
  <si>
    <t>Immature capability for case and ticket management with logging, categorization, prioritization, escalation and backlog control may lead to lost or delayed customer issues, escalation chaos and invisible service backlogs during incidents during Demand shock; Reputation crisis; Cyberattack/ransomware.</t>
  </si>
  <si>
    <t>Low maturity, weak ownership, incomplete evidence, insufficient testing and poor integration with crisis-management routines for case and ticket management with logging, categorization, prioritization, escalation and backlog control.</t>
  </si>
  <si>
    <t>Severe risk: case and ticket management with logging, categorization, prioritization, escalation and backlog control is not reliably controlled. During Demand shock; Reputation crisis; Cyberattack/ransomware, the organization may face lost or delayed customer issues, escalation chaos and invisible service backlogs during incidents with limited visibility or accountability.</t>
  </si>
  <si>
    <t>High risk: case and ticket management with logging, categorization, prioritization, escalation and backlog control depends on informal practices or individual knowledge. Disruption may expose lost or delayed customer issues, escalation chaos and invisible service backlogs during incidents and slow recovery.</t>
  </si>
  <si>
    <t>Elevated risk: case and ticket management with logging, categorization, prioritization, escalation and backlog control is partially controlled, but coverage, evidence or testing is inconsistent. Crisis response may be fragmented.</t>
  </si>
  <si>
    <t>Moderate risk: case and ticket management with logging, categorization, prioritization, escalation and backlog control is documented and owned, but measurement, stress testing and integration with dependent processes need strengthening.</t>
  </si>
  <si>
    <t>Residual risk: case and ticket management with logging, categorization, prioritization, escalation and backlog control is measured and reviewed, but monitoring, automation or scenario testing should be improved to prevent maturity drift.</t>
  </si>
  <si>
    <t>Low residual risk: case and ticket management with logging, categorization, prioritization, escalation and backlog control is mature and crisis-tested. Maintain monitoring, evidence, ownership and periodic stress testing.</t>
  </si>
  <si>
    <t>Create an immediate risk owner, minimum control baseline and fallback procedure for case and ticket management with logging, categorization, prioritization, escalation and backlog control. Add it to the crisis risk register and collect first evidence.</t>
  </si>
  <si>
    <t>Document case and ticket management with logging, categorization, prioritization, escalation and backlog control, assign RACI, define minimum controls and KPIs, and validate coverage across key sites, teams or systems.</t>
  </si>
  <si>
    <t>Standardize case and ticket management with logging, categorization, prioritization, escalation and backlog control, close coverage gaps, train accountable roles and connect controls to the relevant crisis scenarios and continuity plans.</t>
  </si>
  <si>
    <t>Measure and test case and ticket management with logging, categorization, prioritization, escalation and backlog control, run tabletop or operational stress tests, integrate it with dependent processes and update crisis playbooks.</t>
  </si>
  <si>
    <t>Sustain maturity for case and ticket management with logging, categorization, prioritization, escalation and backlog control: keep evidence current, monitor drift, benchmark externally and refresh risk tests after organizational, system or market changes.</t>
  </si>
  <si>
    <t>Policy/SOP; owner/RACI; system report; dashboard; contracts; test records; incident history; interview evidence related to case and ticket management with logging, categorization, prioritization, escalation and backlog control</t>
  </si>
  <si>
    <t>Head of Customer Service</t>
  </si>
  <si>
    <t>Sales CRM!25</t>
  </si>
  <si>
    <t>Immature capability for customer service continuity with surge handling, channel failover and after-hours emergency coverage may lead to service collapse under demand spikes, channel outages or staff unavailability during Demand shock; Workforce disruption; Cloud/SaaS outage.</t>
  </si>
  <si>
    <t>Low maturity, weak ownership, incomplete evidence, insufficient testing and poor integration with crisis-management routines for customer service continuity with surge handling, channel failover and after-hours emergency coverage.</t>
  </si>
  <si>
    <t>Severe risk: customer service continuity with surge handling, channel failover and after-hours emergency coverage is not reliably controlled. During Demand shock; Workforce disruption; Cloud/SaaS outage, the organization may face service collapse under demand spikes, channel outages or staff unavailability with limited visibility or accountability.</t>
  </si>
  <si>
    <t>High risk: customer service continuity with surge handling, channel failover and after-hours emergency coverage depends on informal practices or individual knowledge. Disruption may expose service collapse under demand spikes, channel outages or staff unavailability and slow recovery.</t>
  </si>
  <si>
    <t>Elevated risk: customer service continuity with surge handling, channel failover and after-hours emergency coverage is partially controlled, but coverage, evidence or testing is inconsistent. Crisis response may be fragmented.</t>
  </si>
  <si>
    <t>Moderate risk: customer service continuity with surge handling, channel failover and after-hours emergency coverage is documented and owned, but measurement, stress testing and integration with dependent processes need strengthening.</t>
  </si>
  <si>
    <t>Residual risk: customer service continuity with surge handling, channel failover and after-hours emergency coverage is measured and reviewed, but monitoring, automation or scenario testing should be improved to prevent maturity drift.</t>
  </si>
  <si>
    <t>Low residual risk: customer service continuity with surge handling, channel failover and after-hours emergency coverage is mature and crisis-tested. Maintain monitoring, evidence, ownership and periodic stress testing.</t>
  </si>
  <si>
    <t>Create an immediate risk owner, minimum control baseline and fallback procedure for customer service continuity with surge handling, channel failover and after-hours emergency coverage. Add it to the crisis risk register and collect first evidence.</t>
  </si>
  <si>
    <t>Document customer service continuity with surge handling, channel failover and after-hours emergency coverage, assign RACI, define minimum controls and KPIs, and validate coverage across key sites, teams or systems.</t>
  </si>
  <si>
    <t>Standardize customer service continuity with surge handling, channel failover and after-hours emergency coverage, close coverage gaps, train accountable roles and connect controls to the relevant crisis scenarios and continuity plans.</t>
  </si>
  <si>
    <t>Measure and test customer service continuity with surge handling, channel failover and after-hours emergency coverage, run tabletop or operational stress tests, integrate it with dependent processes and update crisis playbooks.</t>
  </si>
  <si>
    <t>Sustain maturity for customer service continuity with surge handling, channel failover and after-hours emergency coverage: keep evidence current, monitor drift, benchmark externally and refresh risk tests after organizational, system or market changes.</t>
  </si>
  <si>
    <t>Policy/SOP; owner/RACI; system report; dashboard; contracts; test records; incident history; interview evidence related to customer service continuity with surge handling, channel failover and after-hours emergency coverage</t>
  </si>
  <si>
    <t>Sales CRM!26</t>
  </si>
  <si>
    <t>Immature capability for voice-of-customer loop converting complaints and feedback into product and process improvements may lead to repeated failure causes, silent churn and missed early-warning signals from customers during Reputation crisis; Demand shock.</t>
  </si>
  <si>
    <t>Low maturity, weak ownership, incomplete evidence, insufficient testing and poor integration with crisis-management routines for voice-of-customer loop converting complaints and feedback into product and process improvements.</t>
  </si>
  <si>
    <t>Severe risk: voice-of-customer loop converting complaints and feedback into product and process improvements is not reliably controlled. During Reputation crisis; Demand shock, the organization may face repeated failure causes, silent churn and missed early-warning signals from customers with limited visibility or accountability.</t>
  </si>
  <si>
    <t>High risk: voice-of-customer loop converting complaints and feedback into product and process improvements depends on informal practices or individual knowledge. Disruption may expose repeated failure causes, silent churn and missed early-warning signals from customers and slow recovery.</t>
  </si>
  <si>
    <t>Elevated risk: voice-of-customer loop converting complaints and feedback into product and process improvements is partially controlled, but coverage, evidence or testing is inconsistent. Crisis response may be fragmented.</t>
  </si>
  <si>
    <t>Moderate risk: voice-of-customer loop converting complaints and feedback into product and process improvements is documented and owned, but measurement, stress testing and integration with dependent processes need strengthening.</t>
  </si>
  <si>
    <t>Residual risk: voice-of-customer loop converting complaints and feedback into product and process improvements is measured and reviewed, but monitoring, automation or scenario testing should be improved to prevent maturity drift.</t>
  </si>
  <si>
    <t>Low residual risk: voice-of-customer loop converting complaints and feedback into product and process improvements is mature and crisis-tested. Maintain monitoring, evidence, ownership and periodic stress testing.</t>
  </si>
  <si>
    <t>Create an immediate risk owner, minimum control baseline and fallback procedure for voice-of-customer loop converting complaints and feedback into product and process improvements. Add it to the crisis risk register and collect first evidence.</t>
  </si>
  <si>
    <t>Document voice-of-customer loop converting complaints and feedback into product and process improvements, assign RACI, define minimum controls and KPIs, and validate coverage across key sites, teams or systems.</t>
  </si>
  <si>
    <t>Standardize voice-of-customer loop converting complaints and feedback into product and process improvements, close coverage gaps, train accountable roles and connect controls to the relevant crisis scenarios and continuity plans.</t>
  </si>
  <si>
    <t>Measure and test voice-of-customer loop converting complaints and feedback into product and process improvements, run tabletop or operational stress tests, integrate it with dependent processes and update crisis playbooks.</t>
  </si>
  <si>
    <t>Sustain maturity for voice-of-customer loop converting complaints and feedback into product and process improvements: keep evidence current, monitor drift, benchmark externally and refresh risk tests after organizational, system or market changes.</t>
  </si>
  <si>
    <t>Policy/SOP; owner/RACI; system report; dashboard; contracts; test records; incident history; interview evidence related to voice-of-customer loop converting complaints and feedback into product and process improvements</t>
  </si>
  <si>
    <t>Head of Customer Service / CMO</t>
  </si>
  <si>
    <t>Sales CRM!27</t>
  </si>
  <si>
    <t>Immature capability for systematic customer perception measurement with NPS or CSAT trends, segmentation and follow-up actions may lead to blind spots in customer sentiment, late churn detection and unverified service quality claims during Reputation crisis; Demand shock; Key customer loss.</t>
  </si>
  <si>
    <t>Low maturity, weak ownership, incomplete evidence, insufficient testing and poor integration with crisis-management routines for systematic customer perception measurement with NPS or CSAT trends, segmentation and follow-up actions.</t>
  </si>
  <si>
    <t>Severe risk: systematic customer perception measurement with NPS or CSAT trends, segmentation and follow-up actions is not reliably controlled. During Reputation crisis; Demand shock; Key customer loss, the organization may face blind spots in customer sentiment, late churn detection and unverified service quality claims with limited visibility or accountability.</t>
  </si>
  <si>
    <t>High risk: systematic customer perception measurement with NPS or CSAT trends, segmentation and follow-up actions depends on informal practices or individual knowledge. Disruption may expose blind spots in customer sentiment, late churn detection and unverified service quality claims and slow recovery.</t>
  </si>
  <si>
    <t>Elevated risk: systematic customer perception measurement with NPS or CSAT trends, segmentation and follow-up actions is partially controlled, but coverage, evidence or testing is inconsistent. Crisis response may be fragmented.</t>
  </si>
  <si>
    <t>Moderate risk: systematic customer perception measurement with NPS or CSAT trends, segmentation and follow-up actions is documented and owned, but measurement, stress testing and integration with dependent processes need strengthening.</t>
  </si>
  <si>
    <t>Residual risk: systematic customer perception measurement with NPS or CSAT trends, segmentation and follow-up actions is measured and reviewed, but monitoring, automation or scenario testing should be improved to prevent maturity drift.</t>
  </si>
  <si>
    <t>Low residual risk: systematic customer perception measurement with NPS or CSAT trends, segmentation and follow-up actions is mature and crisis-tested. Maintain monitoring, evidence, ownership and periodic stress testing.</t>
  </si>
  <si>
    <t>Create an immediate risk owner, minimum control baseline and fallback procedure for systematic customer perception measurement with NPS or CSAT trends, segmentation and follow-up actions. Add it to the crisis risk register and collect first evidence.</t>
  </si>
  <si>
    <t>Document systematic customer perception measurement with NPS or CSAT trends, segmentation and follow-up actions, assign RACI, define minimum controls and KPIs, and validate coverage across key sites, teams or systems.</t>
  </si>
  <si>
    <t>Standardize systematic customer perception measurement with NPS or CSAT trends, segmentation and follow-up actions, close coverage gaps, train accountable roles and connect controls to the relevant crisis scenarios and continuity plans.</t>
  </si>
  <si>
    <t>Measure and test systematic customer perception measurement with NPS or CSAT trends, segmentation and follow-up actions, run tabletop or operational stress tests, integrate it with dependent processes and update crisis playbooks.</t>
  </si>
  <si>
    <t>Sustain maturity for systematic customer perception measurement with NPS or CSAT trends, segmentation and follow-up actions: keep evidence current, monitor drift, benchmark externally and refresh risk tests after organizational, system or market changes.</t>
  </si>
  <si>
    <t>Policy/SOP; owner/RACI; system report; dashboard; contracts; test records; incident history; interview evidence related to systematic customer perception measurement with NPS or CSAT trends, segmentation and follow-up actions</t>
  </si>
  <si>
    <t>Sales CRM!28</t>
  </si>
  <si>
    <t>Immature capability for brand positioning aligned with ICP, offering, differentiation and proof points may lead to loss of customer trust, reputational damage and inconsistent crisis communication during Reputation crisis; Demand shock; IT outage.</t>
  </si>
  <si>
    <t>Low maturity, weak ownership, incomplete evidence, insufficient testing and poor integration with crisis-management routines for brand positioning aligned with ICP, offering, differentiation and proof points.</t>
  </si>
  <si>
    <t>Severe risk: brand positioning aligned with ICP, offering, differentiation and proof points is not reliably controlled. During Reputation crisis; Demand shock; IT outage, the organization may face loss of customer trust, reputational damage and inconsistent crisis communication with limited visibility or accountability.</t>
  </si>
  <si>
    <t>High risk: brand positioning aligned with ICP, offering, differentiation and proof points depends on informal practices or individual knowledge. Disruption may expose loss of customer trust, reputational damage and inconsistent crisis communication and slow recovery.</t>
  </si>
  <si>
    <t>Elevated risk: brand positioning aligned with ICP, offering, differentiation and proof points is partially controlled, but coverage, evidence or testing is inconsistent. Crisis response may be fragmented.</t>
  </si>
  <si>
    <t>Moderate risk: brand positioning aligned with ICP, offering, differentiation and proof points is documented and owned, but measurement, stress testing and integration with dependent processes need strengthening.</t>
  </si>
  <si>
    <t>Residual risk: brand positioning aligned with ICP, offering, differentiation and proof points is measured and reviewed, but monitoring, automation or scenario testing should be improved to prevent maturity drift.</t>
  </si>
  <si>
    <t>Low residual risk: brand positioning aligned with ICP, offering, differentiation and proof points is mature and crisis-tested. Maintain monitoring, evidence, ownership and periodic stress testing.</t>
  </si>
  <si>
    <t>Create an immediate risk owner, minimum control baseline and fallback procedure for brand positioning aligned with ICP, offering, differentiation and proof points. Add it to the crisis risk register and collect first evidence.</t>
  </si>
  <si>
    <t>Document brand positioning aligned with ICP, offering, differentiation and proof points, assign RACI, define minimum controls and KPIs, and validate coverage across key sites, teams or systems.</t>
  </si>
  <si>
    <t>Standardize brand positioning aligned with ICP, offering, differentiation and proof points, close coverage gaps, train accountable roles and connect controls to the relevant crisis scenarios and continuity plans.</t>
  </si>
  <si>
    <t>Measure and test brand positioning aligned with ICP, offering, differentiation and proof points, run tabletop or operational stress tests, integrate it with dependent processes and update crisis playbooks.</t>
  </si>
  <si>
    <t>Sustain maturity for brand positioning aligned with ICP, offering, differentiation and proof points: keep evidence current, monitor drift, benchmark externally and refresh risk tests after organizational, system or market changes.</t>
  </si>
  <si>
    <t>CMO / Communications</t>
  </si>
  <si>
    <t>Marketing Comms!5</t>
  </si>
  <si>
    <t>Immature capability for digital channel dependency across website, search, paid media, social, events and partners may lead to loss of customer trust, reputational damage and inconsistent crisis communication during Reputation crisis; Demand shock; IT outage.</t>
  </si>
  <si>
    <t>Low maturity, weak ownership, incomplete evidence, insufficient testing and poor integration with crisis-management routines for digital channel dependency across website, search, paid media, social, events and partners.</t>
  </si>
  <si>
    <t>Severe risk: digital channel dependency across website, search, paid media, social, events and partners is not reliably controlled. During Reputation crisis; Demand shock; IT outage, the organization may face loss of customer trust, reputational damage and inconsistent crisis communication with limited visibility or accountability.</t>
  </si>
  <si>
    <t>High risk: digital channel dependency across website, search, paid media, social, events and partners depends on informal practices or individual knowledge. Disruption may expose loss of customer trust, reputational damage and inconsistent crisis communication and slow recovery.</t>
  </si>
  <si>
    <t>Elevated risk: digital channel dependency across website, search, paid media, social, events and partners is partially controlled, but coverage, evidence or testing is inconsistent. Crisis response may be fragmented.</t>
  </si>
  <si>
    <t>Moderate risk: digital channel dependency across website, search, paid media, social, events and partners is documented and owned, but measurement, stress testing and integration with dependent processes need strengthening.</t>
  </si>
  <si>
    <t>Residual risk: digital channel dependency across website, search, paid media, social, events and partners is measured and reviewed, but monitoring, automation or scenario testing should be improved to prevent maturity drift.</t>
  </si>
  <si>
    <t>Low residual risk: digital channel dependency across website, search, paid media, social, events and partners is mature and crisis-tested. Maintain monitoring, evidence, ownership and periodic stress testing.</t>
  </si>
  <si>
    <t>Create an immediate risk owner, minimum control baseline and fallback procedure for digital channel dependency across website, search, paid media, social, events and partners. Add it to the crisis risk register and collect first evidence.</t>
  </si>
  <si>
    <t>Document digital channel dependency across website, search, paid media, social, events and partners, assign RACI, define minimum controls and KPIs, and validate coverage across key sites, teams or systems.</t>
  </si>
  <si>
    <t>Standardize digital channel dependency across website, search, paid media, social, events and partners, close coverage gaps, train accountable roles and connect controls to the relevant crisis scenarios and continuity plans.</t>
  </si>
  <si>
    <t>Measure and test digital channel dependency across website, search, paid media, social, events and partners, run tabletop or operational stress tests, integrate it with dependent processes and update crisis playbooks.</t>
  </si>
  <si>
    <t>Sustain maturity for digital channel dependency across website, search, paid media, social, events and partners: keep evidence current, monitor drift, benchmark externally and refresh risk tests after organizational, system or market changes.</t>
  </si>
  <si>
    <t>Marketing Comms!6</t>
  </si>
  <si>
    <t>Immature capability for website and lead-form availability during traffic spikes, cyberattacks or hosting outages may lead to loss of customer trust, reputational damage and inconsistent crisis communication during Reputation crisis; Demand shock; IT outage.</t>
  </si>
  <si>
    <t>Low maturity, weak ownership, incomplete evidence, insufficient testing and poor integration with crisis-management routines for website and lead-form availability during traffic spikes, cyberattacks or hosting outages.</t>
  </si>
  <si>
    <t>Severe risk: website and lead-form availability during traffic spikes, cyberattacks or hosting outages is not reliably controlled. During Reputation crisis; Demand shock; IT outage, the organization may face loss of customer trust, reputational damage and inconsistent crisis communication with limited visibility or accountability.</t>
  </si>
  <si>
    <t>High risk: website and lead-form availability during traffic spikes, cyberattacks or hosting outages depends on informal practices or individual knowledge. Disruption may expose loss of customer trust, reputational damage and inconsistent crisis communication and slow recovery.</t>
  </si>
  <si>
    <t>Elevated risk: website and lead-form availability during traffic spikes, cyberattacks or hosting outages is partially controlled, but coverage, evidence or testing is inconsistent. Crisis response may be fragmented.</t>
  </si>
  <si>
    <t>Moderate risk: website and lead-form availability during traffic spikes, cyberattacks or hosting outages is documented and owned, but measurement, stress testing and integration with dependent processes need strengthening.</t>
  </si>
  <si>
    <t>Residual risk: website and lead-form availability during traffic spikes, cyberattacks or hosting outages is measured and reviewed, but monitoring, automation or scenario testing should be improved to prevent maturity drift.</t>
  </si>
  <si>
    <t>Low residual risk: website and lead-form availability during traffic spikes, cyberattacks or hosting outages is mature and crisis-tested. Maintain monitoring, evidence, ownership and periodic stress testing.</t>
  </si>
  <si>
    <t>Create an immediate risk owner, minimum control baseline and fallback procedure for website and lead-form availability during traffic spikes, cyberattacks or hosting outages. Add it to the crisis risk register and collect first evidence.</t>
  </si>
  <si>
    <t>Document website and lead-form availability during traffic spikes, cyberattacks or hosting outages, assign RACI, define minimum controls and KPIs, and validate coverage across key sites, teams or systems.</t>
  </si>
  <si>
    <t>Standardize website and lead-form availability during traffic spikes, cyberattacks or hosting outages, close coverage gaps, train accountable roles and connect controls to the relevant crisis scenarios and continuity plans.</t>
  </si>
  <si>
    <t>Measure and test website and lead-form availability during traffic spikes, cyberattacks or hosting outages, run tabletop or operational stress tests, integrate it with dependent processes and update crisis playbooks.</t>
  </si>
  <si>
    <t>Sustain maturity for website and lead-form availability during traffic spikes, cyberattacks or hosting outages: keep evidence current, monitor drift, benchmark externally and refresh risk tests after organizational, system or market changes.</t>
  </si>
  <si>
    <t>Marketing Comms!7</t>
  </si>
  <si>
    <t>Immature capability for campaign performance, attribution, conversion, CAC and channel ROI measurement may lead to loss of customer trust, reputational damage and inconsistent crisis communication during Reputation crisis; Demand shock; IT outage.</t>
  </si>
  <si>
    <t>Low maturity, weak ownership, incomplete evidence, insufficient testing and poor integration with crisis-management routines for campaign performance, attribution, conversion, CAC and channel ROI measurement.</t>
  </si>
  <si>
    <t>Severe risk: campaign performance, attribution, conversion, CAC and channel ROI measurement is not reliably controlled. During Reputation crisis; Demand shock; IT outage, the organization may face loss of customer trust, reputational damage and inconsistent crisis communication with limited visibility or accountability.</t>
  </si>
  <si>
    <t>High risk: campaign performance, attribution, conversion, CAC and channel ROI measurement depends on informal practices or individual knowledge. Disruption may expose loss of customer trust, reputational damage and inconsistent crisis communication and slow recovery.</t>
  </si>
  <si>
    <t>Elevated risk: campaign performance, attribution, conversion, CAC and channel ROI measurement is partially controlled, but coverage, evidence or testing is inconsistent. Crisis response may be fragmented.</t>
  </si>
  <si>
    <t>Moderate risk: campaign performance, attribution, conversion, CAC and channel ROI measurement is documented and owned, but measurement, stress testing and integration with dependent processes need strengthening.</t>
  </si>
  <si>
    <t>Residual risk: campaign performance, attribution, conversion, CAC and channel ROI measurement is measured and reviewed, but monitoring, automation or scenario testing should be improved to prevent maturity drift.</t>
  </si>
  <si>
    <t>Low residual risk: campaign performance, attribution, conversion, CAC and channel ROI measurement is mature and crisis-tested. Maintain monitoring, evidence, ownership and periodic stress testing.</t>
  </si>
  <si>
    <t>Create an immediate risk owner, minimum control baseline and fallback procedure for campaign performance, attribution, conversion, CAC and channel ROI measurement. Add it to the crisis risk register and collect first evidence.</t>
  </si>
  <si>
    <t>Document campaign performance, attribution, conversion, CAC and channel ROI measurement, assign RACI, define minimum controls and KPIs, and validate coverage across key sites, teams or systems.</t>
  </si>
  <si>
    <t>Standardize campaign performance, attribution, conversion, CAC and channel ROI measurement, close coverage gaps, train accountable roles and connect controls to the relevant crisis scenarios and continuity plans.</t>
  </si>
  <si>
    <t>Measure and test campaign performance, attribution, conversion, CAC and channel ROI measurement, run tabletop or operational stress tests, integrate it with dependent processes and update crisis playbooks.</t>
  </si>
  <si>
    <t>Sustain maturity for campaign performance, attribution, conversion, CAC and channel ROI measurement: keep evidence current, monitor drift, benchmark externally and refresh risk tests after organizational, system or market changes.</t>
  </si>
  <si>
    <t>Marketing Comms!8</t>
  </si>
  <si>
    <t>Immature capability for lead capture, routing, qualification and follow-up resilience may lead to loss of customer trust, reputational damage and inconsistent crisis communication during Reputation crisis; Demand shock; IT outage.</t>
  </si>
  <si>
    <t>Low maturity, weak ownership, incomplete evidence, insufficient testing and poor integration with crisis-management routines for lead capture, routing, qualification and follow-up resilience.</t>
  </si>
  <si>
    <t>Severe risk: lead capture, routing, qualification and follow-up resilience is not reliably controlled. During Reputation crisis; Demand shock; IT outage, the organization may face loss of customer trust, reputational damage and inconsistent crisis communication with limited visibility or accountability.</t>
  </si>
  <si>
    <t>High risk: lead capture, routing, qualification and follow-up resilience depends on informal practices or individual knowledge. Disruption may expose loss of customer trust, reputational damage and inconsistent crisis communication and slow recovery.</t>
  </si>
  <si>
    <t>Elevated risk: lead capture, routing, qualification and follow-up resilience is partially controlled, but coverage, evidence or testing is inconsistent. Crisis response may be fragmented.</t>
  </si>
  <si>
    <t>Moderate risk: lead capture, routing, qualification and follow-up resilience is documented and owned, but measurement, stress testing and integration with dependent processes need strengthening.</t>
  </si>
  <si>
    <t>Residual risk: lead capture, routing, qualification and follow-up resilience is measured and reviewed, but monitoring, automation or scenario testing should be improved to prevent maturity drift.</t>
  </si>
  <si>
    <t>Low residual risk: lead capture, routing, qualification and follow-up resilience is mature and crisis-tested. Maintain monitoring, evidence, ownership and periodic stress testing.</t>
  </si>
  <si>
    <t>Create an immediate risk owner, minimum control baseline and fallback procedure for lead capture, routing, qualification and follow-up resilience. Add it to the crisis risk register and collect first evidence.</t>
  </si>
  <si>
    <t>Document lead capture, routing, qualification and follow-up resilience, assign RACI, define minimum controls and KPIs, and validate coverage across key sites, teams or systems.</t>
  </si>
  <si>
    <t>Standardize lead capture, routing, qualification and follow-up resilience, close coverage gaps, train accountable roles and connect controls to the relevant crisis scenarios and continuity plans.</t>
  </si>
  <si>
    <t>Measure and test lead capture, routing, qualification and follow-up resilience, run tabletop or operational stress tests, integrate it with dependent processes and update crisis playbooks.</t>
  </si>
  <si>
    <t>Sustain maturity for lead capture, routing, qualification and follow-up resilience: keep evidence current, monitor drift, benchmark externally and refresh risk tests after organizational, system or market changes.</t>
  </si>
  <si>
    <t>Marketing Comms!9</t>
  </si>
  <si>
    <t>Immature capability for approved crisis communication templates for customers, employees, media, regulators and partners may lead to loss of customer trust, reputational damage and inconsistent crisis communication during Reputation crisis; Demand shock; IT outage.</t>
  </si>
  <si>
    <t>Low maturity, weak ownership, incomplete evidence, insufficient testing and poor integration with crisis-management routines for approved crisis communication templates for customers, employees, media, regulators and partners.</t>
  </si>
  <si>
    <t>Severe risk: approved crisis communication templates for customers, employees, media, regulators and partners is not reliably controlled. During Reputation crisis; Demand shock; IT outage, the organization may face loss of customer trust, reputational damage and inconsistent crisis communication with limited visibility or accountability.</t>
  </si>
  <si>
    <t>High risk: approved crisis communication templates for customers, employees, media, regulators and partners depends on informal practices or individual knowledge. Disruption may expose loss of customer trust, reputational damage and inconsistent crisis communication and slow recovery.</t>
  </si>
  <si>
    <t>Elevated risk: approved crisis communication templates for customers, employees, media, regulators and partners is partially controlled, but coverage, evidence or testing is inconsistent. Crisis response may be fragmented.</t>
  </si>
  <si>
    <t>Moderate risk: approved crisis communication templates for customers, employees, media, regulators and partners is documented and owned, but measurement, stress testing and integration with dependent processes need strengthening.</t>
  </si>
  <si>
    <t>Residual risk: approved crisis communication templates for customers, employees, media, regulators and partners is measured and reviewed, but monitoring, automation or scenario testing should be improved to prevent maturity drift.</t>
  </si>
  <si>
    <t>Low residual risk: approved crisis communication templates for customers, employees, media, regulators and partners is mature and crisis-tested. Maintain monitoring, evidence, ownership and periodic stress testing.</t>
  </si>
  <si>
    <t>Create an immediate risk owner, minimum control baseline and fallback procedure for approved crisis communication templates for customers, employees, media, regulators and partners. Add it to the crisis risk register and collect first evidence.</t>
  </si>
  <si>
    <t>Document approved crisis communication templates for customers, employees, media, regulators and partners, assign RACI, define minimum controls and KPIs, and validate coverage across key sites, teams or systems.</t>
  </si>
  <si>
    <t>Standardize approved crisis communication templates for customers, employees, media, regulators and partners, close coverage gaps, train accountable roles and connect controls to the relevant crisis scenarios and continuity plans.</t>
  </si>
  <si>
    <t>Measure and test approved crisis communication templates for customers, employees, media, regulators and partners, run tabletop or operational stress tests, integrate it with dependent processes and update crisis playbooks.</t>
  </si>
  <si>
    <t>Sustain maturity for approved crisis communication templates for customers, employees, media, regulators and partners: keep evidence current, monitor drift, benchmark externally and refresh risk tests after organizational, system or market changes.</t>
  </si>
  <si>
    <t>Marketing Comms!10</t>
  </si>
  <si>
    <t>Immature capability for spokesperson identification, media training and backup coverage may lead to loss of customer trust, reputational damage and inconsistent crisis communication during Reputation crisis; Demand shock; IT outage.</t>
  </si>
  <si>
    <t>Low maturity, weak ownership, incomplete evidence, insufficient testing and poor integration with crisis-management routines for spokesperson identification, media training and backup coverage.</t>
  </si>
  <si>
    <t>Severe risk: spokesperson identification, media training and backup coverage is not reliably controlled. During Reputation crisis; Demand shock; IT outage, the organization may face loss of customer trust, reputational damage and inconsistent crisis communication with limited visibility or accountability.</t>
  </si>
  <si>
    <t>High risk: spokesperson identification, media training and backup coverage depends on informal practices or individual knowledge. Disruption may expose loss of customer trust, reputational damage and inconsistent crisis communication and slow recovery.</t>
  </si>
  <si>
    <t>Elevated risk: spokesperson identification, media training and backup coverage is partially controlled, but coverage, evidence or testing is inconsistent. Crisis response may be fragmented.</t>
  </si>
  <si>
    <t>Moderate risk: spokesperson identification, media training and backup coverage is documented and owned, but measurement, stress testing and integration with dependent processes need strengthening.</t>
  </si>
  <si>
    <t>Residual risk: spokesperson identification, media training and backup coverage is measured and reviewed, but monitoring, automation or scenario testing should be improved to prevent maturity drift.</t>
  </si>
  <si>
    <t>Low residual risk: spokesperson identification, media training and backup coverage is mature and crisis-tested. Maintain monitoring, evidence, ownership and periodic stress testing.</t>
  </si>
  <si>
    <t>Create an immediate risk owner, minimum control baseline and fallback procedure for spokesperson identification, media training and backup coverage. Add it to the crisis risk register and collect first evidence.</t>
  </si>
  <si>
    <t>Document spokesperson identification, media training and backup coverage, assign RACI, define minimum controls and KPIs, and validate coverage across key sites, teams or systems.</t>
  </si>
  <si>
    <t>Standardize spokesperson identification, media training and backup coverage, close coverage gaps, train accountable roles and connect controls to the relevant crisis scenarios and continuity plans.</t>
  </si>
  <si>
    <t>Measure and test spokesperson identification, media training and backup coverage, run tabletop or operational stress tests, integrate it with dependent processes and update crisis playbooks.</t>
  </si>
  <si>
    <t>Sustain maturity for spokesperson identification, media training and backup coverage: keep evidence current, monitor drift, benchmark externally and refresh risk tests after organizational, system or market changes.</t>
  </si>
  <si>
    <t>Marketing Comms!11</t>
  </si>
  <si>
    <t>Immature capability for media, social, review and customer sentiment monitoring may lead to loss of customer trust, reputational damage and inconsistent crisis communication during Reputation crisis; Demand shock; IT outage.</t>
  </si>
  <si>
    <t>Low maturity, weak ownership, incomplete evidence, insufficient testing and poor integration with crisis-management routines for media, social, review and customer sentiment monitoring.</t>
  </si>
  <si>
    <t>Severe risk: media, social, review and customer sentiment monitoring is not reliably controlled. During Reputation crisis; Demand shock; IT outage, the organization may face loss of customer trust, reputational damage and inconsistent crisis communication with limited visibility or accountability.</t>
  </si>
  <si>
    <t>High risk: media, social, review and customer sentiment monitoring depends on informal practices or individual knowledge. Disruption may expose loss of customer trust, reputational damage and inconsistent crisis communication and slow recovery.</t>
  </si>
  <si>
    <t>Elevated risk: media, social, review and customer sentiment monitoring is partially controlled, but coverage, evidence or testing is inconsistent. Crisis response may be fragmented.</t>
  </si>
  <si>
    <t>Moderate risk: media, social, review and customer sentiment monitoring is documented and owned, but measurement, stress testing and integration with dependent processes need strengthening.</t>
  </si>
  <si>
    <t>Residual risk: media, social, review and customer sentiment monitoring is measured and reviewed, but monitoring, automation or scenario testing should be improved to prevent maturity drift.</t>
  </si>
  <si>
    <t>Low residual risk: media, social, review and customer sentiment monitoring is mature and crisis-tested. Maintain monitoring, evidence, ownership and periodic stress testing.</t>
  </si>
  <si>
    <t>Create an immediate risk owner, minimum control baseline and fallback procedure for media, social, review and customer sentiment monitoring. Add it to the crisis risk register and collect first evidence.</t>
  </si>
  <si>
    <t>Document media, social, review and customer sentiment monitoring, assign RACI, define minimum controls and KPIs, and validate coverage across key sites, teams or systems.</t>
  </si>
  <si>
    <t>Standardize media, social, review and customer sentiment monitoring, close coverage gaps, train accountable roles and connect controls to the relevant crisis scenarios and continuity plans.</t>
  </si>
  <si>
    <t>Measure and test media, social, review and customer sentiment monitoring, run tabletop or operational stress tests, integrate it with dependent processes and update crisis playbooks.</t>
  </si>
  <si>
    <t>Sustain maturity for media, social, review and customer sentiment monitoring: keep evidence current, monitor drift, benchmark externally and refresh risk tests after organizational, system or market changes.</t>
  </si>
  <si>
    <t>Marketing Comms!12</t>
  </si>
  <si>
    <t>Immature capability for escalation and approval rules for sensitive public responses may lead to loss of customer trust, reputational damage and inconsistent crisis communication during Reputation crisis; Demand shock; IT outage.</t>
  </si>
  <si>
    <t>Low maturity, weak ownership, incomplete evidence, insufficient testing and poor integration with crisis-management routines for escalation and approval rules for sensitive public responses.</t>
  </si>
  <si>
    <t>Severe risk: escalation and approval rules for sensitive public responses is not reliably controlled. During Reputation crisis; Demand shock; IT outage, the organization may face loss of customer trust, reputational damage and inconsistent crisis communication with limited visibility or accountability.</t>
  </si>
  <si>
    <t>High risk: escalation and approval rules for sensitive public responses depends on informal practices or individual knowledge. Disruption may expose loss of customer trust, reputational damage and inconsistent crisis communication and slow recovery.</t>
  </si>
  <si>
    <t>Elevated risk: escalation and approval rules for sensitive public responses is partially controlled, but coverage, evidence or testing is inconsistent. Crisis response may be fragmented.</t>
  </si>
  <si>
    <t>Moderate risk: escalation and approval rules for sensitive public responses is documented and owned, but measurement, stress testing and integration with dependent processes need strengthening.</t>
  </si>
  <si>
    <t>Residual risk: escalation and approval rules for sensitive public responses is measured and reviewed, but monitoring, automation or scenario testing should be improved to prevent maturity drift.</t>
  </si>
  <si>
    <t>Low residual risk: escalation and approval rules for sensitive public responses is mature and crisis-tested. Maintain monitoring, evidence, ownership and periodic stress testing.</t>
  </si>
  <si>
    <t>Create an immediate risk owner, minimum control baseline and fallback procedure for escalation and approval rules for sensitive public responses. Add it to the crisis risk register and collect first evidence.</t>
  </si>
  <si>
    <t>Document escalation and approval rules for sensitive public responses, assign RACI, define minimum controls and KPIs, and validate coverage across key sites, teams or systems.</t>
  </si>
  <si>
    <t>Standardize escalation and approval rules for sensitive public responses, close coverage gaps, train accountable roles and connect controls to the relevant crisis scenarios and continuity plans.</t>
  </si>
  <si>
    <t>Measure and test escalation and approval rules for sensitive public responses, run tabletop or operational stress tests, integrate it with dependent processes and update crisis playbooks.</t>
  </si>
  <si>
    <t>Sustain maturity for escalation and approval rules for sensitive public responses: keep evidence current, monitor drift, benchmark externally and refresh risk tests after organizational, system or market changes.</t>
  </si>
  <si>
    <t>Marketing Comms!13</t>
  </si>
  <si>
    <t>Immature capability for customer communication channel diversity across email, phone, portal, SMS, account managers and social media may lead to loss of customer trust, reputational damage and inconsistent crisis communication during Reputation crisis; Demand shock; IT outage.</t>
  </si>
  <si>
    <t>Low maturity, weak ownership, incomplete evidence, insufficient testing and poor integration with crisis-management routines for customer communication channel diversity across email, phone, portal, SMS, account managers and social media.</t>
  </si>
  <si>
    <t>Severe risk: customer communication channel diversity across email, phone, portal, SMS, account managers and social media is not reliably controlled. During Reputation crisis; Demand shock; IT outage, the organization may face loss of customer trust, reputational damage and inconsistent crisis communication with limited visibility or accountability.</t>
  </si>
  <si>
    <t>High risk: customer communication channel diversity across email, phone, portal, SMS, account managers and social media depends on informal practices or individual knowledge. Disruption may expose loss of customer trust, reputational damage and inconsistent crisis communication and slow recovery.</t>
  </si>
  <si>
    <t>Elevated risk: customer communication channel diversity across email, phone, portal, SMS, account managers and social media is partially controlled, but coverage, evidence or testing is inconsistent. Crisis response may be fragmented.</t>
  </si>
  <si>
    <t>Moderate risk: customer communication channel diversity across email, phone, portal, SMS, account managers and social media is documented and owned, but measurement, stress testing and integration with dependent processes need strengthening.</t>
  </si>
  <si>
    <t>Residual risk: customer communication channel diversity across email, phone, portal, SMS, account managers and social media is measured and reviewed, but monitoring, automation or scenario testing should be improved to prevent maturity drift.</t>
  </si>
  <si>
    <t>Low residual risk: customer communication channel diversity across email, phone, portal, SMS, account managers and social media is mature and crisis-tested. Maintain monitoring, evidence, ownership and periodic stress testing.</t>
  </si>
  <si>
    <t>Create an immediate risk owner, minimum control baseline and fallback procedure for customer communication channel diversity across email, phone, portal, SMS, account managers and social media. Add it to the crisis risk register and collect first evidence.</t>
  </si>
  <si>
    <t>Document customer communication channel diversity across email, phone, portal, SMS, account managers and social media, assign RACI, define minimum controls and KPIs, and validate coverage across key sites, teams or systems.</t>
  </si>
  <si>
    <t>Standardize customer communication channel diversity across email, phone, portal, SMS, account managers and social media, close coverage gaps, train accountable roles and connect controls to the relevant crisis scenarios and continuity plans.</t>
  </si>
  <si>
    <t>Measure and test customer communication channel diversity across email, phone, portal, SMS, account managers and social media, run tabletop or operational stress tests, integrate it with dependent processes and update crisis playbooks.</t>
  </si>
  <si>
    <t>Sustain maturity for customer communication channel diversity across email, phone, portal, SMS, account managers and social media: keep evidence current, monitor drift, benchmark externally and refresh risk tests after organizational, system or market changes.</t>
  </si>
  <si>
    <t>Marketing Comms!14</t>
  </si>
  <si>
    <t>Immature capability for misinformation, impersonation, fake invoice and brand-abuse response process may lead to loss of customer trust, reputational damage and inconsistent crisis communication during Reputation crisis; Demand shock; IT outage.</t>
  </si>
  <si>
    <t>Low maturity, weak ownership, incomplete evidence, insufficient testing and poor integration with crisis-management routines for misinformation, impersonation, fake invoice and brand-abuse response process.</t>
  </si>
  <si>
    <t>Severe risk: misinformation, impersonation, fake invoice and brand-abuse response process is not reliably controlled. During Reputation crisis; Demand shock; IT outage, the organization may face loss of customer trust, reputational damage and inconsistent crisis communication with limited visibility or accountability.</t>
  </si>
  <si>
    <t>High risk: misinformation, impersonation, fake invoice and brand-abuse response process depends on informal practices or individual knowledge. Disruption may expose loss of customer trust, reputational damage and inconsistent crisis communication and slow recovery.</t>
  </si>
  <si>
    <t>Elevated risk: misinformation, impersonation, fake invoice and brand-abuse response process is partially controlled, but coverage, evidence or testing is inconsistent. Crisis response may be fragmented.</t>
  </si>
  <si>
    <t>Moderate risk: misinformation, impersonation, fake invoice and brand-abuse response process is documented and owned, but measurement, stress testing and integration with dependent processes need strengthening.</t>
  </si>
  <si>
    <t>Residual risk: misinformation, impersonation, fake invoice and brand-abuse response process is measured and reviewed, but monitoring, automation or scenario testing should be improved to prevent maturity drift.</t>
  </si>
  <si>
    <t>Low residual risk: misinformation, impersonation, fake invoice and brand-abuse response process is mature and crisis-tested. Maintain monitoring, evidence, ownership and periodic stress testing.</t>
  </si>
  <si>
    <t>Create an immediate risk owner, minimum control baseline and fallback procedure for misinformation, impersonation, fake invoice and brand-abuse response process. Add it to the crisis risk register and collect first evidence.</t>
  </si>
  <si>
    <t>Document misinformation, impersonation, fake invoice and brand-abuse response process, assign RACI, define minimum controls and KPIs, and validate coverage across key sites, teams or systems.</t>
  </si>
  <si>
    <t>Standardize misinformation, impersonation, fake invoice and brand-abuse response process, close coverage gaps, train accountable roles and connect controls to the relevant crisis scenarios and continuity plans.</t>
  </si>
  <si>
    <t>Measure and test misinformation, impersonation, fake invoice and brand-abuse response process, run tabletop or operational stress tests, integrate it with dependent processes and update crisis playbooks.</t>
  </si>
  <si>
    <t>Sustain maturity for misinformation, impersonation, fake invoice and brand-abuse response process: keep evidence current, monitor drift, benchmark externally and refresh risk tests after organizational, system or market changes.</t>
  </si>
  <si>
    <t>Marketing Comms!15</t>
  </si>
  <si>
    <t>Immature capability for critical marketing and communication asset access if cloud tools or key people are unavailable may lead to loss of customer trust, reputational damage and inconsistent crisis communication during Reputation crisis; Demand shock; IT outage.</t>
  </si>
  <si>
    <t>Low maturity, weak ownership, incomplete evidence, insufficient testing and poor integration with crisis-management routines for critical marketing and communication asset access if cloud tools or key people are unavailable.</t>
  </si>
  <si>
    <t>Severe risk: critical marketing and communication asset access if cloud tools or key people are unavailable is not reliably controlled. During Reputation crisis; Demand shock; IT outage, the organization may face loss of customer trust, reputational damage and inconsistent crisis communication with limited visibility or accountability.</t>
  </si>
  <si>
    <t>High risk: critical marketing and communication asset access if cloud tools or key people are unavailable depends on informal practices or individual knowledge. Disruption may expose loss of customer trust, reputational damage and inconsistent crisis communication and slow recovery.</t>
  </si>
  <si>
    <t>Elevated risk: critical marketing and communication asset access if cloud tools or key people are unavailable is partially controlled, but coverage, evidence or testing is inconsistent. Crisis response may be fragmented.</t>
  </si>
  <si>
    <t>Moderate risk: critical marketing and communication asset access if cloud tools or key people are unavailable is documented and owned, but measurement, stress testing and integration with dependent processes need strengthening.</t>
  </si>
  <si>
    <t>Residual risk: critical marketing and communication asset access if cloud tools or key people are unavailable is measured and reviewed, but monitoring, automation or scenario testing should be improved to prevent maturity drift.</t>
  </si>
  <si>
    <t>Low residual risk: critical marketing and communication asset access if cloud tools or key people are unavailable is mature and crisis-tested. Maintain monitoring, evidence, ownership and periodic stress testing.</t>
  </si>
  <si>
    <t>Create an immediate risk owner, minimum control baseline and fallback procedure for critical marketing and communication asset access if cloud tools or key people are unavailable. Add it to the crisis risk register and collect first evidence.</t>
  </si>
  <si>
    <t>Document critical marketing and communication asset access if cloud tools or key people are unavailable, assign RACI, define minimum controls and KPIs, and validate coverage across key sites, teams or systems.</t>
  </si>
  <si>
    <t>Standardize critical marketing and communication asset access if cloud tools or key people are unavailable, close coverage gaps, train accountable roles and connect controls to the relevant crisis scenarios and continuity plans.</t>
  </si>
  <si>
    <t>Measure and test critical marketing and communication asset access if cloud tools or key people are unavailable, run tabletop or operational stress tests, integrate it with dependent processes and update crisis playbooks.</t>
  </si>
  <si>
    <t>Sustain maturity for critical marketing and communication asset access if cloud tools or key people are unavailable: keep evidence current, monitor drift, benchmark externally and refresh risk tests after organizational, system or market changes.</t>
  </si>
  <si>
    <t>Marketing Comms!16</t>
  </si>
  <si>
    <t>Immature capability for marketing automation, email, analytics, CMS, domain and DNS dependency documentation may lead to loss of customer trust, reputational damage and inconsistent crisis communication during Reputation crisis; Demand shock; IT outage.</t>
  </si>
  <si>
    <t>Low maturity, weak ownership, incomplete evidence, insufficient testing and poor integration with crisis-management routines for marketing automation, email, analytics, CMS, domain and DNS dependency documentation.</t>
  </si>
  <si>
    <t>Severe risk: marketing automation, email, analytics, CMS, domain and DNS dependency documentation is not reliably controlled. During Reputation crisis; Demand shock; IT outage, the organization may face loss of customer trust, reputational damage and inconsistent crisis communication with limited visibility or accountability.</t>
  </si>
  <si>
    <t>High risk: marketing automation, email, analytics, CMS, domain and DNS dependency documentation depends on informal practices or individual knowledge. Disruption may expose loss of customer trust, reputational damage and inconsistent crisis communication and slow recovery.</t>
  </si>
  <si>
    <t>Elevated risk: marketing automation, email, analytics, CMS, domain and DNS dependency documentation is partially controlled, but coverage, evidence or testing is inconsistent. Crisis response may be fragmented.</t>
  </si>
  <si>
    <t>Moderate risk: marketing automation, email, analytics, CMS, domain and DNS dependency documentation is documented and owned, but measurement, stress testing and integration with dependent processes need strengthening.</t>
  </si>
  <si>
    <t>Residual risk: marketing automation, email, analytics, CMS, domain and DNS dependency documentation is measured and reviewed, but monitoring, automation or scenario testing should be improved to prevent maturity drift.</t>
  </si>
  <si>
    <t>Low residual risk: marketing automation, email, analytics, CMS, domain and DNS dependency documentation is mature and crisis-tested. Maintain monitoring, evidence, ownership and periodic stress testing.</t>
  </si>
  <si>
    <t>Create an immediate risk owner, minimum control baseline and fallback procedure for marketing automation, email, analytics, CMS, domain and DNS dependency documentation. Add it to the crisis risk register and collect first evidence.</t>
  </si>
  <si>
    <t>Document marketing automation, email, analytics, CMS, domain and DNS dependency documentation, assign RACI, define minimum controls and KPIs, and validate coverage across key sites, teams or systems.</t>
  </si>
  <si>
    <t>Standardize marketing automation, email, analytics, CMS, domain and DNS dependency documentation, close coverage gaps, train accountable roles and connect controls to the relevant crisis scenarios and continuity plans.</t>
  </si>
  <si>
    <t>Measure and test marketing automation, email, analytics, CMS, domain and DNS dependency documentation, run tabletop or operational stress tests, integrate it with dependent processes and update crisis playbooks.</t>
  </si>
  <si>
    <t>Sustain maturity for marketing automation, email, analytics, CMS, domain and DNS dependency documentation: keep evidence current, monitor drift, benchmark externally and refresh risk tests after organizational, system or market changes.</t>
  </si>
  <si>
    <t>Marketing Comms!17</t>
  </si>
  <si>
    <t>Immature capability for privacy, consent, unsubscribe, advertising claims and industry marketing compliance may lead to loss of customer trust, reputational damage and inconsistent crisis communication during Reputation crisis; Demand shock; IT outage.</t>
  </si>
  <si>
    <t>Low maturity, weak ownership, incomplete evidence, insufficient testing and poor integration with crisis-management routines for privacy, consent, unsubscribe, advertising claims and industry marketing compliance.</t>
  </si>
  <si>
    <t>Severe risk: privacy, consent, unsubscribe, advertising claims and industry marketing compliance is not reliably controlled. During Reputation crisis; Demand shock; IT outage, the organization may face loss of customer trust, reputational damage and inconsistent crisis communication with limited visibility or accountability.</t>
  </si>
  <si>
    <t>High risk: privacy, consent, unsubscribe, advertising claims and industry marketing compliance depends on informal practices or individual knowledge. Disruption may expose loss of customer trust, reputational damage and inconsistent crisis communication and slow recovery.</t>
  </si>
  <si>
    <t>Elevated risk: privacy, consent, unsubscribe, advertising claims and industry marketing compliance is partially controlled, but coverage, evidence or testing is inconsistent. Crisis response may be fragmented.</t>
  </si>
  <si>
    <t>Moderate risk: privacy, consent, unsubscribe, advertising claims and industry marketing compliance is documented and owned, but measurement, stress testing and integration with dependent processes need strengthening.</t>
  </si>
  <si>
    <t>Residual risk: privacy, consent, unsubscribe, advertising claims and industry marketing compliance is measured and reviewed, but monitoring, automation or scenario testing should be improved to prevent maturity drift.</t>
  </si>
  <si>
    <t>Low residual risk: privacy, consent, unsubscribe, advertising claims and industry marketing compliance is mature and crisis-tested. Maintain monitoring, evidence, ownership and periodic stress testing.</t>
  </si>
  <si>
    <t>Create an immediate risk owner, minimum control baseline and fallback procedure for privacy, consent, unsubscribe, advertising claims and industry marketing compliance. Add it to the crisis risk register and collect first evidence.</t>
  </si>
  <si>
    <t>Document privacy, consent, unsubscribe, advertising claims and industry marketing compliance, assign RACI, define minimum controls and KPIs, and validate coverage across key sites, teams or systems.</t>
  </si>
  <si>
    <t>Standardize privacy, consent, unsubscribe, advertising claims and industry marketing compliance, close coverage gaps, train accountable roles and connect controls to the relevant crisis scenarios and continuity plans.</t>
  </si>
  <si>
    <t>Measure and test privacy, consent, unsubscribe, advertising claims and industry marketing compliance, run tabletop or operational stress tests, integrate it with dependent processes and update crisis playbooks.</t>
  </si>
  <si>
    <t>Sustain maturity for privacy, consent, unsubscribe, advertising claims and industry marketing compliance: keep evidence current, monitor drift, benchmark externally and refresh risk tests after organizational, system or market changes.</t>
  </si>
  <si>
    <t>Marketing Comms!18</t>
  </si>
  <si>
    <t>Immature capability for demand-generation playbooks for budget cuts, channel failure, competitive pressure or geopolitical restrictions may lead to loss of customer trust, reputational damage and inconsistent crisis communication during Reputation crisis; Demand shock; IT outage.</t>
  </si>
  <si>
    <t>Low maturity, weak ownership, incomplete evidence, insufficient testing and poor integration with crisis-management routines for demand-generation playbooks for budget cuts, channel failure, competitive pressure or geopolitical restrictions.</t>
  </si>
  <si>
    <t>Severe risk: demand-generation playbooks for budget cuts, channel failure, competitive pressure or geopolitical restrictions is not reliably controlled. During Reputation crisis; Demand shock; IT outage, the organization may face loss of customer trust, reputational damage and inconsistent crisis communication with limited visibility or accountability.</t>
  </si>
  <si>
    <t>High risk: demand-generation playbooks for budget cuts, channel failure, competitive pressure or geopolitical restrictions depends on informal practices or individual knowledge. Disruption may expose loss of customer trust, reputational damage and inconsistent crisis communication and slow recovery.</t>
  </si>
  <si>
    <t>Elevated risk: demand-generation playbooks for budget cuts, channel failure, competitive pressure or geopolitical restrictions is partially controlled, but coverage, evidence or testing is inconsistent. Crisis response may be fragmented.</t>
  </si>
  <si>
    <t>Moderate risk: demand-generation playbooks for budget cuts, channel failure, competitive pressure or geopolitical restrictions is documented and owned, but measurement, stress testing and integration with dependent processes need strengthening.</t>
  </si>
  <si>
    <t>Residual risk: demand-generation playbooks for budget cuts, channel failure, competitive pressure or geopolitical restrictions is measured and reviewed, but monitoring, automation or scenario testing should be improved to prevent maturity drift.</t>
  </si>
  <si>
    <t>Low residual risk: demand-generation playbooks for budget cuts, channel failure, competitive pressure or geopolitical restrictions is mature and crisis-tested. Maintain monitoring, evidence, ownership and periodic stress testing.</t>
  </si>
  <si>
    <t>Create an immediate risk owner, minimum control baseline and fallback procedure for demand-generation playbooks for budget cuts, channel failure, competitive pressure or geopolitical restrictions. Add it to the crisis risk register and collect first evidence.</t>
  </si>
  <si>
    <t>Document demand-generation playbooks for budget cuts, channel failure, competitive pressure or geopolitical restrictions, assign RACI, define minimum controls and KPIs, and validate coverage across key sites, teams or systems.</t>
  </si>
  <si>
    <t>Standardize demand-generation playbooks for budget cuts, channel failure, competitive pressure or geopolitical restrictions, close coverage gaps, train accountable roles and connect controls to the relevant crisis scenarios and continuity plans.</t>
  </si>
  <si>
    <t>Measure and test demand-generation playbooks for budget cuts, channel failure, competitive pressure or geopolitical restrictions, run tabletop or operational stress tests, integrate it with dependent processes and update crisis playbooks.</t>
  </si>
  <si>
    <t>Sustain maturity for demand-generation playbooks for budget cuts, channel failure, competitive pressure or geopolitical restrictions: keep evidence current, monitor drift, benchmark externally and refresh risk tests after organizational, system or market changes.</t>
  </si>
  <si>
    <t>Marketing Comms!19</t>
  </si>
  <si>
    <t>Immature capability for sales-marketing alignment on ICP, lead definitions, messages, offers and crisis concerns may lead to loss of customer trust, reputational damage and inconsistent crisis communication during Reputation crisis; Demand shock; IT outage.</t>
  </si>
  <si>
    <t>Low maturity, weak ownership, incomplete evidence, insufficient testing and poor integration with crisis-management routines for sales-marketing alignment on ICP, lead definitions, messages, offers and crisis concerns.</t>
  </si>
  <si>
    <t>Severe risk: sales-marketing alignment on ICP, lead definitions, messages, offers and crisis concerns is not reliably controlled. During Reputation crisis; Demand shock; IT outage, the organization may face loss of customer trust, reputational damage and inconsistent crisis communication with limited visibility or accountability.</t>
  </si>
  <si>
    <t>High risk: sales-marketing alignment on ICP, lead definitions, messages, offers and crisis concerns depends on informal practices or individual knowledge. Disruption may expose loss of customer trust, reputational damage and inconsistent crisis communication and slow recovery.</t>
  </si>
  <si>
    <t>Elevated risk: sales-marketing alignment on ICP, lead definitions, messages, offers and crisis concerns is partially controlled, but coverage, evidence or testing is inconsistent. Crisis response may be fragmented.</t>
  </si>
  <si>
    <t>Moderate risk: sales-marketing alignment on ICP, lead definitions, messages, offers and crisis concerns is documented and owned, but measurement, stress testing and integration with dependent processes need strengthening.</t>
  </si>
  <si>
    <t>Residual risk: sales-marketing alignment on ICP, lead definitions, messages, offers and crisis concerns is measured and reviewed, but monitoring, automation or scenario testing should be improved to prevent maturity drift.</t>
  </si>
  <si>
    <t>Low residual risk: sales-marketing alignment on ICP, lead definitions, messages, offers and crisis concerns is mature and crisis-tested. Maintain monitoring, evidence, ownership and periodic stress testing.</t>
  </si>
  <si>
    <t>Create an immediate risk owner, minimum control baseline and fallback procedure for sales-marketing alignment on ICP, lead definitions, messages, offers and crisis concerns. Add it to the crisis risk register and collect first evidence.</t>
  </si>
  <si>
    <t>Document sales-marketing alignment on ICP, lead definitions, messages, offers and crisis concerns, assign RACI, define minimum controls and KPIs, and validate coverage across key sites, teams or systems.</t>
  </si>
  <si>
    <t>Standardize sales-marketing alignment on ICP, lead definitions, messages, offers and crisis concerns, close coverage gaps, train accountable roles and connect controls to the relevant crisis scenarios and continuity plans.</t>
  </si>
  <si>
    <t>Measure and test sales-marketing alignment on ICP, lead definitions, messages, offers and crisis concerns, run tabletop or operational stress tests, integrate it with dependent processes and update crisis playbooks.</t>
  </si>
  <si>
    <t>Sustain maturity for sales-marketing alignment on ICP, lead definitions, messages, offers and crisis concerns: keep evidence current, monitor drift, benchmark externally and refresh risk tests after organizational, system or market changes.</t>
  </si>
  <si>
    <t>Marketing Comms!20</t>
  </si>
  <si>
    <t>Immature capability for complete inventory of applications, infrastructure, cloud accounts, integrations, data stores and owners may lead to system outage, data unavailability, excessive RTO/RPO and inability to restore critical technology services during IT outage; Cloud outage; Data loss; Cyberattack.</t>
  </si>
  <si>
    <t>Low maturity, weak ownership, incomplete evidence, insufficient testing and poor integration with crisis-management routines for complete inventory of applications, infrastructure, cloud accounts, integrations, data stores and owners.</t>
  </si>
  <si>
    <t>Severe risk: complete inventory of applications, infrastructure, cloud accounts, integrations, data stores and owners is not reliably controlled. During IT outage; Cloud outage; Data loss; Cyberattack, the organization may face system outage, data unavailability, excessive RTO/RPO and inability to restore critical technology services with limited visibility or accountability.</t>
  </si>
  <si>
    <t>High risk: complete inventory of applications, infrastructure, cloud accounts, integrations, data stores and owners depends on informal practices or individual knowledge. Disruption may expose system outage, data unavailability, excessive RTO/RPO and inability to restore critical technology services and slow recovery.</t>
  </si>
  <si>
    <t>Elevated risk: complete inventory of applications, infrastructure, cloud accounts, integrations, data stores and owners is partially controlled, but coverage, evidence or testing is inconsistent. Crisis response may be fragmented.</t>
  </si>
  <si>
    <t>Moderate risk: complete inventory of applications, infrastructure, cloud accounts, integrations, data stores and owners is documented and owned, but measurement, stress testing and integration with dependent processes need strengthening.</t>
  </si>
  <si>
    <t>Residual risk: complete inventory of applications, infrastructure, cloud accounts, integrations, data stores and owners is measured and reviewed, but monitoring, automation or scenario testing should be improved to prevent maturity drift.</t>
  </si>
  <si>
    <t>Low residual risk: complete inventory of applications, infrastructure, cloud accounts, integrations, data stores and owners is mature and crisis-tested. Maintain monitoring, evidence, ownership and periodic stress testing.</t>
  </si>
  <si>
    <t>Create an immediate risk owner, minimum control baseline and fallback procedure for complete inventory of applications, infrastructure, cloud accounts, integrations, data stores and owners. Add it to the crisis risk register and collect first evidence.</t>
  </si>
  <si>
    <t>Document complete inventory of applications, infrastructure, cloud accounts, integrations, data stores and owners, assign RACI, define minimum controls and KPIs, and validate coverage across key sites, teams or systems.</t>
  </si>
  <si>
    <t>Standardize complete inventory of applications, infrastructure, cloud accounts, integrations, data stores and owners, close coverage gaps, train accountable roles and connect controls to the relevant crisis scenarios and continuity plans.</t>
  </si>
  <si>
    <t>Measure and test complete inventory of applications, infrastructure, cloud accounts, integrations, data stores and owners, run tabletop or operational stress tests, integrate it with dependent processes and update crisis playbooks.</t>
  </si>
  <si>
    <t>Sustain maturity for complete inventory of applications, infrastructure, cloud accounts, integrations, data stores and owners: keep evidence current, monitor drift, benchmark externally and refresh risk tests after organizational, system or market changes.</t>
  </si>
  <si>
    <t>CIO / CTO / IT Ops</t>
  </si>
  <si>
    <t>IT Cloud DR!5</t>
  </si>
  <si>
    <t>Immature capability for system criticality tiering by business process, RTO, RPO, users and data sensitivity may lead to system outage, data unavailability, excessive RTO/RPO and inability to restore critical technology services during IT outage; Cloud outage; Data loss; Cyberattack.</t>
  </si>
  <si>
    <t>Low maturity, weak ownership, incomplete evidence, insufficient testing and poor integration with crisis-management routines for system criticality tiering by business process, RTO, RPO, users and data sensitivity.</t>
  </si>
  <si>
    <t>Severe risk: system criticality tiering by business process, RTO, RPO, users and data sensitivity is not reliably controlled. During IT outage; Cloud outage; Data loss; Cyberattack, the organization may face system outage, data unavailability, excessive RTO/RPO and inability to restore critical technology services with limited visibility or accountability.</t>
  </si>
  <si>
    <t>High risk: system criticality tiering by business process, RTO, RPO, users and data sensitivity depends on informal practices or individual knowledge. Disruption may expose system outage, data unavailability, excessive RTO/RPO and inability to restore critical technology services and slow recovery.</t>
  </si>
  <si>
    <t>Elevated risk: system criticality tiering by business process, RTO, RPO, users and data sensitivity is partially controlled, but coverage, evidence or testing is inconsistent. Crisis response may be fragmented.</t>
  </si>
  <si>
    <t>Moderate risk: system criticality tiering by business process, RTO, RPO, users and data sensitivity is documented and owned, but measurement, stress testing and integration with dependent processes need strengthening.</t>
  </si>
  <si>
    <t>Residual risk: system criticality tiering by business process, RTO, RPO, users and data sensitivity is measured and reviewed, but monitoring, automation or scenario testing should be improved to prevent maturity drift.</t>
  </si>
  <si>
    <t>Low residual risk: system criticality tiering by business process, RTO, RPO, users and data sensitivity is mature and crisis-tested. Maintain monitoring, evidence, ownership and periodic stress testing.</t>
  </si>
  <si>
    <t>Create an immediate risk owner, minimum control baseline and fallback procedure for system criticality tiering by business process, RTO, RPO, users and data sensitivity. Add it to the crisis risk register and collect first evidence.</t>
  </si>
  <si>
    <t>Document system criticality tiering by business process, RTO, RPO, users and data sensitivity, assign RACI, define minimum controls and KPIs, and validate coverage across key sites, teams or systems.</t>
  </si>
  <si>
    <t>Standardize system criticality tiering by business process, RTO, RPO, users and data sensitivity, close coverage gaps, train accountable roles and connect controls to the relevant crisis scenarios and continuity plans.</t>
  </si>
  <si>
    <t>Measure and test system criticality tiering by business process, RTO, RPO, users and data sensitivity, run tabletop or operational stress tests, integrate it with dependent processes and update crisis playbooks.</t>
  </si>
  <si>
    <t>Sustain maturity for system criticality tiering by business process, RTO, RPO, users and data sensitivity: keep evidence current, monitor drift, benchmark externally and refresh risk tests after organizational, system or market changes.</t>
  </si>
  <si>
    <t>IT Cloud DR!6</t>
  </si>
  <si>
    <t>Immature capability for current-state and target-state IT architecture documentation may lead to system outage, data unavailability, excessive RTO/RPO and inability to restore critical technology services during IT outage; Cloud outage; Data loss; Cyberattack.</t>
  </si>
  <si>
    <t>Low maturity, weak ownership, incomplete evidence, insufficient testing and poor integration with crisis-management routines for current-state and target-state IT architecture documentation.</t>
  </si>
  <si>
    <t>Severe risk: current-state and target-state IT architecture documentation is not reliably controlled. During IT outage; Cloud outage; Data loss; Cyberattack, the organization may face system outage, data unavailability, excessive RTO/RPO and inability to restore critical technology services with limited visibility or accountability.</t>
  </si>
  <si>
    <t>High risk: current-state and target-state IT architecture documentation depends on informal practices or individual knowledge. Disruption may expose system outage, data unavailability, excessive RTO/RPO and inability to restore critical technology services and slow recovery.</t>
  </si>
  <si>
    <t>Elevated risk: current-state and target-state IT architecture documentation is partially controlled, but coverage, evidence or testing is inconsistent. Crisis response may be fragmented.</t>
  </si>
  <si>
    <t>Moderate risk: current-state and target-state IT architecture documentation is documented and owned, but measurement, stress testing and integration with dependent processes need strengthening.</t>
  </si>
  <si>
    <t>Residual risk: current-state and target-state IT architecture documentation is measured and reviewed, but monitoring, automation or scenario testing should be improved to prevent maturity drift.</t>
  </si>
  <si>
    <t>Low residual risk: current-state and target-state IT architecture documentation is mature and crisis-tested. Maintain monitoring, evidence, ownership and periodic stress testing.</t>
  </si>
  <si>
    <t>Create an immediate risk owner, minimum control baseline and fallback procedure for current-state and target-state IT architecture documentation. Add it to the crisis risk register and collect first evidence.</t>
  </si>
  <si>
    <t>Document current-state and target-state IT architecture documentation, assign RACI, define minimum controls and KPIs, and validate coverage across key sites, teams or systems.</t>
  </si>
  <si>
    <t>Standardize current-state and target-state IT architecture documentation, close coverage gaps, train accountable roles and connect controls to the relevant crisis scenarios and continuity plans.</t>
  </si>
  <si>
    <t>Measure and test current-state and target-state IT architecture documentation, run tabletop or operational stress tests, integrate it with dependent processes and update crisis playbooks.</t>
  </si>
  <si>
    <t>Sustain maturity for current-state and target-state IT architecture documentation: keep evidence current, monitor drift, benchmark externally and refresh risk tests after organizational, system or market changes.</t>
  </si>
  <si>
    <t>IT Cloud DR!7</t>
  </si>
  <si>
    <t>Immature capability for technical single points of failure across network, identity, DNS, cloud, databases, integrations and support teams may lead to system outage, data unavailability, excessive RTO/RPO and inability to restore critical technology services during IT outage; Cloud outage; Data loss; Cyberattack.</t>
  </si>
  <si>
    <t>Low maturity, weak ownership, incomplete evidence, insufficient testing and poor integration with crisis-management routines for technical single points of failure across network, identity, DNS, cloud, databases, integrations and support teams.</t>
  </si>
  <si>
    <t>Severe risk: technical single points of failure across network, identity, DNS, cloud, databases, integrations and support teams is not reliably controlled. During IT outage; Cloud outage; Data loss; Cyberattack, the organization may face system outage, data unavailability, excessive RTO/RPO and inability to restore critical technology services with limited visibility or accountability.</t>
  </si>
  <si>
    <t>High risk: technical single points of failure across network, identity, DNS, cloud, databases, integrations and support teams depends on informal practices or individual knowledge. Disruption may expose system outage, data unavailability, excessive RTO/RPO and inability to restore critical technology services and slow recovery.</t>
  </si>
  <si>
    <t>Elevated risk: technical single points of failure across network, identity, DNS, cloud, databases, integrations and support teams is partially controlled, but coverage, evidence or testing is inconsistent. Crisis response may be fragmented.</t>
  </si>
  <si>
    <t>Moderate risk: technical single points of failure across network, identity, DNS, cloud, databases, integrations and support teams is documented and owned, but measurement, stress testing and integration with dependent processes need strengthening.</t>
  </si>
  <si>
    <t>Residual risk: technical single points of failure across network, identity, DNS, cloud, databases, integrations and support teams is measured and reviewed, but monitoring, automation or scenario testing should be improved to prevent maturity drift.</t>
  </si>
  <si>
    <t>Low residual risk: technical single points of failure across network, identity, DNS, cloud, databases, integrations and support teams is mature and crisis-tested. Maintain monitoring, evidence, ownership and periodic stress testing.</t>
  </si>
  <si>
    <t>Create an immediate risk owner, minimum control baseline and fallback procedure for technical single points of failure across network, identity, DNS, cloud, databases, integrations and support teams. Add it to the crisis risk register and collect first evidence.</t>
  </si>
  <si>
    <t>Document technical single points of failure across network, identity, DNS, cloud, databases, integrations and support teams, assign RACI, define minimum controls and KPIs, and validate coverage across key sites, teams or systems.</t>
  </si>
  <si>
    <t>Standardize technical single points of failure across network, identity, DNS, cloud, databases, integrations and support teams, close coverage gaps, train accountable roles and connect controls to the relevant crisis scenarios and continuity plans.</t>
  </si>
  <si>
    <t>Measure and test technical single points of failure across network, identity, DNS, cloud, databases, integrations and support teams, run tabletop or operational stress tests, integrate it with dependent processes and update crisis playbooks.</t>
  </si>
  <si>
    <t>Sustain maturity for technical single points of failure across network, identity, DNS, cloud, databases, integrations and support teams: keep evidence current, monitor drift, benchmark externally and refresh risk tests after organizational, system or market changes.</t>
  </si>
  <si>
    <t>IT Cloud DR!8</t>
  </si>
  <si>
    <t>Immature capability for legacy system risk for vendor support, skills, security, integration and replacement options may lead to system outage, data unavailability, excessive RTO/RPO and inability to restore critical technology services during IT outage; Cloud outage; Data loss; Cyberattack.</t>
  </si>
  <si>
    <t>Low maturity, weak ownership, incomplete evidence, insufficient testing and poor integration with crisis-management routines for legacy system risk for vendor support, skills, security, integration and replacement options.</t>
  </si>
  <si>
    <t>Severe risk: legacy system risk for vendor support, skills, security, integration and replacement options is not reliably controlled. During IT outage; Cloud outage; Data loss; Cyberattack, the organization may face system outage, data unavailability, excessive RTO/RPO and inability to restore critical technology services with limited visibility or accountability.</t>
  </si>
  <si>
    <t>High risk: legacy system risk for vendor support, skills, security, integration and replacement options depends on informal practices or individual knowledge. Disruption may expose system outage, data unavailability, excessive RTO/RPO and inability to restore critical technology services and slow recovery.</t>
  </si>
  <si>
    <t>Elevated risk: legacy system risk for vendor support, skills, security, integration and replacement options is partially controlled, but coverage, evidence or testing is inconsistent. Crisis response may be fragmented.</t>
  </si>
  <si>
    <t>Moderate risk: legacy system risk for vendor support, skills, security, integration and replacement options is documented and owned, but measurement, stress testing and integration with dependent processes need strengthening.</t>
  </si>
  <si>
    <t>Residual risk: legacy system risk for vendor support, skills, security, integration and replacement options is measured and reviewed, but monitoring, automation or scenario testing should be improved to prevent maturity drift.</t>
  </si>
  <si>
    <t>Low residual risk: legacy system risk for vendor support, skills, security, integration and replacement options is mature and crisis-tested. Maintain monitoring, evidence, ownership and periodic stress testing.</t>
  </si>
  <si>
    <t>Create an immediate risk owner, minimum control baseline and fallback procedure for legacy system risk for vendor support, skills, security, integration and replacement options. Add it to the crisis risk register and collect first evidence.</t>
  </si>
  <si>
    <t>Document legacy system risk for vendor support, skills, security, integration and replacement options, assign RACI, define minimum controls and KPIs, and validate coverage across key sites, teams or systems.</t>
  </si>
  <si>
    <t>Standardize legacy system risk for vendor support, skills, security, integration and replacement options, close coverage gaps, train accountable roles and connect controls to the relevant crisis scenarios and continuity plans.</t>
  </si>
  <si>
    <t>Measure and test legacy system risk for vendor support, skills, security, integration and replacement options, run tabletop or operational stress tests, integrate it with dependent processes and update crisis playbooks.</t>
  </si>
  <si>
    <t>Sustain maturity for legacy system risk for vendor support, skills, security, integration and replacement options: keep evidence current, monitor drift, benchmark externally and refresh risk tests after organizational, system or market changes.</t>
  </si>
  <si>
    <t>IT Cloud DR!9</t>
  </si>
  <si>
    <t>Immature capability for technical debt register linked to resilience, security and business impact may lead to system outage, data unavailability, excessive RTO/RPO and inability to restore critical technology services during IT outage; Cloud outage; Data loss; Cyberattack.</t>
  </si>
  <si>
    <t>Low maturity, weak ownership, incomplete evidence, insufficient testing and poor integration with crisis-management routines for technical debt register linked to resilience, security and business impact.</t>
  </si>
  <si>
    <t>Severe risk: technical debt register linked to resilience, security and business impact is not reliably controlled. During IT outage; Cloud outage; Data loss; Cyberattack, the organization may face system outage, data unavailability, excessive RTO/RPO and inability to restore critical technology services with limited visibility or accountability.</t>
  </si>
  <si>
    <t>High risk: technical debt register linked to resilience, security and business impact depends on informal practices or individual knowledge. Disruption may expose system outage, data unavailability, excessive RTO/RPO and inability to restore critical technology services and slow recovery.</t>
  </si>
  <si>
    <t>Elevated risk: technical debt register linked to resilience, security and business impact is partially controlled, but coverage, evidence or testing is inconsistent. Crisis response may be fragmented.</t>
  </si>
  <si>
    <t>Moderate risk: technical debt register linked to resilience, security and business impact is documented and owned, but measurement, stress testing and integration with dependent processes need strengthening.</t>
  </si>
  <si>
    <t>Residual risk: technical debt register linked to resilience, security and business impact is measured and reviewed, but monitoring, automation or scenario testing should be improved to prevent maturity drift.</t>
  </si>
  <si>
    <t>Low residual risk: technical debt register linked to resilience, security and business impact is mature and crisis-tested. Maintain monitoring, evidence, ownership and periodic stress testing.</t>
  </si>
  <si>
    <t>Create an immediate risk owner, minimum control baseline and fallback procedure for technical debt register linked to resilience, security and business impact. Add it to the crisis risk register and collect first evidence.</t>
  </si>
  <si>
    <t>Document technical debt register linked to resilience, security and business impact, assign RACI, define minimum controls and KPIs, and validate coverage across key sites, teams or systems.</t>
  </si>
  <si>
    <t>Standardize technical debt register linked to resilience, security and business impact, close coverage gaps, train accountable roles and connect controls to the relevant crisis scenarios and continuity plans.</t>
  </si>
  <si>
    <t>Measure and test technical debt register linked to resilience, security and business impact, run tabletop or operational stress tests, integrate it with dependent processes and update crisis playbooks.</t>
  </si>
  <si>
    <t>Sustain maturity for technical debt register linked to resilience, security and business impact: keep evidence current, monitor drift, benchmark externally and refresh risk tests after organizational, system or market changes.</t>
  </si>
  <si>
    <t>IT Cloud DR!10</t>
  </si>
  <si>
    <t>Immature capability for cloud account, subscription or project governance with ownership, billing, IAM, tagging and guardrails may lead to system outage, data unavailability, excessive RTO/RPO and inability to restore critical technology services during IT outage; Cloud outage; Data loss; Cyberattack.</t>
  </si>
  <si>
    <t>Low maturity, weak ownership, incomplete evidence, insufficient testing and poor integration with crisis-management routines for cloud account, subscription or project governance with ownership, billing, IAM, tagging and guardrails.</t>
  </si>
  <si>
    <t>Severe risk: cloud account, subscription or project governance with ownership, billing, IAM, tagging and guardrails is not reliably controlled. During IT outage; Cloud outage; Data loss; Cyberattack, the organization may face system outage, data unavailability, excessive RTO/RPO and inability to restore critical technology services with limited visibility or accountability.</t>
  </si>
  <si>
    <t>High risk: cloud account, subscription or project governance with ownership, billing, IAM, tagging and guardrails depends on informal practices or individual knowledge. Disruption may expose system outage, data unavailability, excessive RTO/RPO and inability to restore critical technology services and slow recovery.</t>
  </si>
  <si>
    <t>Elevated risk: cloud account, subscription or project governance with ownership, billing, IAM, tagging and guardrails is partially controlled, but coverage, evidence or testing is inconsistent. Crisis response may be fragmented.</t>
  </si>
  <si>
    <t>Moderate risk: cloud account, subscription or project governance with ownership, billing, IAM, tagging and guardrails is documented and owned, but measurement, stress testing and integration with dependent processes need strengthening.</t>
  </si>
  <si>
    <t>Residual risk: cloud account, subscription or project governance with ownership, billing, IAM, tagging and guardrails is measured and reviewed, but monitoring, automation or scenario testing should be improved to prevent maturity drift.</t>
  </si>
  <si>
    <t>Low residual risk: cloud account, subscription or project governance with ownership, billing, IAM, tagging and guardrails is mature and crisis-tested. Maintain monitoring, evidence, ownership and periodic stress testing.</t>
  </si>
  <si>
    <t>Create an immediate risk owner, minimum control baseline and fallback procedure for cloud account, subscription or project governance with ownership, billing, IAM, tagging and guardrails. Add it to the crisis risk register and collect first evidence.</t>
  </si>
  <si>
    <t>Document cloud account, subscription or project governance with ownership, billing, IAM, tagging and guardrails, assign RACI, define minimum controls and KPIs, and validate coverage across key sites, teams or systems.</t>
  </si>
  <si>
    <t>Standardize cloud account, subscription or project governance with ownership, billing, IAM, tagging and guardrails, close coverage gaps, train accountable roles and connect controls to the relevant crisis scenarios and continuity plans.</t>
  </si>
  <si>
    <t>Measure and test cloud account, subscription or project governance with ownership, billing, IAM, tagging and guardrails, run tabletop or operational stress tests, integrate it with dependent processes and update crisis playbooks.</t>
  </si>
  <si>
    <t>Sustain maturity for cloud account, subscription or project governance with ownership, billing, IAM, tagging and guardrails: keep evidence current, monitor drift, benchmark externally and refresh risk tests after organizational, system or market changes.</t>
  </si>
  <si>
    <t>IT Cloud DR!11</t>
  </si>
  <si>
    <t>Immature capability for cloud provider, SaaS, region and managed-service concentration risk may lead to system outage, data unavailability, excessive RTO/RPO and inability to restore critical technology services during IT outage; Cloud outage; Data loss; Cyberattack.</t>
  </si>
  <si>
    <t>Low maturity, weak ownership, incomplete evidence, insufficient testing and poor integration with crisis-management routines for cloud provider, SaaS, region and managed-service concentration risk.</t>
  </si>
  <si>
    <t>Severe risk: cloud provider, SaaS, region and managed-service concentration risk is not reliably controlled. During IT outage; Cloud outage; Data loss; Cyberattack, the organization may face system outage, data unavailability, excessive RTO/RPO and inability to restore critical technology services with limited visibility or accountability.</t>
  </si>
  <si>
    <t>High risk: cloud provider, SaaS, region and managed-service concentration risk depends on informal practices or individual knowledge. Disruption may expose system outage, data unavailability, excessive RTO/RPO and inability to restore critical technology services and slow recovery.</t>
  </si>
  <si>
    <t>Elevated risk: cloud provider, SaaS, region and managed-service concentration risk is partially controlled, but coverage, evidence or testing is inconsistent. Crisis response may be fragmented.</t>
  </si>
  <si>
    <t>Moderate risk: cloud provider, SaaS, region and managed-service concentration risk is documented and owned, but measurement, stress testing and integration with dependent processes need strengthening.</t>
  </si>
  <si>
    <t>Residual risk: cloud provider, SaaS, region and managed-service concentration risk is measured and reviewed, but monitoring, automation or scenario testing should be improved to prevent maturity drift.</t>
  </si>
  <si>
    <t>Low residual risk: cloud provider, SaaS, region and managed-service concentration risk is mature and crisis-tested. Maintain monitoring, evidence, ownership and periodic stress testing.</t>
  </si>
  <si>
    <t>Create an immediate risk owner, minimum control baseline and fallback procedure for cloud provider, SaaS, region and managed-service concentration risk. Add it to the crisis risk register and collect first evidence.</t>
  </si>
  <si>
    <t>Document cloud provider, SaaS, region and managed-service concentration risk, assign RACI, define minimum controls and KPIs, and validate coverage across key sites, teams or systems.</t>
  </si>
  <si>
    <t>Standardize cloud provider, SaaS, region and managed-service concentration risk, close coverage gaps, train accountable roles and connect controls to the relevant crisis scenarios and continuity plans.</t>
  </si>
  <si>
    <t>Measure and test cloud provider, SaaS, region and managed-service concentration risk, run tabletop or operational stress tests, integrate it with dependent processes and update crisis playbooks.</t>
  </si>
  <si>
    <t>Sustain maturity for cloud provider, SaaS, region and managed-service concentration risk: keep evidence current, monitor drift, benchmark externally and refresh risk tests after organizational, system or market changes.</t>
  </si>
  <si>
    <t>IT Cloud DR!12</t>
  </si>
  <si>
    <t>Immature capability for multi-region, multi-zone or failover design for critical cloud services where justified may lead to system outage, data unavailability, excessive RTO/RPO and inability to restore critical technology services during IT outage; Cloud outage; Data loss; Cyberattack.</t>
  </si>
  <si>
    <t>Low maturity, weak ownership, incomplete evidence, insufficient testing and poor integration with crisis-management routines for multi-region, multi-zone or failover design for critical cloud services where justified.</t>
  </si>
  <si>
    <t>Severe risk: multi-region, multi-zone or failover design for critical cloud services where justified is not reliably controlled. During IT outage; Cloud outage; Data loss; Cyberattack, the organization may face system outage, data unavailability, excessive RTO/RPO and inability to restore critical technology services with limited visibility or accountability.</t>
  </si>
  <si>
    <t>High risk: multi-region, multi-zone or failover design for critical cloud services where justified depends on informal practices or individual knowledge. Disruption may expose system outage, data unavailability, excessive RTO/RPO and inability to restore critical technology services and slow recovery.</t>
  </si>
  <si>
    <t>Elevated risk: multi-region, multi-zone or failover design for critical cloud services where justified is partially controlled, but coverage, evidence or testing is inconsistent. Crisis response may be fragmented.</t>
  </si>
  <si>
    <t>Moderate risk: multi-region, multi-zone or failover design for critical cloud services where justified is documented and owned, but measurement, stress testing and integration with dependent processes need strengthening.</t>
  </si>
  <si>
    <t>Residual risk: multi-region, multi-zone or failover design for critical cloud services where justified is measured and reviewed, but monitoring, automation or scenario testing should be improved to prevent maturity drift.</t>
  </si>
  <si>
    <t>Low residual risk: multi-region, multi-zone or failover design for critical cloud services where justified is mature and crisis-tested. Maintain monitoring, evidence, ownership and periodic stress testing.</t>
  </si>
  <si>
    <t>Create an immediate risk owner, minimum control baseline and fallback procedure for multi-region, multi-zone or failover design for critical cloud services where justified. Add it to the crisis risk register and collect first evidence.</t>
  </si>
  <si>
    <t>Document multi-region, multi-zone or failover design for critical cloud services where justified, assign RACI, define minimum controls and KPIs, and validate coverage across key sites, teams or systems.</t>
  </si>
  <si>
    <t>Standardize multi-region, multi-zone or failover design for critical cloud services where justified, close coverage gaps, train accountable roles and connect controls to the relevant crisis scenarios and continuity plans.</t>
  </si>
  <si>
    <t>Measure and test multi-region, multi-zone or failover design for critical cloud services where justified, run tabletop or operational stress tests, integrate it with dependent processes and update crisis playbooks.</t>
  </si>
  <si>
    <t>Sustain maturity for multi-region, multi-zone or failover design for critical cloud services where justified: keep evidence current, monitor drift, benchmark externally and refresh risk tests after organizational, system or market changes.</t>
  </si>
  <si>
    <t>IT Cloud DR!13</t>
  </si>
  <si>
    <t>Immature capability for cloud cost monitoring, budgets, alerts, forecasting and FinOps practices may lead to system outage, data unavailability, excessive RTO/RPO and inability to restore critical technology services during IT outage; Cloud outage; Data loss; Cyberattack.</t>
  </si>
  <si>
    <t>Low maturity, weak ownership, incomplete evidence, insufficient testing and poor integration with crisis-management routines for cloud cost monitoring, budgets, alerts, forecasting and FinOps practices.</t>
  </si>
  <si>
    <t>Severe risk: cloud cost monitoring, budgets, alerts, forecasting and FinOps practices is not reliably controlled. During IT outage; Cloud outage; Data loss; Cyberattack, the organization may face system outage, data unavailability, excessive RTO/RPO and inability to restore critical technology services with limited visibility or accountability.</t>
  </si>
  <si>
    <t>High risk: cloud cost monitoring, budgets, alerts, forecasting and FinOps practices depends on informal practices or individual knowledge. Disruption may expose system outage, data unavailability, excessive RTO/RPO and inability to restore critical technology services and slow recovery.</t>
  </si>
  <si>
    <t>Elevated risk: cloud cost monitoring, budgets, alerts, forecasting and FinOps practices is partially controlled, but coverage, evidence or testing is inconsistent. Crisis response may be fragmented.</t>
  </si>
  <si>
    <t>Moderate risk: cloud cost monitoring, budgets, alerts, forecasting and FinOps practices is documented and owned, but measurement, stress testing and integration with dependent processes need strengthening.</t>
  </si>
  <si>
    <t>Residual risk: cloud cost monitoring, budgets, alerts, forecasting and FinOps practices is measured and reviewed, but monitoring, automation or scenario testing should be improved to prevent maturity drift.</t>
  </si>
  <si>
    <t>Low residual risk: cloud cost monitoring, budgets, alerts, forecasting and FinOps practices is mature and crisis-tested. Maintain monitoring, evidence, ownership and periodic stress testing.</t>
  </si>
  <si>
    <t>Create an immediate risk owner, minimum control baseline and fallback procedure for cloud cost monitoring, budgets, alerts, forecasting and FinOps practices. Add it to the crisis risk register and collect first evidence.</t>
  </si>
  <si>
    <t>Document cloud cost monitoring, budgets, alerts, forecasting and FinOps practices, assign RACI, define minimum controls and KPIs, and validate coverage across key sites, teams or systems.</t>
  </si>
  <si>
    <t>Standardize cloud cost monitoring, budgets, alerts, forecasting and FinOps practices, close coverage gaps, train accountable roles and connect controls to the relevant crisis scenarios and continuity plans.</t>
  </si>
  <si>
    <t>Measure and test cloud cost monitoring, budgets, alerts, forecasting and FinOps practices, run tabletop or operational stress tests, integrate it with dependent processes and update crisis playbooks.</t>
  </si>
  <si>
    <t>Sustain maturity for cloud cost monitoring, budgets, alerts, forecasting and FinOps practices: keep evidence current, monitor drift, benchmark externally and refresh risk tests after organizational, system or market changes.</t>
  </si>
  <si>
    <t>IT Cloud DR!14</t>
  </si>
  <si>
    <t>Immature capability for cloud backup and restore of configurations, data, infrastructure-as-code and managed services may lead to system outage, data unavailability, excessive RTO/RPO and inability to restore critical technology services during IT outage; Cloud outage; Data loss; Cyberattack.</t>
  </si>
  <si>
    <t>Low maturity, weak ownership, incomplete evidence, insufficient testing and poor integration with crisis-management routines for cloud backup and restore of configurations, data, infrastructure-as-code and managed services.</t>
  </si>
  <si>
    <t>Severe risk: cloud backup and restore of configurations, data, infrastructure-as-code and managed services is not reliably controlled. During IT outage; Cloud outage; Data loss; Cyberattack, the organization may face system outage, data unavailability, excessive RTO/RPO and inability to restore critical technology services with limited visibility or accountability.</t>
  </si>
  <si>
    <t>High risk: cloud backup and restore of configurations, data, infrastructure-as-code and managed services depends on informal practices or individual knowledge. Disruption may expose system outage, data unavailability, excessive RTO/RPO and inability to restore critical technology services and slow recovery.</t>
  </si>
  <si>
    <t>Elevated risk: cloud backup and restore of configurations, data, infrastructure-as-code and managed services is partially controlled, but coverage, evidence or testing is inconsistent. Crisis response may be fragmented.</t>
  </si>
  <si>
    <t>Moderate risk: cloud backup and restore of configurations, data, infrastructure-as-code and managed services is documented and owned, but measurement, stress testing and integration with dependent processes need strengthening.</t>
  </si>
  <si>
    <t>Residual risk: cloud backup and restore of configurations, data, infrastructure-as-code and managed services is measured and reviewed, but monitoring, automation or scenario testing should be improved to prevent maturity drift.</t>
  </si>
  <si>
    <t>Low residual risk: cloud backup and restore of configurations, data, infrastructure-as-code and managed services is mature and crisis-tested. Maintain monitoring, evidence, ownership and periodic stress testing.</t>
  </si>
  <si>
    <t>Create an immediate risk owner, minimum control baseline and fallback procedure for cloud backup and restore of configurations, data, infrastructure-as-code and managed services. Add it to the crisis risk register and collect first evidence.</t>
  </si>
  <si>
    <t>Document cloud backup and restore of configurations, data, infrastructure-as-code and managed services, assign RACI, define minimum controls and KPIs, and validate coverage across key sites, teams or systems.</t>
  </si>
  <si>
    <t>Standardize cloud backup and restore of configurations, data, infrastructure-as-code and managed services, close coverage gaps, train accountable roles and connect controls to the relevant crisis scenarios and continuity plans.</t>
  </si>
  <si>
    <t>Measure and test cloud backup and restore of configurations, data, infrastructure-as-code and managed services, run tabletop or operational stress tests, integrate it with dependent processes and update crisis playbooks.</t>
  </si>
  <si>
    <t>Sustain maturity for cloud backup and restore of configurations, data, infrastructure-as-code and managed services: keep evidence current, monitor drift, benchmark externally and refresh risk tests after organizational, system or market changes.</t>
  </si>
  <si>
    <t>IT Cloud DR!15</t>
  </si>
  <si>
    <t>Immature capability for backup coverage for systems, databases, files, SaaS data, configurations and cloud resources may lead to system outage, data unavailability, excessive RTO/RPO and inability to restore critical technology services during IT outage; Cloud outage; Data loss; Cyberattack.</t>
  </si>
  <si>
    <t>Low maturity, weak ownership, incomplete evidence, insufficient testing and poor integration with crisis-management routines for backup coverage for systems, databases, files, SaaS data, configurations and cloud resources.</t>
  </si>
  <si>
    <t>Severe risk: backup coverage for systems, databases, files, SaaS data, configurations and cloud resources is not reliably controlled. During IT outage; Cloud outage; Data loss; Cyberattack, the organization may face system outage, data unavailability, excessive RTO/RPO and inability to restore critical technology services with limited visibility or accountability.</t>
  </si>
  <si>
    <t>High risk: backup coverage for systems, databases, files, SaaS data, configurations and cloud resources depends on informal practices or individual knowledge. Disruption may expose system outage, data unavailability, excessive RTO/RPO and inability to restore critical technology services and slow recovery.</t>
  </si>
  <si>
    <t>Elevated risk: backup coverage for systems, databases, files, SaaS data, configurations and cloud resources is partially controlled, but coverage, evidence or testing is inconsistent. Crisis response may be fragmented.</t>
  </si>
  <si>
    <t>Moderate risk: backup coverage for systems, databases, files, SaaS data, configurations and cloud resources is documented and owned, but measurement, stress testing and integration with dependent processes need strengthening.</t>
  </si>
  <si>
    <t>Residual risk: backup coverage for systems, databases, files, SaaS data, configurations and cloud resources is measured and reviewed, but monitoring, automation or scenario testing should be improved to prevent maturity drift.</t>
  </si>
  <si>
    <t>Low residual risk: backup coverage for systems, databases, files, SaaS data, configurations and cloud resources is mature and crisis-tested. Maintain monitoring, evidence, ownership and periodic stress testing.</t>
  </si>
  <si>
    <t>Create an immediate risk owner, minimum control baseline and fallback procedure for backup coverage for systems, databases, files, SaaS data, configurations and cloud resources. Add it to the crisis risk register and collect first evidence.</t>
  </si>
  <si>
    <t>Document backup coverage for systems, databases, files, SaaS data, configurations and cloud resources, assign RACI, define minimum controls and KPIs, and validate coverage across key sites, teams or systems.</t>
  </si>
  <si>
    <t>Standardize backup coverage for systems, databases, files, SaaS data, configurations and cloud resources, close coverage gaps, train accountable roles and connect controls to the relevant crisis scenarios and continuity plans.</t>
  </si>
  <si>
    <t>Measure and test backup coverage for systems, databases, files, SaaS data, configurations and cloud resources, run tabletop or operational stress tests, integrate it with dependent processes and update crisis playbooks.</t>
  </si>
  <si>
    <t>Sustain maturity for backup coverage for systems, databases, files, SaaS data, configurations and cloud resources: keep evidence current, monitor drift, benchmark externally and refresh risk tests after organizational, system or market changes.</t>
  </si>
  <si>
    <t>IT Cloud DR!16</t>
  </si>
  <si>
    <t>Immature capability for regular restore testing against defined RTO and RPO may lead to system outage, data unavailability, excessive RTO/RPO and inability to restore critical technology services during IT outage; Cloud outage; Data loss; Cyberattack.</t>
  </si>
  <si>
    <t>Low maturity, weak ownership, incomplete evidence, insufficient testing and poor integration with crisis-management routines for regular restore testing against defined RTO and RPO.</t>
  </si>
  <si>
    <t>Severe risk: regular restore testing against defined RTO and RPO is not reliably controlled. During IT outage; Cloud outage; Data loss; Cyberattack, the organization may face system outage, data unavailability, excessive RTO/RPO and inability to restore critical technology services with limited visibility or accountability.</t>
  </si>
  <si>
    <t>High risk: regular restore testing against defined RTO and RPO depends on informal practices or individual knowledge. Disruption may expose system outage, data unavailability, excessive RTO/RPO and inability to restore critical technology services and slow recovery.</t>
  </si>
  <si>
    <t>Elevated risk: regular restore testing against defined RTO and RPO is partially controlled, but coverage, evidence or testing is inconsistent. Crisis response may be fragmented.</t>
  </si>
  <si>
    <t>Moderate risk: regular restore testing against defined RTO and RPO is documented and owned, but measurement, stress testing and integration with dependent processes need strengthening.</t>
  </si>
  <si>
    <t>Residual risk: regular restore testing against defined RTO and RPO is measured and reviewed, but monitoring, automation or scenario testing should be improved to prevent maturity drift.</t>
  </si>
  <si>
    <t>Low residual risk: regular restore testing against defined RTO and RPO is mature and crisis-tested. Maintain monitoring, evidence, ownership and periodic stress testing.</t>
  </si>
  <si>
    <t>Create an immediate risk owner, minimum control baseline and fallback procedure for regular restore testing against defined RTO and RPO. Add it to the crisis risk register and collect first evidence.</t>
  </si>
  <si>
    <t>Document regular restore testing against defined RTO and RPO, assign RACI, define minimum controls and KPIs, and validate coverage across key sites, teams or systems.</t>
  </si>
  <si>
    <t>Standardize regular restore testing against defined RTO and RPO, close coverage gaps, train accountable roles and connect controls to the relevant crisis scenarios and continuity plans.</t>
  </si>
  <si>
    <t>Measure and test regular restore testing against defined RTO and RPO, run tabletop or operational stress tests, integrate it with dependent processes and update crisis playbooks.</t>
  </si>
  <si>
    <t>Sustain maturity for regular restore testing against defined RTO and RPO: keep evidence current, monitor drift, benchmark externally and refresh risk tests after organizational, system or market changes.</t>
  </si>
  <si>
    <t>IT Cloud DR!17</t>
  </si>
  <si>
    <t>Immature capability for DR runbooks for critical systems with owners, dependencies and communication rules may lead to system outage, data unavailability, excessive RTO/RPO and inability to restore critical technology services during IT outage; Cloud outage; Data loss; Cyberattack.</t>
  </si>
  <si>
    <t>Low maturity, weak ownership, incomplete evidence, insufficient testing and poor integration with crisis-management routines for DR runbooks for critical systems with owners, dependencies and communication rules.</t>
  </si>
  <si>
    <t>Severe risk: DR runbooks for critical systems with owners, dependencies and communication rules is not reliably controlled. During IT outage; Cloud outage; Data loss; Cyberattack, the organization may face system outage, data unavailability, excessive RTO/RPO and inability to restore critical technology services with limited visibility or accountability.</t>
  </si>
  <si>
    <t>High risk: DR runbooks for critical systems with owners, dependencies and communication rules depends on informal practices or individual knowledge. Disruption may expose system outage, data unavailability, excessive RTO/RPO and inability to restore critical technology services and slow recovery.</t>
  </si>
  <si>
    <t>Elevated risk: DR runbooks for critical systems with owners, dependencies and communication rules is partially controlled, but coverage, evidence or testing is inconsistent. Crisis response may be fragmented.</t>
  </si>
  <si>
    <t>Moderate risk: DR runbooks for critical systems with owners, dependencies and communication rules is documented and owned, but measurement, stress testing and integration with dependent processes need strengthening.</t>
  </si>
  <si>
    <t>Residual risk: DR runbooks for critical systems with owners, dependencies and communication rules is measured and reviewed, but monitoring, automation or scenario testing should be improved to prevent maturity drift.</t>
  </si>
  <si>
    <t>Low residual risk: DR runbooks for critical systems with owners, dependencies and communication rules is mature and crisis-tested. Maintain monitoring, evidence, ownership and periodic stress testing.</t>
  </si>
  <si>
    <t>Create an immediate risk owner, minimum control baseline and fallback procedure for DR runbooks for critical systems with owners, dependencies and communication rules. Add it to the crisis risk register and collect first evidence.</t>
  </si>
  <si>
    <t>Document DR runbooks for critical systems with owners, dependencies and communication rules, assign RACI, define minimum controls and KPIs, and validate coverage across key sites, teams or systems.</t>
  </si>
  <si>
    <t>Standardize DR runbooks for critical systems with owners, dependencies and communication rules, close coverage gaps, train accountable roles and connect controls to the relevant crisis scenarios and continuity plans.</t>
  </si>
  <si>
    <t>Measure and test DR runbooks for critical systems with owners, dependencies and communication rules, run tabletop or operational stress tests, integrate it with dependent processes and update crisis playbooks.</t>
  </si>
  <si>
    <t>Sustain maturity for DR runbooks for critical systems with owners, dependencies and communication rules: keep evidence current, monitor drift, benchmark externally and refresh risk tests after organizational, system or market changes.</t>
  </si>
  <si>
    <t>IT Cloud DR!18</t>
  </si>
  <si>
    <t>Immature capability for DR exercises for ransomware, cloud region failure, identity outage and data corruption may lead to system outage, data unavailability, excessive RTO/RPO and inability to restore critical technology services during IT outage; Cloud outage; Data loss; Cyberattack.</t>
  </si>
  <si>
    <t>Low maturity, weak ownership, incomplete evidence, insufficient testing and poor integration with crisis-management routines for DR exercises for ransomware, cloud region failure, identity outage and data corruption.</t>
  </si>
  <si>
    <t>Severe risk: DR exercises for ransomware, cloud region failure, identity outage and data corruption is not reliably controlled. During IT outage; Cloud outage; Data loss; Cyberattack, the organization may face system outage, data unavailability, excessive RTO/RPO and inability to restore critical technology services with limited visibility or accountability.</t>
  </si>
  <si>
    <t>High risk: DR exercises for ransomware, cloud region failure, identity outage and data corruption depends on informal practices or individual knowledge. Disruption may expose system outage, data unavailability, excessive RTO/RPO and inability to restore critical technology services and slow recovery.</t>
  </si>
  <si>
    <t>Elevated risk: DR exercises for ransomware, cloud region failure, identity outage and data corruption is partially controlled, but coverage, evidence or testing is inconsistent. Crisis response may be fragmented.</t>
  </si>
  <si>
    <t>Moderate risk: DR exercises for ransomware, cloud region failure, identity outage and data corruption is documented and owned, but measurement, stress testing and integration with dependent processes need strengthening.</t>
  </si>
  <si>
    <t>Residual risk: DR exercises for ransomware, cloud region failure, identity outage and data corruption is measured and reviewed, but monitoring, automation or scenario testing should be improved to prevent maturity drift.</t>
  </si>
  <si>
    <t>Low residual risk: DR exercises for ransomware, cloud region failure, identity outage and data corruption is mature and crisis-tested. Maintain monitoring, evidence, ownership and periodic stress testing.</t>
  </si>
  <si>
    <t>Create an immediate risk owner, minimum control baseline and fallback procedure for DR exercises for ransomware, cloud region failure, identity outage and data corruption. Add it to the crisis risk register and collect first evidence.</t>
  </si>
  <si>
    <t>Document DR exercises for ransomware, cloud region failure, identity outage and data corruption, assign RACI, define minimum controls and KPIs, and validate coverage across key sites, teams or systems.</t>
  </si>
  <si>
    <t>Standardize DR exercises for ransomware, cloud region failure, identity outage and data corruption, close coverage gaps, train accountable roles and connect controls to the relevant crisis scenarios and continuity plans.</t>
  </si>
  <si>
    <t>Measure and test DR exercises for ransomware, cloud region failure, identity outage and data corruption, run tabletop or operational stress tests, integrate it with dependent processes and update crisis playbooks.</t>
  </si>
  <si>
    <t>Sustain maturity for DR exercises for ransomware, cloud region failure, identity outage and data corruption: keep evidence current, monitor drift, benchmark externally and refresh risk tests after organizational, system or market changes.</t>
  </si>
  <si>
    <t>IT Cloud DR!19</t>
  </si>
  <si>
    <t>Immature capability for manual fallback for critical IT-dependent business processes may lead to system outage, data unavailability, excessive RTO/RPO and inability to restore critical technology services during IT outage; Cloud outage; Data loss; Cyberattack.</t>
  </si>
  <si>
    <t>Low maturity, weak ownership, incomplete evidence, insufficient testing and poor integration with crisis-management routines for manual fallback for critical IT-dependent business processes.</t>
  </si>
  <si>
    <t>Severe risk: manual fallback for critical IT-dependent business processes is not reliably controlled. During IT outage; Cloud outage; Data loss; Cyberattack, the organization may face system outage, data unavailability, excessive RTO/RPO and inability to restore critical technology services with limited visibility or accountability.</t>
  </si>
  <si>
    <t>High risk: manual fallback for critical IT-dependent business processes depends on informal practices or individual knowledge. Disruption may expose system outage, data unavailability, excessive RTO/RPO and inability to restore critical technology services and slow recovery.</t>
  </si>
  <si>
    <t>Elevated risk: manual fallback for critical IT-dependent business processes is partially controlled, but coverage, evidence or testing is inconsistent. Crisis response may be fragmented.</t>
  </si>
  <si>
    <t>Moderate risk: manual fallback for critical IT-dependent business processes is documented and owned, but measurement, stress testing and integration with dependent processes need strengthening.</t>
  </si>
  <si>
    <t>Residual risk: manual fallback for critical IT-dependent business processes is measured and reviewed, but monitoring, automation or scenario testing should be improved to prevent maturity drift.</t>
  </si>
  <si>
    <t>Low residual risk: manual fallback for critical IT-dependent business processes is mature and crisis-tested. Maintain monitoring, evidence, ownership and periodic stress testing.</t>
  </si>
  <si>
    <t>Create an immediate risk owner, minimum control baseline and fallback procedure for manual fallback for critical IT-dependent business processes. Add it to the crisis risk register and collect first evidence.</t>
  </si>
  <si>
    <t>Document manual fallback for critical IT-dependent business processes, assign RACI, define minimum controls and KPIs, and validate coverage across key sites, teams or systems.</t>
  </si>
  <si>
    <t>Standardize manual fallback for critical IT-dependent business processes, close coverage gaps, train accountable roles and connect controls to the relevant crisis scenarios and continuity plans.</t>
  </si>
  <si>
    <t>Measure and test manual fallback for critical IT-dependent business processes, run tabletop or operational stress tests, integrate it with dependent processes and update crisis playbooks.</t>
  </si>
  <si>
    <t>Sustain maturity for manual fallback for critical IT-dependent business processes: keep evidence current, monitor drift, benchmark externally and refresh risk tests after organizational, system or market changes.</t>
  </si>
  <si>
    <t>IT Cloud DR!20</t>
  </si>
  <si>
    <t>Immature capability for on-call coverage, escalation and vendor support for critical systems may lead to system outage, data unavailability, excessive RTO/RPO and inability to restore critical technology services during IT outage; Cloud outage; Data loss; Cyberattack.</t>
  </si>
  <si>
    <t>Low maturity, weak ownership, incomplete evidence, insufficient testing and poor integration with crisis-management routines for on-call coverage, escalation and vendor support for critical systems.</t>
  </si>
  <si>
    <t>Severe risk: on-call coverage, escalation and vendor support for critical systems is not reliably controlled. During IT outage; Cloud outage; Data loss; Cyberattack, the organization may face system outage, data unavailability, excessive RTO/RPO and inability to restore critical technology services with limited visibility or accountability.</t>
  </si>
  <si>
    <t>High risk: on-call coverage, escalation and vendor support for critical systems depends on informal practices or individual knowledge. Disruption may expose system outage, data unavailability, excessive RTO/RPO and inability to restore critical technology services and slow recovery.</t>
  </si>
  <si>
    <t>Elevated risk: on-call coverage, escalation and vendor support for critical systems is partially controlled, but coverage, evidence or testing is inconsistent. Crisis response may be fragmented.</t>
  </si>
  <si>
    <t>Moderate risk: on-call coverage, escalation and vendor support for critical systems is documented and owned, but measurement, stress testing and integration with dependent processes need strengthening.</t>
  </si>
  <si>
    <t>Residual risk: on-call coverage, escalation and vendor support for critical systems is measured and reviewed, but monitoring, automation or scenario testing should be improved to prevent maturity drift.</t>
  </si>
  <si>
    <t>Low residual risk: on-call coverage, escalation and vendor support for critical systems is mature and crisis-tested. Maintain monitoring, evidence, ownership and periodic stress testing.</t>
  </si>
  <si>
    <t>Create an immediate risk owner, minimum control baseline and fallback procedure for on-call coverage, escalation and vendor support for critical systems. Add it to the crisis risk register and collect first evidence.</t>
  </si>
  <si>
    <t>Document on-call coverage, escalation and vendor support for critical systems, assign RACI, define minimum controls and KPIs, and validate coverage across key sites, teams or systems.</t>
  </si>
  <si>
    <t>Standardize on-call coverage, escalation and vendor support for critical systems, close coverage gaps, train accountable roles and connect controls to the relevant crisis scenarios and continuity plans.</t>
  </si>
  <si>
    <t>Measure and test on-call coverage, escalation and vendor support for critical systems, run tabletop or operational stress tests, integrate it with dependent processes and update crisis playbooks.</t>
  </si>
  <si>
    <t>Sustain maturity for on-call coverage, escalation and vendor support for critical systems: keep evidence current, monitor drift, benchmark externally and refresh risk tests after organizational, system or market changes.</t>
  </si>
  <si>
    <t>IT Cloud DR!21</t>
  </si>
  <si>
    <t>Immature capability for IT service management for incidents, requests, problems, changes and assets may lead to system outage, data unavailability, excessive RTO/RPO and inability to restore critical technology services during IT outage; Cloud outage; Data loss; Cyberattack.</t>
  </si>
  <si>
    <t>Low maturity, weak ownership, incomplete evidence, insufficient testing and poor integration with crisis-management routines for IT service management for incidents, requests, problems, changes and assets.</t>
  </si>
  <si>
    <t>Severe risk: IT service management for incidents, requests, problems, changes and assets is not reliably controlled. During IT outage; Cloud outage; Data loss; Cyberattack, the organization may face system outage, data unavailability, excessive RTO/RPO and inability to restore critical technology services with limited visibility or accountability.</t>
  </si>
  <si>
    <t>High risk: IT service management for incidents, requests, problems, changes and assets depends on informal practices or individual knowledge. Disruption may expose system outage, data unavailability, excessive RTO/RPO and inability to restore critical technology services and slow recovery.</t>
  </si>
  <si>
    <t>Elevated risk: IT service management for incidents, requests, problems, changes and assets is partially controlled, but coverage, evidence or testing is inconsistent. Crisis response may be fragmented.</t>
  </si>
  <si>
    <t>Moderate risk: IT service management for incidents, requests, problems, changes and assets is documented and owned, but measurement, stress testing and integration with dependent processes need strengthening.</t>
  </si>
  <si>
    <t>Residual risk: IT service management for incidents, requests, problems, changes and assets is measured and reviewed, but monitoring, automation or scenario testing should be improved to prevent maturity drift.</t>
  </si>
  <si>
    <t>Low residual risk: IT service management for incidents, requests, problems, changes and assets is mature and crisis-tested. Maintain monitoring, evidence, ownership and periodic stress testing.</t>
  </si>
  <si>
    <t>Create an immediate risk owner, minimum control baseline and fallback procedure for IT service management for incidents, requests, problems, changes and assets. Add it to the crisis risk register and collect first evidence.</t>
  </si>
  <si>
    <t>Document IT service management for incidents, requests, problems, changes and assets, assign RACI, define minimum controls and KPIs, and validate coverage across key sites, teams or systems.</t>
  </si>
  <si>
    <t>Standardize IT service management for incidents, requests, problems, changes and assets, close coverage gaps, train accountable roles and connect controls to the relevant crisis scenarios and continuity plans.</t>
  </si>
  <si>
    <t>Measure and test IT service management for incidents, requests, problems, changes and assets, run tabletop or operational stress tests, integrate it with dependent processes and update crisis playbooks.</t>
  </si>
  <si>
    <t>Sustain maturity for IT service management for incidents, requests, problems, changes and assets: keep evidence current, monitor drift, benchmark externally and refresh risk tests after organizational, system or market changes.</t>
  </si>
  <si>
    <t>IT Cloud DR!22</t>
  </si>
  <si>
    <t>Immature capability for monitoring and alerting for availability, performance, capacity, security and user impact may lead to system outage, data unavailability, excessive RTO/RPO and inability to restore critical technology services during IT outage; Cloud outage; Data loss; Cyberattack.</t>
  </si>
  <si>
    <t>Low maturity, weak ownership, incomplete evidence, insufficient testing and poor integration with crisis-management routines for monitoring and alerting for availability, performance, capacity, security and user impact.</t>
  </si>
  <si>
    <t>Severe risk: monitoring and alerting for availability, performance, capacity, security and user impact is not reliably controlled. During IT outage; Cloud outage; Data loss; Cyberattack, the organization may face system outage, data unavailability, excessive RTO/RPO and inability to restore critical technology services with limited visibility or accountability.</t>
  </si>
  <si>
    <t>High risk: monitoring and alerting for availability, performance, capacity, security and user impact depends on informal practices or individual knowledge. Disruption may expose system outage, data unavailability, excessive RTO/RPO and inability to restore critical technology services and slow recovery.</t>
  </si>
  <si>
    <t>Elevated risk: monitoring and alerting for availability, performance, capacity, security and user impact is partially controlled, but coverage, evidence or testing is inconsistent. Crisis response may be fragmented.</t>
  </si>
  <si>
    <t>Moderate risk: monitoring and alerting for availability, performance, capacity, security and user impact is documented and owned, but measurement, stress testing and integration with dependent processes need strengthening.</t>
  </si>
  <si>
    <t>Residual risk: monitoring and alerting for availability, performance, capacity, security and user impact is measured and reviewed, but monitoring, automation or scenario testing should be improved to prevent maturity drift.</t>
  </si>
  <si>
    <t>Low residual risk: monitoring and alerting for availability, performance, capacity, security and user impact is mature and crisis-tested. Maintain monitoring, evidence, ownership and periodic stress testing.</t>
  </si>
  <si>
    <t>Create an immediate risk owner, minimum control baseline and fallback procedure for monitoring and alerting for availability, performance, capacity, security and user impact. Add it to the crisis risk register and collect first evidence.</t>
  </si>
  <si>
    <t>Document monitoring and alerting for availability, performance, capacity, security and user impact, assign RACI, define minimum controls and KPIs, and validate coverage across key sites, teams or systems.</t>
  </si>
  <si>
    <t>Standardize monitoring and alerting for availability, performance, capacity, security and user impact, close coverage gaps, train accountable roles and connect controls to the relevant crisis scenarios and continuity plans.</t>
  </si>
  <si>
    <t>Measure and test monitoring and alerting for availability, performance, capacity, security and user impact, run tabletop or operational stress tests, integrate it with dependent processes and update crisis playbooks.</t>
  </si>
  <si>
    <t>Sustain maturity for monitoring and alerting for availability, performance, capacity, security and user impact: keep evidence current, monitor drift, benchmark externally and refresh risk tests after organizational, system or market changes.</t>
  </si>
  <si>
    <t>IT Cloud DR!23</t>
  </si>
  <si>
    <t>Immature capability for network resilience for internet, DNS, firewalls, VPN/ZTNA, routing and telecom may lead to system outage, data unavailability, excessive RTO/RPO and inability to restore critical technology services during IT outage; Cloud outage; Data loss; Cyberattack.</t>
  </si>
  <si>
    <t>Low maturity, weak ownership, incomplete evidence, insufficient testing and poor integration with crisis-management routines for network resilience for internet, DNS, firewalls, VPN/ZTNA, routing and telecom.</t>
  </si>
  <si>
    <t>Severe risk: network resilience for internet, DNS, firewalls, VPN/ZTNA, routing and telecom is not reliably controlled. During IT outage; Cloud outage; Data loss; Cyberattack, the organization may face system outage, data unavailability, excessive RTO/RPO and inability to restore critical technology services with limited visibility or accountability.</t>
  </si>
  <si>
    <t>High risk: network resilience for internet, DNS, firewalls, VPN/ZTNA, routing and telecom depends on informal practices or individual knowledge. Disruption may expose system outage, data unavailability, excessive RTO/RPO and inability to restore critical technology services and slow recovery.</t>
  </si>
  <si>
    <t>Elevated risk: network resilience for internet, DNS, firewalls, VPN/ZTNA, routing and telecom is partially controlled, but coverage, evidence or testing is inconsistent. Crisis response may be fragmented.</t>
  </si>
  <si>
    <t>Moderate risk: network resilience for internet, DNS, firewalls, VPN/ZTNA, routing and telecom is documented and owned, but measurement, stress testing and integration with dependent processes need strengthening.</t>
  </si>
  <si>
    <t>Residual risk: network resilience for internet, DNS, firewalls, VPN/ZTNA, routing and telecom is measured and reviewed, but monitoring, automation or scenario testing should be improved to prevent maturity drift.</t>
  </si>
  <si>
    <t>Low residual risk: network resilience for internet, DNS, firewalls, VPN/ZTNA, routing and telecom is mature and crisis-tested. Maintain monitoring, evidence, ownership and periodic stress testing.</t>
  </si>
  <si>
    <t>Create an immediate risk owner, minimum control baseline and fallback procedure for network resilience for internet, DNS, firewalls, VPN/ZTNA, routing and telecom. Add it to the crisis risk register and collect first evidence.</t>
  </si>
  <si>
    <t>Document network resilience for internet, DNS, firewalls, VPN/ZTNA, routing and telecom, assign RACI, define minimum controls and KPIs, and validate coverage across key sites, teams or systems.</t>
  </si>
  <si>
    <t>Standardize network resilience for internet, DNS, firewalls, VPN/ZTNA, routing and telecom, close coverage gaps, train accountable roles and connect controls to the relevant crisis scenarios and continuity plans.</t>
  </si>
  <si>
    <t>Measure and test network resilience for internet, DNS, firewalls, VPN/ZTNA, routing and telecom, run tabletop or operational stress tests, integrate it with dependent processes and update crisis playbooks.</t>
  </si>
  <si>
    <t>Sustain maturity for network resilience for internet, DNS, firewalls, VPN/ZTNA, routing and telecom: keep evidence current, monitor drift, benchmark externally and refresh risk tests after organizational, system or market changes.</t>
  </si>
  <si>
    <t>IT Cloud DR!24</t>
  </si>
  <si>
    <t>Immature capability for secure remote access for critical users during remote-only operations may lead to system outage, data unavailability, excessive RTO/RPO and inability to restore critical technology services during IT outage; Cloud outage; Data loss; Cyberattack.</t>
  </si>
  <si>
    <t>Low maturity, weak ownership, incomplete evidence, insufficient testing and poor integration with crisis-management routines for secure remote access for critical users during remote-only operations.</t>
  </si>
  <si>
    <t>Severe risk: secure remote access for critical users during remote-only operations is not reliably controlled. During IT outage; Cloud outage; Data loss; Cyberattack, the organization may face system outage, data unavailability, excessive RTO/RPO and inability to restore critical technology services with limited visibility or accountability.</t>
  </si>
  <si>
    <t>High risk: secure remote access for critical users during remote-only operations depends on informal practices or individual knowledge. Disruption may expose system outage, data unavailability, excessive RTO/RPO and inability to restore critical technology services and slow recovery.</t>
  </si>
  <si>
    <t>Elevated risk: secure remote access for critical users during remote-only operations is partially controlled, but coverage, evidence or testing is inconsistent. Crisis response may be fragmented.</t>
  </si>
  <si>
    <t>Moderate risk: secure remote access for critical users during remote-only operations is documented and owned, but measurement, stress testing and integration with dependent processes need strengthening.</t>
  </si>
  <si>
    <t>Residual risk: secure remote access for critical users during remote-only operations is measured and reviewed, but monitoring, automation or scenario testing should be improved to prevent maturity drift.</t>
  </si>
  <si>
    <t>Low residual risk: secure remote access for critical users during remote-only operations is mature and crisis-tested. Maintain monitoring, evidence, ownership and periodic stress testing.</t>
  </si>
  <si>
    <t>Create an immediate risk owner, minimum control baseline and fallback procedure for secure remote access for critical users during remote-only operations. Add it to the crisis risk register and collect first evidence.</t>
  </si>
  <si>
    <t>Document secure remote access for critical users during remote-only operations, assign RACI, define minimum controls and KPIs, and validate coverage across key sites, teams or systems.</t>
  </si>
  <si>
    <t>Standardize secure remote access for critical users during remote-only operations, close coverage gaps, train accountable roles and connect controls to the relevant crisis scenarios and continuity plans.</t>
  </si>
  <si>
    <t>Measure and test secure remote access for critical users during remote-only operations, run tabletop or operational stress tests, integrate it with dependent processes and update crisis playbooks.</t>
  </si>
  <si>
    <t>Sustain maturity for secure remote access for critical users during remote-only operations: keep evidence current, monitor drift, benchmark externally and refresh risk tests after organizational, system or market changes.</t>
  </si>
  <si>
    <t>IT Cloud DR!25</t>
  </si>
  <si>
    <t>Immature capability for endpoint inventory, patching, encryption, backup and remote management may lead to system outage, data unavailability, excessive RTO/RPO and inability to restore critical technology services during IT outage; Cloud outage; Data loss; Cyberattack.</t>
  </si>
  <si>
    <t>Low maturity, weak ownership, incomplete evidence, insufficient testing and poor integration with crisis-management routines for endpoint inventory, patching, encryption, backup and remote management.</t>
  </si>
  <si>
    <t>Severe risk: endpoint inventory, patching, encryption, backup and remote management is not reliably controlled. During IT outage; Cloud outage; Data loss; Cyberattack, the organization may face system outage, data unavailability, excessive RTO/RPO and inability to restore critical technology services with limited visibility or accountability.</t>
  </si>
  <si>
    <t>High risk: endpoint inventory, patching, encryption, backup and remote management depends on informal practices or individual knowledge. Disruption may expose system outage, data unavailability, excessive RTO/RPO and inability to restore critical technology services and slow recovery.</t>
  </si>
  <si>
    <t>Elevated risk: endpoint inventory, patching, encryption, backup and remote management is partially controlled, but coverage, evidence or testing is inconsistent. Crisis response may be fragmented.</t>
  </si>
  <si>
    <t>Moderate risk: endpoint inventory, patching, encryption, backup and remote management is documented and owned, but measurement, stress testing and integration with dependent processes need strengthening.</t>
  </si>
  <si>
    <t>Residual risk: endpoint inventory, patching, encryption, backup and remote management is measured and reviewed, but monitoring, automation or scenario testing should be improved to prevent maturity drift.</t>
  </si>
  <si>
    <t>Low residual risk: endpoint inventory, patching, encryption, backup and remote management is mature and crisis-tested. Maintain monitoring, evidence, ownership and periodic stress testing.</t>
  </si>
  <si>
    <t>Create an immediate risk owner, minimum control baseline and fallback procedure for endpoint inventory, patching, encryption, backup and remote management. Add it to the crisis risk register and collect first evidence.</t>
  </si>
  <si>
    <t>Document endpoint inventory, patching, encryption, backup and remote management, assign RACI, define minimum controls and KPIs, and validate coverage across key sites, teams or systems.</t>
  </si>
  <si>
    <t>Standardize endpoint inventory, patching, encryption, backup and remote management, close coverage gaps, train accountable roles and connect controls to the relevant crisis scenarios and continuity plans.</t>
  </si>
  <si>
    <t>Measure and test endpoint inventory, patching, encryption, backup and remote management, run tabletop or operational stress tests, integrate it with dependent processes and update crisis playbooks.</t>
  </si>
  <si>
    <t>Sustain maturity for endpoint inventory, patching, encryption, backup and remote management: keep evidence current, monitor drift, benchmark externally and refresh risk tests after organizational, system or market changes.</t>
  </si>
  <si>
    <t>IT Cloud DR!26</t>
  </si>
  <si>
    <t>Immature capability for license continuity for software, cloud services and critical SaaS tools may lead to system outage, data unavailability, excessive RTO/RPO and inability to restore critical technology services during IT outage; Cloud outage; Data loss; Cyberattack.</t>
  </si>
  <si>
    <t>Low maturity, weak ownership, incomplete evidence, insufficient testing and poor integration with crisis-management routines for license continuity for software, cloud services and critical SaaS tools.</t>
  </si>
  <si>
    <t>Severe risk: license continuity for software, cloud services and critical SaaS tools is not reliably controlled. During IT outage; Cloud outage; Data loss; Cyberattack, the organization may face system outage, data unavailability, excessive RTO/RPO and inability to restore critical technology services with limited visibility or accountability.</t>
  </si>
  <si>
    <t>High risk: license continuity for software, cloud services and critical SaaS tools depends on informal practices or individual knowledge. Disruption may expose system outage, data unavailability, excessive RTO/RPO and inability to restore critical technology services and slow recovery.</t>
  </si>
  <si>
    <t>Elevated risk: license continuity for software, cloud services and critical SaaS tools is partially controlled, but coverage, evidence or testing is inconsistent. Crisis response may be fragmented.</t>
  </si>
  <si>
    <t>Moderate risk: license continuity for software, cloud services and critical SaaS tools is documented and owned, but measurement, stress testing and integration with dependent processes need strengthening.</t>
  </si>
  <si>
    <t>Residual risk: license continuity for software, cloud services and critical SaaS tools is measured and reviewed, but monitoring, automation or scenario testing should be improved to prevent maturity drift.</t>
  </si>
  <si>
    <t>Low residual risk: license continuity for software, cloud services and critical SaaS tools is mature and crisis-tested. Maintain monitoring, evidence, ownership and periodic stress testing.</t>
  </si>
  <si>
    <t>Create an immediate risk owner, minimum control baseline and fallback procedure for license continuity for software, cloud services and critical SaaS tools. Add it to the crisis risk register and collect first evidence.</t>
  </si>
  <si>
    <t>Document license continuity for software, cloud services and critical SaaS tools, assign RACI, define minimum controls and KPIs, and validate coverage across key sites, teams or systems.</t>
  </si>
  <si>
    <t>Standardize license continuity for software, cloud services and critical SaaS tools, close coverage gaps, train accountable roles and connect controls to the relevant crisis scenarios and continuity plans.</t>
  </si>
  <si>
    <t>Measure and test license continuity for software, cloud services and critical SaaS tools, run tabletop or operational stress tests, integrate it with dependent processes and update crisis playbooks.</t>
  </si>
  <si>
    <t>Sustain maturity for license continuity for software, cloud services and critical SaaS tools: keep evidence current, monitor drift, benchmark externally and refresh risk tests after organizational, system or market changes.</t>
  </si>
  <si>
    <t>IT Cloud DR!27</t>
  </si>
  <si>
    <t>Immature capability for critical SaaS assessment for availability, export, backup, admin access, integrations and contract continuity may lead to system outage, data unavailability, excessive RTO/RPO and inability to restore critical technology services during IT outage; Cloud outage; Data loss; Cyberattack.</t>
  </si>
  <si>
    <t>Low maturity, weak ownership, incomplete evidence, insufficient testing and poor integration with crisis-management routines for critical SaaS assessment for availability, export, backup, admin access, integrations and contract continuity.</t>
  </si>
  <si>
    <t>Severe risk: critical SaaS assessment for availability, export, backup, admin access, integrations and contract continuity is not reliably controlled. During IT outage; Cloud outage; Data loss; Cyberattack, the organization may face system outage, data unavailability, excessive RTO/RPO and inability to restore critical technology services with limited visibility or accountability.</t>
  </si>
  <si>
    <t>High risk: critical SaaS assessment for availability, export, backup, admin access, integrations and contract continuity depends on informal practices or individual knowledge. Disruption may expose system outage, data unavailability, excessive RTO/RPO and inability to restore critical technology services and slow recovery.</t>
  </si>
  <si>
    <t>Elevated risk: critical SaaS assessment for availability, export, backup, admin access, integrations and contract continuity is partially controlled, but coverage, evidence or testing is inconsistent. Crisis response may be fragmented.</t>
  </si>
  <si>
    <t>Moderate risk: critical SaaS assessment for availability, export, backup, admin access, integrations and contract continuity is documented and owned, but measurement, stress testing and integration with dependent processes need strengthening.</t>
  </si>
  <si>
    <t>Residual risk: critical SaaS assessment for availability, export, backup, admin access, integrations and contract continuity is measured and reviewed, but monitoring, automation or scenario testing should be improved to prevent maturity drift.</t>
  </si>
  <si>
    <t>Low residual risk: critical SaaS assessment for availability, export, backup, admin access, integrations and contract continuity is mature and crisis-tested. Maintain monitoring, evidence, ownership and periodic stress testing.</t>
  </si>
  <si>
    <t>Create an immediate risk owner, minimum control baseline and fallback procedure for critical SaaS assessment for availability, export, backup, admin access, integrations and contract continuity. Add it to the crisis risk register and collect first evidence.</t>
  </si>
  <si>
    <t>Document critical SaaS assessment for availability, export, backup, admin access, integrations and contract continuity, assign RACI, define minimum controls and KPIs, and validate coverage across key sites, teams or systems.</t>
  </si>
  <si>
    <t>Standardize critical SaaS assessment for availability, export, backup, admin access, integrations and contract continuity, close coverage gaps, train accountable roles and connect controls to the relevant crisis scenarios and continuity plans.</t>
  </si>
  <si>
    <t>Measure and test critical SaaS assessment for availability, export, backup, admin access, integrations and contract continuity, run tabletop or operational stress tests, integrate it with dependent processes and update crisis playbooks.</t>
  </si>
  <si>
    <t>Sustain maturity for critical SaaS assessment for availability, export, backup, admin access, integrations and contract continuity: keep evidence current, monitor drift, benchmark externally and refresh risk tests after organizational, system or market changes.</t>
  </si>
  <si>
    <t>IT Cloud DR!28</t>
  </si>
  <si>
    <t>Immature capability for SaaS data backup or exportability if provider or account becomes unavailable may lead to system outage, data unavailability, excessive RTO/RPO and inability to restore critical technology services during IT outage; Cloud outage; Data loss; Cyberattack.</t>
  </si>
  <si>
    <t>Low maturity, weak ownership, incomplete evidence, insufficient testing and poor integration with crisis-management routines for SaaS data backup or exportability if provider or account becomes unavailable.</t>
  </si>
  <si>
    <t>Severe risk: SaaS data backup or exportability if provider or account becomes unavailable is not reliably controlled. During IT outage; Cloud outage; Data loss; Cyberattack, the organization may face system outage, data unavailability, excessive RTO/RPO and inability to restore critical technology services with limited visibility or accountability.</t>
  </si>
  <si>
    <t>High risk: SaaS data backup or exportability if provider or account becomes unavailable depends on informal practices or individual knowledge. Disruption may expose system outage, data unavailability, excessive RTO/RPO and inability to restore critical technology services and slow recovery.</t>
  </si>
  <si>
    <t>Elevated risk: SaaS data backup or exportability if provider or account becomes unavailable is partially controlled, but coverage, evidence or testing is inconsistent. Crisis response may be fragmented.</t>
  </si>
  <si>
    <t>Moderate risk: SaaS data backup or exportability if provider or account becomes unavailable is documented and owned, but measurement, stress testing and integration with dependent processes need strengthening.</t>
  </si>
  <si>
    <t>Residual risk: SaaS data backup or exportability if provider or account becomes unavailable is measured and reviewed, but monitoring, automation or scenario testing should be improved to prevent maturity drift.</t>
  </si>
  <si>
    <t>Low residual risk: SaaS data backup or exportability if provider or account becomes unavailable is mature and crisis-tested. Maintain monitoring, evidence, ownership and periodic stress testing.</t>
  </si>
  <si>
    <t>Create an immediate risk owner, minimum control baseline and fallback procedure for SaaS data backup or exportability if provider or account becomes unavailable. Add it to the crisis risk register and collect first evidence.</t>
  </si>
  <si>
    <t>Document SaaS data backup or exportability if provider or account becomes unavailable, assign RACI, define minimum controls and KPIs, and validate coverage across key sites, teams or systems.</t>
  </si>
  <si>
    <t>Standardize SaaS data backup or exportability if provider or account becomes unavailable, close coverage gaps, train accountable roles and connect controls to the relevant crisis scenarios and continuity plans.</t>
  </si>
  <si>
    <t>Measure and test SaaS data backup or exportability if provider or account becomes unavailable, run tabletop or operational stress tests, integrate it with dependent processes and update crisis playbooks.</t>
  </si>
  <si>
    <t>Sustain maturity for SaaS data backup or exportability if provider or account becomes unavailable: keep evidence current, monitor drift, benchmark externally and refresh risk tests after organizational, system or market changes.</t>
  </si>
  <si>
    <t>IT Cloud DR!29</t>
  </si>
  <si>
    <t>Immature capability for API, ETL, middleware, file exchange and manual integration catalog may lead to system outage, data unavailability, excessive RTO/RPO and inability to restore critical technology services during IT outage; Cloud outage; Data loss; Cyberattack.</t>
  </si>
  <si>
    <t>Low maturity, weak ownership, incomplete evidence, insufficient testing and poor integration with crisis-management routines for API, ETL, middleware, file exchange and manual integration catalog.</t>
  </si>
  <si>
    <t>Severe risk: API, ETL, middleware, file exchange and manual integration catalog is not reliably controlled. During IT outage; Cloud outage; Data loss; Cyberattack, the organization may face system outage, data unavailability, excessive RTO/RPO and inability to restore critical technology services with limited visibility or accountability.</t>
  </si>
  <si>
    <t>High risk: API, ETL, middleware, file exchange and manual integration catalog depends on informal practices or individual knowledge. Disruption may expose system outage, data unavailability, excessive RTO/RPO and inability to restore critical technology services and slow recovery.</t>
  </si>
  <si>
    <t>Elevated risk: API, ETL, middleware, file exchange and manual integration catalog is partially controlled, but coverage, evidence or testing is inconsistent. Crisis response may be fragmented.</t>
  </si>
  <si>
    <t>Moderate risk: API, ETL, middleware, file exchange and manual integration catalog is documented and owned, but measurement, stress testing and integration with dependent processes need strengthening.</t>
  </si>
  <si>
    <t>Residual risk: API, ETL, middleware, file exchange and manual integration catalog is measured and reviewed, but monitoring, automation or scenario testing should be improved to prevent maturity drift.</t>
  </si>
  <si>
    <t>Low residual risk: API, ETL, middleware, file exchange and manual integration catalog is mature and crisis-tested. Maintain monitoring, evidence, ownership and periodic stress testing.</t>
  </si>
  <si>
    <t>Create an immediate risk owner, minimum control baseline and fallback procedure for API, ETL, middleware, file exchange and manual integration catalog. Add it to the crisis risk register and collect first evidence.</t>
  </si>
  <si>
    <t>Document API, ETL, middleware, file exchange and manual integration catalog, assign RACI, define minimum controls and KPIs, and validate coverage across key sites, teams or systems.</t>
  </si>
  <si>
    <t>Standardize API, ETL, middleware, file exchange and manual integration catalog, close coverage gaps, train accountable roles and connect controls to the relevant crisis scenarios and continuity plans.</t>
  </si>
  <si>
    <t>Measure and test API, ETL, middleware, file exchange and manual integration catalog, run tabletop or operational stress tests, integrate it with dependent processes and update crisis playbooks.</t>
  </si>
  <si>
    <t>Sustain maturity for API, ETL, middleware, file exchange and manual integration catalog: keep evidence current, monitor drift, benchmark externally and refresh risk tests after organizational, system or market changes.</t>
  </si>
  <si>
    <t>IT Cloud DR!30</t>
  </si>
  <si>
    <t>Immature capability for integration monitoring, retry, queue, reconciliation and fallback procedures may lead to system outage, data unavailability, excessive RTO/RPO and inability to restore critical technology services during IT outage; Cloud outage; Data loss; Cyberattack.</t>
  </si>
  <si>
    <t>Low maturity, weak ownership, incomplete evidence, insufficient testing and poor integration with crisis-management routines for integration monitoring, retry, queue, reconciliation and fallback procedures.</t>
  </si>
  <si>
    <t>Severe risk: integration monitoring, retry, queue, reconciliation and fallback procedures is not reliably controlled. During IT outage; Cloud outage; Data loss; Cyberattack, the organization may face system outage, data unavailability, excessive RTO/RPO and inability to restore critical technology services with limited visibility or accountability.</t>
  </si>
  <si>
    <t>High risk: integration monitoring, retry, queue, reconciliation and fallback procedures depends on informal practices or individual knowledge. Disruption may expose system outage, data unavailability, excessive RTO/RPO and inability to restore critical technology services and slow recovery.</t>
  </si>
  <si>
    <t>Elevated risk: integration monitoring, retry, queue, reconciliation and fallback procedures is partially controlled, but coverage, evidence or testing is inconsistent. Crisis response may be fragmented.</t>
  </si>
  <si>
    <t>Moderate risk: integration monitoring, retry, queue, reconciliation and fallback procedures is documented and owned, but measurement, stress testing and integration with dependent processes need strengthening.</t>
  </si>
  <si>
    <t>Residual risk: integration monitoring, retry, queue, reconciliation and fallback procedures is measured and reviewed, but monitoring, automation or scenario testing should be improved to prevent maturity drift.</t>
  </si>
  <si>
    <t>Low residual risk: integration monitoring, retry, queue, reconciliation and fallback procedures is mature and crisis-tested. Maintain monitoring, evidence, ownership and periodic stress testing.</t>
  </si>
  <si>
    <t>Create an immediate risk owner, minimum control baseline and fallback procedure for integration monitoring, retry, queue, reconciliation and fallback procedures. Add it to the crisis risk register and collect first evidence.</t>
  </si>
  <si>
    <t>Document integration monitoring, retry, queue, reconciliation and fallback procedures, assign RACI, define minimum controls and KPIs, and validate coverage across key sites, teams or systems.</t>
  </si>
  <si>
    <t>Standardize integration monitoring, retry, queue, reconciliation and fallback procedures, close coverage gaps, train accountable roles and connect controls to the relevant crisis scenarios and continuity plans.</t>
  </si>
  <si>
    <t>Measure and test integration monitoring, retry, queue, reconciliation and fallback procedures, run tabletop or operational stress tests, integrate it with dependent processes and update crisis playbooks.</t>
  </si>
  <si>
    <t>Sustain maturity for integration monitoring, retry, queue, reconciliation and fallback procedures: keep evidence current, monitor drift, benchmark externally and refresh risk tests after organizational, system or market changes.</t>
  </si>
  <si>
    <t>IT Cloud DR!31</t>
  </si>
  <si>
    <t>Immature capability for configuration management and version control for infrastructure, cloud and applications may lead to system outage, data unavailability, excessive RTO/RPO and inability to restore critical technology services during IT outage; Cloud outage; Data loss; Cyberattack.</t>
  </si>
  <si>
    <t>Low maturity, weak ownership, incomplete evidence, insufficient testing and poor integration with crisis-management routines for configuration management and version control for infrastructure, cloud and applications.</t>
  </si>
  <si>
    <t>Severe risk: configuration management and version control for infrastructure, cloud and applications is not reliably controlled. During IT outage; Cloud outage; Data loss; Cyberattack, the organization may face system outage, data unavailability, excessive RTO/RPO and inability to restore critical technology services with limited visibility or accountability.</t>
  </si>
  <si>
    <t>High risk: configuration management and version control for infrastructure, cloud and applications depends on informal practices or individual knowledge. Disruption may expose system outage, data unavailability, excessive RTO/RPO and inability to restore critical technology services and slow recovery.</t>
  </si>
  <si>
    <t>Elevated risk: configuration management and version control for infrastructure, cloud and applications is partially controlled, but coverage, evidence or testing is inconsistent. Crisis response may be fragmented.</t>
  </si>
  <si>
    <t>Moderate risk: configuration management and version control for infrastructure, cloud and applications is documented and owned, but measurement, stress testing and integration with dependent processes need strengthening.</t>
  </si>
  <si>
    <t>Residual risk: configuration management and version control for infrastructure, cloud and applications is measured and reviewed, but monitoring, automation or scenario testing should be improved to prevent maturity drift.</t>
  </si>
  <si>
    <t>Low residual risk: configuration management and version control for infrastructure, cloud and applications is mature and crisis-tested. Maintain monitoring, evidence, ownership and periodic stress testing.</t>
  </si>
  <si>
    <t>Create an immediate risk owner, minimum control baseline and fallback procedure for configuration management and version control for infrastructure, cloud and applications. Add it to the crisis risk register and collect first evidence.</t>
  </si>
  <si>
    <t>Document configuration management and version control for infrastructure, cloud and applications, assign RACI, define minimum controls and KPIs, and validate coverage across key sites, teams or systems.</t>
  </si>
  <si>
    <t>Standardize configuration management and version control for infrastructure, cloud and applications, close coverage gaps, train accountable roles and connect controls to the relevant crisis scenarios and continuity plans.</t>
  </si>
  <si>
    <t>Measure and test configuration management and version control for infrastructure, cloud and applications, run tabletop or operational stress tests, integrate it with dependent processes and update crisis playbooks.</t>
  </si>
  <si>
    <t>Sustain maturity for configuration management and version control for infrastructure, cloud and applications: keep evidence current, monitor drift, benchmark externally and refresh risk tests after organizational, system or market changes.</t>
  </si>
  <si>
    <t>IT Cloud DR!32</t>
  </si>
  <si>
    <t>Immature capability for ERP process coverage for finance, procurement, inventory, orders, production or project accounting may lead to ERP, CRM, MES or HRMS disruption, broken integrations and manual workarounds that fail under stress during IT outage; Decision failure; Process disruption.</t>
  </si>
  <si>
    <t>Low maturity, weak ownership, incomplete evidence, insufficient testing and poor integration with crisis-management routines for ERP process coverage for finance, procurement, inventory, orders, production or project accounting.</t>
  </si>
  <si>
    <t>Severe risk: ERP process coverage for finance, procurement, inventory, orders, production or project accounting is not reliably controlled. During IT outage; Decision failure; Process disruption, the organization may face ERP, CRM, MES or HRMS disruption, broken integrations and manual workarounds that fail under stress with limited visibility or accountability.</t>
  </si>
  <si>
    <t>High risk: ERP process coverage for finance, procurement, inventory, orders, production or project accounting depends on informal practices or individual knowledge. Disruption may expose ERP, CRM, MES or HRMS disruption, broken integrations and manual workarounds that fail under stress and slow recovery.</t>
  </si>
  <si>
    <t>Elevated risk: ERP process coverage for finance, procurement, inventory, orders, production or project accounting is partially controlled, but coverage, evidence or testing is inconsistent. Crisis response may be fragmented.</t>
  </si>
  <si>
    <t>Moderate risk: ERP process coverage for finance, procurement, inventory, orders, production or project accounting is documented and owned, but measurement, stress testing and integration with dependent processes need strengthening.</t>
  </si>
  <si>
    <t>Residual risk: ERP process coverage for finance, procurement, inventory, orders, production or project accounting is measured and reviewed, but monitoring, automation or scenario testing should be improved to prevent maturity drift.</t>
  </si>
  <si>
    <t>Low residual risk: ERP process coverage for finance, procurement, inventory, orders, production or project accounting is mature and crisis-tested. Maintain monitoring, evidence, ownership and periodic stress testing.</t>
  </si>
  <si>
    <t>Create an immediate risk owner, minimum control baseline and fallback procedure for ERP process coverage for finance, procurement, inventory, orders, production or project accounting. Add it to the crisis risk register and collect first evidence.</t>
  </si>
  <si>
    <t>Document ERP process coverage for finance, procurement, inventory, orders, production or project accounting, assign RACI, define minimum controls and KPIs, and validate coverage across key sites, teams or systems.</t>
  </si>
  <si>
    <t>Standardize ERP process coverage for finance, procurement, inventory, orders, production or project accounting, close coverage gaps, train accountable roles and connect controls to the relevant crisis scenarios and continuity plans.</t>
  </si>
  <si>
    <t>Measure and test ERP process coverage for finance, procurement, inventory, orders, production or project accounting, run tabletop or operational stress tests, integrate it with dependent processes and update crisis playbooks.</t>
  </si>
  <si>
    <t>Sustain maturity for ERP process coverage for finance, procurement, inventory, orders, production or project accounting: keep evidence current, monitor drift, benchmark externally and refresh risk tests after organizational, system or market changes.</t>
  </si>
  <si>
    <t>CIO / Business Systems</t>
  </si>
  <si>
    <t>Business Systems!5</t>
  </si>
  <si>
    <t>Immature capability for ERP master data governance for customers, suppliers, items, BOMs, chart of accounts, cost centers and pricing may lead to ERP, CRM, MES or HRMS disruption, broken integrations and manual workarounds that fail under stress during IT outage; Decision failure; Process disruption.</t>
  </si>
  <si>
    <t>Low maturity, weak ownership, incomplete evidence, insufficient testing and poor integration with crisis-management routines for ERP master data governance for customers, suppliers, items, BOMs, chart of accounts, cost centers and pricing.</t>
  </si>
  <si>
    <t>Severe risk: ERP master data governance for customers, suppliers, items, BOMs, chart of accounts, cost centers and pricing is not reliably controlled. During IT outage; Decision failure; Process disruption, the organization may face ERP, CRM, MES or HRMS disruption, broken integrations and manual workarounds that fail under stress with limited visibility or accountability.</t>
  </si>
  <si>
    <t>High risk: ERP master data governance for customers, suppliers, items, BOMs, chart of accounts, cost centers and pricing depends on informal practices or individual knowledge. Disruption may expose ERP, CRM, MES or HRMS disruption, broken integrations and manual workarounds that fail under stress and slow recovery.</t>
  </si>
  <si>
    <t>Elevated risk: ERP master data governance for customers, suppliers, items, BOMs, chart of accounts, cost centers and pricing is partially controlled, but coverage, evidence or testing is inconsistent. Crisis response may be fragmented.</t>
  </si>
  <si>
    <t>Moderate risk: ERP master data governance for customers, suppliers, items, BOMs, chart of accounts, cost centers and pricing is documented and owned, but measurement, stress testing and integration with dependent processes need strengthening.</t>
  </si>
  <si>
    <t>Residual risk: ERP master data governance for customers, suppliers, items, BOMs, chart of accounts, cost centers and pricing is measured and reviewed, but monitoring, automation or scenario testing should be improved to prevent maturity drift.</t>
  </si>
  <si>
    <t>Low residual risk: ERP master data governance for customers, suppliers, items, BOMs, chart of accounts, cost centers and pricing is mature and crisis-tested. Maintain monitoring, evidence, ownership and periodic stress testing.</t>
  </si>
  <si>
    <t>Create an immediate risk owner, minimum control baseline and fallback procedure for ERP master data governance for customers, suppliers, items, BOMs, chart of accounts, cost centers and pricing. Add it to the crisis risk register and collect first evidence.</t>
  </si>
  <si>
    <t>Document ERP master data governance for customers, suppliers, items, BOMs, chart of accounts, cost centers and pricing, assign RACI, define minimum controls and KPIs, and validate coverage across key sites, teams or systems.</t>
  </si>
  <si>
    <t>Standardize ERP master data governance for customers, suppliers, items, BOMs, chart of accounts, cost centers and pricing, close coverage gaps, train accountable roles and connect controls to the relevant crisis scenarios and continuity plans.</t>
  </si>
  <si>
    <t>Measure and test ERP master data governance for customers, suppliers, items, BOMs, chart of accounts, cost centers and pricing, run tabletop or operational stress tests, integrate it with dependent processes and update crisis playbooks.</t>
  </si>
  <si>
    <t>Sustain maturity for ERP master data governance for customers, suppliers, items, BOMs, chart of accounts, cost centers and pricing: keep evidence current, monitor drift, benchmark externally and refresh risk tests after organizational, system or market changes.</t>
  </si>
  <si>
    <t>Business Systems!6</t>
  </si>
  <si>
    <t>Immature capability for ERP access controls, approvals and segregation of duties may lead to ERP, CRM, MES or HRMS disruption, broken integrations and manual workarounds that fail under stress during IT outage; Decision failure; Process disruption.</t>
  </si>
  <si>
    <t>Low maturity, weak ownership, incomplete evidence, insufficient testing and poor integration with crisis-management routines for ERP access controls, approvals and segregation of duties.</t>
  </si>
  <si>
    <t>Severe risk: ERP access controls, approvals and segregation of duties is not reliably controlled. During IT outage; Decision failure; Process disruption, the organization may face ERP, CRM, MES or HRMS disruption, broken integrations and manual workarounds that fail under stress with limited visibility or accountability.</t>
  </si>
  <si>
    <t>High risk: ERP access controls, approvals and segregation of duties depends on informal practices or individual knowledge. Disruption may expose ERP, CRM, MES or HRMS disruption, broken integrations and manual workarounds that fail under stress and slow recovery.</t>
  </si>
  <si>
    <t>Elevated risk: ERP access controls, approvals and segregation of duties is partially controlled, but coverage, evidence or testing is inconsistent. Crisis response may be fragmented.</t>
  </si>
  <si>
    <t>Moderate risk: ERP access controls, approvals and segregation of duties is documented and owned, but measurement, stress testing and integration with dependent processes need strengthening.</t>
  </si>
  <si>
    <t>Residual risk: ERP access controls, approvals and segregation of duties is measured and reviewed, but monitoring, automation or scenario testing should be improved to prevent maturity drift.</t>
  </si>
  <si>
    <t>Low residual risk: ERP access controls, approvals and segregation of duties is mature and crisis-tested. Maintain monitoring, evidence, ownership and periodic stress testing.</t>
  </si>
  <si>
    <t>Create an immediate risk owner, minimum control baseline and fallback procedure for ERP access controls, approvals and segregation of duties. Add it to the crisis risk register and collect first evidence.</t>
  </si>
  <si>
    <t>Document ERP access controls, approvals and segregation of duties, assign RACI, define minimum controls and KPIs, and validate coverage across key sites, teams or systems.</t>
  </si>
  <si>
    <t>Standardize ERP access controls, approvals and segregation of duties, close coverage gaps, train accountable roles and connect controls to the relevant crisis scenarios and continuity plans.</t>
  </si>
  <si>
    <t>Measure and test ERP access controls, approvals and segregation of duties, run tabletop or operational stress tests, integrate it with dependent processes and update crisis playbooks.</t>
  </si>
  <si>
    <t>Sustain maturity for ERP access controls, approvals and segregation of duties: keep evidence current, monitor drift, benchmark externally and refresh risk tests after organizational, system or market changes.</t>
  </si>
  <si>
    <t>Business Systems!7</t>
  </si>
  <si>
    <t>Immature capability for ERP continuity with RTO, RPO, backup, vendor support and manual fallback may lead to ERP, CRM, MES or HRMS disruption, broken integrations and manual workarounds that fail under stress during IT outage; Decision failure; Process disruption.</t>
  </si>
  <si>
    <t>Low maturity, weak ownership, incomplete evidence, insufficient testing and poor integration with crisis-management routines for ERP continuity with RTO, RPO, backup, vendor support and manual fallback.</t>
  </si>
  <si>
    <t>Severe risk: ERP continuity with RTO, RPO, backup, vendor support and manual fallback is not reliably controlled. During IT outage; Decision failure; Process disruption, the organization may face ERP, CRM, MES or HRMS disruption, broken integrations and manual workarounds that fail under stress with limited visibility or accountability.</t>
  </si>
  <si>
    <t>High risk: ERP continuity with RTO, RPO, backup, vendor support and manual fallback depends on informal practices or individual knowledge. Disruption may expose ERP, CRM, MES or HRMS disruption, broken integrations and manual workarounds that fail under stress and slow recovery.</t>
  </si>
  <si>
    <t>Elevated risk: ERP continuity with RTO, RPO, backup, vendor support and manual fallback is partially controlled, but coverage, evidence or testing is inconsistent. Crisis response may be fragmented.</t>
  </si>
  <si>
    <t>Moderate risk: ERP continuity with RTO, RPO, backup, vendor support and manual fallback is documented and owned, but measurement, stress testing and integration with dependent processes need strengthening.</t>
  </si>
  <si>
    <t>Residual risk: ERP continuity with RTO, RPO, backup, vendor support and manual fallback is measured and reviewed, but monitoring, automation or scenario testing should be improved to prevent maturity drift.</t>
  </si>
  <si>
    <t>Low residual risk: ERP continuity with RTO, RPO, backup, vendor support and manual fallback is mature and crisis-tested. Maintain monitoring, evidence, ownership and periodic stress testing.</t>
  </si>
  <si>
    <t>Create an immediate risk owner, minimum control baseline and fallback procedure for ERP continuity with RTO, RPO, backup, vendor support and manual fallback. Add it to the crisis risk register and collect first evidence.</t>
  </si>
  <si>
    <t>Document ERP continuity with RTO, RPO, backup, vendor support and manual fallback, assign RACI, define minimum controls and KPIs, and validate coverage across key sites, teams or systems.</t>
  </si>
  <si>
    <t>Standardize ERP continuity with RTO, RPO, backup, vendor support and manual fallback, close coverage gaps, train accountable roles and connect controls to the relevant crisis scenarios and continuity plans.</t>
  </si>
  <si>
    <t>Measure and test ERP continuity with RTO, RPO, backup, vendor support and manual fallback, run tabletop or operational stress tests, integrate it with dependent processes and update crisis playbooks.</t>
  </si>
  <si>
    <t>Sustain maturity for ERP continuity with RTO, RPO, backup, vendor support and manual fallback: keep evidence current, monitor drift, benchmark externally and refresh risk tests after organizational, system or market changes.</t>
  </si>
  <si>
    <t>Business Systems!8</t>
  </si>
  <si>
    <t>Immature capability for ERP workflow for procure-to-pay, order-to-cash, record-to-report and plan-to-produce where relevant may lead to ERP, CRM, MES or HRMS disruption, broken integrations and manual workarounds that fail under stress during IT outage; Decision failure; Process disruption.</t>
  </si>
  <si>
    <t>Low maturity, weak ownership, incomplete evidence, insufficient testing and poor integration with crisis-management routines for ERP workflow for procure-to-pay, order-to-cash, record-to-report and plan-to-produce where relevant.</t>
  </si>
  <si>
    <t>Severe risk: ERP workflow for procure-to-pay, order-to-cash, record-to-report and plan-to-produce where relevant is not reliably controlled. During IT outage; Decision failure; Process disruption, the organization may face ERP, CRM, MES or HRMS disruption, broken integrations and manual workarounds that fail under stress with limited visibility or accountability.</t>
  </si>
  <si>
    <t>High risk: ERP workflow for procure-to-pay, order-to-cash, record-to-report and plan-to-produce where relevant depends on informal practices or individual knowledge. Disruption may expose ERP, CRM, MES or HRMS disruption, broken integrations and manual workarounds that fail under stress and slow recovery.</t>
  </si>
  <si>
    <t>Elevated risk: ERP workflow for procure-to-pay, order-to-cash, record-to-report and plan-to-produce where relevant is partially controlled, but coverage, evidence or testing is inconsistent. Crisis response may be fragmented.</t>
  </si>
  <si>
    <t>Moderate risk: ERP workflow for procure-to-pay, order-to-cash, record-to-report and plan-to-produce where relevant is documented and owned, but measurement, stress testing and integration with dependent processes need strengthening.</t>
  </si>
  <si>
    <t>Residual risk: ERP workflow for procure-to-pay, order-to-cash, record-to-report and plan-to-produce where relevant is measured and reviewed, but monitoring, automation or scenario testing should be improved to prevent maturity drift.</t>
  </si>
  <si>
    <t>Low residual risk: ERP workflow for procure-to-pay, order-to-cash, record-to-report and plan-to-produce where relevant is mature and crisis-tested. Maintain monitoring, evidence, ownership and periodic stress testing.</t>
  </si>
  <si>
    <t>Create an immediate risk owner, minimum control baseline and fallback procedure for ERP workflow for procure-to-pay, order-to-cash, record-to-report and plan-to-produce where relevant. Add it to the crisis risk register and collect first evidence.</t>
  </si>
  <si>
    <t>Document ERP workflow for procure-to-pay, order-to-cash, record-to-report and plan-to-produce where relevant, assign RACI, define minimum controls and KPIs, and validate coverage across key sites, teams or systems.</t>
  </si>
  <si>
    <t>Standardize ERP workflow for procure-to-pay, order-to-cash, record-to-report and plan-to-produce where relevant, close coverage gaps, train accountable roles and connect controls to the relevant crisis scenarios and continuity plans.</t>
  </si>
  <si>
    <t>Measure and test ERP workflow for procure-to-pay, order-to-cash, record-to-report and plan-to-produce where relevant, run tabletop or operational stress tests, integrate it with dependent processes and update crisis playbooks.</t>
  </si>
  <si>
    <t>Sustain maturity for ERP workflow for procure-to-pay, order-to-cash, record-to-report and plan-to-produce where relevant: keep evidence current, monitor drift, benchmark externally and refresh risk tests after organizational, system or market changes.</t>
  </si>
  <si>
    <t>Business Systems!9</t>
  </si>
  <si>
    <t>Immature capability for CRM process coverage for lead-to-cash, customer ownership, pipeline, forecast and account management may lead to ERP, CRM, MES or HRMS disruption, broken integrations and manual workarounds that fail under stress during IT outage; Decision failure; Process disruption.</t>
  </si>
  <si>
    <t>Low maturity, weak ownership, incomplete evidence, insufficient testing and poor integration with crisis-management routines for CRM process coverage for lead-to-cash, customer ownership, pipeline, forecast and account management.</t>
  </si>
  <si>
    <t>Severe risk: CRM process coverage for lead-to-cash, customer ownership, pipeline, forecast and account management is not reliably controlled. During IT outage; Decision failure; Process disruption, the organization may face ERP, CRM, MES or HRMS disruption, broken integrations and manual workarounds that fail under stress with limited visibility or accountability.</t>
  </si>
  <si>
    <t>High risk: CRM process coverage for lead-to-cash, customer ownership, pipeline, forecast and account management depends on informal practices or individual knowledge. Disruption may expose ERP, CRM, MES or HRMS disruption, broken integrations and manual workarounds that fail under stress and slow recovery.</t>
  </si>
  <si>
    <t>Elevated risk: CRM process coverage for lead-to-cash, customer ownership, pipeline, forecast and account management is partially controlled, but coverage, evidence or testing is inconsistent. Crisis response may be fragmented.</t>
  </si>
  <si>
    <t>Moderate risk: CRM process coverage for lead-to-cash, customer ownership, pipeline, forecast and account management is documented and owned, but measurement, stress testing and integration with dependent processes need strengthening.</t>
  </si>
  <si>
    <t>Residual risk: CRM process coverage for lead-to-cash, customer ownership, pipeline, forecast and account management is measured and reviewed, but monitoring, automation or scenario testing should be improved to prevent maturity drift.</t>
  </si>
  <si>
    <t>Low residual risk: CRM process coverage for lead-to-cash, customer ownership, pipeline, forecast and account management is mature and crisis-tested. Maintain monitoring, evidence, ownership and periodic stress testing.</t>
  </si>
  <si>
    <t>Create an immediate risk owner, minimum control baseline and fallback procedure for CRM process coverage for lead-to-cash, customer ownership, pipeline, forecast and account management. Add it to the crisis risk register and collect first evidence.</t>
  </si>
  <si>
    <t>Document CRM process coverage for lead-to-cash, customer ownership, pipeline, forecast and account management, assign RACI, define minimum controls and KPIs, and validate coverage across key sites, teams or systems.</t>
  </si>
  <si>
    <t>Standardize CRM process coverage for lead-to-cash, customer ownership, pipeline, forecast and account management, close coverage gaps, train accountable roles and connect controls to the relevant crisis scenarios and continuity plans.</t>
  </si>
  <si>
    <t>Measure and test CRM process coverage for lead-to-cash, customer ownership, pipeline, forecast and account management, run tabletop or operational stress tests, integrate it with dependent processes and update crisis playbooks.</t>
  </si>
  <si>
    <t>Sustain maturity for CRM process coverage for lead-to-cash, customer ownership, pipeline, forecast and account management: keep evidence current, monitor drift, benchmark externally and refresh risk tests after organizational, system or market changes.</t>
  </si>
  <si>
    <t>Business Systems!10</t>
  </si>
  <si>
    <t>Immature capability for CRM integration with ERP, billing, support, ecommerce and marketing automation may lead to ERP, CRM, MES or HRMS disruption, broken integrations and manual workarounds that fail under stress during IT outage; Decision failure; Process disruption.</t>
  </si>
  <si>
    <t>Low maturity, weak ownership, incomplete evidence, insufficient testing and poor integration with crisis-management routines for CRM integration with ERP, billing, support, ecommerce and marketing automation.</t>
  </si>
  <si>
    <t>Severe risk: CRM integration with ERP, billing, support, ecommerce and marketing automation is not reliably controlled. During IT outage; Decision failure; Process disruption, the organization may face ERP, CRM, MES or HRMS disruption, broken integrations and manual workarounds that fail under stress with limited visibility or accountability.</t>
  </si>
  <si>
    <t>High risk: CRM integration with ERP, billing, support, ecommerce and marketing automation depends on informal practices or individual knowledge. Disruption may expose ERP, CRM, MES or HRMS disruption, broken integrations and manual workarounds that fail under stress and slow recovery.</t>
  </si>
  <si>
    <t>Elevated risk: CRM integration with ERP, billing, support, ecommerce and marketing automation is partially controlled, but coverage, evidence or testing is inconsistent. Crisis response may be fragmented.</t>
  </si>
  <si>
    <t>Moderate risk: CRM integration with ERP, billing, support, ecommerce and marketing automation is documented and owned, but measurement, stress testing and integration with dependent processes need strengthening.</t>
  </si>
  <si>
    <t>Residual risk: CRM integration with ERP, billing, support, ecommerce and marketing automation is measured and reviewed, but monitoring, automation or scenario testing should be improved to prevent maturity drift.</t>
  </si>
  <si>
    <t>Low residual risk: CRM integration with ERP, billing, support, ecommerce and marketing automation is mature and crisis-tested. Maintain monitoring, evidence, ownership and periodic stress testing.</t>
  </si>
  <si>
    <t>Create an immediate risk owner, minimum control baseline and fallback procedure for CRM integration with ERP, billing, support, ecommerce and marketing automation. Add it to the crisis risk register and collect first evidence.</t>
  </si>
  <si>
    <t>Document CRM integration with ERP, billing, support, ecommerce and marketing automation, assign RACI, define minimum controls and KPIs, and validate coverage across key sites, teams or systems.</t>
  </si>
  <si>
    <t>Standardize CRM integration with ERP, billing, support, ecommerce and marketing automation, close coverage gaps, train accountable roles and connect controls to the relevant crisis scenarios and continuity plans.</t>
  </si>
  <si>
    <t>Measure and test CRM integration with ERP, billing, support, ecommerce and marketing automation, run tabletop or operational stress tests, integrate it with dependent processes and update crisis playbooks.</t>
  </si>
  <si>
    <t>Sustain maturity for CRM integration with ERP, billing, support, ecommerce and marketing automation: keep evidence current, monitor drift, benchmark externally and refresh risk tests after organizational, system or market changes.</t>
  </si>
  <si>
    <t>Business Systems!11</t>
  </si>
  <si>
    <t>Immature capability for customer portal availability and data accuracy during disruption may lead to ERP, CRM, MES or HRMS disruption, broken integrations and manual workarounds that fail under stress during IT outage; Decision failure; Process disruption.</t>
  </si>
  <si>
    <t>Low maturity, weak ownership, incomplete evidence, insufficient testing and poor integration with crisis-management routines for customer portal availability and data accuracy during disruption.</t>
  </si>
  <si>
    <t>Severe risk: customer portal availability and data accuracy during disruption is not reliably controlled. During IT outage; Decision failure; Process disruption, the organization may face ERP, CRM, MES or HRMS disruption, broken integrations and manual workarounds that fail under stress with limited visibility or accountability.</t>
  </si>
  <si>
    <t>High risk: customer portal availability and data accuracy during disruption depends on informal practices or individual knowledge. Disruption may expose ERP, CRM, MES or HRMS disruption, broken integrations and manual workarounds that fail under stress and slow recovery.</t>
  </si>
  <si>
    <t>Elevated risk: customer portal availability and data accuracy during disruption is partially controlled, but coverage, evidence or testing is inconsistent. Crisis response may be fragmented.</t>
  </si>
  <si>
    <t>Moderate risk: customer portal availability and data accuracy during disruption is documented and owned, but measurement, stress testing and integration with dependent processes need strengthening.</t>
  </si>
  <si>
    <t>Residual risk: customer portal availability and data accuracy during disruption is measured and reviewed, but monitoring, automation or scenario testing should be improved to prevent maturity drift.</t>
  </si>
  <si>
    <t>Low residual risk: customer portal availability and data accuracy during disruption is mature and crisis-tested. Maintain monitoring, evidence, ownership and periodic stress testing.</t>
  </si>
  <si>
    <t>Create an immediate risk owner, minimum control baseline and fallback procedure for customer portal availability and data accuracy during disruption. Add it to the crisis risk register and collect first evidence.</t>
  </si>
  <si>
    <t>Document customer portal availability and data accuracy during disruption, assign RACI, define minimum controls and KPIs, and validate coverage across key sites, teams or systems.</t>
  </si>
  <si>
    <t>Standardize customer portal availability and data accuracy during disruption, close coverage gaps, train accountable roles and connect controls to the relevant crisis scenarios and continuity plans.</t>
  </si>
  <si>
    <t>Measure and test customer portal availability and data accuracy during disruption, run tabletop or operational stress tests, integrate it with dependent processes and update crisis playbooks.</t>
  </si>
  <si>
    <t>Sustain maturity for customer portal availability and data accuracy during disruption: keep evidence current, monitor drift, benchmark externally and refresh risk tests after organizational, system or market changes.</t>
  </si>
  <si>
    <t>Business Systems!12</t>
  </si>
  <si>
    <t>Immature capability for MES support for production orders, execution, traceability, downtime, quality and labor may lead to ERP, CRM, MES or HRMS disruption, broken integrations and manual workarounds that fail under stress during IT outage; Decision failure; Process disruption.</t>
  </si>
  <si>
    <t>Low maturity, weak ownership, incomplete evidence, insufficient testing and poor integration with crisis-management routines for MES support for production orders, execution, traceability, downtime, quality and labor.</t>
  </si>
  <si>
    <t>Severe risk: MES support for production orders, execution, traceability, downtime, quality and labor is not reliably controlled. During IT outage; Decision failure; Process disruption, the organization may face ERP, CRM, MES or HRMS disruption, broken integrations and manual workarounds that fail under stress with limited visibility or accountability.</t>
  </si>
  <si>
    <t>High risk: MES support for production orders, execution, traceability, downtime, quality and labor depends on informal practices or individual knowledge. Disruption may expose ERP, CRM, MES or HRMS disruption, broken integrations and manual workarounds that fail under stress and slow recovery.</t>
  </si>
  <si>
    <t>Elevated risk: MES support for production orders, execution, traceability, downtime, quality and labor is partially controlled, but coverage, evidence or testing is inconsistent. Crisis response may be fragmented.</t>
  </si>
  <si>
    <t>Moderate risk: MES support for production orders, execution, traceability, downtime, quality and labor is documented and owned, but measurement, stress testing and integration with dependent processes need strengthening.</t>
  </si>
  <si>
    <t>Residual risk: MES support for production orders, execution, traceability, downtime, quality and labor is measured and reviewed, but monitoring, automation or scenario testing should be improved to prevent maturity drift.</t>
  </si>
  <si>
    <t>Low residual risk: MES support for production orders, execution, traceability, downtime, quality and labor is mature and crisis-tested. Maintain monitoring, evidence, ownership and periodic stress testing.</t>
  </si>
  <si>
    <t>Create an immediate risk owner, minimum control baseline and fallback procedure for MES support for production orders, execution, traceability, downtime, quality and labor. Add it to the crisis risk register and collect first evidence.</t>
  </si>
  <si>
    <t>Document MES support for production orders, execution, traceability, downtime, quality and labor, assign RACI, define minimum controls and KPIs, and validate coverage across key sites, teams or systems.</t>
  </si>
  <si>
    <t>Standardize MES support for production orders, execution, traceability, downtime, quality and labor, close coverage gaps, train accountable roles and connect controls to the relevant crisis scenarios and continuity plans.</t>
  </si>
  <si>
    <t>Measure and test MES support for production orders, execution, traceability, downtime, quality and labor, run tabletop or operational stress tests, integrate it with dependent processes and update crisis playbooks.</t>
  </si>
  <si>
    <t>Sustain maturity for MES support for production orders, execution, traceability, downtime, quality and labor: keep evidence current, monitor drift, benchmark externally and refresh risk tests after organizational, system or market changes.</t>
  </si>
  <si>
    <t>Business Systems!13</t>
  </si>
  <si>
    <t>Immature capability for MES-ERP integration for orders, inventory consumption, output and quality data may lead to ERP, CRM, MES or HRMS disruption, broken integrations and manual workarounds that fail under stress during IT outage; Decision failure; Process disruption.</t>
  </si>
  <si>
    <t>Low maturity, weak ownership, incomplete evidence, insufficient testing and poor integration with crisis-management routines for MES-ERP integration for orders, inventory consumption, output and quality data.</t>
  </si>
  <si>
    <t>Severe risk: MES-ERP integration for orders, inventory consumption, output and quality data is not reliably controlled. During IT outage; Decision failure; Process disruption, the organization may face ERP, CRM, MES or HRMS disruption, broken integrations and manual workarounds that fail under stress with limited visibility or accountability.</t>
  </si>
  <si>
    <t>High risk: MES-ERP integration for orders, inventory consumption, output and quality data depends on informal practices or individual knowledge. Disruption may expose ERP, CRM, MES or HRMS disruption, broken integrations and manual workarounds that fail under stress and slow recovery.</t>
  </si>
  <si>
    <t>Elevated risk: MES-ERP integration for orders, inventory consumption, output and quality data is partially controlled, but coverage, evidence or testing is inconsistent. Crisis response may be fragmented.</t>
  </si>
  <si>
    <t>Moderate risk: MES-ERP integration for orders, inventory consumption, output and quality data is documented and owned, but measurement, stress testing and integration with dependent processes need strengthening.</t>
  </si>
  <si>
    <t>Residual risk: MES-ERP integration for orders, inventory consumption, output and quality data is measured and reviewed, but monitoring, automation or scenario testing should be improved to prevent maturity drift.</t>
  </si>
  <si>
    <t>Low residual risk: MES-ERP integration for orders, inventory consumption, output and quality data is mature and crisis-tested. Maintain monitoring, evidence, ownership and periodic stress testing.</t>
  </si>
  <si>
    <t>Create an immediate risk owner, minimum control baseline and fallback procedure for MES-ERP integration for orders, inventory consumption, output and quality data. Add it to the crisis risk register and collect first evidence.</t>
  </si>
  <si>
    <t>Document MES-ERP integration for orders, inventory consumption, output and quality data, assign RACI, define minimum controls and KPIs, and validate coverage across key sites, teams or systems.</t>
  </si>
  <si>
    <t>Standardize MES-ERP integration for orders, inventory consumption, output and quality data, close coverage gaps, train accountable roles and connect controls to the relevant crisis scenarios and continuity plans.</t>
  </si>
  <si>
    <t>Measure and test MES-ERP integration for orders, inventory consumption, output and quality data, run tabletop or operational stress tests, integrate it with dependent processes and update crisis playbooks.</t>
  </si>
  <si>
    <t>Sustain maturity for MES-ERP integration for orders, inventory consumption, output and quality data: keep evidence current, monitor drift, benchmark externally and refresh risk tests after organizational, system or market changes.</t>
  </si>
  <si>
    <t>Business Systems!14</t>
  </si>
  <si>
    <t>Immature capability for WMS support for inventory movement, location, status, batch, picking, packing and cycle counts may lead to ERP, CRM, MES or HRMS disruption, broken integrations and manual workarounds that fail under stress during IT outage; Decision failure; Process disruption.</t>
  </si>
  <si>
    <t>Low maturity, weak ownership, incomplete evidence, insufficient testing and poor integration with crisis-management routines for WMS support for inventory movement, location, status, batch, picking, packing and cycle counts.</t>
  </si>
  <si>
    <t>Severe risk: WMS support for inventory movement, location, status, batch, picking, packing and cycle counts is not reliably controlled. During IT outage; Decision failure; Process disruption, the organization may face ERP, CRM, MES or HRMS disruption, broken integrations and manual workarounds that fail under stress with limited visibility or accountability.</t>
  </si>
  <si>
    <t>High risk: WMS support for inventory movement, location, status, batch, picking, packing and cycle counts depends on informal practices or individual knowledge. Disruption may expose ERP, CRM, MES or HRMS disruption, broken integrations and manual workarounds that fail under stress and slow recovery.</t>
  </si>
  <si>
    <t>Elevated risk: WMS support for inventory movement, location, status, batch, picking, packing and cycle counts is partially controlled, but coverage, evidence or testing is inconsistent. Crisis response may be fragmented.</t>
  </si>
  <si>
    <t>Moderate risk: WMS support for inventory movement, location, status, batch, picking, packing and cycle counts is documented and owned, but measurement, stress testing and integration with dependent processes need strengthening.</t>
  </si>
  <si>
    <t>Residual risk: WMS support for inventory movement, location, status, batch, picking, packing and cycle counts is measured and reviewed, but monitoring, automation or scenario testing should be improved to prevent maturity drift.</t>
  </si>
  <si>
    <t>Low residual risk: WMS support for inventory movement, location, status, batch, picking, packing and cycle counts is mature and crisis-tested. Maintain monitoring, evidence, ownership and periodic stress testing.</t>
  </si>
  <si>
    <t>Create an immediate risk owner, minimum control baseline and fallback procedure for WMS support for inventory movement, location, status, batch, picking, packing and cycle counts. Add it to the crisis risk register and collect first evidence.</t>
  </si>
  <si>
    <t>Document WMS support for inventory movement, location, status, batch, picking, packing and cycle counts, assign RACI, define minimum controls and KPIs, and validate coverage across key sites, teams or systems.</t>
  </si>
  <si>
    <t>Standardize WMS support for inventory movement, location, status, batch, picking, packing and cycle counts, close coverage gaps, train accountable roles and connect controls to the relevant crisis scenarios and continuity plans.</t>
  </si>
  <si>
    <t>Measure and test WMS support for inventory movement, location, status, batch, picking, packing and cycle counts, run tabletop or operational stress tests, integrate it with dependent processes and update crisis playbooks.</t>
  </si>
  <si>
    <t>Sustain maturity for WMS support for inventory movement, location, status, batch, picking, packing and cycle counts: keep evidence current, monitor drift, benchmark externally and refresh risk tests after organizational, system or market changes.</t>
  </si>
  <si>
    <t>Business Systems!15</t>
  </si>
  <si>
    <t>Immature capability for TMS support for carrier booking, route planning, tracking and delivery visibility may lead to ERP, CRM, MES or HRMS disruption, broken integrations and manual workarounds that fail under stress during IT outage; Decision failure; Process disruption.</t>
  </si>
  <si>
    <t>Low maturity, weak ownership, incomplete evidence, insufficient testing and poor integration with crisis-management routines for TMS support for carrier booking, route planning, tracking and delivery visibility.</t>
  </si>
  <si>
    <t>Severe risk: TMS support for carrier booking, route planning, tracking and delivery visibility is not reliably controlled. During IT outage; Decision failure; Process disruption, the organization may face ERP, CRM, MES or HRMS disruption, broken integrations and manual workarounds that fail under stress with limited visibility or accountability.</t>
  </si>
  <si>
    <t>High risk: TMS support for carrier booking, route planning, tracking and delivery visibility depends on informal practices or individual knowledge. Disruption may expose ERP, CRM, MES or HRMS disruption, broken integrations and manual workarounds that fail under stress and slow recovery.</t>
  </si>
  <si>
    <t>Elevated risk: TMS support for carrier booking, route planning, tracking and delivery visibility is partially controlled, but coverage, evidence or testing is inconsistent. Crisis response may be fragmented.</t>
  </si>
  <si>
    <t>Moderate risk: TMS support for carrier booking, route planning, tracking and delivery visibility is documented and owned, but measurement, stress testing and integration with dependent processes need strengthening.</t>
  </si>
  <si>
    <t>Residual risk: TMS support for carrier booking, route planning, tracking and delivery visibility is measured and reviewed, but monitoring, automation or scenario testing should be improved to prevent maturity drift.</t>
  </si>
  <si>
    <t>Low residual risk: TMS support for carrier booking, route planning, tracking and delivery visibility is mature and crisis-tested. Maintain monitoring, evidence, ownership and periodic stress testing.</t>
  </si>
  <si>
    <t>Create an immediate risk owner, minimum control baseline and fallback procedure for TMS support for carrier booking, route planning, tracking and delivery visibility. Add it to the crisis risk register and collect first evidence.</t>
  </si>
  <si>
    <t>Document TMS support for carrier booking, route planning, tracking and delivery visibility, assign RACI, define minimum controls and KPIs, and validate coverage across key sites, teams or systems.</t>
  </si>
  <si>
    <t>Standardize TMS support for carrier booking, route planning, tracking and delivery visibility, close coverage gaps, train accountable roles and connect controls to the relevant crisis scenarios and continuity plans.</t>
  </si>
  <si>
    <t>Measure and test TMS support for carrier booking, route planning, tracking and delivery visibility, run tabletop or operational stress tests, integrate it with dependent processes and update crisis playbooks.</t>
  </si>
  <si>
    <t>Sustain maturity for TMS support for carrier booking, route planning, tracking and delivery visibility: keep evidence current, monitor drift, benchmark externally and refresh risk tests after organizational, system or market changes.</t>
  </si>
  <si>
    <t>Business Systems!16</t>
  </si>
  <si>
    <t>Immature capability for HRMS coverage for employee records, roles, skills, absence, payroll inputs and emergency contacts may lead to ERP, CRM, MES or HRMS disruption, broken integrations and manual workarounds that fail under stress during IT outage; Decision failure; Process disruption.</t>
  </si>
  <si>
    <t>Low maturity, weak ownership, incomplete evidence, insufficient testing and poor integration with crisis-management routines for HRMS coverage for employee records, roles, skills, absence, payroll inputs and emergency contacts.</t>
  </si>
  <si>
    <t>Severe risk: HRMS coverage for employee records, roles, skills, absence, payroll inputs and emergency contacts is not reliably controlled. During IT outage; Decision failure; Process disruption, the organization may face ERP, CRM, MES or HRMS disruption, broken integrations and manual workarounds that fail under stress with limited visibility or accountability.</t>
  </si>
  <si>
    <t>High risk: HRMS coverage for employee records, roles, skills, absence, payroll inputs and emergency contacts depends on informal practices or individual knowledge. Disruption may expose ERP, CRM, MES or HRMS disruption, broken integrations and manual workarounds that fail under stress and slow recovery.</t>
  </si>
  <si>
    <t>Elevated risk: HRMS coverage for employee records, roles, skills, absence, payroll inputs and emergency contacts is partially controlled, but coverage, evidence or testing is inconsistent. Crisis response may be fragmented.</t>
  </si>
  <si>
    <t>Moderate risk: HRMS coverage for employee records, roles, skills, absence, payroll inputs and emergency contacts is documented and owned, but measurement, stress testing and integration with dependent processes need strengthening.</t>
  </si>
  <si>
    <t>Residual risk: HRMS coverage for employee records, roles, skills, absence, payroll inputs and emergency contacts is measured and reviewed, but monitoring, automation or scenario testing should be improved to prevent maturity drift.</t>
  </si>
  <si>
    <t>Low residual risk: HRMS coverage for employee records, roles, skills, absence, payroll inputs and emergency contacts is mature and crisis-tested. Maintain monitoring, evidence, ownership and periodic stress testing.</t>
  </si>
  <si>
    <t>Create an immediate risk owner, minimum control baseline and fallback procedure for HRMS coverage for employee records, roles, skills, absence, payroll inputs and emergency contacts. Add it to the crisis risk register and collect first evidence.</t>
  </si>
  <si>
    <t>Document HRMS coverage for employee records, roles, skills, absence, payroll inputs and emergency contacts, assign RACI, define minimum controls and KPIs, and validate coverage across key sites, teams or systems.</t>
  </si>
  <si>
    <t>Standardize HRMS coverage for employee records, roles, skills, absence, payroll inputs and emergency contacts, close coverage gaps, train accountable roles and connect controls to the relevant crisis scenarios and continuity plans.</t>
  </si>
  <si>
    <t>Measure and test HRMS coverage for employee records, roles, skills, absence, payroll inputs and emergency contacts, run tabletop or operational stress tests, integrate it with dependent processes and update crisis playbooks.</t>
  </si>
  <si>
    <t>Sustain maturity for HRMS coverage for employee records, roles, skills, absence, payroll inputs and emergency contacts: keep evidence current, monitor drift, benchmark externally and refresh risk tests after organizational, system or market changes.</t>
  </si>
  <si>
    <t>Business Systems!17</t>
  </si>
  <si>
    <t>Immature capability for HRMS data quality for employee location, manager, emergency contacts and criticality may lead to ERP, CRM, MES or HRMS disruption, broken integrations and manual workarounds that fail under stress during IT outage; Decision failure; Process disruption.</t>
  </si>
  <si>
    <t>Low maturity, weak ownership, incomplete evidence, insufficient testing and poor integration with crisis-management routines for HRMS data quality for employee location, manager, emergency contacts and criticality.</t>
  </si>
  <si>
    <t>Severe risk: HRMS data quality for employee location, manager, emergency contacts and criticality is not reliably controlled. During IT outage; Decision failure; Process disruption, the organization may face ERP, CRM, MES or HRMS disruption, broken integrations and manual workarounds that fail under stress with limited visibility or accountability.</t>
  </si>
  <si>
    <t>High risk: HRMS data quality for employee location, manager, emergency contacts and criticality depends on informal practices or individual knowledge. Disruption may expose ERP, CRM, MES or HRMS disruption, broken integrations and manual workarounds that fail under stress and slow recovery.</t>
  </si>
  <si>
    <t>Elevated risk: HRMS data quality for employee location, manager, emergency contacts and criticality is partially controlled, but coverage, evidence or testing is inconsistent. Crisis response may be fragmented.</t>
  </si>
  <si>
    <t>Moderate risk: HRMS data quality for employee location, manager, emergency contacts and criticality is documented and owned, but measurement, stress testing and integration with dependent processes need strengthening.</t>
  </si>
  <si>
    <t>Residual risk: HRMS data quality for employee location, manager, emergency contacts and criticality is measured and reviewed, but monitoring, automation or scenario testing should be improved to prevent maturity drift.</t>
  </si>
  <si>
    <t>Low residual risk: HRMS data quality for employee location, manager, emergency contacts and criticality is mature and crisis-tested. Maintain monitoring, evidence, ownership and periodic stress testing.</t>
  </si>
  <si>
    <t>Create an immediate risk owner, minimum control baseline and fallback procedure for HRMS data quality for employee location, manager, emergency contacts and criticality. Add it to the crisis risk register and collect first evidence.</t>
  </si>
  <si>
    <t>Document HRMS data quality for employee location, manager, emergency contacts and criticality, assign RACI, define minimum controls and KPIs, and validate coverage across key sites, teams or systems.</t>
  </si>
  <si>
    <t>Standardize HRMS data quality for employee location, manager, emergency contacts and criticality, close coverage gaps, train accountable roles and connect controls to the relevant crisis scenarios and continuity plans.</t>
  </si>
  <si>
    <t>Measure and test HRMS data quality for employee location, manager, emergency contacts and criticality, run tabletop or operational stress tests, integrate it with dependent processes and update crisis playbooks.</t>
  </si>
  <si>
    <t>Sustain maturity for HRMS data quality for employee location, manager, emergency contacts and criticality: keep evidence current, monitor drift, benchmark externally and refresh risk tests after organizational, system or market changes.</t>
  </si>
  <si>
    <t>Business Systems!18</t>
  </si>
  <si>
    <t>Immature capability for finance, banking, expense, payroll and procurement system integration or reconciliation may lead to ERP, CRM, MES or HRMS disruption, broken integrations and manual workarounds that fail under stress during IT outage; Decision failure; Process disruption.</t>
  </si>
  <si>
    <t>Low maturity, weak ownership, incomplete evidence, insufficient testing and poor integration with crisis-management routines for finance, banking, expense, payroll and procurement system integration or reconciliation.</t>
  </si>
  <si>
    <t>Severe risk: finance, banking, expense, payroll and procurement system integration or reconciliation is not reliably controlled. During IT outage; Decision failure; Process disruption, the organization may face ERP, CRM, MES or HRMS disruption, broken integrations and manual workarounds that fail under stress with limited visibility or accountability.</t>
  </si>
  <si>
    <t>High risk: finance, banking, expense, payroll and procurement system integration or reconciliation depends on informal practices or individual knowledge. Disruption may expose ERP, CRM, MES or HRMS disruption, broken integrations and manual workarounds that fail under stress and slow recovery.</t>
  </si>
  <si>
    <t>Elevated risk: finance, banking, expense, payroll and procurement system integration or reconciliation is partially controlled, but coverage, evidence or testing is inconsistent. Crisis response may be fragmented.</t>
  </si>
  <si>
    <t>Moderate risk: finance, banking, expense, payroll and procurement system integration or reconciliation is documented and owned, but measurement, stress testing and integration with dependent processes need strengthening.</t>
  </si>
  <si>
    <t>Residual risk: finance, banking, expense, payroll and procurement system integration or reconciliation is measured and reviewed, but monitoring, automation or scenario testing should be improved to prevent maturity drift.</t>
  </si>
  <si>
    <t>Low residual risk: finance, banking, expense, payroll and procurement system integration or reconciliation is mature and crisis-tested. Maintain monitoring, evidence, ownership and periodic stress testing.</t>
  </si>
  <si>
    <t>Create an immediate risk owner, minimum control baseline and fallback procedure for finance, banking, expense, payroll and procurement system integration or reconciliation. Add it to the crisis risk register and collect first evidence.</t>
  </si>
  <si>
    <t>Document finance, banking, expense, payroll and procurement system integration or reconciliation, assign RACI, define minimum controls and KPIs, and validate coverage across key sites, teams or systems.</t>
  </si>
  <si>
    <t>Standardize finance, banking, expense, payroll and procurement system integration or reconciliation, close coverage gaps, train accountable roles and connect controls to the relevant crisis scenarios and continuity plans.</t>
  </si>
  <si>
    <t>Measure and test finance, banking, expense, payroll and procurement system integration or reconciliation, run tabletop or operational stress tests, integrate it with dependent processes and update crisis playbooks.</t>
  </si>
  <si>
    <t>Sustain maturity for finance, banking, expense, payroll and procurement system integration or reconciliation: keep evidence current, monitor drift, benchmark externally and refresh risk tests after organizational, system or market changes.</t>
  </si>
  <si>
    <t>Business Systems!19</t>
  </si>
  <si>
    <t>Immature capability for system ownership with business owner, technical owner, data owner and support owner may lead to ERP, CRM, MES or HRMS disruption, broken integrations and manual workarounds that fail under stress during IT outage; Decision failure; Process disruption.</t>
  </si>
  <si>
    <t>Low maturity, weak ownership, incomplete evidence, insufficient testing and poor integration with crisis-management routines for system ownership with business owner, technical owner, data owner and support owner.</t>
  </si>
  <si>
    <t>Severe risk: system ownership with business owner, technical owner, data owner and support owner is not reliably controlled. During IT outage; Decision failure; Process disruption, the organization may face ERP, CRM, MES or HRMS disruption, broken integrations and manual workarounds that fail under stress with limited visibility or accountability.</t>
  </si>
  <si>
    <t>High risk: system ownership with business owner, technical owner, data owner and support owner depends on informal practices or individual knowledge. Disruption may expose ERP, CRM, MES or HRMS disruption, broken integrations and manual workarounds that fail under stress and slow recovery.</t>
  </si>
  <si>
    <t>Elevated risk: system ownership with business owner, technical owner, data owner and support owner is partially controlled, but coverage, evidence or testing is inconsistent. Crisis response may be fragmented.</t>
  </si>
  <si>
    <t>Moderate risk: system ownership with business owner, technical owner, data owner and support owner is documented and owned, but measurement, stress testing and integration with dependent processes need strengthening.</t>
  </si>
  <si>
    <t>Residual risk: system ownership with business owner, technical owner, data owner and support owner is measured and reviewed, but monitoring, automation or scenario testing should be improved to prevent maturity drift.</t>
  </si>
  <si>
    <t>Low residual risk: system ownership with business owner, technical owner, data owner and support owner is mature and crisis-tested. Maintain monitoring, evidence, ownership and periodic stress testing.</t>
  </si>
  <si>
    <t>Create an immediate risk owner, minimum control baseline and fallback procedure for system ownership with business owner, technical owner, data owner and support owner. Add it to the crisis risk register and collect first evidence.</t>
  </si>
  <si>
    <t>Document system ownership with business owner, technical owner, data owner and support owner, assign RACI, define minimum controls and KPIs, and validate coverage across key sites, teams or systems.</t>
  </si>
  <si>
    <t>Standardize system ownership with business owner, technical owner, data owner and support owner, close coverage gaps, train accountable roles and connect controls to the relevant crisis scenarios and continuity plans.</t>
  </si>
  <si>
    <t>Measure and test system ownership with business owner, technical owner, data owner and support owner, run tabletop or operational stress tests, integrate it with dependent processes and update crisis playbooks.</t>
  </si>
  <si>
    <t>Sustain maturity for system ownership with business owner, technical owner, data owner and support owner: keep evidence current, monitor drift, benchmark externally and refresh risk tests after organizational, system or market changes.</t>
  </si>
  <si>
    <t>Business Systems!20</t>
  </si>
  <si>
    <t>Immature capability for critical system lifecycle review for fit, cost, risk, security, scalability and replacement needs may lead to ERP, CRM, MES or HRMS disruption, broken integrations and manual workarounds that fail under stress during IT outage; Decision failure; Process disruption.</t>
  </si>
  <si>
    <t>Low maturity, weak ownership, incomplete evidence, insufficient testing and poor integration with crisis-management routines for critical system lifecycle review for fit, cost, risk, security, scalability and replacement needs.</t>
  </si>
  <si>
    <t>Severe risk: critical system lifecycle review for fit, cost, risk, security, scalability and replacement needs is not reliably controlled. During IT outage; Decision failure; Process disruption, the organization may face ERP, CRM, MES or HRMS disruption, broken integrations and manual workarounds that fail under stress with limited visibility or accountability.</t>
  </si>
  <si>
    <t>High risk: critical system lifecycle review for fit, cost, risk, security, scalability and replacement needs depends on informal practices or individual knowledge. Disruption may expose ERP, CRM, MES or HRMS disruption, broken integrations and manual workarounds that fail under stress and slow recovery.</t>
  </si>
  <si>
    <t>Elevated risk: critical system lifecycle review for fit, cost, risk, security, scalability and replacement needs is partially controlled, but coverage, evidence or testing is inconsistent. Crisis response may be fragmented.</t>
  </si>
  <si>
    <t>Moderate risk: critical system lifecycle review for fit, cost, risk, security, scalability and replacement needs is documented and owned, but measurement, stress testing and integration with dependent processes need strengthening.</t>
  </si>
  <si>
    <t>Residual risk: critical system lifecycle review for fit, cost, risk, security, scalability and replacement needs is measured and reviewed, but monitoring, automation or scenario testing should be improved to prevent maturity drift.</t>
  </si>
  <si>
    <t>Low residual risk: critical system lifecycle review for fit, cost, risk, security, scalability and replacement needs is mature and crisis-tested. Maintain monitoring, evidence, ownership and periodic stress testing.</t>
  </si>
  <si>
    <t>Create an immediate risk owner, minimum control baseline and fallback procedure for critical system lifecycle review for fit, cost, risk, security, scalability and replacement needs. Add it to the crisis risk register and collect first evidence.</t>
  </si>
  <si>
    <t>Document critical system lifecycle review for fit, cost, risk, security, scalability and replacement needs, assign RACI, define minimum controls and KPIs, and validate coverage across key sites, teams or systems.</t>
  </si>
  <si>
    <t>Standardize critical system lifecycle review for fit, cost, risk, security, scalability and replacement needs, close coverage gaps, train accountable roles and connect controls to the relevant crisis scenarios and continuity plans.</t>
  </si>
  <si>
    <t>Measure and test critical system lifecycle review for fit, cost, risk, security, scalability and replacement needs, run tabletop or operational stress tests, integrate it with dependent processes and update crisis playbooks.</t>
  </si>
  <si>
    <t>Sustain maturity for critical system lifecycle review for fit, cost, risk, security, scalability and replacement needs: keep evidence current, monitor drift, benchmark externally and refresh risk tests after organizational, system or market changes.</t>
  </si>
  <si>
    <t>Business Systems!21</t>
  </si>
  <si>
    <t>Immature capability for shadow IT inventory for business-critical spreadsheets, scripts, low-code apps and unmanaged SaaS may lead to ERP, CRM, MES or HRMS disruption, broken integrations and manual workarounds that fail under stress during IT outage; Decision failure; Process disruption.</t>
  </si>
  <si>
    <t>Low maturity, weak ownership, incomplete evidence, insufficient testing and poor integration with crisis-management routines for shadow IT inventory for business-critical spreadsheets, scripts, low-code apps and unmanaged SaaS.</t>
  </si>
  <si>
    <t>Severe risk: shadow IT inventory for business-critical spreadsheets, scripts, low-code apps and unmanaged SaaS is not reliably controlled. During IT outage; Decision failure; Process disruption, the organization may face ERP, CRM, MES or HRMS disruption, broken integrations and manual workarounds that fail under stress with limited visibility or accountability.</t>
  </si>
  <si>
    <t>High risk: shadow IT inventory for business-critical spreadsheets, scripts, low-code apps and unmanaged SaaS depends on informal practices or individual knowledge. Disruption may expose ERP, CRM, MES or HRMS disruption, broken integrations and manual workarounds that fail under stress and slow recovery.</t>
  </si>
  <si>
    <t>Elevated risk: shadow IT inventory for business-critical spreadsheets, scripts, low-code apps and unmanaged SaaS is partially controlled, but coverage, evidence or testing is inconsistent. Crisis response may be fragmented.</t>
  </si>
  <si>
    <t>Moderate risk: shadow IT inventory for business-critical spreadsheets, scripts, low-code apps and unmanaged SaaS is documented and owned, but measurement, stress testing and integration with dependent processes need strengthening.</t>
  </si>
  <si>
    <t>Residual risk: shadow IT inventory for business-critical spreadsheets, scripts, low-code apps and unmanaged SaaS is measured and reviewed, but monitoring, automation or scenario testing should be improved to prevent maturity drift.</t>
  </si>
  <si>
    <t>Low residual risk: shadow IT inventory for business-critical spreadsheets, scripts, low-code apps and unmanaged SaaS is mature and crisis-tested. Maintain monitoring, evidence, ownership and periodic stress testing.</t>
  </si>
  <si>
    <t>Create an immediate risk owner, minimum control baseline and fallback procedure for shadow IT inventory for business-critical spreadsheets, scripts, low-code apps and unmanaged SaaS. Add it to the crisis risk register and collect first evidence.</t>
  </si>
  <si>
    <t>Document shadow IT inventory for business-critical spreadsheets, scripts, low-code apps and unmanaged SaaS, assign RACI, define minimum controls and KPIs, and validate coverage across key sites, teams or systems.</t>
  </si>
  <si>
    <t>Standardize shadow IT inventory for business-critical spreadsheets, scripts, low-code apps and unmanaged SaaS, close coverage gaps, train accountable roles and connect controls to the relevant crisis scenarios and continuity plans.</t>
  </si>
  <si>
    <t>Measure and test shadow IT inventory for business-critical spreadsheets, scripts, low-code apps and unmanaged SaaS, run tabletop or operational stress tests, integrate it with dependent processes and update crisis playbooks.</t>
  </si>
  <si>
    <t>Sustain maturity for shadow IT inventory for business-critical spreadsheets, scripts, low-code apps and unmanaged SaaS: keep evidence current, monitor drift, benchmark externally and refresh risk tests after organizational, system or market changes.</t>
  </si>
  <si>
    <t>Business Systems!22</t>
  </si>
  <si>
    <t>Immature capability for admin account governance across ERP, CRM, HRMS, MES, BI and SaaS tools may lead to ERP, CRM, MES or HRMS disruption, broken integrations and manual workarounds that fail under stress during IT outage; Decision failure; Process disruption.</t>
  </si>
  <si>
    <t>Low maturity, weak ownership, incomplete evidence, insufficient testing and poor integration with crisis-management routines for admin account governance across ERP, CRM, HRMS, MES, BI and SaaS tools.</t>
  </si>
  <si>
    <t>Severe risk: admin account governance across ERP, CRM, HRMS, MES, BI and SaaS tools is not reliably controlled. During IT outage; Decision failure; Process disruption, the organization may face ERP, CRM, MES or HRMS disruption, broken integrations and manual workarounds that fail under stress with limited visibility or accountability.</t>
  </si>
  <si>
    <t>High risk: admin account governance across ERP, CRM, HRMS, MES, BI and SaaS tools depends on informal practices or individual knowledge. Disruption may expose ERP, CRM, MES or HRMS disruption, broken integrations and manual workarounds that fail under stress and slow recovery.</t>
  </si>
  <si>
    <t>Elevated risk: admin account governance across ERP, CRM, HRMS, MES, BI and SaaS tools is partially controlled, but coverage, evidence or testing is inconsistent. Crisis response may be fragmented.</t>
  </si>
  <si>
    <t>Moderate risk: admin account governance across ERP, CRM, HRMS, MES, BI and SaaS tools is documented and owned, but measurement, stress testing and integration with dependent processes need strengthening.</t>
  </si>
  <si>
    <t>Residual risk: admin account governance across ERP, CRM, HRMS, MES, BI and SaaS tools is measured and reviewed, but monitoring, automation or scenario testing should be improved to prevent maturity drift.</t>
  </si>
  <si>
    <t>Low residual risk: admin account governance across ERP, CRM, HRMS, MES, BI and SaaS tools is mature and crisis-tested. Maintain monitoring, evidence, ownership and periodic stress testing.</t>
  </si>
  <si>
    <t>Create an immediate risk owner, minimum control baseline and fallback procedure for admin account governance across ERP, CRM, HRMS, MES, BI and SaaS tools. Add it to the crisis risk register and collect first evidence.</t>
  </si>
  <si>
    <t>Document admin account governance across ERP, CRM, HRMS, MES, BI and SaaS tools, assign RACI, define minimum controls and KPIs, and validate coverage across key sites, teams or systems.</t>
  </si>
  <si>
    <t>Standardize admin account governance across ERP, CRM, HRMS, MES, BI and SaaS tools, close coverage gaps, train accountable roles and connect controls to the relevant crisis scenarios and continuity plans.</t>
  </si>
  <si>
    <t>Measure and test admin account governance across ERP, CRM, HRMS, MES, BI and SaaS tools, run tabletop or operational stress tests, integrate it with dependent processes and update crisis playbooks.</t>
  </si>
  <si>
    <t>Sustain maturity for admin account governance across ERP, CRM, HRMS, MES, BI and SaaS tools: keep evidence current, monitor drift, benchmark externally and refresh risk tests after organizational, system or market changes.</t>
  </si>
  <si>
    <t>Business Systems!23</t>
  </si>
  <si>
    <t>Immature capability for data portability and export procedures for critical systems may lead to ERP, CRM, MES or HRMS disruption, broken integrations and manual workarounds that fail under stress during IT outage; Decision failure; Process disruption.</t>
  </si>
  <si>
    <t>Low maturity, weak ownership, incomplete evidence, insufficient testing and poor integration with crisis-management routines for data portability and export procedures for critical systems.</t>
  </si>
  <si>
    <t>Severe risk: data portability and export procedures for critical systems is not reliably controlled. During IT outage; Decision failure; Process disruption, the organization may face ERP, CRM, MES or HRMS disruption, broken integrations and manual workarounds that fail under stress with limited visibility or accountability.</t>
  </si>
  <si>
    <t>High risk: data portability and export procedures for critical systems depends on informal practices or individual knowledge. Disruption may expose ERP, CRM, MES or HRMS disruption, broken integrations and manual workarounds that fail under stress and slow recovery.</t>
  </si>
  <si>
    <t>Elevated risk: data portability and export procedures for critical systems is partially controlled, but coverage, evidence or testing is inconsistent. Crisis response may be fragmented.</t>
  </si>
  <si>
    <t>Moderate risk: data portability and export procedures for critical systems is documented and owned, but measurement, stress testing and integration with dependent processes need strengthening.</t>
  </si>
  <si>
    <t>Residual risk: data portability and export procedures for critical systems is measured and reviewed, but monitoring, automation or scenario testing should be improved to prevent maturity drift.</t>
  </si>
  <si>
    <t>Low residual risk: data portability and export procedures for critical systems is mature and crisis-tested. Maintain monitoring, evidence, ownership and periodic stress testing.</t>
  </si>
  <si>
    <t>Create an immediate risk owner, minimum control baseline and fallback procedure for data portability and export procedures for critical systems. Add it to the crisis risk register and collect first evidence.</t>
  </si>
  <si>
    <t>Document data portability and export procedures for critical systems, assign RACI, define minimum controls and KPIs, and validate coverage across key sites, teams or systems.</t>
  </si>
  <si>
    <t>Standardize data portability and export procedures for critical systems, close coverage gaps, train accountable roles and connect controls to the relevant crisis scenarios and continuity plans.</t>
  </si>
  <si>
    <t>Measure and test data portability and export procedures for critical systems, run tabletop or operational stress tests, integrate it with dependent processes and update crisis playbooks.</t>
  </si>
  <si>
    <t>Sustain maturity for data portability and export procedures for critical systems: keep evidence current, monitor drift, benchmark externally and refresh risk tests after organizational, system or market changes.</t>
  </si>
  <si>
    <t>Business Systems!24</t>
  </si>
  <si>
    <t>Immature capability for configuration and customization documentation for critical business systems may lead to ERP, CRM, MES or HRMS disruption, broken integrations and manual workarounds that fail under stress during IT outage; Decision failure; Process disruption.</t>
  </si>
  <si>
    <t>Low maturity, weak ownership, incomplete evidence, insufficient testing and poor integration with crisis-management routines for configuration and customization documentation for critical business systems.</t>
  </si>
  <si>
    <t>Severe risk: configuration and customization documentation for critical business systems is not reliably controlled. During IT outage; Decision failure; Process disruption, the organization may face ERP, CRM, MES or HRMS disruption, broken integrations and manual workarounds that fail under stress with limited visibility or accountability.</t>
  </si>
  <si>
    <t>High risk: configuration and customization documentation for critical business systems depends on informal practices or individual knowledge. Disruption may expose ERP, CRM, MES or HRMS disruption, broken integrations and manual workarounds that fail under stress and slow recovery.</t>
  </si>
  <si>
    <t>Elevated risk: configuration and customization documentation for critical business systems is partially controlled, but coverage, evidence or testing is inconsistent. Crisis response may be fragmented.</t>
  </si>
  <si>
    <t>Moderate risk: configuration and customization documentation for critical business systems is documented and owned, but measurement, stress testing and integration with dependent processes need strengthening.</t>
  </si>
  <si>
    <t>Residual risk: configuration and customization documentation for critical business systems is measured and reviewed, but monitoring, automation or scenario testing should be improved to prevent maturity drift.</t>
  </si>
  <si>
    <t>Low residual risk: configuration and customization documentation for critical business systems is mature and crisis-tested. Maintain monitoring, evidence, ownership and periodic stress testing.</t>
  </si>
  <si>
    <t>Create an immediate risk owner, minimum control baseline and fallback procedure for configuration and customization documentation for critical business systems. Add it to the crisis risk register and collect first evidence.</t>
  </si>
  <si>
    <t>Document configuration and customization documentation for critical business systems, assign RACI, define minimum controls and KPIs, and validate coverage across key sites, teams or systems.</t>
  </si>
  <si>
    <t>Standardize configuration and customization documentation for critical business systems, close coverage gaps, train accountable roles and connect controls to the relevant crisis scenarios and continuity plans.</t>
  </si>
  <si>
    <t>Measure and test configuration and customization documentation for critical business systems, run tabletop or operational stress tests, integrate it with dependent processes and update crisis playbooks.</t>
  </si>
  <si>
    <t>Sustain maturity for configuration and customization documentation for critical business systems: keep evidence current, monitor drift, benchmark externally and refresh risk tests after organizational, system or market changes.</t>
  </si>
  <si>
    <t>Business Systems!25</t>
  </si>
  <si>
    <t>Immature capability for data owners and stewards for critical data domains may lead to poor decisions, unreliable reporting, data quality problems and unsafe or ineffective AI usage during Decision failure; Data loss; Regulatory/legal shock.</t>
  </si>
  <si>
    <t>Low maturity, weak ownership, incomplete evidence, insufficient testing and poor integration with crisis-management routines for data owners and stewards for critical data domains.</t>
  </si>
  <si>
    <t>Severe risk: data owners and stewards for critical data domains is not reliably controlled. During Decision failure; Data loss; Regulatory/legal shock, the organization may face poor decisions, unreliable reporting, data quality problems and unsafe or ineffective AI usage with limited visibility or accountability.</t>
  </si>
  <si>
    <t>High risk: data owners and stewards for critical data domains depends on informal practices or individual knowledge. Disruption may expose poor decisions, unreliable reporting, data quality problems and unsafe or ineffective AI usage and slow recovery.</t>
  </si>
  <si>
    <t>Elevated risk: data owners and stewards for critical data domains is partially controlled, but coverage, evidence or testing is inconsistent. Crisis response may be fragmented.</t>
  </si>
  <si>
    <t>Moderate risk: data owners and stewards for critical data domains is documented and owned, but measurement, stress testing and integration with dependent processes need strengthening.</t>
  </si>
  <si>
    <t>Residual risk: data owners and stewards for critical data domains is measured and reviewed, but monitoring, automation or scenario testing should be improved to prevent maturity drift.</t>
  </si>
  <si>
    <t>Low residual risk: data owners and stewards for critical data domains is mature and crisis-tested. Maintain monitoring, evidence, ownership and periodic stress testing.</t>
  </si>
  <si>
    <t>Create an immediate risk owner, minimum control baseline and fallback procedure for data owners and stewards for critical data domains. Add it to the crisis risk register and collect first evidence.</t>
  </si>
  <si>
    <t>Document data owners and stewards for critical data domains, assign RACI, define minimum controls and KPIs, and validate coverage across key sites, teams or systems.</t>
  </si>
  <si>
    <t>Standardize data owners and stewards for critical data domains, close coverage gaps, train accountable roles and connect controls to the relevant crisis scenarios and continuity plans.</t>
  </si>
  <si>
    <t>Measure and test data owners and stewards for critical data domains, run tabletop or operational stress tests, integrate it with dependent processes and update crisis playbooks.</t>
  </si>
  <si>
    <t>Sustain maturity for data owners and stewards for critical data domains: keep evidence current, monitor drift, benchmark externally and refresh risk tests after organizational, system or market changes.</t>
  </si>
  <si>
    <t>CDO / BI / Analytics</t>
  </si>
  <si>
    <t>Data BI AI!5</t>
  </si>
  <si>
    <t>Immature capability for data catalog of critical datasets, reports, dashboards, data sources and users may lead to poor decisions, unreliable reporting, data quality problems and unsafe or ineffective AI usage during Decision failure; Data loss; Regulatory/legal shock.</t>
  </si>
  <si>
    <t>Low maturity, weak ownership, incomplete evidence, insufficient testing and poor integration with crisis-management routines for data catalog of critical datasets, reports, dashboards, data sources and users.</t>
  </si>
  <si>
    <t>Severe risk: data catalog of critical datasets, reports, dashboards, data sources and users is not reliably controlled. During Decision failure; Data loss; Regulatory/legal shock, the organization may face poor decisions, unreliable reporting, data quality problems and unsafe or ineffective AI usage with limited visibility or accountability.</t>
  </si>
  <si>
    <t>High risk: data catalog of critical datasets, reports, dashboards, data sources and users depends on informal practices or individual knowledge. Disruption may expose poor decisions, unreliable reporting, data quality problems and unsafe or ineffective AI usage and slow recovery.</t>
  </si>
  <si>
    <t>Elevated risk: data catalog of critical datasets, reports, dashboards, data sources and users is partially controlled, but coverage, evidence or testing is inconsistent. Crisis response may be fragmented.</t>
  </si>
  <si>
    <t>Moderate risk: data catalog of critical datasets, reports, dashboards, data sources and users is documented and owned, but measurement, stress testing and integration with dependent processes need strengthening.</t>
  </si>
  <si>
    <t>Residual risk: data catalog of critical datasets, reports, dashboards, data sources and users is measured and reviewed, but monitoring, automation or scenario testing should be improved to prevent maturity drift.</t>
  </si>
  <si>
    <t>Low residual risk: data catalog of critical datasets, reports, dashboards, data sources and users is mature and crisis-tested. Maintain monitoring, evidence, ownership and periodic stress testing.</t>
  </si>
  <si>
    <t>Create an immediate risk owner, minimum control baseline and fallback procedure for data catalog of critical datasets, reports, dashboards, data sources and users. Add it to the crisis risk register and collect first evidence.</t>
  </si>
  <si>
    <t>Document data catalog of critical datasets, reports, dashboards, data sources and users, assign RACI, define minimum controls and KPIs, and validate coverage across key sites, teams or systems.</t>
  </si>
  <si>
    <t>Standardize data catalog of critical datasets, reports, dashboards, data sources and users, close coverage gaps, train accountable roles and connect controls to the relevant crisis scenarios and continuity plans.</t>
  </si>
  <si>
    <t>Measure and test data catalog of critical datasets, reports, dashboards, data sources and users, run tabletop or operational stress tests, integrate it with dependent processes and update crisis playbooks.</t>
  </si>
  <si>
    <t>Sustain maturity for data catalog of critical datasets, reports, dashboards, data sources and users: keep evidence current, monitor drift, benchmark externally and refresh risk tests after organizational, system or market changes.</t>
  </si>
  <si>
    <t>Data BI AI!6</t>
  </si>
  <si>
    <t>Immature capability for consistent metric definitions across finance, sales, operations, HR, supply chain and manufacturing may lead to poor decisions, unreliable reporting, data quality problems and unsafe or ineffective AI usage during Decision failure; Data loss; Regulatory/legal shock.</t>
  </si>
  <si>
    <t>Low maturity, weak ownership, incomplete evidence, insufficient testing and poor integration with crisis-management routines for consistent metric definitions across finance, sales, operations, HR, supply chain and manufacturing.</t>
  </si>
  <si>
    <t>Severe risk: consistent metric definitions across finance, sales, operations, HR, supply chain and manufacturing is not reliably controlled. During Decision failure; Data loss; Regulatory/legal shock, the organization may face poor decisions, unreliable reporting, data quality problems and unsafe or ineffective AI usage with limited visibility or accountability.</t>
  </si>
  <si>
    <t>High risk: consistent metric definitions across finance, sales, operations, HR, supply chain and manufacturing depends on informal practices or individual knowledge. Disruption may expose poor decisions, unreliable reporting, data quality problems and unsafe or ineffective AI usage and slow recovery.</t>
  </si>
  <si>
    <t>Elevated risk: consistent metric definitions across finance, sales, operations, HR, supply chain and manufacturing is partially controlled, but coverage, evidence or testing is inconsistent. Crisis response may be fragmented.</t>
  </si>
  <si>
    <t>Moderate risk: consistent metric definitions across finance, sales, operations, HR, supply chain and manufacturing is documented and owned, but measurement, stress testing and integration with dependent processes need strengthening.</t>
  </si>
  <si>
    <t>Residual risk: consistent metric definitions across finance, sales, operations, HR, supply chain and manufacturing is measured and reviewed, but monitoring, automation or scenario testing should be improved to prevent maturity drift.</t>
  </si>
  <si>
    <t>Low residual risk: consistent metric definitions across finance, sales, operations, HR, supply chain and manufacturing is mature and crisis-tested. Maintain monitoring, evidence, ownership and periodic stress testing.</t>
  </si>
  <si>
    <t>Create an immediate risk owner, minimum control baseline and fallback procedure for consistent metric definitions across finance, sales, operations, HR, supply chain and manufacturing. Add it to the crisis risk register and collect first evidence.</t>
  </si>
  <si>
    <t>Document consistent metric definitions across finance, sales, operations, HR, supply chain and manufacturing, assign RACI, define minimum controls and KPIs, and validate coverage across key sites, teams or systems.</t>
  </si>
  <si>
    <t>Standardize consistent metric definitions across finance, sales, operations, HR, supply chain and manufacturing, close coverage gaps, train accountable roles and connect controls to the relevant crisis scenarios and continuity plans.</t>
  </si>
  <si>
    <t>Measure and test consistent metric definitions across finance, sales, operations, HR, supply chain and manufacturing, run tabletop or operational stress tests, integrate it with dependent processes and update crisis playbooks.</t>
  </si>
  <si>
    <t>Sustain maturity for consistent metric definitions across finance, sales, operations, HR, supply chain and manufacturing: keep evidence current, monitor drift, benchmark externally and refresh risk tests after organizational, system or market changes.</t>
  </si>
  <si>
    <t>Data BI AI!7</t>
  </si>
  <si>
    <t>Immature capability for data quality rules, monitoring and issue resolution process may lead to poor decisions, unreliable reporting, data quality problems and unsafe or ineffective AI usage during Decision failure; Data loss; Regulatory/legal shock.</t>
  </si>
  <si>
    <t>Low maturity, weak ownership, incomplete evidence, insufficient testing and poor integration with crisis-management routines for data quality rules, monitoring and issue resolution process.</t>
  </si>
  <si>
    <t>Severe risk: data quality rules, monitoring and issue resolution process is not reliably controlled. During Decision failure; Data loss; Regulatory/legal shock, the organization may face poor decisions, unreliable reporting, data quality problems and unsafe or ineffective AI usage with limited visibility or accountability.</t>
  </si>
  <si>
    <t>High risk: data quality rules, monitoring and issue resolution process depends on informal practices or individual knowledge. Disruption may expose poor decisions, unreliable reporting, data quality problems and unsafe or ineffective AI usage and slow recovery.</t>
  </si>
  <si>
    <t>Elevated risk: data quality rules, monitoring and issue resolution process is partially controlled, but coverage, evidence or testing is inconsistent. Crisis response may be fragmented.</t>
  </si>
  <si>
    <t>Moderate risk: data quality rules, monitoring and issue resolution process is documented and owned, but measurement, stress testing and integration with dependent processes need strengthening.</t>
  </si>
  <si>
    <t>Residual risk: data quality rules, monitoring and issue resolution process is measured and reviewed, but monitoring, automation or scenario testing should be improved to prevent maturity drift.</t>
  </si>
  <si>
    <t>Low residual risk: data quality rules, monitoring and issue resolution process is mature and crisis-tested. Maintain monitoring, evidence, ownership and periodic stress testing.</t>
  </si>
  <si>
    <t>Create an immediate risk owner, minimum control baseline and fallback procedure for data quality rules, monitoring and issue resolution process. Add it to the crisis risk register and collect first evidence.</t>
  </si>
  <si>
    <t>Document data quality rules, monitoring and issue resolution process, assign RACI, define minimum controls and KPIs, and validate coverage across key sites, teams or systems.</t>
  </si>
  <si>
    <t>Standardize data quality rules, monitoring and issue resolution process, close coverage gaps, train accountable roles and connect controls to the relevant crisis scenarios and continuity plans.</t>
  </si>
  <si>
    <t>Measure and test data quality rules, monitoring and issue resolution process, run tabletop or operational stress tests, integrate it with dependent processes and update crisis playbooks.</t>
  </si>
  <si>
    <t>Sustain maturity for data quality rules, monitoring and issue resolution process: keep evidence current, monitor drift, benchmark externally and refresh risk tests after organizational, system or market changes.</t>
  </si>
  <si>
    <t>Data BI AI!8</t>
  </si>
  <si>
    <t>Immature capability for data classification by sensitivity, business criticality, privacy and retention requirement may lead to poor decisions, unreliable reporting, data quality problems and unsafe or ineffective AI usage during Decision failure; Data loss; Regulatory/legal shock.</t>
  </si>
  <si>
    <t>Low maturity, weak ownership, incomplete evidence, insufficient testing and poor integration with crisis-management routines for data classification by sensitivity, business criticality, privacy and retention requirement.</t>
  </si>
  <si>
    <t>Severe risk: data classification by sensitivity, business criticality, privacy and retention requirement is not reliably controlled. During Decision failure; Data loss; Regulatory/legal shock, the organization may face poor decisions, unreliable reporting, data quality problems and unsafe or ineffective AI usage with limited visibility or accountability.</t>
  </si>
  <si>
    <t>High risk: data classification by sensitivity, business criticality, privacy and retention requirement depends on informal practices or individual knowledge. Disruption may expose poor decisions, unreliable reporting, data quality problems and unsafe or ineffective AI usage and slow recovery.</t>
  </si>
  <si>
    <t>Elevated risk: data classification by sensitivity, business criticality, privacy and retention requirement is partially controlled, but coverage, evidence or testing is inconsistent. Crisis response may be fragmented.</t>
  </si>
  <si>
    <t>Moderate risk: data classification by sensitivity, business criticality, privacy and retention requirement is documented and owned, but measurement, stress testing and integration with dependent processes need strengthening.</t>
  </si>
  <si>
    <t>Residual risk: data classification by sensitivity, business criticality, privacy and retention requirement is measured and reviewed, but monitoring, automation or scenario testing should be improved to prevent maturity drift.</t>
  </si>
  <si>
    <t>Low residual risk: data classification by sensitivity, business criticality, privacy and retention requirement is mature and crisis-tested. Maintain monitoring, evidence, ownership and periodic stress testing.</t>
  </si>
  <si>
    <t>Create an immediate risk owner, minimum control baseline and fallback procedure for data classification by sensitivity, business criticality, privacy and retention requirement. Add it to the crisis risk register and collect first evidence.</t>
  </si>
  <si>
    <t>Document data classification by sensitivity, business criticality, privacy and retention requirement, assign RACI, define minimum controls and KPIs, and validate coverage across key sites, teams or systems.</t>
  </si>
  <si>
    <t>Standardize data classification by sensitivity, business criticality, privacy and retention requirement, close coverage gaps, train accountable roles and connect controls to the relevant crisis scenarios and continuity plans.</t>
  </si>
  <si>
    <t>Measure and test data classification by sensitivity, business criticality, privacy and retention requirement, run tabletop or operational stress tests, integrate it with dependent processes and update crisis playbooks.</t>
  </si>
  <si>
    <t>Sustain maturity for data classification by sensitivity, business criticality, privacy and retention requirement: keep evidence current, monitor drift, benchmark externally and refresh risk tests after organizational, system or market changes.</t>
  </si>
  <si>
    <t>Data BI AI!9</t>
  </si>
  <si>
    <t>Immature capability for data access governance for datasets, warehouses, BI reports and analytics workspaces may lead to poor decisions, unreliable reporting, data quality problems and unsafe or ineffective AI usage during Decision failure; Data loss; Regulatory/legal shock.</t>
  </si>
  <si>
    <t>Low maturity, weak ownership, incomplete evidence, insufficient testing and poor integration with crisis-management routines for data access governance for datasets, warehouses, BI reports and analytics workspaces.</t>
  </si>
  <si>
    <t>Severe risk: data access governance for datasets, warehouses, BI reports and analytics workspaces is not reliably controlled. During Decision failure; Data loss; Regulatory/legal shock, the organization may face poor decisions, unreliable reporting, data quality problems and unsafe or ineffective AI usage with limited visibility or accountability.</t>
  </si>
  <si>
    <t>High risk: data access governance for datasets, warehouses, BI reports and analytics workspaces depends on informal practices or individual knowledge. Disruption may expose poor decisions, unreliable reporting, data quality problems and unsafe or ineffective AI usage and slow recovery.</t>
  </si>
  <si>
    <t>Elevated risk: data access governance for datasets, warehouses, BI reports and analytics workspaces is partially controlled, but coverage, evidence or testing is inconsistent. Crisis response may be fragmented.</t>
  </si>
  <si>
    <t>Moderate risk: data access governance for datasets, warehouses, BI reports and analytics workspaces is documented and owned, but measurement, stress testing and integration with dependent processes need strengthening.</t>
  </si>
  <si>
    <t>Residual risk: data access governance for datasets, warehouses, BI reports and analytics workspaces is measured and reviewed, but monitoring, automation or scenario testing should be improved to prevent maturity drift.</t>
  </si>
  <si>
    <t>Low residual risk: data access governance for datasets, warehouses, BI reports and analytics workspaces is mature and crisis-tested. Maintain monitoring, evidence, ownership and periodic stress testing.</t>
  </si>
  <si>
    <t>Create an immediate risk owner, minimum control baseline and fallback procedure for data access governance for datasets, warehouses, BI reports and analytics workspaces. Add it to the crisis risk register and collect first evidence.</t>
  </si>
  <si>
    <t>Document data access governance for datasets, warehouses, BI reports and analytics workspaces, assign RACI, define minimum controls and KPIs, and validate coverage across key sites, teams or systems.</t>
  </si>
  <si>
    <t>Standardize data access governance for datasets, warehouses, BI reports and analytics workspaces, close coverage gaps, train accountable roles and connect controls to the relevant crisis scenarios and continuity plans.</t>
  </si>
  <si>
    <t>Measure and test data access governance for datasets, warehouses, BI reports and analytics workspaces, run tabletop or operational stress tests, integrate it with dependent processes and update crisis playbooks.</t>
  </si>
  <si>
    <t>Sustain maturity for data access governance for datasets, warehouses, BI reports and analytics workspaces: keep evidence current, monitor drift, benchmark externally and refresh risk tests after organizational, system or market changes.</t>
  </si>
  <si>
    <t>Data BI AI!10</t>
  </si>
  <si>
    <t>Immature capability for data architecture from source systems to warehouse, lake, BI, AI models and reports may lead to poor decisions, unreliable reporting, data quality problems and unsafe or ineffective AI usage during Decision failure; Data loss; Regulatory/legal shock.</t>
  </si>
  <si>
    <t>Low maturity, weak ownership, incomplete evidence, insufficient testing and poor integration with crisis-management routines for data architecture from source systems to warehouse, lake, BI, AI models and reports.</t>
  </si>
  <si>
    <t>Severe risk: data architecture from source systems to warehouse, lake, BI, AI models and reports is not reliably controlled. During Decision failure; Data loss; Regulatory/legal shock, the organization may face poor decisions, unreliable reporting, data quality problems and unsafe or ineffective AI usage with limited visibility or accountability.</t>
  </si>
  <si>
    <t>High risk: data architecture from source systems to warehouse, lake, BI, AI models and reports depends on informal practices or individual knowledge. Disruption may expose poor decisions, unreliable reporting, data quality problems and unsafe or ineffective AI usage and slow recovery.</t>
  </si>
  <si>
    <t>Elevated risk: data architecture from source systems to warehouse, lake, BI, AI models and reports is partially controlled, but coverage, evidence or testing is inconsistent. Crisis response may be fragmented.</t>
  </si>
  <si>
    <t>Moderate risk: data architecture from source systems to warehouse, lake, BI, AI models and reports is documented and owned, but measurement, stress testing and integration with dependent processes need strengthening.</t>
  </si>
  <si>
    <t>Residual risk: data architecture from source systems to warehouse, lake, BI, AI models and reports is measured and reviewed, but monitoring, automation or scenario testing should be improved to prevent maturity drift.</t>
  </si>
  <si>
    <t>Low residual risk: data architecture from source systems to warehouse, lake, BI, AI models and reports is mature and crisis-tested. Maintain monitoring, evidence, ownership and periodic stress testing.</t>
  </si>
  <si>
    <t>Create an immediate risk owner, minimum control baseline and fallback procedure for data architecture from source systems to warehouse, lake, BI, AI models and reports. Add it to the crisis risk register and collect first evidence.</t>
  </si>
  <si>
    <t>Document data architecture from source systems to warehouse, lake, BI, AI models and reports, assign RACI, define minimum controls and KPIs, and validate coverage across key sites, teams or systems.</t>
  </si>
  <si>
    <t>Standardize data architecture from source systems to warehouse, lake, BI, AI models and reports, close coverage gaps, train accountable roles and connect controls to the relevant crisis scenarios and continuity plans.</t>
  </si>
  <si>
    <t>Measure and test data architecture from source systems to warehouse, lake, BI, AI models and reports, run tabletop or operational stress tests, integrate it with dependent processes and update crisis playbooks.</t>
  </si>
  <si>
    <t>Sustain maturity for data architecture from source systems to warehouse, lake, BI, AI models and reports: keep evidence current, monitor drift, benchmark externally and refresh risk tests after organizational, system or market changes.</t>
  </si>
  <si>
    <t>Data BI AI!11</t>
  </si>
  <si>
    <t>Immature capability for ETL or ELT monitoring for failures, latency, completeness and reconciliation may lead to poor decisions, unreliable reporting, data quality problems and unsafe or ineffective AI usage during Decision failure; Data loss; Regulatory/legal shock.</t>
  </si>
  <si>
    <t>Low maturity, weak ownership, incomplete evidence, insufficient testing and poor integration with crisis-management routines for ETL or ELT monitoring for failures, latency, completeness and reconciliation.</t>
  </si>
  <si>
    <t>Severe risk: ETL or ELT monitoring for failures, latency, completeness and reconciliation is not reliably controlled. During Decision failure; Data loss; Regulatory/legal shock, the organization may face poor decisions, unreliable reporting, data quality problems and unsafe or ineffective AI usage with limited visibility or accountability.</t>
  </si>
  <si>
    <t>High risk: ETL or ELT monitoring for failures, latency, completeness and reconciliation depends on informal practices or individual knowledge. Disruption may expose poor decisions, unreliable reporting, data quality problems and unsafe or ineffective AI usage and slow recovery.</t>
  </si>
  <si>
    <t>Elevated risk: ETL or ELT monitoring for failures, latency, completeness and reconciliation is partially controlled, but coverage, evidence or testing is inconsistent. Crisis response may be fragmented.</t>
  </si>
  <si>
    <t>Moderate risk: ETL or ELT monitoring for failures, latency, completeness and reconciliation is documented and owned, but measurement, stress testing and integration with dependent processes need strengthening.</t>
  </si>
  <si>
    <t>Residual risk: ETL or ELT monitoring for failures, latency, completeness and reconciliation is measured and reviewed, but monitoring, automation or scenario testing should be improved to prevent maturity drift.</t>
  </si>
  <si>
    <t>Low residual risk: ETL or ELT monitoring for failures, latency, completeness and reconciliation is mature and crisis-tested. Maintain monitoring, evidence, ownership and periodic stress testing.</t>
  </si>
  <si>
    <t>Create an immediate risk owner, minimum control baseline and fallback procedure for ETL or ELT monitoring for failures, latency, completeness and reconciliation. Add it to the crisis risk register and collect first evidence.</t>
  </si>
  <si>
    <t>Document ETL or ELT monitoring for failures, latency, completeness and reconciliation, assign RACI, define minimum controls and KPIs, and validate coverage across key sites, teams or systems.</t>
  </si>
  <si>
    <t>Standardize ETL or ELT monitoring for failures, latency, completeness and reconciliation, close coverage gaps, train accountable roles and connect controls to the relevant crisis scenarios and continuity plans.</t>
  </si>
  <si>
    <t>Measure and test ETL or ELT monitoring for failures, latency, completeness and reconciliation, run tabletop or operational stress tests, integrate it with dependent processes and update crisis playbooks.</t>
  </si>
  <si>
    <t>Sustain maturity for ETL or ELT monitoring for failures, latency, completeness and reconciliation: keep evidence current, monitor drift, benchmark externally and refresh risk tests after organizational, system or market changes.</t>
  </si>
  <si>
    <t>Data BI AI!12</t>
  </si>
  <si>
    <t>Immature capability for data lineage for critical KPIs, regulatory reports and board dashboards may lead to poor decisions, unreliable reporting, data quality problems and unsafe or ineffective AI usage during Decision failure; Data loss; Regulatory/legal shock.</t>
  </si>
  <si>
    <t>Low maturity, weak ownership, incomplete evidence, insufficient testing and poor integration with crisis-management routines for data lineage for critical KPIs, regulatory reports and board dashboards.</t>
  </si>
  <si>
    <t>Severe risk: data lineage for critical KPIs, regulatory reports and board dashboards is not reliably controlled. During Decision failure; Data loss; Regulatory/legal shock, the organization may face poor decisions, unreliable reporting, data quality problems and unsafe or ineffective AI usage with limited visibility or accountability.</t>
  </si>
  <si>
    <t>High risk: data lineage for critical KPIs, regulatory reports and board dashboards depends on informal practices or individual knowledge. Disruption may expose poor decisions, unreliable reporting, data quality problems and unsafe or ineffective AI usage and slow recovery.</t>
  </si>
  <si>
    <t>Elevated risk: data lineage for critical KPIs, regulatory reports and board dashboards is partially controlled, but coverage, evidence or testing is inconsistent. Crisis response may be fragmented.</t>
  </si>
  <si>
    <t>Moderate risk: data lineage for critical KPIs, regulatory reports and board dashboards is documented and owned, but measurement, stress testing and integration with dependent processes need strengthening.</t>
  </si>
  <si>
    <t>Residual risk: data lineage for critical KPIs, regulatory reports and board dashboards is measured and reviewed, but monitoring, automation or scenario testing should be improved to prevent maturity drift.</t>
  </si>
  <si>
    <t>Low residual risk: data lineage for critical KPIs, regulatory reports and board dashboards is mature and crisis-tested. Maintain monitoring, evidence, ownership and periodic stress testing.</t>
  </si>
  <si>
    <t>Create an immediate risk owner, minimum control baseline and fallback procedure for data lineage for critical KPIs, regulatory reports and board dashboards. Add it to the crisis risk register and collect first evidence.</t>
  </si>
  <si>
    <t>Document data lineage for critical KPIs, regulatory reports and board dashboards, assign RACI, define minimum controls and KPIs, and validate coverage across key sites, teams or systems.</t>
  </si>
  <si>
    <t>Standardize data lineage for critical KPIs, regulatory reports and board dashboards, close coverage gaps, train accountable roles and connect controls to the relevant crisis scenarios and continuity plans.</t>
  </si>
  <si>
    <t>Measure and test data lineage for critical KPIs, regulatory reports and board dashboards, run tabletop or operational stress tests, integrate it with dependent processes and update crisis playbooks.</t>
  </si>
  <si>
    <t>Sustain maturity for data lineage for critical KPIs, regulatory reports and board dashboards: keep evidence current, monitor drift, benchmark externally and refresh risk tests after organizational, system or market changes.</t>
  </si>
  <si>
    <t>Data BI AI!13</t>
  </si>
  <si>
    <t>Immature capability for backup and recovery for critical datasets, warehouses, BI content and analytics code may lead to poor decisions, unreliable reporting, data quality problems and unsafe or ineffective AI usage during Decision failure; Data loss; Regulatory/legal shock.</t>
  </si>
  <si>
    <t>Low maturity, weak ownership, incomplete evidence, insufficient testing and poor integration with crisis-management routines for backup and recovery for critical datasets, warehouses, BI content and analytics code.</t>
  </si>
  <si>
    <t>Severe risk: backup and recovery for critical datasets, warehouses, BI content and analytics code is not reliably controlled. During Decision failure; Data loss; Regulatory/legal shock, the organization may face poor decisions, unreliable reporting, data quality problems and unsafe or ineffective AI usage with limited visibility or accountability.</t>
  </si>
  <si>
    <t>High risk: backup and recovery for critical datasets, warehouses, BI content and analytics code depends on informal practices or individual knowledge. Disruption may expose poor decisions, unreliable reporting, data quality problems and unsafe or ineffective AI usage and slow recovery.</t>
  </si>
  <si>
    <t>Elevated risk: backup and recovery for critical datasets, warehouses, BI content and analytics code is partially controlled, but coverage, evidence or testing is inconsistent. Crisis response may be fragmented.</t>
  </si>
  <si>
    <t>Moderate risk: backup and recovery for critical datasets, warehouses, BI content and analytics code is documented and owned, but measurement, stress testing and integration with dependent processes need strengthening.</t>
  </si>
  <si>
    <t>Residual risk: backup and recovery for critical datasets, warehouses, BI content and analytics code is measured and reviewed, but monitoring, automation or scenario testing should be improved to prevent maturity drift.</t>
  </si>
  <si>
    <t>Low residual risk: backup and recovery for critical datasets, warehouses, BI content and analytics code is mature and crisis-tested. Maintain monitoring, evidence, ownership and periodic stress testing.</t>
  </si>
  <si>
    <t>Create an immediate risk owner, minimum control baseline and fallback procedure for backup and recovery for critical datasets, warehouses, BI content and analytics code. Add it to the crisis risk register and collect first evidence.</t>
  </si>
  <si>
    <t>Document backup and recovery for critical datasets, warehouses, BI content and analytics code, assign RACI, define minimum controls and KPIs, and validate coverage across key sites, teams or systems.</t>
  </si>
  <si>
    <t>Standardize backup and recovery for critical datasets, warehouses, BI content and analytics code, close coverage gaps, train accountable roles and connect controls to the relevant crisis scenarios and continuity plans.</t>
  </si>
  <si>
    <t>Measure and test backup and recovery for critical datasets, warehouses, BI content and analytics code, run tabletop or operational stress tests, integrate it with dependent processes and update crisis playbooks.</t>
  </si>
  <si>
    <t>Sustain maturity for backup and recovery for critical datasets, warehouses, BI content and analytics code: keep evidence current, monitor drift, benchmark externally and refresh risk tests after organizational, system or market changes.</t>
  </si>
  <si>
    <t>Data BI AI!14</t>
  </si>
  <si>
    <t>Immature capability for retention and deletion rules for structured and unstructured data may lead to poor decisions, unreliable reporting, data quality problems and unsafe or ineffective AI usage during Decision failure; Data loss; Regulatory/legal shock.</t>
  </si>
  <si>
    <t>Low maturity, weak ownership, incomplete evidence, insufficient testing and poor integration with crisis-management routines for retention and deletion rules for structured and unstructured data.</t>
  </si>
  <si>
    <t>Severe risk: retention and deletion rules for structured and unstructured data is not reliably controlled. During Decision failure; Data loss; Regulatory/legal shock, the organization may face poor decisions, unreliable reporting, data quality problems and unsafe or ineffective AI usage with limited visibility or accountability.</t>
  </si>
  <si>
    <t>High risk: retention and deletion rules for structured and unstructured data depends on informal practices or individual knowledge. Disruption may expose poor decisions, unreliable reporting, data quality problems and unsafe or ineffective AI usage and slow recovery.</t>
  </si>
  <si>
    <t>Elevated risk: retention and deletion rules for structured and unstructured data is partially controlled, but coverage, evidence or testing is inconsistent. Crisis response may be fragmented.</t>
  </si>
  <si>
    <t>Moderate risk: retention and deletion rules for structured and unstructured data is documented and owned, but measurement, stress testing and integration with dependent processes need strengthening.</t>
  </si>
  <si>
    <t>Residual risk: retention and deletion rules for structured and unstructured data is measured and reviewed, but monitoring, automation or scenario testing should be improved to prevent maturity drift.</t>
  </si>
  <si>
    <t>Low residual risk: retention and deletion rules for structured and unstructured data is mature and crisis-tested. Maintain monitoring, evidence, ownership and periodic stress testing.</t>
  </si>
  <si>
    <t>Create an immediate risk owner, minimum control baseline and fallback procedure for retention and deletion rules for structured and unstructured data. Add it to the crisis risk register and collect first evidence.</t>
  </si>
  <si>
    <t>Document retention and deletion rules for structured and unstructured data, assign RACI, define minimum controls and KPIs, and validate coverage across key sites, teams or systems.</t>
  </si>
  <si>
    <t>Standardize retention and deletion rules for structured and unstructured data, close coverage gaps, train accountable roles and connect controls to the relevant crisis scenarios and continuity plans.</t>
  </si>
  <si>
    <t>Measure and test retention and deletion rules for structured and unstructured data, run tabletop or operational stress tests, integrate it with dependent processes and update crisis playbooks.</t>
  </si>
  <si>
    <t>Sustain maturity for retention and deletion rules for structured and unstructured data: keep evidence current, monitor drift, benchmark externally and refresh risk tests after organizational, system or market changes.</t>
  </si>
  <si>
    <t>Data BI AI!15</t>
  </si>
  <si>
    <t>Immature capability for external data source validation for quality, licensing, availability and continuity may lead to poor decisions, unreliable reporting, data quality problems and unsafe or ineffective AI usage during Decision failure; Data loss; Regulatory/legal shock.</t>
  </si>
  <si>
    <t>Low maturity, weak ownership, incomplete evidence, insufficient testing and poor integration with crisis-management routines for external data source validation for quality, licensing, availability and continuity.</t>
  </si>
  <si>
    <t>Severe risk: external data source validation for quality, licensing, availability and continuity is not reliably controlled. During Decision failure; Data loss; Regulatory/legal shock, the organization may face poor decisions, unreliable reporting, data quality problems and unsafe or ineffective AI usage with limited visibility or accountability.</t>
  </si>
  <si>
    <t>High risk: external data source validation for quality, licensing, availability and continuity depends on informal practices or individual knowledge. Disruption may expose poor decisions, unreliable reporting, data quality problems and unsafe or ineffective AI usage and slow recovery.</t>
  </si>
  <si>
    <t>Elevated risk: external data source validation for quality, licensing, availability and continuity is partially controlled, but coverage, evidence or testing is inconsistent. Crisis response may be fragmented.</t>
  </si>
  <si>
    <t>Moderate risk: external data source validation for quality, licensing, availability and continuity is documented and owned, but measurement, stress testing and integration with dependent processes need strengthening.</t>
  </si>
  <si>
    <t>Residual risk: external data source validation for quality, licensing, availability and continuity is measured and reviewed, but monitoring, automation or scenario testing should be improved to prevent maturity drift.</t>
  </si>
  <si>
    <t>Low residual risk: external data source validation for quality, licensing, availability and continuity is mature and crisis-tested. Maintain monitoring, evidence, ownership and periodic stress testing.</t>
  </si>
  <si>
    <t>Create an immediate risk owner, minimum control baseline and fallback procedure for external data source validation for quality, licensing, availability and continuity. Add it to the crisis risk register and collect first evidence.</t>
  </si>
  <si>
    <t>Document external data source validation for quality, licensing, availability and continuity, assign RACI, define minimum controls and KPIs, and validate coverage across key sites, teams or systems.</t>
  </si>
  <si>
    <t>Standardize external data source validation for quality, licensing, availability and continuity, close coverage gaps, train accountable roles and connect controls to the relevant crisis scenarios and continuity plans.</t>
  </si>
  <si>
    <t>Measure and test external data source validation for quality, licensing, availability and continuity, run tabletop or operational stress tests, integrate it with dependent processes and update crisis playbooks.</t>
  </si>
  <si>
    <t>Sustain maturity for external data source validation for quality, licensing, availability and continuity: keep evidence current, monitor drift, benchmark externally and refresh risk tests after organizational, system or market changes.</t>
  </si>
  <si>
    <t>Data BI AI!16</t>
  </si>
  <si>
    <t>Immature capability for executive dashboards for crisis KPIs such as cash, workforce, supply, delivery, revenue and incidents may lead to poor decisions, unreliable reporting, data quality problems and unsafe or ineffective AI usage during Decision failure; Data loss; Regulatory/legal shock.</t>
  </si>
  <si>
    <t>Low maturity, weak ownership, incomplete evidence, insufficient testing and poor integration with crisis-management routines for executive dashboards for crisis KPIs such as cash, workforce, supply, delivery, revenue and incidents.</t>
  </si>
  <si>
    <t>Severe risk: executive dashboards for crisis KPIs such as cash, workforce, supply, delivery, revenue and incidents is not reliably controlled. During Decision failure; Data loss; Regulatory/legal shock, the organization may face poor decisions, unreliable reporting, data quality problems and unsafe or ineffective AI usage with limited visibility or accountability.</t>
  </si>
  <si>
    <t>High risk: executive dashboards for crisis KPIs such as cash, workforce, supply, delivery, revenue and incidents depends on informal practices or individual knowledge. Disruption may expose poor decisions, unreliable reporting, data quality problems and unsafe or ineffective AI usage and slow recovery.</t>
  </si>
  <si>
    <t>Elevated risk: executive dashboards for crisis KPIs such as cash, workforce, supply, delivery, revenue and incidents is partially controlled, but coverage, evidence or testing is inconsistent. Crisis response may be fragmented.</t>
  </si>
  <si>
    <t>Moderate risk: executive dashboards for crisis KPIs such as cash, workforce, supply, delivery, revenue and incidents is documented and owned, but measurement, stress testing and integration with dependent processes need strengthening.</t>
  </si>
  <si>
    <t>Residual risk: executive dashboards for crisis KPIs such as cash, workforce, supply, delivery, revenue and incidents is measured and reviewed, but monitoring, automation or scenario testing should be improved to prevent maturity drift.</t>
  </si>
  <si>
    <t>Low residual risk: executive dashboards for crisis KPIs such as cash, workforce, supply, delivery, revenue and incidents is mature and crisis-tested. Maintain monitoring, evidence, ownership and periodic stress testing.</t>
  </si>
  <si>
    <t>Create an immediate risk owner, minimum control baseline and fallback procedure for executive dashboards for crisis KPIs such as cash, workforce, supply, delivery, revenue and incidents. Add it to the crisis risk register and collect first evidence.</t>
  </si>
  <si>
    <t>Document executive dashboards for crisis KPIs such as cash, workforce, supply, delivery, revenue and incidents, assign RACI, define minimum controls and KPIs, and validate coverage across key sites, teams or systems.</t>
  </si>
  <si>
    <t>Standardize executive dashboards for crisis KPIs such as cash, workforce, supply, delivery, revenue and incidents, close coverage gaps, train accountable roles and connect controls to the relevant crisis scenarios and continuity plans.</t>
  </si>
  <si>
    <t>Measure and test executive dashboards for crisis KPIs such as cash, workforce, supply, delivery, revenue and incidents, run tabletop or operational stress tests, integrate it with dependent processes and update crisis playbooks.</t>
  </si>
  <si>
    <t>Sustain maturity for executive dashboards for crisis KPIs such as cash, workforce, supply, delivery, revenue and incidents: keep evidence current, monitor drift, benchmark externally and refresh risk tests after organizational, system or market changes.</t>
  </si>
  <si>
    <t>Data BI AI!17</t>
  </si>
  <si>
    <t>Immature capability for operational dashboards for daily management and crisis response may lead to poor decisions, unreliable reporting, data quality problems and unsafe or ineffective AI usage during Decision failure; Data loss; Regulatory/legal shock.</t>
  </si>
  <si>
    <t>Low maturity, weak ownership, incomplete evidence, insufficient testing and poor integration with crisis-management routines for operational dashboards for daily management and crisis response.</t>
  </si>
  <si>
    <t>Severe risk: operational dashboards for daily management and crisis response is not reliably controlled. During Decision failure; Data loss; Regulatory/legal shock, the organization may face poor decisions, unreliable reporting, data quality problems and unsafe or ineffective AI usage with limited visibility or accountability.</t>
  </si>
  <si>
    <t>High risk: operational dashboards for daily management and crisis response depends on informal practices or individual knowledge. Disruption may expose poor decisions, unreliable reporting, data quality problems and unsafe or ineffective AI usage and slow recovery.</t>
  </si>
  <si>
    <t>Elevated risk: operational dashboards for daily management and crisis response is partially controlled, but coverage, evidence or testing is inconsistent. Crisis response may be fragmented.</t>
  </si>
  <si>
    <t>Moderate risk: operational dashboards for daily management and crisis response is documented and owned, but measurement, stress testing and integration with dependent processes need strengthening.</t>
  </si>
  <si>
    <t>Residual risk: operational dashboards for daily management and crisis response is measured and reviewed, but monitoring, automation or scenario testing should be improved to prevent maturity drift.</t>
  </si>
  <si>
    <t>Low residual risk: operational dashboards for daily management and crisis response is mature and crisis-tested. Maintain monitoring, evidence, ownership and periodic stress testing.</t>
  </si>
  <si>
    <t>Create an immediate risk owner, minimum control baseline and fallback procedure for operational dashboards for daily management and crisis response. Add it to the crisis risk register and collect first evidence.</t>
  </si>
  <si>
    <t>Document operational dashboards for daily management and crisis response, assign RACI, define minimum controls and KPIs, and validate coverage across key sites, teams or systems.</t>
  </si>
  <si>
    <t>Standardize operational dashboards for daily management and crisis response, close coverage gaps, train accountable roles and connect controls to the relevant crisis scenarios and continuity plans.</t>
  </si>
  <si>
    <t>Measure and test operational dashboards for daily management and crisis response, run tabletop or operational stress tests, integrate it with dependent processes and update crisis playbooks.</t>
  </si>
  <si>
    <t>Sustain maturity for operational dashboards for daily management and crisis response: keep evidence current, monitor drift, benchmark externally and refresh risk tests after organizational, system or market changes.</t>
  </si>
  <si>
    <t>Data BI AI!18</t>
  </si>
  <si>
    <t>Immature capability for single source of truth for critical reports instead of manually reconciled spreadsheets may lead to poor decisions, unreliable reporting, data quality problems and unsafe or ineffective AI usage during Decision failure; Data loss; Regulatory/legal shock.</t>
  </si>
  <si>
    <t>Low maturity, weak ownership, incomplete evidence, insufficient testing and poor integration with crisis-management routines for single source of truth for critical reports instead of manually reconciled spreadsheets.</t>
  </si>
  <si>
    <t>Severe risk: single source of truth for critical reports instead of manually reconciled spreadsheets is not reliably controlled. During Decision failure; Data loss; Regulatory/legal shock, the organization may face poor decisions, unreliable reporting, data quality problems and unsafe or ineffective AI usage with limited visibility or accountability.</t>
  </si>
  <si>
    <t>High risk: single source of truth for critical reports instead of manually reconciled spreadsheets depends on informal practices or individual knowledge. Disruption may expose poor decisions, unreliable reporting, data quality problems and unsafe or ineffective AI usage and slow recovery.</t>
  </si>
  <si>
    <t>Elevated risk: single source of truth for critical reports instead of manually reconciled spreadsheets is partially controlled, but coverage, evidence or testing is inconsistent. Crisis response may be fragmented.</t>
  </si>
  <si>
    <t>Moderate risk: single source of truth for critical reports instead of manually reconciled spreadsheets is documented and owned, but measurement, stress testing and integration with dependent processes need strengthening.</t>
  </si>
  <si>
    <t>Residual risk: single source of truth for critical reports instead of manually reconciled spreadsheets is measured and reviewed, but monitoring, automation or scenario testing should be improved to prevent maturity drift.</t>
  </si>
  <si>
    <t>Low residual risk: single source of truth for critical reports instead of manually reconciled spreadsheets is mature and crisis-tested. Maintain monitoring, evidence, ownership and periodic stress testing.</t>
  </si>
  <si>
    <t>Create an immediate risk owner, minimum control baseline and fallback procedure for single source of truth for critical reports instead of manually reconciled spreadsheets. Add it to the crisis risk register and collect first evidence.</t>
  </si>
  <si>
    <t>Document single source of truth for critical reports instead of manually reconciled spreadsheets, assign RACI, define minimum controls and KPIs, and validate coverage across key sites, teams or systems.</t>
  </si>
  <si>
    <t>Standardize single source of truth for critical reports instead of manually reconciled spreadsheets, close coverage gaps, train accountable roles and connect controls to the relevant crisis scenarios and continuity plans.</t>
  </si>
  <si>
    <t>Measure and test single source of truth for critical reports instead of manually reconciled spreadsheets, run tabletop or operational stress tests, integrate it with dependent processes and update crisis playbooks.</t>
  </si>
  <si>
    <t>Sustain maturity for single source of truth for critical reports instead of manually reconciled spreadsheets: keep evidence current, monitor drift, benchmark externally and refresh risk tests after organizational, system or market changes.</t>
  </si>
  <si>
    <t>Data BI AI!19</t>
  </si>
  <si>
    <t>Immature capability for self-service analytics governance to avoid uncontrolled reporting may lead to poor decisions, unreliable reporting, data quality problems and unsafe or ineffective AI usage during Decision failure; Data loss; Regulatory/legal shock.</t>
  </si>
  <si>
    <t>Low maturity, weak ownership, incomplete evidence, insufficient testing and poor integration with crisis-management routines for self-service analytics governance to avoid uncontrolled reporting.</t>
  </si>
  <si>
    <t>Severe risk: self-service analytics governance to avoid uncontrolled reporting is not reliably controlled. During Decision failure; Data loss; Regulatory/legal shock, the organization may face poor decisions, unreliable reporting, data quality problems and unsafe or ineffective AI usage with limited visibility or accountability.</t>
  </si>
  <si>
    <t>High risk: self-service analytics governance to avoid uncontrolled reporting depends on informal practices or individual knowledge. Disruption may expose poor decisions, unreliable reporting, data quality problems and unsafe or ineffective AI usage and slow recovery.</t>
  </si>
  <si>
    <t>Elevated risk: self-service analytics governance to avoid uncontrolled reporting is partially controlled, but coverage, evidence or testing is inconsistent. Crisis response may be fragmented.</t>
  </si>
  <si>
    <t>Moderate risk: self-service analytics governance to avoid uncontrolled reporting is documented and owned, but measurement, stress testing and integration with dependent processes need strengthening.</t>
  </si>
  <si>
    <t>Residual risk: self-service analytics governance to avoid uncontrolled reporting is measured and reviewed, but monitoring, automation or scenario testing should be improved to prevent maturity drift.</t>
  </si>
  <si>
    <t>Low residual risk: self-service analytics governance to avoid uncontrolled reporting is mature and crisis-tested. Maintain monitoring, evidence, ownership and periodic stress testing.</t>
  </si>
  <si>
    <t>Create an immediate risk owner, minimum control baseline and fallback procedure for self-service analytics governance to avoid uncontrolled reporting. Add it to the crisis risk register and collect first evidence.</t>
  </si>
  <si>
    <t>Document self-service analytics governance to avoid uncontrolled reporting, assign RACI, define minimum controls and KPIs, and validate coverage across key sites, teams or systems.</t>
  </si>
  <si>
    <t>Standardize self-service analytics governance to avoid uncontrolled reporting, close coverage gaps, train accountable roles and connect controls to the relevant crisis scenarios and continuity plans.</t>
  </si>
  <si>
    <t>Measure and test self-service analytics governance to avoid uncontrolled reporting, run tabletop or operational stress tests, integrate it with dependent processes and update crisis playbooks.</t>
  </si>
  <si>
    <t>Sustain maturity for self-service analytics governance to avoid uncontrolled reporting: keep evidence current, monitor drift, benchmark externally and refresh risk tests after organizational, system or market changes.</t>
  </si>
  <si>
    <t>Data BI AI!20</t>
  </si>
  <si>
    <t>Immature capability for rapid ad hoc crisis reporting without breaking data controls may lead to poor decisions, unreliable reporting, data quality problems and unsafe or ineffective AI usage during Decision failure; Data loss; Regulatory/legal shock.</t>
  </si>
  <si>
    <t>Low maturity, weak ownership, incomplete evidence, insufficient testing and poor integration with crisis-management routines for rapid ad hoc crisis reporting without breaking data controls.</t>
  </si>
  <si>
    <t>Severe risk: rapid ad hoc crisis reporting without breaking data controls is not reliably controlled. During Decision failure; Data loss; Regulatory/legal shock, the organization may face poor decisions, unreliable reporting, data quality problems and unsafe or ineffective AI usage with limited visibility or accountability.</t>
  </si>
  <si>
    <t>High risk: rapid ad hoc crisis reporting without breaking data controls depends on informal practices or individual knowledge. Disruption may expose poor decisions, unreliable reporting, data quality problems and unsafe or ineffective AI usage and slow recovery.</t>
  </si>
  <si>
    <t>Elevated risk: rapid ad hoc crisis reporting without breaking data controls is partially controlled, but coverage, evidence or testing is inconsistent. Crisis response may be fragmented.</t>
  </si>
  <si>
    <t>Moderate risk: rapid ad hoc crisis reporting without breaking data controls is documented and owned, but measurement, stress testing and integration with dependent processes need strengthening.</t>
  </si>
  <si>
    <t>Residual risk: rapid ad hoc crisis reporting without breaking data controls is measured and reviewed, but monitoring, automation or scenario testing should be improved to prevent maturity drift.</t>
  </si>
  <si>
    <t>Low residual risk: rapid ad hoc crisis reporting without breaking data controls is mature and crisis-tested. Maintain monitoring, evidence, ownership and periodic stress testing.</t>
  </si>
  <si>
    <t>Create an immediate risk owner, minimum control baseline and fallback procedure for rapid ad hoc crisis reporting without breaking data controls. Add it to the crisis risk register and collect first evidence.</t>
  </si>
  <si>
    <t>Document rapid ad hoc crisis reporting without breaking data controls, assign RACI, define minimum controls and KPIs, and validate coverage across key sites, teams or systems.</t>
  </si>
  <si>
    <t>Standardize rapid ad hoc crisis reporting without breaking data controls, close coverage gaps, train accountable roles and connect controls to the relevant crisis scenarios and continuity plans.</t>
  </si>
  <si>
    <t>Measure and test rapid ad hoc crisis reporting without breaking data controls, run tabletop or operational stress tests, integrate it with dependent processes and update crisis playbooks.</t>
  </si>
  <si>
    <t>Sustain maturity for rapid ad hoc crisis reporting without breaking data controls: keep evidence current, monitor drift, benchmark externally and refresh risk tests after organizational, system or market changes.</t>
  </si>
  <si>
    <t>Data BI AI!21</t>
  </si>
  <si>
    <t>Immature capability for data literacy of managers and employees interpreting KPIs, forecasts and analytics may lead to poor decisions, unreliable reporting, data quality problems and unsafe or ineffective AI usage during Decision failure; Data loss; Regulatory/legal shock.</t>
  </si>
  <si>
    <t>Low maturity, weak ownership, incomplete evidence, insufficient testing and poor integration with crisis-management routines for data literacy of managers and employees interpreting KPIs, forecasts and analytics.</t>
  </si>
  <si>
    <t>Severe risk: data literacy of managers and employees interpreting KPIs, forecasts and analytics is not reliably controlled. During Decision failure; Data loss; Regulatory/legal shock, the organization may face poor decisions, unreliable reporting, data quality problems and unsafe or ineffective AI usage with limited visibility or accountability.</t>
  </si>
  <si>
    <t>High risk: data literacy of managers and employees interpreting KPIs, forecasts and analytics depends on informal practices or individual knowledge. Disruption may expose poor decisions, unreliable reporting, data quality problems and unsafe or ineffective AI usage and slow recovery.</t>
  </si>
  <si>
    <t>Elevated risk: data literacy of managers and employees interpreting KPIs, forecasts and analytics is partially controlled, but coverage, evidence or testing is inconsistent. Crisis response may be fragmented.</t>
  </si>
  <si>
    <t>Moderate risk: data literacy of managers and employees interpreting KPIs, forecasts and analytics is documented and owned, but measurement, stress testing and integration with dependent processes need strengthening.</t>
  </si>
  <si>
    <t>Residual risk: data literacy of managers and employees interpreting KPIs, forecasts and analytics is measured and reviewed, but monitoring, automation or scenario testing should be improved to prevent maturity drift.</t>
  </si>
  <si>
    <t>Low residual risk: data literacy of managers and employees interpreting KPIs, forecasts and analytics is mature and crisis-tested. Maintain monitoring, evidence, ownership and periodic stress testing.</t>
  </si>
  <si>
    <t>Create an immediate risk owner, minimum control baseline and fallback procedure for data literacy of managers and employees interpreting KPIs, forecasts and analytics. Add it to the crisis risk register and collect first evidence.</t>
  </si>
  <si>
    <t>Document data literacy of managers and employees interpreting KPIs, forecasts and analytics, assign RACI, define minimum controls and KPIs, and validate coverage across key sites, teams or systems.</t>
  </si>
  <si>
    <t>Standardize data literacy of managers and employees interpreting KPIs, forecasts and analytics, close coverage gaps, train accountable roles and connect controls to the relevant crisis scenarios and continuity plans.</t>
  </si>
  <si>
    <t>Measure and test data literacy of managers and employees interpreting KPIs, forecasts and analytics, run tabletop or operational stress tests, integrate it with dependent processes and update crisis playbooks.</t>
  </si>
  <si>
    <t>Sustain maturity for data literacy of managers and employees interpreting KPIs, forecasts and analytics: keep evidence current, monitor drift, benchmark externally and refresh risk tests after organizational, system or market changes.</t>
  </si>
  <si>
    <t>Data BI AI!22</t>
  </si>
  <si>
    <t>Immature capability for forecasting capability for demand, cash, inventory, workforce, production, churn or supplier risk may lead to poor decisions, unreliable reporting, data quality problems and unsafe or ineffective AI usage during Decision failure; Data loss; Regulatory/legal shock.</t>
  </si>
  <si>
    <t>Low maturity, weak ownership, incomplete evidence, insufficient testing and poor integration with crisis-management routines for forecasting capability for demand, cash, inventory, workforce, production, churn or supplier risk.</t>
  </si>
  <si>
    <t>Severe risk: forecasting capability for demand, cash, inventory, workforce, production, churn or supplier risk is not reliably controlled. During Decision failure; Data loss; Regulatory/legal shock, the organization may face poor decisions, unreliable reporting, data quality problems and unsafe or ineffective AI usage with limited visibility or accountability.</t>
  </si>
  <si>
    <t>High risk: forecasting capability for demand, cash, inventory, workforce, production, churn or supplier risk depends on informal practices or individual knowledge. Disruption may expose poor decisions, unreliable reporting, data quality problems and unsafe or ineffective AI usage and slow recovery.</t>
  </si>
  <si>
    <t>Elevated risk: forecasting capability for demand, cash, inventory, workforce, production, churn or supplier risk is partially controlled, but coverage, evidence or testing is inconsistent. Crisis response may be fragmented.</t>
  </si>
  <si>
    <t>Moderate risk: forecasting capability for demand, cash, inventory, workforce, production, churn or supplier risk is documented and owned, but measurement, stress testing and integration with dependent processes need strengthening.</t>
  </si>
  <si>
    <t>Residual risk: forecasting capability for demand, cash, inventory, workforce, production, churn or supplier risk is measured and reviewed, but monitoring, automation or scenario testing should be improved to prevent maturity drift.</t>
  </si>
  <si>
    <t>Low residual risk: forecasting capability for demand, cash, inventory, workforce, production, churn or supplier risk is mature and crisis-tested. Maintain monitoring, evidence, ownership and periodic stress testing.</t>
  </si>
  <si>
    <t>Create an immediate risk owner, minimum control baseline and fallback procedure for forecasting capability for demand, cash, inventory, workforce, production, churn or supplier risk. Add it to the crisis risk register and collect first evidence.</t>
  </si>
  <si>
    <t>Document forecasting capability for demand, cash, inventory, workforce, production, churn or supplier risk, assign RACI, define minimum controls and KPIs, and validate coverage across key sites, teams or systems.</t>
  </si>
  <si>
    <t>Standardize forecasting capability for demand, cash, inventory, workforce, production, churn or supplier risk, close coverage gaps, train accountable roles and connect controls to the relevant crisis scenarios and continuity plans.</t>
  </si>
  <si>
    <t>Measure and test forecasting capability for demand, cash, inventory, workforce, production, churn or supplier risk, run tabletop or operational stress tests, integrate it with dependent processes and update crisis playbooks.</t>
  </si>
  <si>
    <t>Sustain maturity for forecasting capability for demand, cash, inventory, workforce, production, churn or supplier risk: keep evidence current, monitor drift, benchmark externally and refresh risk tests after organizational, system or market changes.</t>
  </si>
  <si>
    <t>Data BI AI!23</t>
  </si>
  <si>
    <t>Immature capability for scenario modeling using sales, suppliers, workforce, cash, inventory and system downtime may lead to poor decisions, unreliable reporting, data quality problems and unsafe or ineffective AI usage during Decision failure; Data loss; Regulatory/legal shock.</t>
  </si>
  <si>
    <t>Low maturity, weak ownership, incomplete evidence, insufficient testing and poor integration with crisis-management routines for scenario modeling using sales, suppliers, workforce, cash, inventory and system downtime.</t>
  </si>
  <si>
    <t>Severe risk: scenario modeling using sales, suppliers, workforce, cash, inventory and system downtime is not reliably controlled. During Decision failure; Data loss; Regulatory/legal shock, the organization may face poor decisions, unreliable reporting, data quality problems and unsafe or ineffective AI usage with limited visibility or accountability.</t>
  </si>
  <si>
    <t>High risk: scenario modeling using sales, suppliers, workforce, cash, inventory and system downtime depends on informal practices or individual knowledge. Disruption may expose poor decisions, unreliable reporting, data quality problems and unsafe or ineffective AI usage and slow recovery.</t>
  </si>
  <si>
    <t>Elevated risk: scenario modeling using sales, suppliers, workforce, cash, inventory and system downtime is partially controlled, but coverage, evidence or testing is inconsistent. Crisis response may be fragmented.</t>
  </si>
  <si>
    <t>Moderate risk: scenario modeling using sales, suppliers, workforce, cash, inventory and system downtime is documented and owned, but measurement, stress testing and integration with dependent processes need strengthening.</t>
  </si>
  <si>
    <t>Residual risk: scenario modeling using sales, suppliers, workforce, cash, inventory and system downtime is measured and reviewed, but monitoring, automation or scenario testing should be improved to prevent maturity drift.</t>
  </si>
  <si>
    <t>Low residual risk: scenario modeling using sales, suppliers, workforce, cash, inventory and system downtime is mature and crisis-tested. Maintain monitoring, evidence, ownership and periodic stress testing.</t>
  </si>
  <si>
    <t>Create an immediate risk owner, minimum control baseline and fallback procedure for scenario modeling using sales, suppliers, workforce, cash, inventory and system downtime. Add it to the crisis risk register and collect first evidence.</t>
  </si>
  <si>
    <t>Document scenario modeling using sales, suppliers, workforce, cash, inventory and system downtime, assign RACI, define minimum controls and KPIs, and validate coverage across key sites, teams or systems.</t>
  </si>
  <si>
    <t>Standardize scenario modeling using sales, suppliers, workforce, cash, inventory and system downtime, close coverage gaps, train accountable roles and connect controls to the relevant crisis scenarios and continuity plans.</t>
  </si>
  <si>
    <t>Measure and test scenario modeling using sales, suppliers, workforce, cash, inventory and system downtime, run tabletop or operational stress tests, integrate it with dependent processes and update crisis playbooks.</t>
  </si>
  <si>
    <t>Sustain maturity for scenario modeling using sales, suppliers, workforce, cash, inventory and system downtime: keep evidence current, monitor drift, benchmark externally and refresh risk tests after organizational, system or market changes.</t>
  </si>
  <si>
    <t>Data BI AI!24</t>
  </si>
  <si>
    <t>Immature capability for leading indicators and early warnings built from internal and external data may lead to poor decisions, unreliable reporting, data quality problems and unsafe or ineffective AI usage during Decision failure; Data loss; Regulatory/legal shock.</t>
  </si>
  <si>
    <t>Low maturity, weak ownership, incomplete evidence, insufficient testing and poor integration with crisis-management routines for leading indicators and early warnings built from internal and external data.</t>
  </si>
  <si>
    <t>Severe risk: leading indicators and early warnings built from internal and external data is not reliably controlled. During Decision failure; Data loss; Regulatory/legal shock, the organization may face poor decisions, unreliable reporting, data quality problems and unsafe or ineffective AI usage with limited visibility or accountability.</t>
  </si>
  <si>
    <t>High risk: leading indicators and early warnings built from internal and external data depends on informal practices or individual knowledge. Disruption may expose poor decisions, unreliable reporting, data quality problems and unsafe or ineffective AI usage and slow recovery.</t>
  </si>
  <si>
    <t>Elevated risk: leading indicators and early warnings built from internal and external data is partially controlled, but coverage, evidence or testing is inconsistent. Crisis response may be fragmented.</t>
  </si>
  <si>
    <t>Moderate risk: leading indicators and early warnings built from internal and external data is documented and owned, but measurement, stress testing and integration with dependent processes need strengthening.</t>
  </si>
  <si>
    <t>Residual risk: leading indicators and early warnings built from internal and external data is measured and reviewed, but monitoring, automation or scenario testing should be improved to prevent maturity drift.</t>
  </si>
  <si>
    <t>Low residual risk: leading indicators and early warnings built from internal and external data is mature and crisis-tested. Maintain monitoring, evidence, ownership and periodic stress testing.</t>
  </si>
  <si>
    <t>Create an immediate risk owner, minimum control baseline and fallback procedure for leading indicators and early warnings built from internal and external data. Add it to the crisis risk register and collect first evidence.</t>
  </si>
  <si>
    <t>Document leading indicators and early warnings built from internal and external data, assign RACI, define minimum controls and KPIs, and validate coverage across key sites, teams or systems.</t>
  </si>
  <si>
    <t>Standardize leading indicators and early warnings built from internal and external data, close coverage gaps, train accountable roles and connect controls to the relevant crisis scenarios and continuity plans.</t>
  </si>
  <si>
    <t>Measure and test leading indicators and early warnings built from internal and external data, run tabletop or operational stress tests, integrate it with dependent processes and update crisis playbooks.</t>
  </si>
  <si>
    <t>Sustain maturity for leading indicators and early warnings built from internal and external data: keep evidence current, monitor drift, benchmark externally and refresh risk tests after organizational, system or market changes.</t>
  </si>
  <si>
    <t>Data BI AI!25</t>
  </si>
  <si>
    <t>Immature capability for model validation and backtesting for forecasts and risk models may lead to poor decisions, unreliable reporting, data quality problems and unsafe or ineffective AI usage during Decision failure; Data loss; Regulatory/legal shock.</t>
  </si>
  <si>
    <t>Low maturity, weak ownership, incomplete evidence, insufficient testing and poor integration with crisis-management routines for model validation and backtesting for forecasts and risk models.</t>
  </si>
  <si>
    <t>Severe risk: model validation and backtesting for forecasts and risk models is not reliably controlled. During Decision failure; Data loss; Regulatory/legal shock, the organization may face poor decisions, unreliable reporting, data quality problems and unsafe or ineffective AI usage with limited visibility or accountability.</t>
  </si>
  <si>
    <t>High risk: model validation and backtesting for forecasts and risk models depends on informal practices or individual knowledge. Disruption may expose poor decisions, unreliable reporting, data quality problems and unsafe or ineffective AI usage and slow recovery.</t>
  </si>
  <si>
    <t>Elevated risk: model validation and backtesting for forecasts and risk models is partially controlled, but coverage, evidence or testing is inconsistent. Crisis response may be fragmented.</t>
  </si>
  <si>
    <t>Moderate risk: model validation and backtesting for forecasts and risk models is documented and owned, but measurement, stress testing and integration with dependent processes need strengthening.</t>
  </si>
  <si>
    <t>Residual risk: model validation and backtesting for forecasts and risk models is measured and reviewed, but monitoring, automation or scenario testing should be improved to prevent maturity drift.</t>
  </si>
  <si>
    <t>Low residual risk: model validation and backtesting for forecasts and risk models is mature and crisis-tested. Maintain monitoring, evidence, ownership and periodic stress testing.</t>
  </si>
  <si>
    <t>Create an immediate risk owner, minimum control baseline and fallback procedure for model validation and backtesting for forecasts and risk models. Add it to the crisis risk register and collect first evidence.</t>
  </si>
  <si>
    <t>Document model validation and backtesting for forecasts and risk models, assign RACI, define minimum controls and KPIs, and validate coverage across key sites, teams or systems.</t>
  </si>
  <si>
    <t>Standardize model validation and backtesting for forecasts and risk models, close coverage gaps, train accountable roles and connect controls to the relevant crisis scenarios and continuity plans.</t>
  </si>
  <si>
    <t>Measure and test model validation and backtesting for forecasts and risk models, run tabletop or operational stress tests, integrate it with dependent processes and update crisis playbooks.</t>
  </si>
  <si>
    <t>Sustain maturity for model validation and backtesting for forecasts and risk models: keep evidence current, monitor drift, benchmark externally and refresh risk tests after organizational, system or market changes.</t>
  </si>
  <si>
    <t>Data BI AI!26</t>
  </si>
  <si>
    <t>Immature capability for AI and analytics use case portfolio linked to business value, risk and feasibility may lead to poor decisions, unreliable reporting, data quality problems and unsafe or ineffective AI usage during Decision failure; Data loss; Regulatory/legal shock.</t>
  </si>
  <si>
    <t>Low maturity, weak ownership, incomplete evidence, insufficient testing and poor integration with crisis-management routines for AI and analytics use case portfolio linked to business value, risk and feasibility.</t>
  </si>
  <si>
    <t>Severe risk: AI and analytics use case portfolio linked to business value, risk and feasibility is not reliably controlled. During Decision failure; Data loss; Regulatory/legal shock, the organization may face poor decisions, unreliable reporting, data quality problems and unsafe or ineffective AI usage with limited visibility or accountability.</t>
  </si>
  <si>
    <t>High risk: AI and analytics use case portfolio linked to business value, risk and feasibility depends on informal practices or individual knowledge. Disruption may expose poor decisions, unreliable reporting, data quality problems and unsafe or ineffective AI usage and slow recovery.</t>
  </si>
  <si>
    <t>Elevated risk: AI and analytics use case portfolio linked to business value, risk and feasibility is partially controlled, but coverage, evidence or testing is inconsistent. Crisis response may be fragmented.</t>
  </si>
  <si>
    <t>Moderate risk: AI and analytics use case portfolio linked to business value, risk and feasibility is documented and owned, but measurement, stress testing and integration with dependent processes need strengthening.</t>
  </si>
  <si>
    <t>Residual risk: AI and analytics use case portfolio linked to business value, risk and feasibility is measured and reviewed, but monitoring, automation or scenario testing should be improved to prevent maturity drift.</t>
  </si>
  <si>
    <t>Low residual risk: AI and analytics use case portfolio linked to business value, risk and feasibility is mature and crisis-tested. Maintain monitoring, evidence, ownership and periodic stress testing.</t>
  </si>
  <si>
    <t>Create an immediate risk owner, minimum control baseline and fallback procedure for AI and analytics use case portfolio linked to business value, risk and feasibility. Add it to the crisis risk register and collect first evidence.</t>
  </si>
  <si>
    <t>Document AI and analytics use case portfolio linked to business value, risk and feasibility, assign RACI, define minimum controls and KPIs, and validate coverage across key sites, teams or systems.</t>
  </si>
  <si>
    <t>Standardize AI and analytics use case portfolio linked to business value, risk and feasibility, close coverage gaps, train accountable roles and connect controls to the relevant crisis scenarios and continuity plans.</t>
  </si>
  <si>
    <t>Measure and test AI and analytics use case portfolio linked to business value, risk and feasibility, run tabletop or operational stress tests, integrate it with dependent processes and update crisis playbooks.</t>
  </si>
  <si>
    <t>Sustain maturity for AI and analytics use case portfolio linked to business value, risk and feasibility: keep evidence current, monitor drift, benchmark externally and refresh risk tests after organizational, system or market changes.</t>
  </si>
  <si>
    <t>Data BI AI!27</t>
  </si>
  <si>
    <t>Immature capability for AI governance for privacy, security, explainability, bias, human oversight and model risk may lead to poor decisions, unreliable reporting, data quality problems and unsafe or ineffective AI usage during Decision failure; Data loss; Regulatory/legal shock.</t>
  </si>
  <si>
    <t>Low maturity, weak ownership, incomplete evidence, insufficient testing and poor integration with crisis-management routines for AI governance for privacy, security, explainability, bias, human oversight and model risk.</t>
  </si>
  <si>
    <t>Severe risk: AI governance for privacy, security, explainability, bias, human oversight and model risk is not reliably controlled. During Decision failure; Data loss; Regulatory/legal shock, the organization may face poor decisions, unreliable reporting, data quality problems and unsafe or ineffective AI usage with limited visibility or accountability.</t>
  </si>
  <si>
    <t>High risk: AI governance for privacy, security, explainability, bias, human oversight and model risk depends on informal practices or individual knowledge. Disruption may expose poor decisions, unreliable reporting, data quality problems and unsafe or ineffective AI usage and slow recovery.</t>
  </si>
  <si>
    <t>Elevated risk: AI governance for privacy, security, explainability, bias, human oversight and model risk is partially controlled, but coverage, evidence or testing is inconsistent. Crisis response may be fragmented.</t>
  </si>
  <si>
    <t>Moderate risk: AI governance for privacy, security, explainability, bias, human oversight and model risk is documented and owned, but measurement, stress testing and integration with dependent processes need strengthening.</t>
  </si>
  <si>
    <t>Residual risk: AI governance for privacy, security, explainability, bias, human oversight and model risk is measured and reviewed, but monitoring, automation or scenario testing should be improved to prevent maturity drift.</t>
  </si>
  <si>
    <t>Low residual risk: AI governance for privacy, security, explainability, bias, human oversight and model risk is mature and crisis-tested. Maintain monitoring, evidence, ownership and periodic stress testing.</t>
  </si>
  <si>
    <t>Create an immediate risk owner, minimum control baseline and fallback procedure for AI governance for privacy, security, explainability, bias, human oversight and model risk. Add it to the crisis risk register and collect first evidence.</t>
  </si>
  <si>
    <t>Document AI governance for privacy, security, explainability, bias, human oversight and model risk, assign RACI, define minimum controls and KPIs, and validate coverage across key sites, teams or systems.</t>
  </si>
  <si>
    <t>Standardize AI governance for privacy, security, explainability, bias, human oversight and model risk, close coverage gaps, train accountable roles and connect controls to the relevant crisis scenarios and continuity plans.</t>
  </si>
  <si>
    <t>Measure and test AI governance for privacy, security, explainability, bias, human oversight and model risk, run tabletop or operational stress tests, integrate it with dependent processes and update crisis playbooks.</t>
  </si>
  <si>
    <t>Sustain maturity for AI governance for privacy, security, explainability, bias, human oversight and model risk: keep evidence current, monitor drift, benchmark externally and refresh risk tests after organizational, system or market changes.</t>
  </si>
  <si>
    <t>Data BI AI!28</t>
  </si>
  <si>
    <t>Immature capability for LLM usage policy covering data leakage, IP, accuracy, approval and acceptable use may lead to poor decisions, unreliable reporting, data quality problems and unsafe or ineffective AI usage during Decision failure; Data loss; Regulatory/legal shock.</t>
  </si>
  <si>
    <t>Low maturity, weak ownership, incomplete evidence, insufficient testing and poor integration with crisis-management routines for LLM usage policy covering data leakage, IP, accuracy, approval and acceptable use.</t>
  </si>
  <si>
    <t>Severe risk: LLM usage policy covering data leakage, IP, accuracy, approval and acceptable use is not reliably controlled. During Decision failure; Data loss; Regulatory/legal shock, the organization may face poor decisions, unreliable reporting, data quality problems and unsafe or ineffective AI usage with limited visibility or accountability.</t>
  </si>
  <si>
    <t>High risk: LLM usage policy covering data leakage, IP, accuracy, approval and acceptable use depends on informal practices or individual knowledge. Disruption may expose poor decisions, unreliable reporting, data quality problems and unsafe or ineffective AI usage and slow recovery.</t>
  </si>
  <si>
    <t>Elevated risk: LLM usage policy covering data leakage, IP, accuracy, approval and acceptable use is partially controlled, but coverage, evidence or testing is inconsistent. Crisis response may be fragmented.</t>
  </si>
  <si>
    <t>Moderate risk: LLM usage policy covering data leakage, IP, accuracy, approval and acceptable use is documented and owned, but measurement, stress testing and integration with dependent processes need strengthening.</t>
  </si>
  <si>
    <t>Residual risk: LLM usage policy covering data leakage, IP, accuracy, approval and acceptable use is measured and reviewed, but monitoring, automation or scenario testing should be improved to prevent maturity drift.</t>
  </si>
  <si>
    <t>Low residual risk: LLM usage policy covering data leakage, IP, accuracy, approval and acceptable use is mature and crisis-tested. Maintain monitoring, evidence, ownership and periodic stress testing.</t>
  </si>
  <si>
    <t>Create an immediate risk owner, minimum control baseline and fallback procedure for LLM usage policy covering data leakage, IP, accuracy, approval and acceptable use. Add it to the crisis risk register and collect first evidence.</t>
  </si>
  <si>
    <t>Document LLM usage policy covering data leakage, IP, accuracy, approval and acceptable use, assign RACI, define minimum controls and KPIs, and validate coverage across key sites, teams or systems.</t>
  </si>
  <si>
    <t>Standardize LLM usage policy covering data leakage, IP, accuracy, approval and acceptable use, close coverage gaps, train accountable roles and connect controls to the relevant crisis scenarios and continuity plans.</t>
  </si>
  <si>
    <t>Measure and test LLM usage policy covering data leakage, IP, accuracy, approval and acceptable use, run tabletop or operational stress tests, integrate it with dependent processes and update crisis playbooks.</t>
  </si>
  <si>
    <t>Sustain maturity for LLM usage policy covering data leakage, IP, accuracy, approval and acceptable use: keep evidence current, monitor drift, benchmark externally and refresh risk tests after organizational, system or market changes.</t>
  </si>
  <si>
    <t>Data BI AI!29</t>
  </si>
  <si>
    <t>Immature capability for AI model register and monitoring for drift, accuracy, performance and business impact may lead to poor decisions, unreliable reporting, data quality problems and unsafe or ineffective AI usage during Decision failure; Data loss; Regulatory/legal shock.</t>
  </si>
  <si>
    <t>Low maturity, weak ownership, incomplete evidence, insufficient testing and poor integration with crisis-management routines for AI model register and monitoring for drift, accuracy, performance and business impact.</t>
  </si>
  <si>
    <t>Severe risk: AI model register and monitoring for drift, accuracy, performance and business impact is not reliably controlled. During Decision failure; Data loss; Regulatory/legal shock, the organization may face poor decisions, unreliable reporting, data quality problems and unsafe or ineffective AI usage with limited visibility or accountability.</t>
  </si>
  <si>
    <t>High risk: AI model register and monitoring for drift, accuracy, performance and business impact depends on informal practices or individual knowledge. Disruption may expose poor decisions, unreliable reporting, data quality problems and unsafe or ineffective AI usage and slow recovery.</t>
  </si>
  <si>
    <t>Elevated risk: AI model register and monitoring for drift, accuracy, performance and business impact is partially controlled, but coverage, evidence or testing is inconsistent. Crisis response may be fragmented.</t>
  </si>
  <si>
    <t>Moderate risk: AI model register and monitoring for drift, accuracy, performance and business impact is documented and owned, but measurement, stress testing and integration with dependent processes need strengthening.</t>
  </si>
  <si>
    <t>Residual risk: AI model register and monitoring for drift, accuracy, performance and business impact is measured and reviewed, but monitoring, automation or scenario testing should be improved to prevent maturity drift.</t>
  </si>
  <si>
    <t>Low residual risk: AI model register and monitoring for drift, accuracy, performance and business impact is mature and crisis-tested. Maintain monitoring, evidence, ownership and periodic stress testing.</t>
  </si>
  <si>
    <t>Create an immediate risk owner, minimum control baseline and fallback procedure for AI model register and monitoring for drift, accuracy, performance and business impact. Add it to the crisis risk register and collect first evidence.</t>
  </si>
  <si>
    <t>Document AI model register and monitoring for drift, accuracy, performance and business impact, assign RACI, define minimum controls and KPIs, and validate coverage across key sites, teams or systems.</t>
  </si>
  <si>
    <t>Standardize AI model register and monitoring for drift, accuracy, performance and business impact, close coverage gaps, train accountable roles and connect controls to the relevant crisis scenarios and continuity plans.</t>
  </si>
  <si>
    <t>Measure and test AI model register and monitoring for drift, accuracy, performance and business impact, run tabletop or operational stress tests, integrate it with dependent processes and update crisis playbooks.</t>
  </si>
  <si>
    <t>Sustain maturity for AI model register and monitoring for drift, accuracy, performance and business impact: keep evidence current, monitor drift, benchmark externally and refresh risk tests after organizational, system or market changes.</t>
  </si>
  <si>
    <t>Data BI AI!30</t>
  </si>
  <si>
    <t>Immature capability for responsible AI controls for customer-facing, employee-facing and decision-support use cases may lead to poor decisions, unreliable reporting, data quality problems and unsafe or ineffective AI usage during Decision failure; Data loss; Regulatory/legal shock.</t>
  </si>
  <si>
    <t>Low maturity, weak ownership, incomplete evidence, insufficient testing and poor integration with crisis-management routines for responsible AI controls for customer-facing, employee-facing and decision-support use cases.</t>
  </si>
  <si>
    <t>Severe risk: responsible AI controls for customer-facing, employee-facing and decision-support use cases is not reliably controlled. During Decision failure; Data loss; Regulatory/legal shock, the organization may face poor decisions, unreliable reporting, data quality problems and unsafe or ineffective AI usage with limited visibility or accountability.</t>
  </si>
  <si>
    <t>High risk: responsible AI controls for customer-facing, employee-facing and decision-support use cases depends on informal practices or individual knowledge. Disruption may expose poor decisions, unreliable reporting, data quality problems and unsafe or ineffective AI usage and slow recovery.</t>
  </si>
  <si>
    <t>Elevated risk: responsible AI controls for customer-facing, employee-facing and decision-support use cases is partially controlled, but coverage, evidence or testing is inconsistent. Crisis response may be fragmented.</t>
  </si>
  <si>
    <t>Moderate risk: responsible AI controls for customer-facing, employee-facing and decision-support use cases is documented and owned, but measurement, stress testing and integration with dependent processes need strengthening.</t>
  </si>
  <si>
    <t>Residual risk: responsible AI controls for customer-facing, employee-facing and decision-support use cases is measured and reviewed, but monitoring, automation or scenario testing should be improved to prevent maturity drift.</t>
  </si>
  <si>
    <t>Low residual risk: responsible AI controls for customer-facing, employee-facing and decision-support use cases is mature and crisis-tested. Maintain monitoring, evidence, ownership and periodic stress testing.</t>
  </si>
  <si>
    <t>Create an immediate risk owner, minimum control baseline and fallback procedure for responsible AI controls for customer-facing, employee-facing and decision-support use cases. Add it to the crisis risk register and collect first evidence.</t>
  </si>
  <si>
    <t>Document responsible AI controls for customer-facing, employee-facing and decision-support use cases, assign RACI, define minimum controls and KPIs, and validate coverage across key sites, teams or systems.</t>
  </si>
  <si>
    <t>Standardize responsible AI controls for customer-facing, employee-facing and decision-support use cases, close coverage gaps, train accountable roles and connect controls to the relevant crisis scenarios and continuity plans.</t>
  </si>
  <si>
    <t>Measure and test responsible AI controls for customer-facing, employee-facing and decision-support use cases, run tabletop or operational stress tests, integrate it with dependent processes and update crisis playbooks.</t>
  </si>
  <si>
    <t>Sustain maturity for responsible AI controls for customer-facing, employee-facing and decision-support use cases: keep evidence current, monitor drift, benchmark externally and refresh risk tests after organizational, system or market changes.</t>
  </si>
  <si>
    <t>Data BI AI!31</t>
  </si>
  <si>
    <t>Immature capability for information security management system with policies, owners, risks and controls may lead to security incident, data breach, privilege misuse, privacy violation and regulatory exposure during Cyberattack; Data breach; Ransomware; Insider threat.</t>
  </si>
  <si>
    <t>Low maturity, weak ownership, incomplete evidence, insufficient testing and poor integration with crisis-management routines for information security management system with policies, owners, risks and controls.</t>
  </si>
  <si>
    <t>Severe risk: information security management system with policies, owners, risks and controls is not reliably controlled. During Cyberattack; Data breach; Ransomware; Insider threat, the organization may face security incident, data breach, privilege misuse, privacy violation and regulatory exposure with limited visibility or accountability.</t>
  </si>
  <si>
    <t>High risk: information security management system with policies, owners, risks and controls depends on informal practices or individual knowledge. Disruption may expose security incident, data breach, privilege misuse, privacy violation and regulatory exposure and slow recovery.</t>
  </si>
  <si>
    <t>Elevated risk: information security management system with policies, owners, risks and controls is partially controlled, but coverage, evidence or testing is inconsistent. Crisis response may be fragmented.</t>
  </si>
  <si>
    <t>Moderate risk: information security management system with policies, owners, risks and controls is documented and owned, but measurement, stress testing and integration with dependent processes need strengthening.</t>
  </si>
  <si>
    <t>Residual risk: information security management system with policies, owners, risks and controls is measured and reviewed, but monitoring, automation or scenario testing should be improved to prevent maturity drift.</t>
  </si>
  <si>
    <t>Low residual risk: information security management system with policies, owners, risks and controls is mature and crisis-tested. Maintain monitoring, evidence, ownership and periodic stress testing.</t>
  </si>
  <si>
    <t>Create an immediate risk owner, minimum control baseline and fallback procedure for information security management system with policies, owners, risks and controls. Add it to the crisis risk register and collect first evidence.</t>
  </si>
  <si>
    <t>Document information security management system with policies, owners, risks and controls, assign RACI, define minimum controls and KPIs, and validate coverage across key sites, teams or systems.</t>
  </si>
  <si>
    <t>Standardize information security management system with policies, owners, risks and controls, close coverage gaps, train accountable roles and connect controls to the relevant crisis scenarios and continuity plans.</t>
  </si>
  <si>
    <t>Measure and test information security management system with policies, owners, risks and controls, run tabletop or operational stress tests, integrate it with dependent processes and update crisis playbooks.</t>
  </si>
  <si>
    <t>Sustain maturity for information security management system with policies, owners, risks and controls: keep evidence current, monitor drift, benchmark externally and refresh risk tests after organizational, system or market changes.</t>
  </si>
  <si>
    <t>CISO / IT Security</t>
  </si>
  <si>
    <t>Cyber Privacy!5</t>
  </si>
  <si>
    <t>Immature capability for cyber risk register linked to business impact and crisis scenarios may lead to security incident, data breach, privilege misuse, privacy violation and regulatory exposure during Cyberattack; Data breach; Ransomware; Insider threat.</t>
  </si>
  <si>
    <t>Low maturity, weak ownership, incomplete evidence, insufficient testing and poor integration with crisis-management routines for cyber risk register linked to business impact and crisis scenarios.</t>
  </si>
  <si>
    <t>Severe risk: cyber risk register linked to business impact and crisis scenarios is not reliably controlled. During Cyberattack; Data breach; Ransomware; Insider threat, the organization may face security incident, data breach, privilege misuse, privacy violation and regulatory exposure with limited visibility or accountability.</t>
  </si>
  <si>
    <t>High risk: cyber risk register linked to business impact and crisis scenarios depends on informal practices or individual knowledge. Disruption may expose security incident, data breach, privilege misuse, privacy violation and regulatory exposure and slow recovery.</t>
  </si>
  <si>
    <t>Elevated risk: cyber risk register linked to business impact and crisis scenarios is partially controlled, but coverage, evidence or testing is inconsistent. Crisis response may be fragmented.</t>
  </si>
  <si>
    <t>Moderate risk: cyber risk register linked to business impact and crisis scenarios is documented and owned, but measurement, stress testing and integration with dependent processes need strengthening.</t>
  </si>
  <si>
    <t>Residual risk: cyber risk register linked to business impact and crisis scenarios is measured and reviewed, but monitoring, automation or scenario testing should be improved to prevent maturity drift.</t>
  </si>
  <si>
    <t>Low residual risk: cyber risk register linked to business impact and crisis scenarios is mature and crisis-tested. Maintain monitoring, evidence, ownership and periodic stress testing.</t>
  </si>
  <si>
    <t>Create an immediate risk owner, minimum control baseline and fallback procedure for cyber risk register linked to business impact and crisis scenarios. Add it to the crisis risk register and collect first evidence.</t>
  </si>
  <si>
    <t>Document cyber risk register linked to business impact and crisis scenarios, assign RACI, define minimum controls and KPIs, and validate coverage across key sites, teams or systems.</t>
  </si>
  <si>
    <t>Standardize cyber risk register linked to business impact and crisis scenarios, close coverage gaps, train accountable roles and connect controls to the relevant crisis scenarios and continuity plans.</t>
  </si>
  <si>
    <t>Measure and test cyber risk register linked to business impact and crisis scenarios, run tabletop or operational stress tests, integrate it with dependent processes and update crisis playbooks.</t>
  </si>
  <si>
    <t>Sustain maturity for cyber risk register linked to business impact and crisis scenarios: keep evidence current, monitor drift, benchmark externally and refresh risk tests after organizational, system or market changes.</t>
  </si>
  <si>
    <t>Cyber Privacy!6</t>
  </si>
  <si>
    <t>Immature capability for security KPI reporting to leadership covering vulnerabilities, incidents, MFA, phishing, backups and access reviews may lead to security incident, data breach, privilege misuse, privacy violation and regulatory exposure during Cyberattack; Data breach; Ransomware; Insider threat.</t>
  </si>
  <si>
    <t>Low maturity, weak ownership, incomplete evidence, insufficient testing and poor integration with crisis-management routines for security KPI reporting to leadership covering vulnerabilities, incidents, MFA, phishing, backups and access reviews.</t>
  </si>
  <si>
    <t>Severe risk: security KPI reporting to leadership covering vulnerabilities, incidents, MFA, phishing, backups and access reviews is not reliably controlled. During Cyberattack; Data breach; Ransomware; Insider threat, the organization may face security incident, data breach, privilege misuse, privacy violation and regulatory exposure with limited visibility or accountability.</t>
  </si>
  <si>
    <t>High risk: security KPI reporting to leadership covering vulnerabilities, incidents, MFA, phishing, backups and access reviews depends on informal practices or individual knowledge. Disruption may expose security incident, data breach, privilege misuse, privacy violation and regulatory exposure and slow recovery.</t>
  </si>
  <si>
    <t>Elevated risk: security KPI reporting to leadership covering vulnerabilities, incidents, MFA, phishing, backups and access reviews is partially controlled, but coverage, evidence or testing is inconsistent. Crisis response may be fragmented.</t>
  </si>
  <si>
    <t>Moderate risk: security KPI reporting to leadership covering vulnerabilities, incidents, MFA, phishing, backups and access reviews is documented and owned, but measurement, stress testing and integration with dependent processes need strengthening.</t>
  </si>
  <si>
    <t>Residual risk: security KPI reporting to leadership covering vulnerabilities, incidents, MFA, phishing, backups and access reviews is measured and reviewed, but monitoring, automation or scenario testing should be improved to prevent maturity drift.</t>
  </si>
  <si>
    <t>Low residual risk: security KPI reporting to leadership covering vulnerabilities, incidents, MFA, phishing, backups and access reviews is mature and crisis-tested. Maintain monitoring, evidence, ownership and periodic stress testing.</t>
  </si>
  <si>
    <t>Create an immediate risk owner, minimum control baseline and fallback procedure for security KPI reporting to leadership covering vulnerabilities, incidents, MFA, phishing, backups and access reviews. Add it to the crisis risk register and collect first evidence.</t>
  </si>
  <si>
    <t>Document security KPI reporting to leadership covering vulnerabilities, incidents, MFA, phishing, backups and access reviews, assign RACI, define minimum controls and KPIs, and validate coverage across key sites, teams or systems.</t>
  </si>
  <si>
    <t>Standardize security KPI reporting to leadership covering vulnerabilities, incidents, MFA, phishing, backups and access reviews, close coverage gaps, train accountable roles and connect controls to the relevant crisis scenarios and continuity plans.</t>
  </si>
  <si>
    <t>Measure and test security KPI reporting to leadership covering vulnerabilities, incidents, MFA, phishing, backups and access reviews, run tabletop or operational stress tests, integrate it with dependent processes and update crisis playbooks.</t>
  </si>
  <si>
    <t>Sustain maturity for security KPI reporting to leadership covering vulnerabilities, incidents, MFA, phishing, backups and access reviews: keep evidence current, monitor drift, benchmark externally and refresh risk tests after organizational, system or market changes.</t>
  </si>
  <si>
    <t>Cyber Privacy!7</t>
  </si>
  <si>
    <t>Immature capability for security evidence readiness for customers, regulators, insurers and partners may lead to security incident, data breach, privilege misuse, privacy violation and regulatory exposure during Cyberattack; Data breach; Ransomware; Insider threat.</t>
  </si>
  <si>
    <t>Low maturity, weak ownership, incomplete evidence, insufficient testing and poor integration with crisis-management routines for security evidence readiness for customers, regulators, insurers and partners.</t>
  </si>
  <si>
    <t>Severe risk: security evidence readiness for customers, regulators, insurers and partners is not reliably controlled. During Cyberattack; Data breach; Ransomware; Insider threat, the organization may face security incident, data breach, privilege misuse, privacy violation and regulatory exposure with limited visibility or accountability.</t>
  </si>
  <si>
    <t>High risk: security evidence readiness for customers, regulators, insurers and partners depends on informal practices or individual knowledge. Disruption may expose security incident, data breach, privilege misuse, privacy violation and regulatory exposure and slow recovery.</t>
  </si>
  <si>
    <t>Elevated risk: security evidence readiness for customers, regulators, insurers and partners is partially controlled, but coverage, evidence or testing is inconsistent. Crisis response may be fragmented.</t>
  </si>
  <si>
    <t>Moderate risk: security evidence readiness for customers, regulators, insurers and partners is documented and owned, but measurement, stress testing and integration with dependent processes need strengthening.</t>
  </si>
  <si>
    <t>Residual risk: security evidence readiness for customers, regulators, insurers and partners is measured and reviewed, but monitoring, automation or scenario testing should be improved to prevent maturity drift.</t>
  </si>
  <si>
    <t>Low residual risk: security evidence readiness for customers, regulators, insurers and partners is mature and crisis-tested. Maintain monitoring, evidence, ownership and periodic stress testing.</t>
  </si>
  <si>
    <t>Create an immediate risk owner, minimum control baseline and fallback procedure for security evidence readiness for customers, regulators, insurers and partners. Add it to the crisis risk register and collect first evidence.</t>
  </si>
  <si>
    <t>Document security evidence readiness for customers, regulators, insurers and partners, assign RACI, define minimum controls and KPIs, and validate coverage across key sites, teams or systems.</t>
  </si>
  <si>
    <t>Standardize security evidence readiness for customers, regulators, insurers and partners, close coverage gaps, train accountable roles and connect controls to the relevant crisis scenarios and continuity plans.</t>
  </si>
  <si>
    <t>Measure and test security evidence readiness for customers, regulators, insurers and partners, run tabletop or operational stress tests, integrate it with dependent processes and update crisis playbooks.</t>
  </si>
  <si>
    <t>Sustain maturity for security evidence readiness for customers, regulators, insurers and partners: keep evidence current, monitor drift, benchmark externally and refresh risk tests after organizational, system or market changes.</t>
  </si>
  <si>
    <t>Cyber Privacy!8</t>
  </si>
  <si>
    <t>Immature capability for third-party cyber risk assessment for critical vendors and outsourced services may lead to security incident, data breach, privilege misuse, privacy violation and regulatory exposure during Cyberattack; Data breach; Ransomware; Insider threat.</t>
  </si>
  <si>
    <t>Low maturity, weak ownership, incomplete evidence, insufficient testing and poor integration with crisis-management routines for third-party cyber risk assessment for critical vendors and outsourced services.</t>
  </si>
  <si>
    <t>Severe risk: third-party cyber risk assessment for critical vendors and outsourced services is not reliably controlled. During Cyberattack; Data breach; Ransomware; Insider threat, the organization may face security incident, data breach, privilege misuse, privacy violation and regulatory exposure with limited visibility or accountability.</t>
  </si>
  <si>
    <t>High risk: third-party cyber risk assessment for critical vendors and outsourced services depends on informal practices or individual knowledge. Disruption may expose security incident, data breach, privilege misuse, privacy violation and regulatory exposure and slow recovery.</t>
  </si>
  <si>
    <t>Elevated risk: third-party cyber risk assessment for critical vendors and outsourced services is partially controlled, but coverage, evidence or testing is inconsistent. Crisis response may be fragmented.</t>
  </si>
  <si>
    <t>Moderate risk: third-party cyber risk assessment for critical vendors and outsourced services is documented and owned, but measurement, stress testing and integration with dependent processes need strengthening.</t>
  </si>
  <si>
    <t>Residual risk: third-party cyber risk assessment for critical vendors and outsourced services is measured and reviewed, but monitoring, automation or scenario testing should be improved to prevent maturity drift.</t>
  </si>
  <si>
    <t>Low residual risk: third-party cyber risk assessment for critical vendors and outsourced services is mature and crisis-tested. Maintain monitoring, evidence, ownership and periodic stress testing.</t>
  </si>
  <si>
    <t>Create an immediate risk owner, minimum control baseline and fallback procedure for third-party cyber risk assessment for critical vendors and outsourced services. Add it to the crisis risk register and collect first evidence.</t>
  </si>
  <si>
    <t>Document third-party cyber risk assessment for critical vendors and outsourced services, assign RACI, define minimum controls and KPIs, and validate coverage across key sites, teams or systems.</t>
  </si>
  <si>
    <t>Standardize third-party cyber risk assessment for critical vendors and outsourced services, close coverage gaps, train accountable roles and connect controls to the relevant crisis scenarios and continuity plans.</t>
  </si>
  <si>
    <t>Measure and test third-party cyber risk assessment for critical vendors and outsourced services, run tabletop or operational stress tests, integrate it with dependent processes and update crisis playbooks.</t>
  </si>
  <si>
    <t>Sustain maturity for third-party cyber risk assessment for critical vendors and outsourced services: keep evidence current, monitor drift, benchmark externally and refresh risk tests after organizational, system or market changes.</t>
  </si>
  <si>
    <t>Cyber Privacy!9</t>
  </si>
  <si>
    <t>Immature capability for security awareness and phishing training for employees and contractors may lead to security incident, data breach, privilege misuse, privacy violation and regulatory exposure during Cyberattack; Data breach; Ransomware; Insider threat.</t>
  </si>
  <si>
    <t>Low maturity, weak ownership, incomplete evidence, insufficient testing and poor integration with crisis-management routines for security awareness and phishing training for employees and contractors.</t>
  </si>
  <si>
    <t>Severe risk: security awareness and phishing training for employees and contractors is not reliably controlled. During Cyberattack; Data breach; Ransomware; Insider threat, the organization may face security incident, data breach, privilege misuse, privacy violation and regulatory exposure with limited visibility or accountability.</t>
  </si>
  <si>
    <t>High risk: security awareness and phishing training for employees and contractors depends on informal practices or individual knowledge. Disruption may expose security incident, data breach, privilege misuse, privacy violation and regulatory exposure and slow recovery.</t>
  </si>
  <si>
    <t>Elevated risk: security awareness and phishing training for employees and contractors is partially controlled, but coverage, evidence or testing is inconsistent. Crisis response may be fragmented.</t>
  </si>
  <si>
    <t>Moderate risk: security awareness and phishing training for employees and contractors is documented and owned, but measurement, stress testing and integration with dependent processes need strengthening.</t>
  </si>
  <si>
    <t>Residual risk: security awareness and phishing training for employees and contractors is measured and reviewed, but monitoring, automation or scenario testing should be improved to prevent maturity drift.</t>
  </si>
  <si>
    <t>Low residual risk: security awareness and phishing training for employees and contractors is mature and crisis-tested. Maintain monitoring, evidence, ownership and periodic stress testing.</t>
  </si>
  <si>
    <t>Create an immediate risk owner, minimum control baseline and fallback procedure for security awareness and phishing training for employees and contractors. Add it to the crisis risk register and collect first evidence.</t>
  </si>
  <si>
    <t>Document security awareness and phishing training for employees and contractors, assign RACI, define minimum controls and KPIs, and validate coverage across key sites, teams or systems.</t>
  </si>
  <si>
    <t>Standardize security awareness and phishing training for employees and contractors, close coverage gaps, train accountable roles and connect controls to the relevant crisis scenarios and continuity plans.</t>
  </si>
  <si>
    <t>Measure and test security awareness and phishing training for employees and contractors, run tabletop or operational stress tests, integrate it with dependent processes and update crisis playbooks.</t>
  </si>
  <si>
    <t>Sustain maturity for security awareness and phishing training for employees and contractors: keep evidence current, monitor drift, benchmark externally and refresh risk tests after organizational, system or market changes.</t>
  </si>
  <si>
    <t>Cyber Privacy!10</t>
  </si>
  <si>
    <t>Immature capability for joiner-mover-leaver access lifecycle across systems, SaaS and physical access may lead to security incident, data breach, privilege misuse, privacy violation and regulatory exposure during Cyberattack; Data breach; Ransomware; Insider threat.</t>
  </si>
  <si>
    <t>Low maturity, weak ownership, incomplete evidence, insufficient testing and poor integration with crisis-management routines for joiner-mover-leaver access lifecycle across systems, SaaS and physical access.</t>
  </si>
  <si>
    <t>Severe risk: joiner-mover-leaver access lifecycle across systems, SaaS and physical access is not reliably controlled. During Cyberattack; Data breach; Ransomware; Insider threat, the organization may face security incident, data breach, privilege misuse, privacy violation and regulatory exposure with limited visibility or accountability.</t>
  </si>
  <si>
    <t>High risk: joiner-mover-leaver access lifecycle across systems, SaaS and physical access depends on informal practices or individual knowledge. Disruption may expose security incident, data breach, privilege misuse, privacy violation and regulatory exposure and slow recovery.</t>
  </si>
  <si>
    <t>Elevated risk: joiner-mover-leaver access lifecycle across systems, SaaS and physical access is partially controlled, but coverage, evidence or testing is inconsistent. Crisis response may be fragmented.</t>
  </si>
  <si>
    <t>Moderate risk: joiner-mover-leaver access lifecycle across systems, SaaS and physical access is documented and owned, but measurement, stress testing and integration with dependent processes need strengthening.</t>
  </si>
  <si>
    <t>Residual risk: joiner-mover-leaver access lifecycle across systems, SaaS and physical access is measured and reviewed, but monitoring, automation or scenario testing should be improved to prevent maturity drift.</t>
  </si>
  <si>
    <t>Low residual risk: joiner-mover-leaver access lifecycle across systems, SaaS and physical access is mature and crisis-tested. Maintain monitoring, evidence, ownership and periodic stress testing.</t>
  </si>
  <si>
    <t>Create an immediate risk owner, minimum control baseline and fallback procedure for joiner-mover-leaver access lifecycle across systems, SaaS and physical access. Add it to the crisis risk register and collect first evidence.</t>
  </si>
  <si>
    <t>Document joiner-mover-leaver access lifecycle across systems, SaaS and physical access, assign RACI, define minimum controls and KPIs, and validate coverage across key sites, teams or systems.</t>
  </si>
  <si>
    <t>Standardize joiner-mover-leaver access lifecycle across systems, SaaS and physical access, close coverage gaps, train accountable roles and connect controls to the relevant crisis scenarios and continuity plans.</t>
  </si>
  <si>
    <t>Measure and test joiner-mover-leaver access lifecycle across systems, SaaS and physical access, run tabletop or operational stress tests, integrate it with dependent processes and update crisis playbooks.</t>
  </si>
  <si>
    <t>Sustain maturity for joiner-mover-leaver access lifecycle across systems, SaaS and physical access: keep evidence current, monitor drift, benchmark externally and refresh risk tests after organizational, system or market changes.</t>
  </si>
  <si>
    <t>Cyber Privacy!11</t>
  </si>
  <si>
    <t>Immature capability for MFA enforcement for email, cloud, VPN/ZTNA, admin accounts, finance systems and critical SaaS may lead to security incident, data breach, privilege misuse, privacy violation and regulatory exposure during Cyberattack; Data breach; Ransomware; Insider threat.</t>
  </si>
  <si>
    <t>Low maturity, weak ownership, incomplete evidence, insufficient testing and poor integration with crisis-management routines for MFA enforcement for email, cloud, VPN/ZTNA, admin accounts, finance systems and critical SaaS.</t>
  </si>
  <si>
    <t>Severe risk: MFA enforcement for email, cloud, VPN/ZTNA, admin accounts, finance systems and critical SaaS is not reliably controlled. During Cyberattack; Data breach; Ransomware; Insider threat, the organization may face security incident, data breach, privilege misuse, privacy violation and regulatory exposure with limited visibility or accountability.</t>
  </si>
  <si>
    <t>High risk: MFA enforcement for email, cloud, VPN/ZTNA, admin accounts, finance systems and critical SaaS depends on informal practices or individual knowledge. Disruption may expose security incident, data breach, privilege misuse, privacy violation and regulatory exposure and slow recovery.</t>
  </si>
  <si>
    <t>Elevated risk: MFA enforcement for email, cloud, VPN/ZTNA, admin accounts, finance systems and critical SaaS is partially controlled, but coverage, evidence or testing is inconsistent. Crisis response may be fragmented.</t>
  </si>
  <si>
    <t>Moderate risk: MFA enforcement for email, cloud, VPN/ZTNA, admin accounts, finance systems and critical SaaS is documented and owned, but measurement, stress testing and integration with dependent processes need strengthening.</t>
  </si>
  <si>
    <t>Residual risk: MFA enforcement for email, cloud, VPN/ZTNA, admin accounts, finance systems and critical SaaS is measured and reviewed, but monitoring, automation or scenario testing should be improved to prevent maturity drift.</t>
  </si>
  <si>
    <t>Low residual risk: MFA enforcement for email, cloud, VPN/ZTNA, admin accounts, finance systems and critical SaaS is mature and crisis-tested. Maintain monitoring, evidence, ownership and periodic stress testing.</t>
  </si>
  <si>
    <t>Create an immediate risk owner, minimum control baseline and fallback procedure for MFA enforcement for email, cloud, VPN/ZTNA, admin accounts, finance systems and critical SaaS. Add it to the crisis risk register and collect first evidence.</t>
  </si>
  <si>
    <t>Document MFA enforcement for email, cloud, VPN/ZTNA, admin accounts, finance systems and critical SaaS, assign RACI, define minimum controls and KPIs, and validate coverage across key sites, teams or systems.</t>
  </si>
  <si>
    <t>Standardize MFA enforcement for email, cloud, VPN/ZTNA, admin accounts, finance systems and critical SaaS, close coverage gaps, train accountable roles and connect controls to the relevant crisis scenarios and continuity plans.</t>
  </si>
  <si>
    <t>Measure and test MFA enforcement for email, cloud, VPN/ZTNA, admin accounts, finance systems and critical SaaS, run tabletop or operational stress tests, integrate it with dependent processes and update crisis playbooks.</t>
  </si>
  <si>
    <t>Sustain maturity for MFA enforcement for email, cloud, VPN/ZTNA, admin accounts, finance systems and critical SaaS: keep evidence current, monitor drift, benchmark externally and refresh risk tests after organizational, system or market changes.</t>
  </si>
  <si>
    <t>Cyber Privacy!12</t>
  </si>
  <si>
    <t>Immature capability for privileged access management for admin accounts and superusers may lead to security incident, data breach, privilege misuse, privacy violation and regulatory exposure during Cyberattack; Data breach; Ransomware; Insider threat.</t>
  </si>
  <si>
    <t>Low maturity, weak ownership, incomplete evidence, insufficient testing and poor integration with crisis-management routines for privileged access management for admin accounts and superusers.</t>
  </si>
  <si>
    <t>Severe risk: privileged access management for admin accounts and superusers is not reliably controlled. During Cyberattack; Data breach; Ransomware; Insider threat, the organization may face security incident, data breach, privilege misuse, privacy violation and regulatory exposure with limited visibility or accountability.</t>
  </si>
  <si>
    <t>High risk: privileged access management for admin accounts and superusers depends on informal practices or individual knowledge. Disruption may expose security incident, data breach, privilege misuse, privacy violation and regulatory exposure and slow recovery.</t>
  </si>
  <si>
    <t>Elevated risk: privileged access management for admin accounts and superusers is partially controlled, but coverage, evidence or testing is inconsistent. Crisis response may be fragmented.</t>
  </si>
  <si>
    <t>Moderate risk: privileged access management for admin accounts and superusers is documented and owned, but measurement, stress testing and integration with dependent processes need strengthening.</t>
  </si>
  <si>
    <t>Residual risk: privileged access management for admin accounts and superusers is measured and reviewed, but monitoring, automation or scenario testing should be improved to prevent maturity drift.</t>
  </si>
  <si>
    <t>Low residual risk: privileged access management for admin accounts and superusers is mature and crisis-tested. Maintain monitoring, evidence, ownership and periodic stress testing.</t>
  </si>
  <si>
    <t>Create an immediate risk owner, minimum control baseline and fallback procedure for privileged access management for admin accounts and superusers. Add it to the crisis risk register and collect first evidence.</t>
  </si>
  <si>
    <t>Document privileged access management for admin accounts and superusers, assign RACI, define minimum controls and KPIs, and validate coverage across key sites, teams or systems.</t>
  </si>
  <si>
    <t>Standardize privileged access management for admin accounts and superusers, close coverage gaps, train accountable roles and connect controls to the relevant crisis scenarios and continuity plans.</t>
  </si>
  <si>
    <t>Measure and test privileged access management for admin accounts and superusers, run tabletop or operational stress tests, integrate it with dependent processes and update crisis playbooks.</t>
  </si>
  <si>
    <t>Sustain maturity for privileged access management for admin accounts and superusers: keep evidence current, monitor drift, benchmark externally and refresh risk tests after organizational, system or market changes.</t>
  </si>
  <si>
    <t>Cyber Privacy!13</t>
  </si>
  <si>
    <t>Immature capability for break-glass account control, monitoring and testing may lead to security incident, data breach, privilege misuse, privacy violation and regulatory exposure during Cyberattack; Data breach; Ransomware; Insider threat.</t>
  </si>
  <si>
    <t>Low maturity, weak ownership, incomplete evidence, insufficient testing and poor integration with crisis-management routines for break-glass account control, monitoring and testing.</t>
  </si>
  <si>
    <t>Severe risk: break-glass account control, monitoring and testing is not reliably controlled. During Cyberattack; Data breach; Ransomware; Insider threat, the organization may face security incident, data breach, privilege misuse, privacy violation and regulatory exposure with limited visibility or accountability.</t>
  </si>
  <si>
    <t>High risk: break-glass account control, monitoring and testing depends on informal practices or individual knowledge. Disruption may expose security incident, data breach, privilege misuse, privacy violation and regulatory exposure and slow recovery.</t>
  </si>
  <si>
    <t>Elevated risk: break-glass account control, monitoring and testing is partially controlled, but coverage, evidence or testing is inconsistent. Crisis response may be fragmented.</t>
  </si>
  <si>
    <t>Moderate risk: break-glass account control, monitoring and testing is documented and owned, but measurement, stress testing and integration with dependent processes need strengthening.</t>
  </si>
  <si>
    <t>Residual risk: break-glass account control, monitoring and testing is measured and reviewed, but monitoring, automation or scenario testing should be improved to prevent maturity drift.</t>
  </si>
  <si>
    <t>Low residual risk: break-glass account control, monitoring and testing is mature and crisis-tested. Maintain monitoring, evidence, ownership and periodic stress testing.</t>
  </si>
  <si>
    <t>Create an immediate risk owner, minimum control baseline and fallback procedure for break-glass account control, monitoring and testing. Add it to the crisis risk register and collect first evidence.</t>
  </si>
  <si>
    <t>Document break-glass account control, monitoring and testing, assign RACI, define minimum controls and KPIs, and validate coverage across key sites, teams or systems.</t>
  </si>
  <si>
    <t>Standardize break-glass account control, monitoring and testing, close coverage gaps, train accountable roles and connect controls to the relevant crisis scenarios and continuity plans.</t>
  </si>
  <si>
    <t>Measure and test break-glass account control, monitoring and testing, run tabletop or operational stress tests, integrate it with dependent processes and update crisis playbooks.</t>
  </si>
  <si>
    <t>Sustain maturity for break-glass account control, monitoring and testing: keep evidence current, monitor drift, benchmark externally and refresh risk tests after organizational, system or market changes.</t>
  </si>
  <si>
    <t>Cyber Privacy!14</t>
  </si>
  <si>
    <t>Immature capability for third-party access that is limited, monitored, time-bound and reviewed may lead to security incident, data breach, privilege misuse, privacy violation and regulatory exposure during Cyberattack; Data breach; Ransomware; Insider threat.</t>
  </si>
  <si>
    <t>Low maturity, weak ownership, incomplete evidence, insufficient testing and poor integration with crisis-management routines for third-party access that is limited, monitored, time-bound and reviewed.</t>
  </si>
  <si>
    <t>Severe risk: third-party access that is limited, monitored, time-bound and reviewed is not reliably controlled. During Cyberattack; Data breach; Ransomware; Insider threat, the organization may face security incident, data breach, privilege misuse, privacy violation and regulatory exposure with limited visibility or accountability.</t>
  </si>
  <si>
    <t>High risk: third-party access that is limited, monitored, time-bound and reviewed depends on informal practices or individual knowledge. Disruption may expose security incident, data breach, privilege misuse, privacy violation and regulatory exposure and slow recovery.</t>
  </si>
  <si>
    <t>Elevated risk: third-party access that is limited, monitored, time-bound and reviewed is partially controlled, but coverage, evidence or testing is inconsistent. Crisis response may be fragmented.</t>
  </si>
  <si>
    <t>Moderate risk: third-party access that is limited, monitored, time-bound and reviewed is documented and owned, but measurement, stress testing and integration with dependent processes need strengthening.</t>
  </si>
  <si>
    <t>Residual risk: third-party access that is limited, monitored, time-bound and reviewed is measured and reviewed, but monitoring, automation or scenario testing should be improved to prevent maturity drift.</t>
  </si>
  <si>
    <t>Low residual risk: third-party access that is limited, monitored, time-bound and reviewed is mature and crisis-tested. Maintain monitoring, evidence, ownership and periodic stress testing.</t>
  </si>
  <si>
    <t>Create an immediate risk owner, minimum control baseline and fallback procedure for third-party access that is limited, monitored, time-bound and reviewed. Add it to the crisis risk register and collect first evidence.</t>
  </si>
  <si>
    <t>Document third-party access that is limited, monitored, time-bound and reviewed, assign RACI, define minimum controls and KPIs, and validate coverage across key sites, teams or systems.</t>
  </si>
  <si>
    <t>Standardize third-party access that is limited, monitored, time-bound and reviewed, close coverage gaps, train accountable roles and connect controls to the relevant crisis scenarios and continuity plans.</t>
  </si>
  <si>
    <t>Measure and test third-party access that is limited, monitored, time-bound and reviewed, run tabletop or operational stress tests, integrate it with dependent processes and update crisis playbooks.</t>
  </si>
  <si>
    <t>Sustain maturity for third-party access that is limited, monitored, time-bound and reviewed: keep evidence current, monitor drift, benchmark externally and refresh risk tests after organizational, system or market changes.</t>
  </si>
  <si>
    <t>Cyber Privacy!15</t>
  </si>
  <si>
    <t>Immature capability for access reviews for critical systems, datasets, ERP, CRM, HRMS, MES and cloud may lead to security incident, data breach, privilege misuse, privacy violation and regulatory exposure during Cyberattack; Data breach; Ransomware; Insider threat.</t>
  </si>
  <si>
    <t>Low maturity, weak ownership, incomplete evidence, insufficient testing and poor integration with crisis-management routines for access reviews for critical systems, datasets, ERP, CRM, HRMS, MES and cloud.</t>
  </si>
  <si>
    <t>Severe risk: access reviews for critical systems, datasets, ERP, CRM, HRMS, MES and cloud is not reliably controlled. During Cyberattack; Data breach; Ransomware; Insider threat, the organization may face security incident, data breach, privilege misuse, privacy violation and regulatory exposure with limited visibility or accountability.</t>
  </si>
  <si>
    <t>High risk: access reviews for critical systems, datasets, ERP, CRM, HRMS, MES and cloud depends on informal practices or individual knowledge. Disruption may expose security incident, data breach, privilege misuse, privacy violation and regulatory exposure and slow recovery.</t>
  </si>
  <si>
    <t>Elevated risk: access reviews for critical systems, datasets, ERP, CRM, HRMS, MES and cloud is partially controlled, but coverage, evidence or testing is inconsistent. Crisis response may be fragmented.</t>
  </si>
  <si>
    <t>Moderate risk: access reviews for critical systems, datasets, ERP, CRM, HRMS, MES and cloud is documented and owned, but measurement, stress testing and integration with dependent processes need strengthening.</t>
  </si>
  <si>
    <t>Residual risk: access reviews for critical systems, datasets, ERP, CRM, HRMS, MES and cloud is measured and reviewed, but monitoring, automation or scenario testing should be improved to prevent maturity drift.</t>
  </si>
  <si>
    <t>Low residual risk: access reviews for critical systems, datasets, ERP, CRM, HRMS, MES and cloud is mature and crisis-tested. Maintain monitoring, evidence, ownership and periodic stress testing.</t>
  </si>
  <si>
    <t>Create an immediate risk owner, minimum control baseline and fallback procedure for access reviews for critical systems, datasets, ERP, CRM, HRMS, MES and cloud. Add it to the crisis risk register and collect first evidence.</t>
  </si>
  <si>
    <t>Document access reviews for critical systems, datasets, ERP, CRM, HRMS, MES and cloud, assign RACI, define minimum controls and KPIs, and validate coverage across key sites, teams or systems.</t>
  </si>
  <si>
    <t>Standardize access reviews for critical systems, datasets, ERP, CRM, HRMS, MES and cloud, close coverage gaps, train accountable roles and connect controls to the relevant crisis scenarios and continuity plans.</t>
  </si>
  <si>
    <t>Measure and test access reviews for critical systems, datasets, ERP, CRM, HRMS, MES and cloud, run tabletop or operational stress tests, integrate it with dependent processes and update crisis playbooks.</t>
  </si>
  <si>
    <t>Sustain maturity for access reviews for critical systems, datasets, ERP, CRM, HRMS, MES and cloud: keep evidence current, monitor drift, benchmark externally and refresh risk tests after organizational, system or market changes.</t>
  </si>
  <si>
    <t>Cyber Privacy!16</t>
  </si>
  <si>
    <t>Immature capability for endpoint protection with EDR, disk encryption, patching and remote management may lead to security incident, data breach, privilege misuse, privacy violation and regulatory exposure during Cyberattack; Data breach; Ransomware; Insider threat.</t>
  </si>
  <si>
    <t>Low maturity, weak ownership, incomplete evidence, insufficient testing and poor integration with crisis-management routines for endpoint protection with EDR, disk encryption, patching and remote management.</t>
  </si>
  <si>
    <t>Severe risk: endpoint protection with EDR, disk encryption, patching and remote management is not reliably controlled. During Cyberattack; Data breach; Ransomware; Insider threat, the organization may face security incident, data breach, privilege misuse, privacy violation and regulatory exposure with limited visibility or accountability.</t>
  </si>
  <si>
    <t>High risk: endpoint protection with EDR, disk encryption, patching and remote management depends on informal practices or individual knowledge. Disruption may expose security incident, data breach, privilege misuse, privacy violation and regulatory exposure and slow recovery.</t>
  </si>
  <si>
    <t>Elevated risk: endpoint protection with EDR, disk encryption, patching and remote management is partially controlled, but coverage, evidence or testing is inconsistent. Crisis response may be fragmented.</t>
  </si>
  <si>
    <t>Moderate risk: endpoint protection with EDR, disk encryption, patching and remote management is documented and owned, but measurement, stress testing and integration with dependent processes need strengthening.</t>
  </si>
  <si>
    <t>Residual risk: endpoint protection with EDR, disk encryption, patching and remote management is measured and reviewed, but monitoring, automation or scenario testing should be improved to prevent maturity drift.</t>
  </si>
  <si>
    <t>Low residual risk: endpoint protection with EDR, disk encryption, patching and remote management is mature and crisis-tested. Maintain monitoring, evidence, ownership and periodic stress testing.</t>
  </si>
  <si>
    <t>Create an immediate risk owner, minimum control baseline and fallback procedure for endpoint protection with EDR, disk encryption, patching and remote management. Add it to the crisis risk register and collect first evidence.</t>
  </si>
  <si>
    <t>Document endpoint protection with EDR, disk encryption, patching and remote management, assign RACI, define minimum controls and KPIs, and validate coverage across key sites, teams or systems.</t>
  </si>
  <si>
    <t>Standardize endpoint protection with EDR, disk encryption, patching and remote management, close coverage gaps, train accountable roles and connect controls to the relevant crisis scenarios and continuity plans.</t>
  </si>
  <si>
    <t>Measure and test endpoint protection with EDR, disk encryption, patching and remote management, run tabletop or operational stress tests, integrate it with dependent processes and update crisis playbooks.</t>
  </si>
  <si>
    <t>Sustain maturity for endpoint protection with EDR, disk encryption, patching and remote management: keep evidence current, monitor drift, benchmark externally and refresh risk tests after organizational, system or market changes.</t>
  </si>
  <si>
    <t>Cyber Privacy!17</t>
  </si>
  <si>
    <t>Immature capability for vulnerability and patch management prioritized by risk, exposure and asset criticality may lead to security incident, data breach, privilege misuse, privacy violation and regulatory exposure during Cyberattack; Data breach; Ransomware; Insider threat.</t>
  </si>
  <si>
    <t>Low maturity, weak ownership, incomplete evidence, insufficient testing and poor integration with crisis-management routines for vulnerability and patch management prioritized by risk, exposure and asset criticality.</t>
  </si>
  <si>
    <t>Severe risk: vulnerability and patch management prioritized by risk, exposure and asset criticality is not reliably controlled. During Cyberattack; Data breach; Ransomware; Insider threat, the organization may face security incident, data breach, privilege misuse, privacy violation and regulatory exposure with limited visibility or accountability.</t>
  </si>
  <si>
    <t>High risk: vulnerability and patch management prioritized by risk, exposure and asset criticality depends on informal practices or individual knowledge. Disruption may expose security incident, data breach, privilege misuse, privacy violation and regulatory exposure and slow recovery.</t>
  </si>
  <si>
    <t>Elevated risk: vulnerability and patch management prioritized by risk, exposure and asset criticality is partially controlled, but coverage, evidence or testing is inconsistent. Crisis response may be fragmented.</t>
  </si>
  <si>
    <t>Moderate risk: vulnerability and patch management prioritized by risk, exposure and asset criticality is documented and owned, but measurement, stress testing and integration with dependent processes need strengthening.</t>
  </si>
  <si>
    <t>Residual risk: vulnerability and patch management prioritized by risk, exposure and asset criticality is measured and reviewed, but monitoring, automation or scenario testing should be improved to prevent maturity drift.</t>
  </si>
  <si>
    <t>Low residual risk: vulnerability and patch management prioritized by risk, exposure and asset criticality is mature and crisis-tested. Maintain monitoring, evidence, ownership and periodic stress testing.</t>
  </si>
  <si>
    <t>Create an immediate risk owner, minimum control baseline and fallback procedure for vulnerability and patch management prioritized by risk, exposure and asset criticality. Add it to the crisis risk register and collect first evidence.</t>
  </si>
  <si>
    <t>Document vulnerability and patch management prioritized by risk, exposure and asset criticality, assign RACI, define minimum controls and KPIs, and validate coverage across key sites, teams or systems.</t>
  </si>
  <si>
    <t>Standardize vulnerability and patch management prioritized by risk, exposure and asset criticality, close coverage gaps, train accountable roles and connect controls to the relevant crisis scenarios and continuity plans.</t>
  </si>
  <si>
    <t>Measure and test vulnerability and patch management prioritized by risk, exposure and asset criticality, run tabletop or operational stress tests, integrate it with dependent processes and update crisis playbooks.</t>
  </si>
  <si>
    <t>Sustain maturity for vulnerability and patch management prioritized by risk, exposure and asset criticality: keep evidence current, monitor drift, benchmark externally and refresh risk tests after organizational, system or market changes.</t>
  </si>
  <si>
    <t>Cyber Privacy!18</t>
  </si>
  <si>
    <t>Immature capability for network segmentation for users, servers, cloud, OT, guest, production and sensitive systems may lead to security incident, data breach, privilege misuse, privacy violation and regulatory exposure during Cyberattack; Data breach; Ransomware; Insider threat.</t>
  </si>
  <si>
    <t>Low maturity, weak ownership, incomplete evidence, insufficient testing and poor integration with crisis-management routines for network segmentation for users, servers, cloud, OT, guest, production and sensitive systems.</t>
  </si>
  <si>
    <t>Severe risk: network segmentation for users, servers, cloud, OT, guest, production and sensitive systems is not reliably controlled. During Cyberattack; Data breach; Ransomware; Insider threat, the organization may face security incident, data breach, privilege misuse, privacy violation and regulatory exposure with limited visibility or accountability.</t>
  </si>
  <si>
    <t>High risk: network segmentation for users, servers, cloud, OT, guest, production and sensitive systems depends on informal practices or individual knowledge. Disruption may expose security incident, data breach, privilege misuse, privacy violation and regulatory exposure and slow recovery.</t>
  </si>
  <si>
    <t>Elevated risk: network segmentation for users, servers, cloud, OT, guest, production and sensitive systems is partially controlled, but coverage, evidence or testing is inconsistent. Crisis response may be fragmented.</t>
  </si>
  <si>
    <t>Moderate risk: network segmentation for users, servers, cloud, OT, guest, production and sensitive systems is documented and owned, but measurement, stress testing and integration with dependent processes need strengthening.</t>
  </si>
  <si>
    <t>Residual risk: network segmentation for users, servers, cloud, OT, guest, production and sensitive systems is measured and reviewed, but monitoring, automation or scenario testing should be improved to prevent maturity drift.</t>
  </si>
  <si>
    <t>Low residual risk: network segmentation for users, servers, cloud, OT, guest, production and sensitive systems is mature and crisis-tested. Maintain monitoring, evidence, ownership and periodic stress testing.</t>
  </si>
  <si>
    <t>Create an immediate risk owner, minimum control baseline and fallback procedure for network segmentation for users, servers, cloud, OT, guest, production and sensitive systems. Add it to the crisis risk register and collect first evidence.</t>
  </si>
  <si>
    <t>Document network segmentation for users, servers, cloud, OT, guest, production and sensitive systems, assign RACI, define minimum controls and KPIs, and validate coverage across key sites, teams or systems.</t>
  </si>
  <si>
    <t>Standardize network segmentation for users, servers, cloud, OT, guest, production and sensitive systems, close coverage gaps, train accountable roles and connect controls to the relevant crisis scenarios and continuity plans.</t>
  </si>
  <si>
    <t>Measure and test network segmentation for users, servers, cloud, OT, guest, production and sensitive systems, run tabletop or operational stress tests, integrate it with dependent processes and update crisis playbooks.</t>
  </si>
  <si>
    <t>Sustain maturity for network segmentation for users, servers, cloud, OT, guest, production and sensitive systems: keep evidence current, monitor drift, benchmark externally and refresh risk tests after organizational, system or market changes.</t>
  </si>
  <si>
    <t>Cyber Privacy!19</t>
  </si>
  <si>
    <t>Immature capability for email protection against phishing, spoofing, malware and business email compromise may lead to security incident, data breach, privilege misuse, privacy violation and regulatory exposure during Cyberattack; Data breach; Ransomware; Insider threat.</t>
  </si>
  <si>
    <t>Low maturity, weak ownership, incomplete evidence, insufficient testing and poor integration with crisis-management routines for email protection against phishing, spoofing, malware and business email compromise.</t>
  </si>
  <si>
    <t>Severe risk: email protection against phishing, spoofing, malware and business email compromise is not reliably controlled. During Cyberattack; Data breach; Ransomware; Insider threat, the organization may face security incident, data breach, privilege misuse, privacy violation and regulatory exposure with limited visibility or accountability.</t>
  </si>
  <si>
    <t>High risk: email protection against phishing, spoofing, malware and business email compromise depends on informal practices or individual knowledge. Disruption may expose security incident, data breach, privilege misuse, privacy violation and regulatory exposure and slow recovery.</t>
  </si>
  <si>
    <t>Elevated risk: email protection against phishing, spoofing, malware and business email compromise is partially controlled, but coverage, evidence or testing is inconsistent. Crisis response may be fragmented.</t>
  </si>
  <si>
    <t>Moderate risk: email protection against phishing, spoofing, malware and business email compromise is documented and owned, but measurement, stress testing and integration with dependent processes need strengthening.</t>
  </si>
  <si>
    <t>Residual risk: email protection against phishing, spoofing, malware and business email compromise is measured and reviewed, but monitoring, automation or scenario testing should be improved to prevent maturity drift.</t>
  </si>
  <si>
    <t>Low residual risk: email protection against phishing, spoofing, malware and business email compromise is mature and crisis-tested. Maintain monitoring, evidence, ownership and periodic stress testing.</t>
  </si>
  <si>
    <t>Create an immediate risk owner, minimum control baseline and fallback procedure for email protection against phishing, spoofing, malware and business email compromise. Add it to the crisis risk register and collect first evidence.</t>
  </si>
  <si>
    <t>Document email protection against phishing, spoofing, malware and business email compromise, assign RACI, define minimum controls and KPIs, and validate coverage across key sites, teams or systems.</t>
  </si>
  <si>
    <t>Standardize email protection against phishing, spoofing, malware and business email compromise, close coverage gaps, train accountable roles and connect controls to the relevant crisis scenarios and continuity plans.</t>
  </si>
  <si>
    <t>Measure and test email protection against phishing, spoofing, malware and business email compromise, run tabletop or operational stress tests, integrate it with dependent processes and update crisis playbooks.</t>
  </si>
  <si>
    <t>Sustain maturity for email protection against phishing, spoofing, malware and business email compromise: keep evidence current, monitor drift, benchmark externally and refresh risk tests after organizational, system or market changes.</t>
  </si>
  <si>
    <t>Cyber Privacy!20</t>
  </si>
  <si>
    <t>Immature capability for cloud security guardrails for IAM, logging, encryption, public exposure, secrets and network access may lead to security incident, data breach, privilege misuse, privacy violation and regulatory exposure during Cyberattack; Data breach; Ransomware; Insider threat.</t>
  </si>
  <si>
    <t>Low maturity, weak ownership, incomplete evidence, insufficient testing and poor integration with crisis-management routines for cloud security guardrails for IAM, logging, encryption, public exposure, secrets and network access.</t>
  </si>
  <si>
    <t>Severe risk: cloud security guardrails for IAM, logging, encryption, public exposure, secrets and network access is not reliably controlled. During Cyberattack; Data breach; Ransomware; Insider threat, the organization may face security incident, data breach, privilege misuse, privacy violation and regulatory exposure with limited visibility or accountability.</t>
  </si>
  <si>
    <t>High risk: cloud security guardrails for IAM, logging, encryption, public exposure, secrets and network access depends on informal practices or individual knowledge. Disruption may expose security incident, data breach, privilege misuse, privacy violation and regulatory exposure and slow recovery.</t>
  </si>
  <si>
    <t>Elevated risk: cloud security guardrails for IAM, logging, encryption, public exposure, secrets and network access is partially controlled, but coverage, evidence or testing is inconsistent. Crisis response may be fragmented.</t>
  </si>
  <si>
    <t>Moderate risk: cloud security guardrails for IAM, logging, encryption, public exposure, secrets and network access is documented and owned, but measurement, stress testing and integration with dependent processes need strengthening.</t>
  </si>
  <si>
    <t>Residual risk: cloud security guardrails for IAM, logging, encryption, public exposure, secrets and network access is measured and reviewed, but monitoring, automation or scenario testing should be improved to prevent maturity drift.</t>
  </si>
  <si>
    <t>Low residual risk: cloud security guardrails for IAM, logging, encryption, public exposure, secrets and network access is mature and crisis-tested. Maintain monitoring, evidence, ownership and periodic stress testing.</t>
  </si>
  <si>
    <t>Create an immediate risk owner, minimum control baseline and fallback procedure for cloud security guardrails for IAM, logging, encryption, public exposure, secrets and network access. Add it to the crisis risk register and collect first evidence.</t>
  </si>
  <si>
    <t>Document cloud security guardrails for IAM, logging, encryption, public exposure, secrets and network access, assign RACI, define minimum controls and KPIs, and validate coverage across key sites, teams or systems.</t>
  </si>
  <si>
    <t>Standardize cloud security guardrails for IAM, logging, encryption, public exposure, secrets and network access, close coverage gaps, train accountable roles and connect controls to the relevant crisis scenarios and continuity plans.</t>
  </si>
  <si>
    <t>Measure and test cloud security guardrails for IAM, logging, encryption, public exposure, secrets and network access, run tabletop or operational stress tests, integrate it with dependent processes and update crisis playbooks.</t>
  </si>
  <si>
    <t>Sustain maturity for cloud security guardrails for IAM, logging, encryption, public exposure, secrets and network access: keep evidence current, monitor drift, benchmark externally and refresh risk tests after organizational, system or market changes.</t>
  </si>
  <si>
    <t>Cyber Privacy!21</t>
  </si>
  <si>
    <t>Immature capability for secrets, API keys, certificates and credentials management and rotation may lead to security incident, data breach, privilege misuse, privacy violation and regulatory exposure during Cyberattack; Data breach; Ransomware; Insider threat.</t>
  </si>
  <si>
    <t>Low maturity, weak ownership, incomplete evidence, insufficient testing and poor integration with crisis-management routines for secrets, API keys, certificates and credentials management and rotation.</t>
  </si>
  <si>
    <t>Severe risk: secrets, API keys, certificates and credentials management and rotation is not reliably controlled. During Cyberattack; Data breach; Ransomware; Insider threat, the organization may face security incident, data breach, privilege misuse, privacy violation and regulatory exposure with limited visibility or accountability.</t>
  </si>
  <si>
    <t>High risk: secrets, API keys, certificates and credentials management and rotation depends on informal practices or individual knowledge. Disruption may expose security incident, data breach, privilege misuse, privacy violation and regulatory exposure and slow recovery.</t>
  </si>
  <si>
    <t>Elevated risk: secrets, API keys, certificates and credentials management and rotation is partially controlled, but coverage, evidence or testing is inconsistent. Crisis response may be fragmented.</t>
  </si>
  <si>
    <t>Moderate risk: secrets, API keys, certificates and credentials management and rotation is documented and owned, but measurement, stress testing and integration with dependent processes need strengthening.</t>
  </si>
  <si>
    <t>Residual risk: secrets, API keys, certificates and credentials management and rotation is measured and reviewed, but monitoring, automation or scenario testing should be improved to prevent maturity drift.</t>
  </si>
  <si>
    <t>Low residual risk: secrets, API keys, certificates and credentials management and rotation is mature and crisis-tested. Maintain monitoring, evidence, ownership and periodic stress testing.</t>
  </si>
  <si>
    <t>Create an immediate risk owner, minimum control baseline and fallback procedure for secrets, API keys, certificates and credentials management and rotation. Add it to the crisis risk register and collect first evidence.</t>
  </si>
  <si>
    <t>Document secrets, API keys, certificates and credentials management and rotation, assign RACI, define minimum controls and KPIs, and validate coverage across key sites, teams or systems.</t>
  </si>
  <si>
    <t>Standardize secrets, API keys, certificates and credentials management and rotation, close coverage gaps, train accountable roles and connect controls to the relevant crisis scenarios and continuity plans.</t>
  </si>
  <si>
    <t>Measure and test secrets, API keys, certificates and credentials management and rotation, run tabletop or operational stress tests, integrate it with dependent processes and update crisis playbooks.</t>
  </si>
  <si>
    <t>Sustain maturity for secrets, API keys, certificates and credentials management and rotation: keep evidence current, monitor drift, benchmark externally and refresh risk tests after organizational, system or market changes.</t>
  </si>
  <si>
    <t>Cyber Privacy!22</t>
  </si>
  <si>
    <t>Immature capability for encryption for sensitive data at rest and in transit may lead to security incident, data breach, privilege misuse, privacy violation and regulatory exposure during Cyberattack; Data breach; Ransomware; Insider threat.</t>
  </si>
  <si>
    <t>Low maturity, weak ownership, incomplete evidence, insufficient testing and poor integration with crisis-management routines for encryption for sensitive data at rest and in transit.</t>
  </si>
  <si>
    <t>Severe risk: encryption for sensitive data at rest and in transit is not reliably controlled. During Cyberattack; Data breach; Ransomware; Insider threat, the organization may face security incident, data breach, privilege misuse, privacy violation and regulatory exposure with limited visibility or accountability.</t>
  </si>
  <si>
    <t>High risk: encryption for sensitive data at rest and in transit depends on informal practices or individual knowledge. Disruption may expose security incident, data breach, privilege misuse, privacy violation and regulatory exposure and slow recovery.</t>
  </si>
  <si>
    <t>Elevated risk: encryption for sensitive data at rest and in transit is partially controlled, but coverage, evidence or testing is inconsistent. Crisis response may be fragmented.</t>
  </si>
  <si>
    <t>Moderate risk: encryption for sensitive data at rest and in transit is documented and owned, but measurement, stress testing and integration with dependent processes need strengthening.</t>
  </si>
  <si>
    <t>Residual risk: encryption for sensitive data at rest and in transit is measured and reviewed, but monitoring, automation or scenario testing should be improved to prevent maturity drift.</t>
  </si>
  <si>
    <t>Low residual risk: encryption for sensitive data at rest and in transit is mature and crisis-tested. Maintain monitoring, evidence, ownership and periodic stress testing.</t>
  </si>
  <si>
    <t>Create an immediate risk owner, minimum control baseline and fallback procedure for encryption for sensitive data at rest and in transit. Add it to the crisis risk register and collect first evidence.</t>
  </si>
  <si>
    <t>Document encryption for sensitive data at rest and in transit, assign RACI, define minimum controls and KPIs, and validate coverage across key sites, teams or systems.</t>
  </si>
  <si>
    <t>Standardize encryption for sensitive data at rest and in transit, close coverage gaps, train accountable roles and connect controls to the relevant crisis scenarios and continuity plans.</t>
  </si>
  <si>
    <t>Measure and test encryption for sensitive data at rest and in transit, run tabletop or operational stress tests, integrate it with dependent processes and update crisis playbooks.</t>
  </si>
  <si>
    <t>Sustain maturity for encryption for sensitive data at rest and in transit: keep evidence current, monitor drift, benchmark externally and refresh risk tests after organizational, system or market changes.</t>
  </si>
  <si>
    <t>Cyber Privacy!23</t>
  </si>
  <si>
    <t>Immature capability for DLP controls for sensitive data in email, cloud storage, endpoints and collaboration tools may lead to security incident, data breach, privilege misuse, privacy violation and regulatory exposure during Cyberattack; Data breach; Ransomware; Insider threat.</t>
  </si>
  <si>
    <t>Low maturity, weak ownership, incomplete evidence, insufficient testing and poor integration with crisis-management routines for DLP controls for sensitive data in email, cloud storage, endpoints and collaboration tools.</t>
  </si>
  <si>
    <t>Severe risk: DLP controls for sensitive data in email, cloud storage, endpoints and collaboration tools is not reliably controlled. During Cyberattack; Data breach; Ransomware; Insider threat, the organization may face security incident, data breach, privilege misuse, privacy violation and regulatory exposure with limited visibility or accountability.</t>
  </si>
  <si>
    <t>High risk: DLP controls for sensitive data in email, cloud storage, endpoints and collaboration tools depends on informal practices or individual knowledge. Disruption may expose security incident, data breach, privilege misuse, privacy violation and regulatory exposure and slow recovery.</t>
  </si>
  <si>
    <t>Elevated risk: DLP controls for sensitive data in email, cloud storage, endpoints and collaboration tools is partially controlled, but coverage, evidence or testing is inconsistent. Crisis response may be fragmented.</t>
  </si>
  <si>
    <t>Moderate risk: DLP controls for sensitive data in email, cloud storage, endpoints and collaboration tools is documented and owned, but measurement, stress testing and integration with dependent processes need strengthening.</t>
  </si>
  <si>
    <t>Residual risk: DLP controls for sensitive data in email, cloud storage, endpoints and collaboration tools is measured and reviewed, but monitoring, automation or scenario testing should be improved to prevent maturity drift.</t>
  </si>
  <si>
    <t>Low residual risk: DLP controls for sensitive data in email, cloud storage, endpoints and collaboration tools is mature and crisis-tested. Maintain monitoring, evidence, ownership and periodic stress testing.</t>
  </si>
  <si>
    <t>Create an immediate risk owner, minimum control baseline and fallback procedure for DLP controls for sensitive data in email, cloud storage, endpoints and collaboration tools. Add it to the crisis risk register and collect first evidence.</t>
  </si>
  <si>
    <t>Document DLP controls for sensitive data in email, cloud storage, endpoints and collaboration tools, assign RACI, define minimum controls and KPIs, and validate coverage across key sites, teams or systems.</t>
  </si>
  <si>
    <t>Standardize DLP controls for sensitive data in email, cloud storage, endpoints and collaboration tools, close coverage gaps, train accountable roles and connect controls to the relevant crisis scenarios and continuity plans.</t>
  </si>
  <si>
    <t>Measure and test DLP controls for sensitive data in email, cloud storage, endpoints and collaboration tools, run tabletop or operational stress tests, integrate it with dependent processes and update crisis playbooks.</t>
  </si>
  <si>
    <t>Sustain maturity for DLP controls for sensitive data in email, cloud storage, endpoints and collaboration tools: keep evidence current, monitor drift, benchmark externally and refresh risk tests after organizational, system or market changes.</t>
  </si>
  <si>
    <t>Cyber Privacy!24</t>
  </si>
  <si>
    <t>Immature capability for log collection and monitoring for identity, endpoints, cloud, network, critical apps and security tools may lead to security incident, data breach, privilege misuse, privacy violation and regulatory exposure during Cyberattack; Data breach; Ransomware; Insider threat.</t>
  </si>
  <si>
    <t>Low maturity, weak ownership, incomplete evidence, insufficient testing and poor integration with crisis-management routines for log collection and monitoring for identity, endpoints, cloud, network, critical apps and security tools.</t>
  </si>
  <si>
    <t>Severe risk: log collection and monitoring for identity, endpoints, cloud, network, critical apps and security tools is not reliably controlled. During Cyberattack; Data breach; Ransomware; Insider threat, the organization may face security incident, data breach, privilege misuse, privacy violation and regulatory exposure with limited visibility or accountability.</t>
  </si>
  <si>
    <t>High risk: log collection and monitoring for identity, endpoints, cloud, network, critical apps and security tools depends on informal practices or individual knowledge. Disruption may expose security incident, data breach, privilege misuse, privacy violation and regulatory exposure and slow recovery.</t>
  </si>
  <si>
    <t>Elevated risk: log collection and monitoring for identity, endpoints, cloud, network, critical apps and security tools is partially controlled, but coverage, evidence or testing is inconsistent. Crisis response may be fragmented.</t>
  </si>
  <si>
    <t>Moderate risk: log collection and monitoring for identity, endpoints, cloud, network, critical apps and security tools is documented and owned, but measurement, stress testing and integration with dependent processes need strengthening.</t>
  </si>
  <si>
    <t>Residual risk: log collection and monitoring for identity, endpoints, cloud, network, critical apps and security tools is measured and reviewed, but monitoring, automation or scenario testing should be improved to prevent maturity drift.</t>
  </si>
  <si>
    <t>Low residual risk: log collection and monitoring for identity, endpoints, cloud, network, critical apps and security tools is mature and crisis-tested. Maintain monitoring, evidence, ownership and periodic stress testing.</t>
  </si>
  <si>
    <t>Create an immediate risk owner, minimum control baseline and fallback procedure for log collection and monitoring for identity, endpoints, cloud, network, critical apps and security tools. Add it to the crisis risk register and collect first evidence.</t>
  </si>
  <si>
    <t>Document log collection and monitoring for identity, endpoints, cloud, network, critical apps and security tools, assign RACI, define minimum controls and KPIs, and validate coverage across key sites, teams or systems.</t>
  </si>
  <si>
    <t>Standardize log collection and monitoring for identity, endpoints, cloud, network, critical apps and security tools, close coverage gaps, train accountable roles and connect controls to the relevant crisis scenarios and continuity plans.</t>
  </si>
  <si>
    <t>Measure and test log collection and monitoring for identity, endpoints, cloud, network, critical apps and security tools, run tabletop or operational stress tests, integrate it with dependent processes and update crisis playbooks.</t>
  </si>
  <si>
    <t>Sustain maturity for log collection and monitoring for identity, endpoints, cloud, network, critical apps and security tools: keep evidence current, monitor drift, benchmark externally and refresh risk tests after organizational, system or market changes.</t>
  </si>
  <si>
    <t>Cyber Privacy!25</t>
  </si>
  <si>
    <t>Immature capability for threat detection coverage mapped to likely threat scenarios may lead to security incident, data breach, privilege misuse, privacy violation and regulatory exposure during Cyberattack; Data breach; Ransomware; Insider threat.</t>
  </si>
  <si>
    <t>Low maturity, weak ownership, incomplete evidence, insufficient testing and poor integration with crisis-management routines for threat detection coverage mapped to likely threat scenarios.</t>
  </si>
  <si>
    <t>Severe risk: threat detection coverage mapped to likely threat scenarios is not reliably controlled. During Cyberattack; Data breach; Ransomware; Insider threat, the organization may face security incident, data breach, privilege misuse, privacy violation and regulatory exposure with limited visibility or accountability.</t>
  </si>
  <si>
    <t>High risk: threat detection coverage mapped to likely threat scenarios depends on informal practices or individual knowledge. Disruption may expose security incident, data breach, privilege misuse, privacy violation and regulatory exposure and slow recovery.</t>
  </si>
  <si>
    <t>Elevated risk: threat detection coverage mapped to likely threat scenarios is partially controlled, but coverage, evidence or testing is inconsistent. Crisis response may be fragmented.</t>
  </si>
  <si>
    <t>Moderate risk: threat detection coverage mapped to likely threat scenarios is documented and owned, but measurement, stress testing and integration with dependent processes need strengthening.</t>
  </si>
  <si>
    <t>Residual risk: threat detection coverage mapped to likely threat scenarios is measured and reviewed, but monitoring, automation or scenario testing should be improved to prevent maturity drift.</t>
  </si>
  <si>
    <t>Low residual risk: threat detection coverage mapped to likely threat scenarios is mature and crisis-tested. Maintain monitoring, evidence, ownership and periodic stress testing.</t>
  </si>
  <si>
    <t>Create an immediate risk owner, minimum control baseline and fallback procedure for threat detection coverage mapped to likely threat scenarios. Add it to the crisis risk register and collect first evidence.</t>
  </si>
  <si>
    <t>Document threat detection coverage mapped to likely threat scenarios, assign RACI, define minimum controls and KPIs, and validate coverage across key sites, teams or systems.</t>
  </si>
  <si>
    <t>Standardize threat detection coverage mapped to likely threat scenarios, close coverage gaps, train accountable roles and connect controls to the relevant crisis scenarios and continuity plans.</t>
  </si>
  <si>
    <t>Measure and test threat detection coverage mapped to likely threat scenarios, run tabletop or operational stress tests, integrate it with dependent processes and update crisis playbooks.</t>
  </si>
  <si>
    <t>Sustain maturity for threat detection coverage mapped to likely threat scenarios: keep evidence current, monitor drift, benchmark externally and refresh risk tests after organizational, system or market changes.</t>
  </si>
  <si>
    <t>Cyber Privacy!26</t>
  </si>
  <si>
    <t>Immature capability for cyber incident response plan involving IT, legal, communications, executives and insurers may lead to security incident, data breach, privilege misuse, privacy violation and regulatory exposure during Cyberattack; Data breach; Ransomware; Insider threat.</t>
  </si>
  <si>
    <t>Low maturity, weak ownership, incomplete evidence, insufficient testing and poor integration with crisis-management routines for cyber incident response plan involving IT, legal, communications, executives and insurers.</t>
  </si>
  <si>
    <t>Severe risk: cyber incident response plan involving IT, legal, communications, executives and insurers is not reliably controlled. During Cyberattack; Data breach; Ransomware; Insider threat, the organization may face security incident, data breach, privilege misuse, privacy violation and regulatory exposure with limited visibility or accountability.</t>
  </si>
  <si>
    <t>High risk: cyber incident response plan involving IT, legal, communications, executives and insurers depends on informal practices or individual knowledge. Disruption may expose security incident, data breach, privilege misuse, privacy violation and regulatory exposure and slow recovery.</t>
  </si>
  <si>
    <t>Elevated risk: cyber incident response plan involving IT, legal, communications, executives and insurers is partially controlled, but coverage, evidence or testing is inconsistent. Crisis response may be fragmented.</t>
  </si>
  <si>
    <t>Moderate risk: cyber incident response plan involving IT, legal, communications, executives and insurers is documented and owned, but measurement, stress testing and integration with dependent processes need strengthening.</t>
  </si>
  <si>
    <t>Residual risk: cyber incident response plan involving IT, legal, communications, executives and insurers is measured and reviewed, but monitoring, automation or scenario testing should be improved to prevent maturity drift.</t>
  </si>
  <si>
    <t>Low residual risk: cyber incident response plan involving IT, legal, communications, executives and insurers is mature and crisis-tested. Maintain monitoring, evidence, ownership and periodic stress testing.</t>
  </si>
  <si>
    <t>Create an immediate risk owner, minimum control baseline and fallback procedure for cyber incident response plan involving IT, legal, communications, executives and insurers. Add it to the crisis risk register and collect first evidence.</t>
  </si>
  <si>
    <t>Document cyber incident response plan involving IT, legal, communications, executives and insurers, assign RACI, define minimum controls and KPIs, and validate coverage across key sites, teams or systems.</t>
  </si>
  <si>
    <t>Standardize cyber incident response plan involving IT, legal, communications, executives and insurers, close coverage gaps, train accountable roles and connect controls to the relevant crisis scenarios and continuity plans.</t>
  </si>
  <si>
    <t>Measure and test cyber incident response plan involving IT, legal, communications, executives and insurers, run tabletop or operational stress tests, integrate it with dependent processes and update crisis playbooks.</t>
  </si>
  <si>
    <t>Sustain maturity for cyber incident response plan involving IT, legal, communications, executives and insurers: keep evidence current, monitor drift, benchmark externally and refresh risk tests after organizational, system or market changes.</t>
  </si>
  <si>
    <t>Cyber Privacy!27</t>
  </si>
  <si>
    <t>Immature capability for ransomware playbook covering isolation, recovery, communication, legal and decision-making may lead to security incident, data breach, privilege misuse, privacy violation and regulatory exposure during Cyberattack; Data breach; Ransomware; Insider threat.</t>
  </si>
  <si>
    <t>Low maturity, weak ownership, incomplete evidence, insufficient testing and poor integration with crisis-management routines for ransomware playbook covering isolation, recovery, communication, legal and decision-making.</t>
  </si>
  <si>
    <t>Severe risk: ransomware playbook covering isolation, recovery, communication, legal and decision-making is not reliably controlled. During Cyberattack; Data breach; Ransomware; Insider threat, the organization may face security incident, data breach, privilege misuse, privacy violation and regulatory exposure with limited visibility or accountability.</t>
  </si>
  <si>
    <t>High risk: ransomware playbook covering isolation, recovery, communication, legal and decision-making depends on informal practices or individual knowledge. Disruption may expose security incident, data breach, privilege misuse, privacy violation and regulatory exposure and slow recovery.</t>
  </si>
  <si>
    <t>Elevated risk: ransomware playbook covering isolation, recovery, communication, legal and decision-making is partially controlled, but coverage, evidence or testing is inconsistent. Crisis response may be fragmented.</t>
  </si>
  <si>
    <t>Moderate risk: ransomware playbook covering isolation, recovery, communication, legal and decision-making is documented and owned, but measurement, stress testing and integration with dependent processes need strengthening.</t>
  </si>
  <si>
    <t>Residual risk: ransomware playbook covering isolation, recovery, communication, legal and decision-making is measured and reviewed, but monitoring, automation or scenario testing should be improved to prevent maturity drift.</t>
  </si>
  <si>
    <t>Low residual risk: ransomware playbook covering isolation, recovery, communication, legal and decision-making is mature and crisis-tested. Maintain monitoring, evidence, ownership and periodic stress testing.</t>
  </si>
  <si>
    <t>Create an immediate risk owner, minimum control baseline and fallback procedure for ransomware playbook covering isolation, recovery, communication, legal and decision-making. Add it to the crisis risk register and collect first evidence.</t>
  </si>
  <si>
    <t>Document ransomware playbook covering isolation, recovery, communication, legal and decision-making, assign RACI, define minimum controls and KPIs, and validate coverage across key sites, teams or systems.</t>
  </si>
  <si>
    <t>Standardize ransomware playbook covering isolation, recovery, communication, legal and decision-making, close coverage gaps, train accountable roles and connect controls to the relevant crisis scenarios and continuity plans.</t>
  </si>
  <si>
    <t>Measure and test ransomware playbook covering isolation, recovery, communication, legal and decision-making, run tabletop or operational stress tests, integrate it with dependent processes and update crisis playbooks.</t>
  </si>
  <si>
    <t>Sustain maturity for ransomware playbook covering isolation, recovery, communication, legal and decision-making: keep evidence current, monitor drift, benchmark externally and refresh risk tests after organizational, system or market changes.</t>
  </si>
  <si>
    <t>Cyber Privacy!28</t>
  </si>
  <si>
    <t>Immature capability for cyber incident exercises with business, legal, communication, IT and executives may lead to security incident, data breach, privilege misuse, privacy violation and regulatory exposure during Cyberattack; Data breach; Ransomware; Insider threat.</t>
  </si>
  <si>
    <t>Low maturity, weak ownership, incomplete evidence, insufficient testing and poor integration with crisis-management routines for cyber incident exercises with business, legal, communication, IT and executives.</t>
  </si>
  <si>
    <t>Severe risk: cyber incident exercises with business, legal, communication, IT and executives is not reliably controlled. During Cyberattack; Data breach; Ransomware; Insider threat, the organization may face security incident, data breach, privilege misuse, privacy violation and regulatory exposure with limited visibility or accountability.</t>
  </si>
  <si>
    <t>High risk: cyber incident exercises with business, legal, communication, IT and executives depends on informal practices or individual knowledge. Disruption may expose security incident, data breach, privilege misuse, privacy violation and regulatory exposure and slow recovery.</t>
  </si>
  <si>
    <t>Elevated risk: cyber incident exercises with business, legal, communication, IT and executives is partially controlled, but coverage, evidence or testing is inconsistent. Crisis response may be fragmented.</t>
  </si>
  <si>
    <t>Moderate risk: cyber incident exercises with business, legal, communication, IT and executives is documented and owned, but measurement, stress testing and integration with dependent processes need strengthening.</t>
  </si>
  <si>
    <t>Residual risk: cyber incident exercises with business, legal, communication, IT and executives is measured and reviewed, but monitoring, automation or scenario testing should be improved to prevent maturity drift.</t>
  </si>
  <si>
    <t>Low residual risk: cyber incident exercises with business, legal, communication, IT and executives is mature and crisis-tested. Maintain monitoring, evidence, ownership and periodic stress testing.</t>
  </si>
  <si>
    <t>Create an immediate risk owner, minimum control baseline and fallback procedure for cyber incident exercises with business, legal, communication, IT and executives. Add it to the crisis risk register and collect first evidence.</t>
  </si>
  <si>
    <t>Document cyber incident exercises with business, legal, communication, IT and executives, assign RACI, define minimum controls and KPIs, and validate coverage across key sites, teams or systems.</t>
  </si>
  <si>
    <t>Standardize cyber incident exercises with business, legal, communication, IT and executives, close coverage gaps, train accountable roles and connect controls to the relevant crisis scenarios and continuity plans.</t>
  </si>
  <si>
    <t>Measure and test cyber incident exercises with business, legal, communication, IT and executives, run tabletop or operational stress tests, integrate it with dependent processes and update crisis playbooks.</t>
  </si>
  <si>
    <t>Sustain maturity for cyber incident exercises with business, legal, communication, IT and executives: keep evidence current, monitor drift, benchmark externally and refresh risk tests after organizational, system or market changes.</t>
  </si>
  <si>
    <t>Cyber Privacy!29</t>
  </si>
  <si>
    <t>Immature capability for immutable or isolated backups protected against ransomware may lead to security incident, data breach, privilege misuse, privacy violation and regulatory exposure during Cyberattack; Data breach; Ransomware; Insider threat.</t>
  </si>
  <si>
    <t>Low maturity, weak ownership, incomplete evidence, insufficient testing and poor integration with crisis-management routines for immutable or isolated backups protected against ransomware.</t>
  </si>
  <si>
    <t>Severe risk: immutable or isolated backups protected against ransomware is not reliably controlled. During Cyberattack; Data breach; Ransomware; Insider threat, the organization may face security incident, data breach, privilege misuse, privacy violation and regulatory exposure with limited visibility or accountability.</t>
  </si>
  <si>
    <t>High risk: immutable or isolated backups protected against ransomware depends on informal practices or individual knowledge. Disruption may expose security incident, data breach, privilege misuse, privacy violation and regulatory exposure and slow recovery.</t>
  </si>
  <si>
    <t>Elevated risk: immutable or isolated backups protected against ransomware is partially controlled, but coverage, evidence or testing is inconsistent. Crisis response may be fragmented.</t>
  </si>
  <si>
    <t>Moderate risk: immutable or isolated backups protected against ransomware is documented and owned, but measurement, stress testing and integration with dependent processes need strengthening.</t>
  </si>
  <si>
    <t>Residual risk: immutable or isolated backups protected against ransomware is measured and reviewed, but monitoring, automation or scenario testing should be improved to prevent maturity drift.</t>
  </si>
  <si>
    <t>Low residual risk: immutable or isolated backups protected against ransomware is mature and crisis-tested. Maintain monitoring, evidence, ownership and periodic stress testing.</t>
  </si>
  <si>
    <t>Create an immediate risk owner, minimum control baseline and fallback procedure for immutable or isolated backups protected against ransomware. Add it to the crisis risk register and collect first evidence.</t>
  </si>
  <si>
    <t>Document immutable or isolated backups protected against ransomware, assign RACI, define minimum controls and KPIs, and validate coverage across key sites, teams or systems.</t>
  </si>
  <si>
    <t>Standardize immutable or isolated backups protected against ransomware, close coverage gaps, train accountable roles and connect controls to the relevant crisis scenarios and continuity plans.</t>
  </si>
  <si>
    <t>Measure and test immutable or isolated backups protected against ransomware, run tabletop or operational stress tests, integrate it with dependent processes and update crisis playbooks.</t>
  </si>
  <si>
    <t>Sustain maturity for immutable or isolated backups protected against ransomware: keep evidence current, monitor drift, benchmark externally and refresh risk tests after organizational, system or market changes.</t>
  </si>
  <si>
    <t>Cyber Privacy!30</t>
  </si>
  <si>
    <t>Immature capability for secure SDLC for internally developed applications, APIs and integrations may lead to security incident, data breach, privilege misuse, privacy violation and regulatory exposure during Cyberattack; Data breach; Ransomware; Insider threat.</t>
  </si>
  <si>
    <t>Low maturity, weak ownership, incomplete evidence, insufficient testing and poor integration with crisis-management routines for secure SDLC for internally developed applications, APIs and integrations.</t>
  </si>
  <si>
    <t>Severe risk: secure SDLC for internally developed applications, APIs and integrations is not reliably controlled. During Cyberattack; Data breach; Ransomware; Insider threat, the organization may face security incident, data breach, privilege misuse, privacy violation and regulatory exposure with limited visibility or accountability.</t>
  </si>
  <si>
    <t>High risk: secure SDLC for internally developed applications, APIs and integrations depends on informal practices or individual knowledge. Disruption may expose security incident, data breach, privilege misuse, privacy violation and regulatory exposure and slow recovery.</t>
  </si>
  <si>
    <t>Elevated risk: secure SDLC for internally developed applications, APIs and integrations is partially controlled, but coverage, evidence or testing is inconsistent. Crisis response may be fragmented.</t>
  </si>
  <si>
    <t>Moderate risk: secure SDLC for internally developed applications, APIs and integrations is documented and owned, but measurement, stress testing and integration with dependent processes need strengthening.</t>
  </si>
  <si>
    <t>Residual risk: secure SDLC for internally developed applications, APIs and integrations is measured and reviewed, but monitoring, automation or scenario testing should be improved to prevent maturity drift.</t>
  </si>
  <si>
    <t>Low residual risk: secure SDLC for internally developed applications, APIs and integrations is mature and crisis-tested. Maintain monitoring, evidence, ownership and periodic stress testing.</t>
  </si>
  <si>
    <t>Create an immediate risk owner, minimum control baseline and fallback procedure for secure SDLC for internally developed applications, APIs and integrations. Add it to the crisis risk register and collect first evidence.</t>
  </si>
  <si>
    <t>Document secure SDLC for internally developed applications, APIs and integrations, assign RACI, define minimum controls and KPIs, and validate coverage across key sites, teams or systems.</t>
  </si>
  <si>
    <t>Standardize secure SDLC for internally developed applications, APIs and integrations, close coverage gaps, train accountable roles and connect controls to the relevant crisis scenarios and continuity plans.</t>
  </si>
  <si>
    <t>Measure and test secure SDLC for internally developed applications, APIs and integrations, run tabletop or operational stress tests, integrate it with dependent processes and update crisis playbooks.</t>
  </si>
  <si>
    <t>Sustain maturity for secure SDLC for internally developed applications, APIs and integrations: keep evidence current, monitor drift, benchmark externally and refresh risk tests after organizational, system or market changes.</t>
  </si>
  <si>
    <t>Cyber Privacy!31</t>
  </si>
  <si>
    <t>Immature capability for application vulnerability testing through SAST, DAST, code review and penetration testing may lead to security incident, data breach, privilege misuse, privacy violation and regulatory exposure during Cyberattack; Data breach; Ransomware; Insider threat.</t>
  </si>
  <si>
    <t>Low maturity, weak ownership, incomplete evidence, insufficient testing and poor integration with crisis-management routines for application vulnerability testing through SAST, DAST, code review and penetration testing.</t>
  </si>
  <si>
    <t>Severe risk: application vulnerability testing through SAST, DAST, code review and penetration testing is not reliably controlled. During Cyberattack; Data breach; Ransomware; Insider threat, the organization may face security incident, data breach, privilege misuse, privacy violation and regulatory exposure with limited visibility or accountability.</t>
  </si>
  <si>
    <t>High risk: application vulnerability testing through SAST, DAST, code review and penetration testing depends on informal practices or individual knowledge. Disruption may expose security incident, data breach, privilege misuse, privacy violation and regulatory exposure and slow recovery.</t>
  </si>
  <si>
    <t>Elevated risk: application vulnerability testing through SAST, DAST, code review and penetration testing is partially controlled, but coverage, evidence or testing is inconsistent. Crisis response may be fragmented.</t>
  </si>
  <si>
    <t>Moderate risk: application vulnerability testing through SAST, DAST, code review and penetration testing is documented and owned, but measurement, stress testing and integration with dependent processes need strengthening.</t>
  </si>
  <si>
    <t>Residual risk: application vulnerability testing through SAST, DAST, code review and penetration testing is measured and reviewed, but monitoring, automation or scenario testing should be improved to prevent maturity drift.</t>
  </si>
  <si>
    <t>Low residual risk: application vulnerability testing through SAST, DAST, code review and penetration testing is mature and crisis-tested. Maintain monitoring, evidence, ownership and periodic stress testing.</t>
  </si>
  <si>
    <t>Create an immediate risk owner, minimum control baseline and fallback procedure for application vulnerability testing through SAST, DAST, code review and penetration testing. Add it to the crisis risk register and collect first evidence.</t>
  </si>
  <si>
    <t>Document application vulnerability testing through SAST, DAST, code review and penetration testing, assign RACI, define minimum controls and KPIs, and validate coverage across key sites, teams or systems.</t>
  </si>
  <si>
    <t>Standardize application vulnerability testing through SAST, DAST, code review and penetration testing, close coverage gaps, train accountable roles and connect controls to the relevant crisis scenarios and continuity plans.</t>
  </si>
  <si>
    <t>Measure and test application vulnerability testing through SAST, DAST, code review and penetration testing, run tabletop or operational stress tests, integrate it with dependent processes and update crisis playbooks.</t>
  </si>
  <si>
    <t>Sustain maturity for application vulnerability testing through SAST, DAST, code review and penetration testing: keep evidence current, monitor drift, benchmark externally and refresh risk tests after organizational, system or market changes.</t>
  </si>
  <si>
    <t>Cyber Privacy!32</t>
  </si>
  <si>
    <t>Immature capability for privacy governance with roles, lawful basis, DPIA, RoPA and data subject processes may lead to security incident, data breach, privilege misuse, privacy violation and regulatory exposure during Cyberattack; Data breach; Ransomware; Insider threat.</t>
  </si>
  <si>
    <t>Low maturity, weak ownership, incomplete evidence, insufficient testing and poor integration with crisis-management routines for privacy governance with roles, lawful basis, DPIA, RoPA and data subject processes.</t>
  </si>
  <si>
    <t>Severe risk: privacy governance with roles, lawful basis, DPIA, RoPA and data subject processes is not reliably controlled. During Cyberattack; Data breach; Ransomware; Insider threat, the organization may face security incident, data breach, privilege misuse, privacy violation and regulatory exposure with limited visibility or accountability.</t>
  </si>
  <si>
    <t>High risk: privacy governance with roles, lawful basis, DPIA, RoPA and data subject processes depends on informal practices or individual knowledge. Disruption may expose security incident, data breach, privilege misuse, privacy violation and regulatory exposure and slow recovery.</t>
  </si>
  <si>
    <t>Elevated risk: privacy governance with roles, lawful basis, DPIA, RoPA and data subject processes is partially controlled, but coverage, evidence or testing is inconsistent. Crisis response may be fragmented.</t>
  </si>
  <si>
    <t>Moderate risk: privacy governance with roles, lawful basis, DPIA, RoPA and data subject processes is documented and owned, but measurement, stress testing and integration with dependent processes need strengthening.</t>
  </si>
  <si>
    <t>Residual risk: privacy governance with roles, lawful basis, DPIA, RoPA and data subject processes is measured and reviewed, but monitoring, automation or scenario testing should be improved to prevent maturity drift.</t>
  </si>
  <si>
    <t>Low residual risk: privacy governance with roles, lawful basis, DPIA, RoPA and data subject processes is mature and crisis-tested. Maintain monitoring, evidence, ownership and periodic stress testing.</t>
  </si>
  <si>
    <t>Create an immediate risk owner, minimum control baseline and fallback procedure for privacy governance with roles, lawful basis, DPIA, RoPA and data subject processes. Add it to the crisis risk register and collect first evidence.</t>
  </si>
  <si>
    <t>Document privacy governance with roles, lawful basis, DPIA, RoPA and data subject processes, assign RACI, define minimum controls and KPIs, and validate coverage across key sites, teams or systems.</t>
  </si>
  <si>
    <t>Standardize privacy governance with roles, lawful basis, DPIA, RoPA and data subject processes, close coverage gaps, train accountable roles and connect controls to the relevant crisis scenarios and continuity plans.</t>
  </si>
  <si>
    <t>Measure and test privacy governance with roles, lawful basis, DPIA, RoPA and data subject processes, run tabletop or operational stress tests, integrate it with dependent processes and update crisis playbooks.</t>
  </si>
  <si>
    <t>Sustain maturity for privacy governance with roles, lawful basis, DPIA, RoPA and data subject processes: keep evidence current, monitor drift, benchmark externally and refresh risk tests after organizational, system or market changes.</t>
  </si>
  <si>
    <t>Cyber Privacy!33</t>
  </si>
  <si>
    <t>Immature capability for personal data breach detection, assessment and notification within required timelines may lead to security incident, data breach, privilege misuse, privacy violation and regulatory exposure during Cyberattack; Data breach; Ransomware; Insider threat.</t>
  </si>
  <si>
    <t>Low maturity, weak ownership, incomplete evidence, insufficient testing and poor integration with crisis-management routines for personal data breach detection, assessment and notification within required timelines.</t>
  </si>
  <si>
    <t>Severe risk: personal data breach detection, assessment and notification within required timelines is not reliably controlled. During Cyberattack; Data breach; Ransomware; Insider threat, the organization may face security incident, data breach, privilege misuse, privacy violation and regulatory exposure with limited visibility or accountability.</t>
  </si>
  <si>
    <t>High risk: personal data breach detection, assessment and notification within required timelines depends on informal practices or individual knowledge. Disruption may expose security incident, data breach, privilege misuse, privacy violation and regulatory exposure and slow recovery.</t>
  </si>
  <si>
    <t>Elevated risk: personal data breach detection, assessment and notification within required timelines is partially controlled, but coverage, evidence or testing is inconsistent. Crisis response may be fragmented.</t>
  </si>
  <si>
    <t>Moderate risk: personal data breach detection, assessment and notification within required timelines is documented and owned, but measurement, stress testing and integration with dependent processes need strengthening.</t>
  </si>
  <si>
    <t>Residual risk: personal data breach detection, assessment and notification within required timelines is measured and reviewed, but monitoring, automation or scenario testing should be improved to prevent maturity drift.</t>
  </si>
  <si>
    <t>Low residual risk: personal data breach detection, assessment and notification within required timelines is mature and crisis-tested. Maintain monitoring, evidence, ownership and periodic stress testing.</t>
  </si>
  <si>
    <t>Create an immediate risk owner, minimum control baseline and fallback procedure for personal data breach detection, assessment and notification within required timelines. Add it to the crisis risk register and collect first evidence.</t>
  </si>
  <si>
    <t>Document personal data breach detection, assessment and notification within required timelines, assign RACI, define minimum controls and KPIs, and validate coverage across key sites, teams or systems.</t>
  </si>
  <si>
    <t>Standardize personal data breach detection, assessment and notification within required timelines, close coverage gaps, train accountable roles and connect controls to the relevant crisis scenarios and continuity plans.</t>
  </si>
  <si>
    <t>Measure and test personal data breach detection, assessment and notification within required timelines, run tabletop or operational stress tests, integrate it with dependent processes and update crisis playbooks.</t>
  </si>
  <si>
    <t>Sustain maturity for personal data breach detection, assessment and notification within required timelines: keep evidence current, monitor drift, benchmark externally and refresh risk tests after organizational, system or market changes.</t>
  </si>
  <si>
    <t>Cyber Privacy!34</t>
  </si>
  <si>
    <t>Cybersecurity supply chain</t>
  </si>
  <si>
    <t>Immature capability for inclusion of critical suppliers and service providers in incident response planning, contact lists and joint exercises may lead to uncoordinated vendor response, slow joint recovery and contractual disputes during cyber incidents during Cyberattack/ransomware; Supplier/logistics disruption; Cloud/SaaS outage.</t>
  </si>
  <si>
    <t>Low maturity, weak ownership, incomplete evidence, insufficient testing and poor integration with crisis-management routines for inclusion of critical suppliers and service providers in incident response planning, contact lists and joint exercises.</t>
  </si>
  <si>
    <t>Severe risk: inclusion of critical suppliers and service providers in incident response planning, contact lists and joint exercises is not reliably controlled. During Cyberattack/ransomware; Supplier/logistics disruption; Cloud/SaaS outage, the organization may face uncoordinated vendor response, slow joint recovery and contractual disputes during cyber incidents with limited visibility or accountability.</t>
  </si>
  <si>
    <t>High risk: inclusion of critical suppliers and service providers in incident response planning, contact lists and joint exercises depends on informal practices or individual knowledge. Disruption may expose uncoordinated vendor response, slow joint recovery and contractual disputes during cyber incidents and slow recovery.</t>
  </si>
  <si>
    <t>Elevated risk: inclusion of critical suppliers and service providers in incident response planning, contact lists and joint exercises is partially controlled, but coverage, evidence or testing is inconsistent. Crisis response may be fragmented.</t>
  </si>
  <si>
    <t>Moderate risk: inclusion of critical suppliers and service providers in incident response planning, contact lists and joint exercises is documented and owned, but measurement, stress testing and integration with dependent processes need strengthening.</t>
  </si>
  <si>
    <t>Residual risk: inclusion of critical suppliers and service providers in incident response planning, contact lists and joint exercises is measured and reviewed, but monitoring, automation or scenario testing should be improved to prevent maturity drift.</t>
  </si>
  <si>
    <t>Low residual risk: inclusion of critical suppliers and service providers in incident response planning, contact lists and joint exercises is mature and crisis-tested. Maintain monitoring, evidence, ownership and periodic stress testing.</t>
  </si>
  <si>
    <t>Create an immediate risk owner, minimum control baseline and fallback procedure for inclusion of critical suppliers and service providers in incident response planning, contact lists and joint exercises. Add it to the crisis risk register and collect first evidence.</t>
  </si>
  <si>
    <t>Document inclusion of critical suppliers and service providers in incident response planning, contact lists and joint exercises, assign RACI, define minimum controls and KPIs, and validate coverage across key sites, teams or systems.</t>
  </si>
  <si>
    <t>Standardize inclusion of critical suppliers and service providers in incident response planning, contact lists and joint exercises, close coverage gaps, train accountable roles and connect controls to the relevant crisis scenarios and continuity plans.</t>
  </si>
  <si>
    <t>Measure and test inclusion of critical suppliers and service providers in incident response planning, contact lists and joint exercises, run tabletop or operational stress tests, integrate it with dependent processes and update crisis playbooks.</t>
  </si>
  <si>
    <t>Sustain maturity for inclusion of critical suppliers and service providers in incident response planning, contact lists and joint exercises: keep evidence current, monitor drift, benchmark externally and refresh risk tests after organizational, system or market changes.</t>
  </si>
  <si>
    <t>Policy/SOP; owner/RACI; system report; dashboard; contracts; test records; incident history; interview evidence related to inclusion of critical suppliers and service providers in incident response planning, contact lists and joint exercises</t>
  </si>
  <si>
    <t>CISO / IT</t>
  </si>
  <si>
    <t>Cyber Privacy!35</t>
  </si>
  <si>
    <t>Immature capability for vendor offboarding with access revocation, data return or deletion and post-contract security obligations may lead to orphaned vendor access, residual data exposure and untracked obligations after contract end during Cyberattack/ransomware; Regulatory/legal shock.</t>
  </si>
  <si>
    <t>Low maturity, weak ownership, incomplete evidence, insufficient testing and poor integration with crisis-management routines for vendor offboarding with access revocation, data return or deletion and post-contract security obligations.</t>
  </si>
  <si>
    <t>Severe risk: vendor offboarding with access revocation, data return or deletion and post-contract security obligations is not reliably controlled. During Cyberattack/ransomware; Regulatory/legal shock, the organization may face orphaned vendor access, residual data exposure and untracked obligations after contract end with limited visibility or accountability.</t>
  </si>
  <si>
    <t>High risk: vendor offboarding with access revocation, data return or deletion and post-contract security obligations depends on informal practices or individual knowledge. Disruption may expose orphaned vendor access, residual data exposure and untracked obligations after contract end and slow recovery.</t>
  </si>
  <si>
    <t>Elevated risk: vendor offboarding with access revocation, data return or deletion and post-contract security obligations is partially controlled, but coverage, evidence or testing is inconsistent. Crisis response may be fragmented.</t>
  </si>
  <si>
    <t>Moderate risk: vendor offboarding with access revocation, data return or deletion and post-contract security obligations is documented and owned, but measurement, stress testing and integration with dependent processes need strengthening.</t>
  </si>
  <si>
    <t>Residual risk: vendor offboarding with access revocation, data return or deletion and post-contract security obligations is measured and reviewed, but monitoring, automation or scenario testing should be improved to prevent maturity drift.</t>
  </si>
  <si>
    <t>Low residual risk: vendor offboarding with access revocation, data return or deletion and post-contract security obligations is mature and crisis-tested. Maintain monitoring, evidence, ownership and periodic stress testing.</t>
  </si>
  <si>
    <t>Create an immediate risk owner, minimum control baseline and fallback procedure for vendor offboarding with access revocation, data return or deletion and post-contract security obligations. Add it to the crisis risk register and collect first evidence.</t>
  </si>
  <si>
    <t>Document vendor offboarding with access revocation, data return or deletion and post-contract security obligations, assign RACI, define minimum controls and KPIs, and validate coverage across key sites, teams or systems.</t>
  </si>
  <si>
    <t>Standardize vendor offboarding with access revocation, data return or deletion and post-contract security obligations, close coverage gaps, train accountable roles and connect controls to the relevant crisis scenarios and continuity plans.</t>
  </si>
  <si>
    <t>Measure and test vendor offboarding with access revocation, data return or deletion and post-contract security obligations, run tabletop or operational stress tests, integrate it with dependent processes and update crisis playbooks.</t>
  </si>
  <si>
    <t>Sustain maturity for vendor offboarding with access revocation, data return or deletion and post-contract security obligations: keep evidence current, monitor drift, benchmark externally and refresh risk tests after organizational, system or market changes.</t>
  </si>
  <si>
    <t>Policy/SOP; owner/RACI; system report; dashboard; contracts; test records; incident history; interview evidence related to vendor offboarding with access revocation, data return or deletion and post-contract security obligations</t>
  </si>
  <si>
    <t>CISO / Procurement</t>
  </si>
  <si>
    <t>Cyber Privacy!36</t>
  </si>
  <si>
    <t>Threat detection and response</t>
  </si>
  <si>
    <t>Immature capability for threat intelligence intake from CERT, sector and vendor sources integrated into detection and patch priorities may lead to late awareness of active threats, generic defenses and slower-than-attacker reaction time during Cyberattack/ransomware.</t>
  </si>
  <si>
    <t>Low maturity, weak ownership, incomplete evidence, insufficient testing and poor integration with crisis-management routines for threat intelligence intake from CERT, sector and vendor sources integrated into detection and patch priorities.</t>
  </si>
  <si>
    <t>Severe risk: threat intelligence intake from CERT, sector and vendor sources integrated into detection and patch priorities is not reliably controlled. During Cyberattack/ransomware, the organization may face late awareness of active threats, generic defenses and slower-than-attacker reaction time with limited visibility or accountability.</t>
  </si>
  <si>
    <t>High risk: threat intelligence intake from CERT, sector and vendor sources integrated into detection and patch priorities depends on informal practices or individual knowledge. Disruption may expose late awareness of active threats, generic defenses and slower-than-attacker reaction time and slow recovery.</t>
  </si>
  <si>
    <t>Elevated risk: threat intelligence intake from CERT, sector and vendor sources integrated into detection and patch priorities is partially controlled, but coverage, evidence or testing is inconsistent. Crisis response may be fragmented.</t>
  </si>
  <si>
    <t>Moderate risk: threat intelligence intake from CERT, sector and vendor sources integrated into detection and patch priorities is documented and owned, but measurement, stress testing and integration with dependent processes need strengthening.</t>
  </si>
  <si>
    <t>Residual risk: threat intelligence intake from CERT, sector and vendor sources integrated into detection and patch priorities is measured and reviewed, but monitoring, automation or scenario testing should be improved to prevent maturity drift.</t>
  </si>
  <si>
    <t>Low residual risk: threat intelligence intake from CERT, sector and vendor sources integrated into detection and patch priorities is mature and crisis-tested. Maintain monitoring, evidence, ownership and periodic stress testing.</t>
  </si>
  <si>
    <t>Create an immediate risk owner, minimum control baseline and fallback procedure for threat intelligence intake from CERT, sector and vendor sources integrated into detection and patch priorities. Add it to the crisis risk register and collect first evidence.</t>
  </si>
  <si>
    <t>Document threat intelligence intake from CERT, sector and vendor sources integrated into detection and patch priorities, assign RACI, define minimum controls and KPIs, and validate coverage across key sites, teams or systems.</t>
  </si>
  <si>
    <t>Standardize threat intelligence intake from CERT, sector and vendor sources integrated into detection and patch priorities, close coverage gaps, train accountable roles and connect controls to the relevant crisis scenarios and continuity plans.</t>
  </si>
  <si>
    <t>Measure and test threat intelligence intake from CERT, sector and vendor sources integrated into detection and patch priorities, run tabletop or operational stress tests, integrate it with dependent processes and update crisis playbooks.</t>
  </si>
  <si>
    <t>Sustain maturity for threat intelligence intake from CERT, sector and vendor sources integrated into detection and patch priorities: keep evidence current, monitor drift, benchmark externally and refresh risk tests after organizational, system or market changes.</t>
  </si>
  <si>
    <t>Policy/SOP; owner/RACI; system report; dashboard; contracts; test records; incident history; interview evidence related to threat intelligence intake from CERT, sector and vendor sources integrated into detection and patch priorities</t>
  </si>
  <si>
    <t>CISO / SOC</t>
  </si>
  <si>
    <t>Cyber Privacy!37</t>
  </si>
  <si>
    <t>Immature capability for forensic evidence preservation with defined collection procedures, integrity protection and chain of custody may lead to lost legal and insurance claims, unprovable incident scope and repeat compromise from unknown root cause during Cyberattack/ransomware; Regulatory/legal shock.</t>
  </si>
  <si>
    <t>Low maturity, weak ownership, incomplete evidence, insufficient testing and poor integration with crisis-management routines for forensic evidence preservation with defined collection procedures, integrity protection and chain of custody.</t>
  </si>
  <si>
    <t>Severe risk: forensic evidence preservation with defined collection procedures, integrity protection and chain of custody is not reliably controlled. During Cyberattack/ransomware; Regulatory/legal shock, the organization may face lost legal and insurance claims, unprovable incident scope and repeat compromise from unknown root cause with limited visibility or accountability.</t>
  </si>
  <si>
    <t>High risk: forensic evidence preservation with defined collection procedures, integrity protection and chain of custody depends on informal practices or individual knowledge. Disruption may expose lost legal and insurance claims, unprovable incident scope and repeat compromise from unknown root cause and slow recovery.</t>
  </si>
  <si>
    <t>Elevated risk: forensic evidence preservation with defined collection procedures, integrity protection and chain of custody is partially controlled, but coverage, evidence or testing is inconsistent. Crisis response may be fragmented.</t>
  </si>
  <si>
    <t>Moderate risk: forensic evidence preservation with defined collection procedures, integrity protection and chain of custody is documented and owned, but measurement, stress testing and integration with dependent processes need strengthening.</t>
  </si>
  <si>
    <t>Residual risk: forensic evidence preservation with defined collection procedures, integrity protection and chain of custody is measured and reviewed, but monitoring, automation or scenario testing should be improved to prevent maturity drift.</t>
  </si>
  <si>
    <t>Low residual risk: forensic evidence preservation with defined collection procedures, integrity protection and chain of custody is mature and crisis-tested. Maintain monitoring, evidence, ownership and periodic stress testing.</t>
  </si>
  <si>
    <t>Create an immediate risk owner, minimum control baseline and fallback procedure for forensic evidence preservation with defined collection procedures, integrity protection and chain of custody. Add it to the crisis risk register and collect first evidence.</t>
  </si>
  <si>
    <t>Document forensic evidence preservation with defined collection procedures, integrity protection and chain of custody, assign RACI, define minimum controls and KPIs, and validate coverage across key sites, teams or systems.</t>
  </si>
  <si>
    <t>Standardize forensic evidence preservation with defined collection procedures, integrity protection and chain of custody, close coverage gaps, train accountable roles and connect controls to the relevant crisis scenarios and continuity plans.</t>
  </si>
  <si>
    <t>Measure and test forensic evidence preservation with defined collection procedures, integrity protection and chain of custody, run tabletop or operational stress tests, integrate it with dependent processes and update crisis playbooks.</t>
  </si>
  <si>
    <t>Sustain maturity for forensic evidence preservation with defined collection procedures, integrity protection and chain of custody: keep evidence current, monitor drift, benchmark externally and refresh risk tests after organizational, system or market changes.</t>
  </si>
  <si>
    <t>Policy/SOP; owner/RACI; system report; dashboard; contracts; test records; incident history; interview evidence related to forensic evidence preservation with defined collection procedures, integrity protection and chain of custody</t>
  </si>
  <si>
    <t>CISO / Legal</t>
  </si>
  <si>
    <t>Cyber Privacy!38</t>
  </si>
  <si>
    <t>Immature capability for process architecture covering major value streams and support processes may lead to poor quality control, failed change execution, unmanaged portfolio trade-offs and benefit erosion during Execution failure; Delivery disruption; Decision failure.</t>
  </si>
  <si>
    <t>Low maturity, weak ownership, incomplete evidence, insufficient testing and poor integration with crisis-management routines for process architecture covering major value streams and support processes.</t>
  </si>
  <si>
    <t>Severe risk: process architecture covering major value streams and support processes is not reliably controlled. During Execution failure; Delivery disruption; Decision failure, the organization may face poor quality control, failed change execution, unmanaged portfolio trade-offs and benefit erosion with limited visibility or accountability.</t>
  </si>
  <si>
    <t>High risk: process architecture covering major value streams and support processes depends on informal practices or individual knowledge. Disruption may expose poor quality control, failed change execution, unmanaged portfolio trade-offs and benefit erosion and slow recovery.</t>
  </si>
  <si>
    <t>Elevated risk: process architecture covering major value streams and support processes is partially controlled, but coverage, evidence or testing is inconsistent. Crisis response may be fragmented.</t>
  </si>
  <si>
    <t>Moderate risk: process architecture covering major value streams and support processes is documented and owned, but measurement, stress testing and integration with dependent processes need strengthening.</t>
  </si>
  <si>
    <t>Residual risk: process architecture covering major value streams and support processes is measured and reviewed, but monitoring, automation or scenario testing should be improved to prevent maturity drift.</t>
  </si>
  <si>
    <t>Low residual risk: process architecture covering major value streams and support processes is mature and crisis-tested. Maintain monitoring, evidence, ownership and periodic stress testing.</t>
  </si>
  <si>
    <t>Create an immediate risk owner, minimum control baseline and fallback procedure for process architecture covering major value streams and support processes. Add it to the crisis risk register and collect first evidence.</t>
  </si>
  <si>
    <t>Document process architecture covering major value streams and support processes, assign RACI, define minimum controls and KPIs, and validate coverage across key sites, teams or systems.</t>
  </si>
  <si>
    <t>Standardize process architecture covering major value streams and support processes, close coverage gaps, train accountable roles and connect controls to the relevant crisis scenarios and continuity plans.</t>
  </si>
  <si>
    <t>Measure and test process architecture covering major value streams and support processes, run tabletop or operational stress tests, integrate it with dependent processes and update crisis playbooks.</t>
  </si>
  <si>
    <t>Sustain maturity for process architecture covering major value streams and support processes: keep evidence current, monitor drift, benchmark externally and refresh risk tests after organizational, system or market changes.</t>
  </si>
  <si>
    <t>COO / PMO / Quality</t>
  </si>
  <si>
    <t>Quality Portfolio!5</t>
  </si>
  <si>
    <t>Immature capability for process ownership for critical processes with inputs, outputs, controls and KPIs may lead to poor quality control, failed change execution, unmanaged portfolio trade-offs and benefit erosion during Execution failure; Delivery disruption; Decision failure.</t>
  </si>
  <si>
    <t>Low maturity, weak ownership, incomplete evidence, insufficient testing and poor integration with crisis-management routines for process ownership for critical processes with inputs, outputs, controls and KPIs.</t>
  </si>
  <si>
    <t>Severe risk: process ownership for critical processes with inputs, outputs, controls and KPIs is not reliably controlled. During Execution failure; Delivery disruption; Decision failure, the organization may face poor quality control, failed change execution, unmanaged portfolio trade-offs and benefit erosion with limited visibility or accountability.</t>
  </si>
  <si>
    <t>High risk: process ownership for critical processes with inputs, outputs, controls and KPIs depends on informal practices or individual knowledge. Disruption may expose poor quality control, failed change execution, unmanaged portfolio trade-offs and benefit erosion and slow recovery.</t>
  </si>
  <si>
    <t>Elevated risk: process ownership for critical processes with inputs, outputs, controls and KPIs is partially controlled, but coverage, evidence or testing is inconsistent. Crisis response may be fragmented.</t>
  </si>
  <si>
    <t>Moderate risk: process ownership for critical processes with inputs, outputs, controls and KPIs is documented and owned, but measurement, stress testing and integration with dependent processes need strengthening.</t>
  </si>
  <si>
    <t>Residual risk: process ownership for critical processes with inputs, outputs, controls and KPIs is measured and reviewed, but monitoring, automation or scenario testing should be improved to prevent maturity drift.</t>
  </si>
  <si>
    <t>Low residual risk: process ownership for critical processes with inputs, outputs, controls and KPIs is mature and crisis-tested. Maintain monitoring, evidence, ownership and periodic stress testing.</t>
  </si>
  <si>
    <t>Create an immediate risk owner, minimum control baseline and fallback procedure for process ownership for critical processes with inputs, outputs, controls and KPIs. Add it to the crisis risk register and collect first evidence.</t>
  </si>
  <si>
    <t>Document process ownership for critical processes with inputs, outputs, controls and KPIs, assign RACI, define minimum controls and KPIs, and validate coverage across key sites, teams or systems.</t>
  </si>
  <si>
    <t>Standardize process ownership for critical processes with inputs, outputs, controls and KPIs, close coverage gaps, train accountable roles and connect controls to the relevant crisis scenarios and continuity plans.</t>
  </si>
  <si>
    <t>Measure and test process ownership for critical processes with inputs, outputs, controls and KPIs, run tabletop or operational stress tests, integrate it with dependent processes and update crisis playbooks.</t>
  </si>
  <si>
    <t>Sustain maturity for process ownership for critical processes with inputs, outputs, controls and KPIs: keep evidence current, monitor drift, benchmark externally and refresh risk tests after organizational, system or market changes.</t>
  </si>
  <si>
    <t>Quality Portfolio!6</t>
  </si>
  <si>
    <t>Immature capability for SOP and policy document control with versioning, ownership and review cadence may lead to poor quality control, failed change execution, unmanaged portfolio trade-offs and benefit erosion during Execution failure; Delivery disruption; Decision failure.</t>
  </si>
  <si>
    <t>Low maturity, weak ownership, incomplete evidence, insufficient testing and poor integration with crisis-management routines for SOP and policy document control with versioning, ownership and review cadence.</t>
  </si>
  <si>
    <t>Severe risk: SOP and policy document control with versioning, ownership and review cadence is not reliably controlled. During Execution failure; Delivery disruption; Decision failure, the organization may face poor quality control, failed change execution, unmanaged portfolio trade-offs and benefit erosion with limited visibility or accountability.</t>
  </si>
  <si>
    <t>High risk: SOP and policy document control with versioning, ownership and review cadence depends on informal practices or individual knowledge. Disruption may expose poor quality control, failed change execution, unmanaged portfolio trade-offs and benefit erosion and slow recovery.</t>
  </si>
  <si>
    <t>Elevated risk: SOP and policy document control with versioning, ownership and review cadence is partially controlled, but coverage, evidence or testing is inconsistent. Crisis response may be fragmented.</t>
  </si>
  <si>
    <t>Moderate risk: SOP and policy document control with versioning, ownership and review cadence is documented and owned, but measurement, stress testing and integration with dependent processes need strengthening.</t>
  </si>
  <si>
    <t>Residual risk: SOP and policy document control with versioning, ownership and review cadence is measured and reviewed, but monitoring, automation or scenario testing should be improved to prevent maturity drift.</t>
  </si>
  <si>
    <t>Low residual risk: SOP and policy document control with versioning, ownership and review cadence is mature and crisis-tested. Maintain monitoring, evidence, ownership and periodic stress testing.</t>
  </si>
  <si>
    <t>Create an immediate risk owner, minimum control baseline and fallback procedure for SOP and policy document control with versioning, ownership and review cadence. Add it to the crisis risk register and collect first evidence.</t>
  </si>
  <si>
    <t>Document SOP and policy document control with versioning, ownership and review cadence, assign RACI, define minimum controls and KPIs, and validate coverage across key sites, teams or systems.</t>
  </si>
  <si>
    <t>Standardize SOP and policy document control with versioning, ownership and review cadence, close coverage gaps, train accountable roles and connect controls to the relevant crisis scenarios and continuity plans.</t>
  </si>
  <si>
    <t>Measure and test SOP and policy document control with versioning, ownership and review cadence, run tabletop or operational stress tests, integrate it with dependent processes and update crisis playbooks.</t>
  </si>
  <si>
    <t>Sustain maturity for SOP and policy document control with versioning, ownership and review cadence: keep evidence current, monitor drift, benchmark externally and refresh risk tests after organizational, system or market changes.</t>
  </si>
  <si>
    <t>Quality Portfolio!7</t>
  </si>
  <si>
    <t>Immature capability for process automation documented, monitored and covered by manual fallback may lead to poor quality control, failed change execution, unmanaged portfolio trade-offs and benefit erosion during Execution failure; Delivery disruption; Decision failure.</t>
  </si>
  <si>
    <t>Low maturity, weak ownership, incomplete evidence, insufficient testing and poor integration with crisis-management routines for process automation documented, monitored and covered by manual fallback.</t>
  </si>
  <si>
    <t>Severe risk: process automation documented, monitored and covered by manual fallback is not reliably controlled. During Execution failure; Delivery disruption; Decision failure, the organization may face poor quality control, failed change execution, unmanaged portfolio trade-offs and benefit erosion with limited visibility or accountability.</t>
  </si>
  <si>
    <t>High risk: process automation documented, monitored and covered by manual fallback depends on informal practices or individual knowledge. Disruption may expose poor quality control, failed change execution, unmanaged portfolio trade-offs and benefit erosion and slow recovery.</t>
  </si>
  <si>
    <t>Elevated risk: process automation documented, monitored and covered by manual fallback is partially controlled, but coverage, evidence or testing is inconsistent. Crisis response may be fragmented.</t>
  </si>
  <si>
    <t>Moderate risk: process automation documented, monitored and covered by manual fallback is documented and owned, but measurement, stress testing and integration with dependent processes need strengthening.</t>
  </si>
  <si>
    <t>Residual risk: process automation documented, monitored and covered by manual fallback is measured and reviewed, but monitoring, automation or scenario testing should be improved to prevent maturity drift.</t>
  </si>
  <si>
    <t>Low residual risk: process automation documented, monitored and covered by manual fallback is mature and crisis-tested. Maintain monitoring, evidence, ownership and periodic stress testing.</t>
  </si>
  <si>
    <t>Create an immediate risk owner, minimum control baseline and fallback procedure for process automation documented, monitored and covered by manual fallback. Add it to the crisis risk register and collect first evidence.</t>
  </si>
  <si>
    <t>Document process automation documented, monitored and covered by manual fallback, assign RACI, define minimum controls and KPIs, and validate coverage across key sites, teams or systems.</t>
  </si>
  <si>
    <t>Standardize process automation documented, monitored and covered by manual fallback, close coverage gaps, train accountable roles and connect controls to the relevant crisis scenarios and continuity plans.</t>
  </si>
  <si>
    <t>Measure and test process automation documented, monitored and covered by manual fallback, run tabletop or operational stress tests, integrate it with dependent processes and update crisis playbooks.</t>
  </si>
  <si>
    <t>Sustain maturity for process automation documented, monitored and covered by manual fallback: keep evidence current, monitor drift, benchmark externally and refresh risk tests after organizational, system or market changes.</t>
  </si>
  <si>
    <t>Quality Portfolio!8</t>
  </si>
  <si>
    <t>Immature capability for quality objectives linked to customer, delivery and operational performance may lead to poor quality control, failed change execution, unmanaged portfolio trade-offs and benefit erosion during Execution failure; Delivery disruption; Decision failure.</t>
  </si>
  <si>
    <t>Low maturity, weak ownership, incomplete evidence, insufficient testing and poor integration with crisis-management routines for quality objectives linked to customer, delivery and operational performance.</t>
  </si>
  <si>
    <t>Severe risk: quality objectives linked to customer, delivery and operational performance is not reliably controlled. During Execution failure; Delivery disruption; Decision failure, the organization may face poor quality control, failed change execution, unmanaged portfolio trade-offs and benefit erosion with limited visibility or accountability.</t>
  </si>
  <si>
    <t>High risk: quality objectives linked to customer, delivery and operational performance depends on informal practices or individual knowledge. Disruption may expose poor quality control, failed change execution, unmanaged portfolio trade-offs and benefit erosion and slow recovery.</t>
  </si>
  <si>
    <t>Elevated risk: quality objectives linked to customer, delivery and operational performance is partially controlled, but coverage, evidence or testing is inconsistent. Crisis response may be fragmented.</t>
  </si>
  <si>
    <t>Moderate risk: quality objectives linked to customer, delivery and operational performance is documented and owned, but measurement, stress testing and integration with dependent processes need strengthening.</t>
  </si>
  <si>
    <t>Residual risk: quality objectives linked to customer, delivery and operational performance is measured and reviewed, but monitoring, automation or scenario testing should be improved to prevent maturity drift.</t>
  </si>
  <si>
    <t>Low residual risk: quality objectives linked to customer, delivery and operational performance is mature and crisis-tested. Maintain monitoring, evidence, ownership and periodic stress testing.</t>
  </si>
  <si>
    <t>Create an immediate risk owner, minimum control baseline and fallback procedure for quality objectives linked to customer, delivery and operational performance. Add it to the crisis risk register and collect first evidence.</t>
  </si>
  <si>
    <t>Document quality objectives linked to customer, delivery and operational performance, assign RACI, define minimum controls and KPIs, and validate coverage across key sites, teams or systems.</t>
  </si>
  <si>
    <t>Standardize quality objectives linked to customer, delivery and operational performance, close coverage gaps, train accountable roles and connect controls to the relevant crisis scenarios and continuity plans.</t>
  </si>
  <si>
    <t>Measure and test quality objectives linked to customer, delivery and operational performance, run tabletop or operational stress tests, integrate it with dependent processes and update crisis playbooks.</t>
  </si>
  <si>
    <t>Sustain maturity for quality objectives linked to customer, delivery and operational performance: keep evidence current, monitor drift, benchmark externally and refresh risk tests after organizational, system or market changes.</t>
  </si>
  <si>
    <t>Quality Portfolio!9</t>
  </si>
  <si>
    <t>Immature capability for nonconformity, defect, complaint and corrective action management may lead to poor quality control, failed change execution, unmanaged portfolio trade-offs and benefit erosion during Execution failure; Delivery disruption; Decision failure.</t>
  </si>
  <si>
    <t>Low maturity, weak ownership, incomplete evidence, insufficient testing and poor integration with crisis-management routines for nonconformity, defect, complaint and corrective action management.</t>
  </si>
  <si>
    <t>Severe risk: nonconformity, defect, complaint and corrective action management is not reliably controlled. During Execution failure; Delivery disruption; Decision failure, the organization may face poor quality control, failed change execution, unmanaged portfolio trade-offs and benefit erosion with limited visibility or accountability.</t>
  </si>
  <si>
    <t>High risk: nonconformity, defect, complaint and corrective action management depends on informal practices or individual knowledge. Disruption may expose poor quality control, failed change execution, unmanaged portfolio trade-offs and benefit erosion and slow recovery.</t>
  </si>
  <si>
    <t>Elevated risk: nonconformity, defect, complaint and corrective action management is partially controlled, but coverage, evidence or testing is inconsistent. Crisis response may be fragmented.</t>
  </si>
  <si>
    <t>Moderate risk: nonconformity, defect, complaint and corrective action management is documented and owned, but measurement, stress testing and integration with dependent processes need strengthening.</t>
  </si>
  <si>
    <t>Residual risk: nonconformity, defect, complaint and corrective action management is measured and reviewed, but monitoring, automation or scenario testing should be improved to prevent maturity drift.</t>
  </si>
  <si>
    <t>Low residual risk: nonconformity, defect, complaint and corrective action management is mature and crisis-tested. Maintain monitoring, evidence, ownership and periodic stress testing.</t>
  </si>
  <si>
    <t>Create an immediate risk owner, minimum control baseline and fallback procedure for nonconformity, defect, complaint and corrective action management. Add it to the crisis risk register and collect first evidence.</t>
  </si>
  <si>
    <t>Document nonconformity, defect, complaint and corrective action management, assign RACI, define minimum controls and KPIs, and validate coverage across key sites, teams or systems.</t>
  </si>
  <si>
    <t>Standardize nonconformity, defect, complaint and corrective action management, close coverage gaps, train accountable roles and connect controls to the relevant crisis scenarios and continuity plans.</t>
  </si>
  <si>
    <t>Measure and test nonconformity, defect, complaint and corrective action management, run tabletop or operational stress tests, integrate it with dependent processes and update crisis playbooks.</t>
  </si>
  <si>
    <t>Sustain maturity for nonconformity, defect, complaint and corrective action management: keep evidence current, monitor drift, benchmark externally and refresh risk tests after organizational, system or market changes.</t>
  </si>
  <si>
    <t>Quality Portfolio!10</t>
  </si>
  <si>
    <t>Immature capability for internal audit program for critical processes and controls may lead to poor quality control, failed change execution, unmanaged portfolio trade-offs and benefit erosion during Execution failure; Delivery disruption; Decision failure.</t>
  </si>
  <si>
    <t>Low maturity, weak ownership, incomplete evidence, insufficient testing and poor integration with crisis-management routines for internal audit program for critical processes and controls.</t>
  </si>
  <si>
    <t>Severe risk: internal audit program for critical processes and controls is not reliably controlled. During Execution failure; Delivery disruption; Decision failure, the organization may face poor quality control, failed change execution, unmanaged portfolio trade-offs and benefit erosion with limited visibility or accountability.</t>
  </si>
  <si>
    <t>High risk: internal audit program for critical processes and controls depends on informal practices or individual knowledge. Disruption may expose poor quality control, failed change execution, unmanaged portfolio trade-offs and benefit erosion and slow recovery.</t>
  </si>
  <si>
    <t>Elevated risk: internal audit program for critical processes and controls is partially controlled, but coverage, evidence or testing is inconsistent. Crisis response may be fragmented.</t>
  </si>
  <si>
    <t>Moderate risk: internal audit program for critical processes and controls is documented and owned, but measurement, stress testing and integration with dependent processes need strengthening.</t>
  </si>
  <si>
    <t>Residual risk: internal audit program for critical processes and controls is measured and reviewed, but monitoring, automation or scenario testing should be improved to prevent maturity drift.</t>
  </si>
  <si>
    <t>Low residual risk: internal audit program for critical processes and controls is mature and crisis-tested. Maintain monitoring, evidence, ownership and periodic stress testing.</t>
  </si>
  <si>
    <t>Create an immediate risk owner, minimum control baseline and fallback procedure for internal audit program for critical processes and controls. Add it to the crisis risk register and collect first evidence.</t>
  </si>
  <si>
    <t>Document internal audit program for critical processes and controls, assign RACI, define minimum controls and KPIs, and validate coverage across key sites, teams or systems.</t>
  </si>
  <si>
    <t>Standardize internal audit program for critical processes and controls, close coverage gaps, train accountable roles and connect controls to the relevant crisis scenarios and continuity plans.</t>
  </si>
  <si>
    <t>Measure and test internal audit program for critical processes and controls, run tabletop or operational stress tests, integrate it with dependent processes and update crisis playbooks.</t>
  </si>
  <si>
    <t>Sustain maturity for internal audit program for critical processes and controls: keep evidence current, monitor drift, benchmark externally and refresh risk tests after organizational, system or market changes.</t>
  </si>
  <si>
    <t>Quality Portfolio!11</t>
  </si>
  <si>
    <t>Immature capability for control testing for effectiveness, not only existence may lead to poor quality control, failed change execution, unmanaged portfolio trade-offs and benefit erosion during Execution failure; Delivery disruption; Decision failure.</t>
  </si>
  <si>
    <t>Low maturity, weak ownership, incomplete evidence, insufficient testing and poor integration with crisis-management routines for control testing for effectiveness, not only existence.</t>
  </si>
  <si>
    <t>Severe risk: control testing for effectiveness, not only existence is not reliably controlled. During Execution failure; Delivery disruption; Decision failure, the organization may face poor quality control, failed change execution, unmanaged portfolio trade-offs and benefit erosion with limited visibility or accountability.</t>
  </si>
  <si>
    <t>High risk: control testing for effectiveness, not only existence depends on informal practices or individual knowledge. Disruption may expose poor quality control, failed change execution, unmanaged portfolio trade-offs and benefit erosion and slow recovery.</t>
  </si>
  <si>
    <t>Elevated risk: control testing for effectiveness, not only existence is partially controlled, but coverage, evidence or testing is inconsistent. Crisis response may be fragmented.</t>
  </si>
  <si>
    <t>Moderate risk: control testing for effectiveness, not only existence is documented and owned, but measurement, stress testing and integration with dependent processes need strengthening.</t>
  </si>
  <si>
    <t>Residual risk: control testing for effectiveness, not only existence is measured and reviewed, but monitoring, automation or scenario testing should be improved to prevent maturity drift.</t>
  </si>
  <si>
    <t>Low residual risk: control testing for effectiveness, not only existence is mature and crisis-tested. Maintain monitoring, evidence, ownership and periodic stress testing.</t>
  </si>
  <si>
    <t>Create an immediate risk owner, minimum control baseline and fallback procedure for control testing for effectiveness, not only existence. Add it to the crisis risk register and collect first evidence.</t>
  </si>
  <si>
    <t>Document control testing for effectiveness, not only existence, assign RACI, define minimum controls and KPIs, and validate coverage across key sites, teams or systems.</t>
  </si>
  <si>
    <t>Standardize control testing for effectiveness, not only existence, close coverage gaps, train accountable roles and connect controls to the relevant crisis scenarios and continuity plans.</t>
  </si>
  <si>
    <t>Measure and test control testing for effectiveness, not only existence, run tabletop or operational stress tests, integrate it with dependent processes and update crisis playbooks.</t>
  </si>
  <si>
    <t>Sustain maturity for control testing for effectiveness, not only existence: keep evidence current, monitor drift, benchmark externally and refresh risk tests after organizational, system or market changes.</t>
  </si>
  <si>
    <t>Quality Portfolio!12</t>
  </si>
  <si>
    <t>Immature capability for customer complaint handling and root cause analysis may lead to poor quality control, failed change execution, unmanaged portfolio trade-offs and benefit erosion during Execution failure; Delivery disruption; Decision failure.</t>
  </si>
  <si>
    <t>Low maturity, weak ownership, incomplete evidence, insufficient testing and poor integration with crisis-management routines for customer complaint handling and root cause analysis.</t>
  </si>
  <si>
    <t>Severe risk: customer complaint handling and root cause analysis is not reliably controlled. During Execution failure; Delivery disruption; Decision failure, the organization may face poor quality control, failed change execution, unmanaged portfolio trade-offs and benefit erosion with limited visibility or accountability.</t>
  </si>
  <si>
    <t>High risk: customer complaint handling and root cause analysis depends on informal practices or individual knowledge. Disruption may expose poor quality control, failed change execution, unmanaged portfolio trade-offs and benefit erosion and slow recovery.</t>
  </si>
  <si>
    <t>Elevated risk: customer complaint handling and root cause analysis is partially controlled, but coverage, evidence or testing is inconsistent. Crisis response may be fragmented.</t>
  </si>
  <si>
    <t>Moderate risk: customer complaint handling and root cause analysis is documented and owned, but measurement, stress testing and integration with dependent processes need strengthening.</t>
  </si>
  <si>
    <t>Residual risk: customer complaint handling and root cause analysis is measured and reviewed, but monitoring, automation or scenario testing should be improved to prevent maturity drift.</t>
  </si>
  <si>
    <t>Low residual risk: customer complaint handling and root cause analysis is mature and crisis-tested. Maintain monitoring, evidence, ownership and periodic stress testing.</t>
  </si>
  <si>
    <t>Create an immediate risk owner, minimum control baseline and fallback procedure for customer complaint handling and root cause analysis. Add it to the crisis risk register and collect first evidence.</t>
  </si>
  <si>
    <t>Document customer complaint handling and root cause analysis, assign RACI, define minimum controls and KPIs, and validate coverage across key sites, teams or systems.</t>
  </si>
  <si>
    <t>Standardize customer complaint handling and root cause analysis, close coverage gaps, train accountable roles and connect controls to the relevant crisis scenarios and continuity plans.</t>
  </si>
  <si>
    <t>Measure and test customer complaint handling and root cause analysis, run tabletop or operational stress tests, integrate it with dependent processes and update crisis playbooks.</t>
  </si>
  <si>
    <t>Sustain maturity for customer complaint handling and root cause analysis: keep evidence current, monitor drift, benchmark externally and refresh risk tests after organizational, system or market changes.</t>
  </si>
  <si>
    <t>Quality Portfolio!13</t>
  </si>
  <si>
    <t>Immature capability for portfolio governance with prioritization, capacity, benefits, risks and dependencies may lead to poor quality control, failed change execution, unmanaged portfolio trade-offs and benefit erosion during Execution failure; Delivery disruption; Decision failure.</t>
  </si>
  <si>
    <t>Low maturity, weak ownership, incomplete evidence, insufficient testing and poor integration with crisis-management routines for portfolio governance with prioritization, capacity, benefits, risks and dependencies.</t>
  </si>
  <si>
    <t>Severe risk: portfolio governance with prioritization, capacity, benefits, risks and dependencies is not reliably controlled. During Execution failure; Delivery disruption; Decision failure, the organization may face poor quality control, failed change execution, unmanaged portfolio trade-offs and benefit erosion with limited visibility or accountability.</t>
  </si>
  <si>
    <t>High risk: portfolio governance with prioritization, capacity, benefits, risks and dependencies depends on informal practices or individual knowledge. Disruption may expose poor quality control, failed change execution, unmanaged portfolio trade-offs and benefit erosion and slow recovery.</t>
  </si>
  <si>
    <t>Elevated risk: portfolio governance with prioritization, capacity, benefits, risks and dependencies is partially controlled, but coverage, evidence or testing is inconsistent. Crisis response may be fragmented.</t>
  </si>
  <si>
    <t>Moderate risk: portfolio governance with prioritization, capacity, benefits, risks and dependencies is documented and owned, but measurement, stress testing and integration with dependent processes need strengthening.</t>
  </si>
  <si>
    <t>Residual risk: portfolio governance with prioritization, capacity, benefits, risks and dependencies is measured and reviewed, but monitoring, automation or scenario testing should be improved to prevent maturity drift.</t>
  </si>
  <si>
    <t>Low residual risk: portfolio governance with prioritization, capacity, benefits, risks and dependencies is mature and crisis-tested. Maintain monitoring, evidence, ownership and periodic stress testing.</t>
  </si>
  <si>
    <t>Create an immediate risk owner, minimum control baseline and fallback procedure for portfolio governance with prioritization, capacity, benefits, risks and dependencies. Add it to the crisis risk register and collect first evidence.</t>
  </si>
  <si>
    <t>Document portfolio governance with prioritization, capacity, benefits, risks and dependencies, assign RACI, define minimum controls and KPIs, and validate coverage across key sites, teams or systems.</t>
  </si>
  <si>
    <t>Standardize portfolio governance with prioritization, capacity, benefits, risks and dependencies, close coverage gaps, train accountable roles and connect controls to the relevant crisis scenarios and continuity plans.</t>
  </si>
  <si>
    <t>Measure and test portfolio governance with prioritization, capacity, benefits, risks and dependencies, run tabletop or operational stress tests, integrate it with dependent processes and update crisis playbooks.</t>
  </si>
  <si>
    <t>Sustain maturity for portfolio governance with prioritization, capacity, benefits, risks and dependencies: keep evidence current, monitor drift, benchmark externally and refresh risk tests after organizational, system or market changes.</t>
  </si>
  <si>
    <t>Quality Portfolio!14</t>
  </si>
  <si>
    <t>Immature capability for rapid reprioritization of initiatives during crisis using value, urgency, risk and capacity may lead to poor quality control, failed change execution, unmanaged portfolio trade-offs and benefit erosion during Execution failure; Delivery disruption; Decision failure.</t>
  </si>
  <si>
    <t>Low maturity, weak ownership, incomplete evidence, insufficient testing and poor integration with crisis-management routines for rapid reprioritization of initiatives during crisis using value, urgency, risk and capacity.</t>
  </si>
  <si>
    <t>Severe risk: rapid reprioritization of initiatives during crisis using value, urgency, risk and capacity is not reliably controlled. During Execution failure; Delivery disruption; Decision failure, the organization may face poor quality control, failed change execution, unmanaged portfolio trade-offs and benefit erosion with limited visibility or accountability.</t>
  </si>
  <si>
    <t>High risk: rapid reprioritization of initiatives during crisis using value, urgency, risk and capacity depends on informal practices or individual knowledge. Disruption may expose poor quality control, failed change execution, unmanaged portfolio trade-offs and benefit erosion and slow recovery.</t>
  </si>
  <si>
    <t>Elevated risk: rapid reprioritization of initiatives during crisis using value, urgency, risk and capacity is partially controlled, but coverage, evidence or testing is inconsistent. Crisis response may be fragmented.</t>
  </si>
  <si>
    <t>Moderate risk: rapid reprioritization of initiatives during crisis using value, urgency, risk and capacity is documented and owned, but measurement, stress testing and integration with dependent processes need strengthening.</t>
  </si>
  <si>
    <t>Residual risk: rapid reprioritization of initiatives during crisis using value, urgency, risk and capacity is measured and reviewed, but monitoring, automation or scenario testing should be improved to prevent maturity drift.</t>
  </si>
  <si>
    <t>Low residual risk: rapid reprioritization of initiatives during crisis using value, urgency, risk and capacity is mature and crisis-tested. Maintain monitoring, evidence, ownership and periodic stress testing.</t>
  </si>
  <si>
    <t>Create an immediate risk owner, minimum control baseline and fallback procedure for rapid reprioritization of initiatives during crisis using value, urgency, risk and capacity. Add it to the crisis risk register and collect first evidence.</t>
  </si>
  <si>
    <t>Document rapid reprioritization of initiatives during crisis using value, urgency, risk and capacity, assign RACI, define minimum controls and KPIs, and validate coverage across key sites, teams or systems.</t>
  </si>
  <si>
    <t>Standardize rapid reprioritization of initiatives during crisis using value, urgency, risk and capacity, close coverage gaps, train accountable roles and connect controls to the relevant crisis scenarios and continuity plans.</t>
  </si>
  <si>
    <t>Measure and test rapid reprioritization of initiatives during crisis using value, urgency, risk and capacity, run tabletop or operational stress tests, integrate it with dependent processes and update crisis playbooks.</t>
  </si>
  <si>
    <t>Sustain maturity for rapid reprioritization of initiatives during crisis using value, urgency, risk and capacity: keep evidence current, monitor drift, benchmark externally and refresh risk tests after organizational, system or market changes.</t>
  </si>
  <si>
    <t>Quality Portfolio!15</t>
  </si>
  <si>
    <t>Immature capability for benefits realization tracking for resilience, digital and operational initiatives may lead to poor quality control, failed change execution, unmanaged portfolio trade-offs and benefit erosion during Execution failure; Delivery disruption; Decision failure.</t>
  </si>
  <si>
    <t>Low maturity, weak ownership, incomplete evidence, insufficient testing and poor integration with crisis-management routines for benefits realization tracking for resilience, digital and operational initiatives.</t>
  </si>
  <si>
    <t>Severe risk: benefits realization tracking for resilience, digital and operational initiatives is not reliably controlled. During Execution failure; Delivery disruption; Decision failure, the organization may face poor quality control, failed change execution, unmanaged portfolio trade-offs and benefit erosion with limited visibility or accountability.</t>
  </si>
  <si>
    <t>High risk: benefits realization tracking for resilience, digital and operational initiatives depends on informal practices or individual knowledge. Disruption may expose poor quality control, failed change execution, unmanaged portfolio trade-offs and benefit erosion and slow recovery.</t>
  </si>
  <si>
    <t>Elevated risk: benefits realization tracking for resilience, digital and operational initiatives is partially controlled, but coverage, evidence or testing is inconsistent. Crisis response may be fragmented.</t>
  </si>
  <si>
    <t>Moderate risk: benefits realization tracking for resilience, digital and operational initiatives is documented and owned, but measurement, stress testing and integration with dependent processes need strengthening.</t>
  </si>
  <si>
    <t>Residual risk: benefits realization tracking for resilience, digital and operational initiatives is measured and reviewed, but monitoring, automation or scenario testing should be improved to prevent maturity drift.</t>
  </si>
  <si>
    <t>Low residual risk: benefits realization tracking for resilience, digital and operational initiatives is mature and crisis-tested. Maintain monitoring, evidence, ownership and periodic stress testing.</t>
  </si>
  <si>
    <t>Create an immediate risk owner, minimum control baseline and fallback procedure for benefits realization tracking for resilience, digital and operational initiatives. Add it to the crisis risk register and collect first evidence.</t>
  </si>
  <si>
    <t>Document benefits realization tracking for resilience, digital and operational initiatives, assign RACI, define minimum controls and KPIs, and validate coverage across key sites, teams or systems.</t>
  </si>
  <si>
    <t>Standardize benefits realization tracking for resilience, digital and operational initiatives, close coverage gaps, train accountable roles and connect controls to the relevant crisis scenarios and continuity plans.</t>
  </si>
  <si>
    <t>Measure and test benefits realization tracking for resilience, digital and operational initiatives, run tabletop or operational stress tests, integrate it with dependent processes and update crisis playbooks.</t>
  </si>
  <si>
    <t>Sustain maturity for benefits realization tracking for resilience, digital and operational initiatives: keep evidence current, monitor drift, benchmark externally and refresh risk tests after organizational, system or market changes.</t>
  </si>
  <si>
    <t>Quality Portfolio!16</t>
  </si>
  <si>
    <t>Immature capability for change adoption management with communication, training, sponsor accountability and adoption metrics may lead to poor quality control, failed change execution, unmanaged portfolio trade-offs and benefit erosion during Execution failure; Delivery disruption; Decision failure.</t>
  </si>
  <si>
    <t>Low maturity, weak ownership, incomplete evidence, insufficient testing and poor integration with crisis-management routines for change adoption management with communication, training, sponsor accountability and adoption metrics.</t>
  </si>
  <si>
    <t>Severe risk: change adoption management with communication, training, sponsor accountability and adoption metrics is not reliably controlled. During Execution failure; Delivery disruption; Decision failure, the organization may face poor quality control, failed change execution, unmanaged portfolio trade-offs and benefit erosion with limited visibility or accountability.</t>
  </si>
  <si>
    <t>High risk: change adoption management with communication, training, sponsor accountability and adoption metrics depends on informal practices or individual knowledge. Disruption may expose poor quality control, failed change execution, unmanaged portfolio trade-offs and benefit erosion and slow recovery.</t>
  </si>
  <si>
    <t>Elevated risk: change adoption management with communication, training, sponsor accountability and adoption metrics is partially controlled, but coverage, evidence or testing is inconsistent. Crisis response may be fragmented.</t>
  </si>
  <si>
    <t>Moderate risk: change adoption management with communication, training, sponsor accountability and adoption metrics is documented and owned, but measurement, stress testing and integration with dependent processes need strengthening.</t>
  </si>
  <si>
    <t>Residual risk: change adoption management with communication, training, sponsor accountability and adoption metrics is measured and reviewed, but monitoring, automation or scenario testing should be improved to prevent maturity drift.</t>
  </si>
  <si>
    <t>Low residual risk: change adoption management with communication, training, sponsor accountability and adoption metrics is mature and crisis-tested. Maintain monitoring, evidence, ownership and periodic stress testing.</t>
  </si>
  <si>
    <t>Create an immediate risk owner, minimum control baseline and fallback procedure for change adoption management with communication, training, sponsor accountability and adoption metrics. Add it to the crisis risk register and collect first evidence.</t>
  </si>
  <si>
    <t>Document change adoption management with communication, training, sponsor accountability and adoption metrics, assign RACI, define minimum controls and KPIs, and validate coverage across key sites, teams or systems.</t>
  </si>
  <si>
    <t>Standardize change adoption management with communication, training, sponsor accountability and adoption metrics, close coverage gaps, train accountable roles and connect controls to the relevant crisis scenarios and continuity plans.</t>
  </si>
  <si>
    <t>Measure and test change adoption management with communication, training, sponsor accountability and adoption metrics, run tabletop or operational stress tests, integrate it with dependent processes and update crisis playbooks.</t>
  </si>
  <si>
    <t>Sustain maturity for change adoption management with communication, training, sponsor accountability and adoption metrics: keep evidence current, monitor drift, benchmark externally and refresh risk tests after organizational, system or market changes.</t>
  </si>
  <si>
    <t>Quality Portfolio!17</t>
  </si>
  <si>
    <t>Immature capability for improvement backlog linked to incidents, audits, customer feedback, risk and strategy may lead to poor quality control, failed change execution, unmanaged portfolio trade-offs and benefit erosion during Execution failure; Delivery disruption; Decision failure.</t>
  </si>
  <si>
    <t>Low maturity, weak ownership, incomplete evidence, insufficient testing and poor integration with crisis-management routines for improvement backlog linked to incidents, audits, customer feedback, risk and strategy.</t>
  </si>
  <si>
    <t>Severe risk: improvement backlog linked to incidents, audits, customer feedback, risk and strategy is not reliably controlled. During Execution failure; Delivery disruption; Decision failure, the organization may face poor quality control, failed change execution, unmanaged portfolio trade-offs and benefit erosion with limited visibility or accountability.</t>
  </si>
  <si>
    <t>High risk: improvement backlog linked to incidents, audits, customer feedback, risk and strategy depends on informal practices or individual knowledge. Disruption may expose poor quality control, failed change execution, unmanaged portfolio trade-offs and benefit erosion and slow recovery.</t>
  </si>
  <si>
    <t>Elevated risk: improvement backlog linked to incidents, audits, customer feedback, risk and strategy is partially controlled, but coverage, evidence or testing is inconsistent. Crisis response may be fragmented.</t>
  </si>
  <si>
    <t>Moderate risk: improvement backlog linked to incidents, audits, customer feedback, risk and strategy is documented and owned, but measurement, stress testing and integration with dependent processes need strengthening.</t>
  </si>
  <si>
    <t>Residual risk: improvement backlog linked to incidents, audits, customer feedback, risk and strategy is measured and reviewed, but monitoring, automation or scenario testing should be improved to prevent maturity drift.</t>
  </si>
  <si>
    <t>Low residual risk: improvement backlog linked to incidents, audits, customer feedback, risk and strategy is mature and crisis-tested. Maintain monitoring, evidence, ownership and periodic stress testing.</t>
  </si>
  <si>
    <t>Create an immediate risk owner, minimum control baseline and fallback procedure for improvement backlog linked to incidents, audits, customer feedback, risk and strategy. Add it to the crisis risk register and collect first evidence.</t>
  </si>
  <si>
    <t>Document improvement backlog linked to incidents, audits, customer feedback, risk and strategy, assign RACI, define minimum controls and KPIs, and validate coverage across key sites, teams or systems.</t>
  </si>
  <si>
    <t>Standardize improvement backlog linked to incidents, audits, customer feedback, risk and strategy, close coverage gaps, train accountable roles and connect controls to the relevant crisis scenarios and continuity plans.</t>
  </si>
  <si>
    <t>Measure and test improvement backlog linked to incidents, audits, customer feedback, risk and strategy, run tabletop or operational stress tests, integrate it with dependent processes and update crisis playbooks.</t>
  </si>
  <si>
    <t>Sustain maturity for improvement backlog linked to incidents, audits, customer feedback, risk and strategy: keep evidence current, monitor drift, benchmark externally and refresh risk tests after organizational, system or market changes.</t>
  </si>
  <si>
    <t>Quality Portfolio!18</t>
  </si>
  <si>
    <t>Immature capability for KPI hierarchy from strategy to functions, processes, teams and crisis readiness may lead to poor quality control, failed change execution, unmanaged portfolio trade-offs and benefit erosion during Execution failure; Delivery disruption; Decision failure.</t>
  </si>
  <si>
    <t>Low maturity, weak ownership, incomplete evidence, insufficient testing and poor integration with crisis-management routines for KPI hierarchy from strategy to functions, processes, teams and crisis readiness.</t>
  </si>
  <si>
    <t>Severe risk: KPI hierarchy from strategy to functions, processes, teams and crisis readiness is not reliably controlled. During Execution failure; Delivery disruption; Decision failure, the organization may face poor quality control, failed change execution, unmanaged portfolio trade-offs and benefit erosion with limited visibility or accountability.</t>
  </si>
  <si>
    <t>High risk: KPI hierarchy from strategy to functions, processes, teams and crisis readiness depends on informal practices or individual knowledge. Disruption may expose poor quality control, failed change execution, unmanaged portfolio trade-offs and benefit erosion and slow recovery.</t>
  </si>
  <si>
    <t>Elevated risk: KPI hierarchy from strategy to functions, processes, teams and crisis readiness is partially controlled, but coverage, evidence or testing is inconsistent. Crisis response may be fragmented.</t>
  </si>
  <si>
    <t>Moderate risk: KPI hierarchy from strategy to functions, processes, teams and crisis readiness is documented and owned, but measurement, stress testing and integration with dependent processes need strengthening.</t>
  </si>
  <si>
    <t>Residual risk: KPI hierarchy from strategy to functions, processes, teams and crisis readiness is measured and reviewed, but monitoring, automation or scenario testing should be improved to prevent maturity drift.</t>
  </si>
  <si>
    <t>Low residual risk: KPI hierarchy from strategy to functions, processes, teams and crisis readiness is mature and crisis-tested. Maintain monitoring, evidence, ownership and periodic stress testing.</t>
  </si>
  <si>
    <t>Create an immediate risk owner, minimum control baseline and fallback procedure for KPI hierarchy from strategy to functions, processes, teams and crisis readiness. Add it to the crisis risk register and collect first evidence.</t>
  </si>
  <si>
    <t>Document KPI hierarchy from strategy to functions, processes, teams and crisis readiness, assign RACI, define minimum controls and KPIs, and validate coverage across key sites, teams or systems.</t>
  </si>
  <si>
    <t>Standardize KPI hierarchy from strategy to functions, processes, teams and crisis readiness, close coverage gaps, train accountable roles and connect controls to the relevant crisis scenarios and continuity plans.</t>
  </si>
  <si>
    <t>Measure and test KPI hierarchy from strategy to functions, processes, teams and crisis readiness, run tabletop or operational stress tests, integrate it with dependent processes and update crisis playbooks.</t>
  </si>
  <si>
    <t>Sustain maturity for KPI hierarchy from strategy to functions, processes, teams and crisis readiness: keep evidence current, monitor drift, benchmark externally and refresh risk tests after organizational, system or market changes.</t>
  </si>
  <si>
    <t>Quality Portfolio!19</t>
  </si>
  <si>
    <t>Immature capability for management review of performance, risks, audit findings, incidents, customers and improvements may lead to poor quality control, failed change execution, unmanaged portfolio trade-offs and benefit erosion during Execution failure; Delivery disruption; Decision failure.</t>
  </si>
  <si>
    <t>Low maturity, weak ownership, incomplete evidence, insufficient testing and poor integration with crisis-management routines for management review of performance, risks, audit findings, incidents, customers and improvements.</t>
  </si>
  <si>
    <t>Severe risk: management review of performance, risks, audit findings, incidents, customers and improvements is not reliably controlled. During Execution failure; Delivery disruption; Decision failure, the organization may face poor quality control, failed change execution, unmanaged portfolio trade-offs and benefit erosion with limited visibility or accountability.</t>
  </si>
  <si>
    <t>High risk: management review of performance, risks, audit findings, incidents, customers and improvements depends on informal practices or individual knowledge. Disruption may expose poor quality control, failed change execution, unmanaged portfolio trade-offs and benefit erosion and slow recovery.</t>
  </si>
  <si>
    <t>Elevated risk: management review of performance, risks, audit findings, incidents, customers and improvements is partially controlled, but coverage, evidence or testing is inconsistent. Crisis response may be fragmented.</t>
  </si>
  <si>
    <t>Moderate risk: management review of performance, risks, audit findings, incidents, customers and improvements is documented and owned, but measurement, stress testing and integration with dependent processes need strengthening.</t>
  </si>
  <si>
    <t>Residual risk: management review of performance, risks, audit findings, incidents, customers and improvements is measured and reviewed, but monitoring, automation or scenario testing should be improved to prevent maturity drift.</t>
  </si>
  <si>
    <t>Low residual risk: management review of performance, risks, audit findings, incidents, customers and improvements is mature and crisis-tested. Maintain monitoring, evidence, ownership and periodic stress testing.</t>
  </si>
  <si>
    <t>Create an immediate risk owner, minimum control baseline and fallback procedure for management review of performance, risks, audit findings, incidents, customers and improvements. Add it to the crisis risk register and collect first evidence.</t>
  </si>
  <si>
    <t>Document management review of performance, risks, audit findings, incidents, customers and improvements, assign RACI, define minimum controls and KPIs, and validate coverage across key sites, teams or systems.</t>
  </si>
  <si>
    <t>Standardize management review of performance, risks, audit findings, incidents, customers and improvements, close coverage gaps, train accountable roles and connect controls to the relevant crisis scenarios and continuity plans.</t>
  </si>
  <si>
    <t>Measure and test management review of performance, risks, audit findings, incidents, customers and improvements, run tabletop or operational stress tests, integrate it with dependent processes and update crisis playbooks.</t>
  </si>
  <si>
    <t>Sustain maturity for management review of performance, risks, audit findings, incidents, customers and improvements: keep evidence current, monitor drift, benchmark externally and refresh risk tests after organizational, system or market changes.</t>
  </si>
  <si>
    <t>Quality Portfolio!20</t>
  </si>
  <si>
    <t>Immature capability for decision log for major decisions with alternatives, risks, assumptions, owners and follow-up may lead to poor quality control, failed change execution, unmanaged portfolio trade-offs and benefit erosion during Execution failure; Delivery disruption; Decision failure.</t>
  </si>
  <si>
    <t>Low maturity, weak ownership, incomplete evidence, insufficient testing and poor integration with crisis-management routines for decision log for major decisions with alternatives, risks, assumptions, owners and follow-up.</t>
  </si>
  <si>
    <t>Severe risk: decision log for major decisions with alternatives, risks, assumptions, owners and follow-up is not reliably controlled. During Execution failure; Delivery disruption; Decision failure, the organization may face poor quality control, failed change execution, unmanaged portfolio trade-offs and benefit erosion with limited visibility or accountability.</t>
  </si>
  <si>
    <t>High risk: decision log for major decisions with alternatives, risks, assumptions, owners and follow-up depends on informal practices or individual knowledge. Disruption may expose poor quality control, failed change execution, unmanaged portfolio trade-offs and benefit erosion and slow recovery.</t>
  </si>
  <si>
    <t>Elevated risk: decision log for major decisions with alternatives, risks, assumptions, owners and follow-up is partially controlled, but coverage, evidence or testing is inconsistent. Crisis response may be fragmented.</t>
  </si>
  <si>
    <t>Moderate risk: decision log for major decisions with alternatives, risks, assumptions, owners and follow-up is documented and owned, but measurement, stress testing and integration with dependent processes need strengthening.</t>
  </si>
  <si>
    <t>Residual risk: decision log for major decisions with alternatives, risks, assumptions, owners and follow-up is measured and reviewed, but monitoring, automation or scenario testing should be improved to prevent maturity drift.</t>
  </si>
  <si>
    <t>Low residual risk: decision log for major decisions with alternatives, risks, assumptions, owners and follow-up is mature and crisis-tested. Maintain monitoring, evidence, ownership and periodic stress testing.</t>
  </si>
  <si>
    <t>Create an immediate risk owner, minimum control baseline and fallback procedure for decision log for major decisions with alternatives, risks, assumptions, owners and follow-up. Add it to the crisis risk register and collect first evidence.</t>
  </si>
  <si>
    <t>Document decision log for major decisions with alternatives, risks, assumptions, owners and follow-up, assign RACI, define minimum controls and KPIs, and validate coverage across key sites, teams or systems.</t>
  </si>
  <si>
    <t>Standardize decision log for major decisions with alternatives, risks, assumptions, owners and follow-up, close coverage gaps, train accountable roles and connect controls to the relevant crisis scenarios and continuity plans.</t>
  </si>
  <si>
    <t>Measure and test decision log for major decisions with alternatives, risks, assumptions, owners and follow-up, run tabletop or operational stress tests, integrate it with dependent processes and update crisis playbooks.</t>
  </si>
  <si>
    <t>Sustain maturity for decision log for major decisions with alternatives, risks, assumptions, owners and follow-up: keep evidence current, monitor drift, benchmark externally and refresh risk tests after organizational, system or market changes.</t>
  </si>
  <si>
    <t>Quality Portfolio!21</t>
  </si>
  <si>
    <t>Immature capability for evidence readiness for audits, customers, insurers or regulators during crisis may lead to poor quality control, failed change execution, unmanaged portfolio trade-offs and benefit erosion during Execution failure; Delivery disruption; Decision failure.</t>
  </si>
  <si>
    <t>Low maturity, weak ownership, incomplete evidence, insufficient testing and poor integration with crisis-management routines for evidence readiness for audits, customers, insurers or regulators during crisis.</t>
  </si>
  <si>
    <t>Severe risk: evidence readiness for audits, customers, insurers or regulators during crisis is not reliably controlled. During Execution failure; Delivery disruption; Decision failure, the organization may face poor quality control, failed change execution, unmanaged portfolio trade-offs and benefit erosion with limited visibility or accountability.</t>
  </si>
  <si>
    <t>High risk: evidence readiness for audits, customers, insurers or regulators during crisis depends on informal practices or individual knowledge. Disruption may expose poor quality control, failed change execution, unmanaged portfolio trade-offs and benefit erosion and slow recovery.</t>
  </si>
  <si>
    <t>Elevated risk: evidence readiness for audits, customers, insurers or regulators during crisis is partially controlled, but coverage, evidence or testing is inconsistent. Crisis response may be fragmented.</t>
  </si>
  <si>
    <t>Moderate risk: evidence readiness for audits, customers, insurers or regulators during crisis is documented and owned, but measurement, stress testing and integration with dependent processes need strengthening.</t>
  </si>
  <si>
    <t>Residual risk: evidence readiness for audits, customers, insurers or regulators during crisis is measured and reviewed, but monitoring, automation or scenario testing should be improved to prevent maturity drift.</t>
  </si>
  <si>
    <t>Low residual risk: evidence readiness for audits, customers, insurers or regulators during crisis is mature and crisis-tested. Maintain monitoring, evidence, ownership and periodic stress testing.</t>
  </si>
  <si>
    <t>Create an immediate risk owner, minimum control baseline and fallback procedure for evidence readiness for audits, customers, insurers or regulators during crisis. Add it to the crisis risk register and collect first evidence.</t>
  </si>
  <si>
    <t>Document evidence readiness for audits, customers, insurers or regulators during crisis, assign RACI, define minimum controls and KPIs, and validate coverage across key sites, teams or systems.</t>
  </si>
  <si>
    <t>Standardize evidence readiness for audits, customers, insurers or regulators during crisis, close coverage gaps, train accountable roles and connect controls to the relevant crisis scenarios and continuity plans.</t>
  </si>
  <si>
    <t>Measure and test evidence readiness for audits, customers, insurers or regulators during crisis, run tabletop or operational stress tests, integrate it with dependent processes and update crisis playbooks.</t>
  </si>
  <si>
    <t>Sustain maturity for evidence readiness for audits, customers, insurers or regulators during crisis: keep evidence current, monitor drift, benchmark externally and refresh risk tests after organizational, system or market changes.</t>
  </si>
  <si>
    <t>Quality Portfolio!22</t>
  </si>
  <si>
    <t>Portfolio governance and delivery capability</t>
  </si>
  <si>
    <t>Immature capability for organizational project management alignment connecting strategy to portfolios, programs and projects with defined governance layers may lead to initiatives disconnected from strategy, duplicated effort and value leakage across the portfolio during Financial/liquidity crisis; Demand shock.</t>
  </si>
  <si>
    <t>Low maturity, weak ownership, incomplete evidence, insufficient testing and poor integration with crisis-management routines for organizational project management alignment connecting strategy to portfolios, programs and projects with defined governance layers.</t>
  </si>
  <si>
    <t>Severe risk: organizational project management alignment connecting strategy to portfolios, programs and projects with defined governance layers is not reliably controlled. During Financial/liquidity crisis; Demand shock, the organization may face initiatives disconnected from strategy, duplicated effort and value leakage across the portfolio with limited visibility or accountability.</t>
  </si>
  <si>
    <t>High risk: organizational project management alignment connecting strategy to portfolios, programs and projects with defined governance layers depends on informal practices or individual knowledge. Disruption may expose initiatives disconnected from strategy, duplicated effort and value leakage across the portfolio and slow recovery.</t>
  </si>
  <si>
    <t>Elevated risk: organizational project management alignment connecting strategy to portfolios, programs and projects with defined governance layers is partially controlled, but coverage, evidence or testing is inconsistent. Crisis response may be fragmented.</t>
  </si>
  <si>
    <t>Moderate risk: organizational project management alignment connecting strategy to portfolios, programs and projects with defined governance layers is documented and owned, but measurement, stress testing and integration with dependent processes need strengthening.</t>
  </si>
  <si>
    <t>Residual risk: organizational project management alignment connecting strategy to portfolios, programs and projects with defined governance layers is measured and reviewed, but monitoring, automation or scenario testing should be improved to prevent maturity drift.</t>
  </si>
  <si>
    <t>Low residual risk: organizational project management alignment connecting strategy to portfolios, programs and projects with defined governance layers is mature and crisis-tested. Maintain monitoring, evidence, ownership and periodic stress testing.</t>
  </si>
  <si>
    <t>Create an immediate risk owner, minimum control baseline and fallback procedure for organizational project management alignment connecting strategy to portfolios, programs and projects with defined governance layers. Add it to the crisis risk register and collect first evidence.</t>
  </si>
  <si>
    <t>Document organizational project management alignment connecting strategy to portfolios, programs and projects with defined governance layers, assign RACI, define minimum controls and KPIs, and validate coverage across key sites, teams or systems.</t>
  </si>
  <si>
    <t>Standardize organizational project management alignment connecting strategy to portfolios, programs and projects with defined governance layers, close coverage gaps, train accountable roles and connect controls to the relevant crisis scenarios and continuity plans.</t>
  </si>
  <si>
    <t>Measure and test organizational project management alignment connecting strategy to portfolios, programs and projects with defined governance layers, run tabletop or operational stress tests, integrate it with dependent processes and update crisis playbooks.</t>
  </si>
  <si>
    <t>Sustain maturity for organizational project management alignment connecting strategy to portfolios, programs and projects with defined governance layers: keep evidence current, monitor drift, benchmark externally and refresh risk tests after organizational, system or market changes.</t>
  </si>
  <si>
    <t>Policy/SOP; owner/RACI; system report; dashboard; contracts; test records; incident history; interview evidence related to organizational project management alignment connecting strategy to portfolios, programs and projects with defined governance layers</t>
  </si>
  <si>
    <t>PMO / COO</t>
  </si>
  <si>
    <t>Quality Portfolio!23</t>
  </si>
  <si>
    <t>Immature capability for standardized and tailored project delivery methodology with knowledge transfer between initiatives may lead to every project reinventing its approach, repeated mistakes and unpredictable delivery quality during Demand shock; Workforce disruption.</t>
  </si>
  <si>
    <t>Low maturity, weak ownership, incomplete evidence, insufficient testing and poor integration with crisis-management routines for standardized and tailored project delivery methodology with knowledge transfer between initiatives.</t>
  </si>
  <si>
    <t>Severe risk: standardized and tailored project delivery methodology with knowledge transfer between initiatives is not reliably controlled. During Demand shock; Workforce disruption, the organization may face every project reinventing its approach, repeated mistakes and unpredictable delivery quality with limited visibility or accountability.</t>
  </si>
  <si>
    <t>High risk: standardized and tailored project delivery methodology with knowledge transfer between initiatives depends on informal practices or individual knowledge. Disruption may expose every project reinventing its approach, repeated mistakes and unpredictable delivery quality and slow recovery.</t>
  </si>
  <si>
    <t>Elevated risk: standardized and tailored project delivery methodology with knowledge transfer between initiatives is partially controlled, but coverage, evidence or testing is inconsistent. Crisis response may be fragmented.</t>
  </si>
  <si>
    <t>Moderate risk: standardized and tailored project delivery methodology with knowledge transfer between initiatives is documented and owned, but measurement, stress testing and integration with dependent processes need strengthening.</t>
  </si>
  <si>
    <t>Residual risk: standardized and tailored project delivery methodology with knowledge transfer between initiatives is measured and reviewed, but monitoring, automation or scenario testing should be improved to prevent maturity drift.</t>
  </si>
  <si>
    <t>Low residual risk: standardized and tailored project delivery methodology with knowledge transfer between initiatives is mature and crisis-tested. Maintain monitoring, evidence, ownership and periodic stress testing.</t>
  </si>
  <si>
    <t>Create an immediate risk owner, minimum control baseline and fallback procedure for standardized and tailored project delivery methodology with knowledge transfer between initiatives. Add it to the crisis risk register and collect first evidence.</t>
  </si>
  <si>
    <t>Document standardized and tailored project delivery methodology with knowledge transfer between initiatives, assign RACI, define minimum controls and KPIs, and validate coverage across key sites, teams or systems.</t>
  </si>
  <si>
    <t>Standardize standardized and tailored project delivery methodology with knowledge transfer between initiatives, close coverage gaps, train accountable roles and connect controls to the relevant crisis scenarios and continuity plans.</t>
  </si>
  <si>
    <t>Measure and test standardized and tailored project delivery methodology with knowledge transfer between initiatives, run tabletop or operational stress tests, integrate it with dependent processes and update crisis playbooks.</t>
  </si>
  <si>
    <t>Sustain maturity for standardized and tailored project delivery methodology with knowledge transfer between initiatives: keep evidence current, monitor drift, benchmark externally and refresh risk tests after organizational, system or market changes.</t>
  </si>
  <si>
    <t>Policy/SOP; owner/RACI; system report; dashboard; contracts; test records; incident history; interview evidence related to standardized and tailored project delivery methodology with knowledge transfer between initiatives</t>
  </si>
  <si>
    <t>PMO</t>
  </si>
  <si>
    <t>Quality Portfolio!24</t>
  </si>
  <si>
    <t>Immature capability for project and change management competency development with a visible resource pool and capacity view may lead to initiative overload on few skilled people, delivery bottlenecks and burnout of change leaders during Workforce disruption; Demand shock.</t>
  </si>
  <si>
    <t>Low maturity, weak ownership, incomplete evidence, insufficient testing and poor integration with crisis-management routines for project and change management competency development with a visible resource pool and capacity view.</t>
  </si>
  <si>
    <t>Severe risk: project and change management competency development with a visible resource pool and capacity view is not reliably controlled. During Workforce disruption; Demand shock, the organization may face initiative overload on few skilled people, delivery bottlenecks and burnout of change leaders with limited visibility or accountability.</t>
  </si>
  <si>
    <t>High risk: project and change management competency development with a visible resource pool and capacity view depends on informal practices or individual knowledge. Disruption may expose initiative overload on few skilled people, delivery bottlenecks and burnout of change leaders and slow recovery.</t>
  </si>
  <si>
    <t>Elevated risk: project and change management competency development with a visible resource pool and capacity view is partially controlled, but coverage, evidence or testing is inconsistent. Crisis response may be fragmented.</t>
  </si>
  <si>
    <t>Moderate risk: project and change management competency development with a visible resource pool and capacity view is documented and owned, but measurement, stress testing and integration with dependent processes need strengthening.</t>
  </si>
  <si>
    <t>Residual risk: project and change management competency development with a visible resource pool and capacity view is measured and reviewed, but monitoring, automation or scenario testing should be improved to prevent maturity drift.</t>
  </si>
  <si>
    <t>Low residual risk: project and change management competency development with a visible resource pool and capacity view is mature and crisis-tested. Maintain monitoring, evidence, ownership and periodic stress testing.</t>
  </si>
  <si>
    <t>Create an immediate risk owner, minimum control baseline and fallback procedure for project and change management competency development with a visible resource pool and capacity view. Add it to the crisis risk register and collect first evidence.</t>
  </si>
  <si>
    <t>Document project and change management competency development with a visible resource pool and capacity view, assign RACI, define minimum controls and KPIs, and validate coverage across key sites, teams or systems.</t>
  </si>
  <si>
    <t>Standardize project and change management competency development with a visible resource pool and capacity view, close coverage gaps, train accountable roles and connect controls to the relevant crisis scenarios and continuity plans.</t>
  </si>
  <si>
    <t>Measure and test project and change management competency development with a visible resource pool and capacity view, run tabletop or operational stress tests, integrate it with dependent processes and update crisis playbooks.</t>
  </si>
  <si>
    <t>Sustain maturity for project and change management competency development with a visible resource pool and capacity view: keep evidence current, monitor drift, benchmark externally and refresh risk tests after organizational, system or market changes.</t>
  </si>
  <si>
    <t>Policy/SOP; owner/RACI; system report; dashboard; contracts; test records; incident history; interview evidence related to project and change management competency development with a visible resource pool and capacity view</t>
  </si>
  <si>
    <t>PMO / HR</t>
  </si>
  <si>
    <t>Quality Portfolio!25</t>
  </si>
  <si>
    <t>Immature capability for innovation and idea pipeline capturing, evaluating and funding employee and customer-driven improvements may lead to missed improvement potential, a reactive-only change agenda and weak adaptation capacity during Demand shock; Reputation crisis.</t>
  </si>
  <si>
    <t>Low maturity, weak ownership, incomplete evidence, insufficient testing and poor integration with crisis-management routines for innovation and idea pipeline capturing, evaluating and funding employee and customer-driven improvements.</t>
  </si>
  <si>
    <t>Severe risk: innovation and idea pipeline capturing, evaluating and funding employee and customer-driven improvements is not reliably controlled. During Demand shock; Reputation crisis, the organization may face missed improvement potential, a reactive-only change agenda and weak adaptation capacity with limited visibility or accountability.</t>
  </si>
  <si>
    <t>High risk: innovation and idea pipeline capturing, evaluating and funding employee and customer-driven improvements depends on informal practices or individual knowledge. Disruption may expose missed improvement potential, a reactive-only change agenda and weak adaptation capacity and slow recovery.</t>
  </si>
  <si>
    <t>Elevated risk: innovation and idea pipeline capturing, evaluating and funding employee and customer-driven improvements is partially controlled, but coverage, evidence or testing is inconsistent. Crisis response may be fragmented.</t>
  </si>
  <si>
    <t>Moderate risk: innovation and idea pipeline capturing, evaluating and funding employee and customer-driven improvements is documented and owned, but measurement, stress testing and integration with dependent processes need strengthening.</t>
  </si>
  <si>
    <t>Residual risk: innovation and idea pipeline capturing, evaluating and funding employee and customer-driven improvements is measured and reviewed, but monitoring, automation or scenario testing should be improved to prevent maturity drift.</t>
  </si>
  <si>
    <t>Low residual risk: innovation and idea pipeline capturing, evaluating and funding employee and customer-driven improvements is mature and crisis-tested. Maintain monitoring, evidence, ownership and periodic stress testing.</t>
  </si>
  <si>
    <t>Create an immediate risk owner, minimum control baseline and fallback procedure for innovation and idea pipeline capturing, evaluating and funding employee and customer-driven improvements. Add it to the crisis risk register and collect first evidence.</t>
  </si>
  <si>
    <t>Document innovation and idea pipeline capturing, evaluating and funding employee and customer-driven improvements, assign RACI, define minimum controls and KPIs, and validate coverage across key sites, teams or systems.</t>
  </si>
  <si>
    <t>Standardize innovation and idea pipeline capturing, evaluating and funding employee and customer-driven improvements, close coverage gaps, train accountable roles and connect controls to the relevant crisis scenarios and continuity plans.</t>
  </si>
  <si>
    <t>Measure and test innovation and idea pipeline capturing, evaluating and funding employee and customer-driven improvements, run tabletop or operational stress tests, integrate it with dependent processes and update crisis playbooks.</t>
  </si>
  <si>
    <t>Sustain maturity for innovation and idea pipeline capturing, evaluating and funding employee and customer-driven improvements: keep evidence current, monitor drift, benchmark externally and refresh risk tests after organizational, system or market changes.</t>
  </si>
  <si>
    <t>Policy/SOP; owner/RACI; system report; dashboard; contracts; test records; incident history; interview evidence related to innovation and idea pipeline capturing, evaluating and funding employee and customer-driven improvements</t>
  </si>
  <si>
    <t>CEO / PMO</t>
  </si>
  <si>
    <t>Quality Portfolio!26</t>
  </si>
  <si>
    <t>Critical/High risks</t>
  </si>
  <si>
    <t>Average risk score</t>
  </si>
  <si>
    <t>Top risk score</t>
  </si>
  <si>
    <t>Average WSJF</t>
  </si>
  <si>
    <t>Assessed questions</t>
  </si>
  <si>
    <t>Unassessed questions</t>
  </si>
  <si>
    <t>Top-10 risks ALE (EUR k/yr)</t>
  </si>
  <si>
    <t>Top-10 scenario-adj ALE (EUR k/yr)</t>
  </si>
  <si>
    <t>Risk Output Engine — v2.6</t>
  </si>
  <si>
    <t>Refactored risk-priority output block migrated from legacy Risk &amp; Recommendations. Used by consolidated visible scenario/action sheets and downstream risk/initiative logic.</t>
  </si>
  <si>
    <t>Final priority (WSJF rank)</t>
  </si>
  <si>
    <t>Show</t>
  </si>
  <si>
    <t>Risk statement</t>
  </si>
  <si>
    <t>Current score</t>
  </si>
  <si>
    <t>Likelihood 1-5</t>
  </si>
  <si>
    <t>Impact 1-5</t>
  </si>
  <si>
    <t>Risk score</t>
  </si>
  <si>
    <t>Priority score 1-5</t>
  </si>
  <si>
    <t>Risk treatment / mitigation</t>
  </si>
  <si>
    <t>Question weight</t>
  </si>
  <si>
    <t>Digitalization relevance</t>
  </si>
  <si>
    <t>Resilience relevance</t>
  </si>
  <si>
    <t>Process maturity relevance</t>
  </si>
  <si>
    <t>Risk owner</t>
  </si>
  <si>
    <t>Due date</t>
  </si>
  <si>
    <t>Source question</t>
  </si>
  <si>
    <t>Selected crisis multiplier</t>
  </si>
  <si>
    <t>Scenario-adjusted risk score</t>
  </si>
  <si>
    <t>Scenario-adjusted WSJF</t>
  </si>
  <si>
    <t>Scenario rationale</t>
  </si>
  <si>
    <t>Scenario mitigation theme</t>
  </si>
  <si>
    <t>Mapped initiative ID</t>
  </si>
  <si>
    <t>Mapped initiative</t>
  </si>
  <si>
    <t>Initiative WSJF</t>
  </si>
  <si>
    <t>Initiative roadmap wave</t>
  </si>
  <si>
    <t>Industry-adjusted risk score</t>
  </si>
  <si>
    <t>(superseded — use Final priority)</t>
  </si>
  <si>
    <t>Velocity factor</t>
  </si>
  <si>
    <t>Velocity-adjusted WSJF</t>
  </si>
  <si>
    <t>Annual probability</t>
  </si>
  <si>
    <t>Expected impact (EUR k/yr)</t>
  </si>
  <si>
    <t>ALE (EUR k/yr)</t>
  </si>
  <si>
    <t>Scenario-adjusted ALE</t>
  </si>
  <si>
    <t>P1 Exposure 1-5</t>
  </si>
  <si>
    <t>P1 Incident history 0-5</t>
  </si>
  <si>
    <t>P1 Evidence uncertainty 1-5</t>
  </si>
  <si>
    <t>P1 Dependency/Cascade score 1-5</t>
  </si>
  <si>
    <t>P1 Red-line flag</t>
  </si>
  <si>
    <t>P1 Red-line impact floor</t>
  </si>
  <si>
    <t>P1 Probability v2</t>
  </si>
  <si>
    <t>P1 Impact v2</t>
  </si>
  <si>
    <t>P1 Risk score v2</t>
  </si>
  <si>
    <t>P1 scenario/industry/velocity-adjusted risk score</t>
  </si>
  <si>
    <t>Risk ontology ID</t>
  </si>
  <si>
    <t>Risk event ID</t>
  </si>
  <si>
    <t>Ontology active flag</t>
  </si>
  <si>
    <t>_ENGINE_Crisis — Consolidated Crisis, Dependency &amp; Cascade Engine</t>
  </si>
  <si>
    <t>Current v2.6 consolidated crisis engine. Rows 1–208 contain crisis model logic; rows 250+ contain dependency/cascade/link logic.</t>
  </si>
  <si>
    <t>Scenario</t>
  </si>
  <si>
    <t>Base multiplier</t>
  </si>
  <si>
    <t>Severity-adjusted multiplier</t>
  </si>
  <si>
    <t>Priority emphasis</t>
  </si>
  <si>
    <t>Mitigation theme</t>
  </si>
  <si>
    <t>Most relevant standards</t>
  </si>
  <si>
    <t>Key</t>
  </si>
  <si>
    <t>Coupling to selected primary</t>
  </si>
  <si>
    <t>Geographic concentration, legal entity exposure and site dependency can amplify crisis impact.</t>
  </si>
  <si>
    <t>Secondary focus under this crisis scenario</t>
  </si>
  <si>
    <t>Map entities, locations, markets, revenue exposure and alternate operating options.</t>
  </si>
  <si>
    <t>ISO 22301; ISO 31000; ISO 9001; ISO 37000; PESTLE</t>
  </si>
  <si>
    <t>Multiplier is increased/decreased by severity: severity 3 = base; severity 5 = +30%; severity 1 = -30%.</t>
  </si>
  <si>
    <t>Market positioning, ICP clarity and offer structure determine whether the company can adapt revenue during crisis.</t>
  </si>
  <si>
    <t>Monitor; not a primary scenario driver</t>
  </si>
  <si>
    <t>Stress-test ICP, offering, pricing, channels and market focus under the selected crisis.</t>
  </si>
  <si>
    <t>Business Model Canvas; Porter; Bain Elements of Value; ISO 9001</t>
  </si>
  <si>
    <t>Decision rights, escalation and crisis governance determine response speed under pressure.</t>
  </si>
  <si>
    <t>Define crisis roles, escalation path, decision cadence and management war room routines.</t>
  </si>
  <si>
    <t>ISO 22301; ISO 31000; ISO 37000; Bain RAPID</t>
  </si>
  <si>
    <t>Workforce availability, critical people and knowledge continuity determine operational capacity.</t>
  </si>
  <si>
    <t>Primary focus under this crisis scenario</t>
  </si>
  <si>
    <t>Create critical role backups, knowledge transfer, cross-training and workforce continuity plans.</t>
  </si>
  <si>
    <t>ISO 30414; ISO 30405; ISO 45001; workforce planning</t>
  </si>
  <si>
    <t>Cash control, supplier payments and procurement discipline determine financial survival and response options.</t>
  </si>
  <si>
    <t>Build cash stress testing, payment prioritization, supplier risk review and procurement controls.</t>
  </si>
  <si>
    <t>COSO; ISO 20400; ISO 31000; IFRS</t>
  </si>
  <si>
    <t>Contracts, obligations and compliance exposure can turn operational crisis into legal or regulatory failure.</t>
  </si>
  <si>
    <t>Review critical contracts, compliance obligations, force majeure, data protection and legal continuity.</t>
  </si>
  <si>
    <t>ISO 37301; ISO 31000; GDPR; ISO 27701</t>
  </si>
  <si>
    <t>Employee safety, access control, evacuation and facilities resilience are direct crisis constraints.</t>
  </si>
  <si>
    <t>Implement evacuation, access control, emergency response, site security and travel-risk procedures.</t>
  </si>
  <si>
    <t>ISO 45001; ISO 22320; ISO 31030; ISO 22301</t>
  </si>
  <si>
    <t>Delivery capacity, SLA control and operational handover determine customer continuity.</t>
  </si>
  <si>
    <t>Define alternative delivery models, capacity buffers, SLA triage and incident recovery procedures.</t>
  </si>
  <si>
    <t>ISO 9001; ISO 22301; ITIL; SLA management</t>
  </si>
  <si>
    <t>Supplier concentration, logistics and inventory visibility determine production and delivery continuity.</t>
  </si>
  <si>
    <t>Diversify suppliers, define safety stock, alternate routes, supplier monitoring and substitution rules.</t>
  </si>
  <si>
    <t>SCOR; ISO 28000; ISO 20400; ISO 22301</t>
  </si>
  <si>
    <t>Production assets, MES, maintenance and utilities determine manufacturing recoverability.</t>
  </si>
  <si>
    <t>Define production fallback, maintenance priorities, spare parts, MES continuity and utility backup.</t>
  </si>
  <si>
    <t>ISA-95; ISO 9001; TPM; IEC 62443; ISO 22301</t>
  </si>
  <si>
    <t>CRM discipline, pipeline visibility and retention actions determine revenue protection.</t>
  </si>
  <si>
    <t>Improve CRM hygiene, retention playbooks, pipeline scenarios and customer segmentation.</t>
  </si>
  <si>
    <t>CRM best practices; ISO 10002; ISO 10004; revenue operations</t>
  </si>
  <si>
    <t>Customer communication and reputation control determine trust during uncertainty.</t>
  </si>
  <si>
    <t>Prepare crisis messages, customer notification templates, comms approval flow and brand monitoring.</t>
  </si>
  <si>
    <t>ISO 10002; ISO 10004; crisis communication practices</t>
  </si>
  <si>
    <t>Cloud, infrastructure, backups, RTO and RPO determine system recoverability.</t>
  </si>
  <si>
    <t>Implement tested backups, DR runbooks, failover, cloud landing zones and RTO/RPO monitoring.</t>
  </si>
  <si>
    <t>ISO 27001; NIST CSF; NIST SP 800-34; ISO 20000</t>
  </si>
  <si>
    <t>ERP, CRM, HRMS, MES and SaaS continuity determine transaction and process continuity.</t>
  </si>
  <si>
    <t>Document system dependencies, SaaS continuity, role access, data exports and manual fallback.</t>
  </si>
  <si>
    <t>COBIT; ITIL; ISO 20000; ERP/CRM/MES governance</t>
  </si>
  <si>
    <t>Data quality, BI and analytics determine decision visibility and forecasting under stress.</t>
  </si>
  <si>
    <t>Assign data owners, improve data quality, dashboards, forecasting and AI governance.</t>
  </si>
  <si>
    <t>DAMA-DMBOK; ISO 42001; ISO 23894; data governance</t>
  </si>
  <si>
    <t>Cybersecurity and privacy controls determine resistance to digital disruption and regulatory exposure.</t>
  </si>
  <si>
    <t>Strengthen MFA, EDR, logging, IR playbooks, restore testing, privacy controls and awareness.</t>
  </si>
  <si>
    <t>ISO 27001; NIST CSF; CIS Controls; ISO 27701; GDPR</t>
  </si>
  <si>
    <t>Portfolio discipline and benefits realization determine whether scarce resources are focused on the right actions.</t>
  </si>
  <si>
    <t>Prioritize crisis initiatives by value, risk reduction, dependencies and implementation waves.</t>
  </si>
  <si>
    <t>ISO 9001; PMI; ISO 21502; benefits realization; APQC</t>
  </si>
  <si>
    <t>Site and regional concentration determines exposure to floods, storms, heat and other physical climate events.</t>
  </si>
  <si>
    <t>Harden sites, define evacuation and emergency response, alternate logistics and capacity, test DR and remote operations.</t>
  </si>
  <si>
    <t>ISO 22301; ISO 14090; ISO 45001; ISO 31000; TCFD</t>
  </si>
  <si>
    <t>Market positioning is indirectly affected through demand and cost shifts.</t>
  </si>
  <si>
    <t>Monitor exposure; ensure communication plans and reprioritization readiness.</t>
  </si>
  <si>
    <t>Emergency decision-making and crisis governance determine response speed to physical events.</t>
  </si>
  <si>
    <t>Review insurance, contingency funding, crisis governance and workforce safety procedures for physical events.</t>
  </si>
  <si>
    <t>Employee safety, absenteeism and site access drive workforce availability during climate events.</t>
  </si>
  <si>
    <t>Insurance coverage, contingency funds and supplier payments are stressed by physical damage.</t>
  </si>
  <si>
    <t>Force majeure, insurance claims and contractual SLA exposure arise from physical disruption.</t>
  </si>
  <si>
    <t>Evacuation, site protection and employee safety are the first line of impact in natural disasters.</t>
  </si>
  <si>
    <t>Delivery capacity and SLA continuity depend on site and logistics availability.</t>
  </si>
  <si>
    <t>Logistics routes, supplier sites and inventory are directly exposed to physical climate events.</t>
  </si>
  <si>
    <t>Production assets, utilities and maintenance are vulnerable to flooding, storms and temperature extremes.</t>
  </si>
  <si>
    <t>Revenue impact is indirect via delivery capability and regional demand.</t>
  </si>
  <si>
    <t>Customer communication and expectation management matter during regional disruption.</t>
  </si>
  <si>
    <t>Data center / site loss and connectivity outages require tested DR and failover.</t>
  </si>
  <si>
    <t>Core systems continuity depends on hosting model and DR readiness.</t>
  </si>
  <si>
    <t>Analytics continuity is indirectly affected via infrastructure.</t>
  </si>
  <si>
    <t>Cyber exposure largely independent of physical climate events.</t>
  </si>
  <si>
    <t>Portfolio discipline determines reprioritization speed after a physical event.</t>
  </si>
  <si>
    <t>Cascade Calculation Engine (do not edit – formula-driven)</t>
  </si>
  <si>
    <t>Cross-Domain Dependency Matrix (EDITABLE)</t>
  </si>
  <si>
    <t>Reads existing domain scores via the Dashboard and domain tabs. Tune behaviour in _ENGINE_Dependency_Map.</t>
  </si>
  <si>
    <t>M[row source -&gt; col target] = fraction of the source domain's risk that propagates to the target. 0 = independent, 1 = full propagation. Diagonal = 0. Tune these to the client; pre-filled with defaults.</t>
  </si>
  <si>
    <t>Source \ Target</t>
  </si>
  <si>
    <t>Outbound (amplifier)</t>
  </si>
  <si>
    <t>Base maturity</t>
  </si>
  <si>
    <t>Weakest control</t>
  </si>
  <si>
    <t>Adj maturity (weak-link)</t>
  </si>
  <si>
    <t>Red-line min</t>
  </si>
  <si>
    <t>Red-line breach</t>
  </si>
  <si>
    <t>Gated maturity</t>
  </si>
  <si>
    <t>SPOF factor</t>
  </si>
  <si>
    <t>Own risk</t>
  </si>
  <si>
    <t>SPOF risk</t>
  </si>
  <si>
    <t>Raw inbound</t>
  </si>
  <si>
    <t>Cascade risk +</t>
  </si>
  <si>
    <t>Eff risk(num)</t>
  </si>
  <si>
    <t>Eff risk</t>
  </si>
  <si>
    <t>Eff risk level</t>
  </si>
  <si>
    <t>Scen direct x</t>
  </si>
  <si>
    <t>Scen excess</t>
  </si>
  <si>
    <t>Scen raw inbound</t>
  </si>
  <si>
    <t>Scen factor</t>
  </si>
  <si>
    <t>Scen exp(num)</t>
  </si>
  <si>
    <t>Scen exposure</t>
  </si>
  <si>
    <t>Scen exp level</t>
  </si>
  <si>
    <t>Eff maturity</t>
  </si>
  <si>
    <t>Scen rank</t>
  </si>
  <si>
    <t>Inbound (exposed)</t>
  </si>
  <si>
    <t>Org base maturity (0-5)</t>
  </si>
  <si>
    <t>Org weak-link maturity avg</t>
  </si>
  <si>
    <t>Org weakest domain (min gated)</t>
  </si>
  <si>
    <t>PARAMETERS (editable)</t>
  </si>
  <si>
    <t>LOOKUP TABLES (band -&gt; SPOF factor)</t>
  </si>
  <si>
    <t>Org effective resilience</t>
  </si>
  <si>
    <t>Parameter</t>
  </si>
  <si>
    <t>Concentration band</t>
  </si>
  <si>
    <t>Factor</t>
  </si>
  <si>
    <t>Workforce share band</t>
  </si>
  <si>
    <t>Peak effective risk</t>
  </si>
  <si>
    <t>alpha_weaklink</t>
  </si>
  <si>
    <t>Weak-link blend: effective maturity = a*avg + (1-a)*weakest control</t>
  </si>
  <si>
    <t>&lt;10%</t>
  </si>
  <si>
    <t>&lt;25%</t>
  </si>
  <si>
    <t>Multiple qualified alternatives</t>
  </si>
  <si>
    <t># Critical risk domains</t>
  </si>
  <si>
    <t>beta_cascade</t>
  </si>
  <si>
    <t>Cascade gain: inbound risk added = beta * sum(coupling * source risk)</t>
  </si>
  <si>
    <t>10-25%</t>
  </si>
  <si>
    <t>25-50%</t>
  </si>
  <si>
    <t>Some alternatives identified</t>
  </si>
  <si>
    <t># High risk domains</t>
  </si>
  <si>
    <t>gamma_scenario</t>
  </si>
  <si>
    <t>Scenario chain gain on neighbours' direct hits</t>
  </si>
  <si>
    <t>50-75%</t>
  </si>
  <si>
    <t>Partial alternatives exist</t>
  </si>
  <si>
    <t>Peak scenario exposure</t>
  </si>
  <si>
    <t>redline_threshold</t>
  </si>
  <si>
    <t>If a red-line control scores BELOW this, the domain is gated</t>
  </si>
  <si>
    <t>&gt;75%</t>
  </si>
  <si>
    <t>Single-source dependency</t>
  </si>
  <si>
    <t>Top exposed domain (scenario)</t>
  </si>
  <si>
    <t>redline_cap</t>
  </si>
  <si>
    <t>Maturity ceiling applied to a gated domain</t>
  </si>
  <si>
    <t>Not applicable</t>
  </si>
  <si>
    <t>No supplier mapping</t>
  </si>
  <si>
    <t>Top amplifier (outbound)</t>
  </si>
  <si>
    <t>spof_cap</t>
  </si>
  <si>
    <t>Max extra single-point-of-failure factor (so SPOF mult &lt;= 1+cap)</t>
  </si>
  <si>
    <t>Unknown</t>
  </si>
  <si>
    <t>org_alpha</t>
  </si>
  <si>
    <t>Org resilience blend: a*avg(maturity) + (1-a)*weakest domain</t>
  </si>
  <si>
    <t>scen_factor_cap</t>
  </si>
  <si>
    <t>Max scenario uplift multiplier on effective risk</t>
  </si>
  <si>
    <t>Crisis-to-Crisis Coupling Matrix (hidden technical sheet)</t>
  </si>
  <si>
    <t>Row = primary crisis selected in Crisis Simulator; column = secondary crisis it tends to induce. Weight 0-1 = coupling strength. Effective domain multiplier = primary multiplier + kappa * SUM(coupling * max(0, secondary multiplier - 1)), capped. Defaults are expert judgment - calibrate per industry/geography.</t>
  </si>
  <si>
    <t>Primary \ Secondary</t>
  </si>
  <si>
    <t>kappa (secondary contribution)</t>
  </si>
  <si>
    <t>Multiplier cap</t>
  </si>
  <si>
    <t>Coupling of selected primary -&gt;</t>
  </si>
  <si>
    <t>v2.4 crisis/fuzzy staging helper</t>
  </si>
  <si>
    <t>Technical Strategy Recommendation Library</t>
  </si>
  <si>
    <t>Internal logic: strategies are scored by crisis fit, domain gaps, active risks and horizontal metric gaps. Used by Strategy Selection.</t>
  </si>
  <si>
    <t>Recommended when</t>
  </si>
  <si>
    <t>Typical outcome</t>
  </si>
  <si>
    <t>Priority initiative themes</t>
  </si>
  <si>
    <t>Default timeline</t>
  </si>
  <si>
    <t>Base importance</t>
  </si>
  <si>
    <t>Digital focus weight</t>
  </si>
  <si>
    <t>Resilience focus weight</t>
  </si>
  <si>
    <t>Process focus weight</t>
  </si>
  <si>
    <t>Trigger domains</t>
  </si>
  <si>
    <t>Establish basic digital tools, ownership, workflows, reporting and system governance.</t>
  </si>
  <si>
    <t>Low process maturity and weak digital foundations across core business functions.</t>
  </si>
  <si>
    <t>Basic tools, process ownership, reporting and control are established.</t>
  </si>
  <si>
    <t>Process ownership, workflow tools, baseline systems, master data, reporting discipline.</t>
  </si>
  <si>
    <t>COO / CIO</t>
  </si>
  <si>
    <t>0-6 months</t>
  </si>
  <si>
    <t>Tool adoption; process coverage; manual work reduction; report cycle time</t>
  </si>
  <si>
    <t>Business Systems; Data BI AI; IT Cloud DR</t>
  </si>
  <si>
    <t>Build continuity governance, BIA, recovery priorities, crisis roles, exercises and recovery playbooks.</t>
  </si>
  <si>
    <t>High disruption exposure, low continuity readiness, weak crisis governance or unclear recovery priorities.</t>
  </si>
  <si>
    <t>Critical operations can continue or recover faster under crisis conditions.</t>
  </si>
  <si>
    <t>BIA, BCP, crisis governance, RTO/RPO alignment, tabletop exercises, recovery playbooks.</t>
  </si>
  <si>
    <t>BIA coverage; tested recovery plans; RTO achievement; crisis exercise completion</t>
  </si>
  <si>
    <t>Governance Crisis; Physical Safety; Delivery Ops; IT Cloud DR; Supply Chain; HR Workforce</t>
  </si>
  <si>
    <t>Reduce dependency on fragile infrastructure through cloud architecture, DR, backup, failover and remote access readiness.</t>
  </si>
  <si>
    <t>Physical infrastructure, cloud, SaaS, backup, RTO/RPO or remote access weaknesses create material continuity risk.</t>
  </si>
  <si>
    <t>Infrastructure risk, recovery time and data loss exposure are reduced.</t>
  </si>
  <si>
    <t>Cloud landing zone, backup modernization, restore tests, DR runbooks, failover, identity resilience.</t>
  </si>
  <si>
    <t>CIO / CTO</t>
  </si>
  <si>
    <t>0-9 months</t>
  </si>
  <si>
    <t>RTO/RPO achieved; restore test success; backup coverage; cloud resilience score</t>
  </si>
  <si>
    <t>IT Cloud DR; Business Systems; Cyber Privacy</t>
  </si>
  <si>
    <t>Strengthen cybersecurity controls, incident response, monitoring, identity protection, backup recovery and security awareness.</t>
  </si>
  <si>
    <t>Cyber, ransomware, privacy, access, monitoring or incident response immaturity creates high business risk.</t>
  </si>
  <si>
    <t>Probability and impact of cyber disruption are reduced and response speed increases.</t>
  </si>
  <si>
    <t>MFA, EDR, SIEM/logging, IR playbook, ransomware tabletop, backup isolation, awareness.</t>
  </si>
  <si>
    <t>CISO / CIO</t>
  </si>
  <si>
    <t>MFA coverage; critical vulnerabilities; MTTD/MTTR; phishing failure rate; restore success</t>
  </si>
  <si>
    <t>Cyber Privacy; IT Cloud DR; Business Systems</t>
  </si>
  <si>
    <t>Create data ownership, quality rules, BI governance, analytics discipline and responsible AI controls.</t>
  </si>
  <si>
    <t>Data quality, ownership, reporting, BI or AI governance is weak.</t>
  </si>
  <si>
    <t>Reliable data foundation for analytics, forecasting, AI and executive decisions.</t>
  </si>
  <si>
    <t>Data owners, data catalog, BI standards, data quality rules, AI governance, decision dashboards.</t>
  </si>
  <si>
    <t>CDO / CIO / CFO</t>
  </si>
  <si>
    <t>3-12 months</t>
  </si>
  <si>
    <t>Data owner coverage; data quality score; BI adoption; forecast accuracy; AI use-case governance</t>
  </si>
  <si>
    <t>Data BI AI; Business Systems</t>
  </si>
  <si>
    <t>Reduce critical people risk through succession, cross-training, knowledge management, staffing flexibility and wellbeing controls.</t>
  </si>
  <si>
    <t>The company depends on critical people, lacks backup roles or faces workforce availability disruption.</t>
  </si>
  <si>
    <t>Knowledge, productivity and continuity of critical roles improve.</t>
  </si>
  <si>
    <t>Critical role matrix, succession, backup teams, knowledge base, cross-training, remote work readiness.</t>
  </si>
  <si>
    <t>CHRO / COO</t>
  </si>
  <si>
    <t>Critical roles with backups; cross-training coverage; attrition risk; onboarding time; knowledge coverage</t>
  </si>
  <si>
    <t>Improve process control, reduce manual effort, automate repetitive work and strengthen KPIs and ownership.</t>
  </si>
  <si>
    <t>Processes are manual, slow, costly, fragmented or weakly measured.</t>
  </si>
  <si>
    <t>Cost-to-serve decreases and execution reliability improves.</t>
  </si>
  <si>
    <t>Process mapping, KPI cadence, automation, workflow redesign, standard work, performance management.</t>
  </si>
  <si>
    <t>Cycle time; automation rate; defect rate; productivity; process owner coverage</t>
  </si>
  <si>
    <t>Delivery Ops; Manufacturing MES; Business Systems; Quality Portfolio</t>
  </si>
  <si>
    <t>Strengthen supplier diversification, logistics alternatives, inventory visibility, delivery governance and supplier monitoring.</t>
  </si>
  <si>
    <t>Supply, logistics or delivery dependencies create material disruption risk.</t>
  </si>
  <si>
    <t>Alternative suppliers, locations and delivery models are strengthened.</t>
  </si>
  <si>
    <t>Supplier map, dual sourcing, inventory visibility, route alternatives, SLA triage, delivery fallback.</t>
  </si>
  <si>
    <t>COO / Procurement Lead</t>
  </si>
  <si>
    <t>Critical suppliers with alternatives; OTIF; safety stock coverage; route alternatives; supplier risk score</t>
  </si>
  <si>
    <t>Supply Chain; Delivery Ops; Manufacturing MES</t>
  </si>
  <si>
    <t>Improve production continuity, MES visibility, asset maintenance, spare parts, utilities backup and production recovery procedures.</t>
  </si>
  <si>
    <t>Manufacturing continuity, MES, maintenance or utility dependencies create operational risk.</t>
  </si>
  <si>
    <t>Production visibility, recoverability and operational control improve.</t>
  </si>
  <si>
    <t>MES continuity, OEE visibility, maintenance planning, spare parts, utility backup, production recovery sequence.</t>
  </si>
  <si>
    <t>Plant Manager / COO</t>
  </si>
  <si>
    <t>OEE; unplanned downtime; MES availability; spare parts coverage; production recovery time</t>
  </si>
  <si>
    <t>Manufacturing MES; Physical Safety; Supply Chain</t>
  </si>
  <si>
    <t>Protect people, sites and physical assets through safety controls, emergency response, access management and alternate-site planning.</t>
  </si>
  <si>
    <t>Employee safety, facility, access, emergency response or site loss risks are material.</t>
  </si>
  <si>
    <t>People safety and site continuity are strengthened under physical disruption.</t>
  </si>
  <si>
    <t>Site risk assessment, evacuation, emergency roles, access control, travel risk, alternate site, security providers.</t>
  </si>
  <si>
    <t>Drill completion; incident rate; access review coverage; evacuation readiness; site risk actions closed</t>
  </si>
  <si>
    <t>Reduce revenue dependency through digital channels, new markets, CRM discipline, partner channels and offer packaging.</t>
  </si>
  <si>
    <t>Revenue depends on one region, customer segment, physical channel or narrow customer base.</t>
  </si>
  <si>
    <t>Revenue risk is reduced through digital channels and diversified markets.</t>
  </si>
  <si>
    <t>ICP validation, channel mix, ecommerce/digital sales, partner channels, pricing, market diversification.</t>
  </si>
  <si>
    <t>CRO / CMO</t>
  </si>
  <si>
    <t>Pipeline diversification; channel revenue mix; win rate; customer concentration; digital lead share</t>
  </si>
  <si>
    <t>Strategy GTM; Sales CRM; Marketing Comms</t>
  </si>
  <si>
    <t>Protect existing revenue through churn analytics, account risk monitoring, customer communication and recovery offers.</t>
  </si>
  <si>
    <t>Churn, revenue concentration, weak account visibility or poor customer analytics exist.</t>
  </si>
  <si>
    <t>Customer retention, revenue visibility and forecasting improve.</t>
  </si>
  <si>
    <t>Customer health score, churn playbooks, account coverage, retention offers, comms scripts, revenue risk dashboard.</t>
  </si>
  <si>
    <t>CRO / Customer Success Lead</t>
  </si>
  <si>
    <t>Churn rate; retention rate; revenue at risk; account coverage; forecast accuracy</t>
  </si>
  <si>
    <t>Sales CRM; Marketing Comms; Strategy GTM</t>
  </si>
  <si>
    <t>Strengthen compliance obligations, risk register, control testing, data protection, contract controls and regulatory monitoring.</t>
  </si>
  <si>
    <t>Regulatory exposure is high or compliance, risk, contract or privacy controls are weak.</t>
  </si>
  <si>
    <t>Compliance risk is reduced and controls become auditable.</t>
  </si>
  <si>
    <t>Obligation register, risk register, compliance calendar, policy automation, audit trail, contract controls.</t>
  </si>
  <si>
    <t>Obligations mapped; control tests; audit findings; policy exceptions; risk register completeness</t>
  </si>
  <si>
    <t>Legal Risk; Cyber Privacy; Governance Crisis</t>
  </si>
  <si>
    <t>Clarify decision rights, crisis roles, portfolio governance, management cadence and cross-functional escalation.</t>
  </si>
  <si>
    <t>Slow decisions, unclear ownership, weak prioritization or fragmented management practices reduce crisis response speed.</t>
  </si>
  <si>
    <t>Management decisions become faster, clearer and better aligned to risk and value.</t>
  </si>
  <si>
    <t>RACI, decision rights, RAPID, crisis board, portfolio steering, KPI cadence, escalation triggers.</t>
  </si>
  <si>
    <t>CEO / COO</t>
  </si>
  <si>
    <t>0-3 months</t>
  </si>
  <si>
    <t>Decision cycle time; owner coverage; escalation SLA; portfolio focus; action closure rate</t>
  </si>
  <si>
    <t>Governance Crisis; Quality Portfolio</t>
  </si>
  <si>
    <t>Strategy Scoring Engine — v2.6</t>
  </si>
  <si>
    <t>Refactored strategy scoring output formerly staged in Risk &amp; Recommendations. Used by initiative WSJF and action plan.</t>
  </si>
  <si>
    <t>Supporting strategy 2</t>
  </si>
  <si>
    <t>Scenario fit 0-5</t>
  </si>
  <si>
    <t>Domain gap fit 0-5</t>
  </si>
  <si>
    <t>Risk fit 0-5</t>
  </si>
  <si>
    <t>Digital gap fit</t>
  </si>
  <si>
    <t>Resilience gap fit</t>
  </si>
  <si>
    <t>Process gap fit</t>
  </si>
  <si>
    <t>Total strategy score</t>
  </si>
  <si>
    <t>Confidence</t>
  </si>
  <si>
    <t>Role</t>
  </si>
  <si>
    <t>Trigger rationale</t>
  </si>
  <si>
    <t>Linked initiatives</t>
  </si>
  <si>
    <t>Avg initiative WSJF</t>
  </si>
  <si>
    <t>Industry fit 0-5</t>
  </si>
  <si>
    <t>Industry-adjusted total score</t>
  </si>
  <si>
    <t>_REF_Model_Content — Consolidated Reference &amp; Content Layer</t>
  </si>
  <si>
    <t>Current v2.6 consolidated reference/content layer. Rows 1–157: industry templates; 300–429: industry-strategy fit; 500–518: strategy packages; 700–737: benchmark/reference data.</t>
  </si>
  <si>
    <t>Industry template</t>
  </si>
  <si>
    <t>Domain weight 1-5</t>
  </si>
  <si>
    <t>Target maturity 0-5</t>
  </si>
  <si>
    <t>Criticality multiplier</t>
  </si>
  <si>
    <t>Minimum viable threshold</t>
  </si>
  <si>
    <t>Crisis exposure profile</t>
  </si>
  <si>
    <t>Initiative multiplier</t>
  </si>
  <si>
    <t>Evidence expectations</t>
  </si>
  <si>
    <t>Preferred strategies</t>
  </si>
  <si>
    <t>Industry dropdown list</t>
  </si>
  <si>
    <t>IT Services</t>
  </si>
  <si>
    <t>CRM; HRMS; project/portfolio tools; time tracking; knowledge base; finance system; cloud collaboration; IAM; BI dashboards</t>
  </si>
  <si>
    <t>critical role backups; secure remote work; MFA; delivery continuity; project knowledge base; customer communication path</t>
  </si>
  <si>
    <t>High confidence requires documented owner, current evidence, recent KPI/report and crisis-tested procedure for material domains.</t>
  </si>
  <si>
    <t>Workforce Resilience Strategy; Digital Foundation Strategy; Business Continuity and Resilience Strategy</t>
  </si>
  <si>
    <t>SaaS / Digital Product</t>
  </si>
  <si>
    <t>Manufacturing</t>
  </si>
  <si>
    <t>Retail / Ecommerce</t>
  </si>
  <si>
    <t>Logistics / Distribution</t>
  </si>
  <si>
    <t>Healthcare / Pharma</t>
  </si>
  <si>
    <t>Energy / Utilities</t>
  </si>
  <si>
    <t>Professional Services</t>
  </si>
  <si>
    <t>Public Sector / Regulated Organization</t>
  </si>
  <si>
    <t>Cloud platform; CI/CD; monitoring; IAM; billing; CRM; support system; data warehouse; product analytics; backup/DR</t>
  </si>
  <si>
    <t>MFA; tested backups; DR runbook; monitoring; incident response; data privacy; customer status communication</t>
  </si>
  <si>
    <t>Cloud and Infrastructure Resilience Strategy; Cyber Resilience Strategy; Data Governance and AI Readiness Strategy</t>
  </si>
  <si>
    <t>ERP; MES; WMS; QMS; maintenance system; SCADA/PLC data; supplier portal; BI; HRMS; backup/DR</t>
  </si>
  <si>
    <t>safety procedures; emergency response; MES/ERP backup; supplier alternatives; spare parts visibility; energy backup; restart procedures</t>
  </si>
  <si>
    <t>Supply Chain and Delivery Resilience Strategy; Operational Excellence and Automation Strategy; Business Continuity and Resilience Strategy</t>
  </si>
  <si>
    <t>POS; ecommerce platform; CRM/loyalty; payment gateway; ERP; WMS; marketing automation; BI; customer support</t>
  </si>
  <si>
    <t>payment security; POS/ecommerce continuity; inventory visibility; CRM/customer communication; data privacy; supplier alternatives</t>
  </si>
  <si>
    <t>Sales Channel Diversification Strategy; Customer Retention and Revenue Protection Strategy; Cyber Resilience Strategy</t>
  </si>
  <si>
    <t>TMS; WMS; route optimization; GPS/fleet management; ERP; customer portal; fuel/procurement systems; BI</t>
  </si>
  <si>
    <t>fleet/warehouse visibility; route disruption plan; carrier alternatives; fuel continuity; driver availability; customer notification</t>
  </si>
  <si>
    <t>EHR/EMR; LIMS; QMS; ERP; privacy/security tooling; validated systems; incident reporting; BI; backup/DR</t>
  </si>
  <si>
    <t>data privacy; regulatory compliance; validated systems; incident reporting; quality documentation; continuity of critical patient/product processes</t>
  </si>
  <si>
    <t>Compliance and Risk Control Strategy; Cyber Resilience Strategy; Data Governance and AI Readiness Strategy</t>
  </si>
  <si>
    <t>SCADA/OT; ERP; maintenance systems; outage management; GIS; customer billing; cyber monitoring; backup/DR</t>
  </si>
  <si>
    <t>OT cyber controls; emergency response; physical safety; outage response; backup communications; critical spares; regulatory reporting</t>
  </si>
  <si>
    <t>Business Continuity and Resilience Strategy; Cyber Resilience Strategy; Cloud and Infrastructure Resilience Strategy</t>
  </si>
  <si>
    <t>CRM; HRMS; project tools; document management; knowledge base; finance system; BI; cloud collaboration; IAM</t>
  </si>
  <si>
    <t>critical people backup; customer continuity; document security; secure remote work; CRM discipline; knowledge management</t>
  </si>
  <si>
    <t>Workforce Resilience Strategy; Customer Retention and Revenue Protection Strategy; Digital Foundation Strategy</t>
  </si>
  <si>
    <t>ERP; case management; citizen/customer portal; document management; IAM; cyber monitoring; BI; backup/DR; compliance systems</t>
  </si>
  <si>
    <t>compliance controls; data protection; continuity of essential services; audit trail; incident response; citizen communication</t>
  </si>
  <si>
    <t>Compliance and Risk Control Strategy; Business Continuity and Resilience Strategy; Cyber Resilience Strategy</t>
  </si>
  <si>
    <t>Financial Services / Banking</t>
  </si>
  <si>
    <t>Technical Industry Strategy Fit</t>
  </si>
  <si>
    <t>Hidden logic sheet. Fit scores are used to adjust Strategy Selection rankings by selected industry.</t>
  </si>
  <si>
    <t>Fit score 0-5</t>
  </si>
  <si>
    <t>Digital Foundation Strategy receives a fit score of 4.5 for IT Services based on typical operating model, critical systems, crisis exposure and value-protection logic.</t>
  </si>
  <si>
    <t>Business Continuity and Resilience Strategy receives a fit score of 4.5 for IT Services based on typical operating model, critical systems, crisis exposure and value-protection logic.</t>
  </si>
  <si>
    <t>Cloud and Infrastructure Resilience Strategy receives a fit score of 3 for IT Services based on typical operating model, critical systems, crisis exposure and value-protection logic.</t>
  </si>
  <si>
    <t>Cyber Resilience Strategy receives a fit score of 3 for IT Services based on typical operating model, critical systems, crisis exposure and value-protection logic.</t>
  </si>
  <si>
    <t>Data Governance and AI Readiness Strategy receives a fit score of 3 for IT Services based on typical operating model, critical systems, crisis exposure and value-protection logic.</t>
  </si>
  <si>
    <t>Workforce Resilience Strategy receives a fit score of 5 for IT Services based on typical operating model, critical systems, crisis exposure and value-protection logic.</t>
  </si>
  <si>
    <t>Operational Excellence and Automation Strategy receives a fit score of 4 for IT Services based on typical operating model, critical systems, crisis exposure and value-protection logic.</t>
  </si>
  <si>
    <t>Supply Chain and Delivery Resilience Strategy receives a fit score of 3 for IT Services based on typical operating model, critical systems, crisis exposure and value-protection logic.</t>
  </si>
  <si>
    <t>Manufacturing Continuity and MES Strategy receives a fit score of 3 for IT Services based on typical operating model, critical systems, crisis exposure and value-protection logic.</t>
  </si>
  <si>
    <t>Physical Safety and Site Resilience Strategy receives a fit score of 4 for IT Services based on typical operating model, critical systems, crisis exposure and value-protection logic.</t>
  </si>
  <si>
    <t>Sales Channel Diversification Strategy receives a fit score of 3 for IT Services based on typical operating model, critical systems, crisis exposure and value-protection logic.</t>
  </si>
  <si>
    <t>Customer Retention and Revenue Protection Strategy receives a fit score of 3 for IT Services based on typical operating model, critical systems, crisis exposure and value-protection logic.</t>
  </si>
  <si>
    <t>Compliance and Risk Control Strategy receives a fit score of 3 for IT Services based on typical operating model, critical systems, crisis exposure and value-protection logic.</t>
  </si>
  <si>
    <t>Governance and Decision-Speed Strategy receives a fit score of 3 for IT Services based on typical operating model, critical systems, crisis exposure and value-protection logic.</t>
  </si>
  <si>
    <t>Digital Foundation Strategy receives a fit score of 3 for SaaS / Digital Product based on typical operating model, critical systems, crisis exposure and value-protection logic.</t>
  </si>
  <si>
    <t>Business Continuity and Resilience Strategy receives a fit score of 3 for SaaS / Digital Product based on typical operating model, critical systems, crisis exposure and value-protection logic.</t>
  </si>
  <si>
    <t>Cloud and Infrastructure Resilience Strategy receives a fit score of 5 for SaaS / Digital Product based on typical operating model, critical systems, crisis exposure and value-protection logic.</t>
  </si>
  <si>
    <t>Cyber Resilience Strategy receives a fit score of 5 for SaaS / Digital Product based on typical operating model, critical systems, crisis exposure and value-protection logic.</t>
  </si>
  <si>
    <t>Data Governance and AI Readiness Strategy receives a fit score of 4.5 for SaaS / Digital Product based on typical operating model, critical systems, crisis exposure and value-protection logic.</t>
  </si>
  <si>
    <t>Workforce Resilience Strategy receives a fit score of 3 for SaaS / Digital Product based on typical operating model, critical systems, crisis exposure and value-protection logic.</t>
  </si>
  <si>
    <t>Operational Excellence and Automation Strategy receives a fit score of 3 for SaaS / Digital Product based on typical operating model, critical systems, crisis exposure and value-protection logic.</t>
  </si>
  <si>
    <t>Supply Chain and Delivery Resilience Strategy receives a fit score of 3 for SaaS / Digital Product based on typical operating model, critical systems, crisis exposure and value-protection logic.</t>
  </si>
  <si>
    <t>Manufacturing Continuity and MES Strategy receives a fit score of 4 for SaaS / Digital Product based on typical operating model, critical systems, crisis exposure and value-protection logic.</t>
  </si>
  <si>
    <t>Physical Safety and Site Resilience Strategy receives a fit score of 4 for SaaS / Digital Product based on typical operating model, critical systems, crisis exposure and value-protection logic.</t>
  </si>
  <si>
    <t>Sales Channel Diversification Strategy receives a fit score of 3 for SaaS / Digital Product based on typical operating model, critical systems, crisis exposure and value-protection logic.</t>
  </si>
  <si>
    <t>Customer Retention and Revenue Protection Strategy receives a fit score of 3 for SaaS / Digital Product based on typical operating model, critical systems, crisis exposure and value-protection logic.</t>
  </si>
  <si>
    <t>Compliance and Risk Control Strategy receives a fit score of 3 for SaaS / Digital Product based on typical operating model, critical systems, crisis exposure and value-protection logic.</t>
  </si>
  <si>
    <t>Governance and Decision-Speed Strategy receives a fit score of 3 for SaaS / Digital Product based on typical operating model, critical systems, crisis exposure and value-protection logic.</t>
  </si>
  <si>
    <t>Digital Foundation Strategy receives a fit score of 3 for Manufacturing based on typical operating model, critical systems, crisis exposure and value-protection logic.</t>
  </si>
  <si>
    <t>Business Continuity and Resilience Strategy receives a fit score of 4.5 for Manufacturing based on typical operating model, critical systems, crisis exposure and value-protection logic.</t>
  </si>
  <si>
    <t>Cloud and Infrastructure Resilience Strategy receives a fit score of 4 for Manufacturing based on typical operating model, critical systems, crisis exposure and value-protection logic.</t>
  </si>
  <si>
    <t>Cyber Resilience Strategy receives a fit score of 3 for Manufacturing based on typical operating model, critical systems, crisis exposure and value-protection logic.</t>
  </si>
  <si>
    <t>Data Governance and AI Readiness Strategy receives a fit score of 3 for Manufacturing based on typical operating model, critical systems, crisis exposure and value-protection logic.</t>
  </si>
  <si>
    <t>Workforce Resilience Strategy receives a fit score of 3 for Manufacturing based on typical operating model, critical systems, crisis exposure and value-protection logic.</t>
  </si>
  <si>
    <t>Operational Excellence and Automation Strategy receives a fit score of 5 for Manufacturing based on typical operating model, critical systems, crisis exposure and value-protection logic.</t>
  </si>
  <si>
    <t>Supply Chain and Delivery Resilience Strategy receives a fit score of 5 for Manufacturing based on typical operating model, critical systems, crisis exposure and value-protection logic.</t>
  </si>
  <si>
    <t>Manufacturing Continuity and MES Strategy receives a fit score of 3 for Manufacturing based on typical operating model, critical systems, crisis exposure and value-protection logic.</t>
  </si>
  <si>
    <t>Physical Safety and Site Resilience Strategy receives a fit score of 3 for Manufacturing based on typical operating model, critical systems, crisis exposure and value-protection logic.</t>
  </si>
  <si>
    <t>Sales Channel Diversification Strategy receives a fit score of 3 for Manufacturing based on typical operating model, critical systems, crisis exposure and value-protection logic.</t>
  </si>
  <si>
    <t>Customer Retention and Revenue Protection Strategy receives a fit score of 4.5 for Manufacturing based on typical operating model, critical systems, crisis exposure and value-protection logic.</t>
  </si>
  <si>
    <t>Compliance and Risk Control Strategy receives a fit score of 3 for Manufacturing based on typical operating model, critical systems, crisis exposure and value-protection logic.</t>
  </si>
  <si>
    <t>Governance and Decision-Speed Strategy receives a fit score of 3 for Manufacturing based on typical operating model, critical systems, crisis exposure and value-protection logic.</t>
  </si>
  <si>
    <t>Digital Foundation Strategy receives a fit score of 3 for Retail / Ecommerce based on typical operating model, critical systems, crisis exposure and value-protection logic.</t>
  </si>
  <si>
    <t>Business Continuity and Resilience Strategy receives a fit score of 3 for Retail / Ecommerce based on typical operating model, critical systems, crisis exposure and value-protection logic.</t>
  </si>
  <si>
    <t>Cloud and Infrastructure Resilience Strategy receives a fit score of 3 for Retail / Ecommerce based on typical operating model, critical systems, crisis exposure and value-protection logic.</t>
  </si>
  <si>
    <t>Cyber Resilience Strategy receives a fit score of 4.5 for Retail / Ecommerce based on typical operating model, critical systems, crisis exposure and value-protection logic.</t>
  </si>
  <si>
    <t>Data Governance and AI Readiness Strategy receives a fit score of 4 for Retail / Ecommerce based on typical operating model, critical systems, crisis exposure and value-protection logic.</t>
  </si>
  <si>
    <t>Workforce Resilience Strategy receives a fit score of 3 for Retail / Ecommerce based on typical operating model, critical systems, crisis exposure and value-protection logic.</t>
  </si>
  <si>
    <t>Operational Excellence and Automation Strategy receives a fit score of 3 for Retail / Ecommerce based on typical operating model, critical systems, crisis exposure and value-protection logic.</t>
  </si>
  <si>
    <t>Supply Chain and Delivery Resilience Strategy receives a fit score of 4 for Retail / Ecommerce based on typical operating model, critical systems, crisis exposure and value-protection logic.</t>
  </si>
  <si>
    <t>Manufacturing Continuity and MES Strategy receives a fit score of 5 for Retail / Ecommerce based on typical operating model, critical systems, crisis exposure and value-protection logic.</t>
  </si>
  <si>
    <t>Physical Safety and Site Resilience Strategy receives a fit score of 5 for Retail / Ecommerce based on typical operating model, critical systems, crisis exposure and value-protection logic.</t>
  </si>
  <si>
    <t>Sales Channel Diversification Strategy receives a fit score of 3 for Retail / Ecommerce based on typical operating model, critical systems, crisis exposure and value-protection logic.</t>
  </si>
  <si>
    <t>Customer Retention and Revenue Protection Strategy receives a fit score of 3 for Retail / Ecommerce based on typical operating model, critical systems, crisis exposure and value-protection logic.</t>
  </si>
  <si>
    <t>Compliance and Risk Control Strategy receives a fit score of 3 for Retail / Ecommerce based on typical operating model, critical systems, crisis exposure and value-protection logic.</t>
  </si>
  <si>
    <t>Governance and Decision-Speed Strategy receives a fit score of 3 for Retail / Ecommerce based on typical operating model, critical systems, crisis exposure and value-protection logic.</t>
  </si>
  <si>
    <t>Digital Foundation Strategy receives a fit score of 3 for Logistics / Distribution based on typical operating model, critical systems, crisis exposure and value-protection logic.</t>
  </si>
  <si>
    <t>Business Continuity and Resilience Strategy receives a fit score of 4.5 for Logistics / Distribution based on typical operating model, critical systems, crisis exposure and value-protection logic.</t>
  </si>
  <si>
    <t>Cloud and Infrastructure Resilience Strategy receives a fit score of 4 for Logistics / Distribution based on typical operating model, critical systems, crisis exposure and value-protection logic.</t>
  </si>
  <si>
    <t>Cyber Resilience Strategy receives a fit score of 3 for Logistics / Distribution based on typical operating model, critical systems, crisis exposure and value-protection logic.</t>
  </si>
  <si>
    <t>Data Governance and AI Readiness Strategy receives a fit score of 4 for Logistics / Distribution based on typical operating model, critical systems, crisis exposure and value-protection logic.</t>
  </si>
  <si>
    <t>Workforce Resilience Strategy receives a fit score of 3 for Logistics / Distribution based on typical operating model, critical systems, crisis exposure and value-protection logic.</t>
  </si>
  <si>
    <t>Operational Excellence and Automation Strategy receives a fit score of 4.5 for Logistics / Distribution based on typical operating model, critical systems, crisis exposure and value-protection logic.</t>
  </si>
  <si>
    <t>Supply Chain and Delivery Resilience Strategy receives a fit score of 5 for Logistics / Distribution based on typical operating model, critical systems, crisis exposure and value-protection logic.</t>
  </si>
  <si>
    <t>Manufacturing Continuity and MES Strategy receives a fit score of 3 for Logistics / Distribution based on typical operating model, critical systems, crisis exposure and value-protection logic.</t>
  </si>
  <si>
    <t>Physical Safety and Site Resilience Strategy receives a fit score of 3 for Logistics / Distribution based on typical operating model, critical systems, crisis exposure and value-protection logic.</t>
  </si>
  <si>
    <t>Sales Channel Diversification Strategy receives a fit score of 3 for Logistics / Distribution based on typical operating model, critical systems, crisis exposure and value-protection logic.</t>
  </si>
  <si>
    <t>Customer Retention and Revenue Protection Strategy receives a fit score of 3 for Logistics / Distribution based on typical operating model, critical systems, crisis exposure and value-protection logic.</t>
  </si>
  <si>
    <t>Compliance and Risk Control Strategy receives a fit score of 3 for Logistics / Distribution based on typical operating model, critical systems, crisis exposure and value-protection logic.</t>
  </si>
  <si>
    <t>Governance and Decision-Speed Strategy receives a fit score of 3 for Logistics / Distribution based on typical operating model, critical systems, crisis exposure and value-protection logic.</t>
  </si>
  <si>
    <t>Digital Foundation Strategy receives a fit score of 3 for Healthcare / Pharma based on typical operating model, critical systems, crisis exposure and value-protection logic.</t>
  </si>
  <si>
    <t>Business Continuity and Resilience Strategy receives a fit score of 4.5 for Healthcare / Pharma based on typical operating model, critical systems, crisis exposure and value-protection logic.</t>
  </si>
  <si>
    <t>Cloud and Infrastructure Resilience Strategy receives a fit score of 3 for Healthcare / Pharma based on typical operating model, critical systems, crisis exposure and value-protection logic.</t>
  </si>
  <si>
    <t>Cyber Resilience Strategy receives a fit score of 5 for Healthcare / Pharma based on typical operating model, critical systems, crisis exposure and value-protection logic.</t>
  </si>
  <si>
    <t>Data Governance and AI Readiness Strategy receives a fit score of 4.5 for Healthcare / Pharma based on typical operating model, critical systems, crisis exposure and value-protection logic.</t>
  </si>
  <si>
    <t>Workforce Resilience Strategy receives a fit score of 3 for Healthcare / Pharma based on typical operating model, critical systems, crisis exposure and value-protection logic.</t>
  </si>
  <si>
    <t>Operational Excellence and Automation Strategy receives a fit score of 3 for Healthcare / Pharma based on typical operating model, critical systems, crisis exposure and value-protection logic.</t>
  </si>
  <si>
    <t>Supply Chain and Delivery Resilience Strategy receives a fit score of 3 for Healthcare / Pharma based on typical operating model, critical systems, crisis exposure and value-protection logic.</t>
  </si>
  <si>
    <t>Manufacturing Continuity and MES Strategy receives a fit score of 3 for Healthcare / Pharma based on typical operating model, critical systems, crisis exposure and value-protection logic.</t>
  </si>
  <si>
    <t>Physical Safety and Site Resilience Strategy receives a fit score of 3 for Healthcare / Pharma based on typical operating model, critical systems, crisis exposure and value-protection logic.</t>
  </si>
  <si>
    <t>Sales Channel Diversification Strategy receives a fit score of 5 for Healthcare / Pharma based on typical operating model, critical systems, crisis exposure and value-protection logic.</t>
  </si>
  <si>
    <t>Customer Retention and Revenue Protection Strategy receives a fit score of 3 for Healthcare / Pharma based on typical operating model, critical systems, crisis exposure and value-protection logic.</t>
  </si>
  <si>
    <t>Compliance and Risk Control Strategy receives a fit score of 4 for Healthcare / Pharma based on typical operating model, critical systems, crisis exposure and value-protection logic.</t>
  </si>
  <si>
    <t>Governance and Decision-Speed Strategy receives a fit score of 3 for Healthcare / Pharma based on typical operating model, critical systems, crisis exposure and value-protection logic.</t>
  </si>
  <si>
    <t>Digital Foundation Strategy receives a fit score of 3 for Energy / Utilities based on typical operating model, critical systems, crisis exposure and value-protection logic.</t>
  </si>
  <si>
    <t>Business Continuity and Resilience Strategy receives a fit score of 5 for Energy / Utilities based on typical operating model, critical systems, crisis exposure and value-protection logic.</t>
  </si>
  <si>
    <t>Cloud and Infrastructure Resilience Strategy receives a fit score of 4.5 for Energy / Utilities based on typical operating model, critical systems, crisis exposure and value-protection logic.</t>
  </si>
  <si>
    <t>Cyber Resilience Strategy receives a fit score of 5 for Energy / Utilities based on typical operating model, critical systems, crisis exposure and value-protection logic.</t>
  </si>
  <si>
    <t>Data Governance and AI Readiness Strategy receives a fit score of 3 for Energy / Utilities based on typical operating model, critical systems, crisis exposure and value-protection logic.</t>
  </si>
  <si>
    <t>Workforce Resilience Strategy receives a fit score of 3 for Energy / Utilities based on typical operating model, critical systems, crisis exposure and value-protection logic.</t>
  </si>
  <si>
    <t>Operational Excellence and Automation Strategy receives a fit score of 3 for Energy / Utilities based on typical operating model, critical systems, crisis exposure and value-protection logic.</t>
  </si>
  <si>
    <t>Supply Chain and Delivery Resilience Strategy receives a fit score of 4.5 for Energy / Utilities based on typical operating model, critical systems, crisis exposure and value-protection logic.</t>
  </si>
  <si>
    <t>Manufacturing Continuity and MES Strategy receives a fit score of 3 for Energy / Utilities based on typical operating model, critical systems, crisis exposure and value-protection logic.</t>
  </si>
  <si>
    <t>Physical Safety and Site Resilience Strategy receives a fit score of 3 for Energy / Utilities based on typical operating model, critical systems, crisis exposure and value-protection logic.</t>
  </si>
  <si>
    <t>Sales Channel Diversification Strategy receives a fit score of 4 for Energy / Utilities based on typical operating model, critical systems, crisis exposure and value-protection logic.</t>
  </si>
  <si>
    <t>Customer Retention and Revenue Protection Strategy receives a fit score of 3 for Energy / Utilities based on typical operating model, critical systems, crisis exposure and value-protection logic.</t>
  </si>
  <si>
    <t>Compliance and Risk Control Strategy receives a fit score of 3 for Energy / Utilities based on typical operating model, critical systems, crisis exposure and value-protection logic.</t>
  </si>
  <si>
    <t>Governance and Decision-Speed Strategy receives a fit score of 3 for Energy / Utilities based on typical operating model, critical systems, crisis exposure and value-protection logic.</t>
  </si>
  <si>
    <t>Digital Foundation Strategy receives a fit score of 4 for Professional Services based on typical operating model, critical systems, crisis exposure and value-protection logic.</t>
  </si>
  <si>
    <t>Business Continuity and Resilience Strategy receives a fit score of 4 for Professional Services based on typical operating model, critical systems, crisis exposure and value-protection logic.</t>
  </si>
  <si>
    <t>Cloud and Infrastructure Resilience Strategy receives a fit score of 3 for Professional Services based on typical operating model, critical systems, crisis exposure and value-protection logic.</t>
  </si>
  <si>
    <t>Cyber Resilience Strategy receives a fit score of 3 for Professional Services based on typical operating model, critical systems, crisis exposure and value-protection logic.</t>
  </si>
  <si>
    <t>Data Governance and AI Readiness Strategy receives a fit score of 3 for Professional Services based on typical operating model, critical systems, crisis exposure and value-protection logic.</t>
  </si>
  <si>
    <t>Workforce Resilience Strategy receives a fit score of 5 for Professional Services based on typical operating model, critical systems, crisis exposure and value-protection logic.</t>
  </si>
  <si>
    <t>Operational Excellence and Automation Strategy receives a fit score of 3 for Professional Services based on typical operating model, critical systems, crisis exposure and value-protection logic.</t>
  </si>
  <si>
    <t>Supply Chain and Delivery Resilience Strategy receives a fit score of 3 for Professional Services based on typical operating model, critical systems, crisis exposure and value-protection logic.</t>
  </si>
  <si>
    <t>Manufacturing Continuity and MES Strategy receives a fit score of 4 for Professional Services based on typical operating model, critical systems, crisis exposure and value-protection logic.</t>
  </si>
  <si>
    <t>Physical Safety and Site Resilience Strategy receives a fit score of 4.5 for Professional Services based on typical operating model, critical systems, crisis exposure and value-protection logic.</t>
  </si>
  <si>
    <t>Sales Channel Diversification Strategy receives a fit score of 3 for Professional Services based on typical operating model, critical systems, crisis exposure and value-protection logic.</t>
  </si>
  <si>
    <t>Customer Retention and Revenue Protection Strategy receives a fit score of 3 for Professional Services based on typical operating model, critical systems, crisis exposure and value-protection logic.</t>
  </si>
  <si>
    <t>Compliance and Risk Control Strategy receives a fit score of 3 for Professional Services based on typical operating model, critical systems, crisis exposure and value-protection logic.</t>
  </si>
  <si>
    <t>Governance and Decision-Speed Strategy receives a fit score of 3 for Professional Services based on typical operating model, critical systems, crisis exposure and value-protection logic.</t>
  </si>
  <si>
    <t>Digital Foundation Strategy receives a fit score of 3 for Public Sector / Regulated Organization based on typical operating model, critical systems, crisis exposure and value-protection logic.</t>
  </si>
  <si>
    <t>Business Continuity and Resilience Strategy receives a fit score of 5 for Public Sector / Regulated Organization based on typical operating model, critical systems, crisis exposure and value-protection logic.</t>
  </si>
  <si>
    <t>Cloud and Infrastructure Resilience Strategy receives a fit score of 4 for Public Sector / Regulated Organization based on typical operating model, critical systems, crisis exposure and value-protection logic.</t>
  </si>
  <si>
    <t>Cyber Resilience Strategy receives a fit score of 4.5 for Public Sector / Regulated Organization based on typical operating model, critical systems, crisis exposure and value-protection logic.</t>
  </si>
  <si>
    <t>Data Governance and AI Readiness Strategy receives a fit score of 4 for Public Sector / Regulated Organization based on typical operating model, critical systems, crisis exposure and value-protection logic.</t>
  </si>
  <si>
    <t>Workforce Resilience Strategy receives a fit score of 3 for Public Sector / Regulated Organization based on typical operating model, critical systems, crisis exposure and value-protection logic.</t>
  </si>
  <si>
    <t>Operational Excellence and Automation Strategy receives a fit score of 3 for Public Sector / Regulated Organization based on typical operating model, critical systems, crisis exposure and value-protection logic.</t>
  </si>
  <si>
    <t>Supply Chain and Delivery Resilience Strategy receives a fit score of 3 for Public Sector / Regulated Organization based on typical operating model, critical systems, crisis exposure and value-protection logic.</t>
  </si>
  <si>
    <t>Manufacturing Continuity and MES Strategy receives a fit score of 3 for Public Sector / Regulated Organization based on typical operating model, critical systems, crisis exposure and value-protection logic.</t>
  </si>
  <si>
    <t>Physical Safety and Site Resilience Strategy receives a fit score of 3 for Public Sector / Regulated Organization based on typical operating model, critical systems, crisis exposure and value-protection logic.</t>
  </si>
  <si>
    <t>Sales Channel Diversification Strategy receives a fit score of 5 for Public Sector / Regulated Organization based on typical operating model, critical systems, crisis exposure and value-protection logic.</t>
  </si>
  <si>
    <t>Customer Retention and Revenue Protection Strategy receives a fit score of 3 for Public Sector / Regulated Organization based on typical operating model, critical systems, crisis exposure and value-protection logic.</t>
  </si>
  <si>
    <t>Compliance and Risk Control Strategy receives a fit score of 3 for Public Sector / Regulated Organization based on typical operating model, critical systems, crisis exposure and value-protection logic.</t>
  </si>
  <si>
    <t>Governance and Decision-Speed Strategy receives a fit score of 3 for Public Sector / Regulated Organization based on typical operating model, critical systems, crisis exposure and value-protection logic.</t>
  </si>
  <si>
    <t>Technical Strategy Package Library</t>
  </si>
  <si>
    <t>Hidden strategy package templates. A strategy is treated as a package of executive initiatives connected to risks, crisis scenarios and roadmap logic.</t>
  </si>
  <si>
    <t>Strategy Package ID</t>
  </si>
  <si>
    <t>Strategy Package</t>
  </si>
  <si>
    <t>Strategic objective</t>
  </si>
  <si>
    <t>Executive initiatives included</t>
  </si>
  <si>
    <t>Primary domains</t>
  </si>
  <si>
    <t>Risk focus</t>
  </si>
  <si>
    <t>Relevant crisis scenarios</t>
  </si>
  <si>
    <t>Relevant revenue models</t>
  </si>
  <si>
    <t>Relevant industries</t>
  </si>
  <si>
    <t>Default owner</t>
  </si>
  <si>
    <t>Default wave</t>
  </si>
  <si>
    <t>Base business value</t>
  </si>
  <si>
    <t>Base time criticality</t>
  </si>
  <si>
    <t>Base risk reduction</t>
  </si>
  <si>
    <t>Industry fit</t>
  </si>
  <si>
    <t>Crisis fit</t>
  </si>
  <si>
    <t>Revenue model fit</t>
  </si>
  <si>
    <t>Active initiative count</t>
  </si>
  <si>
    <t>Active risk count</t>
  </si>
  <si>
    <t>Calculated priority score</t>
  </si>
  <si>
    <t>Strategy WSJF</t>
  </si>
  <si>
    <t>Priority tier</t>
  </si>
  <si>
    <t>STR-PKG-01</t>
  </si>
  <si>
    <t>Establish baseline digital tools, ownership, workflows, reporting and data discipline.</t>
  </si>
  <si>
    <t>Low digital foundations, fragmented tools, weak ownership or limited reporting.</t>
  </si>
  <si>
    <t>Process ownership; workflow tools; core system governance; master data; reporting discipline.</t>
  </si>
  <si>
    <t>Governance Crisis; Business Systems; Data BI AI; IT Cloud DR</t>
  </si>
  <si>
    <t>Process immaturity; data quality; tool fragmentation</t>
  </si>
  <si>
    <t>All</t>
  </si>
  <si>
    <t>STR-PKG-02</t>
  </si>
  <si>
    <t>Build BIA, recovery priorities, crisis roles, recovery playbooks and testing.</t>
  </si>
  <si>
    <t>High disruption exposure, weak continuity governance, unclear recovery priorities.</t>
  </si>
  <si>
    <t>BIA; BCP; crisis governance; recovery playbooks; tabletop exercises.</t>
  </si>
  <si>
    <t>Governance Crisis; IT Cloud DR; Physical Safety; Delivery Ops</t>
  </si>
  <si>
    <t>Business interruption; recovery failure; crisis governance</t>
  </si>
  <si>
    <t>Pandemic; War / geopolitical escalation; Natural disaster; Energy crisis; Physical infrastructure disruption; Cyberattack</t>
  </si>
  <si>
    <t>STR-PKG-03</t>
  </si>
  <si>
    <t>Reduce infrastructure fragility through cloud architecture, DR, backup, failover and remote access readiness.</t>
  </si>
  <si>
    <t>Physical infrastructure dependency, weak backup, high RTO/RPO or poor remote access readiness.</t>
  </si>
  <si>
    <t>Cloud landing zone; backup modernization; restore tests; DR runbooks; identity resilience.</t>
  </si>
  <si>
    <t>IT Cloud DR; Cyber Privacy; Business Systems</t>
  </si>
  <si>
    <t>Infrastructure disruption; data loss; downtime</t>
  </si>
  <si>
    <t>Cyberattack; Physical infrastructure disruption; War / geopolitical escalation; Energy crisis</t>
  </si>
  <si>
    <t>Subscription; Usage-based; B2B; B2C; Hybrid</t>
  </si>
  <si>
    <t>SaaS / Digital Product; IT Services; Retail / Ecommerce; Healthcare / Pharma; Energy / Utilities; Public Sector / Regulated Organization</t>
  </si>
  <si>
    <t>STR-PKG-04</t>
  </si>
  <si>
    <t>Strengthen identity, monitoring, incident response, backup recovery and security awareness.</t>
  </si>
  <si>
    <t>Cybersecurity, ransomware, privacy, access or monitoring weaknesses create material risk.</t>
  </si>
  <si>
    <t>MFA; EDR; SIEM/logging; IR playbook; ransomware tabletop; backup isolation; awareness.</t>
  </si>
  <si>
    <t>Cyber Privacy; IT Cloud DR; Legal Risk; Data BI AI</t>
  </si>
  <si>
    <t>Cyberattack; privacy breach; ransomware; identity compromise</t>
  </si>
  <si>
    <t>Cyberattack; Regulatory shock; War / geopolitical escalation</t>
  </si>
  <si>
    <t>STR-PKG-05</t>
  </si>
  <si>
    <t>Data quality, reporting, BI, forecasting or AI governance are weak.</t>
  </si>
  <si>
    <t>Data owners; data catalog; BI standards; data quality rules; AI governance; executive dashboards.</t>
  </si>
  <si>
    <t>Data BI AI; Business Systems; Governance Crisis</t>
  </si>
  <si>
    <t>Poor data quality; unreliable reporting; AI misuse</t>
  </si>
  <si>
    <t>Regulatory shock; Economic downturn; Key customer loss</t>
  </si>
  <si>
    <t>Subscription; Usage-based; Transaction-based; B2B; B2C; Hybrid</t>
  </si>
  <si>
    <t>SaaS / Digital Product; Retail / Ecommerce; Healthcare / Pharma; Energy / Utilities; IT Services</t>
  </si>
  <si>
    <t>STR-PKG-06</t>
  </si>
  <si>
    <t>Reduce critical people risk through succession, cross-training, knowledge management and staffing flexibility.</t>
  </si>
  <si>
    <t>High key-person dependency, weak role backup, knowledge gaps or workforce availability risk.</t>
  </si>
  <si>
    <t>Critical role matrix; succession; backup teams; knowledge base; cross-training; remote work readiness.</t>
  </si>
  <si>
    <t>HR Workforce; Delivery Ops; Governance Crisis</t>
  </si>
  <si>
    <t>Critical people risk; productivity loss; knowledge loss</t>
  </si>
  <si>
    <t>Pandemic; War / geopolitical escalation; Workforce availability crisis</t>
  </si>
  <si>
    <t>STR-PKG-07</t>
  </si>
  <si>
    <t>Operational Excellence and Process Maturity Strategy</t>
  </si>
  <si>
    <t>Improve process ownership, KPI discipline, standard work, automation and management cadence.</t>
  </si>
  <si>
    <t>Process mapping; KPI cadence; automation; workflow redesign; standard work; performance management.</t>
  </si>
  <si>
    <t>Governance Crisis; Delivery Ops; Quality Portfolio; Business Systems</t>
  </si>
  <si>
    <t>Process failure; operational inefficiency; poor execution control</t>
  </si>
  <si>
    <t>Economic downturn; Workforce availability crisis; Key customer loss</t>
  </si>
  <si>
    <t>Project-based; Transaction-based; Hybrid; B2B</t>
  </si>
  <si>
    <t>IT Services; Manufacturing; Professional Services; Logistics / Distribution; Retail / Ecommerce</t>
  </si>
  <si>
    <t>STR-PKG-08</t>
  </si>
  <si>
    <t>Strengthen supplier diversification, inventory visibility, logistics alternatives and delivery fallback.</t>
  </si>
  <si>
    <t>Supply, logistics, delivery or supplier dependencies create material disruption risk.</t>
  </si>
  <si>
    <t>Supplier map; dual sourcing; inventory visibility; route alternatives; SLA triage; delivery fallback.</t>
  </si>
  <si>
    <t>Supply Chain; Delivery Ops; Finance Procurement; Manufacturing MES</t>
  </si>
  <si>
    <t>Supplier failure; logistics disruption; delivery failure</t>
  </si>
  <si>
    <t>Supply chain disruption; War / geopolitical escalation; Natural disaster; Energy crisis</t>
  </si>
  <si>
    <t>Transaction-based; B2B; B2C; Hybrid</t>
  </si>
  <si>
    <t>Manufacturing; Retail / Ecommerce; Logistics / Distribution; Energy / Utilities; Healthcare / Pharma</t>
  </si>
  <si>
    <t>STR-PKG-09</t>
  </si>
  <si>
    <t>Improve production continuity, MES visibility, maintenance, spare parts, utilities backup and recovery sequence.</t>
  </si>
  <si>
    <t>Manufacturing, MES, maintenance, utilities or spare parts dependencies create operational risk.</t>
  </si>
  <si>
    <t>MES continuity; OEE visibility; maintenance planning; spare parts; utility backup; production recovery sequence.</t>
  </si>
  <si>
    <t>Manufacturing MES; Supply Chain; Physical Safety; IT Cloud DR</t>
  </si>
  <si>
    <t>Production stoppage; asset failure; MES outage</t>
  </si>
  <si>
    <t>Energy crisis; Supply chain disruption; Natural disaster; War / geopolitical escalation</t>
  </si>
  <si>
    <t>B2B; B2C; Transaction-based; Hybrid</t>
  </si>
  <si>
    <t>Manufacturing; Energy / Utilities; Healthcare / Pharma</t>
  </si>
  <si>
    <t>STR-PKG-10</t>
  </si>
  <si>
    <t>Protect people, sites and physical assets through safety, emergency response, access control and alternate-site planning.</t>
  </si>
  <si>
    <t>Site risk assessment; evacuation; emergency roles; access control; travel risk; alternate site.</t>
  </si>
  <si>
    <t>Physical Safety; Company Geography; HR Workforce; Governance Crisis</t>
  </si>
  <si>
    <t>People safety; site loss; access failure</t>
  </si>
  <si>
    <t>War / geopolitical escalation; Natural disaster; Physical infrastructure disruption; Pandemic</t>
  </si>
  <si>
    <t>Manufacturing; Logistics / Distribution; Energy / Utilities; Public Sector / Regulated Organization; Healthcare / Pharma; Retail / Ecommerce</t>
  </si>
  <si>
    <t>STR-PKG-11</t>
  </si>
  <si>
    <t>GTM and Revenue Diversification Strategy</t>
  </si>
  <si>
    <t>Reduce revenue dependency through ICP clarity, offer packaging, new channels, market diversification and CRM discipline.</t>
  </si>
  <si>
    <t>Revenue depends on one region, customer segment, physical channel, weak ICP or narrow customer base.</t>
  </si>
  <si>
    <t>ICP validation; offer packaging; channel mix; partner channels; pricing; market diversification.</t>
  </si>
  <si>
    <t>Revenue concentration; weak pipeline; market dependency</t>
  </si>
  <si>
    <t>Regional sales decline; Key customer loss; Economic downturn</t>
  </si>
  <si>
    <t>B2B; B2C; Marketplace; Subscription; Project-based; Transaction-based; Hybrid</t>
  </si>
  <si>
    <t>SaaS / Digital Product; IT Services; Retail / Ecommerce; Professional Services; Logistics / Distribution</t>
  </si>
  <si>
    <t>STR-PKG-12</t>
  </si>
  <si>
    <t>Customer health score; churn playbooks; account coverage; retention offers; revenue risk dashboard.</t>
  </si>
  <si>
    <t>Sales CRM; Marketing Comms; Data BI AI</t>
  </si>
  <si>
    <t>Customer loss; churn; revenue leakage</t>
  </si>
  <si>
    <t>Key customer loss; Regional sales decline; Economic downturn</t>
  </si>
  <si>
    <t>Subscription; B2B; B2C; Marketplace; Hybrid</t>
  </si>
  <si>
    <t>SaaS / Digital Product; Retail / Ecommerce; IT Services; Professional Services</t>
  </si>
  <si>
    <t>STR-PKG-13</t>
  </si>
  <si>
    <t>Strengthen compliance obligations, risk register, control testing, privacy and contract controls.</t>
  </si>
  <si>
    <t>Obligation register; risk register; compliance calendar; control tests; contract controls; privacy governance.</t>
  </si>
  <si>
    <t>Legal Risk; Cyber Privacy; Finance Procurement; Governance Crisis</t>
  </si>
  <si>
    <t>Regulatory breach; contract exposure; control failure</t>
  </si>
  <si>
    <t>Regulatory shock; Cyberattack; War / geopolitical escalation</t>
  </si>
  <si>
    <t>Healthcare / Pharma; Public Sector / Regulated Organization; Energy / Utilities; Financial services; SaaS / Digital Product</t>
  </si>
  <si>
    <t>STR-PKG-14</t>
  </si>
  <si>
    <t>Clarify decision rights, crisis roles, portfolio governance, management cadence and escalation triggers.</t>
  </si>
  <si>
    <t>RACI; decision rights; crisis board; portfolio steering; KPI cadence; escalation triggers.</t>
  </si>
  <si>
    <t>Governance Crisis; Quality Portfolio; Strategy GTM</t>
  </si>
  <si>
    <t>Decision delay; poor prioritization; crisis coordination failure</t>
  </si>
  <si>
    <t>Seed Peer Benchmarks v1 (hidden technical sheet)</t>
  </si>
  <si>
    <t>EXPERT SEED VALUES, not measured percentiles. Base P50 = typical cross-industry maturity of a MEDIUM company (50-249 FTE) on the 0-5 scale, calibrated against public studies: Cisco Cybersecurity Readiness Index 2025 (4% mature, 70% beginner/formative), Gartner/TDWI/Alteryx data &amp; analytics maturity (avg 2.2-2.6 of 5), Eurostat Digital Intensity Index (58% SME vs 91% large at basic+), BCI Horizon Scan / ISO 22301 adoption, CMMI appraisal distributions. Confidence is Low/Medium by design. Replace each row with measured P25/P50/P75 as real assessments accumulate (target: n&gt;=15 per industry x size cell).</t>
  </si>
  <si>
    <t>Base peer median P50 (0-5)</t>
  </si>
  <si>
    <t>Source / rationale</t>
  </si>
  <si>
    <t>Entity/geo dependency mapping is rarely formalized below enterprise level. Expert prior.</t>
  </si>
  <si>
    <t>Strategy usually exists but is weakly documented and measured in SMB. Expert prior.</t>
  </si>
  <si>
    <t>BCM adoption low: ~20% ISO 22301 certified even in BC-biased BCI sample; SME crisis governance mostly ad hoc.</t>
  </si>
  <si>
    <t>HRIS adoption mid-range; skills matrices and critical-role backups rare. Expert prior.</t>
  </si>
  <si>
    <t>Most established/regulated function; process maturity appraisals cluster at managed/defined levels.</t>
  </si>
  <si>
    <t>Contracting structured; risk registers and compliance monitoring rare in SMB. Expert prior.</t>
  </si>
  <si>
    <t>OHS regulated (ISO 45001 / labor law) - regulation forces a baseline.</t>
  </si>
  <si>
    <t>Core delivery processes defined by necessity, weakly stress-tested. Expert prior.</t>
  </si>
  <si>
    <t>Post-2020 surveys: limited multi-tier visibility and supplier risk monitoring.</t>
  </si>
  <si>
    <t>MES/automation strong in large plants, fragmentary in mid-size. Expert prior.</t>
  </si>
  <si>
    <t>CRM adoption high but data discipline and pipeline analytics lag.</t>
  </si>
  <si>
    <t>Digital marketing common; crisis communication plans rare. Expert prior.</t>
  </si>
  <si>
    <t>Backups near-universal, tested DR/RTO discipline rare.</t>
  </si>
  <si>
    <t>Core systems (ERP/CRM/HRMS) near-universal in medium firms (Eurostat DII).</t>
  </si>
  <si>
    <t>Analytics maturity studies: average 2.2-2.6 of 5; most orgs at descriptive stage (Gartner/TDWI/Alteryx).</t>
  </si>
  <si>
    <t>Cisco Cybersecurity Readiness Index 2025: 4% mature, 70% beginner/formative.</t>
  </si>
  <si>
    <t>Portfolio and benefits management rare outside large organizations. Expert prior.</t>
  </si>
  <si>
    <t>Size band offsets (added to base P50)</t>
  </si>
  <si>
    <t>Micro (&lt;10)</t>
  </si>
  <si>
    <t>Anchor: Eurostat DII - 76% of SMEs low/very low digital intensity vs large enterprises ~1 level higher.</t>
  </si>
  <si>
    <t>Small (10-49)</t>
  </si>
  <si>
    <t>Medium (50-249)</t>
  </si>
  <si>
    <t>Large (250-999)</t>
  </si>
  <si>
    <t>Enterprise (1000+)</t>
  </si>
  <si>
    <t>Industry effect coefficient (x (criticality-1))</t>
  </si>
  <si>
    <t>Peer spread (P50 +/- spread = P75/P25)</t>
  </si>
  <si>
    <t>Optimal target headroom above P50</t>
  </si>
  <si>
    <t>Optimal uplift coefficient (x (criticality-1))</t>
  </si>
  <si>
    <t>Over-engineering margin above optimal target</t>
  </si>
  <si>
    <t>Optimal target logic</t>
  </si>
  <si>
    <t>OptTarget = clamp( MAX(industry red-line, P50 + headroom + uplift*(criticality-1)) + risk-appetite offset, &lt;= MIN(5, P75+0.5) ). Critical domains aim at ~P75; non-critical at ~P50+headroom. Scores far above OptTarget in low-criticality domains are flagged as possible over-investment.</t>
  </si>
  <si>
    <t>_CONFIG_Model_Settings — Consolidated Model Configuration</t>
  </si>
  <si>
    <t>Confidence level</t>
  </si>
  <si>
    <t>Not assessed</t>
  </si>
  <si>
    <t>No evidence or confidence information has been provided.</t>
  </si>
  <si>
    <t>Answer is based mainly on interview opinion or weak/incomplete evidence.</t>
  </si>
  <si>
    <t>Answer is supported by partial evidence or a credible SME statement.</t>
  </si>
  <si>
    <t>Answer is supported by current documents, system records, KPIs or test results.</t>
  </si>
  <si>
    <t>Target offset</t>
  </si>
  <si>
    <t>Risk-averse organization: industry targets are tightened by +0.25.</t>
  </si>
  <si>
    <t>Balanced</t>
  </si>
  <si>
    <t>Default: industry targets used as defined in templates.</t>
  </si>
  <si>
    <t>Higher risk acceptance: industry targets relaxed by -0.25.</t>
  </si>
  <si>
    <t>Calibration parameters (single source of truth)</t>
  </si>
  <si>
    <t>Used in / meaning</t>
  </si>
  <si>
    <t>Crisis severity - High cutoff</t>
  </si>
  <si>
    <t>Crisis severity - Medium cutoff</t>
  </si>
  <si>
    <t>Industry priority - raise threshold</t>
  </si>
  <si>
    <t>Initiative Library AW: ratio &gt; this raises priority</t>
  </si>
  <si>
    <t>Industry priority - lower threshold</t>
  </si>
  <si>
    <t>Initiative Library AW: ratio &lt; this lowers priority</t>
  </si>
  <si>
    <t>Timeline bucket 1 (&lt;=)</t>
  </si>
  <si>
    <t>Initiative Library AE: &lt;= this = 0-90 days</t>
  </si>
  <si>
    <t>Timeline bucket 2 (&lt;=)</t>
  </si>
  <si>
    <t>Initiative Library AE: &lt;= this = 3-6 months</t>
  </si>
  <si>
    <t>Timeline bucket 3 (&lt;=)</t>
  </si>
  <si>
    <t>Initiative Library AE: &lt;= this = 6-12 months</t>
  </si>
  <si>
    <t>Above-optimum ratio</t>
  </si>
  <si>
    <t>Exec Dashboard K: spend/optimum &gt; this = check cost</t>
  </si>
  <si>
    <t>Strategy risk - secondary weight</t>
  </si>
  <si>
    <t>Risk &amp; Recommendations F: weight on secondary (K) term</t>
  </si>
  <si>
    <t>Strategy risk - fit scale</t>
  </si>
  <si>
    <t>Risk &amp; Recommendations F: risk-fit scaling multiplier</t>
  </si>
  <si>
    <t>Scenario fit scale</t>
  </si>
  <si>
    <t>Risk &amp; Recommendations D: scenario-fit scaling</t>
  </si>
  <si>
    <t>-- Audit-only (documented, not yet wired) --</t>
  </si>
  <si>
    <t>Financial CapEx share</t>
  </si>
  <si>
    <t>_DATA_Dashboard_Facts financial anchors (overloaded)</t>
  </si>
  <si>
    <t>Maturity-&gt;band breakpoints</t>
  </si>
  <si>
    <t>0.5/0.35/0.2/0.1</t>
  </si>
  <si>
    <t>Exec Dashboard banding ladder</t>
  </si>
  <si>
    <t>Confidence-factor fallback</t>
  </si>
  <si>
    <t>_DATA AJ/AK/AV IFERROR default (= Medium factor, B7)</t>
  </si>
  <si>
    <t>Cascade primary weight</t>
  </si>
  <si>
    <t>_ENGINE_Cascade blending (low-count, engine)</t>
  </si>
  <si>
    <t>Cascade secondary weight</t>
  </si>
  <si>
    <t>_ENGINE_Cascade blending</t>
  </si>
  <si>
    <t>_CONFIG_Model_Settings — Optional Calibration</t>
  </si>
  <si>
    <t>Advanced consultant calibration. Edit only green upper-triangle pairwise judgments when intentionally adjusting pillar weights.</t>
  </si>
  <si>
    <t>✎ Optional calibration (advanced) — pairwise weights affect scores.</t>
  </si>
  <si>
    <t>Pillar \ Pillar</t>
  </si>
  <si>
    <t>Governance &amp; Risk</t>
  </si>
  <si>
    <t>Technology &amp; Cyber</t>
  </si>
  <si>
    <t>Operations &amp; Supply</t>
  </si>
  <si>
    <t>People &amp; Safety</t>
  </si>
  <si>
    <t>Commercial</t>
  </si>
  <si>
    <t>Finance &amp; Procurement</t>
  </si>
  <si>
    <t>Geo-mean</t>
  </si>
  <si>
    <t>Priority w</t>
  </si>
  <si>
    <t>A.w</t>
  </si>
  <si>
    <t>A.w / w</t>
  </si>
  <si>
    <t>Consistency</t>
  </si>
  <si>
    <t>lambda_max</t>
  </si>
  <si>
    <t>CI</t>
  </si>
  <si>
    <t>CR (aim &lt; 0.10)</t>
  </si>
  <si>
    <t>Blend lambda (AHP vs template)</t>
  </si>
  <si>
    <t>0 = pure industry template, 1 = pure AHP</t>
  </si>
  <si>
    <t>Domain calibrated weights</t>
  </si>
  <si>
    <t>Pillar</t>
  </si>
  <si>
    <t>Pillar priority</t>
  </si>
  <si>
    <t>Template weight</t>
  </si>
  <si>
    <t>Within-pillar share</t>
  </si>
  <si>
    <t>AHP weight</t>
  </si>
  <si>
    <t>Norm template wt</t>
  </si>
  <si>
    <t>Calibrated weight</t>
  </si>
  <si>
    <t>SUM</t>
  </si>
  <si>
    <t>_CONFIG_Model_Settings &amp; Financial Calibration — v2.5 candidate</t>
  </si>
  <si>
    <t>Connect fuzzy strategic posture, client objective and avoided-loss economics to initiative WSJF v3. Client objective is blank in the clean template and uses neutral fallback multipliers.</t>
  </si>
  <si>
    <t>Current fuzzy posture</t>
  </si>
  <si>
    <t>Dominant state from _ENGINE_Fuzzy_Posture membership.</t>
  </si>
  <si>
    <t>Selected client objective</t>
  </si>
  <si>
    <t>Editable input. Select one objective after company goals are known: Profit, Revenue growth, Market share, Valuation, Dividends, Resilience, Compliance. Blank uses neutral multipliers = 1.</t>
  </si>
  <si>
    <t>Financial value scale (EUR k/yr per score point)</t>
  </si>
  <si>
    <t>Used to convert avoided-loss coverage into a 0–5 financial value score.</t>
  </si>
  <si>
    <t>Financial value weight</t>
  </si>
  <si>
    <t>Additional Cost of Delay weight for avoided loss / cost-of-inaction coverage.</t>
  </si>
  <si>
    <t>Fuzzy state</t>
  </si>
  <si>
    <t>Business Value weight</t>
  </si>
  <si>
    <t>Time Criticality weight</t>
  </si>
  <si>
    <t>Risk Reduction weight</t>
  </si>
  <si>
    <t>Opportunity Enablement weight</t>
  </si>
  <si>
    <t>Logic</t>
  </si>
  <si>
    <t>Fragile posture prioritizes survival, urgency and risk reduction.</t>
  </si>
  <si>
    <t>Exposed posture still prioritizes risk reduction, with moderate business value.</t>
  </si>
  <si>
    <t>Adaptive posture balances defensive and enabling initiatives.</t>
  </si>
  <si>
    <t>Resilient posture increases emphasis on opportunity enablement.</t>
  </si>
  <si>
    <t>Anti-fragile posture favors growth, optionality and transformation.</t>
  </si>
  <si>
    <t>Client objective</t>
  </si>
  <si>
    <t>BV multiplier</t>
  </si>
  <si>
    <t>TC multiplier</t>
  </si>
  <si>
    <t>RR multiplier</t>
  </si>
  <si>
    <t>OE multiplier</t>
  </si>
  <si>
    <t>Financial emphasis</t>
  </si>
  <si>
    <t>Profit</t>
  </si>
  <si>
    <t>Prioritizes margin, productivity and avoided cost.</t>
  </si>
  <si>
    <t>Revenue growth</t>
  </si>
  <si>
    <t>Prioritizes initiatives that unlock demand and channels.</t>
  </si>
  <si>
    <t>Market share</t>
  </si>
  <si>
    <t>Prioritizes competitive capability and faster execution.</t>
  </si>
  <si>
    <t>Valuation</t>
  </si>
  <si>
    <t>Prioritizes scalable, measurable and investor-legible capabilities.</t>
  </si>
  <si>
    <t>Dividends</t>
  </si>
  <si>
    <t>Prioritizes cash preservation, profitability and downside control.</t>
  </si>
  <si>
    <t>Prioritizes continuity, risk reduction and crisis readiness.</t>
  </si>
  <si>
    <t>Prioritizes regulatory, legal, safety and audit exposure reduction.</t>
  </si>
  <si>
    <t>P2 WSJF v3 formula</t>
  </si>
  <si>
    <t>Weighted Cost of Delay uses fuzzy-state weights, client-objective multipliers and financial avoided-loss score.</t>
  </si>
  <si>
    <t>Weighted CoD</t>
  </si>
  <si>
    <t>(BV×fuzzyBV×goalBV + TC×fuzzyTC×goalTC + RR×fuzzyRR×goalRR + OE×fuzzyOE×goalOE + Financial×financialWeight) / adjusted weight sum</t>
  </si>
  <si>
    <t>P2 WSJF v3</t>
  </si>
  <si>
    <t>P2 Weighted CoD / Complexity, then industry multiplier and status filter are applied.</t>
  </si>
  <si>
    <t>Governance note</t>
  </si>
  <si>
    <t>P2 does not remove baseline/P1 formulas. It adds the preferred roadmap prioritization layer for v2.5 candidate: fuzzy-state weights, client-objective multipliers and financial avoided-loss value. Blank client objective uses neutral multipliers until a real objective is selected.</t>
  </si>
  <si>
    <t>Selected objective multipliers</t>
  </si>
  <si>
    <t>v2.5 candidate documentation note</t>
  </si>
  <si>
    <t>P2 remains the preferred roadmap prioritization layer because it combines fuzzy posture, client objective and avoided-loss economics. v2.5 candidate adds mapping QA and restores risk-methodology metadata.</t>
  </si>
  <si>
    <t>P3 control reference</t>
  </si>
  <si>
    <t>See Methodology, Controls &amp; Std for formula lineage and governance controls covering P0, P1, P2 and P3.</t>
  </si>
  <si>
    <t>Financial Anchors &amp; Monetization Mappings (hidden technical sheet)</t>
  </si>
  <si>
    <t>Editable mapping tables that convert profile facts and 1-5 risk scales into money. All defaults are conservative expert values - tune per client. Used by: Financial Resilience, Risk Summary (cost of inaction), Initiative Economics (avoided loss).</t>
  </si>
  <si>
    <t>Midpoint (EUR k)</t>
  </si>
  <si>
    <t>Revenue share at risk</t>
  </si>
  <si>
    <t>Midpoint share</t>
  </si>
  <si>
    <t>&lt;1M EUR</t>
  </si>
  <si>
    <t>&lt;3</t>
  </si>
  <si>
    <t>None</t>
  </si>
  <si>
    <t>Easy to replace</t>
  </si>
  <si>
    <t>1-5M EUR</t>
  </si>
  <si>
    <t>3-6</t>
  </si>
  <si>
    <t>10-30%</t>
  </si>
  <si>
    <t>Replaceable within weeks</t>
  </si>
  <si>
    <t>5-20M EUR</t>
  </si>
  <si>
    <t>6-12</t>
  </si>
  <si>
    <t>30-60%</t>
  </si>
  <si>
    <t>Replaceable within months</t>
  </si>
  <si>
    <t>20-100M EUR</t>
  </si>
  <si>
    <t>12+</t>
  </si>
  <si>
    <t>&gt;60%</t>
  </si>
  <si>
    <t>Single-source / hard to replace</t>
  </si>
  <si>
    <t>&gt;100M EUR</t>
  </si>
  <si>
    <t>Unknown / not assessed</t>
  </si>
  <si>
    <t>Regulated / certified supplier only</t>
  </si>
  <si>
    <t>Expected ALE reduction when mapped initiative is implemented</t>
  </si>
  <si>
    <t>Monte-Carlo loss distribution</t>
  </si>
  <si>
    <t>mc_impact_scale</t>
  </si>
  <si>
    <t>Maps 0-5 impact to 0-100 severity</t>
  </si>
  <si>
    <t>mc_unc_base</t>
  </si>
  <si>
    <t>Triangular half-width at evidence uncertainty = 1</t>
  </si>
  <si>
    <t>mc_unc_step</t>
  </si>
  <si>
    <t>Added half-width per uncertainty point above 1</t>
  </si>
  <si>
    <t>mc_sigma_systemic</t>
  </si>
  <si>
    <t>Systemic shock lognormal vol (v3.0 deterministic seed MC); fat-tail driver</t>
  </si>
  <si>
    <t>cfg_version</t>
  </si>
  <si>
    <t>3.0</t>
  </si>
  <si>
    <t>Static audit fixes: crisis dropdown/backend fallback, initiative QID integrity, risk-initiative coverage and dropdown registry normalization.</t>
  </si>
  <si>
    <t>mc_mode</t>
  </si>
  <si>
    <t>Frozen</t>
  </si>
  <si>
    <t>Monte Carlo mode. Frozen uses the frozen seed and is reproducible; Live uses live seed for intentional reruns. No RAND() volatile formulas are used.</t>
  </si>
  <si>
    <t>mc_live_seed</t>
  </si>
  <si>
    <t>Change this seed to rerun the non-volatile Monte Carlo sample in Live mode.</t>
  </si>
  <si>
    <t>mc_frozen_seed</t>
  </si>
  <si>
    <t>Frozen/public-template seed. To freeze a Live run, copy mc_live_seed here and switch mc_mode back to Frozen.</t>
  </si>
  <si>
    <t>mc_freeze_policy</t>
  </si>
  <si>
    <t>Non-volatile deterministic seed</t>
  </si>
  <si>
    <t>v2.9.30 removes RAND() from _ENGINE_MonteCarlo. Formal reports should record mc_mode and active seed for reproducibility.</t>
  </si>
  <si>
    <t>Fuzzy Logic &amp; Strategic Posture — v2.6</t>
  </si>
  <si>
    <t>Interpret current maturity and risk pressure into fuzzy strategic posture. Clean template starts neutral/blank until assessment and crisis inputs are provided.</t>
  </si>
  <si>
    <t>Input</t>
  </si>
  <si>
    <t>Formula / Logic</t>
  </si>
  <si>
    <t>Used as main fuzzy input.</t>
  </si>
  <si>
    <t>Changes scenario-adjusted pressure.</t>
  </si>
  <si>
    <t>Scenario severity.</t>
  </si>
  <si>
    <t>Severity 3 = base case.</t>
  </si>
  <si>
    <t>Share of active critical/high risk levels.</t>
  </si>
  <si>
    <t>Higher pressure should favor defensive / resilience strategies.</t>
  </si>
  <si>
    <t>Formula note</t>
  </si>
  <si>
    <t>High when maturity is near 0–1.</t>
  </si>
  <si>
    <t>Some controls exist, but weak coverage and evidence.</t>
  </si>
  <si>
    <t>Peaks around maturity ~2.</t>
  </si>
  <si>
    <t>Peaks around maturity ~3–3.5.</t>
  </si>
  <si>
    <t>Peaks around maturity ~4.2.</t>
  </si>
  <si>
    <t>High above maturity ~4.2.</t>
  </si>
  <si>
    <t>Strategy package</t>
  </si>
  <si>
    <t>Fuzzy score</t>
  </si>
  <si>
    <t>Recommended interpretation</t>
  </si>
  <si>
    <t>Top-ranked strategy package under current fuzzy posture.</t>
  </si>
  <si>
    <t>v2.4 documentation note</t>
  </si>
  <si>
    <t>Fuzzy logic is an interpretation and prioritization-weighting layer. It calculates membership in Fragile, Exposed, Adaptive, Resilient and Anti-fragile states. _CONFIG_Model_Settings uses the dominant state to change WSJF weighting. Baseline and P1 risk scores remain separately visible and are not overwritten by fuzzy logic.</t>
  </si>
  <si>
    <t>Governance rule</t>
  </si>
  <si>
    <t>Use fuzzy outputs for strategy package and initiative prioritization interpretation; do not treat them as direct evidence that a specific operational control exists.</t>
  </si>
  <si>
    <t>_CONFIG_Risk_Calibration — v2.6</t>
  </si>
  <si>
    <t>Editable methodology defaults used by P1-adjusted Probability, Impact and Risk Score. The clean template uses generic neutral/conservative defaults; calibrate with real exposure, incident history, evidence quality and domain-owner validation.</t>
  </si>
  <si>
    <t>Exposure 1-5</t>
  </si>
  <si>
    <t>Incident history 0-5</t>
  </si>
  <si>
    <t>Evidence uncertainty 1-5</t>
  </si>
  <si>
    <t>Dependency/Cascade score 1-5</t>
  </si>
  <si>
    <t>Red-line flag</t>
  </si>
  <si>
    <t>Red-line impact floor</t>
  </si>
  <si>
    <t>No</t>
  </si>
  <si>
    <t>Clean template default. Calibrate with real exposure, incident history, evidence quality and domain-owner validation.</t>
  </si>
  <si>
    <t>Yes</t>
  </si>
  <si>
    <t>Formula notes</t>
  </si>
  <si>
    <t>0.45×Control weakness + 0.20×Exposure + 0.15×Crisis severity + 0.10×Incident history + 0.05×Evidence uncertainty + 0.05×Velocity score</t>
  </si>
  <si>
    <t>MAX(Red-line floor, weighted impact score). Weighted impact uses question weight, digitalization, resilience, process, exposure and dependency/cascade score.</t>
  </si>
  <si>
    <t>P1 Risk Score v2</t>
  </si>
  <si>
    <t>Probability v2 × Impact v2, then adjusted by scenario, industry, dependency/cascade multiplier and velocity factor.</t>
  </si>
  <si>
    <t>This sheet is intentionally editable. Use neutral defaults for a blank template, then calibrate after real profile data, evidence and incident history are collected.</t>
  </si>
  <si>
    <t>_ENGINE_Simulation — loss distribution &amp; VaR/CVaR (v2.3: Leontief cascade + crisis modulation)</t>
  </si>
  <si>
    <t>Analytic Normal-ES portfolio over the per-domain loss distribution (Leontief cascade in the mean). v2.7.11: VaR/CVaR use a total sd (B33) that adds a systemic common-factor variance, moment-matched to the Monte Carlo S x A model, capturing cross-domain tail co-movement. B27 stays idiosyncratic (consumed by the MC as sd0).</t>
  </si>
  <si>
    <t>n risks</t>
  </si>
  <si>
    <t>mean weakness p</t>
  </si>
  <si>
    <t>severity base</t>
  </si>
  <si>
    <t>evidence unc</t>
  </si>
  <si>
    <t>half-width h</t>
  </si>
  <si>
    <t>cascade cf</t>
  </si>
  <si>
    <t>scenario m</t>
  </si>
  <si>
    <t>severity eff</t>
  </si>
  <si>
    <t>Smin eff</t>
  </si>
  <si>
    <t>Smax eff</t>
  </si>
  <si>
    <t>E[events] muK</t>
  </si>
  <si>
    <t>Var K</t>
  </si>
  <si>
    <t>Var S</t>
  </si>
  <si>
    <t>E[loss_d]</t>
  </si>
  <si>
    <t>Var[loss_d]</t>
  </si>
  <si>
    <t>industry relevance</t>
  </si>
  <si>
    <t>cf inverse vector (computed once)</t>
  </si>
  <si>
    <t>Portfolio mean loss</t>
  </si>
  <si>
    <t>Portfolio sd (idiosyncratic)</t>
  </si>
  <si>
    <t>Portfolio sd (incl. systemic)</t>
  </si>
  <si>
    <t>Systemic share of tail variance</t>
  </si>
  <si>
    <t>_ENGINE_MonteCarlo — one-factor sampling Monte-Carlo (v3.0, deterministic seed / non-volatile)</t>
  </si>
  <si>
    <t>loss = systemic shock S (lognormal, mean 1) x idiosyncratic A ~ Normal(mean0,sd0). Empirical VaR/CVaR from 2000 deterministic draws. v2.7.11: uniforms from a counter-based combined Wichmann-Hill generator (three coprime LCGs, triangular counter, two decorrelated streams) replacing the sin() hash; reproducible and seed-driven. No RAND().</t>
  </si>
  <si>
    <t>Iterations</t>
  </si>
  <si>
    <t>sigma_systemic</t>
  </si>
  <si>
    <t>No-volatile rerun workflow</t>
  </si>
  <si>
    <t>mean0 (analytic, cascade+scenario)</t>
  </si>
  <si>
    <t>sd0</t>
  </si>
  <si>
    <t>Default: Frozen. To rerun: set mc_mode=Live, change mc_live_seed, recalc. To freeze: copy mc_live_seed to mc_frozen_seed and return mc_mode=Frozen.</t>
  </si>
  <si>
    <t>Mean loss (sampled)</t>
  </si>
  <si>
    <t>Formula policy</t>
  </si>
  <si>
    <t>VaR 95% (empirical)</t>
  </si>
  <si>
    <t>RAND() removed; pseudo-random uniforms are generated from active seed and iteration number.</t>
  </si>
  <si>
    <t>CVaR 95% (empirical)</t>
  </si>
  <si>
    <t>Frozen seed</t>
  </si>
  <si>
    <t>VaR 99% (empirical)</t>
  </si>
  <si>
    <t>Live seed</t>
  </si>
  <si>
    <t>Report policy</t>
  </si>
  <si>
    <t>CVaR 99% (empirical)</t>
  </si>
  <si>
    <t>Volatile RAND cells</t>
  </si>
  <si>
    <t>Record mc_mode + active seed with any exported report so MC VaR/CVaR is reproducible.</t>
  </si>
  <si>
    <t>u_systemic</t>
  </si>
  <si>
    <t>u_idio</t>
  </si>
  <si>
    <t>S shock</t>
  </si>
  <si>
    <t>A idio</t>
  </si>
  <si>
    <t>loss</t>
  </si>
  <si>
    <t>_DATA_RiskInitiativeMap — initiative x question risk map (split from _DATA_Mappings block B, v2.4). Header row 443; consumed by _ENGINE_Initiatives.</t>
  </si>
  <si>
    <t>Expanded many-to-many mapping from initiative rows to related question/risk IDs. Used by P1 initiative risk-pressure and uplift formulas.</t>
  </si>
  <si>
    <t>P1 adjusted risk score</t>
  </si>
  <si>
    <t>Coverage weight</t>
  </si>
  <si>
    <t>Expected score uplift</t>
  </si>
  <si>
    <t>P2 scenario-adjusted ALE coverage (EUR k/yr)</t>
  </si>
  <si>
    <t>P2 financial value score</t>
  </si>
  <si>
    <t>P1 many-to-many coverage row</t>
  </si>
  <si>
    <t>v2.5 QA auto-added coverage row: risk question was not mapped to an initiative.</t>
  </si>
  <si>
    <t>Edit the VALUE column. Feeds the model via config-key formulas. Large calibration tables stay in _CONFIG_Risk_Calibration / _CONFIG_Model_Settings.</t>
  </si>
  <si>
    <t>Setting</t>
  </si>
  <si>
    <t>Range/Unit</t>
  </si>
  <si>
    <t>Config key</t>
  </si>
  <si>
    <t>Crisis severity — High cutoff</t>
  </si>
  <si>
    <t>&gt;= val =&gt; High</t>
  </si>
  <si>
    <t>cfg_CrisisHighCut</t>
  </si>
  <si>
    <t>Crisis multiplier High band threshold</t>
  </si>
  <si>
    <t>Crisis severity — Medium cutoff</t>
  </si>
  <si>
    <t>&gt;= val =&gt; Medium</t>
  </si>
  <si>
    <t>cfg_CrisisMedCut</t>
  </si>
  <si>
    <t>Crisis multiplier Medium band threshold</t>
  </si>
  <si>
    <t>Industry priority — raise threshold</t>
  </si>
  <si>
    <t>relevance ratio</t>
  </si>
  <si>
    <t>cfg_IndPriorityHigh</t>
  </si>
  <si>
    <t>Above this, domain priority raised</t>
  </si>
  <si>
    <t>Industry priority — lower threshold</t>
  </si>
  <si>
    <t>cfg_IndPriorityLow</t>
  </si>
  <si>
    <t>Below this, domain priority lowered</t>
  </si>
  <si>
    <t>Timeline bucket 1 (weeks &lt;=)</t>
  </si>
  <si>
    <t>weeks</t>
  </si>
  <si>
    <t>cfg_TimelineBucket1</t>
  </si>
  <si>
    <t>Roadmap horizon bucket 1 upper bound</t>
  </si>
  <si>
    <t>Timeline bucket 2 (weeks &lt;=)</t>
  </si>
  <si>
    <t>cfg_TimelineBucket2</t>
  </si>
  <si>
    <t>Roadmap horizon bucket 2 upper bound</t>
  </si>
  <si>
    <t>Timeline bucket 3 (weeks &lt;=)</t>
  </si>
  <si>
    <t>cfg_TimelineBucket3</t>
  </si>
  <si>
    <t>Roadmap horizon bucket 3 upper bound</t>
  </si>
  <si>
    <t>ratio</t>
  </si>
  <si>
    <t>cfg_AboveOptimumRatio</t>
  </si>
  <si>
    <t>Over-investment guard ratio</t>
  </si>
  <si>
    <t>Strategy risk — secondary weight</t>
  </si>
  <si>
    <t>0..1</t>
  </si>
  <si>
    <t>cfg_RiskSecondaryWeight</t>
  </si>
  <si>
    <t>Weight of secondary risk in strategy fit</t>
  </si>
  <si>
    <t>Strategy risk — fit scale</t>
  </si>
  <si>
    <t>scale</t>
  </si>
  <si>
    <t>cfg_RiskFitScale</t>
  </si>
  <si>
    <t>Risk fit scaling factor</t>
  </si>
  <si>
    <t>cfg_ScenarioFitScale</t>
  </si>
  <si>
    <t>Scenario fit scaling factor</t>
  </si>
  <si>
    <t>Monte-Carlo live seed</t>
  </si>
  <si>
    <t>int</t>
  </si>
  <si>
    <t>RNG seed for Live MC mode</t>
  </si>
  <si>
    <t>Monte-Carlo frozen seed</t>
  </si>
  <si>
    <t>RNG seed for Frozen MC mode</t>
  </si>
  <si>
    <t>mc_mode (Frozen/Live)</t>
  </si>
  <si>
    <t>dropdown</t>
  </si>
  <si>
    <t>Read-only mirror; change in MC settings area</t>
  </si>
  <si>
    <t>— Reference: data tables (not knobs) —</t>
  </si>
  <si>
    <t>Domain risk calibration: _CONFIG_Risk_Calibration!A5:* (17 domains)</t>
  </si>
  <si>
    <t>Confidence/lookup tables &amp; MC params: _CONFIG_Model_Settings</t>
  </si>
  <si>
    <t>Industry weights &amp; seed benchmarks: _REF_Model_Content</t>
  </si>
  <si>
    <t>List_ID</t>
  </si>
  <si>
    <t>Parent_Value</t>
  </si>
  <si>
    <t>Sort_Order</t>
  </si>
  <si>
    <t>Canonical_Value</t>
  </si>
  <si>
    <t>Score_Value</t>
  </si>
  <si>
    <t>Active_Flag</t>
  </si>
  <si>
    <t>Source</t>
  </si>
  <si>
    <t>Validation helper ranges (one column per List_ID, consumed by named ranges)</t>
  </si>
  <si>
    <t>INDUSTRY_CANONICAL</t>
  </si>
  <si>
    <t>Y</t>
  </si>
  <si>
    <t>Canonical industry validation aligned to DV_INDUSTRY_CANONICAL helper range</t>
  </si>
  <si>
    <t>v3.0 static-audit normalization</t>
  </si>
  <si>
    <t>ASSESSMENT_CADENCE</t>
  </si>
  <si>
    <t>ASSESSOR_CONFIDENCE</t>
  </si>
  <si>
    <t>BUSINESS_MODEL</t>
  </si>
  <si>
    <t>CASH_RUNWAY_BAND</t>
  </si>
  <si>
    <t>CHANGE_CAPACITY_BAND</t>
  </si>
  <si>
    <t>CLOUD_MODEL</t>
  </si>
  <si>
    <t>COMPANY_SIZE_BAND</t>
  </si>
  <si>
    <t>CONCENTRATION_BAND</t>
  </si>
  <si>
    <t>CONFIDENCE_LEVEL</t>
  </si>
  <si>
    <t>CONTINUITY_OPTION</t>
  </si>
  <si>
    <t>CORE_SYSTEM_FAMILY</t>
  </si>
  <si>
    <t>COUNTRY</t>
  </si>
  <si>
    <t>CRISIS_HISTORY_IMPACT</t>
  </si>
  <si>
    <t>CRITICAL_PEOPLE_DEPENDENCY</t>
  </si>
  <si>
    <t>CRITICAL_PROCESS_FAMILY</t>
  </si>
  <si>
    <t>CRITICAL_PRODUCT_SERVICE_TYPE</t>
  </si>
  <si>
    <t>DATA_CRITICALITY</t>
  </si>
  <si>
    <t>DEBT_LOAD</t>
  </si>
  <si>
    <t>DIGITAL_DEPENDENCY</t>
  </si>
  <si>
    <t>DISRUPTION_IMPACT</t>
  </si>
  <si>
    <t>EVIDENCE_CONFIDENCE</t>
  </si>
  <si>
    <t>FX_EXPOSURE_BAND</t>
  </si>
  <si>
    <t>GEOGRAPHIC_FOOTPRINT</t>
  </si>
  <si>
    <t>ICP_SEGMENT</t>
  </si>
  <si>
    <t>INDUSTRY_ALIAS</t>
  </si>
  <si>
    <t>INDUSTRY_TEMPLATE_LEGACY</t>
  </si>
  <si>
    <t>LEGAL_ENTITY_COMPLEXITY</t>
  </si>
  <si>
    <t>LOCATION_CRITICALITY</t>
  </si>
  <si>
    <t>MARKET_CONCENTRATION</t>
  </si>
  <si>
    <t>MATURITY_TARGET</t>
  </si>
  <si>
    <t>MOBILITY_SUPPORT</t>
  </si>
  <si>
    <t>OPERATING_MODEL</t>
  </si>
  <si>
    <t>OWNERSHIP_TYPE</t>
  </si>
  <si>
    <t>PHYSICAL_FOOTPRINT_INTENSITY</t>
  </si>
  <si>
    <t>REGULATION_FAMILY</t>
  </si>
  <si>
    <t>REGULATORY_INTENSITY</t>
  </si>
  <si>
    <t>REMOTE_WORK_READINESS</t>
  </si>
  <si>
    <t>REVENUE_BAND</t>
  </si>
  <si>
    <t>REVENUE_MODEL</t>
  </si>
  <si>
    <t>REVENUE_RECURRENCE</t>
  </si>
  <si>
    <t>RISK_APPETITE</t>
  </si>
  <si>
    <t>SALES_MOTION</t>
  </si>
  <si>
    <t>SUB_INDUSTRY_BY_INDUSTRY</t>
  </si>
  <si>
    <t>SUPPLIER_SUBSTITUTABILITY</t>
  </si>
  <si>
    <t>TRANSFORMATION_EXPERIENCE</t>
  </si>
  <si>
    <t>YES_NO_PLANNED_UNKNOWN</t>
  </si>
  <si>
    <t>Quarterly</t>
  </si>
  <si>
    <t>B2B</t>
  </si>
  <si>
    <t>&lt;10</t>
  </si>
  <si>
    <t>On-prem only</t>
  </si>
  <si>
    <t>Fully remote</t>
  </si>
  <si>
    <t>Ukraine</t>
  </si>
  <si>
    <t>Not experienced</t>
  </si>
  <si>
    <t>Order-to-cash</t>
  </si>
  <si>
    <t>Core digital product</t>
  </si>
  <si>
    <t>Single country</t>
  </si>
  <si>
    <t>Enterprise B2B</t>
  </si>
  <si>
    <t>SaaS</t>
  </si>
  <si>
    <t>Single legal entity</t>
  </si>
  <si>
    <t>Single market</t>
  </si>
  <si>
    <t>0</t>
  </si>
  <si>
    <t>Fully digital / remote-first</t>
  </si>
  <si>
    <t>Private</t>
  </si>
  <si>
    <t>GDPR / privacy</t>
  </si>
  <si>
    <t>Not possible</t>
  </si>
  <si>
    <t>Subscription / recurring</t>
  </si>
  <si>
    <t>One-off</t>
  </si>
  <si>
    <t>Enterprise sales</t>
  </si>
  <si>
    <t>B2B SaaS</t>
  </si>
  <si>
    <t>Semi-annual</t>
  </si>
  <si>
    <t>B2C</t>
  </si>
  <si>
    <t>10-25</t>
  </si>
  <si>
    <t>Public cloud</t>
  </si>
  <si>
    <t>Alternate site</t>
  </si>
  <si>
    <t>Poland</t>
  </si>
  <si>
    <t>Minor</t>
  </si>
  <si>
    <t>Procure-to-pay</t>
  </si>
  <si>
    <t>Professional service</t>
  </si>
  <si>
    <t>Local</t>
  </si>
  <si>
    <t>Multi-country same region</t>
  </si>
  <si>
    <t>Mid-market B2B</t>
  </si>
  <si>
    <t>Software</t>
  </si>
  <si>
    <t>Few entities (2-3)</t>
  </si>
  <si>
    <t>2-3 core markets</t>
  </si>
  <si>
    <t>Ad hoc</t>
  </si>
  <si>
    <t>Hybrid digital/physical</t>
  </si>
  <si>
    <t>Public</t>
  </si>
  <si>
    <t>NIS2 / cybersecurity</t>
  </si>
  <si>
    <t>Limited</t>
  </si>
  <si>
    <t>Usage-based</t>
  </si>
  <si>
    <t>Repeat non-contractual</t>
  </si>
  <si>
    <t>Self-service</t>
  </si>
  <si>
    <t>Banking</t>
  </si>
  <si>
    <t>Annual</t>
  </si>
  <si>
    <t>B2B2C</t>
  </si>
  <si>
    <t>25-50</t>
  </si>
  <si>
    <t>Private cloud</t>
  </si>
  <si>
    <t>Manual workaround</t>
  </si>
  <si>
    <t>United Kingdom</t>
  </si>
  <si>
    <t>Production / manufacturing</t>
  </si>
  <si>
    <t>Manufactured product</t>
  </si>
  <si>
    <t>Regional</t>
  </si>
  <si>
    <t>Multi-region</t>
  </si>
  <si>
    <t>SMB</t>
  </si>
  <si>
    <t>Cloud product</t>
  </si>
  <si>
    <t>Multiple entities (4-10)</t>
  </si>
  <si>
    <t>4-10 markets</t>
  </si>
  <si>
    <t>Basic</t>
  </si>
  <si>
    <t>Asset-heavy production</t>
  </si>
  <si>
    <t>State-owned</t>
  </si>
  <si>
    <t>HIPAA / healthcare</t>
  </si>
  <si>
    <t>Partial</t>
  </si>
  <si>
    <t>Transaction / ecommerce</t>
  </si>
  <si>
    <t>Contracted recurring</t>
  </si>
  <si>
    <t>Partner/channel</t>
  </si>
  <si>
    <t>Custom Software Development</t>
  </si>
  <si>
    <t>Planned</t>
  </si>
  <si>
    <t>Crisis-triggered</t>
  </si>
  <si>
    <t>Marketplace</t>
  </si>
  <si>
    <t>50-100</t>
  </si>
  <si>
    <t>Hybrid cloud</t>
  </si>
  <si>
    <t>Outsourced fallback</t>
  </si>
  <si>
    <t>United States</t>
  </si>
  <si>
    <t>Major</t>
  </si>
  <si>
    <t>Delivery / project delivery</t>
  </si>
  <si>
    <t>Retail channel</t>
  </si>
  <si>
    <t>National</t>
  </si>
  <si>
    <t>Global</t>
  </si>
  <si>
    <t>Consumer / B2C</t>
  </si>
  <si>
    <t>IT services</t>
  </si>
  <si>
    <t>International group</t>
  </si>
  <si>
    <t>&gt;10 markets</t>
  </si>
  <si>
    <t>Formal relocation support</t>
  </si>
  <si>
    <t>Distributed service delivery</t>
  </si>
  <si>
    <t>Family-owned</t>
  </si>
  <si>
    <t>SOX / financial reporting</t>
  </si>
  <si>
    <t>Mostly remote-ready</t>
  </si>
  <si>
    <t>Project-based</t>
  </si>
  <si>
    <t>Subscription</t>
  </si>
  <si>
    <t>Retail/store</t>
  </si>
  <si>
    <t>Discrete Manufacturing</t>
  </si>
  <si>
    <t>Other</t>
  </si>
  <si>
    <t>Internal/shared services</t>
  </si>
  <si>
    <t>100+</t>
  </si>
  <si>
    <t>Multi-cloud</t>
  </si>
  <si>
    <t>No workaround</t>
  </si>
  <si>
    <t>Germany</t>
  </si>
  <si>
    <t>Severe</t>
  </si>
  <si>
    <t>Customer support</t>
  </si>
  <si>
    <t>Logistics service</t>
  </si>
  <si>
    <t>Public sector</t>
  </si>
  <si>
    <t>Outsourcing</t>
  </si>
  <si>
    <t>Complex regulated group</t>
  </si>
  <si>
    <t>Global / multi-region</t>
  </si>
  <si>
    <t>Tested cross-border continuity</t>
  </si>
  <si>
    <t>Branch/store network</t>
  </si>
  <si>
    <t>PE-backed</t>
  </si>
  <si>
    <t>PCI DSS / payments</t>
  </si>
  <si>
    <t>Fully remote-ready</t>
  </si>
  <si>
    <t>Manufacturing product sales</t>
  </si>
  <si>
    <t>Usage-based recurring</t>
  </si>
  <si>
    <t>Ecommerce</t>
  </si>
  <si>
    <t>Omnichannel Retail</t>
  </si>
  <si>
    <t>Public service</t>
  </si>
  <si>
    <t>SaaS-heavy</t>
  </si>
  <si>
    <t>France</t>
  </si>
  <si>
    <t>Financial product</t>
  </si>
  <si>
    <t>Regulated enterprise</t>
  </si>
  <si>
    <t>Financial services</t>
  </si>
  <si>
    <t>Logistics network</t>
  </si>
  <si>
    <t>VC-backed</t>
  </si>
  <si>
    <t>Banking / financial regulator</t>
  </si>
  <si>
    <t>Distribution / resale</t>
  </si>
  <si>
    <t>Mixed</t>
  </si>
  <si>
    <t>Procurement/tender</t>
  </si>
  <si>
    <t>B2C Digital Product</t>
  </si>
  <si>
    <t>0-5</t>
  </si>
  <si>
    <t>Owned data center</t>
  </si>
  <si>
    <t>Core platform / product backend</t>
  </si>
  <si>
    <t>Netherlands</t>
  </si>
  <si>
    <t>Financial close</t>
  </si>
  <si>
    <t>Healthcare service</t>
  </si>
  <si>
    <t>Marketplace participants</t>
  </si>
  <si>
    <t>Regulated financial operations</t>
  </si>
  <si>
    <t>NGO</t>
  </si>
  <si>
    <t>Export control / sanctions</t>
  </si>
  <si>
    <t>Marketplace commission</t>
  </si>
  <si>
    <t>Account management</t>
  </si>
  <si>
    <t>Managed Services</t>
  </si>
  <si>
    <t>6-10</t>
  </si>
  <si>
    <t>Other / Unknown</t>
  </si>
  <si>
    <t>Switzerland</t>
  </si>
  <si>
    <t>Regulatory reporting</t>
  </si>
  <si>
    <t>Energy / utility service</t>
  </si>
  <si>
    <t>Internal users</t>
  </si>
  <si>
    <t>Fintech</t>
  </si>
  <si>
    <t>Project-based delivery</t>
  </si>
  <si>
    <t>Labor / OH&amp;S</t>
  </si>
  <si>
    <t>Licensing</t>
  </si>
  <si>
    <t>Payments</t>
  </si>
  <si>
    <t>11-20</t>
  </si>
  <si>
    <t>Norway</t>
  </si>
  <si>
    <t>Product development</t>
  </si>
  <si>
    <t>Mixed / other</t>
  </si>
  <si>
    <t>Retail</t>
  </si>
  <si>
    <t>Environmental</t>
  </si>
  <si>
    <t>Public funding / grants</t>
  </si>
  <si>
    <t>Process Manufacturing</t>
  </si>
  <si>
    <t>21-50</t>
  </si>
  <si>
    <t>Sweden</t>
  </si>
  <si>
    <t>Fulfillment / logistics</t>
  </si>
  <si>
    <t>Public procurement</t>
  </si>
  <si>
    <t>Pure Ecommerce</t>
  </si>
  <si>
    <t>&gt;50</t>
  </si>
  <si>
    <t>Romania</t>
  </si>
  <si>
    <t>Workforce operations</t>
  </si>
  <si>
    <t>Customer audit obligations</t>
  </si>
  <si>
    <t>Consulting / Advisory</t>
  </si>
  <si>
    <t>Czech Republic</t>
  </si>
  <si>
    <t>Security operations</t>
  </si>
  <si>
    <t>Precision Manufacturing</t>
  </si>
  <si>
    <t>None / low</t>
  </si>
  <si>
    <t>Insurance</t>
  </si>
  <si>
    <t>MRP</t>
  </si>
  <si>
    <t>Estonia</t>
  </si>
  <si>
    <t>Platform / Marketplace</t>
  </si>
  <si>
    <t>Current validation for Ownership type</t>
  </si>
  <si>
    <t>Current v2.8 validation</t>
  </si>
  <si>
    <t>Spain</t>
  </si>
  <si>
    <t>Portugal</t>
  </si>
  <si>
    <t>Wholesale / Distribution</t>
  </si>
  <si>
    <t>Brazil</t>
  </si>
  <si>
    <t>Cloud / Infrastructure Product</t>
  </si>
  <si>
    <t>KYC / AML</t>
  </si>
  <si>
    <t>Colombia</t>
  </si>
  <si>
    <t>Fraud monitoring</t>
  </si>
  <si>
    <t>Industrial Equipment</t>
  </si>
  <si>
    <t>Staff Augmentation</t>
  </si>
  <si>
    <t>Store Network</t>
  </si>
  <si>
    <t>Current validation for Regulatory exposure level</t>
  </si>
  <si>
    <t>Current validation for Target process maturity 0-5</t>
  </si>
  <si>
    <t>Current validation for Assessment cadence</t>
  </si>
  <si>
    <t>Current validation for Risk appetite statement</t>
  </si>
  <si>
    <t>Current validation for Selected industry (_REF benchmark / weights)</t>
  </si>
  <si>
    <t>Current validation for Transformation experience</t>
  </si>
  <si>
    <t>Current validation for Company size band</t>
  </si>
  <si>
    <t>Current validation for Annual revenue band</t>
  </si>
  <si>
    <t>Current validation for Cash runway (months if sales stop)</t>
  </si>
  <si>
    <t>Current validation for Debt load</t>
  </si>
  <si>
    <t>Current validation for FX exposure (foreign-currency revenue share)</t>
  </si>
  <si>
    <t>N</t>
  </si>
  <si>
    <t>Canonical industries consumed by Profile Vector and Relevance Engine | Legacy duplicate deactivated in v3.0; authoritative values are rows 2:10 and helper range.</t>
  </si>
  <si>
    <t>Proposed</t>
  </si>
  <si>
    <t>IT Services / Consulting</t>
  </si>
  <si>
    <t>Manufacturing / Industrial</t>
  </si>
  <si>
    <t>Other / Generic</t>
  </si>
  <si>
    <t>Raw industry alias to canonical industry</t>
  </si>
  <si>
    <t>Proposed alias map</t>
  </si>
  <si>
    <t>Dependent values for SaaS / Digital Product</t>
  </si>
  <si>
    <t>Proposed Step 2</t>
  </si>
  <si>
    <t>Dependent values for IT Services / Consulting</t>
  </si>
  <si>
    <t>Dependent values for Financial Services / Banking</t>
  </si>
  <si>
    <t>Dependent values for Retail / Ecommerce</t>
  </si>
  <si>
    <t>Dependent values for Manufacturing / Industrial</t>
  </si>
  <si>
    <t>Proposed dropdown list GEOGRAPHIC_FOOTPRINT</t>
  </si>
  <si>
    <t>Proposed dropdown list OPERATING_MODEL</t>
  </si>
  <si>
    <t>Proposed dropdown list BUSINESS_MODEL</t>
  </si>
  <si>
    <t>Proposed dropdown list REVENUE_MODEL</t>
  </si>
  <si>
    <t>Proposed dropdown list REVENUE_RECURRENCE</t>
  </si>
  <si>
    <t>Proposed dropdown list SALES_MOTION</t>
  </si>
  <si>
    <t>Proposed dropdown list LOCATION_CRITICALITY</t>
  </si>
  <si>
    <t>Proposed dropdown list DISRUPTION_IMPACT</t>
  </si>
  <si>
    <t>Proposed dropdown list CONTINUITY_OPTION</t>
  </si>
  <si>
    <t>Proposed dropdown list CONCENTRATION_BAND</t>
  </si>
  <si>
    <t>Proposed dropdown list SUPPLIER_SUBSTITUTABILITY</t>
  </si>
  <si>
    <t>Proposed dropdown list REMOTE_WORK_READINESS</t>
  </si>
  <si>
    <t>Proposed dropdown list MOBILITY_SUPPORT</t>
  </si>
  <si>
    <t>Proposed dropdown list CORE_SYSTEM_FAMILY</t>
  </si>
  <si>
    <t>Proposed dropdown list CLOUD_MODEL</t>
  </si>
  <si>
    <t>Proposed dropdown list REGULATION_FAMILY</t>
  </si>
  <si>
    <t>Proposed dropdown list EVIDENCE_CONFIDENCE</t>
  </si>
  <si>
    <t>Proposed dropdown list ASSESSOR_CONFIDENCE</t>
  </si>
  <si>
    <t>Proposed dropdown list CRISIS_HISTORY_IMPACT</t>
  </si>
  <si>
    <t>Proposed dropdown list CHANGE_CAPACITY_BAND</t>
  </si>
  <si>
    <t>Proposed dropdown list CRITICAL_PROCESS_FAMILY</t>
  </si>
  <si>
    <t>Proposed dropdown list CRITICAL_PRODUCT_SERVICE_TYPE</t>
  </si>
  <si>
    <t>Proposed dropdown list DATA_CRITICALITY</t>
  </si>
  <si>
    <t>Proposed dropdown list DIGITAL_DEPENDENCY</t>
  </si>
  <si>
    <t>Proposed dropdown list PHYSICAL_FOOTPRINT_INTENSITY</t>
  </si>
  <si>
    <t>Country dropdown for HQ / workforce footprint</t>
  </si>
  <si>
    <t>Step 3 supplement</t>
  </si>
  <si>
    <t>Legal entity complexity band</t>
  </si>
  <si>
    <t>Critical people dependency band</t>
  </si>
  <si>
    <t>Default evidence / assessor confidence</t>
  </si>
  <si>
    <t>Customer segment / ICP dropdown</t>
  </si>
  <si>
    <t>Top market concentration band</t>
  </si>
  <si>
    <t>Generic concentration/dependency share band</t>
  </si>
  <si>
    <t>Change capacity band if exact capacity is not available</t>
  </si>
  <si>
    <t>REGULATORY_INTENSITY fallback value</t>
  </si>
  <si>
    <t>SUPPLIER_SUBSTITUTABILITY fallback value</t>
  </si>
  <si>
    <t>REMOTE_WORK_READINESS fallback value</t>
  </si>
  <si>
    <t>MOBILITY_SUPPORT fallback value</t>
  </si>
  <si>
    <t>CASH_RUNWAY_BAND fallback value</t>
  </si>
  <si>
    <t>DEBT_LOAD fallback value</t>
  </si>
  <si>
    <t>FX_EXPOSURE_BAND fallback value</t>
  </si>
  <si>
    <t>TRANSFORMATION_EXPERIENCE fallback value</t>
  </si>
  <si>
    <t>CLOUD_MODEL fallback value</t>
  </si>
  <si>
    <t>CORE_SYSTEM_FAMILY fallback value</t>
  </si>
  <si>
    <t>REVENUE_MODEL fallback value</t>
  </si>
  <si>
    <t>REVENUE_RECURRENCE fallback value</t>
  </si>
  <si>
    <t>SALES_MOTION fallback value</t>
  </si>
  <si>
    <t>BUSINESS_MODEL fallback value</t>
  </si>
  <si>
    <t>OPERATING_MODEL fallback value</t>
  </si>
  <si>
    <t>Current validation for yes/no/planned/unknown fields</t>
  </si>
  <si>
    <t>Step 3 — Controlled dropdown registry and validation wiring</t>
  </si>
  <si>
    <t>Source workbook</t>
  </si>
  <si>
    <t>RR-framework_v2.8_QA_stabilized.xlsx</t>
  </si>
  <si>
    <t>Output workbook</t>
  </si>
  <si>
    <t>RR-framework_v2.9_step3_dropdowns.xlsx</t>
  </si>
  <si>
    <t>Registry rows</t>
  </si>
  <si>
    <t>Dropdown List_ID count</t>
  </si>
  <si>
    <t>Named DV ranges created</t>
  </si>
  <si>
    <t>Old Company Profile validations</t>
  </si>
  <si>
    <t>New Company Profile validations</t>
  </si>
  <si>
    <t>Formula rewrites</t>
  </si>
  <si>
    <t>None — Step 3 only wires controlled input validation</t>
  </si>
  <si>
    <t>Known legacy not fixed here</t>
  </si>
  <si>
    <t>_ENGINE_Risk references to 'Resilience &amp; Risk Scenario'!B60 remain Step 4/P0 formula patch</t>
  </si>
  <si>
    <t>Field_ID</t>
  </si>
  <si>
    <t>Label</t>
  </si>
  <si>
    <t>Requested_List_ID</t>
  </si>
  <si>
    <t>Resolved_List_ID</t>
  </si>
  <si>
    <t>Named_Range</t>
  </si>
  <si>
    <t>B9</t>
  </si>
  <si>
    <t>INDUSTRY</t>
  </si>
  <si>
    <t>DV_INDUSTRY_CANONICAL</t>
  </si>
  <si>
    <t>ADDED</t>
  </si>
  <si>
    <t>From _REF_Profile_Field_Dictionary</t>
  </si>
  <si>
    <t>B10</t>
  </si>
  <si>
    <t>SUB_INDUSTRY</t>
  </si>
  <si>
    <t>DV_SUB_INDUSTRY_BY_INDUSTRY</t>
  </si>
  <si>
    <t>B11</t>
  </si>
  <si>
    <t>HQ_COUNTRY</t>
  </si>
  <si>
    <t>DV_COUNTRY</t>
  </si>
  <si>
    <t>B12</t>
  </si>
  <si>
    <t>OPERATING_COUNTRIES</t>
  </si>
  <si>
    <t>DV_GEOGRAPHIC_FOOTPRINT</t>
  </si>
  <si>
    <t>B13</t>
  </si>
  <si>
    <t>OWNERSHIP</t>
  </si>
  <si>
    <t>DV_OWNERSHIP_TYPE</t>
  </si>
  <si>
    <t>B14</t>
  </si>
  <si>
    <t>LEGAL_ENTITIES</t>
  </si>
  <si>
    <t>DV_LEGAL_ENTITY_COMPLEXITY</t>
  </si>
  <si>
    <t>B15</t>
  </si>
  <si>
    <t>EMP_COUNT</t>
  </si>
  <si>
    <t>EMPLOYEE_SIZE_BAND</t>
  </si>
  <si>
    <t>NUMERIC_WHOLE_GE_0</t>
  </si>
  <si>
    <t>ADDED_NUMERIC</t>
  </si>
  <si>
    <t>Kept as exact employee count; size band remains B105.</t>
  </si>
  <si>
    <t>B17</t>
  </si>
  <si>
    <t>DV_OPERATING_MODEL</t>
  </si>
  <si>
    <t>B18</t>
  </si>
  <si>
    <t>DV_BUSINESS_MODEL</t>
  </si>
  <si>
    <t>B20</t>
  </si>
  <si>
    <t>ICP_SEGMENTS</t>
  </si>
  <si>
    <t>GTM/revenue relevance</t>
  </si>
  <si>
    <t>DV_ICP_SEGMENT</t>
  </si>
  <si>
    <t>B21</t>
  </si>
  <si>
    <t>TOP_MARKETS</t>
  </si>
  <si>
    <t>DV_MARKET_CONCENTRATION</t>
  </si>
  <si>
    <t>B24</t>
  </si>
  <si>
    <t>CRIT_PEOPLE_TEXT</t>
  </si>
  <si>
    <t>DV_CRITICAL_PEOPLE_DEPENDENCY</t>
  </si>
  <si>
    <t>B25</t>
  </si>
  <si>
    <t>REG_EXPOSURE</t>
  </si>
  <si>
    <t>DV_REGULATORY_INTENSITY</t>
  </si>
  <si>
    <t>B26</t>
  </si>
  <si>
    <t>REGULATIONS</t>
  </si>
  <si>
    <t>DV_REGULATION_FAMILY</t>
  </si>
  <si>
    <t>B27</t>
  </si>
  <si>
    <t>CORE_SYSTEMS</t>
  </si>
  <si>
    <t>DV_CORE_SYSTEM_FAMILY</t>
  </si>
  <si>
    <t>B28</t>
  </si>
  <si>
    <t>CLOUD_INFRA_MODEL</t>
  </si>
  <si>
    <t>DV_CLOUD_MODEL</t>
  </si>
  <si>
    <t>B31</t>
  </si>
  <si>
    <t>TARGET_PROCESS</t>
  </si>
  <si>
    <t>DV_MATURITY_TARGET</t>
  </si>
  <si>
    <t>B32</t>
  </si>
  <si>
    <t>TARGET_DIGITAL</t>
  </si>
  <si>
    <t>B33</t>
  </si>
  <si>
    <t>TARGET_RESILIENCE</t>
  </si>
  <si>
    <t>B34</t>
  </si>
  <si>
    <t>ASSESS_CADENCE</t>
  </si>
  <si>
    <t>DV_ASSESSMENT_CADENCE</t>
  </si>
  <si>
    <t>B35</t>
  </si>
  <si>
    <t>DV_RISK_APPETITE</t>
  </si>
  <si>
    <t>B40</t>
  </si>
  <si>
    <t>DEFAULT_EVIDENCE_CONF</t>
  </si>
  <si>
    <t>DV_CONFIDENCE_LEVEL</t>
  </si>
  <si>
    <t>B41</t>
  </si>
  <si>
    <t>DEFAULT_ASSESSOR_CONF</t>
  </si>
  <si>
    <t>B50</t>
  </si>
  <si>
    <t>DV_REVENUE_MODEL</t>
  </si>
  <si>
    <t>B51</t>
  </si>
  <si>
    <t>SECONDARY_REVENUE_MODEL</t>
  </si>
  <si>
    <t>B52</t>
  </si>
  <si>
    <t>DV_REVENUE_RECURRENCE</t>
  </si>
  <si>
    <t>B53</t>
  </si>
  <si>
    <t>DV_SALES_MOTION</t>
  </si>
  <si>
    <t>B54</t>
  </si>
  <si>
    <t>CUST_TOP1</t>
  </si>
  <si>
    <t>DV_CONCENTRATION_BAND</t>
  </si>
  <si>
    <t>B55</t>
  </si>
  <si>
    <t>CUST_TOP5</t>
  </si>
  <si>
    <t>B56</t>
  </si>
  <si>
    <t>CUST_TOP10</t>
  </si>
  <si>
    <t>B57</t>
  </si>
  <si>
    <t>SUPPLIER_TOP1</t>
  </si>
  <si>
    <t>Supplier/vendor relevance</t>
  </si>
  <si>
    <t>B58</t>
  </si>
  <si>
    <t>SUPPLIER_TOP5</t>
  </si>
  <si>
    <t>B59</t>
  </si>
  <si>
    <t>DV_SUPPLIER_SUBSTITUTABILITY</t>
  </si>
  <si>
    <t>B73</t>
  </si>
  <si>
    <t>WORKFORCE_COUNTRIES</t>
  </si>
  <si>
    <t>B74</t>
  </si>
  <si>
    <t>WORKFORCE_COUNTRY_SHARE</t>
  </si>
  <si>
    <t>Workforce concentration</t>
  </si>
  <si>
    <t>B75</t>
  </si>
  <si>
    <t>WORKFORCE_CITY_SHARE</t>
  </si>
  <si>
    <t>Location concentration</t>
  </si>
  <si>
    <t>B76</t>
  </si>
  <si>
    <t>REMOTE_READY</t>
  </si>
  <si>
    <t>DV_REMOTE_WORK_READINESS</t>
  </si>
  <si>
    <t>B77</t>
  </si>
  <si>
    <t>RELOCATION_SUPPORT</t>
  </si>
  <si>
    <t>DV_MOBILITY_SUPPORT</t>
  </si>
  <si>
    <t>B103</t>
  </si>
  <si>
    <t>TRANSFORMATION_EXP</t>
  </si>
  <si>
    <t>DV_TRANSFORMATION_EXPERIENCE</t>
  </si>
  <si>
    <t>B105</t>
  </si>
  <si>
    <t>COMPANY_SIZE</t>
  </si>
  <si>
    <t>DV_COMPANY_SIZE_BAND</t>
  </si>
  <si>
    <t>B108</t>
  </si>
  <si>
    <t>ANNUAL_REVENUE</t>
  </si>
  <si>
    <t>DV_REVENUE_BAND</t>
  </si>
  <si>
    <t>B110</t>
  </si>
  <si>
    <t>CASH_RUNWAY</t>
  </si>
  <si>
    <t>DV_CASH_RUNWAY_BAND</t>
  </si>
  <si>
    <t>B111</t>
  </si>
  <si>
    <t>DV_DEBT_LOAD</t>
  </si>
  <si>
    <t>B112</t>
  </si>
  <si>
    <t>FX_EXPOSURE</t>
  </si>
  <si>
    <t>DV_FX_EXPOSURE_BAND</t>
  </si>
  <si>
    <t>B63:B70</t>
  </si>
  <si>
    <t>LOCATION_BUSINESS_CRITICALITY</t>
  </si>
  <si>
    <t>Location business criticality</t>
  </si>
  <si>
    <t>DV_LOCATION_CRITICALITY</t>
  </si>
  <si>
    <t>Location rows: Business criticality</t>
  </si>
  <si>
    <t>C63:C70</t>
  </si>
  <si>
    <t>LOCATION_DISRUPTION_IMPACT</t>
  </si>
  <si>
    <t>Location disruption impact</t>
  </si>
  <si>
    <t>DV_DISRUPTION_IMPACT</t>
  </si>
  <si>
    <t>Location rows: Disruption impact</t>
  </si>
  <si>
    <t>D63:D70</t>
  </si>
  <si>
    <t>LOCATION_CONTINUITY_OPTION</t>
  </si>
  <si>
    <t>Location continuity option</t>
  </si>
  <si>
    <t>DV_CONTINUITY_OPTION</t>
  </si>
  <si>
    <t>Location rows: Continuity option</t>
  </si>
  <si>
    <t>B80:B84</t>
  </si>
  <si>
    <t>CRITICAL_PROCESS_LIST</t>
  </si>
  <si>
    <t>Critical process list</t>
  </si>
  <si>
    <t>DV_CRITICAL_PROCESS_FAMILY</t>
  </si>
  <si>
    <t>Critical Process List</t>
  </si>
  <si>
    <t>B87:B91</t>
  </si>
  <si>
    <t>CRITICAL_PRODUCT_SERVICE_LIST</t>
  </si>
  <si>
    <t>Critical product/service list</t>
  </si>
  <si>
    <t>DV_CRITICAL_PRODUCT_SERVICE_TYPE</t>
  </si>
  <si>
    <t>Critical Product / Service List</t>
  </si>
  <si>
    <t>B95:B99</t>
  </si>
  <si>
    <t>Crisis history impact</t>
  </si>
  <si>
    <t>DV_CRISIS_HISTORY_IMPACT</t>
  </si>
  <si>
    <t>B109</t>
  </si>
  <si>
    <t>GROSS_MARGIN</t>
  </si>
  <si>
    <t>NUMERIC_DECIMAL_0_1</t>
  </si>
  <si>
    <t>Hard-data numeric validation added.</t>
  </si>
  <si>
    <t>B48</t>
  </si>
  <si>
    <t>RETIRED_AS_INPUT</t>
  </si>
  <si>
    <t>RETIRED_NO_VALIDATION</t>
  </si>
  <si>
    <t>Manual validation removed; should become derived from Canonical_Industry in Profile Vector.</t>
  </si>
  <si>
    <t>RR Framework — Profile Vector Lint (v2.9.4)</t>
  </si>
  <si>
    <t>QA checks for the canonical profile vector. Some legacy formula counts are intentionally tracked for the next redirect step rather than failed here.</t>
  </si>
  <si>
    <t>Check_ID</t>
  </si>
  <si>
    <t>Expected</t>
  </si>
  <si>
    <t>Actual</t>
  </si>
  <si>
    <t>PV-001</t>
  </si>
  <si>
    <t>Canonical industry is derived from raw industry</t>
  </si>
  <si>
    <t>non-blank when Company Profile!B9 is non-blank</t>
  </si>
  <si>
    <t>PV-002</t>
  </si>
  <si>
    <t>Industry alias lookup supports current value</t>
  </si>
  <si>
    <t>alias found or fallback used</t>
  </si>
  <si>
    <t>PV-003</t>
  </si>
  <si>
    <t>Legacy Selected industry template is compatibility bridge</t>
  </si>
  <si>
    <t>PV-004</t>
  </si>
  <si>
    <t>Legacy benchmark industry field is compatibility bridge</t>
  </si>
  <si>
    <t>PV-005</t>
  </si>
  <si>
    <t>Template domain count for canonical industry</t>
  </si>
  <si>
    <t>&gt;0 if template exists</t>
  </si>
  <si>
    <t>PV-006</t>
  </si>
  <si>
    <t>Profile completeness tracked</t>
  </si>
  <si>
    <t>0-1</t>
  </si>
  <si>
    <t>PV-007</t>
  </si>
  <si>
    <t>Named PV outputs created</t>
  </si>
  <si>
    <t>&gt;=20</t>
  </si>
  <si>
    <t>PV-008</t>
  </si>
  <si>
    <t>Direct Company Profile!B9 formula references remaining</t>
  </si>
  <si>
    <t>tracked for v2.9.5 redirect</t>
  </si>
  <si>
    <t>TRACKED</t>
  </si>
  <si>
    <t>PV-009</t>
  </si>
  <si>
    <t>Direct Company Profile!B48 formula references remaining</t>
  </si>
  <si>
    <t>PV-010</t>
  </si>
  <si>
    <t>Known scenario bug B60 references remaining</t>
  </si>
  <si>
    <t>tracked for formula patch</t>
  </si>
  <si>
    <t>Patch ID</t>
  </si>
  <si>
    <t>v2.9.5 Redirect Consumers</t>
  </si>
  <si>
    <t>Created</t>
  </si>
  <si>
    <t>2026-06-21</t>
  </si>
  <si>
    <t>Redirect downstream industry consumers to PV_Canonical_Industry and fix scenario B60 reference in _ENGINE_Risk</t>
  </si>
  <si>
    <t>Scope</t>
  </si>
  <si>
    <t>Formula patch only; no structural risk/relevance engine change yet</t>
  </si>
  <si>
    <t>Downstream Company Profile!B9 refs redirected</t>
  </si>
  <si>
    <t>OK</t>
  </si>
  <si>
    <t>Downstream Company Profile!B48 refs redirected</t>
  </si>
  <si>
    <t>_ENGINE_Risk B60 scenario refs fixed</t>
  </si>
  <si>
    <t>Remaining workbook Company Profile!B9 refs</t>
  </si>
  <si>
    <t>Expected: retained only in Profile Vector / lint / documentation</t>
  </si>
  <si>
    <t>Remaining workbook Company Profile!B48 refs</t>
  </si>
  <si>
    <t>Expected: retained only in lint / bridge</t>
  </si>
  <si>
    <t>Remaining workbook scenario B60 refs</t>
  </si>
  <si>
    <t>PV_Canonical_Industry formula refs</t>
  </si>
  <si>
    <t>Changed Sheet</t>
  </si>
  <si>
    <t>Patch</t>
  </si>
  <si>
    <t>Before</t>
  </si>
  <si>
    <t>After</t>
  </si>
  <si>
    <t>Changed</t>
  </si>
  <si>
    <t>Company Profile B9 -&gt; PV_Canonical_Industry</t>
  </si>
  <si>
    <t>Company Profile B48 -&gt; PV_Canonical_Industry</t>
  </si>
  <si>
    <t>Risk scenario B60 -&gt; B6</t>
  </si>
  <si>
    <t>_LINT_SelfCheck</t>
  </si>
  <si>
    <t>Area</t>
  </si>
  <si>
    <t>Formula_or_Status</t>
  </si>
  <si>
    <t>REL-LINT-001</t>
  </si>
  <si>
    <t>Structure</t>
  </si>
  <si>
    <t>_REF_Applicability_Gates rows exist</t>
  </si>
  <si>
    <t>&gt; 50</t>
  </si>
  <si>
    <t>Info</t>
  </si>
  <si>
    <t>Seed rules for industry/capability gates.</t>
  </si>
  <si>
    <t>REL-LINT-002</t>
  </si>
  <si>
    <t>_REF_Crisis_Dominance rows exist</t>
  </si>
  <si>
    <t>&gt; 30</t>
  </si>
  <si>
    <t>Seed rules for crisis/capability dominance.</t>
  </si>
  <si>
    <t>REL-LINT-003</t>
  </si>
  <si>
    <t>Hard gates</t>
  </si>
  <si>
    <t>SaaS excludes MES shop-floor</t>
  </si>
  <si>
    <t>&gt;= 1</t>
  </si>
  <si>
    <t>Prevents MES recommendation for SaaS.</t>
  </si>
  <si>
    <t>REL-LINT-004</t>
  </si>
  <si>
    <t>Banking excludes MES shop-floor</t>
  </si>
  <si>
    <t>Prevents MES recommendation for financial services.</t>
  </si>
  <si>
    <t>REL-LINT-005</t>
  </si>
  <si>
    <t>IT Services excludes WMS warehouse</t>
  </si>
  <si>
    <t>Prevents WMS recommendation for IT services.</t>
  </si>
  <si>
    <t>REL-LINT-006</t>
  </si>
  <si>
    <t>Ransomware boosts cyber/identity/backup/IR</t>
  </si>
  <si>
    <t>&gt;= 4</t>
  </si>
  <si>
    <t>Ensures ransomware top results are cyber/DR dominated.</t>
  </si>
  <si>
    <t>REL-LINT-007</t>
  </si>
  <si>
    <t>Engine</t>
  </si>
  <si>
    <t>Final relevance values are bounded</t>
  </si>
  <si>
    <t>0 bad rows</t>
  </si>
  <si>
    <t>Catch formula/range errors after recalc.</t>
  </si>
  <si>
    <t>REL-LINT-008</t>
  </si>
  <si>
    <t>Hard excluded rows have zero final relevance</t>
  </si>
  <si>
    <t>Hard gates must apply before ranking.</t>
  </si>
  <si>
    <t>REL-LINT-009</t>
  </si>
  <si>
    <t>Integration</t>
  </si>
  <si>
    <t>Risk/initiative ranking not yet consuming Final_Relevance</t>
  </si>
  <si>
    <t>Expected in v2.9.7</t>
  </si>
  <si>
    <t>Seed only</t>
  </si>
  <si>
    <t>This v2.9.6 step seeds engine; downstream consumption should be patched in the next version.</t>
  </si>
  <si>
    <t>REL-LINT-010</t>
  </si>
  <si>
    <t>Consumption</t>
  </si>
  <si>
    <t>Initiative ranking consumes REL_Final_Relevance via AS multiplier</t>
  </si>
  <si>
    <t>Formulas patched</t>
  </si>
  <si>
    <t>Zero values indicate hard-excluded initiative domains after relevance consumption.</t>
  </si>
  <si>
    <t>REL-LINT-011</t>
  </si>
  <si>
    <t>Risk ranking consumes REL_Final_Relevance via AX multiplier</t>
  </si>
  <si>
    <t>Zero values indicate hard-excluded risk domains after relevance consumption.</t>
  </si>
  <si>
    <t>REL-LINT-012</t>
  </si>
  <si>
    <t>Formula integrity</t>
  </si>
  <si>
    <t>Known scenario B60 issue remains closed</t>
  </si>
  <si>
    <t>Checked in v2.9.5; no B60 scenario formulas should return.</t>
  </si>
  <si>
    <t>Scenario selection should remain based on Resilience &amp; Risk Scenario!B6.</t>
  </si>
  <si>
    <t>REL-LINT-013</t>
  </si>
  <si>
    <t>Traceability</t>
  </si>
  <si>
    <t>Initiative rationale exposes relevance multiplier</t>
  </si>
  <si>
    <t>BY includes relevance</t>
  </si>
  <si>
    <t>Rationale text now includes relevance=ROUND(AS,2)</t>
  </si>
  <si>
    <t>Helps QA explain why a recommendation was boosted or suppressed.</t>
  </si>
  <si>
    <t>Check_Name</t>
  </si>
  <si>
    <t>Formula_or_Result</t>
  </si>
  <si>
    <t>LINT-CAP-001</t>
  </si>
  <si>
    <t>Capability bridge sheet exists</t>
  </si>
  <si>
    <t>Manual check</t>
  </si>
  <si>
    <t>Sheet present</t>
  </si>
  <si>
    <t>PASS</t>
  </si>
  <si>
    <t>Created in v2.9.8.</t>
  </si>
  <si>
    <t>LINT-CAP-002</t>
  </si>
  <si>
    <t>Initiatives use capability relevance</t>
  </si>
  <si>
    <t>COUNTIF(_ENGINE_Initiatives!AS5:AS76,"*CA*")</t>
  </si>
  <si>
    <t>&gt;0</t>
  </si>
  <si>
    <t>AS formulas now reference CA capability relevance helper.</t>
  </si>
  <si>
    <t>LINT-CAP-003</t>
  </si>
  <si>
    <t>Risks use capability relevance</t>
  </si>
  <si>
    <t>COUNTIF(_ENGINE_Risk!AX500:AX923,"*BU*")</t>
  </si>
  <si>
    <t>AX formulas now reference BU capability relevance helper.</t>
  </si>
  <si>
    <t>LINT-CAP-004</t>
  </si>
  <si>
    <t>No scenario B60 references</t>
  </si>
  <si>
    <t>Known B60 scenario bug remains fixed from v2.9.5.</t>
  </si>
  <si>
    <t>LINT-CAP-005</t>
  </si>
  <si>
    <t>Bridge fallback exists</t>
  </si>
  <si>
    <t>CAP_GENERIC</t>
  </si>
  <si>
    <t>Present</t>
  </si>
  <si>
    <t>Fallback avoids formula errors for unmapped pairs.</t>
  </si>
  <si>
    <t>LINT-CAP-006</t>
  </si>
  <si>
    <t>MES/WMS/TMS can be excluded by capability</t>
  </si>
  <si>
    <t>CAP_MES_SHOPFLOOR / CAP_WMS_WAREHOUSE</t>
  </si>
  <si>
    <t>Hard gates from v2.9.6 can now be consumed at capability-level.</t>
  </si>
  <si>
    <t>Actual / Formula</t>
  </si>
  <si>
    <t>Status / Formula</t>
  </si>
  <si>
    <t>TRT-001</t>
  </si>
  <si>
    <t>Treatment library rows</t>
  </si>
  <si>
    <t>&gt; 180</t>
  </si>
  <si>
    <t>Generic 5-band rows plus industry-specific overrides.</t>
  </si>
  <si>
    <t>TRT-002</t>
  </si>
  <si>
    <t>Active capability generic coverage</t>
  </si>
  <si>
    <t>Every active capability should have 5 generic maturity bands.</t>
  </si>
  <si>
    <t>TRT-003</t>
  </si>
  <si>
    <t>Industry override rows</t>
  </si>
  <si>
    <t>&gt; 40</t>
  </si>
  <si>
    <t>Targeted overrides for SaaS, IT Services, Banking, Retail, Manufacturing.</t>
  </si>
  <si>
    <t>TRT-004</t>
  </si>
  <si>
    <t>Initiative treatment formulas attached</t>
  </si>
  <si>
    <t>72</t>
  </si>
  <si>
    <t>Initiatives now have maturity treatment helper columns.</t>
  </si>
  <si>
    <t>TRT-005</t>
  </si>
  <si>
    <t>Risk treatment formulas attached</t>
  </si>
  <si>
    <t>424</t>
  </si>
  <si>
    <t>Risk rows now have maturity treatment helper columns.</t>
  </si>
  <si>
    <t>TRT-006</t>
  </si>
  <si>
    <t>Missing initiative treatment IDs</t>
  </si>
  <si>
    <t>Blank may be acceptable only for empty initiative rows.</t>
  </si>
  <si>
    <t>TRT-007</t>
  </si>
  <si>
    <t>Missing risk treatment IDs</t>
  </si>
  <si>
    <t>Blank may be acceptable only for inactive/empty risk rows.</t>
  </si>
  <si>
    <t>TRT-008</t>
  </si>
  <si>
    <t>Compatibility note</t>
  </si>
  <si>
    <t>N/A</t>
  </si>
  <si>
    <t>Treatment is helper-layer only in v2.9.9</t>
  </si>
  <si>
    <t>INFO</t>
  </si>
  <si>
    <t>User-facing wording replacement is planned for v2.9.10.</t>
  </si>
  <si>
    <t>IW-001</t>
  </si>
  <si>
    <t>Industry wording rows</t>
  </si>
  <si>
    <t>&gt; 60</t>
  </si>
  <si>
    <t>Generic fallback plus industry-specific overrides.</t>
  </si>
  <si>
    <t>IW-002</t>
  </si>
  <si>
    <t>Generic fallback coverage</t>
  </si>
  <si>
    <t>Every active capability should have a generic fallback.</t>
  </si>
  <si>
    <t>IW-003</t>
  </si>
  <si>
    <t>SaaS overrides</t>
  </si>
  <si>
    <t>&gt;= 5</t>
  </si>
  <si>
    <t>SaaS must have platform/cloud wording and forbidden MES/WMS/TMS terms.</t>
  </si>
  <si>
    <t>IW-004</t>
  </si>
  <si>
    <t>Banking overrides</t>
  </si>
  <si>
    <t>Banking must have core banking/payment/regulatory wording.</t>
  </si>
  <si>
    <t>IW-005</t>
  </si>
  <si>
    <t>Retail overrides</t>
  </si>
  <si>
    <t>Retail must have POS/ecommerce/warehouse/store wording.</t>
  </si>
  <si>
    <t>IW-006</t>
  </si>
  <si>
    <t>Manufacturing overrides</t>
  </si>
  <si>
    <t>Manufacturing must have MES/OT/production wording.</t>
  </si>
  <si>
    <t>IW-007</t>
  </si>
  <si>
    <t>Initiative wording helper formulas</t>
  </si>
  <si>
    <t>Initiatives have wording helper layer.</t>
  </si>
  <si>
    <t>IW-008</t>
  </si>
  <si>
    <t>Risk wording helper formulas</t>
  </si>
  <si>
    <t>Risk rows have wording helper layer.</t>
  </si>
  <si>
    <t>IW-009</t>
  </si>
  <si>
    <t>Forbidden SaaS terms documented</t>
  </si>
  <si>
    <t>SaaS rows explicitly document forbidden MES/WMS/TMS terms.</t>
  </si>
  <si>
    <t>IW-010</t>
  </si>
  <si>
    <t>No ranking rewrite</t>
  </si>
  <si>
    <t>Industry wording is helper/rationale layer only</t>
  </si>
  <si>
    <t>Ranking remains controlled by relevance + treatment + WSJF formulas.</t>
  </si>
  <si>
    <t>v2.9.11 Profile Cleanup Lint</t>
  </si>
  <si>
    <t>Formula / Evidence</t>
  </si>
  <si>
    <t>Owner</t>
  </si>
  <si>
    <t>B16 derived from B108</t>
  </si>
  <si>
    <t>B16 should not be manual</t>
  </si>
  <si>
    <t>FORMULATEXT(Company Profile!B16)</t>
  </si>
  <si>
    <t>B19 derived from structured list</t>
  </si>
  <si>
    <t>B19 should use B87:B91</t>
  </si>
  <si>
    <t>FORMULATEXT(Company Profile!B19)</t>
  </si>
  <si>
    <t>B22 derived from concentration bands</t>
  </si>
  <si>
    <t>B22 should use B54:B56</t>
  </si>
  <si>
    <t>FORMULATEXT(Company Profile!B22)</t>
  </si>
  <si>
    <t>B23 derived from location table</t>
  </si>
  <si>
    <t>B23 should use B63:D70</t>
  </si>
  <si>
    <t>FORMULATEXT(Company Profile!B23)</t>
  </si>
  <si>
    <t>B42 uses PV_Canonical_Industry</t>
  </si>
  <si>
    <t>Industry template block should use PV</t>
  </si>
  <si>
    <t>FORMULATEXT(Company Profile!B42)</t>
  </si>
  <si>
    <t>B48 compatibility only</t>
  </si>
  <si>
    <t>B48 should mirror PV_Canonical_Industry</t>
  </si>
  <si>
    <t>Company Profile!B48</t>
  </si>
  <si>
    <t>Compatibility</t>
  </si>
  <si>
    <t>Profile vector preview exists</t>
  </si>
  <si>
    <t>Preview block should exist</t>
  </si>
  <si>
    <t>Company Profile!A134</t>
  </si>
  <si>
    <t>UX</t>
  </si>
  <si>
    <t>Structured systems table exists</t>
  </si>
  <si>
    <t>System table should exist</t>
  </si>
  <si>
    <t>Company Profile!A115</t>
  </si>
  <si>
    <t>Formula_or_Value</t>
  </si>
  <si>
    <t>LREXP-001</t>
  </si>
  <si>
    <t>Context rules registered</t>
  </si>
  <si>
    <t>Documents context multipliers used by _ENGINE_Relevance.</t>
  </si>
  <si>
    <t>LREXP-002</t>
  </si>
  <si>
    <t>Applicability rules expanded</t>
  </si>
  <si>
    <t>&gt;87</t>
  </si>
  <si>
    <t>More industry rules added for logistics, healthcare, public sector and utilities.</t>
  </si>
  <si>
    <t>LREXP-003</t>
  </si>
  <si>
    <t>Crisis dominance industry key present</t>
  </si>
  <si>
    <t>Industry-aware crisis dominance key is used by _ENGINE_Relevance column J.</t>
  </si>
  <si>
    <t>LREXP-004</t>
  </si>
  <si>
    <t>Relevance context trace populated</t>
  </si>
  <si>
    <t>&gt;=0</t>
  </si>
  <si>
    <t>Trace is formula-driven and will populate depending on profile values.</t>
  </si>
  <si>
    <t>LREXP-005</t>
  </si>
  <si>
    <t>Known B60 scenario bug absent</t>
  </si>
  <si>
    <t>Confirms old VaR reference did not return.</t>
  </si>
  <si>
    <t>LREXP-006</t>
  </si>
  <si>
    <t>Final relevance bounded</t>
  </si>
  <si>
    <t>Expanded context multiplier is capped at 2.5 before hard exclusion.</t>
  </si>
  <si>
    <t>Evidence / Notes</t>
  </si>
  <si>
    <t>LR-001</t>
  </si>
  <si>
    <t>No direct Company Profile!B9 refs outside Profile Vector / lint</t>
  </si>
  <si>
    <t>Total B9 refs: 12; by sheet: {'_ENGINE_Profile_Vector': 10, '_LINT_Profile_Vector': 2}</t>
  </si>
  <si>
    <t>LR-002</t>
  </si>
  <si>
    <t>No direct Company Profile!B48 refs in active downstream formulas</t>
  </si>
  <si>
    <t>Total B48 refs: 2; by sheet: {'_LINT_Profile_Vector': 1, '_LINT_Profile_Cleanup': 1}</t>
  </si>
  <si>
    <t>LR-003</t>
  </si>
  <si>
    <t>No formulas reference old scenario B60</t>
  </si>
  <si>
    <t>By sheet: {}</t>
  </si>
  <si>
    <t>LR-004</t>
  </si>
  <si>
    <t>Canonical industry</t>
  </si>
  <si>
    <t>PV_Canonical_Industry is actively consumed</t>
  </si>
  <si>
    <t>By sheet count: 15 sheets</t>
  </si>
  <si>
    <t>LR-005</t>
  </si>
  <si>
    <t>Relevance final score is referenced by risk/initiative helpers</t>
  </si>
  <si>
    <t>By sheet: {'_ENGINE_Initiatives': 72, '_ENGINE_Risk': 424}</t>
  </si>
  <si>
    <t>LR-006</t>
  </si>
  <si>
    <t>Company Profile dropdowns</t>
  </si>
  <si>
    <t>No inline data validations remain in Company Profile</t>
  </si>
  <si>
    <t>Company Profile inline DVs: []</t>
  </si>
  <si>
    <t>LR-007</t>
  </si>
  <si>
    <t>Workbook formulas</t>
  </si>
  <si>
    <t>No literal formula error tokens in formulas</t>
  </si>
  <si>
    <t>Formula error token samples: []</t>
  </si>
  <si>
    <t>LR-008</t>
  </si>
  <si>
    <t>Ontology views</t>
  </si>
  <si>
    <t>Risk ontology view exists and has 424 rows</t>
  </si>
  <si>
    <t>_REF_Risk_Ontology formula-driven view</t>
  </si>
  <si>
    <t>LR-009</t>
  </si>
  <si>
    <t>Initiative ontology view exists and has 72 rows</t>
  </si>
  <si>
    <t>_REF_Initiative_Ontology formula-driven view</t>
  </si>
  <si>
    <t>LR-010</t>
  </si>
  <si>
    <t>Residual legacy</t>
  </si>
  <si>
    <t>Remaining inline data validations outside Company Profile are tracked as candidates</t>
  </si>
  <si>
    <t>Track only</t>
  </si>
  <si>
    <t>WARN</t>
  </si>
  <si>
    <t>Remaining inline DVs outside profile: [('Guidelines', 'G13', '"How to use this file,Methodology &amp; calculations,Calibration &amp; weights,Workbook tabs,Change history"'), ('Assessment Questions', 'J5:J428', '"1,2,3,4,5"'), ('Assessment Questions', 'AC5:AC428', '"N/A,0 - Absent,1 - Ad hoc / individuals,2 - Partial / not formalized,3 - Documented &amp; operating,4 - Measured &amp; tested,5 - Optimized / automated"'), ('Assessment Questions', 'AK5:AL428', '"Not assessed,Low,Medium,High"'), ('Assessment Questions', 'AX5:AX428', '"Pilot / one team,One unit or site,Most units,Everywhere,Not applicable"'), ('_ENGINE_Initiatives', 'AO5:AO76', '"Not started,In progress,Blocked,Done,Deferred"'), ('_CONFIG_Model_Settings', 'B178', '"Frozen,Live"'), ('_CONFIG_Model_Settings', 'B178', '"Frozen,Live"')]</t>
  </si>
  <si>
    <t>LR-011</t>
  </si>
  <si>
    <t>XML repair</t>
  </si>
  <si>
    <t>Duplicate worksheet namespace repaired before save</t>
  </si>
  <si>
    <t>0 duplicate xmlns</t>
  </si>
  <si>
    <t>Repaired parts before load: ['xl/worksheets/sheet42.xml', 'xl/worksheets/sheet43.xml']</t>
  </si>
  <si>
    <t>Formula_or_Method</t>
  </si>
  <si>
    <t>OUT-LINT-001</t>
  </si>
  <si>
    <t>No direct Company Profile!B9 refs outside Profile Vector/lint</t>
  </si>
  <si>
    <t>Formula scan</t>
  </si>
  <si>
    <t>B9 should be user-facing input only</t>
  </si>
  <si>
    <t>OUT-LINT-002</t>
  </si>
  <si>
    <t>No direct Company Profile!B48 refs outside compatibility/lint</t>
  </si>
  <si>
    <t>B48 should not be a separate active branch</t>
  </si>
  <si>
    <t>OUT-LINT-003</t>
  </si>
  <si>
    <t>No old scenario B60 references</t>
  </si>
  <si>
    <t>Selected scenario should not reference VaR 99%</t>
  </si>
  <si>
    <t>OUT-LINT-004</t>
  </si>
  <si>
    <t>Profile Vector consumed by formulas</t>
  </si>
  <si>
    <t>PV_* is active source-of-truth</t>
  </si>
  <si>
    <t>OUT-LINT-005</t>
  </si>
  <si>
    <t>Relevance consumed by formulas</t>
  </si>
  <si>
    <t>Relevance must affect downstream ranking</t>
  </si>
  <si>
    <t>OUT-LINT-006</t>
  </si>
  <si>
    <t>Capability bridge consumed by formulas</t>
  </si>
  <si>
    <t>Risks/initiatives should be capability-driven</t>
  </si>
  <si>
    <t>OUT-LINT-007</t>
  </si>
  <si>
    <t>Treatment library consumed by formulas</t>
  </si>
  <si>
    <t>Treatment library should drive maturity-aware titles/evidence</t>
  </si>
  <si>
    <t>OUT-LINT-008</t>
  </si>
  <si>
    <t>Industry wording consumed by formulas</t>
  </si>
  <si>
    <t>Wording should be industry-specific</t>
  </si>
  <si>
    <t>OUT-LINT-009</t>
  </si>
  <si>
    <t>Company Profile inline dropdowns retired</t>
  </si>
  <si>
    <t>Validation scan</t>
  </si>
  <si>
    <t>Company Profile should use _REF_Dropdowns</t>
  </si>
  <si>
    <t>OUT-LINT-010</t>
  </si>
  <si>
    <t>Visible outputs do not create old profile branches</t>
  </si>
  <si>
    <t>Visible formula scan</t>
  </si>
  <si>
    <t>Visible sheets should not bypass profile vector</t>
  </si>
  <si>
    <t>OUT-LINT-011</t>
  </si>
  <si>
    <t>Formula error tokens</t>
  </si>
  <si>
    <t>Formula text scan</t>
  </si>
  <si>
    <t>Scan formula texts for explicit error tokens</t>
  </si>
  <si>
    <t>Formula</t>
  </si>
  <si>
    <t>PASS count</t>
  </si>
  <si>
    <t>WARN count</t>
  </si>
  <si>
    <t>FAIL count</t>
  </si>
  <si>
    <t>Overall status</t>
  </si>
  <si>
    <t>Backend Readiness Lint Checks</t>
  </si>
  <si>
    <t>Static checks for backend-readiness, legacy leakage and schema completeness.</t>
  </si>
  <si>
    <t>BD-001</t>
  </si>
  <si>
    <t>Required backend source sheets exist</t>
  </si>
  <si>
    <t>0 missing</t>
  </si>
  <si>
    <t>All required backend sheets present</t>
  </si>
  <si>
    <t>BD-002</t>
  </si>
  <si>
    <t>Backend entity map populated</t>
  </si>
  <si>
    <t>&gt;=15</t>
  </si>
  <si>
    <t>Entities mapped to API/backend objects</t>
  </si>
  <si>
    <t>BD-003</t>
  </si>
  <si>
    <t>Field-level data dictionary populated</t>
  </si>
  <si>
    <t>&gt;=200</t>
  </si>
  <si>
    <t>Field rows generated from active sheets</t>
  </si>
  <si>
    <t>BD-004</t>
  </si>
  <si>
    <t>No direct Company Profile!B9 refs outside active compatibility rules</t>
  </si>
  <si>
    <t>0 or profile-vector/lint only</t>
  </si>
  <si>
    <t>CHECK</t>
  </si>
  <si>
    <t>By sheet: {'_ENGINE_Profile_Vector': 3, '_LINT_Profile_Vector': 2}</t>
  </si>
  <si>
    <t>BD-005</t>
  </si>
  <si>
    <t>No direct Company Profile!B48 active refs</t>
  </si>
  <si>
    <t>0 or lint only</t>
  </si>
  <si>
    <t>By sheet: {'_LINT_Profile_Vector': 1, '_LINT_Profile_Cleanup': 1}</t>
  </si>
  <si>
    <t>BD-006</t>
  </si>
  <si>
    <t>Old B60 scenario bug absent</t>
  </si>
  <si>
    <t>BD-007</t>
  </si>
  <si>
    <t>Profile Vector consumed</t>
  </si>
  <si>
    <t>By sheet count: 15</t>
  </si>
  <si>
    <t>BD-008</t>
  </si>
  <si>
    <t>Relevance consumed</t>
  </si>
  <si>
    <t>By sheet count: 4</t>
  </si>
  <si>
    <t>BD-009</t>
  </si>
  <si>
    <t>Capability schema present/consumed</t>
  </si>
  <si>
    <t>BD-010</t>
  </si>
  <si>
    <t>Formula error token scan</t>
  </si>
  <si>
    <t xml:space="preserve">Examples: </t>
  </si>
  <si>
    <t>BD-011</t>
  </si>
  <si>
    <t>Risk ontology row count</t>
  </si>
  <si>
    <t>Backend-ready risk ontology view</t>
  </si>
  <si>
    <t>BD-012</t>
  </si>
  <si>
    <t>Initiative ontology row count</t>
  </si>
  <si>
    <t>Backend-ready initiative ontology view</t>
  </si>
  <si>
    <t>Alias_Input</t>
  </si>
  <si>
    <t>Normalized_Key</t>
  </si>
  <si>
    <t>Canonical_Industry</t>
  </si>
  <si>
    <t>Org_Type</t>
  </si>
  <si>
    <t>Industry_Family</t>
  </si>
  <si>
    <t>Default_Physical_Footprint</t>
  </si>
  <si>
    <t>Default_Regulatory_Intensity</t>
  </si>
  <si>
    <t>Default_Data_Criticality</t>
  </si>
  <si>
    <t>manufacturing</t>
  </si>
  <si>
    <t>Asset-heavy Producer</t>
  </si>
  <si>
    <t>Industrial</t>
  </si>
  <si>
    <t>Base current template key</t>
  </si>
  <si>
    <t>manufacturing / industrial</t>
  </si>
  <si>
    <t>Alias to current template key</t>
  </si>
  <si>
    <t>industrial</t>
  </si>
  <si>
    <t>Alias</t>
  </si>
  <si>
    <t>precision manufacturing</t>
  </si>
  <si>
    <t>Factory</t>
  </si>
  <si>
    <t>factory</t>
  </si>
  <si>
    <t>saas</t>
  </si>
  <si>
    <t>Digital Product Company</t>
  </si>
  <si>
    <t>Technology</t>
  </si>
  <si>
    <t>Normalize legacy/dropdown SaaS to template key</t>
  </si>
  <si>
    <t>Saas</t>
  </si>
  <si>
    <t>Typo/case alias</t>
  </si>
  <si>
    <t>saas / digital product</t>
  </si>
  <si>
    <t>software</t>
  </si>
  <si>
    <t>Software product</t>
  </si>
  <si>
    <t>software product</t>
  </si>
  <si>
    <t>cloud product</t>
  </si>
  <si>
    <t>it services</t>
  </si>
  <si>
    <t>Service Delivery Company</t>
  </si>
  <si>
    <t>Normalize dropdown case to template key</t>
  </si>
  <si>
    <t>it services / consulting</t>
  </si>
  <si>
    <t>outsourcing</t>
  </si>
  <si>
    <t>Consulting</t>
  </si>
  <si>
    <t>consulting</t>
  </si>
  <si>
    <t>professional services</t>
  </si>
  <si>
    <t>Current template key</t>
  </si>
  <si>
    <t>retail</t>
  </si>
  <si>
    <t>Retail / Omnichannel</t>
  </si>
  <si>
    <t>Commerce</t>
  </si>
  <si>
    <t>Normalize legacy/dropdown Retail to template key</t>
  </si>
  <si>
    <t>retail / ecommerce</t>
  </si>
  <si>
    <t>ecommerce</t>
  </si>
  <si>
    <t>E-commerce</t>
  </si>
  <si>
    <t>e-commerce</t>
  </si>
  <si>
    <t>Distribution</t>
  </si>
  <si>
    <t>distribution</t>
  </si>
  <si>
    <t>Normalize dropdown to template key</t>
  </si>
  <si>
    <t>logistics</t>
  </si>
  <si>
    <t>logistics / distribution</t>
  </si>
  <si>
    <t>financial services</t>
  </si>
  <si>
    <t>Regulated Financial Institution</t>
  </si>
  <si>
    <t>Financial Services</t>
  </si>
  <si>
    <t>New canonical profile key; template to be added in next relevance patch</t>
  </si>
  <si>
    <t>financial services / banking</t>
  </si>
  <si>
    <t>Canonical target</t>
  </si>
  <si>
    <t>banking</t>
  </si>
  <si>
    <t>fintech</t>
  </si>
  <si>
    <t>payments</t>
  </si>
  <si>
    <t>insurance</t>
  </si>
  <si>
    <t>Healthcare</t>
  </si>
  <si>
    <t>healthcare</t>
  </si>
  <si>
    <t>Regulated Care/Product Organization</t>
  </si>
  <si>
    <t>Pharma</t>
  </si>
  <si>
    <t>pharma</t>
  </si>
  <si>
    <t>healthcare / pharma</t>
  </si>
  <si>
    <t>Energy</t>
  </si>
  <si>
    <t>energy</t>
  </si>
  <si>
    <t>Asset-heavy Critical Infrastructure</t>
  </si>
  <si>
    <t>Critical Infrastructure</t>
  </si>
  <si>
    <t>energy / utilities</t>
  </si>
  <si>
    <t>Telecom</t>
  </si>
  <si>
    <t>telecom</t>
  </si>
  <si>
    <t>Critical Digital Infrastructure</t>
  </si>
  <si>
    <t>Temporary map until Telecom template exists</t>
  </si>
  <si>
    <t>Construction</t>
  </si>
  <si>
    <t>construction</t>
  </si>
  <si>
    <t>Project / Asset-heavy Delivery</t>
  </si>
  <si>
    <t>Temporary map until Construction template exists</t>
  </si>
  <si>
    <t>public sector</t>
  </si>
  <si>
    <t>Regulated Public Organization</t>
  </si>
  <si>
    <t>Public Sector</t>
  </si>
  <si>
    <t>public sector / regulated organization</t>
  </si>
  <si>
    <t>other</t>
  </si>
  <si>
    <t>Generic / Cross-industry</t>
  </si>
  <si>
    <t>Generic Organization</t>
  </si>
  <si>
    <t>Generic</t>
  </si>
  <si>
    <t>Fallback</t>
  </si>
  <si>
    <t>generic / cross-industry</t>
  </si>
  <si>
    <t>Current_Row</t>
  </si>
  <si>
    <t>Current_Cell</t>
  </si>
  <si>
    <t>Current_Label</t>
  </si>
  <si>
    <t>Current_Input_Role</t>
  </si>
  <si>
    <t>Current_Value_Or_Formula</t>
  </si>
  <si>
    <t>Current_Has_Validation</t>
  </si>
  <si>
    <t>Current_Validation_Formula</t>
  </si>
  <si>
    <t>Formula_Reference_Cells</t>
  </si>
  <si>
    <t>Referencing_Sheets</t>
  </si>
  <si>
    <t>Duplicate_Family</t>
  </si>
  <si>
    <t>Target_Status</t>
  </si>
  <si>
    <t>New_Profile_Cell</t>
  </si>
  <si>
    <t>New_Input_Type</t>
  </si>
  <si>
    <t>Dropdown_List_ID</t>
  </si>
  <si>
    <t>Relevance_Use</t>
  </si>
  <si>
    <t>Canonical_Output_Name</t>
  </si>
  <si>
    <t>Migration_Rule</t>
  </si>
  <si>
    <t>Legacy_Action</t>
  </si>
  <si>
    <t>QA_Risk</t>
  </si>
  <si>
    <t>Recommended_Action</t>
  </si>
  <si>
    <t>SECTION_COMPANY_PROFILE_ASSESSMENT_CONTEXT</t>
  </si>
  <si>
    <t>B1</t>
  </si>
  <si>
    <t>Company Profile — Assessment Context</t>
  </si>
  <si>
    <t>Section/header</t>
  </si>
  <si>
    <t>SECTION_HEADER</t>
  </si>
  <si>
    <t>Header</t>
  </si>
  <si>
    <t>No migration; layout marker only.</t>
  </si>
  <si>
    <t>Not an engine field</t>
  </si>
  <si>
    <t>SECTION_FILL_THIS_ONCE_PER_ORGANIZATION_THIS_CLE</t>
  </si>
  <si>
    <t>B2</t>
  </si>
  <si>
    <t>Fill this once per organization. This clean template contains no client/test profile data; profile answers drive targets, risk context, crisis interpretation and roadmap priorities.</t>
  </si>
  <si>
    <t>SECTION_HYPERLINK_GUIDELINES_A1_GUIDELINES</t>
  </si>
  <si>
    <t>B3</t>
  </si>
  <si>
    <t>✎ Input: edit coloured cells only — everything else is formula-driven.</t>
  </si>
  <si>
    <t>SECTION_PROFILE_FIELD</t>
  </si>
  <si>
    <t>B4</t>
  </si>
  <si>
    <t>ORG_NAME</t>
  </si>
  <si>
    <t>B5</t>
  </si>
  <si>
    <t>Open input / note</t>
  </si>
  <si>
    <t>_DATA_Dashboard_Facts:1</t>
  </si>
  <si>
    <t>REPORTING_ONLY</t>
  </si>
  <si>
    <t>Free text</t>
  </si>
  <si>
    <t>Keep for reports/governance only; do not consume in Relevance Engine.</t>
  </si>
  <si>
    <t>Exclude from engine</t>
  </si>
  <si>
    <t>ACTIVE</t>
  </si>
  <si>
    <t>Referenced free text</t>
  </si>
  <si>
    <t>Keep</t>
  </si>
  <si>
    <t>Used for reporting only</t>
  </si>
  <si>
    <t>ASSESS_DATE</t>
  </si>
  <si>
    <t>B6</t>
  </si>
  <si>
    <t>Formula output / linked field</t>
  </si>
  <si>
    <t>378</t>
  </si>
  <si>
    <t>_DATA_Dashboard_Facts:378</t>
  </si>
  <si>
    <t>ACTIVE_FORMULA_OUTPUT</t>
  </si>
  <si>
    <t>Date</t>
  </si>
  <si>
    <t>Roadmap start</t>
  </si>
  <si>
    <t>Keep as formula output. Downstream formulas must reference canonical output / named field, not manual override.</t>
  </si>
  <si>
    <t>Keep / route through Profile Vector</t>
  </si>
  <si>
    <t>Keep formula but allow override date</t>
  </si>
  <si>
    <t>Could add Manual assessment date optional</t>
  </si>
  <si>
    <t>ASSESS_OWNER</t>
  </si>
  <si>
    <t>B7</t>
  </si>
  <si>
    <t>Governance only</t>
  </si>
  <si>
    <t>EXEC_SPONSOR</t>
  </si>
  <si>
    <t>B8</t>
  </si>
  <si>
    <t>Controlled input</t>
  </si>
  <si>
    <t>"Manufacturing,IT services,SaaS,Retail,Distribution,Healthcare,Pharma,Energy,Financial services,Telecom,Logistics,Construction,Public sector,Other"</t>
  </si>
  <si>
    <t>1479</t>
  </si>
  <si>
    <t>_DATA_Assessment_Model:848; _ENGINE_Risk:424; _ENGINE_Initiatives:72; _DATA_Dashboard_Facts:55; AS-IS Assessment:35; _CONFIG_Model_Settings:17; _ENGINE_Strategy:14; _REF_Model_Content:14</t>
  </si>
  <si>
    <t>Industry/template duplicate chain</t>
  </si>
  <si>
    <t>ACTIVE_CONTROLLED_INPUT</t>
  </si>
  <si>
    <t>List</t>
  </si>
  <si>
    <t>Primary</t>
  </si>
  <si>
    <t>Convert/keep as controlled input using _REF_Dropdowns[List_ID=INDUSTRY_CANONICAL].</t>
  </si>
  <si>
    <t>Duplicate family; Industry branch risk</t>
  </si>
  <si>
    <t>Replace with canonical dropdown</t>
  </si>
  <si>
    <t>Single visible industry input</t>
  </si>
  <si>
    <t>Secondary</t>
  </si>
  <si>
    <t>Convert/keep as controlled input using _REF_Dropdowns[List_ID=SUB_INDUSTRY_BY_INDUSTRY].</t>
  </si>
  <si>
    <t>Replace with dependent dropdown</t>
  </si>
  <si>
    <t>Optional but useful</t>
  </si>
  <si>
    <t>Geo/legal relevance</t>
  </si>
  <si>
    <t>Convert/keep as controlled input using _REF_Dropdowns[List_ID=COUNTRY].</t>
  </si>
  <si>
    <t>Use country dropdown/List with Other</t>
  </si>
  <si>
    <t>Can also allow free note</t>
  </si>
  <si>
    <t>List/Multi-select proxy</t>
  </si>
  <si>
    <t>Geo exposure</t>
  </si>
  <si>
    <t>Convert/keep as controlled input using _REF_Dropdowns[List_ID=GEOGRAPHIC_FOOTPRINT].</t>
  </si>
  <si>
    <t>Replace with footprint bands + optional notes</t>
  </si>
  <si>
    <t>Excel can use primary country + number of countries band</t>
  </si>
  <si>
    <t>"Private,Public,State-owned,Family-owned,PE-backed,VC-backed,NGO,Other"</t>
  </si>
  <si>
    <t>Governance modifier</t>
  </si>
  <si>
    <t>Convert/keep as controlled input using _REF_Dropdowns[List_ID=OWNERSHIP_TYPE].</t>
  </si>
  <si>
    <t>Keep but move list to _REF_Dropdowns</t>
  </si>
  <si>
    <t>Legal/continuity</t>
  </si>
  <si>
    <t>Convert/keep as controlled input using _REF_Dropdowns[List_ID=LEGAL_ENTITY_COMPLEXITY].</t>
  </si>
  <si>
    <t>Convert to legal complexity band + optional notes</t>
  </si>
  <si>
    <t>Replace detailed names with note field</t>
  </si>
  <si>
    <t>Employee count / size band duplicate chain</t>
  </si>
  <si>
    <t>List+Number</t>
  </si>
  <si>
    <t>HR/change capacity</t>
  </si>
  <si>
    <t>Convert/keep as controlled input using _REF_Dropdowns[List_ID=EMPLOYEE_SIZE_BAND].</t>
  </si>
  <si>
    <t>Duplicate family</t>
  </si>
  <si>
    <t>Replace with size band and optional exact number</t>
  </si>
  <si>
    <t>Duplicate with company size band needs merge</t>
  </si>
  <si>
    <t>REVENUE_SIZE</t>
  </si>
  <si>
    <t>B16</t>
  </si>
  <si>
    <t>Revenue size band</t>
  </si>
  <si>
    <t>Revenue band / midpoint duplicate chain</t>
  </si>
  <si>
    <t>RETIRE_DUPLICATE</t>
  </si>
  <si>
    <t>Financial relevance</t>
  </si>
  <si>
    <t>Move value to canonical structured source, then convert current field to formula summary or delete after migration.</t>
  </si>
  <si>
    <t>Retire from active logic after bridge period</t>
  </si>
  <si>
    <t>MIGRATION_BRIDGE_ONLY</t>
  </si>
  <si>
    <t>Remove or link to row 108</t>
  </si>
  <si>
    <t>One canonical revenue band only</t>
  </si>
  <si>
    <t>Crisis/context relevance</t>
  </si>
  <si>
    <t>Convert/keep as controlled input using _REF_Dropdowns[List_ID=OPERATING_MODEL].</t>
  </si>
  <si>
    <t>Dropdown</t>
  </si>
  <si>
    <t>Centralized/Decentralized/Remote-first/Hybrid/Multi-site/Franchise</t>
  </si>
  <si>
    <t>Revenue/GTM relevance</t>
  </si>
  <si>
    <t>Convert/keep as controlled input using _REF_Dropdowns[List_ID=BUSINESS_MODEL].</t>
  </si>
  <si>
    <t>B2B/B2C/B2B2C/Marketplace/Project/Manufacturing/Distribution</t>
  </si>
  <si>
    <t>CRIT_PRODUCTS_TEXT</t>
  </si>
  <si>
    <t>B19</t>
  </si>
  <si>
    <t>Critical products / services</t>
  </si>
  <si>
    <t>Critical product/service duplicate chain</t>
  </si>
  <si>
    <t>Free text optional</t>
  </si>
  <si>
    <t>Remove visible free text or convert to notes</t>
  </si>
  <si>
    <t>Use structured top products below</t>
  </si>
  <si>
    <t>Enterprise/SMB/Public sector/Consumers/etc.</t>
  </si>
  <si>
    <t>Convert/keep as controlled input using _REF_Dropdowns[List_ID=GTM/revenue relevance].</t>
  </si>
  <si>
    <t>Dropdown/List</t>
  </si>
  <si>
    <t>21</t>
  </si>
  <si>
    <t>Geo/revenue relevance</t>
  </si>
  <si>
    <t>Convert/keep as controlled input using _REF_Dropdowns[List_ID=MARKET_CONCENTRATION].</t>
  </si>
  <si>
    <t>Replace with market concentration band</t>
  </si>
  <si>
    <t>Optional notes for countries</t>
  </si>
  <si>
    <t>CUSTOMER_CONC_TEXT</t>
  </si>
  <si>
    <t>22</t>
  </si>
  <si>
    <t>B22</t>
  </si>
  <si>
    <t>Customer concentration</t>
  </si>
  <si>
    <t>Customer concentration duplicate chain</t>
  </si>
  <si>
    <t>CUSTOMER_CONCENTRATION_BAND</t>
  </si>
  <si>
    <t>Revenue risk</t>
  </si>
  <si>
    <t>Remove or link to structured values</t>
  </si>
  <si>
    <t>Use top1/top5/top10 fields</t>
  </si>
  <si>
    <t>CRIT_SITES_TEXT</t>
  </si>
  <si>
    <t>23</t>
  </si>
  <si>
    <t>B23</t>
  </si>
  <si>
    <t>Critical sites / facilities</t>
  </si>
  <si>
    <t>Critical site/location duplicate chain</t>
  </si>
  <si>
    <t>Remove or convert to notes</t>
  </si>
  <si>
    <t>Use structured location criticality table</t>
  </si>
  <si>
    <t>24</t>
  </si>
  <si>
    <t>Convert/keep as controlled input using _REF_Dropdowns[List_ID=CRITICAL_PEOPLE_DEPENDENCY].</t>
  </si>
  <si>
    <t>Replace with critical people dependency band</t>
  </si>
  <si>
    <t>Optional notes for named roles</t>
  </si>
  <si>
    <t>25</t>
  </si>
  <si>
    <t>"Low,Medium,High,Critical"</t>
  </si>
  <si>
    <t>Legal/data/cyber relevance</t>
  </si>
  <si>
    <t>Convert/keep as controlled input using _REF_Dropdowns[List_ID=REGULATORY_INTENSITY].</t>
  </si>
  <si>
    <t>Keep and move list to _REF_Dropdowns</t>
  </si>
  <si>
    <t>26</t>
  </si>
  <si>
    <t>Legal/data relevance</t>
  </si>
  <si>
    <t>Convert/keep as controlled input using _REF_Dropdowns[List_ID=REGULATION_FAMILY].</t>
  </si>
  <si>
    <t>Add dropdown categories + optional notes</t>
  </si>
  <si>
    <t>GDPR/NIS2/HIPAA/SOX/PCI/Banking/etc.</t>
  </si>
  <si>
    <t>27</t>
  </si>
  <si>
    <t>Domain applicability</t>
  </si>
  <si>
    <t>Convert/keep as controlled input using _REF_Dropdowns[List_ID=CORE_SYSTEM_FAMILY].</t>
  </si>
  <si>
    <t>Replace with structured system dependency checklist/bands</t>
  </si>
  <si>
    <t>ERP/CRM/MES/POS/Core banking/Billing/Support/etc.</t>
  </si>
  <si>
    <t>28</t>
  </si>
  <si>
    <t>IT DR/cloud relevance</t>
  </si>
  <si>
    <t>Convert/keep as controlled input using _REF_Dropdowns[List_ID=CLOUD_INFRA_MODEL].</t>
  </si>
  <si>
    <t>On-prem/Public cloud/Private/Hybrid/Multi-cloud/SaaS-first</t>
  </si>
  <si>
    <t>CRISIS_SCENARIO</t>
  </si>
  <si>
    <t>29</t>
  </si>
  <si>
    <t>B29</t>
  </si>
  <si>
    <t>Keep as formula output</t>
  </si>
  <si>
    <t>Do not edit here</t>
  </si>
  <si>
    <t>CRISIS_SEVERITY</t>
  </si>
  <si>
    <t>30</t>
  </si>
  <si>
    <t>B30</t>
  </si>
  <si>
    <t>31</t>
  </si>
  <si>
    <t>Gap logic</t>
  </si>
  <si>
    <t>Convert/keep as controlled input using _REF_Dropdowns[List_ID=MATURITY_TARGET].</t>
  </si>
  <si>
    <t>Keep but use dropdown 0-5</t>
  </si>
  <si>
    <t>32</t>
  </si>
  <si>
    <t>33</t>
  </si>
  <si>
    <t>34</t>
  </si>
  <si>
    <t>"Quarterly,Semi-annual,Annual,Crisis-triggered,Other"</t>
  </si>
  <si>
    <t>Governance relevance</t>
  </si>
  <si>
    <t>Convert/keep as controlled input using _REF_Dropdowns[List_ID=ASSESSMENT_CADENCE].</t>
  </si>
  <si>
    <t>35</t>
  </si>
  <si>
    <t>"Low,Balanced,High"</t>
  </si>
  <si>
    <t>479</t>
  </si>
  <si>
    <t>_DATA_Assessment_Model:424; _DATA_Dashboard_Facts:37; AS-IS Assessment:18</t>
  </si>
  <si>
    <t>Treatment threshold</t>
  </si>
  <si>
    <t>Convert/keep as controlled input using _REF_Dropdowns[List_ID=RISK_APPETITE].</t>
  </si>
  <si>
    <t>ASSUMPTIONS</t>
  </si>
  <si>
    <t>36</t>
  </si>
  <si>
    <t>B36</t>
  </si>
  <si>
    <t>Reporting only</t>
  </si>
  <si>
    <t>SECTION_INDUSTRY_TEMPLATE_AND_IMPROVED_SCORING_L</t>
  </si>
  <si>
    <t>38</t>
  </si>
  <si>
    <t>B38</t>
  </si>
  <si>
    <t>SELECTED_TEMPLATE</t>
  </si>
  <si>
    <t>39</t>
  </si>
  <si>
    <t>B39</t>
  </si>
  <si>
    <t>RETIRED_AS_INPUT_DERIVED_OUTPUT</t>
  </si>
  <si>
    <t>QA only</t>
  </si>
  <si>
    <t>Derive selected industry template from Canonical_Industry; keep as read-only QA output or retire after formula consumers are redirected.</t>
  </si>
  <si>
    <t>Remove from visible or show as derived field</t>
  </si>
  <si>
    <t>Should equal Canonical_Industry</t>
  </si>
  <si>
    <t>40</t>
  </si>
  <si>
    <t>_DATA_Assessment_Model:424</t>
  </si>
  <si>
    <t>Evidence modifier</t>
  </si>
  <si>
    <t>Convert/keep as controlled input using _REF_Dropdowns[List_ID=CONFIDENCE_LEVEL].</t>
  </si>
  <si>
    <t>Add dropdown</t>
  </si>
  <si>
    <t>41</t>
  </si>
  <si>
    <t>TEMPLATE_DOMAINS</t>
  </si>
  <si>
    <t>42</t>
  </si>
  <si>
    <t>B42</t>
  </si>
  <si>
    <t>Keep in QA block only</t>
  </si>
  <si>
    <t>Should equal 17 for a valid industry template.</t>
  </si>
  <si>
    <t>AVG_TARGET_MATURITY</t>
  </si>
  <si>
    <t>43</t>
  </si>
  <si>
    <t>B43</t>
  </si>
  <si>
    <t>Average expected maturity for selected industry.</t>
  </si>
  <si>
    <t>AVG_CRITICALITY</t>
  </si>
  <si>
    <t>44</t>
  </si>
  <si>
    <t>B44</t>
  </si>
  <si>
    <t>Higher value means industry makes weaknesses more material.</t>
  </si>
  <si>
    <t>CRITICAL_SYSTEMS_OUT</t>
  </si>
  <si>
    <t>45</t>
  </si>
  <si>
    <t>B45</t>
  </si>
  <si>
    <t>QA/context</t>
  </si>
  <si>
    <t>Keep as derived output</t>
  </si>
  <si>
    <t>Typical systems that should be treated as critical for this industry.</t>
  </si>
  <si>
    <t>REDLINE_CONTROLS_OUT</t>
  </si>
  <si>
    <t>46</t>
  </si>
  <si>
    <t>B46</t>
  </si>
  <si>
    <t>Minimum controls that should not be missing even if average maturity looks acceptable.</t>
  </si>
  <si>
    <t>PREFERRED_STRATEGY_OUT</t>
  </si>
  <si>
    <t>47</t>
  </si>
  <si>
    <t>B47</t>
  </si>
  <si>
    <t>Strategies that receive extra relevance for this industry.</t>
  </si>
  <si>
    <t>SELECTED_INDUSTRY_BENCHMARK</t>
  </si>
  <si>
    <t>48</t>
  </si>
  <si>
    <t>"IT Services,SaaS / Digital Product,Manufacturing,Retail / Ecommerce,Logistics / Distribution,Healthcare / Pharma,Energy / Utilities,Professional Services,Public Sector / Regulated Organization"</t>
  </si>
  <si>
    <t>Resilience &amp; Risk Scenario:17; _ENGINE_Simulation:17; _LINT_SelfCheck:2</t>
  </si>
  <si>
    <t>Stop manual entry. Derive Template_Key from Canonical_Industry in _ENGINE_Profile_Vector; keep B48 only as read-only QA output until consumers are redirected.</t>
  </si>
  <si>
    <t>Duplicate family; Industry branch risk; Manual benchmark branch</t>
  </si>
  <si>
    <t>Retire as input; calculate from B9 alias</t>
  </si>
  <si>
    <t>Most important cleanup</t>
  </si>
  <si>
    <t>SECTION_EXTENDED_COMPANY_CONTEXT_INPUTS_CLOSED_A</t>
  </si>
  <si>
    <t>49</t>
  </si>
  <si>
    <t>B49</t>
  </si>
  <si>
    <t>50</t>
  </si>
  <si>
    <t>_REF_Model_Content:14</t>
  </si>
  <si>
    <t>Revenue/strategy relevance</t>
  </si>
  <si>
    <t>Convert/keep as controlled input using _REF_Dropdowns[List_ID=REVENUE_MODEL].</t>
  </si>
  <si>
    <t>51</t>
  </si>
  <si>
    <t>Diversification relevance</t>
  </si>
  <si>
    <t>Allow None</t>
  </si>
  <si>
    <t>52</t>
  </si>
  <si>
    <t>Crisis impact</t>
  </si>
  <si>
    <t>Convert/keep as controlled input using _REF_Dropdowns[List_ID=REVENUE_RECURRENCE].</t>
  </si>
  <si>
    <t>53</t>
  </si>
  <si>
    <t>GTM/CRM relevance</t>
  </si>
  <si>
    <t>Convert/keep as controlled input using _REF_Dropdowns[List_ID=SALES_MOTION].</t>
  </si>
  <si>
    <t>54</t>
  </si>
  <si>
    <t>_ENGINE_Crisis:3; _DATA_Dashboard_Facts:2</t>
  </si>
  <si>
    <t>CONCENTRATION_SHARE_BAND</t>
  </si>
  <si>
    <t>Business model / financial exposure</t>
  </si>
  <si>
    <t>Convert/keep as controlled input using _REF_Dropdowns[List_ID=Revenue concentration].</t>
  </si>
  <si>
    <t>Referenced free text; Duplicate family</t>
  </si>
  <si>
    <t>Dropdown band/List</t>
  </si>
  <si>
    <t>55</t>
  </si>
  <si>
    <t>_DATA_Dashboard_Facts:3</t>
  </si>
  <si>
    <t>56</t>
  </si>
  <si>
    <t>57</t>
  </si>
  <si>
    <t>_ENGINE_Crisis:4; _DATA_Dashboard_Facts:2</t>
  </si>
  <si>
    <t>DEPENDENCY_SHARE_BAND</t>
  </si>
  <si>
    <t>Supplier dependency</t>
  </si>
  <si>
    <t>Convert/keep as controlled input using _REF_Dropdowns[List_ID=Supplier/vendor relevance].</t>
  </si>
  <si>
    <t>58</t>
  </si>
  <si>
    <t>59</t>
  </si>
  <si>
    <t>Supplier resilience</t>
  </si>
  <si>
    <t>Convert/keep as controlled input using _REF_Dropdowns[List_ID=SUPPLIER_SUBSTITUTABILITY].</t>
  </si>
  <si>
    <t>SECTION_BUSINESS_CRITICALITY_OF_LOCATIONS</t>
  </si>
  <si>
    <t>61</t>
  </si>
  <si>
    <t>B61</t>
  </si>
  <si>
    <t>SECTION_LOCATION_TYPE</t>
  </si>
  <si>
    <t>62</t>
  </si>
  <si>
    <t>B62</t>
  </si>
  <si>
    <t>63</t>
  </si>
  <si>
    <t>B63</t>
  </si>
  <si>
    <t>Free text / note</t>
  </si>
  <si>
    <t>Convert to dropdown / structured table for relevance engine</t>
  </si>
  <si>
    <t>PRODUCTION_SITE</t>
  </si>
  <si>
    <t>64</t>
  </si>
  <si>
    <t>B64</t>
  </si>
  <si>
    <t>WAREHOUSE</t>
  </si>
  <si>
    <t>65</t>
  </si>
  <si>
    <t>B65</t>
  </si>
  <si>
    <t>DATA_CENTER_CORE_CLOUD_REGION</t>
  </si>
  <si>
    <t>66</t>
  </si>
  <si>
    <t>B66</t>
  </si>
  <si>
    <t>CALL_CENTER_CUSTOMER_SUPPORT_CENTER</t>
  </si>
  <si>
    <t>67</t>
  </si>
  <si>
    <t>B67</t>
  </si>
  <si>
    <t>R_D_ENGINEERING_CENTER</t>
  </si>
  <si>
    <t>68</t>
  </si>
  <si>
    <t>B68</t>
  </si>
  <si>
    <t>SALES_OFFICE</t>
  </si>
  <si>
    <t>69</t>
  </si>
  <si>
    <t>B69</t>
  </si>
  <si>
    <t>RETAIL_SERVICE_BRANCH</t>
  </si>
  <si>
    <t>70</t>
  </si>
  <si>
    <t>B70</t>
  </si>
  <si>
    <t>SECTION_WORKFORCE_DISTRIBUTION</t>
  </si>
  <si>
    <t>B72</t>
  </si>
  <si>
    <t>73</t>
  </si>
  <si>
    <t>Workforce/geographic risk</t>
  </si>
  <si>
    <t>Replace with country footprint band + optional notes</t>
  </si>
  <si>
    <t>74</t>
  </si>
  <si>
    <t>_ENGINE_Crisis:3</t>
  </si>
  <si>
    <t>Convert/keep as controlled input using _REF_Dropdowns[List_ID=Workforce concentration].</t>
  </si>
  <si>
    <t>75</t>
  </si>
  <si>
    <t>Convert/keep as controlled input using _REF_Dropdowns[List_ID=Location concentration].</t>
  </si>
  <si>
    <t>76</t>
  </si>
  <si>
    <t>War/pandemic/infrastructure relevance</t>
  </si>
  <si>
    <t>Convert/keep as controlled input using _REF_Dropdowns[List_ID=REMOTE_WORK_READINESS].</t>
  </si>
  <si>
    <t>77</t>
  </si>
  <si>
    <t>Convert/keep as controlled input using _REF_Dropdowns[List_ID=RELOCATION_SUPPORT].</t>
  </si>
  <si>
    <t>SECTION_CRITICAL_PROCESS_LIST_SELECT_TOP_PROCESS</t>
  </si>
  <si>
    <t>79</t>
  </si>
  <si>
    <t>B79</t>
  </si>
  <si>
    <t>CRITICAL_PROCESS_1</t>
  </si>
  <si>
    <t>80</t>
  </si>
  <si>
    <t>B80</t>
  </si>
  <si>
    <t>CRITICAL_PROCESS_2</t>
  </si>
  <si>
    <t>81</t>
  </si>
  <si>
    <t>B81</t>
  </si>
  <si>
    <t>CRITICAL_PROCESS_3</t>
  </si>
  <si>
    <t>82</t>
  </si>
  <si>
    <t>B82</t>
  </si>
  <si>
    <t>CRITICAL_PROCESS_4</t>
  </si>
  <si>
    <t>83</t>
  </si>
  <si>
    <t>B83</t>
  </si>
  <si>
    <t>CRITICAL_PROCESS_5</t>
  </si>
  <si>
    <t>84</t>
  </si>
  <si>
    <t>B84</t>
  </si>
  <si>
    <t>SECTION_CRITICAL_PRODUCT_SERVICE_LIST_SELECT_TOP</t>
  </si>
  <si>
    <t>86</t>
  </si>
  <si>
    <t>B86</t>
  </si>
  <si>
    <t>CRITICAL_PRODUCT_SERVICE_1</t>
  </si>
  <si>
    <t>87</t>
  </si>
  <si>
    <t>B87</t>
  </si>
  <si>
    <t>CRITICAL_PRODUCT_SERVICE_2</t>
  </si>
  <si>
    <t>88</t>
  </si>
  <si>
    <t>B88</t>
  </si>
  <si>
    <t>CRITICAL_PRODUCT_SERVICE_3</t>
  </si>
  <si>
    <t>89</t>
  </si>
  <si>
    <t>B89</t>
  </si>
  <si>
    <t>CRITICAL_PRODUCT_SERVICE_4</t>
  </si>
  <si>
    <t>90</t>
  </si>
  <si>
    <t>B90</t>
  </si>
  <si>
    <t>CRITICAL_PRODUCT_SERVICE_5</t>
  </si>
  <si>
    <t>91</t>
  </si>
  <si>
    <t>B91</t>
  </si>
  <si>
    <t>SECTION_CRISIS_HISTORY</t>
  </si>
  <si>
    <t>93</t>
  </si>
  <si>
    <t>B93</t>
  </si>
  <si>
    <t>SECTION_EXPERIENCED_CRISIS</t>
  </si>
  <si>
    <t>94</t>
  </si>
  <si>
    <t>B94</t>
  </si>
  <si>
    <t>PANDEMIC</t>
  </si>
  <si>
    <t>95</t>
  </si>
  <si>
    <t>B95</t>
  </si>
  <si>
    <t>WAR_GEOPOLITICAL_ESCALATION</t>
  </si>
  <si>
    <t>96</t>
  </si>
  <si>
    <t>B96</t>
  </si>
  <si>
    <t>CYBERATTACK_RANSOMWARE</t>
  </si>
  <si>
    <t>97</t>
  </si>
  <si>
    <t>B97</t>
  </si>
  <si>
    <t>SUPPLY_CHAIN_DISRUPTION</t>
  </si>
  <si>
    <t>98</t>
  </si>
  <si>
    <t>B98</t>
  </si>
  <si>
    <t>NONE_EXPERIENCED</t>
  </si>
  <si>
    <t>99</t>
  </si>
  <si>
    <t>B99</t>
  </si>
  <si>
    <t>SECTION_CHANGE_CAPACITY_AND_BROWNFIELD</t>
  </si>
  <si>
    <t>101</t>
  </si>
  <si>
    <t>B101</t>
  </si>
  <si>
    <t>CHANGE_CAPACITY</t>
  </si>
  <si>
    <t>102</t>
  </si>
  <si>
    <t>B102</t>
  </si>
  <si>
    <t>_DATA_Dashboard_Facts:18</t>
  </si>
  <si>
    <t>ACTIVE_NUMERIC_INPUT</t>
  </si>
  <si>
    <t>Number</t>
  </si>
  <si>
    <t>CHANGE_CAPACITY_NUM</t>
  </si>
  <si>
    <t>Roadmap capacity</t>
  </si>
  <si>
    <t>Keep as numeric input with validation bounds; use normalized numeric value in Profile Vector.</t>
  </si>
  <si>
    <t>Add numeric validation/min max</t>
  </si>
  <si>
    <t>103</t>
  </si>
  <si>
    <t>"Low,Medium,High"</t>
  </si>
  <si>
    <t>Change capacity modifier</t>
  </si>
  <si>
    <t>Convert/keep as controlled input using _REF_Dropdowns[List_ID=TRANSFORMATION_EXPERIENCE].</t>
  </si>
  <si>
    <t>BROWNFIELD_NOTE</t>
  </si>
  <si>
    <t>104</t>
  </si>
  <si>
    <t>B104</t>
  </si>
  <si>
    <t>105</t>
  </si>
  <si>
    <t>"Micro (&lt;10),Small (10-49),Medium (50-249),Large (250-999),Enterprise (1000+)"</t>
  </si>
  <si>
    <t>_DATA_Dashboard_Facts:2</t>
  </si>
  <si>
    <t>Benchmark/change capacity</t>
  </si>
  <si>
    <t>Convert/keep as controlled input using _REF_Dropdowns[List_ID=COMPANY_SIZE_BAND].</t>
  </si>
  <si>
    <t>Keep as canonical size; derive from employee count if exact</t>
  </si>
  <si>
    <t>SECTION_FINANCIAL_ANCHORS_HARD_DATA</t>
  </si>
  <si>
    <t>107</t>
  </si>
  <si>
    <t>B107</t>
  </si>
  <si>
    <t>108</t>
  </si>
  <si>
    <t>"&lt;1M EUR,1-5M EUR,5-20M EUR,20-100M EUR,&gt;100M EUR"</t>
  </si>
  <si>
    <t>Convert/keep as controlled input using _REF_Dropdowns[List_ID=REVENUE_BAND].</t>
  </si>
  <si>
    <t>Keep as canonical revenue band</t>
  </si>
  <si>
    <t>109</t>
  </si>
  <si>
    <t>Financial impact</t>
  </si>
  <si>
    <t>Add decimal validation 0-1</t>
  </si>
  <si>
    <t>110</t>
  </si>
  <si>
    <t>"&lt;3,3-6,6-12,12+"</t>
  </si>
  <si>
    <t>Financial buffer</t>
  </si>
  <si>
    <t>Convert/keep as controlled input using _REF_Dropdowns[List_ID=CASH_RUNWAY_BAND].</t>
  </si>
  <si>
    <t>111</t>
  </si>
  <si>
    <t>"None,Low,Moderate,High"</t>
  </si>
  <si>
    <t>Financial risk</t>
  </si>
  <si>
    <t>Convert/keep as controlled input using _REF_Dropdowns[List_ID=DEBT_LOAD].</t>
  </si>
  <si>
    <t>112</t>
  </si>
  <si>
    <t>"&lt;10%,10-30%,30-60%,&gt;60%"</t>
  </si>
  <si>
    <t>Financial/geographic risk</t>
  </si>
  <si>
    <t>Convert/keep as controlled input using _REF_Dropdowns[List_ID=FX_EXPOSURE_BAND].</t>
  </si>
  <si>
    <t>REVENUE_MIDPOINT</t>
  </si>
  <si>
    <t>113</t>
  </si>
  <si>
    <t>B113</t>
  </si>
  <si>
    <t>425</t>
  </si>
  <si>
    <t>_ENGINE_Risk:424; _DATA_Dashboard_Facts:1</t>
  </si>
  <si>
    <t>Formula/Number</t>
  </si>
  <si>
    <t>Financial engine</t>
  </si>
  <si>
    <t>Keep as formula output plus optional exact override field</t>
  </si>
  <si>
    <t>Do not mix formula and manual override in same cell</t>
  </si>
  <si>
    <t>RR Framework — _ENGINE_Profile_Vector (v2.9.4)</t>
  </si>
  <si>
    <t>Single normalized profile vector consumed by the future Relevance Engine. Downstream logic should move from direct Company Profile cell references to these canonical outputs / named ranges.</t>
  </si>
  <si>
    <t>Vector_ID</t>
  </si>
  <si>
    <t>Group</t>
  </si>
  <si>
    <t>Source_Cell</t>
  </si>
  <si>
    <t>Raw_Value</t>
  </si>
  <si>
    <t>Numeric_Value</t>
  </si>
  <si>
    <t>Consumer_Redirect</t>
  </si>
  <si>
    <t>PV_ORG_NAME</t>
  </si>
  <si>
    <t>Reporting</t>
  </si>
  <si>
    <t>Company Profile!B5</t>
  </si>
  <si>
    <t>Use _ENGINE_Profile_Vector[PV_ORG_NAME]</t>
  </si>
  <si>
    <t>Reporting only; not used by Relevance Engine.</t>
  </si>
  <si>
    <t>PV_ASSESSMENT_DATE</t>
  </si>
  <si>
    <t>Company Profile!B6</t>
  </si>
  <si>
    <t>Use _ENGINE_Profile_Vector[PV_ASSESSMENT_DATE]</t>
  </si>
  <si>
    <t>PV_CANONICAL_INDUSTRY</t>
  </si>
  <si>
    <t>Core Profile</t>
  </si>
  <si>
    <t>Company Profile!B9</t>
  </si>
  <si>
    <t>Use named range PV_Canonical_Industry</t>
  </si>
  <si>
    <t>PV_ORG_TYPE</t>
  </si>
  <si>
    <t>derived from B9</t>
  </si>
  <si>
    <t>Use named range PV_Org_Type</t>
  </si>
  <si>
    <t>PV_INDUSTRY_FAMILY</t>
  </si>
  <si>
    <t>PV_Industry_Family</t>
  </si>
  <si>
    <t>Use named range PV_Industry_Family</t>
  </si>
  <si>
    <t>PV_SUB_INDUSTRY</t>
  </si>
  <si>
    <t>Company Profile!B10</t>
  </si>
  <si>
    <t>Use _ENGINE_Profile_Vector[PV_SUB_INDUSTRY]</t>
  </si>
  <si>
    <t>PV_HQ_COUNTRY</t>
  </si>
  <si>
    <t>Company Profile!B11</t>
  </si>
  <si>
    <t>Use _ENGINE_Profile_Vector[PV_HQ_COUNTRY]</t>
  </si>
  <si>
    <t>PV_OPERATING_REGIONS</t>
  </si>
  <si>
    <t>Company Profile!B12</t>
  </si>
  <si>
    <t>Use _ENGINE_Profile_Vector[PV_OPERATING_REGIONS]</t>
  </si>
  <si>
    <t>PV_OWNERSHIP_TYPE</t>
  </si>
  <si>
    <t>Company Profile!B13</t>
  </si>
  <si>
    <t>Use _ENGINE_Profile_Vector[PV_OWNERSHIP_TYPE]</t>
  </si>
  <si>
    <t>PV_LEGAL_ENTITY_COMPLEXITY</t>
  </si>
  <si>
    <t>Company Profile!B14</t>
  </si>
  <si>
    <t>Use _ENGINE_Profile_Vector[PV_LEGAL_ENTITY_COMPLEXITY]</t>
  </si>
  <si>
    <t>PV_EMPLOYEE_COUNT</t>
  </si>
  <si>
    <t>Scale</t>
  </si>
  <si>
    <t>Company Profile!B15</t>
  </si>
  <si>
    <t>Use _ENGINE_Profile_Vector[PV_EMPLOYEE_COUNT]</t>
  </si>
  <si>
    <t>PV_COMPANY_SIZE_BAND</t>
  </si>
  <si>
    <t>Company Profile!B105</t>
  </si>
  <si>
    <t>Use _ENGINE_Profile_Vector[PV_COMPANY_SIZE_BAND]</t>
  </si>
  <si>
    <t>PV_OPERATING_MODEL</t>
  </si>
  <si>
    <t>Operating Model</t>
  </si>
  <si>
    <t>Company Profile!B17</t>
  </si>
  <si>
    <t>PV_Operating_Model</t>
  </si>
  <si>
    <t>Use _ENGINE_Profile_Vector[PV_OPERATING_MODEL]</t>
  </si>
  <si>
    <t>PV_BUSINESS_MODEL</t>
  </si>
  <si>
    <t>Company Profile!B18</t>
  </si>
  <si>
    <t>PV_Business_Model</t>
  </si>
  <si>
    <t>Use _ENGINE_Profile_Vector[PV_BUSINESS_MODEL]</t>
  </si>
  <si>
    <t>PV_REVENUE_MODEL</t>
  </si>
  <si>
    <t>Revenue Model</t>
  </si>
  <si>
    <t>Company Profile!B50</t>
  </si>
  <si>
    <t>PV_Revenue_Model</t>
  </si>
  <si>
    <t>Use _ENGINE_Profile_Vector[PV_REVENUE_MODEL]</t>
  </si>
  <si>
    <t>PV_SECONDARY_REVENUE_MODEL</t>
  </si>
  <si>
    <t>Company Profile!B51</t>
  </si>
  <si>
    <t>Use _ENGINE_Profile_Vector[PV_SECONDARY_REVENUE_MODEL]</t>
  </si>
  <si>
    <t>PV_REVENUE_RECURRENCE</t>
  </si>
  <si>
    <t>Company Profile!B52</t>
  </si>
  <si>
    <t>Use _ENGINE_Profile_Vector[PV_REVENUE_RECURRENCE]</t>
  </si>
  <si>
    <t>PV_PRIMARY_SALES_MOTION</t>
  </si>
  <si>
    <t>Company Profile!B53</t>
  </si>
  <si>
    <t>Use _ENGINE_Profile_Vector[PV_PRIMARY_SALES_MOTION]</t>
  </si>
  <si>
    <t>PV_CUSTOMER_TOP1_SHARE</t>
  </si>
  <si>
    <t>Concentration</t>
  </si>
  <si>
    <t>Company Profile!B54</t>
  </si>
  <si>
    <t>Use _ENGINE_Profile_Vector[PV_CUSTOMER_TOP1_SHARE]</t>
  </si>
  <si>
    <t>PV_CUSTOMER_TOP5_SHARE</t>
  </si>
  <si>
    <t>Company Profile!B55</t>
  </si>
  <si>
    <t>Use _ENGINE_Profile_Vector[PV_CUSTOMER_TOP5_SHARE]</t>
  </si>
  <si>
    <t>PV_CUSTOMER_TOP10_SHARE</t>
  </si>
  <si>
    <t>Company Profile!B56</t>
  </si>
  <si>
    <t>Use _ENGINE_Profile_Vector[PV_CUSTOMER_TOP10_SHARE]</t>
  </si>
  <si>
    <t>PV_SUPPLIER_TOP1_DEPENDENCY</t>
  </si>
  <si>
    <t>Company Profile!B57</t>
  </si>
  <si>
    <t>Use _ENGINE_Profile_Vector[PV_SUPPLIER_TOP1_DEPENDENCY]</t>
  </si>
  <si>
    <t>PV_SUPPLIER_TOP5_DEPENDENCY</t>
  </si>
  <si>
    <t>Company Profile!B58</t>
  </si>
  <si>
    <t>Use _ENGINE_Profile_Vector[PV_SUPPLIER_TOP5_DEPENDENCY]</t>
  </si>
  <si>
    <t>PV_WORKFORCE_LARGEST_COUNTRY_SHARE</t>
  </si>
  <si>
    <t>Company Profile!B74</t>
  </si>
  <si>
    <t>Use _ENGINE_Profile_Vector[PV_WORKFORCE_LARGEST_COUNTRY_SHARE]</t>
  </si>
  <si>
    <t>PV_WORKFORCE_LARGEST_LOCATION_SHARE</t>
  </si>
  <si>
    <t>Company Profile!B75</t>
  </si>
  <si>
    <t>Use _ENGINE_Profile_Vector[PV_WORKFORCE_LARGEST_LOCATION_SHARE]</t>
  </si>
  <si>
    <t>PV_SUPPLIER_SUBSTITUTABILITY</t>
  </si>
  <si>
    <t>Company Profile!B59</t>
  </si>
  <si>
    <t>Use _ENGINE_Profile_Vector[PV_SUPPLIER_SUBSTITUTABILITY]</t>
  </si>
  <si>
    <t>PV_REGULATORY_INTENSITY</t>
  </si>
  <si>
    <t>Regulatory / Data</t>
  </si>
  <si>
    <t>Company Profile!B25</t>
  </si>
  <si>
    <t>Use _ENGINE_Profile_Vector[PV_REGULATORY_INTENSITY]</t>
  </si>
  <si>
    <t>PV_REGULATION_FAMILY</t>
  </si>
  <si>
    <t>Company Profile!B26</t>
  </si>
  <si>
    <t>Use _ENGINE_Profile_Vector[PV_REGULATION_FAMILY]</t>
  </si>
  <si>
    <t>PV_CORE_SYSTEMS</t>
  </si>
  <si>
    <t>Digital / Systems</t>
  </si>
  <si>
    <t>Company Profile!B27</t>
  </si>
  <si>
    <t>Use _ENGINE_Profile_Vector[PV_CORE_SYSTEMS]</t>
  </si>
  <si>
    <t>PV_CLOUD_MODEL</t>
  </si>
  <si>
    <t>Company Profile!B28</t>
  </si>
  <si>
    <t>Use _ENGINE_Profile_Vector[PV_CLOUD_MODEL]</t>
  </si>
  <si>
    <t>PV_LOC_HQ_CRITICALITY</t>
  </si>
  <si>
    <t>Physical Footprint</t>
  </si>
  <si>
    <t>Company Profile!B63</t>
  </si>
  <si>
    <t>Use _ENGINE_Profile_Vector[PV_LOC_HQ_CRITICALITY]</t>
  </si>
  <si>
    <t>PV_LOC_PRODUCTION_CRITICALITY</t>
  </si>
  <si>
    <t>Company Profile!B64</t>
  </si>
  <si>
    <t>Use _ENGINE_Profile_Vector[PV_LOC_PRODUCTION_CRITICALITY]</t>
  </si>
  <si>
    <t>PV_LOC_WAREHOUSE_CRITICALITY</t>
  </si>
  <si>
    <t>Company Profile!B65</t>
  </si>
  <si>
    <t>Use _ENGINE_Profile_Vector[PV_LOC_WAREHOUSE_CRITICALITY]</t>
  </si>
  <si>
    <t>PV_LOC_DATACENTER_CRITICALITY</t>
  </si>
  <si>
    <t>Company Profile!B66</t>
  </si>
  <si>
    <t>Use _ENGINE_Profile_Vector[PV_LOC_DATACENTER_CRITICALITY]</t>
  </si>
  <si>
    <t>PV_LOC_CALLCENTER_CRITICALITY</t>
  </si>
  <si>
    <t>Company Profile!B67</t>
  </si>
  <si>
    <t>Use _ENGINE_Profile_Vector[PV_LOC_CALLCENTER_CRITICALITY]</t>
  </si>
  <si>
    <t>PV_LOC_RD_CRITICALITY</t>
  </si>
  <si>
    <t>Company Profile!B68</t>
  </si>
  <si>
    <t>Use _ENGINE_Profile_Vector[PV_LOC_RD_CRITICALITY]</t>
  </si>
  <si>
    <t>PV_LOC_SALES_CRITICALITY</t>
  </si>
  <si>
    <t>Company Profile!B69</t>
  </si>
  <si>
    <t>Use _ENGINE_Profile_Vector[PV_LOC_SALES_CRITICALITY]</t>
  </si>
  <si>
    <t>PV_LOC_RETAIL_BRANCH_CRITICALITY</t>
  </si>
  <si>
    <t>Company Profile!B70</t>
  </si>
  <si>
    <t>Use _ENGINE_Profile_Vector[PV_LOC_RETAIL_BRANCH_CRITICALITY]</t>
  </si>
  <si>
    <t>PV_CRITICAL_PEOPLE_DEPENDENCY</t>
  </si>
  <si>
    <t>Workforce</t>
  </si>
  <si>
    <t>Company Profile!B24</t>
  </si>
  <si>
    <t>Use _ENGINE_Profile_Vector[PV_CRITICAL_PEOPLE_DEPENDENCY]</t>
  </si>
  <si>
    <t>PV_REMOTE_WORK_READINESS</t>
  </si>
  <si>
    <t>Company Profile!B76</t>
  </si>
  <si>
    <t>Use _ENGINE_Profile_Vector[PV_REMOTE_WORK_READINESS]</t>
  </si>
  <si>
    <t>PV_MOBILITY_SUPPORT</t>
  </si>
  <si>
    <t>Company Profile!B77</t>
  </si>
  <si>
    <t>Use _ENGINE_Profile_Vector[PV_MOBILITY_SUPPORT]</t>
  </si>
  <si>
    <t>PV_CRITICAL_PROCESS_1</t>
  </si>
  <si>
    <t>Critical Processes</t>
  </si>
  <si>
    <t>Company Profile!B80</t>
  </si>
  <si>
    <t>Use _ENGINE_Profile_Vector[PV_CRITICAL_PROCESS_1]</t>
  </si>
  <si>
    <t>PV_CRITICAL_PROCESS_2</t>
  </si>
  <si>
    <t>Company Profile!B81</t>
  </si>
  <si>
    <t>Use _ENGINE_Profile_Vector[PV_CRITICAL_PROCESS_2]</t>
  </si>
  <si>
    <t>PV_CRITICAL_PROCESS_3</t>
  </si>
  <si>
    <t>Company Profile!B82</t>
  </si>
  <si>
    <t>Use _ENGINE_Profile_Vector[PV_CRITICAL_PROCESS_3]</t>
  </si>
  <si>
    <t>PV_CRITICAL_PROCESS_4</t>
  </si>
  <si>
    <t>Company Profile!B83</t>
  </si>
  <si>
    <t>Use _ENGINE_Profile_Vector[PV_CRITICAL_PROCESS_4]</t>
  </si>
  <si>
    <t>PV_CRITICAL_PROCESS_5</t>
  </si>
  <si>
    <t>Company Profile!B84</t>
  </si>
  <si>
    <t>Use _ENGINE_Profile_Vector[PV_CRITICAL_PROCESS_5]</t>
  </si>
  <si>
    <t>PV_CRITICAL_PRODUCT_SERVICE_1</t>
  </si>
  <si>
    <t>Critical Products/Services</t>
  </si>
  <si>
    <t>Company Profile!B87</t>
  </si>
  <si>
    <t>Use _ENGINE_Profile_Vector[PV_CRITICAL_PRODUCT_SERVICE_1]</t>
  </si>
  <si>
    <t>PV_CRITICAL_PRODUCT_SERVICE_2</t>
  </si>
  <si>
    <t>Company Profile!B88</t>
  </si>
  <si>
    <t>Use _ENGINE_Profile_Vector[PV_CRITICAL_PRODUCT_SERVICE_2]</t>
  </si>
  <si>
    <t>PV_CRITICAL_PRODUCT_SERVICE_3</t>
  </si>
  <si>
    <t>Company Profile!B89</t>
  </si>
  <si>
    <t>Use _ENGINE_Profile_Vector[PV_CRITICAL_PRODUCT_SERVICE_3]</t>
  </si>
  <si>
    <t>PV_CRITICAL_PRODUCT_SERVICE_4</t>
  </si>
  <si>
    <t>Company Profile!B90</t>
  </si>
  <si>
    <t>Use _ENGINE_Profile_Vector[PV_CRITICAL_PRODUCT_SERVICE_4]</t>
  </si>
  <si>
    <t>PV_CRITICAL_PRODUCT_SERVICE_5</t>
  </si>
  <si>
    <t>Company Profile!B91</t>
  </si>
  <si>
    <t>Use _ENGINE_Profile_Vector[PV_CRITICAL_PRODUCT_SERVICE_5]</t>
  </si>
  <si>
    <t>PV_ANNUAL_REVENUE_BAND</t>
  </si>
  <si>
    <t>Financial Anchors</t>
  </si>
  <si>
    <t>Company Profile!B108</t>
  </si>
  <si>
    <t>Use _ENGINE_Profile_Vector[PV_ANNUAL_REVENUE_BAND]</t>
  </si>
  <si>
    <t>PV_REVENUE_MIDPOINT_EUR_K</t>
  </si>
  <si>
    <t>Company Profile!B113</t>
  </si>
  <si>
    <t>PV_Revenue_Midpoint_EURk</t>
  </si>
  <si>
    <t>Use _ENGINE_Profile_Vector[PV_REVENUE_MIDPOINT_EUR_K]</t>
  </si>
  <si>
    <t>PV_GROSS_MARGIN</t>
  </si>
  <si>
    <t>Company Profile!B109</t>
  </si>
  <si>
    <t>Use _ENGINE_Profile_Vector[PV_GROSS_MARGIN]</t>
  </si>
  <si>
    <t>PV_CASH_RUNWAY</t>
  </si>
  <si>
    <t>Company Profile!B110</t>
  </si>
  <si>
    <t>Use _ENGINE_Profile_Vector[PV_CASH_RUNWAY]</t>
  </si>
  <si>
    <t>PV_DEBT_LOAD</t>
  </si>
  <si>
    <t>Company Profile!B111</t>
  </si>
  <si>
    <t>Use _ENGINE_Profile_Vector[PV_DEBT_LOAD]</t>
  </si>
  <si>
    <t>PV_FX_EXPOSURE</t>
  </si>
  <si>
    <t>Company Profile!B112</t>
  </si>
  <si>
    <t>Use _ENGINE_Profile_Vector[PV_FX_EXPOSURE]</t>
  </si>
  <si>
    <t>PV_CHANGE_CAPACITY</t>
  </si>
  <si>
    <t>Company Profile!B102</t>
  </si>
  <si>
    <t>Use _ENGINE_Profile_Vector[PV_CHANGE_CAPACITY]</t>
  </si>
  <si>
    <t>PV_TRANSFORMATION_EXPERIENCE</t>
  </si>
  <si>
    <t>Company Profile!B103</t>
  </si>
  <si>
    <t>Use _ENGINE_Profile_Vector[PV_TRANSFORMATION_EXPERIENCE]</t>
  </si>
  <si>
    <t>PV_ASSESSMENT_CADENCE</t>
  </si>
  <si>
    <t>Company Profile!B34</t>
  </si>
  <si>
    <t>Use _ENGINE_Profile_Vector[PV_ASSESSMENT_CADENCE]</t>
  </si>
  <si>
    <t>PV_RISK_APPETITE</t>
  </si>
  <si>
    <t>Company Profile!B35</t>
  </si>
  <si>
    <t>PV_Risk_Appetite</t>
  </si>
  <si>
    <t>Use _ENGINE_Profile_Vector[PV_RISK_APPETITE]</t>
  </si>
  <si>
    <t>PV_DEFAULT_EVIDENCE_CONFIDENCE</t>
  </si>
  <si>
    <t>Company Profile!B40</t>
  </si>
  <si>
    <t>Use _ENGINE_Profile_Vector[PV_DEFAULT_EVIDENCE_CONFIDENCE]</t>
  </si>
  <si>
    <t>PV_DEFAULT_ASSESSOR_CONFIDENCE</t>
  </si>
  <si>
    <t>Company Profile!B41</t>
  </si>
  <si>
    <t>Use _ENGINE_Profile_Vector[PV_DEFAULT_ASSESSOR_CONFIDENCE]</t>
  </si>
  <si>
    <t>PV_SELECTED_CRISIS_SCENARIO</t>
  </si>
  <si>
    <t>Crisis Context</t>
  </si>
  <si>
    <t>Company Profile!B29 / Risk Scenario!B6</t>
  </si>
  <si>
    <t>Use named range PV_Selected_Crisis_Scenario</t>
  </si>
  <si>
    <t>PV_CRISIS_SEVERITY</t>
  </si>
  <si>
    <t>Company Profile!B30 / Risk Scenario!B7</t>
  </si>
  <si>
    <t>Use named range PV_Crisis_Severity</t>
  </si>
  <si>
    <t>PV_CRISIS_HISTORY_PANDEMIC</t>
  </si>
  <si>
    <t>Company Profile!B95</t>
  </si>
  <si>
    <t>Use _ENGINE_Profile_Vector[PV_CRISIS_HISTORY_PANDEMIC]</t>
  </si>
  <si>
    <t>PV_CRISIS_HISTORY_WAR</t>
  </si>
  <si>
    <t>Company Profile!B96</t>
  </si>
  <si>
    <t>Use _ENGINE_Profile_Vector[PV_CRISIS_HISTORY_WAR]</t>
  </si>
  <si>
    <t>PV_CRISIS_HISTORY_RANSOMWARE</t>
  </si>
  <si>
    <t>Company Profile!B97</t>
  </si>
  <si>
    <t>Use _ENGINE_Profile_Vector[PV_CRISIS_HISTORY_RANSOMWARE]</t>
  </si>
  <si>
    <t>PV_CRISIS_HISTORY_SUPPLY_CHAIN</t>
  </si>
  <si>
    <t>Company Profile!B98</t>
  </si>
  <si>
    <t>Use _ENGINE_Profile_Vector[PV_CRISIS_HISTORY_SUPPLY_CHAIN]</t>
  </si>
  <si>
    <t>PV_CRISIS_HISTORY_NONE</t>
  </si>
  <si>
    <t>Company Profile!B99</t>
  </si>
  <si>
    <t>Use _ENGINE_Profile_Vector[PV_CRISIS_HISTORY_NONE]</t>
  </si>
  <si>
    <t>PV_CUSTOMER_CONCENTRATION</t>
  </si>
  <si>
    <t>Derived Context</t>
  </si>
  <si>
    <t>B54:B56</t>
  </si>
  <si>
    <t>Use _ENGINE_Profile_Vector[PV_CUSTOMER_CONCENTRATION]</t>
  </si>
  <si>
    <t>PV_SUPPLIER_DEPENDENCY</t>
  </si>
  <si>
    <t>B57:B59</t>
  </si>
  <si>
    <t>Use _ENGINE_Profile_Vector[PV_SUPPLIER_DEPENDENCY]</t>
  </si>
  <si>
    <t>PV_WORKFORCE_CONCENTRATION</t>
  </si>
  <si>
    <t>B74:B75</t>
  </si>
  <si>
    <t>PV_Workforce_Concentration</t>
  </si>
  <si>
    <t>Use _ENGINE_Profile_Vector[PV_WORKFORCE_CONCENTRATION]</t>
  </si>
  <si>
    <t>PV_PHYSICAL_FOOTPRINT_INTENSITY</t>
  </si>
  <si>
    <t>Use _ENGINE_Profile_Vector[PV_PHYSICAL_FOOTPRINT_INTENSITY]</t>
  </si>
  <si>
    <t>PV_DATA_CRITICALITY</t>
  </si>
  <si>
    <t>Industry default + regulatory</t>
  </si>
  <si>
    <t>Use _ENGINE_Profile_Vector[PV_DATA_CRITICALITY]</t>
  </si>
  <si>
    <t>PV_DIGITAL_DEPENDENCY</t>
  </si>
  <si>
    <t>Core systems + cloud</t>
  </si>
  <si>
    <t>PV_Digital_Dependency</t>
  </si>
  <si>
    <t>Use _ENGINE_Profile_Vector[PV_DIGITAL_DEPENDENCY]</t>
  </si>
  <si>
    <t>PV_FINANCIAL_BUFFER</t>
  </si>
  <si>
    <t>Cash runway + debt load</t>
  </si>
  <si>
    <t>Use _ENGINE_Profile_Vector[PV_FINANCIAL_BUFFER]</t>
  </si>
  <si>
    <t>PV_CRISIS_HISTORY_MAX_IMPACT</t>
  </si>
  <si>
    <t>PV_Crisis_History_Max_Impact</t>
  </si>
  <si>
    <t>Use _ENGINE_Profile_Vector[PV_CRISIS_HISTORY_MAX_IMPACT]</t>
  </si>
  <si>
    <t>PV_PROFILE_COMPLETENESS</t>
  </si>
  <si>
    <t>QA / Governance</t>
  </si>
  <si>
    <t>controlled profile inputs</t>
  </si>
  <si>
    <t>PV_Profile_Completeness</t>
  </si>
  <si>
    <t>Use _ENGINE_Profile_Vector[PV_PROFILE_COMPLETENESS]</t>
  </si>
  <si>
    <t>PV_UNKNOWN_VALUE_COUNT</t>
  </si>
  <si>
    <t>PV_Unknown_Value_Count</t>
  </si>
  <si>
    <t>Use _ENGINE_Profile_Vector[PV_UNKNOWN_VALUE_COUNT]</t>
  </si>
  <si>
    <t>Rule_ID</t>
  </si>
  <si>
    <t>Profile_Condition</t>
  </si>
  <si>
    <t>Capability_ID</t>
  </si>
  <si>
    <t>Risk_ID</t>
  </si>
  <si>
    <t>Initiative_ID</t>
  </si>
  <si>
    <t>Base_Applicability</t>
  </si>
  <si>
    <t>Hard_Exclude</t>
  </si>
  <si>
    <t>Conditional_Include</t>
  </si>
  <si>
    <t>Replacement_Capability_ID</t>
  </si>
  <si>
    <t>Reason</t>
  </si>
  <si>
    <t>Lookup_Key</t>
  </si>
  <si>
    <t>APP-ALL-001</t>
  </si>
  <si>
    <t>default</t>
  </si>
  <si>
    <t>CAP_CLOUD_DR</t>
  </si>
  <si>
    <t>Generic cross-industry default; can be overridden by industry-specific gates.</t>
  </si>
  <si>
    <t>P2</t>
  </si>
  <si>
    <t>All|CAP_CLOUD_DR</t>
  </si>
  <si>
    <t>APP-ALL-002</t>
  </si>
  <si>
    <t>CAP_PLATFORM_CONTINUITY</t>
  </si>
  <si>
    <t>All|CAP_PLATFORM_CONTINUITY</t>
  </si>
  <si>
    <t>APP-ALL-003</t>
  </si>
  <si>
    <t>CAP_SRE_OBSERVABILITY</t>
  </si>
  <si>
    <t>All|CAP_SRE_OBSERVABILITY</t>
  </si>
  <si>
    <t>APP-ALL-004</t>
  </si>
  <si>
    <t>CAP_CYBER_GOVERNANCE</t>
  </si>
  <si>
    <t>All|CAP_CYBER_GOVERNANCE</t>
  </si>
  <si>
    <t>APP-ALL-005</t>
  </si>
  <si>
    <t>CAP_IAM_PAM</t>
  </si>
  <si>
    <t>All|CAP_IAM_PAM</t>
  </si>
  <si>
    <t>APP-ALL-006</t>
  </si>
  <si>
    <t>CAP_BACKUP_RECOVERY</t>
  </si>
  <si>
    <t>All|CAP_BACKUP_RECOVERY</t>
  </si>
  <si>
    <t>APP-ALL-007</t>
  </si>
  <si>
    <t>CAP_INCIDENT_RESPONSE</t>
  </si>
  <si>
    <t>All|CAP_INCIDENT_RESPONSE</t>
  </si>
  <si>
    <t>APP-ALL-008</t>
  </si>
  <si>
    <t>CAP_LEGAL_BREACH_RESPONSE</t>
  </si>
  <si>
    <t>All|CAP_LEGAL_BREACH_RESPONSE</t>
  </si>
  <si>
    <t>APP-ALL-009</t>
  </si>
  <si>
    <t>CAP_DATA_GOVERNANCE</t>
  </si>
  <si>
    <t>All|CAP_DATA_GOVERNANCE</t>
  </si>
  <si>
    <t>APP-ALL-010</t>
  </si>
  <si>
    <t>CAP_BUSINESS_SYSTEMS</t>
  </si>
  <si>
    <t>All|CAP_BUSINESS_SYSTEMS</t>
  </si>
  <si>
    <t>APP-ALL-011</t>
  </si>
  <si>
    <t>CAP_BILLING_SUBSCRIPTION</t>
  </si>
  <si>
    <t>All|CAP_BILLING_SUBSCRIPTION</t>
  </si>
  <si>
    <t>APP-ALL-012</t>
  </si>
  <si>
    <t>CAP_CRM_CUSTOMER_SERVICE</t>
  </si>
  <si>
    <t>All|CAP_CRM_CUSTOMER_SERVICE</t>
  </si>
  <si>
    <t>APP-ALL-013</t>
  </si>
  <si>
    <t>CAP_CUSTOMER_COMMUNICATION</t>
  </si>
  <si>
    <t>All|CAP_CUSTOMER_COMMUNICATION</t>
  </si>
  <si>
    <t>APP-ALL-014</t>
  </si>
  <si>
    <t>CAP_CORE_BANKING</t>
  </si>
  <si>
    <t>All|CAP_CORE_BANKING</t>
  </si>
  <si>
    <t>APP-ALL-015</t>
  </si>
  <si>
    <t>CAP_PAYMENT_CONTINUITY</t>
  </si>
  <si>
    <t>All|CAP_PAYMENT_CONTINUITY</t>
  </si>
  <si>
    <t>APP-ALL-016</t>
  </si>
  <si>
    <t>CAP_FRAUD_MONITORING</t>
  </si>
  <si>
    <t>All|CAP_FRAUD_MONITORING</t>
  </si>
  <si>
    <t>APP-ALL-017</t>
  </si>
  <si>
    <t>CAP_REGULATORY_CONTINUITY</t>
  </si>
  <si>
    <t>All|CAP_REGULATORY_CONTINUITY</t>
  </si>
  <si>
    <t>APP-ALL-018</t>
  </si>
  <si>
    <t>CAP_POS_ECOMMERCE</t>
  </si>
  <si>
    <t>All|CAP_POS_ECOMMERCE</t>
  </si>
  <si>
    <t>APP-ALL-019</t>
  </si>
  <si>
    <t>CAP_WMS_WAREHOUSE</t>
  </si>
  <si>
    <t>All|CAP_WMS_WAREHOUSE</t>
  </si>
  <si>
    <t>APP-ALL-020</t>
  </si>
  <si>
    <t>CAP_MES_SHOPFLOOR</t>
  </si>
  <si>
    <t>All|CAP_MES_SHOPFLOOR</t>
  </si>
  <si>
    <t>APP-ALL-021</t>
  </si>
  <si>
    <t>CAP_OT_SECURITY</t>
  </si>
  <si>
    <t>All|CAP_OT_SECURITY</t>
  </si>
  <si>
    <t>APP-ALL-022</t>
  </si>
  <si>
    <t>CAP_SUPPLIER_RESILIENCE</t>
  </si>
  <si>
    <t>All|CAP_SUPPLIER_RESILIENCE</t>
  </si>
  <si>
    <t>APP-ALL-023</t>
  </si>
  <si>
    <t>CAP_INVENTORY_PLANNING</t>
  </si>
  <si>
    <t>All|CAP_INVENTORY_PLANNING</t>
  </si>
  <si>
    <t>APP-ALL-024</t>
  </si>
  <si>
    <t>CAP_DELIVERY_CONTINUITY</t>
  </si>
  <si>
    <t>All|CAP_DELIVERY_CONTINUITY</t>
  </si>
  <si>
    <t>APP-ALL-025</t>
  </si>
  <si>
    <t>CAP_PRODUCTION_CAPACITY</t>
  </si>
  <si>
    <t>All|CAP_PRODUCTION_CAPACITY</t>
  </si>
  <si>
    <t>APP-ALL-026</t>
  </si>
  <si>
    <t>CAP_ASSET_MAINTENANCE</t>
  </si>
  <si>
    <t>All|CAP_ASSET_MAINTENANCE</t>
  </si>
  <si>
    <t>APP-ALL-027</t>
  </si>
  <si>
    <t>CAP_PHYSICAL_SITE_SAFETY</t>
  </si>
  <si>
    <t>All|CAP_PHYSICAL_SITE_SAFETY</t>
  </si>
  <si>
    <t>APP-ALL-028</t>
  </si>
  <si>
    <t>CAP_UTILITIES_RESILIENCE</t>
  </si>
  <si>
    <t>All|CAP_UTILITIES_RESILIENCE</t>
  </si>
  <si>
    <t>APP-ALL-029</t>
  </si>
  <si>
    <t>CAP_WORKFORCE_CONTINUITY</t>
  </si>
  <si>
    <t>All|CAP_WORKFORCE_CONTINUITY</t>
  </si>
  <si>
    <t>APP-ALL-030</t>
  </si>
  <si>
    <t>CAP_CRITICAL_PEOPLE</t>
  </si>
  <si>
    <t>All|CAP_CRITICAL_PEOPLE</t>
  </si>
  <si>
    <t>APP-ALL-031</t>
  </si>
  <si>
    <t>CAP_REMOTE_WORK</t>
  </si>
  <si>
    <t>All|CAP_REMOTE_WORK</t>
  </si>
  <si>
    <t>APP-ALL-032</t>
  </si>
  <si>
    <t>CAP_VENDOR_CONCENTRATION</t>
  </si>
  <si>
    <t>All|CAP_VENDOR_CONCENTRATION</t>
  </si>
  <si>
    <t>APP-ALL-033</t>
  </si>
  <si>
    <t>CAP_AI_GOVERNANCE</t>
  </si>
  <si>
    <t>All|CAP_AI_GOVERNANCE</t>
  </si>
  <si>
    <t>APP-ALL-034</t>
  </si>
  <si>
    <t>CAP_FINANCE_CONTINUITY</t>
  </si>
  <si>
    <t>All|CAP_FINANCE_CONTINUITY</t>
  </si>
  <si>
    <t>APP-ALL-035</t>
  </si>
  <si>
    <t>CAP_PROCUREMENT_CONTROLS</t>
  </si>
  <si>
    <t>All|CAP_PROCUREMENT_CONTROLS</t>
  </si>
  <si>
    <t>APP-ALL-036</t>
  </si>
  <si>
    <t>CAP_PRODUCT_SECURITY</t>
  </si>
  <si>
    <t>All|CAP_PRODUCT_SECURITY</t>
  </si>
  <si>
    <t>APP-SaaS-037</t>
  </si>
  <si>
    <t>default SaaS operating model</t>
  </si>
  <si>
    <t>SaaS has no shop-floor/MES scope unless explicitly modeled as industrial operator.</t>
  </si>
  <si>
    <t>SaaS / Digital Product|CAP_MES_SHOPFLOOR</t>
  </si>
  <si>
    <t>APP-SaaS-038</t>
  </si>
  <si>
    <t>SaaS should not receive OT security initiatives by default.</t>
  </si>
  <si>
    <t>SaaS / Digital Product|CAP_OT_SECURITY</t>
  </si>
  <si>
    <t>APP-SaaS-039</t>
  </si>
  <si>
    <t>SaaS supplier risk should map to cloud/API/vendor dependency, not warehouse WMS.</t>
  </si>
  <si>
    <t>SaaS / Digital Product|CAP_WMS_WAREHOUSE</t>
  </si>
  <si>
    <t>APP-SaaS-040</t>
  </si>
  <si>
    <t>Core banking is not applicable to SaaS unless profile selects financial institution.</t>
  </si>
  <si>
    <t>SaaS / Digital Product|CAP_CORE_BANKING</t>
  </si>
  <si>
    <t>APP-SaaS-041</t>
  </si>
  <si>
    <t>POS/store continuity is usually not relevant; keep only low ecommerce/customer-system relevance.</t>
  </si>
  <si>
    <t>SaaS / Digital Product|CAP_POS_ECOMMERCE</t>
  </si>
  <si>
    <t>APP-SaaS-042</t>
  </si>
  <si>
    <t>Cloud dependency is a primary SaaS resilience driver.</t>
  </si>
  <si>
    <t>SaaS / Digital Product|CAP_CLOUD_DR</t>
  </si>
  <si>
    <t>APP-SaaS-043</t>
  </si>
  <si>
    <t>Core platform availability is a primary SaaS driver.</t>
  </si>
  <si>
    <t>SaaS / Digital Product|CAP_PLATFORM_CONTINUITY</t>
  </si>
  <si>
    <t>APP-SaaS-044</t>
  </si>
  <si>
    <t>High relevance for product reliability, error budgets and telemetry.</t>
  </si>
  <si>
    <t>SaaS / Digital Product|CAP_SRE_OBSERVABILITY</t>
  </si>
  <si>
    <t>APP-SaaS-045</t>
  </si>
  <si>
    <t>Subscription billing continuity affects revenue/churn.</t>
  </si>
  <si>
    <t>SaaS / Digital Product|CAP_BILLING_SUBSCRIPTION</t>
  </si>
  <si>
    <t>APP-SaaS-046</t>
  </si>
  <si>
    <t>Product security and customer data protection are primary SaaS concerns.</t>
  </si>
  <si>
    <t>SaaS / Digital Product|CAP_PRODUCT_SECURITY</t>
  </si>
  <si>
    <t>APP-SaaS-047</t>
  </si>
  <si>
    <t>Incident communication protects trust and SLAs.</t>
  </si>
  <si>
    <t>SaaS / Digital Product|CAP_CUSTOMER_COMMUNICATION</t>
  </si>
  <si>
    <t>APP-ITS-048</t>
  </si>
  <si>
    <t>default IT services operating model</t>
  </si>
  <si>
    <t>IT services should map operational continuity to delivery/customer environments, not MES.</t>
  </si>
  <si>
    <t>IT Services / Consulting|CAP_MES_SHOPFLOOR</t>
  </si>
  <si>
    <t>APP-ITS-049</t>
  </si>
  <si>
    <t>OT is excluded unless explicit OT delivery scope exists.</t>
  </si>
  <si>
    <t>IT Services / Consulting|CAP_OT_SECURITY</t>
  </si>
  <si>
    <t>APP-ITS-050</t>
  </si>
  <si>
    <t>Warehouse WMS is not applicable to normal IT services.</t>
  </si>
  <si>
    <t>IT Services / Consulting|CAP_WMS_WAREHOUSE</t>
  </si>
  <si>
    <t>APP-ITS-051</t>
  </si>
  <si>
    <t>POS/ecommerce operations are not intrinsic to IT services.</t>
  </si>
  <si>
    <t>IT Services / Consulting|CAP_POS_ECOMMERCE</t>
  </si>
  <si>
    <t>APP-ITS-052</t>
  </si>
  <si>
    <t>Core banking only applies if the company itself is a financial institution.</t>
  </si>
  <si>
    <t>IT Services / Consulting|CAP_CORE_BANKING</t>
  </si>
  <si>
    <t>APP-ITS-053</t>
  </si>
  <si>
    <t>Delivery capacity/SLA continuity is central to IT services.</t>
  </si>
  <si>
    <t>IT Services / Consulting|CAP_DELIVERY_CONTINUITY</t>
  </si>
  <si>
    <t>APP-ITS-054</t>
  </si>
  <si>
    <t>Critical people/knowledge dependency is a major IT services risk.</t>
  </si>
  <si>
    <t>IT Services / Consulting|CAP_CRITICAL_PEOPLE</t>
  </si>
  <si>
    <t>APP-ITS-055</t>
  </si>
  <si>
    <t>Service delivery continuity depends on workforce availability.</t>
  </si>
  <si>
    <t>IT Services / Consulting|CAP_WORKFORCE_CONTINUITY</t>
  </si>
  <si>
    <t>APP-ITS-056</t>
  </si>
  <si>
    <t>Cloud operations often support internal and customer environments.</t>
  </si>
  <si>
    <t>IT Services / Consulting|CAP_CLOUD_DR</t>
  </si>
  <si>
    <t>APP-ITS-057</t>
  </si>
  <si>
    <t>Customer trust depends on strong security governance.</t>
  </si>
  <si>
    <t>IT Services / Consulting|CAP_CYBER_GOVERNANCE</t>
  </si>
  <si>
    <t>APP-FIN-058</t>
  </si>
  <si>
    <t>default regulated financial model</t>
  </si>
  <si>
    <t>Banking continuity should map to core banking/payment systems, not MES.</t>
  </si>
  <si>
    <t>Financial Services / Banking|CAP_MES_SHOPFLOOR</t>
  </si>
  <si>
    <t>APP-FIN-059</t>
  </si>
  <si>
    <t>OT excluded unless explicit facility/industrial operations exist.</t>
  </si>
  <si>
    <t>Financial Services / Banking|CAP_OT_SECURITY</t>
  </si>
  <si>
    <t>APP-FIN-060</t>
  </si>
  <si>
    <t>Warehouse WMS is not applicable to financial services.</t>
  </si>
  <si>
    <t>Financial Services / Banking|CAP_WMS_WAREHOUSE</t>
  </si>
  <si>
    <t>APP-FIN-061</t>
  </si>
  <si>
    <t>POS/ecommerce should map to payment/channel continuity if relevant.</t>
  </si>
  <si>
    <t>Financial Services / Banking|CAP_POS_ECOMMERCE</t>
  </si>
  <si>
    <t>APP-FIN-062</t>
  </si>
  <si>
    <t>Production capacity does not apply to banks; use transaction/channel capacity.</t>
  </si>
  <si>
    <t>Financial Services / Banking|CAP_PRODUCTION_CAPACITY</t>
  </si>
  <si>
    <t>APP-FIN-063</t>
  </si>
  <si>
    <t>Core banking/channel systems are primary.</t>
  </si>
  <si>
    <t>Financial Services / Banking|CAP_CORE_BANKING</t>
  </si>
  <si>
    <t>APP-FIN-064</t>
  </si>
  <si>
    <t>Payment rails and transaction processing are primary.</t>
  </si>
  <si>
    <t>Financial Services / Banking|CAP_PAYMENT_CONTINUITY</t>
  </si>
  <si>
    <t>APP-FIN-065</t>
  </si>
  <si>
    <t>Fraud monitoring is high relevance in banking/fintech.</t>
  </si>
  <si>
    <t>Financial Services / Banking|CAP_FRAUD_MONITORING</t>
  </si>
  <si>
    <t>APP-FIN-066</t>
  </si>
  <si>
    <t>Regulatory notification/evidence is core in financial services.</t>
  </si>
  <si>
    <t>Financial Services / Banking|CAP_REGULATORY_CONTINUITY</t>
  </si>
  <si>
    <t>APP-FIN-067</t>
  </si>
  <si>
    <t>Privileged access and identity controls are critical.</t>
  </si>
  <si>
    <t>Financial Services / Banking|CAP_IAM_PAM</t>
  </si>
  <si>
    <t>APP-FIN-068</t>
  </si>
  <si>
    <t>Breach/regulatory response is high impact.</t>
  </si>
  <si>
    <t>Financial Services / Banking|CAP_LEGAL_BREACH_RESPONSE</t>
  </si>
  <si>
    <t>APP-FIN-069</t>
  </si>
  <si>
    <t>Data quality/privacy/auditability is central.</t>
  </si>
  <si>
    <t>Financial Services / Banking|CAP_DATA_GOVERNANCE</t>
  </si>
  <si>
    <t>APP-RET-070</t>
  </si>
  <si>
    <t>default retail/commerce model</t>
  </si>
  <si>
    <t>Retail should map to POS/ecommerce/store/DC continuity.</t>
  </si>
  <si>
    <t>Retail / Ecommerce|CAP_MES_SHOPFLOOR</t>
  </si>
  <si>
    <t>APP-RET-071</t>
  </si>
  <si>
    <t>OT only low relevance unless explicit facilities automation exists.</t>
  </si>
  <si>
    <t>Retail / Ecommerce|CAP_OT_SECURITY</t>
  </si>
  <si>
    <t>APP-RET-072</t>
  </si>
  <si>
    <t>Core banking excluded; payment processing may remain relevant.</t>
  </si>
  <si>
    <t>Retail / Ecommerce|CAP_CORE_BANKING</t>
  </si>
  <si>
    <t>APP-RET-073</t>
  </si>
  <si>
    <t>POS/ecommerce continuity is central in retail.</t>
  </si>
  <si>
    <t>Retail / Ecommerce|CAP_POS_ECOMMERCE</t>
  </si>
  <si>
    <t>APP-RET-074</t>
  </si>
  <si>
    <t>Warehouse/DC continuity often matters in retail.</t>
  </si>
  <si>
    <t>Retail / Ecommerce|CAP_WMS_WAREHOUSE</t>
  </si>
  <si>
    <t>APP-RET-075</t>
  </si>
  <si>
    <t>Product availability and supplier disruption are high relevance.</t>
  </si>
  <si>
    <t>Retail / Ecommerce|CAP_SUPPLIER_RESILIENCE</t>
  </si>
  <si>
    <t>APP-RET-076</t>
  </si>
  <si>
    <t>Stores/DCs create physical/site continuity exposure.</t>
  </si>
  <si>
    <t>Retail / Ecommerce|CAP_PHYSICAL_SITE_SAFETY</t>
  </si>
  <si>
    <t>APP-RET-077</t>
  </si>
  <si>
    <t>Customer communications matter during store/ecommerce outages.</t>
  </si>
  <si>
    <t>Retail / Ecommerce|CAP_CUSTOMER_COMMUNICATION</t>
  </si>
  <si>
    <t>APP-MFG-078</t>
  </si>
  <si>
    <t>default manufacturing model</t>
  </si>
  <si>
    <t>Core banking excluded for manufacturers.</t>
  </si>
  <si>
    <t>Manufacturing / Industrial|CAP_CORE_BANKING</t>
  </si>
  <si>
    <t>APP-MFG-079</t>
  </si>
  <si>
    <t>POS only low relevance unless direct retail operations exist.</t>
  </si>
  <si>
    <t>Manufacturing / Industrial|CAP_POS_ECOMMERCE</t>
  </si>
  <si>
    <t>APP-MFG-080</t>
  </si>
  <si>
    <t>MES/shop-floor continuity is central in manufacturing.</t>
  </si>
  <si>
    <t>Manufacturing / Industrial|CAP_MES_SHOPFLOOR</t>
  </si>
  <si>
    <t>APP-MFG-081</t>
  </si>
  <si>
    <t>OT security is a key manufacturing cyber risk.</t>
  </si>
  <si>
    <t>Manufacturing / Industrial|CAP_OT_SECURITY</t>
  </si>
  <si>
    <t>APP-MFG-082</t>
  </si>
  <si>
    <t>Supplier disruption impacts production continuity.</t>
  </si>
  <si>
    <t>Manufacturing / Industrial|CAP_SUPPLIER_RESILIENCE</t>
  </si>
  <si>
    <t>APP-MFG-083</t>
  </si>
  <si>
    <t>Inventory/planning visibility is central.</t>
  </si>
  <si>
    <t>Manufacturing / Industrial|CAP_INVENTORY_PLANNING</t>
  </si>
  <si>
    <t>APP-MFG-084</t>
  </si>
  <si>
    <t>Capacity continuity is critical.</t>
  </si>
  <si>
    <t>Manufacturing / Industrial|CAP_PRODUCTION_CAPACITY</t>
  </si>
  <si>
    <t>APP-MFG-085</t>
  </si>
  <si>
    <t>Maintenance/spares/asset resilience matter.</t>
  </si>
  <si>
    <t>Manufacturing / Industrial|CAP_ASSET_MAINTENANCE</t>
  </si>
  <si>
    <t>APP-MFG-086</t>
  </si>
  <si>
    <t>Production sites create physical safety exposure.</t>
  </si>
  <si>
    <t>Manufacturing / Industrial|CAP_PHYSICAL_SITE_SAFETY</t>
  </si>
  <si>
    <t>APP-MFG-087</t>
  </si>
  <si>
    <t>Utilities outages affect production.</t>
  </si>
  <si>
    <t>Manufacturing / Industrial|CAP_UTILITIES_RESILIENCE</t>
  </si>
  <si>
    <t>APP-LOG-001</t>
  </si>
  <si>
    <t>Warehouses/WMS are core to logistics/distribution operating resilience.</t>
  </si>
  <si>
    <t>Logistics / Distribution|CAP_WMS_WAREHOUSE</t>
  </si>
  <si>
    <t>APP-LOG-002</t>
  </si>
  <si>
    <t>Delivery continuity and route/service recovery are core logistics capabilities.</t>
  </si>
  <si>
    <t>Logistics / Distribution|CAP_DELIVERY_CONTINUITY</t>
  </si>
  <si>
    <t>APP-LOG-003</t>
  </si>
  <si>
    <t>Carrier/partner disruption should be visible and planned.</t>
  </si>
  <si>
    <t>Logistics / Distribution|CAP_SUPPLIER_RESILIENCE</t>
  </si>
  <si>
    <t>APP-LOG-004</t>
  </si>
  <si>
    <t>Inventory and stock-position accuracy drive continuity.</t>
  </si>
  <si>
    <t>Logistics / Distribution|CAP_INVENTORY_PLANNING</t>
  </si>
  <si>
    <t>APP-LOG-005</t>
  </si>
  <si>
    <t>High dependency on carriers, 3PLs and platform vendors.</t>
  </si>
  <si>
    <t>Logistics / Distribution|CAP_VENDOR_CONCENTRATION</t>
  </si>
  <si>
    <t>APP-LOG-006</t>
  </si>
  <si>
    <t>POS/ecommerce is relevant only if direct commerce operations exist.</t>
  </si>
  <si>
    <t>Logistics / Distribution|CAP_POS_ECOMMERCE</t>
  </si>
  <si>
    <t>APP-LOG-007</t>
  </si>
  <si>
    <t>MES/shop-floor controls are not default logistics capabilities.</t>
  </si>
  <si>
    <t>Logistics / Distribution|CAP_MES_SHOPFLOOR</t>
  </si>
  <si>
    <t>APP-LOG-008</t>
  </si>
  <si>
    <t>Production capacity is not default logistics scope.</t>
  </si>
  <si>
    <t>Logistics / Distribution|CAP_PRODUCTION_CAPACITY</t>
  </si>
  <si>
    <t>APP-HLT-001</t>
  </si>
  <si>
    <t>Healthcare is high-regulation and requires clinical/privacy compliance continuity.</t>
  </si>
  <si>
    <t>Healthcare|CAP_REGULATORY_CONTINUITY</t>
  </si>
  <si>
    <t>APP-HLT-002</t>
  </si>
  <si>
    <t>Patient/clinical data quality and privacy are high criticality.</t>
  </si>
  <si>
    <t>Healthcare|CAP_DATA_GOVERNANCE</t>
  </si>
  <si>
    <t>APP-HLT-003</t>
  </si>
  <si>
    <t>Healthcare ransomware/cyber exposure is high impact.</t>
  </si>
  <si>
    <t>Healthcare|CAP_CYBER_GOVERNANCE</t>
  </si>
  <si>
    <t>APP-HLT-004</t>
  </si>
  <si>
    <t>Incident response and breach notification are critical.</t>
  </si>
  <si>
    <t>Healthcare|CAP_INCIDENT_RESPONSE</t>
  </si>
  <si>
    <t>APP-HLT-005</t>
  </si>
  <si>
    <t>Clinical system restore capability is critical.</t>
  </si>
  <si>
    <t>Healthcare|CAP_BACKUP_RECOVERY</t>
  </si>
  <si>
    <t>APP-HLT-006</t>
  </si>
  <si>
    <t>EHR/clinical/admin systems continuity is important.</t>
  </si>
  <si>
    <t>Healthcare|CAP_BUSINESS_SYSTEMS</t>
  </si>
  <si>
    <t>APP-HLT-007</t>
  </si>
  <si>
    <t>Clinical sites have safety and continuity requirements.</t>
  </si>
  <si>
    <t>Healthcare|CAP_PHYSICAL_SITE_SAFETY</t>
  </si>
  <si>
    <t>APP-HLT-008</t>
  </si>
  <si>
    <t>MES/shop-floor is not default healthcare scope.</t>
  </si>
  <si>
    <t>Healthcare|CAP_MES_SHOPFLOOR</t>
  </si>
  <si>
    <t>APP-PUB-001</t>
  </si>
  <si>
    <t>Public-sector obligations, transparency and continuity requirements are high.</t>
  </si>
  <si>
    <t>Public Sector|CAP_REGULATORY_CONTINUITY</t>
  </si>
  <si>
    <t>APP-PUB-002</t>
  </si>
  <si>
    <t>Citizen/service data quality and privacy are critical.</t>
  </si>
  <si>
    <t>Public Sector|CAP_DATA_GOVERNANCE</t>
  </si>
  <si>
    <t>APP-PUB-003</t>
  </si>
  <si>
    <t>Public-sector cyber resilience is a high-impact requirement.</t>
  </si>
  <si>
    <t>Public Sector|CAP_CYBER_GOVERNANCE</t>
  </si>
  <si>
    <t>APP-PUB-004</t>
  </si>
  <si>
    <t>Incident response and public communication must be coordinated.</t>
  </si>
  <si>
    <t>Public Sector|CAP_INCIDENT_RESPONSE</t>
  </si>
  <si>
    <t>APP-PUB-005</t>
  </si>
  <si>
    <t>Citizen/stakeholder communication is critical during disruptions.</t>
  </si>
  <si>
    <t>Public Sector|CAP_CUSTOMER_COMMUNICATION</t>
  </si>
  <si>
    <t>APP-PUB-006</t>
  </si>
  <si>
    <t>Public offices/service centers may require site continuity.</t>
  </si>
  <si>
    <t>Public Sector|CAP_PHYSICAL_SITE_SAFETY</t>
  </si>
  <si>
    <t>APP-PUB-007</t>
  </si>
  <si>
    <t>MES/shop-floor is not default public sector scope.</t>
  </si>
  <si>
    <t>Public Sector|CAP_MES_SHOPFLOOR</t>
  </si>
  <si>
    <t>APP-PUB-008</t>
  </si>
  <si>
    <t>Warehouse relevance is low unless the agency operates logistics/assets.</t>
  </si>
  <si>
    <t>Public Sector|CAP_WMS_WAREHOUSE</t>
  </si>
  <si>
    <t>APP-UTL-001</t>
  </si>
  <si>
    <t>Utilities resilience is the core operating capability.</t>
  </si>
  <si>
    <t>Energy / Utilities|CAP_UTILITIES_RESILIENCE</t>
  </si>
  <si>
    <t>APP-UTL-002</t>
  </si>
  <si>
    <t>OT/ICS security is central to energy/utilities operations.</t>
  </si>
  <si>
    <t>Energy / Utilities|CAP_OT_SECURITY</t>
  </si>
  <si>
    <t>APP-UTL-003</t>
  </si>
  <si>
    <t>Sites and field assets are high criticality.</t>
  </si>
  <si>
    <t>Energy / Utilities|CAP_PHYSICAL_SITE_SAFETY</t>
  </si>
  <si>
    <t>APP-UTL-004</t>
  </si>
  <si>
    <t>Asset maintenance and reliability are critical.</t>
  </si>
  <si>
    <t>Energy / Utilities|CAP_ASSET_MAINTENANCE</t>
  </si>
  <si>
    <t>APP-UTL-005</t>
  </si>
  <si>
    <t>Incident response must integrate cyber/OT/field operations.</t>
  </si>
  <si>
    <t>Energy / Utilities|CAP_INCIDENT_RESPONSE</t>
  </si>
  <si>
    <t>APP-UTL-006</t>
  </si>
  <si>
    <t>Utilities are regulated and continuity obligations are material.</t>
  </si>
  <si>
    <t>Energy / Utilities|CAP_REGULATORY_CONTINUITY</t>
  </si>
  <si>
    <t>APP-UTL-007</t>
  </si>
  <si>
    <t>MES may be relevant only for generation/industrial operations.</t>
  </si>
  <si>
    <t>Energy / Utilities|CAP_MES_SHOPFLOOR</t>
  </si>
  <si>
    <t>APP-UTL-008</t>
  </si>
  <si>
    <t>POS/ecommerce is low relevance by default.</t>
  </si>
  <si>
    <t>Energy / Utilities|CAP_POS_ECOMMERCE</t>
  </si>
  <si>
    <t>APP-SAA-CTX-001</t>
  </si>
  <si>
    <t>PV_Cloud_Dependency&gt;0.7</t>
  </si>
  <si>
    <t>High cloud dependency</t>
  </si>
  <si>
    <t>Boost backup/restore evidence for cloud-dependent SaaS.</t>
  </si>
  <si>
    <t>SaaS / Digital Product|CAP_BACKUP_RECOVERY</t>
  </si>
  <si>
    <t>APP-SAA-CTX-002</t>
  </si>
  <si>
    <t>PV_Data_Criticality&gt;0.7</t>
  </si>
  <si>
    <t>High data/AI criticality</t>
  </si>
  <si>
    <t>Boost AI/data governance where product/data criticality is high.</t>
  </si>
  <si>
    <t>SaaS / Digital Product|CAP_AI_GOVERNANCE</t>
  </si>
  <si>
    <t>Crisis_Scenario</t>
  </si>
  <si>
    <t>Severity_Min</t>
  </si>
  <si>
    <t>Applies_To_Industry</t>
  </si>
  <si>
    <t>Dominance_Multiplier</t>
  </si>
  <si>
    <t>Min_Top5_Count</t>
  </si>
  <si>
    <t>Max_Top5_Count</t>
  </si>
  <si>
    <t>Industry_Lookup_Key</t>
  </si>
  <si>
    <t>CR-RAN-001</t>
  </si>
  <si>
    <t>Security governance must dominate ransomware response.</t>
  </si>
  <si>
    <t>Cyberattack / ransomware|CAP_CYBER_GOVERNANCE</t>
  </si>
  <si>
    <t>Cyberattack / ransomware|All|CAP_CYBER_GOVERNANCE</t>
  </si>
  <si>
    <t>CR-RAN-002</t>
  </si>
  <si>
    <t>Identity, MFA, PAM and JML are core ransomware controls.</t>
  </si>
  <si>
    <t>Cyberattack / ransomware|CAP_IAM_PAM</t>
  </si>
  <si>
    <t>Cyberattack / ransomware|All|CAP_IAM_PAM</t>
  </si>
  <si>
    <t>CR-RAN-003</t>
  </si>
  <si>
    <t>Restore capability and immutable backups are decisive.</t>
  </si>
  <si>
    <t>Cyberattack / ransomware|CAP_BACKUP_RECOVERY</t>
  </si>
  <si>
    <t>Cyberattack / ransomware|All|CAP_BACKUP_RECOVERY</t>
  </si>
  <si>
    <t>CR-RAN-004</t>
  </si>
  <si>
    <t>Detection, response, logging and exercises are decisive.</t>
  </si>
  <si>
    <t>Cyberattack / ransomware|CAP_INCIDENT_RESPONSE</t>
  </si>
  <si>
    <t>Cyberattack / ransomware|All|CAP_INCIDENT_RESPONSE</t>
  </si>
  <si>
    <t>CR-RAN-005</t>
  </si>
  <si>
    <t>Cloud/DR resilience limits business impact.</t>
  </si>
  <si>
    <t>Cyberattack / ransomware|CAP_CLOUD_DR</t>
  </si>
  <si>
    <t>Cyberattack / ransomware|All|CAP_CLOUD_DR</t>
  </si>
  <si>
    <t>CR-RAN-006</t>
  </si>
  <si>
    <t>ERP/platform continuity is required for recovery.</t>
  </si>
  <si>
    <t>Cyberattack / ransomware|CAP_BUSINESS_SYSTEMS</t>
  </si>
  <si>
    <t>Cyberattack / ransomware|All|CAP_BUSINESS_SYSTEMS</t>
  </si>
  <si>
    <t>CR-RAN-007</t>
  </si>
  <si>
    <t>Data ownership/classification supports recovery and breach response.</t>
  </si>
  <si>
    <t>Cyberattack / ransomware|CAP_DATA_GOVERNANCE</t>
  </si>
  <si>
    <t>Cyberattack / ransomware|All|CAP_DATA_GOVERNANCE</t>
  </si>
  <si>
    <t>CR-RAN-008</t>
  </si>
  <si>
    <t>Breach notification and evidence are required.</t>
  </si>
  <si>
    <t>Cyberattack / ransomware|CAP_LEGAL_BREACH_RESPONSE</t>
  </si>
  <si>
    <t>Cyberattack / ransomware|All|CAP_LEGAL_BREACH_RESPONSE</t>
  </si>
  <si>
    <t>CR-RAN-009</t>
  </si>
  <si>
    <t>Physical safety should not dominate ransomware unless the crisis has physical impact.</t>
  </si>
  <si>
    <t>Cyberattack / ransomware|CAP_PHYSICAL_SITE_SAFETY</t>
  </si>
  <si>
    <t>Cyberattack / ransomware|All|CAP_PHYSICAL_SITE_SAFETY</t>
  </si>
  <si>
    <t>CR-RAN-010</t>
  </si>
  <si>
    <t>Workforce is secondary unless critical people dependency is high.</t>
  </si>
  <si>
    <t>Cyberattack / ransomware|CAP_WORKFORCE_CONTINUITY</t>
  </si>
  <si>
    <t>Cyberattack / ransomware|All|CAP_WORKFORCE_CONTINUITY</t>
  </si>
  <si>
    <t>CR-CLOUD-011</t>
  </si>
  <si>
    <t>Primary driver in cloud outage.</t>
  </si>
  <si>
    <t>Cloud / SaaS outage|CAP_CLOUD_DR</t>
  </si>
  <si>
    <t>Cloud / SaaS outage|All|CAP_CLOUD_DR</t>
  </si>
  <si>
    <t>CR-CLOUD-012</t>
  </si>
  <si>
    <t>Core platform continuity dominates.</t>
  </si>
  <si>
    <t>Cloud / SaaS outage|CAP_PLATFORM_CONTINUITY</t>
  </si>
  <si>
    <t>Cloud / SaaS outage|All|CAP_PLATFORM_CONTINUITY</t>
  </si>
  <si>
    <t>CR-CLOUD-013</t>
  </si>
  <si>
    <t>Observability and SRE evidence are required.</t>
  </si>
  <si>
    <t>Cloud / SaaS outage|CAP_SRE_OBSERVABILITY</t>
  </si>
  <si>
    <t>Cloud / SaaS outage|All|CAP_SRE_OBSERVABILITY</t>
  </si>
  <si>
    <t>CR-CLOUD-014</t>
  </si>
  <si>
    <t>SLA/customer trust communications are required.</t>
  </si>
  <si>
    <t>Cloud / SaaS outage|CAP_CUSTOMER_COMMUNICATION</t>
  </si>
  <si>
    <t>Cloud / SaaS outage|All|CAP_CUSTOMER_COMMUNICATION</t>
  </si>
  <si>
    <t>CR-CLOUD-015</t>
  </si>
  <si>
    <t>Billing/subscription continuity protects revenue.</t>
  </si>
  <si>
    <t>Cloud / SaaS outage|CAP_BILLING_SUBSCRIPTION</t>
  </si>
  <si>
    <t>Cloud / SaaS outage|All|CAP_BILLING_SUBSCRIPTION</t>
  </si>
  <si>
    <t>CR-CLOUD-016</t>
  </si>
  <si>
    <t>Data quality/ownership supports service recovery.</t>
  </si>
  <si>
    <t>Cloud / SaaS outage|CAP_DATA_GOVERNANCE</t>
  </si>
  <si>
    <t>Cloud / SaaS outage|All|CAP_DATA_GOVERNANCE</t>
  </si>
  <si>
    <t>CR-CLOUD-017</t>
  </si>
  <si>
    <t>Security controls remain relevant during outage.</t>
  </si>
  <si>
    <t>Cloud / SaaS outage|CAP_CYBER_GOVERNANCE</t>
  </si>
  <si>
    <t>Cloud / SaaS outage|All|CAP_CYBER_GOVERNANCE</t>
  </si>
  <si>
    <t>CR-CLOUD-018</t>
  </si>
  <si>
    <t>Physical safety should not dominate cloud outage by default.</t>
  </si>
  <si>
    <t>Cloud / SaaS outage|CAP_PHYSICAL_SITE_SAFETY</t>
  </si>
  <si>
    <t>Cloud / SaaS outage|All|CAP_PHYSICAL_SITE_SAFETY</t>
  </si>
  <si>
    <t>CR-SUP-019</t>
  </si>
  <si>
    <t>Primary domain for supplier/logistics disruption.</t>
  </si>
  <si>
    <t>Supply chain disruption|CAP_SUPPLIER_RESILIENCE</t>
  </si>
  <si>
    <t>Supply chain disruption|All|CAP_SUPPLIER_RESILIENCE</t>
  </si>
  <si>
    <t>CR-SUP-020</t>
  </si>
  <si>
    <t>Inventory visibility and planning are key.</t>
  </si>
  <si>
    <t>Supply chain disruption|CAP_INVENTORY_PLANNING</t>
  </si>
  <si>
    <t>Supply chain disruption|All|CAP_INVENTORY_PLANNING</t>
  </si>
  <si>
    <t>CR-SUP-021</t>
  </si>
  <si>
    <t>Delivery/capacity continuity matters.</t>
  </si>
  <si>
    <t>Supply chain disruption|CAP_DELIVERY_CONTINUITY</t>
  </si>
  <si>
    <t>Supply chain disruption|All|CAP_DELIVERY_CONTINUITY</t>
  </si>
  <si>
    <t>CR-SUP-022</t>
  </si>
  <si>
    <t>Warehouse/DC continuity matters where applicable.</t>
  </si>
  <si>
    <t>Supply chain disruption|CAP_WMS_WAREHOUSE</t>
  </si>
  <si>
    <t>Supply chain disruption|All|CAP_WMS_WAREHOUSE</t>
  </si>
  <si>
    <t>CR-SUP-023</t>
  </si>
  <si>
    <t>MES/shop-floor continuity matters for manufacturing only after gates.</t>
  </si>
  <si>
    <t>Supply chain disruption|CAP_MES_SHOPFLOOR</t>
  </si>
  <si>
    <t>Supply chain disruption|All|CAP_MES_SHOPFLOOR</t>
  </si>
  <si>
    <t>CR-SUP-024</t>
  </si>
  <si>
    <t>Supplier substitution and procurement controls matter.</t>
  </si>
  <si>
    <t>Supply chain disruption|CAP_PROCUREMENT_CONTROLS</t>
  </si>
  <si>
    <t>Supply chain disruption|All|CAP_PROCUREMENT_CONTROLS</t>
  </si>
  <si>
    <t>CR-SUP-025</t>
  </si>
  <si>
    <t>Vendor concentration matters across industries.</t>
  </si>
  <si>
    <t>Supply chain disruption|CAP_VENDOR_CONCENTRATION</t>
  </si>
  <si>
    <t>Supply chain disruption|All|CAP_VENDOR_CONCENTRATION</t>
  </si>
  <si>
    <t>CR-ENE-026</t>
  </si>
  <si>
    <t>Utilities resilience is primary.</t>
  </si>
  <si>
    <t>Energy / utilities outage|CAP_UTILITIES_RESILIENCE</t>
  </si>
  <si>
    <t>Energy / utilities outage|All|CAP_UTILITIES_RESILIENCE</t>
  </si>
  <si>
    <t>CR-ENE-027</t>
  </si>
  <si>
    <t>Site/safety continuity matters.</t>
  </si>
  <si>
    <t>Energy / utilities outage|CAP_PHYSICAL_SITE_SAFETY</t>
  </si>
  <si>
    <t>Energy / utilities outage|All|CAP_PHYSICAL_SITE_SAFETY</t>
  </si>
  <si>
    <t>CR-ENE-028</t>
  </si>
  <si>
    <t>Retail POS/offline mode matters where applicable.</t>
  </si>
  <si>
    <t>Energy / utilities outage|CAP_POS_ECOMMERCE</t>
  </si>
  <si>
    <t>Energy / utilities outage|All|CAP_POS_ECOMMERCE</t>
  </si>
  <si>
    <t>CR-ENE-029</t>
  </si>
  <si>
    <t>Manufacturing production continuity matters where applicable.</t>
  </si>
  <si>
    <t>Energy / utilities outage|CAP_PRODUCTION_CAPACITY</t>
  </si>
  <si>
    <t>Energy / utilities outage|All|CAP_PRODUCTION_CAPACITY</t>
  </si>
  <si>
    <t>CR-ENE-030</t>
  </si>
  <si>
    <t>Cloud/DR matters for digital operations.</t>
  </si>
  <si>
    <t>Energy / utilities outage|CAP_CLOUD_DR</t>
  </si>
  <si>
    <t>Energy / utilities outage|All|CAP_CLOUD_DR</t>
  </si>
  <si>
    <t>CR-ENE-031</t>
  </si>
  <si>
    <t>Customer communications during outage matter.</t>
  </si>
  <si>
    <t>Energy / utilities outage|CAP_CUSTOMER_COMMUNICATION</t>
  </si>
  <si>
    <t>Energy / utilities outage|All|CAP_CUSTOMER_COMMUNICATION</t>
  </si>
  <si>
    <t>CR-WAR-032</t>
  </si>
  <si>
    <t>Physical safety and facilities dominate.</t>
  </si>
  <si>
    <t>War / geopolitical escalation|CAP_PHYSICAL_SITE_SAFETY</t>
  </si>
  <si>
    <t>War / geopolitical escalation|All|CAP_PHYSICAL_SITE_SAFETY</t>
  </si>
  <si>
    <t>CR-WAR-033</t>
  </si>
  <si>
    <t>Utilities/site resilience are high impact.</t>
  </si>
  <si>
    <t>War / geopolitical escalation|CAP_UTILITIES_RESILIENCE</t>
  </si>
  <si>
    <t>War / geopolitical escalation|All|CAP_UTILITIES_RESILIENCE</t>
  </si>
  <si>
    <t>CR-WAR-034</t>
  </si>
  <si>
    <t>Workforce availability and wellbeing matter.</t>
  </si>
  <si>
    <t>War / geopolitical escalation|CAP_WORKFORCE_CONTINUITY</t>
  </si>
  <si>
    <t>War / geopolitical escalation|All|CAP_WORKFORCE_CONTINUITY</t>
  </si>
  <si>
    <t>CR-WAR-035</t>
  </si>
  <si>
    <t>Critical roles/location dependency matter.</t>
  </si>
  <si>
    <t>War / geopolitical escalation|CAP_CRITICAL_PEOPLE</t>
  </si>
  <si>
    <t>War / geopolitical escalation|All|CAP_CRITICAL_PEOPLE</t>
  </si>
  <si>
    <t>CR-WAR-036</t>
  </si>
  <si>
    <t>Remote continuity is a key mitigation.</t>
  </si>
  <si>
    <t>War / geopolitical escalation|CAP_REMOTE_WORK</t>
  </si>
  <si>
    <t>War / geopolitical escalation|All|CAP_REMOTE_WORK</t>
  </si>
  <si>
    <t>CR-WAR-037</t>
  </si>
  <si>
    <t>Supply continuity is affected.</t>
  </si>
  <si>
    <t>War / geopolitical escalation|CAP_SUPPLIER_RESILIENCE</t>
  </si>
  <si>
    <t>War / geopolitical escalation|All|CAP_SUPPLIER_RESILIENCE</t>
  </si>
  <si>
    <t>CR-WAR-038</t>
  </si>
  <si>
    <t>Cyber risk often increases during war/security crisis.</t>
  </si>
  <si>
    <t>War / geopolitical escalation|CAP_CYBER_GOVERNANCE</t>
  </si>
  <si>
    <t>War / geopolitical escalation|All|CAP_CYBER_GOVERNANCE</t>
  </si>
  <si>
    <t>CR-PAN-039</t>
  </si>
  <si>
    <t>Workforce availability dominates pandemic response.</t>
  </si>
  <si>
    <t>Pandemic / workforce disruption|CAP_WORKFORCE_CONTINUITY</t>
  </si>
  <si>
    <t>Pandemic / workforce disruption|All|CAP_WORKFORCE_CONTINUITY</t>
  </si>
  <si>
    <t>CR-PAN-040</t>
  </si>
  <si>
    <t>Remote work readiness is primary.</t>
  </si>
  <si>
    <t>Pandemic / workforce disruption|CAP_REMOTE_WORK</t>
  </si>
  <si>
    <t>Pandemic / workforce disruption|All|CAP_REMOTE_WORK</t>
  </si>
  <si>
    <t>CR-PAN-041</t>
  </si>
  <si>
    <t>Critical people dependency affects continuity.</t>
  </si>
  <si>
    <t>Pandemic / workforce disruption|CAP_CRITICAL_PEOPLE</t>
  </si>
  <si>
    <t>Pandemic / workforce disruption|All|CAP_CRITICAL_PEOPLE</t>
  </si>
  <si>
    <t>CR-PAN-042</t>
  </si>
  <si>
    <t>Cloud/digital access supports continuity.</t>
  </si>
  <si>
    <t>Pandemic / workforce disruption|CAP_CLOUD_DR</t>
  </si>
  <si>
    <t>Pandemic / workforce disruption|All|CAP_CLOUD_DR</t>
  </si>
  <si>
    <t>CR-PAN-043</t>
  </si>
  <si>
    <t>Customer communications and expectation management matter.</t>
  </si>
  <si>
    <t>Pandemic / workforce disruption|CAP_CUSTOMER_COMMUNICATION</t>
  </si>
  <si>
    <t>Pandemic / workforce disruption|All|CAP_CUSTOMER_COMMUNICATION</t>
  </si>
  <si>
    <t>CR-PAN-044</t>
  </si>
  <si>
    <t>Site health/safety may matter for essential operations.</t>
  </si>
  <si>
    <t>Pandemic / workforce disruption|CAP_PHYSICAL_SITE_SAFETY</t>
  </si>
  <si>
    <t>Pandemic / workforce disruption|All|CAP_PHYSICAL_SITE_SAFETY</t>
  </si>
  <si>
    <t>CR-SAA-CLOUD-001</t>
  </si>
  <si>
    <t>SaaS outage should strongly prioritize SRE, observability and error budgets.</t>
  </si>
  <si>
    <t>Cloud / SaaS outage|SaaS / Digital Product|CAP_SRE_OBSERVABILITY</t>
  </si>
  <si>
    <t>CR-SAA-CLOUD-002</t>
  </si>
  <si>
    <t>SaaS outage must prioritize platform, APIs and integrations.</t>
  </si>
  <si>
    <t>Cloud / SaaS outage|SaaS / Digital Product|CAP_PLATFORM_CONTINUITY</t>
  </si>
  <si>
    <t>CR-SAA-CLOUD-003</t>
  </si>
  <si>
    <t>Customer comms/status page are critical in SaaS outages.</t>
  </si>
  <si>
    <t>Cloud / SaaS outage|SaaS / Digital Product|CAP_CUSTOMER_COMMUNICATION</t>
  </si>
  <si>
    <t>CR-SAA-CLOUD-004</t>
  </si>
  <si>
    <t>Billing/subscription continuity affects trust and revenue.</t>
  </si>
  <si>
    <t>Cloud / SaaS outage|SaaS / Digital Product|CAP_BILLING_SUBSCRIPTION</t>
  </si>
  <si>
    <t>CR-BNK-RAN-001</t>
  </si>
  <si>
    <t>Bank ransomware must prioritize core banking continuity.</t>
  </si>
  <si>
    <t>Cyberattack / ransomware|CAP_CORE_BANKING</t>
  </si>
  <si>
    <t>Cyberattack / ransomware|Financial Services / Banking|CAP_CORE_BANKING</t>
  </si>
  <si>
    <t>CR-BNK-RAN-002</t>
  </si>
  <si>
    <t>Payment rails continuity is core financial resilience.</t>
  </si>
  <si>
    <t>Cyberattack / ransomware|CAP_PAYMENT_CONTINUITY</t>
  </si>
  <si>
    <t>Cyberattack / ransomware|Financial Services / Banking|CAP_PAYMENT_CONTINUITY</t>
  </si>
  <si>
    <t>CR-BNK-RAN-003</t>
  </si>
  <si>
    <t>Fraud monitoring and anomalous activity response must remain operational.</t>
  </si>
  <si>
    <t>Cyberattack / ransomware|CAP_FRAUD_MONITORING</t>
  </si>
  <si>
    <t>Cyberattack / ransomware|Financial Services / Banking|CAP_FRAUD_MONITORING</t>
  </si>
  <si>
    <t>CR-BNK-RAN-004</t>
  </si>
  <si>
    <t>Regulatory notification/evidence must be prioritized.</t>
  </si>
  <si>
    <t>Cyberattack / ransomware|CAP_REGULATORY_CONTINUITY</t>
  </si>
  <si>
    <t>Cyberattack / ransomware|Financial Services / Banking|CAP_REGULATORY_CONTINUITY</t>
  </si>
  <si>
    <t>CR-RTL-ENE-001</t>
  </si>
  <si>
    <t>Retail energy outage must prioritize POS/ecommerce/offline sales continuity.</t>
  </si>
  <si>
    <t>Energy / utilities outage|Retail / Ecommerce|CAP_POS_ECOMMERCE</t>
  </si>
  <si>
    <t>CR-RTL-ENE-002</t>
  </si>
  <si>
    <t>Warehouse/DC continuity matters in energy outage.</t>
  </si>
  <si>
    <t>Energy / utilities outage|CAP_WMS_WAREHOUSE</t>
  </si>
  <si>
    <t>Energy / utilities outage|Retail / Ecommerce|CAP_WMS_WAREHOUSE</t>
  </si>
  <si>
    <t>CR-RTL-ENE-003</t>
  </si>
  <si>
    <t>Customer communication matters when stores/DCs are disrupted.</t>
  </si>
  <si>
    <t>Energy / utilities outage|Retail / Ecommerce|CAP_CUSTOMER_COMMUNICATION</t>
  </si>
  <si>
    <t>CR-MFG-SUP-001</t>
  </si>
  <si>
    <t>Supplier disruption can impact shop-floor planning and control.</t>
  </si>
  <si>
    <t>Supply chain disruption|Manufacturing / Industrial|CAP_MES_SHOPFLOOR</t>
  </si>
  <si>
    <t>CR-MFG-SUP-002</t>
  </si>
  <si>
    <t>Capacity scenario planning should be prioritized in supplier disruption.</t>
  </si>
  <si>
    <t>Supply chain disruption|CAP_PRODUCTION_CAPACITY</t>
  </si>
  <si>
    <t>Supply chain disruption|Manufacturing / Industrial|CAP_PRODUCTION_CAPACITY</t>
  </si>
  <si>
    <t>CR-MFG-SUP-003</t>
  </si>
  <si>
    <t>Maintenance/spares can become a disruption bottleneck.</t>
  </si>
  <si>
    <t>Supply chain disruption|CAP_ASSET_MAINTENANCE</t>
  </si>
  <si>
    <t>Supply chain disruption|Manufacturing / Industrial|CAP_ASSET_MAINTENANCE</t>
  </si>
  <si>
    <t>CR-ITS-WAR-001</t>
  </si>
  <si>
    <t>IT services war/security crisis prioritizes remote delivery continuity.</t>
  </si>
  <si>
    <t>War / geopolitical escalation|IT Services / Consulting|CAP_REMOTE_WORK</t>
  </si>
  <si>
    <t>CR-ITS-WAR-002</t>
  </si>
  <si>
    <t>Critical experts and succession matter during security crisis.</t>
  </si>
  <si>
    <t>War / geopolitical escalation|IT Services / Consulting|CAP_CRITICAL_PEOPLE</t>
  </si>
  <si>
    <t>CR-ITS-WAR-003</t>
  </si>
  <si>
    <t>Customer escalation and expectation management are required.</t>
  </si>
  <si>
    <t>War / geopolitical escalation|CAP_CUSTOMER_COMMUNICATION</t>
  </si>
  <si>
    <t>War / geopolitical escalation|IT Services / Consulting|CAP_CUSTOMER_COMMUNICATION</t>
  </si>
  <si>
    <t>CR-HLT-RAN-001</t>
  </si>
  <si>
    <t>Healthcare ransomware should prioritize EHR/clinical/admin system continuity.</t>
  </si>
  <si>
    <t>Cyberattack / ransomware|Healthcare|CAP_BUSINESS_SYSTEMS</t>
  </si>
  <si>
    <t>CR-HLT-RAN-002</t>
  </si>
  <si>
    <t>Patient data breach response and notification are critical.</t>
  </si>
  <si>
    <t>Cyberattack / ransomware|Healthcare|CAP_LEGAL_BREACH_RESPONSE</t>
  </si>
  <si>
    <t>CR-UTL-ENE-001</t>
  </si>
  <si>
    <t>Utilities outage scenario is core for utilities companies.</t>
  </si>
  <si>
    <t>Energy / utilities outage|Energy / Utilities|CAP_UTILITIES_RESILIENCE</t>
  </si>
  <si>
    <t>CR-UTL-ENE-002</t>
  </si>
  <si>
    <t>OT/ICS security remains critical in utility disruptions.</t>
  </si>
  <si>
    <t>Energy / utilities outage|CAP_OT_SECURITY</t>
  </si>
  <si>
    <t>Energy / utilities outage|Energy / Utilities|CAP_OT_SECURITY</t>
  </si>
  <si>
    <t>Row_ID</t>
  </si>
  <si>
    <t>Selected_Crisis</t>
  </si>
  <si>
    <t>Crisis_Severity</t>
  </si>
  <si>
    <t>Crisis_Multiplier</t>
  </si>
  <si>
    <t>Context_Multiplier</t>
  </si>
  <si>
    <t>Final_Relevance</t>
  </si>
  <si>
    <t>Applicability_Rule</t>
  </si>
  <si>
    <t>Dominance_Rule</t>
  </si>
  <si>
    <t>Context_Rule_Trace</t>
  </si>
  <si>
    <t>Relevance_Version</t>
  </si>
  <si>
    <t>REL-001</t>
  </si>
  <si>
    <t>v2.9.12 expanded context + industry-aware crisis dominance</t>
  </si>
  <si>
    <t>REL-002</t>
  </si>
  <si>
    <t>REL-003</t>
  </si>
  <si>
    <t>REL-004</t>
  </si>
  <si>
    <t>REL-005</t>
  </si>
  <si>
    <t>REL-006</t>
  </si>
  <si>
    <t>REL-007</t>
  </si>
  <si>
    <t>REL-008</t>
  </si>
  <si>
    <t>REL-009</t>
  </si>
  <si>
    <t>REL-010</t>
  </si>
  <si>
    <t>REL-011</t>
  </si>
  <si>
    <t>REL-012</t>
  </si>
  <si>
    <t>REL-013</t>
  </si>
  <si>
    <t>REL-014</t>
  </si>
  <si>
    <t>REL-015</t>
  </si>
  <si>
    <t>REL-016</t>
  </si>
  <si>
    <t>REL-017</t>
  </si>
  <si>
    <t>REL-018</t>
  </si>
  <si>
    <t>REL-019</t>
  </si>
  <si>
    <t>REL-020</t>
  </si>
  <si>
    <t>REL-021</t>
  </si>
  <si>
    <t>REL-022</t>
  </si>
  <si>
    <t>REL-023</t>
  </si>
  <si>
    <t>REL-024</t>
  </si>
  <si>
    <t>REL-025</t>
  </si>
  <si>
    <t>REL-026</t>
  </si>
  <si>
    <t>REL-027</t>
  </si>
  <si>
    <t>REL-028</t>
  </si>
  <si>
    <t>REL-029</t>
  </si>
  <si>
    <t>REL-030</t>
  </si>
  <si>
    <t>REL-031</t>
  </si>
  <si>
    <t>REL-032</t>
  </si>
  <si>
    <t>REL-033</t>
  </si>
  <si>
    <t>REL-034</t>
  </si>
  <si>
    <t>REL-035</t>
  </si>
  <si>
    <t>REL-036</t>
  </si>
  <si>
    <t>Default_Domain</t>
  </si>
  <si>
    <t>Capability_Group</t>
  </si>
  <si>
    <t>Cloud / DR</t>
  </si>
  <si>
    <t>Cloud architecture, failover, backup zones and infrastructure resilience</t>
  </si>
  <si>
    <t>High for SaaS, IT services and regulated digital operations.</t>
  </si>
  <si>
    <t>Platform continuity</t>
  </si>
  <si>
    <t>Core product/platform, API and integration continuity</t>
  </si>
  <si>
    <t>Replacement for MES/WMS/TMS in SaaS/digital product contexts.</t>
  </si>
  <si>
    <t>SRE / Observability</t>
  </si>
  <si>
    <t>Observability, monitoring, chaos testing, SLO/SLA evidence</t>
  </si>
  <si>
    <t>Advanced SaaS and IT operations capability.</t>
  </si>
  <si>
    <t>Security operating model, policies, risk and controls</t>
  </si>
  <si>
    <t>Base cyber capability.</t>
  </si>
  <si>
    <t>Identity / PAM</t>
  </si>
  <si>
    <t>IAM, MFA, PAM, joiner-mover-leaver controls</t>
  </si>
  <si>
    <t>Ransomware dominance capability.</t>
  </si>
  <si>
    <t>Backup / recovery</t>
  </si>
  <si>
    <t>Backup, immutable restore, RTO/RPO evidence</t>
  </si>
  <si>
    <t>Ransomware and outage core capability.</t>
  </si>
  <si>
    <t>Incident response</t>
  </si>
  <si>
    <t>Detection, logging, escalation, response exercises</t>
  </si>
  <si>
    <t>Breach / notification</t>
  </si>
  <si>
    <t>Legal breach response, notification and evidence workflows</t>
  </si>
  <si>
    <t>Relevant in regulated data incidents.</t>
  </si>
  <si>
    <t>Data ownership, quality, lineage and analytics governance</t>
  </si>
  <si>
    <t>Cross-industry data capability.</t>
  </si>
  <si>
    <t>Generic business systems</t>
  </si>
  <si>
    <t>ERP, HRMS, finance and admin system continuity</t>
  </si>
  <si>
    <t>Fallback when no specific capability is mapped.</t>
  </si>
  <si>
    <t>Billing / subscription</t>
  </si>
  <si>
    <t>Billing, subscription and revenue system continuity</t>
  </si>
  <si>
    <t>Important for SaaS/subscription businesses.</t>
  </si>
  <si>
    <t>CRM / service</t>
  </si>
  <si>
    <t>CRM, customer service and support workflows</t>
  </si>
  <si>
    <t>Relevant for retail, SaaS, IT services.</t>
  </si>
  <si>
    <t>Customer communication</t>
  </si>
  <si>
    <t>Customer communications during incident/crisis</t>
  </si>
  <si>
    <t>Critical for cloud outage and customer-facing incidents.</t>
  </si>
  <si>
    <t>Core banking and regulated financial platforms</t>
  </si>
  <si>
    <t>Banking-specific replacement for generic business systems.</t>
  </si>
  <si>
    <t>Payment continuity</t>
  </si>
  <si>
    <t>Payment rails, settlement, payment processing continuity</t>
  </si>
  <si>
    <t>Banking/retail/payment contexts.</t>
  </si>
  <si>
    <t>Fraud detection, transaction monitoring and abuse controls</t>
  </si>
  <si>
    <t>Banking/fintech/ransomware adjacent.</t>
  </si>
  <si>
    <t>Regulatory continuity</t>
  </si>
  <si>
    <t>Regulatory reporting, auditability and compliance continuity</t>
  </si>
  <si>
    <t>High for banking, public sector, healthcare.</t>
  </si>
  <si>
    <t>POS / ecommerce</t>
  </si>
  <si>
    <t>POS, ecommerce and customer-facing commerce continuity</t>
  </si>
  <si>
    <t>Retail-specific core capability.</t>
  </si>
  <si>
    <t>Warehouse / WMS</t>
  </si>
  <si>
    <t>Warehouse, WMS, TMS and distribution continuity</t>
  </si>
  <si>
    <t>Retail/logistics/manufacturing; hard-exclude for pure SaaS/banking.</t>
  </si>
  <si>
    <t>MES / shop-floor</t>
  </si>
  <si>
    <t>MES, shop-floor, MRP and production execution continuity</t>
  </si>
  <si>
    <t>Manufacturing-specific; hard-exclude for SaaS/banking.</t>
  </si>
  <si>
    <t>OT/SCADA/industrial network security and resilience</t>
  </si>
  <si>
    <t>Manufacturing-specific cyber capability.</t>
  </si>
  <si>
    <t>Supplier risk, alternate sourcing and critical parts continuity</t>
  </si>
  <si>
    <t>Manufacturing/retail; vendor variant for SaaS.</t>
  </si>
  <si>
    <t>Inventory planning</t>
  </si>
  <si>
    <t>Inventory visibility, demand/supply planning and buffers</t>
  </si>
  <si>
    <t>Retail/manufacturing/logistics.</t>
  </si>
  <si>
    <t>Delivery continuity</t>
  </si>
  <si>
    <t>Delivery capacity, SLA and operational continuity</t>
  </si>
  <si>
    <t>IT services and operations-intensive businesses.</t>
  </si>
  <si>
    <t>Production capacity</t>
  </si>
  <si>
    <t>Production capacity, line resilience and continuity</t>
  </si>
  <si>
    <t>Manufacturing-specific.</t>
  </si>
  <si>
    <t>Asset maintenance</t>
  </si>
  <si>
    <t>Maintenance, spare parts and asset resilience</t>
  </si>
  <si>
    <t>Physical site safety</t>
  </si>
  <si>
    <t>OH&amp;S, site security, travel and facility safety</t>
  </si>
  <si>
    <t>High for asset-heavy / physical footprint.</t>
  </si>
  <si>
    <t>Utilities resilience</t>
  </si>
  <si>
    <t>Power, utilities, generator, UPS and site resilience</t>
  </si>
  <si>
    <t>Energy outage and asset-heavy contexts.</t>
  </si>
  <si>
    <t>Workforce availability, wellbeing, staffing continuity</t>
  </si>
  <si>
    <t>Relevant cross-industry, but not primary for ransomware unless dependency high.</t>
  </si>
  <si>
    <t>Critical people</t>
  </si>
  <si>
    <t>Critical roles, succession, knowledge concentration</t>
  </si>
  <si>
    <t>Important for IT services and expert-heavy firms.</t>
  </si>
  <si>
    <t>Remote work</t>
  </si>
  <si>
    <t>Remote work, relocation and distributed operations continuity</t>
  </si>
  <si>
    <t>Important for SaaS/IT services and war/security scenarios.</t>
  </si>
  <si>
    <t>Vendor concentration</t>
  </si>
  <si>
    <t>Critical vendor, cloud provider and third-party dependency risk</t>
  </si>
  <si>
    <t>SaaS/IT services translation of supplier risk.</t>
  </si>
  <si>
    <t>AI governance</t>
  </si>
  <si>
    <t>AI readiness, model governance, data and use-case governance</t>
  </si>
  <si>
    <t>High maturity digital businesses.</t>
  </si>
  <si>
    <t>Finance continuity</t>
  </si>
  <si>
    <t>Cash, accounting, finance and treasury continuity</t>
  </si>
  <si>
    <t>Cross-industry finance resilience.</t>
  </si>
  <si>
    <t>Procurement controls</t>
  </si>
  <si>
    <t>Procurement, contract and purchasing control resilience</t>
  </si>
  <si>
    <t>Cross-industry procurement capability.</t>
  </si>
  <si>
    <t>Product security</t>
  </si>
  <si>
    <t>Secure product SDLC, appsec and product security controls</t>
  </si>
  <si>
    <t>SaaS/digital product cyber capability.</t>
  </si>
  <si>
    <t>Generic fallback</t>
  </si>
  <si>
    <t>Fallback capability when no mapping exists</t>
  </si>
  <si>
    <t>Should be minimized by bridge coverage checks.</t>
  </si>
  <si>
    <t>Bridge_ID</t>
  </si>
  <si>
    <t>Bridge_Level</t>
  </si>
  <si>
    <t>Mapping_Rationale</t>
  </si>
  <si>
    <t>BRG-001</t>
  </si>
  <si>
    <t>Domain fallback</t>
  </si>
  <si>
    <t>domain_fallback</t>
  </si>
  <si>
    <t>Mapped from Business Systems fallback to CAP_BUSINESS_SYSTEMS.</t>
  </si>
  <si>
    <t>Business Systems|</t>
  </si>
  <si>
    <t>BRG-002</t>
  </si>
  <si>
    <t>Domain+Subdomain</t>
  </si>
  <si>
    <t>initiative;risk</t>
  </si>
  <si>
    <t>Mapped from Business Systems / CRM and commerce to CAP_BILLING_SUBSCRIPTION.</t>
  </si>
  <si>
    <t>Business Systems|CRM and commerce</t>
  </si>
  <si>
    <t>BRG-003</t>
  </si>
  <si>
    <t>Mapped from Business Systems / ERP to CAP_IAM_PAM.</t>
  </si>
  <si>
    <t>Business Systems|ERP</t>
  </si>
  <si>
    <t>BRG-004</t>
  </si>
  <si>
    <t>Mapped from Business Systems / Governance and lifecycle to CAP_PLATFORM_CONTINUITY.</t>
  </si>
  <si>
    <t>Business Systems|Governance and lifecycle</t>
  </si>
  <si>
    <t>BRG-005</t>
  </si>
  <si>
    <t>Mapped from Business Systems / HRMS and finance systems to CAP_PLATFORM_CONTINUITY.</t>
  </si>
  <si>
    <t>Business Systems|HRMS and finance systems</t>
  </si>
  <si>
    <t>BRG-006</t>
  </si>
  <si>
    <t>Mapped from Business Systems / MES WMS TMS to CAP_PLATFORM_CONTINUITY.</t>
  </si>
  <si>
    <t>Business Systems|MES WMS TMS</t>
  </si>
  <si>
    <t>BRG-007</t>
  </si>
  <si>
    <t>v3.0 calibration: Company Geography / domain fallback mapped to CAP_VENDOR_CONCENTRATION (Domain fallback).</t>
  </si>
  <si>
    <t>Company Geography|</t>
  </si>
  <si>
    <t>v3.0 mapping-quality calibration; reduces overuse of CAP_REGULATORY_CONTINUITY.</t>
  </si>
  <si>
    <t>BRG-008</t>
  </si>
  <si>
    <t>v3.0 calibration: Company Geography / Company profile mapped to CAP_VENDOR_CONCENTRATION (Domain+Subdomain).</t>
  </si>
  <si>
    <t>Company Geography|Company profile</t>
  </si>
  <si>
    <t>BRG-009</t>
  </si>
  <si>
    <t>v3.0 calibration: Company Geography / Context and dependencies mapped to CAP_VENDOR_CONCENTRATION (Domain+Subdomain).</t>
  </si>
  <si>
    <t>Company Geography|Context and dependencies</t>
  </si>
  <si>
    <t>BRG-010</t>
  </si>
  <si>
    <t>v3.0 calibration: Company Geography / Geographical distribution mapped to CAP_REMOTE_WORK (Domain+Subdomain).</t>
  </si>
  <si>
    <t>Company Geography|Geographical distribution</t>
  </si>
  <si>
    <t>BRG-011</t>
  </si>
  <si>
    <t>Mapped from Cyber Privacy fallback to CAP_CYBER_GOVERNANCE.</t>
  </si>
  <si>
    <t>Cyber Privacy|</t>
  </si>
  <si>
    <t>BRG-012</t>
  </si>
  <si>
    <t>v3.0 calibration: Cyber Privacy / Application and OT security mapped to CAP_PRODUCT_SECURITY (Domain+Subdomain).</t>
  </si>
  <si>
    <t>Cyber Privacy|Application and OT security</t>
  </si>
  <si>
    <t>BRG-013</t>
  </si>
  <si>
    <t>v3.0 calibration: Cyber Privacy / Detection and response mapped to CAP_INCIDENT_RESPONSE (Domain+Subdomain).</t>
  </si>
  <si>
    <t>Cyber Privacy|Detection and response</t>
  </si>
  <si>
    <t>BRG-014</t>
  </si>
  <si>
    <t>v3.0 calibration: Cyber Privacy / Identity and access mapped to CAP_IAM_PAM (Domain+Subdomain).</t>
  </si>
  <si>
    <t>Cyber Privacy|Identity and access</t>
  </si>
  <si>
    <t>BRG-015</t>
  </si>
  <si>
    <t>v3.0 calibration: Cyber Privacy / Privacy mapped to CAP_LEGAL_BREACH_RESPONSE (Domain+Subdomain).</t>
  </si>
  <si>
    <t>Cyber Privacy|Privacy</t>
  </si>
  <si>
    <t>BRG-016</t>
  </si>
  <si>
    <t>v3.0 calibration: Cyber Privacy / Protection mapped to CAP_BACKUP_RECOVERY (Domain+Subdomain).</t>
  </si>
  <si>
    <t>Cyber Privacy|Protection</t>
  </si>
  <si>
    <t>BRG-017</t>
  </si>
  <si>
    <t>v3.0 calibration: Cyber Privacy / Security governance mapped to CAP_CYBER_GOVERNANCE (Domain+Subdomain).</t>
  </si>
  <si>
    <t>Cyber Privacy|Security governance</t>
  </si>
  <si>
    <t>BRG-018</t>
  </si>
  <si>
    <t>Mapped from Data BI AI fallback to CAP_DATA_GOVERNANCE.</t>
  </si>
  <si>
    <t>Data BI AI|</t>
  </si>
  <si>
    <t>BRG-019</t>
  </si>
  <si>
    <t>v3.0 calibration: Data BI AI / AI readiness mapped to CAP_AI_GOVERNANCE (Domain+Subdomain).</t>
  </si>
  <si>
    <t>Data BI AI|AI readiness</t>
  </si>
  <si>
    <t>BRG-020</t>
  </si>
  <si>
    <t>v3.0 calibration: Data BI AI / BI and analytics mapped to CAP_DATA_GOVERNANCE (Domain+Subdomain).</t>
  </si>
  <si>
    <t>Data BI AI|BI and analytics</t>
  </si>
  <si>
    <t>BRG-021</t>
  </si>
  <si>
    <t>v3.0 calibration: Data BI AI / Data architecture mapped to CAP_DATA_GOVERNANCE (Domain+Subdomain).</t>
  </si>
  <si>
    <t>Data BI AI|Data architecture</t>
  </si>
  <si>
    <t>BRG-022</t>
  </si>
  <si>
    <t>v3.0 calibration: Data BI AI / Data governance mapped to CAP_DATA_GOVERNANCE (Domain+Subdomain).</t>
  </si>
  <si>
    <t>Data BI AI|Data governance</t>
  </si>
  <si>
    <t>BRG-023</t>
  </si>
  <si>
    <t>v3.0 calibration: Data BI AI / Forecasting and scenarios mapped to CAP_DATA_GOVERNANCE (Domain+Subdomain).</t>
  </si>
  <si>
    <t>Data BI AI|Forecasting and scenarios</t>
  </si>
  <si>
    <t>BRG-024</t>
  </si>
  <si>
    <t>Mapped from Delivery Ops fallback to CAP_DELIVERY_CONTINUITY.</t>
  </si>
  <si>
    <t>Delivery Ops|</t>
  </si>
  <si>
    <t>BRG-025</t>
  </si>
  <si>
    <t>Mapped from Delivery Ops / Capacity and continuity to CAP_BACKUP_RECOVERY.</t>
  </si>
  <si>
    <t>Delivery Ops|Capacity and continuity</t>
  </si>
  <si>
    <t>BRG-026</t>
  </si>
  <si>
    <t>Mapped from Delivery Ops / Delivery governance to CAP_SRE_OBSERVABILITY.</t>
  </si>
  <si>
    <t>Delivery Ops|Delivery governance</t>
  </si>
  <si>
    <t>BRG-027</t>
  </si>
  <si>
    <t>Mapped from Delivery Ops / Operational visibility to CAP_POS_ECOMMERCE.</t>
  </si>
  <si>
    <t>Delivery Ops|Operational visibility</t>
  </si>
  <si>
    <t>BRG-028</t>
  </si>
  <si>
    <t>Mapped from Delivery Ops / Process control to CAP_INVENTORY_PLANNING.</t>
  </si>
  <si>
    <t>Delivery Ops|Process control</t>
  </si>
  <si>
    <t>BRG-029</t>
  </si>
  <si>
    <t>Mapped from Finance Procurement fallback to CAP_PROCUREMENT_CONTROLS.</t>
  </si>
  <si>
    <t>Finance Procurement|</t>
  </si>
  <si>
    <t>BRG-030</t>
  </si>
  <si>
    <t>Mapped from Finance Procurement / Controls and accounting to CAP_PAYMENT_CONTINUITY.</t>
  </si>
  <si>
    <t>Finance Procurement|Controls and accounting</t>
  </si>
  <si>
    <t>BRG-031</t>
  </si>
  <si>
    <t>Mapped from Finance Procurement / Financial resilience to CAP_FRAUD_MONITORING.</t>
  </si>
  <si>
    <t>Finance Procurement|Financial resilience</t>
  </si>
  <si>
    <t>BRG-032</t>
  </si>
  <si>
    <t>Mapped from Finance Procurement / Procurement and suppliers to CAP_FRAUD_MONITORING.</t>
  </si>
  <si>
    <t>Finance Procurement|Procurement and suppliers</t>
  </si>
  <si>
    <t>BRG-033</t>
  </si>
  <si>
    <t>Mapped from Finance Procurement / Working capital to CAP_PAYMENT_CONTINUITY.</t>
  </si>
  <si>
    <t>Finance Procurement|Working capital</t>
  </si>
  <si>
    <t>BRG-034</t>
  </si>
  <si>
    <t>Mapped from Governance Crisis fallback to CAP_DATA_GOVERNANCE.</t>
  </si>
  <si>
    <t>Governance Crisis|</t>
  </si>
  <si>
    <t>BRG-035</t>
  </si>
  <si>
    <t>v3.0 calibration: Governance Crisis / Crisis governance mapped to CAP_INCIDENT_RESPONSE (Domain+Subdomain).</t>
  </si>
  <si>
    <t>Governance Crisis|Crisis governance</t>
  </si>
  <si>
    <t>BRG-036</t>
  </si>
  <si>
    <t>v3.0 calibration: Governance Crisis / Incident management mapped to CAP_INCIDENT_RESPONSE (Domain+Subdomain).</t>
  </si>
  <si>
    <t>Governance Crisis|Incident management</t>
  </si>
  <si>
    <t>BRG-037</t>
  </si>
  <si>
    <t>v3.0 calibration: Governance Crisis / Risk and continuity mapped to CAP_BACKUP_RECOVERY (Domain+Subdomain).</t>
  </si>
  <si>
    <t>Governance Crisis|Risk and continuity</t>
  </si>
  <si>
    <t>BRG-038</t>
  </si>
  <si>
    <t>Mapped from HR Workforce fallback to CAP_WORKFORCE_CONTINUITY.</t>
  </si>
  <si>
    <t>HR Workforce|</t>
  </si>
  <si>
    <t>BRG-039</t>
  </si>
  <si>
    <t>Mapped from HR Workforce / Continuity and wellbeing to CAP_BACKUP_RECOVERY.</t>
  </si>
  <si>
    <t>HR Workforce|Continuity and wellbeing</t>
  </si>
  <si>
    <t>BRG-040</t>
  </si>
  <si>
    <t>v3.0 calibration: HR Workforce / HR systems and compliance mapped to CAP_WORKFORCE_CONTINUITY (Domain+Subdomain).</t>
  </si>
  <si>
    <t>HR Workforce|HR systems and compliance</t>
  </si>
  <si>
    <t>BRG-041</t>
  </si>
  <si>
    <t>Mapped from HR Workforce / Recruitment and retention to CAP_SRE_OBSERVABILITY.</t>
  </si>
  <si>
    <t>HR Workforce|Recruitment and retention</t>
  </si>
  <si>
    <t>BRG-042</t>
  </si>
  <si>
    <t>Mapped from HR Workforce / Workforce visibility to CAP_BACKUP_RECOVERY.</t>
  </si>
  <si>
    <t>HR Workforce|Workforce visibility</t>
  </si>
  <si>
    <t>BRG-043</t>
  </si>
  <si>
    <t>Mapped from IT Cloud DR fallback to CAP_BACKUP_RECOVERY.</t>
  </si>
  <si>
    <t>IT Cloud DR|</t>
  </si>
  <si>
    <t>BRG-044</t>
  </si>
  <si>
    <t>Mapped from IT Cloud DR / Cloud usage to CAP_IAM_PAM.</t>
  </si>
  <si>
    <t>IT Cloud DR|Cloud usage</t>
  </si>
  <si>
    <t>BRG-045</t>
  </si>
  <si>
    <t>Mapped from IT Cloud DR / IT inventory and architecture to CAP_IAM_PAM.</t>
  </si>
  <si>
    <t>IT Cloud DR|IT inventory and architecture</t>
  </si>
  <si>
    <t>BRG-046</t>
  </si>
  <si>
    <t>Mapped from IT Cloud DR / Operations to CAP_BACKUP_RECOVERY.</t>
  </si>
  <si>
    <t>IT Cloud DR|Operations</t>
  </si>
  <si>
    <t>BRG-047</t>
  </si>
  <si>
    <t>Mapped from IT Cloud DR / Resilience and DR to CAP_IAM_PAM.</t>
  </si>
  <si>
    <t>IT Cloud DR|Resilience and DR</t>
  </si>
  <si>
    <t>BRG-048</t>
  </si>
  <si>
    <t>Mapped from IT Cloud DR / SaaS and integrations to CAP_BACKUP_RECOVERY.</t>
  </si>
  <si>
    <t>IT Cloud DR|SaaS and integrations</t>
  </si>
  <si>
    <t>BRG-049</t>
  </si>
  <si>
    <t>Mapped from Legal Risk fallback to CAP_REGULATORY_CONTINUITY.</t>
  </si>
  <si>
    <t>Legal Risk|</t>
  </si>
  <si>
    <t>BRG-050</t>
  </si>
  <si>
    <t>Mapped from Legal Risk / Compliance to CAP_PAYMENT_CONTINUITY.</t>
  </si>
  <si>
    <t>Legal Risk|Compliance</t>
  </si>
  <si>
    <t>BRG-051</t>
  </si>
  <si>
    <t>Mapped from Legal Risk / Contracts to CAP_REGULATORY_CONTINUITY.</t>
  </si>
  <si>
    <t>Legal Risk|Contracts</t>
  </si>
  <si>
    <t>BRG-052</t>
  </si>
  <si>
    <t>Mapped from Legal Risk / Data and IP to CAP_REGULATORY_CONTINUITY.</t>
  </si>
  <si>
    <t>Legal Risk|Data and IP</t>
  </si>
  <si>
    <t>BRG-053</t>
  </si>
  <si>
    <t>Mapped from Legal Risk / Employment law to CAP_REGULATORY_CONTINUITY.</t>
  </si>
  <si>
    <t>Legal Risk|Employment law</t>
  </si>
  <si>
    <t>BRG-054</t>
  </si>
  <si>
    <t>Mapped from Manufacturing MES fallback to CAP_MES_SHOPFLOOR.</t>
  </si>
  <si>
    <t>Manufacturing MES|</t>
  </si>
  <si>
    <t>BRG-055</t>
  </si>
  <si>
    <t>Mapped from Manufacturing MES / MES and shop floor to CAP_WMS_WAREHOUSE.</t>
  </si>
  <si>
    <t>Manufacturing MES|MES and shop floor</t>
  </si>
  <si>
    <t>BRG-056</t>
  </si>
  <si>
    <t>Mapped from Manufacturing MES / Maintenance and assets to CAP_BACKUP_RECOVERY.</t>
  </si>
  <si>
    <t>Manufacturing MES|Maintenance and assets</t>
  </si>
  <si>
    <t>BRG-057</t>
  </si>
  <si>
    <t>Mapped from Manufacturing MES / OT security to CAP_INCIDENT_RESPONSE.</t>
  </si>
  <si>
    <t>Manufacturing MES|OT security</t>
  </si>
  <si>
    <t>BRG-058</t>
  </si>
  <si>
    <t>v3.0 calibration: Manufacturing MES / Production footprint mapped to CAP_PRODUCTION_CAPACITY (Domain+Subdomain).</t>
  </si>
  <si>
    <t>Manufacturing MES|Production footprint</t>
  </si>
  <si>
    <t>BRG-059</t>
  </si>
  <si>
    <t>Mapped from Manufacturing MES / Quality and safety to CAP_SUPPLIER_RESILIENCE.</t>
  </si>
  <si>
    <t>Manufacturing MES|Quality and safety</t>
  </si>
  <si>
    <t>BRG-060</t>
  </si>
  <si>
    <t>Mapped from Marketing Comms fallback to CAP_GENERIC.</t>
  </si>
  <si>
    <t>Marketing Comms|</t>
  </si>
  <si>
    <t>BRG-061</t>
  </si>
  <si>
    <t>v3.0 calibration: Marketing Comms / Brand and market presence mapped to CAP_CUSTOMER_COMMUNICATION (Domain+Subdomain).</t>
  </si>
  <si>
    <t>Marketing Comms|Brand and market presence</t>
  </si>
  <si>
    <t>BRG-062</t>
  </si>
  <si>
    <t>v3.0 calibration: Marketing Comms / Crisis communication mapped to CAP_CUSTOMER_COMMUNICATION (Domain+Subdomain).</t>
  </si>
  <si>
    <t>Marketing Comms|Crisis communication</t>
  </si>
  <si>
    <t>BRG-063</t>
  </si>
  <si>
    <t>v3.0 calibration: Marketing Comms / Marketing operations mapped to CAP_CRM_CUSTOMER_SERVICE (Domain+Subdomain).</t>
  </si>
  <si>
    <t>Marketing Comms|Marketing operations</t>
  </si>
  <si>
    <t>BRG-064</t>
  </si>
  <si>
    <t>Mapped from Physical Safety fallback to CAP_PHYSICAL_SITE_SAFETY.</t>
  </si>
  <si>
    <t>Physical Safety|</t>
  </si>
  <si>
    <t>BRG-065</t>
  </si>
  <si>
    <t>risk</t>
  </si>
  <si>
    <t>Mapped from Physical Safety / Asset management to CAP_POS_ECOMMERCE.</t>
  </si>
  <si>
    <t>Physical Safety|Asset management</t>
  </si>
  <si>
    <t>BRG-066</t>
  </si>
  <si>
    <t>Mapped from Physical Safety / Emergency response to CAP_MES_SHOPFLOOR.</t>
  </si>
  <si>
    <t>Physical Safety|Emergency response</t>
  </si>
  <si>
    <t>BRG-067</t>
  </si>
  <si>
    <t>Mapped from Physical Safety / Facilities and access to CAP_IAM_PAM.</t>
  </si>
  <si>
    <t>Physical Safety|Facilities and access</t>
  </si>
  <si>
    <t>BRG-068</t>
  </si>
  <si>
    <t>v3.0 calibration: Physical Safety / OH&amp;S governance mapped to CAP_PHYSICAL_SITE_SAFETY (Domain+Subdomain).</t>
  </si>
  <si>
    <t>Physical Safety|OH&amp;S governance</t>
  </si>
  <si>
    <t>BRG-069</t>
  </si>
  <si>
    <t>Mapped from Physical Safety / Security and travel to CAP_BACKUP_RECOVERY.</t>
  </si>
  <si>
    <t>Physical Safety|Security and travel</t>
  </si>
  <si>
    <t>BRG-070</t>
  </si>
  <si>
    <t>Mapped from Physical Safety / Utilities and resilience to CAP_BACKUP_RECOVERY.</t>
  </si>
  <si>
    <t>Physical Safety|Utilities and resilience</t>
  </si>
  <si>
    <t>BRG-071</t>
  </si>
  <si>
    <t>Mapped from Quality Portfolio fallback to CAP_DATA_GOVERNANCE.</t>
  </si>
  <si>
    <t>Quality Portfolio|</t>
  </si>
  <si>
    <t>BRG-072</t>
  </si>
  <si>
    <t>v3.0 calibration: Quality Portfolio / Management system mapped to CAP_BUSINESS_SYSTEMS (Domain+Subdomain).</t>
  </si>
  <si>
    <t>Quality Portfolio|Management system</t>
  </si>
  <si>
    <t>BRG-073</t>
  </si>
  <si>
    <t>v3.0 calibration: Quality Portfolio / Portfolio and change mapped to CAP_DELIVERY_CONTINUITY (Domain+Subdomain).</t>
  </si>
  <si>
    <t>Quality Portfolio|Portfolio and change</t>
  </si>
  <si>
    <t>BRG-074</t>
  </si>
  <si>
    <t>v3.0 calibration: Quality Portfolio / Process management mapped to CAP_DELIVERY_CONTINUITY (Domain+Subdomain).</t>
  </si>
  <si>
    <t>Quality Portfolio|Process management</t>
  </si>
  <si>
    <t>BRG-075</t>
  </si>
  <si>
    <t>v3.0 calibration: Quality Portfolio / Quality management mapped to CAP_DELIVERY_CONTINUITY (Domain+Subdomain).</t>
  </si>
  <si>
    <t>Quality Portfolio|Quality management</t>
  </si>
  <si>
    <t>BRG-076</t>
  </si>
  <si>
    <t>Mapped from Sales CRM fallback to CAP_CRM_CUSTOMER_SERVICE.</t>
  </si>
  <si>
    <t>Sales CRM|</t>
  </si>
  <si>
    <t>BRG-077</t>
  </si>
  <si>
    <t>Mapped from Sales CRM / CRM foundation to CAP_SRE_OBSERVABILITY.</t>
  </si>
  <si>
    <t>Sales CRM|CRM foundation</t>
  </si>
  <si>
    <t>BRG-078</t>
  </si>
  <si>
    <t>Mapped from Sales CRM / Customer continuity to CAP_PAYMENT_CONTINUITY.</t>
  </si>
  <si>
    <t>Sales CRM|Customer continuity</t>
  </si>
  <si>
    <t>BRG-079</t>
  </si>
  <si>
    <t>Mapped from Sales CRM / Customer service to CAP_INCIDENT_RESPONSE.</t>
  </si>
  <si>
    <t>Sales CRM|Customer service</t>
  </si>
  <si>
    <t>BRG-080</t>
  </si>
  <si>
    <t>Mapped from Sales CRM / Pipeline and forecast to CAP_PLATFORM_CONTINUITY.</t>
  </si>
  <si>
    <t>Sales CRM|Pipeline and forecast</t>
  </si>
  <si>
    <t>BRG-081</t>
  </si>
  <si>
    <t>Mapped from Sales CRM / Revenue controls to CAP_PAYMENT_CONTINUITY.</t>
  </si>
  <si>
    <t>Sales CRM|Revenue controls</t>
  </si>
  <si>
    <t>BRG-082</t>
  </si>
  <si>
    <t>Mapped from Strategy GTM fallback to CAP_GENERIC.</t>
  </si>
  <si>
    <t>Strategy GTM|</t>
  </si>
  <si>
    <t>BRG-083</t>
  </si>
  <si>
    <t>Mapped from Strategy GTM / Corporate strategy to CAP_BACKUP_RECOVERY.</t>
  </si>
  <si>
    <t>Strategy GTM|Corporate strategy</t>
  </si>
  <si>
    <t>BRG-084</t>
  </si>
  <si>
    <t>v3.0 calibration: Strategy GTM / External relations and partnerships mapped to CAP_CUSTOMER_COMMUNICATION (Domain+Subdomain).</t>
  </si>
  <si>
    <t>Strategy GTM|External relations and partnerships</t>
  </si>
  <si>
    <t>BRG-085</t>
  </si>
  <si>
    <t>Mapped from Strategy GTM / GTM execution to CAP_POS_ECOMMERCE.</t>
  </si>
  <si>
    <t>Strategy GTM|GTM execution</t>
  </si>
  <si>
    <t>BRG-086</t>
  </si>
  <si>
    <t>Mapped from Strategy GTM / Market and ICP to CAP_POS_ECOMMERCE.</t>
  </si>
  <si>
    <t>Strategy GTM|Market and ICP</t>
  </si>
  <si>
    <t>BRG-087</t>
  </si>
  <si>
    <t>Mapped from Strategy GTM / Offering and positioning to CAP_POS_ECOMMERCE.</t>
  </si>
  <si>
    <t>Strategy GTM|Offering and positioning</t>
  </si>
  <si>
    <t>BRG-088</t>
  </si>
  <si>
    <t>Mapped from Supply Chain fallback to CAP_SUPPLIER_RESILIENCE.</t>
  </si>
  <si>
    <t>Supply Chain|</t>
  </si>
  <si>
    <t>BRG-089</t>
  </si>
  <si>
    <t>Mapped from Supply Chain / Inventory and planning to CAP_INVENTORY_PLANNING.</t>
  </si>
  <si>
    <t>Supply Chain|Inventory and planning</t>
  </si>
  <si>
    <t>BRG-090</t>
  </si>
  <si>
    <t>Mapped from Supply Chain / Logistics to CAP_WMS_WAREHOUSE.</t>
  </si>
  <si>
    <t>Supply Chain|Logistics</t>
  </si>
  <si>
    <t>BRG-091</t>
  </si>
  <si>
    <t>Mapped from Supply Chain / Orchestration and resilience to CAP_BACKUP_RECOVERY.</t>
  </si>
  <si>
    <t>Supply Chain|Orchestration and resilience</t>
  </si>
  <si>
    <t>BRG-092</t>
  </si>
  <si>
    <t>Mapped from Supply Chain / Supply chain design to CAP_BACKUP_RECOVERY.</t>
  </si>
  <si>
    <t>Supply Chain|Supply chain design</t>
  </si>
  <si>
    <t>BRG-093</t>
  </si>
  <si>
    <t>Mapped from Supply Chain / Technology and risk to CAP_SRE_OBSERVABILITY.</t>
  </si>
  <si>
    <t>Supply Chain|Technology and risk</t>
  </si>
  <si>
    <t>BRG-X01</t>
  </si>
  <si>
    <t>MES / WMS / TMS</t>
  </si>
  <si>
    <t>Keyword override</t>
  </si>
  <si>
    <t>manual</t>
  </si>
  <si>
    <t>Generic Business Systems wording must not automatically imply MES/WMS/TMS for SaaS/banking. Specific capability gates will handle MES/WMS/TMS separately.</t>
  </si>
  <si>
    <t>Business Systems|MES / WMS / TMS</t>
  </si>
  <si>
    <t>BRG-X02</t>
  </si>
  <si>
    <t>Core platform / integrations</t>
  </si>
  <si>
    <t>Manual translation</t>
  </si>
  <si>
    <t>SaaS replacement capability for generic business systems.</t>
  </si>
  <si>
    <t>Business Systems|Core platform / integrations</t>
  </si>
  <si>
    <t>BRG-X03</t>
  </si>
  <si>
    <t>Core banking / payment platform</t>
  </si>
  <si>
    <t>Financial services replacement capability for generic business systems.</t>
  </si>
  <si>
    <t>Business Systems|Core banking / payment platform</t>
  </si>
  <si>
    <t>BRG-X04</t>
  </si>
  <si>
    <t>Retail replacement capability for customer-facing commerce continuity.</t>
  </si>
  <si>
    <t>Sales CRM|POS / ecommerce</t>
  </si>
  <si>
    <t>BRG-X05</t>
  </si>
  <si>
    <t>Cloud / vendor dependency</t>
  </si>
  <si>
    <t>SaaS/IT services translation of supplier risk into vendor/API/cloud dependency.</t>
  </si>
  <si>
    <t>Supply Chain|Cloud / vendor dependency</t>
  </si>
  <si>
    <t>Treatment_ID</t>
  </si>
  <si>
    <t>Score_Min</t>
  </si>
  <si>
    <t>Score_Max</t>
  </si>
  <si>
    <t>Maturity_Band</t>
  </si>
  <si>
    <t>Treatment_Type</t>
  </si>
  <si>
    <t>Recommendation_Title</t>
  </si>
  <si>
    <t>Recommendation_Text</t>
  </si>
  <si>
    <t>Evidence_Required</t>
  </si>
  <si>
    <t>Priority_Modifier</t>
  </si>
  <si>
    <t>TRT-CLOUD_DR-INITIAL</t>
  </si>
  <si>
    <t>Initial / absent</t>
  </si>
  <si>
    <t>Establish</t>
  </si>
  <si>
    <t>Establish baseline controls for Cloud / DR</t>
  </si>
  <si>
    <t>Assign ownership, document the baseline process, define minimum controls and collect first evidence for Cloud / DR.</t>
  </si>
  <si>
    <t>Named owner, baseline process, minimum control checklist, first evidence package</t>
  </si>
  <si>
    <t>Owner assigned; baseline evidence coverage; open critical gaps</t>
  </si>
  <si>
    <t>Generic maturity-aware treatment generated for all active capabilities.</t>
  </si>
  <si>
    <t>TRT-CLOUD_DR-BASIC</t>
  </si>
  <si>
    <t>Standardize</t>
  </si>
  <si>
    <t>Standardize and formalize Cloud / DR</t>
  </si>
  <si>
    <t>Formalize procedures, control cadence, roles, escalation paths and basic measurement for Cloud / DR.</t>
  </si>
  <si>
    <t>Approved SOP / policy, RACI, operating cadence, basic metrics</t>
  </si>
  <si>
    <t>Control cadence adherence; SOP coverage; gap closure rate</t>
  </si>
  <si>
    <t>TRT-CLOUD_DR-DEFINED</t>
  </si>
  <si>
    <t>Defined</t>
  </si>
  <si>
    <t>Integrate / test</t>
  </si>
  <si>
    <t>Integrate and test Cloud / DR</t>
  </si>
  <si>
    <t>Connect Cloud / DR with adjacent processes, test handoffs, close evidence gaps and verify continuity assumptions.</t>
  </si>
  <si>
    <t>Integration map, test results, issue log, continuity evidence</t>
  </si>
  <si>
    <t>Test pass rate; unresolved issues; integration coverage</t>
  </si>
  <si>
    <t>TRT-CLOUD_DR-MANAGED</t>
  </si>
  <si>
    <t>Managed</t>
  </si>
  <si>
    <t>Optimize / automate</t>
  </si>
  <si>
    <t>Optimize and automate Cloud / DR</t>
  </si>
  <si>
    <t>Automate monitoring, improve decision triggers, reduce manual dependency and track performance drift for Cloud / DR.</t>
  </si>
  <si>
    <t>Automated dashboards, alert rules, trend reports, optimization backlog</t>
  </si>
  <si>
    <t>Automation coverage; alert quality; performance drift; cycle time</t>
  </si>
  <si>
    <t>TRT-CLOUD_DR-OPTIMIZED</t>
  </si>
  <si>
    <t>Optimized</t>
  </si>
  <si>
    <t>Stress-test / prove evidence</t>
  </si>
  <si>
    <t>Stress-test and prove resilience of Cloud / DR</t>
  </si>
  <si>
    <t>Run simulations, benchmark performance, prove recovery evidence and continuously improve Cloud / DR under stress conditions.</t>
  </si>
  <si>
    <t>Simulation results, benchmark report, evidence pack, lessons learned</t>
  </si>
  <si>
    <t>Simulation score; RTO/RPO evidence; benchmark gap; improvement actions</t>
  </si>
  <si>
    <t>TRT-PLATFORM_CONTINUITY-INITIAL</t>
  </si>
  <si>
    <t>Establish baseline controls for Platform continuity</t>
  </si>
  <si>
    <t>Assign ownership, document the baseline process, define minimum controls and collect first evidence for Platform continuity.</t>
  </si>
  <si>
    <t>TRT-PLATFORM_CONTINUITY-BASIC</t>
  </si>
  <si>
    <t>Standardize and formalize Platform continuity</t>
  </si>
  <si>
    <t>Formalize procedures, control cadence, roles, escalation paths and basic measurement for Platform continuity.</t>
  </si>
  <si>
    <t>TRT-PLATFORM_CONTINUITY-DEFINED</t>
  </si>
  <si>
    <t>Integrate and test Platform continuity</t>
  </si>
  <si>
    <t>Connect Platform continuity with adjacent processes, test handoffs, close evidence gaps and verify continuity assumptions.</t>
  </si>
  <si>
    <t>TRT-PLATFORM_CONTINUITY-MANAGED</t>
  </si>
  <si>
    <t>Optimize and automate Platform continuity</t>
  </si>
  <si>
    <t>Automate monitoring, improve decision triggers, reduce manual dependency and track performance drift for Platform continuity.</t>
  </si>
  <si>
    <t>TRT-PLATFORM_CONTINUITY-OPTIMIZED</t>
  </si>
  <si>
    <t>Stress-test and prove resilience of Platform continuity</t>
  </si>
  <si>
    <t>Run simulations, benchmark performance, prove recovery evidence and continuously improve Platform continuity under stress conditions.</t>
  </si>
  <si>
    <t>TRT-SRE_OBSERVABILITY-INITIAL</t>
  </si>
  <si>
    <t>Establish baseline controls for SRE / Observability</t>
  </si>
  <si>
    <t>Assign ownership, document the baseline process, define minimum controls and collect first evidence for SRE / Observability.</t>
  </si>
  <si>
    <t>TRT-SRE_OBSERVABILITY-BASIC</t>
  </si>
  <si>
    <t>Standardize and formalize SRE / Observability</t>
  </si>
  <si>
    <t>Formalize procedures, control cadence, roles, escalation paths and basic measurement for SRE / Observability.</t>
  </si>
  <si>
    <t>TRT-SRE_OBSERVABILITY-DEFINED</t>
  </si>
  <si>
    <t>Integrate and test SRE / Observability</t>
  </si>
  <si>
    <t>Connect SRE / Observability with adjacent processes, test handoffs, close evidence gaps and verify continuity assumptions.</t>
  </si>
  <si>
    <t>TRT-SRE_OBSERVABILITY-MANAGED</t>
  </si>
  <si>
    <t>Optimize and automate SRE / Observability</t>
  </si>
  <si>
    <t>Automate monitoring, improve decision triggers, reduce manual dependency and track performance drift for SRE / Observability.</t>
  </si>
  <si>
    <t>TRT-SRE_OBSERVABILITY-OPTIMIZED</t>
  </si>
  <si>
    <t>Stress-test and prove resilience of SRE / Observability</t>
  </si>
  <si>
    <t>Run simulations, benchmark performance, prove recovery evidence and continuously improve SRE / Observability under stress conditions.</t>
  </si>
  <si>
    <t>TRT-CYBER_GOVERNANCE-INITIAL</t>
  </si>
  <si>
    <t>Establish baseline controls for Security governance</t>
  </si>
  <si>
    <t>Assign ownership, document the baseline process, define minimum controls and collect first evidence for Security governance.</t>
  </si>
  <si>
    <t>TRT-CYBER_GOVERNANCE-BASIC</t>
  </si>
  <si>
    <t>Standardize and formalize Security governance</t>
  </si>
  <si>
    <t>Formalize procedures, control cadence, roles, escalation paths and basic measurement for Security governance.</t>
  </si>
  <si>
    <t>TRT-CYBER_GOVERNANCE-DEFINED</t>
  </si>
  <si>
    <t>Integrate and test Security governance</t>
  </si>
  <si>
    <t>Connect Security governance with adjacent processes, test handoffs, close evidence gaps and verify continuity assumptions.</t>
  </si>
  <si>
    <t>TRT-CYBER_GOVERNANCE-MANAGED</t>
  </si>
  <si>
    <t>Optimize and automate Security governance</t>
  </si>
  <si>
    <t>Automate monitoring, improve decision triggers, reduce manual dependency and track performance drift for Security governance.</t>
  </si>
  <si>
    <t>TRT-CYBER_GOVERNANCE-OPTIMIZED</t>
  </si>
  <si>
    <t>Stress-test and prove resilience of Security governance</t>
  </si>
  <si>
    <t>Run simulations, benchmark performance, prove recovery evidence and continuously improve Security governance under stress conditions.</t>
  </si>
  <si>
    <t>TRT-IAM_PAM-INITIAL</t>
  </si>
  <si>
    <t>Establish baseline controls for Identity / PAM</t>
  </si>
  <si>
    <t>Assign ownership, document the baseline process, define minimum controls and collect first evidence for Identity / PAM.</t>
  </si>
  <si>
    <t>TRT-IAM_PAM-BASIC</t>
  </si>
  <si>
    <t>Standardize and formalize Identity / PAM</t>
  </si>
  <si>
    <t>Formalize procedures, control cadence, roles, escalation paths and basic measurement for Identity / PAM.</t>
  </si>
  <si>
    <t>TRT-IAM_PAM-DEFINED</t>
  </si>
  <si>
    <t>Integrate and test Identity / PAM</t>
  </si>
  <si>
    <t>Connect Identity / PAM with adjacent processes, test handoffs, close evidence gaps and verify continuity assumptions.</t>
  </si>
  <si>
    <t>TRT-IAM_PAM-MANAGED</t>
  </si>
  <si>
    <t>Optimize and automate Identity / PAM</t>
  </si>
  <si>
    <t>Automate monitoring, improve decision triggers, reduce manual dependency and track performance drift for Identity / PAM.</t>
  </si>
  <si>
    <t>TRT-IAM_PAM-OPTIMIZED</t>
  </si>
  <si>
    <t>Stress-test and prove resilience of Identity / PAM</t>
  </si>
  <si>
    <t>Run simulations, benchmark performance, prove recovery evidence and continuously improve Identity / PAM under stress conditions.</t>
  </si>
  <si>
    <t>TRT-BACKUP_RECOVERY-INITIAL</t>
  </si>
  <si>
    <t>Establish baseline controls for Backup / recovery</t>
  </si>
  <si>
    <t>Assign ownership, document the baseline process, define minimum controls and collect first evidence for Backup / recovery.</t>
  </si>
  <si>
    <t>TRT-BACKUP_RECOVERY-BASIC</t>
  </si>
  <si>
    <t>Standardize and formalize Backup / recovery</t>
  </si>
  <si>
    <t>Formalize procedures, control cadence, roles, escalation paths and basic measurement for Backup / recovery.</t>
  </si>
  <si>
    <t>TRT-BACKUP_RECOVERY-DEFINED</t>
  </si>
  <si>
    <t>Integrate and test Backup / recovery</t>
  </si>
  <si>
    <t>Connect Backup / recovery with adjacent processes, test handoffs, close evidence gaps and verify continuity assumptions.</t>
  </si>
  <si>
    <t>TRT-BACKUP_RECOVERY-MANAGED</t>
  </si>
  <si>
    <t>Optimize and automate Backup / recovery</t>
  </si>
  <si>
    <t>Automate monitoring, improve decision triggers, reduce manual dependency and track performance drift for Backup / recovery.</t>
  </si>
  <si>
    <t>TRT-BACKUP_RECOVERY-OPTIMIZED</t>
  </si>
  <si>
    <t>Stress-test and prove resilience of Backup / recovery</t>
  </si>
  <si>
    <t>Run simulations, benchmark performance, prove recovery evidence and continuously improve Backup / recovery under stress conditions.</t>
  </si>
  <si>
    <t>TRT-INCIDENT_RESPONSE-INITIAL</t>
  </si>
  <si>
    <t>Establish baseline controls for Incident response</t>
  </si>
  <si>
    <t>Assign ownership, document the baseline process, define minimum controls and collect first evidence for Incident response.</t>
  </si>
  <si>
    <t>TRT-INCIDENT_RESPONSE-BASIC</t>
  </si>
  <si>
    <t>Standardize and formalize Incident response</t>
  </si>
  <si>
    <t>Formalize procedures, control cadence, roles, escalation paths and basic measurement for Incident response.</t>
  </si>
  <si>
    <t>TRT-INCIDENT_RESPONSE-DEFINED</t>
  </si>
  <si>
    <t>Integrate and test Incident response</t>
  </si>
  <si>
    <t>Connect Incident response with adjacent processes, test handoffs, close evidence gaps and verify continuity assumptions.</t>
  </si>
  <si>
    <t>TRT-INCIDENT_RESPONSE-MANAGED</t>
  </si>
  <si>
    <t>Optimize and automate Incident response</t>
  </si>
  <si>
    <t>Automate monitoring, improve decision triggers, reduce manual dependency and track performance drift for Incident response.</t>
  </si>
  <si>
    <t>TRT-INCIDENT_RESPONSE-OPTIMIZED</t>
  </si>
  <si>
    <t>Stress-test and prove resilience of Incident response</t>
  </si>
  <si>
    <t>Run simulations, benchmark performance, prove recovery evidence and continuously improve Incident response under stress conditions.</t>
  </si>
  <si>
    <t>TRT-LEGAL_BREACH_RESPONSE-INITIAL</t>
  </si>
  <si>
    <t>Establish baseline controls for Breach / notification</t>
  </si>
  <si>
    <t>Assign ownership, document the baseline process, define minimum controls and collect first evidence for Breach / notification.</t>
  </si>
  <si>
    <t>TRT-LEGAL_BREACH_RESPONSE-BASIC</t>
  </si>
  <si>
    <t>Standardize and formalize Breach / notification</t>
  </si>
  <si>
    <t>Formalize procedures, control cadence, roles, escalation paths and basic measurement for Breach / notification.</t>
  </si>
  <si>
    <t>TRT-LEGAL_BREACH_RESPONSE-DEFINED</t>
  </si>
  <si>
    <t>Integrate and test Breach / notification</t>
  </si>
  <si>
    <t>Connect Breach / notification with adjacent processes, test handoffs, close evidence gaps and verify continuity assumptions.</t>
  </si>
  <si>
    <t>TRT-LEGAL_BREACH_RESPONSE-MANAGED</t>
  </si>
  <si>
    <t>Optimize and automate Breach / notification</t>
  </si>
  <si>
    <t>Automate monitoring, improve decision triggers, reduce manual dependency and track performance drift for Breach / notification.</t>
  </si>
  <si>
    <t>TRT-LEGAL_BREACH_RESPONSE-OPTIMIZED</t>
  </si>
  <si>
    <t>Stress-test and prove resilience of Breach / notification</t>
  </si>
  <si>
    <t>Run simulations, benchmark performance, prove recovery evidence and continuously improve Breach / notification under stress conditions.</t>
  </si>
  <si>
    <t>TRT-DATA_GOVERNANCE-INITIAL</t>
  </si>
  <si>
    <t>Establish baseline controls for Data governance</t>
  </si>
  <si>
    <t>Assign ownership, document the baseline process, define minimum controls and collect first evidence for Data governance.</t>
  </si>
  <si>
    <t>TRT-DATA_GOVERNANCE-BASIC</t>
  </si>
  <si>
    <t>Standardize and formalize Data governance</t>
  </si>
  <si>
    <t>Formalize procedures, control cadence, roles, escalation paths and basic measurement for Data governance.</t>
  </si>
  <si>
    <t>TRT-DATA_GOVERNANCE-DEFINED</t>
  </si>
  <si>
    <t>Integrate and test Data governance</t>
  </si>
  <si>
    <t>Connect Data governance with adjacent processes, test handoffs, close evidence gaps and verify continuity assumptions.</t>
  </si>
  <si>
    <t>TRT-DATA_GOVERNANCE-MANAGED</t>
  </si>
  <si>
    <t>Optimize and automate Data governance</t>
  </si>
  <si>
    <t>Automate monitoring, improve decision triggers, reduce manual dependency and track performance drift for Data governance.</t>
  </si>
  <si>
    <t>TRT-DATA_GOVERNANCE-OPTIMIZED</t>
  </si>
  <si>
    <t>Stress-test and prove resilience of Data governance</t>
  </si>
  <si>
    <t>Run simulations, benchmark performance, prove recovery evidence and continuously improve Data governance under stress conditions.</t>
  </si>
  <si>
    <t>TRT-BUSINESS_SYSTEMS-INITIAL</t>
  </si>
  <si>
    <t>Establish baseline controls for Generic business systems</t>
  </si>
  <si>
    <t>Assign ownership, document the baseline process, define minimum controls and collect first evidence for Generic business systems.</t>
  </si>
  <si>
    <t>TRT-BUSINESS_SYSTEMS-BASIC</t>
  </si>
  <si>
    <t>Standardize and formalize Generic business systems</t>
  </si>
  <si>
    <t>Formalize procedures, control cadence, roles, escalation paths and basic measurement for Generic business systems.</t>
  </si>
  <si>
    <t>TRT-BUSINESS_SYSTEMS-DEFINED</t>
  </si>
  <si>
    <t>Integrate and test Generic business systems</t>
  </si>
  <si>
    <t>Connect Generic business systems with adjacent processes, test handoffs, close evidence gaps and verify continuity assumptions.</t>
  </si>
  <si>
    <t>TRT-BUSINESS_SYSTEMS-MANAGED</t>
  </si>
  <si>
    <t>Optimize and automate Generic business systems</t>
  </si>
  <si>
    <t>Automate monitoring, improve decision triggers, reduce manual dependency and track performance drift for Generic business systems.</t>
  </si>
  <si>
    <t>TRT-BUSINESS_SYSTEMS-OPTIMIZED</t>
  </si>
  <si>
    <t>Stress-test and prove resilience of Generic business systems</t>
  </si>
  <si>
    <t>Run simulations, benchmark performance, prove recovery evidence and continuously improve Generic business systems under stress conditions.</t>
  </si>
  <si>
    <t>TRT-BILLING_SUBSCRIPTION-INITIAL</t>
  </si>
  <si>
    <t>Establish baseline controls for Billing / subscription</t>
  </si>
  <si>
    <t>Assign ownership, document the baseline process, define minimum controls and collect first evidence for Billing / subscription.</t>
  </si>
  <si>
    <t>TRT-BILLING_SUBSCRIPTION-BASIC</t>
  </si>
  <si>
    <t>Standardize and formalize Billing / subscription</t>
  </si>
  <si>
    <t>Formalize procedures, control cadence, roles, escalation paths and basic measurement for Billing / subscription.</t>
  </si>
  <si>
    <t>TRT-BILLING_SUBSCRIPTION-DEFINED</t>
  </si>
  <si>
    <t>Integrate and test Billing / subscription</t>
  </si>
  <si>
    <t>Connect Billing / subscription with adjacent processes, test handoffs, close evidence gaps and verify continuity assumptions.</t>
  </si>
  <si>
    <t>TRT-BILLING_SUBSCRIPTION-MANAGED</t>
  </si>
  <si>
    <t>Optimize and automate Billing / subscription</t>
  </si>
  <si>
    <t>Automate monitoring, improve decision triggers, reduce manual dependency and track performance drift for Billing / subscription.</t>
  </si>
  <si>
    <t>TRT-BILLING_SUBSCRIPTION-OPTIMIZED</t>
  </si>
  <si>
    <t>Stress-test and prove resilience of Billing / subscription</t>
  </si>
  <si>
    <t>Run simulations, benchmark performance, prove recovery evidence and continuously improve Billing / subscription under stress conditions.</t>
  </si>
  <si>
    <t>TRT-CRM_CUSTOMER_SERVICE-INITIAL</t>
  </si>
  <si>
    <t>Establish baseline controls for CRM / service</t>
  </si>
  <si>
    <t>Assign ownership, document the baseline process, define minimum controls and collect first evidence for CRM / service.</t>
  </si>
  <si>
    <t>TRT-CRM_CUSTOMER_SERVICE-BASIC</t>
  </si>
  <si>
    <t>Standardize and formalize CRM / service</t>
  </si>
  <si>
    <t>Formalize procedures, control cadence, roles, escalation paths and basic measurement for CRM / service.</t>
  </si>
  <si>
    <t>TRT-CRM_CUSTOMER_SERVICE-DEFINED</t>
  </si>
  <si>
    <t>Integrate and test CRM / service</t>
  </si>
  <si>
    <t>Connect CRM / service with adjacent processes, test handoffs, close evidence gaps and verify continuity assumptions.</t>
  </si>
  <si>
    <t>TRT-CRM_CUSTOMER_SERVICE-MANAGED</t>
  </si>
  <si>
    <t>Optimize and automate CRM / service</t>
  </si>
  <si>
    <t>Automate monitoring, improve decision triggers, reduce manual dependency and track performance drift for CRM / service.</t>
  </si>
  <si>
    <t>TRT-CRM_CUSTOMER_SERVICE-OPTIMIZED</t>
  </si>
  <si>
    <t>Stress-test and prove resilience of CRM / service</t>
  </si>
  <si>
    <t>Run simulations, benchmark performance, prove recovery evidence and continuously improve CRM / service under stress conditions.</t>
  </si>
  <si>
    <t>TRT-CUSTOMER_COMMUNICATION-INITIAL</t>
  </si>
  <si>
    <t>Establish baseline controls for Customer communication</t>
  </si>
  <si>
    <t>Assign ownership, document the baseline process, define minimum controls and collect first evidence for Customer communication.</t>
  </si>
  <si>
    <t>TRT-CUSTOMER_COMMUNICATION-BASIC</t>
  </si>
  <si>
    <t>Standardize and formalize Customer communication</t>
  </si>
  <si>
    <t>Formalize procedures, control cadence, roles, escalation paths and basic measurement for Customer communication.</t>
  </si>
  <si>
    <t>TRT-CUSTOMER_COMMUNICATION-DEFINED</t>
  </si>
  <si>
    <t>Integrate and test Customer communication</t>
  </si>
  <si>
    <t>Connect Customer communication with adjacent processes, test handoffs, close evidence gaps and verify continuity assumptions.</t>
  </si>
  <si>
    <t>TRT-CUSTOMER_COMMUNICATION-MANAGED</t>
  </si>
  <si>
    <t>Optimize and automate Customer communication</t>
  </si>
  <si>
    <t>Automate monitoring, improve decision triggers, reduce manual dependency and track performance drift for Customer communication.</t>
  </si>
  <si>
    <t>TRT-CUSTOMER_COMMUNICATION-OPTIMIZED</t>
  </si>
  <si>
    <t>Stress-test and prove resilience of Customer communication</t>
  </si>
  <si>
    <t>Run simulations, benchmark performance, prove recovery evidence and continuously improve Customer communication under stress conditions.</t>
  </si>
  <si>
    <t>TRT-CORE_BANKING-INITIAL</t>
  </si>
  <si>
    <t>Establish baseline controls for Core banking</t>
  </si>
  <si>
    <t>Assign ownership, document the baseline process, define minimum controls and collect first evidence for Core banking.</t>
  </si>
  <si>
    <t>TRT-CORE_BANKING-BASIC</t>
  </si>
  <si>
    <t>Standardize and formalize Core banking</t>
  </si>
  <si>
    <t>Formalize procedures, control cadence, roles, escalation paths and basic measurement for Core banking.</t>
  </si>
  <si>
    <t>TRT-CORE_BANKING-DEFINED</t>
  </si>
  <si>
    <t>Integrate and test Core banking</t>
  </si>
  <si>
    <t>Connect Core banking with adjacent processes, test handoffs, close evidence gaps and verify continuity assumptions.</t>
  </si>
  <si>
    <t>TRT-CORE_BANKING-MANAGED</t>
  </si>
  <si>
    <t>Optimize and automate Core banking</t>
  </si>
  <si>
    <t>Automate monitoring, improve decision triggers, reduce manual dependency and track performance drift for Core banking.</t>
  </si>
  <si>
    <t>TRT-CORE_BANKING-OPTIMIZED</t>
  </si>
  <si>
    <t>Stress-test and prove resilience of Core banking</t>
  </si>
  <si>
    <t>Run simulations, benchmark performance, prove recovery evidence and continuously improve Core banking under stress conditions.</t>
  </si>
  <si>
    <t>TRT-PAYMENT_CONTINUITY-INITIAL</t>
  </si>
  <si>
    <t>Establish baseline controls for Payment continuity</t>
  </si>
  <si>
    <t>Assign ownership, document the baseline process, define minimum controls and collect first evidence for Payment continuity.</t>
  </si>
  <si>
    <t>TRT-PAYMENT_CONTINUITY-BASIC</t>
  </si>
  <si>
    <t>Standardize and formalize Payment continuity</t>
  </si>
  <si>
    <t>Formalize procedures, control cadence, roles, escalation paths and basic measurement for Payment continuity.</t>
  </si>
  <si>
    <t>TRT-PAYMENT_CONTINUITY-DEFINED</t>
  </si>
  <si>
    <t>Integrate and test Payment continuity</t>
  </si>
  <si>
    <t>Connect Payment continuity with adjacent processes, test handoffs, close evidence gaps and verify continuity assumptions.</t>
  </si>
  <si>
    <t>TRT-PAYMENT_CONTINUITY-MANAGED</t>
  </si>
  <si>
    <t>Optimize and automate Payment continuity</t>
  </si>
  <si>
    <t>Automate monitoring, improve decision triggers, reduce manual dependency and track performance drift for Payment continuity.</t>
  </si>
  <si>
    <t>TRT-PAYMENT_CONTINUITY-OPTIMIZED</t>
  </si>
  <si>
    <t>Stress-test and prove resilience of Payment continuity</t>
  </si>
  <si>
    <t>Run simulations, benchmark performance, prove recovery evidence and continuously improve Payment continuity under stress conditions.</t>
  </si>
  <si>
    <t>TRT-FRAUD_MONITORING-INITIAL</t>
  </si>
  <si>
    <t>Establish baseline controls for Fraud monitoring</t>
  </si>
  <si>
    <t>Assign ownership, document the baseline process, define minimum controls and collect first evidence for Fraud monitoring.</t>
  </si>
  <si>
    <t>TRT-FRAUD_MONITORING-BASIC</t>
  </si>
  <si>
    <t>Standardize and formalize Fraud monitoring</t>
  </si>
  <si>
    <t>Formalize procedures, control cadence, roles, escalation paths and basic measurement for Fraud monitoring.</t>
  </si>
  <si>
    <t>TRT-FRAUD_MONITORING-DEFINED</t>
  </si>
  <si>
    <t>Integrate and test Fraud monitoring</t>
  </si>
  <si>
    <t>Connect Fraud monitoring with adjacent processes, test handoffs, close evidence gaps and verify continuity assumptions.</t>
  </si>
  <si>
    <t>TRT-FRAUD_MONITORING-MANAGED</t>
  </si>
  <si>
    <t>Optimize and automate Fraud monitoring</t>
  </si>
  <si>
    <t>Automate monitoring, improve decision triggers, reduce manual dependency and track performance drift for Fraud monitoring.</t>
  </si>
  <si>
    <t>TRT-FRAUD_MONITORING-OPTIMIZED</t>
  </si>
  <si>
    <t>Stress-test and prove resilience of Fraud monitoring</t>
  </si>
  <si>
    <t>Run simulations, benchmark performance, prove recovery evidence and continuously improve Fraud monitoring under stress conditions.</t>
  </si>
  <si>
    <t>TRT-REGULATORY_CONTINUITY-INITIAL</t>
  </si>
  <si>
    <t>Establish baseline controls for Regulatory continuity</t>
  </si>
  <si>
    <t>Assign ownership, document the baseline process, define minimum controls and collect first evidence for Regulatory continuity.</t>
  </si>
  <si>
    <t>TRT-REGULATORY_CONTINUITY-BASIC</t>
  </si>
  <si>
    <t>Standardize and formalize Regulatory continuity</t>
  </si>
  <si>
    <t>Formalize procedures, control cadence, roles, escalation paths and basic measurement for Regulatory continuity.</t>
  </si>
  <si>
    <t>TRT-REGULATORY_CONTINUITY-DEFINED</t>
  </si>
  <si>
    <t>Integrate and test Regulatory continuity</t>
  </si>
  <si>
    <t>Connect Regulatory continuity with adjacent processes, test handoffs, close evidence gaps and verify continuity assumptions.</t>
  </si>
  <si>
    <t>TRT-REGULATORY_CONTINUITY-MANAGED</t>
  </si>
  <si>
    <t>Optimize and automate Regulatory continuity</t>
  </si>
  <si>
    <t>Automate monitoring, improve decision triggers, reduce manual dependency and track performance drift for Regulatory continuity.</t>
  </si>
  <si>
    <t>TRT-REGULATORY_CONTINUITY-OPTIMIZED</t>
  </si>
  <si>
    <t>Stress-test and prove resilience of Regulatory continuity</t>
  </si>
  <si>
    <t>Run simulations, benchmark performance, prove recovery evidence and continuously improve Regulatory continuity under stress conditions.</t>
  </si>
  <si>
    <t>TRT-POS_ECOMMERCE-INITIAL</t>
  </si>
  <si>
    <t>Establish baseline controls for POS / ecommerce</t>
  </si>
  <si>
    <t>Assign ownership, document the baseline process, define minimum controls and collect first evidence for POS / ecommerce.</t>
  </si>
  <si>
    <t>TRT-POS_ECOMMERCE-BASIC</t>
  </si>
  <si>
    <t>Standardize and formalize POS / ecommerce</t>
  </si>
  <si>
    <t>Formalize procedures, control cadence, roles, escalation paths and basic measurement for POS / ecommerce.</t>
  </si>
  <si>
    <t>TRT-POS_ECOMMERCE-DEFINED</t>
  </si>
  <si>
    <t>Integrate and test POS / ecommerce</t>
  </si>
  <si>
    <t>Connect POS / ecommerce with adjacent processes, test handoffs, close evidence gaps and verify continuity assumptions.</t>
  </si>
  <si>
    <t>TRT-POS_ECOMMERCE-MANAGED</t>
  </si>
  <si>
    <t>Optimize and automate POS / ecommerce</t>
  </si>
  <si>
    <t>Automate monitoring, improve decision triggers, reduce manual dependency and track performance drift for POS / ecommerce.</t>
  </si>
  <si>
    <t>TRT-POS_ECOMMERCE-OPTIMIZED</t>
  </si>
  <si>
    <t>Stress-test and prove resilience of POS / ecommerce</t>
  </si>
  <si>
    <t>Run simulations, benchmark performance, prove recovery evidence and continuously improve POS / ecommerce under stress conditions.</t>
  </si>
  <si>
    <t>TRT-WMS_WAREHOUSE-INITIAL</t>
  </si>
  <si>
    <t>Establish baseline controls for Warehouse / WMS</t>
  </si>
  <si>
    <t>Assign ownership, document the baseline process, define minimum controls and collect first evidence for Warehouse / WMS.</t>
  </si>
  <si>
    <t>TRT-WMS_WAREHOUSE-BASIC</t>
  </si>
  <si>
    <t>Standardize and formalize Warehouse / WMS</t>
  </si>
  <si>
    <t>Formalize procedures, control cadence, roles, escalation paths and basic measurement for Warehouse / WMS.</t>
  </si>
  <si>
    <t>TRT-WMS_WAREHOUSE-DEFINED</t>
  </si>
  <si>
    <t>Integrate and test Warehouse / WMS</t>
  </si>
  <si>
    <t>Connect Warehouse / WMS with adjacent processes, test handoffs, close evidence gaps and verify continuity assumptions.</t>
  </si>
  <si>
    <t>TRT-WMS_WAREHOUSE-MANAGED</t>
  </si>
  <si>
    <t>Optimize and automate Warehouse / WMS</t>
  </si>
  <si>
    <t>Automate monitoring, improve decision triggers, reduce manual dependency and track performance drift for Warehouse / WMS.</t>
  </si>
  <si>
    <t>TRT-WMS_WAREHOUSE-OPTIMIZED</t>
  </si>
  <si>
    <t>Stress-test and prove resilience of Warehouse / WMS</t>
  </si>
  <si>
    <t>Run simulations, benchmark performance, prove recovery evidence and continuously improve Warehouse / WMS under stress conditions.</t>
  </si>
  <si>
    <t>TRT-MES_SHOPFLOOR-INITIAL</t>
  </si>
  <si>
    <t>Establish baseline controls for MES / shop-floor</t>
  </si>
  <si>
    <t>Assign ownership, document the baseline process, define minimum controls and collect first evidence for MES / shop-floor.</t>
  </si>
  <si>
    <t>TRT-MES_SHOPFLOOR-BASIC</t>
  </si>
  <si>
    <t>Standardize and formalize MES / shop-floor</t>
  </si>
  <si>
    <t>Formalize procedures, control cadence, roles, escalation paths and basic measurement for MES / shop-floor.</t>
  </si>
  <si>
    <t>TRT-MES_SHOPFLOOR-DEFINED</t>
  </si>
  <si>
    <t>Integrate and test MES / shop-floor</t>
  </si>
  <si>
    <t>Connect MES / shop-floor with adjacent processes, test handoffs, close evidence gaps and verify continuity assumptions.</t>
  </si>
  <si>
    <t>TRT-MES_SHOPFLOOR-MANAGED</t>
  </si>
  <si>
    <t>Optimize and automate MES / shop-floor</t>
  </si>
  <si>
    <t>Automate monitoring, improve decision triggers, reduce manual dependency and track performance drift for MES / shop-floor.</t>
  </si>
  <si>
    <t>TRT-MES_SHOPFLOOR-OPTIMIZED</t>
  </si>
  <si>
    <t>Stress-test and prove resilience of MES / shop-floor</t>
  </si>
  <si>
    <t>Run simulations, benchmark performance, prove recovery evidence and continuously improve MES / shop-floor under stress conditions.</t>
  </si>
  <si>
    <t>TRT-OT_SECURITY-INITIAL</t>
  </si>
  <si>
    <t>Establish baseline controls for OT security</t>
  </si>
  <si>
    <t>Assign ownership, document the baseline process, define minimum controls and collect first evidence for OT security.</t>
  </si>
  <si>
    <t>TRT-OT_SECURITY-BASIC</t>
  </si>
  <si>
    <t>Standardize and formalize OT security</t>
  </si>
  <si>
    <t>Formalize procedures, control cadence, roles, escalation paths and basic measurement for OT security.</t>
  </si>
  <si>
    <t>TRT-OT_SECURITY-DEFINED</t>
  </si>
  <si>
    <t>Integrate and test OT security</t>
  </si>
  <si>
    <t>Connect OT security with adjacent processes, test handoffs, close evidence gaps and verify continuity assumptions.</t>
  </si>
  <si>
    <t>TRT-OT_SECURITY-MANAGED</t>
  </si>
  <si>
    <t>Optimize and automate OT security</t>
  </si>
  <si>
    <t>Automate monitoring, improve decision triggers, reduce manual dependency and track performance drift for OT security.</t>
  </si>
  <si>
    <t>TRT-OT_SECURITY-OPTIMIZED</t>
  </si>
  <si>
    <t>Stress-test and prove resilience of OT security</t>
  </si>
  <si>
    <t>Run simulations, benchmark performance, prove recovery evidence and continuously improve OT security under stress conditions.</t>
  </si>
  <si>
    <t>TRT-SUPPLIER_RESILIENCE-INITIAL</t>
  </si>
  <si>
    <t>Establish baseline controls for Supplier resilience</t>
  </si>
  <si>
    <t>Assign ownership, document the baseline process, define minimum controls and collect first evidence for Supplier resilience.</t>
  </si>
  <si>
    <t>TRT-SUPPLIER_RESILIENCE-BASIC</t>
  </si>
  <si>
    <t>Standardize and formalize Supplier resilience</t>
  </si>
  <si>
    <t>Formalize procedures, control cadence, roles, escalation paths and basic measurement for Supplier resilience.</t>
  </si>
  <si>
    <t>TRT-SUPPLIER_RESILIENCE-DEFINED</t>
  </si>
  <si>
    <t>Integrate and test Supplier resilience</t>
  </si>
  <si>
    <t>Connect Supplier resilience with adjacent processes, test handoffs, close evidence gaps and verify continuity assumptions.</t>
  </si>
  <si>
    <t>TRT-SUPPLIER_RESILIENCE-MANAGED</t>
  </si>
  <si>
    <t>Optimize and automate Supplier resilience</t>
  </si>
  <si>
    <t>Automate monitoring, improve decision triggers, reduce manual dependency and track performance drift for Supplier resilience.</t>
  </si>
  <si>
    <t>TRT-SUPPLIER_RESILIENCE-OPTIMIZED</t>
  </si>
  <si>
    <t>Stress-test and prove resilience of Supplier resilience</t>
  </si>
  <si>
    <t>Run simulations, benchmark performance, prove recovery evidence and continuously improve Supplier resilience under stress conditions.</t>
  </si>
  <si>
    <t>TRT-INVENTORY_PLANNING-INITIAL</t>
  </si>
  <si>
    <t>Establish baseline controls for Inventory planning</t>
  </si>
  <si>
    <t>Assign ownership, document the baseline process, define minimum controls and collect first evidence for Inventory planning.</t>
  </si>
  <si>
    <t>TRT-INVENTORY_PLANNING-BASIC</t>
  </si>
  <si>
    <t>Standardize and formalize Inventory planning</t>
  </si>
  <si>
    <t>Formalize procedures, control cadence, roles, escalation paths and basic measurement for Inventory planning.</t>
  </si>
  <si>
    <t>TRT-INVENTORY_PLANNING-DEFINED</t>
  </si>
  <si>
    <t>Integrate and test Inventory planning</t>
  </si>
  <si>
    <t>Connect Inventory planning with adjacent processes, test handoffs, close evidence gaps and verify continuity assumptions.</t>
  </si>
  <si>
    <t>TRT-INVENTORY_PLANNING-MANAGED</t>
  </si>
  <si>
    <t>Optimize and automate Inventory planning</t>
  </si>
  <si>
    <t>Automate monitoring, improve decision triggers, reduce manual dependency and track performance drift for Inventory planning.</t>
  </si>
  <si>
    <t>TRT-INVENTORY_PLANNING-OPTIMIZED</t>
  </si>
  <si>
    <t>Stress-test and prove resilience of Inventory planning</t>
  </si>
  <si>
    <t>Run simulations, benchmark performance, prove recovery evidence and continuously improve Inventory planning under stress conditions.</t>
  </si>
  <si>
    <t>TRT-DELIVERY_CONTINUITY-INITIAL</t>
  </si>
  <si>
    <t>Establish baseline controls for Delivery continuity</t>
  </si>
  <si>
    <t>Assign ownership, document the baseline process, define minimum controls and collect first evidence for Delivery continuity.</t>
  </si>
  <si>
    <t>TRT-DELIVERY_CONTINUITY-BASIC</t>
  </si>
  <si>
    <t>Standardize and formalize Delivery continuity</t>
  </si>
  <si>
    <t>Formalize procedures, control cadence, roles, escalation paths and basic measurement for Delivery continuity.</t>
  </si>
  <si>
    <t>TRT-DELIVERY_CONTINUITY-DEFINED</t>
  </si>
  <si>
    <t>Integrate and test Delivery continuity</t>
  </si>
  <si>
    <t>Connect Delivery continuity with adjacent processes, test handoffs, close evidence gaps and verify continuity assumptions.</t>
  </si>
  <si>
    <t>TRT-DELIVERY_CONTINUITY-MANAGED</t>
  </si>
  <si>
    <t>Optimize and automate Delivery continuity</t>
  </si>
  <si>
    <t>Automate monitoring, improve decision triggers, reduce manual dependency and track performance drift for Delivery continuity.</t>
  </si>
  <si>
    <t>TRT-DELIVERY_CONTINUITY-OPTIMIZED</t>
  </si>
  <si>
    <t>Stress-test and prove resilience of Delivery continuity</t>
  </si>
  <si>
    <t>Run simulations, benchmark performance, prove recovery evidence and continuously improve Delivery continuity under stress conditions.</t>
  </si>
  <si>
    <t>TRT-PRODUCTION_CAPACITY-INITIAL</t>
  </si>
  <si>
    <t>Establish baseline controls for Production capacity</t>
  </si>
  <si>
    <t>Assign ownership, document the baseline process, define minimum controls and collect first evidence for Production capacity.</t>
  </si>
  <si>
    <t>TRT-PRODUCTION_CAPACITY-BASIC</t>
  </si>
  <si>
    <t>Standardize and formalize Production capacity</t>
  </si>
  <si>
    <t>Formalize procedures, control cadence, roles, escalation paths and basic measurement for Production capacity.</t>
  </si>
  <si>
    <t>TRT-PRODUCTION_CAPACITY-DEFINED</t>
  </si>
  <si>
    <t>Integrate and test Production capacity</t>
  </si>
  <si>
    <t>Connect Production capacity with adjacent processes, test handoffs, close evidence gaps and verify continuity assumptions.</t>
  </si>
  <si>
    <t>TRT-PRODUCTION_CAPACITY-MANAGED</t>
  </si>
  <si>
    <t>Optimize and automate Production capacity</t>
  </si>
  <si>
    <t>Automate monitoring, improve decision triggers, reduce manual dependency and track performance drift for Production capacity.</t>
  </si>
  <si>
    <t>TRT-PRODUCTION_CAPACITY-OPTIMIZED</t>
  </si>
  <si>
    <t>Stress-test and prove resilience of Production capacity</t>
  </si>
  <si>
    <t>Run simulations, benchmark performance, prove recovery evidence and continuously improve Production capacity under stress conditions.</t>
  </si>
  <si>
    <t>TRT-ASSET_MAINTENANCE-INITIAL</t>
  </si>
  <si>
    <t>Establish baseline controls for Asset maintenance</t>
  </si>
  <si>
    <t>Assign ownership, document the baseline process, define minimum controls and collect first evidence for Asset maintenance.</t>
  </si>
  <si>
    <t>TRT-ASSET_MAINTENANCE-BASIC</t>
  </si>
  <si>
    <t>Standardize and formalize Asset maintenance</t>
  </si>
  <si>
    <t>Formalize procedures, control cadence, roles, escalation paths and basic measurement for Asset maintenance.</t>
  </si>
  <si>
    <t>TRT-ASSET_MAINTENANCE-DEFINED</t>
  </si>
  <si>
    <t>Integrate and test Asset maintenance</t>
  </si>
  <si>
    <t>Connect Asset maintenance with adjacent processes, test handoffs, close evidence gaps and verify continuity assumptions.</t>
  </si>
  <si>
    <t>TRT-ASSET_MAINTENANCE-MANAGED</t>
  </si>
  <si>
    <t>Optimize and automate Asset maintenance</t>
  </si>
  <si>
    <t>Automate monitoring, improve decision triggers, reduce manual dependency and track performance drift for Asset maintenance.</t>
  </si>
  <si>
    <t>TRT-ASSET_MAINTENANCE-OPTIMIZED</t>
  </si>
  <si>
    <t>Stress-test and prove resilience of Asset maintenance</t>
  </si>
  <si>
    <t>Run simulations, benchmark performance, prove recovery evidence and continuously improve Asset maintenance under stress conditions.</t>
  </si>
  <si>
    <t>TRT-PHYSICAL_SITE_SAFETY-INITIAL</t>
  </si>
  <si>
    <t>Establish baseline controls for Physical site safety</t>
  </si>
  <si>
    <t>Assign ownership, document the baseline process, define minimum controls and collect first evidence for Physical site safety.</t>
  </si>
  <si>
    <t>TRT-PHYSICAL_SITE_SAFETY-BASIC</t>
  </si>
  <si>
    <t>Standardize and formalize Physical site safety</t>
  </si>
  <si>
    <t>Formalize procedures, control cadence, roles, escalation paths and basic measurement for Physical site safety.</t>
  </si>
  <si>
    <t>TRT-PHYSICAL_SITE_SAFETY-DEFINED</t>
  </si>
  <si>
    <t>Integrate and test Physical site safety</t>
  </si>
  <si>
    <t>Connect Physical site safety with adjacent processes, test handoffs, close evidence gaps and verify continuity assumptions.</t>
  </si>
  <si>
    <t>TRT-PHYSICAL_SITE_SAFETY-MANAGED</t>
  </si>
  <si>
    <t>Optimize and automate Physical site safety</t>
  </si>
  <si>
    <t>Automate monitoring, improve decision triggers, reduce manual dependency and track performance drift for Physical site safety.</t>
  </si>
  <si>
    <t>TRT-PHYSICAL_SITE_SAFETY-OPTIMIZED</t>
  </si>
  <si>
    <t>Stress-test and prove resilience of Physical site safety</t>
  </si>
  <si>
    <t>Run simulations, benchmark performance, prove recovery evidence and continuously improve Physical site safety under stress conditions.</t>
  </si>
  <si>
    <t>TRT-UTILITIES_RESILIENCE-INITIAL</t>
  </si>
  <si>
    <t>Establish baseline controls for Utilities resilience</t>
  </si>
  <si>
    <t>Assign ownership, document the baseline process, define minimum controls and collect first evidence for Utilities resilience.</t>
  </si>
  <si>
    <t>TRT-UTILITIES_RESILIENCE-BASIC</t>
  </si>
  <si>
    <t>Standardize and formalize Utilities resilience</t>
  </si>
  <si>
    <t>Formalize procedures, control cadence, roles, escalation paths and basic measurement for Utilities resilience.</t>
  </si>
  <si>
    <t>TRT-UTILITIES_RESILIENCE-DEFINED</t>
  </si>
  <si>
    <t>Integrate and test Utilities resilience</t>
  </si>
  <si>
    <t>Connect Utilities resilience with adjacent processes, test handoffs, close evidence gaps and verify continuity assumptions.</t>
  </si>
  <si>
    <t>TRT-UTILITIES_RESILIENCE-MANAGED</t>
  </si>
  <si>
    <t>Optimize and automate Utilities resilience</t>
  </si>
  <si>
    <t>Automate monitoring, improve decision triggers, reduce manual dependency and track performance drift for Utilities resilience.</t>
  </si>
  <si>
    <t>TRT-UTILITIES_RESILIENCE-OPTIMIZED</t>
  </si>
  <si>
    <t>Stress-test and prove resilience of Utilities resilience</t>
  </si>
  <si>
    <t>Run simulations, benchmark performance, prove recovery evidence and continuously improve Utilities resilience under stress conditions.</t>
  </si>
  <si>
    <t>TRT-WORKFORCE_CONTINUITY-INITIAL</t>
  </si>
  <si>
    <t>Establish baseline controls for Workforce continuity</t>
  </si>
  <si>
    <t>Assign ownership, document the baseline process, define minimum controls and collect first evidence for Workforce continuity.</t>
  </si>
  <si>
    <t>TRT-WORKFORCE_CONTINUITY-BASIC</t>
  </si>
  <si>
    <t>Standardize and formalize Workforce continuity</t>
  </si>
  <si>
    <t>Formalize procedures, control cadence, roles, escalation paths and basic measurement for Workforce continuity.</t>
  </si>
  <si>
    <t>TRT-WORKFORCE_CONTINUITY-DEFINED</t>
  </si>
  <si>
    <t>Integrate and test Workforce continuity</t>
  </si>
  <si>
    <t>Connect Workforce continuity with adjacent processes, test handoffs, close evidence gaps and verify continuity assumptions.</t>
  </si>
  <si>
    <t>TRT-WORKFORCE_CONTINUITY-MANAGED</t>
  </si>
  <si>
    <t>Optimize and automate Workforce continuity</t>
  </si>
  <si>
    <t>Automate monitoring, improve decision triggers, reduce manual dependency and track performance drift for Workforce continuity.</t>
  </si>
  <si>
    <t>TRT-WORKFORCE_CONTINUITY-OPTIMIZED</t>
  </si>
  <si>
    <t>Stress-test and prove resilience of Workforce continuity</t>
  </si>
  <si>
    <t>Run simulations, benchmark performance, prove recovery evidence and continuously improve Workforce continuity under stress conditions.</t>
  </si>
  <si>
    <t>TRT-CRITICAL_PEOPLE-INITIAL</t>
  </si>
  <si>
    <t>Establish baseline controls for Critical people</t>
  </si>
  <si>
    <t>Assign ownership, document the baseline process, define minimum controls and collect first evidence for Critical people.</t>
  </si>
  <si>
    <t>TRT-CRITICAL_PEOPLE-BASIC</t>
  </si>
  <si>
    <t>Standardize and formalize Critical people</t>
  </si>
  <si>
    <t>Formalize procedures, control cadence, roles, escalation paths and basic measurement for Critical people.</t>
  </si>
  <si>
    <t>TRT-CRITICAL_PEOPLE-DEFINED</t>
  </si>
  <si>
    <t>Integrate and test Critical people</t>
  </si>
  <si>
    <t>Connect Critical people with adjacent processes, test handoffs, close evidence gaps and verify continuity assumptions.</t>
  </si>
  <si>
    <t>TRT-CRITICAL_PEOPLE-MANAGED</t>
  </si>
  <si>
    <t>Optimize and automate Critical people</t>
  </si>
  <si>
    <t>Automate monitoring, improve decision triggers, reduce manual dependency and track performance drift for Critical people.</t>
  </si>
  <si>
    <t>TRT-CRITICAL_PEOPLE-OPTIMIZED</t>
  </si>
  <si>
    <t>Stress-test and prove resilience of Critical people</t>
  </si>
  <si>
    <t>Run simulations, benchmark performance, prove recovery evidence and continuously improve Critical people under stress conditions.</t>
  </si>
  <si>
    <t>TRT-REMOTE_WORK-INITIAL</t>
  </si>
  <si>
    <t>Establish baseline controls for Remote work</t>
  </si>
  <si>
    <t>Assign ownership, document the baseline process, define minimum controls and collect first evidence for Remote work.</t>
  </si>
  <si>
    <t>TRT-REMOTE_WORK-BASIC</t>
  </si>
  <si>
    <t>Standardize and formalize Remote work</t>
  </si>
  <si>
    <t>Formalize procedures, control cadence, roles, escalation paths and basic measurement for Remote work.</t>
  </si>
  <si>
    <t>TRT-REMOTE_WORK-DEFINED</t>
  </si>
  <si>
    <t>Integrate and test Remote work</t>
  </si>
  <si>
    <t>Connect Remote work with adjacent processes, test handoffs, close evidence gaps and verify continuity assumptions.</t>
  </si>
  <si>
    <t>TRT-REMOTE_WORK-MANAGED</t>
  </si>
  <si>
    <t>Optimize and automate Remote work</t>
  </si>
  <si>
    <t>Automate monitoring, improve decision triggers, reduce manual dependency and track performance drift for Remote work.</t>
  </si>
  <si>
    <t>TRT-REMOTE_WORK-OPTIMIZED</t>
  </si>
  <si>
    <t>Stress-test and prove resilience of Remote work</t>
  </si>
  <si>
    <t>Run simulations, benchmark performance, prove recovery evidence and continuously improve Remote work under stress conditions.</t>
  </si>
  <si>
    <t>TRT-VENDOR_CONCENTRATION-INITIAL</t>
  </si>
  <si>
    <t>Establish baseline controls for Vendor concentration</t>
  </si>
  <si>
    <t>Assign ownership, document the baseline process, define minimum controls and collect first evidence for Vendor concentration.</t>
  </si>
  <si>
    <t>TRT-VENDOR_CONCENTRATION-BASIC</t>
  </si>
  <si>
    <t>Standardize and formalize Vendor concentration</t>
  </si>
  <si>
    <t>Formalize procedures, control cadence, roles, escalation paths and basic measurement for Vendor concentration.</t>
  </si>
  <si>
    <t>TRT-VENDOR_CONCENTRATION-DEFINED</t>
  </si>
  <si>
    <t>Integrate and test Vendor concentration</t>
  </si>
  <si>
    <t>Connect Vendor concentration with adjacent processes, test handoffs, close evidence gaps and verify continuity assumptions.</t>
  </si>
  <si>
    <t>TRT-VENDOR_CONCENTRATION-MANAGED</t>
  </si>
  <si>
    <t>Optimize and automate Vendor concentration</t>
  </si>
  <si>
    <t>Automate monitoring, improve decision triggers, reduce manual dependency and track performance drift for Vendor concentration.</t>
  </si>
  <si>
    <t>TRT-VENDOR_CONCENTRATION-OPTIMIZED</t>
  </si>
  <si>
    <t>Stress-test and prove resilience of Vendor concentration</t>
  </si>
  <si>
    <t>Run simulations, benchmark performance, prove recovery evidence and continuously improve Vendor concentration under stress conditions.</t>
  </si>
  <si>
    <t>TRT-AI_GOVERNANCE-INITIAL</t>
  </si>
  <si>
    <t>Establish baseline controls for AI governance</t>
  </si>
  <si>
    <t>Assign ownership, document the baseline process, define minimum controls and collect first evidence for AI governance.</t>
  </si>
  <si>
    <t>TRT-AI_GOVERNANCE-BASIC</t>
  </si>
  <si>
    <t>Standardize and formalize AI governance</t>
  </si>
  <si>
    <t>Formalize procedures, control cadence, roles, escalation paths and basic measurement for AI governance.</t>
  </si>
  <si>
    <t>TRT-AI_GOVERNANCE-DEFINED</t>
  </si>
  <si>
    <t>Integrate and test AI governance</t>
  </si>
  <si>
    <t>Connect AI governance with adjacent processes, test handoffs, close evidence gaps and verify continuity assumptions.</t>
  </si>
  <si>
    <t>TRT-AI_GOVERNANCE-MANAGED</t>
  </si>
  <si>
    <t>Optimize and automate AI governance</t>
  </si>
  <si>
    <t>Automate monitoring, improve decision triggers, reduce manual dependency and track performance drift for AI governance.</t>
  </si>
  <si>
    <t>TRT-AI_GOVERNANCE-OPTIMIZED</t>
  </si>
  <si>
    <t>Stress-test and prove resilience of AI governance</t>
  </si>
  <si>
    <t>Run simulations, benchmark performance, prove recovery evidence and continuously improve AI governance under stress conditions.</t>
  </si>
  <si>
    <t>TRT-FINANCE_CONTINUITY-INITIAL</t>
  </si>
  <si>
    <t>Establish baseline controls for Finance continuity</t>
  </si>
  <si>
    <t>Assign ownership, document the baseline process, define minimum controls and collect first evidence for Finance continuity.</t>
  </si>
  <si>
    <t>TRT-FINANCE_CONTINUITY-BASIC</t>
  </si>
  <si>
    <t>Standardize and formalize Finance continuity</t>
  </si>
  <si>
    <t>Formalize procedures, control cadence, roles, escalation paths and basic measurement for Finance continuity.</t>
  </si>
  <si>
    <t>TRT-FINANCE_CONTINUITY-DEFINED</t>
  </si>
  <si>
    <t>Integrate and test Finance continuity</t>
  </si>
  <si>
    <t>Connect Finance continuity with adjacent processes, test handoffs, close evidence gaps and verify continuity assumptions.</t>
  </si>
  <si>
    <t>TRT-FINANCE_CONTINUITY-MANAGED</t>
  </si>
  <si>
    <t>Optimize and automate Finance continuity</t>
  </si>
  <si>
    <t>Automate monitoring, improve decision triggers, reduce manual dependency and track performance drift for Finance continuity.</t>
  </si>
  <si>
    <t>TRT-FINANCE_CONTINUITY-OPTIMIZED</t>
  </si>
  <si>
    <t>Stress-test and prove resilience of Finance continuity</t>
  </si>
  <si>
    <t>Run simulations, benchmark performance, prove recovery evidence and continuously improve Finance continuity under stress conditions.</t>
  </si>
  <si>
    <t>TRT-PROCUREMENT_CONTROLS-INITIAL</t>
  </si>
  <si>
    <t>Establish baseline controls for Procurement controls</t>
  </si>
  <si>
    <t>Assign ownership, document the baseline process, define minimum controls and collect first evidence for Procurement controls.</t>
  </si>
  <si>
    <t>TRT-PROCUREMENT_CONTROLS-BASIC</t>
  </si>
  <si>
    <t>Standardize and formalize Procurement controls</t>
  </si>
  <si>
    <t>Formalize procedures, control cadence, roles, escalation paths and basic measurement for Procurement controls.</t>
  </si>
  <si>
    <t>TRT-PROCUREMENT_CONTROLS-DEFINED</t>
  </si>
  <si>
    <t>Integrate and test Procurement controls</t>
  </si>
  <si>
    <t>Connect Procurement controls with adjacent processes, test handoffs, close evidence gaps and verify continuity assumptions.</t>
  </si>
  <si>
    <t>TRT-PROCUREMENT_CONTROLS-MANAGED</t>
  </si>
  <si>
    <t>Optimize and automate Procurement controls</t>
  </si>
  <si>
    <t>Automate monitoring, improve decision triggers, reduce manual dependency and track performance drift for Procurement controls.</t>
  </si>
  <si>
    <t>TRT-PROCUREMENT_CONTROLS-OPTIMIZED</t>
  </si>
  <si>
    <t>Stress-test and prove resilience of Procurement controls</t>
  </si>
  <si>
    <t>Run simulations, benchmark performance, prove recovery evidence and continuously improve Procurement controls under stress conditions.</t>
  </si>
  <si>
    <t>TRT-PRODUCT_SECURITY-INITIAL</t>
  </si>
  <si>
    <t>Establish baseline controls for Product security</t>
  </si>
  <si>
    <t>Assign ownership, document the baseline process, define minimum controls and collect first evidence for Product security.</t>
  </si>
  <si>
    <t>TRT-PRODUCT_SECURITY-BASIC</t>
  </si>
  <si>
    <t>Standardize and formalize Product security</t>
  </si>
  <si>
    <t>Formalize procedures, control cadence, roles, escalation paths and basic measurement for Product security.</t>
  </si>
  <si>
    <t>TRT-PRODUCT_SECURITY-DEFINED</t>
  </si>
  <si>
    <t>Integrate and test Product security</t>
  </si>
  <si>
    <t>Connect Product security with adjacent processes, test handoffs, close evidence gaps and verify continuity assumptions.</t>
  </si>
  <si>
    <t>TRT-PRODUCT_SECURITY-MANAGED</t>
  </si>
  <si>
    <t>Optimize and automate Product security</t>
  </si>
  <si>
    <t>Automate monitoring, improve decision triggers, reduce manual dependency and track performance drift for Product security.</t>
  </si>
  <si>
    <t>TRT-PRODUCT_SECURITY-OPTIMIZED</t>
  </si>
  <si>
    <t>Stress-test and prove resilience of Product security</t>
  </si>
  <si>
    <t>Run simulations, benchmark performance, prove recovery evidence and continuously improve Product security under stress conditions.</t>
  </si>
  <si>
    <t>TRT-GENERIC-INITIAL</t>
  </si>
  <si>
    <t>Establish baseline controls for Generic fallback</t>
  </si>
  <si>
    <t>Assign ownership, document the baseline process, define minimum controls and collect first evidence for Generic fallback.</t>
  </si>
  <si>
    <t>TRT-GENERIC-BASIC</t>
  </si>
  <si>
    <t>Standardize and formalize Generic fallback</t>
  </si>
  <si>
    <t>Formalize procedures, control cadence, roles, escalation paths and basic measurement for Generic fallback.</t>
  </si>
  <si>
    <t>TRT-GENERIC-DEFINED</t>
  </si>
  <si>
    <t>Integrate and test Generic fallback</t>
  </si>
  <si>
    <t>Connect Generic fallback with adjacent processes, test handoffs, close evidence gaps and verify continuity assumptions.</t>
  </si>
  <si>
    <t>TRT-GENERIC-MANAGED</t>
  </si>
  <si>
    <t>Optimize and automate Generic fallback</t>
  </si>
  <si>
    <t>Automate monitoring, improve decision triggers, reduce manual dependency and track performance drift for Generic fallback.</t>
  </si>
  <si>
    <t>TRT-GENERIC-OPTIMIZED</t>
  </si>
  <si>
    <t>Stress-test and prove resilience of Generic fallback</t>
  </si>
  <si>
    <t>Run simulations, benchmark performance, prove recovery evidence and continuously improve Generic fallback under stress conditions.</t>
  </si>
  <si>
    <t>TRT-SAAS-CLOUD_DR-INITIAL</t>
  </si>
  <si>
    <t>Establish Cloud platform resilience</t>
  </si>
  <si>
    <t>Validate multi-region failover, backup restoration, RTO/RPO evidence and cloud dependency controls for the SaaS platform.</t>
  </si>
  <si>
    <t>Industry-specific maturity treatment override.</t>
  </si>
  <si>
    <t>TRT-SAAS-CLOUD_DR-BASIC</t>
  </si>
  <si>
    <t>Standardize Cloud platform resilience</t>
  </si>
  <si>
    <t>TRT-SAAS-CLOUD_DR-DEFINED</t>
  </si>
  <si>
    <t>Integrate and test Cloud platform resilience</t>
  </si>
  <si>
    <t>TRT-SAAS-CLOUD_DR-MANAGED</t>
  </si>
  <si>
    <t>Optimize and automate Cloud platform resilience</t>
  </si>
  <si>
    <t>TRT-SAAS-CLOUD_DR-OPTIMIZED</t>
  </si>
  <si>
    <t>Stress-test and prove Cloud platform resilience</t>
  </si>
  <si>
    <t>TRT-SAAS-PLATFORM_CONTINUITY-INITIAL</t>
  </si>
  <si>
    <t>Establish Core platform and integration continuity</t>
  </si>
  <si>
    <t>Protect core product availability, billing, APIs, third-party integrations and customer-facing incident continuity.</t>
  </si>
  <si>
    <t>TRT-SAAS-PLATFORM_CONTINUITY-BASIC</t>
  </si>
  <si>
    <t>Standardize Core platform and integration continuity</t>
  </si>
  <si>
    <t>TRT-SAAS-PLATFORM_CONTINUITY-DEFINED</t>
  </si>
  <si>
    <t>Integrate and test Core platform and integration continuity</t>
  </si>
  <si>
    <t>TRT-SAAS-PLATFORM_CONTINUITY-MANAGED</t>
  </si>
  <si>
    <t>Optimize and automate Core platform and integration continuity</t>
  </si>
  <si>
    <t>TRT-SAAS-PLATFORM_CONTINUITY-OPTIMIZED</t>
  </si>
  <si>
    <t>Stress-test and prove Core platform and integration continuity</t>
  </si>
  <si>
    <t>TRT-SAAS-SRE_OBSERVABILITY-INITIAL</t>
  </si>
  <si>
    <t>Establish SRE observability and chaos readiness</t>
  </si>
  <si>
    <t>Improve SLO/error-budget tracking, observability, incident drills, chaos testing and customer communication readiness.</t>
  </si>
  <si>
    <t>TRT-SAAS-SRE_OBSERVABILITY-BASIC</t>
  </si>
  <si>
    <t>Standardize SRE observability and chaos readiness</t>
  </si>
  <si>
    <t>TRT-SAAS-SRE_OBSERVABILITY-DEFINED</t>
  </si>
  <si>
    <t>Integrate and test SRE observability and chaos readiness</t>
  </si>
  <si>
    <t>TRT-SAAS-SRE_OBSERVABILITY-MANAGED</t>
  </si>
  <si>
    <t>Optimize and automate SRE observability and chaos readiness</t>
  </si>
  <si>
    <t>TRT-SAAS-SRE_OBSERVABILITY-OPTIMIZED</t>
  </si>
  <si>
    <t>Stress-test and prove SRE observability and chaos readiness</t>
  </si>
  <si>
    <t>TRT-SAAS-BILLING_SUBSCRIPTION-INITIAL</t>
  </si>
  <si>
    <t>Establish Subscription billing continuity</t>
  </si>
  <si>
    <t>Protect subscription billing, invoicing, entitlements, payment provider dependencies and revenue leakage controls.</t>
  </si>
  <si>
    <t>TRT-SAAS-BILLING_SUBSCRIPTION-BASIC</t>
  </si>
  <si>
    <t>Standardize Subscription billing continuity</t>
  </si>
  <si>
    <t>TRT-SAAS-BILLING_SUBSCRIPTION-DEFINED</t>
  </si>
  <si>
    <t>Integrate and test Subscription billing continuity</t>
  </si>
  <si>
    <t>TRT-SAAS-BILLING_SUBSCRIPTION-MANAGED</t>
  </si>
  <si>
    <t>Optimize and automate Subscription billing continuity</t>
  </si>
  <si>
    <t>TRT-SAAS-BILLING_SUBSCRIPTION-OPTIMIZED</t>
  </si>
  <si>
    <t>Stress-test and prove Subscription billing continuity</t>
  </si>
  <si>
    <t>TRT-SAAS-CUSTOMER_COMMUNICATION-INITIAL</t>
  </si>
  <si>
    <t>Establish Customer trust and incident communication</t>
  </si>
  <si>
    <t>Prepare customer impact assessment, status-page updates, SLA communication and post-incident trust recovery playbooks.</t>
  </si>
  <si>
    <t>TRT-SAAS-CUSTOMER_COMMUNICATION-BASIC</t>
  </si>
  <si>
    <t>Standardize Customer trust and incident communication</t>
  </si>
  <si>
    <t>TRT-SAAS-CUSTOMER_COMMUNICATION-DEFINED</t>
  </si>
  <si>
    <t>Integrate and test Customer trust and incident communication</t>
  </si>
  <si>
    <t>TRT-SAAS-CUSTOMER_COMMUNICATION-MANAGED</t>
  </si>
  <si>
    <t>Optimize and automate Customer trust and incident communication</t>
  </si>
  <si>
    <t>TRT-SAAS-CUSTOMER_COMMUNICATION-OPTIMIZED</t>
  </si>
  <si>
    <t>Stress-test and prove Customer trust and incident communication</t>
  </si>
  <si>
    <t>TRT-IT-DELIVERY_CONTINUITY-INITIAL</t>
  </si>
  <si>
    <t>Establish Client delivery continuity</t>
  </si>
  <si>
    <t>Protect delivery capacity, SLA commitments, escalation paths, customer environment continuity and project recovery governance.</t>
  </si>
  <si>
    <t>TRT-IT-DELIVERY_CONTINUITY-BASIC</t>
  </si>
  <si>
    <t>Standardize Client delivery continuity</t>
  </si>
  <si>
    <t>TRT-IT-DELIVERY_CONTINUITY-DEFINED</t>
  </si>
  <si>
    <t>Integrate and test Client delivery continuity</t>
  </si>
  <si>
    <t>TRT-IT-DELIVERY_CONTINUITY-MANAGED</t>
  </si>
  <si>
    <t>Optimize and automate Client delivery continuity</t>
  </si>
  <si>
    <t>TRT-IT-DELIVERY_CONTINUITY-OPTIMIZED</t>
  </si>
  <si>
    <t>Stress-test and prove Client delivery continuity</t>
  </si>
  <si>
    <t>TRT-IT-CRITICAL_PEOPLE-INITIAL</t>
  </si>
  <si>
    <t>Establish Critical expert dependency reduction</t>
  </si>
  <si>
    <t>Map critical experts, successors, knowledge assets and delivery bottlenecks to reduce single-person dependency.</t>
  </si>
  <si>
    <t>TRT-IT-CRITICAL_PEOPLE-BASIC</t>
  </si>
  <si>
    <t>Standardize Critical expert dependency reduction</t>
  </si>
  <si>
    <t>TRT-IT-CRITICAL_PEOPLE-DEFINED</t>
  </si>
  <si>
    <t>Integrate and test Critical expert dependency reduction</t>
  </si>
  <si>
    <t>TRT-IT-CRITICAL_PEOPLE-MANAGED</t>
  </si>
  <si>
    <t>Optimize and automate Critical expert dependency reduction</t>
  </si>
  <si>
    <t>TRT-IT-CRITICAL_PEOPLE-OPTIMIZED</t>
  </si>
  <si>
    <t>Stress-test and prove Critical expert dependency reduction</t>
  </si>
  <si>
    <t>TRT-IT-REMOTE_WORK-INITIAL</t>
  </si>
  <si>
    <t>Establish Distributed delivery resilience</t>
  </si>
  <si>
    <t>Strengthen remote work, secure access, collaboration, timezone coverage and continuity of distributed teams.</t>
  </si>
  <si>
    <t>TRT-IT-REMOTE_WORK-BASIC</t>
  </si>
  <si>
    <t>Standardize Distributed delivery resilience</t>
  </si>
  <si>
    <t>TRT-IT-REMOTE_WORK-DEFINED</t>
  </si>
  <si>
    <t>Integrate and test Distributed delivery resilience</t>
  </si>
  <si>
    <t>TRT-IT-REMOTE_WORK-MANAGED</t>
  </si>
  <si>
    <t>Optimize and automate Distributed delivery resilience</t>
  </si>
  <si>
    <t>TRT-IT-REMOTE_WORK-OPTIMIZED</t>
  </si>
  <si>
    <t>Stress-test and prove Distributed delivery resilience</t>
  </si>
  <si>
    <t>TRT-IT-CLOUD_DR-INITIAL</t>
  </si>
  <si>
    <t>Establish Customer cloud operations resilience</t>
  </si>
  <si>
    <t>Strengthen cloud operations, support escalation, backup evidence and continuity for managed customer environments.</t>
  </si>
  <si>
    <t>TRT-IT-CLOUD_DR-BASIC</t>
  </si>
  <si>
    <t>Standardize Customer cloud operations resilience</t>
  </si>
  <si>
    <t>TRT-IT-CLOUD_DR-DEFINED</t>
  </si>
  <si>
    <t>Integrate and test Customer cloud operations resilience</t>
  </si>
  <si>
    <t>TRT-IT-CLOUD_DR-MANAGED</t>
  </si>
  <si>
    <t>Optimize and automate Customer cloud operations resilience</t>
  </si>
  <si>
    <t>TRT-IT-CLOUD_DR-OPTIMIZED</t>
  </si>
  <si>
    <t>Stress-test and prove Customer cloud operations resilience</t>
  </si>
  <si>
    <t>TRT-FINANCIAL-CORE_BANKING-INITIAL</t>
  </si>
  <si>
    <t>Establish Core banking continuity</t>
  </si>
  <si>
    <t>Protect core banking, account operations, channel availability, reconciliation and recovery evidence.</t>
  </si>
  <si>
    <t>TRT-FINANCIAL-CORE_BANKING-BASIC</t>
  </si>
  <si>
    <t>Standardize Core banking continuity</t>
  </si>
  <si>
    <t>TRT-FINANCIAL-CORE_BANKING-DEFINED</t>
  </si>
  <si>
    <t>Integrate and test Core banking continuity</t>
  </si>
  <si>
    <t>TRT-FINANCIAL-CORE_BANKING-MANAGED</t>
  </si>
  <si>
    <t>Optimize and automate Core banking continuity</t>
  </si>
  <si>
    <t>TRT-FINANCIAL-CORE_BANKING-OPTIMIZED</t>
  </si>
  <si>
    <t>Stress-test and prove Core banking continuity</t>
  </si>
  <si>
    <t>TRT-FINANCIAL-PAYMENT_CONTINUITY-INITIAL</t>
  </si>
  <si>
    <t>Establish Payment rails continuity</t>
  </si>
  <si>
    <t>Protect payment processing, settlement, reconciliation, alternate channels and regulator/customer notification readiness.</t>
  </si>
  <si>
    <t>TRT-FINANCIAL-PAYMENT_CONTINUITY-BASIC</t>
  </si>
  <si>
    <t>Standardize Payment rails continuity</t>
  </si>
  <si>
    <t>TRT-FINANCIAL-PAYMENT_CONTINUITY-DEFINED</t>
  </si>
  <si>
    <t>Integrate and test Payment rails continuity</t>
  </si>
  <si>
    <t>TRT-FINANCIAL-PAYMENT_CONTINUITY-MANAGED</t>
  </si>
  <si>
    <t>Optimize and automate Payment rails continuity</t>
  </si>
  <si>
    <t>TRT-FINANCIAL-PAYMENT_CONTINUITY-OPTIMIZED</t>
  </si>
  <si>
    <t>Stress-test and prove Payment rails continuity</t>
  </si>
  <si>
    <t>TRT-FINANCIAL-FRAUD_MONITORING-INITIAL</t>
  </si>
  <si>
    <t>Establish Fraud and abuse monitoring resilience</t>
  </si>
  <si>
    <t>Strengthen fraud detection, abuse monitoring, case handling and control evidence under crisis conditions.</t>
  </si>
  <si>
    <t>TRT-FINANCIAL-FRAUD_MONITORING-BASIC</t>
  </si>
  <si>
    <t>Standardize Fraud and abuse monitoring resilience</t>
  </si>
  <si>
    <t>TRT-FINANCIAL-FRAUD_MONITORING-DEFINED</t>
  </si>
  <si>
    <t>Integrate and test Fraud and abuse monitoring resilience</t>
  </si>
  <si>
    <t>TRT-FINANCIAL-FRAUD_MONITORING-MANAGED</t>
  </si>
  <si>
    <t>Optimize and automate Fraud and abuse monitoring resilience</t>
  </si>
  <si>
    <t>TRT-FINANCIAL-FRAUD_MONITORING-OPTIMIZED</t>
  </si>
  <si>
    <t>Stress-test and prove Fraud and abuse monitoring resilience</t>
  </si>
  <si>
    <t>TRT-FINANCIAL-LEGAL_BREACH_RESPONSE-INITIAL</t>
  </si>
  <si>
    <t>Establish Breach notification and regulatory response</t>
  </si>
  <si>
    <t>Prepare breach assessment, legal notification, regulator communication, audit trail and customer communication evidence.</t>
  </si>
  <si>
    <t>TRT-FINANCIAL-LEGAL_BREACH_RESPONSE-BASIC</t>
  </si>
  <si>
    <t>Standardize Breach notification and regulatory response</t>
  </si>
  <si>
    <t>TRT-FINANCIAL-LEGAL_BREACH_RESPONSE-DEFINED</t>
  </si>
  <si>
    <t>Integrate and test Breach notification and regulatory response</t>
  </si>
  <si>
    <t>TRT-FINANCIAL-LEGAL_BREACH_RESPONSE-MANAGED</t>
  </si>
  <si>
    <t>Optimize and automate Breach notification and regulatory response</t>
  </si>
  <si>
    <t>TRT-FINANCIAL-LEGAL_BREACH_RESPONSE-OPTIMIZED</t>
  </si>
  <si>
    <t>Stress-test and prove Breach notification and regulatory response</t>
  </si>
  <si>
    <t>TRT-FINANCIAL-REGULATORY_CONTINUITY-INITIAL</t>
  </si>
  <si>
    <t>Establish Regulatory reporting continuity</t>
  </si>
  <si>
    <t>Protect regulatory reporting, auditability, evidence retention and compliance operations during disruption.</t>
  </si>
  <si>
    <t>TRT-FINANCIAL-REGULATORY_CONTINUITY-BASIC</t>
  </si>
  <si>
    <t>Standardize Regulatory reporting continuity</t>
  </si>
  <si>
    <t>TRT-FINANCIAL-REGULATORY_CONTINUITY-DEFINED</t>
  </si>
  <si>
    <t>Integrate and test Regulatory reporting continuity</t>
  </si>
  <si>
    <t>TRT-FINANCIAL-REGULATORY_CONTINUITY-MANAGED</t>
  </si>
  <si>
    <t>Optimize and automate Regulatory reporting continuity</t>
  </si>
  <si>
    <t>TRT-FINANCIAL-REGULATORY_CONTINUITY-OPTIMIZED</t>
  </si>
  <si>
    <t>Stress-test and prove Regulatory reporting continuity</t>
  </si>
  <si>
    <t>TRT-RETAIL-POS_ECOMMERCE-INITIAL</t>
  </si>
  <si>
    <t>Establish POS and ecommerce continuity</t>
  </si>
  <si>
    <t>Protect POS, ecommerce, payment acceptance, order capture, offline mode and customer-service continuity.</t>
  </si>
  <si>
    <t>TRT-RETAIL-POS_ECOMMERCE-BASIC</t>
  </si>
  <si>
    <t>Standardize POS and ecommerce continuity</t>
  </si>
  <si>
    <t>TRT-RETAIL-POS_ECOMMERCE-DEFINED</t>
  </si>
  <si>
    <t>Integrate and test POS and ecommerce continuity</t>
  </si>
  <si>
    <t>TRT-RETAIL-POS_ECOMMERCE-MANAGED</t>
  </si>
  <si>
    <t>Optimize and automate POS and ecommerce continuity</t>
  </si>
  <si>
    <t>TRT-RETAIL-POS_ECOMMERCE-OPTIMIZED</t>
  </si>
  <si>
    <t>Stress-test and prove POS and ecommerce continuity</t>
  </si>
  <si>
    <t>TRT-RETAIL-WMS_WAREHOUSE-INITIAL</t>
  </si>
  <si>
    <t>Establish Warehouse and fulfillment continuity</t>
  </si>
  <si>
    <t>Strengthen warehouse operations, WMS continuity, fulfillment fallback, stock visibility and logistics handoffs.</t>
  </si>
  <si>
    <t>TRT-RETAIL-WMS_WAREHOUSE-BASIC</t>
  </si>
  <si>
    <t>Standardize Warehouse and fulfillment continuity</t>
  </si>
  <si>
    <t>TRT-RETAIL-WMS_WAREHOUSE-DEFINED</t>
  </si>
  <si>
    <t>Integrate and test Warehouse and fulfillment continuity</t>
  </si>
  <si>
    <t>TRT-RETAIL-WMS_WAREHOUSE-MANAGED</t>
  </si>
  <si>
    <t>Optimize and automate Warehouse and fulfillment continuity</t>
  </si>
  <si>
    <t>TRT-RETAIL-WMS_WAREHOUSE-OPTIMIZED</t>
  </si>
  <si>
    <t>Stress-test and prove Warehouse and fulfillment continuity</t>
  </si>
  <si>
    <t>TRT-RETAIL-CUSTOMER_COMMUNICATION-INITIAL</t>
  </si>
  <si>
    <t>Establish Retail customer communication</t>
  </si>
  <si>
    <t>Prepare customer notifications, order delay communication, refund/return handling and channel-specific service recovery.</t>
  </si>
  <si>
    <t>TRT-RETAIL-CUSTOMER_COMMUNICATION-BASIC</t>
  </si>
  <si>
    <t>Standardize Retail customer communication</t>
  </si>
  <si>
    <t>TRT-RETAIL-CUSTOMER_COMMUNICATION-DEFINED</t>
  </si>
  <si>
    <t>Integrate and test Retail customer communication</t>
  </si>
  <si>
    <t>TRT-RETAIL-CUSTOMER_COMMUNICATION-MANAGED</t>
  </si>
  <si>
    <t>Optimize and automate Retail customer communication</t>
  </si>
  <si>
    <t>TRT-RETAIL-CUSTOMER_COMMUNICATION-OPTIMIZED</t>
  </si>
  <si>
    <t>Stress-test and prove Retail customer communication</t>
  </si>
  <si>
    <t>TRT-MANUFACTURING-MES_SHOPFLOOR-INITIAL</t>
  </si>
  <si>
    <t>Establish MES and shop-floor continuity</t>
  </si>
  <si>
    <t>Protect MES, production control, line visibility, work instructions and shop-floor fallback procedures.</t>
  </si>
  <si>
    <t>TRT-MANUFACTURING-MES_SHOPFLOOR-BASIC</t>
  </si>
  <si>
    <t>Standardize MES and shop-floor continuity</t>
  </si>
  <si>
    <t>TRT-MANUFACTURING-MES_SHOPFLOOR-DEFINED</t>
  </si>
  <si>
    <t>Integrate and test MES and shop-floor continuity</t>
  </si>
  <si>
    <t>TRT-MANUFACTURING-MES_SHOPFLOOR-MANAGED</t>
  </si>
  <si>
    <t>Optimize and automate MES and shop-floor continuity</t>
  </si>
  <si>
    <t>TRT-MANUFACTURING-MES_SHOPFLOOR-OPTIMIZED</t>
  </si>
  <si>
    <t>Stress-test and prove MES and shop-floor continuity</t>
  </si>
  <si>
    <t>TRT-MANUFACTURING-OT_SECURITY-INITIAL</t>
  </si>
  <si>
    <t>Establish OT security and industrial network resilience</t>
  </si>
  <si>
    <t>Strengthen OT segmentation, access control, monitoring, incident isolation and safe manual fallback.</t>
  </si>
  <si>
    <t>TRT-MANUFACTURING-OT_SECURITY-BASIC</t>
  </si>
  <si>
    <t>Standardize OT security and industrial network resilience</t>
  </si>
  <si>
    <t>TRT-MANUFACTURING-OT_SECURITY-DEFINED</t>
  </si>
  <si>
    <t>Integrate and test OT security and industrial network resilience</t>
  </si>
  <si>
    <t>TRT-MANUFACTURING-OT_SECURITY-MANAGED</t>
  </si>
  <si>
    <t>Optimize and automate OT security and industrial network resilience</t>
  </si>
  <si>
    <t>TRT-MANUFACTURING-OT_SECURITY-OPTIMIZED</t>
  </si>
  <si>
    <t>Stress-test and prove OT security and industrial network resilience</t>
  </si>
  <si>
    <t>TRT-MANUFACTURING-PRODUCTION_CAPACITY-INITIAL</t>
  </si>
  <si>
    <t>Establish Production capacity resilience</t>
  </si>
  <si>
    <t>Improve production capacity scenarios, bottleneck visibility, alternate routing and recovery planning.</t>
  </si>
  <si>
    <t>TRT-MANUFACTURING-PRODUCTION_CAPACITY-BASIC</t>
  </si>
  <si>
    <t>Standardize Production capacity resilience</t>
  </si>
  <si>
    <t>TRT-MANUFACTURING-PRODUCTION_CAPACITY-DEFINED</t>
  </si>
  <si>
    <t>Integrate and test Production capacity resilience</t>
  </si>
  <si>
    <t>TRT-MANUFACTURING-PRODUCTION_CAPACITY-MANAGED</t>
  </si>
  <si>
    <t>Optimize and automate Production capacity resilience</t>
  </si>
  <si>
    <t>TRT-MANUFACTURING-PRODUCTION_CAPACITY-OPTIMIZED</t>
  </si>
  <si>
    <t>Stress-test and prove Production capacity resilience</t>
  </si>
  <si>
    <t>TRT-MANUFACTURING-ASSET_MAINTENANCE-INITIAL</t>
  </si>
  <si>
    <t>Establish Maintenance and spare-parts resilience</t>
  </si>
  <si>
    <t>Strengthen preventive maintenance, spare-parts criticality, asset risk visibility and repair prioritization.</t>
  </si>
  <si>
    <t>TRT-MANUFACTURING-ASSET_MAINTENANCE-BASIC</t>
  </si>
  <si>
    <t>Standardize Maintenance and spare-parts resilience</t>
  </si>
  <si>
    <t>TRT-MANUFACTURING-ASSET_MAINTENANCE-DEFINED</t>
  </si>
  <si>
    <t>Integrate and test Maintenance and spare-parts resilience</t>
  </si>
  <si>
    <t>TRT-MANUFACTURING-ASSET_MAINTENANCE-MANAGED</t>
  </si>
  <si>
    <t>Optimize and automate Maintenance and spare-parts resilience</t>
  </si>
  <si>
    <t>TRT-MANUFACTURING-ASSET_MAINTENANCE-OPTIMIZED</t>
  </si>
  <si>
    <t>Stress-test and prove Maintenance and spare-parts resilience</t>
  </si>
  <si>
    <t>TRT-MANUFACTURING-UTILITIES_RESILIENCE-INITIAL</t>
  </si>
  <si>
    <t>Establish Utilities and facility resilience</t>
  </si>
  <si>
    <t>Protect power, utilities, facility continuity, backup capacity and safe shutdown/restart procedures.</t>
  </si>
  <si>
    <t>TRT-MANUFACTURING-UTILITIES_RESILIENCE-BASIC</t>
  </si>
  <si>
    <t>Standardize Utilities and facility resilience</t>
  </si>
  <si>
    <t>TRT-MANUFACTURING-UTILITIES_RESILIENCE-DEFINED</t>
  </si>
  <si>
    <t>Integrate and test Utilities and facility resilience</t>
  </si>
  <si>
    <t>TRT-MANUFACTURING-UTILITIES_RESILIENCE-MANAGED</t>
  </si>
  <si>
    <t>Optimize and automate Utilities and facility resilience</t>
  </si>
  <si>
    <t>TRT-MANUFACTURING-UTILITIES_RESILIENCE-OPTIMIZED</t>
  </si>
  <si>
    <t>Stress-test and prove Utilities and facility resilience</t>
  </si>
  <si>
    <t>Wording_ID</t>
  </si>
  <si>
    <t>Risk_Label</t>
  </si>
  <si>
    <t>Preferred_Terms</t>
  </si>
  <si>
    <t>Forbidden_Terms</t>
  </si>
  <si>
    <t>Example_Systems</t>
  </si>
  <si>
    <t>IW-ALL-CLOUD_DR</t>
  </si>
  <si>
    <t>Cloud / DR weakness</t>
  </si>
  <si>
    <t>Strengthen Cloud / DR</t>
  </si>
  <si>
    <t>Strengthen Cloud / DR using the selected maturity treatment, crisis scenario and evidence requirements.</t>
  </si>
  <si>
    <t>Generic fallback wording. Used when no industry-specific wording exists.</t>
  </si>
  <si>
    <t>IW-ALL-PLATFORM_CONTINUITY</t>
  </si>
  <si>
    <t>Platform continuity weakness</t>
  </si>
  <si>
    <t>Strengthen Platform continuity</t>
  </si>
  <si>
    <t>Strengthen Platform continuity using the selected maturity treatment, crisis scenario and evidence requirements.</t>
  </si>
  <si>
    <t>IW-ALL-SRE_OBSERVABILITY</t>
  </si>
  <si>
    <t>SRE / Observability weakness</t>
  </si>
  <si>
    <t>Strengthen SRE / Observability</t>
  </si>
  <si>
    <t>Strengthen SRE / Observability using the selected maturity treatment, crisis scenario and evidence requirements.</t>
  </si>
  <si>
    <t>IW-ALL-CYBER_GOVERNANCE</t>
  </si>
  <si>
    <t>Security governance weakness</t>
  </si>
  <si>
    <t>Strengthen Security governance</t>
  </si>
  <si>
    <t>Strengthen Security governance using the selected maturity treatment, crisis scenario and evidence requirements.</t>
  </si>
  <si>
    <t>IW-ALL-IAM_PAM</t>
  </si>
  <si>
    <t>Identity / PAM weakness</t>
  </si>
  <si>
    <t>Strengthen Identity / PAM</t>
  </si>
  <si>
    <t>Strengthen Identity / PAM using the selected maturity treatment, crisis scenario and evidence requirements.</t>
  </si>
  <si>
    <t>IW-ALL-BACKUP_RECOVERY</t>
  </si>
  <si>
    <t>Backup / recovery weakness</t>
  </si>
  <si>
    <t>Strengthen Backup / recovery</t>
  </si>
  <si>
    <t>Strengthen Backup / recovery using the selected maturity treatment, crisis scenario and evidence requirements.</t>
  </si>
  <si>
    <t>IW-ALL-INCIDENT_RESPONSE</t>
  </si>
  <si>
    <t>Incident response weakness</t>
  </si>
  <si>
    <t>Strengthen Incident response</t>
  </si>
  <si>
    <t>Strengthen Incident response using the selected maturity treatment, crisis scenario and evidence requirements.</t>
  </si>
  <si>
    <t>IW-ALL-LEGAL_BREACH_RESPONSE</t>
  </si>
  <si>
    <t>Breach / notification weakness</t>
  </si>
  <si>
    <t>Strengthen Breach / notification</t>
  </si>
  <si>
    <t>Strengthen Breach / notification using the selected maturity treatment, crisis scenario and evidence requirements.</t>
  </si>
  <si>
    <t>IW-ALL-DATA_GOVERNANCE</t>
  </si>
  <si>
    <t>Data governance weakness</t>
  </si>
  <si>
    <t>Strengthen Data governance</t>
  </si>
  <si>
    <t>Strengthen Data governance using the selected maturity treatment, crisis scenario and evidence requirements.</t>
  </si>
  <si>
    <t>IW-ALL-BUSINESS_SYSTEMS</t>
  </si>
  <si>
    <t>Generic business systems weakness</t>
  </si>
  <si>
    <t>Strengthen Generic business systems</t>
  </si>
  <si>
    <t>Strengthen Generic business systems using the selected maturity treatment, crisis scenario and evidence requirements.</t>
  </si>
  <si>
    <t>IW-ALL-BILLING_SUBSCRIPTION</t>
  </si>
  <si>
    <t>Billing / subscription weakness</t>
  </si>
  <si>
    <t>Strengthen Billing / subscription</t>
  </si>
  <si>
    <t>Strengthen Billing / subscription using the selected maturity treatment, crisis scenario and evidence requirements.</t>
  </si>
  <si>
    <t>IW-ALL-CRM_CUSTOMER_SERVICE</t>
  </si>
  <si>
    <t>CRM / service weakness</t>
  </si>
  <si>
    <t>Strengthen CRM / service</t>
  </si>
  <si>
    <t>Strengthen CRM / service using the selected maturity treatment, crisis scenario and evidence requirements.</t>
  </si>
  <si>
    <t>IW-ALL-CUSTOMER_COMMUNICATION</t>
  </si>
  <si>
    <t>Customer communication weakness</t>
  </si>
  <si>
    <t>Strengthen Customer communication</t>
  </si>
  <si>
    <t>Strengthen Customer communication using the selected maturity treatment, crisis scenario and evidence requirements.</t>
  </si>
  <si>
    <t>IW-ALL-CORE_BANKING</t>
  </si>
  <si>
    <t>Core banking weakness</t>
  </si>
  <si>
    <t>Strengthen Core banking</t>
  </si>
  <si>
    <t>Strengthen Core banking using the selected maturity treatment, crisis scenario and evidence requirements.</t>
  </si>
  <si>
    <t>IW-ALL-PAYMENT_CONTINUITY</t>
  </si>
  <si>
    <t>Payment continuity weakness</t>
  </si>
  <si>
    <t>Strengthen Payment continuity</t>
  </si>
  <si>
    <t>Strengthen Payment continuity using the selected maturity treatment, crisis scenario and evidence requirements.</t>
  </si>
  <si>
    <t>IW-ALL-FRAUD_MONITORING</t>
  </si>
  <si>
    <t>Fraud monitoring weakness</t>
  </si>
  <si>
    <t>Strengthen Fraud monitoring</t>
  </si>
  <si>
    <t>Strengthen Fraud monitoring using the selected maturity treatment, crisis scenario and evidence requirements.</t>
  </si>
  <si>
    <t>IW-ALL-REGULATORY_CONTINUITY</t>
  </si>
  <si>
    <t>Regulatory continuity weakness</t>
  </si>
  <si>
    <t>Strengthen Regulatory continuity</t>
  </si>
  <si>
    <t>Strengthen Regulatory continuity using the selected maturity treatment, crisis scenario and evidence requirements.</t>
  </si>
  <si>
    <t>IW-ALL-POS_ECOMMERCE</t>
  </si>
  <si>
    <t>POS / ecommerce weakness</t>
  </si>
  <si>
    <t>Strengthen POS / ecommerce</t>
  </si>
  <si>
    <t>Strengthen POS / ecommerce using the selected maturity treatment, crisis scenario and evidence requirements.</t>
  </si>
  <si>
    <t>IW-ALL-WMS_WAREHOUSE</t>
  </si>
  <si>
    <t>Warehouse / WMS weakness</t>
  </si>
  <si>
    <t>Strengthen Warehouse / WMS</t>
  </si>
  <si>
    <t>Strengthen Warehouse / WMS using the selected maturity treatment, crisis scenario and evidence requirements.</t>
  </si>
  <si>
    <t>IW-ALL-MES_SHOPFLOOR</t>
  </si>
  <si>
    <t>MES / shop-floor weakness</t>
  </si>
  <si>
    <t>Strengthen MES / shop-floor</t>
  </si>
  <si>
    <t>Strengthen MES / shop-floor using the selected maturity treatment, crisis scenario and evidence requirements.</t>
  </si>
  <si>
    <t>IW-ALL-OT_SECURITY</t>
  </si>
  <si>
    <t>OT security weakness</t>
  </si>
  <si>
    <t>Strengthen OT security</t>
  </si>
  <si>
    <t>Strengthen OT security using the selected maturity treatment, crisis scenario and evidence requirements.</t>
  </si>
  <si>
    <t>IW-ALL-SUPPLIER_RESILIENCE</t>
  </si>
  <si>
    <t>Supplier resilience weakness</t>
  </si>
  <si>
    <t>Strengthen Supplier resilience</t>
  </si>
  <si>
    <t>Strengthen Supplier resilience using the selected maturity treatment, crisis scenario and evidence requirements.</t>
  </si>
  <si>
    <t>IW-ALL-INVENTORY_PLANNING</t>
  </si>
  <si>
    <t>Inventory planning weakness</t>
  </si>
  <si>
    <t>Strengthen Inventory planning</t>
  </si>
  <si>
    <t>Strengthen Inventory planning using the selected maturity treatment, crisis scenario and evidence requirements.</t>
  </si>
  <si>
    <t>IW-ALL-DELIVERY_CONTINUITY</t>
  </si>
  <si>
    <t>Delivery continuity weakness</t>
  </si>
  <si>
    <t>Strengthen Delivery continuity</t>
  </si>
  <si>
    <t>Strengthen Delivery continuity using the selected maturity treatment, crisis scenario and evidence requirements.</t>
  </si>
  <si>
    <t>IW-ALL-PRODUCTION_CAPACITY</t>
  </si>
  <si>
    <t>Production capacity weakness</t>
  </si>
  <si>
    <t>Strengthen Production capacity</t>
  </si>
  <si>
    <t>Strengthen Production capacity using the selected maturity treatment, crisis scenario and evidence requirements.</t>
  </si>
  <si>
    <t>IW-ALL-ASSET_MAINTENANCE</t>
  </si>
  <si>
    <t>Asset maintenance weakness</t>
  </si>
  <si>
    <t>Strengthen Asset maintenance</t>
  </si>
  <si>
    <t>Strengthen Asset maintenance using the selected maturity treatment, crisis scenario and evidence requirements.</t>
  </si>
  <si>
    <t>IW-ALL-PHYSICAL_SITE_SAFETY</t>
  </si>
  <si>
    <t>Physical site safety weakness</t>
  </si>
  <si>
    <t>Strengthen Physical site safety</t>
  </si>
  <si>
    <t>Strengthen Physical site safety using the selected maturity treatment, crisis scenario and evidence requirements.</t>
  </si>
  <si>
    <t>IW-ALL-UTILITIES_RESILIENCE</t>
  </si>
  <si>
    <t>Utilities resilience weakness</t>
  </si>
  <si>
    <t>Strengthen Utilities resilience</t>
  </si>
  <si>
    <t>Strengthen Utilities resilience using the selected maturity treatment, crisis scenario and evidence requirements.</t>
  </si>
  <si>
    <t>IW-ALL-WORKFORCE_CONTINUITY</t>
  </si>
  <si>
    <t>Workforce continuity weakness</t>
  </si>
  <si>
    <t>Strengthen Workforce continuity</t>
  </si>
  <si>
    <t>Strengthen Workforce continuity using the selected maturity treatment, crisis scenario and evidence requirements.</t>
  </si>
  <si>
    <t>IW-ALL-CRITICAL_PEOPLE</t>
  </si>
  <si>
    <t>Critical people weakness</t>
  </si>
  <si>
    <t>Strengthen Critical people</t>
  </si>
  <si>
    <t>Strengthen Critical people using the selected maturity treatment, crisis scenario and evidence requirements.</t>
  </si>
  <si>
    <t>IW-ALL-REMOTE_WORK</t>
  </si>
  <si>
    <t>Remote work weakness</t>
  </si>
  <si>
    <t>Strengthen Remote work</t>
  </si>
  <si>
    <t>Strengthen Remote work using the selected maturity treatment, crisis scenario and evidence requirements.</t>
  </si>
  <si>
    <t>IW-ALL-VENDOR_CONCENTRATION</t>
  </si>
  <si>
    <t>Vendor concentration weakness</t>
  </si>
  <si>
    <t>Strengthen Vendor concentration</t>
  </si>
  <si>
    <t>Strengthen Vendor concentration using the selected maturity treatment, crisis scenario and evidence requirements.</t>
  </si>
  <si>
    <t>IW-ALL-AI_GOVERNANCE</t>
  </si>
  <si>
    <t>AI governance weakness</t>
  </si>
  <si>
    <t>Strengthen AI governance</t>
  </si>
  <si>
    <t>Strengthen AI governance using the selected maturity treatment, crisis scenario and evidence requirements.</t>
  </si>
  <si>
    <t>IW-ALL-FINANCE_CONTINUITY</t>
  </si>
  <si>
    <t>Finance continuity weakness</t>
  </si>
  <si>
    <t>Strengthen Finance continuity</t>
  </si>
  <si>
    <t>Strengthen Finance continuity using the selected maturity treatment, crisis scenario and evidence requirements.</t>
  </si>
  <si>
    <t>IW-ALL-PROCUREMENT_CONTROLS</t>
  </si>
  <si>
    <t>Procurement controls weakness</t>
  </si>
  <si>
    <t>Strengthen Procurement controls</t>
  </si>
  <si>
    <t>Strengthen Procurement controls using the selected maturity treatment, crisis scenario and evidence requirements.</t>
  </si>
  <si>
    <t>IW-ALL-PRODUCT_SECURITY</t>
  </si>
  <si>
    <t>Product security weakness</t>
  </si>
  <si>
    <t>Strengthen Product security</t>
  </si>
  <si>
    <t>Strengthen Product security using the selected maturity treatment, crisis scenario and evidence requirements.</t>
  </si>
  <si>
    <t>IW-ALL-GENERIC</t>
  </si>
  <si>
    <t>Generic fallback weakness</t>
  </si>
  <si>
    <t>Strengthen Generic fallback</t>
  </si>
  <si>
    <t>Strengthen Generic fallback using the selected maturity treatment, crisis scenario and evidence requirements.</t>
  </si>
  <si>
    <t>IW-SAAS-DIGITAL-CLOUD_DR</t>
  </si>
  <si>
    <t>Cloud platform resilience gap</t>
  </si>
  <si>
    <t>Validate SaaS cloud resilience</t>
  </si>
  <si>
    <t>Validate multi-region failover, backup restoration, RTO/RPO evidence, cloud provider dependency and outage communication readiness.</t>
  </si>
  <si>
    <t>cloud regions; RTO/RPO; failover; backup restore; status page</t>
  </si>
  <si>
    <t>MES; WMS; TMS; shop-floor; production line</t>
  </si>
  <si>
    <t>AWS/Azure/GCP, CDN, DNS, Kubernetes, managed database, backup vault</t>
  </si>
  <si>
    <t>Industry-specific wording override.</t>
  </si>
  <si>
    <t>IW-SAAS-DIGITAL-PLATFORM_CONTINUITY</t>
  </si>
  <si>
    <t>Core platform and integration continuity weakness</t>
  </si>
  <si>
    <t>Protect SaaS platform and integration continuity</t>
  </si>
  <si>
    <t>Protect core product availability, APIs, billing, entitlements, identity integrations, customer-facing workflows and incident continuity.</t>
  </si>
  <si>
    <t>platform; API; integration; billing; customer workflow; SLA</t>
  </si>
  <si>
    <t>product backend, API gateway, billing, identity provider, customer portal</t>
  </si>
  <si>
    <t>IW-SAAS-DIGITAL-SRE_OBSERVABILITY</t>
  </si>
  <si>
    <t>SRE observability and reliability evidence gap</t>
  </si>
  <si>
    <t>Improve SRE observability and chaos readiness</t>
  </si>
  <si>
    <t>Improve SLO/error-budget tracking, observability, alert quality, incident drills, chaos testing and customer communication readiness.</t>
  </si>
  <si>
    <t>SLO; error budget; observability; incident drill; chaos test</t>
  </si>
  <si>
    <t>Datadog, Grafana, Prometheus, OpenTelemetry, status page, pager tool</t>
  </si>
  <si>
    <t>IW-SAAS-DIGITAL-BILLING_SUBSCRIPTION</t>
  </si>
  <si>
    <t>Subscription revenue continuity gap</t>
  </si>
  <si>
    <t>Protect billing and subscription continuity</t>
  </si>
  <si>
    <t>subscription; billing; entitlements; payment provider; revenue leakage</t>
  </si>
  <si>
    <t>Stripe/Adyen, billing engine, entitlement service, CRM, revenue reporting</t>
  </si>
  <si>
    <t>IW-SAAS-DIGITAL-CUSTOMER_COMMUNICATION</t>
  </si>
  <si>
    <t>Customer trust and incident communication gap</t>
  </si>
  <si>
    <t>Prepare customer incident communication</t>
  </si>
  <si>
    <t>Prepare customer impact assessment, status-page updates, SLA communication, support scripts and post-incident trust recovery playbooks.</t>
  </si>
  <si>
    <t>status page; SLA; customer trust; support script; post-incident review</t>
  </si>
  <si>
    <t>status page, support desk, CRM, customer success platform</t>
  </si>
  <si>
    <t>IW-SAAS-DIGITAL-PRODUCT_SECURITY</t>
  </si>
  <si>
    <t>Product security and customer data exposure</t>
  </si>
  <si>
    <t>Strengthen SaaS product security</t>
  </si>
  <si>
    <t>Strengthen secure SDLC, vulnerability management, tenant isolation, customer data protection and product-security incident response.</t>
  </si>
  <si>
    <t>secure SDLC; tenant isolation; vulnerability management; product security</t>
  </si>
  <si>
    <t>CI/CD, SAST/DAST, secrets manager, WAF, audit logs</t>
  </si>
  <si>
    <t>IW-SAAS-DIGITAL-VENDOR_CONCENTRATION</t>
  </si>
  <si>
    <t>Critical vendor and platform dependency risk</t>
  </si>
  <si>
    <t>Reduce critical SaaS vendor dependency</t>
  </si>
  <si>
    <t>Map critical cloud, identity, payment, LLM, API and infrastructure vendors; define fallback, contractual SLA and escalation controls.</t>
  </si>
  <si>
    <t>cloud vendor; API dependency; identity provider; payment provider; SLA</t>
  </si>
  <si>
    <t>warehouse; logistics; WMS; TMS; shop-floor</t>
  </si>
  <si>
    <t>cloud provider, identity provider, payment provider, LLM API, monitoring vendor</t>
  </si>
  <si>
    <t>IW-IT-SERVICES--DELIVERY_CONTINUITY</t>
  </si>
  <si>
    <t>Client delivery continuity weakness</t>
  </si>
  <si>
    <t>Protect client delivery continuity</t>
  </si>
  <si>
    <t>delivery capacity; SLA; escalation; customer environment; project recovery</t>
  </si>
  <si>
    <t>MES; WMS; TMS; shop-floor; POS; core banking</t>
  </si>
  <si>
    <t>PSA, ticketing, project management, source code repositories, customer cloud accounts</t>
  </si>
  <si>
    <t>IW-IT-SERVICES--CRITICAL_PEOPLE</t>
  </si>
  <si>
    <t>Critical expert dependency risk</t>
  </si>
  <si>
    <t>Reduce critical expert dependency</t>
  </si>
  <si>
    <t>Map critical experts, successors, knowledge assets, delivery bottlenecks and customer-specific knowledge to reduce single-person dependency.</t>
  </si>
  <si>
    <t>critical expert; successor; knowledge base; delivery bottleneck</t>
  </si>
  <si>
    <t>MES; WMS; TMS; shop-floor; POS</t>
  </si>
  <si>
    <t>knowledge base, staffing plan, project wiki, skill matrix</t>
  </si>
  <si>
    <t>IW-IT-SERVICES--REMOTE_WORK</t>
  </si>
  <si>
    <t>Distributed delivery resilience gap</t>
  </si>
  <si>
    <t>Strengthen distributed delivery resilience</t>
  </si>
  <si>
    <t>Strengthen secure remote access, collaboration, timezone coverage, endpoint readiness and continuity of distributed delivery teams.</t>
  </si>
  <si>
    <t>remote delivery; secure access; collaboration; timezone coverage</t>
  </si>
  <si>
    <t>VPN/ZTNA, collaboration tools, VDI, MDM, endpoint backup</t>
  </si>
  <si>
    <t>IW-IT-SERVICES--CLOUD_DR</t>
  </si>
  <si>
    <t>Customer cloud operations resilience gap</t>
  </si>
  <si>
    <t>Strengthen customer cloud operations resilience</t>
  </si>
  <si>
    <t>Strengthen cloud operations, backup evidence, escalation and continuity for managed customer environments and internal delivery platforms.</t>
  </si>
  <si>
    <t>customer cloud; managed environment; escalation; backup evidence</t>
  </si>
  <si>
    <t>cloud management portal, backup tooling, monitoring, ITSM</t>
  </si>
  <si>
    <t>IW-IT-SERVICES--CYBER_GOVERNANCE</t>
  </si>
  <si>
    <t>Delivery security governance gap</t>
  </si>
  <si>
    <t>Strengthen delivery security governance</t>
  </si>
  <si>
    <t>Strengthen security governance for client environments, engineering teams, privileged access, change control and evidence collection.</t>
  </si>
  <si>
    <t>client environment security; privileged access; delivery controls</t>
  </si>
  <si>
    <t>PAM, code repositories, CI/CD, customer access logs, ITSM</t>
  </si>
  <si>
    <t>IW-FINANCIAL-SE-CORE_BANKING</t>
  </si>
  <si>
    <t>Core banking continuity risk</t>
  </si>
  <si>
    <t>Protect core banking continuity</t>
  </si>
  <si>
    <t>Protect core banking, account operations, digital channels, reconciliation, audit trail and recovery evidence.</t>
  </si>
  <si>
    <t>core banking; account operations; reconciliation; audit trail</t>
  </si>
  <si>
    <t>MES; WMS; TMS; shop-floor; warehouse; production line</t>
  </si>
  <si>
    <t>core banking platform, mobile banking, internet banking, ledger, reconciliation tools</t>
  </si>
  <si>
    <t>IW-FINANCIAL-SE-PAYMENT_CONTINUITY</t>
  </si>
  <si>
    <t>Payment rails continuity risk</t>
  </si>
  <si>
    <t>Protect payment rails continuity</t>
  </si>
  <si>
    <t>payment rails; settlement; reconciliation; alternate channel</t>
  </si>
  <si>
    <t>card processing, SWIFT/SEPA, ACH, payment gateway, settlement systems</t>
  </si>
  <si>
    <t>IW-FINANCIAL-SE-FRAUD_MONITORING</t>
  </si>
  <si>
    <t>Fraud monitoring and abuse response gap</t>
  </si>
  <si>
    <t>Strengthen fraud and abuse monitoring resilience</t>
  </si>
  <si>
    <t>Strengthen fraud detection, abuse monitoring, case handling, evidence retention and response workflows under crisis conditions.</t>
  </si>
  <si>
    <t>fraud monitoring; abuse detection; case management; evidence retention</t>
  </si>
  <si>
    <t>MES; WMS; TMS; shop-floor; warehouse</t>
  </si>
  <si>
    <t>fraud engine, SIEM, case management, transaction monitoring</t>
  </si>
  <si>
    <t>IW-FINANCIAL-SE-LEGAL_BREACH_RESPONSE</t>
  </si>
  <si>
    <t>Breach notification and regulatory response gap</t>
  </si>
  <si>
    <t>Prepare breach and regulatory response</t>
  </si>
  <si>
    <t>breach notification; regulator communication; audit trail; evidence</t>
  </si>
  <si>
    <t>DPO workflow, incident register, regulator notification tracker, legal evidence pack</t>
  </si>
  <si>
    <t>IW-FINANCIAL-SE-REGULATORY_CONTINUITY</t>
  </si>
  <si>
    <t>Regulatory reporting continuity gap</t>
  </si>
  <si>
    <t>Protect regulatory reporting continuity</t>
  </si>
  <si>
    <t>Protect regulatory reporting, auditability, evidence retention, model/data controls and compliance operations during disruption.</t>
  </si>
  <si>
    <t>regulatory reporting; auditability; evidence retention; compliance operations</t>
  </si>
  <si>
    <t>regulatory reporting system, compliance workflow, audit repository, risk system</t>
  </si>
  <si>
    <t>IW-FINANCIAL-SE-IAM_PAM</t>
  </si>
  <si>
    <t>Privileged access and identity control gap</t>
  </si>
  <si>
    <t>Strengthen IAM/PAM for regulated operations</t>
  </si>
  <si>
    <t>Strengthen MFA, PAM, joiner-mover-leaver controls, privileged session logging and access review evidence.</t>
  </si>
  <si>
    <t>IAM; PAM; MFA; access review; session logging</t>
  </si>
  <si>
    <t>IdP, PAM vault, access review tool, SIEM</t>
  </si>
  <si>
    <t>IW-FINANCIAL-SE-DATA_GOVERNANCE</t>
  </si>
  <si>
    <t>Financial data governance and auditability gap</t>
  </si>
  <si>
    <t>Strengthen financial data governance</t>
  </si>
  <si>
    <t>Strengthen data ownership, quality, lineage, privacy, retention and auditability for critical financial data.</t>
  </si>
  <si>
    <t>data lineage; auditability; retention; privacy; data owner</t>
  </si>
  <si>
    <t>data warehouse, MDM, regulatory reporting, data catalog</t>
  </si>
  <si>
    <t>IW-RETAIL-ECOMM-POS_ECOMMERCE</t>
  </si>
  <si>
    <t>POS and ecommerce continuity risk</t>
  </si>
  <si>
    <t>Protect POS and ecommerce continuity</t>
  </si>
  <si>
    <t>POS; ecommerce; payment acceptance; offline mode; order capture</t>
  </si>
  <si>
    <t>MES; shop-floor; production line; OT/SCADA</t>
  </si>
  <si>
    <t>POS, ecommerce platform, payment terminal, order management, customer-service desk</t>
  </si>
  <si>
    <t>IW-RETAIL-ECOMM-WMS_WAREHOUSE</t>
  </si>
  <si>
    <t>Warehouse and fulfillment continuity gap</t>
  </si>
  <si>
    <t>Strengthen warehouse and fulfillment continuity</t>
  </si>
  <si>
    <t>warehouse; WMS; fulfillment; stock visibility; logistics handoff</t>
  </si>
  <si>
    <t>WMS, OMS, inventory system, 3PL portal, parcel carrier integration</t>
  </si>
  <si>
    <t>IW-RETAIL-ECOMM-CRM_CUSTOMER_SERVICE</t>
  </si>
  <si>
    <t>Customer service continuity gap</t>
  </si>
  <si>
    <t>Strengthen retail customer service continuity</t>
  </si>
  <si>
    <t>Strengthen CRM, customer-service workflows, returns/refunds handling and cross-channel customer communication during disruption.</t>
  </si>
  <si>
    <t>customer service; returns; refunds; omnichannel; CRM</t>
  </si>
  <si>
    <t>CRM, contact center, ecommerce helpdesk, returns platform</t>
  </si>
  <si>
    <t>IW-RETAIL-ECOMM-CUSTOMER_COMMUNICATION</t>
  </si>
  <si>
    <t>Retail customer communication gap</t>
  </si>
  <si>
    <t>Prepare retail customer communication</t>
  </si>
  <si>
    <t>customer notification; delay communication; returns; service recovery</t>
  </si>
  <si>
    <t>CRM, SMS/email platform, ecommerce banners, customer service scripts</t>
  </si>
  <si>
    <t>IW-RETAIL-ECOMM-UTILITIES_RESILIENCE</t>
  </si>
  <si>
    <t>Store/DC utilities resilience gap</t>
  </si>
  <si>
    <t>Protect store and distribution-center utilities</t>
  </si>
  <si>
    <t>Prepare UPS/generator coverage, store/DC power fallback, refrigeration/critical equipment continuity and safe reopening procedures.</t>
  </si>
  <si>
    <t>store power; DC power; UPS; generator; reopening procedure</t>
  </si>
  <si>
    <t>MES; shop-floor; production line</t>
  </si>
  <si>
    <t>stores, distribution center, POS power, cold chain equipment</t>
  </si>
  <si>
    <t>IW-RETAIL-ECOMM-VENDOR_CONCENTRATION</t>
  </si>
  <si>
    <t>Retail vendor and platform dependency risk</t>
  </si>
  <si>
    <t>Reduce retail vendor dependency</t>
  </si>
  <si>
    <t>Map critical payment, ecommerce, logistics, WMS, 3PL and marketplace dependencies and define fallback controls.</t>
  </si>
  <si>
    <t>payment provider; ecommerce platform; 3PL; logistics; marketplace</t>
  </si>
  <si>
    <t>payment provider, ecommerce platform, WMS, 3PL, marketplace API</t>
  </si>
  <si>
    <t>IW-MANUFACTURIN-MES_SHOPFLOOR</t>
  </si>
  <si>
    <t>MES and shop-floor continuity risk</t>
  </si>
  <si>
    <t>Protect MES and shop-floor continuity</t>
  </si>
  <si>
    <t>MES; shop-floor; production control; work instruction; line visibility</t>
  </si>
  <si>
    <t>core banking; payment rails; subscription billing; SaaS platform</t>
  </si>
  <si>
    <t>MES, MRP, line terminals, work instructions, production dashboards</t>
  </si>
  <si>
    <t>IW-MANUFACTURIN-OT_SECURITY</t>
  </si>
  <si>
    <t>OT security and industrial network resilience gap</t>
  </si>
  <si>
    <t>Strengthen OT security and industrial resilience</t>
  </si>
  <si>
    <t>Strengthen OT segmentation, access control, monitoring, incident isolation and safe manual fallback procedures.</t>
  </si>
  <si>
    <t>OT security; segmentation; industrial network; safe fallback</t>
  </si>
  <si>
    <t>core banking; payment rails; subscription billing</t>
  </si>
  <si>
    <t>SCADA, PLC network, industrial firewall, historian, OT monitoring</t>
  </si>
  <si>
    <t>IW-MANUFACTURIN-PRODUCTION_CAPACITY</t>
  </si>
  <si>
    <t>Production capacity resilience gap</t>
  </si>
  <si>
    <t>Improve production capacity resilience</t>
  </si>
  <si>
    <t>Improve production capacity scenarios, bottleneck visibility, alternate routing, recovery planning and capacity-buffer decisions.</t>
  </si>
  <si>
    <t>production capacity; bottleneck; alternate routing; capacity buffer</t>
  </si>
  <si>
    <t>production lines, capacity planning, MRP, scheduling tool</t>
  </si>
  <si>
    <t>IW-MANUFACTURIN-ASSET_MAINTENANCE</t>
  </si>
  <si>
    <t>Maintenance and spare-parts resilience gap</t>
  </si>
  <si>
    <t>Strengthen maintenance and spare-parts resilience</t>
  </si>
  <si>
    <t>asset maintenance; spare parts; preventive maintenance; repair priority</t>
  </si>
  <si>
    <t>CMMS, spare-parts register, asset register, maintenance plans</t>
  </si>
  <si>
    <t>IW-MANUFACTURIN-UTILITIES_RESILIENCE</t>
  </si>
  <si>
    <t>Utilities and facility resilience gap</t>
  </si>
  <si>
    <t>Protect utilities and facility resilience</t>
  </si>
  <si>
    <t>utilities; backup power; safe shutdown; facility resilience</t>
  </si>
  <si>
    <t>UPS, generator, compressed air, water, facility controls</t>
  </si>
  <si>
    <t>IW-MANUFACTURIN-SUPPLIER_RESILIENCE</t>
  </si>
  <si>
    <t>Supplier disruption and materials continuity risk</t>
  </si>
  <si>
    <t>Build supplier and materials resilience</t>
  </si>
  <si>
    <t>Build critical materials visibility, alternate suppliers, safety stock, supplier risk monitoring and recovery playbooks.</t>
  </si>
  <si>
    <t>critical materials; alternate supplier; safety stock; supplier risk</t>
  </si>
  <si>
    <t>supplier register, MRP, procurement system, quality certifications</t>
  </si>
  <si>
    <t>IW-MANUFACTURIN-INVENTORY_PLANNING</t>
  </si>
  <si>
    <t>Inventory and production planning gap</t>
  </si>
  <si>
    <t>Strengthen inventory and production planning</t>
  </si>
  <si>
    <t>Strengthen demand/supply planning, inventory visibility, production scheduling and shortage early-warning controls.</t>
  </si>
  <si>
    <t>inventory; planning; production schedule; shortage warning</t>
  </si>
  <si>
    <t>MRP, ERP, inventory system, planning dashboard</t>
  </si>
  <si>
    <t>Profile_Factor</t>
  </si>
  <si>
    <t>Condition</t>
  </si>
  <si>
    <t>Formula_Effect</t>
  </si>
  <si>
    <t>CTX-001</t>
  </si>
  <si>
    <t>Physical footprint</t>
  </si>
  <si>
    <t>PV_Physical_Footprint_Intensity&lt;0.3</t>
  </si>
  <si>
    <t>reduce</t>
  </si>
  <si>
    <t>Low physical footprint reduces site/safety relevance.</t>
  </si>
  <si>
    <t>Used in _ENGINE_Relevance!K.</t>
  </si>
  <si>
    <t>CTX-002</t>
  </si>
  <si>
    <t>Low physical footprint reduces utilities relevance.</t>
  </si>
  <si>
    <t>CTX-003</t>
  </si>
  <si>
    <t>Low physical footprint reduces warehouse/WMS relevance.</t>
  </si>
  <si>
    <t>CTX-004</t>
  </si>
  <si>
    <t>Low physical footprint reduces MES/shop-floor relevance.</t>
  </si>
  <si>
    <t>CTX-005</t>
  </si>
  <si>
    <t>PV_Physical_Footprint_Intensity&gt;0.7</t>
  </si>
  <si>
    <t>boost</t>
  </si>
  <si>
    <t>Asset/site-heavy footprint increases site safety relevance.</t>
  </si>
  <si>
    <t>CTX-006</t>
  </si>
  <si>
    <t>Asset/site-heavy footprint increases utilities resilience relevance.</t>
  </si>
  <si>
    <t>CTX-007</t>
  </si>
  <si>
    <t>Asset/site-heavy footprint increases production capacity relevance.</t>
  </si>
  <si>
    <t>CTX-008</t>
  </si>
  <si>
    <t>Cloud dependency</t>
  </si>
  <si>
    <t>High cloud dependency increases cloud/DR relevance.</t>
  </si>
  <si>
    <t>CTX-009</t>
  </si>
  <si>
    <t>High cloud dependency increases backup/restore evidence relevance.</t>
  </si>
  <si>
    <t>CTX-010</t>
  </si>
  <si>
    <t>High cloud dependency increases observability/SRE relevance.</t>
  </si>
  <si>
    <t>CTX-011</t>
  </si>
  <si>
    <t>High cloud dependency increases platform/API continuity relevance.</t>
  </si>
  <si>
    <t>CTX-012</t>
  </si>
  <si>
    <t>Regulatory intensity</t>
  </si>
  <si>
    <t>PV_Regulatory_Intensity&gt;0.7</t>
  </si>
  <si>
    <t>High regulation increases compliance continuity relevance.</t>
  </si>
  <si>
    <t>CTX-013</t>
  </si>
  <si>
    <t>High regulation increases breach/notification relevance.</t>
  </si>
  <si>
    <t>CTX-014</t>
  </si>
  <si>
    <t>High regulation increases data governance relevance.</t>
  </si>
  <si>
    <t>CTX-015</t>
  </si>
  <si>
    <t>PV_Supplier_Dependency&gt;0.7</t>
  </si>
  <si>
    <t>High supplier dependency increases supplier resilience relevance.</t>
  </si>
  <si>
    <t>CTX-016</t>
  </si>
  <si>
    <t>High vendor dependency increases vendor concentration relevance.</t>
  </si>
  <si>
    <t>CTX-017</t>
  </si>
  <si>
    <t>High supplier dependency increases procurement controls relevance.</t>
  </si>
  <si>
    <t>CTX-018</t>
  </si>
  <si>
    <t>PV_Customer_Concentration&gt;0.7</t>
  </si>
  <si>
    <t>High customer concentration increases customer communication relevance.</t>
  </si>
  <si>
    <t>CTX-019</t>
  </si>
  <si>
    <t>PV_Critical_People_Dependency&gt;0.7</t>
  </si>
  <si>
    <t>Critical people dependency increases succession/coverage relevance.</t>
  </si>
  <si>
    <t>CTX-020</t>
  </si>
  <si>
    <t>Remote readiness</t>
  </si>
  <si>
    <t>PV_Remote_Work_Readiness&lt;0.4</t>
  </si>
  <si>
    <t>Low remote readiness increases remote continuity relevance.</t>
  </si>
  <si>
    <t>CTX-021</t>
  </si>
  <si>
    <t>Data criticality</t>
  </si>
  <si>
    <t>High data criticality increases data governance relevance.</t>
  </si>
  <si>
    <t>CTX-022</t>
  </si>
  <si>
    <t>High data/AI criticality increases AI governance relevance.</t>
  </si>
  <si>
    <t>CTX-023</t>
  </si>
  <si>
    <t>PV_Financial_Buffer&lt;0.4</t>
  </si>
  <si>
    <t>Low financial buffer increases cash/finance continuity relevance.</t>
  </si>
  <si>
    <t>CTX-024</t>
  </si>
  <si>
    <t>Change capacity</t>
  </si>
  <si>
    <t>PV_Change_Capacity&lt;0.4</t>
  </si>
  <si>
    <t>Low change capacity slightly reduces complex procurement transformation priority.</t>
  </si>
  <si>
    <t>Documented but not yet used.</t>
  </si>
  <si>
    <t>Risk_Ontology_ID</t>
  </si>
  <si>
    <t>Source_Row</t>
  </si>
  <si>
    <t>Question_ID</t>
  </si>
  <si>
    <t>Risk_Category</t>
  </si>
  <si>
    <t>Risk_Statement</t>
  </si>
  <si>
    <t>Bridge_Rule</t>
  </si>
  <si>
    <t>Industry_Wording_ID</t>
  </si>
  <si>
    <t>Ontology_Status</t>
  </si>
  <si>
    <t>Legacy_Label_Dependency_Flag</t>
  </si>
  <si>
    <t>Source_Key</t>
  </si>
  <si>
    <t>Initiative_Ontology_ID</t>
  </si>
  <si>
    <t>Strategy_ID</t>
  </si>
  <si>
    <t>Initiative_Theme</t>
  </si>
  <si>
    <t>Output_ID</t>
  </si>
  <si>
    <t>Output_Sheet</t>
  </si>
  <si>
    <t>Output_Block</t>
  </si>
  <si>
    <t>Canonical_Source</t>
  </si>
  <si>
    <t>Source_Range_or_Object</t>
  </si>
  <si>
    <t>Reconciliation_Principle</t>
  </si>
  <si>
    <t>Profile_Vector_Used</t>
  </si>
  <si>
    <t>Relevance_Used</t>
  </si>
  <si>
    <t>Capability_Used</t>
  </si>
  <si>
    <t>Treatment_Used</t>
  </si>
  <si>
    <t>Wording_Used</t>
  </si>
  <si>
    <t>OUT-001</t>
  </si>
  <si>
    <t>Canonical profile preview</t>
  </si>
  <si>
    <t>PV_* named ranges</t>
  </si>
  <si>
    <t>Canonical profile is the only model-facing profile source</t>
  </si>
  <si>
    <t>Active</t>
  </si>
  <si>
    <t>Shows canonical industry/context; B39/B48 compatibility only</t>
  </si>
  <si>
    <t>OUT-002</t>
  </si>
  <si>
    <t>Maturity scores and dashboard facts</t>
  </si>
  <si>
    <t>_DATA_Assessment_Model / _DATA_Dashboard_Facts</t>
  </si>
  <si>
    <t>Assessment Questions → _DATA_Assessment_Model → Dashboard Facts</t>
  </si>
  <si>
    <t>Scores are still assessment-driven; industry now normalized upstream</t>
  </si>
  <si>
    <t>No relevance filtering needed for raw maturity display</t>
  </si>
  <si>
    <t>OUT-003</t>
  </si>
  <si>
    <t>Selected crisis and scenario logic</t>
  </si>
  <si>
    <t>Resilience &amp; Risk Scenario / _ENGINE_Risk</t>
  </si>
  <si>
    <t>Selected crisis = B6; no B60 scenario refs</t>
  </si>
  <si>
    <t>Scenario source no longer points to VaR 99%</t>
  </si>
  <si>
    <t>B60 bug fixed in v2.9.5 and monitored here</t>
  </si>
  <si>
    <t>OUT-004</t>
  </si>
  <si>
    <t>Risk outputs</t>
  </si>
  <si>
    <t>Risk adjusted pressure / priorities</t>
  </si>
  <si>
    <t>AX uses capability relevance; BT:CS helper lineage</t>
  </si>
  <si>
    <t>Risk ranking consumes relevance/capability/treatment/wording helper layers</t>
  </si>
  <si>
    <t>Risk top outputs should ultimately be sourced from adjusted pressure</t>
  </si>
  <si>
    <t>OUT-005</t>
  </si>
  <si>
    <t>Initiative outputs</t>
  </si>
  <si>
    <t>Initiative rank / WSJF / roadmap wave</t>
  </si>
  <si>
    <t>AS uses capability relevance; BZ:CQ helper lineage</t>
  </si>
  <si>
    <t>Initiative ranking consumes relevance/capability/treatment/wording helper layers</t>
  </si>
  <si>
    <t>Roadmap should use initiative rank after relevance adjustment</t>
  </si>
  <si>
    <t>OUT-006</t>
  </si>
  <si>
    <t>Roadmap and top initiatives</t>
  </si>
  <si>
    <t>Initiative rank / wave / rationale fields</t>
  </si>
  <si>
    <t>Roadmap must align with relevance-adjusted initiative order</t>
  </si>
  <si>
    <t>This sheet is a downstream view, not a separate logic branch</t>
  </si>
  <si>
    <t>OUT-007</t>
  </si>
  <si>
    <t>Methodology / version notes</t>
  </si>
  <si>
    <t>_LINT_* / README sections</t>
  </si>
  <si>
    <t>Version and lint summary</t>
  </si>
  <si>
    <t>Should describe profile vector/relevance/treatment/wording pipeline</t>
  </si>
  <si>
    <t>Documentation</t>
  </si>
  <si>
    <t>Documentation/release hygiene update finalized in v3.0</t>
  </si>
  <si>
    <t>Backend Entity Map</t>
  </si>
  <si>
    <t>Canonical workbook sheets mapped to backend objects, endpoints and import modes.</t>
  </si>
  <si>
    <t>Entity_ID</t>
  </si>
  <si>
    <t>Backend_Object</t>
  </si>
  <si>
    <t>Source_Sheet</t>
  </si>
  <si>
    <t>Header_Row</t>
  </si>
  <si>
    <t>Source_Range</t>
  </si>
  <si>
    <t>Row_Count</t>
  </si>
  <si>
    <t>API_Endpoint</t>
  </si>
  <si>
    <t>Primary_Key</t>
  </si>
  <si>
    <t>Import_Priority</t>
  </si>
  <si>
    <t>Import_Mode</t>
  </si>
  <si>
    <t>profile_vector</t>
  </si>
  <si>
    <t>ProfileVector</t>
  </si>
  <si>
    <t>_ENGINE_Profile_Vector!A4:J84</t>
  </si>
  <si>
    <t>/api/v1/profile/vector</t>
  </si>
  <si>
    <t>Full refresh for reference data; incremental possible for assessment/profile outputs</t>
  </si>
  <si>
    <t>canonical profile/context values</t>
  </si>
  <si>
    <t>profile_field_dictionary</t>
  </si>
  <si>
    <t>ProfileField</t>
  </si>
  <si>
    <t>_REF_Profile_Field_Dictionary</t>
  </si>
  <si>
    <t>_REF_Profile_Field_Dictionary!A1:W106</t>
  </si>
  <si>
    <t>/api/v1/ref/profile-fields</t>
  </si>
  <si>
    <t>profile field governance dictionary</t>
  </si>
  <si>
    <t>dropdowns</t>
  </si>
  <si>
    <t>DropdownValue</t>
  </si>
  <si>
    <t>_REF_Dropdowns</t>
  </si>
  <si>
    <t>_REF_Dropdowns!A1:BE358</t>
  </si>
  <si>
    <t>/api/v1/ref/dropdowns</t>
  </si>
  <si>
    <t>List_ID+Value</t>
  </si>
  <si>
    <t>controlled values registry</t>
  </si>
  <si>
    <t>industry_aliases</t>
  </si>
  <si>
    <t>IndustryAlias</t>
  </si>
  <si>
    <t>_REF_Industry_Aliases</t>
  </si>
  <si>
    <t>_REF_Industry_Aliases!A1:I43</t>
  </si>
  <si>
    <t>/api/v1/ref/industry-aliases</t>
  </si>
  <si>
    <t>Raw_Industry_Input</t>
  </si>
  <si>
    <t>industry normalization aliases</t>
  </si>
  <si>
    <t>capability_taxonomy</t>
  </si>
  <si>
    <t>Capability</t>
  </si>
  <si>
    <t>_REF_Capability_Taxonomy</t>
  </si>
  <si>
    <t>_REF_Capability_Taxonomy!A1:F38</t>
  </si>
  <si>
    <t>/api/v1/ref/capabilities</t>
  </si>
  <si>
    <t>canonical capability taxonomy</t>
  </si>
  <si>
    <t>capability_bridge</t>
  </si>
  <si>
    <t>CapabilityBridgeRule</t>
  </si>
  <si>
    <t>_REF_Capability_Bridge!A1:K99</t>
  </si>
  <si>
    <t>/api/v1/ref/capability-bridge</t>
  </si>
  <si>
    <t>domain/subdomain to capability mapping</t>
  </si>
  <si>
    <t>applicability_gates</t>
  </si>
  <si>
    <t>ApplicabilityGate</t>
  </si>
  <si>
    <t>_REF_Applicability_Gates</t>
  </si>
  <si>
    <t>_REF_Applicability_Gates!A1:Q122</t>
  </si>
  <si>
    <t>/api/v1/ref/applicability-gates</t>
  </si>
  <si>
    <t>industry/org/capability hard gates</t>
  </si>
  <si>
    <t>crisis_dominance</t>
  </si>
  <si>
    <t>CrisisDominanceRule</t>
  </si>
  <si>
    <t>_REF_Crisis_Dominance!A1:M66</t>
  </si>
  <si>
    <t>/api/v1/ref/crisis-dominance</t>
  </si>
  <si>
    <t>crisis × capability dominance multipliers</t>
  </si>
  <si>
    <t>context_relevance</t>
  </si>
  <si>
    <t>ContextRelevanceRule</t>
  </si>
  <si>
    <t>_REF_Context_Relevance</t>
  </si>
  <si>
    <t>_REF_Context_Relevance!A1:K25</t>
  </si>
  <si>
    <t>/api/v1/ref/context-relevance</t>
  </si>
  <si>
    <t>profile-factor relevance multipliers</t>
  </si>
  <si>
    <t>engine_relevance</t>
  </si>
  <si>
    <t>RelevanceScore</t>
  </si>
  <si>
    <t>_ENGINE_Relevance!A1:Q37</t>
  </si>
  <si>
    <t>/api/v1/engine/relevance</t>
  </si>
  <si>
    <t>computed relevance by capability</t>
  </si>
  <si>
    <t>treatment_library</t>
  </si>
  <si>
    <t>_REF_Treatment_Library!A1:P296</t>
  </si>
  <si>
    <t>/api/v1/ref/treatments</t>
  </si>
  <si>
    <t>maturity-aware treatment library</t>
  </si>
  <si>
    <t>industry_wording</t>
  </si>
  <si>
    <t>IndustryWording</t>
  </si>
  <si>
    <t>_REF_Industry_Wording!A1:L70</t>
  </si>
  <si>
    <t>/api/v1/ref/industry-wording</t>
  </si>
  <si>
    <t>industry-specific labels and recommendation text</t>
  </si>
  <si>
    <t>risk_ontology</t>
  </si>
  <si>
    <t>RiskOntologyItem</t>
  </si>
  <si>
    <t>_REF_Risk_Ontology</t>
  </si>
  <si>
    <t>_REF_Risk_Ontology!A1:P425</t>
  </si>
  <si>
    <t>/api/v1/ref/risk-ontology</t>
  </si>
  <si>
    <t>risk ontology backend-ready view</t>
  </si>
  <si>
    <t>initiative_ontology</t>
  </si>
  <si>
    <t>InitiativeOntologyItem</t>
  </si>
  <si>
    <t>_REF_Initiative_Ontology</t>
  </si>
  <si>
    <t>_REF_Initiative_Ontology!A1:O73</t>
  </si>
  <si>
    <t>/api/v1/ref/initiative-ontology</t>
  </si>
  <si>
    <t>initiative ontology backend-ready view</t>
  </si>
  <si>
    <t>output_reconciliation</t>
  </si>
  <si>
    <t>OutputLineage</t>
  </si>
  <si>
    <t>_REF_Output_Reconciliation</t>
  </si>
  <si>
    <t>_REF_Output_Reconciliation!A1:M8</t>
  </si>
  <si>
    <t>/api/v1/ref/output-lineage</t>
  </si>
  <si>
    <t>visible output lineage map</t>
  </si>
  <si>
    <t>assessment_questions</t>
  </si>
  <si>
    <t>AssessmentQuestion</t>
  </si>
  <si>
    <t>Assessment Questions!A1:AY428</t>
  </si>
  <si>
    <t>/api/v1/assessment/questions</t>
  </si>
  <si>
    <t>questionnaire master</t>
  </si>
  <si>
    <t>assessment_model</t>
  </si>
  <si>
    <t>AssessmentModelRow</t>
  </si>
  <si>
    <t>_DATA_Assessment_Model!A1:AZ428</t>
  </si>
  <si>
    <t>/api/v1/engine/assessment-model</t>
  </si>
  <si>
    <t>scoring model rows</t>
  </si>
  <si>
    <t>risk_engine</t>
  </si>
  <si>
    <t>RiskEngineRow</t>
  </si>
  <si>
    <t>_ENGINE_Risk!A1:CS923</t>
  </si>
  <si>
    <t>/api/v1/engine/risks</t>
  </si>
  <si>
    <t>computed risk rows</t>
  </si>
  <si>
    <t>initiative_engine</t>
  </si>
  <si>
    <t>InitiativeEngineRow</t>
  </si>
  <si>
    <t>_ENGINE_Initiatives!A1:CX76</t>
  </si>
  <si>
    <t>/api/v1/engine/initiatives</t>
  </si>
  <si>
    <t>computed initiative rows</t>
  </si>
  <si>
    <t>roadmap_output</t>
  </si>
  <si>
    <t>RoadmapOutput</t>
  </si>
  <si>
    <t>Action Plan &amp; Roadmap!A1:AD130</t>
  </si>
  <si>
    <t>/api/v1/output/roadmap</t>
  </si>
  <si>
    <t>Initiative_ID/Wave</t>
  </si>
  <si>
    <t>visible roadmap output</t>
  </si>
  <si>
    <t>company_profile</t>
  </si>
  <si>
    <t>CompanyProfile</t>
  </si>
  <si>
    <t>Company Profile!A1:H159</t>
  </si>
  <si>
    <t>/api/v1/profile/raw</t>
  </si>
  <si>
    <t>raw user-facing profile sheet</t>
  </si>
  <si>
    <t>documentation_methodology</t>
  </si>
  <si>
    <t>DocumentationSection</t>
  </si>
  <si>
    <t>_DOC!A3:B17</t>
  </si>
  <si>
    <t>/api/v1/docs/methodology</t>
  </si>
  <si>
    <t>Section_ID</t>
  </si>
  <si>
    <t>P3</t>
  </si>
  <si>
    <t>Read-only documentation reference</t>
  </si>
  <si>
    <t>Consolidated _DOC section: Methodology</t>
  </si>
  <si>
    <t>documentation_governance</t>
  </si>
  <si>
    <t>_DOC!A19:B32</t>
  </si>
  <si>
    <t>/api/v1/docs/governance</t>
  </si>
  <si>
    <t>Consolidated _DOC section: Governance</t>
  </si>
  <si>
    <t>documentation_known_limitations</t>
  </si>
  <si>
    <t>_DOC!A34:B44</t>
  </si>
  <si>
    <t>/api/v1/docs/known-limitations</t>
  </si>
  <si>
    <t>Consolidated _DOC section: Known Limitations</t>
  </si>
  <si>
    <t>Field-Level Data Dictionary</t>
  </si>
  <si>
    <t>Each active backend field, source range, inferred type and validation rule. Use this as the backend import/schema contract.</t>
  </si>
  <si>
    <t>Dictionary_ID</t>
  </si>
  <si>
    <t>Field_Name</t>
  </si>
  <si>
    <t>Backend_Field</t>
  </si>
  <si>
    <t>Data_Type</t>
  </si>
  <si>
    <t>Nullable</t>
  </si>
  <si>
    <t>Key_Role</t>
  </si>
  <si>
    <t>Allowed_Values_Source</t>
  </si>
  <si>
    <t>Validation_Rule</t>
  </si>
  <si>
    <t>Deprecated</t>
  </si>
  <si>
    <t>DD-0001</t>
  </si>
  <si>
    <t>_ENGINE_Profile_Vector!A:A</t>
  </si>
  <si>
    <t>vector_id</t>
  </si>
  <si>
    <t>string</t>
  </si>
  <si>
    <t>primary_key</t>
  </si>
  <si>
    <t>Non-empty for active rows; stable across versions</t>
  </si>
  <si>
    <t>DD-0002</t>
  </si>
  <si>
    <t>_ENGINE_Profile_Vector!B:B</t>
  </si>
  <si>
    <t>group</t>
  </si>
  <si>
    <t>Optional / context-dependent</t>
  </si>
  <si>
    <t>DD-0003</t>
  </si>
  <si>
    <t>_ENGINE_Profile_Vector!C:C</t>
  </si>
  <si>
    <t>source_cell</t>
  </si>
  <si>
    <t>DD-0004</t>
  </si>
  <si>
    <t>_ENGINE_Profile_Vector!D:D</t>
  </si>
  <si>
    <t>raw_value</t>
  </si>
  <si>
    <t>DD-0005</t>
  </si>
  <si>
    <t>_ENGINE_Profile_Vector!E:E</t>
  </si>
  <si>
    <t>canonical_value</t>
  </si>
  <si>
    <t>DD-0006</t>
  </si>
  <si>
    <t>_ENGINE_Profile_Vector!F:F</t>
  </si>
  <si>
    <t>numeric_value</t>
  </si>
  <si>
    <t>DD-0007</t>
  </si>
  <si>
    <t>_ENGINE_Profile_Vector!G:G</t>
  </si>
  <si>
    <t>canonical_output_name</t>
  </si>
  <si>
    <t>DD-0008</t>
  </si>
  <si>
    <t>_ENGINE_Profile_Vector!H:H</t>
  </si>
  <si>
    <t>consumer_redirect</t>
  </si>
  <si>
    <t>DD-0009</t>
  </si>
  <si>
    <t>_ENGINE_Profile_Vector!I:I</t>
  </si>
  <si>
    <t>status</t>
  </si>
  <si>
    <t>_REF_Dropdowns / controlled Yes-No-Status list</t>
  </si>
  <si>
    <t>DD-0010</t>
  </si>
  <si>
    <t>_ENGINE_Profile_Vector!J:J</t>
  </si>
  <si>
    <t>notes</t>
  </si>
  <si>
    <t>DD-0011</t>
  </si>
  <si>
    <t>_REF_Profile_Field_Dictionary!A:A</t>
  </si>
  <si>
    <t>field_id</t>
  </si>
  <si>
    <t>DD-0012</t>
  </si>
  <si>
    <t>_REF_Profile_Field_Dictionary!B:B</t>
  </si>
  <si>
    <t>current_row</t>
  </si>
  <si>
    <t>number</t>
  </si>
  <si>
    <t>DD-0013</t>
  </si>
  <si>
    <t>_REF_Profile_Field_Dictionary!C:C</t>
  </si>
  <si>
    <t>current_cell</t>
  </si>
  <si>
    <t>DD-0014</t>
  </si>
  <si>
    <t>_REF_Profile_Field_Dictionary!D:D</t>
  </si>
  <si>
    <t>current_label</t>
  </si>
  <si>
    <t>DD-0015</t>
  </si>
  <si>
    <t>_REF_Profile_Field_Dictionary!E:E</t>
  </si>
  <si>
    <t>current_input_role</t>
  </si>
  <si>
    <t>DD-0016</t>
  </si>
  <si>
    <t>_REF_Profile_Field_Dictionary!F:F</t>
  </si>
  <si>
    <t>current_value_or_formula</t>
  </si>
  <si>
    <t>DD-0017</t>
  </si>
  <si>
    <t>_REF_Profile_Field_Dictionary!G:G</t>
  </si>
  <si>
    <t>current_has_validation</t>
  </si>
  <si>
    <t>DD-0018</t>
  </si>
  <si>
    <t>_REF_Profile_Field_Dictionary!H:H</t>
  </si>
  <si>
    <t>current_validation_formula</t>
  </si>
  <si>
    <t>DD-0019</t>
  </si>
  <si>
    <t>_REF_Profile_Field_Dictionary!I:I</t>
  </si>
  <si>
    <t>formula_reference_cells</t>
  </si>
  <si>
    <t>DD-0020</t>
  </si>
  <si>
    <t>_REF_Profile_Field_Dictionary!J:J</t>
  </si>
  <si>
    <t>referencing_sheets</t>
  </si>
  <si>
    <t>DD-0021</t>
  </si>
  <si>
    <t>_REF_Profile_Field_Dictionary!K:K</t>
  </si>
  <si>
    <t>duplicate_family</t>
  </si>
  <si>
    <t>DD-0022</t>
  </si>
  <si>
    <t>_REF_Profile_Field_Dictionary!L:L</t>
  </si>
  <si>
    <t>target_status</t>
  </si>
  <si>
    <t>DD-0023</t>
  </si>
  <si>
    <t>_REF_Profile_Field_Dictionary!M:M</t>
  </si>
  <si>
    <t>new_profile_cell</t>
  </si>
  <si>
    <t>DD-0024</t>
  </si>
  <si>
    <t>_REF_Profile_Field_Dictionary!N:N</t>
  </si>
  <si>
    <t>new_input_type</t>
  </si>
  <si>
    <t>DD-0025</t>
  </si>
  <si>
    <t>_REF_Profile_Field_Dictionary!O:O</t>
  </si>
  <si>
    <t>dropdown_list_id</t>
  </si>
  <si>
    <t>foreign_key_or_business_key</t>
  </si>
  <si>
    <t>DD-0026</t>
  </si>
  <si>
    <t>_REF_Profile_Field_Dictionary!P:P</t>
  </si>
  <si>
    <t>relevance_use</t>
  </si>
  <si>
    <t>Numeric; expected range usually 0.00–2.00</t>
  </si>
  <si>
    <t>DD-0027</t>
  </si>
  <si>
    <t>_REF_Profile_Field_Dictionary!Q:Q</t>
  </si>
  <si>
    <t>DD-0028</t>
  </si>
  <si>
    <t>_REF_Profile_Field_Dictionary!R:R</t>
  </si>
  <si>
    <t>migration_rule</t>
  </si>
  <si>
    <t>DD-0029</t>
  </si>
  <si>
    <t>_REF_Profile_Field_Dictionary!S:S</t>
  </si>
  <si>
    <t>legacy_action</t>
  </si>
  <si>
    <t>DD-0030</t>
  </si>
  <si>
    <t>_REF_Profile_Field_Dictionary!T:T</t>
  </si>
  <si>
    <t>active_flag</t>
  </si>
  <si>
    <t>Allowed: Active/Inactive/Yes/No depending source convention</t>
  </si>
  <si>
    <t>DD-0031</t>
  </si>
  <si>
    <t>_REF_Profile_Field_Dictionary!U:U</t>
  </si>
  <si>
    <t>qa_risk</t>
  </si>
  <si>
    <t>DD-0032</t>
  </si>
  <si>
    <t>_REF_Profile_Field_Dictionary!V:V</t>
  </si>
  <si>
    <t>recommended_action</t>
  </si>
  <si>
    <t>DD-0033</t>
  </si>
  <si>
    <t>_REF_Profile_Field_Dictionary!W:W</t>
  </si>
  <si>
    <t>DD-0034</t>
  </si>
  <si>
    <t>_REF_Dropdowns!A:A</t>
  </si>
  <si>
    <t>list_id</t>
  </si>
  <si>
    <t>DD-0035</t>
  </si>
  <si>
    <t>_REF_Dropdowns!B:B</t>
  </si>
  <si>
    <t>parent_value</t>
  </si>
  <si>
    <t>DD-0036</t>
  </si>
  <si>
    <t>_REF_Dropdowns!C:C</t>
  </si>
  <si>
    <t>sort_order</t>
  </si>
  <si>
    <t>DD-0037</t>
  </si>
  <si>
    <t>_REF_Dropdowns!D:D</t>
  </si>
  <si>
    <t>value</t>
  </si>
  <si>
    <t>DD-0038</t>
  </si>
  <si>
    <t>_REF_Dropdowns!E:E</t>
  </si>
  <si>
    <t>DD-0039</t>
  </si>
  <si>
    <t>_REF_Dropdowns!F:F</t>
  </si>
  <si>
    <t>score_value</t>
  </si>
  <si>
    <t>Numeric; expected score band normally 0–5 or 0–10 depending source</t>
  </si>
  <si>
    <t>DD-0040</t>
  </si>
  <si>
    <t>_REF_Dropdowns!G:G</t>
  </si>
  <si>
    <t>DD-0041</t>
  </si>
  <si>
    <t>_REF_Dropdowns!H:H</t>
  </si>
  <si>
    <t>description</t>
  </si>
  <si>
    <t>DD-0042</t>
  </si>
  <si>
    <t>_REF_Dropdowns!I:I</t>
  </si>
  <si>
    <t>source</t>
  </si>
  <si>
    <t>DD-0043</t>
  </si>
  <si>
    <t>_REF_Dropdowns!K:K</t>
  </si>
  <si>
    <t>validation_helper_ranges_one_column_per_list_id_consumed_by_</t>
  </si>
  <si>
    <t>DD-0044</t>
  </si>
  <si>
    <t>_REF_Industry_Aliases!A:A</t>
  </si>
  <si>
    <t>alias_input</t>
  </si>
  <si>
    <t>DD-0045</t>
  </si>
  <si>
    <t>_REF_Industry_Aliases!B:B</t>
  </si>
  <si>
    <t>normalized_key</t>
  </si>
  <si>
    <t>DD-0046</t>
  </si>
  <si>
    <t>_REF_Industry_Aliases!C:C</t>
  </si>
  <si>
    <t>canonical_industry</t>
  </si>
  <si>
    <t>_REF_Industry_Aliases / _REF_Dropdowns</t>
  </si>
  <si>
    <t>DD-0047</t>
  </si>
  <si>
    <t>_REF_Industry_Aliases!D:D</t>
  </si>
  <si>
    <t>org_type</t>
  </si>
  <si>
    <t>DD-0048</t>
  </si>
  <si>
    <t>_REF_Industry_Aliases!E:E</t>
  </si>
  <si>
    <t>industry_family</t>
  </si>
  <si>
    <t>DD-0049</t>
  </si>
  <si>
    <t>_REF_Industry_Aliases!F:F</t>
  </si>
  <si>
    <t>default_physical_footprint</t>
  </si>
  <si>
    <t>DD-0050</t>
  </si>
  <si>
    <t>_REF_Industry_Aliases!G:G</t>
  </si>
  <si>
    <t>default_regulatory_intensity</t>
  </si>
  <si>
    <t>DD-0051</t>
  </si>
  <si>
    <t>_REF_Industry_Aliases!H:H</t>
  </si>
  <si>
    <t>default_data_criticality</t>
  </si>
  <si>
    <t>DD-0052</t>
  </si>
  <si>
    <t>_REF_Industry_Aliases!I:I</t>
  </si>
  <si>
    <t>DD-0053</t>
  </si>
  <si>
    <t>_REF_Capability_Taxonomy!A:A</t>
  </si>
  <si>
    <t>capability_id</t>
  </si>
  <si>
    <t>_REF_Capability_Taxonomy[Capability_ID]</t>
  </si>
  <si>
    <t>DD-0054</t>
  </si>
  <si>
    <t>_REF_Capability_Taxonomy!B:B</t>
  </si>
  <si>
    <t>default_domain</t>
  </si>
  <si>
    <t>_REF_Model_Content / _REF_Capability_Taxonomy</t>
  </si>
  <si>
    <t>DD-0055</t>
  </si>
  <si>
    <t>_REF_Capability_Taxonomy!C:C</t>
  </si>
  <si>
    <t>capability_group</t>
  </si>
  <si>
    <t>DD-0056</t>
  </si>
  <si>
    <t>_REF_Capability_Taxonomy!D:D</t>
  </si>
  <si>
    <t>DD-0057</t>
  </si>
  <si>
    <t>_REF_Capability_Taxonomy!E:E</t>
  </si>
  <si>
    <t>DD-0058</t>
  </si>
  <si>
    <t>_REF_Capability_Taxonomy!F:F</t>
  </si>
  <si>
    <t>DD-0059</t>
  </si>
  <si>
    <t>_REF_Capability_Bridge!A:A</t>
  </si>
  <si>
    <t>bridge_id</t>
  </si>
  <si>
    <t>DD-0060</t>
  </si>
  <si>
    <t>_REF_Capability_Bridge!B:B</t>
  </si>
  <si>
    <t>domain</t>
  </si>
  <si>
    <t>DD-0061</t>
  </si>
  <si>
    <t>_REF_Capability_Bridge!C:C</t>
  </si>
  <si>
    <t>subdomain</t>
  </si>
  <si>
    <t>DD-0062</t>
  </si>
  <si>
    <t>_REF_Capability_Bridge!D:D</t>
  </si>
  <si>
    <t>DD-0063</t>
  </si>
  <si>
    <t>_REF_Capability_Bridge!E:E</t>
  </si>
  <si>
    <t>bridge_level</t>
  </si>
  <si>
    <t>DD-0064</t>
  </si>
  <si>
    <t>_REF_Capability_Bridge!F:F</t>
  </si>
  <si>
    <t>DD-0065</t>
  </si>
  <si>
    <t>_REF_Capability_Bridge!G:G</t>
  </si>
  <si>
    <t>priority</t>
  </si>
  <si>
    <t>DD-0066</t>
  </si>
  <si>
    <t>_REF_Capability_Bridge!H:H</t>
  </si>
  <si>
    <t>mapping_rationale</t>
  </si>
  <si>
    <t>DD-0067</t>
  </si>
  <si>
    <t>_REF_Capability_Bridge!I:I</t>
  </si>
  <si>
    <t>DD-0068</t>
  </si>
  <si>
    <t>_REF_Capability_Bridge!J:J</t>
  </si>
  <si>
    <t>lookup_key</t>
  </si>
  <si>
    <t>DD-0069</t>
  </si>
  <si>
    <t>_REF_Capability_Bridge!K:K</t>
  </si>
  <si>
    <t>DD-0070</t>
  </si>
  <si>
    <t>_REF_Applicability_Gates!A:A</t>
  </si>
  <si>
    <t>rule_id</t>
  </si>
  <si>
    <t>DD-0071</t>
  </si>
  <si>
    <t>_REF_Applicability_Gates!B:B</t>
  </si>
  <si>
    <t>DD-0072</t>
  </si>
  <si>
    <t>_REF_Applicability_Gates!C:C</t>
  </si>
  <si>
    <t>DD-0073</t>
  </si>
  <si>
    <t>_REF_Applicability_Gates!D:D</t>
  </si>
  <si>
    <t>profile_condition</t>
  </si>
  <si>
    <t>DD-0074</t>
  </si>
  <si>
    <t>_REF_Applicability_Gates!E:E</t>
  </si>
  <si>
    <t>DD-0075</t>
  </si>
  <si>
    <t>_REF_Applicability_Gates!F:F</t>
  </si>
  <si>
    <t>DD-0076</t>
  </si>
  <si>
    <t>_REF_Applicability_Gates!G:G</t>
  </si>
  <si>
    <t>DD-0077</t>
  </si>
  <si>
    <t>_REF_Applicability_Gates!H:H</t>
  </si>
  <si>
    <t>risk_id</t>
  </si>
  <si>
    <t>DD-0078</t>
  </si>
  <si>
    <t>_REF_Applicability_Gates!I:I</t>
  </si>
  <si>
    <t>initiative_id</t>
  </si>
  <si>
    <t>DD-0079</t>
  </si>
  <si>
    <t>_REF_Applicability_Gates!J:J</t>
  </si>
  <si>
    <t>base_applicability</t>
  </si>
  <si>
    <t>DD-0080</t>
  </si>
  <si>
    <t>_REF_Applicability_Gates!K:K</t>
  </si>
  <si>
    <t>hard_exclude</t>
  </si>
  <si>
    <t>Allowed: Yes/No; if Yes, Final_Relevance must be 0</t>
  </si>
  <si>
    <t>DD-0081</t>
  </si>
  <si>
    <t>_REF_Applicability_Gates!L:L</t>
  </si>
  <si>
    <t>conditional_include</t>
  </si>
  <si>
    <t>DD-0082</t>
  </si>
  <si>
    <t>_REF_Applicability_Gates!M:M</t>
  </si>
  <si>
    <t>replacement_capability_id</t>
  </si>
  <si>
    <t>DD-0083</t>
  </si>
  <si>
    <t>_REF_Applicability_Gates!N:N</t>
  </si>
  <si>
    <t>reason</t>
  </si>
  <si>
    <t>DD-0084</t>
  </si>
  <si>
    <t>_REF_Applicability_Gates!O:O</t>
  </si>
  <si>
    <t>DD-0085</t>
  </si>
  <si>
    <t>_REF_Applicability_Gates!P:P</t>
  </si>
  <si>
    <t>DD-0086</t>
  </si>
  <si>
    <t>_REF_Applicability_Gates!Q:Q</t>
  </si>
  <si>
    <t>DD-0087</t>
  </si>
  <si>
    <t>_REF_Crisis_Dominance!A:A</t>
  </si>
  <si>
    <t>DD-0088</t>
  </si>
  <si>
    <t>_REF_Crisis_Dominance!B:B</t>
  </si>
  <si>
    <t>crisis_scenario</t>
  </si>
  <si>
    <t>_REF_Dropdowns[CRISIS_SCENARIO] / _REF_Crisis_Dominance</t>
  </si>
  <si>
    <t>DD-0089</t>
  </si>
  <si>
    <t>_REF_Crisis_Dominance!C:C</t>
  </si>
  <si>
    <t>severity_min</t>
  </si>
  <si>
    <t>DD-0090</t>
  </si>
  <si>
    <t>_REF_Crisis_Dominance!D:D</t>
  </si>
  <si>
    <t>applies_to_industry</t>
  </si>
  <si>
    <t>DD-0091</t>
  </si>
  <si>
    <t>_REF_Crisis_Dominance!E:E</t>
  </si>
  <si>
    <t>DD-0092</t>
  </si>
  <si>
    <t>_REF_Crisis_Dominance!F:F</t>
  </si>
  <si>
    <t>DD-0093</t>
  </si>
  <si>
    <t>_REF_Crisis_Dominance!G:G</t>
  </si>
  <si>
    <t>dominance_multiplier</t>
  </si>
  <si>
    <t>DD-0094</t>
  </si>
  <si>
    <t>_REF_Crisis_Dominance!H:H</t>
  </si>
  <si>
    <t>min_top5_count</t>
  </si>
  <si>
    <t>DD-0095</t>
  </si>
  <si>
    <t>_REF_Crisis_Dominance!I:I</t>
  </si>
  <si>
    <t>max_top5_count</t>
  </si>
  <si>
    <t>DD-0096</t>
  </si>
  <si>
    <t>_REF_Crisis_Dominance!J:J</t>
  </si>
  <si>
    <t>DD-0097</t>
  </si>
  <si>
    <t>_REF_Crisis_Dominance!K:K</t>
  </si>
  <si>
    <t>DD-0098</t>
  </si>
  <si>
    <t>_REF_Crisis_Dominance!L:L</t>
  </si>
  <si>
    <t>DD-0099</t>
  </si>
  <si>
    <t>_REF_Crisis_Dominance!M:M</t>
  </si>
  <si>
    <t>industry_lookup_key</t>
  </si>
  <si>
    <t>DD-0100</t>
  </si>
  <si>
    <t>_REF_Context_Relevance!A:A</t>
  </si>
  <si>
    <t>DD-0101</t>
  </si>
  <si>
    <t>_REF_Context_Relevance!B:B</t>
  </si>
  <si>
    <t>profile_factor</t>
  </si>
  <si>
    <t>DD-0102</t>
  </si>
  <si>
    <t>_REF_Context_Relevance!C:C</t>
  </si>
  <si>
    <t>condition</t>
  </si>
  <si>
    <t>DD-0103</t>
  </si>
  <si>
    <t>_REF_Context_Relevance!D:D</t>
  </si>
  <si>
    <t>DD-0104</t>
  </si>
  <si>
    <t>_REF_Context_Relevance!E:E</t>
  </si>
  <si>
    <t>DD-0105</t>
  </si>
  <si>
    <t>_REF_Context_Relevance!F:F</t>
  </si>
  <si>
    <t>context_multiplier</t>
  </si>
  <si>
    <t>DD-0106</t>
  </si>
  <si>
    <t>_REF_Context_Relevance!G:G</t>
  </si>
  <si>
    <t>formula_effect</t>
  </si>
  <si>
    <t>DD-0107</t>
  </si>
  <si>
    <t>_REF_Context_Relevance!H:H</t>
  </si>
  <si>
    <t>rationale</t>
  </si>
  <si>
    <t>DD-0108</t>
  </si>
  <si>
    <t>_REF_Context_Relevance!I:I</t>
  </si>
  <si>
    <t>DD-0109</t>
  </si>
  <si>
    <t>_REF_Context_Relevance!J:J</t>
  </si>
  <si>
    <t>DD-0110</t>
  </si>
  <si>
    <t>_REF_Context_Relevance!K:K</t>
  </si>
  <si>
    <t>DD-0111</t>
  </si>
  <si>
    <t>_ENGINE_Relevance!A:A</t>
  </si>
  <si>
    <t>row_id</t>
  </si>
  <si>
    <t>DD-0112</t>
  </si>
  <si>
    <t>_ENGINE_Relevance!B:B</t>
  </si>
  <si>
    <t>DD-0113</t>
  </si>
  <si>
    <t>_ENGINE_Relevance!C:C</t>
  </si>
  <si>
    <t>DD-0114</t>
  </si>
  <si>
    <t>_ENGINE_Relevance!D:D</t>
  </si>
  <si>
    <t>DD-0115</t>
  </si>
  <si>
    <t>_ENGINE_Relevance!E:E</t>
  </si>
  <si>
    <t>DD-0116</t>
  </si>
  <si>
    <t>_ENGINE_Relevance!F:F</t>
  </si>
  <si>
    <t>selected_crisis</t>
  </si>
  <si>
    <t>DD-0117</t>
  </si>
  <si>
    <t>_ENGINE_Relevance!G:G</t>
  </si>
  <si>
    <t>crisis_severity</t>
  </si>
  <si>
    <t>DD-0118</t>
  </si>
  <si>
    <t>_ENGINE_Relevance!H:H</t>
  </si>
  <si>
    <t>DD-0119</t>
  </si>
  <si>
    <t>_ENGINE_Relevance!I:I</t>
  </si>
  <si>
    <t>DD-0120</t>
  </si>
  <si>
    <t>_ENGINE_Relevance!J:J</t>
  </si>
  <si>
    <t>crisis_multiplier</t>
  </si>
  <si>
    <t>DD-0121</t>
  </si>
  <si>
    <t>_ENGINE_Relevance!K:K</t>
  </si>
  <si>
    <t>DD-0122</t>
  </si>
  <si>
    <t>_ENGINE_Relevance!L:L</t>
  </si>
  <si>
    <t>final_relevance</t>
  </si>
  <si>
    <t>DD-0123</t>
  </si>
  <si>
    <t>_ENGINE_Relevance!M:M</t>
  </si>
  <si>
    <t>applicability_rule</t>
  </si>
  <si>
    <t>DD-0124</t>
  </si>
  <si>
    <t>_ENGINE_Relevance!N:N</t>
  </si>
  <si>
    <t>dominance_rule</t>
  </si>
  <si>
    <t>DD-0125</t>
  </si>
  <si>
    <t>_ENGINE_Relevance!O:O</t>
  </si>
  <si>
    <t>DD-0126</t>
  </si>
  <si>
    <t>_ENGINE_Relevance!P:P</t>
  </si>
  <si>
    <t>context_rule_trace</t>
  </si>
  <si>
    <t>DD-0127</t>
  </si>
  <si>
    <t>_ENGINE_Relevance!Q:Q</t>
  </si>
  <si>
    <t>relevance_version</t>
  </si>
  <si>
    <t>DD-0128</t>
  </si>
  <si>
    <t>_REF_Treatment_Library!A:A</t>
  </si>
  <si>
    <t>treatment_id</t>
  </si>
  <si>
    <t>_REF_Treatment_Library[Treatment_ID]</t>
  </si>
  <si>
    <t>DD-0129</t>
  </si>
  <si>
    <t>_REF_Treatment_Library!B:B</t>
  </si>
  <si>
    <t>DD-0130</t>
  </si>
  <si>
    <t>_REF_Treatment_Library!C:C</t>
  </si>
  <si>
    <t>DD-0131</t>
  </si>
  <si>
    <t>_REF_Treatment_Library!D:D</t>
  </si>
  <si>
    <t>DD-0132</t>
  </si>
  <si>
    <t>_REF_Treatment_Library!E:E</t>
  </si>
  <si>
    <t>score_min</t>
  </si>
  <si>
    <t>DD-0133</t>
  </si>
  <si>
    <t>_REF_Treatment_Library!F:F</t>
  </si>
  <si>
    <t>score_max</t>
  </si>
  <si>
    <t>DD-0134</t>
  </si>
  <si>
    <t>_REF_Treatment_Library!G:G</t>
  </si>
  <si>
    <t>maturity_band</t>
  </si>
  <si>
    <t>_REF_Treatment_Library[Maturity_Band]</t>
  </si>
  <si>
    <t>DD-0135</t>
  </si>
  <si>
    <t>_REF_Treatment_Library!H:H</t>
  </si>
  <si>
    <t>treatment_type</t>
  </si>
  <si>
    <t>DD-0136</t>
  </si>
  <si>
    <t>_REF_Treatment_Library!I:I</t>
  </si>
  <si>
    <t>recommendation_title</t>
  </si>
  <si>
    <t>DD-0137</t>
  </si>
  <si>
    <t>_REF_Treatment_Library!J:J</t>
  </si>
  <si>
    <t>recommendation_text</t>
  </si>
  <si>
    <t>DD-0138</t>
  </si>
  <si>
    <t>_REF_Treatment_Library!K:K</t>
  </si>
  <si>
    <t>evidence_required</t>
  </si>
  <si>
    <t>DD-0139</t>
  </si>
  <si>
    <t>_REF_Treatment_Library!L:L</t>
  </si>
  <si>
    <t>kpi</t>
  </si>
  <si>
    <t>DD-0140</t>
  </si>
  <si>
    <t>_REF_Treatment_Library!M:M</t>
  </si>
  <si>
    <t>complexity</t>
  </si>
  <si>
    <t>DD-0141</t>
  </si>
  <si>
    <t>_REF_Treatment_Library!N:N</t>
  </si>
  <si>
    <t>priority_modifier</t>
  </si>
  <si>
    <t>DD-0142</t>
  </si>
  <si>
    <t>_REF_Treatment_Library!O:O</t>
  </si>
  <si>
    <t>DD-0143</t>
  </si>
  <si>
    <t>_REF_Treatment_Library!P:P</t>
  </si>
  <si>
    <t>DD-0144</t>
  </si>
  <si>
    <t>_REF_Industry_Wording!A:A</t>
  </si>
  <si>
    <t>wording_id</t>
  </si>
  <si>
    <t>_REF_Industry_Wording[Wording_ID]</t>
  </si>
  <si>
    <t>DD-0145</t>
  </si>
  <si>
    <t>_REF_Industry_Wording!B:B</t>
  </si>
  <si>
    <t>DD-0146</t>
  </si>
  <si>
    <t>_REF_Industry_Wording!C:C</t>
  </si>
  <si>
    <t>DD-0147</t>
  </si>
  <si>
    <t>_REF_Industry_Wording!D:D</t>
  </si>
  <si>
    <t>DD-0148</t>
  </si>
  <si>
    <t>_REF_Industry_Wording!E:E</t>
  </si>
  <si>
    <t>risk_label</t>
  </si>
  <si>
    <t>DD-0149</t>
  </si>
  <si>
    <t>_REF_Industry_Wording!F:F</t>
  </si>
  <si>
    <t>DD-0150</t>
  </si>
  <si>
    <t>_REF_Industry_Wording!G:G</t>
  </si>
  <si>
    <t>DD-0151</t>
  </si>
  <si>
    <t>_REF_Industry_Wording!H:H</t>
  </si>
  <si>
    <t>preferred_terms</t>
  </si>
  <si>
    <t>DD-0152</t>
  </si>
  <si>
    <t>_REF_Industry_Wording!I:I</t>
  </si>
  <si>
    <t>forbidden_terms</t>
  </si>
  <si>
    <t>DD-0153</t>
  </si>
  <si>
    <t>_REF_Industry_Wording!J:J</t>
  </si>
  <si>
    <t>example_systems</t>
  </si>
  <si>
    <t>DD-0154</t>
  </si>
  <si>
    <t>_REF_Industry_Wording!K:K</t>
  </si>
  <si>
    <t>DD-0155</t>
  </si>
  <si>
    <t>_REF_Industry_Wording!L:L</t>
  </si>
  <si>
    <t>DD-0156</t>
  </si>
  <si>
    <t>_REF_Risk_Ontology!A:A</t>
  </si>
  <si>
    <t>risk_ontology_id</t>
  </si>
  <si>
    <t>DD-0157</t>
  </si>
  <si>
    <t>_REF_Risk_Ontology!B:B</t>
  </si>
  <si>
    <t>source_row</t>
  </si>
  <si>
    <t>DD-0158</t>
  </si>
  <si>
    <t>_REF_Risk_Ontology!C:C</t>
  </si>
  <si>
    <t>question_id</t>
  </si>
  <si>
    <t>DD-0159</t>
  </si>
  <si>
    <t>_REF_Risk_Ontology!D:D</t>
  </si>
  <si>
    <t>DD-0160</t>
  </si>
  <si>
    <t>_REF_Risk_Ontology!E:E</t>
  </si>
  <si>
    <t>DD-0161</t>
  </si>
  <si>
    <t>_REF_Risk_Ontology!F:F</t>
  </si>
  <si>
    <t>risk_category</t>
  </si>
  <si>
    <t>DD-0162</t>
  </si>
  <si>
    <t>_REF_Risk_Ontology!G:G</t>
  </si>
  <si>
    <t>risk_statement</t>
  </si>
  <si>
    <t>DD-0163</t>
  </si>
  <si>
    <t>_REF_Risk_Ontology!H:H</t>
  </si>
  <si>
    <t>DD-0164</t>
  </si>
  <si>
    <t>_REF_Risk_Ontology!I:I</t>
  </si>
  <si>
    <t>bridge_rule</t>
  </si>
  <si>
    <t>DD-0165</t>
  </si>
  <si>
    <t>_REF_Risk_Ontology!J:J</t>
  </si>
  <si>
    <t>industry_wording_id</t>
  </si>
  <si>
    <t>DD-0166</t>
  </si>
  <si>
    <t>_REF_Risk_Ontology!K:K</t>
  </si>
  <si>
    <t>DD-0167</t>
  </si>
  <si>
    <t>_REF_Risk_Ontology!L:L</t>
  </si>
  <si>
    <t>ontology_status</t>
  </si>
  <si>
    <t>DD-0168</t>
  </si>
  <si>
    <t>_REF_Risk_Ontology!M:M</t>
  </si>
  <si>
    <t>legacy_label_dependency_flag</t>
  </si>
  <si>
    <t>DD-0169</t>
  </si>
  <si>
    <t>_REF_Risk_Ontology!N:N</t>
  </si>
  <si>
    <t>DD-0170</t>
  </si>
  <si>
    <t>_REF_Risk_Ontology!O:O</t>
  </si>
  <si>
    <t>source_key</t>
  </si>
  <si>
    <t>DD-0171</t>
  </si>
  <si>
    <t>_REF_Risk_Ontology!P:P</t>
  </si>
  <si>
    <t>DD-0172</t>
  </si>
  <si>
    <t>_REF_Initiative_Ontology!A:A</t>
  </si>
  <si>
    <t>initiative_ontology_id</t>
  </si>
  <si>
    <t>DD-0173</t>
  </si>
  <si>
    <t>_REF_Initiative_Ontology!B:B</t>
  </si>
  <si>
    <t>DD-0174</t>
  </si>
  <si>
    <t>_REF_Initiative_Ontology!C:C</t>
  </si>
  <si>
    <t>DD-0175</t>
  </si>
  <si>
    <t>_REF_Initiative_Ontology!D:D</t>
  </si>
  <si>
    <t>DD-0176</t>
  </si>
  <si>
    <t>_REF_Initiative_Ontology!E:E</t>
  </si>
  <si>
    <t>strategy_id</t>
  </si>
  <si>
    <t>DD-0177</t>
  </si>
  <si>
    <t>_REF_Initiative_Ontology!F:F</t>
  </si>
  <si>
    <t>initiative_theme</t>
  </si>
  <si>
    <t>DD-0178</t>
  </si>
  <si>
    <t>_REF_Initiative_Ontology!G:G</t>
  </si>
  <si>
    <t>DD-0179</t>
  </si>
  <si>
    <t>_REF_Initiative_Ontology!H:H</t>
  </si>
  <si>
    <t>DD-0180</t>
  </si>
  <si>
    <t>_REF_Initiative_Ontology!I:I</t>
  </si>
  <si>
    <t>DD-0181</t>
  </si>
  <si>
    <t>_REF_Initiative_Ontology!J:J</t>
  </si>
  <si>
    <t>DD-0182</t>
  </si>
  <si>
    <t>_REF_Initiative_Ontology!K:K</t>
  </si>
  <si>
    <t>DD-0183</t>
  </si>
  <si>
    <t>_REF_Initiative_Ontology!L:L</t>
  </si>
  <si>
    <t>DD-0184</t>
  </si>
  <si>
    <t>_REF_Initiative_Ontology!M:M</t>
  </si>
  <si>
    <t>DD-0185</t>
  </si>
  <si>
    <t>_REF_Initiative_Ontology!N:N</t>
  </si>
  <si>
    <t>DD-0186</t>
  </si>
  <si>
    <t>_REF_Initiative_Ontology!O:O</t>
  </si>
  <si>
    <t>DD-0187</t>
  </si>
  <si>
    <t>_REF_Output_Reconciliation!A:A</t>
  </si>
  <si>
    <t>output_id</t>
  </si>
  <si>
    <t>DD-0188</t>
  </si>
  <si>
    <t>_REF_Output_Reconciliation!B:B</t>
  </si>
  <si>
    <t>output_sheet</t>
  </si>
  <si>
    <t>DD-0189</t>
  </si>
  <si>
    <t>_REF_Output_Reconciliation!C:C</t>
  </si>
  <si>
    <t>output_block</t>
  </si>
  <si>
    <t>DD-0190</t>
  </si>
  <si>
    <t>_REF_Output_Reconciliation!D:D</t>
  </si>
  <si>
    <t>canonical_source</t>
  </si>
  <si>
    <t>DD-0191</t>
  </si>
  <si>
    <t>_REF_Output_Reconciliation!E:E</t>
  </si>
  <si>
    <t>source_range_or_object</t>
  </si>
  <si>
    <t>DD-0192</t>
  </si>
  <si>
    <t>_REF_Output_Reconciliation!F:F</t>
  </si>
  <si>
    <t>reconciliation_principle</t>
  </si>
  <si>
    <t>DD-0193</t>
  </si>
  <si>
    <t>_REF_Output_Reconciliation!G:G</t>
  </si>
  <si>
    <t>profile_vector_used</t>
  </si>
  <si>
    <t>DD-0194</t>
  </si>
  <si>
    <t>_REF_Output_Reconciliation!H:H</t>
  </si>
  <si>
    <t>relevance_used</t>
  </si>
  <si>
    <t>DD-0195</t>
  </si>
  <si>
    <t>_REF_Output_Reconciliation!I:I</t>
  </si>
  <si>
    <t>capability_used</t>
  </si>
  <si>
    <t>DD-0196</t>
  </si>
  <si>
    <t>_REF_Output_Reconciliation!J:J</t>
  </si>
  <si>
    <t>treatment_used</t>
  </si>
  <si>
    <t>DD-0197</t>
  </si>
  <si>
    <t>_REF_Output_Reconciliation!K:K</t>
  </si>
  <si>
    <t>wording_used</t>
  </si>
  <si>
    <t>DD-0198</t>
  </si>
  <si>
    <t>_REF_Output_Reconciliation!L:L</t>
  </si>
  <si>
    <t>DD-0199</t>
  </si>
  <si>
    <t>_REF_Output_Reconciliation!M:M</t>
  </si>
  <si>
    <t>DD-0200</t>
  </si>
  <si>
    <t>Assessment Questions!A:A</t>
  </si>
  <si>
    <t>Assessment Questions — Consolidated Input</t>
  </si>
  <si>
    <t>assessment_questions_consolidated_input</t>
  </si>
  <si>
    <t>DD-0201</t>
  </si>
  <si>
    <t>_DATA_Assessment_Model!A:A</t>
  </si>
  <si>
    <t>normalized_backend_question_table</t>
  </si>
  <si>
    <t>DD-0202</t>
  </si>
  <si>
    <t>_ENGINE_Risk!A:A</t>
  </si>
  <si>
    <t>engine_risk_hidden_vocabulary</t>
  </si>
  <si>
    <t>DD-0203</t>
  </si>
  <si>
    <t>_ENGINE_Initiatives!A:A</t>
  </si>
  <si>
    <t>technical_initiative_library</t>
  </si>
  <si>
    <t>DD-0204</t>
  </si>
  <si>
    <t>Action Plan &amp; Roadmap!A:A</t>
  </si>
  <si>
    <t>action_plan_roadmap</t>
  </si>
  <si>
    <t>DD-0205</t>
  </si>
  <si>
    <t>Action Plan &amp; Roadmap!N:N</t>
  </si>
  <si>
    <t>action_plan_roadmap_visual_dashboard</t>
  </si>
  <si>
    <t>DD-0206</t>
  </si>
  <si>
    <t>section_company_profile_assessment_context</t>
  </si>
  <si>
    <t>Company Profile controlled field; see _REF_Profile_Field_Dictionary</t>
  </si>
  <si>
    <t>Raw profile field; normalized through _ENGINE_Profile_Vector</t>
  </si>
  <si>
    <t>DD-0207</t>
  </si>
  <si>
    <t>section_fill_this_once_per_organization_this_cle</t>
  </si>
  <si>
    <t>DD-0208</t>
  </si>
  <si>
    <t>section_hyperlink_guidelines_a1_guidelines</t>
  </si>
  <si>
    <t>business_key</t>
  </si>
  <si>
    <t>DD-0209</t>
  </si>
  <si>
    <t>section_profile_field</t>
  </si>
  <si>
    <t>DD-0210</t>
  </si>
  <si>
    <t>org_name</t>
  </si>
  <si>
    <t>DD-0211</t>
  </si>
  <si>
    <t>assess_date</t>
  </si>
  <si>
    <t>DD-0212</t>
  </si>
  <si>
    <t>assess_owner</t>
  </si>
  <si>
    <t>DD-0213</t>
  </si>
  <si>
    <t>exec_sponsor</t>
  </si>
  <si>
    <t>DD-0214</t>
  </si>
  <si>
    <t>industry</t>
  </si>
  <si>
    <t>DD-0215</t>
  </si>
  <si>
    <t>sub_industry</t>
  </si>
  <si>
    <t>DD-0216</t>
  </si>
  <si>
    <t>hq_country</t>
  </si>
  <si>
    <t>DD-0217</t>
  </si>
  <si>
    <t>operating_countries</t>
  </si>
  <si>
    <t>DD-0218</t>
  </si>
  <si>
    <t>ownership</t>
  </si>
  <si>
    <t>DD-0219</t>
  </si>
  <si>
    <t>legal_entities</t>
  </si>
  <si>
    <t>DD-0220</t>
  </si>
  <si>
    <t>emp_count</t>
  </si>
  <si>
    <t>DD-0221</t>
  </si>
  <si>
    <t>revenue_size</t>
  </si>
  <si>
    <t>DD-0222</t>
  </si>
  <si>
    <t>operating_model</t>
  </si>
  <si>
    <t>DD-0223</t>
  </si>
  <si>
    <t>business_model</t>
  </si>
  <si>
    <t>DD-0224</t>
  </si>
  <si>
    <t>crit_products_text</t>
  </si>
  <si>
    <t>DD-0225</t>
  </si>
  <si>
    <t>icp_segments</t>
  </si>
  <si>
    <t>DD-0226</t>
  </si>
  <si>
    <t>top_markets</t>
  </si>
  <si>
    <t>DD-0227</t>
  </si>
  <si>
    <t>customer_conc_text</t>
  </si>
  <si>
    <t>DD-0228</t>
  </si>
  <si>
    <t>crit_sites_text</t>
  </si>
  <si>
    <t>DD-0229</t>
  </si>
  <si>
    <t>crit_people_text</t>
  </si>
  <si>
    <t>DD-0230</t>
  </si>
  <si>
    <t>reg_exposure</t>
  </si>
  <si>
    <t>DD-0231</t>
  </si>
  <si>
    <t>regulations</t>
  </si>
  <si>
    <t>DD-0232</t>
  </si>
  <si>
    <t>core_systems</t>
  </si>
  <si>
    <t>DD-0233</t>
  </si>
  <si>
    <t>cloud_model</t>
  </si>
  <si>
    <t>DD-0234</t>
  </si>
  <si>
    <t>DD-0235</t>
  </si>
  <si>
    <t>DD-0236</t>
  </si>
  <si>
    <t>target_process</t>
  </si>
  <si>
    <t>DD-0237</t>
  </si>
  <si>
    <t>target_digital</t>
  </si>
  <si>
    <t>DD-0238</t>
  </si>
  <si>
    <t>target_resilience</t>
  </si>
  <si>
    <t>DD-0239</t>
  </si>
  <si>
    <t>assess_cadence</t>
  </si>
  <si>
    <t>DD-0240</t>
  </si>
  <si>
    <t>risk_appetite</t>
  </si>
  <si>
    <t>DD-0241</t>
  </si>
  <si>
    <t>assumptions</t>
  </si>
  <si>
    <t>DD-0242</t>
  </si>
  <si>
    <t>section_industry_template_and_improved_scoring_l</t>
  </si>
  <si>
    <t>DD-0243</t>
  </si>
  <si>
    <t>selected_template</t>
  </si>
  <si>
    <t>DD-0244</t>
  </si>
  <si>
    <t>default_evidence_conf</t>
  </si>
  <si>
    <t>DD-0245</t>
  </si>
  <si>
    <t>default_assessor_conf</t>
  </si>
  <si>
    <t>DD-0246</t>
  </si>
  <si>
    <t>template_domains</t>
  </si>
  <si>
    <t>DD-0247</t>
  </si>
  <si>
    <t>avg_target_maturity</t>
  </si>
  <si>
    <t>DD-0248</t>
  </si>
  <si>
    <t>avg_criticality</t>
  </si>
  <si>
    <t>DD-0249</t>
  </si>
  <si>
    <t>critical_systems_out</t>
  </si>
  <si>
    <t>DD-0250</t>
  </si>
  <si>
    <t>redline_controls_out</t>
  </si>
  <si>
    <t>DD-0251</t>
  </si>
  <si>
    <t>preferred_strategy_out</t>
  </si>
  <si>
    <t>DD-0252</t>
  </si>
  <si>
    <t>selected_industry_benchmark</t>
  </si>
  <si>
    <t>DD-0253</t>
  </si>
  <si>
    <t>section_extended_company_context_inputs_closed_a</t>
  </si>
  <si>
    <t>DD-0254</t>
  </si>
  <si>
    <t>revenue_model</t>
  </si>
  <si>
    <t>DD-0255</t>
  </si>
  <si>
    <t>secondary_revenue_model</t>
  </si>
  <si>
    <t>DD-0256</t>
  </si>
  <si>
    <t>revenue_recurrence</t>
  </si>
  <si>
    <t>DD-0257</t>
  </si>
  <si>
    <t>sales_motion</t>
  </si>
  <si>
    <t>DD-0258</t>
  </si>
  <si>
    <t>cust_top1</t>
  </si>
  <si>
    <t>DD-0259</t>
  </si>
  <si>
    <t>cust_top5</t>
  </si>
  <si>
    <t>DD-0260</t>
  </si>
  <si>
    <t>cust_top10</t>
  </si>
  <si>
    <t>DD-0261</t>
  </si>
  <si>
    <t>supplier_top1</t>
  </si>
  <si>
    <t>DD-0262</t>
  </si>
  <si>
    <t>supplier_top5</t>
  </si>
  <si>
    <t>DD-0263</t>
  </si>
  <si>
    <t>supplier_substitutability</t>
  </si>
  <si>
    <t>DD-0264</t>
  </si>
  <si>
    <t>section_business_criticality_of_locations</t>
  </si>
  <si>
    <t>DD-0265</t>
  </si>
  <si>
    <t>section_location_type</t>
  </si>
  <si>
    <t>DD-0266</t>
  </si>
  <si>
    <t>hq</t>
  </si>
  <si>
    <t>DD-0267</t>
  </si>
  <si>
    <t>production_site</t>
  </si>
  <si>
    <t>DD-0268</t>
  </si>
  <si>
    <t>warehouse</t>
  </si>
  <si>
    <t>DD-0269</t>
  </si>
  <si>
    <t>data_center_core_cloud_region</t>
  </si>
  <si>
    <t>DD-0270</t>
  </si>
  <si>
    <t>call_center_customer_support_center</t>
  </si>
  <si>
    <t>DD-0271</t>
  </si>
  <si>
    <t>r_d_engineering_center</t>
  </si>
  <si>
    <t>DD-0272</t>
  </si>
  <si>
    <t>sales_office</t>
  </si>
  <si>
    <t>DD-0273</t>
  </si>
  <si>
    <t>retail_service_branch</t>
  </si>
  <si>
    <t>DD-0274</t>
  </si>
  <si>
    <t>section_workforce_distribution</t>
  </si>
  <si>
    <t>DD-0275</t>
  </si>
  <si>
    <t>workforce_countries</t>
  </si>
  <si>
    <t>DD-0276</t>
  </si>
  <si>
    <t>workforce_country_share</t>
  </si>
  <si>
    <t>DD-0277</t>
  </si>
  <si>
    <t>workforce_city_share</t>
  </si>
  <si>
    <t>DD-0278</t>
  </si>
  <si>
    <t>remote_ready</t>
  </si>
  <si>
    <t>DD-0279</t>
  </si>
  <si>
    <t>relocation_support</t>
  </si>
  <si>
    <t>DD-0280</t>
  </si>
  <si>
    <t>section_critical_process_list_select_top_process</t>
  </si>
  <si>
    <t>DD-0281</t>
  </si>
  <si>
    <t>critical_process_1</t>
  </si>
  <si>
    <t>DD-0282</t>
  </si>
  <si>
    <t>critical_process_2</t>
  </si>
  <si>
    <t>DD-0283</t>
  </si>
  <si>
    <t>critical_process_3</t>
  </si>
  <si>
    <t>DD-0284</t>
  </si>
  <si>
    <t>critical_process_4</t>
  </si>
  <si>
    <t>DD-0285</t>
  </si>
  <si>
    <t>critical_process_5</t>
  </si>
  <si>
    <t>DD-0286</t>
  </si>
  <si>
    <t>section_critical_product_service_list_select_top</t>
  </si>
  <si>
    <t>DD-0287</t>
  </si>
  <si>
    <t>critical_product_service_1</t>
  </si>
  <si>
    <t>DD-0288</t>
  </si>
  <si>
    <t>critical_product_service_2</t>
  </si>
  <si>
    <t>DD-0289</t>
  </si>
  <si>
    <t>critical_product_service_3</t>
  </si>
  <si>
    <t>DD-0290</t>
  </si>
  <si>
    <t>critical_product_service_4</t>
  </si>
  <si>
    <t>DD-0291</t>
  </si>
  <si>
    <t>critical_product_service_5</t>
  </si>
  <si>
    <t>DD-0292</t>
  </si>
  <si>
    <t>section_crisis_history</t>
  </si>
  <si>
    <t>DD-0293</t>
  </si>
  <si>
    <t>section_experienced_crisis</t>
  </si>
  <si>
    <t>DD-0294</t>
  </si>
  <si>
    <t>pandemic</t>
  </si>
  <si>
    <t>DD-0295</t>
  </si>
  <si>
    <t>war_geopolitical_escalation</t>
  </si>
  <si>
    <t>DD-0296</t>
  </si>
  <si>
    <t>cyberattack_ransomware</t>
  </si>
  <si>
    <t>DD-0297</t>
  </si>
  <si>
    <t>supply_chain_disruption</t>
  </si>
  <si>
    <t>DD-0298</t>
  </si>
  <si>
    <t>none_experienced</t>
  </si>
  <si>
    <t>DD-0299</t>
  </si>
  <si>
    <t>section_change_capacity_and_brownfield</t>
  </si>
  <si>
    <t>DD-0300</t>
  </si>
  <si>
    <t>change_capacity</t>
  </si>
  <si>
    <t>DD-0301</t>
  </si>
  <si>
    <t>transformation_exp</t>
  </si>
  <si>
    <t>DD-0302</t>
  </si>
  <si>
    <t>brownfield_note</t>
  </si>
  <si>
    <t>DD-0303</t>
  </si>
  <si>
    <t>company_size</t>
  </si>
  <si>
    <t>DD-0304</t>
  </si>
  <si>
    <t>section_financial_anchors_hard_data</t>
  </si>
  <si>
    <t>DD-0305</t>
  </si>
  <si>
    <t>annual_revenue</t>
  </si>
  <si>
    <t>DD-0306</t>
  </si>
  <si>
    <t>gross_margin</t>
  </si>
  <si>
    <t>DD-0307</t>
  </si>
  <si>
    <t>cash_runway</t>
  </si>
  <si>
    <t>DD-0308</t>
  </si>
  <si>
    <t>debt_load</t>
  </si>
  <si>
    <t>DD-0309</t>
  </si>
  <si>
    <t>fx_exposure</t>
  </si>
  <si>
    <t>DD-0310</t>
  </si>
  <si>
    <t>revenue_midpoint</t>
  </si>
  <si>
    <t>Backend Field Map</t>
  </si>
  <si>
    <t>Flattened mapping from Excel fields to backend objects and API/import areas.</t>
  </si>
  <si>
    <t>Excel_Field</t>
  </si>
  <si>
    <t>Field_Class</t>
  </si>
  <si>
    <t>API_or_Consumer</t>
  </si>
  <si>
    <t>engine/output</t>
  </si>
  <si>
    <t>reference</t>
  </si>
  <si>
    <t>raw_profile</t>
  </si>
  <si>
    <t>profile.vector normalization</t>
  </si>
  <si>
    <t>API / Import Contract</t>
  </si>
  <si>
    <t>Suggested backend endpoints and import/read patterns for the future web application.</t>
  </si>
  <si>
    <t>API_ID</t>
  </si>
  <si>
    <t>Name</t>
  </si>
  <si>
    <t>Method</t>
  </si>
  <si>
    <t>Endpoint</t>
  </si>
  <si>
    <t>Conflict_Key</t>
  </si>
  <si>
    <t>Validation_Notes</t>
  </si>
  <si>
    <t>API-001</t>
  </si>
  <si>
    <t>Profile raw import</t>
  </si>
  <si>
    <t>POST</t>
  </si>
  <si>
    <t>Field_ID / Source cell</t>
  </si>
  <si>
    <t>Upsert company profile raw values</t>
  </si>
  <si>
    <t>Validate dropdowns; reject unknown controlled values unless migration mode</t>
  </si>
  <si>
    <t>API-002</t>
  </si>
  <si>
    <t>Profile vector read</t>
  </si>
  <si>
    <t>GET</t>
  </si>
  <si>
    <t>Read normalized profile vector</t>
  </si>
  <si>
    <t>Profile vector is the source-of-truth for downstream relevance</t>
  </si>
  <si>
    <t>API-003</t>
  </si>
  <si>
    <t>Reference bundle import</t>
  </si>
  <si>
    <t>/api/v1/ref/bundle</t>
  </si>
  <si>
    <t>dropdowns, industry_aliases, capabilities, treatment, wording</t>
  </si>
  <si>
    <t>Entity primary keys</t>
  </si>
  <si>
    <t>Bulk refresh reference tables</t>
  </si>
  <si>
    <t>Use Active_Flag to retire records without deleting history</t>
  </si>
  <si>
    <t>API-004</t>
  </si>
  <si>
    <t>Relevance calculation read</t>
  </si>
  <si>
    <t>Read computed relevance scores</t>
  </si>
  <si>
    <t>Final_Relevance must be zero when Hard_Exclude=Yes</t>
  </si>
  <si>
    <t>API-005</t>
  </si>
  <si>
    <t>Risk ontology read</t>
  </si>
  <si>
    <t>Read backend-ready risk ontology rows</t>
  </si>
  <si>
    <t>Each row must have Capability_ID</t>
  </si>
  <si>
    <t>API-006</t>
  </si>
  <si>
    <t>Initiative ontology read</t>
  </si>
  <si>
    <t>Read backend-ready initiative rows</t>
  </si>
  <si>
    <t>Each row must have Capability_ID and Treatment_ID where available</t>
  </si>
  <si>
    <t>API-007</t>
  </si>
  <si>
    <t>Assessment answers import</t>
  </si>
  <si>
    <t>/api/v1/assessment/answers</t>
  </si>
  <si>
    <t>Store normalized assessment answers</t>
  </si>
  <si>
    <t>Do not import cached dashboard values as answers</t>
  </si>
  <si>
    <t>API-008</t>
  </si>
  <si>
    <t>Risk outputs read</t>
  </si>
  <si>
    <t>/api/v1/output/risks</t>
  </si>
  <si>
    <t>Expose ranked risks</t>
  </si>
  <si>
    <t>Must consume Profile Vector / Relevance / Capability / Treatment / Wording</t>
  </si>
  <si>
    <t>API-009</t>
  </si>
  <si>
    <t>Initiative outputs read</t>
  </si>
  <si>
    <t>/api/v1/output/initiatives</t>
  </si>
  <si>
    <t>Expose ranked initiatives and roadmap candidates</t>
  </si>
  <si>
    <t>Must consume Relevance and Treatment/Wording helpers</t>
  </si>
  <si>
    <t>API-010</t>
  </si>
  <si>
    <t>Output lineage read</t>
  </si>
  <si>
    <t>Explain output source-of-truth</t>
  </si>
  <si>
    <t>Used for QA and explainability</t>
  </si>
  <si>
    <t>RR Framework — Consolidated README</t>
  </si>
  <si>
    <t>■ _README_Backend_Readiness</t>
  </si>
  <si>
    <t>RR Framework v3.0 — Stable Release / Backend Readiness</t>
  </si>
  <si>
    <t>This release adds a backend import contract and field-level data dictionary. It does not create a new scoring branch; it documents the existing Profile Vector → Relevance → Capability → Treatment/Wording → Output pipeline.</t>
  </si>
  <si>
    <t>Topic</t>
  </si>
  <si>
    <t>Make the workbook readable by a future web/backend without reverse-engineering Excel formulas.</t>
  </si>
  <si>
    <t>Source of truth</t>
  </si>
  <si>
    <t>Company Profile → _ENGINE_Profile_Vector → _ENGINE_Relevance → Capability Bridge → Treatment/Industry Wording → Risk/Initiative outputs.</t>
  </si>
  <si>
    <t>New sheets</t>
  </si>
  <si>
    <t>_REF_Backend_Entity_Map, _REF_Data_Dictionary, _REF_Backend_Field_Map, _API_Import_Contract, _LINT.</t>
  </si>
  <si>
    <t>Backend import principle</t>
  </si>
  <si>
    <t>Import controlled reference tables first, then profile/answers, then computed output views.</t>
  </si>
  <si>
    <t>Legacy principle</t>
  </si>
  <si>
    <t>Compatibility cells may remain for old formulas, but active logic should consume Profile Vector and Relevance outputs.</t>
  </si>
  <si>
    <t>■ _README_Methodology_Update</t>
  </si>
  <si>
    <t>RR Framework v3.0 — Documentation / Methodology Update</t>
  </si>
  <si>
    <t>This release updates workbook methodology documentation after the v2.9 relevance refactor. It does not create a new scoring branch; it documents the single canonical pipeline and governance rules.</t>
  </si>
  <si>
    <t>Description | Primary sheets | Owner | Status</t>
  </si>
  <si>
    <t>Make the current Profile Vector → Relevance → Capability → Treatment/Wording → Outputs logic understandable for business users, consultants and backend developers. | Guidelines, _DOC (Methodology section) | Product/model owner | Complete</t>
  </si>
  <si>
    <t>Single source of truth</t>
  </si>
  <si>
    <t>Company Profile inputs are normalized in _ENGINE_Profile_Vector; downstream logic must not consume raw B9/B48 directly. | Company Profile, _ENGINE_Profile_Vector | Model owner | Complete</t>
  </si>
  <si>
    <t>Relevance method</t>
  </si>
  <si>
    <t>Applicability, hard gates, context relevance and crisis dominance are documented as the relevance layer. | _ENGINE_Relevance, _REF_Applicability_Gates, _REF_Context_Relevance, _REF_Crisis_Dominance | Model owner | Complete</t>
  </si>
  <si>
    <t>Capability method</t>
  </si>
  <si>
    <t>Domain/subdomain/risk/initiative rows are mapped to Capability_ID before ranking and wording. | _REF_Capability_Taxonomy, _REF_Capability_Bridge | Product/model owner | Complete</t>
  </si>
  <si>
    <t>Treatment and wording</t>
  </si>
  <si>
    <t>Maturity-aware treatments and industry-specific wording are documented and linked to capability. | _REF_Treatment_Library, _REF_Industry_Wording | Content owner | Complete</t>
  </si>
  <si>
    <t>Legacy-retirement rules, allowed compatibility fields and update process are described. | _DOC (Governance section), _LINT consolidated checks | Product owner | Complete</t>
  </si>
  <si>
    <t>Backend alignment</t>
  </si>
  <si>
    <t>Backend entity/field maps and import contract are referenced from methodology docs. | _REF_Backend_Entity_Map, _REF_Data_Dictionary, _API_Import_Contract | Backend owner | Complete</t>
  </si>
  <si>
    <t>■ _README_v3.0_RC</t>
  </si>
  <si>
    <t>RR Framework v3.0 — Static Audit Fixes &amp; Registry Alignment</t>
  </si>
  <si>
    <t>Generated</t>
  </si>
  <si>
    <t>2026-06-22 13:30:00</t>
  </si>
  <si>
    <t>Hotfix after static harness: visible crisis fallback hardened, stale initiative question IDs removed, risk-to-initiative coverage aligned through explicit map-backed initiative IDs, and dropdown registry normalized.</t>
  </si>
  <si>
    <t>Canonical pipeline</t>
  </si>
  <si>
    <t>Company Profile → _ENGINE_Profile_Vector → _ENGINE_Relevance → Capability Bridge → Treatment / Industry Wording → Outputs / Backend Contract</t>
  </si>
  <si>
    <t>Main outcome</t>
  </si>
  <si>
    <t>Workbook integrity, controlled-list coverage, formula guards, initiative QID references, risk-initiative coverage and accepted risks are recorded in the consolidated _LINT sheet.</t>
  </si>
  <si>
    <t>Next expected step</t>
  </si>
  <si>
    <t>Use v3.0 as the structural-engine baseline after capability bridge lookup and strategy scoring fixes. Industry/crisis calibration remains deferred to later releases.</t>
  </si>
  <si>
    <t>■ _README_v3.0_Release_Metadata</t>
  </si>
  <si>
    <t>RR Framework — Consolidated Lint / Audit</t>
  </si>
  <si>
    <t>OVERALL:</t>
  </si>
  <si>
    <t>Generated 2026-06-24 · version=v3.0 · checks=27 · FAIL=0 · WARN=0 · ACCEPTED_RISK=1 · scope=Stable Release: capability bridge lookup and shape-safe strategy scoring</t>
  </si>
  <si>
    <t>STRUCT-001</t>
  </si>
  <si>
    <t>Worksheet count (current)</t>
  </si>
  <si>
    <t>Actual workbook sheets in xl/workbook.xml</t>
  </si>
  <si>
    <t>STRUCT-002</t>
  </si>
  <si>
    <t>Visible workflow sheets</t>
  </si>
  <si>
    <t>Guidelines + 5 user workflow/output sheets</t>
  </si>
  <si>
    <t>STRUCT-003</t>
  </si>
  <si>
    <t>Hidden internal sheets</t>
  </si>
  <si>
    <t>37</t>
  </si>
  <si>
    <t>Data, engine, reference, config, API and documentation sheets</t>
  </si>
  <si>
    <t>STRUCT-004</t>
  </si>
  <si>
    <t>Charts preserved</t>
  </si>
  <si>
    <t>Chart XML parts preserved</t>
  </si>
  <si>
    <t>STRUCT-005</t>
  </si>
  <si>
    <t>Named ranges preserved</t>
  </si>
  <si>
    <t>121</t>
  </si>
  <si>
    <t>Defined names in workbook.xml</t>
  </si>
  <si>
    <t>STRUCT-006</t>
  </si>
  <si>
    <t>Data validations preserved</t>
  </si>
  <si>
    <t>Workbook-level data validation objects</t>
  </si>
  <si>
    <t>Formula_Compatibility</t>
  </si>
  <si>
    <t>FORM-001</t>
  </si>
  <si>
    <t>Unsupported legacy function prefixes</t>
  </si>
  <si>
    <t>Replaced legacy UDF-prefixed formulas with native Excel functions</t>
  </si>
  <si>
    <t>FORM-002</t>
  </si>
  <si>
    <t>Formula error tokens in formula text</t>
  </si>
  <si>
    <t>No Excel error-token strings in formula text</t>
  </si>
  <si>
    <t>FORM-003</t>
  </si>
  <si>
    <t>Workbook recalculation policy</t>
  </si>
  <si>
    <t>ACCEPTED_RISK</t>
  </si>
  <si>
    <t>fullCalcOnLoad=1; forceFullCalc=1</t>
  </si>
  <si>
    <t>Microsoft Excel must open/recalculate/save to refresh cached formula outputs</t>
  </si>
  <si>
    <t>Output_Integrity</t>
  </si>
  <si>
    <t>N/A domain maturity gating</t>
  </si>
  <si>
    <t>Implemented</t>
  </si>
  <si>
    <t>Domains with Max score = 0 return blank maturity/gap/exposure instead of 0 critical exposure</t>
  </si>
  <si>
    <t>Scenario exposure N/A suppression</t>
  </si>
  <si>
    <t>Resilience &amp; Risk Scenario skips domains with Max score = 0</t>
  </si>
  <si>
    <t>Risk table rank mapping</t>
  </si>
  <si>
    <t>Visible top risks use INDEX/MATCH by final rank instead of fixed rows 500:509</t>
  </si>
  <si>
    <t>Risk ID mapping</t>
  </si>
  <si>
    <t>Risk ID column now points to _ENGINE_Risk!E (Question ID), not Show flag</t>
  </si>
  <si>
    <t>Risk recommendation mapping</t>
  </si>
  <si>
    <t>Treatment text</t>
  </si>
  <si>
    <t>Recommendation column now points to _ENGINE_Risk!T (Risk treatment / mitigation)</t>
  </si>
  <si>
    <t>Initiative N/A rank suppression</t>
  </si>
  <si>
    <t>Initiatives in non-applicable domains are blanked from WSJF/rank/wave</t>
  </si>
  <si>
    <t>Strategy N/A weighting</t>
  </si>
  <si>
    <t>Strategy domain-gap and risk-fit scoring ignore N/A domains and use shape-safe weighted sums without TRANSPOSE.</t>
  </si>
  <si>
    <t>BE-001</t>
  </si>
  <si>
    <t>Backend documentation ghost refs</t>
  </si>
  <si>
    <t>0 ghost refs</t>
  </si>
  <si>
    <t>No retired documentation sheet references</t>
  </si>
  <si>
    <t>BE-002</t>
  </si>
  <si>
    <t>API import contract present</t>
  </si>
  <si>
    <t>_API_Import_Contract</t>
  </si>
  <si>
    <t>Backend import contract sheet is present</t>
  </si>
  <si>
    <t>BE-003</t>
  </si>
  <si>
    <t>Data dictionary present</t>
  </si>
  <si>
    <t>_REF_Data_Dictionary</t>
  </si>
  <si>
    <t>Field dictionary sheet is present</t>
  </si>
  <si>
    <t>Release</t>
  </si>
  <si>
    <t>Release version synchronized</t>
  </si>
  <si>
    <t>Filename, Guidelines, CONFIG, README, DOC, LINT, core/custom props synchronized for v3.0</t>
  </si>
  <si>
    <t>Overall release status</t>
  </si>
  <si>
    <t>v3.0 structural engine fix</t>
  </si>
  <si>
    <t>Capability bridge lookup uses Lookup_Key column J; strategy scoring E:F no longer depends on TRANSPOSE-based SUMPRODUCT.</t>
  </si>
  <si>
    <t>ENG-001</t>
  </si>
  <si>
    <t>Capability bridge lookup formula column</t>
  </si>
  <si>
    <t>After recalc, bridge should no longer fall back to CAP_GENERIC for every initiative when mapping exists.</t>
  </si>
  <si>
    <t>ENG-002</t>
  </si>
  <si>
    <t>Risk capability bridge lookup formula column</t>
  </si>
  <si>
    <t>After recalc, risk capability mapping should no longer be 100% No bridge when matching domain/category keys exist.</t>
  </si>
  <si>
    <t>ENG-003</t>
  </si>
  <si>
    <t>Strategy scoring E:F non-zero diagnostic</t>
  </si>
  <si>
    <t>Strategy domain-gap/risk-fit should not be entirely zero after a recalculated filled assessment.</t>
  </si>
  <si>
    <t>v3.0 calibration-safety notes</t>
  </si>
  <si>
    <t>Added Financial Services / Banking industry template; normalized strategy risk-fit by cfg_RiskFitScale; reduced CAP_REGULATORY_CONTINUITY overuse in capability bridge.</t>
  </si>
  <si>
    <t>RR Framework — Consolidated Documentation</t>
  </si>
  <si>
    <t>■ _DOC (Methodology section)</t>
  </si>
  <si>
    <t>RR Framework Methodology — v3.0</t>
  </si>
  <si>
    <t>Detailed method for the current canonical calculation chain. This sheet documents logic; it is not an active calculation branch.</t>
  </si>
  <si>
    <t>Method Layer</t>
  </si>
  <si>
    <t>Purpose | Inputs | Processing Logic | Outputs | QA / Interpretation</t>
  </si>
  <si>
    <t>1. Company Profile</t>
  </si>
  <si>
    <t>Capture company context using controlled dropdowns and structured profile tables. | Visible Company Profile fields, _REF_Dropdowns | Manual user inputs are constrained where possible; duplicate fields are derived summaries. | Raw company context and selected crisis. | Open-text fields should not drive formulas unless explicitly documented.</t>
  </si>
  <si>
    <t>2. Profile Vector</t>
  </si>
  <si>
    <t>Normalize company context into engine-ready canonical factors. | Company Profile, _REF_Industry_Aliases | Raw values are mapped to canonical industry/org type and numeric/ordinal context variables. | PV_* named outputs and _ENGINE_Profile_Vector rows. | All downstream industry/profile logic should consume Profile Vector only.</t>
  </si>
  <si>
    <t>3. Assessment Model</t>
  </si>
  <si>
    <t>Convert answers into score, maturity and evidence signals. | Assessment Questions, _DATA_Assessment_Model | Question scores are parsed and aggregated by domain/subdomain. | Maturity, coverage and diagnostic facts. | Scores are diagnostic and should be recalculated after answer migration.</t>
  </si>
  <si>
    <t>4. Relevance Engine</t>
  </si>
  <si>
    <t>Determine whether a capability/risk/initiative is relevant for this company and crisis. | PV_* outputs, _REF_Applicability_Gates, _REF_Context_Relevance, _REF_Crisis_Dominance | Final relevance combines base applicability, context multiplier and crisis multiplier; hard gates force zero. | REL_Final_Relevance and relevance rationale. | Hard-excluded items must not appear in Top-N outputs.</t>
  </si>
  <si>
    <t>5. Capability Bridge</t>
  </si>
  <si>
    <t>Translate broad domains/subdomains into stable capability IDs. | _REF_Capability_Taxonomy, _REF_Capability_Bridge | Bridge maps risk/initiative rows to Capability_ID before treatment/wording/ranking. | Capability_ID and bridge rationale in risk/initiative engines. | Avoid adding rules that depend only on display labels.</t>
  </si>
  <si>
    <t>6. Risk Engine</t>
  </si>
  <si>
    <t>Calculate risk pressure using assessment gaps, scenario factors and relevance/capability context. | _ENGINE_Risk, _ENGINE_Relevance, _REF_Risk_Ontology | Risk scores are adjusted by relevance and scenario logic. | Prioritized risks, risk ontology view and dashboard facts. | Scenario-selected logic should reference B6/named scenario, not VaR cells.</t>
  </si>
  <si>
    <t>7. Treatment Library</t>
  </si>
  <si>
    <t>Select action style by capability and maturity band. | Capability_ID, maturity score, PV_Canonical_Industry, _REF_Treatment_Library | Lookup prefers industry-specific treatment; generic fallback used when no override exists. | Treatment ID, type, title, evidence and KPI examples. | High maturity should use optimize/stress-test/prove-evidence treatments.</t>
  </si>
  <si>
    <t>8. Industry Wording</t>
  </si>
  <si>
    <t>Render recommendations in terminology appropriate to the company type. | Capability_ID, PV_Canonical_Industry, _REF_Industry_Wording | Lookup prefers industry-specific wording; generic fallback used otherwise. | Risk labels, recommendation text, examples, preferred/forbidden terms. | Forbidden terms should be checked in regression.</t>
  </si>
  <si>
    <t>9. Initiative / Roadmap</t>
  </si>
  <si>
    <t>Prioritize initiatives using WSJF-style logic plus risk/relevance/treatment context. | _ENGINE_Initiatives, _REF_Initiative_Ontology | Adjusted multipliers feed initiative score, rank and roadmap wave. | Action Plan &amp; Roadmap outputs. | Do not create a second recommendation ranking outside the engine.</t>
  </si>
  <si>
    <t>10. Output Reconciliation</t>
  </si>
  <si>
    <t>Document which outputs consume which engine layers. | _REF_Output_Reconciliation, _LINT consolidated checks | Visible sheets are treated as downstream views, not independent calculations. | Dashboard lineage and reconciliation checks. | Any dashboard formula bypassing canonical layers should be flagged.</t>
  </si>
  <si>
    <t>11. Backend Contract</t>
  </si>
  <si>
    <t>Expose workbook structure as a backend-readable schema. | _REF_Backend_Entity_Map, _REF_Data_Dictionary, _REF_Backend_Field_Map, _API_Import_Contract | Reference tables and computed views are documented for import/read operations. | Backend-ready schema and field dictionary. | Backend should not reverse-engineer hidden formulas.</t>
  </si>
  <si>
    <t>■ _DOC (Governance section)</t>
  </si>
  <si>
    <t>RR Framework Governance — v3.0</t>
  </si>
  <si>
    <t>Rules for maintaining a single canonical logic path and avoiding legacy/parallel branches.</t>
  </si>
  <si>
    <t>Governance Area</t>
  </si>
  <si>
    <t>Rule | Allowed | Not Allowed | Owner | Check / Evidence</t>
  </si>
  <si>
    <t>Profile inputs</t>
  </si>
  <si>
    <t>Only Company Profile is user-facing; raw profile fields feed Profile Vector. | Add controlled dropdown values to _REF_Dropdowns and mapping rows to _ENGINE_Profile_Vector. | Using raw Company Profile cells directly in downstream engines. | Product/model owner | _LINT consolidated Profile Vector / legacy-retirement checks.</t>
  </si>
  <si>
    <t>Industry logic</t>
  </si>
  <si>
    <t>Use PV_Canonical_Industry as the single industry key. | Aliases in _REF_Industry_Aliases. | Separate industry selectors or manually editable B39/B48 branches. | Model owner | No direct B9/B48 downstream refs.</t>
  </si>
  <si>
    <t>Apply hard gates before ranking. | HardExclude=Yes forces relevance 0. | Merely reducing impossible capabilities to a low weight. | Model owner | _LINT_Relevance and regression hard-exclude checks.</t>
  </si>
  <si>
    <t>Use Capability_ID for ranking/treatment/wording. | Add bridge rows when new risks/initiatives are introduced. | Depending on display text such as MES/WMS/TMS as the ontology key. | Product owner | _REF_Capability_Bridge, _REF_Risk_Ontology, _REF_Initiative_Ontology.</t>
  </si>
  <si>
    <t>Recommendation action should match maturity band. | Use _REF_Treatment_Library with score bands and fallback rows. | One generic treatment text for all maturity levels. | Content/model owner | Treatment helper columns in risk/initiative engines.</t>
  </si>
  <si>
    <t>Use industry-specific wording when available, generic fallback otherwise. | Maintain forbidden/preferred terms in _REF_Industry_Wording. | Hardcoding industry terms in risk/initiative formulas. | Content owner | _LINT_Industry_Wording + regression forbidden-term checks.</t>
  </si>
  <si>
    <t>Scenario must influence relevance and risk prioritization. | Tune _REF_Crisis_Dominance and keep top-N acceptance rules. | Letting unrelated low-maturity domains dominate crisis-specific recommendations. | Scenario owner | Regression pack crisis dominance matrix.</t>
  </si>
  <si>
    <t>Compatibility cells may remain only as read-only bridges. | Clearly mark compatibility/retired fields. | Leaving old active ranking paths or hidden inputs. | Product owner | _LINT consolidated legacy-retirement checks.</t>
  </si>
  <si>
    <t>Dashboards are downstream views. | Add output lineage rows when new visible outputs are created. | Creating dashboard-only formulas that bypass engines. | Product/model owner | _REF_Output_Reconciliation.</t>
  </si>
  <si>
    <t>Backend reads documented entities/fields. | Update _REF_Backend_* when schemas change. | Backend reverse-engineering formulas or untracked cells. | Backend owner | _API_Import_Contract + _REF_Data_Dictionary.</t>
  </si>
  <si>
    <t>■ _DOC (Known Limitations section)</t>
  </si>
  <si>
    <t>RR Framework Known Limitations &amp; Interpretation Guardrails — v3.0</t>
  </si>
  <si>
    <t>Use this sheet to prevent over-interpretation of indexed outputs and to document known model boundaries.</t>
  </si>
  <si>
    <t>Limitation / Guardrail | What to do | Owner | Status</t>
  </si>
  <si>
    <t>Indexed risk outputs</t>
  </si>
  <si>
    <t>VaR/CVaR are directional indexed exposure metrics unless calibrated with validated financial loss data. | Label reports clearly and document financial calibration assumptions. | Model owner | Active</t>
  </si>
  <si>
    <t>Excel recalculation</t>
  </si>
  <si>
    <t>Migrated case files can retain stale cached dashboard outputs. | Perform full recalculation before using dashboards or regression results. | Analyst | Active</t>
  </si>
  <si>
    <t>Industry coverage</t>
  </si>
  <si>
    <t>SaaS, IT Services, Banking, Retail and Manufacturing are strongest after v2.9; Healthcare/Public/Energy/Logistics have seed rules but need more examples. | Expand rule and wording libraries as new cases are tested. | Content/model owner | Active</t>
  </si>
  <si>
    <t>Hard gates reduce false positives but can hide edge cases where a company has unusual operations. | Use conditional profile fields such as warehouse/data center/branch network to re-enable capabilities when relevant. | Consultant | Active</t>
  </si>
  <si>
    <t>Open-text fields</t>
  </si>
  <si>
    <t>Open-text fields are for human context, not engine logic, unless mapped into a controlled field. | Add dropdown/checklist/system-family rows before using new values in formulas. | Product owner | Active</t>
  </si>
  <si>
    <t>Regression harness</t>
  </si>
  <si>
    <t>v2.9.14 regression pack requires actual top outputs pasted after recalculation. | Run regression pack before release candidate. | QA/model owner | Active</t>
  </si>
  <si>
    <t>Backend import</t>
  </si>
  <si>
    <t>Backend schema is documented but not an executable API. | Implement parser according to _API_Import_Contract and field maps. | Backend owner | Active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</si>
</sst>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0"/>
    <numFmt numFmtId="166" formatCode="0.0000"/>
    <numFmt numFmtId="167" formatCode="yyyy\-mm\-dd"/>
  </numFmts>
  <fonts count="79">
    <font>
      <sz val="11"/>
      <name val="Carlito"/>
    </font>
    <font>
      <b/>
      <sz val="11"/>
      <color rgb="FFFFFFFF"/>
      <name val="Carlito"/>
    </font>
    <font>
      <sz val="9"/>
      <name val="Carlito"/>
    </font>
    <font>
      <b/>
      <sz val="14"/>
      <color rgb="FFFFFFFF"/>
      <name val="Carlito"/>
    </font>
    <font>
      <b/>
      <sz val="11"/>
      <name val="Carlito"/>
    </font>
    <font>
      <b/>
      <sz val="16"/>
      <color rgb="FF1F4E78"/>
      <name val="Carlito"/>
    </font>
    <font>
      <sz val="10"/>
      <name val="Carlito"/>
    </font>
    <font>
      <b/>
      <sz val="11"/>
      <color rgb="FF1F4E78"/>
      <name val="Carlito"/>
    </font>
    <font>
      <b/>
      <sz val="12"/>
      <color rgb="FF1F4E78"/>
      <name val="Carlito"/>
    </font>
    <font>
      <b/>
      <sz val="10"/>
      <name val="Carlito"/>
    </font>
    <font>
      <b/>
      <sz val="12"/>
      <color rgb="FFFFFFFF"/>
      <name val="Carlito"/>
    </font>
    <font>
      <i/>
      <sz val="10"/>
      <color rgb="FF666666"/>
      <name val="Carlito"/>
    </font>
    <font>
      <i/>
      <sz val="9"/>
      <color rgb="FF595959"/>
      <name val="Carlito"/>
    </font>
    <font>
      <b/>
      <sz val="9"/>
      <name val="Carlito"/>
    </font>
    <font>
      <b/>
      <sz val="8"/>
      <name val="Carlito"/>
    </font>
    <font>
      <b/>
      <sz val="10"/>
      <color rgb="FFFFFFFF"/>
      <name val="Carlito"/>
    </font>
    <font>
      <sz val="8"/>
      <name val="Carlito"/>
    </font>
    <font>
      <sz val="12"/>
      <color theme="10"/>
      <name val="Calibri"/>
      <family val="2"/>
      <scheme val="minor"/>
    </font>
    <font>
      <b/>
      <sz val="14"/>
      <color rgb="FF1F4E79"/>
      <name val="Carlito"/>
    </font>
    <font>
      <b/>
      <sz val="14"/>
      <color rgb="FFFFFFFF"/>
      <name val="Carlito"/>
    </font>
    <font>
      <i/>
      <sz val="10"/>
      <color rgb="FF334155"/>
      <name val="Carlito"/>
    </font>
    <font>
      <b/>
      <sz val="11"/>
      <color rgb="FF111827"/>
      <name val="Carlito"/>
    </font>
    <font>
      <b/>
      <sz val="10"/>
      <color rgb="FFFFFFFF"/>
      <name val="Carlito"/>
    </font>
    <font>
      <b/>
      <sz val="14"/>
      <color rgb="FF111827"/>
      <name val="Carlito"/>
    </font>
    <font>
      <b/>
      <sz val="14"/>
      <color rgb="FF1F4E79"/>
      <name val="Calibri"/>
    </font>
    <font>
      <i/>
      <sz val="10"/>
      <color rgb="FF808080"/>
      <name val="Calibri"/>
    </font>
    <font>
      <b/>
      <u/>
      <sz val="10"/>
      <color rgb="FF1F4E79"/>
      <name val="Calibri"/>
    </font>
    <font>
      <i/>
      <sz val="9"/>
      <color rgb="FF808080"/>
      <name val="Calibri"/>
    </font>
    <font>
      <b/>
      <sz val="11"/>
      <color rgb="FFFFFFFF"/>
      <name val="Carlito"/>
    </font>
    <font>
      <sz val="10"/>
      <color rgb="FFE5E7EB"/>
      <name val="Carlito"/>
    </font>
    <font>
      <b/>
      <sz val="11"/>
      <color rgb="FF1F2937"/>
      <name val="Carlito"/>
    </font>
    <font>
      <b/>
      <sz val="13"/>
      <color rgb="FFFFFFFF"/>
      <name val="Carlito"/>
    </font>
    <font>
      <b/>
      <sz val="10"/>
      <color rgb="FFFFFFFF"/>
      <name val="Carlito"/>
    </font>
    <font>
      <sz val="9"/>
      <color rgb="FF1F2937"/>
      <name val="Carlito"/>
    </font>
    <font>
      <i/>
      <sz val="8"/>
      <color rgb="FF666666"/>
      <name val="Carlito"/>
    </font>
    <font>
      <i/>
      <sz val="11"/>
      <color rgb="FF444444"/>
      <name val="Carlito"/>
    </font>
    <font>
      <b/>
      <sz val="10"/>
      <color rgb="FFFFFFFF"/>
      <name val="Aptos"/>
    </font>
    <font>
      <sz val="10"/>
      <color rgb="FF111827"/>
      <name val="Aptos"/>
    </font>
    <font>
      <b/>
      <sz val="20"/>
      <color rgb="FF0F766E"/>
      <name val="Aptos Display"/>
    </font>
    <font>
      <sz val="8"/>
      <color rgb="FF475569"/>
      <name val="Aptos"/>
    </font>
    <font>
      <b/>
      <sz val="14"/>
      <color rgb="FFFFFFFF"/>
      <name val="Aptos Display"/>
    </font>
    <font>
      <b/>
      <sz val="9"/>
      <color rgb="FFFFFFFF"/>
      <name val="Aptos"/>
    </font>
    <font>
      <b/>
      <sz val="9"/>
      <color rgb="FF1F2937"/>
      <name val="Aptos"/>
    </font>
    <font>
      <i/>
      <sz val="9"/>
      <color rgb="FF475569"/>
      <name val="Aptos"/>
    </font>
    <font>
      <sz val="10"/>
      <name val="Aptos"/>
    </font>
    <font>
      <b/>
      <sz val="14"/>
      <color rgb="FF1F4E78"/>
      <name val="Aptos Display"/>
    </font>
    <font>
      <i/>
      <sz val="8"/>
      <color rgb="FF666666"/>
      <name val="Aptos"/>
    </font>
    <font>
      <b/>
      <sz val="11"/>
      <color rgb="FFFFFFFF"/>
      <name val="Aptos"/>
    </font>
    <font>
      <b/>
      <sz val="11"/>
      <color rgb="FF1F4E78"/>
      <name val="Aptos"/>
    </font>
    <font>
      <b/>
      <sz val="9"/>
      <color rgb="FF666666"/>
      <name val="Aptos"/>
    </font>
    <font>
      <sz val="8"/>
      <color rgb="FF666666"/>
      <name val="Aptos"/>
    </font>
    <font>
      <i/>
      <sz val="9"/>
      <color rgb="FF666666"/>
      <name val="Aptos"/>
    </font>
    <font>
      <sz val="9"/>
      <name val="Aptos"/>
    </font>
    <font>
      <b/>
      <sz val="11"/>
      <color rgb="FFFFFFFF"/>
      <name val="Carlito"/>
    </font>
    <font>
      <b/>
      <sz val="14"/>
      <color rgb="FF1F4E78"/>
      <name val="Carlito"/>
    </font>
    <font>
      <i/>
      <sz val="11"/>
      <color rgb="FF666666"/>
      <name val="Carlito"/>
    </font>
    <font>
      <b/>
      <sz val="11"/>
      <name val="Carlito"/>
    </font>
    <font>
      <b/>
      <sz val="14"/>
      <color rgb="FFFFFFFF"/>
      <name val="Carlito"/>
    </font>
    <font>
      <i/>
      <sz val="11"/>
      <color rgb="FF374151"/>
      <name val="Carlito"/>
    </font>
    <font>
      <b/>
      <sz val="14"/>
      <name val="Carlito"/>
    </font>
    <font>
      <b/>
      <sz val="11"/>
      <color rgb="FF1F4E78"/>
      <name val="Carlito"/>
    </font>
    <font>
      <b/>
      <sz val="11"/>
      <name val="Carlito"/>
    </font>
    <font>
      <b/>
      <sz val="11"/>
      <color rgb="FFC00000"/>
      <name val="Carlito"/>
    </font>
    <font>
      <i/>
      <sz val="11"/>
      <color rgb="FF666666"/>
      <name val="Carlito"/>
    </font>
    <font>
      <b/>
      <sz val="11"/>
      <color rgb="FFFFFFFF"/>
      <name val="Carlito"/>
    </font>
    <font>
      <b/>
      <sz val="14"/>
      <name val="Carlito"/>
    </font>
    <font>
      <b/>
      <sz val="11"/>
      <color rgb="FF1F4E78"/>
      <name val="Carlito"/>
    </font>
    <font>
      <b/>
      <sz val="15"/>
      <color rgb="FFFFFFFF"/>
      <name val="Carlito"/>
    </font>
    <font>
      <b/>
      <sz val="10"/>
      <color rgb="FFFFFFFF"/>
      <name val="Carlito"/>
    </font>
    <font>
      <b/>
      <sz val="10"/>
      <name val="Carlito"/>
    </font>
    <font>
      <b/>
      <sz val="12"/>
      <color rgb="FF1F4E78"/>
      <name val="Carlito"/>
    </font>
    <font>
      <i/>
      <sz val="9"/>
      <color rgb="FF808080"/>
      <name val="Carlito"/>
    </font>
    <font>
      <b/>
      <sz val="12"/>
      <color rgb="FFFFFFFF"/>
      <name val="Carlito"/>
    </font>
    <font>
      <b/>
      <sz val="10"/>
      <color rgb="FF1F4E78"/>
      <name val="Carlito"/>
    </font>
    <font>
      <b/>
      <sz val="9"/>
      <color rgb="FFFFFFFF"/>
      <name val="Carlito"/>
    </font>
    <font>
      <b/>
      <sz val="9"/>
      <color rgb="FF000000"/>
      <name val="Carlito"/>
    </font>
    <font>
      <i/>
      <sz val="10"/>
      <color rgb="FFFFFFFF"/>
      <name val="Carlito"/>
    </font>
    <font>
      <b/>
      <sz val="11"/>
      <color rgb="FFFFFFFF"/>
      <name val="Carlito"/>
    </font>
    <font>
      <sz val="9"/>
      <color rgb="FF808080"/>
      <name val="Carlito"/>
    </font>
  </fonts>
  <fills count="82">
    <fill>
      <patternFill patternType="none"/>
    </fill>
    <fill>
      <patternFill patternType="gray125"/>
    </fill>
    <fill>
      <patternFill patternType="solid">
        <fgColor rgb="FF24577A"/>
      </patternFill>
    </fill>
    <fill>
      <patternFill patternType="solid">
        <fgColor rgb="FF17324D"/>
      </patternFill>
    </fill>
    <fill>
      <patternFill patternType="solid">
        <fgColor rgb="FF0B1F33"/>
      </patternFill>
    </fill>
    <fill>
      <patternFill patternType="solid">
        <fgColor rgb="FF1F4E78"/>
      </patternFill>
    </fill>
    <fill>
      <patternFill patternType="solid">
        <fgColor rgb="FF991B1B"/>
      </patternFill>
    </fill>
    <fill>
      <patternFill patternType="solid">
        <fgColor rgb="FFD9EAF7"/>
      </patternFill>
    </fill>
    <fill>
      <patternFill patternType="solid">
        <fgColor rgb="FFFFFDE7"/>
      </patternFill>
    </fill>
    <fill>
      <patternFill patternType="solid">
        <fgColor rgb="FFEAF3F8"/>
      </patternFill>
    </fill>
    <fill>
      <patternFill patternType="solid">
        <fgColor rgb="FFF8FBFD"/>
      </patternFill>
    </fill>
    <fill>
      <patternFill patternType="solid">
        <fgColor rgb="FFEEF5FB"/>
      </patternFill>
    </fill>
    <fill>
      <patternFill patternType="solid">
        <fgColor rgb="FFD9E1F2"/>
      </patternFill>
    </fill>
    <fill>
      <patternFill patternType="solid">
        <fgColor rgb="FF1F3864"/>
      </patternFill>
    </fill>
    <fill>
      <patternFill patternType="solid">
        <fgColor rgb="FFFFE699"/>
      </patternFill>
    </fill>
    <fill>
      <patternFill patternType="solid">
        <fgColor rgb="FFF8CBAD"/>
      </patternFill>
    </fill>
    <fill>
      <patternFill patternType="solid">
        <fgColor rgb="FFEAF3F8"/>
      </patternFill>
    </fill>
    <fill>
      <patternFill patternType="solid">
        <fgColor rgb="FF0F766E"/>
      </patternFill>
    </fill>
    <fill>
      <patternFill patternType="solid">
        <fgColor rgb="FF6B7280"/>
      </patternFill>
    </fill>
    <fill>
      <patternFill patternType="solid">
        <fgColor rgb="FFE5E7EB"/>
      </patternFill>
    </fill>
    <fill>
      <patternFill patternType="solid">
        <fgColor rgb="FFFFF2CC"/>
      </patternFill>
    </fill>
    <fill>
      <patternFill patternType="solid">
        <fgColor rgb="FFFDE68A"/>
      </patternFill>
    </fill>
    <fill>
      <patternFill patternType="solid">
        <fgColor rgb="FFD9EAD3"/>
      </patternFill>
    </fill>
    <fill>
      <patternFill patternType="solid">
        <fgColor rgb="FFEAF2F8"/>
      </patternFill>
    </fill>
    <fill>
      <patternFill patternType="solid">
        <fgColor rgb="FF111827"/>
      </patternFill>
    </fill>
    <fill>
      <patternFill patternType="solid">
        <fgColor rgb="FF1F4E78"/>
      </patternFill>
    </fill>
    <fill>
      <patternFill patternType="solid">
        <fgColor rgb="FFD9EAD3"/>
      </patternFill>
    </fill>
    <fill>
      <patternFill patternType="solid">
        <fgColor rgb="FF17365D"/>
      </patternFill>
    </fill>
    <fill>
      <patternFill patternType="solid">
        <fgColor rgb="FF0F766E"/>
      </patternFill>
    </fill>
    <fill>
      <patternFill patternType="solid">
        <fgColor rgb="FFEEF6FC"/>
      </patternFill>
    </fill>
    <fill>
      <patternFill patternType="solid">
        <fgColor rgb="FFFFFFFF"/>
      </patternFill>
    </fill>
    <fill>
      <patternFill patternType="solid">
        <fgColor rgb="FFF3F6F8"/>
      </patternFill>
    </fill>
    <fill>
      <patternFill patternType="solid">
        <fgColor rgb="FFEAF6F1"/>
      </patternFill>
    </fill>
    <fill>
      <patternFill patternType="solid">
        <fgColor rgb="FF1F4E79"/>
      </patternFill>
    </fill>
    <fill>
      <patternFill patternType="solid">
        <fgColor rgb="FF7030A0"/>
      </patternFill>
    </fill>
    <fill>
      <patternFill patternType="solid">
        <fgColor rgb="FFC65911"/>
      </patternFill>
    </fill>
    <fill>
      <patternFill patternType="solid">
        <fgColor rgb="FF14532D"/>
      </patternFill>
    </fill>
    <fill>
      <patternFill patternType="solid">
        <fgColor rgb="FF666666"/>
      </patternFill>
    </fill>
    <fill>
      <patternFill patternType="solid">
        <fgColor rgb="FFFFF2CC"/>
      </patternFill>
    </fill>
    <fill>
      <patternFill patternType="solid">
        <fgColor rgb="FFF8FAFC"/>
      </patternFill>
    </fill>
    <fill>
      <patternFill patternType="solid">
        <fgColor rgb="FFF1F5F9"/>
      </patternFill>
    </fill>
    <fill>
      <patternFill patternType="solid">
        <fgColor rgb="FF334155"/>
      </patternFill>
    </fill>
    <fill>
      <patternFill patternType="solid">
        <fgColor rgb="FF86EFAC"/>
      </patternFill>
    </fill>
    <fill>
      <patternFill patternType="solid">
        <fgColor rgb="FFFDE68A"/>
      </patternFill>
    </fill>
    <fill>
      <patternFill patternType="solid">
        <fgColor rgb="FFE5E7EB"/>
      </patternFill>
    </fill>
    <fill>
      <patternFill patternType="solid">
        <fgColor rgb="FFFCA5A5"/>
      </patternFill>
    </fill>
    <fill>
      <patternFill patternType="solid">
        <fgColor rgb="FFEAF4FB"/>
      </patternFill>
    </fill>
    <fill>
      <patternFill patternType="solid">
        <fgColor rgb="FFE2F0D9"/>
      </patternFill>
    </fill>
    <fill>
      <patternFill patternType="solid">
        <fgColor rgb="FFFCE4D6"/>
      </patternFill>
    </fill>
    <fill>
      <patternFill patternType="solid">
        <fgColor rgb="FFF4CCCC"/>
      </patternFill>
    </fill>
    <fill>
      <patternFill patternType="solid">
        <fgColor rgb="FFC00000"/>
      </patternFill>
    </fill>
    <fill>
      <patternFill patternType="solid">
        <fgColor rgb="FFC6E0B4"/>
      </patternFill>
    </fill>
    <fill>
      <patternFill patternType="solid">
        <fgColor rgb="FFFFE699"/>
      </patternFill>
    </fill>
    <fill>
      <patternFill patternType="solid">
        <fgColor rgb="FFF8F9FA"/>
      </patternFill>
    </fill>
    <fill>
      <patternFill patternType="solid">
        <fgColor rgb="FF1F4E78"/>
      </patternFill>
    </fill>
    <fill>
      <patternFill patternType="solid">
        <fgColor rgb="FF8064A2"/>
      </patternFill>
    </fill>
    <fill>
      <patternFill patternType="solid">
        <fgColor rgb="FF70AD47"/>
      </patternFill>
    </fill>
    <fill>
      <patternFill patternType="solid">
        <fgColor rgb="FFE2F0D9"/>
      </patternFill>
    </fill>
    <fill>
      <patternFill patternType="solid">
        <fgColor rgb="FFFFF2CC"/>
      </patternFill>
    </fill>
    <fill>
      <patternFill patternType="solid">
        <fgColor rgb="FFD9EAF7"/>
      </patternFill>
    </fill>
    <fill>
      <patternFill patternType="solid">
        <fgColor rgb="FFD9EAD3"/>
      </patternFill>
    </fill>
    <fill>
      <patternFill patternType="solid">
        <fgColor rgb="FF0F766E"/>
      </patternFill>
    </fill>
    <fill>
      <patternFill patternType="solid">
        <fgColor rgb="FFDCFCE7"/>
      </patternFill>
    </fill>
    <fill>
      <patternFill patternType="solid">
        <fgColor rgb="FFFEF3C7"/>
      </patternFill>
    </fill>
    <fill>
      <patternFill patternType="solid">
        <fgColor rgb="FF5B9BD5"/>
      </patternFill>
    </fill>
    <fill>
      <patternFill patternType="solid">
        <fgColor rgb="FF305496"/>
      </patternFill>
    </fill>
    <fill>
      <patternFill patternType="solid">
        <fgColor rgb="FF1F4E79"/>
      </patternFill>
    </fill>
    <fill>
      <patternFill patternType="solid">
        <fgColor rgb="FF1F4E78"/>
      </patternFill>
    </fill>
    <fill>
      <patternFill patternType="solid">
        <fgColor rgb="FFE2EFDA"/>
      </patternFill>
    </fill>
    <fill>
      <patternFill patternType="solid">
        <fgColor rgb="FFFCE4E4"/>
      </patternFill>
    </fill>
    <fill>
      <patternFill patternType="solid">
        <fgColor rgb="FF1F4E78"/>
      </patternFill>
    </fill>
    <fill>
      <patternFill patternType="solid">
        <fgColor rgb="FF2E75B6"/>
      </patternFill>
    </fill>
    <fill>
      <patternFill patternType="solid">
        <fgColor rgb="FF44546A"/>
      </patternFill>
    </fill>
    <fill>
      <patternFill patternType="solid">
        <fgColor rgb="FFDDEBF7"/>
      </patternFill>
    </fill>
    <fill>
      <patternFill patternType="solid">
        <fgColor rgb="FFF2F7FC"/>
      </patternFill>
    </fill>
    <fill>
      <patternFill patternType="solid">
        <fgColor rgb="FFF8696B"/>
      </patternFill>
    </fill>
    <fill>
      <patternFill patternType="solid">
        <fgColor rgb="FFFFD666"/>
      </patternFill>
    </fill>
    <fill>
      <patternFill patternType="solid">
        <fgColor rgb="FF63BE7B"/>
      </patternFill>
    </fill>
    <fill>
      <patternFill patternType="solid">
        <fgColor rgb="FFED7D31"/>
      </patternFill>
    </fill>
    <fill>
      <patternFill patternType="solid">
        <fgColor rgb="FFFFF2CC"/>
      </patternFill>
    </fill>
    <fill>
      <patternFill patternType="solid">
        <fgColor rgb="FF538135"/>
      </patternFill>
    </fill>
    <fill>
      <patternFill patternType="solid">
        <fgColor rgb="FFC55A11"/>
      </patternFill>
    </fill>
  </fills>
  <borders count="42">
    <border>
      <left/>
      <right/>
      <top/>
      <bottom/>
      <diagonal/>
    </border>
    <border>
      <left/>
      <right/>
      <top/>
      <bottom/>
      <diagonal/>
    </border>
    <border>
      <left style="thin">
        <color rgb="FFE5E7EB"/>
      </left>
      <right style="thin">
        <color rgb="FFE5E7EB"/>
      </right>
      <top style="thin">
        <color rgb="FFE5E7EB"/>
      </top>
      <bottom style="thin">
        <color rgb="FFE5E7EB"/>
      </bottom>
      <diagonal/>
    </border>
    <border>
      <left style="thin">
        <color rgb="FFD9E2F3"/>
      </left>
      <right style="thin">
        <color rgb="FFD9E2F3"/>
      </right>
      <top style="thin">
        <color rgb="FFD9E2F3"/>
      </top>
      <bottom style="thin">
        <color rgb="FFD9E2F3"/>
      </bottom>
      <diagonal/>
    </border>
    <border>
      <left/>
      <right/>
      <top style="thin">
        <color rgb="FFD9E2F3"/>
      </top>
      <bottom/>
      <diagonal/>
    </border>
    <border>
      <left/>
      <right/>
      <top style="thin">
        <color rgb="FFD9E2F3"/>
      </top>
      <bottom style="thin">
        <color rgb="FFD9E2F3"/>
      </bottom>
      <diagonal/>
    </border>
    <border>
      <left/>
      <right style="thin">
        <color rgb="FFD9E2F3"/>
      </right>
      <top style="thin">
        <color rgb="FFD9E2F3"/>
      </top>
      <bottom style="thin">
        <color rgb="FFD9E2F3"/>
      </bottom>
      <diagonal/>
    </border>
    <border>
      <left/>
      <right/>
      <top/>
      <bottom style="thin">
        <color rgb="FFD9E2F3"/>
      </bottom>
      <diagonal/>
    </border>
    <border>
      <left style="thin">
        <color rgb="FFBFBFBF"/>
      </left>
      <right style="thin">
        <color rgb="FFBFBFBF"/>
      </right>
      <top style="thin">
        <color rgb="FFBFBFBF"/>
      </top>
      <bottom style="thin">
        <color rgb="FFBFBFBF"/>
      </bottom>
      <diagonal/>
    </border>
    <border>
      <left/>
      <right/>
      <top/>
      <bottom/>
      <diagonal/>
    </border>
    <border>
      <left style="thin">
        <color rgb="FFCBD5E1"/>
      </left>
      <right style="thin">
        <color rgb="FFCBD5E1"/>
      </right>
      <top style="medium">
        <color rgb="FF1F4E79"/>
      </top>
      <bottom style="medium">
        <color rgb="FF1F4E79"/>
      </bottom>
      <diagonal/>
    </border>
    <border>
      <left/>
      <right/>
      <top style="medium">
        <color rgb="FF64748B"/>
      </top>
      <bottom style="thin">
        <color rgb="FFCBD5E1"/>
      </bottom>
      <diagonal/>
    </border>
    <border>
      <left/>
      <right/>
      <top style="medium">
        <color rgb="FF64748B"/>
      </top>
      <bottom style="thin">
        <color rgb="FFCBD5E1"/>
      </bottom>
      <diagonal/>
    </border>
    <border>
      <left/>
      <right/>
      <top style="medium">
        <color rgb="FF1F4E79"/>
      </top>
      <bottom style="medium">
        <color rgb="FF1F4E79"/>
      </bottom>
      <diagonal/>
    </border>
    <border>
      <left/>
      <right style="thin">
        <color rgb="FFCBD5E1"/>
      </right>
      <top style="medium">
        <color rgb="FF1F4E79"/>
      </top>
      <bottom style="medium">
        <color rgb="FF1F4E79"/>
      </bottom>
      <diagonal/>
    </border>
    <border>
      <left style="thin">
        <color rgb="FFCBD5E1"/>
      </left>
      <right style="thin">
        <color rgb="FFCBD5E1"/>
      </right>
      <top style="thin">
        <color rgb="FFCBD5E1"/>
      </top>
      <bottom style="thin">
        <color rgb="FFCBD5E1"/>
      </bottom>
      <diagonal/>
    </border>
    <border>
      <left/>
      <right/>
      <top style="thin">
        <color rgb="FFCBD5E1"/>
      </top>
      <bottom/>
      <diagonal/>
    </border>
    <border>
      <left/>
      <right style="thin">
        <color rgb="FFCBD5E1"/>
      </right>
      <top style="thin">
        <color rgb="FFCBD5E1"/>
      </top>
      <bottom/>
      <diagonal/>
    </border>
    <border>
      <left/>
      <right/>
      <top style="thin">
        <color rgb="FFCBD5E1"/>
      </top>
      <bottom style="thin">
        <color rgb="FFCBD5E1"/>
      </bottom>
      <diagonal/>
    </border>
    <border>
      <left/>
      <right style="thin">
        <color rgb="FFCBD5E1"/>
      </right>
      <top style="thin">
        <color rgb="FFCBD5E1"/>
      </top>
      <bottom style="thin">
        <color rgb="FFCBD5E1"/>
      </bottom>
      <diagonal/>
    </border>
    <border>
      <left style="thin">
        <color rgb="FFD0D7DE"/>
      </left>
      <right style="thin">
        <color rgb="FFD0D7DE"/>
      </right>
      <top style="thin">
        <color rgb="FFD0D7DE"/>
      </top>
      <bottom style="thin">
        <color rgb="FFD0D7DE"/>
      </bottom>
      <diagonal/>
    </border>
    <border>
      <left/>
      <right/>
      <top/>
      <bottom/>
      <diagonal/>
    </border>
    <border>
      <left/>
      <right/>
      <top style="medium">
        <color rgb="FF1F4E79"/>
      </top>
      <bottom style="thin">
        <color rgb="FFD0D7DE"/>
      </bottom>
      <diagonal/>
    </border>
    <border>
      <left/>
      <right/>
      <top/>
      <bottom/>
      <diagonal/>
    </border>
    <border>
      <left style="thin">
        <color rgb="FFCBD5E1"/>
      </left>
      <right/>
      <top/>
      <bottom style="thin">
        <color rgb="FFCBD5E1"/>
      </bottom>
      <diagonal/>
    </border>
    <border>
      <left/>
      <right/>
      <top/>
      <bottom style="thin">
        <color rgb="FFCBD5E1"/>
      </bottom>
      <diagonal/>
    </border>
    <border>
      <left/>
      <right style="thin">
        <color rgb="FFCBD5E1"/>
      </right>
      <top/>
      <bottom style="thin">
        <color rgb="FFCBD5E1"/>
      </bottom>
      <diagonal/>
    </border>
    <border>
      <left/>
      <right/>
      <top style="medium">
        <color rgb="FF1F4E78"/>
      </top>
      <bottom style="medium">
        <color rgb="FF1F4E78"/>
      </bottom>
      <diagonal/>
    </border>
    <border>
      <left style="thin">
        <color rgb="FFD9E2F3"/>
      </left>
      <right style="thin">
        <color rgb="FFD9E2F3"/>
      </right>
      <top style="thin">
        <color rgb="FFD9E2F3"/>
      </top>
      <bottom style="thin">
        <color rgb="FFD9E2F3"/>
      </bottom>
      <diagonal/>
    </border>
    <border>
      <left style="thin">
        <color rgb="FFD9E2F3"/>
      </left>
      <right style="thin">
        <color rgb="FFD9E2F3"/>
      </right>
      <top style="thin">
        <color rgb="FFD9E2F3"/>
      </top>
      <bottom style="thin">
        <color rgb="FFD9E2F3"/>
      </bottom>
      <diagonal/>
    </border>
    <border>
      <left style="thin">
        <color rgb="FFD9E2F3"/>
      </left>
      <right/>
      <top/>
      <bottom/>
      <diagonal/>
    </border>
    <border>
      <left/>
      <right style="thin">
        <color rgb="FFD9E2F3"/>
      </right>
      <top style="thin">
        <color rgb="FFD9E2F3"/>
      </top>
      <bottom/>
      <diagonal/>
    </border>
    <border>
      <left/>
      <right style="thin">
        <color rgb="FFD9E2F3"/>
      </right>
      <top/>
      <bottom/>
      <diagonal/>
    </border>
    <border>
      <left style="thin">
        <color rgb="FFD9E2F3"/>
      </left>
      <right/>
      <top/>
      <bottom style="thin">
        <color rgb="FFD9E2F3"/>
      </bottom>
      <diagonal/>
    </border>
    <border>
      <left/>
      <right style="thin">
        <color rgb="FFD9E2F3"/>
      </right>
      <top/>
      <bottom style="thin">
        <color rgb="FFD9E2F3"/>
      </bottom>
      <diagonal/>
    </border>
    <border>
      <left style="thin">
        <color rgb="FFD1D5DB"/>
      </left>
      <right style="thin">
        <color rgb="FFD1D5DB"/>
      </right>
      <top style="thin">
        <color rgb="FFD1D5DB"/>
      </top>
      <bottom style="thin">
        <color rgb="FFD1D5DB"/>
      </bottom>
      <diagonal/>
    </border>
    <border>
      <left/>
      <right/>
      <top style="thin">
        <color rgb="FFD1D5DB"/>
      </top>
      <bottom style="thin">
        <color rgb="FFD1D5DB"/>
      </bottom>
      <diagonal/>
    </border>
    <border>
      <left/>
      <right style="thin">
        <color rgb="FFD1D5DB"/>
      </right>
      <top style="thin">
        <color rgb="FFD1D5DB"/>
      </top>
      <bottom style="thin">
        <color rgb="FFD1D5DB"/>
      </bottom>
      <diagonal/>
    </border>
    <border>
      <left/>
      <right style="thin">
        <color rgb="FFD9E2F3"/>
      </right>
      <top style="thin">
        <color rgb="FFD9E2F3"/>
      </top>
      <bottom style="thin">
        <color rgb="FFD9E2F3"/>
      </bottom>
      <diagonal/>
    </border>
    <border>
      <left style="thin">
        <color rgb="FFBFC9D9"/>
      </left>
      <right style="thin">
        <color rgb="FFBFC9D9"/>
      </right>
      <top style="thin">
        <color rgb="FFBFC9D9"/>
      </top>
      <bottom style="thin">
        <color rgb="FFBFC9D9"/>
      </bottom>
      <diagonal/>
    </border>
    <border>
      <left/>
      <right/>
      <top style="thin">
        <color rgb="FFBFC9D9"/>
      </top>
      <bottom style="thin">
        <color rgb="FFBFC9D9"/>
      </bottom>
      <diagonal/>
    </border>
    <border>
      <left/>
      <right style="thin">
        <color rgb="FFBFC9D9"/>
      </right>
      <top style="thin">
        <color rgb="FFBFC9D9"/>
      </top>
      <bottom style="thin">
        <color rgb="FFBFC9D9"/>
      </bottom>
      <diagonal/>
    </border>
  </borders>
  <cellStyleXfs count="2">
    <xf numFmtId="0" fontId="0" fillId="0" borderId="23"/>
    <xf numFmtId="0" fontId="17" fillId="0" borderId="23"/>
  </cellStyleXfs>
  <cellXfs count="315">
    <xf numFmtId="0" fontId="0" fillId="0" borderId="0" xfId="0" applyBorder="1"/>
    <xf numFmtId="0" fontId="0" fillId="0" borderId="1" xfId="0" applyBorder="1"/>
    <xf numFmtId="0" fontId="0" fillId="0" borderId="0" xfId="0" applyBorder="1" applyAlignment="1">
      <alignment vertical="top" wrapText="1"/>
    </xf>
    <xf numFmtId="2" fontId="0" fillId="0" borderId="0" xfId="0" applyNumberFormat="1" applyBorder="1" applyAlignment="1">
      <alignment vertical="top" wrapText="1"/>
    </xf>
    <xf numFmtId="2" fontId="0" fillId="0" borderId="0" xfId="0" applyNumberFormat="1" applyBorder="1"/>
    <xf numFmtId="0" fontId="0" fillId="0" borderId="0" xfId="0" applyBorder="1" applyAlignment="1">
      <alignment horizontal="center"/>
    </xf>
    <xf numFmtId="1" fontId="0" fillId="0" borderId="0" xfId="0" applyNumberFormat="1" applyBorder="1" applyAlignment="1">
      <alignment horizontal="center"/>
    </xf>
    <xf numFmtId="2" fontId="0" fillId="0" borderId="0" xfId="0" applyNumberFormat="1" applyBorder="1" applyAlignment="1">
      <alignment horizontal="center"/>
    </xf>
    <xf numFmtId="9" fontId="0" fillId="0" borderId="0" xfId="0" applyNumberFormat="1" applyBorder="1" applyAlignment="1">
      <alignment horizontal="center"/>
    </xf>
    <xf numFmtId="0" fontId="2" fillId="0" borderId="2" xfId="0" applyFont="1" applyBorder="1" applyAlignment="1">
      <alignment vertical="top" wrapText="1"/>
    </xf>
    <xf numFmtId="0" fontId="2" fillId="6" borderId="2" xfId="0" applyFont="1" applyFill="1" applyBorder="1" applyAlignment="1">
      <alignment vertical="top" wrapText="1"/>
    </xf>
    <xf numFmtId="0" fontId="4" fillId="7" borderId="3" xfId="0" applyFont="1" applyFill="1" applyBorder="1"/>
    <xf numFmtId="0" fontId="0" fillId="8" borderId="3" xfId="0" applyFill="1" applyBorder="1"/>
    <xf numFmtId="0" fontId="0" fillId="0" borderId="3" xfId="0" applyBorder="1" applyAlignment="1">
      <alignment wrapText="1"/>
    </xf>
    <xf numFmtId="0" fontId="0" fillId="0" borderId="3" xfId="0" applyBorder="1" applyAlignment="1">
      <alignment vertical="top" wrapText="1"/>
    </xf>
    <xf numFmtId="0" fontId="1" fillId="5" borderId="3" xfId="0" applyFont="1" applyFill="1" applyBorder="1" applyAlignment="1">
      <alignment horizontal="center" vertical="center" wrapText="1"/>
    </xf>
    <xf numFmtId="0" fontId="6" fillId="5" borderId="3" xfId="0" applyFont="1" applyFill="1" applyBorder="1" applyAlignment="1">
      <alignment vertical="top" wrapText="1"/>
    </xf>
    <xf numFmtId="0" fontId="6" fillId="0" borderId="3" xfId="0" applyFont="1" applyBorder="1" applyAlignment="1">
      <alignment vertical="top" wrapText="1"/>
    </xf>
    <xf numFmtId="0" fontId="0" fillId="0" borderId="3" xfId="0" applyBorder="1"/>
    <xf numFmtId="0" fontId="9" fillId="0" borderId="3" xfId="0" applyFont="1" applyBorder="1" applyAlignment="1">
      <alignment vertical="top" wrapText="1"/>
    </xf>
    <xf numFmtId="0" fontId="6" fillId="8" borderId="3" xfId="0" applyFont="1" applyFill="1" applyBorder="1" applyAlignment="1">
      <alignment vertical="top" wrapText="1"/>
    </xf>
    <xf numFmtId="0" fontId="4" fillId="0" borderId="3" xfId="0" applyFont="1" applyBorder="1"/>
    <xf numFmtId="0" fontId="0" fillId="9" borderId="3" xfId="0" applyFill="1" applyBorder="1"/>
    <xf numFmtId="0" fontId="0" fillId="10" borderId="3" xfId="0" applyFill="1" applyBorder="1" applyAlignment="1">
      <alignment vertical="top" wrapText="1"/>
    </xf>
    <xf numFmtId="0" fontId="1" fillId="5" borderId="3" xfId="0" applyFont="1" applyFill="1" applyBorder="1" applyAlignment="1">
      <alignment vertical="top" wrapText="1"/>
    </xf>
    <xf numFmtId="49" fontId="7" fillId="11" borderId="3" xfId="0" applyNumberFormat="1" applyFont="1" applyFill="1" applyBorder="1" applyAlignment="1">
      <alignment horizontal="center" vertical="center" wrapText="1"/>
    </xf>
    <xf numFmtId="0" fontId="7" fillId="11" borderId="3" xfId="0" applyFont="1" applyFill="1" applyBorder="1" applyAlignment="1">
      <alignment horizontal="center" vertical="center" wrapText="1"/>
    </xf>
    <xf numFmtId="0" fontId="0" fillId="0" borderId="3" xfId="0" applyBorder="1" applyAlignment="1">
      <alignment horizontal="center" vertical="center" wrapText="1"/>
    </xf>
    <xf numFmtId="0" fontId="7" fillId="7" borderId="3" xfId="0" applyFont="1" applyFill="1" applyBorder="1" applyAlignment="1">
      <alignment vertical="top" wrapText="1"/>
    </xf>
    <xf numFmtId="2" fontId="0" fillId="0" borderId="3" xfId="0" applyNumberFormat="1" applyBorder="1" applyAlignment="1">
      <alignment horizontal="center" vertical="center"/>
    </xf>
    <xf numFmtId="164" fontId="0" fillId="0" borderId="3" xfId="0" applyNumberFormat="1" applyBorder="1" applyAlignment="1">
      <alignment horizontal="center" vertical="center"/>
    </xf>
    <xf numFmtId="17" fontId="1" fillId="5" borderId="3" xfId="0" applyNumberFormat="1" applyFont="1" applyFill="1" applyBorder="1" applyAlignment="1">
      <alignment horizontal="center" vertical="center" wrapText="1"/>
    </xf>
    <xf numFmtId="1" fontId="0" fillId="0" borderId="3" xfId="0" applyNumberFormat="1" applyBorder="1" applyAlignment="1">
      <alignment horizontal="center" vertical="center"/>
    </xf>
    <xf numFmtId="0" fontId="0" fillId="0" borderId="3" xfId="0" applyBorder="1" applyAlignment="1">
      <alignment horizontal="center" vertical="center"/>
    </xf>
    <xf numFmtId="0" fontId="12" fillId="0" borderId="0" xfId="0" applyFont="1" applyBorder="1"/>
    <xf numFmtId="0" fontId="13" fillId="12" borderId="0" xfId="0" applyFont="1" applyFill="1" applyBorder="1"/>
    <xf numFmtId="0" fontId="14" fillId="12" borderId="8" xfId="0" applyFont="1" applyFill="1" applyBorder="1" applyAlignment="1">
      <alignment horizontal="center" textRotation="90"/>
    </xf>
    <xf numFmtId="0" fontId="14" fillId="12" borderId="8" xfId="0" applyFont="1" applyFill="1" applyBorder="1"/>
    <xf numFmtId="2" fontId="0" fillId="0" borderId="8" xfId="0" applyNumberFormat="1" applyBorder="1" applyAlignment="1">
      <alignment horizontal="center"/>
    </xf>
    <xf numFmtId="0" fontId="4" fillId="0" borderId="0" xfId="0" applyFont="1" applyBorder="1"/>
    <xf numFmtId="0" fontId="15" fillId="13" borderId="8" xfId="0" applyFont="1" applyFill="1" applyBorder="1" applyAlignment="1">
      <alignment horizontal="center" vertical="center" wrapText="1"/>
    </xf>
    <xf numFmtId="2" fontId="0" fillId="0" borderId="8" xfId="0" applyNumberFormat="1" applyBorder="1"/>
    <xf numFmtId="165" fontId="0" fillId="0" borderId="0" xfId="0" applyNumberFormat="1" applyBorder="1"/>
    <xf numFmtId="166" fontId="0" fillId="0" borderId="0" xfId="0" applyNumberFormat="1" applyBorder="1"/>
    <xf numFmtId="0" fontId="2" fillId="0" borderId="8" xfId="0" applyFont="1" applyBorder="1"/>
    <xf numFmtId="0" fontId="16" fillId="0" borderId="8" xfId="0" applyFont="1" applyBorder="1"/>
    <xf numFmtId="166" fontId="0" fillId="0" borderId="8" xfId="0" applyNumberFormat="1" applyBorder="1"/>
    <xf numFmtId="165" fontId="0" fillId="0" borderId="8" xfId="0" applyNumberFormat="1" applyBorder="1"/>
    <xf numFmtId="0" fontId="0" fillId="15" borderId="8" xfId="0" applyFill="1" applyBorder="1"/>
    <xf numFmtId="0" fontId="0" fillId="14" borderId="0" xfId="0" applyFill="1" applyBorder="1" applyAlignment="1">
      <alignment vertical="top" wrapText="1"/>
    </xf>
    <xf numFmtId="0" fontId="8" fillId="0" borderId="1" xfId="0" applyFont="1" applyBorder="1"/>
    <xf numFmtId="0" fontId="10" fillId="5" borderId="1" xfId="0" applyFont="1" applyFill="1" applyBorder="1"/>
    <xf numFmtId="0" fontId="0" fillId="0" borderId="6" xfId="0" applyBorder="1"/>
    <xf numFmtId="0" fontId="1" fillId="5" borderId="1" xfId="0" applyFont="1" applyFill="1" applyBorder="1"/>
    <xf numFmtId="0" fontId="7" fillId="0" borderId="3" xfId="0" applyFont="1" applyBorder="1"/>
    <xf numFmtId="0" fontId="0" fillId="0" borderId="5" xfId="0" applyBorder="1"/>
    <xf numFmtId="0" fontId="11" fillId="0" borderId="3" xfId="0" applyFont="1" applyBorder="1" applyAlignment="1">
      <alignment vertical="top" wrapText="1"/>
    </xf>
    <xf numFmtId="0" fontId="5" fillId="0" borderId="3" xfId="0" applyFont="1" applyBorder="1"/>
    <xf numFmtId="0" fontId="0" fillId="0" borderId="1" xfId="0" applyBorder="1" applyAlignment="1">
      <alignment wrapText="1"/>
    </xf>
    <xf numFmtId="0" fontId="1" fillId="2" borderId="1" xfId="0" applyFont="1" applyFill="1" applyBorder="1" applyAlignment="1">
      <alignment horizontal="center" wrapText="1"/>
    </xf>
    <xf numFmtId="0" fontId="3" fillId="4" borderId="1" xfId="0" applyFont="1" applyFill="1" applyBorder="1" applyAlignment="1">
      <alignment horizontal="left" vertical="center" wrapText="1"/>
    </xf>
    <xf numFmtId="0" fontId="4" fillId="0" borderId="1" xfId="0" applyFont="1" applyBorder="1" applyAlignment="1">
      <alignment wrapText="1"/>
    </xf>
    <xf numFmtId="0" fontId="1" fillId="2" borderId="1" xfId="0" applyFont="1" applyFill="1" applyBorder="1" applyAlignment="1">
      <alignment horizontal="center"/>
    </xf>
    <xf numFmtId="9" fontId="0" fillId="0" borderId="1" xfId="0" applyNumberFormat="1" applyBorder="1" applyAlignment="1">
      <alignment wrapText="1"/>
    </xf>
    <xf numFmtId="2" fontId="0" fillId="0" borderId="1" xfId="0" applyNumberFormat="1" applyBorder="1" applyAlignment="1">
      <alignment wrapText="1"/>
    </xf>
    <xf numFmtId="2" fontId="0" fillId="0" borderId="1" xfId="0" applyNumberFormat="1" applyBorder="1"/>
    <xf numFmtId="0" fontId="1" fillId="3" borderId="1" xfId="0" applyFont="1" applyFill="1" applyBorder="1" applyAlignment="1">
      <alignment horizontal="center" vertical="center" wrapText="1"/>
    </xf>
    <xf numFmtId="0" fontId="0" fillId="0" borderId="1" xfId="0" applyBorder="1" applyAlignment="1">
      <alignment vertical="center"/>
    </xf>
    <xf numFmtId="2" fontId="0" fillId="0" borderId="1" xfId="0" applyNumberFormat="1" applyBorder="1" applyAlignment="1">
      <alignment horizontal="center" vertical="center"/>
    </xf>
    <xf numFmtId="9" fontId="0" fillId="0" borderId="1" xfId="0" applyNumberFormat="1" applyBorder="1" applyAlignment="1">
      <alignment horizontal="center" vertical="center"/>
    </xf>
    <xf numFmtId="1" fontId="0" fillId="0" borderId="1" xfId="0" applyNumberFormat="1" applyBorder="1" applyAlignment="1">
      <alignment horizontal="center" vertical="center"/>
    </xf>
    <xf numFmtId="0" fontId="0" fillId="0" borderId="1" xfId="0" applyBorder="1" applyAlignment="1">
      <alignment vertical="center" wrapText="1"/>
    </xf>
    <xf numFmtId="2" fontId="0" fillId="0" borderId="1" xfId="0" applyNumberFormat="1" applyBorder="1" applyAlignment="1">
      <alignment horizontal="center" vertical="center" wrapText="1"/>
    </xf>
    <xf numFmtId="9" fontId="0" fillId="0" borderId="1" xfId="0" applyNumberFormat="1" applyBorder="1" applyAlignment="1">
      <alignment horizontal="center" vertical="center" wrapText="1"/>
    </xf>
    <xf numFmtId="2" fontId="0" fillId="0" borderId="1" xfId="0" applyNumberFormat="1" applyBorder="1" applyAlignment="1">
      <alignment vertical="center"/>
    </xf>
    <xf numFmtId="0" fontId="18" fillId="16" borderId="0" xfId="0" applyFont="1" applyFill="1" applyBorder="1" applyAlignment="1">
      <alignment vertical="center"/>
    </xf>
    <xf numFmtId="0" fontId="21" fillId="20" borderId="11" xfId="0" applyFont="1" applyFill="1" applyBorder="1" applyAlignment="1">
      <alignment horizontal="left" vertical="center" wrapText="1"/>
    </xf>
    <xf numFmtId="0" fontId="20" fillId="19" borderId="0" xfId="0" applyFont="1" applyFill="1" applyBorder="1" applyAlignment="1">
      <alignment vertical="center" wrapText="1"/>
    </xf>
    <xf numFmtId="0" fontId="20" fillId="19" borderId="1" xfId="0" applyFont="1" applyFill="1" applyBorder="1" applyAlignment="1">
      <alignment vertical="center" wrapText="1"/>
    </xf>
    <xf numFmtId="0" fontId="22" fillId="17" borderId="10" xfId="0" applyFont="1" applyFill="1" applyBorder="1" applyAlignment="1">
      <alignment horizontal="center" vertical="center" wrapText="1"/>
    </xf>
    <xf numFmtId="0" fontId="6" fillId="22" borderId="3" xfId="0" applyFont="1" applyFill="1" applyBorder="1" applyAlignment="1">
      <alignment vertical="top" wrapText="1"/>
    </xf>
    <xf numFmtId="167" fontId="6" fillId="22" borderId="3" xfId="0" applyNumberFormat="1" applyFont="1" applyFill="1" applyBorder="1" applyAlignment="1">
      <alignment vertical="top" wrapText="1"/>
    </xf>
    <xf numFmtId="0" fontId="0" fillId="22" borderId="0" xfId="0" applyFill="1" applyBorder="1"/>
    <xf numFmtId="0" fontId="0" fillId="22" borderId="3" xfId="0" applyFill="1" applyBorder="1"/>
    <xf numFmtId="0" fontId="19" fillId="17" borderId="10" xfId="0" applyFont="1" applyFill="1" applyBorder="1" applyAlignment="1">
      <alignment horizontal="center" vertical="center" wrapText="1"/>
    </xf>
    <xf numFmtId="0" fontId="19" fillId="18" borderId="10" xfId="0" applyFont="1" applyFill="1" applyBorder="1" applyAlignment="1">
      <alignment horizontal="center" vertical="center" wrapText="1"/>
    </xf>
    <xf numFmtId="0" fontId="23" fillId="20" borderId="11" xfId="0" applyFont="1" applyFill="1" applyBorder="1" applyAlignment="1">
      <alignment horizontal="left" vertical="center" wrapText="1"/>
    </xf>
    <xf numFmtId="0" fontId="22" fillId="21" borderId="10" xfId="0" applyFont="1" applyFill="1" applyBorder="1" applyAlignment="1">
      <alignment horizontal="center" vertical="center" wrapText="1"/>
    </xf>
    <xf numFmtId="2" fontId="0" fillId="23" borderId="8" xfId="0" applyNumberFormat="1" applyFill="1" applyBorder="1" applyAlignment="1">
      <alignment horizontal="center"/>
    </xf>
    <xf numFmtId="2" fontId="0" fillId="19" borderId="8" xfId="0" applyNumberFormat="1" applyFill="1" applyBorder="1" applyAlignment="1">
      <alignment horizontal="center"/>
    </xf>
    <xf numFmtId="2" fontId="0" fillId="22" borderId="8" xfId="0" applyNumberFormat="1" applyFill="1" applyBorder="1" applyAlignment="1">
      <alignment horizontal="center"/>
    </xf>
    <xf numFmtId="165" fontId="21" fillId="20" borderId="11" xfId="0" applyNumberFormat="1" applyFont="1" applyFill="1" applyBorder="1" applyAlignment="1">
      <alignment horizontal="left" vertical="center" wrapText="1"/>
    </xf>
    <xf numFmtId="166" fontId="21" fillId="20" borderId="11" xfId="0" applyNumberFormat="1" applyFont="1" applyFill="1" applyBorder="1" applyAlignment="1">
      <alignment horizontal="left" vertical="center" wrapText="1"/>
    </xf>
    <xf numFmtId="2" fontId="21" fillId="20" borderId="11" xfId="0" applyNumberFormat="1" applyFont="1" applyFill="1" applyBorder="1" applyAlignment="1">
      <alignment horizontal="left" vertical="center" wrapText="1"/>
    </xf>
    <xf numFmtId="166" fontId="22" fillId="21" borderId="10" xfId="0" applyNumberFormat="1" applyFont="1" applyFill="1" applyBorder="1" applyAlignment="1">
      <alignment horizontal="center" vertical="center" wrapText="1"/>
    </xf>
    <xf numFmtId="2" fontId="22" fillId="21" borderId="10" xfId="0" applyNumberFormat="1" applyFont="1" applyFill="1" applyBorder="1" applyAlignment="1">
      <alignment horizontal="center" vertical="center" wrapText="1"/>
    </xf>
    <xf numFmtId="165" fontId="22" fillId="21" borderId="10" xfId="0" applyNumberFormat="1" applyFont="1" applyFill="1" applyBorder="1" applyAlignment="1">
      <alignment horizontal="center" vertical="center" wrapText="1"/>
    </xf>
    <xf numFmtId="0" fontId="19" fillId="24" borderId="10" xfId="0" applyFont="1" applyFill="1" applyBorder="1" applyAlignment="1">
      <alignment horizontal="center" vertical="center" wrapText="1"/>
    </xf>
    <xf numFmtId="0" fontId="27" fillId="0" borderId="0" xfId="0" applyFont="1" applyBorder="1"/>
    <xf numFmtId="0" fontId="25" fillId="19" borderId="0" xfId="0" applyFont="1" applyFill="1" applyBorder="1" applyAlignment="1">
      <alignment vertical="center" wrapText="1"/>
    </xf>
    <xf numFmtId="0" fontId="26" fillId="0" borderId="0" xfId="0" applyFont="1" applyBorder="1"/>
    <xf numFmtId="0" fontId="24" fillId="20" borderId="11" xfId="0" applyFont="1" applyFill="1" applyBorder="1" applyAlignment="1">
      <alignment horizontal="left" vertical="center" wrapText="1"/>
    </xf>
    <xf numFmtId="0" fontId="20" fillId="19" borderId="9" xfId="0" applyFont="1" applyFill="1" applyBorder="1" applyAlignment="1">
      <alignment vertical="center" wrapText="1"/>
    </xf>
    <xf numFmtId="0" fontId="13" fillId="12" borderId="9" xfId="0" applyFont="1" applyFill="1" applyBorder="1"/>
    <xf numFmtId="0" fontId="14" fillId="0" borderId="9" xfId="0" applyFont="1" applyBorder="1" applyAlignment="1">
      <alignment horizontal="center" wrapText="1"/>
    </xf>
    <xf numFmtId="2" fontId="0" fillId="0" borderId="9" xfId="0" applyNumberFormat="1" applyBorder="1"/>
    <xf numFmtId="0" fontId="14" fillId="0" borderId="9" xfId="0" applyFont="1" applyBorder="1"/>
    <xf numFmtId="0" fontId="4" fillId="0" borderId="9" xfId="0" applyFont="1" applyBorder="1"/>
    <xf numFmtId="0" fontId="22" fillId="13" borderId="9" xfId="0" applyFont="1" applyFill="1" applyBorder="1"/>
    <xf numFmtId="0" fontId="0" fillId="20" borderId="8" xfId="0" applyFill="1" applyBorder="1"/>
    <xf numFmtId="0" fontId="12" fillId="0" borderId="9" xfId="0" applyFont="1" applyBorder="1"/>
    <xf numFmtId="0" fontId="0" fillId="0" borderId="0" xfId="0" applyBorder="1" applyAlignment="1">
      <alignment horizontal="left" vertical="top" wrapText="1"/>
    </xf>
    <xf numFmtId="0" fontId="30" fillId="0" borderId="20" xfId="0" applyFont="1" applyBorder="1" applyAlignment="1">
      <alignment horizontal="left" vertical="top" wrapText="1"/>
    </xf>
    <xf numFmtId="0" fontId="0" fillId="29" borderId="20" xfId="0" applyFill="1" applyBorder="1" applyAlignment="1">
      <alignment horizontal="left" vertical="top" wrapText="1"/>
    </xf>
    <xf numFmtId="0" fontId="0" fillId="0" borderId="20" xfId="0" applyBorder="1" applyAlignment="1">
      <alignment horizontal="left" vertical="top" wrapText="1"/>
    </xf>
    <xf numFmtId="0" fontId="33" fillId="30" borderId="20" xfId="0" applyFont="1" applyFill="1" applyBorder="1" applyAlignment="1">
      <alignment horizontal="left" vertical="top" wrapText="1"/>
    </xf>
    <xf numFmtId="0" fontId="17" fillId="0" borderId="9" xfId="1" applyBorder="1" applyAlignment="1">
      <alignment horizontal="left" vertical="top" wrapText="1"/>
    </xf>
    <xf numFmtId="0" fontId="34" fillId="30" borderId="20" xfId="0" applyFont="1" applyFill="1" applyBorder="1" applyAlignment="1">
      <alignment horizontal="left" vertical="top" wrapText="1"/>
    </xf>
    <xf numFmtId="0" fontId="28" fillId="28" borderId="0" xfId="0" applyFont="1" applyFill="1" applyBorder="1" applyAlignment="1">
      <alignment horizontal="left" vertical="top" wrapText="1"/>
    </xf>
    <xf numFmtId="0" fontId="0" fillId="32" borderId="20" xfId="0" applyFill="1" applyBorder="1" applyAlignment="1">
      <alignment horizontal="left" vertical="top" wrapText="1"/>
    </xf>
    <xf numFmtId="0" fontId="33" fillId="31" borderId="20" xfId="0" applyFont="1" applyFill="1" applyBorder="1" applyAlignment="1">
      <alignment horizontal="left" vertical="top" wrapText="1"/>
    </xf>
    <xf numFmtId="0" fontId="34" fillId="31" borderId="20" xfId="0" applyFont="1" applyFill="1" applyBorder="1" applyAlignment="1">
      <alignment horizontal="left" vertical="top" wrapText="1"/>
    </xf>
    <xf numFmtId="0" fontId="32" fillId="33" borderId="20" xfId="0" applyFont="1" applyFill="1" applyBorder="1" applyAlignment="1">
      <alignment horizontal="center" vertical="center" wrapText="1"/>
    </xf>
    <xf numFmtId="0" fontId="32" fillId="35" borderId="20" xfId="0" applyFont="1" applyFill="1" applyBorder="1" applyAlignment="1">
      <alignment horizontal="center" vertical="center" wrapText="1"/>
    </xf>
    <xf numFmtId="0" fontId="32" fillId="36" borderId="20" xfId="0" applyFont="1" applyFill="1" applyBorder="1" applyAlignment="1">
      <alignment horizontal="center" vertical="center" wrapText="1"/>
    </xf>
    <xf numFmtId="0" fontId="32" fillId="27" borderId="20" xfId="0" applyFont="1" applyFill="1" applyBorder="1" applyAlignment="1">
      <alignment horizontal="center" vertical="center" wrapText="1"/>
    </xf>
    <xf numFmtId="0" fontId="28" fillId="27" borderId="9" xfId="0" applyFont="1" applyFill="1" applyBorder="1" applyAlignment="1">
      <alignment horizontal="left" vertical="top" wrapText="1"/>
    </xf>
    <xf numFmtId="0" fontId="37" fillId="0" borderId="21" xfId="0" applyFont="1" applyBorder="1"/>
    <xf numFmtId="0" fontId="36" fillId="28" borderId="15" xfId="0" applyFont="1" applyFill="1" applyBorder="1" applyAlignment="1">
      <alignment horizontal="center" vertical="center" wrapText="1"/>
    </xf>
    <xf numFmtId="0" fontId="41" fillId="28" borderId="15" xfId="0" applyFont="1" applyFill="1" applyBorder="1" applyAlignment="1">
      <alignment horizontal="center" vertical="center" wrapText="1"/>
    </xf>
    <xf numFmtId="0" fontId="37" fillId="39" borderId="15" xfId="0" applyFont="1" applyFill="1" applyBorder="1" applyAlignment="1">
      <alignment horizontal="left" vertical="center" wrapText="1"/>
    </xf>
    <xf numFmtId="0" fontId="37" fillId="39" borderId="15" xfId="0" applyFont="1" applyFill="1" applyBorder="1" applyAlignment="1">
      <alignment horizontal="center" vertical="center" wrapText="1"/>
    </xf>
    <xf numFmtId="2" fontId="37" fillId="39" borderId="15" xfId="0" applyNumberFormat="1" applyFont="1" applyFill="1" applyBorder="1" applyAlignment="1">
      <alignment horizontal="center" vertical="center" wrapText="1"/>
    </xf>
    <xf numFmtId="0" fontId="37" fillId="0" borderId="15" xfId="0" applyFont="1" applyBorder="1" applyAlignment="1">
      <alignment horizontal="left" vertical="center" wrapText="1"/>
    </xf>
    <xf numFmtId="0" fontId="37" fillId="0" borderId="15" xfId="0" applyFont="1" applyBorder="1" applyAlignment="1">
      <alignment horizontal="center" vertical="center" wrapText="1"/>
    </xf>
    <xf numFmtId="2" fontId="37" fillId="0" borderId="15" xfId="0" applyNumberFormat="1" applyFont="1" applyBorder="1" applyAlignment="1">
      <alignment horizontal="center" vertical="center" wrapText="1"/>
    </xf>
    <xf numFmtId="0" fontId="42" fillId="0" borderId="21" xfId="0" applyFont="1" applyBorder="1"/>
    <xf numFmtId="0" fontId="37" fillId="42" borderId="15" xfId="0" applyFont="1" applyFill="1" applyBorder="1"/>
    <xf numFmtId="0" fontId="39" fillId="0" borderId="21" xfId="0" applyFont="1" applyBorder="1" applyAlignment="1">
      <alignment vertical="center"/>
    </xf>
    <xf numFmtId="0" fontId="37" fillId="43" borderId="15" xfId="0" applyFont="1" applyFill="1" applyBorder="1"/>
    <xf numFmtId="0" fontId="37" fillId="44" borderId="15" xfId="0" applyFont="1" applyFill="1" applyBorder="1"/>
    <xf numFmtId="0" fontId="37" fillId="45" borderId="15" xfId="0" applyFont="1" applyFill="1" applyBorder="1"/>
    <xf numFmtId="0" fontId="0" fillId="0" borderId="20" xfId="0" applyBorder="1" applyAlignment="1">
      <alignment vertical="top" wrapText="1"/>
    </xf>
    <xf numFmtId="0" fontId="33" fillId="30" borderId="20" xfId="0" applyFont="1" applyFill="1" applyBorder="1" applyAlignment="1">
      <alignment vertical="top" wrapText="1"/>
    </xf>
    <xf numFmtId="0" fontId="52" fillId="0" borderId="28" xfId="0" applyFont="1" applyBorder="1" applyAlignment="1">
      <alignment vertical="top" wrapText="1"/>
    </xf>
    <xf numFmtId="0" fontId="44" fillId="0" borderId="21" xfId="0" applyFont="1" applyBorder="1"/>
    <xf numFmtId="0" fontId="41" fillId="25" borderId="28" xfId="0" applyFont="1" applyFill="1" applyBorder="1" applyAlignment="1">
      <alignment horizontal="center" vertical="center" wrapText="1"/>
    </xf>
    <xf numFmtId="0" fontId="44" fillId="30" borderId="28" xfId="0" applyFont="1" applyFill="1" applyBorder="1" applyAlignment="1">
      <alignment vertical="center" wrapText="1"/>
    </xf>
    <xf numFmtId="0" fontId="48" fillId="47" borderId="28" xfId="0" applyFont="1" applyFill="1" applyBorder="1" applyAlignment="1">
      <alignment vertical="center" wrapText="1"/>
    </xf>
    <xf numFmtId="0" fontId="48" fillId="38" borderId="28" xfId="0" applyFont="1" applyFill="1" applyBorder="1" applyAlignment="1">
      <alignment vertical="center" wrapText="1"/>
    </xf>
    <xf numFmtId="0" fontId="48" fillId="48" borderId="28" xfId="0" applyFont="1" applyFill="1" applyBorder="1" applyAlignment="1">
      <alignment vertical="center" wrapText="1"/>
    </xf>
    <xf numFmtId="0" fontId="48" fillId="49" borderId="28" xfId="0" applyFont="1" applyFill="1" applyBorder="1" applyAlignment="1">
      <alignment vertical="center" wrapText="1"/>
    </xf>
    <xf numFmtId="0" fontId="47" fillId="50" borderId="28" xfId="0" applyFont="1" applyFill="1" applyBorder="1" applyAlignment="1">
      <alignment vertical="center" wrapText="1"/>
    </xf>
    <xf numFmtId="164" fontId="44" fillId="30" borderId="28" xfId="0" applyNumberFormat="1" applyFont="1" applyFill="1" applyBorder="1" applyAlignment="1">
      <alignment vertical="center" wrapText="1"/>
    </xf>
    <xf numFmtId="0" fontId="49" fillId="0" borderId="21" xfId="0" applyFont="1" applyBorder="1"/>
    <xf numFmtId="0" fontId="50" fillId="51" borderId="28" xfId="0" applyFont="1" applyFill="1" applyBorder="1" applyAlignment="1">
      <alignment wrapText="1"/>
    </xf>
    <xf numFmtId="0" fontId="50" fillId="52" borderId="28" xfId="0" applyFont="1" applyFill="1" applyBorder="1" applyAlignment="1">
      <alignment wrapText="1"/>
    </xf>
    <xf numFmtId="0" fontId="50" fillId="49" borderId="28" xfId="0" applyFont="1" applyFill="1" applyBorder="1" applyAlignment="1">
      <alignment wrapText="1"/>
    </xf>
    <xf numFmtId="0" fontId="50" fillId="30" borderId="28" xfId="0" applyFont="1" applyFill="1" applyBorder="1" applyAlignment="1">
      <alignment wrapText="1"/>
    </xf>
    <xf numFmtId="2" fontId="44" fillId="30" borderId="28" xfId="0" applyNumberFormat="1" applyFont="1" applyFill="1" applyBorder="1" applyAlignment="1">
      <alignment vertical="center" wrapText="1"/>
    </xf>
    <xf numFmtId="0" fontId="48" fillId="26" borderId="28" xfId="0" applyFont="1" applyFill="1" applyBorder="1" applyAlignment="1">
      <alignment vertical="center" wrapText="1"/>
    </xf>
    <xf numFmtId="0" fontId="31" fillId="33" borderId="22" xfId="0" applyFont="1" applyFill="1" applyBorder="1" applyAlignment="1">
      <alignment horizontal="left" vertical="center" wrapText="1"/>
    </xf>
    <xf numFmtId="0" fontId="31" fillId="35" borderId="22" xfId="0" applyFont="1" applyFill="1" applyBorder="1" applyAlignment="1">
      <alignment horizontal="left" vertical="center" wrapText="1"/>
    </xf>
    <xf numFmtId="0" fontId="31" fillId="27" borderId="22" xfId="0" applyFont="1" applyFill="1" applyBorder="1" applyAlignment="1">
      <alignment horizontal="left" vertical="center" wrapText="1"/>
    </xf>
    <xf numFmtId="0" fontId="31" fillId="34" borderId="22" xfId="0" applyFont="1" applyFill="1" applyBorder="1" applyAlignment="1">
      <alignment horizontal="left" vertical="center" wrapText="1"/>
    </xf>
    <xf numFmtId="0" fontId="31" fillId="36" borderId="22" xfId="0" applyFont="1" applyFill="1" applyBorder="1" applyAlignment="1">
      <alignment horizontal="left" vertical="center" wrapText="1"/>
    </xf>
    <xf numFmtId="0" fontId="31" fillId="28" borderId="22" xfId="0" applyFont="1" applyFill="1" applyBorder="1" applyAlignment="1">
      <alignment horizontal="left" vertical="center" wrapText="1"/>
    </xf>
    <xf numFmtId="0" fontId="29" fillId="27" borderId="23" xfId="0" applyFont="1" applyFill="1" applyAlignment="1">
      <alignment horizontal="left" vertical="center" wrapText="1"/>
    </xf>
    <xf numFmtId="0" fontId="28" fillId="33" borderId="23" xfId="0" applyFont="1" applyFill="1" applyAlignment="1">
      <alignment horizontal="left" vertical="top" wrapText="1"/>
    </xf>
    <xf numFmtId="0" fontId="28" fillId="35" borderId="23" xfId="0" applyFont="1" applyFill="1" applyAlignment="1">
      <alignment horizontal="left" vertical="top" wrapText="1"/>
    </xf>
    <xf numFmtId="0" fontId="53" fillId="54" borderId="0" xfId="0" applyFont="1" applyFill="1" applyBorder="1" applyAlignment="1">
      <alignment vertical="top" wrapText="1"/>
    </xf>
    <xf numFmtId="0" fontId="53" fillId="55" borderId="0" xfId="0" applyFont="1" applyFill="1" applyBorder="1"/>
    <xf numFmtId="0" fontId="53" fillId="55" borderId="0" xfId="0" applyFont="1" applyFill="1" applyBorder="1" applyAlignment="1">
      <alignment horizontal="center"/>
    </xf>
    <xf numFmtId="0" fontId="53" fillId="54" borderId="0" xfId="0" applyFont="1" applyFill="1" applyBorder="1"/>
    <xf numFmtId="0" fontId="53" fillId="56" borderId="0" xfId="0" applyFont="1" applyFill="1" applyBorder="1" applyAlignment="1">
      <alignment horizontal="center"/>
    </xf>
    <xf numFmtId="0" fontId="33" fillId="31" borderId="29" xfId="0" applyFont="1" applyFill="1" applyBorder="1" applyAlignment="1">
      <alignment vertical="top" wrapText="1"/>
    </xf>
    <xf numFmtId="0" fontId="53" fillId="54" borderId="29" xfId="0" applyFont="1" applyFill="1" applyBorder="1" applyAlignment="1">
      <alignment horizontal="center" vertical="center" wrapText="1"/>
    </xf>
    <xf numFmtId="0" fontId="0" fillId="0" borderId="29" xfId="0" applyBorder="1" applyAlignment="1">
      <alignment vertical="top" wrapText="1"/>
    </xf>
    <xf numFmtId="0" fontId="0" fillId="57" borderId="29" xfId="0" applyFill="1" applyBorder="1" applyAlignment="1">
      <alignment vertical="top" wrapText="1"/>
    </xf>
    <xf numFmtId="0" fontId="0" fillId="58" borderId="29" xfId="0" applyFill="1" applyBorder="1" applyAlignment="1">
      <alignment vertical="top" wrapText="1"/>
    </xf>
    <xf numFmtId="0" fontId="56" fillId="59" borderId="0" xfId="0" applyFont="1" applyFill="1" applyBorder="1" applyAlignment="1">
      <alignment vertical="top" wrapText="1"/>
    </xf>
    <xf numFmtId="0" fontId="53" fillId="54" borderId="29" xfId="0" applyFont="1" applyFill="1" applyBorder="1" applyAlignment="1">
      <alignment vertical="center" wrapText="1"/>
    </xf>
    <xf numFmtId="0" fontId="56" fillId="60" borderId="29" xfId="0" applyFont="1" applyFill="1" applyBorder="1" applyAlignment="1">
      <alignment vertical="top" wrapText="1"/>
    </xf>
    <xf numFmtId="0" fontId="56" fillId="58" borderId="29" xfId="0" applyFont="1" applyFill="1" applyBorder="1" applyAlignment="1">
      <alignment vertical="top" wrapText="1"/>
    </xf>
    <xf numFmtId="0" fontId="0" fillId="60" borderId="29" xfId="0" applyFill="1" applyBorder="1" applyAlignment="1">
      <alignment vertical="top" wrapText="1"/>
    </xf>
    <xf numFmtId="0" fontId="53" fillId="54" borderId="29" xfId="0" applyFont="1" applyFill="1" applyBorder="1" applyAlignment="1">
      <alignment vertical="top" wrapText="1"/>
    </xf>
    <xf numFmtId="0" fontId="53" fillId="61" borderId="35" xfId="0" applyFont="1" applyFill="1" applyBorder="1" applyAlignment="1">
      <alignment vertical="top" wrapText="1"/>
    </xf>
    <xf numFmtId="0" fontId="0" fillId="0" borderId="35" xfId="0" applyBorder="1" applyAlignment="1">
      <alignment vertical="top" wrapText="1"/>
    </xf>
    <xf numFmtId="1" fontId="0" fillId="0" borderId="35" xfId="0" applyNumberFormat="1" applyBorder="1" applyAlignment="1">
      <alignment vertical="top" wrapText="1"/>
    </xf>
    <xf numFmtId="0" fontId="0" fillId="62" borderId="35" xfId="0" applyFill="1" applyBorder="1" applyAlignment="1">
      <alignment vertical="top" wrapText="1"/>
    </xf>
    <xf numFmtId="0" fontId="0" fillId="63" borderId="35" xfId="0" applyFill="1" applyBorder="1" applyAlignment="1">
      <alignment vertical="top" wrapText="1"/>
    </xf>
    <xf numFmtId="0" fontId="57" fillId="66" borderId="29" xfId="0" applyFont="1" applyFill="1" applyBorder="1" applyAlignment="1">
      <alignment vertical="center" wrapText="1"/>
    </xf>
    <xf numFmtId="0" fontId="53" fillId="65" borderId="29" xfId="0" applyFont="1" applyFill="1" applyBorder="1" applyAlignment="1">
      <alignment vertical="center" wrapText="1"/>
    </xf>
    <xf numFmtId="0" fontId="53" fillId="64" borderId="29" xfId="0" applyFont="1" applyFill="1" applyBorder="1" applyAlignment="1">
      <alignment vertical="center" wrapText="1"/>
    </xf>
    <xf numFmtId="0" fontId="33" fillId="30" borderId="29" xfId="0" applyFont="1" applyFill="1" applyBorder="1" applyAlignment="1">
      <alignment vertical="top" wrapText="1"/>
    </xf>
    <xf numFmtId="0" fontId="28" fillId="37" borderId="29" xfId="0" applyFont="1" applyFill="1" applyBorder="1" applyAlignment="1">
      <alignment vertical="top" wrapText="1"/>
    </xf>
    <xf numFmtId="0" fontId="35" fillId="38" borderId="29" xfId="0" applyFont="1" applyFill="1" applyBorder="1" applyAlignment="1">
      <alignment vertical="top" wrapText="1"/>
    </xf>
    <xf numFmtId="0" fontId="59" fillId="0" borderId="0" xfId="0" applyFont="1" applyBorder="1"/>
    <xf numFmtId="0" fontId="60" fillId="0" borderId="0" xfId="0" applyFont="1" applyBorder="1"/>
    <xf numFmtId="0" fontId="61" fillId="0" borderId="0" xfId="0" applyFont="1" applyBorder="1"/>
    <xf numFmtId="0" fontId="62" fillId="0" borderId="0" xfId="0" applyFont="1" applyBorder="1"/>
    <xf numFmtId="0" fontId="63" fillId="0" borderId="0" xfId="0" applyFont="1" applyBorder="1"/>
    <xf numFmtId="0" fontId="64" fillId="67" borderId="0" xfId="0" applyFont="1" applyFill="1" applyBorder="1"/>
    <xf numFmtId="0" fontId="0" fillId="68" borderId="0" xfId="0" applyFill="1" applyBorder="1" applyAlignment="1">
      <alignment vertical="top" wrapText="1"/>
    </xf>
    <xf numFmtId="0" fontId="0" fillId="69" borderId="0" xfId="0" applyFill="1" applyBorder="1" applyAlignment="1">
      <alignment vertical="top" wrapText="1"/>
    </xf>
    <xf numFmtId="0" fontId="65" fillId="0" borderId="0" xfId="0" applyFont="1" applyBorder="1"/>
    <xf numFmtId="0" fontId="66" fillId="0" borderId="0" xfId="0" applyFont="1" applyBorder="1"/>
    <xf numFmtId="0" fontId="68" fillId="72" borderId="39" xfId="0" applyFont="1" applyFill="1" applyBorder="1" applyAlignment="1">
      <alignment horizontal="center" vertical="center"/>
    </xf>
    <xf numFmtId="0" fontId="69" fillId="73" borderId="39" xfId="0" applyFont="1" applyFill="1" applyBorder="1" applyAlignment="1">
      <alignment vertical="center" wrapText="1"/>
    </xf>
    <xf numFmtId="0" fontId="70" fillId="39" borderId="39" xfId="0" applyFont="1" applyFill="1" applyBorder="1" applyAlignment="1">
      <alignment horizontal="center" vertical="center"/>
    </xf>
    <xf numFmtId="0" fontId="71" fillId="39" borderId="39" xfId="0" applyFont="1" applyFill="1" applyBorder="1" applyAlignment="1">
      <alignment vertical="center" wrapText="1"/>
    </xf>
    <xf numFmtId="0" fontId="72" fillId="70" borderId="0" xfId="0" applyFont="1" applyFill="1" applyBorder="1" applyAlignment="1">
      <alignment vertical="center" indent="1"/>
    </xf>
    <xf numFmtId="0" fontId="0" fillId="0" borderId="39" xfId="0" applyBorder="1" applyAlignment="1">
      <alignment vertical="center" wrapText="1"/>
    </xf>
    <xf numFmtId="164" fontId="0" fillId="0" borderId="39" xfId="0" applyNumberFormat="1" applyBorder="1" applyAlignment="1">
      <alignment vertical="center" wrapText="1"/>
    </xf>
    <xf numFmtId="2" fontId="0" fillId="0" borderId="39" xfId="0" applyNumberFormat="1" applyBorder="1" applyAlignment="1">
      <alignment vertical="center" wrapText="1"/>
    </xf>
    <xf numFmtId="0" fontId="0" fillId="0" borderId="39" xfId="0" applyBorder="1" applyAlignment="1">
      <alignment horizontal="center" vertical="center"/>
    </xf>
    <xf numFmtId="0" fontId="0" fillId="74" borderId="39" xfId="0" applyFill="1" applyBorder="1" applyAlignment="1">
      <alignment vertical="center" wrapText="1"/>
    </xf>
    <xf numFmtId="164" fontId="0" fillId="74" borderId="39" xfId="0" applyNumberFormat="1" applyFill="1" applyBorder="1" applyAlignment="1">
      <alignment vertical="center" wrapText="1"/>
    </xf>
    <xf numFmtId="2" fontId="0" fillId="74" borderId="39" xfId="0" applyNumberFormat="1" applyFill="1" applyBorder="1" applyAlignment="1">
      <alignment vertical="center" wrapText="1"/>
    </xf>
    <xf numFmtId="0" fontId="0" fillId="74" borderId="39" xfId="0" applyFill="1" applyBorder="1" applyAlignment="1">
      <alignment horizontal="center" vertical="center"/>
    </xf>
    <xf numFmtId="0" fontId="0" fillId="74" borderId="39" xfId="0" applyFill="1" applyBorder="1"/>
    <xf numFmtId="164" fontId="0" fillId="74" borderId="39" xfId="0" applyNumberFormat="1" applyFill="1" applyBorder="1"/>
    <xf numFmtId="0" fontId="67" fillId="70" borderId="0" xfId="0" applyFont="1" applyFill="1" applyBorder="1" applyAlignment="1">
      <alignment horizontal="left" vertical="center" indent="1"/>
    </xf>
    <xf numFmtId="0" fontId="68" fillId="71" borderId="0" xfId="0" applyFont="1" applyFill="1" applyBorder="1" applyAlignment="1">
      <alignment horizontal="left" vertical="center" indent="1"/>
    </xf>
    <xf numFmtId="0" fontId="69" fillId="73" borderId="39" xfId="0" applyFont="1" applyFill="1" applyBorder="1"/>
    <xf numFmtId="0" fontId="70" fillId="0" borderId="39" xfId="0" applyFont="1" applyBorder="1" applyAlignment="1">
      <alignment horizontal="center" vertical="center"/>
    </xf>
    <xf numFmtId="0" fontId="71" fillId="0" borderId="39" xfId="0" applyFont="1" applyBorder="1" applyAlignment="1">
      <alignment vertical="center" wrapText="1"/>
    </xf>
    <xf numFmtId="0" fontId="0" fillId="0" borderId="39" xfId="0" applyBorder="1"/>
    <xf numFmtId="3" fontId="0" fillId="0" borderId="39" xfId="0" applyNumberFormat="1" applyBorder="1"/>
    <xf numFmtId="3" fontId="0" fillId="74" borderId="39" xfId="0" applyNumberFormat="1" applyFill="1" applyBorder="1"/>
    <xf numFmtId="0" fontId="69" fillId="0" borderId="39" xfId="0" applyFont="1" applyBorder="1" applyAlignment="1">
      <alignment vertical="top" wrapText="1"/>
    </xf>
    <xf numFmtId="0" fontId="69" fillId="79" borderId="39" xfId="0" applyFont="1" applyFill="1" applyBorder="1" applyAlignment="1">
      <alignment vertical="top" wrapText="1"/>
    </xf>
    <xf numFmtId="0" fontId="71" fillId="0" borderId="39" xfId="0" applyFont="1" applyBorder="1" applyAlignment="1">
      <alignment vertical="top" wrapText="1"/>
    </xf>
    <xf numFmtId="0" fontId="78" fillId="0" borderId="39" xfId="0" applyFont="1" applyBorder="1" applyAlignment="1">
      <alignment vertical="top" wrapText="1"/>
    </xf>
    <xf numFmtId="167" fontId="69" fillId="79" borderId="39" xfId="0" applyNumberFormat="1" applyFont="1" applyFill="1" applyBorder="1" applyAlignment="1">
      <alignment vertical="top" wrapText="1"/>
    </xf>
    <xf numFmtId="0" fontId="69" fillId="17" borderId="39" xfId="0" applyFont="1" applyFill="1" applyBorder="1" applyAlignment="1">
      <alignment horizontal="center" vertical="center" wrapText="1"/>
    </xf>
    <xf numFmtId="0" fontId="69" fillId="79" borderId="39" xfId="0" applyFont="1" applyFill="1" applyBorder="1" applyAlignment="1">
      <alignment horizontal="center" vertical="center" wrapText="1"/>
    </xf>
    <xf numFmtId="0" fontId="71" fillId="17" borderId="39" xfId="0" applyFont="1" applyFill="1" applyBorder="1" applyAlignment="1">
      <alignment vertical="top" wrapText="1"/>
    </xf>
    <xf numFmtId="0" fontId="78" fillId="17" borderId="39" xfId="0" applyFont="1" applyFill="1" applyBorder="1" applyAlignment="1">
      <alignment vertical="top" wrapText="1"/>
    </xf>
    <xf numFmtId="0" fontId="69" fillId="79" borderId="39" xfId="0" applyFont="1" applyFill="1" applyBorder="1"/>
    <xf numFmtId="0" fontId="77" fillId="71" borderId="39" xfId="0" applyFont="1" applyFill="1" applyBorder="1" applyAlignment="1">
      <alignment vertical="center" indent="1"/>
    </xf>
    <xf numFmtId="0" fontId="69" fillId="0" borderId="39" xfId="0" applyFont="1" applyBorder="1"/>
    <xf numFmtId="0" fontId="1" fillId="22" borderId="39" xfId="0" applyFont="1" applyFill="1" applyBorder="1" applyAlignment="1">
      <alignment horizontal="center" vertical="center" wrapText="1"/>
    </xf>
    <xf numFmtId="0" fontId="71" fillId="5" borderId="39" xfId="0" applyFont="1" applyFill="1" applyBorder="1" applyAlignment="1">
      <alignment vertical="top" wrapText="1"/>
    </xf>
    <xf numFmtId="0" fontId="78" fillId="5" borderId="39" xfId="0" applyFont="1" applyFill="1" applyBorder="1" applyAlignment="1">
      <alignment vertical="top" wrapText="1"/>
    </xf>
    <xf numFmtId="0" fontId="69" fillId="5" borderId="39" xfId="0" applyFont="1" applyFill="1" applyBorder="1" applyAlignment="1">
      <alignment horizontal="center" vertical="center" wrapText="1"/>
    </xf>
    <xf numFmtId="0" fontId="71" fillId="8" borderId="39" xfId="0" applyFont="1" applyFill="1" applyBorder="1" applyAlignment="1">
      <alignment vertical="top" wrapText="1"/>
    </xf>
    <xf numFmtId="0" fontId="78" fillId="8" borderId="39" xfId="0" applyFont="1" applyFill="1" applyBorder="1" applyAlignment="1">
      <alignment vertical="top" wrapText="1"/>
    </xf>
    <xf numFmtId="0" fontId="69" fillId="8" borderId="39" xfId="0" applyFont="1" applyFill="1" applyBorder="1" applyAlignment="1">
      <alignment vertical="top" wrapText="1"/>
    </xf>
    <xf numFmtId="0" fontId="0" fillId="22" borderId="39" xfId="0" applyFill="1" applyBorder="1"/>
    <xf numFmtId="0" fontId="67" fillId="70" borderId="10" xfId="0" applyFont="1" applyFill="1" applyBorder="1" applyAlignment="1">
      <alignment horizontal="center" vertical="center" wrapText="1"/>
    </xf>
    <xf numFmtId="0" fontId="76" fillId="71" borderId="0" xfId="0" applyFont="1" applyFill="1" applyBorder="1" applyAlignment="1">
      <alignment vertical="center" wrapText="1"/>
    </xf>
    <xf numFmtId="0" fontId="74" fillId="72" borderId="39" xfId="0" applyFont="1" applyFill="1" applyBorder="1" applyAlignment="1">
      <alignment horizontal="center" vertical="center" wrapText="1"/>
    </xf>
    <xf numFmtId="0" fontId="0" fillId="79" borderId="0" xfId="0" applyFill="1" applyBorder="1" applyAlignment="1">
      <alignment vertical="top" wrapText="1"/>
    </xf>
    <xf numFmtId="0" fontId="0" fillId="79" borderId="0" xfId="0" applyFill="1" applyBorder="1"/>
    <xf numFmtId="0" fontId="0" fillId="79" borderId="3" xfId="0" applyFill="1" applyBorder="1" applyAlignment="1">
      <alignment vertical="top" wrapText="1"/>
    </xf>
    <xf numFmtId="0" fontId="73" fillId="0" borderId="0" xfId="0" applyFont="1" applyBorder="1"/>
    <xf numFmtId="0" fontId="74" fillId="75" borderId="39" xfId="0" applyFont="1" applyFill="1" applyBorder="1" applyAlignment="1">
      <alignment horizontal="center" vertical="center"/>
    </xf>
    <xf numFmtId="0" fontId="75" fillId="76" borderId="39" xfId="0" applyFont="1" applyFill="1" applyBorder="1" applyAlignment="1">
      <alignment horizontal="center" vertical="center"/>
    </xf>
    <xf numFmtId="0" fontId="74" fillId="77" borderId="39" xfId="0" applyFont="1" applyFill="1" applyBorder="1" applyAlignment="1">
      <alignment horizontal="center" vertical="center"/>
    </xf>
    <xf numFmtId="0" fontId="74" fillId="78" borderId="39" xfId="0" applyFont="1" applyFill="1" applyBorder="1" applyAlignment="1">
      <alignment horizontal="center" vertical="center"/>
    </xf>
    <xf numFmtId="0" fontId="74" fillId="81" borderId="39" xfId="0" applyFont="1" applyFill="1" applyBorder="1" applyAlignment="1">
      <alignment horizontal="center" vertical="center" wrapText="1"/>
    </xf>
    <xf numFmtId="0" fontId="74" fillId="80" borderId="39" xfId="0" applyFont="1" applyFill="1" applyBorder="1" applyAlignment="1">
      <alignment horizontal="center" vertical="center" wrapText="1"/>
    </xf>
    <xf numFmtId="0" fontId="0" fillId="9" borderId="29" xfId="0" applyFill="1" applyBorder="1" applyAlignment="1">
      <alignment vertical="top" wrapText="1"/>
    </xf>
    <xf numFmtId="0" fontId="0" fillId="0" borderId="4" xfId="0" applyBorder="1"/>
    <xf numFmtId="0" fontId="0" fillId="0" borderId="31" xfId="0" applyBorder="1"/>
    <xf numFmtId="0" fontId="0" fillId="0" borderId="30" xfId="0" applyBorder="1"/>
    <xf numFmtId="0" fontId="0" fillId="0" borderId="0" xfId="0" applyBorder="1"/>
    <xf numFmtId="0" fontId="0" fillId="0" borderId="32" xfId="0" applyBorder="1"/>
    <xf numFmtId="0" fontId="0" fillId="0" borderId="33" xfId="0" applyBorder="1"/>
    <xf numFmtId="0" fontId="0" fillId="0" borderId="7" xfId="0" applyBorder="1"/>
    <xf numFmtId="0" fontId="0" fillId="0" borderId="34" xfId="0" applyBorder="1"/>
    <xf numFmtId="0" fontId="77" fillId="71" borderId="39" xfId="0" applyFont="1" applyFill="1" applyBorder="1" applyAlignment="1">
      <alignment vertical="center" indent="1"/>
    </xf>
    <xf numFmtId="0" fontId="0" fillId="0" borderId="40" xfId="0" applyBorder="1"/>
    <xf numFmtId="0" fontId="0" fillId="0" borderId="41" xfId="0" applyBorder="1"/>
    <xf numFmtId="0" fontId="76" fillId="71" borderId="12" xfId="0" applyFont="1" applyFill="1" applyBorder="1"/>
    <xf numFmtId="0" fontId="0" fillId="0" borderId="12" xfId="0" applyBorder="1"/>
    <xf numFmtId="0" fontId="67" fillId="70" borderId="12" xfId="0" applyFont="1" applyFill="1" applyBorder="1" applyAlignment="1">
      <alignment horizontal="left" vertical="center" wrapText="1"/>
    </xf>
    <xf numFmtId="0" fontId="68" fillId="71" borderId="23" xfId="0" applyFont="1" applyFill="1" applyAlignment="1">
      <alignment horizontal="left" vertical="center" indent="1"/>
    </xf>
    <xf numFmtId="0" fontId="40" fillId="41" borderId="15" xfId="0" applyFont="1" applyFill="1" applyBorder="1" applyAlignment="1">
      <alignment horizontal="left" vertical="center"/>
    </xf>
    <xf numFmtId="0" fontId="0" fillId="0" borderId="18" xfId="0" applyBorder="1"/>
    <xf numFmtId="0" fontId="0" fillId="0" borderId="19" xfId="0" applyBorder="1"/>
    <xf numFmtId="2" fontId="38" fillId="39" borderId="15" xfId="0" applyNumberFormat="1" applyFont="1" applyFill="1" applyBorder="1" applyAlignment="1">
      <alignment horizontal="center" vertical="center"/>
    </xf>
    <xf numFmtId="0" fontId="67" fillId="70" borderId="23" xfId="0" applyFont="1" applyFill="1" applyAlignment="1">
      <alignment horizontal="left" vertical="center" indent="1"/>
    </xf>
    <xf numFmtId="0" fontId="36" fillId="28" borderId="15" xfId="0" applyFont="1" applyFill="1" applyBorder="1" applyAlignment="1">
      <alignment horizontal="center" vertical="center"/>
    </xf>
    <xf numFmtId="0" fontId="39" fillId="40" borderId="15" xfId="0" applyFont="1" applyFill="1" applyBorder="1" applyAlignment="1">
      <alignment horizontal="center" vertical="center" wrapText="1"/>
    </xf>
    <xf numFmtId="0" fontId="43" fillId="39" borderId="15" xfId="0" applyFont="1" applyFill="1" applyBorder="1" applyAlignment="1">
      <alignment vertical="top" wrapText="1"/>
    </xf>
    <xf numFmtId="0" fontId="0" fillId="0" borderId="16" xfId="0" applyBorder="1"/>
    <xf numFmtId="0" fontId="0" fillId="0" borderId="17" xfId="0" applyBorder="1"/>
    <xf numFmtId="0" fontId="0" fillId="0" borderId="24" xfId="0" applyBorder="1"/>
    <xf numFmtId="0" fontId="0" fillId="0" borderId="25" xfId="0" applyBorder="1"/>
    <xf numFmtId="0" fontId="0" fillId="0" borderId="26" xfId="0" applyBorder="1"/>
    <xf numFmtId="0" fontId="45" fillId="46" borderId="29" xfId="0" applyFont="1" applyFill="1" applyBorder="1" applyAlignment="1">
      <alignment horizontal="center" vertical="center" wrapText="1"/>
    </xf>
    <xf numFmtId="0" fontId="0" fillId="0" borderId="5" xfId="0" applyBorder="1"/>
    <xf numFmtId="0" fontId="0" fillId="0" borderId="38" xfId="0" applyBorder="1"/>
    <xf numFmtId="0" fontId="46" fillId="30" borderId="29" xfId="0" applyFont="1" applyFill="1" applyBorder="1" applyAlignment="1">
      <alignment horizontal="center" vertical="center" wrapText="1"/>
    </xf>
    <xf numFmtId="164" fontId="45" fillId="46" borderId="29" xfId="0" applyNumberFormat="1" applyFont="1" applyFill="1" applyBorder="1" applyAlignment="1">
      <alignment horizontal="center" vertical="center" wrapText="1"/>
    </xf>
    <xf numFmtId="0" fontId="51" fillId="53" borderId="29" xfId="0" applyFont="1" applyFill="1" applyBorder="1" applyAlignment="1">
      <alignment vertical="top" wrapText="1"/>
    </xf>
    <xf numFmtId="0" fontId="47" fillId="25" borderId="29" xfId="0" applyFont="1" applyFill="1" applyBorder="1" applyAlignment="1">
      <alignment horizontal="left"/>
    </xf>
    <xf numFmtId="0" fontId="41" fillId="25" borderId="29" xfId="0" applyFont="1" applyFill="1" applyBorder="1" applyAlignment="1">
      <alignment horizontal="center" vertical="center" wrapText="1"/>
    </xf>
    <xf numFmtId="0" fontId="67" fillId="70" borderId="27" xfId="0" applyFont="1" applyFill="1" applyBorder="1" applyAlignment="1">
      <alignment horizontal="left" vertical="center" indent="1"/>
    </xf>
    <xf numFmtId="0" fontId="0" fillId="0" borderId="27" xfId="0" applyBorder="1"/>
    <xf numFmtId="2" fontId="45" fillId="46" borderId="29" xfId="0" applyNumberFormat="1" applyFont="1" applyFill="1" applyBorder="1" applyAlignment="1">
      <alignment horizontal="center" vertical="center" wrapText="1"/>
    </xf>
    <xf numFmtId="0" fontId="19" fillId="24" borderId="10" xfId="0" applyFont="1" applyFill="1" applyBorder="1" applyAlignment="1">
      <alignment horizontal="center" vertical="center" wrapText="1"/>
    </xf>
    <xf numFmtId="0" fontId="0" fillId="0" borderId="13" xfId="0" applyBorder="1"/>
    <xf numFmtId="0" fontId="0" fillId="0" borderId="14" xfId="0" applyBorder="1"/>
    <xf numFmtId="0" fontId="20" fillId="19" borderId="23" xfId="0" applyFont="1" applyFill="1" applyAlignment="1">
      <alignment vertical="center" wrapText="1"/>
    </xf>
    <xf numFmtId="0" fontId="19" fillId="18" borderId="10" xfId="0" applyFont="1" applyFill="1" applyBorder="1" applyAlignment="1">
      <alignment horizontal="center" vertical="center" wrapText="1"/>
    </xf>
    <xf numFmtId="0" fontId="0" fillId="0" borderId="23" xfId="0"/>
    <xf numFmtId="0" fontId="58" fillId="0" borderId="35" xfId="0" applyFont="1" applyBorder="1" applyAlignment="1">
      <alignment vertical="top" wrapText="1"/>
    </xf>
    <xf numFmtId="0" fontId="0" fillId="0" borderId="36" xfId="0" applyBorder="1"/>
    <xf numFmtId="0" fontId="0" fillId="0" borderId="37" xfId="0" applyBorder="1"/>
    <xf numFmtId="0" fontId="54" fillId="0" borderId="23" xfId="0" applyFont="1"/>
    <xf numFmtId="0" fontId="57" fillId="54" borderId="35" xfId="0" applyFont="1" applyFill="1" applyBorder="1" applyAlignment="1">
      <alignment vertical="top" wrapText="1"/>
    </xf>
    <xf numFmtId="0" fontId="55" fillId="0" borderId="23" xfId="0" applyFont="1"/>
  </cellXfs>
  <cellStyles count="2">
    <cellStyle name="Hyperlink" xfId="1" builtinId="8"/>
    <cellStyle name="Normal" xfId="0" builtinId="0"/>
  </cellStyles>
  <dxfs count="72">
    <dxf>
      <fill>
        <patternFill patternType="solid">
          <fgColor rgb="FF63BE7B"/>
        </patternFill>
      </fill>
    </dxf>
    <dxf>
      <fill>
        <patternFill patternType="solid">
          <fgColor rgb="FF63BE7B"/>
        </patternFill>
      </fill>
    </dxf>
    <dxf>
      <fill>
        <patternFill patternType="solid">
          <fgColor rgb="FF63BE7B"/>
        </patternFill>
      </fill>
    </dxf>
    <dxf>
      <fill>
        <patternFill patternType="solid">
          <fgColor rgb="FF63BE7B"/>
        </patternFill>
      </fill>
    </dxf>
    <dxf>
      <fill>
        <patternFill patternType="solid">
          <fgColor rgb="FFFFD666"/>
        </patternFill>
      </fill>
    </dxf>
    <dxf>
      <fill>
        <patternFill patternType="solid">
          <fgColor rgb="FFFFD666"/>
        </patternFill>
      </fill>
    </dxf>
    <dxf>
      <fill>
        <patternFill patternType="solid">
          <fgColor rgb="FFED7D31"/>
        </patternFill>
      </fill>
    </dxf>
    <dxf>
      <fill>
        <patternFill patternType="solid">
          <fgColor rgb="FFF8696B"/>
        </patternFill>
      </fill>
    </dxf>
    <dxf>
      <fill>
        <patternFill patternType="solid">
          <fgColor rgb="FFF8696B"/>
        </patternFill>
      </fill>
    </dxf>
    <dxf>
      <fill>
        <patternFill patternType="solid">
          <fgColor rgb="FF63BE7B"/>
        </patternFill>
      </fill>
    </dxf>
    <dxf>
      <fill>
        <patternFill patternType="solid">
          <fgColor rgb="FF63BE7B"/>
        </patternFill>
      </fill>
    </dxf>
    <dxf>
      <fill>
        <patternFill patternType="solid">
          <fgColor rgb="FF63BE7B"/>
        </patternFill>
      </fill>
    </dxf>
    <dxf>
      <fill>
        <patternFill patternType="solid">
          <fgColor rgb="FF63BE7B"/>
        </patternFill>
      </fill>
    </dxf>
    <dxf>
      <fill>
        <patternFill patternType="solid">
          <fgColor rgb="FFFFD666"/>
        </patternFill>
      </fill>
    </dxf>
    <dxf>
      <fill>
        <patternFill patternType="solid">
          <fgColor rgb="FFFFD666"/>
        </patternFill>
      </fill>
    </dxf>
    <dxf>
      <fill>
        <patternFill patternType="solid">
          <fgColor rgb="FFED7D31"/>
        </patternFill>
      </fill>
    </dxf>
    <dxf>
      <fill>
        <patternFill patternType="solid">
          <fgColor rgb="FFF8696B"/>
        </patternFill>
      </fill>
    </dxf>
    <dxf>
      <fill>
        <patternFill patternType="solid">
          <fgColor rgb="FFF8696B"/>
        </patternFill>
      </fill>
    </dxf>
    <dxf>
      <font>
        <b/>
        <color rgb="FF7F6000"/>
      </font>
      <fill>
        <patternFill patternType="solid">
          <fgColor rgb="FFFFE699"/>
        </patternFill>
      </fill>
    </dxf>
    <dxf>
      <font>
        <b/>
        <color rgb="FF9C6500"/>
      </font>
      <fill>
        <patternFill patternType="solid">
          <fgColor rgb="FFFCE4D6"/>
        </patternFill>
      </fill>
    </dxf>
    <dxf>
      <font>
        <b/>
        <color rgb="FF9C0006"/>
      </font>
      <fill>
        <patternFill patternType="solid">
          <fgColor rgb="FFF4CCCC"/>
        </patternFill>
      </fill>
    </dxf>
    <dxf>
      <fill>
        <patternFill patternType="solid">
          <fgColor rgb="FF63BE7B"/>
        </patternFill>
      </fill>
    </dxf>
    <dxf>
      <fill>
        <patternFill patternType="solid">
          <fgColor rgb="FF63BE7B"/>
        </patternFill>
      </fill>
    </dxf>
    <dxf>
      <fill>
        <patternFill patternType="solid">
          <fgColor rgb="FF63BE7B"/>
        </patternFill>
      </fill>
    </dxf>
    <dxf>
      <fill>
        <patternFill patternType="solid">
          <fgColor rgb="FF63BE7B"/>
        </patternFill>
      </fill>
    </dxf>
    <dxf>
      <fill>
        <patternFill patternType="solid">
          <fgColor rgb="FFFFD666"/>
        </patternFill>
      </fill>
    </dxf>
    <dxf>
      <fill>
        <patternFill patternType="solid">
          <fgColor rgb="FFFFD666"/>
        </patternFill>
      </fill>
    </dxf>
    <dxf>
      <fill>
        <patternFill patternType="solid">
          <fgColor rgb="FFED7D31"/>
        </patternFill>
      </fill>
    </dxf>
    <dxf>
      <fill>
        <patternFill patternType="solid">
          <fgColor rgb="FFF8696B"/>
        </patternFill>
      </fill>
    </dxf>
    <dxf>
      <fill>
        <patternFill patternType="solid">
          <fgColor rgb="FFF8696B"/>
        </patternFill>
      </fill>
    </dxf>
    <dxf>
      <fill>
        <patternFill patternType="solid">
          <fgColor rgb="FF63BE7B"/>
        </patternFill>
      </fill>
    </dxf>
    <dxf>
      <fill>
        <patternFill patternType="solid">
          <fgColor rgb="FF63BE7B"/>
        </patternFill>
      </fill>
    </dxf>
    <dxf>
      <fill>
        <patternFill patternType="solid">
          <fgColor rgb="FF63BE7B"/>
        </patternFill>
      </fill>
    </dxf>
    <dxf>
      <fill>
        <patternFill patternType="solid">
          <fgColor rgb="FF63BE7B"/>
        </patternFill>
      </fill>
    </dxf>
    <dxf>
      <fill>
        <patternFill patternType="solid">
          <fgColor rgb="FFFFD666"/>
        </patternFill>
      </fill>
    </dxf>
    <dxf>
      <fill>
        <patternFill patternType="solid">
          <fgColor rgb="FFFFD666"/>
        </patternFill>
      </fill>
    </dxf>
    <dxf>
      <fill>
        <patternFill patternType="solid">
          <fgColor rgb="FFED7D31"/>
        </patternFill>
      </fill>
    </dxf>
    <dxf>
      <fill>
        <patternFill patternType="solid">
          <fgColor rgb="FFF8696B"/>
        </patternFill>
      </fill>
    </dxf>
    <dxf>
      <fill>
        <patternFill patternType="solid">
          <fgColor rgb="FFF8696B"/>
        </patternFill>
      </fill>
    </dxf>
    <dxf>
      <fill>
        <patternFill patternType="solid">
          <fgColor rgb="FF86EFAC"/>
        </patternFill>
      </fill>
    </dxf>
    <dxf>
      <fill>
        <patternFill patternType="solid">
          <fgColor rgb="FFFCA5A5"/>
        </patternFill>
      </fill>
    </dxf>
    <dxf>
      <fill>
        <patternFill patternType="solid">
          <fgColor rgb="FFDBEAFE"/>
        </patternFill>
      </fill>
    </dxf>
    <dxf>
      <fill>
        <patternFill patternType="solid">
          <fgColor rgb="FFFDE68A"/>
        </patternFill>
      </fill>
    </dxf>
    <dxf>
      <fill>
        <patternFill patternType="solid">
          <fgColor rgb="FFE5E7EB"/>
        </patternFill>
      </fill>
    </dxf>
    <dxf>
      <fill>
        <patternFill patternType="solid">
          <fgColor rgb="FFFDE68A"/>
        </patternFill>
      </fill>
    </dxf>
    <dxf>
      <fill>
        <patternFill patternType="solid">
          <fgColor rgb="FF86EFAC"/>
        </patternFill>
      </fill>
    </dxf>
    <dxf>
      <fill>
        <patternFill patternType="solid">
          <fgColor rgb="FF63BE7B"/>
        </patternFill>
      </fill>
    </dxf>
    <dxf>
      <fill>
        <patternFill patternType="solid">
          <fgColor rgb="FF63BE7B"/>
        </patternFill>
      </fill>
    </dxf>
    <dxf>
      <fill>
        <patternFill patternType="solid">
          <fgColor rgb="FF63BE7B"/>
        </patternFill>
      </fill>
    </dxf>
    <dxf>
      <fill>
        <patternFill patternType="solid">
          <fgColor rgb="FF63BE7B"/>
        </patternFill>
      </fill>
    </dxf>
    <dxf>
      <fill>
        <patternFill patternType="solid">
          <fgColor rgb="FFFFD666"/>
        </patternFill>
      </fill>
    </dxf>
    <dxf>
      <fill>
        <patternFill patternType="solid">
          <fgColor rgb="FFFFD666"/>
        </patternFill>
      </fill>
    </dxf>
    <dxf>
      <fill>
        <patternFill patternType="solid">
          <fgColor rgb="FFED7D31"/>
        </patternFill>
      </fill>
    </dxf>
    <dxf>
      <fill>
        <patternFill patternType="solid">
          <fgColor rgb="FFF8696B"/>
        </patternFill>
      </fill>
    </dxf>
    <dxf>
      <fill>
        <patternFill patternType="solid">
          <fgColor rgb="FFF8696B"/>
        </patternFill>
      </fill>
    </dxf>
    <dxf>
      <fill>
        <patternFill patternType="solid">
          <fgColor rgb="FFD9EAD3"/>
        </patternFill>
      </fill>
    </dxf>
    <dxf>
      <fill>
        <patternFill patternType="solid">
          <fgColor rgb="FFD9EAD3"/>
        </patternFill>
      </fill>
    </dxf>
    <dxf>
      <fill>
        <patternFill patternType="solid">
          <fgColor rgb="FFEAF2F8"/>
        </patternFill>
      </fill>
    </dxf>
    <dxf>
      <fill>
        <patternFill patternType="solid">
          <fgColor rgb="FFD9EAD3"/>
        </patternFill>
      </fill>
    </dxf>
    <dxf>
      <fill>
        <patternFill patternType="solid">
          <fgColor rgb="FFD9EAD3"/>
        </patternFill>
      </fill>
    </dxf>
    <dxf>
      <fill>
        <patternFill patternType="solid">
          <fgColor rgb="FFF3F4F6"/>
        </patternFill>
      </fill>
    </dxf>
    <dxf>
      <fill>
        <patternFill patternType="solid">
          <fgColor rgb="FF63BE7B"/>
        </patternFill>
      </fill>
    </dxf>
    <dxf>
      <fill>
        <patternFill patternType="solid">
          <fgColor rgb="FFFFD666"/>
        </patternFill>
      </fill>
    </dxf>
    <dxf>
      <fill>
        <patternFill patternType="solid">
          <fgColor rgb="FFFFD666"/>
        </patternFill>
      </fill>
    </dxf>
    <dxf>
      <fill>
        <patternFill patternType="solid">
          <fgColor rgb="FFED7D31"/>
        </patternFill>
      </fill>
    </dxf>
    <dxf>
      <fill>
        <patternFill patternType="solid">
          <fgColor rgb="FFF8696B"/>
        </patternFill>
      </fill>
    </dxf>
    <dxf>
      <fill>
        <patternFill patternType="solid">
          <fgColor rgb="FFFCE5CD"/>
        </patternFill>
      </fill>
    </dxf>
    <dxf>
      <fill>
        <patternFill patternType="solid">
          <fgColor rgb="FFF4CCCC"/>
        </patternFill>
      </fill>
    </dxf>
    <dxf>
      <fill>
        <patternFill patternType="solid">
          <fgColor rgb="FFEAF2F8"/>
        </patternFill>
      </fill>
    </dxf>
    <dxf>
      <fill>
        <patternFill patternType="solid">
          <fgColor rgb="FFD9EAD3"/>
        </patternFill>
      </fill>
    </dxf>
    <dxf>
      <fill>
        <patternFill patternType="solid">
          <fgColor rgb="FFF3F4F6"/>
        </patternFill>
      </fill>
    </dxf>
    <dxf>
      <fill>
        <patternFill patternType="solid">
          <fgColor rgb="FFF2F7F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Spider view: Current vs Target</a:t>
            </a:r>
          </a:p>
        </c:rich>
      </c:tx>
      <c:overlay val="1"/>
    </c:title>
    <c:autoTitleDeleted val="0"/>
    <c:plotArea>
      <c:layout/>
      <c:radarChart>
        <c:radarStyle val="marker"/>
        <c:varyColors val="1"/>
        <c:ser>
          <c:idx val="0"/>
          <c:order val="0"/>
          <c:tx>
            <c:strRef>
              <c:f>'AS-IS Assessment'!$N$9</c:f>
              <c:strCache>
                <c:ptCount val="1"/>
                <c:pt idx="0">
                  <c:v>Target</c:v>
                </c:pt>
              </c:strCache>
            </c:strRef>
          </c:tx>
          <c:spPr>
            <a:ln>
              <a:solidFill>
                <a:srgbClr val="FB923C"/>
              </a:solidFill>
              <a:prstDash val="solid"/>
            </a:ln>
          </c:spPr>
          <c:marker>
            <c:symbol val="none"/>
          </c:marker>
          <c:cat>
            <c:strRef>
              <c:f>'AS-IS Assessment'!$H$10:$H$26</c:f>
              <c:strCache>
                <c:ptCount val="17"/>
                <c:pt idx="0">
                  <c:v>Company Geography</c:v>
                </c:pt>
                <c:pt idx="1">
                  <c:v>Strategy GTM</c:v>
                </c:pt>
                <c:pt idx="2">
                  <c:v>Governance Crisis</c:v>
                </c:pt>
                <c:pt idx="3">
                  <c:v>HR Workforce</c:v>
                </c:pt>
                <c:pt idx="4">
                  <c:v>Finance Procurement</c:v>
                </c:pt>
                <c:pt idx="5">
                  <c:v>Legal Risk</c:v>
                </c:pt>
                <c:pt idx="6">
                  <c:v>Physical Safety</c:v>
                </c:pt>
                <c:pt idx="7">
                  <c:v>Delivery Ops</c:v>
                </c:pt>
                <c:pt idx="8">
                  <c:v>Supply Chain</c:v>
                </c:pt>
                <c:pt idx="9">
                  <c:v>Manufacturing MES</c:v>
                </c:pt>
                <c:pt idx="10">
                  <c:v>Sales CRM</c:v>
                </c:pt>
                <c:pt idx="11">
                  <c:v>Marketing Comms</c:v>
                </c:pt>
                <c:pt idx="12">
                  <c:v>IT Cloud DR</c:v>
                </c:pt>
                <c:pt idx="13">
                  <c:v>Business Systems</c:v>
                </c:pt>
                <c:pt idx="14">
                  <c:v>Data BI AI</c:v>
                </c:pt>
                <c:pt idx="15">
                  <c:v>Cyber Privacy</c:v>
                </c:pt>
                <c:pt idx="16">
                  <c:v>Quality Portfolio</c:v>
                </c:pt>
              </c:strCache>
            </c:strRef>
          </c:cat>
          <c:val>
            <c:numRef>
              <c:f>'AS-IS Assessment'!$N$10:$N$26</c:f>
              <c:numCache>
                <c:formatCode>0.00</c:formatCode>
                <c:ptCount val="1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numCache>
            </c:numRef>
          </c:val>
          <c:extLst>
            <c:ext xmlns:c16="http://schemas.microsoft.com/office/drawing/2014/chart" uri="{C3380CC4-5D6E-409C-BE32-E72D297353CC}">
              <c16:uniqueId val="{00000000-FA47-41E3-BB28-E77232E165F4}"/>
            </c:ext>
          </c:extLst>
        </c:ser>
        <c:ser>
          <c:idx val="1"/>
          <c:order val="1"/>
          <c:tx>
            <c:strRef>
              <c:f>'AS-IS Assessment'!$O$9</c:f>
              <c:strCache>
                <c:ptCount val="1"/>
                <c:pt idx="0">
                  <c:v>Score</c:v>
                </c:pt>
              </c:strCache>
            </c:strRef>
          </c:tx>
          <c:spPr>
            <a:ln>
              <a:solidFill>
                <a:srgbClr val="0F766E"/>
              </a:solidFill>
              <a:prstDash val="solid"/>
            </a:ln>
          </c:spPr>
          <c:marker>
            <c:symbol val="none"/>
          </c:marker>
          <c:cat>
            <c:strRef>
              <c:f>'AS-IS Assessment'!$H$10:$H$26</c:f>
              <c:strCache>
                <c:ptCount val="17"/>
                <c:pt idx="0">
                  <c:v>Company Geography</c:v>
                </c:pt>
                <c:pt idx="1">
                  <c:v>Strategy GTM</c:v>
                </c:pt>
                <c:pt idx="2">
                  <c:v>Governance Crisis</c:v>
                </c:pt>
                <c:pt idx="3">
                  <c:v>HR Workforce</c:v>
                </c:pt>
                <c:pt idx="4">
                  <c:v>Finance Procurement</c:v>
                </c:pt>
                <c:pt idx="5">
                  <c:v>Legal Risk</c:v>
                </c:pt>
                <c:pt idx="6">
                  <c:v>Physical Safety</c:v>
                </c:pt>
                <c:pt idx="7">
                  <c:v>Delivery Ops</c:v>
                </c:pt>
                <c:pt idx="8">
                  <c:v>Supply Chain</c:v>
                </c:pt>
                <c:pt idx="9">
                  <c:v>Manufacturing MES</c:v>
                </c:pt>
                <c:pt idx="10">
                  <c:v>Sales CRM</c:v>
                </c:pt>
                <c:pt idx="11">
                  <c:v>Marketing Comms</c:v>
                </c:pt>
                <c:pt idx="12">
                  <c:v>IT Cloud DR</c:v>
                </c:pt>
                <c:pt idx="13">
                  <c:v>Business Systems</c:v>
                </c:pt>
                <c:pt idx="14">
                  <c:v>Data BI AI</c:v>
                </c:pt>
                <c:pt idx="15">
                  <c:v>Cyber Privacy</c:v>
                </c:pt>
                <c:pt idx="16">
                  <c:v>Quality Portfolio</c:v>
                </c:pt>
              </c:strCache>
            </c:strRef>
          </c:cat>
          <c:val>
            <c:numRef>
              <c:f>'AS-IS Assessment'!$O$10:$O$26</c:f>
              <c:numCache>
                <c:formatCode>0.00</c:formatCode>
                <c:ptCount val="1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numCache>
            </c:numRef>
          </c:val>
          <c:extLst>
            <c:ext xmlns:c16="http://schemas.microsoft.com/office/drawing/2014/chart" uri="{C3380CC4-5D6E-409C-BE32-E72D297353CC}">
              <c16:uniqueId val="{00000001-FA47-41E3-BB28-E77232E165F4}"/>
            </c:ext>
          </c:extLst>
        </c:ser>
        <c:dLbls>
          <c:showLegendKey val="0"/>
          <c:showVal val="0"/>
          <c:showCatName val="0"/>
          <c:showSerName val="0"/>
          <c:showPercent val="0"/>
          <c:showBubbleSize val="0"/>
        </c:dLbls>
        <c:axId val="10"/>
        <c:axId val="100"/>
      </c:radar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ax val="5"/>
          <c:min val="0"/>
        </c:scaling>
        <c:delete val="1"/>
        <c:axPos val="l"/>
        <c:majorGridlines/>
        <c:numFmt formatCode="0.00" sourceLinked="1"/>
        <c:majorTickMark val="none"/>
        <c:minorTickMark val="none"/>
        <c:tickLblPos val="nextTo"/>
        <c:crossAx val="10"/>
        <c:crosses val="autoZero"/>
        <c:crossBetween val="between"/>
        <c:majorUnit val="1"/>
      </c:valAx>
    </c:plotArea>
    <c:legend>
      <c:legendPos val="b"/>
      <c:overlay val="1"/>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Domain score vs industry target</a:t>
            </a:r>
          </a:p>
        </c:rich>
      </c:tx>
      <c:overlay val="1"/>
    </c:title>
    <c:autoTitleDeleted val="0"/>
    <c:plotArea>
      <c:layout/>
      <c:barChart>
        <c:barDir val="bar"/>
        <c:grouping val="clustered"/>
        <c:varyColors val="1"/>
        <c:ser>
          <c:idx val="0"/>
          <c:order val="0"/>
          <c:tx>
            <c:strRef>
              <c:f>'AS-IS Assessment'!$N$9</c:f>
              <c:strCache>
                <c:ptCount val="1"/>
                <c:pt idx="0">
                  <c:v>Target</c:v>
                </c:pt>
              </c:strCache>
            </c:strRef>
          </c:tx>
          <c:spPr>
            <a:solidFill>
              <a:srgbClr val="FB923C"/>
            </a:solidFill>
            <a:ln>
              <a:prstDash val="solid"/>
            </a:ln>
          </c:spPr>
          <c:invertIfNegative val="1"/>
          <c:cat>
            <c:strRef>
              <c:f>'AS-IS Assessment'!$H$10:$H$26</c:f>
              <c:strCache>
                <c:ptCount val="17"/>
                <c:pt idx="0">
                  <c:v>Company Geography</c:v>
                </c:pt>
                <c:pt idx="1">
                  <c:v>Strategy GTM</c:v>
                </c:pt>
                <c:pt idx="2">
                  <c:v>Governance Crisis</c:v>
                </c:pt>
                <c:pt idx="3">
                  <c:v>HR Workforce</c:v>
                </c:pt>
                <c:pt idx="4">
                  <c:v>Finance Procurement</c:v>
                </c:pt>
                <c:pt idx="5">
                  <c:v>Legal Risk</c:v>
                </c:pt>
                <c:pt idx="6">
                  <c:v>Physical Safety</c:v>
                </c:pt>
                <c:pt idx="7">
                  <c:v>Delivery Ops</c:v>
                </c:pt>
                <c:pt idx="8">
                  <c:v>Supply Chain</c:v>
                </c:pt>
                <c:pt idx="9">
                  <c:v>Manufacturing MES</c:v>
                </c:pt>
                <c:pt idx="10">
                  <c:v>Sales CRM</c:v>
                </c:pt>
                <c:pt idx="11">
                  <c:v>Marketing Comms</c:v>
                </c:pt>
                <c:pt idx="12">
                  <c:v>IT Cloud DR</c:v>
                </c:pt>
                <c:pt idx="13">
                  <c:v>Business Systems</c:v>
                </c:pt>
                <c:pt idx="14">
                  <c:v>Data BI AI</c:v>
                </c:pt>
                <c:pt idx="15">
                  <c:v>Cyber Privacy</c:v>
                </c:pt>
                <c:pt idx="16">
                  <c:v>Quality Portfolio</c:v>
                </c:pt>
              </c:strCache>
            </c:strRef>
          </c:cat>
          <c:val>
            <c:numRef>
              <c:f>'AS-IS Assessment'!$N$10:$N$26</c:f>
              <c:numCache>
                <c:formatCode>0.00</c:formatCode>
                <c:ptCount val="1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1A2B-44FF-86A9-0DD5D8E5AE48}"/>
            </c:ext>
          </c:extLst>
        </c:ser>
        <c:ser>
          <c:idx val="1"/>
          <c:order val="1"/>
          <c:tx>
            <c:strRef>
              <c:f>'AS-IS Assessment'!$O$9</c:f>
              <c:strCache>
                <c:ptCount val="1"/>
                <c:pt idx="0">
                  <c:v>Score</c:v>
                </c:pt>
              </c:strCache>
            </c:strRef>
          </c:tx>
          <c:spPr>
            <a:solidFill>
              <a:srgbClr val="0F766E"/>
            </a:solidFill>
            <a:ln>
              <a:prstDash val="solid"/>
            </a:ln>
          </c:spPr>
          <c:invertIfNegative val="1"/>
          <c:cat>
            <c:strRef>
              <c:f>'AS-IS Assessment'!$H$10:$H$26</c:f>
              <c:strCache>
                <c:ptCount val="17"/>
                <c:pt idx="0">
                  <c:v>Company Geography</c:v>
                </c:pt>
                <c:pt idx="1">
                  <c:v>Strategy GTM</c:v>
                </c:pt>
                <c:pt idx="2">
                  <c:v>Governance Crisis</c:v>
                </c:pt>
                <c:pt idx="3">
                  <c:v>HR Workforce</c:v>
                </c:pt>
                <c:pt idx="4">
                  <c:v>Finance Procurement</c:v>
                </c:pt>
                <c:pt idx="5">
                  <c:v>Legal Risk</c:v>
                </c:pt>
                <c:pt idx="6">
                  <c:v>Physical Safety</c:v>
                </c:pt>
                <c:pt idx="7">
                  <c:v>Delivery Ops</c:v>
                </c:pt>
                <c:pt idx="8">
                  <c:v>Supply Chain</c:v>
                </c:pt>
                <c:pt idx="9">
                  <c:v>Manufacturing MES</c:v>
                </c:pt>
                <c:pt idx="10">
                  <c:v>Sales CRM</c:v>
                </c:pt>
                <c:pt idx="11">
                  <c:v>Marketing Comms</c:v>
                </c:pt>
                <c:pt idx="12">
                  <c:v>IT Cloud DR</c:v>
                </c:pt>
                <c:pt idx="13">
                  <c:v>Business Systems</c:v>
                </c:pt>
                <c:pt idx="14">
                  <c:v>Data BI AI</c:v>
                </c:pt>
                <c:pt idx="15">
                  <c:v>Cyber Privacy</c:v>
                </c:pt>
                <c:pt idx="16">
                  <c:v>Quality Portfolio</c:v>
                </c:pt>
              </c:strCache>
            </c:strRef>
          </c:cat>
          <c:val>
            <c:numRef>
              <c:f>'AS-IS Assessment'!$O$10:$O$26</c:f>
              <c:numCache>
                <c:formatCode>0.00</c:formatCode>
                <c:ptCount val="1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1-1A2B-44FF-86A9-0DD5D8E5AE48}"/>
            </c:ext>
          </c:extLst>
        </c:ser>
        <c:dLbls>
          <c:showLegendKey val="0"/>
          <c:showVal val="0"/>
          <c:showCatName val="0"/>
          <c:showSerName val="0"/>
          <c:showPercent val="0"/>
          <c:showBubbleSize val="0"/>
        </c:dLbls>
        <c:gapWidth val="150"/>
        <c:axId val="10"/>
        <c:axId val="100"/>
      </c:barChart>
      <c:catAx>
        <c:axId val="10"/>
        <c:scaling>
          <c:orientation val="minMax"/>
          <c:max val="5"/>
          <c:min val="0"/>
        </c:scaling>
        <c:delete val="1"/>
        <c:axPos val="l"/>
        <c:title>
          <c:tx>
            <c:rich>
              <a:bodyPr/>
              <a:lstStyle/>
              <a:p>
                <a:pPr>
                  <a:defRPr/>
                </a:pPr>
                <a:r>
                  <a:rPr lang="en-GB"/>
                  <a:t>Maturity score 0–5</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b"/>
        <c:majorGridlines/>
        <c:title>
          <c:tx>
            <c:rich>
              <a:bodyPr/>
              <a:lstStyle/>
              <a:p>
                <a:pPr>
                  <a:defRPr/>
                </a:pPr>
                <a:r>
                  <a:rPr lang="en-GB"/>
                  <a:t>Domain</a:t>
                </a:r>
              </a:p>
            </c:rich>
          </c:tx>
          <c:overlay val="1"/>
        </c:title>
        <c:numFmt formatCode="0.00" sourceLinked="1"/>
        <c:majorTickMark val="none"/>
        <c:minorTickMark val="none"/>
        <c:tickLblPos val="nextTo"/>
        <c:crossAx val="10"/>
        <c:crosses val="autoZero"/>
        <c:crossBetween val="between"/>
      </c:valAx>
    </c:plotArea>
    <c:legend>
      <c:legendPos val="b"/>
      <c:overlay val="1"/>
    </c:legend>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Fuzzy Posture</a:t>
            </a:r>
          </a:p>
        </c:rich>
      </c:tx>
      <c:overlay val="1"/>
    </c:title>
    <c:autoTitleDeleted val="0"/>
    <c:plotArea>
      <c:layout/>
      <c:radarChart>
        <c:radarStyle val="marker"/>
        <c:varyColors val="1"/>
        <c:ser>
          <c:idx val="0"/>
          <c:order val="0"/>
          <c:tx>
            <c:strRef>
              <c:f>'Resilience &amp; Risk Scenario'!$K$32</c:f>
              <c:strCache>
                <c:ptCount val="1"/>
                <c:pt idx="0">
                  <c:v>Membership</c:v>
                </c:pt>
              </c:strCache>
            </c:strRef>
          </c:tx>
          <c:spPr>
            <a:ln>
              <a:prstDash val="solid"/>
            </a:ln>
          </c:spPr>
          <c:marker>
            <c:symbol val="none"/>
          </c:marker>
          <c:cat>
            <c:strRef>
              <c:f>'Resilience &amp; Risk Scenario'!$J$33:$J$37</c:f>
              <c:strCache>
                <c:ptCount val="5"/>
                <c:pt idx="0">
                  <c:v>Fragile</c:v>
                </c:pt>
                <c:pt idx="1">
                  <c:v>Exposed</c:v>
                </c:pt>
                <c:pt idx="2">
                  <c:v>Adaptive</c:v>
                </c:pt>
                <c:pt idx="3">
                  <c:v>Resilient</c:v>
                </c:pt>
                <c:pt idx="4">
                  <c:v>Anti-fragile</c:v>
                </c:pt>
              </c:strCache>
            </c:strRef>
          </c:cat>
          <c:val>
            <c:numRef>
              <c:f>'Resilience &amp; Risk Scenario'!$K$33:$K$37</c:f>
              <c:numCache>
                <c:formatCode>0.00</c:formatCode>
                <c:ptCount val="5"/>
                <c:pt idx="0">
                  <c:v>1</c:v>
                </c:pt>
                <c:pt idx="1">
                  <c:v>0</c:v>
                </c:pt>
                <c:pt idx="2">
                  <c:v>0</c:v>
                </c:pt>
                <c:pt idx="3">
                  <c:v>0</c:v>
                </c:pt>
                <c:pt idx="4">
                  <c:v>0</c:v>
                </c:pt>
              </c:numCache>
            </c:numRef>
          </c:val>
          <c:extLst>
            <c:ext xmlns:c16="http://schemas.microsoft.com/office/drawing/2014/chart" uri="{C3380CC4-5D6E-409C-BE32-E72D297353CC}">
              <c16:uniqueId val="{00000000-D8B3-42AE-8C7B-EBC7B71AEFF3}"/>
            </c:ext>
          </c:extLst>
        </c:ser>
        <c:dLbls>
          <c:showLegendKey val="0"/>
          <c:showVal val="0"/>
          <c:showCatName val="0"/>
          <c:showSerName val="0"/>
          <c:showPercent val="0"/>
          <c:showBubbleSize val="0"/>
        </c:dLbls>
        <c:axId val="10"/>
        <c:axId val="100"/>
      </c:radar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ax val="1"/>
          <c:min val="0"/>
        </c:scaling>
        <c:delete val="1"/>
        <c:axPos val="l"/>
        <c:majorGridlines/>
        <c:numFmt formatCode="0.00" sourceLinked="1"/>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Top exposure domains</a:t>
            </a:r>
          </a:p>
        </c:rich>
      </c:tx>
      <c:overlay val="1"/>
    </c:title>
    <c:autoTitleDeleted val="0"/>
    <c:plotArea>
      <c:layout/>
      <c:barChart>
        <c:barDir val="bar"/>
        <c:grouping val="clustered"/>
        <c:varyColors val="1"/>
        <c:ser>
          <c:idx val="0"/>
          <c:order val="0"/>
          <c:tx>
            <c:strRef>
              <c:f>'Resilience &amp; Risk Scenario'!$N$32</c:f>
              <c:strCache>
                <c:ptCount val="1"/>
                <c:pt idx="0">
                  <c:v>Exposure</c:v>
                </c:pt>
              </c:strCache>
            </c:strRef>
          </c:tx>
          <c:spPr>
            <a:ln>
              <a:prstDash val="solid"/>
            </a:ln>
          </c:spPr>
          <c:invertIfNegative val="1"/>
          <c:cat>
            <c:strRef>
              <c:f>'Resilience &amp; Risk Scenario'!$M$33:$M$42</c:f>
              <c:strCache>
                <c:ptCount val="10"/>
                <c:pt idx="0">
                  <c:v>Cyber Privacy</c:v>
                </c:pt>
                <c:pt idx="1">
                  <c:v>Physical Safety</c:v>
                </c:pt>
                <c:pt idx="2">
                  <c:v>Supply Chain</c:v>
                </c:pt>
                <c:pt idx="3">
                  <c:v>Manufacturing MES</c:v>
                </c:pt>
                <c:pt idx="4">
                  <c:v>IT Cloud DR</c:v>
                </c:pt>
                <c:pt idx="5">
                  <c:v>Data BI AI</c:v>
                </c:pt>
                <c:pt idx="6">
                  <c:v>Strategy GTM</c:v>
                </c:pt>
                <c:pt idx="7">
                  <c:v>HR Workforce</c:v>
                </c:pt>
                <c:pt idx="8">
                  <c:v>Finance Procurement</c:v>
                </c:pt>
                <c:pt idx="9">
                  <c:v>Delivery Ops</c:v>
                </c:pt>
              </c:strCache>
            </c:strRef>
          </c:cat>
          <c:val>
            <c:numRef>
              <c:f>'Resilience &amp; Risk Scenario'!$N$33:$N$42</c:f>
              <c:numCache>
                <c:formatCode>0.0</c:formatCode>
                <c:ptCount val="10"/>
                <c:pt idx="0">
                  <c:v>13.5</c:v>
                </c:pt>
                <c:pt idx="1">
                  <c:v>12.75</c:v>
                </c:pt>
                <c:pt idx="2">
                  <c:v>12.25</c:v>
                </c:pt>
                <c:pt idx="3">
                  <c:v>12</c:v>
                </c:pt>
                <c:pt idx="4">
                  <c:v>12</c:v>
                </c:pt>
                <c:pt idx="5">
                  <c:v>11.75</c:v>
                </c:pt>
                <c:pt idx="6">
                  <c:v>11.5</c:v>
                </c:pt>
                <c:pt idx="7">
                  <c:v>11.5</c:v>
                </c:pt>
                <c:pt idx="8">
                  <c:v>11.5</c:v>
                </c:pt>
                <c:pt idx="9">
                  <c:v>11</c:v>
                </c:pt>
              </c:numCache>
            </c:numRef>
          </c:val>
          <c:extLst>
            <c:ext xmlns:c16="http://schemas.microsoft.com/office/drawing/2014/chart" uri="{C3380CC4-5D6E-409C-BE32-E72D297353CC}">
              <c16:uniqueId val="{00000000-1D92-453F-A67C-EC99BC19846D}"/>
            </c:ext>
          </c:extLst>
        </c:ser>
        <c:dLbls>
          <c:showLegendKey val="0"/>
          <c:showVal val="0"/>
          <c:showCatName val="0"/>
          <c:showSerName val="0"/>
          <c:showPercent val="0"/>
          <c:showBubbleSize val="0"/>
        </c:dLbls>
        <c:gapWidth val="150"/>
        <c:axId val="10"/>
        <c:axId val="100"/>
      </c:barChart>
      <c:catAx>
        <c:axId val="10"/>
        <c:scaling>
          <c:orientation val="minMax"/>
        </c:scaling>
        <c:delete val="1"/>
        <c:axPos val="l"/>
        <c:title>
          <c:tx>
            <c:rich>
              <a:bodyPr/>
              <a:lstStyle/>
              <a:p>
                <a:pPr>
                  <a:defRPr/>
                </a:pPr>
                <a:r>
                  <a:rPr lang="en-GB"/>
                  <a:t>Adjusted exposure</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b"/>
        <c:majorGridlines/>
        <c:title>
          <c:tx>
            <c:rich>
              <a:bodyPr/>
              <a:lstStyle/>
              <a:p>
                <a:pPr>
                  <a:defRPr/>
                </a:pPr>
                <a:r>
                  <a:rPr lang="en-GB"/>
                  <a:t>Domain</a:t>
                </a:r>
              </a:p>
            </c:rich>
          </c:tx>
          <c:overlay val="1"/>
        </c:title>
        <c:numFmt formatCode="0.0" sourceLinked="1"/>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t>WSJF Components</a:t>
            </a:r>
          </a:p>
        </c:rich>
      </c:tx>
      <c:overlay val="1"/>
    </c:title>
    <c:autoTitleDeleted val="0"/>
    <c:plotArea>
      <c:layout/>
      <c:radarChart>
        <c:radarStyle val="marker"/>
        <c:varyColors val="1"/>
        <c:ser>
          <c:idx val="0"/>
          <c:order val="0"/>
          <c:tx>
            <c:strRef>
              <c:f>'Action Plan &amp; Roadmap'!$O$35</c:f>
              <c:strCache>
                <c:ptCount val="1"/>
                <c:pt idx="0">
                  <c:v>Average</c:v>
                </c:pt>
              </c:strCache>
            </c:strRef>
          </c:tx>
          <c:spPr>
            <a:ln>
              <a:prstDash val="solid"/>
            </a:ln>
          </c:spPr>
          <c:marker>
            <c:symbol val="none"/>
          </c:marker>
          <c:cat>
            <c:strRef>
              <c:f>'Action Plan &amp; Roadmap'!$N$36:$N$39</c:f>
              <c:strCache>
                <c:ptCount val="4"/>
                <c:pt idx="0">
                  <c:v>Business value</c:v>
                </c:pt>
                <c:pt idx="1">
                  <c:v>Time criticality</c:v>
                </c:pt>
                <c:pt idx="2">
                  <c:v>Risk reduction</c:v>
                </c:pt>
                <c:pt idx="3">
                  <c:v>Opportunity</c:v>
                </c:pt>
              </c:strCache>
            </c:strRef>
          </c:cat>
          <c:val>
            <c:numRef>
              <c:f>'Action Plan &amp; Roadmap'!$O$36:$O$39</c:f>
              <c:numCache>
                <c:formatCode>0.00</c:formatCode>
                <c:ptCount val="4"/>
                <c:pt idx="0">
                  <c:v>4.5943124999999991</c:v>
                </c:pt>
                <c:pt idx="1">
                  <c:v>4.9249999999999998</c:v>
                </c:pt>
                <c:pt idx="2">
                  <c:v>4.4042254166666677</c:v>
                </c:pt>
                <c:pt idx="3">
                  <c:v>3.318175000000001</c:v>
                </c:pt>
              </c:numCache>
            </c:numRef>
          </c:val>
          <c:extLst>
            <c:ext xmlns:c16="http://schemas.microsoft.com/office/drawing/2014/chart" uri="{C3380CC4-5D6E-409C-BE32-E72D297353CC}">
              <c16:uniqueId val="{00000000-0917-407B-9042-2FC25AE2D289}"/>
            </c:ext>
          </c:extLst>
        </c:ser>
        <c:dLbls>
          <c:showLegendKey val="0"/>
          <c:showVal val="0"/>
          <c:showCatName val="0"/>
          <c:showSerName val="0"/>
          <c:showPercent val="0"/>
          <c:showBubbleSize val="0"/>
        </c:dLbls>
        <c:axId val="10"/>
        <c:axId val="100"/>
      </c:radar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ax val="5"/>
          <c:min val="0"/>
        </c:scaling>
        <c:delete val="1"/>
        <c:axPos val="l"/>
        <c:majorGridlines/>
        <c:numFmt formatCode="0.00" sourceLinked="1"/>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t>Top initiatives by WSJF</a:t>
            </a:r>
          </a:p>
        </c:rich>
      </c:tx>
      <c:overlay val="1"/>
    </c:title>
    <c:autoTitleDeleted val="0"/>
    <c:plotArea>
      <c:layout/>
      <c:barChart>
        <c:barDir val="bar"/>
        <c:grouping val="clustered"/>
        <c:varyColors val="1"/>
        <c:ser>
          <c:idx val="0"/>
          <c:order val="0"/>
          <c:tx>
            <c:strRef>
              <c:f>'Action Plan &amp; Roadmap'!$R$35</c:f>
              <c:strCache>
                <c:ptCount val="1"/>
                <c:pt idx="0">
                  <c:v>WSJF</c:v>
                </c:pt>
              </c:strCache>
            </c:strRef>
          </c:tx>
          <c:spPr>
            <a:ln>
              <a:prstDash val="solid"/>
            </a:ln>
          </c:spPr>
          <c:invertIfNegative val="1"/>
          <c:cat>
            <c:strRef>
              <c:f>'Action Plan &amp; Roadmap'!$Q$36:$Q$45</c:f>
              <c:strCache>
                <c:ptCount val="10"/>
                <c:pt idx="0">
                  <c:v>Build geographic exposure and site continuity model</c:v>
                </c:pt>
                <c:pt idx="1">
                  <c:v>Build integrated risk, continuity and resilience control cycle</c:v>
                </c:pt>
                <c:pt idx="2">
                  <c:v>Implement crisis governance, roles and escalation model</c:v>
                </c:pt>
                <c:pt idx="3">
                  <c:v>Implement incident command, escalation and after-action review</c:v>
                </c:pt>
                <c:pt idx="4">
                  <c:v>Implement compliance obligation monitoring and crisis legal controls</c:v>
                </c:pt>
                <c:pt idx="5">
                  <c:v>Build contract register, obligations and force-majeure response model</c:v>
                </c:pt>
                <c:pt idx="6">
                  <c:v>Strengthen data, IP and confidentiality legal safeguards</c:v>
                </c:pt>
                <c:pt idx="7">
                  <c:v>Create company context, entity and operating model register</c:v>
                </c:pt>
                <c:pt idx="8">
                  <c:v>Strengthen quality management and audit readiness</c:v>
                </c:pt>
                <c:pt idx="9">
                  <c:v>Map critical business dependencies and external exposures</c:v>
                </c:pt>
              </c:strCache>
            </c:strRef>
          </c:cat>
          <c:val>
            <c:numRef>
              <c:f>'Action Plan &amp; Roadmap'!$R$36:$R$45</c:f>
              <c:numCache>
                <c:formatCode>0.00</c:formatCode>
                <c:ptCount val="10"/>
                <c:pt idx="0">
                  <c:v>2.64</c:v>
                </c:pt>
                <c:pt idx="1">
                  <c:v>2.63</c:v>
                </c:pt>
                <c:pt idx="2">
                  <c:v>2.62</c:v>
                </c:pt>
                <c:pt idx="3">
                  <c:v>2.61</c:v>
                </c:pt>
                <c:pt idx="4">
                  <c:v>2.61</c:v>
                </c:pt>
                <c:pt idx="5">
                  <c:v>2.6</c:v>
                </c:pt>
                <c:pt idx="6">
                  <c:v>2.6</c:v>
                </c:pt>
                <c:pt idx="7">
                  <c:v>2.59</c:v>
                </c:pt>
                <c:pt idx="8">
                  <c:v>2.59</c:v>
                </c:pt>
                <c:pt idx="9">
                  <c:v>2.58</c:v>
                </c:pt>
              </c:numCache>
            </c:numRef>
          </c:val>
          <c:extLst>
            <c:ext xmlns:c16="http://schemas.microsoft.com/office/drawing/2014/chart" uri="{C3380CC4-5D6E-409C-BE32-E72D297353CC}">
              <c16:uniqueId val="{00000000-7821-4D7E-A2D5-D0B952820C05}"/>
            </c:ext>
          </c:extLst>
        </c:ser>
        <c:dLbls>
          <c:showLegendKey val="0"/>
          <c:showVal val="0"/>
          <c:showCatName val="0"/>
          <c:showSerName val="0"/>
          <c:showPercent val="0"/>
          <c:showBubbleSize val="0"/>
        </c:dLbls>
        <c:gapWidth val="150"/>
        <c:axId val="10"/>
        <c:axId val="100"/>
      </c:barChart>
      <c:catAx>
        <c:axId val="10"/>
        <c:scaling>
          <c:orientation val="minMax"/>
        </c:scaling>
        <c:delete val="1"/>
        <c:axPos val="l"/>
        <c:title>
          <c:tx>
            <c:rich>
              <a:bodyPr/>
              <a:lstStyle/>
              <a:p>
                <a:pPr>
                  <a:defRPr/>
                </a:pPr>
                <a:r>
                  <a:t>WSJF</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b"/>
        <c:majorGridlines/>
        <c:title>
          <c:tx>
            <c:rich>
              <a:bodyPr/>
              <a:lstStyle/>
              <a:p>
                <a:pPr>
                  <a:defRPr/>
                </a:pPr>
                <a:r>
                  <a:t>Initiative</a:t>
                </a:r>
              </a:p>
            </c:rich>
          </c:tx>
          <c:overlay val="1"/>
        </c:title>
        <c:numFmt formatCode="0.00" sourceLinked="1"/>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oneCellAnchor>
    <xdr:from>
      <xdr:col>7</xdr:col>
      <xdr:colOff>0</xdr:colOff>
      <xdr:row>30</xdr:row>
      <xdr:rowOff>0</xdr:rowOff>
    </xdr:from>
    <xdr:ext cx="4680000" cy="3600000"/>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17</xdr:col>
      <xdr:colOff>0</xdr:colOff>
      <xdr:row>30</xdr:row>
      <xdr:rowOff>0</xdr:rowOff>
    </xdr:from>
    <xdr:ext cx="5400000" cy="3600000"/>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2.xml><?xml version="1.0" encoding="utf-8"?>
<xdr:wsDr xmlns:xdr="http://schemas.openxmlformats.org/drawingml/2006/spreadsheetDrawing" xmlns:a="http://schemas.openxmlformats.org/drawingml/2006/main">
  <xdr:oneCellAnchor>
    <xdr:from>
      <xdr:col>9</xdr:col>
      <xdr:colOff>0</xdr:colOff>
      <xdr:row>43</xdr:row>
      <xdr:rowOff>0</xdr:rowOff>
    </xdr:from>
    <xdr:ext cx="5400000" cy="2700000"/>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17</xdr:col>
      <xdr:colOff>0</xdr:colOff>
      <xdr:row>30</xdr:row>
      <xdr:rowOff>0</xdr:rowOff>
    </xdr:from>
    <xdr:ext cx="5760000" cy="3060000"/>
    <xdr:graphicFrame macro="">
      <xdr:nvGraphicFramePr>
        <xdr:cNvPr id="3" name="Chart 2">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3.xml><?xml version="1.0" encoding="utf-8"?>
<xdr:wsDr xmlns:xdr="http://schemas.openxmlformats.org/drawingml/2006/spreadsheetDrawing" xmlns:a="http://schemas.openxmlformats.org/drawingml/2006/main">
  <xdr:oneCellAnchor>
    <xdr:from>
      <xdr:col>13</xdr:col>
      <xdr:colOff>0</xdr:colOff>
      <xdr:row>46</xdr:row>
      <xdr:rowOff>0</xdr:rowOff>
    </xdr:from>
    <xdr:ext cx="5400000" cy="2700000"/>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19</xdr:col>
      <xdr:colOff>0</xdr:colOff>
      <xdr:row>46</xdr:row>
      <xdr:rowOff>0</xdr:rowOff>
    </xdr:from>
    <xdr:ext cx="6120000" cy="3060000"/>
    <xdr:graphicFrame macro="">
      <xdr:nvGraphicFramePr>
        <xdr:cNvPr id="3" name="Chart 2">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4E78"/>
    <outlinePr summaryBelow="0" summaryRight="0"/>
  </sheetPr>
  <dimension ref="A1:H255"/>
  <sheetViews>
    <sheetView showGridLines="0" tabSelected="1" workbookViewId="0">
      <pane ySplit="9" topLeftCell="A10" activePane="bottomLeft" state="frozen"/>
      <selection pane="bottomLeft"/>
    </sheetView>
  </sheetViews>
  <sheetFormatPr defaultRowHeight="14.15" outlineLevelRow="1"/>
  <cols>
    <col min="1" max="1" width="28" customWidth="1"/>
    <col min="2" max="2" width="36" customWidth="1"/>
    <col min="3" max="3" width="58" customWidth="1"/>
    <col min="4" max="4" width="32" customWidth="1"/>
    <col min="5" max="8" width="16" customWidth="1"/>
  </cols>
  <sheetData>
    <row r="1" spans="1:8" ht="18" customHeight="1">
      <c r="A1" s="191" t="s">
        <v>0</v>
      </c>
      <c r="B1" s="191"/>
      <c r="C1" s="191"/>
      <c r="D1" s="191"/>
      <c r="E1" s="191"/>
      <c r="F1" s="191"/>
    </row>
    <row r="2" spans="1:8" ht="18" customHeight="1">
      <c r="A2" s="167" t="s">
        <v>1</v>
      </c>
    </row>
    <row r="3" spans="1:8" ht="18" customHeight="1">
      <c r="A3" s="111"/>
      <c r="B3" s="111"/>
      <c r="C3" s="111"/>
      <c r="D3" s="111"/>
      <c r="E3" s="111"/>
      <c r="F3" s="111"/>
      <c r="G3" s="111"/>
      <c r="H3" s="111"/>
    </row>
    <row r="4" spans="1:8" ht="18" customHeight="1">
      <c r="A4" s="192" t="s">
        <v>2</v>
      </c>
      <c r="B4" s="192"/>
      <c r="C4" s="192"/>
      <c r="D4" s="192"/>
      <c r="E4" s="192"/>
      <c r="F4" s="192"/>
      <c r="G4" s="192"/>
      <c r="H4" s="192"/>
    </row>
    <row r="5" spans="1:8" ht="18" customHeight="1">
      <c r="A5" s="112" t="s">
        <v>3</v>
      </c>
      <c r="B5" t="s">
        <v>4</v>
      </c>
      <c r="C5" s="142" t="s">
        <v>5</v>
      </c>
      <c r="D5" s="114"/>
      <c r="E5" s="114"/>
      <c r="F5" s="114"/>
      <c r="G5" s="114"/>
      <c r="H5" s="114"/>
    </row>
    <row r="6" spans="1:8" ht="18" customHeight="1">
      <c r="A6" s="112" t="s">
        <v>6</v>
      </c>
      <c r="B6" t="str">
        <f>"RR-FRAMEWORK-"&amp;$B$5&amp;"-20260624"</f>
        <v>RR-FRAMEWORK-v3.0-20260624</v>
      </c>
      <c r="C6" s="142" t="s">
        <v>7</v>
      </c>
      <c r="D6" s="114"/>
      <c r="E6" s="114"/>
      <c r="F6" s="114"/>
      <c r="G6" s="114"/>
      <c r="H6" s="114"/>
    </row>
    <row r="7" spans="1:8" ht="18" customHeight="1">
      <c r="A7" s="112" t="s">
        <v>8</v>
      </c>
      <c r="B7" s="113" t="s">
        <v>9</v>
      </c>
      <c r="C7" s="114" t="s">
        <v>10</v>
      </c>
      <c r="D7" s="114"/>
      <c r="E7" s="114"/>
      <c r="F7" s="114"/>
      <c r="G7" s="114"/>
      <c r="H7" s="114"/>
    </row>
    <row r="8" spans="1:8" ht="18" customHeight="1">
      <c r="A8" s="112" t="s">
        <v>11</v>
      </c>
      <c r="B8" s="113" t="str">
        <f>_CONFIG_Model_Settings!B178</f>
        <v>Frozen</v>
      </c>
      <c r="C8" s="114" t="s">
        <v>12</v>
      </c>
      <c r="D8" s="114"/>
      <c r="E8" s="114"/>
      <c r="F8" s="114"/>
      <c r="G8" s="114"/>
      <c r="H8" s="114"/>
    </row>
    <row r="9" spans="1:8" ht="18" customHeight="1">
      <c r="A9" s="112" t="s">
        <v>13</v>
      </c>
      <c r="B9" s="113"/>
      <c r="C9" s="114" t="s">
        <v>14</v>
      </c>
      <c r="D9" s="114"/>
      <c r="E9" s="114"/>
      <c r="F9" s="114"/>
      <c r="G9" s="114"/>
      <c r="H9" s="114"/>
    </row>
    <row r="10" spans="1:8" ht="18" customHeight="1">
      <c r="A10" s="111"/>
      <c r="B10" s="111"/>
      <c r="C10" s="111"/>
      <c r="D10" s="111"/>
      <c r="E10" s="111"/>
      <c r="F10" s="111"/>
      <c r="G10" s="111"/>
      <c r="H10" s="111"/>
    </row>
    <row r="11" spans="1:8" ht="18" customHeight="1">
      <c r="A11" s="166" t="s">
        <v>15</v>
      </c>
    </row>
    <row r="12" spans="1:8" ht="18" customHeight="1" outlineLevel="1">
      <c r="A12" s="193" t="s">
        <v>16</v>
      </c>
      <c r="B12" s="193" t="s">
        <v>17</v>
      </c>
      <c r="C12" s="193" t="s">
        <v>18</v>
      </c>
      <c r="D12" s="193" t="s">
        <v>19</v>
      </c>
      <c r="E12" s="111"/>
      <c r="F12" s="111"/>
      <c r="G12" s="111"/>
      <c r="H12" s="111"/>
    </row>
    <row r="13" spans="1:8" ht="18" customHeight="1" outlineLevel="1">
      <c r="A13" s="115" t="s">
        <v>20</v>
      </c>
      <c r="B13" s="116" t="s">
        <v>21</v>
      </c>
      <c r="C13" s="115" t="s">
        <v>22</v>
      </c>
      <c r="D13" s="117" t="s">
        <v>23</v>
      </c>
      <c r="E13" s="111"/>
      <c r="F13" s="118" t="s">
        <v>24</v>
      </c>
      <c r="G13" s="119" t="s">
        <v>25</v>
      </c>
      <c r="H13" s="111" t="s">
        <v>26</v>
      </c>
    </row>
    <row r="14" spans="1:8" ht="18" customHeight="1" outlineLevel="1">
      <c r="A14" s="120" t="s">
        <v>27</v>
      </c>
      <c r="B14" s="116" t="s">
        <v>28</v>
      </c>
      <c r="C14" s="120" t="s">
        <v>29</v>
      </c>
      <c r="D14" s="121" t="s">
        <v>30</v>
      </c>
      <c r="E14" s="111"/>
      <c r="F14" s="111"/>
      <c r="G14" s="111"/>
      <c r="H14" s="111"/>
    </row>
    <row r="15" spans="1:8" ht="18" customHeight="1" outlineLevel="1">
      <c r="A15" s="115" t="s">
        <v>31</v>
      </c>
      <c r="B15" s="116" t="s">
        <v>32</v>
      </c>
      <c r="C15" s="115" t="s">
        <v>33</v>
      </c>
      <c r="D15" s="117" t="s">
        <v>34</v>
      </c>
      <c r="E15" s="111"/>
      <c r="F15" s="111"/>
      <c r="G15" s="111"/>
      <c r="H15" s="111"/>
    </row>
    <row r="16" spans="1:8" ht="18" customHeight="1" outlineLevel="1">
      <c r="A16" s="120" t="s">
        <v>35</v>
      </c>
      <c r="B16" s="116" t="s">
        <v>36</v>
      </c>
      <c r="C16" s="120" t="s">
        <v>37</v>
      </c>
      <c r="D16" s="121" t="s">
        <v>38</v>
      </c>
      <c r="E16" s="111"/>
      <c r="F16" s="111"/>
      <c r="G16" s="111"/>
      <c r="H16" s="111"/>
    </row>
    <row r="17" spans="1:8" ht="18" customHeight="1" outlineLevel="1">
      <c r="A17" s="115" t="s">
        <v>39</v>
      </c>
      <c r="B17" s="116" t="s">
        <v>40</v>
      </c>
      <c r="C17" s="143" t="s">
        <v>41</v>
      </c>
      <c r="D17" s="117" t="s">
        <v>42</v>
      </c>
      <c r="E17" s="111"/>
      <c r="F17" s="111"/>
      <c r="G17" s="111"/>
      <c r="H17" s="111"/>
    </row>
    <row r="18" spans="1:8" ht="18" customHeight="1">
      <c r="A18" s="161" t="s">
        <v>43</v>
      </c>
    </row>
    <row r="19" spans="1:8" ht="18" customHeight="1" outlineLevel="1">
      <c r="A19" s="122" t="s">
        <v>44</v>
      </c>
      <c r="B19" s="122" t="s">
        <v>45</v>
      </c>
      <c r="C19" s="122" t="s">
        <v>46</v>
      </c>
      <c r="D19" s="122" t="s">
        <v>47</v>
      </c>
      <c r="E19" s="111"/>
      <c r="F19" s="111"/>
      <c r="G19" s="111"/>
      <c r="H19" s="111"/>
    </row>
    <row r="20" spans="1:8" ht="18" customHeight="1" outlineLevel="1">
      <c r="A20" s="115" t="s">
        <v>48</v>
      </c>
      <c r="B20" s="115" t="s">
        <v>49</v>
      </c>
      <c r="C20" s="115" t="s">
        <v>50</v>
      </c>
      <c r="D20" s="115" t="s">
        <v>51</v>
      </c>
      <c r="E20" s="111"/>
      <c r="F20" s="111"/>
      <c r="G20" s="111"/>
      <c r="H20" s="111"/>
    </row>
    <row r="21" spans="1:8" ht="18" customHeight="1" outlineLevel="1">
      <c r="A21" s="120" t="s">
        <v>52</v>
      </c>
      <c r="B21" s="120" t="s">
        <v>53</v>
      </c>
      <c r="C21" s="120" t="s">
        <v>54</v>
      </c>
      <c r="D21" s="120" t="s">
        <v>55</v>
      </c>
      <c r="E21" s="111"/>
      <c r="F21" s="111"/>
      <c r="G21" s="111"/>
      <c r="H21" s="111"/>
    </row>
    <row r="22" spans="1:8" ht="18" customHeight="1" outlineLevel="1">
      <c r="A22" s="115" t="s">
        <v>56</v>
      </c>
      <c r="B22" s="115" t="s">
        <v>57</v>
      </c>
      <c r="C22" s="115" t="s">
        <v>58</v>
      </c>
      <c r="D22" s="115" t="s">
        <v>59</v>
      </c>
      <c r="E22" s="111"/>
      <c r="F22" s="111"/>
      <c r="G22" s="111"/>
      <c r="H22" s="111"/>
    </row>
    <row r="23" spans="1:8" ht="18" customHeight="1" outlineLevel="1">
      <c r="A23" s="120" t="s">
        <v>60</v>
      </c>
      <c r="B23" s="120" t="s">
        <v>61</v>
      </c>
      <c r="C23" s="120" t="s">
        <v>62</v>
      </c>
      <c r="D23" s="120" t="s">
        <v>63</v>
      </c>
      <c r="E23" s="111"/>
      <c r="F23" s="111"/>
      <c r="G23" s="111"/>
      <c r="H23" s="111"/>
    </row>
    <row r="24" spans="1:8" ht="18" customHeight="1" outlineLevel="1">
      <c r="A24" s="115" t="s">
        <v>64</v>
      </c>
      <c r="B24" s="115" t="s">
        <v>65</v>
      </c>
      <c r="C24" s="115" t="s">
        <v>66</v>
      </c>
      <c r="D24" s="115" t="s">
        <v>67</v>
      </c>
      <c r="E24" s="111"/>
      <c r="F24" s="111"/>
      <c r="G24" s="111"/>
      <c r="H24" s="111"/>
    </row>
    <row r="25" spans="1:8" ht="18" customHeight="1" outlineLevel="1">
      <c r="A25" s="120" t="s">
        <v>68</v>
      </c>
      <c r="B25" s="120" t="s">
        <v>69</v>
      </c>
      <c r="C25" s="120" t="s">
        <v>70</v>
      </c>
      <c r="D25" s="120" t="s">
        <v>71</v>
      </c>
      <c r="E25" s="111"/>
      <c r="F25" s="111"/>
      <c r="G25" s="111"/>
      <c r="H25" s="111"/>
    </row>
    <row r="26" spans="1:8" ht="18" customHeight="1" outlineLevel="1">
      <c r="A26" s="111"/>
      <c r="B26" s="111"/>
      <c r="C26" s="111"/>
      <c r="D26" s="111"/>
      <c r="E26" s="111"/>
      <c r="F26" s="111"/>
      <c r="G26" s="111"/>
      <c r="H26" s="111"/>
    </row>
    <row r="27" spans="1:8" ht="18" customHeight="1" outlineLevel="1">
      <c r="A27" s="168" t="s">
        <v>72</v>
      </c>
    </row>
    <row r="28" spans="1:8" ht="18" customHeight="1" outlineLevel="1">
      <c r="A28" s="122" t="s">
        <v>73</v>
      </c>
      <c r="B28" s="122" t="s">
        <v>74</v>
      </c>
      <c r="C28" s="111"/>
      <c r="D28" s="111"/>
      <c r="E28" s="111"/>
      <c r="F28" s="111"/>
      <c r="G28" s="111"/>
      <c r="H28" s="111"/>
    </row>
    <row r="29" spans="1:8" ht="18" customHeight="1" outlineLevel="1">
      <c r="A29" s="115" t="s">
        <v>75</v>
      </c>
      <c r="B29" s="115" t="s">
        <v>76</v>
      </c>
      <c r="C29" s="111"/>
      <c r="D29" s="111"/>
      <c r="E29" s="111"/>
      <c r="F29" s="111"/>
      <c r="G29" s="111"/>
      <c r="H29" s="111"/>
    </row>
    <row r="30" spans="1:8" ht="18" customHeight="1" outlineLevel="1">
      <c r="A30" s="120" t="s">
        <v>77</v>
      </c>
      <c r="B30" s="120" t="s">
        <v>78</v>
      </c>
      <c r="C30" s="111"/>
      <c r="D30" s="111"/>
      <c r="E30" s="111"/>
      <c r="F30" s="111"/>
      <c r="G30" s="111"/>
      <c r="H30" s="111"/>
    </row>
    <row r="31" spans="1:8" ht="18" customHeight="1" outlineLevel="1">
      <c r="A31" s="115" t="s">
        <v>79</v>
      </c>
      <c r="B31" s="115" t="s">
        <v>80</v>
      </c>
      <c r="C31" s="111"/>
      <c r="D31" s="111"/>
      <c r="E31" s="111"/>
      <c r="F31" s="111"/>
      <c r="G31" s="111"/>
      <c r="H31" s="111"/>
    </row>
    <row r="32" spans="1:8" ht="18" customHeight="1" outlineLevel="1">
      <c r="A32" s="120" t="s">
        <v>81</v>
      </c>
      <c r="B32" s="120" t="s">
        <v>82</v>
      </c>
      <c r="C32" s="111"/>
      <c r="D32" s="111"/>
      <c r="E32" s="111"/>
      <c r="F32" s="111"/>
      <c r="G32" s="111"/>
      <c r="H32" s="111"/>
    </row>
    <row r="33" spans="1:8" ht="18" customHeight="1">
      <c r="A33" s="111"/>
      <c r="B33" s="111"/>
      <c r="C33" s="111"/>
      <c r="D33" s="111"/>
      <c r="E33" s="111"/>
      <c r="F33" s="111"/>
      <c r="G33" s="111"/>
      <c r="H33" s="111"/>
    </row>
    <row r="34" spans="1:8" ht="18" customHeight="1">
      <c r="A34" s="111"/>
      <c r="B34" s="111"/>
      <c r="C34" s="111"/>
      <c r="D34" s="111"/>
      <c r="E34" s="111"/>
      <c r="F34" s="111"/>
      <c r="G34" s="111"/>
      <c r="H34" s="111"/>
    </row>
    <row r="35" spans="1:8" ht="18" customHeight="1">
      <c r="A35" s="111"/>
      <c r="B35" s="111"/>
      <c r="C35" s="111"/>
      <c r="D35" s="111"/>
      <c r="E35" s="111"/>
      <c r="F35" s="111"/>
      <c r="G35" s="111"/>
      <c r="H35" s="111"/>
    </row>
    <row r="36" spans="1:8" ht="18" customHeight="1">
      <c r="A36" s="111"/>
      <c r="B36" s="111"/>
      <c r="C36" s="111"/>
      <c r="D36" s="111"/>
      <c r="E36" s="111"/>
      <c r="F36" s="111"/>
      <c r="G36" s="111"/>
      <c r="H36" s="111"/>
    </row>
    <row r="37" spans="1:8" ht="18" customHeight="1">
      <c r="A37" s="111"/>
      <c r="B37" s="111"/>
      <c r="C37" s="111"/>
      <c r="D37" s="111"/>
      <c r="E37" s="111"/>
      <c r="F37" s="111"/>
      <c r="G37" s="111"/>
      <c r="H37" s="111"/>
    </row>
    <row r="38" spans="1:8" ht="18" customHeight="1">
      <c r="A38" s="111"/>
      <c r="B38" s="111"/>
      <c r="C38" s="111"/>
      <c r="D38" s="111"/>
      <c r="E38" s="111"/>
      <c r="F38" s="111"/>
      <c r="G38" s="111"/>
      <c r="H38" s="111"/>
    </row>
    <row r="39" spans="1:8" ht="18" customHeight="1">
      <c r="A39" s="164" t="s">
        <v>83</v>
      </c>
    </row>
    <row r="40" spans="1:8" ht="18" customHeight="1" outlineLevel="1">
      <c r="A40" s="193" t="s">
        <v>84</v>
      </c>
      <c r="B40" s="193" t="s">
        <v>85</v>
      </c>
      <c r="C40" s="193" t="s">
        <v>86</v>
      </c>
      <c r="D40" s="111"/>
      <c r="E40" s="111"/>
      <c r="F40" s="111"/>
      <c r="G40" s="111"/>
      <c r="H40" s="111"/>
    </row>
    <row r="41" spans="1:8" ht="18" customHeight="1" outlineLevel="1">
      <c r="A41" s="194" t="s">
        <v>87</v>
      </c>
      <c r="B41" s="194" t="s">
        <v>88</v>
      </c>
      <c r="C41" s="194" t="s">
        <v>89</v>
      </c>
      <c r="D41" s="111"/>
      <c r="E41" s="111"/>
      <c r="F41" s="111"/>
      <c r="G41" s="111"/>
      <c r="H41" s="111"/>
    </row>
    <row r="42" spans="1:8" ht="18" customHeight="1" outlineLevel="1">
      <c r="A42" s="175" t="s">
        <v>90</v>
      </c>
      <c r="B42" s="175" t="s">
        <v>91</v>
      </c>
      <c r="C42" s="175" t="s">
        <v>92</v>
      </c>
      <c r="D42" s="111"/>
      <c r="E42" s="111"/>
      <c r="F42" s="111"/>
      <c r="G42" s="111"/>
      <c r="H42" s="111"/>
    </row>
    <row r="43" spans="1:8" ht="18" customHeight="1" outlineLevel="1">
      <c r="A43" s="194" t="s">
        <v>93</v>
      </c>
      <c r="B43" s="194" t="s">
        <v>94</v>
      </c>
      <c r="C43" s="194" t="s">
        <v>95</v>
      </c>
      <c r="D43" s="111"/>
      <c r="E43" s="111"/>
      <c r="F43" s="111"/>
      <c r="G43" s="111"/>
      <c r="H43" s="111"/>
    </row>
    <row r="44" spans="1:8" ht="18" customHeight="1" outlineLevel="1">
      <c r="A44" s="175" t="s">
        <v>96</v>
      </c>
      <c r="B44" s="175" t="s">
        <v>97</v>
      </c>
      <c r="C44" s="175" t="s">
        <v>98</v>
      </c>
      <c r="D44" s="111"/>
      <c r="E44" s="111"/>
      <c r="F44" s="111"/>
      <c r="G44" s="111"/>
      <c r="H44" s="111"/>
    </row>
    <row r="45" spans="1:8" ht="18" customHeight="1" outlineLevel="1">
      <c r="A45" s="194" t="s">
        <v>99</v>
      </c>
      <c r="B45" s="194" t="s">
        <v>100</v>
      </c>
      <c r="C45" s="194" t="s">
        <v>101</v>
      </c>
      <c r="D45" s="111"/>
      <c r="E45" s="111"/>
      <c r="F45" s="111"/>
      <c r="G45" s="111"/>
      <c r="H45" s="111"/>
    </row>
    <row r="46" spans="1:8" ht="18" customHeight="1" outlineLevel="1">
      <c r="A46" s="175" t="s">
        <v>102</v>
      </c>
      <c r="B46" s="175" t="s">
        <v>103</v>
      </c>
      <c r="C46" s="175" t="s">
        <v>104</v>
      </c>
      <c r="D46" s="111"/>
      <c r="E46" s="111"/>
      <c r="F46" s="111"/>
      <c r="G46" s="111"/>
      <c r="H46" s="111"/>
    </row>
    <row r="47" spans="1:8" ht="18" customHeight="1" outlineLevel="1">
      <c r="A47" s="194" t="s">
        <v>105</v>
      </c>
      <c r="B47" s="194" t="s">
        <v>106</v>
      </c>
      <c r="C47" s="194" t="s">
        <v>107</v>
      </c>
      <c r="D47" s="111"/>
      <c r="E47" s="111"/>
      <c r="F47" s="111"/>
      <c r="G47" s="111"/>
      <c r="H47" s="111"/>
    </row>
    <row r="48" spans="1:8" ht="18" customHeight="1" outlineLevel="1">
      <c r="A48" s="175" t="s">
        <v>108</v>
      </c>
      <c r="B48" s="175" t="s">
        <v>109</v>
      </c>
      <c r="C48" s="175" t="s">
        <v>110</v>
      </c>
      <c r="D48" s="111"/>
      <c r="E48" s="111"/>
      <c r="F48" s="111"/>
      <c r="G48" s="111"/>
      <c r="H48" s="111"/>
    </row>
    <row r="49" spans="1:8" ht="18" customHeight="1" outlineLevel="1">
      <c r="A49" s="194" t="s">
        <v>111</v>
      </c>
      <c r="B49" s="194" t="s">
        <v>112</v>
      </c>
      <c r="C49" s="194" t="s">
        <v>113</v>
      </c>
      <c r="D49" s="111"/>
      <c r="E49" s="111"/>
      <c r="F49" s="111"/>
      <c r="G49" s="111"/>
      <c r="H49" s="111"/>
    </row>
    <row r="50" spans="1:8" ht="18" customHeight="1" outlineLevel="1">
      <c r="A50" s="111"/>
      <c r="B50" s="111"/>
      <c r="C50" s="111"/>
      <c r="D50" s="111"/>
      <c r="E50" s="111"/>
      <c r="F50" s="111"/>
      <c r="G50" s="111"/>
      <c r="H50" s="111"/>
    </row>
    <row r="51" spans="1:8" ht="18" customHeight="1" outlineLevel="1">
      <c r="A51" s="192" t="s">
        <v>114</v>
      </c>
      <c r="B51" s="192"/>
      <c r="C51" s="192"/>
      <c r="D51" s="192"/>
    </row>
    <row r="52" spans="1:8" ht="18" customHeight="1" outlineLevel="1">
      <c r="A52" s="193" t="s">
        <v>115</v>
      </c>
      <c r="B52" s="193" t="s">
        <v>116</v>
      </c>
      <c r="C52" s="193" t="s">
        <v>117</v>
      </c>
      <c r="D52" s="193" t="s">
        <v>118</v>
      </c>
      <c r="E52" s="111"/>
      <c r="F52" s="111"/>
      <c r="G52" s="111"/>
      <c r="H52" s="111"/>
    </row>
    <row r="53" spans="1:8" ht="18" customHeight="1" outlineLevel="1">
      <c r="A53" s="194">
        <v>1</v>
      </c>
      <c r="B53" s="194" t="s">
        <v>119</v>
      </c>
      <c r="C53" s="194" t="s">
        <v>120</v>
      </c>
      <c r="D53" s="177" t="s">
        <v>121</v>
      </c>
      <c r="E53" s="111"/>
      <c r="F53" s="111"/>
      <c r="G53" s="111"/>
      <c r="H53" s="111"/>
    </row>
    <row r="54" spans="1:8" ht="18" customHeight="1" outlineLevel="1">
      <c r="A54" s="175">
        <v>2</v>
      </c>
      <c r="B54" s="175" t="s">
        <v>90</v>
      </c>
      <c r="C54" s="175" t="s">
        <v>122</v>
      </c>
      <c r="D54" s="177" t="s">
        <v>123</v>
      </c>
      <c r="E54" s="111"/>
      <c r="F54" s="111"/>
      <c r="G54" s="111"/>
      <c r="H54" s="111"/>
    </row>
    <row r="55" spans="1:8" ht="18" customHeight="1" outlineLevel="1">
      <c r="A55" s="194">
        <v>3</v>
      </c>
      <c r="B55" s="194" t="s">
        <v>124</v>
      </c>
      <c r="C55" s="194" t="s">
        <v>125</v>
      </c>
      <c r="D55" s="177" t="s">
        <v>126</v>
      </c>
      <c r="E55" s="111"/>
      <c r="F55" s="111"/>
      <c r="G55" s="111"/>
      <c r="H55" s="111"/>
    </row>
    <row r="56" spans="1:8" ht="18" customHeight="1" outlineLevel="1">
      <c r="A56" s="175">
        <v>4</v>
      </c>
      <c r="B56" s="175" t="s">
        <v>93</v>
      </c>
      <c r="C56" s="175" t="s">
        <v>127</v>
      </c>
      <c r="D56" s="177" t="s">
        <v>128</v>
      </c>
      <c r="E56" s="111"/>
      <c r="F56" s="111"/>
      <c r="G56" s="111"/>
      <c r="H56" s="111"/>
    </row>
    <row r="57" spans="1:8" ht="18" customHeight="1" outlineLevel="1">
      <c r="A57" s="194">
        <v>5</v>
      </c>
      <c r="B57" s="194" t="s">
        <v>96</v>
      </c>
      <c r="C57" s="194" t="s">
        <v>129</v>
      </c>
      <c r="D57" s="177" t="s">
        <v>130</v>
      </c>
      <c r="E57" s="111"/>
      <c r="F57" s="111"/>
      <c r="G57" s="111"/>
      <c r="H57" s="111"/>
    </row>
    <row r="58" spans="1:8" ht="18" customHeight="1" outlineLevel="1">
      <c r="A58" s="175">
        <v>6</v>
      </c>
      <c r="B58" s="175" t="s">
        <v>131</v>
      </c>
      <c r="C58" s="175" t="s">
        <v>132</v>
      </c>
      <c r="D58" s="177" t="s">
        <v>133</v>
      </c>
      <c r="E58" s="111"/>
      <c r="F58" s="111"/>
      <c r="G58" s="111"/>
      <c r="H58" s="111"/>
    </row>
    <row r="59" spans="1:8" ht="18" customHeight="1">
      <c r="A59" s="177">
        <v>7</v>
      </c>
      <c r="B59" s="177" t="s">
        <v>134</v>
      </c>
      <c r="C59" s="177" t="s">
        <v>135</v>
      </c>
      <c r="D59" s="177" t="s">
        <v>136</v>
      </c>
      <c r="E59" s="111"/>
      <c r="F59" s="111"/>
      <c r="G59" s="111"/>
      <c r="H59" s="111"/>
    </row>
    <row r="60" spans="1:8" ht="18" customHeight="1">
      <c r="A60" s="177">
        <v>8</v>
      </c>
      <c r="B60" s="177" t="s">
        <v>137</v>
      </c>
      <c r="C60" s="177" t="s">
        <v>138</v>
      </c>
      <c r="D60" s="177" t="s">
        <v>139</v>
      </c>
      <c r="E60" s="111"/>
      <c r="F60" s="111"/>
      <c r="G60" s="111"/>
      <c r="H60" s="111"/>
    </row>
    <row r="61" spans="1:8" ht="18" customHeight="1">
      <c r="A61" s="177">
        <v>9</v>
      </c>
      <c r="B61" s="177" t="s">
        <v>140</v>
      </c>
      <c r="C61" s="177" t="s">
        <v>141</v>
      </c>
      <c r="D61" s="177" t="s">
        <v>142</v>
      </c>
      <c r="E61" s="111"/>
      <c r="F61" s="111"/>
      <c r="G61" s="111"/>
      <c r="H61" s="111"/>
    </row>
    <row r="62" spans="1:8" ht="18" customHeight="1">
      <c r="A62" s="111"/>
      <c r="B62" s="111"/>
      <c r="C62" s="111"/>
      <c r="D62" s="111"/>
      <c r="E62" s="111"/>
      <c r="F62" s="111"/>
      <c r="G62" s="111"/>
      <c r="H62" s="111"/>
    </row>
    <row r="63" spans="1:8" ht="18" customHeight="1">
      <c r="A63" s="111"/>
      <c r="B63" s="111"/>
      <c r="C63" s="111"/>
      <c r="D63" s="111"/>
      <c r="E63" s="111"/>
      <c r="F63" s="111"/>
      <c r="G63" s="111"/>
      <c r="H63" s="111"/>
    </row>
    <row r="64" spans="1:8" ht="18" customHeight="1">
      <c r="A64" s="111"/>
      <c r="B64" s="111"/>
      <c r="C64" s="111"/>
      <c r="D64" s="111"/>
      <c r="E64" s="111"/>
      <c r="F64" s="111"/>
      <c r="G64" s="111"/>
      <c r="H64" s="111"/>
    </row>
    <row r="65" spans="1:8" ht="18" customHeight="1">
      <c r="A65" s="111"/>
      <c r="B65" s="111"/>
      <c r="C65" s="111"/>
      <c r="D65" s="111"/>
      <c r="E65" s="111"/>
      <c r="F65" s="111"/>
      <c r="G65" s="111"/>
      <c r="H65" s="111"/>
    </row>
    <row r="66" spans="1:8" ht="18" customHeight="1">
      <c r="A66" s="111"/>
      <c r="B66" s="111"/>
      <c r="C66" s="111"/>
      <c r="D66" s="111"/>
      <c r="E66" s="111"/>
      <c r="F66" s="111"/>
      <c r="G66" s="111"/>
      <c r="H66" s="111"/>
    </row>
    <row r="67" spans="1:8" ht="18" customHeight="1">
      <c r="A67" s="111"/>
      <c r="B67" s="111"/>
      <c r="C67" s="111"/>
      <c r="D67" s="111"/>
      <c r="E67" s="111"/>
      <c r="F67" s="111"/>
      <c r="G67" s="111"/>
      <c r="H67" s="111"/>
    </row>
    <row r="68" spans="1:8" ht="18" customHeight="1">
      <c r="A68" s="111"/>
      <c r="B68" s="111"/>
      <c r="C68" s="111"/>
      <c r="D68" s="111"/>
      <c r="E68" s="111"/>
      <c r="F68" s="111"/>
      <c r="G68" s="111"/>
      <c r="H68" s="111"/>
    </row>
    <row r="69" spans="1:8" ht="18" customHeight="1">
      <c r="A69" s="111"/>
      <c r="B69" s="111"/>
      <c r="C69" s="111"/>
      <c r="D69" s="111"/>
      <c r="E69" s="111"/>
      <c r="F69" s="111"/>
      <c r="G69" s="111"/>
      <c r="H69" s="111"/>
    </row>
    <row r="70" spans="1:8" ht="18" customHeight="1">
      <c r="A70" s="162" t="s">
        <v>143</v>
      </c>
    </row>
    <row r="71" spans="1:8" ht="18" customHeight="1" outlineLevel="1">
      <c r="A71" s="193" t="s">
        <v>144</v>
      </c>
      <c r="B71" s="193" t="s">
        <v>145</v>
      </c>
      <c r="C71" s="193" t="s">
        <v>146</v>
      </c>
      <c r="D71" s="193" t="s">
        <v>147</v>
      </c>
      <c r="E71" s="111"/>
      <c r="F71" s="111"/>
      <c r="G71" s="111"/>
      <c r="H71" s="111"/>
    </row>
    <row r="72" spans="1:8" ht="18" customHeight="1" outlineLevel="1">
      <c r="A72" s="194" t="s">
        <v>148</v>
      </c>
      <c r="B72" s="194" t="s">
        <v>149</v>
      </c>
      <c r="C72" s="194" t="s">
        <v>150</v>
      </c>
      <c r="D72" s="194" t="s">
        <v>151</v>
      </c>
      <c r="E72" s="111"/>
      <c r="F72" s="111"/>
      <c r="G72" s="111"/>
      <c r="H72" s="111"/>
    </row>
    <row r="73" spans="1:8" ht="18" customHeight="1" outlineLevel="1">
      <c r="A73" s="175" t="s">
        <v>152</v>
      </c>
      <c r="B73" s="175" t="s">
        <v>153</v>
      </c>
      <c r="C73" s="175" t="s">
        <v>154</v>
      </c>
      <c r="D73" s="175" t="s">
        <v>147</v>
      </c>
      <c r="E73" s="111"/>
      <c r="F73" s="111"/>
      <c r="G73" s="111"/>
      <c r="H73" s="111"/>
    </row>
    <row r="74" spans="1:8" ht="18" customHeight="1" outlineLevel="1">
      <c r="A74" s="194" t="s">
        <v>155</v>
      </c>
      <c r="B74" s="194" t="s">
        <v>156</v>
      </c>
      <c r="C74" s="194" t="s">
        <v>157</v>
      </c>
      <c r="D74" s="194" t="s">
        <v>158</v>
      </c>
      <c r="E74" s="111"/>
      <c r="F74" s="111"/>
      <c r="G74" s="111"/>
      <c r="H74" s="111"/>
    </row>
    <row r="75" spans="1:8" ht="18" customHeight="1" outlineLevel="1">
      <c r="A75" s="175" t="s">
        <v>159</v>
      </c>
      <c r="B75" s="175" t="s">
        <v>160</v>
      </c>
      <c r="C75" s="175" t="s">
        <v>161</v>
      </c>
      <c r="D75" s="175" t="s">
        <v>162</v>
      </c>
      <c r="E75" s="111"/>
      <c r="F75" s="111"/>
      <c r="G75" s="111"/>
      <c r="H75" s="111"/>
    </row>
    <row r="76" spans="1:8" ht="18" customHeight="1" outlineLevel="1">
      <c r="A76" s="194" t="s">
        <v>163</v>
      </c>
      <c r="B76" s="194" t="s">
        <v>164</v>
      </c>
      <c r="C76" s="194" t="s">
        <v>165</v>
      </c>
      <c r="D76" s="194" t="s">
        <v>151</v>
      </c>
      <c r="E76" s="111"/>
      <c r="F76" s="111"/>
      <c r="G76" s="111"/>
      <c r="H76" s="111"/>
    </row>
    <row r="77" spans="1:8" ht="18" customHeight="1" outlineLevel="1">
      <c r="A77" s="175" t="s">
        <v>166</v>
      </c>
      <c r="B77" s="175" t="s">
        <v>167</v>
      </c>
      <c r="C77" s="175" t="s">
        <v>168</v>
      </c>
      <c r="D77" s="175" t="s">
        <v>158</v>
      </c>
      <c r="E77" s="111"/>
      <c r="F77" s="111"/>
      <c r="G77" s="111"/>
      <c r="H77" s="111"/>
    </row>
    <row r="78" spans="1:8" ht="18" customHeight="1" outlineLevel="1">
      <c r="A78" s="194" t="s">
        <v>169</v>
      </c>
      <c r="B78" s="194" t="s">
        <v>170</v>
      </c>
      <c r="C78" s="194" t="s">
        <v>171</v>
      </c>
      <c r="D78" s="194" t="s">
        <v>172</v>
      </c>
      <c r="E78" s="111"/>
      <c r="F78" s="111"/>
      <c r="G78" s="111"/>
      <c r="H78" s="111"/>
    </row>
    <row r="79" spans="1:8" ht="18" customHeight="1" outlineLevel="1">
      <c r="A79" s="175" t="s">
        <v>173</v>
      </c>
      <c r="B79" s="175" t="s">
        <v>174</v>
      </c>
      <c r="C79" s="175" t="s">
        <v>175</v>
      </c>
      <c r="D79" s="175" t="s">
        <v>176</v>
      </c>
      <c r="E79" s="111"/>
      <c r="F79" s="111"/>
      <c r="G79" s="111"/>
      <c r="H79" s="111"/>
    </row>
    <row r="80" spans="1:8" ht="18" customHeight="1" outlineLevel="1">
      <c r="A80" s="111"/>
      <c r="B80" s="111"/>
      <c r="C80" s="111"/>
      <c r="D80" s="111"/>
      <c r="E80" s="111"/>
      <c r="F80" s="111"/>
      <c r="G80" s="111"/>
      <c r="H80" s="111"/>
    </row>
    <row r="81" spans="1:8" ht="18" customHeight="1" outlineLevel="1">
      <c r="A81" s="169" t="s">
        <v>177</v>
      </c>
    </row>
    <row r="82" spans="1:8" ht="18" customHeight="1" outlineLevel="1">
      <c r="A82" s="123" t="s">
        <v>178</v>
      </c>
      <c r="B82" s="123" t="s">
        <v>179</v>
      </c>
      <c r="C82" s="111"/>
      <c r="D82" s="111"/>
      <c r="E82" s="111"/>
      <c r="F82" s="111"/>
      <c r="G82" s="111"/>
      <c r="H82" s="111"/>
    </row>
    <row r="83" spans="1:8" ht="18" customHeight="1" outlineLevel="1">
      <c r="A83" s="115" t="s">
        <v>180</v>
      </c>
      <c r="B83" s="115" t="s">
        <v>181</v>
      </c>
      <c r="C83" s="111"/>
      <c r="D83" s="111"/>
      <c r="E83" s="111"/>
      <c r="F83" s="111"/>
      <c r="G83" s="111"/>
      <c r="H83" s="111"/>
    </row>
    <row r="84" spans="1:8" ht="18" customHeight="1" outlineLevel="1">
      <c r="A84" s="120" t="s">
        <v>182</v>
      </c>
      <c r="B84" s="120" t="s">
        <v>183</v>
      </c>
      <c r="C84" s="111"/>
      <c r="D84" s="111"/>
      <c r="E84" s="111"/>
      <c r="F84" s="111"/>
      <c r="G84" s="111"/>
      <c r="H84" s="111"/>
    </row>
    <row r="85" spans="1:8" ht="18" customHeight="1" outlineLevel="1">
      <c r="A85" s="115" t="s">
        <v>184</v>
      </c>
      <c r="B85" s="115" t="s">
        <v>185</v>
      </c>
      <c r="C85" s="111"/>
      <c r="D85" s="111"/>
      <c r="E85" s="111"/>
      <c r="F85" s="111"/>
      <c r="G85" s="111"/>
      <c r="H85" s="111"/>
    </row>
    <row r="86" spans="1:8" ht="18" customHeight="1" outlineLevel="1">
      <c r="A86" s="120" t="s">
        <v>186</v>
      </c>
      <c r="B86" s="120" t="s">
        <v>187</v>
      </c>
      <c r="C86" s="111"/>
      <c r="D86" s="111"/>
      <c r="E86" s="111"/>
      <c r="F86" s="111"/>
      <c r="G86" s="111"/>
      <c r="H86" s="111"/>
    </row>
    <row r="87" spans="1:8" ht="18" customHeight="1" outlineLevel="1">
      <c r="A87" s="115" t="s">
        <v>188</v>
      </c>
      <c r="B87" s="115" t="s">
        <v>189</v>
      </c>
      <c r="C87" s="111"/>
      <c r="D87" s="111"/>
      <c r="E87" s="111"/>
      <c r="F87" s="111"/>
      <c r="G87" s="111"/>
      <c r="H87" s="111"/>
    </row>
    <row r="88" spans="1:8" ht="18" customHeight="1">
      <c r="A88" s="111"/>
      <c r="B88" s="111"/>
      <c r="C88" s="111"/>
      <c r="D88" s="111"/>
      <c r="E88" s="111"/>
      <c r="F88" s="111"/>
      <c r="G88" s="111"/>
      <c r="H88" s="111"/>
    </row>
    <row r="89" spans="1:8" ht="18" customHeight="1">
      <c r="A89" s="111"/>
      <c r="B89" s="111"/>
      <c r="C89" s="111"/>
      <c r="D89" s="111"/>
      <c r="E89" s="111"/>
      <c r="F89" s="111"/>
      <c r="G89" s="111"/>
      <c r="H89" s="111"/>
    </row>
    <row r="90" spans="1:8" ht="18" customHeight="1">
      <c r="A90" s="111"/>
      <c r="B90" s="111"/>
      <c r="C90" s="111"/>
      <c r="D90" s="111"/>
      <c r="E90" s="111"/>
      <c r="F90" s="111"/>
      <c r="G90" s="111"/>
      <c r="H90" s="111"/>
    </row>
    <row r="91" spans="1:8" ht="18" customHeight="1">
      <c r="A91" s="111"/>
      <c r="B91" s="111"/>
      <c r="C91" s="111"/>
      <c r="D91" s="111"/>
      <c r="E91" s="111"/>
      <c r="F91" s="111"/>
      <c r="G91" s="111"/>
      <c r="H91" s="111"/>
    </row>
    <row r="92" spans="1:8" ht="18" customHeight="1">
      <c r="A92" s="111"/>
      <c r="B92" s="111"/>
      <c r="C92" s="111"/>
      <c r="D92" s="111"/>
      <c r="E92" s="111"/>
      <c r="F92" s="111"/>
      <c r="G92" s="111"/>
      <c r="H92" s="111"/>
    </row>
    <row r="93" spans="1:8" ht="18" customHeight="1">
      <c r="A93" s="111"/>
      <c r="B93" s="111"/>
      <c r="C93" s="111"/>
      <c r="D93" s="111"/>
      <c r="E93" s="111"/>
      <c r="F93" s="111"/>
      <c r="G93" s="111"/>
      <c r="H93" s="111"/>
    </row>
    <row r="94" spans="1:8" ht="18" customHeight="1">
      <c r="A94" s="111"/>
      <c r="B94" s="111"/>
      <c r="C94" s="111"/>
      <c r="D94" s="111"/>
      <c r="E94" s="111"/>
      <c r="F94" s="111"/>
      <c r="G94" s="111"/>
      <c r="H94" s="111"/>
    </row>
    <row r="95" spans="1:8" ht="18" customHeight="1">
      <c r="A95" s="111"/>
      <c r="B95" s="111"/>
      <c r="C95" s="111"/>
      <c r="D95" s="111"/>
      <c r="E95" s="111"/>
      <c r="F95" s="111"/>
      <c r="G95" s="111"/>
      <c r="H95" s="111"/>
    </row>
    <row r="96" spans="1:8" ht="18" customHeight="1">
      <c r="A96" s="111"/>
      <c r="B96" s="111"/>
      <c r="C96" s="111"/>
      <c r="D96" s="111"/>
      <c r="E96" s="111"/>
      <c r="F96" s="111"/>
      <c r="G96" s="111"/>
      <c r="H96" s="111"/>
    </row>
    <row r="97" spans="1:8" ht="18" customHeight="1">
      <c r="A97" s="111"/>
      <c r="B97" s="111"/>
      <c r="C97" s="111"/>
      <c r="D97" s="111"/>
      <c r="E97" s="111"/>
      <c r="F97" s="111"/>
      <c r="G97" s="111"/>
      <c r="H97" s="111"/>
    </row>
    <row r="98" spans="1:8" ht="18" customHeight="1">
      <c r="A98" s="165" t="s">
        <v>190</v>
      </c>
    </row>
    <row r="99" spans="1:8" ht="18" customHeight="1" outlineLevel="1">
      <c r="A99" s="124" t="s">
        <v>191</v>
      </c>
      <c r="B99" s="124" t="s">
        <v>192</v>
      </c>
      <c r="C99" s="124" t="s">
        <v>18</v>
      </c>
      <c r="D99" s="124" t="s">
        <v>193</v>
      </c>
      <c r="E99" s="111"/>
      <c r="F99" s="111"/>
      <c r="G99" s="111"/>
      <c r="H99" s="111"/>
    </row>
    <row r="100" spans="1:8" ht="18" customHeight="1" outlineLevel="1">
      <c r="A100" s="115" t="s">
        <v>194</v>
      </c>
      <c r="B100" s="115" t="s">
        <v>195</v>
      </c>
      <c r="C100" s="115" t="s">
        <v>196</v>
      </c>
      <c r="D100" s="115" t="s">
        <v>197</v>
      </c>
      <c r="E100" s="111"/>
      <c r="F100" s="111"/>
      <c r="G100" s="111"/>
      <c r="H100" s="111"/>
    </row>
    <row r="101" spans="1:8" ht="18" customHeight="1" outlineLevel="1">
      <c r="A101" s="120" t="s">
        <v>51</v>
      </c>
      <c r="B101" s="120" t="s">
        <v>195</v>
      </c>
      <c r="C101" s="120" t="s">
        <v>198</v>
      </c>
      <c r="D101" s="120" t="s">
        <v>199</v>
      </c>
      <c r="E101" s="111"/>
      <c r="F101" s="111"/>
      <c r="G101" s="111"/>
      <c r="H101" s="111"/>
    </row>
    <row r="102" spans="1:8" ht="18" customHeight="1" outlineLevel="1">
      <c r="A102" s="115" t="s">
        <v>200</v>
      </c>
      <c r="B102" s="115" t="s">
        <v>195</v>
      </c>
      <c r="C102" s="115" t="s">
        <v>201</v>
      </c>
      <c r="D102" s="115" t="s">
        <v>202</v>
      </c>
      <c r="E102" s="111"/>
      <c r="F102" s="111"/>
      <c r="G102" s="111"/>
      <c r="H102" s="111"/>
    </row>
    <row r="103" spans="1:8" ht="18" customHeight="1" outlineLevel="1">
      <c r="A103" s="120" t="s">
        <v>59</v>
      </c>
      <c r="B103" s="120" t="s">
        <v>195</v>
      </c>
      <c r="C103" s="120" t="s">
        <v>203</v>
      </c>
      <c r="D103" s="120" t="s">
        <v>204</v>
      </c>
      <c r="E103" s="111"/>
      <c r="F103" s="111"/>
      <c r="G103" s="111"/>
      <c r="H103" s="111"/>
    </row>
    <row r="104" spans="1:8" ht="18" customHeight="1" outlineLevel="1">
      <c r="A104" s="115" t="s">
        <v>63</v>
      </c>
      <c r="B104" s="115" t="s">
        <v>195</v>
      </c>
      <c r="C104" s="115" t="s">
        <v>205</v>
      </c>
      <c r="D104" s="115" t="s">
        <v>206</v>
      </c>
      <c r="E104" s="111"/>
      <c r="F104" s="111"/>
      <c r="G104" s="111"/>
      <c r="H104" s="111"/>
    </row>
    <row r="105" spans="1:8" ht="18" customHeight="1" outlineLevel="1">
      <c r="A105" s="120" t="s">
        <v>67</v>
      </c>
      <c r="B105" s="120" t="s">
        <v>195</v>
      </c>
      <c r="C105" s="120" t="s">
        <v>207</v>
      </c>
      <c r="D105" s="120" t="s">
        <v>208</v>
      </c>
      <c r="E105" s="111"/>
      <c r="F105" s="111"/>
      <c r="G105" s="111"/>
      <c r="H105" s="111"/>
    </row>
    <row r="106" spans="1:8" ht="18" customHeight="1" outlineLevel="1">
      <c r="A106" s="115" t="s">
        <v>209</v>
      </c>
      <c r="B106" s="115" t="s">
        <v>210</v>
      </c>
      <c r="C106" s="115" t="s">
        <v>211</v>
      </c>
      <c r="D106" s="115" t="s">
        <v>212</v>
      </c>
      <c r="E106" s="111"/>
      <c r="F106" s="111"/>
      <c r="G106" s="111"/>
      <c r="H106" s="111"/>
    </row>
    <row r="107" spans="1:8" ht="18" customHeight="1" outlineLevel="1">
      <c r="A107" s="120" t="s">
        <v>213</v>
      </c>
      <c r="B107" s="120" t="s">
        <v>210</v>
      </c>
      <c r="C107" s="120" t="s">
        <v>214</v>
      </c>
      <c r="D107" s="120" t="s">
        <v>215</v>
      </c>
      <c r="E107" s="111"/>
      <c r="F107" s="111"/>
      <c r="G107" s="111"/>
      <c r="H107" s="111"/>
    </row>
    <row r="108" spans="1:8" ht="18" customHeight="1" outlineLevel="1">
      <c r="A108" s="115" t="s">
        <v>216</v>
      </c>
      <c r="B108" s="115" t="s">
        <v>217</v>
      </c>
      <c r="C108" s="115" t="s">
        <v>218</v>
      </c>
      <c r="D108" s="115" t="s">
        <v>219</v>
      </c>
      <c r="E108" s="111"/>
      <c r="F108" s="111"/>
      <c r="G108" s="111"/>
      <c r="H108" s="111"/>
    </row>
    <row r="109" spans="1:8" ht="18" customHeight="1" outlineLevel="1">
      <c r="A109" s="120" t="s">
        <v>220</v>
      </c>
      <c r="B109" s="120" t="s">
        <v>210</v>
      </c>
      <c r="C109" s="120" t="s">
        <v>221</v>
      </c>
      <c r="D109" s="120" t="s">
        <v>212</v>
      </c>
      <c r="E109" s="111"/>
      <c r="F109" s="111"/>
      <c r="G109" s="111"/>
      <c r="H109" s="111"/>
    </row>
    <row r="110" spans="1:8" ht="18" customHeight="1" outlineLevel="1">
      <c r="A110" s="115" t="s">
        <v>222</v>
      </c>
      <c r="B110" s="115" t="s">
        <v>217</v>
      </c>
      <c r="C110" s="115" t="s">
        <v>223</v>
      </c>
      <c r="D110" s="115" t="s">
        <v>219</v>
      </c>
      <c r="E110" s="111"/>
      <c r="F110" s="111"/>
      <c r="G110" s="111"/>
      <c r="H110" s="111"/>
    </row>
    <row r="111" spans="1:8" ht="18" customHeight="1" outlineLevel="1">
      <c r="A111" s="120" t="s">
        <v>224</v>
      </c>
      <c r="B111" s="120" t="s">
        <v>217</v>
      </c>
      <c r="C111" s="120" t="s">
        <v>225</v>
      </c>
      <c r="D111" s="120" t="s">
        <v>219</v>
      </c>
      <c r="E111" s="111"/>
      <c r="F111" s="111"/>
      <c r="G111" s="111"/>
      <c r="H111" s="111"/>
    </row>
    <row r="112" spans="1:8" ht="18" customHeight="1" outlineLevel="1">
      <c r="A112" s="115" t="s">
        <v>226</v>
      </c>
      <c r="B112" s="115" t="s">
        <v>217</v>
      </c>
      <c r="C112" s="115" t="s">
        <v>227</v>
      </c>
      <c r="D112" s="115" t="s">
        <v>219</v>
      </c>
      <c r="E112" s="111"/>
      <c r="F112" s="111"/>
      <c r="G112" s="111"/>
      <c r="H112" s="111"/>
    </row>
    <row r="113" spans="1:8" ht="18" customHeight="1" outlineLevel="1">
      <c r="A113" s="120" t="s">
        <v>228</v>
      </c>
      <c r="B113" s="120" t="s">
        <v>210</v>
      </c>
      <c r="C113" s="120" t="s">
        <v>229</v>
      </c>
      <c r="D113" s="120" t="s">
        <v>230</v>
      </c>
      <c r="E113" s="111"/>
      <c r="F113" s="111"/>
      <c r="G113" s="111"/>
      <c r="H113" s="111"/>
    </row>
    <row r="114" spans="1:8" ht="18" customHeight="1" outlineLevel="1">
      <c r="A114" s="115" t="s">
        <v>231</v>
      </c>
      <c r="B114" s="115" t="s">
        <v>210</v>
      </c>
      <c r="C114" s="115" t="s">
        <v>232</v>
      </c>
      <c r="D114" s="115" t="s">
        <v>212</v>
      </c>
      <c r="E114" s="111"/>
      <c r="F114" s="111"/>
      <c r="G114" s="111"/>
      <c r="H114" s="111"/>
    </row>
    <row r="115" spans="1:8" ht="18" customHeight="1" outlineLevel="1">
      <c r="A115" s="120" t="s">
        <v>233</v>
      </c>
      <c r="B115" s="120" t="s">
        <v>210</v>
      </c>
      <c r="C115" s="120" t="s">
        <v>234</v>
      </c>
      <c r="D115" s="120" t="s">
        <v>215</v>
      </c>
      <c r="E115" s="111"/>
      <c r="F115" s="111"/>
      <c r="G115" s="111"/>
      <c r="H115" s="111"/>
    </row>
    <row r="116" spans="1:8" ht="18" customHeight="1" outlineLevel="1">
      <c r="A116" s="115" t="s">
        <v>235</v>
      </c>
      <c r="B116" s="115" t="s">
        <v>210</v>
      </c>
      <c r="C116" s="115" t="s">
        <v>236</v>
      </c>
      <c r="D116" s="115" t="s">
        <v>237</v>
      </c>
      <c r="E116" s="111"/>
      <c r="F116" s="111"/>
      <c r="G116" s="111"/>
      <c r="H116" s="111"/>
    </row>
    <row r="117" spans="1:8" ht="18" customHeight="1" outlineLevel="1">
      <c r="A117" s="120" t="s">
        <v>238</v>
      </c>
      <c r="B117" s="120" t="s">
        <v>210</v>
      </c>
      <c r="C117" s="120" t="s">
        <v>239</v>
      </c>
      <c r="D117" s="120" t="s">
        <v>215</v>
      </c>
      <c r="E117" s="111"/>
      <c r="F117" s="111"/>
      <c r="G117" s="111"/>
      <c r="H117" s="111"/>
    </row>
    <row r="118" spans="1:8" ht="18" customHeight="1" outlineLevel="1">
      <c r="A118" s="115" t="s">
        <v>240</v>
      </c>
      <c r="B118" s="115" t="s">
        <v>210</v>
      </c>
      <c r="C118" s="115" t="s">
        <v>241</v>
      </c>
      <c r="D118" s="115" t="s">
        <v>215</v>
      </c>
      <c r="E118" s="111"/>
      <c r="F118" s="111"/>
      <c r="G118" s="111"/>
      <c r="H118" s="111"/>
    </row>
    <row r="119" spans="1:8" ht="18" customHeight="1" outlineLevel="1">
      <c r="A119" s="120" t="s">
        <v>242</v>
      </c>
      <c r="B119" s="120" t="s">
        <v>210</v>
      </c>
      <c r="C119" s="120" t="s">
        <v>243</v>
      </c>
      <c r="D119" s="120" t="s">
        <v>212</v>
      </c>
      <c r="E119" s="111"/>
      <c r="F119" s="111"/>
      <c r="G119" s="111"/>
      <c r="H119" s="111"/>
    </row>
    <row r="120" spans="1:8" ht="18" customHeight="1" outlineLevel="1">
      <c r="A120" s="115"/>
      <c r="B120" s="115"/>
      <c r="C120" s="115"/>
      <c r="D120" s="115"/>
      <c r="E120" s="111"/>
      <c r="F120" s="111"/>
      <c r="G120" s="111"/>
      <c r="H120" s="111"/>
    </row>
    <row r="121" spans="1:8" ht="18" customHeight="1" outlineLevel="1">
      <c r="A121" s="120"/>
      <c r="B121" s="120"/>
      <c r="C121" s="120"/>
      <c r="D121" s="120"/>
      <c r="E121" s="111"/>
      <c r="F121" s="111"/>
      <c r="G121" s="111"/>
      <c r="H121" s="111"/>
    </row>
    <row r="122" spans="1:8" ht="18" customHeight="1" outlineLevel="1">
      <c r="A122" s="115"/>
      <c r="B122" s="115"/>
      <c r="C122" s="115"/>
      <c r="D122" s="115"/>
      <c r="E122" s="111"/>
      <c r="F122" s="111"/>
      <c r="G122" s="111"/>
      <c r="H122" s="111"/>
    </row>
    <row r="123" spans="1:8" ht="18" customHeight="1" outlineLevel="1">
      <c r="A123" s="120"/>
      <c r="B123" s="120"/>
      <c r="C123" s="120"/>
      <c r="D123" s="120"/>
      <c r="E123" s="111"/>
      <c r="F123" s="111"/>
      <c r="G123" s="111"/>
      <c r="H123" s="111"/>
    </row>
    <row r="124" spans="1:8" ht="18" customHeight="1">
      <c r="A124" s="111"/>
      <c r="B124" s="111"/>
      <c r="C124" s="111"/>
      <c r="D124" s="111"/>
      <c r="E124" s="111"/>
      <c r="F124" s="111"/>
      <c r="G124" s="111"/>
      <c r="H124" s="111"/>
    </row>
    <row r="125" spans="1:8" ht="18" customHeight="1">
      <c r="A125" s="111"/>
      <c r="B125" s="111"/>
      <c r="C125" s="111"/>
      <c r="D125" s="111"/>
      <c r="E125" s="111"/>
      <c r="F125" s="111"/>
      <c r="G125" s="111"/>
      <c r="H125" s="111"/>
    </row>
    <row r="126" spans="1:8" ht="18" customHeight="1">
      <c r="A126" s="111"/>
      <c r="B126" s="111"/>
      <c r="C126" s="111"/>
      <c r="D126" s="111"/>
      <c r="E126" s="111"/>
      <c r="F126" s="111"/>
      <c r="G126" s="111"/>
      <c r="H126" s="111"/>
    </row>
    <row r="127" spans="1:8" ht="18" customHeight="1">
      <c r="A127" s="111"/>
      <c r="B127" s="111"/>
      <c r="C127" s="111"/>
      <c r="D127" s="111"/>
      <c r="E127" s="111"/>
      <c r="F127" s="111"/>
      <c r="G127" s="111"/>
      <c r="H127" s="111"/>
    </row>
    <row r="128" spans="1:8" ht="18" customHeight="1">
      <c r="A128" s="111"/>
      <c r="B128" s="111"/>
      <c r="C128" s="111"/>
      <c r="D128" s="111"/>
      <c r="E128" s="111"/>
      <c r="F128" s="111"/>
      <c r="G128" s="111"/>
      <c r="H128" s="111"/>
    </row>
    <row r="129" spans="1:8" ht="18" customHeight="1">
      <c r="A129" s="111"/>
      <c r="B129" s="111"/>
      <c r="C129" s="111"/>
      <c r="D129" s="111"/>
      <c r="E129" s="111"/>
      <c r="F129" s="111"/>
      <c r="G129" s="111"/>
      <c r="H129" s="111"/>
    </row>
    <row r="130" spans="1:8" ht="18" customHeight="1">
      <c r="A130" s="111"/>
      <c r="B130" s="111"/>
      <c r="C130" s="111"/>
      <c r="D130" s="111"/>
      <c r="E130" s="111"/>
      <c r="F130" s="111"/>
      <c r="G130" s="111"/>
      <c r="H130" s="111"/>
    </row>
    <row r="131" spans="1:8" ht="18" customHeight="1">
      <c r="A131" s="111"/>
      <c r="B131" s="111"/>
      <c r="C131" s="111"/>
      <c r="D131" s="111"/>
      <c r="E131" s="111"/>
      <c r="F131" s="111"/>
      <c r="G131" s="111"/>
      <c r="H131" s="111"/>
    </row>
    <row r="132" spans="1:8" ht="18" customHeight="1">
      <c r="A132" s="111"/>
      <c r="B132" s="111"/>
      <c r="C132" s="111"/>
      <c r="D132" s="111"/>
      <c r="E132" s="111"/>
      <c r="F132" s="111"/>
      <c r="G132" s="111"/>
      <c r="H132" s="111"/>
    </row>
    <row r="133" spans="1:8" ht="18" customHeight="1">
      <c r="A133" s="111"/>
      <c r="B133" s="111"/>
      <c r="C133" s="111"/>
      <c r="D133" s="111"/>
      <c r="E133" s="111"/>
      <c r="F133" s="111"/>
      <c r="G133" s="111"/>
      <c r="H133" s="111"/>
    </row>
    <row r="134" spans="1:8" ht="18" customHeight="1">
      <c r="A134" s="111"/>
      <c r="B134" s="111"/>
      <c r="C134" s="111"/>
      <c r="D134" s="111"/>
      <c r="E134" s="111"/>
      <c r="F134" s="111"/>
      <c r="G134" s="111"/>
      <c r="H134" s="111"/>
    </row>
    <row r="135" spans="1:8" ht="18" customHeight="1">
      <c r="A135" s="111"/>
      <c r="B135" s="111"/>
      <c r="C135" s="111"/>
      <c r="D135" s="111"/>
      <c r="E135" s="111"/>
      <c r="F135" s="111"/>
      <c r="G135" s="111"/>
      <c r="H135" s="111"/>
    </row>
    <row r="136" spans="1:8" ht="18" customHeight="1">
      <c r="A136" s="111"/>
      <c r="B136" s="111"/>
      <c r="C136" s="111"/>
      <c r="D136" s="111"/>
      <c r="E136" s="111"/>
      <c r="F136" s="111"/>
      <c r="G136" s="111"/>
      <c r="H136" s="111"/>
    </row>
    <row r="137" spans="1:8" ht="18" customHeight="1">
      <c r="A137" s="111"/>
      <c r="B137" s="111"/>
      <c r="C137" s="111"/>
      <c r="D137" s="111"/>
      <c r="E137" s="111"/>
      <c r="F137" s="111"/>
      <c r="G137" s="111"/>
      <c r="H137" s="111"/>
    </row>
    <row r="138" spans="1:8" ht="18" customHeight="1">
      <c r="A138" s="111"/>
      <c r="B138" s="111"/>
      <c r="C138" s="111"/>
      <c r="D138" s="111"/>
      <c r="E138" s="111"/>
      <c r="F138" s="111"/>
      <c r="G138" s="111"/>
      <c r="H138" s="111"/>
    </row>
    <row r="139" spans="1:8" ht="18" customHeight="1">
      <c r="A139" s="111"/>
      <c r="B139" s="111"/>
      <c r="C139" s="111"/>
      <c r="D139" s="111"/>
      <c r="E139" s="111"/>
      <c r="F139" s="111"/>
      <c r="G139" s="111"/>
      <c r="H139" s="111"/>
    </row>
    <row r="140" spans="1:8" ht="18" customHeight="1">
      <c r="A140" s="163" t="s">
        <v>244</v>
      </c>
    </row>
    <row r="141" spans="1:8" ht="18" customHeight="1" outlineLevel="1">
      <c r="A141" s="125" t="s">
        <v>245</v>
      </c>
      <c r="B141" s="125" t="s">
        <v>246</v>
      </c>
      <c r="C141" s="125" t="s">
        <v>247</v>
      </c>
      <c r="D141" s="111"/>
      <c r="E141" s="111"/>
      <c r="F141" s="111"/>
      <c r="G141" s="111"/>
      <c r="H141" s="111"/>
    </row>
    <row r="142" spans="1:8" ht="18" customHeight="1" outlineLevel="1">
      <c r="A142" s="115" t="s">
        <v>248</v>
      </c>
      <c r="B142" s="115" t="s">
        <v>249</v>
      </c>
      <c r="C142" s="115" t="s">
        <v>250</v>
      </c>
      <c r="D142" s="111"/>
      <c r="E142" s="111"/>
      <c r="F142" s="111"/>
      <c r="G142" s="111"/>
      <c r="H142" s="111"/>
    </row>
    <row r="143" spans="1:8" ht="18" customHeight="1" outlineLevel="1">
      <c r="A143" s="120" t="s">
        <v>251</v>
      </c>
      <c r="B143" s="120" t="s">
        <v>252</v>
      </c>
      <c r="C143" s="120" t="s">
        <v>253</v>
      </c>
      <c r="D143" s="111"/>
      <c r="E143" s="111"/>
      <c r="F143" s="111"/>
      <c r="G143" s="111"/>
      <c r="H143" s="111"/>
    </row>
    <row r="144" spans="1:8" ht="18" customHeight="1" outlineLevel="1">
      <c r="A144" s="115" t="s">
        <v>254</v>
      </c>
      <c r="B144" s="115" t="s">
        <v>255</v>
      </c>
      <c r="C144" s="115" t="s">
        <v>256</v>
      </c>
      <c r="D144" s="111"/>
      <c r="E144" s="111"/>
      <c r="F144" s="111"/>
      <c r="G144" s="111"/>
      <c r="H144" s="111"/>
    </row>
    <row r="145" spans="1:8" ht="18" customHeight="1" outlineLevel="1">
      <c r="A145" s="120" t="s">
        <v>257</v>
      </c>
      <c r="B145" s="120" t="s">
        <v>258</v>
      </c>
      <c r="C145" s="120" t="s">
        <v>259</v>
      </c>
      <c r="D145" s="111"/>
      <c r="E145" s="111"/>
      <c r="F145" s="111"/>
      <c r="G145" s="111"/>
      <c r="H145" s="111"/>
    </row>
    <row r="146" spans="1:8" ht="18" customHeight="1" outlineLevel="1">
      <c r="A146" s="115" t="s">
        <v>260</v>
      </c>
      <c r="B146" s="115" t="s">
        <v>261</v>
      </c>
      <c r="C146" s="115" t="s">
        <v>262</v>
      </c>
      <c r="D146" s="111"/>
      <c r="E146" s="111"/>
      <c r="F146" s="111"/>
      <c r="G146" s="111"/>
      <c r="H146" s="111"/>
    </row>
    <row r="147" spans="1:8" ht="18" customHeight="1" outlineLevel="1">
      <c r="A147" s="111" t="s">
        <v>263</v>
      </c>
      <c r="B147" s="111" t="s">
        <v>264</v>
      </c>
      <c r="C147" s="111" t="s">
        <v>265</v>
      </c>
      <c r="D147" s="111"/>
      <c r="E147" s="111"/>
      <c r="F147" s="111"/>
      <c r="G147" s="111"/>
      <c r="H147" s="111"/>
    </row>
    <row r="148" spans="1:8" ht="18" customHeight="1" outlineLevel="1">
      <c r="A148" s="144" t="s">
        <v>266</v>
      </c>
      <c r="B148" s="144" t="s">
        <v>267</v>
      </c>
      <c r="C148" s="144" t="s">
        <v>268</v>
      </c>
    </row>
    <row r="149" spans="1:8" ht="18" customHeight="1" outlineLevel="1">
      <c r="A149" s="144" t="s">
        <v>269</v>
      </c>
      <c r="B149" s="144" t="s">
        <v>270</v>
      </c>
      <c r="C149" s="144" t="s">
        <v>271</v>
      </c>
    </row>
    <row r="150" spans="1:8" ht="18" customHeight="1" outlineLevel="1">
      <c r="A150" s="126" t="s">
        <v>272</v>
      </c>
    </row>
    <row r="151" spans="1:8" ht="18" customHeight="1" outlineLevel="1">
      <c r="A151" s="125" t="s">
        <v>273</v>
      </c>
      <c r="B151" s="125" t="s">
        <v>274</v>
      </c>
      <c r="C151" s="125" t="s">
        <v>46</v>
      </c>
      <c r="D151" s="111"/>
      <c r="E151" s="111"/>
      <c r="F151" s="111"/>
      <c r="G151" s="111"/>
      <c r="H151" s="111"/>
    </row>
    <row r="152" spans="1:8" ht="18" customHeight="1" outlineLevel="1">
      <c r="A152" s="115" t="s">
        <v>275</v>
      </c>
      <c r="B152" s="115" t="s">
        <v>276</v>
      </c>
      <c r="C152" s="115" t="s">
        <v>277</v>
      </c>
      <c r="D152" s="111"/>
      <c r="E152" s="111"/>
      <c r="F152" s="111"/>
      <c r="G152" s="111"/>
      <c r="H152" s="111"/>
    </row>
    <row r="153" spans="1:8" ht="18" customHeight="1" outlineLevel="1">
      <c r="A153" s="120" t="s">
        <v>275</v>
      </c>
      <c r="B153" s="120" t="s">
        <v>278</v>
      </c>
      <c r="C153" s="120" t="s">
        <v>279</v>
      </c>
      <c r="D153" s="111"/>
      <c r="E153" s="111"/>
      <c r="F153" s="111"/>
      <c r="G153" s="111"/>
      <c r="H153" s="111"/>
    </row>
    <row r="154" spans="1:8" ht="18" customHeight="1">
      <c r="A154" s="115" t="s">
        <v>280</v>
      </c>
      <c r="B154" s="115" t="s">
        <v>281</v>
      </c>
      <c r="C154" s="115" t="s">
        <v>282</v>
      </c>
      <c r="D154" s="111"/>
      <c r="E154" s="111"/>
      <c r="F154" s="111"/>
      <c r="G154" s="111"/>
      <c r="H154" s="111"/>
    </row>
    <row r="155" spans="1:8" ht="18" customHeight="1">
      <c r="A155" s="175" t="s">
        <v>283</v>
      </c>
      <c r="B155" s="175" t="s">
        <v>284</v>
      </c>
      <c r="C155" s="175" t="s">
        <v>285</v>
      </c>
      <c r="D155" s="111"/>
      <c r="E155" s="111"/>
      <c r="F155" s="111"/>
      <c r="G155" s="111"/>
      <c r="H155" s="111"/>
    </row>
    <row r="156" spans="1:8" ht="18" customHeight="1">
      <c r="A156" s="177" t="s">
        <v>286</v>
      </c>
      <c r="B156" s="177" t="s">
        <v>287</v>
      </c>
      <c r="C156" s="177" t="s">
        <v>288</v>
      </c>
    </row>
    <row r="157" spans="1:8" ht="18" customHeight="1">
      <c r="A157" s="177" t="s">
        <v>289</v>
      </c>
      <c r="B157" s="177" t="s">
        <v>290</v>
      </c>
      <c r="C157" s="177" t="s">
        <v>291</v>
      </c>
    </row>
    <row r="158" spans="1:8" ht="18" customHeight="1">
      <c r="A158" s="195" t="s">
        <v>292</v>
      </c>
      <c r="B158" s="177" t="s">
        <v>293</v>
      </c>
      <c r="C158" s="177" t="s">
        <v>294</v>
      </c>
    </row>
    <row r="159" spans="1:8" ht="18" customHeight="1">
      <c r="A159" s="196" t="s">
        <v>295</v>
      </c>
      <c r="B159" s="177" t="s">
        <v>296</v>
      </c>
      <c r="C159" s="177" t="s">
        <v>297</v>
      </c>
    </row>
    <row r="160" spans="1:8" ht="18" customHeight="1">
      <c r="A160" s="177" t="s">
        <v>298</v>
      </c>
      <c r="B160" s="177" t="s">
        <v>299</v>
      </c>
      <c r="C160" s="177" t="s">
        <v>300</v>
      </c>
    </row>
    <row r="161" spans="1:3" ht="18" customHeight="1">
      <c r="A161" s="177" t="s">
        <v>301</v>
      </c>
      <c r="B161" s="177" t="s">
        <v>169</v>
      </c>
      <c r="C161" s="177" t="s">
        <v>302</v>
      </c>
    </row>
    <row r="162" spans="1:3" ht="18" customHeight="1">
      <c r="A162" s="177" t="s">
        <v>303</v>
      </c>
      <c r="B162" s="177" t="s">
        <v>304</v>
      </c>
      <c r="C162" s="177" t="s">
        <v>305</v>
      </c>
    </row>
    <row r="163" spans="1:3" ht="18" customHeight="1">
      <c r="A163" s="177" t="s">
        <v>306</v>
      </c>
      <c r="B163" s="177" t="s">
        <v>307</v>
      </c>
      <c r="C163" s="177" t="s">
        <v>308</v>
      </c>
    </row>
    <row r="164" spans="1:3" ht="18" customHeight="1">
      <c r="A164" s="177" t="s">
        <v>309</v>
      </c>
      <c r="B164" s="177" t="s">
        <v>310</v>
      </c>
      <c r="C164" s="177" t="s">
        <v>311</v>
      </c>
    </row>
    <row r="165" spans="1:3" ht="18" customHeight="1">
      <c r="A165" s="177" t="s">
        <v>312</v>
      </c>
      <c r="B165" s="177" t="s">
        <v>313</v>
      </c>
      <c r="C165" s="177" t="s">
        <v>314</v>
      </c>
    </row>
    <row r="166" spans="1:3" ht="18" customHeight="1">
      <c r="A166" s="177" t="s">
        <v>315</v>
      </c>
      <c r="B166" s="177" t="s">
        <v>316</v>
      </c>
      <c r="C166" s="177" t="s">
        <v>317</v>
      </c>
    </row>
    <row r="167" spans="1:3" ht="18" customHeight="1">
      <c r="A167" s="177" t="s">
        <v>318</v>
      </c>
      <c r="B167" s="177" t="s">
        <v>319</v>
      </c>
      <c r="C167" s="177" t="s">
        <v>320</v>
      </c>
    </row>
    <row r="168" spans="1:3" ht="18" customHeight="1">
      <c r="A168" s="177" t="s">
        <v>321</v>
      </c>
      <c r="B168" s="177" t="s">
        <v>322</v>
      </c>
      <c r="C168" s="177" t="s">
        <v>323</v>
      </c>
    </row>
    <row r="169" spans="1:3" ht="18" customHeight="1">
      <c r="A169" s="177" t="s">
        <v>4</v>
      </c>
      <c r="B169" s="177" t="s">
        <v>324</v>
      </c>
      <c r="C169" s="177" t="s">
        <v>325</v>
      </c>
    </row>
    <row r="170" spans="1:3" ht="18" customHeight="1">
      <c r="A170" t="s">
        <v>326</v>
      </c>
    </row>
    <row r="171" spans="1:3" ht="18" customHeight="1"/>
    <row r="172" spans="1:3" ht="18" customHeight="1">
      <c r="A172" t="s">
        <v>327</v>
      </c>
    </row>
    <row r="173" spans="1:3" ht="18" customHeight="1"/>
    <row r="174" spans="1:3" ht="18" customHeight="1"/>
    <row r="175" spans="1:3" ht="18" customHeight="1">
      <c r="A175" t="s">
        <v>328</v>
      </c>
    </row>
    <row r="176" spans="1:3" ht="18" customHeight="1">
      <c r="A176" t="s">
        <v>329</v>
      </c>
      <c r="B176" t="s">
        <v>330</v>
      </c>
      <c r="C176" t="s">
        <v>331</v>
      </c>
    </row>
    <row r="177" spans="1:3" ht="18" customHeight="1">
      <c r="A177" t="s">
        <v>332</v>
      </c>
      <c r="B177" t="str">
        <f>_LINT!$D$2</f>
        <v>PASS</v>
      </c>
      <c r="C177" t="s">
        <v>333</v>
      </c>
    </row>
    <row r="178" spans="1:3" ht="18" customHeight="1">
      <c r="A178" t="s">
        <v>334</v>
      </c>
      <c r="B178">
        <f>SUMPRODUCT(--ISERROR('Resilience &amp; Risk Scenario'!$D$41:$H$50))+SUMPRODUCT(--ISERROR('Action Plan &amp; Roadmap'!$B$13:$L$32))+SUMPRODUCT(--ISERROR('Action Plan &amp; Roadmap'!$B$36:$E$45))+SUMPRODUCT(--ISERROR(_DATA_Dashboard_Facts!$B$5:$N$21))+SUMPRODUCT(--ISERROR('AS-IS Assessment'!$H$10:$O$26))</f>
        <v>0</v>
      </c>
      <c r="C178" t="s">
        <v>335</v>
      </c>
    </row>
    <row r="179" spans="1:3" ht="18" customHeight="1">
      <c r="A179" t="s">
        <v>336</v>
      </c>
      <c r="B179">
        <f>COUNTIF(_ENGINE_Risk!$B$500:$B$923,"Yes")</f>
        <v>424</v>
      </c>
      <c r="C179" t="s">
        <v>337</v>
      </c>
    </row>
    <row r="180" spans="1:3" ht="18" customHeight="1">
      <c r="A180" t="s">
        <v>338</v>
      </c>
      <c r="B180">
        <f>COUNTIFS(_ENGINE_Risk!$B$500:$B$923,"Yes",_ENGINE_Risk!$AT$500:$AT$923,"")</f>
        <v>15</v>
      </c>
      <c r="C180" t="s">
        <v>339</v>
      </c>
    </row>
    <row r="181" spans="1:3" ht="18" customHeight="1">
      <c r="A181" t="s">
        <v>340</v>
      </c>
      <c r="B181">
        <f>SUMPRODUCT((_ENGINE_Initiatives!$A$5:$A$76&lt;&gt;"")*(COUNTIF(_ENGINE_Initiatives!$A$5:$A$76,_ENGINE_Initiatives!$A$5:$A$76&amp;"")&gt;1))</f>
        <v>0</v>
      </c>
      <c r="C181" t="s">
        <v>335</v>
      </c>
    </row>
    <row r="182" spans="1:3" ht="18" customHeight="1">
      <c r="A182" t="s">
        <v>341</v>
      </c>
      <c r="B182">
        <f>SUMPRODUCT((_DATA_RiskInitiativeMap!$A$444:$A$867&lt;&gt;"")*ISNA(MATCH(_DATA_RiskInitiativeMap!$A$444:$A$867,_ENGINE_Initiatives!$A$5:$A$76,0)))</f>
        <v>0</v>
      </c>
      <c r="C182" t="s">
        <v>342</v>
      </c>
    </row>
    <row r="183" spans="1:3" ht="18" customHeight="1">
      <c r="A183" t="s">
        <v>11</v>
      </c>
      <c r="B183" t="str">
        <f>_CONFIG_Model_Settings!$B$178</f>
        <v>Frozen</v>
      </c>
      <c r="C183" t="s">
        <v>343</v>
      </c>
    </row>
    <row r="184" spans="1:3" ht="18" customHeight="1">
      <c r="A184" t="s">
        <v>344</v>
      </c>
      <c r="B184">
        <f>_ENGINE_MonteCarlo!$E$8</f>
        <v>250619</v>
      </c>
      <c r="C184" t="s">
        <v>345</v>
      </c>
    </row>
    <row r="185" spans="1:3" ht="18" customHeight="1"/>
    <row r="186" spans="1:3" ht="18" customHeight="1">
      <c r="A186" t="s">
        <v>346</v>
      </c>
    </row>
    <row r="187" spans="1:3" ht="18" customHeight="1">
      <c r="A187" t="s">
        <v>347</v>
      </c>
      <c r="B187" t="s">
        <v>348</v>
      </c>
      <c r="C187" t="s">
        <v>349</v>
      </c>
    </row>
    <row r="188" spans="1:3" ht="18" customHeight="1">
      <c r="A188" t="s">
        <v>3</v>
      </c>
      <c r="B188" t="str">
        <f>$B$5</f>
        <v>v3.0</v>
      </c>
    </row>
    <row r="189" spans="1:3" ht="18" customHeight="1">
      <c r="A189" t="s">
        <v>6</v>
      </c>
      <c r="B189" t="str">
        <f>$B$6</f>
        <v>RR-FRAMEWORK-v3.0-20260624</v>
      </c>
    </row>
    <row r="190" spans="1:3" ht="18" customHeight="1">
      <c r="A190" t="s">
        <v>350</v>
      </c>
      <c r="C190" t="s">
        <v>351</v>
      </c>
    </row>
    <row r="191" spans="1:3" ht="18" customHeight="1">
      <c r="A191" t="s">
        <v>352</v>
      </c>
      <c r="B191">
        <f>'Resilience &amp; Risk Scenario'!$B$6</f>
        <v>0</v>
      </c>
    </row>
    <row r="192" spans="1:3" ht="18" customHeight="1">
      <c r="A192" t="s">
        <v>353</v>
      </c>
      <c r="B192">
        <f>'Resilience &amp; Risk Scenario'!$B$7</f>
        <v>0</v>
      </c>
    </row>
    <row r="193" spans="1:3" ht="18" customHeight="1">
      <c r="A193" t="s">
        <v>11</v>
      </c>
      <c r="B193" t="str">
        <f>_CONFIG_Model_Settings!$B$178</f>
        <v>Frozen</v>
      </c>
    </row>
    <row r="194" spans="1:3" ht="18" customHeight="1">
      <c r="A194" t="s">
        <v>344</v>
      </c>
      <c r="B194">
        <f>_ENGINE_MonteCarlo!$E$8</f>
        <v>250619</v>
      </c>
    </row>
    <row r="195" spans="1:3" ht="18" customHeight="1">
      <c r="A195" t="s">
        <v>354</v>
      </c>
      <c r="B195">
        <f>_DATA_Dashboard_Facts!$R$9</f>
        <v>0</v>
      </c>
    </row>
    <row r="196" spans="1:3" ht="18" customHeight="1">
      <c r="A196" t="s">
        <v>355</v>
      </c>
      <c r="B196">
        <f>_DATA_Dashboard_Facts!$R$10</f>
        <v>424</v>
      </c>
    </row>
    <row r="197" spans="1:3" ht="18" customHeight="1">
      <c r="A197" t="s">
        <v>356</v>
      </c>
      <c r="B197">
        <f>_DATA_Dashboard_Facts!$R$11</f>
        <v>0</v>
      </c>
    </row>
    <row r="198" spans="1:3" ht="18" customHeight="1">
      <c r="A198" t="s">
        <v>357</v>
      </c>
      <c r="B198">
        <f>_DATA_Dashboard_Facts!$R$24</f>
        <v>9375</v>
      </c>
    </row>
    <row r="199" spans="1:3" ht="18" customHeight="1">
      <c r="A199" t="s">
        <v>358</v>
      </c>
      <c r="B199">
        <f>_ENGINE_Simulation!$B$28</f>
        <v>93267.429398547945</v>
      </c>
    </row>
    <row r="200" spans="1:3" ht="18" customHeight="1">
      <c r="A200" t="s">
        <v>359</v>
      </c>
      <c r="B200">
        <f>_ENGINE_Simulation!$B$29</f>
        <v>100306.41111660961</v>
      </c>
    </row>
    <row r="201" spans="1:3" ht="18" customHeight="1">
      <c r="A201" t="s">
        <v>360</v>
      </c>
      <c r="B201">
        <f>_ENGINE_Simulation!$B$30</f>
        <v>104747.43456583229</v>
      </c>
    </row>
    <row r="202" spans="1:3" ht="18" customHeight="1">
      <c r="A202" t="s">
        <v>361</v>
      </c>
      <c r="B202">
        <f>_ENGINE_Simulation!$B$31</f>
        <v>110455.75482195144</v>
      </c>
    </row>
    <row r="203" spans="1:3" ht="18" customHeight="1">
      <c r="A203" t="s">
        <v>362</v>
      </c>
      <c r="B203">
        <f>_ENGINE_MonteCarlo!$B$8</f>
        <v>96534.816079446784</v>
      </c>
    </row>
    <row r="204" spans="1:3" ht="18" customHeight="1">
      <c r="A204" t="s">
        <v>363</v>
      </c>
      <c r="B204">
        <f>_ENGINE_MonteCarlo!$B$9</f>
        <v>107065.97820854252</v>
      </c>
    </row>
    <row r="205" spans="1:3" ht="18" customHeight="1">
      <c r="A205" t="s">
        <v>364</v>
      </c>
      <c r="B205" t="str">
        <f>'Resilience &amp; Risk Scenario'!$M$33</f>
        <v>Cyber Privacy</v>
      </c>
      <c r="C205">
        <f>'Resilience &amp; Risk Scenario'!$N$33</f>
        <v>13.5</v>
      </c>
    </row>
    <row r="206" spans="1:3" ht="18" customHeight="1">
      <c r="A206" t="s">
        <v>365</v>
      </c>
      <c r="B206" t="str">
        <f>'Resilience &amp; Risk Scenario'!$M$34</f>
        <v>Physical Safety</v>
      </c>
      <c r="C206">
        <f>'Resilience &amp; Risk Scenario'!$N$34</f>
        <v>12.75</v>
      </c>
    </row>
    <row r="207" spans="1:3" ht="18" customHeight="1">
      <c r="A207" t="s">
        <v>366</v>
      </c>
      <c r="B207" t="str">
        <f>'Resilience &amp; Risk Scenario'!$M$35</f>
        <v>Supply Chain</v>
      </c>
      <c r="C207">
        <f>'Resilience &amp; Risk Scenario'!$N$35</f>
        <v>12.25</v>
      </c>
    </row>
    <row r="208" spans="1:3" ht="18" customHeight="1">
      <c r="A208" t="s">
        <v>349</v>
      </c>
      <c r="B208" t="s">
        <v>367</v>
      </c>
    </row>
    <row r="209" spans="1:3" ht="18" customHeight="1">
      <c r="A209" t="s">
        <v>368</v>
      </c>
      <c r="B209">
        <f>ROUND(SUM(_DATA_RiskInitiativeMap!$K$444:$K$867)*_CONFIG_Model_Settings!$B$169,0)</f>
        <v>204575</v>
      </c>
      <c r="C209" t="s">
        <v>369</v>
      </c>
    </row>
    <row r="210" spans="1:3" ht="18" customHeight="1"/>
    <row r="211" spans="1:3" ht="18" customHeight="1">
      <c r="A211" s="192" t="s">
        <v>370</v>
      </c>
      <c r="B211" s="192"/>
      <c r="C211" s="192"/>
    </row>
    <row r="212" spans="1:3" ht="18" customHeight="1">
      <c r="A212" s="193" t="s">
        <v>245</v>
      </c>
      <c r="B212" s="193" t="s">
        <v>246</v>
      </c>
      <c r="C212" s="193" t="s">
        <v>247</v>
      </c>
    </row>
    <row r="213" spans="1:3" ht="18" customHeight="1">
      <c r="A213" s="177" t="s">
        <v>283</v>
      </c>
      <c r="B213" s="177" t="s">
        <v>284</v>
      </c>
      <c r="C213" s="177" t="s">
        <v>285</v>
      </c>
    </row>
    <row r="214" spans="1:3" ht="18" customHeight="1">
      <c r="A214" s="177" t="s">
        <v>286</v>
      </c>
      <c r="B214" s="177" t="s">
        <v>287</v>
      </c>
      <c r="C214" s="177" t="s">
        <v>288</v>
      </c>
    </row>
    <row r="215" spans="1:3" ht="18" customHeight="1">
      <c r="A215" s="177" t="s">
        <v>289</v>
      </c>
      <c r="B215" s="177" t="s">
        <v>290</v>
      </c>
      <c r="C215" s="177" t="s">
        <v>291</v>
      </c>
    </row>
    <row r="216" spans="1:3" ht="18" customHeight="1">
      <c r="A216" s="177" t="s">
        <v>292</v>
      </c>
      <c r="B216" s="177" t="s">
        <v>293</v>
      </c>
      <c r="C216" s="177" t="s">
        <v>294</v>
      </c>
    </row>
    <row r="217" spans="1:3" ht="18" customHeight="1">
      <c r="A217" s="177" t="s">
        <v>295</v>
      </c>
      <c r="B217" s="177" t="s">
        <v>296</v>
      </c>
      <c r="C217" s="177" t="s">
        <v>297</v>
      </c>
    </row>
    <row r="218" spans="1:3" ht="18" customHeight="1">
      <c r="A218" s="177" t="s">
        <v>298</v>
      </c>
      <c r="B218" s="177" t="s">
        <v>299</v>
      </c>
      <c r="C218" s="177" t="s">
        <v>300</v>
      </c>
    </row>
    <row r="219" spans="1:3" ht="18" customHeight="1">
      <c r="A219" s="177" t="s">
        <v>301</v>
      </c>
      <c r="B219" s="177" t="s">
        <v>169</v>
      </c>
      <c r="C219" s="177" t="s">
        <v>302</v>
      </c>
    </row>
    <row r="220" spans="1:3" ht="18" customHeight="1">
      <c r="A220" s="177" t="s">
        <v>303</v>
      </c>
      <c r="B220" s="177" t="s">
        <v>304</v>
      </c>
      <c r="C220" s="177" t="s">
        <v>305</v>
      </c>
    </row>
    <row r="221" spans="1:3" ht="18" customHeight="1">
      <c r="A221" s="177" t="s">
        <v>306</v>
      </c>
      <c r="B221" s="177" t="s">
        <v>307</v>
      </c>
      <c r="C221" s="177" t="s">
        <v>308</v>
      </c>
    </row>
    <row r="222" spans="1:3" ht="18" customHeight="1">
      <c r="A222" s="177" t="s">
        <v>309</v>
      </c>
      <c r="B222" s="177" t="s">
        <v>310</v>
      </c>
      <c r="C222" s="177" t="s">
        <v>311</v>
      </c>
    </row>
    <row r="223" spans="1:3" ht="18" customHeight="1">
      <c r="A223" s="177" t="s">
        <v>312</v>
      </c>
      <c r="B223" s="177" t="s">
        <v>313</v>
      </c>
      <c r="C223" s="177" t="s">
        <v>314</v>
      </c>
    </row>
    <row r="224" spans="1:3" ht="18" customHeight="1">
      <c r="A224" s="177" t="s">
        <v>315</v>
      </c>
      <c r="B224" s="177" t="s">
        <v>316</v>
      </c>
      <c r="C224" s="177" t="s">
        <v>317</v>
      </c>
    </row>
    <row r="225" spans="1:4" ht="18" customHeight="1">
      <c r="A225" s="177" t="s">
        <v>318</v>
      </c>
      <c r="B225" s="177" t="s">
        <v>319</v>
      </c>
      <c r="C225" s="177" t="s">
        <v>320</v>
      </c>
    </row>
    <row r="226" spans="1:4" ht="18" customHeight="1">
      <c r="A226" s="177" t="s">
        <v>321</v>
      </c>
      <c r="B226" s="177" t="s">
        <v>322</v>
      </c>
      <c r="C226" s="177" t="s">
        <v>323</v>
      </c>
    </row>
    <row r="227" spans="1:4" ht="18" customHeight="1">
      <c r="A227" s="177" t="s">
        <v>4</v>
      </c>
      <c r="B227" s="177" t="s">
        <v>324</v>
      </c>
      <c r="C227" s="177" t="s">
        <v>371</v>
      </c>
    </row>
    <row r="228" spans="1:4" ht="18" customHeight="1">
      <c r="A228" t="s">
        <v>372</v>
      </c>
    </row>
    <row r="229" spans="1:4" ht="18" customHeight="1">
      <c r="A229" t="s">
        <v>373</v>
      </c>
      <c r="B229" t="s">
        <v>374</v>
      </c>
    </row>
    <row r="230" spans="1:4" ht="18" customHeight="1">
      <c r="A230" s="192" t="s">
        <v>375</v>
      </c>
      <c r="B230" s="192" t="s">
        <v>376</v>
      </c>
      <c r="C230" s="192"/>
      <c r="D230" s="192"/>
    </row>
    <row r="231" spans="1:4" ht="18" customHeight="1">
      <c r="A231" s="193" t="s">
        <v>377</v>
      </c>
      <c r="B231" s="193" t="s">
        <v>378</v>
      </c>
      <c r="C231" s="193" t="s">
        <v>379</v>
      </c>
      <c r="D231" s="193" t="s">
        <v>380</v>
      </c>
    </row>
    <row r="232" spans="1:4" ht="18" customHeight="1">
      <c r="A232" s="177" t="s">
        <v>381</v>
      </c>
      <c r="B232" s="177" t="s">
        <v>382</v>
      </c>
      <c r="C232" s="177" t="s">
        <v>383</v>
      </c>
      <c r="D232" s="177" t="s">
        <v>384</v>
      </c>
    </row>
    <row r="233" spans="1:4" ht="18" customHeight="1">
      <c r="A233" s="177" t="s">
        <v>385</v>
      </c>
      <c r="B233" s="177" t="s">
        <v>386</v>
      </c>
      <c r="C233" s="177" t="s">
        <v>387</v>
      </c>
      <c r="D233" s="177" t="s">
        <v>388</v>
      </c>
    </row>
    <row r="234" spans="1:4" ht="18" customHeight="1">
      <c r="A234" s="177" t="s">
        <v>389</v>
      </c>
      <c r="B234" s="177" t="s">
        <v>390</v>
      </c>
      <c r="C234" s="177" t="s">
        <v>391</v>
      </c>
      <c r="D234" s="177" t="s">
        <v>392</v>
      </c>
    </row>
    <row r="235" spans="1:4" ht="18" customHeight="1">
      <c r="A235" s="177" t="s">
        <v>393</v>
      </c>
      <c r="B235" s="177" t="s">
        <v>167</v>
      </c>
      <c r="C235" s="177" t="s">
        <v>394</v>
      </c>
      <c r="D235" s="177" t="s">
        <v>395</v>
      </c>
    </row>
    <row r="236" spans="1:4" ht="18" customHeight="1">
      <c r="A236" s="177" t="s">
        <v>169</v>
      </c>
      <c r="B236" s="177" t="s">
        <v>170</v>
      </c>
      <c r="C236" s="177" t="s">
        <v>396</v>
      </c>
      <c r="D236" s="177" t="s">
        <v>397</v>
      </c>
    </row>
    <row r="237" spans="1:4" ht="18" customHeight="1">
      <c r="A237" s="177" t="s">
        <v>398</v>
      </c>
      <c r="B237" s="177" t="s">
        <v>399</v>
      </c>
      <c r="C237" s="177" t="s">
        <v>400</v>
      </c>
      <c r="D237" s="177" t="s">
        <v>401</v>
      </c>
    </row>
    <row r="238" spans="1:4" ht="18" customHeight="1">
      <c r="A238" s="177" t="s">
        <v>402</v>
      </c>
      <c r="B238" s="177" t="s">
        <v>403</v>
      </c>
      <c r="C238" s="177" t="s">
        <v>404</v>
      </c>
      <c r="D238" s="177" t="s">
        <v>405</v>
      </c>
    </row>
    <row r="239" spans="1:4" ht="18" customHeight="1"/>
    <row r="240" spans="1:4" ht="18" customHeight="1"/>
    <row r="241" spans="1:4" ht="18" customHeight="1">
      <c r="A241" s="192" t="s">
        <v>406</v>
      </c>
      <c r="B241" s="192"/>
      <c r="C241" s="192"/>
      <c r="D241" s="192"/>
    </row>
    <row r="242" spans="1:4" ht="18" customHeight="1">
      <c r="A242" s="193" t="s">
        <v>191</v>
      </c>
      <c r="B242" s="193" t="s">
        <v>407</v>
      </c>
      <c r="C242" s="193" t="s">
        <v>18</v>
      </c>
      <c r="D242" s="193" t="s">
        <v>408</v>
      </c>
    </row>
    <row r="243" spans="1:4" ht="18" customHeight="1">
      <c r="A243" s="177" t="s">
        <v>194</v>
      </c>
      <c r="B243" s="177" t="s">
        <v>409</v>
      </c>
      <c r="C243" s="177" t="s">
        <v>410</v>
      </c>
      <c r="D243" s="177" t="s">
        <v>411</v>
      </c>
    </row>
    <row r="244" spans="1:4" ht="18" customHeight="1">
      <c r="A244" s="177" t="s">
        <v>412</v>
      </c>
      <c r="B244" s="177" t="s">
        <v>413</v>
      </c>
      <c r="C244" s="177" t="s">
        <v>414</v>
      </c>
      <c r="D244" s="177" t="s">
        <v>415</v>
      </c>
    </row>
    <row r="245" spans="1:4" ht="18" customHeight="1">
      <c r="A245" s="177" t="s">
        <v>416</v>
      </c>
      <c r="B245" s="177" t="s">
        <v>417</v>
      </c>
      <c r="C245" s="177" t="s">
        <v>418</v>
      </c>
      <c r="D245" s="177" t="s">
        <v>419</v>
      </c>
    </row>
    <row r="246" spans="1:4" ht="18" customHeight="1">
      <c r="A246" s="177" t="s">
        <v>416</v>
      </c>
      <c r="B246" s="177" t="s">
        <v>420</v>
      </c>
      <c r="C246" s="177" t="s">
        <v>421</v>
      </c>
      <c r="D246" s="177" t="s">
        <v>422</v>
      </c>
    </row>
    <row r="247" spans="1:4" ht="18" customHeight="1">
      <c r="A247" s="177" t="s">
        <v>416</v>
      </c>
      <c r="B247" s="177" t="s">
        <v>423</v>
      </c>
      <c r="C247" s="177" t="s">
        <v>424</v>
      </c>
      <c r="D247" s="177" t="s">
        <v>425</v>
      </c>
    </row>
    <row r="249" spans="1:4" ht="24.9">
      <c r="A249" s="81" t="s">
        <v>426</v>
      </c>
    </row>
    <row r="250" spans="1:4">
      <c r="A250" s="82" t="s">
        <v>427</v>
      </c>
      <c r="B250" s="83" t="s">
        <v>428</v>
      </c>
      <c r="C250" s="82" t="s">
        <v>429</v>
      </c>
      <c r="D250" s="83" t="s">
        <v>430</v>
      </c>
    </row>
    <row r="251" spans="1:4">
      <c r="A251" s="82" t="s">
        <v>431</v>
      </c>
      <c r="B251" s="83" t="s">
        <v>432</v>
      </c>
    </row>
    <row r="252" spans="1:4">
      <c r="A252" s="82" t="s">
        <v>433</v>
      </c>
      <c r="B252" s="83" t="s">
        <v>434</v>
      </c>
    </row>
    <row r="253" spans="1:4">
      <c r="A253" s="82" t="s">
        <v>435</v>
      </c>
      <c r="B253" s="83" t="s">
        <v>436</v>
      </c>
      <c r="C253" s="82" t="s">
        <v>437</v>
      </c>
      <c r="D253" s="83" t="s">
        <v>438</v>
      </c>
    </row>
    <row r="254" spans="1:4">
      <c r="A254" s="82" t="s">
        <v>439</v>
      </c>
      <c r="B254" s="83" t="s">
        <v>440</v>
      </c>
    </row>
    <row r="255" spans="1:4">
      <c r="A255" s="82" t="s">
        <v>441</v>
      </c>
      <c r="B255" s="83" t="s">
        <v>442</v>
      </c>
    </row>
  </sheetData>
  <dataValidations count="1">
    <dataValidation type="list" allowBlank="1" sqref="G13" xr:uid="{00000000-0002-0000-0000-000000000000}">
      <formula1>"How to use this file,Methodology &amp; calculations,Calibration &amp; weights,Workbook tabs,Change history"</formula1>
    </dataValidation>
  </dataValidations>
  <hyperlinks>
    <hyperlink ref="B13" location="Guidelines!A18" display="Go to section 1" xr:uid="{00000000-0004-0000-0000-000000000000}"/>
    <hyperlink ref="B14" location="Guidelines!A39" display="Go to section 2" xr:uid="{00000000-0004-0000-0000-000001000000}"/>
    <hyperlink ref="B15" location="Guidelines!A70" display="Go to section 3" xr:uid="{00000000-0004-0000-0000-000002000000}"/>
    <hyperlink ref="B16" location="Guidelines!A98" display="Go to section 4" xr:uid="{00000000-0004-0000-0000-000003000000}"/>
    <hyperlink ref="B17" location="Guidelines!A140" display="Go to section 5" xr:uid="{00000000-0004-0000-0000-000004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538135"/>
    <pageSetUpPr fitToPage="1"/>
  </sheetPr>
  <dimension ref="A1:H159"/>
  <sheetViews>
    <sheetView showGridLines="0" workbookViewId="0">
      <pane xSplit="2" ySplit="4" topLeftCell="C5" activePane="bottomRight" state="frozen"/>
      <selection pane="topRight"/>
      <selection pane="bottomLeft"/>
      <selection pane="bottomRight" activeCell="D116" sqref="D116"/>
    </sheetView>
  </sheetViews>
  <sheetFormatPr defaultRowHeight="14.15" outlineLevelCol="1"/>
  <cols>
    <col min="1" max="2" width="30" customWidth="1"/>
    <col min="3" max="3" width="50" customWidth="1"/>
    <col min="4" max="4" width="34" hidden="1" customWidth="1" outlineLevel="1"/>
    <col min="5" max="5" width="4" customWidth="1"/>
    <col min="6" max="6" width="36" hidden="1" customWidth="1" outlineLevel="1"/>
    <col min="7" max="7" width="30" customWidth="1"/>
    <col min="8" max="8" width="28" customWidth="1"/>
  </cols>
  <sheetData>
    <row r="1" spans="1:8" ht="25.95" customHeight="1">
      <c r="A1" s="277" t="s">
        <v>51</v>
      </c>
      <c r="B1" s="276"/>
      <c r="C1" s="276"/>
      <c r="D1" s="276"/>
      <c r="E1" s="276"/>
      <c r="F1" s="276"/>
      <c r="G1" s="276"/>
      <c r="H1" s="276"/>
    </row>
    <row r="2" spans="1:8" ht="34.1" customHeight="1">
      <c r="A2" s="275" t="s">
        <v>443</v>
      </c>
      <c r="B2" s="276"/>
      <c r="C2" s="276"/>
      <c r="D2" s="276"/>
      <c r="E2" s="276"/>
      <c r="F2" s="276"/>
      <c r="G2" s="276"/>
      <c r="H2" s="276"/>
    </row>
    <row r="3" spans="1:8" ht="14.4" customHeight="1">
      <c r="A3" s="100" t="str">
        <f>HYPERLINK("#'Guidelines'!A1","⌂ Guidelines")</f>
        <v>⌂ Guidelines</v>
      </c>
      <c r="C3" s="98" t="s">
        <v>444</v>
      </c>
    </row>
    <row r="4" spans="1:8" ht="24" customHeight="1">
      <c r="A4" s="207" t="s">
        <v>445</v>
      </c>
      <c r="B4" s="207" t="s">
        <v>446</v>
      </c>
      <c r="C4" s="207" t="s">
        <v>74</v>
      </c>
      <c r="D4" s="207" t="s">
        <v>447</v>
      </c>
      <c r="E4" s="207"/>
      <c r="F4" s="207" t="s">
        <v>448</v>
      </c>
      <c r="G4" s="79"/>
      <c r="H4" s="79"/>
    </row>
    <row r="5" spans="1:8" ht="32.15" customHeight="1">
      <c r="A5" s="230" t="s">
        <v>449</v>
      </c>
      <c r="B5" s="231"/>
      <c r="C5" s="232" t="s">
        <v>450</v>
      </c>
      <c r="D5" s="233" t="s">
        <v>451</v>
      </c>
      <c r="F5" s="263" t="s">
        <v>452</v>
      </c>
      <c r="G5" s="264"/>
      <c r="H5" s="265"/>
    </row>
    <row r="6" spans="1:8" ht="32.15" customHeight="1">
      <c r="A6" s="230" t="s">
        <v>453</v>
      </c>
      <c r="B6" s="234">
        <f ca="1">TODAY()</f>
        <v>46197</v>
      </c>
      <c r="C6" s="232" t="s">
        <v>454</v>
      </c>
      <c r="D6" s="233" t="s">
        <v>455</v>
      </c>
      <c r="F6" s="266"/>
      <c r="G6" s="267"/>
      <c r="H6" s="268"/>
    </row>
    <row r="7" spans="1:8" ht="32.15" customHeight="1">
      <c r="A7" s="230" t="s">
        <v>456</v>
      </c>
      <c r="B7" s="231"/>
      <c r="C7" s="232" t="s">
        <v>457</v>
      </c>
      <c r="D7" s="233" t="s">
        <v>458</v>
      </c>
      <c r="F7" s="266"/>
      <c r="G7" s="267"/>
      <c r="H7" s="268"/>
    </row>
    <row r="8" spans="1:8" ht="32.15" customHeight="1">
      <c r="A8" s="230" t="s">
        <v>459</v>
      </c>
      <c r="B8" s="231"/>
      <c r="C8" s="232" t="s">
        <v>460</v>
      </c>
      <c r="D8" s="233" t="s">
        <v>461</v>
      </c>
      <c r="F8" s="266"/>
      <c r="G8" s="267"/>
      <c r="H8" s="268"/>
    </row>
    <row r="9" spans="1:8" ht="32.15" customHeight="1">
      <c r="A9" s="230" t="s">
        <v>462</v>
      </c>
      <c r="B9" s="231"/>
      <c r="C9" s="232" t="s">
        <v>463</v>
      </c>
      <c r="D9" s="233" t="s">
        <v>464</v>
      </c>
      <c r="F9" s="269"/>
      <c r="G9" s="270"/>
      <c r="H9" s="271"/>
    </row>
    <row r="10" spans="1:8" ht="32.15" customHeight="1">
      <c r="A10" s="230" t="s">
        <v>465</v>
      </c>
      <c r="B10" s="231"/>
      <c r="C10" s="232" t="s">
        <v>466</v>
      </c>
      <c r="D10" s="233" t="s">
        <v>464</v>
      </c>
    </row>
    <row r="11" spans="1:8" ht="32.15" customHeight="1">
      <c r="A11" s="230" t="s">
        <v>467</v>
      </c>
      <c r="B11" s="231"/>
      <c r="C11" s="232" t="s">
        <v>468</v>
      </c>
      <c r="D11" s="233" t="s">
        <v>469</v>
      </c>
    </row>
    <row r="12" spans="1:8" ht="32.15" customHeight="1">
      <c r="A12" s="230" t="s">
        <v>470</v>
      </c>
      <c r="B12" s="231"/>
      <c r="C12" s="232" t="s">
        <v>471</v>
      </c>
      <c r="D12" s="233" t="s">
        <v>472</v>
      </c>
    </row>
    <row r="13" spans="1:8" ht="32.15" customHeight="1">
      <c r="A13" s="230" t="s">
        <v>473</v>
      </c>
      <c r="B13" s="231"/>
      <c r="C13" s="232" t="s">
        <v>474</v>
      </c>
      <c r="D13" s="233" t="s">
        <v>475</v>
      </c>
    </row>
    <row r="14" spans="1:8" ht="32.15" customHeight="1">
      <c r="A14" s="230" t="s">
        <v>476</v>
      </c>
      <c r="B14" s="231"/>
      <c r="C14" s="232" t="s">
        <v>477</v>
      </c>
      <c r="D14" s="233" t="s">
        <v>478</v>
      </c>
    </row>
    <row r="15" spans="1:8" ht="32.15" customHeight="1">
      <c r="A15" s="230" t="s">
        <v>479</v>
      </c>
      <c r="B15" s="231"/>
      <c r="C15" s="232" t="s">
        <v>480</v>
      </c>
      <c r="D15" s="233" t="s">
        <v>481</v>
      </c>
    </row>
    <row r="16" spans="1:8" ht="32.15" customHeight="1">
      <c r="A16" s="235" t="s">
        <v>482</v>
      </c>
      <c r="B16" s="236" t="str">
        <f>IF($B$108&lt;&gt;"",$B$108,"")</f>
        <v/>
      </c>
      <c r="C16" s="237" t="s">
        <v>483</v>
      </c>
      <c r="D16" s="238" t="s">
        <v>484</v>
      </c>
    </row>
    <row r="17" spans="1:4" ht="32.15" customHeight="1">
      <c r="A17" s="230" t="s">
        <v>485</v>
      </c>
      <c r="B17" s="231"/>
      <c r="C17" s="232" t="s">
        <v>486</v>
      </c>
      <c r="D17" s="233" t="s">
        <v>487</v>
      </c>
    </row>
    <row r="18" spans="1:4" ht="32.15" customHeight="1">
      <c r="A18" s="230" t="s">
        <v>488</v>
      </c>
      <c r="B18" s="231"/>
      <c r="C18" s="232" t="s">
        <v>489</v>
      </c>
      <c r="D18" s="233" t="s">
        <v>490</v>
      </c>
    </row>
    <row r="19" spans="1:4" ht="32.15" customHeight="1">
      <c r="A19" s="235" t="s">
        <v>491</v>
      </c>
      <c r="B19" s="236" t="str">
        <f>IF($B$87&lt;&gt;"",$B$87&amp;" | ","")&amp;IF($B$88&lt;&gt;"",$B$88&amp;" | ","")&amp;IF($B$89&lt;&gt;"",$B$89&amp;" | ","")&amp;IF($B$90&lt;&gt;"",$B$90&amp;" | ","")&amp;IF($B$91&lt;&gt;"",$B$91&amp;" | ","")</f>
        <v/>
      </c>
      <c r="C19" s="237" t="s">
        <v>492</v>
      </c>
      <c r="D19" s="238" t="s">
        <v>493</v>
      </c>
    </row>
    <row r="20" spans="1:4" ht="32.15" customHeight="1">
      <c r="A20" s="230" t="s">
        <v>494</v>
      </c>
      <c r="B20" s="231"/>
      <c r="C20" s="232" t="s">
        <v>495</v>
      </c>
      <c r="D20" s="233" t="s">
        <v>496</v>
      </c>
    </row>
    <row r="21" spans="1:4" ht="32.15" customHeight="1">
      <c r="A21" s="230" t="s">
        <v>497</v>
      </c>
      <c r="B21" s="231"/>
      <c r="C21" s="232" t="s">
        <v>498</v>
      </c>
      <c r="D21" s="233" t="s">
        <v>499</v>
      </c>
    </row>
    <row r="22" spans="1:4" ht="32.15" customHeight="1">
      <c r="A22" s="235" t="s">
        <v>500</v>
      </c>
      <c r="B22" s="236" t="str">
        <f>IF(IF($B$54&lt;&gt;"","Top 1: "&amp;$B$54,"")&lt;&gt;"",IF($B$54&lt;&gt;"","Top 1: "&amp;$B$54,"")&amp;" | ","")&amp;IF(IF($B$55&lt;&gt;"","Top 5: "&amp;$B$55,"")&lt;&gt;"",IF($B$55&lt;&gt;"","Top 5: "&amp;$B$55,"")&amp;" | ","")&amp;IF(IF($B$56&lt;&gt;"","Top 10: "&amp;$B$56,"")&lt;&gt;"",IF($B$56&lt;&gt;"","Top 10: "&amp;$B$56,"")&amp;" | ","")</f>
        <v/>
      </c>
      <c r="C22" s="237" t="s">
        <v>501</v>
      </c>
      <c r="D22" s="238" t="s">
        <v>502</v>
      </c>
    </row>
    <row r="23" spans="1:4" ht="32.15" customHeight="1">
      <c r="A23" s="235" t="s">
        <v>503</v>
      </c>
      <c r="B23" s="236" t="str">
        <f>IF(IF($B$63&lt;&gt;"",$A$63&amp;": "&amp;$B$63,"")&lt;&gt;"",IF($B$63&lt;&gt;"",$A$63&amp;": "&amp;$B$63,"")&amp;" | ","")&amp;IF(IF($B$64&lt;&gt;"",$A$64&amp;": "&amp;$B$64,"")&lt;&gt;"",IF($B$64&lt;&gt;"",$A$64&amp;": "&amp;$B$64,"")&amp;" | ","")&amp;IF(IF($B$65&lt;&gt;"",$A$65&amp;": "&amp;$B$65,"")&lt;&gt;"",IF($B$65&lt;&gt;"",$A$65&amp;": "&amp;$B$65,"")&amp;" | ","")&amp;IF(IF($B$66&lt;&gt;"",$A$66&amp;": "&amp;$B$66,"")&lt;&gt;"",IF($B$66&lt;&gt;"",$A$66&amp;": "&amp;$B$66,"")&amp;" | ","")&amp;IF(IF($B$67&lt;&gt;"",$A$67&amp;": "&amp;$B$67,"")&lt;&gt;"",IF($B$67&lt;&gt;"",$A$67&amp;": "&amp;$B$67,"")&amp;" | ","")&amp;IF(IF($B$68&lt;&gt;"",$A$68&amp;": "&amp;$B$68,"")&lt;&gt;"",IF($B$68&lt;&gt;"",$A$68&amp;": "&amp;$B$68,"")&amp;" | ","")&amp;IF(IF($B$69&lt;&gt;"",$A$69&amp;": "&amp;$B$69,"")&lt;&gt;"",IF($B$69&lt;&gt;"",$A$69&amp;": "&amp;$B$69,"")&amp;" | ","")&amp;IF(IF($B$70&lt;&gt;"",$A$70&amp;": "&amp;$B$70,"")&lt;&gt;"",IF($B$70&lt;&gt;"",$A$70&amp;": "&amp;$B$70,"")&amp;" | ","")</f>
        <v/>
      </c>
      <c r="C23" s="237" t="s">
        <v>504</v>
      </c>
      <c r="D23" s="238" t="s">
        <v>505</v>
      </c>
    </row>
    <row r="24" spans="1:4" ht="32.15" customHeight="1">
      <c r="A24" s="230" t="s">
        <v>506</v>
      </c>
      <c r="B24" s="231"/>
      <c r="C24" s="232" t="s">
        <v>507</v>
      </c>
      <c r="D24" s="233" t="s">
        <v>508</v>
      </c>
    </row>
    <row r="25" spans="1:4" ht="32.15" customHeight="1">
      <c r="A25" s="230" t="s">
        <v>509</v>
      </c>
      <c r="B25" s="231"/>
      <c r="C25" s="232" t="s">
        <v>510</v>
      </c>
      <c r="D25" s="233" t="s">
        <v>511</v>
      </c>
    </row>
    <row r="26" spans="1:4" ht="32.15" customHeight="1">
      <c r="A26" s="230" t="s">
        <v>512</v>
      </c>
      <c r="B26" s="231"/>
      <c r="C26" s="232" t="s">
        <v>513</v>
      </c>
      <c r="D26" s="233" t="s">
        <v>514</v>
      </c>
    </row>
    <row r="27" spans="1:4" ht="32.15" customHeight="1">
      <c r="A27" s="230" t="s">
        <v>515</v>
      </c>
      <c r="B27" s="231"/>
      <c r="C27" s="232" t="s">
        <v>516</v>
      </c>
      <c r="D27" s="233" t="s">
        <v>517</v>
      </c>
    </row>
    <row r="28" spans="1:4" ht="32.15" customHeight="1">
      <c r="A28" s="230" t="s">
        <v>518</v>
      </c>
      <c r="B28" s="231"/>
      <c r="C28" s="232" t="s">
        <v>519</v>
      </c>
      <c r="D28" s="233" t="s">
        <v>520</v>
      </c>
    </row>
    <row r="29" spans="1:4" ht="32.15" customHeight="1">
      <c r="A29" s="230" t="s">
        <v>521</v>
      </c>
      <c r="B29" s="239">
        <f>'Resilience &amp; Risk Scenario'!$B$6</f>
        <v>0</v>
      </c>
      <c r="C29" s="232" t="s">
        <v>522</v>
      </c>
      <c r="D29" s="233" t="s">
        <v>523</v>
      </c>
    </row>
    <row r="30" spans="1:4" ht="32.15" customHeight="1">
      <c r="A30" s="230" t="s">
        <v>524</v>
      </c>
      <c r="B30" s="239">
        <f>'Resilience &amp; Risk Scenario'!$B$7</f>
        <v>0</v>
      </c>
      <c r="C30" s="232" t="s">
        <v>525</v>
      </c>
      <c r="D30" s="233" t="s">
        <v>523</v>
      </c>
    </row>
    <row r="31" spans="1:4" ht="32.15" customHeight="1">
      <c r="A31" s="230" t="s">
        <v>526</v>
      </c>
      <c r="B31" s="231"/>
      <c r="C31" s="232" t="s">
        <v>527</v>
      </c>
      <c r="D31" s="233" t="s">
        <v>528</v>
      </c>
    </row>
    <row r="32" spans="1:4" ht="32.15" customHeight="1">
      <c r="A32" s="230" t="s">
        <v>529</v>
      </c>
      <c r="B32" s="231"/>
      <c r="C32" s="232" t="s">
        <v>530</v>
      </c>
      <c r="D32" s="233" t="s">
        <v>528</v>
      </c>
    </row>
    <row r="33" spans="1:8" ht="32.15" customHeight="1">
      <c r="A33" s="230" t="s">
        <v>531</v>
      </c>
      <c r="B33" s="231"/>
      <c r="C33" s="232" t="s">
        <v>532</v>
      </c>
      <c r="D33" s="233" t="s">
        <v>528</v>
      </c>
    </row>
    <row r="34" spans="1:8" ht="32.15" customHeight="1">
      <c r="A34" s="230" t="s">
        <v>533</v>
      </c>
      <c r="B34" s="231"/>
      <c r="C34" s="232" t="s">
        <v>534</v>
      </c>
      <c r="D34" s="233" t="s">
        <v>535</v>
      </c>
    </row>
    <row r="35" spans="1:8" ht="32.15" customHeight="1">
      <c r="A35" s="230" t="s">
        <v>536</v>
      </c>
      <c r="B35" s="231"/>
      <c r="C35" s="232" t="s">
        <v>537</v>
      </c>
      <c r="D35" s="233" t="s">
        <v>538</v>
      </c>
    </row>
    <row r="36" spans="1:8" ht="32.15" customHeight="1">
      <c r="A36" s="230" t="s">
        <v>539</v>
      </c>
      <c r="B36" s="231"/>
      <c r="C36" s="232" t="s">
        <v>540</v>
      </c>
      <c r="D36" s="233" t="s">
        <v>541</v>
      </c>
    </row>
    <row r="37" spans="1:8">
      <c r="B37" s="82"/>
    </row>
    <row r="38" spans="1:8" ht="22.1" customHeight="1">
      <c r="A38" s="272" t="s">
        <v>542</v>
      </c>
      <c r="B38" s="273"/>
      <c r="C38" s="273"/>
      <c r="D38" s="273"/>
      <c r="E38" s="273"/>
      <c r="F38" s="273"/>
      <c r="G38" s="273"/>
      <c r="H38" s="274"/>
    </row>
    <row r="39" spans="1:8" ht="24" customHeight="1">
      <c r="A39" s="235" t="s">
        <v>543</v>
      </c>
      <c r="B39" s="236">
        <f>PV_Canonical_Industry</f>
        <v>0</v>
      </c>
      <c r="C39" s="237" t="s">
        <v>544</v>
      </c>
      <c r="D39" s="238"/>
      <c r="E39" s="79"/>
      <c r="F39" s="79"/>
      <c r="G39" s="79"/>
      <c r="H39" s="79"/>
    </row>
    <row r="40" spans="1:8" ht="36" customHeight="1">
      <c r="A40" s="241" t="s">
        <v>545</v>
      </c>
      <c r="B40" s="239" t="s">
        <v>546</v>
      </c>
      <c r="C40" s="232" t="s">
        <v>547</v>
      </c>
      <c r="D40" s="233"/>
    </row>
    <row r="41" spans="1:8" ht="36" customHeight="1">
      <c r="A41" s="241" t="s">
        <v>548</v>
      </c>
      <c r="B41" s="239" t="s">
        <v>546</v>
      </c>
      <c r="C41" s="232" t="s">
        <v>549</v>
      </c>
      <c r="D41" s="233"/>
    </row>
    <row r="42" spans="1:8" ht="36" customHeight="1">
      <c r="A42" s="241" t="s">
        <v>550</v>
      </c>
      <c r="B42" s="236">
        <f>COUNTIF(_REF_Model_Content!$A$1:$A$174,PV_Canonical_Industry)</f>
        <v>0</v>
      </c>
      <c r="C42" s="237" t="s">
        <v>551</v>
      </c>
      <c r="D42" s="233"/>
    </row>
    <row r="43" spans="1:8" ht="36" customHeight="1">
      <c r="A43" s="241" t="s">
        <v>552</v>
      </c>
      <c r="B43" s="236" t="str">
        <f>IFERROR(ROUND(AVERAGEIFS(_REF_Model_Content!$D$1:$D$174,_REF_Model_Content!$A$1:$A$174,PV_Canonical_Industry),2),"")</f>
        <v/>
      </c>
      <c r="C43" s="237" t="s">
        <v>553</v>
      </c>
      <c r="D43" s="233"/>
    </row>
    <row r="44" spans="1:8" ht="36" customHeight="1">
      <c r="A44" s="241" t="s">
        <v>554</v>
      </c>
      <c r="B44" s="236" t="str">
        <f>IFERROR(ROUND(AVERAGEIFS(_REF_Model_Content!$E$1:$E$174,_REF_Model_Content!$A$1:$A$174,PV_Canonical_Industry),2),"")</f>
        <v/>
      </c>
      <c r="C44" s="237" t="s">
        <v>553</v>
      </c>
      <c r="D44" s="233"/>
    </row>
    <row r="45" spans="1:8" ht="36" customHeight="1">
      <c r="A45" s="241" t="s">
        <v>555</v>
      </c>
      <c r="B45" s="236" t="str">
        <f>IFERROR(INDEX(_REF_Model_Content!$H$1:$H$157,MATCH(PV_Canonical_Industry,_REF_Model_Content!$A$1:$A$174,0)),"")</f>
        <v/>
      </c>
      <c r="C45" s="237" t="s">
        <v>553</v>
      </c>
      <c r="D45" s="233"/>
    </row>
    <row r="46" spans="1:8" ht="36" customHeight="1">
      <c r="A46" s="241" t="s">
        <v>556</v>
      </c>
      <c r="B46" s="236" t="str">
        <f>IFERROR(INDEX(_REF_Model_Content!$I$1:$I$157,MATCH(PV_Canonical_Industry,_REF_Model_Content!$A$1:$A$174,0)),"")</f>
        <v/>
      </c>
      <c r="C46" s="237" t="s">
        <v>553</v>
      </c>
      <c r="D46" s="233"/>
    </row>
    <row r="47" spans="1:8" ht="36" customHeight="1">
      <c r="A47" s="241" t="s">
        <v>557</v>
      </c>
      <c r="B47" s="236" t="str">
        <f>IFERROR(INDEX(_REF_Model_Content!$L$1:$L$157,MATCH(PV_Canonical_Industry,_REF_Model_Content!$A$1:$A$174,0)),"")</f>
        <v/>
      </c>
      <c r="C47" s="237" t="s">
        <v>553</v>
      </c>
      <c r="D47" s="233"/>
    </row>
    <row r="48" spans="1:8" ht="24.9" customHeight="1">
      <c r="A48" s="241" t="s">
        <v>558</v>
      </c>
      <c r="B48" s="239">
        <f>PV_Canonical_Industry</f>
        <v>0</v>
      </c>
      <c r="C48" s="237" t="s">
        <v>559</v>
      </c>
      <c r="D48" s="233"/>
    </row>
    <row r="49" spans="1:8" ht="30" customHeight="1">
      <c r="A49" s="240" t="s">
        <v>560</v>
      </c>
      <c r="B49" s="242"/>
      <c r="C49" s="243"/>
      <c r="D49" s="244"/>
      <c r="E49" s="15"/>
      <c r="F49" s="15"/>
      <c r="G49" s="15"/>
      <c r="H49" s="15"/>
    </row>
    <row r="50" spans="1:8">
      <c r="A50" s="230" t="s">
        <v>561</v>
      </c>
      <c r="B50" s="231"/>
      <c r="C50" s="232" t="s">
        <v>562</v>
      </c>
      <c r="D50" s="233" t="s">
        <v>563</v>
      </c>
    </row>
    <row r="51" spans="1:8" ht="24" customHeight="1">
      <c r="A51" s="235" t="s">
        <v>564</v>
      </c>
      <c r="B51" s="236"/>
      <c r="C51" s="237" t="s">
        <v>565</v>
      </c>
      <c r="D51" s="238" t="s">
        <v>566</v>
      </c>
      <c r="E51" s="79"/>
      <c r="F51" s="79"/>
      <c r="G51" s="79"/>
      <c r="H51" s="79"/>
    </row>
    <row r="52" spans="1:8">
      <c r="A52" s="230" t="s">
        <v>567</v>
      </c>
      <c r="B52" s="231"/>
      <c r="C52" s="232" t="s">
        <v>568</v>
      </c>
      <c r="D52" s="233" t="s">
        <v>569</v>
      </c>
    </row>
    <row r="53" spans="1:8">
      <c r="A53" s="230" t="s">
        <v>570</v>
      </c>
      <c r="B53" s="231"/>
      <c r="C53" s="232" t="s">
        <v>571</v>
      </c>
      <c r="D53" s="233" t="s">
        <v>572</v>
      </c>
    </row>
    <row r="54" spans="1:8" ht="25.5" customHeight="1">
      <c r="A54" s="230" t="s">
        <v>573</v>
      </c>
      <c r="B54" s="231"/>
      <c r="C54" s="232" t="s">
        <v>574</v>
      </c>
      <c r="D54" s="233" t="s">
        <v>575</v>
      </c>
    </row>
    <row r="55" spans="1:8" ht="25.5" customHeight="1">
      <c r="A55" s="230" t="s">
        <v>576</v>
      </c>
      <c r="B55" s="231"/>
      <c r="C55" s="232" t="s">
        <v>577</v>
      </c>
      <c r="D55" s="233" t="s">
        <v>575</v>
      </c>
    </row>
    <row r="56" spans="1:8" ht="25.5" customHeight="1">
      <c r="A56" s="230" t="s">
        <v>578</v>
      </c>
      <c r="B56" s="231"/>
      <c r="C56" s="232" t="s">
        <v>579</v>
      </c>
      <c r="D56" s="233" t="s">
        <v>580</v>
      </c>
    </row>
    <row r="57" spans="1:8" ht="25.5" customHeight="1">
      <c r="A57" s="230" t="s">
        <v>581</v>
      </c>
      <c r="B57" s="231"/>
      <c r="C57" s="232" t="s">
        <v>582</v>
      </c>
      <c r="D57" s="233" t="s">
        <v>583</v>
      </c>
    </row>
    <row r="58" spans="1:8" ht="25.5" customHeight="1">
      <c r="A58" s="230" t="s">
        <v>584</v>
      </c>
      <c r="B58" s="231"/>
      <c r="C58" s="232" t="s">
        <v>585</v>
      </c>
      <c r="D58" s="233" t="s">
        <v>586</v>
      </c>
    </row>
    <row r="59" spans="1:8">
      <c r="A59" s="230" t="s">
        <v>587</v>
      </c>
      <c r="B59" s="231"/>
      <c r="C59" s="232" t="s">
        <v>588</v>
      </c>
      <c r="D59" s="233" t="s">
        <v>589</v>
      </c>
    </row>
    <row r="60" spans="1:8">
      <c r="B60" s="82"/>
    </row>
    <row r="61" spans="1:8" ht="30" customHeight="1">
      <c r="A61" s="240" t="s">
        <v>590</v>
      </c>
      <c r="B61" s="242"/>
      <c r="C61" s="243"/>
      <c r="D61" s="244"/>
      <c r="E61" s="15"/>
      <c r="F61" s="15"/>
      <c r="G61" s="15"/>
      <c r="H61" s="15"/>
    </row>
    <row r="62" spans="1:8" ht="15" customHeight="1">
      <c r="A62" s="245" t="s">
        <v>591</v>
      </c>
      <c r="B62" s="236" t="s">
        <v>592</v>
      </c>
      <c r="C62" s="243" t="s">
        <v>593</v>
      </c>
      <c r="D62" s="244" t="s">
        <v>594</v>
      </c>
      <c r="E62" s="15" t="s">
        <v>447</v>
      </c>
      <c r="F62" s="15"/>
      <c r="G62" s="15"/>
      <c r="H62" s="15"/>
    </row>
    <row r="63" spans="1:8" ht="63.75" customHeight="1">
      <c r="A63" s="230" t="s">
        <v>595</v>
      </c>
      <c r="B63" s="231"/>
      <c r="C63" s="246"/>
      <c r="D63" s="247"/>
      <c r="E63" s="17" t="s">
        <v>596</v>
      </c>
    </row>
    <row r="64" spans="1:8" ht="24" customHeight="1">
      <c r="A64" s="235" t="s">
        <v>597</v>
      </c>
      <c r="B64" s="236"/>
      <c r="C64" s="237"/>
      <c r="D64" s="238"/>
      <c r="E64" s="79" t="s">
        <v>596</v>
      </c>
      <c r="F64" s="79"/>
      <c r="G64" s="79"/>
      <c r="H64" s="79"/>
    </row>
    <row r="65" spans="1:8" ht="63.75" customHeight="1">
      <c r="A65" s="230" t="s">
        <v>598</v>
      </c>
      <c r="B65" s="231"/>
      <c r="C65" s="246"/>
      <c r="D65" s="247"/>
      <c r="E65" s="17" t="s">
        <v>596</v>
      </c>
    </row>
    <row r="66" spans="1:8" ht="63.75" customHeight="1">
      <c r="A66" s="230" t="s">
        <v>599</v>
      </c>
      <c r="B66" s="231"/>
      <c r="C66" s="246"/>
      <c r="D66" s="247"/>
      <c r="E66" s="17" t="s">
        <v>596</v>
      </c>
    </row>
    <row r="67" spans="1:8" ht="63.75" customHeight="1">
      <c r="A67" s="230" t="s">
        <v>600</v>
      </c>
      <c r="B67" s="231"/>
      <c r="C67" s="246"/>
      <c r="D67" s="247"/>
      <c r="E67" s="17" t="s">
        <v>596</v>
      </c>
    </row>
    <row r="68" spans="1:8" ht="63.75" customHeight="1">
      <c r="A68" s="230" t="s">
        <v>601</v>
      </c>
      <c r="B68" s="231"/>
      <c r="C68" s="246"/>
      <c r="D68" s="247"/>
      <c r="E68" s="17" t="s">
        <v>596</v>
      </c>
    </row>
    <row r="69" spans="1:8" ht="63.75" customHeight="1">
      <c r="A69" s="230" t="s">
        <v>602</v>
      </c>
      <c r="B69" s="231"/>
      <c r="C69" s="246"/>
      <c r="D69" s="247"/>
      <c r="E69" s="17" t="s">
        <v>596</v>
      </c>
    </row>
    <row r="70" spans="1:8" ht="63.75" customHeight="1">
      <c r="A70" s="230" t="s">
        <v>603</v>
      </c>
      <c r="B70" s="231"/>
      <c r="C70" s="246"/>
      <c r="D70" s="247"/>
      <c r="E70" s="17" t="s">
        <v>596</v>
      </c>
    </row>
    <row r="71" spans="1:8">
      <c r="B71" s="82"/>
    </row>
    <row r="72" spans="1:8" ht="15" customHeight="1">
      <c r="A72" s="240" t="s">
        <v>604</v>
      </c>
      <c r="B72" s="242"/>
      <c r="C72" s="243"/>
      <c r="D72" s="244"/>
      <c r="E72" s="15"/>
      <c r="F72" s="15"/>
      <c r="G72" s="15"/>
      <c r="H72" s="15"/>
    </row>
    <row r="73" spans="1:8">
      <c r="A73" s="230" t="s">
        <v>605</v>
      </c>
      <c r="B73" s="231"/>
      <c r="C73" s="232" t="s">
        <v>606</v>
      </c>
      <c r="D73" s="233" t="s">
        <v>607</v>
      </c>
    </row>
    <row r="74" spans="1:8" ht="24" customHeight="1">
      <c r="A74" s="235" t="s">
        <v>608</v>
      </c>
      <c r="B74" s="236"/>
      <c r="C74" s="237" t="s">
        <v>609</v>
      </c>
      <c r="D74" s="238" t="s">
        <v>610</v>
      </c>
      <c r="E74" s="79"/>
      <c r="F74" s="79"/>
      <c r="G74" s="79"/>
      <c r="H74" s="79"/>
    </row>
    <row r="75" spans="1:8" ht="25.5" customHeight="1">
      <c r="A75" s="230" t="s">
        <v>611</v>
      </c>
      <c r="B75" s="231"/>
      <c r="C75" s="232" t="s">
        <v>612</v>
      </c>
      <c r="D75" s="233" t="s">
        <v>613</v>
      </c>
    </row>
    <row r="76" spans="1:8" ht="25.5" customHeight="1">
      <c r="A76" s="230" t="s">
        <v>614</v>
      </c>
      <c r="B76" s="231"/>
      <c r="C76" s="232" t="s">
        <v>615</v>
      </c>
      <c r="D76" s="233" t="s">
        <v>616</v>
      </c>
    </row>
    <row r="77" spans="1:8" ht="25.5" customHeight="1">
      <c r="A77" s="230" t="s">
        <v>617</v>
      </c>
      <c r="B77" s="231"/>
      <c r="C77" s="232" t="s">
        <v>618</v>
      </c>
      <c r="D77" s="233" t="s">
        <v>619</v>
      </c>
    </row>
    <row r="78" spans="1:8">
      <c r="B78" s="82"/>
    </row>
    <row r="79" spans="1:8" ht="30" customHeight="1">
      <c r="A79" s="240" t="s">
        <v>620</v>
      </c>
      <c r="B79" s="242"/>
      <c r="C79" s="243"/>
      <c r="D79" s="244"/>
      <c r="E79" s="15"/>
      <c r="F79" s="15"/>
      <c r="G79" s="15"/>
      <c r="H79" s="15"/>
    </row>
    <row r="80" spans="1:8">
      <c r="A80" s="230" t="s">
        <v>621</v>
      </c>
      <c r="B80" s="231"/>
      <c r="C80" s="232" t="s">
        <v>622</v>
      </c>
      <c r="D80" s="233" t="s">
        <v>623</v>
      </c>
    </row>
    <row r="81" spans="1:8">
      <c r="A81" s="230" t="s">
        <v>624</v>
      </c>
      <c r="B81" s="231"/>
      <c r="C81" s="232" t="s">
        <v>622</v>
      </c>
      <c r="D81" s="233" t="s">
        <v>623</v>
      </c>
    </row>
    <row r="82" spans="1:8">
      <c r="A82" s="230" t="s">
        <v>625</v>
      </c>
      <c r="B82" s="231"/>
      <c r="C82" s="232" t="s">
        <v>622</v>
      </c>
      <c r="D82" s="233" t="s">
        <v>623</v>
      </c>
    </row>
    <row r="83" spans="1:8">
      <c r="A83" s="230" t="s">
        <v>626</v>
      </c>
      <c r="B83" s="231"/>
      <c r="C83" s="232" t="s">
        <v>622</v>
      </c>
      <c r="D83" s="233" t="s">
        <v>623</v>
      </c>
    </row>
    <row r="84" spans="1:8" ht="24" customHeight="1">
      <c r="A84" s="235" t="s">
        <v>627</v>
      </c>
      <c r="B84" s="236"/>
      <c r="C84" s="237" t="s">
        <v>622</v>
      </c>
      <c r="D84" s="238" t="s">
        <v>623</v>
      </c>
      <c r="E84" s="79"/>
      <c r="F84" s="79"/>
      <c r="G84" s="79"/>
      <c r="H84" s="79"/>
    </row>
    <row r="85" spans="1:8">
      <c r="B85" s="82"/>
    </row>
    <row r="86" spans="1:8" ht="30" customHeight="1">
      <c r="A86" s="240" t="s">
        <v>628</v>
      </c>
      <c r="B86" s="242"/>
      <c r="C86" s="243"/>
      <c r="D86" s="244"/>
      <c r="E86" s="15"/>
      <c r="F86" s="15"/>
      <c r="G86" s="15"/>
      <c r="H86" s="15"/>
    </row>
    <row r="87" spans="1:8">
      <c r="A87" s="230" t="s">
        <v>629</v>
      </c>
      <c r="B87" s="231"/>
      <c r="C87" s="232" t="s">
        <v>630</v>
      </c>
      <c r="D87" s="233" t="s">
        <v>631</v>
      </c>
    </row>
    <row r="88" spans="1:8">
      <c r="A88" s="230" t="s">
        <v>632</v>
      </c>
      <c r="B88" s="231"/>
      <c r="C88" s="232" t="s">
        <v>630</v>
      </c>
      <c r="D88" s="233" t="s">
        <v>631</v>
      </c>
    </row>
    <row r="89" spans="1:8">
      <c r="A89" s="230" t="s">
        <v>633</v>
      </c>
      <c r="B89" s="231"/>
      <c r="C89" s="232" t="s">
        <v>630</v>
      </c>
      <c r="D89" s="233" t="s">
        <v>631</v>
      </c>
    </row>
    <row r="90" spans="1:8">
      <c r="A90" s="230" t="s">
        <v>634</v>
      </c>
      <c r="B90" s="231"/>
      <c r="C90" s="232" t="s">
        <v>630</v>
      </c>
      <c r="D90" s="233" t="s">
        <v>631</v>
      </c>
    </row>
    <row r="91" spans="1:8">
      <c r="A91" s="230" t="s">
        <v>635</v>
      </c>
      <c r="B91" s="231"/>
      <c r="C91" s="232" t="s">
        <v>630</v>
      </c>
      <c r="D91" s="233" t="s">
        <v>631</v>
      </c>
    </row>
    <row r="92" spans="1:8">
      <c r="B92" s="82"/>
    </row>
    <row r="93" spans="1:8" ht="15" customHeight="1">
      <c r="A93" s="240" t="s">
        <v>636</v>
      </c>
      <c r="B93" s="242"/>
      <c r="C93" s="243"/>
      <c r="D93" s="244"/>
      <c r="E93" s="15"/>
      <c r="F93" s="15"/>
      <c r="G93" s="15"/>
      <c r="H93" s="15"/>
    </row>
    <row r="94" spans="1:8" ht="15" customHeight="1">
      <c r="A94" s="245" t="s">
        <v>637</v>
      </c>
      <c r="B94" s="236" t="s">
        <v>638</v>
      </c>
      <c r="C94" s="243" t="s">
        <v>74</v>
      </c>
      <c r="D94" s="244" t="s">
        <v>447</v>
      </c>
      <c r="E94" s="15"/>
      <c r="F94" s="15"/>
      <c r="G94" s="15"/>
      <c r="H94" s="15"/>
    </row>
    <row r="95" spans="1:8" ht="24" customHeight="1">
      <c r="A95" s="235" t="s">
        <v>639</v>
      </c>
      <c r="B95" s="236"/>
      <c r="C95" s="237" t="s">
        <v>640</v>
      </c>
      <c r="D95" s="238" t="s">
        <v>641</v>
      </c>
      <c r="E95" s="79"/>
      <c r="F95" s="79"/>
      <c r="G95" s="79"/>
      <c r="H95" s="79"/>
    </row>
    <row r="96" spans="1:8" ht="26.4" customHeight="1">
      <c r="A96" s="248" t="s">
        <v>642</v>
      </c>
      <c r="B96" s="231"/>
      <c r="C96" s="232" t="s">
        <v>640</v>
      </c>
      <c r="D96" s="233" t="s">
        <v>641</v>
      </c>
    </row>
    <row r="97" spans="1:8" ht="26.4" customHeight="1">
      <c r="A97" s="248" t="s">
        <v>643</v>
      </c>
      <c r="B97" s="231"/>
      <c r="C97" s="232" t="s">
        <v>640</v>
      </c>
      <c r="D97" s="233" t="s">
        <v>641</v>
      </c>
    </row>
    <row r="98" spans="1:8" ht="26.4" customHeight="1">
      <c r="A98" s="248" t="s">
        <v>644</v>
      </c>
      <c r="B98" s="231"/>
      <c r="C98" s="232" t="s">
        <v>640</v>
      </c>
      <c r="D98" s="233" t="s">
        <v>641</v>
      </c>
    </row>
    <row r="99" spans="1:8" ht="26.4" customHeight="1">
      <c r="A99" s="248" t="s">
        <v>645</v>
      </c>
      <c r="B99" s="231"/>
      <c r="C99" s="232" t="s">
        <v>640</v>
      </c>
      <c r="D99" s="233" t="s">
        <v>641</v>
      </c>
    </row>
    <row r="100" spans="1:8">
      <c r="B100" s="82"/>
    </row>
    <row r="101" spans="1:8">
      <c r="A101" s="240" t="s">
        <v>646</v>
      </c>
      <c r="B101" s="249"/>
      <c r="C101" s="232"/>
      <c r="D101" s="233"/>
    </row>
    <row r="102" spans="1:8" ht="46.3">
      <c r="A102" s="241" t="s">
        <v>647</v>
      </c>
      <c r="B102" s="239"/>
      <c r="C102" s="232" t="s">
        <v>648</v>
      </c>
      <c r="D102" s="233" t="s">
        <v>455</v>
      </c>
    </row>
    <row r="103" spans="1:8" ht="23.15">
      <c r="A103" s="241" t="s">
        <v>649</v>
      </c>
      <c r="B103" s="239"/>
      <c r="C103" s="232" t="s">
        <v>650</v>
      </c>
      <c r="D103" s="233" t="s">
        <v>651</v>
      </c>
    </row>
    <row r="104" spans="1:8" ht="34.75">
      <c r="A104" s="241" t="s">
        <v>652</v>
      </c>
      <c r="B104" s="239"/>
      <c r="C104" s="232" t="s">
        <v>653</v>
      </c>
      <c r="D104" s="233"/>
    </row>
    <row r="105" spans="1:8" ht="24" customHeight="1">
      <c r="A105" s="235" t="s">
        <v>654</v>
      </c>
      <c r="B105" s="236"/>
      <c r="C105" s="237" t="s">
        <v>655</v>
      </c>
      <c r="D105" s="238" t="s">
        <v>656</v>
      </c>
      <c r="E105" s="79"/>
      <c r="F105" s="79"/>
      <c r="G105" s="79"/>
      <c r="H105" s="79"/>
    </row>
    <row r="106" spans="1:8">
      <c r="B106" s="82"/>
    </row>
    <row r="107" spans="1:8">
      <c r="A107" s="240" t="s">
        <v>657</v>
      </c>
      <c r="B107" s="249"/>
      <c r="C107" s="232"/>
      <c r="D107" s="233"/>
    </row>
    <row r="108" spans="1:8" ht="23.15">
      <c r="A108" s="241" t="s">
        <v>658</v>
      </c>
      <c r="B108" s="239"/>
      <c r="C108" s="232" t="s">
        <v>659</v>
      </c>
      <c r="D108" s="233" t="s">
        <v>660</v>
      </c>
    </row>
    <row r="109" spans="1:8" ht="23.15">
      <c r="A109" s="241" t="s">
        <v>661</v>
      </c>
      <c r="B109" s="239"/>
      <c r="C109" s="232" t="s">
        <v>662</v>
      </c>
      <c r="D109" s="233" t="s">
        <v>660</v>
      </c>
    </row>
    <row r="110" spans="1:8" ht="23.15">
      <c r="A110" s="241" t="s">
        <v>663</v>
      </c>
      <c r="B110" s="239"/>
      <c r="C110" s="232" t="s">
        <v>664</v>
      </c>
      <c r="D110" s="233" t="s">
        <v>660</v>
      </c>
    </row>
    <row r="111" spans="1:8">
      <c r="A111" s="241" t="s">
        <v>665</v>
      </c>
      <c r="B111" s="239"/>
      <c r="C111" s="232" t="s">
        <v>666</v>
      </c>
      <c r="D111" s="233" t="s">
        <v>660</v>
      </c>
    </row>
    <row r="112" spans="1:8">
      <c r="A112" s="241" t="s">
        <v>667</v>
      </c>
      <c r="B112" s="239"/>
      <c r="C112" s="232" t="s">
        <v>668</v>
      </c>
      <c r="D112" s="233" t="s">
        <v>660</v>
      </c>
    </row>
    <row r="113" spans="1:8" ht="23.15">
      <c r="A113" s="241" t="s">
        <v>669</v>
      </c>
      <c r="B113" s="239">
        <f>IFERROR(VLOOKUP($B$108,_CONFIG_Model_Settings!$A$154:$B$158,2,0),12500)</f>
        <v>12500</v>
      </c>
      <c r="C113" s="232" t="s">
        <v>670</v>
      </c>
      <c r="D113" s="233"/>
    </row>
    <row r="115" spans="1:8" ht="30" customHeight="1">
      <c r="A115" s="245" t="s">
        <v>671</v>
      </c>
      <c r="B115" s="236"/>
      <c r="C115" s="243" t="s">
        <v>672</v>
      </c>
      <c r="D115" s="244"/>
      <c r="E115" s="15"/>
      <c r="F115" s="15"/>
      <c r="G115" s="15"/>
      <c r="H115" s="15"/>
    </row>
    <row r="116" spans="1:8" ht="113.15" customHeight="1">
      <c r="A116" s="245" t="s">
        <v>673</v>
      </c>
      <c r="B116" s="236" t="s">
        <v>674</v>
      </c>
      <c r="C116" s="243" t="s">
        <v>592</v>
      </c>
      <c r="D116" s="244" t="s">
        <v>675</v>
      </c>
      <c r="E116" s="15" t="s">
        <v>676</v>
      </c>
    </row>
    <row r="117" spans="1:8">
      <c r="A117" s="230" t="s">
        <v>677</v>
      </c>
      <c r="B117" s="231"/>
      <c r="C117" s="246"/>
      <c r="D117" s="247"/>
      <c r="E117" s="17"/>
    </row>
    <row r="118" spans="1:8">
      <c r="A118" s="230" t="s">
        <v>678</v>
      </c>
      <c r="B118" s="231"/>
      <c r="C118" s="246"/>
      <c r="D118" s="247"/>
      <c r="E118" s="17"/>
    </row>
    <row r="119" spans="1:8">
      <c r="A119" s="230" t="s">
        <v>679</v>
      </c>
      <c r="B119" s="231"/>
      <c r="C119" s="246"/>
      <c r="D119" s="247"/>
      <c r="E119" s="17"/>
    </row>
    <row r="120" spans="1:8">
      <c r="A120" s="230" t="s">
        <v>680</v>
      </c>
      <c r="B120" s="231"/>
      <c r="C120" s="246"/>
      <c r="D120" s="247"/>
      <c r="E120" s="17"/>
    </row>
    <row r="121" spans="1:8" ht="24.9" customHeight="1">
      <c r="A121" s="230" t="s">
        <v>681</v>
      </c>
      <c r="B121" s="231"/>
      <c r="C121" s="246"/>
      <c r="D121" s="247"/>
      <c r="E121" s="17"/>
    </row>
    <row r="122" spans="1:8">
      <c r="A122" s="230" t="s">
        <v>682</v>
      </c>
      <c r="B122" s="231"/>
      <c r="C122" s="246"/>
      <c r="D122" s="247"/>
      <c r="E122" s="17"/>
    </row>
    <row r="123" spans="1:8">
      <c r="A123" s="230" t="s">
        <v>683</v>
      </c>
      <c r="B123" s="231"/>
      <c r="C123" s="246"/>
      <c r="D123" s="247"/>
      <c r="E123" s="17"/>
    </row>
    <row r="124" spans="1:8">
      <c r="A124" s="230" t="s">
        <v>684</v>
      </c>
      <c r="B124" s="231"/>
      <c r="C124" s="246"/>
      <c r="D124" s="247"/>
      <c r="E124" s="17"/>
    </row>
    <row r="125" spans="1:8">
      <c r="A125" s="230" t="s">
        <v>685</v>
      </c>
      <c r="B125" s="231"/>
      <c r="C125" s="246"/>
      <c r="D125" s="247"/>
      <c r="E125" s="17"/>
    </row>
    <row r="126" spans="1:8">
      <c r="A126" s="230" t="s">
        <v>686</v>
      </c>
      <c r="B126" s="231"/>
      <c r="C126" s="246"/>
      <c r="D126" s="247"/>
      <c r="E126" s="17"/>
    </row>
    <row r="127" spans="1:8">
      <c r="A127" s="230" t="s">
        <v>687</v>
      </c>
      <c r="B127" s="231"/>
      <c r="C127" s="246"/>
      <c r="D127" s="247"/>
      <c r="E127" s="17"/>
    </row>
    <row r="128" spans="1:8">
      <c r="A128" s="230" t="s">
        <v>688</v>
      </c>
      <c r="B128" s="231"/>
      <c r="C128" s="246"/>
      <c r="D128" s="247"/>
      <c r="E128" s="17"/>
    </row>
    <row r="129" spans="1:8">
      <c r="A129" s="230" t="s">
        <v>689</v>
      </c>
      <c r="B129" s="231"/>
      <c r="C129" s="246"/>
      <c r="D129" s="247"/>
      <c r="E129" s="17"/>
    </row>
    <row r="130" spans="1:8">
      <c r="A130" s="230" t="s">
        <v>690</v>
      </c>
      <c r="B130" s="231"/>
      <c r="C130" s="246"/>
      <c r="D130" s="247"/>
      <c r="E130" s="17"/>
    </row>
    <row r="131" spans="1:8">
      <c r="A131" s="230" t="s">
        <v>691</v>
      </c>
      <c r="B131" s="231"/>
      <c r="C131" s="246"/>
      <c r="D131" s="247"/>
      <c r="E131" s="17"/>
    </row>
    <row r="134" spans="1:8" ht="30" customHeight="1">
      <c r="A134" s="245" t="s">
        <v>692</v>
      </c>
      <c r="B134" s="236"/>
      <c r="C134" s="243" t="s">
        <v>693</v>
      </c>
      <c r="D134" s="244"/>
      <c r="E134" s="15"/>
      <c r="F134" s="15"/>
      <c r="G134" s="15"/>
      <c r="H134" s="15"/>
    </row>
    <row r="135" spans="1:8">
      <c r="A135" s="245" t="s">
        <v>694</v>
      </c>
      <c r="B135" s="236" t="s">
        <v>695</v>
      </c>
      <c r="C135" s="243" t="s">
        <v>18</v>
      </c>
      <c r="D135" s="244" t="s">
        <v>696</v>
      </c>
    </row>
    <row r="136" spans="1:8">
      <c r="A136" s="230" t="s">
        <v>697</v>
      </c>
      <c r="B136" s="236">
        <f>PV_Canonical_Industry</f>
        <v>0</v>
      </c>
      <c r="C136" s="246" t="s">
        <v>698</v>
      </c>
      <c r="D136" s="247" t="s">
        <v>699</v>
      </c>
    </row>
    <row r="137" spans="1:8">
      <c r="A137" s="230" t="s">
        <v>700</v>
      </c>
      <c r="B137" s="236" t="str">
        <f>PV_Org_Type</f>
        <v>Generic Organization</v>
      </c>
      <c r="C137" s="246" t="s">
        <v>701</v>
      </c>
      <c r="D137" s="247" t="s">
        <v>702</v>
      </c>
    </row>
    <row r="138" spans="1:8">
      <c r="A138" s="230" t="s">
        <v>703</v>
      </c>
      <c r="B138" s="236">
        <f>PV_Physical_Footprint_Intensity</f>
        <v>0</v>
      </c>
      <c r="C138" s="246" t="s">
        <v>704</v>
      </c>
      <c r="D138" s="247" t="s">
        <v>705</v>
      </c>
    </row>
    <row r="139" spans="1:8">
      <c r="A139" s="230" t="s">
        <v>706</v>
      </c>
      <c r="B139" s="236">
        <f>PV_Cloud_Dependency</f>
        <v>0</v>
      </c>
      <c r="C139" s="246" t="s">
        <v>707</v>
      </c>
      <c r="D139" s="247" t="s">
        <v>708</v>
      </c>
    </row>
    <row r="140" spans="1:8">
      <c r="A140" s="230" t="s">
        <v>709</v>
      </c>
      <c r="B140" s="236">
        <f>PV_Data_Criticality</f>
        <v>2</v>
      </c>
      <c r="C140" s="246" t="s">
        <v>710</v>
      </c>
      <c r="D140" s="247" t="s">
        <v>711</v>
      </c>
    </row>
    <row r="141" spans="1:8">
      <c r="A141" s="230" t="s">
        <v>712</v>
      </c>
      <c r="B141" s="236">
        <f>PV_Regulatory_Intensity</f>
        <v>0</v>
      </c>
      <c r="C141" s="246" t="s">
        <v>713</v>
      </c>
      <c r="D141" s="247" t="s">
        <v>714</v>
      </c>
    </row>
    <row r="142" spans="1:8">
      <c r="A142" s="230" t="s">
        <v>715</v>
      </c>
      <c r="B142" s="236">
        <f>PV_Customer_Concentration</f>
        <v>0</v>
      </c>
      <c r="C142" s="246" t="s">
        <v>716</v>
      </c>
      <c r="D142" s="247" t="s">
        <v>717</v>
      </c>
    </row>
    <row r="143" spans="1:8">
      <c r="A143" s="230" t="s">
        <v>718</v>
      </c>
      <c r="B143" s="236">
        <f>PV_Supplier_Dependency</f>
        <v>0</v>
      </c>
      <c r="C143" s="246" t="s">
        <v>719</v>
      </c>
      <c r="D143" s="247" t="s">
        <v>720</v>
      </c>
    </row>
    <row r="144" spans="1:8">
      <c r="A144" s="230" t="s">
        <v>721</v>
      </c>
      <c r="B144" s="236">
        <f>PV_Remote_Work_Readiness</f>
        <v>0</v>
      </c>
      <c r="C144" s="246" t="s">
        <v>722</v>
      </c>
      <c r="D144" s="247" t="s">
        <v>723</v>
      </c>
    </row>
    <row r="145" spans="1:8">
      <c r="A145" s="230" t="s">
        <v>724</v>
      </c>
      <c r="B145" s="236">
        <f>PV_Critical_People_Dependency</f>
        <v>0</v>
      </c>
      <c r="C145" s="246" t="s">
        <v>725</v>
      </c>
      <c r="D145" s="247" t="s">
        <v>726</v>
      </c>
    </row>
    <row r="146" spans="1:8">
      <c r="A146" s="230" t="s">
        <v>727</v>
      </c>
      <c r="B146" s="236">
        <f>PV_Financial_Buffer</f>
        <v>0</v>
      </c>
      <c r="C146" s="246" t="s">
        <v>728</v>
      </c>
      <c r="D146" s="247" t="s">
        <v>729</v>
      </c>
    </row>
    <row r="147" spans="1:8">
      <c r="A147" s="230" t="s">
        <v>730</v>
      </c>
      <c r="B147" s="236">
        <f>PV_Change_Capacity</f>
        <v>0</v>
      </c>
      <c r="C147" s="246" t="s">
        <v>731</v>
      </c>
      <c r="D147" s="247" t="s">
        <v>732</v>
      </c>
    </row>
    <row r="148" spans="1:8">
      <c r="A148" s="230" t="s">
        <v>733</v>
      </c>
      <c r="B148" s="236">
        <f>PV_Selected_Crisis_Scenario</f>
        <v>0</v>
      </c>
      <c r="C148" s="246" t="s">
        <v>734</v>
      </c>
      <c r="D148" s="247" t="s">
        <v>735</v>
      </c>
    </row>
    <row r="149" spans="1:8">
      <c r="A149" s="230" t="s">
        <v>736</v>
      </c>
      <c r="B149" s="236">
        <f>PV_Crisis_Severity</f>
        <v>0</v>
      </c>
      <c r="C149" s="246" t="s">
        <v>737</v>
      </c>
      <c r="D149" s="247" t="s">
        <v>738</v>
      </c>
    </row>
    <row r="152" spans="1:8" ht="30" customHeight="1">
      <c r="A152" s="245" t="s">
        <v>739</v>
      </c>
      <c r="B152" s="236"/>
      <c r="C152" s="243" t="s">
        <v>740</v>
      </c>
      <c r="D152" s="244"/>
      <c r="E152" s="15"/>
      <c r="F152" s="15"/>
      <c r="G152" s="15"/>
      <c r="H152" s="15"/>
    </row>
    <row r="153" spans="1:8">
      <c r="A153" s="245" t="s">
        <v>741</v>
      </c>
      <c r="B153" s="236" t="s">
        <v>742</v>
      </c>
      <c r="C153" s="243" t="s">
        <v>743</v>
      </c>
      <c r="D153" s="244" t="s">
        <v>744</v>
      </c>
    </row>
    <row r="154" spans="1:8">
      <c r="A154" s="230" t="s">
        <v>745</v>
      </c>
      <c r="B154" s="231" t="s">
        <v>746</v>
      </c>
      <c r="C154" s="246" t="s">
        <v>747</v>
      </c>
      <c r="D154" s="247" t="s">
        <v>748</v>
      </c>
    </row>
    <row r="155" spans="1:8">
      <c r="A155" s="230" t="s">
        <v>749</v>
      </c>
      <c r="B155" s="231" t="s">
        <v>746</v>
      </c>
      <c r="C155" s="246" t="s">
        <v>750</v>
      </c>
      <c r="D155" s="247" t="s">
        <v>751</v>
      </c>
    </row>
    <row r="156" spans="1:8">
      <c r="A156" s="230" t="s">
        <v>752</v>
      </c>
      <c r="B156" s="231" t="s">
        <v>746</v>
      </c>
      <c r="C156" s="246" t="s">
        <v>753</v>
      </c>
      <c r="D156" s="247" t="s">
        <v>754</v>
      </c>
    </row>
    <row r="157" spans="1:8">
      <c r="A157" s="230" t="s">
        <v>755</v>
      </c>
      <c r="B157" s="231" t="s">
        <v>746</v>
      </c>
      <c r="C157" s="246" t="s">
        <v>756</v>
      </c>
      <c r="D157" s="247" t="s">
        <v>757</v>
      </c>
    </row>
    <row r="158" spans="1:8">
      <c r="A158" s="230" t="s">
        <v>758</v>
      </c>
      <c r="B158" s="231" t="s">
        <v>759</v>
      </c>
      <c r="C158" s="246" t="s">
        <v>699</v>
      </c>
      <c r="D158" s="247" t="s">
        <v>760</v>
      </c>
    </row>
    <row r="159" spans="1:8">
      <c r="A159" s="230" t="s">
        <v>761</v>
      </c>
      <c r="B159" s="231" t="s">
        <v>759</v>
      </c>
      <c r="C159" s="246" t="s">
        <v>699</v>
      </c>
      <c r="D159" s="247" t="s">
        <v>760</v>
      </c>
    </row>
  </sheetData>
  <autoFilter ref="A4:D36" xr:uid="{00000000-0009-0000-0000-000001000000}"/>
  <mergeCells count="4">
    <mergeCell ref="F5:H9"/>
    <mergeCell ref="A38:H38"/>
    <mergeCell ref="A2:H2"/>
    <mergeCell ref="A1:H1"/>
  </mergeCells>
  <dataValidations count="41">
    <dataValidation type="list" allowBlank="1" errorTitle="Controlled input" error="Select a value from INDUSTRY_CANONICAL." promptTitle="RR Profile controlled input" prompt="Use controlled list: INDUSTRY_CANONICAL" sqref="B9" xr:uid="{00000000-0002-0000-0100-000000000000}">
      <formula1>DV_INDUSTRY_CANONICAL</formula1>
    </dataValidation>
    <dataValidation type="list" allowBlank="1" errorTitle="Controlled input" error="Select a value from SUB_INDUSTRY_BY_INDUSTRY." promptTitle="RR Profile controlled input" prompt="Use controlled list: SUB_INDUSTRY_BY_INDUSTRY" sqref="B10" xr:uid="{00000000-0002-0000-0100-000001000000}">
      <formula1>DV_SUB_INDUSTRY_BY_INDUSTRY</formula1>
    </dataValidation>
    <dataValidation type="list" allowBlank="1" errorTitle="Controlled input" error="Select a value from COUNTRY." promptTitle="RR Profile controlled input" prompt="Use controlled list: COUNTRY" sqref="B11" xr:uid="{00000000-0002-0000-0100-000002000000}">
      <formula1>DV_COUNTRY</formula1>
    </dataValidation>
    <dataValidation type="list" allowBlank="1" errorTitle="Controlled input" error="Select a value from GEOGRAPHIC_FOOTPRINT." promptTitle="RR Profile controlled input" prompt="Use controlled list: GEOGRAPHIC_FOOTPRINT" sqref="B12 B73" xr:uid="{00000000-0002-0000-0100-000003000000}">
      <formula1>DV_GEOGRAPHIC_FOOTPRINT</formula1>
    </dataValidation>
    <dataValidation type="list" allowBlank="1" errorTitle="Controlled input" error="Select a value from OWNERSHIP_TYPE." promptTitle="RR Profile controlled input" prompt="Use controlled list: OWNERSHIP_TYPE" sqref="B13" xr:uid="{00000000-0002-0000-0100-000004000000}">
      <formula1>DV_OWNERSHIP_TYPE</formula1>
    </dataValidation>
    <dataValidation type="list" allowBlank="1" errorTitle="Controlled input" error="Select a value from LEGAL_ENTITY_COMPLEXITY." promptTitle="RR Profile controlled input" prompt="Use controlled list: LEGAL_ENTITY_COMPLEXITY" sqref="B14" xr:uid="{00000000-0002-0000-0100-000005000000}">
      <formula1>DV_LEGAL_ENTITY_COMPLEXITY</formula1>
    </dataValidation>
    <dataValidation type="whole" operator="greaterThanOrEqual" allowBlank="1" errorTitle="Employee count" error="Enter a non-negative whole number." sqref="B15" xr:uid="{00000000-0002-0000-0100-000006000000}">
      <formula1>0</formula1>
    </dataValidation>
    <dataValidation type="list" allowBlank="1" errorTitle="Controlled input" error="Select a value from OPERATING_MODEL." promptTitle="RR Profile controlled input" prompt="Use controlled list: OPERATING_MODEL" sqref="B17" xr:uid="{00000000-0002-0000-0100-000007000000}">
      <formula1>DV_OPERATING_MODEL</formula1>
    </dataValidation>
    <dataValidation type="list" allowBlank="1" errorTitle="Controlled input" error="Select a value from BUSINESS_MODEL." promptTitle="RR Profile controlled input" prompt="Use controlled list: BUSINESS_MODEL" sqref="B18" xr:uid="{00000000-0002-0000-0100-000008000000}">
      <formula1>DV_BUSINESS_MODEL</formula1>
    </dataValidation>
    <dataValidation type="list" allowBlank="1" errorTitle="Controlled input" error="Select a value from ICP_SEGMENT." promptTitle="RR Profile controlled input" prompt="Use controlled list: ICP_SEGMENT" sqref="B20" xr:uid="{00000000-0002-0000-0100-000009000000}">
      <formula1>DV_ICP_SEGMENT</formula1>
    </dataValidation>
    <dataValidation type="list" allowBlank="1" errorTitle="Controlled input" error="Select a value from MARKET_CONCENTRATION." promptTitle="RR Profile controlled input" prompt="Use controlled list: MARKET_CONCENTRATION" sqref="B21" xr:uid="{00000000-0002-0000-0100-00000A000000}">
      <formula1>DV_MARKET_CONCENTRATION</formula1>
    </dataValidation>
    <dataValidation type="list" allowBlank="1" errorTitle="Controlled input" error="Select a value from CRITICAL_PEOPLE_DEPENDENCY." promptTitle="RR Profile controlled input" prompt="Use controlled list: CRITICAL_PEOPLE_DEPENDENCY" sqref="B24" xr:uid="{00000000-0002-0000-0100-00000B000000}">
      <formula1>DV_CRITICAL_PEOPLE_DEPENDENCY</formula1>
    </dataValidation>
    <dataValidation type="list" allowBlank="1" errorTitle="Controlled input" error="Select a value from REGULATORY_INTENSITY." promptTitle="RR Profile controlled input" prompt="Use controlled list: REGULATORY_INTENSITY" sqref="B25" xr:uid="{00000000-0002-0000-0100-00000C000000}">
      <formula1>DV_REGULATORY_INTENSITY</formula1>
    </dataValidation>
    <dataValidation type="list" allowBlank="1" errorTitle="Controlled input" error="Select a value from REGULATION_FAMILY." promptTitle="RR Profile controlled input" prompt="Use controlled list: REGULATION_FAMILY" sqref="B26" xr:uid="{00000000-0002-0000-0100-00000D000000}">
      <formula1>DV_REGULATION_FAMILY</formula1>
    </dataValidation>
    <dataValidation type="list" allowBlank="1" errorTitle="Controlled input" error="Select a value from CORE_SYSTEM_FAMILY." promptTitle="RR Profile controlled input" prompt="Use controlled list: CORE_SYSTEM_FAMILY" sqref="A117:A131 B27" xr:uid="{00000000-0002-0000-0100-00000E000000}">
      <formula1>DV_CORE_SYSTEM_FAMILY</formula1>
    </dataValidation>
    <dataValidation type="list" allowBlank="1" errorTitle="Controlled input" error="Select a value from CLOUD_MODEL." promptTitle="RR Profile controlled input" prompt="Use controlled list: CLOUD_MODEL" sqref="B28" xr:uid="{00000000-0002-0000-0100-00000F000000}">
      <formula1>DV_CLOUD_MODEL</formula1>
    </dataValidation>
    <dataValidation type="list" allowBlank="1" errorTitle="Controlled input" error="Select a value from MATURITY_TARGET." promptTitle="RR Profile controlled input" prompt="Use controlled list: MATURITY_TARGET" sqref="B31:B33" xr:uid="{00000000-0002-0000-0100-000010000000}">
      <formula1>DV_MATURITY_TARGET</formula1>
    </dataValidation>
    <dataValidation type="list" allowBlank="1" errorTitle="Controlled input" error="Select a value from ASSESSMENT_CADENCE." promptTitle="RR Profile controlled input" prompt="Use controlled list: ASSESSMENT_CADENCE" sqref="B34" xr:uid="{00000000-0002-0000-0100-000011000000}">
      <formula1>DV_ASSESSMENT_CADENCE</formula1>
    </dataValidation>
    <dataValidation type="list" allowBlank="1" errorTitle="Controlled input" error="Select a value from RISK_APPETITE." promptTitle="RR Profile controlled input" prompt="Use controlled list: RISK_APPETITE" sqref="B35" xr:uid="{00000000-0002-0000-0100-000012000000}">
      <formula1>DV_RISK_APPETITE</formula1>
    </dataValidation>
    <dataValidation type="list" allowBlank="1" errorTitle="Controlled input" error="Select a value from CONFIDENCE_LEVEL." promptTitle="RR Profile controlled input" prompt="Use controlled list: CONFIDENCE_LEVEL" sqref="B40:B41" xr:uid="{00000000-0002-0000-0100-000013000000}">
      <formula1>DV_CONFIDENCE_LEVEL</formula1>
    </dataValidation>
    <dataValidation type="list" allowBlank="1" errorTitle="Controlled input" error="Select a value from REVENUE_MODEL." promptTitle="RR Profile controlled input" prompt="Use controlled list: REVENUE_MODEL" sqref="B50:B51" xr:uid="{00000000-0002-0000-0100-000014000000}">
      <formula1>DV_REVENUE_MODEL</formula1>
    </dataValidation>
    <dataValidation type="list" allowBlank="1" errorTitle="Controlled input" error="Select a value from REVENUE_RECURRENCE." promptTitle="RR Profile controlled input" prompt="Use controlled list: REVENUE_RECURRENCE" sqref="B52" xr:uid="{00000000-0002-0000-0100-000015000000}">
      <formula1>DV_REVENUE_RECURRENCE</formula1>
    </dataValidation>
    <dataValidation type="list" allowBlank="1" errorTitle="Controlled input" error="Select a value from SALES_MOTION." promptTitle="RR Profile controlled input" prompt="Use controlled list: SALES_MOTION" sqref="B53" xr:uid="{00000000-0002-0000-0100-000016000000}">
      <formula1>DV_SALES_MOTION</formula1>
    </dataValidation>
    <dataValidation type="list" allowBlank="1" errorTitle="Controlled input" error="Select a value from CONCENTRATION_BAND." promptTitle="RR Profile controlled input" prompt="Use controlled list: CONCENTRATION_BAND" sqref="B54:B58 B74:B75" xr:uid="{00000000-0002-0000-0100-000017000000}">
      <formula1>DV_CONCENTRATION_BAND</formula1>
    </dataValidation>
    <dataValidation type="list" allowBlank="1" errorTitle="Controlled input" error="Select a value from SUPPLIER_SUBSTITUTABILITY." promptTitle="RR Profile controlled input" prompt="Use controlled list: SUPPLIER_SUBSTITUTABILITY" sqref="B59" xr:uid="{00000000-0002-0000-0100-000018000000}">
      <formula1>DV_SUPPLIER_SUBSTITUTABILITY</formula1>
    </dataValidation>
    <dataValidation type="list" allowBlank="1" errorTitle="Controlled input" error="Select a value from REMOTE_WORK_READINESS." promptTitle="RR Profile controlled input" prompt="Use controlled list: REMOTE_WORK_READINESS" sqref="B76" xr:uid="{00000000-0002-0000-0100-000019000000}">
      <formula1>DV_REMOTE_WORK_READINESS</formula1>
    </dataValidation>
    <dataValidation type="list" allowBlank="1" errorTitle="Controlled input" error="Select a value from MOBILITY_SUPPORT." promptTitle="RR Profile controlled input" prompt="Use controlled list: MOBILITY_SUPPORT" sqref="B77" xr:uid="{00000000-0002-0000-0100-00001A000000}">
      <formula1>DV_MOBILITY_SUPPORT</formula1>
    </dataValidation>
    <dataValidation type="list" allowBlank="1" errorTitle="Controlled input" error="Select a value from TRANSFORMATION_EXPERIENCE." promptTitle="RR Profile controlled input" prompt="Use controlled list: TRANSFORMATION_EXPERIENCE" sqref="B103" xr:uid="{00000000-0002-0000-0100-00001B000000}">
      <formula1>DV_TRANSFORMATION_EXPERIENCE</formula1>
    </dataValidation>
    <dataValidation type="list" allowBlank="1" errorTitle="Controlled input" error="Select a value from COMPANY_SIZE_BAND." promptTitle="RR Profile controlled input" prompt="Use controlled list: COMPANY_SIZE_BAND" sqref="B105" xr:uid="{00000000-0002-0000-0100-00001C000000}">
      <formula1>DV_COMPANY_SIZE_BAND</formula1>
    </dataValidation>
    <dataValidation type="list" allowBlank="1" errorTitle="Controlled input" error="Select a value from REVENUE_BAND." promptTitle="RR Profile controlled input" prompt="Use controlled list: REVENUE_BAND" sqref="B108" xr:uid="{00000000-0002-0000-0100-00001D000000}">
      <formula1>DV_REVENUE_BAND</formula1>
    </dataValidation>
    <dataValidation type="list" allowBlank="1" errorTitle="Controlled input" error="Select a value from CASH_RUNWAY_BAND." promptTitle="RR Profile controlled input" prompt="Use controlled list: CASH_RUNWAY_BAND" sqref="B110" xr:uid="{00000000-0002-0000-0100-00001E000000}">
      <formula1>DV_CASH_RUNWAY_BAND</formula1>
    </dataValidation>
    <dataValidation type="list" allowBlank="1" errorTitle="Controlled input" error="Select a value from DEBT_LOAD." promptTitle="RR Profile controlled input" prompt="Use controlled list: DEBT_LOAD" sqref="B111" xr:uid="{00000000-0002-0000-0100-00001F000000}">
      <formula1>DV_DEBT_LOAD</formula1>
    </dataValidation>
    <dataValidation type="list" allowBlank="1" errorTitle="Controlled input" error="Select a value from FX_EXPOSURE_BAND." promptTitle="RR Profile controlled input" prompt="Use controlled list: FX_EXPOSURE_BAND" sqref="B112" xr:uid="{00000000-0002-0000-0100-000020000000}">
      <formula1>DV_FX_EXPOSURE_BAND</formula1>
    </dataValidation>
    <dataValidation type="list" allowBlank="1" errorTitle="Controlled input" error="Select a value from LOCATION_CRITICALITY." promptTitle="RR Profile controlled input" prompt="Use controlled list: LOCATION_CRITICALITY" sqref="B63:B70 C117:D131" xr:uid="{00000000-0002-0000-0100-000021000000}">
      <formula1>DV_LOCATION_CRITICALITY</formula1>
    </dataValidation>
    <dataValidation type="list" allowBlank="1" errorTitle="Controlled input" error="Select a value from DISRUPTION_IMPACT." promptTitle="RR Profile controlled input" prompt="Use controlled list: DISRUPTION_IMPACT" sqref="C63:C70" xr:uid="{00000000-0002-0000-0100-000022000000}">
      <formula1>DV_DISRUPTION_IMPACT</formula1>
    </dataValidation>
    <dataValidation type="list" allowBlank="1" errorTitle="Controlled input" error="Select a value from CONTINUITY_OPTION." promptTitle="RR Profile controlled input" prompt="Use controlled list: CONTINUITY_OPTION" sqref="D63:D70" xr:uid="{00000000-0002-0000-0100-000023000000}">
      <formula1>DV_CONTINUITY_OPTION</formula1>
    </dataValidation>
    <dataValidation type="list" allowBlank="1" errorTitle="Controlled input" error="Select a value from CRITICAL_PROCESS_FAMILY." promptTitle="RR Profile controlled input" prompt="Use controlled list: CRITICAL_PROCESS_FAMILY" sqref="B80:B84" xr:uid="{00000000-0002-0000-0100-000024000000}">
      <formula1>DV_CRITICAL_PROCESS_FAMILY</formula1>
    </dataValidation>
    <dataValidation type="list" allowBlank="1" errorTitle="Controlled input" error="Select a value from CRITICAL_PRODUCT_SERVICE_TYPE." promptTitle="RR Profile controlled input" prompt="Use controlled list: CRITICAL_PRODUCT_SERVICE_TYPE" sqref="B87:B91" xr:uid="{00000000-0002-0000-0100-000025000000}">
      <formula1>DV_CRITICAL_PRODUCT_SERVICE_TYPE</formula1>
    </dataValidation>
    <dataValidation type="list" allowBlank="1" errorTitle="Controlled input" error="Select a value from CRISIS_HISTORY_IMPACT." promptTitle="RR Profile controlled input" prompt="Use controlled list: CRISIS_HISTORY_IMPACT" sqref="B95:B99" xr:uid="{00000000-0002-0000-0100-000026000000}">
      <formula1>DV_CRISIS_HISTORY_IMPACT</formula1>
    </dataValidation>
    <dataValidation type="decimal" allowBlank="1" errorTitle="Gross margin %" error="Enter gross margin as decimal between 0 and 1 (e.g., 0.35)." sqref="B109" xr:uid="{00000000-0002-0000-0100-000027000000}">
      <formula1>0</formula1>
      <formula2>1</formula2>
    </dataValidation>
    <dataValidation type="list" allowBlank="1" sqref="B117:B131" xr:uid="{00000000-0002-0000-0100-000028000000}">
      <formula1>DV_YES_NO_PLANNED_UNKNOWN</formula1>
    </dataValidation>
  </dataValidations>
  <pageMargins left="0.75" right="0.75" top="1" bottom="1" header="0.5" footer="0.5"/>
  <pageSetup fitToHeight="0" orientation="landscape"/>
  <headerFooter>
    <oddFooter>&amp;R© Roman Reznikov / RR-framework — CC BY-NC-SA 4.0 — For authorized use only</oddFooter>
    <evenFooter>&amp;R© Roman Reznikov / RR-framework — CC BY-NC-SA 4.0 — For authorized use only</evenFooter>
    <firstFooter>&amp;R© Roman Reznikov / RR-framework — CC BY-NC-SA 4.0 — For authorized use only</first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538135"/>
    <pageSetUpPr fitToPage="1"/>
  </sheetPr>
  <dimension ref="A1:AY428"/>
  <sheetViews>
    <sheetView showGridLines="0" zoomScale="50" zoomScaleNormal="50" workbookViewId="0">
      <pane xSplit="6" ySplit="4" topLeftCell="G5" activePane="bottomRight" state="frozen"/>
      <selection pane="topRight"/>
      <selection pane="bottomLeft"/>
      <selection pane="bottomRight" activeCell="O24" sqref="O24"/>
    </sheetView>
  </sheetViews>
  <sheetFormatPr defaultRowHeight="14.15" outlineLevelCol="1"/>
  <cols>
    <col min="1" max="1" width="20" customWidth="1"/>
    <col min="2" max="2" width="18" hidden="1" customWidth="1" outlineLevel="1"/>
    <col min="3" max="4" width="13" hidden="1" customWidth="1" outlineLevel="1"/>
    <col min="5" max="5" width="18" customWidth="1"/>
    <col min="6" max="6" width="55" customWidth="1"/>
    <col min="7" max="7" width="32" customWidth="1"/>
    <col min="8" max="8" width="32" hidden="1" customWidth="1" outlineLevel="1"/>
    <col min="9" max="9" width="13" hidden="1" customWidth="1" outlineLevel="1"/>
    <col min="10" max="10" width="12" hidden="1" customWidth="1" outlineLevel="1"/>
    <col min="11" max="11" width="24" hidden="1" customWidth="1" outlineLevel="1"/>
    <col min="12" max="14" width="13" hidden="1" customWidth="1" outlineLevel="1"/>
    <col min="15" max="15" width="12" customWidth="1"/>
    <col min="16" max="16" width="28" hidden="1" customWidth="1" outlineLevel="1"/>
    <col min="17" max="22" width="13" hidden="1" customWidth="1" outlineLevel="1"/>
    <col min="23" max="23" width="18" hidden="1" customWidth="1" outlineLevel="1"/>
    <col min="24" max="24" width="42" hidden="1" customWidth="1" outlineLevel="1"/>
    <col min="25" max="25" width="13" hidden="1" customWidth="1" outlineLevel="1"/>
    <col min="26" max="26" width="12" hidden="1" customWidth="1" outlineLevel="1"/>
    <col min="27" max="28" width="13" hidden="1" customWidth="1" outlineLevel="1"/>
    <col min="29" max="29" width="24" customWidth="1"/>
    <col min="30" max="30" width="18" hidden="1" customWidth="1" outlineLevel="1"/>
    <col min="31" max="36" width="13" hidden="1" customWidth="1" outlineLevel="1"/>
    <col min="37" max="37" width="15" hidden="1" customWidth="1" outlineLevel="1"/>
    <col min="38" max="50" width="13" hidden="1" customWidth="1" outlineLevel="1"/>
    <col min="51" max="51" width="20" hidden="1" customWidth="1" outlineLevel="1"/>
  </cols>
  <sheetData>
    <row r="1" spans="1:51" ht="25.95" customHeight="1">
      <c r="A1" s="250" t="s">
        <v>200</v>
      </c>
      <c r="B1" s="84"/>
      <c r="C1" s="84"/>
      <c r="D1" s="84"/>
      <c r="E1" s="84"/>
      <c r="F1" s="84"/>
      <c r="G1" s="84"/>
      <c r="H1" s="84"/>
      <c r="I1" s="84"/>
      <c r="J1" s="84"/>
      <c r="K1" s="84"/>
      <c r="L1" s="84"/>
      <c r="M1" s="84"/>
      <c r="N1" s="84"/>
      <c r="O1" s="84"/>
      <c r="P1" s="84"/>
      <c r="Q1" s="84"/>
      <c r="R1" s="84"/>
      <c r="S1" s="84"/>
      <c r="T1" s="84"/>
      <c r="U1" s="84"/>
      <c r="V1" s="84"/>
    </row>
    <row r="2" spans="1:51" ht="34.1" customHeight="1">
      <c r="A2" s="251" t="s">
        <v>762</v>
      </c>
      <c r="B2" s="77"/>
      <c r="C2" s="77"/>
      <c r="D2" s="77"/>
      <c r="E2" s="77"/>
      <c r="F2" s="77"/>
      <c r="G2" s="77"/>
      <c r="H2" s="77"/>
      <c r="I2" s="77"/>
      <c r="J2" s="77"/>
      <c r="K2" s="77"/>
      <c r="L2" s="77"/>
      <c r="M2" s="77"/>
      <c r="N2" s="77"/>
      <c r="O2" s="77"/>
      <c r="P2" s="77"/>
      <c r="Q2" s="77"/>
      <c r="R2" s="77"/>
      <c r="S2" s="77"/>
      <c r="T2" s="77"/>
      <c r="U2" s="77"/>
      <c r="V2" s="77"/>
    </row>
    <row r="3" spans="1:51" ht="14.4" customHeight="1">
      <c r="A3" s="100" t="str">
        <f>HYPERLINK("#'Guidelines'!A1","⌂ Guidelines")</f>
        <v>⌂ Guidelines</v>
      </c>
      <c r="C3" s="98" t="s">
        <v>763</v>
      </c>
    </row>
    <row r="4" spans="1:51" ht="24" customHeight="1">
      <c r="A4" s="252" t="s">
        <v>764</v>
      </c>
      <c r="B4" s="252" t="s">
        <v>765</v>
      </c>
      <c r="C4" s="252" t="s">
        <v>766</v>
      </c>
      <c r="D4" s="252" t="s">
        <v>767</v>
      </c>
      <c r="E4" s="252" t="s">
        <v>768</v>
      </c>
      <c r="F4" s="252" t="s">
        <v>769</v>
      </c>
      <c r="G4" s="252" t="s">
        <v>770</v>
      </c>
      <c r="H4" s="252" t="s">
        <v>771</v>
      </c>
      <c r="I4" s="252" t="s">
        <v>772</v>
      </c>
      <c r="J4" s="252" t="s">
        <v>773</v>
      </c>
      <c r="K4" s="252" t="s">
        <v>774</v>
      </c>
      <c r="L4" s="252" t="s">
        <v>775</v>
      </c>
      <c r="M4" s="252" t="s">
        <v>776</v>
      </c>
      <c r="N4" s="252" t="s">
        <v>777</v>
      </c>
      <c r="O4" s="261" t="s">
        <v>778</v>
      </c>
      <c r="P4" s="252" t="s">
        <v>779</v>
      </c>
      <c r="Q4" s="252" t="s">
        <v>780</v>
      </c>
      <c r="R4" s="252" t="s">
        <v>781</v>
      </c>
      <c r="S4" s="252" t="s">
        <v>782</v>
      </c>
      <c r="T4" s="252" t="s">
        <v>783</v>
      </c>
      <c r="U4" s="252" t="s">
        <v>784</v>
      </c>
      <c r="V4" s="252" t="s">
        <v>785</v>
      </c>
      <c r="W4" s="252" t="s">
        <v>786</v>
      </c>
      <c r="X4" s="252" t="s">
        <v>787</v>
      </c>
      <c r="Y4" s="252" t="s">
        <v>788</v>
      </c>
      <c r="Z4" s="252" t="s">
        <v>789</v>
      </c>
      <c r="AA4" s="252" t="s">
        <v>790</v>
      </c>
      <c r="AB4" s="252" t="s">
        <v>791</v>
      </c>
      <c r="AC4" s="262" t="s">
        <v>792</v>
      </c>
      <c r="AD4" s="252" t="s">
        <v>793</v>
      </c>
      <c r="AE4" s="252" t="s">
        <v>794</v>
      </c>
      <c r="AF4" s="252" t="s">
        <v>795</v>
      </c>
      <c r="AG4" s="252" t="s">
        <v>796</v>
      </c>
      <c r="AH4" s="252" t="s">
        <v>797</v>
      </c>
      <c r="AI4" s="252" t="s">
        <v>798</v>
      </c>
      <c r="AJ4" s="252" t="s">
        <v>799</v>
      </c>
      <c r="AK4" s="252" t="s">
        <v>800</v>
      </c>
      <c r="AL4" s="252" t="s">
        <v>801</v>
      </c>
      <c r="AM4" s="252" t="s">
        <v>802</v>
      </c>
      <c r="AN4" s="252" t="s">
        <v>803</v>
      </c>
      <c r="AO4" s="252" t="s">
        <v>804</v>
      </c>
      <c r="AP4" s="252" t="s">
        <v>805</v>
      </c>
      <c r="AQ4" s="252" t="s">
        <v>806</v>
      </c>
      <c r="AR4" s="252" t="s">
        <v>807</v>
      </c>
      <c r="AS4" s="252" t="s">
        <v>808</v>
      </c>
      <c r="AT4" s="252" t="s">
        <v>809</v>
      </c>
      <c r="AU4" s="252" t="s">
        <v>810</v>
      </c>
      <c r="AV4" s="252" t="s">
        <v>811</v>
      </c>
      <c r="AW4" s="252" t="s">
        <v>812</v>
      </c>
      <c r="AX4" s="252" t="s">
        <v>813</v>
      </c>
      <c r="AY4" s="252" t="s">
        <v>814</v>
      </c>
    </row>
    <row r="5" spans="1:51" ht="96.65" customHeight="1">
      <c r="A5" t="s">
        <v>815</v>
      </c>
      <c r="B5" t="s">
        <v>815</v>
      </c>
      <c r="C5">
        <v>5</v>
      </c>
      <c r="D5" s="2" t="s">
        <v>816</v>
      </c>
      <c r="E5" s="2" t="s">
        <v>817</v>
      </c>
      <c r="F5" s="2" t="s">
        <v>818</v>
      </c>
      <c r="G5" s="2" t="s">
        <v>819</v>
      </c>
      <c r="H5" s="2" t="s">
        <v>820</v>
      </c>
      <c r="I5" s="2" t="s">
        <v>821</v>
      </c>
      <c r="J5" s="253">
        <v>3</v>
      </c>
      <c r="K5" s="49">
        <f>_DATA_Assessment_Model!H5</f>
        <v>0</v>
      </c>
      <c r="L5" s="3">
        <f>_DATA_Assessment_Model!I5</f>
        <v>0</v>
      </c>
      <c r="M5" s="3">
        <f>_DATA_Assessment_Model!J5</f>
        <v>3</v>
      </c>
      <c r="N5" s="3">
        <f>_DATA_Assessment_Model!K5</f>
        <v>3</v>
      </c>
      <c r="O5" s="2" t="str">
        <f>_DATA_Assessment_Model!L5</f>
        <v>Critical</v>
      </c>
      <c r="P5" s="2" t="s">
        <v>822</v>
      </c>
      <c r="Q5" s="2" t="s">
        <v>823</v>
      </c>
      <c r="R5" s="2" t="s">
        <v>824</v>
      </c>
      <c r="S5" s="2" t="s">
        <v>825</v>
      </c>
      <c r="T5" s="2" t="s">
        <v>826</v>
      </c>
      <c r="U5" s="2" t="s">
        <v>827</v>
      </c>
      <c r="V5" s="2" t="s">
        <v>828</v>
      </c>
      <c r="W5" s="253"/>
      <c r="X5" s="253"/>
      <c r="Y5" s="253" t="s">
        <v>829</v>
      </c>
      <c r="Z5" s="6">
        <v>4</v>
      </c>
      <c r="AA5" s="6">
        <v>5</v>
      </c>
      <c r="AB5" s="6">
        <v>5</v>
      </c>
      <c r="AC5" s="254"/>
      <c r="AD5" t="s">
        <v>817</v>
      </c>
      <c r="AE5" s="5">
        <f>_DATA_Assessment_Model!AB5</f>
        <v>7</v>
      </c>
      <c r="AF5" s="7">
        <f>_DATA_Assessment_Model!AC5</f>
        <v>0</v>
      </c>
      <c r="AG5" s="8">
        <f>_DATA_Assessment_Model!AD5</f>
        <v>0</v>
      </c>
      <c r="AH5" s="5">
        <f>_DATA_Assessment_Model!AE5</f>
        <v>7</v>
      </c>
      <c r="AI5" s="7">
        <f>_DATA_Assessment_Model!AF5</f>
        <v>5</v>
      </c>
      <c r="AJ5" s="5">
        <f>_DATA_Assessment_Model!AG5</f>
        <v>7</v>
      </c>
      <c r="AK5" s="255"/>
      <c r="AL5" s="255"/>
      <c r="AM5" s="14">
        <f>_DATA_Assessment_Model!AJ5</f>
        <v>0.9</v>
      </c>
      <c r="AN5" s="14">
        <f>_DATA_Assessment_Model!AK5</f>
        <v>0.9</v>
      </c>
      <c r="AO5" s="14">
        <f>_DATA_Assessment_Model!AL5</f>
        <v>0</v>
      </c>
      <c r="AP5" s="14">
        <f>_DATA_Assessment_Model!AM5</f>
        <v>0</v>
      </c>
      <c r="AQ5" s="14">
        <f>_DATA_Assessment_Model!AN5</f>
        <v>0</v>
      </c>
      <c r="AR5" s="14">
        <f>_DATA_Assessment_Model!AO5</f>
        <v>0</v>
      </c>
      <c r="AS5" s="14">
        <f>_DATA_Assessment_Model!AP5</f>
        <v>0</v>
      </c>
      <c r="AT5" s="14">
        <f>_DATA_Assessment_Model!AQ5</f>
        <v>0</v>
      </c>
      <c r="AU5" s="14" t="str">
        <f>_DATA_Assessment_Model!AR5</f>
        <v>Within target</v>
      </c>
      <c r="AV5" s="4">
        <f>_DATA_Assessment_Model!AS5</f>
        <v>0</v>
      </c>
      <c r="AW5" s="4">
        <f>_DATA_Assessment_Model!AT5</f>
        <v>0.9</v>
      </c>
      <c r="AX5" s="254"/>
      <c r="AY5">
        <f>_DATA_Assessment_Model!AV5</f>
        <v>0.9</v>
      </c>
    </row>
    <row r="6" spans="1:51" ht="69" customHeight="1">
      <c r="A6" t="s">
        <v>815</v>
      </c>
      <c r="B6" t="s">
        <v>815</v>
      </c>
      <c r="C6">
        <v>6</v>
      </c>
      <c r="D6" s="2" t="s">
        <v>830</v>
      </c>
      <c r="E6" s="2" t="s">
        <v>817</v>
      </c>
      <c r="F6" s="2" t="s">
        <v>831</v>
      </c>
      <c r="G6" s="2" t="s">
        <v>819</v>
      </c>
      <c r="H6" s="2" t="s">
        <v>820</v>
      </c>
      <c r="I6" s="2" t="s">
        <v>832</v>
      </c>
      <c r="J6" s="253">
        <v>5</v>
      </c>
      <c r="K6" s="49">
        <f>_DATA_Assessment_Model!H6</f>
        <v>0</v>
      </c>
      <c r="L6" s="3">
        <f>_DATA_Assessment_Model!I6</f>
        <v>0</v>
      </c>
      <c r="M6" s="3">
        <f>_DATA_Assessment_Model!J6</f>
        <v>5</v>
      </c>
      <c r="N6" s="3">
        <f>_DATA_Assessment_Model!K6</f>
        <v>5</v>
      </c>
      <c r="O6" s="2" t="str">
        <f>_DATA_Assessment_Model!L6</f>
        <v>Critical</v>
      </c>
      <c r="P6" s="2" t="s">
        <v>833</v>
      </c>
      <c r="Q6" s="2" t="s">
        <v>834</v>
      </c>
      <c r="R6" s="2" t="s">
        <v>835</v>
      </c>
      <c r="S6" s="2" t="s">
        <v>836</v>
      </c>
      <c r="T6" s="2" t="s">
        <v>837</v>
      </c>
      <c r="U6" s="2" t="s">
        <v>838</v>
      </c>
      <c r="V6" s="2" t="s">
        <v>828</v>
      </c>
      <c r="W6" s="253"/>
      <c r="X6" s="253"/>
      <c r="Y6" s="253" t="s">
        <v>829</v>
      </c>
      <c r="Z6" s="6">
        <v>4</v>
      </c>
      <c r="AA6" s="6">
        <v>5</v>
      </c>
      <c r="AB6" s="6">
        <v>5</v>
      </c>
      <c r="AC6" s="254"/>
      <c r="AD6" t="s">
        <v>839</v>
      </c>
      <c r="AE6" s="5">
        <f>_DATA_Assessment_Model!AB6</f>
        <v>7</v>
      </c>
      <c r="AF6" s="7">
        <f>_DATA_Assessment_Model!AC6</f>
        <v>0</v>
      </c>
      <c r="AG6" s="8">
        <f>_DATA_Assessment_Model!AD6</f>
        <v>0</v>
      </c>
      <c r="AH6" s="5">
        <f>_DATA_Assessment_Model!AE6</f>
        <v>7</v>
      </c>
      <c r="AI6" s="7">
        <f>_DATA_Assessment_Model!AF6</f>
        <v>5</v>
      </c>
      <c r="AJ6" s="5">
        <f>_DATA_Assessment_Model!AG6</f>
        <v>7</v>
      </c>
      <c r="AK6" s="255"/>
      <c r="AL6" s="255"/>
      <c r="AM6" s="14">
        <f>_DATA_Assessment_Model!AJ6</f>
        <v>0.9</v>
      </c>
      <c r="AN6" s="14">
        <f>_DATA_Assessment_Model!AK6</f>
        <v>0.9</v>
      </c>
      <c r="AO6" s="14">
        <f>_DATA_Assessment_Model!AL6</f>
        <v>0</v>
      </c>
      <c r="AP6" s="14">
        <f>_DATA_Assessment_Model!AM6</f>
        <v>0</v>
      </c>
      <c r="AQ6" s="14">
        <f>_DATA_Assessment_Model!AN6</f>
        <v>0</v>
      </c>
      <c r="AR6" s="14">
        <f>_DATA_Assessment_Model!AO6</f>
        <v>0</v>
      </c>
      <c r="AS6" s="14">
        <f>_DATA_Assessment_Model!AP6</f>
        <v>0</v>
      </c>
      <c r="AT6" s="14">
        <f>_DATA_Assessment_Model!AQ6</f>
        <v>0</v>
      </c>
      <c r="AU6" s="14" t="str">
        <f>_DATA_Assessment_Model!AR6</f>
        <v>Within target</v>
      </c>
      <c r="AV6" s="4">
        <f>_DATA_Assessment_Model!AS6</f>
        <v>0</v>
      </c>
      <c r="AW6" s="4">
        <f>_DATA_Assessment_Model!AT6</f>
        <v>0.9</v>
      </c>
      <c r="AX6" s="254"/>
      <c r="AY6">
        <f>_DATA_Assessment_Model!AV6</f>
        <v>0.9</v>
      </c>
    </row>
    <row r="7" spans="1:51" ht="69" customHeight="1">
      <c r="A7" t="s">
        <v>815</v>
      </c>
      <c r="B7" t="s">
        <v>815</v>
      </c>
      <c r="C7">
        <v>7</v>
      </c>
      <c r="D7" s="2" t="s">
        <v>840</v>
      </c>
      <c r="E7" s="2" t="s">
        <v>817</v>
      </c>
      <c r="F7" s="2" t="s">
        <v>841</v>
      </c>
      <c r="G7" s="2" t="s">
        <v>819</v>
      </c>
      <c r="H7" s="2" t="s">
        <v>820</v>
      </c>
      <c r="I7" s="2" t="s">
        <v>842</v>
      </c>
      <c r="J7" s="253">
        <v>5</v>
      </c>
      <c r="K7" s="49">
        <f>_DATA_Assessment_Model!H7</f>
        <v>0</v>
      </c>
      <c r="L7" s="3">
        <f>_DATA_Assessment_Model!I7</f>
        <v>0</v>
      </c>
      <c r="M7" s="3">
        <f>_DATA_Assessment_Model!J7</f>
        <v>5</v>
      </c>
      <c r="N7" s="3">
        <f>_DATA_Assessment_Model!K7</f>
        <v>5</v>
      </c>
      <c r="O7" s="2" t="str">
        <f>_DATA_Assessment_Model!L7</f>
        <v>Critical</v>
      </c>
      <c r="P7" s="2" t="s">
        <v>833</v>
      </c>
      <c r="Q7" s="2" t="s">
        <v>834</v>
      </c>
      <c r="R7" s="2" t="s">
        <v>835</v>
      </c>
      <c r="S7" s="2" t="s">
        <v>836</v>
      </c>
      <c r="T7" s="2" t="s">
        <v>837</v>
      </c>
      <c r="U7" s="2" t="s">
        <v>838</v>
      </c>
      <c r="V7" s="2" t="s">
        <v>828</v>
      </c>
      <c r="W7" s="253"/>
      <c r="X7" s="253"/>
      <c r="Y7" s="253" t="s">
        <v>829</v>
      </c>
      <c r="Z7" s="6">
        <v>4</v>
      </c>
      <c r="AA7" s="6">
        <v>5</v>
      </c>
      <c r="AB7" s="6">
        <v>5</v>
      </c>
      <c r="AC7" s="254"/>
      <c r="AD7" t="s">
        <v>843</v>
      </c>
      <c r="AE7" s="5">
        <f>_DATA_Assessment_Model!AB7</f>
        <v>5</v>
      </c>
      <c r="AF7" s="7">
        <f>_DATA_Assessment_Model!AC7</f>
        <v>0</v>
      </c>
      <c r="AG7" s="8">
        <f>_DATA_Assessment_Model!AD7</f>
        <v>0</v>
      </c>
      <c r="AH7" s="5">
        <f>_DATA_Assessment_Model!AE7</f>
        <v>5</v>
      </c>
      <c r="AI7" s="7">
        <f>_DATA_Assessment_Model!AF7</f>
        <v>5</v>
      </c>
      <c r="AJ7" s="5">
        <f>_DATA_Assessment_Model!AG7</f>
        <v>5</v>
      </c>
      <c r="AK7" s="255"/>
      <c r="AL7" s="255"/>
      <c r="AM7" s="14">
        <f>_DATA_Assessment_Model!AJ7</f>
        <v>0.9</v>
      </c>
      <c r="AN7" s="14">
        <f>_DATA_Assessment_Model!AK7</f>
        <v>0.9</v>
      </c>
      <c r="AO7" s="14">
        <f>_DATA_Assessment_Model!AL7</f>
        <v>0</v>
      </c>
      <c r="AP7" s="14">
        <f>_DATA_Assessment_Model!AM7</f>
        <v>0</v>
      </c>
      <c r="AQ7" s="14">
        <f>_DATA_Assessment_Model!AN7</f>
        <v>0</v>
      </c>
      <c r="AR7" s="14">
        <f>_DATA_Assessment_Model!AO7</f>
        <v>0</v>
      </c>
      <c r="AS7" s="14">
        <f>_DATA_Assessment_Model!AP7</f>
        <v>0</v>
      </c>
      <c r="AT7" s="14">
        <f>_DATA_Assessment_Model!AQ7</f>
        <v>0</v>
      </c>
      <c r="AU7" s="14" t="str">
        <f>_DATA_Assessment_Model!AR7</f>
        <v>Within target</v>
      </c>
      <c r="AV7" s="4">
        <f>_DATA_Assessment_Model!AS7</f>
        <v>0</v>
      </c>
      <c r="AW7" s="4">
        <f>_DATA_Assessment_Model!AT7</f>
        <v>0.9</v>
      </c>
      <c r="AX7" s="254"/>
      <c r="AY7">
        <f>_DATA_Assessment_Model!AV7</f>
        <v>0.9</v>
      </c>
    </row>
    <row r="8" spans="1:51" ht="96.65" customHeight="1">
      <c r="A8" t="s">
        <v>815</v>
      </c>
      <c r="B8" t="s">
        <v>815</v>
      </c>
      <c r="C8">
        <v>8</v>
      </c>
      <c r="D8" s="2" t="s">
        <v>844</v>
      </c>
      <c r="E8" s="2" t="s">
        <v>817</v>
      </c>
      <c r="F8" s="2" t="s">
        <v>845</v>
      </c>
      <c r="G8" s="2" t="s">
        <v>819</v>
      </c>
      <c r="H8" s="2" t="s">
        <v>820</v>
      </c>
      <c r="I8" s="2" t="s">
        <v>846</v>
      </c>
      <c r="J8" s="253">
        <v>4</v>
      </c>
      <c r="K8" s="49">
        <f>_DATA_Assessment_Model!H8</f>
        <v>0</v>
      </c>
      <c r="L8" s="3">
        <f>_DATA_Assessment_Model!I8</f>
        <v>0</v>
      </c>
      <c r="M8" s="3">
        <f>_DATA_Assessment_Model!J8</f>
        <v>4</v>
      </c>
      <c r="N8" s="3">
        <f>_DATA_Assessment_Model!K8</f>
        <v>4</v>
      </c>
      <c r="O8" s="2" t="str">
        <f>_DATA_Assessment_Model!L8</f>
        <v>Critical</v>
      </c>
      <c r="P8" s="2" t="s">
        <v>847</v>
      </c>
      <c r="Q8" s="2" t="s">
        <v>848</v>
      </c>
      <c r="R8" s="2" t="s">
        <v>849</v>
      </c>
      <c r="S8" s="2" t="s">
        <v>850</v>
      </c>
      <c r="T8" s="2" t="s">
        <v>851</v>
      </c>
      <c r="U8" s="2" t="s">
        <v>852</v>
      </c>
      <c r="V8" s="2" t="s">
        <v>828</v>
      </c>
      <c r="W8" s="253"/>
      <c r="X8" s="253"/>
      <c r="Y8" s="253" t="s">
        <v>829</v>
      </c>
      <c r="Z8" s="6">
        <v>4</v>
      </c>
      <c r="AA8" s="6">
        <v>5</v>
      </c>
      <c r="AB8" s="6">
        <v>5</v>
      </c>
      <c r="AC8" s="254"/>
      <c r="AK8" s="255"/>
      <c r="AL8" s="255"/>
      <c r="AM8" s="14">
        <f>_DATA_Assessment_Model!AJ8</f>
        <v>0.9</v>
      </c>
      <c r="AN8" s="14">
        <f>_DATA_Assessment_Model!AK8</f>
        <v>0.9</v>
      </c>
      <c r="AO8" s="14">
        <f>_DATA_Assessment_Model!AL8</f>
        <v>0</v>
      </c>
      <c r="AP8" s="14">
        <f>_DATA_Assessment_Model!AM8</f>
        <v>0</v>
      </c>
      <c r="AQ8" s="14">
        <f>_DATA_Assessment_Model!AN8</f>
        <v>0</v>
      </c>
      <c r="AR8" s="14">
        <f>_DATA_Assessment_Model!AO8</f>
        <v>0</v>
      </c>
      <c r="AS8" s="14">
        <f>_DATA_Assessment_Model!AP8</f>
        <v>0</v>
      </c>
      <c r="AT8" s="14">
        <f>_DATA_Assessment_Model!AQ8</f>
        <v>0</v>
      </c>
      <c r="AU8" s="14" t="str">
        <f>_DATA_Assessment_Model!AR8</f>
        <v>Within target</v>
      </c>
      <c r="AV8" s="4">
        <f>_DATA_Assessment_Model!AS8</f>
        <v>0</v>
      </c>
      <c r="AW8" s="4">
        <f>_DATA_Assessment_Model!AT8</f>
        <v>0.9</v>
      </c>
      <c r="AX8" s="254"/>
      <c r="AY8">
        <f>_DATA_Assessment_Model!AV8</f>
        <v>0.9</v>
      </c>
    </row>
    <row r="9" spans="1:51" ht="82.85" customHeight="1">
      <c r="A9" t="s">
        <v>815</v>
      </c>
      <c r="B9" t="s">
        <v>815</v>
      </c>
      <c r="C9">
        <v>9</v>
      </c>
      <c r="D9" s="2" t="s">
        <v>853</v>
      </c>
      <c r="E9" s="2" t="s">
        <v>817</v>
      </c>
      <c r="F9" s="2" t="s">
        <v>854</v>
      </c>
      <c r="G9" s="2" t="s">
        <v>819</v>
      </c>
      <c r="H9" s="2" t="s">
        <v>820</v>
      </c>
      <c r="I9" s="2" t="s">
        <v>855</v>
      </c>
      <c r="J9" s="253">
        <v>5</v>
      </c>
      <c r="K9" s="49">
        <f>_DATA_Assessment_Model!H9</f>
        <v>0</v>
      </c>
      <c r="L9" s="3">
        <f>_DATA_Assessment_Model!I9</f>
        <v>0</v>
      </c>
      <c r="M9" s="3">
        <f>_DATA_Assessment_Model!J9</f>
        <v>5</v>
      </c>
      <c r="N9" s="3">
        <f>_DATA_Assessment_Model!K9</f>
        <v>5</v>
      </c>
      <c r="O9" s="2" t="str">
        <f>_DATA_Assessment_Model!L9</f>
        <v>Critical</v>
      </c>
      <c r="P9" s="2" t="s">
        <v>833</v>
      </c>
      <c r="Q9" s="2" t="s">
        <v>834</v>
      </c>
      <c r="R9" s="2" t="s">
        <v>835</v>
      </c>
      <c r="S9" s="2" t="s">
        <v>836</v>
      </c>
      <c r="T9" s="2" t="s">
        <v>837</v>
      </c>
      <c r="U9" s="2" t="s">
        <v>838</v>
      </c>
      <c r="V9" s="2" t="s">
        <v>828</v>
      </c>
      <c r="W9" s="253"/>
      <c r="X9" s="253"/>
      <c r="Y9" s="253" t="s">
        <v>829</v>
      </c>
      <c r="Z9" s="6">
        <v>5</v>
      </c>
      <c r="AA9" s="6">
        <v>5</v>
      </c>
      <c r="AB9" s="6">
        <v>5</v>
      </c>
      <c r="AC9" s="254"/>
      <c r="AK9" s="255"/>
      <c r="AL9" s="255"/>
      <c r="AM9" s="14">
        <f>_DATA_Assessment_Model!AJ9</f>
        <v>0.9</v>
      </c>
      <c r="AN9" s="14">
        <f>_DATA_Assessment_Model!AK9</f>
        <v>0.9</v>
      </c>
      <c r="AO9" s="14">
        <f>_DATA_Assessment_Model!AL9</f>
        <v>0</v>
      </c>
      <c r="AP9" s="14">
        <f>_DATA_Assessment_Model!AM9</f>
        <v>0</v>
      </c>
      <c r="AQ9" s="14">
        <f>_DATA_Assessment_Model!AN9</f>
        <v>0</v>
      </c>
      <c r="AR9" s="14">
        <f>_DATA_Assessment_Model!AO9</f>
        <v>0</v>
      </c>
      <c r="AS9" s="14">
        <f>_DATA_Assessment_Model!AP9</f>
        <v>0</v>
      </c>
      <c r="AT9" s="14">
        <f>_DATA_Assessment_Model!AQ9</f>
        <v>0</v>
      </c>
      <c r="AU9" s="14" t="str">
        <f>_DATA_Assessment_Model!AR9</f>
        <v>Within target</v>
      </c>
      <c r="AV9" s="4">
        <f>_DATA_Assessment_Model!AS9</f>
        <v>0</v>
      </c>
      <c r="AW9" s="4">
        <f>_DATA_Assessment_Model!AT9</f>
        <v>0.9</v>
      </c>
      <c r="AX9" s="254"/>
      <c r="AY9">
        <f>_DATA_Assessment_Model!AV9</f>
        <v>0.9</v>
      </c>
    </row>
    <row r="10" spans="1:51" ht="82.85" customHeight="1">
      <c r="A10" t="s">
        <v>815</v>
      </c>
      <c r="B10" t="s">
        <v>815</v>
      </c>
      <c r="C10">
        <v>10</v>
      </c>
      <c r="D10" s="2" t="s">
        <v>856</v>
      </c>
      <c r="E10" s="2" t="s">
        <v>817</v>
      </c>
      <c r="F10" s="2" t="s">
        <v>857</v>
      </c>
      <c r="G10" s="2" t="s">
        <v>819</v>
      </c>
      <c r="H10" s="2" t="s">
        <v>820</v>
      </c>
      <c r="I10" s="2" t="s">
        <v>858</v>
      </c>
      <c r="J10" s="253">
        <v>4</v>
      </c>
      <c r="K10" s="49">
        <f>_DATA_Assessment_Model!H10</f>
        <v>0</v>
      </c>
      <c r="L10" s="3">
        <f>_DATA_Assessment_Model!I10</f>
        <v>0</v>
      </c>
      <c r="M10" s="3">
        <f>_DATA_Assessment_Model!J10</f>
        <v>4</v>
      </c>
      <c r="N10" s="3">
        <f>_DATA_Assessment_Model!K10</f>
        <v>4</v>
      </c>
      <c r="O10" s="2" t="str">
        <f>_DATA_Assessment_Model!L10</f>
        <v>Critical</v>
      </c>
      <c r="P10" s="2" t="s">
        <v>859</v>
      </c>
      <c r="Q10" s="2" t="s">
        <v>860</v>
      </c>
      <c r="R10" s="2" t="s">
        <v>861</v>
      </c>
      <c r="S10" s="2" t="s">
        <v>862</v>
      </c>
      <c r="T10" s="2" t="s">
        <v>863</v>
      </c>
      <c r="U10" s="2" t="s">
        <v>864</v>
      </c>
      <c r="V10" s="2" t="s">
        <v>828</v>
      </c>
      <c r="W10" s="253"/>
      <c r="X10" s="253"/>
      <c r="Y10" s="253" t="s">
        <v>829</v>
      </c>
      <c r="Z10" s="6">
        <v>4</v>
      </c>
      <c r="AA10" s="6">
        <v>5</v>
      </c>
      <c r="AB10" s="6">
        <v>5</v>
      </c>
      <c r="AC10" s="254"/>
      <c r="AK10" s="255"/>
      <c r="AL10" s="255"/>
      <c r="AM10" s="14">
        <f>_DATA_Assessment_Model!AJ10</f>
        <v>0.9</v>
      </c>
      <c r="AN10" s="14">
        <f>_DATA_Assessment_Model!AK10</f>
        <v>0.9</v>
      </c>
      <c r="AO10" s="14">
        <f>_DATA_Assessment_Model!AL10</f>
        <v>0</v>
      </c>
      <c r="AP10" s="14">
        <f>_DATA_Assessment_Model!AM10</f>
        <v>0</v>
      </c>
      <c r="AQ10" s="14">
        <f>_DATA_Assessment_Model!AN10</f>
        <v>0</v>
      </c>
      <c r="AR10" s="14">
        <f>_DATA_Assessment_Model!AO10</f>
        <v>0</v>
      </c>
      <c r="AS10" s="14">
        <f>_DATA_Assessment_Model!AP10</f>
        <v>0</v>
      </c>
      <c r="AT10" s="14">
        <f>_DATA_Assessment_Model!AQ10</f>
        <v>0</v>
      </c>
      <c r="AU10" s="14" t="str">
        <f>_DATA_Assessment_Model!AR10</f>
        <v>Within target</v>
      </c>
      <c r="AV10" s="4">
        <f>_DATA_Assessment_Model!AS10</f>
        <v>0</v>
      </c>
      <c r="AW10" s="4">
        <f>_DATA_Assessment_Model!AT10</f>
        <v>0.9</v>
      </c>
      <c r="AX10" s="254"/>
      <c r="AY10">
        <f>_DATA_Assessment_Model!AV10</f>
        <v>0.9</v>
      </c>
    </row>
    <row r="11" spans="1:51" ht="82.85" customHeight="1">
      <c r="A11" t="s">
        <v>815</v>
      </c>
      <c r="B11" t="s">
        <v>815</v>
      </c>
      <c r="C11">
        <v>11</v>
      </c>
      <c r="D11" s="2" t="s">
        <v>865</v>
      </c>
      <c r="E11" s="2" t="s">
        <v>817</v>
      </c>
      <c r="F11" s="2" t="s">
        <v>866</v>
      </c>
      <c r="G11" s="2" t="s">
        <v>819</v>
      </c>
      <c r="H11" s="2" t="s">
        <v>820</v>
      </c>
      <c r="I11" s="2" t="s">
        <v>867</v>
      </c>
      <c r="J11" s="253">
        <v>5</v>
      </c>
      <c r="K11" s="49">
        <f>_DATA_Assessment_Model!H11</f>
        <v>0</v>
      </c>
      <c r="L11" s="3">
        <f>_DATA_Assessment_Model!I11</f>
        <v>0</v>
      </c>
      <c r="M11" s="3">
        <f>_DATA_Assessment_Model!J11</f>
        <v>5</v>
      </c>
      <c r="N11" s="3">
        <f>_DATA_Assessment_Model!K11</f>
        <v>5</v>
      </c>
      <c r="O11" s="2" t="str">
        <f>_DATA_Assessment_Model!L11</f>
        <v>Critical</v>
      </c>
      <c r="P11" s="2" t="s">
        <v>833</v>
      </c>
      <c r="Q11" s="2" t="s">
        <v>834</v>
      </c>
      <c r="R11" s="2" t="s">
        <v>835</v>
      </c>
      <c r="S11" s="2" t="s">
        <v>836</v>
      </c>
      <c r="T11" s="2" t="s">
        <v>837</v>
      </c>
      <c r="U11" s="2" t="s">
        <v>838</v>
      </c>
      <c r="V11" s="2" t="s">
        <v>828</v>
      </c>
      <c r="W11" s="253"/>
      <c r="X11" s="253"/>
      <c r="Y11" s="253" t="s">
        <v>829</v>
      </c>
      <c r="Z11" s="6">
        <v>5</v>
      </c>
      <c r="AA11" s="6">
        <v>5</v>
      </c>
      <c r="AB11" s="6">
        <v>5</v>
      </c>
      <c r="AC11" s="254"/>
      <c r="AK11" s="255"/>
      <c r="AL11" s="255"/>
      <c r="AM11" s="14">
        <f>_DATA_Assessment_Model!AJ11</f>
        <v>0.9</v>
      </c>
      <c r="AN11" s="14">
        <f>_DATA_Assessment_Model!AK11</f>
        <v>0.9</v>
      </c>
      <c r="AO11" s="14">
        <f>_DATA_Assessment_Model!AL11</f>
        <v>0</v>
      </c>
      <c r="AP11" s="14">
        <f>_DATA_Assessment_Model!AM11</f>
        <v>0</v>
      </c>
      <c r="AQ11" s="14">
        <f>_DATA_Assessment_Model!AN11</f>
        <v>0</v>
      </c>
      <c r="AR11" s="14">
        <f>_DATA_Assessment_Model!AO11</f>
        <v>0</v>
      </c>
      <c r="AS11" s="14">
        <f>_DATA_Assessment_Model!AP11</f>
        <v>0</v>
      </c>
      <c r="AT11" s="14">
        <f>_DATA_Assessment_Model!AQ11</f>
        <v>0</v>
      </c>
      <c r="AU11" s="14" t="str">
        <f>_DATA_Assessment_Model!AR11</f>
        <v>Within target</v>
      </c>
      <c r="AV11" s="4">
        <f>_DATA_Assessment_Model!AS11</f>
        <v>0</v>
      </c>
      <c r="AW11" s="4">
        <f>_DATA_Assessment_Model!AT11</f>
        <v>0.9</v>
      </c>
      <c r="AX11" s="254"/>
      <c r="AY11">
        <f>_DATA_Assessment_Model!AV11</f>
        <v>0.9</v>
      </c>
    </row>
    <row r="12" spans="1:51" ht="69" customHeight="1">
      <c r="A12" t="s">
        <v>815</v>
      </c>
      <c r="B12" t="s">
        <v>815</v>
      </c>
      <c r="C12">
        <v>12</v>
      </c>
      <c r="D12" s="2" t="s">
        <v>868</v>
      </c>
      <c r="E12" s="2" t="s">
        <v>839</v>
      </c>
      <c r="F12" s="2" t="s">
        <v>869</v>
      </c>
      <c r="G12" s="2" t="s">
        <v>819</v>
      </c>
      <c r="H12" s="2" t="s">
        <v>820</v>
      </c>
      <c r="I12" s="2" t="s">
        <v>870</v>
      </c>
      <c r="J12" s="253">
        <v>5</v>
      </c>
      <c r="K12" s="49">
        <f>_DATA_Assessment_Model!H12</f>
        <v>0</v>
      </c>
      <c r="L12" s="3">
        <f>_DATA_Assessment_Model!I12</f>
        <v>0</v>
      </c>
      <c r="M12" s="3">
        <f>_DATA_Assessment_Model!J12</f>
        <v>5</v>
      </c>
      <c r="N12" s="3">
        <f>_DATA_Assessment_Model!K12</f>
        <v>5</v>
      </c>
      <c r="O12" s="2" t="str">
        <f>_DATA_Assessment_Model!L12</f>
        <v>Critical</v>
      </c>
      <c r="P12" s="2" t="s">
        <v>833</v>
      </c>
      <c r="Q12" s="2" t="s">
        <v>834</v>
      </c>
      <c r="R12" s="2" t="s">
        <v>835</v>
      </c>
      <c r="S12" s="2" t="s">
        <v>836</v>
      </c>
      <c r="T12" s="2" t="s">
        <v>837</v>
      </c>
      <c r="U12" s="2" t="s">
        <v>838</v>
      </c>
      <c r="V12" s="2" t="s">
        <v>828</v>
      </c>
      <c r="W12" s="253"/>
      <c r="X12" s="253"/>
      <c r="Y12" s="253" t="s">
        <v>829</v>
      </c>
      <c r="Z12" s="6">
        <v>4</v>
      </c>
      <c r="AA12" s="6">
        <v>5</v>
      </c>
      <c r="AB12" s="6">
        <v>5</v>
      </c>
      <c r="AC12" s="254"/>
      <c r="AK12" s="255"/>
      <c r="AL12" s="255"/>
      <c r="AM12" s="14">
        <f>_DATA_Assessment_Model!AJ12</f>
        <v>0.9</v>
      </c>
      <c r="AN12" s="14">
        <f>_DATA_Assessment_Model!AK12</f>
        <v>0.9</v>
      </c>
      <c r="AO12" s="14">
        <f>_DATA_Assessment_Model!AL12</f>
        <v>0</v>
      </c>
      <c r="AP12" s="14">
        <f>_DATA_Assessment_Model!AM12</f>
        <v>0</v>
      </c>
      <c r="AQ12" s="14">
        <f>_DATA_Assessment_Model!AN12</f>
        <v>0</v>
      </c>
      <c r="AR12" s="14">
        <f>_DATA_Assessment_Model!AO12</f>
        <v>0</v>
      </c>
      <c r="AS12" s="14">
        <f>_DATA_Assessment_Model!AP12</f>
        <v>0</v>
      </c>
      <c r="AT12" s="14">
        <f>_DATA_Assessment_Model!AQ12</f>
        <v>0</v>
      </c>
      <c r="AU12" s="14" t="str">
        <f>_DATA_Assessment_Model!AR12</f>
        <v>Within target</v>
      </c>
      <c r="AV12" s="4">
        <f>_DATA_Assessment_Model!AS12</f>
        <v>0</v>
      </c>
      <c r="AW12" s="4">
        <f>_DATA_Assessment_Model!AT12</f>
        <v>0.9</v>
      </c>
      <c r="AX12" s="254"/>
      <c r="AY12">
        <f>_DATA_Assessment_Model!AV12</f>
        <v>0.9</v>
      </c>
    </row>
    <row r="13" spans="1:51" ht="69" customHeight="1">
      <c r="A13" t="s">
        <v>815</v>
      </c>
      <c r="B13" t="s">
        <v>815</v>
      </c>
      <c r="C13">
        <v>13</v>
      </c>
      <c r="D13" s="2" t="s">
        <v>871</v>
      </c>
      <c r="E13" s="2" t="s">
        <v>839</v>
      </c>
      <c r="F13" s="2" t="s">
        <v>872</v>
      </c>
      <c r="G13" s="2" t="s">
        <v>819</v>
      </c>
      <c r="H13" s="2" t="s">
        <v>820</v>
      </c>
      <c r="I13" s="2" t="s">
        <v>873</v>
      </c>
      <c r="J13" s="253">
        <v>5</v>
      </c>
      <c r="K13" s="49">
        <f>_DATA_Assessment_Model!H13</f>
        <v>0</v>
      </c>
      <c r="L13" s="3">
        <f>_DATA_Assessment_Model!I13</f>
        <v>0</v>
      </c>
      <c r="M13" s="3">
        <f>_DATA_Assessment_Model!J13</f>
        <v>5</v>
      </c>
      <c r="N13" s="3">
        <f>_DATA_Assessment_Model!K13</f>
        <v>5</v>
      </c>
      <c r="O13" s="2" t="str">
        <f>_DATA_Assessment_Model!L13</f>
        <v>Critical</v>
      </c>
      <c r="P13" s="2" t="s">
        <v>874</v>
      </c>
      <c r="Q13" s="2" t="s">
        <v>875</v>
      </c>
      <c r="R13" s="2" t="s">
        <v>876</v>
      </c>
      <c r="S13" s="2" t="s">
        <v>877</v>
      </c>
      <c r="T13" s="2" t="s">
        <v>878</v>
      </c>
      <c r="U13" s="2" t="s">
        <v>879</v>
      </c>
      <c r="V13" s="2" t="s">
        <v>828</v>
      </c>
      <c r="W13" s="253"/>
      <c r="X13" s="253"/>
      <c r="Y13" s="253" t="s">
        <v>829</v>
      </c>
      <c r="Z13" s="6">
        <v>5</v>
      </c>
      <c r="AA13" s="6">
        <v>5</v>
      </c>
      <c r="AB13" s="6">
        <v>5</v>
      </c>
      <c r="AC13" s="254"/>
      <c r="AK13" s="255"/>
      <c r="AL13" s="255"/>
      <c r="AM13" s="14">
        <f>_DATA_Assessment_Model!AJ13</f>
        <v>0.9</v>
      </c>
      <c r="AN13" s="14">
        <f>_DATA_Assessment_Model!AK13</f>
        <v>0.9</v>
      </c>
      <c r="AO13" s="14">
        <f>_DATA_Assessment_Model!AL13</f>
        <v>0</v>
      </c>
      <c r="AP13" s="14">
        <f>_DATA_Assessment_Model!AM13</f>
        <v>0</v>
      </c>
      <c r="AQ13" s="14">
        <f>_DATA_Assessment_Model!AN13</f>
        <v>0</v>
      </c>
      <c r="AR13" s="14">
        <f>_DATA_Assessment_Model!AO13</f>
        <v>0</v>
      </c>
      <c r="AS13" s="14">
        <f>_DATA_Assessment_Model!AP13</f>
        <v>0</v>
      </c>
      <c r="AT13" s="14">
        <f>_DATA_Assessment_Model!AQ13</f>
        <v>0</v>
      </c>
      <c r="AU13" s="14" t="str">
        <f>_DATA_Assessment_Model!AR13</f>
        <v>Within target</v>
      </c>
      <c r="AV13" s="4">
        <f>_DATA_Assessment_Model!AS13</f>
        <v>0</v>
      </c>
      <c r="AW13" s="4">
        <f>_DATA_Assessment_Model!AT13</f>
        <v>0.9</v>
      </c>
      <c r="AX13" s="254"/>
      <c r="AY13">
        <f>_DATA_Assessment_Model!AV13</f>
        <v>0.9</v>
      </c>
    </row>
    <row r="14" spans="1:51" ht="96.65" customHeight="1">
      <c r="A14" t="s">
        <v>815</v>
      </c>
      <c r="B14" t="s">
        <v>815</v>
      </c>
      <c r="C14">
        <v>14</v>
      </c>
      <c r="D14" s="2" t="s">
        <v>880</v>
      </c>
      <c r="E14" s="2" t="s">
        <v>839</v>
      </c>
      <c r="F14" s="2" t="s">
        <v>881</v>
      </c>
      <c r="G14" s="2" t="s">
        <v>819</v>
      </c>
      <c r="H14" s="2" t="s">
        <v>820</v>
      </c>
      <c r="I14" s="2" t="s">
        <v>882</v>
      </c>
      <c r="J14" s="253">
        <v>4</v>
      </c>
      <c r="K14" s="49">
        <f>_DATA_Assessment_Model!H14</f>
        <v>0</v>
      </c>
      <c r="L14" s="3">
        <f>_DATA_Assessment_Model!I14</f>
        <v>0</v>
      </c>
      <c r="M14" s="3">
        <f>_DATA_Assessment_Model!J14</f>
        <v>4</v>
      </c>
      <c r="N14" s="3">
        <f>_DATA_Assessment_Model!K14</f>
        <v>4</v>
      </c>
      <c r="O14" s="2" t="str">
        <f>_DATA_Assessment_Model!L14</f>
        <v>Critical</v>
      </c>
      <c r="P14" s="2" t="s">
        <v>883</v>
      </c>
      <c r="Q14" s="2" t="s">
        <v>884</v>
      </c>
      <c r="R14" s="2" t="s">
        <v>885</v>
      </c>
      <c r="S14" s="2" t="s">
        <v>886</v>
      </c>
      <c r="T14" s="2" t="s">
        <v>887</v>
      </c>
      <c r="U14" s="2" t="s">
        <v>888</v>
      </c>
      <c r="V14" s="2" t="s">
        <v>828</v>
      </c>
      <c r="W14" s="253"/>
      <c r="X14" s="253"/>
      <c r="Y14" s="253" t="s">
        <v>829</v>
      </c>
      <c r="Z14" s="6">
        <v>4</v>
      </c>
      <c r="AA14" s="6">
        <v>5</v>
      </c>
      <c r="AB14" s="6">
        <v>5</v>
      </c>
      <c r="AC14" s="254"/>
      <c r="AK14" s="255"/>
      <c r="AL14" s="255"/>
      <c r="AM14" s="14">
        <f>_DATA_Assessment_Model!AJ14</f>
        <v>0.9</v>
      </c>
      <c r="AN14" s="14">
        <f>_DATA_Assessment_Model!AK14</f>
        <v>0.9</v>
      </c>
      <c r="AO14" s="14">
        <f>_DATA_Assessment_Model!AL14</f>
        <v>0</v>
      </c>
      <c r="AP14" s="14">
        <f>_DATA_Assessment_Model!AM14</f>
        <v>0</v>
      </c>
      <c r="AQ14" s="14">
        <f>_DATA_Assessment_Model!AN14</f>
        <v>0</v>
      </c>
      <c r="AR14" s="14">
        <f>_DATA_Assessment_Model!AO14</f>
        <v>0</v>
      </c>
      <c r="AS14" s="14">
        <f>_DATA_Assessment_Model!AP14</f>
        <v>0</v>
      </c>
      <c r="AT14" s="14">
        <f>_DATA_Assessment_Model!AQ14</f>
        <v>0</v>
      </c>
      <c r="AU14" s="14" t="str">
        <f>_DATA_Assessment_Model!AR14</f>
        <v>Within target</v>
      </c>
      <c r="AV14" s="4">
        <f>_DATA_Assessment_Model!AS14</f>
        <v>0</v>
      </c>
      <c r="AW14" s="4">
        <f>_DATA_Assessment_Model!AT14</f>
        <v>0.9</v>
      </c>
      <c r="AX14" s="254"/>
      <c r="AY14">
        <f>_DATA_Assessment_Model!AV14</f>
        <v>0.9</v>
      </c>
    </row>
    <row r="15" spans="1:51" ht="82.85" customHeight="1">
      <c r="A15" t="s">
        <v>815</v>
      </c>
      <c r="B15" t="s">
        <v>815</v>
      </c>
      <c r="C15">
        <v>15</v>
      </c>
      <c r="D15" s="2" t="s">
        <v>889</v>
      </c>
      <c r="E15" s="2" t="s">
        <v>839</v>
      </c>
      <c r="F15" s="2" t="s">
        <v>890</v>
      </c>
      <c r="G15" s="2" t="s">
        <v>819</v>
      </c>
      <c r="H15" s="2" t="s">
        <v>820</v>
      </c>
      <c r="I15" s="2" t="s">
        <v>891</v>
      </c>
      <c r="J15" s="253">
        <v>5</v>
      </c>
      <c r="K15" s="49">
        <f>_DATA_Assessment_Model!H15</f>
        <v>0</v>
      </c>
      <c r="L15" s="3">
        <f>_DATA_Assessment_Model!I15</f>
        <v>0</v>
      </c>
      <c r="M15" s="3">
        <f>_DATA_Assessment_Model!J15</f>
        <v>5</v>
      </c>
      <c r="N15" s="3">
        <f>_DATA_Assessment_Model!K15</f>
        <v>5</v>
      </c>
      <c r="O15" s="2" t="str">
        <f>_DATA_Assessment_Model!L15</f>
        <v>Critical</v>
      </c>
      <c r="P15" s="2" t="s">
        <v>833</v>
      </c>
      <c r="Q15" s="2" t="s">
        <v>834</v>
      </c>
      <c r="R15" s="2" t="s">
        <v>835</v>
      </c>
      <c r="S15" s="2" t="s">
        <v>836</v>
      </c>
      <c r="T15" s="2" t="s">
        <v>837</v>
      </c>
      <c r="U15" s="2" t="s">
        <v>838</v>
      </c>
      <c r="V15" s="2" t="s">
        <v>828</v>
      </c>
      <c r="W15" s="253"/>
      <c r="X15" s="253"/>
      <c r="Y15" s="253" t="s">
        <v>829</v>
      </c>
      <c r="Z15" s="6">
        <v>4</v>
      </c>
      <c r="AA15" s="6">
        <v>5</v>
      </c>
      <c r="AB15" s="6">
        <v>5</v>
      </c>
      <c r="AC15" s="254"/>
      <c r="AK15" s="255"/>
      <c r="AL15" s="255"/>
      <c r="AM15" s="14">
        <f>_DATA_Assessment_Model!AJ15</f>
        <v>0.9</v>
      </c>
      <c r="AN15" s="14">
        <f>_DATA_Assessment_Model!AK15</f>
        <v>0.9</v>
      </c>
      <c r="AO15" s="14">
        <f>_DATA_Assessment_Model!AL15</f>
        <v>0</v>
      </c>
      <c r="AP15" s="14">
        <f>_DATA_Assessment_Model!AM15</f>
        <v>0</v>
      </c>
      <c r="AQ15" s="14">
        <f>_DATA_Assessment_Model!AN15</f>
        <v>0</v>
      </c>
      <c r="AR15" s="14">
        <f>_DATA_Assessment_Model!AO15</f>
        <v>0</v>
      </c>
      <c r="AS15" s="14">
        <f>_DATA_Assessment_Model!AP15</f>
        <v>0</v>
      </c>
      <c r="AT15" s="14">
        <f>_DATA_Assessment_Model!AQ15</f>
        <v>0</v>
      </c>
      <c r="AU15" s="14" t="str">
        <f>_DATA_Assessment_Model!AR15</f>
        <v>Within target</v>
      </c>
      <c r="AV15" s="4">
        <f>_DATA_Assessment_Model!AS15</f>
        <v>0</v>
      </c>
      <c r="AW15" s="4">
        <f>_DATA_Assessment_Model!AT15</f>
        <v>0.9</v>
      </c>
      <c r="AX15" s="254"/>
      <c r="AY15">
        <f>_DATA_Assessment_Model!AV15</f>
        <v>0.9</v>
      </c>
    </row>
    <row r="16" spans="1:51" ht="69" customHeight="1">
      <c r="A16" t="s">
        <v>815</v>
      </c>
      <c r="B16" t="s">
        <v>815</v>
      </c>
      <c r="C16">
        <v>16</v>
      </c>
      <c r="D16" s="2" t="s">
        <v>892</v>
      </c>
      <c r="E16" s="2" t="s">
        <v>839</v>
      </c>
      <c r="F16" s="2" t="s">
        <v>893</v>
      </c>
      <c r="G16" s="2" t="s">
        <v>819</v>
      </c>
      <c r="H16" s="2" t="s">
        <v>820</v>
      </c>
      <c r="I16" s="2" t="s">
        <v>894</v>
      </c>
      <c r="J16" s="253">
        <v>5</v>
      </c>
      <c r="K16" s="49">
        <f>_DATA_Assessment_Model!H16</f>
        <v>0</v>
      </c>
      <c r="L16" s="3">
        <f>_DATA_Assessment_Model!I16</f>
        <v>0</v>
      </c>
      <c r="M16" s="3">
        <f>_DATA_Assessment_Model!J16</f>
        <v>5</v>
      </c>
      <c r="N16" s="3">
        <f>_DATA_Assessment_Model!K16</f>
        <v>5</v>
      </c>
      <c r="O16" s="2" t="str">
        <f>_DATA_Assessment_Model!L16</f>
        <v>Critical</v>
      </c>
      <c r="P16" s="2" t="s">
        <v>833</v>
      </c>
      <c r="Q16" s="2" t="s">
        <v>834</v>
      </c>
      <c r="R16" s="2" t="s">
        <v>835</v>
      </c>
      <c r="S16" s="2" t="s">
        <v>836</v>
      </c>
      <c r="T16" s="2" t="s">
        <v>837</v>
      </c>
      <c r="U16" s="2" t="s">
        <v>838</v>
      </c>
      <c r="V16" s="2" t="s">
        <v>828</v>
      </c>
      <c r="W16" s="253"/>
      <c r="X16" s="253"/>
      <c r="Y16" s="253" t="s">
        <v>829</v>
      </c>
      <c r="Z16" s="6">
        <v>4</v>
      </c>
      <c r="AA16" s="6">
        <v>5</v>
      </c>
      <c r="AB16" s="6">
        <v>5</v>
      </c>
      <c r="AC16" s="254"/>
      <c r="AK16" s="255"/>
      <c r="AL16" s="255"/>
      <c r="AM16" s="14">
        <f>_DATA_Assessment_Model!AJ16</f>
        <v>0.9</v>
      </c>
      <c r="AN16" s="14">
        <f>_DATA_Assessment_Model!AK16</f>
        <v>0.9</v>
      </c>
      <c r="AO16" s="14">
        <f>_DATA_Assessment_Model!AL16</f>
        <v>0</v>
      </c>
      <c r="AP16" s="14">
        <f>_DATA_Assessment_Model!AM16</f>
        <v>0</v>
      </c>
      <c r="AQ16" s="14">
        <f>_DATA_Assessment_Model!AN16</f>
        <v>0</v>
      </c>
      <c r="AR16" s="14">
        <f>_DATA_Assessment_Model!AO16</f>
        <v>0</v>
      </c>
      <c r="AS16" s="14">
        <f>_DATA_Assessment_Model!AP16</f>
        <v>0</v>
      </c>
      <c r="AT16" s="14">
        <f>_DATA_Assessment_Model!AQ16</f>
        <v>0</v>
      </c>
      <c r="AU16" s="14" t="str">
        <f>_DATA_Assessment_Model!AR16</f>
        <v>Within target</v>
      </c>
      <c r="AV16" s="4">
        <f>_DATA_Assessment_Model!AS16</f>
        <v>0</v>
      </c>
      <c r="AW16" s="4">
        <f>_DATA_Assessment_Model!AT16</f>
        <v>0.9</v>
      </c>
      <c r="AX16" s="254"/>
      <c r="AY16">
        <f>_DATA_Assessment_Model!AV16</f>
        <v>0.9</v>
      </c>
    </row>
    <row r="17" spans="1:51" ht="96.65" customHeight="1">
      <c r="A17" t="s">
        <v>815</v>
      </c>
      <c r="B17" t="s">
        <v>815</v>
      </c>
      <c r="C17">
        <v>17</v>
      </c>
      <c r="D17" s="2" t="s">
        <v>895</v>
      </c>
      <c r="E17" s="2" t="s">
        <v>839</v>
      </c>
      <c r="F17" s="2" t="s">
        <v>896</v>
      </c>
      <c r="G17" s="2" t="s">
        <v>819</v>
      </c>
      <c r="H17" s="2" t="s">
        <v>820</v>
      </c>
      <c r="I17" s="2" t="s">
        <v>897</v>
      </c>
      <c r="J17" s="253">
        <v>4</v>
      </c>
      <c r="K17" s="49">
        <f>_DATA_Assessment_Model!H17</f>
        <v>0</v>
      </c>
      <c r="L17" s="3">
        <f>_DATA_Assessment_Model!I17</f>
        <v>0</v>
      </c>
      <c r="M17" s="3">
        <f>_DATA_Assessment_Model!J17</f>
        <v>4</v>
      </c>
      <c r="N17" s="3">
        <f>_DATA_Assessment_Model!K17</f>
        <v>4</v>
      </c>
      <c r="O17" s="2" t="str">
        <f>_DATA_Assessment_Model!L17</f>
        <v>Critical</v>
      </c>
      <c r="P17" s="2" t="s">
        <v>898</v>
      </c>
      <c r="Q17" s="2" t="s">
        <v>899</v>
      </c>
      <c r="R17" s="2" t="s">
        <v>900</v>
      </c>
      <c r="S17" s="2" t="s">
        <v>901</v>
      </c>
      <c r="T17" s="2" t="s">
        <v>902</v>
      </c>
      <c r="U17" s="2" t="s">
        <v>903</v>
      </c>
      <c r="V17" s="2" t="s">
        <v>828</v>
      </c>
      <c r="W17" s="253"/>
      <c r="X17" s="253"/>
      <c r="Y17" s="253" t="s">
        <v>829</v>
      </c>
      <c r="Z17" s="6">
        <v>4</v>
      </c>
      <c r="AA17" s="6">
        <v>5</v>
      </c>
      <c r="AB17" s="6">
        <v>5</v>
      </c>
      <c r="AC17" s="254"/>
      <c r="AK17" s="255"/>
      <c r="AL17" s="255"/>
      <c r="AM17" s="14">
        <f>_DATA_Assessment_Model!AJ17</f>
        <v>0.9</v>
      </c>
      <c r="AN17" s="14">
        <f>_DATA_Assessment_Model!AK17</f>
        <v>0.9</v>
      </c>
      <c r="AO17" s="14">
        <f>_DATA_Assessment_Model!AL17</f>
        <v>0</v>
      </c>
      <c r="AP17" s="14">
        <f>_DATA_Assessment_Model!AM17</f>
        <v>0</v>
      </c>
      <c r="AQ17" s="14">
        <f>_DATA_Assessment_Model!AN17</f>
        <v>0</v>
      </c>
      <c r="AR17" s="14">
        <f>_DATA_Assessment_Model!AO17</f>
        <v>0</v>
      </c>
      <c r="AS17" s="14">
        <f>_DATA_Assessment_Model!AP17</f>
        <v>0</v>
      </c>
      <c r="AT17" s="14">
        <f>_DATA_Assessment_Model!AQ17</f>
        <v>0</v>
      </c>
      <c r="AU17" s="14" t="str">
        <f>_DATA_Assessment_Model!AR17</f>
        <v>Within target</v>
      </c>
      <c r="AV17" s="4">
        <f>_DATA_Assessment_Model!AS17</f>
        <v>0</v>
      </c>
      <c r="AW17" s="4">
        <f>_DATA_Assessment_Model!AT17</f>
        <v>0.9</v>
      </c>
      <c r="AX17" s="254"/>
      <c r="AY17">
        <f>_DATA_Assessment_Model!AV17</f>
        <v>0.9</v>
      </c>
    </row>
    <row r="18" spans="1:51" ht="69" customHeight="1">
      <c r="A18" t="s">
        <v>815</v>
      </c>
      <c r="B18" t="s">
        <v>815</v>
      </c>
      <c r="C18">
        <v>18</v>
      </c>
      <c r="D18" s="2" t="s">
        <v>904</v>
      </c>
      <c r="E18" s="2" t="s">
        <v>839</v>
      </c>
      <c r="F18" s="2" t="s">
        <v>905</v>
      </c>
      <c r="G18" s="2" t="s">
        <v>819</v>
      </c>
      <c r="H18" s="2" t="s">
        <v>820</v>
      </c>
      <c r="I18" s="2" t="s">
        <v>906</v>
      </c>
      <c r="J18" s="253">
        <v>5</v>
      </c>
      <c r="K18" s="49">
        <f>_DATA_Assessment_Model!H18</f>
        <v>0</v>
      </c>
      <c r="L18" s="3">
        <f>_DATA_Assessment_Model!I18</f>
        <v>0</v>
      </c>
      <c r="M18" s="3">
        <f>_DATA_Assessment_Model!J18</f>
        <v>5</v>
      </c>
      <c r="N18" s="3">
        <f>_DATA_Assessment_Model!K18</f>
        <v>5</v>
      </c>
      <c r="O18" s="2" t="str">
        <f>_DATA_Assessment_Model!L18</f>
        <v>Critical</v>
      </c>
      <c r="P18" s="2" t="s">
        <v>833</v>
      </c>
      <c r="Q18" s="2" t="s">
        <v>834</v>
      </c>
      <c r="R18" s="2" t="s">
        <v>835</v>
      </c>
      <c r="S18" s="2" t="s">
        <v>836</v>
      </c>
      <c r="T18" s="2" t="s">
        <v>837</v>
      </c>
      <c r="U18" s="2" t="s">
        <v>838</v>
      </c>
      <c r="V18" s="2" t="s">
        <v>828</v>
      </c>
      <c r="W18" s="253"/>
      <c r="X18" s="253"/>
      <c r="Y18" s="253" t="s">
        <v>829</v>
      </c>
      <c r="Z18" s="6">
        <v>4</v>
      </c>
      <c r="AA18" s="6">
        <v>5</v>
      </c>
      <c r="AB18" s="6">
        <v>5</v>
      </c>
      <c r="AC18" s="254"/>
      <c r="AK18" s="255"/>
      <c r="AL18" s="255"/>
      <c r="AM18" s="14">
        <f>_DATA_Assessment_Model!AJ18</f>
        <v>0.9</v>
      </c>
      <c r="AN18" s="14">
        <f>_DATA_Assessment_Model!AK18</f>
        <v>0.9</v>
      </c>
      <c r="AO18" s="14">
        <f>_DATA_Assessment_Model!AL18</f>
        <v>0</v>
      </c>
      <c r="AP18" s="14">
        <f>_DATA_Assessment_Model!AM18</f>
        <v>0</v>
      </c>
      <c r="AQ18" s="14">
        <f>_DATA_Assessment_Model!AN18</f>
        <v>0</v>
      </c>
      <c r="AR18" s="14">
        <f>_DATA_Assessment_Model!AO18</f>
        <v>0</v>
      </c>
      <c r="AS18" s="14">
        <f>_DATA_Assessment_Model!AP18</f>
        <v>0</v>
      </c>
      <c r="AT18" s="14">
        <f>_DATA_Assessment_Model!AQ18</f>
        <v>0</v>
      </c>
      <c r="AU18" s="14" t="str">
        <f>_DATA_Assessment_Model!AR18</f>
        <v>Within target</v>
      </c>
      <c r="AV18" s="4">
        <f>_DATA_Assessment_Model!AS18</f>
        <v>0</v>
      </c>
      <c r="AW18" s="4">
        <f>_DATA_Assessment_Model!AT18</f>
        <v>0.9</v>
      </c>
      <c r="AX18" s="254"/>
      <c r="AY18">
        <f>_DATA_Assessment_Model!AV18</f>
        <v>0.9</v>
      </c>
    </row>
    <row r="19" spans="1:51" ht="69" customHeight="1">
      <c r="A19" t="s">
        <v>815</v>
      </c>
      <c r="B19" t="s">
        <v>815</v>
      </c>
      <c r="C19">
        <v>19</v>
      </c>
      <c r="D19" s="2" t="s">
        <v>907</v>
      </c>
      <c r="E19" s="2" t="s">
        <v>843</v>
      </c>
      <c r="F19" s="2" t="s">
        <v>908</v>
      </c>
      <c r="G19" s="2" t="s">
        <v>819</v>
      </c>
      <c r="H19" s="2" t="s">
        <v>820</v>
      </c>
      <c r="I19" s="2" t="s">
        <v>909</v>
      </c>
      <c r="J19" s="253">
        <v>5</v>
      </c>
      <c r="K19" s="49">
        <f>_DATA_Assessment_Model!H19</f>
        <v>0</v>
      </c>
      <c r="L19" s="3">
        <f>_DATA_Assessment_Model!I19</f>
        <v>0</v>
      </c>
      <c r="M19" s="3">
        <f>_DATA_Assessment_Model!J19</f>
        <v>5</v>
      </c>
      <c r="N19" s="3">
        <f>_DATA_Assessment_Model!K19</f>
        <v>5</v>
      </c>
      <c r="O19" s="2" t="str">
        <f>_DATA_Assessment_Model!L19</f>
        <v>Critical</v>
      </c>
      <c r="P19" s="2" t="s">
        <v>833</v>
      </c>
      <c r="Q19" s="2" t="s">
        <v>834</v>
      </c>
      <c r="R19" s="2" t="s">
        <v>835</v>
      </c>
      <c r="S19" s="2" t="s">
        <v>836</v>
      </c>
      <c r="T19" s="2" t="s">
        <v>837</v>
      </c>
      <c r="U19" s="2" t="s">
        <v>838</v>
      </c>
      <c r="V19" s="2" t="s">
        <v>828</v>
      </c>
      <c r="W19" s="253"/>
      <c r="X19" s="253"/>
      <c r="Y19" s="253" t="s">
        <v>829</v>
      </c>
      <c r="Z19" s="6">
        <v>4</v>
      </c>
      <c r="AA19" s="6">
        <v>5</v>
      </c>
      <c r="AB19" s="6">
        <v>5</v>
      </c>
      <c r="AC19" s="254"/>
      <c r="AK19" s="255"/>
      <c r="AL19" s="255"/>
      <c r="AM19" s="14">
        <f>_DATA_Assessment_Model!AJ19</f>
        <v>0.9</v>
      </c>
      <c r="AN19" s="14">
        <f>_DATA_Assessment_Model!AK19</f>
        <v>0.9</v>
      </c>
      <c r="AO19" s="14">
        <f>_DATA_Assessment_Model!AL19</f>
        <v>0</v>
      </c>
      <c r="AP19" s="14">
        <f>_DATA_Assessment_Model!AM19</f>
        <v>0</v>
      </c>
      <c r="AQ19" s="14">
        <f>_DATA_Assessment_Model!AN19</f>
        <v>0</v>
      </c>
      <c r="AR19" s="14">
        <f>_DATA_Assessment_Model!AO19</f>
        <v>0</v>
      </c>
      <c r="AS19" s="14">
        <f>_DATA_Assessment_Model!AP19</f>
        <v>0</v>
      </c>
      <c r="AT19" s="14">
        <f>_DATA_Assessment_Model!AQ19</f>
        <v>0</v>
      </c>
      <c r="AU19" s="14" t="str">
        <f>_DATA_Assessment_Model!AR19</f>
        <v>Within target</v>
      </c>
      <c r="AV19" s="4">
        <f>_DATA_Assessment_Model!AS19</f>
        <v>0</v>
      </c>
      <c r="AW19" s="4">
        <f>_DATA_Assessment_Model!AT19</f>
        <v>0.9</v>
      </c>
      <c r="AX19" s="254"/>
      <c r="AY19">
        <f>_DATA_Assessment_Model!AV19</f>
        <v>0.9</v>
      </c>
    </row>
    <row r="20" spans="1:51" ht="110.4" customHeight="1">
      <c r="A20" t="s">
        <v>815</v>
      </c>
      <c r="B20" t="s">
        <v>815</v>
      </c>
      <c r="C20">
        <v>20</v>
      </c>
      <c r="D20" s="2" t="s">
        <v>910</v>
      </c>
      <c r="E20" s="2" t="s">
        <v>843</v>
      </c>
      <c r="F20" s="2" t="s">
        <v>911</v>
      </c>
      <c r="G20" s="2" t="s">
        <v>819</v>
      </c>
      <c r="H20" s="2" t="s">
        <v>820</v>
      </c>
      <c r="I20" s="2" t="s">
        <v>912</v>
      </c>
      <c r="J20" s="253">
        <v>3</v>
      </c>
      <c r="K20" s="49">
        <f>_DATA_Assessment_Model!H20</f>
        <v>0</v>
      </c>
      <c r="L20" s="3">
        <f>_DATA_Assessment_Model!I20</f>
        <v>0</v>
      </c>
      <c r="M20" s="3">
        <f>_DATA_Assessment_Model!J20</f>
        <v>3</v>
      </c>
      <c r="N20" s="3">
        <f>_DATA_Assessment_Model!K20</f>
        <v>3</v>
      </c>
      <c r="O20" s="2" t="str">
        <f>_DATA_Assessment_Model!L20</f>
        <v>Critical</v>
      </c>
      <c r="P20" s="2" t="s">
        <v>913</v>
      </c>
      <c r="Q20" s="2" t="s">
        <v>914</v>
      </c>
      <c r="R20" s="2" t="s">
        <v>915</v>
      </c>
      <c r="S20" s="2" t="s">
        <v>916</v>
      </c>
      <c r="T20" s="2" t="s">
        <v>917</v>
      </c>
      <c r="U20" s="2" t="s">
        <v>918</v>
      </c>
      <c r="V20" s="2" t="s">
        <v>828</v>
      </c>
      <c r="W20" s="253"/>
      <c r="X20" s="253"/>
      <c r="Y20" s="253" t="s">
        <v>829</v>
      </c>
      <c r="Z20" s="6">
        <v>4</v>
      </c>
      <c r="AA20" s="6">
        <v>5</v>
      </c>
      <c r="AB20" s="6">
        <v>5</v>
      </c>
      <c r="AC20" s="254"/>
      <c r="AK20" s="255"/>
      <c r="AL20" s="255"/>
      <c r="AM20" s="14">
        <f>_DATA_Assessment_Model!AJ20</f>
        <v>0.9</v>
      </c>
      <c r="AN20" s="14">
        <f>_DATA_Assessment_Model!AK20</f>
        <v>0.9</v>
      </c>
      <c r="AO20" s="14">
        <f>_DATA_Assessment_Model!AL20</f>
        <v>0</v>
      </c>
      <c r="AP20" s="14">
        <f>_DATA_Assessment_Model!AM20</f>
        <v>0</v>
      </c>
      <c r="AQ20" s="14">
        <f>_DATA_Assessment_Model!AN20</f>
        <v>0</v>
      </c>
      <c r="AR20" s="14">
        <f>_DATA_Assessment_Model!AO20</f>
        <v>0</v>
      </c>
      <c r="AS20" s="14">
        <f>_DATA_Assessment_Model!AP20</f>
        <v>0</v>
      </c>
      <c r="AT20" s="14">
        <f>_DATA_Assessment_Model!AQ20</f>
        <v>0</v>
      </c>
      <c r="AU20" s="14" t="str">
        <f>_DATA_Assessment_Model!AR20</f>
        <v>Within target</v>
      </c>
      <c r="AV20" s="4">
        <f>_DATA_Assessment_Model!AS20</f>
        <v>0</v>
      </c>
      <c r="AW20" s="4">
        <f>_DATA_Assessment_Model!AT20</f>
        <v>0.9</v>
      </c>
      <c r="AX20" s="254"/>
      <c r="AY20">
        <f>_DATA_Assessment_Model!AV20</f>
        <v>0.9</v>
      </c>
    </row>
    <row r="21" spans="1:51" ht="96.65" customHeight="1">
      <c r="A21" t="s">
        <v>815</v>
      </c>
      <c r="B21" t="s">
        <v>815</v>
      </c>
      <c r="C21">
        <v>21</v>
      </c>
      <c r="D21" s="2" t="s">
        <v>919</v>
      </c>
      <c r="E21" s="2" t="s">
        <v>843</v>
      </c>
      <c r="F21" s="2" t="s">
        <v>920</v>
      </c>
      <c r="G21" s="2" t="s">
        <v>819</v>
      </c>
      <c r="H21" s="2" t="s">
        <v>820</v>
      </c>
      <c r="I21" s="2" t="s">
        <v>921</v>
      </c>
      <c r="J21" s="253">
        <v>4</v>
      </c>
      <c r="K21" s="49">
        <f>_DATA_Assessment_Model!H21</f>
        <v>0</v>
      </c>
      <c r="L21" s="3">
        <f>_DATA_Assessment_Model!I21</f>
        <v>0</v>
      </c>
      <c r="M21" s="3">
        <f>_DATA_Assessment_Model!J21</f>
        <v>4</v>
      </c>
      <c r="N21" s="3">
        <f>_DATA_Assessment_Model!K21</f>
        <v>4</v>
      </c>
      <c r="O21" s="2" t="str">
        <f>_DATA_Assessment_Model!L21</f>
        <v>Critical</v>
      </c>
      <c r="P21" s="2" t="s">
        <v>922</v>
      </c>
      <c r="Q21" s="2" t="s">
        <v>923</v>
      </c>
      <c r="R21" s="2" t="s">
        <v>924</v>
      </c>
      <c r="S21" s="2" t="s">
        <v>925</v>
      </c>
      <c r="T21" s="2" t="s">
        <v>926</v>
      </c>
      <c r="U21" s="2" t="s">
        <v>927</v>
      </c>
      <c r="V21" s="2" t="s">
        <v>828</v>
      </c>
      <c r="W21" s="253"/>
      <c r="X21" s="253"/>
      <c r="Y21" s="253" t="s">
        <v>829</v>
      </c>
      <c r="Z21" s="6">
        <v>5</v>
      </c>
      <c r="AA21" s="6">
        <v>5</v>
      </c>
      <c r="AB21" s="6">
        <v>5</v>
      </c>
      <c r="AC21" s="254"/>
      <c r="AK21" s="255"/>
      <c r="AL21" s="255"/>
      <c r="AM21" s="14">
        <f>_DATA_Assessment_Model!AJ21</f>
        <v>0.9</v>
      </c>
      <c r="AN21" s="14">
        <f>_DATA_Assessment_Model!AK21</f>
        <v>0.9</v>
      </c>
      <c r="AO21" s="14">
        <f>_DATA_Assessment_Model!AL21</f>
        <v>0</v>
      </c>
      <c r="AP21" s="14">
        <f>_DATA_Assessment_Model!AM21</f>
        <v>0</v>
      </c>
      <c r="AQ21" s="14">
        <f>_DATA_Assessment_Model!AN21</f>
        <v>0</v>
      </c>
      <c r="AR21" s="14">
        <f>_DATA_Assessment_Model!AO21</f>
        <v>0</v>
      </c>
      <c r="AS21" s="14">
        <f>_DATA_Assessment_Model!AP21</f>
        <v>0</v>
      </c>
      <c r="AT21" s="14">
        <f>_DATA_Assessment_Model!AQ21</f>
        <v>0</v>
      </c>
      <c r="AU21" s="14" t="str">
        <f>_DATA_Assessment_Model!AR21</f>
        <v>Within target</v>
      </c>
      <c r="AV21" s="4">
        <f>_DATA_Assessment_Model!AS21</f>
        <v>0</v>
      </c>
      <c r="AW21" s="4">
        <f>_DATA_Assessment_Model!AT21</f>
        <v>0.9</v>
      </c>
      <c r="AX21" s="254"/>
      <c r="AY21">
        <f>_DATA_Assessment_Model!AV21</f>
        <v>0.9</v>
      </c>
    </row>
    <row r="22" spans="1:51" ht="96.65" customHeight="1">
      <c r="A22" t="s">
        <v>815</v>
      </c>
      <c r="B22" t="s">
        <v>815</v>
      </c>
      <c r="C22">
        <v>22</v>
      </c>
      <c r="D22" s="2" t="s">
        <v>928</v>
      </c>
      <c r="E22" s="2" t="s">
        <v>843</v>
      </c>
      <c r="F22" s="2" t="s">
        <v>929</v>
      </c>
      <c r="G22" s="2" t="s">
        <v>819</v>
      </c>
      <c r="H22" s="2" t="s">
        <v>820</v>
      </c>
      <c r="I22" s="2" t="s">
        <v>930</v>
      </c>
      <c r="J22" s="253">
        <v>4</v>
      </c>
      <c r="K22" s="49">
        <f>_DATA_Assessment_Model!H22</f>
        <v>0</v>
      </c>
      <c r="L22" s="3">
        <f>_DATA_Assessment_Model!I22</f>
        <v>0</v>
      </c>
      <c r="M22" s="3">
        <f>_DATA_Assessment_Model!J22</f>
        <v>4</v>
      </c>
      <c r="N22" s="3">
        <f>_DATA_Assessment_Model!K22</f>
        <v>4</v>
      </c>
      <c r="O22" s="2" t="str">
        <f>_DATA_Assessment_Model!L22</f>
        <v>Critical</v>
      </c>
      <c r="P22" s="2" t="s">
        <v>931</v>
      </c>
      <c r="Q22" s="2" t="s">
        <v>932</v>
      </c>
      <c r="R22" s="2" t="s">
        <v>933</v>
      </c>
      <c r="S22" s="2" t="s">
        <v>934</v>
      </c>
      <c r="T22" s="2" t="s">
        <v>935</v>
      </c>
      <c r="U22" s="2" t="s">
        <v>936</v>
      </c>
      <c r="V22" s="2" t="s">
        <v>828</v>
      </c>
      <c r="W22" s="253"/>
      <c r="X22" s="253"/>
      <c r="Y22" s="253" t="s">
        <v>829</v>
      </c>
      <c r="Z22" s="6">
        <v>4</v>
      </c>
      <c r="AA22" s="6">
        <v>5</v>
      </c>
      <c r="AB22" s="6">
        <v>5</v>
      </c>
      <c r="AC22" s="254"/>
      <c r="AK22" s="255"/>
      <c r="AL22" s="255"/>
      <c r="AM22" s="14">
        <f>_DATA_Assessment_Model!AJ22</f>
        <v>0.9</v>
      </c>
      <c r="AN22" s="14">
        <f>_DATA_Assessment_Model!AK22</f>
        <v>0.9</v>
      </c>
      <c r="AO22" s="14">
        <f>_DATA_Assessment_Model!AL22</f>
        <v>0</v>
      </c>
      <c r="AP22" s="14">
        <f>_DATA_Assessment_Model!AM22</f>
        <v>0</v>
      </c>
      <c r="AQ22" s="14">
        <f>_DATA_Assessment_Model!AN22</f>
        <v>0</v>
      </c>
      <c r="AR22" s="14">
        <f>_DATA_Assessment_Model!AO22</f>
        <v>0</v>
      </c>
      <c r="AS22" s="14">
        <f>_DATA_Assessment_Model!AP22</f>
        <v>0</v>
      </c>
      <c r="AT22" s="14">
        <f>_DATA_Assessment_Model!AQ22</f>
        <v>0</v>
      </c>
      <c r="AU22" s="14" t="str">
        <f>_DATA_Assessment_Model!AR22</f>
        <v>Within target</v>
      </c>
      <c r="AV22" s="4">
        <f>_DATA_Assessment_Model!AS22</f>
        <v>0</v>
      </c>
      <c r="AW22" s="4">
        <f>_DATA_Assessment_Model!AT22</f>
        <v>0.9</v>
      </c>
      <c r="AX22" s="254"/>
      <c r="AY22">
        <f>_DATA_Assessment_Model!AV22</f>
        <v>0.9</v>
      </c>
    </row>
    <row r="23" spans="1:51" ht="110.4" customHeight="1">
      <c r="A23" t="s">
        <v>815</v>
      </c>
      <c r="B23" t="s">
        <v>815</v>
      </c>
      <c r="C23">
        <v>23</v>
      </c>
      <c r="D23" s="2" t="s">
        <v>937</v>
      </c>
      <c r="E23" s="2" t="s">
        <v>843</v>
      </c>
      <c r="F23" s="2" t="s">
        <v>938</v>
      </c>
      <c r="G23" s="2" t="s">
        <v>939</v>
      </c>
      <c r="H23" s="2" t="s">
        <v>940</v>
      </c>
      <c r="I23" s="2" t="s">
        <v>941</v>
      </c>
      <c r="J23" s="253">
        <v>3</v>
      </c>
      <c r="K23" s="49">
        <f>_DATA_Assessment_Model!H23</f>
        <v>0</v>
      </c>
      <c r="L23" s="3">
        <f>_DATA_Assessment_Model!I23</f>
        <v>0</v>
      </c>
      <c r="M23" s="3">
        <f>_DATA_Assessment_Model!J23</f>
        <v>3</v>
      </c>
      <c r="N23" s="3">
        <f>_DATA_Assessment_Model!K23</f>
        <v>3</v>
      </c>
      <c r="O23" s="2" t="str">
        <f>_DATA_Assessment_Model!L23</f>
        <v>Critical</v>
      </c>
      <c r="P23" s="2" t="s">
        <v>942</v>
      </c>
      <c r="Q23" s="2" t="s">
        <v>943</v>
      </c>
      <c r="R23" s="2" t="s">
        <v>944</v>
      </c>
      <c r="S23" s="2" t="s">
        <v>945</v>
      </c>
      <c r="T23" s="2" t="s">
        <v>946</v>
      </c>
      <c r="U23" s="2" t="s">
        <v>947</v>
      </c>
      <c r="V23" s="2" t="s">
        <v>948</v>
      </c>
      <c r="W23" s="253"/>
      <c r="X23" s="253"/>
      <c r="Y23" s="253" t="s">
        <v>829</v>
      </c>
      <c r="Z23" s="6">
        <v>2</v>
      </c>
      <c r="AA23" s="6">
        <v>4</v>
      </c>
      <c r="AB23" s="6">
        <v>4</v>
      </c>
      <c r="AC23" s="254"/>
      <c r="AK23" s="255"/>
      <c r="AL23" s="255"/>
      <c r="AM23" s="14">
        <f>_DATA_Assessment_Model!AJ23</f>
        <v>0.9</v>
      </c>
      <c r="AN23" s="14">
        <f>_DATA_Assessment_Model!AK23</f>
        <v>0.9</v>
      </c>
      <c r="AO23" s="14">
        <f>_DATA_Assessment_Model!AL23</f>
        <v>0</v>
      </c>
      <c r="AP23" s="14">
        <f>_DATA_Assessment_Model!AM23</f>
        <v>0</v>
      </c>
      <c r="AQ23" s="14">
        <f>_DATA_Assessment_Model!AN23</f>
        <v>0</v>
      </c>
      <c r="AR23" s="14">
        <f>_DATA_Assessment_Model!AO23</f>
        <v>0</v>
      </c>
      <c r="AS23" s="14">
        <f>_DATA_Assessment_Model!AP23</f>
        <v>0</v>
      </c>
      <c r="AT23" s="14">
        <f>_DATA_Assessment_Model!AQ23</f>
        <v>0</v>
      </c>
      <c r="AU23" s="14" t="str">
        <f>_DATA_Assessment_Model!AR23</f>
        <v>Within target</v>
      </c>
      <c r="AV23" s="4">
        <f>_DATA_Assessment_Model!AS23</f>
        <v>0</v>
      </c>
      <c r="AW23" s="4">
        <f>_DATA_Assessment_Model!AT23</f>
        <v>0.9</v>
      </c>
      <c r="AX23" s="254"/>
      <c r="AY23">
        <f>_DATA_Assessment_Model!AV23</f>
        <v>0.9</v>
      </c>
    </row>
    <row r="24" spans="1:51" ht="96.65" customHeight="1">
      <c r="A24" t="s">
        <v>949</v>
      </c>
      <c r="B24" t="s">
        <v>949</v>
      </c>
      <c r="C24">
        <v>5</v>
      </c>
      <c r="D24" s="2" t="s">
        <v>950</v>
      </c>
      <c r="E24" s="2" t="s">
        <v>951</v>
      </c>
      <c r="F24" s="2" t="s">
        <v>952</v>
      </c>
      <c r="G24" s="2" t="s">
        <v>953</v>
      </c>
      <c r="H24" s="2" t="s">
        <v>954</v>
      </c>
      <c r="I24" s="2" t="s">
        <v>955</v>
      </c>
      <c r="J24" s="253">
        <v>4</v>
      </c>
      <c r="K24" s="49">
        <f>_DATA_Assessment_Model!H24</f>
        <v>0</v>
      </c>
      <c r="L24" s="3">
        <f>_DATA_Assessment_Model!I24</f>
        <v>0</v>
      </c>
      <c r="M24" s="3">
        <f>_DATA_Assessment_Model!J24</f>
        <v>4</v>
      </c>
      <c r="N24" s="3">
        <f>_DATA_Assessment_Model!K24</f>
        <v>4</v>
      </c>
      <c r="O24" s="2" t="str">
        <f>_DATA_Assessment_Model!L24</f>
        <v>Critical</v>
      </c>
      <c r="P24" s="2" t="s">
        <v>956</v>
      </c>
      <c r="Q24" s="2" t="s">
        <v>957</v>
      </c>
      <c r="R24" s="2" t="s">
        <v>958</v>
      </c>
      <c r="S24" s="2" t="s">
        <v>959</v>
      </c>
      <c r="T24" s="2" t="s">
        <v>960</v>
      </c>
      <c r="U24" s="2" t="s">
        <v>961</v>
      </c>
      <c r="V24" s="2" t="s">
        <v>962</v>
      </c>
      <c r="W24" s="253"/>
      <c r="X24" s="253"/>
      <c r="Y24" s="253" t="s">
        <v>829</v>
      </c>
      <c r="Z24" s="6">
        <v>4</v>
      </c>
      <c r="AA24" s="6">
        <v>5</v>
      </c>
      <c r="AB24" s="6">
        <v>5</v>
      </c>
      <c r="AC24" s="254"/>
      <c r="AD24" t="s">
        <v>951</v>
      </c>
      <c r="AE24" s="5">
        <f>_DATA_Assessment_Model!AB24</f>
        <v>6</v>
      </c>
      <c r="AF24" s="7">
        <f>_DATA_Assessment_Model!AC24</f>
        <v>0</v>
      </c>
      <c r="AG24" s="8">
        <f>_DATA_Assessment_Model!AD24</f>
        <v>0</v>
      </c>
      <c r="AH24" s="5">
        <f>_DATA_Assessment_Model!AE24</f>
        <v>6</v>
      </c>
      <c r="AI24" s="7">
        <f>_DATA_Assessment_Model!AF24</f>
        <v>5</v>
      </c>
      <c r="AJ24" s="5">
        <f>_DATA_Assessment_Model!AG24</f>
        <v>6</v>
      </c>
      <c r="AK24" s="255"/>
      <c r="AL24" s="255"/>
      <c r="AM24" s="14">
        <f>_DATA_Assessment_Model!AJ24</f>
        <v>0.9</v>
      </c>
      <c r="AN24" s="14">
        <f>_DATA_Assessment_Model!AK24</f>
        <v>0.9</v>
      </c>
      <c r="AO24" s="14">
        <f>_DATA_Assessment_Model!AL24</f>
        <v>0</v>
      </c>
      <c r="AP24" s="14">
        <f>_DATA_Assessment_Model!AM24</f>
        <v>0</v>
      </c>
      <c r="AQ24" s="14">
        <f>_DATA_Assessment_Model!AN24</f>
        <v>0</v>
      </c>
      <c r="AR24" s="14">
        <f>_DATA_Assessment_Model!AO24</f>
        <v>0</v>
      </c>
      <c r="AS24" s="14">
        <f>_DATA_Assessment_Model!AP24</f>
        <v>0</v>
      </c>
      <c r="AT24" s="14">
        <f>_DATA_Assessment_Model!AQ24</f>
        <v>0</v>
      </c>
      <c r="AU24" s="14" t="str">
        <f>_DATA_Assessment_Model!AR24</f>
        <v>Within target</v>
      </c>
      <c r="AV24" s="4">
        <f>_DATA_Assessment_Model!AS24</f>
        <v>0</v>
      </c>
      <c r="AW24" s="4">
        <f>_DATA_Assessment_Model!AT24</f>
        <v>0.9</v>
      </c>
      <c r="AX24" s="254"/>
      <c r="AY24">
        <f>_DATA_Assessment_Model!AV24</f>
        <v>0.9</v>
      </c>
    </row>
    <row r="25" spans="1:51" ht="96.65" customHeight="1">
      <c r="A25" t="s">
        <v>949</v>
      </c>
      <c r="B25" t="s">
        <v>949</v>
      </c>
      <c r="C25">
        <v>6</v>
      </c>
      <c r="D25" s="2" t="s">
        <v>963</v>
      </c>
      <c r="E25" s="2" t="s">
        <v>951</v>
      </c>
      <c r="F25" s="2" t="s">
        <v>964</v>
      </c>
      <c r="G25" s="2" t="s">
        <v>953</v>
      </c>
      <c r="H25" s="2" t="s">
        <v>954</v>
      </c>
      <c r="I25" s="2" t="s">
        <v>965</v>
      </c>
      <c r="J25" s="253">
        <v>3</v>
      </c>
      <c r="K25" s="49">
        <f>_DATA_Assessment_Model!H25</f>
        <v>0</v>
      </c>
      <c r="L25" s="3">
        <f>_DATA_Assessment_Model!I25</f>
        <v>0</v>
      </c>
      <c r="M25" s="3">
        <f>_DATA_Assessment_Model!J25</f>
        <v>3</v>
      </c>
      <c r="N25" s="3">
        <f>_DATA_Assessment_Model!K25</f>
        <v>3</v>
      </c>
      <c r="O25" s="2" t="str">
        <f>_DATA_Assessment_Model!L25</f>
        <v>Critical</v>
      </c>
      <c r="P25" s="2" t="s">
        <v>966</v>
      </c>
      <c r="Q25" s="2" t="s">
        <v>967</v>
      </c>
      <c r="R25" s="2" t="s">
        <v>968</v>
      </c>
      <c r="S25" s="2" t="s">
        <v>969</v>
      </c>
      <c r="T25" s="2" t="s">
        <v>970</v>
      </c>
      <c r="U25" s="2" t="s">
        <v>971</v>
      </c>
      <c r="V25" s="2" t="s">
        <v>962</v>
      </c>
      <c r="W25" s="253"/>
      <c r="X25" s="253"/>
      <c r="Y25" s="253" t="s">
        <v>829</v>
      </c>
      <c r="Z25" s="6">
        <v>4</v>
      </c>
      <c r="AA25" s="6">
        <v>5</v>
      </c>
      <c r="AB25" s="6">
        <v>5</v>
      </c>
      <c r="AC25" s="254"/>
      <c r="AD25" t="s">
        <v>972</v>
      </c>
      <c r="AE25" s="5">
        <f>_DATA_Assessment_Model!AB25</f>
        <v>6</v>
      </c>
      <c r="AF25" s="7">
        <f>_DATA_Assessment_Model!AC25</f>
        <v>0</v>
      </c>
      <c r="AG25" s="8">
        <f>_DATA_Assessment_Model!AD25</f>
        <v>0</v>
      </c>
      <c r="AH25" s="5">
        <f>_DATA_Assessment_Model!AE25</f>
        <v>6</v>
      </c>
      <c r="AI25" s="7">
        <f>_DATA_Assessment_Model!AF25</f>
        <v>5</v>
      </c>
      <c r="AJ25" s="5">
        <f>_DATA_Assessment_Model!AG25</f>
        <v>6</v>
      </c>
      <c r="AK25" s="255"/>
      <c r="AL25" s="255"/>
      <c r="AM25" s="14">
        <f>_DATA_Assessment_Model!AJ25</f>
        <v>0.9</v>
      </c>
      <c r="AN25" s="14">
        <f>_DATA_Assessment_Model!AK25</f>
        <v>0.9</v>
      </c>
      <c r="AO25" s="14">
        <f>_DATA_Assessment_Model!AL25</f>
        <v>0</v>
      </c>
      <c r="AP25" s="14">
        <f>_DATA_Assessment_Model!AM25</f>
        <v>0</v>
      </c>
      <c r="AQ25" s="14">
        <f>_DATA_Assessment_Model!AN25</f>
        <v>0</v>
      </c>
      <c r="AR25" s="14">
        <f>_DATA_Assessment_Model!AO25</f>
        <v>0</v>
      </c>
      <c r="AS25" s="14">
        <f>_DATA_Assessment_Model!AP25</f>
        <v>0</v>
      </c>
      <c r="AT25" s="14">
        <f>_DATA_Assessment_Model!AQ25</f>
        <v>0</v>
      </c>
      <c r="AU25" s="14" t="str">
        <f>_DATA_Assessment_Model!AR25</f>
        <v>Within target</v>
      </c>
      <c r="AV25" s="4">
        <f>_DATA_Assessment_Model!AS25</f>
        <v>0</v>
      </c>
      <c r="AW25" s="4">
        <f>_DATA_Assessment_Model!AT25</f>
        <v>0.9</v>
      </c>
      <c r="AX25" s="254"/>
      <c r="AY25">
        <f>_DATA_Assessment_Model!AV25</f>
        <v>0.9</v>
      </c>
    </row>
    <row r="26" spans="1:51" ht="82.85" customHeight="1">
      <c r="A26" t="s">
        <v>949</v>
      </c>
      <c r="B26" t="s">
        <v>949</v>
      </c>
      <c r="C26">
        <v>7</v>
      </c>
      <c r="D26" s="2" t="s">
        <v>973</v>
      </c>
      <c r="E26" s="2" t="s">
        <v>951</v>
      </c>
      <c r="F26" s="2" t="s">
        <v>974</v>
      </c>
      <c r="G26" s="2" t="s">
        <v>953</v>
      </c>
      <c r="H26" s="2" t="s">
        <v>954</v>
      </c>
      <c r="I26" s="2" t="s">
        <v>975</v>
      </c>
      <c r="J26" s="253">
        <v>5</v>
      </c>
      <c r="K26" s="49">
        <f>_DATA_Assessment_Model!H26</f>
        <v>0</v>
      </c>
      <c r="L26" s="3">
        <f>_DATA_Assessment_Model!I26</f>
        <v>0</v>
      </c>
      <c r="M26" s="3">
        <f>_DATA_Assessment_Model!J26</f>
        <v>5</v>
      </c>
      <c r="N26" s="3">
        <f>_DATA_Assessment_Model!K26</f>
        <v>5</v>
      </c>
      <c r="O26" s="2" t="str">
        <f>_DATA_Assessment_Model!L26</f>
        <v>Critical</v>
      </c>
      <c r="P26" s="2" t="s">
        <v>833</v>
      </c>
      <c r="Q26" s="2" t="s">
        <v>834</v>
      </c>
      <c r="R26" s="2" t="s">
        <v>835</v>
      </c>
      <c r="S26" s="2" t="s">
        <v>836</v>
      </c>
      <c r="T26" s="2" t="s">
        <v>837</v>
      </c>
      <c r="U26" s="2" t="s">
        <v>838</v>
      </c>
      <c r="V26" s="2" t="s">
        <v>962</v>
      </c>
      <c r="W26" s="253"/>
      <c r="X26" s="253"/>
      <c r="Y26" s="253" t="s">
        <v>829</v>
      </c>
      <c r="Z26" s="6">
        <v>4</v>
      </c>
      <c r="AA26" s="6">
        <v>5</v>
      </c>
      <c r="AB26" s="6">
        <v>5</v>
      </c>
      <c r="AC26" s="254"/>
      <c r="AD26" t="s">
        <v>976</v>
      </c>
      <c r="AE26" s="5">
        <f>_DATA_Assessment_Model!AB26</f>
        <v>6</v>
      </c>
      <c r="AF26" s="7">
        <f>_DATA_Assessment_Model!AC26</f>
        <v>0</v>
      </c>
      <c r="AG26" s="8">
        <f>_DATA_Assessment_Model!AD26</f>
        <v>0</v>
      </c>
      <c r="AH26" s="5">
        <f>_DATA_Assessment_Model!AE26</f>
        <v>6</v>
      </c>
      <c r="AI26" s="7">
        <f>_DATA_Assessment_Model!AF26</f>
        <v>5</v>
      </c>
      <c r="AJ26" s="5">
        <f>_DATA_Assessment_Model!AG26</f>
        <v>6</v>
      </c>
      <c r="AK26" s="255"/>
      <c r="AL26" s="255"/>
      <c r="AM26" s="14">
        <f>_DATA_Assessment_Model!AJ26</f>
        <v>0.9</v>
      </c>
      <c r="AN26" s="14">
        <f>_DATA_Assessment_Model!AK26</f>
        <v>0.9</v>
      </c>
      <c r="AO26" s="14">
        <f>_DATA_Assessment_Model!AL26</f>
        <v>0</v>
      </c>
      <c r="AP26" s="14">
        <f>_DATA_Assessment_Model!AM26</f>
        <v>0</v>
      </c>
      <c r="AQ26" s="14">
        <f>_DATA_Assessment_Model!AN26</f>
        <v>0</v>
      </c>
      <c r="AR26" s="14">
        <f>_DATA_Assessment_Model!AO26</f>
        <v>0</v>
      </c>
      <c r="AS26" s="14">
        <f>_DATA_Assessment_Model!AP26</f>
        <v>0</v>
      </c>
      <c r="AT26" s="14">
        <f>_DATA_Assessment_Model!AQ26</f>
        <v>0</v>
      </c>
      <c r="AU26" s="14" t="str">
        <f>_DATA_Assessment_Model!AR26</f>
        <v>Within target</v>
      </c>
      <c r="AV26" s="4">
        <f>_DATA_Assessment_Model!AS26</f>
        <v>0</v>
      </c>
      <c r="AW26" s="4">
        <f>_DATA_Assessment_Model!AT26</f>
        <v>0.9</v>
      </c>
      <c r="AX26" s="254"/>
      <c r="AY26">
        <f>_DATA_Assessment_Model!AV26</f>
        <v>0.9</v>
      </c>
    </row>
    <row r="27" spans="1:51" ht="96.65" customHeight="1">
      <c r="A27" t="s">
        <v>949</v>
      </c>
      <c r="B27" t="s">
        <v>949</v>
      </c>
      <c r="C27">
        <v>8</v>
      </c>
      <c r="D27" s="2" t="s">
        <v>977</v>
      </c>
      <c r="E27" s="2" t="s">
        <v>951</v>
      </c>
      <c r="F27" s="2" t="s">
        <v>978</v>
      </c>
      <c r="G27" s="2" t="s">
        <v>953</v>
      </c>
      <c r="H27" s="2" t="s">
        <v>954</v>
      </c>
      <c r="I27" s="2" t="s">
        <v>979</v>
      </c>
      <c r="J27" s="253">
        <v>4</v>
      </c>
      <c r="K27" s="49">
        <f>_DATA_Assessment_Model!H27</f>
        <v>0</v>
      </c>
      <c r="L27" s="3">
        <f>_DATA_Assessment_Model!I27</f>
        <v>0</v>
      </c>
      <c r="M27" s="3">
        <f>_DATA_Assessment_Model!J27</f>
        <v>4</v>
      </c>
      <c r="N27" s="3">
        <f>_DATA_Assessment_Model!K27</f>
        <v>4</v>
      </c>
      <c r="O27" s="2" t="str">
        <f>_DATA_Assessment_Model!L27</f>
        <v>Critical</v>
      </c>
      <c r="P27" s="2" t="s">
        <v>980</v>
      </c>
      <c r="Q27" s="2" t="s">
        <v>981</v>
      </c>
      <c r="R27" s="2" t="s">
        <v>982</v>
      </c>
      <c r="S27" s="2" t="s">
        <v>983</v>
      </c>
      <c r="T27" s="2" t="s">
        <v>984</v>
      </c>
      <c r="U27" s="2" t="s">
        <v>985</v>
      </c>
      <c r="V27" s="2" t="s">
        <v>962</v>
      </c>
      <c r="W27" s="253"/>
      <c r="X27" s="253"/>
      <c r="Y27" s="253" t="s">
        <v>829</v>
      </c>
      <c r="Z27" s="6">
        <v>4</v>
      </c>
      <c r="AA27" s="6">
        <v>5</v>
      </c>
      <c r="AB27" s="6">
        <v>5</v>
      </c>
      <c r="AC27" s="254"/>
      <c r="AD27" t="s">
        <v>986</v>
      </c>
      <c r="AE27" s="5">
        <f>_DATA_Assessment_Model!AB27</f>
        <v>5</v>
      </c>
      <c r="AF27" s="7">
        <f>_DATA_Assessment_Model!AC27</f>
        <v>0</v>
      </c>
      <c r="AG27" s="8">
        <f>_DATA_Assessment_Model!AD27</f>
        <v>0</v>
      </c>
      <c r="AH27" s="5">
        <f>_DATA_Assessment_Model!AE27</f>
        <v>5</v>
      </c>
      <c r="AI27" s="7">
        <f>_DATA_Assessment_Model!AF27</f>
        <v>5</v>
      </c>
      <c r="AJ27" s="5">
        <f>_DATA_Assessment_Model!AG27</f>
        <v>5</v>
      </c>
      <c r="AK27" s="255"/>
      <c r="AL27" s="255"/>
      <c r="AM27" s="14">
        <f>_DATA_Assessment_Model!AJ27</f>
        <v>0.9</v>
      </c>
      <c r="AN27" s="14">
        <f>_DATA_Assessment_Model!AK27</f>
        <v>0.9</v>
      </c>
      <c r="AO27" s="14">
        <f>_DATA_Assessment_Model!AL27</f>
        <v>0</v>
      </c>
      <c r="AP27" s="14">
        <f>_DATA_Assessment_Model!AM27</f>
        <v>0</v>
      </c>
      <c r="AQ27" s="14">
        <f>_DATA_Assessment_Model!AN27</f>
        <v>0</v>
      </c>
      <c r="AR27" s="14">
        <f>_DATA_Assessment_Model!AO27</f>
        <v>0</v>
      </c>
      <c r="AS27" s="14">
        <f>_DATA_Assessment_Model!AP27</f>
        <v>0</v>
      </c>
      <c r="AT27" s="14">
        <f>_DATA_Assessment_Model!AQ27</f>
        <v>0</v>
      </c>
      <c r="AU27" s="14" t="str">
        <f>_DATA_Assessment_Model!AR27</f>
        <v>Within target</v>
      </c>
      <c r="AV27" s="4">
        <f>_DATA_Assessment_Model!AS27</f>
        <v>0</v>
      </c>
      <c r="AW27" s="4">
        <f>_DATA_Assessment_Model!AT27</f>
        <v>0.9</v>
      </c>
      <c r="AX27" s="254"/>
      <c r="AY27">
        <f>_DATA_Assessment_Model!AV27</f>
        <v>0.9</v>
      </c>
    </row>
    <row r="28" spans="1:51" ht="82.85" customHeight="1">
      <c r="A28" t="s">
        <v>949</v>
      </c>
      <c r="B28" t="s">
        <v>949</v>
      </c>
      <c r="C28">
        <v>9</v>
      </c>
      <c r="D28" s="2" t="s">
        <v>987</v>
      </c>
      <c r="E28" s="2" t="s">
        <v>951</v>
      </c>
      <c r="F28" s="2" t="s">
        <v>988</v>
      </c>
      <c r="G28" s="2" t="s">
        <v>953</v>
      </c>
      <c r="H28" s="2" t="s">
        <v>954</v>
      </c>
      <c r="I28" s="2" t="s">
        <v>989</v>
      </c>
      <c r="J28" s="253">
        <v>5</v>
      </c>
      <c r="K28" s="49">
        <f>_DATA_Assessment_Model!H28</f>
        <v>0</v>
      </c>
      <c r="L28" s="3">
        <f>_DATA_Assessment_Model!I28</f>
        <v>0</v>
      </c>
      <c r="M28" s="3">
        <f>_DATA_Assessment_Model!J28</f>
        <v>5</v>
      </c>
      <c r="N28" s="3">
        <f>_DATA_Assessment_Model!K28</f>
        <v>5</v>
      </c>
      <c r="O28" s="2" t="str">
        <f>_DATA_Assessment_Model!L28</f>
        <v>Critical</v>
      </c>
      <c r="P28" s="2" t="s">
        <v>833</v>
      </c>
      <c r="Q28" s="2" t="s">
        <v>834</v>
      </c>
      <c r="R28" s="2" t="s">
        <v>835</v>
      </c>
      <c r="S28" s="2" t="s">
        <v>836</v>
      </c>
      <c r="T28" s="2" t="s">
        <v>837</v>
      </c>
      <c r="U28" s="2" t="s">
        <v>838</v>
      </c>
      <c r="V28" s="2" t="s">
        <v>962</v>
      </c>
      <c r="W28" s="253"/>
      <c r="X28" s="253"/>
      <c r="Y28" s="253" t="s">
        <v>829</v>
      </c>
      <c r="Z28" s="6">
        <v>4</v>
      </c>
      <c r="AA28" s="6">
        <v>5</v>
      </c>
      <c r="AB28" s="6">
        <v>5</v>
      </c>
      <c r="AC28" s="254"/>
      <c r="AD28" t="s">
        <v>990</v>
      </c>
      <c r="AE28">
        <f>_DATA_Assessment_Model!AB28</f>
        <v>3</v>
      </c>
      <c r="AF28">
        <f>_DATA_Assessment_Model!AC28</f>
        <v>0</v>
      </c>
      <c r="AG28">
        <f>_DATA_Assessment_Model!AD28</f>
        <v>0</v>
      </c>
      <c r="AH28">
        <f>_DATA_Assessment_Model!AE28</f>
        <v>3</v>
      </c>
      <c r="AI28">
        <f>_DATA_Assessment_Model!AF28</f>
        <v>5</v>
      </c>
      <c r="AJ28">
        <f>_DATA_Assessment_Model!AG28</f>
        <v>3</v>
      </c>
      <c r="AK28" s="255"/>
      <c r="AL28" s="255"/>
      <c r="AM28" s="14">
        <f>_DATA_Assessment_Model!AJ28</f>
        <v>0.9</v>
      </c>
      <c r="AN28" s="14">
        <f>_DATA_Assessment_Model!AK28</f>
        <v>0.9</v>
      </c>
      <c r="AO28" s="14">
        <f>_DATA_Assessment_Model!AL28</f>
        <v>0</v>
      </c>
      <c r="AP28" s="14">
        <f>_DATA_Assessment_Model!AM28</f>
        <v>0</v>
      </c>
      <c r="AQ28" s="14">
        <f>_DATA_Assessment_Model!AN28</f>
        <v>0</v>
      </c>
      <c r="AR28" s="14">
        <f>_DATA_Assessment_Model!AO28</f>
        <v>0</v>
      </c>
      <c r="AS28" s="14">
        <f>_DATA_Assessment_Model!AP28</f>
        <v>0</v>
      </c>
      <c r="AT28" s="14">
        <f>_DATA_Assessment_Model!AQ28</f>
        <v>0</v>
      </c>
      <c r="AU28" s="14" t="str">
        <f>_DATA_Assessment_Model!AR28</f>
        <v>Within target</v>
      </c>
      <c r="AV28" s="4">
        <f>_DATA_Assessment_Model!AS28</f>
        <v>0</v>
      </c>
      <c r="AW28" s="4">
        <f>_DATA_Assessment_Model!AT28</f>
        <v>0.9</v>
      </c>
      <c r="AX28" s="254"/>
      <c r="AY28">
        <f>_DATA_Assessment_Model!AV28</f>
        <v>0.9</v>
      </c>
    </row>
    <row r="29" spans="1:51" ht="96.65" customHeight="1">
      <c r="A29" t="s">
        <v>949</v>
      </c>
      <c r="B29" t="s">
        <v>949</v>
      </c>
      <c r="C29">
        <v>10</v>
      </c>
      <c r="D29" s="2" t="s">
        <v>991</v>
      </c>
      <c r="E29" s="2" t="s">
        <v>951</v>
      </c>
      <c r="F29" s="2" t="s">
        <v>992</v>
      </c>
      <c r="G29" s="2" t="s">
        <v>953</v>
      </c>
      <c r="H29" s="2" t="s">
        <v>954</v>
      </c>
      <c r="I29" s="2" t="s">
        <v>993</v>
      </c>
      <c r="J29" s="253">
        <v>4</v>
      </c>
      <c r="K29" s="49">
        <f>_DATA_Assessment_Model!H29</f>
        <v>0</v>
      </c>
      <c r="L29" s="3">
        <f>_DATA_Assessment_Model!I29</f>
        <v>0</v>
      </c>
      <c r="M29" s="3">
        <f>_DATA_Assessment_Model!J29</f>
        <v>4</v>
      </c>
      <c r="N29" s="3">
        <f>_DATA_Assessment_Model!K29</f>
        <v>4</v>
      </c>
      <c r="O29" s="2" t="str">
        <f>_DATA_Assessment_Model!L29</f>
        <v>Critical</v>
      </c>
      <c r="P29" s="2" t="s">
        <v>994</v>
      </c>
      <c r="Q29" s="2" t="s">
        <v>995</v>
      </c>
      <c r="R29" s="2" t="s">
        <v>996</v>
      </c>
      <c r="S29" s="2" t="s">
        <v>997</v>
      </c>
      <c r="T29" s="2" t="s">
        <v>998</v>
      </c>
      <c r="U29" s="2" t="s">
        <v>999</v>
      </c>
      <c r="V29" s="2" t="s">
        <v>962</v>
      </c>
      <c r="W29" s="253"/>
      <c r="X29" s="253"/>
      <c r="Y29" s="253" t="s">
        <v>829</v>
      </c>
      <c r="Z29" s="6">
        <v>4</v>
      </c>
      <c r="AA29" s="6">
        <v>5</v>
      </c>
      <c r="AB29" s="6">
        <v>5</v>
      </c>
      <c r="AC29" s="254"/>
      <c r="AK29" s="255"/>
      <c r="AL29" s="255"/>
      <c r="AM29" s="14">
        <f>_DATA_Assessment_Model!AJ29</f>
        <v>0.9</v>
      </c>
      <c r="AN29" s="14">
        <f>_DATA_Assessment_Model!AK29</f>
        <v>0.9</v>
      </c>
      <c r="AO29" s="14">
        <f>_DATA_Assessment_Model!AL29</f>
        <v>0</v>
      </c>
      <c r="AP29" s="14">
        <f>_DATA_Assessment_Model!AM29</f>
        <v>0</v>
      </c>
      <c r="AQ29" s="14">
        <f>_DATA_Assessment_Model!AN29</f>
        <v>0</v>
      </c>
      <c r="AR29" s="14">
        <f>_DATA_Assessment_Model!AO29</f>
        <v>0</v>
      </c>
      <c r="AS29" s="14">
        <f>_DATA_Assessment_Model!AP29</f>
        <v>0</v>
      </c>
      <c r="AT29" s="14">
        <f>_DATA_Assessment_Model!AQ29</f>
        <v>0</v>
      </c>
      <c r="AU29" s="14" t="str">
        <f>_DATA_Assessment_Model!AR29</f>
        <v>Within target</v>
      </c>
      <c r="AV29" s="4">
        <f>_DATA_Assessment_Model!AS29</f>
        <v>0</v>
      </c>
      <c r="AW29" s="4">
        <f>_DATA_Assessment_Model!AT29</f>
        <v>0.9</v>
      </c>
      <c r="AX29" s="254"/>
      <c r="AY29">
        <f>_DATA_Assessment_Model!AV29</f>
        <v>0.9</v>
      </c>
    </row>
    <row r="30" spans="1:51" ht="110.4" customHeight="1">
      <c r="A30" t="s">
        <v>949</v>
      </c>
      <c r="B30" t="s">
        <v>949</v>
      </c>
      <c r="C30">
        <v>11</v>
      </c>
      <c r="D30" s="2" t="s">
        <v>1000</v>
      </c>
      <c r="E30" s="2" t="s">
        <v>972</v>
      </c>
      <c r="F30" s="2" t="s">
        <v>1001</v>
      </c>
      <c r="G30" s="2" t="s">
        <v>953</v>
      </c>
      <c r="H30" s="2" t="s">
        <v>954</v>
      </c>
      <c r="I30" s="2" t="s">
        <v>1002</v>
      </c>
      <c r="J30" s="253">
        <v>4</v>
      </c>
      <c r="K30" s="49">
        <f>_DATA_Assessment_Model!H30</f>
        <v>0</v>
      </c>
      <c r="L30" s="3">
        <f>_DATA_Assessment_Model!I30</f>
        <v>0</v>
      </c>
      <c r="M30" s="3">
        <f>_DATA_Assessment_Model!J30</f>
        <v>4</v>
      </c>
      <c r="N30" s="3">
        <f>_DATA_Assessment_Model!K30</f>
        <v>4</v>
      </c>
      <c r="O30" s="2" t="str">
        <f>_DATA_Assessment_Model!L30</f>
        <v>Critical</v>
      </c>
      <c r="P30" s="2" t="s">
        <v>1003</v>
      </c>
      <c r="Q30" s="2" t="s">
        <v>1004</v>
      </c>
      <c r="R30" s="2" t="s">
        <v>1005</v>
      </c>
      <c r="S30" s="2" t="s">
        <v>1006</v>
      </c>
      <c r="T30" s="2" t="s">
        <v>1007</v>
      </c>
      <c r="U30" s="2" t="s">
        <v>1008</v>
      </c>
      <c r="V30" s="2" t="s">
        <v>962</v>
      </c>
      <c r="W30" s="253"/>
      <c r="X30" s="253"/>
      <c r="Y30" s="253" t="s">
        <v>829</v>
      </c>
      <c r="Z30" s="6">
        <v>4</v>
      </c>
      <c r="AA30" s="6">
        <v>5</v>
      </c>
      <c r="AB30" s="6">
        <v>5</v>
      </c>
      <c r="AC30" s="254"/>
      <c r="AK30" s="255"/>
      <c r="AL30" s="255"/>
      <c r="AM30" s="14">
        <f>_DATA_Assessment_Model!AJ30</f>
        <v>0.9</v>
      </c>
      <c r="AN30" s="14">
        <f>_DATA_Assessment_Model!AK30</f>
        <v>0.9</v>
      </c>
      <c r="AO30" s="14">
        <f>_DATA_Assessment_Model!AL30</f>
        <v>0</v>
      </c>
      <c r="AP30" s="14">
        <f>_DATA_Assessment_Model!AM30</f>
        <v>0</v>
      </c>
      <c r="AQ30" s="14">
        <f>_DATA_Assessment_Model!AN30</f>
        <v>0</v>
      </c>
      <c r="AR30" s="14">
        <f>_DATA_Assessment_Model!AO30</f>
        <v>0</v>
      </c>
      <c r="AS30" s="14">
        <f>_DATA_Assessment_Model!AP30</f>
        <v>0</v>
      </c>
      <c r="AT30" s="14">
        <f>_DATA_Assessment_Model!AQ30</f>
        <v>0</v>
      </c>
      <c r="AU30" s="14" t="str">
        <f>_DATA_Assessment_Model!AR30</f>
        <v>Within target</v>
      </c>
      <c r="AV30" s="4">
        <f>_DATA_Assessment_Model!AS30</f>
        <v>0</v>
      </c>
      <c r="AW30" s="4">
        <f>_DATA_Assessment_Model!AT30</f>
        <v>0.9</v>
      </c>
      <c r="AX30" s="254"/>
      <c r="AY30">
        <f>_DATA_Assessment_Model!AV30</f>
        <v>0.9</v>
      </c>
    </row>
    <row r="31" spans="1:51" ht="96.65" customHeight="1">
      <c r="A31" t="s">
        <v>949</v>
      </c>
      <c r="B31" t="s">
        <v>949</v>
      </c>
      <c r="C31">
        <v>12</v>
      </c>
      <c r="D31" s="2" t="s">
        <v>1009</v>
      </c>
      <c r="E31" s="2" t="s">
        <v>972</v>
      </c>
      <c r="F31" s="2" t="s">
        <v>1010</v>
      </c>
      <c r="G31" s="2" t="s">
        <v>953</v>
      </c>
      <c r="H31" s="2" t="s">
        <v>954</v>
      </c>
      <c r="I31" s="2" t="s">
        <v>1011</v>
      </c>
      <c r="J31" s="253">
        <v>3</v>
      </c>
      <c r="K31" s="49">
        <f>_DATA_Assessment_Model!H31</f>
        <v>0</v>
      </c>
      <c r="L31" s="3">
        <f>_DATA_Assessment_Model!I31</f>
        <v>0</v>
      </c>
      <c r="M31" s="3">
        <f>_DATA_Assessment_Model!J31</f>
        <v>3</v>
      </c>
      <c r="N31" s="3">
        <f>_DATA_Assessment_Model!K31</f>
        <v>3</v>
      </c>
      <c r="O31" s="2" t="str">
        <f>_DATA_Assessment_Model!L31</f>
        <v>Critical</v>
      </c>
      <c r="P31" s="2" t="s">
        <v>1012</v>
      </c>
      <c r="Q31" s="2" t="s">
        <v>1013</v>
      </c>
      <c r="R31" s="2" t="s">
        <v>1014</v>
      </c>
      <c r="S31" s="2" t="s">
        <v>1015</v>
      </c>
      <c r="T31" s="2" t="s">
        <v>1016</v>
      </c>
      <c r="U31" s="2" t="s">
        <v>1017</v>
      </c>
      <c r="V31" s="2" t="s">
        <v>962</v>
      </c>
      <c r="W31" s="253"/>
      <c r="X31" s="253"/>
      <c r="Y31" s="253" t="s">
        <v>829</v>
      </c>
      <c r="Z31" s="6">
        <v>4</v>
      </c>
      <c r="AA31" s="6">
        <v>5</v>
      </c>
      <c r="AB31" s="6">
        <v>5</v>
      </c>
      <c r="AC31" s="254"/>
      <c r="AK31" s="255"/>
      <c r="AL31" s="255"/>
      <c r="AM31" s="14">
        <f>_DATA_Assessment_Model!AJ31</f>
        <v>0.9</v>
      </c>
      <c r="AN31" s="14">
        <f>_DATA_Assessment_Model!AK31</f>
        <v>0.9</v>
      </c>
      <c r="AO31" s="14">
        <f>_DATA_Assessment_Model!AL31</f>
        <v>0</v>
      </c>
      <c r="AP31" s="14">
        <f>_DATA_Assessment_Model!AM31</f>
        <v>0</v>
      </c>
      <c r="AQ31" s="14">
        <f>_DATA_Assessment_Model!AN31</f>
        <v>0</v>
      </c>
      <c r="AR31" s="14">
        <f>_DATA_Assessment_Model!AO31</f>
        <v>0</v>
      </c>
      <c r="AS31" s="14">
        <f>_DATA_Assessment_Model!AP31</f>
        <v>0</v>
      </c>
      <c r="AT31" s="14">
        <f>_DATA_Assessment_Model!AQ31</f>
        <v>0</v>
      </c>
      <c r="AU31" s="14" t="str">
        <f>_DATA_Assessment_Model!AR31</f>
        <v>Within target</v>
      </c>
      <c r="AV31" s="4">
        <f>_DATA_Assessment_Model!AS31</f>
        <v>0</v>
      </c>
      <c r="AW31" s="4">
        <f>_DATA_Assessment_Model!AT31</f>
        <v>0.9</v>
      </c>
      <c r="AX31" s="254"/>
      <c r="AY31">
        <f>_DATA_Assessment_Model!AV31</f>
        <v>0.9</v>
      </c>
    </row>
    <row r="32" spans="1:51" ht="96.65" customHeight="1">
      <c r="A32" t="s">
        <v>949</v>
      </c>
      <c r="B32" t="s">
        <v>949</v>
      </c>
      <c r="C32">
        <v>13</v>
      </c>
      <c r="D32" s="2" t="s">
        <v>1018</v>
      </c>
      <c r="E32" s="2" t="s">
        <v>972</v>
      </c>
      <c r="F32" s="2" t="s">
        <v>1019</v>
      </c>
      <c r="G32" s="2" t="s">
        <v>953</v>
      </c>
      <c r="H32" s="2" t="s">
        <v>954</v>
      </c>
      <c r="I32" s="2" t="s">
        <v>1020</v>
      </c>
      <c r="J32" s="253">
        <v>4</v>
      </c>
      <c r="K32" s="49">
        <f>_DATA_Assessment_Model!H32</f>
        <v>0</v>
      </c>
      <c r="L32" s="3">
        <f>_DATA_Assessment_Model!I32</f>
        <v>0</v>
      </c>
      <c r="M32" s="3">
        <f>_DATA_Assessment_Model!J32</f>
        <v>4</v>
      </c>
      <c r="N32" s="3">
        <f>_DATA_Assessment_Model!K32</f>
        <v>4</v>
      </c>
      <c r="O32" s="2" t="str">
        <f>_DATA_Assessment_Model!L32</f>
        <v>Critical</v>
      </c>
      <c r="P32" s="2" t="s">
        <v>1021</v>
      </c>
      <c r="Q32" s="2" t="s">
        <v>1022</v>
      </c>
      <c r="R32" s="2" t="s">
        <v>1023</v>
      </c>
      <c r="S32" s="2" t="s">
        <v>1024</v>
      </c>
      <c r="T32" s="2" t="s">
        <v>1025</v>
      </c>
      <c r="U32" s="2" t="s">
        <v>1026</v>
      </c>
      <c r="V32" s="2" t="s">
        <v>962</v>
      </c>
      <c r="W32" s="253"/>
      <c r="X32" s="253"/>
      <c r="Y32" s="253" t="s">
        <v>829</v>
      </c>
      <c r="Z32" s="6">
        <v>4</v>
      </c>
      <c r="AA32" s="6">
        <v>5</v>
      </c>
      <c r="AB32" s="6">
        <v>5</v>
      </c>
      <c r="AC32" s="254"/>
      <c r="AK32" s="255"/>
      <c r="AL32" s="255"/>
      <c r="AM32" s="14">
        <f>_DATA_Assessment_Model!AJ32</f>
        <v>0.9</v>
      </c>
      <c r="AN32" s="14">
        <f>_DATA_Assessment_Model!AK32</f>
        <v>0.9</v>
      </c>
      <c r="AO32" s="14">
        <f>_DATA_Assessment_Model!AL32</f>
        <v>0</v>
      </c>
      <c r="AP32" s="14">
        <f>_DATA_Assessment_Model!AM32</f>
        <v>0</v>
      </c>
      <c r="AQ32" s="14">
        <f>_DATA_Assessment_Model!AN32</f>
        <v>0</v>
      </c>
      <c r="AR32" s="14">
        <f>_DATA_Assessment_Model!AO32</f>
        <v>0</v>
      </c>
      <c r="AS32" s="14">
        <f>_DATA_Assessment_Model!AP32</f>
        <v>0</v>
      </c>
      <c r="AT32" s="14">
        <f>_DATA_Assessment_Model!AQ32</f>
        <v>0</v>
      </c>
      <c r="AU32" s="14" t="str">
        <f>_DATA_Assessment_Model!AR32</f>
        <v>Within target</v>
      </c>
      <c r="AV32" s="4">
        <f>_DATA_Assessment_Model!AS32</f>
        <v>0</v>
      </c>
      <c r="AW32" s="4">
        <f>_DATA_Assessment_Model!AT32</f>
        <v>0.9</v>
      </c>
      <c r="AX32" s="254"/>
      <c r="AY32">
        <f>_DATA_Assessment_Model!AV32</f>
        <v>0.9</v>
      </c>
    </row>
    <row r="33" spans="1:51" ht="82.85" customHeight="1">
      <c r="A33" t="s">
        <v>949</v>
      </c>
      <c r="B33" t="s">
        <v>949</v>
      </c>
      <c r="C33">
        <v>14</v>
      </c>
      <c r="D33" s="2" t="s">
        <v>1027</v>
      </c>
      <c r="E33" s="2" t="s">
        <v>972</v>
      </c>
      <c r="F33" s="2" t="s">
        <v>1028</v>
      </c>
      <c r="G33" s="2" t="s">
        <v>953</v>
      </c>
      <c r="H33" s="2" t="s">
        <v>954</v>
      </c>
      <c r="I33" s="2" t="s">
        <v>1029</v>
      </c>
      <c r="J33" s="253">
        <v>5</v>
      </c>
      <c r="K33" s="49">
        <f>_DATA_Assessment_Model!H33</f>
        <v>0</v>
      </c>
      <c r="L33" s="3">
        <f>_DATA_Assessment_Model!I33</f>
        <v>0</v>
      </c>
      <c r="M33" s="3">
        <f>_DATA_Assessment_Model!J33</f>
        <v>5</v>
      </c>
      <c r="N33" s="3">
        <f>_DATA_Assessment_Model!K33</f>
        <v>5</v>
      </c>
      <c r="O33" s="2" t="str">
        <f>_DATA_Assessment_Model!L33</f>
        <v>Critical</v>
      </c>
      <c r="P33" s="2" t="s">
        <v>833</v>
      </c>
      <c r="Q33" s="2" t="s">
        <v>834</v>
      </c>
      <c r="R33" s="2" t="s">
        <v>835</v>
      </c>
      <c r="S33" s="2" t="s">
        <v>836</v>
      </c>
      <c r="T33" s="2" t="s">
        <v>837</v>
      </c>
      <c r="U33" s="2" t="s">
        <v>838</v>
      </c>
      <c r="V33" s="2" t="s">
        <v>962</v>
      </c>
      <c r="W33" s="253"/>
      <c r="X33" s="253"/>
      <c r="Y33" s="253" t="s">
        <v>829</v>
      </c>
      <c r="Z33" s="6">
        <v>4</v>
      </c>
      <c r="AA33" s="6">
        <v>5</v>
      </c>
      <c r="AB33" s="6">
        <v>5</v>
      </c>
      <c r="AC33" s="254"/>
      <c r="AK33" s="255"/>
      <c r="AL33" s="255"/>
      <c r="AM33" s="14">
        <f>_DATA_Assessment_Model!AJ33</f>
        <v>0.9</v>
      </c>
      <c r="AN33" s="14">
        <f>_DATA_Assessment_Model!AK33</f>
        <v>0.9</v>
      </c>
      <c r="AO33" s="14">
        <f>_DATA_Assessment_Model!AL33</f>
        <v>0</v>
      </c>
      <c r="AP33" s="14">
        <f>_DATA_Assessment_Model!AM33</f>
        <v>0</v>
      </c>
      <c r="AQ33" s="14">
        <f>_DATA_Assessment_Model!AN33</f>
        <v>0</v>
      </c>
      <c r="AR33" s="14">
        <f>_DATA_Assessment_Model!AO33</f>
        <v>0</v>
      </c>
      <c r="AS33" s="14">
        <f>_DATA_Assessment_Model!AP33</f>
        <v>0</v>
      </c>
      <c r="AT33" s="14">
        <f>_DATA_Assessment_Model!AQ33</f>
        <v>0</v>
      </c>
      <c r="AU33" s="14" t="str">
        <f>_DATA_Assessment_Model!AR33</f>
        <v>Within target</v>
      </c>
      <c r="AV33" s="4">
        <f>_DATA_Assessment_Model!AS33</f>
        <v>0</v>
      </c>
      <c r="AW33" s="4">
        <f>_DATA_Assessment_Model!AT33</f>
        <v>0.9</v>
      </c>
      <c r="AX33" s="254"/>
      <c r="AY33">
        <f>_DATA_Assessment_Model!AV33</f>
        <v>0.9</v>
      </c>
    </row>
    <row r="34" spans="1:51" ht="96.65" customHeight="1">
      <c r="A34" t="s">
        <v>949</v>
      </c>
      <c r="B34" t="s">
        <v>949</v>
      </c>
      <c r="C34">
        <v>15</v>
      </c>
      <c r="D34" s="2" t="s">
        <v>1030</v>
      </c>
      <c r="E34" s="2" t="s">
        <v>972</v>
      </c>
      <c r="F34" s="2" t="s">
        <v>1031</v>
      </c>
      <c r="G34" s="2" t="s">
        <v>953</v>
      </c>
      <c r="H34" s="2" t="s">
        <v>954</v>
      </c>
      <c r="I34" s="2" t="s">
        <v>1032</v>
      </c>
      <c r="J34" s="253">
        <v>3</v>
      </c>
      <c r="K34" s="49">
        <f>_DATA_Assessment_Model!H34</f>
        <v>0</v>
      </c>
      <c r="L34" s="3">
        <f>_DATA_Assessment_Model!I34</f>
        <v>0</v>
      </c>
      <c r="M34" s="3">
        <f>_DATA_Assessment_Model!J34</f>
        <v>3</v>
      </c>
      <c r="N34" s="3">
        <f>_DATA_Assessment_Model!K34</f>
        <v>3</v>
      </c>
      <c r="O34" s="2" t="str">
        <f>_DATA_Assessment_Model!L34</f>
        <v>Critical</v>
      </c>
      <c r="P34" s="2" t="s">
        <v>1033</v>
      </c>
      <c r="Q34" s="2" t="s">
        <v>1034</v>
      </c>
      <c r="R34" s="2" t="s">
        <v>1035</v>
      </c>
      <c r="S34" s="2" t="s">
        <v>1036</v>
      </c>
      <c r="T34" s="2" t="s">
        <v>1037</v>
      </c>
      <c r="U34" s="2" t="s">
        <v>1038</v>
      </c>
      <c r="V34" s="2" t="s">
        <v>962</v>
      </c>
      <c r="W34" s="253"/>
      <c r="X34" s="253"/>
      <c r="Y34" s="253" t="s">
        <v>829</v>
      </c>
      <c r="Z34" s="6">
        <v>4</v>
      </c>
      <c r="AA34" s="6">
        <v>5</v>
      </c>
      <c r="AB34" s="6">
        <v>5</v>
      </c>
      <c r="AC34" s="254"/>
      <c r="AK34" s="255"/>
      <c r="AL34" s="255"/>
      <c r="AM34" s="14">
        <f>_DATA_Assessment_Model!AJ34</f>
        <v>0.9</v>
      </c>
      <c r="AN34" s="14">
        <f>_DATA_Assessment_Model!AK34</f>
        <v>0.9</v>
      </c>
      <c r="AO34" s="14">
        <f>_DATA_Assessment_Model!AL34</f>
        <v>0</v>
      </c>
      <c r="AP34" s="14">
        <f>_DATA_Assessment_Model!AM34</f>
        <v>0</v>
      </c>
      <c r="AQ34" s="14">
        <f>_DATA_Assessment_Model!AN34</f>
        <v>0</v>
      </c>
      <c r="AR34" s="14">
        <f>_DATA_Assessment_Model!AO34</f>
        <v>0</v>
      </c>
      <c r="AS34" s="14">
        <f>_DATA_Assessment_Model!AP34</f>
        <v>0</v>
      </c>
      <c r="AT34" s="14">
        <f>_DATA_Assessment_Model!AQ34</f>
        <v>0</v>
      </c>
      <c r="AU34" s="14" t="str">
        <f>_DATA_Assessment_Model!AR34</f>
        <v>Within target</v>
      </c>
      <c r="AV34" s="4">
        <f>_DATA_Assessment_Model!AS34</f>
        <v>0</v>
      </c>
      <c r="AW34" s="4">
        <f>_DATA_Assessment_Model!AT34</f>
        <v>0.9</v>
      </c>
      <c r="AX34" s="254"/>
      <c r="AY34">
        <f>_DATA_Assessment_Model!AV34</f>
        <v>0.9</v>
      </c>
    </row>
    <row r="35" spans="1:51" ht="96.65" customHeight="1">
      <c r="A35" t="s">
        <v>949</v>
      </c>
      <c r="B35" t="s">
        <v>949</v>
      </c>
      <c r="C35">
        <v>16</v>
      </c>
      <c r="D35" s="2" t="s">
        <v>1039</v>
      </c>
      <c r="E35" s="2" t="s">
        <v>972</v>
      </c>
      <c r="F35" s="2" t="s">
        <v>1040</v>
      </c>
      <c r="G35" s="2" t="s">
        <v>953</v>
      </c>
      <c r="H35" s="2" t="s">
        <v>954</v>
      </c>
      <c r="I35" s="2" t="s">
        <v>1041</v>
      </c>
      <c r="J35" s="253">
        <v>4</v>
      </c>
      <c r="K35" s="49">
        <f>_DATA_Assessment_Model!H35</f>
        <v>0</v>
      </c>
      <c r="L35" s="3">
        <f>_DATA_Assessment_Model!I35</f>
        <v>0</v>
      </c>
      <c r="M35" s="3">
        <f>_DATA_Assessment_Model!J35</f>
        <v>4</v>
      </c>
      <c r="N35" s="3">
        <f>_DATA_Assessment_Model!K35</f>
        <v>4</v>
      </c>
      <c r="O35" s="2" t="str">
        <f>_DATA_Assessment_Model!L35</f>
        <v>Critical</v>
      </c>
      <c r="P35" s="2" t="s">
        <v>1042</v>
      </c>
      <c r="Q35" s="2" t="s">
        <v>1043</v>
      </c>
      <c r="R35" s="2" t="s">
        <v>1044</v>
      </c>
      <c r="S35" s="2" t="s">
        <v>1045</v>
      </c>
      <c r="T35" s="2" t="s">
        <v>1046</v>
      </c>
      <c r="U35" s="2" t="s">
        <v>1047</v>
      </c>
      <c r="V35" s="2" t="s">
        <v>962</v>
      </c>
      <c r="W35" s="253"/>
      <c r="X35" s="253"/>
      <c r="Y35" s="253" t="s">
        <v>829</v>
      </c>
      <c r="Z35" s="6">
        <v>4</v>
      </c>
      <c r="AA35" s="6">
        <v>5</v>
      </c>
      <c r="AB35" s="6">
        <v>5</v>
      </c>
      <c r="AC35" s="254"/>
      <c r="AK35" s="255"/>
      <c r="AL35" s="255"/>
      <c r="AM35" s="14">
        <f>_DATA_Assessment_Model!AJ35</f>
        <v>0.9</v>
      </c>
      <c r="AN35" s="14">
        <f>_DATA_Assessment_Model!AK35</f>
        <v>0.9</v>
      </c>
      <c r="AO35" s="14">
        <f>_DATA_Assessment_Model!AL35</f>
        <v>0</v>
      </c>
      <c r="AP35" s="14">
        <f>_DATA_Assessment_Model!AM35</f>
        <v>0</v>
      </c>
      <c r="AQ35" s="14">
        <f>_DATA_Assessment_Model!AN35</f>
        <v>0</v>
      </c>
      <c r="AR35" s="14">
        <f>_DATA_Assessment_Model!AO35</f>
        <v>0</v>
      </c>
      <c r="AS35" s="14">
        <f>_DATA_Assessment_Model!AP35</f>
        <v>0</v>
      </c>
      <c r="AT35" s="14">
        <f>_DATA_Assessment_Model!AQ35</f>
        <v>0</v>
      </c>
      <c r="AU35" s="14" t="str">
        <f>_DATA_Assessment_Model!AR35</f>
        <v>Within target</v>
      </c>
      <c r="AV35" s="4">
        <f>_DATA_Assessment_Model!AS35</f>
        <v>0</v>
      </c>
      <c r="AW35" s="4">
        <f>_DATA_Assessment_Model!AT35</f>
        <v>0.9</v>
      </c>
      <c r="AX35" s="254"/>
      <c r="AY35">
        <f>_DATA_Assessment_Model!AV35</f>
        <v>0.9</v>
      </c>
    </row>
    <row r="36" spans="1:51" ht="82.85" customHeight="1">
      <c r="A36" t="s">
        <v>949</v>
      </c>
      <c r="B36" t="s">
        <v>949</v>
      </c>
      <c r="C36">
        <v>17</v>
      </c>
      <c r="D36" s="2" t="s">
        <v>1048</v>
      </c>
      <c r="E36" s="2" t="s">
        <v>976</v>
      </c>
      <c r="F36" s="2" t="s">
        <v>1049</v>
      </c>
      <c r="G36" s="2" t="s">
        <v>953</v>
      </c>
      <c r="H36" s="2" t="s">
        <v>954</v>
      </c>
      <c r="I36" s="2" t="s">
        <v>1050</v>
      </c>
      <c r="J36" s="253">
        <v>5</v>
      </c>
      <c r="K36" s="49">
        <f>_DATA_Assessment_Model!H36</f>
        <v>0</v>
      </c>
      <c r="L36" s="3">
        <f>_DATA_Assessment_Model!I36</f>
        <v>0</v>
      </c>
      <c r="M36" s="3">
        <f>_DATA_Assessment_Model!J36</f>
        <v>5</v>
      </c>
      <c r="N36" s="3">
        <f>_DATA_Assessment_Model!K36</f>
        <v>5</v>
      </c>
      <c r="O36" s="2" t="str">
        <f>_DATA_Assessment_Model!L36</f>
        <v>Critical</v>
      </c>
      <c r="P36" s="2" t="s">
        <v>1051</v>
      </c>
      <c r="Q36" s="2" t="s">
        <v>1052</v>
      </c>
      <c r="R36" s="2" t="s">
        <v>1053</v>
      </c>
      <c r="S36" s="2" t="s">
        <v>1054</v>
      </c>
      <c r="T36" s="2" t="s">
        <v>1055</v>
      </c>
      <c r="U36" s="2" t="s">
        <v>1056</v>
      </c>
      <c r="V36" s="2" t="s">
        <v>962</v>
      </c>
      <c r="W36" s="253"/>
      <c r="X36" s="253"/>
      <c r="Y36" s="253" t="s">
        <v>829</v>
      </c>
      <c r="Z36" s="6">
        <v>4</v>
      </c>
      <c r="AA36" s="6">
        <v>5</v>
      </c>
      <c r="AB36" s="6">
        <v>5</v>
      </c>
      <c r="AC36" s="254"/>
      <c r="AK36" s="255"/>
      <c r="AL36" s="255"/>
      <c r="AM36" s="14">
        <f>_DATA_Assessment_Model!AJ36</f>
        <v>0.9</v>
      </c>
      <c r="AN36" s="14">
        <f>_DATA_Assessment_Model!AK36</f>
        <v>0.9</v>
      </c>
      <c r="AO36" s="14">
        <f>_DATA_Assessment_Model!AL36</f>
        <v>0</v>
      </c>
      <c r="AP36" s="14">
        <f>_DATA_Assessment_Model!AM36</f>
        <v>0</v>
      </c>
      <c r="AQ36" s="14">
        <f>_DATA_Assessment_Model!AN36</f>
        <v>0</v>
      </c>
      <c r="AR36" s="14">
        <f>_DATA_Assessment_Model!AO36</f>
        <v>0</v>
      </c>
      <c r="AS36" s="14">
        <f>_DATA_Assessment_Model!AP36</f>
        <v>0</v>
      </c>
      <c r="AT36" s="14">
        <f>_DATA_Assessment_Model!AQ36</f>
        <v>0</v>
      </c>
      <c r="AU36" s="14" t="str">
        <f>_DATA_Assessment_Model!AR36</f>
        <v>Within target</v>
      </c>
      <c r="AV36" s="4">
        <f>_DATA_Assessment_Model!AS36</f>
        <v>0</v>
      </c>
      <c r="AW36" s="4">
        <f>_DATA_Assessment_Model!AT36</f>
        <v>0.9</v>
      </c>
      <c r="AX36" s="254"/>
      <c r="AY36">
        <f>_DATA_Assessment_Model!AV36</f>
        <v>0.9</v>
      </c>
    </row>
    <row r="37" spans="1:51" ht="96.65" customHeight="1">
      <c r="A37" t="s">
        <v>949</v>
      </c>
      <c r="B37" t="s">
        <v>949</v>
      </c>
      <c r="C37">
        <v>18</v>
      </c>
      <c r="D37" s="2" t="s">
        <v>1057</v>
      </c>
      <c r="E37" s="2" t="s">
        <v>976</v>
      </c>
      <c r="F37" s="2" t="s">
        <v>1058</v>
      </c>
      <c r="G37" s="2" t="s">
        <v>953</v>
      </c>
      <c r="H37" s="2" t="s">
        <v>954</v>
      </c>
      <c r="I37" s="2" t="s">
        <v>1059</v>
      </c>
      <c r="J37" s="253">
        <v>3</v>
      </c>
      <c r="K37" s="49">
        <f>_DATA_Assessment_Model!H37</f>
        <v>0</v>
      </c>
      <c r="L37" s="3">
        <f>_DATA_Assessment_Model!I37</f>
        <v>0</v>
      </c>
      <c r="M37" s="3">
        <f>_DATA_Assessment_Model!J37</f>
        <v>3</v>
      </c>
      <c r="N37" s="3">
        <f>_DATA_Assessment_Model!K37</f>
        <v>3</v>
      </c>
      <c r="O37" s="2" t="str">
        <f>_DATA_Assessment_Model!L37</f>
        <v>Critical</v>
      </c>
      <c r="P37" s="2" t="s">
        <v>1060</v>
      </c>
      <c r="Q37" s="2" t="s">
        <v>1061</v>
      </c>
      <c r="R37" s="2" t="s">
        <v>1062</v>
      </c>
      <c r="S37" s="2" t="s">
        <v>1063</v>
      </c>
      <c r="T37" s="2" t="s">
        <v>1064</v>
      </c>
      <c r="U37" s="2" t="s">
        <v>1065</v>
      </c>
      <c r="V37" s="2" t="s">
        <v>962</v>
      </c>
      <c r="W37" s="253"/>
      <c r="X37" s="253"/>
      <c r="Y37" s="253" t="s">
        <v>829</v>
      </c>
      <c r="Z37" s="6">
        <v>4</v>
      </c>
      <c r="AA37" s="6">
        <v>5</v>
      </c>
      <c r="AB37" s="6">
        <v>5</v>
      </c>
      <c r="AC37" s="254"/>
      <c r="AK37" s="255"/>
      <c r="AL37" s="255"/>
      <c r="AM37" s="14">
        <f>_DATA_Assessment_Model!AJ37</f>
        <v>0.9</v>
      </c>
      <c r="AN37" s="14">
        <f>_DATA_Assessment_Model!AK37</f>
        <v>0.9</v>
      </c>
      <c r="AO37" s="14">
        <f>_DATA_Assessment_Model!AL37</f>
        <v>0</v>
      </c>
      <c r="AP37" s="14">
        <f>_DATA_Assessment_Model!AM37</f>
        <v>0</v>
      </c>
      <c r="AQ37" s="14">
        <f>_DATA_Assessment_Model!AN37</f>
        <v>0</v>
      </c>
      <c r="AR37" s="14">
        <f>_DATA_Assessment_Model!AO37</f>
        <v>0</v>
      </c>
      <c r="AS37" s="14">
        <f>_DATA_Assessment_Model!AP37</f>
        <v>0</v>
      </c>
      <c r="AT37" s="14">
        <f>_DATA_Assessment_Model!AQ37</f>
        <v>0</v>
      </c>
      <c r="AU37" s="14" t="str">
        <f>_DATA_Assessment_Model!AR37</f>
        <v>Within target</v>
      </c>
      <c r="AV37" s="4">
        <f>_DATA_Assessment_Model!AS37</f>
        <v>0</v>
      </c>
      <c r="AW37" s="4">
        <f>_DATA_Assessment_Model!AT37</f>
        <v>0.9</v>
      </c>
      <c r="AX37" s="254"/>
      <c r="AY37">
        <f>_DATA_Assessment_Model!AV37</f>
        <v>0.9</v>
      </c>
    </row>
    <row r="38" spans="1:51" ht="82.85" customHeight="1">
      <c r="A38" t="s">
        <v>949</v>
      </c>
      <c r="B38" t="s">
        <v>949</v>
      </c>
      <c r="C38">
        <v>19</v>
      </c>
      <c r="D38" s="2" t="s">
        <v>1066</v>
      </c>
      <c r="E38" s="2" t="s">
        <v>976</v>
      </c>
      <c r="F38" s="2" t="s">
        <v>1067</v>
      </c>
      <c r="G38" s="2" t="s">
        <v>953</v>
      </c>
      <c r="H38" s="2" t="s">
        <v>954</v>
      </c>
      <c r="I38" s="2" t="s">
        <v>1068</v>
      </c>
      <c r="J38" s="253">
        <v>5</v>
      </c>
      <c r="K38" s="49">
        <f>_DATA_Assessment_Model!H38</f>
        <v>0</v>
      </c>
      <c r="L38" s="3">
        <f>_DATA_Assessment_Model!I38</f>
        <v>0</v>
      </c>
      <c r="M38" s="3">
        <f>_DATA_Assessment_Model!J38</f>
        <v>5</v>
      </c>
      <c r="N38" s="3">
        <f>_DATA_Assessment_Model!K38</f>
        <v>5</v>
      </c>
      <c r="O38" s="2" t="str">
        <f>_DATA_Assessment_Model!L38</f>
        <v>Critical</v>
      </c>
      <c r="P38" s="2" t="s">
        <v>1069</v>
      </c>
      <c r="Q38" s="2" t="s">
        <v>1070</v>
      </c>
      <c r="R38" s="2" t="s">
        <v>1071</v>
      </c>
      <c r="S38" s="2" t="s">
        <v>1072</v>
      </c>
      <c r="T38" s="2" t="s">
        <v>1073</v>
      </c>
      <c r="U38" s="2" t="s">
        <v>1074</v>
      </c>
      <c r="V38" s="2" t="s">
        <v>962</v>
      </c>
      <c r="W38" s="253"/>
      <c r="X38" s="253"/>
      <c r="Y38" s="253" t="s">
        <v>829</v>
      </c>
      <c r="Z38" s="6">
        <v>4</v>
      </c>
      <c r="AA38" s="6">
        <v>5</v>
      </c>
      <c r="AB38" s="6">
        <v>5</v>
      </c>
      <c r="AC38" s="254"/>
      <c r="AK38" s="255"/>
      <c r="AL38" s="255"/>
      <c r="AM38" s="14">
        <f>_DATA_Assessment_Model!AJ38</f>
        <v>0.9</v>
      </c>
      <c r="AN38" s="14">
        <f>_DATA_Assessment_Model!AK38</f>
        <v>0.9</v>
      </c>
      <c r="AO38" s="14">
        <f>_DATA_Assessment_Model!AL38</f>
        <v>0</v>
      </c>
      <c r="AP38" s="14">
        <f>_DATA_Assessment_Model!AM38</f>
        <v>0</v>
      </c>
      <c r="AQ38" s="14">
        <f>_DATA_Assessment_Model!AN38</f>
        <v>0</v>
      </c>
      <c r="AR38" s="14">
        <f>_DATA_Assessment_Model!AO38</f>
        <v>0</v>
      </c>
      <c r="AS38" s="14">
        <f>_DATA_Assessment_Model!AP38</f>
        <v>0</v>
      </c>
      <c r="AT38" s="14">
        <f>_DATA_Assessment_Model!AQ38</f>
        <v>0</v>
      </c>
      <c r="AU38" s="14" t="str">
        <f>_DATA_Assessment_Model!AR38</f>
        <v>Within target</v>
      </c>
      <c r="AV38" s="4">
        <f>_DATA_Assessment_Model!AS38</f>
        <v>0</v>
      </c>
      <c r="AW38" s="4">
        <f>_DATA_Assessment_Model!AT38</f>
        <v>0.9</v>
      </c>
      <c r="AX38" s="254"/>
      <c r="AY38">
        <f>_DATA_Assessment_Model!AV38</f>
        <v>0.9</v>
      </c>
    </row>
    <row r="39" spans="1:51" ht="69" customHeight="1">
      <c r="A39" t="s">
        <v>949</v>
      </c>
      <c r="B39" t="s">
        <v>949</v>
      </c>
      <c r="C39">
        <v>20</v>
      </c>
      <c r="D39" s="2" t="s">
        <v>1075</v>
      </c>
      <c r="E39" s="2" t="s">
        <v>976</v>
      </c>
      <c r="F39" s="2" t="s">
        <v>1076</v>
      </c>
      <c r="G39" s="2" t="s">
        <v>953</v>
      </c>
      <c r="H39" s="2" t="s">
        <v>954</v>
      </c>
      <c r="I39" s="2" t="s">
        <v>1077</v>
      </c>
      <c r="J39" s="253">
        <v>5</v>
      </c>
      <c r="K39" s="49">
        <f>_DATA_Assessment_Model!H39</f>
        <v>0</v>
      </c>
      <c r="L39" s="3">
        <f>_DATA_Assessment_Model!I39</f>
        <v>0</v>
      </c>
      <c r="M39" s="3">
        <f>_DATA_Assessment_Model!J39</f>
        <v>5</v>
      </c>
      <c r="N39" s="3">
        <f>_DATA_Assessment_Model!K39</f>
        <v>5</v>
      </c>
      <c r="O39" s="2" t="str">
        <f>_DATA_Assessment_Model!L39</f>
        <v>Critical</v>
      </c>
      <c r="P39" s="2" t="s">
        <v>833</v>
      </c>
      <c r="Q39" s="2" t="s">
        <v>834</v>
      </c>
      <c r="R39" s="2" t="s">
        <v>835</v>
      </c>
      <c r="S39" s="2" t="s">
        <v>836</v>
      </c>
      <c r="T39" s="2" t="s">
        <v>837</v>
      </c>
      <c r="U39" s="2" t="s">
        <v>838</v>
      </c>
      <c r="V39" s="2" t="s">
        <v>962</v>
      </c>
      <c r="W39" s="253"/>
      <c r="X39" s="253"/>
      <c r="Y39" s="253" t="s">
        <v>829</v>
      </c>
      <c r="Z39" s="6">
        <v>4</v>
      </c>
      <c r="AA39" s="6">
        <v>5</v>
      </c>
      <c r="AB39" s="6">
        <v>5</v>
      </c>
      <c r="AC39" s="254"/>
      <c r="AK39" s="255"/>
      <c r="AL39" s="255"/>
      <c r="AM39" s="14">
        <f>_DATA_Assessment_Model!AJ39</f>
        <v>0.9</v>
      </c>
      <c r="AN39" s="14">
        <f>_DATA_Assessment_Model!AK39</f>
        <v>0.9</v>
      </c>
      <c r="AO39" s="14">
        <f>_DATA_Assessment_Model!AL39</f>
        <v>0</v>
      </c>
      <c r="AP39" s="14">
        <f>_DATA_Assessment_Model!AM39</f>
        <v>0</v>
      </c>
      <c r="AQ39" s="14">
        <f>_DATA_Assessment_Model!AN39</f>
        <v>0</v>
      </c>
      <c r="AR39" s="14">
        <f>_DATA_Assessment_Model!AO39</f>
        <v>0</v>
      </c>
      <c r="AS39" s="14">
        <f>_DATA_Assessment_Model!AP39</f>
        <v>0</v>
      </c>
      <c r="AT39" s="14">
        <f>_DATA_Assessment_Model!AQ39</f>
        <v>0</v>
      </c>
      <c r="AU39" s="14" t="str">
        <f>_DATA_Assessment_Model!AR39</f>
        <v>Within target</v>
      </c>
      <c r="AV39" s="4">
        <f>_DATA_Assessment_Model!AS39</f>
        <v>0</v>
      </c>
      <c r="AW39" s="4">
        <f>_DATA_Assessment_Model!AT39</f>
        <v>0.9</v>
      </c>
      <c r="AX39" s="254"/>
      <c r="AY39">
        <f>_DATA_Assessment_Model!AV39</f>
        <v>0.9</v>
      </c>
    </row>
    <row r="40" spans="1:51" ht="82.85" customHeight="1">
      <c r="A40" t="s">
        <v>949</v>
      </c>
      <c r="B40" t="s">
        <v>949</v>
      </c>
      <c r="C40">
        <v>21</v>
      </c>
      <c r="D40" s="2" t="s">
        <v>1078</v>
      </c>
      <c r="E40" s="2" t="s">
        <v>976</v>
      </c>
      <c r="F40" s="2" t="s">
        <v>1079</v>
      </c>
      <c r="G40" s="2" t="s">
        <v>953</v>
      </c>
      <c r="H40" s="2" t="s">
        <v>954</v>
      </c>
      <c r="I40" s="2" t="s">
        <v>1080</v>
      </c>
      <c r="J40" s="253">
        <v>5</v>
      </c>
      <c r="K40" s="49">
        <f>_DATA_Assessment_Model!H40</f>
        <v>0</v>
      </c>
      <c r="L40" s="3">
        <f>_DATA_Assessment_Model!I40</f>
        <v>0</v>
      </c>
      <c r="M40" s="3">
        <f>_DATA_Assessment_Model!J40</f>
        <v>5</v>
      </c>
      <c r="N40" s="3">
        <f>_DATA_Assessment_Model!K40</f>
        <v>5</v>
      </c>
      <c r="O40" s="2" t="str">
        <f>_DATA_Assessment_Model!L40</f>
        <v>Critical</v>
      </c>
      <c r="P40" s="2" t="s">
        <v>833</v>
      </c>
      <c r="Q40" s="2" t="s">
        <v>834</v>
      </c>
      <c r="R40" s="2" t="s">
        <v>835</v>
      </c>
      <c r="S40" s="2" t="s">
        <v>836</v>
      </c>
      <c r="T40" s="2" t="s">
        <v>837</v>
      </c>
      <c r="U40" s="2" t="s">
        <v>838</v>
      </c>
      <c r="V40" s="2" t="s">
        <v>962</v>
      </c>
      <c r="W40" s="253"/>
      <c r="X40" s="253"/>
      <c r="Y40" s="253" t="s">
        <v>829</v>
      </c>
      <c r="Z40" s="6">
        <v>4</v>
      </c>
      <c r="AA40" s="6">
        <v>5</v>
      </c>
      <c r="AB40" s="6">
        <v>5</v>
      </c>
      <c r="AC40" s="254"/>
      <c r="AK40" s="255"/>
      <c r="AL40" s="255"/>
      <c r="AM40" s="14">
        <f>_DATA_Assessment_Model!AJ40</f>
        <v>0.9</v>
      </c>
      <c r="AN40" s="14">
        <f>_DATA_Assessment_Model!AK40</f>
        <v>0.9</v>
      </c>
      <c r="AO40" s="14">
        <f>_DATA_Assessment_Model!AL40</f>
        <v>0</v>
      </c>
      <c r="AP40" s="14">
        <f>_DATA_Assessment_Model!AM40</f>
        <v>0</v>
      </c>
      <c r="AQ40" s="14">
        <f>_DATA_Assessment_Model!AN40</f>
        <v>0</v>
      </c>
      <c r="AR40" s="14">
        <f>_DATA_Assessment_Model!AO40</f>
        <v>0</v>
      </c>
      <c r="AS40" s="14">
        <f>_DATA_Assessment_Model!AP40</f>
        <v>0</v>
      </c>
      <c r="AT40" s="14">
        <f>_DATA_Assessment_Model!AQ40</f>
        <v>0</v>
      </c>
      <c r="AU40" s="14" t="str">
        <f>_DATA_Assessment_Model!AR40</f>
        <v>Within target</v>
      </c>
      <c r="AV40" s="4">
        <f>_DATA_Assessment_Model!AS40</f>
        <v>0</v>
      </c>
      <c r="AW40" s="4">
        <f>_DATA_Assessment_Model!AT40</f>
        <v>0.9</v>
      </c>
      <c r="AX40" s="254"/>
      <c r="AY40">
        <f>_DATA_Assessment_Model!AV40</f>
        <v>0.9</v>
      </c>
    </row>
    <row r="41" spans="1:51" ht="82.85" customHeight="1">
      <c r="A41" t="s">
        <v>949</v>
      </c>
      <c r="B41" t="s">
        <v>949</v>
      </c>
      <c r="C41">
        <v>22</v>
      </c>
      <c r="D41" s="2" t="s">
        <v>1081</v>
      </c>
      <c r="E41" s="2" t="s">
        <v>976</v>
      </c>
      <c r="F41" s="2" t="s">
        <v>1082</v>
      </c>
      <c r="G41" s="2" t="s">
        <v>953</v>
      </c>
      <c r="H41" s="2" t="s">
        <v>954</v>
      </c>
      <c r="I41" s="2" t="s">
        <v>1083</v>
      </c>
      <c r="J41" s="253">
        <v>5</v>
      </c>
      <c r="K41" s="49">
        <f>_DATA_Assessment_Model!H41</f>
        <v>0</v>
      </c>
      <c r="L41" s="3">
        <f>_DATA_Assessment_Model!I41</f>
        <v>0</v>
      </c>
      <c r="M41" s="3">
        <f>_DATA_Assessment_Model!J41</f>
        <v>5</v>
      </c>
      <c r="N41" s="3">
        <f>_DATA_Assessment_Model!K41</f>
        <v>5</v>
      </c>
      <c r="O41" s="2" t="str">
        <f>_DATA_Assessment_Model!L41</f>
        <v>Critical</v>
      </c>
      <c r="P41" s="2" t="s">
        <v>833</v>
      </c>
      <c r="Q41" s="2" t="s">
        <v>834</v>
      </c>
      <c r="R41" s="2" t="s">
        <v>835</v>
      </c>
      <c r="S41" s="2" t="s">
        <v>836</v>
      </c>
      <c r="T41" s="2" t="s">
        <v>837</v>
      </c>
      <c r="U41" s="2" t="s">
        <v>838</v>
      </c>
      <c r="V41" s="2" t="s">
        <v>962</v>
      </c>
      <c r="W41" s="253"/>
      <c r="X41" s="253"/>
      <c r="Y41" s="253" t="s">
        <v>829</v>
      </c>
      <c r="Z41" s="6">
        <v>4</v>
      </c>
      <c r="AA41" s="6">
        <v>5</v>
      </c>
      <c r="AB41" s="6">
        <v>5</v>
      </c>
      <c r="AC41" s="254"/>
      <c r="AK41" s="255"/>
      <c r="AL41" s="255"/>
      <c r="AM41" s="14">
        <f>_DATA_Assessment_Model!AJ41</f>
        <v>0.9</v>
      </c>
      <c r="AN41" s="14">
        <f>_DATA_Assessment_Model!AK41</f>
        <v>0.9</v>
      </c>
      <c r="AO41" s="14">
        <f>_DATA_Assessment_Model!AL41</f>
        <v>0</v>
      </c>
      <c r="AP41" s="14">
        <f>_DATA_Assessment_Model!AM41</f>
        <v>0</v>
      </c>
      <c r="AQ41" s="14">
        <f>_DATA_Assessment_Model!AN41</f>
        <v>0</v>
      </c>
      <c r="AR41" s="14">
        <f>_DATA_Assessment_Model!AO41</f>
        <v>0</v>
      </c>
      <c r="AS41" s="14">
        <f>_DATA_Assessment_Model!AP41</f>
        <v>0</v>
      </c>
      <c r="AT41" s="14">
        <f>_DATA_Assessment_Model!AQ41</f>
        <v>0</v>
      </c>
      <c r="AU41" s="14" t="str">
        <f>_DATA_Assessment_Model!AR41</f>
        <v>Within target</v>
      </c>
      <c r="AV41" s="4">
        <f>_DATA_Assessment_Model!AS41</f>
        <v>0</v>
      </c>
      <c r="AW41" s="4">
        <f>_DATA_Assessment_Model!AT41</f>
        <v>0.9</v>
      </c>
      <c r="AX41" s="254"/>
      <c r="AY41">
        <f>_DATA_Assessment_Model!AV41</f>
        <v>0.9</v>
      </c>
    </row>
    <row r="42" spans="1:51" ht="82.85" customHeight="1">
      <c r="A42" t="s">
        <v>949</v>
      </c>
      <c r="B42" t="s">
        <v>949</v>
      </c>
      <c r="C42">
        <v>23</v>
      </c>
      <c r="D42" s="2" t="s">
        <v>1084</v>
      </c>
      <c r="E42" s="2" t="s">
        <v>986</v>
      </c>
      <c r="F42" s="2" t="s">
        <v>1085</v>
      </c>
      <c r="G42" s="2" t="s">
        <v>953</v>
      </c>
      <c r="H42" s="2" t="s">
        <v>954</v>
      </c>
      <c r="I42" s="2" t="s">
        <v>1086</v>
      </c>
      <c r="J42" s="253">
        <v>5</v>
      </c>
      <c r="K42" s="49">
        <f>_DATA_Assessment_Model!H42</f>
        <v>0</v>
      </c>
      <c r="L42" s="3">
        <f>_DATA_Assessment_Model!I42</f>
        <v>0</v>
      </c>
      <c r="M42" s="3">
        <f>_DATA_Assessment_Model!J42</f>
        <v>5</v>
      </c>
      <c r="N42" s="3">
        <f>_DATA_Assessment_Model!K42</f>
        <v>5</v>
      </c>
      <c r="O42" s="2" t="str">
        <f>_DATA_Assessment_Model!L42</f>
        <v>Critical</v>
      </c>
      <c r="P42" s="2" t="s">
        <v>874</v>
      </c>
      <c r="Q42" s="2" t="s">
        <v>875</v>
      </c>
      <c r="R42" s="2" t="s">
        <v>876</v>
      </c>
      <c r="S42" s="2" t="s">
        <v>877</v>
      </c>
      <c r="T42" s="2" t="s">
        <v>878</v>
      </c>
      <c r="U42" s="2" t="s">
        <v>879</v>
      </c>
      <c r="V42" s="2" t="s">
        <v>962</v>
      </c>
      <c r="W42" s="253"/>
      <c r="X42" s="253"/>
      <c r="Y42" s="253" t="s">
        <v>829</v>
      </c>
      <c r="Z42" s="6">
        <v>4</v>
      </c>
      <c r="AA42" s="6">
        <v>5</v>
      </c>
      <c r="AB42" s="6">
        <v>5</v>
      </c>
      <c r="AC42" s="254"/>
      <c r="AK42" s="255"/>
      <c r="AL42" s="255"/>
      <c r="AM42" s="14">
        <f>_DATA_Assessment_Model!AJ42</f>
        <v>0.9</v>
      </c>
      <c r="AN42" s="14">
        <f>_DATA_Assessment_Model!AK42</f>
        <v>0.9</v>
      </c>
      <c r="AO42" s="14">
        <f>_DATA_Assessment_Model!AL42</f>
        <v>0</v>
      </c>
      <c r="AP42" s="14">
        <f>_DATA_Assessment_Model!AM42</f>
        <v>0</v>
      </c>
      <c r="AQ42" s="14">
        <f>_DATA_Assessment_Model!AN42</f>
        <v>0</v>
      </c>
      <c r="AR42" s="14">
        <f>_DATA_Assessment_Model!AO42</f>
        <v>0</v>
      </c>
      <c r="AS42" s="14">
        <f>_DATA_Assessment_Model!AP42</f>
        <v>0</v>
      </c>
      <c r="AT42" s="14">
        <f>_DATA_Assessment_Model!AQ42</f>
        <v>0</v>
      </c>
      <c r="AU42" s="14" t="str">
        <f>_DATA_Assessment_Model!AR42</f>
        <v>Within target</v>
      </c>
      <c r="AV42" s="4">
        <f>_DATA_Assessment_Model!AS42</f>
        <v>0</v>
      </c>
      <c r="AW42" s="4">
        <f>_DATA_Assessment_Model!AT42</f>
        <v>0.9</v>
      </c>
      <c r="AX42" s="254"/>
      <c r="AY42">
        <f>_DATA_Assessment_Model!AV42</f>
        <v>0.9</v>
      </c>
    </row>
    <row r="43" spans="1:51" ht="110.4" customHeight="1">
      <c r="A43" t="s">
        <v>949</v>
      </c>
      <c r="B43" t="s">
        <v>949</v>
      </c>
      <c r="C43">
        <v>24</v>
      </c>
      <c r="D43" s="2" t="s">
        <v>1087</v>
      </c>
      <c r="E43" s="2" t="s">
        <v>986</v>
      </c>
      <c r="F43" s="2" t="s">
        <v>1088</v>
      </c>
      <c r="G43" s="2" t="s">
        <v>953</v>
      </c>
      <c r="H43" s="2" t="s">
        <v>954</v>
      </c>
      <c r="I43" s="2" t="s">
        <v>1089</v>
      </c>
      <c r="J43" s="253">
        <v>4</v>
      </c>
      <c r="K43" s="49">
        <f>_DATA_Assessment_Model!H43</f>
        <v>0</v>
      </c>
      <c r="L43" s="3">
        <f>_DATA_Assessment_Model!I43</f>
        <v>0</v>
      </c>
      <c r="M43" s="3">
        <f>_DATA_Assessment_Model!J43</f>
        <v>4</v>
      </c>
      <c r="N43" s="3">
        <f>_DATA_Assessment_Model!K43</f>
        <v>4</v>
      </c>
      <c r="O43" s="2" t="str">
        <f>_DATA_Assessment_Model!L43</f>
        <v>Critical</v>
      </c>
      <c r="P43" s="2" t="s">
        <v>1090</v>
      </c>
      <c r="Q43" s="2" t="s">
        <v>1091</v>
      </c>
      <c r="R43" s="2" t="s">
        <v>1092</v>
      </c>
      <c r="S43" s="2" t="s">
        <v>1093</v>
      </c>
      <c r="T43" s="2" t="s">
        <v>1094</v>
      </c>
      <c r="U43" s="2" t="s">
        <v>1095</v>
      </c>
      <c r="V43" s="2" t="s">
        <v>962</v>
      </c>
      <c r="W43" s="253"/>
      <c r="X43" s="253"/>
      <c r="Y43" s="253" t="s">
        <v>829</v>
      </c>
      <c r="Z43" s="6">
        <v>5</v>
      </c>
      <c r="AA43" s="6">
        <v>5</v>
      </c>
      <c r="AB43" s="6">
        <v>5</v>
      </c>
      <c r="AC43" s="254"/>
      <c r="AK43" s="255"/>
      <c r="AL43" s="255"/>
      <c r="AM43" s="14">
        <f>_DATA_Assessment_Model!AJ43</f>
        <v>0.9</v>
      </c>
      <c r="AN43" s="14">
        <f>_DATA_Assessment_Model!AK43</f>
        <v>0.9</v>
      </c>
      <c r="AO43" s="14">
        <f>_DATA_Assessment_Model!AL43</f>
        <v>0</v>
      </c>
      <c r="AP43" s="14">
        <f>_DATA_Assessment_Model!AM43</f>
        <v>0</v>
      </c>
      <c r="AQ43" s="14">
        <f>_DATA_Assessment_Model!AN43</f>
        <v>0</v>
      </c>
      <c r="AR43" s="14">
        <f>_DATA_Assessment_Model!AO43</f>
        <v>0</v>
      </c>
      <c r="AS43" s="14">
        <f>_DATA_Assessment_Model!AP43</f>
        <v>0</v>
      </c>
      <c r="AT43" s="14">
        <f>_DATA_Assessment_Model!AQ43</f>
        <v>0</v>
      </c>
      <c r="AU43" s="14" t="str">
        <f>_DATA_Assessment_Model!AR43</f>
        <v>Within target</v>
      </c>
      <c r="AV43" s="4">
        <f>_DATA_Assessment_Model!AS43</f>
        <v>0</v>
      </c>
      <c r="AW43" s="4">
        <f>_DATA_Assessment_Model!AT43</f>
        <v>0.9</v>
      </c>
      <c r="AX43" s="254"/>
      <c r="AY43">
        <f>_DATA_Assessment_Model!AV43</f>
        <v>0.9</v>
      </c>
    </row>
    <row r="44" spans="1:51" ht="110.4" customHeight="1">
      <c r="A44" t="s">
        <v>949</v>
      </c>
      <c r="B44" t="s">
        <v>949</v>
      </c>
      <c r="C44">
        <v>25</v>
      </c>
      <c r="D44" s="2" t="s">
        <v>1096</v>
      </c>
      <c r="E44" s="2" t="s">
        <v>986</v>
      </c>
      <c r="F44" s="2" t="s">
        <v>1097</v>
      </c>
      <c r="G44" s="2" t="s">
        <v>953</v>
      </c>
      <c r="H44" s="2" t="s">
        <v>954</v>
      </c>
      <c r="I44" s="2" t="s">
        <v>1098</v>
      </c>
      <c r="J44" s="253">
        <v>4</v>
      </c>
      <c r="K44" s="49">
        <f>_DATA_Assessment_Model!H44</f>
        <v>0</v>
      </c>
      <c r="L44" s="3">
        <f>_DATA_Assessment_Model!I44</f>
        <v>0</v>
      </c>
      <c r="M44" s="3">
        <f>_DATA_Assessment_Model!J44</f>
        <v>4</v>
      </c>
      <c r="N44" s="3">
        <f>_DATA_Assessment_Model!K44</f>
        <v>4</v>
      </c>
      <c r="O44" s="2" t="str">
        <f>_DATA_Assessment_Model!L44</f>
        <v>Critical</v>
      </c>
      <c r="P44" s="2" t="s">
        <v>1099</v>
      </c>
      <c r="Q44" s="2" t="s">
        <v>1100</v>
      </c>
      <c r="R44" s="2" t="s">
        <v>1101</v>
      </c>
      <c r="S44" s="2" t="s">
        <v>1102</v>
      </c>
      <c r="T44" s="2" t="s">
        <v>1103</v>
      </c>
      <c r="U44" s="2" t="s">
        <v>1104</v>
      </c>
      <c r="V44" s="2" t="s">
        <v>962</v>
      </c>
      <c r="W44" s="253"/>
      <c r="X44" s="253"/>
      <c r="Y44" s="253" t="s">
        <v>829</v>
      </c>
      <c r="Z44" s="6">
        <v>4</v>
      </c>
      <c r="AA44" s="6">
        <v>5</v>
      </c>
      <c r="AB44" s="6">
        <v>5</v>
      </c>
      <c r="AC44" s="254"/>
      <c r="AK44" s="255"/>
      <c r="AL44" s="255"/>
      <c r="AM44" s="14">
        <f>_DATA_Assessment_Model!AJ44</f>
        <v>0.9</v>
      </c>
      <c r="AN44" s="14">
        <f>_DATA_Assessment_Model!AK44</f>
        <v>0.9</v>
      </c>
      <c r="AO44" s="14">
        <f>_DATA_Assessment_Model!AL44</f>
        <v>0</v>
      </c>
      <c r="AP44" s="14">
        <f>_DATA_Assessment_Model!AM44</f>
        <v>0</v>
      </c>
      <c r="AQ44" s="14">
        <f>_DATA_Assessment_Model!AN44</f>
        <v>0</v>
      </c>
      <c r="AR44" s="14">
        <f>_DATA_Assessment_Model!AO44</f>
        <v>0</v>
      </c>
      <c r="AS44" s="14">
        <f>_DATA_Assessment_Model!AP44</f>
        <v>0</v>
      </c>
      <c r="AT44" s="14">
        <f>_DATA_Assessment_Model!AQ44</f>
        <v>0</v>
      </c>
      <c r="AU44" s="14" t="str">
        <f>_DATA_Assessment_Model!AR44</f>
        <v>Within target</v>
      </c>
      <c r="AV44" s="4">
        <f>_DATA_Assessment_Model!AS44</f>
        <v>0</v>
      </c>
      <c r="AW44" s="4">
        <f>_DATA_Assessment_Model!AT44</f>
        <v>0.9</v>
      </c>
      <c r="AX44" s="254"/>
      <c r="AY44">
        <f>_DATA_Assessment_Model!AV44</f>
        <v>0.9</v>
      </c>
    </row>
    <row r="45" spans="1:51" ht="69" customHeight="1">
      <c r="A45" t="s">
        <v>949</v>
      </c>
      <c r="B45" t="s">
        <v>949</v>
      </c>
      <c r="C45">
        <v>26</v>
      </c>
      <c r="D45" s="2" t="s">
        <v>1105</v>
      </c>
      <c r="E45" s="2" t="s">
        <v>986</v>
      </c>
      <c r="F45" s="2" t="s">
        <v>1106</v>
      </c>
      <c r="G45" s="2" t="s">
        <v>953</v>
      </c>
      <c r="H45" s="2" t="s">
        <v>954</v>
      </c>
      <c r="I45" s="2" t="s">
        <v>1107</v>
      </c>
      <c r="J45" s="253">
        <v>5</v>
      </c>
      <c r="K45" s="49">
        <f>_DATA_Assessment_Model!H45</f>
        <v>0</v>
      </c>
      <c r="L45" s="3">
        <f>_DATA_Assessment_Model!I45</f>
        <v>0</v>
      </c>
      <c r="M45" s="3">
        <f>_DATA_Assessment_Model!J45</f>
        <v>5</v>
      </c>
      <c r="N45" s="3">
        <f>_DATA_Assessment_Model!K45</f>
        <v>5</v>
      </c>
      <c r="O45" s="2" t="str">
        <f>_DATA_Assessment_Model!L45</f>
        <v>Critical</v>
      </c>
      <c r="P45" s="2" t="s">
        <v>833</v>
      </c>
      <c r="Q45" s="2" t="s">
        <v>834</v>
      </c>
      <c r="R45" s="2" t="s">
        <v>835</v>
      </c>
      <c r="S45" s="2" t="s">
        <v>836</v>
      </c>
      <c r="T45" s="2" t="s">
        <v>837</v>
      </c>
      <c r="U45" s="2" t="s">
        <v>838</v>
      </c>
      <c r="V45" s="2" t="s">
        <v>962</v>
      </c>
      <c r="W45" s="253"/>
      <c r="X45" s="253"/>
      <c r="Y45" s="253" t="s">
        <v>829</v>
      </c>
      <c r="Z45" s="6">
        <v>4</v>
      </c>
      <c r="AA45" s="6">
        <v>5</v>
      </c>
      <c r="AB45" s="6">
        <v>5</v>
      </c>
      <c r="AC45" s="254"/>
      <c r="AK45" s="255"/>
      <c r="AL45" s="255"/>
      <c r="AM45" s="14">
        <f>_DATA_Assessment_Model!AJ45</f>
        <v>0.9</v>
      </c>
      <c r="AN45" s="14">
        <f>_DATA_Assessment_Model!AK45</f>
        <v>0.9</v>
      </c>
      <c r="AO45" s="14">
        <f>_DATA_Assessment_Model!AL45</f>
        <v>0</v>
      </c>
      <c r="AP45" s="14">
        <f>_DATA_Assessment_Model!AM45</f>
        <v>0</v>
      </c>
      <c r="AQ45" s="14">
        <f>_DATA_Assessment_Model!AN45</f>
        <v>0</v>
      </c>
      <c r="AR45" s="14">
        <f>_DATA_Assessment_Model!AO45</f>
        <v>0</v>
      </c>
      <c r="AS45" s="14">
        <f>_DATA_Assessment_Model!AP45</f>
        <v>0</v>
      </c>
      <c r="AT45" s="14">
        <f>_DATA_Assessment_Model!AQ45</f>
        <v>0</v>
      </c>
      <c r="AU45" s="14" t="str">
        <f>_DATA_Assessment_Model!AR45</f>
        <v>Within target</v>
      </c>
      <c r="AV45" s="4">
        <f>_DATA_Assessment_Model!AS45</f>
        <v>0</v>
      </c>
      <c r="AW45" s="4">
        <f>_DATA_Assessment_Model!AT45</f>
        <v>0.9</v>
      </c>
      <c r="AX45" s="254"/>
      <c r="AY45">
        <f>_DATA_Assessment_Model!AV45</f>
        <v>0.9</v>
      </c>
    </row>
    <row r="46" spans="1:51" ht="110.4" customHeight="1">
      <c r="A46" t="s">
        <v>949</v>
      </c>
      <c r="B46" t="s">
        <v>949</v>
      </c>
      <c r="C46">
        <v>27</v>
      </c>
      <c r="D46" s="2" t="s">
        <v>1108</v>
      </c>
      <c r="E46" s="2" t="s">
        <v>986</v>
      </c>
      <c r="F46" s="2" t="s">
        <v>1109</v>
      </c>
      <c r="G46" s="2" t="s">
        <v>953</v>
      </c>
      <c r="H46" s="2" t="s">
        <v>954</v>
      </c>
      <c r="I46" s="2" t="s">
        <v>1110</v>
      </c>
      <c r="J46" s="253">
        <v>4</v>
      </c>
      <c r="K46" s="49">
        <f>_DATA_Assessment_Model!H46</f>
        <v>0</v>
      </c>
      <c r="L46" s="3">
        <f>_DATA_Assessment_Model!I46</f>
        <v>0</v>
      </c>
      <c r="M46" s="3">
        <f>_DATA_Assessment_Model!J46</f>
        <v>4</v>
      </c>
      <c r="N46" s="3">
        <f>_DATA_Assessment_Model!K46</f>
        <v>4</v>
      </c>
      <c r="O46" s="2" t="str">
        <f>_DATA_Assessment_Model!L46</f>
        <v>Critical</v>
      </c>
      <c r="P46" s="2" t="s">
        <v>1111</v>
      </c>
      <c r="Q46" s="2" t="s">
        <v>1112</v>
      </c>
      <c r="R46" s="2" t="s">
        <v>1113</v>
      </c>
      <c r="S46" s="2" t="s">
        <v>1114</v>
      </c>
      <c r="T46" s="2" t="s">
        <v>1115</v>
      </c>
      <c r="U46" s="2" t="s">
        <v>1116</v>
      </c>
      <c r="V46" s="2" t="s">
        <v>962</v>
      </c>
      <c r="W46" s="253"/>
      <c r="X46" s="253"/>
      <c r="Y46" s="253" t="s">
        <v>829</v>
      </c>
      <c r="Z46" s="6">
        <v>4</v>
      </c>
      <c r="AA46" s="6">
        <v>5</v>
      </c>
      <c r="AB46" s="6">
        <v>5</v>
      </c>
      <c r="AC46" s="254"/>
      <c r="AK46" s="255"/>
      <c r="AL46" s="255"/>
      <c r="AM46" s="14">
        <f>_DATA_Assessment_Model!AJ46</f>
        <v>0.9</v>
      </c>
      <c r="AN46" s="14">
        <f>_DATA_Assessment_Model!AK46</f>
        <v>0.9</v>
      </c>
      <c r="AO46" s="14">
        <f>_DATA_Assessment_Model!AL46</f>
        <v>0</v>
      </c>
      <c r="AP46" s="14">
        <f>_DATA_Assessment_Model!AM46</f>
        <v>0</v>
      </c>
      <c r="AQ46" s="14">
        <f>_DATA_Assessment_Model!AN46</f>
        <v>0</v>
      </c>
      <c r="AR46" s="14">
        <f>_DATA_Assessment_Model!AO46</f>
        <v>0</v>
      </c>
      <c r="AS46" s="14">
        <f>_DATA_Assessment_Model!AP46</f>
        <v>0</v>
      </c>
      <c r="AT46" s="14">
        <f>_DATA_Assessment_Model!AQ46</f>
        <v>0</v>
      </c>
      <c r="AU46" s="14" t="str">
        <f>_DATA_Assessment_Model!AR46</f>
        <v>Within target</v>
      </c>
      <c r="AV46" s="4">
        <f>_DATA_Assessment_Model!AS46</f>
        <v>0</v>
      </c>
      <c r="AW46" s="4">
        <f>_DATA_Assessment_Model!AT46</f>
        <v>0.9</v>
      </c>
      <c r="AX46" s="254"/>
      <c r="AY46">
        <f>_DATA_Assessment_Model!AV46</f>
        <v>0.9</v>
      </c>
    </row>
    <row r="47" spans="1:51" ht="110.4" customHeight="1">
      <c r="A47" t="s">
        <v>949</v>
      </c>
      <c r="B47" t="s">
        <v>949</v>
      </c>
      <c r="C47">
        <v>28</v>
      </c>
      <c r="D47" s="2" t="s">
        <v>1117</v>
      </c>
      <c r="E47" s="2" t="s">
        <v>990</v>
      </c>
      <c r="F47" s="2" t="s">
        <v>1118</v>
      </c>
      <c r="G47" s="2" t="s">
        <v>1119</v>
      </c>
      <c r="H47" s="2" t="s">
        <v>1120</v>
      </c>
      <c r="I47" s="2" t="s">
        <v>955</v>
      </c>
      <c r="J47" s="253">
        <v>4</v>
      </c>
      <c r="K47" s="49">
        <f>_DATA_Assessment_Model!H47</f>
        <v>0</v>
      </c>
      <c r="L47" s="3">
        <f>_DATA_Assessment_Model!I47</f>
        <v>0</v>
      </c>
      <c r="M47" s="3">
        <f>_DATA_Assessment_Model!J47</f>
        <v>4</v>
      </c>
      <c r="N47" s="3">
        <f>_DATA_Assessment_Model!K47</f>
        <v>4</v>
      </c>
      <c r="O47" s="2" t="str">
        <f>_DATA_Assessment_Model!L47</f>
        <v>Critical</v>
      </c>
      <c r="P47" s="2" t="s">
        <v>1121</v>
      </c>
      <c r="Q47" s="2" t="s">
        <v>1122</v>
      </c>
      <c r="R47" s="2" t="s">
        <v>1123</v>
      </c>
      <c r="S47" s="2" t="s">
        <v>1124</v>
      </c>
      <c r="T47" s="2" t="s">
        <v>1125</v>
      </c>
      <c r="U47" s="2" t="s">
        <v>1126</v>
      </c>
      <c r="V47" s="2" t="s">
        <v>1127</v>
      </c>
      <c r="W47" s="253"/>
      <c r="X47" s="253"/>
      <c r="Y47" s="253" t="s">
        <v>829</v>
      </c>
      <c r="Z47" s="6">
        <v>3</v>
      </c>
      <c r="AA47" s="6">
        <v>4</v>
      </c>
      <c r="AB47" s="6">
        <v>4</v>
      </c>
      <c r="AC47" s="254"/>
      <c r="AK47" s="255"/>
      <c r="AL47" s="255"/>
      <c r="AM47" s="14">
        <f>_DATA_Assessment_Model!AJ47</f>
        <v>0.9</v>
      </c>
      <c r="AN47" s="14">
        <f>_DATA_Assessment_Model!AK47</f>
        <v>0.9</v>
      </c>
      <c r="AO47" s="14">
        <f>_DATA_Assessment_Model!AL47</f>
        <v>0</v>
      </c>
      <c r="AP47" s="14">
        <f>_DATA_Assessment_Model!AM47</f>
        <v>0</v>
      </c>
      <c r="AQ47" s="14">
        <f>_DATA_Assessment_Model!AN47</f>
        <v>0</v>
      </c>
      <c r="AR47" s="14">
        <f>_DATA_Assessment_Model!AO47</f>
        <v>0</v>
      </c>
      <c r="AS47" s="14">
        <f>_DATA_Assessment_Model!AP47</f>
        <v>0</v>
      </c>
      <c r="AT47" s="14">
        <f>_DATA_Assessment_Model!AQ47</f>
        <v>0</v>
      </c>
      <c r="AU47" s="14" t="str">
        <f>_DATA_Assessment_Model!AR47</f>
        <v>Within target</v>
      </c>
      <c r="AV47" s="4">
        <f>_DATA_Assessment_Model!AS47</f>
        <v>0</v>
      </c>
      <c r="AW47" s="4">
        <f>_DATA_Assessment_Model!AT47</f>
        <v>0.9</v>
      </c>
      <c r="AX47" s="254"/>
      <c r="AY47">
        <f>_DATA_Assessment_Model!AV47</f>
        <v>0.9</v>
      </c>
    </row>
    <row r="48" spans="1:51" ht="84.9">
      <c r="A48" t="s">
        <v>949</v>
      </c>
      <c r="B48" t="s">
        <v>949</v>
      </c>
      <c r="C48">
        <v>29</v>
      </c>
      <c r="D48" t="s">
        <v>1128</v>
      </c>
      <c r="E48" t="s">
        <v>990</v>
      </c>
      <c r="F48" s="2" t="s">
        <v>1129</v>
      </c>
      <c r="G48" s="2" t="s">
        <v>1130</v>
      </c>
      <c r="H48" t="s">
        <v>1131</v>
      </c>
      <c r="I48" t="s">
        <v>955</v>
      </c>
      <c r="J48" s="254">
        <v>3</v>
      </c>
      <c r="K48">
        <f>_DATA_Assessment_Model!H48</f>
        <v>0</v>
      </c>
      <c r="L48">
        <f>_DATA_Assessment_Model!I48</f>
        <v>0</v>
      </c>
      <c r="M48">
        <f>_DATA_Assessment_Model!J48</f>
        <v>3</v>
      </c>
      <c r="N48">
        <f>_DATA_Assessment_Model!K48</f>
        <v>3</v>
      </c>
      <c r="O48" t="str">
        <f>_DATA_Assessment_Model!L48</f>
        <v>Critical</v>
      </c>
      <c r="P48" t="s">
        <v>1132</v>
      </c>
      <c r="Q48" t="s">
        <v>1133</v>
      </c>
      <c r="R48" t="s">
        <v>1134</v>
      </c>
      <c r="S48" t="s">
        <v>1135</v>
      </c>
      <c r="T48" t="s">
        <v>1136</v>
      </c>
      <c r="U48" t="s">
        <v>1137</v>
      </c>
      <c r="V48" t="s">
        <v>1138</v>
      </c>
      <c r="W48" s="254"/>
      <c r="X48" s="254"/>
      <c r="Y48" s="254" t="s">
        <v>829</v>
      </c>
      <c r="Z48">
        <v>2</v>
      </c>
      <c r="AA48">
        <v>4</v>
      </c>
      <c r="AB48">
        <v>3</v>
      </c>
      <c r="AC48" s="254"/>
      <c r="AK48" s="254"/>
      <c r="AL48" s="254"/>
      <c r="AM48">
        <f>_DATA_Assessment_Model!AJ48</f>
        <v>0.9</v>
      </c>
      <c r="AN48">
        <f>_DATA_Assessment_Model!AK48</f>
        <v>0.9</v>
      </c>
      <c r="AO48">
        <f>_DATA_Assessment_Model!AL48</f>
        <v>0</v>
      </c>
      <c r="AP48">
        <f>_DATA_Assessment_Model!AM48</f>
        <v>0</v>
      </c>
      <c r="AQ48">
        <f>_DATA_Assessment_Model!AN48</f>
        <v>0</v>
      </c>
      <c r="AR48">
        <f>_DATA_Assessment_Model!AO48</f>
        <v>0</v>
      </c>
      <c r="AS48">
        <f>_DATA_Assessment_Model!AP48</f>
        <v>0</v>
      </c>
      <c r="AT48">
        <f>_DATA_Assessment_Model!AQ48</f>
        <v>0</v>
      </c>
      <c r="AU48" t="str">
        <f>_DATA_Assessment_Model!AR48</f>
        <v>Within target</v>
      </c>
      <c r="AV48">
        <f>_DATA_Assessment_Model!AS48</f>
        <v>0</v>
      </c>
      <c r="AW48">
        <f>_DATA_Assessment_Model!AT48</f>
        <v>0.9</v>
      </c>
      <c r="AX48" s="254"/>
      <c r="AY48">
        <f>_DATA_Assessment_Model!AV48</f>
        <v>0.9</v>
      </c>
    </row>
    <row r="49" spans="1:51" ht="84.9">
      <c r="A49" t="s">
        <v>949</v>
      </c>
      <c r="B49" t="s">
        <v>949</v>
      </c>
      <c r="C49">
        <v>30</v>
      </c>
      <c r="D49" t="s">
        <v>1139</v>
      </c>
      <c r="E49" t="s">
        <v>990</v>
      </c>
      <c r="F49" s="2" t="s">
        <v>1140</v>
      </c>
      <c r="G49" s="2" t="s">
        <v>1141</v>
      </c>
      <c r="H49" t="s">
        <v>1142</v>
      </c>
      <c r="I49" t="s">
        <v>955</v>
      </c>
      <c r="J49" s="254">
        <v>4</v>
      </c>
      <c r="K49">
        <f>_DATA_Assessment_Model!H49</f>
        <v>0</v>
      </c>
      <c r="L49">
        <f>_DATA_Assessment_Model!I49</f>
        <v>0</v>
      </c>
      <c r="M49">
        <f>_DATA_Assessment_Model!J49</f>
        <v>4</v>
      </c>
      <c r="N49">
        <f>_DATA_Assessment_Model!K49</f>
        <v>4</v>
      </c>
      <c r="O49" t="str">
        <f>_DATA_Assessment_Model!L49</f>
        <v>Critical</v>
      </c>
      <c r="P49" t="s">
        <v>1143</v>
      </c>
      <c r="Q49" t="s">
        <v>1144</v>
      </c>
      <c r="R49" t="s">
        <v>1145</v>
      </c>
      <c r="S49" t="s">
        <v>1146</v>
      </c>
      <c r="T49" t="s">
        <v>1147</v>
      </c>
      <c r="U49" t="s">
        <v>1148</v>
      </c>
      <c r="V49" t="s">
        <v>1149</v>
      </c>
      <c r="W49" s="254"/>
      <c r="X49" s="254"/>
      <c r="Y49" s="254" t="s">
        <v>829</v>
      </c>
      <c r="Z49">
        <v>2</v>
      </c>
      <c r="AA49">
        <v>4</v>
      </c>
      <c r="AB49">
        <v>4</v>
      </c>
      <c r="AC49" s="254"/>
      <c r="AK49" s="254"/>
      <c r="AL49" s="254"/>
      <c r="AM49">
        <f>_DATA_Assessment_Model!AJ49</f>
        <v>0.9</v>
      </c>
      <c r="AN49">
        <f>_DATA_Assessment_Model!AK49</f>
        <v>0.9</v>
      </c>
      <c r="AO49">
        <f>_DATA_Assessment_Model!AL49</f>
        <v>0</v>
      </c>
      <c r="AP49">
        <f>_DATA_Assessment_Model!AM49</f>
        <v>0</v>
      </c>
      <c r="AQ49">
        <f>_DATA_Assessment_Model!AN49</f>
        <v>0</v>
      </c>
      <c r="AR49">
        <f>_DATA_Assessment_Model!AO49</f>
        <v>0</v>
      </c>
      <c r="AS49">
        <f>_DATA_Assessment_Model!AP49</f>
        <v>0</v>
      </c>
      <c r="AT49">
        <f>_DATA_Assessment_Model!AQ49</f>
        <v>0</v>
      </c>
      <c r="AU49" t="str">
        <f>_DATA_Assessment_Model!AR49</f>
        <v>Within target</v>
      </c>
      <c r="AV49">
        <f>_DATA_Assessment_Model!AS49</f>
        <v>0</v>
      </c>
      <c r="AW49">
        <f>_DATA_Assessment_Model!AT49</f>
        <v>0.9</v>
      </c>
      <c r="AX49" s="254"/>
      <c r="AY49">
        <f>_DATA_Assessment_Model!AV49</f>
        <v>0.9</v>
      </c>
    </row>
    <row r="50" spans="1:51" ht="69" customHeight="1">
      <c r="A50" t="s">
        <v>1150</v>
      </c>
      <c r="B50" t="s">
        <v>1150</v>
      </c>
      <c r="C50">
        <v>5</v>
      </c>
      <c r="D50" s="2" t="s">
        <v>1151</v>
      </c>
      <c r="E50" s="2" t="s">
        <v>1152</v>
      </c>
      <c r="F50" s="2" t="s">
        <v>1153</v>
      </c>
      <c r="G50" s="2" t="s">
        <v>1154</v>
      </c>
      <c r="H50" s="2" t="s">
        <v>1155</v>
      </c>
      <c r="I50" s="2" t="s">
        <v>1156</v>
      </c>
      <c r="J50" s="253">
        <v>5</v>
      </c>
      <c r="K50" s="49">
        <f>_DATA_Assessment_Model!H50</f>
        <v>0</v>
      </c>
      <c r="L50" s="3">
        <f>_DATA_Assessment_Model!I50</f>
        <v>0</v>
      </c>
      <c r="M50" s="3">
        <f>_DATA_Assessment_Model!J50</f>
        <v>5</v>
      </c>
      <c r="N50" s="3">
        <f>_DATA_Assessment_Model!K50</f>
        <v>5</v>
      </c>
      <c r="O50" s="2" t="str">
        <f>_DATA_Assessment_Model!L50</f>
        <v>Critical</v>
      </c>
      <c r="P50" s="2" t="s">
        <v>833</v>
      </c>
      <c r="Q50" s="2" t="s">
        <v>834</v>
      </c>
      <c r="R50" s="2" t="s">
        <v>835</v>
      </c>
      <c r="S50" s="2" t="s">
        <v>836</v>
      </c>
      <c r="T50" s="2" t="s">
        <v>837</v>
      </c>
      <c r="U50" s="2" t="s">
        <v>838</v>
      </c>
      <c r="V50" s="2" t="s">
        <v>1157</v>
      </c>
      <c r="W50" s="253"/>
      <c r="X50" s="253"/>
      <c r="Y50" s="253" t="s">
        <v>829</v>
      </c>
      <c r="Z50" s="6">
        <v>4</v>
      </c>
      <c r="AA50" s="6">
        <v>5</v>
      </c>
      <c r="AB50" s="6">
        <v>5</v>
      </c>
      <c r="AC50" s="254"/>
      <c r="AD50" t="s">
        <v>1152</v>
      </c>
      <c r="AE50" s="5">
        <f>_DATA_Assessment_Model!AB50</f>
        <v>7</v>
      </c>
      <c r="AF50" s="7">
        <f>_DATA_Assessment_Model!AC50</f>
        <v>0</v>
      </c>
      <c r="AG50" s="8">
        <f>_DATA_Assessment_Model!AD50</f>
        <v>0</v>
      </c>
      <c r="AH50" s="5">
        <f>_DATA_Assessment_Model!AE50</f>
        <v>7</v>
      </c>
      <c r="AI50" s="7">
        <f>_DATA_Assessment_Model!AF50</f>
        <v>5</v>
      </c>
      <c r="AJ50" s="5">
        <f>_DATA_Assessment_Model!AG50</f>
        <v>7</v>
      </c>
      <c r="AK50" s="255"/>
      <c r="AL50" s="255"/>
      <c r="AM50" s="14">
        <f>_DATA_Assessment_Model!AJ50</f>
        <v>0.9</v>
      </c>
      <c r="AN50" s="14">
        <f>_DATA_Assessment_Model!AK50</f>
        <v>0.9</v>
      </c>
      <c r="AO50" s="14">
        <f>_DATA_Assessment_Model!AL50</f>
        <v>0</v>
      </c>
      <c r="AP50" s="14">
        <f>_DATA_Assessment_Model!AM50</f>
        <v>0</v>
      </c>
      <c r="AQ50" s="14">
        <f>_DATA_Assessment_Model!AN50</f>
        <v>0</v>
      </c>
      <c r="AR50" s="14">
        <f>_DATA_Assessment_Model!AO50</f>
        <v>0</v>
      </c>
      <c r="AS50" s="14">
        <f>_DATA_Assessment_Model!AP50</f>
        <v>0</v>
      </c>
      <c r="AT50" s="14">
        <f>_DATA_Assessment_Model!AQ50</f>
        <v>0</v>
      </c>
      <c r="AU50" s="14" t="str">
        <f>_DATA_Assessment_Model!AR50</f>
        <v>Within target</v>
      </c>
      <c r="AV50" s="4">
        <f>_DATA_Assessment_Model!AS50</f>
        <v>0</v>
      </c>
      <c r="AW50" s="4">
        <f>_DATA_Assessment_Model!AT50</f>
        <v>0.9</v>
      </c>
      <c r="AX50" s="254"/>
      <c r="AY50">
        <f>_DATA_Assessment_Model!AV50</f>
        <v>0.9</v>
      </c>
    </row>
    <row r="51" spans="1:51" ht="69" customHeight="1">
      <c r="A51" t="s">
        <v>1150</v>
      </c>
      <c r="B51" t="s">
        <v>1150</v>
      </c>
      <c r="C51">
        <v>6</v>
      </c>
      <c r="D51" s="2" t="s">
        <v>1158</v>
      </c>
      <c r="E51" s="2" t="s">
        <v>1152</v>
      </c>
      <c r="F51" s="2" t="s">
        <v>1159</v>
      </c>
      <c r="G51" s="2" t="s">
        <v>1154</v>
      </c>
      <c r="H51" s="2" t="s">
        <v>1155</v>
      </c>
      <c r="I51" s="2" t="s">
        <v>1160</v>
      </c>
      <c r="J51" s="253">
        <v>5</v>
      </c>
      <c r="K51" s="49">
        <f>_DATA_Assessment_Model!H51</f>
        <v>0</v>
      </c>
      <c r="L51" s="3">
        <f>_DATA_Assessment_Model!I51</f>
        <v>0</v>
      </c>
      <c r="M51" s="3">
        <f>_DATA_Assessment_Model!J51</f>
        <v>5</v>
      </c>
      <c r="N51" s="3">
        <f>_DATA_Assessment_Model!K51</f>
        <v>5</v>
      </c>
      <c r="O51" s="2" t="str">
        <f>_DATA_Assessment_Model!L51</f>
        <v>Critical</v>
      </c>
      <c r="P51" s="2" t="s">
        <v>833</v>
      </c>
      <c r="Q51" s="2" t="s">
        <v>834</v>
      </c>
      <c r="R51" s="2" t="s">
        <v>835</v>
      </c>
      <c r="S51" s="2" t="s">
        <v>836</v>
      </c>
      <c r="T51" s="2" t="s">
        <v>837</v>
      </c>
      <c r="U51" s="2" t="s">
        <v>838</v>
      </c>
      <c r="V51" s="2" t="s">
        <v>1157</v>
      </c>
      <c r="W51" s="253"/>
      <c r="X51" s="253"/>
      <c r="Y51" s="253" t="s">
        <v>829</v>
      </c>
      <c r="Z51" s="6">
        <v>4</v>
      </c>
      <c r="AA51" s="6">
        <v>5</v>
      </c>
      <c r="AB51" s="6">
        <v>5</v>
      </c>
      <c r="AC51" s="254"/>
      <c r="AD51" t="s">
        <v>1161</v>
      </c>
      <c r="AE51" s="5">
        <f>_DATA_Assessment_Model!AB51</f>
        <v>9</v>
      </c>
      <c r="AF51" s="7">
        <f>_DATA_Assessment_Model!AC51</f>
        <v>0</v>
      </c>
      <c r="AG51" s="8">
        <f>_DATA_Assessment_Model!AD51</f>
        <v>0</v>
      </c>
      <c r="AH51" s="5">
        <f>_DATA_Assessment_Model!AE51</f>
        <v>9</v>
      </c>
      <c r="AI51" s="7">
        <f>_DATA_Assessment_Model!AF51</f>
        <v>5</v>
      </c>
      <c r="AJ51" s="5">
        <f>_DATA_Assessment_Model!AG51</f>
        <v>9</v>
      </c>
      <c r="AK51" s="255"/>
      <c r="AL51" s="255"/>
      <c r="AM51" s="14">
        <f>_DATA_Assessment_Model!AJ51</f>
        <v>0.9</v>
      </c>
      <c r="AN51" s="14">
        <f>_DATA_Assessment_Model!AK51</f>
        <v>0.9</v>
      </c>
      <c r="AO51" s="14">
        <f>_DATA_Assessment_Model!AL51</f>
        <v>0</v>
      </c>
      <c r="AP51" s="14">
        <f>_DATA_Assessment_Model!AM51</f>
        <v>0</v>
      </c>
      <c r="AQ51" s="14">
        <f>_DATA_Assessment_Model!AN51</f>
        <v>0</v>
      </c>
      <c r="AR51" s="14">
        <f>_DATA_Assessment_Model!AO51</f>
        <v>0</v>
      </c>
      <c r="AS51" s="14">
        <f>_DATA_Assessment_Model!AP51</f>
        <v>0</v>
      </c>
      <c r="AT51" s="14">
        <f>_DATA_Assessment_Model!AQ51</f>
        <v>0</v>
      </c>
      <c r="AU51" s="14" t="str">
        <f>_DATA_Assessment_Model!AR51</f>
        <v>Within target</v>
      </c>
      <c r="AV51" s="4">
        <f>_DATA_Assessment_Model!AS51</f>
        <v>0</v>
      </c>
      <c r="AW51" s="4">
        <f>_DATA_Assessment_Model!AT51</f>
        <v>0.9</v>
      </c>
      <c r="AX51" s="254"/>
      <c r="AY51">
        <f>_DATA_Assessment_Model!AV51</f>
        <v>0.9</v>
      </c>
    </row>
    <row r="52" spans="1:51" ht="69" customHeight="1">
      <c r="A52" t="s">
        <v>1150</v>
      </c>
      <c r="B52" t="s">
        <v>1150</v>
      </c>
      <c r="C52">
        <v>7</v>
      </c>
      <c r="D52" s="2" t="s">
        <v>1162</v>
      </c>
      <c r="E52" s="2" t="s">
        <v>1152</v>
      </c>
      <c r="F52" s="2" t="s">
        <v>1163</v>
      </c>
      <c r="G52" s="2" t="s">
        <v>1154</v>
      </c>
      <c r="H52" s="2" t="s">
        <v>1155</v>
      </c>
      <c r="I52" s="2" t="s">
        <v>1164</v>
      </c>
      <c r="J52" s="253">
        <v>5</v>
      </c>
      <c r="K52" s="49">
        <f>_DATA_Assessment_Model!H52</f>
        <v>0</v>
      </c>
      <c r="L52" s="3">
        <f>_DATA_Assessment_Model!I52</f>
        <v>0</v>
      </c>
      <c r="M52" s="3">
        <f>_DATA_Assessment_Model!J52</f>
        <v>5</v>
      </c>
      <c r="N52" s="3">
        <f>_DATA_Assessment_Model!K52</f>
        <v>5</v>
      </c>
      <c r="O52" s="2" t="str">
        <f>_DATA_Assessment_Model!L52</f>
        <v>Critical</v>
      </c>
      <c r="P52" s="2" t="s">
        <v>833</v>
      </c>
      <c r="Q52" s="2" t="s">
        <v>834</v>
      </c>
      <c r="R52" s="2" t="s">
        <v>835</v>
      </c>
      <c r="S52" s="2" t="s">
        <v>836</v>
      </c>
      <c r="T52" s="2" t="s">
        <v>837</v>
      </c>
      <c r="U52" s="2" t="s">
        <v>838</v>
      </c>
      <c r="V52" s="2" t="s">
        <v>1157</v>
      </c>
      <c r="W52" s="253"/>
      <c r="X52" s="253"/>
      <c r="Y52" s="253" t="s">
        <v>829</v>
      </c>
      <c r="Z52" s="6">
        <v>4</v>
      </c>
      <c r="AA52" s="6">
        <v>5</v>
      </c>
      <c r="AB52" s="6">
        <v>5</v>
      </c>
      <c r="AC52" s="254"/>
      <c r="AD52" t="s">
        <v>1165</v>
      </c>
      <c r="AE52" s="5">
        <f>_DATA_Assessment_Model!AB52</f>
        <v>6</v>
      </c>
      <c r="AF52" s="7">
        <f>_DATA_Assessment_Model!AC52</f>
        <v>0</v>
      </c>
      <c r="AG52" s="8">
        <f>_DATA_Assessment_Model!AD52</f>
        <v>0</v>
      </c>
      <c r="AH52" s="5">
        <f>_DATA_Assessment_Model!AE52</f>
        <v>6</v>
      </c>
      <c r="AI52" s="7">
        <f>_DATA_Assessment_Model!AF52</f>
        <v>5</v>
      </c>
      <c r="AJ52" s="5">
        <f>_DATA_Assessment_Model!AG52</f>
        <v>6</v>
      </c>
      <c r="AK52" s="255"/>
      <c r="AL52" s="255"/>
      <c r="AM52" s="14">
        <f>_DATA_Assessment_Model!AJ52</f>
        <v>0.9</v>
      </c>
      <c r="AN52" s="14">
        <f>_DATA_Assessment_Model!AK52</f>
        <v>0.9</v>
      </c>
      <c r="AO52" s="14">
        <f>_DATA_Assessment_Model!AL52</f>
        <v>0</v>
      </c>
      <c r="AP52" s="14">
        <f>_DATA_Assessment_Model!AM52</f>
        <v>0</v>
      </c>
      <c r="AQ52" s="14">
        <f>_DATA_Assessment_Model!AN52</f>
        <v>0</v>
      </c>
      <c r="AR52" s="14">
        <f>_DATA_Assessment_Model!AO52</f>
        <v>0</v>
      </c>
      <c r="AS52" s="14">
        <f>_DATA_Assessment_Model!AP52</f>
        <v>0</v>
      </c>
      <c r="AT52" s="14">
        <f>_DATA_Assessment_Model!AQ52</f>
        <v>0</v>
      </c>
      <c r="AU52" s="14" t="str">
        <f>_DATA_Assessment_Model!AR52</f>
        <v>Within target</v>
      </c>
      <c r="AV52" s="4">
        <f>_DATA_Assessment_Model!AS52</f>
        <v>0</v>
      </c>
      <c r="AW52" s="4">
        <f>_DATA_Assessment_Model!AT52</f>
        <v>0.9</v>
      </c>
      <c r="AX52" s="254"/>
      <c r="AY52">
        <f>_DATA_Assessment_Model!AV52</f>
        <v>0.9</v>
      </c>
    </row>
    <row r="53" spans="1:51" ht="69" customHeight="1">
      <c r="A53" t="s">
        <v>1150</v>
      </c>
      <c r="B53" t="s">
        <v>1150</v>
      </c>
      <c r="C53">
        <v>8</v>
      </c>
      <c r="D53" s="2" t="s">
        <v>1166</v>
      </c>
      <c r="E53" s="2" t="s">
        <v>1152</v>
      </c>
      <c r="F53" s="2" t="s">
        <v>1167</v>
      </c>
      <c r="G53" s="2" t="s">
        <v>1154</v>
      </c>
      <c r="H53" s="2" t="s">
        <v>1155</v>
      </c>
      <c r="I53" s="2" t="s">
        <v>1168</v>
      </c>
      <c r="J53" s="253">
        <v>5</v>
      </c>
      <c r="K53" s="49">
        <f>_DATA_Assessment_Model!H53</f>
        <v>0</v>
      </c>
      <c r="L53" s="3">
        <f>_DATA_Assessment_Model!I53</f>
        <v>0</v>
      </c>
      <c r="M53" s="3">
        <f>_DATA_Assessment_Model!J53</f>
        <v>5</v>
      </c>
      <c r="N53" s="3">
        <f>_DATA_Assessment_Model!K53</f>
        <v>5</v>
      </c>
      <c r="O53" s="2" t="str">
        <f>_DATA_Assessment_Model!L53</f>
        <v>Critical</v>
      </c>
      <c r="P53" s="2" t="s">
        <v>833</v>
      </c>
      <c r="Q53" s="2" t="s">
        <v>834</v>
      </c>
      <c r="R53" s="2" t="s">
        <v>835</v>
      </c>
      <c r="S53" s="2" t="s">
        <v>836</v>
      </c>
      <c r="T53" s="2" t="s">
        <v>837</v>
      </c>
      <c r="U53" s="2" t="s">
        <v>838</v>
      </c>
      <c r="V53" s="2" t="s">
        <v>1157</v>
      </c>
      <c r="W53" s="253"/>
      <c r="X53" s="253"/>
      <c r="Y53" s="253" t="s">
        <v>829</v>
      </c>
      <c r="Z53" s="6">
        <v>4</v>
      </c>
      <c r="AA53" s="6">
        <v>5</v>
      </c>
      <c r="AB53" s="6">
        <v>5</v>
      </c>
      <c r="AC53" s="254"/>
      <c r="AK53" s="255"/>
      <c r="AL53" s="255"/>
      <c r="AM53" s="14">
        <f>_DATA_Assessment_Model!AJ53</f>
        <v>0.9</v>
      </c>
      <c r="AN53" s="14">
        <f>_DATA_Assessment_Model!AK53</f>
        <v>0.9</v>
      </c>
      <c r="AO53" s="14">
        <f>_DATA_Assessment_Model!AL53</f>
        <v>0</v>
      </c>
      <c r="AP53" s="14">
        <f>_DATA_Assessment_Model!AM53</f>
        <v>0</v>
      </c>
      <c r="AQ53" s="14">
        <f>_DATA_Assessment_Model!AN53</f>
        <v>0</v>
      </c>
      <c r="AR53" s="14">
        <f>_DATA_Assessment_Model!AO53</f>
        <v>0</v>
      </c>
      <c r="AS53" s="14">
        <f>_DATA_Assessment_Model!AP53</f>
        <v>0</v>
      </c>
      <c r="AT53" s="14">
        <f>_DATA_Assessment_Model!AQ53</f>
        <v>0</v>
      </c>
      <c r="AU53" s="14" t="str">
        <f>_DATA_Assessment_Model!AR53</f>
        <v>Within target</v>
      </c>
      <c r="AV53" s="4">
        <f>_DATA_Assessment_Model!AS53</f>
        <v>0</v>
      </c>
      <c r="AW53" s="4">
        <f>_DATA_Assessment_Model!AT53</f>
        <v>0.9</v>
      </c>
      <c r="AX53" s="254"/>
      <c r="AY53">
        <f>_DATA_Assessment_Model!AV53</f>
        <v>0.9</v>
      </c>
    </row>
    <row r="54" spans="1:51" ht="69" customHeight="1">
      <c r="A54" t="s">
        <v>1150</v>
      </c>
      <c r="B54" t="s">
        <v>1150</v>
      </c>
      <c r="C54">
        <v>9</v>
      </c>
      <c r="D54" s="2" t="s">
        <v>1169</v>
      </c>
      <c r="E54" s="2" t="s">
        <v>1152</v>
      </c>
      <c r="F54" s="2" t="s">
        <v>1170</v>
      </c>
      <c r="G54" s="2" t="s">
        <v>1154</v>
      </c>
      <c r="H54" s="2" t="s">
        <v>1155</v>
      </c>
      <c r="I54" s="2" t="s">
        <v>1171</v>
      </c>
      <c r="J54" s="253">
        <v>5</v>
      </c>
      <c r="K54" s="49">
        <f>_DATA_Assessment_Model!H54</f>
        <v>0</v>
      </c>
      <c r="L54" s="3">
        <f>_DATA_Assessment_Model!I54</f>
        <v>0</v>
      </c>
      <c r="M54" s="3">
        <f>_DATA_Assessment_Model!J54</f>
        <v>5</v>
      </c>
      <c r="N54" s="3">
        <f>_DATA_Assessment_Model!K54</f>
        <v>5</v>
      </c>
      <c r="O54" s="2" t="str">
        <f>_DATA_Assessment_Model!L54</f>
        <v>Critical</v>
      </c>
      <c r="P54" s="2" t="s">
        <v>833</v>
      </c>
      <c r="Q54" s="2" t="s">
        <v>834</v>
      </c>
      <c r="R54" s="2" t="s">
        <v>835</v>
      </c>
      <c r="S54" s="2" t="s">
        <v>836</v>
      </c>
      <c r="T54" s="2" t="s">
        <v>837</v>
      </c>
      <c r="U54" s="2" t="s">
        <v>838</v>
      </c>
      <c r="V54" s="2" t="s">
        <v>1157</v>
      </c>
      <c r="W54" s="253"/>
      <c r="X54" s="253"/>
      <c r="Y54" s="253" t="s">
        <v>829</v>
      </c>
      <c r="Z54" s="6">
        <v>4</v>
      </c>
      <c r="AA54" s="6">
        <v>5</v>
      </c>
      <c r="AB54" s="6">
        <v>5</v>
      </c>
      <c r="AC54" s="254"/>
      <c r="AK54" s="255"/>
      <c r="AL54" s="255"/>
      <c r="AM54" s="14">
        <f>_DATA_Assessment_Model!AJ54</f>
        <v>0.9</v>
      </c>
      <c r="AN54" s="14">
        <f>_DATA_Assessment_Model!AK54</f>
        <v>0.9</v>
      </c>
      <c r="AO54" s="14">
        <f>_DATA_Assessment_Model!AL54</f>
        <v>0</v>
      </c>
      <c r="AP54" s="14">
        <f>_DATA_Assessment_Model!AM54</f>
        <v>0</v>
      </c>
      <c r="AQ54" s="14">
        <f>_DATA_Assessment_Model!AN54</f>
        <v>0</v>
      </c>
      <c r="AR54" s="14">
        <f>_DATA_Assessment_Model!AO54</f>
        <v>0</v>
      </c>
      <c r="AS54" s="14">
        <f>_DATA_Assessment_Model!AP54</f>
        <v>0</v>
      </c>
      <c r="AT54" s="14">
        <f>_DATA_Assessment_Model!AQ54</f>
        <v>0</v>
      </c>
      <c r="AU54" s="14" t="str">
        <f>_DATA_Assessment_Model!AR54</f>
        <v>Within target</v>
      </c>
      <c r="AV54" s="4">
        <f>_DATA_Assessment_Model!AS54</f>
        <v>0</v>
      </c>
      <c r="AW54" s="4">
        <f>_DATA_Assessment_Model!AT54</f>
        <v>0.9</v>
      </c>
      <c r="AX54" s="254"/>
      <c r="AY54">
        <f>_DATA_Assessment_Model!AV54</f>
        <v>0.9</v>
      </c>
    </row>
    <row r="55" spans="1:51" ht="82.85" customHeight="1">
      <c r="A55" t="s">
        <v>1150</v>
      </c>
      <c r="B55" t="s">
        <v>1150</v>
      </c>
      <c r="C55">
        <v>10</v>
      </c>
      <c r="D55" s="2" t="s">
        <v>1172</v>
      </c>
      <c r="E55" s="2" t="s">
        <v>1152</v>
      </c>
      <c r="F55" s="2" t="s">
        <v>1173</v>
      </c>
      <c r="G55" s="2" t="s">
        <v>1154</v>
      </c>
      <c r="H55" s="2" t="s">
        <v>1155</v>
      </c>
      <c r="I55" s="2" t="s">
        <v>1174</v>
      </c>
      <c r="J55" s="253">
        <v>3</v>
      </c>
      <c r="K55" s="49">
        <f>_DATA_Assessment_Model!H55</f>
        <v>0</v>
      </c>
      <c r="L55" s="3">
        <f>_DATA_Assessment_Model!I55</f>
        <v>0</v>
      </c>
      <c r="M55" s="3">
        <f>_DATA_Assessment_Model!J55</f>
        <v>3</v>
      </c>
      <c r="N55" s="3">
        <f>_DATA_Assessment_Model!K55</f>
        <v>3</v>
      </c>
      <c r="O55" s="2" t="str">
        <f>_DATA_Assessment_Model!L55</f>
        <v>Critical</v>
      </c>
      <c r="P55" s="2" t="s">
        <v>1175</v>
      </c>
      <c r="Q55" s="2" t="s">
        <v>1176</v>
      </c>
      <c r="R55" s="2" t="s">
        <v>1177</v>
      </c>
      <c r="S55" s="2" t="s">
        <v>1178</v>
      </c>
      <c r="T55" s="2" t="s">
        <v>1179</v>
      </c>
      <c r="U55" s="2" t="s">
        <v>1180</v>
      </c>
      <c r="V55" s="2" t="s">
        <v>1157</v>
      </c>
      <c r="W55" s="253"/>
      <c r="X55" s="253"/>
      <c r="Y55" s="253" t="s">
        <v>829</v>
      </c>
      <c r="Z55" s="6">
        <v>4</v>
      </c>
      <c r="AA55" s="6">
        <v>5</v>
      </c>
      <c r="AB55" s="6">
        <v>5</v>
      </c>
      <c r="AC55" s="254"/>
      <c r="AK55" s="255"/>
      <c r="AL55" s="255"/>
      <c r="AM55" s="14">
        <f>_DATA_Assessment_Model!AJ55</f>
        <v>0.9</v>
      </c>
      <c r="AN55" s="14">
        <f>_DATA_Assessment_Model!AK55</f>
        <v>0.9</v>
      </c>
      <c r="AO55" s="14">
        <f>_DATA_Assessment_Model!AL55</f>
        <v>0</v>
      </c>
      <c r="AP55" s="14">
        <f>_DATA_Assessment_Model!AM55</f>
        <v>0</v>
      </c>
      <c r="AQ55" s="14">
        <f>_DATA_Assessment_Model!AN55</f>
        <v>0</v>
      </c>
      <c r="AR55" s="14">
        <f>_DATA_Assessment_Model!AO55</f>
        <v>0</v>
      </c>
      <c r="AS55" s="14">
        <f>_DATA_Assessment_Model!AP55</f>
        <v>0</v>
      </c>
      <c r="AT55" s="14">
        <f>_DATA_Assessment_Model!AQ55</f>
        <v>0</v>
      </c>
      <c r="AU55" s="14" t="str">
        <f>_DATA_Assessment_Model!AR55</f>
        <v>Within target</v>
      </c>
      <c r="AV55" s="4">
        <f>_DATA_Assessment_Model!AS55</f>
        <v>0</v>
      </c>
      <c r="AW55" s="4">
        <f>_DATA_Assessment_Model!AT55</f>
        <v>0.9</v>
      </c>
      <c r="AX55" s="254"/>
      <c r="AY55">
        <f>_DATA_Assessment_Model!AV55</f>
        <v>0.9</v>
      </c>
    </row>
    <row r="56" spans="1:51" ht="69" customHeight="1">
      <c r="A56" t="s">
        <v>1150</v>
      </c>
      <c r="B56" t="s">
        <v>1150</v>
      </c>
      <c r="C56">
        <v>11</v>
      </c>
      <c r="D56" s="2" t="s">
        <v>1181</v>
      </c>
      <c r="E56" s="2" t="s">
        <v>1161</v>
      </c>
      <c r="F56" s="2" t="s">
        <v>1182</v>
      </c>
      <c r="G56" s="2" t="s">
        <v>1154</v>
      </c>
      <c r="H56" s="2" t="s">
        <v>1155</v>
      </c>
      <c r="I56" s="2" t="s">
        <v>1183</v>
      </c>
      <c r="J56" s="253">
        <v>5</v>
      </c>
      <c r="K56" s="49">
        <f>_DATA_Assessment_Model!H56</f>
        <v>0</v>
      </c>
      <c r="L56" s="3">
        <f>_DATA_Assessment_Model!I56</f>
        <v>0</v>
      </c>
      <c r="M56" s="3">
        <f>_DATA_Assessment_Model!J56</f>
        <v>5</v>
      </c>
      <c r="N56" s="3">
        <f>_DATA_Assessment_Model!K56</f>
        <v>5</v>
      </c>
      <c r="O56" s="2" t="str">
        <f>_DATA_Assessment_Model!L56</f>
        <v>Critical</v>
      </c>
      <c r="P56" s="2" t="s">
        <v>1051</v>
      </c>
      <c r="Q56" s="2" t="s">
        <v>1052</v>
      </c>
      <c r="R56" s="2" t="s">
        <v>1053</v>
      </c>
      <c r="S56" s="2" t="s">
        <v>1054</v>
      </c>
      <c r="T56" s="2" t="s">
        <v>1055</v>
      </c>
      <c r="U56" s="2" t="s">
        <v>1056</v>
      </c>
      <c r="V56" s="2" t="s">
        <v>1157</v>
      </c>
      <c r="W56" s="253"/>
      <c r="X56" s="253"/>
      <c r="Y56" s="253" t="s">
        <v>829</v>
      </c>
      <c r="Z56" s="6">
        <v>4</v>
      </c>
      <c r="AA56" s="6">
        <v>5</v>
      </c>
      <c r="AB56" s="6">
        <v>5</v>
      </c>
      <c r="AC56" s="254"/>
      <c r="AK56" s="255"/>
      <c r="AL56" s="255"/>
      <c r="AM56" s="14">
        <f>_DATA_Assessment_Model!AJ56</f>
        <v>0.9</v>
      </c>
      <c r="AN56" s="14">
        <f>_DATA_Assessment_Model!AK56</f>
        <v>0.9</v>
      </c>
      <c r="AO56" s="14">
        <f>_DATA_Assessment_Model!AL56</f>
        <v>0</v>
      </c>
      <c r="AP56" s="14">
        <f>_DATA_Assessment_Model!AM56</f>
        <v>0</v>
      </c>
      <c r="AQ56" s="14">
        <f>_DATA_Assessment_Model!AN56</f>
        <v>0</v>
      </c>
      <c r="AR56" s="14">
        <f>_DATA_Assessment_Model!AO56</f>
        <v>0</v>
      </c>
      <c r="AS56" s="14">
        <f>_DATA_Assessment_Model!AP56</f>
        <v>0</v>
      </c>
      <c r="AT56" s="14">
        <f>_DATA_Assessment_Model!AQ56</f>
        <v>0</v>
      </c>
      <c r="AU56" s="14" t="str">
        <f>_DATA_Assessment_Model!AR56</f>
        <v>Within target</v>
      </c>
      <c r="AV56" s="4">
        <f>_DATA_Assessment_Model!AS56</f>
        <v>0</v>
      </c>
      <c r="AW56" s="4">
        <f>_DATA_Assessment_Model!AT56</f>
        <v>0.9</v>
      </c>
      <c r="AX56" s="254"/>
      <c r="AY56">
        <f>_DATA_Assessment_Model!AV56</f>
        <v>0.9</v>
      </c>
    </row>
    <row r="57" spans="1:51" ht="69" customHeight="1">
      <c r="A57" t="s">
        <v>1150</v>
      </c>
      <c r="B57" t="s">
        <v>1150</v>
      </c>
      <c r="C57">
        <v>12</v>
      </c>
      <c r="D57" s="2" t="s">
        <v>1184</v>
      </c>
      <c r="E57" s="2" t="s">
        <v>1161</v>
      </c>
      <c r="F57" s="2" t="s">
        <v>1185</v>
      </c>
      <c r="G57" s="2" t="s">
        <v>1154</v>
      </c>
      <c r="H57" s="2" t="s">
        <v>1155</v>
      </c>
      <c r="I57" s="2" t="s">
        <v>1186</v>
      </c>
      <c r="J57" s="253">
        <v>5</v>
      </c>
      <c r="K57" s="49">
        <f>_DATA_Assessment_Model!H57</f>
        <v>0</v>
      </c>
      <c r="L57" s="3">
        <f>_DATA_Assessment_Model!I57</f>
        <v>0</v>
      </c>
      <c r="M57" s="3">
        <f>_DATA_Assessment_Model!J57</f>
        <v>5</v>
      </c>
      <c r="N57" s="3">
        <f>_DATA_Assessment_Model!K57</f>
        <v>5</v>
      </c>
      <c r="O57" s="2" t="str">
        <f>_DATA_Assessment_Model!L57</f>
        <v>Critical</v>
      </c>
      <c r="P57" s="2" t="s">
        <v>833</v>
      </c>
      <c r="Q57" s="2" t="s">
        <v>834</v>
      </c>
      <c r="R57" s="2" t="s">
        <v>835</v>
      </c>
      <c r="S57" s="2" t="s">
        <v>836</v>
      </c>
      <c r="T57" s="2" t="s">
        <v>837</v>
      </c>
      <c r="U57" s="2" t="s">
        <v>838</v>
      </c>
      <c r="V57" s="2" t="s">
        <v>1157</v>
      </c>
      <c r="W57" s="253"/>
      <c r="X57" s="253"/>
      <c r="Y57" s="253" t="s">
        <v>829</v>
      </c>
      <c r="Z57" s="6">
        <v>5</v>
      </c>
      <c r="AA57" s="6">
        <v>5</v>
      </c>
      <c r="AB57" s="6">
        <v>5</v>
      </c>
      <c r="AC57" s="254"/>
      <c r="AK57" s="255"/>
      <c r="AL57" s="255"/>
      <c r="AM57" s="14">
        <f>_DATA_Assessment_Model!AJ57</f>
        <v>0.9</v>
      </c>
      <c r="AN57" s="14">
        <f>_DATA_Assessment_Model!AK57</f>
        <v>0.9</v>
      </c>
      <c r="AO57" s="14">
        <f>_DATA_Assessment_Model!AL57</f>
        <v>0</v>
      </c>
      <c r="AP57" s="14">
        <f>_DATA_Assessment_Model!AM57</f>
        <v>0</v>
      </c>
      <c r="AQ57" s="14">
        <f>_DATA_Assessment_Model!AN57</f>
        <v>0</v>
      </c>
      <c r="AR57" s="14">
        <f>_DATA_Assessment_Model!AO57</f>
        <v>0</v>
      </c>
      <c r="AS57" s="14">
        <f>_DATA_Assessment_Model!AP57</f>
        <v>0</v>
      </c>
      <c r="AT57" s="14">
        <f>_DATA_Assessment_Model!AQ57</f>
        <v>0</v>
      </c>
      <c r="AU57" s="14" t="str">
        <f>_DATA_Assessment_Model!AR57</f>
        <v>Within target</v>
      </c>
      <c r="AV57" s="4">
        <f>_DATA_Assessment_Model!AS57</f>
        <v>0</v>
      </c>
      <c r="AW57" s="4">
        <f>_DATA_Assessment_Model!AT57</f>
        <v>0.9</v>
      </c>
      <c r="AX57" s="254"/>
      <c r="AY57">
        <f>_DATA_Assessment_Model!AV57</f>
        <v>0.9</v>
      </c>
    </row>
    <row r="58" spans="1:51" ht="69" customHeight="1">
      <c r="A58" t="s">
        <v>1150</v>
      </c>
      <c r="B58" t="s">
        <v>1150</v>
      </c>
      <c r="C58">
        <v>13</v>
      </c>
      <c r="D58" s="2" t="s">
        <v>1187</v>
      </c>
      <c r="E58" s="2" t="s">
        <v>1161</v>
      </c>
      <c r="F58" s="2" t="s">
        <v>1188</v>
      </c>
      <c r="G58" s="2" t="s">
        <v>1154</v>
      </c>
      <c r="H58" s="2" t="s">
        <v>1155</v>
      </c>
      <c r="I58" s="2" t="s">
        <v>1189</v>
      </c>
      <c r="J58" s="253">
        <v>5</v>
      </c>
      <c r="K58" s="49">
        <f>_DATA_Assessment_Model!H58</f>
        <v>0</v>
      </c>
      <c r="L58" s="3">
        <f>_DATA_Assessment_Model!I58</f>
        <v>0</v>
      </c>
      <c r="M58" s="3">
        <f>_DATA_Assessment_Model!J58</f>
        <v>5</v>
      </c>
      <c r="N58" s="3">
        <f>_DATA_Assessment_Model!K58</f>
        <v>5</v>
      </c>
      <c r="O58" s="2" t="str">
        <f>_DATA_Assessment_Model!L58</f>
        <v>Critical</v>
      </c>
      <c r="P58" s="2" t="s">
        <v>1069</v>
      </c>
      <c r="Q58" s="2" t="s">
        <v>1070</v>
      </c>
      <c r="R58" s="2" t="s">
        <v>1071</v>
      </c>
      <c r="S58" s="2" t="s">
        <v>1072</v>
      </c>
      <c r="T58" s="2" t="s">
        <v>1073</v>
      </c>
      <c r="U58" s="2" t="s">
        <v>1074</v>
      </c>
      <c r="V58" s="2" t="s">
        <v>1157</v>
      </c>
      <c r="W58" s="253"/>
      <c r="X58" s="253"/>
      <c r="Y58" s="253" t="s">
        <v>829</v>
      </c>
      <c r="Z58" s="6">
        <v>4</v>
      </c>
      <c r="AA58" s="6">
        <v>5</v>
      </c>
      <c r="AB58" s="6">
        <v>5</v>
      </c>
      <c r="AC58" s="254"/>
      <c r="AK58" s="255"/>
      <c r="AL58" s="255"/>
      <c r="AM58" s="14">
        <f>_DATA_Assessment_Model!AJ58</f>
        <v>0.9</v>
      </c>
      <c r="AN58" s="14">
        <f>_DATA_Assessment_Model!AK58</f>
        <v>0.9</v>
      </c>
      <c r="AO58" s="14">
        <f>_DATA_Assessment_Model!AL58</f>
        <v>0</v>
      </c>
      <c r="AP58" s="14">
        <f>_DATA_Assessment_Model!AM58</f>
        <v>0</v>
      </c>
      <c r="AQ58" s="14">
        <f>_DATA_Assessment_Model!AN58</f>
        <v>0</v>
      </c>
      <c r="AR58" s="14">
        <f>_DATA_Assessment_Model!AO58</f>
        <v>0</v>
      </c>
      <c r="AS58" s="14">
        <f>_DATA_Assessment_Model!AP58</f>
        <v>0</v>
      </c>
      <c r="AT58" s="14">
        <f>_DATA_Assessment_Model!AQ58</f>
        <v>0</v>
      </c>
      <c r="AU58" s="14" t="str">
        <f>_DATA_Assessment_Model!AR58</f>
        <v>Within target</v>
      </c>
      <c r="AV58" s="4">
        <f>_DATA_Assessment_Model!AS58</f>
        <v>0</v>
      </c>
      <c r="AW58" s="4">
        <f>_DATA_Assessment_Model!AT58</f>
        <v>0.9</v>
      </c>
      <c r="AX58" s="254"/>
      <c r="AY58">
        <f>_DATA_Assessment_Model!AV58</f>
        <v>0.9</v>
      </c>
    </row>
    <row r="59" spans="1:51" ht="69" customHeight="1">
      <c r="A59" t="s">
        <v>1150</v>
      </c>
      <c r="B59" t="s">
        <v>1150</v>
      </c>
      <c r="C59">
        <v>14</v>
      </c>
      <c r="D59" s="2" t="s">
        <v>1190</v>
      </c>
      <c r="E59" s="2" t="s">
        <v>1161</v>
      </c>
      <c r="F59" s="2" t="s">
        <v>1191</v>
      </c>
      <c r="G59" s="2" t="s">
        <v>1154</v>
      </c>
      <c r="H59" s="2" t="s">
        <v>1155</v>
      </c>
      <c r="I59" s="2" t="s">
        <v>1192</v>
      </c>
      <c r="J59" s="253">
        <v>5</v>
      </c>
      <c r="K59" s="49">
        <f>_DATA_Assessment_Model!H59</f>
        <v>0</v>
      </c>
      <c r="L59" s="3">
        <f>_DATA_Assessment_Model!I59</f>
        <v>0</v>
      </c>
      <c r="M59" s="3">
        <f>_DATA_Assessment_Model!J59</f>
        <v>5</v>
      </c>
      <c r="N59" s="3">
        <f>_DATA_Assessment_Model!K59</f>
        <v>5</v>
      </c>
      <c r="O59" s="2" t="str">
        <f>_DATA_Assessment_Model!L59</f>
        <v>Critical</v>
      </c>
      <c r="P59" s="2" t="s">
        <v>833</v>
      </c>
      <c r="Q59" s="2" t="s">
        <v>834</v>
      </c>
      <c r="R59" s="2" t="s">
        <v>835</v>
      </c>
      <c r="S59" s="2" t="s">
        <v>836</v>
      </c>
      <c r="T59" s="2" t="s">
        <v>837</v>
      </c>
      <c r="U59" s="2" t="s">
        <v>838</v>
      </c>
      <c r="V59" s="2" t="s">
        <v>1157</v>
      </c>
      <c r="W59" s="253"/>
      <c r="X59" s="253"/>
      <c r="Y59" s="253" t="s">
        <v>829</v>
      </c>
      <c r="Z59" s="6">
        <v>4</v>
      </c>
      <c r="AA59" s="6">
        <v>5</v>
      </c>
      <c r="AB59" s="6">
        <v>5</v>
      </c>
      <c r="AC59" s="254"/>
      <c r="AK59" s="255"/>
      <c r="AL59" s="255"/>
      <c r="AM59" s="14">
        <f>_DATA_Assessment_Model!AJ59</f>
        <v>0.9</v>
      </c>
      <c r="AN59" s="14">
        <f>_DATA_Assessment_Model!AK59</f>
        <v>0.9</v>
      </c>
      <c r="AO59" s="14">
        <f>_DATA_Assessment_Model!AL59</f>
        <v>0</v>
      </c>
      <c r="AP59" s="14">
        <f>_DATA_Assessment_Model!AM59</f>
        <v>0</v>
      </c>
      <c r="AQ59" s="14">
        <f>_DATA_Assessment_Model!AN59</f>
        <v>0</v>
      </c>
      <c r="AR59" s="14">
        <f>_DATA_Assessment_Model!AO59</f>
        <v>0</v>
      </c>
      <c r="AS59" s="14">
        <f>_DATA_Assessment_Model!AP59</f>
        <v>0</v>
      </c>
      <c r="AT59" s="14">
        <f>_DATA_Assessment_Model!AQ59</f>
        <v>0</v>
      </c>
      <c r="AU59" s="14" t="str">
        <f>_DATA_Assessment_Model!AR59</f>
        <v>Within target</v>
      </c>
      <c r="AV59" s="4">
        <f>_DATA_Assessment_Model!AS59</f>
        <v>0</v>
      </c>
      <c r="AW59" s="4">
        <f>_DATA_Assessment_Model!AT59</f>
        <v>0.9</v>
      </c>
      <c r="AX59" s="254"/>
      <c r="AY59">
        <f>_DATA_Assessment_Model!AV59</f>
        <v>0.9</v>
      </c>
    </row>
    <row r="60" spans="1:51" ht="82.85" customHeight="1">
      <c r="A60" t="s">
        <v>1150</v>
      </c>
      <c r="B60" t="s">
        <v>1150</v>
      </c>
      <c r="C60">
        <v>15</v>
      </c>
      <c r="D60" s="2" t="s">
        <v>1193</v>
      </c>
      <c r="E60" s="2" t="s">
        <v>1161</v>
      </c>
      <c r="F60" s="2" t="s">
        <v>1194</v>
      </c>
      <c r="G60" s="2" t="s">
        <v>1154</v>
      </c>
      <c r="H60" s="2" t="s">
        <v>1155</v>
      </c>
      <c r="I60" s="2" t="s">
        <v>1195</v>
      </c>
      <c r="J60" s="253">
        <v>5</v>
      </c>
      <c r="K60" s="49">
        <f>_DATA_Assessment_Model!H60</f>
        <v>0</v>
      </c>
      <c r="L60" s="3">
        <f>_DATA_Assessment_Model!I60</f>
        <v>0</v>
      </c>
      <c r="M60" s="3">
        <f>_DATA_Assessment_Model!J60</f>
        <v>5</v>
      </c>
      <c r="N60" s="3">
        <f>_DATA_Assessment_Model!K60</f>
        <v>5</v>
      </c>
      <c r="O60" s="2" t="str">
        <f>_DATA_Assessment_Model!L60</f>
        <v>Critical</v>
      </c>
      <c r="P60" s="2" t="s">
        <v>874</v>
      </c>
      <c r="Q60" s="2" t="s">
        <v>875</v>
      </c>
      <c r="R60" s="2" t="s">
        <v>876</v>
      </c>
      <c r="S60" s="2" t="s">
        <v>877</v>
      </c>
      <c r="T60" s="2" t="s">
        <v>878</v>
      </c>
      <c r="U60" s="2" t="s">
        <v>879</v>
      </c>
      <c r="V60" s="2" t="s">
        <v>1157</v>
      </c>
      <c r="W60" s="253"/>
      <c r="X60" s="253"/>
      <c r="Y60" s="253" t="s">
        <v>829</v>
      </c>
      <c r="Z60" s="6">
        <v>4</v>
      </c>
      <c r="AA60" s="6">
        <v>5</v>
      </c>
      <c r="AB60" s="6">
        <v>5</v>
      </c>
      <c r="AC60" s="254"/>
      <c r="AK60" s="255"/>
      <c r="AL60" s="255"/>
      <c r="AM60" s="14">
        <f>_DATA_Assessment_Model!AJ60</f>
        <v>0.9</v>
      </c>
      <c r="AN60" s="14">
        <f>_DATA_Assessment_Model!AK60</f>
        <v>0.9</v>
      </c>
      <c r="AO60" s="14">
        <f>_DATA_Assessment_Model!AL60</f>
        <v>0</v>
      </c>
      <c r="AP60" s="14">
        <f>_DATA_Assessment_Model!AM60</f>
        <v>0</v>
      </c>
      <c r="AQ60" s="14">
        <f>_DATA_Assessment_Model!AN60</f>
        <v>0</v>
      </c>
      <c r="AR60" s="14">
        <f>_DATA_Assessment_Model!AO60</f>
        <v>0</v>
      </c>
      <c r="AS60" s="14">
        <f>_DATA_Assessment_Model!AP60</f>
        <v>0</v>
      </c>
      <c r="AT60" s="14">
        <f>_DATA_Assessment_Model!AQ60</f>
        <v>0</v>
      </c>
      <c r="AU60" s="14" t="str">
        <f>_DATA_Assessment_Model!AR60</f>
        <v>Within target</v>
      </c>
      <c r="AV60" s="4">
        <f>_DATA_Assessment_Model!AS60</f>
        <v>0</v>
      </c>
      <c r="AW60" s="4">
        <f>_DATA_Assessment_Model!AT60</f>
        <v>0.9</v>
      </c>
      <c r="AX60" s="254"/>
      <c r="AY60">
        <f>_DATA_Assessment_Model!AV60</f>
        <v>0.9</v>
      </c>
    </row>
    <row r="61" spans="1:51" ht="82.85" customHeight="1">
      <c r="A61" t="s">
        <v>1150</v>
      </c>
      <c r="B61" t="s">
        <v>1150</v>
      </c>
      <c r="C61">
        <v>16</v>
      </c>
      <c r="D61" s="2" t="s">
        <v>1196</v>
      </c>
      <c r="E61" s="2" t="s">
        <v>1161</v>
      </c>
      <c r="F61" s="2" t="s">
        <v>1197</v>
      </c>
      <c r="G61" s="2" t="s">
        <v>1154</v>
      </c>
      <c r="H61" s="2" t="s">
        <v>1155</v>
      </c>
      <c r="I61" s="2" t="s">
        <v>1198</v>
      </c>
      <c r="J61" s="253">
        <v>5</v>
      </c>
      <c r="K61" s="49">
        <f>_DATA_Assessment_Model!H61</f>
        <v>0</v>
      </c>
      <c r="L61" s="3">
        <f>_DATA_Assessment_Model!I61</f>
        <v>0</v>
      </c>
      <c r="M61" s="3">
        <f>_DATA_Assessment_Model!J61</f>
        <v>5</v>
      </c>
      <c r="N61" s="3">
        <f>_DATA_Assessment_Model!K61</f>
        <v>5</v>
      </c>
      <c r="O61" s="2" t="str">
        <f>_DATA_Assessment_Model!L61</f>
        <v>Critical</v>
      </c>
      <c r="P61" s="2" t="s">
        <v>833</v>
      </c>
      <c r="Q61" s="2" t="s">
        <v>834</v>
      </c>
      <c r="R61" s="2" t="s">
        <v>835</v>
      </c>
      <c r="S61" s="2" t="s">
        <v>836</v>
      </c>
      <c r="T61" s="2" t="s">
        <v>837</v>
      </c>
      <c r="U61" s="2" t="s">
        <v>838</v>
      </c>
      <c r="V61" s="2" t="s">
        <v>1157</v>
      </c>
      <c r="W61" s="253"/>
      <c r="X61" s="253"/>
      <c r="Y61" s="253" t="s">
        <v>829</v>
      </c>
      <c r="Z61" s="6">
        <v>5</v>
      </c>
      <c r="AA61" s="6">
        <v>5</v>
      </c>
      <c r="AB61" s="6">
        <v>5</v>
      </c>
      <c r="AC61" s="254"/>
      <c r="AK61" s="255"/>
      <c r="AL61" s="255"/>
      <c r="AM61" s="14">
        <f>_DATA_Assessment_Model!AJ61</f>
        <v>0.9</v>
      </c>
      <c r="AN61" s="14">
        <f>_DATA_Assessment_Model!AK61</f>
        <v>0.9</v>
      </c>
      <c r="AO61" s="14">
        <f>_DATA_Assessment_Model!AL61</f>
        <v>0</v>
      </c>
      <c r="AP61" s="14">
        <f>_DATA_Assessment_Model!AM61</f>
        <v>0</v>
      </c>
      <c r="AQ61" s="14">
        <f>_DATA_Assessment_Model!AN61</f>
        <v>0</v>
      </c>
      <c r="AR61" s="14">
        <f>_DATA_Assessment_Model!AO61</f>
        <v>0</v>
      </c>
      <c r="AS61" s="14">
        <f>_DATA_Assessment_Model!AP61</f>
        <v>0</v>
      </c>
      <c r="AT61" s="14">
        <f>_DATA_Assessment_Model!AQ61</f>
        <v>0</v>
      </c>
      <c r="AU61" s="14" t="str">
        <f>_DATA_Assessment_Model!AR61</f>
        <v>Within target</v>
      </c>
      <c r="AV61" s="4">
        <f>_DATA_Assessment_Model!AS61</f>
        <v>0</v>
      </c>
      <c r="AW61" s="4">
        <f>_DATA_Assessment_Model!AT61</f>
        <v>0.9</v>
      </c>
      <c r="AX61" s="254"/>
      <c r="AY61">
        <f>_DATA_Assessment_Model!AV61</f>
        <v>0.9</v>
      </c>
    </row>
    <row r="62" spans="1:51" ht="69" customHeight="1">
      <c r="A62" t="s">
        <v>1150</v>
      </c>
      <c r="B62" t="s">
        <v>1150</v>
      </c>
      <c r="C62">
        <v>17</v>
      </c>
      <c r="D62" s="2" t="s">
        <v>1199</v>
      </c>
      <c r="E62" s="2" t="s">
        <v>1161</v>
      </c>
      <c r="F62" s="2" t="s">
        <v>1200</v>
      </c>
      <c r="G62" s="2" t="s">
        <v>1154</v>
      </c>
      <c r="H62" s="2" t="s">
        <v>1155</v>
      </c>
      <c r="I62" s="2" t="s">
        <v>1201</v>
      </c>
      <c r="J62" s="253">
        <v>5</v>
      </c>
      <c r="K62" s="49">
        <f>_DATA_Assessment_Model!H62</f>
        <v>0</v>
      </c>
      <c r="L62" s="3">
        <f>_DATA_Assessment_Model!I62</f>
        <v>0</v>
      </c>
      <c r="M62" s="3">
        <f>_DATA_Assessment_Model!J62</f>
        <v>5</v>
      </c>
      <c r="N62" s="3">
        <f>_DATA_Assessment_Model!K62</f>
        <v>5</v>
      </c>
      <c r="O62" s="2" t="str">
        <f>_DATA_Assessment_Model!L62</f>
        <v>Critical</v>
      </c>
      <c r="P62" s="2" t="s">
        <v>1202</v>
      </c>
      <c r="Q62" s="2" t="s">
        <v>1203</v>
      </c>
      <c r="R62" s="2" t="s">
        <v>1204</v>
      </c>
      <c r="S62" s="2" t="s">
        <v>1205</v>
      </c>
      <c r="T62" s="2" t="s">
        <v>1206</v>
      </c>
      <c r="U62" s="2" t="s">
        <v>1207</v>
      </c>
      <c r="V62" s="2" t="s">
        <v>1157</v>
      </c>
      <c r="W62" s="253"/>
      <c r="X62" s="253"/>
      <c r="Y62" s="253" t="s">
        <v>829</v>
      </c>
      <c r="Z62" s="6">
        <v>4</v>
      </c>
      <c r="AA62" s="6">
        <v>5</v>
      </c>
      <c r="AB62" s="6">
        <v>5</v>
      </c>
      <c r="AC62" s="254"/>
      <c r="AK62" s="255"/>
      <c r="AL62" s="255"/>
      <c r="AM62" s="14">
        <f>_DATA_Assessment_Model!AJ62</f>
        <v>0.9</v>
      </c>
      <c r="AN62" s="14">
        <f>_DATA_Assessment_Model!AK62</f>
        <v>0.9</v>
      </c>
      <c r="AO62" s="14">
        <f>_DATA_Assessment_Model!AL62</f>
        <v>0</v>
      </c>
      <c r="AP62" s="14">
        <f>_DATA_Assessment_Model!AM62</f>
        <v>0</v>
      </c>
      <c r="AQ62" s="14">
        <f>_DATA_Assessment_Model!AN62</f>
        <v>0</v>
      </c>
      <c r="AR62" s="14">
        <f>_DATA_Assessment_Model!AO62</f>
        <v>0</v>
      </c>
      <c r="AS62" s="14">
        <f>_DATA_Assessment_Model!AP62</f>
        <v>0</v>
      </c>
      <c r="AT62" s="14">
        <f>_DATA_Assessment_Model!AQ62</f>
        <v>0</v>
      </c>
      <c r="AU62" s="14" t="str">
        <f>_DATA_Assessment_Model!AR62</f>
        <v>Within target</v>
      </c>
      <c r="AV62" s="4">
        <f>_DATA_Assessment_Model!AS62</f>
        <v>0</v>
      </c>
      <c r="AW62" s="4">
        <f>_DATA_Assessment_Model!AT62</f>
        <v>0.9</v>
      </c>
      <c r="AX62" s="254"/>
      <c r="AY62">
        <f>_DATA_Assessment_Model!AV62</f>
        <v>0.9</v>
      </c>
    </row>
    <row r="63" spans="1:51" ht="69" customHeight="1">
      <c r="A63" t="s">
        <v>1150</v>
      </c>
      <c r="B63" t="s">
        <v>1150</v>
      </c>
      <c r="C63">
        <v>18</v>
      </c>
      <c r="D63" s="2" t="s">
        <v>1208</v>
      </c>
      <c r="E63" s="2" t="s">
        <v>1165</v>
      </c>
      <c r="F63" s="2" t="s">
        <v>1209</v>
      </c>
      <c r="G63" s="2" t="s">
        <v>1154</v>
      </c>
      <c r="H63" s="2" t="s">
        <v>1155</v>
      </c>
      <c r="I63" s="2" t="s">
        <v>1210</v>
      </c>
      <c r="J63" s="253">
        <v>5</v>
      </c>
      <c r="K63" s="49">
        <f>_DATA_Assessment_Model!H63</f>
        <v>0</v>
      </c>
      <c r="L63" s="3">
        <f>_DATA_Assessment_Model!I63</f>
        <v>0</v>
      </c>
      <c r="M63" s="3">
        <f>_DATA_Assessment_Model!J63</f>
        <v>5</v>
      </c>
      <c r="N63" s="3">
        <f>_DATA_Assessment_Model!K63</f>
        <v>5</v>
      </c>
      <c r="O63" s="2" t="str">
        <f>_DATA_Assessment_Model!L63</f>
        <v>Critical</v>
      </c>
      <c r="P63" s="2" t="s">
        <v>833</v>
      </c>
      <c r="Q63" s="2" t="s">
        <v>834</v>
      </c>
      <c r="R63" s="2" t="s">
        <v>835</v>
      </c>
      <c r="S63" s="2" t="s">
        <v>836</v>
      </c>
      <c r="T63" s="2" t="s">
        <v>837</v>
      </c>
      <c r="U63" s="2" t="s">
        <v>838</v>
      </c>
      <c r="V63" s="2" t="s">
        <v>1157</v>
      </c>
      <c r="W63" s="253"/>
      <c r="X63" s="253"/>
      <c r="Y63" s="253" t="s">
        <v>829</v>
      </c>
      <c r="Z63" s="6">
        <v>4</v>
      </c>
      <c r="AA63" s="6">
        <v>5</v>
      </c>
      <c r="AB63" s="6">
        <v>5</v>
      </c>
      <c r="AC63" s="254"/>
      <c r="AK63" s="255"/>
      <c r="AL63" s="255"/>
      <c r="AM63" s="14">
        <f>_DATA_Assessment_Model!AJ63</f>
        <v>0.9</v>
      </c>
      <c r="AN63" s="14">
        <f>_DATA_Assessment_Model!AK63</f>
        <v>0.9</v>
      </c>
      <c r="AO63" s="14">
        <f>_DATA_Assessment_Model!AL63</f>
        <v>0</v>
      </c>
      <c r="AP63" s="14">
        <f>_DATA_Assessment_Model!AM63</f>
        <v>0</v>
      </c>
      <c r="AQ63" s="14">
        <f>_DATA_Assessment_Model!AN63</f>
        <v>0</v>
      </c>
      <c r="AR63" s="14">
        <f>_DATA_Assessment_Model!AO63</f>
        <v>0</v>
      </c>
      <c r="AS63" s="14">
        <f>_DATA_Assessment_Model!AP63</f>
        <v>0</v>
      </c>
      <c r="AT63" s="14">
        <f>_DATA_Assessment_Model!AQ63</f>
        <v>0</v>
      </c>
      <c r="AU63" s="14" t="str">
        <f>_DATA_Assessment_Model!AR63</f>
        <v>Within target</v>
      </c>
      <c r="AV63" s="4">
        <f>_DATA_Assessment_Model!AS63</f>
        <v>0</v>
      </c>
      <c r="AW63" s="4">
        <f>_DATA_Assessment_Model!AT63</f>
        <v>0.9</v>
      </c>
      <c r="AX63" s="254"/>
      <c r="AY63">
        <f>_DATA_Assessment_Model!AV63</f>
        <v>0.9</v>
      </c>
    </row>
    <row r="64" spans="1:51" ht="69" customHeight="1">
      <c r="A64" t="s">
        <v>1150</v>
      </c>
      <c r="B64" t="s">
        <v>1150</v>
      </c>
      <c r="C64">
        <v>19</v>
      </c>
      <c r="D64" s="2" t="s">
        <v>1211</v>
      </c>
      <c r="E64" s="2" t="s">
        <v>1165</v>
      </c>
      <c r="F64" s="2" t="s">
        <v>1212</v>
      </c>
      <c r="G64" s="2" t="s">
        <v>1154</v>
      </c>
      <c r="H64" s="2" t="s">
        <v>1155</v>
      </c>
      <c r="I64" s="2" t="s">
        <v>1213</v>
      </c>
      <c r="J64" s="253">
        <v>5</v>
      </c>
      <c r="K64" s="49">
        <f>_DATA_Assessment_Model!H64</f>
        <v>0</v>
      </c>
      <c r="L64" s="3">
        <f>_DATA_Assessment_Model!I64</f>
        <v>0</v>
      </c>
      <c r="M64" s="3">
        <f>_DATA_Assessment_Model!J64</f>
        <v>5</v>
      </c>
      <c r="N64" s="3">
        <f>_DATA_Assessment_Model!K64</f>
        <v>5</v>
      </c>
      <c r="O64" s="2" t="str">
        <f>_DATA_Assessment_Model!L64</f>
        <v>Critical</v>
      </c>
      <c r="P64" s="2" t="s">
        <v>833</v>
      </c>
      <c r="Q64" s="2" t="s">
        <v>834</v>
      </c>
      <c r="R64" s="2" t="s">
        <v>835</v>
      </c>
      <c r="S64" s="2" t="s">
        <v>836</v>
      </c>
      <c r="T64" s="2" t="s">
        <v>837</v>
      </c>
      <c r="U64" s="2" t="s">
        <v>838</v>
      </c>
      <c r="V64" s="2" t="s">
        <v>1157</v>
      </c>
      <c r="W64" s="253"/>
      <c r="X64" s="253"/>
      <c r="Y64" s="253" t="s">
        <v>829</v>
      </c>
      <c r="Z64" s="6">
        <v>4</v>
      </c>
      <c r="AA64" s="6">
        <v>5</v>
      </c>
      <c r="AB64" s="6">
        <v>5</v>
      </c>
      <c r="AC64" s="254"/>
      <c r="AK64" s="255"/>
      <c r="AL64" s="255"/>
      <c r="AM64" s="14">
        <f>_DATA_Assessment_Model!AJ64</f>
        <v>0.9</v>
      </c>
      <c r="AN64" s="14">
        <f>_DATA_Assessment_Model!AK64</f>
        <v>0.9</v>
      </c>
      <c r="AO64" s="14">
        <f>_DATA_Assessment_Model!AL64</f>
        <v>0</v>
      </c>
      <c r="AP64" s="14">
        <f>_DATA_Assessment_Model!AM64</f>
        <v>0</v>
      </c>
      <c r="AQ64" s="14">
        <f>_DATA_Assessment_Model!AN64</f>
        <v>0</v>
      </c>
      <c r="AR64" s="14">
        <f>_DATA_Assessment_Model!AO64</f>
        <v>0</v>
      </c>
      <c r="AS64" s="14">
        <f>_DATA_Assessment_Model!AP64</f>
        <v>0</v>
      </c>
      <c r="AT64" s="14">
        <f>_DATA_Assessment_Model!AQ64</f>
        <v>0</v>
      </c>
      <c r="AU64" s="14" t="str">
        <f>_DATA_Assessment_Model!AR64</f>
        <v>Within target</v>
      </c>
      <c r="AV64" s="4">
        <f>_DATA_Assessment_Model!AS64</f>
        <v>0</v>
      </c>
      <c r="AW64" s="4">
        <f>_DATA_Assessment_Model!AT64</f>
        <v>0.9</v>
      </c>
      <c r="AX64" s="254"/>
      <c r="AY64">
        <f>_DATA_Assessment_Model!AV64</f>
        <v>0.9</v>
      </c>
    </row>
    <row r="65" spans="1:51" ht="69" customHeight="1">
      <c r="A65" t="s">
        <v>1150</v>
      </c>
      <c r="B65" t="s">
        <v>1150</v>
      </c>
      <c r="C65">
        <v>20</v>
      </c>
      <c r="D65" s="2" t="s">
        <v>1214</v>
      </c>
      <c r="E65" s="2" t="s">
        <v>1165</v>
      </c>
      <c r="F65" s="2" t="s">
        <v>1215</v>
      </c>
      <c r="G65" s="2" t="s">
        <v>1154</v>
      </c>
      <c r="H65" s="2" t="s">
        <v>1155</v>
      </c>
      <c r="I65" s="2" t="s">
        <v>1216</v>
      </c>
      <c r="J65" s="253">
        <v>5</v>
      </c>
      <c r="K65" s="49">
        <f>_DATA_Assessment_Model!H65</f>
        <v>0</v>
      </c>
      <c r="L65" s="3">
        <f>_DATA_Assessment_Model!I65</f>
        <v>0</v>
      </c>
      <c r="M65" s="3">
        <f>_DATA_Assessment_Model!J65</f>
        <v>5</v>
      </c>
      <c r="N65" s="3">
        <f>_DATA_Assessment_Model!K65</f>
        <v>5</v>
      </c>
      <c r="O65" s="2" t="str">
        <f>_DATA_Assessment_Model!L65</f>
        <v>Critical</v>
      </c>
      <c r="P65" s="2" t="s">
        <v>1051</v>
      </c>
      <c r="Q65" s="2" t="s">
        <v>1052</v>
      </c>
      <c r="R65" s="2" t="s">
        <v>1053</v>
      </c>
      <c r="S65" s="2" t="s">
        <v>1054</v>
      </c>
      <c r="T65" s="2" t="s">
        <v>1055</v>
      </c>
      <c r="U65" s="2" t="s">
        <v>1056</v>
      </c>
      <c r="V65" s="2" t="s">
        <v>1157</v>
      </c>
      <c r="W65" s="253"/>
      <c r="X65" s="253"/>
      <c r="Y65" s="253" t="s">
        <v>829</v>
      </c>
      <c r="Z65" s="6">
        <v>4</v>
      </c>
      <c r="AA65" s="6">
        <v>5</v>
      </c>
      <c r="AB65" s="6">
        <v>5</v>
      </c>
      <c r="AC65" s="254"/>
      <c r="AK65" s="255"/>
      <c r="AL65" s="255"/>
      <c r="AM65" s="14">
        <f>_DATA_Assessment_Model!AJ65</f>
        <v>0.9</v>
      </c>
      <c r="AN65" s="14">
        <f>_DATA_Assessment_Model!AK65</f>
        <v>0.9</v>
      </c>
      <c r="AO65" s="14">
        <f>_DATA_Assessment_Model!AL65</f>
        <v>0</v>
      </c>
      <c r="AP65" s="14">
        <f>_DATA_Assessment_Model!AM65</f>
        <v>0</v>
      </c>
      <c r="AQ65" s="14">
        <f>_DATA_Assessment_Model!AN65</f>
        <v>0</v>
      </c>
      <c r="AR65" s="14">
        <f>_DATA_Assessment_Model!AO65</f>
        <v>0</v>
      </c>
      <c r="AS65" s="14">
        <f>_DATA_Assessment_Model!AP65</f>
        <v>0</v>
      </c>
      <c r="AT65" s="14">
        <f>_DATA_Assessment_Model!AQ65</f>
        <v>0</v>
      </c>
      <c r="AU65" s="14" t="str">
        <f>_DATA_Assessment_Model!AR65</f>
        <v>Within target</v>
      </c>
      <c r="AV65" s="4">
        <f>_DATA_Assessment_Model!AS65</f>
        <v>0</v>
      </c>
      <c r="AW65" s="4">
        <f>_DATA_Assessment_Model!AT65</f>
        <v>0.9</v>
      </c>
      <c r="AX65" s="254"/>
      <c r="AY65">
        <f>_DATA_Assessment_Model!AV65</f>
        <v>0.9</v>
      </c>
    </row>
    <row r="66" spans="1:51" ht="69" customHeight="1">
      <c r="A66" t="s">
        <v>1150</v>
      </c>
      <c r="B66" t="s">
        <v>1150</v>
      </c>
      <c r="C66">
        <v>21</v>
      </c>
      <c r="D66" s="2" t="s">
        <v>1217</v>
      </c>
      <c r="E66" s="2" t="s">
        <v>1165</v>
      </c>
      <c r="F66" s="2" t="s">
        <v>1218</v>
      </c>
      <c r="G66" s="2" t="s">
        <v>1154</v>
      </c>
      <c r="H66" s="2" t="s">
        <v>1155</v>
      </c>
      <c r="I66" s="2" t="s">
        <v>1219</v>
      </c>
      <c r="J66" s="253">
        <v>5</v>
      </c>
      <c r="K66" s="49">
        <f>_DATA_Assessment_Model!H66</f>
        <v>0</v>
      </c>
      <c r="L66" s="3">
        <f>_DATA_Assessment_Model!I66</f>
        <v>0</v>
      </c>
      <c r="M66" s="3">
        <f>_DATA_Assessment_Model!J66</f>
        <v>5</v>
      </c>
      <c r="N66" s="3">
        <f>_DATA_Assessment_Model!K66</f>
        <v>5</v>
      </c>
      <c r="O66" s="2" t="str">
        <f>_DATA_Assessment_Model!L66</f>
        <v>Critical</v>
      </c>
      <c r="P66" s="2" t="s">
        <v>874</v>
      </c>
      <c r="Q66" s="2" t="s">
        <v>875</v>
      </c>
      <c r="R66" s="2" t="s">
        <v>876</v>
      </c>
      <c r="S66" s="2" t="s">
        <v>877</v>
      </c>
      <c r="T66" s="2" t="s">
        <v>878</v>
      </c>
      <c r="U66" s="2" t="s">
        <v>879</v>
      </c>
      <c r="V66" s="2" t="s">
        <v>1157</v>
      </c>
      <c r="W66" s="253"/>
      <c r="X66" s="253"/>
      <c r="Y66" s="253" t="s">
        <v>829</v>
      </c>
      <c r="Z66" s="6">
        <v>4</v>
      </c>
      <c r="AA66" s="6">
        <v>5</v>
      </c>
      <c r="AB66" s="6">
        <v>5</v>
      </c>
      <c r="AC66" s="254"/>
      <c r="AK66" s="255"/>
      <c r="AL66" s="255"/>
      <c r="AM66" s="14">
        <f>_DATA_Assessment_Model!AJ66</f>
        <v>0.9</v>
      </c>
      <c r="AN66" s="14">
        <f>_DATA_Assessment_Model!AK66</f>
        <v>0.9</v>
      </c>
      <c r="AO66" s="14">
        <f>_DATA_Assessment_Model!AL66</f>
        <v>0</v>
      </c>
      <c r="AP66" s="14">
        <f>_DATA_Assessment_Model!AM66</f>
        <v>0</v>
      </c>
      <c r="AQ66" s="14">
        <f>_DATA_Assessment_Model!AN66</f>
        <v>0</v>
      </c>
      <c r="AR66" s="14">
        <f>_DATA_Assessment_Model!AO66</f>
        <v>0</v>
      </c>
      <c r="AS66" s="14">
        <f>_DATA_Assessment_Model!AP66</f>
        <v>0</v>
      </c>
      <c r="AT66" s="14">
        <f>_DATA_Assessment_Model!AQ66</f>
        <v>0</v>
      </c>
      <c r="AU66" s="14" t="str">
        <f>_DATA_Assessment_Model!AR66</f>
        <v>Within target</v>
      </c>
      <c r="AV66" s="4">
        <f>_DATA_Assessment_Model!AS66</f>
        <v>0</v>
      </c>
      <c r="AW66" s="4">
        <f>_DATA_Assessment_Model!AT66</f>
        <v>0.9</v>
      </c>
      <c r="AX66" s="254"/>
      <c r="AY66">
        <f>_DATA_Assessment_Model!AV66</f>
        <v>0.9</v>
      </c>
    </row>
    <row r="67" spans="1:51" ht="82.85" customHeight="1">
      <c r="A67" t="s">
        <v>1150</v>
      </c>
      <c r="B67" t="s">
        <v>1150</v>
      </c>
      <c r="C67">
        <v>22</v>
      </c>
      <c r="D67" s="2" t="s">
        <v>1220</v>
      </c>
      <c r="E67" s="2" t="s">
        <v>1165</v>
      </c>
      <c r="F67" s="2" t="s">
        <v>1221</v>
      </c>
      <c r="G67" s="2" t="s">
        <v>1154</v>
      </c>
      <c r="H67" s="2" t="s">
        <v>1155</v>
      </c>
      <c r="I67" s="2" t="s">
        <v>1222</v>
      </c>
      <c r="J67" s="253">
        <v>3</v>
      </c>
      <c r="K67" s="49">
        <f>_DATA_Assessment_Model!H67</f>
        <v>0</v>
      </c>
      <c r="L67" s="3">
        <f>_DATA_Assessment_Model!I67</f>
        <v>0</v>
      </c>
      <c r="M67" s="3">
        <f>_DATA_Assessment_Model!J67</f>
        <v>3</v>
      </c>
      <c r="N67" s="3">
        <f>_DATA_Assessment_Model!K67</f>
        <v>3</v>
      </c>
      <c r="O67" s="2" t="str">
        <f>_DATA_Assessment_Model!L67</f>
        <v>Critical</v>
      </c>
      <c r="P67" s="2" t="s">
        <v>1223</v>
      </c>
      <c r="Q67" s="2" t="s">
        <v>1224</v>
      </c>
      <c r="R67" s="2" t="s">
        <v>1225</v>
      </c>
      <c r="S67" s="2" t="s">
        <v>1226</v>
      </c>
      <c r="T67" s="2" t="s">
        <v>1227</v>
      </c>
      <c r="U67" s="2" t="s">
        <v>1228</v>
      </c>
      <c r="V67" s="2" t="s">
        <v>1157</v>
      </c>
      <c r="W67" s="253"/>
      <c r="X67" s="253"/>
      <c r="Y67" s="253" t="s">
        <v>829</v>
      </c>
      <c r="Z67" s="6">
        <v>4</v>
      </c>
      <c r="AA67" s="6">
        <v>5</v>
      </c>
      <c r="AB67" s="6">
        <v>5</v>
      </c>
      <c r="AC67" s="254"/>
      <c r="AK67" s="255"/>
      <c r="AL67" s="255"/>
      <c r="AM67" s="14">
        <f>_DATA_Assessment_Model!AJ67</f>
        <v>0.9</v>
      </c>
      <c r="AN67" s="14">
        <f>_DATA_Assessment_Model!AK67</f>
        <v>0.9</v>
      </c>
      <c r="AO67" s="14">
        <f>_DATA_Assessment_Model!AL67</f>
        <v>0</v>
      </c>
      <c r="AP67" s="14">
        <f>_DATA_Assessment_Model!AM67</f>
        <v>0</v>
      </c>
      <c r="AQ67" s="14">
        <f>_DATA_Assessment_Model!AN67</f>
        <v>0</v>
      </c>
      <c r="AR67" s="14">
        <f>_DATA_Assessment_Model!AO67</f>
        <v>0</v>
      </c>
      <c r="AS67" s="14">
        <f>_DATA_Assessment_Model!AP67</f>
        <v>0</v>
      </c>
      <c r="AT67" s="14">
        <f>_DATA_Assessment_Model!AQ67</f>
        <v>0</v>
      </c>
      <c r="AU67" s="14" t="str">
        <f>_DATA_Assessment_Model!AR67</f>
        <v>Within target</v>
      </c>
      <c r="AV67" s="4">
        <f>_DATA_Assessment_Model!AS67</f>
        <v>0</v>
      </c>
      <c r="AW67" s="4">
        <f>_DATA_Assessment_Model!AT67</f>
        <v>0.9</v>
      </c>
      <c r="AX67" s="254"/>
      <c r="AY67">
        <f>_DATA_Assessment_Model!AV67</f>
        <v>0.9</v>
      </c>
    </row>
    <row r="68" spans="1:51" ht="69" customHeight="1">
      <c r="A68" t="s">
        <v>1150</v>
      </c>
      <c r="B68" t="s">
        <v>1150</v>
      </c>
      <c r="C68">
        <v>23</v>
      </c>
      <c r="D68" s="2" t="s">
        <v>1229</v>
      </c>
      <c r="E68" s="2" t="s">
        <v>1165</v>
      </c>
      <c r="F68" s="2" t="s">
        <v>1230</v>
      </c>
      <c r="G68" s="2" t="s">
        <v>1154</v>
      </c>
      <c r="H68" s="2" t="s">
        <v>1155</v>
      </c>
      <c r="I68" s="2" t="s">
        <v>1231</v>
      </c>
      <c r="J68" s="253">
        <v>5</v>
      </c>
      <c r="K68" s="49">
        <f>_DATA_Assessment_Model!H68</f>
        <v>0</v>
      </c>
      <c r="L68" s="3">
        <f>_DATA_Assessment_Model!I68</f>
        <v>0</v>
      </c>
      <c r="M68" s="3">
        <f>_DATA_Assessment_Model!J68</f>
        <v>5</v>
      </c>
      <c r="N68" s="3">
        <f>_DATA_Assessment_Model!K68</f>
        <v>5</v>
      </c>
      <c r="O68" s="2" t="str">
        <f>_DATA_Assessment_Model!L68</f>
        <v>Critical</v>
      </c>
      <c r="P68" s="2" t="s">
        <v>833</v>
      </c>
      <c r="Q68" s="2" t="s">
        <v>834</v>
      </c>
      <c r="R68" s="2" t="s">
        <v>835</v>
      </c>
      <c r="S68" s="2" t="s">
        <v>836</v>
      </c>
      <c r="T68" s="2" t="s">
        <v>837</v>
      </c>
      <c r="U68" s="2" t="s">
        <v>838</v>
      </c>
      <c r="V68" s="2" t="s">
        <v>1157</v>
      </c>
      <c r="W68" s="253"/>
      <c r="X68" s="253"/>
      <c r="Y68" s="253" t="s">
        <v>829</v>
      </c>
      <c r="Z68" s="6">
        <v>4</v>
      </c>
      <c r="AA68" s="6">
        <v>5</v>
      </c>
      <c r="AB68" s="6">
        <v>5</v>
      </c>
      <c r="AC68" s="254"/>
      <c r="AK68" s="255"/>
      <c r="AL68" s="255"/>
      <c r="AM68" s="14">
        <f>_DATA_Assessment_Model!AJ68</f>
        <v>0.9</v>
      </c>
      <c r="AN68" s="14">
        <f>_DATA_Assessment_Model!AK68</f>
        <v>0.9</v>
      </c>
      <c r="AO68" s="14">
        <f>_DATA_Assessment_Model!AL68</f>
        <v>0</v>
      </c>
      <c r="AP68" s="14">
        <f>_DATA_Assessment_Model!AM68</f>
        <v>0</v>
      </c>
      <c r="AQ68" s="14">
        <f>_DATA_Assessment_Model!AN68</f>
        <v>0</v>
      </c>
      <c r="AR68" s="14">
        <f>_DATA_Assessment_Model!AO68</f>
        <v>0</v>
      </c>
      <c r="AS68" s="14">
        <f>_DATA_Assessment_Model!AP68</f>
        <v>0</v>
      </c>
      <c r="AT68" s="14">
        <f>_DATA_Assessment_Model!AQ68</f>
        <v>0</v>
      </c>
      <c r="AU68" s="14" t="str">
        <f>_DATA_Assessment_Model!AR68</f>
        <v>Within target</v>
      </c>
      <c r="AV68" s="4">
        <f>_DATA_Assessment_Model!AS68</f>
        <v>0</v>
      </c>
      <c r="AW68" s="4">
        <f>_DATA_Assessment_Model!AT68</f>
        <v>0.9</v>
      </c>
      <c r="AX68" s="254"/>
      <c r="AY68">
        <f>_DATA_Assessment_Model!AV68</f>
        <v>0.9</v>
      </c>
    </row>
    <row r="69" spans="1:51" ht="99">
      <c r="A69" t="s">
        <v>1150</v>
      </c>
      <c r="B69" t="s">
        <v>1150</v>
      </c>
      <c r="C69">
        <v>24</v>
      </c>
      <c r="D69" t="s">
        <v>1232</v>
      </c>
      <c r="E69" t="s">
        <v>1161</v>
      </c>
      <c r="F69" s="2" t="s">
        <v>1233</v>
      </c>
      <c r="G69" s="2" t="s">
        <v>1234</v>
      </c>
      <c r="H69" t="s">
        <v>1235</v>
      </c>
      <c r="I69" t="s">
        <v>941</v>
      </c>
      <c r="J69" s="254">
        <v>4</v>
      </c>
      <c r="K69">
        <f>_DATA_Assessment_Model!H69</f>
        <v>0</v>
      </c>
      <c r="L69">
        <f>_DATA_Assessment_Model!I69</f>
        <v>0</v>
      </c>
      <c r="M69">
        <f>_DATA_Assessment_Model!J69</f>
        <v>4</v>
      </c>
      <c r="N69">
        <f>_DATA_Assessment_Model!K69</f>
        <v>4</v>
      </c>
      <c r="O69" t="str">
        <f>_DATA_Assessment_Model!L69</f>
        <v>Critical</v>
      </c>
      <c r="P69" t="s">
        <v>1236</v>
      </c>
      <c r="Q69" t="s">
        <v>1237</v>
      </c>
      <c r="R69" t="s">
        <v>1238</v>
      </c>
      <c r="S69" t="s">
        <v>1239</v>
      </c>
      <c r="T69" t="s">
        <v>1240</v>
      </c>
      <c r="U69" t="s">
        <v>1241</v>
      </c>
      <c r="V69" t="s">
        <v>1242</v>
      </c>
      <c r="W69" s="254"/>
      <c r="X69" s="254"/>
      <c r="Y69" s="254" t="s">
        <v>829</v>
      </c>
      <c r="Z69">
        <v>2</v>
      </c>
      <c r="AA69">
        <v>5</v>
      </c>
      <c r="AB69">
        <v>4</v>
      </c>
      <c r="AC69" s="254"/>
      <c r="AK69" s="254"/>
      <c r="AL69" s="254"/>
      <c r="AM69">
        <f>_DATA_Assessment_Model!AJ69</f>
        <v>0.9</v>
      </c>
      <c r="AN69">
        <f>_DATA_Assessment_Model!AK69</f>
        <v>0.9</v>
      </c>
      <c r="AO69">
        <f>_DATA_Assessment_Model!AL69</f>
        <v>0</v>
      </c>
      <c r="AP69">
        <f>_DATA_Assessment_Model!AM69</f>
        <v>0</v>
      </c>
      <c r="AQ69">
        <f>_DATA_Assessment_Model!AN69</f>
        <v>0</v>
      </c>
      <c r="AR69">
        <f>_DATA_Assessment_Model!AO69</f>
        <v>0</v>
      </c>
      <c r="AS69">
        <f>_DATA_Assessment_Model!AP69</f>
        <v>0</v>
      </c>
      <c r="AT69">
        <f>_DATA_Assessment_Model!AQ69</f>
        <v>0</v>
      </c>
      <c r="AU69" t="str">
        <f>_DATA_Assessment_Model!AR69</f>
        <v>Within target</v>
      </c>
      <c r="AV69">
        <f>_DATA_Assessment_Model!AS69</f>
        <v>0</v>
      </c>
      <c r="AW69">
        <f>_DATA_Assessment_Model!AT69</f>
        <v>0.9</v>
      </c>
      <c r="AX69" s="254"/>
      <c r="AY69">
        <f>_DATA_Assessment_Model!AV69</f>
        <v>0.9</v>
      </c>
    </row>
    <row r="70" spans="1:51" ht="99">
      <c r="A70" t="s">
        <v>1150</v>
      </c>
      <c r="B70" t="s">
        <v>1150</v>
      </c>
      <c r="C70">
        <v>25</v>
      </c>
      <c r="D70" t="s">
        <v>1243</v>
      </c>
      <c r="E70" t="s">
        <v>1152</v>
      </c>
      <c r="F70" s="2" t="s">
        <v>1244</v>
      </c>
      <c r="G70" s="2" t="s">
        <v>1245</v>
      </c>
      <c r="H70" t="s">
        <v>1246</v>
      </c>
      <c r="I70" t="s">
        <v>941</v>
      </c>
      <c r="J70" s="254">
        <v>4</v>
      </c>
      <c r="K70">
        <f>_DATA_Assessment_Model!H70</f>
        <v>0</v>
      </c>
      <c r="L70">
        <f>_DATA_Assessment_Model!I70</f>
        <v>0</v>
      </c>
      <c r="M70">
        <f>_DATA_Assessment_Model!J70</f>
        <v>4</v>
      </c>
      <c r="N70">
        <f>_DATA_Assessment_Model!K70</f>
        <v>4</v>
      </c>
      <c r="O70" t="str">
        <f>_DATA_Assessment_Model!L70</f>
        <v>Critical</v>
      </c>
      <c r="P70" t="s">
        <v>1247</v>
      </c>
      <c r="Q70" t="s">
        <v>1248</v>
      </c>
      <c r="R70" t="s">
        <v>1249</v>
      </c>
      <c r="S70" t="s">
        <v>1250</v>
      </c>
      <c r="T70" t="s">
        <v>1251</v>
      </c>
      <c r="U70" t="s">
        <v>1252</v>
      </c>
      <c r="V70" t="s">
        <v>1253</v>
      </c>
      <c r="W70" s="254"/>
      <c r="X70" s="254"/>
      <c r="Y70" s="254" t="s">
        <v>829</v>
      </c>
      <c r="Z70">
        <v>3</v>
      </c>
      <c r="AA70">
        <v>5</v>
      </c>
      <c r="AB70">
        <v>4</v>
      </c>
      <c r="AC70" s="254"/>
      <c r="AK70" s="254"/>
      <c r="AL70" s="254"/>
      <c r="AM70">
        <f>_DATA_Assessment_Model!AJ70</f>
        <v>0.9</v>
      </c>
      <c r="AN70">
        <f>_DATA_Assessment_Model!AK70</f>
        <v>0.9</v>
      </c>
      <c r="AO70">
        <f>_DATA_Assessment_Model!AL70</f>
        <v>0</v>
      </c>
      <c r="AP70">
        <f>_DATA_Assessment_Model!AM70</f>
        <v>0</v>
      </c>
      <c r="AQ70">
        <f>_DATA_Assessment_Model!AN70</f>
        <v>0</v>
      </c>
      <c r="AR70">
        <f>_DATA_Assessment_Model!AO70</f>
        <v>0</v>
      </c>
      <c r="AS70">
        <f>_DATA_Assessment_Model!AP70</f>
        <v>0</v>
      </c>
      <c r="AT70">
        <f>_DATA_Assessment_Model!AQ70</f>
        <v>0</v>
      </c>
      <c r="AU70" t="str">
        <f>_DATA_Assessment_Model!AR70</f>
        <v>Within target</v>
      </c>
      <c r="AV70">
        <f>_DATA_Assessment_Model!AS70</f>
        <v>0</v>
      </c>
      <c r="AW70">
        <f>_DATA_Assessment_Model!AT70</f>
        <v>0.9</v>
      </c>
      <c r="AX70" s="254"/>
      <c r="AY70">
        <f>_DATA_Assessment_Model!AV70</f>
        <v>0.9</v>
      </c>
    </row>
    <row r="71" spans="1:51" ht="113.15">
      <c r="A71" t="s">
        <v>1150</v>
      </c>
      <c r="B71" t="s">
        <v>1150</v>
      </c>
      <c r="C71">
        <v>26</v>
      </c>
      <c r="D71" t="s">
        <v>1254</v>
      </c>
      <c r="E71" t="s">
        <v>1161</v>
      </c>
      <c r="F71" s="2" t="s">
        <v>1255</v>
      </c>
      <c r="G71" s="2" t="s">
        <v>1256</v>
      </c>
      <c r="H71" t="s">
        <v>1257</v>
      </c>
      <c r="I71" t="s">
        <v>941</v>
      </c>
      <c r="J71" s="254">
        <v>3</v>
      </c>
      <c r="K71">
        <f>_DATA_Assessment_Model!H71</f>
        <v>0</v>
      </c>
      <c r="L71">
        <f>_DATA_Assessment_Model!I71</f>
        <v>0</v>
      </c>
      <c r="M71">
        <f>_DATA_Assessment_Model!J71</f>
        <v>3</v>
      </c>
      <c r="N71">
        <f>_DATA_Assessment_Model!K71</f>
        <v>3</v>
      </c>
      <c r="O71" t="str">
        <f>_DATA_Assessment_Model!L71</f>
        <v>Critical</v>
      </c>
      <c r="P71" t="s">
        <v>1202</v>
      </c>
      <c r="Q71" t="s">
        <v>1203</v>
      </c>
      <c r="R71" t="s">
        <v>1204</v>
      </c>
      <c r="S71" t="s">
        <v>1205</v>
      </c>
      <c r="T71" t="s">
        <v>1206</v>
      </c>
      <c r="U71" t="s">
        <v>1207</v>
      </c>
      <c r="V71" t="s">
        <v>1258</v>
      </c>
      <c r="W71" s="254"/>
      <c r="X71" s="254"/>
      <c r="Y71" s="254" t="s">
        <v>829</v>
      </c>
      <c r="Z71">
        <v>2</v>
      </c>
      <c r="AA71">
        <v>5</v>
      </c>
      <c r="AB71">
        <v>3</v>
      </c>
      <c r="AC71" s="254"/>
      <c r="AK71" s="254"/>
      <c r="AL71" s="254"/>
      <c r="AM71">
        <f>_DATA_Assessment_Model!AJ71</f>
        <v>0.9</v>
      </c>
      <c r="AN71">
        <f>_DATA_Assessment_Model!AK71</f>
        <v>0.9</v>
      </c>
      <c r="AO71">
        <f>_DATA_Assessment_Model!AL71</f>
        <v>0</v>
      </c>
      <c r="AP71">
        <f>_DATA_Assessment_Model!AM71</f>
        <v>0</v>
      </c>
      <c r="AQ71">
        <f>_DATA_Assessment_Model!AN71</f>
        <v>0</v>
      </c>
      <c r="AR71">
        <f>_DATA_Assessment_Model!AO71</f>
        <v>0</v>
      </c>
      <c r="AS71">
        <f>_DATA_Assessment_Model!AP71</f>
        <v>0</v>
      </c>
      <c r="AT71">
        <f>_DATA_Assessment_Model!AQ71</f>
        <v>0</v>
      </c>
      <c r="AU71" t="str">
        <f>_DATA_Assessment_Model!AR71</f>
        <v>Within target</v>
      </c>
      <c r="AV71">
        <f>_DATA_Assessment_Model!AS71</f>
        <v>0</v>
      </c>
      <c r="AW71">
        <f>_DATA_Assessment_Model!AT71</f>
        <v>0.9</v>
      </c>
      <c r="AX71" s="254"/>
      <c r="AY71">
        <f>_DATA_Assessment_Model!AV71</f>
        <v>0.9</v>
      </c>
    </row>
    <row r="72" spans="1:51" ht="82.85" customHeight="1">
      <c r="A72" t="s">
        <v>1259</v>
      </c>
      <c r="B72" t="s">
        <v>1259</v>
      </c>
      <c r="C72">
        <v>5</v>
      </c>
      <c r="D72" s="2" t="s">
        <v>1260</v>
      </c>
      <c r="E72" s="2" t="s">
        <v>1261</v>
      </c>
      <c r="F72" s="2" t="s">
        <v>1262</v>
      </c>
      <c r="G72" s="2" t="s">
        <v>1263</v>
      </c>
      <c r="H72" s="2" t="s">
        <v>1264</v>
      </c>
      <c r="I72" s="2" t="s">
        <v>1265</v>
      </c>
      <c r="J72" s="253">
        <v>5</v>
      </c>
      <c r="K72" s="49">
        <f>_DATA_Assessment_Model!H72</f>
        <v>0</v>
      </c>
      <c r="L72" s="3">
        <f>_DATA_Assessment_Model!I72</f>
        <v>0</v>
      </c>
      <c r="M72" s="3">
        <f>_DATA_Assessment_Model!J72</f>
        <v>5</v>
      </c>
      <c r="N72" s="3">
        <f>_DATA_Assessment_Model!K72</f>
        <v>5</v>
      </c>
      <c r="O72" s="2" t="str">
        <f>_DATA_Assessment_Model!L72</f>
        <v>Critical</v>
      </c>
      <c r="P72" s="2" t="s">
        <v>1051</v>
      </c>
      <c r="Q72" s="2" t="s">
        <v>1052</v>
      </c>
      <c r="R72" s="2" t="s">
        <v>1053</v>
      </c>
      <c r="S72" s="2" t="s">
        <v>1054</v>
      </c>
      <c r="T72" s="2" t="s">
        <v>1055</v>
      </c>
      <c r="U72" s="2" t="s">
        <v>1056</v>
      </c>
      <c r="V72" s="2" t="s">
        <v>1266</v>
      </c>
      <c r="W72" s="253"/>
      <c r="X72" s="253"/>
      <c r="Y72" s="253" t="s">
        <v>829</v>
      </c>
      <c r="Z72" s="6">
        <v>4</v>
      </c>
      <c r="AA72" s="6">
        <v>5</v>
      </c>
      <c r="AB72" s="6">
        <v>5</v>
      </c>
      <c r="AC72" s="254"/>
      <c r="AD72" t="s">
        <v>1261</v>
      </c>
      <c r="AE72" s="5">
        <f>_DATA_Assessment_Model!AB72</f>
        <v>7</v>
      </c>
      <c r="AF72" s="7">
        <f>_DATA_Assessment_Model!AC72</f>
        <v>0</v>
      </c>
      <c r="AG72" s="8">
        <f>_DATA_Assessment_Model!AD72</f>
        <v>0</v>
      </c>
      <c r="AH72" s="5">
        <f>_DATA_Assessment_Model!AE72</f>
        <v>7</v>
      </c>
      <c r="AI72" s="7">
        <f>_DATA_Assessment_Model!AF72</f>
        <v>5</v>
      </c>
      <c r="AJ72" s="5">
        <f>_DATA_Assessment_Model!AG72</f>
        <v>7</v>
      </c>
      <c r="AK72" s="255"/>
      <c r="AL72" s="255"/>
      <c r="AM72" s="14">
        <f>_DATA_Assessment_Model!AJ72</f>
        <v>0.9</v>
      </c>
      <c r="AN72" s="14">
        <f>_DATA_Assessment_Model!AK72</f>
        <v>0.9</v>
      </c>
      <c r="AO72" s="14">
        <f>_DATA_Assessment_Model!AL72</f>
        <v>0</v>
      </c>
      <c r="AP72" s="14">
        <f>_DATA_Assessment_Model!AM72</f>
        <v>0</v>
      </c>
      <c r="AQ72" s="14">
        <f>_DATA_Assessment_Model!AN72</f>
        <v>0</v>
      </c>
      <c r="AR72" s="14">
        <f>_DATA_Assessment_Model!AO72</f>
        <v>0</v>
      </c>
      <c r="AS72" s="14">
        <f>_DATA_Assessment_Model!AP72</f>
        <v>0</v>
      </c>
      <c r="AT72" s="14">
        <f>_DATA_Assessment_Model!AQ72</f>
        <v>0</v>
      </c>
      <c r="AU72" s="14" t="str">
        <f>_DATA_Assessment_Model!AR72</f>
        <v>Within target</v>
      </c>
      <c r="AV72" s="4">
        <f>_DATA_Assessment_Model!AS72</f>
        <v>0</v>
      </c>
      <c r="AW72" s="4">
        <f>_DATA_Assessment_Model!AT72</f>
        <v>0.9</v>
      </c>
      <c r="AX72" s="254"/>
      <c r="AY72">
        <f>_DATA_Assessment_Model!AV72</f>
        <v>0.9</v>
      </c>
    </row>
    <row r="73" spans="1:51" ht="96.65" customHeight="1">
      <c r="A73" t="s">
        <v>1259</v>
      </c>
      <c r="B73" t="s">
        <v>1259</v>
      </c>
      <c r="C73">
        <v>6</v>
      </c>
      <c r="D73" s="2" t="s">
        <v>1267</v>
      </c>
      <c r="E73" s="2" t="s">
        <v>1261</v>
      </c>
      <c r="F73" s="2" t="s">
        <v>1268</v>
      </c>
      <c r="G73" s="2" t="s">
        <v>1263</v>
      </c>
      <c r="H73" s="2" t="s">
        <v>1264</v>
      </c>
      <c r="I73" s="2" t="s">
        <v>1269</v>
      </c>
      <c r="J73" s="253">
        <v>5</v>
      </c>
      <c r="K73" s="49">
        <f>_DATA_Assessment_Model!H73</f>
        <v>0</v>
      </c>
      <c r="L73" s="3">
        <f>_DATA_Assessment_Model!I73</f>
        <v>0</v>
      </c>
      <c r="M73" s="3">
        <f>_DATA_Assessment_Model!J73</f>
        <v>5</v>
      </c>
      <c r="N73" s="3">
        <f>_DATA_Assessment_Model!K73</f>
        <v>5</v>
      </c>
      <c r="O73" s="2" t="str">
        <f>_DATA_Assessment_Model!L73</f>
        <v>Critical</v>
      </c>
      <c r="P73" s="2" t="s">
        <v>1051</v>
      </c>
      <c r="Q73" s="2" t="s">
        <v>1052</v>
      </c>
      <c r="R73" s="2" t="s">
        <v>1053</v>
      </c>
      <c r="S73" s="2" t="s">
        <v>1054</v>
      </c>
      <c r="T73" s="2" t="s">
        <v>1055</v>
      </c>
      <c r="U73" s="2" t="s">
        <v>1056</v>
      </c>
      <c r="V73" s="2" t="s">
        <v>1266</v>
      </c>
      <c r="W73" s="253"/>
      <c r="X73" s="253"/>
      <c r="Y73" s="253" t="s">
        <v>829</v>
      </c>
      <c r="Z73" s="6">
        <v>4</v>
      </c>
      <c r="AA73" s="6">
        <v>5</v>
      </c>
      <c r="AB73" s="6">
        <v>5</v>
      </c>
      <c r="AC73" s="254"/>
      <c r="AD73" t="s">
        <v>1270</v>
      </c>
      <c r="AE73" s="5">
        <f>_DATA_Assessment_Model!AB73</f>
        <v>6</v>
      </c>
      <c r="AF73" s="7">
        <f>_DATA_Assessment_Model!AC73</f>
        <v>0</v>
      </c>
      <c r="AG73" s="8">
        <f>_DATA_Assessment_Model!AD73</f>
        <v>0</v>
      </c>
      <c r="AH73" s="5">
        <f>_DATA_Assessment_Model!AE73</f>
        <v>6</v>
      </c>
      <c r="AI73" s="7">
        <f>_DATA_Assessment_Model!AF73</f>
        <v>5</v>
      </c>
      <c r="AJ73" s="5">
        <f>_DATA_Assessment_Model!AG73</f>
        <v>6</v>
      </c>
      <c r="AK73" s="255"/>
      <c r="AL73" s="255"/>
      <c r="AM73" s="14">
        <f>_DATA_Assessment_Model!AJ73</f>
        <v>0.9</v>
      </c>
      <c r="AN73" s="14">
        <f>_DATA_Assessment_Model!AK73</f>
        <v>0.9</v>
      </c>
      <c r="AO73" s="14">
        <f>_DATA_Assessment_Model!AL73</f>
        <v>0</v>
      </c>
      <c r="AP73" s="14">
        <f>_DATA_Assessment_Model!AM73</f>
        <v>0</v>
      </c>
      <c r="AQ73" s="14">
        <f>_DATA_Assessment_Model!AN73</f>
        <v>0</v>
      </c>
      <c r="AR73" s="14">
        <f>_DATA_Assessment_Model!AO73</f>
        <v>0</v>
      </c>
      <c r="AS73" s="14">
        <f>_DATA_Assessment_Model!AP73</f>
        <v>0</v>
      </c>
      <c r="AT73" s="14">
        <f>_DATA_Assessment_Model!AQ73</f>
        <v>0</v>
      </c>
      <c r="AU73" s="14" t="str">
        <f>_DATA_Assessment_Model!AR73</f>
        <v>Within target</v>
      </c>
      <c r="AV73" s="4">
        <f>_DATA_Assessment_Model!AS73</f>
        <v>0</v>
      </c>
      <c r="AW73" s="4">
        <f>_DATA_Assessment_Model!AT73</f>
        <v>0.9</v>
      </c>
      <c r="AX73" s="254"/>
      <c r="AY73">
        <f>_DATA_Assessment_Model!AV73</f>
        <v>0.9</v>
      </c>
    </row>
    <row r="74" spans="1:51" ht="82.85" customHeight="1">
      <c r="A74" t="s">
        <v>1259</v>
      </c>
      <c r="B74" t="s">
        <v>1259</v>
      </c>
      <c r="C74">
        <v>7</v>
      </c>
      <c r="D74" s="2" t="s">
        <v>1271</v>
      </c>
      <c r="E74" s="2" t="s">
        <v>1261</v>
      </c>
      <c r="F74" s="2" t="s">
        <v>1272</v>
      </c>
      <c r="G74" s="2" t="s">
        <v>1263</v>
      </c>
      <c r="H74" s="2" t="s">
        <v>1264</v>
      </c>
      <c r="I74" s="2" t="s">
        <v>1273</v>
      </c>
      <c r="J74" s="253">
        <v>5</v>
      </c>
      <c r="K74" s="49">
        <f>_DATA_Assessment_Model!H74</f>
        <v>0</v>
      </c>
      <c r="L74" s="3">
        <f>_DATA_Assessment_Model!I74</f>
        <v>0</v>
      </c>
      <c r="M74" s="3">
        <f>_DATA_Assessment_Model!J74</f>
        <v>5</v>
      </c>
      <c r="N74" s="3">
        <f>_DATA_Assessment_Model!K74</f>
        <v>5</v>
      </c>
      <c r="O74" s="2" t="str">
        <f>_DATA_Assessment_Model!L74</f>
        <v>Critical</v>
      </c>
      <c r="P74" s="2" t="s">
        <v>874</v>
      </c>
      <c r="Q74" s="2" t="s">
        <v>875</v>
      </c>
      <c r="R74" s="2" t="s">
        <v>876</v>
      </c>
      <c r="S74" s="2" t="s">
        <v>877</v>
      </c>
      <c r="T74" s="2" t="s">
        <v>878</v>
      </c>
      <c r="U74" s="2" t="s">
        <v>879</v>
      </c>
      <c r="V74" s="2" t="s">
        <v>1266</v>
      </c>
      <c r="W74" s="253"/>
      <c r="X74" s="253"/>
      <c r="Y74" s="253" t="s">
        <v>829</v>
      </c>
      <c r="Z74" s="6">
        <v>4</v>
      </c>
      <c r="AA74" s="6">
        <v>5</v>
      </c>
      <c r="AB74" s="6">
        <v>5</v>
      </c>
      <c r="AC74" s="254"/>
      <c r="AD74" t="s">
        <v>1274</v>
      </c>
      <c r="AE74" s="5">
        <f>_DATA_Assessment_Model!AB74</f>
        <v>8</v>
      </c>
      <c r="AF74" s="7">
        <f>_DATA_Assessment_Model!AC74</f>
        <v>0</v>
      </c>
      <c r="AG74" s="8">
        <f>_DATA_Assessment_Model!AD74</f>
        <v>0</v>
      </c>
      <c r="AH74" s="5">
        <f>_DATA_Assessment_Model!AE74</f>
        <v>8</v>
      </c>
      <c r="AI74" s="7">
        <f>_DATA_Assessment_Model!AF74</f>
        <v>5</v>
      </c>
      <c r="AJ74" s="5">
        <f>_DATA_Assessment_Model!AG74</f>
        <v>8</v>
      </c>
      <c r="AK74" s="255"/>
      <c r="AL74" s="255"/>
      <c r="AM74" s="14">
        <f>_DATA_Assessment_Model!AJ74</f>
        <v>0.9</v>
      </c>
      <c r="AN74" s="14">
        <f>_DATA_Assessment_Model!AK74</f>
        <v>0.9</v>
      </c>
      <c r="AO74" s="14">
        <f>_DATA_Assessment_Model!AL74</f>
        <v>0</v>
      </c>
      <c r="AP74" s="14">
        <f>_DATA_Assessment_Model!AM74</f>
        <v>0</v>
      </c>
      <c r="AQ74" s="14">
        <f>_DATA_Assessment_Model!AN74</f>
        <v>0</v>
      </c>
      <c r="AR74" s="14">
        <f>_DATA_Assessment_Model!AO74</f>
        <v>0</v>
      </c>
      <c r="AS74" s="14">
        <f>_DATA_Assessment_Model!AP74</f>
        <v>0</v>
      </c>
      <c r="AT74" s="14">
        <f>_DATA_Assessment_Model!AQ74</f>
        <v>0</v>
      </c>
      <c r="AU74" s="14" t="str">
        <f>_DATA_Assessment_Model!AR74</f>
        <v>Within target</v>
      </c>
      <c r="AV74" s="4">
        <f>_DATA_Assessment_Model!AS74</f>
        <v>0</v>
      </c>
      <c r="AW74" s="4">
        <f>_DATA_Assessment_Model!AT74</f>
        <v>0.9</v>
      </c>
      <c r="AX74" s="254"/>
      <c r="AY74">
        <f>_DATA_Assessment_Model!AV74</f>
        <v>0.9</v>
      </c>
    </row>
    <row r="75" spans="1:51" ht="82.85" customHeight="1">
      <c r="A75" t="s">
        <v>1259</v>
      </c>
      <c r="B75" t="s">
        <v>1259</v>
      </c>
      <c r="C75">
        <v>8</v>
      </c>
      <c r="D75" s="2" t="s">
        <v>1275</v>
      </c>
      <c r="E75" s="2" t="s">
        <v>1261</v>
      </c>
      <c r="F75" s="2" t="s">
        <v>1276</v>
      </c>
      <c r="G75" s="2" t="s">
        <v>1263</v>
      </c>
      <c r="H75" s="2" t="s">
        <v>1264</v>
      </c>
      <c r="I75" s="2" t="s">
        <v>1277</v>
      </c>
      <c r="J75" s="253">
        <v>5</v>
      </c>
      <c r="K75" s="49">
        <f>_DATA_Assessment_Model!H75</f>
        <v>0</v>
      </c>
      <c r="L75" s="3">
        <f>_DATA_Assessment_Model!I75</f>
        <v>0</v>
      </c>
      <c r="M75" s="3">
        <f>_DATA_Assessment_Model!J75</f>
        <v>5</v>
      </c>
      <c r="N75" s="3">
        <f>_DATA_Assessment_Model!K75</f>
        <v>5</v>
      </c>
      <c r="O75" s="2" t="str">
        <f>_DATA_Assessment_Model!L75</f>
        <v>Critical</v>
      </c>
      <c r="P75" s="2" t="s">
        <v>1051</v>
      </c>
      <c r="Q75" s="2" t="s">
        <v>1052</v>
      </c>
      <c r="R75" s="2" t="s">
        <v>1053</v>
      </c>
      <c r="S75" s="2" t="s">
        <v>1054</v>
      </c>
      <c r="T75" s="2" t="s">
        <v>1055</v>
      </c>
      <c r="U75" s="2" t="s">
        <v>1056</v>
      </c>
      <c r="V75" s="2" t="s">
        <v>1266</v>
      </c>
      <c r="W75" s="253"/>
      <c r="X75" s="253"/>
      <c r="Y75" s="253" t="s">
        <v>829</v>
      </c>
      <c r="Z75" s="6">
        <v>5</v>
      </c>
      <c r="AA75" s="6">
        <v>5</v>
      </c>
      <c r="AB75" s="6">
        <v>5</v>
      </c>
      <c r="AC75" s="254"/>
      <c r="AD75" t="s">
        <v>1278</v>
      </c>
      <c r="AE75" s="5">
        <f>_DATA_Assessment_Model!AB75</f>
        <v>5</v>
      </c>
      <c r="AF75" s="7">
        <f>_DATA_Assessment_Model!AC75</f>
        <v>0</v>
      </c>
      <c r="AG75" s="8">
        <f>_DATA_Assessment_Model!AD75</f>
        <v>0</v>
      </c>
      <c r="AH75" s="5">
        <f>_DATA_Assessment_Model!AE75</f>
        <v>5</v>
      </c>
      <c r="AI75" s="7">
        <f>_DATA_Assessment_Model!AF75</f>
        <v>5</v>
      </c>
      <c r="AJ75" s="5">
        <f>_DATA_Assessment_Model!AG75</f>
        <v>5</v>
      </c>
      <c r="AK75" s="255"/>
      <c r="AL75" s="255"/>
      <c r="AM75" s="14">
        <f>_DATA_Assessment_Model!AJ75</f>
        <v>0.9</v>
      </c>
      <c r="AN75" s="14">
        <f>_DATA_Assessment_Model!AK75</f>
        <v>0.9</v>
      </c>
      <c r="AO75" s="14">
        <f>_DATA_Assessment_Model!AL75</f>
        <v>0</v>
      </c>
      <c r="AP75" s="14">
        <f>_DATA_Assessment_Model!AM75</f>
        <v>0</v>
      </c>
      <c r="AQ75" s="14">
        <f>_DATA_Assessment_Model!AN75</f>
        <v>0</v>
      </c>
      <c r="AR75" s="14">
        <f>_DATA_Assessment_Model!AO75</f>
        <v>0</v>
      </c>
      <c r="AS75" s="14">
        <f>_DATA_Assessment_Model!AP75</f>
        <v>0</v>
      </c>
      <c r="AT75" s="14">
        <f>_DATA_Assessment_Model!AQ75</f>
        <v>0</v>
      </c>
      <c r="AU75" s="14" t="str">
        <f>_DATA_Assessment_Model!AR75</f>
        <v>Within target</v>
      </c>
      <c r="AV75" s="4">
        <f>_DATA_Assessment_Model!AS75</f>
        <v>0</v>
      </c>
      <c r="AW75" s="4">
        <f>_DATA_Assessment_Model!AT75</f>
        <v>0.9</v>
      </c>
      <c r="AX75" s="254"/>
      <c r="AY75">
        <f>_DATA_Assessment_Model!AV75</f>
        <v>0.9</v>
      </c>
    </row>
    <row r="76" spans="1:51" ht="82.85" customHeight="1">
      <c r="A76" t="s">
        <v>1259</v>
      </c>
      <c r="B76" t="s">
        <v>1259</v>
      </c>
      <c r="C76">
        <v>9</v>
      </c>
      <c r="D76" s="2" t="s">
        <v>1279</v>
      </c>
      <c r="E76" s="2" t="s">
        <v>1261</v>
      </c>
      <c r="F76" s="2" t="s">
        <v>1280</v>
      </c>
      <c r="G76" s="2" t="s">
        <v>1263</v>
      </c>
      <c r="H76" s="2" t="s">
        <v>1264</v>
      </c>
      <c r="I76" s="2" t="s">
        <v>1281</v>
      </c>
      <c r="J76" s="253">
        <v>5</v>
      </c>
      <c r="K76" s="49">
        <f>_DATA_Assessment_Model!H76</f>
        <v>0</v>
      </c>
      <c r="L76" s="3">
        <f>_DATA_Assessment_Model!I76</f>
        <v>0</v>
      </c>
      <c r="M76" s="3">
        <f>_DATA_Assessment_Model!J76</f>
        <v>5</v>
      </c>
      <c r="N76" s="3">
        <f>_DATA_Assessment_Model!K76</f>
        <v>5</v>
      </c>
      <c r="O76" s="2" t="str">
        <f>_DATA_Assessment_Model!L76</f>
        <v>Critical</v>
      </c>
      <c r="P76" s="2" t="s">
        <v>833</v>
      </c>
      <c r="Q76" s="2" t="s">
        <v>834</v>
      </c>
      <c r="R76" s="2" t="s">
        <v>835</v>
      </c>
      <c r="S76" s="2" t="s">
        <v>836</v>
      </c>
      <c r="T76" s="2" t="s">
        <v>837</v>
      </c>
      <c r="U76" s="2" t="s">
        <v>838</v>
      </c>
      <c r="V76" s="2" t="s">
        <v>1266</v>
      </c>
      <c r="W76" s="253"/>
      <c r="X76" s="253"/>
      <c r="Y76" s="253" t="s">
        <v>829</v>
      </c>
      <c r="Z76" s="6">
        <v>4</v>
      </c>
      <c r="AA76" s="6">
        <v>5</v>
      </c>
      <c r="AB76" s="6">
        <v>5</v>
      </c>
      <c r="AC76" s="254"/>
      <c r="AK76" s="255"/>
      <c r="AL76" s="255"/>
      <c r="AM76" s="14">
        <f>_DATA_Assessment_Model!AJ76</f>
        <v>0.9</v>
      </c>
      <c r="AN76" s="14">
        <f>_DATA_Assessment_Model!AK76</f>
        <v>0.9</v>
      </c>
      <c r="AO76" s="14">
        <f>_DATA_Assessment_Model!AL76</f>
        <v>0</v>
      </c>
      <c r="AP76" s="14">
        <f>_DATA_Assessment_Model!AM76</f>
        <v>0</v>
      </c>
      <c r="AQ76" s="14">
        <f>_DATA_Assessment_Model!AN76</f>
        <v>0</v>
      </c>
      <c r="AR76" s="14">
        <f>_DATA_Assessment_Model!AO76</f>
        <v>0</v>
      </c>
      <c r="AS76" s="14">
        <f>_DATA_Assessment_Model!AP76</f>
        <v>0</v>
      </c>
      <c r="AT76" s="14">
        <f>_DATA_Assessment_Model!AQ76</f>
        <v>0</v>
      </c>
      <c r="AU76" s="14" t="str">
        <f>_DATA_Assessment_Model!AR76</f>
        <v>Within target</v>
      </c>
      <c r="AV76" s="4">
        <f>_DATA_Assessment_Model!AS76</f>
        <v>0</v>
      </c>
      <c r="AW76" s="4">
        <f>_DATA_Assessment_Model!AT76</f>
        <v>0.9</v>
      </c>
      <c r="AX76" s="254"/>
      <c r="AY76">
        <f>_DATA_Assessment_Model!AV76</f>
        <v>0.9</v>
      </c>
    </row>
    <row r="77" spans="1:51" ht="96.65" customHeight="1">
      <c r="A77" t="s">
        <v>1259</v>
      </c>
      <c r="B77" t="s">
        <v>1259</v>
      </c>
      <c r="C77">
        <v>10</v>
      </c>
      <c r="D77" s="2" t="s">
        <v>1282</v>
      </c>
      <c r="E77" s="2" t="s">
        <v>1261</v>
      </c>
      <c r="F77" s="2" t="s">
        <v>1283</v>
      </c>
      <c r="G77" s="2" t="s">
        <v>1263</v>
      </c>
      <c r="H77" s="2" t="s">
        <v>1264</v>
      </c>
      <c r="I77" s="2" t="s">
        <v>1284</v>
      </c>
      <c r="J77" s="253">
        <v>3</v>
      </c>
      <c r="K77" s="49">
        <f>_DATA_Assessment_Model!H77</f>
        <v>0</v>
      </c>
      <c r="L77" s="3">
        <f>_DATA_Assessment_Model!I77</f>
        <v>0</v>
      </c>
      <c r="M77" s="3">
        <f>_DATA_Assessment_Model!J77</f>
        <v>3</v>
      </c>
      <c r="N77" s="3">
        <f>_DATA_Assessment_Model!K77</f>
        <v>3</v>
      </c>
      <c r="O77" s="2" t="str">
        <f>_DATA_Assessment_Model!L77</f>
        <v>Critical</v>
      </c>
      <c r="P77" s="2" t="s">
        <v>1285</v>
      </c>
      <c r="Q77" s="2" t="s">
        <v>1286</v>
      </c>
      <c r="R77" s="2" t="s">
        <v>1287</v>
      </c>
      <c r="S77" s="2" t="s">
        <v>1288</v>
      </c>
      <c r="T77" s="2" t="s">
        <v>1289</v>
      </c>
      <c r="U77" s="2" t="s">
        <v>1290</v>
      </c>
      <c r="V77" s="2" t="s">
        <v>1266</v>
      </c>
      <c r="W77" s="253"/>
      <c r="X77" s="253"/>
      <c r="Y77" s="253" t="s">
        <v>829</v>
      </c>
      <c r="Z77" s="6">
        <v>4</v>
      </c>
      <c r="AA77" s="6">
        <v>5</v>
      </c>
      <c r="AB77" s="6">
        <v>5</v>
      </c>
      <c r="AC77" s="254"/>
      <c r="AK77" s="255"/>
      <c r="AL77" s="255"/>
      <c r="AM77" s="14">
        <f>_DATA_Assessment_Model!AJ77</f>
        <v>0.9</v>
      </c>
      <c r="AN77" s="14">
        <f>_DATA_Assessment_Model!AK77</f>
        <v>0.9</v>
      </c>
      <c r="AO77" s="14">
        <f>_DATA_Assessment_Model!AL77</f>
        <v>0</v>
      </c>
      <c r="AP77" s="14">
        <f>_DATA_Assessment_Model!AM77</f>
        <v>0</v>
      </c>
      <c r="AQ77" s="14">
        <f>_DATA_Assessment_Model!AN77</f>
        <v>0</v>
      </c>
      <c r="AR77" s="14">
        <f>_DATA_Assessment_Model!AO77</f>
        <v>0</v>
      </c>
      <c r="AS77" s="14">
        <f>_DATA_Assessment_Model!AP77</f>
        <v>0</v>
      </c>
      <c r="AT77" s="14">
        <f>_DATA_Assessment_Model!AQ77</f>
        <v>0</v>
      </c>
      <c r="AU77" s="14" t="str">
        <f>_DATA_Assessment_Model!AR77</f>
        <v>Within target</v>
      </c>
      <c r="AV77" s="4">
        <f>_DATA_Assessment_Model!AS77</f>
        <v>0</v>
      </c>
      <c r="AW77" s="4">
        <f>_DATA_Assessment_Model!AT77</f>
        <v>0.9</v>
      </c>
      <c r="AX77" s="254"/>
      <c r="AY77">
        <f>_DATA_Assessment_Model!AV77</f>
        <v>0.9</v>
      </c>
    </row>
    <row r="78" spans="1:51" ht="82.85" customHeight="1">
      <c r="A78" t="s">
        <v>1259</v>
      </c>
      <c r="B78" t="s">
        <v>1259</v>
      </c>
      <c r="C78">
        <v>11</v>
      </c>
      <c r="D78" s="2" t="s">
        <v>1291</v>
      </c>
      <c r="E78" s="2" t="s">
        <v>1270</v>
      </c>
      <c r="F78" s="2" t="s">
        <v>1292</v>
      </c>
      <c r="G78" s="2" t="s">
        <v>1263</v>
      </c>
      <c r="H78" s="2" t="s">
        <v>1264</v>
      </c>
      <c r="I78" s="2" t="s">
        <v>1293</v>
      </c>
      <c r="J78" s="253">
        <v>5</v>
      </c>
      <c r="K78" s="49">
        <f>_DATA_Assessment_Model!H78</f>
        <v>0</v>
      </c>
      <c r="L78" s="3">
        <f>_DATA_Assessment_Model!I78</f>
        <v>0</v>
      </c>
      <c r="M78" s="3">
        <f>_DATA_Assessment_Model!J78</f>
        <v>5</v>
      </c>
      <c r="N78" s="3">
        <f>_DATA_Assessment_Model!K78</f>
        <v>5</v>
      </c>
      <c r="O78" s="2" t="str">
        <f>_DATA_Assessment_Model!L78</f>
        <v>Critical</v>
      </c>
      <c r="P78" s="2" t="s">
        <v>833</v>
      </c>
      <c r="Q78" s="2" t="s">
        <v>834</v>
      </c>
      <c r="R78" s="2" t="s">
        <v>835</v>
      </c>
      <c r="S78" s="2" t="s">
        <v>836</v>
      </c>
      <c r="T78" s="2" t="s">
        <v>837</v>
      </c>
      <c r="U78" s="2" t="s">
        <v>838</v>
      </c>
      <c r="V78" s="2" t="s">
        <v>1266</v>
      </c>
      <c r="W78" s="253"/>
      <c r="X78" s="253"/>
      <c r="Y78" s="253" t="s">
        <v>829</v>
      </c>
      <c r="Z78" s="6">
        <v>4</v>
      </c>
      <c r="AA78" s="6">
        <v>5</v>
      </c>
      <c r="AB78" s="6">
        <v>5</v>
      </c>
      <c r="AC78" s="254"/>
      <c r="AK78" s="255"/>
      <c r="AL78" s="255"/>
      <c r="AM78" s="14">
        <f>_DATA_Assessment_Model!AJ78</f>
        <v>0.9</v>
      </c>
      <c r="AN78" s="14">
        <f>_DATA_Assessment_Model!AK78</f>
        <v>0.9</v>
      </c>
      <c r="AO78" s="14">
        <f>_DATA_Assessment_Model!AL78</f>
        <v>0</v>
      </c>
      <c r="AP78" s="14">
        <f>_DATA_Assessment_Model!AM78</f>
        <v>0</v>
      </c>
      <c r="AQ78" s="14">
        <f>_DATA_Assessment_Model!AN78</f>
        <v>0</v>
      </c>
      <c r="AR78" s="14">
        <f>_DATA_Assessment_Model!AO78</f>
        <v>0</v>
      </c>
      <c r="AS78" s="14">
        <f>_DATA_Assessment_Model!AP78</f>
        <v>0</v>
      </c>
      <c r="AT78" s="14">
        <f>_DATA_Assessment_Model!AQ78</f>
        <v>0</v>
      </c>
      <c r="AU78" s="14" t="str">
        <f>_DATA_Assessment_Model!AR78</f>
        <v>Within target</v>
      </c>
      <c r="AV78" s="4">
        <f>_DATA_Assessment_Model!AS78</f>
        <v>0</v>
      </c>
      <c r="AW78" s="4">
        <f>_DATA_Assessment_Model!AT78</f>
        <v>0.9</v>
      </c>
      <c r="AX78" s="254"/>
      <c r="AY78">
        <f>_DATA_Assessment_Model!AV78</f>
        <v>0.9</v>
      </c>
    </row>
    <row r="79" spans="1:51" ht="69" customHeight="1">
      <c r="A79" t="s">
        <v>1259</v>
      </c>
      <c r="B79" t="s">
        <v>1259</v>
      </c>
      <c r="C79">
        <v>12</v>
      </c>
      <c r="D79" s="2" t="s">
        <v>1294</v>
      </c>
      <c r="E79" s="2" t="s">
        <v>1270</v>
      </c>
      <c r="F79" s="2" t="s">
        <v>1295</v>
      </c>
      <c r="G79" s="2" t="s">
        <v>1263</v>
      </c>
      <c r="H79" s="2" t="s">
        <v>1264</v>
      </c>
      <c r="I79" s="2" t="s">
        <v>1296</v>
      </c>
      <c r="J79" s="253">
        <v>5</v>
      </c>
      <c r="K79" s="49">
        <f>_DATA_Assessment_Model!H79</f>
        <v>0</v>
      </c>
      <c r="L79" s="3">
        <f>_DATA_Assessment_Model!I79</f>
        <v>0</v>
      </c>
      <c r="M79" s="3">
        <f>_DATA_Assessment_Model!J79</f>
        <v>5</v>
      </c>
      <c r="N79" s="3">
        <f>_DATA_Assessment_Model!K79</f>
        <v>5</v>
      </c>
      <c r="O79" s="2" t="str">
        <f>_DATA_Assessment_Model!L79</f>
        <v>Critical</v>
      </c>
      <c r="P79" s="2" t="s">
        <v>1069</v>
      </c>
      <c r="Q79" s="2" t="s">
        <v>1070</v>
      </c>
      <c r="R79" s="2" t="s">
        <v>1071</v>
      </c>
      <c r="S79" s="2" t="s">
        <v>1072</v>
      </c>
      <c r="T79" s="2" t="s">
        <v>1073</v>
      </c>
      <c r="U79" s="2" t="s">
        <v>1074</v>
      </c>
      <c r="V79" s="2" t="s">
        <v>1266</v>
      </c>
      <c r="W79" s="253"/>
      <c r="X79" s="253"/>
      <c r="Y79" s="253" t="s">
        <v>829</v>
      </c>
      <c r="Z79" s="6">
        <v>4</v>
      </c>
      <c r="AA79" s="6">
        <v>5</v>
      </c>
      <c r="AB79" s="6">
        <v>5</v>
      </c>
      <c r="AC79" s="254"/>
      <c r="AK79" s="255"/>
      <c r="AL79" s="255"/>
      <c r="AM79" s="14">
        <f>_DATA_Assessment_Model!AJ79</f>
        <v>0.9</v>
      </c>
      <c r="AN79" s="14">
        <f>_DATA_Assessment_Model!AK79</f>
        <v>0.9</v>
      </c>
      <c r="AO79" s="14">
        <f>_DATA_Assessment_Model!AL79</f>
        <v>0</v>
      </c>
      <c r="AP79" s="14">
        <f>_DATA_Assessment_Model!AM79</f>
        <v>0</v>
      </c>
      <c r="AQ79" s="14">
        <f>_DATA_Assessment_Model!AN79</f>
        <v>0</v>
      </c>
      <c r="AR79" s="14">
        <f>_DATA_Assessment_Model!AO79</f>
        <v>0</v>
      </c>
      <c r="AS79" s="14">
        <f>_DATA_Assessment_Model!AP79</f>
        <v>0</v>
      </c>
      <c r="AT79" s="14">
        <f>_DATA_Assessment_Model!AQ79</f>
        <v>0</v>
      </c>
      <c r="AU79" s="14" t="str">
        <f>_DATA_Assessment_Model!AR79</f>
        <v>Within target</v>
      </c>
      <c r="AV79" s="4">
        <f>_DATA_Assessment_Model!AS79</f>
        <v>0</v>
      </c>
      <c r="AW79" s="4">
        <f>_DATA_Assessment_Model!AT79</f>
        <v>0.9</v>
      </c>
      <c r="AX79" s="254"/>
      <c r="AY79">
        <f>_DATA_Assessment_Model!AV79</f>
        <v>0.9</v>
      </c>
    </row>
    <row r="80" spans="1:51" ht="82.85" customHeight="1">
      <c r="A80" t="s">
        <v>1259</v>
      </c>
      <c r="B80" t="s">
        <v>1259</v>
      </c>
      <c r="C80">
        <v>13</v>
      </c>
      <c r="D80" s="2" t="s">
        <v>1297</v>
      </c>
      <c r="E80" s="2" t="s">
        <v>1270</v>
      </c>
      <c r="F80" s="2" t="s">
        <v>1298</v>
      </c>
      <c r="G80" s="2" t="s">
        <v>1263</v>
      </c>
      <c r="H80" s="2" t="s">
        <v>1264</v>
      </c>
      <c r="I80" s="2" t="s">
        <v>1299</v>
      </c>
      <c r="J80" s="253">
        <v>5</v>
      </c>
      <c r="K80" s="49">
        <f>_DATA_Assessment_Model!H80</f>
        <v>0</v>
      </c>
      <c r="L80" s="3">
        <f>_DATA_Assessment_Model!I80</f>
        <v>0</v>
      </c>
      <c r="M80" s="3">
        <f>_DATA_Assessment_Model!J80</f>
        <v>5</v>
      </c>
      <c r="N80" s="3">
        <f>_DATA_Assessment_Model!K80</f>
        <v>5</v>
      </c>
      <c r="O80" s="2" t="str">
        <f>_DATA_Assessment_Model!L80</f>
        <v>Critical</v>
      </c>
      <c r="P80" s="2" t="s">
        <v>833</v>
      </c>
      <c r="Q80" s="2" t="s">
        <v>834</v>
      </c>
      <c r="R80" s="2" t="s">
        <v>835</v>
      </c>
      <c r="S80" s="2" t="s">
        <v>836</v>
      </c>
      <c r="T80" s="2" t="s">
        <v>837</v>
      </c>
      <c r="U80" s="2" t="s">
        <v>838</v>
      </c>
      <c r="V80" s="2" t="s">
        <v>1266</v>
      </c>
      <c r="W80" s="253"/>
      <c r="X80" s="253"/>
      <c r="Y80" s="253" t="s">
        <v>829</v>
      </c>
      <c r="Z80" s="6">
        <v>4</v>
      </c>
      <c r="AA80" s="6">
        <v>5</v>
      </c>
      <c r="AB80" s="6">
        <v>5</v>
      </c>
      <c r="AC80" s="254"/>
      <c r="AK80" s="255"/>
      <c r="AL80" s="255"/>
      <c r="AM80" s="14">
        <f>_DATA_Assessment_Model!AJ80</f>
        <v>0.9</v>
      </c>
      <c r="AN80" s="14">
        <f>_DATA_Assessment_Model!AK80</f>
        <v>0.9</v>
      </c>
      <c r="AO80" s="14">
        <f>_DATA_Assessment_Model!AL80</f>
        <v>0</v>
      </c>
      <c r="AP80" s="14">
        <f>_DATA_Assessment_Model!AM80</f>
        <v>0</v>
      </c>
      <c r="AQ80" s="14">
        <f>_DATA_Assessment_Model!AN80</f>
        <v>0</v>
      </c>
      <c r="AR80" s="14">
        <f>_DATA_Assessment_Model!AO80</f>
        <v>0</v>
      </c>
      <c r="AS80" s="14">
        <f>_DATA_Assessment_Model!AP80</f>
        <v>0</v>
      </c>
      <c r="AT80" s="14">
        <f>_DATA_Assessment_Model!AQ80</f>
        <v>0</v>
      </c>
      <c r="AU80" s="14" t="str">
        <f>_DATA_Assessment_Model!AR80</f>
        <v>Within target</v>
      </c>
      <c r="AV80" s="4">
        <f>_DATA_Assessment_Model!AS80</f>
        <v>0</v>
      </c>
      <c r="AW80" s="4">
        <f>_DATA_Assessment_Model!AT80</f>
        <v>0.9</v>
      </c>
      <c r="AX80" s="254"/>
      <c r="AY80">
        <f>_DATA_Assessment_Model!AV80</f>
        <v>0.9</v>
      </c>
    </row>
    <row r="81" spans="1:51" ht="82.85" customHeight="1">
      <c r="A81" t="s">
        <v>1259</v>
      </c>
      <c r="B81" t="s">
        <v>1259</v>
      </c>
      <c r="C81">
        <v>14</v>
      </c>
      <c r="D81" s="2" t="s">
        <v>1300</v>
      </c>
      <c r="E81" s="2" t="s">
        <v>1270</v>
      </c>
      <c r="F81" s="2" t="s">
        <v>1301</v>
      </c>
      <c r="G81" s="2" t="s">
        <v>1263</v>
      </c>
      <c r="H81" s="2" t="s">
        <v>1264</v>
      </c>
      <c r="I81" s="2" t="s">
        <v>1302</v>
      </c>
      <c r="J81" s="253">
        <v>5</v>
      </c>
      <c r="K81" s="49">
        <f>_DATA_Assessment_Model!H81</f>
        <v>0</v>
      </c>
      <c r="L81" s="3">
        <f>_DATA_Assessment_Model!I81</f>
        <v>0</v>
      </c>
      <c r="M81" s="3">
        <f>_DATA_Assessment_Model!J81</f>
        <v>5</v>
      </c>
      <c r="N81" s="3">
        <f>_DATA_Assessment_Model!K81</f>
        <v>5</v>
      </c>
      <c r="O81" s="2" t="str">
        <f>_DATA_Assessment_Model!L81</f>
        <v>Critical</v>
      </c>
      <c r="P81" s="2" t="s">
        <v>1069</v>
      </c>
      <c r="Q81" s="2" t="s">
        <v>1070</v>
      </c>
      <c r="R81" s="2" t="s">
        <v>1071</v>
      </c>
      <c r="S81" s="2" t="s">
        <v>1072</v>
      </c>
      <c r="T81" s="2" t="s">
        <v>1073</v>
      </c>
      <c r="U81" s="2" t="s">
        <v>1074</v>
      </c>
      <c r="V81" s="2" t="s">
        <v>1266</v>
      </c>
      <c r="W81" s="253"/>
      <c r="X81" s="253"/>
      <c r="Y81" s="253" t="s">
        <v>829</v>
      </c>
      <c r="Z81" s="6">
        <v>4</v>
      </c>
      <c r="AA81" s="6">
        <v>5</v>
      </c>
      <c r="AB81" s="6">
        <v>5</v>
      </c>
      <c r="AC81" s="254"/>
      <c r="AK81" s="255"/>
      <c r="AL81" s="255"/>
      <c r="AM81" s="14">
        <f>_DATA_Assessment_Model!AJ81</f>
        <v>0.9</v>
      </c>
      <c r="AN81" s="14">
        <f>_DATA_Assessment_Model!AK81</f>
        <v>0.9</v>
      </c>
      <c r="AO81" s="14">
        <f>_DATA_Assessment_Model!AL81</f>
        <v>0</v>
      </c>
      <c r="AP81" s="14">
        <f>_DATA_Assessment_Model!AM81</f>
        <v>0</v>
      </c>
      <c r="AQ81" s="14">
        <f>_DATA_Assessment_Model!AN81</f>
        <v>0</v>
      </c>
      <c r="AR81" s="14">
        <f>_DATA_Assessment_Model!AO81</f>
        <v>0</v>
      </c>
      <c r="AS81" s="14">
        <f>_DATA_Assessment_Model!AP81</f>
        <v>0</v>
      </c>
      <c r="AT81" s="14">
        <f>_DATA_Assessment_Model!AQ81</f>
        <v>0</v>
      </c>
      <c r="AU81" s="14" t="str">
        <f>_DATA_Assessment_Model!AR81</f>
        <v>Within target</v>
      </c>
      <c r="AV81" s="4">
        <f>_DATA_Assessment_Model!AS81</f>
        <v>0</v>
      </c>
      <c r="AW81" s="4">
        <f>_DATA_Assessment_Model!AT81</f>
        <v>0.9</v>
      </c>
      <c r="AX81" s="254"/>
      <c r="AY81">
        <f>_DATA_Assessment_Model!AV81</f>
        <v>0.9</v>
      </c>
    </row>
    <row r="82" spans="1:51" ht="82.85" customHeight="1">
      <c r="A82" t="s">
        <v>1259</v>
      </c>
      <c r="B82" t="s">
        <v>1259</v>
      </c>
      <c r="C82">
        <v>15</v>
      </c>
      <c r="D82" s="2" t="s">
        <v>1303</v>
      </c>
      <c r="E82" s="2" t="s">
        <v>1270</v>
      </c>
      <c r="F82" s="2" t="s">
        <v>1304</v>
      </c>
      <c r="G82" s="2" t="s">
        <v>1263</v>
      </c>
      <c r="H82" s="2" t="s">
        <v>1264</v>
      </c>
      <c r="I82" s="2" t="s">
        <v>1305</v>
      </c>
      <c r="J82" s="253">
        <v>5</v>
      </c>
      <c r="K82" s="49">
        <f>_DATA_Assessment_Model!H82</f>
        <v>0</v>
      </c>
      <c r="L82" s="3">
        <f>_DATA_Assessment_Model!I82</f>
        <v>0</v>
      </c>
      <c r="M82" s="3">
        <f>_DATA_Assessment_Model!J82</f>
        <v>5</v>
      </c>
      <c r="N82" s="3">
        <f>_DATA_Assessment_Model!K82</f>
        <v>5</v>
      </c>
      <c r="O82" s="2" t="str">
        <f>_DATA_Assessment_Model!L82</f>
        <v>Critical</v>
      </c>
      <c r="P82" s="2" t="s">
        <v>833</v>
      </c>
      <c r="Q82" s="2" t="s">
        <v>834</v>
      </c>
      <c r="R82" s="2" t="s">
        <v>835</v>
      </c>
      <c r="S82" s="2" t="s">
        <v>836</v>
      </c>
      <c r="T82" s="2" t="s">
        <v>837</v>
      </c>
      <c r="U82" s="2" t="s">
        <v>838</v>
      </c>
      <c r="V82" s="2" t="s">
        <v>1266</v>
      </c>
      <c r="W82" s="253"/>
      <c r="X82" s="253"/>
      <c r="Y82" s="253" t="s">
        <v>829</v>
      </c>
      <c r="Z82" s="6">
        <v>4</v>
      </c>
      <c r="AA82" s="6">
        <v>5</v>
      </c>
      <c r="AB82" s="6">
        <v>5</v>
      </c>
      <c r="AC82" s="254"/>
      <c r="AK82" s="255"/>
      <c r="AL82" s="255"/>
      <c r="AM82" s="14">
        <f>_DATA_Assessment_Model!AJ82</f>
        <v>0.9</v>
      </c>
      <c r="AN82" s="14">
        <f>_DATA_Assessment_Model!AK82</f>
        <v>0.9</v>
      </c>
      <c r="AO82" s="14">
        <f>_DATA_Assessment_Model!AL82</f>
        <v>0</v>
      </c>
      <c r="AP82" s="14">
        <f>_DATA_Assessment_Model!AM82</f>
        <v>0</v>
      </c>
      <c r="AQ82" s="14">
        <f>_DATA_Assessment_Model!AN82</f>
        <v>0</v>
      </c>
      <c r="AR82" s="14">
        <f>_DATA_Assessment_Model!AO82</f>
        <v>0</v>
      </c>
      <c r="AS82" s="14">
        <f>_DATA_Assessment_Model!AP82</f>
        <v>0</v>
      </c>
      <c r="AT82" s="14">
        <f>_DATA_Assessment_Model!AQ82</f>
        <v>0</v>
      </c>
      <c r="AU82" s="14" t="str">
        <f>_DATA_Assessment_Model!AR82</f>
        <v>Within target</v>
      </c>
      <c r="AV82" s="4">
        <f>_DATA_Assessment_Model!AS82</f>
        <v>0</v>
      </c>
      <c r="AW82" s="4">
        <f>_DATA_Assessment_Model!AT82</f>
        <v>0.9</v>
      </c>
      <c r="AX82" s="254"/>
      <c r="AY82">
        <f>_DATA_Assessment_Model!AV82</f>
        <v>0.9</v>
      </c>
    </row>
    <row r="83" spans="1:51" ht="82.85" customHeight="1">
      <c r="A83" t="s">
        <v>1259</v>
      </c>
      <c r="B83" t="s">
        <v>1259</v>
      </c>
      <c r="C83">
        <v>16</v>
      </c>
      <c r="D83" s="2" t="s">
        <v>1306</v>
      </c>
      <c r="E83" s="2" t="s">
        <v>1270</v>
      </c>
      <c r="F83" s="2" t="s">
        <v>1307</v>
      </c>
      <c r="G83" s="2" t="s">
        <v>1263</v>
      </c>
      <c r="H83" s="2" t="s">
        <v>1264</v>
      </c>
      <c r="I83" s="2" t="s">
        <v>1308</v>
      </c>
      <c r="J83" s="253">
        <v>5</v>
      </c>
      <c r="K83" s="49">
        <f>_DATA_Assessment_Model!H83</f>
        <v>0</v>
      </c>
      <c r="L83" s="3">
        <f>_DATA_Assessment_Model!I83</f>
        <v>0</v>
      </c>
      <c r="M83" s="3">
        <f>_DATA_Assessment_Model!J83</f>
        <v>5</v>
      </c>
      <c r="N83" s="3">
        <f>_DATA_Assessment_Model!K83</f>
        <v>5</v>
      </c>
      <c r="O83" s="2" t="str">
        <f>_DATA_Assessment_Model!L83</f>
        <v>Critical</v>
      </c>
      <c r="P83" s="2" t="s">
        <v>874</v>
      </c>
      <c r="Q83" s="2" t="s">
        <v>875</v>
      </c>
      <c r="R83" s="2" t="s">
        <v>876</v>
      </c>
      <c r="S83" s="2" t="s">
        <v>877</v>
      </c>
      <c r="T83" s="2" t="s">
        <v>878</v>
      </c>
      <c r="U83" s="2" t="s">
        <v>879</v>
      </c>
      <c r="V83" s="2" t="s">
        <v>1266</v>
      </c>
      <c r="W83" s="253"/>
      <c r="X83" s="253"/>
      <c r="Y83" s="253" t="s">
        <v>829</v>
      </c>
      <c r="Z83" s="6">
        <v>4</v>
      </c>
      <c r="AA83" s="6">
        <v>5</v>
      </c>
      <c r="AB83" s="6">
        <v>5</v>
      </c>
      <c r="AC83" s="254"/>
      <c r="AK83" s="255"/>
      <c r="AL83" s="255"/>
      <c r="AM83" s="14">
        <f>_DATA_Assessment_Model!AJ83</f>
        <v>0.9</v>
      </c>
      <c r="AN83" s="14">
        <f>_DATA_Assessment_Model!AK83</f>
        <v>0.9</v>
      </c>
      <c r="AO83" s="14">
        <f>_DATA_Assessment_Model!AL83</f>
        <v>0</v>
      </c>
      <c r="AP83" s="14">
        <f>_DATA_Assessment_Model!AM83</f>
        <v>0</v>
      </c>
      <c r="AQ83" s="14">
        <f>_DATA_Assessment_Model!AN83</f>
        <v>0</v>
      </c>
      <c r="AR83" s="14">
        <f>_DATA_Assessment_Model!AO83</f>
        <v>0</v>
      </c>
      <c r="AS83" s="14">
        <f>_DATA_Assessment_Model!AP83</f>
        <v>0</v>
      </c>
      <c r="AT83" s="14">
        <f>_DATA_Assessment_Model!AQ83</f>
        <v>0</v>
      </c>
      <c r="AU83" s="14" t="str">
        <f>_DATA_Assessment_Model!AR83</f>
        <v>Within target</v>
      </c>
      <c r="AV83" s="4">
        <f>_DATA_Assessment_Model!AS83</f>
        <v>0</v>
      </c>
      <c r="AW83" s="4">
        <f>_DATA_Assessment_Model!AT83</f>
        <v>0.9</v>
      </c>
      <c r="AX83" s="254"/>
      <c r="AY83">
        <f>_DATA_Assessment_Model!AV83</f>
        <v>0.9</v>
      </c>
    </row>
    <row r="84" spans="1:51" ht="82.85" customHeight="1">
      <c r="A84" t="s">
        <v>1259</v>
      </c>
      <c r="B84" t="s">
        <v>1259</v>
      </c>
      <c r="C84">
        <v>17</v>
      </c>
      <c r="D84" s="2" t="s">
        <v>1309</v>
      </c>
      <c r="E84" s="2" t="s">
        <v>1274</v>
      </c>
      <c r="F84" s="2" t="s">
        <v>1310</v>
      </c>
      <c r="G84" s="2" t="s">
        <v>1263</v>
      </c>
      <c r="H84" s="2" t="s">
        <v>1264</v>
      </c>
      <c r="I84" s="2" t="s">
        <v>1311</v>
      </c>
      <c r="J84" s="253">
        <v>4</v>
      </c>
      <c r="K84" s="49">
        <f>_DATA_Assessment_Model!H84</f>
        <v>0</v>
      </c>
      <c r="L84" s="3">
        <f>_DATA_Assessment_Model!I84</f>
        <v>0</v>
      </c>
      <c r="M84" s="3">
        <f>_DATA_Assessment_Model!J84</f>
        <v>4</v>
      </c>
      <c r="N84" s="3">
        <f>_DATA_Assessment_Model!K84</f>
        <v>4</v>
      </c>
      <c r="O84" s="2" t="str">
        <f>_DATA_Assessment_Model!L84</f>
        <v>Critical</v>
      </c>
      <c r="P84" s="2" t="s">
        <v>1202</v>
      </c>
      <c r="Q84" s="2" t="s">
        <v>1203</v>
      </c>
      <c r="R84" s="2" t="s">
        <v>1204</v>
      </c>
      <c r="S84" s="2" t="s">
        <v>1205</v>
      </c>
      <c r="T84" s="2" t="s">
        <v>1206</v>
      </c>
      <c r="U84" s="2" t="s">
        <v>1207</v>
      </c>
      <c r="V84" s="2" t="s">
        <v>1266</v>
      </c>
      <c r="W84" s="253"/>
      <c r="X84" s="253"/>
      <c r="Y84" s="253" t="s">
        <v>829</v>
      </c>
      <c r="Z84" s="6">
        <v>4</v>
      </c>
      <c r="AA84" s="6">
        <v>5</v>
      </c>
      <c r="AB84" s="6">
        <v>5</v>
      </c>
      <c r="AC84" s="254"/>
      <c r="AK84" s="255"/>
      <c r="AL84" s="255"/>
      <c r="AM84" s="14">
        <f>_DATA_Assessment_Model!AJ84</f>
        <v>0.9</v>
      </c>
      <c r="AN84" s="14">
        <f>_DATA_Assessment_Model!AK84</f>
        <v>0.9</v>
      </c>
      <c r="AO84" s="14">
        <f>_DATA_Assessment_Model!AL84</f>
        <v>0</v>
      </c>
      <c r="AP84" s="14">
        <f>_DATA_Assessment_Model!AM84</f>
        <v>0</v>
      </c>
      <c r="AQ84" s="14">
        <f>_DATA_Assessment_Model!AN84</f>
        <v>0</v>
      </c>
      <c r="AR84" s="14">
        <f>_DATA_Assessment_Model!AO84</f>
        <v>0</v>
      </c>
      <c r="AS84" s="14">
        <f>_DATA_Assessment_Model!AP84</f>
        <v>0</v>
      </c>
      <c r="AT84" s="14">
        <f>_DATA_Assessment_Model!AQ84</f>
        <v>0</v>
      </c>
      <c r="AU84" s="14" t="str">
        <f>_DATA_Assessment_Model!AR84</f>
        <v>Within target</v>
      </c>
      <c r="AV84" s="4">
        <f>_DATA_Assessment_Model!AS84</f>
        <v>0</v>
      </c>
      <c r="AW84" s="4">
        <f>_DATA_Assessment_Model!AT84</f>
        <v>0.9</v>
      </c>
      <c r="AX84" s="254"/>
      <c r="AY84">
        <f>_DATA_Assessment_Model!AV84</f>
        <v>0.9</v>
      </c>
    </row>
    <row r="85" spans="1:51" ht="110.4" customHeight="1">
      <c r="A85" t="s">
        <v>1259</v>
      </c>
      <c r="B85" t="s">
        <v>1259</v>
      </c>
      <c r="C85">
        <v>18</v>
      </c>
      <c r="D85" s="2" t="s">
        <v>1312</v>
      </c>
      <c r="E85" s="2" t="s">
        <v>1274</v>
      </c>
      <c r="F85" s="2" t="s">
        <v>1313</v>
      </c>
      <c r="G85" s="2" t="s">
        <v>1263</v>
      </c>
      <c r="H85" s="2" t="s">
        <v>1264</v>
      </c>
      <c r="I85" s="2" t="s">
        <v>1314</v>
      </c>
      <c r="J85" s="253">
        <v>4</v>
      </c>
      <c r="K85" s="49">
        <f>_DATA_Assessment_Model!H85</f>
        <v>0</v>
      </c>
      <c r="L85" s="3">
        <f>_DATA_Assessment_Model!I85</f>
        <v>0</v>
      </c>
      <c r="M85" s="3">
        <f>_DATA_Assessment_Model!J85</f>
        <v>4</v>
      </c>
      <c r="N85" s="3">
        <f>_DATA_Assessment_Model!K85</f>
        <v>4</v>
      </c>
      <c r="O85" s="2" t="str">
        <f>_DATA_Assessment_Model!L85</f>
        <v>Critical</v>
      </c>
      <c r="P85" s="2" t="s">
        <v>1315</v>
      </c>
      <c r="Q85" s="2" t="s">
        <v>1316</v>
      </c>
      <c r="R85" s="2" t="s">
        <v>1317</v>
      </c>
      <c r="S85" s="2" t="s">
        <v>1318</v>
      </c>
      <c r="T85" s="2" t="s">
        <v>1319</v>
      </c>
      <c r="U85" s="2" t="s">
        <v>1320</v>
      </c>
      <c r="V85" s="2" t="s">
        <v>1266</v>
      </c>
      <c r="W85" s="253"/>
      <c r="X85" s="253"/>
      <c r="Y85" s="253" t="s">
        <v>829</v>
      </c>
      <c r="Z85" s="6">
        <v>4</v>
      </c>
      <c r="AA85" s="6">
        <v>5</v>
      </c>
      <c r="AB85" s="6">
        <v>5</v>
      </c>
      <c r="AC85" s="254"/>
      <c r="AK85" s="255"/>
      <c r="AL85" s="255"/>
      <c r="AM85" s="14">
        <f>_DATA_Assessment_Model!AJ85</f>
        <v>0.9</v>
      </c>
      <c r="AN85" s="14">
        <f>_DATA_Assessment_Model!AK85</f>
        <v>0.9</v>
      </c>
      <c r="AO85" s="14">
        <f>_DATA_Assessment_Model!AL85</f>
        <v>0</v>
      </c>
      <c r="AP85" s="14">
        <f>_DATA_Assessment_Model!AM85</f>
        <v>0</v>
      </c>
      <c r="AQ85" s="14">
        <f>_DATA_Assessment_Model!AN85</f>
        <v>0</v>
      </c>
      <c r="AR85" s="14">
        <f>_DATA_Assessment_Model!AO85</f>
        <v>0</v>
      </c>
      <c r="AS85" s="14">
        <f>_DATA_Assessment_Model!AP85</f>
        <v>0</v>
      </c>
      <c r="AT85" s="14">
        <f>_DATA_Assessment_Model!AQ85</f>
        <v>0</v>
      </c>
      <c r="AU85" s="14" t="str">
        <f>_DATA_Assessment_Model!AR85</f>
        <v>Within target</v>
      </c>
      <c r="AV85" s="4">
        <f>_DATA_Assessment_Model!AS85</f>
        <v>0</v>
      </c>
      <c r="AW85" s="4">
        <f>_DATA_Assessment_Model!AT85</f>
        <v>0.9</v>
      </c>
      <c r="AX85" s="254"/>
      <c r="AY85">
        <f>_DATA_Assessment_Model!AV85</f>
        <v>0.9</v>
      </c>
    </row>
    <row r="86" spans="1:51" ht="69" customHeight="1">
      <c r="A86" t="s">
        <v>1259</v>
      </c>
      <c r="B86" t="s">
        <v>1259</v>
      </c>
      <c r="C86">
        <v>19</v>
      </c>
      <c r="D86" s="2" t="s">
        <v>1321</v>
      </c>
      <c r="E86" s="2" t="s">
        <v>1274</v>
      </c>
      <c r="F86" s="2" t="s">
        <v>1322</v>
      </c>
      <c r="G86" s="2" t="s">
        <v>1263</v>
      </c>
      <c r="H86" s="2" t="s">
        <v>1264</v>
      </c>
      <c r="I86" s="2" t="s">
        <v>1323</v>
      </c>
      <c r="J86" s="253">
        <v>5</v>
      </c>
      <c r="K86" s="49">
        <f>_DATA_Assessment_Model!H86</f>
        <v>0</v>
      </c>
      <c r="L86" s="3">
        <f>_DATA_Assessment_Model!I86</f>
        <v>0</v>
      </c>
      <c r="M86" s="3">
        <f>_DATA_Assessment_Model!J86</f>
        <v>5</v>
      </c>
      <c r="N86" s="3">
        <f>_DATA_Assessment_Model!K86</f>
        <v>5</v>
      </c>
      <c r="O86" s="2" t="str">
        <f>_DATA_Assessment_Model!L86</f>
        <v>Critical</v>
      </c>
      <c r="P86" s="2" t="s">
        <v>833</v>
      </c>
      <c r="Q86" s="2" t="s">
        <v>834</v>
      </c>
      <c r="R86" s="2" t="s">
        <v>835</v>
      </c>
      <c r="S86" s="2" t="s">
        <v>836</v>
      </c>
      <c r="T86" s="2" t="s">
        <v>837</v>
      </c>
      <c r="U86" s="2" t="s">
        <v>838</v>
      </c>
      <c r="V86" s="2" t="s">
        <v>1266</v>
      </c>
      <c r="W86" s="253"/>
      <c r="X86" s="253"/>
      <c r="Y86" s="253" t="s">
        <v>829</v>
      </c>
      <c r="Z86" s="6">
        <v>5</v>
      </c>
      <c r="AA86" s="6">
        <v>5</v>
      </c>
      <c r="AB86" s="6">
        <v>5</v>
      </c>
      <c r="AC86" s="254"/>
      <c r="AK86" s="255"/>
      <c r="AL86" s="255"/>
      <c r="AM86" s="14">
        <f>_DATA_Assessment_Model!AJ86</f>
        <v>0.9</v>
      </c>
      <c r="AN86" s="14">
        <f>_DATA_Assessment_Model!AK86</f>
        <v>0.9</v>
      </c>
      <c r="AO86" s="14">
        <f>_DATA_Assessment_Model!AL86</f>
        <v>0</v>
      </c>
      <c r="AP86" s="14">
        <f>_DATA_Assessment_Model!AM86</f>
        <v>0</v>
      </c>
      <c r="AQ86" s="14">
        <f>_DATA_Assessment_Model!AN86</f>
        <v>0</v>
      </c>
      <c r="AR86" s="14">
        <f>_DATA_Assessment_Model!AO86</f>
        <v>0</v>
      </c>
      <c r="AS86" s="14">
        <f>_DATA_Assessment_Model!AP86</f>
        <v>0</v>
      </c>
      <c r="AT86" s="14">
        <f>_DATA_Assessment_Model!AQ86</f>
        <v>0</v>
      </c>
      <c r="AU86" s="14" t="str">
        <f>_DATA_Assessment_Model!AR86</f>
        <v>Within target</v>
      </c>
      <c r="AV86" s="4">
        <f>_DATA_Assessment_Model!AS86</f>
        <v>0</v>
      </c>
      <c r="AW86" s="4">
        <f>_DATA_Assessment_Model!AT86</f>
        <v>0.9</v>
      </c>
      <c r="AX86" s="254"/>
      <c r="AY86">
        <f>_DATA_Assessment_Model!AV86</f>
        <v>0.9</v>
      </c>
    </row>
    <row r="87" spans="1:51" ht="69" customHeight="1">
      <c r="A87" t="s">
        <v>1259</v>
      </c>
      <c r="B87" t="s">
        <v>1259</v>
      </c>
      <c r="C87">
        <v>20</v>
      </c>
      <c r="D87" s="2" t="s">
        <v>1324</v>
      </c>
      <c r="E87" s="2" t="s">
        <v>1274</v>
      </c>
      <c r="F87" s="2" t="s">
        <v>1325</v>
      </c>
      <c r="G87" s="2" t="s">
        <v>1263</v>
      </c>
      <c r="H87" s="2" t="s">
        <v>1264</v>
      </c>
      <c r="I87" s="2" t="s">
        <v>1326</v>
      </c>
      <c r="J87" s="253">
        <v>5</v>
      </c>
      <c r="K87" s="49">
        <f>_DATA_Assessment_Model!H87</f>
        <v>0</v>
      </c>
      <c r="L87" s="3">
        <f>_DATA_Assessment_Model!I87</f>
        <v>0</v>
      </c>
      <c r="M87" s="3">
        <f>_DATA_Assessment_Model!J87</f>
        <v>5</v>
      </c>
      <c r="N87" s="3">
        <f>_DATA_Assessment_Model!K87</f>
        <v>5</v>
      </c>
      <c r="O87" s="2" t="str">
        <f>_DATA_Assessment_Model!L87</f>
        <v>Critical</v>
      </c>
      <c r="P87" s="2" t="s">
        <v>833</v>
      </c>
      <c r="Q87" s="2" t="s">
        <v>834</v>
      </c>
      <c r="R87" s="2" t="s">
        <v>835</v>
      </c>
      <c r="S87" s="2" t="s">
        <v>836</v>
      </c>
      <c r="T87" s="2" t="s">
        <v>837</v>
      </c>
      <c r="U87" s="2" t="s">
        <v>838</v>
      </c>
      <c r="V87" s="2" t="s">
        <v>1266</v>
      </c>
      <c r="W87" s="253"/>
      <c r="X87" s="253"/>
      <c r="Y87" s="253" t="s">
        <v>829</v>
      </c>
      <c r="Z87" s="6">
        <v>4</v>
      </c>
      <c r="AA87" s="6">
        <v>5</v>
      </c>
      <c r="AB87" s="6">
        <v>5</v>
      </c>
      <c r="AC87" s="254"/>
      <c r="AK87" s="255"/>
      <c r="AL87" s="255"/>
      <c r="AM87" s="14">
        <f>_DATA_Assessment_Model!AJ87</f>
        <v>0.9</v>
      </c>
      <c r="AN87" s="14">
        <f>_DATA_Assessment_Model!AK87</f>
        <v>0.9</v>
      </c>
      <c r="AO87" s="14">
        <f>_DATA_Assessment_Model!AL87</f>
        <v>0</v>
      </c>
      <c r="AP87" s="14">
        <f>_DATA_Assessment_Model!AM87</f>
        <v>0</v>
      </c>
      <c r="AQ87" s="14">
        <f>_DATA_Assessment_Model!AN87</f>
        <v>0</v>
      </c>
      <c r="AR87" s="14">
        <f>_DATA_Assessment_Model!AO87</f>
        <v>0</v>
      </c>
      <c r="AS87" s="14">
        <f>_DATA_Assessment_Model!AP87</f>
        <v>0</v>
      </c>
      <c r="AT87" s="14">
        <f>_DATA_Assessment_Model!AQ87</f>
        <v>0</v>
      </c>
      <c r="AU87" s="14" t="str">
        <f>_DATA_Assessment_Model!AR87</f>
        <v>Within target</v>
      </c>
      <c r="AV87" s="4">
        <f>_DATA_Assessment_Model!AS87</f>
        <v>0</v>
      </c>
      <c r="AW87" s="4">
        <f>_DATA_Assessment_Model!AT87</f>
        <v>0.9</v>
      </c>
      <c r="AX87" s="254"/>
      <c r="AY87">
        <f>_DATA_Assessment_Model!AV87</f>
        <v>0.9</v>
      </c>
    </row>
    <row r="88" spans="1:51" ht="82.85" customHeight="1">
      <c r="A88" t="s">
        <v>1259</v>
      </c>
      <c r="B88" t="s">
        <v>1259</v>
      </c>
      <c r="C88">
        <v>21</v>
      </c>
      <c r="D88" s="2" t="s">
        <v>1327</v>
      </c>
      <c r="E88" s="2" t="s">
        <v>1274</v>
      </c>
      <c r="F88" s="2" t="s">
        <v>1328</v>
      </c>
      <c r="G88" s="2" t="s">
        <v>1263</v>
      </c>
      <c r="H88" s="2" t="s">
        <v>1264</v>
      </c>
      <c r="I88" s="2" t="s">
        <v>1329</v>
      </c>
      <c r="J88" s="253">
        <v>5</v>
      </c>
      <c r="K88" s="49">
        <f>_DATA_Assessment_Model!H88</f>
        <v>0</v>
      </c>
      <c r="L88" s="3">
        <f>_DATA_Assessment_Model!I88</f>
        <v>0</v>
      </c>
      <c r="M88" s="3">
        <f>_DATA_Assessment_Model!J88</f>
        <v>5</v>
      </c>
      <c r="N88" s="3">
        <f>_DATA_Assessment_Model!K88</f>
        <v>5</v>
      </c>
      <c r="O88" s="2" t="str">
        <f>_DATA_Assessment_Model!L88</f>
        <v>Critical</v>
      </c>
      <c r="P88" s="2" t="s">
        <v>1069</v>
      </c>
      <c r="Q88" s="2" t="s">
        <v>1070</v>
      </c>
      <c r="R88" s="2" t="s">
        <v>1071</v>
      </c>
      <c r="S88" s="2" t="s">
        <v>1072</v>
      </c>
      <c r="T88" s="2" t="s">
        <v>1073</v>
      </c>
      <c r="U88" s="2" t="s">
        <v>1074</v>
      </c>
      <c r="V88" s="2" t="s">
        <v>1266</v>
      </c>
      <c r="W88" s="253"/>
      <c r="X88" s="253"/>
      <c r="Y88" s="253" t="s">
        <v>829</v>
      </c>
      <c r="Z88" s="6">
        <v>4</v>
      </c>
      <c r="AA88" s="6">
        <v>5</v>
      </c>
      <c r="AB88" s="6">
        <v>5</v>
      </c>
      <c r="AC88" s="254"/>
      <c r="AK88" s="255"/>
      <c r="AL88" s="255"/>
      <c r="AM88" s="14">
        <f>_DATA_Assessment_Model!AJ88</f>
        <v>0.9</v>
      </c>
      <c r="AN88" s="14">
        <f>_DATA_Assessment_Model!AK88</f>
        <v>0.9</v>
      </c>
      <c r="AO88" s="14">
        <f>_DATA_Assessment_Model!AL88</f>
        <v>0</v>
      </c>
      <c r="AP88" s="14">
        <f>_DATA_Assessment_Model!AM88</f>
        <v>0</v>
      </c>
      <c r="AQ88" s="14">
        <f>_DATA_Assessment_Model!AN88</f>
        <v>0</v>
      </c>
      <c r="AR88" s="14">
        <f>_DATA_Assessment_Model!AO88</f>
        <v>0</v>
      </c>
      <c r="AS88" s="14">
        <f>_DATA_Assessment_Model!AP88</f>
        <v>0</v>
      </c>
      <c r="AT88" s="14">
        <f>_DATA_Assessment_Model!AQ88</f>
        <v>0</v>
      </c>
      <c r="AU88" s="14" t="str">
        <f>_DATA_Assessment_Model!AR88</f>
        <v>Within target</v>
      </c>
      <c r="AV88" s="4">
        <f>_DATA_Assessment_Model!AS88</f>
        <v>0</v>
      </c>
      <c r="AW88" s="4">
        <f>_DATA_Assessment_Model!AT88</f>
        <v>0.9</v>
      </c>
      <c r="AX88" s="254"/>
      <c r="AY88">
        <f>_DATA_Assessment_Model!AV88</f>
        <v>0.9</v>
      </c>
    </row>
    <row r="89" spans="1:51" ht="110.4" customHeight="1">
      <c r="A89" t="s">
        <v>1259</v>
      </c>
      <c r="B89" t="s">
        <v>1259</v>
      </c>
      <c r="C89">
        <v>22</v>
      </c>
      <c r="D89" s="2" t="s">
        <v>1330</v>
      </c>
      <c r="E89" s="2" t="s">
        <v>1274</v>
      </c>
      <c r="F89" s="2" t="s">
        <v>1331</v>
      </c>
      <c r="G89" s="2" t="s">
        <v>1263</v>
      </c>
      <c r="H89" s="2" t="s">
        <v>1264</v>
      </c>
      <c r="I89" s="2" t="s">
        <v>1332</v>
      </c>
      <c r="J89" s="253">
        <v>3</v>
      </c>
      <c r="K89" s="49">
        <f>_DATA_Assessment_Model!H89</f>
        <v>0</v>
      </c>
      <c r="L89" s="3">
        <f>_DATA_Assessment_Model!I89</f>
        <v>0</v>
      </c>
      <c r="M89" s="3">
        <f>_DATA_Assessment_Model!J89</f>
        <v>3</v>
      </c>
      <c r="N89" s="3">
        <f>_DATA_Assessment_Model!K89</f>
        <v>3</v>
      </c>
      <c r="O89" s="2" t="str">
        <f>_DATA_Assessment_Model!L89</f>
        <v>Critical</v>
      </c>
      <c r="P89" s="2" t="s">
        <v>1333</v>
      </c>
      <c r="Q89" s="2" t="s">
        <v>1334</v>
      </c>
      <c r="R89" s="2" t="s">
        <v>1335</v>
      </c>
      <c r="S89" s="2" t="s">
        <v>1336</v>
      </c>
      <c r="T89" s="2" t="s">
        <v>1337</v>
      </c>
      <c r="U89" s="2" t="s">
        <v>1338</v>
      </c>
      <c r="V89" s="2" t="s">
        <v>1266</v>
      </c>
      <c r="W89" s="253"/>
      <c r="X89" s="253"/>
      <c r="Y89" s="253" t="s">
        <v>829</v>
      </c>
      <c r="Z89" s="6">
        <v>4</v>
      </c>
      <c r="AA89" s="6">
        <v>5</v>
      </c>
      <c r="AB89" s="6">
        <v>5</v>
      </c>
      <c r="AC89" s="254"/>
      <c r="AK89" s="255"/>
      <c r="AL89" s="255"/>
      <c r="AM89" s="14">
        <f>_DATA_Assessment_Model!AJ89</f>
        <v>0.9</v>
      </c>
      <c r="AN89" s="14">
        <f>_DATA_Assessment_Model!AK89</f>
        <v>0.9</v>
      </c>
      <c r="AO89" s="14">
        <f>_DATA_Assessment_Model!AL89</f>
        <v>0</v>
      </c>
      <c r="AP89" s="14">
        <f>_DATA_Assessment_Model!AM89</f>
        <v>0</v>
      </c>
      <c r="AQ89" s="14">
        <f>_DATA_Assessment_Model!AN89</f>
        <v>0</v>
      </c>
      <c r="AR89" s="14">
        <f>_DATA_Assessment_Model!AO89</f>
        <v>0</v>
      </c>
      <c r="AS89" s="14">
        <f>_DATA_Assessment_Model!AP89</f>
        <v>0</v>
      </c>
      <c r="AT89" s="14">
        <f>_DATA_Assessment_Model!AQ89</f>
        <v>0</v>
      </c>
      <c r="AU89" s="14" t="str">
        <f>_DATA_Assessment_Model!AR89</f>
        <v>Within target</v>
      </c>
      <c r="AV89" s="4">
        <f>_DATA_Assessment_Model!AS89</f>
        <v>0</v>
      </c>
      <c r="AW89" s="4">
        <f>_DATA_Assessment_Model!AT89</f>
        <v>0.9</v>
      </c>
      <c r="AX89" s="254"/>
      <c r="AY89">
        <f>_DATA_Assessment_Model!AV89</f>
        <v>0.9</v>
      </c>
    </row>
    <row r="90" spans="1:51" ht="69" customHeight="1">
      <c r="A90" t="s">
        <v>1259</v>
      </c>
      <c r="B90" t="s">
        <v>1259</v>
      </c>
      <c r="C90">
        <v>23</v>
      </c>
      <c r="D90" s="2" t="s">
        <v>1339</v>
      </c>
      <c r="E90" s="2" t="s">
        <v>1274</v>
      </c>
      <c r="F90" s="2" t="s">
        <v>1340</v>
      </c>
      <c r="G90" s="2" t="s">
        <v>1263</v>
      </c>
      <c r="H90" s="2" t="s">
        <v>1264</v>
      </c>
      <c r="I90" s="2" t="s">
        <v>1341</v>
      </c>
      <c r="J90" s="253">
        <v>5</v>
      </c>
      <c r="K90" s="49">
        <f>_DATA_Assessment_Model!H90</f>
        <v>0</v>
      </c>
      <c r="L90" s="3">
        <f>_DATA_Assessment_Model!I90</f>
        <v>0</v>
      </c>
      <c r="M90" s="3">
        <f>_DATA_Assessment_Model!J90</f>
        <v>5</v>
      </c>
      <c r="N90" s="3">
        <f>_DATA_Assessment_Model!K90</f>
        <v>5</v>
      </c>
      <c r="O90" s="2" t="str">
        <f>_DATA_Assessment_Model!L90</f>
        <v>Critical</v>
      </c>
      <c r="P90" s="2" t="s">
        <v>1202</v>
      </c>
      <c r="Q90" s="2" t="s">
        <v>1203</v>
      </c>
      <c r="R90" s="2" t="s">
        <v>1204</v>
      </c>
      <c r="S90" s="2" t="s">
        <v>1205</v>
      </c>
      <c r="T90" s="2" t="s">
        <v>1206</v>
      </c>
      <c r="U90" s="2" t="s">
        <v>1207</v>
      </c>
      <c r="V90" s="2" t="s">
        <v>1266</v>
      </c>
      <c r="W90" s="253"/>
      <c r="X90" s="253"/>
      <c r="Y90" s="253" t="s">
        <v>829</v>
      </c>
      <c r="Z90" s="6">
        <v>4</v>
      </c>
      <c r="AA90" s="6">
        <v>5</v>
      </c>
      <c r="AB90" s="6">
        <v>5</v>
      </c>
      <c r="AC90" s="254"/>
      <c r="AK90" s="255"/>
      <c r="AL90" s="255"/>
      <c r="AM90" s="14">
        <f>_DATA_Assessment_Model!AJ90</f>
        <v>0.9</v>
      </c>
      <c r="AN90" s="14">
        <f>_DATA_Assessment_Model!AK90</f>
        <v>0.9</v>
      </c>
      <c r="AO90" s="14">
        <f>_DATA_Assessment_Model!AL90</f>
        <v>0</v>
      </c>
      <c r="AP90" s="14">
        <f>_DATA_Assessment_Model!AM90</f>
        <v>0</v>
      </c>
      <c r="AQ90" s="14">
        <f>_DATA_Assessment_Model!AN90</f>
        <v>0</v>
      </c>
      <c r="AR90" s="14">
        <f>_DATA_Assessment_Model!AO90</f>
        <v>0</v>
      </c>
      <c r="AS90" s="14">
        <f>_DATA_Assessment_Model!AP90</f>
        <v>0</v>
      </c>
      <c r="AT90" s="14">
        <f>_DATA_Assessment_Model!AQ90</f>
        <v>0</v>
      </c>
      <c r="AU90" s="14" t="str">
        <f>_DATA_Assessment_Model!AR90</f>
        <v>Within target</v>
      </c>
      <c r="AV90" s="4">
        <f>_DATA_Assessment_Model!AS90</f>
        <v>0</v>
      </c>
      <c r="AW90" s="4">
        <f>_DATA_Assessment_Model!AT90</f>
        <v>0.9</v>
      </c>
      <c r="AX90" s="254"/>
      <c r="AY90">
        <f>_DATA_Assessment_Model!AV90</f>
        <v>0.9</v>
      </c>
    </row>
    <row r="91" spans="1:51" ht="82.85" customHeight="1">
      <c r="A91" t="s">
        <v>1259</v>
      </c>
      <c r="B91" t="s">
        <v>1259</v>
      </c>
      <c r="C91">
        <v>24</v>
      </c>
      <c r="D91" s="2" t="s">
        <v>1342</v>
      </c>
      <c r="E91" s="2" t="s">
        <v>1278</v>
      </c>
      <c r="F91" s="2" t="s">
        <v>1343</v>
      </c>
      <c r="G91" s="2" t="s">
        <v>1263</v>
      </c>
      <c r="H91" s="2" t="s">
        <v>1264</v>
      </c>
      <c r="I91" s="2" t="s">
        <v>1344</v>
      </c>
      <c r="J91" s="253">
        <v>5</v>
      </c>
      <c r="K91" s="49">
        <f>_DATA_Assessment_Model!H91</f>
        <v>0</v>
      </c>
      <c r="L91" s="3">
        <f>_DATA_Assessment_Model!I91</f>
        <v>0</v>
      </c>
      <c r="M91" s="3">
        <f>_DATA_Assessment_Model!J91</f>
        <v>5</v>
      </c>
      <c r="N91" s="3">
        <f>_DATA_Assessment_Model!K91</f>
        <v>5</v>
      </c>
      <c r="O91" s="2" t="str">
        <f>_DATA_Assessment_Model!L91</f>
        <v>Critical</v>
      </c>
      <c r="P91" s="2" t="s">
        <v>833</v>
      </c>
      <c r="Q91" s="2" t="s">
        <v>834</v>
      </c>
      <c r="R91" s="2" t="s">
        <v>835</v>
      </c>
      <c r="S91" s="2" t="s">
        <v>836</v>
      </c>
      <c r="T91" s="2" t="s">
        <v>837</v>
      </c>
      <c r="U91" s="2" t="s">
        <v>838</v>
      </c>
      <c r="V91" s="2" t="s">
        <v>1266</v>
      </c>
      <c r="W91" s="253"/>
      <c r="X91" s="253"/>
      <c r="Y91" s="253" t="s">
        <v>829</v>
      </c>
      <c r="Z91" s="6">
        <v>5</v>
      </c>
      <c r="AA91" s="6">
        <v>5</v>
      </c>
      <c r="AB91" s="6">
        <v>5</v>
      </c>
      <c r="AC91" s="254"/>
      <c r="AK91" s="255"/>
      <c r="AL91" s="255"/>
      <c r="AM91" s="14">
        <f>_DATA_Assessment_Model!AJ91</f>
        <v>0.9</v>
      </c>
      <c r="AN91" s="14">
        <f>_DATA_Assessment_Model!AK91</f>
        <v>0.9</v>
      </c>
      <c r="AO91" s="14">
        <f>_DATA_Assessment_Model!AL91</f>
        <v>0</v>
      </c>
      <c r="AP91" s="14">
        <f>_DATA_Assessment_Model!AM91</f>
        <v>0</v>
      </c>
      <c r="AQ91" s="14">
        <f>_DATA_Assessment_Model!AN91</f>
        <v>0</v>
      </c>
      <c r="AR91" s="14">
        <f>_DATA_Assessment_Model!AO91</f>
        <v>0</v>
      </c>
      <c r="AS91" s="14">
        <f>_DATA_Assessment_Model!AP91</f>
        <v>0</v>
      </c>
      <c r="AT91" s="14">
        <f>_DATA_Assessment_Model!AQ91</f>
        <v>0</v>
      </c>
      <c r="AU91" s="14" t="str">
        <f>_DATA_Assessment_Model!AR91</f>
        <v>Within target</v>
      </c>
      <c r="AV91" s="4">
        <f>_DATA_Assessment_Model!AS91</f>
        <v>0</v>
      </c>
      <c r="AW91" s="4">
        <f>_DATA_Assessment_Model!AT91</f>
        <v>0.9</v>
      </c>
      <c r="AX91" s="254"/>
      <c r="AY91">
        <f>_DATA_Assessment_Model!AV91</f>
        <v>0.9</v>
      </c>
    </row>
    <row r="92" spans="1:51" ht="96.65" customHeight="1">
      <c r="A92" t="s">
        <v>1259</v>
      </c>
      <c r="B92" t="s">
        <v>1259</v>
      </c>
      <c r="C92">
        <v>25</v>
      </c>
      <c r="D92" s="2" t="s">
        <v>1345</v>
      </c>
      <c r="E92" s="2" t="s">
        <v>1278</v>
      </c>
      <c r="F92" s="2" t="s">
        <v>1346</v>
      </c>
      <c r="G92" s="2" t="s">
        <v>1263</v>
      </c>
      <c r="H92" s="2" t="s">
        <v>1264</v>
      </c>
      <c r="I92" s="2" t="s">
        <v>1347</v>
      </c>
      <c r="J92" s="253">
        <v>4</v>
      </c>
      <c r="K92" s="49">
        <f>_DATA_Assessment_Model!H92</f>
        <v>0</v>
      </c>
      <c r="L92" s="3">
        <f>_DATA_Assessment_Model!I92</f>
        <v>0</v>
      </c>
      <c r="M92" s="3">
        <f>_DATA_Assessment_Model!J92</f>
        <v>4</v>
      </c>
      <c r="N92" s="3">
        <f>_DATA_Assessment_Model!K92</f>
        <v>4</v>
      </c>
      <c r="O92" s="2" t="str">
        <f>_DATA_Assessment_Model!L92</f>
        <v>Critical</v>
      </c>
      <c r="P92" s="2" t="s">
        <v>1348</v>
      </c>
      <c r="Q92" s="2" t="s">
        <v>1349</v>
      </c>
      <c r="R92" s="2" t="s">
        <v>1350</v>
      </c>
      <c r="S92" s="2" t="s">
        <v>1351</v>
      </c>
      <c r="T92" s="2" t="s">
        <v>1352</v>
      </c>
      <c r="U92" s="2" t="s">
        <v>1353</v>
      </c>
      <c r="V92" s="2" t="s">
        <v>1266</v>
      </c>
      <c r="W92" s="253"/>
      <c r="X92" s="253"/>
      <c r="Y92" s="253" t="s">
        <v>829</v>
      </c>
      <c r="Z92" s="6">
        <v>4</v>
      </c>
      <c r="AA92" s="6">
        <v>5</v>
      </c>
      <c r="AB92" s="6">
        <v>5</v>
      </c>
      <c r="AC92" s="254"/>
      <c r="AK92" s="255"/>
      <c r="AL92" s="255"/>
      <c r="AM92" s="14">
        <f>_DATA_Assessment_Model!AJ92</f>
        <v>0.9</v>
      </c>
      <c r="AN92" s="14">
        <f>_DATA_Assessment_Model!AK92</f>
        <v>0.9</v>
      </c>
      <c r="AO92" s="14">
        <f>_DATA_Assessment_Model!AL92</f>
        <v>0</v>
      </c>
      <c r="AP92" s="14">
        <f>_DATA_Assessment_Model!AM92</f>
        <v>0</v>
      </c>
      <c r="AQ92" s="14">
        <f>_DATA_Assessment_Model!AN92</f>
        <v>0</v>
      </c>
      <c r="AR92" s="14">
        <f>_DATA_Assessment_Model!AO92</f>
        <v>0</v>
      </c>
      <c r="AS92" s="14">
        <f>_DATA_Assessment_Model!AP92</f>
        <v>0</v>
      </c>
      <c r="AT92" s="14">
        <f>_DATA_Assessment_Model!AQ92</f>
        <v>0</v>
      </c>
      <c r="AU92" s="14" t="str">
        <f>_DATA_Assessment_Model!AR92</f>
        <v>Within target</v>
      </c>
      <c r="AV92" s="4">
        <f>_DATA_Assessment_Model!AS92</f>
        <v>0</v>
      </c>
      <c r="AW92" s="4">
        <f>_DATA_Assessment_Model!AT92</f>
        <v>0.9</v>
      </c>
      <c r="AX92" s="254"/>
      <c r="AY92">
        <f>_DATA_Assessment_Model!AV92</f>
        <v>0.9</v>
      </c>
    </row>
    <row r="93" spans="1:51" ht="96.65" customHeight="1">
      <c r="A93" t="s">
        <v>1259</v>
      </c>
      <c r="B93" t="s">
        <v>1259</v>
      </c>
      <c r="C93">
        <v>26</v>
      </c>
      <c r="D93" s="2" t="s">
        <v>1354</v>
      </c>
      <c r="E93" s="2" t="s">
        <v>1278</v>
      </c>
      <c r="F93" s="2" t="s">
        <v>1355</v>
      </c>
      <c r="G93" s="2" t="s">
        <v>1263</v>
      </c>
      <c r="H93" s="2" t="s">
        <v>1264</v>
      </c>
      <c r="I93" s="2" t="s">
        <v>1356</v>
      </c>
      <c r="J93" s="253">
        <v>3</v>
      </c>
      <c r="K93" s="49">
        <f>_DATA_Assessment_Model!H93</f>
        <v>0</v>
      </c>
      <c r="L93" s="3">
        <f>_DATA_Assessment_Model!I93</f>
        <v>0</v>
      </c>
      <c r="M93" s="3">
        <f>_DATA_Assessment_Model!J93</f>
        <v>3</v>
      </c>
      <c r="N93" s="3">
        <f>_DATA_Assessment_Model!K93</f>
        <v>3</v>
      </c>
      <c r="O93" s="2" t="str">
        <f>_DATA_Assessment_Model!L93</f>
        <v>Critical</v>
      </c>
      <c r="P93" s="2" t="s">
        <v>1357</v>
      </c>
      <c r="Q93" s="2" t="s">
        <v>1358</v>
      </c>
      <c r="R93" s="2" t="s">
        <v>1359</v>
      </c>
      <c r="S93" s="2" t="s">
        <v>1360</v>
      </c>
      <c r="T93" s="2" t="s">
        <v>1361</v>
      </c>
      <c r="U93" s="2" t="s">
        <v>1362</v>
      </c>
      <c r="V93" s="2" t="s">
        <v>1266</v>
      </c>
      <c r="W93" s="253"/>
      <c r="X93" s="253"/>
      <c r="Y93" s="253" t="s">
        <v>829</v>
      </c>
      <c r="Z93" s="6">
        <v>4</v>
      </c>
      <c r="AA93" s="6">
        <v>5</v>
      </c>
      <c r="AB93" s="6">
        <v>5</v>
      </c>
      <c r="AC93" s="254"/>
      <c r="AK93" s="255"/>
      <c r="AL93" s="255"/>
      <c r="AM93" s="14">
        <f>_DATA_Assessment_Model!AJ93</f>
        <v>0.9</v>
      </c>
      <c r="AN93" s="14">
        <f>_DATA_Assessment_Model!AK93</f>
        <v>0.9</v>
      </c>
      <c r="AO93" s="14">
        <f>_DATA_Assessment_Model!AL93</f>
        <v>0</v>
      </c>
      <c r="AP93" s="14">
        <f>_DATA_Assessment_Model!AM93</f>
        <v>0</v>
      </c>
      <c r="AQ93" s="14">
        <f>_DATA_Assessment_Model!AN93</f>
        <v>0</v>
      </c>
      <c r="AR93" s="14">
        <f>_DATA_Assessment_Model!AO93</f>
        <v>0</v>
      </c>
      <c r="AS93" s="14">
        <f>_DATA_Assessment_Model!AP93</f>
        <v>0</v>
      </c>
      <c r="AT93" s="14">
        <f>_DATA_Assessment_Model!AQ93</f>
        <v>0</v>
      </c>
      <c r="AU93" s="14" t="str">
        <f>_DATA_Assessment_Model!AR93</f>
        <v>Within target</v>
      </c>
      <c r="AV93" s="4">
        <f>_DATA_Assessment_Model!AS93</f>
        <v>0</v>
      </c>
      <c r="AW93" s="4">
        <f>_DATA_Assessment_Model!AT93</f>
        <v>0.9</v>
      </c>
      <c r="AX93" s="254"/>
      <c r="AY93">
        <f>_DATA_Assessment_Model!AV93</f>
        <v>0.9</v>
      </c>
    </row>
    <row r="94" spans="1:51" ht="110.4" customHeight="1">
      <c r="A94" t="s">
        <v>1259</v>
      </c>
      <c r="B94" t="s">
        <v>1259</v>
      </c>
      <c r="C94">
        <v>27</v>
      </c>
      <c r="D94" s="2" t="s">
        <v>1363</v>
      </c>
      <c r="E94" s="2" t="s">
        <v>1278</v>
      </c>
      <c r="F94" s="2" t="s">
        <v>1364</v>
      </c>
      <c r="G94" s="2" t="s">
        <v>1365</v>
      </c>
      <c r="H94" s="2" t="s">
        <v>1366</v>
      </c>
      <c r="I94" s="2" t="s">
        <v>1265</v>
      </c>
      <c r="J94" s="253">
        <v>4</v>
      </c>
      <c r="K94" s="49">
        <f>_DATA_Assessment_Model!H94</f>
        <v>0</v>
      </c>
      <c r="L94" s="3">
        <f>_DATA_Assessment_Model!I94</f>
        <v>0</v>
      </c>
      <c r="M94" s="3">
        <f>_DATA_Assessment_Model!J94</f>
        <v>4</v>
      </c>
      <c r="N94" s="3">
        <f>_DATA_Assessment_Model!K94</f>
        <v>4</v>
      </c>
      <c r="O94" s="2" t="str">
        <f>_DATA_Assessment_Model!L94</f>
        <v>Critical</v>
      </c>
      <c r="P94" s="2" t="s">
        <v>1367</v>
      </c>
      <c r="Q94" s="2" t="s">
        <v>1368</v>
      </c>
      <c r="R94" s="2" t="s">
        <v>1369</v>
      </c>
      <c r="S94" s="2" t="s">
        <v>1370</v>
      </c>
      <c r="T94" s="2" t="s">
        <v>1371</v>
      </c>
      <c r="U94" s="2" t="s">
        <v>1372</v>
      </c>
      <c r="V94" s="2" t="s">
        <v>1373</v>
      </c>
      <c r="W94" s="253"/>
      <c r="X94" s="253"/>
      <c r="Y94" s="253" t="s">
        <v>829</v>
      </c>
      <c r="Z94" s="6">
        <v>2</v>
      </c>
      <c r="AA94" s="6">
        <v>4</v>
      </c>
      <c r="AB94" s="6">
        <v>4</v>
      </c>
      <c r="AC94" s="254"/>
      <c r="AK94" s="255"/>
      <c r="AL94" s="255"/>
      <c r="AM94" s="14">
        <f>_DATA_Assessment_Model!AJ94</f>
        <v>0.9</v>
      </c>
      <c r="AN94" s="14">
        <f>_DATA_Assessment_Model!AK94</f>
        <v>0.9</v>
      </c>
      <c r="AO94" s="14">
        <f>_DATA_Assessment_Model!AL94</f>
        <v>0</v>
      </c>
      <c r="AP94" s="14">
        <f>_DATA_Assessment_Model!AM94</f>
        <v>0</v>
      </c>
      <c r="AQ94" s="14">
        <f>_DATA_Assessment_Model!AN94</f>
        <v>0</v>
      </c>
      <c r="AR94" s="14">
        <f>_DATA_Assessment_Model!AO94</f>
        <v>0</v>
      </c>
      <c r="AS94" s="14">
        <f>_DATA_Assessment_Model!AP94</f>
        <v>0</v>
      </c>
      <c r="AT94" s="14">
        <f>_DATA_Assessment_Model!AQ94</f>
        <v>0</v>
      </c>
      <c r="AU94" s="14" t="str">
        <f>_DATA_Assessment_Model!AR94</f>
        <v>Within target</v>
      </c>
      <c r="AV94" s="4">
        <f>_DATA_Assessment_Model!AS94</f>
        <v>0</v>
      </c>
      <c r="AW94" s="4">
        <f>_DATA_Assessment_Model!AT94</f>
        <v>0.9</v>
      </c>
      <c r="AX94" s="254"/>
      <c r="AY94">
        <f>_DATA_Assessment_Model!AV94</f>
        <v>0.9</v>
      </c>
    </row>
    <row r="95" spans="1:51" ht="82.85" customHeight="1">
      <c r="A95" t="s">
        <v>1259</v>
      </c>
      <c r="B95" t="s">
        <v>1259</v>
      </c>
      <c r="C95">
        <v>28</v>
      </c>
      <c r="D95" s="2" t="s">
        <v>1374</v>
      </c>
      <c r="E95" s="2" t="s">
        <v>1278</v>
      </c>
      <c r="F95" s="2" t="s">
        <v>1375</v>
      </c>
      <c r="G95" s="2" t="s">
        <v>1376</v>
      </c>
      <c r="H95" s="2" t="s">
        <v>1377</v>
      </c>
      <c r="I95" s="2" t="s">
        <v>1265</v>
      </c>
      <c r="J95" s="253">
        <v>3</v>
      </c>
      <c r="K95" s="49">
        <f>_DATA_Assessment_Model!H95</f>
        <v>0</v>
      </c>
      <c r="L95" s="3">
        <f>_DATA_Assessment_Model!I95</f>
        <v>0</v>
      </c>
      <c r="M95" s="3">
        <f>_DATA_Assessment_Model!J95</f>
        <v>3</v>
      </c>
      <c r="N95" s="3">
        <f>_DATA_Assessment_Model!K95</f>
        <v>3</v>
      </c>
      <c r="O95" s="2" t="str">
        <f>_DATA_Assessment_Model!L95</f>
        <v>Critical</v>
      </c>
      <c r="P95" s="2" t="s">
        <v>1202</v>
      </c>
      <c r="Q95" s="2" t="s">
        <v>1203</v>
      </c>
      <c r="R95" s="2" t="s">
        <v>1204</v>
      </c>
      <c r="S95" s="2" t="s">
        <v>1205</v>
      </c>
      <c r="T95" s="2" t="s">
        <v>1206</v>
      </c>
      <c r="U95" s="2" t="s">
        <v>1207</v>
      </c>
      <c r="V95" s="2" t="s">
        <v>1378</v>
      </c>
      <c r="W95" s="253"/>
      <c r="X95" s="253"/>
      <c r="Y95" s="253" t="s">
        <v>829</v>
      </c>
      <c r="Z95" s="6">
        <v>3</v>
      </c>
      <c r="AA95" s="6">
        <v>4</v>
      </c>
      <c r="AB95" s="6">
        <v>4</v>
      </c>
      <c r="AC95" s="254"/>
      <c r="AK95" s="255"/>
      <c r="AL95" s="255"/>
      <c r="AM95" s="14">
        <f>_DATA_Assessment_Model!AJ95</f>
        <v>0.9</v>
      </c>
      <c r="AN95" s="14">
        <f>_DATA_Assessment_Model!AK95</f>
        <v>0.9</v>
      </c>
      <c r="AO95" s="14">
        <f>_DATA_Assessment_Model!AL95</f>
        <v>0</v>
      </c>
      <c r="AP95" s="14">
        <f>_DATA_Assessment_Model!AM95</f>
        <v>0</v>
      </c>
      <c r="AQ95" s="14">
        <f>_DATA_Assessment_Model!AN95</f>
        <v>0</v>
      </c>
      <c r="AR95" s="14">
        <f>_DATA_Assessment_Model!AO95</f>
        <v>0</v>
      </c>
      <c r="AS95" s="14">
        <f>_DATA_Assessment_Model!AP95</f>
        <v>0</v>
      </c>
      <c r="AT95" s="14">
        <f>_DATA_Assessment_Model!AQ95</f>
        <v>0</v>
      </c>
      <c r="AU95" s="14" t="str">
        <f>_DATA_Assessment_Model!AR95</f>
        <v>Within target</v>
      </c>
      <c r="AV95" s="4">
        <f>_DATA_Assessment_Model!AS95</f>
        <v>0</v>
      </c>
      <c r="AW95" s="4">
        <f>_DATA_Assessment_Model!AT95</f>
        <v>0.9</v>
      </c>
      <c r="AX95" s="254"/>
      <c r="AY95">
        <f>_DATA_Assessment_Model!AV95</f>
        <v>0.9</v>
      </c>
    </row>
    <row r="96" spans="1:51" ht="99">
      <c r="A96" t="s">
        <v>1259</v>
      </c>
      <c r="B96" t="s">
        <v>1259</v>
      </c>
      <c r="C96">
        <v>29</v>
      </c>
      <c r="D96" t="s">
        <v>1379</v>
      </c>
      <c r="E96" t="s">
        <v>1274</v>
      </c>
      <c r="F96" s="2" t="s">
        <v>1380</v>
      </c>
      <c r="G96" s="2" t="s">
        <v>1381</v>
      </c>
      <c r="H96" t="s">
        <v>1382</v>
      </c>
      <c r="I96" t="s">
        <v>1265</v>
      </c>
      <c r="J96" s="254">
        <v>3</v>
      </c>
      <c r="K96">
        <f>_DATA_Assessment_Model!H96</f>
        <v>0</v>
      </c>
      <c r="L96">
        <f>_DATA_Assessment_Model!I96</f>
        <v>0</v>
      </c>
      <c r="M96">
        <f>_DATA_Assessment_Model!J96</f>
        <v>3</v>
      </c>
      <c r="N96">
        <f>_DATA_Assessment_Model!K96</f>
        <v>3</v>
      </c>
      <c r="O96" t="str">
        <f>_DATA_Assessment_Model!L96</f>
        <v>Critical</v>
      </c>
      <c r="P96" t="s">
        <v>1383</v>
      </c>
      <c r="Q96" t="s">
        <v>1384</v>
      </c>
      <c r="R96" t="s">
        <v>1385</v>
      </c>
      <c r="S96" t="s">
        <v>1386</v>
      </c>
      <c r="T96" t="s">
        <v>1387</v>
      </c>
      <c r="U96" t="s">
        <v>1388</v>
      </c>
      <c r="V96" t="s">
        <v>1389</v>
      </c>
      <c r="W96" s="254"/>
      <c r="X96" s="254"/>
      <c r="Y96" s="254" t="s">
        <v>829</v>
      </c>
      <c r="Z96">
        <v>3</v>
      </c>
      <c r="AA96">
        <v>3</v>
      </c>
      <c r="AB96">
        <v>4</v>
      </c>
      <c r="AC96" s="254"/>
      <c r="AK96" s="254"/>
      <c r="AL96" s="254"/>
      <c r="AM96">
        <f>_DATA_Assessment_Model!AJ96</f>
        <v>0.9</v>
      </c>
      <c r="AN96">
        <f>_DATA_Assessment_Model!AK96</f>
        <v>0.9</v>
      </c>
      <c r="AO96">
        <f>_DATA_Assessment_Model!AL96</f>
        <v>0</v>
      </c>
      <c r="AP96">
        <f>_DATA_Assessment_Model!AM96</f>
        <v>0</v>
      </c>
      <c r="AQ96">
        <f>_DATA_Assessment_Model!AN96</f>
        <v>0</v>
      </c>
      <c r="AR96">
        <f>_DATA_Assessment_Model!AO96</f>
        <v>0</v>
      </c>
      <c r="AS96">
        <f>_DATA_Assessment_Model!AP96</f>
        <v>0</v>
      </c>
      <c r="AT96">
        <f>_DATA_Assessment_Model!AQ96</f>
        <v>0</v>
      </c>
      <c r="AU96" t="str">
        <f>_DATA_Assessment_Model!AR96</f>
        <v>Within target</v>
      </c>
      <c r="AV96">
        <f>_DATA_Assessment_Model!AS96</f>
        <v>0</v>
      </c>
      <c r="AW96">
        <f>_DATA_Assessment_Model!AT96</f>
        <v>0.9</v>
      </c>
      <c r="AX96" s="254"/>
      <c r="AY96">
        <f>_DATA_Assessment_Model!AV96</f>
        <v>0.9</v>
      </c>
    </row>
    <row r="97" spans="1:51" ht="84.9">
      <c r="A97" t="s">
        <v>1259</v>
      </c>
      <c r="B97" t="s">
        <v>1259</v>
      </c>
      <c r="C97">
        <v>30</v>
      </c>
      <c r="D97" t="s">
        <v>1390</v>
      </c>
      <c r="E97" t="s">
        <v>1261</v>
      </c>
      <c r="F97" s="2" t="s">
        <v>1391</v>
      </c>
      <c r="G97" s="2" t="s">
        <v>1392</v>
      </c>
      <c r="H97" t="s">
        <v>1393</v>
      </c>
      <c r="I97" t="s">
        <v>941</v>
      </c>
      <c r="J97" s="254">
        <v>4</v>
      </c>
      <c r="K97">
        <f>_DATA_Assessment_Model!H97</f>
        <v>0</v>
      </c>
      <c r="L97">
        <f>_DATA_Assessment_Model!I97</f>
        <v>0</v>
      </c>
      <c r="M97">
        <f>_DATA_Assessment_Model!J97</f>
        <v>4</v>
      </c>
      <c r="N97">
        <f>_DATA_Assessment_Model!K97</f>
        <v>4</v>
      </c>
      <c r="O97" t="str">
        <f>_DATA_Assessment_Model!L97</f>
        <v>Critical</v>
      </c>
      <c r="P97" t="s">
        <v>1394</v>
      </c>
      <c r="Q97" t="s">
        <v>1395</v>
      </c>
      <c r="R97" t="s">
        <v>1396</v>
      </c>
      <c r="S97" t="s">
        <v>1397</v>
      </c>
      <c r="T97" t="s">
        <v>1398</v>
      </c>
      <c r="U97" t="s">
        <v>1399</v>
      </c>
      <c r="V97" t="s">
        <v>1400</v>
      </c>
      <c r="W97" s="254"/>
      <c r="X97" s="254"/>
      <c r="Y97" s="254" t="s">
        <v>829</v>
      </c>
      <c r="Z97">
        <v>2</v>
      </c>
      <c r="AA97">
        <v>5</v>
      </c>
      <c r="AB97">
        <v>4</v>
      </c>
      <c r="AC97" s="254"/>
      <c r="AK97" s="254"/>
      <c r="AL97" s="254"/>
      <c r="AM97">
        <f>_DATA_Assessment_Model!AJ97</f>
        <v>0.9</v>
      </c>
      <c r="AN97">
        <f>_DATA_Assessment_Model!AK97</f>
        <v>0.9</v>
      </c>
      <c r="AO97">
        <f>_DATA_Assessment_Model!AL97</f>
        <v>0</v>
      </c>
      <c r="AP97">
        <f>_DATA_Assessment_Model!AM97</f>
        <v>0</v>
      </c>
      <c r="AQ97">
        <f>_DATA_Assessment_Model!AN97</f>
        <v>0</v>
      </c>
      <c r="AR97">
        <f>_DATA_Assessment_Model!AO97</f>
        <v>0</v>
      </c>
      <c r="AS97">
        <f>_DATA_Assessment_Model!AP97</f>
        <v>0</v>
      </c>
      <c r="AT97">
        <f>_DATA_Assessment_Model!AQ97</f>
        <v>0</v>
      </c>
      <c r="AU97" t="str">
        <f>_DATA_Assessment_Model!AR97</f>
        <v>Within target</v>
      </c>
      <c r="AV97">
        <f>_DATA_Assessment_Model!AS97</f>
        <v>0</v>
      </c>
      <c r="AW97">
        <f>_DATA_Assessment_Model!AT97</f>
        <v>0.9</v>
      </c>
      <c r="AX97" s="254"/>
      <c r="AY97">
        <f>_DATA_Assessment_Model!AV97</f>
        <v>0.9</v>
      </c>
    </row>
    <row r="98" spans="1:51" ht="69" customHeight="1">
      <c r="A98" t="s">
        <v>1401</v>
      </c>
      <c r="B98" t="s">
        <v>1401</v>
      </c>
      <c r="C98">
        <v>5</v>
      </c>
      <c r="D98" s="2" t="s">
        <v>1402</v>
      </c>
      <c r="E98" s="2" t="s">
        <v>1403</v>
      </c>
      <c r="F98" s="2" t="s">
        <v>1404</v>
      </c>
      <c r="G98" s="2" t="s">
        <v>1405</v>
      </c>
      <c r="H98" s="2" t="s">
        <v>1406</v>
      </c>
      <c r="I98" s="2" t="s">
        <v>1407</v>
      </c>
      <c r="J98" s="253">
        <v>5</v>
      </c>
      <c r="K98" s="49">
        <f>_DATA_Assessment_Model!H98</f>
        <v>0</v>
      </c>
      <c r="L98" s="3">
        <f>_DATA_Assessment_Model!I98</f>
        <v>0</v>
      </c>
      <c r="M98" s="3">
        <f>_DATA_Assessment_Model!J98</f>
        <v>5</v>
      </c>
      <c r="N98" s="3">
        <f>_DATA_Assessment_Model!K98</f>
        <v>5</v>
      </c>
      <c r="O98" s="2" t="str">
        <f>_DATA_Assessment_Model!L98</f>
        <v>Critical</v>
      </c>
      <c r="P98" s="2" t="s">
        <v>1069</v>
      </c>
      <c r="Q98" s="2" t="s">
        <v>1070</v>
      </c>
      <c r="R98" s="2" t="s">
        <v>1071</v>
      </c>
      <c r="S98" s="2" t="s">
        <v>1072</v>
      </c>
      <c r="T98" s="2" t="s">
        <v>1073</v>
      </c>
      <c r="U98" s="2" t="s">
        <v>1074</v>
      </c>
      <c r="V98" s="2" t="s">
        <v>1408</v>
      </c>
      <c r="W98" s="253"/>
      <c r="X98" s="253"/>
      <c r="Y98" s="253" t="s">
        <v>829</v>
      </c>
      <c r="Z98" s="6">
        <v>4</v>
      </c>
      <c r="AA98" s="6">
        <v>5</v>
      </c>
      <c r="AB98" s="6">
        <v>5</v>
      </c>
      <c r="AC98" s="254"/>
      <c r="AD98" t="s">
        <v>1403</v>
      </c>
      <c r="AE98" s="5">
        <f>_DATA_Assessment_Model!AB98</f>
        <v>8</v>
      </c>
      <c r="AF98" s="7">
        <f>_DATA_Assessment_Model!AC98</f>
        <v>0</v>
      </c>
      <c r="AG98" s="8">
        <f>_DATA_Assessment_Model!AD98</f>
        <v>0</v>
      </c>
      <c r="AH98" s="5">
        <f>_DATA_Assessment_Model!AE98</f>
        <v>8</v>
      </c>
      <c r="AI98" s="7">
        <f>_DATA_Assessment_Model!AF98</f>
        <v>5</v>
      </c>
      <c r="AJ98" s="5">
        <f>_DATA_Assessment_Model!AG98</f>
        <v>8</v>
      </c>
      <c r="AK98" s="255"/>
      <c r="AL98" s="255"/>
      <c r="AM98" s="14">
        <f>_DATA_Assessment_Model!AJ98</f>
        <v>0.9</v>
      </c>
      <c r="AN98" s="14">
        <f>_DATA_Assessment_Model!AK98</f>
        <v>0.9</v>
      </c>
      <c r="AO98" s="14">
        <f>_DATA_Assessment_Model!AL98</f>
        <v>0</v>
      </c>
      <c r="AP98" s="14">
        <f>_DATA_Assessment_Model!AM98</f>
        <v>0</v>
      </c>
      <c r="AQ98" s="14">
        <f>_DATA_Assessment_Model!AN98</f>
        <v>0</v>
      </c>
      <c r="AR98" s="14">
        <f>_DATA_Assessment_Model!AO98</f>
        <v>0</v>
      </c>
      <c r="AS98" s="14">
        <f>_DATA_Assessment_Model!AP98</f>
        <v>0</v>
      </c>
      <c r="AT98" s="14">
        <f>_DATA_Assessment_Model!AQ98</f>
        <v>0</v>
      </c>
      <c r="AU98" s="14" t="str">
        <f>_DATA_Assessment_Model!AR98</f>
        <v>Within target</v>
      </c>
      <c r="AV98" s="4">
        <f>_DATA_Assessment_Model!AS98</f>
        <v>0</v>
      </c>
      <c r="AW98" s="4">
        <f>_DATA_Assessment_Model!AT98</f>
        <v>0.9</v>
      </c>
      <c r="AX98" s="254"/>
      <c r="AY98">
        <f>_DATA_Assessment_Model!AV98</f>
        <v>0.9</v>
      </c>
    </row>
    <row r="99" spans="1:51" ht="69" customHeight="1">
      <c r="A99" t="s">
        <v>1401</v>
      </c>
      <c r="B99" t="s">
        <v>1401</v>
      </c>
      <c r="C99">
        <v>6</v>
      </c>
      <c r="D99" s="2" t="s">
        <v>1409</v>
      </c>
      <c r="E99" s="2" t="s">
        <v>1403</v>
      </c>
      <c r="F99" s="2" t="s">
        <v>1410</v>
      </c>
      <c r="G99" s="2" t="s">
        <v>1405</v>
      </c>
      <c r="H99" s="2" t="s">
        <v>1406</v>
      </c>
      <c r="I99" s="2" t="s">
        <v>1411</v>
      </c>
      <c r="J99" s="253">
        <v>5</v>
      </c>
      <c r="K99" s="49">
        <f>_DATA_Assessment_Model!H99</f>
        <v>0</v>
      </c>
      <c r="L99" s="3">
        <f>_DATA_Assessment_Model!I99</f>
        <v>0</v>
      </c>
      <c r="M99" s="3">
        <f>_DATA_Assessment_Model!J99</f>
        <v>5</v>
      </c>
      <c r="N99" s="3">
        <f>_DATA_Assessment_Model!K99</f>
        <v>5</v>
      </c>
      <c r="O99" s="2" t="str">
        <f>_DATA_Assessment_Model!L99</f>
        <v>Critical</v>
      </c>
      <c r="P99" s="2" t="s">
        <v>833</v>
      </c>
      <c r="Q99" s="2" t="s">
        <v>834</v>
      </c>
      <c r="R99" s="2" t="s">
        <v>835</v>
      </c>
      <c r="S99" s="2" t="s">
        <v>836</v>
      </c>
      <c r="T99" s="2" t="s">
        <v>837</v>
      </c>
      <c r="U99" s="2" t="s">
        <v>838</v>
      </c>
      <c r="V99" s="2" t="s">
        <v>1408</v>
      </c>
      <c r="W99" s="253"/>
      <c r="X99" s="253"/>
      <c r="Y99" s="253" t="s">
        <v>829</v>
      </c>
      <c r="Z99" s="6">
        <v>4</v>
      </c>
      <c r="AA99" s="6">
        <v>5</v>
      </c>
      <c r="AB99" s="6">
        <v>5</v>
      </c>
      <c r="AC99" s="254"/>
      <c r="AD99" t="s">
        <v>1412</v>
      </c>
      <c r="AE99" s="5">
        <f>_DATA_Assessment_Model!AB99</f>
        <v>6</v>
      </c>
      <c r="AF99" s="7">
        <f>_DATA_Assessment_Model!AC99</f>
        <v>0</v>
      </c>
      <c r="AG99" s="8">
        <f>_DATA_Assessment_Model!AD99</f>
        <v>0</v>
      </c>
      <c r="AH99" s="5">
        <f>_DATA_Assessment_Model!AE99</f>
        <v>6</v>
      </c>
      <c r="AI99" s="7">
        <f>_DATA_Assessment_Model!AF99</f>
        <v>5</v>
      </c>
      <c r="AJ99" s="5">
        <f>_DATA_Assessment_Model!AG99</f>
        <v>6</v>
      </c>
      <c r="AK99" s="255"/>
      <c r="AL99" s="255"/>
      <c r="AM99" s="14">
        <f>_DATA_Assessment_Model!AJ99</f>
        <v>0.9</v>
      </c>
      <c r="AN99" s="14">
        <f>_DATA_Assessment_Model!AK99</f>
        <v>0.9</v>
      </c>
      <c r="AO99" s="14">
        <f>_DATA_Assessment_Model!AL99</f>
        <v>0</v>
      </c>
      <c r="AP99" s="14">
        <f>_DATA_Assessment_Model!AM99</f>
        <v>0</v>
      </c>
      <c r="AQ99" s="14">
        <f>_DATA_Assessment_Model!AN99</f>
        <v>0</v>
      </c>
      <c r="AR99" s="14">
        <f>_DATA_Assessment_Model!AO99</f>
        <v>0</v>
      </c>
      <c r="AS99" s="14">
        <f>_DATA_Assessment_Model!AP99</f>
        <v>0</v>
      </c>
      <c r="AT99" s="14">
        <f>_DATA_Assessment_Model!AQ99</f>
        <v>0</v>
      </c>
      <c r="AU99" s="14" t="str">
        <f>_DATA_Assessment_Model!AR99</f>
        <v>Within target</v>
      </c>
      <c r="AV99" s="4">
        <f>_DATA_Assessment_Model!AS99</f>
        <v>0</v>
      </c>
      <c r="AW99" s="4">
        <f>_DATA_Assessment_Model!AT99</f>
        <v>0.9</v>
      </c>
      <c r="AX99" s="254"/>
      <c r="AY99">
        <f>_DATA_Assessment_Model!AV99</f>
        <v>0.9</v>
      </c>
    </row>
    <row r="100" spans="1:51" ht="69" customHeight="1">
      <c r="A100" t="s">
        <v>1401</v>
      </c>
      <c r="B100" t="s">
        <v>1401</v>
      </c>
      <c r="C100">
        <v>7</v>
      </c>
      <c r="D100" s="2" t="s">
        <v>1413</v>
      </c>
      <c r="E100" s="2" t="s">
        <v>1403</v>
      </c>
      <c r="F100" s="2" t="s">
        <v>1414</v>
      </c>
      <c r="G100" s="2" t="s">
        <v>1405</v>
      </c>
      <c r="H100" s="2" t="s">
        <v>1406</v>
      </c>
      <c r="I100" s="2" t="s">
        <v>1415</v>
      </c>
      <c r="J100" s="253">
        <v>3</v>
      </c>
      <c r="K100" s="49">
        <f>_DATA_Assessment_Model!H100</f>
        <v>0</v>
      </c>
      <c r="L100" s="3">
        <f>_DATA_Assessment_Model!I100</f>
        <v>0</v>
      </c>
      <c r="M100" s="3">
        <f>_DATA_Assessment_Model!J100</f>
        <v>3</v>
      </c>
      <c r="N100" s="3">
        <f>_DATA_Assessment_Model!K100</f>
        <v>3</v>
      </c>
      <c r="O100" s="2" t="str">
        <f>_DATA_Assessment_Model!L100</f>
        <v>Critical</v>
      </c>
      <c r="P100" s="2" t="s">
        <v>1416</v>
      </c>
      <c r="Q100" s="2" t="s">
        <v>1417</v>
      </c>
      <c r="R100" s="2" t="s">
        <v>1418</v>
      </c>
      <c r="S100" s="2" t="s">
        <v>1419</v>
      </c>
      <c r="T100" s="2" t="s">
        <v>1420</v>
      </c>
      <c r="U100" s="2" t="s">
        <v>1421</v>
      </c>
      <c r="V100" s="2" t="s">
        <v>1408</v>
      </c>
      <c r="W100" s="253"/>
      <c r="X100" s="253"/>
      <c r="Y100" s="253" t="s">
        <v>829</v>
      </c>
      <c r="Z100" s="6">
        <v>4</v>
      </c>
      <c r="AA100" s="6">
        <v>5</v>
      </c>
      <c r="AB100" s="6">
        <v>5</v>
      </c>
      <c r="AC100" s="254"/>
      <c r="AD100" t="s">
        <v>1422</v>
      </c>
      <c r="AE100" s="5">
        <f>_DATA_Assessment_Model!AB100</f>
        <v>6</v>
      </c>
      <c r="AF100" s="7">
        <f>_DATA_Assessment_Model!AC100</f>
        <v>0</v>
      </c>
      <c r="AG100" s="8">
        <f>_DATA_Assessment_Model!AD100</f>
        <v>0</v>
      </c>
      <c r="AH100" s="5">
        <f>_DATA_Assessment_Model!AE100</f>
        <v>6</v>
      </c>
      <c r="AI100" s="7">
        <f>_DATA_Assessment_Model!AF100</f>
        <v>5</v>
      </c>
      <c r="AJ100" s="5">
        <f>_DATA_Assessment_Model!AG100</f>
        <v>6</v>
      </c>
      <c r="AK100" s="255"/>
      <c r="AL100" s="255"/>
      <c r="AM100" s="14">
        <f>_DATA_Assessment_Model!AJ100</f>
        <v>0.9</v>
      </c>
      <c r="AN100" s="14">
        <f>_DATA_Assessment_Model!AK100</f>
        <v>0.9</v>
      </c>
      <c r="AO100" s="14">
        <f>_DATA_Assessment_Model!AL100</f>
        <v>0</v>
      </c>
      <c r="AP100" s="14">
        <f>_DATA_Assessment_Model!AM100</f>
        <v>0</v>
      </c>
      <c r="AQ100" s="14">
        <f>_DATA_Assessment_Model!AN100</f>
        <v>0</v>
      </c>
      <c r="AR100" s="14">
        <f>_DATA_Assessment_Model!AO100</f>
        <v>0</v>
      </c>
      <c r="AS100" s="14">
        <f>_DATA_Assessment_Model!AP100</f>
        <v>0</v>
      </c>
      <c r="AT100" s="14">
        <f>_DATA_Assessment_Model!AQ100</f>
        <v>0</v>
      </c>
      <c r="AU100" s="14" t="str">
        <f>_DATA_Assessment_Model!AR100</f>
        <v>Within target</v>
      </c>
      <c r="AV100" s="4">
        <f>_DATA_Assessment_Model!AS100</f>
        <v>0</v>
      </c>
      <c r="AW100" s="4">
        <f>_DATA_Assessment_Model!AT100</f>
        <v>0.9</v>
      </c>
      <c r="AX100" s="254"/>
      <c r="AY100">
        <f>_DATA_Assessment_Model!AV100</f>
        <v>0.9</v>
      </c>
    </row>
    <row r="101" spans="1:51" ht="82.85" customHeight="1">
      <c r="A101" t="s">
        <v>1401</v>
      </c>
      <c r="B101" t="s">
        <v>1401</v>
      </c>
      <c r="C101">
        <v>8</v>
      </c>
      <c r="D101" s="2" t="s">
        <v>1423</v>
      </c>
      <c r="E101" s="2" t="s">
        <v>1403</v>
      </c>
      <c r="F101" s="2" t="s">
        <v>1424</v>
      </c>
      <c r="G101" s="2" t="s">
        <v>1405</v>
      </c>
      <c r="H101" s="2" t="s">
        <v>1406</v>
      </c>
      <c r="I101" s="2" t="s">
        <v>1425</v>
      </c>
      <c r="J101" s="253">
        <v>5</v>
      </c>
      <c r="K101" s="49">
        <f>_DATA_Assessment_Model!H101</f>
        <v>0</v>
      </c>
      <c r="L101" s="3">
        <f>_DATA_Assessment_Model!I101</f>
        <v>0</v>
      </c>
      <c r="M101" s="3">
        <f>_DATA_Assessment_Model!J101</f>
        <v>5</v>
      </c>
      <c r="N101" s="3">
        <f>_DATA_Assessment_Model!K101</f>
        <v>5</v>
      </c>
      <c r="O101" s="2" t="str">
        <f>_DATA_Assessment_Model!L101</f>
        <v>Critical</v>
      </c>
      <c r="P101" s="2" t="s">
        <v>1051</v>
      </c>
      <c r="Q101" s="2" t="s">
        <v>1052</v>
      </c>
      <c r="R101" s="2" t="s">
        <v>1053</v>
      </c>
      <c r="S101" s="2" t="s">
        <v>1054</v>
      </c>
      <c r="T101" s="2" t="s">
        <v>1055</v>
      </c>
      <c r="U101" s="2" t="s">
        <v>1056</v>
      </c>
      <c r="V101" s="2" t="s">
        <v>1408</v>
      </c>
      <c r="W101" s="253"/>
      <c r="X101" s="253"/>
      <c r="Y101" s="253" t="s">
        <v>829</v>
      </c>
      <c r="Z101" s="6">
        <v>4</v>
      </c>
      <c r="AA101" s="6">
        <v>5</v>
      </c>
      <c r="AB101" s="6">
        <v>5</v>
      </c>
      <c r="AC101" s="254"/>
      <c r="AD101" t="s">
        <v>1426</v>
      </c>
      <c r="AE101" s="5">
        <f>_DATA_Assessment_Model!AB101</f>
        <v>6</v>
      </c>
      <c r="AF101" s="7">
        <f>_DATA_Assessment_Model!AC101</f>
        <v>0</v>
      </c>
      <c r="AG101" s="8">
        <f>_DATA_Assessment_Model!AD101</f>
        <v>0</v>
      </c>
      <c r="AH101" s="5">
        <f>_DATA_Assessment_Model!AE101</f>
        <v>6</v>
      </c>
      <c r="AI101" s="7">
        <f>_DATA_Assessment_Model!AF101</f>
        <v>5</v>
      </c>
      <c r="AJ101" s="5">
        <f>_DATA_Assessment_Model!AG101</f>
        <v>6</v>
      </c>
      <c r="AK101" s="255"/>
      <c r="AL101" s="255"/>
      <c r="AM101" s="14">
        <f>_DATA_Assessment_Model!AJ101</f>
        <v>0.9</v>
      </c>
      <c r="AN101" s="14">
        <f>_DATA_Assessment_Model!AK101</f>
        <v>0.9</v>
      </c>
      <c r="AO101" s="14">
        <f>_DATA_Assessment_Model!AL101</f>
        <v>0</v>
      </c>
      <c r="AP101" s="14">
        <f>_DATA_Assessment_Model!AM101</f>
        <v>0</v>
      </c>
      <c r="AQ101" s="14">
        <f>_DATA_Assessment_Model!AN101</f>
        <v>0</v>
      </c>
      <c r="AR101" s="14">
        <f>_DATA_Assessment_Model!AO101</f>
        <v>0</v>
      </c>
      <c r="AS101" s="14">
        <f>_DATA_Assessment_Model!AP101</f>
        <v>0</v>
      </c>
      <c r="AT101" s="14">
        <f>_DATA_Assessment_Model!AQ101</f>
        <v>0</v>
      </c>
      <c r="AU101" s="14" t="str">
        <f>_DATA_Assessment_Model!AR101</f>
        <v>Within target</v>
      </c>
      <c r="AV101" s="4">
        <f>_DATA_Assessment_Model!AS101</f>
        <v>0</v>
      </c>
      <c r="AW101" s="4">
        <f>_DATA_Assessment_Model!AT101</f>
        <v>0.9</v>
      </c>
      <c r="AX101" s="254"/>
      <c r="AY101">
        <f>_DATA_Assessment_Model!AV101</f>
        <v>0.9</v>
      </c>
    </row>
    <row r="102" spans="1:51" ht="82.85" customHeight="1">
      <c r="A102" t="s">
        <v>1401</v>
      </c>
      <c r="B102" t="s">
        <v>1401</v>
      </c>
      <c r="C102">
        <v>9</v>
      </c>
      <c r="D102" s="2" t="s">
        <v>1427</v>
      </c>
      <c r="E102" s="2" t="s">
        <v>1403</v>
      </c>
      <c r="F102" s="2" t="s">
        <v>1428</v>
      </c>
      <c r="G102" s="2" t="s">
        <v>1405</v>
      </c>
      <c r="H102" s="2" t="s">
        <v>1406</v>
      </c>
      <c r="I102" s="2" t="s">
        <v>1429</v>
      </c>
      <c r="J102" s="253">
        <v>3</v>
      </c>
      <c r="K102" s="49">
        <f>_DATA_Assessment_Model!H102</f>
        <v>0</v>
      </c>
      <c r="L102" s="3">
        <f>_DATA_Assessment_Model!I102</f>
        <v>0</v>
      </c>
      <c r="M102" s="3">
        <f>_DATA_Assessment_Model!J102</f>
        <v>3</v>
      </c>
      <c r="N102" s="3">
        <f>_DATA_Assessment_Model!K102</f>
        <v>3</v>
      </c>
      <c r="O102" s="2" t="str">
        <f>_DATA_Assessment_Model!L102</f>
        <v>Critical</v>
      </c>
      <c r="P102" s="2" t="s">
        <v>1430</v>
      </c>
      <c r="Q102" s="2" t="s">
        <v>1431</v>
      </c>
      <c r="R102" s="2" t="s">
        <v>1432</v>
      </c>
      <c r="S102" s="2" t="s">
        <v>1433</v>
      </c>
      <c r="T102" s="2" t="s">
        <v>1434</v>
      </c>
      <c r="U102" s="2" t="s">
        <v>1435</v>
      </c>
      <c r="V102" s="2" t="s">
        <v>1408</v>
      </c>
      <c r="W102" s="253"/>
      <c r="X102" s="253"/>
      <c r="Y102" s="253" t="s">
        <v>829</v>
      </c>
      <c r="Z102" s="6">
        <v>4</v>
      </c>
      <c r="AA102" s="6">
        <v>5</v>
      </c>
      <c r="AB102" s="6">
        <v>5</v>
      </c>
      <c r="AC102" s="254"/>
      <c r="AK102" s="255"/>
      <c r="AL102" s="255"/>
      <c r="AM102" s="14">
        <f>_DATA_Assessment_Model!AJ102</f>
        <v>0.9</v>
      </c>
      <c r="AN102" s="14">
        <f>_DATA_Assessment_Model!AK102</f>
        <v>0.9</v>
      </c>
      <c r="AO102" s="14">
        <f>_DATA_Assessment_Model!AL102</f>
        <v>0</v>
      </c>
      <c r="AP102" s="14">
        <f>_DATA_Assessment_Model!AM102</f>
        <v>0</v>
      </c>
      <c r="AQ102" s="14">
        <f>_DATA_Assessment_Model!AN102</f>
        <v>0</v>
      </c>
      <c r="AR102" s="14">
        <f>_DATA_Assessment_Model!AO102</f>
        <v>0</v>
      </c>
      <c r="AS102" s="14">
        <f>_DATA_Assessment_Model!AP102</f>
        <v>0</v>
      </c>
      <c r="AT102" s="14">
        <f>_DATA_Assessment_Model!AQ102</f>
        <v>0</v>
      </c>
      <c r="AU102" s="14" t="str">
        <f>_DATA_Assessment_Model!AR102</f>
        <v>Within target</v>
      </c>
      <c r="AV102" s="4">
        <f>_DATA_Assessment_Model!AS102</f>
        <v>0</v>
      </c>
      <c r="AW102" s="4">
        <f>_DATA_Assessment_Model!AT102</f>
        <v>0.9</v>
      </c>
      <c r="AX102" s="254"/>
      <c r="AY102">
        <f>_DATA_Assessment_Model!AV102</f>
        <v>0.9</v>
      </c>
    </row>
    <row r="103" spans="1:51" ht="82.85" customHeight="1">
      <c r="A103" t="s">
        <v>1401</v>
      </c>
      <c r="B103" t="s">
        <v>1401</v>
      </c>
      <c r="C103">
        <v>10</v>
      </c>
      <c r="D103" s="2" t="s">
        <v>1436</v>
      </c>
      <c r="E103" s="2" t="s">
        <v>1403</v>
      </c>
      <c r="F103" s="2" t="s">
        <v>1437</v>
      </c>
      <c r="G103" s="2" t="s">
        <v>1405</v>
      </c>
      <c r="H103" s="2" t="s">
        <v>1406</v>
      </c>
      <c r="I103" s="2" t="s">
        <v>1438</v>
      </c>
      <c r="J103" s="253">
        <v>5</v>
      </c>
      <c r="K103" s="49">
        <f>_DATA_Assessment_Model!H103</f>
        <v>0</v>
      </c>
      <c r="L103" s="3">
        <f>_DATA_Assessment_Model!I103</f>
        <v>0</v>
      </c>
      <c r="M103" s="3">
        <f>_DATA_Assessment_Model!J103</f>
        <v>5</v>
      </c>
      <c r="N103" s="3">
        <f>_DATA_Assessment_Model!K103</f>
        <v>5</v>
      </c>
      <c r="O103" s="2" t="str">
        <f>_DATA_Assessment_Model!L103</f>
        <v>Critical</v>
      </c>
      <c r="P103" s="2" t="s">
        <v>1202</v>
      </c>
      <c r="Q103" s="2" t="s">
        <v>1203</v>
      </c>
      <c r="R103" s="2" t="s">
        <v>1204</v>
      </c>
      <c r="S103" s="2" t="s">
        <v>1205</v>
      </c>
      <c r="T103" s="2" t="s">
        <v>1206</v>
      </c>
      <c r="U103" s="2" t="s">
        <v>1207</v>
      </c>
      <c r="V103" s="2" t="s">
        <v>1408</v>
      </c>
      <c r="W103" s="253"/>
      <c r="X103" s="253"/>
      <c r="Y103" s="253" t="s">
        <v>829</v>
      </c>
      <c r="Z103" s="6">
        <v>4</v>
      </c>
      <c r="AA103" s="6">
        <v>5</v>
      </c>
      <c r="AB103" s="6">
        <v>5</v>
      </c>
      <c r="AC103" s="254"/>
      <c r="AK103" s="255"/>
      <c r="AL103" s="255"/>
      <c r="AM103" s="14">
        <f>_DATA_Assessment_Model!AJ103</f>
        <v>0.9</v>
      </c>
      <c r="AN103" s="14">
        <f>_DATA_Assessment_Model!AK103</f>
        <v>0.9</v>
      </c>
      <c r="AO103" s="14">
        <f>_DATA_Assessment_Model!AL103</f>
        <v>0</v>
      </c>
      <c r="AP103" s="14">
        <f>_DATA_Assessment_Model!AM103</f>
        <v>0</v>
      </c>
      <c r="AQ103" s="14">
        <f>_DATA_Assessment_Model!AN103</f>
        <v>0</v>
      </c>
      <c r="AR103" s="14">
        <f>_DATA_Assessment_Model!AO103</f>
        <v>0</v>
      </c>
      <c r="AS103" s="14">
        <f>_DATA_Assessment_Model!AP103</f>
        <v>0</v>
      </c>
      <c r="AT103" s="14">
        <f>_DATA_Assessment_Model!AQ103</f>
        <v>0</v>
      </c>
      <c r="AU103" s="14" t="str">
        <f>_DATA_Assessment_Model!AR103</f>
        <v>Within target</v>
      </c>
      <c r="AV103" s="4">
        <f>_DATA_Assessment_Model!AS103</f>
        <v>0</v>
      </c>
      <c r="AW103" s="4">
        <f>_DATA_Assessment_Model!AT103</f>
        <v>0.9</v>
      </c>
      <c r="AX103" s="254"/>
      <c r="AY103">
        <f>_DATA_Assessment_Model!AV103</f>
        <v>0.9</v>
      </c>
    </row>
    <row r="104" spans="1:51" ht="96.65" customHeight="1">
      <c r="A104" t="s">
        <v>1401</v>
      </c>
      <c r="B104" t="s">
        <v>1401</v>
      </c>
      <c r="C104">
        <v>11</v>
      </c>
      <c r="D104" s="2" t="s">
        <v>1439</v>
      </c>
      <c r="E104" s="2" t="s">
        <v>1412</v>
      </c>
      <c r="F104" s="2" t="s">
        <v>1440</v>
      </c>
      <c r="G104" s="2" t="s">
        <v>1405</v>
      </c>
      <c r="H104" s="2" t="s">
        <v>1406</v>
      </c>
      <c r="I104" s="2" t="s">
        <v>1441</v>
      </c>
      <c r="J104" s="253">
        <v>3</v>
      </c>
      <c r="K104" s="49">
        <f>_DATA_Assessment_Model!H104</f>
        <v>0</v>
      </c>
      <c r="L104" s="3">
        <f>_DATA_Assessment_Model!I104</f>
        <v>0</v>
      </c>
      <c r="M104" s="3">
        <f>_DATA_Assessment_Model!J104</f>
        <v>3</v>
      </c>
      <c r="N104" s="3">
        <f>_DATA_Assessment_Model!K104</f>
        <v>3</v>
      </c>
      <c r="O104" s="2" t="str">
        <f>_DATA_Assessment_Model!L104</f>
        <v>Critical</v>
      </c>
      <c r="P104" s="2" t="s">
        <v>1442</v>
      </c>
      <c r="Q104" s="2" t="s">
        <v>1443</v>
      </c>
      <c r="R104" s="2" t="s">
        <v>1444</v>
      </c>
      <c r="S104" s="2" t="s">
        <v>1445</v>
      </c>
      <c r="T104" s="2" t="s">
        <v>1446</v>
      </c>
      <c r="U104" s="2" t="s">
        <v>1447</v>
      </c>
      <c r="V104" s="2" t="s">
        <v>1408</v>
      </c>
      <c r="W104" s="253"/>
      <c r="X104" s="253"/>
      <c r="Y104" s="253" t="s">
        <v>829</v>
      </c>
      <c r="Z104" s="6">
        <v>4</v>
      </c>
      <c r="AA104" s="6">
        <v>5</v>
      </c>
      <c r="AB104" s="6">
        <v>5</v>
      </c>
      <c r="AC104" s="254"/>
      <c r="AK104" s="255"/>
      <c r="AL104" s="255"/>
      <c r="AM104" s="14">
        <f>_DATA_Assessment_Model!AJ104</f>
        <v>0.9</v>
      </c>
      <c r="AN104" s="14">
        <f>_DATA_Assessment_Model!AK104</f>
        <v>0.9</v>
      </c>
      <c r="AO104" s="14">
        <f>_DATA_Assessment_Model!AL104</f>
        <v>0</v>
      </c>
      <c r="AP104" s="14">
        <f>_DATA_Assessment_Model!AM104</f>
        <v>0</v>
      </c>
      <c r="AQ104" s="14">
        <f>_DATA_Assessment_Model!AN104</f>
        <v>0</v>
      </c>
      <c r="AR104" s="14">
        <f>_DATA_Assessment_Model!AO104</f>
        <v>0</v>
      </c>
      <c r="AS104" s="14">
        <f>_DATA_Assessment_Model!AP104</f>
        <v>0</v>
      </c>
      <c r="AT104" s="14">
        <f>_DATA_Assessment_Model!AQ104</f>
        <v>0</v>
      </c>
      <c r="AU104" s="14" t="str">
        <f>_DATA_Assessment_Model!AR104</f>
        <v>Within target</v>
      </c>
      <c r="AV104" s="4">
        <f>_DATA_Assessment_Model!AS104</f>
        <v>0</v>
      </c>
      <c r="AW104" s="4">
        <f>_DATA_Assessment_Model!AT104</f>
        <v>0.9</v>
      </c>
      <c r="AX104" s="254"/>
      <c r="AY104">
        <f>_DATA_Assessment_Model!AV104</f>
        <v>0.9</v>
      </c>
    </row>
    <row r="105" spans="1:51" ht="69" customHeight="1">
      <c r="A105" t="s">
        <v>1401</v>
      </c>
      <c r="B105" t="s">
        <v>1401</v>
      </c>
      <c r="C105">
        <v>12</v>
      </c>
      <c r="D105" s="2" t="s">
        <v>1448</v>
      </c>
      <c r="E105" s="2" t="s">
        <v>1412</v>
      </c>
      <c r="F105" s="2" t="s">
        <v>1449</v>
      </c>
      <c r="G105" s="2" t="s">
        <v>1405</v>
      </c>
      <c r="H105" s="2" t="s">
        <v>1406</v>
      </c>
      <c r="I105" s="2" t="s">
        <v>1450</v>
      </c>
      <c r="J105" s="253">
        <v>5</v>
      </c>
      <c r="K105" s="49">
        <f>_DATA_Assessment_Model!H105</f>
        <v>0</v>
      </c>
      <c r="L105" s="3">
        <f>_DATA_Assessment_Model!I105</f>
        <v>0</v>
      </c>
      <c r="M105" s="3">
        <f>_DATA_Assessment_Model!J105</f>
        <v>5</v>
      </c>
      <c r="N105" s="3">
        <f>_DATA_Assessment_Model!K105</f>
        <v>5</v>
      </c>
      <c r="O105" s="2" t="str">
        <f>_DATA_Assessment_Model!L105</f>
        <v>Critical</v>
      </c>
      <c r="P105" s="2" t="s">
        <v>833</v>
      </c>
      <c r="Q105" s="2" t="s">
        <v>834</v>
      </c>
      <c r="R105" s="2" t="s">
        <v>835</v>
      </c>
      <c r="S105" s="2" t="s">
        <v>836</v>
      </c>
      <c r="T105" s="2" t="s">
        <v>837</v>
      </c>
      <c r="U105" s="2" t="s">
        <v>838</v>
      </c>
      <c r="V105" s="2" t="s">
        <v>1408</v>
      </c>
      <c r="W105" s="253"/>
      <c r="X105" s="253"/>
      <c r="Y105" s="253" t="s">
        <v>829</v>
      </c>
      <c r="Z105" s="6">
        <v>5</v>
      </c>
      <c r="AA105" s="6">
        <v>5</v>
      </c>
      <c r="AB105" s="6">
        <v>5</v>
      </c>
      <c r="AC105" s="254"/>
      <c r="AK105" s="255"/>
      <c r="AL105" s="255"/>
      <c r="AM105" s="14">
        <f>_DATA_Assessment_Model!AJ105</f>
        <v>0.9</v>
      </c>
      <c r="AN105" s="14">
        <f>_DATA_Assessment_Model!AK105</f>
        <v>0.9</v>
      </c>
      <c r="AO105" s="14">
        <f>_DATA_Assessment_Model!AL105</f>
        <v>0</v>
      </c>
      <c r="AP105" s="14">
        <f>_DATA_Assessment_Model!AM105</f>
        <v>0</v>
      </c>
      <c r="AQ105" s="14">
        <f>_DATA_Assessment_Model!AN105</f>
        <v>0</v>
      </c>
      <c r="AR105" s="14">
        <f>_DATA_Assessment_Model!AO105</f>
        <v>0</v>
      </c>
      <c r="AS105" s="14">
        <f>_DATA_Assessment_Model!AP105</f>
        <v>0</v>
      </c>
      <c r="AT105" s="14">
        <f>_DATA_Assessment_Model!AQ105</f>
        <v>0</v>
      </c>
      <c r="AU105" s="14" t="str">
        <f>_DATA_Assessment_Model!AR105</f>
        <v>Within target</v>
      </c>
      <c r="AV105" s="4">
        <f>_DATA_Assessment_Model!AS105</f>
        <v>0</v>
      </c>
      <c r="AW105" s="4">
        <f>_DATA_Assessment_Model!AT105</f>
        <v>0.9</v>
      </c>
      <c r="AX105" s="254"/>
      <c r="AY105">
        <f>_DATA_Assessment_Model!AV105</f>
        <v>0.9</v>
      </c>
    </row>
    <row r="106" spans="1:51" ht="82.85" customHeight="1">
      <c r="A106" t="s">
        <v>1401</v>
      </c>
      <c r="B106" t="s">
        <v>1401</v>
      </c>
      <c r="C106">
        <v>13</v>
      </c>
      <c r="D106" s="2" t="s">
        <v>1451</v>
      </c>
      <c r="E106" s="2" t="s">
        <v>1412</v>
      </c>
      <c r="F106" s="2" t="s">
        <v>1452</v>
      </c>
      <c r="G106" s="2" t="s">
        <v>1405</v>
      </c>
      <c r="H106" s="2" t="s">
        <v>1406</v>
      </c>
      <c r="I106" s="2" t="s">
        <v>1453</v>
      </c>
      <c r="J106" s="253">
        <v>5</v>
      </c>
      <c r="K106" s="49">
        <f>_DATA_Assessment_Model!H106</f>
        <v>0</v>
      </c>
      <c r="L106" s="3">
        <f>_DATA_Assessment_Model!I106</f>
        <v>0</v>
      </c>
      <c r="M106" s="3">
        <f>_DATA_Assessment_Model!J106</f>
        <v>5</v>
      </c>
      <c r="N106" s="3">
        <f>_DATA_Assessment_Model!K106</f>
        <v>5</v>
      </c>
      <c r="O106" s="2" t="str">
        <f>_DATA_Assessment_Model!L106</f>
        <v>Critical</v>
      </c>
      <c r="P106" s="2" t="s">
        <v>833</v>
      </c>
      <c r="Q106" s="2" t="s">
        <v>834</v>
      </c>
      <c r="R106" s="2" t="s">
        <v>835</v>
      </c>
      <c r="S106" s="2" t="s">
        <v>836</v>
      </c>
      <c r="T106" s="2" t="s">
        <v>837</v>
      </c>
      <c r="U106" s="2" t="s">
        <v>838</v>
      </c>
      <c r="V106" s="2" t="s">
        <v>1408</v>
      </c>
      <c r="W106" s="253"/>
      <c r="X106" s="253"/>
      <c r="Y106" s="253" t="s">
        <v>829</v>
      </c>
      <c r="Z106" s="6">
        <v>4</v>
      </c>
      <c r="AA106" s="6">
        <v>5</v>
      </c>
      <c r="AB106" s="6">
        <v>5</v>
      </c>
      <c r="AC106" s="254"/>
      <c r="AK106" s="255"/>
      <c r="AL106" s="255"/>
      <c r="AM106" s="14">
        <f>_DATA_Assessment_Model!AJ106</f>
        <v>0.9</v>
      </c>
      <c r="AN106" s="14">
        <f>_DATA_Assessment_Model!AK106</f>
        <v>0.9</v>
      </c>
      <c r="AO106" s="14">
        <f>_DATA_Assessment_Model!AL106</f>
        <v>0</v>
      </c>
      <c r="AP106" s="14">
        <f>_DATA_Assessment_Model!AM106</f>
        <v>0</v>
      </c>
      <c r="AQ106" s="14">
        <f>_DATA_Assessment_Model!AN106</f>
        <v>0</v>
      </c>
      <c r="AR106" s="14">
        <f>_DATA_Assessment_Model!AO106</f>
        <v>0</v>
      </c>
      <c r="AS106" s="14">
        <f>_DATA_Assessment_Model!AP106</f>
        <v>0</v>
      </c>
      <c r="AT106" s="14">
        <f>_DATA_Assessment_Model!AQ106</f>
        <v>0</v>
      </c>
      <c r="AU106" s="14" t="str">
        <f>_DATA_Assessment_Model!AR106</f>
        <v>Within target</v>
      </c>
      <c r="AV106" s="4">
        <f>_DATA_Assessment_Model!AS106</f>
        <v>0</v>
      </c>
      <c r="AW106" s="4">
        <f>_DATA_Assessment_Model!AT106</f>
        <v>0.9</v>
      </c>
      <c r="AX106" s="254"/>
      <c r="AY106">
        <f>_DATA_Assessment_Model!AV106</f>
        <v>0.9</v>
      </c>
    </row>
    <row r="107" spans="1:51" ht="82.85" customHeight="1">
      <c r="A107" t="s">
        <v>1401</v>
      </c>
      <c r="B107" t="s">
        <v>1401</v>
      </c>
      <c r="C107">
        <v>14</v>
      </c>
      <c r="D107" s="2" t="s">
        <v>1454</v>
      </c>
      <c r="E107" s="2" t="s">
        <v>1412</v>
      </c>
      <c r="F107" s="2" t="s">
        <v>1455</v>
      </c>
      <c r="G107" s="2" t="s">
        <v>1405</v>
      </c>
      <c r="H107" s="2" t="s">
        <v>1406</v>
      </c>
      <c r="I107" s="2" t="s">
        <v>1456</v>
      </c>
      <c r="J107" s="253">
        <v>5</v>
      </c>
      <c r="K107" s="49">
        <f>_DATA_Assessment_Model!H107</f>
        <v>0</v>
      </c>
      <c r="L107" s="3">
        <f>_DATA_Assessment_Model!I107</f>
        <v>0</v>
      </c>
      <c r="M107" s="3">
        <f>_DATA_Assessment_Model!J107</f>
        <v>5</v>
      </c>
      <c r="N107" s="3">
        <f>_DATA_Assessment_Model!K107</f>
        <v>5</v>
      </c>
      <c r="O107" s="2" t="str">
        <f>_DATA_Assessment_Model!L107</f>
        <v>Critical</v>
      </c>
      <c r="P107" s="2" t="s">
        <v>874</v>
      </c>
      <c r="Q107" s="2" t="s">
        <v>875</v>
      </c>
      <c r="R107" s="2" t="s">
        <v>876</v>
      </c>
      <c r="S107" s="2" t="s">
        <v>877</v>
      </c>
      <c r="T107" s="2" t="s">
        <v>878</v>
      </c>
      <c r="U107" s="2" t="s">
        <v>879</v>
      </c>
      <c r="V107" s="2" t="s">
        <v>1408</v>
      </c>
      <c r="W107" s="253"/>
      <c r="X107" s="253"/>
      <c r="Y107" s="253" t="s">
        <v>829</v>
      </c>
      <c r="Z107" s="6">
        <v>4</v>
      </c>
      <c r="AA107" s="6">
        <v>5</v>
      </c>
      <c r="AB107" s="6">
        <v>5</v>
      </c>
      <c r="AC107" s="254"/>
      <c r="AK107" s="255"/>
      <c r="AL107" s="255"/>
      <c r="AM107" s="14">
        <f>_DATA_Assessment_Model!AJ107</f>
        <v>0.9</v>
      </c>
      <c r="AN107" s="14">
        <f>_DATA_Assessment_Model!AK107</f>
        <v>0.9</v>
      </c>
      <c r="AO107" s="14">
        <f>_DATA_Assessment_Model!AL107</f>
        <v>0</v>
      </c>
      <c r="AP107" s="14">
        <f>_DATA_Assessment_Model!AM107</f>
        <v>0</v>
      </c>
      <c r="AQ107" s="14">
        <f>_DATA_Assessment_Model!AN107</f>
        <v>0</v>
      </c>
      <c r="AR107" s="14">
        <f>_DATA_Assessment_Model!AO107</f>
        <v>0</v>
      </c>
      <c r="AS107" s="14">
        <f>_DATA_Assessment_Model!AP107</f>
        <v>0</v>
      </c>
      <c r="AT107" s="14">
        <f>_DATA_Assessment_Model!AQ107</f>
        <v>0</v>
      </c>
      <c r="AU107" s="14" t="str">
        <f>_DATA_Assessment_Model!AR107</f>
        <v>Within target</v>
      </c>
      <c r="AV107" s="4">
        <f>_DATA_Assessment_Model!AS107</f>
        <v>0</v>
      </c>
      <c r="AW107" s="4">
        <f>_DATA_Assessment_Model!AT107</f>
        <v>0.9</v>
      </c>
      <c r="AX107" s="254"/>
      <c r="AY107">
        <f>_DATA_Assessment_Model!AV107</f>
        <v>0.9</v>
      </c>
    </row>
    <row r="108" spans="1:51" ht="82.85" customHeight="1">
      <c r="A108" t="s">
        <v>1401</v>
      </c>
      <c r="B108" t="s">
        <v>1401</v>
      </c>
      <c r="C108">
        <v>15</v>
      </c>
      <c r="D108" s="2" t="s">
        <v>1457</v>
      </c>
      <c r="E108" s="2" t="s">
        <v>1412</v>
      </c>
      <c r="F108" s="2" t="s">
        <v>1458</v>
      </c>
      <c r="G108" s="2" t="s">
        <v>1405</v>
      </c>
      <c r="H108" s="2" t="s">
        <v>1406</v>
      </c>
      <c r="I108" s="2" t="s">
        <v>1459</v>
      </c>
      <c r="J108" s="253">
        <v>5</v>
      </c>
      <c r="K108" s="49">
        <f>_DATA_Assessment_Model!H108</f>
        <v>0</v>
      </c>
      <c r="L108" s="3">
        <f>_DATA_Assessment_Model!I108</f>
        <v>0</v>
      </c>
      <c r="M108" s="3">
        <f>_DATA_Assessment_Model!J108</f>
        <v>5</v>
      </c>
      <c r="N108" s="3">
        <f>_DATA_Assessment_Model!K108</f>
        <v>5</v>
      </c>
      <c r="O108" s="2" t="str">
        <f>_DATA_Assessment_Model!L108</f>
        <v>Critical</v>
      </c>
      <c r="P108" s="2" t="s">
        <v>833</v>
      </c>
      <c r="Q108" s="2" t="s">
        <v>834</v>
      </c>
      <c r="R108" s="2" t="s">
        <v>835</v>
      </c>
      <c r="S108" s="2" t="s">
        <v>836</v>
      </c>
      <c r="T108" s="2" t="s">
        <v>837</v>
      </c>
      <c r="U108" s="2" t="s">
        <v>838</v>
      </c>
      <c r="V108" s="2" t="s">
        <v>1408</v>
      </c>
      <c r="W108" s="253"/>
      <c r="X108" s="253"/>
      <c r="Y108" s="253" t="s">
        <v>829</v>
      </c>
      <c r="Z108" s="6">
        <v>4</v>
      </c>
      <c r="AA108" s="6">
        <v>5</v>
      </c>
      <c r="AB108" s="6">
        <v>5</v>
      </c>
      <c r="AC108" s="254"/>
      <c r="AK108" s="255"/>
      <c r="AL108" s="255"/>
      <c r="AM108" s="14">
        <f>_DATA_Assessment_Model!AJ108</f>
        <v>0.9</v>
      </c>
      <c r="AN108" s="14">
        <f>_DATA_Assessment_Model!AK108</f>
        <v>0.9</v>
      </c>
      <c r="AO108" s="14">
        <f>_DATA_Assessment_Model!AL108</f>
        <v>0</v>
      </c>
      <c r="AP108" s="14">
        <f>_DATA_Assessment_Model!AM108</f>
        <v>0</v>
      </c>
      <c r="AQ108" s="14">
        <f>_DATA_Assessment_Model!AN108</f>
        <v>0</v>
      </c>
      <c r="AR108" s="14">
        <f>_DATA_Assessment_Model!AO108</f>
        <v>0</v>
      </c>
      <c r="AS108" s="14">
        <f>_DATA_Assessment_Model!AP108</f>
        <v>0</v>
      </c>
      <c r="AT108" s="14">
        <f>_DATA_Assessment_Model!AQ108</f>
        <v>0</v>
      </c>
      <c r="AU108" s="14" t="str">
        <f>_DATA_Assessment_Model!AR108</f>
        <v>Within target</v>
      </c>
      <c r="AV108" s="4">
        <f>_DATA_Assessment_Model!AS108</f>
        <v>0</v>
      </c>
      <c r="AW108" s="4">
        <f>_DATA_Assessment_Model!AT108</f>
        <v>0.9</v>
      </c>
      <c r="AX108" s="254"/>
      <c r="AY108">
        <f>_DATA_Assessment_Model!AV108</f>
        <v>0.9</v>
      </c>
    </row>
    <row r="109" spans="1:51" ht="110.4" customHeight="1">
      <c r="A109" t="s">
        <v>1401</v>
      </c>
      <c r="B109" t="s">
        <v>1401</v>
      </c>
      <c r="C109">
        <v>16</v>
      </c>
      <c r="D109" s="2" t="s">
        <v>1460</v>
      </c>
      <c r="E109" s="2" t="s">
        <v>1412</v>
      </c>
      <c r="F109" s="2" t="s">
        <v>1461</v>
      </c>
      <c r="G109" s="2" t="s">
        <v>1405</v>
      </c>
      <c r="H109" s="2" t="s">
        <v>1406</v>
      </c>
      <c r="I109" s="2" t="s">
        <v>1462</v>
      </c>
      <c r="J109" s="253">
        <v>4</v>
      </c>
      <c r="K109" s="49">
        <f>_DATA_Assessment_Model!H109</f>
        <v>0</v>
      </c>
      <c r="L109" s="3">
        <f>_DATA_Assessment_Model!I109</f>
        <v>0</v>
      </c>
      <c r="M109" s="3">
        <f>_DATA_Assessment_Model!J109</f>
        <v>4</v>
      </c>
      <c r="N109" s="3">
        <f>_DATA_Assessment_Model!K109</f>
        <v>4</v>
      </c>
      <c r="O109" s="2" t="str">
        <f>_DATA_Assessment_Model!L109</f>
        <v>Critical</v>
      </c>
      <c r="P109" s="2" t="s">
        <v>1463</v>
      </c>
      <c r="Q109" s="2" t="s">
        <v>1464</v>
      </c>
      <c r="R109" s="2" t="s">
        <v>1465</v>
      </c>
      <c r="S109" s="2" t="s">
        <v>1466</v>
      </c>
      <c r="T109" s="2" t="s">
        <v>1467</v>
      </c>
      <c r="U109" s="2" t="s">
        <v>1468</v>
      </c>
      <c r="V109" s="2" t="s">
        <v>1408</v>
      </c>
      <c r="W109" s="253"/>
      <c r="X109" s="253"/>
      <c r="Y109" s="253" t="s">
        <v>829</v>
      </c>
      <c r="Z109" s="6">
        <v>5</v>
      </c>
      <c r="AA109" s="6">
        <v>5</v>
      </c>
      <c r="AB109" s="6">
        <v>5</v>
      </c>
      <c r="AC109" s="254"/>
      <c r="AK109" s="255"/>
      <c r="AL109" s="255"/>
      <c r="AM109" s="14">
        <f>_DATA_Assessment_Model!AJ109</f>
        <v>0.9</v>
      </c>
      <c r="AN109" s="14">
        <f>_DATA_Assessment_Model!AK109</f>
        <v>0.9</v>
      </c>
      <c r="AO109" s="14">
        <f>_DATA_Assessment_Model!AL109</f>
        <v>0</v>
      </c>
      <c r="AP109" s="14">
        <f>_DATA_Assessment_Model!AM109</f>
        <v>0</v>
      </c>
      <c r="AQ109" s="14">
        <f>_DATA_Assessment_Model!AN109</f>
        <v>0</v>
      </c>
      <c r="AR109" s="14">
        <f>_DATA_Assessment_Model!AO109</f>
        <v>0</v>
      </c>
      <c r="AS109" s="14">
        <f>_DATA_Assessment_Model!AP109</f>
        <v>0</v>
      </c>
      <c r="AT109" s="14">
        <f>_DATA_Assessment_Model!AQ109</f>
        <v>0</v>
      </c>
      <c r="AU109" s="14" t="str">
        <f>_DATA_Assessment_Model!AR109</f>
        <v>Within target</v>
      </c>
      <c r="AV109" s="4">
        <f>_DATA_Assessment_Model!AS109</f>
        <v>0</v>
      </c>
      <c r="AW109" s="4">
        <f>_DATA_Assessment_Model!AT109</f>
        <v>0.9</v>
      </c>
      <c r="AX109" s="254"/>
      <c r="AY109">
        <f>_DATA_Assessment_Model!AV109</f>
        <v>0.9</v>
      </c>
    </row>
    <row r="110" spans="1:51" ht="110.4" customHeight="1">
      <c r="A110" t="s">
        <v>1401</v>
      </c>
      <c r="B110" t="s">
        <v>1401</v>
      </c>
      <c r="C110">
        <v>17</v>
      </c>
      <c r="D110" s="2" t="s">
        <v>1469</v>
      </c>
      <c r="E110" s="2" t="s">
        <v>1422</v>
      </c>
      <c r="F110" s="2" t="s">
        <v>1470</v>
      </c>
      <c r="G110" s="2" t="s">
        <v>1405</v>
      </c>
      <c r="H110" s="2" t="s">
        <v>1406</v>
      </c>
      <c r="I110" s="2" t="s">
        <v>1471</v>
      </c>
      <c r="J110" s="253">
        <v>3</v>
      </c>
      <c r="K110" s="49">
        <f>_DATA_Assessment_Model!H110</f>
        <v>0</v>
      </c>
      <c r="L110" s="3">
        <f>_DATA_Assessment_Model!I110</f>
        <v>0</v>
      </c>
      <c r="M110" s="3">
        <f>_DATA_Assessment_Model!J110</f>
        <v>3</v>
      </c>
      <c r="N110" s="3">
        <f>_DATA_Assessment_Model!K110</f>
        <v>3</v>
      </c>
      <c r="O110" s="2" t="str">
        <f>_DATA_Assessment_Model!L110</f>
        <v>Critical</v>
      </c>
      <c r="P110" s="2" t="s">
        <v>1472</v>
      </c>
      <c r="Q110" s="2" t="s">
        <v>1473</v>
      </c>
      <c r="R110" s="2" t="s">
        <v>1474</v>
      </c>
      <c r="S110" s="2" t="s">
        <v>1475</v>
      </c>
      <c r="T110" s="2" t="s">
        <v>1476</v>
      </c>
      <c r="U110" s="2" t="s">
        <v>1477</v>
      </c>
      <c r="V110" s="2" t="s">
        <v>1408</v>
      </c>
      <c r="W110" s="253"/>
      <c r="X110" s="253"/>
      <c r="Y110" s="253" t="s">
        <v>829</v>
      </c>
      <c r="Z110" s="6">
        <v>4</v>
      </c>
      <c r="AA110" s="6">
        <v>5</v>
      </c>
      <c r="AB110" s="6">
        <v>5</v>
      </c>
      <c r="AC110" s="254"/>
      <c r="AK110" s="255"/>
      <c r="AL110" s="255"/>
      <c r="AM110" s="14">
        <f>_DATA_Assessment_Model!AJ110</f>
        <v>0.9</v>
      </c>
      <c r="AN110" s="14">
        <f>_DATA_Assessment_Model!AK110</f>
        <v>0.9</v>
      </c>
      <c r="AO110" s="14">
        <f>_DATA_Assessment_Model!AL110</f>
        <v>0</v>
      </c>
      <c r="AP110" s="14">
        <f>_DATA_Assessment_Model!AM110</f>
        <v>0</v>
      </c>
      <c r="AQ110" s="14">
        <f>_DATA_Assessment_Model!AN110</f>
        <v>0</v>
      </c>
      <c r="AR110" s="14">
        <f>_DATA_Assessment_Model!AO110</f>
        <v>0</v>
      </c>
      <c r="AS110" s="14">
        <f>_DATA_Assessment_Model!AP110</f>
        <v>0</v>
      </c>
      <c r="AT110" s="14">
        <f>_DATA_Assessment_Model!AQ110</f>
        <v>0</v>
      </c>
      <c r="AU110" s="14" t="str">
        <f>_DATA_Assessment_Model!AR110</f>
        <v>Within target</v>
      </c>
      <c r="AV110" s="4">
        <f>_DATA_Assessment_Model!AS110</f>
        <v>0</v>
      </c>
      <c r="AW110" s="4">
        <f>_DATA_Assessment_Model!AT110</f>
        <v>0.9</v>
      </c>
      <c r="AX110" s="254"/>
      <c r="AY110">
        <f>_DATA_Assessment_Model!AV110</f>
        <v>0.9</v>
      </c>
    </row>
    <row r="111" spans="1:51" ht="82.85" customHeight="1">
      <c r="A111" t="s">
        <v>1401</v>
      </c>
      <c r="B111" t="s">
        <v>1401</v>
      </c>
      <c r="C111">
        <v>18</v>
      </c>
      <c r="D111" s="2" t="s">
        <v>1478</v>
      </c>
      <c r="E111" s="2" t="s">
        <v>1422</v>
      </c>
      <c r="F111" s="2" t="s">
        <v>1479</v>
      </c>
      <c r="G111" s="2" t="s">
        <v>1405</v>
      </c>
      <c r="H111" s="2" t="s">
        <v>1406</v>
      </c>
      <c r="I111" s="2" t="s">
        <v>1480</v>
      </c>
      <c r="J111" s="253">
        <v>5</v>
      </c>
      <c r="K111" s="49">
        <f>_DATA_Assessment_Model!H111</f>
        <v>0</v>
      </c>
      <c r="L111" s="3">
        <f>_DATA_Assessment_Model!I111</f>
        <v>0</v>
      </c>
      <c r="M111" s="3">
        <f>_DATA_Assessment_Model!J111</f>
        <v>5</v>
      </c>
      <c r="N111" s="3">
        <f>_DATA_Assessment_Model!K111</f>
        <v>5</v>
      </c>
      <c r="O111" s="2" t="str">
        <f>_DATA_Assessment_Model!L111</f>
        <v>Critical</v>
      </c>
      <c r="P111" s="2" t="s">
        <v>833</v>
      </c>
      <c r="Q111" s="2" t="s">
        <v>834</v>
      </c>
      <c r="R111" s="2" t="s">
        <v>835</v>
      </c>
      <c r="S111" s="2" t="s">
        <v>836</v>
      </c>
      <c r="T111" s="2" t="s">
        <v>837</v>
      </c>
      <c r="U111" s="2" t="s">
        <v>838</v>
      </c>
      <c r="V111" s="2" t="s">
        <v>1408</v>
      </c>
      <c r="W111" s="253"/>
      <c r="X111" s="253"/>
      <c r="Y111" s="253" t="s">
        <v>829</v>
      </c>
      <c r="Z111" s="6">
        <v>4</v>
      </c>
      <c r="AA111" s="6">
        <v>5</v>
      </c>
      <c r="AB111" s="6">
        <v>5</v>
      </c>
      <c r="AC111" s="254"/>
      <c r="AK111" s="255"/>
      <c r="AL111" s="255"/>
      <c r="AM111" s="14">
        <f>_DATA_Assessment_Model!AJ111</f>
        <v>0.9</v>
      </c>
      <c r="AN111" s="14">
        <f>_DATA_Assessment_Model!AK111</f>
        <v>0.9</v>
      </c>
      <c r="AO111" s="14">
        <f>_DATA_Assessment_Model!AL111</f>
        <v>0</v>
      </c>
      <c r="AP111" s="14">
        <f>_DATA_Assessment_Model!AM111</f>
        <v>0</v>
      </c>
      <c r="AQ111" s="14">
        <f>_DATA_Assessment_Model!AN111</f>
        <v>0</v>
      </c>
      <c r="AR111" s="14">
        <f>_DATA_Assessment_Model!AO111</f>
        <v>0</v>
      </c>
      <c r="AS111" s="14">
        <f>_DATA_Assessment_Model!AP111</f>
        <v>0</v>
      </c>
      <c r="AT111" s="14">
        <f>_DATA_Assessment_Model!AQ111</f>
        <v>0</v>
      </c>
      <c r="AU111" s="14" t="str">
        <f>_DATA_Assessment_Model!AR111</f>
        <v>Within target</v>
      </c>
      <c r="AV111" s="4">
        <f>_DATA_Assessment_Model!AS111</f>
        <v>0</v>
      </c>
      <c r="AW111" s="4">
        <f>_DATA_Assessment_Model!AT111</f>
        <v>0.9</v>
      </c>
      <c r="AX111" s="254"/>
      <c r="AY111">
        <f>_DATA_Assessment_Model!AV111</f>
        <v>0.9</v>
      </c>
    </row>
    <row r="112" spans="1:51" ht="69" customHeight="1">
      <c r="A112" t="s">
        <v>1401</v>
      </c>
      <c r="B112" t="s">
        <v>1401</v>
      </c>
      <c r="C112">
        <v>19</v>
      </c>
      <c r="D112" s="2" t="s">
        <v>1481</v>
      </c>
      <c r="E112" s="2" t="s">
        <v>1422</v>
      </c>
      <c r="F112" s="2" t="s">
        <v>1482</v>
      </c>
      <c r="G112" s="2" t="s">
        <v>1405</v>
      </c>
      <c r="H112" s="2" t="s">
        <v>1406</v>
      </c>
      <c r="I112" s="2" t="s">
        <v>1483</v>
      </c>
      <c r="J112" s="253">
        <v>5</v>
      </c>
      <c r="K112" s="49">
        <f>_DATA_Assessment_Model!H112</f>
        <v>0</v>
      </c>
      <c r="L112" s="3">
        <f>_DATA_Assessment_Model!I112</f>
        <v>0</v>
      </c>
      <c r="M112" s="3">
        <f>_DATA_Assessment_Model!J112</f>
        <v>5</v>
      </c>
      <c r="N112" s="3">
        <f>_DATA_Assessment_Model!K112</f>
        <v>5</v>
      </c>
      <c r="O112" s="2" t="str">
        <f>_DATA_Assessment_Model!L112</f>
        <v>Critical</v>
      </c>
      <c r="P112" s="2" t="s">
        <v>874</v>
      </c>
      <c r="Q112" s="2" t="s">
        <v>875</v>
      </c>
      <c r="R112" s="2" t="s">
        <v>876</v>
      </c>
      <c r="S112" s="2" t="s">
        <v>877</v>
      </c>
      <c r="T112" s="2" t="s">
        <v>878</v>
      </c>
      <c r="U112" s="2" t="s">
        <v>879</v>
      </c>
      <c r="V112" s="2" t="s">
        <v>1408</v>
      </c>
      <c r="W112" s="253"/>
      <c r="X112" s="253"/>
      <c r="Y112" s="253" t="s">
        <v>829</v>
      </c>
      <c r="Z112" s="6">
        <v>4</v>
      </c>
      <c r="AA112" s="6">
        <v>5</v>
      </c>
      <c r="AB112" s="6">
        <v>5</v>
      </c>
      <c r="AC112" s="254"/>
      <c r="AK112" s="255"/>
      <c r="AL112" s="255"/>
      <c r="AM112" s="14">
        <f>_DATA_Assessment_Model!AJ112</f>
        <v>0.9</v>
      </c>
      <c r="AN112" s="14">
        <f>_DATA_Assessment_Model!AK112</f>
        <v>0.9</v>
      </c>
      <c r="AO112" s="14">
        <f>_DATA_Assessment_Model!AL112</f>
        <v>0</v>
      </c>
      <c r="AP112" s="14">
        <f>_DATA_Assessment_Model!AM112</f>
        <v>0</v>
      </c>
      <c r="AQ112" s="14">
        <f>_DATA_Assessment_Model!AN112</f>
        <v>0</v>
      </c>
      <c r="AR112" s="14">
        <f>_DATA_Assessment_Model!AO112</f>
        <v>0</v>
      </c>
      <c r="AS112" s="14">
        <f>_DATA_Assessment_Model!AP112</f>
        <v>0</v>
      </c>
      <c r="AT112" s="14">
        <f>_DATA_Assessment_Model!AQ112</f>
        <v>0</v>
      </c>
      <c r="AU112" s="14" t="str">
        <f>_DATA_Assessment_Model!AR112</f>
        <v>Within target</v>
      </c>
      <c r="AV112" s="4">
        <f>_DATA_Assessment_Model!AS112</f>
        <v>0</v>
      </c>
      <c r="AW112" s="4">
        <f>_DATA_Assessment_Model!AT112</f>
        <v>0.9</v>
      </c>
      <c r="AX112" s="254"/>
      <c r="AY112">
        <f>_DATA_Assessment_Model!AV112</f>
        <v>0.9</v>
      </c>
    </row>
    <row r="113" spans="1:51" ht="82.85" customHeight="1">
      <c r="A113" t="s">
        <v>1401</v>
      </c>
      <c r="B113" t="s">
        <v>1401</v>
      </c>
      <c r="C113">
        <v>20</v>
      </c>
      <c r="D113" s="2" t="s">
        <v>1484</v>
      </c>
      <c r="E113" s="2" t="s">
        <v>1422</v>
      </c>
      <c r="F113" s="2" t="s">
        <v>1485</v>
      </c>
      <c r="G113" s="2" t="s">
        <v>1405</v>
      </c>
      <c r="H113" s="2" t="s">
        <v>1406</v>
      </c>
      <c r="I113" s="2" t="s">
        <v>1486</v>
      </c>
      <c r="J113" s="253">
        <v>5</v>
      </c>
      <c r="K113" s="49">
        <f>_DATA_Assessment_Model!H113</f>
        <v>0</v>
      </c>
      <c r="L113" s="3">
        <f>_DATA_Assessment_Model!I113</f>
        <v>0</v>
      </c>
      <c r="M113" s="3">
        <f>_DATA_Assessment_Model!J113</f>
        <v>5</v>
      </c>
      <c r="N113" s="3">
        <f>_DATA_Assessment_Model!K113</f>
        <v>5</v>
      </c>
      <c r="O113" s="2" t="str">
        <f>_DATA_Assessment_Model!L113</f>
        <v>Critical</v>
      </c>
      <c r="P113" s="2" t="s">
        <v>1069</v>
      </c>
      <c r="Q113" s="2" t="s">
        <v>1070</v>
      </c>
      <c r="R113" s="2" t="s">
        <v>1071</v>
      </c>
      <c r="S113" s="2" t="s">
        <v>1072</v>
      </c>
      <c r="T113" s="2" t="s">
        <v>1073</v>
      </c>
      <c r="U113" s="2" t="s">
        <v>1074</v>
      </c>
      <c r="V113" s="2" t="s">
        <v>1408</v>
      </c>
      <c r="W113" s="253"/>
      <c r="X113" s="253"/>
      <c r="Y113" s="253" t="s">
        <v>829</v>
      </c>
      <c r="Z113" s="6">
        <v>4</v>
      </c>
      <c r="AA113" s="6">
        <v>5</v>
      </c>
      <c r="AB113" s="6">
        <v>5</v>
      </c>
      <c r="AC113" s="254"/>
      <c r="AK113" s="255"/>
      <c r="AL113" s="255"/>
      <c r="AM113" s="14">
        <f>_DATA_Assessment_Model!AJ113</f>
        <v>0.9</v>
      </c>
      <c r="AN113" s="14">
        <f>_DATA_Assessment_Model!AK113</f>
        <v>0.9</v>
      </c>
      <c r="AO113" s="14">
        <f>_DATA_Assessment_Model!AL113</f>
        <v>0</v>
      </c>
      <c r="AP113" s="14">
        <f>_DATA_Assessment_Model!AM113</f>
        <v>0</v>
      </c>
      <c r="AQ113" s="14">
        <f>_DATA_Assessment_Model!AN113</f>
        <v>0</v>
      </c>
      <c r="AR113" s="14">
        <f>_DATA_Assessment_Model!AO113</f>
        <v>0</v>
      </c>
      <c r="AS113" s="14">
        <f>_DATA_Assessment_Model!AP113</f>
        <v>0</v>
      </c>
      <c r="AT113" s="14">
        <f>_DATA_Assessment_Model!AQ113</f>
        <v>0</v>
      </c>
      <c r="AU113" s="14" t="str">
        <f>_DATA_Assessment_Model!AR113</f>
        <v>Within target</v>
      </c>
      <c r="AV113" s="4">
        <f>_DATA_Assessment_Model!AS113</f>
        <v>0</v>
      </c>
      <c r="AW113" s="4">
        <f>_DATA_Assessment_Model!AT113</f>
        <v>0.9</v>
      </c>
      <c r="AX113" s="254"/>
      <c r="AY113">
        <f>_DATA_Assessment_Model!AV113</f>
        <v>0.9</v>
      </c>
    </row>
    <row r="114" spans="1:51" ht="96.65" customHeight="1">
      <c r="A114" t="s">
        <v>1401</v>
      </c>
      <c r="B114" t="s">
        <v>1401</v>
      </c>
      <c r="C114">
        <v>21</v>
      </c>
      <c r="D114" s="2" t="s">
        <v>1487</v>
      </c>
      <c r="E114" s="2" t="s">
        <v>1422</v>
      </c>
      <c r="F114" s="2" t="s">
        <v>1488</v>
      </c>
      <c r="G114" s="2" t="s">
        <v>1405</v>
      </c>
      <c r="H114" s="2" t="s">
        <v>1406</v>
      </c>
      <c r="I114" s="2" t="s">
        <v>1489</v>
      </c>
      <c r="J114" s="253">
        <v>3</v>
      </c>
      <c r="K114" s="49">
        <f>_DATA_Assessment_Model!H114</f>
        <v>0</v>
      </c>
      <c r="L114" s="3">
        <f>_DATA_Assessment_Model!I114</f>
        <v>0</v>
      </c>
      <c r="M114" s="3">
        <f>_DATA_Assessment_Model!J114</f>
        <v>3</v>
      </c>
      <c r="N114" s="3">
        <f>_DATA_Assessment_Model!K114</f>
        <v>3</v>
      </c>
      <c r="O114" s="2" t="str">
        <f>_DATA_Assessment_Model!L114</f>
        <v>Critical</v>
      </c>
      <c r="P114" s="2" t="s">
        <v>1490</v>
      </c>
      <c r="Q114" s="2" t="s">
        <v>1491</v>
      </c>
      <c r="R114" s="2" t="s">
        <v>1492</v>
      </c>
      <c r="S114" s="2" t="s">
        <v>1493</v>
      </c>
      <c r="T114" s="2" t="s">
        <v>1494</v>
      </c>
      <c r="U114" s="2" t="s">
        <v>1495</v>
      </c>
      <c r="V114" s="2" t="s">
        <v>1408</v>
      </c>
      <c r="W114" s="253"/>
      <c r="X114" s="253"/>
      <c r="Y114" s="253" t="s">
        <v>829</v>
      </c>
      <c r="Z114" s="6">
        <v>4</v>
      </c>
      <c r="AA114" s="6">
        <v>5</v>
      </c>
      <c r="AB114" s="6">
        <v>5</v>
      </c>
      <c r="AC114" s="254"/>
      <c r="AK114" s="255"/>
      <c r="AL114" s="255"/>
      <c r="AM114" s="14">
        <f>_DATA_Assessment_Model!AJ114</f>
        <v>0.9</v>
      </c>
      <c r="AN114" s="14">
        <f>_DATA_Assessment_Model!AK114</f>
        <v>0.9</v>
      </c>
      <c r="AO114" s="14">
        <f>_DATA_Assessment_Model!AL114</f>
        <v>0</v>
      </c>
      <c r="AP114" s="14">
        <f>_DATA_Assessment_Model!AM114</f>
        <v>0</v>
      </c>
      <c r="AQ114" s="14">
        <f>_DATA_Assessment_Model!AN114</f>
        <v>0</v>
      </c>
      <c r="AR114" s="14">
        <f>_DATA_Assessment_Model!AO114</f>
        <v>0</v>
      </c>
      <c r="AS114" s="14">
        <f>_DATA_Assessment_Model!AP114</f>
        <v>0</v>
      </c>
      <c r="AT114" s="14">
        <f>_DATA_Assessment_Model!AQ114</f>
        <v>0</v>
      </c>
      <c r="AU114" s="14" t="str">
        <f>_DATA_Assessment_Model!AR114</f>
        <v>Within target</v>
      </c>
      <c r="AV114" s="4">
        <f>_DATA_Assessment_Model!AS114</f>
        <v>0</v>
      </c>
      <c r="AW114" s="4">
        <f>_DATA_Assessment_Model!AT114</f>
        <v>0.9</v>
      </c>
      <c r="AX114" s="254"/>
      <c r="AY114">
        <f>_DATA_Assessment_Model!AV114</f>
        <v>0.9</v>
      </c>
    </row>
    <row r="115" spans="1:51" ht="82.85" customHeight="1">
      <c r="A115" t="s">
        <v>1401</v>
      </c>
      <c r="B115" t="s">
        <v>1401</v>
      </c>
      <c r="C115">
        <v>22</v>
      </c>
      <c r="D115" s="2" t="s">
        <v>1496</v>
      </c>
      <c r="E115" s="2" t="s">
        <v>1422</v>
      </c>
      <c r="F115" s="2" t="s">
        <v>1497</v>
      </c>
      <c r="G115" s="2" t="s">
        <v>1405</v>
      </c>
      <c r="H115" s="2" t="s">
        <v>1406</v>
      </c>
      <c r="I115" s="2" t="s">
        <v>1498</v>
      </c>
      <c r="J115" s="253">
        <v>5</v>
      </c>
      <c r="K115" s="49">
        <f>_DATA_Assessment_Model!H115</f>
        <v>0</v>
      </c>
      <c r="L115" s="3">
        <f>_DATA_Assessment_Model!I115</f>
        <v>0</v>
      </c>
      <c r="M115" s="3">
        <f>_DATA_Assessment_Model!J115</f>
        <v>5</v>
      </c>
      <c r="N115" s="3">
        <f>_DATA_Assessment_Model!K115</f>
        <v>5</v>
      </c>
      <c r="O115" s="2" t="str">
        <f>_DATA_Assessment_Model!L115</f>
        <v>Critical</v>
      </c>
      <c r="P115" s="2" t="s">
        <v>833</v>
      </c>
      <c r="Q115" s="2" t="s">
        <v>834</v>
      </c>
      <c r="R115" s="2" t="s">
        <v>835</v>
      </c>
      <c r="S115" s="2" t="s">
        <v>836</v>
      </c>
      <c r="T115" s="2" t="s">
        <v>837</v>
      </c>
      <c r="U115" s="2" t="s">
        <v>838</v>
      </c>
      <c r="V115" s="2" t="s">
        <v>1408</v>
      </c>
      <c r="W115" s="253"/>
      <c r="X115" s="253"/>
      <c r="Y115" s="253" t="s">
        <v>829</v>
      </c>
      <c r="Z115" s="6">
        <v>4</v>
      </c>
      <c r="AA115" s="6">
        <v>5</v>
      </c>
      <c r="AB115" s="6">
        <v>5</v>
      </c>
      <c r="AC115" s="254"/>
      <c r="AK115" s="255"/>
      <c r="AL115" s="255"/>
      <c r="AM115" s="14">
        <f>_DATA_Assessment_Model!AJ115</f>
        <v>0.9</v>
      </c>
      <c r="AN115" s="14">
        <f>_DATA_Assessment_Model!AK115</f>
        <v>0.9</v>
      </c>
      <c r="AO115" s="14">
        <f>_DATA_Assessment_Model!AL115</f>
        <v>0</v>
      </c>
      <c r="AP115" s="14">
        <f>_DATA_Assessment_Model!AM115</f>
        <v>0</v>
      </c>
      <c r="AQ115" s="14">
        <f>_DATA_Assessment_Model!AN115</f>
        <v>0</v>
      </c>
      <c r="AR115" s="14">
        <f>_DATA_Assessment_Model!AO115</f>
        <v>0</v>
      </c>
      <c r="AS115" s="14">
        <f>_DATA_Assessment_Model!AP115</f>
        <v>0</v>
      </c>
      <c r="AT115" s="14">
        <f>_DATA_Assessment_Model!AQ115</f>
        <v>0</v>
      </c>
      <c r="AU115" s="14" t="str">
        <f>_DATA_Assessment_Model!AR115</f>
        <v>Within target</v>
      </c>
      <c r="AV115" s="4">
        <f>_DATA_Assessment_Model!AS115</f>
        <v>0</v>
      </c>
      <c r="AW115" s="4">
        <f>_DATA_Assessment_Model!AT115</f>
        <v>0.9</v>
      </c>
      <c r="AX115" s="254"/>
      <c r="AY115">
        <f>_DATA_Assessment_Model!AV115</f>
        <v>0.9</v>
      </c>
    </row>
    <row r="116" spans="1:51" ht="96.65" customHeight="1">
      <c r="A116" t="s">
        <v>1401</v>
      </c>
      <c r="B116" t="s">
        <v>1401</v>
      </c>
      <c r="C116">
        <v>23</v>
      </c>
      <c r="D116" s="2" t="s">
        <v>1499</v>
      </c>
      <c r="E116" s="2" t="s">
        <v>1426</v>
      </c>
      <c r="F116" s="2" t="s">
        <v>1500</v>
      </c>
      <c r="G116" s="2" t="s">
        <v>1405</v>
      </c>
      <c r="H116" s="2" t="s">
        <v>1406</v>
      </c>
      <c r="I116" s="2" t="s">
        <v>1501</v>
      </c>
      <c r="J116" s="253">
        <v>4</v>
      </c>
      <c r="K116" s="49">
        <f>_DATA_Assessment_Model!H116</f>
        <v>0</v>
      </c>
      <c r="L116" s="3">
        <f>_DATA_Assessment_Model!I116</f>
        <v>0</v>
      </c>
      <c r="M116" s="3">
        <f>_DATA_Assessment_Model!J116</f>
        <v>4</v>
      </c>
      <c r="N116" s="3">
        <f>_DATA_Assessment_Model!K116</f>
        <v>4</v>
      </c>
      <c r="O116" s="2" t="str">
        <f>_DATA_Assessment_Model!L116</f>
        <v>Critical</v>
      </c>
      <c r="P116" s="2" t="s">
        <v>1502</v>
      </c>
      <c r="Q116" s="2" t="s">
        <v>1503</v>
      </c>
      <c r="R116" s="2" t="s">
        <v>1504</v>
      </c>
      <c r="S116" s="2" t="s">
        <v>1505</v>
      </c>
      <c r="T116" s="2" t="s">
        <v>1506</v>
      </c>
      <c r="U116" s="2" t="s">
        <v>1507</v>
      </c>
      <c r="V116" s="2" t="s">
        <v>1408</v>
      </c>
      <c r="W116" s="253"/>
      <c r="X116" s="253"/>
      <c r="Y116" s="253" t="s">
        <v>829</v>
      </c>
      <c r="Z116" s="6">
        <v>4</v>
      </c>
      <c r="AA116" s="6">
        <v>5</v>
      </c>
      <c r="AB116" s="6">
        <v>5</v>
      </c>
      <c r="AC116" s="254"/>
      <c r="AK116" s="255"/>
      <c r="AL116" s="255"/>
      <c r="AM116" s="14">
        <f>_DATA_Assessment_Model!AJ116</f>
        <v>0.9</v>
      </c>
      <c r="AN116" s="14">
        <f>_DATA_Assessment_Model!AK116</f>
        <v>0.9</v>
      </c>
      <c r="AO116" s="14">
        <f>_DATA_Assessment_Model!AL116</f>
        <v>0</v>
      </c>
      <c r="AP116" s="14">
        <f>_DATA_Assessment_Model!AM116</f>
        <v>0</v>
      </c>
      <c r="AQ116" s="14">
        <f>_DATA_Assessment_Model!AN116</f>
        <v>0</v>
      </c>
      <c r="AR116" s="14">
        <f>_DATA_Assessment_Model!AO116</f>
        <v>0</v>
      </c>
      <c r="AS116" s="14">
        <f>_DATA_Assessment_Model!AP116</f>
        <v>0</v>
      </c>
      <c r="AT116" s="14">
        <f>_DATA_Assessment_Model!AQ116</f>
        <v>0</v>
      </c>
      <c r="AU116" s="14" t="str">
        <f>_DATA_Assessment_Model!AR116</f>
        <v>Within target</v>
      </c>
      <c r="AV116" s="4">
        <f>_DATA_Assessment_Model!AS116</f>
        <v>0</v>
      </c>
      <c r="AW116" s="4">
        <f>_DATA_Assessment_Model!AT116</f>
        <v>0.9</v>
      </c>
      <c r="AX116" s="254"/>
      <c r="AY116">
        <f>_DATA_Assessment_Model!AV116</f>
        <v>0.9</v>
      </c>
    </row>
    <row r="117" spans="1:51" ht="69" customHeight="1">
      <c r="A117" t="s">
        <v>1401</v>
      </c>
      <c r="B117" t="s">
        <v>1401</v>
      </c>
      <c r="C117">
        <v>24</v>
      </c>
      <c r="D117" s="2" t="s">
        <v>1508</v>
      </c>
      <c r="E117" s="2" t="s">
        <v>1426</v>
      </c>
      <c r="F117" s="2" t="s">
        <v>1509</v>
      </c>
      <c r="G117" s="2" t="s">
        <v>1405</v>
      </c>
      <c r="H117" s="2" t="s">
        <v>1406</v>
      </c>
      <c r="I117" s="2" t="s">
        <v>1510</v>
      </c>
      <c r="J117" s="253">
        <v>5</v>
      </c>
      <c r="K117" s="49">
        <f>_DATA_Assessment_Model!H117</f>
        <v>0</v>
      </c>
      <c r="L117" s="3">
        <f>_DATA_Assessment_Model!I117</f>
        <v>0</v>
      </c>
      <c r="M117" s="3">
        <f>_DATA_Assessment_Model!J117</f>
        <v>5</v>
      </c>
      <c r="N117" s="3">
        <f>_DATA_Assessment_Model!K117</f>
        <v>5</v>
      </c>
      <c r="O117" s="2" t="str">
        <f>_DATA_Assessment_Model!L117</f>
        <v>Critical</v>
      </c>
      <c r="P117" s="2" t="s">
        <v>833</v>
      </c>
      <c r="Q117" s="2" t="s">
        <v>834</v>
      </c>
      <c r="R117" s="2" t="s">
        <v>835</v>
      </c>
      <c r="S117" s="2" t="s">
        <v>836</v>
      </c>
      <c r="T117" s="2" t="s">
        <v>837</v>
      </c>
      <c r="U117" s="2" t="s">
        <v>838</v>
      </c>
      <c r="V117" s="2" t="s">
        <v>1408</v>
      </c>
      <c r="W117" s="253"/>
      <c r="X117" s="253"/>
      <c r="Y117" s="253" t="s">
        <v>829</v>
      </c>
      <c r="Z117" s="6">
        <v>4</v>
      </c>
      <c r="AA117" s="6">
        <v>5</v>
      </c>
      <c r="AB117" s="6">
        <v>5</v>
      </c>
      <c r="AC117" s="254"/>
      <c r="AK117" s="255"/>
      <c r="AL117" s="255"/>
      <c r="AM117" s="14">
        <f>_DATA_Assessment_Model!AJ117</f>
        <v>0.9</v>
      </c>
      <c r="AN117" s="14">
        <f>_DATA_Assessment_Model!AK117</f>
        <v>0.9</v>
      </c>
      <c r="AO117" s="14">
        <f>_DATA_Assessment_Model!AL117</f>
        <v>0</v>
      </c>
      <c r="AP117" s="14">
        <f>_DATA_Assessment_Model!AM117</f>
        <v>0</v>
      </c>
      <c r="AQ117" s="14">
        <f>_DATA_Assessment_Model!AN117</f>
        <v>0</v>
      </c>
      <c r="AR117" s="14">
        <f>_DATA_Assessment_Model!AO117</f>
        <v>0</v>
      </c>
      <c r="AS117" s="14">
        <f>_DATA_Assessment_Model!AP117</f>
        <v>0</v>
      </c>
      <c r="AT117" s="14">
        <f>_DATA_Assessment_Model!AQ117</f>
        <v>0</v>
      </c>
      <c r="AU117" s="14" t="str">
        <f>_DATA_Assessment_Model!AR117</f>
        <v>Within target</v>
      </c>
      <c r="AV117" s="4">
        <f>_DATA_Assessment_Model!AS117</f>
        <v>0</v>
      </c>
      <c r="AW117" s="4">
        <f>_DATA_Assessment_Model!AT117</f>
        <v>0.9</v>
      </c>
      <c r="AX117" s="254"/>
      <c r="AY117">
        <f>_DATA_Assessment_Model!AV117</f>
        <v>0.9</v>
      </c>
    </row>
    <row r="118" spans="1:51" ht="82.85" customHeight="1">
      <c r="A118" t="s">
        <v>1401</v>
      </c>
      <c r="B118" t="s">
        <v>1401</v>
      </c>
      <c r="C118">
        <v>25</v>
      </c>
      <c r="D118" s="2" t="s">
        <v>1511</v>
      </c>
      <c r="E118" s="2" t="s">
        <v>1426</v>
      </c>
      <c r="F118" s="2" t="s">
        <v>1512</v>
      </c>
      <c r="G118" s="2" t="s">
        <v>1405</v>
      </c>
      <c r="H118" s="2" t="s">
        <v>1406</v>
      </c>
      <c r="I118" s="2" t="s">
        <v>1513</v>
      </c>
      <c r="J118" s="253">
        <v>5</v>
      </c>
      <c r="K118" s="49">
        <f>_DATA_Assessment_Model!H118</f>
        <v>0</v>
      </c>
      <c r="L118" s="3">
        <f>_DATA_Assessment_Model!I118</f>
        <v>0</v>
      </c>
      <c r="M118" s="3">
        <f>_DATA_Assessment_Model!J118</f>
        <v>5</v>
      </c>
      <c r="N118" s="3">
        <f>_DATA_Assessment_Model!K118</f>
        <v>5</v>
      </c>
      <c r="O118" s="2" t="str">
        <f>_DATA_Assessment_Model!L118</f>
        <v>Critical</v>
      </c>
      <c r="P118" s="2" t="s">
        <v>833</v>
      </c>
      <c r="Q118" s="2" t="s">
        <v>834</v>
      </c>
      <c r="R118" s="2" t="s">
        <v>835</v>
      </c>
      <c r="S118" s="2" t="s">
        <v>836</v>
      </c>
      <c r="T118" s="2" t="s">
        <v>837</v>
      </c>
      <c r="U118" s="2" t="s">
        <v>838</v>
      </c>
      <c r="V118" s="2" t="s">
        <v>1408</v>
      </c>
      <c r="W118" s="253"/>
      <c r="X118" s="253"/>
      <c r="Y118" s="253" t="s">
        <v>829</v>
      </c>
      <c r="Z118" s="6">
        <v>5</v>
      </c>
      <c r="AA118" s="6">
        <v>5</v>
      </c>
      <c r="AB118" s="6">
        <v>5</v>
      </c>
      <c r="AC118" s="254"/>
      <c r="AK118" s="255"/>
      <c r="AL118" s="255"/>
      <c r="AM118" s="14">
        <f>_DATA_Assessment_Model!AJ118</f>
        <v>0.9</v>
      </c>
      <c r="AN118" s="14">
        <f>_DATA_Assessment_Model!AK118</f>
        <v>0.9</v>
      </c>
      <c r="AO118" s="14">
        <f>_DATA_Assessment_Model!AL118</f>
        <v>0</v>
      </c>
      <c r="AP118" s="14">
        <f>_DATA_Assessment_Model!AM118</f>
        <v>0</v>
      </c>
      <c r="AQ118" s="14">
        <f>_DATA_Assessment_Model!AN118</f>
        <v>0</v>
      </c>
      <c r="AR118" s="14">
        <f>_DATA_Assessment_Model!AO118</f>
        <v>0</v>
      </c>
      <c r="AS118" s="14">
        <f>_DATA_Assessment_Model!AP118</f>
        <v>0</v>
      </c>
      <c r="AT118" s="14">
        <f>_DATA_Assessment_Model!AQ118</f>
        <v>0</v>
      </c>
      <c r="AU118" s="14" t="str">
        <f>_DATA_Assessment_Model!AR118</f>
        <v>Within target</v>
      </c>
      <c r="AV118" s="4">
        <f>_DATA_Assessment_Model!AS118</f>
        <v>0</v>
      </c>
      <c r="AW118" s="4">
        <f>_DATA_Assessment_Model!AT118</f>
        <v>0.9</v>
      </c>
      <c r="AX118" s="254"/>
      <c r="AY118">
        <f>_DATA_Assessment_Model!AV118</f>
        <v>0.9</v>
      </c>
    </row>
    <row r="119" spans="1:51" ht="69" customHeight="1">
      <c r="A119" t="s">
        <v>1401</v>
      </c>
      <c r="B119" t="s">
        <v>1401</v>
      </c>
      <c r="C119">
        <v>26</v>
      </c>
      <c r="D119" s="2" t="s">
        <v>1514</v>
      </c>
      <c r="E119" s="2" t="s">
        <v>1426</v>
      </c>
      <c r="F119" s="2" t="s">
        <v>1515</v>
      </c>
      <c r="G119" s="2" t="s">
        <v>1405</v>
      </c>
      <c r="H119" s="2" t="s">
        <v>1406</v>
      </c>
      <c r="I119" s="2" t="s">
        <v>1516</v>
      </c>
      <c r="J119" s="253">
        <v>5</v>
      </c>
      <c r="K119" s="49">
        <f>_DATA_Assessment_Model!H119</f>
        <v>0</v>
      </c>
      <c r="L119" s="3">
        <f>_DATA_Assessment_Model!I119</f>
        <v>0</v>
      </c>
      <c r="M119" s="3">
        <f>_DATA_Assessment_Model!J119</f>
        <v>5</v>
      </c>
      <c r="N119" s="3">
        <f>_DATA_Assessment_Model!K119</f>
        <v>5</v>
      </c>
      <c r="O119" s="2" t="str">
        <f>_DATA_Assessment_Model!L119</f>
        <v>Critical</v>
      </c>
      <c r="P119" s="2" t="s">
        <v>833</v>
      </c>
      <c r="Q119" s="2" t="s">
        <v>834</v>
      </c>
      <c r="R119" s="2" t="s">
        <v>835</v>
      </c>
      <c r="S119" s="2" t="s">
        <v>836</v>
      </c>
      <c r="T119" s="2" t="s">
        <v>837</v>
      </c>
      <c r="U119" s="2" t="s">
        <v>838</v>
      </c>
      <c r="V119" s="2" t="s">
        <v>1408</v>
      </c>
      <c r="W119" s="253"/>
      <c r="X119" s="253"/>
      <c r="Y119" s="253" t="s">
        <v>829</v>
      </c>
      <c r="Z119" s="6">
        <v>4</v>
      </c>
      <c r="AA119" s="6">
        <v>5</v>
      </c>
      <c r="AB119" s="6">
        <v>5</v>
      </c>
      <c r="AC119" s="254"/>
      <c r="AK119" s="255"/>
      <c r="AL119" s="255"/>
      <c r="AM119" s="14">
        <f>_DATA_Assessment_Model!AJ119</f>
        <v>0.9</v>
      </c>
      <c r="AN119" s="14">
        <f>_DATA_Assessment_Model!AK119</f>
        <v>0.9</v>
      </c>
      <c r="AO119" s="14">
        <f>_DATA_Assessment_Model!AL119</f>
        <v>0</v>
      </c>
      <c r="AP119" s="14">
        <f>_DATA_Assessment_Model!AM119</f>
        <v>0</v>
      </c>
      <c r="AQ119" s="14">
        <f>_DATA_Assessment_Model!AN119</f>
        <v>0</v>
      </c>
      <c r="AR119" s="14">
        <f>_DATA_Assessment_Model!AO119</f>
        <v>0</v>
      </c>
      <c r="AS119" s="14">
        <f>_DATA_Assessment_Model!AP119</f>
        <v>0</v>
      </c>
      <c r="AT119" s="14">
        <f>_DATA_Assessment_Model!AQ119</f>
        <v>0</v>
      </c>
      <c r="AU119" s="14" t="str">
        <f>_DATA_Assessment_Model!AR119</f>
        <v>Within target</v>
      </c>
      <c r="AV119" s="4">
        <f>_DATA_Assessment_Model!AS119</f>
        <v>0</v>
      </c>
      <c r="AW119" s="4">
        <f>_DATA_Assessment_Model!AT119</f>
        <v>0.9</v>
      </c>
      <c r="AX119" s="254"/>
      <c r="AY119">
        <f>_DATA_Assessment_Model!AV119</f>
        <v>0.9</v>
      </c>
    </row>
    <row r="120" spans="1:51" ht="69" customHeight="1">
      <c r="A120" t="s">
        <v>1401</v>
      </c>
      <c r="B120" t="s">
        <v>1401</v>
      </c>
      <c r="C120">
        <v>27</v>
      </c>
      <c r="D120" s="2" t="s">
        <v>1517</v>
      </c>
      <c r="E120" s="2" t="s">
        <v>1426</v>
      </c>
      <c r="F120" s="2" t="s">
        <v>1518</v>
      </c>
      <c r="G120" s="2" t="s">
        <v>1405</v>
      </c>
      <c r="H120" s="2" t="s">
        <v>1406</v>
      </c>
      <c r="I120" s="2" t="s">
        <v>1519</v>
      </c>
      <c r="J120" s="253">
        <v>5</v>
      </c>
      <c r="K120" s="49">
        <f>_DATA_Assessment_Model!H120</f>
        <v>0</v>
      </c>
      <c r="L120" s="3">
        <f>_DATA_Assessment_Model!I120</f>
        <v>0</v>
      </c>
      <c r="M120" s="3">
        <f>_DATA_Assessment_Model!J120</f>
        <v>5</v>
      </c>
      <c r="N120" s="3">
        <f>_DATA_Assessment_Model!K120</f>
        <v>5</v>
      </c>
      <c r="O120" s="2" t="str">
        <f>_DATA_Assessment_Model!L120</f>
        <v>Critical</v>
      </c>
      <c r="P120" s="2" t="s">
        <v>833</v>
      </c>
      <c r="Q120" s="2" t="s">
        <v>834</v>
      </c>
      <c r="R120" s="2" t="s">
        <v>835</v>
      </c>
      <c r="S120" s="2" t="s">
        <v>836</v>
      </c>
      <c r="T120" s="2" t="s">
        <v>837</v>
      </c>
      <c r="U120" s="2" t="s">
        <v>838</v>
      </c>
      <c r="V120" s="2" t="s">
        <v>1408</v>
      </c>
      <c r="W120" s="253"/>
      <c r="X120" s="253"/>
      <c r="Y120" s="253" t="s">
        <v>829</v>
      </c>
      <c r="Z120" s="6">
        <v>4</v>
      </c>
      <c r="AA120" s="6">
        <v>5</v>
      </c>
      <c r="AB120" s="6">
        <v>5</v>
      </c>
      <c r="AC120" s="254"/>
      <c r="AK120" s="255"/>
      <c r="AL120" s="255"/>
      <c r="AM120" s="14">
        <f>_DATA_Assessment_Model!AJ120</f>
        <v>0.9</v>
      </c>
      <c r="AN120" s="14">
        <f>_DATA_Assessment_Model!AK120</f>
        <v>0.9</v>
      </c>
      <c r="AO120" s="14">
        <f>_DATA_Assessment_Model!AL120</f>
        <v>0</v>
      </c>
      <c r="AP120" s="14">
        <f>_DATA_Assessment_Model!AM120</f>
        <v>0</v>
      </c>
      <c r="AQ120" s="14">
        <f>_DATA_Assessment_Model!AN120</f>
        <v>0</v>
      </c>
      <c r="AR120" s="14">
        <f>_DATA_Assessment_Model!AO120</f>
        <v>0</v>
      </c>
      <c r="AS120" s="14">
        <f>_DATA_Assessment_Model!AP120</f>
        <v>0</v>
      </c>
      <c r="AT120" s="14">
        <f>_DATA_Assessment_Model!AQ120</f>
        <v>0</v>
      </c>
      <c r="AU120" s="14" t="str">
        <f>_DATA_Assessment_Model!AR120</f>
        <v>Within target</v>
      </c>
      <c r="AV120" s="4">
        <f>_DATA_Assessment_Model!AS120</f>
        <v>0</v>
      </c>
      <c r="AW120" s="4">
        <f>_DATA_Assessment_Model!AT120</f>
        <v>0.9</v>
      </c>
      <c r="AX120" s="254"/>
      <c r="AY120">
        <f>_DATA_Assessment_Model!AV120</f>
        <v>0.9</v>
      </c>
    </row>
    <row r="121" spans="1:51" ht="110.4" customHeight="1">
      <c r="A121" t="s">
        <v>1401</v>
      </c>
      <c r="B121" t="s">
        <v>1401</v>
      </c>
      <c r="C121">
        <v>28</v>
      </c>
      <c r="D121" s="2" t="s">
        <v>1520</v>
      </c>
      <c r="E121" s="2" t="s">
        <v>1403</v>
      </c>
      <c r="F121" s="2" t="s">
        <v>1521</v>
      </c>
      <c r="G121" s="2" t="s">
        <v>1522</v>
      </c>
      <c r="H121" s="2" t="s">
        <v>1523</v>
      </c>
      <c r="I121" s="2" t="s">
        <v>941</v>
      </c>
      <c r="J121" s="253">
        <v>4</v>
      </c>
      <c r="K121" s="49">
        <f>_DATA_Assessment_Model!H121</f>
        <v>0</v>
      </c>
      <c r="L121" s="3">
        <f>_DATA_Assessment_Model!I121</f>
        <v>0</v>
      </c>
      <c r="M121" s="3">
        <f>_DATA_Assessment_Model!J121</f>
        <v>4</v>
      </c>
      <c r="N121" s="3">
        <f>_DATA_Assessment_Model!K121</f>
        <v>4</v>
      </c>
      <c r="O121" s="2" t="str">
        <f>_DATA_Assessment_Model!L121</f>
        <v>Critical</v>
      </c>
      <c r="P121" s="2" t="s">
        <v>1524</v>
      </c>
      <c r="Q121" s="2" t="s">
        <v>1525</v>
      </c>
      <c r="R121" s="2" t="s">
        <v>1526</v>
      </c>
      <c r="S121" s="2" t="s">
        <v>1527</v>
      </c>
      <c r="T121" s="2" t="s">
        <v>1528</v>
      </c>
      <c r="U121" s="2" t="s">
        <v>1529</v>
      </c>
      <c r="V121" s="2" t="s">
        <v>1530</v>
      </c>
      <c r="W121" s="253"/>
      <c r="X121" s="253"/>
      <c r="Y121" s="253" t="s">
        <v>829</v>
      </c>
      <c r="Z121" s="6">
        <v>3</v>
      </c>
      <c r="AA121" s="6">
        <v>4</v>
      </c>
      <c r="AB121" s="6">
        <v>4</v>
      </c>
      <c r="AC121" s="254"/>
      <c r="AK121" s="255"/>
      <c r="AL121" s="255"/>
      <c r="AM121" s="14">
        <f>_DATA_Assessment_Model!AJ121</f>
        <v>0.9</v>
      </c>
      <c r="AN121" s="14">
        <f>_DATA_Assessment_Model!AK121</f>
        <v>0.9</v>
      </c>
      <c r="AO121" s="14">
        <f>_DATA_Assessment_Model!AL121</f>
        <v>0</v>
      </c>
      <c r="AP121" s="14">
        <f>_DATA_Assessment_Model!AM121</f>
        <v>0</v>
      </c>
      <c r="AQ121" s="14">
        <f>_DATA_Assessment_Model!AN121</f>
        <v>0</v>
      </c>
      <c r="AR121" s="14">
        <f>_DATA_Assessment_Model!AO121</f>
        <v>0</v>
      </c>
      <c r="AS121" s="14">
        <f>_DATA_Assessment_Model!AP121</f>
        <v>0</v>
      </c>
      <c r="AT121" s="14">
        <f>_DATA_Assessment_Model!AQ121</f>
        <v>0</v>
      </c>
      <c r="AU121" s="14" t="str">
        <f>_DATA_Assessment_Model!AR121</f>
        <v>Within target</v>
      </c>
      <c r="AV121" s="4">
        <f>_DATA_Assessment_Model!AS121</f>
        <v>0</v>
      </c>
      <c r="AW121" s="4">
        <f>_DATA_Assessment_Model!AT121</f>
        <v>0.9</v>
      </c>
      <c r="AX121" s="254"/>
      <c r="AY121">
        <f>_DATA_Assessment_Model!AV121</f>
        <v>0.9</v>
      </c>
    </row>
    <row r="122" spans="1:51" ht="84.9">
      <c r="A122" t="s">
        <v>1401</v>
      </c>
      <c r="B122" t="s">
        <v>1401</v>
      </c>
      <c r="C122">
        <v>29</v>
      </c>
      <c r="D122" t="s">
        <v>1531</v>
      </c>
      <c r="E122" t="s">
        <v>1403</v>
      </c>
      <c r="F122" s="2" t="s">
        <v>1532</v>
      </c>
      <c r="G122" s="2" t="s">
        <v>1522</v>
      </c>
      <c r="H122" t="s">
        <v>1533</v>
      </c>
      <c r="I122" t="s">
        <v>941</v>
      </c>
      <c r="J122" s="254">
        <v>4</v>
      </c>
      <c r="K122">
        <f>_DATA_Assessment_Model!H122</f>
        <v>0</v>
      </c>
      <c r="L122">
        <f>_DATA_Assessment_Model!I122</f>
        <v>0</v>
      </c>
      <c r="M122">
        <f>_DATA_Assessment_Model!J122</f>
        <v>4</v>
      </c>
      <c r="N122">
        <f>_DATA_Assessment_Model!K122</f>
        <v>4</v>
      </c>
      <c r="O122" t="str">
        <f>_DATA_Assessment_Model!L122</f>
        <v>Critical</v>
      </c>
      <c r="P122" t="s">
        <v>1534</v>
      </c>
      <c r="Q122" t="s">
        <v>1535</v>
      </c>
      <c r="R122" t="s">
        <v>1536</v>
      </c>
      <c r="S122" t="s">
        <v>1537</v>
      </c>
      <c r="T122" t="s">
        <v>1538</v>
      </c>
      <c r="U122" t="s">
        <v>1539</v>
      </c>
      <c r="V122" t="s">
        <v>1530</v>
      </c>
      <c r="W122" s="254"/>
      <c r="X122" s="254"/>
      <c r="Y122" s="254" t="s">
        <v>829</v>
      </c>
      <c r="Z122">
        <v>3</v>
      </c>
      <c r="AA122">
        <v>4</v>
      </c>
      <c r="AB122">
        <v>4</v>
      </c>
      <c r="AC122" s="254"/>
      <c r="AK122" s="254"/>
      <c r="AL122" s="254"/>
      <c r="AM122">
        <f>_DATA_Assessment_Model!AJ122</f>
        <v>0.9</v>
      </c>
      <c r="AN122">
        <f>_DATA_Assessment_Model!AK122</f>
        <v>0.9</v>
      </c>
      <c r="AO122">
        <f>_DATA_Assessment_Model!AL122</f>
        <v>0</v>
      </c>
      <c r="AP122">
        <f>_DATA_Assessment_Model!AM122</f>
        <v>0</v>
      </c>
      <c r="AQ122">
        <f>_DATA_Assessment_Model!AN122</f>
        <v>0</v>
      </c>
      <c r="AR122">
        <f>_DATA_Assessment_Model!AO122</f>
        <v>0</v>
      </c>
      <c r="AS122">
        <f>_DATA_Assessment_Model!AP122</f>
        <v>0</v>
      </c>
      <c r="AT122">
        <f>_DATA_Assessment_Model!AQ122</f>
        <v>0</v>
      </c>
      <c r="AU122" t="str">
        <f>_DATA_Assessment_Model!AR122</f>
        <v>Within target</v>
      </c>
      <c r="AV122">
        <f>_DATA_Assessment_Model!AS122</f>
        <v>0</v>
      </c>
      <c r="AW122">
        <f>_DATA_Assessment_Model!AT122</f>
        <v>0.9</v>
      </c>
      <c r="AX122" s="254"/>
      <c r="AY122">
        <f>_DATA_Assessment_Model!AV122</f>
        <v>0.9</v>
      </c>
    </row>
    <row r="123" spans="1:51" ht="84.9">
      <c r="A123" t="s">
        <v>1401</v>
      </c>
      <c r="B123" t="s">
        <v>1401</v>
      </c>
      <c r="C123">
        <v>30</v>
      </c>
      <c r="D123" t="s">
        <v>1540</v>
      </c>
      <c r="E123" t="s">
        <v>1426</v>
      </c>
      <c r="F123" s="2" t="s">
        <v>1541</v>
      </c>
      <c r="G123" s="2" t="s">
        <v>1542</v>
      </c>
      <c r="H123" t="s">
        <v>1543</v>
      </c>
      <c r="I123" t="s">
        <v>941</v>
      </c>
      <c r="J123" s="254">
        <v>3</v>
      </c>
      <c r="K123">
        <f>_DATA_Assessment_Model!H123</f>
        <v>0</v>
      </c>
      <c r="L123">
        <f>_DATA_Assessment_Model!I123</f>
        <v>0</v>
      </c>
      <c r="M123">
        <f>_DATA_Assessment_Model!J123</f>
        <v>3</v>
      </c>
      <c r="N123">
        <f>_DATA_Assessment_Model!K123</f>
        <v>3</v>
      </c>
      <c r="O123" t="str">
        <f>_DATA_Assessment_Model!L123</f>
        <v>Critical</v>
      </c>
      <c r="P123" t="s">
        <v>1544</v>
      </c>
      <c r="Q123" t="s">
        <v>1545</v>
      </c>
      <c r="R123" t="s">
        <v>1546</v>
      </c>
      <c r="S123" t="s">
        <v>1547</v>
      </c>
      <c r="T123" t="s">
        <v>1548</v>
      </c>
      <c r="U123" t="s">
        <v>1549</v>
      </c>
      <c r="V123" t="s">
        <v>1550</v>
      </c>
      <c r="W123" s="254"/>
      <c r="X123" s="254"/>
      <c r="Y123" s="254" t="s">
        <v>829</v>
      </c>
      <c r="Z123">
        <v>3</v>
      </c>
      <c r="AA123">
        <v>3</v>
      </c>
      <c r="AB123">
        <v>4</v>
      </c>
      <c r="AC123" s="254"/>
      <c r="AK123" s="254"/>
      <c r="AL123" s="254"/>
      <c r="AM123">
        <f>_DATA_Assessment_Model!AJ123</f>
        <v>0.9</v>
      </c>
      <c r="AN123">
        <f>_DATA_Assessment_Model!AK123</f>
        <v>0.9</v>
      </c>
      <c r="AO123">
        <f>_DATA_Assessment_Model!AL123</f>
        <v>0</v>
      </c>
      <c r="AP123">
        <f>_DATA_Assessment_Model!AM123</f>
        <v>0</v>
      </c>
      <c r="AQ123">
        <f>_DATA_Assessment_Model!AN123</f>
        <v>0</v>
      </c>
      <c r="AR123">
        <f>_DATA_Assessment_Model!AO123</f>
        <v>0</v>
      </c>
      <c r="AS123">
        <f>_DATA_Assessment_Model!AP123</f>
        <v>0</v>
      </c>
      <c r="AT123">
        <f>_DATA_Assessment_Model!AQ123</f>
        <v>0</v>
      </c>
      <c r="AU123" t="str">
        <f>_DATA_Assessment_Model!AR123</f>
        <v>Within target</v>
      </c>
      <c r="AV123">
        <f>_DATA_Assessment_Model!AS123</f>
        <v>0</v>
      </c>
      <c r="AW123">
        <f>_DATA_Assessment_Model!AT123</f>
        <v>0.9</v>
      </c>
      <c r="AX123" s="254"/>
      <c r="AY123">
        <f>_DATA_Assessment_Model!AV123</f>
        <v>0.9</v>
      </c>
    </row>
    <row r="124" spans="1:51" ht="96.65" customHeight="1">
      <c r="A124" t="s">
        <v>1551</v>
      </c>
      <c r="B124" t="s">
        <v>1551</v>
      </c>
      <c r="C124">
        <v>5</v>
      </c>
      <c r="D124" s="2" t="s">
        <v>1552</v>
      </c>
      <c r="E124" s="2" t="s">
        <v>1553</v>
      </c>
      <c r="F124" s="2" t="s">
        <v>1554</v>
      </c>
      <c r="G124" s="2" t="s">
        <v>1555</v>
      </c>
      <c r="H124" s="2" t="s">
        <v>1556</v>
      </c>
      <c r="I124" s="2" t="s">
        <v>1557</v>
      </c>
      <c r="J124" s="253">
        <v>4</v>
      </c>
      <c r="K124" s="49">
        <f>_DATA_Assessment_Model!H124</f>
        <v>0</v>
      </c>
      <c r="L124" s="3">
        <f>_DATA_Assessment_Model!I124</f>
        <v>0</v>
      </c>
      <c r="M124" s="3">
        <f>_DATA_Assessment_Model!J124</f>
        <v>4</v>
      </c>
      <c r="N124" s="3">
        <f>_DATA_Assessment_Model!K124</f>
        <v>4</v>
      </c>
      <c r="O124" s="2" t="str">
        <f>_DATA_Assessment_Model!L124</f>
        <v>Critical</v>
      </c>
      <c r="P124" s="2" t="s">
        <v>1558</v>
      </c>
      <c r="Q124" s="2" t="s">
        <v>1559</v>
      </c>
      <c r="R124" s="2" t="s">
        <v>1560</v>
      </c>
      <c r="S124" s="2" t="s">
        <v>1561</v>
      </c>
      <c r="T124" s="2" t="s">
        <v>1562</v>
      </c>
      <c r="U124" s="2" t="s">
        <v>1563</v>
      </c>
      <c r="V124" s="2" t="s">
        <v>1564</v>
      </c>
      <c r="W124" s="253"/>
      <c r="X124" s="253"/>
      <c r="Y124" s="253" t="s">
        <v>829</v>
      </c>
      <c r="Z124" s="6">
        <v>5</v>
      </c>
      <c r="AA124" s="6">
        <v>5</v>
      </c>
      <c r="AB124" s="6">
        <v>5</v>
      </c>
      <c r="AC124" s="254"/>
      <c r="AD124" t="s">
        <v>1553</v>
      </c>
      <c r="AE124" s="5">
        <f>_DATA_Assessment_Model!AB124</f>
        <v>7</v>
      </c>
      <c r="AF124" s="7">
        <f>_DATA_Assessment_Model!AC124</f>
        <v>0</v>
      </c>
      <c r="AG124" s="8">
        <f>_DATA_Assessment_Model!AD124</f>
        <v>0</v>
      </c>
      <c r="AH124" s="5">
        <f>_DATA_Assessment_Model!AE124</f>
        <v>7</v>
      </c>
      <c r="AI124" s="7">
        <f>_DATA_Assessment_Model!AF124</f>
        <v>5</v>
      </c>
      <c r="AJ124" s="5">
        <f>_DATA_Assessment_Model!AG124</f>
        <v>7</v>
      </c>
      <c r="AK124" s="255"/>
      <c r="AL124" s="255"/>
      <c r="AM124" s="14">
        <f>_DATA_Assessment_Model!AJ124</f>
        <v>0.9</v>
      </c>
      <c r="AN124" s="14">
        <f>_DATA_Assessment_Model!AK124</f>
        <v>0.9</v>
      </c>
      <c r="AO124" s="14">
        <f>_DATA_Assessment_Model!AL124</f>
        <v>0</v>
      </c>
      <c r="AP124" s="14">
        <f>_DATA_Assessment_Model!AM124</f>
        <v>0</v>
      </c>
      <c r="AQ124" s="14">
        <f>_DATA_Assessment_Model!AN124</f>
        <v>0</v>
      </c>
      <c r="AR124" s="14">
        <f>_DATA_Assessment_Model!AO124</f>
        <v>0</v>
      </c>
      <c r="AS124" s="14">
        <f>_DATA_Assessment_Model!AP124</f>
        <v>0</v>
      </c>
      <c r="AT124" s="14">
        <f>_DATA_Assessment_Model!AQ124</f>
        <v>0</v>
      </c>
      <c r="AU124" s="14" t="str">
        <f>_DATA_Assessment_Model!AR124</f>
        <v>Within target</v>
      </c>
      <c r="AV124" s="4">
        <f>_DATA_Assessment_Model!AS124</f>
        <v>0</v>
      </c>
      <c r="AW124" s="4">
        <f>_DATA_Assessment_Model!AT124</f>
        <v>0.9</v>
      </c>
      <c r="AX124" s="254"/>
      <c r="AY124">
        <f>_DATA_Assessment_Model!AV124</f>
        <v>0.9</v>
      </c>
    </row>
    <row r="125" spans="1:51" ht="82.85" customHeight="1">
      <c r="A125" t="s">
        <v>1551</v>
      </c>
      <c r="B125" t="s">
        <v>1551</v>
      </c>
      <c r="C125">
        <v>6</v>
      </c>
      <c r="D125" s="2" t="s">
        <v>1565</v>
      </c>
      <c r="E125" s="2" t="s">
        <v>1553</v>
      </c>
      <c r="F125" s="2" t="s">
        <v>1566</v>
      </c>
      <c r="G125" s="2" t="s">
        <v>1555</v>
      </c>
      <c r="H125" s="2" t="s">
        <v>1556</v>
      </c>
      <c r="I125" s="2" t="s">
        <v>1567</v>
      </c>
      <c r="J125" s="253">
        <v>5</v>
      </c>
      <c r="K125" s="49">
        <f>_DATA_Assessment_Model!H125</f>
        <v>0</v>
      </c>
      <c r="L125" s="3">
        <f>_DATA_Assessment_Model!I125</f>
        <v>0</v>
      </c>
      <c r="M125" s="3">
        <f>_DATA_Assessment_Model!J125</f>
        <v>5</v>
      </c>
      <c r="N125" s="3">
        <f>_DATA_Assessment_Model!K125</f>
        <v>5</v>
      </c>
      <c r="O125" s="2" t="str">
        <f>_DATA_Assessment_Model!L125</f>
        <v>Critical</v>
      </c>
      <c r="P125" s="2" t="s">
        <v>833</v>
      </c>
      <c r="Q125" s="2" t="s">
        <v>834</v>
      </c>
      <c r="R125" s="2" t="s">
        <v>835</v>
      </c>
      <c r="S125" s="2" t="s">
        <v>836</v>
      </c>
      <c r="T125" s="2" t="s">
        <v>837</v>
      </c>
      <c r="U125" s="2" t="s">
        <v>838</v>
      </c>
      <c r="V125" s="2" t="s">
        <v>1564</v>
      </c>
      <c r="W125" s="253"/>
      <c r="X125" s="253"/>
      <c r="Y125" s="253" t="s">
        <v>829</v>
      </c>
      <c r="Z125" s="6">
        <v>5</v>
      </c>
      <c r="AA125" s="6">
        <v>5</v>
      </c>
      <c r="AB125" s="6">
        <v>5</v>
      </c>
      <c r="AC125" s="254"/>
      <c r="AD125" t="s">
        <v>1568</v>
      </c>
      <c r="AE125" s="5">
        <f>_DATA_Assessment_Model!AB125</f>
        <v>6</v>
      </c>
      <c r="AF125" s="7">
        <f>_DATA_Assessment_Model!AC125</f>
        <v>0</v>
      </c>
      <c r="AG125" s="8">
        <f>_DATA_Assessment_Model!AD125</f>
        <v>0</v>
      </c>
      <c r="AH125" s="5">
        <f>_DATA_Assessment_Model!AE125</f>
        <v>6</v>
      </c>
      <c r="AI125" s="7">
        <f>_DATA_Assessment_Model!AF125</f>
        <v>5</v>
      </c>
      <c r="AJ125" s="5">
        <f>_DATA_Assessment_Model!AG125</f>
        <v>6</v>
      </c>
      <c r="AK125" s="255"/>
      <c r="AL125" s="255"/>
      <c r="AM125" s="14">
        <f>_DATA_Assessment_Model!AJ125</f>
        <v>0.9</v>
      </c>
      <c r="AN125" s="14">
        <f>_DATA_Assessment_Model!AK125</f>
        <v>0.9</v>
      </c>
      <c r="AO125" s="14">
        <f>_DATA_Assessment_Model!AL125</f>
        <v>0</v>
      </c>
      <c r="AP125" s="14">
        <f>_DATA_Assessment_Model!AM125</f>
        <v>0</v>
      </c>
      <c r="AQ125" s="14">
        <f>_DATA_Assessment_Model!AN125</f>
        <v>0</v>
      </c>
      <c r="AR125" s="14">
        <f>_DATA_Assessment_Model!AO125</f>
        <v>0</v>
      </c>
      <c r="AS125" s="14">
        <f>_DATA_Assessment_Model!AP125</f>
        <v>0</v>
      </c>
      <c r="AT125" s="14">
        <f>_DATA_Assessment_Model!AQ125</f>
        <v>0</v>
      </c>
      <c r="AU125" s="14" t="str">
        <f>_DATA_Assessment_Model!AR125</f>
        <v>Within target</v>
      </c>
      <c r="AV125" s="4">
        <f>_DATA_Assessment_Model!AS125</f>
        <v>0</v>
      </c>
      <c r="AW125" s="4">
        <f>_DATA_Assessment_Model!AT125</f>
        <v>0.9</v>
      </c>
      <c r="AX125" s="254"/>
      <c r="AY125">
        <f>_DATA_Assessment_Model!AV125</f>
        <v>0.9</v>
      </c>
    </row>
    <row r="126" spans="1:51" ht="82.85" customHeight="1">
      <c r="A126" t="s">
        <v>1551</v>
      </c>
      <c r="B126" t="s">
        <v>1551</v>
      </c>
      <c r="C126">
        <v>7</v>
      </c>
      <c r="D126" s="2" t="s">
        <v>1569</v>
      </c>
      <c r="E126" s="2" t="s">
        <v>1553</v>
      </c>
      <c r="F126" s="2" t="s">
        <v>1570</v>
      </c>
      <c r="G126" s="2" t="s">
        <v>1555</v>
      </c>
      <c r="H126" s="2" t="s">
        <v>1556</v>
      </c>
      <c r="I126" s="2" t="s">
        <v>1571</v>
      </c>
      <c r="J126" s="253">
        <v>5</v>
      </c>
      <c r="K126" s="49">
        <f>_DATA_Assessment_Model!H126</f>
        <v>0</v>
      </c>
      <c r="L126" s="3">
        <f>_DATA_Assessment_Model!I126</f>
        <v>0</v>
      </c>
      <c r="M126" s="3">
        <f>_DATA_Assessment_Model!J126</f>
        <v>5</v>
      </c>
      <c r="N126" s="3">
        <f>_DATA_Assessment_Model!K126</f>
        <v>5</v>
      </c>
      <c r="O126" s="2" t="str">
        <f>_DATA_Assessment_Model!L126</f>
        <v>Critical</v>
      </c>
      <c r="P126" s="2" t="s">
        <v>833</v>
      </c>
      <c r="Q126" s="2" t="s">
        <v>834</v>
      </c>
      <c r="R126" s="2" t="s">
        <v>835</v>
      </c>
      <c r="S126" s="2" t="s">
        <v>836</v>
      </c>
      <c r="T126" s="2" t="s">
        <v>837</v>
      </c>
      <c r="U126" s="2" t="s">
        <v>838</v>
      </c>
      <c r="V126" s="2" t="s">
        <v>1564</v>
      </c>
      <c r="W126" s="253"/>
      <c r="X126" s="253"/>
      <c r="Y126" s="253" t="s">
        <v>829</v>
      </c>
      <c r="Z126" s="6">
        <v>5</v>
      </c>
      <c r="AA126" s="6">
        <v>5</v>
      </c>
      <c r="AB126" s="6">
        <v>5</v>
      </c>
      <c r="AC126" s="254"/>
      <c r="AD126" t="s">
        <v>1572</v>
      </c>
      <c r="AE126" s="5">
        <f>_DATA_Assessment_Model!AB126</f>
        <v>6</v>
      </c>
      <c r="AF126" s="7">
        <f>_DATA_Assessment_Model!AC126</f>
        <v>0</v>
      </c>
      <c r="AG126" s="8">
        <f>_DATA_Assessment_Model!AD126</f>
        <v>0</v>
      </c>
      <c r="AH126" s="5">
        <f>_DATA_Assessment_Model!AE126</f>
        <v>6</v>
      </c>
      <c r="AI126" s="7">
        <f>_DATA_Assessment_Model!AF126</f>
        <v>5</v>
      </c>
      <c r="AJ126" s="5">
        <f>_DATA_Assessment_Model!AG126</f>
        <v>6</v>
      </c>
      <c r="AK126" s="255"/>
      <c r="AL126" s="255"/>
      <c r="AM126" s="14">
        <f>_DATA_Assessment_Model!AJ126</f>
        <v>0.9</v>
      </c>
      <c r="AN126" s="14">
        <f>_DATA_Assessment_Model!AK126</f>
        <v>0.9</v>
      </c>
      <c r="AO126" s="14">
        <f>_DATA_Assessment_Model!AL126</f>
        <v>0</v>
      </c>
      <c r="AP126" s="14">
        <f>_DATA_Assessment_Model!AM126</f>
        <v>0</v>
      </c>
      <c r="AQ126" s="14">
        <f>_DATA_Assessment_Model!AN126</f>
        <v>0</v>
      </c>
      <c r="AR126" s="14">
        <f>_DATA_Assessment_Model!AO126</f>
        <v>0</v>
      </c>
      <c r="AS126" s="14">
        <f>_DATA_Assessment_Model!AP126</f>
        <v>0</v>
      </c>
      <c r="AT126" s="14">
        <f>_DATA_Assessment_Model!AQ126</f>
        <v>0</v>
      </c>
      <c r="AU126" s="14" t="str">
        <f>_DATA_Assessment_Model!AR126</f>
        <v>Within target</v>
      </c>
      <c r="AV126" s="4">
        <f>_DATA_Assessment_Model!AS126</f>
        <v>0</v>
      </c>
      <c r="AW126" s="4">
        <f>_DATA_Assessment_Model!AT126</f>
        <v>0.9</v>
      </c>
      <c r="AX126" s="254"/>
      <c r="AY126">
        <f>_DATA_Assessment_Model!AV126</f>
        <v>0.9</v>
      </c>
    </row>
    <row r="127" spans="1:51" ht="96.65" customHeight="1">
      <c r="A127" t="s">
        <v>1551</v>
      </c>
      <c r="B127" t="s">
        <v>1551</v>
      </c>
      <c r="C127">
        <v>8</v>
      </c>
      <c r="D127" s="2" t="s">
        <v>1573</v>
      </c>
      <c r="E127" s="2" t="s">
        <v>1553</v>
      </c>
      <c r="F127" s="2" t="s">
        <v>1574</v>
      </c>
      <c r="G127" s="2" t="s">
        <v>1555</v>
      </c>
      <c r="H127" s="2" t="s">
        <v>1556</v>
      </c>
      <c r="I127" s="2" t="s">
        <v>1575</v>
      </c>
      <c r="J127" s="253">
        <v>3</v>
      </c>
      <c r="K127" s="49">
        <f>_DATA_Assessment_Model!H127</f>
        <v>0</v>
      </c>
      <c r="L127" s="3">
        <f>_DATA_Assessment_Model!I127</f>
        <v>0</v>
      </c>
      <c r="M127" s="3">
        <f>_DATA_Assessment_Model!J127</f>
        <v>3</v>
      </c>
      <c r="N127" s="3">
        <f>_DATA_Assessment_Model!K127</f>
        <v>3</v>
      </c>
      <c r="O127" s="2" t="str">
        <f>_DATA_Assessment_Model!L127</f>
        <v>Critical</v>
      </c>
      <c r="P127" s="2" t="s">
        <v>1576</v>
      </c>
      <c r="Q127" s="2" t="s">
        <v>1577</v>
      </c>
      <c r="R127" s="2" t="s">
        <v>1578</v>
      </c>
      <c r="S127" s="2" t="s">
        <v>1579</v>
      </c>
      <c r="T127" s="2" t="s">
        <v>1580</v>
      </c>
      <c r="U127" s="2" t="s">
        <v>1581</v>
      </c>
      <c r="V127" s="2" t="s">
        <v>1564</v>
      </c>
      <c r="W127" s="253"/>
      <c r="X127" s="253"/>
      <c r="Y127" s="253" t="s">
        <v>829</v>
      </c>
      <c r="Z127" s="6">
        <v>5</v>
      </c>
      <c r="AA127" s="6">
        <v>5</v>
      </c>
      <c r="AB127" s="6">
        <v>5</v>
      </c>
      <c r="AC127" s="254"/>
      <c r="AD127" t="s">
        <v>1582</v>
      </c>
      <c r="AE127" s="5">
        <f>_DATA_Assessment_Model!AB127</f>
        <v>2</v>
      </c>
      <c r="AF127" s="7">
        <f>_DATA_Assessment_Model!AC127</f>
        <v>0</v>
      </c>
      <c r="AG127" s="8">
        <f>_DATA_Assessment_Model!AD127</f>
        <v>0</v>
      </c>
      <c r="AH127" s="5">
        <f>_DATA_Assessment_Model!AE127</f>
        <v>2</v>
      </c>
      <c r="AI127" s="7">
        <f>_DATA_Assessment_Model!AF127</f>
        <v>5</v>
      </c>
      <c r="AJ127" s="5">
        <f>_DATA_Assessment_Model!AG127</f>
        <v>2</v>
      </c>
      <c r="AK127" s="255"/>
      <c r="AL127" s="255"/>
      <c r="AM127" s="14">
        <f>_DATA_Assessment_Model!AJ127</f>
        <v>0.9</v>
      </c>
      <c r="AN127" s="14">
        <f>_DATA_Assessment_Model!AK127</f>
        <v>0.9</v>
      </c>
      <c r="AO127" s="14">
        <f>_DATA_Assessment_Model!AL127</f>
        <v>0</v>
      </c>
      <c r="AP127" s="14">
        <f>_DATA_Assessment_Model!AM127</f>
        <v>0</v>
      </c>
      <c r="AQ127" s="14">
        <f>_DATA_Assessment_Model!AN127</f>
        <v>0</v>
      </c>
      <c r="AR127" s="14">
        <f>_DATA_Assessment_Model!AO127</f>
        <v>0</v>
      </c>
      <c r="AS127" s="14">
        <f>_DATA_Assessment_Model!AP127</f>
        <v>0</v>
      </c>
      <c r="AT127" s="14">
        <f>_DATA_Assessment_Model!AQ127</f>
        <v>0</v>
      </c>
      <c r="AU127" s="14" t="str">
        <f>_DATA_Assessment_Model!AR127</f>
        <v>Within target</v>
      </c>
      <c r="AV127" s="4">
        <f>_DATA_Assessment_Model!AS127</f>
        <v>0</v>
      </c>
      <c r="AW127" s="4">
        <f>_DATA_Assessment_Model!AT127</f>
        <v>0.9</v>
      </c>
      <c r="AX127" s="254"/>
      <c r="AY127">
        <f>_DATA_Assessment_Model!AV127</f>
        <v>0.9</v>
      </c>
    </row>
    <row r="128" spans="1:51" ht="96.65" customHeight="1">
      <c r="A128" t="s">
        <v>1551</v>
      </c>
      <c r="B128" t="s">
        <v>1551</v>
      </c>
      <c r="C128">
        <v>9</v>
      </c>
      <c r="D128" s="2" t="s">
        <v>1583</v>
      </c>
      <c r="E128" s="2" t="s">
        <v>1553</v>
      </c>
      <c r="F128" s="2" t="s">
        <v>1584</v>
      </c>
      <c r="G128" s="2" t="s">
        <v>1555</v>
      </c>
      <c r="H128" s="2" t="s">
        <v>1556</v>
      </c>
      <c r="I128" s="2" t="s">
        <v>1585</v>
      </c>
      <c r="J128" s="253">
        <v>3</v>
      </c>
      <c r="K128" s="49">
        <f>_DATA_Assessment_Model!H128</f>
        <v>0</v>
      </c>
      <c r="L128" s="3">
        <f>_DATA_Assessment_Model!I128</f>
        <v>0</v>
      </c>
      <c r="M128" s="3">
        <f>_DATA_Assessment_Model!J128</f>
        <v>3</v>
      </c>
      <c r="N128" s="3">
        <f>_DATA_Assessment_Model!K128</f>
        <v>3</v>
      </c>
      <c r="O128" s="2" t="str">
        <f>_DATA_Assessment_Model!L128</f>
        <v>Critical</v>
      </c>
      <c r="P128" s="2" t="s">
        <v>1586</v>
      </c>
      <c r="Q128" s="2" t="s">
        <v>1587</v>
      </c>
      <c r="R128" s="2" t="s">
        <v>1588</v>
      </c>
      <c r="S128" s="2" t="s">
        <v>1589</v>
      </c>
      <c r="T128" s="2" t="s">
        <v>1590</v>
      </c>
      <c r="U128" s="2" t="s">
        <v>1591</v>
      </c>
      <c r="V128" s="2" t="s">
        <v>1564</v>
      </c>
      <c r="W128" s="253"/>
      <c r="X128" s="253"/>
      <c r="Y128" s="253" t="s">
        <v>829</v>
      </c>
      <c r="Z128" s="6">
        <v>5</v>
      </c>
      <c r="AA128" s="6">
        <v>5</v>
      </c>
      <c r="AB128" s="6">
        <v>5</v>
      </c>
      <c r="AC128" s="254"/>
      <c r="AK128" s="255"/>
      <c r="AL128" s="255"/>
      <c r="AM128" s="14">
        <f>_DATA_Assessment_Model!AJ128</f>
        <v>0.9</v>
      </c>
      <c r="AN128" s="14">
        <f>_DATA_Assessment_Model!AK128</f>
        <v>0.9</v>
      </c>
      <c r="AO128" s="14">
        <f>_DATA_Assessment_Model!AL128</f>
        <v>0</v>
      </c>
      <c r="AP128" s="14">
        <f>_DATA_Assessment_Model!AM128</f>
        <v>0</v>
      </c>
      <c r="AQ128" s="14">
        <f>_DATA_Assessment_Model!AN128</f>
        <v>0</v>
      </c>
      <c r="AR128" s="14">
        <f>_DATA_Assessment_Model!AO128</f>
        <v>0</v>
      </c>
      <c r="AS128" s="14">
        <f>_DATA_Assessment_Model!AP128</f>
        <v>0</v>
      </c>
      <c r="AT128" s="14">
        <f>_DATA_Assessment_Model!AQ128</f>
        <v>0</v>
      </c>
      <c r="AU128" s="14" t="str">
        <f>_DATA_Assessment_Model!AR128</f>
        <v>Within target</v>
      </c>
      <c r="AV128" s="4">
        <f>_DATA_Assessment_Model!AS128</f>
        <v>0</v>
      </c>
      <c r="AW128" s="4">
        <f>_DATA_Assessment_Model!AT128</f>
        <v>0.9</v>
      </c>
      <c r="AX128" s="254"/>
      <c r="AY128">
        <f>_DATA_Assessment_Model!AV128</f>
        <v>0.9</v>
      </c>
    </row>
    <row r="129" spans="1:51" ht="69" customHeight="1">
      <c r="A129" t="s">
        <v>1551</v>
      </c>
      <c r="B129" t="s">
        <v>1551</v>
      </c>
      <c r="C129">
        <v>10</v>
      </c>
      <c r="D129" s="2" t="s">
        <v>1592</v>
      </c>
      <c r="E129" s="2" t="s">
        <v>1553</v>
      </c>
      <c r="F129" s="2" t="s">
        <v>1593</v>
      </c>
      <c r="G129" s="2" t="s">
        <v>1555</v>
      </c>
      <c r="H129" s="2" t="s">
        <v>1556</v>
      </c>
      <c r="I129" s="2" t="s">
        <v>1594</v>
      </c>
      <c r="J129" s="253">
        <v>5</v>
      </c>
      <c r="K129" s="49">
        <f>_DATA_Assessment_Model!H129</f>
        <v>0</v>
      </c>
      <c r="L129" s="3">
        <f>_DATA_Assessment_Model!I129</f>
        <v>0</v>
      </c>
      <c r="M129" s="3">
        <f>_DATA_Assessment_Model!J129</f>
        <v>5</v>
      </c>
      <c r="N129" s="3">
        <f>_DATA_Assessment_Model!K129</f>
        <v>5</v>
      </c>
      <c r="O129" s="2" t="str">
        <f>_DATA_Assessment_Model!L129</f>
        <v>Critical</v>
      </c>
      <c r="P129" s="2" t="s">
        <v>833</v>
      </c>
      <c r="Q129" s="2" t="s">
        <v>834</v>
      </c>
      <c r="R129" s="2" t="s">
        <v>835</v>
      </c>
      <c r="S129" s="2" t="s">
        <v>836</v>
      </c>
      <c r="T129" s="2" t="s">
        <v>837</v>
      </c>
      <c r="U129" s="2" t="s">
        <v>838</v>
      </c>
      <c r="V129" s="2" t="s">
        <v>1564</v>
      </c>
      <c r="W129" s="253"/>
      <c r="X129" s="253"/>
      <c r="Y129" s="253" t="s">
        <v>829</v>
      </c>
      <c r="Z129" s="6">
        <v>5</v>
      </c>
      <c r="AA129" s="6">
        <v>5</v>
      </c>
      <c r="AB129" s="6">
        <v>5</v>
      </c>
      <c r="AC129" s="254"/>
      <c r="AK129" s="255"/>
      <c r="AL129" s="255"/>
      <c r="AM129" s="14">
        <f>_DATA_Assessment_Model!AJ129</f>
        <v>0.9</v>
      </c>
      <c r="AN129" s="14">
        <f>_DATA_Assessment_Model!AK129</f>
        <v>0.9</v>
      </c>
      <c r="AO129" s="14">
        <f>_DATA_Assessment_Model!AL129</f>
        <v>0</v>
      </c>
      <c r="AP129" s="14">
        <f>_DATA_Assessment_Model!AM129</f>
        <v>0</v>
      </c>
      <c r="AQ129" s="14">
        <f>_DATA_Assessment_Model!AN129</f>
        <v>0</v>
      </c>
      <c r="AR129" s="14">
        <f>_DATA_Assessment_Model!AO129</f>
        <v>0</v>
      </c>
      <c r="AS129" s="14">
        <f>_DATA_Assessment_Model!AP129</f>
        <v>0</v>
      </c>
      <c r="AT129" s="14">
        <f>_DATA_Assessment_Model!AQ129</f>
        <v>0</v>
      </c>
      <c r="AU129" s="14" t="str">
        <f>_DATA_Assessment_Model!AR129</f>
        <v>Within target</v>
      </c>
      <c r="AV129" s="4">
        <f>_DATA_Assessment_Model!AS129</f>
        <v>0</v>
      </c>
      <c r="AW129" s="4">
        <f>_DATA_Assessment_Model!AT129</f>
        <v>0.9</v>
      </c>
      <c r="AX129" s="254"/>
      <c r="AY129">
        <f>_DATA_Assessment_Model!AV129</f>
        <v>0.9</v>
      </c>
    </row>
    <row r="130" spans="1:51" ht="82.85" customHeight="1">
      <c r="A130" t="s">
        <v>1551</v>
      </c>
      <c r="B130" t="s">
        <v>1551</v>
      </c>
      <c r="C130">
        <v>11</v>
      </c>
      <c r="D130" s="2" t="s">
        <v>1595</v>
      </c>
      <c r="E130" s="2" t="s">
        <v>1568</v>
      </c>
      <c r="F130" s="2" t="s">
        <v>1596</v>
      </c>
      <c r="G130" s="2" t="s">
        <v>1555</v>
      </c>
      <c r="H130" s="2" t="s">
        <v>1556</v>
      </c>
      <c r="I130" s="2" t="s">
        <v>1597</v>
      </c>
      <c r="J130" s="253">
        <v>5</v>
      </c>
      <c r="K130" s="49">
        <f>_DATA_Assessment_Model!H130</f>
        <v>0</v>
      </c>
      <c r="L130" s="3">
        <f>_DATA_Assessment_Model!I130</f>
        <v>0</v>
      </c>
      <c r="M130" s="3">
        <f>_DATA_Assessment_Model!J130</f>
        <v>5</v>
      </c>
      <c r="N130" s="3">
        <f>_DATA_Assessment_Model!K130</f>
        <v>5</v>
      </c>
      <c r="O130" s="2" t="str">
        <f>_DATA_Assessment_Model!L130</f>
        <v>Critical</v>
      </c>
      <c r="P130" s="2" t="s">
        <v>1051</v>
      </c>
      <c r="Q130" s="2" t="s">
        <v>1052</v>
      </c>
      <c r="R130" s="2" t="s">
        <v>1053</v>
      </c>
      <c r="S130" s="2" t="s">
        <v>1054</v>
      </c>
      <c r="T130" s="2" t="s">
        <v>1055</v>
      </c>
      <c r="U130" s="2" t="s">
        <v>1056</v>
      </c>
      <c r="V130" s="2" t="s">
        <v>1564</v>
      </c>
      <c r="W130" s="253"/>
      <c r="X130" s="253"/>
      <c r="Y130" s="253" t="s">
        <v>829</v>
      </c>
      <c r="Z130" s="6">
        <v>5</v>
      </c>
      <c r="AA130" s="6">
        <v>5</v>
      </c>
      <c r="AB130" s="6">
        <v>5</v>
      </c>
      <c r="AC130" s="254"/>
      <c r="AK130" s="255"/>
      <c r="AL130" s="255"/>
      <c r="AM130" s="14">
        <f>_DATA_Assessment_Model!AJ130</f>
        <v>0.9</v>
      </c>
      <c r="AN130" s="14">
        <f>_DATA_Assessment_Model!AK130</f>
        <v>0.9</v>
      </c>
      <c r="AO130" s="14">
        <f>_DATA_Assessment_Model!AL130</f>
        <v>0</v>
      </c>
      <c r="AP130" s="14">
        <f>_DATA_Assessment_Model!AM130</f>
        <v>0</v>
      </c>
      <c r="AQ130" s="14">
        <f>_DATA_Assessment_Model!AN130</f>
        <v>0</v>
      </c>
      <c r="AR130" s="14">
        <f>_DATA_Assessment_Model!AO130</f>
        <v>0</v>
      </c>
      <c r="AS130" s="14">
        <f>_DATA_Assessment_Model!AP130</f>
        <v>0</v>
      </c>
      <c r="AT130" s="14">
        <f>_DATA_Assessment_Model!AQ130</f>
        <v>0</v>
      </c>
      <c r="AU130" s="14" t="str">
        <f>_DATA_Assessment_Model!AR130</f>
        <v>Within target</v>
      </c>
      <c r="AV130" s="4">
        <f>_DATA_Assessment_Model!AS130</f>
        <v>0</v>
      </c>
      <c r="AW130" s="4">
        <f>_DATA_Assessment_Model!AT130</f>
        <v>0.9</v>
      </c>
      <c r="AX130" s="254"/>
      <c r="AY130">
        <f>_DATA_Assessment_Model!AV130</f>
        <v>0.9</v>
      </c>
    </row>
    <row r="131" spans="1:51" ht="82.85" customHeight="1">
      <c r="A131" t="s">
        <v>1551</v>
      </c>
      <c r="B131" t="s">
        <v>1551</v>
      </c>
      <c r="C131">
        <v>12</v>
      </c>
      <c r="D131" s="2" t="s">
        <v>1598</v>
      </c>
      <c r="E131" s="2" t="s">
        <v>1568</v>
      </c>
      <c r="F131" s="2" t="s">
        <v>1599</v>
      </c>
      <c r="G131" s="2" t="s">
        <v>1555</v>
      </c>
      <c r="H131" s="2" t="s">
        <v>1556</v>
      </c>
      <c r="I131" s="2" t="s">
        <v>1600</v>
      </c>
      <c r="J131" s="253">
        <v>5</v>
      </c>
      <c r="K131" s="49">
        <f>_DATA_Assessment_Model!H131</f>
        <v>0</v>
      </c>
      <c r="L131" s="3">
        <f>_DATA_Assessment_Model!I131</f>
        <v>0</v>
      </c>
      <c r="M131" s="3">
        <f>_DATA_Assessment_Model!J131</f>
        <v>5</v>
      </c>
      <c r="N131" s="3">
        <f>_DATA_Assessment_Model!K131</f>
        <v>5</v>
      </c>
      <c r="O131" s="2" t="str">
        <f>_DATA_Assessment_Model!L131</f>
        <v>Critical</v>
      </c>
      <c r="P131" s="2" t="s">
        <v>833</v>
      </c>
      <c r="Q131" s="2" t="s">
        <v>834</v>
      </c>
      <c r="R131" s="2" t="s">
        <v>835</v>
      </c>
      <c r="S131" s="2" t="s">
        <v>836</v>
      </c>
      <c r="T131" s="2" t="s">
        <v>837</v>
      </c>
      <c r="U131" s="2" t="s">
        <v>838</v>
      </c>
      <c r="V131" s="2" t="s">
        <v>1564</v>
      </c>
      <c r="W131" s="253"/>
      <c r="X131" s="253"/>
      <c r="Y131" s="253" t="s">
        <v>829</v>
      </c>
      <c r="Z131" s="6">
        <v>5</v>
      </c>
      <c r="AA131" s="6">
        <v>5</v>
      </c>
      <c r="AB131" s="6">
        <v>5</v>
      </c>
      <c r="AC131" s="254"/>
      <c r="AK131" s="255"/>
      <c r="AL131" s="255"/>
      <c r="AM131" s="14">
        <f>_DATA_Assessment_Model!AJ131</f>
        <v>0.9</v>
      </c>
      <c r="AN131" s="14">
        <f>_DATA_Assessment_Model!AK131</f>
        <v>0.9</v>
      </c>
      <c r="AO131" s="14">
        <f>_DATA_Assessment_Model!AL131</f>
        <v>0</v>
      </c>
      <c r="AP131" s="14">
        <f>_DATA_Assessment_Model!AM131</f>
        <v>0</v>
      </c>
      <c r="AQ131" s="14">
        <f>_DATA_Assessment_Model!AN131</f>
        <v>0</v>
      </c>
      <c r="AR131" s="14">
        <f>_DATA_Assessment_Model!AO131</f>
        <v>0</v>
      </c>
      <c r="AS131" s="14">
        <f>_DATA_Assessment_Model!AP131</f>
        <v>0</v>
      </c>
      <c r="AT131" s="14">
        <f>_DATA_Assessment_Model!AQ131</f>
        <v>0</v>
      </c>
      <c r="AU131" s="14" t="str">
        <f>_DATA_Assessment_Model!AR131</f>
        <v>Within target</v>
      </c>
      <c r="AV131" s="4">
        <f>_DATA_Assessment_Model!AS131</f>
        <v>0</v>
      </c>
      <c r="AW131" s="4">
        <f>_DATA_Assessment_Model!AT131</f>
        <v>0.9</v>
      </c>
      <c r="AX131" s="254"/>
      <c r="AY131">
        <f>_DATA_Assessment_Model!AV131</f>
        <v>0.9</v>
      </c>
    </row>
    <row r="132" spans="1:51" ht="110.4" customHeight="1">
      <c r="A132" t="s">
        <v>1551</v>
      </c>
      <c r="B132" t="s">
        <v>1551</v>
      </c>
      <c r="C132">
        <v>13</v>
      </c>
      <c r="D132" s="2" t="s">
        <v>1601</v>
      </c>
      <c r="E132" s="2" t="s">
        <v>1568</v>
      </c>
      <c r="F132" s="2" t="s">
        <v>1602</v>
      </c>
      <c r="G132" s="2" t="s">
        <v>1555</v>
      </c>
      <c r="H132" s="2" t="s">
        <v>1556</v>
      </c>
      <c r="I132" s="2" t="s">
        <v>1603</v>
      </c>
      <c r="J132" s="253">
        <v>4</v>
      </c>
      <c r="K132" s="49">
        <f>_DATA_Assessment_Model!H132</f>
        <v>0</v>
      </c>
      <c r="L132" s="3">
        <f>_DATA_Assessment_Model!I132</f>
        <v>0</v>
      </c>
      <c r="M132" s="3">
        <f>_DATA_Assessment_Model!J132</f>
        <v>4</v>
      </c>
      <c r="N132" s="3">
        <f>_DATA_Assessment_Model!K132</f>
        <v>4</v>
      </c>
      <c r="O132" s="2" t="str">
        <f>_DATA_Assessment_Model!L132</f>
        <v>Critical</v>
      </c>
      <c r="P132" s="2" t="s">
        <v>1604</v>
      </c>
      <c r="Q132" s="2" t="s">
        <v>1605</v>
      </c>
      <c r="R132" s="2" t="s">
        <v>1606</v>
      </c>
      <c r="S132" s="2" t="s">
        <v>1607</v>
      </c>
      <c r="T132" s="2" t="s">
        <v>1608</v>
      </c>
      <c r="U132" s="2" t="s">
        <v>1609</v>
      </c>
      <c r="V132" s="2" t="s">
        <v>1564</v>
      </c>
      <c r="W132" s="253"/>
      <c r="X132" s="253"/>
      <c r="Y132" s="253" t="s">
        <v>829</v>
      </c>
      <c r="Z132" s="6">
        <v>5</v>
      </c>
      <c r="AA132" s="6">
        <v>5</v>
      </c>
      <c r="AB132" s="6">
        <v>5</v>
      </c>
      <c r="AC132" s="254"/>
      <c r="AK132" s="255"/>
      <c r="AL132" s="255"/>
      <c r="AM132" s="14">
        <f>_DATA_Assessment_Model!AJ132</f>
        <v>0.9</v>
      </c>
      <c r="AN132" s="14">
        <f>_DATA_Assessment_Model!AK132</f>
        <v>0.9</v>
      </c>
      <c r="AO132" s="14">
        <f>_DATA_Assessment_Model!AL132</f>
        <v>0</v>
      </c>
      <c r="AP132" s="14">
        <f>_DATA_Assessment_Model!AM132</f>
        <v>0</v>
      </c>
      <c r="AQ132" s="14">
        <f>_DATA_Assessment_Model!AN132</f>
        <v>0</v>
      </c>
      <c r="AR132" s="14">
        <f>_DATA_Assessment_Model!AO132</f>
        <v>0</v>
      </c>
      <c r="AS132" s="14">
        <f>_DATA_Assessment_Model!AP132</f>
        <v>0</v>
      </c>
      <c r="AT132" s="14">
        <f>_DATA_Assessment_Model!AQ132</f>
        <v>0</v>
      </c>
      <c r="AU132" s="14" t="str">
        <f>_DATA_Assessment_Model!AR132</f>
        <v>Within target</v>
      </c>
      <c r="AV132" s="4">
        <f>_DATA_Assessment_Model!AS132</f>
        <v>0</v>
      </c>
      <c r="AW132" s="4">
        <f>_DATA_Assessment_Model!AT132</f>
        <v>0.9</v>
      </c>
      <c r="AX132" s="254"/>
      <c r="AY132">
        <f>_DATA_Assessment_Model!AV132</f>
        <v>0.9</v>
      </c>
    </row>
    <row r="133" spans="1:51" ht="82.85" customHeight="1">
      <c r="A133" t="s">
        <v>1551</v>
      </c>
      <c r="B133" t="s">
        <v>1551</v>
      </c>
      <c r="C133">
        <v>14</v>
      </c>
      <c r="D133" s="2" t="s">
        <v>1610</v>
      </c>
      <c r="E133" s="2" t="s">
        <v>1568</v>
      </c>
      <c r="F133" s="2" t="s">
        <v>1611</v>
      </c>
      <c r="G133" s="2" t="s">
        <v>1555</v>
      </c>
      <c r="H133" s="2" t="s">
        <v>1556</v>
      </c>
      <c r="I133" s="2" t="s">
        <v>1612</v>
      </c>
      <c r="J133" s="253">
        <v>5</v>
      </c>
      <c r="K133" s="49">
        <f>_DATA_Assessment_Model!H133</f>
        <v>0</v>
      </c>
      <c r="L133" s="3">
        <f>_DATA_Assessment_Model!I133</f>
        <v>0</v>
      </c>
      <c r="M133" s="3">
        <f>_DATA_Assessment_Model!J133</f>
        <v>5</v>
      </c>
      <c r="N133" s="3">
        <f>_DATA_Assessment_Model!K133</f>
        <v>5</v>
      </c>
      <c r="O133" s="2" t="str">
        <f>_DATA_Assessment_Model!L133</f>
        <v>Critical</v>
      </c>
      <c r="P133" s="2" t="s">
        <v>833</v>
      </c>
      <c r="Q133" s="2" t="s">
        <v>834</v>
      </c>
      <c r="R133" s="2" t="s">
        <v>835</v>
      </c>
      <c r="S133" s="2" t="s">
        <v>836</v>
      </c>
      <c r="T133" s="2" t="s">
        <v>837</v>
      </c>
      <c r="U133" s="2" t="s">
        <v>838</v>
      </c>
      <c r="V133" s="2" t="s">
        <v>1564</v>
      </c>
      <c r="W133" s="253"/>
      <c r="X133" s="253"/>
      <c r="Y133" s="253" t="s">
        <v>829</v>
      </c>
      <c r="Z133" s="6">
        <v>5</v>
      </c>
      <c r="AA133" s="6">
        <v>5</v>
      </c>
      <c r="AB133" s="6">
        <v>5</v>
      </c>
      <c r="AC133" s="254"/>
      <c r="AK133" s="255"/>
      <c r="AL133" s="255"/>
      <c r="AM133" s="14">
        <f>_DATA_Assessment_Model!AJ133</f>
        <v>0.9</v>
      </c>
      <c r="AN133" s="14">
        <f>_DATA_Assessment_Model!AK133</f>
        <v>0.9</v>
      </c>
      <c r="AO133" s="14">
        <f>_DATA_Assessment_Model!AL133</f>
        <v>0</v>
      </c>
      <c r="AP133" s="14">
        <f>_DATA_Assessment_Model!AM133</f>
        <v>0</v>
      </c>
      <c r="AQ133" s="14">
        <f>_DATA_Assessment_Model!AN133</f>
        <v>0</v>
      </c>
      <c r="AR133" s="14">
        <f>_DATA_Assessment_Model!AO133</f>
        <v>0</v>
      </c>
      <c r="AS133" s="14">
        <f>_DATA_Assessment_Model!AP133</f>
        <v>0</v>
      </c>
      <c r="AT133" s="14">
        <f>_DATA_Assessment_Model!AQ133</f>
        <v>0</v>
      </c>
      <c r="AU133" s="14" t="str">
        <f>_DATA_Assessment_Model!AR133</f>
        <v>Within target</v>
      </c>
      <c r="AV133" s="4">
        <f>_DATA_Assessment_Model!AS133</f>
        <v>0</v>
      </c>
      <c r="AW133" s="4">
        <f>_DATA_Assessment_Model!AT133</f>
        <v>0.9</v>
      </c>
      <c r="AX133" s="254"/>
      <c r="AY133">
        <f>_DATA_Assessment_Model!AV133</f>
        <v>0.9</v>
      </c>
    </row>
    <row r="134" spans="1:51" ht="82.85" customHeight="1">
      <c r="A134" t="s">
        <v>1551</v>
      </c>
      <c r="B134" t="s">
        <v>1551</v>
      </c>
      <c r="C134">
        <v>15</v>
      </c>
      <c r="D134" s="2" t="s">
        <v>1613</v>
      </c>
      <c r="E134" s="2" t="s">
        <v>1568</v>
      </c>
      <c r="F134" s="2" t="s">
        <v>1614</v>
      </c>
      <c r="G134" s="2" t="s">
        <v>1555</v>
      </c>
      <c r="H134" s="2" t="s">
        <v>1556</v>
      </c>
      <c r="I134" s="2" t="s">
        <v>1615</v>
      </c>
      <c r="J134" s="253">
        <v>5</v>
      </c>
      <c r="K134" s="49">
        <f>_DATA_Assessment_Model!H134</f>
        <v>0</v>
      </c>
      <c r="L134" s="3">
        <f>_DATA_Assessment_Model!I134</f>
        <v>0</v>
      </c>
      <c r="M134" s="3">
        <f>_DATA_Assessment_Model!J134</f>
        <v>5</v>
      </c>
      <c r="N134" s="3">
        <f>_DATA_Assessment_Model!K134</f>
        <v>5</v>
      </c>
      <c r="O134" s="2" t="str">
        <f>_DATA_Assessment_Model!L134</f>
        <v>Critical</v>
      </c>
      <c r="P134" s="2" t="s">
        <v>833</v>
      </c>
      <c r="Q134" s="2" t="s">
        <v>834</v>
      </c>
      <c r="R134" s="2" t="s">
        <v>835</v>
      </c>
      <c r="S134" s="2" t="s">
        <v>836</v>
      </c>
      <c r="T134" s="2" t="s">
        <v>837</v>
      </c>
      <c r="U134" s="2" t="s">
        <v>838</v>
      </c>
      <c r="V134" s="2" t="s">
        <v>1564</v>
      </c>
      <c r="W134" s="253"/>
      <c r="X134" s="253"/>
      <c r="Y134" s="253" t="s">
        <v>829</v>
      </c>
      <c r="Z134" s="6">
        <v>5</v>
      </c>
      <c r="AA134" s="6">
        <v>5</v>
      </c>
      <c r="AB134" s="6">
        <v>5</v>
      </c>
      <c r="AC134" s="254"/>
      <c r="AK134" s="255"/>
      <c r="AL134" s="255"/>
      <c r="AM134" s="14">
        <f>_DATA_Assessment_Model!AJ134</f>
        <v>0.9</v>
      </c>
      <c r="AN134" s="14">
        <f>_DATA_Assessment_Model!AK134</f>
        <v>0.9</v>
      </c>
      <c r="AO134" s="14">
        <f>_DATA_Assessment_Model!AL134</f>
        <v>0</v>
      </c>
      <c r="AP134" s="14">
        <f>_DATA_Assessment_Model!AM134</f>
        <v>0</v>
      </c>
      <c r="AQ134" s="14">
        <f>_DATA_Assessment_Model!AN134</f>
        <v>0</v>
      </c>
      <c r="AR134" s="14">
        <f>_DATA_Assessment_Model!AO134</f>
        <v>0</v>
      </c>
      <c r="AS134" s="14">
        <f>_DATA_Assessment_Model!AP134</f>
        <v>0</v>
      </c>
      <c r="AT134" s="14">
        <f>_DATA_Assessment_Model!AQ134</f>
        <v>0</v>
      </c>
      <c r="AU134" s="14" t="str">
        <f>_DATA_Assessment_Model!AR134</f>
        <v>Within target</v>
      </c>
      <c r="AV134" s="4">
        <f>_DATA_Assessment_Model!AS134</f>
        <v>0</v>
      </c>
      <c r="AW134" s="4">
        <f>_DATA_Assessment_Model!AT134</f>
        <v>0.9</v>
      </c>
      <c r="AX134" s="254"/>
      <c r="AY134">
        <f>_DATA_Assessment_Model!AV134</f>
        <v>0.9</v>
      </c>
    </row>
    <row r="135" spans="1:51" ht="69" customHeight="1">
      <c r="A135" t="s">
        <v>1551</v>
      </c>
      <c r="B135" t="s">
        <v>1551</v>
      </c>
      <c r="C135">
        <v>16</v>
      </c>
      <c r="D135" s="2" t="s">
        <v>1616</v>
      </c>
      <c r="E135" s="2" t="s">
        <v>1568</v>
      </c>
      <c r="F135" s="2" t="s">
        <v>1617</v>
      </c>
      <c r="G135" s="2" t="s">
        <v>1555</v>
      </c>
      <c r="H135" s="2" t="s">
        <v>1556</v>
      </c>
      <c r="I135" s="2" t="s">
        <v>1618</v>
      </c>
      <c r="J135" s="253">
        <v>5</v>
      </c>
      <c r="K135" s="49">
        <f>_DATA_Assessment_Model!H135</f>
        <v>0</v>
      </c>
      <c r="L135" s="3">
        <f>_DATA_Assessment_Model!I135</f>
        <v>0</v>
      </c>
      <c r="M135" s="3">
        <f>_DATA_Assessment_Model!J135</f>
        <v>5</v>
      </c>
      <c r="N135" s="3">
        <f>_DATA_Assessment_Model!K135</f>
        <v>5</v>
      </c>
      <c r="O135" s="2" t="str">
        <f>_DATA_Assessment_Model!L135</f>
        <v>Critical</v>
      </c>
      <c r="P135" s="2" t="s">
        <v>833</v>
      </c>
      <c r="Q135" s="2" t="s">
        <v>834</v>
      </c>
      <c r="R135" s="2" t="s">
        <v>835</v>
      </c>
      <c r="S135" s="2" t="s">
        <v>836</v>
      </c>
      <c r="T135" s="2" t="s">
        <v>837</v>
      </c>
      <c r="U135" s="2" t="s">
        <v>838</v>
      </c>
      <c r="V135" s="2" t="s">
        <v>1564</v>
      </c>
      <c r="W135" s="253"/>
      <c r="X135" s="253"/>
      <c r="Y135" s="253" t="s">
        <v>829</v>
      </c>
      <c r="Z135" s="6">
        <v>5</v>
      </c>
      <c r="AA135" s="6">
        <v>5</v>
      </c>
      <c r="AB135" s="6">
        <v>5</v>
      </c>
      <c r="AC135" s="254"/>
      <c r="AK135" s="255"/>
      <c r="AL135" s="255"/>
      <c r="AM135" s="14">
        <f>_DATA_Assessment_Model!AJ135</f>
        <v>0.9</v>
      </c>
      <c r="AN135" s="14">
        <f>_DATA_Assessment_Model!AK135</f>
        <v>0.9</v>
      </c>
      <c r="AO135" s="14">
        <f>_DATA_Assessment_Model!AL135</f>
        <v>0</v>
      </c>
      <c r="AP135" s="14">
        <f>_DATA_Assessment_Model!AM135</f>
        <v>0</v>
      </c>
      <c r="AQ135" s="14">
        <f>_DATA_Assessment_Model!AN135</f>
        <v>0</v>
      </c>
      <c r="AR135" s="14">
        <f>_DATA_Assessment_Model!AO135</f>
        <v>0</v>
      </c>
      <c r="AS135" s="14">
        <f>_DATA_Assessment_Model!AP135</f>
        <v>0</v>
      </c>
      <c r="AT135" s="14">
        <f>_DATA_Assessment_Model!AQ135</f>
        <v>0</v>
      </c>
      <c r="AU135" s="14" t="str">
        <f>_DATA_Assessment_Model!AR135</f>
        <v>Within target</v>
      </c>
      <c r="AV135" s="4">
        <f>_DATA_Assessment_Model!AS135</f>
        <v>0</v>
      </c>
      <c r="AW135" s="4">
        <f>_DATA_Assessment_Model!AT135</f>
        <v>0.9</v>
      </c>
      <c r="AX135" s="254"/>
      <c r="AY135">
        <f>_DATA_Assessment_Model!AV135</f>
        <v>0.9</v>
      </c>
    </row>
    <row r="136" spans="1:51" ht="82.85" customHeight="1">
      <c r="A136" t="s">
        <v>1551</v>
      </c>
      <c r="B136" t="s">
        <v>1551</v>
      </c>
      <c r="C136">
        <v>17</v>
      </c>
      <c r="D136" s="2" t="s">
        <v>1619</v>
      </c>
      <c r="E136" s="2" t="s">
        <v>1572</v>
      </c>
      <c r="F136" s="2" t="s">
        <v>1620</v>
      </c>
      <c r="G136" s="2" t="s">
        <v>1555</v>
      </c>
      <c r="H136" s="2" t="s">
        <v>1556</v>
      </c>
      <c r="I136" s="2" t="s">
        <v>1621</v>
      </c>
      <c r="J136" s="253">
        <v>5</v>
      </c>
      <c r="K136" s="49">
        <f>_DATA_Assessment_Model!H136</f>
        <v>0</v>
      </c>
      <c r="L136" s="3">
        <f>_DATA_Assessment_Model!I136</f>
        <v>0</v>
      </c>
      <c r="M136" s="3">
        <f>_DATA_Assessment_Model!J136</f>
        <v>5</v>
      </c>
      <c r="N136" s="3">
        <f>_DATA_Assessment_Model!K136</f>
        <v>5</v>
      </c>
      <c r="O136" s="2" t="str">
        <f>_DATA_Assessment_Model!L136</f>
        <v>Critical</v>
      </c>
      <c r="P136" s="2" t="s">
        <v>1051</v>
      </c>
      <c r="Q136" s="2" t="s">
        <v>1052</v>
      </c>
      <c r="R136" s="2" t="s">
        <v>1053</v>
      </c>
      <c r="S136" s="2" t="s">
        <v>1054</v>
      </c>
      <c r="T136" s="2" t="s">
        <v>1055</v>
      </c>
      <c r="U136" s="2" t="s">
        <v>1056</v>
      </c>
      <c r="V136" s="2" t="s">
        <v>1564</v>
      </c>
      <c r="W136" s="253"/>
      <c r="X136" s="253"/>
      <c r="Y136" s="253" t="s">
        <v>829</v>
      </c>
      <c r="Z136" s="6">
        <v>5</v>
      </c>
      <c r="AA136" s="6">
        <v>5</v>
      </c>
      <c r="AB136" s="6">
        <v>5</v>
      </c>
      <c r="AC136" s="254"/>
      <c r="AK136" s="255"/>
      <c r="AL136" s="255"/>
      <c r="AM136" s="14">
        <f>_DATA_Assessment_Model!AJ136</f>
        <v>0.9</v>
      </c>
      <c r="AN136" s="14">
        <f>_DATA_Assessment_Model!AK136</f>
        <v>0.9</v>
      </c>
      <c r="AO136" s="14">
        <f>_DATA_Assessment_Model!AL136</f>
        <v>0</v>
      </c>
      <c r="AP136" s="14">
        <f>_DATA_Assessment_Model!AM136</f>
        <v>0</v>
      </c>
      <c r="AQ136" s="14">
        <f>_DATA_Assessment_Model!AN136</f>
        <v>0</v>
      </c>
      <c r="AR136" s="14">
        <f>_DATA_Assessment_Model!AO136</f>
        <v>0</v>
      </c>
      <c r="AS136" s="14">
        <f>_DATA_Assessment_Model!AP136</f>
        <v>0</v>
      </c>
      <c r="AT136" s="14">
        <f>_DATA_Assessment_Model!AQ136</f>
        <v>0</v>
      </c>
      <c r="AU136" s="14" t="str">
        <f>_DATA_Assessment_Model!AR136</f>
        <v>Within target</v>
      </c>
      <c r="AV136" s="4">
        <f>_DATA_Assessment_Model!AS136</f>
        <v>0</v>
      </c>
      <c r="AW136" s="4">
        <f>_DATA_Assessment_Model!AT136</f>
        <v>0.9</v>
      </c>
      <c r="AX136" s="254"/>
      <c r="AY136">
        <f>_DATA_Assessment_Model!AV136</f>
        <v>0.9</v>
      </c>
    </row>
    <row r="137" spans="1:51" ht="96.65" customHeight="1">
      <c r="A137" t="s">
        <v>1551</v>
      </c>
      <c r="B137" t="s">
        <v>1551</v>
      </c>
      <c r="C137">
        <v>18</v>
      </c>
      <c r="D137" s="2" t="s">
        <v>1622</v>
      </c>
      <c r="E137" s="2" t="s">
        <v>1572</v>
      </c>
      <c r="F137" s="2" t="s">
        <v>1623</v>
      </c>
      <c r="G137" s="2" t="s">
        <v>1555</v>
      </c>
      <c r="H137" s="2" t="s">
        <v>1556</v>
      </c>
      <c r="I137" s="2" t="s">
        <v>1624</v>
      </c>
      <c r="J137" s="253">
        <v>4</v>
      </c>
      <c r="K137" s="49">
        <f>_DATA_Assessment_Model!H137</f>
        <v>0</v>
      </c>
      <c r="L137" s="3">
        <f>_DATA_Assessment_Model!I137</f>
        <v>0</v>
      </c>
      <c r="M137" s="3">
        <f>_DATA_Assessment_Model!J137</f>
        <v>4</v>
      </c>
      <c r="N137" s="3">
        <f>_DATA_Assessment_Model!K137</f>
        <v>4</v>
      </c>
      <c r="O137" s="2" t="str">
        <f>_DATA_Assessment_Model!L137</f>
        <v>Critical</v>
      </c>
      <c r="P137" s="2" t="s">
        <v>1625</v>
      </c>
      <c r="Q137" s="2" t="s">
        <v>1626</v>
      </c>
      <c r="R137" s="2" t="s">
        <v>1627</v>
      </c>
      <c r="S137" s="2" t="s">
        <v>1628</v>
      </c>
      <c r="T137" s="2" t="s">
        <v>1629</v>
      </c>
      <c r="U137" s="2" t="s">
        <v>1630</v>
      </c>
      <c r="V137" s="2" t="s">
        <v>1564</v>
      </c>
      <c r="W137" s="253"/>
      <c r="X137" s="253"/>
      <c r="Y137" s="253" t="s">
        <v>829</v>
      </c>
      <c r="Z137" s="6">
        <v>5</v>
      </c>
      <c r="AA137" s="6">
        <v>5</v>
      </c>
      <c r="AB137" s="6">
        <v>5</v>
      </c>
      <c r="AC137" s="254"/>
      <c r="AK137" s="255"/>
      <c r="AL137" s="255"/>
      <c r="AM137" s="14">
        <f>_DATA_Assessment_Model!AJ137</f>
        <v>0.9</v>
      </c>
      <c r="AN137" s="14">
        <f>_DATA_Assessment_Model!AK137</f>
        <v>0.9</v>
      </c>
      <c r="AO137" s="14">
        <f>_DATA_Assessment_Model!AL137</f>
        <v>0</v>
      </c>
      <c r="AP137" s="14">
        <f>_DATA_Assessment_Model!AM137</f>
        <v>0</v>
      </c>
      <c r="AQ137" s="14">
        <f>_DATA_Assessment_Model!AN137</f>
        <v>0</v>
      </c>
      <c r="AR137" s="14">
        <f>_DATA_Assessment_Model!AO137</f>
        <v>0</v>
      </c>
      <c r="AS137" s="14">
        <f>_DATA_Assessment_Model!AP137</f>
        <v>0</v>
      </c>
      <c r="AT137" s="14">
        <f>_DATA_Assessment_Model!AQ137</f>
        <v>0</v>
      </c>
      <c r="AU137" s="14" t="str">
        <f>_DATA_Assessment_Model!AR137</f>
        <v>Within target</v>
      </c>
      <c r="AV137" s="4">
        <f>_DATA_Assessment_Model!AS137</f>
        <v>0</v>
      </c>
      <c r="AW137" s="4">
        <f>_DATA_Assessment_Model!AT137</f>
        <v>0.9</v>
      </c>
      <c r="AX137" s="254"/>
      <c r="AY137">
        <f>_DATA_Assessment_Model!AV137</f>
        <v>0.9</v>
      </c>
    </row>
    <row r="138" spans="1:51" ht="82.85" customHeight="1">
      <c r="A138" t="s">
        <v>1551</v>
      </c>
      <c r="B138" t="s">
        <v>1551</v>
      </c>
      <c r="C138">
        <v>19</v>
      </c>
      <c r="D138" s="2" t="s">
        <v>1631</v>
      </c>
      <c r="E138" s="2" t="s">
        <v>1572</v>
      </c>
      <c r="F138" s="2" t="s">
        <v>1632</v>
      </c>
      <c r="G138" s="2" t="s">
        <v>1555</v>
      </c>
      <c r="H138" s="2" t="s">
        <v>1556</v>
      </c>
      <c r="I138" s="2" t="s">
        <v>1633</v>
      </c>
      <c r="J138" s="253">
        <v>5</v>
      </c>
      <c r="K138" s="49">
        <f>_DATA_Assessment_Model!H138</f>
        <v>0</v>
      </c>
      <c r="L138" s="3">
        <f>_DATA_Assessment_Model!I138</f>
        <v>0</v>
      </c>
      <c r="M138" s="3">
        <f>_DATA_Assessment_Model!J138</f>
        <v>5</v>
      </c>
      <c r="N138" s="3">
        <f>_DATA_Assessment_Model!K138</f>
        <v>5</v>
      </c>
      <c r="O138" s="2" t="str">
        <f>_DATA_Assessment_Model!L138</f>
        <v>Critical</v>
      </c>
      <c r="P138" s="2" t="s">
        <v>833</v>
      </c>
      <c r="Q138" s="2" t="s">
        <v>834</v>
      </c>
      <c r="R138" s="2" t="s">
        <v>835</v>
      </c>
      <c r="S138" s="2" t="s">
        <v>836</v>
      </c>
      <c r="T138" s="2" t="s">
        <v>837</v>
      </c>
      <c r="U138" s="2" t="s">
        <v>838</v>
      </c>
      <c r="V138" s="2" t="s">
        <v>1564</v>
      </c>
      <c r="W138" s="253"/>
      <c r="X138" s="253"/>
      <c r="Y138" s="253" t="s">
        <v>829</v>
      </c>
      <c r="Z138" s="6">
        <v>5</v>
      </c>
      <c r="AA138" s="6">
        <v>5</v>
      </c>
      <c r="AB138" s="6">
        <v>5</v>
      </c>
      <c r="AC138" s="254"/>
      <c r="AK138" s="255"/>
      <c r="AL138" s="255"/>
      <c r="AM138" s="14">
        <f>_DATA_Assessment_Model!AJ138</f>
        <v>0.9</v>
      </c>
      <c r="AN138" s="14">
        <f>_DATA_Assessment_Model!AK138</f>
        <v>0.9</v>
      </c>
      <c r="AO138" s="14">
        <f>_DATA_Assessment_Model!AL138</f>
        <v>0</v>
      </c>
      <c r="AP138" s="14">
        <f>_DATA_Assessment_Model!AM138</f>
        <v>0</v>
      </c>
      <c r="AQ138" s="14">
        <f>_DATA_Assessment_Model!AN138</f>
        <v>0</v>
      </c>
      <c r="AR138" s="14">
        <f>_DATA_Assessment_Model!AO138</f>
        <v>0</v>
      </c>
      <c r="AS138" s="14">
        <f>_DATA_Assessment_Model!AP138</f>
        <v>0</v>
      </c>
      <c r="AT138" s="14">
        <f>_DATA_Assessment_Model!AQ138</f>
        <v>0</v>
      </c>
      <c r="AU138" s="14" t="str">
        <f>_DATA_Assessment_Model!AR138</f>
        <v>Within target</v>
      </c>
      <c r="AV138" s="4">
        <f>_DATA_Assessment_Model!AS138</f>
        <v>0</v>
      </c>
      <c r="AW138" s="4">
        <f>_DATA_Assessment_Model!AT138</f>
        <v>0.9</v>
      </c>
      <c r="AX138" s="254"/>
      <c r="AY138">
        <f>_DATA_Assessment_Model!AV138</f>
        <v>0.9</v>
      </c>
    </row>
    <row r="139" spans="1:51" ht="82.85" customHeight="1">
      <c r="A139" t="s">
        <v>1551</v>
      </c>
      <c r="B139" t="s">
        <v>1551</v>
      </c>
      <c r="C139">
        <v>20</v>
      </c>
      <c r="D139" s="2" t="s">
        <v>1634</v>
      </c>
      <c r="E139" s="2" t="s">
        <v>1572</v>
      </c>
      <c r="F139" s="2" t="s">
        <v>1635</v>
      </c>
      <c r="G139" s="2" t="s">
        <v>1555</v>
      </c>
      <c r="H139" s="2" t="s">
        <v>1556</v>
      </c>
      <c r="I139" s="2" t="s">
        <v>1636</v>
      </c>
      <c r="J139" s="253">
        <v>5</v>
      </c>
      <c r="K139" s="49">
        <f>_DATA_Assessment_Model!H139</f>
        <v>0</v>
      </c>
      <c r="L139" s="3">
        <f>_DATA_Assessment_Model!I139</f>
        <v>0</v>
      </c>
      <c r="M139" s="3">
        <f>_DATA_Assessment_Model!J139</f>
        <v>5</v>
      </c>
      <c r="N139" s="3">
        <f>_DATA_Assessment_Model!K139</f>
        <v>5</v>
      </c>
      <c r="O139" s="2" t="str">
        <f>_DATA_Assessment_Model!L139</f>
        <v>Critical</v>
      </c>
      <c r="P139" s="2" t="s">
        <v>833</v>
      </c>
      <c r="Q139" s="2" t="s">
        <v>834</v>
      </c>
      <c r="R139" s="2" t="s">
        <v>835</v>
      </c>
      <c r="S139" s="2" t="s">
        <v>836</v>
      </c>
      <c r="T139" s="2" t="s">
        <v>837</v>
      </c>
      <c r="U139" s="2" t="s">
        <v>838</v>
      </c>
      <c r="V139" s="2" t="s">
        <v>1564</v>
      </c>
      <c r="W139" s="253"/>
      <c r="X139" s="253"/>
      <c r="Y139" s="253" t="s">
        <v>829</v>
      </c>
      <c r="Z139" s="6">
        <v>5</v>
      </c>
      <c r="AA139" s="6">
        <v>5</v>
      </c>
      <c r="AB139" s="6">
        <v>5</v>
      </c>
      <c r="AC139" s="254"/>
      <c r="AK139" s="255"/>
      <c r="AL139" s="255"/>
      <c r="AM139" s="14">
        <f>_DATA_Assessment_Model!AJ139</f>
        <v>0.9</v>
      </c>
      <c r="AN139" s="14">
        <f>_DATA_Assessment_Model!AK139</f>
        <v>0.9</v>
      </c>
      <c r="AO139" s="14">
        <f>_DATA_Assessment_Model!AL139</f>
        <v>0</v>
      </c>
      <c r="AP139" s="14">
        <f>_DATA_Assessment_Model!AM139</f>
        <v>0</v>
      </c>
      <c r="AQ139" s="14">
        <f>_DATA_Assessment_Model!AN139</f>
        <v>0</v>
      </c>
      <c r="AR139" s="14">
        <f>_DATA_Assessment_Model!AO139</f>
        <v>0</v>
      </c>
      <c r="AS139" s="14">
        <f>_DATA_Assessment_Model!AP139</f>
        <v>0</v>
      </c>
      <c r="AT139" s="14">
        <f>_DATA_Assessment_Model!AQ139</f>
        <v>0</v>
      </c>
      <c r="AU139" s="14" t="str">
        <f>_DATA_Assessment_Model!AR139</f>
        <v>Within target</v>
      </c>
      <c r="AV139" s="4">
        <f>_DATA_Assessment_Model!AS139</f>
        <v>0</v>
      </c>
      <c r="AW139" s="4">
        <f>_DATA_Assessment_Model!AT139</f>
        <v>0.9</v>
      </c>
      <c r="AX139" s="254"/>
      <c r="AY139">
        <f>_DATA_Assessment_Model!AV139</f>
        <v>0.9</v>
      </c>
    </row>
    <row r="140" spans="1:51" ht="69" customHeight="1">
      <c r="A140" t="s">
        <v>1551</v>
      </c>
      <c r="B140" t="s">
        <v>1551</v>
      </c>
      <c r="C140">
        <v>21</v>
      </c>
      <c r="D140" s="2" t="s">
        <v>1637</v>
      </c>
      <c r="E140" s="2" t="s">
        <v>1572</v>
      </c>
      <c r="F140" s="2" t="s">
        <v>1638</v>
      </c>
      <c r="G140" s="2" t="s">
        <v>1555</v>
      </c>
      <c r="H140" s="2" t="s">
        <v>1556</v>
      </c>
      <c r="I140" s="2" t="s">
        <v>1639</v>
      </c>
      <c r="J140" s="253">
        <v>5</v>
      </c>
      <c r="K140" s="49">
        <f>_DATA_Assessment_Model!H140</f>
        <v>0</v>
      </c>
      <c r="L140" s="3">
        <f>_DATA_Assessment_Model!I140</f>
        <v>0</v>
      </c>
      <c r="M140" s="3">
        <f>_DATA_Assessment_Model!J140</f>
        <v>5</v>
      </c>
      <c r="N140" s="3">
        <f>_DATA_Assessment_Model!K140</f>
        <v>5</v>
      </c>
      <c r="O140" s="2" t="str">
        <f>_DATA_Assessment_Model!L140</f>
        <v>Critical</v>
      </c>
      <c r="P140" s="2" t="s">
        <v>833</v>
      </c>
      <c r="Q140" s="2" t="s">
        <v>834</v>
      </c>
      <c r="R140" s="2" t="s">
        <v>835</v>
      </c>
      <c r="S140" s="2" t="s">
        <v>836</v>
      </c>
      <c r="T140" s="2" t="s">
        <v>837</v>
      </c>
      <c r="U140" s="2" t="s">
        <v>838</v>
      </c>
      <c r="V140" s="2" t="s">
        <v>1564</v>
      </c>
      <c r="W140" s="253"/>
      <c r="X140" s="253"/>
      <c r="Y140" s="253" t="s">
        <v>829</v>
      </c>
      <c r="Z140" s="6">
        <v>5</v>
      </c>
      <c r="AA140" s="6">
        <v>5</v>
      </c>
      <c r="AB140" s="6">
        <v>5</v>
      </c>
      <c r="AC140" s="254"/>
      <c r="AK140" s="255"/>
      <c r="AL140" s="255"/>
      <c r="AM140" s="14">
        <f>_DATA_Assessment_Model!AJ140</f>
        <v>0.9</v>
      </c>
      <c r="AN140" s="14">
        <f>_DATA_Assessment_Model!AK140</f>
        <v>0.9</v>
      </c>
      <c r="AO140" s="14">
        <f>_DATA_Assessment_Model!AL140</f>
        <v>0</v>
      </c>
      <c r="AP140" s="14">
        <f>_DATA_Assessment_Model!AM140</f>
        <v>0</v>
      </c>
      <c r="AQ140" s="14">
        <f>_DATA_Assessment_Model!AN140</f>
        <v>0</v>
      </c>
      <c r="AR140" s="14">
        <f>_DATA_Assessment_Model!AO140</f>
        <v>0</v>
      </c>
      <c r="AS140" s="14">
        <f>_DATA_Assessment_Model!AP140</f>
        <v>0</v>
      </c>
      <c r="AT140" s="14">
        <f>_DATA_Assessment_Model!AQ140</f>
        <v>0</v>
      </c>
      <c r="AU140" s="14" t="str">
        <f>_DATA_Assessment_Model!AR140</f>
        <v>Within target</v>
      </c>
      <c r="AV140" s="4">
        <f>_DATA_Assessment_Model!AS140</f>
        <v>0</v>
      </c>
      <c r="AW140" s="4">
        <f>_DATA_Assessment_Model!AT140</f>
        <v>0.9</v>
      </c>
      <c r="AX140" s="254"/>
      <c r="AY140">
        <f>_DATA_Assessment_Model!AV140</f>
        <v>0.9</v>
      </c>
    </row>
    <row r="141" spans="1:51" ht="82.85" customHeight="1">
      <c r="A141" t="s">
        <v>1551</v>
      </c>
      <c r="B141" t="s">
        <v>1551</v>
      </c>
      <c r="C141">
        <v>22</v>
      </c>
      <c r="D141" s="2" t="s">
        <v>1640</v>
      </c>
      <c r="E141" s="2" t="s">
        <v>1572</v>
      </c>
      <c r="F141" s="2" t="s">
        <v>1641</v>
      </c>
      <c r="G141" s="2" t="s">
        <v>1555</v>
      </c>
      <c r="H141" s="2" t="s">
        <v>1556</v>
      </c>
      <c r="I141" s="2" t="s">
        <v>1642</v>
      </c>
      <c r="J141" s="253">
        <v>5</v>
      </c>
      <c r="K141" s="49">
        <f>_DATA_Assessment_Model!H141</f>
        <v>0</v>
      </c>
      <c r="L141" s="3">
        <f>_DATA_Assessment_Model!I141</f>
        <v>0</v>
      </c>
      <c r="M141" s="3">
        <f>_DATA_Assessment_Model!J141</f>
        <v>5</v>
      </c>
      <c r="N141" s="3">
        <f>_DATA_Assessment_Model!K141</f>
        <v>5</v>
      </c>
      <c r="O141" s="2" t="str">
        <f>_DATA_Assessment_Model!L141</f>
        <v>Critical</v>
      </c>
      <c r="P141" s="2" t="s">
        <v>833</v>
      </c>
      <c r="Q141" s="2" t="s">
        <v>834</v>
      </c>
      <c r="R141" s="2" t="s">
        <v>835</v>
      </c>
      <c r="S141" s="2" t="s">
        <v>836</v>
      </c>
      <c r="T141" s="2" t="s">
        <v>837</v>
      </c>
      <c r="U141" s="2" t="s">
        <v>838</v>
      </c>
      <c r="V141" s="2" t="s">
        <v>1564</v>
      </c>
      <c r="W141" s="253"/>
      <c r="X141" s="253"/>
      <c r="Y141" s="253" t="s">
        <v>829</v>
      </c>
      <c r="Z141" s="6">
        <v>5</v>
      </c>
      <c r="AA141" s="6">
        <v>5</v>
      </c>
      <c r="AB141" s="6">
        <v>5</v>
      </c>
      <c r="AC141" s="254"/>
      <c r="AK141" s="255"/>
      <c r="AL141" s="255"/>
      <c r="AM141" s="14">
        <f>_DATA_Assessment_Model!AJ141</f>
        <v>0.9</v>
      </c>
      <c r="AN141" s="14">
        <f>_DATA_Assessment_Model!AK141</f>
        <v>0.9</v>
      </c>
      <c r="AO141" s="14">
        <f>_DATA_Assessment_Model!AL141</f>
        <v>0</v>
      </c>
      <c r="AP141" s="14">
        <f>_DATA_Assessment_Model!AM141</f>
        <v>0</v>
      </c>
      <c r="AQ141" s="14">
        <f>_DATA_Assessment_Model!AN141</f>
        <v>0</v>
      </c>
      <c r="AR141" s="14">
        <f>_DATA_Assessment_Model!AO141</f>
        <v>0</v>
      </c>
      <c r="AS141" s="14">
        <f>_DATA_Assessment_Model!AP141</f>
        <v>0</v>
      </c>
      <c r="AT141" s="14">
        <f>_DATA_Assessment_Model!AQ141</f>
        <v>0</v>
      </c>
      <c r="AU141" s="14" t="str">
        <f>_DATA_Assessment_Model!AR141</f>
        <v>Within target</v>
      </c>
      <c r="AV141" s="4">
        <f>_DATA_Assessment_Model!AS141</f>
        <v>0</v>
      </c>
      <c r="AW141" s="4">
        <f>_DATA_Assessment_Model!AT141</f>
        <v>0.9</v>
      </c>
      <c r="AX141" s="254"/>
      <c r="AY141">
        <f>_DATA_Assessment_Model!AV141</f>
        <v>0.9</v>
      </c>
    </row>
    <row r="142" spans="1:51" ht="110.4" customHeight="1">
      <c r="A142" t="s">
        <v>1551</v>
      </c>
      <c r="B142" t="s">
        <v>1551</v>
      </c>
      <c r="C142">
        <v>23</v>
      </c>
      <c r="D142" s="2" t="s">
        <v>1643</v>
      </c>
      <c r="E142" s="2" t="s">
        <v>1582</v>
      </c>
      <c r="F142" s="2" t="s">
        <v>1644</v>
      </c>
      <c r="G142" s="2" t="s">
        <v>1555</v>
      </c>
      <c r="H142" s="2" t="s">
        <v>1556</v>
      </c>
      <c r="I142" s="2" t="s">
        <v>1645</v>
      </c>
      <c r="J142" s="253">
        <v>3</v>
      </c>
      <c r="K142" s="49">
        <f>_DATA_Assessment_Model!H142</f>
        <v>0</v>
      </c>
      <c r="L142" s="3">
        <f>_DATA_Assessment_Model!I142</f>
        <v>0</v>
      </c>
      <c r="M142" s="3">
        <f>_DATA_Assessment_Model!J142</f>
        <v>3</v>
      </c>
      <c r="N142" s="3">
        <f>_DATA_Assessment_Model!K142</f>
        <v>3</v>
      </c>
      <c r="O142" s="2" t="str">
        <f>_DATA_Assessment_Model!L142</f>
        <v>Critical</v>
      </c>
      <c r="P142" s="2" t="s">
        <v>1646</v>
      </c>
      <c r="Q142" s="2" t="s">
        <v>1647</v>
      </c>
      <c r="R142" s="2" t="s">
        <v>1648</v>
      </c>
      <c r="S142" s="2" t="s">
        <v>1649</v>
      </c>
      <c r="T142" s="2" t="s">
        <v>1650</v>
      </c>
      <c r="U142" s="2" t="s">
        <v>1651</v>
      </c>
      <c r="V142" s="2" t="s">
        <v>1564</v>
      </c>
      <c r="W142" s="253"/>
      <c r="X142" s="253"/>
      <c r="Y142" s="253" t="s">
        <v>829</v>
      </c>
      <c r="Z142" s="6">
        <v>5</v>
      </c>
      <c r="AA142" s="6">
        <v>5</v>
      </c>
      <c r="AB142" s="6">
        <v>5</v>
      </c>
      <c r="AC142" s="254"/>
      <c r="AK142" s="255"/>
      <c r="AL142" s="255"/>
      <c r="AM142" s="14">
        <f>_DATA_Assessment_Model!AJ142</f>
        <v>0.9</v>
      </c>
      <c r="AN142" s="14">
        <f>_DATA_Assessment_Model!AK142</f>
        <v>0.9</v>
      </c>
      <c r="AO142" s="14">
        <f>_DATA_Assessment_Model!AL142</f>
        <v>0</v>
      </c>
      <c r="AP142" s="14">
        <f>_DATA_Assessment_Model!AM142</f>
        <v>0</v>
      </c>
      <c r="AQ142" s="14">
        <f>_DATA_Assessment_Model!AN142</f>
        <v>0</v>
      </c>
      <c r="AR142" s="14">
        <f>_DATA_Assessment_Model!AO142</f>
        <v>0</v>
      </c>
      <c r="AS142" s="14">
        <f>_DATA_Assessment_Model!AP142</f>
        <v>0</v>
      </c>
      <c r="AT142" s="14">
        <f>_DATA_Assessment_Model!AQ142</f>
        <v>0</v>
      </c>
      <c r="AU142" s="14" t="str">
        <f>_DATA_Assessment_Model!AR142</f>
        <v>Within target</v>
      </c>
      <c r="AV142" s="4">
        <f>_DATA_Assessment_Model!AS142</f>
        <v>0</v>
      </c>
      <c r="AW142" s="4">
        <f>_DATA_Assessment_Model!AT142</f>
        <v>0.9</v>
      </c>
      <c r="AX142" s="254"/>
      <c r="AY142">
        <f>_DATA_Assessment_Model!AV142</f>
        <v>0.9</v>
      </c>
    </row>
    <row r="143" spans="1:51" ht="82.85" customHeight="1">
      <c r="A143" t="s">
        <v>1551</v>
      </c>
      <c r="B143" t="s">
        <v>1551</v>
      </c>
      <c r="C143">
        <v>24</v>
      </c>
      <c r="D143" s="2" t="s">
        <v>1652</v>
      </c>
      <c r="E143" s="2" t="s">
        <v>1582</v>
      </c>
      <c r="F143" s="2" t="s">
        <v>1653</v>
      </c>
      <c r="G143" s="2" t="s">
        <v>1555</v>
      </c>
      <c r="H143" s="2" t="s">
        <v>1556</v>
      </c>
      <c r="I143" s="2" t="s">
        <v>1654</v>
      </c>
      <c r="J143" s="253">
        <v>5</v>
      </c>
      <c r="K143" s="49">
        <f>_DATA_Assessment_Model!H143</f>
        <v>0</v>
      </c>
      <c r="L143" s="3">
        <f>_DATA_Assessment_Model!I143</f>
        <v>0</v>
      </c>
      <c r="M143" s="3">
        <f>_DATA_Assessment_Model!J143</f>
        <v>5</v>
      </c>
      <c r="N143" s="3">
        <f>_DATA_Assessment_Model!K143</f>
        <v>5</v>
      </c>
      <c r="O143" s="2" t="str">
        <f>_DATA_Assessment_Model!L143</f>
        <v>Critical</v>
      </c>
      <c r="P143" s="2" t="s">
        <v>1069</v>
      </c>
      <c r="Q143" s="2" t="s">
        <v>1070</v>
      </c>
      <c r="R143" s="2" t="s">
        <v>1071</v>
      </c>
      <c r="S143" s="2" t="s">
        <v>1072</v>
      </c>
      <c r="T143" s="2" t="s">
        <v>1073</v>
      </c>
      <c r="U143" s="2" t="s">
        <v>1074</v>
      </c>
      <c r="V143" s="2" t="s">
        <v>1564</v>
      </c>
      <c r="W143" s="253"/>
      <c r="X143" s="253"/>
      <c r="Y143" s="253" t="s">
        <v>829</v>
      </c>
      <c r="Z143" s="6">
        <v>5</v>
      </c>
      <c r="AA143" s="6">
        <v>5</v>
      </c>
      <c r="AB143" s="6">
        <v>5</v>
      </c>
      <c r="AC143" s="254"/>
      <c r="AK143" s="255"/>
      <c r="AL143" s="255"/>
      <c r="AM143" s="14">
        <f>_DATA_Assessment_Model!AJ143</f>
        <v>0.9</v>
      </c>
      <c r="AN143" s="14">
        <f>_DATA_Assessment_Model!AK143</f>
        <v>0.9</v>
      </c>
      <c r="AO143" s="14">
        <f>_DATA_Assessment_Model!AL143</f>
        <v>0</v>
      </c>
      <c r="AP143" s="14">
        <f>_DATA_Assessment_Model!AM143</f>
        <v>0</v>
      </c>
      <c r="AQ143" s="14">
        <f>_DATA_Assessment_Model!AN143</f>
        <v>0</v>
      </c>
      <c r="AR143" s="14">
        <f>_DATA_Assessment_Model!AO143</f>
        <v>0</v>
      </c>
      <c r="AS143" s="14">
        <f>_DATA_Assessment_Model!AP143</f>
        <v>0</v>
      </c>
      <c r="AT143" s="14">
        <f>_DATA_Assessment_Model!AQ143</f>
        <v>0</v>
      </c>
      <c r="AU143" s="14" t="str">
        <f>_DATA_Assessment_Model!AR143</f>
        <v>Within target</v>
      </c>
      <c r="AV143" s="4">
        <f>_DATA_Assessment_Model!AS143</f>
        <v>0</v>
      </c>
      <c r="AW143" s="4">
        <f>_DATA_Assessment_Model!AT143</f>
        <v>0.9</v>
      </c>
      <c r="AX143" s="254"/>
      <c r="AY143">
        <f>_DATA_Assessment_Model!AV143</f>
        <v>0.9</v>
      </c>
    </row>
    <row r="144" spans="1:51" ht="99">
      <c r="A144" t="s">
        <v>1551</v>
      </c>
      <c r="B144" t="s">
        <v>1551</v>
      </c>
      <c r="C144">
        <v>25</v>
      </c>
      <c r="D144" t="s">
        <v>1655</v>
      </c>
      <c r="E144" t="s">
        <v>1553</v>
      </c>
      <c r="F144" s="2" t="s">
        <v>1656</v>
      </c>
      <c r="G144" s="2" t="s">
        <v>1657</v>
      </c>
      <c r="H144" t="s">
        <v>1658</v>
      </c>
      <c r="I144" t="s">
        <v>941</v>
      </c>
      <c r="J144" s="254">
        <v>3</v>
      </c>
      <c r="K144">
        <f>_DATA_Assessment_Model!H144</f>
        <v>0</v>
      </c>
      <c r="L144">
        <f>_DATA_Assessment_Model!I144</f>
        <v>0</v>
      </c>
      <c r="M144">
        <f>_DATA_Assessment_Model!J144</f>
        <v>3</v>
      </c>
      <c r="N144">
        <f>_DATA_Assessment_Model!K144</f>
        <v>3</v>
      </c>
      <c r="O144" t="str">
        <f>_DATA_Assessment_Model!L144</f>
        <v>Critical</v>
      </c>
      <c r="P144" t="s">
        <v>1659</v>
      </c>
      <c r="Q144" t="s">
        <v>1660</v>
      </c>
      <c r="R144" t="s">
        <v>1661</v>
      </c>
      <c r="S144" t="s">
        <v>1662</v>
      </c>
      <c r="T144" t="s">
        <v>1663</v>
      </c>
      <c r="U144" t="s">
        <v>1664</v>
      </c>
      <c r="V144" t="s">
        <v>1665</v>
      </c>
      <c r="W144" s="254"/>
      <c r="X144" s="254"/>
      <c r="Y144" s="254" t="s">
        <v>829</v>
      </c>
      <c r="Z144">
        <v>3</v>
      </c>
      <c r="AA144">
        <v>3</v>
      </c>
      <c r="AB144">
        <v>4</v>
      </c>
      <c r="AC144" s="254"/>
      <c r="AK144" s="254"/>
      <c r="AL144" s="254"/>
      <c r="AM144">
        <f>_DATA_Assessment_Model!AJ144</f>
        <v>0.9</v>
      </c>
      <c r="AN144">
        <f>_DATA_Assessment_Model!AK144</f>
        <v>0.9</v>
      </c>
      <c r="AO144">
        <f>_DATA_Assessment_Model!AL144</f>
        <v>0</v>
      </c>
      <c r="AP144">
        <f>_DATA_Assessment_Model!AM144</f>
        <v>0</v>
      </c>
      <c r="AQ144">
        <f>_DATA_Assessment_Model!AN144</f>
        <v>0</v>
      </c>
      <c r="AR144">
        <f>_DATA_Assessment_Model!AO144</f>
        <v>0</v>
      </c>
      <c r="AS144">
        <f>_DATA_Assessment_Model!AP144</f>
        <v>0</v>
      </c>
      <c r="AT144">
        <f>_DATA_Assessment_Model!AQ144</f>
        <v>0</v>
      </c>
      <c r="AU144" t="str">
        <f>_DATA_Assessment_Model!AR144</f>
        <v>Within target</v>
      </c>
      <c r="AV144">
        <f>_DATA_Assessment_Model!AS144</f>
        <v>0</v>
      </c>
      <c r="AW144">
        <f>_DATA_Assessment_Model!AT144</f>
        <v>0.9</v>
      </c>
      <c r="AX144" s="254"/>
      <c r="AY144">
        <f>_DATA_Assessment_Model!AV144</f>
        <v>0.9</v>
      </c>
    </row>
    <row r="145" spans="1:51" ht="82.85" customHeight="1">
      <c r="A145" t="s">
        <v>1666</v>
      </c>
      <c r="B145" t="s">
        <v>1666</v>
      </c>
      <c r="C145">
        <v>5</v>
      </c>
      <c r="D145" s="2" t="s">
        <v>1667</v>
      </c>
      <c r="E145" s="2" t="s">
        <v>1668</v>
      </c>
      <c r="F145" s="2" t="s">
        <v>1669</v>
      </c>
      <c r="G145" s="2" t="s">
        <v>1670</v>
      </c>
      <c r="H145" s="2" t="s">
        <v>1671</v>
      </c>
      <c r="I145" s="2" t="s">
        <v>1672</v>
      </c>
      <c r="J145" s="253">
        <v>5</v>
      </c>
      <c r="K145" s="49">
        <f>_DATA_Assessment_Model!H145</f>
        <v>0</v>
      </c>
      <c r="L145" s="3">
        <f>_DATA_Assessment_Model!I145</f>
        <v>0</v>
      </c>
      <c r="M145" s="3">
        <f>_DATA_Assessment_Model!J145</f>
        <v>5</v>
      </c>
      <c r="N145" s="3">
        <f>_DATA_Assessment_Model!K145</f>
        <v>5</v>
      </c>
      <c r="O145" s="2" t="str">
        <f>_DATA_Assessment_Model!L145</f>
        <v>Critical</v>
      </c>
      <c r="P145" s="2" t="s">
        <v>833</v>
      </c>
      <c r="Q145" s="2" t="s">
        <v>834</v>
      </c>
      <c r="R145" s="2" t="s">
        <v>835</v>
      </c>
      <c r="S145" s="2" t="s">
        <v>836</v>
      </c>
      <c r="T145" s="2" t="s">
        <v>837</v>
      </c>
      <c r="U145" s="2" t="s">
        <v>838</v>
      </c>
      <c r="V145" s="2" t="s">
        <v>1673</v>
      </c>
      <c r="W145" s="253"/>
      <c r="X145" s="253"/>
      <c r="Y145" s="253" t="s">
        <v>829</v>
      </c>
      <c r="Z145" s="6">
        <v>4</v>
      </c>
      <c r="AA145" s="6">
        <v>5</v>
      </c>
      <c r="AB145" s="6">
        <v>5</v>
      </c>
      <c r="AC145" s="254"/>
      <c r="AD145" t="s">
        <v>1668</v>
      </c>
      <c r="AE145" s="5">
        <f>_DATA_Assessment_Model!AB145</f>
        <v>6</v>
      </c>
      <c r="AF145" s="7">
        <f>_DATA_Assessment_Model!AC145</f>
        <v>0</v>
      </c>
      <c r="AG145" s="8">
        <f>_DATA_Assessment_Model!AD145</f>
        <v>0</v>
      </c>
      <c r="AH145" s="5">
        <f>_DATA_Assessment_Model!AE145</f>
        <v>6</v>
      </c>
      <c r="AI145" s="7">
        <f>_DATA_Assessment_Model!AF145</f>
        <v>5</v>
      </c>
      <c r="AJ145" s="5">
        <f>_DATA_Assessment_Model!AG145</f>
        <v>6</v>
      </c>
      <c r="AK145" s="255"/>
      <c r="AL145" s="255"/>
      <c r="AM145" s="14">
        <f>_DATA_Assessment_Model!AJ145</f>
        <v>0.9</v>
      </c>
      <c r="AN145" s="14">
        <f>_DATA_Assessment_Model!AK145</f>
        <v>0.9</v>
      </c>
      <c r="AO145" s="14">
        <f>_DATA_Assessment_Model!AL145</f>
        <v>0</v>
      </c>
      <c r="AP145" s="14">
        <f>_DATA_Assessment_Model!AM145</f>
        <v>0</v>
      </c>
      <c r="AQ145" s="14">
        <f>_DATA_Assessment_Model!AN145</f>
        <v>0</v>
      </c>
      <c r="AR145" s="14">
        <f>_DATA_Assessment_Model!AO145</f>
        <v>0</v>
      </c>
      <c r="AS145" s="14">
        <f>_DATA_Assessment_Model!AP145</f>
        <v>0</v>
      </c>
      <c r="AT145" s="14">
        <f>_DATA_Assessment_Model!AQ145</f>
        <v>0</v>
      </c>
      <c r="AU145" s="14" t="str">
        <f>_DATA_Assessment_Model!AR145</f>
        <v>Within target</v>
      </c>
      <c r="AV145" s="4">
        <f>_DATA_Assessment_Model!AS145</f>
        <v>0</v>
      </c>
      <c r="AW145" s="4">
        <f>_DATA_Assessment_Model!AT145</f>
        <v>0.9</v>
      </c>
      <c r="AX145" s="254"/>
      <c r="AY145">
        <f>_DATA_Assessment_Model!AV145</f>
        <v>0.9</v>
      </c>
    </row>
    <row r="146" spans="1:51" ht="82.85" customHeight="1">
      <c r="A146" t="s">
        <v>1666</v>
      </c>
      <c r="B146" t="s">
        <v>1666</v>
      </c>
      <c r="C146">
        <v>6</v>
      </c>
      <c r="D146" s="2" t="s">
        <v>1674</v>
      </c>
      <c r="E146" s="2" t="s">
        <v>1668</v>
      </c>
      <c r="F146" s="2" t="s">
        <v>1675</v>
      </c>
      <c r="G146" s="2" t="s">
        <v>1670</v>
      </c>
      <c r="H146" s="2" t="s">
        <v>1671</v>
      </c>
      <c r="I146" s="2" t="s">
        <v>1676</v>
      </c>
      <c r="J146" s="253">
        <v>5</v>
      </c>
      <c r="K146" s="49">
        <f>_DATA_Assessment_Model!H146</f>
        <v>0</v>
      </c>
      <c r="L146" s="3">
        <f>_DATA_Assessment_Model!I146</f>
        <v>0</v>
      </c>
      <c r="M146" s="3">
        <f>_DATA_Assessment_Model!J146</f>
        <v>5</v>
      </c>
      <c r="N146" s="3">
        <f>_DATA_Assessment_Model!K146</f>
        <v>5</v>
      </c>
      <c r="O146" s="2" t="str">
        <f>_DATA_Assessment_Model!L146</f>
        <v>Critical</v>
      </c>
      <c r="P146" s="2" t="s">
        <v>833</v>
      </c>
      <c r="Q146" s="2" t="s">
        <v>834</v>
      </c>
      <c r="R146" s="2" t="s">
        <v>835</v>
      </c>
      <c r="S146" s="2" t="s">
        <v>836</v>
      </c>
      <c r="T146" s="2" t="s">
        <v>837</v>
      </c>
      <c r="U146" s="2" t="s">
        <v>838</v>
      </c>
      <c r="V146" s="2" t="s">
        <v>1673</v>
      </c>
      <c r="W146" s="253"/>
      <c r="X146" s="253"/>
      <c r="Y146" s="253" t="s">
        <v>829</v>
      </c>
      <c r="Z146" s="6">
        <v>4</v>
      </c>
      <c r="AA146" s="6">
        <v>5</v>
      </c>
      <c r="AB146" s="6">
        <v>5</v>
      </c>
      <c r="AC146" s="254"/>
      <c r="AD146" t="s">
        <v>1677</v>
      </c>
      <c r="AE146" s="5">
        <f>_DATA_Assessment_Model!AB146</f>
        <v>6</v>
      </c>
      <c r="AF146" s="7">
        <f>_DATA_Assessment_Model!AC146</f>
        <v>0</v>
      </c>
      <c r="AG146" s="8">
        <f>_DATA_Assessment_Model!AD146</f>
        <v>0</v>
      </c>
      <c r="AH146" s="5">
        <f>_DATA_Assessment_Model!AE146</f>
        <v>6</v>
      </c>
      <c r="AI146" s="7">
        <f>_DATA_Assessment_Model!AF146</f>
        <v>5</v>
      </c>
      <c r="AJ146" s="5">
        <f>_DATA_Assessment_Model!AG146</f>
        <v>6</v>
      </c>
      <c r="AK146" s="255"/>
      <c r="AL146" s="255"/>
      <c r="AM146" s="14">
        <f>_DATA_Assessment_Model!AJ146</f>
        <v>0.9</v>
      </c>
      <c r="AN146" s="14">
        <f>_DATA_Assessment_Model!AK146</f>
        <v>0.9</v>
      </c>
      <c r="AO146" s="14">
        <f>_DATA_Assessment_Model!AL146</f>
        <v>0</v>
      </c>
      <c r="AP146" s="14">
        <f>_DATA_Assessment_Model!AM146</f>
        <v>0</v>
      </c>
      <c r="AQ146" s="14">
        <f>_DATA_Assessment_Model!AN146</f>
        <v>0</v>
      </c>
      <c r="AR146" s="14">
        <f>_DATA_Assessment_Model!AO146</f>
        <v>0</v>
      </c>
      <c r="AS146" s="14">
        <f>_DATA_Assessment_Model!AP146</f>
        <v>0</v>
      </c>
      <c r="AT146" s="14">
        <f>_DATA_Assessment_Model!AQ146</f>
        <v>0</v>
      </c>
      <c r="AU146" s="14" t="str">
        <f>_DATA_Assessment_Model!AR146</f>
        <v>Within target</v>
      </c>
      <c r="AV146" s="4">
        <f>_DATA_Assessment_Model!AS146</f>
        <v>0</v>
      </c>
      <c r="AW146" s="4">
        <f>_DATA_Assessment_Model!AT146</f>
        <v>0.9</v>
      </c>
      <c r="AX146" s="254"/>
      <c r="AY146">
        <f>_DATA_Assessment_Model!AV146</f>
        <v>0.9</v>
      </c>
    </row>
    <row r="147" spans="1:51" ht="82.85" customHeight="1">
      <c r="A147" t="s">
        <v>1666</v>
      </c>
      <c r="B147" t="s">
        <v>1666</v>
      </c>
      <c r="C147">
        <v>7</v>
      </c>
      <c r="D147" s="2" t="s">
        <v>1678</v>
      </c>
      <c r="E147" s="2" t="s">
        <v>1668</v>
      </c>
      <c r="F147" s="2" t="s">
        <v>1679</v>
      </c>
      <c r="G147" s="2" t="s">
        <v>1670</v>
      </c>
      <c r="H147" s="2" t="s">
        <v>1671</v>
      </c>
      <c r="I147" s="2" t="s">
        <v>1680</v>
      </c>
      <c r="J147" s="253">
        <v>5</v>
      </c>
      <c r="K147" s="49">
        <f>_DATA_Assessment_Model!H147</f>
        <v>0</v>
      </c>
      <c r="L147" s="3">
        <f>_DATA_Assessment_Model!I147</f>
        <v>0</v>
      </c>
      <c r="M147" s="3">
        <f>_DATA_Assessment_Model!J147</f>
        <v>5</v>
      </c>
      <c r="N147" s="3">
        <f>_DATA_Assessment_Model!K147</f>
        <v>5</v>
      </c>
      <c r="O147" s="2" t="str">
        <f>_DATA_Assessment_Model!L147</f>
        <v>Critical</v>
      </c>
      <c r="P147" s="2" t="s">
        <v>833</v>
      </c>
      <c r="Q147" s="2" t="s">
        <v>834</v>
      </c>
      <c r="R147" s="2" t="s">
        <v>835</v>
      </c>
      <c r="S147" s="2" t="s">
        <v>836</v>
      </c>
      <c r="T147" s="2" t="s">
        <v>837</v>
      </c>
      <c r="U147" s="2" t="s">
        <v>838</v>
      </c>
      <c r="V147" s="2" t="s">
        <v>1673</v>
      </c>
      <c r="W147" s="253"/>
      <c r="X147" s="253"/>
      <c r="Y147" s="253" t="s">
        <v>829</v>
      </c>
      <c r="Z147" s="6">
        <v>4</v>
      </c>
      <c r="AA147" s="6">
        <v>5</v>
      </c>
      <c r="AB147" s="6">
        <v>5</v>
      </c>
      <c r="AC147" s="254"/>
      <c r="AD147" t="s">
        <v>1681</v>
      </c>
      <c r="AE147" s="5">
        <f>_DATA_Assessment_Model!AB147</f>
        <v>6</v>
      </c>
      <c r="AF147" s="7">
        <f>_DATA_Assessment_Model!AC147</f>
        <v>0</v>
      </c>
      <c r="AG147" s="8">
        <f>_DATA_Assessment_Model!AD147</f>
        <v>0</v>
      </c>
      <c r="AH147" s="5">
        <f>_DATA_Assessment_Model!AE147</f>
        <v>6</v>
      </c>
      <c r="AI147" s="7">
        <f>_DATA_Assessment_Model!AF147</f>
        <v>5</v>
      </c>
      <c r="AJ147" s="5">
        <f>_DATA_Assessment_Model!AG147</f>
        <v>6</v>
      </c>
      <c r="AK147" s="255"/>
      <c r="AL147" s="255"/>
      <c r="AM147" s="14">
        <f>_DATA_Assessment_Model!AJ147</f>
        <v>0.9</v>
      </c>
      <c r="AN147" s="14">
        <f>_DATA_Assessment_Model!AK147</f>
        <v>0.9</v>
      </c>
      <c r="AO147" s="14">
        <f>_DATA_Assessment_Model!AL147</f>
        <v>0</v>
      </c>
      <c r="AP147" s="14">
        <f>_DATA_Assessment_Model!AM147</f>
        <v>0</v>
      </c>
      <c r="AQ147" s="14">
        <f>_DATA_Assessment_Model!AN147</f>
        <v>0</v>
      </c>
      <c r="AR147" s="14">
        <f>_DATA_Assessment_Model!AO147</f>
        <v>0</v>
      </c>
      <c r="AS147" s="14">
        <f>_DATA_Assessment_Model!AP147</f>
        <v>0</v>
      </c>
      <c r="AT147" s="14">
        <f>_DATA_Assessment_Model!AQ147</f>
        <v>0</v>
      </c>
      <c r="AU147" s="14" t="str">
        <f>_DATA_Assessment_Model!AR147</f>
        <v>Within target</v>
      </c>
      <c r="AV147" s="4">
        <f>_DATA_Assessment_Model!AS147</f>
        <v>0</v>
      </c>
      <c r="AW147" s="4">
        <f>_DATA_Assessment_Model!AT147</f>
        <v>0.9</v>
      </c>
      <c r="AX147" s="254"/>
      <c r="AY147">
        <f>_DATA_Assessment_Model!AV147</f>
        <v>0.9</v>
      </c>
    </row>
    <row r="148" spans="1:51" ht="82.85" customHeight="1">
      <c r="A148" t="s">
        <v>1666</v>
      </c>
      <c r="B148" t="s">
        <v>1666</v>
      </c>
      <c r="C148">
        <v>8</v>
      </c>
      <c r="D148" s="2" t="s">
        <v>1682</v>
      </c>
      <c r="E148" s="2" t="s">
        <v>1668</v>
      </c>
      <c r="F148" s="2" t="s">
        <v>1683</v>
      </c>
      <c r="G148" s="2" t="s">
        <v>1670</v>
      </c>
      <c r="H148" s="2" t="s">
        <v>1671</v>
      </c>
      <c r="I148" s="2" t="s">
        <v>1684</v>
      </c>
      <c r="J148" s="253">
        <v>5</v>
      </c>
      <c r="K148" s="49">
        <f>_DATA_Assessment_Model!H148</f>
        <v>0</v>
      </c>
      <c r="L148" s="3">
        <f>_DATA_Assessment_Model!I148</f>
        <v>0</v>
      </c>
      <c r="M148" s="3">
        <f>_DATA_Assessment_Model!J148</f>
        <v>5</v>
      </c>
      <c r="N148" s="3">
        <f>_DATA_Assessment_Model!K148</f>
        <v>5</v>
      </c>
      <c r="O148" s="2" t="str">
        <f>_DATA_Assessment_Model!L148</f>
        <v>Critical</v>
      </c>
      <c r="P148" s="2" t="s">
        <v>874</v>
      </c>
      <c r="Q148" s="2" t="s">
        <v>875</v>
      </c>
      <c r="R148" s="2" t="s">
        <v>876</v>
      </c>
      <c r="S148" s="2" t="s">
        <v>877</v>
      </c>
      <c r="T148" s="2" t="s">
        <v>878</v>
      </c>
      <c r="U148" s="2" t="s">
        <v>879</v>
      </c>
      <c r="V148" s="2" t="s">
        <v>1673</v>
      </c>
      <c r="W148" s="253"/>
      <c r="X148" s="253"/>
      <c r="Y148" s="253" t="s">
        <v>829</v>
      </c>
      <c r="Z148" s="6">
        <v>4</v>
      </c>
      <c r="AA148" s="6">
        <v>5</v>
      </c>
      <c r="AB148" s="6">
        <v>5</v>
      </c>
      <c r="AC148" s="254"/>
      <c r="AD148" t="s">
        <v>1685</v>
      </c>
      <c r="AE148" s="5">
        <f>_DATA_Assessment_Model!AB148</f>
        <v>5</v>
      </c>
      <c r="AF148" s="7">
        <f>_DATA_Assessment_Model!AC148</f>
        <v>0</v>
      </c>
      <c r="AG148" s="8">
        <f>_DATA_Assessment_Model!AD148</f>
        <v>0</v>
      </c>
      <c r="AH148" s="5">
        <f>_DATA_Assessment_Model!AE148</f>
        <v>5</v>
      </c>
      <c r="AI148" s="7">
        <f>_DATA_Assessment_Model!AF148</f>
        <v>5</v>
      </c>
      <c r="AJ148" s="5">
        <f>_DATA_Assessment_Model!AG148</f>
        <v>5</v>
      </c>
      <c r="AK148" s="255"/>
      <c r="AL148" s="255"/>
      <c r="AM148" s="14">
        <f>_DATA_Assessment_Model!AJ148</f>
        <v>0.9</v>
      </c>
      <c r="AN148" s="14">
        <f>_DATA_Assessment_Model!AK148</f>
        <v>0.9</v>
      </c>
      <c r="AO148" s="14">
        <f>_DATA_Assessment_Model!AL148</f>
        <v>0</v>
      </c>
      <c r="AP148" s="14">
        <f>_DATA_Assessment_Model!AM148</f>
        <v>0</v>
      </c>
      <c r="AQ148" s="14">
        <f>_DATA_Assessment_Model!AN148</f>
        <v>0</v>
      </c>
      <c r="AR148" s="14">
        <f>_DATA_Assessment_Model!AO148</f>
        <v>0</v>
      </c>
      <c r="AS148" s="14">
        <f>_DATA_Assessment_Model!AP148</f>
        <v>0</v>
      </c>
      <c r="AT148" s="14">
        <f>_DATA_Assessment_Model!AQ148</f>
        <v>0</v>
      </c>
      <c r="AU148" s="14" t="str">
        <f>_DATA_Assessment_Model!AR148</f>
        <v>Within target</v>
      </c>
      <c r="AV148" s="4">
        <f>_DATA_Assessment_Model!AS148</f>
        <v>0</v>
      </c>
      <c r="AW148" s="4">
        <f>_DATA_Assessment_Model!AT148</f>
        <v>0.9</v>
      </c>
      <c r="AX148" s="254"/>
      <c r="AY148">
        <f>_DATA_Assessment_Model!AV148</f>
        <v>0.9</v>
      </c>
    </row>
    <row r="149" spans="1:51" ht="82.85" customHeight="1">
      <c r="A149" t="s">
        <v>1666</v>
      </c>
      <c r="B149" t="s">
        <v>1666</v>
      </c>
      <c r="C149">
        <v>9</v>
      </c>
      <c r="D149" s="2" t="s">
        <v>1686</v>
      </c>
      <c r="E149" s="2" t="s">
        <v>1668</v>
      </c>
      <c r="F149" s="2" t="s">
        <v>1687</v>
      </c>
      <c r="G149" s="2" t="s">
        <v>1670</v>
      </c>
      <c r="H149" s="2" t="s">
        <v>1671</v>
      </c>
      <c r="I149" s="2" t="s">
        <v>1688</v>
      </c>
      <c r="J149" s="253">
        <v>5</v>
      </c>
      <c r="K149" s="49">
        <f>_DATA_Assessment_Model!H149</f>
        <v>0</v>
      </c>
      <c r="L149" s="3">
        <f>_DATA_Assessment_Model!I149</f>
        <v>0</v>
      </c>
      <c r="M149" s="3">
        <f>_DATA_Assessment_Model!J149</f>
        <v>5</v>
      </c>
      <c r="N149" s="3">
        <f>_DATA_Assessment_Model!K149</f>
        <v>5</v>
      </c>
      <c r="O149" s="2" t="str">
        <f>_DATA_Assessment_Model!L149</f>
        <v>Critical</v>
      </c>
      <c r="P149" s="2" t="s">
        <v>833</v>
      </c>
      <c r="Q149" s="2" t="s">
        <v>834</v>
      </c>
      <c r="R149" s="2" t="s">
        <v>835</v>
      </c>
      <c r="S149" s="2" t="s">
        <v>836</v>
      </c>
      <c r="T149" s="2" t="s">
        <v>837</v>
      </c>
      <c r="U149" s="2" t="s">
        <v>838</v>
      </c>
      <c r="V149" s="2" t="s">
        <v>1673</v>
      </c>
      <c r="W149" s="253"/>
      <c r="X149" s="253"/>
      <c r="Y149" s="253" t="s">
        <v>829</v>
      </c>
      <c r="Z149" s="6">
        <v>4</v>
      </c>
      <c r="AA149" s="6">
        <v>5</v>
      </c>
      <c r="AB149" s="6">
        <v>5</v>
      </c>
      <c r="AC149" s="254"/>
      <c r="AD149" t="s">
        <v>1689</v>
      </c>
      <c r="AE149" s="5">
        <f>_DATA_Assessment_Model!AB149</f>
        <v>5</v>
      </c>
      <c r="AF149" s="7">
        <f>_DATA_Assessment_Model!AC149</f>
        <v>0</v>
      </c>
      <c r="AG149" s="8">
        <f>_DATA_Assessment_Model!AD149</f>
        <v>0</v>
      </c>
      <c r="AH149" s="5">
        <f>_DATA_Assessment_Model!AE149</f>
        <v>5</v>
      </c>
      <c r="AI149" s="7">
        <f>_DATA_Assessment_Model!AF149</f>
        <v>5</v>
      </c>
      <c r="AJ149" s="5">
        <f>_DATA_Assessment_Model!AG149</f>
        <v>5</v>
      </c>
      <c r="AK149" s="255"/>
      <c r="AL149" s="255"/>
      <c r="AM149" s="14">
        <f>_DATA_Assessment_Model!AJ149</f>
        <v>0.9</v>
      </c>
      <c r="AN149" s="14">
        <f>_DATA_Assessment_Model!AK149</f>
        <v>0.9</v>
      </c>
      <c r="AO149" s="14">
        <f>_DATA_Assessment_Model!AL149</f>
        <v>0</v>
      </c>
      <c r="AP149" s="14">
        <f>_DATA_Assessment_Model!AM149</f>
        <v>0</v>
      </c>
      <c r="AQ149" s="14">
        <f>_DATA_Assessment_Model!AN149</f>
        <v>0</v>
      </c>
      <c r="AR149" s="14">
        <f>_DATA_Assessment_Model!AO149</f>
        <v>0</v>
      </c>
      <c r="AS149" s="14">
        <f>_DATA_Assessment_Model!AP149</f>
        <v>0</v>
      </c>
      <c r="AT149" s="14">
        <f>_DATA_Assessment_Model!AQ149</f>
        <v>0</v>
      </c>
      <c r="AU149" s="14" t="str">
        <f>_DATA_Assessment_Model!AR149</f>
        <v>Within target</v>
      </c>
      <c r="AV149" s="4">
        <f>_DATA_Assessment_Model!AS149</f>
        <v>0</v>
      </c>
      <c r="AW149" s="4">
        <f>_DATA_Assessment_Model!AT149</f>
        <v>0.9</v>
      </c>
      <c r="AX149" s="254"/>
      <c r="AY149">
        <f>_DATA_Assessment_Model!AV149</f>
        <v>0.9</v>
      </c>
    </row>
    <row r="150" spans="1:51" ht="82.85" customHeight="1">
      <c r="A150" t="s">
        <v>1666</v>
      </c>
      <c r="B150" t="s">
        <v>1666</v>
      </c>
      <c r="C150">
        <v>10</v>
      </c>
      <c r="D150" s="2" t="s">
        <v>1690</v>
      </c>
      <c r="E150" s="2" t="s">
        <v>1668</v>
      </c>
      <c r="F150" s="2" t="s">
        <v>1691</v>
      </c>
      <c r="G150" s="2" t="s">
        <v>1670</v>
      </c>
      <c r="H150" s="2" t="s">
        <v>1671</v>
      </c>
      <c r="I150" s="2" t="s">
        <v>1692</v>
      </c>
      <c r="J150" s="253">
        <v>5</v>
      </c>
      <c r="K150" s="49">
        <f>_DATA_Assessment_Model!H150</f>
        <v>0</v>
      </c>
      <c r="L150" s="3">
        <f>_DATA_Assessment_Model!I150</f>
        <v>0</v>
      </c>
      <c r="M150" s="3">
        <f>_DATA_Assessment_Model!J150</f>
        <v>5</v>
      </c>
      <c r="N150" s="3">
        <f>_DATA_Assessment_Model!K150</f>
        <v>5</v>
      </c>
      <c r="O150" s="2" t="str">
        <f>_DATA_Assessment_Model!L150</f>
        <v>Critical</v>
      </c>
      <c r="P150" s="2" t="s">
        <v>833</v>
      </c>
      <c r="Q150" s="2" t="s">
        <v>834</v>
      </c>
      <c r="R150" s="2" t="s">
        <v>835</v>
      </c>
      <c r="S150" s="2" t="s">
        <v>836</v>
      </c>
      <c r="T150" s="2" t="s">
        <v>837</v>
      </c>
      <c r="U150" s="2" t="s">
        <v>838</v>
      </c>
      <c r="V150" s="2" t="s">
        <v>1673</v>
      </c>
      <c r="W150" s="253"/>
      <c r="X150" s="253"/>
      <c r="Y150" s="253" t="s">
        <v>829</v>
      </c>
      <c r="Z150" s="6">
        <v>4</v>
      </c>
      <c r="AA150" s="6">
        <v>5</v>
      </c>
      <c r="AB150" s="6">
        <v>5</v>
      </c>
      <c r="AC150" s="254"/>
      <c r="AD150" t="s">
        <v>1693</v>
      </c>
      <c r="AE150">
        <f>_DATA_Assessment_Model!AB150</f>
        <v>3</v>
      </c>
      <c r="AF150">
        <f>_DATA_Assessment_Model!AC150</f>
        <v>0</v>
      </c>
      <c r="AG150">
        <f>_DATA_Assessment_Model!AD150</f>
        <v>0</v>
      </c>
      <c r="AH150">
        <f>_DATA_Assessment_Model!AE150</f>
        <v>3</v>
      </c>
      <c r="AI150">
        <f>_DATA_Assessment_Model!AF150</f>
        <v>5</v>
      </c>
      <c r="AJ150">
        <f>_DATA_Assessment_Model!AG150</f>
        <v>3</v>
      </c>
      <c r="AK150" s="255"/>
      <c r="AL150" s="255"/>
      <c r="AM150" s="14">
        <f>_DATA_Assessment_Model!AJ150</f>
        <v>0.9</v>
      </c>
      <c r="AN150" s="14">
        <f>_DATA_Assessment_Model!AK150</f>
        <v>0.9</v>
      </c>
      <c r="AO150" s="14">
        <f>_DATA_Assessment_Model!AL150</f>
        <v>0</v>
      </c>
      <c r="AP150" s="14">
        <f>_DATA_Assessment_Model!AM150</f>
        <v>0</v>
      </c>
      <c r="AQ150" s="14">
        <f>_DATA_Assessment_Model!AN150</f>
        <v>0</v>
      </c>
      <c r="AR150" s="14">
        <f>_DATA_Assessment_Model!AO150</f>
        <v>0</v>
      </c>
      <c r="AS150" s="14">
        <f>_DATA_Assessment_Model!AP150</f>
        <v>0</v>
      </c>
      <c r="AT150" s="14">
        <f>_DATA_Assessment_Model!AQ150</f>
        <v>0</v>
      </c>
      <c r="AU150" s="14" t="str">
        <f>_DATA_Assessment_Model!AR150</f>
        <v>Within target</v>
      </c>
      <c r="AV150" s="4">
        <f>_DATA_Assessment_Model!AS150</f>
        <v>0</v>
      </c>
      <c r="AW150" s="4">
        <f>_DATA_Assessment_Model!AT150</f>
        <v>0.9</v>
      </c>
      <c r="AX150" s="254"/>
      <c r="AY150">
        <f>_DATA_Assessment_Model!AV150</f>
        <v>0.9</v>
      </c>
    </row>
    <row r="151" spans="1:51" ht="82.85" customHeight="1">
      <c r="A151" t="s">
        <v>1666</v>
      </c>
      <c r="B151" t="s">
        <v>1666</v>
      </c>
      <c r="C151">
        <v>11</v>
      </c>
      <c r="D151" s="2" t="s">
        <v>1694</v>
      </c>
      <c r="E151" s="2" t="s">
        <v>1677</v>
      </c>
      <c r="F151" s="2" t="s">
        <v>1695</v>
      </c>
      <c r="G151" s="2" t="s">
        <v>1670</v>
      </c>
      <c r="H151" s="2" t="s">
        <v>1671</v>
      </c>
      <c r="I151" s="2" t="s">
        <v>1696</v>
      </c>
      <c r="J151" s="253">
        <v>5</v>
      </c>
      <c r="K151" s="49">
        <f>_DATA_Assessment_Model!H151</f>
        <v>0</v>
      </c>
      <c r="L151" s="3">
        <f>_DATA_Assessment_Model!I151</f>
        <v>0</v>
      </c>
      <c r="M151" s="3">
        <f>_DATA_Assessment_Model!J151</f>
        <v>5</v>
      </c>
      <c r="N151" s="3">
        <f>_DATA_Assessment_Model!K151</f>
        <v>5</v>
      </c>
      <c r="O151" s="2" t="str">
        <f>_DATA_Assessment_Model!L151</f>
        <v>Critical</v>
      </c>
      <c r="P151" s="2" t="s">
        <v>1051</v>
      </c>
      <c r="Q151" s="2" t="s">
        <v>1052</v>
      </c>
      <c r="R151" s="2" t="s">
        <v>1053</v>
      </c>
      <c r="S151" s="2" t="s">
        <v>1054</v>
      </c>
      <c r="T151" s="2" t="s">
        <v>1055</v>
      </c>
      <c r="U151" s="2" t="s">
        <v>1056</v>
      </c>
      <c r="V151" s="2" t="s">
        <v>1673</v>
      </c>
      <c r="W151" s="253"/>
      <c r="X151" s="253"/>
      <c r="Y151" s="253" t="s">
        <v>829</v>
      </c>
      <c r="Z151" s="6">
        <v>4</v>
      </c>
      <c r="AA151" s="6">
        <v>5</v>
      </c>
      <c r="AB151" s="6">
        <v>5</v>
      </c>
      <c r="AC151" s="254"/>
      <c r="AK151" s="255"/>
      <c r="AL151" s="255"/>
      <c r="AM151" s="14">
        <f>_DATA_Assessment_Model!AJ151</f>
        <v>0.9</v>
      </c>
      <c r="AN151" s="14">
        <f>_DATA_Assessment_Model!AK151</f>
        <v>0.9</v>
      </c>
      <c r="AO151" s="14">
        <f>_DATA_Assessment_Model!AL151</f>
        <v>0</v>
      </c>
      <c r="AP151" s="14">
        <f>_DATA_Assessment_Model!AM151</f>
        <v>0</v>
      </c>
      <c r="AQ151" s="14">
        <f>_DATA_Assessment_Model!AN151</f>
        <v>0</v>
      </c>
      <c r="AR151" s="14">
        <f>_DATA_Assessment_Model!AO151</f>
        <v>0</v>
      </c>
      <c r="AS151" s="14">
        <f>_DATA_Assessment_Model!AP151</f>
        <v>0</v>
      </c>
      <c r="AT151" s="14">
        <f>_DATA_Assessment_Model!AQ151</f>
        <v>0</v>
      </c>
      <c r="AU151" s="14" t="str">
        <f>_DATA_Assessment_Model!AR151</f>
        <v>Within target</v>
      </c>
      <c r="AV151" s="4">
        <f>_DATA_Assessment_Model!AS151</f>
        <v>0</v>
      </c>
      <c r="AW151" s="4">
        <f>_DATA_Assessment_Model!AT151</f>
        <v>0.9</v>
      </c>
      <c r="AX151" s="254"/>
      <c r="AY151">
        <f>_DATA_Assessment_Model!AV151</f>
        <v>0.9</v>
      </c>
    </row>
    <row r="152" spans="1:51" ht="82.85" customHeight="1">
      <c r="A152" t="s">
        <v>1666</v>
      </c>
      <c r="B152" t="s">
        <v>1666</v>
      </c>
      <c r="C152">
        <v>12</v>
      </c>
      <c r="D152" s="2" t="s">
        <v>1697</v>
      </c>
      <c r="E152" s="2" t="s">
        <v>1677</v>
      </c>
      <c r="F152" s="2" t="s">
        <v>1698</v>
      </c>
      <c r="G152" s="2" t="s">
        <v>1670</v>
      </c>
      <c r="H152" s="2" t="s">
        <v>1671</v>
      </c>
      <c r="I152" s="2" t="s">
        <v>1699</v>
      </c>
      <c r="J152" s="253">
        <v>5</v>
      </c>
      <c r="K152" s="49">
        <f>_DATA_Assessment_Model!H152</f>
        <v>0</v>
      </c>
      <c r="L152" s="3">
        <f>_DATA_Assessment_Model!I152</f>
        <v>0</v>
      </c>
      <c r="M152" s="3">
        <f>_DATA_Assessment_Model!J152</f>
        <v>5</v>
      </c>
      <c r="N152" s="3">
        <f>_DATA_Assessment_Model!K152</f>
        <v>5</v>
      </c>
      <c r="O152" s="2" t="str">
        <f>_DATA_Assessment_Model!L152</f>
        <v>Critical</v>
      </c>
      <c r="P152" s="2" t="s">
        <v>833</v>
      </c>
      <c r="Q152" s="2" t="s">
        <v>834</v>
      </c>
      <c r="R152" s="2" t="s">
        <v>835</v>
      </c>
      <c r="S152" s="2" t="s">
        <v>836</v>
      </c>
      <c r="T152" s="2" t="s">
        <v>837</v>
      </c>
      <c r="U152" s="2" t="s">
        <v>838</v>
      </c>
      <c r="V152" s="2" t="s">
        <v>1673</v>
      </c>
      <c r="W152" s="253"/>
      <c r="X152" s="253"/>
      <c r="Y152" s="253" t="s">
        <v>829</v>
      </c>
      <c r="Z152" s="6">
        <v>5</v>
      </c>
      <c r="AA152" s="6">
        <v>5</v>
      </c>
      <c r="AB152" s="6">
        <v>5</v>
      </c>
      <c r="AC152" s="254"/>
      <c r="AK152" s="255"/>
      <c r="AL152" s="255"/>
      <c r="AM152" s="14">
        <f>_DATA_Assessment_Model!AJ152</f>
        <v>0.9</v>
      </c>
      <c r="AN152" s="14">
        <f>_DATA_Assessment_Model!AK152</f>
        <v>0.9</v>
      </c>
      <c r="AO152" s="14">
        <f>_DATA_Assessment_Model!AL152</f>
        <v>0</v>
      </c>
      <c r="AP152" s="14">
        <f>_DATA_Assessment_Model!AM152</f>
        <v>0</v>
      </c>
      <c r="AQ152" s="14">
        <f>_DATA_Assessment_Model!AN152</f>
        <v>0</v>
      </c>
      <c r="AR152" s="14">
        <f>_DATA_Assessment_Model!AO152</f>
        <v>0</v>
      </c>
      <c r="AS152" s="14">
        <f>_DATA_Assessment_Model!AP152</f>
        <v>0</v>
      </c>
      <c r="AT152" s="14">
        <f>_DATA_Assessment_Model!AQ152</f>
        <v>0</v>
      </c>
      <c r="AU152" s="14" t="str">
        <f>_DATA_Assessment_Model!AR152</f>
        <v>Within target</v>
      </c>
      <c r="AV152" s="4">
        <f>_DATA_Assessment_Model!AS152</f>
        <v>0</v>
      </c>
      <c r="AW152" s="4">
        <f>_DATA_Assessment_Model!AT152</f>
        <v>0.9</v>
      </c>
      <c r="AX152" s="254"/>
      <c r="AY152">
        <f>_DATA_Assessment_Model!AV152</f>
        <v>0.9</v>
      </c>
    </row>
    <row r="153" spans="1:51" ht="96.65" customHeight="1">
      <c r="A153" t="s">
        <v>1666</v>
      </c>
      <c r="B153" t="s">
        <v>1666</v>
      </c>
      <c r="C153">
        <v>13</v>
      </c>
      <c r="D153" s="2" t="s">
        <v>1700</v>
      </c>
      <c r="E153" s="2" t="s">
        <v>1677</v>
      </c>
      <c r="F153" s="2" t="s">
        <v>1701</v>
      </c>
      <c r="G153" s="2" t="s">
        <v>1670</v>
      </c>
      <c r="H153" s="2" t="s">
        <v>1671</v>
      </c>
      <c r="I153" s="2" t="s">
        <v>1702</v>
      </c>
      <c r="J153" s="253">
        <v>4</v>
      </c>
      <c r="K153" s="49">
        <f>_DATA_Assessment_Model!H153</f>
        <v>0</v>
      </c>
      <c r="L153" s="3">
        <f>_DATA_Assessment_Model!I153</f>
        <v>0</v>
      </c>
      <c r="M153" s="3">
        <f>_DATA_Assessment_Model!J153</f>
        <v>4</v>
      </c>
      <c r="N153" s="3">
        <f>_DATA_Assessment_Model!K153</f>
        <v>4</v>
      </c>
      <c r="O153" s="2" t="str">
        <f>_DATA_Assessment_Model!L153</f>
        <v>Critical</v>
      </c>
      <c r="P153" s="2" t="s">
        <v>1703</v>
      </c>
      <c r="Q153" s="2" t="s">
        <v>1704</v>
      </c>
      <c r="R153" s="2" t="s">
        <v>1705</v>
      </c>
      <c r="S153" s="2" t="s">
        <v>1706</v>
      </c>
      <c r="T153" s="2" t="s">
        <v>1707</v>
      </c>
      <c r="U153" s="2" t="s">
        <v>1708</v>
      </c>
      <c r="V153" s="2" t="s">
        <v>1673</v>
      </c>
      <c r="W153" s="253"/>
      <c r="X153" s="253"/>
      <c r="Y153" s="253" t="s">
        <v>829</v>
      </c>
      <c r="Z153" s="6">
        <v>4</v>
      </c>
      <c r="AA153" s="6">
        <v>5</v>
      </c>
      <c r="AB153" s="6">
        <v>5</v>
      </c>
      <c r="AC153" s="254"/>
      <c r="AK153" s="255"/>
      <c r="AL153" s="255"/>
      <c r="AM153" s="14">
        <f>_DATA_Assessment_Model!AJ153</f>
        <v>0.9</v>
      </c>
      <c r="AN153" s="14">
        <f>_DATA_Assessment_Model!AK153</f>
        <v>0.9</v>
      </c>
      <c r="AO153" s="14">
        <f>_DATA_Assessment_Model!AL153</f>
        <v>0</v>
      </c>
      <c r="AP153" s="14">
        <f>_DATA_Assessment_Model!AM153</f>
        <v>0</v>
      </c>
      <c r="AQ153" s="14">
        <f>_DATA_Assessment_Model!AN153</f>
        <v>0</v>
      </c>
      <c r="AR153" s="14">
        <f>_DATA_Assessment_Model!AO153</f>
        <v>0</v>
      </c>
      <c r="AS153" s="14">
        <f>_DATA_Assessment_Model!AP153</f>
        <v>0</v>
      </c>
      <c r="AT153" s="14">
        <f>_DATA_Assessment_Model!AQ153</f>
        <v>0</v>
      </c>
      <c r="AU153" s="14" t="str">
        <f>_DATA_Assessment_Model!AR153</f>
        <v>Within target</v>
      </c>
      <c r="AV153" s="4">
        <f>_DATA_Assessment_Model!AS153</f>
        <v>0</v>
      </c>
      <c r="AW153" s="4">
        <f>_DATA_Assessment_Model!AT153</f>
        <v>0.9</v>
      </c>
      <c r="AX153" s="254"/>
      <c r="AY153">
        <f>_DATA_Assessment_Model!AV153</f>
        <v>0.9</v>
      </c>
    </row>
    <row r="154" spans="1:51" ht="110.4" customHeight="1">
      <c r="A154" t="s">
        <v>1666</v>
      </c>
      <c r="B154" t="s">
        <v>1666</v>
      </c>
      <c r="C154">
        <v>14</v>
      </c>
      <c r="D154" s="2" t="s">
        <v>1709</v>
      </c>
      <c r="E154" s="2" t="s">
        <v>1677</v>
      </c>
      <c r="F154" s="2" t="s">
        <v>1710</v>
      </c>
      <c r="G154" s="2" t="s">
        <v>1670</v>
      </c>
      <c r="H154" s="2" t="s">
        <v>1671</v>
      </c>
      <c r="I154" s="2" t="s">
        <v>1711</v>
      </c>
      <c r="J154" s="253">
        <v>3</v>
      </c>
      <c r="K154" s="49">
        <f>_DATA_Assessment_Model!H154</f>
        <v>0</v>
      </c>
      <c r="L154" s="3">
        <f>_DATA_Assessment_Model!I154</f>
        <v>0</v>
      </c>
      <c r="M154" s="3">
        <f>_DATA_Assessment_Model!J154</f>
        <v>3</v>
      </c>
      <c r="N154" s="3">
        <f>_DATA_Assessment_Model!K154</f>
        <v>3</v>
      </c>
      <c r="O154" s="2" t="str">
        <f>_DATA_Assessment_Model!L154</f>
        <v>Critical</v>
      </c>
      <c r="P154" s="2" t="s">
        <v>1712</v>
      </c>
      <c r="Q154" s="2" t="s">
        <v>1713</v>
      </c>
      <c r="R154" s="2" t="s">
        <v>1714</v>
      </c>
      <c r="S154" s="2" t="s">
        <v>1715</v>
      </c>
      <c r="T154" s="2" t="s">
        <v>1716</v>
      </c>
      <c r="U154" s="2" t="s">
        <v>1717</v>
      </c>
      <c r="V154" s="2" t="s">
        <v>1673</v>
      </c>
      <c r="W154" s="253"/>
      <c r="X154" s="253"/>
      <c r="Y154" s="253" t="s">
        <v>829</v>
      </c>
      <c r="Z154" s="6">
        <v>4</v>
      </c>
      <c r="AA154" s="6">
        <v>5</v>
      </c>
      <c r="AB154" s="6">
        <v>5</v>
      </c>
      <c r="AC154" s="254"/>
      <c r="AK154" s="255"/>
      <c r="AL154" s="255"/>
      <c r="AM154" s="14">
        <f>_DATA_Assessment_Model!AJ154</f>
        <v>0.9</v>
      </c>
      <c r="AN154" s="14">
        <f>_DATA_Assessment_Model!AK154</f>
        <v>0.9</v>
      </c>
      <c r="AO154" s="14">
        <f>_DATA_Assessment_Model!AL154</f>
        <v>0</v>
      </c>
      <c r="AP154" s="14">
        <f>_DATA_Assessment_Model!AM154</f>
        <v>0</v>
      </c>
      <c r="AQ154" s="14">
        <f>_DATA_Assessment_Model!AN154</f>
        <v>0</v>
      </c>
      <c r="AR154" s="14">
        <f>_DATA_Assessment_Model!AO154</f>
        <v>0</v>
      </c>
      <c r="AS154" s="14">
        <f>_DATA_Assessment_Model!AP154</f>
        <v>0</v>
      </c>
      <c r="AT154" s="14">
        <f>_DATA_Assessment_Model!AQ154</f>
        <v>0</v>
      </c>
      <c r="AU154" s="14" t="str">
        <f>_DATA_Assessment_Model!AR154</f>
        <v>Within target</v>
      </c>
      <c r="AV154" s="4">
        <f>_DATA_Assessment_Model!AS154</f>
        <v>0</v>
      </c>
      <c r="AW154" s="4">
        <f>_DATA_Assessment_Model!AT154</f>
        <v>0.9</v>
      </c>
      <c r="AX154" s="254"/>
      <c r="AY154">
        <f>_DATA_Assessment_Model!AV154</f>
        <v>0.9</v>
      </c>
    </row>
    <row r="155" spans="1:51" ht="96.65" customHeight="1">
      <c r="A155" t="s">
        <v>1666</v>
      </c>
      <c r="B155" t="s">
        <v>1666</v>
      </c>
      <c r="C155">
        <v>15</v>
      </c>
      <c r="D155" s="2" t="s">
        <v>1718</v>
      </c>
      <c r="E155" s="2" t="s">
        <v>1677</v>
      </c>
      <c r="F155" s="2" t="s">
        <v>1719</v>
      </c>
      <c r="G155" s="2" t="s">
        <v>1670</v>
      </c>
      <c r="H155" s="2" t="s">
        <v>1671</v>
      </c>
      <c r="I155" s="2" t="s">
        <v>1720</v>
      </c>
      <c r="J155" s="253">
        <v>3</v>
      </c>
      <c r="K155" s="49">
        <f>_DATA_Assessment_Model!H155</f>
        <v>0</v>
      </c>
      <c r="L155" s="3">
        <f>_DATA_Assessment_Model!I155</f>
        <v>0</v>
      </c>
      <c r="M155" s="3">
        <f>_DATA_Assessment_Model!J155</f>
        <v>3</v>
      </c>
      <c r="N155" s="3">
        <f>_DATA_Assessment_Model!K155</f>
        <v>3</v>
      </c>
      <c r="O155" s="2" t="str">
        <f>_DATA_Assessment_Model!L155</f>
        <v>Critical</v>
      </c>
      <c r="P155" s="2" t="s">
        <v>1721</v>
      </c>
      <c r="Q155" s="2" t="s">
        <v>1722</v>
      </c>
      <c r="R155" s="2" t="s">
        <v>1723</v>
      </c>
      <c r="S155" s="2" t="s">
        <v>1724</v>
      </c>
      <c r="T155" s="2" t="s">
        <v>1725</v>
      </c>
      <c r="U155" s="2" t="s">
        <v>1726</v>
      </c>
      <c r="V155" s="2" t="s">
        <v>1673</v>
      </c>
      <c r="W155" s="253"/>
      <c r="X155" s="253"/>
      <c r="Y155" s="253" t="s">
        <v>829</v>
      </c>
      <c r="Z155" s="6">
        <v>4</v>
      </c>
      <c r="AA155" s="6">
        <v>5</v>
      </c>
      <c r="AB155" s="6">
        <v>5</v>
      </c>
      <c r="AC155" s="254"/>
      <c r="AK155" s="255"/>
      <c r="AL155" s="255"/>
      <c r="AM155" s="14">
        <f>_DATA_Assessment_Model!AJ155</f>
        <v>0.9</v>
      </c>
      <c r="AN155" s="14">
        <f>_DATA_Assessment_Model!AK155</f>
        <v>0.9</v>
      </c>
      <c r="AO155" s="14">
        <f>_DATA_Assessment_Model!AL155</f>
        <v>0</v>
      </c>
      <c r="AP155" s="14">
        <f>_DATA_Assessment_Model!AM155</f>
        <v>0</v>
      </c>
      <c r="AQ155" s="14">
        <f>_DATA_Assessment_Model!AN155</f>
        <v>0</v>
      </c>
      <c r="AR155" s="14">
        <f>_DATA_Assessment_Model!AO155</f>
        <v>0</v>
      </c>
      <c r="AS155" s="14">
        <f>_DATA_Assessment_Model!AP155</f>
        <v>0</v>
      </c>
      <c r="AT155" s="14">
        <f>_DATA_Assessment_Model!AQ155</f>
        <v>0</v>
      </c>
      <c r="AU155" s="14" t="str">
        <f>_DATA_Assessment_Model!AR155</f>
        <v>Within target</v>
      </c>
      <c r="AV155" s="4">
        <f>_DATA_Assessment_Model!AS155</f>
        <v>0</v>
      </c>
      <c r="AW155" s="4">
        <f>_DATA_Assessment_Model!AT155</f>
        <v>0.9</v>
      </c>
      <c r="AX155" s="254"/>
      <c r="AY155">
        <f>_DATA_Assessment_Model!AV155</f>
        <v>0.9</v>
      </c>
    </row>
    <row r="156" spans="1:51" ht="96.65" customHeight="1">
      <c r="A156" t="s">
        <v>1666</v>
      </c>
      <c r="B156" t="s">
        <v>1666</v>
      </c>
      <c r="C156">
        <v>16</v>
      </c>
      <c r="D156" s="2" t="s">
        <v>1727</v>
      </c>
      <c r="E156" s="2" t="s">
        <v>1677</v>
      </c>
      <c r="F156" s="2" t="s">
        <v>1728</v>
      </c>
      <c r="G156" s="2" t="s">
        <v>1670</v>
      </c>
      <c r="H156" s="2" t="s">
        <v>1671</v>
      </c>
      <c r="I156" s="2" t="s">
        <v>1729</v>
      </c>
      <c r="J156" s="253">
        <v>4</v>
      </c>
      <c r="K156" s="49">
        <f>_DATA_Assessment_Model!H156</f>
        <v>0</v>
      </c>
      <c r="L156" s="3">
        <f>_DATA_Assessment_Model!I156</f>
        <v>0</v>
      </c>
      <c r="M156" s="3">
        <f>_DATA_Assessment_Model!J156</f>
        <v>4</v>
      </c>
      <c r="N156" s="3">
        <f>_DATA_Assessment_Model!K156</f>
        <v>4</v>
      </c>
      <c r="O156" s="2" t="str">
        <f>_DATA_Assessment_Model!L156</f>
        <v>Critical</v>
      </c>
      <c r="P156" s="2" t="s">
        <v>1730</v>
      </c>
      <c r="Q156" s="2" t="s">
        <v>1731</v>
      </c>
      <c r="R156" s="2" t="s">
        <v>1732</v>
      </c>
      <c r="S156" s="2" t="s">
        <v>1733</v>
      </c>
      <c r="T156" s="2" t="s">
        <v>1734</v>
      </c>
      <c r="U156" s="2" t="s">
        <v>1735</v>
      </c>
      <c r="V156" s="2" t="s">
        <v>1673</v>
      </c>
      <c r="W156" s="253"/>
      <c r="X156" s="253"/>
      <c r="Y156" s="253" t="s">
        <v>829</v>
      </c>
      <c r="Z156" s="6">
        <v>4</v>
      </c>
      <c r="AA156" s="6">
        <v>5</v>
      </c>
      <c r="AB156" s="6">
        <v>5</v>
      </c>
      <c r="AC156" s="254"/>
      <c r="AK156" s="255"/>
      <c r="AL156" s="255"/>
      <c r="AM156" s="14">
        <f>_DATA_Assessment_Model!AJ156</f>
        <v>0.9</v>
      </c>
      <c r="AN156" s="14">
        <f>_DATA_Assessment_Model!AK156</f>
        <v>0.9</v>
      </c>
      <c r="AO156" s="14">
        <f>_DATA_Assessment_Model!AL156</f>
        <v>0</v>
      </c>
      <c r="AP156" s="14">
        <f>_DATA_Assessment_Model!AM156</f>
        <v>0</v>
      </c>
      <c r="AQ156" s="14">
        <f>_DATA_Assessment_Model!AN156</f>
        <v>0</v>
      </c>
      <c r="AR156" s="14">
        <f>_DATA_Assessment_Model!AO156</f>
        <v>0</v>
      </c>
      <c r="AS156" s="14">
        <f>_DATA_Assessment_Model!AP156</f>
        <v>0</v>
      </c>
      <c r="AT156" s="14">
        <f>_DATA_Assessment_Model!AQ156</f>
        <v>0</v>
      </c>
      <c r="AU156" s="14" t="str">
        <f>_DATA_Assessment_Model!AR156</f>
        <v>Within target</v>
      </c>
      <c r="AV156" s="4">
        <f>_DATA_Assessment_Model!AS156</f>
        <v>0</v>
      </c>
      <c r="AW156" s="4">
        <f>_DATA_Assessment_Model!AT156</f>
        <v>0.9</v>
      </c>
      <c r="AX156" s="254"/>
      <c r="AY156">
        <f>_DATA_Assessment_Model!AV156</f>
        <v>0.9</v>
      </c>
    </row>
    <row r="157" spans="1:51" ht="124.2" customHeight="1">
      <c r="A157" t="s">
        <v>1666</v>
      </c>
      <c r="B157" t="s">
        <v>1666</v>
      </c>
      <c r="C157">
        <v>17</v>
      </c>
      <c r="D157" s="2" t="s">
        <v>1736</v>
      </c>
      <c r="E157" s="2" t="s">
        <v>1681</v>
      </c>
      <c r="F157" s="2" t="s">
        <v>1737</v>
      </c>
      <c r="G157" s="2" t="s">
        <v>1670</v>
      </c>
      <c r="H157" s="2" t="s">
        <v>1671</v>
      </c>
      <c r="I157" s="2" t="s">
        <v>1738</v>
      </c>
      <c r="J157" s="253">
        <v>3</v>
      </c>
      <c r="K157" s="49">
        <f>_DATA_Assessment_Model!H157</f>
        <v>0</v>
      </c>
      <c r="L157" s="3">
        <f>_DATA_Assessment_Model!I157</f>
        <v>0</v>
      </c>
      <c r="M157" s="3">
        <f>_DATA_Assessment_Model!J157</f>
        <v>3</v>
      </c>
      <c r="N157" s="3">
        <f>_DATA_Assessment_Model!K157</f>
        <v>3</v>
      </c>
      <c r="O157" s="2" t="str">
        <f>_DATA_Assessment_Model!L157</f>
        <v>Critical</v>
      </c>
      <c r="P157" s="2" t="s">
        <v>1739</v>
      </c>
      <c r="Q157" s="2" t="s">
        <v>1740</v>
      </c>
      <c r="R157" s="2" t="s">
        <v>1741</v>
      </c>
      <c r="S157" s="2" t="s">
        <v>1742</v>
      </c>
      <c r="T157" s="2" t="s">
        <v>1743</v>
      </c>
      <c r="U157" s="2" t="s">
        <v>1744</v>
      </c>
      <c r="V157" s="2" t="s">
        <v>1673</v>
      </c>
      <c r="W157" s="253"/>
      <c r="X157" s="253"/>
      <c r="Y157" s="253" t="s">
        <v>829</v>
      </c>
      <c r="Z157" s="6">
        <v>4</v>
      </c>
      <c r="AA157" s="6">
        <v>5</v>
      </c>
      <c r="AB157" s="6">
        <v>5</v>
      </c>
      <c r="AC157" s="254"/>
      <c r="AK157" s="255"/>
      <c r="AL157" s="255"/>
      <c r="AM157" s="14">
        <f>_DATA_Assessment_Model!AJ157</f>
        <v>0.9</v>
      </c>
      <c r="AN157" s="14">
        <f>_DATA_Assessment_Model!AK157</f>
        <v>0.9</v>
      </c>
      <c r="AO157" s="14">
        <f>_DATA_Assessment_Model!AL157</f>
        <v>0</v>
      </c>
      <c r="AP157" s="14">
        <f>_DATA_Assessment_Model!AM157</f>
        <v>0</v>
      </c>
      <c r="AQ157" s="14">
        <f>_DATA_Assessment_Model!AN157</f>
        <v>0</v>
      </c>
      <c r="AR157" s="14">
        <f>_DATA_Assessment_Model!AO157</f>
        <v>0</v>
      </c>
      <c r="AS157" s="14">
        <f>_DATA_Assessment_Model!AP157</f>
        <v>0</v>
      </c>
      <c r="AT157" s="14">
        <f>_DATA_Assessment_Model!AQ157</f>
        <v>0</v>
      </c>
      <c r="AU157" s="14" t="str">
        <f>_DATA_Assessment_Model!AR157</f>
        <v>Within target</v>
      </c>
      <c r="AV157" s="4">
        <f>_DATA_Assessment_Model!AS157</f>
        <v>0</v>
      </c>
      <c r="AW157" s="4">
        <f>_DATA_Assessment_Model!AT157</f>
        <v>0.9</v>
      </c>
      <c r="AX157" s="254"/>
      <c r="AY157">
        <f>_DATA_Assessment_Model!AV157</f>
        <v>0.9</v>
      </c>
    </row>
    <row r="158" spans="1:51" ht="82.85" customHeight="1">
      <c r="A158" t="s">
        <v>1666</v>
      </c>
      <c r="B158" t="s">
        <v>1666</v>
      </c>
      <c r="C158">
        <v>18</v>
      </c>
      <c r="D158" s="2" t="s">
        <v>1745</v>
      </c>
      <c r="E158" s="2" t="s">
        <v>1681</v>
      </c>
      <c r="F158" s="2" t="s">
        <v>1746</v>
      </c>
      <c r="G158" s="2" t="s">
        <v>1670</v>
      </c>
      <c r="H158" s="2" t="s">
        <v>1671</v>
      </c>
      <c r="I158" s="2" t="s">
        <v>1747</v>
      </c>
      <c r="J158" s="253">
        <v>5</v>
      </c>
      <c r="K158" s="49">
        <f>_DATA_Assessment_Model!H158</f>
        <v>0</v>
      </c>
      <c r="L158" s="3">
        <f>_DATA_Assessment_Model!I158</f>
        <v>0</v>
      </c>
      <c r="M158" s="3">
        <f>_DATA_Assessment_Model!J158</f>
        <v>5</v>
      </c>
      <c r="N158" s="3">
        <f>_DATA_Assessment_Model!K158</f>
        <v>5</v>
      </c>
      <c r="O158" s="2" t="str">
        <f>_DATA_Assessment_Model!L158</f>
        <v>Critical</v>
      </c>
      <c r="P158" s="2" t="s">
        <v>1748</v>
      </c>
      <c r="Q158" s="2" t="s">
        <v>1749</v>
      </c>
      <c r="R158" s="2" t="s">
        <v>1750</v>
      </c>
      <c r="S158" s="2" t="s">
        <v>1751</v>
      </c>
      <c r="T158" s="2" t="s">
        <v>1752</v>
      </c>
      <c r="U158" s="2" t="s">
        <v>1753</v>
      </c>
      <c r="V158" s="2" t="s">
        <v>1673</v>
      </c>
      <c r="W158" s="253"/>
      <c r="X158" s="253"/>
      <c r="Y158" s="253" t="s">
        <v>829</v>
      </c>
      <c r="Z158" s="6">
        <v>4</v>
      </c>
      <c r="AA158" s="6">
        <v>5</v>
      </c>
      <c r="AB158" s="6">
        <v>5</v>
      </c>
      <c r="AC158" s="254"/>
      <c r="AK158" s="255"/>
      <c r="AL158" s="255"/>
      <c r="AM158" s="14">
        <f>_DATA_Assessment_Model!AJ158</f>
        <v>0.9</v>
      </c>
      <c r="AN158" s="14">
        <f>_DATA_Assessment_Model!AK158</f>
        <v>0.9</v>
      </c>
      <c r="AO158" s="14">
        <f>_DATA_Assessment_Model!AL158</f>
        <v>0</v>
      </c>
      <c r="AP158" s="14">
        <f>_DATA_Assessment_Model!AM158</f>
        <v>0</v>
      </c>
      <c r="AQ158" s="14">
        <f>_DATA_Assessment_Model!AN158</f>
        <v>0</v>
      </c>
      <c r="AR158" s="14">
        <f>_DATA_Assessment_Model!AO158</f>
        <v>0</v>
      </c>
      <c r="AS158" s="14">
        <f>_DATA_Assessment_Model!AP158</f>
        <v>0</v>
      </c>
      <c r="AT158" s="14">
        <f>_DATA_Assessment_Model!AQ158</f>
        <v>0</v>
      </c>
      <c r="AU158" s="14" t="str">
        <f>_DATA_Assessment_Model!AR158</f>
        <v>Within target</v>
      </c>
      <c r="AV158" s="4">
        <f>_DATA_Assessment_Model!AS158</f>
        <v>0</v>
      </c>
      <c r="AW158" s="4">
        <f>_DATA_Assessment_Model!AT158</f>
        <v>0.9</v>
      </c>
      <c r="AX158" s="254"/>
      <c r="AY158">
        <f>_DATA_Assessment_Model!AV158</f>
        <v>0.9</v>
      </c>
    </row>
    <row r="159" spans="1:51" ht="96.65" customHeight="1">
      <c r="A159" t="s">
        <v>1666</v>
      </c>
      <c r="B159" t="s">
        <v>1666</v>
      </c>
      <c r="C159">
        <v>19</v>
      </c>
      <c r="D159" s="2" t="s">
        <v>1754</v>
      </c>
      <c r="E159" s="2" t="s">
        <v>1681</v>
      </c>
      <c r="F159" s="2" t="s">
        <v>1755</v>
      </c>
      <c r="G159" s="2" t="s">
        <v>1670</v>
      </c>
      <c r="H159" s="2" t="s">
        <v>1671</v>
      </c>
      <c r="I159" s="2" t="s">
        <v>1756</v>
      </c>
      <c r="J159" s="253">
        <v>3</v>
      </c>
      <c r="K159" s="49">
        <f>_DATA_Assessment_Model!H159</f>
        <v>0</v>
      </c>
      <c r="L159" s="3">
        <f>_DATA_Assessment_Model!I159</f>
        <v>0</v>
      </c>
      <c r="M159" s="3">
        <f>_DATA_Assessment_Model!J159</f>
        <v>3</v>
      </c>
      <c r="N159" s="3">
        <f>_DATA_Assessment_Model!K159</f>
        <v>3</v>
      </c>
      <c r="O159" s="2" t="str">
        <f>_DATA_Assessment_Model!L159</f>
        <v>Critical</v>
      </c>
      <c r="P159" s="2" t="s">
        <v>1757</v>
      </c>
      <c r="Q159" s="2" t="s">
        <v>1758</v>
      </c>
      <c r="R159" s="2" t="s">
        <v>1759</v>
      </c>
      <c r="S159" s="2" t="s">
        <v>1760</v>
      </c>
      <c r="T159" s="2" t="s">
        <v>1761</v>
      </c>
      <c r="U159" s="2" t="s">
        <v>1762</v>
      </c>
      <c r="V159" s="2" t="s">
        <v>1673</v>
      </c>
      <c r="W159" s="253"/>
      <c r="X159" s="253"/>
      <c r="Y159" s="253" t="s">
        <v>829</v>
      </c>
      <c r="Z159" s="6">
        <v>4</v>
      </c>
      <c r="AA159" s="6">
        <v>5</v>
      </c>
      <c r="AB159" s="6">
        <v>5</v>
      </c>
      <c r="AC159" s="254"/>
      <c r="AK159" s="255"/>
      <c r="AL159" s="255"/>
      <c r="AM159" s="14">
        <f>_DATA_Assessment_Model!AJ159</f>
        <v>0.9</v>
      </c>
      <c r="AN159" s="14">
        <f>_DATA_Assessment_Model!AK159</f>
        <v>0.9</v>
      </c>
      <c r="AO159" s="14">
        <f>_DATA_Assessment_Model!AL159</f>
        <v>0</v>
      </c>
      <c r="AP159" s="14">
        <f>_DATA_Assessment_Model!AM159</f>
        <v>0</v>
      </c>
      <c r="AQ159" s="14">
        <f>_DATA_Assessment_Model!AN159</f>
        <v>0</v>
      </c>
      <c r="AR159" s="14">
        <f>_DATA_Assessment_Model!AO159</f>
        <v>0</v>
      </c>
      <c r="AS159" s="14">
        <f>_DATA_Assessment_Model!AP159</f>
        <v>0</v>
      </c>
      <c r="AT159" s="14">
        <f>_DATA_Assessment_Model!AQ159</f>
        <v>0</v>
      </c>
      <c r="AU159" s="14" t="str">
        <f>_DATA_Assessment_Model!AR159</f>
        <v>Within target</v>
      </c>
      <c r="AV159" s="4">
        <f>_DATA_Assessment_Model!AS159</f>
        <v>0</v>
      </c>
      <c r="AW159" s="4">
        <f>_DATA_Assessment_Model!AT159</f>
        <v>0.9</v>
      </c>
      <c r="AX159" s="254"/>
      <c r="AY159">
        <f>_DATA_Assessment_Model!AV159</f>
        <v>0.9</v>
      </c>
    </row>
    <row r="160" spans="1:51" ht="82.85" customHeight="1">
      <c r="A160" t="s">
        <v>1666</v>
      </c>
      <c r="B160" t="s">
        <v>1666</v>
      </c>
      <c r="C160">
        <v>20</v>
      </c>
      <c r="D160" s="2" t="s">
        <v>1763</v>
      </c>
      <c r="E160" s="2" t="s">
        <v>1681</v>
      </c>
      <c r="F160" s="2" t="s">
        <v>1764</v>
      </c>
      <c r="G160" s="2" t="s">
        <v>1670</v>
      </c>
      <c r="H160" s="2" t="s">
        <v>1671</v>
      </c>
      <c r="I160" s="2" t="s">
        <v>1765</v>
      </c>
      <c r="J160" s="253">
        <v>5</v>
      </c>
      <c r="K160" s="49">
        <f>_DATA_Assessment_Model!H160</f>
        <v>0</v>
      </c>
      <c r="L160" s="3">
        <f>_DATA_Assessment_Model!I160</f>
        <v>0</v>
      </c>
      <c r="M160" s="3">
        <f>_DATA_Assessment_Model!J160</f>
        <v>5</v>
      </c>
      <c r="N160" s="3">
        <f>_DATA_Assessment_Model!K160</f>
        <v>5</v>
      </c>
      <c r="O160" s="2" t="str">
        <f>_DATA_Assessment_Model!L160</f>
        <v>Critical</v>
      </c>
      <c r="P160" s="2" t="s">
        <v>833</v>
      </c>
      <c r="Q160" s="2" t="s">
        <v>834</v>
      </c>
      <c r="R160" s="2" t="s">
        <v>835</v>
      </c>
      <c r="S160" s="2" t="s">
        <v>836</v>
      </c>
      <c r="T160" s="2" t="s">
        <v>837</v>
      </c>
      <c r="U160" s="2" t="s">
        <v>838</v>
      </c>
      <c r="V160" s="2" t="s">
        <v>1673</v>
      </c>
      <c r="W160" s="253"/>
      <c r="X160" s="253"/>
      <c r="Y160" s="253" t="s">
        <v>829</v>
      </c>
      <c r="Z160" s="6">
        <v>4</v>
      </c>
      <c r="AA160" s="6">
        <v>5</v>
      </c>
      <c r="AB160" s="6">
        <v>5</v>
      </c>
      <c r="AC160" s="254"/>
      <c r="AK160" s="255"/>
      <c r="AL160" s="255"/>
      <c r="AM160" s="14">
        <f>_DATA_Assessment_Model!AJ160</f>
        <v>0.9</v>
      </c>
      <c r="AN160" s="14">
        <f>_DATA_Assessment_Model!AK160</f>
        <v>0.9</v>
      </c>
      <c r="AO160" s="14">
        <f>_DATA_Assessment_Model!AL160</f>
        <v>0</v>
      </c>
      <c r="AP160" s="14">
        <f>_DATA_Assessment_Model!AM160</f>
        <v>0</v>
      </c>
      <c r="AQ160" s="14">
        <f>_DATA_Assessment_Model!AN160</f>
        <v>0</v>
      </c>
      <c r="AR160" s="14">
        <f>_DATA_Assessment_Model!AO160</f>
        <v>0</v>
      </c>
      <c r="AS160" s="14">
        <f>_DATA_Assessment_Model!AP160</f>
        <v>0</v>
      </c>
      <c r="AT160" s="14">
        <f>_DATA_Assessment_Model!AQ160</f>
        <v>0</v>
      </c>
      <c r="AU160" s="14" t="str">
        <f>_DATA_Assessment_Model!AR160</f>
        <v>Within target</v>
      </c>
      <c r="AV160" s="4">
        <f>_DATA_Assessment_Model!AS160</f>
        <v>0</v>
      </c>
      <c r="AW160" s="4">
        <f>_DATA_Assessment_Model!AT160</f>
        <v>0.9</v>
      </c>
      <c r="AX160" s="254"/>
      <c r="AY160">
        <f>_DATA_Assessment_Model!AV160</f>
        <v>0.9</v>
      </c>
    </row>
    <row r="161" spans="1:51" ht="96.65" customHeight="1">
      <c r="A161" t="s">
        <v>1666</v>
      </c>
      <c r="B161" t="s">
        <v>1666</v>
      </c>
      <c r="C161">
        <v>21</v>
      </c>
      <c r="D161" s="2" t="s">
        <v>1766</v>
      </c>
      <c r="E161" s="2" t="s">
        <v>1681</v>
      </c>
      <c r="F161" s="2" t="s">
        <v>1767</v>
      </c>
      <c r="G161" s="2" t="s">
        <v>1670</v>
      </c>
      <c r="H161" s="2" t="s">
        <v>1671</v>
      </c>
      <c r="I161" s="2" t="s">
        <v>1768</v>
      </c>
      <c r="J161" s="253">
        <v>3</v>
      </c>
      <c r="K161" s="49">
        <f>_DATA_Assessment_Model!H161</f>
        <v>0</v>
      </c>
      <c r="L161" s="3">
        <f>_DATA_Assessment_Model!I161</f>
        <v>0</v>
      </c>
      <c r="M161" s="3">
        <f>_DATA_Assessment_Model!J161</f>
        <v>3</v>
      </c>
      <c r="N161" s="3">
        <f>_DATA_Assessment_Model!K161</f>
        <v>3</v>
      </c>
      <c r="O161" s="2" t="str">
        <f>_DATA_Assessment_Model!L161</f>
        <v>Critical</v>
      </c>
      <c r="P161" s="2" t="s">
        <v>1769</v>
      </c>
      <c r="Q161" s="2" t="s">
        <v>1770</v>
      </c>
      <c r="R161" s="2" t="s">
        <v>1771</v>
      </c>
      <c r="S161" s="2" t="s">
        <v>1772</v>
      </c>
      <c r="T161" s="2" t="s">
        <v>1773</v>
      </c>
      <c r="U161" s="2" t="s">
        <v>1774</v>
      </c>
      <c r="V161" s="2" t="s">
        <v>1673</v>
      </c>
      <c r="W161" s="253"/>
      <c r="X161" s="253"/>
      <c r="Y161" s="253" t="s">
        <v>829</v>
      </c>
      <c r="Z161" s="6">
        <v>4</v>
      </c>
      <c r="AA161" s="6">
        <v>5</v>
      </c>
      <c r="AB161" s="6">
        <v>5</v>
      </c>
      <c r="AC161" s="254"/>
      <c r="AK161" s="255"/>
      <c r="AL161" s="255"/>
      <c r="AM161" s="14">
        <f>_DATA_Assessment_Model!AJ161</f>
        <v>0.9</v>
      </c>
      <c r="AN161" s="14">
        <f>_DATA_Assessment_Model!AK161</f>
        <v>0.9</v>
      </c>
      <c r="AO161" s="14">
        <f>_DATA_Assessment_Model!AL161</f>
        <v>0</v>
      </c>
      <c r="AP161" s="14">
        <f>_DATA_Assessment_Model!AM161</f>
        <v>0</v>
      </c>
      <c r="AQ161" s="14">
        <f>_DATA_Assessment_Model!AN161</f>
        <v>0</v>
      </c>
      <c r="AR161" s="14">
        <f>_DATA_Assessment_Model!AO161</f>
        <v>0</v>
      </c>
      <c r="AS161" s="14">
        <f>_DATA_Assessment_Model!AP161</f>
        <v>0</v>
      </c>
      <c r="AT161" s="14">
        <f>_DATA_Assessment_Model!AQ161</f>
        <v>0</v>
      </c>
      <c r="AU161" s="14" t="str">
        <f>_DATA_Assessment_Model!AR161</f>
        <v>Within target</v>
      </c>
      <c r="AV161" s="4">
        <f>_DATA_Assessment_Model!AS161</f>
        <v>0</v>
      </c>
      <c r="AW161" s="4">
        <f>_DATA_Assessment_Model!AT161</f>
        <v>0.9</v>
      </c>
      <c r="AX161" s="254"/>
      <c r="AY161">
        <f>_DATA_Assessment_Model!AV161</f>
        <v>0.9</v>
      </c>
    </row>
    <row r="162" spans="1:51" ht="96.65" customHeight="1">
      <c r="A162" t="s">
        <v>1666</v>
      </c>
      <c r="B162" t="s">
        <v>1666</v>
      </c>
      <c r="C162">
        <v>22</v>
      </c>
      <c r="D162" s="2" t="s">
        <v>1775</v>
      </c>
      <c r="E162" s="2" t="s">
        <v>1681</v>
      </c>
      <c r="F162" s="2" t="s">
        <v>1776</v>
      </c>
      <c r="G162" s="2" t="s">
        <v>1670</v>
      </c>
      <c r="H162" s="2" t="s">
        <v>1671</v>
      </c>
      <c r="I162" s="2" t="s">
        <v>1777</v>
      </c>
      <c r="J162" s="253">
        <v>3</v>
      </c>
      <c r="K162" s="49">
        <f>_DATA_Assessment_Model!H162</f>
        <v>0</v>
      </c>
      <c r="L162" s="3">
        <f>_DATA_Assessment_Model!I162</f>
        <v>0</v>
      </c>
      <c r="M162" s="3">
        <f>_DATA_Assessment_Model!J162</f>
        <v>3</v>
      </c>
      <c r="N162" s="3">
        <f>_DATA_Assessment_Model!K162</f>
        <v>3</v>
      </c>
      <c r="O162" s="2" t="str">
        <f>_DATA_Assessment_Model!L162</f>
        <v>Critical</v>
      </c>
      <c r="P162" s="2" t="s">
        <v>1778</v>
      </c>
      <c r="Q162" s="2" t="s">
        <v>1779</v>
      </c>
      <c r="R162" s="2" t="s">
        <v>1780</v>
      </c>
      <c r="S162" s="2" t="s">
        <v>1781</v>
      </c>
      <c r="T162" s="2" t="s">
        <v>1782</v>
      </c>
      <c r="U162" s="2" t="s">
        <v>1783</v>
      </c>
      <c r="V162" s="2" t="s">
        <v>1673</v>
      </c>
      <c r="W162" s="253"/>
      <c r="X162" s="253"/>
      <c r="Y162" s="253" t="s">
        <v>829</v>
      </c>
      <c r="Z162" s="6">
        <v>4</v>
      </c>
      <c r="AA162" s="6">
        <v>5</v>
      </c>
      <c r="AB162" s="6">
        <v>5</v>
      </c>
      <c r="AC162" s="254"/>
      <c r="AK162" s="255"/>
      <c r="AL162" s="255"/>
      <c r="AM162" s="14">
        <f>_DATA_Assessment_Model!AJ162</f>
        <v>0.9</v>
      </c>
      <c r="AN162" s="14">
        <f>_DATA_Assessment_Model!AK162</f>
        <v>0.9</v>
      </c>
      <c r="AO162" s="14">
        <f>_DATA_Assessment_Model!AL162</f>
        <v>0</v>
      </c>
      <c r="AP162" s="14">
        <f>_DATA_Assessment_Model!AM162</f>
        <v>0</v>
      </c>
      <c r="AQ162" s="14">
        <f>_DATA_Assessment_Model!AN162</f>
        <v>0</v>
      </c>
      <c r="AR162" s="14">
        <f>_DATA_Assessment_Model!AO162</f>
        <v>0</v>
      </c>
      <c r="AS162" s="14">
        <f>_DATA_Assessment_Model!AP162</f>
        <v>0</v>
      </c>
      <c r="AT162" s="14">
        <f>_DATA_Assessment_Model!AQ162</f>
        <v>0</v>
      </c>
      <c r="AU162" s="14" t="str">
        <f>_DATA_Assessment_Model!AR162</f>
        <v>Within target</v>
      </c>
      <c r="AV162" s="4">
        <f>_DATA_Assessment_Model!AS162</f>
        <v>0</v>
      </c>
      <c r="AW162" s="4">
        <f>_DATA_Assessment_Model!AT162</f>
        <v>0.9</v>
      </c>
      <c r="AX162" s="254"/>
      <c r="AY162">
        <f>_DATA_Assessment_Model!AV162</f>
        <v>0.9</v>
      </c>
    </row>
    <row r="163" spans="1:51" ht="110.4" customHeight="1">
      <c r="A163" t="s">
        <v>1666</v>
      </c>
      <c r="B163" t="s">
        <v>1666</v>
      </c>
      <c r="C163">
        <v>23</v>
      </c>
      <c r="D163" s="2" t="s">
        <v>1784</v>
      </c>
      <c r="E163" s="2" t="s">
        <v>1685</v>
      </c>
      <c r="F163" s="2" t="s">
        <v>1785</v>
      </c>
      <c r="G163" s="2" t="s">
        <v>1670</v>
      </c>
      <c r="H163" s="2" t="s">
        <v>1671</v>
      </c>
      <c r="I163" s="2" t="s">
        <v>1786</v>
      </c>
      <c r="J163" s="253">
        <v>4</v>
      </c>
      <c r="K163" s="49">
        <f>_DATA_Assessment_Model!H163</f>
        <v>0</v>
      </c>
      <c r="L163" s="3">
        <f>_DATA_Assessment_Model!I163</f>
        <v>0</v>
      </c>
      <c r="M163" s="3">
        <f>_DATA_Assessment_Model!J163</f>
        <v>4</v>
      </c>
      <c r="N163" s="3">
        <f>_DATA_Assessment_Model!K163</f>
        <v>4</v>
      </c>
      <c r="O163" s="2" t="str">
        <f>_DATA_Assessment_Model!L163</f>
        <v>Critical</v>
      </c>
      <c r="P163" s="2" t="s">
        <v>1787</v>
      </c>
      <c r="Q163" s="2" t="s">
        <v>1788</v>
      </c>
      <c r="R163" s="2" t="s">
        <v>1789</v>
      </c>
      <c r="S163" s="2" t="s">
        <v>1790</v>
      </c>
      <c r="T163" s="2" t="s">
        <v>1791</v>
      </c>
      <c r="U163" s="2" t="s">
        <v>1792</v>
      </c>
      <c r="V163" s="2" t="s">
        <v>1673</v>
      </c>
      <c r="W163" s="253"/>
      <c r="X163" s="253"/>
      <c r="Y163" s="253" t="s">
        <v>829</v>
      </c>
      <c r="Z163" s="6">
        <v>4</v>
      </c>
      <c r="AA163" s="6">
        <v>5</v>
      </c>
      <c r="AB163" s="6">
        <v>5</v>
      </c>
      <c r="AC163" s="254"/>
      <c r="AK163" s="255"/>
      <c r="AL163" s="255"/>
      <c r="AM163" s="14">
        <f>_DATA_Assessment_Model!AJ163</f>
        <v>0.9</v>
      </c>
      <c r="AN163" s="14">
        <f>_DATA_Assessment_Model!AK163</f>
        <v>0.9</v>
      </c>
      <c r="AO163" s="14">
        <f>_DATA_Assessment_Model!AL163</f>
        <v>0</v>
      </c>
      <c r="AP163" s="14">
        <f>_DATA_Assessment_Model!AM163</f>
        <v>0</v>
      </c>
      <c r="AQ163" s="14">
        <f>_DATA_Assessment_Model!AN163</f>
        <v>0</v>
      </c>
      <c r="AR163" s="14">
        <f>_DATA_Assessment_Model!AO163</f>
        <v>0</v>
      </c>
      <c r="AS163" s="14">
        <f>_DATA_Assessment_Model!AP163</f>
        <v>0</v>
      </c>
      <c r="AT163" s="14">
        <f>_DATA_Assessment_Model!AQ163</f>
        <v>0</v>
      </c>
      <c r="AU163" s="14" t="str">
        <f>_DATA_Assessment_Model!AR163</f>
        <v>Within target</v>
      </c>
      <c r="AV163" s="4">
        <f>_DATA_Assessment_Model!AS163</f>
        <v>0</v>
      </c>
      <c r="AW163" s="4">
        <f>_DATA_Assessment_Model!AT163</f>
        <v>0.9</v>
      </c>
      <c r="AX163" s="254"/>
      <c r="AY163">
        <f>_DATA_Assessment_Model!AV163</f>
        <v>0.9</v>
      </c>
    </row>
    <row r="164" spans="1:51" ht="69" customHeight="1">
      <c r="A164" t="s">
        <v>1666</v>
      </c>
      <c r="B164" t="s">
        <v>1666</v>
      </c>
      <c r="C164">
        <v>24</v>
      </c>
      <c r="D164" s="2" t="s">
        <v>1793</v>
      </c>
      <c r="E164" s="2" t="s">
        <v>1685</v>
      </c>
      <c r="F164" s="2" t="s">
        <v>1794</v>
      </c>
      <c r="G164" s="2" t="s">
        <v>1670</v>
      </c>
      <c r="H164" s="2" t="s">
        <v>1671</v>
      </c>
      <c r="I164" s="2" t="s">
        <v>1795</v>
      </c>
      <c r="J164" s="253">
        <v>5</v>
      </c>
      <c r="K164" s="49">
        <f>_DATA_Assessment_Model!H164</f>
        <v>0</v>
      </c>
      <c r="L164" s="3">
        <f>_DATA_Assessment_Model!I164</f>
        <v>0</v>
      </c>
      <c r="M164" s="3">
        <f>_DATA_Assessment_Model!J164</f>
        <v>5</v>
      </c>
      <c r="N164" s="3">
        <f>_DATA_Assessment_Model!K164</f>
        <v>5</v>
      </c>
      <c r="O164" s="2" t="str">
        <f>_DATA_Assessment_Model!L164</f>
        <v>Critical</v>
      </c>
      <c r="P164" s="2" t="s">
        <v>833</v>
      </c>
      <c r="Q164" s="2" t="s">
        <v>834</v>
      </c>
      <c r="R164" s="2" t="s">
        <v>835</v>
      </c>
      <c r="S164" s="2" t="s">
        <v>836</v>
      </c>
      <c r="T164" s="2" t="s">
        <v>837</v>
      </c>
      <c r="U164" s="2" t="s">
        <v>838</v>
      </c>
      <c r="V164" s="2" t="s">
        <v>1673</v>
      </c>
      <c r="W164" s="253"/>
      <c r="X164" s="253"/>
      <c r="Y164" s="253" t="s">
        <v>829</v>
      </c>
      <c r="Z164" s="6">
        <v>4</v>
      </c>
      <c r="AA164" s="6">
        <v>5</v>
      </c>
      <c r="AB164" s="6">
        <v>5</v>
      </c>
      <c r="AC164" s="254"/>
      <c r="AK164" s="255"/>
      <c r="AL164" s="255"/>
      <c r="AM164" s="14">
        <f>_DATA_Assessment_Model!AJ164</f>
        <v>0.9</v>
      </c>
      <c r="AN164" s="14">
        <f>_DATA_Assessment_Model!AK164</f>
        <v>0.9</v>
      </c>
      <c r="AO164" s="14">
        <f>_DATA_Assessment_Model!AL164</f>
        <v>0</v>
      </c>
      <c r="AP164" s="14">
        <f>_DATA_Assessment_Model!AM164</f>
        <v>0</v>
      </c>
      <c r="AQ164" s="14">
        <f>_DATA_Assessment_Model!AN164</f>
        <v>0</v>
      </c>
      <c r="AR164" s="14">
        <f>_DATA_Assessment_Model!AO164</f>
        <v>0</v>
      </c>
      <c r="AS164" s="14">
        <f>_DATA_Assessment_Model!AP164</f>
        <v>0</v>
      </c>
      <c r="AT164" s="14">
        <f>_DATA_Assessment_Model!AQ164</f>
        <v>0</v>
      </c>
      <c r="AU164" s="14" t="str">
        <f>_DATA_Assessment_Model!AR164</f>
        <v>Within target</v>
      </c>
      <c r="AV164" s="4">
        <f>_DATA_Assessment_Model!AS164</f>
        <v>0</v>
      </c>
      <c r="AW164" s="4">
        <f>_DATA_Assessment_Model!AT164</f>
        <v>0.9</v>
      </c>
      <c r="AX164" s="254"/>
      <c r="AY164">
        <f>_DATA_Assessment_Model!AV164</f>
        <v>0.9</v>
      </c>
    </row>
    <row r="165" spans="1:51" ht="82.85" customHeight="1">
      <c r="A165" t="s">
        <v>1666</v>
      </c>
      <c r="B165" t="s">
        <v>1666</v>
      </c>
      <c r="C165">
        <v>25</v>
      </c>
      <c r="D165" s="2" t="s">
        <v>1796</v>
      </c>
      <c r="E165" s="2" t="s">
        <v>1685</v>
      </c>
      <c r="F165" s="2" t="s">
        <v>1797</v>
      </c>
      <c r="G165" s="2" t="s">
        <v>1670</v>
      </c>
      <c r="H165" s="2" t="s">
        <v>1671</v>
      </c>
      <c r="I165" s="2" t="s">
        <v>1798</v>
      </c>
      <c r="J165" s="253">
        <v>5</v>
      </c>
      <c r="K165" s="49">
        <f>_DATA_Assessment_Model!H165</f>
        <v>0</v>
      </c>
      <c r="L165" s="3">
        <f>_DATA_Assessment_Model!I165</f>
        <v>0</v>
      </c>
      <c r="M165" s="3">
        <f>_DATA_Assessment_Model!J165</f>
        <v>5</v>
      </c>
      <c r="N165" s="3">
        <f>_DATA_Assessment_Model!K165</f>
        <v>5</v>
      </c>
      <c r="O165" s="2" t="str">
        <f>_DATA_Assessment_Model!L165</f>
        <v>Critical</v>
      </c>
      <c r="P165" s="2" t="s">
        <v>833</v>
      </c>
      <c r="Q165" s="2" t="s">
        <v>834</v>
      </c>
      <c r="R165" s="2" t="s">
        <v>835</v>
      </c>
      <c r="S165" s="2" t="s">
        <v>836</v>
      </c>
      <c r="T165" s="2" t="s">
        <v>837</v>
      </c>
      <c r="U165" s="2" t="s">
        <v>838</v>
      </c>
      <c r="V165" s="2" t="s">
        <v>1673</v>
      </c>
      <c r="W165" s="253"/>
      <c r="X165" s="253"/>
      <c r="Y165" s="253" t="s">
        <v>829</v>
      </c>
      <c r="Z165" s="6">
        <v>4</v>
      </c>
      <c r="AA165" s="6">
        <v>5</v>
      </c>
      <c r="AB165" s="6">
        <v>5</v>
      </c>
      <c r="AC165" s="254"/>
      <c r="AK165" s="255"/>
      <c r="AL165" s="255"/>
      <c r="AM165" s="14">
        <f>_DATA_Assessment_Model!AJ165</f>
        <v>0.9</v>
      </c>
      <c r="AN165" s="14">
        <f>_DATA_Assessment_Model!AK165</f>
        <v>0.9</v>
      </c>
      <c r="AO165" s="14">
        <f>_DATA_Assessment_Model!AL165</f>
        <v>0</v>
      </c>
      <c r="AP165" s="14">
        <f>_DATA_Assessment_Model!AM165</f>
        <v>0</v>
      </c>
      <c r="AQ165" s="14">
        <f>_DATA_Assessment_Model!AN165</f>
        <v>0</v>
      </c>
      <c r="AR165" s="14">
        <f>_DATA_Assessment_Model!AO165</f>
        <v>0</v>
      </c>
      <c r="AS165" s="14">
        <f>_DATA_Assessment_Model!AP165</f>
        <v>0</v>
      </c>
      <c r="AT165" s="14">
        <f>_DATA_Assessment_Model!AQ165</f>
        <v>0</v>
      </c>
      <c r="AU165" s="14" t="str">
        <f>_DATA_Assessment_Model!AR165</f>
        <v>Within target</v>
      </c>
      <c r="AV165" s="4">
        <f>_DATA_Assessment_Model!AS165</f>
        <v>0</v>
      </c>
      <c r="AW165" s="4">
        <f>_DATA_Assessment_Model!AT165</f>
        <v>0.9</v>
      </c>
      <c r="AX165" s="254"/>
      <c r="AY165">
        <f>_DATA_Assessment_Model!AV165</f>
        <v>0.9</v>
      </c>
    </row>
    <row r="166" spans="1:51" ht="69" customHeight="1">
      <c r="A166" t="s">
        <v>1666</v>
      </c>
      <c r="B166" t="s">
        <v>1666</v>
      </c>
      <c r="C166">
        <v>26</v>
      </c>
      <c r="D166" s="2" t="s">
        <v>1799</v>
      </c>
      <c r="E166" s="2" t="s">
        <v>1685</v>
      </c>
      <c r="F166" s="2" t="s">
        <v>1800</v>
      </c>
      <c r="G166" s="2" t="s">
        <v>1670</v>
      </c>
      <c r="H166" s="2" t="s">
        <v>1671</v>
      </c>
      <c r="I166" s="2" t="s">
        <v>1801</v>
      </c>
      <c r="J166" s="253">
        <v>5</v>
      </c>
      <c r="K166" s="49">
        <f>_DATA_Assessment_Model!H166</f>
        <v>0</v>
      </c>
      <c r="L166" s="3">
        <f>_DATA_Assessment_Model!I166</f>
        <v>0</v>
      </c>
      <c r="M166" s="3">
        <f>_DATA_Assessment_Model!J166</f>
        <v>5</v>
      </c>
      <c r="N166" s="3">
        <f>_DATA_Assessment_Model!K166</f>
        <v>5</v>
      </c>
      <c r="O166" s="2" t="str">
        <f>_DATA_Assessment_Model!L166</f>
        <v>Critical</v>
      </c>
      <c r="P166" s="2" t="s">
        <v>1069</v>
      </c>
      <c r="Q166" s="2" t="s">
        <v>1070</v>
      </c>
      <c r="R166" s="2" t="s">
        <v>1071</v>
      </c>
      <c r="S166" s="2" t="s">
        <v>1072</v>
      </c>
      <c r="T166" s="2" t="s">
        <v>1073</v>
      </c>
      <c r="U166" s="2" t="s">
        <v>1074</v>
      </c>
      <c r="V166" s="2" t="s">
        <v>1673</v>
      </c>
      <c r="W166" s="253"/>
      <c r="X166" s="253"/>
      <c r="Y166" s="253" t="s">
        <v>829</v>
      </c>
      <c r="Z166" s="6">
        <v>4</v>
      </c>
      <c r="AA166" s="6">
        <v>5</v>
      </c>
      <c r="AB166" s="6">
        <v>5</v>
      </c>
      <c r="AC166" s="254"/>
      <c r="AK166" s="255"/>
      <c r="AL166" s="255"/>
      <c r="AM166" s="14">
        <f>_DATA_Assessment_Model!AJ166</f>
        <v>0.9</v>
      </c>
      <c r="AN166" s="14">
        <f>_DATA_Assessment_Model!AK166</f>
        <v>0.9</v>
      </c>
      <c r="AO166" s="14">
        <f>_DATA_Assessment_Model!AL166</f>
        <v>0</v>
      </c>
      <c r="AP166" s="14">
        <f>_DATA_Assessment_Model!AM166</f>
        <v>0</v>
      </c>
      <c r="AQ166" s="14">
        <f>_DATA_Assessment_Model!AN166</f>
        <v>0</v>
      </c>
      <c r="AR166" s="14">
        <f>_DATA_Assessment_Model!AO166</f>
        <v>0</v>
      </c>
      <c r="AS166" s="14">
        <f>_DATA_Assessment_Model!AP166</f>
        <v>0</v>
      </c>
      <c r="AT166" s="14">
        <f>_DATA_Assessment_Model!AQ166</f>
        <v>0</v>
      </c>
      <c r="AU166" s="14" t="str">
        <f>_DATA_Assessment_Model!AR166</f>
        <v>Within target</v>
      </c>
      <c r="AV166" s="4">
        <f>_DATA_Assessment_Model!AS166</f>
        <v>0</v>
      </c>
      <c r="AW166" s="4">
        <f>_DATA_Assessment_Model!AT166</f>
        <v>0.9</v>
      </c>
      <c r="AX166" s="254"/>
      <c r="AY166">
        <f>_DATA_Assessment_Model!AV166</f>
        <v>0.9</v>
      </c>
    </row>
    <row r="167" spans="1:51" ht="96.65" customHeight="1">
      <c r="A167" t="s">
        <v>1666</v>
      </c>
      <c r="B167" t="s">
        <v>1666</v>
      </c>
      <c r="C167">
        <v>27</v>
      </c>
      <c r="D167" s="2" t="s">
        <v>1802</v>
      </c>
      <c r="E167" s="2" t="s">
        <v>1685</v>
      </c>
      <c r="F167" s="2" t="s">
        <v>1803</v>
      </c>
      <c r="G167" s="2" t="s">
        <v>1670</v>
      </c>
      <c r="H167" s="2" t="s">
        <v>1671</v>
      </c>
      <c r="I167" s="2" t="s">
        <v>1804</v>
      </c>
      <c r="J167" s="253">
        <v>3</v>
      </c>
      <c r="K167" s="49">
        <f>_DATA_Assessment_Model!H167</f>
        <v>0</v>
      </c>
      <c r="L167" s="3">
        <f>_DATA_Assessment_Model!I167</f>
        <v>0</v>
      </c>
      <c r="M167" s="3">
        <f>_DATA_Assessment_Model!J167</f>
        <v>3</v>
      </c>
      <c r="N167" s="3">
        <f>_DATA_Assessment_Model!K167</f>
        <v>3</v>
      </c>
      <c r="O167" s="2" t="str">
        <f>_DATA_Assessment_Model!L167</f>
        <v>Critical</v>
      </c>
      <c r="P167" s="2" t="s">
        <v>1805</v>
      </c>
      <c r="Q167" s="2" t="s">
        <v>1806</v>
      </c>
      <c r="R167" s="2" t="s">
        <v>1807</v>
      </c>
      <c r="S167" s="2" t="s">
        <v>1808</v>
      </c>
      <c r="T167" s="2" t="s">
        <v>1809</v>
      </c>
      <c r="U167" s="2" t="s">
        <v>1810</v>
      </c>
      <c r="V167" s="2" t="s">
        <v>1673</v>
      </c>
      <c r="W167" s="253"/>
      <c r="X167" s="253"/>
      <c r="Y167" s="253" t="s">
        <v>829</v>
      </c>
      <c r="Z167" s="6">
        <v>4</v>
      </c>
      <c r="AA167" s="6">
        <v>5</v>
      </c>
      <c r="AB167" s="6">
        <v>5</v>
      </c>
      <c r="AC167" s="254"/>
      <c r="AK167" s="255"/>
      <c r="AL167" s="255"/>
      <c r="AM167" s="14">
        <f>_DATA_Assessment_Model!AJ167</f>
        <v>0.9</v>
      </c>
      <c r="AN167" s="14">
        <f>_DATA_Assessment_Model!AK167</f>
        <v>0.9</v>
      </c>
      <c r="AO167" s="14">
        <f>_DATA_Assessment_Model!AL167</f>
        <v>0</v>
      </c>
      <c r="AP167" s="14">
        <f>_DATA_Assessment_Model!AM167</f>
        <v>0</v>
      </c>
      <c r="AQ167" s="14">
        <f>_DATA_Assessment_Model!AN167</f>
        <v>0</v>
      </c>
      <c r="AR167" s="14">
        <f>_DATA_Assessment_Model!AO167</f>
        <v>0</v>
      </c>
      <c r="AS167" s="14">
        <f>_DATA_Assessment_Model!AP167</f>
        <v>0</v>
      </c>
      <c r="AT167" s="14">
        <f>_DATA_Assessment_Model!AQ167</f>
        <v>0</v>
      </c>
      <c r="AU167" s="14" t="str">
        <f>_DATA_Assessment_Model!AR167</f>
        <v>Within target</v>
      </c>
      <c r="AV167" s="4">
        <f>_DATA_Assessment_Model!AS167</f>
        <v>0</v>
      </c>
      <c r="AW167" s="4">
        <f>_DATA_Assessment_Model!AT167</f>
        <v>0.9</v>
      </c>
      <c r="AX167" s="254"/>
      <c r="AY167">
        <f>_DATA_Assessment_Model!AV167</f>
        <v>0.9</v>
      </c>
    </row>
    <row r="168" spans="1:51" ht="82.85" customHeight="1">
      <c r="A168" t="s">
        <v>1666</v>
      </c>
      <c r="B168" t="s">
        <v>1666</v>
      </c>
      <c r="C168">
        <v>28</v>
      </c>
      <c r="D168" s="2" t="s">
        <v>1811</v>
      </c>
      <c r="E168" s="2" t="s">
        <v>1689</v>
      </c>
      <c r="F168" s="2" t="s">
        <v>1812</v>
      </c>
      <c r="G168" s="2" t="s">
        <v>1670</v>
      </c>
      <c r="H168" s="2" t="s">
        <v>1671</v>
      </c>
      <c r="I168" s="2" t="s">
        <v>1813</v>
      </c>
      <c r="J168" s="253">
        <v>5</v>
      </c>
      <c r="K168" s="49">
        <f>_DATA_Assessment_Model!H168</f>
        <v>0</v>
      </c>
      <c r="L168" s="3">
        <f>_DATA_Assessment_Model!I168</f>
        <v>0</v>
      </c>
      <c r="M168" s="3">
        <f>_DATA_Assessment_Model!J168</f>
        <v>5</v>
      </c>
      <c r="N168" s="3">
        <f>_DATA_Assessment_Model!K168</f>
        <v>5</v>
      </c>
      <c r="O168" s="2" t="str">
        <f>_DATA_Assessment_Model!L168</f>
        <v>Critical</v>
      </c>
      <c r="P168" s="2" t="s">
        <v>1202</v>
      </c>
      <c r="Q168" s="2" t="s">
        <v>1203</v>
      </c>
      <c r="R168" s="2" t="s">
        <v>1204</v>
      </c>
      <c r="S168" s="2" t="s">
        <v>1205</v>
      </c>
      <c r="T168" s="2" t="s">
        <v>1206</v>
      </c>
      <c r="U168" s="2" t="s">
        <v>1207</v>
      </c>
      <c r="V168" s="2" t="s">
        <v>1673</v>
      </c>
      <c r="W168" s="253"/>
      <c r="X168" s="253"/>
      <c r="Y168" s="253" t="s">
        <v>829</v>
      </c>
      <c r="Z168" s="6">
        <v>5</v>
      </c>
      <c r="AA168" s="6">
        <v>5</v>
      </c>
      <c r="AB168" s="6">
        <v>5</v>
      </c>
      <c r="AC168" s="254"/>
      <c r="AK168" s="255"/>
      <c r="AL168" s="255"/>
      <c r="AM168" s="14">
        <f>_DATA_Assessment_Model!AJ168</f>
        <v>0.9</v>
      </c>
      <c r="AN168" s="14">
        <f>_DATA_Assessment_Model!AK168</f>
        <v>0.9</v>
      </c>
      <c r="AO168" s="14">
        <f>_DATA_Assessment_Model!AL168</f>
        <v>0</v>
      </c>
      <c r="AP168" s="14">
        <f>_DATA_Assessment_Model!AM168</f>
        <v>0</v>
      </c>
      <c r="AQ168" s="14">
        <f>_DATA_Assessment_Model!AN168</f>
        <v>0</v>
      </c>
      <c r="AR168" s="14">
        <f>_DATA_Assessment_Model!AO168</f>
        <v>0</v>
      </c>
      <c r="AS168" s="14">
        <f>_DATA_Assessment_Model!AP168</f>
        <v>0</v>
      </c>
      <c r="AT168" s="14">
        <f>_DATA_Assessment_Model!AQ168</f>
        <v>0</v>
      </c>
      <c r="AU168" s="14" t="str">
        <f>_DATA_Assessment_Model!AR168</f>
        <v>Within target</v>
      </c>
      <c r="AV168" s="4">
        <f>_DATA_Assessment_Model!AS168</f>
        <v>0</v>
      </c>
      <c r="AW168" s="4">
        <f>_DATA_Assessment_Model!AT168</f>
        <v>0.9</v>
      </c>
      <c r="AX168" s="254"/>
      <c r="AY168">
        <f>_DATA_Assessment_Model!AV168</f>
        <v>0.9</v>
      </c>
    </row>
    <row r="169" spans="1:51" ht="82.85" customHeight="1">
      <c r="A169" t="s">
        <v>1666</v>
      </c>
      <c r="B169" t="s">
        <v>1666</v>
      </c>
      <c r="C169">
        <v>29</v>
      </c>
      <c r="D169" s="2" t="s">
        <v>1814</v>
      </c>
      <c r="E169" s="2" t="s">
        <v>1689</v>
      </c>
      <c r="F169" s="2" t="s">
        <v>1815</v>
      </c>
      <c r="G169" s="2" t="s">
        <v>1670</v>
      </c>
      <c r="H169" s="2" t="s">
        <v>1671</v>
      </c>
      <c r="I169" s="2" t="s">
        <v>1816</v>
      </c>
      <c r="J169" s="253">
        <v>5</v>
      </c>
      <c r="K169" s="49">
        <f>_DATA_Assessment_Model!H169</f>
        <v>0</v>
      </c>
      <c r="L169" s="3">
        <f>_DATA_Assessment_Model!I169</f>
        <v>0</v>
      </c>
      <c r="M169" s="3">
        <f>_DATA_Assessment_Model!J169</f>
        <v>5</v>
      </c>
      <c r="N169" s="3">
        <f>_DATA_Assessment_Model!K169</f>
        <v>5</v>
      </c>
      <c r="O169" s="2" t="str">
        <f>_DATA_Assessment_Model!L169</f>
        <v>Critical</v>
      </c>
      <c r="P169" s="2" t="s">
        <v>874</v>
      </c>
      <c r="Q169" s="2" t="s">
        <v>875</v>
      </c>
      <c r="R169" s="2" t="s">
        <v>876</v>
      </c>
      <c r="S169" s="2" t="s">
        <v>877</v>
      </c>
      <c r="T169" s="2" t="s">
        <v>878</v>
      </c>
      <c r="U169" s="2" t="s">
        <v>879</v>
      </c>
      <c r="V169" s="2" t="s">
        <v>1673</v>
      </c>
      <c r="W169" s="253"/>
      <c r="X169" s="253"/>
      <c r="Y169" s="253" t="s">
        <v>829</v>
      </c>
      <c r="Z169" s="6">
        <v>4</v>
      </c>
      <c r="AA169" s="6">
        <v>5</v>
      </c>
      <c r="AB169" s="6">
        <v>5</v>
      </c>
      <c r="AC169" s="254"/>
      <c r="AK169" s="255"/>
      <c r="AL169" s="255"/>
      <c r="AM169" s="14">
        <f>_DATA_Assessment_Model!AJ169</f>
        <v>0.9</v>
      </c>
      <c r="AN169" s="14">
        <f>_DATA_Assessment_Model!AK169</f>
        <v>0.9</v>
      </c>
      <c r="AO169" s="14">
        <f>_DATA_Assessment_Model!AL169</f>
        <v>0</v>
      </c>
      <c r="AP169" s="14">
        <f>_DATA_Assessment_Model!AM169</f>
        <v>0</v>
      </c>
      <c r="AQ169" s="14">
        <f>_DATA_Assessment_Model!AN169</f>
        <v>0</v>
      </c>
      <c r="AR169" s="14">
        <f>_DATA_Assessment_Model!AO169</f>
        <v>0</v>
      </c>
      <c r="AS169" s="14">
        <f>_DATA_Assessment_Model!AP169</f>
        <v>0</v>
      </c>
      <c r="AT169" s="14">
        <f>_DATA_Assessment_Model!AQ169</f>
        <v>0</v>
      </c>
      <c r="AU169" s="14" t="str">
        <f>_DATA_Assessment_Model!AR169</f>
        <v>Within target</v>
      </c>
      <c r="AV169" s="4">
        <f>_DATA_Assessment_Model!AS169</f>
        <v>0</v>
      </c>
      <c r="AW169" s="4">
        <f>_DATA_Assessment_Model!AT169</f>
        <v>0.9</v>
      </c>
      <c r="AX169" s="254"/>
      <c r="AY169">
        <f>_DATA_Assessment_Model!AV169</f>
        <v>0.9</v>
      </c>
    </row>
    <row r="170" spans="1:51" ht="69" customHeight="1">
      <c r="A170" t="s">
        <v>1666</v>
      </c>
      <c r="B170" t="s">
        <v>1666</v>
      </c>
      <c r="C170">
        <v>30</v>
      </c>
      <c r="D170" s="2" t="s">
        <v>1817</v>
      </c>
      <c r="E170" s="2" t="s">
        <v>1689</v>
      </c>
      <c r="F170" s="2" t="s">
        <v>1818</v>
      </c>
      <c r="G170" s="2" t="s">
        <v>1670</v>
      </c>
      <c r="H170" s="2" t="s">
        <v>1671</v>
      </c>
      <c r="I170" s="2" t="s">
        <v>1819</v>
      </c>
      <c r="J170" s="253">
        <v>5</v>
      </c>
      <c r="K170" s="49">
        <f>_DATA_Assessment_Model!H170</f>
        <v>0</v>
      </c>
      <c r="L170" s="3">
        <f>_DATA_Assessment_Model!I170</f>
        <v>0</v>
      </c>
      <c r="M170" s="3">
        <f>_DATA_Assessment_Model!J170</f>
        <v>5</v>
      </c>
      <c r="N170" s="3">
        <f>_DATA_Assessment_Model!K170</f>
        <v>5</v>
      </c>
      <c r="O170" s="2" t="str">
        <f>_DATA_Assessment_Model!L170</f>
        <v>Critical</v>
      </c>
      <c r="P170" s="2" t="s">
        <v>833</v>
      </c>
      <c r="Q170" s="2" t="s">
        <v>834</v>
      </c>
      <c r="R170" s="2" t="s">
        <v>835</v>
      </c>
      <c r="S170" s="2" t="s">
        <v>836</v>
      </c>
      <c r="T170" s="2" t="s">
        <v>837</v>
      </c>
      <c r="U170" s="2" t="s">
        <v>838</v>
      </c>
      <c r="V170" s="2" t="s">
        <v>1673</v>
      </c>
      <c r="W170" s="253"/>
      <c r="X170" s="253"/>
      <c r="Y170" s="253" t="s">
        <v>829</v>
      </c>
      <c r="Z170" s="6">
        <v>5</v>
      </c>
      <c r="AA170" s="6">
        <v>5</v>
      </c>
      <c r="AB170" s="6">
        <v>5</v>
      </c>
      <c r="AC170" s="254"/>
      <c r="AK170" s="255"/>
      <c r="AL170" s="255"/>
      <c r="AM170" s="14">
        <f>_DATA_Assessment_Model!AJ170</f>
        <v>0.9</v>
      </c>
      <c r="AN170" s="14">
        <f>_DATA_Assessment_Model!AK170</f>
        <v>0.9</v>
      </c>
      <c r="AO170" s="14">
        <f>_DATA_Assessment_Model!AL170</f>
        <v>0</v>
      </c>
      <c r="AP170" s="14">
        <f>_DATA_Assessment_Model!AM170</f>
        <v>0</v>
      </c>
      <c r="AQ170" s="14">
        <f>_DATA_Assessment_Model!AN170</f>
        <v>0</v>
      </c>
      <c r="AR170" s="14">
        <f>_DATA_Assessment_Model!AO170</f>
        <v>0</v>
      </c>
      <c r="AS170" s="14">
        <f>_DATA_Assessment_Model!AP170</f>
        <v>0</v>
      </c>
      <c r="AT170" s="14">
        <f>_DATA_Assessment_Model!AQ170</f>
        <v>0</v>
      </c>
      <c r="AU170" s="14" t="str">
        <f>_DATA_Assessment_Model!AR170</f>
        <v>Within target</v>
      </c>
      <c r="AV170" s="4">
        <f>_DATA_Assessment_Model!AS170</f>
        <v>0</v>
      </c>
      <c r="AW170" s="4">
        <f>_DATA_Assessment_Model!AT170</f>
        <v>0.9</v>
      </c>
      <c r="AX170" s="254"/>
      <c r="AY170">
        <f>_DATA_Assessment_Model!AV170</f>
        <v>0.9</v>
      </c>
    </row>
    <row r="171" spans="1:51" ht="69" customHeight="1">
      <c r="A171" t="s">
        <v>1666</v>
      </c>
      <c r="B171" t="s">
        <v>1666</v>
      </c>
      <c r="C171">
        <v>31</v>
      </c>
      <c r="D171" s="2" t="s">
        <v>1820</v>
      </c>
      <c r="E171" s="2" t="s">
        <v>1689</v>
      </c>
      <c r="F171" s="2" t="s">
        <v>1821</v>
      </c>
      <c r="G171" s="2" t="s">
        <v>1670</v>
      </c>
      <c r="H171" s="2" t="s">
        <v>1671</v>
      </c>
      <c r="I171" s="2" t="s">
        <v>1822</v>
      </c>
      <c r="J171" s="253">
        <v>5</v>
      </c>
      <c r="K171" s="49">
        <f>_DATA_Assessment_Model!H171</f>
        <v>0</v>
      </c>
      <c r="L171" s="3">
        <f>_DATA_Assessment_Model!I171</f>
        <v>0</v>
      </c>
      <c r="M171" s="3">
        <f>_DATA_Assessment_Model!J171</f>
        <v>5</v>
      </c>
      <c r="N171" s="3">
        <f>_DATA_Assessment_Model!K171</f>
        <v>5</v>
      </c>
      <c r="O171" s="2" t="str">
        <f>_DATA_Assessment_Model!L171</f>
        <v>Critical</v>
      </c>
      <c r="P171" s="2" t="s">
        <v>833</v>
      </c>
      <c r="Q171" s="2" t="s">
        <v>834</v>
      </c>
      <c r="R171" s="2" t="s">
        <v>835</v>
      </c>
      <c r="S171" s="2" t="s">
        <v>836</v>
      </c>
      <c r="T171" s="2" t="s">
        <v>837</v>
      </c>
      <c r="U171" s="2" t="s">
        <v>838</v>
      </c>
      <c r="V171" s="2" t="s">
        <v>1673</v>
      </c>
      <c r="W171" s="253"/>
      <c r="X171" s="253"/>
      <c r="Y171" s="253" t="s">
        <v>829</v>
      </c>
      <c r="Z171" s="6">
        <v>4</v>
      </c>
      <c r="AA171" s="6">
        <v>5</v>
      </c>
      <c r="AB171" s="6">
        <v>5</v>
      </c>
      <c r="AC171" s="254"/>
      <c r="AK171" s="255"/>
      <c r="AL171" s="255"/>
      <c r="AM171" s="14">
        <f>_DATA_Assessment_Model!AJ171</f>
        <v>0.9</v>
      </c>
      <c r="AN171" s="14">
        <f>_DATA_Assessment_Model!AK171</f>
        <v>0.9</v>
      </c>
      <c r="AO171" s="14">
        <f>_DATA_Assessment_Model!AL171</f>
        <v>0</v>
      </c>
      <c r="AP171" s="14">
        <f>_DATA_Assessment_Model!AM171</f>
        <v>0</v>
      </c>
      <c r="AQ171" s="14">
        <f>_DATA_Assessment_Model!AN171</f>
        <v>0</v>
      </c>
      <c r="AR171" s="14">
        <f>_DATA_Assessment_Model!AO171</f>
        <v>0</v>
      </c>
      <c r="AS171" s="14">
        <f>_DATA_Assessment_Model!AP171</f>
        <v>0</v>
      </c>
      <c r="AT171" s="14">
        <f>_DATA_Assessment_Model!AQ171</f>
        <v>0</v>
      </c>
      <c r="AU171" s="14" t="str">
        <f>_DATA_Assessment_Model!AR171</f>
        <v>Within target</v>
      </c>
      <c r="AV171" s="4">
        <f>_DATA_Assessment_Model!AS171</f>
        <v>0</v>
      </c>
      <c r="AW171" s="4">
        <f>_DATA_Assessment_Model!AT171</f>
        <v>0.9</v>
      </c>
      <c r="AX171" s="254"/>
      <c r="AY171">
        <f>_DATA_Assessment_Model!AV171</f>
        <v>0.9</v>
      </c>
    </row>
    <row r="172" spans="1:51" ht="82.85" customHeight="1">
      <c r="A172" t="s">
        <v>1666</v>
      </c>
      <c r="B172" t="s">
        <v>1666</v>
      </c>
      <c r="C172">
        <v>32</v>
      </c>
      <c r="D172" s="2" t="s">
        <v>1823</v>
      </c>
      <c r="E172" s="2" t="s">
        <v>1689</v>
      </c>
      <c r="F172" s="2" t="s">
        <v>1824</v>
      </c>
      <c r="G172" s="2" t="s">
        <v>1670</v>
      </c>
      <c r="H172" s="2" t="s">
        <v>1671</v>
      </c>
      <c r="I172" s="2" t="s">
        <v>1825</v>
      </c>
      <c r="J172" s="253">
        <v>5</v>
      </c>
      <c r="K172" s="49">
        <f>_DATA_Assessment_Model!H172</f>
        <v>0</v>
      </c>
      <c r="L172" s="3">
        <f>_DATA_Assessment_Model!I172</f>
        <v>0</v>
      </c>
      <c r="M172" s="3">
        <f>_DATA_Assessment_Model!J172</f>
        <v>5</v>
      </c>
      <c r="N172" s="3">
        <f>_DATA_Assessment_Model!K172</f>
        <v>5</v>
      </c>
      <c r="O172" s="2" t="str">
        <f>_DATA_Assessment_Model!L172</f>
        <v>Critical</v>
      </c>
      <c r="P172" s="2" t="s">
        <v>833</v>
      </c>
      <c r="Q172" s="2" t="s">
        <v>834</v>
      </c>
      <c r="R172" s="2" t="s">
        <v>835</v>
      </c>
      <c r="S172" s="2" t="s">
        <v>836</v>
      </c>
      <c r="T172" s="2" t="s">
        <v>837</v>
      </c>
      <c r="U172" s="2" t="s">
        <v>838</v>
      </c>
      <c r="V172" s="2" t="s">
        <v>1673</v>
      </c>
      <c r="W172" s="253"/>
      <c r="X172" s="253"/>
      <c r="Y172" s="253" t="s">
        <v>829</v>
      </c>
      <c r="Z172" s="6">
        <v>4</v>
      </c>
      <c r="AA172" s="6">
        <v>5</v>
      </c>
      <c r="AB172" s="6">
        <v>5</v>
      </c>
      <c r="AC172" s="254"/>
      <c r="AK172" s="255"/>
      <c r="AL172" s="255"/>
      <c r="AM172" s="14">
        <f>_DATA_Assessment_Model!AJ172</f>
        <v>0.9</v>
      </c>
      <c r="AN172" s="14">
        <f>_DATA_Assessment_Model!AK172</f>
        <v>0.9</v>
      </c>
      <c r="AO172" s="14">
        <f>_DATA_Assessment_Model!AL172</f>
        <v>0</v>
      </c>
      <c r="AP172" s="14">
        <f>_DATA_Assessment_Model!AM172</f>
        <v>0</v>
      </c>
      <c r="AQ172" s="14">
        <f>_DATA_Assessment_Model!AN172</f>
        <v>0</v>
      </c>
      <c r="AR172" s="14">
        <f>_DATA_Assessment_Model!AO172</f>
        <v>0</v>
      </c>
      <c r="AS172" s="14">
        <f>_DATA_Assessment_Model!AP172</f>
        <v>0</v>
      </c>
      <c r="AT172" s="14">
        <f>_DATA_Assessment_Model!AQ172</f>
        <v>0</v>
      </c>
      <c r="AU172" s="14" t="str">
        <f>_DATA_Assessment_Model!AR172</f>
        <v>Within target</v>
      </c>
      <c r="AV172" s="4">
        <f>_DATA_Assessment_Model!AS172</f>
        <v>0</v>
      </c>
      <c r="AW172" s="4">
        <f>_DATA_Assessment_Model!AT172</f>
        <v>0.9</v>
      </c>
      <c r="AX172" s="254"/>
      <c r="AY172">
        <f>_DATA_Assessment_Model!AV172</f>
        <v>0.9</v>
      </c>
    </row>
    <row r="173" spans="1:51" ht="99">
      <c r="A173" t="s">
        <v>1666</v>
      </c>
      <c r="B173" t="s">
        <v>1666</v>
      </c>
      <c r="C173">
        <v>33</v>
      </c>
      <c r="D173" t="s">
        <v>1826</v>
      </c>
      <c r="E173" t="s">
        <v>1693</v>
      </c>
      <c r="F173" s="2" t="s">
        <v>1827</v>
      </c>
      <c r="G173" s="2" t="s">
        <v>1828</v>
      </c>
      <c r="H173" t="s">
        <v>1829</v>
      </c>
      <c r="I173" t="s">
        <v>1672</v>
      </c>
      <c r="J173" s="254">
        <v>4</v>
      </c>
      <c r="K173">
        <f>_DATA_Assessment_Model!H173</f>
        <v>0</v>
      </c>
      <c r="L173">
        <f>_DATA_Assessment_Model!I173</f>
        <v>0</v>
      </c>
      <c r="M173">
        <f>_DATA_Assessment_Model!J173</f>
        <v>4</v>
      </c>
      <c r="N173">
        <f>_DATA_Assessment_Model!K173</f>
        <v>4</v>
      </c>
      <c r="O173" t="str">
        <f>_DATA_Assessment_Model!L173</f>
        <v>Critical</v>
      </c>
      <c r="P173" t="s">
        <v>1830</v>
      </c>
      <c r="Q173" t="s">
        <v>1831</v>
      </c>
      <c r="R173" t="s">
        <v>1832</v>
      </c>
      <c r="S173" t="s">
        <v>1833</v>
      </c>
      <c r="T173" t="s">
        <v>1834</v>
      </c>
      <c r="U173" t="s">
        <v>1835</v>
      </c>
      <c r="V173" t="s">
        <v>1836</v>
      </c>
      <c r="W173" s="254"/>
      <c r="X173" s="254"/>
      <c r="Y173" s="254" t="s">
        <v>829</v>
      </c>
      <c r="Z173">
        <v>4</v>
      </c>
      <c r="AA173">
        <v>4</v>
      </c>
      <c r="AB173">
        <v>5</v>
      </c>
      <c r="AC173" s="254"/>
      <c r="AK173" s="254"/>
      <c r="AL173" s="254"/>
      <c r="AM173">
        <f>_DATA_Assessment_Model!AJ173</f>
        <v>0.9</v>
      </c>
      <c r="AN173">
        <f>_DATA_Assessment_Model!AK173</f>
        <v>0.9</v>
      </c>
      <c r="AO173">
        <f>_DATA_Assessment_Model!AL173</f>
        <v>0</v>
      </c>
      <c r="AP173">
        <f>_DATA_Assessment_Model!AM173</f>
        <v>0</v>
      </c>
      <c r="AQ173">
        <f>_DATA_Assessment_Model!AN173</f>
        <v>0</v>
      </c>
      <c r="AR173">
        <f>_DATA_Assessment_Model!AO173</f>
        <v>0</v>
      </c>
      <c r="AS173">
        <f>_DATA_Assessment_Model!AP173</f>
        <v>0</v>
      </c>
      <c r="AT173">
        <f>_DATA_Assessment_Model!AQ173</f>
        <v>0</v>
      </c>
      <c r="AU173" t="str">
        <f>_DATA_Assessment_Model!AR173</f>
        <v>Within target</v>
      </c>
      <c r="AV173">
        <f>_DATA_Assessment_Model!AS173</f>
        <v>0</v>
      </c>
      <c r="AW173">
        <f>_DATA_Assessment_Model!AT173</f>
        <v>0.9</v>
      </c>
      <c r="AX173" s="254"/>
      <c r="AY173">
        <f>_DATA_Assessment_Model!AV173</f>
        <v>0.9</v>
      </c>
    </row>
    <row r="174" spans="1:51" ht="99">
      <c r="A174" t="s">
        <v>1666</v>
      </c>
      <c r="B174" t="s">
        <v>1666</v>
      </c>
      <c r="C174">
        <v>34</v>
      </c>
      <c r="D174" t="s">
        <v>1837</v>
      </c>
      <c r="E174" t="s">
        <v>1693</v>
      </c>
      <c r="F174" s="2" t="s">
        <v>1838</v>
      </c>
      <c r="G174" s="2" t="s">
        <v>1839</v>
      </c>
      <c r="H174" t="s">
        <v>1840</v>
      </c>
      <c r="I174" t="s">
        <v>1672</v>
      </c>
      <c r="J174" s="254">
        <v>3</v>
      </c>
      <c r="K174">
        <f>_DATA_Assessment_Model!H174</f>
        <v>0</v>
      </c>
      <c r="L174">
        <f>_DATA_Assessment_Model!I174</f>
        <v>0</v>
      </c>
      <c r="M174">
        <f>_DATA_Assessment_Model!J174</f>
        <v>3</v>
      </c>
      <c r="N174">
        <f>_DATA_Assessment_Model!K174</f>
        <v>3</v>
      </c>
      <c r="O174" t="str">
        <f>_DATA_Assessment_Model!L174</f>
        <v>Critical</v>
      </c>
      <c r="P174" t="s">
        <v>1841</v>
      </c>
      <c r="Q174" t="s">
        <v>1842</v>
      </c>
      <c r="R174" t="s">
        <v>1843</v>
      </c>
      <c r="S174" t="s">
        <v>1844</v>
      </c>
      <c r="T174" t="s">
        <v>1845</v>
      </c>
      <c r="U174" t="s">
        <v>1846</v>
      </c>
      <c r="V174" t="s">
        <v>1847</v>
      </c>
      <c r="W174" s="254"/>
      <c r="X174" s="254"/>
      <c r="Y174" s="254" t="s">
        <v>829</v>
      </c>
      <c r="Z174">
        <v>3</v>
      </c>
      <c r="AA174">
        <v>4</v>
      </c>
      <c r="AB174">
        <v>4</v>
      </c>
      <c r="AC174" s="254"/>
      <c r="AK174" s="254"/>
      <c r="AL174" s="254"/>
      <c r="AM174">
        <f>_DATA_Assessment_Model!AJ174</f>
        <v>0.9</v>
      </c>
      <c r="AN174">
        <f>_DATA_Assessment_Model!AK174</f>
        <v>0.9</v>
      </c>
      <c r="AO174">
        <f>_DATA_Assessment_Model!AL174</f>
        <v>0</v>
      </c>
      <c r="AP174">
        <f>_DATA_Assessment_Model!AM174</f>
        <v>0</v>
      </c>
      <c r="AQ174">
        <f>_DATA_Assessment_Model!AN174</f>
        <v>0</v>
      </c>
      <c r="AR174">
        <f>_DATA_Assessment_Model!AO174</f>
        <v>0</v>
      </c>
      <c r="AS174">
        <f>_DATA_Assessment_Model!AP174</f>
        <v>0</v>
      </c>
      <c r="AT174">
        <f>_DATA_Assessment_Model!AQ174</f>
        <v>0</v>
      </c>
      <c r="AU174" t="str">
        <f>_DATA_Assessment_Model!AR174</f>
        <v>Within target</v>
      </c>
      <c r="AV174">
        <f>_DATA_Assessment_Model!AS174</f>
        <v>0</v>
      </c>
      <c r="AW174">
        <f>_DATA_Assessment_Model!AT174</f>
        <v>0.9</v>
      </c>
      <c r="AX174" s="254"/>
      <c r="AY174">
        <f>_DATA_Assessment_Model!AV174</f>
        <v>0.9</v>
      </c>
    </row>
    <row r="175" spans="1:51" ht="99">
      <c r="A175" t="s">
        <v>1666</v>
      </c>
      <c r="B175" t="s">
        <v>1666</v>
      </c>
      <c r="C175">
        <v>35</v>
      </c>
      <c r="D175" t="s">
        <v>1848</v>
      </c>
      <c r="E175" t="s">
        <v>1693</v>
      </c>
      <c r="F175" s="2" t="s">
        <v>1849</v>
      </c>
      <c r="G175" s="2" t="s">
        <v>1850</v>
      </c>
      <c r="H175" t="s">
        <v>1851</v>
      </c>
      <c r="I175" t="s">
        <v>1672</v>
      </c>
      <c r="J175" s="254">
        <v>3</v>
      </c>
      <c r="K175">
        <f>_DATA_Assessment_Model!H175</f>
        <v>0</v>
      </c>
      <c r="L175">
        <f>_DATA_Assessment_Model!I175</f>
        <v>0</v>
      </c>
      <c r="M175">
        <f>_DATA_Assessment_Model!J175</f>
        <v>3</v>
      </c>
      <c r="N175">
        <f>_DATA_Assessment_Model!K175</f>
        <v>3</v>
      </c>
      <c r="O175" t="str">
        <f>_DATA_Assessment_Model!L175</f>
        <v>Critical</v>
      </c>
      <c r="P175" t="s">
        <v>1852</v>
      </c>
      <c r="Q175" t="s">
        <v>1853</v>
      </c>
      <c r="R175" t="s">
        <v>1854</v>
      </c>
      <c r="S175" t="s">
        <v>1855</v>
      </c>
      <c r="T175" t="s">
        <v>1856</v>
      </c>
      <c r="U175" t="s">
        <v>1857</v>
      </c>
      <c r="V175" t="s">
        <v>1858</v>
      </c>
      <c r="W175" s="254"/>
      <c r="X175" s="254"/>
      <c r="Y175" s="254" t="s">
        <v>829</v>
      </c>
      <c r="Z175">
        <v>3</v>
      </c>
      <c r="AA175">
        <v>3</v>
      </c>
      <c r="AB175">
        <v>4</v>
      </c>
      <c r="AC175" s="254"/>
      <c r="AK175" s="254"/>
      <c r="AL175" s="254"/>
      <c r="AM175">
        <f>_DATA_Assessment_Model!AJ175</f>
        <v>0.9</v>
      </c>
      <c r="AN175">
        <f>_DATA_Assessment_Model!AK175</f>
        <v>0.9</v>
      </c>
      <c r="AO175">
        <f>_DATA_Assessment_Model!AL175</f>
        <v>0</v>
      </c>
      <c r="AP175">
        <f>_DATA_Assessment_Model!AM175</f>
        <v>0</v>
      </c>
      <c r="AQ175">
        <f>_DATA_Assessment_Model!AN175</f>
        <v>0</v>
      </c>
      <c r="AR175">
        <f>_DATA_Assessment_Model!AO175</f>
        <v>0</v>
      </c>
      <c r="AS175">
        <f>_DATA_Assessment_Model!AP175</f>
        <v>0</v>
      </c>
      <c r="AT175">
        <f>_DATA_Assessment_Model!AQ175</f>
        <v>0</v>
      </c>
      <c r="AU175" t="str">
        <f>_DATA_Assessment_Model!AR175</f>
        <v>Within target</v>
      </c>
      <c r="AV175">
        <f>_DATA_Assessment_Model!AS175</f>
        <v>0</v>
      </c>
      <c r="AW175">
        <f>_DATA_Assessment_Model!AT175</f>
        <v>0.9</v>
      </c>
      <c r="AX175" s="254"/>
      <c r="AY175">
        <f>_DATA_Assessment_Model!AV175</f>
        <v>0.9</v>
      </c>
    </row>
    <row r="176" spans="1:51" ht="82.85" customHeight="1">
      <c r="A176" t="s">
        <v>1859</v>
      </c>
      <c r="B176" t="s">
        <v>1859</v>
      </c>
      <c r="C176">
        <v>5</v>
      </c>
      <c r="D176" s="2" t="s">
        <v>1860</v>
      </c>
      <c r="E176" s="2" t="s">
        <v>1861</v>
      </c>
      <c r="F176" s="2" t="s">
        <v>1862</v>
      </c>
      <c r="G176" s="2" t="s">
        <v>1863</v>
      </c>
      <c r="H176" s="2" t="s">
        <v>1864</v>
      </c>
      <c r="I176" s="2" t="s">
        <v>1865</v>
      </c>
      <c r="J176" s="253">
        <v>5</v>
      </c>
      <c r="K176" s="49">
        <f>_DATA_Assessment_Model!H176</f>
        <v>0</v>
      </c>
      <c r="L176" s="3">
        <f>_DATA_Assessment_Model!I176</f>
        <v>0</v>
      </c>
      <c r="M176" s="3">
        <f>_DATA_Assessment_Model!J176</f>
        <v>5</v>
      </c>
      <c r="N176" s="3">
        <f>_DATA_Assessment_Model!K176</f>
        <v>5</v>
      </c>
      <c r="O176" s="2" t="str">
        <f>_DATA_Assessment_Model!L176</f>
        <v>Critical</v>
      </c>
      <c r="P176" s="2" t="s">
        <v>833</v>
      </c>
      <c r="Q176" s="2" t="s">
        <v>834</v>
      </c>
      <c r="R176" s="2" t="s">
        <v>835</v>
      </c>
      <c r="S176" s="2" t="s">
        <v>836</v>
      </c>
      <c r="T176" s="2" t="s">
        <v>837</v>
      </c>
      <c r="U176" s="2" t="s">
        <v>838</v>
      </c>
      <c r="V176" s="2" t="s">
        <v>1866</v>
      </c>
      <c r="W176" s="253"/>
      <c r="X176" s="253"/>
      <c r="Y176" s="253" t="s">
        <v>829</v>
      </c>
      <c r="Z176" s="6">
        <v>4</v>
      </c>
      <c r="AA176" s="6">
        <v>5</v>
      </c>
      <c r="AB176" s="6">
        <v>5</v>
      </c>
      <c r="AC176" s="254"/>
      <c r="AD176" t="s">
        <v>1861</v>
      </c>
      <c r="AE176" s="5">
        <f>_DATA_Assessment_Model!AB176</f>
        <v>6</v>
      </c>
      <c r="AF176" s="7">
        <f>_DATA_Assessment_Model!AC176</f>
        <v>0</v>
      </c>
      <c r="AG176" s="8">
        <f>_DATA_Assessment_Model!AD176</f>
        <v>0</v>
      </c>
      <c r="AH176" s="5">
        <f>_DATA_Assessment_Model!AE176</f>
        <v>6</v>
      </c>
      <c r="AI176" s="7">
        <f>_DATA_Assessment_Model!AF176</f>
        <v>5</v>
      </c>
      <c r="AJ176" s="5">
        <f>_DATA_Assessment_Model!AG176</f>
        <v>6</v>
      </c>
      <c r="AK176" s="255"/>
      <c r="AL176" s="255"/>
      <c r="AM176" s="14">
        <f>_DATA_Assessment_Model!AJ176</f>
        <v>0.9</v>
      </c>
      <c r="AN176" s="14">
        <f>_DATA_Assessment_Model!AK176</f>
        <v>0.9</v>
      </c>
      <c r="AO176" s="14">
        <f>_DATA_Assessment_Model!AL176</f>
        <v>0</v>
      </c>
      <c r="AP176" s="14">
        <f>_DATA_Assessment_Model!AM176</f>
        <v>0</v>
      </c>
      <c r="AQ176" s="14">
        <f>_DATA_Assessment_Model!AN176</f>
        <v>0</v>
      </c>
      <c r="AR176" s="14">
        <f>_DATA_Assessment_Model!AO176</f>
        <v>0</v>
      </c>
      <c r="AS176" s="14">
        <f>_DATA_Assessment_Model!AP176</f>
        <v>0</v>
      </c>
      <c r="AT176" s="14">
        <f>_DATA_Assessment_Model!AQ176</f>
        <v>0</v>
      </c>
      <c r="AU176" s="14" t="str">
        <f>_DATA_Assessment_Model!AR176</f>
        <v>Within target</v>
      </c>
      <c r="AV176" s="4">
        <f>_DATA_Assessment_Model!AS176</f>
        <v>0</v>
      </c>
      <c r="AW176" s="4">
        <f>_DATA_Assessment_Model!AT176</f>
        <v>0.9</v>
      </c>
      <c r="AX176" s="254"/>
      <c r="AY176">
        <f>_DATA_Assessment_Model!AV176</f>
        <v>0.9</v>
      </c>
    </row>
    <row r="177" spans="1:51" ht="69" customHeight="1">
      <c r="A177" t="s">
        <v>1859</v>
      </c>
      <c r="B177" t="s">
        <v>1859</v>
      </c>
      <c r="C177">
        <v>6</v>
      </c>
      <c r="D177" s="2" t="s">
        <v>1867</v>
      </c>
      <c r="E177" s="2" t="s">
        <v>1861</v>
      </c>
      <c r="F177" s="2" t="s">
        <v>1868</v>
      </c>
      <c r="G177" s="2" t="s">
        <v>1863</v>
      </c>
      <c r="H177" s="2" t="s">
        <v>1864</v>
      </c>
      <c r="I177" s="2" t="s">
        <v>1869</v>
      </c>
      <c r="J177" s="253">
        <v>5</v>
      </c>
      <c r="K177" s="49">
        <f>_DATA_Assessment_Model!H177</f>
        <v>0</v>
      </c>
      <c r="L177" s="3">
        <f>_DATA_Assessment_Model!I177</f>
        <v>0</v>
      </c>
      <c r="M177" s="3">
        <f>_DATA_Assessment_Model!J177</f>
        <v>5</v>
      </c>
      <c r="N177" s="3">
        <f>_DATA_Assessment_Model!K177</f>
        <v>5</v>
      </c>
      <c r="O177" s="2" t="str">
        <f>_DATA_Assessment_Model!L177</f>
        <v>Critical</v>
      </c>
      <c r="P177" s="2" t="s">
        <v>833</v>
      </c>
      <c r="Q177" s="2" t="s">
        <v>834</v>
      </c>
      <c r="R177" s="2" t="s">
        <v>835</v>
      </c>
      <c r="S177" s="2" t="s">
        <v>836</v>
      </c>
      <c r="T177" s="2" t="s">
        <v>837</v>
      </c>
      <c r="U177" s="2" t="s">
        <v>838</v>
      </c>
      <c r="V177" s="2" t="s">
        <v>1866</v>
      </c>
      <c r="W177" s="253"/>
      <c r="X177" s="253"/>
      <c r="Y177" s="253" t="s">
        <v>829</v>
      </c>
      <c r="Z177" s="6">
        <v>4</v>
      </c>
      <c r="AA177" s="6">
        <v>5</v>
      </c>
      <c r="AB177" s="6">
        <v>5</v>
      </c>
      <c r="AC177" s="254"/>
      <c r="AD177" t="s">
        <v>1870</v>
      </c>
      <c r="AE177" s="5">
        <f>_DATA_Assessment_Model!AB177</f>
        <v>6</v>
      </c>
      <c r="AF177" s="7">
        <f>_DATA_Assessment_Model!AC177</f>
        <v>0</v>
      </c>
      <c r="AG177" s="8">
        <f>_DATA_Assessment_Model!AD177</f>
        <v>0</v>
      </c>
      <c r="AH177" s="5">
        <f>_DATA_Assessment_Model!AE177</f>
        <v>6</v>
      </c>
      <c r="AI177" s="7">
        <f>_DATA_Assessment_Model!AF177</f>
        <v>5</v>
      </c>
      <c r="AJ177" s="5">
        <f>_DATA_Assessment_Model!AG177</f>
        <v>6</v>
      </c>
      <c r="AK177" s="255"/>
      <c r="AL177" s="255"/>
      <c r="AM177" s="14">
        <f>_DATA_Assessment_Model!AJ177</f>
        <v>0.9</v>
      </c>
      <c r="AN177" s="14">
        <f>_DATA_Assessment_Model!AK177</f>
        <v>0.9</v>
      </c>
      <c r="AO177" s="14">
        <f>_DATA_Assessment_Model!AL177</f>
        <v>0</v>
      </c>
      <c r="AP177" s="14">
        <f>_DATA_Assessment_Model!AM177</f>
        <v>0</v>
      </c>
      <c r="AQ177" s="14">
        <f>_DATA_Assessment_Model!AN177</f>
        <v>0</v>
      </c>
      <c r="AR177" s="14">
        <f>_DATA_Assessment_Model!AO177</f>
        <v>0</v>
      </c>
      <c r="AS177" s="14">
        <f>_DATA_Assessment_Model!AP177</f>
        <v>0</v>
      </c>
      <c r="AT177" s="14">
        <f>_DATA_Assessment_Model!AQ177</f>
        <v>0</v>
      </c>
      <c r="AU177" s="14" t="str">
        <f>_DATA_Assessment_Model!AR177</f>
        <v>Within target</v>
      </c>
      <c r="AV177" s="4">
        <f>_DATA_Assessment_Model!AS177</f>
        <v>0</v>
      </c>
      <c r="AW177" s="4">
        <f>_DATA_Assessment_Model!AT177</f>
        <v>0.9</v>
      </c>
      <c r="AX177" s="254"/>
      <c r="AY177">
        <f>_DATA_Assessment_Model!AV177</f>
        <v>0.9</v>
      </c>
    </row>
    <row r="178" spans="1:51" ht="96.65" customHeight="1">
      <c r="A178" t="s">
        <v>1859</v>
      </c>
      <c r="B178" t="s">
        <v>1859</v>
      </c>
      <c r="C178">
        <v>7</v>
      </c>
      <c r="D178" s="2" t="s">
        <v>1871</v>
      </c>
      <c r="E178" s="2" t="s">
        <v>1861</v>
      </c>
      <c r="F178" s="2" t="s">
        <v>1872</v>
      </c>
      <c r="G178" s="2" t="s">
        <v>1863</v>
      </c>
      <c r="H178" s="2" t="s">
        <v>1864</v>
      </c>
      <c r="I178" s="2" t="s">
        <v>1873</v>
      </c>
      <c r="J178" s="253">
        <v>4</v>
      </c>
      <c r="K178" s="49">
        <f>_DATA_Assessment_Model!H178</f>
        <v>0</v>
      </c>
      <c r="L178" s="3">
        <f>_DATA_Assessment_Model!I178</f>
        <v>0</v>
      </c>
      <c r="M178" s="3">
        <f>_DATA_Assessment_Model!J178</f>
        <v>4</v>
      </c>
      <c r="N178" s="3">
        <f>_DATA_Assessment_Model!K178</f>
        <v>4</v>
      </c>
      <c r="O178" s="2" t="str">
        <f>_DATA_Assessment_Model!L178</f>
        <v>Critical</v>
      </c>
      <c r="P178" s="2" t="s">
        <v>1874</v>
      </c>
      <c r="Q178" s="2" t="s">
        <v>1875</v>
      </c>
      <c r="R178" s="2" t="s">
        <v>1876</v>
      </c>
      <c r="S178" s="2" t="s">
        <v>1877</v>
      </c>
      <c r="T178" s="2" t="s">
        <v>1878</v>
      </c>
      <c r="U178" s="2" t="s">
        <v>1879</v>
      </c>
      <c r="V178" s="2" t="s">
        <v>1866</v>
      </c>
      <c r="W178" s="253"/>
      <c r="X178" s="253"/>
      <c r="Y178" s="253" t="s">
        <v>829</v>
      </c>
      <c r="Z178" s="6">
        <v>4</v>
      </c>
      <c r="AA178" s="6">
        <v>5</v>
      </c>
      <c r="AB178" s="6">
        <v>5</v>
      </c>
      <c r="AC178" s="254"/>
      <c r="AD178" t="s">
        <v>1880</v>
      </c>
      <c r="AE178" s="5">
        <f>_DATA_Assessment_Model!AB178</f>
        <v>6</v>
      </c>
      <c r="AF178" s="7">
        <f>_DATA_Assessment_Model!AC178</f>
        <v>0</v>
      </c>
      <c r="AG178" s="8">
        <f>_DATA_Assessment_Model!AD178</f>
        <v>0</v>
      </c>
      <c r="AH178" s="5">
        <f>_DATA_Assessment_Model!AE178</f>
        <v>6</v>
      </c>
      <c r="AI178" s="7">
        <f>_DATA_Assessment_Model!AF178</f>
        <v>5</v>
      </c>
      <c r="AJ178" s="5">
        <f>_DATA_Assessment_Model!AG178</f>
        <v>6</v>
      </c>
      <c r="AK178" s="255"/>
      <c r="AL178" s="255"/>
      <c r="AM178" s="14">
        <f>_DATA_Assessment_Model!AJ178</f>
        <v>0.9</v>
      </c>
      <c r="AN178" s="14">
        <f>_DATA_Assessment_Model!AK178</f>
        <v>0.9</v>
      </c>
      <c r="AO178" s="14">
        <f>_DATA_Assessment_Model!AL178</f>
        <v>0</v>
      </c>
      <c r="AP178" s="14">
        <f>_DATA_Assessment_Model!AM178</f>
        <v>0</v>
      </c>
      <c r="AQ178" s="14">
        <f>_DATA_Assessment_Model!AN178</f>
        <v>0</v>
      </c>
      <c r="AR178" s="14">
        <f>_DATA_Assessment_Model!AO178</f>
        <v>0</v>
      </c>
      <c r="AS178" s="14">
        <f>_DATA_Assessment_Model!AP178</f>
        <v>0</v>
      </c>
      <c r="AT178" s="14">
        <f>_DATA_Assessment_Model!AQ178</f>
        <v>0</v>
      </c>
      <c r="AU178" s="14" t="str">
        <f>_DATA_Assessment_Model!AR178</f>
        <v>Within target</v>
      </c>
      <c r="AV178" s="4">
        <f>_DATA_Assessment_Model!AS178</f>
        <v>0</v>
      </c>
      <c r="AW178" s="4">
        <f>_DATA_Assessment_Model!AT178</f>
        <v>0.9</v>
      </c>
      <c r="AX178" s="254"/>
      <c r="AY178">
        <f>_DATA_Assessment_Model!AV178</f>
        <v>0.9</v>
      </c>
    </row>
    <row r="179" spans="1:51" ht="82.85" customHeight="1">
      <c r="A179" t="s">
        <v>1859</v>
      </c>
      <c r="B179" t="s">
        <v>1859</v>
      </c>
      <c r="C179">
        <v>8</v>
      </c>
      <c r="D179" s="2" t="s">
        <v>1881</v>
      </c>
      <c r="E179" s="2" t="s">
        <v>1861</v>
      </c>
      <c r="F179" s="2" t="s">
        <v>1882</v>
      </c>
      <c r="G179" s="2" t="s">
        <v>1863</v>
      </c>
      <c r="H179" s="2" t="s">
        <v>1864</v>
      </c>
      <c r="I179" s="2" t="s">
        <v>1883</v>
      </c>
      <c r="J179" s="253">
        <v>5</v>
      </c>
      <c r="K179" s="49">
        <f>_DATA_Assessment_Model!H179</f>
        <v>0</v>
      </c>
      <c r="L179" s="3">
        <f>_DATA_Assessment_Model!I179</f>
        <v>0</v>
      </c>
      <c r="M179" s="3">
        <f>_DATA_Assessment_Model!J179</f>
        <v>5</v>
      </c>
      <c r="N179" s="3">
        <f>_DATA_Assessment_Model!K179</f>
        <v>5</v>
      </c>
      <c r="O179" s="2" t="str">
        <f>_DATA_Assessment_Model!L179</f>
        <v>Critical</v>
      </c>
      <c r="P179" s="2" t="s">
        <v>833</v>
      </c>
      <c r="Q179" s="2" t="s">
        <v>834</v>
      </c>
      <c r="R179" s="2" t="s">
        <v>835</v>
      </c>
      <c r="S179" s="2" t="s">
        <v>836</v>
      </c>
      <c r="T179" s="2" t="s">
        <v>837</v>
      </c>
      <c r="U179" s="2" t="s">
        <v>838</v>
      </c>
      <c r="V179" s="2" t="s">
        <v>1866</v>
      </c>
      <c r="W179" s="253"/>
      <c r="X179" s="253"/>
      <c r="Y179" s="253" t="s">
        <v>829</v>
      </c>
      <c r="Z179" s="6">
        <v>4</v>
      </c>
      <c r="AA179" s="6">
        <v>5</v>
      </c>
      <c r="AB179" s="6">
        <v>5</v>
      </c>
      <c r="AC179" s="254"/>
      <c r="AD179" t="s">
        <v>1884</v>
      </c>
      <c r="AE179" s="5">
        <f>_DATA_Assessment_Model!AB179</f>
        <v>6</v>
      </c>
      <c r="AF179" s="7">
        <f>_DATA_Assessment_Model!AC179</f>
        <v>0</v>
      </c>
      <c r="AG179" s="8">
        <f>_DATA_Assessment_Model!AD179</f>
        <v>0</v>
      </c>
      <c r="AH179" s="5">
        <f>_DATA_Assessment_Model!AE179</f>
        <v>6</v>
      </c>
      <c r="AI179" s="7">
        <f>_DATA_Assessment_Model!AF179</f>
        <v>5</v>
      </c>
      <c r="AJ179" s="5">
        <f>_DATA_Assessment_Model!AG179</f>
        <v>6</v>
      </c>
      <c r="AK179" s="255"/>
      <c r="AL179" s="255"/>
      <c r="AM179" s="14">
        <f>_DATA_Assessment_Model!AJ179</f>
        <v>0.9</v>
      </c>
      <c r="AN179" s="14">
        <f>_DATA_Assessment_Model!AK179</f>
        <v>0.9</v>
      </c>
      <c r="AO179" s="14">
        <f>_DATA_Assessment_Model!AL179</f>
        <v>0</v>
      </c>
      <c r="AP179" s="14">
        <f>_DATA_Assessment_Model!AM179</f>
        <v>0</v>
      </c>
      <c r="AQ179" s="14">
        <f>_DATA_Assessment_Model!AN179</f>
        <v>0</v>
      </c>
      <c r="AR179" s="14">
        <f>_DATA_Assessment_Model!AO179</f>
        <v>0</v>
      </c>
      <c r="AS179" s="14">
        <f>_DATA_Assessment_Model!AP179</f>
        <v>0</v>
      </c>
      <c r="AT179" s="14">
        <f>_DATA_Assessment_Model!AQ179</f>
        <v>0</v>
      </c>
      <c r="AU179" s="14" t="str">
        <f>_DATA_Assessment_Model!AR179</f>
        <v>Within target</v>
      </c>
      <c r="AV179" s="4">
        <f>_DATA_Assessment_Model!AS179</f>
        <v>0</v>
      </c>
      <c r="AW179" s="4">
        <f>_DATA_Assessment_Model!AT179</f>
        <v>0.9</v>
      </c>
      <c r="AX179" s="254"/>
      <c r="AY179">
        <f>_DATA_Assessment_Model!AV179</f>
        <v>0.9</v>
      </c>
    </row>
    <row r="180" spans="1:51" ht="82.85" customHeight="1">
      <c r="A180" t="s">
        <v>1859</v>
      </c>
      <c r="B180" t="s">
        <v>1859</v>
      </c>
      <c r="C180">
        <v>9</v>
      </c>
      <c r="D180" s="2" t="s">
        <v>1885</v>
      </c>
      <c r="E180" s="2" t="s">
        <v>1861</v>
      </c>
      <c r="F180" s="2" t="s">
        <v>1886</v>
      </c>
      <c r="G180" s="2" t="s">
        <v>1863</v>
      </c>
      <c r="H180" s="2" t="s">
        <v>1864</v>
      </c>
      <c r="I180" s="2" t="s">
        <v>1887</v>
      </c>
      <c r="J180" s="253">
        <v>4</v>
      </c>
      <c r="K180" s="49">
        <f>_DATA_Assessment_Model!H180</f>
        <v>0</v>
      </c>
      <c r="L180" s="3">
        <f>_DATA_Assessment_Model!I180</f>
        <v>0</v>
      </c>
      <c r="M180" s="3">
        <f>_DATA_Assessment_Model!J180</f>
        <v>4</v>
      </c>
      <c r="N180" s="3">
        <f>_DATA_Assessment_Model!K180</f>
        <v>4</v>
      </c>
      <c r="O180" s="2" t="str">
        <f>_DATA_Assessment_Model!L180</f>
        <v>Critical</v>
      </c>
      <c r="P180" s="2" t="s">
        <v>1888</v>
      </c>
      <c r="Q180" s="2" t="s">
        <v>1889</v>
      </c>
      <c r="R180" s="2" t="s">
        <v>1890</v>
      </c>
      <c r="S180" s="2" t="s">
        <v>1891</v>
      </c>
      <c r="T180" s="2" t="s">
        <v>1892</v>
      </c>
      <c r="U180" s="2" t="s">
        <v>1893</v>
      </c>
      <c r="V180" s="2" t="s">
        <v>1866</v>
      </c>
      <c r="W180" s="253"/>
      <c r="X180" s="253"/>
      <c r="Y180" s="253" t="s">
        <v>829</v>
      </c>
      <c r="Z180" s="6">
        <v>4</v>
      </c>
      <c r="AA180" s="6">
        <v>5</v>
      </c>
      <c r="AB180" s="6">
        <v>5</v>
      </c>
      <c r="AC180" s="254"/>
      <c r="AK180" s="255"/>
      <c r="AL180" s="255"/>
      <c r="AM180" s="14">
        <f>_DATA_Assessment_Model!AJ180</f>
        <v>0.9</v>
      </c>
      <c r="AN180" s="14">
        <f>_DATA_Assessment_Model!AK180</f>
        <v>0.9</v>
      </c>
      <c r="AO180" s="14">
        <f>_DATA_Assessment_Model!AL180</f>
        <v>0</v>
      </c>
      <c r="AP180" s="14">
        <f>_DATA_Assessment_Model!AM180</f>
        <v>0</v>
      </c>
      <c r="AQ180" s="14">
        <f>_DATA_Assessment_Model!AN180</f>
        <v>0</v>
      </c>
      <c r="AR180" s="14">
        <f>_DATA_Assessment_Model!AO180</f>
        <v>0</v>
      </c>
      <c r="AS180" s="14">
        <f>_DATA_Assessment_Model!AP180</f>
        <v>0</v>
      </c>
      <c r="AT180" s="14">
        <f>_DATA_Assessment_Model!AQ180</f>
        <v>0</v>
      </c>
      <c r="AU180" s="14" t="str">
        <f>_DATA_Assessment_Model!AR180</f>
        <v>Within target</v>
      </c>
      <c r="AV180" s="4">
        <f>_DATA_Assessment_Model!AS180</f>
        <v>0</v>
      </c>
      <c r="AW180" s="4">
        <f>_DATA_Assessment_Model!AT180</f>
        <v>0.9</v>
      </c>
      <c r="AX180" s="254"/>
      <c r="AY180">
        <f>_DATA_Assessment_Model!AV180</f>
        <v>0.9</v>
      </c>
    </row>
    <row r="181" spans="1:51" ht="69" customHeight="1">
      <c r="A181" t="s">
        <v>1859</v>
      </c>
      <c r="B181" t="s">
        <v>1859</v>
      </c>
      <c r="C181">
        <v>10</v>
      </c>
      <c r="D181" s="2" t="s">
        <v>1894</v>
      </c>
      <c r="E181" s="2" t="s">
        <v>1861</v>
      </c>
      <c r="F181" s="2" t="s">
        <v>1895</v>
      </c>
      <c r="G181" s="2" t="s">
        <v>1863</v>
      </c>
      <c r="H181" s="2" t="s">
        <v>1864</v>
      </c>
      <c r="I181" s="2" t="s">
        <v>1896</v>
      </c>
      <c r="J181" s="253">
        <v>5</v>
      </c>
      <c r="K181" s="49">
        <f>_DATA_Assessment_Model!H181</f>
        <v>0</v>
      </c>
      <c r="L181" s="3">
        <f>_DATA_Assessment_Model!I181</f>
        <v>0</v>
      </c>
      <c r="M181" s="3">
        <f>_DATA_Assessment_Model!J181</f>
        <v>5</v>
      </c>
      <c r="N181" s="3">
        <f>_DATA_Assessment_Model!K181</f>
        <v>5</v>
      </c>
      <c r="O181" s="2" t="str">
        <f>_DATA_Assessment_Model!L181</f>
        <v>Critical</v>
      </c>
      <c r="P181" s="2" t="s">
        <v>833</v>
      </c>
      <c r="Q181" s="2" t="s">
        <v>834</v>
      </c>
      <c r="R181" s="2" t="s">
        <v>835</v>
      </c>
      <c r="S181" s="2" t="s">
        <v>836</v>
      </c>
      <c r="T181" s="2" t="s">
        <v>837</v>
      </c>
      <c r="U181" s="2" t="s">
        <v>838</v>
      </c>
      <c r="V181" s="2" t="s">
        <v>1866</v>
      </c>
      <c r="W181" s="253"/>
      <c r="X181" s="253"/>
      <c r="Y181" s="253" t="s">
        <v>829</v>
      </c>
      <c r="Z181" s="6">
        <v>4</v>
      </c>
      <c r="AA181" s="6">
        <v>5</v>
      </c>
      <c r="AB181" s="6">
        <v>5</v>
      </c>
      <c r="AC181" s="254"/>
      <c r="AK181" s="255"/>
      <c r="AL181" s="255"/>
      <c r="AM181" s="14">
        <f>_DATA_Assessment_Model!AJ181</f>
        <v>0.9</v>
      </c>
      <c r="AN181" s="14">
        <f>_DATA_Assessment_Model!AK181</f>
        <v>0.9</v>
      </c>
      <c r="AO181" s="14">
        <f>_DATA_Assessment_Model!AL181</f>
        <v>0</v>
      </c>
      <c r="AP181" s="14">
        <f>_DATA_Assessment_Model!AM181</f>
        <v>0</v>
      </c>
      <c r="AQ181" s="14">
        <f>_DATA_Assessment_Model!AN181</f>
        <v>0</v>
      </c>
      <c r="AR181" s="14">
        <f>_DATA_Assessment_Model!AO181</f>
        <v>0</v>
      </c>
      <c r="AS181" s="14">
        <f>_DATA_Assessment_Model!AP181</f>
        <v>0</v>
      </c>
      <c r="AT181" s="14">
        <f>_DATA_Assessment_Model!AQ181</f>
        <v>0</v>
      </c>
      <c r="AU181" s="14" t="str">
        <f>_DATA_Assessment_Model!AR181</f>
        <v>Within target</v>
      </c>
      <c r="AV181" s="4">
        <f>_DATA_Assessment_Model!AS181</f>
        <v>0</v>
      </c>
      <c r="AW181" s="4">
        <f>_DATA_Assessment_Model!AT181</f>
        <v>0.9</v>
      </c>
      <c r="AX181" s="254"/>
      <c r="AY181">
        <f>_DATA_Assessment_Model!AV181</f>
        <v>0.9</v>
      </c>
    </row>
    <row r="182" spans="1:51" ht="82.85" customHeight="1">
      <c r="A182" t="s">
        <v>1859</v>
      </c>
      <c r="B182" t="s">
        <v>1859</v>
      </c>
      <c r="C182">
        <v>11</v>
      </c>
      <c r="D182" s="2" t="s">
        <v>1897</v>
      </c>
      <c r="E182" s="2" t="s">
        <v>1870</v>
      </c>
      <c r="F182" s="2" t="s">
        <v>1898</v>
      </c>
      <c r="G182" s="2" t="s">
        <v>1863</v>
      </c>
      <c r="H182" s="2" t="s">
        <v>1864</v>
      </c>
      <c r="I182" s="2" t="s">
        <v>1899</v>
      </c>
      <c r="J182" s="253">
        <v>5</v>
      </c>
      <c r="K182" s="49">
        <f>_DATA_Assessment_Model!H182</f>
        <v>0</v>
      </c>
      <c r="L182" s="3">
        <f>_DATA_Assessment_Model!I182</f>
        <v>0</v>
      </c>
      <c r="M182" s="3">
        <f>_DATA_Assessment_Model!J182</f>
        <v>5</v>
      </c>
      <c r="N182" s="3">
        <f>_DATA_Assessment_Model!K182</f>
        <v>5</v>
      </c>
      <c r="O182" s="2" t="str">
        <f>_DATA_Assessment_Model!L182</f>
        <v>Critical</v>
      </c>
      <c r="P182" s="2" t="s">
        <v>874</v>
      </c>
      <c r="Q182" s="2" t="s">
        <v>875</v>
      </c>
      <c r="R182" s="2" t="s">
        <v>876</v>
      </c>
      <c r="S182" s="2" t="s">
        <v>877</v>
      </c>
      <c r="T182" s="2" t="s">
        <v>878</v>
      </c>
      <c r="U182" s="2" t="s">
        <v>879</v>
      </c>
      <c r="V182" s="2" t="s">
        <v>1866</v>
      </c>
      <c r="W182" s="253"/>
      <c r="X182" s="253"/>
      <c r="Y182" s="253" t="s">
        <v>829</v>
      </c>
      <c r="Z182" s="6">
        <v>5</v>
      </c>
      <c r="AA182" s="6">
        <v>5</v>
      </c>
      <c r="AB182" s="6">
        <v>5</v>
      </c>
      <c r="AC182" s="254"/>
      <c r="AK182" s="255"/>
      <c r="AL182" s="255"/>
      <c r="AM182" s="14">
        <f>_DATA_Assessment_Model!AJ182</f>
        <v>0.9</v>
      </c>
      <c r="AN182" s="14">
        <f>_DATA_Assessment_Model!AK182</f>
        <v>0.9</v>
      </c>
      <c r="AO182" s="14">
        <f>_DATA_Assessment_Model!AL182</f>
        <v>0</v>
      </c>
      <c r="AP182" s="14">
        <f>_DATA_Assessment_Model!AM182</f>
        <v>0</v>
      </c>
      <c r="AQ182" s="14">
        <f>_DATA_Assessment_Model!AN182</f>
        <v>0</v>
      </c>
      <c r="AR182" s="14">
        <f>_DATA_Assessment_Model!AO182</f>
        <v>0</v>
      </c>
      <c r="AS182" s="14">
        <f>_DATA_Assessment_Model!AP182</f>
        <v>0</v>
      </c>
      <c r="AT182" s="14">
        <f>_DATA_Assessment_Model!AQ182</f>
        <v>0</v>
      </c>
      <c r="AU182" s="14" t="str">
        <f>_DATA_Assessment_Model!AR182</f>
        <v>Within target</v>
      </c>
      <c r="AV182" s="4">
        <f>_DATA_Assessment_Model!AS182</f>
        <v>0</v>
      </c>
      <c r="AW182" s="4">
        <f>_DATA_Assessment_Model!AT182</f>
        <v>0.9</v>
      </c>
      <c r="AX182" s="254"/>
      <c r="AY182">
        <f>_DATA_Assessment_Model!AV182</f>
        <v>0.9</v>
      </c>
    </row>
    <row r="183" spans="1:51" ht="69" customHeight="1">
      <c r="A183" t="s">
        <v>1859</v>
      </c>
      <c r="B183" t="s">
        <v>1859</v>
      </c>
      <c r="C183">
        <v>12</v>
      </c>
      <c r="D183" s="2" t="s">
        <v>1900</v>
      </c>
      <c r="E183" s="2" t="s">
        <v>1870</v>
      </c>
      <c r="F183" s="2" t="s">
        <v>1901</v>
      </c>
      <c r="G183" s="2" t="s">
        <v>1863</v>
      </c>
      <c r="H183" s="2" t="s">
        <v>1864</v>
      </c>
      <c r="I183" s="2" t="s">
        <v>1902</v>
      </c>
      <c r="J183" s="253">
        <v>5</v>
      </c>
      <c r="K183" s="49">
        <f>_DATA_Assessment_Model!H183</f>
        <v>0</v>
      </c>
      <c r="L183" s="3">
        <f>_DATA_Assessment_Model!I183</f>
        <v>0</v>
      </c>
      <c r="M183" s="3">
        <f>_DATA_Assessment_Model!J183</f>
        <v>5</v>
      </c>
      <c r="N183" s="3">
        <f>_DATA_Assessment_Model!K183</f>
        <v>5</v>
      </c>
      <c r="O183" s="2" t="str">
        <f>_DATA_Assessment_Model!L183</f>
        <v>Critical</v>
      </c>
      <c r="P183" s="2" t="s">
        <v>833</v>
      </c>
      <c r="Q183" s="2" t="s">
        <v>834</v>
      </c>
      <c r="R183" s="2" t="s">
        <v>835</v>
      </c>
      <c r="S183" s="2" t="s">
        <v>836</v>
      </c>
      <c r="T183" s="2" t="s">
        <v>837</v>
      </c>
      <c r="U183" s="2" t="s">
        <v>838</v>
      </c>
      <c r="V183" s="2" t="s">
        <v>1866</v>
      </c>
      <c r="W183" s="253"/>
      <c r="X183" s="253"/>
      <c r="Y183" s="253" t="s">
        <v>829</v>
      </c>
      <c r="Z183" s="6">
        <v>4</v>
      </c>
      <c r="AA183" s="6">
        <v>5</v>
      </c>
      <c r="AB183" s="6">
        <v>5</v>
      </c>
      <c r="AC183" s="254"/>
      <c r="AK183" s="255"/>
      <c r="AL183" s="255"/>
      <c r="AM183" s="14">
        <f>_DATA_Assessment_Model!AJ183</f>
        <v>0.9</v>
      </c>
      <c r="AN183" s="14">
        <f>_DATA_Assessment_Model!AK183</f>
        <v>0.9</v>
      </c>
      <c r="AO183" s="14">
        <f>_DATA_Assessment_Model!AL183</f>
        <v>0</v>
      </c>
      <c r="AP183" s="14">
        <f>_DATA_Assessment_Model!AM183</f>
        <v>0</v>
      </c>
      <c r="AQ183" s="14">
        <f>_DATA_Assessment_Model!AN183</f>
        <v>0</v>
      </c>
      <c r="AR183" s="14">
        <f>_DATA_Assessment_Model!AO183</f>
        <v>0</v>
      </c>
      <c r="AS183" s="14">
        <f>_DATA_Assessment_Model!AP183</f>
        <v>0</v>
      </c>
      <c r="AT183" s="14">
        <f>_DATA_Assessment_Model!AQ183</f>
        <v>0</v>
      </c>
      <c r="AU183" s="14" t="str">
        <f>_DATA_Assessment_Model!AR183</f>
        <v>Within target</v>
      </c>
      <c r="AV183" s="4">
        <f>_DATA_Assessment_Model!AS183</f>
        <v>0</v>
      </c>
      <c r="AW183" s="4">
        <f>_DATA_Assessment_Model!AT183</f>
        <v>0.9</v>
      </c>
      <c r="AX183" s="254"/>
      <c r="AY183">
        <f>_DATA_Assessment_Model!AV183</f>
        <v>0.9</v>
      </c>
    </row>
    <row r="184" spans="1:51" ht="82.85" customHeight="1">
      <c r="A184" t="s">
        <v>1859</v>
      </c>
      <c r="B184" t="s">
        <v>1859</v>
      </c>
      <c r="C184">
        <v>13</v>
      </c>
      <c r="D184" s="2" t="s">
        <v>1903</v>
      </c>
      <c r="E184" s="2" t="s">
        <v>1870</v>
      </c>
      <c r="F184" s="2" t="s">
        <v>1904</v>
      </c>
      <c r="G184" s="2" t="s">
        <v>1863</v>
      </c>
      <c r="H184" s="2" t="s">
        <v>1864</v>
      </c>
      <c r="I184" s="2" t="s">
        <v>1905</v>
      </c>
      <c r="J184" s="253">
        <v>3</v>
      </c>
      <c r="K184" s="49">
        <f>_DATA_Assessment_Model!H184</f>
        <v>0</v>
      </c>
      <c r="L184" s="3">
        <f>_DATA_Assessment_Model!I184</f>
        <v>0</v>
      </c>
      <c r="M184" s="3">
        <f>_DATA_Assessment_Model!J184</f>
        <v>3</v>
      </c>
      <c r="N184" s="3">
        <f>_DATA_Assessment_Model!K184</f>
        <v>3</v>
      </c>
      <c r="O184" s="2" t="str">
        <f>_DATA_Assessment_Model!L184</f>
        <v>Critical</v>
      </c>
      <c r="P184" s="2" t="s">
        <v>1906</v>
      </c>
      <c r="Q184" s="2" t="s">
        <v>1907</v>
      </c>
      <c r="R184" s="2" t="s">
        <v>1908</v>
      </c>
      <c r="S184" s="2" t="s">
        <v>1909</v>
      </c>
      <c r="T184" s="2" t="s">
        <v>1910</v>
      </c>
      <c r="U184" s="2" t="s">
        <v>1911</v>
      </c>
      <c r="V184" s="2" t="s">
        <v>1866</v>
      </c>
      <c r="W184" s="253"/>
      <c r="X184" s="253"/>
      <c r="Y184" s="253" t="s">
        <v>829</v>
      </c>
      <c r="Z184" s="6">
        <v>4</v>
      </c>
      <c r="AA184" s="6">
        <v>5</v>
      </c>
      <c r="AB184" s="6">
        <v>5</v>
      </c>
      <c r="AC184" s="254"/>
      <c r="AK184" s="255"/>
      <c r="AL184" s="255"/>
      <c r="AM184" s="14">
        <f>_DATA_Assessment_Model!AJ184</f>
        <v>0.9</v>
      </c>
      <c r="AN184" s="14">
        <f>_DATA_Assessment_Model!AK184</f>
        <v>0.9</v>
      </c>
      <c r="AO184" s="14">
        <f>_DATA_Assessment_Model!AL184</f>
        <v>0</v>
      </c>
      <c r="AP184" s="14">
        <f>_DATA_Assessment_Model!AM184</f>
        <v>0</v>
      </c>
      <c r="AQ184" s="14">
        <f>_DATA_Assessment_Model!AN184</f>
        <v>0</v>
      </c>
      <c r="AR184" s="14">
        <f>_DATA_Assessment_Model!AO184</f>
        <v>0</v>
      </c>
      <c r="AS184" s="14">
        <f>_DATA_Assessment_Model!AP184</f>
        <v>0</v>
      </c>
      <c r="AT184" s="14">
        <f>_DATA_Assessment_Model!AQ184</f>
        <v>0</v>
      </c>
      <c r="AU184" s="14" t="str">
        <f>_DATA_Assessment_Model!AR184</f>
        <v>Within target</v>
      </c>
      <c r="AV184" s="4">
        <f>_DATA_Assessment_Model!AS184</f>
        <v>0</v>
      </c>
      <c r="AW184" s="4">
        <f>_DATA_Assessment_Model!AT184</f>
        <v>0.9</v>
      </c>
      <c r="AX184" s="254"/>
      <c r="AY184">
        <f>_DATA_Assessment_Model!AV184</f>
        <v>0.9</v>
      </c>
    </row>
    <row r="185" spans="1:51" ht="69" customHeight="1">
      <c r="A185" t="s">
        <v>1859</v>
      </c>
      <c r="B185" t="s">
        <v>1859</v>
      </c>
      <c r="C185">
        <v>14</v>
      </c>
      <c r="D185" s="2" t="s">
        <v>1912</v>
      </c>
      <c r="E185" s="2" t="s">
        <v>1870</v>
      </c>
      <c r="F185" s="2" t="s">
        <v>1913</v>
      </c>
      <c r="G185" s="2" t="s">
        <v>1863</v>
      </c>
      <c r="H185" s="2" t="s">
        <v>1864</v>
      </c>
      <c r="I185" s="2" t="s">
        <v>1914</v>
      </c>
      <c r="J185" s="253">
        <v>5</v>
      </c>
      <c r="K185" s="49">
        <f>_DATA_Assessment_Model!H185</f>
        <v>0</v>
      </c>
      <c r="L185" s="3">
        <f>_DATA_Assessment_Model!I185</f>
        <v>0</v>
      </c>
      <c r="M185" s="3">
        <f>_DATA_Assessment_Model!J185</f>
        <v>5</v>
      </c>
      <c r="N185" s="3">
        <f>_DATA_Assessment_Model!K185</f>
        <v>5</v>
      </c>
      <c r="O185" s="2" t="str">
        <f>_DATA_Assessment_Model!L185</f>
        <v>Critical</v>
      </c>
      <c r="P185" s="2" t="s">
        <v>833</v>
      </c>
      <c r="Q185" s="2" t="s">
        <v>834</v>
      </c>
      <c r="R185" s="2" t="s">
        <v>835</v>
      </c>
      <c r="S185" s="2" t="s">
        <v>836</v>
      </c>
      <c r="T185" s="2" t="s">
        <v>837</v>
      </c>
      <c r="U185" s="2" t="s">
        <v>838</v>
      </c>
      <c r="V185" s="2" t="s">
        <v>1866</v>
      </c>
      <c r="W185" s="253"/>
      <c r="X185" s="253"/>
      <c r="Y185" s="253" t="s">
        <v>829</v>
      </c>
      <c r="Z185" s="6">
        <v>4</v>
      </c>
      <c r="AA185" s="6">
        <v>5</v>
      </c>
      <c r="AB185" s="6">
        <v>5</v>
      </c>
      <c r="AC185" s="254"/>
      <c r="AK185" s="255"/>
      <c r="AL185" s="255"/>
      <c r="AM185" s="14">
        <f>_DATA_Assessment_Model!AJ185</f>
        <v>0.9</v>
      </c>
      <c r="AN185" s="14">
        <f>_DATA_Assessment_Model!AK185</f>
        <v>0.9</v>
      </c>
      <c r="AO185" s="14">
        <f>_DATA_Assessment_Model!AL185</f>
        <v>0</v>
      </c>
      <c r="AP185" s="14">
        <f>_DATA_Assessment_Model!AM185</f>
        <v>0</v>
      </c>
      <c r="AQ185" s="14">
        <f>_DATA_Assessment_Model!AN185</f>
        <v>0</v>
      </c>
      <c r="AR185" s="14">
        <f>_DATA_Assessment_Model!AO185</f>
        <v>0</v>
      </c>
      <c r="AS185" s="14">
        <f>_DATA_Assessment_Model!AP185</f>
        <v>0</v>
      </c>
      <c r="AT185" s="14">
        <f>_DATA_Assessment_Model!AQ185</f>
        <v>0</v>
      </c>
      <c r="AU185" s="14" t="str">
        <f>_DATA_Assessment_Model!AR185</f>
        <v>Within target</v>
      </c>
      <c r="AV185" s="4">
        <f>_DATA_Assessment_Model!AS185</f>
        <v>0</v>
      </c>
      <c r="AW185" s="4">
        <f>_DATA_Assessment_Model!AT185</f>
        <v>0.9</v>
      </c>
      <c r="AX185" s="254"/>
      <c r="AY185">
        <f>_DATA_Assessment_Model!AV185</f>
        <v>0.9</v>
      </c>
    </row>
    <row r="186" spans="1:51" ht="69" customHeight="1">
      <c r="A186" t="s">
        <v>1859</v>
      </c>
      <c r="B186" t="s">
        <v>1859</v>
      </c>
      <c r="C186">
        <v>15</v>
      </c>
      <c r="D186" s="2" t="s">
        <v>1915</v>
      </c>
      <c r="E186" s="2" t="s">
        <v>1870</v>
      </c>
      <c r="F186" s="2" t="s">
        <v>1916</v>
      </c>
      <c r="G186" s="2" t="s">
        <v>1863</v>
      </c>
      <c r="H186" s="2" t="s">
        <v>1864</v>
      </c>
      <c r="I186" s="2" t="s">
        <v>1917</v>
      </c>
      <c r="J186" s="253">
        <v>5</v>
      </c>
      <c r="K186" s="49">
        <f>_DATA_Assessment_Model!H186</f>
        <v>0</v>
      </c>
      <c r="L186" s="3">
        <f>_DATA_Assessment_Model!I186</f>
        <v>0</v>
      </c>
      <c r="M186" s="3">
        <f>_DATA_Assessment_Model!J186</f>
        <v>5</v>
      </c>
      <c r="N186" s="3">
        <f>_DATA_Assessment_Model!K186</f>
        <v>5</v>
      </c>
      <c r="O186" s="2" t="str">
        <f>_DATA_Assessment_Model!L186</f>
        <v>Critical</v>
      </c>
      <c r="P186" s="2" t="s">
        <v>833</v>
      </c>
      <c r="Q186" s="2" t="s">
        <v>834</v>
      </c>
      <c r="R186" s="2" t="s">
        <v>835</v>
      </c>
      <c r="S186" s="2" t="s">
        <v>836</v>
      </c>
      <c r="T186" s="2" t="s">
        <v>837</v>
      </c>
      <c r="U186" s="2" t="s">
        <v>838</v>
      </c>
      <c r="V186" s="2" t="s">
        <v>1866</v>
      </c>
      <c r="W186" s="253"/>
      <c r="X186" s="253"/>
      <c r="Y186" s="253" t="s">
        <v>829</v>
      </c>
      <c r="Z186" s="6">
        <v>4</v>
      </c>
      <c r="AA186" s="6">
        <v>5</v>
      </c>
      <c r="AB186" s="6">
        <v>5</v>
      </c>
      <c r="AC186" s="254"/>
      <c r="AK186" s="255"/>
      <c r="AL186" s="255"/>
      <c r="AM186" s="14">
        <f>_DATA_Assessment_Model!AJ186</f>
        <v>0.9</v>
      </c>
      <c r="AN186" s="14">
        <f>_DATA_Assessment_Model!AK186</f>
        <v>0.9</v>
      </c>
      <c r="AO186" s="14">
        <f>_DATA_Assessment_Model!AL186</f>
        <v>0</v>
      </c>
      <c r="AP186" s="14">
        <f>_DATA_Assessment_Model!AM186</f>
        <v>0</v>
      </c>
      <c r="AQ186" s="14">
        <f>_DATA_Assessment_Model!AN186</f>
        <v>0</v>
      </c>
      <c r="AR186" s="14">
        <f>_DATA_Assessment_Model!AO186</f>
        <v>0</v>
      </c>
      <c r="AS186" s="14">
        <f>_DATA_Assessment_Model!AP186</f>
        <v>0</v>
      </c>
      <c r="AT186" s="14">
        <f>_DATA_Assessment_Model!AQ186</f>
        <v>0</v>
      </c>
      <c r="AU186" s="14" t="str">
        <f>_DATA_Assessment_Model!AR186</f>
        <v>Within target</v>
      </c>
      <c r="AV186" s="4">
        <f>_DATA_Assessment_Model!AS186</f>
        <v>0</v>
      </c>
      <c r="AW186" s="4">
        <f>_DATA_Assessment_Model!AT186</f>
        <v>0.9</v>
      </c>
      <c r="AX186" s="254"/>
      <c r="AY186">
        <f>_DATA_Assessment_Model!AV186</f>
        <v>0.9</v>
      </c>
    </row>
    <row r="187" spans="1:51" ht="69" customHeight="1">
      <c r="A187" t="s">
        <v>1859</v>
      </c>
      <c r="B187" t="s">
        <v>1859</v>
      </c>
      <c r="C187">
        <v>16</v>
      </c>
      <c r="D187" s="2" t="s">
        <v>1918</v>
      </c>
      <c r="E187" s="2" t="s">
        <v>1870</v>
      </c>
      <c r="F187" s="2" t="s">
        <v>1919</v>
      </c>
      <c r="G187" s="2" t="s">
        <v>1863</v>
      </c>
      <c r="H187" s="2" t="s">
        <v>1864</v>
      </c>
      <c r="I187" s="2" t="s">
        <v>1920</v>
      </c>
      <c r="J187" s="253">
        <v>5</v>
      </c>
      <c r="K187" s="49">
        <f>_DATA_Assessment_Model!H187</f>
        <v>0</v>
      </c>
      <c r="L187" s="3">
        <f>_DATA_Assessment_Model!I187</f>
        <v>0</v>
      </c>
      <c r="M187" s="3">
        <f>_DATA_Assessment_Model!J187</f>
        <v>5</v>
      </c>
      <c r="N187" s="3">
        <f>_DATA_Assessment_Model!K187</f>
        <v>5</v>
      </c>
      <c r="O187" s="2" t="str">
        <f>_DATA_Assessment_Model!L187</f>
        <v>Critical</v>
      </c>
      <c r="P187" s="2" t="s">
        <v>1202</v>
      </c>
      <c r="Q187" s="2" t="s">
        <v>1203</v>
      </c>
      <c r="R187" s="2" t="s">
        <v>1204</v>
      </c>
      <c r="S187" s="2" t="s">
        <v>1205</v>
      </c>
      <c r="T187" s="2" t="s">
        <v>1206</v>
      </c>
      <c r="U187" s="2" t="s">
        <v>1207</v>
      </c>
      <c r="V187" s="2" t="s">
        <v>1866</v>
      </c>
      <c r="W187" s="253"/>
      <c r="X187" s="253"/>
      <c r="Y187" s="253" t="s">
        <v>829</v>
      </c>
      <c r="Z187" s="6">
        <v>4</v>
      </c>
      <c r="AA187" s="6">
        <v>5</v>
      </c>
      <c r="AB187" s="6">
        <v>5</v>
      </c>
      <c r="AC187" s="254"/>
      <c r="AK187" s="255"/>
      <c r="AL187" s="255"/>
      <c r="AM187" s="14">
        <f>_DATA_Assessment_Model!AJ187</f>
        <v>0.9</v>
      </c>
      <c r="AN187" s="14">
        <f>_DATA_Assessment_Model!AK187</f>
        <v>0.9</v>
      </c>
      <c r="AO187" s="14">
        <f>_DATA_Assessment_Model!AL187</f>
        <v>0</v>
      </c>
      <c r="AP187" s="14">
        <f>_DATA_Assessment_Model!AM187</f>
        <v>0</v>
      </c>
      <c r="AQ187" s="14">
        <f>_DATA_Assessment_Model!AN187</f>
        <v>0</v>
      </c>
      <c r="AR187" s="14">
        <f>_DATA_Assessment_Model!AO187</f>
        <v>0</v>
      </c>
      <c r="AS187" s="14">
        <f>_DATA_Assessment_Model!AP187</f>
        <v>0</v>
      </c>
      <c r="AT187" s="14">
        <f>_DATA_Assessment_Model!AQ187</f>
        <v>0</v>
      </c>
      <c r="AU187" s="14" t="str">
        <f>_DATA_Assessment_Model!AR187</f>
        <v>Within target</v>
      </c>
      <c r="AV187" s="4">
        <f>_DATA_Assessment_Model!AS187</f>
        <v>0</v>
      </c>
      <c r="AW187" s="4">
        <f>_DATA_Assessment_Model!AT187</f>
        <v>0.9</v>
      </c>
      <c r="AX187" s="254"/>
      <c r="AY187">
        <f>_DATA_Assessment_Model!AV187</f>
        <v>0.9</v>
      </c>
    </row>
    <row r="188" spans="1:51" ht="69" customHeight="1">
      <c r="A188" t="s">
        <v>1859</v>
      </c>
      <c r="B188" t="s">
        <v>1859</v>
      </c>
      <c r="C188">
        <v>17</v>
      </c>
      <c r="D188" s="2" t="s">
        <v>1921</v>
      </c>
      <c r="E188" s="2" t="s">
        <v>1880</v>
      </c>
      <c r="F188" s="2" t="s">
        <v>1922</v>
      </c>
      <c r="G188" s="2" t="s">
        <v>1863</v>
      </c>
      <c r="H188" s="2" t="s">
        <v>1864</v>
      </c>
      <c r="I188" s="2" t="s">
        <v>1923</v>
      </c>
      <c r="J188" s="253">
        <v>5</v>
      </c>
      <c r="K188" s="49">
        <f>_DATA_Assessment_Model!H188</f>
        <v>0</v>
      </c>
      <c r="L188" s="3">
        <f>_DATA_Assessment_Model!I188</f>
        <v>0</v>
      </c>
      <c r="M188" s="3">
        <f>_DATA_Assessment_Model!J188</f>
        <v>5</v>
      </c>
      <c r="N188" s="3">
        <f>_DATA_Assessment_Model!K188</f>
        <v>5</v>
      </c>
      <c r="O188" s="2" t="str">
        <f>_DATA_Assessment_Model!L188</f>
        <v>Critical</v>
      </c>
      <c r="P188" s="2" t="s">
        <v>833</v>
      </c>
      <c r="Q188" s="2" t="s">
        <v>834</v>
      </c>
      <c r="R188" s="2" t="s">
        <v>835</v>
      </c>
      <c r="S188" s="2" t="s">
        <v>836</v>
      </c>
      <c r="T188" s="2" t="s">
        <v>837</v>
      </c>
      <c r="U188" s="2" t="s">
        <v>838</v>
      </c>
      <c r="V188" s="2" t="s">
        <v>1866</v>
      </c>
      <c r="W188" s="253"/>
      <c r="X188" s="253"/>
      <c r="Y188" s="253" t="s">
        <v>829</v>
      </c>
      <c r="Z188" s="6">
        <v>4</v>
      </c>
      <c r="AA188" s="6">
        <v>5</v>
      </c>
      <c r="AB188" s="6">
        <v>5</v>
      </c>
      <c r="AC188" s="254"/>
      <c r="AK188" s="255"/>
      <c r="AL188" s="255"/>
      <c r="AM188" s="14">
        <f>_DATA_Assessment_Model!AJ188</f>
        <v>0.9</v>
      </c>
      <c r="AN188" s="14">
        <f>_DATA_Assessment_Model!AK188</f>
        <v>0.9</v>
      </c>
      <c r="AO188" s="14">
        <f>_DATA_Assessment_Model!AL188</f>
        <v>0</v>
      </c>
      <c r="AP188" s="14">
        <f>_DATA_Assessment_Model!AM188</f>
        <v>0</v>
      </c>
      <c r="AQ188" s="14">
        <f>_DATA_Assessment_Model!AN188</f>
        <v>0</v>
      </c>
      <c r="AR188" s="14">
        <f>_DATA_Assessment_Model!AO188</f>
        <v>0</v>
      </c>
      <c r="AS188" s="14">
        <f>_DATA_Assessment_Model!AP188</f>
        <v>0</v>
      </c>
      <c r="AT188" s="14">
        <f>_DATA_Assessment_Model!AQ188</f>
        <v>0</v>
      </c>
      <c r="AU188" s="14" t="str">
        <f>_DATA_Assessment_Model!AR188</f>
        <v>Within target</v>
      </c>
      <c r="AV188" s="4">
        <f>_DATA_Assessment_Model!AS188</f>
        <v>0</v>
      </c>
      <c r="AW188" s="4">
        <f>_DATA_Assessment_Model!AT188</f>
        <v>0.9</v>
      </c>
      <c r="AX188" s="254"/>
      <c r="AY188">
        <f>_DATA_Assessment_Model!AV188</f>
        <v>0.9</v>
      </c>
    </row>
    <row r="189" spans="1:51" ht="96.65" customHeight="1">
      <c r="A189" t="s">
        <v>1859</v>
      </c>
      <c r="B189" t="s">
        <v>1859</v>
      </c>
      <c r="C189">
        <v>18</v>
      </c>
      <c r="D189" s="2" t="s">
        <v>1924</v>
      </c>
      <c r="E189" s="2" t="s">
        <v>1880</v>
      </c>
      <c r="F189" s="2" t="s">
        <v>1925</v>
      </c>
      <c r="G189" s="2" t="s">
        <v>1863</v>
      </c>
      <c r="H189" s="2" t="s">
        <v>1864</v>
      </c>
      <c r="I189" s="2" t="s">
        <v>1926</v>
      </c>
      <c r="J189" s="253">
        <v>4</v>
      </c>
      <c r="K189" s="49">
        <f>_DATA_Assessment_Model!H189</f>
        <v>0</v>
      </c>
      <c r="L189" s="3">
        <f>_DATA_Assessment_Model!I189</f>
        <v>0</v>
      </c>
      <c r="M189" s="3">
        <f>_DATA_Assessment_Model!J189</f>
        <v>4</v>
      </c>
      <c r="N189" s="3">
        <f>_DATA_Assessment_Model!K189</f>
        <v>4</v>
      </c>
      <c r="O189" s="2" t="str">
        <f>_DATA_Assessment_Model!L189</f>
        <v>Critical</v>
      </c>
      <c r="P189" s="2" t="s">
        <v>1927</v>
      </c>
      <c r="Q189" s="2" t="s">
        <v>1928</v>
      </c>
      <c r="R189" s="2" t="s">
        <v>1929</v>
      </c>
      <c r="S189" s="2" t="s">
        <v>1930</v>
      </c>
      <c r="T189" s="2" t="s">
        <v>1931</v>
      </c>
      <c r="U189" s="2" t="s">
        <v>1932</v>
      </c>
      <c r="V189" s="2" t="s">
        <v>1866</v>
      </c>
      <c r="W189" s="253"/>
      <c r="X189" s="253"/>
      <c r="Y189" s="253" t="s">
        <v>829</v>
      </c>
      <c r="Z189" s="6">
        <v>4</v>
      </c>
      <c r="AA189" s="6">
        <v>5</v>
      </c>
      <c r="AB189" s="6">
        <v>5</v>
      </c>
      <c r="AC189" s="254"/>
      <c r="AK189" s="255"/>
      <c r="AL189" s="255"/>
      <c r="AM189" s="14">
        <f>_DATA_Assessment_Model!AJ189</f>
        <v>0.9</v>
      </c>
      <c r="AN189" s="14">
        <f>_DATA_Assessment_Model!AK189</f>
        <v>0.9</v>
      </c>
      <c r="AO189" s="14">
        <f>_DATA_Assessment_Model!AL189</f>
        <v>0</v>
      </c>
      <c r="AP189" s="14">
        <f>_DATA_Assessment_Model!AM189</f>
        <v>0</v>
      </c>
      <c r="AQ189" s="14">
        <f>_DATA_Assessment_Model!AN189</f>
        <v>0</v>
      </c>
      <c r="AR189" s="14">
        <f>_DATA_Assessment_Model!AO189</f>
        <v>0</v>
      </c>
      <c r="AS189" s="14">
        <f>_DATA_Assessment_Model!AP189</f>
        <v>0</v>
      </c>
      <c r="AT189" s="14">
        <f>_DATA_Assessment_Model!AQ189</f>
        <v>0</v>
      </c>
      <c r="AU189" s="14" t="str">
        <f>_DATA_Assessment_Model!AR189</f>
        <v>Within target</v>
      </c>
      <c r="AV189" s="4">
        <f>_DATA_Assessment_Model!AS189</f>
        <v>0</v>
      </c>
      <c r="AW189" s="4">
        <f>_DATA_Assessment_Model!AT189</f>
        <v>0.9</v>
      </c>
      <c r="AX189" s="254"/>
      <c r="AY189">
        <f>_DATA_Assessment_Model!AV189</f>
        <v>0.9</v>
      </c>
    </row>
    <row r="190" spans="1:51" ht="69" customHeight="1">
      <c r="A190" t="s">
        <v>1859</v>
      </c>
      <c r="B190" t="s">
        <v>1859</v>
      </c>
      <c r="C190">
        <v>19</v>
      </c>
      <c r="D190" s="2" t="s">
        <v>1933</v>
      </c>
      <c r="E190" s="2" t="s">
        <v>1880</v>
      </c>
      <c r="F190" s="2" t="s">
        <v>1934</v>
      </c>
      <c r="G190" s="2" t="s">
        <v>1863</v>
      </c>
      <c r="H190" s="2" t="s">
        <v>1864</v>
      </c>
      <c r="I190" s="2" t="s">
        <v>1935</v>
      </c>
      <c r="J190" s="253">
        <v>5</v>
      </c>
      <c r="K190" s="49">
        <f>_DATA_Assessment_Model!H190</f>
        <v>0</v>
      </c>
      <c r="L190" s="3">
        <f>_DATA_Assessment_Model!I190</f>
        <v>0</v>
      </c>
      <c r="M190" s="3">
        <f>_DATA_Assessment_Model!J190</f>
        <v>5</v>
      </c>
      <c r="N190" s="3">
        <f>_DATA_Assessment_Model!K190</f>
        <v>5</v>
      </c>
      <c r="O190" s="2" t="str">
        <f>_DATA_Assessment_Model!L190</f>
        <v>Critical</v>
      </c>
      <c r="P190" s="2" t="s">
        <v>833</v>
      </c>
      <c r="Q190" s="2" t="s">
        <v>834</v>
      </c>
      <c r="R190" s="2" t="s">
        <v>835</v>
      </c>
      <c r="S190" s="2" t="s">
        <v>836</v>
      </c>
      <c r="T190" s="2" t="s">
        <v>837</v>
      </c>
      <c r="U190" s="2" t="s">
        <v>838</v>
      </c>
      <c r="V190" s="2" t="s">
        <v>1866</v>
      </c>
      <c r="W190" s="253"/>
      <c r="X190" s="253"/>
      <c r="Y190" s="253" t="s">
        <v>829</v>
      </c>
      <c r="Z190" s="6">
        <v>4</v>
      </c>
      <c r="AA190" s="6">
        <v>5</v>
      </c>
      <c r="AB190" s="6">
        <v>5</v>
      </c>
      <c r="AC190" s="254"/>
      <c r="AK190" s="255"/>
      <c r="AL190" s="255"/>
      <c r="AM190" s="14">
        <f>_DATA_Assessment_Model!AJ190</f>
        <v>0.9</v>
      </c>
      <c r="AN190" s="14">
        <f>_DATA_Assessment_Model!AK190</f>
        <v>0.9</v>
      </c>
      <c r="AO190" s="14">
        <f>_DATA_Assessment_Model!AL190</f>
        <v>0</v>
      </c>
      <c r="AP190" s="14">
        <f>_DATA_Assessment_Model!AM190</f>
        <v>0</v>
      </c>
      <c r="AQ190" s="14">
        <f>_DATA_Assessment_Model!AN190</f>
        <v>0</v>
      </c>
      <c r="AR190" s="14">
        <f>_DATA_Assessment_Model!AO190</f>
        <v>0</v>
      </c>
      <c r="AS190" s="14">
        <f>_DATA_Assessment_Model!AP190</f>
        <v>0</v>
      </c>
      <c r="AT190" s="14">
        <f>_DATA_Assessment_Model!AQ190</f>
        <v>0</v>
      </c>
      <c r="AU190" s="14" t="str">
        <f>_DATA_Assessment_Model!AR190</f>
        <v>Within target</v>
      </c>
      <c r="AV190" s="4">
        <f>_DATA_Assessment_Model!AS190</f>
        <v>0</v>
      </c>
      <c r="AW190" s="4">
        <f>_DATA_Assessment_Model!AT190</f>
        <v>0.9</v>
      </c>
      <c r="AX190" s="254"/>
      <c r="AY190">
        <f>_DATA_Assessment_Model!AV190</f>
        <v>0.9</v>
      </c>
    </row>
    <row r="191" spans="1:51" ht="96.65" customHeight="1">
      <c r="A191" t="s">
        <v>1859</v>
      </c>
      <c r="B191" t="s">
        <v>1859</v>
      </c>
      <c r="C191">
        <v>20</v>
      </c>
      <c r="D191" s="2" t="s">
        <v>1936</v>
      </c>
      <c r="E191" s="2" t="s">
        <v>1880</v>
      </c>
      <c r="F191" s="2" t="s">
        <v>1937</v>
      </c>
      <c r="G191" s="2" t="s">
        <v>1863</v>
      </c>
      <c r="H191" s="2" t="s">
        <v>1864</v>
      </c>
      <c r="I191" s="2" t="s">
        <v>1938</v>
      </c>
      <c r="J191" s="253">
        <v>4</v>
      </c>
      <c r="K191" s="49">
        <f>_DATA_Assessment_Model!H191</f>
        <v>0</v>
      </c>
      <c r="L191" s="3">
        <f>_DATA_Assessment_Model!I191</f>
        <v>0</v>
      </c>
      <c r="M191" s="3">
        <f>_DATA_Assessment_Model!J191</f>
        <v>4</v>
      </c>
      <c r="N191" s="3">
        <f>_DATA_Assessment_Model!K191</f>
        <v>4</v>
      </c>
      <c r="O191" s="2" t="str">
        <f>_DATA_Assessment_Model!L191</f>
        <v>Critical</v>
      </c>
      <c r="P191" s="2" t="s">
        <v>1939</v>
      </c>
      <c r="Q191" s="2" t="s">
        <v>1940</v>
      </c>
      <c r="R191" s="2" t="s">
        <v>1941</v>
      </c>
      <c r="S191" s="2" t="s">
        <v>1942</v>
      </c>
      <c r="T191" s="2" t="s">
        <v>1943</v>
      </c>
      <c r="U191" s="2" t="s">
        <v>1944</v>
      </c>
      <c r="V191" s="2" t="s">
        <v>1866</v>
      </c>
      <c r="W191" s="253"/>
      <c r="X191" s="253"/>
      <c r="Y191" s="253" t="s">
        <v>829</v>
      </c>
      <c r="Z191" s="6">
        <v>4</v>
      </c>
      <c r="AA191" s="6">
        <v>5</v>
      </c>
      <c r="AB191" s="6">
        <v>5</v>
      </c>
      <c r="AC191" s="254"/>
      <c r="AK191" s="255"/>
      <c r="AL191" s="255"/>
      <c r="AM191" s="14">
        <f>_DATA_Assessment_Model!AJ191</f>
        <v>0.9</v>
      </c>
      <c r="AN191" s="14">
        <f>_DATA_Assessment_Model!AK191</f>
        <v>0.9</v>
      </c>
      <c r="AO191" s="14">
        <f>_DATA_Assessment_Model!AL191</f>
        <v>0</v>
      </c>
      <c r="AP191" s="14">
        <f>_DATA_Assessment_Model!AM191</f>
        <v>0</v>
      </c>
      <c r="AQ191" s="14">
        <f>_DATA_Assessment_Model!AN191</f>
        <v>0</v>
      </c>
      <c r="AR191" s="14">
        <f>_DATA_Assessment_Model!AO191</f>
        <v>0</v>
      </c>
      <c r="AS191" s="14">
        <f>_DATA_Assessment_Model!AP191</f>
        <v>0</v>
      </c>
      <c r="AT191" s="14">
        <f>_DATA_Assessment_Model!AQ191</f>
        <v>0</v>
      </c>
      <c r="AU191" s="14" t="str">
        <f>_DATA_Assessment_Model!AR191</f>
        <v>Within target</v>
      </c>
      <c r="AV191" s="4">
        <f>_DATA_Assessment_Model!AS191</f>
        <v>0</v>
      </c>
      <c r="AW191" s="4">
        <f>_DATA_Assessment_Model!AT191</f>
        <v>0.9</v>
      </c>
      <c r="AX191" s="254"/>
      <c r="AY191">
        <f>_DATA_Assessment_Model!AV191</f>
        <v>0.9</v>
      </c>
    </row>
    <row r="192" spans="1:51" ht="82.85" customHeight="1">
      <c r="A192" t="s">
        <v>1859</v>
      </c>
      <c r="B192" t="s">
        <v>1859</v>
      </c>
      <c r="C192">
        <v>21</v>
      </c>
      <c r="D192" s="2" t="s">
        <v>1945</v>
      </c>
      <c r="E192" s="2" t="s">
        <v>1880</v>
      </c>
      <c r="F192" s="2" t="s">
        <v>1946</v>
      </c>
      <c r="G192" s="2" t="s">
        <v>1863</v>
      </c>
      <c r="H192" s="2" t="s">
        <v>1864</v>
      </c>
      <c r="I192" s="2" t="s">
        <v>1947</v>
      </c>
      <c r="J192" s="253">
        <v>3</v>
      </c>
      <c r="K192" s="49">
        <f>_DATA_Assessment_Model!H192</f>
        <v>0</v>
      </c>
      <c r="L192" s="3">
        <f>_DATA_Assessment_Model!I192</f>
        <v>0</v>
      </c>
      <c r="M192" s="3">
        <f>_DATA_Assessment_Model!J192</f>
        <v>3</v>
      </c>
      <c r="N192" s="3">
        <f>_DATA_Assessment_Model!K192</f>
        <v>3</v>
      </c>
      <c r="O192" s="2" t="str">
        <f>_DATA_Assessment_Model!L192</f>
        <v>Critical</v>
      </c>
      <c r="P192" s="2" t="s">
        <v>1948</v>
      </c>
      <c r="Q192" s="2" t="s">
        <v>1949</v>
      </c>
      <c r="R192" s="2" t="s">
        <v>1950</v>
      </c>
      <c r="S192" s="2" t="s">
        <v>1951</v>
      </c>
      <c r="T192" s="2" t="s">
        <v>1952</v>
      </c>
      <c r="U192" s="2" t="s">
        <v>1953</v>
      </c>
      <c r="V192" s="2" t="s">
        <v>1866</v>
      </c>
      <c r="W192" s="253"/>
      <c r="X192" s="253"/>
      <c r="Y192" s="253" t="s">
        <v>829</v>
      </c>
      <c r="Z192" s="6">
        <v>4</v>
      </c>
      <c r="AA192" s="6">
        <v>5</v>
      </c>
      <c r="AB192" s="6">
        <v>5</v>
      </c>
      <c r="AC192" s="254"/>
      <c r="AK192" s="255"/>
      <c r="AL192" s="255"/>
      <c r="AM192" s="14">
        <f>_DATA_Assessment_Model!AJ192</f>
        <v>0.9</v>
      </c>
      <c r="AN192" s="14">
        <f>_DATA_Assessment_Model!AK192</f>
        <v>0.9</v>
      </c>
      <c r="AO192" s="14">
        <f>_DATA_Assessment_Model!AL192</f>
        <v>0</v>
      </c>
      <c r="AP192" s="14">
        <f>_DATA_Assessment_Model!AM192</f>
        <v>0</v>
      </c>
      <c r="AQ192" s="14">
        <f>_DATA_Assessment_Model!AN192</f>
        <v>0</v>
      </c>
      <c r="AR192" s="14">
        <f>_DATA_Assessment_Model!AO192</f>
        <v>0</v>
      </c>
      <c r="AS192" s="14">
        <f>_DATA_Assessment_Model!AP192</f>
        <v>0</v>
      </c>
      <c r="AT192" s="14">
        <f>_DATA_Assessment_Model!AQ192</f>
        <v>0</v>
      </c>
      <c r="AU192" s="14" t="str">
        <f>_DATA_Assessment_Model!AR192</f>
        <v>Within target</v>
      </c>
      <c r="AV192" s="4">
        <f>_DATA_Assessment_Model!AS192</f>
        <v>0</v>
      </c>
      <c r="AW192" s="4">
        <f>_DATA_Assessment_Model!AT192</f>
        <v>0.9</v>
      </c>
      <c r="AX192" s="254"/>
      <c r="AY192">
        <f>_DATA_Assessment_Model!AV192</f>
        <v>0.9</v>
      </c>
    </row>
    <row r="193" spans="1:51" ht="82.85" customHeight="1">
      <c r="A193" t="s">
        <v>1859</v>
      </c>
      <c r="B193" t="s">
        <v>1859</v>
      </c>
      <c r="C193">
        <v>22</v>
      </c>
      <c r="D193" s="2" t="s">
        <v>1954</v>
      </c>
      <c r="E193" s="2" t="s">
        <v>1880</v>
      </c>
      <c r="F193" s="2" t="s">
        <v>1955</v>
      </c>
      <c r="G193" s="2" t="s">
        <v>1863</v>
      </c>
      <c r="H193" s="2" t="s">
        <v>1864</v>
      </c>
      <c r="I193" s="2" t="s">
        <v>1956</v>
      </c>
      <c r="J193" s="253">
        <v>3</v>
      </c>
      <c r="K193" s="49">
        <f>_DATA_Assessment_Model!H193</f>
        <v>0</v>
      </c>
      <c r="L193" s="3">
        <f>_DATA_Assessment_Model!I193</f>
        <v>0</v>
      </c>
      <c r="M193" s="3">
        <f>_DATA_Assessment_Model!J193</f>
        <v>3</v>
      </c>
      <c r="N193" s="3">
        <f>_DATA_Assessment_Model!K193</f>
        <v>3</v>
      </c>
      <c r="O193" s="2" t="str">
        <f>_DATA_Assessment_Model!L193</f>
        <v>Critical</v>
      </c>
      <c r="P193" s="2" t="s">
        <v>1957</v>
      </c>
      <c r="Q193" s="2" t="s">
        <v>1958</v>
      </c>
      <c r="R193" s="2" t="s">
        <v>1959</v>
      </c>
      <c r="S193" s="2" t="s">
        <v>1960</v>
      </c>
      <c r="T193" s="2" t="s">
        <v>1961</v>
      </c>
      <c r="U193" s="2" t="s">
        <v>1962</v>
      </c>
      <c r="V193" s="2" t="s">
        <v>1866</v>
      </c>
      <c r="W193" s="253"/>
      <c r="X193" s="253"/>
      <c r="Y193" s="253" t="s">
        <v>829</v>
      </c>
      <c r="Z193" s="6">
        <v>4</v>
      </c>
      <c r="AA193" s="6">
        <v>5</v>
      </c>
      <c r="AB193" s="6">
        <v>5</v>
      </c>
      <c r="AC193" s="254"/>
      <c r="AK193" s="255"/>
      <c r="AL193" s="255"/>
      <c r="AM193" s="14">
        <f>_DATA_Assessment_Model!AJ193</f>
        <v>0.9</v>
      </c>
      <c r="AN193" s="14">
        <f>_DATA_Assessment_Model!AK193</f>
        <v>0.9</v>
      </c>
      <c r="AO193" s="14">
        <f>_DATA_Assessment_Model!AL193</f>
        <v>0</v>
      </c>
      <c r="AP193" s="14">
        <f>_DATA_Assessment_Model!AM193</f>
        <v>0</v>
      </c>
      <c r="AQ193" s="14">
        <f>_DATA_Assessment_Model!AN193</f>
        <v>0</v>
      </c>
      <c r="AR193" s="14">
        <f>_DATA_Assessment_Model!AO193</f>
        <v>0</v>
      </c>
      <c r="AS193" s="14">
        <f>_DATA_Assessment_Model!AP193</f>
        <v>0</v>
      </c>
      <c r="AT193" s="14">
        <f>_DATA_Assessment_Model!AQ193</f>
        <v>0</v>
      </c>
      <c r="AU193" s="14" t="str">
        <f>_DATA_Assessment_Model!AR193</f>
        <v>Within target</v>
      </c>
      <c r="AV193" s="4">
        <f>_DATA_Assessment_Model!AS193</f>
        <v>0</v>
      </c>
      <c r="AW193" s="4">
        <f>_DATA_Assessment_Model!AT193</f>
        <v>0.9</v>
      </c>
      <c r="AX193" s="254"/>
      <c r="AY193">
        <f>_DATA_Assessment_Model!AV193</f>
        <v>0.9</v>
      </c>
    </row>
    <row r="194" spans="1:51" ht="82.85" customHeight="1">
      <c r="A194" t="s">
        <v>1859</v>
      </c>
      <c r="B194" t="s">
        <v>1859</v>
      </c>
      <c r="C194">
        <v>23</v>
      </c>
      <c r="D194" s="2" t="s">
        <v>1963</v>
      </c>
      <c r="E194" s="2" t="s">
        <v>1884</v>
      </c>
      <c r="F194" s="2" t="s">
        <v>1964</v>
      </c>
      <c r="G194" s="2" t="s">
        <v>1863</v>
      </c>
      <c r="H194" s="2" t="s">
        <v>1864</v>
      </c>
      <c r="I194" s="2" t="s">
        <v>1965</v>
      </c>
      <c r="J194" s="253">
        <v>5</v>
      </c>
      <c r="K194" s="49">
        <f>_DATA_Assessment_Model!H194</f>
        <v>0</v>
      </c>
      <c r="L194" s="3">
        <f>_DATA_Assessment_Model!I194</f>
        <v>0</v>
      </c>
      <c r="M194" s="3">
        <f>_DATA_Assessment_Model!J194</f>
        <v>5</v>
      </c>
      <c r="N194" s="3">
        <f>_DATA_Assessment_Model!K194</f>
        <v>5</v>
      </c>
      <c r="O194" s="2" t="str">
        <f>_DATA_Assessment_Model!L194</f>
        <v>Critical</v>
      </c>
      <c r="P194" s="2" t="s">
        <v>1069</v>
      </c>
      <c r="Q194" s="2" t="s">
        <v>1070</v>
      </c>
      <c r="R194" s="2" t="s">
        <v>1071</v>
      </c>
      <c r="S194" s="2" t="s">
        <v>1072</v>
      </c>
      <c r="T194" s="2" t="s">
        <v>1073</v>
      </c>
      <c r="U194" s="2" t="s">
        <v>1074</v>
      </c>
      <c r="V194" s="2" t="s">
        <v>1866</v>
      </c>
      <c r="W194" s="253"/>
      <c r="X194" s="253"/>
      <c r="Y194" s="253" t="s">
        <v>829</v>
      </c>
      <c r="Z194" s="6">
        <v>4</v>
      </c>
      <c r="AA194" s="6">
        <v>5</v>
      </c>
      <c r="AB194" s="6">
        <v>5</v>
      </c>
      <c r="AC194" s="254"/>
      <c r="AK194" s="255"/>
      <c r="AL194" s="255"/>
      <c r="AM194" s="14">
        <f>_DATA_Assessment_Model!AJ194</f>
        <v>0.9</v>
      </c>
      <c r="AN194" s="14">
        <f>_DATA_Assessment_Model!AK194</f>
        <v>0.9</v>
      </c>
      <c r="AO194" s="14">
        <f>_DATA_Assessment_Model!AL194</f>
        <v>0</v>
      </c>
      <c r="AP194" s="14">
        <f>_DATA_Assessment_Model!AM194</f>
        <v>0</v>
      </c>
      <c r="AQ194" s="14">
        <f>_DATA_Assessment_Model!AN194</f>
        <v>0</v>
      </c>
      <c r="AR194" s="14">
        <f>_DATA_Assessment_Model!AO194</f>
        <v>0</v>
      </c>
      <c r="AS194" s="14">
        <f>_DATA_Assessment_Model!AP194</f>
        <v>0</v>
      </c>
      <c r="AT194" s="14">
        <f>_DATA_Assessment_Model!AQ194</f>
        <v>0</v>
      </c>
      <c r="AU194" s="14" t="str">
        <f>_DATA_Assessment_Model!AR194</f>
        <v>Within target</v>
      </c>
      <c r="AV194" s="4">
        <f>_DATA_Assessment_Model!AS194</f>
        <v>0</v>
      </c>
      <c r="AW194" s="4">
        <f>_DATA_Assessment_Model!AT194</f>
        <v>0.9</v>
      </c>
      <c r="AX194" s="254"/>
      <c r="AY194">
        <f>_DATA_Assessment_Model!AV194</f>
        <v>0.9</v>
      </c>
    </row>
    <row r="195" spans="1:51" ht="82.85" customHeight="1">
      <c r="A195" t="s">
        <v>1859</v>
      </c>
      <c r="B195" t="s">
        <v>1859</v>
      </c>
      <c r="C195">
        <v>24</v>
      </c>
      <c r="D195" s="2" t="s">
        <v>1966</v>
      </c>
      <c r="E195" s="2" t="s">
        <v>1884</v>
      </c>
      <c r="F195" s="2" t="s">
        <v>1967</v>
      </c>
      <c r="G195" s="2" t="s">
        <v>1863</v>
      </c>
      <c r="H195" s="2" t="s">
        <v>1864</v>
      </c>
      <c r="I195" s="2" t="s">
        <v>1968</v>
      </c>
      <c r="J195" s="253">
        <v>5</v>
      </c>
      <c r="K195" s="49">
        <f>_DATA_Assessment_Model!H195</f>
        <v>0</v>
      </c>
      <c r="L195" s="3">
        <f>_DATA_Assessment_Model!I195</f>
        <v>0</v>
      </c>
      <c r="M195" s="3">
        <f>_DATA_Assessment_Model!J195</f>
        <v>5</v>
      </c>
      <c r="N195" s="3">
        <f>_DATA_Assessment_Model!K195</f>
        <v>5</v>
      </c>
      <c r="O195" s="2" t="str">
        <f>_DATA_Assessment_Model!L195</f>
        <v>Critical</v>
      </c>
      <c r="P195" s="2" t="s">
        <v>1069</v>
      </c>
      <c r="Q195" s="2" t="s">
        <v>1070</v>
      </c>
      <c r="R195" s="2" t="s">
        <v>1071</v>
      </c>
      <c r="S195" s="2" t="s">
        <v>1072</v>
      </c>
      <c r="T195" s="2" t="s">
        <v>1073</v>
      </c>
      <c r="U195" s="2" t="s">
        <v>1074</v>
      </c>
      <c r="V195" s="2" t="s">
        <v>1866</v>
      </c>
      <c r="W195" s="253"/>
      <c r="X195" s="253"/>
      <c r="Y195" s="253" t="s">
        <v>829</v>
      </c>
      <c r="Z195" s="6">
        <v>4</v>
      </c>
      <c r="AA195" s="6">
        <v>5</v>
      </c>
      <c r="AB195" s="6">
        <v>5</v>
      </c>
      <c r="AC195" s="254"/>
      <c r="AK195" s="255"/>
      <c r="AL195" s="255"/>
      <c r="AM195" s="14">
        <f>_DATA_Assessment_Model!AJ195</f>
        <v>0.9</v>
      </c>
      <c r="AN195" s="14">
        <f>_DATA_Assessment_Model!AK195</f>
        <v>0.9</v>
      </c>
      <c r="AO195" s="14">
        <f>_DATA_Assessment_Model!AL195</f>
        <v>0</v>
      </c>
      <c r="AP195" s="14">
        <f>_DATA_Assessment_Model!AM195</f>
        <v>0</v>
      </c>
      <c r="AQ195" s="14">
        <f>_DATA_Assessment_Model!AN195</f>
        <v>0</v>
      </c>
      <c r="AR195" s="14">
        <f>_DATA_Assessment_Model!AO195</f>
        <v>0</v>
      </c>
      <c r="AS195" s="14">
        <f>_DATA_Assessment_Model!AP195</f>
        <v>0</v>
      </c>
      <c r="AT195" s="14">
        <f>_DATA_Assessment_Model!AQ195</f>
        <v>0</v>
      </c>
      <c r="AU195" s="14" t="str">
        <f>_DATA_Assessment_Model!AR195</f>
        <v>Within target</v>
      </c>
      <c r="AV195" s="4">
        <f>_DATA_Assessment_Model!AS195</f>
        <v>0</v>
      </c>
      <c r="AW195" s="4">
        <f>_DATA_Assessment_Model!AT195</f>
        <v>0.9</v>
      </c>
      <c r="AX195" s="254"/>
      <c r="AY195">
        <f>_DATA_Assessment_Model!AV195</f>
        <v>0.9</v>
      </c>
    </row>
    <row r="196" spans="1:51" ht="96.65" customHeight="1">
      <c r="A196" t="s">
        <v>1859</v>
      </c>
      <c r="B196" t="s">
        <v>1859</v>
      </c>
      <c r="C196">
        <v>25</v>
      </c>
      <c r="D196" s="2" t="s">
        <v>1969</v>
      </c>
      <c r="E196" s="2" t="s">
        <v>1884</v>
      </c>
      <c r="F196" s="2" t="s">
        <v>1970</v>
      </c>
      <c r="G196" s="2" t="s">
        <v>1863</v>
      </c>
      <c r="H196" s="2" t="s">
        <v>1864</v>
      </c>
      <c r="I196" s="2" t="s">
        <v>1971</v>
      </c>
      <c r="J196" s="253">
        <v>4</v>
      </c>
      <c r="K196" s="49">
        <f>_DATA_Assessment_Model!H196</f>
        <v>0</v>
      </c>
      <c r="L196" s="3">
        <f>_DATA_Assessment_Model!I196</f>
        <v>0</v>
      </c>
      <c r="M196" s="3">
        <f>_DATA_Assessment_Model!J196</f>
        <v>4</v>
      </c>
      <c r="N196" s="3">
        <f>_DATA_Assessment_Model!K196</f>
        <v>4</v>
      </c>
      <c r="O196" s="2" t="str">
        <f>_DATA_Assessment_Model!L196</f>
        <v>Critical</v>
      </c>
      <c r="P196" s="2" t="s">
        <v>1972</v>
      </c>
      <c r="Q196" s="2" t="s">
        <v>1973</v>
      </c>
      <c r="R196" s="2" t="s">
        <v>1974</v>
      </c>
      <c r="S196" s="2" t="s">
        <v>1975</v>
      </c>
      <c r="T196" s="2" t="s">
        <v>1976</v>
      </c>
      <c r="U196" s="2" t="s">
        <v>1977</v>
      </c>
      <c r="V196" s="2" t="s">
        <v>1866</v>
      </c>
      <c r="W196" s="253"/>
      <c r="X196" s="253"/>
      <c r="Y196" s="253" t="s">
        <v>829</v>
      </c>
      <c r="Z196" s="6">
        <v>4</v>
      </c>
      <c r="AA196" s="6">
        <v>5</v>
      </c>
      <c r="AB196" s="6">
        <v>5</v>
      </c>
      <c r="AC196" s="254"/>
      <c r="AK196" s="255"/>
      <c r="AL196" s="255"/>
      <c r="AM196" s="14">
        <f>_DATA_Assessment_Model!AJ196</f>
        <v>0.9</v>
      </c>
      <c r="AN196" s="14">
        <f>_DATA_Assessment_Model!AK196</f>
        <v>0.9</v>
      </c>
      <c r="AO196" s="14">
        <f>_DATA_Assessment_Model!AL196</f>
        <v>0</v>
      </c>
      <c r="AP196" s="14">
        <f>_DATA_Assessment_Model!AM196</f>
        <v>0</v>
      </c>
      <c r="AQ196" s="14">
        <f>_DATA_Assessment_Model!AN196</f>
        <v>0</v>
      </c>
      <c r="AR196" s="14">
        <f>_DATA_Assessment_Model!AO196</f>
        <v>0</v>
      </c>
      <c r="AS196" s="14">
        <f>_DATA_Assessment_Model!AP196</f>
        <v>0</v>
      </c>
      <c r="AT196" s="14">
        <f>_DATA_Assessment_Model!AQ196</f>
        <v>0</v>
      </c>
      <c r="AU196" s="14" t="str">
        <f>_DATA_Assessment_Model!AR196</f>
        <v>Within target</v>
      </c>
      <c r="AV196" s="4">
        <f>_DATA_Assessment_Model!AS196</f>
        <v>0</v>
      </c>
      <c r="AW196" s="4">
        <f>_DATA_Assessment_Model!AT196</f>
        <v>0.9</v>
      </c>
      <c r="AX196" s="254"/>
      <c r="AY196">
        <f>_DATA_Assessment_Model!AV196</f>
        <v>0.9</v>
      </c>
    </row>
    <row r="197" spans="1:51" ht="69" customHeight="1">
      <c r="A197" t="s">
        <v>1859</v>
      </c>
      <c r="B197" t="s">
        <v>1859</v>
      </c>
      <c r="C197">
        <v>26</v>
      </c>
      <c r="D197" s="2" t="s">
        <v>1978</v>
      </c>
      <c r="E197" s="2" t="s">
        <v>1884</v>
      </c>
      <c r="F197" s="2" t="s">
        <v>1979</v>
      </c>
      <c r="G197" s="2" t="s">
        <v>1863</v>
      </c>
      <c r="H197" s="2" t="s">
        <v>1864</v>
      </c>
      <c r="I197" s="2" t="s">
        <v>1980</v>
      </c>
      <c r="J197" s="253">
        <v>5</v>
      </c>
      <c r="K197" s="49">
        <f>_DATA_Assessment_Model!H197</f>
        <v>0</v>
      </c>
      <c r="L197" s="3">
        <f>_DATA_Assessment_Model!I197</f>
        <v>0</v>
      </c>
      <c r="M197" s="3">
        <f>_DATA_Assessment_Model!J197</f>
        <v>5</v>
      </c>
      <c r="N197" s="3">
        <f>_DATA_Assessment_Model!K197</f>
        <v>5</v>
      </c>
      <c r="O197" s="2" t="str">
        <f>_DATA_Assessment_Model!L197</f>
        <v>Critical</v>
      </c>
      <c r="P197" s="2" t="s">
        <v>874</v>
      </c>
      <c r="Q197" s="2" t="s">
        <v>875</v>
      </c>
      <c r="R197" s="2" t="s">
        <v>876</v>
      </c>
      <c r="S197" s="2" t="s">
        <v>877</v>
      </c>
      <c r="T197" s="2" t="s">
        <v>878</v>
      </c>
      <c r="U197" s="2" t="s">
        <v>879</v>
      </c>
      <c r="V197" s="2" t="s">
        <v>1866</v>
      </c>
      <c r="W197" s="253"/>
      <c r="X197" s="253"/>
      <c r="Y197" s="253" t="s">
        <v>829</v>
      </c>
      <c r="Z197" s="6">
        <v>4</v>
      </c>
      <c r="AA197" s="6">
        <v>5</v>
      </c>
      <c r="AB197" s="6">
        <v>5</v>
      </c>
      <c r="AC197" s="254"/>
      <c r="AK197" s="255"/>
      <c r="AL197" s="255"/>
      <c r="AM197" s="14">
        <f>_DATA_Assessment_Model!AJ197</f>
        <v>0.9</v>
      </c>
      <c r="AN197" s="14">
        <f>_DATA_Assessment_Model!AK197</f>
        <v>0.9</v>
      </c>
      <c r="AO197" s="14">
        <f>_DATA_Assessment_Model!AL197</f>
        <v>0</v>
      </c>
      <c r="AP197" s="14">
        <f>_DATA_Assessment_Model!AM197</f>
        <v>0</v>
      </c>
      <c r="AQ197" s="14">
        <f>_DATA_Assessment_Model!AN197</f>
        <v>0</v>
      </c>
      <c r="AR197" s="14">
        <f>_DATA_Assessment_Model!AO197</f>
        <v>0</v>
      </c>
      <c r="AS197" s="14">
        <f>_DATA_Assessment_Model!AP197</f>
        <v>0</v>
      </c>
      <c r="AT197" s="14">
        <f>_DATA_Assessment_Model!AQ197</f>
        <v>0</v>
      </c>
      <c r="AU197" s="14" t="str">
        <f>_DATA_Assessment_Model!AR197</f>
        <v>Within target</v>
      </c>
      <c r="AV197" s="4">
        <f>_DATA_Assessment_Model!AS197</f>
        <v>0</v>
      </c>
      <c r="AW197" s="4">
        <f>_DATA_Assessment_Model!AT197</f>
        <v>0.9</v>
      </c>
      <c r="AX197" s="254"/>
      <c r="AY197">
        <f>_DATA_Assessment_Model!AV197</f>
        <v>0.9</v>
      </c>
    </row>
    <row r="198" spans="1:51" ht="69" customHeight="1">
      <c r="A198" t="s">
        <v>1859</v>
      </c>
      <c r="B198" t="s">
        <v>1859</v>
      </c>
      <c r="C198">
        <v>27</v>
      </c>
      <c r="D198" s="2" t="s">
        <v>1981</v>
      </c>
      <c r="E198" s="2" t="s">
        <v>1884</v>
      </c>
      <c r="F198" s="2" t="s">
        <v>1982</v>
      </c>
      <c r="G198" s="2" t="s">
        <v>1863</v>
      </c>
      <c r="H198" s="2" t="s">
        <v>1864</v>
      </c>
      <c r="I198" s="2" t="s">
        <v>1983</v>
      </c>
      <c r="J198" s="253">
        <v>5</v>
      </c>
      <c r="K198" s="49">
        <f>_DATA_Assessment_Model!H198</f>
        <v>0</v>
      </c>
      <c r="L198" s="3">
        <f>_DATA_Assessment_Model!I198</f>
        <v>0</v>
      </c>
      <c r="M198" s="3">
        <f>_DATA_Assessment_Model!J198</f>
        <v>5</v>
      </c>
      <c r="N198" s="3">
        <f>_DATA_Assessment_Model!K198</f>
        <v>5</v>
      </c>
      <c r="O198" s="2" t="str">
        <f>_DATA_Assessment_Model!L198</f>
        <v>Critical</v>
      </c>
      <c r="P198" s="2" t="s">
        <v>833</v>
      </c>
      <c r="Q198" s="2" t="s">
        <v>834</v>
      </c>
      <c r="R198" s="2" t="s">
        <v>835</v>
      </c>
      <c r="S198" s="2" t="s">
        <v>836</v>
      </c>
      <c r="T198" s="2" t="s">
        <v>837</v>
      </c>
      <c r="U198" s="2" t="s">
        <v>838</v>
      </c>
      <c r="V198" s="2" t="s">
        <v>1866</v>
      </c>
      <c r="W198" s="253"/>
      <c r="X198" s="253"/>
      <c r="Y198" s="253" t="s">
        <v>829</v>
      </c>
      <c r="Z198" s="6">
        <v>4</v>
      </c>
      <c r="AA198" s="6">
        <v>5</v>
      </c>
      <c r="AB198" s="6">
        <v>5</v>
      </c>
      <c r="AC198" s="254"/>
      <c r="AK198" s="255"/>
      <c r="AL198" s="255"/>
      <c r="AM198" s="14">
        <f>_DATA_Assessment_Model!AJ198</f>
        <v>0.9</v>
      </c>
      <c r="AN198" s="14">
        <f>_DATA_Assessment_Model!AK198</f>
        <v>0.9</v>
      </c>
      <c r="AO198" s="14">
        <f>_DATA_Assessment_Model!AL198</f>
        <v>0</v>
      </c>
      <c r="AP198" s="14">
        <f>_DATA_Assessment_Model!AM198</f>
        <v>0</v>
      </c>
      <c r="AQ198" s="14">
        <f>_DATA_Assessment_Model!AN198</f>
        <v>0</v>
      </c>
      <c r="AR198" s="14">
        <f>_DATA_Assessment_Model!AO198</f>
        <v>0</v>
      </c>
      <c r="AS198" s="14">
        <f>_DATA_Assessment_Model!AP198</f>
        <v>0</v>
      </c>
      <c r="AT198" s="14">
        <f>_DATA_Assessment_Model!AQ198</f>
        <v>0</v>
      </c>
      <c r="AU198" s="14" t="str">
        <f>_DATA_Assessment_Model!AR198</f>
        <v>Within target</v>
      </c>
      <c r="AV198" s="4">
        <f>_DATA_Assessment_Model!AS198</f>
        <v>0</v>
      </c>
      <c r="AW198" s="4">
        <f>_DATA_Assessment_Model!AT198</f>
        <v>0.9</v>
      </c>
      <c r="AX198" s="254"/>
      <c r="AY198">
        <f>_DATA_Assessment_Model!AV198</f>
        <v>0.9</v>
      </c>
    </row>
    <row r="199" spans="1:51" ht="69" customHeight="1">
      <c r="A199" t="s">
        <v>1859</v>
      </c>
      <c r="B199" t="s">
        <v>1859</v>
      </c>
      <c r="C199">
        <v>28</v>
      </c>
      <c r="D199" s="2" t="s">
        <v>1984</v>
      </c>
      <c r="E199" s="2" t="s">
        <v>1884</v>
      </c>
      <c r="F199" s="2" t="s">
        <v>1985</v>
      </c>
      <c r="G199" s="2" t="s">
        <v>1863</v>
      </c>
      <c r="H199" s="2" t="s">
        <v>1864</v>
      </c>
      <c r="I199" s="2" t="s">
        <v>1986</v>
      </c>
      <c r="J199" s="253">
        <v>5</v>
      </c>
      <c r="K199" s="49">
        <f>_DATA_Assessment_Model!H199</f>
        <v>0</v>
      </c>
      <c r="L199" s="3">
        <f>_DATA_Assessment_Model!I199</f>
        <v>0</v>
      </c>
      <c r="M199" s="3">
        <f>_DATA_Assessment_Model!J199</f>
        <v>5</v>
      </c>
      <c r="N199" s="3">
        <f>_DATA_Assessment_Model!K199</f>
        <v>5</v>
      </c>
      <c r="O199" s="2" t="str">
        <f>_DATA_Assessment_Model!L199</f>
        <v>Critical</v>
      </c>
      <c r="P199" s="2" t="s">
        <v>833</v>
      </c>
      <c r="Q199" s="2" t="s">
        <v>834</v>
      </c>
      <c r="R199" s="2" t="s">
        <v>835</v>
      </c>
      <c r="S199" s="2" t="s">
        <v>836</v>
      </c>
      <c r="T199" s="2" t="s">
        <v>837</v>
      </c>
      <c r="U199" s="2" t="s">
        <v>838</v>
      </c>
      <c r="V199" s="2" t="s">
        <v>1866</v>
      </c>
      <c r="W199" s="253"/>
      <c r="X199" s="253"/>
      <c r="Y199" s="253" t="s">
        <v>829</v>
      </c>
      <c r="Z199" s="6">
        <v>4</v>
      </c>
      <c r="AA199" s="6">
        <v>5</v>
      </c>
      <c r="AB199" s="6">
        <v>5</v>
      </c>
      <c r="AC199" s="254"/>
      <c r="AK199" s="255"/>
      <c r="AL199" s="255"/>
      <c r="AM199" s="14">
        <f>_DATA_Assessment_Model!AJ199</f>
        <v>0.9</v>
      </c>
      <c r="AN199" s="14">
        <f>_DATA_Assessment_Model!AK199</f>
        <v>0.9</v>
      </c>
      <c r="AO199" s="14">
        <f>_DATA_Assessment_Model!AL199</f>
        <v>0</v>
      </c>
      <c r="AP199" s="14">
        <f>_DATA_Assessment_Model!AM199</f>
        <v>0</v>
      </c>
      <c r="AQ199" s="14">
        <f>_DATA_Assessment_Model!AN199</f>
        <v>0</v>
      </c>
      <c r="AR199" s="14">
        <f>_DATA_Assessment_Model!AO199</f>
        <v>0</v>
      </c>
      <c r="AS199" s="14">
        <f>_DATA_Assessment_Model!AP199</f>
        <v>0</v>
      </c>
      <c r="AT199" s="14">
        <f>_DATA_Assessment_Model!AQ199</f>
        <v>0</v>
      </c>
      <c r="AU199" s="14" t="str">
        <f>_DATA_Assessment_Model!AR199</f>
        <v>Within target</v>
      </c>
      <c r="AV199" s="4">
        <f>_DATA_Assessment_Model!AS199</f>
        <v>0</v>
      </c>
      <c r="AW199" s="4">
        <f>_DATA_Assessment_Model!AT199</f>
        <v>0.9</v>
      </c>
      <c r="AX199" s="254"/>
      <c r="AY199">
        <f>_DATA_Assessment_Model!AV199</f>
        <v>0.9</v>
      </c>
    </row>
    <row r="200" spans="1:51" ht="82.85" customHeight="1">
      <c r="A200" t="s">
        <v>1987</v>
      </c>
      <c r="B200" t="s">
        <v>1987</v>
      </c>
      <c r="C200">
        <v>5</v>
      </c>
      <c r="D200" s="2" t="s">
        <v>1988</v>
      </c>
      <c r="E200" s="2" t="s">
        <v>1989</v>
      </c>
      <c r="F200" s="2" t="s">
        <v>1990</v>
      </c>
      <c r="G200" s="2" t="s">
        <v>1991</v>
      </c>
      <c r="H200" s="2" t="s">
        <v>1992</v>
      </c>
      <c r="I200" s="2" t="s">
        <v>1993</v>
      </c>
      <c r="J200" s="253">
        <v>5</v>
      </c>
      <c r="K200" s="49">
        <f>_DATA_Assessment_Model!H200</f>
        <v>0</v>
      </c>
      <c r="L200" s="3">
        <f>_DATA_Assessment_Model!I200</f>
        <v>0</v>
      </c>
      <c r="M200" s="3">
        <f>_DATA_Assessment_Model!J200</f>
        <v>5</v>
      </c>
      <c r="N200" s="3">
        <f>_DATA_Assessment_Model!K200</f>
        <v>5</v>
      </c>
      <c r="O200" s="2" t="str">
        <f>_DATA_Assessment_Model!L200</f>
        <v>Critical</v>
      </c>
      <c r="P200" s="2" t="s">
        <v>1051</v>
      </c>
      <c r="Q200" s="2" t="s">
        <v>1052</v>
      </c>
      <c r="R200" s="2" t="s">
        <v>1053</v>
      </c>
      <c r="S200" s="2" t="s">
        <v>1054</v>
      </c>
      <c r="T200" s="2" t="s">
        <v>1055</v>
      </c>
      <c r="U200" s="2" t="s">
        <v>1056</v>
      </c>
      <c r="V200" s="2" t="s">
        <v>1994</v>
      </c>
      <c r="W200" s="253"/>
      <c r="X200" s="253"/>
      <c r="Y200" s="253" t="s">
        <v>829</v>
      </c>
      <c r="Z200" s="6">
        <v>4</v>
      </c>
      <c r="AA200" s="6">
        <v>5</v>
      </c>
      <c r="AB200" s="6">
        <v>5</v>
      </c>
      <c r="AC200" s="254"/>
      <c r="AD200" t="s">
        <v>1989</v>
      </c>
      <c r="AE200" s="5">
        <f>_DATA_Assessment_Model!AB200</f>
        <v>6</v>
      </c>
      <c r="AF200" s="7">
        <f>_DATA_Assessment_Model!AC200</f>
        <v>0</v>
      </c>
      <c r="AG200" s="8">
        <f>_DATA_Assessment_Model!AD200</f>
        <v>0</v>
      </c>
      <c r="AH200" s="5">
        <f>_DATA_Assessment_Model!AE200</f>
        <v>6</v>
      </c>
      <c r="AI200" s="7">
        <f>_DATA_Assessment_Model!AF200</f>
        <v>5</v>
      </c>
      <c r="AJ200" s="5">
        <f>_DATA_Assessment_Model!AG200</f>
        <v>6</v>
      </c>
      <c r="AK200" s="255"/>
      <c r="AL200" s="255"/>
      <c r="AM200" s="14">
        <f>_DATA_Assessment_Model!AJ200</f>
        <v>0.9</v>
      </c>
      <c r="AN200" s="14">
        <f>_DATA_Assessment_Model!AK200</f>
        <v>0.9</v>
      </c>
      <c r="AO200" s="14">
        <f>_DATA_Assessment_Model!AL200</f>
        <v>0</v>
      </c>
      <c r="AP200" s="14">
        <f>_DATA_Assessment_Model!AM200</f>
        <v>0</v>
      </c>
      <c r="AQ200" s="14">
        <f>_DATA_Assessment_Model!AN200</f>
        <v>0</v>
      </c>
      <c r="AR200" s="14">
        <f>_DATA_Assessment_Model!AO200</f>
        <v>0</v>
      </c>
      <c r="AS200" s="14">
        <f>_DATA_Assessment_Model!AP200</f>
        <v>0</v>
      </c>
      <c r="AT200" s="14">
        <f>_DATA_Assessment_Model!AQ200</f>
        <v>0</v>
      </c>
      <c r="AU200" s="14" t="str">
        <f>_DATA_Assessment_Model!AR200</f>
        <v>Within target</v>
      </c>
      <c r="AV200" s="4">
        <f>_DATA_Assessment_Model!AS200</f>
        <v>0</v>
      </c>
      <c r="AW200" s="4">
        <f>_DATA_Assessment_Model!AT200</f>
        <v>0.9</v>
      </c>
      <c r="AX200" s="254"/>
      <c r="AY200">
        <f>_DATA_Assessment_Model!AV200</f>
        <v>0.9</v>
      </c>
    </row>
    <row r="201" spans="1:51" ht="82.85" customHeight="1">
      <c r="A201" t="s">
        <v>1987</v>
      </c>
      <c r="B201" t="s">
        <v>1987</v>
      </c>
      <c r="C201">
        <v>6</v>
      </c>
      <c r="D201" s="2" t="s">
        <v>1995</v>
      </c>
      <c r="E201" s="2" t="s">
        <v>1989</v>
      </c>
      <c r="F201" s="2" t="s">
        <v>1996</v>
      </c>
      <c r="G201" s="2" t="s">
        <v>1991</v>
      </c>
      <c r="H201" s="2" t="s">
        <v>1992</v>
      </c>
      <c r="I201" s="2" t="s">
        <v>1997</v>
      </c>
      <c r="J201" s="253">
        <v>5</v>
      </c>
      <c r="K201" s="49">
        <f>_DATA_Assessment_Model!H201</f>
        <v>0</v>
      </c>
      <c r="L201" s="3">
        <f>_DATA_Assessment_Model!I201</f>
        <v>0</v>
      </c>
      <c r="M201" s="3">
        <f>_DATA_Assessment_Model!J201</f>
        <v>5</v>
      </c>
      <c r="N201" s="3">
        <f>_DATA_Assessment_Model!K201</f>
        <v>5</v>
      </c>
      <c r="O201" s="2" t="str">
        <f>_DATA_Assessment_Model!L201</f>
        <v>Critical</v>
      </c>
      <c r="P201" s="2" t="s">
        <v>1069</v>
      </c>
      <c r="Q201" s="2" t="s">
        <v>1070</v>
      </c>
      <c r="R201" s="2" t="s">
        <v>1071</v>
      </c>
      <c r="S201" s="2" t="s">
        <v>1072</v>
      </c>
      <c r="T201" s="2" t="s">
        <v>1073</v>
      </c>
      <c r="U201" s="2" t="s">
        <v>1074</v>
      </c>
      <c r="V201" s="2" t="s">
        <v>1994</v>
      </c>
      <c r="W201" s="253"/>
      <c r="X201" s="253"/>
      <c r="Y201" s="253" t="s">
        <v>829</v>
      </c>
      <c r="Z201" s="6">
        <v>4</v>
      </c>
      <c r="AA201" s="6">
        <v>5</v>
      </c>
      <c r="AB201" s="6">
        <v>5</v>
      </c>
      <c r="AC201" s="254"/>
      <c r="AD201" t="s">
        <v>1998</v>
      </c>
      <c r="AE201" s="5">
        <f>_DATA_Assessment_Model!AB201</f>
        <v>6</v>
      </c>
      <c r="AF201" s="7">
        <f>_DATA_Assessment_Model!AC201</f>
        <v>0</v>
      </c>
      <c r="AG201" s="8">
        <f>_DATA_Assessment_Model!AD201</f>
        <v>0</v>
      </c>
      <c r="AH201" s="5">
        <f>_DATA_Assessment_Model!AE201</f>
        <v>6</v>
      </c>
      <c r="AI201" s="7">
        <f>_DATA_Assessment_Model!AF201</f>
        <v>5</v>
      </c>
      <c r="AJ201" s="5">
        <f>_DATA_Assessment_Model!AG201</f>
        <v>6</v>
      </c>
      <c r="AK201" s="255"/>
      <c r="AL201" s="255"/>
      <c r="AM201" s="14">
        <f>_DATA_Assessment_Model!AJ201</f>
        <v>0.9</v>
      </c>
      <c r="AN201" s="14">
        <f>_DATA_Assessment_Model!AK201</f>
        <v>0.9</v>
      </c>
      <c r="AO201" s="14">
        <f>_DATA_Assessment_Model!AL201</f>
        <v>0</v>
      </c>
      <c r="AP201" s="14">
        <f>_DATA_Assessment_Model!AM201</f>
        <v>0</v>
      </c>
      <c r="AQ201" s="14">
        <f>_DATA_Assessment_Model!AN201</f>
        <v>0</v>
      </c>
      <c r="AR201" s="14">
        <f>_DATA_Assessment_Model!AO201</f>
        <v>0</v>
      </c>
      <c r="AS201" s="14">
        <f>_DATA_Assessment_Model!AP201</f>
        <v>0</v>
      </c>
      <c r="AT201" s="14">
        <f>_DATA_Assessment_Model!AQ201</f>
        <v>0</v>
      </c>
      <c r="AU201" s="14" t="str">
        <f>_DATA_Assessment_Model!AR201</f>
        <v>Within target</v>
      </c>
      <c r="AV201" s="4">
        <f>_DATA_Assessment_Model!AS201</f>
        <v>0</v>
      </c>
      <c r="AW201" s="4">
        <f>_DATA_Assessment_Model!AT201</f>
        <v>0.9</v>
      </c>
      <c r="AX201" s="254"/>
      <c r="AY201">
        <f>_DATA_Assessment_Model!AV201</f>
        <v>0.9</v>
      </c>
    </row>
    <row r="202" spans="1:51" ht="82.85" customHeight="1">
      <c r="A202" t="s">
        <v>1987</v>
      </c>
      <c r="B202" t="s">
        <v>1987</v>
      </c>
      <c r="C202">
        <v>7</v>
      </c>
      <c r="D202" s="2" t="s">
        <v>1999</v>
      </c>
      <c r="E202" s="2" t="s">
        <v>1989</v>
      </c>
      <c r="F202" s="2" t="s">
        <v>2000</v>
      </c>
      <c r="G202" s="2" t="s">
        <v>1991</v>
      </c>
      <c r="H202" s="2" t="s">
        <v>1992</v>
      </c>
      <c r="I202" s="2" t="s">
        <v>2001</v>
      </c>
      <c r="J202" s="253">
        <v>5</v>
      </c>
      <c r="K202" s="49">
        <f>_DATA_Assessment_Model!H202</f>
        <v>0</v>
      </c>
      <c r="L202" s="3">
        <f>_DATA_Assessment_Model!I202</f>
        <v>0</v>
      </c>
      <c r="M202" s="3">
        <f>_DATA_Assessment_Model!J202</f>
        <v>5</v>
      </c>
      <c r="N202" s="3">
        <f>_DATA_Assessment_Model!K202</f>
        <v>5</v>
      </c>
      <c r="O202" s="2" t="str">
        <f>_DATA_Assessment_Model!L202</f>
        <v>Critical</v>
      </c>
      <c r="P202" s="2" t="s">
        <v>1069</v>
      </c>
      <c r="Q202" s="2" t="s">
        <v>1070</v>
      </c>
      <c r="R202" s="2" t="s">
        <v>1071</v>
      </c>
      <c r="S202" s="2" t="s">
        <v>1072</v>
      </c>
      <c r="T202" s="2" t="s">
        <v>1073</v>
      </c>
      <c r="U202" s="2" t="s">
        <v>1074</v>
      </c>
      <c r="V202" s="2" t="s">
        <v>1994</v>
      </c>
      <c r="W202" s="253"/>
      <c r="X202" s="253"/>
      <c r="Y202" s="253" t="s">
        <v>829</v>
      </c>
      <c r="Z202" s="6">
        <v>4</v>
      </c>
      <c r="AA202" s="6">
        <v>5</v>
      </c>
      <c r="AB202" s="6">
        <v>5</v>
      </c>
      <c r="AC202" s="254"/>
      <c r="AD202" t="s">
        <v>2002</v>
      </c>
      <c r="AE202" s="5">
        <f>_DATA_Assessment_Model!AB202</f>
        <v>7</v>
      </c>
      <c r="AF202" s="7">
        <f>_DATA_Assessment_Model!AC202</f>
        <v>0</v>
      </c>
      <c r="AG202" s="8">
        <f>_DATA_Assessment_Model!AD202</f>
        <v>0</v>
      </c>
      <c r="AH202" s="5">
        <f>_DATA_Assessment_Model!AE202</f>
        <v>7</v>
      </c>
      <c r="AI202" s="7">
        <f>_DATA_Assessment_Model!AF202</f>
        <v>5</v>
      </c>
      <c r="AJ202" s="5">
        <f>_DATA_Assessment_Model!AG202</f>
        <v>7</v>
      </c>
      <c r="AK202" s="255"/>
      <c r="AL202" s="255"/>
      <c r="AM202" s="14">
        <f>_DATA_Assessment_Model!AJ202</f>
        <v>0.9</v>
      </c>
      <c r="AN202" s="14">
        <f>_DATA_Assessment_Model!AK202</f>
        <v>0.9</v>
      </c>
      <c r="AO202" s="14">
        <f>_DATA_Assessment_Model!AL202</f>
        <v>0</v>
      </c>
      <c r="AP202" s="14">
        <f>_DATA_Assessment_Model!AM202</f>
        <v>0</v>
      </c>
      <c r="AQ202" s="14">
        <f>_DATA_Assessment_Model!AN202</f>
        <v>0</v>
      </c>
      <c r="AR202" s="14">
        <f>_DATA_Assessment_Model!AO202</f>
        <v>0</v>
      </c>
      <c r="AS202" s="14">
        <f>_DATA_Assessment_Model!AP202</f>
        <v>0</v>
      </c>
      <c r="AT202" s="14">
        <f>_DATA_Assessment_Model!AQ202</f>
        <v>0</v>
      </c>
      <c r="AU202" s="14" t="str">
        <f>_DATA_Assessment_Model!AR202</f>
        <v>Within target</v>
      </c>
      <c r="AV202" s="4">
        <f>_DATA_Assessment_Model!AS202</f>
        <v>0</v>
      </c>
      <c r="AW202" s="4">
        <f>_DATA_Assessment_Model!AT202</f>
        <v>0.9</v>
      </c>
      <c r="AX202" s="254"/>
      <c r="AY202">
        <f>_DATA_Assessment_Model!AV202</f>
        <v>0.9</v>
      </c>
    </row>
    <row r="203" spans="1:51" ht="82.85" customHeight="1">
      <c r="A203" t="s">
        <v>1987</v>
      </c>
      <c r="B203" t="s">
        <v>1987</v>
      </c>
      <c r="C203">
        <v>8</v>
      </c>
      <c r="D203" s="2" t="s">
        <v>2003</v>
      </c>
      <c r="E203" s="2" t="s">
        <v>1989</v>
      </c>
      <c r="F203" s="2" t="s">
        <v>2004</v>
      </c>
      <c r="G203" s="2" t="s">
        <v>1991</v>
      </c>
      <c r="H203" s="2" t="s">
        <v>1992</v>
      </c>
      <c r="I203" s="2" t="s">
        <v>2005</v>
      </c>
      <c r="J203" s="253">
        <v>5</v>
      </c>
      <c r="K203" s="49">
        <f>_DATA_Assessment_Model!H203</f>
        <v>0</v>
      </c>
      <c r="L203" s="3">
        <f>_DATA_Assessment_Model!I203</f>
        <v>0</v>
      </c>
      <c r="M203" s="3">
        <f>_DATA_Assessment_Model!J203</f>
        <v>5</v>
      </c>
      <c r="N203" s="3">
        <f>_DATA_Assessment_Model!K203</f>
        <v>5</v>
      </c>
      <c r="O203" s="2" t="str">
        <f>_DATA_Assessment_Model!L203</f>
        <v>Critical</v>
      </c>
      <c r="P203" s="2" t="s">
        <v>833</v>
      </c>
      <c r="Q203" s="2" t="s">
        <v>834</v>
      </c>
      <c r="R203" s="2" t="s">
        <v>835</v>
      </c>
      <c r="S203" s="2" t="s">
        <v>836</v>
      </c>
      <c r="T203" s="2" t="s">
        <v>837</v>
      </c>
      <c r="U203" s="2" t="s">
        <v>838</v>
      </c>
      <c r="V203" s="2" t="s">
        <v>1994</v>
      </c>
      <c r="W203" s="253"/>
      <c r="X203" s="253"/>
      <c r="Y203" s="253" t="s">
        <v>829</v>
      </c>
      <c r="Z203" s="6">
        <v>4</v>
      </c>
      <c r="AA203" s="6">
        <v>5</v>
      </c>
      <c r="AB203" s="6">
        <v>5</v>
      </c>
      <c r="AC203" s="254"/>
      <c r="AD203" t="s">
        <v>2006</v>
      </c>
      <c r="AE203" s="5">
        <f>_DATA_Assessment_Model!AB203</f>
        <v>6</v>
      </c>
      <c r="AF203" s="7">
        <f>_DATA_Assessment_Model!AC203</f>
        <v>0</v>
      </c>
      <c r="AG203" s="8">
        <f>_DATA_Assessment_Model!AD203</f>
        <v>0</v>
      </c>
      <c r="AH203" s="5">
        <f>_DATA_Assessment_Model!AE203</f>
        <v>6</v>
      </c>
      <c r="AI203" s="7">
        <f>_DATA_Assessment_Model!AF203</f>
        <v>5</v>
      </c>
      <c r="AJ203" s="5">
        <f>_DATA_Assessment_Model!AG203</f>
        <v>6</v>
      </c>
      <c r="AK203" s="255"/>
      <c r="AL203" s="255"/>
      <c r="AM203" s="14">
        <f>_DATA_Assessment_Model!AJ203</f>
        <v>0.9</v>
      </c>
      <c r="AN203" s="14">
        <f>_DATA_Assessment_Model!AK203</f>
        <v>0.9</v>
      </c>
      <c r="AO203" s="14">
        <f>_DATA_Assessment_Model!AL203</f>
        <v>0</v>
      </c>
      <c r="AP203" s="14">
        <f>_DATA_Assessment_Model!AM203</f>
        <v>0</v>
      </c>
      <c r="AQ203" s="14">
        <f>_DATA_Assessment_Model!AN203</f>
        <v>0</v>
      </c>
      <c r="AR203" s="14">
        <f>_DATA_Assessment_Model!AO203</f>
        <v>0</v>
      </c>
      <c r="AS203" s="14">
        <f>_DATA_Assessment_Model!AP203</f>
        <v>0</v>
      </c>
      <c r="AT203" s="14">
        <f>_DATA_Assessment_Model!AQ203</f>
        <v>0</v>
      </c>
      <c r="AU203" s="14" t="str">
        <f>_DATA_Assessment_Model!AR203</f>
        <v>Within target</v>
      </c>
      <c r="AV203" s="4">
        <f>_DATA_Assessment_Model!AS203</f>
        <v>0</v>
      </c>
      <c r="AW203" s="4">
        <f>_DATA_Assessment_Model!AT203</f>
        <v>0.9</v>
      </c>
      <c r="AX203" s="254"/>
      <c r="AY203">
        <f>_DATA_Assessment_Model!AV203</f>
        <v>0.9</v>
      </c>
    </row>
    <row r="204" spans="1:51" ht="82.85" customHeight="1">
      <c r="A204" t="s">
        <v>1987</v>
      </c>
      <c r="B204" t="s">
        <v>1987</v>
      </c>
      <c r="C204">
        <v>9</v>
      </c>
      <c r="D204" s="2" t="s">
        <v>2007</v>
      </c>
      <c r="E204" s="2" t="s">
        <v>1989</v>
      </c>
      <c r="F204" s="2" t="s">
        <v>2008</v>
      </c>
      <c r="G204" s="2" t="s">
        <v>1991</v>
      </c>
      <c r="H204" s="2" t="s">
        <v>1992</v>
      </c>
      <c r="I204" s="2" t="s">
        <v>2009</v>
      </c>
      <c r="J204" s="253">
        <v>5</v>
      </c>
      <c r="K204" s="49">
        <f>_DATA_Assessment_Model!H204</f>
        <v>0</v>
      </c>
      <c r="L204" s="3">
        <f>_DATA_Assessment_Model!I204</f>
        <v>0</v>
      </c>
      <c r="M204" s="3">
        <f>_DATA_Assessment_Model!J204</f>
        <v>5</v>
      </c>
      <c r="N204" s="3">
        <f>_DATA_Assessment_Model!K204</f>
        <v>5</v>
      </c>
      <c r="O204" s="2" t="str">
        <f>_DATA_Assessment_Model!L204</f>
        <v>Critical</v>
      </c>
      <c r="P204" s="2" t="s">
        <v>874</v>
      </c>
      <c r="Q204" s="2" t="s">
        <v>875</v>
      </c>
      <c r="R204" s="2" t="s">
        <v>876</v>
      </c>
      <c r="S204" s="2" t="s">
        <v>877</v>
      </c>
      <c r="T204" s="2" t="s">
        <v>878</v>
      </c>
      <c r="U204" s="2" t="s">
        <v>879</v>
      </c>
      <c r="V204" s="2" t="s">
        <v>1994</v>
      </c>
      <c r="W204" s="253"/>
      <c r="X204" s="253"/>
      <c r="Y204" s="253" t="s">
        <v>829</v>
      </c>
      <c r="Z204" s="6">
        <v>4</v>
      </c>
      <c r="AA204" s="6">
        <v>5</v>
      </c>
      <c r="AB204" s="6">
        <v>5</v>
      </c>
      <c r="AC204" s="254"/>
      <c r="AD204" t="s">
        <v>2010</v>
      </c>
      <c r="AE204">
        <f>_DATA_Assessment_Model!AB204</f>
        <v>4</v>
      </c>
      <c r="AF204">
        <f>_DATA_Assessment_Model!AC204</f>
        <v>0</v>
      </c>
      <c r="AG204">
        <f>_DATA_Assessment_Model!AD204</f>
        <v>0</v>
      </c>
      <c r="AH204">
        <f>_DATA_Assessment_Model!AE204</f>
        <v>4</v>
      </c>
      <c r="AI204">
        <f>_DATA_Assessment_Model!AF204</f>
        <v>5</v>
      </c>
      <c r="AJ204">
        <f>_DATA_Assessment_Model!AG204</f>
        <v>4</v>
      </c>
      <c r="AK204" s="255"/>
      <c r="AL204" s="255"/>
      <c r="AM204" s="14">
        <f>_DATA_Assessment_Model!AJ204</f>
        <v>0.9</v>
      </c>
      <c r="AN204" s="14">
        <f>_DATA_Assessment_Model!AK204</f>
        <v>0.9</v>
      </c>
      <c r="AO204" s="14">
        <f>_DATA_Assessment_Model!AL204</f>
        <v>0</v>
      </c>
      <c r="AP204" s="14">
        <f>_DATA_Assessment_Model!AM204</f>
        <v>0</v>
      </c>
      <c r="AQ204" s="14">
        <f>_DATA_Assessment_Model!AN204</f>
        <v>0</v>
      </c>
      <c r="AR204" s="14">
        <f>_DATA_Assessment_Model!AO204</f>
        <v>0</v>
      </c>
      <c r="AS204" s="14">
        <f>_DATA_Assessment_Model!AP204</f>
        <v>0</v>
      </c>
      <c r="AT204" s="14">
        <f>_DATA_Assessment_Model!AQ204</f>
        <v>0</v>
      </c>
      <c r="AU204" s="14" t="str">
        <f>_DATA_Assessment_Model!AR204</f>
        <v>Within target</v>
      </c>
      <c r="AV204" s="4">
        <f>_DATA_Assessment_Model!AS204</f>
        <v>0</v>
      </c>
      <c r="AW204" s="4">
        <f>_DATA_Assessment_Model!AT204</f>
        <v>0.9</v>
      </c>
      <c r="AX204" s="254"/>
      <c r="AY204">
        <f>_DATA_Assessment_Model!AV204</f>
        <v>0.9</v>
      </c>
    </row>
    <row r="205" spans="1:51" ht="69" customHeight="1">
      <c r="A205" t="s">
        <v>1987</v>
      </c>
      <c r="B205" t="s">
        <v>1987</v>
      </c>
      <c r="C205">
        <v>10</v>
      </c>
      <c r="D205" s="2" t="s">
        <v>2011</v>
      </c>
      <c r="E205" s="2" t="s">
        <v>1989</v>
      </c>
      <c r="F205" s="2" t="s">
        <v>2012</v>
      </c>
      <c r="G205" s="2" t="s">
        <v>1991</v>
      </c>
      <c r="H205" s="2" t="s">
        <v>1992</v>
      </c>
      <c r="I205" s="2" t="s">
        <v>2013</v>
      </c>
      <c r="J205" s="253">
        <v>5</v>
      </c>
      <c r="K205" s="49">
        <f>_DATA_Assessment_Model!H205</f>
        <v>0</v>
      </c>
      <c r="L205" s="3">
        <f>_DATA_Assessment_Model!I205</f>
        <v>0</v>
      </c>
      <c r="M205" s="3">
        <f>_DATA_Assessment_Model!J205</f>
        <v>5</v>
      </c>
      <c r="N205" s="3">
        <f>_DATA_Assessment_Model!K205</f>
        <v>5</v>
      </c>
      <c r="O205" s="2" t="str">
        <f>_DATA_Assessment_Model!L205</f>
        <v>Critical</v>
      </c>
      <c r="P205" s="2" t="s">
        <v>833</v>
      </c>
      <c r="Q205" s="2" t="s">
        <v>834</v>
      </c>
      <c r="R205" s="2" t="s">
        <v>835</v>
      </c>
      <c r="S205" s="2" t="s">
        <v>836</v>
      </c>
      <c r="T205" s="2" t="s">
        <v>837</v>
      </c>
      <c r="U205" s="2" t="s">
        <v>838</v>
      </c>
      <c r="V205" s="2" t="s">
        <v>1994</v>
      </c>
      <c r="W205" s="253"/>
      <c r="X205" s="253"/>
      <c r="Y205" s="253" t="s">
        <v>829</v>
      </c>
      <c r="Z205" s="6">
        <v>4</v>
      </c>
      <c r="AA205" s="6">
        <v>5</v>
      </c>
      <c r="AB205" s="6">
        <v>5</v>
      </c>
      <c r="AC205" s="254"/>
      <c r="AK205" s="255"/>
      <c r="AL205" s="255"/>
      <c r="AM205" s="14">
        <f>_DATA_Assessment_Model!AJ205</f>
        <v>0.9</v>
      </c>
      <c r="AN205" s="14">
        <f>_DATA_Assessment_Model!AK205</f>
        <v>0.9</v>
      </c>
      <c r="AO205" s="14">
        <f>_DATA_Assessment_Model!AL205</f>
        <v>0</v>
      </c>
      <c r="AP205" s="14">
        <f>_DATA_Assessment_Model!AM205</f>
        <v>0</v>
      </c>
      <c r="AQ205" s="14">
        <f>_DATA_Assessment_Model!AN205</f>
        <v>0</v>
      </c>
      <c r="AR205" s="14">
        <f>_DATA_Assessment_Model!AO205</f>
        <v>0</v>
      </c>
      <c r="AS205" s="14">
        <f>_DATA_Assessment_Model!AP205</f>
        <v>0</v>
      </c>
      <c r="AT205" s="14">
        <f>_DATA_Assessment_Model!AQ205</f>
        <v>0</v>
      </c>
      <c r="AU205" s="14" t="str">
        <f>_DATA_Assessment_Model!AR205</f>
        <v>Within target</v>
      </c>
      <c r="AV205" s="4">
        <f>_DATA_Assessment_Model!AS205</f>
        <v>0</v>
      </c>
      <c r="AW205" s="4">
        <f>_DATA_Assessment_Model!AT205</f>
        <v>0.9</v>
      </c>
      <c r="AX205" s="254"/>
      <c r="AY205">
        <f>_DATA_Assessment_Model!AV205</f>
        <v>0.9</v>
      </c>
    </row>
    <row r="206" spans="1:51" ht="82.85" customHeight="1">
      <c r="A206" t="s">
        <v>1987</v>
      </c>
      <c r="B206" t="s">
        <v>1987</v>
      </c>
      <c r="C206">
        <v>11</v>
      </c>
      <c r="D206" s="2" t="s">
        <v>2014</v>
      </c>
      <c r="E206" s="2" t="s">
        <v>1998</v>
      </c>
      <c r="F206" s="2" t="s">
        <v>2015</v>
      </c>
      <c r="G206" s="2" t="s">
        <v>1991</v>
      </c>
      <c r="H206" s="2" t="s">
        <v>1992</v>
      </c>
      <c r="I206" s="2" t="s">
        <v>2016</v>
      </c>
      <c r="J206" s="253">
        <v>5</v>
      </c>
      <c r="K206" s="49">
        <f>_DATA_Assessment_Model!H206</f>
        <v>0</v>
      </c>
      <c r="L206" s="3">
        <f>_DATA_Assessment_Model!I206</f>
        <v>0</v>
      </c>
      <c r="M206" s="3">
        <f>_DATA_Assessment_Model!J206</f>
        <v>5</v>
      </c>
      <c r="N206" s="3">
        <f>_DATA_Assessment_Model!K206</f>
        <v>5</v>
      </c>
      <c r="O206" s="2" t="str">
        <f>_DATA_Assessment_Model!L206</f>
        <v>Critical</v>
      </c>
      <c r="P206" s="2" t="s">
        <v>833</v>
      </c>
      <c r="Q206" s="2" t="s">
        <v>834</v>
      </c>
      <c r="R206" s="2" t="s">
        <v>835</v>
      </c>
      <c r="S206" s="2" t="s">
        <v>836</v>
      </c>
      <c r="T206" s="2" t="s">
        <v>837</v>
      </c>
      <c r="U206" s="2" t="s">
        <v>838</v>
      </c>
      <c r="V206" s="2" t="s">
        <v>1994</v>
      </c>
      <c r="W206" s="253"/>
      <c r="X206" s="253"/>
      <c r="Y206" s="253" t="s">
        <v>829</v>
      </c>
      <c r="Z206" s="6">
        <v>4</v>
      </c>
      <c r="AA206" s="6">
        <v>5</v>
      </c>
      <c r="AB206" s="6">
        <v>5</v>
      </c>
      <c r="AC206" s="254"/>
      <c r="AK206" s="255"/>
      <c r="AL206" s="255"/>
      <c r="AM206" s="14">
        <f>_DATA_Assessment_Model!AJ206</f>
        <v>0.9</v>
      </c>
      <c r="AN206" s="14">
        <f>_DATA_Assessment_Model!AK206</f>
        <v>0.9</v>
      </c>
      <c r="AO206" s="14">
        <f>_DATA_Assessment_Model!AL206</f>
        <v>0</v>
      </c>
      <c r="AP206" s="14">
        <f>_DATA_Assessment_Model!AM206</f>
        <v>0</v>
      </c>
      <c r="AQ206" s="14">
        <f>_DATA_Assessment_Model!AN206</f>
        <v>0</v>
      </c>
      <c r="AR206" s="14">
        <f>_DATA_Assessment_Model!AO206</f>
        <v>0</v>
      </c>
      <c r="AS206" s="14">
        <f>_DATA_Assessment_Model!AP206</f>
        <v>0</v>
      </c>
      <c r="AT206" s="14">
        <f>_DATA_Assessment_Model!AQ206</f>
        <v>0</v>
      </c>
      <c r="AU206" s="14" t="str">
        <f>_DATA_Assessment_Model!AR206</f>
        <v>Within target</v>
      </c>
      <c r="AV206" s="4">
        <f>_DATA_Assessment_Model!AS206</f>
        <v>0</v>
      </c>
      <c r="AW206" s="4">
        <f>_DATA_Assessment_Model!AT206</f>
        <v>0.9</v>
      </c>
      <c r="AX206" s="254"/>
      <c r="AY206">
        <f>_DATA_Assessment_Model!AV206</f>
        <v>0.9</v>
      </c>
    </row>
    <row r="207" spans="1:51" ht="96.65" customHeight="1">
      <c r="A207" t="s">
        <v>1987</v>
      </c>
      <c r="B207" t="s">
        <v>1987</v>
      </c>
      <c r="C207">
        <v>12</v>
      </c>
      <c r="D207" s="2" t="s">
        <v>2017</v>
      </c>
      <c r="E207" s="2" t="s">
        <v>1998</v>
      </c>
      <c r="F207" s="2" t="s">
        <v>2018</v>
      </c>
      <c r="G207" s="2" t="s">
        <v>1991</v>
      </c>
      <c r="H207" s="2" t="s">
        <v>1992</v>
      </c>
      <c r="I207" s="2" t="s">
        <v>2019</v>
      </c>
      <c r="J207" s="253">
        <v>3</v>
      </c>
      <c r="K207" s="49">
        <f>_DATA_Assessment_Model!H207</f>
        <v>0</v>
      </c>
      <c r="L207" s="3">
        <f>_DATA_Assessment_Model!I207</f>
        <v>0</v>
      </c>
      <c r="M207" s="3">
        <f>_DATA_Assessment_Model!J207</f>
        <v>3</v>
      </c>
      <c r="N207" s="3">
        <f>_DATA_Assessment_Model!K207</f>
        <v>3</v>
      </c>
      <c r="O207" s="2" t="str">
        <f>_DATA_Assessment_Model!L207</f>
        <v>Critical</v>
      </c>
      <c r="P207" s="2" t="s">
        <v>2020</v>
      </c>
      <c r="Q207" s="2" t="s">
        <v>2021</v>
      </c>
      <c r="R207" s="2" t="s">
        <v>2022</v>
      </c>
      <c r="S207" s="2" t="s">
        <v>2023</v>
      </c>
      <c r="T207" s="2" t="s">
        <v>2024</v>
      </c>
      <c r="U207" s="2" t="s">
        <v>2025</v>
      </c>
      <c r="V207" s="2" t="s">
        <v>1994</v>
      </c>
      <c r="W207" s="253"/>
      <c r="X207" s="253"/>
      <c r="Y207" s="253" t="s">
        <v>829</v>
      </c>
      <c r="Z207" s="6">
        <v>4</v>
      </c>
      <c r="AA207" s="6">
        <v>5</v>
      </c>
      <c r="AB207" s="6">
        <v>5</v>
      </c>
      <c r="AC207" s="254"/>
      <c r="AK207" s="255"/>
      <c r="AL207" s="255"/>
      <c r="AM207" s="14">
        <f>_DATA_Assessment_Model!AJ207</f>
        <v>0.9</v>
      </c>
      <c r="AN207" s="14">
        <f>_DATA_Assessment_Model!AK207</f>
        <v>0.9</v>
      </c>
      <c r="AO207" s="14">
        <f>_DATA_Assessment_Model!AL207</f>
        <v>0</v>
      </c>
      <c r="AP207" s="14">
        <f>_DATA_Assessment_Model!AM207</f>
        <v>0</v>
      </c>
      <c r="AQ207" s="14">
        <f>_DATA_Assessment_Model!AN207</f>
        <v>0</v>
      </c>
      <c r="AR207" s="14">
        <f>_DATA_Assessment_Model!AO207</f>
        <v>0</v>
      </c>
      <c r="AS207" s="14">
        <f>_DATA_Assessment_Model!AP207</f>
        <v>0</v>
      </c>
      <c r="AT207" s="14">
        <f>_DATA_Assessment_Model!AQ207</f>
        <v>0</v>
      </c>
      <c r="AU207" s="14" t="str">
        <f>_DATA_Assessment_Model!AR207</f>
        <v>Within target</v>
      </c>
      <c r="AV207" s="4">
        <f>_DATA_Assessment_Model!AS207</f>
        <v>0</v>
      </c>
      <c r="AW207" s="4">
        <f>_DATA_Assessment_Model!AT207</f>
        <v>0.9</v>
      </c>
      <c r="AX207" s="254"/>
      <c r="AY207">
        <f>_DATA_Assessment_Model!AV207</f>
        <v>0.9</v>
      </c>
    </row>
    <row r="208" spans="1:51" ht="82.85" customHeight="1">
      <c r="A208" t="s">
        <v>1987</v>
      </c>
      <c r="B208" t="s">
        <v>1987</v>
      </c>
      <c r="C208">
        <v>13</v>
      </c>
      <c r="D208" s="2" t="s">
        <v>2026</v>
      </c>
      <c r="E208" s="2" t="s">
        <v>1998</v>
      </c>
      <c r="F208" s="2" t="s">
        <v>2027</v>
      </c>
      <c r="G208" s="2" t="s">
        <v>1991</v>
      </c>
      <c r="H208" s="2" t="s">
        <v>1992</v>
      </c>
      <c r="I208" s="2" t="s">
        <v>2028</v>
      </c>
      <c r="J208" s="253">
        <v>3</v>
      </c>
      <c r="K208" s="49">
        <f>_DATA_Assessment_Model!H208</f>
        <v>0</v>
      </c>
      <c r="L208" s="3">
        <f>_DATA_Assessment_Model!I208</f>
        <v>0</v>
      </c>
      <c r="M208" s="3">
        <f>_DATA_Assessment_Model!J208</f>
        <v>3</v>
      </c>
      <c r="N208" s="3">
        <f>_DATA_Assessment_Model!K208</f>
        <v>3</v>
      </c>
      <c r="O208" s="2" t="str">
        <f>_DATA_Assessment_Model!L208</f>
        <v>Critical</v>
      </c>
      <c r="P208" s="2" t="s">
        <v>2029</v>
      </c>
      <c r="Q208" s="2" t="s">
        <v>2030</v>
      </c>
      <c r="R208" s="2" t="s">
        <v>2031</v>
      </c>
      <c r="S208" s="2" t="s">
        <v>2032</v>
      </c>
      <c r="T208" s="2" t="s">
        <v>2033</v>
      </c>
      <c r="U208" s="2" t="s">
        <v>2034</v>
      </c>
      <c r="V208" s="2" t="s">
        <v>1994</v>
      </c>
      <c r="W208" s="253"/>
      <c r="X208" s="253"/>
      <c r="Y208" s="253" t="s">
        <v>829</v>
      </c>
      <c r="Z208" s="6">
        <v>4</v>
      </c>
      <c r="AA208" s="6">
        <v>5</v>
      </c>
      <c r="AB208" s="6">
        <v>5</v>
      </c>
      <c r="AC208" s="254"/>
      <c r="AK208" s="255"/>
      <c r="AL208" s="255"/>
      <c r="AM208" s="14">
        <f>_DATA_Assessment_Model!AJ208</f>
        <v>0.9</v>
      </c>
      <c r="AN208" s="14">
        <f>_DATA_Assessment_Model!AK208</f>
        <v>0.9</v>
      </c>
      <c r="AO208" s="14">
        <f>_DATA_Assessment_Model!AL208</f>
        <v>0</v>
      </c>
      <c r="AP208" s="14">
        <f>_DATA_Assessment_Model!AM208</f>
        <v>0</v>
      </c>
      <c r="AQ208" s="14">
        <f>_DATA_Assessment_Model!AN208</f>
        <v>0</v>
      </c>
      <c r="AR208" s="14">
        <f>_DATA_Assessment_Model!AO208</f>
        <v>0</v>
      </c>
      <c r="AS208" s="14">
        <f>_DATA_Assessment_Model!AP208</f>
        <v>0</v>
      </c>
      <c r="AT208" s="14">
        <f>_DATA_Assessment_Model!AQ208</f>
        <v>0</v>
      </c>
      <c r="AU208" s="14" t="str">
        <f>_DATA_Assessment_Model!AR208</f>
        <v>Within target</v>
      </c>
      <c r="AV208" s="4">
        <f>_DATA_Assessment_Model!AS208</f>
        <v>0</v>
      </c>
      <c r="AW208" s="4">
        <f>_DATA_Assessment_Model!AT208</f>
        <v>0.9</v>
      </c>
      <c r="AX208" s="254"/>
      <c r="AY208">
        <f>_DATA_Assessment_Model!AV208</f>
        <v>0.9</v>
      </c>
    </row>
    <row r="209" spans="1:51" ht="82.85" customHeight="1">
      <c r="A209" t="s">
        <v>1987</v>
      </c>
      <c r="B209" t="s">
        <v>1987</v>
      </c>
      <c r="C209">
        <v>14</v>
      </c>
      <c r="D209" s="2" t="s">
        <v>2035</v>
      </c>
      <c r="E209" s="2" t="s">
        <v>1998</v>
      </c>
      <c r="F209" s="2" t="s">
        <v>2036</v>
      </c>
      <c r="G209" s="2" t="s">
        <v>1991</v>
      </c>
      <c r="H209" s="2" t="s">
        <v>1992</v>
      </c>
      <c r="I209" s="2" t="s">
        <v>2037</v>
      </c>
      <c r="J209" s="253">
        <v>5</v>
      </c>
      <c r="K209" s="49">
        <f>_DATA_Assessment_Model!H209</f>
        <v>0</v>
      </c>
      <c r="L209" s="3">
        <f>_DATA_Assessment_Model!I209</f>
        <v>0</v>
      </c>
      <c r="M209" s="3">
        <f>_DATA_Assessment_Model!J209</f>
        <v>5</v>
      </c>
      <c r="N209" s="3">
        <f>_DATA_Assessment_Model!K209</f>
        <v>5</v>
      </c>
      <c r="O209" s="2" t="str">
        <f>_DATA_Assessment_Model!L209</f>
        <v>Critical</v>
      </c>
      <c r="P209" s="2" t="s">
        <v>1069</v>
      </c>
      <c r="Q209" s="2" t="s">
        <v>1070</v>
      </c>
      <c r="R209" s="2" t="s">
        <v>1071</v>
      </c>
      <c r="S209" s="2" t="s">
        <v>1072</v>
      </c>
      <c r="T209" s="2" t="s">
        <v>1073</v>
      </c>
      <c r="U209" s="2" t="s">
        <v>1074</v>
      </c>
      <c r="V209" s="2" t="s">
        <v>1994</v>
      </c>
      <c r="W209" s="253"/>
      <c r="X209" s="253"/>
      <c r="Y209" s="253" t="s">
        <v>829</v>
      </c>
      <c r="Z209" s="6">
        <v>4</v>
      </c>
      <c r="AA209" s="6">
        <v>5</v>
      </c>
      <c r="AB209" s="6">
        <v>5</v>
      </c>
      <c r="AC209" s="254"/>
      <c r="AK209" s="255"/>
      <c r="AL209" s="255"/>
      <c r="AM209" s="14">
        <f>_DATA_Assessment_Model!AJ209</f>
        <v>0.9</v>
      </c>
      <c r="AN209" s="14">
        <f>_DATA_Assessment_Model!AK209</f>
        <v>0.9</v>
      </c>
      <c r="AO209" s="14">
        <f>_DATA_Assessment_Model!AL209</f>
        <v>0</v>
      </c>
      <c r="AP209" s="14">
        <f>_DATA_Assessment_Model!AM209</f>
        <v>0</v>
      </c>
      <c r="AQ209" s="14">
        <f>_DATA_Assessment_Model!AN209</f>
        <v>0</v>
      </c>
      <c r="AR209" s="14">
        <f>_DATA_Assessment_Model!AO209</f>
        <v>0</v>
      </c>
      <c r="AS209" s="14">
        <f>_DATA_Assessment_Model!AP209</f>
        <v>0</v>
      </c>
      <c r="AT209" s="14">
        <f>_DATA_Assessment_Model!AQ209</f>
        <v>0</v>
      </c>
      <c r="AU209" s="14" t="str">
        <f>_DATA_Assessment_Model!AR209</f>
        <v>Within target</v>
      </c>
      <c r="AV209" s="4">
        <f>_DATA_Assessment_Model!AS209</f>
        <v>0</v>
      </c>
      <c r="AW209" s="4">
        <f>_DATA_Assessment_Model!AT209</f>
        <v>0.9</v>
      </c>
      <c r="AX209" s="254"/>
      <c r="AY209">
        <f>_DATA_Assessment_Model!AV209</f>
        <v>0.9</v>
      </c>
    </row>
    <row r="210" spans="1:51" ht="96.65" customHeight="1">
      <c r="A210" t="s">
        <v>1987</v>
      </c>
      <c r="B210" t="s">
        <v>1987</v>
      </c>
      <c r="C210">
        <v>15</v>
      </c>
      <c r="D210" s="2" t="s">
        <v>2038</v>
      </c>
      <c r="E210" s="2" t="s">
        <v>1998</v>
      </c>
      <c r="F210" s="2" t="s">
        <v>2039</v>
      </c>
      <c r="G210" s="2" t="s">
        <v>1991</v>
      </c>
      <c r="H210" s="2" t="s">
        <v>1992</v>
      </c>
      <c r="I210" s="2" t="s">
        <v>2040</v>
      </c>
      <c r="J210" s="253">
        <v>3</v>
      </c>
      <c r="K210" s="49">
        <f>_DATA_Assessment_Model!H210</f>
        <v>0</v>
      </c>
      <c r="L210" s="3">
        <f>_DATA_Assessment_Model!I210</f>
        <v>0</v>
      </c>
      <c r="M210" s="3">
        <f>_DATA_Assessment_Model!J210</f>
        <v>3</v>
      </c>
      <c r="N210" s="3">
        <f>_DATA_Assessment_Model!K210</f>
        <v>3</v>
      </c>
      <c r="O210" s="2" t="str">
        <f>_DATA_Assessment_Model!L210</f>
        <v>Critical</v>
      </c>
      <c r="P210" s="2" t="s">
        <v>2041</v>
      </c>
      <c r="Q210" s="2" t="s">
        <v>2042</v>
      </c>
      <c r="R210" s="2" t="s">
        <v>2043</v>
      </c>
      <c r="S210" s="2" t="s">
        <v>2044</v>
      </c>
      <c r="T210" s="2" t="s">
        <v>2045</v>
      </c>
      <c r="U210" s="2" t="s">
        <v>2046</v>
      </c>
      <c r="V210" s="2" t="s">
        <v>1994</v>
      </c>
      <c r="W210" s="253"/>
      <c r="X210" s="253"/>
      <c r="Y210" s="253" t="s">
        <v>829</v>
      </c>
      <c r="Z210" s="6">
        <v>4</v>
      </c>
      <c r="AA210" s="6">
        <v>5</v>
      </c>
      <c r="AB210" s="6">
        <v>5</v>
      </c>
      <c r="AC210" s="254"/>
      <c r="AK210" s="255"/>
      <c r="AL210" s="255"/>
      <c r="AM210" s="14">
        <f>_DATA_Assessment_Model!AJ210</f>
        <v>0.9</v>
      </c>
      <c r="AN210" s="14">
        <f>_DATA_Assessment_Model!AK210</f>
        <v>0.9</v>
      </c>
      <c r="AO210" s="14">
        <f>_DATA_Assessment_Model!AL210</f>
        <v>0</v>
      </c>
      <c r="AP210" s="14">
        <f>_DATA_Assessment_Model!AM210</f>
        <v>0</v>
      </c>
      <c r="AQ210" s="14">
        <f>_DATA_Assessment_Model!AN210</f>
        <v>0</v>
      </c>
      <c r="AR210" s="14">
        <f>_DATA_Assessment_Model!AO210</f>
        <v>0</v>
      </c>
      <c r="AS210" s="14">
        <f>_DATA_Assessment_Model!AP210</f>
        <v>0</v>
      </c>
      <c r="AT210" s="14">
        <f>_DATA_Assessment_Model!AQ210</f>
        <v>0</v>
      </c>
      <c r="AU210" s="14" t="str">
        <f>_DATA_Assessment_Model!AR210</f>
        <v>Within target</v>
      </c>
      <c r="AV210" s="4">
        <f>_DATA_Assessment_Model!AS210</f>
        <v>0</v>
      </c>
      <c r="AW210" s="4">
        <f>_DATA_Assessment_Model!AT210</f>
        <v>0.9</v>
      </c>
      <c r="AX210" s="254"/>
      <c r="AY210">
        <f>_DATA_Assessment_Model!AV210</f>
        <v>0.9</v>
      </c>
    </row>
    <row r="211" spans="1:51" ht="82.85" customHeight="1">
      <c r="A211" t="s">
        <v>1987</v>
      </c>
      <c r="B211" t="s">
        <v>1987</v>
      </c>
      <c r="C211">
        <v>16</v>
      </c>
      <c r="D211" s="2" t="s">
        <v>2047</v>
      </c>
      <c r="E211" s="2" t="s">
        <v>1998</v>
      </c>
      <c r="F211" s="2" t="s">
        <v>2048</v>
      </c>
      <c r="G211" s="2" t="s">
        <v>1991</v>
      </c>
      <c r="H211" s="2" t="s">
        <v>1992</v>
      </c>
      <c r="I211" s="2" t="s">
        <v>2049</v>
      </c>
      <c r="J211" s="253">
        <v>5</v>
      </c>
      <c r="K211" s="49">
        <f>_DATA_Assessment_Model!H211</f>
        <v>0</v>
      </c>
      <c r="L211" s="3">
        <f>_DATA_Assessment_Model!I211</f>
        <v>0</v>
      </c>
      <c r="M211" s="3">
        <f>_DATA_Assessment_Model!J211</f>
        <v>5</v>
      </c>
      <c r="N211" s="3">
        <f>_DATA_Assessment_Model!K211</f>
        <v>5</v>
      </c>
      <c r="O211" s="2" t="str">
        <f>_DATA_Assessment_Model!L211</f>
        <v>Critical</v>
      </c>
      <c r="P211" s="2" t="s">
        <v>833</v>
      </c>
      <c r="Q211" s="2" t="s">
        <v>834</v>
      </c>
      <c r="R211" s="2" t="s">
        <v>835</v>
      </c>
      <c r="S211" s="2" t="s">
        <v>836</v>
      </c>
      <c r="T211" s="2" t="s">
        <v>837</v>
      </c>
      <c r="U211" s="2" t="s">
        <v>838</v>
      </c>
      <c r="V211" s="2" t="s">
        <v>1994</v>
      </c>
      <c r="W211" s="253"/>
      <c r="X211" s="253"/>
      <c r="Y211" s="253" t="s">
        <v>829</v>
      </c>
      <c r="Z211" s="6">
        <v>4</v>
      </c>
      <c r="AA211" s="6">
        <v>5</v>
      </c>
      <c r="AB211" s="6">
        <v>5</v>
      </c>
      <c r="AC211" s="254"/>
      <c r="AK211" s="255"/>
      <c r="AL211" s="255"/>
      <c r="AM211" s="14">
        <f>_DATA_Assessment_Model!AJ211</f>
        <v>0.9</v>
      </c>
      <c r="AN211" s="14">
        <f>_DATA_Assessment_Model!AK211</f>
        <v>0.9</v>
      </c>
      <c r="AO211" s="14">
        <f>_DATA_Assessment_Model!AL211</f>
        <v>0</v>
      </c>
      <c r="AP211" s="14">
        <f>_DATA_Assessment_Model!AM211</f>
        <v>0</v>
      </c>
      <c r="AQ211" s="14">
        <f>_DATA_Assessment_Model!AN211</f>
        <v>0</v>
      </c>
      <c r="AR211" s="14">
        <f>_DATA_Assessment_Model!AO211</f>
        <v>0</v>
      </c>
      <c r="AS211" s="14">
        <f>_DATA_Assessment_Model!AP211</f>
        <v>0</v>
      </c>
      <c r="AT211" s="14">
        <f>_DATA_Assessment_Model!AQ211</f>
        <v>0</v>
      </c>
      <c r="AU211" s="14" t="str">
        <f>_DATA_Assessment_Model!AR211</f>
        <v>Within target</v>
      </c>
      <c r="AV211" s="4">
        <f>_DATA_Assessment_Model!AS211</f>
        <v>0</v>
      </c>
      <c r="AW211" s="4">
        <f>_DATA_Assessment_Model!AT211</f>
        <v>0.9</v>
      </c>
      <c r="AX211" s="254"/>
      <c r="AY211">
        <f>_DATA_Assessment_Model!AV211</f>
        <v>0.9</v>
      </c>
    </row>
    <row r="212" spans="1:51" ht="82.85" customHeight="1">
      <c r="A212" t="s">
        <v>1987</v>
      </c>
      <c r="B212" t="s">
        <v>1987</v>
      </c>
      <c r="C212">
        <v>17</v>
      </c>
      <c r="D212" s="2" t="s">
        <v>2050</v>
      </c>
      <c r="E212" s="2" t="s">
        <v>2002</v>
      </c>
      <c r="F212" s="2" t="s">
        <v>2051</v>
      </c>
      <c r="G212" s="2" t="s">
        <v>1991</v>
      </c>
      <c r="H212" s="2" t="s">
        <v>1992</v>
      </c>
      <c r="I212" s="2" t="s">
        <v>2052</v>
      </c>
      <c r="J212" s="253">
        <v>5</v>
      </c>
      <c r="K212" s="49">
        <f>_DATA_Assessment_Model!H212</f>
        <v>0</v>
      </c>
      <c r="L212" s="3">
        <f>_DATA_Assessment_Model!I212</f>
        <v>0</v>
      </c>
      <c r="M212" s="3">
        <f>_DATA_Assessment_Model!J212</f>
        <v>5</v>
      </c>
      <c r="N212" s="3">
        <f>_DATA_Assessment_Model!K212</f>
        <v>5</v>
      </c>
      <c r="O212" s="2" t="str">
        <f>_DATA_Assessment_Model!L212</f>
        <v>Critical</v>
      </c>
      <c r="P212" s="2" t="s">
        <v>833</v>
      </c>
      <c r="Q212" s="2" t="s">
        <v>834</v>
      </c>
      <c r="R212" s="2" t="s">
        <v>835</v>
      </c>
      <c r="S212" s="2" t="s">
        <v>836</v>
      </c>
      <c r="T212" s="2" t="s">
        <v>837</v>
      </c>
      <c r="U212" s="2" t="s">
        <v>838</v>
      </c>
      <c r="V212" s="2" t="s">
        <v>1994</v>
      </c>
      <c r="W212" s="253"/>
      <c r="X212" s="253"/>
      <c r="Y212" s="253" t="s">
        <v>829</v>
      </c>
      <c r="Z212" s="6">
        <v>4</v>
      </c>
      <c r="AA212" s="6">
        <v>5</v>
      </c>
      <c r="AB212" s="6">
        <v>5</v>
      </c>
      <c r="AC212" s="254"/>
      <c r="AK212" s="255"/>
      <c r="AL212" s="255"/>
      <c r="AM212" s="14">
        <f>_DATA_Assessment_Model!AJ212</f>
        <v>0.9</v>
      </c>
      <c r="AN212" s="14">
        <f>_DATA_Assessment_Model!AK212</f>
        <v>0.9</v>
      </c>
      <c r="AO212" s="14">
        <f>_DATA_Assessment_Model!AL212</f>
        <v>0</v>
      </c>
      <c r="AP212" s="14">
        <f>_DATA_Assessment_Model!AM212</f>
        <v>0</v>
      </c>
      <c r="AQ212" s="14">
        <f>_DATA_Assessment_Model!AN212</f>
        <v>0</v>
      </c>
      <c r="AR212" s="14">
        <f>_DATA_Assessment_Model!AO212</f>
        <v>0</v>
      </c>
      <c r="AS212" s="14">
        <f>_DATA_Assessment_Model!AP212</f>
        <v>0</v>
      </c>
      <c r="AT212" s="14">
        <f>_DATA_Assessment_Model!AQ212</f>
        <v>0</v>
      </c>
      <c r="AU212" s="14" t="str">
        <f>_DATA_Assessment_Model!AR212</f>
        <v>Within target</v>
      </c>
      <c r="AV212" s="4">
        <f>_DATA_Assessment_Model!AS212</f>
        <v>0</v>
      </c>
      <c r="AW212" s="4">
        <f>_DATA_Assessment_Model!AT212</f>
        <v>0.9</v>
      </c>
      <c r="AX212" s="254"/>
      <c r="AY212">
        <f>_DATA_Assessment_Model!AV212</f>
        <v>0.9</v>
      </c>
    </row>
    <row r="213" spans="1:51" ht="96.65" customHeight="1">
      <c r="A213" t="s">
        <v>1987</v>
      </c>
      <c r="B213" t="s">
        <v>1987</v>
      </c>
      <c r="C213">
        <v>18</v>
      </c>
      <c r="D213" s="2" t="s">
        <v>2053</v>
      </c>
      <c r="E213" s="2" t="s">
        <v>2002</v>
      </c>
      <c r="F213" s="2" t="s">
        <v>2054</v>
      </c>
      <c r="G213" s="2" t="s">
        <v>1991</v>
      </c>
      <c r="H213" s="2" t="s">
        <v>1992</v>
      </c>
      <c r="I213" s="2" t="s">
        <v>2055</v>
      </c>
      <c r="J213" s="253">
        <v>4</v>
      </c>
      <c r="K213" s="49">
        <f>_DATA_Assessment_Model!H213</f>
        <v>0</v>
      </c>
      <c r="L213" s="3">
        <f>_DATA_Assessment_Model!I213</f>
        <v>0</v>
      </c>
      <c r="M213" s="3">
        <f>_DATA_Assessment_Model!J213</f>
        <v>4</v>
      </c>
      <c r="N213" s="3">
        <f>_DATA_Assessment_Model!K213</f>
        <v>4</v>
      </c>
      <c r="O213" s="2" t="str">
        <f>_DATA_Assessment_Model!L213</f>
        <v>Critical</v>
      </c>
      <c r="P213" s="2" t="s">
        <v>2056</v>
      </c>
      <c r="Q213" s="2" t="s">
        <v>2057</v>
      </c>
      <c r="R213" s="2" t="s">
        <v>2058</v>
      </c>
      <c r="S213" s="2" t="s">
        <v>2059</v>
      </c>
      <c r="T213" s="2" t="s">
        <v>2060</v>
      </c>
      <c r="U213" s="2" t="s">
        <v>2061</v>
      </c>
      <c r="V213" s="2" t="s">
        <v>1994</v>
      </c>
      <c r="W213" s="253"/>
      <c r="X213" s="253"/>
      <c r="Y213" s="253" t="s">
        <v>829</v>
      </c>
      <c r="Z213" s="6">
        <v>4</v>
      </c>
      <c r="AA213" s="6">
        <v>5</v>
      </c>
      <c r="AB213" s="6">
        <v>5</v>
      </c>
      <c r="AC213" s="254"/>
      <c r="AK213" s="255"/>
      <c r="AL213" s="255"/>
      <c r="AM213" s="14">
        <f>_DATA_Assessment_Model!AJ213</f>
        <v>0.9</v>
      </c>
      <c r="AN213" s="14">
        <f>_DATA_Assessment_Model!AK213</f>
        <v>0.9</v>
      </c>
      <c r="AO213" s="14">
        <f>_DATA_Assessment_Model!AL213</f>
        <v>0</v>
      </c>
      <c r="AP213" s="14">
        <f>_DATA_Assessment_Model!AM213</f>
        <v>0</v>
      </c>
      <c r="AQ213" s="14">
        <f>_DATA_Assessment_Model!AN213</f>
        <v>0</v>
      </c>
      <c r="AR213" s="14">
        <f>_DATA_Assessment_Model!AO213</f>
        <v>0</v>
      </c>
      <c r="AS213" s="14">
        <f>_DATA_Assessment_Model!AP213</f>
        <v>0</v>
      </c>
      <c r="AT213" s="14">
        <f>_DATA_Assessment_Model!AQ213</f>
        <v>0</v>
      </c>
      <c r="AU213" s="14" t="str">
        <f>_DATA_Assessment_Model!AR213</f>
        <v>Within target</v>
      </c>
      <c r="AV213" s="4">
        <f>_DATA_Assessment_Model!AS213</f>
        <v>0</v>
      </c>
      <c r="AW213" s="4">
        <f>_DATA_Assessment_Model!AT213</f>
        <v>0.9</v>
      </c>
      <c r="AX213" s="254"/>
      <c r="AY213">
        <f>_DATA_Assessment_Model!AV213</f>
        <v>0.9</v>
      </c>
    </row>
    <row r="214" spans="1:51" ht="110.4" customHeight="1">
      <c r="A214" t="s">
        <v>1987</v>
      </c>
      <c r="B214" t="s">
        <v>1987</v>
      </c>
      <c r="C214">
        <v>19</v>
      </c>
      <c r="D214" s="2" t="s">
        <v>2062</v>
      </c>
      <c r="E214" s="2" t="s">
        <v>2002</v>
      </c>
      <c r="F214" s="2" t="s">
        <v>2063</v>
      </c>
      <c r="G214" s="2" t="s">
        <v>1991</v>
      </c>
      <c r="H214" s="2" t="s">
        <v>1992</v>
      </c>
      <c r="I214" s="2" t="s">
        <v>2064</v>
      </c>
      <c r="J214" s="253">
        <v>4</v>
      </c>
      <c r="K214" s="49">
        <f>_DATA_Assessment_Model!H214</f>
        <v>0</v>
      </c>
      <c r="L214" s="3">
        <f>_DATA_Assessment_Model!I214</f>
        <v>0</v>
      </c>
      <c r="M214" s="3">
        <f>_DATA_Assessment_Model!J214</f>
        <v>4</v>
      </c>
      <c r="N214" s="3">
        <f>_DATA_Assessment_Model!K214</f>
        <v>4</v>
      </c>
      <c r="O214" s="2" t="str">
        <f>_DATA_Assessment_Model!L214</f>
        <v>Critical</v>
      </c>
      <c r="P214" s="2" t="s">
        <v>2065</v>
      </c>
      <c r="Q214" s="2" t="s">
        <v>2066</v>
      </c>
      <c r="R214" s="2" t="s">
        <v>2067</v>
      </c>
      <c r="S214" s="2" t="s">
        <v>2068</v>
      </c>
      <c r="T214" s="2" t="s">
        <v>2069</v>
      </c>
      <c r="U214" s="2" t="s">
        <v>2070</v>
      </c>
      <c r="V214" s="2" t="s">
        <v>1994</v>
      </c>
      <c r="W214" s="253"/>
      <c r="X214" s="253"/>
      <c r="Y214" s="253" t="s">
        <v>829</v>
      </c>
      <c r="Z214" s="6">
        <v>4</v>
      </c>
      <c r="AA214" s="6">
        <v>5</v>
      </c>
      <c r="AB214" s="6">
        <v>5</v>
      </c>
      <c r="AC214" s="254"/>
      <c r="AK214" s="255"/>
      <c r="AL214" s="255"/>
      <c r="AM214" s="14">
        <f>_DATA_Assessment_Model!AJ214</f>
        <v>0.9</v>
      </c>
      <c r="AN214" s="14">
        <f>_DATA_Assessment_Model!AK214</f>
        <v>0.9</v>
      </c>
      <c r="AO214" s="14">
        <f>_DATA_Assessment_Model!AL214</f>
        <v>0</v>
      </c>
      <c r="AP214" s="14">
        <f>_DATA_Assessment_Model!AM214</f>
        <v>0</v>
      </c>
      <c r="AQ214" s="14">
        <f>_DATA_Assessment_Model!AN214</f>
        <v>0</v>
      </c>
      <c r="AR214" s="14">
        <f>_DATA_Assessment_Model!AO214</f>
        <v>0</v>
      </c>
      <c r="AS214" s="14">
        <f>_DATA_Assessment_Model!AP214</f>
        <v>0</v>
      </c>
      <c r="AT214" s="14">
        <f>_DATA_Assessment_Model!AQ214</f>
        <v>0</v>
      </c>
      <c r="AU214" s="14" t="str">
        <f>_DATA_Assessment_Model!AR214</f>
        <v>Within target</v>
      </c>
      <c r="AV214" s="4">
        <f>_DATA_Assessment_Model!AS214</f>
        <v>0</v>
      </c>
      <c r="AW214" s="4">
        <f>_DATA_Assessment_Model!AT214</f>
        <v>0.9</v>
      </c>
      <c r="AX214" s="254"/>
      <c r="AY214">
        <f>_DATA_Assessment_Model!AV214</f>
        <v>0.9</v>
      </c>
    </row>
    <row r="215" spans="1:51" ht="82.85" customHeight="1">
      <c r="A215" t="s">
        <v>1987</v>
      </c>
      <c r="B215" t="s">
        <v>1987</v>
      </c>
      <c r="C215">
        <v>20</v>
      </c>
      <c r="D215" s="2" t="s">
        <v>2071</v>
      </c>
      <c r="E215" s="2" t="s">
        <v>2002</v>
      </c>
      <c r="F215" s="2" t="s">
        <v>2072</v>
      </c>
      <c r="G215" s="2" t="s">
        <v>1991</v>
      </c>
      <c r="H215" s="2" t="s">
        <v>1992</v>
      </c>
      <c r="I215" s="2" t="s">
        <v>2073</v>
      </c>
      <c r="J215" s="253">
        <v>5</v>
      </c>
      <c r="K215" s="49">
        <f>_DATA_Assessment_Model!H215</f>
        <v>0</v>
      </c>
      <c r="L215" s="3">
        <f>_DATA_Assessment_Model!I215</f>
        <v>0</v>
      </c>
      <c r="M215" s="3">
        <f>_DATA_Assessment_Model!J215</f>
        <v>5</v>
      </c>
      <c r="N215" s="3">
        <f>_DATA_Assessment_Model!K215</f>
        <v>5</v>
      </c>
      <c r="O215" s="2" t="str">
        <f>_DATA_Assessment_Model!L215</f>
        <v>Critical</v>
      </c>
      <c r="P215" s="2" t="s">
        <v>833</v>
      </c>
      <c r="Q215" s="2" t="s">
        <v>834</v>
      </c>
      <c r="R215" s="2" t="s">
        <v>835</v>
      </c>
      <c r="S215" s="2" t="s">
        <v>836</v>
      </c>
      <c r="T215" s="2" t="s">
        <v>837</v>
      </c>
      <c r="U215" s="2" t="s">
        <v>838</v>
      </c>
      <c r="V215" s="2" t="s">
        <v>1994</v>
      </c>
      <c r="W215" s="253"/>
      <c r="X215" s="253"/>
      <c r="Y215" s="253" t="s">
        <v>829</v>
      </c>
      <c r="Z215" s="6">
        <v>4</v>
      </c>
      <c r="AA215" s="6">
        <v>5</v>
      </c>
      <c r="AB215" s="6">
        <v>5</v>
      </c>
      <c r="AC215" s="254"/>
      <c r="AK215" s="255"/>
      <c r="AL215" s="255"/>
      <c r="AM215" s="14">
        <f>_DATA_Assessment_Model!AJ215</f>
        <v>0.9</v>
      </c>
      <c r="AN215" s="14">
        <f>_DATA_Assessment_Model!AK215</f>
        <v>0.9</v>
      </c>
      <c r="AO215" s="14">
        <f>_DATA_Assessment_Model!AL215</f>
        <v>0</v>
      </c>
      <c r="AP215" s="14">
        <f>_DATA_Assessment_Model!AM215</f>
        <v>0</v>
      </c>
      <c r="AQ215" s="14">
        <f>_DATA_Assessment_Model!AN215</f>
        <v>0</v>
      </c>
      <c r="AR215" s="14">
        <f>_DATA_Assessment_Model!AO215</f>
        <v>0</v>
      </c>
      <c r="AS215" s="14">
        <f>_DATA_Assessment_Model!AP215</f>
        <v>0</v>
      </c>
      <c r="AT215" s="14">
        <f>_DATA_Assessment_Model!AQ215</f>
        <v>0</v>
      </c>
      <c r="AU215" s="14" t="str">
        <f>_DATA_Assessment_Model!AR215</f>
        <v>Within target</v>
      </c>
      <c r="AV215" s="4">
        <f>_DATA_Assessment_Model!AS215</f>
        <v>0</v>
      </c>
      <c r="AW215" s="4">
        <f>_DATA_Assessment_Model!AT215</f>
        <v>0.9</v>
      </c>
      <c r="AX215" s="254"/>
      <c r="AY215">
        <f>_DATA_Assessment_Model!AV215</f>
        <v>0.9</v>
      </c>
    </row>
    <row r="216" spans="1:51" ht="82.85" customHeight="1">
      <c r="A216" t="s">
        <v>1987</v>
      </c>
      <c r="B216" t="s">
        <v>1987</v>
      </c>
      <c r="C216">
        <v>21</v>
      </c>
      <c r="D216" s="2" t="s">
        <v>2074</v>
      </c>
      <c r="E216" s="2" t="s">
        <v>2002</v>
      </c>
      <c r="F216" s="2" t="s">
        <v>2075</v>
      </c>
      <c r="G216" s="2" t="s">
        <v>1991</v>
      </c>
      <c r="H216" s="2" t="s">
        <v>1992</v>
      </c>
      <c r="I216" s="2" t="s">
        <v>2076</v>
      </c>
      <c r="J216" s="253">
        <v>5</v>
      </c>
      <c r="K216" s="49">
        <f>_DATA_Assessment_Model!H216</f>
        <v>0</v>
      </c>
      <c r="L216" s="3">
        <f>_DATA_Assessment_Model!I216</f>
        <v>0</v>
      </c>
      <c r="M216" s="3">
        <f>_DATA_Assessment_Model!J216</f>
        <v>5</v>
      </c>
      <c r="N216" s="3">
        <f>_DATA_Assessment_Model!K216</f>
        <v>5</v>
      </c>
      <c r="O216" s="2" t="str">
        <f>_DATA_Assessment_Model!L216</f>
        <v>Critical</v>
      </c>
      <c r="P216" s="2" t="s">
        <v>833</v>
      </c>
      <c r="Q216" s="2" t="s">
        <v>834</v>
      </c>
      <c r="R216" s="2" t="s">
        <v>835</v>
      </c>
      <c r="S216" s="2" t="s">
        <v>836</v>
      </c>
      <c r="T216" s="2" t="s">
        <v>837</v>
      </c>
      <c r="U216" s="2" t="s">
        <v>838</v>
      </c>
      <c r="V216" s="2" t="s">
        <v>1994</v>
      </c>
      <c r="W216" s="253"/>
      <c r="X216" s="253"/>
      <c r="Y216" s="253" t="s">
        <v>829</v>
      </c>
      <c r="Z216" s="6">
        <v>4</v>
      </c>
      <c r="AA216" s="6">
        <v>5</v>
      </c>
      <c r="AB216" s="6">
        <v>5</v>
      </c>
      <c r="AC216" s="254"/>
      <c r="AK216" s="255"/>
      <c r="AL216" s="255"/>
      <c r="AM216" s="14">
        <f>_DATA_Assessment_Model!AJ216</f>
        <v>0.9</v>
      </c>
      <c r="AN216" s="14">
        <f>_DATA_Assessment_Model!AK216</f>
        <v>0.9</v>
      </c>
      <c r="AO216" s="14">
        <f>_DATA_Assessment_Model!AL216</f>
        <v>0</v>
      </c>
      <c r="AP216" s="14">
        <f>_DATA_Assessment_Model!AM216</f>
        <v>0</v>
      </c>
      <c r="AQ216" s="14">
        <f>_DATA_Assessment_Model!AN216</f>
        <v>0</v>
      </c>
      <c r="AR216" s="14">
        <f>_DATA_Assessment_Model!AO216</f>
        <v>0</v>
      </c>
      <c r="AS216" s="14">
        <f>_DATA_Assessment_Model!AP216</f>
        <v>0</v>
      </c>
      <c r="AT216" s="14">
        <f>_DATA_Assessment_Model!AQ216</f>
        <v>0</v>
      </c>
      <c r="AU216" s="14" t="str">
        <f>_DATA_Assessment_Model!AR216</f>
        <v>Within target</v>
      </c>
      <c r="AV216" s="4">
        <f>_DATA_Assessment_Model!AS216</f>
        <v>0</v>
      </c>
      <c r="AW216" s="4">
        <f>_DATA_Assessment_Model!AT216</f>
        <v>0.9</v>
      </c>
      <c r="AX216" s="254"/>
      <c r="AY216">
        <f>_DATA_Assessment_Model!AV216</f>
        <v>0.9</v>
      </c>
    </row>
    <row r="217" spans="1:51" ht="82.85" customHeight="1">
      <c r="A217" t="s">
        <v>1987</v>
      </c>
      <c r="B217" t="s">
        <v>1987</v>
      </c>
      <c r="C217">
        <v>22</v>
      </c>
      <c r="D217" s="2" t="s">
        <v>2077</v>
      </c>
      <c r="E217" s="2" t="s">
        <v>2002</v>
      </c>
      <c r="F217" s="2" t="s">
        <v>2078</v>
      </c>
      <c r="G217" s="2" t="s">
        <v>1991</v>
      </c>
      <c r="H217" s="2" t="s">
        <v>1992</v>
      </c>
      <c r="I217" s="2" t="s">
        <v>2079</v>
      </c>
      <c r="J217" s="253">
        <v>5</v>
      </c>
      <c r="K217" s="49">
        <f>_DATA_Assessment_Model!H217</f>
        <v>0</v>
      </c>
      <c r="L217" s="3">
        <f>_DATA_Assessment_Model!I217</f>
        <v>0</v>
      </c>
      <c r="M217" s="3">
        <f>_DATA_Assessment_Model!J217</f>
        <v>5</v>
      </c>
      <c r="N217" s="3">
        <f>_DATA_Assessment_Model!K217</f>
        <v>5</v>
      </c>
      <c r="O217" s="2" t="str">
        <f>_DATA_Assessment_Model!L217</f>
        <v>Critical</v>
      </c>
      <c r="P217" s="2" t="s">
        <v>833</v>
      </c>
      <c r="Q217" s="2" t="s">
        <v>834</v>
      </c>
      <c r="R217" s="2" t="s">
        <v>835</v>
      </c>
      <c r="S217" s="2" t="s">
        <v>836</v>
      </c>
      <c r="T217" s="2" t="s">
        <v>837</v>
      </c>
      <c r="U217" s="2" t="s">
        <v>838</v>
      </c>
      <c r="V217" s="2" t="s">
        <v>1994</v>
      </c>
      <c r="W217" s="253"/>
      <c r="X217" s="253"/>
      <c r="Y217" s="253" t="s">
        <v>829</v>
      </c>
      <c r="Z217" s="6">
        <v>4</v>
      </c>
      <c r="AA217" s="6">
        <v>5</v>
      </c>
      <c r="AB217" s="6">
        <v>5</v>
      </c>
      <c r="AC217" s="254"/>
      <c r="AK217" s="255"/>
      <c r="AL217" s="255"/>
      <c r="AM217" s="14">
        <f>_DATA_Assessment_Model!AJ217</f>
        <v>0.9</v>
      </c>
      <c r="AN217" s="14">
        <f>_DATA_Assessment_Model!AK217</f>
        <v>0.9</v>
      </c>
      <c r="AO217" s="14">
        <f>_DATA_Assessment_Model!AL217</f>
        <v>0</v>
      </c>
      <c r="AP217" s="14">
        <f>_DATA_Assessment_Model!AM217</f>
        <v>0</v>
      </c>
      <c r="AQ217" s="14">
        <f>_DATA_Assessment_Model!AN217</f>
        <v>0</v>
      </c>
      <c r="AR217" s="14">
        <f>_DATA_Assessment_Model!AO217</f>
        <v>0</v>
      </c>
      <c r="AS217" s="14">
        <f>_DATA_Assessment_Model!AP217</f>
        <v>0</v>
      </c>
      <c r="AT217" s="14">
        <f>_DATA_Assessment_Model!AQ217</f>
        <v>0</v>
      </c>
      <c r="AU217" s="14" t="str">
        <f>_DATA_Assessment_Model!AR217</f>
        <v>Within target</v>
      </c>
      <c r="AV217" s="4">
        <f>_DATA_Assessment_Model!AS217</f>
        <v>0</v>
      </c>
      <c r="AW217" s="4">
        <f>_DATA_Assessment_Model!AT217</f>
        <v>0.9</v>
      </c>
      <c r="AX217" s="254"/>
      <c r="AY217">
        <f>_DATA_Assessment_Model!AV217</f>
        <v>0.9</v>
      </c>
    </row>
    <row r="218" spans="1:51" ht="82.85" customHeight="1">
      <c r="A218" t="s">
        <v>1987</v>
      </c>
      <c r="B218" t="s">
        <v>1987</v>
      </c>
      <c r="C218">
        <v>23</v>
      </c>
      <c r="D218" s="2" t="s">
        <v>2080</v>
      </c>
      <c r="E218" s="2" t="s">
        <v>2002</v>
      </c>
      <c r="F218" s="2" t="s">
        <v>2081</v>
      </c>
      <c r="G218" s="2" t="s">
        <v>1991</v>
      </c>
      <c r="H218" s="2" t="s">
        <v>1992</v>
      </c>
      <c r="I218" s="2" t="s">
        <v>2082</v>
      </c>
      <c r="J218" s="253">
        <v>5</v>
      </c>
      <c r="K218" s="49">
        <f>_DATA_Assessment_Model!H218</f>
        <v>0</v>
      </c>
      <c r="L218" s="3">
        <f>_DATA_Assessment_Model!I218</f>
        <v>0</v>
      </c>
      <c r="M218" s="3">
        <f>_DATA_Assessment_Model!J218</f>
        <v>5</v>
      </c>
      <c r="N218" s="3">
        <f>_DATA_Assessment_Model!K218</f>
        <v>5</v>
      </c>
      <c r="O218" s="2" t="str">
        <f>_DATA_Assessment_Model!L218</f>
        <v>Critical</v>
      </c>
      <c r="P218" s="2" t="s">
        <v>874</v>
      </c>
      <c r="Q218" s="2" t="s">
        <v>875</v>
      </c>
      <c r="R218" s="2" t="s">
        <v>876</v>
      </c>
      <c r="S218" s="2" t="s">
        <v>877</v>
      </c>
      <c r="T218" s="2" t="s">
        <v>878</v>
      </c>
      <c r="U218" s="2" t="s">
        <v>879</v>
      </c>
      <c r="V218" s="2" t="s">
        <v>1994</v>
      </c>
      <c r="W218" s="253"/>
      <c r="X218" s="253"/>
      <c r="Y218" s="253" t="s">
        <v>829</v>
      </c>
      <c r="Z218" s="6">
        <v>5</v>
      </c>
      <c r="AA218" s="6">
        <v>5</v>
      </c>
      <c r="AB218" s="6">
        <v>5</v>
      </c>
      <c r="AC218" s="254"/>
      <c r="AK218" s="255"/>
      <c r="AL218" s="255"/>
      <c r="AM218" s="14">
        <f>_DATA_Assessment_Model!AJ218</f>
        <v>0.9</v>
      </c>
      <c r="AN218" s="14">
        <f>_DATA_Assessment_Model!AK218</f>
        <v>0.9</v>
      </c>
      <c r="AO218" s="14">
        <f>_DATA_Assessment_Model!AL218</f>
        <v>0</v>
      </c>
      <c r="AP218" s="14">
        <f>_DATA_Assessment_Model!AM218</f>
        <v>0</v>
      </c>
      <c r="AQ218" s="14">
        <f>_DATA_Assessment_Model!AN218</f>
        <v>0</v>
      </c>
      <c r="AR218" s="14">
        <f>_DATA_Assessment_Model!AO218</f>
        <v>0</v>
      </c>
      <c r="AS218" s="14">
        <f>_DATA_Assessment_Model!AP218</f>
        <v>0</v>
      </c>
      <c r="AT218" s="14">
        <f>_DATA_Assessment_Model!AQ218</f>
        <v>0</v>
      </c>
      <c r="AU218" s="14" t="str">
        <f>_DATA_Assessment_Model!AR218</f>
        <v>Within target</v>
      </c>
      <c r="AV218" s="4">
        <f>_DATA_Assessment_Model!AS218</f>
        <v>0</v>
      </c>
      <c r="AW218" s="4">
        <f>_DATA_Assessment_Model!AT218</f>
        <v>0.9</v>
      </c>
      <c r="AX218" s="254"/>
      <c r="AY218">
        <f>_DATA_Assessment_Model!AV218</f>
        <v>0.9</v>
      </c>
    </row>
    <row r="219" spans="1:51" ht="82.85" customHeight="1">
      <c r="A219" t="s">
        <v>1987</v>
      </c>
      <c r="B219" t="s">
        <v>1987</v>
      </c>
      <c r="C219">
        <v>24</v>
      </c>
      <c r="D219" s="2" t="s">
        <v>2083</v>
      </c>
      <c r="E219" s="2" t="s">
        <v>2006</v>
      </c>
      <c r="F219" s="2" t="s">
        <v>2084</v>
      </c>
      <c r="G219" s="2" t="s">
        <v>1991</v>
      </c>
      <c r="H219" s="2" t="s">
        <v>1992</v>
      </c>
      <c r="I219" s="2" t="s">
        <v>2085</v>
      </c>
      <c r="J219" s="253">
        <v>5</v>
      </c>
      <c r="K219" s="49">
        <f>_DATA_Assessment_Model!H219</f>
        <v>0</v>
      </c>
      <c r="L219" s="3">
        <f>_DATA_Assessment_Model!I219</f>
        <v>0</v>
      </c>
      <c r="M219" s="3">
        <f>_DATA_Assessment_Model!J219</f>
        <v>5</v>
      </c>
      <c r="N219" s="3">
        <f>_DATA_Assessment_Model!K219</f>
        <v>5</v>
      </c>
      <c r="O219" s="2" t="str">
        <f>_DATA_Assessment_Model!L219</f>
        <v>Critical</v>
      </c>
      <c r="P219" s="2" t="s">
        <v>833</v>
      </c>
      <c r="Q219" s="2" t="s">
        <v>834</v>
      </c>
      <c r="R219" s="2" t="s">
        <v>835</v>
      </c>
      <c r="S219" s="2" t="s">
        <v>836</v>
      </c>
      <c r="T219" s="2" t="s">
        <v>837</v>
      </c>
      <c r="U219" s="2" t="s">
        <v>838</v>
      </c>
      <c r="V219" s="2" t="s">
        <v>1994</v>
      </c>
      <c r="W219" s="253"/>
      <c r="X219" s="253"/>
      <c r="Y219" s="253" t="s">
        <v>829</v>
      </c>
      <c r="Z219" s="6">
        <v>5</v>
      </c>
      <c r="AA219" s="6">
        <v>5</v>
      </c>
      <c r="AB219" s="6">
        <v>5</v>
      </c>
      <c r="AC219" s="254"/>
      <c r="AK219" s="255"/>
      <c r="AL219" s="255"/>
      <c r="AM219" s="14">
        <f>_DATA_Assessment_Model!AJ219</f>
        <v>0.9</v>
      </c>
      <c r="AN219" s="14">
        <f>_DATA_Assessment_Model!AK219</f>
        <v>0.9</v>
      </c>
      <c r="AO219" s="14">
        <f>_DATA_Assessment_Model!AL219</f>
        <v>0</v>
      </c>
      <c r="AP219" s="14">
        <f>_DATA_Assessment_Model!AM219</f>
        <v>0</v>
      </c>
      <c r="AQ219" s="14">
        <f>_DATA_Assessment_Model!AN219</f>
        <v>0</v>
      </c>
      <c r="AR219" s="14">
        <f>_DATA_Assessment_Model!AO219</f>
        <v>0</v>
      </c>
      <c r="AS219" s="14">
        <f>_DATA_Assessment_Model!AP219</f>
        <v>0</v>
      </c>
      <c r="AT219" s="14">
        <f>_DATA_Assessment_Model!AQ219</f>
        <v>0</v>
      </c>
      <c r="AU219" s="14" t="str">
        <f>_DATA_Assessment_Model!AR219</f>
        <v>Within target</v>
      </c>
      <c r="AV219" s="4">
        <f>_DATA_Assessment_Model!AS219</f>
        <v>0</v>
      </c>
      <c r="AW219" s="4">
        <f>_DATA_Assessment_Model!AT219</f>
        <v>0.9</v>
      </c>
      <c r="AX219" s="254"/>
      <c r="AY219">
        <f>_DATA_Assessment_Model!AV219</f>
        <v>0.9</v>
      </c>
    </row>
    <row r="220" spans="1:51" ht="82.85" customHeight="1">
      <c r="A220" t="s">
        <v>1987</v>
      </c>
      <c r="B220" t="s">
        <v>1987</v>
      </c>
      <c r="C220">
        <v>25</v>
      </c>
      <c r="D220" s="2" t="s">
        <v>2086</v>
      </c>
      <c r="E220" s="2" t="s">
        <v>2006</v>
      </c>
      <c r="F220" s="2" t="s">
        <v>2087</v>
      </c>
      <c r="G220" s="2" t="s">
        <v>1991</v>
      </c>
      <c r="H220" s="2" t="s">
        <v>1992</v>
      </c>
      <c r="I220" s="2" t="s">
        <v>2088</v>
      </c>
      <c r="J220" s="253">
        <v>5</v>
      </c>
      <c r="K220" s="49">
        <f>_DATA_Assessment_Model!H220</f>
        <v>0</v>
      </c>
      <c r="L220" s="3">
        <f>_DATA_Assessment_Model!I220</f>
        <v>0</v>
      </c>
      <c r="M220" s="3">
        <f>_DATA_Assessment_Model!J220</f>
        <v>5</v>
      </c>
      <c r="N220" s="3">
        <f>_DATA_Assessment_Model!K220</f>
        <v>5</v>
      </c>
      <c r="O220" s="2" t="str">
        <f>_DATA_Assessment_Model!L220</f>
        <v>Critical</v>
      </c>
      <c r="P220" s="2" t="s">
        <v>1069</v>
      </c>
      <c r="Q220" s="2" t="s">
        <v>1070</v>
      </c>
      <c r="R220" s="2" t="s">
        <v>1071</v>
      </c>
      <c r="S220" s="2" t="s">
        <v>1072</v>
      </c>
      <c r="T220" s="2" t="s">
        <v>1073</v>
      </c>
      <c r="U220" s="2" t="s">
        <v>1074</v>
      </c>
      <c r="V220" s="2" t="s">
        <v>1994</v>
      </c>
      <c r="W220" s="253"/>
      <c r="X220" s="253"/>
      <c r="Y220" s="253" t="s">
        <v>829</v>
      </c>
      <c r="Z220" s="6">
        <v>4</v>
      </c>
      <c r="AA220" s="6">
        <v>5</v>
      </c>
      <c r="AB220" s="6">
        <v>5</v>
      </c>
      <c r="AC220" s="254"/>
      <c r="AK220" s="255"/>
      <c r="AL220" s="255"/>
      <c r="AM220" s="14">
        <f>_DATA_Assessment_Model!AJ220</f>
        <v>0.9</v>
      </c>
      <c r="AN220" s="14">
        <f>_DATA_Assessment_Model!AK220</f>
        <v>0.9</v>
      </c>
      <c r="AO220" s="14">
        <f>_DATA_Assessment_Model!AL220</f>
        <v>0</v>
      </c>
      <c r="AP220" s="14">
        <f>_DATA_Assessment_Model!AM220</f>
        <v>0</v>
      </c>
      <c r="AQ220" s="14">
        <f>_DATA_Assessment_Model!AN220</f>
        <v>0</v>
      </c>
      <c r="AR220" s="14">
        <f>_DATA_Assessment_Model!AO220</f>
        <v>0</v>
      </c>
      <c r="AS220" s="14">
        <f>_DATA_Assessment_Model!AP220</f>
        <v>0</v>
      </c>
      <c r="AT220" s="14">
        <f>_DATA_Assessment_Model!AQ220</f>
        <v>0</v>
      </c>
      <c r="AU220" s="14" t="str">
        <f>_DATA_Assessment_Model!AR220</f>
        <v>Within target</v>
      </c>
      <c r="AV220" s="4">
        <f>_DATA_Assessment_Model!AS220</f>
        <v>0</v>
      </c>
      <c r="AW220" s="4">
        <f>_DATA_Assessment_Model!AT220</f>
        <v>0.9</v>
      </c>
      <c r="AX220" s="254"/>
      <c r="AY220">
        <f>_DATA_Assessment_Model!AV220</f>
        <v>0.9</v>
      </c>
    </row>
    <row r="221" spans="1:51" ht="96.65" customHeight="1">
      <c r="A221" t="s">
        <v>1987</v>
      </c>
      <c r="B221" t="s">
        <v>1987</v>
      </c>
      <c r="C221">
        <v>26</v>
      </c>
      <c r="D221" s="2" t="s">
        <v>2089</v>
      </c>
      <c r="E221" s="2" t="s">
        <v>2006</v>
      </c>
      <c r="F221" s="2" t="s">
        <v>2090</v>
      </c>
      <c r="G221" s="2" t="s">
        <v>1991</v>
      </c>
      <c r="H221" s="2" t="s">
        <v>1992</v>
      </c>
      <c r="I221" s="2" t="s">
        <v>2091</v>
      </c>
      <c r="J221" s="253">
        <v>3</v>
      </c>
      <c r="K221" s="49">
        <f>_DATA_Assessment_Model!H221</f>
        <v>0</v>
      </c>
      <c r="L221" s="3">
        <f>_DATA_Assessment_Model!I221</f>
        <v>0</v>
      </c>
      <c r="M221" s="3">
        <f>_DATA_Assessment_Model!J221</f>
        <v>3</v>
      </c>
      <c r="N221" s="3">
        <f>_DATA_Assessment_Model!K221</f>
        <v>3</v>
      </c>
      <c r="O221" s="2" t="str">
        <f>_DATA_Assessment_Model!L221</f>
        <v>Critical</v>
      </c>
      <c r="P221" s="2" t="s">
        <v>2092</v>
      </c>
      <c r="Q221" s="2" t="s">
        <v>2093</v>
      </c>
      <c r="R221" s="2" t="s">
        <v>2094</v>
      </c>
      <c r="S221" s="2" t="s">
        <v>2095</v>
      </c>
      <c r="T221" s="2" t="s">
        <v>2096</v>
      </c>
      <c r="U221" s="2" t="s">
        <v>2097</v>
      </c>
      <c r="V221" s="2" t="s">
        <v>1994</v>
      </c>
      <c r="W221" s="253"/>
      <c r="X221" s="253"/>
      <c r="Y221" s="253" t="s">
        <v>829</v>
      </c>
      <c r="Z221" s="6">
        <v>4</v>
      </c>
      <c r="AA221" s="6">
        <v>5</v>
      </c>
      <c r="AB221" s="6">
        <v>5</v>
      </c>
      <c r="AC221" s="254"/>
      <c r="AK221" s="255"/>
      <c r="AL221" s="255"/>
      <c r="AM221" s="14">
        <f>_DATA_Assessment_Model!AJ221</f>
        <v>0.9</v>
      </c>
      <c r="AN221" s="14">
        <f>_DATA_Assessment_Model!AK221</f>
        <v>0.9</v>
      </c>
      <c r="AO221" s="14">
        <f>_DATA_Assessment_Model!AL221</f>
        <v>0</v>
      </c>
      <c r="AP221" s="14">
        <f>_DATA_Assessment_Model!AM221</f>
        <v>0</v>
      </c>
      <c r="AQ221" s="14">
        <f>_DATA_Assessment_Model!AN221</f>
        <v>0</v>
      </c>
      <c r="AR221" s="14">
        <f>_DATA_Assessment_Model!AO221</f>
        <v>0</v>
      </c>
      <c r="AS221" s="14">
        <f>_DATA_Assessment_Model!AP221</f>
        <v>0</v>
      </c>
      <c r="AT221" s="14">
        <f>_DATA_Assessment_Model!AQ221</f>
        <v>0</v>
      </c>
      <c r="AU221" s="14" t="str">
        <f>_DATA_Assessment_Model!AR221</f>
        <v>Within target</v>
      </c>
      <c r="AV221" s="4">
        <f>_DATA_Assessment_Model!AS221</f>
        <v>0</v>
      </c>
      <c r="AW221" s="4">
        <f>_DATA_Assessment_Model!AT221</f>
        <v>0.9</v>
      </c>
      <c r="AX221" s="254"/>
      <c r="AY221">
        <f>_DATA_Assessment_Model!AV221</f>
        <v>0.9</v>
      </c>
    </row>
    <row r="222" spans="1:51" ht="82.85" customHeight="1">
      <c r="A222" t="s">
        <v>1987</v>
      </c>
      <c r="B222" t="s">
        <v>1987</v>
      </c>
      <c r="C222">
        <v>27</v>
      </c>
      <c r="D222" s="2" t="s">
        <v>2098</v>
      </c>
      <c r="E222" s="2" t="s">
        <v>2006</v>
      </c>
      <c r="F222" s="2" t="s">
        <v>2099</v>
      </c>
      <c r="G222" s="2" t="s">
        <v>1991</v>
      </c>
      <c r="H222" s="2" t="s">
        <v>1992</v>
      </c>
      <c r="I222" s="2" t="s">
        <v>2100</v>
      </c>
      <c r="J222" s="253">
        <v>4</v>
      </c>
      <c r="K222" s="49">
        <f>_DATA_Assessment_Model!H222</f>
        <v>0</v>
      </c>
      <c r="L222" s="3">
        <f>_DATA_Assessment_Model!I222</f>
        <v>0</v>
      </c>
      <c r="M222" s="3">
        <f>_DATA_Assessment_Model!J222</f>
        <v>4</v>
      </c>
      <c r="N222" s="3">
        <f>_DATA_Assessment_Model!K222</f>
        <v>4</v>
      </c>
      <c r="O222" s="2" t="str">
        <f>_DATA_Assessment_Model!L222</f>
        <v>Critical</v>
      </c>
      <c r="P222" s="2" t="s">
        <v>2101</v>
      </c>
      <c r="Q222" s="2" t="s">
        <v>2102</v>
      </c>
      <c r="R222" s="2" t="s">
        <v>2103</v>
      </c>
      <c r="S222" s="2" t="s">
        <v>2104</v>
      </c>
      <c r="T222" s="2" t="s">
        <v>2105</v>
      </c>
      <c r="U222" s="2" t="s">
        <v>2106</v>
      </c>
      <c r="V222" s="2" t="s">
        <v>1994</v>
      </c>
      <c r="W222" s="253"/>
      <c r="X222" s="253"/>
      <c r="Y222" s="253" t="s">
        <v>829</v>
      </c>
      <c r="Z222" s="6">
        <v>4</v>
      </c>
      <c r="AA222" s="6">
        <v>5</v>
      </c>
      <c r="AB222" s="6">
        <v>5</v>
      </c>
      <c r="AC222" s="254"/>
      <c r="AK222" s="255"/>
      <c r="AL222" s="255"/>
      <c r="AM222" s="14">
        <f>_DATA_Assessment_Model!AJ222</f>
        <v>0.9</v>
      </c>
      <c r="AN222" s="14">
        <f>_DATA_Assessment_Model!AK222</f>
        <v>0.9</v>
      </c>
      <c r="AO222" s="14">
        <f>_DATA_Assessment_Model!AL222</f>
        <v>0</v>
      </c>
      <c r="AP222" s="14">
        <f>_DATA_Assessment_Model!AM222</f>
        <v>0</v>
      </c>
      <c r="AQ222" s="14">
        <f>_DATA_Assessment_Model!AN222</f>
        <v>0</v>
      </c>
      <c r="AR222" s="14">
        <f>_DATA_Assessment_Model!AO222</f>
        <v>0</v>
      </c>
      <c r="AS222" s="14">
        <f>_DATA_Assessment_Model!AP222</f>
        <v>0</v>
      </c>
      <c r="AT222" s="14">
        <f>_DATA_Assessment_Model!AQ222</f>
        <v>0</v>
      </c>
      <c r="AU222" s="14" t="str">
        <f>_DATA_Assessment_Model!AR222</f>
        <v>Within target</v>
      </c>
      <c r="AV222" s="4">
        <f>_DATA_Assessment_Model!AS222</f>
        <v>0</v>
      </c>
      <c r="AW222" s="4">
        <f>_DATA_Assessment_Model!AT222</f>
        <v>0.9</v>
      </c>
      <c r="AX222" s="254"/>
      <c r="AY222">
        <f>_DATA_Assessment_Model!AV222</f>
        <v>0.9</v>
      </c>
    </row>
    <row r="223" spans="1:51" ht="82.85" customHeight="1">
      <c r="A223" t="s">
        <v>1987</v>
      </c>
      <c r="B223" t="s">
        <v>1987</v>
      </c>
      <c r="C223">
        <v>28</v>
      </c>
      <c r="D223" s="2" t="s">
        <v>2107</v>
      </c>
      <c r="E223" s="2" t="s">
        <v>2006</v>
      </c>
      <c r="F223" s="2" t="s">
        <v>2108</v>
      </c>
      <c r="G223" s="2" t="s">
        <v>1991</v>
      </c>
      <c r="H223" s="2" t="s">
        <v>1992</v>
      </c>
      <c r="I223" s="2" t="s">
        <v>2109</v>
      </c>
      <c r="J223" s="253">
        <v>5</v>
      </c>
      <c r="K223" s="49">
        <f>_DATA_Assessment_Model!H223</f>
        <v>0</v>
      </c>
      <c r="L223" s="3">
        <f>_DATA_Assessment_Model!I223</f>
        <v>0</v>
      </c>
      <c r="M223" s="3">
        <f>_DATA_Assessment_Model!J223</f>
        <v>5</v>
      </c>
      <c r="N223" s="3">
        <f>_DATA_Assessment_Model!K223</f>
        <v>5</v>
      </c>
      <c r="O223" s="2" t="str">
        <f>_DATA_Assessment_Model!L223</f>
        <v>Critical</v>
      </c>
      <c r="P223" s="2" t="s">
        <v>833</v>
      </c>
      <c r="Q223" s="2" t="s">
        <v>834</v>
      </c>
      <c r="R223" s="2" t="s">
        <v>835</v>
      </c>
      <c r="S223" s="2" t="s">
        <v>836</v>
      </c>
      <c r="T223" s="2" t="s">
        <v>837</v>
      </c>
      <c r="U223" s="2" t="s">
        <v>838</v>
      </c>
      <c r="V223" s="2" t="s">
        <v>1994</v>
      </c>
      <c r="W223" s="253"/>
      <c r="X223" s="253"/>
      <c r="Y223" s="253" t="s">
        <v>829</v>
      </c>
      <c r="Z223" s="6">
        <v>5</v>
      </c>
      <c r="AA223" s="6">
        <v>5</v>
      </c>
      <c r="AB223" s="6">
        <v>5</v>
      </c>
      <c r="AC223" s="254"/>
      <c r="AK223" s="255"/>
      <c r="AL223" s="255"/>
      <c r="AM223" s="14">
        <f>_DATA_Assessment_Model!AJ223</f>
        <v>0.9</v>
      </c>
      <c r="AN223" s="14">
        <f>_DATA_Assessment_Model!AK223</f>
        <v>0.9</v>
      </c>
      <c r="AO223" s="14">
        <f>_DATA_Assessment_Model!AL223</f>
        <v>0</v>
      </c>
      <c r="AP223" s="14">
        <f>_DATA_Assessment_Model!AM223</f>
        <v>0</v>
      </c>
      <c r="AQ223" s="14">
        <f>_DATA_Assessment_Model!AN223</f>
        <v>0</v>
      </c>
      <c r="AR223" s="14">
        <f>_DATA_Assessment_Model!AO223</f>
        <v>0</v>
      </c>
      <c r="AS223" s="14">
        <f>_DATA_Assessment_Model!AP223</f>
        <v>0</v>
      </c>
      <c r="AT223" s="14">
        <f>_DATA_Assessment_Model!AQ223</f>
        <v>0</v>
      </c>
      <c r="AU223" s="14" t="str">
        <f>_DATA_Assessment_Model!AR223</f>
        <v>Within target</v>
      </c>
      <c r="AV223" s="4">
        <f>_DATA_Assessment_Model!AS223</f>
        <v>0</v>
      </c>
      <c r="AW223" s="4">
        <f>_DATA_Assessment_Model!AT223</f>
        <v>0.9</v>
      </c>
      <c r="AX223" s="254"/>
      <c r="AY223">
        <f>_DATA_Assessment_Model!AV223</f>
        <v>0.9</v>
      </c>
    </row>
    <row r="224" spans="1:51" ht="82.85" customHeight="1">
      <c r="A224" t="s">
        <v>1987</v>
      </c>
      <c r="B224" t="s">
        <v>1987</v>
      </c>
      <c r="C224">
        <v>29</v>
      </c>
      <c r="D224" s="2" t="s">
        <v>2110</v>
      </c>
      <c r="E224" s="2" t="s">
        <v>2006</v>
      </c>
      <c r="F224" s="2" t="s">
        <v>2111</v>
      </c>
      <c r="G224" s="2" t="s">
        <v>1991</v>
      </c>
      <c r="H224" s="2" t="s">
        <v>1992</v>
      </c>
      <c r="I224" s="2" t="s">
        <v>2112</v>
      </c>
      <c r="J224" s="253">
        <v>5</v>
      </c>
      <c r="K224" s="49">
        <f>_DATA_Assessment_Model!H224</f>
        <v>0</v>
      </c>
      <c r="L224" s="3">
        <f>_DATA_Assessment_Model!I224</f>
        <v>0</v>
      </c>
      <c r="M224" s="3">
        <f>_DATA_Assessment_Model!J224</f>
        <v>5</v>
      </c>
      <c r="N224" s="3">
        <f>_DATA_Assessment_Model!K224</f>
        <v>5</v>
      </c>
      <c r="O224" s="2" t="str">
        <f>_DATA_Assessment_Model!L224</f>
        <v>Critical</v>
      </c>
      <c r="P224" s="2" t="s">
        <v>833</v>
      </c>
      <c r="Q224" s="2" t="s">
        <v>834</v>
      </c>
      <c r="R224" s="2" t="s">
        <v>835</v>
      </c>
      <c r="S224" s="2" t="s">
        <v>836</v>
      </c>
      <c r="T224" s="2" t="s">
        <v>837</v>
      </c>
      <c r="U224" s="2" t="s">
        <v>838</v>
      </c>
      <c r="V224" s="2" t="s">
        <v>1994</v>
      </c>
      <c r="W224" s="253"/>
      <c r="X224" s="253"/>
      <c r="Y224" s="253" t="s">
        <v>829</v>
      </c>
      <c r="Z224" s="6">
        <v>4</v>
      </c>
      <c r="AA224" s="6">
        <v>5</v>
      </c>
      <c r="AB224" s="6">
        <v>5</v>
      </c>
      <c r="AC224" s="254"/>
      <c r="AK224" s="255"/>
      <c r="AL224" s="255"/>
      <c r="AM224" s="14">
        <f>_DATA_Assessment_Model!AJ224</f>
        <v>0.9</v>
      </c>
      <c r="AN224" s="14">
        <f>_DATA_Assessment_Model!AK224</f>
        <v>0.9</v>
      </c>
      <c r="AO224" s="14">
        <f>_DATA_Assessment_Model!AL224</f>
        <v>0</v>
      </c>
      <c r="AP224" s="14">
        <f>_DATA_Assessment_Model!AM224</f>
        <v>0</v>
      </c>
      <c r="AQ224" s="14">
        <f>_DATA_Assessment_Model!AN224</f>
        <v>0</v>
      </c>
      <c r="AR224" s="14">
        <f>_DATA_Assessment_Model!AO224</f>
        <v>0</v>
      </c>
      <c r="AS224" s="14">
        <f>_DATA_Assessment_Model!AP224</f>
        <v>0</v>
      </c>
      <c r="AT224" s="14">
        <f>_DATA_Assessment_Model!AQ224</f>
        <v>0</v>
      </c>
      <c r="AU224" s="14" t="str">
        <f>_DATA_Assessment_Model!AR224</f>
        <v>Within target</v>
      </c>
      <c r="AV224" s="4">
        <f>_DATA_Assessment_Model!AS224</f>
        <v>0</v>
      </c>
      <c r="AW224" s="4">
        <f>_DATA_Assessment_Model!AT224</f>
        <v>0.9</v>
      </c>
      <c r="AX224" s="254"/>
      <c r="AY224">
        <f>_DATA_Assessment_Model!AV224</f>
        <v>0.9</v>
      </c>
    </row>
    <row r="225" spans="1:51" ht="99">
      <c r="A225" t="s">
        <v>1987</v>
      </c>
      <c r="B225" t="s">
        <v>1987</v>
      </c>
      <c r="C225">
        <v>30</v>
      </c>
      <c r="D225" t="s">
        <v>2113</v>
      </c>
      <c r="E225" t="s">
        <v>2010</v>
      </c>
      <c r="F225" s="2" t="s">
        <v>2114</v>
      </c>
      <c r="G225" s="2" t="s">
        <v>2115</v>
      </c>
      <c r="H225" t="s">
        <v>2116</v>
      </c>
      <c r="I225" t="s">
        <v>1993</v>
      </c>
      <c r="J225" s="254">
        <v>4</v>
      </c>
      <c r="K225">
        <f>_DATA_Assessment_Model!H225</f>
        <v>0</v>
      </c>
      <c r="L225">
        <f>_DATA_Assessment_Model!I225</f>
        <v>0</v>
      </c>
      <c r="M225">
        <f>_DATA_Assessment_Model!J225</f>
        <v>4</v>
      </c>
      <c r="N225">
        <f>_DATA_Assessment_Model!K225</f>
        <v>4</v>
      </c>
      <c r="O225" t="str">
        <f>_DATA_Assessment_Model!L225</f>
        <v>Critical</v>
      </c>
      <c r="P225" t="s">
        <v>2117</v>
      </c>
      <c r="Q225" t="s">
        <v>2118</v>
      </c>
      <c r="R225" t="s">
        <v>2119</v>
      </c>
      <c r="S225" t="s">
        <v>2120</v>
      </c>
      <c r="T225" t="s">
        <v>2121</v>
      </c>
      <c r="U225" t="s">
        <v>2122</v>
      </c>
      <c r="V225" t="s">
        <v>2123</v>
      </c>
      <c r="W225" s="254"/>
      <c r="X225" s="254"/>
      <c r="Y225" s="254" t="s">
        <v>829</v>
      </c>
      <c r="Z225">
        <v>3</v>
      </c>
      <c r="AA225">
        <v>4</v>
      </c>
      <c r="AB225">
        <v>5</v>
      </c>
      <c r="AC225" s="254"/>
      <c r="AK225" s="254"/>
      <c r="AL225" s="254"/>
      <c r="AM225">
        <f>_DATA_Assessment_Model!AJ225</f>
        <v>0.9</v>
      </c>
      <c r="AN225">
        <f>_DATA_Assessment_Model!AK225</f>
        <v>0.9</v>
      </c>
      <c r="AO225">
        <f>_DATA_Assessment_Model!AL225</f>
        <v>0</v>
      </c>
      <c r="AP225">
        <f>_DATA_Assessment_Model!AM225</f>
        <v>0</v>
      </c>
      <c r="AQ225">
        <f>_DATA_Assessment_Model!AN225</f>
        <v>0</v>
      </c>
      <c r="AR225">
        <f>_DATA_Assessment_Model!AO225</f>
        <v>0</v>
      </c>
      <c r="AS225">
        <f>_DATA_Assessment_Model!AP225</f>
        <v>0</v>
      </c>
      <c r="AT225">
        <f>_DATA_Assessment_Model!AQ225</f>
        <v>0</v>
      </c>
      <c r="AU225" t="str">
        <f>_DATA_Assessment_Model!AR225</f>
        <v>Within target</v>
      </c>
      <c r="AV225">
        <f>_DATA_Assessment_Model!AS225</f>
        <v>0</v>
      </c>
      <c r="AW225">
        <f>_DATA_Assessment_Model!AT225</f>
        <v>0.9</v>
      </c>
      <c r="AX225" s="254"/>
      <c r="AY225">
        <f>_DATA_Assessment_Model!AV225</f>
        <v>0.9</v>
      </c>
    </row>
    <row r="226" spans="1:51" ht="99">
      <c r="A226" t="s">
        <v>1987</v>
      </c>
      <c r="B226" t="s">
        <v>1987</v>
      </c>
      <c r="C226">
        <v>31</v>
      </c>
      <c r="D226" t="s">
        <v>2124</v>
      </c>
      <c r="E226" t="s">
        <v>2010</v>
      </c>
      <c r="F226" s="2" t="s">
        <v>2125</v>
      </c>
      <c r="G226" s="2" t="s">
        <v>2126</v>
      </c>
      <c r="H226" t="s">
        <v>2127</v>
      </c>
      <c r="I226" t="s">
        <v>1993</v>
      </c>
      <c r="J226" s="254">
        <v>5</v>
      </c>
      <c r="K226">
        <f>_DATA_Assessment_Model!H226</f>
        <v>0</v>
      </c>
      <c r="L226">
        <f>_DATA_Assessment_Model!I226</f>
        <v>0</v>
      </c>
      <c r="M226">
        <f>_DATA_Assessment_Model!J226</f>
        <v>5</v>
      </c>
      <c r="N226">
        <f>_DATA_Assessment_Model!K226</f>
        <v>5</v>
      </c>
      <c r="O226" t="str">
        <f>_DATA_Assessment_Model!L226</f>
        <v>Critical</v>
      </c>
      <c r="P226" t="s">
        <v>833</v>
      </c>
      <c r="Q226" t="s">
        <v>834</v>
      </c>
      <c r="R226" t="s">
        <v>835</v>
      </c>
      <c r="S226" t="s">
        <v>836</v>
      </c>
      <c r="T226" t="s">
        <v>837</v>
      </c>
      <c r="U226" t="s">
        <v>838</v>
      </c>
      <c r="V226" t="s">
        <v>2128</v>
      </c>
      <c r="W226" s="254"/>
      <c r="X226" s="254"/>
      <c r="Y226" s="254" t="s">
        <v>829</v>
      </c>
      <c r="Z226">
        <v>4</v>
      </c>
      <c r="AA226">
        <v>5</v>
      </c>
      <c r="AB226">
        <v>4</v>
      </c>
      <c r="AC226" s="254"/>
      <c r="AK226" s="254"/>
      <c r="AL226" s="254"/>
      <c r="AM226">
        <f>_DATA_Assessment_Model!AJ226</f>
        <v>0.9</v>
      </c>
      <c r="AN226">
        <f>_DATA_Assessment_Model!AK226</f>
        <v>0.9</v>
      </c>
      <c r="AO226">
        <f>_DATA_Assessment_Model!AL226</f>
        <v>0</v>
      </c>
      <c r="AP226">
        <f>_DATA_Assessment_Model!AM226</f>
        <v>0</v>
      </c>
      <c r="AQ226">
        <f>_DATA_Assessment_Model!AN226</f>
        <v>0</v>
      </c>
      <c r="AR226">
        <f>_DATA_Assessment_Model!AO226</f>
        <v>0</v>
      </c>
      <c r="AS226">
        <f>_DATA_Assessment_Model!AP226</f>
        <v>0</v>
      </c>
      <c r="AT226">
        <f>_DATA_Assessment_Model!AQ226</f>
        <v>0</v>
      </c>
      <c r="AU226" t="str">
        <f>_DATA_Assessment_Model!AR226</f>
        <v>Within target</v>
      </c>
      <c r="AV226">
        <f>_DATA_Assessment_Model!AS226</f>
        <v>0</v>
      </c>
      <c r="AW226">
        <f>_DATA_Assessment_Model!AT226</f>
        <v>0.9</v>
      </c>
      <c r="AX226" s="254"/>
      <c r="AY226">
        <f>_DATA_Assessment_Model!AV226</f>
        <v>0.9</v>
      </c>
    </row>
    <row r="227" spans="1:51" ht="84.9">
      <c r="A227" t="s">
        <v>1987</v>
      </c>
      <c r="B227" t="s">
        <v>1987</v>
      </c>
      <c r="C227">
        <v>32</v>
      </c>
      <c r="D227" t="s">
        <v>2129</v>
      </c>
      <c r="E227" t="s">
        <v>2010</v>
      </c>
      <c r="F227" s="2" t="s">
        <v>2130</v>
      </c>
      <c r="G227" s="2" t="s">
        <v>2131</v>
      </c>
      <c r="H227" t="s">
        <v>2132</v>
      </c>
      <c r="I227" t="s">
        <v>1993</v>
      </c>
      <c r="J227" s="254">
        <v>3</v>
      </c>
      <c r="K227">
        <f>_DATA_Assessment_Model!H227</f>
        <v>0</v>
      </c>
      <c r="L227">
        <f>_DATA_Assessment_Model!I227</f>
        <v>0</v>
      </c>
      <c r="M227">
        <f>_DATA_Assessment_Model!J227</f>
        <v>3</v>
      </c>
      <c r="N227">
        <f>_DATA_Assessment_Model!K227</f>
        <v>3</v>
      </c>
      <c r="O227" t="str">
        <f>_DATA_Assessment_Model!L227</f>
        <v>Critical</v>
      </c>
      <c r="P227" t="s">
        <v>2133</v>
      </c>
      <c r="Q227" t="s">
        <v>2134</v>
      </c>
      <c r="R227" t="s">
        <v>2135</v>
      </c>
      <c r="S227" t="s">
        <v>2136</v>
      </c>
      <c r="T227" t="s">
        <v>2137</v>
      </c>
      <c r="U227" t="s">
        <v>2138</v>
      </c>
      <c r="V227" t="s">
        <v>2139</v>
      </c>
      <c r="W227" s="254"/>
      <c r="X227" s="254"/>
      <c r="Y227" s="254" t="s">
        <v>829</v>
      </c>
      <c r="Z227">
        <v>4</v>
      </c>
      <c r="AA227">
        <v>4</v>
      </c>
      <c r="AB227">
        <v>4</v>
      </c>
      <c r="AC227" s="254"/>
      <c r="AK227" s="254"/>
      <c r="AL227" s="254"/>
      <c r="AM227">
        <f>_DATA_Assessment_Model!AJ227</f>
        <v>0.9</v>
      </c>
      <c r="AN227">
        <f>_DATA_Assessment_Model!AK227</f>
        <v>0.9</v>
      </c>
      <c r="AO227">
        <f>_DATA_Assessment_Model!AL227</f>
        <v>0</v>
      </c>
      <c r="AP227">
        <f>_DATA_Assessment_Model!AM227</f>
        <v>0</v>
      </c>
      <c r="AQ227">
        <f>_DATA_Assessment_Model!AN227</f>
        <v>0</v>
      </c>
      <c r="AR227">
        <f>_DATA_Assessment_Model!AO227</f>
        <v>0</v>
      </c>
      <c r="AS227">
        <f>_DATA_Assessment_Model!AP227</f>
        <v>0</v>
      </c>
      <c r="AT227">
        <f>_DATA_Assessment_Model!AQ227</f>
        <v>0</v>
      </c>
      <c r="AU227" t="str">
        <f>_DATA_Assessment_Model!AR227</f>
        <v>Within target</v>
      </c>
      <c r="AV227">
        <f>_DATA_Assessment_Model!AS227</f>
        <v>0</v>
      </c>
      <c r="AW227">
        <f>_DATA_Assessment_Model!AT227</f>
        <v>0.9</v>
      </c>
      <c r="AX227" s="254"/>
      <c r="AY227">
        <f>_DATA_Assessment_Model!AV227</f>
        <v>0.9</v>
      </c>
    </row>
    <row r="228" spans="1:51" ht="99">
      <c r="A228" t="s">
        <v>1987</v>
      </c>
      <c r="B228" t="s">
        <v>1987</v>
      </c>
      <c r="C228">
        <v>33</v>
      </c>
      <c r="D228" t="s">
        <v>2140</v>
      </c>
      <c r="E228" t="s">
        <v>2010</v>
      </c>
      <c r="F228" s="2" t="s">
        <v>2141</v>
      </c>
      <c r="G228" s="2" t="s">
        <v>2142</v>
      </c>
      <c r="H228" t="s">
        <v>2143</v>
      </c>
      <c r="I228" t="s">
        <v>1993</v>
      </c>
      <c r="J228" s="254">
        <v>4</v>
      </c>
      <c r="K228">
        <f>_DATA_Assessment_Model!H228</f>
        <v>0</v>
      </c>
      <c r="L228">
        <f>_DATA_Assessment_Model!I228</f>
        <v>0</v>
      </c>
      <c r="M228">
        <f>_DATA_Assessment_Model!J228</f>
        <v>4</v>
      </c>
      <c r="N228">
        <f>_DATA_Assessment_Model!K228</f>
        <v>4</v>
      </c>
      <c r="O228" t="str">
        <f>_DATA_Assessment_Model!L228</f>
        <v>Critical</v>
      </c>
      <c r="P228" t="s">
        <v>1202</v>
      </c>
      <c r="Q228" t="s">
        <v>1203</v>
      </c>
      <c r="R228" t="s">
        <v>1204</v>
      </c>
      <c r="S228" t="s">
        <v>1205</v>
      </c>
      <c r="T228" t="s">
        <v>1206</v>
      </c>
      <c r="U228" t="s">
        <v>1207</v>
      </c>
      <c r="V228" t="s">
        <v>2144</v>
      </c>
      <c r="W228" s="254"/>
      <c r="X228" s="254"/>
      <c r="Y228" s="254" t="s">
        <v>829</v>
      </c>
      <c r="Z228">
        <v>3</v>
      </c>
      <c r="AA228">
        <v>5</v>
      </c>
      <c r="AB228">
        <v>4</v>
      </c>
      <c r="AC228" s="254"/>
      <c r="AK228" s="254"/>
      <c r="AL228" s="254"/>
      <c r="AM228">
        <f>_DATA_Assessment_Model!AJ228</f>
        <v>0.9</v>
      </c>
      <c r="AN228">
        <f>_DATA_Assessment_Model!AK228</f>
        <v>0.9</v>
      </c>
      <c r="AO228">
        <f>_DATA_Assessment_Model!AL228</f>
        <v>0</v>
      </c>
      <c r="AP228">
        <f>_DATA_Assessment_Model!AM228</f>
        <v>0</v>
      </c>
      <c r="AQ228">
        <f>_DATA_Assessment_Model!AN228</f>
        <v>0</v>
      </c>
      <c r="AR228">
        <f>_DATA_Assessment_Model!AO228</f>
        <v>0</v>
      </c>
      <c r="AS228">
        <f>_DATA_Assessment_Model!AP228</f>
        <v>0</v>
      </c>
      <c r="AT228">
        <f>_DATA_Assessment_Model!AQ228</f>
        <v>0</v>
      </c>
      <c r="AU228" t="str">
        <f>_DATA_Assessment_Model!AR228</f>
        <v>Within target</v>
      </c>
      <c r="AV228">
        <f>_DATA_Assessment_Model!AS228</f>
        <v>0</v>
      </c>
      <c r="AW228">
        <f>_DATA_Assessment_Model!AT228</f>
        <v>0.9</v>
      </c>
      <c r="AX228" s="254"/>
      <c r="AY228">
        <f>_DATA_Assessment_Model!AV228</f>
        <v>0.9</v>
      </c>
    </row>
    <row r="229" spans="1:51" ht="82.85" customHeight="1">
      <c r="A229" t="s">
        <v>2145</v>
      </c>
      <c r="B229" t="s">
        <v>2145</v>
      </c>
      <c r="C229">
        <v>5</v>
      </c>
      <c r="D229" s="2" t="s">
        <v>2146</v>
      </c>
      <c r="E229" s="2" t="s">
        <v>2147</v>
      </c>
      <c r="F229" s="2" t="s">
        <v>2148</v>
      </c>
      <c r="G229" s="2" t="s">
        <v>2149</v>
      </c>
      <c r="H229" s="2" t="s">
        <v>2150</v>
      </c>
      <c r="I229" s="2" t="s">
        <v>2151</v>
      </c>
      <c r="J229" s="253">
        <v>5</v>
      </c>
      <c r="K229" s="49">
        <f>_DATA_Assessment_Model!H229</f>
        <v>0</v>
      </c>
      <c r="L229" s="3">
        <f>_DATA_Assessment_Model!I229</f>
        <v>0</v>
      </c>
      <c r="M229" s="3">
        <f>_DATA_Assessment_Model!J229</f>
        <v>5</v>
      </c>
      <c r="N229" s="3">
        <f>_DATA_Assessment_Model!K229</f>
        <v>5</v>
      </c>
      <c r="O229" s="2" t="str">
        <f>_DATA_Assessment_Model!L229</f>
        <v>Critical</v>
      </c>
      <c r="P229" s="2" t="s">
        <v>874</v>
      </c>
      <c r="Q229" s="2" t="s">
        <v>875</v>
      </c>
      <c r="R229" s="2" t="s">
        <v>876</v>
      </c>
      <c r="S229" s="2" t="s">
        <v>877</v>
      </c>
      <c r="T229" s="2" t="s">
        <v>878</v>
      </c>
      <c r="U229" s="2" t="s">
        <v>879</v>
      </c>
      <c r="V229" s="2" t="s">
        <v>2152</v>
      </c>
      <c r="W229" s="253"/>
      <c r="X229" s="253"/>
      <c r="Y229" s="253" t="s">
        <v>829</v>
      </c>
      <c r="Z229" s="6">
        <v>5</v>
      </c>
      <c r="AA229" s="6">
        <v>5</v>
      </c>
      <c r="AB229" s="6">
        <v>5</v>
      </c>
      <c r="AC229" s="254"/>
      <c r="AD229" t="s">
        <v>2147</v>
      </c>
      <c r="AE229" s="5">
        <f>_DATA_Assessment_Model!AB229</f>
        <v>6</v>
      </c>
      <c r="AF229" s="7">
        <f>_DATA_Assessment_Model!AC229</f>
        <v>0</v>
      </c>
      <c r="AG229" s="8">
        <f>_DATA_Assessment_Model!AD229</f>
        <v>0</v>
      </c>
      <c r="AH229" s="5">
        <f>_DATA_Assessment_Model!AE229</f>
        <v>6</v>
      </c>
      <c r="AI229" s="7">
        <f>_DATA_Assessment_Model!AF229</f>
        <v>5</v>
      </c>
      <c r="AJ229" s="5">
        <f>_DATA_Assessment_Model!AG229</f>
        <v>6</v>
      </c>
      <c r="AK229" s="255"/>
      <c r="AL229" s="255"/>
      <c r="AM229" s="14">
        <f>_DATA_Assessment_Model!AJ229</f>
        <v>0.9</v>
      </c>
      <c r="AN229" s="14">
        <f>_DATA_Assessment_Model!AK229</f>
        <v>0.9</v>
      </c>
      <c r="AO229" s="14">
        <f>_DATA_Assessment_Model!AL229</f>
        <v>0</v>
      </c>
      <c r="AP229" s="14">
        <f>_DATA_Assessment_Model!AM229</f>
        <v>0</v>
      </c>
      <c r="AQ229" s="14">
        <f>_DATA_Assessment_Model!AN229</f>
        <v>0</v>
      </c>
      <c r="AR229" s="14">
        <f>_DATA_Assessment_Model!AO229</f>
        <v>0</v>
      </c>
      <c r="AS229" s="14">
        <f>_DATA_Assessment_Model!AP229</f>
        <v>0</v>
      </c>
      <c r="AT229" s="14">
        <f>_DATA_Assessment_Model!AQ229</f>
        <v>0</v>
      </c>
      <c r="AU229" s="14" t="str">
        <f>_DATA_Assessment_Model!AR229</f>
        <v>Within target</v>
      </c>
      <c r="AV229" s="4">
        <f>_DATA_Assessment_Model!AS229</f>
        <v>0</v>
      </c>
      <c r="AW229" s="4">
        <f>_DATA_Assessment_Model!AT229</f>
        <v>0.9</v>
      </c>
      <c r="AX229" s="254"/>
      <c r="AY229">
        <f>_DATA_Assessment_Model!AV229</f>
        <v>0.9</v>
      </c>
    </row>
    <row r="230" spans="1:51" ht="82.85" customHeight="1">
      <c r="A230" t="s">
        <v>2145</v>
      </c>
      <c r="B230" t="s">
        <v>2145</v>
      </c>
      <c r="C230">
        <v>6</v>
      </c>
      <c r="D230" s="2" t="s">
        <v>2153</v>
      </c>
      <c r="E230" s="2" t="s">
        <v>2147</v>
      </c>
      <c r="F230" s="2" t="s">
        <v>2154</v>
      </c>
      <c r="G230" s="2" t="s">
        <v>2149</v>
      </c>
      <c r="H230" s="2" t="s">
        <v>2150</v>
      </c>
      <c r="I230" s="2" t="s">
        <v>2155</v>
      </c>
      <c r="J230" s="253">
        <v>5</v>
      </c>
      <c r="K230" s="49">
        <f>_DATA_Assessment_Model!H230</f>
        <v>0</v>
      </c>
      <c r="L230" s="3">
        <f>_DATA_Assessment_Model!I230</f>
        <v>0</v>
      </c>
      <c r="M230" s="3">
        <f>_DATA_Assessment_Model!J230</f>
        <v>5</v>
      </c>
      <c r="N230" s="3">
        <f>_DATA_Assessment_Model!K230</f>
        <v>5</v>
      </c>
      <c r="O230" s="2" t="str">
        <f>_DATA_Assessment_Model!L230</f>
        <v>Critical</v>
      </c>
      <c r="P230" s="2" t="s">
        <v>1051</v>
      </c>
      <c r="Q230" s="2" t="s">
        <v>1052</v>
      </c>
      <c r="R230" s="2" t="s">
        <v>1053</v>
      </c>
      <c r="S230" s="2" t="s">
        <v>1054</v>
      </c>
      <c r="T230" s="2" t="s">
        <v>1055</v>
      </c>
      <c r="U230" s="2" t="s">
        <v>1056</v>
      </c>
      <c r="V230" s="2" t="s">
        <v>2152</v>
      </c>
      <c r="W230" s="253"/>
      <c r="X230" s="253"/>
      <c r="Y230" s="253" t="s">
        <v>829</v>
      </c>
      <c r="Z230" s="6">
        <v>5</v>
      </c>
      <c r="AA230" s="6">
        <v>5</v>
      </c>
      <c r="AB230" s="6">
        <v>5</v>
      </c>
      <c r="AC230" s="254"/>
      <c r="AD230" t="s">
        <v>2156</v>
      </c>
      <c r="AE230" s="5">
        <f>_DATA_Assessment_Model!AB230</f>
        <v>6</v>
      </c>
      <c r="AF230" s="7">
        <f>_DATA_Assessment_Model!AC230</f>
        <v>0</v>
      </c>
      <c r="AG230" s="8">
        <f>_DATA_Assessment_Model!AD230</f>
        <v>0</v>
      </c>
      <c r="AH230" s="5">
        <f>_DATA_Assessment_Model!AE230</f>
        <v>6</v>
      </c>
      <c r="AI230" s="7">
        <f>_DATA_Assessment_Model!AF230</f>
        <v>5</v>
      </c>
      <c r="AJ230" s="5">
        <f>_DATA_Assessment_Model!AG230</f>
        <v>6</v>
      </c>
      <c r="AK230" s="255"/>
      <c r="AL230" s="255"/>
      <c r="AM230" s="14">
        <f>_DATA_Assessment_Model!AJ230</f>
        <v>0.9</v>
      </c>
      <c r="AN230" s="14">
        <f>_DATA_Assessment_Model!AK230</f>
        <v>0.9</v>
      </c>
      <c r="AO230" s="14">
        <f>_DATA_Assessment_Model!AL230</f>
        <v>0</v>
      </c>
      <c r="AP230" s="14">
        <f>_DATA_Assessment_Model!AM230</f>
        <v>0</v>
      </c>
      <c r="AQ230" s="14">
        <f>_DATA_Assessment_Model!AN230</f>
        <v>0</v>
      </c>
      <c r="AR230" s="14">
        <f>_DATA_Assessment_Model!AO230</f>
        <v>0</v>
      </c>
      <c r="AS230" s="14">
        <f>_DATA_Assessment_Model!AP230</f>
        <v>0</v>
      </c>
      <c r="AT230" s="14">
        <f>_DATA_Assessment_Model!AQ230</f>
        <v>0</v>
      </c>
      <c r="AU230" s="14" t="str">
        <f>_DATA_Assessment_Model!AR230</f>
        <v>Within target</v>
      </c>
      <c r="AV230" s="4">
        <f>_DATA_Assessment_Model!AS230</f>
        <v>0</v>
      </c>
      <c r="AW230" s="4">
        <f>_DATA_Assessment_Model!AT230</f>
        <v>0.9</v>
      </c>
      <c r="AX230" s="254"/>
      <c r="AY230">
        <f>_DATA_Assessment_Model!AV230</f>
        <v>0.9</v>
      </c>
    </row>
    <row r="231" spans="1:51" ht="82.85" customHeight="1">
      <c r="A231" t="s">
        <v>2145</v>
      </c>
      <c r="B231" t="s">
        <v>2145</v>
      </c>
      <c r="C231">
        <v>7</v>
      </c>
      <c r="D231" s="2" t="s">
        <v>2157</v>
      </c>
      <c r="E231" s="2" t="s">
        <v>2147</v>
      </c>
      <c r="F231" s="2" t="s">
        <v>2158</v>
      </c>
      <c r="G231" s="2" t="s">
        <v>2149</v>
      </c>
      <c r="H231" s="2" t="s">
        <v>2150</v>
      </c>
      <c r="I231" s="2" t="s">
        <v>2159</v>
      </c>
      <c r="J231" s="253">
        <v>3</v>
      </c>
      <c r="K231" s="49">
        <f>_DATA_Assessment_Model!H231</f>
        <v>0</v>
      </c>
      <c r="L231" s="3">
        <f>_DATA_Assessment_Model!I231</f>
        <v>0</v>
      </c>
      <c r="M231" s="3">
        <f>_DATA_Assessment_Model!J231</f>
        <v>3</v>
      </c>
      <c r="N231" s="3">
        <f>_DATA_Assessment_Model!K231</f>
        <v>3</v>
      </c>
      <c r="O231" s="2" t="str">
        <f>_DATA_Assessment_Model!L231</f>
        <v>Critical</v>
      </c>
      <c r="P231" s="2" t="s">
        <v>2160</v>
      </c>
      <c r="Q231" s="2" t="s">
        <v>2161</v>
      </c>
      <c r="R231" s="2" t="s">
        <v>2162</v>
      </c>
      <c r="S231" s="2" t="s">
        <v>2163</v>
      </c>
      <c r="T231" s="2" t="s">
        <v>2164</v>
      </c>
      <c r="U231" s="2" t="s">
        <v>2165</v>
      </c>
      <c r="V231" s="2" t="s">
        <v>2152</v>
      </c>
      <c r="W231" s="253"/>
      <c r="X231" s="253"/>
      <c r="Y231" s="253" t="s">
        <v>829</v>
      </c>
      <c r="Z231" s="6">
        <v>5</v>
      </c>
      <c r="AA231" s="6">
        <v>5</v>
      </c>
      <c r="AB231" s="6">
        <v>5</v>
      </c>
      <c r="AC231" s="254"/>
      <c r="AD231" t="s">
        <v>2166</v>
      </c>
      <c r="AE231" s="5">
        <f>_DATA_Assessment_Model!AB231</f>
        <v>6</v>
      </c>
      <c r="AF231" s="7">
        <f>_DATA_Assessment_Model!AC231</f>
        <v>0</v>
      </c>
      <c r="AG231" s="8">
        <f>_DATA_Assessment_Model!AD231</f>
        <v>0</v>
      </c>
      <c r="AH231" s="5">
        <f>_DATA_Assessment_Model!AE231</f>
        <v>6</v>
      </c>
      <c r="AI231" s="7">
        <f>_DATA_Assessment_Model!AF231</f>
        <v>5</v>
      </c>
      <c r="AJ231" s="5">
        <f>_DATA_Assessment_Model!AG231</f>
        <v>6</v>
      </c>
      <c r="AK231" s="255"/>
      <c r="AL231" s="255"/>
      <c r="AM231" s="14">
        <f>_DATA_Assessment_Model!AJ231</f>
        <v>0.9</v>
      </c>
      <c r="AN231" s="14">
        <f>_DATA_Assessment_Model!AK231</f>
        <v>0.9</v>
      </c>
      <c r="AO231" s="14">
        <f>_DATA_Assessment_Model!AL231</f>
        <v>0</v>
      </c>
      <c r="AP231" s="14">
        <f>_DATA_Assessment_Model!AM231</f>
        <v>0</v>
      </c>
      <c r="AQ231" s="14">
        <f>_DATA_Assessment_Model!AN231</f>
        <v>0</v>
      </c>
      <c r="AR231" s="14">
        <f>_DATA_Assessment_Model!AO231</f>
        <v>0</v>
      </c>
      <c r="AS231" s="14">
        <f>_DATA_Assessment_Model!AP231</f>
        <v>0</v>
      </c>
      <c r="AT231" s="14">
        <f>_DATA_Assessment_Model!AQ231</f>
        <v>0</v>
      </c>
      <c r="AU231" s="14" t="str">
        <f>_DATA_Assessment_Model!AR231</f>
        <v>Within target</v>
      </c>
      <c r="AV231" s="4">
        <f>_DATA_Assessment_Model!AS231</f>
        <v>0</v>
      </c>
      <c r="AW231" s="4">
        <f>_DATA_Assessment_Model!AT231</f>
        <v>0.9</v>
      </c>
      <c r="AX231" s="254"/>
      <c r="AY231">
        <f>_DATA_Assessment_Model!AV231</f>
        <v>0.9</v>
      </c>
    </row>
    <row r="232" spans="1:51" ht="82.85" customHeight="1">
      <c r="A232" t="s">
        <v>2145</v>
      </c>
      <c r="B232" t="s">
        <v>2145</v>
      </c>
      <c r="C232">
        <v>8</v>
      </c>
      <c r="D232" s="2" t="s">
        <v>2167</v>
      </c>
      <c r="E232" s="2" t="s">
        <v>2147</v>
      </c>
      <c r="F232" s="2" t="s">
        <v>2168</v>
      </c>
      <c r="G232" s="2" t="s">
        <v>2149</v>
      </c>
      <c r="H232" s="2" t="s">
        <v>2150</v>
      </c>
      <c r="I232" s="2" t="s">
        <v>2169</v>
      </c>
      <c r="J232" s="253">
        <v>5</v>
      </c>
      <c r="K232" s="49">
        <f>_DATA_Assessment_Model!H232</f>
        <v>0</v>
      </c>
      <c r="L232" s="3">
        <f>_DATA_Assessment_Model!I232</f>
        <v>0</v>
      </c>
      <c r="M232" s="3">
        <f>_DATA_Assessment_Model!J232</f>
        <v>5</v>
      </c>
      <c r="N232" s="3">
        <f>_DATA_Assessment_Model!K232</f>
        <v>5</v>
      </c>
      <c r="O232" s="2" t="str">
        <f>_DATA_Assessment_Model!L232</f>
        <v>Critical</v>
      </c>
      <c r="P232" s="2" t="s">
        <v>833</v>
      </c>
      <c r="Q232" s="2" t="s">
        <v>834</v>
      </c>
      <c r="R232" s="2" t="s">
        <v>835</v>
      </c>
      <c r="S232" s="2" t="s">
        <v>836</v>
      </c>
      <c r="T232" s="2" t="s">
        <v>837</v>
      </c>
      <c r="U232" s="2" t="s">
        <v>838</v>
      </c>
      <c r="V232" s="2" t="s">
        <v>2152</v>
      </c>
      <c r="W232" s="253"/>
      <c r="X232" s="253"/>
      <c r="Y232" s="253" t="s">
        <v>829</v>
      </c>
      <c r="Z232" s="6">
        <v>5</v>
      </c>
      <c r="AA232" s="6">
        <v>5</v>
      </c>
      <c r="AB232" s="6">
        <v>5</v>
      </c>
      <c r="AC232" s="254"/>
      <c r="AD232" t="s">
        <v>2170</v>
      </c>
      <c r="AE232" s="5">
        <f>_DATA_Assessment_Model!AB232</f>
        <v>6</v>
      </c>
      <c r="AF232" s="7">
        <f>_DATA_Assessment_Model!AC232</f>
        <v>0</v>
      </c>
      <c r="AG232" s="8">
        <f>_DATA_Assessment_Model!AD232</f>
        <v>0</v>
      </c>
      <c r="AH232" s="5">
        <f>_DATA_Assessment_Model!AE232</f>
        <v>6</v>
      </c>
      <c r="AI232" s="7">
        <f>_DATA_Assessment_Model!AF232</f>
        <v>5</v>
      </c>
      <c r="AJ232" s="5">
        <f>_DATA_Assessment_Model!AG232</f>
        <v>6</v>
      </c>
      <c r="AK232" s="255"/>
      <c r="AL232" s="255"/>
      <c r="AM232" s="14">
        <f>_DATA_Assessment_Model!AJ232</f>
        <v>0.9</v>
      </c>
      <c r="AN232" s="14">
        <f>_DATA_Assessment_Model!AK232</f>
        <v>0.9</v>
      </c>
      <c r="AO232" s="14">
        <f>_DATA_Assessment_Model!AL232</f>
        <v>0</v>
      </c>
      <c r="AP232" s="14">
        <f>_DATA_Assessment_Model!AM232</f>
        <v>0</v>
      </c>
      <c r="AQ232" s="14">
        <f>_DATA_Assessment_Model!AN232</f>
        <v>0</v>
      </c>
      <c r="AR232" s="14">
        <f>_DATA_Assessment_Model!AO232</f>
        <v>0</v>
      </c>
      <c r="AS232" s="14">
        <f>_DATA_Assessment_Model!AP232</f>
        <v>0</v>
      </c>
      <c r="AT232" s="14">
        <f>_DATA_Assessment_Model!AQ232</f>
        <v>0</v>
      </c>
      <c r="AU232" s="14" t="str">
        <f>_DATA_Assessment_Model!AR232</f>
        <v>Within target</v>
      </c>
      <c r="AV232" s="4">
        <f>_DATA_Assessment_Model!AS232</f>
        <v>0</v>
      </c>
      <c r="AW232" s="4">
        <f>_DATA_Assessment_Model!AT232</f>
        <v>0.9</v>
      </c>
      <c r="AX232" s="254"/>
      <c r="AY232">
        <f>_DATA_Assessment_Model!AV232</f>
        <v>0.9</v>
      </c>
    </row>
    <row r="233" spans="1:51" ht="69" customHeight="1">
      <c r="A233" t="s">
        <v>2145</v>
      </c>
      <c r="B233" t="s">
        <v>2145</v>
      </c>
      <c r="C233">
        <v>9</v>
      </c>
      <c r="D233" s="2" t="s">
        <v>2171</v>
      </c>
      <c r="E233" s="2" t="s">
        <v>2147</v>
      </c>
      <c r="F233" s="2" t="s">
        <v>2172</v>
      </c>
      <c r="G233" s="2" t="s">
        <v>2149</v>
      </c>
      <c r="H233" s="2" t="s">
        <v>2150</v>
      </c>
      <c r="I233" s="2" t="s">
        <v>2173</v>
      </c>
      <c r="J233" s="253">
        <v>5</v>
      </c>
      <c r="K233" s="49">
        <f>_DATA_Assessment_Model!H233</f>
        <v>0</v>
      </c>
      <c r="L233" s="3">
        <f>_DATA_Assessment_Model!I233</f>
        <v>0</v>
      </c>
      <c r="M233" s="3">
        <f>_DATA_Assessment_Model!J233</f>
        <v>5</v>
      </c>
      <c r="N233" s="3">
        <f>_DATA_Assessment_Model!K233</f>
        <v>5</v>
      </c>
      <c r="O233" s="2" t="str">
        <f>_DATA_Assessment_Model!L233</f>
        <v>Critical</v>
      </c>
      <c r="P233" s="2" t="s">
        <v>833</v>
      </c>
      <c r="Q233" s="2" t="s">
        <v>834</v>
      </c>
      <c r="R233" s="2" t="s">
        <v>835</v>
      </c>
      <c r="S233" s="2" t="s">
        <v>836</v>
      </c>
      <c r="T233" s="2" t="s">
        <v>837</v>
      </c>
      <c r="U233" s="2" t="s">
        <v>838</v>
      </c>
      <c r="V233" s="2" t="s">
        <v>2152</v>
      </c>
      <c r="W233" s="253"/>
      <c r="X233" s="253"/>
      <c r="Y233" s="253" t="s">
        <v>829</v>
      </c>
      <c r="Z233" s="6">
        <v>5</v>
      </c>
      <c r="AA233" s="6">
        <v>5</v>
      </c>
      <c r="AB233" s="6">
        <v>5</v>
      </c>
      <c r="AC233" s="254"/>
      <c r="AD233" t="s">
        <v>2174</v>
      </c>
      <c r="AE233" s="5">
        <f>_DATA_Assessment_Model!AB233</f>
        <v>4</v>
      </c>
      <c r="AF233" s="7">
        <f>_DATA_Assessment_Model!AC233</f>
        <v>0</v>
      </c>
      <c r="AG233" s="8">
        <f>_DATA_Assessment_Model!AD233</f>
        <v>0</v>
      </c>
      <c r="AH233" s="5">
        <f>_DATA_Assessment_Model!AE233</f>
        <v>4</v>
      </c>
      <c r="AI233" s="7">
        <f>_DATA_Assessment_Model!AF233</f>
        <v>5</v>
      </c>
      <c r="AJ233" s="5">
        <f>_DATA_Assessment_Model!AG233</f>
        <v>4</v>
      </c>
      <c r="AK233" s="255"/>
      <c r="AL233" s="255"/>
      <c r="AM233" s="14">
        <f>_DATA_Assessment_Model!AJ233</f>
        <v>0.9</v>
      </c>
      <c r="AN233" s="14">
        <f>_DATA_Assessment_Model!AK233</f>
        <v>0.9</v>
      </c>
      <c r="AO233" s="14">
        <f>_DATA_Assessment_Model!AL233</f>
        <v>0</v>
      </c>
      <c r="AP233" s="14">
        <f>_DATA_Assessment_Model!AM233</f>
        <v>0</v>
      </c>
      <c r="AQ233" s="14">
        <f>_DATA_Assessment_Model!AN233</f>
        <v>0</v>
      </c>
      <c r="AR233" s="14">
        <f>_DATA_Assessment_Model!AO233</f>
        <v>0</v>
      </c>
      <c r="AS233" s="14">
        <f>_DATA_Assessment_Model!AP233</f>
        <v>0</v>
      </c>
      <c r="AT233" s="14">
        <f>_DATA_Assessment_Model!AQ233</f>
        <v>0</v>
      </c>
      <c r="AU233" s="14" t="str">
        <f>_DATA_Assessment_Model!AR233</f>
        <v>Within target</v>
      </c>
      <c r="AV233" s="4">
        <f>_DATA_Assessment_Model!AS233</f>
        <v>0</v>
      </c>
      <c r="AW233" s="4">
        <f>_DATA_Assessment_Model!AT233</f>
        <v>0.9</v>
      </c>
      <c r="AX233" s="254"/>
      <c r="AY233">
        <f>_DATA_Assessment_Model!AV233</f>
        <v>0.9</v>
      </c>
    </row>
    <row r="234" spans="1:51" ht="82.85" customHeight="1">
      <c r="A234" t="s">
        <v>2145</v>
      </c>
      <c r="B234" t="s">
        <v>2145</v>
      </c>
      <c r="C234">
        <v>10</v>
      </c>
      <c r="D234" s="2" t="s">
        <v>2175</v>
      </c>
      <c r="E234" s="2" t="s">
        <v>2147</v>
      </c>
      <c r="F234" s="2" t="s">
        <v>2176</v>
      </c>
      <c r="G234" s="2" t="s">
        <v>2149</v>
      </c>
      <c r="H234" s="2" t="s">
        <v>2150</v>
      </c>
      <c r="I234" s="2" t="s">
        <v>2177</v>
      </c>
      <c r="J234" s="253">
        <v>5</v>
      </c>
      <c r="K234" s="49">
        <f>_DATA_Assessment_Model!H234</f>
        <v>0</v>
      </c>
      <c r="L234" s="3">
        <f>_DATA_Assessment_Model!I234</f>
        <v>0</v>
      </c>
      <c r="M234" s="3">
        <f>_DATA_Assessment_Model!J234</f>
        <v>5</v>
      </c>
      <c r="N234" s="3">
        <f>_DATA_Assessment_Model!K234</f>
        <v>5</v>
      </c>
      <c r="O234" s="2" t="str">
        <f>_DATA_Assessment_Model!L234</f>
        <v>Critical</v>
      </c>
      <c r="P234" s="2" t="s">
        <v>833</v>
      </c>
      <c r="Q234" s="2" t="s">
        <v>834</v>
      </c>
      <c r="R234" s="2" t="s">
        <v>835</v>
      </c>
      <c r="S234" s="2" t="s">
        <v>836</v>
      </c>
      <c r="T234" s="2" t="s">
        <v>837</v>
      </c>
      <c r="U234" s="2" t="s">
        <v>838</v>
      </c>
      <c r="V234" s="2" t="s">
        <v>2152</v>
      </c>
      <c r="W234" s="253"/>
      <c r="X234" s="253"/>
      <c r="Y234" s="253" t="s">
        <v>829</v>
      </c>
      <c r="Z234" s="6">
        <v>5</v>
      </c>
      <c r="AA234" s="6">
        <v>5</v>
      </c>
      <c r="AB234" s="6">
        <v>5</v>
      </c>
      <c r="AC234" s="254"/>
      <c r="AK234" s="255"/>
      <c r="AL234" s="255"/>
      <c r="AM234" s="14">
        <f>_DATA_Assessment_Model!AJ234</f>
        <v>0.9</v>
      </c>
      <c r="AN234" s="14">
        <f>_DATA_Assessment_Model!AK234</f>
        <v>0.9</v>
      </c>
      <c r="AO234" s="14">
        <f>_DATA_Assessment_Model!AL234</f>
        <v>0</v>
      </c>
      <c r="AP234" s="14">
        <f>_DATA_Assessment_Model!AM234</f>
        <v>0</v>
      </c>
      <c r="AQ234" s="14">
        <f>_DATA_Assessment_Model!AN234</f>
        <v>0</v>
      </c>
      <c r="AR234" s="14">
        <f>_DATA_Assessment_Model!AO234</f>
        <v>0</v>
      </c>
      <c r="AS234" s="14">
        <f>_DATA_Assessment_Model!AP234</f>
        <v>0</v>
      </c>
      <c r="AT234" s="14">
        <f>_DATA_Assessment_Model!AQ234</f>
        <v>0</v>
      </c>
      <c r="AU234" s="14" t="str">
        <f>_DATA_Assessment_Model!AR234</f>
        <v>Within target</v>
      </c>
      <c r="AV234" s="4">
        <f>_DATA_Assessment_Model!AS234</f>
        <v>0</v>
      </c>
      <c r="AW234" s="4">
        <f>_DATA_Assessment_Model!AT234</f>
        <v>0.9</v>
      </c>
      <c r="AX234" s="254"/>
      <c r="AY234">
        <f>_DATA_Assessment_Model!AV234</f>
        <v>0.9</v>
      </c>
    </row>
    <row r="235" spans="1:51" ht="82.85" customHeight="1">
      <c r="A235" t="s">
        <v>2145</v>
      </c>
      <c r="B235" t="s">
        <v>2145</v>
      </c>
      <c r="C235">
        <v>11</v>
      </c>
      <c r="D235" s="2" t="s">
        <v>2178</v>
      </c>
      <c r="E235" s="2" t="s">
        <v>2156</v>
      </c>
      <c r="F235" s="2" t="s">
        <v>2179</v>
      </c>
      <c r="G235" s="2" t="s">
        <v>2149</v>
      </c>
      <c r="H235" s="2" t="s">
        <v>2150</v>
      </c>
      <c r="I235" s="2" t="s">
        <v>2180</v>
      </c>
      <c r="J235" s="253">
        <v>5</v>
      </c>
      <c r="K235" s="49">
        <f>_DATA_Assessment_Model!H235</f>
        <v>0</v>
      </c>
      <c r="L235" s="3">
        <f>_DATA_Assessment_Model!I235</f>
        <v>0</v>
      </c>
      <c r="M235" s="3">
        <f>_DATA_Assessment_Model!J235</f>
        <v>5</v>
      </c>
      <c r="N235" s="3">
        <f>_DATA_Assessment_Model!K235</f>
        <v>5</v>
      </c>
      <c r="O235" s="2" t="str">
        <f>_DATA_Assessment_Model!L235</f>
        <v>Critical</v>
      </c>
      <c r="P235" s="2" t="s">
        <v>833</v>
      </c>
      <c r="Q235" s="2" t="s">
        <v>834</v>
      </c>
      <c r="R235" s="2" t="s">
        <v>835</v>
      </c>
      <c r="S235" s="2" t="s">
        <v>836</v>
      </c>
      <c r="T235" s="2" t="s">
        <v>837</v>
      </c>
      <c r="U235" s="2" t="s">
        <v>838</v>
      </c>
      <c r="V235" s="2" t="s">
        <v>2152</v>
      </c>
      <c r="W235" s="253"/>
      <c r="X235" s="253"/>
      <c r="Y235" s="253" t="s">
        <v>829</v>
      </c>
      <c r="Z235" s="6">
        <v>5</v>
      </c>
      <c r="AA235" s="6">
        <v>5</v>
      </c>
      <c r="AB235" s="6">
        <v>5</v>
      </c>
      <c r="AC235" s="254"/>
      <c r="AK235" s="255"/>
      <c r="AL235" s="255"/>
      <c r="AM235" s="14">
        <f>_DATA_Assessment_Model!AJ235</f>
        <v>0.9</v>
      </c>
      <c r="AN235" s="14">
        <f>_DATA_Assessment_Model!AK235</f>
        <v>0.9</v>
      </c>
      <c r="AO235" s="14">
        <f>_DATA_Assessment_Model!AL235</f>
        <v>0</v>
      </c>
      <c r="AP235" s="14">
        <f>_DATA_Assessment_Model!AM235</f>
        <v>0</v>
      </c>
      <c r="AQ235" s="14">
        <f>_DATA_Assessment_Model!AN235</f>
        <v>0</v>
      </c>
      <c r="AR235" s="14">
        <f>_DATA_Assessment_Model!AO235</f>
        <v>0</v>
      </c>
      <c r="AS235" s="14">
        <f>_DATA_Assessment_Model!AP235</f>
        <v>0</v>
      </c>
      <c r="AT235" s="14">
        <f>_DATA_Assessment_Model!AQ235</f>
        <v>0</v>
      </c>
      <c r="AU235" s="14" t="str">
        <f>_DATA_Assessment_Model!AR235</f>
        <v>Within target</v>
      </c>
      <c r="AV235" s="4">
        <f>_DATA_Assessment_Model!AS235</f>
        <v>0</v>
      </c>
      <c r="AW235" s="4">
        <f>_DATA_Assessment_Model!AT235</f>
        <v>0.9</v>
      </c>
      <c r="AX235" s="254"/>
      <c r="AY235">
        <f>_DATA_Assessment_Model!AV235</f>
        <v>0.9</v>
      </c>
    </row>
    <row r="236" spans="1:51" ht="69" customHeight="1">
      <c r="A236" t="s">
        <v>2145</v>
      </c>
      <c r="B236" t="s">
        <v>2145</v>
      </c>
      <c r="C236">
        <v>12</v>
      </c>
      <c r="D236" s="2" t="s">
        <v>2181</v>
      </c>
      <c r="E236" s="2" t="s">
        <v>2156</v>
      </c>
      <c r="F236" s="2" t="s">
        <v>2182</v>
      </c>
      <c r="G236" s="2" t="s">
        <v>2149</v>
      </c>
      <c r="H236" s="2" t="s">
        <v>2150</v>
      </c>
      <c r="I236" s="2" t="s">
        <v>2183</v>
      </c>
      <c r="J236" s="253">
        <v>5</v>
      </c>
      <c r="K236" s="49">
        <f>_DATA_Assessment_Model!H236</f>
        <v>0</v>
      </c>
      <c r="L236" s="3">
        <f>_DATA_Assessment_Model!I236</f>
        <v>0</v>
      </c>
      <c r="M236" s="3">
        <f>_DATA_Assessment_Model!J236</f>
        <v>5</v>
      </c>
      <c r="N236" s="3">
        <f>_DATA_Assessment_Model!K236</f>
        <v>5</v>
      </c>
      <c r="O236" s="2" t="str">
        <f>_DATA_Assessment_Model!L236</f>
        <v>Critical</v>
      </c>
      <c r="P236" s="2" t="s">
        <v>874</v>
      </c>
      <c r="Q236" s="2" t="s">
        <v>875</v>
      </c>
      <c r="R236" s="2" t="s">
        <v>876</v>
      </c>
      <c r="S236" s="2" t="s">
        <v>877</v>
      </c>
      <c r="T236" s="2" t="s">
        <v>878</v>
      </c>
      <c r="U236" s="2" t="s">
        <v>879</v>
      </c>
      <c r="V236" s="2" t="s">
        <v>2152</v>
      </c>
      <c r="W236" s="253"/>
      <c r="X236" s="253"/>
      <c r="Y236" s="253" t="s">
        <v>829</v>
      </c>
      <c r="Z236" s="6">
        <v>5</v>
      </c>
      <c r="AA236" s="6">
        <v>5</v>
      </c>
      <c r="AB236" s="6">
        <v>5</v>
      </c>
      <c r="AC236" s="254"/>
      <c r="AK236" s="255"/>
      <c r="AL236" s="255"/>
      <c r="AM236" s="14">
        <f>_DATA_Assessment_Model!AJ236</f>
        <v>0.9</v>
      </c>
      <c r="AN236" s="14">
        <f>_DATA_Assessment_Model!AK236</f>
        <v>0.9</v>
      </c>
      <c r="AO236" s="14">
        <f>_DATA_Assessment_Model!AL236</f>
        <v>0</v>
      </c>
      <c r="AP236" s="14">
        <f>_DATA_Assessment_Model!AM236</f>
        <v>0</v>
      </c>
      <c r="AQ236" s="14">
        <f>_DATA_Assessment_Model!AN236</f>
        <v>0</v>
      </c>
      <c r="AR236" s="14">
        <f>_DATA_Assessment_Model!AO236</f>
        <v>0</v>
      </c>
      <c r="AS236" s="14">
        <f>_DATA_Assessment_Model!AP236</f>
        <v>0</v>
      </c>
      <c r="AT236" s="14">
        <f>_DATA_Assessment_Model!AQ236</f>
        <v>0</v>
      </c>
      <c r="AU236" s="14" t="str">
        <f>_DATA_Assessment_Model!AR236</f>
        <v>Within target</v>
      </c>
      <c r="AV236" s="4">
        <f>_DATA_Assessment_Model!AS236</f>
        <v>0</v>
      </c>
      <c r="AW236" s="4">
        <f>_DATA_Assessment_Model!AT236</f>
        <v>0.9</v>
      </c>
      <c r="AX236" s="254"/>
      <c r="AY236">
        <f>_DATA_Assessment_Model!AV236</f>
        <v>0.9</v>
      </c>
    </row>
    <row r="237" spans="1:51" ht="82.85" customHeight="1">
      <c r="A237" t="s">
        <v>2145</v>
      </c>
      <c r="B237" t="s">
        <v>2145</v>
      </c>
      <c r="C237">
        <v>13</v>
      </c>
      <c r="D237" s="2" t="s">
        <v>2184</v>
      </c>
      <c r="E237" s="2" t="s">
        <v>2156</v>
      </c>
      <c r="F237" s="2" t="s">
        <v>2185</v>
      </c>
      <c r="G237" s="2" t="s">
        <v>2149</v>
      </c>
      <c r="H237" s="2" t="s">
        <v>2150</v>
      </c>
      <c r="I237" s="2" t="s">
        <v>2186</v>
      </c>
      <c r="J237" s="253">
        <v>5</v>
      </c>
      <c r="K237" s="49">
        <f>_DATA_Assessment_Model!H237</f>
        <v>0</v>
      </c>
      <c r="L237" s="3">
        <f>_DATA_Assessment_Model!I237</f>
        <v>0</v>
      </c>
      <c r="M237" s="3">
        <f>_DATA_Assessment_Model!J237</f>
        <v>5</v>
      </c>
      <c r="N237" s="3">
        <f>_DATA_Assessment_Model!K237</f>
        <v>5</v>
      </c>
      <c r="O237" s="2" t="str">
        <f>_DATA_Assessment_Model!L237</f>
        <v>Critical</v>
      </c>
      <c r="P237" s="2" t="s">
        <v>833</v>
      </c>
      <c r="Q237" s="2" t="s">
        <v>834</v>
      </c>
      <c r="R237" s="2" t="s">
        <v>835</v>
      </c>
      <c r="S237" s="2" t="s">
        <v>836</v>
      </c>
      <c r="T237" s="2" t="s">
        <v>837</v>
      </c>
      <c r="U237" s="2" t="s">
        <v>838</v>
      </c>
      <c r="V237" s="2" t="s">
        <v>2152</v>
      </c>
      <c r="W237" s="253"/>
      <c r="X237" s="253"/>
      <c r="Y237" s="253" t="s">
        <v>829</v>
      </c>
      <c r="Z237" s="6">
        <v>5</v>
      </c>
      <c r="AA237" s="6">
        <v>5</v>
      </c>
      <c r="AB237" s="6">
        <v>5</v>
      </c>
      <c r="AC237" s="254"/>
      <c r="AK237" s="255"/>
      <c r="AL237" s="255"/>
      <c r="AM237" s="14">
        <f>_DATA_Assessment_Model!AJ237</f>
        <v>0.9</v>
      </c>
      <c r="AN237" s="14">
        <f>_DATA_Assessment_Model!AK237</f>
        <v>0.9</v>
      </c>
      <c r="AO237" s="14">
        <f>_DATA_Assessment_Model!AL237</f>
        <v>0</v>
      </c>
      <c r="AP237" s="14">
        <f>_DATA_Assessment_Model!AM237</f>
        <v>0</v>
      </c>
      <c r="AQ237" s="14">
        <f>_DATA_Assessment_Model!AN237</f>
        <v>0</v>
      </c>
      <c r="AR237" s="14">
        <f>_DATA_Assessment_Model!AO237</f>
        <v>0</v>
      </c>
      <c r="AS237" s="14">
        <f>_DATA_Assessment_Model!AP237</f>
        <v>0</v>
      </c>
      <c r="AT237" s="14">
        <f>_DATA_Assessment_Model!AQ237</f>
        <v>0</v>
      </c>
      <c r="AU237" s="14" t="str">
        <f>_DATA_Assessment_Model!AR237</f>
        <v>Within target</v>
      </c>
      <c r="AV237" s="4">
        <f>_DATA_Assessment_Model!AS237</f>
        <v>0</v>
      </c>
      <c r="AW237" s="4">
        <f>_DATA_Assessment_Model!AT237</f>
        <v>0.9</v>
      </c>
      <c r="AX237" s="254"/>
      <c r="AY237">
        <f>_DATA_Assessment_Model!AV237</f>
        <v>0.9</v>
      </c>
    </row>
    <row r="238" spans="1:51" ht="96.65" customHeight="1">
      <c r="A238" t="s">
        <v>2145</v>
      </c>
      <c r="B238" t="s">
        <v>2145</v>
      </c>
      <c r="C238">
        <v>14</v>
      </c>
      <c r="D238" s="2" t="s">
        <v>2187</v>
      </c>
      <c r="E238" s="2" t="s">
        <v>2156</v>
      </c>
      <c r="F238" s="2" t="s">
        <v>2188</v>
      </c>
      <c r="G238" s="2" t="s">
        <v>2149</v>
      </c>
      <c r="H238" s="2" t="s">
        <v>2150</v>
      </c>
      <c r="I238" s="2" t="s">
        <v>2189</v>
      </c>
      <c r="J238" s="253">
        <v>4</v>
      </c>
      <c r="K238" s="49">
        <f>_DATA_Assessment_Model!H238</f>
        <v>0</v>
      </c>
      <c r="L238" s="3">
        <f>_DATA_Assessment_Model!I238</f>
        <v>0</v>
      </c>
      <c r="M238" s="3">
        <f>_DATA_Assessment_Model!J238</f>
        <v>4</v>
      </c>
      <c r="N238" s="3">
        <f>_DATA_Assessment_Model!K238</f>
        <v>4</v>
      </c>
      <c r="O238" s="2" t="str">
        <f>_DATA_Assessment_Model!L238</f>
        <v>Critical</v>
      </c>
      <c r="P238" s="2" t="s">
        <v>2190</v>
      </c>
      <c r="Q238" s="2" t="s">
        <v>2191</v>
      </c>
      <c r="R238" s="2" t="s">
        <v>2192</v>
      </c>
      <c r="S238" s="2" t="s">
        <v>2193</v>
      </c>
      <c r="T238" s="2" t="s">
        <v>2194</v>
      </c>
      <c r="U238" s="2" t="s">
        <v>2195</v>
      </c>
      <c r="V238" s="2" t="s">
        <v>2152</v>
      </c>
      <c r="W238" s="253"/>
      <c r="X238" s="253"/>
      <c r="Y238" s="253" t="s">
        <v>829</v>
      </c>
      <c r="Z238" s="6">
        <v>5</v>
      </c>
      <c r="AA238" s="6">
        <v>5</v>
      </c>
      <c r="AB238" s="6">
        <v>5</v>
      </c>
      <c r="AC238" s="254"/>
      <c r="AK238" s="255"/>
      <c r="AL238" s="255"/>
      <c r="AM238" s="14">
        <f>_DATA_Assessment_Model!AJ238</f>
        <v>0.9</v>
      </c>
      <c r="AN238" s="14">
        <f>_DATA_Assessment_Model!AK238</f>
        <v>0.9</v>
      </c>
      <c r="AO238" s="14">
        <f>_DATA_Assessment_Model!AL238</f>
        <v>0</v>
      </c>
      <c r="AP238" s="14">
        <f>_DATA_Assessment_Model!AM238</f>
        <v>0</v>
      </c>
      <c r="AQ238" s="14">
        <f>_DATA_Assessment_Model!AN238</f>
        <v>0</v>
      </c>
      <c r="AR238" s="14">
        <f>_DATA_Assessment_Model!AO238</f>
        <v>0</v>
      </c>
      <c r="AS238" s="14">
        <f>_DATA_Assessment_Model!AP238</f>
        <v>0</v>
      </c>
      <c r="AT238" s="14">
        <f>_DATA_Assessment_Model!AQ238</f>
        <v>0</v>
      </c>
      <c r="AU238" s="14" t="str">
        <f>_DATA_Assessment_Model!AR238</f>
        <v>Within target</v>
      </c>
      <c r="AV238" s="4">
        <f>_DATA_Assessment_Model!AS238</f>
        <v>0</v>
      </c>
      <c r="AW238" s="4">
        <f>_DATA_Assessment_Model!AT238</f>
        <v>0.9</v>
      </c>
      <c r="AX238" s="254"/>
      <c r="AY238">
        <f>_DATA_Assessment_Model!AV238</f>
        <v>0.9</v>
      </c>
    </row>
    <row r="239" spans="1:51" ht="96.65" customHeight="1">
      <c r="A239" t="s">
        <v>2145</v>
      </c>
      <c r="B239" t="s">
        <v>2145</v>
      </c>
      <c r="C239">
        <v>15</v>
      </c>
      <c r="D239" s="2" t="s">
        <v>2196</v>
      </c>
      <c r="E239" s="2" t="s">
        <v>2156</v>
      </c>
      <c r="F239" s="2" t="s">
        <v>2197</v>
      </c>
      <c r="G239" s="2" t="s">
        <v>2149</v>
      </c>
      <c r="H239" s="2" t="s">
        <v>2150</v>
      </c>
      <c r="I239" s="2" t="s">
        <v>2198</v>
      </c>
      <c r="J239" s="253">
        <v>3</v>
      </c>
      <c r="K239" s="49">
        <f>_DATA_Assessment_Model!H239</f>
        <v>0</v>
      </c>
      <c r="L239" s="3">
        <f>_DATA_Assessment_Model!I239</f>
        <v>0</v>
      </c>
      <c r="M239" s="3">
        <f>_DATA_Assessment_Model!J239</f>
        <v>3</v>
      </c>
      <c r="N239" s="3">
        <f>_DATA_Assessment_Model!K239</f>
        <v>3</v>
      </c>
      <c r="O239" s="2" t="str">
        <f>_DATA_Assessment_Model!L239</f>
        <v>Critical</v>
      </c>
      <c r="P239" s="2" t="s">
        <v>2199</v>
      </c>
      <c r="Q239" s="2" t="s">
        <v>2200</v>
      </c>
      <c r="R239" s="2" t="s">
        <v>2201</v>
      </c>
      <c r="S239" s="2" t="s">
        <v>2202</v>
      </c>
      <c r="T239" s="2" t="s">
        <v>2203</v>
      </c>
      <c r="U239" s="2" t="s">
        <v>2204</v>
      </c>
      <c r="V239" s="2" t="s">
        <v>2152</v>
      </c>
      <c r="W239" s="253"/>
      <c r="X239" s="253"/>
      <c r="Y239" s="253" t="s">
        <v>829</v>
      </c>
      <c r="Z239" s="6">
        <v>5</v>
      </c>
      <c r="AA239" s="6">
        <v>5</v>
      </c>
      <c r="AB239" s="6">
        <v>5</v>
      </c>
      <c r="AC239" s="254"/>
      <c r="AK239" s="255"/>
      <c r="AL239" s="255"/>
      <c r="AM239" s="14">
        <f>_DATA_Assessment_Model!AJ239</f>
        <v>0.9</v>
      </c>
      <c r="AN239" s="14">
        <f>_DATA_Assessment_Model!AK239</f>
        <v>0.9</v>
      </c>
      <c r="AO239" s="14">
        <f>_DATA_Assessment_Model!AL239</f>
        <v>0</v>
      </c>
      <c r="AP239" s="14">
        <f>_DATA_Assessment_Model!AM239</f>
        <v>0</v>
      </c>
      <c r="AQ239" s="14">
        <f>_DATA_Assessment_Model!AN239</f>
        <v>0</v>
      </c>
      <c r="AR239" s="14">
        <f>_DATA_Assessment_Model!AO239</f>
        <v>0</v>
      </c>
      <c r="AS239" s="14">
        <f>_DATA_Assessment_Model!AP239</f>
        <v>0</v>
      </c>
      <c r="AT239" s="14">
        <f>_DATA_Assessment_Model!AQ239</f>
        <v>0</v>
      </c>
      <c r="AU239" s="14" t="str">
        <f>_DATA_Assessment_Model!AR239</f>
        <v>Within target</v>
      </c>
      <c r="AV239" s="4">
        <f>_DATA_Assessment_Model!AS239</f>
        <v>0</v>
      </c>
      <c r="AW239" s="4">
        <f>_DATA_Assessment_Model!AT239</f>
        <v>0.9</v>
      </c>
      <c r="AX239" s="254"/>
      <c r="AY239">
        <f>_DATA_Assessment_Model!AV239</f>
        <v>0.9</v>
      </c>
    </row>
    <row r="240" spans="1:51" ht="82.85" customHeight="1">
      <c r="A240" t="s">
        <v>2145</v>
      </c>
      <c r="B240" t="s">
        <v>2145</v>
      </c>
      <c r="C240">
        <v>16</v>
      </c>
      <c r="D240" s="2" t="s">
        <v>2205</v>
      </c>
      <c r="E240" s="2" t="s">
        <v>2156</v>
      </c>
      <c r="F240" s="2" t="s">
        <v>2206</v>
      </c>
      <c r="G240" s="2" t="s">
        <v>2149</v>
      </c>
      <c r="H240" s="2" t="s">
        <v>2150</v>
      </c>
      <c r="I240" s="2" t="s">
        <v>2207</v>
      </c>
      <c r="J240" s="253">
        <v>5</v>
      </c>
      <c r="K240" s="49">
        <f>_DATA_Assessment_Model!H240</f>
        <v>0</v>
      </c>
      <c r="L240" s="3">
        <f>_DATA_Assessment_Model!I240</f>
        <v>0</v>
      </c>
      <c r="M240" s="3">
        <f>_DATA_Assessment_Model!J240</f>
        <v>5</v>
      </c>
      <c r="N240" s="3">
        <f>_DATA_Assessment_Model!K240</f>
        <v>5</v>
      </c>
      <c r="O240" s="2" t="str">
        <f>_DATA_Assessment_Model!L240</f>
        <v>Critical</v>
      </c>
      <c r="P240" s="2" t="s">
        <v>833</v>
      </c>
      <c r="Q240" s="2" t="s">
        <v>834</v>
      </c>
      <c r="R240" s="2" t="s">
        <v>835</v>
      </c>
      <c r="S240" s="2" t="s">
        <v>836</v>
      </c>
      <c r="T240" s="2" t="s">
        <v>837</v>
      </c>
      <c r="U240" s="2" t="s">
        <v>838</v>
      </c>
      <c r="V240" s="2" t="s">
        <v>2152</v>
      </c>
      <c r="W240" s="253"/>
      <c r="X240" s="253"/>
      <c r="Y240" s="253" t="s">
        <v>829</v>
      </c>
      <c r="Z240" s="6">
        <v>5</v>
      </c>
      <c r="AA240" s="6">
        <v>5</v>
      </c>
      <c r="AB240" s="6">
        <v>5</v>
      </c>
      <c r="AC240" s="254"/>
      <c r="AK240" s="255"/>
      <c r="AL240" s="255"/>
      <c r="AM240" s="14">
        <f>_DATA_Assessment_Model!AJ240</f>
        <v>0.9</v>
      </c>
      <c r="AN240" s="14">
        <f>_DATA_Assessment_Model!AK240</f>
        <v>0.9</v>
      </c>
      <c r="AO240" s="14">
        <f>_DATA_Assessment_Model!AL240</f>
        <v>0</v>
      </c>
      <c r="AP240" s="14">
        <f>_DATA_Assessment_Model!AM240</f>
        <v>0</v>
      </c>
      <c r="AQ240" s="14">
        <f>_DATA_Assessment_Model!AN240</f>
        <v>0</v>
      </c>
      <c r="AR240" s="14">
        <f>_DATA_Assessment_Model!AO240</f>
        <v>0</v>
      </c>
      <c r="AS240" s="14">
        <f>_DATA_Assessment_Model!AP240</f>
        <v>0</v>
      </c>
      <c r="AT240" s="14">
        <f>_DATA_Assessment_Model!AQ240</f>
        <v>0</v>
      </c>
      <c r="AU240" s="14" t="str">
        <f>_DATA_Assessment_Model!AR240</f>
        <v>Within target</v>
      </c>
      <c r="AV240" s="4">
        <f>_DATA_Assessment_Model!AS240</f>
        <v>0</v>
      </c>
      <c r="AW240" s="4">
        <f>_DATA_Assessment_Model!AT240</f>
        <v>0.9</v>
      </c>
      <c r="AX240" s="254"/>
      <c r="AY240">
        <f>_DATA_Assessment_Model!AV240</f>
        <v>0.9</v>
      </c>
    </row>
    <row r="241" spans="1:51" ht="82.85" customHeight="1">
      <c r="A241" t="s">
        <v>2145</v>
      </c>
      <c r="B241" t="s">
        <v>2145</v>
      </c>
      <c r="C241">
        <v>17</v>
      </c>
      <c r="D241" s="2" t="s">
        <v>2208</v>
      </c>
      <c r="E241" s="2" t="s">
        <v>2166</v>
      </c>
      <c r="F241" s="2" t="s">
        <v>2209</v>
      </c>
      <c r="G241" s="2" t="s">
        <v>2149</v>
      </c>
      <c r="H241" s="2" t="s">
        <v>2150</v>
      </c>
      <c r="I241" s="2" t="s">
        <v>2210</v>
      </c>
      <c r="J241" s="253">
        <v>5</v>
      </c>
      <c r="K241" s="49">
        <f>_DATA_Assessment_Model!H241</f>
        <v>0</v>
      </c>
      <c r="L241" s="3">
        <f>_DATA_Assessment_Model!I241</f>
        <v>0</v>
      </c>
      <c r="M241" s="3">
        <f>_DATA_Assessment_Model!J241</f>
        <v>5</v>
      </c>
      <c r="N241" s="3">
        <f>_DATA_Assessment_Model!K241</f>
        <v>5</v>
      </c>
      <c r="O241" s="2" t="str">
        <f>_DATA_Assessment_Model!L241</f>
        <v>Critical</v>
      </c>
      <c r="P241" s="2" t="s">
        <v>833</v>
      </c>
      <c r="Q241" s="2" t="s">
        <v>834</v>
      </c>
      <c r="R241" s="2" t="s">
        <v>835</v>
      </c>
      <c r="S241" s="2" t="s">
        <v>836</v>
      </c>
      <c r="T241" s="2" t="s">
        <v>837</v>
      </c>
      <c r="U241" s="2" t="s">
        <v>838</v>
      </c>
      <c r="V241" s="2" t="s">
        <v>2152</v>
      </c>
      <c r="W241" s="253"/>
      <c r="X241" s="253"/>
      <c r="Y241" s="253" t="s">
        <v>829</v>
      </c>
      <c r="Z241" s="6">
        <v>5</v>
      </c>
      <c r="AA241" s="6">
        <v>5</v>
      </c>
      <c r="AB241" s="6">
        <v>5</v>
      </c>
      <c r="AC241" s="254"/>
      <c r="AK241" s="255"/>
      <c r="AL241" s="255"/>
      <c r="AM241" s="14">
        <f>_DATA_Assessment_Model!AJ241</f>
        <v>0.9</v>
      </c>
      <c r="AN241" s="14">
        <f>_DATA_Assessment_Model!AK241</f>
        <v>0.9</v>
      </c>
      <c r="AO241" s="14">
        <f>_DATA_Assessment_Model!AL241</f>
        <v>0</v>
      </c>
      <c r="AP241" s="14">
        <f>_DATA_Assessment_Model!AM241</f>
        <v>0</v>
      </c>
      <c r="AQ241" s="14">
        <f>_DATA_Assessment_Model!AN241</f>
        <v>0</v>
      </c>
      <c r="AR241" s="14">
        <f>_DATA_Assessment_Model!AO241</f>
        <v>0</v>
      </c>
      <c r="AS241" s="14">
        <f>_DATA_Assessment_Model!AP241</f>
        <v>0</v>
      </c>
      <c r="AT241" s="14">
        <f>_DATA_Assessment_Model!AQ241</f>
        <v>0</v>
      </c>
      <c r="AU241" s="14" t="str">
        <f>_DATA_Assessment_Model!AR241</f>
        <v>Within target</v>
      </c>
      <c r="AV241" s="4">
        <f>_DATA_Assessment_Model!AS241</f>
        <v>0</v>
      </c>
      <c r="AW241" s="4">
        <f>_DATA_Assessment_Model!AT241</f>
        <v>0.9</v>
      </c>
      <c r="AX241" s="254"/>
      <c r="AY241">
        <f>_DATA_Assessment_Model!AV241</f>
        <v>0.9</v>
      </c>
    </row>
    <row r="242" spans="1:51" ht="82.85" customHeight="1">
      <c r="A242" t="s">
        <v>2145</v>
      </c>
      <c r="B242" t="s">
        <v>2145</v>
      </c>
      <c r="C242">
        <v>18</v>
      </c>
      <c r="D242" s="2" t="s">
        <v>2211</v>
      </c>
      <c r="E242" s="2" t="s">
        <v>2166</v>
      </c>
      <c r="F242" s="2" t="s">
        <v>2212</v>
      </c>
      <c r="G242" s="2" t="s">
        <v>2149</v>
      </c>
      <c r="H242" s="2" t="s">
        <v>2150</v>
      </c>
      <c r="I242" s="2" t="s">
        <v>2213</v>
      </c>
      <c r="J242" s="253">
        <v>5</v>
      </c>
      <c r="K242" s="49">
        <f>_DATA_Assessment_Model!H242</f>
        <v>0</v>
      </c>
      <c r="L242" s="3">
        <f>_DATA_Assessment_Model!I242</f>
        <v>0</v>
      </c>
      <c r="M242" s="3">
        <f>_DATA_Assessment_Model!J242</f>
        <v>5</v>
      </c>
      <c r="N242" s="3">
        <f>_DATA_Assessment_Model!K242</f>
        <v>5</v>
      </c>
      <c r="O242" s="2" t="str">
        <f>_DATA_Assessment_Model!L242</f>
        <v>Critical</v>
      </c>
      <c r="P242" s="2" t="s">
        <v>833</v>
      </c>
      <c r="Q242" s="2" t="s">
        <v>834</v>
      </c>
      <c r="R242" s="2" t="s">
        <v>835</v>
      </c>
      <c r="S242" s="2" t="s">
        <v>836</v>
      </c>
      <c r="T242" s="2" t="s">
        <v>837</v>
      </c>
      <c r="U242" s="2" t="s">
        <v>838</v>
      </c>
      <c r="V242" s="2" t="s">
        <v>2152</v>
      </c>
      <c r="W242" s="253"/>
      <c r="X242" s="253"/>
      <c r="Y242" s="253" t="s">
        <v>829</v>
      </c>
      <c r="Z242" s="6">
        <v>5</v>
      </c>
      <c r="AA242" s="6">
        <v>5</v>
      </c>
      <c r="AB242" s="6">
        <v>5</v>
      </c>
      <c r="AC242" s="254"/>
      <c r="AK242" s="255"/>
      <c r="AL242" s="255"/>
      <c r="AM242" s="14">
        <f>_DATA_Assessment_Model!AJ242</f>
        <v>0.9</v>
      </c>
      <c r="AN242" s="14">
        <f>_DATA_Assessment_Model!AK242</f>
        <v>0.9</v>
      </c>
      <c r="AO242" s="14">
        <f>_DATA_Assessment_Model!AL242</f>
        <v>0</v>
      </c>
      <c r="AP242" s="14">
        <f>_DATA_Assessment_Model!AM242</f>
        <v>0</v>
      </c>
      <c r="AQ242" s="14">
        <f>_DATA_Assessment_Model!AN242</f>
        <v>0</v>
      </c>
      <c r="AR242" s="14">
        <f>_DATA_Assessment_Model!AO242</f>
        <v>0</v>
      </c>
      <c r="AS242" s="14">
        <f>_DATA_Assessment_Model!AP242</f>
        <v>0</v>
      </c>
      <c r="AT242" s="14">
        <f>_DATA_Assessment_Model!AQ242</f>
        <v>0</v>
      </c>
      <c r="AU242" s="14" t="str">
        <f>_DATA_Assessment_Model!AR242</f>
        <v>Within target</v>
      </c>
      <c r="AV242" s="4">
        <f>_DATA_Assessment_Model!AS242</f>
        <v>0</v>
      </c>
      <c r="AW242" s="4">
        <f>_DATA_Assessment_Model!AT242</f>
        <v>0.9</v>
      </c>
      <c r="AX242" s="254"/>
      <c r="AY242">
        <f>_DATA_Assessment_Model!AV242</f>
        <v>0.9</v>
      </c>
    </row>
    <row r="243" spans="1:51" ht="82.85" customHeight="1">
      <c r="A243" t="s">
        <v>2145</v>
      </c>
      <c r="B243" t="s">
        <v>2145</v>
      </c>
      <c r="C243">
        <v>19</v>
      </c>
      <c r="D243" s="2" t="s">
        <v>2214</v>
      </c>
      <c r="E243" s="2" t="s">
        <v>2166</v>
      </c>
      <c r="F243" s="2" t="s">
        <v>2215</v>
      </c>
      <c r="G243" s="2" t="s">
        <v>2149</v>
      </c>
      <c r="H243" s="2" t="s">
        <v>2150</v>
      </c>
      <c r="I243" s="2" t="s">
        <v>2216</v>
      </c>
      <c r="J243" s="253">
        <v>5</v>
      </c>
      <c r="K243" s="49">
        <f>_DATA_Assessment_Model!H243</f>
        <v>0</v>
      </c>
      <c r="L243" s="3">
        <f>_DATA_Assessment_Model!I243</f>
        <v>0</v>
      </c>
      <c r="M243" s="3">
        <f>_DATA_Assessment_Model!J243</f>
        <v>5</v>
      </c>
      <c r="N243" s="3">
        <f>_DATA_Assessment_Model!K243</f>
        <v>5</v>
      </c>
      <c r="O243" s="2" t="str">
        <f>_DATA_Assessment_Model!L243</f>
        <v>Critical</v>
      </c>
      <c r="P243" s="2" t="s">
        <v>833</v>
      </c>
      <c r="Q243" s="2" t="s">
        <v>834</v>
      </c>
      <c r="R243" s="2" t="s">
        <v>835</v>
      </c>
      <c r="S243" s="2" t="s">
        <v>836</v>
      </c>
      <c r="T243" s="2" t="s">
        <v>837</v>
      </c>
      <c r="U243" s="2" t="s">
        <v>838</v>
      </c>
      <c r="V243" s="2" t="s">
        <v>2152</v>
      </c>
      <c r="W243" s="253"/>
      <c r="X243" s="253"/>
      <c r="Y243" s="253" t="s">
        <v>829</v>
      </c>
      <c r="Z243" s="6">
        <v>5</v>
      </c>
      <c r="AA243" s="6">
        <v>5</v>
      </c>
      <c r="AB243" s="6">
        <v>5</v>
      </c>
      <c r="AC243" s="254"/>
      <c r="AK243" s="255"/>
      <c r="AL243" s="255"/>
      <c r="AM243" s="14">
        <f>_DATA_Assessment_Model!AJ243</f>
        <v>0.9</v>
      </c>
      <c r="AN243" s="14">
        <f>_DATA_Assessment_Model!AK243</f>
        <v>0.9</v>
      </c>
      <c r="AO243" s="14">
        <f>_DATA_Assessment_Model!AL243</f>
        <v>0</v>
      </c>
      <c r="AP243" s="14">
        <f>_DATA_Assessment_Model!AM243</f>
        <v>0</v>
      </c>
      <c r="AQ243" s="14">
        <f>_DATA_Assessment_Model!AN243</f>
        <v>0</v>
      </c>
      <c r="AR243" s="14">
        <f>_DATA_Assessment_Model!AO243</f>
        <v>0</v>
      </c>
      <c r="AS243" s="14">
        <f>_DATA_Assessment_Model!AP243</f>
        <v>0</v>
      </c>
      <c r="AT243" s="14">
        <f>_DATA_Assessment_Model!AQ243</f>
        <v>0</v>
      </c>
      <c r="AU243" s="14" t="str">
        <f>_DATA_Assessment_Model!AR243</f>
        <v>Within target</v>
      </c>
      <c r="AV243" s="4">
        <f>_DATA_Assessment_Model!AS243</f>
        <v>0</v>
      </c>
      <c r="AW243" s="4">
        <f>_DATA_Assessment_Model!AT243</f>
        <v>0.9</v>
      </c>
      <c r="AX243" s="254"/>
      <c r="AY243">
        <f>_DATA_Assessment_Model!AV243</f>
        <v>0.9</v>
      </c>
    </row>
    <row r="244" spans="1:51" ht="96.65" customHeight="1">
      <c r="A244" t="s">
        <v>2145</v>
      </c>
      <c r="B244" t="s">
        <v>2145</v>
      </c>
      <c r="C244">
        <v>20</v>
      </c>
      <c r="D244" s="2" t="s">
        <v>2217</v>
      </c>
      <c r="E244" s="2" t="s">
        <v>2166</v>
      </c>
      <c r="F244" s="2" t="s">
        <v>2218</v>
      </c>
      <c r="G244" s="2" t="s">
        <v>2149</v>
      </c>
      <c r="H244" s="2" t="s">
        <v>2150</v>
      </c>
      <c r="I244" s="2" t="s">
        <v>2219</v>
      </c>
      <c r="J244" s="253">
        <v>3</v>
      </c>
      <c r="K244" s="49">
        <f>_DATA_Assessment_Model!H244</f>
        <v>0</v>
      </c>
      <c r="L244" s="3">
        <f>_DATA_Assessment_Model!I244</f>
        <v>0</v>
      </c>
      <c r="M244" s="3">
        <f>_DATA_Assessment_Model!J244</f>
        <v>3</v>
      </c>
      <c r="N244" s="3">
        <f>_DATA_Assessment_Model!K244</f>
        <v>3</v>
      </c>
      <c r="O244" s="2" t="str">
        <f>_DATA_Assessment_Model!L244</f>
        <v>Critical</v>
      </c>
      <c r="P244" s="2" t="s">
        <v>2220</v>
      </c>
      <c r="Q244" s="2" t="s">
        <v>2221</v>
      </c>
      <c r="R244" s="2" t="s">
        <v>2222</v>
      </c>
      <c r="S244" s="2" t="s">
        <v>2223</v>
      </c>
      <c r="T244" s="2" t="s">
        <v>2224</v>
      </c>
      <c r="U244" s="2" t="s">
        <v>2225</v>
      </c>
      <c r="V244" s="2" t="s">
        <v>2152</v>
      </c>
      <c r="W244" s="253"/>
      <c r="X244" s="253"/>
      <c r="Y244" s="253" t="s">
        <v>829</v>
      </c>
      <c r="Z244" s="6">
        <v>5</v>
      </c>
      <c r="AA244" s="6">
        <v>5</v>
      </c>
      <c r="AB244" s="6">
        <v>5</v>
      </c>
      <c r="AC244" s="254"/>
      <c r="AK244" s="255"/>
      <c r="AL244" s="255"/>
      <c r="AM244" s="14">
        <f>_DATA_Assessment_Model!AJ244</f>
        <v>0.9</v>
      </c>
      <c r="AN244" s="14">
        <f>_DATA_Assessment_Model!AK244</f>
        <v>0.9</v>
      </c>
      <c r="AO244" s="14">
        <f>_DATA_Assessment_Model!AL244</f>
        <v>0</v>
      </c>
      <c r="AP244" s="14">
        <f>_DATA_Assessment_Model!AM244</f>
        <v>0</v>
      </c>
      <c r="AQ244" s="14">
        <f>_DATA_Assessment_Model!AN244</f>
        <v>0</v>
      </c>
      <c r="AR244" s="14">
        <f>_DATA_Assessment_Model!AO244</f>
        <v>0</v>
      </c>
      <c r="AS244" s="14">
        <f>_DATA_Assessment_Model!AP244</f>
        <v>0</v>
      </c>
      <c r="AT244" s="14">
        <f>_DATA_Assessment_Model!AQ244</f>
        <v>0</v>
      </c>
      <c r="AU244" s="14" t="str">
        <f>_DATA_Assessment_Model!AR244</f>
        <v>Within target</v>
      </c>
      <c r="AV244" s="4">
        <f>_DATA_Assessment_Model!AS244</f>
        <v>0</v>
      </c>
      <c r="AW244" s="4">
        <f>_DATA_Assessment_Model!AT244</f>
        <v>0.9</v>
      </c>
      <c r="AX244" s="254"/>
      <c r="AY244">
        <f>_DATA_Assessment_Model!AV244</f>
        <v>0.9</v>
      </c>
    </row>
    <row r="245" spans="1:51" ht="69" customHeight="1">
      <c r="A245" t="s">
        <v>2145</v>
      </c>
      <c r="B245" t="s">
        <v>2145</v>
      </c>
      <c r="C245">
        <v>21</v>
      </c>
      <c r="D245" s="2" t="s">
        <v>2226</v>
      </c>
      <c r="E245" s="2" t="s">
        <v>2166</v>
      </c>
      <c r="F245" s="2" t="s">
        <v>2227</v>
      </c>
      <c r="G245" s="2" t="s">
        <v>2149</v>
      </c>
      <c r="H245" s="2" t="s">
        <v>2150</v>
      </c>
      <c r="I245" s="2" t="s">
        <v>2228</v>
      </c>
      <c r="J245" s="253">
        <v>5</v>
      </c>
      <c r="K245" s="49">
        <f>_DATA_Assessment_Model!H245</f>
        <v>0</v>
      </c>
      <c r="L245" s="3">
        <f>_DATA_Assessment_Model!I245</f>
        <v>0</v>
      </c>
      <c r="M245" s="3">
        <f>_DATA_Assessment_Model!J245</f>
        <v>5</v>
      </c>
      <c r="N245" s="3">
        <f>_DATA_Assessment_Model!K245</f>
        <v>5</v>
      </c>
      <c r="O245" s="2" t="str">
        <f>_DATA_Assessment_Model!L245</f>
        <v>Critical</v>
      </c>
      <c r="P245" s="2" t="s">
        <v>833</v>
      </c>
      <c r="Q245" s="2" t="s">
        <v>834</v>
      </c>
      <c r="R245" s="2" t="s">
        <v>835</v>
      </c>
      <c r="S245" s="2" t="s">
        <v>836</v>
      </c>
      <c r="T245" s="2" t="s">
        <v>837</v>
      </c>
      <c r="U245" s="2" t="s">
        <v>838</v>
      </c>
      <c r="V245" s="2" t="s">
        <v>2152</v>
      </c>
      <c r="W245" s="253"/>
      <c r="X245" s="253"/>
      <c r="Y245" s="253" t="s">
        <v>829</v>
      </c>
      <c r="Z245" s="6">
        <v>5</v>
      </c>
      <c r="AA245" s="6">
        <v>5</v>
      </c>
      <c r="AB245" s="6">
        <v>5</v>
      </c>
      <c r="AC245" s="254"/>
      <c r="AK245" s="255"/>
      <c r="AL245" s="255"/>
      <c r="AM245" s="14">
        <f>_DATA_Assessment_Model!AJ245</f>
        <v>0.9</v>
      </c>
      <c r="AN245" s="14">
        <f>_DATA_Assessment_Model!AK245</f>
        <v>0.9</v>
      </c>
      <c r="AO245" s="14">
        <f>_DATA_Assessment_Model!AL245</f>
        <v>0</v>
      </c>
      <c r="AP245" s="14">
        <f>_DATA_Assessment_Model!AM245</f>
        <v>0</v>
      </c>
      <c r="AQ245" s="14">
        <f>_DATA_Assessment_Model!AN245</f>
        <v>0</v>
      </c>
      <c r="AR245" s="14">
        <f>_DATA_Assessment_Model!AO245</f>
        <v>0</v>
      </c>
      <c r="AS245" s="14">
        <f>_DATA_Assessment_Model!AP245</f>
        <v>0</v>
      </c>
      <c r="AT245" s="14">
        <f>_DATA_Assessment_Model!AQ245</f>
        <v>0</v>
      </c>
      <c r="AU245" s="14" t="str">
        <f>_DATA_Assessment_Model!AR245</f>
        <v>Within target</v>
      </c>
      <c r="AV245" s="4">
        <f>_DATA_Assessment_Model!AS245</f>
        <v>0</v>
      </c>
      <c r="AW245" s="4">
        <f>_DATA_Assessment_Model!AT245</f>
        <v>0.9</v>
      </c>
      <c r="AX245" s="254"/>
      <c r="AY245">
        <f>_DATA_Assessment_Model!AV245</f>
        <v>0.9</v>
      </c>
    </row>
    <row r="246" spans="1:51" ht="82.85" customHeight="1">
      <c r="A246" t="s">
        <v>2145</v>
      </c>
      <c r="B246" t="s">
        <v>2145</v>
      </c>
      <c r="C246">
        <v>22</v>
      </c>
      <c r="D246" s="2" t="s">
        <v>2229</v>
      </c>
      <c r="E246" s="2" t="s">
        <v>2166</v>
      </c>
      <c r="F246" s="2" t="s">
        <v>2230</v>
      </c>
      <c r="G246" s="2" t="s">
        <v>2149</v>
      </c>
      <c r="H246" s="2" t="s">
        <v>2150</v>
      </c>
      <c r="I246" s="2" t="s">
        <v>2231</v>
      </c>
      <c r="J246" s="253">
        <v>5</v>
      </c>
      <c r="K246" s="49">
        <f>_DATA_Assessment_Model!H246</f>
        <v>0</v>
      </c>
      <c r="L246" s="3">
        <f>_DATA_Assessment_Model!I246</f>
        <v>0</v>
      </c>
      <c r="M246" s="3">
        <f>_DATA_Assessment_Model!J246</f>
        <v>5</v>
      </c>
      <c r="N246" s="3">
        <f>_DATA_Assessment_Model!K246</f>
        <v>5</v>
      </c>
      <c r="O246" s="2" t="str">
        <f>_DATA_Assessment_Model!L246</f>
        <v>Critical</v>
      </c>
      <c r="P246" s="2" t="s">
        <v>833</v>
      </c>
      <c r="Q246" s="2" t="s">
        <v>834</v>
      </c>
      <c r="R246" s="2" t="s">
        <v>835</v>
      </c>
      <c r="S246" s="2" t="s">
        <v>836</v>
      </c>
      <c r="T246" s="2" t="s">
        <v>837</v>
      </c>
      <c r="U246" s="2" t="s">
        <v>838</v>
      </c>
      <c r="V246" s="2" t="s">
        <v>2152</v>
      </c>
      <c r="W246" s="253"/>
      <c r="X246" s="253"/>
      <c r="Y246" s="253" t="s">
        <v>829</v>
      </c>
      <c r="Z246" s="6">
        <v>5</v>
      </c>
      <c r="AA246" s="6">
        <v>5</v>
      </c>
      <c r="AB246" s="6">
        <v>5</v>
      </c>
      <c r="AC246" s="254"/>
      <c r="AK246" s="255"/>
      <c r="AL246" s="255"/>
      <c r="AM246" s="14">
        <f>_DATA_Assessment_Model!AJ246</f>
        <v>0.9</v>
      </c>
      <c r="AN246" s="14">
        <f>_DATA_Assessment_Model!AK246</f>
        <v>0.9</v>
      </c>
      <c r="AO246" s="14">
        <f>_DATA_Assessment_Model!AL246</f>
        <v>0</v>
      </c>
      <c r="AP246" s="14">
        <f>_DATA_Assessment_Model!AM246</f>
        <v>0</v>
      </c>
      <c r="AQ246" s="14">
        <f>_DATA_Assessment_Model!AN246</f>
        <v>0</v>
      </c>
      <c r="AR246" s="14">
        <f>_DATA_Assessment_Model!AO246</f>
        <v>0</v>
      </c>
      <c r="AS246" s="14">
        <f>_DATA_Assessment_Model!AP246</f>
        <v>0</v>
      </c>
      <c r="AT246" s="14">
        <f>_DATA_Assessment_Model!AQ246</f>
        <v>0</v>
      </c>
      <c r="AU246" s="14" t="str">
        <f>_DATA_Assessment_Model!AR246</f>
        <v>Within target</v>
      </c>
      <c r="AV246" s="4">
        <f>_DATA_Assessment_Model!AS246</f>
        <v>0</v>
      </c>
      <c r="AW246" s="4">
        <f>_DATA_Assessment_Model!AT246</f>
        <v>0.9</v>
      </c>
      <c r="AX246" s="254"/>
      <c r="AY246">
        <f>_DATA_Assessment_Model!AV246</f>
        <v>0.9</v>
      </c>
    </row>
    <row r="247" spans="1:51" ht="82.85" customHeight="1">
      <c r="A247" t="s">
        <v>2145</v>
      </c>
      <c r="B247" t="s">
        <v>2145</v>
      </c>
      <c r="C247">
        <v>23</v>
      </c>
      <c r="D247" s="2" t="s">
        <v>2232</v>
      </c>
      <c r="E247" s="2" t="s">
        <v>2170</v>
      </c>
      <c r="F247" s="2" t="s">
        <v>2233</v>
      </c>
      <c r="G247" s="2" t="s">
        <v>2149</v>
      </c>
      <c r="H247" s="2" t="s">
        <v>2150</v>
      </c>
      <c r="I247" s="2" t="s">
        <v>2234</v>
      </c>
      <c r="J247" s="253">
        <v>5</v>
      </c>
      <c r="K247" s="49">
        <f>_DATA_Assessment_Model!H247</f>
        <v>0</v>
      </c>
      <c r="L247" s="3">
        <f>_DATA_Assessment_Model!I247</f>
        <v>0</v>
      </c>
      <c r="M247" s="3">
        <f>_DATA_Assessment_Model!J247</f>
        <v>5</v>
      </c>
      <c r="N247" s="3">
        <f>_DATA_Assessment_Model!K247</f>
        <v>5</v>
      </c>
      <c r="O247" s="2" t="str">
        <f>_DATA_Assessment_Model!L247</f>
        <v>Critical</v>
      </c>
      <c r="P247" s="2" t="s">
        <v>833</v>
      </c>
      <c r="Q247" s="2" t="s">
        <v>834</v>
      </c>
      <c r="R247" s="2" t="s">
        <v>835</v>
      </c>
      <c r="S247" s="2" t="s">
        <v>836</v>
      </c>
      <c r="T247" s="2" t="s">
        <v>837</v>
      </c>
      <c r="U247" s="2" t="s">
        <v>838</v>
      </c>
      <c r="V247" s="2" t="s">
        <v>2152</v>
      </c>
      <c r="W247" s="253"/>
      <c r="X247" s="253"/>
      <c r="Y247" s="253" t="s">
        <v>829</v>
      </c>
      <c r="Z247" s="6">
        <v>5</v>
      </c>
      <c r="AA247" s="6">
        <v>5</v>
      </c>
      <c r="AB247" s="6">
        <v>5</v>
      </c>
      <c r="AC247" s="254"/>
      <c r="AK247" s="255"/>
      <c r="AL247" s="255"/>
      <c r="AM247" s="14">
        <f>_DATA_Assessment_Model!AJ247</f>
        <v>0.9</v>
      </c>
      <c r="AN247" s="14">
        <f>_DATA_Assessment_Model!AK247</f>
        <v>0.9</v>
      </c>
      <c r="AO247" s="14">
        <f>_DATA_Assessment_Model!AL247</f>
        <v>0</v>
      </c>
      <c r="AP247" s="14">
        <f>_DATA_Assessment_Model!AM247</f>
        <v>0</v>
      </c>
      <c r="AQ247" s="14">
        <f>_DATA_Assessment_Model!AN247</f>
        <v>0</v>
      </c>
      <c r="AR247" s="14">
        <f>_DATA_Assessment_Model!AO247</f>
        <v>0</v>
      </c>
      <c r="AS247" s="14">
        <f>_DATA_Assessment_Model!AP247</f>
        <v>0</v>
      </c>
      <c r="AT247" s="14">
        <f>_DATA_Assessment_Model!AQ247</f>
        <v>0</v>
      </c>
      <c r="AU247" s="14" t="str">
        <f>_DATA_Assessment_Model!AR247</f>
        <v>Within target</v>
      </c>
      <c r="AV247" s="4">
        <f>_DATA_Assessment_Model!AS247</f>
        <v>0</v>
      </c>
      <c r="AW247" s="4">
        <f>_DATA_Assessment_Model!AT247</f>
        <v>0.9</v>
      </c>
      <c r="AX247" s="254"/>
      <c r="AY247">
        <f>_DATA_Assessment_Model!AV247</f>
        <v>0.9</v>
      </c>
    </row>
    <row r="248" spans="1:51" ht="96.65" customHeight="1">
      <c r="A248" t="s">
        <v>2145</v>
      </c>
      <c r="B248" t="s">
        <v>2145</v>
      </c>
      <c r="C248">
        <v>24</v>
      </c>
      <c r="D248" s="2" t="s">
        <v>2235</v>
      </c>
      <c r="E248" s="2" t="s">
        <v>2170</v>
      </c>
      <c r="F248" s="2" t="s">
        <v>2236</v>
      </c>
      <c r="G248" s="2" t="s">
        <v>2149</v>
      </c>
      <c r="H248" s="2" t="s">
        <v>2150</v>
      </c>
      <c r="I248" s="2" t="s">
        <v>2237</v>
      </c>
      <c r="J248" s="253">
        <v>3</v>
      </c>
      <c r="K248" s="49">
        <f>_DATA_Assessment_Model!H248</f>
        <v>0</v>
      </c>
      <c r="L248" s="3">
        <f>_DATA_Assessment_Model!I248</f>
        <v>0</v>
      </c>
      <c r="M248" s="3">
        <f>_DATA_Assessment_Model!J248</f>
        <v>3</v>
      </c>
      <c r="N248" s="3">
        <f>_DATA_Assessment_Model!K248</f>
        <v>3</v>
      </c>
      <c r="O248" s="2" t="str">
        <f>_DATA_Assessment_Model!L248</f>
        <v>Critical</v>
      </c>
      <c r="P248" s="2" t="s">
        <v>2238</v>
      </c>
      <c r="Q248" s="2" t="s">
        <v>2239</v>
      </c>
      <c r="R248" s="2" t="s">
        <v>2240</v>
      </c>
      <c r="S248" s="2" t="s">
        <v>2241</v>
      </c>
      <c r="T248" s="2" t="s">
        <v>2242</v>
      </c>
      <c r="U248" s="2" t="s">
        <v>2243</v>
      </c>
      <c r="V248" s="2" t="s">
        <v>2152</v>
      </c>
      <c r="W248" s="253"/>
      <c r="X248" s="253"/>
      <c r="Y248" s="253" t="s">
        <v>829</v>
      </c>
      <c r="Z248" s="6">
        <v>5</v>
      </c>
      <c r="AA248" s="6">
        <v>5</v>
      </c>
      <c r="AB248" s="6">
        <v>5</v>
      </c>
      <c r="AC248" s="254"/>
      <c r="AK248" s="255"/>
      <c r="AL248" s="255"/>
      <c r="AM248" s="14">
        <f>_DATA_Assessment_Model!AJ248</f>
        <v>0.9</v>
      </c>
      <c r="AN248" s="14">
        <f>_DATA_Assessment_Model!AK248</f>
        <v>0.9</v>
      </c>
      <c r="AO248" s="14">
        <f>_DATA_Assessment_Model!AL248</f>
        <v>0</v>
      </c>
      <c r="AP248" s="14">
        <f>_DATA_Assessment_Model!AM248</f>
        <v>0</v>
      </c>
      <c r="AQ248" s="14">
        <f>_DATA_Assessment_Model!AN248</f>
        <v>0</v>
      </c>
      <c r="AR248" s="14">
        <f>_DATA_Assessment_Model!AO248</f>
        <v>0</v>
      </c>
      <c r="AS248" s="14">
        <f>_DATA_Assessment_Model!AP248</f>
        <v>0</v>
      </c>
      <c r="AT248" s="14">
        <f>_DATA_Assessment_Model!AQ248</f>
        <v>0</v>
      </c>
      <c r="AU248" s="14" t="str">
        <f>_DATA_Assessment_Model!AR248</f>
        <v>Within target</v>
      </c>
      <c r="AV248" s="4">
        <f>_DATA_Assessment_Model!AS248</f>
        <v>0</v>
      </c>
      <c r="AW248" s="4">
        <f>_DATA_Assessment_Model!AT248</f>
        <v>0.9</v>
      </c>
      <c r="AX248" s="254"/>
      <c r="AY248">
        <f>_DATA_Assessment_Model!AV248</f>
        <v>0.9</v>
      </c>
    </row>
    <row r="249" spans="1:51" ht="82.85" customHeight="1">
      <c r="A249" t="s">
        <v>2145</v>
      </c>
      <c r="B249" t="s">
        <v>2145</v>
      </c>
      <c r="C249">
        <v>25</v>
      </c>
      <c r="D249" s="2" t="s">
        <v>2244</v>
      </c>
      <c r="E249" s="2" t="s">
        <v>2170</v>
      </c>
      <c r="F249" s="2" t="s">
        <v>2245</v>
      </c>
      <c r="G249" s="2" t="s">
        <v>2149</v>
      </c>
      <c r="H249" s="2" t="s">
        <v>2150</v>
      </c>
      <c r="I249" s="2" t="s">
        <v>2246</v>
      </c>
      <c r="J249" s="253">
        <v>5</v>
      </c>
      <c r="K249" s="49">
        <f>_DATA_Assessment_Model!H249</f>
        <v>0</v>
      </c>
      <c r="L249" s="3">
        <f>_DATA_Assessment_Model!I249</f>
        <v>0</v>
      </c>
      <c r="M249" s="3">
        <f>_DATA_Assessment_Model!J249</f>
        <v>5</v>
      </c>
      <c r="N249" s="3">
        <f>_DATA_Assessment_Model!K249</f>
        <v>5</v>
      </c>
      <c r="O249" s="2" t="str">
        <f>_DATA_Assessment_Model!L249</f>
        <v>Critical</v>
      </c>
      <c r="P249" s="2" t="s">
        <v>833</v>
      </c>
      <c r="Q249" s="2" t="s">
        <v>834</v>
      </c>
      <c r="R249" s="2" t="s">
        <v>835</v>
      </c>
      <c r="S249" s="2" t="s">
        <v>836</v>
      </c>
      <c r="T249" s="2" t="s">
        <v>837</v>
      </c>
      <c r="U249" s="2" t="s">
        <v>838</v>
      </c>
      <c r="V249" s="2" t="s">
        <v>2152</v>
      </c>
      <c r="W249" s="253"/>
      <c r="X249" s="253"/>
      <c r="Y249" s="253" t="s">
        <v>829</v>
      </c>
      <c r="Z249" s="6">
        <v>5</v>
      </c>
      <c r="AA249" s="6">
        <v>5</v>
      </c>
      <c r="AB249" s="6">
        <v>5</v>
      </c>
      <c r="AC249" s="254"/>
      <c r="AK249" s="255"/>
      <c r="AL249" s="255"/>
      <c r="AM249" s="14">
        <f>_DATA_Assessment_Model!AJ249</f>
        <v>0.9</v>
      </c>
      <c r="AN249" s="14">
        <f>_DATA_Assessment_Model!AK249</f>
        <v>0.9</v>
      </c>
      <c r="AO249" s="14">
        <f>_DATA_Assessment_Model!AL249</f>
        <v>0</v>
      </c>
      <c r="AP249" s="14">
        <f>_DATA_Assessment_Model!AM249</f>
        <v>0</v>
      </c>
      <c r="AQ249" s="14">
        <f>_DATA_Assessment_Model!AN249</f>
        <v>0</v>
      </c>
      <c r="AR249" s="14">
        <f>_DATA_Assessment_Model!AO249</f>
        <v>0</v>
      </c>
      <c r="AS249" s="14">
        <f>_DATA_Assessment_Model!AP249</f>
        <v>0</v>
      </c>
      <c r="AT249" s="14">
        <f>_DATA_Assessment_Model!AQ249</f>
        <v>0</v>
      </c>
      <c r="AU249" s="14" t="str">
        <f>_DATA_Assessment_Model!AR249</f>
        <v>Within target</v>
      </c>
      <c r="AV249" s="4">
        <f>_DATA_Assessment_Model!AS249</f>
        <v>0</v>
      </c>
      <c r="AW249" s="4">
        <f>_DATA_Assessment_Model!AT249</f>
        <v>0.9</v>
      </c>
      <c r="AX249" s="254"/>
      <c r="AY249">
        <f>_DATA_Assessment_Model!AV249</f>
        <v>0.9</v>
      </c>
    </row>
    <row r="250" spans="1:51" ht="82.85" customHeight="1">
      <c r="A250" t="s">
        <v>2145</v>
      </c>
      <c r="B250" t="s">
        <v>2145</v>
      </c>
      <c r="C250">
        <v>26</v>
      </c>
      <c r="D250" s="2" t="s">
        <v>2247</v>
      </c>
      <c r="E250" s="2" t="s">
        <v>2170</v>
      </c>
      <c r="F250" s="2" t="s">
        <v>2248</v>
      </c>
      <c r="G250" s="2" t="s">
        <v>2149</v>
      </c>
      <c r="H250" s="2" t="s">
        <v>2150</v>
      </c>
      <c r="I250" s="2" t="s">
        <v>2249</v>
      </c>
      <c r="J250" s="253">
        <v>5</v>
      </c>
      <c r="K250" s="49">
        <f>_DATA_Assessment_Model!H250</f>
        <v>0</v>
      </c>
      <c r="L250" s="3">
        <f>_DATA_Assessment_Model!I250</f>
        <v>0</v>
      </c>
      <c r="M250" s="3">
        <f>_DATA_Assessment_Model!J250</f>
        <v>5</v>
      </c>
      <c r="N250" s="3">
        <f>_DATA_Assessment_Model!K250</f>
        <v>5</v>
      </c>
      <c r="O250" s="2" t="str">
        <f>_DATA_Assessment_Model!L250</f>
        <v>Critical</v>
      </c>
      <c r="P250" s="2" t="s">
        <v>1202</v>
      </c>
      <c r="Q250" s="2" t="s">
        <v>1203</v>
      </c>
      <c r="R250" s="2" t="s">
        <v>1204</v>
      </c>
      <c r="S250" s="2" t="s">
        <v>1205</v>
      </c>
      <c r="T250" s="2" t="s">
        <v>1206</v>
      </c>
      <c r="U250" s="2" t="s">
        <v>1207</v>
      </c>
      <c r="V250" s="2" t="s">
        <v>2152</v>
      </c>
      <c r="W250" s="253"/>
      <c r="X250" s="253"/>
      <c r="Y250" s="253" t="s">
        <v>829</v>
      </c>
      <c r="Z250" s="6">
        <v>5</v>
      </c>
      <c r="AA250" s="6">
        <v>5</v>
      </c>
      <c r="AB250" s="6">
        <v>5</v>
      </c>
      <c r="AC250" s="254"/>
      <c r="AK250" s="255"/>
      <c r="AL250" s="255"/>
      <c r="AM250" s="14">
        <f>_DATA_Assessment_Model!AJ250</f>
        <v>0.9</v>
      </c>
      <c r="AN250" s="14">
        <f>_DATA_Assessment_Model!AK250</f>
        <v>0.9</v>
      </c>
      <c r="AO250" s="14">
        <f>_DATA_Assessment_Model!AL250</f>
        <v>0</v>
      </c>
      <c r="AP250" s="14">
        <f>_DATA_Assessment_Model!AM250</f>
        <v>0</v>
      </c>
      <c r="AQ250" s="14">
        <f>_DATA_Assessment_Model!AN250</f>
        <v>0</v>
      </c>
      <c r="AR250" s="14">
        <f>_DATA_Assessment_Model!AO250</f>
        <v>0</v>
      </c>
      <c r="AS250" s="14">
        <f>_DATA_Assessment_Model!AP250</f>
        <v>0</v>
      </c>
      <c r="AT250" s="14">
        <f>_DATA_Assessment_Model!AQ250</f>
        <v>0</v>
      </c>
      <c r="AU250" s="14" t="str">
        <f>_DATA_Assessment_Model!AR250</f>
        <v>Within target</v>
      </c>
      <c r="AV250" s="4">
        <f>_DATA_Assessment_Model!AS250</f>
        <v>0</v>
      </c>
      <c r="AW250" s="4">
        <f>_DATA_Assessment_Model!AT250</f>
        <v>0.9</v>
      </c>
      <c r="AX250" s="254"/>
      <c r="AY250">
        <f>_DATA_Assessment_Model!AV250</f>
        <v>0.9</v>
      </c>
    </row>
    <row r="251" spans="1:51" ht="82.85" customHeight="1">
      <c r="A251" t="s">
        <v>2145</v>
      </c>
      <c r="B251" t="s">
        <v>2145</v>
      </c>
      <c r="C251">
        <v>27</v>
      </c>
      <c r="D251" s="2" t="s">
        <v>2250</v>
      </c>
      <c r="E251" s="2" t="s">
        <v>2170</v>
      </c>
      <c r="F251" s="2" t="s">
        <v>2251</v>
      </c>
      <c r="G251" s="2" t="s">
        <v>2149</v>
      </c>
      <c r="H251" s="2" t="s">
        <v>2150</v>
      </c>
      <c r="I251" s="2" t="s">
        <v>2252</v>
      </c>
      <c r="J251" s="253">
        <v>5</v>
      </c>
      <c r="K251" s="49">
        <f>_DATA_Assessment_Model!H251</f>
        <v>0</v>
      </c>
      <c r="L251" s="3">
        <f>_DATA_Assessment_Model!I251</f>
        <v>0</v>
      </c>
      <c r="M251" s="3">
        <f>_DATA_Assessment_Model!J251</f>
        <v>5</v>
      </c>
      <c r="N251" s="3">
        <f>_DATA_Assessment_Model!K251</f>
        <v>5</v>
      </c>
      <c r="O251" s="2" t="str">
        <f>_DATA_Assessment_Model!L251</f>
        <v>Critical</v>
      </c>
      <c r="P251" s="2" t="s">
        <v>833</v>
      </c>
      <c r="Q251" s="2" t="s">
        <v>834</v>
      </c>
      <c r="R251" s="2" t="s">
        <v>835</v>
      </c>
      <c r="S251" s="2" t="s">
        <v>836</v>
      </c>
      <c r="T251" s="2" t="s">
        <v>837</v>
      </c>
      <c r="U251" s="2" t="s">
        <v>838</v>
      </c>
      <c r="V251" s="2" t="s">
        <v>2152</v>
      </c>
      <c r="W251" s="253"/>
      <c r="X251" s="253"/>
      <c r="Y251" s="253" t="s">
        <v>829</v>
      </c>
      <c r="Z251" s="6">
        <v>5</v>
      </c>
      <c r="AA251" s="6">
        <v>5</v>
      </c>
      <c r="AB251" s="6">
        <v>5</v>
      </c>
      <c r="AC251" s="254"/>
      <c r="AK251" s="255"/>
      <c r="AL251" s="255"/>
      <c r="AM251" s="14">
        <f>_DATA_Assessment_Model!AJ251</f>
        <v>0.9</v>
      </c>
      <c r="AN251" s="14">
        <f>_DATA_Assessment_Model!AK251</f>
        <v>0.9</v>
      </c>
      <c r="AO251" s="14">
        <f>_DATA_Assessment_Model!AL251</f>
        <v>0</v>
      </c>
      <c r="AP251" s="14">
        <f>_DATA_Assessment_Model!AM251</f>
        <v>0</v>
      </c>
      <c r="AQ251" s="14">
        <f>_DATA_Assessment_Model!AN251</f>
        <v>0</v>
      </c>
      <c r="AR251" s="14">
        <f>_DATA_Assessment_Model!AO251</f>
        <v>0</v>
      </c>
      <c r="AS251" s="14">
        <f>_DATA_Assessment_Model!AP251</f>
        <v>0</v>
      </c>
      <c r="AT251" s="14">
        <f>_DATA_Assessment_Model!AQ251</f>
        <v>0</v>
      </c>
      <c r="AU251" s="14" t="str">
        <f>_DATA_Assessment_Model!AR251</f>
        <v>Within target</v>
      </c>
      <c r="AV251" s="4">
        <f>_DATA_Assessment_Model!AS251</f>
        <v>0</v>
      </c>
      <c r="AW251" s="4">
        <f>_DATA_Assessment_Model!AT251</f>
        <v>0.9</v>
      </c>
      <c r="AX251" s="254"/>
      <c r="AY251">
        <f>_DATA_Assessment_Model!AV251</f>
        <v>0.9</v>
      </c>
    </row>
    <row r="252" spans="1:51" ht="82.85" customHeight="1">
      <c r="A252" t="s">
        <v>2145</v>
      </c>
      <c r="B252" t="s">
        <v>2145</v>
      </c>
      <c r="C252">
        <v>28</v>
      </c>
      <c r="D252" s="2" t="s">
        <v>2253</v>
      </c>
      <c r="E252" s="2" t="s">
        <v>2170</v>
      </c>
      <c r="F252" s="2" t="s">
        <v>2254</v>
      </c>
      <c r="G252" s="2" t="s">
        <v>2149</v>
      </c>
      <c r="H252" s="2" t="s">
        <v>2150</v>
      </c>
      <c r="I252" s="2" t="s">
        <v>2255</v>
      </c>
      <c r="J252" s="253">
        <v>3</v>
      </c>
      <c r="K252" s="49">
        <f>_DATA_Assessment_Model!H252</f>
        <v>0</v>
      </c>
      <c r="L252" s="3">
        <f>_DATA_Assessment_Model!I252</f>
        <v>0</v>
      </c>
      <c r="M252" s="3">
        <f>_DATA_Assessment_Model!J252</f>
        <v>3</v>
      </c>
      <c r="N252" s="3">
        <f>_DATA_Assessment_Model!K252</f>
        <v>3</v>
      </c>
      <c r="O252" s="2" t="str">
        <f>_DATA_Assessment_Model!L252</f>
        <v>Critical</v>
      </c>
      <c r="P252" s="2" t="s">
        <v>2256</v>
      </c>
      <c r="Q252" s="2" t="s">
        <v>2257</v>
      </c>
      <c r="R252" s="2" t="s">
        <v>2258</v>
      </c>
      <c r="S252" s="2" t="s">
        <v>2259</v>
      </c>
      <c r="T252" s="2" t="s">
        <v>2260</v>
      </c>
      <c r="U252" s="2" t="s">
        <v>2261</v>
      </c>
      <c r="V252" s="2" t="s">
        <v>2152</v>
      </c>
      <c r="W252" s="253"/>
      <c r="X252" s="253"/>
      <c r="Y252" s="253" t="s">
        <v>829</v>
      </c>
      <c r="Z252" s="6">
        <v>5</v>
      </c>
      <c r="AA252" s="6">
        <v>5</v>
      </c>
      <c r="AB252" s="6">
        <v>5</v>
      </c>
      <c r="AC252" s="254"/>
      <c r="AK252" s="255"/>
      <c r="AL252" s="255"/>
      <c r="AM252" s="14">
        <f>_DATA_Assessment_Model!AJ252</f>
        <v>0.9</v>
      </c>
      <c r="AN252" s="14">
        <f>_DATA_Assessment_Model!AK252</f>
        <v>0.9</v>
      </c>
      <c r="AO252" s="14">
        <f>_DATA_Assessment_Model!AL252</f>
        <v>0</v>
      </c>
      <c r="AP252" s="14">
        <f>_DATA_Assessment_Model!AM252</f>
        <v>0</v>
      </c>
      <c r="AQ252" s="14">
        <f>_DATA_Assessment_Model!AN252</f>
        <v>0</v>
      </c>
      <c r="AR252" s="14">
        <f>_DATA_Assessment_Model!AO252</f>
        <v>0</v>
      </c>
      <c r="AS252" s="14">
        <f>_DATA_Assessment_Model!AP252</f>
        <v>0</v>
      </c>
      <c r="AT252" s="14">
        <f>_DATA_Assessment_Model!AQ252</f>
        <v>0</v>
      </c>
      <c r="AU252" s="14" t="str">
        <f>_DATA_Assessment_Model!AR252</f>
        <v>Within target</v>
      </c>
      <c r="AV252" s="4">
        <f>_DATA_Assessment_Model!AS252</f>
        <v>0</v>
      </c>
      <c r="AW252" s="4">
        <f>_DATA_Assessment_Model!AT252</f>
        <v>0.9</v>
      </c>
      <c r="AX252" s="254"/>
      <c r="AY252">
        <f>_DATA_Assessment_Model!AV252</f>
        <v>0.9</v>
      </c>
    </row>
    <row r="253" spans="1:51" ht="110.4" customHeight="1">
      <c r="A253" t="s">
        <v>2145</v>
      </c>
      <c r="B253" t="s">
        <v>2145</v>
      </c>
      <c r="C253">
        <v>29</v>
      </c>
      <c r="D253" s="2" t="s">
        <v>2262</v>
      </c>
      <c r="E253" s="2" t="s">
        <v>2174</v>
      </c>
      <c r="F253" s="2" t="s">
        <v>2263</v>
      </c>
      <c r="G253" s="2" t="s">
        <v>2149</v>
      </c>
      <c r="H253" s="2" t="s">
        <v>2150</v>
      </c>
      <c r="I253" s="2" t="s">
        <v>2264</v>
      </c>
      <c r="J253" s="253">
        <v>4</v>
      </c>
      <c r="K253" s="49">
        <f>_DATA_Assessment_Model!H253</f>
        <v>0</v>
      </c>
      <c r="L253" s="3">
        <f>_DATA_Assessment_Model!I253</f>
        <v>0</v>
      </c>
      <c r="M253" s="3">
        <f>_DATA_Assessment_Model!J253</f>
        <v>4</v>
      </c>
      <c r="N253" s="3">
        <f>_DATA_Assessment_Model!K253</f>
        <v>4</v>
      </c>
      <c r="O253" s="2" t="str">
        <f>_DATA_Assessment_Model!L253</f>
        <v>Critical</v>
      </c>
      <c r="P253" s="2" t="s">
        <v>2265</v>
      </c>
      <c r="Q253" s="2" t="s">
        <v>2266</v>
      </c>
      <c r="R253" s="2" t="s">
        <v>2267</v>
      </c>
      <c r="S253" s="2" t="s">
        <v>2268</v>
      </c>
      <c r="T253" s="2" t="s">
        <v>2269</v>
      </c>
      <c r="U253" s="2" t="s">
        <v>2270</v>
      </c>
      <c r="V253" s="2" t="s">
        <v>2152</v>
      </c>
      <c r="W253" s="253"/>
      <c r="X253" s="253"/>
      <c r="Y253" s="253" t="s">
        <v>829</v>
      </c>
      <c r="Z253" s="6">
        <v>5</v>
      </c>
      <c r="AA253" s="6">
        <v>5</v>
      </c>
      <c r="AB253" s="6">
        <v>5</v>
      </c>
      <c r="AC253" s="254"/>
      <c r="AK253" s="255"/>
      <c r="AL253" s="255"/>
      <c r="AM253" s="14">
        <f>_DATA_Assessment_Model!AJ253</f>
        <v>0.9</v>
      </c>
      <c r="AN253" s="14">
        <f>_DATA_Assessment_Model!AK253</f>
        <v>0.9</v>
      </c>
      <c r="AO253" s="14">
        <f>_DATA_Assessment_Model!AL253</f>
        <v>0</v>
      </c>
      <c r="AP253" s="14">
        <f>_DATA_Assessment_Model!AM253</f>
        <v>0</v>
      </c>
      <c r="AQ253" s="14">
        <f>_DATA_Assessment_Model!AN253</f>
        <v>0</v>
      </c>
      <c r="AR253" s="14">
        <f>_DATA_Assessment_Model!AO253</f>
        <v>0</v>
      </c>
      <c r="AS253" s="14">
        <f>_DATA_Assessment_Model!AP253</f>
        <v>0</v>
      </c>
      <c r="AT253" s="14">
        <f>_DATA_Assessment_Model!AQ253</f>
        <v>0</v>
      </c>
      <c r="AU253" s="14" t="str">
        <f>_DATA_Assessment_Model!AR253</f>
        <v>Within target</v>
      </c>
      <c r="AV253" s="4">
        <f>_DATA_Assessment_Model!AS253</f>
        <v>0</v>
      </c>
      <c r="AW253" s="4">
        <f>_DATA_Assessment_Model!AT253</f>
        <v>0.9</v>
      </c>
      <c r="AX253" s="254"/>
      <c r="AY253">
        <f>_DATA_Assessment_Model!AV253</f>
        <v>0.9</v>
      </c>
    </row>
    <row r="254" spans="1:51" ht="96.65" customHeight="1">
      <c r="A254" t="s">
        <v>2145</v>
      </c>
      <c r="B254" t="s">
        <v>2145</v>
      </c>
      <c r="C254">
        <v>30</v>
      </c>
      <c r="D254" s="2" t="s">
        <v>2271</v>
      </c>
      <c r="E254" s="2" t="s">
        <v>2174</v>
      </c>
      <c r="F254" s="2" t="s">
        <v>2272</v>
      </c>
      <c r="G254" s="2" t="s">
        <v>2149</v>
      </c>
      <c r="H254" s="2" t="s">
        <v>2150</v>
      </c>
      <c r="I254" s="2" t="s">
        <v>2273</v>
      </c>
      <c r="J254" s="253">
        <v>4</v>
      </c>
      <c r="K254" s="49">
        <f>_DATA_Assessment_Model!H254</f>
        <v>0</v>
      </c>
      <c r="L254" s="3">
        <f>_DATA_Assessment_Model!I254</f>
        <v>0</v>
      </c>
      <c r="M254" s="3">
        <f>_DATA_Assessment_Model!J254</f>
        <v>4</v>
      </c>
      <c r="N254" s="3">
        <f>_DATA_Assessment_Model!K254</f>
        <v>4</v>
      </c>
      <c r="O254" s="2" t="str">
        <f>_DATA_Assessment_Model!L254</f>
        <v>Critical</v>
      </c>
      <c r="P254" s="2" t="s">
        <v>2274</v>
      </c>
      <c r="Q254" s="2" t="s">
        <v>2275</v>
      </c>
      <c r="R254" s="2" t="s">
        <v>2276</v>
      </c>
      <c r="S254" s="2" t="s">
        <v>2277</v>
      </c>
      <c r="T254" s="2" t="s">
        <v>2278</v>
      </c>
      <c r="U254" s="2" t="s">
        <v>2279</v>
      </c>
      <c r="V254" s="2" t="s">
        <v>2152</v>
      </c>
      <c r="W254" s="253"/>
      <c r="X254" s="253"/>
      <c r="Y254" s="253" t="s">
        <v>829</v>
      </c>
      <c r="Z254" s="6">
        <v>5</v>
      </c>
      <c r="AA254" s="6">
        <v>5</v>
      </c>
      <c r="AB254" s="6">
        <v>5</v>
      </c>
      <c r="AC254" s="254"/>
      <c r="AK254" s="255"/>
      <c r="AL254" s="255"/>
      <c r="AM254" s="14">
        <f>_DATA_Assessment_Model!AJ254</f>
        <v>0.9</v>
      </c>
      <c r="AN254" s="14">
        <f>_DATA_Assessment_Model!AK254</f>
        <v>0.9</v>
      </c>
      <c r="AO254" s="14">
        <f>_DATA_Assessment_Model!AL254</f>
        <v>0</v>
      </c>
      <c r="AP254" s="14">
        <f>_DATA_Assessment_Model!AM254</f>
        <v>0</v>
      </c>
      <c r="AQ254" s="14">
        <f>_DATA_Assessment_Model!AN254</f>
        <v>0</v>
      </c>
      <c r="AR254" s="14">
        <f>_DATA_Assessment_Model!AO254</f>
        <v>0</v>
      </c>
      <c r="AS254" s="14">
        <f>_DATA_Assessment_Model!AP254</f>
        <v>0</v>
      </c>
      <c r="AT254" s="14">
        <f>_DATA_Assessment_Model!AQ254</f>
        <v>0</v>
      </c>
      <c r="AU254" s="14" t="str">
        <f>_DATA_Assessment_Model!AR254</f>
        <v>Within target</v>
      </c>
      <c r="AV254" s="4">
        <f>_DATA_Assessment_Model!AS254</f>
        <v>0</v>
      </c>
      <c r="AW254" s="4">
        <f>_DATA_Assessment_Model!AT254</f>
        <v>0.9</v>
      </c>
      <c r="AX254" s="254"/>
      <c r="AY254">
        <f>_DATA_Assessment_Model!AV254</f>
        <v>0.9</v>
      </c>
    </row>
    <row r="255" spans="1:51" ht="82.85" customHeight="1">
      <c r="A255" t="s">
        <v>2145</v>
      </c>
      <c r="B255" t="s">
        <v>2145</v>
      </c>
      <c r="C255">
        <v>31</v>
      </c>
      <c r="D255" s="2" t="s">
        <v>2280</v>
      </c>
      <c r="E255" s="2" t="s">
        <v>2174</v>
      </c>
      <c r="F255" s="2" t="s">
        <v>2281</v>
      </c>
      <c r="G255" s="2" t="s">
        <v>2149</v>
      </c>
      <c r="H255" s="2" t="s">
        <v>2150</v>
      </c>
      <c r="I255" s="2" t="s">
        <v>2282</v>
      </c>
      <c r="J255" s="253">
        <v>5</v>
      </c>
      <c r="K255" s="49">
        <f>_DATA_Assessment_Model!H255</f>
        <v>0</v>
      </c>
      <c r="L255" s="3">
        <f>_DATA_Assessment_Model!I255</f>
        <v>0</v>
      </c>
      <c r="M255" s="3">
        <f>_DATA_Assessment_Model!J255</f>
        <v>5</v>
      </c>
      <c r="N255" s="3">
        <f>_DATA_Assessment_Model!K255</f>
        <v>5</v>
      </c>
      <c r="O255" s="2" t="str">
        <f>_DATA_Assessment_Model!L255</f>
        <v>Critical</v>
      </c>
      <c r="P255" s="2" t="s">
        <v>1202</v>
      </c>
      <c r="Q255" s="2" t="s">
        <v>1203</v>
      </c>
      <c r="R255" s="2" t="s">
        <v>1204</v>
      </c>
      <c r="S255" s="2" t="s">
        <v>1205</v>
      </c>
      <c r="T255" s="2" t="s">
        <v>1206</v>
      </c>
      <c r="U255" s="2" t="s">
        <v>1207</v>
      </c>
      <c r="V255" s="2" t="s">
        <v>2152</v>
      </c>
      <c r="W255" s="253"/>
      <c r="X255" s="253"/>
      <c r="Y255" s="253" t="s">
        <v>829</v>
      </c>
      <c r="Z255" s="6">
        <v>5</v>
      </c>
      <c r="AA255" s="6">
        <v>5</v>
      </c>
      <c r="AB255" s="6">
        <v>5</v>
      </c>
      <c r="AC255" s="254"/>
      <c r="AK255" s="255"/>
      <c r="AL255" s="255"/>
      <c r="AM255" s="14">
        <f>_DATA_Assessment_Model!AJ255</f>
        <v>0.9</v>
      </c>
      <c r="AN255" s="14">
        <f>_DATA_Assessment_Model!AK255</f>
        <v>0.9</v>
      </c>
      <c r="AO255" s="14">
        <f>_DATA_Assessment_Model!AL255</f>
        <v>0</v>
      </c>
      <c r="AP255" s="14">
        <f>_DATA_Assessment_Model!AM255</f>
        <v>0</v>
      </c>
      <c r="AQ255" s="14">
        <f>_DATA_Assessment_Model!AN255</f>
        <v>0</v>
      </c>
      <c r="AR255" s="14">
        <f>_DATA_Assessment_Model!AO255</f>
        <v>0</v>
      </c>
      <c r="AS255" s="14">
        <f>_DATA_Assessment_Model!AP255</f>
        <v>0</v>
      </c>
      <c r="AT255" s="14">
        <f>_DATA_Assessment_Model!AQ255</f>
        <v>0</v>
      </c>
      <c r="AU255" s="14" t="str">
        <f>_DATA_Assessment_Model!AR255</f>
        <v>Within target</v>
      </c>
      <c r="AV255" s="4">
        <f>_DATA_Assessment_Model!AS255</f>
        <v>0</v>
      </c>
      <c r="AW255" s="4">
        <f>_DATA_Assessment_Model!AT255</f>
        <v>0.9</v>
      </c>
      <c r="AX255" s="254"/>
      <c r="AY255">
        <f>_DATA_Assessment_Model!AV255</f>
        <v>0.9</v>
      </c>
    </row>
    <row r="256" spans="1:51" ht="69" customHeight="1">
      <c r="A256" t="s">
        <v>2145</v>
      </c>
      <c r="B256" t="s">
        <v>2145</v>
      </c>
      <c r="C256">
        <v>32</v>
      </c>
      <c r="D256" s="2" t="s">
        <v>2283</v>
      </c>
      <c r="E256" s="2" t="s">
        <v>2174</v>
      </c>
      <c r="F256" s="2" t="s">
        <v>2284</v>
      </c>
      <c r="G256" s="2" t="s">
        <v>2149</v>
      </c>
      <c r="H256" s="2" t="s">
        <v>2150</v>
      </c>
      <c r="I256" s="2" t="s">
        <v>2285</v>
      </c>
      <c r="J256" s="253">
        <v>5</v>
      </c>
      <c r="K256" s="49">
        <f>_DATA_Assessment_Model!H256</f>
        <v>0</v>
      </c>
      <c r="L256" s="3">
        <f>_DATA_Assessment_Model!I256</f>
        <v>0</v>
      </c>
      <c r="M256" s="3">
        <f>_DATA_Assessment_Model!J256</f>
        <v>5</v>
      </c>
      <c r="N256" s="3">
        <f>_DATA_Assessment_Model!K256</f>
        <v>5</v>
      </c>
      <c r="O256" s="2" t="str">
        <f>_DATA_Assessment_Model!L256</f>
        <v>Critical</v>
      </c>
      <c r="P256" s="2" t="s">
        <v>874</v>
      </c>
      <c r="Q256" s="2" t="s">
        <v>875</v>
      </c>
      <c r="R256" s="2" t="s">
        <v>876</v>
      </c>
      <c r="S256" s="2" t="s">
        <v>877</v>
      </c>
      <c r="T256" s="2" t="s">
        <v>878</v>
      </c>
      <c r="U256" s="2" t="s">
        <v>879</v>
      </c>
      <c r="V256" s="2" t="s">
        <v>2152</v>
      </c>
      <c r="W256" s="253"/>
      <c r="X256" s="253"/>
      <c r="Y256" s="253" t="s">
        <v>829</v>
      </c>
      <c r="Z256" s="6">
        <v>5</v>
      </c>
      <c r="AA256" s="6">
        <v>5</v>
      </c>
      <c r="AB256" s="6">
        <v>5</v>
      </c>
      <c r="AC256" s="254"/>
      <c r="AK256" s="255"/>
      <c r="AL256" s="255"/>
      <c r="AM256" s="14">
        <f>_DATA_Assessment_Model!AJ256</f>
        <v>0.9</v>
      </c>
      <c r="AN256" s="14">
        <f>_DATA_Assessment_Model!AK256</f>
        <v>0.9</v>
      </c>
      <c r="AO256" s="14">
        <f>_DATA_Assessment_Model!AL256</f>
        <v>0</v>
      </c>
      <c r="AP256" s="14">
        <f>_DATA_Assessment_Model!AM256</f>
        <v>0</v>
      </c>
      <c r="AQ256" s="14">
        <f>_DATA_Assessment_Model!AN256</f>
        <v>0</v>
      </c>
      <c r="AR256" s="14">
        <f>_DATA_Assessment_Model!AO256</f>
        <v>0</v>
      </c>
      <c r="AS256" s="14">
        <f>_DATA_Assessment_Model!AP256</f>
        <v>0</v>
      </c>
      <c r="AT256" s="14">
        <f>_DATA_Assessment_Model!AQ256</f>
        <v>0</v>
      </c>
      <c r="AU256" s="14" t="str">
        <f>_DATA_Assessment_Model!AR256</f>
        <v>Within target</v>
      </c>
      <c r="AV256" s="4">
        <f>_DATA_Assessment_Model!AS256</f>
        <v>0</v>
      </c>
      <c r="AW256" s="4">
        <f>_DATA_Assessment_Model!AT256</f>
        <v>0.9</v>
      </c>
      <c r="AX256" s="254"/>
      <c r="AY256">
        <f>_DATA_Assessment_Model!AV256</f>
        <v>0.9</v>
      </c>
    </row>
    <row r="257" spans="1:51" ht="96.65" customHeight="1">
      <c r="A257" t="s">
        <v>2286</v>
      </c>
      <c r="B257" t="s">
        <v>2286</v>
      </c>
      <c r="C257">
        <v>5</v>
      </c>
      <c r="D257" s="2" t="s">
        <v>2287</v>
      </c>
      <c r="E257" s="2" t="s">
        <v>2288</v>
      </c>
      <c r="F257" s="2" t="s">
        <v>2289</v>
      </c>
      <c r="G257" s="2" t="s">
        <v>2290</v>
      </c>
      <c r="H257" s="2" t="s">
        <v>2291</v>
      </c>
      <c r="I257" s="2" t="s">
        <v>2292</v>
      </c>
      <c r="J257" s="253">
        <v>4</v>
      </c>
      <c r="K257" s="49">
        <f>_DATA_Assessment_Model!H257</f>
        <v>0</v>
      </c>
      <c r="L257" s="3">
        <f>_DATA_Assessment_Model!I257</f>
        <v>0</v>
      </c>
      <c r="M257" s="3">
        <f>_DATA_Assessment_Model!J257</f>
        <v>4</v>
      </c>
      <c r="N257" s="3">
        <f>_DATA_Assessment_Model!K257</f>
        <v>4</v>
      </c>
      <c r="O257" s="2" t="str">
        <f>_DATA_Assessment_Model!L257</f>
        <v>Critical</v>
      </c>
      <c r="P257" s="2" t="s">
        <v>2293</v>
      </c>
      <c r="Q257" s="2" t="s">
        <v>2294</v>
      </c>
      <c r="R257" s="2" t="s">
        <v>2295</v>
      </c>
      <c r="S257" s="2" t="s">
        <v>2296</v>
      </c>
      <c r="T257" s="2" t="s">
        <v>2297</v>
      </c>
      <c r="U257" s="2" t="s">
        <v>2298</v>
      </c>
      <c r="V257" s="2" t="s">
        <v>2299</v>
      </c>
      <c r="W257" s="253"/>
      <c r="X257" s="253"/>
      <c r="Y257" s="253" t="s">
        <v>829</v>
      </c>
      <c r="Z257" s="6">
        <v>5</v>
      </c>
      <c r="AA257" s="6">
        <v>5</v>
      </c>
      <c r="AB257" s="6">
        <v>5</v>
      </c>
      <c r="AC257" s="254"/>
      <c r="AD257" t="s">
        <v>2288</v>
      </c>
      <c r="AE257" s="5">
        <f>_DATA_Assessment_Model!AB257</f>
        <v>4</v>
      </c>
      <c r="AF257" s="7">
        <f>_DATA_Assessment_Model!AC257</f>
        <v>0</v>
      </c>
      <c r="AG257" s="8">
        <f>_DATA_Assessment_Model!AD257</f>
        <v>0</v>
      </c>
      <c r="AH257" s="5">
        <f>_DATA_Assessment_Model!AE257</f>
        <v>4</v>
      </c>
      <c r="AI257" s="7">
        <f>_DATA_Assessment_Model!AF257</f>
        <v>5</v>
      </c>
      <c r="AJ257" s="5">
        <f>_DATA_Assessment_Model!AG257</f>
        <v>4</v>
      </c>
      <c r="AK257" s="255"/>
      <c r="AL257" s="255"/>
      <c r="AM257" s="14">
        <f>_DATA_Assessment_Model!AJ257</f>
        <v>0.9</v>
      </c>
      <c r="AN257" s="14">
        <f>_DATA_Assessment_Model!AK257</f>
        <v>0.9</v>
      </c>
      <c r="AO257" s="14">
        <f>_DATA_Assessment_Model!AL257</f>
        <v>0</v>
      </c>
      <c r="AP257" s="14">
        <f>_DATA_Assessment_Model!AM257</f>
        <v>0</v>
      </c>
      <c r="AQ257" s="14">
        <f>_DATA_Assessment_Model!AN257</f>
        <v>0</v>
      </c>
      <c r="AR257" s="14">
        <f>_DATA_Assessment_Model!AO257</f>
        <v>0</v>
      </c>
      <c r="AS257" s="14">
        <f>_DATA_Assessment_Model!AP257</f>
        <v>0</v>
      </c>
      <c r="AT257" s="14">
        <f>_DATA_Assessment_Model!AQ257</f>
        <v>0</v>
      </c>
      <c r="AU257" s="14" t="str">
        <f>_DATA_Assessment_Model!AR257</f>
        <v>Within target</v>
      </c>
      <c r="AV257" s="4">
        <f>_DATA_Assessment_Model!AS257</f>
        <v>0</v>
      </c>
      <c r="AW257" s="4">
        <f>_DATA_Assessment_Model!AT257</f>
        <v>0.9</v>
      </c>
      <c r="AX257" s="254"/>
      <c r="AY257">
        <f>_DATA_Assessment_Model!AV257</f>
        <v>0.9</v>
      </c>
    </row>
    <row r="258" spans="1:51" ht="110.4" customHeight="1">
      <c r="A258" t="s">
        <v>2286</v>
      </c>
      <c r="B258" t="s">
        <v>2286</v>
      </c>
      <c r="C258">
        <v>6</v>
      </c>
      <c r="D258" s="2" t="s">
        <v>2300</v>
      </c>
      <c r="E258" s="2" t="s">
        <v>2288</v>
      </c>
      <c r="F258" s="2" t="s">
        <v>2301</v>
      </c>
      <c r="G258" s="2" t="s">
        <v>2290</v>
      </c>
      <c r="H258" s="2" t="s">
        <v>2291</v>
      </c>
      <c r="I258" s="2" t="s">
        <v>2302</v>
      </c>
      <c r="J258" s="253">
        <v>4</v>
      </c>
      <c r="K258" s="49">
        <f>_DATA_Assessment_Model!H258</f>
        <v>0</v>
      </c>
      <c r="L258" s="3">
        <f>_DATA_Assessment_Model!I258</f>
        <v>0</v>
      </c>
      <c r="M258" s="3">
        <f>_DATA_Assessment_Model!J258</f>
        <v>4</v>
      </c>
      <c r="N258" s="3">
        <f>_DATA_Assessment_Model!K258</f>
        <v>4</v>
      </c>
      <c r="O258" s="2" t="str">
        <f>_DATA_Assessment_Model!L258</f>
        <v>Critical</v>
      </c>
      <c r="P258" s="2" t="s">
        <v>2303</v>
      </c>
      <c r="Q258" s="2" t="s">
        <v>2304</v>
      </c>
      <c r="R258" s="2" t="s">
        <v>2305</v>
      </c>
      <c r="S258" s="2" t="s">
        <v>2306</v>
      </c>
      <c r="T258" s="2" t="s">
        <v>2307</v>
      </c>
      <c r="U258" s="2" t="s">
        <v>2308</v>
      </c>
      <c r="V258" s="2" t="s">
        <v>2299</v>
      </c>
      <c r="W258" s="253"/>
      <c r="X258" s="253"/>
      <c r="Y258" s="253" t="s">
        <v>829</v>
      </c>
      <c r="Z258" s="6">
        <v>5</v>
      </c>
      <c r="AA258" s="6">
        <v>5</v>
      </c>
      <c r="AB258" s="6">
        <v>5</v>
      </c>
      <c r="AC258" s="254"/>
      <c r="AD258" t="s">
        <v>2309</v>
      </c>
      <c r="AE258" s="5">
        <f>_DATA_Assessment_Model!AB258</f>
        <v>5</v>
      </c>
      <c r="AF258" s="7">
        <f>_DATA_Assessment_Model!AC258</f>
        <v>0</v>
      </c>
      <c r="AG258" s="8">
        <f>_DATA_Assessment_Model!AD258</f>
        <v>0</v>
      </c>
      <c r="AH258" s="5">
        <f>_DATA_Assessment_Model!AE258</f>
        <v>5</v>
      </c>
      <c r="AI258" s="7">
        <f>_DATA_Assessment_Model!AF258</f>
        <v>5</v>
      </c>
      <c r="AJ258" s="5">
        <f>_DATA_Assessment_Model!AG258</f>
        <v>5</v>
      </c>
      <c r="AK258" s="255"/>
      <c r="AL258" s="255"/>
      <c r="AM258" s="14">
        <f>_DATA_Assessment_Model!AJ258</f>
        <v>0.9</v>
      </c>
      <c r="AN258" s="14">
        <f>_DATA_Assessment_Model!AK258</f>
        <v>0.9</v>
      </c>
      <c r="AO258" s="14">
        <f>_DATA_Assessment_Model!AL258</f>
        <v>0</v>
      </c>
      <c r="AP258" s="14">
        <f>_DATA_Assessment_Model!AM258</f>
        <v>0</v>
      </c>
      <c r="AQ258" s="14">
        <f>_DATA_Assessment_Model!AN258</f>
        <v>0</v>
      </c>
      <c r="AR258" s="14">
        <f>_DATA_Assessment_Model!AO258</f>
        <v>0</v>
      </c>
      <c r="AS258" s="14">
        <f>_DATA_Assessment_Model!AP258</f>
        <v>0</v>
      </c>
      <c r="AT258" s="14">
        <f>_DATA_Assessment_Model!AQ258</f>
        <v>0</v>
      </c>
      <c r="AU258" s="14" t="str">
        <f>_DATA_Assessment_Model!AR258</f>
        <v>Within target</v>
      </c>
      <c r="AV258" s="4">
        <f>_DATA_Assessment_Model!AS258</f>
        <v>0</v>
      </c>
      <c r="AW258" s="4">
        <f>_DATA_Assessment_Model!AT258</f>
        <v>0.9</v>
      </c>
      <c r="AX258" s="254"/>
      <c r="AY258">
        <f>_DATA_Assessment_Model!AV258</f>
        <v>0.9</v>
      </c>
    </row>
    <row r="259" spans="1:51" ht="96.65" customHeight="1">
      <c r="A259" t="s">
        <v>2286</v>
      </c>
      <c r="B259" t="s">
        <v>2286</v>
      </c>
      <c r="C259">
        <v>7</v>
      </c>
      <c r="D259" s="2" t="s">
        <v>2310</v>
      </c>
      <c r="E259" s="2" t="s">
        <v>2288</v>
      </c>
      <c r="F259" s="2" t="s">
        <v>2311</v>
      </c>
      <c r="G259" s="2" t="s">
        <v>2290</v>
      </c>
      <c r="H259" s="2" t="s">
        <v>2291</v>
      </c>
      <c r="I259" s="2" t="s">
        <v>2312</v>
      </c>
      <c r="J259" s="253">
        <v>4</v>
      </c>
      <c r="K259" s="49">
        <f>_DATA_Assessment_Model!H259</f>
        <v>0</v>
      </c>
      <c r="L259" s="3">
        <f>_DATA_Assessment_Model!I259</f>
        <v>0</v>
      </c>
      <c r="M259" s="3">
        <f>_DATA_Assessment_Model!J259</f>
        <v>4</v>
      </c>
      <c r="N259" s="3">
        <f>_DATA_Assessment_Model!K259</f>
        <v>4</v>
      </c>
      <c r="O259" s="2" t="str">
        <f>_DATA_Assessment_Model!L259</f>
        <v>Critical</v>
      </c>
      <c r="P259" s="2" t="s">
        <v>2313</v>
      </c>
      <c r="Q259" s="2" t="s">
        <v>2314</v>
      </c>
      <c r="R259" s="2" t="s">
        <v>2315</v>
      </c>
      <c r="S259" s="2" t="s">
        <v>2316</v>
      </c>
      <c r="T259" s="2" t="s">
        <v>2317</v>
      </c>
      <c r="U259" s="2" t="s">
        <v>2318</v>
      </c>
      <c r="V259" s="2" t="s">
        <v>2299</v>
      </c>
      <c r="W259" s="253"/>
      <c r="X259" s="253"/>
      <c r="Y259" s="253" t="s">
        <v>829</v>
      </c>
      <c r="Z259" s="6">
        <v>5</v>
      </c>
      <c r="AA259" s="6">
        <v>5</v>
      </c>
      <c r="AB259" s="6">
        <v>5</v>
      </c>
      <c r="AC259" s="254"/>
      <c r="AD259" t="s">
        <v>2319</v>
      </c>
      <c r="AE259" s="5">
        <f>_DATA_Assessment_Model!AB259</f>
        <v>6</v>
      </c>
      <c r="AF259" s="7">
        <f>_DATA_Assessment_Model!AC259</f>
        <v>0</v>
      </c>
      <c r="AG259" s="8">
        <f>_DATA_Assessment_Model!AD259</f>
        <v>0</v>
      </c>
      <c r="AH259" s="5">
        <f>_DATA_Assessment_Model!AE259</f>
        <v>6</v>
      </c>
      <c r="AI259" s="7">
        <f>_DATA_Assessment_Model!AF259</f>
        <v>5</v>
      </c>
      <c r="AJ259" s="5">
        <f>_DATA_Assessment_Model!AG259</f>
        <v>6</v>
      </c>
      <c r="AK259" s="255"/>
      <c r="AL259" s="255"/>
      <c r="AM259" s="14">
        <f>_DATA_Assessment_Model!AJ259</f>
        <v>0.9</v>
      </c>
      <c r="AN259" s="14">
        <f>_DATA_Assessment_Model!AK259</f>
        <v>0.9</v>
      </c>
      <c r="AO259" s="14">
        <f>_DATA_Assessment_Model!AL259</f>
        <v>0</v>
      </c>
      <c r="AP259" s="14">
        <f>_DATA_Assessment_Model!AM259</f>
        <v>0</v>
      </c>
      <c r="AQ259" s="14">
        <f>_DATA_Assessment_Model!AN259</f>
        <v>0</v>
      </c>
      <c r="AR259" s="14">
        <f>_DATA_Assessment_Model!AO259</f>
        <v>0</v>
      </c>
      <c r="AS259" s="14">
        <f>_DATA_Assessment_Model!AP259</f>
        <v>0</v>
      </c>
      <c r="AT259" s="14">
        <f>_DATA_Assessment_Model!AQ259</f>
        <v>0</v>
      </c>
      <c r="AU259" s="14" t="str">
        <f>_DATA_Assessment_Model!AR259</f>
        <v>Within target</v>
      </c>
      <c r="AV259" s="4">
        <f>_DATA_Assessment_Model!AS259</f>
        <v>0</v>
      </c>
      <c r="AW259" s="4">
        <f>_DATA_Assessment_Model!AT259</f>
        <v>0.9</v>
      </c>
      <c r="AX259" s="254"/>
      <c r="AY259">
        <f>_DATA_Assessment_Model!AV259</f>
        <v>0.9</v>
      </c>
    </row>
    <row r="260" spans="1:51" ht="96.65" customHeight="1">
      <c r="A260" t="s">
        <v>2286</v>
      </c>
      <c r="B260" t="s">
        <v>2286</v>
      </c>
      <c r="C260">
        <v>8</v>
      </c>
      <c r="D260" s="2" t="s">
        <v>2320</v>
      </c>
      <c r="E260" s="2" t="s">
        <v>2288</v>
      </c>
      <c r="F260" s="2" t="s">
        <v>2321</v>
      </c>
      <c r="G260" s="2" t="s">
        <v>2290</v>
      </c>
      <c r="H260" s="2" t="s">
        <v>2291</v>
      </c>
      <c r="I260" s="2" t="s">
        <v>2322</v>
      </c>
      <c r="J260" s="253">
        <v>4</v>
      </c>
      <c r="K260" s="49">
        <f>_DATA_Assessment_Model!H260</f>
        <v>0</v>
      </c>
      <c r="L260" s="3">
        <f>_DATA_Assessment_Model!I260</f>
        <v>0</v>
      </c>
      <c r="M260" s="3">
        <f>_DATA_Assessment_Model!J260</f>
        <v>4</v>
      </c>
      <c r="N260" s="3">
        <f>_DATA_Assessment_Model!K260</f>
        <v>4</v>
      </c>
      <c r="O260" s="2" t="str">
        <f>_DATA_Assessment_Model!L260</f>
        <v>Critical</v>
      </c>
      <c r="P260" s="2" t="s">
        <v>2323</v>
      </c>
      <c r="Q260" s="2" t="s">
        <v>2324</v>
      </c>
      <c r="R260" s="2" t="s">
        <v>2325</v>
      </c>
      <c r="S260" s="2" t="s">
        <v>2326</v>
      </c>
      <c r="T260" s="2" t="s">
        <v>2327</v>
      </c>
      <c r="U260" s="2" t="s">
        <v>2328</v>
      </c>
      <c r="V260" s="2" t="s">
        <v>2299</v>
      </c>
      <c r="W260" s="253"/>
      <c r="X260" s="253"/>
      <c r="Y260" s="253" t="s">
        <v>829</v>
      </c>
      <c r="Z260" s="6">
        <v>5</v>
      </c>
      <c r="AA260" s="6">
        <v>5</v>
      </c>
      <c r="AB260" s="6">
        <v>5</v>
      </c>
      <c r="AC260" s="254"/>
      <c r="AD260" t="s">
        <v>2329</v>
      </c>
      <c r="AE260" s="5">
        <f>_DATA_Assessment_Model!AB260</f>
        <v>4</v>
      </c>
      <c r="AF260" s="7">
        <f>_DATA_Assessment_Model!AC260</f>
        <v>0</v>
      </c>
      <c r="AG260" s="8">
        <f>_DATA_Assessment_Model!AD260</f>
        <v>0</v>
      </c>
      <c r="AH260" s="5">
        <f>_DATA_Assessment_Model!AE260</f>
        <v>4</v>
      </c>
      <c r="AI260" s="7">
        <f>_DATA_Assessment_Model!AF260</f>
        <v>5</v>
      </c>
      <c r="AJ260" s="5">
        <f>_DATA_Assessment_Model!AG260</f>
        <v>4</v>
      </c>
      <c r="AK260" s="255"/>
      <c r="AL260" s="255"/>
      <c r="AM260" s="14">
        <f>_DATA_Assessment_Model!AJ260</f>
        <v>0.9</v>
      </c>
      <c r="AN260" s="14">
        <f>_DATA_Assessment_Model!AK260</f>
        <v>0.9</v>
      </c>
      <c r="AO260" s="14">
        <f>_DATA_Assessment_Model!AL260</f>
        <v>0</v>
      </c>
      <c r="AP260" s="14">
        <f>_DATA_Assessment_Model!AM260</f>
        <v>0</v>
      </c>
      <c r="AQ260" s="14">
        <f>_DATA_Assessment_Model!AN260</f>
        <v>0</v>
      </c>
      <c r="AR260" s="14">
        <f>_DATA_Assessment_Model!AO260</f>
        <v>0</v>
      </c>
      <c r="AS260" s="14">
        <f>_DATA_Assessment_Model!AP260</f>
        <v>0</v>
      </c>
      <c r="AT260" s="14">
        <f>_DATA_Assessment_Model!AQ260</f>
        <v>0</v>
      </c>
      <c r="AU260" s="14" t="str">
        <f>_DATA_Assessment_Model!AR260</f>
        <v>Within target</v>
      </c>
      <c r="AV260" s="4">
        <f>_DATA_Assessment_Model!AS260</f>
        <v>0</v>
      </c>
      <c r="AW260" s="4">
        <f>_DATA_Assessment_Model!AT260</f>
        <v>0.9</v>
      </c>
      <c r="AX260" s="254"/>
      <c r="AY260">
        <f>_DATA_Assessment_Model!AV260</f>
        <v>0.9</v>
      </c>
    </row>
    <row r="261" spans="1:51" ht="82.85" customHeight="1">
      <c r="A261" t="s">
        <v>2286</v>
      </c>
      <c r="B261" t="s">
        <v>2286</v>
      </c>
      <c r="C261">
        <v>9</v>
      </c>
      <c r="D261" s="2" t="s">
        <v>2330</v>
      </c>
      <c r="E261" s="2" t="s">
        <v>2309</v>
      </c>
      <c r="F261" s="2" t="s">
        <v>2331</v>
      </c>
      <c r="G261" s="2" t="s">
        <v>2290</v>
      </c>
      <c r="H261" s="2" t="s">
        <v>2291</v>
      </c>
      <c r="I261" s="2" t="s">
        <v>2332</v>
      </c>
      <c r="J261" s="253">
        <v>4</v>
      </c>
      <c r="K261" s="49">
        <f>_DATA_Assessment_Model!H261</f>
        <v>0</v>
      </c>
      <c r="L261" s="3">
        <f>_DATA_Assessment_Model!I261</f>
        <v>0</v>
      </c>
      <c r="M261" s="3">
        <f>_DATA_Assessment_Model!J261</f>
        <v>4</v>
      </c>
      <c r="N261" s="3">
        <f>_DATA_Assessment_Model!K261</f>
        <v>4</v>
      </c>
      <c r="O261" s="2" t="str">
        <f>_DATA_Assessment_Model!L261</f>
        <v>Critical</v>
      </c>
      <c r="P261" s="2" t="s">
        <v>2333</v>
      </c>
      <c r="Q261" s="2" t="s">
        <v>2334</v>
      </c>
      <c r="R261" s="2" t="s">
        <v>2335</v>
      </c>
      <c r="S261" s="2" t="s">
        <v>2336</v>
      </c>
      <c r="T261" s="2" t="s">
        <v>2337</v>
      </c>
      <c r="U261" s="2" t="s">
        <v>2338</v>
      </c>
      <c r="V261" s="2" t="s">
        <v>2299</v>
      </c>
      <c r="W261" s="253"/>
      <c r="X261" s="253"/>
      <c r="Y261" s="253" t="s">
        <v>829</v>
      </c>
      <c r="Z261" s="6">
        <v>4</v>
      </c>
      <c r="AA261" s="6">
        <v>5</v>
      </c>
      <c r="AB261" s="6">
        <v>5</v>
      </c>
      <c r="AC261" s="254"/>
      <c r="AD261" t="s">
        <v>2339</v>
      </c>
      <c r="AE261">
        <f>_DATA_Assessment_Model!AB261</f>
        <v>5</v>
      </c>
      <c r="AF261">
        <f>_DATA_Assessment_Model!AC261</f>
        <v>0</v>
      </c>
      <c r="AG261">
        <f>_DATA_Assessment_Model!AD261</f>
        <v>0</v>
      </c>
      <c r="AH261">
        <f>_DATA_Assessment_Model!AE261</f>
        <v>5</v>
      </c>
      <c r="AI261">
        <f>_DATA_Assessment_Model!AF261</f>
        <v>5</v>
      </c>
      <c r="AJ261">
        <f>_DATA_Assessment_Model!AG261</f>
        <v>5</v>
      </c>
      <c r="AK261" s="255"/>
      <c r="AL261" s="255"/>
      <c r="AM261" s="14">
        <f>_DATA_Assessment_Model!AJ261</f>
        <v>0.9</v>
      </c>
      <c r="AN261" s="14">
        <f>_DATA_Assessment_Model!AK261</f>
        <v>0.9</v>
      </c>
      <c r="AO261" s="14">
        <f>_DATA_Assessment_Model!AL261</f>
        <v>0</v>
      </c>
      <c r="AP261" s="14">
        <f>_DATA_Assessment_Model!AM261</f>
        <v>0</v>
      </c>
      <c r="AQ261" s="14">
        <f>_DATA_Assessment_Model!AN261</f>
        <v>0</v>
      </c>
      <c r="AR261" s="14">
        <f>_DATA_Assessment_Model!AO261</f>
        <v>0</v>
      </c>
      <c r="AS261" s="14">
        <f>_DATA_Assessment_Model!AP261</f>
        <v>0</v>
      </c>
      <c r="AT261" s="14">
        <f>_DATA_Assessment_Model!AQ261</f>
        <v>0</v>
      </c>
      <c r="AU261" s="14" t="str">
        <f>_DATA_Assessment_Model!AR261</f>
        <v>Within target</v>
      </c>
      <c r="AV261" s="4">
        <f>_DATA_Assessment_Model!AS261</f>
        <v>0</v>
      </c>
      <c r="AW261" s="4">
        <f>_DATA_Assessment_Model!AT261</f>
        <v>0.9</v>
      </c>
      <c r="AX261" s="254"/>
      <c r="AY261">
        <f>_DATA_Assessment_Model!AV261</f>
        <v>0.9</v>
      </c>
    </row>
    <row r="262" spans="1:51" ht="69" customHeight="1">
      <c r="A262" t="s">
        <v>2286</v>
      </c>
      <c r="B262" t="s">
        <v>2286</v>
      </c>
      <c r="C262">
        <v>10</v>
      </c>
      <c r="D262" s="2" t="s">
        <v>2340</v>
      </c>
      <c r="E262" s="2" t="s">
        <v>2309</v>
      </c>
      <c r="F262" s="2" t="s">
        <v>2341</v>
      </c>
      <c r="G262" s="2" t="s">
        <v>2290</v>
      </c>
      <c r="H262" s="2" t="s">
        <v>2291</v>
      </c>
      <c r="I262" s="2" t="s">
        <v>2342</v>
      </c>
      <c r="J262" s="253">
        <v>5</v>
      </c>
      <c r="K262" s="49">
        <f>_DATA_Assessment_Model!H262</f>
        <v>0</v>
      </c>
      <c r="L262" s="3">
        <f>_DATA_Assessment_Model!I262</f>
        <v>0</v>
      </c>
      <c r="M262" s="3">
        <f>_DATA_Assessment_Model!J262</f>
        <v>5</v>
      </c>
      <c r="N262" s="3">
        <f>_DATA_Assessment_Model!K262</f>
        <v>5</v>
      </c>
      <c r="O262" s="2" t="str">
        <f>_DATA_Assessment_Model!L262</f>
        <v>Critical</v>
      </c>
      <c r="P262" s="2" t="s">
        <v>833</v>
      </c>
      <c r="Q262" s="2" t="s">
        <v>834</v>
      </c>
      <c r="R262" s="2" t="s">
        <v>835</v>
      </c>
      <c r="S262" s="2" t="s">
        <v>836</v>
      </c>
      <c r="T262" s="2" t="s">
        <v>837</v>
      </c>
      <c r="U262" s="2" t="s">
        <v>838</v>
      </c>
      <c r="V262" s="2" t="s">
        <v>2299</v>
      </c>
      <c r="W262" s="253"/>
      <c r="X262" s="253"/>
      <c r="Y262" s="253" t="s">
        <v>829</v>
      </c>
      <c r="Z262" s="6">
        <v>4</v>
      </c>
      <c r="AA262" s="6">
        <v>5</v>
      </c>
      <c r="AB262" s="6">
        <v>5</v>
      </c>
      <c r="AC262" s="254"/>
      <c r="AK262" s="255"/>
      <c r="AL262" s="255"/>
      <c r="AM262" s="14">
        <f>_DATA_Assessment_Model!AJ262</f>
        <v>0.9</v>
      </c>
      <c r="AN262" s="14">
        <f>_DATA_Assessment_Model!AK262</f>
        <v>0.9</v>
      </c>
      <c r="AO262" s="14">
        <f>_DATA_Assessment_Model!AL262</f>
        <v>0</v>
      </c>
      <c r="AP262" s="14">
        <f>_DATA_Assessment_Model!AM262</f>
        <v>0</v>
      </c>
      <c r="AQ262" s="14">
        <f>_DATA_Assessment_Model!AN262</f>
        <v>0</v>
      </c>
      <c r="AR262" s="14">
        <f>_DATA_Assessment_Model!AO262</f>
        <v>0</v>
      </c>
      <c r="AS262" s="14">
        <f>_DATA_Assessment_Model!AP262</f>
        <v>0</v>
      </c>
      <c r="AT262" s="14">
        <f>_DATA_Assessment_Model!AQ262</f>
        <v>0</v>
      </c>
      <c r="AU262" s="14" t="str">
        <f>_DATA_Assessment_Model!AR262</f>
        <v>Within target</v>
      </c>
      <c r="AV262" s="4">
        <f>_DATA_Assessment_Model!AS262</f>
        <v>0</v>
      </c>
      <c r="AW262" s="4">
        <f>_DATA_Assessment_Model!AT262</f>
        <v>0.9</v>
      </c>
      <c r="AX262" s="254"/>
      <c r="AY262">
        <f>_DATA_Assessment_Model!AV262</f>
        <v>0.9</v>
      </c>
    </row>
    <row r="263" spans="1:51" ht="96.65" customHeight="1">
      <c r="A263" t="s">
        <v>2286</v>
      </c>
      <c r="B263" t="s">
        <v>2286</v>
      </c>
      <c r="C263">
        <v>11</v>
      </c>
      <c r="D263" s="2" t="s">
        <v>2343</v>
      </c>
      <c r="E263" s="2" t="s">
        <v>2309</v>
      </c>
      <c r="F263" s="2" t="s">
        <v>2344</v>
      </c>
      <c r="G263" s="2" t="s">
        <v>2290</v>
      </c>
      <c r="H263" s="2" t="s">
        <v>2291</v>
      </c>
      <c r="I263" s="2" t="s">
        <v>2345</v>
      </c>
      <c r="J263" s="253">
        <v>4</v>
      </c>
      <c r="K263" s="49">
        <f>_DATA_Assessment_Model!H263</f>
        <v>0</v>
      </c>
      <c r="L263" s="3">
        <f>_DATA_Assessment_Model!I263</f>
        <v>0</v>
      </c>
      <c r="M263" s="3">
        <f>_DATA_Assessment_Model!J263</f>
        <v>4</v>
      </c>
      <c r="N263" s="3">
        <f>_DATA_Assessment_Model!K263</f>
        <v>4</v>
      </c>
      <c r="O263" s="2" t="str">
        <f>_DATA_Assessment_Model!L263</f>
        <v>Critical</v>
      </c>
      <c r="P263" s="2" t="s">
        <v>2346</v>
      </c>
      <c r="Q263" s="2" t="s">
        <v>2347</v>
      </c>
      <c r="R263" s="2" t="s">
        <v>2348</v>
      </c>
      <c r="S263" s="2" t="s">
        <v>2349</v>
      </c>
      <c r="T263" s="2" t="s">
        <v>2350</v>
      </c>
      <c r="U263" s="2" t="s">
        <v>2351</v>
      </c>
      <c r="V263" s="2" t="s">
        <v>2299</v>
      </c>
      <c r="W263" s="253"/>
      <c r="X263" s="253"/>
      <c r="Y263" s="253" t="s">
        <v>829</v>
      </c>
      <c r="Z263" s="6">
        <v>4</v>
      </c>
      <c r="AA263" s="6">
        <v>5</v>
      </c>
      <c r="AB263" s="6">
        <v>5</v>
      </c>
      <c r="AC263" s="254"/>
      <c r="AK263" s="255"/>
      <c r="AL263" s="255"/>
      <c r="AM263" s="14">
        <f>_DATA_Assessment_Model!AJ263</f>
        <v>0.9</v>
      </c>
      <c r="AN263" s="14">
        <f>_DATA_Assessment_Model!AK263</f>
        <v>0.9</v>
      </c>
      <c r="AO263" s="14">
        <f>_DATA_Assessment_Model!AL263</f>
        <v>0</v>
      </c>
      <c r="AP263" s="14">
        <f>_DATA_Assessment_Model!AM263</f>
        <v>0</v>
      </c>
      <c r="AQ263" s="14">
        <f>_DATA_Assessment_Model!AN263</f>
        <v>0</v>
      </c>
      <c r="AR263" s="14">
        <f>_DATA_Assessment_Model!AO263</f>
        <v>0</v>
      </c>
      <c r="AS263" s="14">
        <f>_DATA_Assessment_Model!AP263</f>
        <v>0</v>
      </c>
      <c r="AT263" s="14">
        <f>_DATA_Assessment_Model!AQ263</f>
        <v>0</v>
      </c>
      <c r="AU263" s="14" t="str">
        <f>_DATA_Assessment_Model!AR263</f>
        <v>Within target</v>
      </c>
      <c r="AV263" s="4">
        <f>_DATA_Assessment_Model!AS263</f>
        <v>0</v>
      </c>
      <c r="AW263" s="4">
        <f>_DATA_Assessment_Model!AT263</f>
        <v>0.9</v>
      </c>
      <c r="AX263" s="254"/>
      <c r="AY263">
        <f>_DATA_Assessment_Model!AV263</f>
        <v>0.9</v>
      </c>
    </row>
    <row r="264" spans="1:51" ht="69" customHeight="1">
      <c r="A264" t="s">
        <v>2286</v>
      </c>
      <c r="B264" t="s">
        <v>2286</v>
      </c>
      <c r="C264">
        <v>12</v>
      </c>
      <c r="D264" s="2" t="s">
        <v>2352</v>
      </c>
      <c r="E264" s="2" t="s">
        <v>2309</v>
      </c>
      <c r="F264" s="2" t="s">
        <v>2353</v>
      </c>
      <c r="G264" s="2" t="s">
        <v>2290</v>
      </c>
      <c r="H264" s="2" t="s">
        <v>2291</v>
      </c>
      <c r="I264" s="2" t="s">
        <v>2354</v>
      </c>
      <c r="J264" s="253">
        <v>4</v>
      </c>
      <c r="K264" s="49">
        <f>_DATA_Assessment_Model!H264</f>
        <v>0</v>
      </c>
      <c r="L264" s="3">
        <f>_DATA_Assessment_Model!I264</f>
        <v>0</v>
      </c>
      <c r="M264" s="3">
        <f>_DATA_Assessment_Model!J264</f>
        <v>4</v>
      </c>
      <c r="N264" s="3">
        <f>_DATA_Assessment_Model!K264</f>
        <v>4</v>
      </c>
      <c r="O264" s="2" t="str">
        <f>_DATA_Assessment_Model!L264</f>
        <v>Critical</v>
      </c>
      <c r="P264" s="2" t="s">
        <v>1202</v>
      </c>
      <c r="Q264" s="2" t="s">
        <v>1203</v>
      </c>
      <c r="R264" s="2" t="s">
        <v>1204</v>
      </c>
      <c r="S264" s="2" t="s">
        <v>1205</v>
      </c>
      <c r="T264" s="2" t="s">
        <v>1206</v>
      </c>
      <c r="U264" s="2" t="s">
        <v>1207</v>
      </c>
      <c r="V264" s="2" t="s">
        <v>2299</v>
      </c>
      <c r="W264" s="253"/>
      <c r="X264" s="253"/>
      <c r="Y264" s="253" t="s">
        <v>829</v>
      </c>
      <c r="Z264" s="6">
        <v>4</v>
      </c>
      <c r="AA264" s="6">
        <v>5</v>
      </c>
      <c r="AB264" s="6">
        <v>5</v>
      </c>
      <c r="AC264" s="254"/>
      <c r="AK264" s="255"/>
      <c r="AL264" s="255"/>
      <c r="AM264" s="14">
        <f>_DATA_Assessment_Model!AJ264</f>
        <v>0.9</v>
      </c>
      <c r="AN264" s="14">
        <f>_DATA_Assessment_Model!AK264</f>
        <v>0.9</v>
      </c>
      <c r="AO264" s="14">
        <f>_DATA_Assessment_Model!AL264</f>
        <v>0</v>
      </c>
      <c r="AP264" s="14">
        <f>_DATA_Assessment_Model!AM264</f>
        <v>0</v>
      </c>
      <c r="AQ264" s="14">
        <f>_DATA_Assessment_Model!AN264</f>
        <v>0</v>
      </c>
      <c r="AR264" s="14">
        <f>_DATA_Assessment_Model!AO264</f>
        <v>0</v>
      </c>
      <c r="AS264" s="14">
        <f>_DATA_Assessment_Model!AP264</f>
        <v>0</v>
      </c>
      <c r="AT264" s="14">
        <f>_DATA_Assessment_Model!AQ264</f>
        <v>0</v>
      </c>
      <c r="AU264" s="14" t="str">
        <f>_DATA_Assessment_Model!AR264</f>
        <v>Within target</v>
      </c>
      <c r="AV264" s="4">
        <f>_DATA_Assessment_Model!AS264</f>
        <v>0</v>
      </c>
      <c r="AW264" s="4">
        <f>_DATA_Assessment_Model!AT264</f>
        <v>0.9</v>
      </c>
      <c r="AX264" s="254"/>
      <c r="AY264">
        <f>_DATA_Assessment_Model!AV264</f>
        <v>0.9</v>
      </c>
    </row>
    <row r="265" spans="1:51" ht="96.65" customHeight="1">
      <c r="A265" t="s">
        <v>2286</v>
      </c>
      <c r="B265" t="s">
        <v>2286</v>
      </c>
      <c r="C265">
        <v>13</v>
      </c>
      <c r="D265" s="2" t="s">
        <v>2355</v>
      </c>
      <c r="E265" s="2" t="s">
        <v>2309</v>
      </c>
      <c r="F265" s="2" t="s">
        <v>2356</v>
      </c>
      <c r="G265" s="2" t="s">
        <v>2290</v>
      </c>
      <c r="H265" s="2" t="s">
        <v>2291</v>
      </c>
      <c r="I265" s="2" t="s">
        <v>2357</v>
      </c>
      <c r="J265" s="253">
        <v>3</v>
      </c>
      <c r="K265" s="49">
        <f>_DATA_Assessment_Model!H265</f>
        <v>0</v>
      </c>
      <c r="L265" s="3">
        <f>_DATA_Assessment_Model!I265</f>
        <v>0</v>
      </c>
      <c r="M265" s="3">
        <f>_DATA_Assessment_Model!J265</f>
        <v>3</v>
      </c>
      <c r="N265" s="3">
        <f>_DATA_Assessment_Model!K265</f>
        <v>3</v>
      </c>
      <c r="O265" s="2" t="str">
        <f>_DATA_Assessment_Model!L265</f>
        <v>Critical</v>
      </c>
      <c r="P265" s="2" t="s">
        <v>2358</v>
      </c>
      <c r="Q265" s="2" t="s">
        <v>2359</v>
      </c>
      <c r="R265" s="2" t="s">
        <v>2360</v>
      </c>
      <c r="S265" s="2" t="s">
        <v>2361</v>
      </c>
      <c r="T265" s="2" t="s">
        <v>2362</v>
      </c>
      <c r="U265" s="2" t="s">
        <v>2363</v>
      </c>
      <c r="V265" s="2" t="s">
        <v>2299</v>
      </c>
      <c r="W265" s="253"/>
      <c r="X265" s="253"/>
      <c r="Y265" s="253" t="s">
        <v>829</v>
      </c>
      <c r="Z265" s="6">
        <v>5</v>
      </c>
      <c r="AA265" s="6">
        <v>5</v>
      </c>
      <c r="AB265" s="6">
        <v>5</v>
      </c>
      <c r="AC265" s="254"/>
      <c r="AK265" s="255"/>
      <c r="AL265" s="255"/>
      <c r="AM265" s="14">
        <f>_DATA_Assessment_Model!AJ265</f>
        <v>0.9</v>
      </c>
      <c r="AN265" s="14">
        <f>_DATA_Assessment_Model!AK265</f>
        <v>0.9</v>
      </c>
      <c r="AO265" s="14">
        <f>_DATA_Assessment_Model!AL265</f>
        <v>0</v>
      </c>
      <c r="AP265" s="14">
        <f>_DATA_Assessment_Model!AM265</f>
        <v>0</v>
      </c>
      <c r="AQ265" s="14">
        <f>_DATA_Assessment_Model!AN265</f>
        <v>0</v>
      </c>
      <c r="AR265" s="14">
        <f>_DATA_Assessment_Model!AO265</f>
        <v>0</v>
      </c>
      <c r="AS265" s="14">
        <f>_DATA_Assessment_Model!AP265</f>
        <v>0</v>
      </c>
      <c r="AT265" s="14">
        <f>_DATA_Assessment_Model!AQ265</f>
        <v>0</v>
      </c>
      <c r="AU265" s="14" t="str">
        <f>_DATA_Assessment_Model!AR265</f>
        <v>Within target</v>
      </c>
      <c r="AV265" s="4">
        <f>_DATA_Assessment_Model!AS265</f>
        <v>0</v>
      </c>
      <c r="AW265" s="4">
        <f>_DATA_Assessment_Model!AT265</f>
        <v>0.9</v>
      </c>
      <c r="AX265" s="254"/>
      <c r="AY265">
        <f>_DATA_Assessment_Model!AV265</f>
        <v>0.9</v>
      </c>
    </row>
    <row r="266" spans="1:51" ht="110.4" customHeight="1">
      <c r="A266" t="s">
        <v>2286</v>
      </c>
      <c r="B266" t="s">
        <v>2286</v>
      </c>
      <c r="C266">
        <v>14</v>
      </c>
      <c r="D266" s="2" t="s">
        <v>2364</v>
      </c>
      <c r="E266" s="2" t="s">
        <v>2319</v>
      </c>
      <c r="F266" s="2" t="s">
        <v>2365</v>
      </c>
      <c r="G266" s="2" t="s">
        <v>2290</v>
      </c>
      <c r="H266" s="2" t="s">
        <v>2291</v>
      </c>
      <c r="I266" s="2" t="s">
        <v>2366</v>
      </c>
      <c r="J266" s="253">
        <v>4</v>
      </c>
      <c r="K266" s="49">
        <f>_DATA_Assessment_Model!H266</f>
        <v>0</v>
      </c>
      <c r="L266" s="3">
        <f>_DATA_Assessment_Model!I266</f>
        <v>0</v>
      </c>
      <c r="M266" s="3">
        <f>_DATA_Assessment_Model!J266</f>
        <v>4</v>
      </c>
      <c r="N266" s="3">
        <f>_DATA_Assessment_Model!K266</f>
        <v>4</v>
      </c>
      <c r="O266" s="2" t="str">
        <f>_DATA_Assessment_Model!L266</f>
        <v>Critical</v>
      </c>
      <c r="P266" s="2" t="s">
        <v>2367</v>
      </c>
      <c r="Q266" s="2" t="s">
        <v>2368</v>
      </c>
      <c r="R266" s="2" t="s">
        <v>2369</v>
      </c>
      <c r="S266" s="2" t="s">
        <v>2370</v>
      </c>
      <c r="T266" s="2" t="s">
        <v>2371</v>
      </c>
      <c r="U266" s="2" t="s">
        <v>2372</v>
      </c>
      <c r="V266" s="2" t="s">
        <v>2299</v>
      </c>
      <c r="W266" s="253"/>
      <c r="X266" s="253"/>
      <c r="Y266" s="253" t="s">
        <v>829</v>
      </c>
      <c r="Z266" s="6">
        <v>4</v>
      </c>
      <c r="AA266" s="6">
        <v>5</v>
      </c>
      <c r="AB266" s="6">
        <v>5</v>
      </c>
      <c r="AC266" s="254"/>
      <c r="AK266" s="255"/>
      <c r="AL266" s="255"/>
      <c r="AM266" s="14">
        <f>_DATA_Assessment_Model!AJ266</f>
        <v>0.9</v>
      </c>
      <c r="AN266" s="14">
        <f>_DATA_Assessment_Model!AK266</f>
        <v>0.9</v>
      </c>
      <c r="AO266" s="14">
        <f>_DATA_Assessment_Model!AL266</f>
        <v>0</v>
      </c>
      <c r="AP266" s="14">
        <f>_DATA_Assessment_Model!AM266</f>
        <v>0</v>
      </c>
      <c r="AQ266" s="14">
        <f>_DATA_Assessment_Model!AN266</f>
        <v>0</v>
      </c>
      <c r="AR266" s="14">
        <f>_DATA_Assessment_Model!AO266</f>
        <v>0</v>
      </c>
      <c r="AS266" s="14">
        <f>_DATA_Assessment_Model!AP266</f>
        <v>0</v>
      </c>
      <c r="AT266" s="14">
        <f>_DATA_Assessment_Model!AQ266</f>
        <v>0</v>
      </c>
      <c r="AU266" s="14" t="str">
        <f>_DATA_Assessment_Model!AR266</f>
        <v>Within target</v>
      </c>
      <c r="AV266" s="4">
        <f>_DATA_Assessment_Model!AS266</f>
        <v>0</v>
      </c>
      <c r="AW266" s="4">
        <f>_DATA_Assessment_Model!AT266</f>
        <v>0.9</v>
      </c>
      <c r="AX266" s="254"/>
      <c r="AY266">
        <f>_DATA_Assessment_Model!AV266</f>
        <v>0.9</v>
      </c>
    </row>
    <row r="267" spans="1:51" ht="82.85" customHeight="1">
      <c r="A267" t="s">
        <v>2286</v>
      </c>
      <c r="B267" t="s">
        <v>2286</v>
      </c>
      <c r="C267">
        <v>15</v>
      </c>
      <c r="D267" s="2" t="s">
        <v>2373</v>
      </c>
      <c r="E267" s="2" t="s">
        <v>2319</v>
      </c>
      <c r="F267" s="2" t="s">
        <v>2374</v>
      </c>
      <c r="G267" s="2" t="s">
        <v>2290</v>
      </c>
      <c r="H267" s="2" t="s">
        <v>2291</v>
      </c>
      <c r="I267" s="2" t="s">
        <v>2375</v>
      </c>
      <c r="J267" s="253">
        <v>4</v>
      </c>
      <c r="K267" s="49">
        <f>_DATA_Assessment_Model!H267</f>
        <v>0</v>
      </c>
      <c r="L267" s="3">
        <f>_DATA_Assessment_Model!I267</f>
        <v>0</v>
      </c>
      <c r="M267" s="3">
        <f>_DATA_Assessment_Model!J267</f>
        <v>4</v>
      </c>
      <c r="N267" s="3">
        <f>_DATA_Assessment_Model!K267</f>
        <v>4</v>
      </c>
      <c r="O267" s="2" t="str">
        <f>_DATA_Assessment_Model!L267</f>
        <v>Critical</v>
      </c>
      <c r="P267" s="2" t="s">
        <v>2376</v>
      </c>
      <c r="Q267" s="2" t="s">
        <v>2377</v>
      </c>
      <c r="R267" s="2" t="s">
        <v>2378</v>
      </c>
      <c r="S267" s="2" t="s">
        <v>2379</v>
      </c>
      <c r="T267" s="2" t="s">
        <v>2380</v>
      </c>
      <c r="U267" s="2" t="s">
        <v>2381</v>
      </c>
      <c r="V267" s="2" t="s">
        <v>2299</v>
      </c>
      <c r="W267" s="253"/>
      <c r="X267" s="253"/>
      <c r="Y267" s="253" t="s">
        <v>829</v>
      </c>
      <c r="Z267" s="6">
        <v>4</v>
      </c>
      <c r="AA267" s="6">
        <v>5</v>
      </c>
      <c r="AB267" s="6">
        <v>5</v>
      </c>
      <c r="AC267" s="254"/>
      <c r="AK267" s="255"/>
      <c r="AL267" s="255"/>
      <c r="AM267" s="14">
        <f>_DATA_Assessment_Model!AJ267</f>
        <v>0.9</v>
      </c>
      <c r="AN267" s="14">
        <f>_DATA_Assessment_Model!AK267</f>
        <v>0.9</v>
      </c>
      <c r="AO267" s="14">
        <f>_DATA_Assessment_Model!AL267</f>
        <v>0</v>
      </c>
      <c r="AP267" s="14">
        <f>_DATA_Assessment_Model!AM267</f>
        <v>0</v>
      </c>
      <c r="AQ267" s="14">
        <f>_DATA_Assessment_Model!AN267</f>
        <v>0</v>
      </c>
      <c r="AR267" s="14">
        <f>_DATA_Assessment_Model!AO267</f>
        <v>0</v>
      </c>
      <c r="AS267" s="14">
        <f>_DATA_Assessment_Model!AP267</f>
        <v>0</v>
      </c>
      <c r="AT267" s="14">
        <f>_DATA_Assessment_Model!AQ267</f>
        <v>0</v>
      </c>
      <c r="AU267" s="14" t="str">
        <f>_DATA_Assessment_Model!AR267</f>
        <v>Within target</v>
      </c>
      <c r="AV267" s="4">
        <f>_DATA_Assessment_Model!AS267</f>
        <v>0</v>
      </c>
      <c r="AW267" s="4">
        <f>_DATA_Assessment_Model!AT267</f>
        <v>0.9</v>
      </c>
      <c r="AX267" s="254"/>
      <c r="AY267">
        <f>_DATA_Assessment_Model!AV267</f>
        <v>0.9</v>
      </c>
    </row>
    <row r="268" spans="1:51" ht="82.85" customHeight="1">
      <c r="A268" t="s">
        <v>2286</v>
      </c>
      <c r="B268" t="s">
        <v>2286</v>
      </c>
      <c r="C268">
        <v>16</v>
      </c>
      <c r="D268" s="2" t="s">
        <v>2382</v>
      </c>
      <c r="E268" s="2" t="s">
        <v>2319</v>
      </c>
      <c r="F268" s="2" t="s">
        <v>2383</v>
      </c>
      <c r="G268" s="2" t="s">
        <v>2290</v>
      </c>
      <c r="H268" s="2" t="s">
        <v>2291</v>
      </c>
      <c r="I268" s="2" t="s">
        <v>2384</v>
      </c>
      <c r="J268" s="253">
        <v>3</v>
      </c>
      <c r="K268" s="49">
        <f>_DATA_Assessment_Model!H268</f>
        <v>0</v>
      </c>
      <c r="L268" s="3">
        <f>_DATA_Assessment_Model!I268</f>
        <v>0</v>
      </c>
      <c r="M268" s="3">
        <f>_DATA_Assessment_Model!J268</f>
        <v>3</v>
      </c>
      <c r="N268" s="3">
        <f>_DATA_Assessment_Model!K268</f>
        <v>3</v>
      </c>
      <c r="O268" s="2" t="str">
        <f>_DATA_Assessment_Model!L268</f>
        <v>Critical</v>
      </c>
      <c r="P268" s="2" t="s">
        <v>2385</v>
      </c>
      <c r="Q268" s="2" t="s">
        <v>2386</v>
      </c>
      <c r="R268" s="2" t="s">
        <v>2387</v>
      </c>
      <c r="S268" s="2" t="s">
        <v>2388</v>
      </c>
      <c r="T268" s="2" t="s">
        <v>2389</v>
      </c>
      <c r="U268" s="2" t="s">
        <v>2390</v>
      </c>
      <c r="V268" s="2" t="s">
        <v>2299</v>
      </c>
      <c r="W268" s="253"/>
      <c r="X268" s="253"/>
      <c r="Y268" s="253" t="s">
        <v>829</v>
      </c>
      <c r="Z268" s="6">
        <v>4</v>
      </c>
      <c r="AA268" s="6">
        <v>5</v>
      </c>
      <c r="AB268" s="6">
        <v>5</v>
      </c>
      <c r="AC268" s="254"/>
      <c r="AK268" s="255"/>
      <c r="AL268" s="255"/>
      <c r="AM268" s="14">
        <f>_DATA_Assessment_Model!AJ268</f>
        <v>0.9</v>
      </c>
      <c r="AN268" s="14">
        <f>_DATA_Assessment_Model!AK268</f>
        <v>0.9</v>
      </c>
      <c r="AO268" s="14">
        <f>_DATA_Assessment_Model!AL268</f>
        <v>0</v>
      </c>
      <c r="AP268" s="14">
        <f>_DATA_Assessment_Model!AM268</f>
        <v>0</v>
      </c>
      <c r="AQ268" s="14">
        <f>_DATA_Assessment_Model!AN268</f>
        <v>0</v>
      </c>
      <c r="AR268" s="14">
        <f>_DATA_Assessment_Model!AO268</f>
        <v>0</v>
      </c>
      <c r="AS268" s="14">
        <f>_DATA_Assessment_Model!AP268</f>
        <v>0</v>
      </c>
      <c r="AT268" s="14">
        <f>_DATA_Assessment_Model!AQ268</f>
        <v>0</v>
      </c>
      <c r="AU268" s="14" t="str">
        <f>_DATA_Assessment_Model!AR268</f>
        <v>Within target</v>
      </c>
      <c r="AV268" s="4">
        <f>_DATA_Assessment_Model!AS268</f>
        <v>0</v>
      </c>
      <c r="AW268" s="4">
        <f>_DATA_Assessment_Model!AT268</f>
        <v>0.9</v>
      </c>
      <c r="AX268" s="254"/>
      <c r="AY268">
        <f>_DATA_Assessment_Model!AV268</f>
        <v>0.9</v>
      </c>
    </row>
    <row r="269" spans="1:51" ht="82.85" customHeight="1">
      <c r="A269" t="s">
        <v>2286</v>
      </c>
      <c r="B269" t="s">
        <v>2286</v>
      </c>
      <c r="C269">
        <v>17</v>
      </c>
      <c r="D269" s="2" t="s">
        <v>2391</v>
      </c>
      <c r="E269" s="2" t="s">
        <v>2319</v>
      </c>
      <c r="F269" s="2" t="s">
        <v>2392</v>
      </c>
      <c r="G269" s="2" t="s">
        <v>2290</v>
      </c>
      <c r="H269" s="2" t="s">
        <v>2291</v>
      </c>
      <c r="I269" s="2" t="s">
        <v>2393</v>
      </c>
      <c r="J269" s="253">
        <v>5</v>
      </c>
      <c r="K269" s="49">
        <f>_DATA_Assessment_Model!H269</f>
        <v>0</v>
      </c>
      <c r="L269" s="3">
        <f>_DATA_Assessment_Model!I269</f>
        <v>0</v>
      </c>
      <c r="M269" s="3">
        <f>_DATA_Assessment_Model!J269</f>
        <v>5</v>
      </c>
      <c r="N269" s="3">
        <f>_DATA_Assessment_Model!K269</f>
        <v>5</v>
      </c>
      <c r="O269" s="2" t="str">
        <f>_DATA_Assessment_Model!L269</f>
        <v>Critical</v>
      </c>
      <c r="P269" s="2" t="s">
        <v>874</v>
      </c>
      <c r="Q269" s="2" t="s">
        <v>875</v>
      </c>
      <c r="R269" s="2" t="s">
        <v>876</v>
      </c>
      <c r="S269" s="2" t="s">
        <v>877</v>
      </c>
      <c r="T269" s="2" t="s">
        <v>878</v>
      </c>
      <c r="U269" s="2" t="s">
        <v>879</v>
      </c>
      <c r="V269" s="2" t="s">
        <v>2299</v>
      </c>
      <c r="W269" s="253"/>
      <c r="X269" s="253"/>
      <c r="Y269" s="253" t="s">
        <v>829</v>
      </c>
      <c r="Z269" s="6">
        <v>4</v>
      </c>
      <c r="AA269" s="6">
        <v>5</v>
      </c>
      <c r="AB269" s="6">
        <v>5</v>
      </c>
      <c r="AC269" s="254"/>
      <c r="AK269" s="255"/>
      <c r="AL269" s="255"/>
      <c r="AM269" s="14">
        <f>_DATA_Assessment_Model!AJ269</f>
        <v>0.9</v>
      </c>
      <c r="AN269" s="14">
        <f>_DATA_Assessment_Model!AK269</f>
        <v>0.9</v>
      </c>
      <c r="AO269" s="14">
        <f>_DATA_Assessment_Model!AL269</f>
        <v>0</v>
      </c>
      <c r="AP269" s="14">
        <f>_DATA_Assessment_Model!AM269</f>
        <v>0</v>
      </c>
      <c r="AQ269" s="14">
        <f>_DATA_Assessment_Model!AN269</f>
        <v>0</v>
      </c>
      <c r="AR269" s="14">
        <f>_DATA_Assessment_Model!AO269</f>
        <v>0</v>
      </c>
      <c r="AS269" s="14">
        <f>_DATA_Assessment_Model!AP269</f>
        <v>0</v>
      </c>
      <c r="AT269" s="14">
        <f>_DATA_Assessment_Model!AQ269</f>
        <v>0</v>
      </c>
      <c r="AU269" s="14" t="str">
        <f>_DATA_Assessment_Model!AR269</f>
        <v>Within target</v>
      </c>
      <c r="AV269" s="4">
        <f>_DATA_Assessment_Model!AS269</f>
        <v>0</v>
      </c>
      <c r="AW269" s="4">
        <f>_DATA_Assessment_Model!AT269</f>
        <v>0.9</v>
      </c>
      <c r="AX269" s="254"/>
      <c r="AY269">
        <f>_DATA_Assessment_Model!AV269</f>
        <v>0.9</v>
      </c>
    </row>
    <row r="270" spans="1:51" ht="69" customHeight="1">
      <c r="A270" t="s">
        <v>2286</v>
      </c>
      <c r="B270" t="s">
        <v>2286</v>
      </c>
      <c r="C270">
        <v>18</v>
      </c>
      <c r="D270" s="2" t="s">
        <v>2394</v>
      </c>
      <c r="E270" s="2" t="s">
        <v>2319</v>
      </c>
      <c r="F270" s="2" t="s">
        <v>2395</v>
      </c>
      <c r="G270" s="2" t="s">
        <v>2290</v>
      </c>
      <c r="H270" s="2" t="s">
        <v>2291</v>
      </c>
      <c r="I270" s="2" t="s">
        <v>2396</v>
      </c>
      <c r="J270" s="253">
        <v>5</v>
      </c>
      <c r="K270" s="49">
        <f>_DATA_Assessment_Model!H270</f>
        <v>0</v>
      </c>
      <c r="L270" s="3">
        <f>_DATA_Assessment_Model!I270</f>
        <v>0</v>
      </c>
      <c r="M270" s="3">
        <f>_DATA_Assessment_Model!J270</f>
        <v>5</v>
      </c>
      <c r="N270" s="3">
        <f>_DATA_Assessment_Model!K270</f>
        <v>5</v>
      </c>
      <c r="O270" s="2" t="str">
        <f>_DATA_Assessment_Model!L270</f>
        <v>Critical</v>
      </c>
      <c r="P270" s="2" t="s">
        <v>833</v>
      </c>
      <c r="Q270" s="2" t="s">
        <v>834</v>
      </c>
      <c r="R270" s="2" t="s">
        <v>835</v>
      </c>
      <c r="S270" s="2" t="s">
        <v>836</v>
      </c>
      <c r="T270" s="2" t="s">
        <v>837</v>
      </c>
      <c r="U270" s="2" t="s">
        <v>838</v>
      </c>
      <c r="V270" s="2" t="s">
        <v>2299</v>
      </c>
      <c r="W270" s="253"/>
      <c r="X270" s="253"/>
      <c r="Y270" s="253" t="s">
        <v>829</v>
      </c>
      <c r="Z270" s="6">
        <v>5</v>
      </c>
      <c r="AA270" s="6">
        <v>5</v>
      </c>
      <c r="AB270" s="6">
        <v>5</v>
      </c>
      <c r="AC270" s="254"/>
      <c r="AK270" s="255"/>
      <c r="AL270" s="255"/>
      <c r="AM270" s="14">
        <f>_DATA_Assessment_Model!AJ270</f>
        <v>0.9</v>
      </c>
      <c r="AN270" s="14">
        <f>_DATA_Assessment_Model!AK270</f>
        <v>0.9</v>
      </c>
      <c r="AO270" s="14">
        <f>_DATA_Assessment_Model!AL270</f>
        <v>0</v>
      </c>
      <c r="AP270" s="14">
        <f>_DATA_Assessment_Model!AM270</f>
        <v>0</v>
      </c>
      <c r="AQ270" s="14">
        <f>_DATA_Assessment_Model!AN270</f>
        <v>0</v>
      </c>
      <c r="AR270" s="14">
        <f>_DATA_Assessment_Model!AO270</f>
        <v>0</v>
      </c>
      <c r="AS270" s="14">
        <f>_DATA_Assessment_Model!AP270</f>
        <v>0</v>
      </c>
      <c r="AT270" s="14">
        <f>_DATA_Assessment_Model!AQ270</f>
        <v>0</v>
      </c>
      <c r="AU270" s="14" t="str">
        <f>_DATA_Assessment_Model!AR270</f>
        <v>Within target</v>
      </c>
      <c r="AV270" s="4">
        <f>_DATA_Assessment_Model!AS270</f>
        <v>0</v>
      </c>
      <c r="AW270" s="4">
        <f>_DATA_Assessment_Model!AT270</f>
        <v>0.9</v>
      </c>
      <c r="AX270" s="254"/>
      <c r="AY270">
        <f>_DATA_Assessment_Model!AV270</f>
        <v>0.9</v>
      </c>
    </row>
    <row r="271" spans="1:51" ht="96.65" customHeight="1">
      <c r="A271" t="s">
        <v>2286</v>
      </c>
      <c r="B271" t="s">
        <v>2286</v>
      </c>
      <c r="C271">
        <v>19</v>
      </c>
      <c r="D271" s="2" t="s">
        <v>2397</v>
      </c>
      <c r="E271" s="2" t="s">
        <v>2319</v>
      </c>
      <c r="F271" s="2" t="s">
        <v>2398</v>
      </c>
      <c r="G271" s="2" t="s">
        <v>2290</v>
      </c>
      <c r="H271" s="2" t="s">
        <v>2291</v>
      </c>
      <c r="I271" s="2" t="s">
        <v>2399</v>
      </c>
      <c r="J271" s="253">
        <v>3</v>
      </c>
      <c r="K271" s="49">
        <f>_DATA_Assessment_Model!H271</f>
        <v>0</v>
      </c>
      <c r="L271" s="3">
        <f>_DATA_Assessment_Model!I271</f>
        <v>0</v>
      </c>
      <c r="M271" s="3">
        <f>_DATA_Assessment_Model!J271</f>
        <v>3</v>
      </c>
      <c r="N271" s="3">
        <f>_DATA_Assessment_Model!K271</f>
        <v>3</v>
      </c>
      <c r="O271" s="2" t="str">
        <f>_DATA_Assessment_Model!L271</f>
        <v>Critical</v>
      </c>
      <c r="P271" s="2" t="s">
        <v>2400</v>
      </c>
      <c r="Q271" s="2" t="s">
        <v>2401</v>
      </c>
      <c r="R271" s="2" t="s">
        <v>2402</v>
      </c>
      <c r="S271" s="2" t="s">
        <v>2403</v>
      </c>
      <c r="T271" s="2" t="s">
        <v>2404</v>
      </c>
      <c r="U271" s="2" t="s">
        <v>2405</v>
      </c>
      <c r="V271" s="2" t="s">
        <v>2299</v>
      </c>
      <c r="W271" s="253"/>
      <c r="X271" s="253"/>
      <c r="Y271" s="253" t="s">
        <v>829</v>
      </c>
      <c r="Z271" s="6">
        <v>4</v>
      </c>
      <c r="AA271" s="6">
        <v>5</v>
      </c>
      <c r="AB271" s="6">
        <v>5</v>
      </c>
      <c r="AC271" s="254"/>
      <c r="AK271" s="255"/>
      <c r="AL271" s="255"/>
      <c r="AM271" s="14">
        <f>_DATA_Assessment_Model!AJ271</f>
        <v>0.9</v>
      </c>
      <c r="AN271" s="14">
        <f>_DATA_Assessment_Model!AK271</f>
        <v>0.9</v>
      </c>
      <c r="AO271" s="14">
        <f>_DATA_Assessment_Model!AL271</f>
        <v>0</v>
      </c>
      <c r="AP271" s="14">
        <f>_DATA_Assessment_Model!AM271</f>
        <v>0</v>
      </c>
      <c r="AQ271" s="14">
        <f>_DATA_Assessment_Model!AN271</f>
        <v>0</v>
      </c>
      <c r="AR271" s="14">
        <f>_DATA_Assessment_Model!AO271</f>
        <v>0</v>
      </c>
      <c r="AS271" s="14">
        <f>_DATA_Assessment_Model!AP271</f>
        <v>0</v>
      </c>
      <c r="AT271" s="14">
        <f>_DATA_Assessment_Model!AQ271</f>
        <v>0</v>
      </c>
      <c r="AU271" s="14" t="str">
        <f>_DATA_Assessment_Model!AR271</f>
        <v>Within target</v>
      </c>
      <c r="AV271" s="4">
        <f>_DATA_Assessment_Model!AS271</f>
        <v>0</v>
      </c>
      <c r="AW271" s="4">
        <f>_DATA_Assessment_Model!AT271</f>
        <v>0.9</v>
      </c>
      <c r="AX271" s="254"/>
      <c r="AY271">
        <f>_DATA_Assessment_Model!AV271</f>
        <v>0.9</v>
      </c>
    </row>
    <row r="272" spans="1:51" ht="96.65" customHeight="1">
      <c r="A272" t="s">
        <v>2286</v>
      </c>
      <c r="B272" t="s">
        <v>2286</v>
      </c>
      <c r="C272">
        <v>20</v>
      </c>
      <c r="D272" s="2" t="s">
        <v>2406</v>
      </c>
      <c r="E272" s="2" t="s">
        <v>2329</v>
      </c>
      <c r="F272" s="2" t="s">
        <v>2407</v>
      </c>
      <c r="G272" s="2" t="s">
        <v>2290</v>
      </c>
      <c r="H272" s="2" t="s">
        <v>2291</v>
      </c>
      <c r="I272" s="2" t="s">
        <v>2408</v>
      </c>
      <c r="J272" s="253">
        <v>4</v>
      </c>
      <c r="K272" s="49">
        <f>_DATA_Assessment_Model!H272</f>
        <v>0</v>
      </c>
      <c r="L272" s="3">
        <f>_DATA_Assessment_Model!I272</f>
        <v>0</v>
      </c>
      <c r="M272" s="3">
        <f>_DATA_Assessment_Model!J272</f>
        <v>4</v>
      </c>
      <c r="N272" s="3">
        <f>_DATA_Assessment_Model!K272</f>
        <v>4</v>
      </c>
      <c r="O272" s="2" t="str">
        <f>_DATA_Assessment_Model!L272</f>
        <v>Critical</v>
      </c>
      <c r="P272" s="2" t="s">
        <v>2409</v>
      </c>
      <c r="Q272" s="2" t="s">
        <v>2410</v>
      </c>
      <c r="R272" s="2" t="s">
        <v>2411</v>
      </c>
      <c r="S272" s="2" t="s">
        <v>2412</v>
      </c>
      <c r="T272" s="2" t="s">
        <v>2413</v>
      </c>
      <c r="U272" s="2" t="s">
        <v>2414</v>
      </c>
      <c r="V272" s="2" t="s">
        <v>2299</v>
      </c>
      <c r="W272" s="253"/>
      <c r="X272" s="253"/>
      <c r="Y272" s="253" t="s">
        <v>829</v>
      </c>
      <c r="Z272" s="6">
        <v>4</v>
      </c>
      <c r="AA272" s="6">
        <v>5</v>
      </c>
      <c r="AB272" s="6">
        <v>5</v>
      </c>
      <c r="AC272" s="254"/>
      <c r="AK272" s="255"/>
      <c r="AL272" s="255"/>
      <c r="AM272" s="14">
        <f>_DATA_Assessment_Model!AJ272</f>
        <v>0.9</v>
      </c>
      <c r="AN272" s="14">
        <f>_DATA_Assessment_Model!AK272</f>
        <v>0.9</v>
      </c>
      <c r="AO272" s="14">
        <f>_DATA_Assessment_Model!AL272</f>
        <v>0</v>
      </c>
      <c r="AP272" s="14">
        <f>_DATA_Assessment_Model!AM272</f>
        <v>0</v>
      </c>
      <c r="AQ272" s="14">
        <f>_DATA_Assessment_Model!AN272</f>
        <v>0</v>
      </c>
      <c r="AR272" s="14">
        <f>_DATA_Assessment_Model!AO272</f>
        <v>0</v>
      </c>
      <c r="AS272" s="14">
        <f>_DATA_Assessment_Model!AP272</f>
        <v>0</v>
      </c>
      <c r="AT272" s="14">
        <f>_DATA_Assessment_Model!AQ272</f>
        <v>0</v>
      </c>
      <c r="AU272" s="14" t="str">
        <f>_DATA_Assessment_Model!AR272</f>
        <v>Within target</v>
      </c>
      <c r="AV272" s="4">
        <f>_DATA_Assessment_Model!AS272</f>
        <v>0</v>
      </c>
      <c r="AW272" s="4">
        <f>_DATA_Assessment_Model!AT272</f>
        <v>0.9</v>
      </c>
      <c r="AX272" s="254"/>
      <c r="AY272">
        <f>_DATA_Assessment_Model!AV272</f>
        <v>0.9</v>
      </c>
    </row>
    <row r="273" spans="1:51" ht="69" customHeight="1">
      <c r="A273" t="s">
        <v>2286</v>
      </c>
      <c r="B273" t="s">
        <v>2286</v>
      </c>
      <c r="C273">
        <v>21</v>
      </c>
      <c r="D273" s="2" t="s">
        <v>2415</v>
      </c>
      <c r="E273" s="2" t="s">
        <v>2329</v>
      </c>
      <c r="F273" s="2" t="s">
        <v>2416</v>
      </c>
      <c r="G273" s="2" t="s">
        <v>2290</v>
      </c>
      <c r="H273" s="2" t="s">
        <v>2291</v>
      </c>
      <c r="I273" s="2" t="s">
        <v>2417</v>
      </c>
      <c r="J273" s="253">
        <v>5</v>
      </c>
      <c r="K273" s="49">
        <f>_DATA_Assessment_Model!H273</f>
        <v>0</v>
      </c>
      <c r="L273" s="3">
        <f>_DATA_Assessment_Model!I273</f>
        <v>0</v>
      </c>
      <c r="M273" s="3">
        <f>_DATA_Assessment_Model!J273</f>
        <v>5</v>
      </c>
      <c r="N273" s="3">
        <f>_DATA_Assessment_Model!K273</f>
        <v>5</v>
      </c>
      <c r="O273" s="2" t="str">
        <f>_DATA_Assessment_Model!L273</f>
        <v>Critical</v>
      </c>
      <c r="P273" s="2" t="s">
        <v>833</v>
      </c>
      <c r="Q273" s="2" t="s">
        <v>834</v>
      </c>
      <c r="R273" s="2" t="s">
        <v>835</v>
      </c>
      <c r="S273" s="2" t="s">
        <v>836</v>
      </c>
      <c r="T273" s="2" t="s">
        <v>837</v>
      </c>
      <c r="U273" s="2" t="s">
        <v>838</v>
      </c>
      <c r="V273" s="2" t="s">
        <v>2299</v>
      </c>
      <c r="W273" s="253"/>
      <c r="X273" s="253"/>
      <c r="Y273" s="253" t="s">
        <v>829</v>
      </c>
      <c r="Z273" s="6">
        <v>4</v>
      </c>
      <c r="AA273" s="6">
        <v>5</v>
      </c>
      <c r="AB273" s="6">
        <v>5</v>
      </c>
      <c r="AC273" s="254"/>
      <c r="AK273" s="255"/>
      <c r="AL273" s="255"/>
      <c r="AM273" s="14">
        <f>_DATA_Assessment_Model!AJ273</f>
        <v>0.9</v>
      </c>
      <c r="AN273" s="14">
        <f>_DATA_Assessment_Model!AK273</f>
        <v>0.9</v>
      </c>
      <c r="AO273" s="14">
        <f>_DATA_Assessment_Model!AL273</f>
        <v>0</v>
      </c>
      <c r="AP273" s="14">
        <f>_DATA_Assessment_Model!AM273</f>
        <v>0</v>
      </c>
      <c r="AQ273" s="14">
        <f>_DATA_Assessment_Model!AN273</f>
        <v>0</v>
      </c>
      <c r="AR273" s="14">
        <f>_DATA_Assessment_Model!AO273</f>
        <v>0</v>
      </c>
      <c r="AS273" s="14">
        <f>_DATA_Assessment_Model!AP273</f>
        <v>0</v>
      </c>
      <c r="AT273" s="14">
        <f>_DATA_Assessment_Model!AQ273</f>
        <v>0</v>
      </c>
      <c r="AU273" s="14" t="str">
        <f>_DATA_Assessment_Model!AR273</f>
        <v>Within target</v>
      </c>
      <c r="AV273" s="4">
        <f>_DATA_Assessment_Model!AS273</f>
        <v>0</v>
      </c>
      <c r="AW273" s="4">
        <f>_DATA_Assessment_Model!AT273</f>
        <v>0.9</v>
      </c>
      <c r="AX273" s="254"/>
      <c r="AY273">
        <f>_DATA_Assessment_Model!AV273</f>
        <v>0.9</v>
      </c>
    </row>
    <row r="274" spans="1:51" ht="69" customHeight="1">
      <c r="A274" t="s">
        <v>2286</v>
      </c>
      <c r="B274" t="s">
        <v>2286</v>
      </c>
      <c r="C274">
        <v>22</v>
      </c>
      <c r="D274" s="2" t="s">
        <v>2418</v>
      </c>
      <c r="E274" s="2" t="s">
        <v>2329</v>
      </c>
      <c r="F274" s="2" t="s">
        <v>2419</v>
      </c>
      <c r="G274" s="2" t="s">
        <v>2290</v>
      </c>
      <c r="H274" s="2" t="s">
        <v>2291</v>
      </c>
      <c r="I274" s="2" t="s">
        <v>2420</v>
      </c>
      <c r="J274" s="253">
        <v>5</v>
      </c>
      <c r="K274" s="49">
        <f>_DATA_Assessment_Model!H274</f>
        <v>0</v>
      </c>
      <c r="L274" s="3">
        <f>_DATA_Assessment_Model!I274</f>
        <v>0</v>
      </c>
      <c r="M274" s="3">
        <f>_DATA_Assessment_Model!J274</f>
        <v>5</v>
      </c>
      <c r="N274" s="3">
        <f>_DATA_Assessment_Model!K274</f>
        <v>5</v>
      </c>
      <c r="O274" s="2" t="str">
        <f>_DATA_Assessment_Model!L274</f>
        <v>Critical</v>
      </c>
      <c r="P274" s="2" t="s">
        <v>833</v>
      </c>
      <c r="Q274" s="2" t="s">
        <v>834</v>
      </c>
      <c r="R274" s="2" t="s">
        <v>835</v>
      </c>
      <c r="S274" s="2" t="s">
        <v>836</v>
      </c>
      <c r="T274" s="2" t="s">
        <v>837</v>
      </c>
      <c r="U274" s="2" t="s">
        <v>838</v>
      </c>
      <c r="V274" s="2" t="s">
        <v>2299</v>
      </c>
      <c r="W274" s="253"/>
      <c r="X274" s="253"/>
      <c r="Y274" s="253" t="s">
        <v>829</v>
      </c>
      <c r="Z274" s="6">
        <v>4</v>
      </c>
      <c r="AA274" s="6">
        <v>5</v>
      </c>
      <c r="AB274" s="6">
        <v>5</v>
      </c>
      <c r="AC274" s="254"/>
      <c r="AK274" s="255"/>
      <c r="AL274" s="255"/>
      <c r="AM274" s="14">
        <f>_DATA_Assessment_Model!AJ274</f>
        <v>0.9</v>
      </c>
      <c r="AN274" s="14">
        <f>_DATA_Assessment_Model!AK274</f>
        <v>0.9</v>
      </c>
      <c r="AO274" s="14">
        <f>_DATA_Assessment_Model!AL274</f>
        <v>0</v>
      </c>
      <c r="AP274" s="14">
        <f>_DATA_Assessment_Model!AM274</f>
        <v>0</v>
      </c>
      <c r="AQ274" s="14">
        <f>_DATA_Assessment_Model!AN274</f>
        <v>0</v>
      </c>
      <c r="AR274" s="14">
        <f>_DATA_Assessment_Model!AO274</f>
        <v>0</v>
      </c>
      <c r="AS274" s="14">
        <f>_DATA_Assessment_Model!AP274</f>
        <v>0</v>
      </c>
      <c r="AT274" s="14">
        <f>_DATA_Assessment_Model!AQ274</f>
        <v>0</v>
      </c>
      <c r="AU274" s="14" t="str">
        <f>_DATA_Assessment_Model!AR274</f>
        <v>Within target</v>
      </c>
      <c r="AV274" s="4">
        <f>_DATA_Assessment_Model!AS274</f>
        <v>0</v>
      </c>
      <c r="AW274" s="4">
        <f>_DATA_Assessment_Model!AT274</f>
        <v>0.9</v>
      </c>
      <c r="AX274" s="254"/>
      <c r="AY274">
        <f>_DATA_Assessment_Model!AV274</f>
        <v>0.9</v>
      </c>
    </row>
    <row r="275" spans="1:51" ht="82.85" customHeight="1">
      <c r="A275" t="s">
        <v>2286</v>
      </c>
      <c r="B275" t="s">
        <v>2286</v>
      </c>
      <c r="C275">
        <v>23</v>
      </c>
      <c r="D275" s="2" t="s">
        <v>2421</v>
      </c>
      <c r="E275" s="2" t="s">
        <v>2329</v>
      </c>
      <c r="F275" s="2" t="s">
        <v>2422</v>
      </c>
      <c r="G275" s="2" t="s">
        <v>2290</v>
      </c>
      <c r="H275" s="2" t="s">
        <v>2291</v>
      </c>
      <c r="I275" s="2" t="s">
        <v>2423</v>
      </c>
      <c r="J275" s="253">
        <v>5</v>
      </c>
      <c r="K275" s="49">
        <f>_DATA_Assessment_Model!H275</f>
        <v>0</v>
      </c>
      <c r="L275" s="3">
        <f>_DATA_Assessment_Model!I275</f>
        <v>0</v>
      </c>
      <c r="M275" s="3">
        <f>_DATA_Assessment_Model!J275</f>
        <v>5</v>
      </c>
      <c r="N275" s="3">
        <f>_DATA_Assessment_Model!K275</f>
        <v>5</v>
      </c>
      <c r="O275" s="2" t="str">
        <f>_DATA_Assessment_Model!L275</f>
        <v>Critical</v>
      </c>
      <c r="P275" s="2" t="s">
        <v>833</v>
      </c>
      <c r="Q275" s="2" t="s">
        <v>834</v>
      </c>
      <c r="R275" s="2" t="s">
        <v>835</v>
      </c>
      <c r="S275" s="2" t="s">
        <v>836</v>
      </c>
      <c r="T275" s="2" t="s">
        <v>837</v>
      </c>
      <c r="U275" s="2" t="s">
        <v>838</v>
      </c>
      <c r="V275" s="2" t="s">
        <v>2299</v>
      </c>
      <c r="W275" s="253"/>
      <c r="X275" s="253"/>
      <c r="Y275" s="253" t="s">
        <v>829</v>
      </c>
      <c r="Z275" s="6">
        <v>4</v>
      </c>
      <c r="AA275" s="6">
        <v>5</v>
      </c>
      <c r="AB275" s="6">
        <v>5</v>
      </c>
      <c r="AC275" s="254"/>
      <c r="AK275" s="255"/>
      <c r="AL275" s="255"/>
      <c r="AM275" s="14">
        <f>_DATA_Assessment_Model!AJ275</f>
        <v>0.9</v>
      </c>
      <c r="AN275" s="14">
        <f>_DATA_Assessment_Model!AK275</f>
        <v>0.9</v>
      </c>
      <c r="AO275" s="14">
        <f>_DATA_Assessment_Model!AL275</f>
        <v>0</v>
      </c>
      <c r="AP275" s="14">
        <f>_DATA_Assessment_Model!AM275</f>
        <v>0</v>
      </c>
      <c r="AQ275" s="14">
        <f>_DATA_Assessment_Model!AN275</f>
        <v>0</v>
      </c>
      <c r="AR275" s="14">
        <f>_DATA_Assessment_Model!AO275</f>
        <v>0</v>
      </c>
      <c r="AS275" s="14">
        <f>_DATA_Assessment_Model!AP275</f>
        <v>0</v>
      </c>
      <c r="AT275" s="14">
        <f>_DATA_Assessment_Model!AQ275</f>
        <v>0</v>
      </c>
      <c r="AU275" s="14" t="str">
        <f>_DATA_Assessment_Model!AR275</f>
        <v>Within target</v>
      </c>
      <c r="AV275" s="4">
        <f>_DATA_Assessment_Model!AS275</f>
        <v>0</v>
      </c>
      <c r="AW275" s="4">
        <f>_DATA_Assessment_Model!AT275</f>
        <v>0.9</v>
      </c>
      <c r="AX275" s="254"/>
      <c r="AY275">
        <f>_DATA_Assessment_Model!AV275</f>
        <v>0.9</v>
      </c>
    </row>
    <row r="276" spans="1:51" ht="96.65" customHeight="1">
      <c r="A276" t="s">
        <v>2286</v>
      </c>
      <c r="B276" t="s">
        <v>2286</v>
      </c>
      <c r="C276">
        <v>24</v>
      </c>
      <c r="D276" s="2" t="s">
        <v>2424</v>
      </c>
      <c r="E276" s="2" t="s">
        <v>2339</v>
      </c>
      <c r="F276" s="2" t="s">
        <v>2425</v>
      </c>
      <c r="G276" s="2" t="s">
        <v>2426</v>
      </c>
      <c r="H276" s="2" t="s">
        <v>2427</v>
      </c>
      <c r="I276" s="2" t="s">
        <v>2292</v>
      </c>
      <c r="J276" s="253">
        <v>4</v>
      </c>
      <c r="K276" s="49">
        <f>_DATA_Assessment_Model!H276</f>
        <v>0</v>
      </c>
      <c r="L276" s="3">
        <f>_DATA_Assessment_Model!I276</f>
        <v>0</v>
      </c>
      <c r="M276" s="3">
        <f>_DATA_Assessment_Model!J276</f>
        <v>4</v>
      </c>
      <c r="N276" s="3">
        <f>_DATA_Assessment_Model!K276</f>
        <v>4</v>
      </c>
      <c r="O276" s="2" t="str">
        <f>_DATA_Assessment_Model!L276</f>
        <v>Critical</v>
      </c>
      <c r="P276" s="2" t="s">
        <v>2428</v>
      </c>
      <c r="Q276" s="2" t="s">
        <v>2429</v>
      </c>
      <c r="R276" s="2" t="s">
        <v>2430</v>
      </c>
      <c r="S276" s="2" t="s">
        <v>2431</v>
      </c>
      <c r="T276" s="2" t="s">
        <v>2432</v>
      </c>
      <c r="U276" s="2" t="s">
        <v>2433</v>
      </c>
      <c r="V276" s="2" t="s">
        <v>2434</v>
      </c>
      <c r="W276" s="253"/>
      <c r="X276" s="253"/>
      <c r="Y276" s="253" t="s">
        <v>829</v>
      </c>
      <c r="Z276" s="6">
        <v>4</v>
      </c>
      <c r="AA276" s="6">
        <v>4</v>
      </c>
      <c r="AB276" s="6">
        <v>5</v>
      </c>
      <c r="AC276" s="254"/>
      <c r="AK276" s="255"/>
      <c r="AL276" s="255"/>
      <c r="AM276" s="14">
        <f>_DATA_Assessment_Model!AJ276</f>
        <v>0.9</v>
      </c>
      <c r="AN276" s="14">
        <f>_DATA_Assessment_Model!AK276</f>
        <v>0.9</v>
      </c>
      <c r="AO276" s="14">
        <f>_DATA_Assessment_Model!AL276</f>
        <v>0</v>
      </c>
      <c r="AP276" s="14">
        <f>_DATA_Assessment_Model!AM276</f>
        <v>0</v>
      </c>
      <c r="AQ276" s="14">
        <f>_DATA_Assessment_Model!AN276</f>
        <v>0</v>
      </c>
      <c r="AR276" s="14">
        <f>_DATA_Assessment_Model!AO276</f>
        <v>0</v>
      </c>
      <c r="AS276" s="14">
        <f>_DATA_Assessment_Model!AP276</f>
        <v>0</v>
      </c>
      <c r="AT276" s="14">
        <f>_DATA_Assessment_Model!AQ276</f>
        <v>0</v>
      </c>
      <c r="AU276" s="14" t="str">
        <f>_DATA_Assessment_Model!AR276</f>
        <v>Within target</v>
      </c>
      <c r="AV276" s="4">
        <f>_DATA_Assessment_Model!AS276</f>
        <v>0</v>
      </c>
      <c r="AW276" s="4">
        <f>_DATA_Assessment_Model!AT276</f>
        <v>0.9</v>
      </c>
      <c r="AX276" s="254"/>
      <c r="AY276">
        <f>_DATA_Assessment_Model!AV276</f>
        <v>0.9</v>
      </c>
    </row>
    <row r="277" spans="1:51" ht="110.4" customHeight="1">
      <c r="A277" t="s">
        <v>2286</v>
      </c>
      <c r="B277" t="s">
        <v>2286</v>
      </c>
      <c r="C277">
        <v>25</v>
      </c>
      <c r="D277" s="2" t="s">
        <v>2435</v>
      </c>
      <c r="E277" s="2" t="s">
        <v>2339</v>
      </c>
      <c r="F277" s="2" t="s">
        <v>2436</v>
      </c>
      <c r="G277" s="2" t="s">
        <v>2437</v>
      </c>
      <c r="H277" s="2" t="s">
        <v>2438</v>
      </c>
      <c r="I277" s="2" t="s">
        <v>2292</v>
      </c>
      <c r="J277" s="253">
        <v>4</v>
      </c>
      <c r="K277" s="49">
        <f>_DATA_Assessment_Model!H277</f>
        <v>0</v>
      </c>
      <c r="L277" s="3">
        <f>_DATA_Assessment_Model!I277</f>
        <v>0</v>
      </c>
      <c r="M277" s="3">
        <f>_DATA_Assessment_Model!J277</f>
        <v>4</v>
      </c>
      <c r="N277" s="3">
        <f>_DATA_Assessment_Model!K277</f>
        <v>4</v>
      </c>
      <c r="O277" s="2" t="str">
        <f>_DATA_Assessment_Model!L277</f>
        <v>Critical</v>
      </c>
      <c r="P277" s="2" t="s">
        <v>2439</v>
      </c>
      <c r="Q277" s="2" t="s">
        <v>2440</v>
      </c>
      <c r="R277" s="2" t="s">
        <v>2441</v>
      </c>
      <c r="S277" s="2" t="s">
        <v>2442</v>
      </c>
      <c r="T277" s="2" t="s">
        <v>2443</v>
      </c>
      <c r="U277" s="2" t="s">
        <v>2444</v>
      </c>
      <c r="V277" s="2" t="s">
        <v>2445</v>
      </c>
      <c r="W277" s="253"/>
      <c r="X277" s="253"/>
      <c r="Y277" s="253" t="s">
        <v>829</v>
      </c>
      <c r="Z277" s="6">
        <v>5</v>
      </c>
      <c r="AA277" s="6">
        <v>4</v>
      </c>
      <c r="AB277" s="6">
        <v>5</v>
      </c>
      <c r="AC277" s="254"/>
      <c r="AK277" s="255"/>
      <c r="AL277" s="255"/>
      <c r="AM277" s="14">
        <f>_DATA_Assessment_Model!AJ277</f>
        <v>0.9</v>
      </c>
      <c r="AN277" s="14">
        <f>_DATA_Assessment_Model!AK277</f>
        <v>0.9</v>
      </c>
      <c r="AO277" s="14">
        <f>_DATA_Assessment_Model!AL277</f>
        <v>0</v>
      </c>
      <c r="AP277" s="14">
        <f>_DATA_Assessment_Model!AM277</f>
        <v>0</v>
      </c>
      <c r="AQ277" s="14">
        <f>_DATA_Assessment_Model!AN277</f>
        <v>0</v>
      </c>
      <c r="AR277" s="14">
        <f>_DATA_Assessment_Model!AO277</f>
        <v>0</v>
      </c>
      <c r="AS277" s="14">
        <f>_DATA_Assessment_Model!AP277</f>
        <v>0</v>
      </c>
      <c r="AT277" s="14">
        <f>_DATA_Assessment_Model!AQ277</f>
        <v>0</v>
      </c>
      <c r="AU277" s="14" t="str">
        <f>_DATA_Assessment_Model!AR277</f>
        <v>Within target</v>
      </c>
      <c r="AV277" s="4">
        <f>_DATA_Assessment_Model!AS277</f>
        <v>0</v>
      </c>
      <c r="AW277" s="4">
        <f>_DATA_Assessment_Model!AT277</f>
        <v>0.9</v>
      </c>
      <c r="AX277" s="254"/>
      <c r="AY277">
        <f>_DATA_Assessment_Model!AV277</f>
        <v>0.9</v>
      </c>
    </row>
    <row r="278" spans="1:51" ht="99">
      <c r="A278" t="s">
        <v>2286</v>
      </c>
      <c r="B278" t="s">
        <v>2286</v>
      </c>
      <c r="C278">
        <v>26</v>
      </c>
      <c r="D278" t="s">
        <v>2446</v>
      </c>
      <c r="E278" t="s">
        <v>2339</v>
      </c>
      <c r="F278" s="2" t="s">
        <v>2447</v>
      </c>
      <c r="G278" s="2" t="s">
        <v>2448</v>
      </c>
      <c r="H278" t="s">
        <v>2449</v>
      </c>
      <c r="I278" t="s">
        <v>2292</v>
      </c>
      <c r="J278" s="254">
        <v>5</v>
      </c>
      <c r="K278">
        <f>_DATA_Assessment_Model!H278</f>
        <v>0</v>
      </c>
      <c r="L278">
        <f>_DATA_Assessment_Model!I278</f>
        <v>0</v>
      </c>
      <c r="M278">
        <f>_DATA_Assessment_Model!J278</f>
        <v>5</v>
      </c>
      <c r="N278">
        <f>_DATA_Assessment_Model!K278</f>
        <v>5</v>
      </c>
      <c r="O278" t="str">
        <f>_DATA_Assessment_Model!L278</f>
        <v>Critical</v>
      </c>
      <c r="P278" t="s">
        <v>833</v>
      </c>
      <c r="Q278" t="s">
        <v>834</v>
      </c>
      <c r="R278" t="s">
        <v>835</v>
      </c>
      <c r="S278" t="s">
        <v>836</v>
      </c>
      <c r="T278" t="s">
        <v>837</v>
      </c>
      <c r="U278" t="s">
        <v>838</v>
      </c>
      <c r="V278" t="s">
        <v>2450</v>
      </c>
      <c r="W278" s="254"/>
      <c r="X278" s="254"/>
      <c r="Y278" s="254" t="s">
        <v>829</v>
      </c>
      <c r="Z278">
        <v>4</v>
      </c>
      <c r="AA278">
        <v>5</v>
      </c>
      <c r="AB278">
        <v>4</v>
      </c>
      <c r="AC278" s="254"/>
      <c r="AK278" s="254"/>
      <c r="AL278" s="254"/>
      <c r="AM278">
        <f>_DATA_Assessment_Model!AJ278</f>
        <v>0.9</v>
      </c>
      <c r="AN278">
        <f>_DATA_Assessment_Model!AK278</f>
        <v>0.9</v>
      </c>
      <c r="AO278">
        <f>_DATA_Assessment_Model!AL278</f>
        <v>0</v>
      </c>
      <c r="AP278">
        <f>_DATA_Assessment_Model!AM278</f>
        <v>0</v>
      </c>
      <c r="AQ278">
        <f>_DATA_Assessment_Model!AN278</f>
        <v>0</v>
      </c>
      <c r="AR278">
        <f>_DATA_Assessment_Model!AO278</f>
        <v>0</v>
      </c>
      <c r="AS278">
        <f>_DATA_Assessment_Model!AP278</f>
        <v>0</v>
      </c>
      <c r="AT278">
        <f>_DATA_Assessment_Model!AQ278</f>
        <v>0</v>
      </c>
      <c r="AU278" t="str">
        <f>_DATA_Assessment_Model!AR278</f>
        <v>Within target</v>
      </c>
      <c r="AV278">
        <f>_DATA_Assessment_Model!AS278</f>
        <v>0</v>
      </c>
      <c r="AW278">
        <f>_DATA_Assessment_Model!AT278</f>
        <v>0.9</v>
      </c>
      <c r="AX278" s="254"/>
      <c r="AY278">
        <f>_DATA_Assessment_Model!AV278</f>
        <v>0.9</v>
      </c>
    </row>
    <row r="279" spans="1:51" ht="84.9">
      <c r="A279" t="s">
        <v>2286</v>
      </c>
      <c r="B279" t="s">
        <v>2286</v>
      </c>
      <c r="C279">
        <v>27</v>
      </c>
      <c r="D279" t="s">
        <v>2451</v>
      </c>
      <c r="E279" t="s">
        <v>2339</v>
      </c>
      <c r="F279" s="2" t="s">
        <v>2452</v>
      </c>
      <c r="G279" s="2" t="s">
        <v>2453</v>
      </c>
      <c r="H279" t="s">
        <v>2454</v>
      </c>
      <c r="I279" t="s">
        <v>2292</v>
      </c>
      <c r="J279" s="254">
        <v>3</v>
      </c>
      <c r="K279">
        <f>_DATA_Assessment_Model!H279</f>
        <v>0</v>
      </c>
      <c r="L279">
        <f>_DATA_Assessment_Model!I279</f>
        <v>0</v>
      </c>
      <c r="M279">
        <f>_DATA_Assessment_Model!J279</f>
        <v>3</v>
      </c>
      <c r="N279">
        <f>_DATA_Assessment_Model!K279</f>
        <v>3</v>
      </c>
      <c r="O279" t="str">
        <f>_DATA_Assessment_Model!L279</f>
        <v>Critical</v>
      </c>
      <c r="P279" t="s">
        <v>2455</v>
      </c>
      <c r="Q279" t="s">
        <v>2456</v>
      </c>
      <c r="R279" t="s">
        <v>2457</v>
      </c>
      <c r="S279" t="s">
        <v>2458</v>
      </c>
      <c r="T279" t="s">
        <v>2459</v>
      </c>
      <c r="U279" t="s">
        <v>2460</v>
      </c>
      <c r="V279" t="s">
        <v>2461</v>
      </c>
      <c r="W279" s="254"/>
      <c r="X279" s="254"/>
      <c r="Y279" s="254" t="s">
        <v>829</v>
      </c>
      <c r="Z279">
        <v>3</v>
      </c>
      <c r="AA279">
        <v>3</v>
      </c>
      <c r="AB279">
        <v>5</v>
      </c>
      <c r="AC279" s="254"/>
      <c r="AK279" s="254"/>
      <c r="AL279" s="254"/>
      <c r="AM279">
        <f>_DATA_Assessment_Model!AJ279</f>
        <v>0.9</v>
      </c>
      <c r="AN279">
        <f>_DATA_Assessment_Model!AK279</f>
        <v>0.9</v>
      </c>
      <c r="AO279">
        <f>_DATA_Assessment_Model!AL279</f>
        <v>0</v>
      </c>
      <c r="AP279">
        <f>_DATA_Assessment_Model!AM279</f>
        <v>0</v>
      </c>
      <c r="AQ279">
        <f>_DATA_Assessment_Model!AN279</f>
        <v>0</v>
      </c>
      <c r="AR279">
        <f>_DATA_Assessment_Model!AO279</f>
        <v>0</v>
      </c>
      <c r="AS279">
        <f>_DATA_Assessment_Model!AP279</f>
        <v>0</v>
      </c>
      <c r="AT279">
        <f>_DATA_Assessment_Model!AQ279</f>
        <v>0</v>
      </c>
      <c r="AU279" t="str">
        <f>_DATA_Assessment_Model!AR279</f>
        <v>Within target</v>
      </c>
      <c r="AV279">
        <f>_DATA_Assessment_Model!AS279</f>
        <v>0</v>
      </c>
      <c r="AW279">
        <f>_DATA_Assessment_Model!AT279</f>
        <v>0.9</v>
      </c>
      <c r="AX279" s="254"/>
      <c r="AY279">
        <f>_DATA_Assessment_Model!AV279</f>
        <v>0.9</v>
      </c>
    </row>
    <row r="280" spans="1:51" ht="99">
      <c r="A280" t="s">
        <v>2286</v>
      </c>
      <c r="B280" t="s">
        <v>2286</v>
      </c>
      <c r="C280">
        <v>28</v>
      </c>
      <c r="D280" t="s">
        <v>2462</v>
      </c>
      <c r="E280" t="s">
        <v>2339</v>
      </c>
      <c r="F280" s="2" t="s">
        <v>2463</v>
      </c>
      <c r="G280" s="2" t="s">
        <v>2464</v>
      </c>
      <c r="H280" t="s">
        <v>2465</v>
      </c>
      <c r="I280" t="s">
        <v>2292</v>
      </c>
      <c r="J280" s="254">
        <v>4</v>
      </c>
      <c r="K280">
        <f>_DATA_Assessment_Model!H280</f>
        <v>0</v>
      </c>
      <c r="L280">
        <f>_DATA_Assessment_Model!I280</f>
        <v>0</v>
      </c>
      <c r="M280">
        <f>_DATA_Assessment_Model!J280</f>
        <v>4</v>
      </c>
      <c r="N280">
        <f>_DATA_Assessment_Model!K280</f>
        <v>4</v>
      </c>
      <c r="O280" t="str">
        <f>_DATA_Assessment_Model!L280</f>
        <v>Critical</v>
      </c>
      <c r="P280" t="s">
        <v>2466</v>
      </c>
      <c r="Q280" t="s">
        <v>2467</v>
      </c>
      <c r="R280" t="s">
        <v>2468</v>
      </c>
      <c r="S280" t="s">
        <v>2469</v>
      </c>
      <c r="T280" t="s">
        <v>2470</v>
      </c>
      <c r="U280" t="s">
        <v>2471</v>
      </c>
      <c r="V280" t="s">
        <v>2472</v>
      </c>
      <c r="W280" s="254"/>
      <c r="X280" s="254"/>
      <c r="Y280" s="254" t="s">
        <v>829</v>
      </c>
      <c r="Z280">
        <v>4</v>
      </c>
      <c r="AA280">
        <v>3</v>
      </c>
      <c r="AB280">
        <v>4</v>
      </c>
      <c r="AC280" s="254"/>
      <c r="AK280" s="254"/>
      <c r="AL280" s="254"/>
      <c r="AM280">
        <f>_DATA_Assessment_Model!AJ280</f>
        <v>0.9</v>
      </c>
      <c r="AN280">
        <f>_DATA_Assessment_Model!AK280</f>
        <v>0.9</v>
      </c>
      <c r="AO280">
        <f>_DATA_Assessment_Model!AL280</f>
        <v>0</v>
      </c>
      <c r="AP280">
        <f>_DATA_Assessment_Model!AM280</f>
        <v>0</v>
      </c>
      <c r="AQ280">
        <f>_DATA_Assessment_Model!AN280</f>
        <v>0</v>
      </c>
      <c r="AR280">
        <f>_DATA_Assessment_Model!AO280</f>
        <v>0</v>
      </c>
      <c r="AS280">
        <f>_DATA_Assessment_Model!AP280</f>
        <v>0</v>
      </c>
      <c r="AT280">
        <f>_DATA_Assessment_Model!AQ280</f>
        <v>0</v>
      </c>
      <c r="AU280" t="str">
        <f>_DATA_Assessment_Model!AR280</f>
        <v>Within target</v>
      </c>
      <c r="AV280">
        <f>_DATA_Assessment_Model!AS280</f>
        <v>0</v>
      </c>
      <c r="AW280">
        <f>_DATA_Assessment_Model!AT280</f>
        <v>0.9</v>
      </c>
      <c r="AX280" s="254"/>
      <c r="AY280">
        <f>_DATA_Assessment_Model!AV280</f>
        <v>0.9</v>
      </c>
    </row>
    <row r="281" spans="1:51" ht="96.65" customHeight="1">
      <c r="A281" t="s">
        <v>2473</v>
      </c>
      <c r="B281" t="s">
        <v>2473</v>
      </c>
      <c r="C281">
        <v>5</v>
      </c>
      <c r="D281" s="2" t="s">
        <v>2474</v>
      </c>
      <c r="E281" s="2" t="s">
        <v>2475</v>
      </c>
      <c r="F281" s="2" t="s">
        <v>2476</v>
      </c>
      <c r="G281" s="2" t="s">
        <v>2477</v>
      </c>
      <c r="H281" s="2" t="s">
        <v>2478</v>
      </c>
      <c r="I281" s="2" t="s">
        <v>2479</v>
      </c>
      <c r="J281" s="253">
        <v>3</v>
      </c>
      <c r="K281" s="49">
        <f>_DATA_Assessment_Model!H281</f>
        <v>0</v>
      </c>
      <c r="L281" s="3">
        <f>_DATA_Assessment_Model!I281</f>
        <v>0</v>
      </c>
      <c r="M281" s="3">
        <f>_DATA_Assessment_Model!J281</f>
        <v>3</v>
      </c>
      <c r="N281" s="3">
        <f>_DATA_Assessment_Model!K281</f>
        <v>3</v>
      </c>
      <c r="O281" s="2" t="str">
        <f>_DATA_Assessment_Model!L281</f>
        <v>Critical</v>
      </c>
      <c r="P281" s="2" t="s">
        <v>2480</v>
      </c>
      <c r="Q281" s="2" t="s">
        <v>2481</v>
      </c>
      <c r="R281" s="2" t="s">
        <v>2482</v>
      </c>
      <c r="S281" s="2" t="s">
        <v>2483</v>
      </c>
      <c r="T281" s="2" t="s">
        <v>2484</v>
      </c>
      <c r="U281" s="2" t="s">
        <v>2485</v>
      </c>
      <c r="V281" s="2" t="s">
        <v>2486</v>
      </c>
      <c r="W281" s="253"/>
      <c r="X281" s="253"/>
      <c r="Y281" s="253" t="s">
        <v>829</v>
      </c>
      <c r="Z281" s="6">
        <v>4</v>
      </c>
      <c r="AA281" s="6">
        <v>5</v>
      </c>
      <c r="AB281" s="6">
        <v>5</v>
      </c>
      <c r="AC281" s="254"/>
      <c r="AD281" t="s">
        <v>2475</v>
      </c>
      <c r="AE281" s="5">
        <f>_DATA_Assessment_Model!AB281</f>
        <v>5</v>
      </c>
      <c r="AF281" s="7">
        <f>_DATA_Assessment_Model!AC281</f>
        <v>0</v>
      </c>
      <c r="AG281" s="8">
        <f>_DATA_Assessment_Model!AD281</f>
        <v>0</v>
      </c>
      <c r="AH281" s="5">
        <f>_DATA_Assessment_Model!AE281</f>
        <v>5</v>
      </c>
      <c r="AI281" s="7">
        <f>_DATA_Assessment_Model!AF281</f>
        <v>5</v>
      </c>
      <c r="AJ281" s="5">
        <f>_DATA_Assessment_Model!AG281</f>
        <v>5</v>
      </c>
      <c r="AK281" s="255"/>
      <c r="AL281" s="255"/>
      <c r="AM281" s="14">
        <f>_DATA_Assessment_Model!AJ281</f>
        <v>0.9</v>
      </c>
      <c r="AN281" s="14">
        <f>_DATA_Assessment_Model!AK281</f>
        <v>0.9</v>
      </c>
      <c r="AO281" s="14">
        <f>_DATA_Assessment_Model!AL281</f>
        <v>0</v>
      </c>
      <c r="AP281" s="14">
        <f>_DATA_Assessment_Model!AM281</f>
        <v>0</v>
      </c>
      <c r="AQ281" s="14">
        <f>_DATA_Assessment_Model!AN281</f>
        <v>0</v>
      </c>
      <c r="AR281" s="14">
        <f>_DATA_Assessment_Model!AO281</f>
        <v>0</v>
      </c>
      <c r="AS281" s="14">
        <f>_DATA_Assessment_Model!AP281</f>
        <v>0</v>
      </c>
      <c r="AT281" s="14">
        <f>_DATA_Assessment_Model!AQ281</f>
        <v>0</v>
      </c>
      <c r="AU281" s="14" t="str">
        <f>_DATA_Assessment_Model!AR281</f>
        <v>Within target</v>
      </c>
      <c r="AV281" s="4">
        <f>_DATA_Assessment_Model!AS281</f>
        <v>0</v>
      </c>
      <c r="AW281" s="4">
        <f>_DATA_Assessment_Model!AT281</f>
        <v>0.9</v>
      </c>
      <c r="AX281" s="254"/>
      <c r="AY281">
        <f>_DATA_Assessment_Model!AV281</f>
        <v>0.9</v>
      </c>
    </row>
    <row r="282" spans="1:51" ht="69" customHeight="1">
      <c r="A282" t="s">
        <v>2473</v>
      </c>
      <c r="B282" t="s">
        <v>2473</v>
      </c>
      <c r="C282">
        <v>6</v>
      </c>
      <c r="D282" s="2" t="s">
        <v>2487</v>
      </c>
      <c r="E282" s="2" t="s">
        <v>2475</v>
      </c>
      <c r="F282" s="2" t="s">
        <v>2488</v>
      </c>
      <c r="G282" s="2" t="s">
        <v>2477</v>
      </c>
      <c r="H282" s="2" t="s">
        <v>2478</v>
      </c>
      <c r="I282" s="2" t="s">
        <v>2489</v>
      </c>
      <c r="J282" s="253">
        <v>5</v>
      </c>
      <c r="K282" s="49">
        <f>_DATA_Assessment_Model!H282</f>
        <v>0</v>
      </c>
      <c r="L282" s="3">
        <f>_DATA_Assessment_Model!I282</f>
        <v>0</v>
      </c>
      <c r="M282" s="3">
        <f>_DATA_Assessment_Model!J282</f>
        <v>5</v>
      </c>
      <c r="N282" s="3">
        <f>_DATA_Assessment_Model!K282</f>
        <v>5</v>
      </c>
      <c r="O282" s="2" t="str">
        <f>_DATA_Assessment_Model!L282</f>
        <v>Critical</v>
      </c>
      <c r="P282" s="2" t="s">
        <v>833</v>
      </c>
      <c r="Q282" s="2" t="s">
        <v>834</v>
      </c>
      <c r="R282" s="2" t="s">
        <v>835</v>
      </c>
      <c r="S282" s="2" t="s">
        <v>836</v>
      </c>
      <c r="T282" s="2" t="s">
        <v>837</v>
      </c>
      <c r="U282" s="2" t="s">
        <v>838</v>
      </c>
      <c r="V282" s="2" t="s">
        <v>2486</v>
      </c>
      <c r="W282" s="253"/>
      <c r="X282" s="253"/>
      <c r="Y282" s="253" t="s">
        <v>829</v>
      </c>
      <c r="Z282" s="6">
        <v>4</v>
      </c>
      <c r="AA282" s="6">
        <v>5</v>
      </c>
      <c r="AB282" s="6">
        <v>5</v>
      </c>
      <c r="AC282" s="254"/>
      <c r="AD282" t="s">
        <v>2490</v>
      </c>
      <c r="AE282" s="5">
        <f>_DATA_Assessment_Model!AB282</f>
        <v>6</v>
      </c>
      <c r="AF282" s="7">
        <f>_DATA_Assessment_Model!AC282</f>
        <v>0</v>
      </c>
      <c r="AG282" s="8">
        <f>_DATA_Assessment_Model!AD282</f>
        <v>0</v>
      </c>
      <c r="AH282" s="5">
        <f>_DATA_Assessment_Model!AE282</f>
        <v>6</v>
      </c>
      <c r="AI282" s="7">
        <f>_DATA_Assessment_Model!AF282</f>
        <v>5</v>
      </c>
      <c r="AJ282" s="5">
        <f>_DATA_Assessment_Model!AG282</f>
        <v>6</v>
      </c>
      <c r="AK282" s="255"/>
      <c r="AL282" s="255"/>
      <c r="AM282" s="14">
        <f>_DATA_Assessment_Model!AJ282</f>
        <v>0.9</v>
      </c>
      <c r="AN282" s="14">
        <f>_DATA_Assessment_Model!AK282</f>
        <v>0.9</v>
      </c>
      <c r="AO282" s="14">
        <f>_DATA_Assessment_Model!AL282</f>
        <v>0</v>
      </c>
      <c r="AP282" s="14">
        <f>_DATA_Assessment_Model!AM282</f>
        <v>0</v>
      </c>
      <c r="AQ282" s="14">
        <f>_DATA_Assessment_Model!AN282</f>
        <v>0</v>
      </c>
      <c r="AR282" s="14">
        <f>_DATA_Assessment_Model!AO282</f>
        <v>0</v>
      </c>
      <c r="AS282" s="14">
        <f>_DATA_Assessment_Model!AP282</f>
        <v>0</v>
      </c>
      <c r="AT282" s="14">
        <f>_DATA_Assessment_Model!AQ282</f>
        <v>0</v>
      </c>
      <c r="AU282" s="14" t="str">
        <f>_DATA_Assessment_Model!AR282</f>
        <v>Within target</v>
      </c>
      <c r="AV282" s="4">
        <f>_DATA_Assessment_Model!AS282</f>
        <v>0</v>
      </c>
      <c r="AW282" s="4">
        <f>_DATA_Assessment_Model!AT282</f>
        <v>0.9</v>
      </c>
      <c r="AX282" s="254"/>
      <c r="AY282">
        <f>_DATA_Assessment_Model!AV282</f>
        <v>0.9</v>
      </c>
    </row>
    <row r="283" spans="1:51" ht="82.85" customHeight="1">
      <c r="A283" t="s">
        <v>2473</v>
      </c>
      <c r="B283" t="s">
        <v>2473</v>
      </c>
      <c r="C283">
        <v>7</v>
      </c>
      <c r="D283" s="2" t="s">
        <v>2491</v>
      </c>
      <c r="E283" s="2" t="s">
        <v>2475</v>
      </c>
      <c r="F283" s="2" t="s">
        <v>2492</v>
      </c>
      <c r="G283" s="2" t="s">
        <v>2477</v>
      </c>
      <c r="H283" s="2" t="s">
        <v>2478</v>
      </c>
      <c r="I283" s="2" t="s">
        <v>2493</v>
      </c>
      <c r="J283" s="253">
        <v>5</v>
      </c>
      <c r="K283" s="49">
        <f>_DATA_Assessment_Model!H283</f>
        <v>0</v>
      </c>
      <c r="L283" s="3">
        <f>_DATA_Assessment_Model!I283</f>
        <v>0</v>
      </c>
      <c r="M283" s="3">
        <f>_DATA_Assessment_Model!J283</f>
        <v>5</v>
      </c>
      <c r="N283" s="3">
        <f>_DATA_Assessment_Model!K283</f>
        <v>5</v>
      </c>
      <c r="O283" s="2" t="str">
        <f>_DATA_Assessment_Model!L283</f>
        <v>Critical</v>
      </c>
      <c r="P283" s="2" t="s">
        <v>833</v>
      </c>
      <c r="Q283" s="2" t="s">
        <v>834</v>
      </c>
      <c r="R283" s="2" t="s">
        <v>835</v>
      </c>
      <c r="S283" s="2" t="s">
        <v>836</v>
      </c>
      <c r="T283" s="2" t="s">
        <v>837</v>
      </c>
      <c r="U283" s="2" t="s">
        <v>838</v>
      </c>
      <c r="V283" s="2" t="s">
        <v>2486</v>
      </c>
      <c r="W283" s="253"/>
      <c r="X283" s="253"/>
      <c r="Y283" s="253" t="s">
        <v>829</v>
      </c>
      <c r="Z283" s="6">
        <v>4</v>
      </c>
      <c r="AA283" s="6">
        <v>5</v>
      </c>
      <c r="AB283" s="6">
        <v>5</v>
      </c>
      <c r="AC283" s="254"/>
      <c r="AD283" t="s">
        <v>2494</v>
      </c>
      <c r="AE283" s="5">
        <f>_DATA_Assessment_Model!AB283</f>
        <v>5</v>
      </c>
      <c r="AF283" s="7">
        <f>_DATA_Assessment_Model!AC283</f>
        <v>0</v>
      </c>
      <c r="AG283" s="8">
        <f>_DATA_Assessment_Model!AD283</f>
        <v>0</v>
      </c>
      <c r="AH283" s="5">
        <f>_DATA_Assessment_Model!AE283</f>
        <v>5</v>
      </c>
      <c r="AI283" s="7">
        <f>_DATA_Assessment_Model!AF283</f>
        <v>5</v>
      </c>
      <c r="AJ283" s="5">
        <f>_DATA_Assessment_Model!AG283</f>
        <v>5</v>
      </c>
      <c r="AK283" s="255"/>
      <c r="AL283" s="255"/>
      <c r="AM283" s="14">
        <f>_DATA_Assessment_Model!AJ283</f>
        <v>0.9</v>
      </c>
      <c r="AN283" s="14">
        <f>_DATA_Assessment_Model!AK283</f>
        <v>0.9</v>
      </c>
      <c r="AO283" s="14">
        <f>_DATA_Assessment_Model!AL283</f>
        <v>0</v>
      </c>
      <c r="AP283" s="14">
        <f>_DATA_Assessment_Model!AM283</f>
        <v>0</v>
      </c>
      <c r="AQ283" s="14">
        <f>_DATA_Assessment_Model!AN283</f>
        <v>0</v>
      </c>
      <c r="AR283" s="14">
        <f>_DATA_Assessment_Model!AO283</f>
        <v>0</v>
      </c>
      <c r="AS283" s="14">
        <f>_DATA_Assessment_Model!AP283</f>
        <v>0</v>
      </c>
      <c r="AT283" s="14">
        <f>_DATA_Assessment_Model!AQ283</f>
        <v>0</v>
      </c>
      <c r="AU283" s="14" t="str">
        <f>_DATA_Assessment_Model!AR283</f>
        <v>Within target</v>
      </c>
      <c r="AV283" s="4">
        <f>_DATA_Assessment_Model!AS283</f>
        <v>0</v>
      </c>
      <c r="AW283" s="4">
        <f>_DATA_Assessment_Model!AT283</f>
        <v>0.9</v>
      </c>
      <c r="AX283" s="254"/>
      <c r="AY283">
        <f>_DATA_Assessment_Model!AV283</f>
        <v>0.9</v>
      </c>
    </row>
    <row r="284" spans="1:51" ht="96.65" customHeight="1">
      <c r="A284" t="s">
        <v>2473</v>
      </c>
      <c r="B284" t="s">
        <v>2473</v>
      </c>
      <c r="C284">
        <v>8</v>
      </c>
      <c r="D284" s="2" t="s">
        <v>2495</v>
      </c>
      <c r="E284" s="2" t="s">
        <v>2475</v>
      </c>
      <c r="F284" s="2" t="s">
        <v>2496</v>
      </c>
      <c r="G284" s="2" t="s">
        <v>2477</v>
      </c>
      <c r="H284" s="2" t="s">
        <v>2478</v>
      </c>
      <c r="I284" s="2" t="s">
        <v>2497</v>
      </c>
      <c r="J284" s="253">
        <v>3</v>
      </c>
      <c r="K284" s="49">
        <f>_DATA_Assessment_Model!H284</f>
        <v>0</v>
      </c>
      <c r="L284" s="3">
        <f>_DATA_Assessment_Model!I284</f>
        <v>0</v>
      </c>
      <c r="M284" s="3">
        <f>_DATA_Assessment_Model!J284</f>
        <v>3</v>
      </c>
      <c r="N284" s="3">
        <f>_DATA_Assessment_Model!K284</f>
        <v>3</v>
      </c>
      <c r="O284" s="2" t="str">
        <f>_DATA_Assessment_Model!L284</f>
        <v>Critical</v>
      </c>
      <c r="P284" s="2" t="s">
        <v>2498</v>
      </c>
      <c r="Q284" s="2" t="s">
        <v>2499</v>
      </c>
      <c r="R284" s="2" t="s">
        <v>2500</v>
      </c>
      <c r="S284" s="2" t="s">
        <v>2501</v>
      </c>
      <c r="T284" s="2" t="s">
        <v>2502</v>
      </c>
      <c r="U284" s="2" t="s">
        <v>2503</v>
      </c>
      <c r="V284" s="2" t="s">
        <v>2486</v>
      </c>
      <c r="W284" s="253"/>
      <c r="X284" s="253"/>
      <c r="Y284" s="253" t="s">
        <v>829</v>
      </c>
      <c r="Z284" s="6">
        <v>4</v>
      </c>
      <c r="AA284" s="6">
        <v>5</v>
      </c>
      <c r="AB284" s="6">
        <v>5</v>
      </c>
      <c r="AC284" s="254"/>
      <c r="AK284" s="255"/>
      <c r="AL284" s="255"/>
      <c r="AM284" s="14">
        <f>_DATA_Assessment_Model!AJ284</f>
        <v>0.9</v>
      </c>
      <c r="AN284" s="14">
        <f>_DATA_Assessment_Model!AK284</f>
        <v>0.9</v>
      </c>
      <c r="AO284" s="14">
        <f>_DATA_Assessment_Model!AL284</f>
        <v>0</v>
      </c>
      <c r="AP284" s="14">
        <f>_DATA_Assessment_Model!AM284</f>
        <v>0</v>
      </c>
      <c r="AQ284" s="14">
        <f>_DATA_Assessment_Model!AN284</f>
        <v>0</v>
      </c>
      <c r="AR284" s="14">
        <f>_DATA_Assessment_Model!AO284</f>
        <v>0</v>
      </c>
      <c r="AS284" s="14">
        <f>_DATA_Assessment_Model!AP284</f>
        <v>0</v>
      </c>
      <c r="AT284" s="14">
        <f>_DATA_Assessment_Model!AQ284</f>
        <v>0</v>
      </c>
      <c r="AU284" s="14" t="str">
        <f>_DATA_Assessment_Model!AR284</f>
        <v>Within target</v>
      </c>
      <c r="AV284" s="4">
        <f>_DATA_Assessment_Model!AS284</f>
        <v>0</v>
      </c>
      <c r="AW284" s="4">
        <f>_DATA_Assessment_Model!AT284</f>
        <v>0.9</v>
      </c>
      <c r="AX284" s="254"/>
      <c r="AY284">
        <f>_DATA_Assessment_Model!AV284</f>
        <v>0.9</v>
      </c>
    </row>
    <row r="285" spans="1:51" ht="96.65" customHeight="1">
      <c r="A285" t="s">
        <v>2473</v>
      </c>
      <c r="B285" t="s">
        <v>2473</v>
      </c>
      <c r="C285">
        <v>9</v>
      </c>
      <c r="D285" s="2" t="s">
        <v>2504</v>
      </c>
      <c r="E285" s="2" t="s">
        <v>2475</v>
      </c>
      <c r="F285" s="2" t="s">
        <v>2505</v>
      </c>
      <c r="G285" s="2" t="s">
        <v>2477</v>
      </c>
      <c r="H285" s="2" t="s">
        <v>2478</v>
      </c>
      <c r="I285" s="2" t="s">
        <v>2506</v>
      </c>
      <c r="J285" s="253">
        <v>3</v>
      </c>
      <c r="K285" s="49">
        <f>_DATA_Assessment_Model!H285</f>
        <v>0</v>
      </c>
      <c r="L285" s="3">
        <f>_DATA_Assessment_Model!I285</f>
        <v>0</v>
      </c>
      <c r="M285" s="3">
        <f>_DATA_Assessment_Model!J285</f>
        <v>3</v>
      </c>
      <c r="N285" s="3">
        <f>_DATA_Assessment_Model!K285</f>
        <v>3</v>
      </c>
      <c r="O285" s="2" t="str">
        <f>_DATA_Assessment_Model!L285</f>
        <v>Critical</v>
      </c>
      <c r="P285" s="2" t="s">
        <v>2507</v>
      </c>
      <c r="Q285" s="2" t="s">
        <v>2508</v>
      </c>
      <c r="R285" s="2" t="s">
        <v>2509</v>
      </c>
      <c r="S285" s="2" t="s">
        <v>2510</v>
      </c>
      <c r="T285" s="2" t="s">
        <v>2511</v>
      </c>
      <c r="U285" s="2" t="s">
        <v>2512</v>
      </c>
      <c r="V285" s="2" t="s">
        <v>2486</v>
      </c>
      <c r="W285" s="253"/>
      <c r="X285" s="253"/>
      <c r="Y285" s="253" t="s">
        <v>829</v>
      </c>
      <c r="Z285" s="6">
        <v>4</v>
      </c>
      <c r="AA285" s="6">
        <v>5</v>
      </c>
      <c r="AB285" s="6">
        <v>5</v>
      </c>
      <c r="AC285" s="254"/>
      <c r="AK285" s="255"/>
      <c r="AL285" s="255"/>
      <c r="AM285" s="14">
        <f>_DATA_Assessment_Model!AJ285</f>
        <v>0.9</v>
      </c>
      <c r="AN285" s="14">
        <f>_DATA_Assessment_Model!AK285</f>
        <v>0.9</v>
      </c>
      <c r="AO285" s="14">
        <f>_DATA_Assessment_Model!AL285</f>
        <v>0</v>
      </c>
      <c r="AP285" s="14">
        <f>_DATA_Assessment_Model!AM285</f>
        <v>0</v>
      </c>
      <c r="AQ285" s="14">
        <f>_DATA_Assessment_Model!AN285</f>
        <v>0</v>
      </c>
      <c r="AR285" s="14">
        <f>_DATA_Assessment_Model!AO285</f>
        <v>0</v>
      </c>
      <c r="AS285" s="14">
        <f>_DATA_Assessment_Model!AP285</f>
        <v>0</v>
      </c>
      <c r="AT285" s="14">
        <f>_DATA_Assessment_Model!AQ285</f>
        <v>0</v>
      </c>
      <c r="AU285" s="14" t="str">
        <f>_DATA_Assessment_Model!AR285</f>
        <v>Within target</v>
      </c>
      <c r="AV285" s="4">
        <f>_DATA_Assessment_Model!AS285</f>
        <v>0</v>
      </c>
      <c r="AW285" s="4">
        <f>_DATA_Assessment_Model!AT285</f>
        <v>0.9</v>
      </c>
      <c r="AX285" s="254"/>
      <c r="AY285">
        <f>_DATA_Assessment_Model!AV285</f>
        <v>0.9</v>
      </c>
    </row>
    <row r="286" spans="1:51" ht="82.85" customHeight="1">
      <c r="A286" t="s">
        <v>2473</v>
      </c>
      <c r="B286" t="s">
        <v>2473</v>
      </c>
      <c r="C286">
        <v>10</v>
      </c>
      <c r="D286" s="2" t="s">
        <v>2513</v>
      </c>
      <c r="E286" s="2" t="s">
        <v>2490</v>
      </c>
      <c r="F286" s="2" t="s">
        <v>2514</v>
      </c>
      <c r="G286" s="2" t="s">
        <v>2477</v>
      </c>
      <c r="H286" s="2" t="s">
        <v>2478</v>
      </c>
      <c r="I286" s="2" t="s">
        <v>2515</v>
      </c>
      <c r="J286" s="253">
        <v>5</v>
      </c>
      <c r="K286" s="49">
        <f>_DATA_Assessment_Model!H286</f>
        <v>0</v>
      </c>
      <c r="L286" s="3">
        <f>_DATA_Assessment_Model!I286</f>
        <v>0</v>
      </c>
      <c r="M286" s="3">
        <f>_DATA_Assessment_Model!J286</f>
        <v>5</v>
      </c>
      <c r="N286" s="3">
        <f>_DATA_Assessment_Model!K286</f>
        <v>5</v>
      </c>
      <c r="O286" s="2" t="str">
        <f>_DATA_Assessment_Model!L286</f>
        <v>Critical</v>
      </c>
      <c r="P286" s="2" t="s">
        <v>833</v>
      </c>
      <c r="Q286" s="2" t="s">
        <v>834</v>
      </c>
      <c r="R286" s="2" t="s">
        <v>835</v>
      </c>
      <c r="S286" s="2" t="s">
        <v>836</v>
      </c>
      <c r="T286" s="2" t="s">
        <v>837</v>
      </c>
      <c r="U286" s="2" t="s">
        <v>838</v>
      </c>
      <c r="V286" s="2" t="s">
        <v>2486</v>
      </c>
      <c r="W286" s="253"/>
      <c r="X286" s="253"/>
      <c r="Y286" s="253" t="s">
        <v>829</v>
      </c>
      <c r="Z286" s="6">
        <v>4</v>
      </c>
      <c r="AA286" s="6">
        <v>5</v>
      </c>
      <c r="AB286" s="6">
        <v>5</v>
      </c>
      <c r="AC286" s="254"/>
      <c r="AK286" s="255"/>
      <c r="AL286" s="255"/>
      <c r="AM286" s="14">
        <f>_DATA_Assessment_Model!AJ286</f>
        <v>0.9</v>
      </c>
      <c r="AN286" s="14">
        <f>_DATA_Assessment_Model!AK286</f>
        <v>0.9</v>
      </c>
      <c r="AO286" s="14">
        <f>_DATA_Assessment_Model!AL286</f>
        <v>0</v>
      </c>
      <c r="AP286" s="14">
        <f>_DATA_Assessment_Model!AM286</f>
        <v>0</v>
      </c>
      <c r="AQ286" s="14">
        <f>_DATA_Assessment_Model!AN286</f>
        <v>0</v>
      </c>
      <c r="AR286" s="14">
        <f>_DATA_Assessment_Model!AO286</f>
        <v>0</v>
      </c>
      <c r="AS286" s="14">
        <f>_DATA_Assessment_Model!AP286</f>
        <v>0</v>
      </c>
      <c r="AT286" s="14">
        <f>_DATA_Assessment_Model!AQ286</f>
        <v>0</v>
      </c>
      <c r="AU286" s="14" t="str">
        <f>_DATA_Assessment_Model!AR286</f>
        <v>Within target</v>
      </c>
      <c r="AV286" s="4">
        <f>_DATA_Assessment_Model!AS286</f>
        <v>0</v>
      </c>
      <c r="AW286" s="4">
        <f>_DATA_Assessment_Model!AT286</f>
        <v>0.9</v>
      </c>
      <c r="AX286" s="254"/>
      <c r="AY286">
        <f>_DATA_Assessment_Model!AV286</f>
        <v>0.9</v>
      </c>
    </row>
    <row r="287" spans="1:51" ht="69" customHeight="1">
      <c r="A287" t="s">
        <v>2473</v>
      </c>
      <c r="B287" t="s">
        <v>2473</v>
      </c>
      <c r="C287">
        <v>11</v>
      </c>
      <c r="D287" s="2" t="s">
        <v>2516</v>
      </c>
      <c r="E287" s="2" t="s">
        <v>2490</v>
      </c>
      <c r="F287" s="2" t="s">
        <v>2517</v>
      </c>
      <c r="G287" s="2" t="s">
        <v>2477</v>
      </c>
      <c r="H287" s="2" t="s">
        <v>2478</v>
      </c>
      <c r="I287" s="2" t="s">
        <v>2518</v>
      </c>
      <c r="J287" s="253">
        <v>5</v>
      </c>
      <c r="K287" s="49">
        <f>_DATA_Assessment_Model!H287</f>
        <v>0</v>
      </c>
      <c r="L287" s="3">
        <f>_DATA_Assessment_Model!I287</f>
        <v>0</v>
      </c>
      <c r="M287" s="3">
        <f>_DATA_Assessment_Model!J287</f>
        <v>5</v>
      </c>
      <c r="N287" s="3">
        <f>_DATA_Assessment_Model!K287</f>
        <v>5</v>
      </c>
      <c r="O287" s="2" t="str">
        <f>_DATA_Assessment_Model!L287</f>
        <v>Critical</v>
      </c>
      <c r="P287" s="2" t="s">
        <v>1202</v>
      </c>
      <c r="Q287" s="2" t="s">
        <v>1203</v>
      </c>
      <c r="R287" s="2" t="s">
        <v>1204</v>
      </c>
      <c r="S287" s="2" t="s">
        <v>1205</v>
      </c>
      <c r="T287" s="2" t="s">
        <v>1206</v>
      </c>
      <c r="U287" s="2" t="s">
        <v>1207</v>
      </c>
      <c r="V287" s="2" t="s">
        <v>2486</v>
      </c>
      <c r="W287" s="253"/>
      <c r="X287" s="253"/>
      <c r="Y287" s="253" t="s">
        <v>829</v>
      </c>
      <c r="Z287" s="6">
        <v>5</v>
      </c>
      <c r="AA287" s="6">
        <v>5</v>
      </c>
      <c r="AB287" s="6">
        <v>5</v>
      </c>
      <c r="AC287" s="254"/>
      <c r="AK287" s="255"/>
      <c r="AL287" s="255"/>
      <c r="AM287" s="14">
        <f>_DATA_Assessment_Model!AJ287</f>
        <v>0.9</v>
      </c>
      <c r="AN287" s="14">
        <f>_DATA_Assessment_Model!AK287</f>
        <v>0.9</v>
      </c>
      <c r="AO287" s="14">
        <f>_DATA_Assessment_Model!AL287</f>
        <v>0</v>
      </c>
      <c r="AP287" s="14">
        <f>_DATA_Assessment_Model!AM287</f>
        <v>0</v>
      </c>
      <c r="AQ287" s="14">
        <f>_DATA_Assessment_Model!AN287</f>
        <v>0</v>
      </c>
      <c r="AR287" s="14">
        <f>_DATA_Assessment_Model!AO287</f>
        <v>0</v>
      </c>
      <c r="AS287" s="14">
        <f>_DATA_Assessment_Model!AP287</f>
        <v>0</v>
      </c>
      <c r="AT287" s="14">
        <f>_DATA_Assessment_Model!AQ287</f>
        <v>0</v>
      </c>
      <c r="AU287" s="14" t="str">
        <f>_DATA_Assessment_Model!AR287</f>
        <v>Within target</v>
      </c>
      <c r="AV287" s="4">
        <f>_DATA_Assessment_Model!AS287</f>
        <v>0</v>
      </c>
      <c r="AW287" s="4">
        <f>_DATA_Assessment_Model!AT287</f>
        <v>0.9</v>
      </c>
      <c r="AX287" s="254"/>
      <c r="AY287">
        <f>_DATA_Assessment_Model!AV287</f>
        <v>0.9</v>
      </c>
    </row>
    <row r="288" spans="1:51" ht="82.85" customHeight="1">
      <c r="A288" t="s">
        <v>2473</v>
      </c>
      <c r="B288" t="s">
        <v>2473</v>
      </c>
      <c r="C288">
        <v>12</v>
      </c>
      <c r="D288" s="2" t="s">
        <v>2519</v>
      </c>
      <c r="E288" s="2" t="s">
        <v>2490</v>
      </c>
      <c r="F288" s="2" t="s">
        <v>2520</v>
      </c>
      <c r="G288" s="2" t="s">
        <v>2477</v>
      </c>
      <c r="H288" s="2" t="s">
        <v>2478</v>
      </c>
      <c r="I288" s="2" t="s">
        <v>2521</v>
      </c>
      <c r="J288" s="253">
        <v>4</v>
      </c>
      <c r="K288" s="49">
        <f>_DATA_Assessment_Model!H288</f>
        <v>0</v>
      </c>
      <c r="L288" s="3">
        <f>_DATA_Assessment_Model!I288</f>
        <v>0</v>
      </c>
      <c r="M288" s="3">
        <f>_DATA_Assessment_Model!J288</f>
        <v>4</v>
      </c>
      <c r="N288" s="3">
        <f>_DATA_Assessment_Model!K288</f>
        <v>4</v>
      </c>
      <c r="O288" s="2" t="str">
        <f>_DATA_Assessment_Model!L288</f>
        <v>Critical</v>
      </c>
      <c r="P288" s="2" t="s">
        <v>2522</v>
      </c>
      <c r="Q288" s="2" t="s">
        <v>2523</v>
      </c>
      <c r="R288" s="2" t="s">
        <v>2524</v>
      </c>
      <c r="S288" s="2" t="s">
        <v>2525</v>
      </c>
      <c r="T288" s="2" t="s">
        <v>2526</v>
      </c>
      <c r="U288" s="2" t="s">
        <v>2527</v>
      </c>
      <c r="V288" s="2" t="s">
        <v>2486</v>
      </c>
      <c r="W288" s="253"/>
      <c r="X288" s="253"/>
      <c r="Y288" s="253" t="s">
        <v>829</v>
      </c>
      <c r="Z288" s="6">
        <v>4</v>
      </c>
      <c r="AA288" s="6">
        <v>5</v>
      </c>
      <c r="AB288" s="6">
        <v>5</v>
      </c>
      <c r="AC288" s="254"/>
      <c r="AK288" s="255"/>
      <c r="AL288" s="255"/>
      <c r="AM288" s="14">
        <f>_DATA_Assessment_Model!AJ288</f>
        <v>0.9</v>
      </c>
      <c r="AN288" s="14">
        <f>_DATA_Assessment_Model!AK288</f>
        <v>0.9</v>
      </c>
      <c r="AO288" s="14">
        <f>_DATA_Assessment_Model!AL288</f>
        <v>0</v>
      </c>
      <c r="AP288" s="14">
        <f>_DATA_Assessment_Model!AM288</f>
        <v>0</v>
      </c>
      <c r="AQ288" s="14">
        <f>_DATA_Assessment_Model!AN288</f>
        <v>0</v>
      </c>
      <c r="AR288" s="14">
        <f>_DATA_Assessment_Model!AO288</f>
        <v>0</v>
      </c>
      <c r="AS288" s="14">
        <f>_DATA_Assessment_Model!AP288</f>
        <v>0</v>
      </c>
      <c r="AT288" s="14">
        <f>_DATA_Assessment_Model!AQ288</f>
        <v>0</v>
      </c>
      <c r="AU288" s="14" t="str">
        <f>_DATA_Assessment_Model!AR288</f>
        <v>Within target</v>
      </c>
      <c r="AV288" s="4">
        <f>_DATA_Assessment_Model!AS288</f>
        <v>0</v>
      </c>
      <c r="AW288" s="4">
        <f>_DATA_Assessment_Model!AT288</f>
        <v>0.9</v>
      </c>
      <c r="AX288" s="254"/>
      <c r="AY288">
        <f>_DATA_Assessment_Model!AV288</f>
        <v>0.9</v>
      </c>
    </row>
    <row r="289" spans="1:51" ht="82.85" customHeight="1">
      <c r="A289" t="s">
        <v>2473</v>
      </c>
      <c r="B289" t="s">
        <v>2473</v>
      </c>
      <c r="C289">
        <v>13</v>
      </c>
      <c r="D289" s="2" t="s">
        <v>2528</v>
      </c>
      <c r="E289" s="2" t="s">
        <v>2490</v>
      </c>
      <c r="F289" s="2" t="s">
        <v>2529</v>
      </c>
      <c r="G289" s="2" t="s">
        <v>2477</v>
      </c>
      <c r="H289" s="2" t="s">
        <v>2478</v>
      </c>
      <c r="I289" s="2" t="s">
        <v>2530</v>
      </c>
      <c r="J289" s="253">
        <v>3</v>
      </c>
      <c r="K289" s="49">
        <f>_DATA_Assessment_Model!H289</f>
        <v>0</v>
      </c>
      <c r="L289" s="3">
        <f>_DATA_Assessment_Model!I289</f>
        <v>0</v>
      </c>
      <c r="M289" s="3">
        <f>_DATA_Assessment_Model!J289</f>
        <v>3</v>
      </c>
      <c r="N289" s="3">
        <f>_DATA_Assessment_Model!K289</f>
        <v>3</v>
      </c>
      <c r="O289" s="2" t="str">
        <f>_DATA_Assessment_Model!L289</f>
        <v>Critical</v>
      </c>
      <c r="P289" s="2" t="s">
        <v>2531</v>
      </c>
      <c r="Q289" s="2" t="s">
        <v>2532</v>
      </c>
      <c r="R289" s="2" t="s">
        <v>2533</v>
      </c>
      <c r="S289" s="2" t="s">
        <v>2534</v>
      </c>
      <c r="T289" s="2" t="s">
        <v>2535</v>
      </c>
      <c r="U289" s="2" t="s">
        <v>2536</v>
      </c>
      <c r="V289" s="2" t="s">
        <v>2486</v>
      </c>
      <c r="W289" s="253"/>
      <c r="X289" s="253"/>
      <c r="Y289" s="253" t="s">
        <v>829</v>
      </c>
      <c r="Z289" s="6">
        <v>4</v>
      </c>
      <c r="AA289" s="6">
        <v>5</v>
      </c>
      <c r="AB289" s="6">
        <v>5</v>
      </c>
      <c r="AC289" s="254"/>
      <c r="AK289" s="255"/>
      <c r="AL289" s="255"/>
      <c r="AM289" s="14">
        <f>_DATA_Assessment_Model!AJ289</f>
        <v>0.9</v>
      </c>
      <c r="AN289" s="14">
        <f>_DATA_Assessment_Model!AK289</f>
        <v>0.9</v>
      </c>
      <c r="AO289" s="14">
        <f>_DATA_Assessment_Model!AL289</f>
        <v>0</v>
      </c>
      <c r="AP289" s="14">
        <f>_DATA_Assessment_Model!AM289</f>
        <v>0</v>
      </c>
      <c r="AQ289" s="14">
        <f>_DATA_Assessment_Model!AN289</f>
        <v>0</v>
      </c>
      <c r="AR289" s="14">
        <f>_DATA_Assessment_Model!AO289</f>
        <v>0</v>
      </c>
      <c r="AS289" s="14">
        <f>_DATA_Assessment_Model!AP289</f>
        <v>0</v>
      </c>
      <c r="AT289" s="14">
        <f>_DATA_Assessment_Model!AQ289</f>
        <v>0</v>
      </c>
      <c r="AU289" s="14" t="str">
        <f>_DATA_Assessment_Model!AR289</f>
        <v>Within target</v>
      </c>
      <c r="AV289" s="4">
        <f>_DATA_Assessment_Model!AS289</f>
        <v>0</v>
      </c>
      <c r="AW289" s="4">
        <f>_DATA_Assessment_Model!AT289</f>
        <v>0.9</v>
      </c>
      <c r="AX289" s="254"/>
      <c r="AY289">
        <f>_DATA_Assessment_Model!AV289</f>
        <v>0.9</v>
      </c>
    </row>
    <row r="290" spans="1:51" ht="110.4" customHeight="1">
      <c r="A290" t="s">
        <v>2473</v>
      </c>
      <c r="B290" t="s">
        <v>2473</v>
      </c>
      <c r="C290">
        <v>14</v>
      </c>
      <c r="D290" s="2" t="s">
        <v>2537</v>
      </c>
      <c r="E290" s="2" t="s">
        <v>2490</v>
      </c>
      <c r="F290" s="2" t="s">
        <v>2538</v>
      </c>
      <c r="G290" s="2" t="s">
        <v>2477</v>
      </c>
      <c r="H290" s="2" t="s">
        <v>2478</v>
      </c>
      <c r="I290" s="2" t="s">
        <v>2539</v>
      </c>
      <c r="J290" s="253">
        <v>4</v>
      </c>
      <c r="K290" s="49">
        <f>_DATA_Assessment_Model!H290</f>
        <v>0</v>
      </c>
      <c r="L290" s="3">
        <f>_DATA_Assessment_Model!I290</f>
        <v>0</v>
      </c>
      <c r="M290" s="3">
        <f>_DATA_Assessment_Model!J290</f>
        <v>4</v>
      </c>
      <c r="N290" s="3">
        <f>_DATA_Assessment_Model!K290</f>
        <v>4</v>
      </c>
      <c r="O290" s="2" t="str">
        <f>_DATA_Assessment_Model!L290</f>
        <v>Critical</v>
      </c>
      <c r="P290" s="2" t="s">
        <v>2540</v>
      </c>
      <c r="Q290" s="2" t="s">
        <v>2541</v>
      </c>
      <c r="R290" s="2" t="s">
        <v>2542</v>
      </c>
      <c r="S290" s="2" t="s">
        <v>2543</v>
      </c>
      <c r="T290" s="2" t="s">
        <v>2544</v>
      </c>
      <c r="U290" s="2" t="s">
        <v>2545</v>
      </c>
      <c r="V290" s="2" t="s">
        <v>2486</v>
      </c>
      <c r="W290" s="253"/>
      <c r="X290" s="253"/>
      <c r="Y290" s="253" t="s">
        <v>829</v>
      </c>
      <c r="Z290" s="6">
        <v>4</v>
      </c>
      <c r="AA290" s="6">
        <v>5</v>
      </c>
      <c r="AB290" s="6">
        <v>5</v>
      </c>
      <c r="AC290" s="254"/>
      <c r="AK290" s="255"/>
      <c r="AL290" s="255"/>
      <c r="AM290" s="14">
        <f>_DATA_Assessment_Model!AJ290</f>
        <v>0.9</v>
      </c>
      <c r="AN290" s="14">
        <f>_DATA_Assessment_Model!AK290</f>
        <v>0.9</v>
      </c>
      <c r="AO290" s="14">
        <f>_DATA_Assessment_Model!AL290</f>
        <v>0</v>
      </c>
      <c r="AP290" s="14">
        <f>_DATA_Assessment_Model!AM290</f>
        <v>0</v>
      </c>
      <c r="AQ290" s="14">
        <f>_DATA_Assessment_Model!AN290</f>
        <v>0</v>
      </c>
      <c r="AR290" s="14">
        <f>_DATA_Assessment_Model!AO290</f>
        <v>0</v>
      </c>
      <c r="AS290" s="14">
        <f>_DATA_Assessment_Model!AP290</f>
        <v>0</v>
      </c>
      <c r="AT290" s="14">
        <f>_DATA_Assessment_Model!AQ290</f>
        <v>0</v>
      </c>
      <c r="AU290" s="14" t="str">
        <f>_DATA_Assessment_Model!AR290</f>
        <v>Within target</v>
      </c>
      <c r="AV290" s="4">
        <f>_DATA_Assessment_Model!AS290</f>
        <v>0</v>
      </c>
      <c r="AW290" s="4">
        <f>_DATA_Assessment_Model!AT290</f>
        <v>0.9</v>
      </c>
      <c r="AX290" s="254"/>
      <c r="AY290">
        <f>_DATA_Assessment_Model!AV290</f>
        <v>0.9</v>
      </c>
    </row>
    <row r="291" spans="1:51" ht="96.65" customHeight="1">
      <c r="A291" t="s">
        <v>2473</v>
      </c>
      <c r="B291" t="s">
        <v>2473</v>
      </c>
      <c r="C291">
        <v>15</v>
      </c>
      <c r="D291" s="2" t="s">
        <v>2546</v>
      </c>
      <c r="E291" s="2" t="s">
        <v>2490</v>
      </c>
      <c r="F291" s="2" t="s">
        <v>2547</v>
      </c>
      <c r="G291" s="2" t="s">
        <v>2477</v>
      </c>
      <c r="H291" s="2" t="s">
        <v>2478</v>
      </c>
      <c r="I291" s="2" t="s">
        <v>2548</v>
      </c>
      <c r="J291" s="253">
        <v>3</v>
      </c>
      <c r="K291" s="49">
        <f>_DATA_Assessment_Model!H291</f>
        <v>0</v>
      </c>
      <c r="L291" s="3">
        <f>_DATA_Assessment_Model!I291</f>
        <v>0</v>
      </c>
      <c r="M291" s="3">
        <f>_DATA_Assessment_Model!J291</f>
        <v>3</v>
      </c>
      <c r="N291" s="3">
        <f>_DATA_Assessment_Model!K291</f>
        <v>3</v>
      </c>
      <c r="O291" s="2" t="str">
        <f>_DATA_Assessment_Model!L291</f>
        <v>Critical</v>
      </c>
      <c r="P291" s="2" t="s">
        <v>2549</v>
      </c>
      <c r="Q291" s="2" t="s">
        <v>2550</v>
      </c>
      <c r="R291" s="2" t="s">
        <v>2551</v>
      </c>
      <c r="S291" s="2" t="s">
        <v>2552</v>
      </c>
      <c r="T291" s="2" t="s">
        <v>2553</v>
      </c>
      <c r="U291" s="2" t="s">
        <v>2554</v>
      </c>
      <c r="V291" s="2" t="s">
        <v>2486</v>
      </c>
      <c r="W291" s="253"/>
      <c r="X291" s="253"/>
      <c r="Y291" s="253" t="s">
        <v>829</v>
      </c>
      <c r="Z291" s="6">
        <v>4</v>
      </c>
      <c r="AA291" s="6">
        <v>5</v>
      </c>
      <c r="AB291" s="6">
        <v>5</v>
      </c>
      <c r="AC291" s="254"/>
      <c r="AK291" s="255"/>
      <c r="AL291" s="255"/>
      <c r="AM291" s="14">
        <f>_DATA_Assessment_Model!AJ291</f>
        <v>0.9</v>
      </c>
      <c r="AN291" s="14">
        <f>_DATA_Assessment_Model!AK291</f>
        <v>0.9</v>
      </c>
      <c r="AO291" s="14">
        <f>_DATA_Assessment_Model!AL291</f>
        <v>0</v>
      </c>
      <c r="AP291" s="14">
        <f>_DATA_Assessment_Model!AM291</f>
        <v>0</v>
      </c>
      <c r="AQ291" s="14">
        <f>_DATA_Assessment_Model!AN291</f>
        <v>0</v>
      </c>
      <c r="AR291" s="14">
        <f>_DATA_Assessment_Model!AO291</f>
        <v>0</v>
      </c>
      <c r="AS291" s="14">
        <f>_DATA_Assessment_Model!AP291</f>
        <v>0</v>
      </c>
      <c r="AT291" s="14">
        <f>_DATA_Assessment_Model!AQ291</f>
        <v>0</v>
      </c>
      <c r="AU291" s="14" t="str">
        <f>_DATA_Assessment_Model!AR291</f>
        <v>Within target</v>
      </c>
      <c r="AV291" s="4">
        <f>_DATA_Assessment_Model!AS291</f>
        <v>0</v>
      </c>
      <c r="AW291" s="4">
        <f>_DATA_Assessment_Model!AT291</f>
        <v>0.9</v>
      </c>
      <c r="AX291" s="254"/>
      <c r="AY291">
        <f>_DATA_Assessment_Model!AV291</f>
        <v>0.9</v>
      </c>
    </row>
    <row r="292" spans="1:51" ht="82.85" customHeight="1">
      <c r="A292" t="s">
        <v>2473</v>
      </c>
      <c r="B292" t="s">
        <v>2473</v>
      </c>
      <c r="C292">
        <v>16</v>
      </c>
      <c r="D292" s="2" t="s">
        <v>2555</v>
      </c>
      <c r="E292" s="2" t="s">
        <v>2494</v>
      </c>
      <c r="F292" s="2" t="s">
        <v>2556</v>
      </c>
      <c r="G292" s="2" t="s">
        <v>2477</v>
      </c>
      <c r="H292" s="2" t="s">
        <v>2478</v>
      </c>
      <c r="I292" s="2" t="s">
        <v>2557</v>
      </c>
      <c r="J292" s="253">
        <v>5</v>
      </c>
      <c r="K292" s="49">
        <f>_DATA_Assessment_Model!H292</f>
        <v>0</v>
      </c>
      <c r="L292" s="3">
        <f>_DATA_Assessment_Model!I292</f>
        <v>0</v>
      </c>
      <c r="M292" s="3">
        <f>_DATA_Assessment_Model!J292</f>
        <v>5</v>
      </c>
      <c r="N292" s="3">
        <f>_DATA_Assessment_Model!K292</f>
        <v>5</v>
      </c>
      <c r="O292" s="2" t="str">
        <f>_DATA_Assessment_Model!L292</f>
        <v>Critical</v>
      </c>
      <c r="P292" s="2" t="s">
        <v>833</v>
      </c>
      <c r="Q292" s="2" t="s">
        <v>834</v>
      </c>
      <c r="R292" s="2" t="s">
        <v>835</v>
      </c>
      <c r="S292" s="2" t="s">
        <v>836</v>
      </c>
      <c r="T292" s="2" t="s">
        <v>837</v>
      </c>
      <c r="U292" s="2" t="s">
        <v>838</v>
      </c>
      <c r="V292" s="2" t="s">
        <v>2486</v>
      </c>
      <c r="W292" s="253"/>
      <c r="X292" s="253"/>
      <c r="Y292" s="253" t="s">
        <v>829</v>
      </c>
      <c r="Z292" s="6">
        <v>5</v>
      </c>
      <c r="AA292" s="6">
        <v>5</v>
      </c>
      <c r="AB292" s="6">
        <v>5</v>
      </c>
      <c r="AC292" s="254"/>
      <c r="AK292" s="255"/>
      <c r="AL292" s="255"/>
      <c r="AM292" s="14">
        <f>_DATA_Assessment_Model!AJ292</f>
        <v>0.9</v>
      </c>
      <c r="AN292" s="14">
        <f>_DATA_Assessment_Model!AK292</f>
        <v>0.9</v>
      </c>
      <c r="AO292" s="14">
        <f>_DATA_Assessment_Model!AL292</f>
        <v>0</v>
      </c>
      <c r="AP292" s="14">
        <f>_DATA_Assessment_Model!AM292</f>
        <v>0</v>
      </c>
      <c r="AQ292" s="14">
        <f>_DATA_Assessment_Model!AN292</f>
        <v>0</v>
      </c>
      <c r="AR292" s="14">
        <f>_DATA_Assessment_Model!AO292</f>
        <v>0</v>
      </c>
      <c r="AS292" s="14">
        <f>_DATA_Assessment_Model!AP292</f>
        <v>0</v>
      </c>
      <c r="AT292" s="14">
        <f>_DATA_Assessment_Model!AQ292</f>
        <v>0</v>
      </c>
      <c r="AU292" s="14" t="str">
        <f>_DATA_Assessment_Model!AR292</f>
        <v>Within target</v>
      </c>
      <c r="AV292" s="4">
        <f>_DATA_Assessment_Model!AS292</f>
        <v>0</v>
      </c>
      <c r="AW292" s="4">
        <f>_DATA_Assessment_Model!AT292</f>
        <v>0.9</v>
      </c>
      <c r="AX292" s="254"/>
      <c r="AY292">
        <f>_DATA_Assessment_Model!AV292</f>
        <v>0.9</v>
      </c>
    </row>
    <row r="293" spans="1:51" ht="96.65" customHeight="1">
      <c r="A293" t="s">
        <v>2473</v>
      </c>
      <c r="B293" t="s">
        <v>2473</v>
      </c>
      <c r="C293">
        <v>17</v>
      </c>
      <c r="D293" s="2" t="s">
        <v>2558</v>
      </c>
      <c r="E293" s="2" t="s">
        <v>2494</v>
      </c>
      <c r="F293" s="2" t="s">
        <v>2559</v>
      </c>
      <c r="G293" s="2" t="s">
        <v>2477</v>
      </c>
      <c r="H293" s="2" t="s">
        <v>2478</v>
      </c>
      <c r="I293" s="2" t="s">
        <v>2560</v>
      </c>
      <c r="J293" s="253">
        <v>3</v>
      </c>
      <c r="K293" s="49">
        <f>_DATA_Assessment_Model!H293</f>
        <v>0</v>
      </c>
      <c r="L293" s="3">
        <f>_DATA_Assessment_Model!I293</f>
        <v>0</v>
      </c>
      <c r="M293" s="3">
        <f>_DATA_Assessment_Model!J293</f>
        <v>3</v>
      </c>
      <c r="N293" s="3">
        <f>_DATA_Assessment_Model!K293</f>
        <v>3</v>
      </c>
      <c r="O293" s="2" t="str">
        <f>_DATA_Assessment_Model!L293</f>
        <v>Critical</v>
      </c>
      <c r="P293" s="2" t="s">
        <v>2561</v>
      </c>
      <c r="Q293" s="2" t="s">
        <v>2562</v>
      </c>
      <c r="R293" s="2" t="s">
        <v>2563</v>
      </c>
      <c r="S293" s="2" t="s">
        <v>2564</v>
      </c>
      <c r="T293" s="2" t="s">
        <v>2565</v>
      </c>
      <c r="U293" s="2" t="s">
        <v>2566</v>
      </c>
      <c r="V293" s="2" t="s">
        <v>2486</v>
      </c>
      <c r="W293" s="253"/>
      <c r="X293" s="253"/>
      <c r="Y293" s="253" t="s">
        <v>829</v>
      </c>
      <c r="Z293" s="6">
        <v>5</v>
      </c>
      <c r="AA293" s="6">
        <v>5</v>
      </c>
      <c r="AB293" s="6">
        <v>5</v>
      </c>
      <c r="AC293" s="254"/>
      <c r="AK293" s="255"/>
      <c r="AL293" s="255"/>
      <c r="AM293" s="14">
        <f>_DATA_Assessment_Model!AJ293</f>
        <v>0.9</v>
      </c>
      <c r="AN293" s="14">
        <f>_DATA_Assessment_Model!AK293</f>
        <v>0.9</v>
      </c>
      <c r="AO293" s="14">
        <f>_DATA_Assessment_Model!AL293</f>
        <v>0</v>
      </c>
      <c r="AP293" s="14">
        <f>_DATA_Assessment_Model!AM293</f>
        <v>0</v>
      </c>
      <c r="AQ293" s="14">
        <f>_DATA_Assessment_Model!AN293</f>
        <v>0</v>
      </c>
      <c r="AR293" s="14">
        <f>_DATA_Assessment_Model!AO293</f>
        <v>0</v>
      </c>
      <c r="AS293" s="14">
        <f>_DATA_Assessment_Model!AP293</f>
        <v>0</v>
      </c>
      <c r="AT293" s="14">
        <f>_DATA_Assessment_Model!AQ293</f>
        <v>0</v>
      </c>
      <c r="AU293" s="14" t="str">
        <f>_DATA_Assessment_Model!AR293</f>
        <v>Within target</v>
      </c>
      <c r="AV293" s="4">
        <f>_DATA_Assessment_Model!AS293</f>
        <v>0</v>
      </c>
      <c r="AW293" s="4">
        <f>_DATA_Assessment_Model!AT293</f>
        <v>0.9</v>
      </c>
      <c r="AX293" s="254"/>
      <c r="AY293">
        <f>_DATA_Assessment_Model!AV293</f>
        <v>0.9</v>
      </c>
    </row>
    <row r="294" spans="1:51" ht="96.65" customHeight="1">
      <c r="A294" t="s">
        <v>2473</v>
      </c>
      <c r="B294" t="s">
        <v>2473</v>
      </c>
      <c r="C294">
        <v>18</v>
      </c>
      <c r="D294" s="2" t="s">
        <v>2567</v>
      </c>
      <c r="E294" s="2" t="s">
        <v>2494</v>
      </c>
      <c r="F294" s="2" t="s">
        <v>2568</v>
      </c>
      <c r="G294" s="2" t="s">
        <v>2477</v>
      </c>
      <c r="H294" s="2" t="s">
        <v>2478</v>
      </c>
      <c r="I294" s="2" t="s">
        <v>2569</v>
      </c>
      <c r="J294" s="253">
        <v>4</v>
      </c>
      <c r="K294" s="49">
        <f>_DATA_Assessment_Model!H294</f>
        <v>0</v>
      </c>
      <c r="L294" s="3">
        <f>_DATA_Assessment_Model!I294</f>
        <v>0</v>
      </c>
      <c r="M294" s="3">
        <f>_DATA_Assessment_Model!J294</f>
        <v>4</v>
      </c>
      <c r="N294" s="3">
        <f>_DATA_Assessment_Model!K294</f>
        <v>4</v>
      </c>
      <c r="O294" s="2" t="str">
        <f>_DATA_Assessment_Model!L294</f>
        <v>Critical</v>
      </c>
      <c r="P294" s="2" t="s">
        <v>2570</v>
      </c>
      <c r="Q294" s="2" t="s">
        <v>2571</v>
      </c>
      <c r="R294" s="2" t="s">
        <v>2572</v>
      </c>
      <c r="S294" s="2" t="s">
        <v>2573</v>
      </c>
      <c r="T294" s="2" t="s">
        <v>2574</v>
      </c>
      <c r="U294" s="2" t="s">
        <v>2575</v>
      </c>
      <c r="V294" s="2" t="s">
        <v>2486</v>
      </c>
      <c r="W294" s="253"/>
      <c r="X294" s="253"/>
      <c r="Y294" s="253" t="s">
        <v>829</v>
      </c>
      <c r="Z294" s="6">
        <v>4</v>
      </c>
      <c r="AA294" s="6">
        <v>5</v>
      </c>
      <c r="AB294" s="6">
        <v>5</v>
      </c>
      <c r="AC294" s="254"/>
      <c r="AK294" s="255"/>
      <c r="AL294" s="255"/>
      <c r="AM294" s="14">
        <f>_DATA_Assessment_Model!AJ294</f>
        <v>0.9</v>
      </c>
      <c r="AN294" s="14">
        <f>_DATA_Assessment_Model!AK294</f>
        <v>0.9</v>
      </c>
      <c r="AO294" s="14">
        <f>_DATA_Assessment_Model!AL294</f>
        <v>0</v>
      </c>
      <c r="AP294" s="14">
        <f>_DATA_Assessment_Model!AM294</f>
        <v>0</v>
      </c>
      <c r="AQ294" s="14">
        <f>_DATA_Assessment_Model!AN294</f>
        <v>0</v>
      </c>
      <c r="AR294" s="14">
        <f>_DATA_Assessment_Model!AO294</f>
        <v>0</v>
      </c>
      <c r="AS294" s="14">
        <f>_DATA_Assessment_Model!AP294</f>
        <v>0</v>
      </c>
      <c r="AT294" s="14">
        <f>_DATA_Assessment_Model!AQ294</f>
        <v>0</v>
      </c>
      <c r="AU294" s="14" t="str">
        <f>_DATA_Assessment_Model!AR294</f>
        <v>Within target</v>
      </c>
      <c r="AV294" s="4">
        <f>_DATA_Assessment_Model!AS294</f>
        <v>0</v>
      </c>
      <c r="AW294" s="4">
        <f>_DATA_Assessment_Model!AT294</f>
        <v>0.9</v>
      </c>
      <c r="AX294" s="254"/>
      <c r="AY294">
        <f>_DATA_Assessment_Model!AV294</f>
        <v>0.9</v>
      </c>
    </row>
    <row r="295" spans="1:51" ht="110.4" customHeight="1">
      <c r="A295" t="s">
        <v>2473</v>
      </c>
      <c r="B295" t="s">
        <v>2473</v>
      </c>
      <c r="C295">
        <v>19</v>
      </c>
      <c r="D295" s="2" t="s">
        <v>2576</v>
      </c>
      <c r="E295" s="2" t="s">
        <v>2494</v>
      </c>
      <c r="F295" s="2" t="s">
        <v>2577</v>
      </c>
      <c r="G295" s="2" t="s">
        <v>2477</v>
      </c>
      <c r="H295" s="2" t="s">
        <v>2478</v>
      </c>
      <c r="I295" s="2" t="s">
        <v>2578</v>
      </c>
      <c r="J295" s="253">
        <v>3</v>
      </c>
      <c r="K295" s="49">
        <f>_DATA_Assessment_Model!H295</f>
        <v>0</v>
      </c>
      <c r="L295" s="3">
        <f>_DATA_Assessment_Model!I295</f>
        <v>0</v>
      </c>
      <c r="M295" s="3">
        <f>_DATA_Assessment_Model!J295</f>
        <v>3</v>
      </c>
      <c r="N295" s="3">
        <f>_DATA_Assessment_Model!K295</f>
        <v>3</v>
      </c>
      <c r="O295" s="2" t="str">
        <f>_DATA_Assessment_Model!L295</f>
        <v>Critical</v>
      </c>
      <c r="P295" s="2" t="s">
        <v>2579</v>
      </c>
      <c r="Q295" s="2" t="s">
        <v>2580</v>
      </c>
      <c r="R295" s="2" t="s">
        <v>2581</v>
      </c>
      <c r="S295" s="2" t="s">
        <v>2582</v>
      </c>
      <c r="T295" s="2" t="s">
        <v>2583</v>
      </c>
      <c r="U295" s="2" t="s">
        <v>2584</v>
      </c>
      <c r="V295" s="2" t="s">
        <v>2486</v>
      </c>
      <c r="W295" s="253"/>
      <c r="X295" s="253"/>
      <c r="Y295" s="253" t="s">
        <v>829</v>
      </c>
      <c r="Z295" s="6">
        <v>4</v>
      </c>
      <c r="AA295" s="6">
        <v>5</v>
      </c>
      <c r="AB295" s="6">
        <v>5</v>
      </c>
      <c r="AC295" s="254"/>
      <c r="AK295" s="255"/>
      <c r="AL295" s="255"/>
      <c r="AM295" s="14">
        <f>_DATA_Assessment_Model!AJ295</f>
        <v>0.9</v>
      </c>
      <c r="AN295" s="14">
        <f>_DATA_Assessment_Model!AK295</f>
        <v>0.9</v>
      </c>
      <c r="AO295" s="14">
        <f>_DATA_Assessment_Model!AL295</f>
        <v>0</v>
      </c>
      <c r="AP295" s="14">
        <f>_DATA_Assessment_Model!AM295</f>
        <v>0</v>
      </c>
      <c r="AQ295" s="14">
        <f>_DATA_Assessment_Model!AN295</f>
        <v>0</v>
      </c>
      <c r="AR295" s="14">
        <f>_DATA_Assessment_Model!AO295</f>
        <v>0</v>
      </c>
      <c r="AS295" s="14">
        <f>_DATA_Assessment_Model!AP295</f>
        <v>0</v>
      </c>
      <c r="AT295" s="14">
        <f>_DATA_Assessment_Model!AQ295</f>
        <v>0</v>
      </c>
      <c r="AU295" s="14" t="str">
        <f>_DATA_Assessment_Model!AR295</f>
        <v>Within target</v>
      </c>
      <c r="AV295" s="4">
        <f>_DATA_Assessment_Model!AS295</f>
        <v>0</v>
      </c>
      <c r="AW295" s="4">
        <f>_DATA_Assessment_Model!AT295</f>
        <v>0.9</v>
      </c>
      <c r="AX295" s="254"/>
      <c r="AY295">
        <f>_DATA_Assessment_Model!AV295</f>
        <v>0.9</v>
      </c>
    </row>
    <row r="296" spans="1:51" ht="69" customHeight="1">
      <c r="A296" t="s">
        <v>2473</v>
      </c>
      <c r="B296" t="s">
        <v>2473</v>
      </c>
      <c r="C296">
        <v>20</v>
      </c>
      <c r="D296" s="2" t="s">
        <v>2585</v>
      </c>
      <c r="E296" s="2" t="s">
        <v>2494</v>
      </c>
      <c r="F296" s="2" t="s">
        <v>2586</v>
      </c>
      <c r="G296" s="2" t="s">
        <v>2477</v>
      </c>
      <c r="H296" s="2" t="s">
        <v>2478</v>
      </c>
      <c r="I296" s="2" t="s">
        <v>2587</v>
      </c>
      <c r="J296" s="253">
        <v>5</v>
      </c>
      <c r="K296" s="49">
        <f>_DATA_Assessment_Model!H296</f>
        <v>0</v>
      </c>
      <c r="L296" s="3">
        <f>_DATA_Assessment_Model!I296</f>
        <v>0</v>
      </c>
      <c r="M296" s="3">
        <f>_DATA_Assessment_Model!J296</f>
        <v>5</v>
      </c>
      <c r="N296" s="3">
        <f>_DATA_Assessment_Model!K296</f>
        <v>5</v>
      </c>
      <c r="O296" s="2" t="str">
        <f>_DATA_Assessment_Model!L296</f>
        <v>Critical</v>
      </c>
      <c r="P296" s="2" t="s">
        <v>833</v>
      </c>
      <c r="Q296" s="2" t="s">
        <v>834</v>
      </c>
      <c r="R296" s="2" t="s">
        <v>835</v>
      </c>
      <c r="S296" s="2" t="s">
        <v>836</v>
      </c>
      <c r="T296" s="2" t="s">
        <v>837</v>
      </c>
      <c r="U296" s="2" t="s">
        <v>838</v>
      </c>
      <c r="V296" s="2" t="s">
        <v>2486</v>
      </c>
      <c r="W296" s="253"/>
      <c r="X296" s="253"/>
      <c r="Y296" s="253" t="s">
        <v>829</v>
      </c>
      <c r="Z296" s="6">
        <v>4</v>
      </c>
      <c r="AA296" s="6">
        <v>5</v>
      </c>
      <c r="AB296" s="6">
        <v>5</v>
      </c>
      <c r="AC296" s="254"/>
      <c r="AK296" s="255"/>
      <c r="AL296" s="255"/>
      <c r="AM296" s="14">
        <f>_DATA_Assessment_Model!AJ296</f>
        <v>0.9</v>
      </c>
      <c r="AN296" s="14">
        <f>_DATA_Assessment_Model!AK296</f>
        <v>0.9</v>
      </c>
      <c r="AO296" s="14">
        <f>_DATA_Assessment_Model!AL296</f>
        <v>0</v>
      </c>
      <c r="AP296" s="14">
        <f>_DATA_Assessment_Model!AM296</f>
        <v>0</v>
      </c>
      <c r="AQ296" s="14">
        <f>_DATA_Assessment_Model!AN296</f>
        <v>0</v>
      </c>
      <c r="AR296" s="14">
        <f>_DATA_Assessment_Model!AO296</f>
        <v>0</v>
      </c>
      <c r="AS296" s="14">
        <f>_DATA_Assessment_Model!AP296</f>
        <v>0</v>
      </c>
      <c r="AT296" s="14">
        <f>_DATA_Assessment_Model!AQ296</f>
        <v>0</v>
      </c>
      <c r="AU296" s="14" t="str">
        <f>_DATA_Assessment_Model!AR296</f>
        <v>Within target</v>
      </c>
      <c r="AV296" s="4">
        <f>_DATA_Assessment_Model!AS296</f>
        <v>0</v>
      </c>
      <c r="AW296" s="4">
        <f>_DATA_Assessment_Model!AT296</f>
        <v>0.9</v>
      </c>
      <c r="AX296" s="254"/>
      <c r="AY296">
        <f>_DATA_Assessment_Model!AV296</f>
        <v>0.9</v>
      </c>
    </row>
    <row r="297" spans="1:51" ht="82.85" customHeight="1">
      <c r="A297" t="s">
        <v>2588</v>
      </c>
      <c r="B297" t="s">
        <v>2588</v>
      </c>
      <c r="C297">
        <v>5</v>
      </c>
      <c r="D297" s="2" t="s">
        <v>2589</v>
      </c>
      <c r="E297" s="2" t="s">
        <v>2590</v>
      </c>
      <c r="F297" s="2" t="s">
        <v>2591</v>
      </c>
      <c r="G297" s="2" t="s">
        <v>2592</v>
      </c>
      <c r="H297" s="2" t="s">
        <v>2593</v>
      </c>
      <c r="I297" s="2" t="s">
        <v>2594</v>
      </c>
      <c r="J297" s="253">
        <v>5</v>
      </c>
      <c r="K297" s="49">
        <f>_DATA_Assessment_Model!H297</f>
        <v>0</v>
      </c>
      <c r="L297" s="3">
        <f>_DATA_Assessment_Model!I297</f>
        <v>0</v>
      </c>
      <c r="M297" s="3">
        <f>_DATA_Assessment_Model!J297</f>
        <v>5</v>
      </c>
      <c r="N297" s="3">
        <f>_DATA_Assessment_Model!K297</f>
        <v>5</v>
      </c>
      <c r="O297" s="2" t="str">
        <f>_DATA_Assessment_Model!L297</f>
        <v>Critical</v>
      </c>
      <c r="P297" s="2" t="s">
        <v>1051</v>
      </c>
      <c r="Q297" s="2" t="s">
        <v>1052</v>
      </c>
      <c r="R297" s="2" t="s">
        <v>1053</v>
      </c>
      <c r="S297" s="2" t="s">
        <v>1054</v>
      </c>
      <c r="T297" s="2" t="s">
        <v>1055</v>
      </c>
      <c r="U297" s="2" t="s">
        <v>1056</v>
      </c>
      <c r="V297" s="2" t="s">
        <v>2595</v>
      </c>
      <c r="W297" s="253"/>
      <c r="X297" s="253"/>
      <c r="Y297" s="253" t="s">
        <v>829</v>
      </c>
      <c r="Z297" s="6">
        <v>5</v>
      </c>
      <c r="AA297" s="6">
        <v>5</v>
      </c>
      <c r="AB297" s="6">
        <v>5</v>
      </c>
      <c r="AC297" s="254"/>
      <c r="AD297" t="s">
        <v>2590</v>
      </c>
      <c r="AE297" s="5">
        <f>_DATA_Assessment_Model!AB297</f>
        <v>6</v>
      </c>
      <c r="AF297" s="7">
        <f>_DATA_Assessment_Model!AC297</f>
        <v>0</v>
      </c>
      <c r="AG297" s="8">
        <f>_DATA_Assessment_Model!AD297</f>
        <v>0</v>
      </c>
      <c r="AH297" s="5">
        <f>_DATA_Assessment_Model!AE297</f>
        <v>6</v>
      </c>
      <c r="AI297" s="7">
        <f>_DATA_Assessment_Model!AF297</f>
        <v>5</v>
      </c>
      <c r="AJ297" s="5">
        <f>_DATA_Assessment_Model!AG297</f>
        <v>6</v>
      </c>
      <c r="AK297" s="255"/>
      <c r="AL297" s="255"/>
      <c r="AM297" s="14">
        <f>_DATA_Assessment_Model!AJ297</f>
        <v>0.9</v>
      </c>
      <c r="AN297" s="14">
        <f>_DATA_Assessment_Model!AK297</f>
        <v>0.9</v>
      </c>
      <c r="AO297" s="14">
        <f>_DATA_Assessment_Model!AL297</f>
        <v>0</v>
      </c>
      <c r="AP297" s="14">
        <f>_DATA_Assessment_Model!AM297</f>
        <v>0</v>
      </c>
      <c r="AQ297" s="14">
        <f>_DATA_Assessment_Model!AN297</f>
        <v>0</v>
      </c>
      <c r="AR297" s="14">
        <f>_DATA_Assessment_Model!AO297</f>
        <v>0</v>
      </c>
      <c r="AS297" s="14">
        <f>_DATA_Assessment_Model!AP297</f>
        <v>0</v>
      </c>
      <c r="AT297" s="14">
        <f>_DATA_Assessment_Model!AQ297</f>
        <v>0</v>
      </c>
      <c r="AU297" s="14" t="str">
        <f>_DATA_Assessment_Model!AR297</f>
        <v>Within target</v>
      </c>
      <c r="AV297" s="4">
        <f>_DATA_Assessment_Model!AS297</f>
        <v>0</v>
      </c>
      <c r="AW297" s="4">
        <f>_DATA_Assessment_Model!AT297</f>
        <v>0.9</v>
      </c>
      <c r="AX297" s="254"/>
      <c r="AY297">
        <f>_DATA_Assessment_Model!AV297</f>
        <v>0.9</v>
      </c>
    </row>
    <row r="298" spans="1:51" ht="69" customHeight="1">
      <c r="A298" t="s">
        <v>2588</v>
      </c>
      <c r="B298" t="s">
        <v>2588</v>
      </c>
      <c r="C298">
        <v>6</v>
      </c>
      <c r="D298" s="2" t="s">
        <v>2596</v>
      </c>
      <c r="E298" s="2" t="s">
        <v>2590</v>
      </c>
      <c r="F298" s="2" t="s">
        <v>2597</v>
      </c>
      <c r="G298" s="2" t="s">
        <v>2592</v>
      </c>
      <c r="H298" s="2" t="s">
        <v>2593</v>
      </c>
      <c r="I298" s="2" t="s">
        <v>2598</v>
      </c>
      <c r="J298" s="253">
        <v>5</v>
      </c>
      <c r="K298" s="49">
        <f>_DATA_Assessment_Model!H298</f>
        <v>0</v>
      </c>
      <c r="L298" s="3">
        <f>_DATA_Assessment_Model!I298</f>
        <v>0</v>
      </c>
      <c r="M298" s="3">
        <f>_DATA_Assessment_Model!J298</f>
        <v>5</v>
      </c>
      <c r="N298" s="3">
        <f>_DATA_Assessment_Model!K298</f>
        <v>5</v>
      </c>
      <c r="O298" s="2" t="str">
        <f>_DATA_Assessment_Model!L298</f>
        <v>Critical</v>
      </c>
      <c r="P298" s="2" t="s">
        <v>833</v>
      </c>
      <c r="Q298" s="2" t="s">
        <v>834</v>
      </c>
      <c r="R298" s="2" t="s">
        <v>835</v>
      </c>
      <c r="S298" s="2" t="s">
        <v>836</v>
      </c>
      <c r="T298" s="2" t="s">
        <v>837</v>
      </c>
      <c r="U298" s="2" t="s">
        <v>838</v>
      </c>
      <c r="V298" s="2" t="s">
        <v>2595</v>
      </c>
      <c r="W298" s="253"/>
      <c r="X298" s="253"/>
      <c r="Y298" s="253" t="s">
        <v>829</v>
      </c>
      <c r="Z298" s="6">
        <v>5</v>
      </c>
      <c r="AA298" s="6">
        <v>5</v>
      </c>
      <c r="AB298" s="6">
        <v>5</v>
      </c>
      <c r="AC298" s="254"/>
      <c r="AD298" t="s">
        <v>2599</v>
      </c>
      <c r="AE298" s="5">
        <f>_DATA_Assessment_Model!AB298</f>
        <v>5</v>
      </c>
      <c r="AF298" s="7">
        <f>_DATA_Assessment_Model!AC298</f>
        <v>0</v>
      </c>
      <c r="AG298" s="8">
        <f>_DATA_Assessment_Model!AD298</f>
        <v>0</v>
      </c>
      <c r="AH298" s="5">
        <f>_DATA_Assessment_Model!AE298</f>
        <v>5</v>
      </c>
      <c r="AI298" s="7">
        <f>_DATA_Assessment_Model!AF298</f>
        <v>5</v>
      </c>
      <c r="AJ298" s="5">
        <f>_DATA_Assessment_Model!AG298</f>
        <v>5</v>
      </c>
      <c r="AK298" s="255"/>
      <c r="AL298" s="255"/>
      <c r="AM298" s="14">
        <f>_DATA_Assessment_Model!AJ298</f>
        <v>0.9</v>
      </c>
      <c r="AN298" s="14">
        <f>_DATA_Assessment_Model!AK298</f>
        <v>0.9</v>
      </c>
      <c r="AO298" s="14">
        <f>_DATA_Assessment_Model!AL298</f>
        <v>0</v>
      </c>
      <c r="AP298" s="14">
        <f>_DATA_Assessment_Model!AM298</f>
        <v>0</v>
      </c>
      <c r="AQ298" s="14">
        <f>_DATA_Assessment_Model!AN298</f>
        <v>0</v>
      </c>
      <c r="AR298" s="14">
        <f>_DATA_Assessment_Model!AO298</f>
        <v>0</v>
      </c>
      <c r="AS298" s="14">
        <f>_DATA_Assessment_Model!AP298</f>
        <v>0</v>
      </c>
      <c r="AT298" s="14">
        <f>_DATA_Assessment_Model!AQ298</f>
        <v>0</v>
      </c>
      <c r="AU298" s="14" t="str">
        <f>_DATA_Assessment_Model!AR298</f>
        <v>Within target</v>
      </c>
      <c r="AV298" s="4">
        <f>_DATA_Assessment_Model!AS298</f>
        <v>0</v>
      </c>
      <c r="AW298" s="4">
        <f>_DATA_Assessment_Model!AT298</f>
        <v>0.9</v>
      </c>
      <c r="AX298" s="254"/>
      <c r="AY298">
        <f>_DATA_Assessment_Model!AV298</f>
        <v>0.9</v>
      </c>
    </row>
    <row r="299" spans="1:51" ht="82.85" customHeight="1">
      <c r="A299" t="s">
        <v>2588</v>
      </c>
      <c r="B299" t="s">
        <v>2588</v>
      </c>
      <c r="C299">
        <v>7</v>
      </c>
      <c r="D299" s="2" t="s">
        <v>2600</v>
      </c>
      <c r="E299" s="2" t="s">
        <v>2590</v>
      </c>
      <c r="F299" s="2" t="s">
        <v>2601</v>
      </c>
      <c r="G299" s="2" t="s">
        <v>2592</v>
      </c>
      <c r="H299" s="2" t="s">
        <v>2593</v>
      </c>
      <c r="I299" s="2" t="s">
        <v>2602</v>
      </c>
      <c r="J299" s="253">
        <v>3</v>
      </c>
      <c r="K299" s="49">
        <f>_DATA_Assessment_Model!H299</f>
        <v>0</v>
      </c>
      <c r="L299" s="3">
        <f>_DATA_Assessment_Model!I299</f>
        <v>0</v>
      </c>
      <c r="M299" s="3">
        <f>_DATA_Assessment_Model!J299</f>
        <v>3</v>
      </c>
      <c r="N299" s="3">
        <f>_DATA_Assessment_Model!K299</f>
        <v>3</v>
      </c>
      <c r="O299" s="2" t="str">
        <f>_DATA_Assessment_Model!L299</f>
        <v>Critical</v>
      </c>
      <c r="P299" s="2" t="s">
        <v>2603</v>
      </c>
      <c r="Q299" s="2" t="s">
        <v>2604</v>
      </c>
      <c r="R299" s="2" t="s">
        <v>2605</v>
      </c>
      <c r="S299" s="2" t="s">
        <v>2606</v>
      </c>
      <c r="T299" s="2" t="s">
        <v>2607</v>
      </c>
      <c r="U299" s="2" t="s">
        <v>2608</v>
      </c>
      <c r="V299" s="2" t="s">
        <v>2595</v>
      </c>
      <c r="W299" s="253"/>
      <c r="X299" s="253"/>
      <c r="Y299" s="253" t="s">
        <v>829</v>
      </c>
      <c r="Z299" s="6">
        <v>5</v>
      </c>
      <c r="AA299" s="6">
        <v>5</v>
      </c>
      <c r="AB299" s="6">
        <v>5</v>
      </c>
      <c r="AC299" s="254"/>
      <c r="AD299" t="s">
        <v>2609</v>
      </c>
      <c r="AE299" s="5">
        <f>_DATA_Assessment_Model!AB299</f>
        <v>6</v>
      </c>
      <c r="AF299" s="7">
        <f>_DATA_Assessment_Model!AC299</f>
        <v>0</v>
      </c>
      <c r="AG299" s="8">
        <f>_DATA_Assessment_Model!AD299</f>
        <v>0</v>
      </c>
      <c r="AH299" s="5">
        <f>_DATA_Assessment_Model!AE299</f>
        <v>6</v>
      </c>
      <c r="AI299" s="7">
        <f>_DATA_Assessment_Model!AF299</f>
        <v>5</v>
      </c>
      <c r="AJ299" s="5">
        <f>_DATA_Assessment_Model!AG299</f>
        <v>6</v>
      </c>
      <c r="AK299" s="255"/>
      <c r="AL299" s="255"/>
      <c r="AM299" s="14">
        <f>_DATA_Assessment_Model!AJ299</f>
        <v>0.9</v>
      </c>
      <c r="AN299" s="14">
        <f>_DATA_Assessment_Model!AK299</f>
        <v>0.9</v>
      </c>
      <c r="AO299" s="14">
        <f>_DATA_Assessment_Model!AL299</f>
        <v>0</v>
      </c>
      <c r="AP299" s="14">
        <f>_DATA_Assessment_Model!AM299</f>
        <v>0</v>
      </c>
      <c r="AQ299" s="14">
        <f>_DATA_Assessment_Model!AN299</f>
        <v>0</v>
      </c>
      <c r="AR299" s="14">
        <f>_DATA_Assessment_Model!AO299</f>
        <v>0</v>
      </c>
      <c r="AS299" s="14">
        <f>_DATA_Assessment_Model!AP299</f>
        <v>0</v>
      </c>
      <c r="AT299" s="14">
        <f>_DATA_Assessment_Model!AQ299</f>
        <v>0</v>
      </c>
      <c r="AU299" s="14" t="str">
        <f>_DATA_Assessment_Model!AR299</f>
        <v>Within target</v>
      </c>
      <c r="AV299" s="4">
        <f>_DATA_Assessment_Model!AS299</f>
        <v>0</v>
      </c>
      <c r="AW299" s="4">
        <f>_DATA_Assessment_Model!AT299</f>
        <v>0.9</v>
      </c>
      <c r="AX299" s="254"/>
      <c r="AY299">
        <f>_DATA_Assessment_Model!AV299</f>
        <v>0.9</v>
      </c>
    </row>
    <row r="300" spans="1:51" ht="82.85" customHeight="1">
      <c r="A300" t="s">
        <v>2588</v>
      </c>
      <c r="B300" t="s">
        <v>2588</v>
      </c>
      <c r="C300">
        <v>8</v>
      </c>
      <c r="D300" s="2" t="s">
        <v>2610</v>
      </c>
      <c r="E300" s="2" t="s">
        <v>2590</v>
      </c>
      <c r="F300" s="2" t="s">
        <v>2611</v>
      </c>
      <c r="G300" s="2" t="s">
        <v>2592</v>
      </c>
      <c r="H300" s="2" t="s">
        <v>2593</v>
      </c>
      <c r="I300" s="2" t="s">
        <v>2612</v>
      </c>
      <c r="J300" s="253">
        <v>5</v>
      </c>
      <c r="K300" s="49">
        <f>_DATA_Assessment_Model!H300</f>
        <v>0</v>
      </c>
      <c r="L300" s="3">
        <f>_DATA_Assessment_Model!I300</f>
        <v>0</v>
      </c>
      <c r="M300" s="3">
        <f>_DATA_Assessment_Model!J300</f>
        <v>5</v>
      </c>
      <c r="N300" s="3">
        <f>_DATA_Assessment_Model!K300</f>
        <v>5</v>
      </c>
      <c r="O300" s="2" t="str">
        <f>_DATA_Assessment_Model!L300</f>
        <v>Critical</v>
      </c>
      <c r="P300" s="2" t="s">
        <v>833</v>
      </c>
      <c r="Q300" s="2" t="s">
        <v>834</v>
      </c>
      <c r="R300" s="2" t="s">
        <v>835</v>
      </c>
      <c r="S300" s="2" t="s">
        <v>836</v>
      </c>
      <c r="T300" s="2" t="s">
        <v>837</v>
      </c>
      <c r="U300" s="2" t="s">
        <v>838</v>
      </c>
      <c r="V300" s="2" t="s">
        <v>2595</v>
      </c>
      <c r="W300" s="253"/>
      <c r="X300" s="253"/>
      <c r="Y300" s="253" t="s">
        <v>829</v>
      </c>
      <c r="Z300" s="6">
        <v>5</v>
      </c>
      <c r="AA300" s="6">
        <v>5</v>
      </c>
      <c r="AB300" s="6">
        <v>5</v>
      </c>
      <c r="AC300" s="254"/>
      <c r="AD300" t="s">
        <v>2613</v>
      </c>
      <c r="AE300" s="5">
        <f>_DATA_Assessment_Model!AB300</f>
        <v>6</v>
      </c>
      <c r="AF300" s="7">
        <f>_DATA_Assessment_Model!AC300</f>
        <v>0</v>
      </c>
      <c r="AG300" s="8">
        <f>_DATA_Assessment_Model!AD300</f>
        <v>0</v>
      </c>
      <c r="AH300" s="5">
        <f>_DATA_Assessment_Model!AE300</f>
        <v>6</v>
      </c>
      <c r="AI300" s="7">
        <f>_DATA_Assessment_Model!AF300</f>
        <v>5</v>
      </c>
      <c r="AJ300" s="5">
        <f>_DATA_Assessment_Model!AG300</f>
        <v>6</v>
      </c>
      <c r="AK300" s="255"/>
      <c r="AL300" s="255"/>
      <c r="AM300" s="14">
        <f>_DATA_Assessment_Model!AJ300</f>
        <v>0.9</v>
      </c>
      <c r="AN300" s="14">
        <f>_DATA_Assessment_Model!AK300</f>
        <v>0.9</v>
      </c>
      <c r="AO300" s="14">
        <f>_DATA_Assessment_Model!AL300</f>
        <v>0</v>
      </c>
      <c r="AP300" s="14">
        <f>_DATA_Assessment_Model!AM300</f>
        <v>0</v>
      </c>
      <c r="AQ300" s="14">
        <f>_DATA_Assessment_Model!AN300</f>
        <v>0</v>
      </c>
      <c r="AR300" s="14">
        <f>_DATA_Assessment_Model!AO300</f>
        <v>0</v>
      </c>
      <c r="AS300" s="14">
        <f>_DATA_Assessment_Model!AP300</f>
        <v>0</v>
      </c>
      <c r="AT300" s="14">
        <f>_DATA_Assessment_Model!AQ300</f>
        <v>0</v>
      </c>
      <c r="AU300" s="14" t="str">
        <f>_DATA_Assessment_Model!AR300</f>
        <v>Within target</v>
      </c>
      <c r="AV300" s="4">
        <f>_DATA_Assessment_Model!AS300</f>
        <v>0</v>
      </c>
      <c r="AW300" s="4">
        <f>_DATA_Assessment_Model!AT300</f>
        <v>0.9</v>
      </c>
      <c r="AX300" s="254"/>
      <c r="AY300">
        <f>_DATA_Assessment_Model!AV300</f>
        <v>0.9</v>
      </c>
    </row>
    <row r="301" spans="1:51" ht="96.65" customHeight="1">
      <c r="A301" t="s">
        <v>2588</v>
      </c>
      <c r="B301" t="s">
        <v>2588</v>
      </c>
      <c r="C301">
        <v>9</v>
      </c>
      <c r="D301" s="2" t="s">
        <v>2614</v>
      </c>
      <c r="E301" s="2" t="s">
        <v>2590</v>
      </c>
      <c r="F301" s="2" t="s">
        <v>2615</v>
      </c>
      <c r="G301" s="2" t="s">
        <v>2592</v>
      </c>
      <c r="H301" s="2" t="s">
        <v>2593</v>
      </c>
      <c r="I301" s="2" t="s">
        <v>2616</v>
      </c>
      <c r="J301" s="253">
        <v>4</v>
      </c>
      <c r="K301" s="49">
        <f>_DATA_Assessment_Model!H301</f>
        <v>0</v>
      </c>
      <c r="L301" s="3">
        <f>_DATA_Assessment_Model!I301</f>
        <v>0</v>
      </c>
      <c r="M301" s="3">
        <f>_DATA_Assessment_Model!J301</f>
        <v>4</v>
      </c>
      <c r="N301" s="3">
        <f>_DATA_Assessment_Model!K301</f>
        <v>4</v>
      </c>
      <c r="O301" s="2" t="str">
        <f>_DATA_Assessment_Model!L301</f>
        <v>Critical</v>
      </c>
      <c r="P301" s="2" t="s">
        <v>2617</v>
      </c>
      <c r="Q301" s="2" t="s">
        <v>2618</v>
      </c>
      <c r="R301" s="2" t="s">
        <v>2619</v>
      </c>
      <c r="S301" s="2" t="s">
        <v>2620</v>
      </c>
      <c r="T301" s="2" t="s">
        <v>2621</v>
      </c>
      <c r="U301" s="2" t="s">
        <v>2622</v>
      </c>
      <c r="V301" s="2" t="s">
        <v>2595</v>
      </c>
      <c r="W301" s="253"/>
      <c r="X301" s="253"/>
      <c r="Y301" s="253" t="s">
        <v>829</v>
      </c>
      <c r="Z301" s="6">
        <v>5</v>
      </c>
      <c r="AA301" s="6">
        <v>5</v>
      </c>
      <c r="AB301" s="6">
        <v>5</v>
      </c>
      <c r="AC301" s="254"/>
      <c r="AD301" t="s">
        <v>2623</v>
      </c>
      <c r="AE301" s="5">
        <f>_DATA_Assessment_Model!AB301</f>
        <v>5</v>
      </c>
      <c r="AF301" s="7">
        <f>_DATA_Assessment_Model!AC301</f>
        <v>0</v>
      </c>
      <c r="AG301" s="8">
        <f>_DATA_Assessment_Model!AD301</f>
        <v>0</v>
      </c>
      <c r="AH301" s="5">
        <f>_DATA_Assessment_Model!AE301</f>
        <v>5</v>
      </c>
      <c r="AI301" s="7">
        <f>_DATA_Assessment_Model!AF301</f>
        <v>5</v>
      </c>
      <c r="AJ301" s="5">
        <f>_DATA_Assessment_Model!AG301</f>
        <v>5</v>
      </c>
      <c r="AK301" s="255"/>
      <c r="AL301" s="255"/>
      <c r="AM301" s="14">
        <f>_DATA_Assessment_Model!AJ301</f>
        <v>0.9</v>
      </c>
      <c r="AN301" s="14">
        <f>_DATA_Assessment_Model!AK301</f>
        <v>0.9</v>
      </c>
      <c r="AO301" s="14">
        <f>_DATA_Assessment_Model!AL301</f>
        <v>0</v>
      </c>
      <c r="AP301" s="14">
        <f>_DATA_Assessment_Model!AM301</f>
        <v>0</v>
      </c>
      <c r="AQ301" s="14">
        <f>_DATA_Assessment_Model!AN301</f>
        <v>0</v>
      </c>
      <c r="AR301" s="14">
        <f>_DATA_Assessment_Model!AO301</f>
        <v>0</v>
      </c>
      <c r="AS301" s="14">
        <f>_DATA_Assessment_Model!AP301</f>
        <v>0</v>
      </c>
      <c r="AT301" s="14">
        <f>_DATA_Assessment_Model!AQ301</f>
        <v>0</v>
      </c>
      <c r="AU301" s="14" t="str">
        <f>_DATA_Assessment_Model!AR301</f>
        <v>Within target</v>
      </c>
      <c r="AV301" s="4">
        <f>_DATA_Assessment_Model!AS301</f>
        <v>0</v>
      </c>
      <c r="AW301" s="4">
        <f>_DATA_Assessment_Model!AT301</f>
        <v>0.9</v>
      </c>
      <c r="AX301" s="254"/>
      <c r="AY301">
        <f>_DATA_Assessment_Model!AV301</f>
        <v>0.9</v>
      </c>
    </row>
    <row r="302" spans="1:51" ht="82.85" customHeight="1">
      <c r="A302" t="s">
        <v>2588</v>
      </c>
      <c r="B302" t="s">
        <v>2588</v>
      </c>
      <c r="C302">
        <v>10</v>
      </c>
      <c r="D302" s="2" t="s">
        <v>2624</v>
      </c>
      <c r="E302" s="2" t="s">
        <v>2590</v>
      </c>
      <c r="F302" s="2" t="s">
        <v>2625</v>
      </c>
      <c r="G302" s="2" t="s">
        <v>2592</v>
      </c>
      <c r="H302" s="2" t="s">
        <v>2593</v>
      </c>
      <c r="I302" s="2" t="s">
        <v>2626</v>
      </c>
      <c r="J302" s="253">
        <v>3</v>
      </c>
      <c r="K302" s="49">
        <f>_DATA_Assessment_Model!H302</f>
        <v>0</v>
      </c>
      <c r="L302" s="3">
        <f>_DATA_Assessment_Model!I302</f>
        <v>0</v>
      </c>
      <c r="M302" s="3">
        <f>_DATA_Assessment_Model!J302</f>
        <v>3</v>
      </c>
      <c r="N302" s="3">
        <f>_DATA_Assessment_Model!K302</f>
        <v>3</v>
      </c>
      <c r="O302" s="2" t="str">
        <f>_DATA_Assessment_Model!L302</f>
        <v>Critical</v>
      </c>
      <c r="P302" s="2" t="s">
        <v>2627</v>
      </c>
      <c r="Q302" s="2" t="s">
        <v>2628</v>
      </c>
      <c r="R302" s="2" t="s">
        <v>2629</v>
      </c>
      <c r="S302" s="2" t="s">
        <v>2630</v>
      </c>
      <c r="T302" s="2" t="s">
        <v>2631</v>
      </c>
      <c r="U302" s="2" t="s">
        <v>2632</v>
      </c>
      <c r="V302" s="2" t="s">
        <v>2595</v>
      </c>
      <c r="W302" s="253"/>
      <c r="X302" s="253"/>
      <c r="Y302" s="253" t="s">
        <v>829</v>
      </c>
      <c r="Z302" s="6">
        <v>5</v>
      </c>
      <c r="AA302" s="6">
        <v>5</v>
      </c>
      <c r="AB302" s="6">
        <v>5</v>
      </c>
      <c r="AC302" s="254"/>
      <c r="AK302" s="255"/>
      <c r="AL302" s="255"/>
      <c r="AM302" s="14">
        <f>_DATA_Assessment_Model!AJ302</f>
        <v>0.9</v>
      </c>
      <c r="AN302" s="14">
        <f>_DATA_Assessment_Model!AK302</f>
        <v>0.9</v>
      </c>
      <c r="AO302" s="14">
        <f>_DATA_Assessment_Model!AL302</f>
        <v>0</v>
      </c>
      <c r="AP302" s="14">
        <f>_DATA_Assessment_Model!AM302</f>
        <v>0</v>
      </c>
      <c r="AQ302" s="14">
        <f>_DATA_Assessment_Model!AN302</f>
        <v>0</v>
      </c>
      <c r="AR302" s="14">
        <f>_DATA_Assessment_Model!AO302</f>
        <v>0</v>
      </c>
      <c r="AS302" s="14">
        <f>_DATA_Assessment_Model!AP302</f>
        <v>0</v>
      </c>
      <c r="AT302" s="14">
        <f>_DATA_Assessment_Model!AQ302</f>
        <v>0</v>
      </c>
      <c r="AU302" s="14" t="str">
        <f>_DATA_Assessment_Model!AR302</f>
        <v>Within target</v>
      </c>
      <c r="AV302" s="4">
        <f>_DATA_Assessment_Model!AS302</f>
        <v>0</v>
      </c>
      <c r="AW302" s="4">
        <f>_DATA_Assessment_Model!AT302</f>
        <v>0.9</v>
      </c>
      <c r="AX302" s="254"/>
      <c r="AY302">
        <f>_DATA_Assessment_Model!AV302</f>
        <v>0.9</v>
      </c>
    </row>
    <row r="303" spans="1:51" ht="82.85" customHeight="1">
      <c r="A303" t="s">
        <v>2588</v>
      </c>
      <c r="B303" t="s">
        <v>2588</v>
      </c>
      <c r="C303">
        <v>11</v>
      </c>
      <c r="D303" s="2" t="s">
        <v>2633</v>
      </c>
      <c r="E303" s="2" t="s">
        <v>2599</v>
      </c>
      <c r="F303" s="2" t="s">
        <v>2634</v>
      </c>
      <c r="G303" s="2" t="s">
        <v>2592</v>
      </c>
      <c r="H303" s="2" t="s">
        <v>2593</v>
      </c>
      <c r="I303" s="2" t="s">
        <v>2635</v>
      </c>
      <c r="J303" s="253">
        <v>5</v>
      </c>
      <c r="K303" s="49">
        <f>_DATA_Assessment_Model!H303</f>
        <v>0</v>
      </c>
      <c r="L303" s="3">
        <f>_DATA_Assessment_Model!I303</f>
        <v>0</v>
      </c>
      <c r="M303" s="3">
        <f>_DATA_Assessment_Model!J303</f>
        <v>5</v>
      </c>
      <c r="N303" s="3">
        <f>_DATA_Assessment_Model!K303</f>
        <v>5</v>
      </c>
      <c r="O303" s="2" t="str">
        <f>_DATA_Assessment_Model!L303</f>
        <v>Critical</v>
      </c>
      <c r="P303" s="2" t="s">
        <v>833</v>
      </c>
      <c r="Q303" s="2" t="s">
        <v>834</v>
      </c>
      <c r="R303" s="2" t="s">
        <v>835</v>
      </c>
      <c r="S303" s="2" t="s">
        <v>836</v>
      </c>
      <c r="T303" s="2" t="s">
        <v>837</v>
      </c>
      <c r="U303" s="2" t="s">
        <v>838</v>
      </c>
      <c r="V303" s="2" t="s">
        <v>2595</v>
      </c>
      <c r="W303" s="253"/>
      <c r="X303" s="253"/>
      <c r="Y303" s="253" t="s">
        <v>829</v>
      </c>
      <c r="Z303" s="6">
        <v>5</v>
      </c>
      <c r="AA303" s="6">
        <v>5</v>
      </c>
      <c r="AB303" s="6">
        <v>5</v>
      </c>
      <c r="AC303" s="254"/>
      <c r="AK303" s="255"/>
      <c r="AL303" s="255"/>
      <c r="AM303" s="14">
        <f>_DATA_Assessment_Model!AJ303</f>
        <v>0.9</v>
      </c>
      <c r="AN303" s="14">
        <f>_DATA_Assessment_Model!AK303</f>
        <v>0.9</v>
      </c>
      <c r="AO303" s="14">
        <f>_DATA_Assessment_Model!AL303</f>
        <v>0</v>
      </c>
      <c r="AP303" s="14">
        <f>_DATA_Assessment_Model!AM303</f>
        <v>0</v>
      </c>
      <c r="AQ303" s="14">
        <f>_DATA_Assessment_Model!AN303</f>
        <v>0</v>
      </c>
      <c r="AR303" s="14">
        <f>_DATA_Assessment_Model!AO303</f>
        <v>0</v>
      </c>
      <c r="AS303" s="14">
        <f>_DATA_Assessment_Model!AP303</f>
        <v>0</v>
      </c>
      <c r="AT303" s="14">
        <f>_DATA_Assessment_Model!AQ303</f>
        <v>0</v>
      </c>
      <c r="AU303" s="14" t="str">
        <f>_DATA_Assessment_Model!AR303</f>
        <v>Within target</v>
      </c>
      <c r="AV303" s="4">
        <f>_DATA_Assessment_Model!AS303</f>
        <v>0</v>
      </c>
      <c r="AW303" s="4">
        <f>_DATA_Assessment_Model!AT303</f>
        <v>0.9</v>
      </c>
      <c r="AX303" s="254"/>
      <c r="AY303">
        <f>_DATA_Assessment_Model!AV303</f>
        <v>0.9</v>
      </c>
    </row>
    <row r="304" spans="1:51" ht="69" customHeight="1">
      <c r="A304" t="s">
        <v>2588</v>
      </c>
      <c r="B304" t="s">
        <v>2588</v>
      </c>
      <c r="C304">
        <v>12</v>
      </c>
      <c r="D304" s="2" t="s">
        <v>2636</v>
      </c>
      <c r="E304" s="2" t="s">
        <v>2599</v>
      </c>
      <c r="F304" s="2" t="s">
        <v>2637</v>
      </c>
      <c r="G304" s="2" t="s">
        <v>2592</v>
      </c>
      <c r="H304" s="2" t="s">
        <v>2593</v>
      </c>
      <c r="I304" s="2" t="s">
        <v>2638</v>
      </c>
      <c r="J304" s="253">
        <v>5</v>
      </c>
      <c r="K304" s="49">
        <f>_DATA_Assessment_Model!H304</f>
        <v>0</v>
      </c>
      <c r="L304" s="3">
        <f>_DATA_Assessment_Model!I304</f>
        <v>0</v>
      </c>
      <c r="M304" s="3">
        <f>_DATA_Assessment_Model!J304</f>
        <v>5</v>
      </c>
      <c r="N304" s="3">
        <f>_DATA_Assessment_Model!K304</f>
        <v>5</v>
      </c>
      <c r="O304" s="2" t="str">
        <f>_DATA_Assessment_Model!L304</f>
        <v>Critical</v>
      </c>
      <c r="P304" s="2" t="s">
        <v>833</v>
      </c>
      <c r="Q304" s="2" t="s">
        <v>834</v>
      </c>
      <c r="R304" s="2" t="s">
        <v>835</v>
      </c>
      <c r="S304" s="2" t="s">
        <v>836</v>
      </c>
      <c r="T304" s="2" t="s">
        <v>837</v>
      </c>
      <c r="U304" s="2" t="s">
        <v>838</v>
      </c>
      <c r="V304" s="2" t="s">
        <v>2595</v>
      </c>
      <c r="W304" s="253"/>
      <c r="X304" s="253"/>
      <c r="Y304" s="253" t="s">
        <v>829</v>
      </c>
      <c r="Z304" s="6">
        <v>5</v>
      </c>
      <c r="AA304" s="6">
        <v>5</v>
      </c>
      <c r="AB304" s="6">
        <v>5</v>
      </c>
      <c r="AC304" s="254"/>
      <c r="AK304" s="255"/>
      <c r="AL304" s="255"/>
      <c r="AM304" s="14">
        <f>_DATA_Assessment_Model!AJ304</f>
        <v>0.9</v>
      </c>
      <c r="AN304" s="14">
        <f>_DATA_Assessment_Model!AK304</f>
        <v>0.9</v>
      </c>
      <c r="AO304" s="14">
        <f>_DATA_Assessment_Model!AL304</f>
        <v>0</v>
      </c>
      <c r="AP304" s="14">
        <f>_DATA_Assessment_Model!AM304</f>
        <v>0</v>
      </c>
      <c r="AQ304" s="14">
        <f>_DATA_Assessment_Model!AN304</f>
        <v>0</v>
      </c>
      <c r="AR304" s="14">
        <f>_DATA_Assessment_Model!AO304</f>
        <v>0</v>
      </c>
      <c r="AS304" s="14">
        <f>_DATA_Assessment_Model!AP304</f>
        <v>0</v>
      </c>
      <c r="AT304" s="14">
        <f>_DATA_Assessment_Model!AQ304</f>
        <v>0</v>
      </c>
      <c r="AU304" s="14" t="str">
        <f>_DATA_Assessment_Model!AR304</f>
        <v>Within target</v>
      </c>
      <c r="AV304" s="4">
        <f>_DATA_Assessment_Model!AS304</f>
        <v>0</v>
      </c>
      <c r="AW304" s="4">
        <f>_DATA_Assessment_Model!AT304</f>
        <v>0.9</v>
      </c>
      <c r="AX304" s="254"/>
      <c r="AY304">
        <f>_DATA_Assessment_Model!AV304</f>
        <v>0.9</v>
      </c>
    </row>
    <row r="305" spans="1:51" ht="69" customHeight="1">
      <c r="A305" t="s">
        <v>2588</v>
      </c>
      <c r="B305" t="s">
        <v>2588</v>
      </c>
      <c r="C305">
        <v>13</v>
      </c>
      <c r="D305" s="2" t="s">
        <v>2639</v>
      </c>
      <c r="E305" s="2" t="s">
        <v>2599</v>
      </c>
      <c r="F305" s="2" t="s">
        <v>2640</v>
      </c>
      <c r="G305" s="2" t="s">
        <v>2592</v>
      </c>
      <c r="H305" s="2" t="s">
        <v>2593</v>
      </c>
      <c r="I305" s="2" t="s">
        <v>2641</v>
      </c>
      <c r="J305" s="253">
        <v>5</v>
      </c>
      <c r="K305" s="49">
        <f>_DATA_Assessment_Model!H305</f>
        <v>0</v>
      </c>
      <c r="L305" s="3">
        <f>_DATA_Assessment_Model!I305</f>
        <v>0</v>
      </c>
      <c r="M305" s="3">
        <f>_DATA_Assessment_Model!J305</f>
        <v>5</v>
      </c>
      <c r="N305" s="3">
        <f>_DATA_Assessment_Model!K305</f>
        <v>5</v>
      </c>
      <c r="O305" s="2" t="str">
        <f>_DATA_Assessment_Model!L305</f>
        <v>Critical</v>
      </c>
      <c r="P305" s="2" t="s">
        <v>833</v>
      </c>
      <c r="Q305" s="2" t="s">
        <v>834</v>
      </c>
      <c r="R305" s="2" t="s">
        <v>835</v>
      </c>
      <c r="S305" s="2" t="s">
        <v>836</v>
      </c>
      <c r="T305" s="2" t="s">
        <v>837</v>
      </c>
      <c r="U305" s="2" t="s">
        <v>838</v>
      </c>
      <c r="V305" s="2" t="s">
        <v>2595</v>
      </c>
      <c r="W305" s="253"/>
      <c r="X305" s="253"/>
      <c r="Y305" s="253" t="s">
        <v>829</v>
      </c>
      <c r="Z305" s="6">
        <v>5</v>
      </c>
      <c r="AA305" s="6">
        <v>5</v>
      </c>
      <c r="AB305" s="6">
        <v>5</v>
      </c>
      <c r="AC305" s="254"/>
      <c r="AK305" s="255"/>
      <c r="AL305" s="255"/>
      <c r="AM305" s="14">
        <f>_DATA_Assessment_Model!AJ305</f>
        <v>0.9</v>
      </c>
      <c r="AN305" s="14">
        <f>_DATA_Assessment_Model!AK305</f>
        <v>0.9</v>
      </c>
      <c r="AO305" s="14">
        <f>_DATA_Assessment_Model!AL305</f>
        <v>0</v>
      </c>
      <c r="AP305" s="14">
        <f>_DATA_Assessment_Model!AM305</f>
        <v>0</v>
      </c>
      <c r="AQ305" s="14">
        <f>_DATA_Assessment_Model!AN305</f>
        <v>0</v>
      </c>
      <c r="AR305" s="14">
        <f>_DATA_Assessment_Model!AO305</f>
        <v>0</v>
      </c>
      <c r="AS305" s="14">
        <f>_DATA_Assessment_Model!AP305</f>
        <v>0</v>
      </c>
      <c r="AT305" s="14">
        <f>_DATA_Assessment_Model!AQ305</f>
        <v>0</v>
      </c>
      <c r="AU305" s="14" t="str">
        <f>_DATA_Assessment_Model!AR305</f>
        <v>Within target</v>
      </c>
      <c r="AV305" s="4">
        <f>_DATA_Assessment_Model!AS305</f>
        <v>0</v>
      </c>
      <c r="AW305" s="4">
        <f>_DATA_Assessment_Model!AT305</f>
        <v>0.9</v>
      </c>
      <c r="AX305" s="254"/>
      <c r="AY305">
        <f>_DATA_Assessment_Model!AV305</f>
        <v>0.9</v>
      </c>
    </row>
    <row r="306" spans="1:51" ht="69" customHeight="1">
      <c r="A306" t="s">
        <v>2588</v>
      </c>
      <c r="B306" t="s">
        <v>2588</v>
      </c>
      <c r="C306">
        <v>14</v>
      </c>
      <c r="D306" s="2" t="s">
        <v>2642</v>
      </c>
      <c r="E306" s="2" t="s">
        <v>2599</v>
      </c>
      <c r="F306" s="2" t="s">
        <v>2643</v>
      </c>
      <c r="G306" s="2" t="s">
        <v>2592</v>
      </c>
      <c r="H306" s="2" t="s">
        <v>2593</v>
      </c>
      <c r="I306" s="2" t="s">
        <v>2644</v>
      </c>
      <c r="J306" s="253">
        <v>5</v>
      </c>
      <c r="K306" s="49">
        <f>_DATA_Assessment_Model!H306</f>
        <v>0</v>
      </c>
      <c r="L306" s="3">
        <f>_DATA_Assessment_Model!I306</f>
        <v>0</v>
      </c>
      <c r="M306" s="3">
        <f>_DATA_Assessment_Model!J306</f>
        <v>5</v>
      </c>
      <c r="N306" s="3">
        <f>_DATA_Assessment_Model!K306</f>
        <v>5</v>
      </c>
      <c r="O306" s="2" t="str">
        <f>_DATA_Assessment_Model!L306</f>
        <v>Critical</v>
      </c>
      <c r="P306" s="2" t="s">
        <v>1069</v>
      </c>
      <c r="Q306" s="2" t="s">
        <v>1070</v>
      </c>
      <c r="R306" s="2" t="s">
        <v>1071</v>
      </c>
      <c r="S306" s="2" t="s">
        <v>1072</v>
      </c>
      <c r="T306" s="2" t="s">
        <v>1073</v>
      </c>
      <c r="U306" s="2" t="s">
        <v>1074</v>
      </c>
      <c r="V306" s="2" t="s">
        <v>2595</v>
      </c>
      <c r="W306" s="253"/>
      <c r="X306" s="253"/>
      <c r="Y306" s="253" t="s">
        <v>829</v>
      </c>
      <c r="Z306" s="6">
        <v>5</v>
      </c>
      <c r="AA306" s="6">
        <v>5</v>
      </c>
      <c r="AB306" s="6">
        <v>5</v>
      </c>
      <c r="AC306" s="254"/>
      <c r="AK306" s="255"/>
      <c r="AL306" s="255"/>
      <c r="AM306" s="14">
        <f>_DATA_Assessment_Model!AJ306</f>
        <v>0.9</v>
      </c>
      <c r="AN306" s="14">
        <f>_DATA_Assessment_Model!AK306</f>
        <v>0.9</v>
      </c>
      <c r="AO306" s="14">
        <f>_DATA_Assessment_Model!AL306</f>
        <v>0</v>
      </c>
      <c r="AP306" s="14">
        <f>_DATA_Assessment_Model!AM306</f>
        <v>0</v>
      </c>
      <c r="AQ306" s="14">
        <f>_DATA_Assessment_Model!AN306</f>
        <v>0</v>
      </c>
      <c r="AR306" s="14">
        <f>_DATA_Assessment_Model!AO306</f>
        <v>0</v>
      </c>
      <c r="AS306" s="14">
        <f>_DATA_Assessment_Model!AP306</f>
        <v>0</v>
      </c>
      <c r="AT306" s="14">
        <f>_DATA_Assessment_Model!AQ306</f>
        <v>0</v>
      </c>
      <c r="AU306" s="14" t="str">
        <f>_DATA_Assessment_Model!AR306</f>
        <v>Within target</v>
      </c>
      <c r="AV306" s="4">
        <f>_DATA_Assessment_Model!AS306</f>
        <v>0</v>
      </c>
      <c r="AW306" s="4">
        <f>_DATA_Assessment_Model!AT306</f>
        <v>0.9</v>
      </c>
      <c r="AX306" s="254"/>
      <c r="AY306">
        <f>_DATA_Assessment_Model!AV306</f>
        <v>0.9</v>
      </c>
    </row>
    <row r="307" spans="1:51" ht="69" customHeight="1">
      <c r="A307" t="s">
        <v>2588</v>
      </c>
      <c r="B307" t="s">
        <v>2588</v>
      </c>
      <c r="C307">
        <v>15</v>
      </c>
      <c r="D307" s="2" t="s">
        <v>2645</v>
      </c>
      <c r="E307" s="2" t="s">
        <v>2599</v>
      </c>
      <c r="F307" s="2" t="s">
        <v>2646</v>
      </c>
      <c r="G307" s="2" t="s">
        <v>2592</v>
      </c>
      <c r="H307" s="2" t="s">
        <v>2593</v>
      </c>
      <c r="I307" s="2" t="s">
        <v>2647</v>
      </c>
      <c r="J307" s="253">
        <v>5</v>
      </c>
      <c r="K307" s="49">
        <f>_DATA_Assessment_Model!H307</f>
        <v>0</v>
      </c>
      <c r="L307" s="3">
        <f>_DATA_Assessment_Model!I307</f>
        <v>0</v>
      </c>
      <c r="M307" s="3">
        <f>_DATA_Assessment_Model!J307</f>
        <v>5</v>
      </c>
      <c r="N307" s="3">
        <f>_DATA_Assessment_Model!K307</f>
        <v>5</v>
      </c>
      <c r="O307" s="2" t="str">
        <f>_DATA_Assessment_Model!L307</f>
        <v>Critical</v>
      </c>
      <c r="P307" s="2" t="s">
        <v>1202</v>
      </c>
      <c r="Q307" s="2" t="s">
        <v>1203</v>
      </c>
      <c r="R307" s="2" t="s">
        <v>1204</v>
      </c>
      <c r="S307" s="2" t="s">
        <v>1205</v>
      </c>
      <c r="T307" s="2" t="s">
        <v>1206</v>
      </c>
      <c r="U307" s="2" t="s">
        <v>1207</v>
      </c>
      <c r="V307" s="2" t="s">
        <v>2595</v>
      </c>
      <c r="W307" s="253"/>
      <c r="X307" s="253"/>
      <c r="Y307" s="253" t="s">
        <v>829</v>
      </c>
      <c r="Z307" s="6">
        <v>5</v>
      </c>
      <c r="AA307" s="6">
        <v>5</v>
      </c>
      <c r="AB307" s="6">
        <v>5</v>
      </c>
      <c r="AC307" s="254"/>
      <c r="AK307" s="255"/>
      <c r="AL307" s="255"/>
      <c r="AM307" s="14">
        <f>_DATA_Assessment_Model!AJ307</f>
        <v>0.9</v>
      </c>
      <c r="AN307" s="14">
        <f>_DATA_Assessment_Model!AK307</f>
        <v>0.9</v>
      </c>
      <c r="AO307" s="14">
        <f>_DATA_Assessment_Model!AL307</f>
        <v>0</v>
      </c>
      <c r="AP307" s="14">
        <f>_DATA_Assessment_Model!AM307</f>
        <v>0</v>
      </c>
      <c r="AQ307" s="14">
        <f>_DATA_Assessment_Model!AN307</f>
        <v>0</v>
      </c>
      <c r="AR307" s="14">
        <f>_DATA_Assessment_Model!AO307</f>
        <v>0</v>
      </c>
      <c r="AS307" s="14">
        <f>_DATA_Assessment_Model!AP307</f>
        <v>0</v>
      </c>
      <c r="AT307" s="14">
        <f>_DATA_Assessment_Model!AQ307</f>
        <v>0</v>
      </c>
      <c r="AU307" s="14" t="str">
        <f>_DATA_Assessment_Model!AR307</f>
        <v>Within target</v>
      </c>
      <c r="AV307" s="4">
        <f>_DATA_Assessment_Model!AS307</f>
        <v>0</v>
      </c>
      <c r="AW307" s="4">
        <f>_DATA_Assessment_Model!AT307</f>
        <v>0.9</v>
      </c>
      <c r="AX307" s="254"/>
      <c r="AY307">
        <f>_DATA_Assessment_Model!AV307</f>
        <v>0.9</v>
      </c>
    </row>
    <row r="308" spans="1:51" ht="82.85" customHeight="1">
      <c r="A308" t="s">
        <v>2588</v>
      </c>
      <c r="B308" t="s">
        <v>2588</v>
      </c>
      <c r="C308">
        <v>16</v>
      </c>
      <c r="D308" s="2" t="s">
        <v>2648</v>
      </c>
      <c r="E308" s="2" t="s">
        <v>2609</v>
      </c>
      <c r="F308" s="2" t="s">
        <v>2649</v>
      </c>
      <c r="G308" s="2" t="s">
        <v>2592</v>
      </c>
      <c r="H308" s="2" t="s">
        <v>2593</v>
      </c>
      <c r="I308" s="2" t="s">
        <v>2650</v>
      </c>
      <c r="J308" s="253">
        <v>5</v>
      </c>
      <c r="K308" s="49">
        <f>_DATA_Assessment_Model!H308</f>
        <v>0</v>
      </c>
      <c r="L308" s="3">
        <f>_DATA_Assessment_Model!I308</f>
        <v>0</v>
      </c>
      <c r="M308" s="3">
        <f>_DATA_Assessment_Model!J308</f>
        <v>5</v>
      </c>
      <c r="N308" s="3">
        <f>_DATA_Assessment_Model!K308</f>
        <v>5</v>
      </c>
      <c r="O308" s="2" t="str">
        <f>_DATA_Assessment_Model!L308</f>
        <v>Critical</v>
      </c>
      <c r="P308" s="2" t="s">
        <v>833</v>
      </c>
      <c r="Q308" s="2" t="s">
        <v>834</v>
      </c>
      <c r="R308" s="2" t="s">
        <v>835</v>
      </c>
      <c r="S308" s="2" t="s">
        <v>836</v>
      </c>
      <c r="T308" s="2" t="s">
        <v>837</v>
      </c>
      <c r="U308" s="2" t="s">
        <v>838</v>
      </c>
      <c r="V308" s="2" t="s">
        <v>2595</v>
      </c>
      <c r="W308" s="253"/>
      <c r="X308" s="253"/>
      <c r="Y308" s="253" t="s">
        <v>829</v>
      </c>
      <c r="Z308" s="6">
        <v>5</v>
      </c>
      <c r="AA308" s="6">
        <v>5</v>
      </c>
      <c r="AB308" s="6">
        <v>5</v>
      </c>
      <c r="AC308" s="254"/>
      <c r="AK308" s="255"/>
      <c r="AL308" s="255"/>
      <c r="AM308" s="14">
        <f>_DATA_Assessment_Model!AJ308</f>
        <v>0.9</v>
      </c>
      <c r="AN308" s="14">
        <f>_DATA_Assessment_Model!AK308</f>
        <v>0.9</v>
      </c>
      <c r="AO308" s="14">
        <f>_DATA_Assessment_Model!AL308</f>
        <v>0</v>
      </c>
      <c r="AP308" s="14">
        <f>_DATA_Assessment_Model!AM308</f>
        <v>0</v>
      </c>
      <c r="AQ308" s="14">
        <f>_DATA_Assessment_Model!AN308</f>
        <v>0</v>
      </c>
      <c r="AR308" s="14">
        <f>_DATA_Assessment_Model!AO308</f>
        <v>0</v>
      </c>
      <c r="AS308" s="14">
        <f>_DATA_Assessment_Model!AP308</f>
        <v>0</v>
      </c>
      <c r="AT308" s="14">
        <f>_DATA_Assessment_Model!AQ308</f>
        <v>0</v>
      </c>
      <c r="AU308" s="14" t="str">
        <f>_DATA_Assessment_Model!AR308</f>
        <v>Within target</v>
      </c>
      <c r="AV308" s="4">
        <f>_DATA_Assessment_Model!AS308</f>
        <v>0</v>
      </c>
      <c r="AW308" s="4">
        <f>_DATA_Assessment_Model!AT308</f>
        <v>0.9</v>
      </c>
      <c r="AX308" s="254"/>
      <c r="AY308">
        <f>_DATA_Assessment_Model!AV308</f>
        <v>0.9</v>
      </c>
    </row>
    <row r="309" spans="1:51" ht="69" customHeight="1">
      <c r="A309" t="s">
        <v>2588</v>
      </c>
      <c r="B309" t="s">
        <v>2588</v>
      </c>
      <c r="C309">
        <v>17</v>
      </c>
      <c r="D309" s="2" t="s">
        <v>2651</v>
      </c>
      <c r="E309" s="2" t="s">
        <v>2609</v>
      </c>
      <c r="F309" s="2" t="s">
        <v>2652</v>
      </c>
      <c r="G309" s="2" t="s">
        <v>2592</v>
      </c>
      <c r="H309" s="2" t="s">
        <v>2593</v>
      </c>
      <c r="I309" s="2" t="s">
        <v>2653</v>
      </c>
      <c r="J309" s="253">
        <v>5</v>
      </c>
      <c r="K309" s="49">
        <f>_DATA_Assessment_Model!H309</f>
        <v>0</v>
      </c>
      <c r="L309" s="3">
        <f>_DATA_Assessment_Model!I309</f>
        <v>0</v>
      </c>
      <c r="M309" s="3">
        <f>_DATA_Assessment_Model!J309</f>
        <v>5</v>
      </c>
      <c r="N309" s="3">
        <f>_DATA_Assessment_Model!K309</f>
        <v>5</v>
      </c>
      <c r="O309" s="2" t="str">
        <f>_DATA_Assessment_Model!L309</f>
        <v>Critical</v>
      </c>
      <c r="P309" s="2" t="s">
        <v>2654</v>
      </c>
      <c r="Q309" s="2" t="s">
        <v>2655</v>
      </c>
      <c r="R309" s="2" t="s">
        <v>2656</v>
      </c>
      <c r="S309" s="2" t="s">
        <v>2657</v>
      </c>
      <c r="T309" s="2" t="s">
        <v>2658</v>
      </c>
      <c r="U309" s="2" t="s">
        <v>2659</v>
      </c>
      <c r="V309" s="2" t="s">
        <v>2595</v>
      </c>
      <c r="W309" s="253"/>
      <c r="X309" s="253"/>
      <c r="Y309" s="253" t="s">
        <v>829</v>
      </c>
      <c r="Z309" s="6">
        <v>5</v>
      </c>
      <c r="AA309" s="6">
        <v>5</v>
      </c>
      <c r="AB309" s="6">
        <v>5</v>
      </c>
      <c r="AC309" s="254"/>
      <c r="AK309" s="255"/>
      <c r="AL309" s="255"/>
      <c r="AM309" s="14">
        <f>_DATA_Assessment_Model!AJ309</f>
        <v>0.9</v>
      </c>
      <c r="AN309" s="14">
        <f>_DATA_Assessment_Model!AK309</f>
        <v>0.9</v>
      </c>
      <c r="AO309" s="14">
        <f>_DATA_Assessment_Model!AL309</f>
        <v>0</v>
      </c>
      <c r="AP309" s="14">
        <f>_DATA_Assessment_Model!AM309</f>
        <v>0</v>
      </c>
      <c r="AQ309" s="14">
        <f>_DATA_Assessment_Model!AN309</f>
        <v>0</v>
      </c>
      <c r="AR309" s="14">
        <f>_DATA_Assessment_Model!AO309</f>
        <v>0</v>
      </c>
      <c r="AS309" s="14">
        <f>_DATA_Assessment_Model!AP309</f>
        <v>0</v>
      </c>
      <c r="AT309" s="14">
        <f>_DATA_Assessment_Model!AQ309</f>
        <v>0</v>
      </c>
      <c r="AU309" s="14" t="str">
        <f>_DATA_Assessment_Model!AR309</f>
        <v>Within target</v>
      </c>
      <c r="AV309" s="4">
        <f>_DATA_Assessment_Model!AS309</f>
        <v>0</v>
      </c>
      <c r="AW309" s="4">
        <f>_DATA_Assessment_Model!AT309</f>
        <v>0.9</v>
      </c>
      <c r="AX309" s="254"/>
      <c r="AY309">
        <f>_DATA_Assessment_Model!AV309</f>
        <v>0.9</v>
      </c>
    </row>
    <row r="310" spans="1:51" ht="69" customHeight="1">
      <c r="A310" t="s">
        <v>2588</v>
      </c>
      <c r="B310" t="s">
        <v>2588</v>
      </c>
      <c r="C310">
        <v>18</v>
      </c>
      <c r="D310" s="2" t="s">
        <v>2660</v>
      </c>
      <c r="E310" s="2" t="s">
        <v>2609</v>
      </c>
      <c r="F310" s="2" t="s">
        <v>2661</v>
      </c>
      <c r="G310" s="2" t="s">
        <v>2592</v>
      </c>
      <c r="H310" s="2" t="s">
        <v>2593</v>
      </c>
      <c r="I310" s="2" t="s">
        <v>2662</v>
      </c>
      <c r="J310" s="253">
        <v>5</v>
      </c>
      <c r="K310" s="49">
        <f>_DATA_Assessment_Model!H310</f>
        <v>0</v>
      </c>
      <c r="L310" s="3">
        <f>_DATA_Assessment_Model!I310</f>
        <v>0</v>
      </c>
      <c r="M310" s="3">
        <f>_DATA_Assessment_Model!J310</f>
        <v>5</v>
      </c>
      <c r="N310" s="3">
        <f>_DATA_Assessment_Model!K310</f>
        <v>5</v>
      </c>
      <c r="O310" s="2" t="str">
        <f>_DATA_Assessment_Model!L310</f>
        <v>Critical</v>
      </c>
      <c r="P310" s="2" t="s">
        <v>874</v>
      </c>
      <c r="Q310" s="2" t="s">
        <v>875</v>
      </c>
      <c r="R310" s="2" t="s">
        <v>876</v>
      </c>
      <c r="S310" s="2" t="s">
        <v>877</v>
      </c>
      <c r="T310" s="2" t="s">
        <v>878</v>
      </c>
      <c r="U310" s="2" t="s">
        <v>879</v>
      </c>
      <c r="V310" s="2" t="s">
        <v>2595</v>
      </c>
      <c r="W310" s="253"/>
      <c r="X310" s="253"/>
      <c r="Y310" s="253" t="s">
        <v>829</v>
      </c>
      <c r="Z310" s="6">
        <v>5</v>
      </c>
      <c r="AA310" s="6">
        <v>5</v>
      </c>
      <c r="AB310" s="6">
        <v>5</v>
      </c>
      <c r="AC310" s="254"/>
      <c r="AK310" s="255"/>
      <c r="AL310" s="255"/>
      <c r="AM310" s="14">
        <f>_DATA_Assessment_Model!AJ310</f>
        <v>0.9</v>
      </c>
      <c r="AN310" s="14">
        <f>_DATA_Assessment_Model!AK310</f>
        <v>0.9</v>
      </c>
      <c r="AO310" s="14">
        <f>_DATA_Assessment_Model!AL310</f>
        <v>0</v>
      </c>
      <c r="AP310" s="14">
        <f>_DATA_Assessment_Model!AM310</f>
        <v>0</v>
      </c>
      <c r="AQ310" s="14">
        <f>_DATA_Assessment_Model!AN310</f>
        <v>0</v>
      </c>
      <c r="AR310" s="14">
        <f>_DATA_Assessment_Model!AO310</f>
        <v>0</v>
      </c>
      <c r="AS310" s="14">
        <f>_DATA_Assessment_Model!AP310</f>
        <v>0</v>
      </c>
      <c r="AT310" s="14">
        <f>_DATA_Assessment_Model!AQ310</f>
        <v>0</v>
      </c>
      <c r="AU310" s="14" t="str">
        <f>_DATA_Assessment_Model!AR310</f>
        <v>Within target</v>
      </c>
      <c r="AV310" s="4">
        <f>_DATA_Assessment_Model!AS310</f>
        <v>0</v>
      </c>
      <c r="AW310" s="4">
        <f>_DATA_Assessment_Model!AT310</f>
        <v>0.9</v>
      </c>
      <c r="AX310" s="254"/>
      <c r="AY310">
        <f>_DATA_Assessment_Model!AV310</f>
        <v>0.9</v>
      </c>
    </row>
    <row r="311" spans="1:51" ht="69" customHeight="1">
      <c r="A311" t="s">
        <v>2588</v>
      </c>
      <c r="B311" t="s">
        <v>2588</v>
      </c>
      <c r="C311">
        <v>19</v>
      </c>
      <c r="D311" s="2" t="s">
        <v>2663</v>
      </c>
      <c r="E311" s="2" t="s">
        <v>2609</v>
      </c>
      <c r="F311" s="2" t="s">
        <v>2664</v>
      </c>
      <c r="G311" s="2" t="s">
        <v>2592</v>
      </c>
      <c r="H311" s="2" t="s">
        <v>2593</v>
      </c>
      <c r="I311" s="2" t="s">
        <v>2665</v>
      </c>
      <c r="J311" s="253">
        <v>5</v>
      </c>
      <c r="K311" s="49">
        <f>_DATA_Assessment_Model!H311</f>
        <v>0</v>
      </c>
      <c r="L311" s="3">
        <f>_DATA_Assessment_Model!I311</f>
        <v>0</v>
      </c>
      <c r="M311" s="3">
        <f>_DATA_Assessment_Model!J311</f>
        <v>5</v>
      </c>
      <c r="N311" s="3">
        <f>_DATA_Assessment_Model!K311</f>
        <v>5</v>
      </c>
      <c r="O311" s="2" t="str">
        <f>_DATA_Assessment_Model!L311</f>
        <v>Critical</v>
      </c>
      <c r="P311" s="2" t="s">
        <v>1202</v>
      </c>
      <c r="Q311" s="2" t="s">
        <v>1203</v>
      </c>
      <c r="R311" s="2" t="s">
        <v>1204</v>
      </c>
      <c r="S311" s="2" t="s">
        <v>1205</v>
      </c>
      <c r="T311" s="2" t="s">
        <v>1206</v>
      </c>
      <c r="U311" s="2" t="s">
        <v>1207</v>
      </c>
      <c r="V311" s="2" t="s">
        <v>2595</v>
      </c>
      <c r="W311" s="253"/>
      <c r="X311" s="253"/>
      <c r="Y311" s="253" t="s">
        <v>829</v>
      </c>
      <c r="Z311" s="6">
        <v>5</v>
      </c>
      <c r="AA311" s="6">
        <v>5</v>
      </c>
      <c r="AB311" s="6">
        <v>5</v>
      </c>
      <c r="AC311" s="254"/>
      <c r="AK311" s="255"/>
      <c r="AL311" s="255"/>
      <c r="AM311" s="14">
        <f>_DATA_Assessment_Model!AJ311</f>
        <v>0.9</v>
      </c>
      <c r="AN311" s="14">
        <f>_DATA_Assessment_Model!AK311</f>
        <v>0.9</v>
      </c>
      <c r="AO311" s="14">
        <f>_DATA_Assessment_Model!AL311</f>
        <v>0</v>
      </c>
      <c r="AP311" s="14">
        <f>_DATA_Assessment_Model!AM311</f>
        <v>0</v>
      </c>
      <c r="AQ311" s="14">
        <f>_DATA_Assessment_Model!AN311</f>
        <v>0</v>
      </c>
      <c r="AR311" s="14">
        <f>_DATA_Assessment_Model!AO311</f>
        <v>0</v>
      </c>
      <c r="AS311" s="14">
        <f>_DATA_Assessment_Model!AP311</f>
        <v>0</v>
      </c>
      <c r="AT311" s="14">
        <f>_DATA_Assessment_Model!AQ311</f>
        <v>0</v>
      </c>
      <c r="AU311" s="14" t="str">
        <f>_DATA_Assessment_Model!AR311</f>
        <v>Within target</v>
      </c>
      <c r="AV311" s="4">
        <f>_DATA_Assessment_Model!AS311</f>
        <v>0</v>
      </c>
      <c r="AW311" s="4">
        <f>_DATA_Assessment_Model!AT311</f>
        <v>0.9</v>
      </c>
      <c r="AX311" s="254"/>
      <c r="AY311">
        <f>_DATA_Assessment_Model!AV311</f>
        <v>0.9</v>
      </c>
    </row>
    <row r="312" spans="1:51" ht="69" customHeight="1">
      <c r="A312" t="s">
        <v>2588</v>
      </c>
      <c r="B312" t="s">
        <v>2588</v>
      </c>
      <c r="C312">
        <v>20</v>
      </c>
      <c r="D312" s="2" t="s">
        <v>2666</v>
      </c>
      <c r="E312" s="2" t="s">
        <v>2609</v>
      </c>
      <c r="F312" s="2" t="s">
        <v>2667</v>
      </c>
      <c r="G312" s="2" t="s">
        <v>2592</v>
      </c>
      <c r="H312" s="2" t="s">
        <v>2593</v>
      </c>
      <c r="I312" s="2" t="s">
        <v>2668</v>
      </c>
      <c r="J312" s="253">
        <v>5</v>
      </c>
      <c r="K312" s="49">
        <f>_DATA_Assessment_Model!H312</f>
        <v>0</v>
      </c>
      <c r="L312" s="3">
        <f>_DATA_Assessment_Model!I312</f>
        <v>0</v>
      </c>
      <c r="M312" s="3">
        <f>_DATA_Assessment_Model!J312</f>
        <v>5</v>
      </c>
      <c r="N312" s="3">
        <f>_DATA_Assessment_Model!K312</f>
        <v>5</v>
      </c>
      <c r="O312" s="2" t="str">
        <f>_DATA_Assessment_Model!L312</f>
        <v>Critical</v>
      </c>
      <c r="P312" s="2" t="s">
        <v>833</v>
      </c>
      <c r="Q312" s="2" t="s">
        <v>834</v>
      </c>
      <c r="R312" s="2" t="s">
        <v>835</v>
      </c>
      <c r="S312" s="2" t="s">
        <v>836</v>
      </c>
      <c r="T312" s="2" t="s">
        <v>837</v>
      </c>
      <c r="U312" s="2" t="s">
        <v>838</v>
      </c>
      <c r="V312" s="2" t="s">
        <v>2595</v>
      </c>
      <c r="W312" s="253"/>
      <c r="X312" s="253"/>
      <c r="Y312" s="253" t="s">
        <v>829</v>
      </c>
      <c r="Z312" s="6">
        <v>5</v>
      </c>
      <c r="AA312" s="6">
        <v>5</v>
      </c>
      <c r="AB312" s="6">
        <v>5</v>
      </c>
      <c r="AC312" s="254"/>
      <c r="AK312" s="255"/>
      <c r="AL312" s="255"/>
      <c r="AM312" s="14">
        <f>_DATA_Assessment_Model!AJ312</f>
        <v>0.9</v>
      </c>
      <c r="AN312" s="14">
        <f>_DATA_Assessment_Model!AK312</f>
        <v>0.9</v>
      </c>
      <c r="AO312" s="14">
        <f>_DATA_Assessment_Model!AL312</f>
        <v>0</v>
      </c>
      <c r="AP312" s="14">
        <f>_DATA_Assessment_Model!AM312</f>
        <v>0</v>
      </c>
      <c r="AQ312" s="14">
        <f>_DATA_Assessment_Model!AN312</f>
        <v>0</v>
      </c>
      <c r="AR312" s="14">
        <f>_DATA_Assessment_Model!AO312</f>
        <v>0</v>
      </c>
      <c r="AS312" s="14">
        <f>_DATA_Assessment_Model!AP312</f>
        <v>0</v>
      </c>
      <c r="AT312" s="14">
        <f>_DATA_Assessment_Model!AQ312</f>
        <v>0</v>
      </c>
      <c r="AU312" s="14" t="str">
        <f>_DATA_Assessment_Model!AR312</f>
        <v>Within target</v>
      </c>
      <c r="AV312" s="4">
        <f>_DATA_Assessment_Model!AS312</f>
        <v>0</v>
      </c>
      <c r="AW312" s="4">
        <f>_DATA_Assessment_Model!AT312</f>
        <v>0.9</v>
      </c>
      <c r="AX312" s="254"/>
      <c r="AY312">
        <f>_DATA_Assessment_Model!AV312</f>
        <v>0.9</v>
      </c>
    </row>
    <row r="313" spans="1:51" ht="69" customHeight="1">
      <c r="A313" t="s">
        <v>2588</v>
      </c>
      <c r="B313" t="s">
        <v>2588</v>
      </c>
      <c r="C313">
        <v>21</v>
      </c>
      <c r="D313" s="2" t="s">
        <v>2669</v>
      </c>
      <c r="E313" s="2" t="s">
        <v>2609</v>
      </c>
      <c r="F313" s="2" t="s">
        <v>2670</v>
      </c>
      <c r="G313" s="2" t="s">
        <v>2592</v>
      </c>
      <c r="H313" s="2" t="s">
        <v>2593</v>
      </c>
      <c r="I313" s="2" t="s">
        <v>2671</v>
      </c>
      <c r="J313" s="253">
        <v>5</v>
      </c>
      <c r="K313" s="49">
        <f>_DATA_Assessment_Model!H313</f>
        <v>0</v>
      </c>
      <c r="L313" s="3">
        <f>_DATA_Assessment_Model!I313</f>
        <v>0</v>
      </c>
      <c r="M313" s="3">
        <f>_DATA_Assessment_Model!J313</f>
        <v>5</v>
      </c>
      <c r="N313" s="3">
        <f>_DATA_Assessment_Model!K313</f>
        <v>5</v>
      </c>
      <c r="O313" s="2" t="str">
        <f>_DATA_Assessment_Model!L313</f>
        <v>Critical</v>
      </c>
      <c r="P313" s="2" t="s">
        <v>833</v>
      </c>
      <c r="Q313" s="2" t="s">
        <v>834</v>
      </c>
      <c r="R313" s="2" t="s">
        <v>835</v>
      </c>
      <c r="S313" s="2" t="s">
        <v>836</v>
      </c>
      <c r="T313" s="2" t="s">
        <v>837</v>
      </c>
      <c r="U313" s="2" t="s">
        <v>838</v>
      </c>
      <c r="V313" s="2" t="s">
        <v>2595</v>
      </c>
      <c r="W313" s="253"/>
      <c r="X313" s="253"/>
      <c r="Y313" s="253" t="s">
        <v>829</v>
      </c>
      <c r="Z313" s="6">
        <v>5</v>
      </c>
      <c r="AA313" s="6">
        <v>5</v>
      </c>
      <c r="AB313" s="6">
        <v>5</v>
      </c>
      <c r="AC313" s="254"/>
      <c r="AK313" s="255"/>
      <c r="AL313" s="255"/>
      <c r="AM313" s="14">
        <f>_DATA_Assessment_Model!AJ313</f>
        <v>0.9</v>
      </c>
      <c r="AN313" s="14">
        <f>_DATA_Assessment_Model!AK313</f>
        <v>0.9</v>
      </c>
      <c r="AO313" s="14">
        <f>_DATA_Assessment_Model!AL313</f>
        <v>0</v>
      </c>
      <c r="AP313" s="14">
        <f>_DATA_Assessment_Model!AM313</f>
        <v>0</v>
      </c>
      <c r="AQ313" s="14">
        <f>_DATA_Assessment_Model!AN313</f>
        <v>0</v>
      </c>
      <c r="AR313" s="14">
        <f>_DATA_Assessment_Model!AO313</f>
        <v>0</v>
      </c>
      <c r="AS313" s="14">
        <f>_DATA_Assessment_Model!AP313</f>
        <v>0</v>
      </c>
      <c r="AT313" s="14">
        <f>_DATA_Assessment_Model!AQ313</f>
        <v>0</v>
      </c>
      <c r="AU313" s="14" t="str">
        <f>_DATA_Assessment_Model!AR313</f>
        <v>Within target</v>
      </c>
      <c r="AV313" s="4">
        <f>_DATA_Assessment_Model!AS313</f>
        <v>0</v>
      </c>
      <c r="AW313" s="4">
        <f>_DATA_Assessment_Model!AT313</f>
        <v>0.9</v>
      </c>
      <c r="AX313" s="254"/>
      <c r="AY313">
        <f>_DATA_Assessment_Model!AV313</f>
        <v>0.9</v>
      </c>
    </row>
    <row r="314" spans="1:51" ht="69" customHeight="1">
      <c r="A314" t="s">
        <v>2588</v>
      </c>
      <c r="B314" t="s">
        <v>2588</v>
      </c>
      <c r="C314">
        <v>22</v>
      </c>
      <c r="D314" s="2" t="s">
        <v>2672</v>
      </c>
      <c r="E314" s="2" t="s">
        <v>2613</v>
      </c>
      <c r="F314" s="2" t="s">
        <v>2673</v>
      </c>
      <c r="G314" s="2" t="s">
        <v>2592</v>
      </c>
      <c r="H314" s="2" t="s">
        <v>2593</v>
      </c>
      <c r="I314" s="2" t="s">
        <v>2674</v>
      </c>
      <c r="J314" s="253">
        <v>5</v>
      </c>
      <c r="K314" s="49">
        <f>_DATA_Assessment_Model!H314</f>
        <v>0</v>
      </c>
      <c r="L314" s="3">
        <f>_DATA_Assessment_Model!I314</f>
        <v>0</v>
      </c>
      <c r="M314" s="3">
        <f>_DATA_Assessment_Model!J314</f>
        <v>5</v>
      </c>
      <c r="N314" s="3">
        <f>_DATA_Assessment_Model!K314</f>
        <v>5</v>
      </c>
      <c r="O314" s="2" t="str">
        <f>_DATA_Assessment_Model!L314</f>
        <v>Critical</v>
      </c>
      <c r="P314" s="2" t="s">
        <v>833</v>
      </c>
      <c r="Q314" s="2" t="s">
        <v>834</v>
      </c>
      <c r="R314" s="2" t="s">
        <v>835</v>
      </c>
      <c r="S314" s="2" t="s">
        <v>836</v>
      </c>
      <c r="T314" s="2" t="s">
        <v>837</v>
      </c>
      <c r="U314" s="2" t="s">
        <v>838</v>
      </c>
      <c r="V314" s="2" t="s">
        <v>2595</v>
      </c>
      <c r="W314" s="253"/>
      <c r="X314" s="253"/>
      <c r="Y314" s="253" t="s">
        <v>829</v>
      </c>
      <c r="Z314" s="6">
        <v>5</v>
      </c>
      <c r="AA314" s="6">
        <v>5</v>
      </c>
      <c r="AB314" s="6">
        <v>5</v>
      </c>
      <c r="AC314" s="254"/>
      <c r="AK314" s="255"/>
      <c r="AL314" s="255"/>
      <c r="AM314" s="14">
        <f>_DATA_Assessment_Model!AJ314</f>
        <v>0.9</v>
      </c>
      <c r="AN314" s="14">
        <f>_DATA_Assessment_Model!AK314</f>
        <v>0.9</v>
      </c>
      <c r="AO314" s="14">
        <f>_DATA_Assessment_Model!AL314</f>
        <v>0</v>
      </c>
      <c r="AP314" s="14">
        <f>_DATA_Assessment_Model!AM314</f>
        <v>0</v>
      </c>
      <c r="AQ314" s="14">
        <f>_DATA_Assessment_Model!AN314</f>
        <v>0</v>
      </c>
      <c r="AR314" s="14">
        <f>_DATA_Assessment_Model!AO314</f>
        <v>0</v>
      </c>
      <c r="AS314" s="14">
        <f>_DATA_Assessment_Model!AP314</f>
        <v>0</v>
      </c>
      <c r="AT314" s="14">
        <f>_DATA_Assessment_Model!AQ314</f>
        <v>0</v>
      </c>
      <c r="AU314" s="14" t="str">
        <f>_DATA_Assessment_Model!AR314</f>
        <v>Within target</v>
      </c>
      <c r="AV314" s="4">
        <f>_DATA_Assessment_Model!AS314</f>
        <v>0</v>
      </c>
      <c r="AW314" s="4">
        <f>_DATA_Assessment_Model!AT314</f>
        <v>0.9</v>
      </c>
      <c r="AX314" s="254"/>
      <c r="AY314">
        <f>_DATA_Assessment_Model!AV314</f>
        <v>0.9</v>
      </c>
    </row>
    <row r="315" spans="1:51" ht="96.65" customHeight="1">
      <c r="A315" t="s">
        <v>2588</v>
      </c>
      <c r="B315" t="s">
        <v>2588</v>
      </c>
      <c r="C315">
        <v>23</v>
      </c>
      <c r="D315" s="2" t="s">
        <v>2675</v>
      </c>
      <c r="E315" s="2" t="s">
        <v>2613</v>
      </c>
      <c r="F315" s="2" t="s">
        <v>2676</v>
      </c>
      <c r="G315" s="2" t="s">
        <v>2592</v>
      </c>
      <c r="H315" s="2" t="s">
        <v>2593</v>
      </c>
      <c r="I315" s="2" t="s">
        <v>2677</v>
      </c>
      <c r="J315" s="253">
        <v>3</v>
      </c>
      <c r="K315" s="49">
        <f>_DATA_Assessment_Model!H315</f>
        <v>0</v>
      </c>
      <c r="L315" s="3">
        <f>_DATA_Assessment_Model!I315</f>
        <v>0</v>
      </c>
      <c r="M315" s="3">
        <f>_DATA_Assessment_Model!J315</f>
        <v>3</v>
      </c>
      <c r="N315" s="3">
        <f>_DATA_Assessment_Model!K315</f>
        <v>3</v>
      </c>
      <c r="O315" s="2" t="str">
        <f>_DATA_Assessment_Model!L315</f>
        <v>Critical</v>
      </c>
      <c r="P315" s="2" t="s">
        <v>2678</v>
      </c>
      <c r="Q315" s="2" t="s">
        <v>2679</v>
      </c>
      <c r="R315" s="2" t="s">
        <v>2680</v>
      </c>
      <c r="S315" s="2" t="s">
        <v>2681</v>
      </c>
      <c r="T315" s="2" t="s">
        <v>2682</v>
      </c>
      <c r="U315" s="2" t="s">
        <v>2683</v>
      </c>
      <c r="V315" s="2" t="s">
        <v>2595</v>
      </c>
      <c r="W315" s="253"/>
      <c r="X315" s="253"/>
      <c r="Y315" s="253" t="s">
        <v>829</v>
      </c>
      <c r="Z315" s="6">
        <v>5</v>
      </c>
      <c r="AA315" s="6">
        <v>5</v>
      </c>
      <c r="AB315" s="6">
        <v>5</v>
      </c>
      <c r="AC315" s="254"/>
      <c r="AK315" s="255"/>
      <c r="AL315" s="255"/>
      <c r="AM315" s="14">
        <f>_DATA_Assessment_Model!AJ315</f>
        <v>0.9</v>
      </c>
      <c r="AN315" s="14">
        <f>_DATA_Assessment_Model!AK315</f>
        <v>0.9</v>
      </c>
      <c r="AO315" s="14">
        <f>_DATA_Assessment_Model!AL315</f>
        <v>0</v>
      </c>
      <c r="AP315" s="14">
        <f>_DATA_Assessment_Model!AM315</f>
        <v>0</v>
      </c>
      <c r="AQ315" s="14">
        <f>_DATA_Assessment_Model!AN315</f>
        <v>0</v>
      </c>
      <c r="AR315" s="14">
        <f>_DATA_Assessment_Model!AO315</f>
        <v>0</v>
      </c>
      <c r="AS315" s="14">
        <f>_DATA_Assessment_Model!AP315</f>
        <v>0</v>
      </c>
      <c r="AT315" s="14">
        <f>_DATA_Assessment_Model!AQ315</f>
        <v>0</v>
      </c>
      <c r="AU315" s="14" t="str">
        <f>_DATA_Assessment_Model!AR315</f>
        <v>Within target</v>
      </c>
      <c r="AV315" s="4">
        <f>_DATA_Assessment_Model!AS315</f>
        <v>0</v>
      </c>
      <c r="AW315" s="4">
        <f>_DATA_Assessment_Model!AT315</f>
        <v>0.9</v>
      </c>
      <c r="AX315" s="254"/>
      <c r="AY315">
        <f>_DATA_Assessment_Model!AV315</f>
        <v>0.9</v>
      </c>
    </row>
    <row r="316" spans="1:51" ht="96.65" customHeight="1">
      <c r="A316" t="s">
        <v>2588</v>
      </c>
      <c r="B316" t="s">
        <v>2588</v>
      </c>
      <c r="C316">
        <v>24</v>
      </c>
      <c r="D316" s="2" t="s">
        <v>2684</v>
      </c>
      <c r="E316" s="2" t="s">
        <v>2613</v>
      </c>
      <c r="F316" s="2" t="s">
        <v>2685</v>
      </c>
      <c r="G316" s="2" t="s">
        <v>2592</v>
      </c>
      <c r="H316" s="2" t="s">
        <v>2593</v>
      </c>
      <c r="I316" s="2" t="s">
        <v>2686</v>
      </c>
      <c r="J316" s="253">
        <v>3</v>
      </c>
      <c r="K316" s="49">
        <f>_DATA_Assessment_Model!H316</f>
        <v>0</v>
      </c>
      <c r="L316" s="3">
        <f>_DATA_Assessment_Model!I316</f>
        <v>0</v>
      </c>
      <c r="M316" s="3">
        <f>_DATA_Assessment_Model!J316</f>
        <v>3</v>
      </c>
      <c r="N316" s="3">
        <f>_DATA_Assessment_Model!K316</f>
        <v>3</v>
      </c>
      <c r="O316" s="2" t="str">
        <f>_DATA_Assessment_Model!L316</f>
        <v>Critical</v>
      </c>
      <c r="P316" s="2" t="s">
        <v>2687</v>
      </c>
      <c r="Q316" s="2" t="s">
        <v>2688</v>
      </c>
      <c r="R316" s="2" t="s">
        <v>2689</v>
      </c>
      <c r="S316" s="2" t="s">
        <v>2690</v>
      </c>
      <c r="T316" s="2" t="s">
        <v>2691</v>
      </c>
      <c r="U316" s="2" t="s">
        <v>2692</v>
      </c>
      <c r="V316" s="2" t="s">
        <v>2595</v>
      </c>
      <c r="W316" s="253"/>
      <c r="X316" s="253"/>
      <c r="Y316" s="253" t="s">
        <v>829</v>
      </c>
      <c r="Z316" s="6">
        <v>5</v>
      </c>
      <c r="AA316" s="6">
        <v>5</v>
      </c>
      <c r="AB316" s="6">
        <v>5</v>
      </c>
      <c r="AC316" s="254"/>
      <c r="AK316" s="255"/>
      <c r="AL316" s="255"/>
      <c r="AM316" s="14">
        <f>_DATA_Assessment_Model!AJ316</f>
        <v>0.9</v>
      </c>
      <c r="AN316" s="14">
        <f>_DATA_Assessment_Model!AK316</f>
        <v>0.9</v>
      </c>
      <c r="AO316" s="14">
        <f>_DATA_Assessment_Model!AL316</f>
        <v>0</v>
      </c>
      <c r="AP316" s="14">
        <f>_DATA_Assessment_Model!AM316</f>
        <v>0</v>
      </c>
      <c r="AQ316" s="14">
        <f>_DATA_Assessment_Model!AN316</f>
        <v>0</v>
      </c>
      <c r="AR316" s="14">
        <f>_DATA_Assessment_Model!AO316</f>
        <v>0</v>
      </c>
      <c r="AS316" s="14">
        <f>_DATA_Assessment_Model!AP316</f>
        <v>0</v>
      </c>
      <c r="AT316" s="14">
        <f>_DATA_Assessment_Model!AQ316</f>
        <v>0</v>
      </c>
      <c r="AU316" s="14" t="str">
        <f>_DATA_Assessment_Model!AR316</f>
        <v>Within target</v>
      </c>
      <c r="AV316" s="4">
        <f>_DATA_Assessment_Model!AS316</f>
        <v>0</v>
      </c>
      <c r="AW316" s="4">
        <f>_DATA_Assessment_Model!AT316</f>
        <v>0.9</v>
      </c>
      <c r="AX316" s="254"/>
      <c r="AY316">
        <f>_DATA_Assessment_Model!AV316</f>
        <v>0.9</v>
      </c>
    </row>
    <row r="317" spans="1:51" ht="69" customHeight="1">
      <c r="A317" t="s">
        <v>2588</v>
      </c>
      <c r="B317" t="s">
        <v>2588</v>
      </c>
      <c r="C317">
        <v>25</v>
      </c>
      <c r="D317" s="2" t="s">
        <v>2693</v>
      </c>
      <c r="E317" s="2" t="s">
        <v>2613</v>
      </c>
      <c r="F317" s="2" t="s">
        <v>2694</v>
      </c>
      <c r="G317" s="2" t="s">
        <v>2592</v>
      </c>
      <c r="H317" s="2" t="s">
        <v>2593</v>
      </c>
      <c r="I317" s="2" t="s">
        <v>2695</v>
      </c>
      <c r="J317" s="253">
        <v>5</v>
      </c>
      <c r="K317" s="49">
        <f>_DATA_Assessment_Model!H317</f>
        <v>0</v>
      </c>
      <c r="L317" s="3">
        <f>_DATA_Assessment_Model!I317</f>
        <v>0</v>
      </c>
      <c r="M317" s="3">
        <f>_DATA_Assessment_Model!J317</f>
        <v>5</v>
      </c>
      <c r="N317" s="3">
        <f>_DATA_Assessment_Model!K317</f>
        <v>5</v>
      </c>
      <c r="O317" s="2" t="str">
        <f>_DATA_Assessment_Model!L317</f>
        <v>Critical</v>
      </c>
      <c r="P317" s="2" t="s">
        <v>833</v>
      </c>
      <c r="Q317" s="2" t="s">
        <v>834</v>
      </c>
      <c r="R317" s="2" t="s">
        <v>835</v>
      </c>
      <c r="S317" s="2" t="s">
        <v>836</v>
      </c>
      <c r="T317" s="2" t="s">
        <v>837</v>
      </c>
      <c r="U317" s="2" t="s">
        <v>838</v>
      </c>
      <c r="V317" s="2" t="s">
        <v>2595</v>
      </c>
      <c r="W317" s="253"/>
      <c r="X317" s="253"/>
      <c r="Y317" s="253" t="s">
        <v>829</v>
      </c>
      <c r="Z317" s="6">
        <v>5</v>
      </c>
      <c r="AA317" s="6">
        <v>5</v>
      </c>
      <c r="AB317" s="6">
        <v>5</v>
      </c>
      <c r="AC317" s="254"/>
      <c r="AK317" s="255"/>
      <c r="AL317" s="255"/>
      <c r="AM317" s="14">
        <f>_DATA_Assessment_Model!AJ317</f>
        <v>0.9</v>
      </c>
      <c r="AN317" s="14">
        <f>_DATA_Assessment_Model!AK317</f>
        <v>0.9</v>
      </c>
      <c r="AO317" s="14">
        <f>_DATA_Assessment_Model!AL317</f>
        <v>0</v>
      </c>
      <c r="AP317" s="14">
        <f>_DATA_Assessment_Model!AM317</f>
        <v>0</v>
      </c>
      <c r="AQ317" s="14">
        <f>_DATA_Assessment_Model!AN317</f>
        <v>0</v>
      </c>
      <c r="AR317" s="14">
        <f>_DATA_Assessment_Model!AO317</f>
        <v>0</v>
      </c>
      <c r="AS317" s="14">
        <f>_DATA_Assessment_Model!AP317</f>
        <v>0</v>
      </c>
      <c r="AT317" s="14">
        <f>_DATA_Assessment_Model!AQ317</f>
        <v>0</v>
      </c>
      <c r="AU317" s="14" t="str">
        <f>_DATA_Assessment_Model!AR317</f>
        <v>Within target</v>
      </c>
      <c r="AV317" s="4">
        <f>_DATA_Assessment_Model!AS317</f>
        <v>0</v>
      </c>
      <c r="AW317" s="4">
        <f>_DATA_Assessment_Model!AT317</f>
        <v>0.9</v>
      </c>
      <c r="AX317" s="254"/>
      <c r="AY317">
        <f>_DATA_Assessment_Model!AV317</f>
        <v>0.9</v>
      </c>
    </row>
    <row r="318" spans="1:51" ht="69" customHeight="1">
      <c r="A318" t="s">
        <v>2588</v>
      </c>
      <c r="B318" t="s">
        <v>2588</v>
      </c>
      <c r="C318">
        <v>26</v>
      </c>
      <c r="D318" s="2" t="s">
        <v>2696</v>
      </c>
      <c r="E318" s="2" t="s">
        <v>2613</v>
      </c>
      <c r="F318" s="2" t="s">
        <v>2697</v>
      </c>
      <c r="G318" s="2" t="s">
        <v>2592</v>
      </c>
      <c r="H318" s="2" t="s">
        <v>2593</v>
      </c>
      <c r="I318" s="2" t="s">
        <v>2698</v>
      </c>
      <c r="J318" s="253">
        <v>5</v>
      </c>
      <c r="K318" s="49">
        <f>_DATA_Assessment_Model!H318</f>
        <v>0</v>
      </c>
      <c r="L318" s="3">
        <f>_DATA_Assessment_Model!I318</f>
        <v>0</v>
      </c>
      <c r="M318" s="3">
        <f>_DATA_Assessment_Model!J318</f>
        <v>5</v>
      </c>
      <c r="N318" s="3">
        <f>_DATA_Assessment_Model!K318</f>
        <v>5</v>
      </c>
      <c r="O318" s="2" t="str">
        <f>_DATA_Assessment_Model!L318</f>
        <v>Critical</v>
      </c>
      <c r="P318" s="2" t="s">
        <v>1051</v>
      </c>
      <c r="Q318" s="2" t="s">
        <v>1052</v>
      </c>
      <c r="R318" s="2" t="s">
        <v>1053</v>
      </c>
      <c r="S318" s="2" t="s">
        <v>1054</v>
      </c>
      <c r="T318" s="2" t="s">
        <v>1055</v>
      </c>
      <c r="U318" s="2" t="s">
        <v>1056</v>
      </c>
      <c r="V318" s="2" t="s">
        <v>2595</v>
      </c>
      <c r="W318" s="253"/>
      <c r="X318" s="253"/>
      <c r="Y318" s="253" t="s">
        <v>829</v>
      </c>
      <c r="Z318" s="6">
        <v>5</v>
      </c>
      <c r="AA318" s="6">
        <v>5</v>
      </c>
      <c r="AB318" s="6">
        <v>5</v>
      </c>
      <c r="AC318" s="254"/>
      <c r="AK318" s="255"/>
      <c r="AL318" s="255"/>
      <c r="AM318" s="14">
        <f>_DATA_Assessment_Model!AJ318</f>
        <v>0.9</v>
      </c>
      <c r="AN318" s="14">
        <f>_DATA_Assessment_Model!AK318</f>
        <v>0.9</v>
      </c>
      <c r="AO318" s="14">
        <f>_DATA_Assessment_Model!AL318</f>
        <v>0</v>
      </c>
      <c r="AP318" s="14">
        <f>_DATA_Assessment_Model!AM318</f>
        <v>0</v>
      </c>
      <c r="AQ318" s="14">
        <f>_DATA_Assessment_Model!AN318</f>
        <v>0</v>
      </c>
      <c r="AR318" s="14">
        <f>_DATA_Assessment_Model!AO318</f>
        <v>0</v>
      </c>
      <c r="AS318" s="14">
        <f>_DATA_Assessment_Model!AP318</f>
        <v>0</v>
      </c>
      <c r="AT318" s="14">
        <f>_DATA_Assessment_Model!AQ318</f>
        <v>0</v>
      </c>
      <c r="AU318" s="14" t="str">
        <f>_DATA_Assessment_Model!AR318</f>
        <v>Within target</v>
      </c>
      <c r="AV318" s="4">
        <f>_DATA_Assessment_Model!AS318</f>
        <v>0</v>
      </c>
      <c r="AW318" s="4">
        <f>_DATA_Assessment_Model!AT318</f>
        <v>0.9</v>
      </c>
      <c r="AX318" s="254"/>
      <c r="AY318">
        <f>_DATA_Assessment_Model!AV318</f>
        <v>0.9</v>
      </c>
    </row>
    <row r="319" spans="1:51" ht="69" customHeight="1">
      <c r="A319" t="s">
        <v>2588</v>
      </c>
      <c r="B319" t="s">
        <v>2588</v>
      </c>
      <c r="C319">
        <v>27</v>
      </c>
      <c r="D319" s="2" t="s">
        <v>2699</v>
      </c>
      <c r="E319" s="2" t="s">
        <v>2613</v>
      </c>
      <c r="F319" s="2" t="s">
        <v>2700</v>
      </c>
      <c r="G319" s="2" t="s">
        <v>2592</v>
      </c>
      <c r="H319" s="2" t="s">
        <v>2593</v>
      </c>
      <c r="I319" s="2" t="s">
        <v>2701</v>
      </c>
      <c r="J319" s="253">
        <v>5</v>
      </c>
      <c r="K319" s="49">
        <f>_DATA_Assessment_Model!H319</f>
        <v>0</v>
      </c>
      <c r="L319" s="3">
        <f>_DATA_Assessment_Model!I319</f>
        <v>0</v>
      </c>
      <c r="M319" s="3">
        <f>_DATA_Assessment_Model!J319</f>
        <v>5</v>
      </c>
      <c r="N319" s="3">
        <f>_DATA_Assessment_Model!K319</f>
        <v>5</v>
      </c>
      <c r="O319" s="2" t="str">
        <f>_DATA_Assessment_Model!L319</f>
        <v>Critical</v>
      </c>
      <c r="P319" s="2" t="s">
        <v>833</v>
      </c>
      <c r="Q319" s="2" t="s">
        <v>834</v>
      </c>
      <c r="R319" s="2" t="s">
        <v>835</v>
      </c>
      <c r="S319" s="2" t="s">
        <v>836</v>
      </c>
      <c r="T319" s="2" t="s">
        <v>837</v>
      </c>
      <c r="U319" s="2" t="s">
        <v>838</v>
      </c>
      <c r="V319" s="2" t="s">
        <v>2595</v>
      </c>
      <c r="W319" s="253"/>
      <c r="X319" s="253"/>
      <c r="Y319" s="253" t="s">
        <v>829</v>
      </c>
      <c r="Z319" s="6">
        <v>5</v>
      </c>
      <c r="AA319" s="6">
        <v>5</v>
      </c>
      <c r="AB319" s="6">
        <v>5</v>
      </c>
      <c r="AC319" s="254"/>
      <c r="AK319" s="255"/>
      <c r="AL319" s="255"/>
      <c r="AM319" s="14">
        <f>_DATA_Assessment_Model!AJ319</f>
        <v>0.9</v>
      </c>
      <c r="AN319" s="14">
        <f>_DATA_Assessment_Model!AK319</f>
        <v>0.9</v>
      </c>
      <c r="AO319" s="14">
        <f>_DATA_Assessment_Model!AL319</f>
        <v>0</v>
      </c>
      <c r="AP319" s="14">
        <f>_DATA_Assessment_Model!AM319</f>
        <v>0</v>
      </c>
      <c r="AQ319" s="14">
        <f>_DATA_Assessment_Model!AN319</f>
        <v>0</v>
      </c>
      <c r="AR319" s="14">
        <f>_DATA_Assessment_Model!AO319</f>
        <v>0</v>
      </c>
      <c r="AS319" s="14">
        <f>_DATA_Assessment_Model!AP319</f>
        <v>0</v>
      </c>
      <c r="AT319" s="14">
        <f>_DATA_Assessment_Model!AQ319</f>
        <v>0</v>
      </c>
      <c r="AU319" s="14" t="str">
        <f>_DATA_Assessment_Model!AR319</f>
        <v>Within target</v>
      </c>
      <c r="AV319" s="4">
        <f>_DATA_Assessment_Model!AS319</f>
        <v>0</v>
      </c>
      <c r="AW319" s="4">
        <f>_DATA_Assessment_Model!AT319</f>
        <v>0.9</v>
      </c>
      <c r="AX319" s="254"/>
      <c r="AY319">
        <f>_DATA_Assessment_Model!AV319</f>
        <v>0.9</v>
      </c>
    </row>
    <row r="320" spans="1:51" ht="82.85" customHeight="1">
      <c r="A320" t="s">
        <v>2588</v>
      </c>
      <c r="B320" t="s">
        <v>2588</v>
      </c>
      <c r="C320">
        <v>28</v>
      </c>
      <c r="D320" s="2" t="s">
        <v>2702</v>
      </c>
      <c r="E320" s="2" t="s">
        <v>2623</v>
      </c>
      <c r="F320" s="2" t="s">
        <v>2703</v>
      </c>
      <c r="G320" s="2" t="s">
        <v>2592</v>
      </c>
      <c r="H320" s="2" t="s">
        <v>2593</v>
      </c>
      <c r="I320" s="2" t="s">
        <v>2704</v>
      </c>
      <c r="J320" s="253">
        <v>5</v>
      </c>
      <c r="K320" s="49">
        <f>_DATA_Assessment_Model!H320</f>
        <v>0</v>
      </c>
      <c r="L320" s="3">
        <f>_DATA_Assessment_Model!I320</f>
        <v>0</v>
      </c>
      <c r="M320" s="3">
        <f>_DATA_Assessment_Model!J320</f>
        <v>5</v>
      </c>
      <c r="N320" s="3">
        <f>_DATA_Assessment_Model!K320</f>
        <v>5</v>
      </c>
      <c r="O320" s="2" t="str">
        <f>_DATA_Assessment_Model!L320</f>
        <v>Critical</v>
      </c>
      <c r="P320" s="2" t="s">
        <v>833</v>
      </c>
      <c r="Q320" s="2" t="s">
        <v>834</v>
      </c>
      <c r="R320" s="2" t="s">
        <v>835</v>
      </c>
      <c r="S320" s="2" t="s">
        <v>836</v>
      </c>
      <c r="T320" s="2" t="s">
        <v>837</v>
      </c>
      <c r="U320" s="2" t="s">
        <v>838</v>
      </c>
      <c r="V320" s="2" t="s">
        <v>2595</v>
      </c>
      <c r="W320" s="253"/>
      <c r="X320" s="253"/>
      <c r="Y320" s="253" t="s">
        <v>829</v>
      </c>
      <c r="Z320" s="6">
        <v>5</v>
      </c>
      <c r="AA320" s="6">
        <v>5</v>
      </c>
      <c r="AB320" s="6">
        <v>5</v>
      </c>
      <c r="AC320" s="254"/>
      <c r="AK320" s="255"/>
      <c r="AL320" s="255"/>
      <c r="AM320" s="14">
        <f>_DATA_Assessment_Model!AJ320</f>
        <v>0.9</v>
      </c>
      <c r="AN320" s="14">
        <f>_DATA_Assessment_Model!AK320</f>
        <v>0.9</v>
      </c>
      <c r="AO320" s="14">
        <f>_DATA_Assessment_Model!AL320</f>
        <v>0</v>
      </c>
      <c r="AP320" s="14">
        <f>_DATA_Assessment_Model!AM320</f>
        <v>0</v>
      </c>
      <c r="AQ320" s="14">
        <f>_DATA_Assessment_Model!AN320</f>
        <v>0</v>
      </c>
      <c r="AR320" s="14">
        <f>_DATA_Assessment_Model!AO320</f>
        <v>0</v>
      </c>
      <c r="AS320" s="14">
        <f>_DATA_Assessment_Model!AP320</f>
        <v>0</v>
      </c>
      <c r="AT320" s="14">
        <f>_DATA_Assessment_Model!AQ320</f>
        <v>0</v>
      </c>
      <c r="AU320" s="14" t="str">
        <f>_DATA_Assessment_Model!AR320</f>
        <v>Within target</v>
      </c>
      <c r="AV320" s="4">
        <f>_DATA_Assessment_Model!AS320</f>
        <v>0</v>
      </c>
      <c r="AW320" s="4">
        <f>_DATA_Assessment_Model!AT320</f>
        <v>0.9</v>
      </c>
      <c r="AX320" s="254"/>
      <c r="AY320">
        <f>_DATA_Assessment_Model!AV320</f>
        <v>0.9</v>
      </c>
    </row>
    <row r="321" spans="1:51" ht="69" customHeight="1">
      <c r="A321" t="s">
        <v>2588</v>
      </c>
      <c r="B321" t="s">
        <v>2588</v>
      </c>
      <c r="C321">
        <v>29</v>
      </c>
      <c r="D321" s="2" t="s">
        <v>2705</v>
      </c>
      <c r="E321" s="2" t="s">
        <v>2623</v>
      </c>
      <c r="F321" s="2" t="s">
        <v>2706</v>
      </c>
      <c r="G321" s="2" t="s">
        <v>2592</v>
      </c>
      <c r="H321" s="2" t="s">
        <v>2593</v>
      </c>
      <c r="I321" s="2" t="s">
        <v>2707</v>
      </c>
      <c r="J321" s="253">
        <v>5</v>
      </c>
      <c r="K321" s="49">
        <f>_DATA_Assessment_Model!H321</f>
        <v>0</v>
      </c>
      <c r="L321" s="3">
        <f>_DATA_Assessment_Model!I321</f>
        <v>0</v>
      </c>
      <c r="M321" s="3">
        <f>_DATA_Assessment_Model!J321</f>
        <v>5</v>
      </c>
      <c r="N321" s="3">
        <f>_DATA_Assessment_Model!K321</f>
        <v>5</v>
      </c>
      <c r="O321" s="2" t="str">
        <f>_DATA_Assessment_Model!L321</f>
        <v>Critical</v>
      </c>
      <c r="P321" s="2" t="s">
        <v>833</v>
      </c>
      <c r="Q321" s="2" t="s">
        <v>834</v>
      </c>
      <c r="R321" s="2" t="s">
        <v>835</v>
      </c>
      <c r="S321" s="2" t="s">
        <v>836</v>
      </c>
      <c r="T321" s="2" t="s">
        <v>837</v>
      </c>
      <c r="U321" s="2" t="s">
        <v>838</v>
      </c>
      <c r="V321" s="2" t="s">
        <v>2595</v>
      </c>
      <c r="W321" s="253"/>
      <c r="X321" s="253"/>
      <c r="Y321" s="253" t="s">
        <v>829</v>
      </c>
      <c r="Z321" s="6">
        <v>5</v>
      </c>
      <c r="AA321" s="6">
        <v>5</v>
      </c>
      <c r="AB321" s="6">
        <v>5</v>
      </c>
      <c r="AC321" s="254"/>
      <c r="AK321" s="255"/>
      <c r="AL321" s="255"/>
      <c r="AM321" s="14">
        <f>_DATA_Assessment_Model!AJ321</f>
        <v>0.9</v>
      </c>
      <c r="AN321" s="14">
        <f>_DATA_Assessment_Model!AK321</f>
        <v>0.9</v>
      </c>
      <c r="AO321" s="14">
        <f>_DATA_Assessment_Model!AL321</f>
        <v>0</v>
      </c>
      <c r="AP321" s="14">
        <f>_DATA_Assessment_Model!AM321</f>
        <v>0</v>
      </c>
      <c r="AQ321" s="14">
        <f>_DATA_Assessment_Model!AN321</f>
        <v>0</v>
      </c>
      <c r="AR321" s="14">
        <f>_DATA_Assessment_Model!AO321</f>
        <v>0</v>
      </c>
      <c r="AS321" s="14">
        <f>_DATA_Assessment_Model!AP321</f>
        <v>0</v>
      </c>
      <c r="AT321" s="14">
        <f>_DATA_Assessment_Model!AQ321</f>
        <v>0</v>
      </c>
      <c r="AU321" s="14" t="str">
        <f>_DATA_Assessment_Model!AR321</f>
        <v>Within target</v>
      </c>
      <c r="AV321" s="4">
        <f>_DATA_Assessment_Model!AS321</f>
        <v>0</v>
      </c>
      <c r="AW321" s="4">
        <f>_DATA_Assessment_Model!AT321</f>
        <v>0.9</v>
      </c>
      <c r="AX321" s="254"/>
      <c r="AY321">
        <f>_DATA_Assessment_Model!AV321</f>
        <v>0.9</v>
      </c>
    </row>
    <row r="322" spans="1:51" ht="82.85" customHeight="1">
      <c r="A322" t="s">
        <v>2588</v>
      </c>
      <c r="B322" t="s">
        <v>2588</v>
      </c>
      <c r="C322">
        <v>30</v>
      </c>
      <c r="D322" s="2" t="s">
        <v>2708</v>
      </c>
      <c r="E322" s="2" t="s">
        <v>2623</v>
      </c>
      <c r="F322" s="2" t="s">
        <v>2709</v>
      </c>
      <c r="G322" s="2" t="s">
        <v>2592</v>
      </c>
      <c r="H322" s="2" t="s">
        <v>2593</v>
      </c>
      <c r="I322" s="2" t="s">
        <v>2710</v>
      </c>
      <c r="J322" s="253">
        <v>3</v>
      </c>
      <c r="K322" s="49">
        <f>_DATA_Assessment_Model!H322</f>
        <v>0</v>
      </c>
      <c r="L322" s="3">
        <f>_DATA_Assessment_Model!I322</f>
        <v>0</v>
      </c>
      <c r="M322" s="3">
        <f>_DATA_Assessment_Model!J322</f>
        <v>3</v>
      </c>
      <c r="N322" s="3">
        <f>_DATA_Assessment_Model!K322</f>
        <v>3</v>
      </c>
      <c r="O322" s="2" t="str">
        <f>_DATA_Assessment_Model!L322</f>
        <v>Critical</v>
      </c>
      <c r="P322" s="2" t="s">
        <v>2711</v>
      </c>
      <c r="Q322" s="2" t="s">
        <v>2712</v>
      </c>
      <c r="R322" s="2" t="s">
        <v>2713</v>
      </c>
      <c r="S322" s="2" t="s">
        <v>2714</v>
      </c>
      <c r="T322" s="2" t="s">
        <v>2715</v>
      </c>
      <c r="U322" s="2" t="s">
        <v>2716</v>
      </c>
      <c r="V322" s="2" t="s">
        <v>2595</v>
      </c>
      <c r="W322" s="253"/>
      <c r="X322" s="253"/>
      <c r="Y322" s="253" t="s">
        <v>829</v>
      </c>
      <c r="Z322" s="6">
        <v>5</v>
      </c>
      <c r="AA322" s="6">
        <v>5</v>
      </c>
      <c r="AB322" s="6">
        <v>5</v>
      </c>
      <c r="AC322" s="254"/>
      <c r="AK322" s="255"/>
      <c r="AL322" s="255"/>
      <c r="AM322" s="14">
        <f>_DATA_Assessment_Model!AJ322</f>
        <v>0.9</v>
      </c>
      <c r="AN322" s="14">
        <f>_DATA_Assessment_Model!AK322</f>
        <v>0.9</v>
      </c>
      <c r="AO322" s="14">
        <f>_DATA_Assessment_Model!AL322</f>
        <v>0</v>
      </c>
      <c r="AP322" s="14">
        <f>_DATA_Assessment_Model!AM322</f>
        <v>0</v>
      </c>
      <c r="AQ322" s="14">
        <f>_DATA_Assessment_Model!AN322</f>
        <v>0</v>
      </c>
      <c r="AR322" s="14">
        <f>_DATA_Assessment_Model!AO322</f>
        <v>0</v>
      </c>
      <c r="AS322" s="14">
        <f>_DATA_Assessment_Model!AP322</f>
        <v>0</v>
      </c>
      <c r="AT322" s="14">
        <f>_DATA_Assessment_Model!AQ322</f>
        <v>0</v>
      </c>
      <c r="AU322" s="14" t="str">
        <f>_DATA_Assessment_Model!AR322</f>
        <v>Within target</v>
      </c>
      <c r="AV322" s="4">
        <f>_DATA_Assessment_Model!AS322</f>
        <v>0</v>
      </c>
      <c r="AW322" s="4">
        <f>_DATA_Assessment_Model!AT322</f>
        <v>0.9</v>
      </c>
      <c r="AX322" s="254"/>
      <c r="AY322">
        <f>_DATA_Assessment_Model!AV322</f>
        <v>0.9</v>
      </c>
    </row>
    <row r="323" spans="1:51" ht="96.65" customHeight="1">
      <c r="A323" t="s">
        <v>2588</v>
      </c>
      <c r="B323" t="s">
        <v>2588</v>
      </c>
      <c r="C323">
        <v>31</v>
      </c>
      <c r="D323" s="2" t="s">
        <v>2717</v>
      </c>
      <c r="E323" s="2" t="s">
        <v>2623</v>
      </c>
      <c r="F323" s="2" t="s">
        <v>2718</v>
      </c>
      <c r="G323" s="2" t="s">
        <v>2592</v>
      </c>
      <c r="H323" s="2" t="s">
        <v>2593</v>
      </c>
      <c r="I323" s="2" t="s">
        <v>2719</v>
      </c>
      <c r="J323" s="253">
        <v>3</v>
      </c>
      <c r="K323" s="49">
        <f>_DATA_Assessment_Model!H323</f>
        <v>0</v>
      </c>
      <c r="L323" s="3">
        <f>_DATA_Assessment_Model!I323</f>
        <v>0</v>
      </c>
      <c r="M323" s="3">
        <f>_DATA_Assessment_Model!J323</f>
        <v>3</v>
      </c>
      <c r="N323" s="3">
        <f>_DATA_Assessment_Model!K323</f>
        <v>3</v>
      </c>
      <c r="O323" s="2" t="str">
        <f>_DATA_Assessment_Model!L323</f>
        <v>Critical</v>
      </c>
      <c r="P323" s="2" t="s">
        <v>2720</v>
      </c>
      <c r="Q323" s="2" t="s">
        <v>2721</v>
      </c>
      <c r="R323" s="2" t="s">
        <v>2722</v>
      </c>
      <c r="S323" s="2" t="s">
        <v>2723</v>
      </c>
      <c r="T323" s="2" t="s">
        <v>2724</v>
      </c>
      <c r="U323" s="2" t="s">
        <v>2725</v>
      </c>
      <c r="V323" s="2" t="s">
        <v>2595</v>
      </c>
      <c r="W323" s="253"/>
      <c r="X323" s="253"/>
      <c r="Y323" s="253" t="s">
        <v>829</v>
      </c>
      <c r="Z323" s="6">
        <v>5</v>
      </c>
      <c r="AA323" s="6">
        <v>5</v>
      </c>
      <c r="AB323" s="6">
        <v>5</v>
      </c>
      <c r="AC323" s="254"/>
      <c r="AK323" s="255"/>
      <c r="AL323" s="255"/>
      <c r="AM323" s="14">
        <f>_DATA_Assessment_Model!AJ323</f>
        <v>0.9</v>
      </c>
      <c r="AN323" s="14">
        <f>_DATA_Assessment_Model!AK323</f>
        <v>0.9</v>
      </c>
      <c r="AO323" s="14">
        <f>_DATA_Assessment_Model!AL323</f>
        <v>0</v>
      </c>
      <c r="AP323" s="14">
        <f>_DATA_Assessment_Model!AM323</f>
        <v>0</v>
      </c>
      <c r="AQ323" s="14">
        <f>_DATA_Assessment_Model!AN323</f>
        <v>0</v>
      </c>
      <c r="AR323" s="14">
        <f>_DATA_Assessment_Model!AO323</f>
        <v>0</v>
      </c>
      <c r="AS323" s="14">
        <f>_DATA_Assessment_Model!AP323</f>
        <v>0</v>
      </c>
      <c r="AT323" s="14">
        <f>_DATA_Assessment_Model!AQ323</f>
        <v>0</v>
      </c>
      <c r="AU323" s="14" t="str">
        <f>_DATA_Assessment_Model!AR323</f>
        <v>Within target</v>
      </c>
      <c r="AV323" s="4">
        <f>_DATA_Assessment_Model!AS323</f>
        <v>0</v>
      </c>
      <c r="AW323" s="4">
        <f>_DATA_Assessment_Model!AT323</f>
        <v>0.9</v>
      </c>
      <c r="AX323" s="254"/>
      <c r="AY323">
        <f>_DATA_Assessment_Model!AV323</f>
        <v>0.9</v>
      </c>
    </row>
    <row r="324" spans="1:51" ht="69" customHeight="1">
      <c r="A324" t="s">
        <v>2588</v>
      </c>
      <c r="B324" t="s">
        <v>2588</v>
      </c>
      <c r="C324">
        <v>32</v>
      </c>
      <c r="D324" s="2" t="s">
        <v>2726</v>
      </c>
      <c r="E324" s="2" t="s">
        <v>2623</v>
      </c>
      <c r="F324" s="2" t="s">
        <v>2727</v>
      </c>
      <c r="G324" s="2" t="s">
        <v>2592</v>
      </c>
      <c r="H324" s="2" t="s">
        <v>2593</v>
      </c>
      <c r="I324" s="2" t="s">
        <v>2728</v>
      </c>
      <c r="J324" s="253">
        <v>5</v>
      </c>
      <c r="K324" s="49">
        <f>_DATA_Assessment_Model!H324</f>
        <v>0</v>
      </c>
      <c r="L324" s="3">
        <f>_DATA_Assessment_Model!I324</f>
        <v>0</v>
      </c>
      <c r="M324" s="3">
        <f>_DATA_Assessment_Model!J324</f>
        <v>5</v>
      </c>
      <c r="N324" s="3">
        <f>_DATA_Assessment_Model!K324</f>
        <v>5</v>
      </c>
      <c r="O324" s="2" t="str">
        <f>_DATA_Assessment_Model!L324</f>
        <v>Critical</v>
      </c>
      <c r="P324" s="2" t="s">
        <v>833</v>
      </c>
      <c r="Q324" s="2" t="s">
        <v>834</v>
      </c>
      <c r="R324" s="2" t="s">
        <v>835</v>
      </c>
      <c r="S324" s="2" t="s">
        <v>836</v>
      </c>
      <c r="T324" s="2" t="s">
        <v>837</v>
      </c>
      <c r="U324" s="2" t="s">
        <v>838</v>
      </c>
      <c r="V324" s="2" t="s">
        <v>2595</v>
      </c>
      <c r="W324" s="253"/>
      <c r="X324" s="253"/>
      <c r="Y324" s="253" t="s">
        <v>829</v>
      </c>
      <c r="Z324" s="6">
        <v>5</v>
      </c>
      <c r="AA324" s="6">
        <v>5</v>
      </c>
      <c r="AB324" s="6">
        <v>5</v>
      </c>
      <c r="AC324" s="254"/>
      <c r="AK324" s="255"/>
      <c r="AL324" s="255"/>
      <c r="AM324" s="14">
        <f>_DATA_Assessment_Model!AJ324</f>
        <v>0.9</v>
      </c>
      <c r="AN324" s="14">
        <f>_DATA_Assessment_Model!AK324</f>
        <v>0.9</v>
      </c>
      <c r="AO324" s="14">
        <f>_DATA_Assessment_Model!AL324</f>
        <v>0</v>
      </c>
      <c r="AP324" s="14">
        <f>_DATA_Assessment_Model!AM324</f>
        <v>0</v>
      </c>
      <c r="AQ324" s="14">
        <f>_DATA_Assessment_Model!AN324</f>
        <v>0</v>
      </c>
      <c r="AR324" s="14">
        <f>_DATA_Assessment_Model!AO324</f>
        <v>0</v>
      </c>
      <c r="AS324" s="14">
        <f>_DATA_Assessment_Model!AP324</f>
        <v>0</v>
      </c>
      <c r="AT324" s="14">
        <f>_DATA_Assessment_Model!AQ324</f>
        <v>0</v>
      </c>
      <c r="AU324" s="14" t="str">
        <f>_DATA_Assessment_Model!AR324</f>
        <v>Within target</v>
      </c>
      <c r="AV324" s="4">
        <f>_DATA_Assessment_Model!AS324</f>
        <v>0</v>
      </c>
      <c r="AW324" s="4">
        <f>_DATA_Assessment_Model!AT324</f>
        <v>0.9</v>
      </c>
      <c r="AX324" s="254"/>
      <c r="AY324">
        <f>_DATA_Assessment_Model!AV324</f>
        <v>0.9</v>
      </c>
    </row>
    <row r="325" spans="1:51" ht="82.85" customHeight="1">
      <c r="A325" t="s">
        <v>2729</v>
      </c>
      <c r="B325" t="s">
        <v>2729</v>
      </c>
      <c r="C325">
        <v>5</v>
      </c>
      <c r="D325" s="2" t="s">
        <v>2730</v>
      </c>
      <c r="E325" s="2" t="s">
        <v>677</v>
      </c>
      <c r="F325" s="2" t="s">
        <v>2731</v>
      </c>
      <c r="G325" s="2" t="s">
        <v>2732</v>
      </c>
      <c r="H325" s="2" t="s">
        <v>2733</v>
      </c>
      <c r="I325" s="2" t="s">
        <v>2734</v>
      </c>
      <c r="J325" s="253">
        <v>5</v>
      </c>
      <c r="K325" s="49">
        <f>_DATA_Assessment_Model!H325</f>
        <v>0</v>
      </c>
      <c r="L325" s="3">
        <f>_DATA_Assessment_Model!I325</f>
        <v>0</v>
      </c>
      <c r="M325" s="3">
        <f>_DATA_Assessment_Model!J325</f>
        <v>5</v>
      </c>
      <c r="N325" s="3">
        <f>_DATA_Assessment_Model!K325</f>
        <v>5</v>
      </c>
      <c r="O325" s="2" t="str">
        <f>_DATA_Assessment_Model!L325</f>
        <v>Critical</v>
      </c>
      <c r="P325" s="2" t="s">
        <v>1051</v>
      </c>
      <c r="Q325" s="2" t="s">
        <v>1052</v>
      </c>
      <c r="R325" s="2" t="s">
        <v>1053</v>
      </c>
      <c r="S325" s="2" t="s">
        <v>1054</v>
      </c>
      <c r="T325" s="2" t="s">
        <v>1055</v>
      </c>
      <c r="U325" s="2" t="s">
        <v>1056</v>
      </c>
      <c r="V325" s="2" t="s">
        <v>2735</v>
      </c>
      <c r="W325" s="253"/>
      <c r="X325" s="253"/>
      <c r="Y325" s="253" t="s">
        <v>829</v>
      </c>
      <c r="Z325" s="6">
        <v>5</v>
      </c>
      <c r="AA325" s="6">
        <v>5</v>
      </c>
      <c r="AB325" s="6">
        <v>5</v>
      </c>
      <c r="AC325" s="254"/>
      <c r="AD325" t="s">
        <v>677</v>
      </c>
      <c r="AE325" s="5">
        <f>_DATA_Assessment_Model!AB325</f>
        <v>5</v>
      </c>
      <c r="AF325" s="7">
        <f>_DATA_Assessment_Model!AC325</f>
        <v>0</v>
      </c>
      <c r="AG325" s="8">
        <f>_DATA_Assessment_Model!AD325</f>
        <v>0</v>
      </c>
      <c r="AH325" s="5">
        <f>_DATA_Assessment_Model!AE325</f>
        <v>5</v>
      </c>
      <c r="AI325" s="7">
        <f>_DATA_Assessment_Model!AF325</f>
        <v>5</v>
      </c>
      <c r="AJ325" s="5">
        <f>_DATA_Assessment_Model!AG325</f>
        <v>5</v>
      </c>
      <c r="AK325" s="255"/>
      <c r="AL325" s="255"/>
      <c r="AM325" s="14">
        <f>_DATA_Assessment_Model!AJ325</f>
        <v>0.9</v>
      </c>
      <c r="AN325" s="14">
        <f>_DATA_Assessment_Model!AK325</f>
        <v>0.9</v>
      </c>
      <c r="AO325" s="14">
        <f>_DATA_Assessment_Model!AL325</f>
        <v>0</v>
      </c>
      <c r="AP325" s="14">
        <f>_DATA_Assessment_Model!AM325</f>
        <v>0</v>
      </c>
      <c r="AQ325" s="14">
        <f>_DATA_Assessment_Model!AN325</f>
        <v>0</v>
      </c>
      <c r="AR325" s="14">
        <f>_DATA_Assessment_Model!AO325</f>
        <v>0</v>
      </c>
      <c r="AS325" s="14">
        <f>_DATA_Assessment_Model!AP325</f>
        <v>0</v>
      </c>
      <c r="AT325" s="14">
        <f>_DATA_Assessment_Model!AQ325</f>
        <v>0</v>
      </c>
      <c r="AU325" s="14" t="str">
        <f>_DATA_Assessment_Model!AR325</f>
        <v>Within target</v>
      </c>
      <c r="AV325" s="4">
        <f>_DATA_Assessment_Model!AS325</f>
        <v>0</v>
      </c>
      <c r="AW325" s="4">
        <f>_DATA_Assessment_Model!AT325</f>
        <v>0.9</v>
      </c>
      <c r="AX325" s="254"/>
      <c r="AY325">
        <f>_DATA_Assessment_Model!AV325</f>
        <v>0.9</v>
      </c>
    </row>
    <row r="326" spans="1:51" ht="82.85" customHeight="1">
      <c r="A326" t="s">
        <v>2729</v>
      </c>
      <c r="B326" t="s">
        <v>2729</v>
      </c>
      <c r="C326">
        <v>6</v>
      </c>
      <c r="D326" s="2" t="s">
        <v>2736</v>
      </c>
      <c r="E326" s="2" t="s">
        <v>677</v>
      </c>
      <c r="F326" s="2" t="s">
        <v>2737</v>
      </c>
      <c r="G326" s="2" t="s">
        <v>2732</v>
      </c>
      <c r="H326" s="2" t="s">
        <v>2733</v>
      </c>
      <c r="I326" s="2" t="s">
        <v>2738</v>
      </c>
      <c r="J326" s="253">
        <v>5</v>
      </c>
      <c r="K326" s="49">
        <f>_DATA_Assessment_Model!H326</f>
        <v>0</v>
      </c>
      <c r="L326" s="3">
        <f>_DATA_Assessment_Model!I326</f>
        <v>0</v>
      </c>
      <c r="M326" s="3">
        <f>_DATA_Assessment_Model!J326</f>
        <v>5</v>
      </c>
      <c r="N326" s="3">
        <f>_DATA_Assessment_Model!K326</f>
        <v>5</v>
      </c>
      <c r="O326" s="2" t="str">
        <f>_DATA_Assessment_Model!L326</f>
        <v>Critical</v>
      </c>
      <c r="P326" s="2" t="s">
        <v>833</v>
      </c>
      <c r="Q326" s="2" t="s">
        <v>834</v>
      </c>
      <c r="R326" s="2" t="s">
        <v>835</v>
      </c>
      <c r="S326" s="2" t="s">
        <v>836</v>
      </c>
      <c r="T326" s="2" t="s">
        <v>837</v>
      </c>
      <c r="U326" s="2" t="s">
        <v>838</v>
      </c>
      <c r="V326" s="2" t="s">
        <v>2735</v>
      </c>
      <c r="W326" s="253"/>
      <c r="X326" s="253"/>
      <c r="Y326" s="253" t="s">
        <v>829</v>
      </c>
      <c r="Z326" s="6">
        <v>5</v>
      </c>
      <c r="AA326" s="6">
        <v>5</v>
      </c>
      <c r="AB326" s="6">
        <v>5</v>
      </c>
      <c r="AC326" s="254"/>
      <c r="AD326" t="s">
        <v>2739</v>
      </c>
      <c r="AE326" s="5">
        <f>_DATA_Assessment_Model!AB326</f>
        <v>3</v>
      </c>
      <c r="AF326" s="7">
        <f>_DATA_Assessment_Model!AC326</f>
        <v>0</v>
      </c>
      <c r="AG326" s="8">
        <f>_DATA_Assessment_Model!AD326</f>
        <v>0</v>
      </c>
      <c r="AH326" s="5">
        <f>_DATA_Assessment_Model!AE326</f>
        <v>3</v>
      </c>
      <c r="AI326" s="7">
        <f>_DATA_Assessment_Model!AF326</f>
        <v>5</v>
      </c>
      <c r="AJ326" s="5">
        <f>_DATA_Assessment_Model!AG326</f>
        <v>3</v>
      </c>
      <c r="AK326" s="255"/>
      <c r="AL326" s="255"/>
      <c r="AM326" s="14">
        <f>_DATA_Assessment_Model!AJ326</f>
        <v>0.9</v>
      </c>
      <c r="AN326" s="14">
        <f>_DATA_Assessment_Model!AK326</f>
        <v>0.9</v>
      </c>
      <c r="AO326" s="14">
        <f>_DATA_Assessment_Model!AL326</f>
        <v>0</v>
      </c>
      <c r="AP326" s="14">
        <f>_DATA_Assessment_Model!AM326</f>
        <v>0</v>
      </c>
      <c r="AQ326" s="14">
        <f>_DATA_Assessment_Model!AN326</f>
        <v>0</v>
      </c>
      <c r="AR326" s="14">
        <f>_DATA_Assessment_Model!AO326</f>
        <v>0</v>
      </c>
      <c r="AS326" s="14">
        <f>_DATA_Assessment_Model!AP326</f>
        <v>0</v>
      </c>
      <c r="AT326" s="14">
        <f>_DATA_Assessment_Model!AQ326</f>
        <v>0</v>
      </c>
      <c r="AU326" s="14" t="str">
        <f>_DATA_Assessment_Model!AR326</f>
        <v>Within target</v>
      </c>
      <c r="AV326" s="4">
        <f>_DATA_Assessment_Model!AS326</f>
        <v>0</v>
      </c>
      <c r="AW326" s="4">
        <f>_DATA_Assessment_Model!AT326</f>
        <v>0.9</v>
      </c>
      <c r="AX326" s="254"/>
      <c r="AY326">
        <f>_DATA_Assessment_Model!AV326</f>
        <v>0.9</v>
      </c>
    </row>
    <row r="327" spans="1:51" ht="69" customHeight="1">
      <c r="A327" t="s">
        <v>2729</v>
      </c>
      <c r="B327" t="s">
        <v>2729</v>
      </c>
      <c r="C327">
        <v>7</v>
      </c>
      <c r="D327" s="2" t="s">
        <v>2740</v>
      </c>
      <c r="E327" s="2" t="s">
        <v>677</v>
      </c>
      <c r="F327" s="2" t="s">
        <v>2741</v>
      </c>
      <c r="G327" s="2" t="s">
        <v>2732</v>
      </c>
      <c r="H327" s="2" t="s">
        <v>2733</v>
      </c>
      <c r="I327" s="2" t="s">
        <v>2742</v>
      </c>
      <c r="J327" s="253">
        <v>5</v>
      </c>
      <c r="K327" s="49">
        <f>_DATA_Assessment_Model!H327</f>
        <v>0</v>
      </c>
      <c r="L327" s="3">
        <f>_DATA_Assessment_Model!I327</f>
        <v>0</v>
      </c>
      <c r="M327" s="3">
        <f>_DATA_Assessment_Model!J327</f>
        <v>5</v>
      </c>
      <c r="N327" s="3">
        <f>_DATA_Assessment_Model!K327</f>
        <v>5</v>
      </c>
      <c r="O327" s="2" t="str">
        <f>_DATA_Assessment_Model!L327</f>
        <v>Critical</v>
      </c>
      <c r="P327" s="2" t="s">
        <v>833</v>
      </c>
      <c r="Q327" s="2" t="s">
        <v>834</v>
      </c>
      <c r="R327" s="2" t="s">
        <v>835</v>
      </c>
      <c r="S327" s="2" t="s">
        <v>836</v>
      </c>
      <c r="T327" s="2" t="s">
        <v>837</v>
      </c>
      <c r="U327" s="2" t="s">
        <v>838</v>
      </c>
      <c r="V327" s="2" t="s">
        <v>2735</v>
      </c>
      <c r="W327" s="253"/>
      <c r="X327" s="253"/>
      <c r="Y327" s="253" t="s">
        <v>829</v>
      </c>
      <c r="Z327" s="6">
        <v>5</v>
      </c>
      <c r="AA327" s="6">
        <v>5</v>
      </c>
      <c r="AB327" s="6">
        <v>5</v>
      </c>
      <c r="AC327" s="254"/>
      <c r="AD327" t="s">
        <v>2743</v>
      </c>
      <c r="AE327" s="5">
        <f>_DATA_Assessment_Model!AB327</f>
        <v>4</v>
      </c>
      <c r="AF327" s="7">
        <f>_DATA_Assessment_Model!AC327</f>
        <v>0</v>
      </c>
      <c r="AG327" s="8">
        <f>_DATA_Assessment_Model!AD327</f>
        <v>0</v>
      </c>
      <c r="AH327" s="5">
        <f>_DATA_Assessment_Model!AE327</f>
        <v>4</v>
      </c>
      <c r="AI327" s="7">
        <f>_DATA_Assessment_Model!AF327</f>
        <v>5</v>
      </c>
      <c r="AJ327" s="5">
        <f>_DATA_Assessment_Model!AG327</f>
        <v>4</v>
      </c>
      <c r="AK327" s="255"/>
      <c r="AL327" s="255"/>
      <c r="AM327" s="14">
        <f>_DATA_Assessment_Model!AJ327</f>
        <v>0.9</v>
      </c>
      <c r="AN327" s="14">
        <f>_DATA_Assessment_Model!AK327</f>
        <v>0.9</v>
      </c>
      <c r="AO327" s="14">
        <f>_DATA_Assessment_Model!AL327</f>
        <v>0</v>
      </c>
      <c r="AP327" s="14">
        <f>_DATA_Assessment_Model!AM327</f>
        <v>0</v>
      </c>
      <c r="AQ327" s="14">
        <f>_DATA_Assessment_Model!AN327</f>
        <v>0</v>
      </c>
      <c r="AR327" s="14">
        <f>_DATA_Assessment_Model!AO327</f>
        <v>0</v>
      </c>
      <c r="AS327" s="14">
        <f>_DATA_Assessment_Model!AP327</f>
        <v>0</v>
      </c>
      <c r="AT327" s="14">
        <f>_DATA_Assessment_Model!AQ327</f>
        <v>0</v>
      </c>
      <c r="AU327" s="14" t="str">
        <f>_DATA_Assessment_Model!AR327</f>
        <v>Within target</v>
      </c>
      <c r="AV327" s="4">
        <f>_DATA_Assessment_Model!AS327</f>
        <v>0</v>
      </c>
      <c r="AW327" s="4">
        <f>_DATA_Assessment_Model!AT327</f>
        <v>0.9</v>
      </c>
      <c r="AX327" s="254"/>
      <c r="AY327">
        <f>_DATA_Assessment_Model!AV327</f>
        <v>0.9</v>
      </c>
    </row>
    <row r="328" spans="1:51" ht="69" customHeight="1">
      <c r="A328" t="s">
        <v>2729</v>
      </c>
      <c r="B328" t="s">
        <v>2729</v>
      </c>
      <c r="C328">
        <v>8</v>
      </c>
      <c r="D328" s="2" t="s">
        <v>2744</v>
      </c>
      <c r="E328" s="2" t="s">
        <v>677</v>
      </c>
      <c r="F328" s="2" t="s">
        <v>2745</v>
      </c>
      <c r="G328" s="2" t="s">
        <v>2732</v>
      </c>
      <c r="H328" s="2" t="s">
        <v>2733</v>
      </c>
      <c r="I328" s="2" t="s">
        <v>2746</v>
      </c>
      <c r="J328" s="253">
        <v>5</v>
      </c>
      <c r="K328" s="49">
        <f>_DATA_Assessment_Model!H328</f>
        <v>0</v>
      </c>
      <c r="L328" s="3">
        <f>_DATA_Assessment_Model!I328</f>
        <v>0</v>
      </c>
      <c r="M328" s="3">
        <f>_DATA_Assessment_Model!J328</f>
        <v>5</v>
      </c>
      <c r="N328" s="3">
        <f>_DATA_Assessment_Model!K328</f>
        <v>5</v>
      </c>
      <c r="O328" s="2" t="str">
        <f>_DATA_Assessment_Model!L328</f>
        <v>Critical</v>
      </c>
      <c r="P328" s="2" t="s">
        <v>833</v>
      </c>
      <c r="Q328" s="2" t="s">
        <v>834</v>
      </c>
      <c r="R328" s="2" t="s">
        <v>835</v>
      </c>
      <c r="S328" s="2" t="s">
        <v>836</v>
      </c>
      <c r="T328" s="2" t="s">
        <v>837</v>
      </c>
      <c r="U328" s="2" t="s">
        <v>838</v>
      </c>
      <c r="V328" s="2" t="s">
        <v>2735</v>
      </c>
      <c r="W328" s="253"/>
      <c r="X328" s="253"/>
      <c r="Y328" s="253" t="s">
        <v>829</v>
      </c>
      <c r="Z328" s="6">
        <v>5</v>
      </c>
      <c r="AA328" s="6">
        <v>5</v>
      </c>
      <c r="AB328" s="6">
        <v>5</v>
      </c>
      <c r="AC328" s="254"/>
      <c r="AD328" t="s">
        <v>2747</v>
      </c>
      <c r="AE328" s="5">
        <f>_DATA_Assessment_Model!AB328</f>
        <v>3</v>
      </c>
      <c r="AF328" s="7">
        <f>_DATA_Assessment_Model!AC328</f>
        <v>0</v>
      </c>
      <c r="AG328" s="8">
        <f>_DATA_Assessment_Model!AD328</f>
        <v>0</v>
      </c>
      <c r="AH328" s="5">
        <f>_DATA_Assessment_Model!AE328</f>
        <v>3</v>
      </c>
      <c r="AI328" s="7">
        <f>_DATA_Assessment_Model!AF328</f>
        <v>5</v>
      </c>
      <c r="AJ328" s="5">
        <f>_DATA_Assessment_Model!AG328</f>
        <v>3</v>
      </c>
      <c r="AK328" s="255"/>
      <c r="AL328" s="255"/>
      <c r="AM328" s="14">
        <f>_DATA_Assessment_Model!AJ328</f>
        <v>0.9</v>
      </c>
      <c r="AN328" s="14">
        <f>_DATA_Assessment_Model!AK328</f>
        <v>0.9</v>
      </c>
      <c r="AO328" s="14">
        <f>_DATA_Assessment_Model!AL328</f>
        <v>0</v>
      </c>
      <c r="AP328" s="14">
        <f>_DATA_Assessment_Model!AM328</f>
        <v>0</v>
      </c>
      <c r="AQ328" s="14">
        <f>_DATA_Assessment_Model!AN328</f>
        <v>0</v>
      </c>
      <c r="AR328" s="14">
        <f>_DATA_Assessment_Model!AO328</f>
        <v>0</v>
      </c>
      <c r="AS328" s="14">
        <f>_DATA_Assessment_Model!AP328</f>
        <v>0</v>
      </c>
      <c r="AT328" s="14">
        <f>_DATA_Assessment_Model!AQ328</f>
        <v>0</v>
      </c>
      <c r="AU328" s="14" t="str">
        <f>_DATA_Assessment_Model!AR328</f>
        <v>Within target</v>
      </c>
      <c r="AV328" s="4">
        <f>_DATA_Assessment_Model!AS328</f>
        <v>0</v>
      </c>
      <c r="AW328" s="4">
        <f>_DATA_Assessment_Model!AT328</f>
        <v>0.9</v>
      </c>
      <c r="AX328" s="254"/>
      <c r="AY328">
        <f>_DATA_Assessment_Model!AV328</f>
        <v>0.9</v>
      </c>
    </row>
    <row r="329" spans="1:51" ht="82.85" customHeight="1">
      <c r="A329" t="s">
        <v>2729</v>
      </c>
      <c r="B329" t="s">
        <v>2729</v>
      </c>
      <c r="C329">
        <v>9</v>
      </c>
      <c r="D329" s="2" t="s">
        <v>2748</v>
      </c>
      <c r="E329" s="2" t="s">
        <v>677</v>
      </c>
      <c r="F329" s="2" t="s">
        <v>2749</v>
      </c>
      <c r="G329" s="2" t="s">
        <v>2732</v>
      </c>
      <c r="H329" s="2" t="s">
        <v>2733</v>
      </c>
      <c r="I329" s="2" t="s">
        <v>2750</v>
      </c>
      <c r="J329" s="253">
        <v>5</v>
      </c>
      <c r="K329" s="49">
        <f>_DATA_Assessment_Model!H329</f>
        <v>0</v>
      </c>
      <c r="L329" s="3">
        <f>_DATA_Assessment_Model!I329</f>
        <v>0</v>
      </c>
      <c r="M329" s="3">
        <f>_DATA_Assessment_Model!J329</f>
        <v>5</v>
      </c>
      <c r="N329" s="3">
        <f>_DATA_Assessment_Model!K329</f>
        <v>5</v>
      </c>
      <c r="O329" s="2" t="str">
        <f>_DATA_Assessment_Model!L329</f>
        <v>Critical</v>
      </c>
      <c r="P329" s="2" t="s">
        <v>874</v>
      </c>
      <c r="Q329" s="2" t="s">
        <v>875</v>
      </c>
      <c r="R329" s="2" t="s">
        <v>876</v>
      </c>
      <c r="S329" s="2" t="s">
        <v>877</v>
      </c>
      <c r="T329" s="2" t="s">
        <v>878</v>
      </c>
      <c r="U329" s="2" t="s">
        <v>879</v>
      </c>
      <c r="V329" s="2" t="s">
        <v>2735</v>
      </c>
      <c r="W329" s="253"/>
      <c r="X329" s="253"/>
      <c r="Y329" s="253" t="s">
        <v>829</v>
      </c>
      <c r="Z329" s="6">
        <v>5</v>
      </c>
      <c r="AA329" s="6">
        <v>5</v>
      </c>
      <c r="AB329" s="6">
        <v>5</v>
      </c>
      <c r="AC329" s="254"/>
      <c r="AD329" t="s">
        <v>2751</v>
      </c>
      <c r="AE329" s="5">
        <f>_DATA_Assessment_Model!AB329</f>
        <v>6</v>
      </c>
      <c r="AF329" s="7">
        <f>_DATA_Assessment_Model!AC329</f>
        <v>0</v>
      </c>
      <c r="AG329" s="8">
        <f>_DATA_Assessment_Model!AD329</f>
        <v>0</v>
      </c>
      <c r="AH329" s="5">
        <f>_DATA_Assessment_Model!AE329</f>
        <v>6</v>
      </c>
      <c r="AI329" s="7">
        <f>_DATA_Assessment_Model!AF329</f>
        <v>5</v>
      </c>
      <c r="AJ329" s="5">
        <f>_DATA_Assessment_Model!AG329</f>
        <v>6</v>
      </c>
      <c r="AK329" s="255"/>
      <c r="AL329" s="255"/>
      <c r="AM329" s="14">
        <f>_DATA_Assessment_Model!AJ329</f>
        <v>0.9</v>
      </c>
      <c r="AN329" s="14">
        <f>_DATA_Assessment_Model!AK329</f>
        <v>0.9</v>
      </c>
      <c r="AO329" s="14">
        <f>_DATA_Assessment_Model!AL329</f>
        <v>0</v>
      </c>
      <c r="AP329" s="14">
        <f>_DATA_Assessment_Model!AM329</f>
        <v>0</v>
      </c>
      <c r="AQ329" s="14">
        <f>_DATA_Assessment_Model!AN329</f>
        <v>0</v>
      </c>
      <c r="AR329" s="14">
        <f>_DATA_Assessment_Model!AO329</f>
        <v>0</v>
      </c>
      <c r="AS329" s="14">
        <f>_DATA_Assessment_Model!AP329</f>
        <v>0</v>
      </c>
      <c r="AT329" s="14">
        <f>_DATA_Assessment_Model!AQ329</f>
        <v>0</v>
      </c>
      <c r="AU329" s="14" t="str">
        <f>_DATA_Assessment_Model!AR329</f>
        <v>Within target</v>
      </c>
      <c r="AV329" s="4">
        <f>_DATA_Assessment_Model!AS329</f>
        <v>0</v>
      </c>
      <c r="AW329" s="4">
        <f>_DATA_Assessment_Model!AT329</f>
        <v>0.9</v>
      </c>
      <c r="AX329" s="254"/>
      <c r="AY329">
        <f>_DATA_Assessment_Model!AV329</f>
        <v>0.9</v>
      </c>
    </row>
    <row r="330" spans="1:51" ht="82.85" customHeight="1">
      <c r="A330" t="s">
        <v>2729</v>
      </c>
      <c r="B330" t="s">
        <v>2729</v>
      </c>
      <c r="C330">
        <v>10</v>
      </c>
      <c r="D330" s="2" t="s">
        <v>2752</v>
      </c>
      <c r="E330" s="2" t="s">
        <v>2739</v>
      </c>
      <c r="F330" s="2" t="s">
        <v>2753</v>
      </c>
      <c r="G330" s="2" t="s">
        <v>2732</v>
      </c>
      <c r="H330" s="2" t="s">
        <v>2733</v>
      </c>
      <c r="I330" s="2" t="s">
        <v>2754</v>
      </c>
      <c r="J330" s="253">
        <v>5</v>
      </c>
      <c r="K330" s="49">
        <f>_DATA_Assessment_Model!H330</f>
        <v>0</v>
      </c>
      <c r="L330" s="3">
        <f>_DATA_Assessment_Model!I330</f>
        <v>0</v>
      </c>
      <c r="M330" s="3">
        <f>_DATA_Assessment_Model!J330</f>
        <v>5</v>
      </c>
      <c r="N330" s="3">
        <f>_DATA_Assessment_Model!K330</f>
        <v>5</v>
      </c>
      <c r="O330" s="2" t="str">
        <f>_DATA_Assessment_Model!L330</f>
        <v>Critical</v>
      </c>
      <c r="P330" s="2" t="s">
        <v>833</v>
      </c>
      <c r="Q330" s="2" t="s">
        <v>834</v>
      </c>
      <c r="R330" s="2" t="s">
        <v>835</v>
      </c>
      <c r="S330" s="2" t="s">
        <v>836</v>
      </c>
      <c r="T330" s="2" t="s">
        <v>837</v>
      </c>
      <c r="U330" s="2" t="s">
        <v>838</v>
      </c>
      <c r="V330" s="2" t="s">
        <v>2735</v>
      </c>
      <c r="W330" s="253"/>
      <c r="X330" s="253"/>
      <c r="Y330" s="253" t="s">
        <v>829</v>
      </c>
      <c r="Z330" s="6">
        <v>5</v>
      </c>
      <c r="AA330" s="6">
        <v>5</v>
      </c>
      <c r="AB330" s="6">
        <v>5</v>
      </c>
      <c r="AC330" s="254"/>
      <c r="AK330" s="255"/>
      <c r="AL330" s="255"/>
      <c r="AM330" s="14">
        <f>_DATA_Assessment_Model!AJ330</f>
        <v>0.9</v>
      </c>
      <c r="AN330" s="14">
        <f>_DATA_Assessment_Model!AK330</f>
        <v>0.9</v>
      </c>
      <c r="AO330" s="14">
        <f>_DATA_Assessment_Model!AL330</f>
        <v>0</v>
      </c>
      <c r="AP330" s="14">
        <f>_DATA_Assessment_Model!AM330</f>
        <v>0</v>
      </c>
      <c r="AQ330" s="14">
        <f>_DATA_Assessment_Model!AN330</f>
        <v>0</v>
      </c>
      <c r="AR330" s="14">
        <f>_DATA_Assessment_Model!AO330</f>
        <v>0</v>
      </c>
      <c r="AS330" s="14">
        <f>_DATA_Assessment_Model!AP330</f>
        <v>0</v>
      </c>
      <c r="AT330" s="14">
        <f>_DATA_Assessment_Model!AQ330</f>
        <v>0</v>
      </c>
      <c r="AU330" s="14" t="str">
        <f>_DATA_Assessment_Model!AR330</f>
        <v>Within target</v>
      </c>
      <c r="AV330" s="4">
        <f>_DATA_Assessment_Model!AS330</f>
        <v>0</v>
      </c>
      <c r="AW330" s="4">
        <f>_DATA_Assessment_Model!AT330</f>
        <v>0.9</v>
      </c>
      <c r="AX330" s="254"/>
      <c r="AY330">
        <f>_DATA_Assessment_Model!AV330</f>
        <v>0.9</v>
      </c>
    </row>
    <row r="331" spans="1:51" ht="69" customHeight="1">
      <c r="A331" t="s">
        <v>2729</v>
      </c>
      <c r="B331" t="s">
        <v>2729</v>
      </c>
      <c r="C331">
        <v>11</v>
      </c>
      <c r="D331" s="2" t="s">
        <v>2755</v>
      </c>
      <c r="E331" s="2" t="s">
        <v>2739</v>
      </c>
      <c r="F331" s="2" t="s">
        <v>2756</v>
      </c>
      <c r="G331" s="2" t="s">
        <v>2732</v>
      </c>
      <c r="H331" s="2" t="s">
        <v>2733</v>
      </c>
      <c r="I331" s="2" t="s">
        <v>2757</v>
      </c>
      <c r="J331" s="253">
        <v>5</v>
      </c>
      <c r="K331" s="49">
        <f>_DATA_Assessment_Model!H331</f>
        <v>0</v>
      </c>
      <c r="L331" s="3">
        <f>_DATA_Assessment_Model!I331</f>
        <v>0</v>
      </c>
      <c r="M331" s="3">
        <f>_DATA_Assessment_Model!J331</f>
        <v>5</v>
      </c>
      <c r="N331" s="3">
        <f>_DATA_Assessment_Model!K331</f>
        <v>5</v>
      </c>
      <c r="O331" s="2" t="str">
        <f>_DATA_Assessment_Model!L331</f>
        <v>Critical</v>
      </c>
      <c r="P331" s="2" t="s">
        <v>833</v>
      </c>
      <c r="Q331" s="2" t="s">
        <v>834</v>
      </c>
      <c r="R331" s="2" t="s">
        <v>835</v>
      </c>
      <c r="S331" s="2" t="s">
        <v>836</v>
      </c>
      <c r="T331" s="2" t="s">
        <v>837</v>
      </c>
      <c r="U331" s="2" t="s">
        <v>838</v>
      </c>
      <c r="V331" s="2" t="s">
        <v>2735</v>
      </c>
      <c r="W331" s="253"/>
      <c r="X331" s="253"/>
      <c r="Y331" s="253" t="s">
        <v>829</v>
      </c>
      <c r="Z331" s="6">
        <v>5</v>
      </c>
      <c r="AA331" s="6">
        <v>5</v>
      </c>
      <c r="AB331" s="6">
        <v>5</v>
      </c>
      <c r="AC331" s="254"/>
      <c r="AK331" s="255"/>
      <c r="AL331" s="255"/>
      <c r="AM331" s="14">
        <f>_DATA_Assessment_Model!AJ331</f>
        <v>0.9</v>
      </c>
      <c r="AN331" s="14">
        <f>_DATA_Assessment_Model!AK331</f>
        <v>0.9</v>
      </c>
      <c r="AO331" s="14">
        <f>_DATA_Assessment_Model!AL331</f>
        <v>0</v>
      </c>
      <c r="AP331" s="14">
        <f>_DATA_Assessment_Model!AM331</f>
        <v>0</v>
      </c>
      <c r="AQ331" s="14">
        <f>_DATA_Assessment_Model!AN331</f>
        <v>0</v>
      </c>
      <c r="AR331" s="14">
        <f>_DATA_Assessment_Model!AO331</f>
        <v>0</v>
      </c>
      <c r="AS331" s="14">
        <f>_DATA_Assessment_Model!AP331</f>
        <v>0</v>
      </c>
      <c r="AT331" s="14">
        <f>_DATA_Assessment_Model!AQ331</f>
        <v>0</v>
      </c>
      <c r="AU331" s="14" t="str">
        <f>_DATA_Assessment_Model!AR331</f>
        <v>Within target</v>
      </c>
      <c r="AV331" s="4">
        <f>_DATA_Assessment_Model!AS331</f>
        <v>0</v>
      </c>
      <c r="AW331" s="4">
        <f>_DATA_Assessment_Model!AT331</f>
        <v>0.9</v>
      </c>
      <c r="AX331" s="254"/>
      <c r="AY331">
        <f>_DATA_Assessment_Model!AV331</f>
        <v>0.9</v>
      </c>
    </row>
    <row r="332" spans="1:51" ht="82.85" customHeight="1">
      <c r="A332" t="s">
        <v>2729</v>
      </c>
      <c r="B332" t="s">
        <v>2729</v>
      </c>
      <c r="C332">
        <v>12</v>
      </c>
      <c r="D332" s="2" t="s">
        <v>2758</v>
      </c>
      <c r="E332" s="2" t="s">
        <v>2739</v>
      </c>
      <c r="F332" s="2" t="s">
        <v>2759</v>
      </c>
      <c r="G332" s="2" t="s">
        <v>2732</v>
      </c>
      <c r="H332" s="2" t="s">
        <v>2733</v>
      </c>
      <c r="I332" s="2" t="s">
        <v>2760</v>
      </c>
      <c r="J332" s="253">
        <v>4</v>
      </c>
      <c r="K332" s="49">
        <f>_DATA_Assessment_Model!H332</f>
        <v>0</v>
      </c>
      <c r="L332" s="3">
        <f>_DATA_Assessment_Model!I332</f>
        <v>0</v>
      </c>
      <c r="M332" s="3">
        <f>_DATA_Assessment_Model!J332</f>
        <v>4</v>
      </c>
      <c r="N332" s="3">
        <f>_DATA_Assessment_Model!K332</f>
        <v>4</v>
      </c>
      <c r="O332" s="2" t="str">
        <f>_DATA_Assessment_Model!L332</f>
        <v>Critical</v>
      </c>
      <c r="P332" s="2" t="s">
        <v>2761</v>
      </c>
      <c r="Q332" s="2" t="s">
        <v>2762</v>
      </c>
      <c r="R332" s="2" t="s">
        <v>2763</v>
      </c>
      <c r="S332" s="2" t="s">
        <v>2764</v>
      </c>
      <c r="T332" s="2" t="s">
        <v>2765</v>
      </c>
      <c r="U332" s="2" t="s">
        <v>2766</v>
      </c>
      <c r="V332" s="2" t="s">
        <v>2735</v>
      </c>
      <c r="W332" s="253"/>
      <c r="X332" s="253"/>
      <c r="Y332" s="253" t="s">
        <v>829</v>
      </c>
      <c r="Z332" s="6">
        <v>5</v>
      </c>
      <c r="AA332" s="6">
        <v>5</v>
      </c>
      <c r="AB332" s="6">
        <v>5</v>
      </c>
      <c r="AC332" s="254"/>
      <c r="AK332" s="255"/>
      <c r="AL332" s="255"/>
      <c r="AM332" s="14">
        <f>_DATA_Assessment_Model!AJ332</f>
        <v>0.9</v>
      </c>
      <c r="AN332" s="14">
        <f>_DATA_Assessment_Model!AK332</f>
        <v>0.9</v>
      </c>
      <c r="AO332" s="14">
        <f>_DATA_Assessment_Model!AL332</f>
        <v>0</v>
      </c>
      <c r="AP332" s="14">
        <f>_DATA_Assessment_Model!AM332</f>
        <v>0</v>
      </c>
      <c r="AQ332" s="14">
        <f>_DATA_Assessment_Model!AN332</f>
        <v>0</v>
      </c>
      <c r="AR332" s="14">
        <f>_DATA_Assessment_Model!AO332</f>
        <v>0</v>
      </c>
      <c r="AS332" s="14">
        <f>_DATA_Assessment_Model!AP332</f>
        <v>0</v>
      </c>
      <c r="AT332" s="14">
        <f>_DATA_Assessment_Model!AQ332</f>
        <v>0</v>
      </c>
      <c r="AU332" s="14" t="str">
        <f>_DATA_Assessment_Model!AR332</f>
        <v>Within target</v>
      </c>
      <c r="AV332" s="4">
        <f>_DATA_Assessment_Model!AS332</f>
        <v>0</v>
      </c>
      <c r="AW332" s="4">
        <f>_DATA_Assessment_Model!AT332</f>
        <v>0.9</v>
      </c>
      <c r="AX332" s="254"/>
      <c r="AY332">
        <f>_DATA_Assessment_Model!AV332</f>
        <v>0.9</v>
      </c>
    </row>
    <row r="333" spans="1:51" ht="69" customHeight="1">
      <c r="A333" t="s">
        <v>2729</v>
      </c>
      <c r="B333" t="s">
        <v>2729</v>
      </c>
      <c r="C333">
        <v>13</v>
      </c>
      <c r="D333" s="2" t="s">
        <v>2767</v>
      </c>
      <c r="E333" s="2" t="s">
        <v>2743</v>
      </c>
      <c r="F333" s="2" t="s">
        <v>2768</v>
      </c>
      <c r="G333" s="2" t="s">
        <v>2732</v>
      </c>
      <c r="H333" s="2" t="s">
        <v>2733</v>
      </c>
      <c r="I333" s="2" t="s">
        <v>2769</v>
      </c>
      <c r="J333" s="253">
        <v>5</v>
      </c>
      <c r="K333" s="49">
        <f>_DATA_Assessment_Model!H333</f>
        <v>0</v>
      </c>
      <c r="L333" s="3">
        <f>_DATA_Assessment_Model!I333</f>
        <v>0</v>
      </c>
      <c r="M333" s="3">
        <f>_DATA_Assessment_Model!J333</f>
        <v>5</v>
      </c>
      <c r="N333" s="3">
        <f>_DATA_Assessment_Model!K333</f>
        <v>5</v>
      </c>
      <c r="O333" s="2" t="str">
        <f>_DATA_Assessment_Model!L333</f>
        <v>Critical</v>
      </c>
      <c r="P333" s="2" t="s">
        <v>833</v>
      </c>
      <c r="Q333" s="2" t="s">
        <v>834</v>
      </c>
      <c r="R333" s="2" t="s">
        <v>835</v>
      </c>
      <c r="S333" s="2" t="s">
        <v>836</v>
      </c>
      <c r="T333" s="2" t="s">
        <v>837</v>
      </c>
      <c r="U333" s="2" t="s">
        <v>838</v>
      </c>
      <c r="V333" s="2" t="s">
        <v>2735</v>
      </c>
      <c r="W333" s="253"/>
      <c r="X333" s="253"/>
      <c r="Y333" s="253" t="s">
        <v>829</v>
      </c>
      <c r="Z333" s="6">
        <v>5</v>
      </c>
      <c r="AA333" s="6">
        <v>5</v>
      </c>
      <c r="AB333" s="6">
        <v>5</v>
      </c>
      <c r="AC333" s="254"/>
      <c r="AK333" s="255"/>
      <c r="AL333" s="255"/>
      <c r="AM333" s="14">
        <f>_DATA_Assessment_Model!AJ333</f>
        <v>0.9</v>
      </c>
      <c r="AN333" s="14">
        <f>_DATA_Assessment_Model!AK333</f>
        <v>0.9</v>
      </c>
      <c r="AO333" s="14">
        <f>_DATA_Assessment_Model!AL333</f>
        <v>0</v>
      </c>
      <c r="AP333" s="14">
        <f>_DATA_Assessment_Model!AM333</f>
        <v>0</v>
      </c>
      <c r="AQ333" s="14">
        <f>_DATA_Assessment_Model!AN333</f>
        <v>0</v>
      </c>
      <c r="AR333" s="14">
        <f>_DATA_Assessment_Model!AO333</f>
        <v>0</v>
      </c>
      <c r="AS333" s="14">
        <f>_DATA_Assessment_Model!AP333</f>
        <v>0</v>
      </c>
      <c r="AT333" s="14">
        <f>_DATA_Assessment_Model!AQ333</f>
        <v>0</v>
      </c>
      <c r="AU333" s="14" t="str">
        <f>_DATA_Assessment_Model!AR333</f>
        <v>Within target</v>
      </c>
      <c r="AV333" s="4">
        <f>_DATA_Assessment_Model!AS333</f>
        <v>0</v>
      </c>
      <c r="AW333" s="4">
        <f>_DATA_Assessment_Model!AT333</f>
        <v>0.9</v>
      </c>
      <c r="AX333" s="254"/>
      <c r="AY333">
        <f>_DATA_Assessment_Model!AV333</f>
        <v>0.9</v>
      </c>
    </row>
    <row r="334" spans="1:51" ht="69" customHeight="1">
      <c r="A334" t="s">
        <v>2729</v>
      </c>
      <c r="B334" t="s">
        <v>2729</v>
      </c>
      <c r="C334">
        <v>14</v>
      </c>
      <c r="D334" s="2" t="s">
        <v>2770</v>
      </c>
      <c r="E334" s="2" t="s">
        <v>2743</v>
      </c>
      <c r="F334" s="2" t="s">
        <v>2771</v>
      </c>
      <c r="G334" s="2" t="s">
        <v>2732</v>
      </c>
      <c r="H334" s="2" t="s">
        <v>2733</v>
      </c>
      <c r="I334" s="2" t="s">
        <v>2772</v>
      </c>
      <c r="J334" s="253">
        <v>5</v>
      </c>
      <c r="K334" s="49">
        <f>_DATA_Assessment_Model!H334</f>
        <v>0</v>
      </c>
      <c r="L334" s="3">
        <f>_DATA_Assessment_Model!I334</f>
        <v>0</v>
      </c>
      <c r="M334" s="3">
        <f>_DATA_Assessment_Model!J334</f>
        <v>5</v>
      </c>
      <c r="N334" s="3">
        <f>_DATA_Assessment_Model!K334</f>
        <v>5</v>
      </c>
      <c r="O334" s="2" t="str">
        <f>_DATA_Assessment_Model!L334</f>
        <v>Critical</v>
      </c>
      <c r="P334" s="2" t="s">
        <v>1051</v>
      </c>
      <c r="Q334" s="2" t="s">
        <v>1052</v>
      </c>
      <c r="R334" s="2" t="s">
        <v>1053</v>
      </c>
      <c r="S334" s="2" t="s">
        <v>1054</v>
      </c>
      <c r="T334" s="2" t="s">
        <v>1055</v>
      </c>
      <c r="U334" s="2" t="s">
        <v>1056</v>
      </c>
      <c r="V334" s="2" t="s">
        <v>2735</v>
      </c>
      <c r="W334" s="253"/>
      <c r="X334" s="253"/>
      <c r="Y334" s="253" t="s">
        <v>829</v>
      </c>
      <c r="Z334" s="6">
        <v>5</v>
      </c>
      <c r="AA334" s="6">
        <v>5</v>
      </c>
      <c r="AB334" s="6">
        <v>5</v>
      </c>
      <c r="AC334" s="254"/>
      <c r="AK334" s="255"/>
      <c r="AL334" s="255"/>
      <c r="AM334" s="14">
        <f>_DATA_Assessment_Model!AJ334</f>
        <v>0.9</v>
      </c>
      <c r="AN334" s="14">
        <f>_DATA_Assessment_Model!AK334</f>
        <v>0.9</v>
      </c>
      <c r="AO334" s="14">
        <f>_DATA_Assessment_Model!AL334</f>
        <v>0</v>
      </c>
      <c r="AP334" s="14">
        <f>_DATA_Assessment_Model!AM334</f>
        <v>0</v>
      </c>
      <c r="AQ334" s="14">
        <f>_DATA_Assessment_Model!AN334</f>
        <v>0</v>
      </c>
      <c r="AR334" s="14">
        <f>_DATA_Assessment_Model!AO334</f>
        <v>0</v>
      </c>
      <c r="AS334" s="14">
        <f>_DATA_Assessment_Model!AP334</f>
        <v>0</v>
      </c>
      <c r="AT334" s="14">
        <f>_DATA_Assessment_Model!AQ334</f>
        <v>0</v>
      </c>
      <c r="AU334" s="14" t="str">
        <f>_DATA_Assessment_Model!AR334</f>
        <v>Within target</v>
      </c>
      <c r="AV334" s="4">
        <f>_DATA_Assessment_Model!AS334</f>
        <v>0</v>
      </c>
      <c r="AW334" s="4">
        <f>_DATA_Assessment_Model!AT334</f>
        <v>0.9</v>
      </c>
      <c r="AX334" s="254"/>
      <c r="AY334">
        <f>_DATA_Assessment_Model!AV334</f>
        <v>0.9</v>
      </c>
    </row>
    <row r="335" spans="1:51" ht="96.65" customHeight="1">
      <c r="A335" t="s">
        <v>2729</v>
      </c>
      <c r="B335" t="s">
        <v>2729</v>
      </c>
      <c r="C335">
        <v>15</v>
      </c>
      <c r="D335" s="2" t="s">
        <v>2773</v>
      </c>
      <c r="E335" s="2" t="s">
        <v>2743</v>
      </c>
      <c r="F335" s="2" t="s">
        <v>2774</v>
      </c>
      <c r="G335" s="2" t="s">
        <v>2732</v>
      </c>
      <c r="H335" s="2" t="s">
        <v>2733</v>
      </c>
      <c r="I335" s="2" t="s">
        <v>2775</v>
      </c>
      <c r="J335" s="253">
        <v>4</v>
      </c>
      <c r="K335" s="49">
        <f>_DATA_Assessment_Model!H335</f>
        <v>0</v>
      </c>
      <c r="L335" s="3">
        <f>_DATA_Assessment_Model!I335</f>
        <v>0</v>
      </c>
      <c r="M335" s="3">
        <f>_DATA_Assessment_Model!J335</f>
        <v>4</v>
      </c>
      <c r="N335" s="3">
        <f>_DATA_Assessment_Model!K335</f>
        <v>4</v>
      </c>
      <c r="O335" s="2" t="str">
        <f>_DATA_Assessment_Model!L335</f>
        <v>Critical</v>
      </c>
      <c r="P335" s="2" t="s">
        <v>2776</v>
      </c>
      <c r="Q335" s="2" t="s">
        <v>2777</v>
      </c>
      <c r="R335" s="2" t="s">
        <v>2778</v>
      </c>
      <c r="S335" s="2" t="s">
        <v>2779</v>
      </c>
      <c r="T335" s="2" t="s">
        <v>2780</v>
      </c>
      <c r="U335" s="2" t="s">
        <v>2781</v>
      </c>
      <c r="V335" s="2" t="s">
        <v>2735</v>
      </c>
      <c r="W335" s="253"/>
      <c r="X335" s="253"/>
      <c r="Y335" s="253" t="s">
        <v>829</v>
      </c>
      <c r="Z335" s="6">
        <v>5</v>
      </c>
      <c r="AA335" s="6">
        <v>5</v>
      </c>
      <c r="AB335" s="6">
        <v>5</v>
      </c>
      <c r="AC335" s="254"/>
      <c r="AK335" s="255"/>
      <c r="AL335" s="255"/>
      <c r="AM335" s="14">
        <f>_DATA_Assessment_Model!AJ335</f>
        <v>0.9</v>
      </c>
      <c r="AN335" s="14">
        <f>_DATA_Assessment_Model!AK335</f>
        <v>0.9</v>
      </c>
      <c r="AO335" s="14">
        <f>_DATA_Assessment_Model!AL335</f>
        <v>0</v>
      </c>
      <c r="AP335" s="14">
        <f>_DATA_Assessment_Model!AM335</f>
        <v>0</v>
      </c>
      <c r="AQ335" s="14">
        <f>_DATA_Assessment_Model!AN335</f>
        <v>0</v>
      </c>
      <c r="AR335" s="14">
        <f>_DATA_Assessment_Model!AO335</f>
        <v>0</v>
      </c>
      <c r="AS335" s="14">
        <f>_DATA_Assessment_Model!AP335</f>
        <v>0</v>
      </c>
      <c r="AT335" s="14">
        <f>_DATA_Assessment_Model!AQ335</f>
        <v>0</v>
      </c>
      <c r="AU335" s="14" t="str">
        <f>_DATA_Assessment_Model!AR335</f>
        <v>Within target</v>
      </c>
      <c r="AV335" s="4">
        <f>_DATA_Assessment_Model!AS335</f>
        <v>0</v>
      </c>
      <c r="AW335" s="4">
        <f>_DATA_Assessment_Model!AT335</f>
        <v>0.9</v>
      </c>
      <c r="AX335" s="254"/>
      <c r="AY335">
        <f>_DATA_Assessment_Model!AV335</f>
        <v>0.9</v>
      </c>
    </row>
    <row r="336" spans="1:51" ht="96.65" customHeight="1">
      <c r="A336" t="s">
        <v>2729</v>
      </c>
      <c r="B336" t="s">
        <v>2729</v>
      </c>
      <c r="C336">
        <v>16</v>
      </c>
      <c r="D336" s="2" t="s">
        <v>2782</v>
      </c>
      <c r="E336" s="2" t="s">
        <v>2743</v>
      </c>
      <c r="F336" s="2" t="s">
        <v>2783</v>
      </c>
      <c r="G336" s="2" t="s">
        <v>2732</v>
      </c>
      <c r="H336" s="2" t="s">
        <v>2733</v>
      </c>
      <c r="I336" s="2" t="s">
        <v>2784</v>
      </c>
      <c r="J336" s="253">
        <v>3</v>
      </c>
      <c r="K336" s="49">
        <f>_DATA_Assessment_Model!H336</f>
        <v>0</v>
      </c>
      <c r="L336" s="3">
        <f>_DATA_Assessment_Model!I336</f>
        <v>0</v>
      </c>
      <c r="M336" s="3">
        <f>_DATA_Assessment_Model!J336</f>
        <v>3</v>
      </c>
      <c r="N336" s="3">
        <f>_DATA_Assessment_Model!K336</f>
        <v>3</v>
      </c>
      <c r="O336" s="2" t="str">
        <f>_DATA_Assessment_Model!L336</f>
        <v>Critical</v>
      </c>
      <c r="P336" s="2" t="s">
        <v>2785</v>
      </c>
      <c r="Q336" s="2" t="s">
        <v>2786</v>
      </c>
      <c r="R336" s="2" t="s">
        <v>2787</v>
      </c>
      <c r="S336" s="2" t="s">
        <v>2788</v>
      </c>
      <c r="T336" s="2" t="s">
        <v>2789</v>
      </c>
      <c r="U336" s="2" t="s">
        <v>2790</v>
      </c>
      <c r="V336" s="2" t="s">
        <v>2735</v>
      </c>
      <c r="W336" s="253"/>
      <c r="X336" s="253"/>
      <c r="Y336" s="253" t="s">
        <v>829</v>
      </c>
      <c r="Z336" s="6">
        <v>5</v>
      </c>
      <c r="AA336" s="6">
        <v>5</v>
      </c>
      <c r="AB336" s="6">
        <v>5</v>
      </c>
      <c r="AC336" s="254"/>
      <c r="AK336" s="255"/>
      <c r="AL336" s="255"/>
      <c r="AM336" s="14">
        <f>_DATA_Assessment_Model!AJ336</f>
        <v>0.9</v>
      </c>
      <c r="AN336" s="14">
        <f>_DATA_Assessment_Model!AK336</f>
        <v>0.9</v>
      </c>
      <c r="AO336" s="14">
        <f>_DATA_Assessment_Model!AL336</f>
        <v>0</v>
      </c>
      <c r="AP336" s="14">
        <f>_DATA_Assessment_Model!AM336</f>
        <v>0</v>
      </c>
      <c r="AQ336" s="14">
        <f>_DATA_Assessment_Model!AN336</f>
        <v>0</v>
      </c>
      <c r="AR336" s="14">
        <f>_DATA_Assessment_Model!AO336</f>
        <v>0</v>
      </c>
      <c r="AS336" s="14">
        <f>_DATA_Assessment_Model!AP336</f>
        <v>0</v>
      </c>
      <c r="AT336" s="14">
        <f>_DATA_Assessment_Model!AQ336</f>
        <v>0</v>
      </c>
      <c r="AU336" s="14" t="str">
        <f>_DATA_Assessment_Model!AR336</f>
        <v>Within target</v>
      </c>
      <c r="AV336" s="4">
        <f>_DATA_Assessment_Model!AS336</f>
        <v>0</v>
      </c>
      <c r="AW336" s="4">
        <f>_DATA_Assessment_Model!AT336</f>
        <v>0.9</v>
      </c>
      <c r="AX336" s="254"/>
      <c r="AY336">
        <f>_DATA_Assessment_Model!AV336</f>
        <v>0.9</v>
      </c>
    </row>
    <row r="337" spans="1:51" ht="82.85" customHeight="1">
      <c r="A337" t="s">
        <v>2729</v>
      </c>
      <c r="B337" t="s">
        <v>2729</v>
      </c>
      <c r="C337">
        <v>17</v>
      </c>
      <c r="D337" s="2" t="s">
        <v>2791</v>
      </c>
      <c r="E337" s="2" t="s">
        <v>2747</v>
      </c>
      <c r="F337" s="2" t="s">
        <v>2792</v>
      </c>
      <c r="G337" s="2" t="s">
        <v>2732</v>
      </c>
      <c r="H337" s="2" t="s">
        <v>2733</v>
      </c>
      <c r="I337" s="2" t="s">
        <v>2793</v>
      </c>
      <c r="J337" s="253">
        <v>5</v>
      </c>
      <c r="K337" s="49">
        <f>_DATA_Assessment_Model!H337</f>
        <v>0</v>
      </c>
      <c r="L337" s="3">
        <f>_DATA_Assessment_Model!I337</f>
        <v>0</v>
      </c>
      <c r="M337" s="3">
        <f>_DATA_Assessment_Model!J337</f>
        <v>5</v>
      </c>
      <c r="N337" s="3">
        <f>_DATA_Assessment_Model!K337</f>
        <v>5</v>
      </c>
      <c r="O337" s="2" t="str">
        <f>_DATA_Assessment_Model!L337</f>
        <v>Critical</v>
      </c>
      <c r="P337" s="2" t="s">
        <v>833</v>
      </c>
      <c r="Q337" s="2" t="s">
        <v>834</v>
      </c>
      <c r="R337" s="2" t="s">
        <v>835</v>
      </c>
      <c r="S337" s="2" t="s">
        <v>836</v>
      </c>
      <c r="T337" s="2" t="s">
        <v>837</v>
      </c>
      <c r="U337" s="2" t="s">
        <v>838</v>
      </c>
      <c r="V337" s="2" t="s">
        <v>2735</v>
      </c>
      <c r="W337" s="253"/>
      <c r="X337" s="253"/>
      <c r="Y337" s="253" t="s">
        <v>829</v>
      </c>
      <c r="Z337" s="6">
        <v>5</v>
      </c>
      <c r="AA337" s="6">
        <v>5</v>
      </c>
      <c r="AB337" s="6">
        <v>5</v>
      </c>
      <c r="AC337" s="254"/>
      <c r="AK337" s="255"/>
      <c r="AL337" s="255"/>
      <c r="AM337" s="14">
        <f>_DATA_Assessment_Model!AJ337</f>
        <v>0.9</v>
      </c>
      <c r="AN337" s="14">
        <f>_DATA_Assessment_Model!AK337</f>
        <v>0.9</v>
      </c>
      <c r="AO337" s="14">
        <f>_DATA_Assessment_Model!AL337</f>
        <v>0</v>
      </c>
      <c r="AP337" s="14">
        <f>_DATA_Assessment_Model!AM337</f>
        <v>0</v>
      </c>
      <c r="AQ337" s="14">
        <f>_DATA_Assessment_Model!AN337</f>
        <v>0</v>
      </c>
      <c r="AR337" s="14">
        <f>_DATA_Assessment_Model!AO337</f>
        <v>0</v>
      </c>
      <c r="AS337" s="14">
        <f>_DATA_Assessment_Model!AP337</f>
        <v>0</v>
      </c>
      <c r="AT337" s="14">
        <f>_DATA_Assessment_Model!AQ337</f>
        <v>0</v>
      </c>
      <c r="AU337" s="14" t="str">
        <f>_DATA_Assessment_Model!AR337</f>
        <v>Within target</v>
      </c>
      <c r="AV337" s="4">
        <f>_DATA_Assessment_Model!AS337</f>
        <v>0</v>
      </c>
      <c r="AW337" s="4">
        <f>_DATA_Assessment_Model!AT337</f>
        <v>0.9</v>
      </c>
      <c r="AX337" s="254"/>
      <c r="AY337">
        <f>_DATA_Assessment_Model!AV337</f>
        <v>0.9</v>
      </c>
    </row>
    <row r="338" spans="1:51" ht="82.85" customHeight="1">
      <c r="A338" t="s">
        <v>2729</v>
      </c>
      <c r="B338" t="s">
        <v>2729</v>
      </c>
      <c r="C338">
        <v>18</v>
      </c>
      <c r="D338" s="2" t="s">
        <v>2794</v>
      </c>
      <c r="E338" s="2" t="s">
        <v>2747</v>
      </c>
      <c r="F338" s="2" t="s">
        <v>2795</v>
      </c>
      <c r="G338" s="2" t="s">
        <v>2732</v>
      </c>
      <c r="H338" s="2" t="s">
        <v>2733</v>
      </c>
      <c r="I338" s="2" t="s">
        <v>2796</v>
      </c>
      <c r="J338" s="253">
        <v>5</v>
      </c>
      <c r="K338" s="49">
        <f>_DATA_Assessment_Model!H338</f>
        <v>0</v>
      </c>
      <c r="L338" s="3">
        <f>_DATA_Assessment_Model!I338</f>
        <v>0</v>
      </c>
      <c r="M338" s="3">
        <f>_DATA_Assessment_Model!J338</f>
        <v>5</v>
      </c>
      <c r="N338" s="3">
        <f>_DATA_Assessment_Model!K338</f>
        <v>5</v>
      </c>
      <c r="O338" s="2" t="str">
        <f>_DATA_Assessment_Model!L338</f>
        <v>Critical</v>
      </c>
      <c r="P338" s="2" t="s">
        <v>833</v>
      </c>
      <c r="Q338" s="2" t="s">
        <v>834</v>
      </c>
      <c r="R338" s="2" t="s">
        <v>835</v>
      </c>
      <c r="S338" s="2" t="s">
        <v>836</v>
      </c>
      <c r="T338" s="2" t="s">
        <v>837</v>
      </c>
      <c r="U338" s="2" t="s">
        <v>838</v>
      </c>
      <c r="V338" s="2" t="s">
        <v>2735</v>
      </c>
      <c r="W338" s="253"/>
      <c r="X338" s="253"/>
      <c r="Y338" s="253" t="s">
        <v>829</v>
      </c>
      <c r="Z338" s="6">
        <v>5</v>
      </c>
      <c r="AA338" s="6">
        <v>5</v>
      </c>
      <c r="AB338" s="6">
        <v>5</v>
      </c>
      <c r="AC338" s="254"/>
      <c r="AK338" s="255"/>
      <c r="AL338" s="255"/>
      <c r="AM338" s="14">
        <f>_DATA_Assessment_Model!AJ338</f>
        <v>0.9</v>
      </c>
      <c r="AN338" s="14">
        <f>_DATA_Assessment_Model!AK338</f>
        <v>0.9</v>
      </c>
      <c r="AO338" s="14">
        <f>_DATA_Assessment_Model!AL338</f>
        <v>0</v>
      </c>
      <c r="AP338" s="14">
        <f>_DATA_Assessment_Model!AM338</f>
        <v>0</v>
      </c>
      <c r="AQ338" s="14">
        <f>_DATA_Assessment_Model!AN338</f>
        <v>0</v>
      </c>
      <c r="AR338" s="14">
        <f>_DATA_Assessment_Model!AO338</f>
        <v>0</v>
      </c>
      <c r="AS338" s="14">
        <f>_DATA_Assessment_Model!AP338</f>
        <v>0</v>
      </c>
      <c r="AT338" s="14">
        <f>_DATA_Assessment_Model!AQ338</f>
        <v>0</v>
      </c>
      <c r="AU338" s="14" t="str">
        <f>_DATA_Assessment_Model!AR338</f>
        <v>Within target</v>
      </c>
      <c r="AV338" s="4">
        <f>_DATA_Assessment_Model!AS338</f>
        <v>0</v>
      </c>
      <c r="AW338" s="4">
        <f>_DATA_Assessment_Model!AT338</f>
        <v>0.9</v>
      </c>
      <c r="AX338" s="254"/>
      <c r="AY338">
        <f>_DATA_Assessment_Model!AV338</f>
        <v>0.9</v>
      </c>
    </row>
    <row r="339" spans="1:51" ht="82.85" customHeight="1">
      <c r="A339" t="s">
        <v>2729</v>
      </c>
      <c r="B339" t="s">
        <v>2729</v>
      </c>
      <c r="C339">
        <v>19</v>
      </c>
      <c r="D339" s="2" t="s">
        <v>2797</v>
      </c>
      <c r="E339" s="2" t="s">
        <v>2747</v>
      </c>
      <c r="F339" s="2" t="s">
        <v>2798</v>
      </c>
      <c r="G339" s="2" t="s">
        <v>2732</v>
      </c>
      <c r="H339" s="2" t="s">
        <v>2733</v>
      </c>
      <c r="I339" s="2" t="s">
        <v>2799</v>
      </c>
      <c r="J339" s="253">
        <v>5</v>
      </c>
      <c r="K339" s="49">
        <f>_DATA_Assessment_Model!H339</f>
        <v>0</v>
      </c>
      <c r="L339" s="3">
        <f>_DATA_Assessment_Model!I339</f>
        <v>0</v>
      </c>
      <c r="M339" s="3">
        <f>_DATA_Assessment_Model!J339</f>
        <v>5</v>
      </c>
      <c r="N339" s="3">
        <f>_DATA_Assessment_Model!K339</f>
        <v>5</v>
      </c>
      <c r="O339" s="2" t="str">
        <f>_DATA_Assessment_Model!L339</f>
        <v>Critical</v>
      </c>
      <c r="P339" s="2" t="s">
        <v>833</v>
      </c>
      <c r="Q339" s="2" t="s">
        <v>834</v>
      </c>
      <c r="R339" s="2" t="s">
        <v>835</v>
      </c>
      <c r="S339" s="2" t="s">
        <v>836</v>
      </c>
      <c r="T339" s="2" t="s">
        <v>837</v>
      </c>
      <c r="U339" s="2" t="s">
        <v>838</v>
      </c>
      <c r="V339" s="2" t="s">
        <v>2735</v>
      </c>
      <c r="W339" s="253"/>
      <c r="X339" s="253"/>
      <c r="Y339" s="253" t="s">
        <v>829</v>
      </c>
      <c r="Z339" s="6">
        <v>5</v>
      </c>
      <c r="AA339" s="6">
        <v>5</v>
      </c>
      <c r="AB339" s="6">
        <v>5</v>
      </c>
      <c r="AC339" s="254"/>
      <c r="AK339" s="255"/>
      <c r="AL339" s="255"/>
      <c r="AM339" s="14">
        <f>_DATA_Assessment_Model!AJ339</f>
        <v>0.9</v>
      </c>
      <c r="AN339" s="14">
        <f>_DATA_Assessment_Model!AK339</f>
        <v>0.9</v>
      </c>
      <c r="AO339" s="14">
        <f>_DATA_Assessment_Model!AL339</f>
        <v>0</v>
      </c>
      <c r="AP339" s="14">
        <f>_DATA_Assessment_Model!AM339</f>
        <v>0</v>
      </c>
      <c r="AQ339" s="14">
        <f>_DATA_Assessment_Model!AN339</f>
        <v>0</v>
      </c>
      <c r="AR339" s="14">
        <f>_DATA_Assessment_Model!AO339</f>
        <v>0</v>
      </c>
      <c r="AS339" s="14">
        <f>_DATA_Assessment_Model!AP339</f>
        <v>0</v>
      </c>
      <c r="AT339" s="14">
        <f>_DATA_Assessment_Model!AQ339</f>
        <v>0</v>
      </c>
      <c r="AU339" s="14" t="str">
        <f>_DATA_Assessment_Model!AR339</f>
        <v>Within target</v>
      </c>
      <c r="AV339" s="4">
        <f>_DATA_Assessment_Model!AS339</f>
        <v>0</v>
      </c>
      <c r="AW339" s="4">
        <f>_DATA_Assessment_Model!AT339</f>
        <v>0.9</v>
      </c>
      <c r="AX339" s="254"/>
      <c r="AY339">
        <f>_DATA_Assessment_Model!AV339</f>
        <v>0.9</v>
      </c>
    </row>
    <row r="340" spans="1:51" ht="96.65" customHeight="1">
      <c r="A340" t="s">
        <v>2729</v>
      </c>
      <c r="B340" t="s">
        <v>2729</v>
      </c>
      <c r="C340">
        <v>20</v>
      </c>
      <c r="D340" s="2" t="s">
        <v>2800</v>
      </c>
      <c r="E340" s="2" t="s">
        <v>2751</v>
      </c>
      <c r="F340" s="2" t="s">
        <v>2801</v>
      </c>
      <c r="G340" s="2" t="s">
        <v>2732</v>
      </c>
      <c r="H340" s="2" t="s">
        <v>2733</v>
      </c>
      <c r="I340" s="2" t="s">
        <v>2802</v>
      </c>
      <c r="J340" s="253">
        <v>4</v>
      </c>
      <c r="K340" s="49">
        <f>_DATA_Assessment_Model!H340</f>
        <v>0</v>
      </c>
      <c r="L340" s="3">
        <f>_DATA_Assessment_Model!I340</f>
        <v>0</v>
      </c>
      <c r="M340" s="3">
        <f>_DATA_Assessment_Model!J340</f>
        <v>4</v>
      </c>
      <c r="N340" s="3">
        <f>_DATA_Assessment_Model!K340</f>
        <v>4</v>
      </c>
      <c r="O340" s="2" t="str">
        <f>_DATA_Assessment_Model!L340</f>
        <v>Critical</v>
      </c>
      <c r="P340" s="2" t="s">
        <v>2803</v>
      </c>
      <c r="Q340" s="2" t="s">
        <v>2804</v>
      </c>
      <c r="R340" s="2" t="s">
        <v>2805</v>
      </c>
      <c r="S340" s="2" t="s">
        <v>2806</v>
      </c>
      <c r="T340" s="2" t="s">
        <v>2807</v>
      </c>
      <c r="U340" s="2" t="s">
        <v>2808</v>
      </c>
      <c r="V340" s="2" t="s">
        <v>2735</v>
      </c>
      <c r="W340" s="253"/>
      <c r="X340" s="253"/>
      <c r="Y340" s="253" t="s">
        <v>829</v>
      </c>
      <c r="Z340" s="6">
        <v>5</v>
      </c>
      <c r="AA340" s="6">
        <v>5</v>
      </c>
      <c r="AB340" s="6">
        <v>5</v>
      </c>
      <c r="AC340" s="254"/>
      <c r="AK340" s="255"/>
      <c r="AL340" s="255"/>
      <c r="AM340" s="14">
        <f>_DATA_Assessment_Model!AJ340</f>
        <v>0.9</v>
      </c>
      <c r="AN340" s="14">
        <f>_DATA_Assessment_Model!AK340</f>
        <v>0.9</v>
      </c>
      <c r="AO340" s="14">
        <f>_DATA_Assessment_Model!AL340</f>
        <v>0</v>
      </c>
      <c r="AP340" s="14">
        <f>_DATA_Assessment_Model!AM340</f>
        <v>0</v>
      </c>
      <c r="AQ340" s="14">
        <f>_DATA_Assessment_Model!AN340</f>
        <v>0</v>
      </c>
      <c r="AR340" s="14">
        <f>_DATA_Assessment_Model!AO340</f>
        <v>0</v>
      </c>
      <c r="AS340" s="14">
        <f>_DATA_Assessment_Model!AP340</f>
        <v>0</v>
      </c>
      <c r="AT340" s="14">
        <f>_DATA_Assessment_Model!AQ340</f>
        <v>0</v>
      </c>
      <c r="AU340" s="14" t="str">
        <f>_DATA_Assessment_Model!AR340</f>
        <v>Within target</v>
      </c>
      <c r="AV340" s="4">
        <f>_DATA_Assessment_Model!AS340</f>
        <v>0</v>
      </c>
      <c r="AW340" s="4">
        <f>_DATA_Assessment_Model!AT340</f>
        <v>0.9</v>
      </c>
      <c r="AX340" s="254"/>
      <c r="AY340">
        <f>_DATA_Assessment_Model!AV340</f>
        <v>0.9</v>
      </c>
    </row>
    <row r="341" spans="1:51" ht="82.85" customHeight="1">
      <c r="A341" t="s">
        <v>2729</v>
      </c>
      <c r="B341" t="s">
        <v>2729</v>
      </c>
      <c r="C341">
        <v>21</v>
      </c>
      <c r="D341" s="2" t="s">
        <v>2809</v>
      </c>
      <c r="E341" s="2" t="s">
        <v>2751</v>
      </c>
      <c r="F341" s="2" t="s">
        <v>2810</v>
      </c>
      <c r="G341" s="2" t="s">
        <v>2732</v>
      </c>
      <c r="H341" s="2" t="s">
        <v>2733</v>
      </c>
      <c r="I341" s="2" t="s">
        <v>2811</v>
      </c>
      <c r="J341" s="253">
        <v>5</v>
      </c>
      <c r="K341" s="49">
        <f>_DATA_Assessment_Model!H341</f>
        <v>0</v>
      </c>
      <c r="L341" s="3">
        <f>_DATA_Assessment_Model!I341</f>
        <v>0</v>
      </c>
      <c r="M341" s="3">
        <f>_DATA_Assessment_Model!J341</f>
        <v>5</v>
      </c>
      <c r="N341" s="3">
        <f>_DATA_Assessment_Model!K341</f>
        <v>5</v>
      </c>
      <c r="O341" s="2" t="str">
        <f>_DATA_Assessment_Model!L341</f>
        <v>Critical</v>
      </c>
      <c r="P341" s="2" t="s">
        <v>833</v>
      </c>
      <c r="Q341" s="2" t="s">
        <v>834</v>
      </c>
      <c r="R341" s="2" t="s">
        <v>835</v>
      </c>
      <c r="S341" s="2" t="s">
        <v>836</v>
      </c>
      <c r="T341" s="2" t="s">
        <v>837</v>
      </c>
      <c r="U341" s="2" t="s">
        <v>838</v>
      </c>
      <c r="V341" s="2" t="s">
        <v>2735</v>
      </c>
      <c r="W341" s="253"/>
      <c r="X341" s="253"/>
      <c r="Y341" s="253" t="s">
        <v>829</v>
      </c>
      <c r="Z341" s="6">
        <v>5</v>
      </c>
      <c r="AA341" s="6">
        <v>5</v>
      </c>
      <c r="AB341" s="6">
        <v>5</v>
      </c>
      <c r="AC341" s="254"/>
      <c r="AK341" s="255"/>
      <c r="AL341" s="255"/>
      <c r="AM341" s="14">
        <f>_DATA_Assessment_Model!AJ341</f>
        <v>0.9</v>
      </c>
      <c r="AN341" s="14">
        <f>_DATA_Assessment_Model!AK341</f>
        <v>0.9</v>
      </c>
      <c r="AO341" s="14">
        <f>_DATA_Assessment_Model!AL341</f>
        <v>0</v>
      </c>
      <c r="AP341" s="14">
        <f>_DATA_Assessment_Model!AM341</f>
        <v>0</v>
      </c>
      <c r="AQ341" s="14">
        <f>_DATA_Assessment_Model!AN341</f>
        <v>0</v>
      </c>
      <c r="AR341" s="14">
        <f>_DATA_Assessment_Model!AO341</f>
        <v>0</v>
      </c>
      <c r="AS341" s="14">
        <f>_DATA_Assessment_Model!AP341</f>
        <v>0</v>
      </c>
      <c r="AT341" s="14">
        <f>_DATA_Assessment_Model!AQ341</f>
        <v>0</v>
      </c>
      <c r="AU341" s="14" t="str">
        <f>_DATA_Assessment_Model!AR341</f>
        <v>Within target</v>
      </c>
      <c r="AV341" s="4">
        <f>_DATA_Assessment_Model!AS341</f>
        <v>0</v>
      </c>
      <c r="AW341" s="4">
        <f>_DATA_Assessment_Model!AT341</f>
        <v>0.9</v>
      </c>
      <c r="AX341" s="254"/>
      <c r="AY341">
        <f>_DATA_Assessment_Model!AV341</f>
        <v>0.9</v>
      </c>
    </row>
    <row r="342" spans="1:51" ht="82.85" customHeight="1">
      <c r="A342" t="s">
        <v>2729</v>
      </c>
      <c r="B342" t="s">
        <v>2729</v>
      </c>
      <c r="C342">
        <v>22</v>
      </c>
      <c r="D342" s="2" t="s">
        <v>2812</v>
      </c>
      <c r="E342" s="2" t="s">
        <v>2751</v>
      </c>
      <c r="F342" s="2" t="s">
        <v>2813</v>
      </c>
      <c r="G342" s="2" t="s">
        <v>2732</v>
      </c>
      <c r="H342" s="2" t="s">
        <v>2733</v>
      </c>
      <c r="I342" s="2" t="s">
        <v>2814</v>
      </c>
      <c r="J342" s="253">
        <v>5</v>
      </c>
      <c r="K342" s="49">
        <f>_DATA_Assessment_Model!H342</f>
        <v>0</v>
      </c>
      <c r="L342" s="3">
        <f>_DATA_Assessment_Model!I342</f>
        <v>0</v>
      </c>
      <c r="M342" s="3">
        <f>_DATA_Assessment_Model!J342</f>
        <v>5</v>
      </c>
      <c r="N342" s="3">
        <f>_DATA_Assessment_Model!K342</f>
        <v>5</v>
      </c>
      <c r="O342" s="2" t="str">
        <f>_DATA_Assessment_Model!L342</f>
        <v>Critical</v>
      </c>
      <c r="P342" s="2" t="s">
        <v>1051</v>
      </c>
      <c r="Q342" s="2" t="s">
        <v>1052</v>
      </c>
      <c r="R342" s="2" t="s">
        <v>1053</v>
      </c>
      <c r="S342" s="2" t="s">
        <v>1054</v>
      </c>
      <c r="T342" s="2" t="s">
        <v>1055</v>
      </c>
      <c r="U342" s="2" t="s">
        <v>1056</v>
      </c>
      <c r="V342" s="2" t="s">
        <v>2735</v>
      </c>
      <c r="W342" s="253"/>
      <c r="X342" s="253"/>
      <c r="Y342" s="253" t="s">
        <v>829</v>
      </c>
      <c r="Z342" s="6">
        <v>5</v>
      </c>
      <c r="AA342" s="6">
        <v>5</v>
      </c>
      <c r="AB342" s="6">
        <v>5</v>
      </c>
      <c r="AC342" s="254"/>
      <c r="AK342" s="255"/>
      <c r="AL342" s="255"/>
      <c r="AM342" s="14">
        <f>_DATA_Assessment_Model!AJ342</f>
        <v>0.9</v>
      </c>
      <c r="AN342" s="14">
        <f>_DATA_Assessment_Model!AK342</f>
        <v>0.9</v>
      </c>
      <c r="AO342" s="14">
        <f>_DATA_Assessment_Model!AL342</f>
        <v>0</v>
      </c>
      <c r="AP342" s="14">
        <f>_DATA_Assessment_Model!AM342</f>
        <v>0</v>
      </c>
      <c r="AQ342" s="14">
        <f>_DATA_Assessment_Model!AN342</f>
        <v>0</v>
      </c>
      <c r="AR342" s="14">
        <f>_DATA_Assessment_Model!AO342</f>
        <v>0</v>
      </c>
      <c r="AS342" s="14">
        <f>_DATA_Assessment_Model!AP342</f>
        <v>0</v>
      </c>
      <c r="AT342" s="14">
        <f>_DATA_Assessment_Model!AQ342</f>
        <v>0</v>
      </c>
      <c r="AU342" s="14" t="str">
        <f>_DATA_Assessment_Model!AR342</f>
        <v>Within target</v>
      </c>
      <c r="AV342" s="4">
        <f>_DATA_Assessment_Model!AS342</f>
        <v>0</v>
      </c>
      <c r="AW342" s="4">
        <f>_DATA_Assessment_Model!AT342</f>
        <v>0.9</v>
      </c>
      <c r="AX342" s="254"/>
      <c r="AY342">
        <f>_DATA_Assessment_Model!AV342</f>
        <v>0.9</v>
      </c>
    </row>
    <row r="343" spans="1:51" ht="69" customHeight="1">
      <c r="A343" t="s">
        <v>2729</v>
      </c>
      <c r="B343" t="s">
        <v>2729</v>
      </c>
      <c r="C343">
        <v>23</v>
      </c>
      <c r="D343" s="2" t="s">
        <v>2815</v>
      </c>
      <c r="E343" s="2" t="s">
        <v>2751</v>
      </c>
      <c r="F343" s="2" t="s">
        <v>2816</v>
      </c>
      <c r="G343" s="2" t="s">
        <v>2732</v>
      </c>
      <c r="H343" s="2" t="s">
        <v>2733</v>
      </c>
      <c r="I343" s="2" t="s">
        <v>2817</v>
      </c>
      <c r="J343" s="253">
        <v>5</v>
      </c>
      <c r="K343" s="49">
        <f>_DATA_Assessment_Model!H343</f>
        <v>0</v>
      </c>
      <c r="L343" s="3">
        <f>_DATA_Assessment_Model!I343</f>
        <v>0</v>
      </c>
      <c r="M343" s="3">
        <f>_DATA_Assessment_Model!J343</f>
        <v>5</v>
      </c>
      <c r="N343" s="3">
        <f>_DATA_Assessment_Model!K343</f>
        <v>5</v>
      </c>
      <c r="O343" s="2" t="str">
        <f>_DATA_Assessment_Model!L343</f>
        <v>Critical</v>
      </c>
      <c r="P343" s="2" t="s">
        <v>833</v>
      </c>
      <c r="Q343" s="2" t="s">
        <v>834</v>
      </c>
      <c r="R343" s="2" t="s">
        <v>835</v>
      </c>
      <c r="S343" s="2" t="s">
        <v>836</v>
      </c>
      <c r="T343" s="2" t="s">
        <v>837</v>
      </c>
      <c r="U343" s="2" t="s">
        <v>838</v>
      </c>
      <c r="V343" s="2" t="s">
        <v>2735</v>
      </c>
      <c r="W343" s="253"/>
      <c r="X343" s="253"/>
      <c r="Y343" s="253" t="s">
        <v>829</v>
      </c>
      <c r="Z343" s="6">
        <v>5</v>
      </c>
      <c r="AA343" s="6">
        <v>5</v>
      </c>
      <c r="AB343" s="6">
        <v>5</v>
      </c>
      <c r="AC343" s="254"/>
      <c r="AK343" s="255"/>
      <c r="AL343" s="255"/>
      <c r="AM343" s="14">
        <f>_DATA_Assessment_Model!AJ343</f>
        <v>0.9</v>
      </c>
      <c r="AN343" s="14">
        <f>_DATA_Assessment_Model!AK343</f>
        <v>0.9</v>
      </c>
      <c r="AO343" s="14">
        <f>_DATA_Assessment_Model!AL343</f>
        <v>0</v>
      </c>
      <c r="AP343" s="14">
        <f>_DATA_Assessment_Model!AM343</f>
        <v>0</v>
      </c>
      <c r="AQ343" s="14">
        <f>_DATA_Assessment_Model!AN343</f>
        <v>0</v>
      </c>
      <c r="AR343" s="14">
        <f>_DATA_Assessment_Model!AO343</f>
        <v>0</v>
      </c>
      <c r="AS343" s="14">
        <f>_DATA_Assessment_Model!AP343</f>
        <v>0</v>
      </c>
      <c r="AT343" s="14">
        <f>_DATA_Assessment_Model!AQ343</f>
        <v>0</v>
      </c>
      <c r="AU343" s="14" t="str">
        <f>_DATA_Assessment_Model!AR343</f>
        <v>Within target</v>
      </c>
      <c r="AV343" s="4">
        <f>_DATA_Assessment_Model!AS343</f>
        <v>0</v>
      </c>
      <c r="AW343" s="4">
        <f>_DATA_Assessment_Model!AT343</f>
        <v>0.9</v>
      </c>
      <c r="AX343" s="254"/>
      <c r="AY343">
        <f>_DATA_Assessment_Model!AV343</f>
        <v>0.9</v>
      </c>
    </row>
    <row r="344" spans="1:51" ht="69" customHeight="1">
      <c r="A344" t="s">
        <v>2729</v>
      </c>
      <c r="B344" t="s">
        <v>2729</v>
      </c>
      <c r="C344">
        <v>24</v>
      </c>
      <c r="D344" s="2" t="s">
        <v>2818</v>
      </c>
      <c r="E344" s="2" t="s">
        <v>2751</v>
      </c>
      <c r="F344" s="2" t="s">
        <v>2819</v>
      </c>
      <c r="G344" s="2" t="s">
        <v>2732</v>
      </c>
      <c r="H344" s="2" t="s">
        <v>2733</v>
      </c>
      <c r="I344" s="2" t="s">
        <v>2820</v>
      </c>
      <c r="J344" s="253">
        <v>5</v>
      </c>
      <c r="K344" s="49">
        <f>_DATA_Assessment_Model!H344</f>
        <v>0</v>
      </c>
      <c r="L344" s="3">
        <f>_DATA_Assessment_Model!I344</f>
        <v>0</v>
      </c>
      <c r="M344" s="3">
        <f>_DATA_Assessment_Model!J344</f>
        <v>5</v>
      </c>
      <c r="N344" s="3">
        <f>_DATA_Assessment_Model!K344</f>
        <v>5</v>
      </c>
      <c r="O344" s="2" t="str">
        <f>_DATA_Assessment_Model!L344</f>
        <v>Critical</v>
      </c>
      <c r="P344" s="2" t="s">
        <v>874</v>
      </c>
      <c r="Q344" s="2" t="s">
        <v>875</v>
      </c>
      <c r="R344" s="2" t="s">
        <v>876</v>
      </c>
      <c r="S344" s="2" t="s">
        <v>877</v>
      </c>
      <c r="T344" s="2" t="s">
        <v>878</v>
      </c>
      <c r="U344" s="2" t="s">
        <v>879</v>
      </c>
      <c r="V344" s="2" t="s">
        <v>2735</v>
      </c>
      <c r="W344" s="253"/>
      <c r="X344" s="253"/>
      <c r="Y344" s="253" t="s">
        <v>829</v>
      </c>
      <c r="Z344" s="6">
        <v>5</v>
      </c>
      <c r="AA344" s="6">
        <v>5</v>
      </c>
      <c r="AB344" s="6">
        <v>5</v>
      </c>
      <c r="AC344" s="254"/>
      <c r="AK344" s="255"/>
      <c r="AL344" s="255"/>
      <c r="AM344" s="14">
        <f>_DATA_Assessment_Model!AJ344</f>
        <v>0.9</v>
      </c>
      <c r="AN344" s="14">
        <f>_DATA_Assessment_Model!AK344</f>
        <v>0.9</v>
      </c>
      <c r="AO344" s="14">
        <f>_DATA_Assessment_Model!AL344</f>
        <v>0</v>
      </c>
      <c r="AP344" s="14">
        <f>_DATA_Assessment_Model!AM344</f>
        <v>0</v>
      </c>
      <c r="AQ344" s="14">
        <f>_DATA_Assessment_Model!AN344</f>
        <v>0</v>
      </c>
      <c r="AR344" s="14">
        <f>_DATA_Assessment_Model!AO344</f>
        <v>0</v>
      </c>
      <c r="AS344" s="14">
        <f>_DATA_Assessment_Model!AP344</f>
        <v>0</v>
      </c>
      <c r="AT344" s="14">
        <f>_DATA_Assessment_Model!AQ344</f>
        <v>0</v>
      </c>
      <c r="AU344" s="14" t="str">
        <f>_DATA_Assessment_Model!AR344</f>
        <v>Within target</v>
      </c>
      <c r="AV344" s="4">
        <f>_DATA_Assessment_Model!AS344</f>
        <v>0</v>
      </c>
      <c r="AW344" s="4">
        <f>_DATA_Assessment_Model!AT344</f>
        <v>0.9</v>
      </c>
      <c r="AX344" s="254"/>
      <c r="AY344">
        <f>_DATA_Assessment_Model!AV344</f>
        <v>0.9</v>
      </c>
    </row>
    <row r="345" spans="1:51" ht="69" customHeight="1">
      <c r="A345" t="s">
        <v>2729</v>
      </c>
      <c r="B345" t="s">
        <v>2729</v>
      </c>
      <c r="C345">
        <v>25</v>
      </c>
      <c r="D345" s="2" t="s">
        <v>2821</v>
      </c>
      <c r="E345" s="2" t="s">
        <v>2751</v>
      </c>
      <c r="F345" s="2" t="s">
        <v>2822</v>
      </c>
      <c r="G345" s="2" t="s">
        <v>2732</v>
      </c>
      <c r="H345" s="2" t="s">
        <v>2733</v>
      </c>
      <c r="I345" s="2" t="s">
        <v>2823</v>
      </c>
      <c r="J345" s="253">
        <v>5</v>
      </c>
      <c r="K345" s="49">
        <f>_DATA_Assessment_Model!H345</f>
        <v>0</v>
      </c>
      <c r="L345" s="3">
        <f>_DATA_Assessment_Model!I345</f>
        <v>0</v>
      </c>
      <c r="M345" s="3">
        <f>_DATA_Assessment_Model!J345</f>
        <v>5</v>
      </c>
      <c r="N345" s="3">
        <f>_DATA_Assessment_Model!K345</f>
        <v>5</v>
      </c>
      <c r="O345" s="2" t="str">
        <f>_DATA_Assessment_Model!L345</f>
        <v>Critical</v>
      </c>
      <c r="P345" s="2" t="s">
        <v>833</v>
      </c>
      <c r="Q345" s="2" t="s">
        <v>834</v>
      </c>
      <c r="R345" s="2" t="s">
        <v>835</v>
      </c>
      <c r="S345" s="2" t="s">
        <v>836</v>
      </c>
      <c r="T345" s="2" t="s">
        <v>837</v>
      </c>
      <c r="U345" s="2" t="s">
        <v>838</v>
      </c>
      <c r="V345" s="2" t="s">
        <v>2735</v>
      </c>
      <c r="W345" s="253"/>
      <c r="X345" s="253"/>
      <c r="Y345" s="253" t="s">
        <v>829</v>
      </c>
      <c r="Z345" s="6">
        <v>5</v>
      </c>
      <c r="AA345" s="6">
        <v>5</v>
      </c>
      <c r="AB345" s="6">
        <v>5</v>
      </c>
      <c r="AC345" s="254"/>
      <c r="AK345" s="255"/>
      <c r="AL345" s="255"/>
      <c r="AM345" s="14">
        <f>_DATA_Assessment_Model!AJ345</f>
        <v>0.9</v>
      </c>
      <c r="AN345" s="14">
        <f>_DATA_Assessment_Model!AK345</f>
        <v>0.9</v>
      </c>
      <c r="AO345" s="14">
        <f>_DATA_Assessment_Model!AL345</f>
        <v>0</v>
      </c>
      <c r="AP345" s="14">
        <f>_DATA_Assessment_Model!AM345</f>
        <v>0</v>
      </c>
      <c r="AQ345" s="14">
        <f>_DATA_Assessment_Model!AN345</f>
        <v>0</v>
      </c>
      <c r="AR345" s="14">
        <f>_DATA_Assessment_Model!AO345</f>
        <v>0</v>
      </c>
      <c r="AS345" s="14">
        <f>_DATA_Assessment_Model!AP345</f>
        <v>0</v>
      </c>
      <c r="AT345" s="14">
        <f>_DATA_Assessment_Model!AQ345</f>
        <v>0</v>
      </c>
      <c r="AU345" s="14" t="str">
        <f>_DATA_Assessment_Model!AR345</f>
        <v>Within target</v>
      </c>
      <c r="AV345" s="4">
        <f>_DATA_Assessment_Model!AS345</f>
        <v>0</v>
      </c>
      <c r="AW345" s="4">
        <f>_DATA_Assessment_Model!AT345</f>
        <v>0.9</v>
      </c>
      <c r="AX345" s="254"/>
      <c r="AY345">
        <f>_DATA_Assessment_Model!AV345</f>
        <v>0.9</v>
      </c>
    </row>
    <row r="346" spans="1:51" ht="69" customHeight="1">
      <c r="A346" t="s">
        <v>2824</v>
      </c>
      <c r="B346" t="s">
        <v>2824</v>
      </c>
      <c r="C346">
        <v>5</v>
      </c>
      <c r="D346" s="2" t="s">
        <v>2825</v>
      </c>
      <c r="E346" s="2" t="s">
        <v>2826</v>
      </c>
      <c r="F346" s="2" t="s">
        <v>2827</v>
      </c>
      <c r="G346" s="2" t="s">
        <v>2828</v>
      </c>
      <c r="H346" s="2" t="s">
        <v>2829</v>
      </c>
      <c r="I346" s="2" t="s">
        <v>2830</v>
      </c>
      <c r="J346" s="253">
        <v>5</v>
      </c>
      <c r="K346" s="49">
        <f>_DATA_Assessment_Model!H346</f>
        <v>0</v>
      </c>
      <c r="L346" s="3">
        <f>_DATA_Assessment_Model!I346</f>
        <v>0</v>
      </c>
      <c r="M346" s="3">
        <f>_DATA_Assessment_Model!J346</f>
        <v>5</v>
      </c>
      <c r="N346" s="3">
        <f>_DATA_Assessment_Model!K346</f>
        <v>5</v>
      </c>
      <c r="O346" s="2" t="str">
        <f>_DATA_Assessment_Model!L346</f>
        <v>Critical</v>
      </c>
      <c r="P346" s="2" t="s">
        <v>833</v>
      </c>
      <c r="Q346" s="2" t="s">
        <v>834</v>
      </c>
      <c r="R346" s="2" t="s">
        <v>835</v>
      </c>
      <c r="S346" s="2" t="s">
        <v>836</v>
      </c>
      <c r="T346" s="2" t="s">
        <v>837</v>
      </c>
      <c r="U346" s="2" t="s">
        <v>838</v>
      </c>
      <c r="V346" s="2" t="s">
        <v>2831</v>
      </c>
      <c r="W346" s="253"/>
      <c r="X346" s="253"/>
      <c r="Y346" s="253" t="s">
        <v>829</v>
      </c>
      <c r="Z346" s="6">
        <v>5</v>
      </c>
      <c r="AA346" s="6">
        <v>5</v>
      </c>
      <c r="AB346" s="6">
        <v>5</v>
      </c>
      <c r="AC346" s="254"/>
      <c r="AD346" t="s">
        <v>2826</v>
      </c>
      <c r="AE346" s="5">
        <f>_DATA_Assessment_Model!AB346</f>
        <v>6</v>
      </c>
      <c r="AF346" s="7">
        <f>_DATA_Assessment_Model!AC346</f>
        <v>0</v>
      </c>
      <c r="AG346" s="8">
        <f>_DATA_Assessment_Model!AD346</f>
        <v>0</v>
      </c>
      <c r="AH346" s="5">
        <f>_DATA_Assessment_Model!AE346</f>
        <v>6</v>
      </c>
      <c r="AI346" s="7">
        <f>_DATA_Assessment_Model!AF346</f>
        <v>5</v>
      </c>
      <c r="AJ346" s="5">
        <f>_DATA_Assessment_Model!AG346</f>
        <v>6</v>
      </c>
      <c r="AK346" s="255"/>
      <c r="AL346" s="255"/>
      <c r="AM346" s="14">
        <f>_DATA_Assessment_Model!AJ346</f>
        <v>0.9</v>
      </c>
      <c r="AN346" s="14">
        <f>_DATA_Assessment_Model!AK346</f>
        <v>0.9</v>
      </c>
      <c r="AO346" s="14">
        <f>_DATA_Assessment_Model!AL346</f>
        <v>0</v>
      </c>
      <c r="AP346" s="14">
        <f>_DATA_Assessment_Model!AM346</f>
        <v>0</v>
      </c>
      <c r="AQ346" s="14">
        <f>_DATA_Assessment_Model!AN346</f>
        <v>0</v>
      </c>
      <c r="AR346" s="14">
        <f>_DATA_Assessment_Model!AO346</f>
        <v>0</v>
      </c>
      <c r="AS346" s="14">
        <f>_DATA_Assessment_Model!AP346</f>
        <v>0</v>
      </c>
      <c r="AT346" s="14">
        <f>_DATA_Assessment_Model!AQ346</f>
        <v>0</v>
      </c>
      <c r="AU346" s="14" t="str">
        <f>_DATA_Assessment_Model!AR346</f>
        <v>Within target</v>
      </c>
      <c r="AV346" s="4">
        <f>_DATA_Assessment_Model!AS346</f>
        <v>0</v>
      </c>
      <c r="AW346" s="4">
        <f>_DATA_Assessment_Model!AT346</f>
        <v>0.9</v>
      </c>
      <c r="AX346" s="254"/>
      <c r="AY346">
        <f>_DATA_Assessment_Model!AV346</f>
        <v>0.9</v>
      </c>
    </row>
    <row r="347" spans="1:51" ht="69" customHeight="1">
      <c r="A347" t="s">
        <v>2824</v>
      </c>
      <c r="B347" t="s">
        <v>2824</v>
      </c>
      <c r="C347">
        <v>6</v>
      </c>
      <c r="D347" s="2" t="s">
        <v>2832</v>
      </c>
      <c r="E347" s="2" t="s">
        <v>2826</v>
      </c>
      <c r="F347" s="2" t="s">
        <v>2833</v>
      </c>
      <c r="G347" s="2" t="s">
        <v>2828</v>
      </c>
      <c r="H347" s="2" t="s">
        <v>2829</v>
      </c>
      <c r="I347" s="2" t="s">
        <v>2834</v>
      </c>
      <c r="J347" s="253">
        <v>5</v>
      </c>
      <c r="K347" s="49">
        <f>_DATA_Assessment_Model!H347</f>
        <v>0</v>
      </c>
      <c r="L347" s="3">
        <f>_DATA_Assessment_Model!I347</f>
        <v>0</v>
      </c>
      <c r="M347" s="3">
        <f>_DATA_Assessment_Model!J347</f>
        <v>5</v>
      </c>
      <c r="N347" s="3">
        <f>_DATA_Assessment_Model!K347</f>
        <v>5</v>
      </c>
      <c r="O347" s="2" t="str">
        <f>_DATA_Assessment_Model!L347</f>
        <v>Critical</v>
      </c>
      <c r="P347" s="2" t="s">
        <v>1051</v>
      </c>
      <c r="Q347" s="2" t="s">
        <v>1052</v>
      </c>
      <c r="R347" s="2" t="s">
        <v>1053</v>
      </c>
      <c r="S347" s="2" t="s">
        <v>1054</v>
      </c>
      <c r="T347" s="2" t="s">
        <v>1055</v>
      </c>
      <c r="U347" s="2" t="s">
        <v>1056</v>
      </c>
      <c r="V347" s="2" t="s">
        <v>2831</v>
      </c>
      <c r="W347" s="253"/>
      <c r="X347" s="253"/>
      <c r="Y347" s="253" t="s">
        <v>829</v>
      </c>
      <c r="Z347" s="6">
        <v>5</v>
      </c>
      <c r="AA347" s="6">
        <v>5</v>
      </c>
      <c r="AB347" s="6">
        <v>5</v>
      </c>
      <c r="AC347" s="254"/>
      <c r="AD347" t="s">
        <v>2835</v>
      </c>
      <c r="AE347" s="5">
        <f>_DATA_Assessment_Model!AB347</f>
        <v>6</v>
      </c>
      <c r="AF347" s="7">
        <f>_DATA_Assessment_Model!AC347</f>
        <v>0</v>
      </c>
      <c r="AG347" s="8">
        <f>_DATA_Assessment_Model!AD347</f>
        <v>0</v>
      </c>
      <c r="AH347" s="5">
        <f>_DATA_Assessment_Model!AE347</f>
        <v>6</v>
      </c>
      <c r="AI347" s="7">
        <f>_DATA_Assessment_Model!AF347</f>
        <v>5</v>
      </c>
      <c r="AJ347" s="5">
        <f>_DATA_Assessment_Model!AG347</f>
        <v>6</v>
      </c>
      <c r="AK347" s="255"/>
      <c r="AL347" s="255"/>
      <c r="AM347" s="14">
        <f>_DATA_Assessment_Model!AJ347</f>
        <v>0.9</v>
      </c>
      <c r="AN347" s="14">
        <f>_DATA_Assessment_Model!AK347</f>
        <v>0.9</v>
      </c>
      <c r="AO347" s="14">
        <f>_DATA_Assessment_Model!AL347</f>
        <v>0</v>
      </c>
      <c r="AP347" s="14">
        <f>_DATA_Assessment_Model!AM347</f>
        <v>0</v>
      </c>
      <c r="AQ347" s="14">
        <f>_DATA_Assessment_Model!AN347</f>
        <v>0</v>
      </c>
      <c r="AR347" s="14">
        <f>_DATA_Assessment_Model!AO347</f>
        <v>0</v>
      </c>
      <c r="AS347" s="14">
        <f>_DATA_Assessment_Model!AP347</f>
        <v>0</v>
      </c>
      <c r="AT347" s="14">
        <f>_DATA_Assessment_Model!AQ347</f>
        <v>0</v>
      </c>
      <c r="AU347" s="14" t="str">
        <f>_DATA_Assessment_Model!AR347</f>
        <v>Within target</v>
      </c>
      <c r="AV347" s="4">
        <f>_DATA_Assessment_Model!AS347</f>
        <v>0</v>
      </c>
      <c r="AW347" s="4">
        <f>_DATA_Assessment_Model!AT347</f>
        <v>0.9</v>
      </c>
      <c r="AX347" s="254"/>
      <c r="AY347">
        <f>_DATA_Assessment_Model!AV347</f>
        <v>0.9</v>
      </c>
    </row>
    <row r="348" spans="1:51" ht="110.4" customHeight="1">
      <c r="A348" t="s">
        <v>2824</v>
      </c>
      <c r="B348" t="s">
        <v>2824</v>
      </c>
      <c r="C348">
        <v>7</v>
      </c>
      <c r="D348" s="2" t="s">
        <v>2836</v>
      </c>
      <c r="E348" s="2" t="s">
        <v>2826</v>
      </c>
      <c r="F348" s="2" t="s">
        <v>2837</v>
      </c>
      <c r="G348" s="2" t="s">
        <v>2828</v>
      </c>
      <c r="H348" s="2" t="s">
        <v>2829</v>
      </c>
      <c r="I348" s="2" t="s">
        <v>2838</v>
      </c>
      <c r="J348" s="253">
        <v>3</v>
      </c>
      <c r="K348" s="49">
        <f>_DATA_Assessment_Model!H348</f>
        <v>0</v>
      </c>
      <c r="L348" s="3">
        <f>_DATA_Assessment_Model!I348</f>
        <v>0</v>
      </c>
      <c r="M348" s="3">
        <f>_DATA_Assessment_Model!J348</f>
        <v>3</v>
      </c>
      <c r="N348" s="3">
        <f>_DATA_Assessment_Model!K348</f>
        <v>3</v>
      </c>
      <c r="O348" s="2" t="str">
        <f>_DATA_Assessment_Model!L348</f>
        <v>Critical</v>
      </c>
      <c r="P348" s="2" t="s">
        <v>2839</v>
      </c>
      <c r="Q348" s="2" t="s">
        <v>2840</v>
      </c>
      <c r="R348" s="2" t="s">
        <v>2841</v>
      </c>
      <c r="S348" s="2" t="s">
        <v>2842</v>
      </c>
      <c r="T348" s="2" t="s">
        <v>2843</v>
      </c>
      <c r="U348" s="2" t="s">
        <v>2844</v>
      </c>
      <c r="V348" s="2" t="s">
        <v>2831</v>
      </c>
      <c r="W348" s="253"/>
      <c r="X348" s="253"/>
      <c r="Y348" s="253" t="s">
        <v>829</v>
      </c>
      <c r="Z348" s="6">
        <v>5</v>
      </c>
      <c r="AA348" s="6">
        <v>5</v>
      </c>
      <c r="AB348" s="6">
        <v>5</v>
      </c>
      <c r="AC348" s="254"/>
      <c r="AD348" t="s">
        <v>2845</v>
      </c>
      <c r="AE348" s="5">
        <f>_DATA_Assessment_Model!AB348</f>
        <v>6</v>
      </c>
      <c r="AF348" s="7">
        <f>_DATA_Assessment_Model!AC348</f>
        <v>0</v>
      </c>
      <c r="AG348" s="8">
        <f>_DATA_Assessment_Model!AD348</f>
        <v>0</v>
      </c>
      <c r="AH348" s="5">
        <f>_DATA_Assessment_Model!AE348</f>
        <v>6</v>
      </c>
      <c r="AI348" s="7">
        <f>_DATA_Assessment_Model!AF348</f>
        <v>5</v>
      </c>
      <c r="AJ348" s="5">
        <f>_DATA_Assessment_Model!AG348</f>
        <v>6</v>
      </c>
      <c r="AK348" s="255"/>
      <c r="AL348" s="255"/>
      <c r="AM348" s="14">
        <f>_DATA_Assessment_Model!AJ348</f>
        <v>0.9</v>
      </c>
      <c r="AN348" s="14">
        <f>_DATA_Assessment_Model!AK348</f>
        <v>0.9</v>
      </c>
      <c r="AO348" s="14">
        <f>_DATA_Assessment_Model!AL348</f>
        <v>0</v>
      </c>
      <c r="AP348" s="14">
        <f>_DATA_Assessment_Model!AM348</f>
        <v>0</v>
      </c>
      <c r="AQ348" s="14">
        <f>_DATA_Assessment_Model!AN348</f>
        <v>0</v>
      </c>
      <c r="AR348" s="14">
        <f>_DATA_Assessment_Model!AO348</f>
        <v>0</v>
      </c>
      <c r="AS348" s="14">
        <f>_DATA_Assessment_Model!AP348</f>
        <v>0</v>
      </c>
      <c r="AT348" s="14">
        <f>_DATA_Assessment_Model!AQ348</f>
        <v>0</v>
      </c>
      <c r="AU348" s="14" t="str">
        <f>_DATA_Assessment_Model!AR348</f>
        <v>Within target</v>
      </c>
      <c r="AV348" s="4">
        <f>_DATA_Assessment_Model!AS348</f>
        <v>0</v>
      </c>
      <c r="AW348" s="4">
        <f>_DATA_Assessment_Model!AT348</f>
        <v>0.9</v>
      </c>
      <c r="AX348" s="254"/>
      <c r="AY348">
        <f>_DATA_Assessment_Model!AV348</f>
        <v>0.9</v>
      </c>
    </row>
    <row r="349" spans="1:51" ht="82.85" customHeight="1">
      <c r="A349" t="s">
        <v>2824</v>
      </c>
      <c r="B349" t="s">
        <v>2824</v>
      </c>
      <c r="C349">
        <v>8</v>
      </c>
      <c r="D349" s="2" t="s">
        <v>2846</v>
      </c>
      <c r="E349" s="2" t="s">
        <v>2826</v>
      </c>
      <c r="F349" s="2" t="s">
        <v>2847</v>
      </c>
      <c r="G349" s="2" t="s">
        <v>2828</v>
      </c>
      <c r="H349" s="2" t="s">
        <v>2829</v>
      </c>
      <c r="I349" s="2" t="s">
        <v>2848</v>
      </c>
      <c r="J349" s="253">
        <v>4</v>
      </c>
      <c r="K349" s="49">
        <f>_DATA_Assessment_Model!H349</f>
        <v>0</v>
      </c>
      <c r="L349" s="3">
        <f>_DATA_Assessment_Model!I349</f>
        <v>0</v>
      </c>
      <c r="M349" s="3">
        <f>_DATA_Assessment_Model!J349</f>
        <v>4</v>
      </c>
      <c r="N349" s="3">
        <f>_DATA_Assessment_Model!K349</f>
        <v>4</v>
      </c>
      <c r="O349" s="2" t="str">
        <f>_DATA_Assessment_Model!L349</f>
        <v>Critical</v>
      </c>
      <c r="P349" s="2" t="s">
        <v>2849</v>
      </c>
      <c r="Q349" s="2" t="s">
        <v>2850</v>
      </c>
      <c r="R349" s="2" t="s">
        <v>2851</v>
      </c>
      <c r="S349" s="2" t="s">
        <v>2852</v>
      </c>
      <c r="T349" s="2" t="s">
        <v>2853</v>
      </c>
      <c r="U349" s="2" t="s">
        <v>2854</v>
      </c>
      <c r="V349" s="2" t="s">
        <v>2831</v>
      </c>
      <c r="W349" s="253"/>
      <c r="X349" s="253"/>
      <c r="Y349" s="253" t="s">
        <v>829</v>
      </c>
      <c r="Z349" s="6">
        <v>5</v>
      </c>
      <c r="AA349" s="6">
        <v>5</v>
      </c>
      <c r="AB349" s="6">
        <v>5</v>
      </c>
      <c r="AC349" s="254"/>
      <c r="AD349" t="s">
        <v>2855</v>
      </c>
      <c r="AE349" s="5">
        <f>_DATA_Assessment_Model!AB349</f>
        <v>4</v>
      </c>
      <c r="AF349" s="7">
        <f>_DATA_Assessment_Model!AC349</f>
        <v>0</v>
      </c>
      <c r="AG349" s="8">
        <f>_DATA_Assessment_Model!AD349</f>
        <v>0</v>
      </c>
      <c r="AH349" s="5">
        <f>_DATA_Assessment_Model!AE349</f>
        <v>4</v>
      </c>
      <c r="AI349" s="7">
        <f>_DATA_Assessment_Model!AF349</f>
        <v>5</v>
      </c>
      <c r="AJ349" s="5">
        <f>_DATA_Assessment_Model!AG349</f>
        <v>4</v>
      </c>
      <c r="AK349" s="255"/>
      <c r="AL349" s="255"/>
      <c r="AM349" s="14">
        <f>_DATA_Assessment_Model!AJ349</f>
        <v>0.9</v>
      </c>
      <c r="AN349" s="14">
        <f>_DATA_Assessment_Model!AK349</f>
        <v>0.9</v>
      </c>
      <c r="AO349" s="14">
        <f>_DATA_Assessment_Model!AL349</f>
        <v>0</v>
      </c>
      <c r="AP349" s="14">
        <f>_DATA_Assessment_Model!AM349</f>
        <v>0</v>
      </c>
      <c r="AQ349" s="14">
        <f>_DATA_Assessment_Model!AN349</f>
        <v>0</v>
      </c>
      <c r="AR349" s="14">
        <f>_DATA_Assessment_Model!AO349</f>
        <v>0</v>
      </c>
      <c r="AS349" s="14">
        <f>_DATA_Assessment_Model!AP349</f>
        <v>0</v>
      </c>
      <c r="AT349" s="14">
        <f>_DATA_Assessment_Model!AQ349</f>
        <v>0</v>
      </c>
      <c r="AU349" s="14" t="str">
        <f>_DATA_Assessment_Model!AR349</f>
        <v>Within target</v>
      </c>
      <c r="AV349" s="4">
        <f>_DATA_Assessment_Model!AS349</f>
        <v>0</v>
      </c>
      <c r="AW349" s="4">
        <f>_DATA_Assessment_Model!AT349</f>
        <v>0.9</v>
      </c>
      <c r="AX349" s="254"/>
      <c r="AY349">
        <f>_DATA_Assessment_Model!AV349</f>
        <v>0.9</v>
      </c>
    </row>
    <row r="350" spans="1:51" ht="82.85" customHeight="1">
      <c r="A350" t="s">
        <v>2824</v>
      </c>
      <c r="B350" t="s">
        <v>2824</v>
      </c>
      <c r="C350">
        <v>9</v>
      </c>
      <c r="D350" s="2" t="s">
        <v>2856</v>
      </c>
      <c r="E350" s="2" t="s">
        <v>2826</v>
      </c>
      <c r="F350" s="2" t="s">
        <v>2857</v>
      </c>
      <c r="G350" s="2" t="s">
        <v>2828</v>
      </c>
      <c r="H350" s="2" t="s">
        <v>2829</v>
      </c>
      <c r="I350" s="2" t="s">
        <v>2858</v>
      </c>
      <c r="J350" s="253">
        <v>5</v>
      </c>
      <c r="K350" s="49">
        <f>_DATA_Assessment_Model!H350</f>
        <v>0</v>
      </c>
      <c r="L350" s="3">
        <f>_DATA_Assessment_Model!I350</f>
        <v>0</v>
      </c>
      <c r="M350" s="3">
        <f>_DATA_Assessment_Model!J350</f>
        <v>5</v>
      </c>
      <c r="N350" s="3">
        <f>_DATA_Assessment_Model!K350</f>
        <v>5</v>
      </c>
      <c r="O350" s="2" t="str">
        <f>_DATA_Assessment_Model!L350</f>
        <v>Critical</v>
      </c>
      <c r="P350" s="2" t="s">
        <v>833</v>
      </c>
      <c r="Q350" s="2" t="s">
        <v>834</v>
      </c>
      <c r="R350" s="2" t="s">
        <v>835</v>
      </c>
      <c r="S350" s="2" t="s">
        <v>836</v>
      </c>
      <c r="T350" s="2" t="s">
        <v>837</v>
      </c>
      <c r="U350" s="2" t="s">
        <v>838</v>
      </c>
      <c r="V350" s="2" t="s">
        <v>2831</v>
      </c>
      <c r="W350" s="253"/>
      <c r="X350" s="253"/>
      <c r="Y350" s="253" t="s">
        <v>829</v>
      </c>
      <c r="Z350" s="6">
        <v>5</v>
      </c>
      <c r="AA350" s="6">
        <v>5</v>
      </c>
      <c r="AB350" s="6">
        <v>5</v>
      </c>
      <c r="AC350" s="254"/>
      <c r="AD350" t="s">
        <v>2859</v>
      </c>
      <c r="AE350" s="5">
        <f>_DATA_Assessment_Model!AB350</f>
        <v>5</v>
      </c>
      <c r="AF350" s="7">
        <f>_DATA_Assessment_Model!AC350</f>
        <v>0</v>
      </c>
      <c r="AG350" s="8">
        <f>_DATA_Assessment_Model!AD350</f>
        <v>0</v>
      </c>
      <c r="AH350" s="5">
        <f>_DATA_Assessment_Model!AE350</f>
        <v>5</v>
      </c>
      <c r="AI350" s="7">
        <f>_DATA_Assessment_Model!AF350</f>
        <v>5</v>
      </c>
      <c r="AJ350" s="5">
        <f>_DATA_Assessment_Model!AG350</f>
        <v>5</v>
      </c>
      <c r="AK350" s="255"/>
      <c r="AL350" s="255"/>
      <c r="AM350" s="14">
        <f>_DATA_Assessment_Model!AJ350</f>
        <v>0.9</v>
      </c>
      <c r="AN350" s="14">
        <f>_DATA_Assessment_Model!AK350</f>
        <v>0.9</v>
      </c>
      <c r="AO350" s="14">
        <f>_DATA_Assessment_Model!AL350</f>
        <v>0</v>
      </c>
      <c r="AP350" s="14">
        <f>_DATA_Assessment_Model!AM350</f>
        <v>0</v>
      </c>
      <c r="AQ350" s="14">
        <f>_DATA_Assessment_Model!AN350</f>
        <v>0</v>
      </c>
      <c r="AR350" s="14">
        <f>_DATA_Assessment_Model!AO350</f>
        <v>0</v>
      </c>
      <c r="AS350" s="14">
        <f>_DATA_Assessment_Model!AP350</f>
        <v>0</v>
      </c>
      <c r="AT350" s="14">
        <f>_DATA_Assessment_Model!AQ350</f>
        <v>0</v>
      </c>
      <c r="AU350" s="14" t="str">
        <f>_DATA_Assessment_Model!AR350</f>
        <v>Within target</v>
      </c>
      <c r="AV350" s="4">
        <f>_DATA_Assessment_Model!AS350</f>
        <v>0</v>
      </c>
      <c r="AW350" s="4">
        <f>_DATA_Assessment_Model!AT350</f>
        <v>0.9</v>
      </c>
      <c r="AX350" s="254"/>
      <c r="AY350">
        <f>_DATA_Assessment_Model!AV350</f>
        <v>0.9</v>
      </c>
    </row>
    <row r="351" spans="1:51" ht="96.65" customHeight="1">
      <c r="A351" t="s">
        <v>2824</v>
      </c>
      <c r="B351" t="s">
        <v>2824</v>
      </c>
      <c r="C351">
        <v>10</v>
      </c>
      <c r="D351" s="2" t="s">
        <v>2860</v>
      </c>
      <c r="E351" s="2" t="s">
        <v>2826</v>
      </c>
      <c r="F351" s="2" t="s">
        <v>2861</v>
      </c>
      <c r="G351" s="2" t="s">
        <v>2828</v>
      </c>
      <c r="H351" s="2" t="s">
        <v>2829</v>
      </c>
      <c r="I351" s="2" t="s">
        <v>2862</v>
      </c>
      <c r="J351" s="253">
        <v>4</v>
      </c>
      <c r="K351" s="49">
        <f>_DATA_Assessment_Model!H351</f>
        <v>0</v>
      </c>
      <c r="L351" s="3">
        <f>_DATA_Assessment_Model!I351</f>
        <v>0</v>
      </c>
      <c r="M351" s="3">
        <f>_DATA_Assessment_Model!J351</f>
        <v>4</v>
      </c>
      <c r="N351" s="3">
        <f>_DATA_Assessment_Model!K351</f>
        <v>4</v>
      </c>
      <c r="O351" s="2" t="str">
        <f>_DATA_Assessment_Model!L351</f>
        <v>Critical</v>
      </c>
      <c r="P351" s="2" t="s">
        <v>2863</v>
      </c>
      <c r="Q351" s="2" t="s">
        <v>2864</v>
      </c>
      <c r="R351" s="2" t="s">
        <v>2865</v>
      </c>
      <c r="S351" s="2" t="s">
        <v>2866</v>
      </c>
      <c r="T351" s="2" t="s">
        <v>2867</v>
      </c>
      <c r="U351" s="2" t="s">
        <v>2868</v>
      </c>
      <c r="V351" s="2" t="s">
        <v>2831</v>
      </c>
      <c r="W351" s="253"/>
      <c r="X351" s="253"/>
      <c r="Y351" s="253" t="s">
        <v>829</v>
      </c>
      <c r="Z351" s="6">
        <v>5</v>
      </c>
      <c r="AA351" s="6">
        <v>5</v>
      </c>
      <c r="AB351" s="6">
        <v>5</v>
      </c>
      <c r="AC351" s="254"/>
      <c r="AK351" s="255"/>
      <c r="AL351" s="255"/>
      <c r="AM351" s="14">
        <f>_DATA_Assessment_Model!AJ351</f>
        <v>0.9</v>
      </c>
      <c r="AN351" s="14">
        <f>_DATA_Assessment_Model!AK351</f>
        <v>0.9</v>
      </c>
      <c r="AO351" s="14">
        <f>_DATA_Assessment_Model!AL351</f>
        <v>0</v>
      </c>
      <c r="AP351" s="14">
        <f>_DATA_Assessment_Model!AM351</f>
        <v>0</v>
      </c>
      <c r="AQ351" s="14">
        <f>_DATA_Assessment_Model!AN351</f>
        <v>0</v>
      </c>
      <c r="AR351" s="14">
        <f>_DATA_Assessment_Model!AO351</f>
        <v>0</v>
      </c>
      <c r="AS351" s="14">
        <f>_DATA_Assessment_Model!AP351</f>
        <v>0</v>
      </c>
      <c r="AT351" s="14">
        <f>_DATA_Assessment_Model!AQ351</f>
        <v>0</v>
      </c>
      <c r="AU351" s="14" t="str">
        <f>_DATA_Assessment_Model!AR351</f>
        <v>Within target</v>
      </c>
      <c r="AV351" s="4">
        <f>_DATA_Assessment_Model!AS351</f>
        <v>0</v>
      </c>
      <c r="AW351" s="4">
        <f>_DATA_Assessment_Model!AT351</f>
        <v>0.9</v>
      </c>
      <c r="AX351" s="254"/>
      <c r="AY351">
        <f>_DATA_Assessment_Model!AV351</f>
        <v>0.9</v>
      </c>
    </row>
    <row r="352" spans="1:51" ht="96.65" customHeight="1">
      <c r="A352" t="s">
        <v>2824</v>
      </c>
      <c r="B352" t="s">
        <v>2824</v>
      </c>
      <c r="C352">
        <v>11</v>
      </c>
      <c r="D352" s="2" t="s">
        <v>2869</v>
      </c>
      <c r="E352" s="2" t="s">
        <v>2835</v>
      </c>
      <c r="F352" s="2" t="s">
        <v>2870</v>
      </c>
      <c r="G352" s="2" t="s">
        <v>2828</v>
      </c>
      <c r="H352" s="2" t="s">
        <v>2829</v>
      </c>
      <c r="I352" s="2" t="s">
        <v>2871</v>
      </c>
      <c r="J352" s="253">
        <v>4</v>
      </c>
      <c r="K352" s="49">
        <f>_DATA_Assessment_Model!H352</f>
        <v>0</v>
      </c>
      <c r="L352" s="3">
        <f>_DATA_Assessment_Model!I352</f>
        <v>0</v>
      </c>
      <c r="M352" s="3">
        <f>_DATA_Assessment_Model!J352</f>
        <v>4</v>
      </c>
      <c r="N352" s="3">
        <f>_DATA_Assessment_Model!K352</f>
        <v>4</v>
      </c>
      <c r="O352" s="2" t="str">
        <f>_DATA_Assessment_Model!L352</f>
        <v>Critical</v>
      </c>
      <c r="P352" s="2" t="s">
        <v>2872</v>
      </c>
      <c r="Q352" s="2" t="s">
        <v>2873</v>
      </c>
      <c r="R352" s="2" t="s">
        <v>2874</v>
      </c>
      <c r="S352" s="2" t="s">
        <v>2875</v>
      </c>
      <c r="T352" s="2" t="s">
        <v>2876</v>
      </c>
      <c r="U352" s="2" t="s">
        <v>2877</v>
      </c>
      <c r="V352" s="2" t="s">
        <v>2831</v>
      </c>
      <c r="W352" s="253"/>
      <c r="X352" s="253"/>
      <c r="Y352" s="253" t="s">
        <v>829</v>
      </c>
      <c r="Z352" s="6">
        <v>5</v>
      </c>
      <c r="AA352" s="6">
        <v>5</v>
      </c>
      <c r="AB352" s="6">
        <v>5</v>
      </c>
      <c r="AC352" s="254"/>
      <c r="AK352" s="255"/>
      <c r="AL352" s="255"/>
      <c r="AM352" s="14">
        <f>_DATA_Assessment_Model!AJ352</f>
        <v>0.9</v>
      </c>
      <c r="AN352" s="14">
        <f>_DATA_Assessment_Model!AK352</f>
        <v>0.9</v>
      </c>
      <c r="AO352" s="14">
        <f>_DATA_Assessment_Model!AL352</f>
        <v>0</v>
      </c>
      <c r="AP352" s="14">
        <f>_DATA_Assessment_Model!AM352</f>
        <v>0</v>
      </c>
      <c r="AQ352" s="14">
        <f>_DATA_Assessment_Model!AN352</f>
        <v>0</v>
      </c>
      <c r="AR352" s="14">
        <f>_DATA_Assessment_Model!AO352</f>
        <v>0</v>
      </c>
      <c r="AS352" s="14">
        <f>_DATA_Assessment_Model!AP352</f>
        <v>0</v>
      </c>
      <c r="AT352" s="14">
        <f>_DATA_Assessment_Model!AQ352</f>
        <v>0</v>
      </c>
      <c r="AU352" s="14" t="str">
        <f>_DATA_Assessment_Model!AR352</f>
        <v>Within target</v>
      </c>
      <c r="AV352" s="4">
        <f>_DATA_Assessment_Model!AS352</f>
        <v>0</v>
      </c>
      <c r="AW352" s="4">
        <f>_DATA_Assessment_Model!AT352</f>
        <v>0.9</v>
      </c>
      <c r="AX352" s="254"/>
      <c r="AY352">
        <f>_DATA_Assessment_Model!AV352</f>
        <v>0.9</v>
      </c>
    </row>
    <row r="353" spans="1:51" ht="96.65" customHeight="1">
      <c r="A353" t="s">
        <v>2824</v>
      </c>
      <c r="B353" t="s">
        <v>2824</v>
      </c>
      <c r="C353">
        <v>12</v>
      </c>
      <c r="D353" s="2" t="s">
        <v>2878</v>
      </c>
      <c r="E353" s="2" t="s">
        <v>2835</v>
      </c>
      <c r="F353" s="2" t="s">
        <v>2879</v>
      </c>
      <c r="G353" s="2" t="s">
        <v>2828</v>
      </c>
      <c r="H353" s="2" t="s">
        <v>2829</v>
      </c>
      <c r="I353" s="2" t="s">
        <v>2880</v>
      </c>
      <c r="J353" s="253">
        <v>3</v>
      </c>
      <c r="K353" s="49">
        <f>_DATA_Assessment_Model!H353</f>
        <v>0</v>
      </c>
      <c r="L353" s="3">
        <f>_DATA_Assessment_Model!I353</f>
        <v>0</v>
      </c>
      <c r="M353" s="3">
        <f>_DATA_Assessment_Model!J353</f>
        <v>3</v>
      </c>
      <c r="N353" s="3">
        <f>_DATA_Assessment_Model!K353</f>
        <v>3</v>
      </c>
      <c r="O353" s="2" t="str">
        <f>_DATA_Assessment_Model!L353</f>
        <v>Critical</v>
      </c>
      <c r="P353" s="2" t="s">
        <v>2881</v>
      </c>
      <c r="Q353" s="2" t="s">
        <v>2882</v>
      </c>
      <c r="R353" s="2" t="s">
        <v>2883</v>
      </c>
      <c r="S353" s="2" t="s">
        <v>2884</v>
      </c>
      <c r="T353" s="2" t="s">
        <v>2885</v>
      </c>
      <c r="U353" s="2" t="s">
        <v>2886</v>
      </c>
      <c r="V353" s="2" t="s">
        <v>2831</v>
      </c>
      <c r="W353" s="253"/>
      <c r="X353" s="253"/>
      <c r="Y353" s="253" t="s">
        <v>829</v>
      </c>
      <c r="Z353" s="6">
        <v>5</v>
      </c>
      <c r="AA353" s="6">
        <v>5</v>
      </c>
      <c r="AB353" s="6">
        <v>5</v>
      </c>
      <c r="AC353" s="254"/>
      <c r="AK353" s="255"/>
      <c r="AL353" s="255"/>
      <c r="AM353" s="14">
        <f>_DATA_Assessment_Model!AJ353</f>
        <v>0.9</v>
      </c>
      <c r="AN353" s="14">
        <f>_DATA_Assessment_Model!AK353</f>
        <v>0.9</v>
      </c>
      <c r="AO353" s="14">
        <f>_DATA_Assessment_Model!AL353</f>
        <v>0</v>
      </c>
      <c r="AP353" s="14">
        <f>_DATA_Assessment_Model!AM353</f>
        <v>0</v>
      </c>
      <c r="AQ353" s="14">
        <f>_DATA_Assessment_Model!AN353</f>
        <v>0</v>
      </c>
      <c r="AR353" s="14">
        <f>_DATA_Assessment_Model!AO353</f>
        <v>0</v>
      </c>
      <c r="AS353" s="14">
        <f>_DATA_Assessment_Model!AP353</f>
        <v>0</v>
      </c>
      <c r="AT353" s="14">
        <f>_DATA_Assessment_Model!AQ353</f>
        <v>0</v>
      </c>
      <c r="AU353" s="14" t="str">
        <f>_DATA_Assessment_Model!AR353</f>
        <v>Within target</v>
      </c>
      <c r="AV353" s="4">
        <f>_DATA_Assessment_Model!AS353</f>
        <v>0</v>
      </c>
      <c r="AW353" s="4">
        <f>_DATA_Assessment_Model!AT353</f>
        <v>0.9</v>
      </c>
      <c r="AX353" s="254"/>
      <c r="AY353">
        <f>_DATA_Assessment_Model!AV353</f>
        <v>0.9</v>
      </c>
    </row>
    <row r="354" spans="1:51" ht="69" customHeight="1">
      <c r="A354" t="s">
        <v>2824</v>
      </c>
      <c r="B354" t="s">
        <v>2824</v>
      </c>
      <c r="C354">
        <v>13</v>
      </c>
      <c r="D354" s="2" t="s">
        <v>2887</v>
      </c>
      <c r="E354" s="2" t="s">
        <v>2835</v>
      </c>
      <c r="F354" s="2" t="s">
        <v>2888</v>
      </c>
      <c r="G354" s="2" t="s">
        <v>2828</v>
      </c>
      <c r="H354" s="2" t="s">
        <v>2829</v>
      </c>
      <c r="I354" s="2" t="s">
        <v>2889</v>
      </c>
      <c r="J354" s="253">
        <v>5</v>
      </c>
      <c r="K354" s="49">
        <f>_DATA_Assessment_Model!H354</f>
        <v>0</v>
      </c>
      <c r="L354" s="3">
        <f>_DATA_Assessment_Model!I354</f>
        <v>0</v>
      </c>
      <c r="M354" s="3">
        <f>_DATA_Assessment_Model!J354</f>
        <v>5</v>
      </c>
      <c r="N354" s="3">
        <f>_DATA_Assessment_Model!K354</f>
        <v>5</v>
      </c>
      <c r="O354" s="2" t="str">
        <f>_DATA_Assessment_Model!L354</f>
        <v>Critical</v>
      </c>
      <c r="P354" s="2" t="s">
        <v>1069</v>
      </c>
      <c r="Q354" s="2" t="s">
        <v>1070</v>
      </c>
      <c r="R354" s="2" t="s">
        <v>1071</v>
      </c>
      <c r="S354" s="2" t="s">
        <v>1072</v>
      </c>
      <c r="T354" s="2" t="s">
        <v>1073</v>
      </c>
      <c r="U354" s="2" t="s">
        <v>1074</v>
      </c>
      <c r="V354" s="2" t="s">
        <v>2831</v>
      </c>
      <c r="W354" s="253"/>
      <c r="X354" s="253"/>
      <c r="Y354" s="253" t="s">
        <v>829</v>
      </c>
      <c r="Z354" s="6">
        <v>5</v>
      </c>
      <c r="AA354" s="6">
        <v>5</v>
      </c>
      <c r="AB354" s="6">
        <v>5</v>
      </c>
      <c r="AC354" s="254"/>
      <c r="AK354" s="255"/>
      <c r="AL354" s="255"/>
      <c r="AM354" s="14">
        <f>_DATA_Assessment_Model!AJ354</f>
        <v>0.9</v>
      </c>
      <c r="AN354" s="14">
        <f>_DATA_Assessment_Model!AK354</f>
        <v>0.9</v>
      </c>
      <c r="AO354" s="14">
        <f>_DATA_Assessment_Model!AL354</f>
        <v>0</v>
      </c>
      <c r="AP354" s="14">
        <f>_DATA_Assessment_Model!AM354</f>
        <v>0</v>
      </c>
      <c r="AQ354" s="14">
        <f>_DATA_Assessment_Model!AN354</f>
        <v>0</v>
      </c>
      <c r="AR354" s="14">
        <f>_DATA_Assessment_Model!AO354</f>
        <v>0</v>
      </c>
      <c r="AS354" s="14">
        <f>_DATA_Assessment_Model!AP354</f>
        <v>0</v>
      </c>
      <c r="AT354" s="14">
        <f>_DATA_Assessment_Model!AQ354</f>
        <v>0</v>
      </c>
      <c r="AU354" s="14" t="str">
        <f>_DATA_Assessment_Model!AR354</f>
        <v>Within target</v>
      </c>
      <c r="AV354" s="4">
        <f>_DATA_Assessment_Model!AS354</f>
        <v>0</v>
      </c>
      <c r="AW354" s="4">
        <f>_DATA_Assessment_Model!AT354</f>
        <v>0.9</v>
      </c>
      <c r="AX354" s="254"/>
      <c r="AY354">
        <f>_DATA_Assessment_Model!AV354</f>
        <v>0.9</v>
      </c>
    </row>
    <row r="355" spans="1:51" ht="82.85" customHeight="1">
      <c r="A355" t="s">
        <v>2824</v>
      </c>
      <c r="B355" t="s">
        <v>2824</v>
      </c>
      <c r="C355">
        <v>14</v>
      </c>
      <c r="D355" s="2" t="s">
        <v>2890</v>
      </c>
      <c r="E355" s="2" t="s">
        <v>2835</v>
      </c>
      <c r="F355" s="2" t="s">
        <v>2891</v>
      </c>
      <c r="G355" s="2" t="s">
        <v>2828</v>
      </c>
      <c r="H355" s="2" t="s">
        <v>2829</v>
      </c>
      <c r="I355" s="2" t="s">
        <v>2892</v>
      </c>
      <c r="J355" s="253">
        <v>5</v>
      </c>
      <c r="K355" s="49">
        <f>_DATA_Assessment_Model!H355</f>
        <v>0</v>
      </c>
      <c r="L355" s="3">
        <f>_DATA_Assessment_Model!I355</f>
        <v>0</v>
      </c>
      <c r="M355" s="3">
        <f>_DATA_Assessment_Model!J355</f>
        <v>5</v>
      </c>
      <c r="N355" s="3">
        <f>_DATA_Assessment_Model!K355</f>
        <v>5</v>
      </c>
      <c r="O355" s="2" t="str">
        <f>_DATA_Assessment_Model!L355</f>
        <v>Critical</v>
      </c>
      <c r="P355" s="2" t="s">
        <v>1069</v>
      </c>
      <c r="Q355" s="2" t="s">
        <v>1070</v>
      </c>
      <c r="R355" s="2" t="s">
        <v>1071</v>
      </c>
      <c r="S355" s="2" t="s">
        <v>1072</v>
      </c>
      <c r="T355" s="2" t="s">
        <v>1073</v>
      </c>
      <c r="U355" s="2" t="s">
        <v>1074</v>
      </c>
      <c r="V355" s="2" t="s">
        <v>2831</v>
      </c>
      <c r="W355" s="253"/>
      <c r="X355" s="253"/>
      <c r="Y355" s="253" t="s">
        <v>829</v>
      </c>
      <c r="Z355" s="6">
        <v>5</v>
      </c>
      <c r="AA355" s="6">
        <v>5</v>
      </c>
      <c r="AB355" s="6">
        <v>5</v>
      </c>
      <c r="AC355" s="254"/>
      <c r="AK355" s="255"/>
      <c r="AL355" s="255"/>
      <c r="AM355" s="14">
        <f>_DATA_Assessment_Model!AJ355</f>
        <v>0.9</v>
      </c>
      <c r="AN355" s="14">
        <f>_DATA_Assessment_Model!AK355</f>
        <v>0.9</v>
      </c>
      <c r="AO355" s="14">
        <f>_DATA_Assessment_Model!AL355</f>
        <v>0</v>
      </c>
      <c r="AP355" s="14">
        <f>_DATA_Assessment_Model!AM355</f>
        <v>0</v>
      </c>
      <c r="AQ355" s="14">
        <f>_DATA_Assessment_Model!AN355</f>
        <v>0</v>
      </c>
      <c r="AR355" s="14">
        <f>_DATA_Assessment_Model!AO355</f>
        <v>0</v>
      </c>
      <c r="AS355" s="14">
        <f>_DATA_Assessment_Model!AP355</f>
        <v>0</v>
      </c>
      <c r="AT355" s="14">
        <f>_DATA_Assessment_Model!AQ355</f>
        <v>0</v>
      </c>
      <c r="AU355" s="14" t="str">
        <f>_DATA_Assessment_Model!AR355</f>
        <v>Within target</v>
      </c>
      <c r="AV355" s="4">
        <f>_DATA_Assessment_Model!AS355</f>
        <v>0</v>
      </c>
      <c r="AW355" s="4">
        <f>_DATA_Assessment_Model!AT355</f>
        <v>0.9</v>
      </c>
      <c r="AX355" s="254"/>
      <c r="AY355">
        <f>_DATA_Assessment_Model!AV355</f>
        <v>0.9</v>
      </c>
    </row>
    <row r="356" spans="1:51" ht="82.85" customHeight="1">
      <c r="A356" t="s">
        <v>2824</v>
      </c>
      <c r="B356" t="s">
        <v>2824</v>
      </c>
      <c r="C356">
        <v>15</v>
      </c>
      <c r="D356" s="2" t="s">
        <v>2893</v>
      </c>
      <c r="E356" s="2" t="s">
        <v>2835</v>
      </c>
      <c r="F356" s="2" t="s">
        <v>2894</v>
      </c>
      <c r="G356" s="2" t="s">
        <v>2828</v>
      </c>
      <c r="H356" s="2" t="s">
        <v>2829</v>
      </c>
      <c r="I356" s="2" t="s">
        <v>2895</v>
      </c>
      <c r="J356" s="253">
        <v>4</v>
      </c>
      <c r="K356" s="49">
        <f>_DATA_Assessment_Model!H356</f>
        <v>0</v>
      </c>
      <c r="L356" s="3">
        <f>_DATA_Assessment_Model!I356</f>
        <v>0</v>
      </c>
      <c r="M356" s="3">
        <f>_DATA_Assessment_Model!J356</f>
        <v>4</v>
      </c>
      <c r="N356" s="3">
        <f>_DATA_Assessment_Model!K356</f>
        <v>4</v>
      </c>
      <c r="O356" s="2" t="str">
        <f>_DATA_Assessment_Model!L356</f>
        <v>Critical</v>
      </c>
      <c r="P356" s="2" t="s">
        <v>2896</v>
      </c>
      <c r="Q356" s="2" t="s">
        <v>2897</v>
      </c>
      <c r="R356" s="2" t="s">
        <v>2898</v>
      </c>
      <c r="S356" s="2" t="s">
        <v>2899</v>
      </c>
      <c r="T356" s="2" t="s">
        <v>2900</v>
      </c>
      <c r="U356" s="2" t="s">
        <v>2901</v>
      </c>
      <c r="V356" s="2" t="s">
        <v>2831</v>
      </c>
      <c r="W356" s="253"/>
      <c r="X356" s="253"/>
      <c r="Y356" s="253" t="s">
        <v>829</v>
      </c>
      <c r="Z356" s="6">
        <v>5</v>
      </c>
      <c r="AA356" s="6">
        <v>5</v>
      </c>
      <c r="AB356" s="6">
        <v>5</v>
      </c>
      <c r="AC356" s="254"/>
      <c r="AK356" s="255"/>
      <c r="AL356" s="255"/>
      <c r="AM356" s="14">
        <f>_DATA_Assessment_Model!AJ356</f>
        <v>0.9</v>
      </c>
      <c r="AN356" s="14">
        <f>_DATA_Assessment_Model!AK356</f>
        <v>0.9</v>
      </c>
      <c r="AO356" s="14">
        <f>_DATA_Assessment_Model!AL356</f>
        <v>0</v>
      </c>
      <c r="AP356" s="14">
        <f>_DATA_Assessment_Model!AM356</f>
        <v>0</v>
      </c>
      <c r="AQ356" s="14">
        <f>_DATA_Assessment_Model!AN356</f>
        <v>0</v>
      </c>
      <c r="AR356" s="14">
        <f>_DATA_Assessment_Model!AO356</f>
        <v>0</v>
      </c>
      <c r="AS356" s="14">
        <f>_DATA_Assessment_Model!AP356</f>
        <v>0</v>
      </c>
      <c r="AT356" s="14">
        <f>_DATA_Assessment_Model!AQ356</f>
        <v>0</v>
      </c>
      <c r="AU356" s="14" t="str">
        <f>_DATA_Assessment_Model!AR356</f>
        <v>Within target</v>
      </c>
      <c r="AV356" s="4">
        <f>_DATA_Assessment_Model!AS356</f>
        <v>0</v>
      </c>
      <c r="AW356" s="4">
        <f>_DATA_Assessment_Model!AT356</f>
        <v>0.9</v>
      </c>
      <c r="AX356" s="254"/>
      <c r="AY356">
        <f>_DATA_Assessment_Model!AV356</f>
        <v>0.9</v>
      </c>
    </row>
    <row r="357" spans="1:51" ht="69" customHeight="1">
      <c r="A357" t="s">
        <v>2824</v>
      </c>
      <c r="B357" t="s">
        <v>2824</v>
      </c>
      <c r="C357">
        <v>16</v>
      </c>
      <c r="D357" s="2" t="s">
        <v>2902</v>
      </c>
      <c r="E357" s="2" t="s">
        <v>2835</v>
      </c>
      <c r="F357" s="2" t="s">
        <v>2903</v>
      </c>
      <c r="G357" s="2" t="s">
        <v>2828</v>
      </c>
      <c r="H357" s="2" t="s">
        <v>2829</v>
      </c>
      <c r="I357" s="2" t="s">
        <v>2904</v>
      </c>
      <c r="J357" s="253">
        <v>5</v>
      </c>
      <c r="K357" s="49">
        <f>_DATA_Assessment_Model!H357</f>
        <v>0</v>
      </c>
      <c r="L357" s="3">
        <f>_DATA_Assessment_Model!I357</f>
        <v>0</v>
      </c>
      <c r="M357" s="3">
        <f>_DATA_Assessment_Model!J357</f>
        <v>5</v>
      </c>
      <c r="N357" s="3">
        <f>_DATA_Assessment_Model!K357</f>
        <v>5</v>
      </c>
      <c r="O357" s="2" t="str">
        <f>_DATA_Assessment_Model!L357</f>
        <v>Critical</v>
      </c>
      <c r="P357" s="2" t="s">
        <v>833</v>
      </c>
      <c r="Q357" s="2" t="s">
        <v>834</v>
      </c>
      <c r="R357" s="2" t="s">
        <v>835</v>
      </c>
      <c r="S357" s="2" t="s">
        <v>836</v>
      </c>
      <c r="T357" s="2" t="s">
        <v>837</v>
      </c>
      <c r="U357" s="2" t="s">
        <v>838</v>
      </c>
      <c r="V357" s="2" t="s">
        <v>2831</v>
      </c>
      <c r="W357" s="253"/>
      <c r="X357" s="253"/>
      <c r="Y357" s="253" t="s">
        <v>829</v>
      </c>
      <c r="Z357" s="6">
        <v>5</v>
      </c>
      <c r="AA357" s="6">
        <v>5</v>
      </c>
      <c r="AB357" s="6">
        <v>5</v>
      </c>
      <c r="AC357" s="254"/>
      <c r="AK357" s="255"/>
      <c r="AL357" s="255"/>
      <c r="AM357" s="14">
        <f>_DATA_Assessment_Model!AJ357</f>
        <v>0.9</v>
      </c>
      <c r="AN357" s="14">
        <f>_DATA_Assessment_Model!AK357</f>
        <v>0.9</v>
      </c>
      <c r="AO357" s="14">
        <f>_DATA_Assessment_Model!AL357</f>
        <v>0</v>
      </c>
      <c r="AP357" s="14">
        <f>_DATA_Assessment_Model!AM357</f>
        <v>0</v>
      </c>
      <c r="AQ357" s="14">
        <f>_DATA_Assessment_Model!AN357</f>
        <v>0</v>
      </c>
      <c r="AR357" s="14">
        <f>_DATA_Assessment_Model!AO357</f>
        <v>0</v>
      </c>
      <c r="AS357" s="14">
        <f>_DATA_Assessment_Model!AP357</f>
        <v>0</v>
      </c>
      <c r="AT357" s="14">
        <f>_DATA_Assessment_Model!AQ357</f>
        <v>0</v>
      </c>
      <c r="AU357" s="14" t="str">
        <f>_DATA_Assessment_Model!AR357</f>
        <v>Within target</v>
      </c>
      <c r="AV357" s="4">
        <f>_DATA_Assessment_Model!AS357</f>
        <v>0</v>
      </c>
      <c r="AW357" s="4">
        <f>_DATA_Assessment_Model!AT357</f>
        <v>0.9</v>
      </c>
      <c r="AX357" s="254"/>
      <c r="AY357">
        <f>_DATA_Assessment_Model!AV357</f>
        <v>0.9</v>
      </c>
    </row>
    <row r="358" spans="1:51" ht="82.85" customHeight="1">
      <c r="A358" t="s">
        <v>2824</v>
      </c>
      <c r="B358" t="s">
        <v>2824</v>
      </c>
      <c r="C358">
        <v>17</v>
      </c>
      <c r="D358" s="2" t="s">
        <v>2905</v>
      </c>
      <c r="E358" s="2" t="s">
        <v>2845</v>
      </c>
      <c r="F358" s="2" t="s">
        <v>2906</v>
      </c>
      <c r="G358" s="2" t="s">
        <v>2828</v>
      </c>
      <c r="H358" s="2" t="s">
        <v>2829</v>
      </c>
      <c r="I358" s="2" t="s">
        <v>2907</v>
      </c>
      <c r="J358" s="253">
        <v>5</v>
      </c>
      <c r="K358" s="49">
        <f>_DATA_Assessment_Model!H358</f>
        <v>0</v>
      </c>
      <c r="L358" s="3">
        <f>_DATA_Assessment_Model!I358</f>
        <v>0</v>
      </c>
      <c r="M358" s="3">
        <f>_DATA_Assessment_Model!J358</f>
        <v>5</v>
      </c>
      <c r="N358" s="3">
        <f>_DATA_Assessment_Model!K358</f>
        <v>5</v>
      </c>
      <c r="O358" s="2" t="str">
        <f>_DATA_Assessment_Model!L358</f>
        <v>Critical</v>
      </c>
      <c r="P358" s="2" t="s">
        <v>1069</v>
      </c>
      <c r="Q358" s="2" t="s">
        <v>1070</v>
      </c>
      <c r="R358" s="2" t="s">
        <v>1071</v>
      </c>
      <c r="S358" s="2" t="s">
        <v>1072</v>
      </c>
      <c r="T358" s="2" t="s">
        <v>1073</v>
      </c>
      <c r="U358" s="2" t="s">
        <v>1074</v>
      </c>
      <c r="V358" s="2" t="s">
        <v>2831</v>
      </c>
      <c r="W358" s="253"/>
      <c r="X358" s="253"/>
      <c r="Y358" s="253" t="s">
        <v>829</v>
      </c>
      <c r="Z358" s="6">
        <v>5</v>
      </c>
      <c r="AA358" s="6">
        <v>5</v>
      </c>
      <c r="AB358" s="6">
        <v>5</v>
      </c>
      <c r="AC358" s="254"/>
      <c r="AK358" s="255"/>
      <c r="AL358" s="255"/>
      <c r="AM358" s="14">
        <f>_DATA_Assessment_Model!AJ358</f>
        <v>0.9</v>
      </c>
      <c r="AN358" s="14">
        <f>_DATA_Assessment_Model!AK358</f>
        <v>0.9</v>
      </c>
      <c r="AO358" s="14">
        <f>_DATA_Assessment_Model!AL358</f>
        <v>0</v>
      </c>
      <c r="AP358" s="14">
        <f>_DATA_Assessment_Model!AM358</f>
        <v>0</v>
      </c>
      <c r="AQ358" s="14">
        <f>_DATA_Assessment_Model!AN358</f>
        <v>0</v>
      </c>
      <c r="AR358" s="14">
        <f>_DATA_Assessment_Model!AO358</f>
        <v>0</v>
      </c>
      <c r="AS358" s="14">
        <f>_DATA_Assessment_Model!AP358</f>
        <v>0</v>
      </c>
      <c r="AT358" s="14">
        <f>_DATA_Assessment_Model!AQ358</f>
        <v>0</v>
      </c>
      <c r="AU358" s="14" t="str">
        <f>_DATA_Assessment_Model!AR358</f>
        <v>Within target</v>
      </c>
      <c r="AV358" s="4">
        <f>_DATA_Assessment_Model!AS358</f>
        <v>0</v>
      </c>
      <c r="AW358" s="4">
        <f>_DATA_Assessment_Model!AT358</f>
        <v>0.9</v>
      </c>
      <c r="AX358" s="254"/>
      <c r="AY358">
        <f>_DATA_Assessment_Model!AV358</f>
        <v>0.9</v>
      </c>
    </row>
    <row r="359" spans="1:51" ht="69" customHeight="1">
      <c r="A359" t="s">
        <v>2824</v>
      </c>
      <c r="B359" t="s">
        <v>2824</v>
      </c>
      <c r="C359">
        <v>18</v>
      </c>
      <c r="D359" s="2" t="s">
        <v>2908</v>
      </c>
      <c r="E359" s="2" t="s">
        <v>2845</v>
      </c>
      <c r="F359" s="2" t="s">
        <v>2909</v>
      </c>
      <c r="G359" s="2" t="s">
        <v>2828</v>
      </c>
      <c r="H359" s="2" t="s">
        <v>2829</v>
      </c>
      <c r="I359" s="2" t="s">
        <v>2910</v>
      </c>
      <c r="J359" s="253">
        <v>5</v>
      </c>
      <c r="K359" s="49">
        <f>_DATA_Assessment_Model!H359</f>
        <v>0</v>
      </c>
      <c r="L359" s="3">
        <f>_DATA_Assessment_Model!I359</f>
        <v>0</v>
      </c>
      <c r="M359" s="3">
        <f>_DATA_Assessment_Model!J359</f>
        <v>5</v>
      </c>
      <c r="N359" s="3">
        <f>_DATA_Assessment_Model!K359</f>
        <v>5</v>
      </c>
      <c r="O359" s="2" t="str">
        <f>_DATA_Assessment_Model!L359</f>
        <v>Critical</v>
      </c>
      <c r="P359" s="2" t="s">
        <v>833</v>
      </c>
      <c r="Q359" s="2" t="s">
        <v>834</v>
      </c>
      <c r="R359" s="2" t="s">
        <v>835</v>
      </c>
      <c r="S359" s="2" t="s">
        <v>836</v>
      </c>
      <c r="T359" s="2" t="s">
        <v>837</v>
      </c>
      <c r="U359" s="2" t="s">
        <v>838</v>
      </c>
      <c r="V359" s="2" t="s">
        <v>2831</v>
      </c>
      <c r="W359" s="253"/>
      <c r="X359" s="253"/>
      <c r="Y359" s="253" t="s">
        <v>829</v>
      </c>
      <c r="Z359" s="6">
        <v>5</v>
      </c>
      <c r="AA359" s="6">
        <v>5</v>
      </c>
      <c r="AB359" s="6">
        <v>5</v>
      </c>
      <c r="AC359" s="254"/>
      <c r="AK359" s="255"/>
      <c r="AL359" s="255"/>
      <c r="AM359" s="14">
        <f>_DATA_Assessment_Model!AJ359</f>
        <v>0.9</v>
      </c>
      <c r="AN359" s="14">
        <f>_DATA_Assessment_Model!AK359</f>
        <v>0.9</v>
      </c>
      <c r="AO359" s="14">
        <f>_DATA_Assessment_Model!AL359</f>
        <v>0</v>
      </c>
      <c r="AP359" s="14">
        <f>_DATA_Assessment_Model!AM359</f>
        <v>0</v>
      </c>
      <c r="AQ359" s="14">
        <f>_DATA_Assessment_Model!AN359</f>
        <v>0</v>
      </c>
      <c r="AR359" s="14">
        <f>_DATA_Assessment_Model!AO359</f>
        <v>0</v>
      </c>
      <c r="AS359" s="14">
        <f>_DATA_Assessment_Model!AP359</f>
        <v>0</v>
      </c>
      <c r="AT359" s="14">
        <f>_DATA_Assessment_Model!AQ359</f>
        <v>0</v>
      </c>
      <c r="AU359" s="14" t="str">
        <f>_DATA_Assessment_Model!AR359</f>
        <v>Within target</v>
      </c>
      <c r="AV359" s="4">
        <f>_DATA_Assessment_Model!AS359</f>
        <v>0</v>
      </c>
      <c r="AW359" s="4">
        <f>_DATA_Assessment_Model!AT359</f>
        <v>0.9</v>
      </c>
      <c r="AX359" s="254"/>
      <c r="AY359">
        <f>_DATA_Assessment_Model!AV359</f>
        <v>0.9</v>
      </c>
    </row>
    <row r="360" spans="1:51" ht="82.85" customHeight="1">
      <c r="A360" t="s">
        <v>2824</v>
      </c>
      <c r="B360" t="s">
        <v>2824</v>
      </c>
      <c r="C360">
        <v>19</v>
      </c>
      <c r="D360" s="2" t="s">
        <v>2911</v>
      </c>
      <c r="E360" s="2" t="s">
        <v>2845</v>
      </c>
      <c r="F360" s="2" t="s">
        <v>2912</v>
      </c>
      <c r="G360" s="2" t="s">
        <v>2828</v>
      </c>
      <c r="H360" s="2" t="s">
        <v>2829</v>
      </c>
      <c r="I360" s="2" t="s">
        <v>2913</v>
      </c>
      <c r="J360" s="253">
        <v>5</v>
      </c>
      <c r="K360" s="49">
        <f>_DATA_Assessment_Model!H360</f>
        <v>0</v>
      </c>
      <c r="L360" s="3">
        <f>_DATA_Assessment_Model!I360</f>
        <v>0</v>
      </c>
      <c r="M360" s="3">
        <f>_DATA_Assessment_Model!J360</f>
        <v>5</v>
      </c>
      <c r="N360" s="3">
        <f>_DATA_Assessment_Model!K360</f>
        <v>5</v>
      </c>
      <c r="O360" s="2" t="str">
        <f>_DATA_Assessment_Model!L360</f>
        <v>Critical</v>
      </c>
      <c r="P360" s="2" t="s">
        <v>833</v>
      </c>
      <c r="Q360" s="2" t="s">
        <v>834</v>
      </c>
      <c r="R360" s="2" t="s">
        <v>835</v>
      </c>
      <c r="S360" s="2" t="s">
        <v>836</v>
      </c>
      <c r="T360" s="2" t="s">
        <v>837</v>
      </c>
      <c r="U360" s="2" t="s">
        <v>838</v>
      </c>
      <c r="V360" s="2" t="s">
        <v>2831</v>
      </c>
      <c r="W360" s="253"/>
      <c r="X360" s="253"/>
      <c r="Y360" s="253" t="s">
        <v>829</v>
      </c>
      <c r="Z360" s="6">
        <v>5</v>
      </c>
      <c r="AA360" s="6">
        <v>5</v>
      </c>
      <c r="AB360" s="6">
        <v>5</v>
      </c>
      <c r="AC360" s="254"/>
      <c r="AK360" s="255"/>
      <c r="AL360" s="255"/>
      <c r="AM360" s="14">
        <f>_DATA_Assessment_Model!AJ360</f>
        <v>0.9</v>
      </c>
      <c r="AN360" s="14">
        <f>_DATA_Assessment_Model!AK360</f>
        <v>0.9</v>
      </c>
      <c r="AO360" s="14">
        <f>_DATA_Assessment_Model!AL360</f>
        <v>0</v>
      </c>
      <c r="AP360" s="14">
        <f>_DATA_Assessment_Model!AM360</f>
        <v>0</v>
      </c>
      <c r="AQ360" s="14">
        <f>_DATA_Assessment_Model!AN360</f>
        <v>0</v>
      </c>
      <c r="AR360" s="14">
        <f>_DATA_Assessment_Model!AO360</f>
        <v>0</v>
      </c>
      <c r="AS360" s="14">
        <f>_DATA_Assessment_Model!AP360</f>
        <v>0</v>
      </c>
      <c r="AT360" s="14">
        <f>_DATA_Assessment_Model!AQ360</f>
        <v>0</v>
      </c>
      <c r="AU360" s="14" t="str">
        <f>_DATA_Assessment_Model!AR360</f>
        <v>Within target</v>
      </c>
      <c r="AV360" s="4">
        <f>_DATA_Assessment_Model!AS360</f>
        <v>0</v>
      </c>
      <c r="AW360" s="4">
        <f>_DATA_Assessment_Model!AT360</f>
        <v>0.9</v>
      </c>
      <c r="AX360" s="254"/>
      <c r="AY360">
        <f>_DATA_Assessment_Model!AV360</f>
        <v>0.9</v>
      </c>
    </row>
    <row r="361" spans="1:51" ht="96.65" customHeight="1">
      <c r="A361" t="s">
        <v>2824</v>
      </c>
      <c r="B361" t="s">
        <v>2824</v>
      </c>
      <c r="C361">
        <v>20</v>
      </c>
      <c r="D361" s="2" t="s">
        <v>2914</v>
      </c>
      <c r="E361" s="2" t="s">
        <v>2845</v>
      </c>
      <c r="F361" s="2" t="s">
        <v>2915</v>
      </c>
      <c r="G361" s="2" t="s">
        <v>2828</v>
      </c>
      <c r="H361" s="2" t="s">
        <v>2829</v>
      </c>
      <c r="I361" s="2" t="s">
        <v>2916</v>
      </c>
      <c r="J361" s="253">
        <v>4</v>
      </c>
      <c r="K361" s="49">
        <f>_DATA_Assessment_Model!H361</f>
        <v>0</v>
      </c>
      <c r="L361" s="3">
        <f>_DATA_Assessment_Model!I361</f>
        <v>0</v>
      </c>
      <c r="M361" s="3">
        <f>_DATA_Assessment_Model!J361</f>
        <v>4</v>
      </c>
      <c r="N361" s="3">
        <f>_DATA_Assessment_Model!K361</f>
        <v>4</v>
      </c>
      <c r="O361" s="2" t="str">
        <f>_DATA_Assessment_Model!L361</f>
        <v>Critical</v>
      </c>
      <c r="P361" s="2" t="s">
        <v>2917</v>
      </c>
      <c r="Q361" s="2" t="s">
        <v>2918</v>
      </c>
      <c r="R361" s="2" t="s">
        <v>2919</v>
      </c>
      <c r="S361" s="2" t="s">
        <v>2920</v>
      </c>
      <c r="T361" s="2" t="s">
        <v>2921</v>
      </c>
      <c r="U361" s="2" t="s">
        <v>2922</v>
      </c>
      <c r="V361" s="2" t="s">
        <v>2831</v>
      </c>
      <c r="W361" s="253"/>
      <c r="X361" s="253"/>
      <c r="Y361" s="253" t="s">
        <v>829</v>
      </c>
      <c r="Z361" s="6">
        <v>5</v>
      </c>
      <c r="AA361" s="6">
        <v>5</v>
      </c>
      <c r="AB361" s="6">
        <v>5</v>
      </c>
      <c r="AC361" s="254"/>
      <c r="AK361" s="255"/>
      <c r="AL361" s="255"/>
      <c r="AM361" s="14">
        <f>_DATA_Assessment_Model!AJ361</f>
        <v>0.9</v>
      </c>
      <c r="AN361" s="14">
        <f>_DATA_Assessment_Model!AK361</f>
        <v>0.9</v>
      </c>
      <c r="AO361" s="14">
        <f>_DATA_Assessment_Model!AL361</f>
        <v>0</v>
      </c>
      <c r="AP361" s="14">
        <f>_DATA_Assessment_Model!AM361</f>
        <v>0</v>
      </c>
      <c r="AQ361" s="14">
        <f>_DATA_Assessment_Model!AN361</f>
        <v>0</v>
      </c>
      <c r="AR361" s="14">
        <f>_DATA_Assessment_Model!AO361</f>
        <v>0</v>
      </c>
      <c r="AS361" s="14">
        <f>_DATA_Assessment_Model!AP361</f>
        <v>0</v>
      </c>
      <c r="AT361" s="14">
        <f>_DATA_Assessment_Model!AQ361</f>
        <v>0</v>
      </c>
      <c r="AU361" s="14" t="str">
        <f>_DATA_Assessment_Model!AR361</f>
        <v>Within target</v>
      </c>
      <c r="AV361" s="4">
        <f>_DATA_Assessment_Model!AS361</f>
        <v>0</v>
      </c>
      <c r="AW361" s="4">
        <f>_DATA_Assessment_Model!AT361</f>
        <v>0.9</v>
      </c>
      <c r="AX361" s="254"/>
      <c r="AY361">
        <f>_DATA_Assessment_Model!AV361</f>
        <v>0.9</v>
      </c>
    </row>
    <row r="362" spans="1:51" ht="69" customHeight="1">
      <c r="A362" t="s">
        <v>2824</v>
      </c>
      <c r="B362" t="s">
        <v>2824</v>
      </c>
      <c r="C362">
        <v>21</v>
      </c>
      <c r="D362" s="2" t="s">
        <v>2923</v>
      </c>
      <c r="E362" s="2" t="s">
        <v>2845</v>
      </c>
      <c r="F362" s="2" t="s">
        <v>2924</v>
      </c>
      <c r="G362" s="2" t="s">
        <v>2828</v>
      </c>
      <c r="H362" s="2" t="s">
        <v>2829</v>
      </c>
      <c r="I362" s="2" t="s">
        <v>2925</v>
      </c>
      <c r="J362" s="253">
        <v>5</v>
      </c>
      <c r="K362" s="49">
        <f>_DATA_Assessment_Model!H362</f>
        <v>0</v>
      </c>
      <c r="L362" s="3">
        <f>_DATA_Assessment_Model!I362</f>
        <v>0</v>
      </c>
      <c r="M362" s="3">
        <f>_DATA_Assessment_Model!J362</f>
        <v>5</v>
      </c>
      <c r="N362" s="3">
        <f>_DATA_Assessment_Model!K362</f>
        <v>5</v>
      </c>
      <c r="O362" s="2" t="str">
        <f>_DATA_Assessment_Model!L362</f>
        <v>Critical</v>
      </c>
      <c r="P362" s="2" t="s">
        <v>833</v>
      </c>
      <c r="Q362" s="2" t="s">
        <v>834</v>
      </c>
      <c r="R362" s="2" t="s">
        <v>835</v>
      </c>
      <c r="S362" s="2" t="s">
        <v>836</v>
      </c>
      <c r="T362" s="2" t="s">
        <v>837</v>
      </c>
      <c r="U362" s="2" t="s">
        <v>838</v>
      </c>
      <c r="V362" s="2" t="s">
        <v>2831</v>
      </c>
      <c r="W362" s="253"/>
      <c r="X362" s="253"/>
      <c r="Y362" s="253" t="s">
        <v>829</v>
      </c>
      <c r="Z362" s="6">
        <v>5</v>
      </c>
      <c r="AA362" s="6">
        <v>5</v>
      </c>
      <c r="AB362" s="6">
        <v>5</v>
      </c>
      <c r="AC362" s="254"/>
      <c r="AK362" s="255"/>
      <c r="AL362" s="255"/>
      <c r="AM362" s="14">
        <f>_DATA_Assessment_Model!AJ362</f>
        <v>0.9</v>
      </c>
      <c r="AN362" s="14">
        <f>_DATA_Assessment_Model!AK362</f>
        <v>0.9</v>
      </c>
      <c r="AO362" s="14">
        <f>_DATA_Assessment_Model!AL362</f>
        <v>0</v>
      </c>
      <c r="AP362" s="14">
        <f>_DATA_Assessment_Model!AM362</f>
        <v>0</v>
      </c>
      <c r="AQ362" s="14">
        <f>_DATA_Assessment_Model!AN362</f>
        <v>0</v>
      </c>
      <c r="AR362" s="14">
        <f>_DATA_Assessment_Model!AO362</f>
        <v>0</v>
      </c>
      <c r="AS362" s="14">
        <f>_DATA_Assessment_Model!AP362</f>
        <v>0</v>
      </c>
      <c r="AT362" s="14">
        <f>_DATA_Assessment_Model!AQ362</f>
        <v>0</v>
      </c>
      <c r="AU362" s="14" t="str">
        <f>_DATA_Assessment_Model!AR362</f>
        <v>Within target</v>
      </c>
      <c r="AV362" s="4">
        <f>_DATA_Assessment_Model!AS362</f>
        <v>0</v>
      </c>
      <c r="AW362" s="4">
        <f>_DATA_Assessment_Model!AT362</f>
        <v>0.9</v>
      </c>
      <c r="AX362" s="254"/>
      <c r="AY362">
        <f>_DATA_Assessment_Model!AV362</f>
        <v>0.9</v>
      </c>
    </row>
    <row r="363" spans="1:51" ht="82.85" customHeight="1">
      <c r="A363" t="s">
        <v>2824</v>
      </c>
      <c r="B363" t="s">
        <v>2824</v>
      </c>
      <c r="C363">
        <v>22</v>
      </c>
      <c r="D363" s="2" t="s">
        <v>2926</v>
      </c>
      <c r="E363" s="2" t="s">
        <v>2845</v>
      </c>
      <c r="F363" s="2" t="s">
        <v>2927</v>
      </c>
      <c r="G363" s="2" t="s">
        <v>2828</v>
      </c>
      <c r="H363" s="2" t="s">
        <v>2829</v>
      </c>
      <c r="I363" s="2" t="s">
        <v>2928</v>
      </c>
      <c r="J363" s="253">
        <v>5</v>
      </c>
      <c r="K363" s="49">
        <f>_DATA_Assessment_Model!H363</f>
        <v>0</v>
      </c>
      <c r="L363" s="3">
        <f>_DATA_Assessment_Model!I363</f>
        <v>0</v>
      </c>
      <c r="M363" s="3">
        <f>_DATA_Assessment_Model!J363</f>
        <v>5</v>
      </c>
      <c r="N363" s="3">
        <f>_DATA_Assessment_Model!K363</f>
        <v>5</v>
      </c>
      <c r="O363" s="2" t="str">
        <f>_DATA_Assessment_Model!L363</f>
        <v>Critical</v>
      </c>
      <c r="P363" s="2" t="s">
        <v>1069</v>
      </c>
      <c r="Q363" s="2" t="s">
        <v>1070</v>
      </c>
      <c r="R363" s="2" t="s">
        <v>1071</v>
      </c>
      <c r="S363" s="2" t="s">
        <v>1072</v>
      </c>
      <c r="T363" s="2" t="s">
        <v>1073</v>
      </c>
      <c r="U363" s="2" t="s">
        <v>1074</v>
      </c>
      <c r="V363" s="2" t="s">
        <v>2831</v>
      </c>
      <c r="W363" s="253"/>
      <c r="X363" s="253"/>
      <c r="Y363" s="253" t="s">
        <v>829</v>
      </c>
      <c r="Z363" s="6">
        <v>5</v>
      </c>
      <c r="AA363" s="6">
        <v>5</v>
      </c>
      <c r="AB363" s="6">
        <v>5</v>
      </c>
      <c r="AC363" s="254"/>
      <c r="AK363" s="255"/>
      <c r="AL363" s="255"/>
      <c r="AM363" s="14">
        <f>_DATA_Assessment_Model!AJ363</f>
        <v>0.9</v>
      </c>
      <c r="AN363" s="14">
        <f>_DATA_Assessment_Model!AK363</f>
        <v>0.9</v>
      </c>
      <c r="AO363" s="14">
        <f>_DATA_Assessment_Model!AL363</f>
        <v>0</v>
      </c>
      <c r="AP363" s="14">
        <f>_DATA_Assessment_Model!AM363</f>
        <v>0</v>
      </c>
      <c r="AQ363" s="14">
        <f>_DATA_Assessment_Model!AN363</f>
        <v>0</v>
      </c>
      <c r="AR363" s="14">
        <f>_DATA_Assessment_Model!AO363</f>
        <v>0</v>
      </c>
      <c r="AS363" s="14">
        <f>_DATA_Assessment_Model!AP363</f>
        <v>0</v>
      </c>
      <c r="AT363" s="14">
        <f>_DATA_Assessment_Model!AQ363</f>
        <v>0</v>
      </c>
      <c r="AU363" s="14" t="str">
        <f>_DATA_Assessment_Model!AR363</f>
        <v>Within target</v>
      </c>
      <c r="AV363" s="4">
        <f>_DATA_Assessment_Model!AS363</f>
        <v>0</v>
      </c>
      <c r="AW363" s="4">
        <f>_DATA_Assessment_Model!AT363</f>
        <v>0.9</v>
      </c>
      <c r="AX363" s="254"/>
      <c r="AY363">
        <f>_DATA_Assessment_Model!AV363</f>
        <v>0.9</v>
      </c>
    </row>
    <row r="364" spans="1:51" ht="82.85" customHeight="1">
      <c r="A364" t="s">
        <v>2824</v>
      </c>
      <c r="B364" t="s">
        <v>2824</v>
      </c>
      <c r="C364">
        <v>23</v>
      </c>
      <c r="D364" s="2" t="s">
        <v>2929</v>
      </c>
      <c r="E364" s="2" t="s">
        <v>2855</v>
      </c>
      <c r="F364" s="2" t="s">
        <v>2930</v>
      </c>
      <c r="G364" s="2" t="s">
        <v>2828</v>
      </c>
      <c r="H364" s="2" t="s">
        <v>2829</v>
      </c>
      <c r="I364" s="2" t="s">
        <v>2931</v>
      </c>
      <c r="J364" s="253">
        <v>5</v>
      </c>
      <c r="K364" s="49">
        <f>_DATA_Assessment_Model!H364</f>
        <v>0</v>
      </c>
      <c r="L364" s="3">
        <f>_DATA_Assessment_Model!I364</f>
        <v>0</v>
      </c>
      <c r="M364" s="3">
        <f>_DATA_Assessment_Model!J364</f>
        <v>5</v>
      </c>
      <c r="N364" s="3">
        <f>_DATA_Assessment_Model!K364</f>
        <v>5</v>
      </c>
      <c r="O364" s="2" t="str">
        <f>_DATA_Assessment_Model!L364</f>
        <v>Critical</v>
      </c>
      <c r="P364" s="2" t="s">
        <v>1051</v>
      </c>
      <c r="Q364" s="2" t="s">
        <v>1052</v>
      </c>
      <c r="R364" s="2" t="s">
        <v>1053</v>
      </c>
      <c r="S364" s="2" t="s">
        <v>1054</v>
      </c>
      <c r="T364" s="2" t="s">
        <v>1055</v>
      </c>
      <c r="U364" s="2" t="s">
        <v>1056</v>
      </c>
      <c r="V364" s="2" t="s">
        <v>2831</v>
      </c>
      <c r="W364" s="253"/>
      <c r="X364" s="253"/>
      <c r="Y364" s="253" t="s">
        <v>829</v>
      </c>
      <c r="Z364" s="6">
        <v>5</v>
      </c>
      <c r="AA364" s="6">
        <v>5</v>
      </c>
      <c r="AB364" s="6">
        <v>5</v>
      </c>
      <c r="AC364" s="254"/>
      <c r="AK364" s="255"/>
      <c r="AL364" s="255"/>
      <c r="AM364" s="14">
        <f>_DATA_Assessment_Model!AJ364</f>
        <v>0.9</v>
      </c>
      <c r="AN364" s="14">
        <f>_DATA_Assessment_Model!AK364</f>
        <v>0.9</v>
      </c>
      <c r="AO364" s="14">
        <f>_DATA_Assessment_Model!AL364</f>
        <v>0</v>
      </c>
      <c r="AP364" s="14">
        <f>_DATA_Assessment_Model!AM364</f>
        <v>0</v>
      </c>
      <c r="AQ364" s="14">
        <f>_DATA_Assessment_Model!AN364</f>
        <v>0</v>
      </c>
      <c r="AR364" s="14">
        <f>_DATA_Assessment_Model!AO364</f>
        <v>0</v>
      </c>
      <c r="AS364" s="14">
        <f>_DATA_Assessment_Model!AP364</f>
        <v>0</v>
      </c>
      <c r="AT364" s="14">
        <f>_DATA_Assessment_Model!AQ364</f>
        <v>0</v>
      </c>
      <c r="AU364" s="14" t="str">
        <f>_DATA_Assessment_Model!AR364</f>
        <v>Within target</v>
      </c>
      <c r="AV364" s="4">
        <f>_DATA_Assessment_Model!AS364</f>
        <v>0</v>
      </c>
      <c r="AW364" s="4">
        <f>_DATA_Assessment_Model!AT364</f>
        <v>0.9</v>
      </c>
      <c r="AX364" s="254"/>
      <c r="AY364">
        <f>_DATA_Assessment_Model!AV364</f>
        <v>0.9</v>
      </c>
    </row>
    <row r="365" spans="1:51" ht="82.85" customHeight="1">
      <c r="A365" t="s">
        <v>2824</v>
      </c>
      <c r="B365" t="s">
        <v>2824</v>
      </c>
      <c r="C365">
        <v>24</v>
      </c>
      <c r="D365" s="2" t="s">
        <v>2932</v>
      </c>
      <c r="E365" s="2" t="s">
        <v>2855</v>
      </c>
      <c r="F365" s="2" t="s">
        <v>2933</v>
      </c>
      <c r="G365" s="2" t="s">
        <v>2828</v>
      </c>
      <c r="H365" s="2" t="s">
        <v>2829</v>
      </c>
      <c r="I365" s="2" t="s">
        <v>2934</v>
      </c>
      <c r="J365" s="253">
        <v>5</v>
      </c>
      <c r="K365" s="49">
        <f>_DATA_Assessment_Model!H365</f>
        <v>0</v>
      </c>
      <c r="L365" s="3">
        <f>_DATA_Assessment_Model!I365</f>
        <v>0</v>
      </c>
      <c r="M365" s="3">
        <f>_DATA_Assessment_Model!J365</f>
        <v>5</v>
      </c>
      <c r="N365" s="3">
        <f>_DATA_Assessment_Model!K365</f>
        <v>5</v>
      </c>
      <c r="O365" s="2" t="str">
        <f>_DATA_Assessment_Model!L365</f>
        <v>Critical</v>
      </c>
      <c r="P365" s="2" t="s">
        <v>1051</v>
      </c>
      <c r="Q365" s="2" t="s">
        <v>1052</v>
      </c>
      <c r="R365" s="2" t="s">
        <v>1053</v>
      </c>
      <c r="S365" s="2" t="s">
        <v>1054</v>
      </c>
      <c r="T365" s="2" t="s">
        <v>1055</v>
      </c>
      <c r="U365" s="2" t="s">
        <v>1056</v>
      </c>
      <c r="V365" s="2" t="s">
        <v>2831</v>
      </c>
      <c r="W365" s="253"/>
      <c r="X365" s="253"/>
      <c r="Y365" s="253" t="s">
        <v>829</v>
      </c>
      <c r="Z365" s="6">
        <v>5</v>
      </c>
      <c r="AA365" s="6">
        <v>5</v>
      </c>
      <c r="AB365" s="6">
        <v>5</v>
      </c>
      <c r="AC365" s="254"/>
      <c r="AK365" s="255"/>
      <c r="AL365" s="255"/>
      <c r="AM365" s="14">
        <f>_DATA_Assessment_Model!AJ365</f>
        <v>0.9</v>
      </c>
      <c r="AN365" s="14">
        <f>_DATA_Assessment_Model!AK365</f>
        <v>0.9</v>
      </c>
      <c r="AO365" s="14">
        <f>_DATA_Assessment_Model!AL365</f>
        <v>0</v>
      </c>
      <c r="AP365" s="14">
        <f>_DATA_Assessment_Model!AM365</f>
        <v>0</v>
      </c>
      <c r="AQ365" s="14">
        <f>_DATA_Assessment_Model!AN365</f>
        <v>0</v>
      </c>
      <c r="AR365" s="14">
        <f>_DATA_Assessment_Model!AO365</f>
        <v>0</v>
      </c>
      <c r="AS365" s="14">
        <f>_DATA_Assessment_Model!AP365</f>
        <v>0</v>
      </c>
      <c r="AT365" s="14">
        <f>_DATA_Assessment_Model!AQ365</f>
        <v>0</v>
      </c>
      <c r="AU365" s="14" t="str">
        <f>_DATA_Assessment_Model!AR365</f>
        <v>Within target</v>
      </c>
      <c r="AV365" s="4">
        <f>_DATA_Assessment_Model!AS365</f>
        <v>0</v>
      </c>
      <c r="AW365" s="4">
        <f>_DATA_Assessment_Model!AT365</f>
        <v>0.9</v>
      </c>
      <c r="AX365" s="254"/>
      <c r="AY365">
        <f>_DATA_Assessment_Model!AV365</f>
        <v>0.9</v>
      </c>
    </row>
    <row r="366" spans="1:51" ht="96.65" customHeight="1">
      <c r="A366" t="s">
        <v>2824</v>
      </c>
      <c r="B366" t="s">
        <v>2824</v>
      </c>
      <c r="C366">
        <v>25</v>
      </c>
      <c r="D366" s="2" t="s">
        <v>2935</v>
      </c>
      <c r="E366" s="2" t="s">
        <v>2855</v>
      </c>
      <c r="F366" s="2" t="s">
        <v>2936</v>
      </c>
      <c r="G366" s="2" t="s">
        <v>2828</v>
      </c>
      <c r="H366" s="2" t="s">
        <v>2829</v>
      </c>
      <c r="I366" s="2" t="s">
        <v>2937</v>
      </c>
      <c r="J366" s="253">
        <v>4</v>
      </c>
      <c r="K366" s="49">
        <f>_DATA_Assessment_Model!H366</f>
        <v>0</v>
      </c>
      <c r="L366" s="3">
        <f>_DATA_Assessment_Model!I366</f>
        <v>0</v>
      </c>
      <c r="M366" s="3">
        <f>_DATA_Assessment_Model!J366</f>
        <v>4</v>
      </c>
      <c r="N366" s="3">
        <f>_DATA_Assessment_Model!K366</f>
        <v>4</v>
      </c>
      <c r="O366" s="2" t="str">
        <f>_DATA_Assessment_Model!L366</f>
        <v>Critical</v>
      </c>
      <c r="P366" s="2" t="s">
        <v>2938</v>
      </c>
      <c r="Q366" s="2" t="s">
        <v>2939</v>
      </c>
      <c r="R366" s="2" t="s">
        <v>2940</v>
      </c>
      <c r="S366" s="2" t="s">
        <v>2941</v>
      </c>
      <c r="T366" s="2" t="s">
        <v>2942</v>
      </c>
      <c r="U366" s="2" t="s">
        <v>2943</v>
      </c>
      <c r="V366" s="2" t="s">
        <v>2831</v>
      </c>
      <c r="W366" s="253"/>
      <c r="X366" s="253"/>
      <c r="Y366" s="253" t="s">
        <v>829</v>
      </c>
      <c r="Z366" s="6">
        <v>5</v>
      </c>
      <c r="AA366" s="6">
        <v>5</v>
      </c>
      <c r="AB366" s="6">
        <v>5</v>
      </c>
      <c r="AC366" s="254"/>
      <c r="AK366" s="255"/>
      <c r="AL366" s="255"/>
      <c r="AM366" s="14">
        <f>_DATA_Assessment_Model!AJ366</f>
        <v>0.9</v>
      </c>
      <c r="AN366" s="14">
        <f>_DATA_Assessment_Model!AK366</f>
        <v>0.9</v>
      </c>
      <c r="AO366" s="14">
        <f>_DATA_Assessment_Model!AL366</f>
        <v>0</v>
      </c>
      <c r="AP366" s="14">
        <f>_DATA_Assessment_Model!AM366</f>
        <v>0</v>
      </c>
      <c r="AQ366" s="14">
        <f>_DATA_Assessment_Model!AN366</f>
        <v>0</v>
      </c>
      <c r="AR366" s="14">
        <f>_DATA_Assessment_Model!AO366</f>
        <v>0</v>
      </c>
      <c r="AS366" s="14">
        <f>_DATA_Assessment_Model!AP366</f>
        <v>0</v>
      </c>
      <c r="AT366" s="14">
        <f>_DATA_Assessment_Model!AQ366</f>
        <v>0</v>
      </c>
      <c r="AU366" s="14" t="str">
        <f>_DATA_Assessment_Model!AR366</f>
        <v>Within target</v>
      </c>
      <c r="AV366" s="4">
        <f>_DATA_Assessment_Model!AS366</f>
        <v>0</v>
      </c>
      <c r="AW366" s="4">
        <f>_DATA_Assessment_Model!AT366</f>
        <v>0.9</v>
      </c>
      <c r="AX366" s="254"/>
      <c r="AY366">
        <f>_DATA_Assessment_Model!AV366</f>
        <v>0.9</v>
      </c>
    </row>
    <row r="367" spans="1:51" ht="69" customHeight="1">
      <c r="A367" t="s">
        <v>2824</v>
      </c>
      <c r="B367" t="s">
        <v>2824</v>
      </c>
      <c r="C367">
        <v>26</v>
      </c>
      <c r="D367" s="2" t="s">
        <v>2944</v>
      </c>
      <c r="E367" s="2" t="s">
        <v>2855</v>
      </c>
      <c r="F367" s="2" t="s">
        <v>2945</v>
      </c>
      <c r="G367" s="2" t="s">
        <v>2828</v>
      </c>
      <c r="H367" s="2" t="s">
        <v>2829</v>
      </c>
      <c r="I367" s="2" t="s">
        <v>2946</v>
      </c>
      <c r="J367" s="253">
        <v>4</v>
      </c>
      <c r="K367" s="49">
        <f>_DATA_Assessment_Model!H367</f>
        <v>0</v>
      </c>
      <c r="L367" s="3">
        <f>_DATA_Assessment_Model!I367</f>
        <v>0</v>
      </c>
      <c r="M367" s="3">
        <f>_DATA_Assessment_Model!J367</f>
        <v>4</v>
      </c>
      <c r="N367" s="3">
        <f>_DATA_Assessment_Model!K367</f>
        <v>4</v>
      </c>
      <c r="O367" s="2" t="str">
        <f>_DATA_Assessment_Model!L367</f>
        <v>Critical</v>
      </c>
      <c r="P367" s="2" t="s">
        <v>1202</v>
      </c>
      <c r="Q367" s="2" t="s">
        <v>1203</v>
      </c>
      <c r="R367" s="2" t="s">
        <v>1204</v>
      </c>
      <c r="S367" s="2" t="s">
        <v>1205</v>
      </c>
      <c r="T367" s="2" t="s">
        <v>1206</v>
      </c>
      <c r="U367" s="2" t="s">
        <v>1207</v>
      </c>
      <c r="V367" s="2" t="s">
        <v>2831</v>
      </c>
      <c r="W367" s="253"/>
      <c r="X367" s="253"/>
      <c r="Y367" s="253" t="s">
        <v>829</v>
      </c>
      <c r="Z367" s="6">
        <v>5</v>
      </c>
      <c r="AA367" s="6">
        <v>5</v>
      </c>
      <c r="AB367" s="6">
        <v>5</v>
      </c>
      <c r="AC367" s="254"/>
      <c r="AK367" s="255"/>
      <c r="AL367" s="255"/>
      <c r="AM367" s="14">
        <f>_DATA_Assessment_Model!AJ367</f>
        <v>0.9</v>
      </c>
      <c r="AN367" s="14">
        <f>_DATA_Assessment_Model!AK367</f>
        <v>0.9</v>
      </c>
      <c r="AO367" s="14">
        <f>_DATA_Assessment_Model!AL367</f>
        <v>0</v>
      </c>
      <c r="AP367" s="14">
        <f>_DATA_Assessment_Model!AM367</f>
        <v>0</v>
      </c>
      <c r="AQ367" s="14">
        <f>_DATA_Assessment_Model!AN367</f>
        <v>0</v>
      </c>
      <c r="AR367" s="14">
        <f>_DATA_Assessment_Model!AO367</f>
        <v>0</v>
      </c>
      <c r="AS367" s="14">
        <f>_DATA_Assessment_Model!AP367</f>
        <v>0</v>
      </c>
      <c r="AT367" s="14">
        <f>_DATA_Assessment_Model!AQ367</f>
        <v>0</v>
      </c>
      <c r="AU367" s="14" t="str">
        <f>_DATA_Assessment_Model!AR367</f>
        <v>Within target</v>
      </c>
      <c r="AV367" s="4">
        <f>_DATA_Assessment_Model!AS367</f>
        <v>0</v>
      </c>
      <c r="AW367" s="4">
        <f>_DATA_Assessment_Model!AT367</f>
        <v>0.9</v>
      </c>
      <c r="AX367" s="254"/>
      <c r="AY367">
        <f>_DATA_Assessment_Model!AV367</f>
        <v>0.9</v>
      </c>
    </row>
    <row r="368" spans="1:51" ht="96.65" customHeight="1">
      <c r="A368" t="s">
        <v>2824</v>
      </c>
      <c r="B368" t="s">
        <v>2824</v>
      </c>
      <c r="C368">
        <v>27</v>
      </c>
      <c r="D368" s="2" t="s">
        <v>2947</v>
      </c>
      <c r="E368" s="2" t="s">
        <v>2859</v>
      </c>
      <c r="F368" s="2" t="s">
        <v>2948</v>
      </c>
      <c r="G368" s="2" t="s">
        <v>2828</v>
      </c>
      <c r="H368" s="2" t="s">
        <v>2829</v>
      </c>
      <c r="I368" s="2" t="s">
        <v>2949</v>
      </c>
      <c r="J368" s="253">
        <v>4</v>
      </c>
      <c r="K368" s="49">
        <f>_DATA_Assessment_Model!H368</f>
        <v>0</v>
      </c>
      <c r="L368" s="3">
        <f>_DATA_Assessment_Model!I368</f>
        <v>0</v>
      </c>
      <c r="M368" s="3">
        <f>_DATA_Assessment_Model!J368</f>
        <v>4</v>
      </c>
      <c r="N368" s="3">
        <f>_DATA_Assessment_Model!K368</f>
        <v>4</v>
      </c>
      <c r="O368" s="2" t="str">
        <f>_DATA_Assessment_Model!L368</f>
        <v>Critical</v>
      </c>
      <c r="P368" s="2" t="s">
        <v>2950</v>
      </c>
      <c r="Q368" s="2" t="s">
        <v>2951</v>
      </c>
      <c r="R368" s="2" t="s">
        <v>2952</v>
      </c>
      <c r="S368" s="2" t="s">
        <v>2953</v>
      </c>
      <c r="T368" s="2" t="s">
        <v>2954</v>
      </c>
      <c r="U368" s="2" t="s">
        <v>2955</v>
      </c>
      <c r="V368" s="2" t="s">
        <v>2831</v>
      </c>
      <c r="W368" s="253"/>
      <c r="X368" s="253"/>
      <c r="Y368" s="253" t="s">
        <v>829</v>
      </c>
      <c r="Z368" s="6">
        <v>5</v>
      </c>
      <c r="AA368" s="6">
        <v>5</v>
      </c>
      <c r="AB368" s="6">
        <v>5</v>
      </c>
      <c r="AC368" s="254"/>
      <c r="AK368" s="255"/>
      <c r="AL368" s="255"/>
      <c r="AM368" s="14">
        <f>_DATA_Assessment_Model!AJ368</f>
        <v>0.9</v>
      </c>
      <c r="AN368" s="14">
        <f>_DATA_Assessment_Model!AK368</f>
        <v>0.9</v>
      </c>
      <c r="AO368" s="14">
        <f>_DATA_Assessment_Model!AL368</f>
        <v>0</v>
      </c>
      <c r="AP368" s="14">
        <f>_DATA_Assessment_Model!AM368</f>
        <v>0</v>
      </c>
      <c r="AQ368" s="14">
        <f>_DATA_Assessment_Model!AN368</f>
        <v>0</v>
      </c>
      <c r="AR368" s="14">
        <f>_DATA_Assessment_Model!AO368</f>
        <v>0</v>
      </c>
      <c r="AS368" s="14">
        <f>_DATA_Assessment_Model!AP368</f>
        <v>0</v>
      </c>
      <c r="AT368" s="14">
        <f>_DATA_Assessment_Model!AQ368</f>
        <v>0</v>
      </c>
      <c r="AU368" s="14" t="str">
        <f>_DATA_Assessment_Model!AR368</f>
        <v>Within target</v>
      </c>
      <c r="AV368" s="4">
        <f>_DATA_Assessment_Model!AS368</f>
        <v>0</v>
      </c>
      <c r="AW368" s="4">
        <f>_DATA_Assessment_Model!AT368</f>
        <v>0.9</v>
      </c>
      <c r="AX368" s="254"/>
      <c r="AY368">
        <f>_DATA_Assessment_Model!AV368</f>
        <v>0.9</v>
      </c>
    </row>
    <row r="369" spans="1:51" ht="96.65" customHeight="1">
      <c r="A369" t="s">
        <v>2824</v>
      </c>
      <c r="B369" t="s">
        <v>2824</v>
      </c>
      <c r="C369">
        <v>28</v>
      </c>
      <c r="D369" s="2" t="s">
        <v>2956</v>
      </c>
      <c r="E369" s="2" t="s">
        <v>2859</v>
      </c>
      <c r="F369" s="2" t="s">
        <v>2957</v>
      </c>
      <c r="G369" s="2" t="s">
        <v>2828</v>
      </c>
      <c r="H369" s="2" t="s">
        <v>2829</v>
      </c>
      <c r="I369" s="2" t="s">
        <v>2958</v>
      </c>
      <c r="J369" s="253">
        <v>4</v>
      </c>
      <c r="K369" s="49">
        <f>_DATA_Assessment_Model!H369</f>
        <v>0</v>
      </c>
      <c r="L369" s="3">
        <f>_DATA_Assessment_Model!I369</f>
        <v>0</v>
      </c>
      <c r="M369" s="3">
        <f>_DATA_Assessment_Model!J369</f>
        <v>4</v>
      </c>
      <c r="N369" s="3">
        <f>_DATA_Assessment_Model!K369</f>
        <v>4</v>
      </c>
      <c r="O369" s="2" t="str">
        <f>_DATA_Assessment_Model!L369</f>
        <v>Critical</v>
      </c>
      <c r="P369" s="2" t="s">
        <v>2959</v>
      </c>
      <c r="Q369" s="2" t="s">
        <v>2960</v>
      </c>
      <c r="R369" s="2" t="s">
        <v>2961</v>
      </c>
      <c r="S369" s="2" t="s">
        <v>2962</v>
      </c>
      <c r="T369" s="2" t="s">
        <v>2963</v>
      </c>
      <c r="U369" s="2" t="s">
        <v>2964</v>
      </c>
      <c r="V369" s="2" t="s">
        <v>2831</v>
      </c>
      <c r="W369" s="253"/>
      <c r="X369" s="253"/>
      <c r="Y369" s="253" t="s">
        <v>829</v>
      </c>
      <c r="Z369" s="6">
        <v>5</v>
      </c>
      <c r="AA369" s="6">
        <v>5</v>
      </c>
      <c r="AB369" s="6">
        <v>5</v>
      </c>
      <c r="AC369" s="254"/>
      <c r="AK369" s="255"/>
      <c r="AL369" s="255"/>
      <c r="AM369" s="14">
        <f>_DATA_Assessment_Model!AJ369</f>
        <v>0.9</v>
      </c>
      <c r="AN369" s="14">
        <f>_DATA_Assessment_Model!AK369</f>
        <v>0.9</v>
      </c>
      <c r="AO369" s="14">
        <f>_DATA_Assessment_Model!AL369</f>
        <v>0</v>
      </c>
      <c r="AP369" s="14">
        <f>_DATA_Assessment_Model!AM369</f>
        <v>0</v>
      </c>
      <c r="AQ369" s="14">
        <f>_DATA_Assessment_Model!AN369</f>
        <v>0</v>
      </c>
      <c r="AR369" s="14">
        <f>_DATA_Assessment_Model!AO369</f>
        <v>0</v>
      </c>
      <c r="AS369" s="14">
        <f>_DATA_Assessment_Model!AP369</f>
        <v>0</v>
      </c>
      <c r="AT369" s="14">
        <f>_DATA_Assessment_Model!AQ369</f>
        <v>0</v>
      </c>
      <c r="AU369" s="14" t="str">
        <f>_DATA_Assessment_Model!AR369</f>
        <v>Within target</v>
      </c>
      <c r="AV369" s="4">
        <f>_DATA_Assessment_Model!AS369</f>
        <v>0</v>
      </c>
      <c r="AW369" s="4">
        <f>_DATA_Assessment_Model!AT369</f>
        <v>0.9</v>
      </c>
      <c r="AX369" s="254"/>
      <c r="AY369">
        <f>_DATA_Assessment_Model!AV369</f>
        <v>0.9</v>
      </c>
    </row>
    <row r="370" spans="1:51" ht="96.65" customHeight="1">
      <c r="A370" t="s">
        <v>2824</v>
      </c>
      <c r="B370" t="s">
        <v>2824</v>
      </c>
      <c r="C370">
        <v>29</v>
      </c>
      <c r="D370" s="2" t="s">
        <v>2965</v>
      </c>
      <c r="E370" s="2" t="s">
        <v>2859</v>
      </c>
      <c r="F370" s="2" t="s">
        <v>2966</v>
      </c>
      <c r="G370" s="2" t="s">
        <v>2828</v>
      </c>
      <c r="H370" s="2" t="s">
        <v>2829</v>
      </c>
      <c r="I370" s="2" t="s">
        <v>2967</v>
      </c>
      <c r="J370" s="253">
        <v>4</v>
      </c>
      <c r="K370" s="49">
        <f>_DATA_Assessment_Model!H370</f>
        <v>0</v>
      </c>
      <c r="L370" s="3">
        <f>_DATA_Assessment_Model!I370</f>
        <v>0</v>
      </c>
      <c r="M370" s="3">
        <f>_DATA_Assessment_Model!J370</f>
        <v>4</v>
      </c>
      <c r="N370" s="3">
        <f>_DATA_Assessment_Model!K370</f>
        <v>4</v>
      </c>
      <c r="O370" s="2" t="str">
        <f>_DATA_Assessment_Model!L370</f>
        <v>Critical</v>
      </c>
      <c r="P370" s="2" t="s">
        <v>2968</v>
      </c>
      <c r="Q370" s="2" t="s">
        <v>2969</v>
      </c>
      <c r="R370" s="2" t="s">
        <v>2970</v>
      </c>
      <c r="S370" s="2" t="s">
        <v>2971</v>
      </c>
      <c r="T370" s="2" t="s">
        <v>2972</v>
      </c>
      <c r="U370" s="2" t="s">
        <v>2973</v>
      </c>
      <c r="V370" s="2" t="s">
        <v>2831</v>
      </c>
      <c r="W370" s="253"/>
      <c r="X370" s="253"/>
      <c r="Y370" s="253" t="s">
        <v>829</v>
      </c>
      <c r="Z370" s="6">
        <v>5</v>
      </c>
      <c r="AA370" s="6">
        <v>5</v>
      </c>
      <c r="AB370" s="6">
        <v>5</v>
      </c>
      <c r="AC370" s="254"/>
      <c r="AK370" s="255"/>
      <c r="AL370" s="255"/>
      <c r="AM370" s="14">
        <f>_DATA_Assessment_Model!AJ370</f>
        <v>0.9</v>
      </c>
      <c r="AN370" s="14">
        <f>_DATA_Assessment_Model!AK370</f>
        <v>0.9</v>
      </c>
      <c r="AO370" s="14">
        <f>_DATA_Assessment_Model!AL370</f>
        <v>0</v>
      </c>
      <c r="AP370" s="14">
        <f>_DATA_Assessment_Model!AM370</f>
        <v>0</v>
      </c>
      <c r="AQ370" s="14">
        <f>_DATA_Assessment_Model!AN370</f>
        <v>0</v>
      </c>
      <c r="AR370" s="14">
        <f>_DATA_Assessment_Model!AO370</f>
        <v>0</v>
      </c>
      <c r="AS370" s="14">
        <f>_DATA_Assessment_Model!AP370</f>
        <v>0</v>
      </c>
      <c r="AT370" s="14">
        <f>_DATA_Assessment_Model!AQ370</f>
        <v>0</v>
      </c>
      <c r="AU370" s="14" t="str">
        <f>_DATA_Assessment_Model!AR370</f>
        <v>Within target</v>
      </c>
      <c r="AV370" s="4">
        <f>_DATA_Assessment_Model!AS370</f>
        <v>0</v>
      </c>
      <c r="AW370" s="4">
        <f>_DATA_Assessment_Model!AT370</f>
        <v>0.9</v>
      </c>
      <c r="AX370" s="254"/>
      <c r="AY370">
        <f>_DATA_Assessment_Model!AV370</f>
        <v>0.9</v>
      </c>
    </row>
    <row r="371" spans="1:51" ht="82.85" customHeight="1">
      <c r="A371" t="s">
        <v>2824</v>
      </c>
      <c r="B371" t="s">
        <v>2824</v>
      </c>
      <c r="C371">
        <v>30</v>
      </c>
      <c r="D371" s="2" t="s">
        <v>2974</v>
      </c>
      <c r="E371" s="2" t="s">
        <v>2859</v>
      </c>
      <c r="F371" s="2" t="s">
        <v>2975</v>
      </c>
      <c r="G371" s="2" t="s">
        <v>2828</v>
      </c>
      <c r="H371" s="2" t="s">
        <v>2829</v>
      </c>
      <c r="I371" s="2" t="s">
        <v>2976</v>
      </c>
      <c r="J371" s="253">
        <v>5</v>
      </c>
      <c r="K371" s="49">
        <f>_DATA_Assessment_Model!H371</f>
        <v>0</v>
      </c>
      <c r="L371" s="3">
        <f>_DATA_Assessment_Model!I371</f>
        <v>0</v>
      </c>
      <c r="M371" s="3">
        <f>_DATA_Assessment_Model!J371</f>
        <v>5</v>
      </c>
      <c r="N371" s="3">
        <f>_DATA_Assessment_Model!K371</f>
        <v>5</v>
      </c>
      <c r="O371" s="2" t="str">
        <f>_DATA_Assessment_Model!L371</f>
        <v>Critical</v>
      </c>
      <c r="P371" s="2" t="s">
        <v>1051</v>
      </c>
      <c r="Q371" s="2" t="s">
        <v>1052</v>
      </c>
      <c r="R371" s="2" t="s">
        <v>1053</v>
      </c>
      <c r="S371" s="2" t="s">
        <v>1054</v>
      </c>
      <c r="T371" s="2" t="s">
        <v>1055</v>
      </c>
      <c r="U371" s="2" t="s">
        <v>1056</v>
      </c>
      <c r="V371" s="2" t="s">
        <v>2831</v>
      </c>
      <c r="W371" s="253"/>
      <c r="X371" s="253"/>
      <c r="Y371" s="253" t="s">
        <v>829</v>
      </c>
      <c r="Z371" s="6">
        <v>5</v>
      </c>
      <c r="AA371" s="6">
        <v>5</v>
      </c>
      <c r="AB371" s="6">
        <v>5</v>
      </c>
      <c r="AC371" s="254"/>
      <c r="AK371" s="255"/>
      <c r="AL371" s="255"/>
      <c r="AM371" s="14">
        <f>_DATA_Assessment_Model!AJ371</f>
        <v>0.9</v>
      </c>
      <c r="AN371" s="14">
        <f>_DATA_Assessment_Model!AK371</f>
        <v>0.9</v>
      </c>
      <c r="AO371" s="14">
        <f>_DATA_Assessment_Model!AL371</f>
        <v>0</v>
      </c>
      <c r="AP371" s="14">
        <f>_DATA_Assessment_Model!AM371</f>
        <v>0</v>
      </c>
      <c r="AQ371" s="14">
        <f>_DATA_Assessment_Model!AN371</f>
        <v>0</v>
      </c>
      <c r="AR371" s="14">
        <f>_DATA_Assessment_Model!AO371</f>
        <v>0</v>
      </c>
      <c r="AS371" s="14">
        <f>_DATA_Assessment_Model!AP371</f>
        <v>0</v>
      </c>
      <c r="AT371" s="14">
        <f>_DATA_Assessment_Model!AQ371</f>
        <v>0</v>
      </c>
      <c r="AU371" s="14" t="str">
        <f>_DATA_Assessment_Model!AR371</f>
        <v>Within target</v>
      </c>
      <c r="AV371" s="4">
        <f>_DATA_Assessment_Model!AS371</f>
        <v>0</v>
      </c>
      <c r="AW371" s="4">
        <f>_DATA_Assessment_Model!AT371</f>
        <v>0.9</v>
      </c>
      <c r="AX371" s="254"/>
      <c r="AY371">
        <f>_DATA_Assessment_Model!AV371</f>
        <v>0.9</v>
      </c>
    </row>
    <row r="372" spans="1:51" ht="96.65" customHeight="1">
      <c r="A372" t="s">
        <v>2824</v>
      </c>
      <c r="B372" t="s">
        <v>2824</v>
      </c>
      <c r="C372">
        <v>31</v>
      </c>
      <c r="D372" s="2" t="s">
        <v>2977</v>
      </c>
      <c r="E372" s="2" t="s">
        <v>2859</v>
      </c>
      <c r="F372" s="2" t="s">
        <v>2978</v>
      </c>
      <c r="G372" s="2" t="s">
        <v>2828</v>
      </c>
      <c r="H372" s="2" t="s">
        <v>2829</v>
      </c>
      <c r="I372" s="2" t="s">
        <v>2979</v>
      </c>
      <c r="J372" s="253">
        <v>4</v>
      </c>
      <c r="K372" s="49">
        <f>_DATA_Assessment_Model!H372</f>
        <v>0</v>
      </c>
      <c r="L372" s="3">
        <f>_DATA_Assessment_Model!I372</f>
        <v>0</v>
      </c>
      <c r="M372" s="3">
        <f>_DATA_Assessment_Model!J372</f>
        <v>4</v>
      </c>
      <c r="N372" s="3">
        <f>_DATA_Assessment_Model!K372</f>
        <v>4</v>
      </c>
      <c r="O372" s="2" t="str">
        <f>_DATA_Assessment_Model!L372</f>
        <v>Critical</v>
      </c>
      <c r="P372" s="2" t="s">
        <v>2980</v>
      </c>
      <c r="Q372" s="2" t="s">
        <v>2981</v>
      </c>
      <c r="R372" s="2" t="s">
        <v>2982</v>
      </c>
      <c r="S372" s="2" t="s">
        <v>2983</v>
      </c>
      <c r="T372" s="2" t="s">
        <v>2984</v>
      </c>
      <c r="U372" s="2" t="s">
        <v>2985</v>
      </c>
      <c r="V372" s="2" t="s">
        <v>2831</v>
      </c>
      <c r="W372" s="253"/>
      <c r="X372" s="253"/>
      <c r="Y372" s="253" t="s">
        <v>829</v>
      </c>
      <c r="Z372" s="6">
        <v>5</v>
      </c>
      <c r="AA372" s="6">
        <v>5</v>
      </c>
      <c r="AB372" s="6">
        <v>5</v>
      </c>
      <c r="AC372" s="254"/>
      <c r="AK372" s="255"/>
      <c r="AL372" s="255"/>
      <c r="AM372" s="14">
        <f>_DATA_Assessment_Model!AJ372</f>
        <v>0.9</v>
      </c>
      <c r="AN372" s="14">
        <f>_DATA_Assessment_Model!AK372</f>
        <v>0.9</v>
      </c>
      <c r="AO372" s="14">
        <f>_DATA_Assessment_Model!AL372</f>
        <v>0</v>
      </c>
      <c r="AP372" s="14">
        <f>_DATA_Assessment_Model!AM372</f>
        <v>0</v>
      </c>
      <c r="AQ372" s="14">
        <f>_DATA_Assessment_Model!AN372</f>
        <v>0</v>
      </c>
      <c r="AR372" s="14">
        <f>_DATA_Assessment_Model!AO372</f>
        <v>0</v>
      </c>
      <c r="AS372" s="14">
        <f>_DATA_Assessment_Model!AP372</f>
        <v>0</v>
      </c>
      <c r="AT372" s="14">
        <f>_DATA_Assessment_Model!AQ372</f>
        <v>0</v>
      </c>
      <c r="AU372" s="14" t="str">
        <f>_DATA_Assessment_Model!AR372</f>
        <v>Within target</v>
      </c>
      <c r="AV372" s="4">
        <f>_DATA_Assessment_Model!AS372</f>
        <v>0</v>
      </c>
      <c r="AW372" s="4">
        <f>_DATA_Assessment_Model!AT372</f>
        <v>0.9</v>
      </c>
      <c r="AX372" s="254"/>
      <c r="AY372">
        <f>_DATA_Assessment_Model!AV372</f>
        <v>0.9</v>
      </c>
    </row>
    <row r="373" spans="1:51" ht="96.65" customHeight="1">
      <c r="A373" t="s">
        <v>2986</v>
      </c>
      <c r="B373" t="s">
        <v>2986</v>
      </c>
      <c r="C373">
        <v>5</v>
      </c>
      <c r="D373" s="2" t="s">
        <v>2987</v>
      </c>
      <c r="E373" s="2" t="s">
        <v>2988</v>
      </c>
      <c r="F373" s="2" t="s">
        <v>2989</v>
      </c>
      <c r="G373" s="2" t="s">
        <v>2990</v>
      </c>
      <c r="H373" s="2" t="s">
        <v>2991</v>
      </c>
      <c r="I373" s="2" t="s">
        <v>2992</v>
      </c>
      <c r="J373" s="253">
        <v>4</v>
      </c>
      <c r="K373" s="49">
        <f>_DATA_Assessment_Model!H373</f>
        <v>0</v>
      </c>
      <c r="L373" s="3">
        <f>_DATA_Assessment_Model!I373</f>
        <v>0</v>
      </c>
      <c r="M373" s="3">
        <f>_DATA_Assessment_Model!J373</f>
        <v>4</v>
      </c>
      <c r="N373" s="3">
        <f>_DATA_Assessment_Model!K373</f>
        <v>4</v>
      </c>
      <c r="O373" s="2" t="str">
        <f>_DATA_Assessment_Model!L373</f>
        <v>Critical</v>
      </c>
      <c r="P373" s="2" t="s">
        <v>2993</v>
      </c>
      <c r="Q373" s="2" t="s">
        <v>2994</v>
      </c>
      <c r="R373" s="2" t="s">
        <v>2995</v>
      </c>
      <c r="S373" s="2" t="s">
        <v>2996</v>
      </c>
      <c r="T373" s="2" t="s">
        <v>2997</v>
      </c>
      <c r="U373" s="2" t="s">
        <v>2998</v>
      </c>
      <c r="V373" s="2" t="s">
        <v>2999</v>
      </c>
      <c r="W373" s="253"/>
      <c r="X373" s="253"/>
      <c r="Y373" s="253" t="s">
        <v>829</v>
      </c>
      <c r="Z373" s="6">
        <v>5</v>
      </c>
      <c r="AA373" s="6">
        <v>5</v>
      </c>
      <c r="AB373" s="6">
        <v>5</v>
      </c>
      <c r="AC373" s="254"/>
      <c r="AD373" t="s">
        <v>2988</v>
      </c>
      <c r="AE373" s="5">
        <f>_DATA_Assessment_Model!AB373</f>
        <v>8</v>
      </c>
      <c r="AF373" s="7">
        <f>_DATA_Assessment_Model!AC373</f>
        <v>0</v>
      </c>
      <c r="AG373" s="8">
        <f>_DATA_Assessment_Model!AD373</f>
        <v>0</v>
      </c>
      <c r="AH373" s="5">
        <f>_DATA_Assessment_Model!AE373</f>
        <v>8</v>
      </c>
      <c r="AI373" s="7">
        <f>_DATA_Assessment_Model!AF373</f>
        <v>5</v>
      </c>
      <c r="AJ373" s="5">
        <f>_DATA_Assessment_Model!AG373</f>
        <v>8</v>
      </c>
      <c r="AK373" s="255"/>
      <c r="AL373" s="255"/>
      <c r="AM373" s="14">
        <f>_DATA_Assessment_Model!AJ373</f>
        <v>0.9</v>
      </c>
      <c r="AN373" s="14">
        <f>_DATA_Assessment_Model!AK373</f>
        <v>0.9</v>
      </c>
      <c r="AO373" s="14">
        <f>_DATA_Assessment_Model!AL373</f>
        <v>0</v>
      </c>
      <c r="AP373" s="14">
        <f>_DATA_Assessment_Model!AM373</f>
        <v>0</v>
      </c>
      <c r="AQ373" s="14">
        <f>_DATA_Assessment_Model!AN373</f>
        <v>0</v>
      </c>
      <c r="AR373" s="14">
        <f>_DATA_Assessment_Model!AO373</f>
        <v>0</v>
      </c>
      <c r="AS373" s="14">
        <f>_DATA_Assessment_Model!AP373</f>
        <v>0</v>
      </c>
      <c r="AT373" s="14">
        <f>_DATA_Assessment_Model!AQ373</f>
        <v>0</v>
      </c>
      <c r="AU373" s="14" t="str">
        <f>_DATA_Assessment_Model!AR373</f>
        <v>Within target</v>
      </c>
      <c r="AV373" s="4">
        <f>_DATA_Assessment_Model!AS373</f>
        <v>0</v>
      </c>
      <c r="AW373" s="4">
        <f>_DATA_Assessment_Model!AT373</f>
        <v>0.9</v>
      </c>
      <c r="AX373" s="254"/>
      <c r="AY373">
        <f>_DATA_Assessment_Model!AV373</f>
        <v>0.9</v>
      </c>
    </row>
    <row r="374" spans="1:51" ht="69" customHeight="1">
      <c r="A374" t="s">
        <v>2986</v>
      </c>
      <c r="B374" t="s">
        <v>2986</v>
      </c>
      <c r="C374">
        <v>6</v>
      </c>
      <c r="D374" s="2" t="s">
        <v>3000</v>
      </c>
      <c r="E374" s="2" t="s">
        <v>2988</v>
      </c>
      <c r="F374" s="2" t="s">
        <v>3001</v>
      </c>
      <c r="G374" s="2" t="s">
        <v>2990</v>
      </c>
      <c r="H374" s="2" t="s">
        <v>2991</v>
      </c>
      <c r="I374" s="2" t="s">
        <v>3002</v>
      </c>
      <c r="J374" s="253">
        <v>5</v>
      </c>
      <c r="K374" s="49">
        <f>_DATA_Assessment_Model!H374</f>
        <v>0</v>
      </c>
      <c r="L374" s="3">
        <f>_DATA_Assessment_Model!I374</f>
        <v>0</v>
      </c>
      <c r="M374" s="3">
        <f>_DATA_Assessment_Model!J374</f>
        <v>5</v>
      </c>
      <c r="N374" s="3">
        <f>_DATA_Assessment_Model!K374</f>
        <v>5</v>
      </c>
      <c r="O374" s="2" t="str">
        <f>_DATA_Assessment_Model!L374</f>
        <v>Critical</v>
      </c>
      <c r="P374" s="2" t="s">
        <v>1051</v>
      </c>
      <c r="Q374" s="2" t="s">
        <v>1052</v>
      </c>
      <c r="R374" s="2" t="s">
        <v>1053</v>
      </c>
      <c r="S374" s="2" t="s">
        <v>1054</v>
      </c>
      <c r="T374" s="2" t="s">
        <v>1055</v>
      </c>
      <c r="U374" s="2" t="s">
        <v>1056</v>
      </c>
      <c r="V374" s="2" t="s">
        <v>2999</v>
      </c>
      <c r="W374" s="253"/>
      <c r="X374" s="253"/>
      <c r="Y374" s="253" t="s">
        <v>829</v>
      </c>
      <c r="Z374" s="6">
        <v>5</v>
      </c>
      <c r="AA374" s="6">
        <v>5</v>
      </c>
      <c r="AB374" s="6">
        <v>5</v>
      </c>
      <c r="AC374" s="254"/>
      <c r="AD374" t="s">
        <v>3003</v>
      </c>
      <c r="AE374" s="5">
        <f>_DATA_Assessment_Model!AB374</f>
        <v>6</v>
      </c>
      <c r="AF374" s="7">
        <f>_DATA_Assessment_Model!AC374</f>
        <v>0</v>
      </c>
      <c r="AG374" s="8">
        <f>_DATA_Assessment_Model!AD374</f>
        <v>0</v>
      </c>
      <c r="AH374" s="5">
        <f>_DATA_Assessment_Model!AE374</f>
        <v>6</v>
      </c>
      <c r="AI374" s="7">
        <f>_DATA_Assessment_Model!AF374</f>
        <v>5</v>
      </c>
      <c r="AJ374" s="5">
        <f>_DATA_Assessment_Model!AG374</f>
        <v>6</v>
      </c>
      <c r="AK374" s="255"/>
      <c r="AL374" s="255"/>
      <c r="AM374" s="14">
        <f>_DATA_Assessment_Model!AJ374</f>
        <v>0.9</v>
      </c>
      <c r="AN374" s="14">
        <f>_DATA_Assessment_Model!AK374</f>
        <v>0.9</v>
      </c>
      <c r="AO374" s="14">
        <f>_DATA_Assessment_Model!AL374</f>
        <v>0</v>
      </c>
      <c r="AP374" s="14">
        <f>_DATA_Assessment_Model!AM374</f>
        <v>0</v>
      </c>
      <c r="AQ374" s="14">
        <f>_DATA_Assessment_Model!AN374</f>
        <v>0</v>
      </c>
      <c r="AR374" s="14">
        <f>_DATA_Assessment_Model!AO374</f>
        <v>0</v>
      </c>
      <c r="AS374" s="14">
        <f>_DATA_Assessment_Model!AP374</f>
        <v>0</v>
      </c>
      <c r="AT374" s="14">
        <f>_DATA_Assessment_Model!AQ374</f>
        <v>0</v>
      </c>
      <c r="AU374" s="14" t="str">
        <f>_DATA_Assessment_Model!AR374</f>
        <v>Within target</v>
      </c>
      <c r="AV374" s="4">
        <f>_DATA_Assessment_Model!AS374</f>
        <v>0</v>
      </c>
      <c r="AW374" s="4">
        <f>_DATA_Assessment_Model!AT374</f>
        <v>0.9</v>
      </c>
      <c r="AX374" s="254"/>
      <c r="AY374">
        <f>_DATA_Assessment_Model!AV374</f>
        <v>0.9</v>
      </c>
    </row>
    <row r="375" spans="1:51" ht="82.85" customHeight="1">
      <c r="A375" t="s">
        <v>2986</v>
      </c>
      <c r="B375" t="s">
        <v>2986</v>
      </c>
      <c r="C375">
        <v>7</v>
      </c>
      <c r="D375" s="2" t="s">
        <v>3004</v>
      </c>
      <c r="E375" s="2" t="s">
        <v>2988</v>
      </c>
      <c r="F375" s="2" t="s">
        <v>3005</v>
      </c>
      <c r="G375" s="2" t="s">
        <v>2990</v>
      </c>
      <c r="H375" s="2" t="s">
        <v>2991</v>
      </c>
      <c r="I375" s="2" t="s">
        <v>3006</v>
      </c>
      <c r="J375" s="253">
        <v>5</v>
      </c>
      <c r="K375" s="49">
        <f>_DATA_Assessment_Model!H375</f>
        <v>0</v>
      </c>
      <c r="L375" s="3">
        <f>_DATA_Assessment_Model!I375</f>
        <v>0</v>
      </c>
      <c r="M375" s="3">
        <f>_DATA_Assessment_Model!J375</f>
        <v>5</v>
      </c>
      <c r="N375" s="3">
        <f>_DATA_Assessment_Model!K375</f>
        <v>5</v>
      </c>
      <c r="O375" s="2" t="str">
        <f>_DATA_Assessment_Model!L375</f>
        <v>Critical</v>
      </c>
      <c r="P375" s="2" t="s">
        <v>3007</v>
      </c>
      <c r="Q375" s="2" t="s">
        <v>3008</v>
      </c>
      <c r="R375" s="2" t="s">
        <v>3009</v>
      </c>
      <c r="S375" s="2" t="s">
        <v>3010</v>
      </c>
      <c r="T375" s="2" t="s">
        <v>3011</v>
      </c>
      <c r="U375" s="2" t="s">
        <v>3012</v>
      </c>
      <c r="V375" s="2" t="s">
        <v>2999</v>
      </c>
      <c r="W375" s="253"/>
      <c r="X375" s="253"/>
      <c r="Y375" s="253" t="s">
        <v>829</v>
      </c>
      <c r="Z375" s="6">
        <v>5</v>
      </c>
      <c r="AA375" s="6">
        <v>5</v>
      </c>
      <c r="AB375" s="6">
        <v>5</v>
      </c>
      <c r="AC375" s="254"/>
      <c r="AD375" t="s">
        <v>3013</v>
      </c>
      <c r="AE375" s="5">
        <f>_DATA_Assessment_Model!AB375</f>
        <v>8</v>
      </c>
      <c r="AF375" s="7">
        <f>_DATA_Assessment_Model!AC375</f>
        <v>0</v>
      </c>
      <c r="AG375" s="8">
        <f>_DATA_Assessment_Model!AD375</f>
        <v>0</v>
      </c>
      <c r="AH375" s="5">
        <f>_DATA_Assessment_Model!AE375</f>
        <v>8</v>
      </c>
      <c r="AI375" s="7">
        <f>_DATA_Assessment_Model!AF375</f>
        <v>5</v>
      </c>
      <c r="AJ375" s="5">
        <f>_DATA_Assessment_Model!AG375</f>
        <v>8</v>
      </c>
      <c r="AK375" s="255"/>
      <c r="AL375" s="255"/>
      <c r="AM375" s="14">
        <f>_DATA_Assessment_Model!AJ375</f>
        <v>0.9</v>
      </c>
      <c r="AN375" s="14">
        <f>_DATA_Assessment_Model!AK375</f>
        <v>0.9</v>
      </c>
      <c r="AO375" s="14">
        <f>_DATA_Assessment_Model!AL375</f>
        <v>0</v>
      </c>
      <c r="AP375" s="14">
        <f>_DATA_Assessment_Model!AM375</f>
        <v>0</v>
      </c>
      <c r="AQ375" s="14">
        <f>_DATA_Assessment_Model!AN375</f>
        <v>0</v>
      </c>
      <c r="AR375" s="14">
        <f>_DATA_Assessment_Model!AO375</f>
        <v>0</v>
      </c>
      <c r="AS375" s="14">
        <f>_DATA_Assessment_Model!AP375</f>
        <v>0</v>
      </c>
      <c r="AT375" s="14">
        <f>_DATA_Assessment_Model!AQ375</f>
        <v>0</v>
      </c>
      <c r="AU375" s="14" t="str">
        <f>_DATA_Assessment_Model!AR375</f>
        <v>Within target</v>
      </c>
      <c r="AV375" s="4">
        <f>_DATA_Assessment_Model!AS375</f>
        <v>0</v>
      </c>
      <c r="AW375" s="4">
        <f>_DATA_Assessment_Model!AT375</f>
        <v>0.9</v>
      </c>
      <c r="AX375" s="254"/>
      <c r="AY375">
        <f>_DATA_Assessment_Model!AV375</f>
        <v>0.9</v>
      </c>
    </row>
    <row r="376" spans="1:51" ht="96.65" customHeight="1">
      <c r="A376" t="s">
        <v>2986</v>
      </c>
      <c r="B376" t="s">
        <v>2986</v>
      </c>
      <c r="C376">
        <v>8</v>
      </c>
      <c r="D376" s="2" t="s">
        <v>3014</v>
      </c>
      <c r="E376" s="2" t="s">
        <v>2988</v>
      </c>
      <c r="F376" s="2" t="s">
        <v>3015</v>
      </c>
      <c r="G376" s="2" t="s">
        <v>2990</v>
      </c>
      <c r="H376" s="2" t="s">
        <v>2991</v>
      </c>
      <c r="I376" s="2" t="s">
        <v>3016</v>
      </c>
      <c r="J376" s="253">
        <v>4</v>
      </c>
      <c r="K376" s="49">
        <f>_DATA_Assessment_Model!H376</f>
        <v>0</v>
      </c>
      <c r="L376" s="3">
        <f>_DATA_Assessment_Model!I376</f>
        <v>0</v>
      </c>
      <c r="M376" s="3">
        <f>_DATA_Assessment_Model!J376</f>
        <v>4</v>
      </c>
      <c r="N376" s="3">
        <f>_DATA_Assessment_Model!K376</f>
        <v>4</v>
      </c>
      <c r="O376" s="2" t="str">
        <f>_DATA_Assessment_Model!L376</f>
        <v>Critical</v>
      </c>
      <c r="P376" s="2" t="s">
        <v>3017</v>
      </c>
      <c r="Q376" s="2" t="s">
        <v>3018</v>
      </c>
      <c r="R376" s="2" t="s">
        <v>3019</v>
      </c>
      <c r="S376" s="2" t="s">
        <v>3020</v>
      </c>
      <c r="T376" s="2" t="s">
        <v>3021</v>
      </c>
      <c r="U376" s="2" t="s">
        <v>3022</v>
      </c>
      <c r="V376" s="2" t="s">
        <v>2999</v>
      </c>
      <c r="W376" s="253"/>
      <c r="X376" s="253"/>
      <c r="Y376" s="253" t="s">
        <v>829</v>
      </c>
      <c r="Z376" s="6">
        <v>5</v>
      </c>
      <c r="AA376" s="6">
        <v>5</v>
      </c>
      <c r="AB376" s="6">
        <v>5</v>
      </c>
      <c r="AC376" s="254"/>
      <c r="AD376" t="s">
        <v>3023</v>
      </c>
      <c r="AE376" s="5">
        <f>_DATA_Assessment_Model!AB376</f>
        <v>8</v>
      </c>
      <c r="AF376" s="7">
        <f>_DATA_Assessment_Model!AC376</f>
        <v>0</v>
      </c>
      <c r="AG376" s="8">
        <f>_DATA_Assessment_Model!AD376</f>
        <v>0</v>
      </c>
      <c r="AH376" s="5">
        <f>_DATA_Assessment_Model!AE376</f>
        <v>8</v>
      </c>
      <c r="AI376" s="7">
        <f>_DATA_Assessment_Model!AF376</f>
        <v>5</v>
      </c>
      <c r="AJ376" s="5">
        <f>_DATA_Assessment_Model!AG376</f>
        <v>8</v>
      </c>
      <c r="AK376" s="255"/>
      <c r="AL376" s="255"/>
      <c r="AM376" s="14">
        <f>_DATA_Assessment_Model!AJ376</f>
        <v>0.9</v>
      </c>
      <c r="AN376" s="14">
        <f>_DATA_Assessment_Model!AK376</f>
        <v>0.9</v>
      </c>
      <c r="AO376" s="14">
        <f>_DATA_Assessment_Model!AL376</f>
        <v>0</v>
      </c>
      <c r="AP376" s="14">
        <f>_DATA_Assessment_Model!AM376</f>
        <v>0</v>
      </c>
      <c r="AQ376" s="14">
        <f>_DATA_Assessment_Model!AN376</f>
        <v>0</v>
      </c>
      <c r="AR376" s="14">
        <f>_DATA_Assessment_Model!AO376</f>
        <v>0</v>
      </c>
      <c r="AS376" s="14">
        <f>_DATA_Assessment_Model!AP376</f>
        <v>0</v>
      </c>
      <c r="AT376" s="14">
        <f>_DATA_Assessment_Model!AQ376</f>
        <v>0</v>
      </c>
      <c r="AU376" s="14" t="str">
        <f>_DATA_Assessment_Model!AR376</f>
        <v>Within target</v>
      </c>
      <c r="AV376" s="4">
        <f>_DATA_Assessment_Model!AS376</f>
        <v>0</v>
      </c>
      <c r="AW376" s="4">
        <f>_DATA_Assessment_Model!AT376</f>
        <v>0.9</v>
      </c>
      <c r="AX376" s="254"/>
      <c r="AY376">
        <f>_DATA_Assessment_Model!AV376</f>
        <v>0.9</v>
      </c>
    </row>
    <row r="377" spans="1:51" ht="82.85" customHeight="1">
      <c r="A377" t="s">
        <v>2986</v>
      </c>
      <c r="B377" t="s">
        <v>2986</v>
      </c>
      <c r="C377">
        <v>9</v>
      </c>
      <c r="D377" s="2" t="s">
        <v>3024</v>
      </c>
      <c r="E377" s="2" t="s">
        <v>2988</v>
      </c>
      <c r="F377" s="2" t="s">
        <v>3025</v>
      </c>
      <c r="G377" s="2" t="s">
        <v>2990</v>
      </c>
      <c r="H377" s="2" t="s">
        <v>2991</v>
      </c>
      <c r="I377" s="2" t="s">
        <v>3026</v>
      </c>
      <c r="J377" s="253">
        <v>5</v>
      </c>
      <c r="K377" s="49">
        <f>_DATA_Assessment_Model!H377</f>
        <v>0</v>
      </c>
      <c r="L377" s="3">
        <f>_DATA_Assessment_Model!I377</f>
        <v>0</v>
      </c>
      <c r="M377" s="3">
        <f>_DATA_Assessment_Model!J377</f>
        <v>5</v>
      </c>
      <c r="N377" s="3">
        <f>_DATA_Assessment_Model!K377</f>
        <v>5</v>
      </c>
      <c r="O377" s="2" t="str">
        <f>_DATA_Assessment_Model!L377</f>
        <v>Critical</v>
      </c>
      <c r="P377" s="2" t="s">
        <v>833</v>
      </c>
      <c r="Q377" s="2" t="s">
        <v>834</v>
      </c>
      <c r="R377" s="2" t="s">
        <v>835</v>
      </c>
      <c r="S377" s="2" t="s">
        <v>836</v>
      </c>
      <c r="T377" s="2" t="s">
        <v>837</v>
      </c>
      <c r="U377" s="2" t="s">
        <v>838</v>
      </c>
      <c r="V377" s="2" t="s">
        <v>2999</v>
      </c>
      <c r="W377" s="253"/>
      <c r="X377" s="253"/>
      <c r="Y377" s="253" t="s">
        <v>829</v>
      </c>
      <c r="Z377" s="6">
        <v>5</v>
      </c>
      <c r="AA377" s="6">
        <v>5</v>
      </c>
      <c r="AB377" s="6">
        <v>5</v>
      </c>
      <c r="AC377" s="254"/>
      <c r="AD377" t="s">
        <v>3027</v>
      </c>
      <c r="AE377" s="5">
        <f>_DATA_Assessment_Model!AB377</f>
        <v>2</v>
      </c>
      <c r="AF377" s="7">
        <f>_DATA_Assessment_Model!AC377</f>
        <v>0</v>
      </c>
      <c r="AG377" s="8">
        <f>_DATA_Assessment_Model!AD377</f>
        <v>0</v>
      </c>
      <c r="AH377" s="5">
        <f>_DATA_Assessment_Model!AE377</f>
        <v>2</v>
      </c>
      <c r="AI377" s="7">
        <f>_DATA_Assessment_Model!AF377</f>
        <v>5</v>
      </c>
      <c r="AJ377" s="5">
        <f>_DATA_Assessment_Model!AG377</f>
        <v>2</v>
      </c>
      <c r="AK377" s="255"/>
      <c r="AL377" s="255"/>
      <c r="AM377" s="14">
        <f>_DATA_Assessment_Model!AJ377</f>
        <v>0.9</v>
      </c>
      <c r="AN377" s="14">
        <f>_DATA_Assessment_Model!AK377</f>
        <v>0.9</v>
      </c>
      <c r="AO377" s="14">
        <f>_DATA_Assessment_Model!AL377</f>
        <v>0</v>
      </c>
      <c r="AP377" s="14">
        <f>_DATA_Assessment_Model!AM377</f>
        <v>0</v>
      </c>
      <c r="AQ377" s="14">
        <f>_DATA_Assessment_Model!AN377</f>
        <v>0</v>
      </c>
      <c r="AR377" s="14">
        <f>_DATA_Assessment_Model!AO377</f>
        <v>0</v>
      </c>
      <c r="AS377" s="14">
        <f>_DATA_Assessment_Model!AP377</f>
        <v>0</v>
      </c>
      <c r="AT377" s="14">
        <f>_DATA_Assessment_Model!AQ377</f>
        <v>0</v>
      </c>
      <c r="AU377" s="14" t="str">
        <f>_DATA_Assessment_Model!AR377</f>
        <v>Within target</v>
      </c>
      <c r="AV377" s="4">
        <f>_DATA_Assessment_Model!AS377</f>
        <v>0</v>
      </c>
      <c r="AW377" s="4">
        <f>_DATA_Assessment_Model!AT377</f>
        <v>0.9</v>
      </c>
      <c r="AX377" s="254"/>
      <c r="AY377">
        <f>_DATA_Assessment_Model!AV377</f>
        <v>0.9</v>
      </c>
    </row>
    <row r="378" spans="1:51" ht="69" customHeight="1">
      <c r="A378" t="s">
        <v>2986</v>
      </c>
      <c r="B378" t="s">
        <v>2986</v>
      </c>
      <c r="C378">
        <v>10</v>
      </c>
      <c r="D378" s="2" t="s">
        <v>3028</v>
      </c>
      <c r="E378" s="2" t="s">
        <v>2988</v>
      </c>
      <c r="F378" s="2" t="s">
        <v>3029</v>
      </c>
      <c r="G378" s="2" t="s">
        <v>2990</v>
      </c>
      <c r="H378" s="2" t="s">
        <v>2991</v>
      </c>
      <c r="I378" s="2" t="s">
        <v>3030</v>
      </c>
      <c r="J378" s="253">
        <v>4</v>
      </c>
      <c r="K378" s="49">
        <f>_DATA_Assessment_Model!H378</f>
        <v>0</v>
      </c>
      <c r="L378" s="3">
        <f>_DATA_Assessment_Model!I378</f>
        <v>0</v>
      </c>
      <c r="M378" s="3">
        <f>_DATA_Assessment_Model!J378</f>
        <v>4</v>
      </c>
      <c r="N378" s="3">
        <f>_DATA_Assessment_Model!K378</f>
        <v>4</v>
      </c>
      <c r="O378" s="2" t="str">
        <f>_DATA_Assessment_Model!L378</f>
        <v>Critical</v>
      </c>
      <c r="P378" s="2" t="s">
        <v>1202</v>
      </c>
      <c r="Q378" s="2" t="s">
        <v>1203</v>
      </c>
      <c r="R378" s="2" t="s">
        <v>1204</v>
      </c>
      <c r="S378" s="2" t="s">
        <v>1205</v>
      </c>
      <c r="T378" s="2" t="s">
        <v>1206</v>
      </c>
      <c r="U378" s="2" t="s">
        <v>1207</v>
      </c>
      <c r="V378" s="2" t="s">
        <v>2999</v>
      </c>
      <c r="W378" s="253"/>
      <c r="X378" s="253"/>
      <c r="Y378" s="253" t="s">
        <v>829</v>
      </c>
      <c r="Z378" s="6">
        <v>5</v>
      </c>
      <c r="AA378" s="6">
        <v>5</v>
      </c>
      <c r="AB378" s="6">
        <v>5</v>
      </c>
      <c r="AC378" s="254"/>
      <c r="AD378" t="s">
        <v>3031</v>
      </c>
      <c r="AE378" s="5">
        <f>_DATA_Assessment_Model!AB378</f>
        <v>2</v>
      </c>
      <c r="AF378" s="7">
        <f>_DATA_Assessment_Model!AC378</f>
        <v>0</v>
      </c>
      <c r="AG378" s="8">
        <f>_DATA_Assessment_Model!AD378</f>
        <v>0</v>
      </c>
      <c r="AH378" s="5">
        <f>_DATA_Assessment_Model!AE378</f>
        <v>2</v>
      </c>
      <c r="AI378" s="7">
        <f>_DATA_Assessment_Model!AF378</f>
        <v>5</v>
      </c>
      <c r="AJ378" s="5">
        <f>_DATA_Assessment_Model!AG378</f>
        <v>2</v>
      </c>
      <c r="AK378" s="255"/>
      <c r="AL378" s="255"/>
      <c r="AM378" s="14">
        <f>_DATA_Assessment_Model!AJ378</f>
        <v>0.9</v>
      </c>
      <c r="AN378" s="14">
        <f>_DATA_Assessment_Model!AK378</f>
        <v>0.9</v>
      </c>
      <c r="AO378" s="14">
        <f>_DATA_Assessment_Model!AL378</f>
        <v>0</v>
      </c>
      <c r="AP378" s="14">
        <f>_DATA_Assessment_Model!AM378</f>
        <v>0</v>
      </c>
      <c r="AQ378" s="14">
        <f>_DATA_Assessment_Model!AN378</f>
        <v>0</v>
      </c>
      <c r="AR378" s="14">
        <f>_DATA_Assessment_Model!AO378</f>
        <v>0</v>
      </c>
      <c r="AS378" s="14">
        <f>_DATA_Assessment_Model!AP378</f>
        <v>0</v>
      </c>
      <c r="AT378" s="14">
        <f>_DATA_Assessment_Model!AQ378</f>
        <v>0</v>
      </c>
      <c r="AU378" s="14" t="str">
        <f>_DATA_Assessment_Model!AR378</f>
        <v>Within target</v>
      </c>
      <c r="AV378" s="4">
        <f>_DATA_Assessment_Model!AS378</f>
        <v>0</v>
      </c>
      <c r="AW378" s="4">
        <f>_DATA_Assessment_Model!AT378</f>
        <v>0.9</v>
      </c>
      <c r="AX378" s="254"/>
      <c r="AY378">
        <f>_DATA_Assessment_Model!AV378</f>
        <v>0.9</v>
      </c>
    </row>
    <row r="379" spans="1:51" ht="96.65" customHeight="1">
      <c r="A379" t="s">
        <v>2986</v>
      </c>
      <c r="B379" t="s">
        <v>2986</v>
      </c>
      <c r="C379">
        <v>11</v>
      </c>
      <c r="D379" s="2" t="s">
        <v>3032</v>
      </c>
      <c r="E379" s="2" t="s">
        <v>3003</v>
      </c>
      <c r="F379" s="2" t="s">
        <v>3033</v>
      </c>
      <c r="G379" s="2" t="s">
        <v>2990</v>
      </c>
      <c r="H379" s="2" t="s">
        <v>2991</v>
      </c>
      <c r="I379" s="2" t="s">
        <v>3034</v>
      </c>
      <c r="J379" s="253">
        <v>4</v>
      </c>
      <c r="K379" s="49">
        <f>_DATA_Assessment_Model!H379</f>
        <v>0</v>
      </c>
      <c r="L379" s="3">
        <f>_DATA_Assessment_Model!I379</f>
        <v>0</v>
      </c>
      <c r="M379" s="3">
        <f>_DATA_Assessment_Model!J379</f>
        <v>4</v>
      </c>
      <c r="N379" s="3">
        <f>_DATA_Assessment_Model!K379</f>
        <v>4</v>
      </c>
      <c r="O379" s="2" t="str">
        <f>_DATA_Assessment_Model!L379</f>
        <v>Critical</v>
      </c>
      <c r="P379" s="2" t="s">
        <v>3035</v>
      </c>
      <c r="Q379" s="2" t="s">
        <v>3036</v>
      </c>
      <c r="R379" s="2" t="s">
        <v>3037</v>
      </c>
      <c r="S379" s="2" t="s">
        <v>3038</v>
      </c>
      <c r="T379" s="2" t="s">
        <v>3039</v>
      </c>
      <c r="U379" s="2" t="s">
        <v>3040</v>
      </c>
      <c r="V379" s="2" t="s">
        <v>2999</v>
      </c>
      <c r="W379" s="253"/>
      <c r="X379" s="253"/>
      <c r="Y379" s="253" t="s">
        <v>829</v>
      </c>
      <c r="Z379" s="6">
        <v>5</v>
      </c>
      <c r="AA379" s="6">
        <v>5</v>
      </c>
      <c r="AB379" s="6">
        <v>5</v>
      </c>
      <c r="AC379" s="254"/>
      <c r="AK379" s="255"/>
      <c r="AL379" s="255"/>
      <c r="AM379" s="14">
        <f>_DATA_Assessment_Model!AJ379</f>
        <v>0.9</v>
      </c>
      <c r="AN379" s="14">
        <f>_DATA_Assessment_Model!AK379</f>
        <v>0.9</v>
      </c>
      <c r="AO379" s="14">
        <f>_DATA_Assessment_Model!AL379</f>
        <v>0</v>
      </c>
      <c r="AP379" s="14">
        <f>_DATA_Assessment_Model!AM379</f>
        <v>0</v>
      </c>
      <c r="AQ379" s="14">
        <f>_DATA_Assessment_Model!AN379</f>
        <v>0</v>
      </c>
      <c r="AR379" s="14">
        <f>_DATA_Assessment_Model!AO379</f>
        <v>0</v>
      </c>
      <c r="AS379" s="14">
        <f>_DATA_Assessment_Model!AP379</f>
        <v>0</v>
      </c>
      <c r="AT379" s="14">
        <f>_DATA_Assessment_Model!AQ379</f>
        <v>0</v>
      </c>
      <c r="AU379" s="14" t="str">
        <f>_DATA_Assessment_Model!AR379</f>
        <v>Within target</v>
      </c>
      <c r="AV379" s="4">
        <f>_DATA_Assessment_Model!AS379</f>
        <v>0</v>
      </c>
      <c r="AW379" s="4">
        <f>_DATA_Assessment_Model!AT379</f>
        <v>0.9</v>
      </c>
      <c r="AX379" s="254"/>
      <c r="AY379">
        <f>_DATA_Assessment_Model!AV379</f>
        <v>0.9</v>
      </c>
    </row>
    <row r="380" spans="1:51" ht="82.85" customHeight="1">
      <c r="A380" t="s">
        <v>2986</v>
      </c>
      <c r="B380" t="s">
        <v>2986</v>
      </c>
      <c r="C380">
        <v>12</v>
      </c>
      <c r="D380" s="2" t="s">
        <v>3041</v>
      </c>
      <c r="E380" s="2" t="s">
        <v>3003</v>
      </c>
      <c r="F380" s="2" t="s">
        <v>3042</v>
      </c>
      <c r="G380" s="2" t="s">
        <v>2990</v>
      </c>
      <c r="H380" s="2" t="s">
        <v>2991</v>
      </c>
      <c r="I380" s="2" t="s">
        <v>3043</v>
      </c>
      <c r="J380" s="253">
        <v>5</v>
      </c>
      <c r="K380" s="49">
        <f>_DATA_Assessment_Model!H380</f>
        <v>0</v>
      </c>
      <c r="L380" s="3">
        <f>_DATA_Assessment_Model!I380</f>
        <v>0</v>
      </c>
      <c r="M380" s="3">
        <f>_DATA_Assessment_Model!J380</f>
        <v>5</v>
      </c>
      <c r="N380" s="3">
        <f>_DATA_Assessment_Model!K380</f>
        <v>5</v>
      </c>
      <c r="O380" s="2" t="str">
        <f>_DATA_Assessment_Model!L380</f>
        <v>Critical</v>
      </c>
      <c r="P380" s="2" t="s">
        <v>3044</v>
      </c>
      <c r="Q380" s="2" t="s">
        <v>3045</v>
      </c>
      <c r="R380" s="2" t="s">
        <v>3046</v>
      </c>
      <c r="S380" s="2" t="s">
        <v>3047</v>
      </c>
      <c r="T380" s="2" t="s">
        <v>3048</v>
      </c>
      <c r="U380" s="2" t="s">
        <v>3049</v>
      </c>
      <c r="V380" s="2" t="s">
        <v>2999</v>
      </c>
      <c r="W380" s="253"/>
      <c r="X380" s="253"/>
      <c r="Y380" s="253" t="s">
        <v>829</v>
      </c>
      <c r="Z380" s="6">
        <v>5</v>
      </c>
      <c r="AA380" s="6">
        <v>5</v>
      </c>
      <c r="AB380" s="6">
        <v>5</v>
      </c>
      <c r="AC380" s="254"/>
      <c r="AK380" s="255"/>
      <c r="AL380" s="255"/>
      <c r="AM380" s="14">
        <f>_DATA_Assessment_Model!AJ380</f>
        <v>0.9</v>
      </c>
      <c r="AN380" s="14">
        <f>_DATA_Assessment_Model!AK380</f>
        <v>0.9</v>
      </c>
      <c r="AO380" s="14">
        <f>_DATA_Assessment_Model!AL380</f>
        <v>0</v>
      </c>
      <c r="AP380" s="14">
        <f>_DATA_Assessment_Model!AM380</f>
        <v>0</v>
      </c>
      <c r="AQ380" s="14">
        <f>_DATA_Assessment_Model!AN380</f>
        <v>0</v>
      </c>
      <c r="AR380" s="14">
        <f>_DATA_Assessment_Model!AO380</f>
        <v>0</v>
      </c>
      <c r="AS380" s="14">
        <f>_DATA_Assessment_Model!AP380</f>
        <v>0</v>
      </c>
      <c r="AT380" s="14">
        <f>_DATA_Assessment_Model!AQ380</f>
        <v>0</v>
      </c>
      <c r="AU380" s="14" t="str">
        <f>_DATA_Assessment_Model!AR380</f>
        <v>Within target</v>
      </c>
      <c r="AV380" s="4">
        <f>_DATA_Assessment_Model!AS380</f>
        <v>0</v>
      </c>
      <c r="AW380" s="4">
        <f>_DATA_Assessment_Model!AT380</f>
        <v>0.9</v>
      </c>
      <c r="AX380" s="254"/>
      <c r="AY380">
        <f>_DATA_Assessment_Model!AV380</f>
        <v>0.9</v>
      </c>
    </row>
    <row r="381" spans="1:51" ht="96.65" customHeight="1">
      <c r="A381" t="s">
        <v>2986</v>
      </c>
      <c r="B381" t="s">
        <v>2986</v>
      </c>
      <c r="C381">
        <v>13</v>
      </c>
      <c r="D381" s="2" t="s">
        <v>3050</v>
      </c>
      <c r="E381" s="2" t="s">
        <v>3003</v>
      </c>
      <c r="F381" s="2" t="s">
        <v>3051</v>
      </c>
      <c r="G381" s="2" t="s">
        <v>2990</v>
      </c>
      <c r="H381" s="2" t="s">
        <v>2991</v>
      </c>
      <c r="I381" s="2" t="s">
        <v>3052</v>
      </c>
      <c r="J381" s="253">
        <v>4</v>
      </c>
      <c r="K381" s="49">
        <f>_DATA_Assessment_Model!H381</f>
        <v>0</v>
      </c>
      <c r="L381" s="3">
        <f>_DATA_Assessment_Model!I381</f>
        <v>0</v>
      </c>
      <c r="M381" s="3">
        <f>_DATA_Assessment_Model!J381</f>
        <v>4</v>
      </c>
      <c r="N381" s="3">
        <f>_DATA_Assessment_Model!K381</f>
        <v>4</v>
      </c>
      <c r="O381" s="2" t="str">
        <f>_DATA_Assessment_Model!L381</f>
        <v>Critical</v>
      </c>
      <c r="P381" s="2" t="s">
        <v>3053</v>
      </c>
      <c r="Q381" s="2" t="s">
        <v>3054</v>
      </c>
      <c r="R381" s="2" t="s">
        <v>3055</v>
      </c>
      <c r="S381" s="2" t="s">
        <v>3056</v>
      </c>
      <c r="T381" s="2" t="s">
        <v>3057</v>
      </c>
      <c r="U381" s="2" t="s">
        <v>3058</v>
      </c>
      <c r="V381" s="2" t="s">
        <v>2999</v>
      </c>
      <c r="W381" s="253"/>
      <c r="X381" s="253"/>
      <c r="Y381" s="253" t="s">
        <v>829</v>
      </c>
      <c r="Z381" s="6">
        <v>5</v>
      </c>
      <c r="AA381" s="6">
        <v>5</v>
      </c>
      <c r="AB381" s="6">
        <v>5</v>
      </c>
      <c r="AC381" s="254"/>
      <c r="AK381" s="255"/>
      <c r="AL381" s="255"/>
      <c r="AM381" s="14">
        <f>_DATA_Assessment_Model!AJ381</f>
        <v>0.9</v>
      </c>
      <c r="AN381" s="14">
        <f>_DATA_Assessment_Model!AK381</f>
        <v>0.9</v>
      </c>
      <c r="AO381" s="14">
        <f>_DATA_Assessment_Model!AL381</f>
        <v>0</v>
      </c>
      <c r="AP381" s="14">
        <f>_DATA_Assessment_Model!AM381</f>
        <v>0</v>
      </c>
      <c r="AQ381" s="14">
        <f>_DATA_Assessment_Model!AN381</f>
        <v>0</v>
      </c>
      <c r="AR381" s="14">
        <f>_DATA_Assessment_Model!AO381</f>
        <v>0</v>
      </c>
      <c r="AS381" s="14">
        <f>_DATA_Assessment_Model!AP381</f>
        <v>0</v>
      </c>
      <c r="AT381" s="14">
        <f>_DATA_Assessment_Model!AQ381</f>
        <v>0</v>
      </c>
      <c r="AU381" s="14" t="str">
        <f>_DATA_Assessment_Model!AR381</f>
        <v>Within target</v>
      </c>
      <c r="AV381" s="4">
        <f>_DATA_Assessment_Model!AS381</f>
        <v>0</v>
      </c>
      <c r="AW381" s="4">
        <f>_DATA_Assessment_Model!AT381</f>
        <v>0.9</v>
      </c>
      <c r="AX381" s="254"/>
      <c r="AY381">
        <f>_DATA_Assessment_Model!AV381</f>
        <v>0.9</v>
      </c>
    </row>
    <row r="382" spans="1:51" ht="69" customHeight="1">
      <c r="A382" t="s">
        <v>2986</v>
      </c>
      <c r="B382" t="s">
        <v>2986</v>
      </c>
      <c r="C382">
        <v>14</v>
      </c>
      <c r="D382" s="2" t="s">
        <v>3059</v>
      </c>
      <c r="E382" s="2" t="s">
        <v>3003</v>
      </c>
      <c r="F382" s="2" t="s">
        <v>3060</v>
      </c>
      <c r="G382" s="2" t="s">
        <v>2990</v>
      </c>
      <c r="H382" s="2" t="s">
        <v>2991</v>
      </c>
      <c r="I382" s="2" t="s">
        <v>3061</v>
      </c>
      <c r="J382" s="253">
        <v>3</v>
      </c>
      <c r="K382" s="49">
        <f>_DATA_Assessment_Model!H382</f>
        <v>0</v>
      </c>
      <c r="L382" s="3">
        <f>_DATA_Assessment_Model!I382</f>
        <v>0</v>
      </c>
      <c r="M382" s="3">
        <f>_DATA_Assessment_Model!J382</f>
        <v>3</v>
      </c>
      <c r="N382" s="3">
        <f>_DATA_Assessment_Model!K382</f>
        <v>3</v>
      </c>
      <c r="O382" s="2" t="str">
        <f>_DATA_Assessment_Model!L382</f>
        <v>Critical</v>
      </c>
      <c r="P382" s="2" t="s">
        <v>1202</v>
      </c>
      <c r="Q382" s="2" t="s">
        <v>1203</v>
      </c>
      <c r="R382" s="2" t="s">
        <v>1204</v>
      </c>
      <c r="S382" s="2" t="s">
        <v>1205</v>
      </c>
      <c r="T382" s="2" t="s">
        <v>1206</v>
      </c>
      <c r="U382" s="2" t="s">
        <v>1207</v>
      </c>
      <c r="V382" s="2" t="s">
        <v>2999</v>
      </c>
      <c r="W382" s="253"/>
      <c r="X382" s="253"/>
      <c r="Y382" s="253" t="s">
        <v>829</v>
      </c>
      <c r="Z382" s="6">
        <v>5</v>
      </c>
      <c r="AA382" s="6">
        <v>5</v>
      </c>
      <c r="AB382" s="6">
        <v>5</v>
      </c>
      <c r="AC382" s="254"/>
      <c r="AK382" s="255"/>
      <c r="AL382" s="255"/>
      <c r="AM382" s="14">
        <f>_DATA_Assessment_Model!AJ382</f>
        <v>0.9</v>
      </c>
      <c r="AN382" s="14">
        <f>_DATA_Assessment_Model!AK382</f>
        <v>0.9</v>
      </c>
      <c r="AO382" s="14">
        <f>_DATA_Assessment_Model!AL382</f>
        <v>0</v>
      </c>
      <c r="AP382" s="14">
        <f>_DATA_Assessment_Model!AM382</f>
        <v>0</v>
      </c>
      <c r="AQ382" s="14">
        <f>_DATA_Assessment_Model!AN382</f>
        <v>0</v>
      </c>
      <c r="AR382" s="14">
        <f>_DATA_Assessment_Model!AO382</f>
        <v>0</v>
      </c>
      <c r="AS382" s="14">
        <f>_DATA_Assessment_Model!AP382</f>
        <v>0</v>
      </c>
      <c r="AT382" s="14">
        <f>_DATA_Assessment_Model!AQ382</f>
        <v>0</v>
      </c>
      <c r="AU382" s="14" t="str">
        <f>_DATA_Assessment_Model!AR382</f>
        <v>Within target</v>
      </c>
      <c r="AV382" s="4">
        <f>_DATA_Assessment_Model!AS382</f>
        <v>0</v>
      </c>
      <c r="AW382" s="4">
        <f>_DATA_Assessment_Model!AT382</f>
        <v>0.9</v>
      </c>
      <c r="AX382" s="254"/>
      <c r="AY382">
        <f>_DATA_Assessment_Model!AV382</f>
        <v>0.9</v>
      </c>
    </row>
    <row r="383" spans="1:51" ht="96.65" customHeight="1">
      <c r="A383" t="s">
        <v>2986</v>
      </c>
      <c r="B383" t="s">
        <v>2986</v>
      </c>
      <c r="C383">
        <v>15</v>
      </c>
      <c r="D383" s="2" t="s">
        <v>3062</v>
      </c>
      <c r="E383" s="2" t="s">
        <v>3003</v>
      </c>
      <c r="F383" s="2" t="s">
        <v>3063</v>
      </c>
      <c r="G383" s="2" t="s">
        <v>2990</v>
      </c>
      <c r="H383" s="2" t="s">
        <v>2991</v>
      </c>
      <c r="I383" s="2" t="s">
        <v>3064</v>
      </c>
      <c r="J383" s="253">
        <v>4</v>
      </c>
      <c r="K383" s="49">
        <f>_DATA_Assessment_Model!H383</f>
        <v>0</v>
      </c>
      <c r="L383" s="3">
        <f>_DATA_Assessment_Model!I383</f>
        <v>0</v>
      </c>
      <c r="M383" s="3">
        <f>_DATA_Assessment_Model!J383</f>
        <v>4</v>
      </c>
      <c r="N383" s="3">
        <f>_DATA_Assessment_Model!K383</f>
        <v>4</v>
      </c>
      <c r="O383" s="2" t="str">
        <f>_DATA_Assessment_Model!L383</f>
        <v>Critical</v>
      </c>
      <c r="P383" s="2" t="s">
        <v>3065</v>
      </c>
      <c r="Q383" s="2" t="s">
        <v>3066</v>
      </c>
      <c r="R383" s="2" t="s">
        <v>3067</v>
      </c>
      <c r="S383" s="2" t="s">
        <v>3068</v>
      </c>
      <c r="T383" s="2" t="s">
        <v>3069</v>
      </c>
      <c r="U383" s="2" t="s">
        <v>3070</v>
      </c>
      <c r="V383" s="2" t="s">
        <v>2999</v>
      </c>
      <c r="W383" s="253"/>
      <c r="X383" s="253"/>
      <c r="Y383" s="253" t="s">
        <v>829</v>
      </c>
      <c r="Z383" s="6">
        <v>5</v>
      </c>
      <c r="AA383" s="6">
        <v>5</v>
      </c>
      <c r="AB383" s="6">
        <v>5</v>
      </c>
      <c r="AC383" s="254"/>
      <c r="AK383" s="255"/>
      <c r="AL383" s="255"/>
      <c r="AM383" s="14">
        <f>_DATA_Assessment_Model!AJ383</f>
        <v>0.9</v>
      </c>
      <c r="AN383" s="14">
        <f>_DATA_Assessment_Model!AK383</f>
        <v>0.9</v>
      </c>
      <c r="AO383" s="14">
        <f>_DATA_Assessment_Model!AL383</f>
        <v>0</v>
      </c>
      <c r="AP383" s="14">
        <f>_DATA_Assessment_Model!AM383</f>
        <v>0</v>
      </c>
      <c r="AQ383" s="14">
        <f>_DATA_Assessment_Model!AN383</f>
        <v>0</v>
      </c>
      <c r="AR383" s="14">
        <f>_DATA_Assessment_Model!AO383</f>
        <v>0</v>
      </c>
      <c r="AS383" s="14">
        <f>_DATA_Assessment_Model!AP383</f>
        <v>0</v>
      </c>
      <c r="AT383" s="14">
        <f>_DATA_Assessment_Model!AQ383</f>
        <v>0</v>
      </c>
      <c r="AU383" s="14" t="str">
        <f>_DATA_Assessment_Model!AR383</f>
        <v>Within target</v>
      </c>
      <c r="AV383" s="4">
        <f>_DATA_Assessment_Model!AS383</f>
        <v>0</v>
      </c>
      <c r="AW383" s="4">
        <f>_DATA_Assessment_Model!AT383</f>
        <v>0.9</v>
      </c>
      <c r="AX383" s="254"/>
      <c r="AY383">
        <f>_DATA_Assessment_Model!AV383</f>
        <v>0.9</v>
      </c>
    </row>
    <row r="384" spans="1:51" ht="69" customHeight="1">
      <c r="A384" t="s">
        <v>2986</v>
      </c>
      <c r="B384" t="s">
        <v>2986</v>
      </c>
      <c r="C384">
        <v>16</v>
      </c>
      <c r="D384" s="2" t="s">
        <v>3071</v>
      </c>
      <c r="E384" s="2" t="s">
        <v>3003</v>
      </c>
      <c r="F384" s="2" t="s">
        <v>3072</v>
      </c>
      <c r="G384" s="2" t="s">
        <v>2990</v>
      </c>
      <c r="H384" s="2" t="s">
        <v>2991</v>
      </c>
      <c r="I384" s="2" t="s">
        <v>3073</v>
      </c>
      <c r="J384" s="253">
        <v>5</v>
      </c>
      <c r="K384" s="49">
        <f>_DATA_Assessment_Model!H384</f>
        <v>0</v>
      </c>
      <c r="L384" s="3">
        <f>_DATA_Assessment_Model!I384</f>
        <v>0</v>
      </c>
      <c r="M384" s="3">
        <f>_DATA_Assessment_Model!J384</f>
        <v>5</v>
      </c>
      <c r="N384" s="3">
        <f>_DATA_Assessment_Model!K384</f>
        <v>5</v>
      </c>
      <c r="O384" s="2" t="str">
        <f>_DATA_Assessment_Model!L384</f>
        <v>Critical</v>
      </c>
      <c r="P384" s="2" t="s">
        <v>3007</v>
      </c>
      <c r="Q384" s="2" t="s">
        <v>3008</v>
      </c>
      <c r="R384" s="2" t="s">
        <v>3009</v>
      </c>
      <c r="S384" s="2" t="s">
        <v>3010</v>
      </c>
      <c r="T384" s="2" t="s">
        <v>3011</v>
      </c>
      <c r="U384" s="2" t="s">
        <v>3012</v>
      </c>
      <c r="V384" s="2" t="s">
        <v>2999</v>
      </c>
      <c r="W384" s="253"/>
      <c r="X384" s="253"/>
      <c r="Y384" s="253" t="s">
        <v>829</v>
      </c>
      <c r="Z384" s="6">
        <v>5</v>
      </c>
      <c r="AA384" s="6">
        <v>5</v>
      </c>
      <c r="AB384" s="6">
        <v>5</v>
      </c>
      <c r="AC384" s="254"/>
      <c r="AK384" s="255"/>
      <c r="AL384" s="255"/>
      <c r="AM384" s="14">
        <f>_DATA_Assessment_Model!AJ384</f>
        <v>0.9</v>
      </c>
      <c r="AN384" s="14">
        <f>_DATA_Assessment_Model!AK384</f>
        <v>0.9</v>
      </c>
      <c r="AO384" s="14">
        <f>_DATA_Assessment_Model!AL384</f>
        <v>0</v>
      </c>
      <c r="AP384" s="14">
        <f>_DATA_Assessment_Model!AM384</f>
        <v>0</v>
      </c>
      <c r="AQ384" s="14">
        <f>_DATA_Assessment_Model!AN384</f>
        <v>0</v>
      </c>
      <c r="AR384" s="14">
        <f>_DATA_Assessment_Model!AO384</f>
        <v>0</v>
      </c>
      <c r="AS384" s="14">
        <f>_DATA_Assessment_Model!AP384</f>
        <v>0</v>
      </c>
      <c r="AT384" s="14">
        <f>_DATA_Assessment_Model!AQ384</f>
        <v>0</v>
      </c>
      <c r="AU384" s="14" t="str">
        <f>_DATA_Assessment_Model!AR384</f>
        <v>Within target</v>
      </c>
      <c r="AV384" s="4">
        <f>_DATA_Assessment_Model!AS384</f>
        <v>0</v>
      </c>
      <c r="AW384" s="4">
        <f>_DATA_Assessment_Model!AT384</f>
        <v>0.9</v>
      </c>
      <c r="AX384" s="254"/>
      <c r="AY384">
        <f>_DATA_Assessment_Model!AV384</f>
        <v>0.9</v>
      </c>
    </row>
    <row r="385" spans="1:51" ht="82.85" customHeight="1">
      <c r="A385" t="s">
        <v>2986</v>
      </c>
      <c r="B385" t="s">
        <v>2986</v>
      </c>
      <c r="C385">
        <v>17</v>
      </c>
      <c r="D385" s="2" t="s">
        <v>3074</v>
      </c>
      <c r="E385" s="2" t="s">
        <v>3013</v>
      </c>
      <c r="F385" s="2" t="s">
        <v>3075</v>
      </c>
      <c r="G385" s="2" t="s">
        <v>2990</v>
      </c>
      <c r="H385" s="2" t="s">
        <v>2991</v>
      </c>
      <c r="I385" s="2" t="s">
        <v>3076</v>
      </c>
      <c r="J385" s="253">
        <v>5</v>
      </c>
      <c r="K385" s="49">
        <f>_DATA_Assessment_Model!H385</f>
        <v>0</v>
      </c>
      <c r="L385" s="3">
        <f>_DATA_Assessment_Model!I385</f>
        <v>0</v>
      </c>
      <c r="M385" s="3">
        <f>_DATA_Assessment_Model!J385</f>
        <v>5</v>
      </c>
      <c r="N385" s="3">
        <f>_DATA_Assessment_Model!K385</f>
        <v>5</v>
      </c>
      <c r="O385" s="2" t="str">
        <f>_DATA_Assessment_Model!L385</f>
        <v>Critical</v>
      </c>
      <c r="P385" s="2" t="s">
        <v>833</v>
      </c>
      <c r="Q385" s="2" t="s">
        <v>834</v>
      </c>
      <c r="R385" s="2" t="s">
        <v>835</v>
      </c>
      <c r="S385" s="2" t="s">
        <v>836</v>
      </c>
      <c r="T385" s="2" t="s">
        <v>837</v>
      </c>
      <c r="U385" s="2" t="s">
        <v>838</v>
      </c>
      <c r="V385" s="2" t="s">
        <v>2999</v>
      </c>
      <c r="W385" s="253"/>
      <c r="X385" s="253"/>
      <c r="Y385" s="253" t="s">
        <v>829</v>
      </c>
      <c r="Z385" s="6">
        <v>5</v>
      </c>
      <c r="AA385" s="6">
        <v>5</v>
      </c>
      <c r="AB385" s="6">
        <v>5</v>
      </c>
      <c r="AC385" s="254"/>
      <c r="AK385" s="255"/>
      <c r="AL385" s="255"/>
      <c r="AM385" s="14">
        <f>_DATA_Assessment_Model!AJ385</f>
        <v>0.9</v>
      </c>
      <c r="AN385" s="14">
        <f>_DATA_Assessment_Model!AK385</f>
        <v>0.9</v>
      </c>
      <c r="AO385" s="14">
        <f>_DATA_Assessment_Model!AL385</f>
        <v>0</v>
      </c>
      <c r="AP385" s="14">
        <f>_DATA_Assessment_Model!AM385</f>
        <v>0</v>
      </c>
      <c r="AQ385" s="14">
        <f>_DATA_Assessment_Model!AN385</f>
        <v>0</v>
      </c>
      <c r="AR385" s="14">
        <f>_DATA_Assessment_Model!AO385</f>
        <v>0</v>
      </c>
      <c r="AS385" s="14">
        <f>_DATA_Assessment_Model!AP385</f>
        <v>0</v>
      </c>
      <c r="AT385" s="14">
        <f>_DATA_Assessment_Model!AQ385</f>
        <v>0</v>
      </c>
      <c r="AU385" s="14" t="str">
        <f>_DATA_Assessment_Model!AR385</f>
        <v>Within target</v>
      </c>
      <c r="AV385" s="4">
        <f>_DATA_Assessment_Model!AS385</f>
        <v>0</v>
      </c>
      <c r="AW385" s="4">
        <f>_DATA_Assessment_Model!AT385</f>
        <v>0.9</v>
      </c>
      <c r="AX385" s="254"/>
      <c r="AY385">
        <f>_DATA_Assessment_Model!AV385</f>
        <v>0.9</v>
      </c>
    </row>
    <row r="386" spans="1:51" ht="82.85" customHeight="1">
      <c r="A386" t="s">
        <v>2986</v>
      </c>
      <c r="B386" t="s">
        <v>2986</v>
      </c>
      <c r="C386">
        <v>18</v>
      </c>
      <c r="D386" s="2" t="s">
        <v>3077</v>
      </c>
      <c r="E386" s="2" t="s">
        <v>3013</v>
      </c>
      <c r="F386" s="2" t="s">
        <v>3078</v>
      </c>
      <c r="G386" s="2" t="s">
        <v>2990</v>
      </c>
      <c r="H386" s="2" t="s">
        <v>2991</v>
      </c>
      <c r="I386" s="2" t="s">
        <v>3079</v>
      </c>
      <c r="J386" s="253">
        <v>5</v>
      </c>
      <c r="K386" s="49">
        <f>_DATA_Assessment_Model!H386</f>
        <v>0</v>
      </c>
      <c r="L386" s="3">
        <f>_DATA_Assessment_Model!I386</f>
        <v>0</v>
      </c>
      <c r="M386" s="3">
        <f>_DATA_Assessment_Model!J386</f>
        <v>5</v>
      </c>
      <c r="N386" s="3">
        <f>_DATA_Assessment_Model!K386</f>
        <v>5</v>
      </c>
      <c r="O386" s="2" t="str">
        <f>_DATA_Assessment_Model!L386</f>
        <v>Critical</v>
      </c>
      <c r="P386" s="2" t="s">
        <v>833</v>
      </c>
      <c r="Q386" s="2" t="s">
        <v>834</v>
      </c>
      <c r="R386" s="2" t="s">
        <v>835</v>
      </c>
      <c r="S386" s="2" t="s">
        <v>836</v>
      </c>
      <c r="T386" s="2" t="s">
        <v>837</v>
      </c>
      <c r="U386" s="2" t="s">
        <v>838</v>
      </c>
      <c r="V386" s="2" t="s">
        <v>2999</v>
      </c>
      <c r="W386" s="253"/>
      <c r="X386" s="253"/>
      <c r="Y386" s="253" t="s">
        <v>829</v>
      </c>
      <c r="Z386" s="6">
        <v>5</v>
      </c>
      <c r="AA386" s="6">
        <v>5</v>
      </c>
      <c r="AB386" s="6">
        <v>5</v>
      </c>
      <c r="AC386" s="254"/>
      <c r="AK386" s="255"/>
      <c r="AL386" s="255"/>
      <c r="AM386" s="14">
        <f>_DATA_Assessment_Model!AJ386</f>
        <v>0.9</v>
      </c>
      <c r="AN386" s="14">
        <f>_DATA_Assessment_Model!AK386</f>
        <v>0.9</v>
      </c>
      <c r="AO386" s="14">
        <f>_DATA_Assessment_Model!AL386</f>
        <v>0</v>
      </c>
      <c r="AP386" s="14">
        <f>_DATA_Assessment_Model!AM386</f>
        <v>0</v>
      </c>
      <c r="AQ386" s="14">
        <f>_DATA_Assessment_Model!AN386</f>
        <v>0</v>
      </c>
      <c r="AR386" s="14">
        <f>_DATA_Assessment_Model!AO386</f>
        <v>0</v>
      </c>
      <c r="AS386" s="14">
        <f>_DATA_Assessment_Model!AP386</f>
        <v>0</v>
      </c>
      <c r="AT386" s="14">
        <f>_DATA_Assessment_Model!AQ386</f>
        <v>0</v>
      </c>
      <c r="AU386" s="14" t="str">
        <f>_DATA_Assessment_Model!AR386</f>
        <v>Within target</v>
      </c>
      <c r="AV386" s="4">
        <f>_DATA_Assessment_Model!AS386</f>
        <v>0</v>
      </c>
      <c r="AW386" s="4">
        <f>_DATA_Assessment_Model!AT386</f>
        <v>0.9</v>
      </c>
      <c r="AX386" s="254"/>
      <c r="AY386">
        <f>_DATA_Assessment_Model!AV386</f>
        <v>0.9</v>
      </c>
    </row>
    <row r="387" spans="1:51" ht="82.85" customHeight="1">
      <c r="A387" t="s">
        <v>2986</v>
      </c>
      <c r="B387" t="s">
        <v>2986</v>
      </c>
      <c r="C387">
        <v>19</v>
      </c>
      <c r="D387" s="2" t="s">
        <v>3080</v>
      </c>
      <c r="E387" s="2" t="s">
        <v>3013</v>
      </c>
      <c r="F387" s="2" t="s">
        <v>3081</v>
      </c>
      <c r="G387" s="2" t="s">
        <v>2990</v>
      </c>
      <c r="H387" s="2" t="s">
        <v>2991</v>
      </c>
      <c r="I387" s="2" t="s">
        <v>3082</v>
      </c>
      <c r="J387" s="253">
        <v>5</v>
      </c>
      <c r="K387" s="49">
        <f>_DATA_Assessment_Model!H387</f>
        <v>0</v>
      </c>
      <c r="L387" s="3">
        <f>_DATA_Assessment_Model!I387</f>
        <v>0</v>
      </c>
      <c r="M387" s="3">
        <f>_DATA_Assessment_Model!J387</f>
        <v>5</v>
      </c>
      <c r="N387" s="3">
        <f>_DATA_Assessment_Model!K387</f>
        <v>5</v>
      </c>
      <c r="O387" s="2" t="str">
        <f>_DATA_Assessment_Model!L387</f>
        <v>Critical</v>
      </c>
      <c r="P387" s="2" t="s">
        <v>833</v>
      </c>
      <c r="Q387" s="2" t="s">
        <v>834</v>
      </c>
      <c r="R387" s="2" t="s">
        <v>835</v>
      </c>
      <c r="S387" s="2" t="s">
        <v>836</v>
      </c>
      <c r="T387" s="2" t="s">
        <v>837</v>
      </c>
      <c r="U387" s="2" t="s">
        <v>838</v>
      </c>
      <c r="V387" s="2" t="s">
        <v>2999</v>
      </c>
      <c r="W387" s="253"/>
      <c r="X387" s="253"/>
      <c r="Y387" s="253" t="s">
        <v>829</v>
      </c>
      <c r="Z387" s="6">
        <v>5</v>
      </c>
      <c r="AA387" s="6">
        <v>5</v>
      </c>
      <c r="AB387" s="6">
        <v>5</v>
      </c>
      <c r="AC387" s="254"/>
      <c r="AK387" s="255"/>
      <c r="AL387" s="255"/>
      <c r="AM387" s="14">
        <f>_DATA_Assessment_Model!AJ387</f>
        <v>0.9</v>
      </c>
      <c r="AN387" s="14">
        <f>_DATA_Assessment_Model!AK387</f>
        <v>0.9</v>
      </c>
      <c r="AO387" s="14">
        <f>_DATA_Assessment_Model!AL387</f>
        <v>0</v>
      </c>
      <c r="AP387" s="14">
        <f>_DATA_Assessment_Model!AM387</f>
        <v>0</v>
      </c>
      <c r="AQ387" s="14">
        <f>_DATA_Assessment_Model!AN387</f>
        <v>0</v>
      </c>
      <c r="AR387" s="14">
        <f>_DATA_Assessment_Model!AO387</f>
        <v>0</v>
      </c>
      <c r="AS387" s="14">
        <f>_DATA_Assessment_Model!AP387</f>
        <v>0</v>
      </c>
      <c r="AT387" s="14">
        <f>_DATA_Assessment_Model!AQ387</f>
        <v>0</v>
      </c>
      <c r="AU387" s="14" t="str">
        <f>_DATA_Assessment_Model!AR387</f>
        <v>Within target</v>
      </c>
      <c r="AV387" s="4">
        <f>_DATA_Assessment_Model!AS387</f>
        <v>0</v>
      </c>
      <c r="AW387" s="4">
        <f>_DATA_Assessment_Model!AT387</f>
        <v>0.9</v>
      </c>
      <c r="AX387" s="254"/>
      <c r="AY387">
        <f>_DATA_Assessment_Model!AV387</f>
        <v>0.9</v>
      </c>
    </row>
    <row r="388" spans="1:51" ht="96.65" customHeight="1">
      <c r="A388" t="s">
        <v>2986</v>
      </c>
      <c r="B388" t="s">
        <v>2986</v>
      </c>
      <c r="C388">
        <v>20</v>
      </c>
      <c r="D388" s="2" t="s">
        <v>3083</v>
      </c>
      <c r="E388" s="2" t="s">
        <v>3013</v>
      </c>
      <c r="F388" s="2" t="s">
        <v>3084</v>
      </c>
      <c r="G388" s="2" t="s">
        <v>2990</v>
      </c>
      <c r="H388" s="2" t="s">
        <v>2991</v>
      </c>
      <c r="I388" s="2" t="s">
        <v>3085</v>
      </c>
      <c r="J388" s="253">
        <v>3</v>
      </c>
      <c r="K388" s="49">
        <f>_DATA_Assessment_Model!H388</f>
        <v>0</v>
      </c>
      <c r="L388" s="3">
        <f>_DATA_Assessment_Model!I388</f>
        <v>0</v>
      </c>
      <c r="M388" s="3">
        <f>_DATA_Assessment_Model!J388</f>
        <v>3</v>
      </c>
      <c r="N388" s="3">
        <f>_DATA_Assessment_Model!K388</f>
        <v>3</v>
      </c>
      <c r="O388" s="2" t="str">
        <f>_DATA_Assessment_Model!L388</f>
        <v>Critical</v>
      </c>
      <c r="P388" s="2" t="s">
        <v>3086</v>
      </c>
      <c r="Q388" s="2" t="s">
        <v>3087</v>
      </c>
      <c r="R388" s="2" t="s">
        <v>3088</v>
      </c>
      <c r="S388" s="2" t="s">
        <v>3089</v>
      </c>
      <c r="T388" s="2" t="s">
        <v>3090</v>
      </c>
      <c r="U388" s="2" t="s">
        <v>3091</v>
      </c>
      <c r="V388" s="2" t="s">
        <v>2999</v>
      </c>
      <c r="W388" s="253"/>
      <c r="X388" s="253"/>
      <c r="Y388" s="253" t="s">
        <v>829</v>
      </c>
      <c r="Z388" s="6">
        <v>5</v>
      </c>
      <c r="AA388" s="6">
        <v>5</v>
      </c>
      <c r="AB388" s="6">
        <v>5</v>
      </c>
      <c r="AC388" s="254"/>
      <c r="AK388" s="255"/>
      <c r="AL388" s="255"/>
      <c r="AM388" s="14">
        <f>_DATA_Assessment_Model!AJ388</f>
        <v>0.9</v>
      </c>
      <c r="AN388" s="14">
        <f>_DATA_Assessment_Model!AK388</f>
        <v>0.9</v>
      </c>
      <c r="AO388" s="14">
        <f>_DATA_Assessment_Model!AL388</f>
        <v>0</v>
      </c>
      <c r="AP388" s="14">
        <f>_DATA_Assessment_Model!AM388</f>
        <v>0</v>
      </c>
      <c r="AQ388" s="14">
        <f>_DATA_Assessment_Model!AN388</f>
        <v>0</v>
      </c>
      <c r="AR388" s="14">
        <f>_DATA_Assessment_Model!AO388</f>
        <v>0</v>
      </c>
      <c r="AS388" s="14">
        <f>_DATA_Assessment_Model!AP388</f>
        <v>0</v>
      </c>
      <c r="AT388" s="14">
        <f>_DATA_Assessment_Model!AQ388</f>
        <v>0</v>
      </c>
      <c r="AU388" s="14" t="str">
        <f>_DATA_Assessment_Model!AR388</f>
        <v>Within target</v>
      </c>
      <c r="AV388" s="4">
        <f>_DATA_Assessment_Model!AS388</f>
        <v>0</v>
      </c>
      <c r="AW388" s="4">
        <f>_DATA_Assessment_Model!AT388</f>
        <v>0.9</v>
      </c>
      <c r="AX388" s="254"/>
      <c r="AY388">
        <f>_DATA_Assessment_Model!AV388</f>
        <v>0.9</v>
      </c>
    </row>
    <row r="389" spans="1:51" ht="82.85" customHeight="1">
      <c r="A389" t="s">
        <v>2986</v>
      </c>
      <c r="B389" t="s">
        <v>2986</v>
      </c>
      <c r="C389">
        <v>21</v>
      </c>
      <c r="D389" s="2" t="s">
        <v>3092</v>
      </c>
      <c r="E389" s="2" t="s">
        <v>3013</v>
      </c>
      <c r="F389" s="2" t="s">
        <v>3093</v>
      </c>
      <c r="G389" s="2" t="s">
        <v>2990</v>
      </c>
      <c r="H389" s="2" t="s">
        <v>2991</v>
      </c>
      <c r="I389" s="2" t="s">
        <v>3094</v>
      </c>
      <c r="J389" s="253">
        <v>5</v>
      </c>
      <c r="K389" s="49">
        <f>_DATA_Assessment_Model!H389</f>
        <v>0</v>
      </c>
      <c r="L389" s="3">
        <f>_DATA_Assessment_Model!I389</f>
        <v>0</v>
      </c>
      <c r="M389" s="3">
        <f>_DATA_Assessment_Model!J389</f>
        <v>5</v>
      </c>
      <c r="N389" s="3">
        <f>_DATA_Assessment_Model!K389</f>
        <v>5</v>
      </c>
      <c r="O389" s="2" t="str">
        <f>_DATA_Assessment_Model!L389</f>
        <v>Critical</v>
      </c>
      <c r="P389" s="2" t="s">
        <v>833</v>
      </c>
      <c r="Q389" s="2" t="s">
        <v>834</v>
      </c>
      <c r="R389" s="2" t="s">
        <v>835</v>
      </c>
      <c r="S389" s="2" t="s">
        <v>836</v>
      </c>
      <c r="T389" s="2" t="s">
        <v>837</v>
      </c>
      <c r="U389" s="2" t="s">
        <v>838</v>
      </c>
      <c r="V389" s="2" t="s">
        <v>2999</v>
      </c>
      <c r="W389" s="253"/>
      <c r="X389" s="253"/>
      <c r="Y389" s="253" t="s">
        <v>829</v>
      </c>
      <c r="Z389" s="6">
        <v>5</v>
      </c>
      <c r="AA389" s="6">
        <v>5</v>
      </c>
      <c r="AB389" s="6">
        <v>5</v>
      </c>
      <c r="AC389" s="254"/>
      <c r="AK389" s="255"/>
      <c r="AL389" s="255"/>
      <c r="AM389" s="14">
        <f>_DATA_Assessment_Model!AJ389</f>
        <v>0.9</v>
      </c>
      <c r="AN389" s="14">
        <f>_DATA_Assessment_Model!AK389</f>
        <v>0.9</v>
      </c>
      <c r="AO389" s="14">
        <f>_DATA_Assessment_Model!AL389</f>
        <v>0</v>
      </c>
      <c r="AP389" s="14">
        <f>_DATA_Assessment_Model!AM389</f>
        <v>0</v>
      </c>
      <c r="AQ389" s="14">
        <f>_DATA_Assessment_Model!AN389</f>
        <v>0</v>
      </c>
      <c r="AR389" s="14">
        <f>_DATA_Assessment_Model!AO389</f>
        <v>0</v>
      </c>
      <c r="AS389" s="14">
        <f>_DATA_Assessment_Model!AP389</f>
        <v>0</v>
      </c>
      <c r="AT389" s="14">
        <f>_DATA_Assessment_Model!AQ389</f>
        <v>0</v>
      </c>
      <c r="AU389" s="14" t="str">
        <f>_DATA_Assessment_Model!AR389</f>
        <v>Within target</v>
      </c>
      <c r="AV389" s="4">
        <f>_DATA_Assessment_Model!AS389</f>
        <v>0</v>
      </c>
      <c r="AW389" s="4">
        <f>_DATA_Assessment_Model!AT389</f>
        <v>0.9</v>
      </c>
      <c r="AX389" s="254"/>
      <c r="AY389">
        <f>_DATA_Assessment_Model!AV389</f>
        <v>0.9</v>
      </c>
    </row>
    <row r="390" spans="1:51" ht="96.65" customHeight="1">
      <c r="A390" t="s">
        <v>2986</v>
      </c>
      <c r="B390" t="s">
        <v>2986</v>
      </c>
      <c r="C390">
        <v>22</v>
      </c>
      <c r="D390" s="2" t="s">
        <v>3095</v>
      </c>
      <c r="E390" s="2" t="s">
        <v>3013</v>
      </c>
      <c r="F390" s="2" t="s">
        <v>3096</v>
      </c>
      <c r="G390" s="2" t="s">
        <v>2990</v>
      </c>
      <c r="H390" s="2" t="s">
        <v>2991</v>
      </c>
      <c r="I390" s="2" t="s">
        <v>3097</v>
      </c>
      <c r="J390" s="253">
        <v>3</v>
      </c>
      <c r="K390" s="49">
        <f>_DATA_Assessment_Model!H390</f>
        <v>0</v>
      </c>
      <c r="L390" s="3">
        <f>_DATA_Assessment_Model!I390</f>
        <v>0</v>
      </c>
      <c r="M390" s="3">
        <f>_DATA_Assessment_Model!J390</f>
        <v>3</v>
      </c>
      <c r="N390" s="3">
        <f>_DATA_Assessment_Model!K390</f>
        <v>3</v>
      </c>
      <c r="O390" s="2" t="str">
        <f>_DATA_Assessment_Model!L390</f>
        <v>Critical</v>
      </c>
      <c r="P390" s="2" t="s">
        <v>3098</v>
      </c>
      <c r="Q390" s="2" t="s">
        <v>3099</v>
      </c>
      <c r="R390" s="2" t="s">
        <v>3100</v>
      </c>
      <c r="S390" s="2" t="s">
        <v>3101</v>
      </c>
      <c r="T390" s="2" t="s">
        <v>3102</v>
      </c>
      <c r="U390" s="2" t="s">
        <v>3103</v>
      </c>
      <c r="V390" s="2" t="s">
        <v>2999</v>
      </c>
      <c r="W390" s="253"/>
      <c r="X390" s="253"/>
      <c r="Y390" s="253" t="s">
        <v>829</v>
      </c>
      <c r="Z390" s="6">
        <v>5</v>
      </c>
      <c r="AA390" s="6">
        <v>5</v>
      </c>
      <c r="AB390" s="6">
        <v>5</v>
      </c>
      <c r="AC390" s="254"/>
      <c r="AK390" s="255"/>
      <c r="AL390" s="255"/>
      <c r="AM390" s="14">
        <f>_DATA_Assessment_Model!AJ390</f>
        <v>0.9</v>
      </c>
      <c r="AN390" s="14">
        <f>_DATA_Assessment_Model!AK390</f>
        <v>0.9</v>
      </c>
      <c r="AO390" s="14">
        <f>_DATA_Assessment_Model!AL390</f>
        <v>0</v>
      </c>
      <c r="AP390" s="14">
        <f>_DATA_Assessment_Model!AM390</f>
        <v>0</v>
      </c>
      <c r="AQ390" s="14">
        <f>_DATA_Assessment_Model!AN390</f>
        <v>0</v>
      </c>
      <c r="AR390" s="14">
        <f>_DATA_Assessment_Model!AO390</f>
        <v>0</v>
      </c>
      <c r="AS390" s="14">
        <f>_DATA_Assessment_Model!AP390</f>
        <v>0</v>
      </c>
      <c r="AT390" s="14">
        <f>_DATA_Assessment_Model!AQ390</f>
        <v>0</v>
      </c>
      <c r="AU390" s="14" t="str">
        <f>_DATA_Assessment_Model!AR390</f>
        <v>Within target</v>
      </c>
      <c r="AV390" s="4">
        <f>_DATA_Assessment_Model!AS390</f>
        <v>0</v>
      </c>
      <c r="AW390" s="4">
        <f>_DATA_Assessment_Model!AT390</f>
        <v>0.9</v>
      </c>
      <c r="AX390" s="254"/>
      <c r="AY390">
        <f>_DATA_Assessment_Model!AV390</f>
        <v>0.9</v>
      </c>
    </row>
    <row r="391" spans="1:51" ht="82.85" customHeight="1">
      <c r="A391" t="s">
        <v>2986</v>
      </c>
      <c r="B391" t="s">
        <v>2986</v>
      </c>
      <c r="C391">
        <v>23</v>
      </c>
      <c r="D391" s="2" t="s">
        <v>3104</v>
      </c>
      <c r="E391" s="2" t="s">
        <v>3013</v>
      </c>
      <c r="F391" s="2" t="s">
        <v>3105</v>
      </c>
      <c r="G391" s="2" t="s">
        <v>2990</v>
      </c>
      <c r="H391" s="2" t="s">
        <v>2991</v>
      </c>
      <c r="I391" s="2" t="s">
        <v>3106</v>
      </c>
      <c r="J391" s="253">
        <v>4</v>
      </c>
      <c r="K391" s="49">
        <f>_DATA_Assessment_Model!H391</f>
        <v>0</v>
      </c>
      <c r="L391" s="3">
        <f>_DATA_Assessment_Model!I391</f>
        <v>0</v>
      </c>
      <c r="M391" s="3">
        <f>_DATA_Assessment_Model!J391</f>
        <v>4</v>
      </c>
      <c r="N391" s="3">
        <f>_DATA_Assessment_Model!K391</f>
        <v>4</v>
      </c>
      <c r="O391" s="2" t="str">
        <f>_DATA_Assessment_Model!L391</f>
        <v>Critical</v>
      </c>
      <c r="P391" s="2" t="s">
        <v>3107</v>
      </c>
      <c r="Q391" s="2" t="s">
        <v>3108</v>
      </c>
      <c r="R391" s="2" t="s">
        <v>3109</v>
      </c>
      <c r="S391" s="2" t="s">
        <v>3110</v>
      </c>
      <c r="T391" s="2" t="s">
        <v>3111</v>
      </c>
      <c r="U391" s="2" t="s">
        <v>3112</v>
      </c>
      <c r="V391" s="2" t="s">
        <v>2999</v>
      </c>
      <c r="W391" s="253"/>
      <c r="X391" s="253"/>
      <c r="Y391" s="253" t="s">
        <v>829</v>
      </c>
      <c r="Z391" s="6">
        <v>5</v>
      </c>
      <c r="AA391" s="6">
        <v>5</v>
      </c>
      <c r="AB391" s="6">
        <v>5</v>
      </c>
      <c r="AC391" s="254"/>
      <c r="AK391" s="255"/>
      <c r="AL391" s="255"/>
      <c r="AM391" s="14">
        <f>_DATA_Assessment_Model!AJ391</f>
        <v>0.9</v>
      </c>
      <c r="AN391" s="14">
        <f>_DATA_Assessment_Model!AK391</f>
        <v>0.9</v>
      </c>
      <c r="AO391" s="14">
        <f>_DATA_Assessment_Model!AL391</f>
        <v>0</v>
      </c>
      <c r="AP391" s="14">
        <f>_DATA_Assessment_Model!AM391</f>
        <v>0</v>
      </c>
      <c r="AQ391" s="14">
        <f>_DATA_Assessment_Model!AN391</f>
        <v>0</v>
      </c>
      <c r="AR391" s="14">
        <f>_DATA_Assessment_Model!AO391</f>
        <v>0</v>
      </c>
      <c r="AS391" s="14">
        <f>_DATA_Assessment_Model!AP391</f>
        <v>0</v>
      </c>
      <c r="AT391" s="14">
        <f>_DATA_Assessment_Model!AQ391</f>
        <v>0</v>
      </c>
      <c r="AU391" s="14" t="str">
        <f>_DATA_Assessment_Model!AR391</f>
        <v>Within target</v>
      </c>
      <c r="AV391" s="4">
        <f>_DATA_Assessment_Model!AS391</f>
        <v>0</v>
      </c>
      <c r="AW391" s="4">
        <f>_DATA_Assessment_Model!AT391</f>
        <v>0.9</v>
      </c>
      <c r="AX391" s="254"/>
      <c r="AY391">
        <f>_DATA_Assessment_Model!AV391</f>
        <v>0.9</v>
      </c>
    </row>
    <row r="392" spans="1:51" ht="82.85" customHeight="1">
      <c r="A392" t="s">
        <v>2986</v>
      </c>
      <c r="B392" t="s">
        <v>2986</v>
      </c>
      <c r="C392">
        <v>24</v>
      </c>
      <c r="D392" s="2" t="s">
        <v>3113</v>
      </c>
      <c r="E392" s="2" t="s">
        <v>3013</v>
      </c>
      <c r="F392" s="2" t="s">
        <v>3114</v>
      </c>
      <c r="G392" s="2" t="s">
        <v>2990</v>
      </c>
      <c r="H392" s="2" t="s">
        <v>2991</v>
      </c>
      <c r="I392" s="2" t="s">
        <v>3115</v>
      </c>
      <c r="J392" s="253">
        <v>5</v>
      </c>
      <c r="K392" s="49">
        <f>_DATA_Assessment_Model!H392</f>
        <v>0</v>
      </c>
      <c r="L392" s="3">
        <f>_DATA_Assessment_Model!I392</f>
        <v>0</v>
      </c>
      <c r="M392" s="3">
        <f>_DATA_Assessment_Model!J392</f>
        <v>5</v>
      </c>
      <c r="N392" s="3">
        <f>_DATA_Assessment_Model!K392</f>
        <v>5</v>
      </c>
      <c r="O392" s="2" t="str">
        <f>_DATA_Assessment_Model!L392</f>
        <v>Critical</v>
      </c>
      <c r="P392" s="2" t="s">
        <v>833</v>
      </c>
      <c r="Q392" s="2" t="s">
        <v>834</v>
      </c>
      <c r="R392" s="2" t="s">
        <v>835</v>
      </c>
      <c r="S392" s="2" t="s">
        <v>836</v>
      </c>
      <c r="T392" s="2" t="s">
        <v>837</v>
      </c>
      <c r="U392" s="2" t="s">
        <v>838</v>
      </c>
      <c r="V392" s="2" t="s">
        <v>2999</v>
      </c>
      <c r="W392" s="253"/>
      <c r="X392" s="253"/>
      <c r="Y392" s="253" t="s">
        <v>829</v>
      </c>
      <c r="Z392" s="6">
        <v>5</v>
      </c>
      <c r="AA392" s="6">
        <v>5</v>
      </c>
      <c r="AB392" s="6">
        <v>5</v>
      </c>
      <c r="AC392" s="254"/>
      <c r="AK392" s="255"/>
      <c r="AL392" s="255"/>
      <c r="AM392" s="14">
        <f>_DATA_Assessment_Model!AJ392</f>
        <v>0.9</v>
      </c>
      <c r="AN392" s="14">
        <f>_DATA_Assessment_Model!AK392</f>
        <v>0.9</v>
      </c>
      <c r="AO392" s="14">
        <f>_DATA_Assessment_Model!AL392</f>
        <v>0</v>
      </c>
      <c r="AP392" s="14">
        <f>_DATA_Assessment_Model!AM392</f>
        <v>0</v>
      </c>
      <c r="AQ392" s="14">
        <f>_DATA_Assessment_Model!AN392</f>
        <v>0</v>
      </c>
      <c r="AR392" s="14">
        <f>_DATA_Assessment_Model!AO392</f>
        <v>0</v>
      </c>
      <c r="AS392" s="14">
        <f>_DATA_Assessment_Model!AP392</f>
        <v>0</v>
      </c>
      <c r="AT392" s="14">
        <f>_DATA_Assessment_Model!AQ392</f>
        <v>0</v>
      </c>
      <c r="AU392" s="14" t="str">
        <f>_DATA_Assessment_Model!AR392</f>
        <v>Within target</v>
      </c>
      <c r="AV392" s="4">
        <f>_DATA_Assessment_Model!AS392</f>
        <v>0</v>
      </c>
      <c r="AW392" s="4">
        <f>_DATA_Assessment_Model!AT392</f>
        <v>0.9</v>
      </c>
      <c r="AX392" s="254"/>
      <c r="AY392">
        <f>_DATA_Assessment_Model!AV392</f>
        <v>0.9</v>
      </c>
    </row>
    <row r="393" spans="1:51" ht="82.85" customHeight="1">
      <c r="A393" t="s">
        <v>2986</v>
      </c>
      <c r="B393" t="s">
        <v>2986</v>
      </c>
      <c r="C393">
        <v>25</v>
      </c>
      <c r="D393" s="2" t="s">
        <v>3116</v>
      </c>
      <c r="E393" s="2" t="s">
        <v>3023</v>
      </c>
      <c r="F393" s="2" t="s">
        <v>3117</v>
      </c>
      <c r="G393" s="2" t="s">
        <v>2990</v>
      </c>
      <c r="H393" s="2" t="s">
        <v>2991</v>
      </c>
      <c r="I393" s="2" t="s">
        <v>3118</v>
      </c>
      <c r="J393" s="253">
        <v>5</v>
      </c>
      <c r="K393" s="49">
        <f>_DATA_Assessment_Model!H393</f>
        <v>0</v>
      </c>
      <c r="L393" s="3">
        <f>_DATA_Assessment_Model!I393</f>
        <v>0</v>
      </c>
      <c r="M393" s="3">
        <f>_DATA_Assessment_Model!J393</f>
        <v>5</v>
      </c>
      <c r="N393" s="3">
        <f>_DATA_Assessment_Model!K393</f>
        <v>5</v>
      </c>
      <c r="O393" s="2" t="str">
        <f>_DATA_Assessment_Model!L393</f>
        <v>Critical</v>
      </c>
      <c r="P393" s="2" t="s">
        <v>1069</v>
      </c>
      <c r="Q393" s="2" t="s">
        <v>1070</v>
      </c>
      <c r="R393" s="2" t="s">
        <v>1071</v>
      </c>
      <c r="S393" s="2" t="s">
        <v>1072</v>
      </c>
      <c r="T393" s="2" t="s">
        <v>1073</v>
      </c>
      <c r="U393" s="2" t="s">
        <v>1074</v>
      </c>
      <c r="V393" s="2" t="s">
        <v>2999</v>
      </c>
      <c r="W393" s="253"/>
      <c r="X393" s="253"/>
      <c r="Y393" s="253" t="s">
        <v>829</v>
      </c>
      <c r="Z393" s="6">
        <v>5</v>
      </c>
      <c r="AA393" s="6">
        <v>5</v>
      </c>
      <c r="AB393" s="6">
        <v>5</v>
      </c>
      <c r="AC393" s="254"/>
      <c r="AK393" s="255"/>
      <c r="AL393" s="255"/>
      <c r="AM393" s="14">
        <f>_DATA_Assessment_Model!AJ393</f>
        <v>0.9</v>
      </c>
      <c r="AN393" s="14">
        <f>_DATA_Assessment_Model!AK393</f>
        <v>0.9</v>
      </c>
      <c r="AO393" s="14">
        <f>_DATA_Assessment_Model!AL393</f>
        <v>0</v>
      </c>
      <c r="AP393" s="14">
        <f>_DATA_Assessment_Model!AM393</f>
        <v>0</v>
      </c>
      <c r="AQ393" s="14">
        <f>_DATA_Assessment_Model!AN393</f>
        <v>0</v>
      </c>
      <c r="AR393" s="14">
        <f>_DATA_Assessment_Model!AO393</f>
        <v>0</v>
      </c>
      <c r="AS393" s="14">
        <f>_DATA_Assessment_Model!AP393</f>
        <v>0</v>
      </c>
      <c r="AT393" s="14">
        <f>_DATA_Assessment_Model!AQ393</f>
        <v>0</v>
      </c>
      <c r="AU393" s="14" t="str">
        <f>_DATA_Assessment_Model!AR393</f>
        <v>Within target</v>
      </c>
      <c r="AV393" s="4">
        <f>_DATA_Assessment_Model!AS393</f>
        <v>0</v>
      </c>
      <c r="AW393" s="4">
        <f>_DATA_Assessment_Model!AT393</f>
        <v>0.9</v>
      </c>
      <c r="AX393" s="254"/>
      <c r="AY393">
        <f>_DATA_Assessment_Model!AV393</f>
        <v>0.9</v>
      </c>
    </row>
    <row r="394" spans="1:51" ht="82.85" customHeight="1">
      <c r="A394" t="s">
        <v>2986</v>
      </c>
      <c r="B394" t="s">
        <v>2986</v>
      </c>
      <c r="C394">
        <v>26</v>
      </c>
      <c r="D394" s="2" t="s">
        <v>3119</v>
      </c>
      <c r="E394" s="2" t="s">
        <v>3023</v>
      </c>
      <c r="F394" s="2" t="s">
        <v>3120</v>
      </c>
      <c r="G394" s="2" t="s">
        <v>2990</v>
      </c>
      <c r="H394" s="2" t="s">
        <v>2991</v>
      </c>
      <c r="I394" s="2" t="s">
        <v>3121</v>
      </c>
      <c r="J394" s="253">
        <v>3</v>
      </c>
      <c r="K394" s="49">
        <f>_DATA_Assessment_Model!H394</f>
        <v>0</v>
      </c>
      <c r="L394" s="3">
        <f>_DATA_Assessment_Model!I394</f>
        <v>0</v>
      </c>
      <c r="M394" s="3">
        <f>_DATA_Assessment_Model!J394</f>
        <v>3</v>
      </c>
      <c r="N394" s="3">
        <f>_DATA_Assessment_Model!K394</f>
        <v>3</v>
      </c>
      <c r="O394" s="2" t="str">
        <f>_DATA_Assessment_Model!L394</f>
        <v>Critical</v>
      </c>
      <c r="P394" s="2" t="s">
        <v>3122</v>
      </c>
      <c r="Q394" s="2" t="s">
        <v>3123</v>
      </c>
      <c r="R394" s="2" t="s">
        <v>3124</v>
      </c>
      <c r="S394" s="2" t="s">
        <v>3125</v>
      </c>
      <c r="T394" s="2" t="s">
        <v>3126</v>
      </c>
      <c r="U394" s="2" t="s">
        <v>3127</v>
      </c>
      <c r="V394" s="2" t="s">
        <v>2999</v>
      </c>
      <c r="W394" s="253"/>
      <c r="X394" s="253"/>
      <c r="Y394" s="253" t="s">
        <v>829</v>
      </c>
      <c r="Z394" s="6">
        <v>5</v>
      </c>
      <c r="AA394" s="6">
        <v>5</v>
      </c>
      <c r="AB394" s="6">
        <v>5</v>
      </c>
      <c r="AC394" s="254"/>
      <c r="AK394" s="255"/>
      <c r="AL394" s="255"/>
      <c r="AM394" s="14">
        <f>_DATA_Assessment_Model!AJ394</f>
        <v>0.9</v>
      </c>
      <c r="AN394" s="14">
        <f>_DATA_Assessment_Model!AK394</f>
        <v>0.9</v>
      </c>
      <c r="AO394" s="14">
        <f>_DATA_Assessment_Model!AL394</f>
        <v>0</v>
      </c>
      <c r="AP394" s="14">
        <f>_DATA_Assessment_Model!AM394</f>
        <v>0</v>
      </c>
      <c r="AQ394" s="14">
        <f>_DATA_Assessment_Model!AN394</f>
        <v>0</v>
      </c>
      <c r="AR394" s="14">
        <f>_DATA_Assessment_Model!AO394</f>
        <v>0</v>
      </c>
      <c r="AS394" s="14">
        <f>_DATA_Assessment_Model!AP394</f>
        <v>0</v>
      </c>
      <c r="AT394" s="14">
        <f>_DATA_Assessment_Model!AQ394</f>
        <v>0</v>
      </c>
      <c r="AU394" s="14" t="str">
        <f>_DATA_Assessment_Model!AR394</f>
        <v>Within target</v>
      </c>
      <c r="AV394" s="4">
        <f>_DATA_Assessment_Model!AS394</f>
        <v>0</v>
      </c>
      <c r="AW394" s="4">
        <f>_DATA_Assessment_Model!AT394</f>
        <v>0.9</v>
      </c>
      <c r="AX394" s="254"/>
      <c r="AY394">
        <f>_DATA_Assessment_Model!AV394</f>
        <v>0.9</v>
      </c>
    </row>
    <row r="395" spans="1:51" ht="82.85" customHeight="1">
      <c r="A395" t="s">
        <v>2986</v>
      </c>
      <c r="B395" t="s">
        <v>2986</v>
      </c>
      <c r="C395">
        <v>27</v>
      </c>
      <c r="D395" s="2" t="s">
        <v>3128</v>
      </c>
      <c r="E395" s="2" t="s">
        <v>3023</v>
      </c>
      <c r="F395" s="2" t="s">
        <v>3129</v>
      </c>
      <c r="G395" s="2" t="s">
        <v>2990</v>
      </c>
      <c r="H395" s="2" t="s">
        <v>2991</v>
      </c>
      <c r="I395" s="2" t="s">
        <v>3130</v>
      </c>
      <c r="J395" s="253">
        <v>5</v>
      </c>
      <c r="K395" s="49">
        <f>_DATA_Assessment_Model!H395</f>
        <v>0</v>
      </c>
      <c r="L395" s="3">
        <f>_DATA_Assessment_Model!I395</f>
        <v>0</v>
      </c>
      <c r="M395" s="3">
        <f>_DATA_Assessment_Model!J395</f>
        <v>5</v>
      </c>
      <c r="N395" s="3">
        <f>_DATA_Assessment_Model!K395</f>
        <v>5</v>
      </c>
      <c r="O395" s="2" t="str">
        <f>_DATA_Assessment_Model!L395</f>
        <v>Critical</v>
      </c>
      <c r="P395" s="2" t="s">
        <v>874</v>
      </c>
      <c r="Q395" s="2" t="s">
        <v>875</v>
      </c>
      <c r="R395" s="2" t="s">
        <v>876</v>
      </c>
      <c r="S395" s="2" t="s">
        <v>877</v>
      </c>
      <c r="T395" s="2" t="s">
        <v>878</v>
      </c>
      <c r="U395" s="2" t="s">
        <v>879</v>
      </c>
      <c r="V395" s="2" t="s">
        <v>2999</v>
      </c>
      <c r="W395" s="253"/>
      <c r="X395" s="253"/>
      <c r="Y395" s="253" t="s">
        <v>829</v>
      </c>
      <c r="Z395" s="6">
        <v>5</v>
      </c>
      <c r="AA395" s="6">
        <v>5</v>
      </c>
      <c r="AB395" s="6">
        <v>5</v>
      </c>
      <c r="AC395" s="254"/>
      <c r="AK395" s="255"/>
      <c r="AL395" s="255"/>
      <c r="AM395" s="14">
        <f>_DATA_Assessment_Model!AJ395</f>
        <v>0.9</v>
      </c>
      <c r="AN395" s="14">
        <f>_DATA_Assessment_Model!AK395</f>
        <v>0.9</v>
      </c>
      <c r="AO395" s="14">
        <f>_DATA_Assessment_Model!AL395</f>
        <v>0</v>
      </c>
      <c r="AP395" s="14">
        <f>_DATA_Assessment_Model!AM395</f>
        <v>0</v>
      </c>
      <c r="AQ395" s="14">
        <f>_DATA_Assessment_Model!AN395</f>
        <v>0</v>
      </c>
      <c r="AR395" s="14">
        <f>_DATA_Assessment_Model!AO395</f>
        <v>0</v>
      </c>
      <c r="AS395" s="14">
        <f>_DATA_Assessment_Model!AP395</f>
        <v>0</v>
      </c>
      <c r="AT395" s="14">
        <f>_DATA_Assessment_Model!AQ395</f>
        <v>0</v>
      </c>
      <c r="AU395" s="14" t="str">
        <f>_DATA_Assessment_Model!AR395</f>
        <v>Within target</v>
      </c>
      <c r="AV395" s="4">
        <f>_DATA_Assessment_Model!AS395</f>
        <v>0</v>
      </c>
      <c r="AW395" s="4">
        <f>_DATA_Assessment_Model!AT395</f>
        <v>0.9</v>
      </c>
      <c r="AX395" s="254"/>
      <c r="AY395">
        <f>_DATA_Assessment_Model!AV395</f>
        <v>0.9</v>
      </c>
    </row>
    <row r="396" spans="1:51" ht="82.85" customHeight="1">
      <c r="A396" t="s">
        <v>2986</v>
      </c>
      <c r="B396" t="s">
        <v>2986</v>
      </c>
      <c r="C396">
        <v>28</v>
      </c>
      <c r="D396" s="2" t="s">
        <v>3131</v>
      </c>
      <c r="E396" s="2" t="s">
        <v>3023</v>
      </c>
      <c r="F396" s="2" t="s">
        <v>3132</v>
      </c>
      <c r="G396" s="2" t="s">
        <v>2990</v>
      </c>
      <c r="H396" s="2" t="s">
        <v>2991</v>
      </c>
      <c r="I396" s="2" t="s">
        <v>3133</v>
      </c>
      <c r="J396" s="253">
        <v>5</v>
      </c>
      <c r="K396" s="49">
        <f>_DATA_Assessment_Model!H396</f>
        <v>0</v>
      </c>
      <c r="L396" s="3">
        <f>_DATA_Assessment_Model!I396</f>
        <v>0</v>
      </c>
      <c r="M396" s="3">
        <f>_DATA_Assessment_Model!J396</f>
        <v>5</v>
      </c>
      <c r="N396" s="3">
        <f>_DATA_Assessment_Model!K396</f>
        <v>5</v>
      </c>
      <c r="O396" s="2" t="str">
        <f>_DATA_Assessment_Model!L396</f>
        <v>Critical</v>
      </c>
      <c r="P396" s="2" t="s">
        <v>874</v>
      </c>
      <c r="Q396" s="2" t="s">
        <v>875</v>
      </c>
      <c r="R396" s="2" t="s">
        <v>876</v>
      </c>
      <c r="S396" s="2" t="s">
        <v>877</v>
      </c>
      <c r="T396" s="2" t="s">
        <v>878</v>
      </c>
      <c r="U396" s="2" t="s">
        <v>879</v>
      </c>
      <c r="V396" s="2" t="s">
        <v>2999</v>
      </c>
      <c r="W396" s="253"/>
      <c r="X396" s="253"/>
      <c r="Y396" s="253" t="s">
        <v>829</v>
      </c>
      <c r="Z396" s="6">
        <v>5</v>
      </c>
      <c r="AA396" s="6">
        <v>5</v>
      </c>
      <c r="AB396" s="6">
        <v>5</v>
      </c>
      <c r="AC396" s="254"/>
      <c r="AK396" s="255"/>
      <c r="AL396" s="255"/>
      <c r="AM396" s="14">
        <f>_DATA_Assessment_Model!AJ396</f>
        <v>0.9</v>
      </c>
      <c r="AN396" s="14">
        <f>_DATA_Assessment_Model!AK396</f>
        <v>0.9</v>
      </c>
      <c r="AO396" s="14">
        <f>_DATA_Assessment_Model!AL396</f>
        <v>0</v>
      </c>
      <c r="AP396" s="14">
        <f>_DATA_Assessment_Model!AM396</f>
        <v>0</v>
      </c>
      <c r="AQ396" s="14">
        <f>_DATA_Assessment_Model!AN396</f>
        <v>0</v>
      </c>
      <c r="AR396" s="14">
        <f>_DATA_Assessment_Model!AO396</f>
        <v>0</v>
      </c>
      <c r="AS396" s="14">
        <f>_DATA_Assessment_Model!AP396</f>
        <v>0</v>
      </c>
      <c r="AT396" s="14">
        <f>_DATA_Assessment_Model!AQ396</f>
        <v>0</v>
      </c>
      <c r="AU396" s="14" t="str">
        <f>_DATA_Assessment_Model!AR396</f>
        <v>Within target</v>
      </c>
      <c r="AV396" s="4">
        <f>_DATA_Assessment_Model!AS396</f>
        <v>0</v>
      </c>
      <c r="AW396" s="4">
        <f>_DATA_Assessment_Model!AT396</f>
        <v>0.9</v>
      </c>
      <c r="AX396" s="254"/>
      <c r="AY396">
        <f>_DATA_Assessment_Model!AV396</f>
        <v>0.9</v>
      </c>
    </row>
    <row r="397" spans="1:51" ht="69" customHeight="1">
      <c r="A397" t="s">
        <v>2986</v>
      </c>
      <c r="B397" t="s">
        <v>2986</v>
      </c>
      <c r="C397">
        <v>29</v>
      </c>
      <c r="D397" s="2" t="s">
        <v>3134</v>
      </c>
      <c r="E397" s="2" t="s">
        <v>3023</v>
      </c>
      <c r="F397" s="2" t="s">
        <v>3135</v>
      </c>
      <c r="G397" s="2" t="s">
        <v>2990</v>
      </c>
      <c r="H397" s="2" t="s">
        <v>2991</v>
      </c>
      <c r="I397" s="2" t="s">
        <v>3136</v>
      </c>
      <c r="J397" s="253">
        <v>5</v>
      </c>
      <c r="K397" s="49">
        <f>_DATA_Assessment_Model!H397</f>
        <v>0</v>
      </c>
      <c r="L397" s="3">
        <f>_DATA_Assessment_Model!I397</f>
        <v>0</v>
      </c>
      <c r="M397" s="3">
        <f>_DATA_Assessment_Model!J397</f>
        <v>5</v>
      </c>
      <c r="N397" s="3">
        <f>_DATA_Assessment_Model!K397</f>
        <v>5</v>
      </c>
      <c r="O397" s="2" t="str">
        <f>_DATA_Assessment_Model!L397</f>
        <v>Critical</v>
      </c>
      <c r="P397" s="2" t="s">
        <v>1202</v>
      </c>
      <c r="Q397" s="2" t="s">
        <v>1203</v>
      </c>
      <c r="R397" s="2" t="s">
        <v>1204</v>
      </c>
      <c r="S397" s="2" t="s">
        <v>1205</v>
      </c>
      <c r="T397" s="2" t="s">
        <v>1206</v>
      </c>
      <c r="U397" s="2" t="s">
        <v>1207</v>
      </c>
      <c r="V397" s="2" t="s">
        <v>2999</v>
      </c>
      <c r="W397" s="253"/>
      <c r="X397" s="253"/>
      <c r="Y397" s="253" t="s">
        <v>829</v>
      </c>
      <c r="Z397" s="6">
        <v>5</v>
      </c>
      <c r="AA397" s="6">
        <v>5</v>
      </c>
      <c r="AB397" s="6">
        <v>5</v>
      </c>
      <c r="AC397" s="254"/>
      <c r="AK397" s="255"/>
      <c r="AL397" s="255"/>
      <c r="AM397" s="14">
        <f>_DATA_Assessment_Model!AJ397</f>
        <v>0.9</v>
      </c>
      <c r="AN397" s="14">
        <f>_DATA_Assessment_Model!AK397</f>
        <v>0.9</v>
      </c>
      <c r="AO397" s="14">
        <f>_DATA_Assessment_Model!AL397</f>
        <v>0</v>
      </c>
      <c r="AP397" s="14">
        <f>_DATA_Assessment_Model!AM397</f>
        <v>0</v>
      </c>
      <c r="AQ397" s="14">
        <f>_DATA_Assessment_Model!AN397</f>
        <v>0</v>
      </c>
      <c r="AR397" s="14">
        <f>_DATA_Assessment_Model!AO397</f>
        <v>0</v>
      </c>
      <c r="AS397" s="14">
        <f>_DATA_Assessment_Model!AP397</f>
        <v>0</v>
      </c>
      <c r="AT397" s="14">
        <f>_DATA_Assessment_Model!AQ397</f>
        <v>0</v>
      </c>
      <c r="AU397" s="14" t="str">
        <f>_DATA_Assessment_Model!AR397</f>
        <v>Within target</v>
      </c>
      <c r="AV397" s="4">
        <f>_DATA_Assessment_Model!AS397</f>
        <v>0</v>
      </c>
      <c r="AW397" s="4">
        <f>_DATA_Assessment_Model!AT397</f>
        <v>0.9</v>
      </c>
      <c r="AX397" s="254"/>
      <c r="AY397">
        <f>_DATA_Assessment_Model!AV397</f>
        <v>0.9</v>
      </c>
    </row>
    <row r="398" spans="1:51" ht="69" customHeight="1">
      <c r="A398" t="s">
        <v>2986</v>
      </c>
      <c r="B398" t="s">
        <v>2986</v>
      </c>
      <c r="C398">
        <v>30</v>
      </c>
      <c r="D398" s="2" t="s">
        <v>3137</v>
      </c>
      <c r="E398" s="2" t="s">
        <v>3023</v>
      </c>
      <c r="F398" s="2" t="s">
        <v>3138</v>
      </c>
      <c r="G398" s="2" t="s">
        <v>2990</v>
      </c>
      <c r="H398" s="2" t="s">
        <v>2991</v>
      </c>
      <c r="I398" s="2" t="s">
        <v>3139</v>
      </c>
      <c r="J398" s="253">
        <v>5</v>
      </c>
      <c r="K398" s="49">
        <f>_DATA_Assessment_Model!H398</f>
        <v>0</v>
      </c>
      <c r="L398" s="3">
        <f>_DATA_Assessment_Model!I398</f>
        <v>0</v>
      </c>
      <c r="M398" s="3">
        <f>_DATA_Assessment_Model!J398</f>
        <v>5</v>
      </c>
      <c r="N398" s="3">
        <f>_DATA_Assessment_Model!K398</f>
        <v>5</v>
      </c>
      <c r="O398" s="2" t="str">
        <f>_DATA_Assessment_Model!L398</f>
        <v>Critical</v>
      </c>
      <c r="P398" s="2" t="s">
        <v>833</v>
      </c>
      <c r="Q398" s="2" t="s">
        <v>834</v>
      </c>
      <c r="R398" s="2" t="s">
        <v>835</v>
      </c>
      <c r="S398" s="2" t="s">
        <v>836</v>
      </c>
      <c r="T398" s="2" t="s">
        <v>837</v>
      </c>
      <c r="U398" s="2" t="s">
        <v>838</v>
      </c>
      <c r="V398" s="2" t="s">
        <v>2999</v>
      </c>
      <c r="W398" s="253"/>
      <c r="X398" s="253"/>
      <c r="Y398" s="253" t="s">
        <v>829</v>
      </c>
      <c r="Z398" s="6">
        <v>5</v>
      </c>
      <c r="AA398" s="6">
        <v>5</v>
      </c>
      <c r="AB398" s="6">
        <v>5</v>
      </c>
      <c r="AC398" s="254"/>
      <c r="AK398" s="255"/>
      <c r="AL398" s="255"/>
      <c r="AM398" s="14">
        <f>_DATA_Assessment_Model!AJ398</f>
        <v>0.9</v>
      </c>
      <c r="AN398" s="14">
        <f>_DATA_Assessment_Model!AK398</f>
        <v>0.9</v>
      </c>
      <c r="AO398" s="14">
        <f>_DATA_Assessment_Model!AL398</f>
        <v>0</v>
      </c>
      <c r="AP398" s="14">
        <f>_DATA_Assessment_Model!AM398</f>
        <v>0</v>
      </c>
      <c r="AQ398" s="14">
        <f>_DATA_Assessment_Model!AN398</f>
        <v>0</v>
      </c>
      <c r="AR398" s="14">
        <f>_DATA_Assessment_Model!AO398</f>
        <v>0</v>
      </c>
      <c r="AS398" s="14">
        <f>_DATA_Assessment_Model!AP398</f>
        <v>0</v>
      </c>
      <c r="AT398" s="14">
        <f>_DATA_Assessment_Model!AQ398</f>
        <v>0</v>
      </c>
      <c r="AU398" s="14" t="str">
        <f>_DATA_Assessment_Model!AR398</f>
        <v>Within target</v>
      </c>
      <c r="AV398" s="4">
        <f>_DATA_Assessment_Model!AS398</f>
        <v>0</v>
      </c>
      <c r="AW398" s="4">
        <f>_DATA_Assessment_Model!AT398</f>
        <v>0.9</v>
      </c>
      <c r="AX398" s="254"/>
      <c r="AY398">
        <f>_DATA_Assessment_Model!AV398</f>
        <v>0.9</v>
      </c>
    </row>
    <row r="399" spans="1:51" ht="96.65" customHeight="1">
      <c r="A399" t="s">
        <v>2986</v>
      </c>
      <c r="B399" t="s">
        <v>2986</v>
      </c>
      <c r="C399">
        <v>31</v>
      </c>
      <c r="D399" s="2" t="s">
        <v>3140</v>
      </c>
      <c r="E399" s="2" t="s">
        <v>3027</v>
      </c>
      <c r="F399" s="2" t="s">
        <v>3141</v>
      </c>
      <c r="G399" s="2" t="s">
        <v>2990</v>
      </c>
      <c r="H399" s="2" t="s">
        <v>2991</v>
      </c>
      <c r="I399" s="2" t="s">
        <v>3142</v>
      </c>
      <c r="J399" s="253">
        <v>3</v>
      </c>
      <c r="K399" s="49">
        <f>_DATA_Assessment_Model!H399</f>
        <v>0</v>
      </c>
      <c r="L399" s="3">
        <f>_DATA_Assessment_Model!I399</f>
        <v>0</v>
      </c>
      <c r="M399" s="3">
        <f>_DATA_Assessment_Model!J399</f>
        <v>3</v>
      </c>
      <c r="N399" s="3">
        <f>_DATA_Assessment_Model!K399</f>
        <v>3</v>
      </c>
      <c r="O399" s="2" t="str">
        <f>_DATA_Assessment_Model!L399</f>
        <v>Critical</v>
      </c>
      <c r="P399" s="2" t="s">
        <v>3143</v>
      </c>
      <c r="Q399" s="2" t="s">
        <v>3144</v>
      </c>
      <c r="R399" s="2" t="s">
        <v>3145</v>
      </c>
      <c r="S399" s="2" t="s">
        <v>3146</v>
      </c>
      <c r="T399" s="2" t="s">
        <v>3147</v>
      </c>
      <c r="U399" s="2" t="s">
        <v>3148</v>
      </c>
      <c r="V399" s="2" t="s">
        <v>2999</v>
      </c>
      <c r="W399" s="253"/>
      <c r="X399" s="253"/>
      <c r="Y399" s="253" t="s">
        <v>829</v>
      </c>
      <c r="Z399" s="6">
        <v>5</v>
      </c>
      <c r="AA399" s="6">
        <v>5</v>
      </c>
      <c r="AB399" s="6">
        <v>5</v>
      </c>
      <c r="AC399" s="254"/>
      <c r="AK399" s="255"/>
      <c r="AL399" s="255"/>
      <c r="AM399" s="14">
        <f>_DATA_Assessment_Model!AJ399</f>
        <v>0.9</v>
      </c>
      <c r="AN399" s="14">
        <f>_DATA_Assessment_Model!AK399</f>
        <v>0.9</v>
      </c>
      <c r="AO399" s="14">
        <f>_DATA_Assessment_Model!AL399</f>
        <v>0</v>
      </c>
      <c r="AP399" s="14">
        <f>_DATA_Assessment_Model!AM399</f>
        <v>0</v>
      </c>
      <c r="AQ399" s="14">
        <f>_DATA_Assessment_Model!AN399</f>
        <v>0</v>
      </c>
      <c r="AR399" s="14">
        <f>_DATA_Assessment_Model!AO399</f>
        <v>0</v>
      </c>
      <c r="AS399" s="14">
        <f>_DATA_Assessment_Model!AP399</f>
        <v>0</v>
      </c>
      <c r="AT399" s="14">
        <f>_DATA_Assessment_Model!AQ399</f>
        <v>0</v>
      </c>
      <c r="AU399" s="14" t="str">
        <f>_DATA_Assessment_Model!AR399</f>
        <v>Within target</v>
      </c>
      <c r="AV399" s="4">
        <f>_DATA_Assessment_Model!AS399</f>
        <v>0</v>
      </c>
      <c r="AW399" s="4">
        <f>_DATA_Assessment_Model!AT399</f>
        <v>0.9</v>
      </c>
      <c r="AX399" s="254"/>
      <c r="AY399">
        <f>_DATA_Assessment_Model!AV399</f>
        <v>0.9</v>
      </c>
    </row>
    <row r="400" spans="1:51" ht="82.85" customHeight="1">
      <c r="A400" t="s">
        <v>2986</v>
      </c>
      <c r="B400" t="s">
        <v>2986</v>
      </c>
      <c r="C400">
        <v>32</v>
      </c>
      <c r="D400" s="2" t="s">
        <v>3149</v>
      </c>
      <c r="E400" s="2" t="s">
        <v>3027</v>
      </c>
      <c r="F400" s="2" t="s">
        <v>3150</v>
      </c>
      <c r="G400" s="2" t="s">
        <v>2990</v>
      </c>
      <c r="H400" s="2" t="s">
        <v>2991</v>
      </c>
      <c r="I400" s="2" t="s">
        <v>3151</v>
      </c>
      <c r="J400" s="253">
        <v>3</v>
      </c>
      <c r="K400" s="49">
        <f>_DATA_Assessment_Model!H400</f>
        <v>0</v>
      </c>
      <c r="L400" s="3">
        <f>_DATA_Assessment_Model!I400</f>
        <v>0</v>
      </c>
      <c r="M400" s="3">
        <f>_DATA_Assessment_Model!J400</f>
        <v>3</v>
      </c>
      <c r="N400" s="3">
        <f>_DATA_Assessment_Model!K400</f>
        <v>3</v>
      </c>
      <c r="O400" s="2" t="str">
        <f>_DATA_Assessment_Model!L400</f>
        <v>Critical</v>
      </c>
      <c r="P400" s="2" t="s">
        <v>1202</v>
      </c>
      <c r="Q400" s="2" t="s">
        <v>1203</v>
      </c>
      <c r="R400" s="2" t="s">
        <v>1204</v>
      </c>
      <c r="S400" s="2" t="s">
        <v>1205</v>
      </c>
      <c r="T400" s="2" t="s">
        <v>1206</v>
      </c>
      <c r="U400" s="2" t="s">
        <v>1207</v>
      </c>
      <c r="V400" s="2" t="s">
        <v>2999</v>
      </c>
      <c r="W400" s="253"/>
      <c r="X400" s="253"/>
      <c r="Y400" s="253" t="s">
        <v>829</v>
      </c>
      <c r="Z400" s="6">
        <v>5</v>
      </c>
      <c r="AA400" s="6">
        <v>5</v>
      </c>
      <c r="AB400" s="6">
        <v>5</v>
      </c>
      <c r="AC400" s="254"/>
      <c r="AK400" s="255"/>
      <c r="AL400" s="255"/>
      <c r="AM400" s="14">
        <f>_DATA_Assessment_Model!AJ400</f>
        <v>0.9</v>
      </c>
      <c r="AN400" s="14">
        <f>_DATA_Assessment_Model!AK400</f>
        <v>0.9</v>
      </c>
      <c r="AO400" s="14">
        <f>_DATA_Assessment_Model!AL400</f>
        <v>0</v>
      </c>
      <c r="AP400" s="14">
        <f>_DATA_Assessment_Model!AM400</f>
        <v>0</v>
      </c>
      <c r="AQ400" s="14">
        <f>_DATA_Assessment_Model!AN400</f>
        <v>0</v>
      </c>
      <c r="AR400" s="14">
        <f>_DATA_Assessment_Model!AO400</f>
        <v>0</v>
      </c>
      <c r="AS400" s="14">
        <f>_DATA_Assessment_Model!AP400</f>
        <v>0</v>
      </c>
      <c r="AT400" s="14">
        <f>_DATA_Assessment_Model!AQ400</f>
        <v>0</v>
      </c>
      <c r="AU400" s="14" t="str">
        <f>_DATA_Assessment_Model!AR400</f>
        <v>Within target</v>
      </c>
      <c r="AV400" s="4">
        <f>_DATA_Assessment_Model!AS400</f>
        <v>0</v>
      </c>
      <c r="AW400" s="4">
        <f>_DATA_Assessment_Model!AT400</f>
        <v>0.9</v>
      </c>
      <c r="AX400" s="254"/>
      <c r="AY400">
        <f>_DATA_Assessment_Model!AV400</f>
        <v>0.9</v>
      </c>
    </row>
    <row r="401" spans="1:51" ht="96.65" customHeight="1">
      <c r="A401" t="s">
        <v>2986</v>
      </c>
      <c r="B401" t="s">
        <v>2986</v>
      </c>
      <c r="C401">
        <v>33</v>
      </c>
      <c r="D401" s="2" t="s">
        <v>3152</v>
      </c>
      <c r="E401" s="2" t="s">
        <v>3031</v>
      </c>
      <c r="F401" s="2" t="s">
        <v>3153</v>
      </c>
      <c r="G401" s="2" t="s">
        <v>2990</v>
      </c>
      <c r="H401" s="2" t="s">
        <v>2991</v>
      </c>
      <c r="I401" s="2" t="s">
        <v>3154</v>
      </c>
      <c r="J401" s="253">
        <v>4</v>
      </c>
      <c r="K401" s="49">
        <f>_DATA_Assessment_Model!H401</f>
        <v>0</v>
      </c>
      <c r="L401" s="3">
        <f>_DATA_Assessment_Model!I401</f>
        <v>0</v>
      </c>
      <c r="M401" s="3">
        <f>_DATA_Assessment_Model!J401</f>
        <v>4</v>
      </c>
      <c r="N401" s="3">
        <f>_DATA_Assessment_Model!K401</f>
        <v>4</v>
      </c>
      <c r="O401" s="2" t="str">
        <f>_DATA_Assessment_Model!L401</f>
        <v>Critical</v>
      </c>
      <c r="P401" s="2" t="s">
        <v>3155</v>
      </c>
      <c r="Q401" s="2" t="s">
        <v>3156</v>
      </c>
      <c r="R401" s="2" t="s">
        <v>3157</v>
      </c>
      <c r="S401" s="2" t="s">
        <v>3158</v>
      </c>
      <c r="T401" s="2" t="s">
        <v>3159</v>
      </c>
      <c r="U401" s="2" t="s">
        <v>3160</v>
      </c>
      <c r="V401" s="2" t="s">
        <v>2999</v>
      </c>
      <c r="W401" s="253"/>
      <c r="X401" s="253"/>
      <c r="Y401" s="253" t="s">
        <v>829</v>
      </c>
      <c r="Z401" s="6">
        <v>5</v>
      </c>
      <c r="AA401" s="6">
        <v>5</v>
      </c>
      <c r="AB401" s="6">
        <v>5</v>
      </c>
      <c r="AC401" s="254"/>
      <c r="AK401" s="255"/>
      <c r="AL401" s="255"/>
      <c r="AM401" s="14">
        <f>_DATA_Assessment_Model!AJ401</f>
        <v>0.9</v>
      </c>
      <c r="AN401" s="14">
        <f>_DATA_Assessment_Model!AK401</f>
        <v>0.9</v>
      </c>
      <c r="AO401" s="14">
        <f>_DATA_Assessment_Model!AL401</f>
        <v>0</v>
      </c>
      <c r="AP401" s="14">
        <f>_DATA_Assessment_Model!AM401</f>
        <v>0</v>
      </c>
      <c r="AQ401" s="14">
        <f>_DATA_Assessment_Model!AN401</f>
        <v>0</v>
      </c>
      <c r="AR401" s="14">
        <f>_DATA_Assessment_Model!AO401</f>
        <v>0</v>
      </c>
      <c r="AS401" s="14">
        <f>_DATA_Assessment_Model!AP401</f>
        <v>0</v>
      </c>
      <c r="AT401" s="14">
        <f>_DATA_Assessment_Model!AQ401</f>
        <v>0</v>
      </c>
      <c r="AU401" s="14" t="str">
        <f>_DATA_Assessment_Model!AR401</f>
        <v>Within target</v>
      </c>
      <c r="AV401" s="4">
        <f>_DATA_Assessment_Model!AS401</f>
        <v>0</v>
      </c>
      <c r="AW401" s="4">
        <f>_DATA_Assessment_Model!AT401</f>
        <v>0.9</v>
      </c>
      <c r="AX401" s="254"/>
      <c r="AY401">
        <f>_DATA_Assessment_Model!AV401</f>
        <v>0.9</v>
      </c>
    </row>
    <row r="402" spans="1:51" ht="96.65" customHeight="1">
      <c r="A402" t="s">
        <v>2986</v>
      </c>
      <c r="B402" t="s">
        <v>2986</v>
      </c>
      <c r="C402">
        <v>34</v>
      </c>
      <c r="D402" s="2" t="s">
        <v>3161</v>
      </c>
      <c r="E402" s="2" t="s">
        <v>3031</v>
      </c>
      <c r="F402" s="2" t="s">
        <v>3162</v>
      </c>
      <c r="G402" s="2" t="s">
        <v>2990</v>
      </c>
      <c r="H402" s="2" t="s">
        <v>2991</v>
      </c>
      <c r="I402" s="2" t="s">
        <v>3163</v>
      </c>
      <c r="J402" s="253">
        <v>4</v>
      </c>
      <c r="K402" s="49">
        <f>_DATA_Assessment_Model!H402</f>
        <v>0</v>
      </c>
      <c r="L402" s="3">
        <f>_DATA_Assessment_Model!I402</f>
        <v>0</v>
      </c>
      <c r="M402" s="3">
        <f>_DATA_Assessment_Model!J402</f>
        <v>4</v>
      </c>
      <c r="N402" s="3">
        <f>_DATA_Assessment_Model!K402</f>
        <v>4</v>
      </c>
      <c r="O402" s="2" t="str">
        <f>_DATA_Assessment_Model!L402</f>
        <v>Critical</v>
      </c>
      <c r="P402" s="2" t="s">
        <v>3164</v>
      </c>
      <c r="Q402" s="2" t="s">
        <v>3165</v>
      </c>
      <c r="R402" s="2" t="s">
        <v>3166</v>
      </c>
      <c r="S402" s="2" t="s">
        <v>3167</v>
      </c>
      <c r="T402" s="2" t="s">
        <v>3168</v>
      </c>
      <c r="U402" s="2" t="s">
        <v>3169</v>
      </c>
      <c r="V402" s="2" t="s">
        <v>2999</v>
      </c>
      <c r="W402" s="253"/>
      <c r="X402" s="253"/>
      <c r="Y402" s="253" t="s">
        <v>829</v>
      </c>
      <c r="Z402" s="6">
        <v>5</v>
      </c>
      <c r="AA402" s="6">
        <v>5</v>
      </c>
      <c r="AB402" s="6">
        <v>5</v>
      </c>
      <c r="AC402" s="254"/>
      <c r="AK402" s="255"/>
      <c r="AL402" s="255"/>
      <c r="AM402" s="14">
        <f>_DATA_Assessment_Model!AJ402</f>
        <v>0.9</v>
      </c>
      <c r="AN402" s="14">
        <f>_DATA_Assessment_Model!AK402</f>
        <v>0.9</v>
      </c>
      <c r="AO402" s="14">
        <f>_DATA_Assessment_Model!AL402</f>
        <v>0</v>
      </c>
      <c r="AP402" s="14">
        <f>_DATA_Assessment_Model!AM402</f>
        <v>0</v>
      </c>
      <c r="AQ402" s="14">
        <f>_DATA_Assessment_Model!AN402</f>
        <v>0</v>
      </c>
      <c r="AR402" s="14">
        <f>_DATA_Assessment_Model!AO402</f>
        <v>0</v>
      </c>
      <c r="AS402" s="14">
        <f>_DATA_Assessment_Model!AP402</f>
        <v>0</v>
      </c>
      <c r="AT402" s="14">
        <f>_DATA_Assessment_Model!AQ402</f>
        <v>0</v>
      </c>
      <c r="AU402" s="14" t="str">
        <f>_DATA_Assessment_Model!AR402</f>
        <v>Within target</v>
      </c>
      <c r="AV402" s="4">
        <f>_DATA_Assessment_Model!AS402</f>
        <v>0</v>
      </c>
      <c r="AW402" s="4">
        <f>_DATA_Assessment_Model!AT402</f>
        <v>0.9</v>
      </c>
      <c r="AX402" s="254"/>
      <c r="AY402">
        <f>_DATA_Assessment_Model!AV402</f>
        <v>0.9</v>
      </c>
    </row>
    <row r="403" spans="1:51" ht="96.65" customHeight="1">
      <c r="A403" t="s">
        <v>2986</v>
      </c>
      <c r="B403" t="s">
        <v>2986</v>
      </c>
      <c r="C403">
        <v>35</v>
      </c>
      <c r="D403" s="2" t="s">
        <v>3170</v>
      </c>
      <c r="E403" s="2" t="s">
        <v>2988</v>
      </c>
      <c r="F403" s="2" t="s">
        <v>3171</v>
      </c>
      <c r="G403" s="2" t="s">
        <v>3172</v>
      </c>
      <c r="H403" s="2" t="s">
        <v>3173</v>
      </c>
      <c r="I403" s="2" t="s">
        <v>2992</v>
      </c>
      <c r="J403" s="253">
        <v>4</v>
      </c>
      <c r="K403" s="49">
        <f>_DATA_Assessment_Model!H403</f>
        <v>0</v>
      </c>
      <c r="L403" s="3">
        <f>_DATA_Assessment_Model!I403</f>
        <v>0</v>
      </c>
      <c r="M403" s="3">
        <f>_DATA_Assessment_Model!J403</f>
        <v>4</v>
      </c>
      <c r="N403" s="3">
        <f>_DATA_Assessment_Model!K403</f>
        <v>4</v>
      </c>
      <c r="O403" s="2" t="str">
        <f>_DATA_Assessment_Model!L403</f>
        <v>Critical</v>
      </c>
      <c r="P403" s="2" t="s">
        <v>1202</v>
      </c>
      <c r="Q403" s="2" t="s">
        <v>1203</v>
      </c>
      <c r="R403" s="2" t="s">
        <v>1204</v>
      </c>
      <c r="S403" s="2" t="s">
        <v>1205</v>
      </c>
      <c r="T403" s="2" t="s">
        <v>1206</v>
      </c>
      <c r="U403" s="2" t="s">
        <v>1207</v>
      </c>
      <c r="V403" s="2" t="s">
        <v>3174</v>
      </c>
      <c r="W403" s="253"/>
      <c r="X403" s="253"/>
      <c r="Y403" s="253" t="s">
        <v>829</v>
      </c>
      <c r="Z403" s="6">
        <v>3</v>
      </c>
      <c r="AA403" s="6">
        <v>5</v>
      </c>
      <c r="AB403" s="6">
        <v>4</v>
      </c>
      <c r="AC403" s="254"/>
      <c r="AK403" s="255"/>
      <c r="AL403" s="255"/>
      <c r="AM403" s="14">
        <f>_DATA_Assessment_Model!AJ403</f>
        <v>0.9</v>
      </c>
      <c r="AN403" s="14">
        <f>_DATA_Assessment_Model!AK403</f>
        <v>0.9</v>
      </c>
      <c r="AO403" s="14">
        <f>_DATA_Assessment_Model!AL403</f>
        <v>0</v>
      </c>
      <c r="AP403" s="14">
        <f>_DATA_Assessment_Model!AM403</f>
        <v>0</v>
      </c>
      <c r="AQ403" s="14">
        <f>_DATA_Assessment_Model!AN403</f>
        <v>0</v>
      </c>
      <c r="AR403" s="14">
        <f>_DATA_Assessment_Model!AO403</f>
        <v>0</v>
      </c>
      <c r="AS403" s="14">
        <f>_DATA_Assessment_Model!AP403</f>
        <v>0</v>
      </c>
      <c r="AT403" s="14">
        <f>_DATA_Assessment_Model!AQ403</f>
        <v>0</v>
      </c>
      <c r="AU403" s="14" t="str">
        <f>_DATA_Assessment_Model!AR403</f>
        <v>Within target</v>
      </c>
      <c r="AV403" s="4">
        <f>_DATA_Assessment_Model!AS403</f>
        <v>0</v>
      </c>
      <c r="AW403" s="4">
        <f>_DATA_Assessment_Model!AT403</f>
        <v>0.9</v>
      </c>
      <c r="AX403" s="254"/>
      <c r="AY403">
        <f>_DATA_Assessment_Model!AV403</f>
        <v>0.9</v>
      </c>
    </row>
    <row r="404" spans="1:51" ht="110.4" customHeight="1">
      <c r="A404" t="s">
        <v>2986</v>
      </c>
      <c r="B404" t="s">
        <v>2986</v>
      </c>
      <c r="C404">
        <v>36</v>
      </c>
      <c r="D404" s="2" t="s">
        <v>3175</v>
      </c>
      <c r="E404" s="2" t="s">
        <v>2988</v>
      </c>
      <c r="F404" s="2" t="s">
        <v>3176</v>
      </c>
      <c r="G404" s="2" t="s">
        <v>1365</v>
      </c>
      <c r="H404" s="2" t="s">
        <v>3177</v>
      </c>
      <c r="I404" s="2" t="s">
        <v>2992</v>
      </c>
      <c r="J404" s="253">
        <v>4</v>
      </c>
      <c r="K404" s="49">
        <f>_DATA_Assessment_Model!H404</f>
        <v>0</v>
      </c>
      <c r="L404" s="3">
        <f>_DATA_Assessment_Model!I404</f>
        <v>0</v>
      </c>
      <c r="M404" s="3">
        <f>_DATA_Assessment_Model!J404</f>
        <v>4</v>
      </c>
      <c r="N404" s="3">
        <f>_DATA_Assessment_Model!K404</f>
        <v>4</v>
      </c>
      <c r="O404" s="2" t="str">
        <f>_DATA_Assessment_Model!L404</f>
        <v>Critical</v>
      </c>
      <c r="P404" s="2" t="s">
        <v>3178</v>
      </c>
      <c r="Q404" s="2" t="s">
        <v>3179</v>
      </c>
      <c r="R404" s="2" t="s">
        <v>3180</v>
      </c>
      <c r="S404" s="2" t="s">
        <v>3181</v>
      </c>
      <c r="T404" s="2" t="s">
        <v>3182</v>
      </c>
      <c r="U404" s="2" t="s">
        <v>3183</v>
      </c>
      <c r="V404" s="2" t="s">
        <v>1373</v>
      </c>
      <c r="W404" s="253"/>
      <c r="X404" s="253"/>
      <c r="Y404" s="253" t="s">
        <v>829</v>
      </c>
      <c r="Z404" s="6">
        <v>4</v>
      </c>
      <c r="AA404" s="6">
        <v>4</v>
      </c>
      <c r="AB404" s="6">
        <v>4</v>
      </c>
      <c r="AC404" s="254"/>
      <c r="AK404" s="255"/>
      <c r="AL404" s="255"/>
      <c r="AM404" s="14">
        <f>_DATA_Assessment_Model!AJ404</f>
        <v>0.9</v>
      </c>
      <c r="AN404" s="14">
        <f>_DATA_Assessment_Model!AK404</f>
        <v>0.9</v>
      </c>
      <c r="AO404" s="14">
        <f>_DATA_Assessment_Model!AL404</f>
        <v>0</v>
      </c>
      <c r="AP404" s="14">
        <f>_DATA_Assessment_Model!AM404</f>
        <v>0</v>
      </c>
      <c r="AQ404" s="14">
        <f>_DATA_Assessment_Model!AN404</f>
        <v>0</v>
      </c>
      <c r="AR404" s="14">
        <f>_DATA_Assessment_Model!AO404</f>
        <v>0</v>
      </c>
      <c r="AS404" s="14">
        <f>_DATA_Assessment_Model!AP404</f>
        <v>0</v>
      </c>
      <c r="AT404" s="14">
        <f>_DATA_Assessment_Model!AQ404</f>
        <v>0</v>
      </c>
      <c r="AU404" s="14" t="str">
        <f>_DATA_Assessment_Model!AR404</f>
        <v>Within target</v>
      </c>
      <c r="AV404" s="4">
        <f>_DATA_Assessment_Model!AS404</f>
        <v>0</v>
      </c>
      <c r="AW404" s="4">
        <f>_DATA_Assessment_Model!AT404</f>
        <v>0.9</v>
      </c>
      <c r="AX404" s="254"/>
      <c r="AY404">
        <f>_DATA_Assessment_Model!AV404</f>
        <v>0.9</v>
      </c>
    </row>
    <row r="405" spans="1:51" ht="110.4" customHeight="1">
      <c r="A405" t="s">
        <v>2986</v>
      </c>
      <c r="B405" t="s">
        <v>2986</v>
      </c>
      <c r="C405">
        <v>37</v>
      </c>
      <c r="D405" s="2" t="s">
        <v>3184</v>
      </c>
      <c r="E405" s="2" t="s">
        <v>3023</v>
      </c>
      <c r="F405" s="2" t="s">
        <v>3185</v>
      </c>
      <c r="G405" s="2" t="s">
        <v>3186</v>
      </c>
      <c r="H405" s="2" t="s">
        <v>3187</v>
      </c>
      <c r="I405" s="2" t="s">
        <v>2992</v>
      </c>
      <c r="J405" s="253">
        <v>3</v>
      </c>
      <c r="K405" s="49">
        <f>_DATA_Assessment_Model!H405</f>
        <v>0</v>
      </c>
      <c r="L405" s="3">
        <f>_DATA_Assessment_Model!I405</f>
        <v>0</v>
      </c>
      <c r="M405" s="3">
        <f>_DATA_Assessment_Model!J405</f>
        <v>3</v>
      </c>
      <c r="N405" s="3">
        <f>_DATA_Assessment_Model!K405</f>
        <v>3</v>
      </c>
      <c r="O405" s="2" t="str">
        <f>_DATA_Assessment_Model!L405</f>
        <v>Critical</v>
      </c>
      <c r="P405" s="2" t="s">
        <v>3188</v>
      </c>
      <c r="Q405" s="2" t="s">
        <v>3189</v>
      </c>
      <c r="R405" s="2" t="s">
        <v>3190</v>
      </c>
      <c r="S405" s="2" t="s">
        <v>3191</v>
      </c>
      <c r="T405" s="2" t="s">
        <v>3192</v>
      </c>
      <c r="U405" s="2" t="s">
        <v>3193</v>
      </c>
      <c r="V405" s="2" t="s">
        <v>3194</v>
      </c>
      <c r="W405" s="253"/>
      <c r="X405" s="253"/>
      <c r="Y405" s="253" t="s">
        <v>829</v>
      </c>
      <c r="Z405" s="6">
        <v>4</v>
      </c>
      <c r="AA405" s="6">
        <v>4</v>
      </c>
      <c r="AB405" s="6">
        <v>3</v>
      </c>
      <c r="AC405" s="254"/>
      <c r="AK405" s="255"/>
      <c r="AL405" s="255"/>
      <c r="AM405" s="14">
        <f>_DATA_Assessment_Model!AJ405</f>
        <v>0.9</v>
      </c>
      <c r="AN405" s="14">
        <f>_DATA_Assessment_Model!AK405</f>
        <v>0.9</v>
      </c>
      <c r="AO405" s="14">
        <f>_DATA_Assessment_Model!AL405</f>
        <v>0</v>
      </c>
      <c r="AP405" s="14">
        <f>_DATA_Assessment_Model!AM405</f>
        <v>0</v>
      </c>
      <c r="AQ405" s="14">
        <f>_DATA_Assessment_Model!AN405</f>
        <v>0</v>
      </c>
      <c r="AR405" s="14">
        <f>_DATA_Assessment_Model!AO405</f>
        <v>0</v>
      </c>
      <c r="AS405" s="14">
        <f>_DATA_Assessment_Model!AP405</f>
        <v>0</v>
      </c>
      <c r="AT405" s="14">
        <f>_DATA_Assessment_Model!AQ405</f>
        <v>0</v>
      </c>
      <c r="AU405" s="14" t="str">
        <f>_DATA_Assessment_Model!AR405</f>
        <v>Within target</v>
      </c>
      <c r="AV405" s="4">
        <f>_DATA_Assessment_Model!AS405</f>
        <v>0</v>
      </c>
      <c r="AW405" s="4">
        <f>_DATA_Assessment_Model!AT405</f>
        <v>0.9</v>
      </c>
      <c r="AX405" s="254"/>
      <c r="AY405">
        <f>_DATA_Assessment_Model!AV405</f>
        <v>0.9</v>
      </c>
    </row>
    <row r="406" spans="1:51" ht="110.4" customHeight="1">
      <c r="A406" t="s">
        <v>2986</v>
      </c>
      <c r="B406" t="s">
        <v>2986</v>
      </c>
      <c r="C406">
        <v>38</v>
      </c>
      <c r="D406" s="2" t="s">
        <v>3195</v>
      </c>
      <c r="E406" s="2" t="s">
        <v>3023</v>
      </c>
      <c r="F406" s="2" t="s">
        <v>3196</v>
      </c>
      <c r="G406" s="2" t="s">
        <v>1365</v>
      </c>
      <c r="H406" s="2" t="s">
        <v>3197</v>
      </c>
      <c r="I406" s="2" t="s">
        <v>2992</v>
      </c>
      <c r="J406" s="253">
        <v>3</v>
      </c>
      <c r="K406" s="49">
        <f>_DATA_Assessment_Model!H406</f>
        <v>0</v>
      </c>
      <c r="L406" s="3">
        <f>_DATA_Assessment_Model!I406</f>
        <v>0</v>
      </c>
      <c r="M406" s="3">
        <f>_DATA_Assessment_Model!J406</f>
        <v>3</v>
      </c>
      <c r="N406" s="3">
        <f>_DATA_Assessment_Model!K406</f>
        <v>3</v>
      </c>
      <c r="O406" s="2" t="str">
        <f>_DATA_Assessment_Model!L406</f>
        <v>Critical</v>
      </c>
      <c r="P406" s="2" t="s">
        <v>3198</v>
      </c>
      <c r="Q406" s="2" t="s">
        <v>3199</v>
      </c>
      <c r="R406" s="2" t="s">
        <v>3200</v>
      </c>
      <c r="S406" s="2" t="s">
        <v>3201</v>
      </c>
      <c r="T406" s="2" t="s">
        <v>3202</v>
      </c>
      <c r="U406" s="2" t="s">
        <v>3203</v>
      </c>
      <c r="V406" s="2" t="s">
        <v>1373</v>
      </c>
      <c r="W406" s="253"/>
      <c r="X406" s="253"/>
      <c r="Y406" s="253" t="s">
        <v>829</v>
      </c>
      <c r="Z406" s="6">
        <v>3</v>
      </c>
      <c r="AA406" s="6">
        <v>4</v>
      </c>
      <c r="AB406" s="6">
        <v>4</v>
      </c>
      <c r="AC406" s="254"/>
      <c r="AK406" s="255"/>
      <c r="AL406" s="255"/>
      <c r="AM406" s="14">
        <f>_DATA_Assessment_Model!AJ406</f>
        <v>0.9</v>
      </c>
      <c r="AN406" s="14">
        <f>_DATA_Assessment_Model!AK406</f>
        <v>0.9</v>
      </c>
      <c r="AO406" s="14">
        <f>_DATA_Assessment_Model!AL406</f>
        <v>0</v>
      </c>
      <c r="AP406" s="14">
        <f>_DATA_Assessment_Model!AM406</f>
        <v>0</v>
      </c>
      <c r="AQ406" s="14">
        <f>_DATA_Assessment_Model!AN406</f>
        <v>0</v>
      </c>
      <c r="AR406" s="14">
        <f>_DATA_Assessment_Model!AO406</f>
        <v>0</v>
      </c>
      <c r="AS406" s="14">
        <f>_DATA_Assessment_Model!AP406</f>
        <v>0</v>
      </c>
      <c r="AT406" s="14">
        <f>_DATA_Assessment_Model!AQ406</f>
        <v>0</v>
      </c>
      <c r="AU406" s="14" t="str">
        <f>_DATA_Assessment_Model!AR406</f>
        <v>Within target</v>
      </c>
      <c r="AV406" s="4">
        <f>_DATA_Assessment_Model!AS406</f>
        <v>0</v>
      </c>
      <c r="AW406" s="4">
        <f>_DATA_Assessment_Model!AT406</f>
        <v>0.9</v>
      </c>
      <c r="AX406" s="254"/>
      <c r="AY406">
        <f>_DATA_Assessment_Model!AV406</f>
        <v>0.9</v>
      </c>
    </row>
    <row r="407" spans="1:51" ht="96.65" customHeight="1">
      <c r="A407" t="s">
        <v>3204</v>
      </c>
      <c r="B407" t="s">
        <v>3204</v>
      </c>
      <c r="C407">
        <v>5</v>
      </c>
      <c r="D407" s="2" t="s">
        <v>3205</v>
      </c>
      <c r="E407" s="2" t="s">
        <v>3206</v>
      </c>
      <c r="F407" s="2" t="s">
        <v>3207</v>
      </c>
      <c r="G407" s="2" t="s">
        <v>3208</v>
      </c>
      <c r="H407" s="2" t="s">
        <v>3209</v>
      </c>
      <c r="I407" s="2" t="s">
        <v>3210</v>
      </c>
      <c r="J407" s="253">
        <v>3</v>
      </c>
      <c r="K407" s="49">
        <f>_DATA_Assessment_Model!H407</f>
        <v>0</v>
      </c>
      <c r="L407" s="3">
        <f>_DATA_Assessment_Model!I407</f>
        <v>0</v>
      </c>
      <c r="M407" s="3">
        <f>_DATA_Assessment_Model!J407</f>
        <v>3</v>
      </c>
      <c r="N407" s="3">
        <f>_DATA_Assessment_Model!K407</f>
        <v>3</v>
      </c>
      <c r="O407" s="2" t="str">
        <f>_DATA_Assessment_Model!L407</f>
        <v>Critical</v>
      </c>
      <c r="P407" s="2" t="s">
        <v>3211</v>
      </c>
      <c r="Q407" s="2" t="s">
        <v>3212</v>
      </c>
      <c r="R407" s="2" t="s">
        <v>3213</v>
      </c>
      <c r="S407" s="2" t="s">
        <v>3214</v>
      </c>
      <c r="T407" s="2" t="s">
        <v>3215</v>
      </c>
      <c r="U407" s="2" t="s">
        <v>3216</v>
      </c>
      <c r="V407" s="2" t="s">
        <v>3217</v>
      </c>
      <c r="W407" s="253"/>
      <c r="X407" s="253"/>
      <c r="Y407" s="253" t="s">
        <v>829</v>
      </c>
      <c r="Z407" s="6">
        <v>4</v>
      </c>
      <c r="AA407" s="6">
        <v>5</v>
      </c>
      <c r="AB407" s="6">
        <v>5</v>
      </c>
      <c r="AC407" s="254"/>
      <c r="AD407" t="s">
        <v>3206</v>
      </c>
      <c r="AE407" s="5">
        <f>_DATA_Assessment_Model!AB407</f>
        <v>4</v>
      </c>
      <c r="AF407" s="7">
        <f>_DATA_Assessment_Model!AC407</f>
        <v>0</v>
      </c>
      <c r="AG407" s="8">
        <f>_DATA_Assessment_Model!AD407</f>
        <v>0</v>
      </c>
      <c r="AH407" s="5">
        <f>_DATA_Assessment_Model!AE407</f>
        <v>4</v>
      </c>
      <c r="AI407" s="7">
        <f>_DATA_Assessment_Model!AF407</f>
        <v>5</v>
      </c>
      <c r="AJ407" s="5">
        <f>_DATA_Assessment_Model!AG407</f>
        <v>4</v>
      </c>
      <c r="AK407" s="255"/>
      <c r="AL407" s="255"/>
      <c r="AM407" s="14">
        <f>_DATA_Assessment_Model!AJ407</f>
        <v>0.9</v>
      </c>
      <c r="AN407" s="14">
        <f>_DATA_Assessment_Model!AK407</f>
        <v>0.9</v>
      </c>
      <c r="AO407" s="14">
        <f>_DATA_Assessment_Model!AL407</f>
        <v>0</v>
      </c>
      <c r="AP407" s="14">
        <f>_DATA_Assessment_Model!AM407</f>
        <v>0</v>
      </c>
      <c r="AQ407" s="14">
        <f>_DATA_Assessment_Model!AN407</f>
        <v>0</v>
      </c>
      <c r="AR407" s="14">
        <f>_DATA_Assessment_Model!AO407</f>
        <v>0</v>
      </c>
      <c r="AS407" s="14">
        <f>_DATA_Assessment_Model!AP407</f>
        <v>0</v>
      </c>
      <c r="AT407" s="14">
        <f>_DATA_Assessment_Model!AQ407</f>
        <v>0</v>
      </c>
      <c r="AU407" s="14" t="str">
        <f>_DATA_Assessment_Model!AR407</f>
        <v>Within target</v>
      </c>
      <c r="AV407" s="4">
        <f>_DATA_Assessment_Model!AS407</f>
        <v>0</v>
      </c>
      <c r="AW407" s="4">
        <f>_DATA_Assessment_Model!AT407</f>
        <v>0.9</v>
      </c>
      <c r="AX407" s="254"/>
      <c r="AY407">
        <f>_DATA_Assessment_Model!AV407</f>
        <v>0.9</v>
      </c>
    </row>
    <row r="408" spans="1:51" ht="82.85" customHeight="1">
      <c r="A408" t="s">
        <v>3204</v>
      </c>
      <c r="B408" t="s">
        <v>3204</v>
      </c>
      <c r="C408">
        <v>6</v>
      </c>
      <c r="D408" s="2" t="s">
        <v>3218</v>
      </c>
      <c r="E408" s="2" t="s">
        <v>3206</v>
      </c>
      <c r="F408" s="2" t="s">
        <v>3219</v>
      </c>
      <c r="G408" s="2" t="s">
        <v>3208</v>
      </c>
      <c r="H408" s="2" t="s">
        <v>3209</v>
      </c>
      <c r="I408" s="2" t="s">
        <v>3220</v>
      </c>
      <c r="J408" s="253">
        <v>5</v>
      </c>
      <c r="K408" s="49">
        <f>_DATA_Assessment_Model!H408</f>
        <v>0</v>
      </c>
      <c r="L408" s="3">
        <f>_DATA_Assessment_Model!I408</f>
        <v>0</v>
      </c>
      <c r="M408" s="3">
        <f>_DATA_Assessment_Model!J408</f>
        <v>5</v>
      </c>
      <c r="N408" s="3">
        <f>_DATA_Assessment_Model!K408</f>
        <v>5</v>
      </c>
      <c r="O408" s="2" t="str">
        <f>_DATA_Assessment_Model!L408</f>
        <v>Critical</v>
      </c>
      <c r="P408" s="2" t="s">
        <v>1069</v>
      </c>
      <c r="Q408" s="2" t="s">
        <v>1070</v>
      </c>
      <c r="R408" s="2" t="s">
        <v>1071</v>
      </c>
      <c r="S408" s="2" t="s">
        <v>1072</v>
      </c>
      <c r="T408" s="2" t="s">
        <v>1073</v>
      </c>
      <c r="U408" s="2" t="s">
        <v>1074</v>
      </c>
      <c r="V408" s="2" t="s">
        <v>3217</v>
      </c>
      <c r="W408" s="253"/>
      <c r="X408" s="253"/>
      <c r="Y408" s="253" t="s">
        <v>829</v>
      </c>
      <c r="Z408" s="6">
        <v>4</v>
      </c>
      <c r="AA408" s="6">
        <v>5</v>
      </c>
      <c r="AB408" s="6">
        <v>5</v>
      </c>
      <c r="AC408" s="254"/>
      <c r="AD408" t="s">
        <v>3221</v>
      </c>
      <c r="AE408" s="5">
        <f>_DATA_Assessment_Model!AB408</f>
        <v>5</v>
      </c>
      <c r="AF408" s="7">
        <f>_DATA_Assessment_Model!AC408</f>
        <v>0</v>
      </c>
      <c r="AG408" s="8">
        <f>_DATA_Assessment_Model!AD408</f>
        <v>0</v>
      </c>
      <c r="AH408" s="5">
        <f>_DATA_Assessment_Model!AE408</f>
        <v>5</v>
      </c>
      <c r="AI408" s="7">
        <f>_DATA_Assessment_Model!AF408</f>
        <v>5</v>
      </c>
      <c r="AJ408" s="5">
        <f>_DATA_Assessment_Model!AG408</f>
        <v>5</v>
      </c>
      <c r="AK408" s="255"/>
      <c r="AL408" s="255"/>
      <c r="AM408" s="14">
        <f>_DATA_Assessment_Model!AJ408</f>
        <v>0.9</v>
      </c>
      <c r="AN408" s="14">
        <f>_DATA_Assessment_Model!AK408</f>
        <v>0.9</v>
      </c>
      <c r="AO408" s="14">
        <f>_DATA_Assessment_Model!AL408</f>
        <v>0</v>
      </c>
      <c r="AP408" s="14">
        <f>_DATA_Assessment_Model!AM408</f>
        <v>0</v>
      </c>
      <c r="AQ408" s="14">
        <f>_DATA_Assessment_Model!AN408</f>
        <v>0</v>
      </c>
      <c r="AR408" s="14">
        <f>_DATA_Assessment_Model!AO408</f>
        <v>0</v>
      </c>
      <c r="AS408" s="14">
        <f>_DATA_Assessment_Model!AP408</f>
        <v>0</v>
      </c>
      <c r="AT408" s="14">
        <f>_DATA_Assessment_Model!AQ408</f>
        <v>0</v>
      </c>
      <c r="AU408" s="14" t="str">
        <f>_DATA_Assessment_Model!AR408</f>
        <v>Within target</v>
      </c>
      <c r="AV408" s="4">
        <f>_DATA_Assessment_Model!AS408</f>
        <v>0</v>
      </c>
      <c r="AW408" s="4">
        <f>_DATA_Assessment_Model!AT408</f>
        <v>0.9</v>
      </c>
      <c r="AX408" s="254"/>
      <c r="AY408">
        <f>_DATA_Assessment_Model!AV408</f>
        <v>0.9</v>
      </c>
    </row>
    <row r="409" spans="1:51" ht="69" customHeight="1">
      <c r="A409" t="s">
        <v>3204</v>
      </c>
      <c r="B409" t="s">
        <v>3204</v>
      </c>
      <c r="C409">
        <v>7</v>
      </c>
      <c r="D409" s="2" t="s">
        <v>3222</v>
      </c>
      <c r="E409" s="2" t="s">
        <v>3206</v>
      </c>
      <c r="F409" s="2" t="s">
        <v>3223</v>
      </c>
      <c r="G409" s="2" t="s">
        <v>3208</v>
      </c>
      <c r="H409" s="2" t="s">
        <v>3209</v>
      </c>
      <c r="I409" s="2" t="s">
        <v>3224</v>
      </c>
      <c r="J409" s="253">
        <v>3</v>
      </c>
      <c r="K409" s="49">
        <f>_DATA_Assessment_Model!H409</f>
        <v>0</v>
      </c>
      <c r="L409" s="3">
        <f>_DATA_Assessment_Model!I409</f>
        <v>0</v>
      </c>
      <c r="M409" s="3">
        <f>_DATA_Assessment_Model!J409</f>
        <v>3</v>
      </c>
      <c r="N409" s="3">
        <f>_DATA_Assessment_Model!K409</f>
        <v>3</v>
      </c>
      <c r="O409" s="2" t="str">
        <f>_DATA_Assessment_Model!L409</f>
        <v>Critical</v>
      </c>
      <c r="P409" s="2" t="s">
        <v>1202</v>
      </c>
      <c r="Q409" s="2" t="s">
        <v>1203</v>
      </c>
      <c r="R409" s="2" t="s">
        <v>1204</v>
      </c>
      <c r="S409" s="2" t="s">
        <v>1205</v>
      </c>
      <c r="T409" s="2" t="s">
        <v>1206</v>
      </c>
      <c r="U409" s="2" t="s">
        <v>1207</v>
      </c>
      <c r="V409" s="2" t="s">
        <v>3217</v>
      </c>
      <c r="W409" s="253"/>
      <c r="X409" s="253"/>
      <c r="Y409" s="253" t="s">
        <v>829</v>
      </c>
      <c r="Z409" s="6">
        <v>4</v>
      </c>
      <c r="AA409" s="6">
        <v>5</v>
      </c>
      <c r="AB409" s="6">
        <v>5</v>
      </c>
      <c r="AC409" s="254"/>
      <c r="AD409" t="s">
        <v>3225</v>
      </c>
      <c r="AE409" s="5">
        <f>_DATA_Assessment_Model!AB409</f>
        <v>9</v>
      </c>
      <c r="AF409" s="7">
        <f>_DATA_Assessment_Model!AC409</f>
        <v>0</v>
      </c>
      <c r="AG409" s="8">
        <f>_DATA_Assessment_Model!AD409</f>
        <v>0</v>
      </c>
      <c r="AH409" s="5">
        <f>_DATA_Assessment_Model!AE409</f>
        <v>9</v>
      </c>
      <c r="AI409" s="7">
        <f>_DATA_Assessment_Model!AF409</f>
        <v>5</v>
      </c>
      <c r="AJ409" s="5">
        <f>_DATA_Assessment_Model!AG409</f>
        <v>9</v>
      </c>
      <c r="AK409" s="255"/>
      <c r="AL409" s="255"/>
      <c r="AM409" s="14">
        <f>_DATA_Assessment_Model!AJ409</f>
        <v>0.9</v>
      </c>
      <c r="AN409" s="14">
        <f>_DATA_Assessment_Model!AK409</f>
        <v>0.9</v>
      </c>
      <c r="AO409" s="14">
        <f>_DATA_Assessment_Model!AL409</f>
        <v>0</v>
      </c>
      <c r="AP409" s="14">
        <f>_DATA_Assessment_Model!AM409</f>
        <v>0</v>
      </c>
      <c r="AQ409" s="14">
        <f>_DATA_Assessment_Model!AN409</f>
        <v>0</v>
      </c>
      <c r="AR409" s="14">
        <f>_DATA_Assessment_Model!AO409</f>
        <v>0</v>
      </c>
      <c r="AS409" s="14">
        <f>_DATA_Assessment_Model!AP409</f>
        <v>0</v>
      </c>
      <c r="AT409" s="14">
        <f>_DATA_Assessment_Model!AQ409</f>
        <v>0</v>
      </c>
      <c r="AU409" s="14" t="str">
        <f>_DATA_Assessment_Model!AR409</f>
        <v>Within target</v>
      </c>
      <c r="AV409" s="4">
        <f>_DATA_Assessment_Model!AS409</f>
        <v>0</v>
      </c>
      <c r="AW409" s="4">
        <f>_DATA_Assessment_Model!AT409</f>
        <v>0.9</v>
      </c>
      <c r="AX409" s="254"/>
      <c r="AY409">
        <f>_DATA_Assessment_Model!AV409</f>
        <v>0.9</v>
      </c>
    </row>
    <row r="410" spans="1:51" ht="96.65" customHeight="1">
      <c r="A410" t="s">
        <v>3204</v>
      </c>
      <c r="B410" t="s">
        <v>3204</v>
      </c>
      <c r="C410">
        <v>8</v>
      </c>
      <c r="D410" s="2" t="s">
        <v>3226</v>
      </c>
      <c r="E410" s="2" t="s">
        <v>3206</v>
      </c>
      <c r="F410" s="2" t="s">
        <v>3227</v>
      </c>
      <c r="G410" s="2" t="s">
        <v>3208</v>
      </c>
      <c r="H410" s="2" t="s">
        <v>3209</v>
      </c>
      <c r="I410" s="2" t="s">
        <v>3228</v>
      </c>
      <c r="J410" s="253">
        <v>3</v>
      </c>
      <c r="K410" s="49">
        <f>_DATA_Assessment_Model!H410</f>
        <v>0</v>
      </c>
      <c r="L410" s="3">
        <f>_DATA_Assessment_Model!I410</f>
        <v>0</v>
      </c>
      <c r="M410" s="3">
        <f>_DATA_Assessment_Model!J410</f>
        <v>3</v>
      </c>
      <c r="N410" s="3">
        <f>_DATA_Assessment_Model!K410</f>
        <v>3</v>
      </c>
      <c r="O410" s="2" t="str">
        <f>_DATA_Assessment_Model!L410</f>
        <v>Critical</v>
      </c>
      <c r="P410" s="2" t="s">
        <v>3229</v>
      </c>
      <c r="Q410" s="2" t="s">
        <v>3230</v>
      </c>
      <c r="R410" s="2" t="s">
        <v>3231</v>
      </c>
      <c r="S410" s="2" t="s">
        <v>3232</v>
      </c>
      <c r="T410" s="2" t="s">
        <v>3233</v>
      </c>
      <c r="U410" s="2" t="s">
        <v>3234</v>
      </c>
      <c r="V410" s="2" t="s">
        <v>3217</v>
      </c>
      <c r="W410" s="253"/>
      <c r="X410" s="253"/>
      <c r="Y410" s="253" t="s">
        <v>829</v>
      </c>
      <c r="Z410" s="6">
        <v>4</v>
      </c>
      <c r="AA410" s="6">
        <v>5</v>
      </c>
      <c r="AB410" s="6">
        <v>5</v>
      </c>
      <c r="AC410" s="254"/>
      <c r="AD410" t="s">
        <v>3235</v>
      </c>
      <c r="AE410" s="5">
        <f>_DATA_Assessment_Model!AB410</f>
        <v>4</v>
      </c>
      <c r="AF410" s="7">
        <f>_DATA_Assessment_Model!AC410</f>
        <v>0</v>
      </c>
      <c r="AG410" s="8">
        <f>_DATA_Assessment_Model!AD410</f>
        <v>0</v>
      </c>
      <c r="AH410" s="5">
        <f>_DATA_Assessment_Model!AE410</f>
        <v>4</v>
      </c>
      <c r="AI410" s="7">
        <f>_DATA_Assessment_Model!AF410</f>
        <v>5</v>
      </c>
      <c r="AJ410" s="5">
        <f>_DATA_Assessment_Model!AG410</f>
        <v>4</v>
      </c>
      <c r="AK410" s="255"/>
      <c r="AL410" s="255"/>
      <c r="AM410" s="14">
        <f>_DATA_Assessment_Model!AJ410</f>
        <v>0.9</v>
      </c>
      <c r="AN410" s="14">
        <f>_DATA_Assessment_Model!AK410</f>
        <v>0.9</v>
      </c>
      <c r="AO410" s="14">
        <f>_DATA_Assessment_Model!AL410</f>
        <v>0</v>
      </c>
      <c r="AP410" s="14">
        <f>_DATA_Assessment_Model!AM410</f>
        <v>0</v>
      </c>
      <c r="AQ410" s="14">
        <f>_DATA_Assessment_Model!AN410</f>
        <v>0</v>
      </c>
      <c r="AR410" s="14">
        <f>_DATA_Assessment_Model!AO410</f>
        <v>0</v>
      </c>
      <c r="AS410" s="14">
        <f>_DATA_Assessment_Model!AP410</f>
        <v>0</v>
      </c>
      <c r="AT410" s="14">
        <f>_DATA_Assessment_Model!AQ410</f>
        <v>0</v>
      </c>
      <c r="AU410" s="14" t="str">
        <f>_DATA_Assessment_Model!AR410</f>
        <v>Within target</v>
      </c>
      <c r="AV410" s="4">
        <f>_DATA_Assessment_Model!AS410</f>
        <v>0</v>
      </c>
      <c r="AW410" s="4">
        <f>_DATA_Assessment_Model!AT410</f>
        <v>0.9</v>
      </c>
      <c r="AX410" s="254"/>
      <c r="AY410">
        <f>_DATA_Assessment_Model!AV410</f>
        <v>0.9</v>
      </c>
    </row>
    <row r="411" spans="1:51" ht="96.65" customHeight="1">
      <c r="A411" t="s">
        <v>3204</v>
      </c>
      <c r="B411" t="s">
        <v>3204</v>
      </c>
      <c r="C411">
        <v>9</v>
      </c>
      <c r="D411" s="2" t="s">
        <v>3236</v>
      </c>
      <c r="E411" s="2" t="s">
        <v>3221</v>
      </c>
      <c r="F411" s="2" t="s">
        <v>3237</v>
      </c>
      <c r="G411" s="2" t="s">
        <v>3208</v>
      </c>
      <c r="H411" s="2" t="s">
        <v>3209</v>
      </c>
      <c r="I411" s="2" t="s">
        <v>3238</v>
      </c>
      <c r="J411" s="253">
        <v>4</v>
      </c>
      <c r="K411" s="49">
        <f>_DATA_Assessment_Model!H411</f>
        <v>0</v>
      </c>
      <c r="L411" s="3">
        <f>_DATA_Assessment_Model!I411</f>
        <v>0</v>
      </c>
      <c r="M411" s="3">
        <f>_DATA_Assessment_Model!J411</f>
        <v>4</v>
      </c>
      <c r="N411" s="3">
        <f>_DATA_Assessment_Model!K411</f>
        <v>4</v>
      </c>
      <c r="O411" s="2" t="str">
        <f>_DATA_Assessment_Model!L411</f>
        <v>Critical</v>
      </c>
      <c r="P411" s="2" t="s">
        <v>3239</v>
      </c>
      <c r="Q411" s="2" t="s">
        <v>3240</v>
      </c>
      <c r="R411" s="2" t="s">
        <v>3241</v>
      </c>
      <c r="S411" s="2" t="s">
        <v>3242</v>
      </c>
      <c r="T411" s="2" t="s">
        <v>3243</v>
      </c>
      <c r="U411" s="2" t="s">
        <v>3244</v>
      </c>
      <c r="V411" s="2" t="s">
        <v>3217</v>
      </c>
      <c r="W411" s="253"/>
      <c r="X411" s="253"/>
      <c r="Y411" s="253" t="s">
        <v>829</v>
      </c>
      <c r="Z411" s="6">
        <v>4</v>
      </c>
      <c r="AA411" s="6">
        <v>5</v>
      </c>
      <c r="AB411" s="6">
        <v>5</v>
      </c>
      <c r="AC411" s="254"/>
      <c r="AK411" s="255"/>
      <c r="AL411" s="255"/>
      <c r="AM411" s="14">
        <f>_DATA_Assessment_Model!AJ411</f>
        <v>0.9</v>
      </c>
      <c r="AN411" s="14">
        <f>_DATA_Assessment_Model!AK411</f>
        <v>0.9</v>
      </c>
      <c r="AO411" s="14">
        <f>_DATA_Assessment_Model!AL411</f>
        <v>0</v>
      </c>
      <c r="AP411" s="14">
        <f>_DATA_Assessment_Model!AM411</f>
        <v>0</v>
      </c>
      <c r="AQ411" s="14">
        <f>_DATA_Assessment_Model!AN411</f>
        <v>0</v>
      </c>
      <c r="AR411" s="14">
        <f>_DATA_Assessment_Model!AO411</f>
        <v>0</v>
      </c>
      <c r="AS411" s="14">
        <f>_DATA_Assessment_Model!AP411</f>
        <v>0</v>
      </c>
      <c r="AT411" s="14">
        <f>_DATA_Assessment_Model!AQ411</f>
        <v>0</v>
      </c>
      <c r="AU411" s="14" t="str">
        <f>_DATA_Assessment_Model!AR411</f>
        <v>Within target</v>
      </c>
      <c r="AV411" s="4">
        <f>_DATA_Assessment_Model!AS411</f>
        <v>0</v>
      </c>
      <c r="AW411" s="4">
        <f>_DATA_Assessment_Model!AT411</f>
        <v>0.9</v>
      </c>
      <c r="AX411" s="254"/>
      <c r="AY411">
        <f>_DATA_Assessment_Model!AV411</f>
        <v>0.9</v>
      </c>
    </row>
    <row r="412" spans="1:51" ht="96.65" customHeight="1">
      <c r="A412" t="s">
        <v>3204</v>
      </c>
      <c r="B412" t="s">
        <v>3204</v>
      </c>
      <c r="C412">
        <v>10</v>
      </c>
      <c r="D412" s="2" t="s">
        <v>3245</v>
      </c>
      <c r="E412" s="2" t="s">
        <v>3221</v>
      </c>
      <c r="F412" s="2" t="s">
        <v>3246</v>
      </c>
      <c r="G412" s="2" t="s">
        <v>3208</v>
      </c>
      <c r="H412" s="2" t="s">
        <v>3209</v>
      </c>
      <c r="I412" s="2" t="s">
        <v>3247</v>
      </c>
      <c r="J412" s="253">
        <v>3</v>
      </c>
      <c r="K412" s="49">
        <f>_DATA_Assessment_Model!H412</f>
        <v>0</v>
      </c>
      <c r="L412" s="3">
        <f>_DATA_Assessment_Model!I412</f>
        <v>0</v>
      </c>
      <c r="M412" s="3">
        <f>_DATA_Assessment_Model!J412</f>
        <v>3</v>
      </c>
      <c r="N412" s="3">
        <f>_DATA_Assessment_Model!K412</f>
        <v>3</v>
      </c>
      <c r="O412" s="2" t="str">
        <f>_DATA_Assessment_Model!L412</f>
        <v>Critical</v>
      </c>
      <c r="P412" s="2" t="s">
        <v>3248</v>
      </c>
      <c r="Q412" s="2" t="s">
        <v>3249</v>
      </c>
      <c r="R412" s="2" t="s">
        <v>3250</v>
      </c>
      <c r="S412" s="2" t="s">
        <v>3251</v>
      </c>
      <c r="T412" s="2" t="s">
        <v>3252</v>
      </c>
      <c r="U412" s="2" t="s">
        <v>3253</v>
      </c>
      <c r="V412" s="2" t="s">
        <v>3217</v>
      </c>
      <c r="W412" s="253"/>
      <c r="X412" s="253"/>
      <c r="Y412" s="253" t="s">
        <v>829</v>
      </c>
      <c r="Z412" s="6">
        <v>4</v>
      </c>
      <c r="AA412" s="6">
        <v>5</v>
      </c>
      <c r="AB412" s="6">
        <v>5</v>
      </c>
      <c r="AC412" s="254"/>
      <c r="AK412" s="255"/>
      <c r="AL412" s="255"/>
      <c r="AM412" s="14">
        <f>_DATA_Assessment_Model!AJ412</f>
        <v>0.9</v>
      </c>
      <c r="AN412" s="14">
        <f>_DATA_Assessment_Model!AK412</f>
        <v>0.9</v>
      </c>
      <c r="AO412" s="14">
        <f>_DATA_Assessment_Model!AL412</f>
        <v>0</v>
      </c>
      <c r="AP412" s="14">
        <f>_DATA_Assessment_Model!AM412</f>
        <v>0</v>
      </c>
      <c r="AQ412" s="14">
        <f>_DATA_Assessment_Model!AN412</f>
        <v>0</v>
      </c>
      <c r="AR412" s="14">
        <f>_DATA_Assessment_Model!AO412</f>
        <v>0</v>
      </c>
      <c r="AS412" s="14">
        <f>_DATA_Assessment_Model!AP412</f>
        <v>0</v>
      </c>
      <c r="AT412" s="14">
        <f>_DATA_Assessment_Model!AQ412</f>
        <v>0</v>
      </c>
      <c r="AU412" s="14" t="str">
        <f>_DATA_Assessment_Model!AR412</f>
        <v>Within target</v>
      </c>
      <c r="AV412" s="4">
        <f>_DATA_Assessment_Model!AS412</f>
        <v>0</v>
      </c>
      <c r="AW412" s="4">
        <f>_DATA_Assessment_Model!AT412</f>
        <v>0.9</v>
      </c>
      <c r="AX412" s="254"/>
      <c r="AY412">
        <f>_DATA_Assessment_Model!AV412</f>
        <v>0.9</v>
      </c>
    </row>
    <row r="413" spans="1:51" ht="69" customHeight="1">
      <c r="A413" t="s">
        <v>3204</v>
      </c>
      <c r="B413" t="s">
        <v>3204</v>
      </c>
      <c r="C413">
        <v>11</v>
      </c>
      <c r="D413" s="2" t="s">
        <v>3254</v>
      </c>
      <c r="E413" s="2" t="s">
        <v>3221</v>
      </c>
      <c r="F413" s="2" t="s">
        <v>3255</v>
      </c>
      <c r="G413" s="2" t="s">
        <v>3208</v>
      </c>
      <c r="H413" s="2" t="s">
        <v>3209</v>
      </c>
      <c r="I413" s="2" t="s">
        <v>3256</v>
      </c>
      <c r="J413" s="253">
        <v>5</v>
      </c>
      <c r="K413" s="49">
        <f>_DATA_Assessment_Model!H413</f>
        <v>0</v>
      </c>
      <c r="L413" s="3">
        <f>_DATA_Assessment_Model!I413</f>
        <v>0</v>
      </c>
      <c r="M413" s="3">
        <f>_DATA_Assessment_Model!J413</f>
        <v>5</v>
      </c>
      <c r="N413" s="3">
        <f>_DATA_Assessment_Model!K413</f>
        <v>5</v>
      </c>
      <c r="O413" s="2" t="str">
        <f>_DATA_Assessment_Model!L413</f>
        <v>Critical</v>
      </c>
      <c r="P413" s="2" t="s">
        <v>833</v>
      </c>
      <c r="Q413" s="2" t="s">
        <v>834</v>
      </c>
      <c r="R413" s="2" t="s">
        <v>835</v>
      </c>
      <c r="S413" s="2" t="s">
        <v>836</v>
      </c>
      <c r="T413" s="2" t="s">
        <v>837</v>
      </c>
      <c r="U413" s="2" t="s">
        <v>838</v>
      </c>
      <c r="V413" s="2" t="s">
        <v>3217</v>
      </c>
      <c r="W413" s="253"/>
      <c r="X413" s="253"/>
      <c r="Y413" s="253" t="s">
        <v>829</v>
      </c>
      <c r="Z413" s="6">
        <v>4</v>
      </c>
      <c r="AA413" s="6">
        <v>5</v>
      </c>
      <c r="AB413" s="6">
        <v>5</v>
      </c>
      <c r="AC413" s="254"/>
      <c r="AK413" s="255"/>
      <c r="AL413" s="255"/>
      <c r="AM413" s="14">
        <f>_DATA_Assessment_Model!AJ413</f>
        <v>0.9</v>
      </c>
      <c r="AN413" s="14">
        <f>_DATA_Assessment_Model!AK413</f>
        <v>0.9</v>
      </c>
      <c r="AO413" s="14">
        <f>_DATA_Assessment_Model!AL413</f>
        <v>0</v>
      </c>
      <c r="AP413" s="14">
        <f>_DATA_Assessment_Model!AM413</f>
        <v>0</v>
      </c>
      <c r="AQ413" s="14">
        <f>_DATA_Assessment_Model!AN413</f>
        <v>0</v>
      </c>
      <c r="AR413" s="14">
        <f>_DATA_Assessment_Model!AO413</f>
        <v>0</v>
      </c>
      <c r="AS413" s="14">
        <f>_DATA_Assessment_Model!AP413</f>
        <v>0</v>
      </c>
      <c r="AT413" s="14">
        <f>_DATA_Assessment_Model!AQ413</f>
        <v>0</v>
      </c>
      <c r="AU413" s="14" t="str">
        <f>_DATA_Assessment_Model!AR413</f>
        <v>Within target</v>
      </c>
      <c r="AV413" s="4">
        <f>_DATA_Assessment_Model!AS413</f>
        <v>0</v>
      </c>
      <c r="AW413" s="4">
        <f>_DATA_Assessment_Model!AT413</f>
        <v>0.9</v>
      </c>
      <c r="AX413" s="254"/>
      <c r="AY413">
        <f>_DATA_Assessment_Model!AV413</f>
        <v>0.9</v>
      </c>
    </row>
    <row r="414" spans="1:51" ht="69" customHeight="1">
      <c r="A414" t="s">
        <v>3204</v>
      </c>
      <c r="B414" t="s">
        <v>3204</v>
      </c>
      <c r="C414">
        <v>12</v>
      </c>
      <c r="D414" s="2" t="s">
        <v>3257</v>
      </c>
      <c r="E414" s="2" t="s">
        <v>3221</v>
      </c>
      <c r="F414" s="2" t="s">
        <v>3258</v>
      </c>
      <c r="G414" s="2" t="s">
        <v>3208</v>
      </c>
      <c r="H414" s="2" t="s">
        <v>3209</v>
      </c>
      <c r="I414" s="2" t="s">
        <v>3259</v>
      </c>
      <c r="J414" s="253">
        <v>3</v>
      </c>
      <c r="K414" s="49">
        <f>_DATA_Assessment_Model!H414</f>
        <v>0</v>
      </c>
      <c r="L414" s="3">
        <f>_DATA_Assessment_Model!I414</f>
        <v>0</v>
      </c>
      <c r="M414" s="3">
        <f>_DATA_Assessment_Model!J414</f>
        <v>3</v>
      </c>
      <c r="N414" s="3">
        <f>_DATA_Assessment_Model!K414</f>
        <v>3</v>
      </c>
      <c r="O414" s="2" t="str">
        <f>_DATA_Assessment_Model!L414</f>
        <v>Critical</v>
      </c>
      <c r="P414" s="2" t="s">
        <v>1202</v>
      </c>
      <c r="Q414" s="2" t="s">
        <v>1203</v>
      </c>
      <c r="R414" s="2" t="s">
        <v>1204</v>
      </c>
      <c r="S414" s="2" t="s">
        <v>1205</v>
      </c>
      <c r="T414" s="2" t="s">
        <v>1206</v>
      </c>
      <c r="U414" s="2" t="s">
        <v>1207</v>
      </c>
      <c r="V414" s="2" t="s">
        <v>3217</v>
      </c>
      <c r="W414" s="253"/>
      <c r="X414" s="253"/>
      <c r="Y414" s="253" t="s">
        <v>829</v>
      </c>
      <c r="Z414" s="6">
        <v>4</v>
      </c>
      <c r="AA414" s="6">
        <v>5</v>
      </c>
      <c r="AB414" s="6">
        <v>5</v>
      </c>
      <c r="AC414" s="254"/>
      <c r="AK414" s="255"/>
      <c r="AL414" s="255"/>
      <c r="AM414" s="14">
        <f>_DATA_Assessment_Model!AJ414</f>
        <v>0.9</v>
      </c>
      <c r="AN414" s="14">
        <f>_DATA_Assessment_Model!AK414</f>
        <v>0.9</v>
      </c>
      <c r="AO414" s="14">
        <f>_DATA_Assessment_Model!AL414</f>
        <v>0</v>
      </c>
      <c r="AP414" s="14">
        <f>_DATA_Assessment_Model!AM414</f>
        <v>0</v>
      </c>
      <c r="AQ414" s="14">
        <f>_DATA_Assessment_Model!AN414</f>
        <v>0</v>
      </c>
      <c r="AR414" s="14">
        <f>_DATA_Assessment_Model!AO414</f>
        <v>0</v>
      </c>
      <c r="AS414" s="14">
        <f>_DATA_Assessment_Model!AP414</f>
        <v>0</v>
      </c>
      <c r="AT414" s="14">
        <f>_DATA_Assessment_Model!AQ414</f>
        <v>0</v>
      </c>
      <c r="AU414" s="14" t="str">
        <f>_DATA_Assessment_Model!AR414</f>
        <v>Within target</v>
      </c>
      <c r="AV414" s="4">
        <f>_DATA_Assessment_Model!AS414</f>
        <v>0</v>
      </c>
      <c r="AW414" s="4">
        <f>_DATA_Assessment_Model!AT414</f>
        <v>0.9</v>
      </c>
      <c r="AX414" s="254"/>
      <c r="AY414">
        <f>_DATA_Assessment_Model!AV414</f>
        <v>0.9</v>
      </c>
    </row>
    <row r="415" spans="1:51" ht="82.85" customHeight="1">
      <c r="A415" t="s">
        <v>3204</v>
      </c>
      <c r="B415" t="s">
        <v>3204</v>
      </c>
      <c r="C415">
        <v>13</v>
      </c>
      <c r="D415" s="2" t="s">
        <v>3260</v>
      </c>
      <c r="E415" s="2" t="s">
        <v>3221</v>
      </c>
      <c r="F415" s="2" t="s">
        <v>3261</v>
      </c>
      <c r="G415" s="2" t="s">
        <v>3208</v>
      </c>
      <c r="H415" s="2" t="s">
        <v>3209</v>
      </c>
      <c r="I415" s="2" t="s">
        <v>3262</v>
      </c>
      <c r="J415" s="253">
        <v>4</v>
      </c>
      <c r="K415" s="49">
        <f>_DATA_Assessment_Model!H415</f>
        <v>0</v>
      </c>
      <c r="L415" s="3">
        <f>_DATA_Assessment_Model!I415</f>
        <v>0</v>
      </c>
      <c r="M415" s="3">
        <f>_DATA_Assessment_Model!J415</f>
        <v>4</v>
      </c>
      <c r="N415" s="3">
        <f>_DATA_Assessment_Model!K415</f>
        <v>4</v>
      </c>
      <c r="O415" s="2" t="str">
        <f>_DATA_Assessment_Model!L415</f>
        <v>Critical</v>
      </c>
      <c r="P415" s="2" t="s">
        <v>3263</v>
      </c>
      <c r="Q415" s="2" t="s">
        <v>3264</v>
      </c>
      <c r="R415" s="2" t="s">
        <v>3265</v>
      </c>
      <c r="S415" s="2" t="s">
        <v>3266</v>
      </c>
      <c r="T415" s="2" t="s">
        <v>3267</v>
      </c>
      <c r="U415" s="2" t="s">
        <v>3268</v>
      </c>
      <c r="V415" s="2" t="s">
        <v>3217</v>
      </c>
      <c r="W415" s="253"/>
      <c r="X415" s="253"/>
      <c r="Y415" s="253" t="s">
        <v>829</v>
      </c>
      <c r="Z415" s="6">
        <v>4</v>
      </c>
      <c r="AA415" s="6">
        <v>5</v>
      </c>
      <c r="AB415" s="6">
        <v>5</v>
      </c>
      <c r="AC415" s="254"/>
      <c r="AK415" s="255"/>
      <c r="AL415" s="255"/>
      <c r="AM415" s="14">
        <f>_DATA_Assessment_Model!AJ415</f>
        <v>0.9</v>
      </c>
      <c r="AN415" s="14">
        <f>_DATA_Assessment_Model!AK415</f>
        <v>0.9</v>
      </c>
      <c r="AO415" s="14">
        <f>_DATA_Assessment_Model!AL415</f>
        <v>0</v>
      </c>
      <c r="AP415" s="14">
        <f>_DATA_Assessment_Model!AM415</f>
        <v>0</v>
      </c>
      <c r="AQ415" s="14">
        <f>_DATA_Assessment_Model!AN415</f>
        <v>0</v>
      </c>
      <c r="AR415" s="14">
        <f>_DATA_Assessment_Model!AO415</f>
        <v>0</v>
      </c>
      <c r="AS415" s="14">
        <f>_DATA_Assessment_Model!AP415</f>
        <v>0</v>
      </c>
      <c r="AT415" s="14">
        <f>_DATA_Assessment_Model!AQ415</f>
        <v>0</v>
      </c>
      <c r="AU415" s="14" t="str">
        <f>_DATA_Assessment_Model!AR415</f>
        <v>Within target</v>
      </c>
      <c r="AV415" s="4">
        <f>_DATA_Assessment_Model!AS415</f>
        <v>0</v>
      </c>
      <c r="AW415" s="4">
        <f>_DATA_Assessment_Model!AT415</f>
        <v>0.9</v>
      </c>
      <c r="AX415" s="254"/>
      <c r="AY415">
        <f>_DATA_Assessment_Model!AV415</f>
        <v>0.9</v>
      </c>
    </row>
    <row r="416" spans="1:51" ht="96.65" customHeight="1">
      <c r="A416" t="s">
        <v>3204</v>
      </c>
      <c r="B416" t="s">
        <v>3204</v>
      </c>
      <c r="C416">
        <v>14</v>
      </c>
      <c r="D416" s="2" t="s">
        <v>3269</v>
      </c>
      <c r="E416" s="2" t="s">
        <v>3225</v>
      </c>
      <c r="F416" s="2" t="s">
        <v>3270</v>
      </c>
      <c r="G416" s="2" t="s">
        <v>3208</v>
      </c>
      <c r="H416" s="2" t="s">
        <v>3209</v>
      </c>
      <c r="I416" s="2" t="s">
        <v>3271</v>
      </c>
      <c r="J416" s="253">
        <v>4</v>
      </c>
      <c r="K416" s="49">
        <f>_DATA_Assessment_Model!H416</f>
        <v>0</v>
      </c>
      <c r="L416" s="3">
        <f>_DATA_Assessment_Model!I416</f>
        <v>0</v>
      </c>
      <c r="M416" s="3">
        <f>_DATA_Assessment_Model!J416</f>
        <v>4</v>
      </c>
      <c r="N416" s="3">
        <f>_DATA_Assessment_Model!K416</f>
        <v>4</v>
      </c>
      <c r="O416" s="2" t="str">
        <f>_DATA_Assessment_Model!L416</f>
        <v>Critical</v>
      </c>
      <c r="P416" s="2" t="s">
        <v>3272</v>
      </c>
      <c r="Q416" s="2" t="s">
        <v>3273</v>
      </c>
      <c r="R416" s="2" t="s">
        <v>3274</v>
      </c>
      <c r="S416" s="2" t="s">
        <v>3275</v>
      </c>
      <c r="T416" s="2" t="s">
        <v>3276</v>
      </c>
      <c r="U416" s="2" t="s">
        <v>3277</v>
      </c>
      <c r="V416" s="2" t="s">
        <v>3217</v>
      </c>
      <c r="W416" s="253"/>
      <c r="X416" s="253"/>
      <c r="Y416" s="253" t="s">
        <v>829</v>
      </c>
      <c r="Z416" s="6">
        <v>4</v>
      </c>
      <c r="AA416" s="6">
        <v>5</v>
      </c>
      <c r="AB416" s="6">
        <v>5</v>
      </c>
      <c r="AC416" s="254"/>
      <c r="AK416" s="255"/>
      <c r="AL416" s="255"/>
      <c r="AM416" s="14">
        <f>_DATA_Assessment_Model!AJ416</f>
        <v>0.9</v>
      </c>
      <c r="AN416" s="14">
        <f>_DATA_Assessment_Model!AK416</f>
        <v>0.9</v>
      </c>
      <c r="AO416" s="14">
        <f>_DATA_Assessment_Model!AL416</f>
        <v>0</v>
      </c>
      <c r="AP416" s="14">
        <f>_DATA_Assessment_Model!AM416</f>
        <v>0</v>
      </c>
      <c r="AQ416" s="14">
        <f>_DATA_Assessment_Model!AN416</f>
        <v>0</v>
      </c>
      <c r="AR416" s="14">
        <f>_DATA_Assessment_Model!AO416</f>
        <v>0</v>
      </c>
      <c r="AS416" s="14">
        <f>_DATA_Assessment_Model!AP416</f>
        <v>0</v>
      </c>
      <c r="AT416" s="14">
        <f>_DATA_Assessment_Model!AQ416</f>
        <v>0</v>
      </c>
      <c r="AU416" s="14" t="str">
        <f>_DATA_Assessment_Model!AR416</f>
        <v>Within target</v>
      </c>
      <c r="AV416" s="4">
        <f>_DATA_Assessment_Model!AS416</f>
        <v>0</v>
      </c>
      <c r="AW416" s="4">
        <f>_DATA_Assessment_Model!AT416</f>
        <v>0.9</v>
      </c>
      <c r="AX416" s="254"/>
      <c r="AY416">
        <f>_DATA_Assessment_Model!AV416</f>
        <v>0.9</v>
      </c>
    </row>
    <row r="417" spans="1:51" ht="82.85" customHeight="1">
      <c r="A417" t="s">
        <v>3204</v>
      </c>
      <c r="B417" t="s">
        <v>3204</v>
      </c>
      <c r="C417">
        <v>15</v>
      </c>
      <c r="D417" s="2" t="s">
        <v>3278</v>
      </c>
      <c r="E417" s="2" t="s">
        <v>3225</v>
      </c>
      <c r="F417" s="2" t="s">
        <v>3279</v>
      </c>
      <c r="G417" s="2" t="s">
        <v>3208</v>
      </c>
      <c r="H417" s="2" t="s">
        <v>3209</v>
      </c>
      <c r="I417" s="2" t="s">
        <v>3280</v>
      </c>
      <c r="J417" s="253">
        <v>5</v>
      </c>
      <c r="K417" s="49">
        <f>_DATA_Assessment_Model!H417</f>
        <v>0</v>
      </c>
      <c r="L417" s="3">
        <f>_DATA_Assessment_Model!I417</f>
        <v>0</v>
      </c>
      <c r="M417" s="3">
        <f>_DATA_Assessment_Model!J417</f>
        <v>5</v>
      </c>
      <c r="N417" s="3">
        <f>_DATA_Assessment_Model!K417</f>
        <v>5</v>
      </c>
      <c r="O417" s="2" t="str">
        <f>_DATA_Assessment_Model!L417</f>
        <v>Critical</v>
      </c>
      <c r="P417" s="2" t="s">
        <v>833</v>
      </c>
      <c r="Q417" s="2" t="s">
        <v>834</v>
      </c>
      <c r="R417" s="2" t="s">
        <v>835</v>
      </c>
      <c r="S417" s="2" t="s">
        <v>836</v>
      </c>
      <c r="T417" s="2" t="s">
        <v>837</v>
      </c>
      <c r="U417" s="2" t="s">
        <v>838</v>
      </c>
      <c r="V417" s="2" t="s">
        <v>3217</v>
      </c>
      <c r="W417" s="253"/>
      <c r="X417" s="253"/>
      <c r="Y417" s="253" t="s">
        <v>829</v>
      </c>
      <c r="Z417" s="6">
        <v>4</v>
      </c>
      <c r="AA417" s="6">
        <v>5</v>
      </c>
      <c r="AB417" s="6">
        <v>5</v>
      </c>
      <c r="AC417" s="254"/>
      <c r="AK417" s="255"/>
      <c r="AL417" s="255"/>
      <c r="AM417" s="14">
        <f>_DATA_Assessment_Model!AJ417</f>
        <v>0.9</v>
      </c>
      <c r="AN417" s="14">
        <f>_DATA_Assessment_Model!AK417</f>
        <v>0.9</v>
      </c>
      <c r="AO417" s="14">
        <f>_DATA_Assessment_Model!AL417</f>
        <v>0</v>
      </c>
      <c r="AP417" s="14">
        <f>_DATA_Assessment_Model!AM417</f>
        <v>0</v>
      </c>
      <c r="AQ417" s="14">
        <f>_DATA_Assessment_Model!AN417</f>
        <v>0</v>
      </c>
      <c r="AR417" s="14">
        <f>_DATA_Assessment_Model!AO417</f>
        <v>0</v>
      </c>
      <c r="AS417" s="14">
        <f>_DATA_Assessment_Model!AP417</f>
        <v>0</v>
      </c>
      <c r="AT417" s="14">
        <f>_DATA_Assessment_Model!AQ417</f>
        <v>0</v>
      </c>
      <c r="AU417" s="14" t="str">
        <f>_DATA_Assessment_Model!AR417</f>
        <v>Within target</v>
      </c>
      <c r="AV417" s="4">
        <f>_DATA_Assessment_Model!AS417</f>
        <v>0</v>
      </c>
      <c r="AW417" s="4">
        <f>_DATA_Assessment_Model!AT417</f>
        <v>0.9</v>
      </c>
      <c r="AX417" s="254"/>
      <c r="AY417">
        <f>_DATA_Assessment_Model!AV417</f>
        <v>0.9</v>
      </c>
    </row>
    <row r="418" spans="1:51" ht="96.65" customHeight="1">
      <c r="A418" t="s">
        <v>3204</v>
      </c>
      <c r="B418" t="s">
        <v>3204</v>
      </c>
      <c r="C418">
        <v>16</v>
      </c>
      <c r="D418" s="2" t="s">
        <v>3281</v>
      </c>
      <c r="E418" s="2" t="s">
        <v>3225</v>
      </c>
      <c r="F418" s="2" t="s">
        <v>3282</v>
      </c>
      <c r="G418" s="2" t="s">
        <v>3208</v>
      </c>
      <c r="H418" s="2" t="s">
        <v>3209</v>
      </c>
      <c r="I418" s="2" t="s">
        <v>3283</v>
      </c>
      <c r="J418" s="253">
        <v>3</v>
      </c>
      <c r="K418" s="49">
        <f>_DATA_Assessment_Model!H418</f>
        <v>0</v>
      </c>
      <c r="L418" s="3">
        <f>_DATA_Assessment_Model!I418</f>
        <v>0</v>
      </c>
      <c r="M418" s="3">
        <f>_DATA_Assessment_Model!J418</f>
        <v>3</v>
      </c>
      <c r="N418" s="3">
        <f>_DATA_Assessment_Model!K418</f>
        <v>3</v>
      </c>
      <c r="O418" s="2" t="str">
        <f>_DATA_Assessment_Model!L418</f>
        <v>Critical</v>
      </c>
      <c r="P418" s="2" t="s">
        <v>3284</v>
      </c>
      <c r="Q418" s="2" t="s">
        <v>3285</v>
      </c>
      <c r="R418" s="2" t="s">
        <v>3286</v>
      </c>
      <c r="S418" s="2" t="s">
        <v>3287</v>
      </c>
      <c r="T418" s="2" t="s">
        <v>3288</v>
      </c>
      <c r="U418" s="2" t="s">
        <v>3289</v>
      </c>
      <c r="V418" s="2" t="s">
        <v>3217</v>
      </c>
      <c r="W418" s="253"/>
      <c r="X418" s="253"/>
      <c r="Y418" s="253" t="s">
        <v>829</v>
      </c>
      <c r="Z418" s="6">
        <v>4</v>
      </c>
      <c r="AA418" s="6">
        <v>5</v>
      </c>
      <c r="AB418" s="6">
        <v>5</v>
      </c>
      <c r="AC418" s="254"/>
      <c r="AK418" s="255"/>
      <c r="AL418" s="255"/>
      <c r="AM418" s="14">
        <f>_DATA_Assessment_Model!AJ418</f>
        <v>0.9</v>
      </c>
      <c r="AN418" s="14">
        <f>_DATA_Assessment_Model!AK418</f>
        <v>0.9</v>
      </c>
      <c r="AO418" s="14">
        <f>_DATA_Assessment_Model!AL418</f>
        <v>0</v>
      </c>
      <c r="AP418" s="14">
        <f>_DATA_Assessment_Model!AM418</f>
        <v>0</v>
      </c>
      <c r="AQ418" s="14">
        <f>_DATA_Assessment_Model!AN418</f>
        <v>0</v>
      </c>
      <c r="AR418" s="14">
        <f>_DATA_Assessment_Model!AO418</f>
        <v>0</v>
      </c>
      <c r="AS418" s="14">
        <f>_DATA_Assessment_Model!AP418</f>
        <v>0</v>
      </c>
      <c r="AT418" s="14">
        <f>_DATA_Assessment_Model!AQ418</f>
        <v>0</v>
      </c>
      <c r="AU418" s="14" t="str">
        <f>_DATA_Assessment_Model!AR418</f>
        <v>Within target</v>
      </c>
      <c r="AV418" s="4">
        <f>_DATA_Assessment_Model!AS418</f>
        <v>0</v>
      </c>
      <c r="AW418" s="4">
        <f>_DATA_Assessment_Model!AT418</f>
        <v>0.9</v>
      </c>
      <c r="AX418" s="254"/>
      <c r="AY418">
        <f>_DATA_Assessment_Model!AV418</f>
        <v>0.9</v>
      </c>
    </row>
    <row r="419" spans="1:51" ht="82.85" customHeight="1">
      <c r="A419" t="s">
        <v>3204</v>
      </c>
      <c r="B419" t="s">
        <v>3204</v>
      </c>
      <c r="C419">
        <v>17</v>
      </c>
      <c r="D419" s="2" t="s">
        <v>3290</v>
      </c>
      <c r="E419" s="2" t="s">
        <v>3225</v>
      </c>
      <c r="F419" s="2" t="s">
        <v>3291</v>
      </c>
      <c r="G419" s="2" t="s">
        <v>3208</v>
      </c>
      <c r="H419" s="2" t="s">
        <v>3209</v>
      </c>
      <c r="I419" s="2" t="s">
        <v>3292</v>
      </c>
      <c r="J419" s="253">
        <v>3</v>
      </c>
      <c r="K419" s="49">
        <f>_DATA_Assessment_Model!H419</f>
        <v>0</v>
      </c>
      <c r="L419" s="3">
        <f>_DATA_Assessment_Model!I419</f>
        <v>0</v>
      </c>
      <c r="M419" s="3">
        <f>_DATA_Assessment_Model!J419</f>
        <v>3</v>
      </c>
      <c r="N419" s="3">
        <f>_DATA_Assessment_Model!K419</f>
        <v>3</v>
      </c>
      <c r="O419" s="2" t="str">
        <f>_DATA_Assessment_Model!L419</f>
        <v>Critical</v>
      </c>
      <c r="P419" s="2" t="s">
        <v>1202</v>
      </c>
      <c r="Q419" s="2" t="s">
        <v>1203</v>
      </c>
      <c r="R419" s="2" t="s">
        <v>1204</v>
      </c>
      <c r="S419" s="2" t="s">
        <v>1205</v>
      </c>
      <c r="T419" s="2" t="s">
        <v>1206</v>
      </c>
      <c r="U419" s="2" t="s">
        <v>1207</v>
      </c>
      <c r="V419" s="2" t="s">
        <v>3217</v>
      </c>
      <c r="W419" s="253"/>
      <c r="X419" s="253"/>
      <c r="Y419" s="253" t="s">
        <v>829</v>
      </c>
      <c r="Z419" s="6">
        <v>4</v>
      </c>
      <c r="AA419" s="6">
        <v>5</v>
      </c>
      <c r="AB419" s="6">
        <v>5</v>
      </c>
      <c r="AC419" s="254"/>
      <c r="AK419" s="255"/>
      <c r="AL419" s="255"/>
      <c r="AM419" s="14">
        <f>_DATA_Assessment_Model!AJ419</f>
        <v>0.9</v>
      </c>
      <c r="AN419" s="14">
        <f>_DATA_Assessment_Model!AK419</f>
        <v>0.9</v>
      </c>
      <c r="AO419" s="14">
        <f>_DATA_Assessment_Model!AL419</f>
        <v>0</v>
      </c>
      <c r="AP419" s="14">
        <f>_DATA_Assessment_Model!AM419</f>
        <v>0</v>
      </c>
      <c r="AQ419" s="14">
        <f>_DATA_Assessment_Model!AN419</f>
        <v>0</v>
      </c>
      <c r="AR419" s="14">
        <f>_DATA_Assessment_Model!AO419</f>
        <v>0</v>
      </c>
      <c r="AS419" s="14">
        <f>_DATA_Assessment_Model!AP419</f>
        <v>0</v>
      </c>
      <c r="AT419" s="14">
        <f>_DATA_Assessment_Model!AQ419</f>
        <v>0</v>
      </c>
      <c r="AU419" s="14" t="str">
        <f>_DATA_Assessment_Model!AR419</f>
        <v>Within target</v>
      </c>
      <c r="AV419" s="4">
        <f>_DATA_Assessment_Model!AS419</f>
        <v>0</v>
      </c>
      <c r="AW419" s="4">
        <f>_DATA_Assessment_Model!AT419</f>
        <v>0.9</v>
      </c>
      <c r="AX419" s="254"/>
      <c r="AY419">
        <f>_DATA_Assessment_Model!AV419</f>
        <v>0.9</v>
      </c>
    </row>
    <row r="420" spans="1:51" ht="82.85" customHeight="1">
      <c r="A420" t="s">
        <v>3204</v>
      </c>
      <c r="B420" t="s">
        <v>3204</v>
      </c>
      <c r="C420">
        <v>18</v>
      </c>
      <c r="D420" s="2" t="s">
        <v>3293</v>
      </c>
      <c r="E420" s="2" t="s">
        <v>3225</v>
      </c>
      <c r="F420" s="2" t="s">
        <v>3294</v>
      </c>
      <c r="G420" s="2" t="s">
        <v>3208</v>
      </c>
      <c r="H420" s="2" t="s">
        <v>3209</v>
      </c>
      <c r="I420" s="2" t="s">
        <v>3295</v>
      </c>
      <c r="J420" s="253">
        <v>5</v>
      </c>
      <c r="K420" s="49">
        <f>_DATA_Assessment_Model!H420</f>
        <v>0</v>
      </c>
      <c r="L420" s="3">
        <f>_DATA_Assessment_Model!I420</f>
        <v>0</v>
      </c>
      <c r="M420" s="3">
        <f>_DATA_Assessment_Model!J420</f>
        <v>5</v>
      </c>
      <c r="N420" s="3">
        <f>_DATA_Assessment_Model!K420</f>
        <v>5</v>
      </c>
      <c r="O420" s="2" t="str">
        <f>_DATA_Assessment_Model!L420</f>
        <v>Critical</v>
      </c>
      <c r="P420" s="2" t="s">
        <v>833</v>
      </c>
      <c r="Q420" s="2" t="s">
        <v>834</v>
      </c>
      <c r="R420" s="2" t="s">
        <v>835</v>
      </c>
      <c r="S420" s="2" t="s">
        <v>836</v>
      </c>
      <c r="T420" s="2" t="s">
        <v>837</v>
      </c>
      <c r="U420" s="2" t="s">
        <v>838</v>
      </c>
      <c r="V420" s="2" t="s">
        <v>3217</v>
      </c>
      <c r="W420" s="253"/>
      <c r="X420" s="253"/>
      <c r="Y420" s="253" t="s">
        <v>829</v>
      </c>
      <c r="Z420" s="6">
        <v>4</v>
      </c>
      <c r="AA420" s="6">
        <v>5</v>
      </c>
      <c r="AB420" s="6">
        <v>5</v>
      </c>
      <c r="AC420" s="254"/>
      <c r="AK420" s="255"/>
      <c r="AL420" s="255"/>
      <c r="AM420" s="14">
        <f>_DATA_Assessment_Model!AJ420</f>
        <v>0.9</v>
      </c>
      <c r="AN420" s="14">
        <f>_DATA_Assessment_Model!AK420</f>
        <v>0.9</v>
      </c>
      <c r="AO420" s="14">
        <f>_DATA_Assessment_Model!AL420</f>
        <v>0</v>
      </c>
      <c r="AP420" s="14">
        <f>_DATA_Assessment_Model!AM420</f>
        <v>0</v>
      </c>
      <c r="AQ420" s="14">
        <f>_DATA_Assessment_Model!AN420</f>
        <v>0</v>
      </c>
      <c r="AR420" s="14">
        <f>_DATA_Assessment_Model!AO420</f>
        <v>0</v>
      </c>
      <c r="AS420" s="14">
        <f>_DATA_Assessment_Model!AP420</f>
        <v>0</v>
      </c>
      <c r="AT420" s="14">
        <f>_DATA_Assessment_Model!AQ420</f>
        <v>0</v>
      </c>
      <c r="AU420" s="14" t="str">
        <f>_DATA_Assessment_Model!AR420</f>
        <v>Within target</v>
      </c>
      <c r="AV420" s="4">
        <f>_DATA_Assessment_Model!AS420</f>
        <v>0</v>
      </c>
      <c r="AW420" s="4">
        <f>_DATA_Assessment_Model!AT420</f>
        <v>0.9</v>
      </c>
      <c r="AX420" s="254"/>
      <c r="AY420">
        <f>_DATA_Assessment_Model!AV420</f>
        <v>0.9</v>
      </c>
    </row>
    <row r="421" spans="1:51" ht="69" customHeight="1">
      <c r="A421" t="s">
        <v>3204</v>
      </c>
      <c r="B421" t="s">
        <v>3204</v>
      </c>
      <c r="C421">
        <v>19</v>
      </c>
      <c r="D421" s="2" t="s">
        <v>3296</v>
      </c>
      <c r="E421" s="2" t="s">
        <v>3235</v>
      </c>
      <c r="F421" s="2" t="s">
        <v>3297</v>
      </c>
      <c r="G421" s="2" t="s">
        <v>3208</v>
      </c>
      <c r="H421" s="2" t="s">
        <v>3209</v>
      </c>
      <c r="I421" s="2" t="s">
        <v>3298</v>
      </c>
      <c r="J421" s="253">
        <v>5</v>
      </c>
      <c r="K421" s="49">
        <f>_DATA_Assessment_Model!H421</f>
        <v>0</v>
      </c>
      <c r="L421" s="3">
        <f>_DATA_Assessment_Model!I421</f>
        <v>0</v>
      </c>
      <c r="M421" s="3">
        <f>_DATA_Assessment_Model!J421</f>
        <v>5</v>
      </c>
      <c r="N421" s="3">
        <f>_DATA_Assessment_Model!K421</f>
        <v>5</v>
      </c>
      <c r="O421" s="2" t="str">
        <f>_DATA_Assessment_Model!L421</f>
        <v>Critical</v>
      </c>
      <c r="P421" s="2" t="s">
        <v>1069</v>
      </c>
      <c r="Q421" s="2" t="s">
        <v>1070</v>
      </c>
      <c r="R421" s="2" t="s">
        <v>1071</v>
      </c>
      <c r="S421" s="2" t="s">
        <v>1072</v>
      </c>
      <c r="T421" s="2" t="s">
        <v>1073</v>
      </c>
      <c r="U421" s="2" t="s">
        <v>1074</v>
      </c>
      <c r="V421" s="2" t="s">
        <v>3217</v>
      </c>
      <c r="W421" s="253"/>
      <c r="X421" s="253"/>
      <c r="Y421" s="253" t="s">
        <v>829</v>
      </c>
      <c r="Z421" s="6">
        <v>4</v>
      </c>
      <c r="AA421" s="6">
        <v>5</v>
      </c>
      <c r="AB421" s="6">
        <v>5</v>
      </c>
      <c r="AC421" s="254"/>
      <c r="AK421" s="255"/>
      <c r="AL421" s="255"/>
      <c r="AM421" s="14">
        <f>_DATA_Assessment_Model!AJ421</f>
        <v>0.9</v>
      </c>
      <c r="AN421" s="14">
        <f>_DATA_Assessment_Model!AK421</f>
        <v>0.9</v>
      </c>
      <c r="AO421" s="14">
        <f>_DATA_Assessment_Model!AL421</f>
        <v>0</v>
      </c>
      <c r="AP421" s="14">
        <f>_DATA_Assessment_Model!AM421</f>
        <v>0</v>
      </c>
      <c r="AQ421" s="14">
        <f>_DATA_Assessment_Model!AN421</f>
        <v>0</v>
      </c>
      <c r="AR421" s="14">
        <f>_DATA_Assessment_Model!AO421</f>
        <v>0</v>
      </c>
      <c r="AS421" s="14">
        <f>_DATA_Assessment_Model!AP421</f>
        <v>0</v>
      </c>
      <c r="AT421" s="14">
        <f>_DATA_Assessment_Model!AQ421</f>
        <v>0</v>
      </c>
      <c r="AU421" s="14" t="str">
        <f>_DATA_Assessment_Model!AR421</f>
        <v>Within target</v>
      </c>
      <c r="AV421" s="4">
        <f>_DATA_Assessment_Model!AS421</f>
        <v>0</v>
      </c>
      <c r="AW421" s="4">
        <f>_DATA_Assessment_Model!AT421</f>
        <v>0.9</v>
      </c>
      <c r="AX421" s="254"/>
      <c r="AY421">
        <f>_DATA_Assessment_Model!AV421</f>
        <v>0.9</v>
      </c>
    </row>
    <row r="422" spans="1:51" ht="82.85" customHeight="1">
      <c r="A422" t="s">
        <v>3204</v>
      </c>
      <c r="B422" t="s">
        <v>3204</v>
      </c>
      <c r="C422">
        <v>20</v>
      </c>
      <c r="D422" s="2" t="s">
        <v>3299</v>
      </c>
      <c r="E422" s="2" t="s">
        <v>3235</v>
      </c>
      <c r="F422" s="2" t="s">
        <v>3300</v>
      </c>
      <c r="G422" s="2" t="s">
        <v>3208</v>
      </c>
      <c r="H422" s="2" t="s">
        <v>3209</v>
      </c>
      <c r="I422" s="2" t="s">
        <v>3301</v>
      </c>
      <c r="J422" s="253">
        <v>5</v>
      </c>
      <c r="K422" s="49">
        <f>_DATA_Assessment_Model!H422</f>
        <v>0</v>
      </c>
      <c r="L422" s="3">
        <f>_DATA_Assessment_Model!I422</f>
        <v>0</v>
      </c>
      <c r="M422" s="3">
        <f>_DATA_Assessment_Model!J422</f>
        <v>5</v>
      </c>
      <c r="N422" s="3">
        <f>_DATA_Assessment_Model!K422</f>
        <v>5</v>
      </c>
      <c r="O422" s="2" t="str">
        <f>_DATA_Assessment_Model!L422</f>
        <v>Critical</v>
      </c>
      <c r="P422" s="2" t="s">
        <v>833</v>
      </c>
      <c r="Q422" s="2" t="s">
        <v>834</v>
      </c>
      <c r="R422" s="2" t="s">
        <v>835</v>
      </c>
      <c r="S422" s="2" t="s">
        <v>836</v>
      </c>
      <c r="T422" s="2" t="s">
        <v>837</v>
      </c>
      <c r="U422" s="2" t="s">
        <v>838</v>
      </c>
      <c r="V422" s="2" t="s">
        <v>3217</v>
      </c>
      <c r="W422" s="253"/>
      <c r="X422" s="253"/>
      <c r="Y422" s="253" t="s">
        <v>829</v>
      </c>
      <c r="Z422" s="6">
        <v>4</v>
      </c>
      <c r="AA422" s="6">
        <v>5</v>
      </c>
      <c r="AB422" s="6">
        <v>5</v>
      </c>
      <c r="AC422" s="254"/>
      <c r="AK422" s="255"/>
      <c r="AL422" s="255"/>
      <c r="AM422" s="14">
        <f>_DATA_Assessment_Model!AJ422</f>
        <v>0.9</v>
      </c>
      <c r="AN422" s="14">
        <f>_DATA_Assessment_Model!AK422</f>
        <v>0.9</v>
      </c>
      <c r="AO422" s="14">
        <f>_DATA_Assessment_Model!AL422</f>
        <v>0</v>
      </c>
      <c r="AP422" s="14">
        <f>_DATA_Assessment_Model!AM422</f>
        <v>0</v>
      </c>
      <c r="AQ422" s="14">
        <f>_DATA_Assessment_Model!AN422</f>
        <v>0</v>
      </c>
      <c r="AR422" s="14">
        <f>_DATA_Assessment_Model!AO422</f>
        <v>0</v>
      </c>
      <c r="AS422" s="14">
        <f>_DATA_Assessment_Model!AP422</f>
        <v>0</v>
      </c>
      <c r="AT422" s="14">
        <f>_DATA_Assessment_Model!AQ422</f>
        <v>0</v>
      </c>
      <c r="AU422" s="14" t="str">
        <f>_DATA_Assessment_Model!AR422</f>
        <v>Within target</v>
      </c>
      <c r="AV422" s="4">
        <f>_DATA_Assessment_Model!AS422</f>
        <v>0</v>
      </c>
      <c r="AW422" s="4">
        <f>_DATA_Assessment_Model!AT422</f>
        <v>0.9</v>
      </c>
      <c r="AX422" s="254"/>
      <c r="AY422">
        <f>_DATA_Assessment_Model!AV422</f>
        <v>0.9</v>
      </c>
    </row>
    <row r="423" spans="1:51" ht="96.65" customHeight="1">
      <c r="A423" t="s">
        <v>3204</v>
      </c>
      <c r="B423" t="s">
        <v>3204</v>
      </c>
      <c r="C423">
        <v>21</v>
      </c>
      <c r="D423" s="2" t="s">
        <v>3302</v>
      </c>
      <c r="E423" s="2" t="s">
        <v>3235</v>
      </c>
      <c r="F423" s="2" t="s">
        <v>3303</v>
      </c>
      <c r="G423" s="2" t="s">
        <v>3208</v>
      </c>
      <c r="H423" s="2" t="s">
        <v>3209</v>
      </c>
      <c r="I423" s="2" t="s">
        <v>3304</v>
      </c>
      <c r="J423" s="253">
        <v>4</v>
      </c>
      <c r="K423" s="49">
        <f>_DATA_Assessment_Model!H423</f>
        <v>0</v>
      </c>
      <c r="L423" s="3">
        <f>_DATA_Assessment_Model!I423</f>
        <v>0</v>
      </c>
      <c r="M423" s="3">
        <f>_DATA_Assessment_Model!J423</f>
        <v>4</v>
      </c>
      <c r="N423" s="3">
        <f>_DATA_Assessment_Model!K423</f>
        <v>4</v>
      </c>
      <c r="O423" s="2" t="str">
        <f>_DATA_Assessment_Model!L423</f>
        <v>Critical</v>
      </c>
      <c r="P423" s="2" t="s">
        <v>3305</v>
      </c>
      <c r="Q423" s="2" t="s">
        <v>3306</v>
      </c>
      <c r="R423" s="2" t="s">
        <v>3307</v>
      </c>
      <c r="S423" s="2" t="s">
        <v>3308</v>
      </c>
      <c r="T423" s="2" t="s">
        <v>3309</v>
      </c>
      <c r="U423" s="2" t="s">
        <v>3310</v>
      </c>
      <c r="V423" s="2" t="s">
        <v>3217</v>
      </c>
      <c r="W423" s="253"/>
      <c r="X423" s="253"/>
      <c r="Y423" s="253" t="s">
        <v>829</v>
      </c>
      <c r="Z423" s="6">
        <v>4</v>
      </c>
      <c r="AA423" s="6">
        <v>5</v>
      </c>
      <c r="AB423" s="6">
        <v>5</v>
      </c>
      <c r="AC423" s="254"/>
      <c r="AK423" s="255"/>
      <c r="AL423" s="255"/>
      <c r="AM423" s="14">
        <f>_DATA_Assessment_Model!AJ423</f>
        <v>0.9</v>
      </c>
      <c r="AN423" s="14">
        <f>_DATA_Assessment_Model!AK423</f>
        <v>0.9</v>
      </c>
      <c r="AO423" s="14">
        <f>_DATA_Assessment_Model!AL423</f>
        <v>0</v>
      </c>
      <c r="AP423" s="14">
        <f>_DATA_Assessment_Model!AM423</f>
        <v>0</v>
      </c>
      <c r="AQ423" s="14">
        <f>_DATA_Assessment_Model!AN423</f>
        <v>0</v>
      </c>
      <c r="AR423" s="14">
        <f>_DATA_Assessment_Model!AO423</f>
        <v>0</v>
      </c>
      <c r="AS423" s="14">
        <f>_DATA_Assessment_Model!AP423</f>
        <v>0</v>
      </c>
      <c r="AT423" s="14">
        <f>_DATA_Assessment_Model!AQ423</f>
        <v>0</v>
      </c>
      <c r="AU423" s="14" t="str">
        <f>_DATA_Assessment_Model!AR423</f>
        <v>Within target</v>
      </c>
      <c r="AV423" s="4">
        <f>_DATA_Assessment_Model!AS423</f>
        <v>0</v>
      </c>
      <c r="AW423" s="4">
        <f>_DATA_Assessment_Model!AT423</f>
        <v>0.9</v>
      </c>
      <c r="AX423" s="254"/>
      <c r="AY423">
        <f>_DATA_Assessment_Model!AV423</f>
        <v>0.9</v>
      </c>
    </row>
    <row r="424" spans="1:51" ht="82.85" customHeight="1">
      <c r="A424" t="s">
        <v>3204</v>
      </c>
      <c r="B424" t="s">
        <v>3204</v>
      </c>
      <c r="C424">
        <v>22</v>
      </c>
      <c r="D424" s="2" t="s">
        <v>3311</v>
      </c>
      <c r="E424" s="2" t="s">
        <v>3235</v>
      </c>
      <c r="F424" s="2" t="s">
        <v>3312</v>
      </c>
      <c r="G424" s="2" t="s">
        <v>3208</v>
      </c>
      <c r="H424" s="2" t="s">
        <v>3209</v>
      </c>
      <c r="I424" s="2" t="s">
        <v>3313</v>
      </c>
      <c r="J424" s="253">
        <v>5</v>
      </c>
      <c r="K424" s="49">
        <f>_DATA_Assessment_Model!H424</f>
        <v>0</v>
      </c>
      <c r="L424" s="3">
        <f>_DATA_Assessment_Model!I424</f>
        <v>0</v>
      </c>
      <c r="M424" s="3">
        <f>_DATA_Assessment_Model!J424</f>
        <v>5</v>
      </c>
      <c r="N424" s="3">
        <f>_DATA_Assessment_Model!K424</f>
        <v>5</v>
      </c>
      <c r="O424" s="2" t="str">
        <f>_DATA_Assessment_Model!L424</f>
        <v>Critical</v>
      </c>
      <c r="P424" s="2" t="s">
        <v>833</v>
      </c>
      <c r="Q424" s="2" t="s">
        <v>834</v>
      </c>
      <c r="R424" s="2" t="s">
        <v>835</v>
      </c>
      <c r="S424" s="2" t="s">
        <v>836</v>
      </c>
      <c r="T424" s="2" t="s">
        <v>837</v>
      </c>
      <c r="U424" s="2" t="s">
        <v>838</v>
      </c>
      <c r="V424" s="2" t="s">
        <v>3217</v>
      </c>
      <c r="W424" s="253"/>
      <c r="X424" s="253"/>
      <c r="Y424" s="253" t="s">
        <v>829</v>
      </c>
      <c r="Z424" s="6">
        <v>4</v>
      </c>
      <c r="AA424" s="6">
        <v>5</v>
      </c>
      <c r="AB424" s="6">
        <v>5</v>
      </c>
      <c r="AC424" s="254"/>
      <c r="AK424" s="255"/>
      <c r="AL424" s="255"/>
      <c r="AM424" s="14">
        <f>_DATA_Assessment_Model!AJ424</f>
        <v>0.9</v>
      </c>
      <c r="AN424" s="14">
        <f>_DATA_Assessment_Model!AK424</f>
        <v>0.9</v>
      </c>
      <c r="AO424" s="14">
        <f>_DATA_Assessment_Model!AL424</f>
        <v>0</v>
      </c>
      <c r="AP424" s="14">
        <f>_DATA_Assessment_Model!AM424</f>
        <v>0</v>
      </c>
      <c r="AQ424" s="14">
        <f>_DATA_Assessment_Model!AN424</f>
        <v>0</v>
      </c>
      <c r="AR424" s="14">
        <f>_DATA_Assessment_Model!AO424</f>
        <v>0</v>
      </c>
      <c r="AS424" s="14">
        <f>_DATA_Assessment_Model!AP424</f>
        <v>0</v>
      </c>
      <c r="AT424" s="14">
        <f>_DATA_Assessment_Model!AQ424</f>
        <v>0</v>
      </c>
      <c r="AU424" s="14" t="str">
        <f>_DATA_Assessment_Model!AR424</f>
        <v>Within target</v>
      </c>
      <c r="AV424" s="4">
        <f>_DATA_Assessment_Model!AS424</f>
        <v>0</v>
      </c>
      <c r="AW424" s="4">
        <f>_DATA_Assessment_Model!AT424</f>
        <v>0.9</v>
      </c>
      <c r="AX424" s="254"/>
      <c r="AY424">
        <f>_DATA_Assessment_Model!AV424</f>
        <v>0.9</v>
      </c>
    </row>
    <row r="425" spans="1:51" ht="124.2" customHeight="1">
      <c r="A425" t="s">
        <v>3204</v>
      </c>
      <c r="B425" t="s">
        <v>3204</v>
      </c>
      <c r="C425">
        <v>23</v>
      </c>
      <c r="D425" s="2" t="s">
        <v>3314</v>
      </c>
      <c r="E425" s="2" t="s">
        <v>3225</v>
      </c>
      <c r="F425" s="2" t="s">
        <v>3315</v>
      </c>
      <c r="G425" s="2" t="s">
        <v>1522</v>
      </c>
      <c r="H425" s="2" t="s">
        <v>3316</v>
      </c>
      <c r="I425" s="2" t="s">
        <v>3210</v>
      </c>
      <c r="J425" s="253">
        <v>4</v>
      </c>
      <c r="K425" s="49">
        <f>_DATA_Assessment_Model!H425</f>
        <v>0</v>
      </c>
      <c r="L425" s="3">
        <f>_DATA_Assessment_Model!I425</f>
        <v>0</v>
      </c>
      <c r="M425" s="3">
        <f>_DATA_Assessment_Model!J425</f>
        <v>4</v>
      </c>
      <c r="N425" s="3">
        <f>_DATA_Assessment_Model!K425</f>
        <v>4</v>
      </c>
      <c r="O425" s="2" t="str">
        <f>_DATA_Assessment_Model!L425</f>
        <v>Critical</v>
      </c>
      <c r="P425" s="2" t="s">
        <v>3317</v>
      </c>
      <c r="Q425" s="2" t="s">
        <v>3318</v>
      </c>
      <c r="R425" s="2" t="s">
        <v>3319</v>
      </c>
      <c r="S425" s="2" t="s">
        <v>3320</v>
      </c>
      <c r="T425" s="2" t="s">
        <v>3321</v>
      </c>
      <c r="U425" s="2" t="s">
        <v>3322</v>
      </c>
      <c r="V425" s="2" t="s">
        <v>1530</v>
      </c>
      <c r="W425" s="253"/>
      <c r="X425" s="253"/>
      <c r="Y425" s="253" t="s">
        <v>829</v>
      </c>
      <c r="Z425" s="6">
        <v>3</v>
      </c>
      <c r="AA425" s="6">
        <v>3</v>
      </c>
      <c r="AB425" s="6">
        <v>5</v>
      </c>
      <c r="AC425" s="254"/>
      <c r="AK425" s="255"/>
      <c r="AL425" s="255"/>
      <c r="AM425" s="14">
        <f>_DATA_Assessment_Model!AJ425</f>
        <v>0.9</v>
      </c>
      <c r="AN425" s="14">
        <f>_DATA_Assessment_Model!AK425</f>
        <v>0.9</v>
      </c>
      <c r="AO425" s="14">
        <f>_DATA_Assessment_Model!AL425</f>
        <v>0</v>
      </c>
      <c r="AP425" s="14">
        <f>_DATA_Assessment_Model!AM425</f>
        <v>0</v>
      </c>
      <c r="AQ425" s="14">
        <f>_DATA_Assessment_Model!AN425</f>
        <v>0</v>
      </c>
      <c r="AR425" s="14">
        <f>_DATA_Assessment_Model!AO425</f>
        <v>0</v>
      </c>
      <c r="AS425" s="14">
        <f>_DATA_Assessment_Model!AP425</f>
        <v>0</v>
      </c>
      <c r="AT425" s="14">
        <f>_DATA_Assessment_Model!AQ425</f>
        <v>0</v>
      </c>
      <c r="AU425" s="14" t="str">
        <f>_DATA_Assessment_Model!AR425</f>
        <v>Within target</v>
      </c>
      <c r="AV425" s="4">
        <f>_DATA_Assessment_Model!AS425</f>
        <v>0</v>
      </c>
      <c r="AW425" s="4">
        <f>_DATA_Assessment_Model!AT425</f>
        <v>0.9</v>
      </c>
      <c r="AX425" s="254"/>
      <c r="AY425">
        <f>_DATA_Assessment_Model!AV425</f>
        <v>0.9</v>
      </c>
    </row>
    <row r="426" spans="1:51" ht="110.4" customHeight="1">
      <c r="A426" t="s">
        <v>3204</v>
      </c>
      <c r="B426" t="s">
        <v>3204</v>
      </c>
      <c r="C426">
        <v>24</v>
      </c>
      <c r="D426" s="2" t="s">
        <v>3323</v>
      </c>
      <c r="E426" s="2" t="s">
        <v>3225</v>
      </c>
      <c r="F426" s="2" t="s">
        <v>3324</v>
      </c>
      <c r="G426" s="2" t="s">
        <v>3325</v>
      </c>
      <c r="H426" s="2" t="s">
        <v>3326</v>
      </c>
      <c r="I426" s="2" t="s">
        <v>3210</v>
      </c>
      <c r="J426" s="253">
        <v>3</v>
      </c>
      <c r="K426" s="49">
        <f>_DATA_Assessment_Model!H426</f>
        <v>0</v>
      </c>
      <c r="L426" s="3">
        <f>_DATA_Assessment_Model!I426</f>
        <v>0</v>
      </c>
      <c r="M426" s="3">
        <f>_DATA_Assessment_Model!J426</f>
        <v>3</v>
      </c>
      <c r="N426" s="3">
        <f>_DATA_Assessment_Model!K426</f>
        <v>3</v>
      </c>
      <c r="O426" s="2" t="str">
        <f>_DATA_Assessment_Model!L426</f>
        <v>Critical</v>
      </c>
      <c r="P426" s="2" t="s">
        <v>3327</v>
      </c>
      <c r="Q426" s="2" t="s">
        <v>3328</v>
      </c>
      <c r="R426" s="2" t="s">
        <v>3329</v>
      </c>
      <c r="S426" s="2" t="s">
        <v>3330</v>
      </c>
      <c r="T426" s="2" t="s">
        <v>3331</v>
      </c>
      <c r="U426" s="2" t="s">
        <v>3332</v>
      </c>
      <c r="V426" s="2" t="s">
        <v>3333</v>
      </c>
      <c r="W426" s="253"/>
      <c r="X426" s="253"/>
      <c r="Y426" s="253" t="s">
        <v>829</v>
      </c>
      <c r="Z426" s="6">
        <v>3</v>
      </c>
      <c r="AA426" s="6">
        <v>3</v>
      </c>
      <c r="AB426" s="6">
        <v>5</v>
      </c>
      <c r="AC426" s="254"/>
      <c r="AK426" s="255"/>
      <c r="AL426" s="255"/>
      <c r="AM426" s="14">
        <f>_DATA_Assessment_Model!AJ426</f>
        <v>0.9</v>
      </c>
      <c r="AN426" s="14">
        <f>_DATA_Assessment_Model!AK426</f>
        <v>0.9</v>
      </c>
      <c r="AO426" s="14">
        <f>_DATA_Assessment_Model!AL426</f>
        <v>0</v>
      </c>
      <c r="AP426" s="14">
        <f>_DATA_Assessment_Model!AM426</f>
        <v>0</v>
      </c>
      <c r="AQ426" s="14">
        <f>_DATA_Assessment_Model!AN426</f>
        <v>0</v>
      </c>
      <c r="AR426" s="14">
        <f>_DATA_Assessment_Model!AO426</f>
        <v>0</v>
      </c>
      <c r="AS426" s="14">
        <f>_DATA_Assessment_Model!AP426</f>
        <v>0</v>
      </c>
      <c r="AT426" s="14">
        <f>_DATA_Assessment_Model!AQ426</f>
        <v>0</v>
      </c>
      <c r="AU426" s="14" t="str">
        <f>_DATA_Assessment_Model!AR426</f>
        <v>Within target</v>
      </c>
      <c r="AV426" s="4">
        <f>_DATA_Assessment_Model!AS426</f>
        <v>0</v>
      </c>
      <c r="AW426" s="4">
        <f>_DATA_Assessment_Model!AT426</f>
        <v>0.9</v>
      </c>
      <c r="AX426" s="254"/>
      <c r="AY426">
        <f>_DATA_Assessment_Model!AV426</f>
        <v>0.9</v>
      </c>
    </row>
    <row r="427" spans="1:51" ht="84.9">
      <c r="A427" t="s">
        <v>3204</v>
      </c>
      <c r="B427" t="s">
        <v>3204</v>
      </c>
      <c r="C427">
        <v>25</v>
      </c>
      <c r="D427" t="s">
        <v>3334</v>
      </c>
      <c r="E427" t="s">
        <v>3225</v>
      </c>
      <c r="F427" s="2" t="s">
        <v>3335</v>
      </c>
      <c r="G427" s="2" t="s">
        <v>3336</v>
      </c>
      <c r="H427" t="s">
        <v>3337</v>
      </c>
      <c r="I427" t="s">
        <v>3210</v>
      </c>
      <c r="J427" s="254">
        <v>3</v>
      </c>
      <c r="K427">
        <f>_DATA_Assessment_Model!H427</f>
        <v>0</v>
      </c>
      <c r="L427">
        <f>_DATA_Assessment_Model!I427</f>
        <v>0</v>
      </c>
      <c r="M427">
        <f>_DATA_Assessment_Model!J427</f>
        <v>3</v>
      </c>
      <c r="N427">
        <f>_DATA_Assessment_Model!K427</f>
        <v>3</v>
      </c>
      <c r="O427" t="str">
        <f>_DATA_Assessment_Model!L427</f>
        <v>Critical</v>
      </c>
      <c r="P427" t="s">
        <v>3338</v>
      </c>
      <c r="Q427" t="s">
        <v>3339</v>
      </c>
      <c r="R427" t="s">
        <v>3340</v>
      </c>
      <c r="S427" t="s">
        <v>3341</v>
      </c>
      <c r="T427" t="s">
        <v>3342</v>
      </c>
      <c r="U427" t="s">
        <v>3343</v>
      </c>
      <c r="V427" t="s">
        <v>3344</v>
      </c>
      <c r="W427" s="254"/>
      <c r="X427" s="254"/>
      <c r="Y427" s="254" t="s">
        <v>829</v>
      </c>
      <c r="Z427">
        <v>3</v>
      </c>
      <c r="AA427">
        <v>3</v>
      </c>
      <c r="AB427">
        <v>4</v>
      </c>
      <c r="AC427" s="254"/>
      <c r="AK427" s="254"/>
      <c r="AL427" s="254"/>
      <c r="AM427">
        <f>_DATA_Assessment_Model!AJ427</f>
        <v>0.9</v>
      </c>
      <c r="AN427">
        <f>_DATA_Assessment_Model!AK427</f>
        <v>0.9</v>
      </c>
      <c r="AO427">
        <f>_DATA_Assessment_Model!AL427</f>
        <v>0</v>
      </c>
      <c r="AP427">
        <f>_DATA_Assessment_Model!AM427</f>
        <v>0</v>
      </c>
      <c r="AQ427">
        <f>_DATA_Assessment_Model!AN427</f>
        <v>0</v>
      </c>
      <c r="AR427">
        <f>_DATA_Assessment_Model!AO427</f>
        <v>0</v>
      </c>
      <c r="AS427">
        <f>_DATA_Assessment_Model!AP427</f>
        <v>0</v>
      </c>
      <c r="AT427">
        <f>_DATA_Assessment_Model!AQ427</f>
        <v>0</v>
      </c>
      <c r="AU427" t="str">
        <f>_DATA_Assessment_Model!AR427</f>
        <v>Within target</v>
      </c>
      <c r="AV427">
        <f>_DATA_Assessment_Model!AS427</f>
        <v>0</v>
      </c>
      <c r="AW427">
        <f>_DATA_Assessment_Model!AT427</f>
        <v>0.9</v>
      </c>
      <c r="AX427" s="254"/>
      <c r="AY427">
        <f>_DATA_Assessment_Model!AV427</f>
        <v>0.9</v>
      </c>
    </row>
    <row r="428" spans="1:51" ht="84.9">
      <c r="A428" t="s">
        <v>3204</v>
      </c>
      <c r="B428" t="s">
        <v>3204</v>
      </c>
      <c r="C428">
        <v>26</v>
      </c>
      <c r="D428" t="s">
        <v>3345</v>
      </c>
      <c r="E428" t="s">
        <v>3225</v>
      </c>
      <c r="F428" s="2" t="s">
        <v>3346</v>
      </c>
      <c r="G428" s="2" t="s">
        <v>3347</v>
      </c>
      <c r="H428" t="s">
        <v>3348</v>
      </c>
      <c r="I428" t="s">
        <v>3210</v>
      </c>
      <c r="J428" s="254">
        <v>3</v>
      </c>
      <c r="K428">
        <f>_DATA_Assessment_Model!H428</f>
        <v>0</v>
      </c>
      <c r="L428">
        <f>_DATA_Assessment_Model!I428</f>
        <v>0</v>
      </c>
      <c r="M428">
        <f>_DATA_Assessment_Model!J428</f>
        <v>3</v>
      </c>
      <c r="N428">
        <f>_DATA_Assessment_Model!K428</f>
        <v>3</v>
      </c>
      <c r="O428" t="str">
        <f>_DATA_Assessment_Model!L428</f>
        <v>Critical</v>
      </c>
      <c r="P428" t="s">
        <v>3349</v>
      </c>
      <c r="Q428" t="s">
        <v>3350</v>
      </c>
      <c r="R428" t="s">
        <v>3351</v>
      </c>
      <c r="S428" t="s">
        <v>3352</v>
      </c>
      <c r="T428" t="s">
        <v>3353</v>
      </c>
      <c r="U428" t="s">
        <v>3354</v>
      </c>
      <c r="V428" t="s">
        <v>3355</v>
      </c>
      <c r="W428" s="254"/>
      <c r="X428" s="254"/>
      <c r="Y428" s="254" t="s">
        <v>829</v>
      </c>
      <c r="Z428">
        <v>3</v>
      </c>
      <c r="AA428">
        <v>3</v>
      </c>
      <c r="AB428">
        <v>4</v>
      </c>
      <c r="AC428" s="254"/>
      <c r="AK428" s="254"/>
      <c r="AL428" s="254"/>
      <c r="AM428">
        <f>_DATA_Assessment_Model!AJ428</f>
        <v>0.9</v>
      </c>
      <c r="AN428">
        <f>_DATA_Assessment_Model!AK428</f>
        <v>0.9</v>
      </c>
      <c r="AO428">
        <f>_DATA_Assessment_Model!AL428</f>
        <v>0</v>
      </c>
      <c r="AP428">
        <f>_DATA_Assessment_Model!AM428</f>
        <v>0</v>
      </c>
      <c r="AQ428">
        <f>_DATA_Assessment_Model!AN428</f>
        <v>0</v>
      </c>
      <c r="AR428">
        <f>_DATA_Assessment_Model!AO428</f>
        <v>0</v>
      </c>
      <c r="AS428">
        <f>_DATA_Assessment_Model!AP428</f>
        <v>0</v>
      </c>
      <c r="AT428">
        <f>_DATA_Assessment_Model!AQ428</f>
        <v>0</v>
      </c>
      <c r="AU428" t="str">
        <f>_DATA_Assessment_Model!AR428</f>
        <v>Within target</v>
      </c>
      <c r="AV428">
        <f>_DATA_Assessment_Model!AS428</f>
        <v>0</v>
      </c>
      <c r="AW428">
        <f>_DATA_Assessment_Model!AT428</f>
        <v>0.9</v>
      </c>
      <c r="AX428" s="254"/>
      <c r="AY428">
        <f>_DATA_Assessment_Model!AV428</f>
        <v>0.9</v>
      </c>
    </row>
  </sheetData>
  <autoFilter ref="A4:AY428" xr:uid="{00000000-0009-0000-0000-000002000000}"/>
  <conditionalFormatting sqref="A5:AY428">
    <cfRule type="expression" dxfId="71" priority="18">
      <formula>ISEVEN(ROW())</formula>
    </cfRule>
  </conditionalFormatting>
  <conditionalFormatting sqref="G5:I428">
    <cfRule type="expression" dxfId="70" priority="8">
      <formula>TRUE</formula>
    </cfRule>
  </conditionalFormatting>
  <conditionalFormatting sqref="J5:J428">
    <cfRule type="expression" dxfId="69" priority="1">
      <formula>TRUE</formula>
    </cfRule>
  </conditionalFormatting>
  <conditionalFormatting sqref="K5:K428">
    <cfRule type="colorScale" priority="12">
      <colorScale>
        <cfvo type="num" val="0"/>
        <cfvo type="num" val="3"/>
        <cfvo type="num" val="5"/>
        <color rgb="FFF4CCCC"/>
        <color rgb="FFFFF2CC"/>
        <color rgb="FFD9EAD3"/>
      </colorScale>
    </cfRule>
  </conditionalFormatting>
  <conditionalFormatting sqref="K5:O428">
    <cfRule type="expression" dxfId="68" priority="6">
      <formula>TRUE</formula>
    </cfRule>
  </conditionalFormatting>
  <conditionalFormatting sqref="O5:O428">
    <cfRule type="expression" dxfId="67" priority="10">
      <formula>OR($O5="Critical",$O5="High")</formula>
    </cfRule>
    <cfRule type="expression" dxfId="66" priority="11">
      <formula>$O5="Medium"</formula>
    </cfRule>
    <cfRule type="cellIs" dxfId="65" priority="13" operator="equal">
      <formula>"Critical"</formula>
    </cfRule>
    <cfRule type="cellIs" dxfId="64" priority="14" operator="equal">
      <formula>"High"</formula>
    </cfRule>
    <cfRule type="cellIs" dxfId="63" priority="15" operator="equal">
      <formula>"Medium"</formula>
    </cfRule>
    <cfRule type="cellIs" dxfId="62" priority="16" operator="equal">
      <formula>"Moderate"</formula>
    </cfRule>
    <cfRule type="cellIs" dxfId="61" priority="17" operator="equal">
      <formula>"Low"</formula>
    </cfRule>
  </conditionalFormatting>
  <conditionalFormatting sqref="P5:V428">
    <cfRule type="expression" dxfId="60" priority="9">
      <formula>TRUE</formula>
    </cfRule>
  </conditionalFormatting>
  <conditionalFormatting sqref="W5:X428">
    <cfRule type="expression" dxfId="59" priority="2">
      <formula>TRUE</formula>
    </cfRule>
  </conditionalFormatting>
  <conditionalFormatting sqref="AC5:AC428">
    <cfRule type="expression" dxfId="58" priority="3">
      <formula>TRUE</formula>
    </cfRule>
  </conditionalFormatting>
  <conditionalFormatting sqref="AF5:AY428">
    <cfRule type="expression" dxfId="57" priority="7">
      <formula>TRUE</formula>
    </cfRule>
  </conditionalFormatting>
  <conditionalFormatting sqref="AK5:AL428">
    <cfRule type="expression" dxfId="56" priority="4">
      <formula>TRUE</formula>
    </cfRule>
  </conditionalFormatting>
  <conditionalFormatting sqref="AX5:AX428">
    <cfRule type="expression" dxfId="55" priority="5">
      <formula>TRUE</formula>
    </cfRule>
  </conditionalFormatting>
  <dataValidations count="4">
    <dataValidation type="list" sqref="J5:J428" xr:uid="{00000000-0002-0000-0200-000000000000}">
      <formula1>"1,2,3,4,5"</formula1>
    </dataValidation>
    <dataValidation type="list" allowBlank="1" sqref="AC5:AC428" xr:uid="{00000000-0002-0000-0200-000001000000}">
      <formula1>"N/A,0 - Absent,1 - Ad hoc / individuals,2 - Partial / not formalized,3 - Documented &amp; operating,4 - Measured &amp; tested,5 - Optimized / automated"</formula1>
    </dataValidation>
    <dataValidation type="list" allowBlank="1" sqref="AK5:AL428" xr:uid="{00000000-0002-0000-0200-000002000000}">
      <formula1>"Not assessed,Low,Medium,High"</formula1>
    </dataValidation>
    <dataValidation type="list" allowBlank="1" sqref="AX5:AX428" xr:uid="{00000000-0002-0000-0200-000003000000}">
      <formula1>"Pilot / one team,One unit or site,Most units,Everywhere,Not applicable"</formula1>
    </dataValidation>
  </dataValidations>
  <pageMargins left="0.7" right="0.7" top="0.75" bottom="0.75" header="0.3" footer="0.3"/>
  <pageSetup fitToHeight="0" orientation="landscape"/>
  <headerFooter>
    <oddFooter>&amp;R© Roman Reznikov / RR-framework — CC BY-NC-SA 4.0 — For authorized use only</oddFooter>
    <evenFooter>&amp;R© Roman Reznikov / RR-framework — CC BY-NC-SA 4.0 — For authorized use only</evenFooter>
    <firstFooter>&amp;R© Roman Reznikov / RR-framework — CC BY-NC-SA 4.0 — For authorized use only</first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ED7D31"/>
  </sheetPr>
  <dimension ref="A1:Z60"/>
  <sheetViews>
    <sheetView showGridLines="0" workbookViewId="0">
      <pane ySplit="2" topLeftCell="A3" activePane="bottomLeft" state="frozen"/>
      <selection pane="bottomLeft" sqref="A1:F1"/>
    </sheetView>
  </sheetViews>
  <sheetFormatPr defaultRowHeight="14.15"/>
  <cols>
    <col min="1" max="1" width="26" customWidth="1"/>
    <col min="2" max="2" width="18" customWidth="1"/>
    <col min="3" max="3" width="36" customWidth="1"/>
    <col min="4" max="5" width="14" customWidth="1"/>
    <col min="6" max="6" width="16" customWidth="1"/>
    <col min="7" max="7" width="14" customWidth="1"/>
    <col min="8" max="8" width="24" customWidth="1"/>
    <col min="9" max="13" width="7" customWidth="1"/>
    <col min="14" max="16" width="10" customWidth="1"/>
    <col min="17" max="17" width="12" customWidth="1"/>
    <col min="18" max="18" width="13" customWidth="1"/>
    <col min="19" max="26" width="4" customWidth="1"/>
  </cols>
  <sheetData>
    <row r="1" spans="1:26" ht="30" customHeight="1">
      <c r="A1" s="283" t="s">
        <v>3356</v>
      </c>
      <c r="B1" s="267"/>
      <c r="C1" s="267"/>
      <c r="D1" s="267"/>
      <c r="E1" s="267"/>
      <c r="F1" s="267"/>
      <c r="H1" s="283" t="s">
        <v>3357</v>
      </c>
      <c r="I1" s="267"/>
      <c r="J1" s="267"/>
      <c r="K1" s="267"/>
      <c r="L1" s="267"/>
      <c r="M1" s="267"/>
      <c r="N1" s="267"/>
      <c r="O1" s="267"/>
      <c r="P1" s="267"/>
      <c r="Q1" s="267"/>
      <c r="R1" s="267"/>
      <c r="S1" s="127"/>
      <c r="T1" s="127"/>
      <c r="U1" s="127"/>
      <c r="V1" s="127"/>
      <c r="W1" s="127"/>
      <c r="X1" s="127"/>
      <c r="Y1" s="127"/>
      <c r="Z1" s="127"/>
    </row>
    <row r="2" spans="1:26" ht="34" customHeight="1">
      <c r="A2" s="278" t="s">
        <v>3358</v>
      </c>
      <c r="B2" s="267"/>
      <c r="C2" s="267"/>
      <c r="D2" s="267"/>
      <c r="E2" s="267"/>
      <c r="F2" s="267"/>
      <c r="H2" s="278" t="s">
        <v>3359</v>
      </c>
      <c r="I2" s="267"/>
      <c r="J2" s="267"/>
      <c r="K2" s="267"/>
      <c r="L2" s="267"/>
      <c r="M2" s="267"/>
      <c r="N2" s="267"/>
      <c r="O2" s="267"/>
      <c r="P2" s="267"/>
      <c r="Q2" s="267"/>
      <c r="R2" s="267"/>
      <c r="S2" s="127"/>
      <c r="T2" s="127"/>
      <c r="U2" s="127"/>
      <c r="V2" s="127"/>
      <c r="W2" s="127"/>
      <c r="X2" s="127"/>
      <c r="Y2" s="127"/>
      <c r="Z2" s="127"/>
    </row>
    <row r="3" spans="1:26" ht="20.05" customHeight="1">
      <c r="A3" t="str">
        <f>HYPERLINK("#'Guidelines'!A1","⌂ Guidelines")</f>
        <v>⌂ Guidelines</v>
      </c>
      <c r="C3" t="str">
        <f>HYPERLINK("#'Assessment Questions'!A1","Assessment Questions")</f>
        <v>Assessment Questions</v>
      </c>
      <c r="H3" s="127"/>
      <c r="I3" s="127"/>
      <c r="J3" s="127"/>
      <c r="K3" s="127"/>
      <c r="L3" s="127"/>
      <c r="M3" s="127"/>
      <c r="N3" s="127"/>
      <c r="O3" s="127"/>
      <c r="P3" s="127"/>
      <c r="Q3" s="127"/>
      <c r="R3" s="127"/>
      <c r="S3" s="127"/>
      <c r="T3" s="127"/>
      <c r="U3" s="127"/>
      <c r="V3" s="127"/>
      <c r="W3" s="127"/>
      <c r="X3" s="127"/>
      <c r="Y3" s="127"/>
      <c r="Z3" s="127"/>
    </row>
    <row r="4" spans="1:26" ht="20.05" customHeight="1">
      <c r="H4" s="284" t="s">
        <v>3360</v>
      </c>
      <c r="I4" s="280"/>
      <c r="J4" s="281"/>
      <c r="K4" s="284" t="s">
        <v>3361</v>
      </c>
      <c r="L4" s="280"/>
      <c r="M4" s="281"/>
      <c r="N4" s="284" t="s">
        <v>3362</v>
      </c>
      <c r="O4" s="280"/>
      <c r="P4" s="281"/>
      <c r="Q4" s="284" t="s">
        <v>3363</v>
      </c>
      <c r="R4" s="281"/>
      <c r="S4" s="127"/>
      <c r="T4" s="127"/>
      <c r="U4" s="127"/>
      <c r="V4" s="127"/>
      <c r="W4" s="127"/>
      <c r="X4" s="127"/>
      <c r="Y4" s="127"/>
      <c r="Z4" s="127"/>
    </row>
    <row r="5" spans="1:26" ht="30" customHeight="1">
      <c r="A5" s="207" t="s">
        <v>3364</v>
      </c>
      <c r="B5" s="207" t="s">
        <v>348</v>
      </c>
      <c r="C5" s="207" t="s">
        <v>3365</v>
      </c>
      <c r="D5" s="128"/>
      <c r="E5" s="128"/>
      <c r="F5" s="128"/>
      <c r="H5" s="282">
        <f>$B$8</f>
        <v>0</v>
      </c>
      <c r="I5" s="280"/>
      <c r="J5" s="281"/>
      <c r="K5" s="282">
        <f>$B$10</f>
        <v>0</v>
      </c>
      <c r="L5" s="280"/>
      <c r="M5" s="281"/>
      <c r="N5" s="282">
        <f>$B$11</f>
        <v>0</v>
      </c>
      <c r="O5" s="280"/>
      <c r="P5" s="281"/>
      <c r="Q5" s="282">
        <f>$B$12</f>
        <v>0</v>
      </c>
      <c r="R5" s="281"/>
      <c r="S5" s="127"/>
      <c r="T5" s="127"/>
      <c r="U5" s="127"/>
      <c r="V5" s="127"/>
      <c r="W5" s="127"/>
      <c r="X5" s="127"/>
      <c r="Y5" s="127"/>
      <c r="Z5" s="127"/>
    </row>
    <row r="6" spans="1:26" ht="34" customHeight="1">
      <c r="A6" s="208" t="s">
        <v>462</v>
      </c>
      <c r="B6" s="209">
        <f>_ENGINE_Profile_Vector!$E$7</f>
        <v>0</v>
      </c>
      <c r="C6" s="210" t="s">
        <v>51</v>
      </c>
      <c r="H6" s="285" t="s">
        <v>3366</v>
      </c>
      <c r="I6" s="280"/>
      <c r="J6" s="281"/>
      <c r="K6" s="285" t="s">
        <v>3367</v>
      </c>
      <c r="L6" s="280"/>
      <c r="M6" s="281"/>
      <c r="N6" s="285" t="s">
        <v>3368</v>
      </c>
      <c r="O6" s="280"/>
      <c r="P6" s="281"/>
      <c r="Q6" s="285" t="s">
        <v>3369</v>
      </c>
      <c r="R6" s="281"/>
      <c r="S6" s="127"/>
      <c r="T6" s="127"/>
      <c r="U6" s="127"/>
      <c r="V6" s="127"/>
      <c r="W6" s="127"/>
      <c r="X6" s="127"/>
      <c r="Y6" s="127"/>
      <c r="Z6" s="127"/>
    </row>
    <row r="7" spans="1:26" ht="20.05" hidden="1" customHeight="1">
      <c r="A7" s="208" t="s">
        <v>3370</v>
      </c>
      <c r="B7" s="209">
        <f>'Company Profile'!$B$35</f>
        <v>0</v>
      </c>
      <c r="C7" s="210" t="s">
        <v>51</v>
      </c>
      <c r="H7" s="127"/>
      <c r="I7" s="127">
        <v>1</v>
      </c>
      <c r="J7" s="127">
        <v>2</v>
      </c>
      <c r="K7" s="127">
        <v>3</v>
      </c>
      <c r="L7" s="127">
        <v>4</v>
      </c>
      <c r="M7" s="127">
        <v>5</v>
      </c>
      <c r="N7" s="127"/>
      <c r="O7" s="127"/>
      <c r="P7" s="127"/>
      <c r="Q7" s="127"/>
      <c r="R7" s="127"/>
      <c r="S7" s="127"/>
      <c r="T7" s="127"/>
      <c r="U7" s="127"/>
      <c r="V7" s="127"/>
      <c r="W7" s="127"/>
      <c r="X7" s="127"/>
      <c r="Y7" s="127"/>
      <c r="Z7" s="127"/>
    </row>
    <row r="8" spans="1:26" ht="24" customHeight="1">
      <c r="A8" s="208" t="s">
        <v>3371</v>
      </c>
      <c r="B8" s="209">
        <f>IFERROR(ROUND(_ENGINE_Fuzzy_Posture!$B$5,2),"")</f>
        <v>0</v>
      </c>
      <c r="C8" s="210" t="s">
        <v>3372</v>
      </c>
      <c r="H8" s="279" t="s">
        <v>3373</v>
      </c>
      <c r="I8" s="280"/>
      <c r="J8" s="280"/>
      <c r="K8" s="280"/>
      <c r="L8" s="280"/>
      <c r="M8" s="280"/>
      <c r="N8" s="280"/>
      <c r="O8" s="280"/>
      <c r="P8" s="280"/>
      <c r="Q8" s="280"/>
      <c r="R8" s="281"/>
      <c r="S8" s="127"/>
      <c r="T8" s="127"/>
      <c r="U8" s="127"/>
      <c r="V8" s="127"/>
      <c r="W8" s="127"/>
      <c r="X8" s="127"/>
      <c r="Y8" s="127"/>
      <c r="Z8" s="127"/>
    </row>
    <row r="9" spans="1:26" ht="24" customHeight="1">
      <c r="A9" s="208" t="s">
        <v>3374</v>
      </c>
      <c r="B9" s="209">
        <f>IFERROR(ROUND(AVERAGE(_DATA_Dashboard_Facts!$F$217:$F$233),0),"")</f>
        <v>0</v>
      </c>
      <c r="C9" s="210" t="s">
        <v>3375</v>
      </c>
      <c r="H9" s="129" t="s">
        <v>764</v>
      </c>
      <c r="I9" s="129" t="s">
        <v>3376</v>
      </c>
      <c r="J9" s="129" t="s">
        <v>3377</v>
      </c>
      <c r="K9" s="129" t="s">
        <v>3378</v>
      </c>
      <c r="L9" s="129" t="s">
        <v>3379</v>
      </c>
      <c r="M9" s="129" t="s">
        <v>3380</v>
      </c>
      <c r="N9" s="129" t="s">
        <v>3381</v>
      </c>
      <c r="O9" s="129" t="s">
        <v>3382</v>
      </c>
      <c r="P9" s="129" t="s">
        <v>777</v>
      </c>
      <c r="Q9" s="129" t="s">
        <v>273</v>
      </c>
      <c r="R9" s="129" t="s">
        <v>742</v>
      </c>
      <c r="S9" s="127"/>
      <c r="T9" s="127"/>
      <c r="U9" s="127"/>
      <c r="V9" s="127"/>
      <c r="W9" s="127"/>
      <c r="X9" s="127"/>
      <c r="Y9" s="127"/>
      <c r="Z9" s="127"/>
    </row>
    <row r="10" spans="1:26" ht="22" customHeight="1">
      <c r="A10" s="208" t="s">
        <v>3383</v>
      </c>
      <c r="B10" s="209">
        <f>IFERROR(ROUND(SUMPRODUCT($B$16:$B$32,_CONFIG_Model_Settings!$H$70:$H$86)/SUMIF($B$16:$B$32,"&gt;=0",_CONFIG_Model_Settings!$H$70:$H$86),2),"")</f>
        <v>0</v>
      </c>
      <c r="C10" s="210" t="s">
        <v>3384</v>
      </c>
      <c r="H10" s="130" t="str">
        <f>$A$16</f>
        <v>Company Geography</v>
      </c>
      <c r="I10" s="131"/>
      <c r="J10" s="131"/>
      <c r="K10" s="131"/>
      <c r="L10" s="131"/>
      <c r="M10" s="131"/>
      <c r="N10" s="132">
        <f>$C$16</f>
        <v>0</v>
      </c>
      <c r="O10" s="132">
        <f>$B$16</f>
        <v>0</v>
      </c>
      <c r="P10" s="132">
        <f>$D$16</f>
        <v>0</v>
      </c>
      <c r="Q10" s="132">
        <f>$E$16</f>
        <v>0</v>
      </c>
      <c r="R10" s="131" t="str">
        <f>$F$16</f>
        <v>OK</v>
      </c>
      <c r="S10" s="127"/>
      <c r="T10" s="127"/>
      <c r="U10" s="127"/>
      <c r="V10" s="127"/>
      <c r="W10" s="127"/>
      <c r="X10" s="127"/>
      <c r="Y10" s="127"/>
      <c r="Z10" s="127"/>
    </row>
    <row r="11" spans="1:26" ht="22" customHeight="1">
      <c r="A11" s="208" t="s">
        <v>3385</v>
      </c>
      <c r="B11" s="209">
        <f>IFERROR(ROUND(AVERAGEIF($D$16:$D$32,"&gt;=0"),2),"")</f>
        <v>0</v>
      </c>
      <c r="C11" s="210" t="s">
        <v>3386</v>
      </c>
      <c r="H11" s="133" t="str">
        <f>$A$17</f>
        <v>Strategy GTM</v>
      </c>
      <c r="I11" s="134"/>
      <c r="J11" s="134"/>
      <c r="K11" s="134"/>
      <c r="L11" s="134"/>
      <c r="M11" s="134"/>
      <c r="N11" s="135">
        <f>$C$17</f>
        <v>0</v>
      </c>
      <c r="O11" s="135">
        <f>$B$17</f>
        <v>0</v>
      </c>
      <c r="P11" s="135">
        <f>$D$17</f>
        <v>0</v>
      </c>
      <c r="Q11" s="135">
        <f>$E$17</f>
        <v>0</v>
      </c>
      <c r="R11" s="134" t="str">
        <f>$F$17</f>
        <v>OK</v>
      </c>
      <c r="S11" s="127"/>
      <c r="T11" s="127"/>
      <c r="U11" s="127"/>
      <c r="V11" s="127"/>
      <c r="W11" s="127"/>
      <c r="X11" s="127"/>
      <c r="Y11" s="127"/>
      <c r="Z11" s="127"/>
    </row>
    <row r="12" spans="1:26" ht="22" customHeight="1">
      <c r="A12" s="208" t="s">
        <v>3387</v>
      </c>
      <c r="B12" s="209">
        <f>COUNTIF($F$16:$F$32,"Breach")</f>
        <v>0</v>
      </c>
      <c r="C12" s="210" t="s">
        <v>3388</v>
      </c>
      <c r="H12" s="130" t="str">
        <f>$A$18</f>
        <v>Governance Crisis</v>
      </c>
      <c r="I12" s="131"/>
      <c r="J12" s="131"/>
      <c r="K12" s="131"/>
      <c r="L12" s="131"/>
      <c r="M12" s="131"/>
      <c r="N12" s="132">
        <f>$C$18</f>
        <v>0</v>
      </c>
      <c r="O12" s="132">
        <f>$B$18</f>
        <v>0</v>
      </c>
      <c r="P12" s="132">
        <f>$D$18</f>
        <v>0</v>
      </c>
      <c r="Q12" s="132">
        <f>$E$18</f>
        <v>0</v>
      </c>
      <c r="R12" s="131" t="str">
        <f>$F$18</f>
        <v>OK</v>
      </c>
      <c r="S12" s="127"/>
      <c r="T12" s="127"/>
      <c r="U12" s="127"/>
      <c r="V12" s="127"/>
      <c r="W12" s="127"/>
      <c r="X12" s="127"/>
      <c r="Y12" s="127"/>
      <c r="Z12" s="127"/>
    </row>
    <row r="13" spans="1:26" ht="22" customHeight="1">
      <c r="H13" s="133" t="str">
        <f>$A$19</f>
        <v>HR Workforce</v>
      </c>
      <c r="I13" s="134"/>
      <c r="J13" s="134"/>
      <c r="K13" s="134"/>
      <c r="L13" s="134"/>
      <c r="M13" s="134"/>
      <c r="N13" s="135">
        <f>$C$19</f>
        <v>0</v>
      </c>
      <c r="O13" s="135">
        <f>$B$19</f>
        <v>0</v>
      </c>
      <c r="P13" s="135">
        <f>$D$19</f>
        <v>0</v>
      </c>
      <c r="Q13" s="135">
        <f>$E$19</f>
        <v>0</v>
      </c>
      <c r="R13" s="134" t="str">
        <f>$F$19</f>
        <v>OK</v>
      </c>
      <c r="S13" s="127"/>
      <c r="T13" s="127"/>
      <c r="U13" s="127"/>
      <c r="V13" s="127"/>
      <c r="W13" s="127"/>
      <c r="X13" s="127"/>
      <c r="Y13" s="127"/>
      <c r="Z13" s="127"/>
    </row>
    <row r="14" spans="1:26" ht="22" customHeight="1">
      <c r="A14" s="211" t="s">
        <v>3389</v>
      </c>
      <c r="H14" s="130" t="str">
        <f>$A$20</f>
        <v>Finance Procurement</v>
      </c>
      <c r="I14" s="131"/>
      <c r="J14" s="131"/>
      <c r="K14" s="131"/>
      <c r="L14" s="131"/>
      <c r="M14" s="131"/>
      <c r="N14" s="132">
        <f>$C$20</f>
        <v>0</v>
      </c>
      <c r="O14" s="132">
        <f>$B$20</f>
        <v>0</v>
      </c>
      <c r="P14" s="132">
        <f>$D$20</f>
        <v>0</v>
      </c>
      <c r="Q14" s="132">
        <f>$E$20</f>
        <v>0</v>
      </c>
      <c r="R14" s="131" t="str">
        <f>$F$20</f>
        <v>OK</v>
      </c>
      <c r="S14" s="127"/>
      <c r="T14" s="127"/>
      <c r="U14" s="127"/>
      <c r="V14" s="127"/>
      <c r="W14" s="127"/>
      <c r="X14" s="127"/>
      <c r="Y14" s="127"/>
      <c r="Z14" s="127"/>
    </row>
    <row r="15" spans="1:26" ht="22" customHeight="1">
      <c r="A15" s="207" t="s">
        <v>764</v>
      </c>
      <c r="B15" s="207" t="s">
        <v>3390</v>
      </c>
      <c r="C15" s="207" t="s">
        <v>3391</v>
      </c>
      <c r="D15" s="207" t="s">
        <v>3392</v>
      </c>
      <c r="E15" s="207" t="s">
        <v>273</v>
      </c>
      <c r="F15" s="207" t="s">
        <v>3393</v>
      </c>
      <c r="H15" s="133" t="str">
        <f>$A$21</f>
        <v>Legal Risk</v>
      </c>
      <c r="I15" s="134"/>
      <c r="J15" s="134"/>
      <c r="K15" s="134"/>
      <c r="L15" s="134"/>
      <c r="M15" s="134"/>
      <c r="N15" s="135">
        <f>$C$21</f>
        <v>0</v>
      </c>
      <c r="O15" s="135">
        <f>$B$21</f>
        <v>0</v>
      </c>
      <c r="P15" s="135">
        <f>$D$21</f>
        <v>0</v>
      </c>
      <c r="Q15" s="135">
        <f>$E$21</f>
        <v>0</v>
      </c>
      <c r="R15" s="134" t="str">
        <f>$F$21</f>
        <v>OK</v>
      </c>
      <c r="S15" s="127"/>
      <c r="T15" s="127"/>
      <c r="U15" s="127"/>
      <c r="V15" s="127"/>
      <c r="W15" s="127"/>
      <c r="X15" s="127"/>
      <c r="Y15" s="127"/>
      <c r="Z15" s="127"/>
    </row>
    <row r="16" spans="1:26" ht="22" customHeight="1">
      <c r="A16" s="212" t="str">
        <f>_DATA_Dashboard_Facts!$A$5</f>
        <v>Company Geography</v>
      </c>
      <c r="B16" s="213">
        <f>IF(SUMPRODUCT((_DATA_Assessment_Model!$H$5:$H$23&lt;&gt;"")*(_DATA_Assessment_Model!$H$5:$H$23&lt;&gt;"N/A")*_DATA_Assessment_Model!$G$5:$G$23)=0,"",ROUND(SUMPRODUCT((_DATA_Assessment_Model!$H$5:$H$23&lt;&gt;"")*(_DATA_Assessment_Model!$H$5:$H$23&lt;&gt;"N/A")*_DATA_Assessment_Model!$G$5:$G$23*_DATA_Assessment_Model!$AS$5:$AS$23)/SUMPRODUCT((_DATA_Assessment_Model!$H$5:$H$23&lt;&gt;"")*(_DATA_Assessment_Model!$H$5:$H$23&lt;&gt;"N/A")*_DATA_Assessment_Model!$G$5:$G$23),2))</f>
        <v>0</v>
      </c>
      <c r="C16" s="213">
        <f>IFERROR(MIN(5,MAX(0,(SUMIFS(_REF_Model_Content!$D$1:$D$174,_REF_Model_Content!$A$1:$A$174,_ENGINE_Profile_Vector!$E$7,_REF_Model_Content!$B$1:$B$174,$A16))+IFERROR(VLOOKUP('Company Profile'!$B$35,_CONFIG_Model_Settings!$A$11:$B$13,2,0),0))),"")</f>
        <v>0</v>
      </c>
      <c r="D16" s="213">
        <f t="shared" ref="D16:D32" si="0">IF(OR($B16="",$C16=""),"",MAX(0,ROUND($C16-$B16,2)))</f>
        <v>0</v>
      </c>
      <c r="E16" s="214">
        <f>IF($D16="","",ROUND($D16*IFERROR(SUMIFS(_REF_Model_Content!$E$1:$E$174,_REF_Model_Content!$A$1:$A$174,_ENGINE_Profile_Vector!$E$7,_REF_Model_Content!$B$1:$B$174,$A16),1)*IFERROR(INDEX(_CONFIG_Model_Settings!$H$1:$H$181,MATCH($A16,_CONFIG_Model_Settings!$A$1:$A$181,0)),0)*100,2))</f>
        <v>0</v>
      </c>
      <c r="F16" s="215" t="str">
        <f t="shared" ref="F16:F32" si="1">IF($B16="","",IF($B16&lt;$C16-1.5,"Breach",IF($B16&lt;$C16,"Gap","OK")))</f>
        <v>OK</v>
      </c>
      <c r="H16" s="130" t="str">
        <f>$A$22</f>
        <v>Physical Safety</v>
      </c>
      <c r="I16" s="131"/>
      <c r="J16" s="131"/>
      <c r="K16" s="131"/>
      <c r="L16" s="131"/>
      <c r="M16" s="131"/>
      <c r="N16" s="132">
        <f>$C$22</f>
        <v>0</v>
      </c>
      <c r="O16" s="132">
        <f>$B$22</f>
        <v>0</v>
      </c>
      <c r="P16" s="132">
        <f>$D$22</f>
        <v>0</v>
      </c>
      <c r="Q16" s="132">
        <f>$E$22</f>
        <v>0</v>
      </c>
      <c r="R16" s="131" t="str">
        <f>$F$22</f>
        <v>OK</v>
      </c>
      <c r="S16" s="127"/>
      <c r="T16" s="127"/>
      <c r="U16" s="127"/>
      <c r="V16" s="127"/>
      <c r="W16" s="127"/>
      <c r="X16" s="127"/>
      <c r="Y16" s="127"/>
      <c r="Z16" s="127"/>
    </row>
    <row r="17" spans="1:26" ht="22" customHeight="1">
      <c r="A17" s="216" t="str">
        <f>_DATA_Dashboard_Facts!$A$6</f>
        <v>Strategy GTM</v>
      </c>
      <c r="B17" s="217">
        <f>IF(SUMPRODUCT((_DATA_Assessment_Model!$H$24:$H$49&lt;&gt;"")*(_DATA_Assessment_Model!$H$24:$H$49&lt;&gt;"N/A")*_DATA_Assessment_Model!$G$24:$G$49)=0,"",ROUND(SUMPRODUCT((_DATA_Assessment_Model!$H$24:$H$49&lt;&gt;"")*(_DATA_Assessment_Model!$H$24:$H$49&lt;&gt;"N/A")*_DATA_Assessment_Model!$G$24:$G$49*_DATA_Assessment_Model!$AS$24:$AS$49)/SUMPRODUCT((_DATA_Assessment_Model!$H$24:$H$49&lt;&gt;"")*(_DATA_Assessment_Model!$H$24:$H$49&lt;&gt;"N/A")*_DATA_Assessment_Model!$G$24:$G$49),2))</f>
        <v>0</v>
      </c>
      <c r="C17" s="217">
        <f>IFERROR(MIN(5,MAX(0,(SUMIFS(_REF_Model_Content!$D$1:$D$174,_REF_Model_Content!$A$1:$A$174,_ENGINE_Profile_Vector!$E$7,_REF_Model_Content!$B$1:$B$174,$A17))+IFERROR(VLOOKUP('Company Profile'!$B$35,_CONFIG_Model_Settings!$A$11:$B$13,2,0),0))),"")</f>
        <v>0</v>
      </c>
      <c r="D17" s="217">
        <f t="shared" si="0"/>
        <v>0</v>
      </c>
      <c r="E17" s="218">
        <f>IF($D17="","",ROUND($D17*IFERROR(SUMIFS(_REF_Model_Content!$E$1:$E$174,_REF_Model_Content!$A$1:$A$174,_ENGINE_Profile_Vector!$E$7,_REF_Model_Content!$B$1:$B$174,$A17),1)*IFERROR(INDEX(_CONFIG_Model_Settings!$H$1:$H$181,MATCH($A17,_CONFIG_Model_Settings!$A$1:$A$181,0)),0)*100,2))</f>
        <v>0</v>
      </c>
      <c r="F17" s="219" t="str">
        <f t="shared" si="1"/>
        <v>OK</v>
      </c>
      <c r="H17" s="133" t="str">
        <f>$A$23</f>
        <v>Delivery Ops</v>
      </c>
      <c r="I17" s="134"/>
      <c r="J17" s="134"/>
      <c r="K17" s="134"/>
      <c r="L17" s="134"/>
      <c r="M17" s="134"/>
      <c r="N17" s="135">
        <f>$C$23</f>
        <v>0</v>
      </c>
      <c r="O17" s="135">
        <f>$B$23</f>
        <v>0</v>
      </c>
      <c r="P17" s="135">
        <f>$D$23</f>
        <v>0</v>
      </c>
      <c r="Q17" s="135">
        <f>$E$23</f>
        <v>0</v>
      </c>
      <c r="R17" s="134" t="str">
        <f>$F$23</f>
        <v>OK</v>
      </c>
      <c r="S17" s="127"/>
      <c r="T17" s="127"/>
      <c r="U17" s="127"/>
      <c r="V17" s="127"/>
      <c r="W17" s="127"/>
      <c r="X17" s="127"/>
      <c r="Y17" s="127"/>
      <c r="Z17" s="127"/>
    </row>
    <row r="18" spans="1:26" ht="22" customHeight="1">
      <c r="A18" s="212" t="str">
        <f>_DATA_Dashboard_Facts!$A$7</f>
        <v>Governance Crisis</v>
      </c>
      <c r="B18" s="213">
        <f>IF(SUMPRODUCT((_DATA_Assessment_Model!$H$50:$H$71&lt;&gt;"")*(_DATA_Assessment_Model!$H$50:$H$71&lt;&gt;"N/A")*_DATA_Assessment_Model!$G$50:$G$71)=0,"",ROUND(SUMPRODUCT((_DATA_Assessment_Model!$H$50:$H$71&lt;&gt;"")*(_DATA_Assessment_Model!$H$50:$H$71&lt;&gt;"N/A")*_DATA_Assessment_Model!$G$50:$G$71*_DATA_Assessment_Model!$AS$50:$AS$71)/SUMPRODUCT((_DATA_Assessment_Model!$H$50:$H$71&lt;&gt;"")*(_DATA_Assessment_Model!$H$50:$H$71&lt;&gt;"N/A")*_DATA_Assessment_Model!$G$50:$G$71),2))</f>
        <v>0</v>
      </c>
      <c r="C18" s="213">
        <f>IFERROR(MIN(5,MAX(0,(SUMIFS(_REF_Model_Content!$D$1:$D$174,_REF_Model_Content!$A$1:$A$174,_ENGINE_Profile_Vector!$E$7,_REF_Model_Content!$B$1:$B$174,$A18))+IFERROR(VLOOKUP('Company Profile'!$B$35,_CONFIG_Model_Settings!$A$11:$B$13,2,0),0))),"")</f>
        <v>0</v>
      </c>
      <c r="D18" s="213">
        <f t="shared" si="0"/>
        <v>0</v>
      </c>
      <c r="E18" s="214">
        <f>IF($D18="","",ROUND($D18*IFERROR(SUMIFS(_REF_Model_Content!$E$1:$E$174,_REF_Model_Content!$A$1:$A$174,_ENGINE_Profile_Vector!$E$7,_REF_Model_Content!$B$1:$B$174,$A18),1)*IFERROR(INDEX(_CONFIG_Model_Settings!$H$1:$H$181,MATCH($A18,_CONFIG_Model_Settings!$A$1:$A$181,0)),0)*100,2))</f>
        <v>0</v>
      </c>
      <c r="F18" s="215" t="str">
        <f t="shared" si="1"/>
        <v>OK</v>
      </c>
      <c r="H18" s="130" t="str">
        <f>$A$24</f>
        <v>Supply Chain</v>
      </c>
      <c r="I18" s="131"/>
      <c r="J18" s="131"/>
      <c r="K18" s="131"/>
      <c r="L18" s="131"/>
      <c r="M18" s="131"/>
      <c r="N18" s="132">
        <f>$C$24</f>
        <v>0</v>
      </c>
      <c r="O18" s="132">
        <f>$B$24</f>
        <v>0</v>
      </c>
      <c r="P18" s="132">
        <f>$D$24</f>
        <v>0</v>
      </c>
      <c r="Q18" s="132">
        <f>$E$24</f>
        <v>0</v>
      </c>
      <c r="R18" s="131" t="str">
        <f>$F$24</f>
        <v>OK</v>
      </c>
      <c r="S18" s="127"/>
      <c r="T18" s="127"/>
      <c r="U18" s="127"/>
      <c r="V18" s="127"/>
      <c r="W18" s="127"/>
      <c r="X18" s="127"/>
      <c r="Y18" s="127"/>
      <c r="Z18" s="127"/>
    </row>
    <row r="19" spans="1:26" ht="22" customHeight="1">
      <c r="A19" s="216" t="str">
        <f>_DATA_Dashboard_Facts!$A$8</f>
        <v>HR Workforce</v>
      </c>
      <c r="B19" s="217">
        <f>IF(SUMPRODUCT((_DATA_Assessment_Model!$H$72:$H$97&lt;&gt;"")*(_DATA_Assessment_Model!$H$72:$H$97&lt;&gt;"N/A")*_DATA_Assessment_Model!$G$72:$G$97)=0,"",ROUND(SUMPRODUCT((_DATA_Assessment_Model!$H$72:$H$97&lt;&gt;"")*(_DATA_Assessment_Model!$H$72:$H$97&lt;&gt;"N/A")*_DATA_Assessment_Model!$G$72:$G$97*_DATA_Assessment_Model!$AS$72:$AS$97)/SUMPRODUCT((_DATA_Assessment_Model!$H$72:$H$97&lt;&gt;"")*(_DATA_Assessment_Model!$H$72:$H$97&lt;&gt;"N/A")*_DATA_Assessment_Model!$G$72:$G$97),2))</f>
        <v>0</v>
      </c>
      <c r="C19" s="217">
        <f>IFERROR(MIN(5,MAX(0,(SUMIFS(_REF_Model_Content!$D$1:$D$174,_REF_Model_Content!$A$1:$A$174,_ENGINE_Profile_Vector!$E$7,_REF_Model_Content!$B$1:$B$174,$A19))+IFERROR(VLOOKUP('Company Profile'!$B$35,_CONFIG_Model_Settings!$A$11:$B$13,2,0),0))),"")</f>
        <v>0</v>
      </c>
      <c r="D19" s="217">
        <f t="shared" si="0"/>
        <v>0</v>
      </c>
      <c r="E19" s="218">
        <f>IF($D19="","",ROUND($D19*IFERROR(SUMIFS(_REF_Model_Content!$E$1:$E$174,_REF_Model_Content!$A$1:$A$174,_ENGINE_Profile_Vector!$E$7,_REF_Model_Content!$B$1:$B$174,$A19),1)*IFERROR(INDEX(_CONFIG_Model_Settings!$H$1:$H$181,MATCH($A19,_CONFIG_Model_Settings!$A$1:$A$181,0)),0)*100,2))</f>
        <v>0</v>
      </c>
      <c r="F19" s="219" t="str">
        <f t="shared" si="1"/>
        <v>OK</v>
      </c>
      <c r="H19" s="133" t="str">
        <f>$A$25</f>
        <v>Manufacturing MES</v>
      </c>
      <c r="I19" s="134"/>
      <c r="J19" s="134"/>
      <c r="K19" s="134"/>
      <c r="L19" s="134"/>
      <c r="M19" s="134"/>
      <c r="N19" s="135">
        <f>$C$25</f>
        <v>0</v>
      </c>
      <c r="O19" s="135">
        <f>$B$25</f>
        <v>0</v>
      </c>
      <c r="P19" s="135">
        <f>$D$25</f>
        <v>0</v>
      </c>
      <c r="Q19" s="135">
        <f>$E$25</f>
        <v>0</v>
      </c>
      <c r="R19" s="134" t="str">
        <f>$F$25</f>
        <v>OK</v>
      </c>
      <c r="S19" s="127"/>
      <c r="T19" s="127"/>
      <c r="U19" s="127"/>
      <c r="V19" s="127"/>
      <c r="W19" s="127"/>
      <c r="X19" s="127"/>
      <c r="Y19" s="127"/>
      <c r="Z19" s="127"/>
    </row>
    <row r="20" spans="1:26" ht="22" customHeight="1">
      <c r="A20" s="212" t="str">
        <f>_DATA_Dashboard_Facts!$A$9</f>
        <v>Finance Procurement</v>
      </c>
      <c r="B20" s="213">
        <f>IF(SUMPRODUCT((_DATA_Assessment_Model!$H$98:$H$123&lt;&gt;"")*(_DATA_Assessment_Model!$H$98:$H$123&lt;&gt;"N/A")*_DATA_Assessment_Model!$G$98:$G$123)=0,"",ROUND(SUMPRODUCT((_DATA_Assessment_Model!$H$98:$H$123&lt;&gt;"")*(_DATA_Assessment_Model!$H$98:$H$123&lt;&gt;"N/A")*_DATA_Assessment_Model!$G$98:$G$123*_DATA_Assessment_Model!$AS$98:$AS$123)/SUMPRODUCT((_DATA_Assessment_Model!$H$98:$H$123&lt;&gt;"")*(_DATA_Assessment_Model!$H$98:$H$123&lt;&gt;"N/A")*_DATA_Assessment_Model!$G$98:$G$123),2))</f>
        <v>0</v>
      </c>
      <c r="C20" s="213">
        <f>IFERROR(MIN(5,MAX(0,(SUMIFS(_REF_Model_Content!$D$1:$D$174,_REF_Model_Content!$A$1:$A$174,_ENGINE_Profile_Vector!$E$7,_REF_Model_Content!$B$1:$B$174,$A20))+IFERROR(VLOOKUP('Company Profile'!$B$35,_CONFIG_Model_Settings!$A$11:$B$13,2,0),0))),"")</f>
        <v>0</v>
      </c>
      <c r="D20" s="213">
        <f t="shared" si="0"/>
        <v>0</v>
      </c>
      <c r="E20" s="214">
        <f>IF($D20="","",ROUND($D20*IFERROR(SUMIFS(_REF_Model_Content!$E$1:$E$174,_REF_Model_Content!$A$1:$A$174,_ENGINE_Profile_Vector!$E$7,_REF_Model_Content!$B$1:$B$174,$A20),1)*IFERROR(INDEX(_CONFIG_Model_Settings!$H$1:$H$181,MATCH($A20,_CONFIG_Model_Settings!$A$1:$A$181,0)),0)*100,2))</f>
        <v>0</v>
      </c>
      <c r="F20" s="215" t="str">
        <f t="shared" si="1"/>
        <v>OK</v>
      </c>
      <c r="H20" s="130" t="str">
        <f>$A$26</f>
        <v>Sales CRM</v>
      </c>
      <c r="I20" s="131"/>
      <c r="J20" s="131"/>
      <c r="K20" s="131"/>
      <c r="L20" s="131"/>
      <c r="M20" s="131"/>
      <c r="N20" s="132">
        <f>$C$26</f>
        <v>0</v>
      </c>
      <c r="O20" s="132">
        <f>$B$26</f>
        <v>0</v>
      </c>
      <c r="P20" s="132">
        <f>$D$26</f>
        <v>0</v>
      </c>
      <c r="Q20" s="132">
        <f>$E$26</f>
        <v>0</v>
      </c>
      <c r="R20" s="131" t="str">
        <f>$F$26</f>
        <v>OK</v>
      </c>
      <c r="S20" s="127"/>
      <c r="T20" s="127"/>
      <c r="U20" s="127"/>
      <c r="V20" s="127"/>
      <c r="W20" s="127"/>
      <c r="X20" s="127"/>
      <c r="Y20" s="127"/>
      <c r="Z20" s="127"/>
    </row>
    <row r="21" spans="1:26" ht="22" customHeight="1">
      <c r="A21" s="216" t="str">
        <f>_DATA_Dashboard_Facts!$A$10</f>
        <v>Legal Risk</v>
      </c>
      <c r="B21" s="217">
        <f>IF(SUMPRODUCT((_DATA_Assessment_Model!$H$124:$H$144&lt;&gt;"")*(_DATA_Assessment_Model!$H$124:$H$144&lt;&gt;"N/A")*_DATA_Assessment_Model!$G$124:$G$144)=0,"",ROUND(SUMPRODUCT((_DATA_Assessment_Model!$H$124:$H$144&lt;&gt;"")*(_DATA_Assessment_Model!$H$124:$H$144&lt;&gt;"N/A")*_DATA_Assessment_Model!$G$124:$G$144*_DATA_Assessment_Model!$AS$124:$AS$144)/SUMPRODUCT((_DATA_Assessment_Model!$H$124:$H$144&lt;&gt;"")*(_DATA_Assessment_Model!$H$124:$H$144&lt;&gt;"N/A")*_DATA_Assessment_Model!$G$124:$G$144),2))</f>
        <v>0</v>
      </c>
      <c r="C21" s="217">
        <f>IFERROR(MIN(5,MAX(0,(SUMIFS(_REF_Model_Content!$D$1:$D$174,_REF_Model_Content!$A$1:$A$174,_ENGINE_Profile_Vector!$E$7,_REF_Model_Content!$B$1:$B$174,$A21))+IFERROR(VLOOKUP('Company Profile'!$B$35,_CONFIG_Model_Settings!$A$11:$B$13,2,0),0))),"")</f>
        <v>0</v>
      </c>
      <c r="D21" s="217">
        <f t="shared" si="0"/>
        <v>0</v>
      </c>
      <c r="E21" s="218">
        <f>IF($D21="","",ROUND($D21*IFERROR(SUMIFS(_REF_Model_Content!$E$1:$E$174,_REF_Model_Content!$A$1:$A$174,_ENGINE_Profile_Vector!$E$7,_REF_Model_Content!$B$1:$B$174,$A21),1)*IFERROR(INDEX(_CONFIG_Model_Settings!$H$1:$H$181,MATCH($A21,_CONFIG_Model_Settings!$A$1:$A$181,0)),0)*100,2))</f>
        <v>0</v>
      </c>
      <c r="F21" s="219" t="str">
        <f t="shared" si="1"/>
        <v>OK</v>
      </c>
      <c r="H21" s="133" t="str">
        <f>$A$27</f>
        <v>Marketing Comms</v>
      </c>
      <c r="I21" s="134"/>
      <c r="J21" s="134"/>
      <c r="K21" s="134"/>
      <c r="L21" s="134"/>
      <c r="M21" s="134"/>
      <c r="N21" s="135">
        <f>$C$27</f>
        <v>0</v>
      </c>
      <c r="O21" s="135">
        <f>$B$27</f>
        <v>0</v>
      </c>
      <c r="P21" s="135">
        <f>$D$27</f>
        <v>0</v>
      </c>
      <c r="Q21" s="135">
        <f>$E$27</f>
        <v>0</v>
      </c>
      <c r="R21" s="134" t="str">
        <f>$F$27</f>
        <v>OK</v>
      </c>
      <c r="S21" s="127"/>
      <c r="T21" s="127"/>
      <c r="U21" s="127"/>
      <c r="V21" s="127"/>
      <c r="W21" s="127"/>
      <c r="X21" s="127"/>
      <c r="Y21" s="127"/>
      <c r="Z21" s="127"/>
    </row>
    <row r="22" spans="1:26" ht="22" customHeight="1">
      <c r="A22" s="212" t="str">
        <f>_DATA_Dashboard_Facts!$A$11</f>
        <v>Physical Safety</v>
      </c>
      <c r="B22" s="213">
        <f>IF(SUMPRODUCT((_DATA_Assessment_Model!$H$145:$H$175&lt;&gt;"")*(_DATA_Assessment_Model!$H$145:$H$175&lt;&gt;"N/A")*_DATA_Assessment_Model!$G$145:$G$175)=0,"",ROUND(SUMPRODUCT((_DATA_Assessment_Model!$H$145:$H$175&lt;&gt;"")*(_DATA_Assessment_Model!$H$145:$H$175&lt;&gt;"N/A")*_DATA_Assessment_Model!$G$145:$G$175*_DATA_Assessment_Model!$AS$145:$AS$175)/SUMPRODUCT((_DATA_Assessment_Model!$H$145:$H$175&lt;&gt;"")*(_DATA_Assessment_Model!$H$145:$H$175&lt;&gt;"N/A")*_DATA_Assessment_Model!$G$145:$G$175),2))</f>
        <v>0</v>
      </c>
      <c r="C22" s="213">
        <f>IFERROR(MIN(5,MAX(0,(SUMIFS(_REF_Model_Content!$D$1:$D$174,_REF_Model_Content!$A$1:$A$174,_ENGINE_Profile_Vector!$E$7,_REF_Model_Content!$B$1:$B$174,$A22))+IFERROR(VLOOKUP('Company Profile'!$B$35,_CONFIG_Model_Settings!$A$11:$B$13,2,0),0))),"")</f>
        <v>0</v>
      </c>
      <c r="D22" s="213">
        <f t="shared" si="0"/>
        <v>0</v>
      </c>
      <c r="E22" s="214">
        <f>IF($D22="","",ROUND($D22*IFERROR(SUMIFS(_REF_Model_Content!$E$1:$E$174,_REF_Model_Content!$A$1:$A$174,_ENGINE_Profile_Vector!$E$7,_REF_Model_Content!$B$1:$B$174,$A22),1)*IFERROR(INDEX(_CONFIG_Model_Settings!$H$1:$H$181,MATCH($A22,_CONFIG_Model_Settings!$A$1:$A$181,0)),0)*100,2))</f>
        <v>0</v>
      </c>
      <c r="F22" s="215" t="str">
        <f t="shared" si="1"/>
        <v>OK</v>
      </c>
      <c r="H22" s="130" t="str">
        <f>$A$28</f>
        <v>IT Cloud DR</v>
      </c>
      <c r="I22" s="131"/>
      <c r="J22" s="131"/>
      <c r="K22" s="131"/>
      <c r="L22" s="131"/>
      <c r="M22" s="131"/>
      <c r="N22" s="132">
        <f>$C$28</f>
        <v>0</v>
      </c>
      <c r="O22" s="132">
        <f>$B$28</f>
        <v>0</v>
      </c>
      <c r="P22" s="132">
        <f>$D$28</f>
        <v>0</v>
      </c>
      <c r="Q22" s="132">
        <f>$E$28</f>
        <v>0</v>
      </c>
      <c r="R22" s="131" t="str">
        <f>$F$28</f>
        <v>OK</v>
      </c>
      <c r="S22" s="127"/>
      <c r="T22" s="127"/>
      <c r="U22" s="127"/>
      <c r="V22" s="127"/>
      <c r="W22" s="127"/>
      <c r="X22" s="127"/>
      <c r="Y22" s="127"/>
      <c r="Z22" s="127"/>
    </row>
    <row r="23" spans="1:26" ht="22" customHeight="1">
      <c r="A23" s="216" t="str">
        <f>_DATA_Dashboard_Facts!$A$12</f>
        <v>Delivery Ops</v>
      </c>
      <c r="B23" s="217">
        <f>IF(SUMPRODUCT((_DATA_Assessment_Model!$H$176:$H$199&lt;&gt;"")*(_DATA_Assessment_Model!$H$176:$H$199&lt;&gt;"N/A")*_DATA_Assessment_Model!$G$176:$G$199)=0,"",ROUND(SUMPRODUCT((_DATA_Assessment_Model!$H$176:$H$199&lt;&gt;"")*(_DATA_Assessment_Model!$H$176:$H$199&lt;&gt;"N/A")*_DATA_Assessment_Model!$G$176:$G$199*_DATA_Assessment_Model!$AS$176:$AS$199)/SUMPRODUCT((_DATA_Assessment_Model!$H$176:$H$199&lt;&gt;"")*(_DATA_Assessment_Model!$H$176:$H$199&lt;&gt;"N/A")*_DATA_Assessment_Model!$G$176:$G$199),2))</f>
        <v>0</v>
      </c>
      <c r="C23" s="217">
        <f>IFERROR(MIN(5,MAX(0,(SUMIFS(_REF_Model_Content!$D$1:$D$174,_REF_Model_Content!$A$1:$A$174,_ENGINE_Profile_Vector!$E$7,_REF_Model_Content!$B$1:$B$174,$A23))+IFERROR(VLOOKUP('Company Profile'!$B$35,_CONFIG_Model_Settings!$A$11:$B$13,2,0),0))),"")</f>
        <v>0</v>
      </c>
      <c r="D23" s="217">
        <f t="shared" si="0"/>
        <v>0</v>
      </c>
      <c r="E23" s="218">
        <f>IF($D23="","",ROUND($D23*IFERROR(SUMIFS(_REF_Model_Content!$E$1:$E$174,_REF_Model_Content!$A$1:$A$174,_ENGINE_Profile_Vector!$E$7,_REF_Model_Content!$B$1:$B$174,$A23),1)*IFERROR(INDEX(_CONFIG_Model_Settings!$H$1:$H$181,MATCH($A23,_CONFIG_Model_Settings!$A$1:$A$181,0)),0)*100,2))</f>
        <v>0</v>
      </c>
      <c r="F23" s="219" t="str">
        <f t="shared" si="1"/>
        <v>OK</v>
      </c>
      <c r="H23" s="133" t="str">
        <f>$A$29</f>
        <v>Business Systems</v>
      </c>
      <c r="I23" s="134"/>
      <c r="J23" s="134"/>
      <c r="K23" s="134"/>
      <c r="L23" s="134"/>
      <c r="M23" s="134"/>
      <c r="N23" s="135">
        <f>$C$29</f>
        <v>0</v>
      </c>
      <c r="O23" s="135">
        <f>$B$29</f>
        <v>0</v>
      </c>
      <c r="P23" s="135">
        <f>$D$29</f>
        <v>0</v>
      </c>
      <c r="Q23" s="135">
        <f>$E$29</f>
        <v>0</v>
      </c>
      <c r="R23" s="134" t="str">
        <f>$F$29</f>
        <v>OK</v>
      </c>
      <c r="S23" s="127"/>
      <c r="T23" s="127"/>
      <c r="U23" s="127"/>
      <c r="V23" s="127"/>
      <c r="W23" s="127"/>
      <c r="X23" s="127"/>
      <c r="Y23" s="127"/>
      <c r="Z23" s="127"/>
    </row>
    <row r="24" spans="1:26" ht="22" customHeight="1">
      <c r="A24" s="212" t="str">
        <f>_DATA_Dashboard_Facts!$A$13</f>
        <v>Supply Chain</v>
      </c>
      <c r="B24" s="213">
        <f>IF(SUMPRODUCT((_DATA_Assessment_Model!$H$200:$H$228&lt;&gt;"")*(_DATA_Assessment_Model!$H$200:$H$228&lt;&gt;"N/A")*_DATA_Assessment_Model!$G$200:$G$228)=0,"",ROUND(SUMPRODUCT((_DATA_Assessment_Model!$H$200:$H$228&lt;&gt;"")*(_DATA_Assessment_Model!$H$200:$H$228&lt;&gt;"N/A")*_DATA_Assessment_Model!$G$200:$G$228*_DATA_Assessment_Model!$AS$200:$AS$228)/SUMPRODUCT((_DATA_Assessment_Model!$H$200:$H$228&lt;&gt;"")*(_DATA_Assessment_Model!$H$200:$H$228&lt;&gt;"N/A")*_DATA_Assessment_Model!$G$200:$G$228),2))</f>
        <v>0</v>
      </c>
      <c r="C24" s="213">
        <f>IFERROR(MIN(5,MAX(0,(SUMIFS(_REF_Model_Content!$D$1:$D$174,_REF_Model_Content!$A$1:$A$174,_ENGINE_Profile_Vector!$E$7,_REF_Model_Content!$B$1:$B$174,$A24))+IFERROR(VLOOKUP('Company Profile'!$B$35,_CONFIG_Model_Settings!$A$11:$B$13,2,0),0))),"")</f>
        <v>0</v>
      </c>
      <c r="D24" s="213">
        <f t="shared" si="0"/>
        <v>0</v>
      </c>
      <c r="E24" s="214">
        <f>IF($D24="","",ROUND($D24*IFERROR(SUMIFS(_REF_Model_Content!$E$1:$E$174,_REF_Model_Content!$A$1:$A$174,_ENGINE_Profile_Vector!$E$7,_REF_Model_Content!$B$1:$B$174,$A24),1)*IFERROR(INDEX(_CONFIG_Model_Settings!$H$1:$H$181,MATCH($A24,_CONFIG_Model_Settings!$A$1:$A$181,0)),0)*100,2))</f>
        <v>0</v>
      </c>
      <c r="F24" s="215" t="str">
        <f t="shared" si="1"/>
        <v>OK</v>
      </c>
      <c r="H24" s="130" t="str">
        <f>$A$30</f>
        <v>Data BI AI</v>
      </c>
      <c r="I24" s="131"/>
      <c r="J24" s="131"/>
      <c r="K24" s="131"/>
      <c r="L24" s="131"/>
      <c r="M24" s="131"/>
      <c r="N24" s="132">
        <f>$C$30</f>
        <v>0</v>
      </c>
      <c r="O24" s="132">
        <f>$B$30</f>
        <v>0</v>
      </c>
      <c r="P24" s="132">
        <f>$D$30</f>
        <v>0</v>
      </c>
      <c r="Q24" s="132">
        <f>$E$30</f>
        <v>0</v>
      </c>
      <c r="R24" s="131" t="str">
        <f>$F$30</f>
        <v>OK</v>
      </c>
      <c r="S24" s="127"/>
      <c r="T24" s="127"/>
      <c r="U24" s="127"/>
      <c r="V24" s="127"/>
      <c r="W24" s="127"/>
      <c r="X24" s="127"/>
      <c r="Y24" s="127"/>
      <c r="Z24" s="127"/>
    </row>
    <row r="25" spans="1:26" ht="22" customHeight="1">
      <c r="A25" s="216" t="str">
        <f>_DATA_Dashboard_Facts!$A$14</f>
        <v>Manufacturing MES</v>
      </c>
      <c r="B25" s="217">
        <f>IF(SUMPRODUCT((_DATA_Assessment_Model!$H$229:$H$256&lt;&gt;"")*(_DATA_Assessment_Model!$H$229:$H$256&lt;&gt;"N/A")*_DATA_Assessment_Model!$G$229:$G$256)=0,"",ROUND(SUMPRODUCT((_DATA_Assessment_Model!$H$229:$H$256&lt;&gt;"")*(_DATA_Assessment_Model!$H$229:$H$256&lt;&gt;"N/A")*_DATA_Assessment_Model!$G$229:$G$256*_DATA_Assessment_Model!$AS$229:$AS$256)/SUMPRODUCT((_DATA_Assessment_Model!$H$229:$H$256&lt;&gt;"")*(_DATA_Assessment_Model!$H$229:$H$256&lt;&gt;"N/A")*_DATA_Assessment_Model!$G$229:$G$256),2))</f>
        <v>0</v>
      </c>
      <c r="C25" s="217">
        <f>IFERROR(MIN(5,MAX(0,(SUMIFS(_REF_Model_Content!$D$1:$D$174,_REF_Model_Content!$A$1:$A$174,_ENGINE_Profile_Vector!$E$7,_REF_Model_Content!$B$1:$B$174,$A25))+IFERROR(VLOOKUP('Company Profile'!$B$35,_CONFIG_Model_Settings!$A$11:$B$13,2,0),0))),"")</f>
        <v>0</v>
      </c>
      <c r="D25" s="217">
        <f t="shared" si="0"/>
        <v>0</v>
      </c>
      <c r="E25" s="218">
        <f>IF($D25="","",ROUND($D25*IFERROR(SUMIFS(_REF_Model_Content!$E$1:$E$174,_REF_Model_Content!$A$1:$A$174,_ENGINE_Profile_Vector!$E$7,_REF_Model_Content!$B$1:$B$174,$A25),1)*IFERROR(INDEX(_CONFIG_Model_Settings!$H$1:$H$181,MATCH($A25,_CONFIG_Model_Settings!$A$1:$A$181,0)),0)*100,2))</f>
        <v>0</v>
      </c>
      <c r="F25" s="219" t="str">
        <f t="shared" si="1"/>
        <v>OK</v>
      </c>
      <c r="H25" s="133" t="str">
        <f>$A$31</f>
        <v>Cyber Privacy</v>
      </c>
      <c r="I25" s="134"/>
      <c r="J25" s="134"/>
      <c r="K25" s="134"/>
      <c r="L25" s="134"/>
      <c r="M25" s="134"/>
      <c r="N25" s="135">
        <f>$C$31</f>
        <v>0</v>
      </c>
      <c r="O25" s="135">
        <f>$B$31</f>
        <v>0</v>
      </c>
      <c r="P25" s="135">
        <f>$D$31</f>
        <v>0</v>
      </c>
      <c r="Q25" s="135">
        <f>$E$31</f>
        <v>0</v>
      </c>
      <c r="R25" s="134" t="str">
        <f>$F$31</f>
        <v>OK</v>
      </c>
      <c r="S25" s="127"/>
      <c r="T25" s="127"/>
      <c r="U25" s="127"/>
      <c r="V25" s="127"/>
      <c r="W25" s="127"/>
      <c r="X25" s="127"/>
      <c r="Y25" s="127"/>
      <c r="Z25" s="127"/>
    </row>
    <row r="26" spans="1:26" ht="22" customHeight="1">
      <c r="A26" s="212" t="str">
        <f>_DATA_Dashboard_Facts!$A$15</f>
        <v>Sales CRM</v>
      </c>
      <c r="B26" s="213">
        <f>IF(SUMPRODUCT((_DATA_Assessment_Model!$H$257:$H$280&lt;&gt;"")*(_DATA_Assessment_Model!$H$257:$H$280&lt;&gt;"N/A")*_DATA_Assessment_Model!$G$257:$G$280)=0,"",ROUND(SUMPRODUCT((_DATA_Assessment_Model!$H$257:$H$280&lt;&gt;"")*(_DATA_Assessment_Model!$H$257:$H$280&lt;&gt;"N/A")*_DATA_Assessment_Model!$G$257:$G$280*_DATA_Assessment_Model!$AS$257:$AS$280)/SUMPRODUCT((_DATA_Assessment_Model!$H$257:$H$280&lt;&gt;"")*(_DATA_Assessment_Model!$H$257:$H$280&lt;&gt;"N/A")*_DATA_Assessment_Model!$G$257:$G$280),2))</f>
        <v>0</v>
      </c>
      <c r="C26" s="213">
        <f>IFERROR(MIN(5,MAX(0,(SUMIFS(_REF_Model_Content!$D$1:$D$174,_REF_Model_Content!$A$1:$A$174,_ENGINE_Profile_Vector!$E$7,_REF_Model_Content!$B$1:$B$174,$A26))+IFERROR(VLOOKUP('Company Profile'!$B$35,_CONFIG_Model_Settings!$A$11:$B$13,2,0),0))),"")</f>
        <v>0</v>
      </c>
      <c r="D26" s="213">
        <f t="shared" si="0"/>
        <v>0</v>
      </c>
      <c r="E26" s="214">
        <f>IF($D26="","",ROUND($D26*IFERROR(SUMIFS(_REF_Model_Content!$E$1:$E$174,_REF_Model_Content!$A$1:$A$174,_ENGINE_Profile_Vector!$E$7,_REF_Model_Content!$B$1:$B$174,$A26),1)*IFERROR(INDEX(_CONFIG_Model_Settings!$H$1:$H$181,MATCH($A26,_CONFIG_Model_Settings!$A$1:$A$181,0)),0)*100,2))</f>
        <v>0</v>
      </c>
      <c r="F26" s="215" t="str">
        <f t="shared" si="1"/>
        <v>OK</v>
      </c>
      <c r="H26" s="130" t="str">
        <f>$A$32</f>
        <v>Quality Portfolio</v>
      </c>
      <c r="I26" s="131"/>
      <c r="J26" s="131"/>
      <c r="K26" s="131"/>
      <c r="L26" s="131"/>
      <c r="M26" s="131"/>
      <c r="N26" s="132">
        <f>$C$32</f>
        <v>0</v>
      </c>
      <c r="O26" s="132">
        <f>$B$32</f>
        <v>0</v>
      </c>
      <c r="P26" s="132">
        <f>$D$32</f>
        <v>0</v>
      </c>
      <c r="Q26" s="132">
        <f>$E$32</f>
        <v>0</v>
      </c>
      <c r="R26" s="131" t="str">
        <f>$F$32</f>
        <v>OK</v>
      </c>
      <c r="S26" s="127"/>
      <c r="T26" s="127"/>
      <c r="U26" s="127"/>
      <c r="V26" s="127"/>
      <c r="W26" s="127"/>
      <c r="X26" s="127"/>
      <c r="Y26" s="127"/>
      <c r="Z26" s="127"/>
    </row>
    <row r="27" spans="1:26" ht="20.05" customHeight="1">
      <c r="A27" s="216" t="str">
        <f>_DATA_Dashboard_Facts!$A$16</f>
        <v>Marketing Comms</v>
      </c>
      <c r="B27" s="217">
        <f>IF(SUMPRODUCT((_DATA_Assessment_Model!$H$281:$H$296&lt;&gt;"")*(_DATA_Assessment_Model!$H$281:$H$296&lt;&gt;"N/A")*_DATA_Assessment_Model!$G$281:$G$296)=0,"",ROUND(SUMPRODUCT((_DATA_Assessment_Model!$H$281:$H$296&lt;&gt;"")*(_DATA_Assessment_Model!$H$281:$H$296&lt;&gt;"N/A")*_DATA_Assessment_Model!$G$281:$G$296*_DATA_Assessment_Model!$AS$281:$AS$296)/SUMPRODUCT((_DATA_Assessment_Model!$H$281:$H$296&lt;&gt;"")*(_DATA_Assessment_Model!$H$281:$H$296&lt;&gt;"N/A")*_DATA_Assessment_Model!$G$281:$G$296),2))</f>
        <v>0</v>
      </c>
      <c r="C27" s="217">
        <f>IFERROR(MIN(5,MAX(0,(SUMIFS(_REF_Model_Content!$D$1:$D$174,_REF_Model_Content!$A$1:$A$174,_ENGINE_Profile_Vector!$E$7,_REF_Model_Content!$B$1:$B$174,$A27))+IFERROR(VLOOKUP('Company Profile'!$B$35,_CONFIG_Model_Settings!$A$11:$B$13,2,0),0))),"")</f>
        <v>0</v>
      </c>
      <c r="D27" s="217">
        <f t="shared" si="0"/>
        <v>0</v>
      </c>
      <c r="E27" s="218">
        <f>IF($D27="","",ROUND($D27*IFERROR(SUMIFS(_REF_Model_Content!$E$1:$E$174,_REF_Model_Content!$A$1:$A$174,_ENGINE_Profile_Vector!$E$7,_REF_Model_Content!$B$1:$B$174,$A27),1)*IFERROR(INDEX(_CONFIG_Model_Settings!$H$1:$H$181,MATCH($A27,_CONFIG_Model_Settings!$A$1:$A$181,0)),0)*100,2))</f>
        <v>0</v>
      </c>
      <c r="F27" s="219" t="str">
        <f t="shared" si="1"/>
        <v>OK</v>
      </c>
      <c r="H27" s="127"/>
      <c r="I27" s="127"/>
      <c r="J27" s="127"/>
      <c r="K27" s="127"/>
      <c r="L27" s="127"/>
      <c r="M27" s="127"/>
      <c r="N27" s="127"/>
      <c r="O27" s="127"/>
      <c r="P27" s="127"/>
      <c r="Q27" s="127"/>
      <c r="R27" s="127"/>
      <c r="S27" s="127"/>
      <c r="T27" s="127"/>
      <c r="U27" s="127"/>
      <c r="V27" s="127"/>
      <c r="W27" s="127"/>
      <c r="X27" s="127"/>
      <c r="Y27" s="127"/>
      <c r="Z27" s="127"/>
    </row>
    <row r="28" spans="1:26" ht="18" customHeight="1">
      <c r="A28" s="212" t="str">
        <f>_DATA_Dashboard_Facts!$A$17</f>
        <v>IT Cloud DR</v>
      </c>
      <c r="B28" s="213">
        <f>IF(SUMPRODUCT((_DATA_Assessment_Model!$H$297:$H$324&lt;&gt;"")*(_DATA_Assessment_Model!$H$297:$H$324&lt;&gt;"N/A")*_DATA_Assessment_Model!$G$297:$G$324)=0,"",ROUND(SUMPRODUCT((_DATA_Assessment_Model!$H$297:$H$324&lt;&gt;"")*(_DATA_Assessment_Model!$H$297:$H$324&lt;&gt;"N/A")*_DATA_Assessment_Model!$G$297:$G$324*_DATA_Assessment_Model!$AS$297:$AS$324)/SUMPRODUCT((_DATA_Assessment_Model!$H$297:$H$324&lt;&gt;"")*(_DATA_Assessment_Model!$H$297:$H$324&lt;&gt;"N/A")*_DATA_Assessment_Model!$G$297:$G$324),2))</f>
        <v>0</v>
      </c>
      <c r="C28" s="213">
        <f>IFERROR(MIN(5,MAX(0,(SUMIFS(_REF_Model_Content!$D$1:$D$174,_REF_Model_Content!$A$1:$A$174,_ENGINE_Profile_Vector!$E$7,_REF_Model_Content!$B$1:$B$174,$A28))+IFERROR(VLOOKUP('Company Profile'!$B$35,_CONFIG_Model_Settings!$A$11:$B$13,2,0),0))),"")</f>
        <v>0</v>
      </c>
      <c r="D28" s="213">
        <f t="shared" si="0"/>
        <v>0</v>
      </c>
      <c r="E28" s="214">
        <f>IF($D28="","",ROUND($D28*IFERROR(SUMIFS(_REF_Model_Content!$E$1:$E$174,_REF_Model_Content!$A$1:$A$174,_ENGINE_Profile_Vector!$E$7,_REF_Model_Content!$B$1:$B$174,$A28),1)*IFERROR(INDEX(_CONFIG_Model_Settings!$H$1:$H$181,MATCH($A28,_CONFIG_Model_Settings!$A$1:$A$181,0)),0)*100,2))</f>
        <v>0</v>
      </c>
      <c r="F28" s="215" t="str">
        <f t="shared" si="1"/>
        <v>OK</v>
      </c>
      <c r="H28" s="136" t="s">
        <v>3394</v>
      </c>
      <c r="I28" s="137"/>
      <c r="J28" s="138" t="s">
        <v>3395</v>
      </c>
      <c r="K28" s="139"/>
      <c r="L28" s="138" t="s">
        <v>3396</v>
      </c>
      <c r="M28" s="140"/>
      <c r="N28" s="138" t="s">
        <v>3397</v>
      </c>
      <c r="O28" s="127"/>
      <c r="P28" s="141"/>
      <c r="Q28" s="138" t="s">
        <v>3398</v>
      </c>
      <c r="R28" s="127"/>
      <c r="S28" s="127"/>
      <c r="T28" s="127"/>
      <c r="U28" s="127"/>
      <c r="V28" s="127"/>
      <c r="W28" s="127"/>
      <c r="X28" s="127"/>
      <c r="Y28" s="127"/>
      <c r="Z28" s="127"/>
    </row>
    <row r="29" spans="1:26" ht="20.05" customHeight="1">
      <c r="A29" s="216" t="str">
        <f>_DATA_Dashboard_Facts!$A$18</f>
        <v>Business Systems</v>
      </c>
      <c r="B29" s="217">
        <f>IF(SUMPRODUCT((_DATA_Assessment_Model!$H$325:$H$345&lt;&gt;"")*(_DATA_Assessment_Model!$H$325:$H$345&lt;&gt;"N/A")*_DATA_Assessment_Model!$G$325:$G$345)=0,"",ROUND(SUMPRODUCT((_DATA_Assessment_Model!$H$325:$H$345&lt;&gt;"")*(_DATA_Assessment_Model!$H$325:$H$345&lt;&gt;"N/A")*_DATA_Assessment_Model!$G$325:$G$345*_DATA_Assessment_Model!$AS$325:$AS$345)/SUMPRODUCT((_DATA_Assessment_Model!$H$325:$H$345&lt;&gt;"")*(_DATA_Assessment_Model!$H$325:$H$345&lt;&gt;"N/A")*_DATA_Assessment_Model!$G$325:$G$345),2))</f>
        <v>0</v>
      </c>
      <c r="C29" s="217">
        <f>IFERROR(MIN(5,MAX(0,(SUMIFS(_REF_Model_Content!$D$1:$D$174,_REF_Model_Content!$A$1:$A$174,_ENGINE_Profile_Vector!$E$7,_REF_Model_Content!$B$1:$B$174,$A29))+IFERROR(VLOOKUP('Company Profile'!$B$35,_CONFIG_Model_Settings!$A$11:$B$13,2,0),0))),"")</f>
        <v>0</v>
      </c>
      <c r="D29" s="217">
        <f t="shared" si="0"/>
        <v>0</v>
      </c>
      <c r="E29" s="218">
        <f>IF($D29="","",ROUND($D29*IFERROR(SUMIFS(_REF_Model_Content!$E$1:$E$174,_REF_Model_Content!$A$1:$A$174,_ENGINE_Profile_Vector!$E$7,_REF_Model_Content!$B$1:$B$174,$A29),1)*IFERROR(INDEX(_CONFIG_Model_Settings!$H$1:$H$181,MATCH($A29,_CONFIG_Model_Settings!$A$1:$A$181,0)),0)*100,2))</f>
        <v>0</v>
      </c>
      <c r="F29" s="219" t="str">
        <f t="shared" si="1"/>
        <v>OK</v>
      </c>
      <c r="H29" s="127"/>
      <c r="I29" s="127"/>
      <c r="J29" s="127"/>
      <c r="K29" s="127"/>
      <c r="L29" s="127"/>
      <c r="M29" s="127"/>
      <c r="N29" s="127"/>
      <c r="O29" s="127"/>
      <c r="P29" s="127"/>
      <c r="Q29" s="127"/>
      <c r="R29" s="127"/>
      <c r="S29" s="127"/>
      <c r="T29" s="127"/>
      <c r="U29" s="127"/>
      <c r="V29" s="127"/>
      <c r="W29" s="127"/>
      <c r="X29" s="127"/>
      <c r="Y29" s="127"/>
      <c r="Z29" s="127"/>
    </row>
    <row r="30" spans="1:26" ht="20.05" customHeight="1">
      <c r="A30" s="212" t="str">
        <f>_DATA_Dashboard_Facts!$A$19</f>
        <v>Data BI AI</v>
      </c>
      <c r="B30" s="213">
        <f>IF(SUMPRODUCT((_DATA_Assessment_Model!$H$346:$H$372&lt;&gt;"")*(_DATA_Assessment_Model!$H$346:$H$372&lt;&gt;"N/A")*_DATA_Assessment_Model!$G$346:$G$372)=0,"",ROUND(SUMPRODUCT((_DATA_Assessment_Model!$H$346:$H$372&lt;&gt;"")*(_DATA_Assessment_Model!$H$346:$H$372&lt;&gt;"N/A")*_DATA_Assessment_Model!$G$346:$G$372*_DATA_Assessment_Model!$AS$346:$AS$372)/SUMPRODUCT((_DATA_Assessment_Model!$H$346:$H$372&lt;&gt;"")*(_DATA_Assessment_Model!$H$346:$H$372&lt;&gt;"N/A")*_DATA_Assessment_Model!$G$346:$G$372),2))</f>
        <v>0</v>
      </c>
      <c r="C30" s="213">
        <f>IFERROR(MIN(5,MAX(0,(SUMIFS(_REF_Model_Content!$D$1:$D$174,_REF_Model_Content!$A$1:$A$174,_ENGINE_Profile_Vector!$E$7,_REF_Model_Content!$B$1:$B$174,$A30))+IFERROR(VLOOKUP('Company Profile'!$B$35,_CONFIG_Model_Settings!$A$11:$B$13,2,0),0))),"")</f>
        <v>0</v>
      </c>
      <c r="D30" s="213">
        <f t="shared" si="0"/>
        <v>0</v>
      </c>
      <c r="E30" s="214">
        <f>IF($D30="","",ROUND($D30*IFERROR(SUMIFS(_REF_Model_Content!$E$1:$E$174,_REF_Model_Content!$A$1:$A$174,_ENGINE_Profile_Vector!$E$7,_REF_Model_Content!$B$1:$B$174,$A30),1)*IFERROR(INDEX(_CONFIG_Model_Settings!$H$1:$H$181,MATCH($A30,_CONFIG_Model_Settings!$A$1:$A$181,0)),0)*100,2))</f>
        <v>0</v>
      </c>
      <c r="F30" s="215" t="str">
        <f t="shared" si="1"/>
        <v>OK</v>
      </c>
      <c r="H30" s="127"/>
      <c r="I30" s="127"/>
      <c r="J30" s="127"/>
      <c r="K30" s="127"/>
      <c r="L30" s="127"/>
      <c r="M30" s="127"/>
      <c r="N30" s="127"/>
      <c r="O30" s="127"/>
      <c r="P30" s="127"/>
      <c r="Q30" s="127"/>
      <c r="R30" s="127"/>
      <c r="S30" s="127"/>
      <c r="T30" s="127"/>
      <c r="U30" s="127"/>
      <c r="V30" s="127"/>
      <c r="W30" s="127"/>
      <c r="X30" s="127"/>
      <c r="Y30" s="127"/>
      <c r="Z30" s="127"/>
    </row>
    <row r="31" spans="1:26" ht="18" customHeight="1">
      <c r="A31" s="216" t="str">
        <f>_DATA_Dashboard_Facts!$A$20</f>
        <v>Cyber Privacy</v>
      </c>
      <c r="B31" s="217">
        <f>IF(SUMPRODUCT((_DATA_Assessment_Model!$H$373:$H$406&lt;&gt;"")*(_DATA_Assessment_Model!$H$373:$H$406&lt;&gt;"N/A")*_DATA_Assessment_Model!$G$373:$G$406)=0,"",ROUND(SUMPRODUCT((_DATA_Assessment_Model!$H$373:$H$406&lt;&gt;"")*(_DATA_Assessment_Model!$H$373:$H$406&lt;&gt;"N/A")*_DATA_Assessment_Model!$G$373:$G$406*_DATA_Assessment_Model!$AS$373:$AS$406)/SUMPRODUCT((_DATA_Assessment_Model!$H$373:$H$406&lt;&gt;"")*(_DATA_Assessment_Model!$H$373:$H$406&lt;&gt;"N/A")*_DATA_Assessment_Model!$G$373:$G$406),2))</f>
        <v>0</v>
      </c>
      <c r="C31" s="217">
        <f>IFERROR(MIN(5,MAX(0,(SUMIFS(_REF_Model_Content!$D$1:$D$174,_REF_Model_Content!$A$1:$A$174,_ENGINE_Profile_Vector!$E$7,_REF_Model_Content!$B$1:$B$174,$A31))+IFERROR(VLOOKUP('Company Profile'!$B$35,_CONFIG_Model_Settings!$A$11:$B$13,2,0),0))),"")</f>
        <v>0</v>
      </c>
      <c r="D31" s="217">
        <f t="shared" si="0"/>
        <v>0</v>
      </c>
      <c r="E31" s="218">
        <f>IF($D31="","",ROUND($D31*IFERROR(SUMIFS(_REF_Model_Content!$E$1:$E$174,_REF_Model_Content!$A$1:$A$174,_ENGINE_Profile_Vector!$E$7,_REF_Model_Content!$B$1:$B$174,$A31),1)*IFERROR(INDEX(_CONFIG_Model_Settings!$H$1:$H$181,MATCH($A31,_CONFIG_Model_Settings!$A$1:$A$181,0)),0)*100,2))</f>
        <v>0</v>
      </c>
      <c r="F31" s="219" t="str">
        <f t="shared" si="1"/>
        <v>OK</v>
      </c>
      <c r="H31" s="127"/>
      <c r="I31" s="127"/>
      <c r="J31" s="127"/>
      <c r="K31" s="127"/>
      <c r="L31" s="127"/>
      <c r="M31" s="127"/>
      <c r="N31" s="127"/>
      <c r="O31" s="127"/>
      <c r="P31" s="127"/>
      <c r="Q31" s="127"/>
      <c r="R31" s="127"/>
      <c r="S31" s="127"/>
      <c r="T31" s="127"/>
      <c r="U31" s="127"/>
      <c r="V31" s="127"/>
      <c r="W31" s="127"/>
      <c r="X31" s="127"/>
      <c r="Y31" s="127"/>
      <c r="Z31" s="127"/>
    </row>
    <row r="32" spans="1:26" ht="18" customHeight="1">
      <c r="A32" s="212" t="str">
        <f>_DATA_Dashboard_Facts!$A$21</f>
        <v>Quality Portfolio</v>
      </c>
      <c r="B32" s="213">
        <f>IF(SUMPRODUCT((_DATA_Assessment_Model!$H$407:$H$428&lt;&gt;"")*(_DATA_Assessment_Model!$H$407:$H$428&lt;&gt;"N/A")*_DATA_Assessment_Model!$G$407:$G$428)=0,"",ROUND(SUMPRODUCT((_DATA_Assessment_Model!$H$407:$H$428&lt;&gt;"")*(_DATA_Assessment_Model!$H$407:$H$428&lt;&gt;"N/A")*_DATA_Assessment_Model!$G$407:$G$428*_DATA_Assessment_Model!$AS$407:$AS$428)/SUMPRODUCT((_DATA_Assessment_Model!$H$407:$H$428&lt;&gt;"")*(_DATA_Assessment_Model!$H$407:$H$428&lt;&gt;"N/A")*_DATA_Assessment_Model!$G$407:$G$428),2))</f>
        <v>0</v>
      </c>
      <c r="C32" s="213">
        <f>IFERROR(MIN(5,MAX(0,(SUMIFS(_REF_Model_Content!$D$1:$D$174,_REF_Model_Content!$A$1:$A$174,_ENGINE_Profile_Vector!$E$7,_REF_Model_Content!$B$1:$B$174,$A32))+IFERROR(VLOOKUP('Company Profile'!$B$35,_CONFIG_Model_Settings!$A$11:$B$13,2,0),0))),"")</f>
        <v>0</v>
      </c>
      <c r="D32" s="213">
        <f t="shared" si="0"/>
        <v>0</v>
      </c>
      <c r="E32" s="214">
        <f>IF($D32="","",ROUND($D32*IFERROR(SUMIFS(_REF_Model_Content!$E$1:$E$174,_REF_Model_Content!$A$1:$A$174,_ENGINE_Profile_Vector!$E$7,_REF_Model_Content!$B$1:$B$174,$A32),1)*IFERROR(INDEX(_CONFIG_Model_Settings!$H$1:$H$181,MATCH($A32,_CONFIG_Model_Settings!$A$1:$A$181,0)),0)*100,2))</f>
        <v>0</v>
      </c>
      <c r="F32" s="215" t="str">
        <f t="shared" si="1"/>
        <v>OK</v>
      </c>
      <c r="H32" s="127"/>
      <c r="I32" s="127"/>
      <c r="J32" s="127"/>
      <c r="K32" s="127"/>
      <c r="L32" s="127"/>
      <c r="M32" s="127"/>
      <c r="N32" s="127"/>
      <c r="O32" s="127"/>
      <c r="P32" s="127"/>
      <c r="Q32" s="127"/>
      <c r="R32" s="127"/>
      <c r="S32" s="127"/>
      <c r="T32" s="127"/>
      <c r="U32" s="127"/>
      <c r="V32" s="127"/>
      <c r="W32" s="127"/>
      <c r="X32" s="127"/>
      <c r="Y32" s="127"/>
      <c r="Z32" s="127"/>
    </row>
    <row r="33" spans="1:26" ht="18" customHeight="1">
      <c r="A33" s="220"/>
      <c r="B33" s="221"/>
      <c r="C33" s="221"/>
      <c r="D33" s="221"/>
      <c r="E33" s="220"/>
      <c r="F33" s="220"/>
      <c r="H33" s="127"/>
      <c r="I33" s="127"/>
      <c r="J33" s="127"/>
      <c r="K33" s="127"/>
      <c r="L33" s="127"/>
      <c r="M33" s="127"/>
      <c r="N33" s="127"/>
      <c r="O33" s="127"/>
      <c r="P33" s="127"/>
      <c r="Q33" s="127"/>
      <c r="R33" s="127"/>
      <c r="S33" s="127"/>
      <c r="T33" s="127"/>
      <c r="U33" s="127"/>
      <c r="V33" s="127"/>
      <c r="W33" s="127"/>
      <c r="X33" s="127"/>
      <c r="Y33" s="127"/>
      <c r="Z33" s="127"/>
    </row>
    <row r="34" spans="1:26" ht="18" customHeight="1">
      <c r="H34" s="127"/>
      <c r="I34" s="127"/>
      <c r="J34" s="127"/>
      <c r="K34" s="127"/>
      <c r="L34" s="127"/>
      <c r="M34" s="127"/>
      <c r="N34" s="127"/>
      <c r="O34" s="127"/>
      <c r="P34" s="127"/>
      <c r="Q34" s="127"/>
      <c r="R34" s="127"/>
      <c r="S34" s="127"/>
      <c r="T34" s="127"/>
      <c r="U34" s="127"/>
      <c r="V34" s="127"/>
      <c r="W34" s="127"/>
      <c r="X34" s="127"/>
      <c r="Y34" s="127"/>
      <c r="Z34" s="127"/>
    </row>
    <row r="35" spans="1:26" ht="18" customHeight="1">
      <c r="H35" s="127"/>
      <c r="I35" s="127"/>
      <c r="J35" s="127"/>
      <c r="K35" s="127"/>
      <c r="L35" s="127"/>
      <c r="M35" s="127"/>
      <c r="N35" s="127"/>
      <c r="O35" s="127"/>
      <c r="P35" s="127"/>
      <c r="Q35" s="127"/>
      <c r="R35" s="127"/>
      <c r="S35" s="127"/>
      <c r="T35" s="127"/>
      <c r="U35" s="127"/>
      <c r="V35" s="127"/>
      <c r="W35" s="127"/>
      <c r="X35" s="127"/>
      <c r="Y35" s="127"/>
      <c r="Z35" s="127"/>
    </row>
    <row r="36" spans="1:26" ht="18" customHeight="1">
      <c r="A36" s="256" t="s">
        <v>3399</v>
      </c>
      <c r="H36" s="127"/>
      <c r="I36" s="127"/>
      <c r="J36" s="127"/>
      <c r="K36" s="127"/>
      <c r="L36" s="127"/>
      <c r="M36" s="127"/>
      <c r="N36" s="127"/>
      <c r="O36" s="127"/>
      <c r="P36" s="127"/>
      <c r="Q36" s="127"/>
      <c r="R36" s="127"/>
      <c r="S36" s="127"/>
      <c r="T36" s="127"/>
      <c r="U36" s="127"/>
      <c r="V36" s="127"/>
      <c r="W36" s="127"/>
      <c r="X36" s="127"/>
      <c r="Y36" s="127"/>
      <c r="Z36" s="127"/>
    </row>
    <row r="37" spans="1:26" ht="18" customHeight="1">
      <c r="A37" s="257" t="s">
        <v>3400</v>
      </c>
      <c r="B37" s="258" t="s">
        <v>3401</v>
      </c>
      <c r="C37" s="259" t="s">
        <v>3402</v>
      </c>
      <c r="D37" s="257" t="s">
        <v>3403</v>
      </c>
      <c r="E37" s="260" t="s">
        <v>3404</v>
      </c>
      <c r="F37" s="258" t="s">
        <v>3405</v>
      </c>
      <c r="G37" s="259" t="s">
        <v>3406</v>
      </c>
      <c r="H37" s="127"/>
      <c r="I37" s="127"/>
      <c r="J37" s="127"/>
      <c r="K37" s="127"/>
      <c r="L37" s="127"/>
      <c r="M37" s="127"/>
      <c r="N37" s="127"/>
      <c r="O37" s="127"/>
      <c r="P37" s="127"/>
      <c r="Q37" s="127"/>
      <c r="R37" s="127"/>
      <c r="S37" s="127"/>
      <c r="T37" s="127"/>
      <c r="U37" s="127"/>
      <c r="V37" s="127"/>
      <c r="W37" s="127"/>
      <c r="X37" s="127"/>
      <c r="Y37" s="127"/>
      <c r="Z37" s="127"/>
    </row>
    <row r="38" spans="1:26" ht="18" customHeight="1">
      <c r="H38" s="127"/>
      <c r="I38" s="127"/>
      <c r="J38" s="127"/>
      <c r="K38" s="127"/>
      <c r="L38" s="127"/>
      <c r="M38" s="127"/>
      <c r="N38" s="127"/>
      <c r="O38" s="127"/>
      <c r="P38" s="127"/>
      <c r="Q38" s="127"/>
      <c r="R38" s="127"/>
      <c r="S38" s="127"/>
      <c r="T38" s="127"/>
      <c r="U38" s="127"/>
      <c r="V38" s="127"/>
      <c r="W38" s="127"/>
      <c r="X38" s="127"/>
      <c r="Y38" s="127"/>
      <c r="Z38" s="127"/>
    </row>
    <row r="39" spans="1:26" ht="18" customHeight="1">
      <c r="H39" s="127"/>
      <c r="I39" s="127"/>
      <c r="J39" s="127"/>
      <c r="K39" s="127"/>
      <c r="L39" s="127"/>
      <c r="M39" s="127"/>
      <c r="N39" s="127"/>
      <c r="O39" s="127"/>
      <c r="P39" s="127"/>
      <c r="Q39" s="127"/>
      <c r="R39" s="127"/>
      <c r="S39" s="127"/>
      <c r="T39" s="127"/>
      <c r="U39" s="127"/>
      <c r="V39" s="127"/>
      <c r="W39" s="127"/>
      <c r="X39" s="127"/>
      <c r="Y39" s="127"/>
      <c r="Z39" s="127"/>
    </row>
    <row r="40" spans="1:26" ht="18" customHeight="1">
      <c r="H40" s="127"/>
      <c r="I40" s="127"/>
      <c r="J40" s="127"/>
      <c r="K40" s="127"/>
      <c r="L40" s="127"/>
      <c r="M40" s="127"/>
      <c r="N40" s="127"/>
      <c r="O40" s="127"/>
      <c r="P40" s="127"/>
      <c r="Q40" s="127"/>
      <c r="R40" s="127"/>
      <c r="S40" s="127"/>
      <c r="T40" s="127"/>
      <c r="U40" s="127"/>
      <c r="V40" s="127"/>
      <c r="W40" s="127"/>
      <c r="X40" s="127"/>
      <c r="Y40" s="127"/>
      <c r="Z40" s="127"/>
    </row>
    <row r="41" spans="1:26" ht="18" customHeight="1">
      <c r="H41" s="127"/>
      <c r="I41" s="127"/>
      <c r="J41" s="127"/>
      <c r="K41" s="127"/>
      <c r="L41" s="127"/>
      <c r="M41" s="127"/>
      <c r="N41" s="127"/>
      <c r="O41" s="127"/>
      <c r="P41" s="127"/>
      <c r="Q41" s="127"/>
      <c r="R41" s="127"/>
      <c r="S41" s="127"/>
      <c r="T41" s="127"/>
      <c r="U41" s="127"/>
      <c r="V41" s="127"/>
      <c r="W41" s="127"/>
      <c r="X41" s="127"/>
      <c r="Y41" s="127"/>
      <c r="Z41" s="127"/>
    </row>
    <row r="42" spans="1:26" ht="18" customHeight="1">
      <c r="H42" s="127"/>
      <c r="I42" s="127"/>
      <c r="J42" s="127"/>
      <c r="K42" s="127"/>
      <c r="L42" s="127"/>
      <c r="M42" s="127"/>
      <c r="N42" s="127"/>
      <c r="O42" s="127"/>
      <c r="P42" s="127"/>
      <c r="Q42" s="127"/>
      <c r="R42" s="127"/>
      <c r="S42" s="127"/>
      <c r="T42" s="127"/>
      <c r="U42" s="127"/>
      <c r="V42" s="127"/>
      <c r="W42" s="127"/>
      <c r="X42" s="127"/>
      <c r="Y42" s="127"/>
      <c r="Z42" s="127"/>
    </row>
    <row r="43" spans="1:26" ht="18" customHeight="1">
      <c r="H43" s="127"/>
      <c r="I43" s="127"/>
      <c r="J43" s="127"/>
      <c r="K43" s="127"/>
      <c r="L43" s="127"/>
      <c r="M43" s="127"/>
      <c r="N43" s="127"/>
      <c r="O43" s="127"/>
      <c r="P43" s="127"/>
      <c r="Q43" s="127"/>
      <c r="R43" s="127"/>
      <c r="S43" s="127"/>
      <c r="T43" s="127"/>
      <c r="U43" s="127"/>
      <c r="V43" s="127"/>
      <c r="W43" s="127"/>
      <c r="X43" s="127"/>
      <c r="Y43" s="127"/>
      <c r="Z43" s="127"/>
    </row>
    <row r="44" spans="1:26" ht="18" customHeight="1">
      <c r="H44" s="127"/>
      <c r="I44" s="127"/>
      <c r="J44" s="127"/>
      <c r="K44" s="127"/>
      <c r="L44" s="127"/>
      <c r="M44" s="127"/>
      <c r="N44" s="127"/>
      <c r="O44" s="127"/>
      <c r="P44" s="127"/>
      <c r="Q44" s="127"/>
      <c r="R44" s="127"/>
      <c r="S44" s="127"/>
      <c r="T44" s="127"/>
      <c r="U44" s="127"/>
      <c r="V44" s="127"/>
      <c r="W44" s="127"/>
      <c r="X44" s="127"/>
      <c r="Y44" s="127"/>
      <c r="Z44" s="127"/>
    </row>
    <row r="45" spans="1:26" ht="18" customHeight="1">
      <c r="H45" s="127"/>
      <c r="I45" s="127"/>
      <c r="J45" s="127"/>
      <c r="K45" s="127"/>
      <c r="L45" s="127"/>
      <c r="M45" s="127"/>
      <c r="N45" s="127"/>
      <c r="O45" s="127"/>
      <c r="P45" s="127"/>
      <c r="Q45" s="127"/>
      <c r="R45" s="127"/>
      <c r="S45" s="127"/>
      <c r="T45" s="127"/>
      <c r="U45" s="127"/>
      <c r="V45" s="127"/>
      <c r="W45" s="127"/>
      <c r="X45" s="127"/>
      <c r="Y45" s="127"/>
      <c r="Z45" s="127"/>
    </row>
    <row r="46" spans="1:26" ht="18" customHeight="1">
      <c r="H46" s="127"/>
      <c r="I46" s="127"/>
      <c r="J46" s="127"/>
      <c r="K46" s="127"/>
      <c r="L46" s="127"/>
      <c r="M46" s="127"/>
      <c r="N46" s="127"/>
      <c r="O46" s="127"/>
      <c r="P46" s="127"/>
      <c r="Q46" s="127"/>
      <c r="R46" s="127"/>
      <c r="S46" s="127"/>
      <c r="T46" s="127"/>
      <c r="U46" s="127"/>
      <c r="V46" s="127"/>
      <c r="W46" s="127"/>
      <c r="X46" s="127"/>
      <c r="Y46" s="127"/>
      <c r="Z46" s="127"/>
    </row>
    <row r="47" spans="1:26" ht="18" customHeight="1">
      <c r="H47" s="127"/>
      <c r="I47" s="127"/>
      <c r="J47" s="127"/>
      <c r="K47" s="127"/>
      <c r="L47" s="127"/>
      <c r="M47" s="127"/>
      <c r="N47" s="127"/>
      <c r="O47" s="127"/>
      <c r="P47" s="127"/>
      <c r="Q47" s="127"/>
      <c r="R47" s="127"/>
      <c r="S47" s="127"/>
      <c r="T47" s="127"/>
      <c r="U47" s="127"/>
      <c r="V47" s="127"/>
      <c r="W47" s="127"/>
      <c r="X47" s="127"/>
      <c r="Y47" s="127"/>
      <c r="Z47" s="127"/>
    </row>
    <row r="48" spans="1:26" ht="18" customHeight="1">
      <c r="H48" s="127"/>
      <c r="I48" s="127"/>
      <c r="J48" s="127"/>
      <c r="K48" s="127"/>
      <c r="L48" s="127"/>
      <c r="M48" s="127"/>
      <c r="N48" s="127"/>
      <c r="O48" s="127"/>
      <c r="P48" s="127"/>
      <c r="Q48" s="127"/>
      <c r="R48" s="127"/>
      <c r="S48" s="127"/>
      <c r="T48" s="127"/>
      <c r="U48" s="127"/>
      <c r="V48" s="127"/>
      <c r="W48" s="127"/>
      <c r="X48" s="127"/>
      <c r="Y48" s="127"/>
      <c r="Z48" s="127"/>
    </row>
    <row r="49" spans="8:26" ht="18" customHeight="1">
      <c r="H49" s="127"/>
      <c r="I49" s="127"/>
      <c r="J49" s="127"/>
      <c r="K49" s="127"/>
      <c r="L49" s="127"/>
      <c r="M49" s="127"/>
      <c r="N49" s="127"/>
      <c r="O49" s="127"/>
      <c r="P49" s="127"/>
      <c r="Q49" s="127"/>
      <c r="R49" s="127"/>
      <c r="S49" s="127"/>
      <c r="T49" s="127"/>
      <c r="U49" s="127"/>
      <c r="V49" s="127"/>
      <c r="W49" s="127"/>
      <c r="X49" s="127"/>
      <c r="Y49" s="127"/>
      <c r="Z49" s="127"/>
    </row>
    <row r="50" spans="8:26" ht="18" customHeight="1">
      <c r="H50" s="127"/>
      <c r="I50" s="127"/>
      <c r="J50" s="127"/>
      <c r="K50" s="127"/>
      <c r="L50" s="127"/>
      <c r="M50" s="127"/>
      <c r="N50" s="127"/>
      <c r="O50" s="127"/>
      <c r="P50" s="127"/>
      <c r="Q50" s="127"/>
      <c r="R50" s="127"/>
      <c r="S50" s="127"/>
      <c r="T50" s="127"/>
      <c r="U50" s="127"/>
      <c r="V50" s="127"/>
      <c r="W50" s="127"/>
      <c r="X50" s="127"/>
      <c r="Y50" s="127"/>
      <c r="Z50" s="127"/>
    </row>
    <row r="51" spans="8:26" ht="18" customHeight="1">
      <c r="H51" s="127"/>
      <c r="I51" s="127"/>
      <c r="J51" s="127"/>
      <c r="K51" s="127"/>
      <c r="L51" s="127"/>
      <c r="M51" s="127"/>
      <c r="N51" s="127"/>
      <c r="O51" s="127"/>
      <c r="P51" s="127"/>
      <c r="Q51" s="127"/>
      <c r="R51" s="127"/>
      <c r="S51" s="127"/>
      <c r="T51" s="127"/>
      <c r="U51" s="127"/>
      <c r="V51" s="127"/>
      <c r="W51" s="127"/>
      <c r="X51" s="127"/>
      <c r="Y51" s="127"/>
      <c r="Z51" s="127"/>
    </row>
    <row r="52" spans="8:26" ht="18" customHeight="1">
      <c r="H52" s="127"/>
      <c r="I52" s="127"/>
      <c r="J52" s="127"/>
      <c r="K52" s="127"/>
      <c r="L52" s="127"/>
      <c r="M52" s="127"/>
      <c r="N52" s="127"/>
      <c r="O52" s="127"/>
      <c r="P52" s="127"/>
      <c r="Q52" s="127"/>
      <c r="R52" s="127"/>
      <c r="S52" s="127"/>
      <c r="T52" s="127"/>
      <c r="U52" s="127"/>
      <c r="V52" s="127"/>
      <c r="W52" s="127"/>
      <c r="X52" s="127"/>
      <c r="Y52" s="127"/>
      <c r="Z52" s="127"/>
    </row>
    <row r="53" spans="8:26" ht="18" customHeight="1">
      <c r="H53" s="127"/>
      <c r="I53" s="127"/>
      <c r="J53" s="127"/>
      <c r="K53" s="127"/>
      <c r="L53" s="127"/>
      <c r="M53" s="127"/>
      <c r="N53" s="127"/>
      <c r="O53" s="127"/>
      <c r="P53" s="127"/>
      <c r="Q53" s="127"/>
      <c r="R53" s="127"/>
      <c r="S53" s="127"/>
      <c r="T53" s="127"/>
      <c r="U53" s="127"/>
      <c r="V53" s="127"/>
      <c r="W53" s="127"/>
      <c r="X53" s="127"/>
      <c r="Y53" s="127"/>
      <c r="Z53" s="127"/>
    </row>
    <row r="54" spans="8:26" ht="18" customHeight="1">
      <c r="H54" s="127"/>
      <c r="I54" s="127"/>
      <c r="J54" s="127"/>
      <c r="K54" s="127"/>
      <c r="L54" s="127"/>
      <c r="M54" s="127"/>
      <c r="N54" s="127"/>
      <c r="O54" s="127"/>
      <c r="P54" s="127"/>
      <c r="Q54" s="127"/>
      <c r="R54" s="127"/>
      <c r="S54" s="127"/>
      <c r="T54" s="127"/>
      <c r="U54" s="127"/>
      <c r="V54" s="127"/>
      <c r="W54" s="127"/>
      <c r="X54" s="127"/>
      <c r="Y54" s="127"/>
      <c r="Z54" s="127"/>
    </row>
    <row r="55" spans="8:26" ht="18" customHeight="1">
      <c r="H55" s="127"/>
      <c r="I55" s="127"/>
      <c r="J55" s="127"/>
      <c r="K55" s="127"/>
      <c r="L55" s="127"/>
      <c r="M55" s="127"/>
      <c r="N55" s="127"/>
      <c r="O55" s="127"/>
      <c r="P55" s="127"/>
      <c r="Q55" s="127"/>
      <c r="R55" s="127"/>
      <c r="S55" s="127"/>
      <c r="T55" s="127"/>
      <c r="U55" s="127"/>
      <c r="V55" s="127"/>
      <c r="W55" s="127"/>
      <c r="X55" s="127"/>
      <c r="Y55" s="127"/>
      <c r="Z55" s="127"/>
    </row>
    <row r="56" spans="8:26">
      <c r="H56" s="127"/>
      <c r="I56" s="127"/>
      <c r="J56" s="127"/>
      <c r="K56" s="127"/>
      <c r="L56" s="127"/>
      <c r="M56" s="127"/>
      <c r="N56" s="127"/>
      <c r="O56" s="127"/>
      <c r="P56" s="127"/>
      <c r="Q56" s="127"/>
      <c r="R56" s="127"/>
      <c r="S56" s="127"/>
      <c r="T56" s="127"/>
      <c r="U56" s="127"/>
      <c r="V56" s="127"/>
      <c r="W56" s="127"/>
      <c r="X56" s="127"/>
      <c r="Y56" s="127"/>
      <c r="Z56" s="127"/>
    </row>
    <row r="57" spans="8:26">
      <c r="H57" s="127"/>
      <c r="I57" s="127"/>
      <c r="J57" s="127"/>
      <c r="K57" s="127"/>
      <c r="L57" s="127"/>
      <c r="M57" s="127"/>
      <c r="N57" s="127"/>
      <c r="O57" s="127"/>
      <c r="P57" s="127"/>
      <c r="Q57" s="127"/>
      <c r="R57" s="127"/>
      <c r="S57" s="127"/>
      <c r="T57" s="127"/>
      <c r="U57" s="127"/>
      <c r="V57" s="127"/>
      <c r="W57" s="127"/>
      <c r="X57" s="127"/>
      <c r="Y57" s="127"/>
      <c r="Z57" s="127"/>
    </row>
    <row r="58" spans="8:26" ht="32.049999999999997" customHeight="1">
      <c r="H58" s="286" t="s">
        <v>3407</v>
      </c>
      <c r="I58" s="287"/>
      <c r="J58" s="287"/>
      <c r="K58" s="287"/>
      <c r="L58" s="287"/>
      <c r="M58" s="287"/>
      <c r="N58" s="287"/>
      <c r="O58" s="287"/>
      <c r="P58" s="287"/>
      <c r="Q58" s="287"/>
      <c r="R58" s="288"/>
      <c r="S58" s="127"/>
      <c r="T58" s="127"/>
      <c r="U58" s="127"/>
      <c r="V58" s="127"/>
      <c r="W58" s="127"/>
      <c r="X58" s="127"/>
      <c r="Y58" s="127"/>
      <c r="Z58" s="127"/>
    </row>
    <row r="59" spans="8:26" ht="20.05" customHeight="1">
      <c r="H59" s="289"/>
      <c r="I59" s="290"/>
      <c r="J59" s="290"/>
      <c r="K59" s="290"/>
      <c r="L59" s="290"/>
      <c r="M59" s="290"/>
      <c r="N59" s="290"/>
      <c r="O59" s="290"/>
      <c r="P59" s="290"/>
      <c r="Q59" s="290"/>
      <c r="R59" s="291"/>
      <c r="S59" s="127"/>
      <c r="T59" s="127"/>
      <c r="U59" s="127"/>
      <c r="V59" s="127"/>
      <c r="W59" s="127"/>
      <c r="X59" s="127"/>
      <c r="Y59" s="127"/>
      <c r="Z59" s="127"/>
    </row>
    <row r="60" spans="8:26">
      <c r="H60" s="127"/>
      <c r="I60" s="127"/>
      <c r="J60" s="127"/>
      <c r="K60" s="127"/>
      <c r="L60" s="127"/>
      <c r="M60" s="127"/>
      <c r="N60" s="127"/>
      <c r="O60" s="127"/>
      <c r="P60" s="127"/>
      <c r="Q60" s="127"/>
      <c r="R60" s="127"/>
      <c r="S60" s="127"/>
      <c r="T60" s="127"/>
      <c r="U60" s="127"/>
      <c r="V60" s="127"/>
      <c r="W60" s="127"/>
      <c r="X60" s="127"/>
      <c r="Y60" s="127"/>
      <c r="Z60" s="127"/>
    </row>
  </sheetData>
  <mergeCells count="18">
    <mergeCell ref="H58:R59"/>
    <mergeCell ref="Q4:R4"/>
    <mergeCell ref="N6:P6"/>
    <mergeCell ref="H6:J6"/>
    <mergeCell ref="A2:F2"/>
    <mergeCell ref="H8:R8"/>
    <mergeCell ref="H2:R2"/>
    <mergeCell ref="K5:M5"/>
    <mergeCell ref="A1:F1"/>
    <mergeCell ref="H5:J5"/>
    <mergeCell ref="K4:M4"/>
    <mergeCell ref="H4:J4"/>
    <mergeCell ref="Q5:R5"/>
    <mergeCell ref="N5:P5"/>
    <mergeCell ref="K6:M6"/>
    <mergeCell ref="H1:R1"/>
    <mergeCell ref="Q6:R6"/>
    <mergeCell ref="N4:P4"/>
  </mergeCells>
  <conditionalFormatting sqref="B16:B33">
    <cfRule type="colorScale" priority="8">
      <colorScale>
        <cfvo type="min"/>
        <cfvo type="percentile" val="50"/>
        <cfvo type="max"/>
        <color rgb="FFF8696B"/>
        <color rgb="FFFFD666"/>
        <color rgb="FF63BE7B"/>
      </colorScale>
    </cfRule>
  </conditionalFormatting>
  <conditionalFormatting sqref="C16:C33">
    <cfRule type="colorScale" priority="9">
      <colorScale>
        <cfvo type="min"/>
        <cfvo type="percentile" val="50"/>
        <cfvo type="max"/>
        <color rgb="FFF8696B"/>
        <color rgb="FFFFD666"/>
        <color rgb="FF63BE7B"/>
      </colorScale>
    </cfRule>
  </conditionalFormatting>
  <conditionalFormatting sqref="D16:D33">
    <cfRule type="colorScale" priority="10">
      <colorScale>
        <cfvo type="min"/>
        <cfvo type="percentile" val="50"/>
        <cfvo type="max"/>
        <color rgb="FF63BE7B"/>
        <color rgb="FFFFD666"/>
        <color rgb="FFF8696B"/>
      </colorScale>
    </cfRule>
  </conditionalFormatting>
  <conditionalFormatting sqref="E16:F33">
    <cfRule type="cellIs" dxfId="54" priority="11" operator="equal">
      <formula>"Critical"</formula>
    </cfRule>
    <cfRule type="cellIs" dxfId="53" priority="12" operator="equal">
      <formula>"Breach"</formula>
    </cfRule>
    <cfRule type="cellIs" dxfId="52" priority="13" operator="equal">
      <formula>"High"</formula>
    </cfRule>
    <cfRule type="cellIs" dxfId="51" priority="14" operator="equal">
      <formula>"Moderate"</formula>
    </cfRule>
    <cfRule type="cellIs" dxfId="50" priority="15" operator="equal">
      <formula>"Medium"</formula>
    </cfRule>
    <cfRule type="cellIs" dxfId="49" priority="16" operator="equal">
      <formula>"Low"</formula>
    </cfRule>
    <cfRule type="cellIs" dxfId="48" priority="17" operator="equal">
      <formula>"OK"</formula>
    </cfRule>
    <cfRule type="cellIs" dxfId="47" priority="18" operator="equal">
      <formula>"Within"</formula>
    </cfRule>
    <cfRule type="cellIs" dxfId="46" priority="19" operator="equal">
      <formula>"Above"</formula>
    </cfRule>
  </conditionalFormatting>
  <conditionalFormatting sqref="I10:M26">
    <cfRule type="expression" dxfId="45" priority="1">
      <formula>AND($O10&lt;&gt;"",$O10&gt;=I$7)</formula>
    </cfRule>
    <cfRule type="expression" dxfId="44" priority="2">
      <formula>AND($N10&lt;&gt;"",$N10&gt;=I$7,$O10&lt;I$7)</formula>
    </cfRule>
    <cfRule type="expression" dxfId="43" priority="3">
      <formula>OR($N10="",I$7&gt;$N10)</formula>
    </cfRule>
  </conditionalFormatting>
  <conditionalFormatting sqref="P10:P26">
    <cfRule type="cellIs" dxfId="42" priority="6" operator="greaterThan">
      <formula>0</formula>
    </cfRule>
  </conditionalFormatting>
  <conditionalFormatting sqref="Q10:Q26">
    <cfRule type="cellIs" dxfId="41" priority="7" operator="greaterThan">
      <formula>0</formula>
    </cfRule>
  </conditionalFormatting>
  <conditionalFormatting sqref="R10:R26">
    <cfRule type="expression" dxfId="40" priority="4">
      <formula>$R10="Breach"</formula>
    </cfRule>
    <cfRule type="expression" dxfId="39" priority="5">
      <formula>$R10="OK"</formula>
    </cfRule>
  </conditionalFormatting>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ED7D31"/>
  </sheetPr>
  <dimension ref="A1:AF67"/>
  <sheetViews>
    <sheetView showGridLines="0" workbookViewId="0">
      <pane ySplit="2" topLeftCell="A3" activePane="bottomLeft" state="frozen"/>
      <selection pane="bottomLeft"/>
    </sheetView>
  </sheetViews>
  <sheetFormatPr defaultRowHeight="14.15" outlineLevelRow="1"/>
  <cols>
    <col min="1" max="1" width="12" customWidth="1"/>
    <col min="2" max="2" width="22" customWidth="1"/>
    <col min="3" max="3" width="24" customWidth="1"/>
    <col min="4" max="7" width="18" customWidth="1"/>
    <col min="8" max="8" width="36" customWidth="1"/>
    <col min="9" max="9" width="14" customWidth="1"/>
    <col min="10" max="10" width="20" customWidth="1"/>
    <col min="11" max="11" width="7" customWidth="1"/>
    <col min="12" max="12" width="9" customWidth="1"/>
    <col min="13" max="13" width="7" customWidth="1"/>
    <col min="14" max="15" width="8" customWidth="1"/>
    <col min="16" max="17" width="10" customWidth="1"/>
    <col min="18" max="21" width="13" customWidth="1"/>
    <col min="22" max="26" width="12" customWidth="1"/>
    <col min="27" max="32" width="13" hidden="1" customWidth="1"/>
  </cols>
  <sheetData>
    <row r="1" spans="1:26" ht="18" customHeight="1">
      <c r="A1" s="222" t="s">
        <v>63</v>
      </c>
      <c r="J1" s="300" t="s">
        <v>3408</v>
      </c>
      <c r="K1" s="301"/>
      <c r="L1" s="301"/>
      <c r="M1" s="301"/>
      <c r="N1" s="301"/>
      <c r="O1" s="301"/>
      <c r="P1" s="301"/>
      <c r="Q1" s="301"/>
      <c r="R1" s="301"/>
      <c r="S1" s="301"/>
      <c r="T1" s="301"/>
      <c r="U1" s="301"/>
      <c r="V1" s="301"/>
      <c r="W1" s="301"/>
      <c r="X1" s="301"/>
      <c r="Y1" s="301"/>
      <c r="Z1" s="301"/>
    </row>
    <row r="2" spans="1:26" ht="18" customHeight="1">
      <c r="A2" s="223" t="s">
        <v>3409</v>
      </c>
      <c r="J2" s="278" t="s">
        <v>3410</v>
      </c>
      <c r="K2" s="267"/>
      <c r="L2" s="267"/>
      <c r="M2" s="267"/>
      <c r="N2" s="267"/>
      <c r="O2" s="267"/>
      <c r="P2" s="267"/>
      <c r="Q2" s="267"/>
      <c r="R2" s="267"/>
      <c r="S2" s="267"/>
      <c r="T2" s="267"/>
      <c r="U2" s="267"/>
      <c r="V2" s="267"/>
      <c r="W2" s="267"/>
      <c r="X2" s="267"/>
      <c r="Y2" s="267"/>
      <c r="Z2" s="267"/>
    </row>
    <row r="3" spans="1:26" ht="18" customHeight="1">
      <c r="A3" t="str">
        <f>HYPERLINK("#'Guidelines'!A1","⌂ Guidelines")</f>
        <v>⌂ Guidelines</v>
      </c>
      <c r="C3" t="str">
        <f>HYPERLINK("#'Company Profile'!A1","Company Profile")</f>
        <v>Company Profile</v>
      </c>
      <c r="E3" t="str">
        <f>HYPERLINK("#'Action Plan &amp; Roadmap'!A1","Action Plan")</f>
        <v>Action Plan</v>
      </c>
      <c r="J3" s="145"/>
      <c r="K3" s="145"/>
      <c r="L3" s="145"/>
      <c r="M3" s="145"/>
      <c r="N3" s="145"/>
      <c r="O3" s="145"/>
      <c r="P3" s="145"/>
      <c r="Q3" s="145"/>
      <c r="R3" s="145"/>
      <c r="S3" s="145"/>
      <c r="T3" s="145"/>
      <c r="U3" s="145"/>
      <c r="V3" s="145"/>
      <c r="W3" s="145"/>
      <c r="X3" s="145"/>
      <c r="Y3" s="145"/>
      <c r="Z3" s="145"/>
    </row>
    <row r="4" spans="1:26" ht="18" customHeight="1">
      <c r="J4" s="299" t="s">
        <v>3411</v>
      </c>
      <c r="K4" s="293"/>
      <c r="L4" s="294"/>
      <c r="M4" s="299" t="s">
        <v>3412</v>
      </c>
      <c r="N4" s="293"/>
      <c r="O4" s="294"/>
      <c r="P4" s="299" t="s">
        <v>3413</v>
      </c>
      <c r="Q4" s="293"/>
      <c r="R4" s="294"/>
      <c r="S4" s="299" t="s">
        <v>3414</v>
      </c>
      <c r="T4" s="293"/>
      <c r="U4" s="294"/>
      <c r="V4" s="145"/>
      <c r="W4" s="145"/>
      <c r="X4" s="145"/>
      <c r="Y4" s="145"/>
      <c r="Z4" s="145"/>
    </row>
    <row r="5" spans="1:26" ht="18" customHeight="1">
      <c r="A5" s="207" t="s">
        <v>3415</v>
      </c>
      <c r="B5" s="207" t="s">
        <v>348</v>
      </c>
      <c r="C5" s="207" t="s">
        <v>3365</v>
      </c>
      <c r="J5" s="292">
        <f>$B$6</f>
        <v>0</v>
      </c>
      <c r="K5" s="293"/>
      <c r="L5" s="294"/>
      <c r="M5" s="292">
        <f>$B$7</f>
        <v>0</v>
      </c>
      <c r="N5" s="293"/>
      <c r="O5" s="294"/>
      <c r="P5" s="296">
        <f>$B$58</f>
        <v>93267.429398547945</v>
      </c>
      <c r="Q5" s="293"/>
      <c r="R5" s="294"/>
      <c r="S5" s="296">
        <f>$B$64</f>
        <v>96534.816079446784</v>
      </c>
      <c r="T5" s="293"/>
      <c r="U5" s="294"/>
      <c r="V5" s="145"/>
      <c r="W5" s="145"/>
      <c r="X5" s="145"/>
      <c r="Y5" s="145"/>
      <c r="Z5" s="145"/>
    </row>
    <row r="6" spans="1:26" ht="18" customHeight="1">
      <c r="A6" s="224" t="s">
        <v>352</v>
      </c>
      <c r="B6" s="225"/>
      <c r="C6" s="226" t="s">
        <v>3416</v>
      </c>
      <c r="J6" s="295" t="s">
        <v>3417</v>
      </c>
      <c r="K6" s="293"/>
      <c r="L6" s="294"/>
      <c r="M6" s="295" t="s">
        <v>3418</v>
      </c>
      <c r="N6" s="293"/>
      <c r="O6" s="294"/>
      <c r="P6" s="295" t="s">
        <v>3419</v>
      </c>
      <c r="Q6" s="293"/>
      <c r="R6" s="294"/>
      <c r="S6" s="295" t="s">
        <v>3420</v>
      </c>
      <c r="T6" s="293"/>
      <c r="U6" s="294"/>
      <c r="V6" s="145"/>
      <c r="W6" s="145"/>
      <c r="X6" s="145"/>
      <c r="Y6" s="145"/>
      <c r="Z6" s="145"/>
    </row>
    <row r="7" spans="1:26" ht="18" customHeight="1">
      <c r="A7" s="224" t="s">
        <v>3421</v>
      </c>
      <c r="B7" s="225"/>
      <c r="C7" s="226" t="s">
        <v>3422</v>
      </c>
      <c r="J7" s="145"/>
      <c r="K7" s="145"/>
      <c r="L7" s="145"/>
      <c r="M7" s="145"/>
      <c r="N7" s="145"/>
      <c r="O7" s="145"/>
      <c r="P7" s="145"/>
      <c r="Q7" s="145"/>
      <c r="R7" s="145"/>
      <c r="S7" s="145"/>
      <c r="T7" s="145"/>
      <c r="U7" s="145"/>
      <c r="V7" s="145"/>
      <c r="W7" s="145"/>
      <c r="X7" s="145"/>
      <c r="Y7" s="145"/>
      <c r="Z7" s="145"/>
    </row>
    <row r="8" spans="1:26" ht="18" customHeight="1">
      <c r="A8" s="224" t="s">
        <v>3423</v>
      </c>
      <c r="B8" s="225">
        <f>_ENGINE_Fuzzy_Posture!$B$5</f>
        <v>0</v>
      </c>
      <c r="C8" s="226" t="s">
        <v>3424</v>
      </c>
      <c r="J8" s="298" t="s">
        <v>3425</v>
      </c>
      <c r="K8" s="293"/>
      <c r="L8" s="293"/>
      <c r="M8" s="293"/>
      <c r="N8" s="293"/>
      <c r="O8" s="293"/>
      <c r="P8" s="293"/>
      <c r="Q8" s="293"/>
      <c r="R8" s="293"/>
      <c r="S8" s="293"/>
      <c r="T8" s="293"/>
      <c r="U8" s="293"/>
      <c r="V8" s="293"/>
      <c r="W8" s="293"/>
      <c r="X8" s="293"/>
      <c r="Y8" s="293"/>
      <c r="Z8" s="294"/>
    </row>
    <row r="9" spans="1:26" ht="18" customHeight="1">
      <c r="A9" s="224" t="s">
        <v>3426</v>
      </c>
      <c r="B9" s="225">
        <f>_ENGINE_Fuzzy_Posture!$B$8</f>
        <v>1</v>
      </c>
      <c r="C9" s="226" t="s">
        <v>3424</v>
      </c>
      <c r="J9" s="146" t="s">
        <v>764</v>
      </c>
      <c r="K9" s="146" t="s">
        <v>3406</v>
      </c>
      <c r="L9" s="146" t="s">
        <v>3405</v>
      </c>
      <c r="M9" s="146" t="s">
        <v>3404</v>
      </c>
      <c r="N9" s="146" t="s">
        <v>3403</v>
      </c>
      <c r="O9" s="146" t="s">
        <v>3427</v>
      </c>
      <c r="P9" s="146" t="s">
        <v>3428</v>
      </c>
      <c r="Q9" s="146" t="s">
        <v>273</v>
      </c>
      <c r="R9" s="146" t="s">
        <v>3429</v>
      </c>
      <c r="S9" s="146" t="s">
        <v>3430</v>
      </c>
      <c r="T9" s="145"/>
      <c r="U9" s="145"/>
      <c r="V9" s="145"/>
      <c r="W9" s="145"/>
      <c r="X9" s="145"/>
      <c r="Y9" s="145"/>
      <c r="Z9" s="145"/>
    </row>
    <row r="10" spans="1:26" ht="18" customHeight="1">
      <c r="A10" s="224" t="s">
        <v>3431</v>
      </c>
      <c r="B10" s="225" t="str">
        <f>_ENGINE_Fuzzy_Posture!$B$33</f>
        <v>Business Continuity and Resilience Strategy</v>
      </c>
      <c r="C10" s="226" t="s">
        <v>3432</v>
      </c>
      <c r="J10" s="147" t="str">
        <f t="shared" ref="J10:J26" si="0">B21</f>
        <v>Cyber Privacy</v>
      </c>
      <c r="K10" s="148" t="str">
        <f t="shared" ref="K10:K26" si="1">IF($P10&gt;=1,"●","")</f>
        <v>●</v>
      </c>
      <c r="L10" s="149" t="str">
        <f t="shared" ref="L10:L26" si="2">IF($P10&gt;=2,"●","")</f>
        <v>●</v>
      </c>
      <c r="M10" s="150" t="str">
        <f t="shared" ref="M10:M26" si="3">IF($P10&gt;=3,"●","")</f>
        <v>●</v>
      </c>
      <c r="N10" s="151" t="str">
        <f t="shared" ref="N10:N26" si="4">IF($P10&gt;=4,"●","")</f>
        <v>●</v>
      </c>
      <c r="O10" s="152" t="str">
        <f t="shared" ref="O10:O26" si="5">IF($P10&gt;=5,"●","")</f>
        <v>●</v>
      </c>
      <c r="P10" s="153">
        <f t="shared" ref="P10:P26" si="6">E21</f>
        <v>13.5</v>
      </c>
      <c r="Q10" s="147" t="str">
        <f t="shared" ref="Q10:Q26" si="7">F21</f>
        <v>Critical</v>
      </c>
      <c r="R10" s="153">
        <f t="shared" ref="R10:R26" si="8">C21</f>
        <v>0</v>
      </c>
      <c r="S10" s="153">
        <f t="shared" ref="S10:S26" si="9">D21</f>
        <v>1</v>
      </c>
      <c r="T10" s="145"/>
      <c r="U10" s="145"/>
      <c r="V10" s="145"/>
      <c r="W10" s="145"/>
      <c r="X10" s="145"/>
      <c r="Y10" s="145"/>
      <c r="Z10" s="145"/>
    </row>
    <row r="11" spans="1:26" ht="18" customHeight="1">
      <c r="J11" s="147" t="str">
        <f t="shared" si="0"/>
        <v>Physical Safety</v>
      </c>
      <c r="K11" s="148" t="str">
        <f t="shared" si="1"/>
        <v>●</v>
      </c>
      <c r="L11" s="149" t="str">
        <f t="shared" si="2"/>
        <v>●</v>
      </c>
      <c r="M11" s="150" t="str">
        <f t="shared" si="3"/>
        <v>●</v>
      </c>
      <c r="N11" s="151" t="str">
        <f t="shared" si="4"/>
        <v>●</v>
      </c>
      <c r="O11" s="152" t="str">
        <f t="shared" si="5"/>
        <v>●</v>
      </c>
      <c r="P11" s="153">
        <f t="shared" si="6"/>
        <v>12.75</v>
      </c>
      <c r="Q11" s="147" t="str">
        <f t="shared" si="7"/>
        <v>Critical</v>
      </c>
      <c r="R11" s="153">
        <f t="shared" si="8"/>
        <v>0</v>
      </c>
      <c r="S11" s="153">
        <f t="shared" si="9"/>
        <v>1</v>
      </c>
      <c r="T11" s="145"/>
      <c r="U11" s="145"/>
      <c r="V11" s="145"/>
      <c r="W11" s="145"/>
      <c r="X11" s="145"/>
      <c r="Y11" s="145"/>
      <c r="Z11" s="145"/>
    </row>
    <row r="12" spans="1:26" ht="18" customHeight="1">
      <c r="A12" s="207" t="s">
        <v>3433</v>
      </c>
      <c r="B12" s="207" t="s">
        <v>3434</v>
      </c>
      <c r="C12" s="207" t="s">
        <v>3435</v>
      </c>
      <c r="J12" s="147" t="str">
        <f t="shared" si="0"/>
        <v>Supply Chain</v>
      </c>
      <c r="K12" s="148" t="str">
        <f t="shared" si="1"/>
        <v>●</v>
      </c>
      <c r="L12" s="149" t="str">
        <f t="shared" si="2"/>
        <v>●</v>
      </c>
      <c r="M12" s="150" t="str">
        <f t="shared" si="3"/>
        <v>●</v>
      </c>
      <c r="N12" s="151" t="str">
        <f t="shared" si="4"/>
        <v>●</v>
      </c>
      <c r="O12" s="152" t="str">
        <f t="shared" si="5"/>
        <v>●</v>
      </c>
      <c r="P12" s="153">
        <f t="shared" si="6"/>
        <v>12.25</v>
      </c>
      <c r="Q12" s="147" t="str">
        <f t="shared" si="7"/>
        <v>Critical</v>
      </c>
      <c r="R12" s="153">
        <f t="shared" si="8"/>
        <v>0</v>
      </c>
      <c r="S12" s="153">
        <f t="shared" si="9"/>
        <v>1</v>
      </c>
      <c r="T12" s="145"/>
      <c r="U12" s="145"/>
      <c r="V12" s="145"/>
      <c r="W12" s="145"/>
      <c r="X12" s="145"/>
      <c r="Y12" s="145"/>
      <c r="Z12" s="145"/>
    </row>
    <row r="13" spans="1:26" ht="18" customHeight="1">
      <c r="A13" s="227" t="s">
        <v>3436</v>
      </c>
      <c r="B13" s="227">
        <f>_ENGINE_Fuzzy_Posture!$B$11</f>
        <v>1</v>
      </c>
      <c r="C13" s="227" t="s">
        <v>3437</v>
      </c>
      <c r="J13" s="147" t="str">
        <f t="shared" si="0"/>
        <v>Manufacturing MES</v>
      </c>
      <c r="K13" s="148" t="str">
        <f t="shared" si="1"/>
        <v>●</v>
      </c>
      <c r="L13" s="149" t="str">
        <f t="shared" si="2"/>
        <v>●</v>
      </c>
      <c r="M13" s="150" t="str">
        <f t="shared" si="3"/>
        <v>●</v>
      </c>
      <c r="N13" s="151" t="str">
        <f t="shared" si="4"/>
        <v>●</v>
      </c>
      <c r="O13" s="152" t="str">
        <f t="shared" si="5"/>
        <v>●</v>
      </c>
      <c r="P13" s="153">
        <f t="shared" si="6"/>
        <v>12</v>
      </c>
      <c r="Q13" s="147" t="str">
        <f t="shared" si="7"/>
        <v>Critical</v>
      </c>
      <c r="R13" s="153">
        <f t="shared" si="8"/>
        <v>0</v>
      </c>
      <c r="S13" s="153">
        <f t="shared" si="9"/>
        <v>1</v>
      </c>
      <c r="T13" s="145"/>
      <c r="U13" s="145"/>
      <c r="V13" s="145"/>
      <c r="W13" s="145"/>
      <c r="X13" s="145"/>
      <c r="Y13" s="145"/>
      <c r="Z13" s="145"/>
    </row>
    <row r="14" spans="1:26" ht="18" customHeight="1">
      <c r="A14" s="220" t="s">
        <v>3438</v>
      </c>
      <c r="B14" s="220">
        <f>_ENGINE_Fuzzy_Posture!$B$12</f>
        <v>0</v>
      </c>
      <c r="C14" s="220" t="s">
        <v>3439</v>
      </c>
      <c r="J14" s="147" t="str">
        <f t="shared" si="0"/>
        <v>IT Cloud DR</v>
      </c>
      <c r="K14" s="148" t="str">
        <f t="shared" si="1"/>
        <v>●</v>
      </c>
      <c r="L14" s="149" t="str">
        <f t="shared" si="2"/>
        <v>●</v>
      </c>
      <c r="M14" s="150" t="str">
        <f t="shared" si="3"/>
        <v>●</v>
      </c>
      <c r="N14" s="151" t="str">
        <f t="shared" si="4"/>
        <v>●</v>
      </c>
      <c r="O14" s="152" t="str">
        <f t="shared" si="5"/>
        <v>●</v>
      </c>
      <c r="P14" s="153">
        <f t="shared" si="6"/>
        <v>12</v>
      </c>
      <c r="Q14" s="147" t="str">
        <f t="shared" si="7"/>
        <v>Critical</v>
      </c>
      <c r="R14" s="153">
        <f t="shared" si="8"/>
        <v>0</v>
      </c>
      <c r="S14" s="153">
        <f t="shared" si="9"/>
        <v>1</v>
      </c>
      <c r="T14" s="145"/>
      <c r="U14" s="145"/>
      <c r="V14" s="145"/>
      <c r="W14" s="145"/>
      <c r="X14" s="145"/>
      <c r="Y14" s="145"/>
      <c r="Z14" s="145"/>
    </row>
    <row r="15" spans="1:26" ht="18" customHeight="1">
      <c r="A15" s="227" t="s">
        <v>3440</v>
      </c>
      <c r="B15" s="227">
        <f>_ENGINE_Fuzzy_Posture!$B$13</f>
        <v>0</v>
      </c>
      <c r="C15" s="227" t="s">
        <v>3441</v>
      </c>
      <c r="J15" s="147" t="str">
        <f t="shared" si="0"/>
        <v>Data BI AI</v>
      </c>
      <c r="K15" s="148" t="str">
        <f t="shared" si="1"/>
        <v>●</v>
      </c>
      <c r="L15" s="149" t="str">
        <f t="shared" si="2"/>
        <v>●</v>
      </c>
      <c r="M15" s="150" t="str">
        <f t="shared" si="3"/>
        <v>●</v>
      </c>
      <c r="N15" s="151" t="str">
        <f t="shared" si="4"/>
        <v>●</v>
      </c>
      <c r="O15" s="152" t="str">
        <f t="shared" si="5"/>
        <v>●</v>
      </c>
      <c r="P15" s="153">
        <f t="shared" si="6"/>
        <v>11.75</v>
      </c>
      <c r="Q15" s="147" t="str">
        <f t="shared" si="7"/>
        <v>Critical</v>
      </c>
      <c r="R15" s="153">
        <f t="shared" si="8"/>
        <v>0</v>
      </c>
      <c r="S15" s="153">
        <f t="shared" si="9"/>
        <v>1</v>
      </c>
      <c r="T15" s="145"/>
      <c r="U15" s="145"/>
      <c r="V15" s="145"/>
      <c r="W15" s="145"/>
      <c r="X15" s="145"/>
      <c r="Y15" s="145"/>
      <c r="Z15" s="145"/>
    </row>
    <row r="16" spans="1:26" ht="18" customHeight="1">
      <c r="A16" s="220" t="s">
        <v>3442</v>
      </c>
      <c r="B16" s="220">
        <f>_ENGINE_Fuzzy_Posture!$B$14</f>
        <v>0</v>
      </c>
      <c r="C16" s="220" t="s">
        <v>3443</v>
      </c>
      <c r="J16" s="147" t="str">
        <f t="shared" si="0"/>
        <v>Strategy GTM</v>
      </c>
      <c r="K16" s="148" t="str">
        <f t="shared" si="1"/>
        <v>●</v>
      </c>
      <c r="L16" s="149" t="str">
        <f t="shared" si="2"/>
        <v>●</v>
      </c>
      <c r="M16" s="150" t="str">
        <f t="shared" si="3"/>
        <v>●</v>
      </c>
      <c r="N16" s="151" t="str">
        <f t="shared" si="4"/>
        <v>●</v>
      </c>
      <c r="O16" s="152" t="str">
        <f t="shared" si="5"/>
        <v>●</v>
      </c>
      <c r="P16" s="153">
        <f t="shared" si="6"/>
        <v>11.5</v>
      </c>
      <c r="Q16" s="147" t="str">
        <f t="shared" si="7"/>
        <v>Critical</v>
      </c>
      <c r="R16" s="153">
        <f t="shared" si="8"/>
        <v>0</v>
      </c>
      <c r="S16" s="153">
        <f t="shared" si="9"/>
        <v>1</v>
      </c>
      <c r="T16" s="145"/>
      <c r="U16" s="145"/>
      <c r="V16" s="145"/>
      <c r="W16" s="145"/>
      <c r="X16" s="145"/>
      <c r="Y16" s="145"/>
      <c r="Z16" s="145"/>
    </row>
    <row r="17" spans="1:32" ht="18" customHeight="1">
      <c r="A17" s="227" t="s">
        <v>3444</v>
      </c>
      <c r="B17" s="227">
        <f>_ENGINE_Fuzzy_Posture!$B$15</f>
        <v>0</v>
      </c>
      <c r="C17" s="227" t="s">
        <v>3445</v>
      </c>
      <c r="J17" s="147" t="str">
        <f t="shared" si="0"/>
        <v>HR Workforce</v>
      </c>
      <c r="K17" s="148" t="str">
        <f t="shared" si="1"/>
        <v>●</v>
      </c>
      <c r="L17" s="149" t="str">
        <f t="shared" si="2"/>
        <v>●</v>
      </c>
      <c r="M17" s="150" t="str">
        <f t="shared" si="3"/>
        <v>●</v>
      </c>
      <c r="N17" s="151" t="str">
        <f t="shared" si="4"/>
        <v>●</v>
      </c>
      <c r="O17" s="152" t="str">
        <f t="shared" si="5"/>
        <v>●</v>
      </c>
      <c r="P17" s="153">
        <f t="shared" si="6"/>
        <v>11.5</v>
      </c>
      <c r="Q17" s="147" t="str">
        <f t="shared" si="7"/>
        <v>Critical</v>
      </c>
      <c r="R17" s="153">
        <f t="shared" si="8"/>
        <v>0</v>
      </c>
      <c r="S17" s="153">
        <f t="shared" si="9"/>
        <v>1</v>
      </c>
      <c r="T17" s="145"/>
      <c r="U17" s="145"/>
      <c r="V17" s="145"/>
      <c r="W17" s="145"/>
      <c r="X17" s="145"/>
      <c r="Y17" s="145"/>
      <c r="Z17" s="145"/>
    </row>
    <row r="18" spans="1:32" ht="18" customHeight="1">
      <c r="J18" s="147" t="str">
        <f t="shared" si="0"/>
        <v>Finance Procurement</v>
      </c>
      <c r="K18" s="148" t="str">
        <f t="shared" si="1"/>
        <v>●</v>
      </c>
      <c r="L18" s="149" t="str">
        <f t="shared" si="2"/>
        <v>●</v>
      </c>
      <c r="M18" s="150" t="str">
        <f t="shared" si="3"/>
        <v>●</v>
      </c>
      <c r="N18" s="151" t="str">
        <f t="shared" si="4"/>
        <v>●</v>
      </c>
      <c r="O18" s="152" t="str">
        <f t="shared" si="5"/>
        <v>●</v>
      </c>
      <c r="P18" s="153">
        <f t="shared" si="6"/>
        <v>11.5</v>
      </c>
      <c r="Q18" s="147" t="str">
        <f t="shared" si="7"/>
        <v>Critical</v>
      </c>
      <c r="R18" s="153">
        <f t="shared" si="8"/>
        <v>0</v>
      </c>
      <c r="S18" s="153">
        <f t="shared" si="9"/>
        <v>1</v>
      </c>
      <c r="T18" s="145"/>
      <c r="U18" s="145"/>
      <c r="V18" s="145"/>
      <c r="W18" s="145"/>
      <c r="X18" s="145"/>
      <c r="Y18" s="145"/>
      <c r="Z18" s="145"/>
    </row>
    <row r="19" spans="1:32" ht="18" customHeight="1">
      <c r="A19" s="211" t="s">
        <v>3446</v>
      </c>
      <c r="J19" s="147" t="str">
        <f t="shared" si="0"/>
        <v>Delivery Ops</v>
      </c>
      <c r="K19" s="148" t="str">
        <f t="shared" si="1"/>
        <v>●</v>
      </c>
      <c r="L19" s="149" t="str">
        <f t="shared" si="2"/>
        <v>●</v>
      </c>
      <c r="M19" s="150" t="str">
        <f t="shared" si="3"/>
        <v>●</v>
      </c>
      <c r="N19" s="151" t="str">
        <f t="shared" si="4"/>
        <v>●</v>
      </c>
      <c r="O19" s="152" t="str">
        <f t="shared" si="5"/>
        <v>●</v>
      </c>
      <c r="P19" s="153">
        <f t="shared" si="6"/>
        <v>11</v>
      </c>
      <c r="Q19" s="147" t="str">
        <f t="shared" si="7"/>
        <v>Critical</v>
      </c>
      <c r="R19" s="153">
        <f t="shared" si="8"/>
        <v>0</v>
      </c>
      <c r="S19" s="153">
        <f t="shared" si="9"/>
        <v>1</v>
      </c>
      <c r="T19" s="145"/>
      <c r="U19" s="145"/>
      <c r="V19" s="145"/>
      <c r="W19" s="145"/>
      <c r="X19" s="145"/>
      <c r="Y19" s="145"/>
      <c r="Z19" s="145"/>
    </row>
    <row r="20" spans="1:32" ht="18" customHeight="1">
      <c r="A20" s="207" t="s">
        <v>3447</v>
      </c>
      <c r="B20" s="207" t="s">
        <v>764</v>
      </c>
      <c r="C20" s="207" t="s">
        <v>3429</v>
      </c>
      <c r="D20" s="207" t="s">
        <v>3448</v>
      </c>
      <c r="E20" s="207" t="s">
        <v>3449</v>
      </c>
      <c r="F20" s="207" t="s">
        <v>273</v>
      </c>
      <c r="J20" s="147" t="str">
        <f t="shared" si="0"/>
        <v>Sales CRM</v>
      </c>
      <c r="K20" s="148" t="str">
        <f t="shared" si="1"/>
        <v>●</v>
      </c>
      <c r="L20" s="149" t="str">
        <f t="shared" si="2"/>
        <v>●</v>
      </c>
      <c r="M20" s="150" t="str">
        <f t="shared" si="3"/>
        <v>●</v>
      </c>
      <c r="N20" s="151" t="str">
        <f t="shared" si="4"/>
        <v>●</v>
      </c>
      <c r="O20" s="152" t="str">
        <f t="shared" si="5"/>
        <v>●</v>
      </c>
      <c r="P20" s="153">
        <f t="shared" si="6"/>
        <v>11</v>
      </c>
      <c r="Q20" s="147" t="str">
        <f t="shared" si="7"/>
        <v>Critical</v>
      </c>
      <c r="R20" s="153">
        <f t="shared" si="8"/>
        <v>0</v>
      </c>
      <c r="S20" s="153">
        <f t="shared" si="9"/>
        <v>1</v>
      </c>
      <c r="T20" s="145"/>
      <c r="U20" s="145"/>
      <c r="V20" s="145"/>
      <c r="W20" s="145"/>
      <c r="X20" s="145"/>
      <c r="Y20" s="145"/>
      <c r="Z20" s="145"/>
    </row>
    <row r="21" spans="1:32" ht="18" customHeight="1">
      <c r="A21" s="227">
        <f>IF($B21="","",ROWS($A$21:A21))</f>
        <v>1</v>
      </c>
      <c r="B21" s="227" t="str">
        <f>IFERROR(INDEX($AA$21:$AA$37,MATCH(LARGE($AF$21:$AF$37,ROWS($A$21:A21)),$AF$21:$AF$37,0)),"")</f>
        <v>Cyber Privacy</v>
      </c>
      <c r="C21" s="227">
        <f t="shared" ref="C21:C37" si="10">IF($B21="","",INDEX($AB$21:$AB$37,MATCH($B21,$AA$21:$AA$37,0)))</f>
        <v>0</v>
      </c>
      <c r="D21" s="227">
        <f t="shared" ref="D21:D37" si="11">IF($B21="","",INDEX($AC$21:$AC$37,MATCH($B21,$AA$21:$AA$37,0)))</f>
        <v>1</v>
      </c>
      <c r="E21" s="227">
        <f t="shared" ref="E21:E37" si="12">IF($B21="","",INDEX($AD$21:$AD$37,MATCH($B21,$AA$21:$AA$37,0)))</f>
        <v>13.5</v>
      </c>
      <c r="F21" s="227" t="str">
        <f t="shared" ref="F21:F37" si="13">IF($B21="","",INDEX($AE$21:$AE$37,MATCH($B21,$AA$21:$AA$37,0)))</f>
        <v>Critical</v>
      </c>
      <c r="J21" s="147" t="str">
        <f t="shared" si="0"/>
        <v>Governance Crisis</v>
      </c>
      <c r="K21" s="148" t="str">
        <f t="shared" si="1"/>
        <v>●</v>
      </c>
      <c r="L21" s="149" t="str">
        <f t="shared" si="2"/>
        <v>●</v>
      </c>
      <c r="M21" s="150" t="str">
        <f t="shared" si="3"/>
        <v>●</v>
      </c>
      <c r="N21" s="151" t="str">
        <f t="shared" si="4"/>
        <v>●</v>
      </c>
      <c r="O21" s="152" t="str">
        <f t="shared" si="5"/>
        <v>●</v>
      </c>
      <c r="P21" s="153">
        <f t="shared" si="6"/>
        <v>10.5</v>
      </c>
      <c r="Q21" s="147" t="str">
        <f t="shared" si="7"/>
        <v>Critical</v>
      </c>
      <c r="R21" s="153">
        <f t="shared" si="8"/>
        <v>0</v>
      </c>
      <c r="S21" s="153">
        <f t="shared" si="9"/>
        <v>1</v>
      </c>
      <c r="T21" s="145"/>
      <c r="U21" s="145"/>
      <c r="V21" s="145"/>
      <c r="W21" s="145"/>
      <c r="X21" s="145"/>
      <c r="Y21" s="145"/>
      <c r="Z21" s="145"/>
      <c r="AA21" t="str">
        <f>INDEX(_DATA_Dashboard_Facts!$A$5:$A$21,ROWS($AA$21:AA21))</f>
        <v>Company Geography</v>
      </c>
      <c r="AB21">
        <f>INDEX(_DATA_Dashboard_Facts!$H$5:$H$21,ROWS($AB$21:AB21))</f>
        <v>0</v>
      </c>
      <c r="AC21">
        <f>IF(OR($B$6="",$B$7&lt;=0),1,IFERROR(IF(SUMIFS(_ENGINE_Crisis!$D$5:$D$208,_ENGINE_Crisis!$A$5:$A$208,$B$6,_ENGINE_Crisis!$B$5:$B$208,$AA21)=0,1,ROUND(MIN(_ENGINE_Crisis!$AH$306,SUMIFS(_ENGINE_Crisis!$D$5:$D$208,_ENGINE_Crisis!$A$5:$A$208,$B$6,_ENGINE_Crisis!$B$5:$B$208,$AA21)+_ENGINE_Crisis!$AH$305*SUMPRODUCT((_ENGINE_Crisis!$B$5:$B$208=$AA21)*_ENGINE_Crisis!$K$5:$K$208*(_ENGINE_Crisis!$D$5:$D$208&gt;1)*(_ENGINE_Crisis!$D$5:$D$208-1))),2)),1))</f>
        <v>1</v>
      </c>
      <c r="AD21">
        <f>IF(OR($AB21="",INDEX(_DATA_Dashboard_Facts!$F$5:$F$21,MATCH($AA21,_DATA_Dashboard_Facts!$A$5:$A$21,0))=0),"",ROUND(((((5-$AB21)*$AC21)+((INDEX(_DATA_Dashboard_Facts!$J$5:$J$21,MATCH($AA21,_DATA_Dashboard_Facts!$A$5:$A$21,0))+INDEX(_DATA_Dashboard_Facts!$K$5:$K$21,MATCH($AA21,_DATA_Dashboard_Facts!$A$5:$A$21,0)))*0.25*$AC21)))*(IF(PV_Canonical_Industry="",1,IFERROR(SUMIFS(_REF_Model_Content!$C$5:$C$157,_REF_Model_Content!$A$5:$A$157,PV_Canonical_Industry,_REF_Model_Content!$B$5:$B$157,$AA21)/AVERAGEIFS(_REF_Model_Content!$C$5:$C$157,_REF_Model_Content!$A$5:$A$157,PV_Canonical_Industry),1))),2))</f>
        <v>9.75</v>
      </c>
      <c r="AE21" t="str">
        <f t="shared" ref="AE21:AE37" si="14">IF($AD21="","",IF($AD21&gt;=5,"Critical",IF($AD21&gt;=cfg_CrisisHighCut,"High",IF($AD21&gt;=cfg_CrisisMedCut,"Medium","Low"))))</f>
        <v>Critical</v>
      </c>
      <c r="AF21">
        <f>IF($AD21="","",$AD21+(18-ROWS($AF$21:AF21))/1000000)</f>
        <v>9.7500169999999997</v>
      </c>
    </row>
    <row r="22" spans="1:32" ht="18" customHeight="1">
      <c r="A22" s="220">
        <f>IF($B22="","",ROWS($A$21:A22))</f>
        <v>2</v>
      </c>
      <c r="B22" s="220" t="str">
        <f>IFERROR(INDEX($AA$21:$AA$37,MATCH(LARGE($AF$21:$AF$37,ROWS($A$21:A22)),$AF$21:$AF$37,0)),"")</f>
        <v>Physical Safety</v>
      </c>
      <c r="C22" s="220">
        <f t="shared" si="10"/>
        <v>0</v>
      </c>
      <c r="D22" s="220">
        <f t="shared" si="11"/>
        <v>1</v>
      </c>
      <c r="E22" s="220">
        <f t="shared" si="12"/>
        <v>12.75</v>
      </c>
      <c r="F22" s="220" t="str">
        <f t="shared" si="13"/>
        <v>Critical</v>
      </c>
      <c r="J22" s="147" t="str">
        <f t="shared" si="0"/>
        <v>Quality Portfolio</v>
      </c>
      <c r="K22" s="148" t="str">
        <f t="shared" si="1"/>
        <v>●</v>
      </c>
      <c r="L22" s="149" t="str">
        <f t="shared" si="2"/>
        <v>●</v>
      </c>
      <c r="M22" s="150" t="str">
        <f t="shared" si="3"/>
        <v>●</v>
      </c>
      <c r="N22" s="151" t="str">
        <f t="shared" si="4"/>
        <v>●</v>
      </c>
      <c r="O22" s="152" t="str">
        <f t="shared" si="5"/>
        <v>●</v>
      </c>
      <c r="P22" s="153">
        <f t="shared" si="6"/>
        <v>10.5</v>
      </c>
      <c r="Q22" s="147" t="str">
        <f t="shared" si="7"/>
        <v>Critical</v>
      </c>
      <c r="R22" s="153">
        <f t="shared" si="8"/>
        <v>0</v>
      </c>
      <c r="S22" s="153">
        <f t="shared" si="9"/>
        <v>1</v>
      </c>
      <c r="T22" s="145"/>
      <c r="U22" s="145"/>
      <c r="V22" s="145"/>
      <c r="W22" s="145"/>
      <c r="X22" s="145"/>
      <c r="Y22" s="145"/>
      <c r="Z22" s="145"/>
      <c r="AA22" t="str">
        <f>INDEX(_DATA_Dashboard_Facts!$A$5:$A$21,ROWS($AA$21:AA22))</f>
        <v>Strategy GTM</v>
      </c>
      <c r="AB22">
        <f>INDEX(_DATA_Dashboard_Facts!$H$5:$H$21,ROWS($AB$21:AB22))</f>
        <v>0</v>
      </c>
      <c r="AC22">
        <f>IF(OR($B$6="",$B$7&lt;=0),1,IFERROR(IF(SUMIFS(_ENGINE_Crisis!$D$5:$D$208,_ENGINE_Crisis!$A$5:$A$208,$B$6,_ENGINE_Crisis!$B$5:$B$208,$AA22)=0,1,ROUND(MIN(_ENGINE_Crisis!$AH$306,SUMIFS(_ENGINE_Crisis!$D$5:$D$208,_ENGINE_Crisis!$A$5:$A$208,$B$6,_ENGINE_Crisis!$B$5:$B$208,$AA22)+_ENGINE_Crisis!$AH$305*SUMPRODUCT((_ENGINE_Crisis!$B$5:$B$208=$AA22)*_ENGINE_Crisis!$K$5:$K$208*(_ENGINE_Crisis!$D$5:$D$208&gt;1)*(_ENGINE_Crisis!$D$5:$D$208-1))),2)),1))</f>
        <v>1</v>
      </c>
      <c r="AD22">
        <f>IF(OR($AB22="",INDEX(_DATA_Dashboard_Facts!$F$5:$F$21,MATCH($AA22,_DATA_Dashboard_Facts!$A$5:$A$21,0))=0),"",ROUND(((((5-$AB22)*$AC22)+((INDEX(_DATA_Dashboard_Facts!$J$5:$J$21,MATCH($AA22,_DATA_Dashboard_Facts!$A$5:$A$21,0))+INDEX(_DATA_Dashboard_Facts!$K$5:$K$21,MATCH($AA22,_DATA_Dashboard_Facts!$A$5:$A$21,0)))*0.25*$AC22)))*(IF(PV_Canonical_Industry="",1,IFERROR(SUMIFS(_REF_Model_Content!$C$5:$C$157,_REF_Model_Content!$A$5:$A$157,PV_Canonical_Industry,_REF_Model_Content!$B$5:$B$157,$AA22)/AVERAGEIFS(_REF_Model_Content!$C$5:$C$157,_REF_Model_Content!$A$5:$A$157,PV_Canonical_Industry),1))),2))</f>
        <v>11.5</v>
      </c>
      <c r="AE22" t="str">
        <f t="shared" si="14"/>
        <v>Critical</v>
      </c>
      <c r="AF22">
        <f>IF($AD22="","",$AD22+(18-ROWS($AF$21:AF22))/1000000)</f>
        <v>11.500016</v>
      </c>
    </row>
    <row r="23" spans="1:32" ht="18" customHeight="1">
      <c r="A23" s="227">
        <f>IF($B23="","",ROWS($A$21:A23))</f>
        <v>3</v>
      </c>
      <c r="B23" s="227" t="str">
        <f>IFERROR(INDEX($AA$21:$AA$37,MATCH(LARGE($AF$21:$AF$37,ROWS($A$21:A23)),$AF$21:$AF$37,0)),"")</f>
        <v>Supply Chain</v>
      </c>
      <c r="C23" s="227">
        <f t="shared" si="10"/>
        <v>0</v>
      </c>
      <c r="D23" s="227">
        <f t="shared" si="11"/>
        <v>1</v>
      </c>
      <c r="E23" s="227">
        <f t="shared" si="12"/>
        <v>12.25</v>
      </c>
      <c r="F23" s="227" t="str">
        <f t="shared" si="13"/>
        <v>Critical</v>
      </c>
      <c r="J23" s="147" t="str">
        <f t="shared" si="0"/>
        <v>Legal Risk</v>
      </c>
      <c r="K23" s="148" t="str">
        <f t="shared" si="1"/>
        <v>●</v>
      </c>
      <c r="L23" s="149" t="str">
        <f t="shared" si="2"/>
        <v>●</v>
      </c>
      <c r="M23" s="150" t="str">
        <f t="shared" si="3"/>
        <v>●</v>
      </c>
      <c r="N23" s="151" t="str">
        <f t="shared" si="4"/>
        <v>●</v>
      </c>
      <c r="O23" s="152" t="str">
        <f t="shared" si="5"/>
        <v>●</v>
      </c>
      <c r="P23" s="153">
        <f t="shared" si="6"/>
        <v>10.25</v>
      </c>
      <c r="Q23" s="147" t="str">
        <f t="shared" si="7"/>
        <v>Critical</v>
      </c>
      <c r="R23" s="153">
        <f t="shared" si="8"/>
        <v>0</v>
      </c>
      <c r="S23" s="153">
        <f t="shared" si="9"/>
        <v>1</v>
      </c>
      <c r="T23" s="145"/>
      <c r="U23" s="145"/>
      <c r="V23" s="145"/>
      <c r="W23" s="145"/>
      <c r="X23" s="145"/>
      <c r="Y23" s="145"/>
      <c r="Z23" s="145"/>
      <c r="AA23" t="str">
        <f>INDEX(_DATA_Dashboard_Facts!$A$5:$A$21,ROWS($AA$21:AA23))</f>
        <v>Governance Crisis</v>
      </c>
      <c r="AB23">
        <f>INDEX(_DATA_Dashboard_Facts!$H$5:$H$21,ROWS($AB$21:AB23))</f>
        <v>0</v>
      </c>
      <c r="AC23">
        <f>IF(OR($B$6="",$B$7&lt;=0),1,IFERROR(IF(SUMIFS(_ENGINE_Crisis!$D$5:$D$208,_ENGINE_Crisis!$A$5:$A$208,$B$6,_ENGINE_Crisis!$B$5:$B$208,$AA23)=0,1,ROUND(MIN(_ENGINE_Crisis!$AH$306,SUMIFS(_ENGINE_Crisis!$D$5:$D$208,_ENGINE_Crisis!$A$5:$A$208,$B$6,_ENGINE_Crisis!$B$5:$B$208,$AA23)+_ENGINE_Crisis!$AH$305*SUMPRODUCT((_ENGINE_Crisis!$B$5:$B$208=$AA23)*_ENGINE_Crisis!$K$5:$K$208*(_ENGINE_Crisis!$D$5:$D$208&gt;1)*(_ENGINE_Crisis!$D$5:$D$208-1))),2)),1))</f>
        <v>1</v>
      </c>
      <c r="AD23">
        <f>IF(OR($AB23="",INDEX(_DATA_Dashboard_Facts!$F$5:$F$21,MATCH($AA23,_DATA_Dashboard_Facts!$A$5:$A$21,0))=0),"",ROUND(((((5-$AB23)*$AC23)+((INDEX(_DATA_Dashboard_Facts!$J$5:$J$21,MATCH($AA23,_DATA_Dashboard_Facts!$A$5:$A$21,0))+INDEX(_DATA_Dashboard_Facts!$K$5:$K$21,MATCH($AA23,_DATA_Dashboard_Facts!$A$5:$A$21,0)))*0.25*$AC23)))*(IF(PV_Canonical_Industry="",1,IFERROR(SUMIFS(_REF_Model_Content!$C$5:$C$157,_REF_Model_Content!$A$5:$A$157,PV_Canonical_Industry,_REF_Model_Content!$B$5:$B$157,$AA23)/AVERAGEIFS(_REF_Model_Content!$C$5:$C$157,_REF_Model_Content!$A$5:$A$157,PV_Canonical_Industry),1))),2))</f>
        <v>10.5</v>
      </c>
      <c r="AE23" t="str">
        <f t="shared" si="14"/>
        <v>Critical</v>
      </c>
      <c r="AF23">
        <f>IF($AD23="","",$AD23+(18-ROWS($AF$21:AF23))/1000000)</f>
        <v>10.500014999999999</v>
      </c>
    </row>
    <row r="24" spans="1:32" ht="18" customHeight="1">
      <c r="A24" s="220">
        <f>IF($B24="","",ROWS($A$21:A24))</f>
        <v>4</v>
      </c>
      <c r="B24" s="220" t="str">
        <f>IFERROR(INDEX($AA$21:$AA$37,MATCH(LARGE($AF$21:$AF$37,ROWS($A$21:A24)),$AF$21:$AF$37,0)),"")</f>
        <v>Manufacturing MES</v>
      </c>
      <c r="C24" s="220">
        <f t="shared" si="10"/>
        <v>0</v>
      </c>
      <c r="D24" s="220">
        <f t="shared" si="11"/>
        <v>1</v>
      </c>
      <c r="E24" s="220">
        <f t="shared" si="12"/>
        <v>12</v>
      </c>
      <c r="F24" s="220" t="str">
        <f t="shared" si="13"/>
        <v>Critical</v>
      </c>
      <c r="J24" s="147" t="str">
        <f t="shared" si="0"/>
        <v>Business Systems</v>
      </c>
      <c r="K24" s="148" t="str">
        <f t="shared" si="1"/>
        <v>●</v>
      </c>
      <c r="L24" s="149" t="str">
        <f t="shared" si="2"/>
        <v>●</v>
      </c>
      <c r="M24" s="150" t="str">
        <f t="shared" si="3"/>
        <v>●</v>
      </c>
      <c r="N24" s="151" t="str">
        <f t="shared" si="4"/>
        <v>●</v>
      </c>
      <c r="O24" s="152" t="str">
        <f t="shared" si="5"/>
        <v>●</v>
      </c>
      <c r="P24" s="153">
        <f t="shared" si="6"/>
        <v>10.25</v>
      </c>
      <c r="Q24" s="147" t="str">
        <f t="shared" si="7"/>
        <v>Critical</v>
      </c>
      <c r="R24" s="153">
        <f t="shared" si="8"/>
        <v>0</v>
      </c>
      <c r="S24" s="153">
        <f t="shared" si="9"/>
        <v>1</v>
      </c>
      <c r="T24" s="145"/>
      <c r="U24" s="145"/>
      <c r="V24" s="145"/>
      <c r="W24" s="145"/>
      <c r="X24" s="145"/>
      <c r="Y24" s="145"/>
      <c r="Z24" s="145"/>
      <c r="AA24" t="str">
        <f>INDEX(_DATA_Dashboard_Facts!$A$5:$A$21,ROWS($AA$21:AA24))</f>
        <v>HR Workforce</v>
      </c>
      <c r="AB24">
        <f>INDEX(_DATA_Dashboard_Facts!$H$5:$H$21,ROWS($AB$21:AB24))</f>
        <v>0</v>
      </c>
      <c r="AC24">
        <f>IF(OR($B$6="",$B$7&lt;=0),1,IFERROR(IF(SUMIFS(_ENGINE_Crisis!$D$5:$D$208,_ENGINE_Crisis!$A$5:$A$208,$B$6,_ENGINE_Crisis!$B$5:$B$208,$AA24)=0,1,ROUND(MIN(_ENGINE_Crisis!$AH$306,SUMIFS(_ENGINE_Crisis!$D$5:$D$208,_ENGINE_Crisis!$A$5:$A$208,$B$6,_ENGINE_Crisis!$B$5:$B$208,$AA24)+_ENGINE_Crisis!$AH$305*SUMPRODUCT((_ENGINE_Crisis!$B$5:$B$208=$AA24)*_ENGINE_Crisis!$K$5:$K$208*(_ENGINE_Crisis!$D$5:$D$208&gt;1)*(_ENGINE_Crisis!$D$5:$D$208-1))),2)),1))</f>
        <v>1</v>
      </c>
      <c r="AD24">
        <f>IF(OR($AB24="",INDEX(_DATA_Dashboard_Facts!$F$5:$F$21,MATCH($AA24,_DATA_Dashboard_Facts!$A$5:$A$21,0))=0),"",ROUND(((((5-$AB24)*$AC24)+((INDEX(_DATA_Dashboard_Facts!$J$5:$J$21,MATCH($AA24,_DATA_Dashboard_Facts!$A$5:$A$21,0))+INDEX(_DATA_Dashboard_Facts!$K$5:$K$21,MATCH($AA24,_DATA_Dashboard_Facts!$A$5:$A$21,0)))*0.25*$AC24)))*(IF(PV_Canonical_Industry="",1,IFERROR(SUMIFS(_REF_Model_Content!$C$5:$C$157,_REF_Model_Content!$A$5:$A$157,PV_Canonical_Industry,_REF_Model_Content!$B$5:$B$157,$AA24)/AVERAGEIFS(_REF_Model_Content!$C$5:$C$157,_REF_Model_Content!$A$5:$A$157,PV_Canonical_Industry),1))),2))</f>
        <v>11.5</v>
      </c>
      <c r="AE24" t="str">
        <f t="shared" si="14"/>
        <v>Critical</v>
      </c>
      <c r="AF24">
        <f>IF($AD24="","",$AD24+(18-ROWS($AF$21:AF24))/1000000)</f>
        <v>11.500014</v>
      </c>
    </row>
    <row r="25" spans="1:32" ht="18" customHeight="1">
      <c r="A25" s="227">
        <f>IF($B25="","",ROWS($A$21:A25))</f>
        <v>5</v>
      </c>
      <c r="B25" s="227" t="str">
        <f>IFERROR(INDEX($AA$21:$AA$37,MATCH(LARGE($AF$21:$AF$37,ROWS($A$21:A25)),$AF$21:$AF$37,0)),"")</f>
        <v>IT Cloud DR</v>
      </c>
      <c r="C25" s="227">
        <f t="shared" si="10"/>
        <v>0</v>
      </c>
      <c r="D25" s="227">
        <f t="shared" si="11"/>
        <v>1</v>
      </c>
      <c r="E25" s="227">
        <f t="shared" si="12"/>
        <v>12</v>
      </c>
      <c r="F25" s="227" t="str">
        <f t="shared" si="13"/>
        <v>Critical</v>
      </c>
      <c r="J25" s="147" t="str">
        <f t="shared" si="0"/>
        <v>Company Geography</v>
      </c>
      <c r="K25" s="148" t="str">
        <f t="shared" si="1"/>
        <v>●</v>
      </c>
      <c r="L25" s="149" t="str">
        <f t="shared" si="2"/>
        <v>●</v>
      </c>
      <c r="M25" s="150" t="str">
        <f t="shared" si="3"/>
        <v>●</v>
      </c>
      <c r="N25" s="151" t="str">
        <f t="shared" si="4"/>
        <v>●</v>
      </c>
      <c r="O25" s="152" t="str">
        <f t="shared" si="5"/>
        <v>●</v>
      </c>
      <c r="P25" s="153">
        <f t="shared" si="6"/>
        <v>9.75</v>
      </c>
      <c r="Q25" s="147" t="str">
        <f t="shared" si="7"/>
        <v>Critical</v>
      </c>
      <c r="R25" s="153">
        <f t="shared" si="8"/>
        <v>0</v>
      </c>
      <c r="S25" s="153">
        <f t="shared" si="9"/>
        <v>1</v>
      </c>
      <c r="T25" s="145"/>
      <c r="U25" s="145"/>
      <c r="V25" s="145"/>
      <c r="W25" s="145"/>
      <c r="X25" s="145"/>
      <c r="Y25" s="145"/>
      <c r="Z25" s="145"/>
      <c r="AA25" t="str">
        <f>INDEX(_DATA_Dashboard_Facts!$A$5:$A$21,ROWS($AA$21:AA25))</f>
        <v>Finance Procurement</v>
      </c>
      <c r="AB25">
        <f>INDEX(_DATA_Dashboard_Facts!$H$5:$H$21,ROWS($AB$21:AB25))</f>
        <v>0</v>
      </c>
      <c r="AC25">
        <f>IF(OR($B$6="",$B$7&lt;=0),1,IFERROR(IF(SUMIFS(_ENGINE_Crisis!$D$5:$D$208,_ENGINE_Crisis!$A$5:$A$208,$B$6,_ENGINE_Crisis!$B$5:$B$208,$AA25)=0,1,ROUND(MIN(_ENGINE_Crisis!$AH$306,SUMIFS(_ENGINE_Crisis!$D$5:$D$208,_ENGINE_Crisis!$A$5:$A$208,$B$6,_ENGINE_Crisis!$B$5:$B$208,$AA25)+_ENGINE_Crisis!$AH$305*SUMPRODUCT((_ENGINE_Crisis!$B$5:$B$208=$AA25)*_ENGINE_Crisis!$K$5:$K$208*(_ENGINE_Crisis!$D$5:$D$208&gt;1)*(_ENGINE_Crisis!$D$5:$D$208-1))),2)),1))</f>
        <v>1</v>
      </c>
      <c r="AD25">
        <f>IF(OR($AB25="",INDEX(_DATA_Dashboard_Facts!$F$5:$F$21,MATCH($AA25,_DATA_Dashboard_Facts!$A$5:$A$21,0))=0),"",ROUND(((((5-$AB25)*$AC25)+((INDEX(_DATA_Dashboard_Facts!$J$5:$J$21,MATCH($AA25,_DATA_Dashboard_Facts!$A$5:$A$21,0))+INDEX(_DATA_Dashboard_Facts!$K$5:$K$21,MATCH($AA25,_DATA_Dashboard_Facts!$A$5:$A$21,0)))*0.25*$AC25)))*(IF(PV_Canonical_Industry="",1,IFERROR(SUMIFS(_REF_Model_Content!$C$5:$C$157,_REF_Model_Content!$A$5:$A$157,PV_Canonical_Industry,_REF_Model_Content!$B$5:$B$157,$AA25)/AVERAGEIFS(_REF_Model_Content!$C$5:$C$157,_REF_Model_Content!$A$5:$A$157,PV_Canonical_Industry),1))),2))</f>
        <v>11.5</v>
      </c>
      <c r="AE25" t="str">
        <f t="shared" si="14"/>
        <v>Critical</v>
      </c>
      <c r="AF25">
        <f>IF($AD25="","",$AD25+(18-ROWS($AF$21:AF25))/1000000)</f>
        <v>11.500012999999999</v>
      </c>
    </row>
    <row r="26" spans="1:32" ht="18" customHeight="1">
      <c r="A26" s="220">
        <f>IF($B26="","",ROWS($A$21:A26))</f>
        <v>6</v>
      </c>
      <c r="B26" s="220" t="str">
        <f>IFERROR(INDEX($AA$21:$AA$37,MATCH(LARGE($AF$21:$AF$37,ROWS($A$21:A26)),$AF$21:$AF$37,0)),"")</f>
        <v>Data BI AI</v>
      </c>
      <c r="C26" s="220">
        <f t="shared" si="10"/>
        <v>0</v>
      </c>
      <c r="D26" s="220">
        <f t="shared" si="11"/>
        <v>1</v>
      </c>
      <c r="E26" s="220">
        <f t="shared" si="12"/>
        <v>11.75</v>
      </c>
      <c r="F26" s="220" t="str">
        <f t="shared" si="13"/>
        <v>Critical</v>
      </c>
      <c r="J26" s="147" t="str">
        <f t="shared" si="0"/>
        <v>Marketing Comms</v>
      </c>
      <c r="K26" s="148" t="str">
        <f t="shared" si="1"/>
        <v>●</v>
      </c>
      <c r="L26" s="149" t="str">
        <f t="shared" si="2"/>
        <v>●</v>
      </c>
      <c r="M26" s="150" t="str">
        <f t="shared" si="3"/>
        <v>●</v>
      </c>
      <c r="N26" s="151" t="str">
        <f t="shared" si="4"/>
        <v>●</v>
      </c>
      <c r="O26" s="152" t="str">
        <f t="shared" si="5"/>
        <v>●</v>
      </c>
      <c r="P26" s="153">
        <f t="shared" si="6"/>
        <v>9</v>
      </c>
      <c r="Q26" s="147" t="str">
        <f t="shared" si="7"/>
        <v>Critical</v>
      </c>
      <c r="R26" s="153">
        <f t="shared" si="8"/>
        <v>0</v>
      </c>
      <c r="S26" s="153">
        <f t="shared" si="9"/>
        <v>1</v>
      </c>
      <c r="T26" s="145"/>
      <c r="U26" s="145"/>
      <c r="V26" s="145"/>
      <c r="W26" s="145"/>
      <c r="X26" s="145"/>
      <c r="Y26" s="145"/>
      <c r="Z26" s="145"/>
      <c r="AA26" t="str">
        <f>INDEX(_DATA_Dashboard_Facts!$A$5:$A$21,ROWS($AA$21:AA26))</f>
        <v>Legal Risk</v>
      </c>
      <c r="AB26">
        <f>INDEX(_DATA_Dashboard_Facts!$H$5:$H$21,ROWS($AB$21:AB26))</f>
        <v>0</v>
      </c>
      <c r="AC26">
        <f>IF(OR($B$6="",$B$7&lt;=0),1,IFERROR(IF(SUMIFS(_ENGINE_Crisis!$D$5:$D$208,_ENGINE_Crisis!$A$5:$A$208,$B$6,_ENGINE_Crisis!$B$5:$B$208,$AA26)=0,1,ROUND(MIN(_ENGINE_Crisis!$AH$306,SUMIFS(_ENGINE_Crisis!$D$5:$D$208,_ENGINE_Crisis!$A$5:$A$208,$B$6,_ENGINE_Crisis!$B$5:$B$208,$AA26)+_ENGINE_Crisis!$AH$305*SUMPRODUCT((_ENGINE_Crisis!$B$5:$B$208=$AA26)*_ENGINE_Crisis!$K$5:$K$208*(_ENGINE_Crisis!$D$5:$D$208&gt;1)*(_ENGINE_Crisis!$D$5:$D$208-1))),2)),1))</f>
        <v>1</v>
      </c>
      <c r="AD26">
        <f>IF(OR($AB26="",INDEX(_DATA_Dashboard_Facts!$F$5:$F$21,MATCH($AA26,_DATA_Dashboard_Facts!$A$5:$A$21,0))=0),"",ROUND(((((5-$AB26)*$AC26)+((INDEX(_DATA_Dashboard_Facts!$J$5:$J$21,MATCH($AA26,_DATA_Dashboard_Facts!$A$5:$A$21,0))+INDEX(_DATA_Dashboard_Facts!$K$5:$K$21,MATCH($AA26,_DATA_Dashboard_Facts!$A$5:$A$21,0)))*0.25*$AC26)))*(IF(PV_Canonical_Industry="",1,IFERROR(SUMIFS(_REF_Model_Content!$C$5:$C$157,_REF_Model_Content!$A$5:$A$157,PV_Canonical_Industry,_REF_Model_Content!$B$5:$B$157,$AA26)/AVERAGEIFS(_REF_Model_Content!$C$5:$C$157,_REF_Model_Content!$A$5:$A$157,PV_Canonical_Industry),1))),2))</f>
        <v>10.25</v>
      </c>
      <c r="AE26" t="str">
        <f t="shared" si="14"/>
        <v>Critical</v>
      </c>
      <c r="AF26">
        <f>IF($AD26="","",$AD26+(18-ROWS($AF$21:AF26))/1000000)</f>
        <v>10.250012</v>
      </c>
    </row>
    <row r="27" spans="1:32" ht="18" customHeight="1">
      <c r="A27" s="227">
        <f>IF($B27="","",ROWS($A$21:A27))</f>
        <v>7</v>
      </c>
      <c r="B27" s="227" t="str">
        <f>IFERROR(INDEX($AA$21:$AA$37,MATCH(LARGE($AF$21:$AF$37,ROWS($A$21:A27)),$AF$21:$AF$37,0)),"")</f>
        <v>Strategy GTM</v>
      </c>
      <c r="C27" s="227">
        <f t="shared" si="10"/>
        <v>0</v>
      </c>
      <c r="D27" s="227">
        <f t="shared" si="11"/>
        <v>1</v>
      </c>
      <c r="E27" s="227">
        <f t="shared" si="12"/>
        <v>11.5</v>
      </c>
      <c r="F27" s="227" t="str">
        <f t="shared" si="13"/>
        <v>Critical</v>
      </c>
      <c r="J27" s="145"/>
      <c r="K27" s="145"/>
      <c r="L27" s="145"/>
      <c r="M27" s="145"/>
      <c r="N27" s="145"/>
      <c r="O27" s="145"/>
      <c r="P27" s="145"/>
      <c r="Q27" s="145"/>
      <c r="R27" s="145"/>
      <c r="S27" s="145"/>
      <c r="T27" s="145"/>
      <c r="U27" s="145"/>
      <c r="V27" s="145"/>
      <c r="W27" s="145"/>
      <c r="X27" s="145"/>
      <c r="Y27" s="145"/>
      <c r="Z27" s="145"/>
      <c r="AA27" t="str">
        <f>INDEX(_DATA_Dashboard_Facts!$A$5:$A$21,ROWS($AA$21:AA27))</f>
        <v>Physical Safety</v>
      </c>
      <c r="AB27">
        <f>INDEX(_DATA_Dashboard_Facts!$H$5:$H$21,ROWS($AB$21:AB27))</f>
        <v>0</v>
      </c>
      <c r="AC27">
        <f>IF(OR($B$6="",$B$7&lt;=0),1,IFERROR(IF(SUMIFS(_ENGINE_Crisis!$D$5:$D$208,_ENGINE_Crisis!$A$5:$A$208,$B$6,_ENGINE_Crisis!$B$5:$B$208,$AA27)=0,1,ROUND(MIN(_ENGINE_Crisis!$AH$306,SUMIFS(_ENGINE_Crisis!$D$5:$D$208,_ENGINE_Crisis!$A$5:$A$208,$B$6,_ENGINE_Crisis!$B$5:$B$208,$AA27)+_ENGINE_Crisis!$AH$305*SUMPRODUCT((_ENGINE_Crisis!$B$5:$B$208=$AA27)*_ENGINE_Crisis!$K$5:$K$208*(_ENGINE_Crisis!$D$5:$D$208&gt;1)*(_ENGINE_Crisis!$D$5:$D$208-1))),2)),1))</f>
        <v>1</v>
      </c>
      <c r="AD27">
        <f>IF(OR($AB27="",INDEX(_DATA_Dashboard_Facts!$F$5:$F$21,MATCH($AA27,_DATA_Dashboard_Facts!$A$5:$A$21,0))=0),"",ROUND(((((5-$AB27)*$AC27)+((INDEX(_DATA_Dashboard_Facts!$J$5:$J$21,MATCH($AA27,_DATA_Dashboard_Facts!$A$5:$A$21,0))+INDEX(_DATA_Dashboard_Facts!$K$5:$K$21,MATCH($AA27,_DATA_Dashboard_Facts!$A$5:$A$21,0)))*0.25*$AC27)))*(IF(PV_Canonical_Industry="",1,IFERROR(SUMIFS(_REF_Model_Content!$C$5:$C$157,_REF_Model_Content!$A$5:$A$157,PV_Canonical_Industry,_REF_Model_Content!$B$5:$B$157,$AA27)/AVERAGEIFS(_REF_Model_Content!$C$5:$C$157,_REF_Model_Content!$A$5:$A$157,PV_Canonical_Industry),1))),2))</f>
        <v>12.75</v>
      </c>
      <c r="AE27" t="str">
        <f t="shared" si="14"/>
        <v>Critical</v>
      </c>
      <c r="AF27">
        <f>IF($AD27="","",$AD27+(18-ROWS($AF$21:AF27))/1000000)</f>
        <v>12.750011000000001</v>
      </c>
    </row>
    <row r="28" spans="1:32" ht="18" customHeight="1">
      <c r="A28" s="220">
        <f>IF($B28="","",ROWS($A$21:A28))</f>
        <v>8</v>
      </c>
      <c r="B28" s="220" t="str">
        <f>IFERROR(INDEX($AA$21:$AA$37,MATCH(LARGE($AF$21:$AF$37,ROWS($A$21:A28)),$AF$21:$AF$37,0)),"")</f>
        <v>HR Workforce</v>
      </c>
      <c r="C28" s="220">
        <f t="shared" si="10"/>
        <v>0</v>
      </c>
      <c r="D28" s="220">
        <f t="shared" si="11"/>
        <v>1</v>
      </c>
      <c r="E28" s="220">
        <f t="shared" si="12"/>
        <v>11.5</v>
      </c>
      <c r="F28" s="220" t="str">
        <f t="shared" si="13"/>
        <v>Critical</v>
      </c>
      <c r="J28" s="154" t="s">
        <v>3394</v>
      </c>
      <c r="K28" s="155" t="s">
        <v>3406</v>
      </c>
      <c r="L28" s="145"/>
      <c r="M28" s="156" t="s">
        <v>3450</v>
      </c>
      <c r="N28" s="145"/>
      <c r="O28" s="145"/>
      <c r="P28" s="157" t="s">
        <v>3451</v>
      </c>
      <c r="Q28" s="145"/>
      <c r="R28" s="145"/>
      <c r="S28" s="158" t="s">
        <v>3452</v>
      </c>
      <c r="T28" s="145"/>
      <c r="U28" s="145"/>
      <c r="V28" s="145"/>
      <c r="W28" s="145"/>
      <c r="X28" s="145"/>
      <c r="Y28" s="145"/>
      <c r="Z28" s="145"/>
      <c r="AA28" t="str">
        <f>INDEX(_DATA_Dashboard_Facts!$A$5:$A$21,ROWS($AA$21:AA28))</f>
        <v>Delivery Ops</v>
      </c>
      <c r="AB28">
        <f>INDEX(_DATA_Dashboard_Facts!$H$5:$H$21,ROWS($AB$21:AB28))</f>
        <v>0</v>
      </c>
      <c r="AC28">
        <f>IF(OR($B$6="",$B$7&lt;=0),1,IFERROR(IF(SUMIFS(_ENGINE_Crisis!$D$5:$D$208,_ENGINE_Crisis!$A$5:$A$208,$B$6,_ENGINE_Crisis!$B$5:$B$208,$AA28)=0,1,ROUND(MIN(_ENGINE_Crisis!$AH$306,SUMIFS(_ENGINE_Crisis!$D$5:$D$208,_ENGINE_Crisis!$A$5:$A$208,$B$6,_ENGINE_Crisis!$B$5:$B$208,$AA28)+_ENGINE_Crisis!$AH$305*SUMPRODUCT((_ENGINE_Crisis!$B$5:$B$208=$AA28)*_ENGINE_Crisis!$K$5:$K$208*(_ENGINE_Crisis!$D$5:$D$208&gt;1)*(_ENGINE_Crisis!$D$5:$D$208-1))),2)),1))</f>
        <v>1</v>
      </c>
      <c r="AD28">
        <f>IF(OR($AB28="",INDEX(_DATA_Dashboard_Facts!$F$5:$F$21,MATCH($AA28,_DATA_Dashboard_Facts!$A$5:$A$21,0))=0),"",ROUND(((((5-$AB28)*$AC28)+((INDEX(_DATA_Dashboard_Facts!$J$5:$J$21,MATCH($AA28,_DATA_Dashboard_Facts!$A$5:$A$21,0))+INDEX(_DATA_Dashboard_Facts!$K$5:$K$21,MATCH($AA28,_DATA_Dashboard_Facts!$A$5:$A$21,0)))*0.25*$AC28)))*(IF(PV_Canonical_Industry="",1,IFERROR(SUMIFS(_REF_Model_Content!$C$5:$C$157,_REF_Model_Content!$A$5:$A$157,PV_Canonical_Industry,_REF_Model_Content!$B$5:$B$157,$AA28)/AVERAGEIFS(_REF_Model_Content!$C$5:$C$157,_REF_Model_Content!$A$5:$A$157,PV_Canonical_Industry),1))),2))</f>
        <v>11</v>
      </c>
      <c r="AE28" t="str">
        <f t="shared" si="14"/>
        <v>Critical</v>
      </c>
      <c r="AF28">
        <f>IF($AD28="","",$AD28+(18-ROWS($AF$21:AF28))/1000000)</f>
        <v>11.00001</v>
      </c>
    </row>
    <row r="29" spans="1:32" ht="18" customHeight="1">
      <c r="A29" s="227">
        <f>IF($B29="","",ROWS($A$21:A29))</f>
        <v>9</v>
      </c>
      <c r="B29" s="227" t="str">
        <f>IFERROR(INDEX($AA$21:$AA$37,MATCH(LARGE($AF$21:$AF$37,ROWS($A$21:A29)),$AF$21:$AF$37,0)),"")</f>
        <v>Finance Procurement</v>
      </c>
      <c r="C29" s="227">
        <f t="shared" si="10"/>
        <v>0</v>
      </c>
      <c r="D29" s="227">
        <f t="shared" si="11"/>
        <v>1</v>
      </c>
      <c r="E29" s="227">
        <f t="shared" si="12"/>
        <v>11.5</v>
      </c>
      <c r="F29" s="227" t="str">
        <f t="shared" si="13"/>
        <v>Critical</v>
      </c>
      <c r="J29" s="145"/>
      <c r="K29" s="145"/>
      <c r="L29" s="145"/>
      <c r="M29" s="145"/>
      <c r="N29" s="145"/>
      <c r="O29" s="145"/>
      <c r="P29" s="145"/>
      <c r="Q29" s="145"/>
      <c r="R29" s="145"/>
      <c r="S29" s="145"/>
      <c r="T29" s="145"/>
      <c r="U29" s="145"/>
      <c r="V29" s="145"/>
      <c r="W29" s="145"/>
      <c r="X29" s="145"/>
      <c r="Y29" s="145"/>
      <c r="Z29" s="145"/>
      <c r="AA29" t="str">
        <f>INDEX(_DATA_Dashboard_Facts!$A$5:$A$21,ROWS($AA$21:AA29))</f>
        <v>Supply Chain</v>
      </c>
      <c r="AB29">
        <f>INDEX(_DATA_Dashboard_Facts!$H$5:$H$21,ROWS($AB$21:AB29))</f>
        <v>0</v>
      </c>
      <c r="AC29">
        <f>IF(OR($B$6="",$B$7&lt;=0),1,IFERROR(IF(SUMIFS(_ENGINE_Crisis!$D$5:$D$208,_ENGINE_Crisis!$A$5:$A$208,$B$6,_ENGINE_Crisis!$B$5:$B$208,$AA29)=0,1,ROUND(MIN(_ENGINE_Crisis!$AH$306,SUMIFS(_ENGINE_Crisis!$D$5:$D$208,_ENGINE_Crisis!$A$5:$A$208,$B$6,_ENGINE_Crisis!$B$5:$B$208,$AA29)+_ENGINE_Crisis!$AH$305*SUMPRODUCT((_ENGINE_Crisis!$B$5:$B$208=$AA29)*_ENGINE_Crisis!$K$5:$K$208*(_ENGINE_Crisis!$D$5:$D$208&gt;1)*(_ENGINE_Crisis!$D$5:$D$208-1))),2)),1))</f>
        <v>1</v>
      </c>
      <c r="AD29">
        <f>IF(OR($AB29="",INDEX(_DATA_Dashboard_Facts!$F$5:$F$21,MATCH($AA29,_DATA_Dashboard_Facts!$A$5:$A$21,0))=0),"",ROUND(((((5-$AB29)*$AC29)+((INDEX(_DATA_Dashboard_Facts!$J$5:$J$21,MATCH($AA29,_DATA_Dashboard_Facts!$A$5:$A$21,0))+INDEX(_DATA_Dashboard_Facts!$K$5:$K$21,MATCH($AA29,_DATA_Dashboard_Facts!$A$5:$A$21,0)))*0.25*$AC29)))*(IF(PV_Canonical_Industry="",1,IFERROR(SUMIFS(_REF_Model_Content!$C$5:$C$157,_REF_Model_Content!$A$5:$A$157,PV_Canonical_Industry,_REF_Model_Content!$B$5:$B$157,$AA29)/AVERAGEIFS(_REF_Model_Content!$C$5:$C$157,_REF_Model_Content!$A$5:$A$157,PV_Canonical_Industry),1))),2))</f>
        <v>12.25</v>
      </c>
      <c r="AE29" t="str">
        <f t="shared" si="14"/>
        <v>Critical</v>
      </c>
      <c r="AF29">
        <f>IF($AD29="","",$AD29+(18-ROWS($AF$21:AF29))/1000000)</f>
        <v>12.250009</v>
      </c>
    </row>
    <row r="30" spans="1:32" ht="18" customHeight="1">
      <c r="A30" s="220">
        <f>IF($B30="","",ROWS($A$21:A30))</f>
        <v>10</v>
      </c>
      <c r="B30" s="220" t="str">
        <f>IFERROR(INDEX($AA$21:$AA$37,MATCH(LARGE($AF$21:$AF$37,ROWS($A$21:A30)),$AF$21:$AF$37,0)),"")</f>
        <v>Delivery Ops</v>
      </c>
      <c r="C30" s="220">
        <f t="shared" si="10"/>
        <v>0</v>
      </c>
      <c r="D30" s="220">
        <f t="shared" si="11"/>
        <v>1</v>
      </c>
      <c r="E30" s="220">
        <f t="shared" si="12"/>
        <v>11</v>
      </c>
      <c r="F30" s="220" t="str">
        <f t="shared" si="13"/>
        <v>Critical</v>
      </c>
      <c r="J30" s="145"/>
      <c r="K30" s="145"/>
      <c r="L30" s="145"/>
      <c r="M30" s="145"/>
      <c r="N30" s="145"/>
      <c r="O30" s="145"/>
      <c r="P30" s="145"/>
      <c r="Q30" s="145"/>
      <c r="R30" s="145"/>
      <c r="S30" s="145"/>
      <c r="T30" s="145"/>
      <c r="U30" s="145"/>
      <c r="V30" s="145"/>
      <c r="W30" s="145"/>
      <c r="X30" s="145"/>
      <c r="Y30" s="145"/>
      <c r="Z30" s="145"/>
      <c r="AA30" t="str">
        <f>INDEX(_DATA_Dashboard_Facts!$A$5:$A$21,ROWS($AA$21:AA30))</f>
        <v>Manufacturing MES</v>
      </c>
      <c r="AB30">
        <f>INDEX(_DATA_Dashboard_Facts!$H$5:$H$21,ROWS($AB$21:AB30))</f>
        <v>0</v>
      </c>
      <c r="AC30">
        <f>IF(OR($B$6="",$B$7&lt;=0),1,IFERROR(IF(SUMIFS(_ENGINE_Crisis!$D$5:$D$208,_ENGINE_Crisis!$A$5:$A$208,$B$6,_ENGINE_Crisis!$B$5:$B$208,$AA30)=0,1,ROUND(MIN(_ENGINE_Crisis!$AH$306,SUMIFS(_ENGINE_Crisis!$D$5:$D$208,_ENGINE_Crisis!$A$5:$A$208,$B$6,_ENGINE_Crisis!$B$5:$B$208,$AA30)+_ENGINE_Crisis!$AH$305*SUMPRODUCT((_ENGINE_Crisis!$B$5:$B$208=$AA30)*_ENGINE_Crisis!$K$5:$K$208*(_ENGINE_Crisis!$D$5:$D$208&gt;1)*(_ENGINE_Crisis!$D$5:$D$208-1))),2)),1))</f>
        <v>1</v>
      </c>
      <c r="AD30">
        <f>IF(OR($AB30="",INDEX(_DATA_Dashboard_Facts!$F$5:$F$21,MATCH($AA30,_DATA_Dashboard_Facts!$A$5:$A$21,0))=0),"",ROUND(((((5-$AB30)*$AC30)+((INDEX(_DATA_Dashboard_Facts!$J$5:$J$21,MATCH($AA30,_DATA_Dashboard_Facts!$A$5:$A$21,0))+INDEX(_DATA_Dashboard_Facts!$K$5:$K$21,MATCH($AA30,_DATA_Dashboard_Facts!$A$5:$A$21,0)))*0.25*$AC30)))*(IF(PV_Canonical_Industry="",1,IFERROR(SUMIFS(_REF_Model_Content!$C$5:$C$157,_REF_Model_Content!$A$5:$A$157,PV_Canonical_Industry,_REF_Model_Content!$B$5:$B$157,$AA30)/AVERAGEIFS(_REF_Model_Content!$C$5:$C$157,_REF_Model_Content!$A$5:$A$157,PV_Canonical_Industry),1))),2))</f>
        <v>12</v>
      </c>
      <c r="AE30" t="str">
        <f t="shared" si="14"/>
        <v>Critical</v>
      </c>
      <c r="AF30">
        <f>IF($AD30="","",$AD30+(18-ROWS($AF$21:AF30))/1000000)</f>
        <v>12.000007999999999</v>
      </c>
    </row>
    <row r="31" spans="1:32" ht="18" customHeight="1" outlineLevel="1">
      <c r="A31" s="227">
        <f>IF($B31="","",ROWS($A$21:A31))</f>
        <v>11</v>
      </c>
      <c r="B31" s="227" t="str">
        <f>IFERROR(INDEX($AA$21:$AA$37,MATCH(LARGE($AF$21:$AF$37,ROWS($A$21:A31)),$AF$21:$AF$37,0)),"")</f>
        <v>Sales CRM</v>
      </c>
      <c r="C31" s="227">
        <f t="shared" si="10"/>
        <v>0</v>
      </c>
      <c r="D31" s="227">
        <f t="shared" si="11"/>
        <v>1</v>
      </c>
      <c r="E31" s="227">
        <f t="shared" si="12"/>
        <v>11</v>
      </c>
      <c r="F31" s="227" t="str">
        <f t="shared" si="13"/>
        <v>Critical</v>
      </c>
      <c r="J31" s="154" t="s">
        <v>3453</v>
      </c>
      <c r="K31" s="145"/>
      <c r="L31" s="145"/>
      <c r="M31" s="154" t="s">
        <v>3454</v>
      </c>
      <c r="N31" s="145"/>
      <c r="O31" s="145"/>
      <c r="P31" s="145"/>
      <c r="Q31" s="145"/>
      <c r="R31" s="145"/>
      <c r="S31" s="145"/>
      <c r="T31" s="145"/>
      <c r="U31" s="145"/>
      <c r="V31" s="145"/>
      <c r="W31" s="145"/>
      <c r="X31" s="145"/>
      <c r="Y31" s="145"/>
      <c r="Z31" s="145"/>
      <c r="AA31" t="str">
        <f>INDEX(_DATA_Dashboard_Facts!$A$5:$A$21,ROWS($AA$21:AA31))</f>
        <v>Sales CRM</v>
      </c>
      <c r="AB31">
        <f>INDEX(_DATA_Dashboard_Facts!$H$5:$H$21,ROWS($AB$21:AB31))</f>
        <v>0</v>
      </c>
      <c r="AC31">
        <f>IF(OR($B$6="",$B$7&lt;=0),1,IFERROR(IF(SUMIFS(_ENGINE_Crisis!$D$5:$D$208,_ENGINE_Crisis!$A$5:$A$208,$B$6,_ENGINE_Crisis!$B$5:$B$208,$AA31)=0,1,ROUND(MIN(_ENGINE_Crisis!$AH$306,SUMIFS(_ENGINE_Crisis!$D$5:$D$208,_ENGINE_Crisis!$A$5:$A$208,$B$6,_ENGINE_Crisis!$B$5:$B$208,$AA31)+_ENGINE_Crisis!$AH$305*SUMPRODUCT((_ENGINE_Crisis!$B$5:$B$208=$AA31)*_ENGINE_Crisis!$K$5:$K$208*(_ENGINE_Crisis!$D$5:$D$208&gt;1)*(_ENGINE_Crisis!$D$5:$D$208-1))),2)),1))</f>
        <v>1</v>
      </c>
      <c r="AD31">
        <f>IF(OR($AB31="",INDEX(_DATA_Dashboard_Facts!$F$5:$F$21,MATCH($AA31,_DATA_Dashboard_Facts!$A$5:$A$21,0))=0),"",ROUND(((((5-$AB31)*$AC31)+((INDEX(_DATA_Dashboard_Facts!$J$5:$J$21,MATCH($AA31,_DATA_Dashboard_Facts!$A$5:$A$21,0))+INDEX(_DATA_Dashboard_Facts!$K$5:$K$21,MATCH($AA31,_DATA_Dashboard_Facts!$A$5:$A$21,0)))*0.25*$AC31)))*(IF(PV_Canonical_Industry="",1,IFERROR(SUMIFS(_REF_Model_Content!$C$5:$C$157,_REF_Model_Content!$A$5:$A$157,PV_Canonical_Industry,_REF_Model_Content!$B$5:$B$157,$AA31)/AVERAGEIFS(_REF_Model_Content!$C$5:$C$157,_REF_Model_Content!$A$5:$A$157,PV_Canonical_Industry),1))),2))</f>
        <v>11</v>
      </c>
      <c r="AE31" t="str">
        <f t="shared" si="14"/>
        <v>Critical</v>
      </c>
      <c r="AF31">
        <f>IF($AD31="","",$AD31+(18-ROWS($AF$21:AF31))/1000000)</f>
        <v>11.000007</v>
      </c>
    </row>
    <row r="32" spans="1:32" ht="18" customHeight="1" outlineLevel="1">
      <c r="A32">
        <f>IF($B32="","",ROWS($A$21:A32))</f>
        <v>12</v>
      </c>
      <c r="B32" t="str">
        <f>IFERROR(INDEX($AA$21:$AA$37,MATCH(LARGE($AF$21:$AF$37,ROWS($A$21:A32)),$AF$21:$AF$37,0)),"")</f>
        <v>Governance Crisis</v>
      </c>
      <c r="C32">
        <f t="shared" si="10"/>
        <v>0</v>
      </c>
      <c r="D32">
        <f t="shared" si="11"/>
        <v>1</v>
      </c>
      <c r="E32">
        <f t="shared" si="12"/>
        <v>10.5</v>
      </c>
      <c r="F32" t="str">
        <f t="shared" si="13"/>
        <v>Critical</v>
      </c>
      <c r="J32" s="146" t="s">
        <v>3455</v>
      </c>
      <c r="K32" s="146" t="s">
        <v>3434</v>
      </c>
      <c r="L32" s="145"/>
      <c r="M32" s="146" t="s">
        <v>764</v>
      </c>
      <c r="N32" s="146" t="s">
        <v>3428</v>
      </c>
      <c r="O32" s="145"/>
      <c r="P32" s="145"/>
      <c r="Q32" s="145"/>
      <c r="R32" s="145"/>
      <c r="S32" s="145"/>
      <c r="T32" s="145"/>
      <c r="U32" s="145"/>
      <c r="V32" s="145"/>
      <c r="W32" s="145"/>
      <c r="X32" s="145"/>
      <c r="Y32" s="145"/>
      <c r="Z32" s="145"/>
      <c r="AA32" t="str">
        <f>INDEX(_DATA_Dashboard_Facts!$A$5:$A$21,ROWS($AA$21:AA32))</f>
        <v>Marketing Comms</v>
      </c>
      <c r="AB32">
        <f>INDEX(_DATA_Dashboard_Facts!$H$5:$H$21,ROWS($AB$21:AB32))</f>
        <v>0</v>
      </c>
      <c r="AC32">
        <f>IF(OR($B$6="",$B$7&lt;=0),1,IFERROR(IF(SUMIFS(_ENGINE_Crisis!$D$5:$D$208,_ENGINE_Crisis!$A$5:$A$208,$B$6,_ENGINE_Crisis!$B$5:$B$208,$AA32)=0,1,ROUND(MIN(_ENGINE_Crisis!$AH$306,SUMIFS(_ENGINE_Crisis!$D$5:$D$208,_ENGINE_Crisis!$A$5:$A$208,$B$6,_ENGINE_Crisis!$B$5:$B$208,$AA32)+_ENGINE_Crisis!$AH$305*SUMPRODUCT((_ENGINE_Crisis!$B$5:$B$208=$AA32)*_ENGINE_Crisis!$K$5:$K$208*(_ENGINE_Crisis!$D$5:$D$208&gt;1)*(_ENGINE_Crisis!$D$5:$D$208-1))),2)),1))</f>
        <v>1</v>
      </c>
      <c r="AD32">
        <f>IF(OR($AB32="",INDEX(_DATA_Dashboard_Facts!$F$5:$F$21,MATCH($AA32,_DATA_Dashboard_Facts!$A$5:$A$21,0))=0),"",ROUND(((((5-$AB32)*$AC32)+((INDEX(_DATA_Dashboard_Facts!$J$5:$J$21,MATCH($AA32,_DATA_Dashboard_Facts!$A$5:$A$21,0))+INDEX(_DATA_Dashboard_Facts!$K$5:$K$21,MATCH($AA32,_DATA_Dashboard_Facts!$A$5:$A$21,0)))*0.25*$AC32)))*(IF(PV_Canonical_Industry="",1,IFERROR(SUMIFS(_REF_Model_Content!$C$5:$C$157,_REF_Model_Content!$A$5:$A$157,PV_Canonical_Industry,_REF_Model_Content!$B$5:$B$157,$AA32)/AVERAGEIFS(_REF_Model_Content!$C$5:$C$157,_REF_Model_Content!$A$5:$A$157,PV_Canonical_Industry),1))),2))</f>
        <v>9</v>
      </c>
      <c r="AE32" t="str">
        <f t="shared" si="14"/>
        <v>Critical</v>
      </c>
      <c r="AF32">
        <f>IF($AD32="","",$AD32+(18-ROWS($AF$21:AF32))/1000000)</f>
        <v>9.0000060000000008</v>
      </c>
    </row>
    <row r="33" spans="1:32" ht="18" customHeight="1" outlineLevel="1">
      <c r="A33">
        <f>IF($B33="","",ROWS($A$21:A33))</f>
        <v>13</v>
      </c>
      <c r="B33" t="str">
        <f>IFERROR(INDEX($AA$21:$AA$37,MATCH(LARGE($AF$21:$AF$37,ROWS($A$21:A33)),$AF$21:$AF$37,0)),"")</f>
        <v>Quality Portfolio</v>
      </c>
      <c r="C33">
        <f t="shared" si="10"/>
        <v>0</v>
      </c>
      <c r="D33">
        <f t="shared" si="11"/>
        <v>1</v>
      </c>
      <c r="E33">
        <f t="shared" si="12"/>
        <v>10.5</v>
      </c>
      <c r="F33" t="str">
        <f t="shared" si="13"/>
        <v>Critical</v>
      </c>
      <c r="J33" s="147" t="s">
        <v>3436</v>
      </c>
      <c r="K33" s="159">
        <f>B13</f>
        <v>1</v>
      </c>
      <c r="L33" s="145"/>
      <c r="M33" s="147" t="str">
        <f>IFERROR(INDEX($B$21:$B$37,MATCH(1,$A$21:$A$37,0)),"")</f>
        <v>Cyber Privacy</v>
      </c>
      <c r="N33" s="153">
        <f>IFERROR(INDEX($E$21:$E$37,MATCH(1,$A$21:$A$37,0)),"")</f>
        <v>13.5</v>
      </c>
      <c r="O33" s="145"/>
      <c r="P33" s="145"/>
      <c r="Q33" s="145"/>
      <c r="R33" s="145"/>
      <c r="S33" s="145"/>
      <c r="T33" s="145"/>
      <c r="U33" s="145"/>
      <c r="V33" s="145"/>
      <c r="W33" s="145"/>
      <c r="X33" s="145"/>
      <c r="Y33" s="145"/>
      <c r="Z33" s="145"/>
      <c r="AA33" t="str">
        <f>INDEX(_DATA_Dashboard_Facts!$A$5:$A$21,ROWS($AA$21:AA33))</f>
        <v>IT Cloud DR</v>
      </c>
      <c r="AB33">
        <f>INDEX(_DATA_Dashboard_Facts!$H$5:$H$21,ROWS($AB$21:AB33))</f>
        <v>0</v>
      </c>
      <c r="AC33">
        <f>IF(OR($B$6="",$B$7&lt;=0),1,IFERROR(IF(SUMIFS(_ENGINE_Crisis!$D$5:$D$208,_ENGINE_Crisis!$A$5:$A$208,$B$6,_ENGINE_Crisis!$B$5:$B$208,$AA33)=0,1,ROUND(MIN(_ENGINE_Crisis!$AH$306,SUMIFS(_ENGINE_Crisis!$D$5:$D$208,_ENGINE_Crisis!$A$5:$A$208,$B$6,_ENGINE_Crisis!$B$5:$B$208,$AA33)+_ENGINE_Crisis!$AH$305*SUMPRODUCT((_ENGINE_Crisis!$B$5:$B$208=$AA33)*_ENGINE_Crisis!$K$5:$K$208*(_ENGINE_Crisis!$D$5:$D$208&gt;1)*(_ENGINE_Crisis!$D$5:$D$208-1))),2)),1))</f>
        <v>1</v>
      </c>
      <c r="AD33">
        <f>IF(OR($AB33="",INDEX(_DATA_Dashboard_Facts!$F$5:$F$21,MATCH($AA33,_DATA_Dashboard_Facts!$A$5:$A$21,0))=0),"",ROUND(((((5-$AB33)*$AC33)+((INDEX(_DATA_Dashboard_Facts!$J$5:$J$21,MATCH($AA33,_DATA_Dashboard_Facts!$A$5:$A$21,0))+INDEX(_DATA_Dashboard_Facts!$K$5:$K$21,MATCH($AA33,_DATA_Dashboard_Facts!$A$5:$A$21,0)))*0.25*$AC33)))*(IF(PV_Canonical_Industry="",1,IFERROR(SUMIFS(_REF_Model_Content!$C$5:$C$157,_REF_Model_Content!$A$5:$A$157,PV_Canonical_Industry,_REF_Model_Content!$B$5:$B$157,$AA33)/AVERAGEIFS(_REF_Model_Content!$C$5:$C$157,_REF_Model_Content!$A$5:$A$157,PV_Canonical_Industry),1))),2))</f>
        <v>12</v>
      </c>
      <c r="AE33" t="str">
        <f t="shared" si="14"/>
        <v>Critical</v>
      </c>
      <c r="AF33">
        <f>IF($AD33="","",$AD33+(18-ROWS($AF$21:AF33))/1000000)</f>
        <v>12.000005</v>
      </c>
    </row>
    <row r="34" spans="1:32" ht="18" customHeight="1" outlineLevel="1">
      <c r="A34">
        <f>IF($B34="","",ROWS($A$21:A34))</f>
        <v>14</v>
      </c>
      <c r="B34" t="str">
        <f>IFERROR(INDEX($AA$21:$AA$37,MATCH(LARGE($AF$21:$AF$37,ROWS($A$21:A34)),$AF$21:$AF$37,0)),"")</f>
        <v>Legal Risk</v>
      </c>
      <c r="C34">
        <f t="shared" si="10"/>
        <v>0</v>
      </c>
      <c r="D34">
        <f t="shared" si="11"/>
        <v>1</v>
      </c>
      <c r="E34">
        <f t="shared" si="12"/>
        <v>10.25</v>
      </c>
      <c r="F34" t="str">
        <f t="shared" si="13"/>
        <v>Critical</v>
      </c>
      <c r="J34" s="147" t="s">
        <v>3438</v>
      </c>
      <c r="K34" s="159">
        <f>B14</f>
        <v>0</v>
      </c>
      <c r="L34" s="145"/>
      <c r="M34" s="147" t="str">
        <f>IFERROR(INDEX($B$21:$B$37,MATCH(2,$A$21:$A$37,0)),"")</f>
        <v>Physical Safety</v>
      </c>
      <c r="N34" s="153">
        <f>IFERROR(INDEX($E$21:$E$37,MATCH(2,$A$21:$A$37,0)),"")</f>
        <v>12.75</v>
      </c>
      <c r="O34" s="145"/>
      <c r="P34" s="145"/>
      <c r="Q34" s="145"/>
      <c r="R34" s="145"/>
      <c r="S34" s="145"/>
      <c r="T34" s="145"/>
      <c r="U34" s="145"/>
      <c r="V34" s="145"/>
      <c r="W34" s="145"/>
      <c r="X34" s="145"/>
      <c r="Y34" s="145"/>
      <c r="Z34" s="145"/>
      <c r="AA34" t="str">
        <f>INDEX(_DATA_Dashboard_Facts!$A$5:$A$21,ROWS($AA$21:AA34))</f>
        <v>Business Systems</v>
      </c>
      <c r="AB34">
        <f>INDEX(_DATA_Dashboard_Facts!$H$5:$H$21,ROWS($AB$21:AB34))</f>
        <v>0</v>
      </c>
      <c r="AC34">
        <f>IF(OR($B$6="",$B$7&lt;=0),1,IFERROR(IF(SUMIFS(_ENGINE_Crisis!$D$5:$D$208,_ENGINE_Crisis!$A$5:$A$208,$B$6,_ENGINE_Crisis!$B$5:$B$208,$AA34)=0,1,ROUND(MIN(_ENGINE_Crisis!$AH$306,SUMIFS(_ENGINE_Crisis!$D$5:$D$208,_ENGINE_Crisis!$A$5:$A$208,$B$6,_ENGINE_Crisis!$B$5:$B$208,$AA34)+_ENGINE_Crisis!$AH$305*SUMPRODUCT((_ENGINE_Crisis!$B$5:$B$208=$AA34)*_ENGINE_Crisis!$K$5:$K$208*(_ENGINE_Crisis!$D$5:$D$208&gt;1)*(_ENGINE_Crisis!$D$5:$D$208-1))),2)),1))</f>
        <v>1</v>
      </c>
      <c r="AD34">
        <f>IF(OR($AB34="",INDEX(_DATA_Dashboard_Facts!$F$5:$F$21,MATCH($AA34,_DATA_Dashboard_Facts!$A$5:$A$21,0))=0),"",ROUND(((((5-$AB34)*$AC34)+((INDEX(_DATA_Dashboard_Facts!$J$5:$J$21,MATCH($AA34,_DATA_Dashboard_Facts!$A$5:$A$21,0))+INDEX(_DATA_Dashboard_Facts!$K$5:$K$21,MATCH($AA34,_DATA_Dashboard_Facts!$A$5:$A$21,0)))*0.25*$AC34)))*(IF(PV_Canonical_Industry="",1,IFERROR(SUMIFS(_REF_Model_Content!$C$5:$C$157,_REF_Model_Content!$A$5:$A$157,PV_Canonical_Industry,_REF_Model_Content!$B$5:$B$157,$AA34)/AVERAGEIFS(_REF_Model_Content!$C$5:$C$157,_REF_Model_Content!$A$5:$A$157,PV_Canonical_Industry),1))),2))</f>
        <v>10.25</v>
      </c>
      <c r="AE34" t="str">
        <f t="shared" si="14"/>
        <v>Critical</v>
      </c>
      <c r="AF34">
        <f>IF($AD34="","",$AD34+(18-ROWS($AF$21:AF34))/1000000)</f>
        <v>10.250004000000001</v>
      </c>
    </row>
    <row r="35" spans="1:32" ht="18" customHeight="1" outlineLevel="1">
      <c r="A35">
        <f>IF($B35="","",ROWS($A$21:A35))</f>
        <v>15</v>
      </c>
      <c r="B35" t="str">
        <f>IFERROR(INDEX($AA$21:$AA$37,MATCH(LARGE($AF$21:$AF$37,ROWS($A$21:A35)),$AF$21:$AF$37,0)),"")</f>
        <v>Business Systems</v>
      </c>
      <c r="C35">
        <f t="shared" si="10"/>
        <v>0</v>
      </c>
      <c r="D35">
        <f t="shared" si="11"/>
        <v>1</v>
      </c>
      <c r="E35">
        <f t="shared" si="12"/>
        <v>10.25</v>
      </c>
      <c r="F35" t="str">
        <f t="shared" si="13"/>
        <v>Critical</v>
      </c>
      <c r="J35" s="147" t="s">
        <v>3440</v>
      </c>
      <c r="K35" s="159">
        <f>B15</f>
        <v>0</v>
      </c>
      <c r="L35" s="145"/>
      <c r="M35" s="147" t="str">
        <f>IFERROR(INDEX($B$21:$B$37,MATCH(3,$A$21:$A$37,0)),"")</f>
        <v>Supply Chain</v>
      </c>
      <c r="N35" s="153">
        <f>IFERROR(INDEX($E$21:$E$37,MATCH(3,$A$21:$A$37,0)),"")</f>
        <v>12.25</v>
      </c>
      <c r="O35" s="145"/>
      <c r="P35" s="145"/>
      <c r="Q35" s="145"/>
      <c r="R35" s="145"/>
      <c r="S35" s="145"/>
      <c r="T35" s="145"/>
      <c r="U35" s="145"/>
      <c r="V35" s="145"/>
      <c r="W35" s="145"/>
      <c r="X35" s="145"/>
      <c r="Y35" s="145"/>
      <c r="Z35" s="145"/>
      <c r="AA35" t="str">
        <f>INDEX(_DATA_Dashboard_Facts!$A$5:$A$21,ROWS($AA$21:AA35))</f>
        <v>Data BI AI</v>
      </c>
      <c r="AB35">
        <f>INDEX(_DATA_Dashboard_Facts!$H$5:$H$21,ROWS($AB$21:AB35))</f>
        <v>0</v>
      </c>
      <c r="AC35">
        <f>IF(OR($B$6="",$B$7&lt;=0),1,IFERROR(IF(SUMIFS(_ENGINE_Crisis!$D$5:$D$208,_ENGINE_Crisis!$A$5:$A$208,$B$6,_ENGINE_Crisis!$B$5:$B$208,$AA35)=0,1,ROUND(MIN(_ENGINE_Crisis!$AH$306,SUMIFS(_ENGINE_Crisis!$D$5:$D$208,_ENGINE_Crisis!$A$5:$A$208,$B$6,_ENGINE_Crisis!$B$5:$B$208,$AA35)+_ENGINE_Crisis!$AH$305*SUMPRODUCT((_ENGINE_Crisis!$B$5:$B$208=$AA35)*_ENGINE_Crisis!$K$5:$K$208*(_ENGINE_Crisis!$D$5:$D$208&gt;1)*(_ENGINE_Crisis!$D$5:$D$208-1))),2)),1))</f>
        <v>1</v>
      </c>
      <c r="AD35">
        <f>IF(OR($AB35="",INDEX(_DATA_Dashboard_Facts!$F$5:$F$21,MATCH($AA35,_DATA_Dashboard_Facts!$A$5:$A$21,0))=0),"",ROUND(((((5-$AB35)*$AC35)+((INDEX(_DATA_Dashboard_Facts!$J$5:$J$21,MATCH($AA35,_DATA_Dashboard_Facts!$A$5:$A$21,0))+INDEX(_DATA_Dashboard_Facts!$K$5:$K$21,MATCH($AA35,_DATA_Dashboard_Facts!$A$5:$A$21,0)))*0.25*$AC35)))*(IF(PV_Canonical_Industry="",1,IFERROR(SUMIFS(_REF_Model_Content!$C$5:$C$157,_REF_Model_Content!$A$5:$A$157,PV_Canonical_Industry,_REF_Model_Content!$B$5:$B$157,$AA35)/AVERAGEIFS(_REF_Model_Content!$C$5:$C$157,_REF_Model_Content!$A$5:$A$157,PV_Canonical_Industry),1))),2))</f>
        <v>11.75</v>
      </c>
      <c r="AE35" t="str">
        <f t="shared" si="14"/>
        <v>Critical</v>
      </c>
      <c r="AF35">
        <f>IF($AD35="","",$AD35+(18-ROWS($AF$21:AF35))/1000000)</f>
        <v>11.750003</v>
      </c>
    </row>
    <row r="36" spans="1:32" ht="18" customHeight="1" outlineLevel="1">
      <c r="A36">
        <f>IF($B36="","",ROWS($A$21:A36))</f>
        <v>16</v>
      </c>
      <c r="B36" t="str">
        <f>IFERROR(INDEX($AA$21:$AA$37,MATCH(LARGE($AF$21:$AF$37,ROWS($A$21:A36)),$AF$21:$AF$37,0)),"")</f>
        <v>Company Geography</v>
      </c>
      <c r="C36">
        <f t="shared" si="10"/>
        <v>0</v>
      </c>
      <c r="D36">
        <f t="shared" si="11"/>
        <v>1</v>
      </c>
      <c r="E36">
        <f t="shared" si="12"/>
        <v>9.75</v>
      </c>
      <c r="F36" t="str">
        <f t="shared" si="13"/>
        <v>Critical</v>
      </c>
      <c r="J36" s="147" t="s">
        <v>3442</v>
      </c>
      <c r="K36" s="159">
        <f>B16</f>
        <v>0</v>
      </c>
      <c r="L36" s="145"/>
      <c r="M36" s="147" t="str">
        <f>IFERROR(INDEX($B$21:$B$37,MATCH(4,$A$21:$A$37,0)),"")</f>
        <v>Manufacturing MES</v>
      </c>
      <c r="N36" s="153">
        <f>IFERROR(INDEX($E$21:$E$37,MATCH(4,$A$21:$A$37,0)),"")</f>
        <v>12</v>
      </c>
      <c r="O36" s="145"/>
      <c r="P36" s="145"/>
      <c r="Q36" s="145"/>
      <c r="R36" s="145"/>
      <c r="S36" s="145"/>
      <c r="T36" s="145"/>
      <c r="U36" s="145"/>
      <c r="V36" s="145"/>
      <c r="W36" s="145"/>
      <c r="X36" s="145"/>
      <c r="Y36" s="145"/>
      <c r="Z36" s="145"/>
      <c r="AA36" t="str">
        <f>INDEX(_DATA_Dashboard_Facts!$A$5:$A$21,ROWS($AA$21:AA36))</f>
        <v>Cyber Privacy</v>
      </c>
      <c r="AB36">
        <f>INDEX(_DATA_Dashboard_Facts!$H$5:$H$21,ROWS($AB$21:AB36))</f>
        <v>0</v>
      </c>
      <c r="AC36">
        <f>IF(OR($B$6="",$B$7&lt;=0),1,IFERROR(IF(SUMIFS(_ENGINE_Crisis!$D$5:$D$208,_ENGINE_Crisis!$A$5:$A$208,$B$6,_ENGINE_Crisis!$B$5:$B$208,$AA36)=0,1,ROUND(MIN(_ENGINE_Crisis!$AH$306,SUMIFS(_ENGINE_Crisis!$D$5:$D$208,_ENGINE_Crisis!$A$5:$A$208,$B$6,_ENGINE_Crisis!$B$5:$B$208,$AA36)+_ENGINE_Crisis!$AH$305*SUMPRODUCT((_ENGINE_Crisis!$B$5:$B$208=$AA36)*_ENGINE_Crisis!$K$5:$K$208*(_ENGINE_Crisis!$D$5:$D$208&gt;1)*(_ENGINE_Crisis!$D$5:$D$208-1))),2)),1))</f>
        <v>1</v>
      </c>
      <c r="AD36">
        <f>IF(OR($AB36="",INDEX(_DATA_Dashboard_Facts!$F$5:$F$21,MATCH($AA36,_DATA_Dashboard_Facts!$A$5:$A$21,0))=0),"",ROUND(((((5-$AB36)*$AC36)+((INDEX(_DATA_Dashboard_Facts!$J$5:$J$21,MATCH($AA36,_DATA_Dashboard_Facts!$A$5:$A$21,0))+INDEX(_DATA_Dashboard_Facts!$K$5:$K$21,MATCH($AA36,_DATA_Dashboard_Facts!$A$5:$A$21,0)))*0.25*$AC36)))*(IF(PV_Canonical_Industry="",1,IFERROR(SUMIFS(_REF_Model_Content!$C$5:$C$157,_REF_Model_Content!$A$5:$A$157,PV_Canonical_Industry,_REF_Model_Content!$B$5:$B$157,$AA36)/AVERAGEIFS(_REF_Model_Content!$C$5:$C$157,_REF_Model_Content!$A$5:$A$157,PV_Canonical_Industry),1))),2))</f>
        <v>13.5</v>
      </c>
      <c r="AE36" t="str">
        <f t="shared" si="14"/>
        <v>Critical</v>
      </c>
      <c r="AF36">
        <f>IF($AD36="","",$AD36+(18-ROWS($AF$21:AF36))/1000000)</f>
        <v>13.500002</v>
      </c>
    </row>
    <row r="37" spans="1:32" ht="18" customHeight="1" outlineLevel="1">
      <c r="A37">
        <f>IF($B37="","",ROWS($A$21:A37))</f>
        <v>17</v>
      </c>
      <c r="B37" t="str">
        <f>IFERROR(INDEX($AA$21:$AA$37,MATCH(LARGE($AF$21:$AF$37,ROWS($A$21:A37)),$AF$21:$AF$37,0)),"")</f>
        <v>Marketing Comms</v>
      </c>
      <c r="C37">
        <f t="shared" si="10"/>
        <v>0</v>
      </c>
      <c r="D37">
        <f t="shared" si="11"/>
        <v>1</v>
      </c>
      <c r="E37">
        <f t="shared" si="12"/>
        <v>9</v>
      </c>
      <c r="F37" t="str">
        <f t="shared" si="13"/>
        <v>Critical</v>
      </c>
      <c r="J37" s="147" t="s">
        <v>3444</v>
      </c>
      <c r="K37" s="159">
        <f>B17</f>
        <v>0</v>
      </c>
      <c r="L37" s="145"/>
      <c r="M37" s="147" t="str">
        <f>IFERROR(INDEX($B$21:$B$37,MATCH(5,$A$21:$A$37,0)),"")</f>
        <v>IT Cloud DR</v>
      </c>
      <c r="N37" s="153">
        <f>IFERROR(INDEX($E$21:$E$37,MATCH(5,$A$21:$A$37,0)),"")</f>
        <v>12</v>
      </c>
      <c r="O37" s="145"/>
      <c r="P37" s="145"/>
      <c r="Q37" s="145"/>
      <c r="R37" s="145"/>
      <c r="S37" s="145"/>
      <c r="T37" s="145"/>
      <c r="U37" s="145"/>
      <c r="V37" s="145"/>
      <c r="W37" s="145"/>
      <c r="X37" s="145"/>
      <c r="Y37" s="145"/>
      <c r="Z37" s="145"/>
      <c r="AA37" t="str">
        <f>INDEX(_DATA_Dashboard_Facts!$A$5:$A$21,ROWS($AA$21:AA37))</f>
        <v>Quality Portfolio</v>
      </c>
      <c r="AB37">
        <f>INDEX(_DATA_Dashboard_Facts!$H$5:$H$21,ROWS($AB$21:AB37))</f>
        <v>0</v>
      </c>
      <c r="AC37">
        <f>IF(OR($B$6="",$B$7&lt;=0),1,IFERROR(IF(SUMIFS(_ENGINE_Crisis!$D$5:$D$208,_ENGINE_Crisis!$A$5:$A$208,$B$6,_ENGINE_Crisis!$B$5:$B$208,$AA37)=0,1,ROUND(MIN(_ENGINE_Crisis!$AH$306,SUMIFS(_ENGINE_Crisis!$D$5:$D$208,_ENGINE_Crisis!$A$5:$A$208,$B$6,_ENGINE_Crisis!$B$5:$B$208,$AA37)+_ENGINE_Crisis!$AH$305*SUMPRODUCT((_ENGINE_Crisis!$B$5:$B$208=$AA37)*_ENGINE_Crisis!$K$5:$K$208*(_ENGINE_Crisis!$D$5:$D$208&gt;1)*(_ENGINE_Crisis!$D$5:$D$208-1))),2)),1))</f>
        <v>1</v>
      </c>
      <c r="AD37">
        <f>IF(OR($AB37="",INDEX(_DATA_Dashboard_Facts!$F$5:$F$21,MATCH($AA37,_DATA_Dashboard_Facts!$A$5:$A$21,0))=0),"",ROUND(((((5-$AB37)*$AC37)+((INDEX(_DATA_Dashboard_Facts!$J$5:$J$21,MATCH($AA37,_DATA_Dashboard_Facts!$A$5:$A$21,0))+INDEX(_DATA_Dashboard_Facts!$K$5:$K$21,MATCH($AA37,_DATA_Dashboard_Facts!$A$5:$A$21,0)))*0.25*$AC37)))*(IF(PV_Canonical_Industry="",1,IFERROR(SUMIFS(_REF_Model_Content!$C$5:$C$157,_REF_Model_Content!$A$5:$A$157,PV_Canonical_Industry,_REF_Model_Content!$B$5:$B$157,$AA37)/AVERAGEIFS(_REF_Model_Content!$C$5:$C$157,_REF_Model_Content!$A$5:$A$157,PV_Canonical_Industry),1))),2))</f>
        <v>10.5</v>
      </c>
      <c r="AE37" t="str">
        <f t="shared" si="14"/>
        <v>Critical</v>
      </c>
      <c r="AF37">
        <f>IF($AD37="","",$AD37+(18-ROWS($AF$21:AF37))/1000000)</f>
        <v>10.500000999999999</v>
      </c>
    </row>
    <row r="38" spans="1:32" ht="18" customHeight="1">
      <c r="J38" s="145"/>
      <c r="K38" s="145"/>
      <c r="L38" s="145"/>
      <c r="M38" s="147" t="str">
        <f>IFERROR(INDEX($B$21:$B$37,MATCH(6,$A$21:$A$37,0)),"")</f>
        <v>Data BI AI</v>
      </c>
      <c r="N38" s="153">
        <f>IFERROR(INDEX($E$21:$E$37,MATCH(6,$A$21:$A$37,0)),"")</f>
        <v>11.75</v>
      </c>
      <c r="O38" s="145"/>
      <c r="P38" s="145"/>
      <c r="Q38" s="145"/>
      <c r="R38" s="145"/>
      <c r="S38" s="145"/>
      <c r="T38" s="145"/>
      <c r="U38" s="145"/>
      <c r="V38" s="145"/>
      <c r="W38" s="145"/>
      <c r="X38" s="145"/>
      <c r="Y38" s="145"/>
      <c r="Z38" s="145"/>
    </row>
    <row r="39" spans="1:32" ht="18" customHeight="1">
      <c r="A39" s="211" t="s">
        <v>3456</v>
      </c>
      <c r="J39" s="145"/>
      <c r="K39" s="145"/>
      <c r="L39" s="145"/>
      <c r="M39" s="147" t="str">
        <f>IFERROR(INDEX($B$21:$B$37,MATCH(7,$A$21:$A$37,0)),"")</f>
        <v>Strategy GTM</v>
      </c>
      <c r="N39" s="153">
        <f>IFERROR(INDEX($E$21:$E$37,MATCH(7,$A$21:$A$37,0)),"")</f>
        <v>11.5</v>
      </c>
      <c r="O39" s="145"/>
      <c r="P39" s="145"/>
      <c r="Q39" s="145"/>
      <c r="R39" s="145"/>
      <c r="S39" s="145"/>
      <c r="T39" s="145"/>
      <c r="U39" s="145"/>
      <c r="V39" s="145"/>
      <c r="W39" s="145"/>
      <c r="X39" s="145"/>
      <c r="Y39" s="145"/>
      <c r="Z39" s="145"/>
    </row>
    <row r="40" spans="1:32" ht="18" customHeight="1">
      <c r="A40" s="207" t="s">
        <v>3447</v>
      </c>
      <c r="B40" s="207" t="s">
        <v>3457</v>
      </c>
      <c r="C40" s="207" t="s">
        <v>764</v>
      </c>
      <c r="D40" s="207" t="s">
        <v>3458</v>
      </c>
      <c r="E40" s="207" t="s">
        <v>3459</v>
      </c>
      <c r="F40" s="207" t="s">
        <v>3460</v>
      </c>
      <c r="G40" s="207" t="s">
        <v>3461</v>
      </c>
      <c r="H40" s="207" t="s">
        <v>3462</v>
      </c>
      <c r="J40" s="145"/>
      <c r="K40" s="145"/>
      <c r="L40" s="145"/>
      <c r="M40" s="147" t="str">
        <f>IFERROR(INDEX($B$21:$B$37,MATCH(8,$A$21:$A$37,0)),"")</f>
        <v>HR Workforce</v>
      </c>
      <c r="N40" s="153">
        <f>IFERROR(INDEX($E$21:$E$37,MATCH(8,$A$21:$A$37,0)),"")</f>
        <v>11.5</v>
      </c>
      <c r="O40" s="145"/>
      <c r="P40" s="145"/>
      <c r="Q40" s="145"/>
      <c r="R40" s="145"/>
      <c r="S40" s="145"/>
      <c r="T40" s="145"/>
      <c r="U40" s="145"/>
      <c r="V40" s="145"/>
      <c r="W40" s="145"/>
      <c r="X40" s="145"/>
      <c r="Y40" s="145"/>
      <c r="Z40" s="145"/>
    </row>
    <row r="41" spans="1:32" ht="18" customHeight="1">
      <c r="A41" s="227">
        <v>1</v>
      </c>
      <c r="B41" s="227" t="str">
        <f>IFERROR(INDEX(_ENGINE_Risk!$E$500:$E$923,MATCH(ROWS($A$41:A41),_ENGINE_Risk!$A$500:$A$923,0)),"")</f>
        <v>PHYS-007</v>
      </c>
      <c r="C41" s="227" t="str">
        <f>IFERROR(INDEX(_ENGINE_Risk!$C$500:$C$923,MATCH(ROWS($A$41:A41),_ENGINE_Risk!$A$500:$A$923,0)),"")</f>
        <v>Physical Safety</v>
      </c>
      <c r="D41" s="227" t="str">
        <f>IFERROR(INDEX(_ENGINE_Risk!$I$500:$I$923,MATCH(ROWS($A$41:A41),_ENGINE_Risk!$A$500:$A$923,0)),"")</f>
        <v>Critical</v>
      </c>
      <c r="E41" s="227">
        <f>IFERROR(INDEX(_ENGINE_Risk!$BP$500:$BP$923,MATCH(ROWS($A$41:A41),_ENGINE_Risk!$A$500:$A$923,0)),"")</f>
        <v>3.7</v>
      </c>
      <c r="F41" s="227">
        <f>IFERROR(INDEX(_ENGINE_Risk!$BQ$500:$BQ$923,MATCH(ROWS($A$41:A41),_ENGINE_Risk!$A$500:$A$923,0)),"")</f>
        <v>5</v>
      </c>
      <c r="G41" s="227">
        <f>IFERROR(INDEX(_ENGINE_Risk!$BS$500:$BS$923,MATCH(ROWS($A$41:A41),_ENGINE_Risk!$A$500:$A$923,0)),"")</f>
        <v>25.44</v>
      </c>
      <c r="H41" s="227" t="str">
        <f>IFERROR(INDEX(_ENGINE_Risk!$T$500:$T$923,MATCH(ROWS($A$41:A41),_ENGINE_Risk!$A$500:$A$923,0)),"")</f>
        <v>Create an immediate risk owner, minimum control baseline and fallback procedure for critical facility register with occupancy, business processes, utilities, safety risks and recovery priority. Add it to the crisis risk register and collect first evidence.</v>
      </c>
      <c r="J41" s="145"/>
      <c r="K41" s="145"/>
      <c r="L41" s="145"/>
      <c r="M41" s="147" t="str">
        <f>IFERROR(INDEX($B$21:$B$37,MATCH(9,$A$21:$A$37,0)),"")</f>
        <v>Finance Procurement</v>
      </c>
      <c r="N41" s="153">
        <f>IFERROR(INDEX($E$21:$E$37,MATCH(9,$A$21:$A$37,0)),"")</f>
        <v>11.5</v>
      </c>
      <c r="O41" s="145"/>
      <c r="P41" s="145"/>
      <c r="Q41" s="145"/>
      <c r="R41" s="145"/>
      <c r="S41" s="145"/>
      <c r="T41" s="145"/>
      <c r="U41" s="145"/>
      <c r="V41" s="145"/>
      <c r="W41" s="145"/>
      <c r="X41" s="145"/>
      <c r="Y41" s="145"/>
      <c r="Z41" s="145"/>
    </row>
    <row r="42" spans="1:32" ht="18" customHeight="1">
      <c r="A42" s="220">
        <v>2</v>
      </c>
      <c r="B42" s="220" t="str">
        <f>IFERROR(INDEX(_ENGINE_Risk!$E$500:$E$923,MATCH(ROWS($A$41:A42),_ENGINE_Risk!$A$500:$A$923,0)),"")</f>
        <v>PHYS-008</v>
      </c>
      <c r="C42" s="220" t="str">
        <f>IFERROR(INDEX(_ENGINE_Risk!$C$500:$C$923,MATCH(ROWS($A$41:A42),_ENGINE_Risk!$A$500:$A$923,0)),"")</f>
        <v>Physical Safety</v>
      </c>
      <c r="D42" s="220" t="str">
        <f>IFERROR(INDEX(_ENGINE_Risk!$I$500:$I$923,MATCH(ROWS($A$41:A42),_ENGINE_Risk!$A$500:$A$923,0)),"")</f>
        <v>Critical</v>
      </c>
      <c r="E42" s="220">
        <f>IFERROR(INDEX(_ENGINE_Risk!$BP$500:$BP$923,MATCH(ROWS($A$41:A42),_ENGINE_Risk!$A$500:$A$923,0)),"")</f>
        <v>3.7</v>
      </c>
      <c r="F42" s="220">
        <f>IFERROR(INDEX(_ENGINE_Risk!$BQ$500:$BQ$923,MATCH(ROWS($A$41:A42),_ENGINE_Risk!$A$500:$A$923,0)),"")</f>
        <v>5</v>
      </c>
      <c r="G42" s="220">
        <f>IFERROR(INDEX(_ENGINE_Risk!$BS$500:$BS$923,MATCH(ROWS($A$41:A42),_ENGINE_Risk!$A$500:$A$923,0)),"")</f>
        <v>25.44</v>
      </c>
      <c r="H42" s="220" t="str">
        <f>IFERROR(INDEX(_ENGINE_Risk!$T$500:$T$923,MATCH(ROWS($A$41:A42),_ENGINE_Risk!$A$500:$A$923,0)),"")</f>
        <v>Create an immediate risk owner, minimum control baseline and fallback procedure for building integrity, fire systems, emergency exits, shelters, alarms, lighting and backup power inspection. Add it to the crisis risk register and collect first evidence.</v>
      </c>
      <c r="J42" s="145"/>
      <c r="K42" s="145"/>
      <c r="L42" s="145"/>
      <c r="M42" s="147" t="str">
        <f>IFERROR(INDEX($B$21:$B$37,MATCH(10,$A$21:$A$37,0)),"")</f>
        <v>Delivery Ops</v>
      </c>
      <c r="N42" s="153">
        <f>IFERROR(INDEX($E$21:$E$37,MATCH(10,$A$21:$A$37,0)),"")</f>
        <v>11</v>
      </c>
      <c r="O42" s="145"/>
      <c r="P42" s="145"/>
      <c r="Q42" s="145"/>
      <c r="R42" s="145"/>
      <c r="S42" s="145"/>
      <c r="T42" s="145"/>
      <c r="U42" s="145"/>
      <c r="V42" s="145"/>
      <c r="W42" s="145"/>
      <c r="X42" s="145"/>
      <c r="Y42" s="145"/>
      <c r="Z42" s="145"/>
    </row>
    <row r="43" spans="1:32" ht="18" customHeight="1">
      <c r="A43" s="227">
        <v>3</v>
      </c>
      <c r="B43" s="227" t="str">
        <f>IFERROR(INDEX(_ENGINE_Risk!$E$500:$E$923,MATCH(ROWS($A$41:A43),_ENGINE_Risk!$A$500:$A$923,0)),"")</f>
        <v>PHYS-009</v>
      </c>
      <c r="C43" s="227" t="str">
        <f>IFERROR(INDEX(_ENGINE_Risk!$C$500:$C$923,MATCH(ROWS($A$41:A43),_ENGINE_Risk!$A$500:$A$923,0)),"")</f>
        <v>Physical Safety</v>
      </c>
      <c r="D43" s="227" t="str">
        <f>IFERROR(INDEX(_ENGINE_Risk!$I$500:$I$923,MATCH(ROWS($A$41:A43),_ENGINE_Risk!$A$500:$A$923,0)),"")</f>
        <v>Critical</v>
      </c>
      <c r="E43" s="227">
        <f>IFERROR(INDEX(_ENGINE_Risk!$BP$500:$BP$923,MATCH(ROWS($A$41:A43),_ENGINE_Risk!$A$500:$A$923,0)),"")</f>
        <v>3.7</v>
      </c>
      <c r="F43" s="227">
        <f>IFERROR(INDEX(_ENGINE_Risk!$BQ$500:$BQ$923,MATCH(ROWS($A$41:A43),_ENGINE_Risk!$A$500:$A$923,0)),"")</f>
        <v>5</v>
      </c>
      <c r="G43" s="227">
        <f>IFERROR(INDEX(_ENGINE_Risk!$BS$500:$BS$923,MATCH(ROWS($A$41:A43),_ENGINE_Risk!$A$500:$A$923,0)),"")</f>
        <v>25.44</v>
      </c>
      <c r="H43" s="227" t="str">
        <f>IFERROR(INDEX(_ENGINE_Risk!$T$500:$T$923,MATCH(ROWS($A$41:A43),_ENGINE_Risk!$A$500:$A$923,0)),"")</f>
        <v>Create an immediate risk owner, minimum control baseline and fallback procedure for physical access control linked to HR onboarding, offboarding and periodic access review. Add it to the crisis risk register and collect first evidence.</v>
      </c>
      <c r="J43" s="145"/>
      <c r="K43" s="145"/>
      <c r="L43" s="145"/>
      <c r="M43" s="145"/>
      <c r="N43" s="145"/>
      <c r="O43" s="145"/>
      <c r="P43" s="145"/>
      <c r="Q43" s="145"/>
      <c r="R43" s="145"/>
      <c r="S43" s="145"/>
      <c r="T43" s="145"/>
      <c r="U43" s="145"/>
      <c r="V43" s="145"/>
      <c r="W43" s="145"/>
      <c r="X43" s="145"/>
      <c r="Y43" s="145"/>
      <c r="Z43" s="145"/>
    </row>
    <row r="44" spans="1:32" ht="18" customHeight="1">
      <c r="A44" s="220">
        <v>4</v>
      </c>
      <c r="B44" s="220" t="str">
        <f>IFERROR(INDEX(_ENGINE_Risk!$E$500:$E$923,MATCH(ROWS($A$41:A44),_ENGINE_Risk!$A$500:$A$923,0)),"")</f>
        <v>PHYS-010</v>
      </c>
      <c r="C44" s="220" t="str">
        <f>IFERROR(INDEX(_ENGINE_Risk!$C$500:$C$923,MATCH(ROWS($A$41:A44),_ENGINE_Risk!$A$500:$A$923,0)),"")</f>
        <v>Physical Safety</v>
      </c>
      <c r="D44" s="220" t="str">
        <f>IFERROR(INDEX(_ENGINE_Risk!$I$500:$I$923,MATCH(ROWS($A$41:A44),_ENGINE_Risk!$A$500:$A$923,0)),"")</f>
        <v>Critical</v>
      </c>
      <c r="E44" s="220">
        <f>IFERROR(INDEX(_ENGINE_Risk!$BP$500:$BP$923,MATCH(ROWS($A$41:A44),_ENGINE_Risk!$A$500:$A$923,0)),"")</f>
        <v>3.7</v>
      </c>
      <c r="F44" s="220">
        <f>IFERROR(INDEX(_ENGINE_Risk!$BQ$500:$BQ$923,MATCH(ROWS($A$41:A44),_ENGINE_Risk!$A$500:$A$923,0)),"")</f>
        <v>5</v>
      </c>
      <c r="G44" s="220">
        <f>IFERROR(INDEX(_ENGINE_Risk!$BS$500:$BS$923,MATCH(ROWS($A$41:A44),_ENGINE_Risk!$A$500:$A$923,0)),"")</f>
        <v>25.44</v>
      </c>
      <c r="H44" s="220" t="str">
        <f>IFERROR(INDEX(_ENGINE_Risk!$T$500:$T$923,MATCH(ROWS($A$41:A44),_ENGINE_Risk!$A$500:$A$923,0)),"")</f>
        <v>Create an immediate risk owner, minimum control baseline and fallback procedure for visitor management covering identity checks, escorting, sensitive areas and evacuation accountability. Add it to the crisis risk register and collect first evidence.</v>
      </c>
      <c r="J44" s="145"/>
      <c r="K44" s="145"/>
      <c r="L44" s="145"/>
      <c r="M44" s="145"/>
      <c r="N44" s="145"/>
      <c r="O44" s="145"/>
      <c r="P44" s="145"/>
      <c r="Q44" s="145"/>
      <c r="R44" s="145"/>
      <c r="S44" s="145"/>
      <c r="T44" s="145"/>
      <c r="U44" s="145"/>
      <c r="V44" s="145"/>
      <c r="W44" s="145"/>
      <c r="X44" s="145"/>
      <c r="Y44" s="145"/>
      <c r="Z44" s="145"/>
    </row>
    <row r="45" spans="1:32" ht="18" customHeight="1">
      <c r="A45" s="227">
        <v>5</v>
      </c>
      <c r="B45" s="227" t="str">
        <f>IFERROR(INDEX(_ENGINE_Risk!$E$500:$E$923,MATCH(ROWS($A$41:A45),_ENGINE_Risk!$A$500:$A$923,0)),"")</f>
        <v>PHYS-011</v>
      </c>
      <c r="C45" s="227" t="str">
        <f>IFERROR(INDEX(_ENGINE_Risk!$C$500:$C$923,MATCH(ROWS($A$41:A45),_ENGINE_Risk!$A$500:$A$923,0)),"")</f>
        <v>Physical Safety</v>
      </c>
      <c r="D45" s="227" t="str">
        <f>IFERROR(INDEX(_ENGINE_Risk!$I$500:$I$923,MATCH(ROWS($A$41:A45),_ENGINE_Risk!$A$500:$A$923,0)),"")</f>
        <v>Critical</v>
      </c>
      <c r="E45" s="227">
        <f>IFERROR(INDEX(_ENGINE_Risk!$BP$500:$BP$923,MATCH(ROWS($A$41:A45),_ENGINE_Risk!$A$500:$A$923,0)),"")</f>
        <v>3.7</v>
      </c>
      <c r="F45" s="227">
        <f>IFERROR(INDEX(_ENGINE_Risk!$BQ$500:$BQ$923,MATCH(ROWS($A$41:A45),_ENGINE_Risk!$A$500:$A$923,0)),"")</f>
        <v>5</v>
      </c>
      <c r="G45" s="227">
        <f>IFERROR(INDEX(_ENGINE_Risk!$BS$500:$BS$923,MATCH(ROWS($A$41:A45),_ENGINE_Risk!$A$500:$A$923,0)),"")</f>
        <v>25.44</v>
      </c>
      <c r="H45" s="227" t="str">
        <f>IFERROR(INDEX(_ENGINE_Risk!$T$500:$T$923,MATCH(ROWS($A$41:A45),_ENGINE_Risk!$A$500:$A$923,0)),"")</f>
        <v>Create an immediate risk owner, minimum control baseline and fallback procedure for security guarding, CCTV, alarm monitoring and response procedures. Add it to the crisis risk register and collect first evidence.</v>
      </c>
      <c r="J45" s="145"/>
      <c r="K45" s="145"/>
      <c r="L45" s="145"/>
      <c r="M45" s="145"/>
      <c r="N45" s="145"/>
      <c r="O45" s="145"/>
      <c r="P45" s="145"/>
      <c r="Q45" s="145"/>
      <c r="R45" s="145"/>
      <c r="S45" s="145"/>
      <c r="T45" s="145"/>
      <c r="U45" s="145"/>
      <c r="V45" s="145"/>
      <c r="W45" s="145"/>
      <c r="X45" s="145"/>
      <c r="Y45" s="145"/>
      <c r="Z45" s="145"/>
    </row>
    <row r="46" spans="1:32" ht="18" customHeight="1">
      <c r="A46" s="220">
        <v>6</v>
      </c>
      <c r="B46" s="220" t="str">
        <f>IFERROR(INDEX(_ENGINE_Risk!$E$500:$E$923,MATCH(ROWS($A$41:A46),_ENGINE_Risk!$A$500:$A$923,0)),"")</f>
        <v>PHYS-012</v>
      </c>
      <c r="C46" s="220" t="str">
        <f>IFERROR(INDEX(_ENGINE_Risk!$C$500:$C$923,MATCH(ROWS($A$41:A46),_ENGINE_Risk!$A$500:$A$923,0)),"")</f>
        <v>Physical Safety</v>
      </c>
      <c r="D46" s="220" t="str">
        <f>IFERROR(INDEX(_ENGINE_Risk!$I$500:$I$923,MATCH(ROWS($A$41:A46),_ENGINE_Risk!$A$500:$A$923,0)),"")</f>
        <v>Critical</v>
      </c>
      <c r="E46" s="220">
        <f>IFERROR(INDEX(_ENGINE_Risk!$BP$500:$BP$923,MATCH(ROWS($A$41:A46),_ENGINE_Risk!$A$500:$A$923,0)),"")</f>
        <v>3.7</v>
      </c>
      <c r="F46" s="220">
        <f>IFERROR(INDEX(_ENGINE_Risk!$BQ$500:$BQ$923,MATCH(ROWS($A$41:A46),_ENGINE_Risk!$A$500:$A$923,0)),"")</f>
        <v>5</v>
      </c>
      <c r="G46" s="220">
        <f>IFERROR(INDEX(_ENGINE_Risk!$BS$500:$BS$923,MATCH(ROWS($A$41:A46),_ENGINE_Risk!$A$500:$A$923,0)),"")</f>
        <v>25.44</v>
      </c>
      <c r="H46" s="220" t="str">
        <f>IFERROR(INDEX(_ENGINE_Risk!$T$500:$T$923,MATCH(ROWS($A$41:A46),_ENGINE_Risk!$A$500:$A$923,0)),"")</f>
        <v>Create an immediate risk owner, minimum control baseline and fallback procedure for physical asset protection against theft, sabotage, environmental damage and unauthorized access. Add it to the crisis risk register and collect first evidence.</v>
      </c>
      <c r="J46" s="145"/>
      <c r="K46" s="145"/>
      <c r="L46" s="145"/>
      <c r="M46" s="145"/>
      <c r="N46" s="145"/>
      <c r="O46" s="145"/>
      <c r="P46" s="145"/>
      <c r="Q46" s="145"/>
      <c r="R46" s="145"/>
      <c r="S46" s="145"/>
      <c r="T46" s="145"/>
      <c r="U46" s="145"/>
      <c r="V46" s="145"/>
      <c r="W46" s="145"/>
      <c r="X46" s="145"/>
      <c r="Y46" s="145"/>
      <c r="Z46" s="145"/>
    </row>
    <row r="47" spans="1:32" ht="18" customHeight="1">
      <c r="A47" s="227">
        <v>7</v>
      </c>
      <c r="B47" s="227" t="str">
        <f>IFERROR(INDEX(_ENGINE_Risk!$E$500:$E$923,MATCH(ROWS($A$41:A47),_ENGINE_Risk!$A$500:$A$923,0)),"")</f>
        <v>PHYS-019</v>
      </c>
      <c r="C47" s="227" t="str">
        <f>IFERROR(INDEX(_ENGINE_Risk!$C$500:$C$923,MATCH(ROWS($A$41:A47),_ENGINE_Risk!$A$500:$A$923,0)),"")</f>
        <v>Physical Safety</v>
      </c>
      <c r="D47" s="227" t="str">
        <f>IFERROR(INDEX(_ENGINE_Risk!$I$500:$I$923,MATCH(ROWS($A$41:A47),_ENGINE_Risk!$A$500:$A$923,0)),"")</f>
        <v>Critical</v>
      </c>
      <c r="E47" s="227">
        <f>IFERROR(INDEX(_ENGINE_Risk!$BP$500:$BP$923,MATCH(ROWS($A$41:A47),_ENGINE_Risk!$A$500:$A$923,0)),"")</f>
        <v>3.7</v>
      </c>
      <c r="F47" s="227">
        <f>IFERROR(INDEX(_ENGINE_Risk!$BQ$500:$BQ$923,MATCH(ROWS($A$41:A47),_ENGINE_Risk!$A$500:$A$923,0)),"")</f>
        <v>5</v>
      </c>
      <c r="G47" s="227">
        <f>IFERROR(INDEX(_ENGINE_Risk!$BS$500:$BS$923,MATCH(ROWS($A$41:A47),_ENGINE_Risk!$A$500:$A$923,0)),"")</f>
        <v>25.44</v>
      </c>
      <c r="H47" s="227" t="str">
        <f>IFERROR(INDEX(_ENGINE_Risk!$T$500:$T$923,MATCH(ROWS($A$41:A47),_ENGINE_Risk!$A$500:$A$923,0)),"")</f>
        <v>Create an immediate risk owner, minimum control baseline and fallback procedure for air raid, shelling, curfew, checkpoints, movement restriction and shelter procedures for high-risk geographies. Add it to the crisis risk register and collect first evidence.</v>
      </c>
      <c r="J47" s="145"/>
      <c r="K47" s="145"/>
      <c r="L47" s="145"/>
      <c r="M47" s="145"/>
      <c r="N47" s="145"/>
      <c r="O47" s="145"/>
      <c r="P47" s="145"/>
      <c r="Q47" s="145"/>
      <c r="R47" s="145"/>
      <c r="S47" s="145"/>
      <c r="T47" s="145"/>
      <c r="U47" s="145"/>
      <c r="V47" s="145"/>
      <c r="W47" s="145"/>
      <c r="X47" s="145"/>
      <c r="Y47" s="145"/>
      <c r="Z47" s="145"/>
    </row>
    <row r="48" spans="1:32" ht="18" customHeight="1">
      <c r="A48" s="220">
        <v>8</v>
      </c>
      <c r="B48" s="220" t="str">
        <f>IFERROR(INDEX(_ENGINE_Risk!$E$500:$E$923,MATCH(ROWS($A$41:A48),_ENGINE_Risk!$A$500:$A$923,0)),"")</f>
        <v>PHYS-020</v>
      </c>
      <c r="C48" s="220" t="str">
        <f>IFERROR(INDEX(_ENGINE_Risk!$C$500:$C$923,MATCH(ROWS($A$41:A48),_ENGINE_Risk!$A$500:$A$923,0)),"")</f>
        <v>Physical Safety</v>
      </c>
      <c r="D48" s="220" t="str">
        <f>IFERROR(INDEX(_ENGINE_Risk!$I$500:$I$923,MATCH(ROWS($A$41:A48),_ENGINE_Risk!$A$500:$A$923,0)),"")</f>
        <v>Critical</v>
      </c>
      <c r="E48" s="220">
        <f>IFERROR(INDEX(_ENGINE_Risk!$BP$500:$BP$923,MATCH(ROWS($A$41:A48),_ENGINE_Risk!$A$500:$A$923,0)),"")</f>
        <v>3.7</v>
      </c>
      <c r="F48" s="220">
        <f>IFERROR(INDEX(_ENGINE_Risk!$BQ$500:$BQ$923,MATCH(ROWS($A$41:A48),_ENGINE_Risk!$A$500:$A$923,0)),"")</f>
        <v>5</v>
      </c>
      <c r="G48" s="220">
        <f>IFERROR(INDEX(_ENGINE_Risk!$BS$500:$BS$923,MATCH(ROWS($A$41:A48),_ENGINE_Risk!$A$500:$A$923,0)),"")</f>
        <v>25.44</v>
      </c>
      <c r="H48" s="220" t="str">
        <f>IFERROR(INDEX(_ENGINE_Risk!$T$500:$T$923,MATCH(ROWS($A$41:A48),_ENGINE_Risk!$A$500:$A$923,0)),"")</f>
        <v>Create an immediate risk owner, minimum control baseline and fallback procedure for relocation and evacuation options for employees and critical teams. Add it to the crisis risk register and collect first evidence.</v>
      </c>
      <c r="J48" s="145"/>
      <c r="K48" s="145"/>
      <c r="L48" s="145"/>
      <c r="M48" s="145"/>
      <c r="N48" s="145"/>
      <c r="O48" s="145"/>
      <c r="P48" s="145"/>
      <c r="Q48" s="145"/>
      <c r="R48" s="145"/>
      <c r="S48" s="145"/>
      <c r="T48" s="145"/>
      <c r="U48" s="145"/>
      <c r="V48" s="145"/>
      <c r="W48" s="145"/>
      <c r="X48" s="145"/>
      <c r="Y48" s="145"/>
      <c r="Z48" s="145"/>
    </row>
    <row r="49" spans="1:26" ht="18" customHeight="1">
      <c r="A49" s="227">
        <v>9</v>
      </c>
      <c r="B49" s="227" t="str">
        <f>IFERROR(INDEX(_ENGINE_Risk!$E$500:$E$923,MATCH(ROWS($A$41:A49),_ENGINE_Risk!$A$500:$A$923,0)),"")</f>
        <v>PHYS-021</v>
      </c>
      <c r="C49" s="227" t="str">
        <f>IFERROR(INDEX(_ENGINE_Risk!$C$500:$C$923,MATCH(ROWS($A$41:A49),_ENGINE_Risk!$A$500:$A$923,0)),"")</f>
        <v>Physical Safety</v>
      </c>
      <c r="D49" s="227" t="str">
        <f>IFERROR(INDEX(_ENGINE_Risk!$I$500:$I$923,MATCH(ROWS($A$41:A49),_ENGINE_Risk!$A$500:$A$923,0)),"")</f>
        <v>Critical</v>
      </c>
      <c r="E49" s="227">
        <f>IFERROR(INDEX(_ENGINE_Risk!$BP$500:$BP$923,MATCH(ROWS($A$41:A49),_ENGINE_Risk!$A$500:$A$923,0)),"")</f>
        <v>3.7</v>
      </c>
      <c r="F49" s="227">
        <f>IFERROR(INDEX(_ENGINE_Risk!$BQ$500:$BQ$923,MATCH(ROWS($A$41:A49),_ENGINE_Risk!$A$500:$A$923,0)),"")</f>
        <v>5</v>
      </c>
      <c r="G49" s="227">
        <f>IFERROR(INDEX(_ENGINE_Risk!$BS$500:$BS$923,MATCH(ROWS($A$41:A49),_ENGINE_Risk!$A$500:$A$923,0)),"")</f>
        <v>25.44</v>
      </c>
      <c r="H49" s="227" t="str">
        <f>IFERROR(INDEX(_ENGINE_Risk!$T$500:$T$923,MATCH(ROWS($A$41:A49),_ENGINE_Risk!$A$500:$A$923,0)),"")</f>
        <v>Create an immediate risk owner, minimum control baseline and fallback procedure for travel risk assessment by destination, route, purpose, employee profile and emergency support. Add it to the crisis risk register and collect first evidence.</v>
      </c>
      <c r="J49" s="145"/>
      <c r="K49" s="145"/>
      <c r="L49" s="145"/>
      <c r="M49" s="145"/>
      <c r="N49" s="145"/>
      <c r="O49" s="145"/>
      <c r="P49" s="145"/>
      <c r="Q49" s="145"/>
      <c r="R49" s="145"/>
      <c r="S49" s="145"/>
      <c r="T49" s="145"/>
      <c r="U49" s="145"/>
      <c r="V49" s="145"/>
      <c r="W49" s="145"/>
      <c r="X49" s="145"/>
      <c r="Y49" s="145"/>
      <c r="Z49" s="145"/>
    </row>
    <row r="50" spans="1:26" ht="18" customHeight="1">
      <c r="A50" s="220">
        <v>10</v>
      </c>
      <c r="B50" s="220" t="str">
        <f>IFERROR(INDEX(_ENGINE_Risk!$E$500:$E$923,MATCH(ROWS($A$41:A50),_ENGINE_Risk!$A$500:$A$923,0)),"")</f>
        <v>PHYS-022</v>
      </c>
      <c r="C50" s="220" t="str">
        <f>IFERROR(INDEX(_ENGINE_Risk!$C$500:$C$923,MATCH(ROWS($A$41:A50),_ENGINE_Risk!$A$500:$A$923,0)),"")</f>
        <v>Physical Safety</v>
      </c>
      <c r="D50" s="220" t="str">
        <f>IFERROR(INDEX(_ENGINE_Risk!$I$500:$I$923,MATCH(ROWS($A$41:A50),_ENGINE_Risk!$A$500:$A$923,0)),"")</f>
        <v>Critical</v>
      </c>
      <c r="E50" s="220">
        <f>IFERROR(INDEX(_ENGINE_Risk!$BP$500:$BP$923,MATCH(ROWS($A$41:A50),_ENGINE_Risk!$A$500:$A$923,0)),"")</f>
        <v>3.7</v>
      </c>
      <c r="F50" s="220">
        <f>IFERROR(INDEX(_ENGINE_Risk!$BQ$500:$BQ$923,MATCH(ROWS($A$41:A50),_ENGINE_Risk!$A$500:$A$923,0)),"")</f>
        <v>5</v>
      </c>
      <c r="G50" s="220">
        <f>IFERROR(INDEX(_ENGINE_Risk!$BS$500:$BS$923,MATCH(ROWS($A$41:A50),_ENGINE_Risk!$A$500:$A$923,0)),"")</f>
        <v>25.44</v>
      </c>
      <c r="H50" s="220" t="str">
        <f>IFERROR(INDEX(_ENGINE_Risk!$T$500:$T$923,MATCH(ROWS($A$41:A50),_ENGINE_Risk!$A$500:$A$923,0)),"")</f>
        <v>Create an immediate risk owner, minimum control baseline and fallback procedure for local threat monitoring for critical sites and geographies. Add it to the crisis risk register and collect first evidence.</v>
      </c>
      <c r="J50" s="145"/>
      <c r="K50" s="145"/>
      <c r="L50" s="145"/>
      <c r="M50" s="145"/>
      <c r="N50" s="145"/>
      <c r="O50" s="145"/>
      <c r="P50" s="145"/>
      <c r="Q50" s="145"/>
      <c r="R50" s="145"/>
      <c r="S50" s="145"/>
      <c r="T50" s="145"/>
      <c r="U50" s="145"/>
      <c r="V50" s="145"/>
      <c r="W50" s="145"/>
      <c r="X50" s="145"/>
      <c r="Y50" s="145"/>
      <c r="Z50" s="145"/>
    </row>
    <row r="51" spans="1:26" ht="18" customHeight="1">
      <c r="A51" s="227"/>
      <c r="B51" s="227"/>
      <c r="C51" s="227"/>
      <c r="D51" s="227"/>
      <c r="E51" s="227"/>
      <c r="F51" s="227"/>
      <c r="G51" s="227"/>
      <c r="H51" s="227"/>
      <c r="J51" s="145"/>
      <c r="K51" s="145"/>
      <c r="L51" s="145"/>
      <c r="M51" s="145"/>
      <c r="N51" s="145"/>
      <c r="O51" s="145"/>
      <c r="P51" s="145"/>
      <c r="Q51" s="145"/>
      <c r="R51" s="145"/>
      <c r="S51" s="145"/>
      <c r="T51" s="145"/>
      <c r="U51" s="145"/>
      <c r="V51" s="145"/>
      <c r="W51" s="145"/>
      <c r="X51" s="145"/>
      <c r="Y51" s="145"/>
      <c r="Z51" s="145"/>
    </row>
    <row r="52" spans="1:26" ht="18" customHeight="1">
      <c r="A52" s="220" t="s">
        <v>3463</v>
      </c>
      <c r="B52" s="220"/>
      <c r="C52" s="220"/>
      <c r="D52" s="220"/>
      <c r="E52" s="220"/>
      <c r="F52" s="220"/>
      <c r="G52" s="220"/>
      <c r="H52" s="220"/>
      <c r="J52" s="145"/>
      <c r="K52" s="145"/>
      <c r="L52" s="145"/>
      <c r="M52" s="145"/>
      <c r="N52" s="145"/>
      <c r="O52" s="145"/>
      <c r="P52" s="145"/>
      <c r="Q52" s="145"/>
      <c r="R52" s="145"/>
      <c r="S52" s="145"/>
      <c r="T52" s="145"/>
      <c r="U52" s="145"/>
      <c r="V52" s="145"/>
      <c r="W52" s="145"/>
      <c r="X52" s="145"/>
      <c r="Y52" s="145"/>
      <c r="Z52" s="145"/>
    </row>
    <row r="53" spans="1:26" ht="18" customHeight="1">
      <c r="J53" s="145"/>
      <c r="K53" s="145"/>
      <c r="L53" s="145"/>
      <c r="M53" s="145"/>
      <c r="N53" s="145"/>
      <c r="O53" s="145"/>
      <c r="P53" s="145"/>
      <c r="Q53" s="145"/>
      <c r="R53" s="145"/>
      <c r="S53" s="145"/>
      <c r="T53" s="145"/>
      <c r="U53" s="145"/>
      <c r="V53" s="145"/>
      <c r="W53" s="145"/>
      <c r="X53" s="145"/>
      <c r="Y53" s="145"/>
      <c r="Z53" s="145"/>
    </row>
    <row r="54" spans="1:26" ht="18" customHeight="1">
      <c r="A54" s="256" t="s">
        <v>3399</v>
      </c>
      <c r="J54" s="145"/>
      <c r="K54" s="145"/>
      <c r="L54" s="145"/>
      <c r="M54" s="145"/>
      <c r="N54" s="145"/>
      <c r="O54" s="145"/>
      <c r="P54" s="145"/>
      <c r="Q54" s="145"/>
      <c r="R54" s="145"/>
      <c r="S54" s="145"/>
      <c r="T54" s="145"/>
      <c r="U54" s="145"/>
      <c r="V54" s="145"/>
      <c r="W54" s="145"/>
      <c r="X54" s="145"/>
      <c r="Y54" s="145"/>
      <c r="Z54" s="145"/>
    </row>
    <row r="55" spans="1:26" ht="18" customHeight="1">
      <c r="A55" t="s">
        <v>3464</v>
      </c>
      <c r="B55" s="258" t="s">
        <v>3401</v>
      </c>
      <c r="C55" s="259" t="s">
        <v>3402</v>
      </c>
      <c r="D55" s="257" t="s">
        <v>3403</v>
      </c>
      <c r="E55" s="260" t="s">
        <v>3404</v>
      </c>
      <c r="F55" s="258" t="s">
        <v>3405</v>
      </c>
      <c r="G55" s="259" t="s">
        <v>3406</v>
      </c>
      <c r="J55" s="145"/>
      <c r="K55" s="145"/>
      <c r="L55" s="145"/>
      <c r="M55" s="145"/>
      <c r="N55" s="145"/>
      <c r="O55" s="145"/>
      <c r="P55" s="145"/>
      <c r="Q55" s="145"/>
      <c r="R55" s="145"/>
      <c r="S55" s="145"/>
      <c r="T55" s="145"/>
      <c r="U55" s="145"/>
      <c r="V55" s="145"/>
      <c r="W55" s="145"/>
      <c r="X55" s="145"/>
      <c r="Y55" s="145"/>
      <c r="Z55" s="145"/>
    </row>
    <row r="56" spans="1:26" ht="18" customHeight="1">
      <c r="A56" t="s">
        <v>3465</v>
      </c>
      <c r="B56">
        <f>IFERROR(_ENGINE_Simulation!$B$26,0)</f>
        <v>65559.303878030652</v>
      </c>
      <c r="J56" s="145"/>
      <c r="K56" s="145"/>
      <c r="L56" s="145"/>
      <c r="M56" s="145"/>
      <c r="N56" s="145"/>
      <c r="O56" s="145"/>
      <c r="P56" s="145"/>
      <c r="Q56" s="145"/>
      <c r="R56" s="145"/>
      <c r="S56" s="145"/>
      <c r="T56" s="145"/>
      <c r="U56" s="145"/>
      <c r="V56" s="145"/>
      <c r="W56" s="145"/>
      <c r="X56" s="145"/>
      <c r="Y56" s="145"/>
      <c r="Z56" s="145"/>
    </row>
    <row r="57" spans="1:26" ht="18" customHeight="1">
      <c r="A57" t="s">
        <v>3466</v>
      </c>
      <c r="B57">
        <f>IFERROR(_ENGINE_Simulation!$B$27,0)</f>
        <v>2483.7719317638539</v>
      </c>
      <c r="J57" s="145"/>
      <c r="K57" s="145"/>
      <c r="L57" s="145"/>
      <c r="M57" s="145"/>
      <c r="N57" s="145"/>
      <c r="O57" s="145"/>
      <c r="P57" s="145"/>
      <c r="Q57" s="145"/>
      <c r="R57" s="145"/>
      <c r="S57" s="145"/>
      <c r="T57" s="145"/>
      <c r="U57" s="145"/>
      <c r="V57" s="145"/>
      <c r="W57" s="145"/>
      <c r="X57" s="145"/>
      <c r="Y57" s="145"/>
      <c r="Z57" s="145"/>
    </row>
    <row r="58" spans="1:26" ht="18" customHeight="1">
      <c r="A58" t="s">
        <v>3467</v>
      </c>
      <c r="B58">
        <f>IFERROR(_ENGINE_Simulation!$B$28,0)</f>
        <v>93267.429398547945</v>
      </c>
      <c r="J58" s="145"/>
      <c r="K58" s="145"/>
      <c r="L58" s="145"/>
      <c r="M58" s="145"/>
      <c r="N58" s="145"/>
      <c r="O58" s="145"/>
      <c r="P58" s="145"/>
      <c r="Q58" s="145"/>
      <c r="R58" s="145"/>
      <c r="S58" s="145"/>
      <c r="T58" s="145"/>
      <c r="U58" s="145"/>
      <c r="V58" s="145"/>
      <c r="W58" s="145"/>
      <c r="X58" s="145"/>
      <c r="Y58" s="145"/>
      <c r="Z58" s="145"/>
    </row>
    <row r="59" spans="1:26" ht="18" customHeight="1">
      <c r="A59" t="s">
        <v>3468</v>
      </c>
      <c r="B59">
        <f>IFERROR(_ENGINE_Simulation!$B$29,0)</f>
        <v>100306.41111660961</v>
      </c>
      <c r="J59" s="145"/>
      <c r="K59" s="145"/>
      <c r="L59" s="145"/>
      <c r="M59" s="145"/>
      <c r="N59" s="145"/>
      <c r="O59" s="145"/>
      <c r="P59" s="145"/>
      <c r="Q59" s="145"/>
      <c r="R59" s="145"/>
      <c r="S59" s="145"/>
      <c r="T59" s="145"/>
      <c r="U59" s="145"/>
      <c r="V59" s="145"/>
      <c r="W59" s="145"/>
      <c r="X59" s="145"/>
      <c r="Y59" s="145"/>
      <c r="Z59" s="145"/>
    </row>
    <row r="60" spans="1:26" ht="18" customHeight="1">
      <c r="A60" t="s">
        <v>3469</v>
      </c>
      <c r="B60">
        <f>IFERROR(_ENGINE_Simulation!$B$30,0)</f>
        <v>104747.43456583229</v>
      </c>
      <c r="J60" s="297" t="s">
        <v>3470</v>
      </c>
      <c r="K60" s="264"/>
      <c r="L60" s="264"/>
      <c r="M60" s="264"/>
      <c r="N60" s="264"/>
      <c r="O60" s="264"/>
      <c r="P60" s="264"/>
      <c r="Q60" s="264"/>
      <c r="R60" s="264"/>
      <c r="S60" s="264"/>
      <c r="T60" s="264"/>
      <c r="U60" s="264"/>
      <c r="V60" s="264"/>
      <c r="W60" s="264"/>
      <c r="X60" s="264"/>
      <c r="Y60" s="264"/>
      <c r="Z60" s="265"/>
    </row>
    <row r="61" spans="1:26" ht="18" customHeight="1">
      <c r="A61" t="s">
        <v>3471</v>
      </c>
      <c r="B61">
        <f>IFERROR(_ENGINE_Simulation!$B$31,0)</f>
        <v>110455.75482195144</v>
      </c>
      <c r="J61" s="269"/>
      <c r="K61" s="270"/>
      <c r="L61" s="270"/>
      <c r="M61" s="270"/>
      <c r="N61" s="270"/>
      <c r="O61" s="270"/>
      <c r="P61" s="270"/>
      <c r="Q61" s="270"/>
      <c r="R61" s="270"/>
      <c r="S61" s="270"/>
      <c r="T61" s="270"/>
      <c r="U61" s="270"/>
      <c r="V61" s="270"/>
      <c r="W61" s="270"/>
      <c r="X61" s="270"/>
      <c r="Y61" s="270"/>
      <c r="Z61" s="271"/>
    </row>
    <row r="62" spans="1:26" ht="18" customHeight="1">
      <c r="J62" s="145"/>
      <c r="K62" s="145"/>
      <c r="L62" s="145"/>
      <c r="M62" s="145"/>
      <c r="N62" s="145"/>
      <c r="O62" s="145"/>
      <c r="P62" s="145"/>
      <c r="Q62" s="145"/>
      <c r="R62" s="145"/>
      <c r="S62" s="145"/>
      <c r="T62" s="145"/>
      <c r="U62" s="145"/>
      <c r="V62" s="145"/>
      <c r="W62" s="145"/>
      <c r="X62" s="145"/>
      <c r="Y62" s="145"/>
      <c r="Z62" s="145"/>
    </row>
    <row r="63" spans="1:26" ht="18" customHeight="1">
      <c r="A63" t="s">
        <v>3472</v>
      </c>
      <c r="J63" s="145"/>
      <c r="K63" s="145"/>
      <c r="L63" s="145"/>
      <c r="M63" s="145"/>
      <c r="N63" s="145"/>
      <c r="O63" s="145"/>
      <c r="P63" s="145"/>
      <c r="Q63" s="145"/>
      <c r="R63" s="145"/>
      <c r="S63" s="145"/>
      <c r="T63" s="145"/>
      <c r="U63" s="145"/>
      <c r="V63" s="145"/>
      <c r="W63" s="145"/>
      <c r="X63" s="145"/>
      <c r="Y63" s="145"/>
      <c r="Z63" s="145"/>
    </row>
    <row r="64" spans="1:26" ht="18" customHeight="1">
      <c r="A64" t="s">
        <v>3473</v>
      </c>
      <c r="B64">
        <f>IFERROR(_ENGINE_MonteCarlo!$B$8,0)</f>
        <v>96534.816079446784</v>
      </c>
      <c r="C64" t="s">
        <v>3474</v>
      </c>
      <c r="D64" t="str">
        <f>_CONFIG_Model_Settings!$B$178</f>
        <v>Frozen</v>
      </c>
      <c r="J64" s="145"/>
      <c r="K64" s="145"/>
      <c r="L64" s="145"/>
      <c r="M64" s="145"/>
      <c r="N64" s="145"/>
      <c r="O64" s="145"/>
      <c r="P64" s="145"/>
      <c r="Q64" s="145"/>
      <c r="R64" s="145"/>
      <c r="S64" s="145"/>
      <c r="T64" s="145"/>
      <c r="U64" s="145"/>
      <c r="V64" s="145"/>
      <c r="W64" s="145"/>
      <c r="X64" s="145"/>
      <c r="Y64" s="145"/>
      <c r="Z64" s="145"/>
    </row>
    <row r="65" spans="1:4">
      <c r="A65" t="s">
        <v>3475</v>
      </c>
      <c r="B65">
        <f>_ENGINE_MonteCarlo!$B$9</f>
        <v>107065.97820854252</v>
      </c>
      <c r="C65" t="s">
        <v>3476</v>
      </c>
      <c r="D65">
        <f>_ENGINE_MonteCarlo!$E$8</f>
        <v>250619</v>
      </c>
    </row>
    <row r="66" spans="1:4">
      <c r="A66" t="s">
        <v>3477</v>
      </c>
      <c r="B66">
        <f>IFERROR(_ENGINE_MonteCarlo!$B$10,0)</f>
        <v>114856.44044063879</v>
      </c>
      <c r="C66" t="s">
        <v>3478</v>
      </c>
      <c r="D66" t="s">
        <v>3479</v>
      </c>
    </row>
    <row r="67" spans="1:4">
      <c r="A67" t="s">
        <v>3480</v>
      </c>
      <c r="B67">
        <f>_ENGINE_MonteCarlo!$B$11</f>
        <v>121918.23786482445</v>
      </c>
      <c r="C67" t="s">
        <v>3481</v>
      </c>
      <c r="D67" t="s">
        <v>3482</v>
      </c>
    </row>
  </sheetData>
  <mergeCells count="16">
    <mergeCell ref="M4:O4"/>
    <mergeCell ref="S4:U4"/>
    <mergeCell ref="M5:O5"/>
    <mergeCell ref="J4:L4"/>
    <mergeCell ref="J1:Z1"/>
    <mergeCell ref="J2:Z2"/>
    <mergeCell ref="P4:R4"/>
    <mergeCell ref="J5:L5"/>
    <mergeCell ref="J6:L6"/>
    <mergeCell ref="S6:U6"/>
    <mergeCell ref="S5:U5"/>
    <mergeCell ref="J60:Z61"/>
    <mergeCell ref="J8:Z8"/>
    <mergeCell ref="M6:O6"/>
    <mergeCell ref="P5:R5"/>
    <mergeCell ref="P6:R6"/>
  </mergeCells>
  <conditionalFormatting sqref="C21:C31">
    <cfRule type="colorScale" priority="5">
      <colorScale>
        <cfvo type="min"/>
        <cfvo type="percentile" val="50"/>
        <cfvo type="max"/>
        <color rgb="FFF8696B"/>
        <color rgb="FFFFD666"/>
        <color rgb="FF63BE7B"/>
      </colorScale>
    </cfRule>
  </conditionalFormatting>
  <conditionalFormatting sqref="D41:D52">
    <cfRule type="cellIs" dxfId="38" priority="16" operator="equal">
      <formula>"Critical"</formula>
    </cfRule>
    <cfRule type="cellIs" dxfId="37" priority="17" operator="equal">
      <formula>"Breach"</formula>
    </cfRule>
    <cfRule type="cellIs" dxfId="36" priority="18" operator="equal">
      <formula>"High"</formula>
    </cfRule>
    <cfRule type="cellIs" dxfId="35" priority="19" operator="equal">
      <formula>"Moderate"</formula>
    </cfRule>
    <cfRule type="cellIs" dxfId="34" priority="20" operator="equal">
      <formula>"Medium"</formula>
    </cfRule>
    <cfRule type="cellIs" dxfId="33" priority="21" operator="equal">
      <formula>"Low"</formula>
    </cfRule>
    <cfRule type="cellIs" dxfId="32" priority="22" operator="equal">
      <formula>"OK"</formula>
    </cfRule>
    <cfRule type="cellIs" dxfId="31" priority="23" operator="equal">
      <formula>"Within"</formula>
    </cfRule>
    <cfRule type="cellIs" dxfId="30" priority="24" operator="equal">
      <formula>"Above"</formula>
    </cfRule>
  </conditionalFormatting>
  <conditionalFormatting sqref="E21:E31">
    <cfRule type="colorScale" priority="6">
      <colorScale>
        <cfvo type="min"/>
        <cfvo type="percentile" val="50"/>
        <cfvo type="max"/>
        <color rgb="FF63BE7B"/>
        <color rgb="FFFFD666"/>
        <color rgb="FFF8696B"/>
      </colorScale>
    </cfRule>
  </conditionalFormatting>
  <conditionalFormatting sqref="E41:E52">
    <cfRule type="colorScale" priority="25">
      <colorScale>
        <cfvo type="min"/>
        <cfvo type="percentile" val="50"/>
        <cfvo type="max"/>
        <color rgb="FF63BE7B"/>
        <color rgb="FFFFD666"/>
        <color rgb="FFF8696B"/>
      </colorScale>
    </cfRule>
  </conditionalFormatting>
  <conditionalFormatting sqref="F21:F31">
    <cfRule type="cellIs" dxfId="29" priority="7" operator="equal">
      <formula>"Critical"</formula>
    </cfRule>
    <cfRule type="cellIs" dxfId="28" priority="8" operator="equal">
      <formula>"Breach"</formula>
    </cfRule>
    <cfRule type="cellIs" dxfId="27" priority="9" operator="equal">
      <formula>"High"</formula>
    </cfRule>
    <cfRule type="cellIs" dxfId="26" priority="10" operator="equal">
      <formula>"Moderate"</formula>
    </cfRule>
    <cfRule type="cellIs" dxfId="25" priority="11" operator="equal">
      <formula>"Medium"</formula>
    </cfRule>
    <cfRule type="cellIs" dxfId="24" priority="12" operator="equal">
      <formula>"Low"</formula>
    </cfRule>
    <cfRule type="cellIs" dxfId="23" priority="13" operator="equal">
      <formula>"OK"</formula>
    </cfRule>
    <cfRule type="cellIs" dxfId="22" priority="14" operator="equal">
      <formula>"Within"</formula>
    </cfRule>
    <cfRule type="cellIs" dxfId="21" priority="15" operator="equal">
      <formula>"Above"</formula>
    </cfRule>
  </conditionalFormatting>
  <conditionalFormatting sqref="F41:F52">
    <cfRule type="colorScale" priority="26">
      <colorScale>
        <cfvo type="min"/>
        <cfvo type="percentile" val="50"/>
        <cfvo type="max"/>
        <color rgb="FF63BE7B"/>
        <color rgb="FFFFD666"/>
        <color rgb="FFF8696B"/>
      </colorScale>
    </cfRule>
  </conditionalFormatting>
  <conditionalFormatting sqref="G41:G52">
    <cfRule type="colorScale" priority="27">
      <colorScale>
        <cfvo type="min"/>
        <cfvo type="percentile" val="50"/>
        <cfvo type="max"/>
        <color rgb="FF63BE7B"/>
        <color rgb="FFFFD666"/>
        <color rgb="FFF8696B"/>
      </colorScale>
    </cfRule>
  </conditionalFormatting>
  <conditionalFormatting sqref="P10:P26">
    <cfRule type="colorScale" priority="4">
      <colorScale>
        <cfvo type="min"/>
        <cfvo type="percentile" val="50"/>
        <cfvo type="max"/>
        <color rgb="FFE2F0D9"/>
        <color rgb="FFFFF2CC"/>
        <color rgb="FFF4CCCC"/>
      </colorScale>
    </cfRule>
  </conditionalFormatting>
  <conditionalFormatting sqref="Q10:Q26">
    <cfRule type="expression" dxfId="20" priority="1">
      <formula>Q10="Critical"</formula>
    </cfRule>
    <cfRule type="expression" dxfId="19" priority="2">
      <formula>Q10="High"</formula>
    </cfRule>
    <cfRule type="expression" dxfId="18" priority="3">
      <formula>Q10="Medium"</formula>
    </cfRule>
  </conditionalFormatting>
  <dataValidations count="2">
    <dataValidation type="list" showErrorMessage="1" errorTitle="Invalid scenario" error="Select a scenario from the list." sqref="B6" xr:uid="{00000000-0002-0000-0400-000000000000}">
      <formula1>"Cyberattack / ransomware,War / geopolitical escalation,Energy / utilities outage,Pandemic / workforce disruption,Natural disaster / climate shock,Supply chain disruption,Financial / liquidity shock,Regulatory / compliance shock"</formula1>
    </dataValidation>
    <dataValidation type="whole" showErrorMessage="1" errorTitle="Invalid severity" error="Severity must be a whole number from 1 to 5." sqref="B7" xr:uid="{00000000-0002-0000-0400-000001000000}">
      <formula1>1</formula1>
      <formula2>5</formula2>
    </dataValidation>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ED7D31"/>
  </sheetPr>
  <dimension ref="A1:AD130"/>
  <sheetViews>
    <sheetView showGridLines="0" workbookViewId="0">
      <pane ySplit="2" topLeftCell="A3" activePane="bottomLeft" state="frozen"/>
      <selection pane="bottomLeft"/>
    </sheetView>
  </sheetViews>
  <sheetFormatPr defaultRowHeight="14.15"/>
  <cols>
    <col min="1" max="1" width="10" customWidth="1"/>
    <col min="2" max="2" width="18" customWidth="1"/>
    <col min="3" max="3" width="38" customWidth="1"/>
    <col min="4" max="5" width="20" customWidth="1"/>
    <col min="6" max="6" width="24" customWidth="1"/>
    <col min="7" max="7" width="15" customWidth="1"/>
    <col min="8" max="8" width="12" customWidth="1"/>
    <col min="9" max="12" width="14" customWidth="1"/>
    <col min="14" max="14" width="22" customWidth="1"/>
    <col min="15" max="15" width="9" customWidth="1"/>
    <col min="16" max="16" width="10" customWidth="1"/>
    <col min="17" max="20" width="12" customWidth="1"/>
    <col min="21" max="21" width="10" customWidth="1"/>
    <col min="22" max="22" width="9" customWidth="1"/>
    <col min="23" max="30" width="12" customWidth="1"/>
  </cols>
  <sheetData>
    <row r="1" spans="1:30" ht="18" customHeight="1">
      <c r="A1" s="222" t="s">
        <v>67</v>
      </c>
      <c r="N1" s="300" t="s">
        <v>3483</v>
      </c>
      <c r="O1" s="301"/>
      <c r="P1" s="301"/>
      <c r="Q1" s="301"/>
      <c r="R1" s="301"/>
      <c r="S1" s="301"/>
      <c r="T1" s="301"/>
      <c r="U1" s="301"/>
      <c r="V1" s="301"/>
      <c r="W1" s="301"/>
      <c r="X1" s="301"/>
      <c r="Y1" s="301"/>
      <c r="Z1" s="301"/>
      <c r="AA1" s="301"/>
      <c r="AB1" s="301"/>
      <c r="AC1" s="301"/>
      <c r="AD1" s="301"/>
    </row>
    <row r="2" spans="1:30" ht="18" customHeight="1">
      <c r="A2" s="223" t="s">
        <v>3484</v>
      </c>
      <c r="N2" s="278" t="s">
        <v>3485</v>
      </c>
      <c r="O2" s="267"/>
      <c r="P2" s="267"/>
      <c r="Q2" s="267"/>
      <c r="R2" s="267"/>
      <c r="S2" s="267"/>
      <c r="T2" s="267"/>
      <c r="U2" s="267"/>
      <c r="V2" s="267"/>
      <c r="W2" s="267"/>
      <c r="X2" s="267"/>
      <c r="Y2" s="267"/>
      <c r="Z2" s="267"/>
      <c r="AA2" s="267"/>
      <c r="AB2" s="267"/>
      <c r="AC2" s="267"/>
      <c r="AD2" s="267"/>
    </row>
    <row r="3" spans="1:30" ht="18" customHeight="1">
      <c r="A3" t="str">
        <f>HYPERLINK("#'Guidelines'!A1","⌂ Guidelines")</f>
        <v>⌂ Guidelines</v>
      </c>
      <c r="C3" t="str">
        <f>HYPERLINK("#'Resilience &amp; Risk Scenario'!A1","Risk Scenario")</f>
        <v>Risk Scenario</v>
      </c>
      <c r="E3" t="str">
        <f>HYPERLINK("#'Guidelines'!A70","Calibration &amp; weights")</f>
        <v>Calibration &amp; weights</v>
      </c>
      <c r="N3" s="145"/>
      <c r="O3" s="145"/>
      <c r="P3" s="145"/>
      <c r="Q3" s="145"/>
      <c r="R3" s="145"/>
      <c r="S3" s="145"/>
      <c r="T3" s="145"/>
      <c r="U3" s="145"/>
      <c r="V3" s="145"/>
      <c r="W3" s="145"/>
      <c r="X3" s="145"/>
      <c r="Y3" s="145"/>
      <c r="Z3" s="145"/>
      <c r="AA3" s="145"/>
      <c r="AB3" s="145"/>
      <c r="AC3" s="145"/>
      <c r="AD3" s="145"/>
    </row>
    <row r="4" spans="1:30" ht="18" customHeight="1">
      <c r="N4" s="299" t="s">
        <v>3486</v>
      </c>
      <c r="O4" s="293"/>
      <c r="P4" s="294"/>
      <c r="Q4" s="299" t="s">
        <v>3487</v>
      </c>
      <c r="R4" s="293"/>
      <c r="S4" s="294"/>
      <c r="T4" s="299" t="s">
        <v>3488</v>
      </c>
      <c r="U4" s="293"/>
      <c r="V4" s="294"/>
      <c r="W4" s="299" t="s">
        <v>3489</v>
      </c>
      <c r="X4" s="293"/>
      <c r="Y4" s="294"/>
      <c r="Z4" s="145"/>
      <c r="AA4" s="145"/>
      <c r="AB4" s="145"/>
      <c r="AC4" s="145"/>
      <c r="AD4" s="145"/>
    </row>
    <row r="5" spans="1:30" ht="18" customHeight="1">
      <c r="A5" s="207" t="s">
        <v>3490</v>
      </c>
      <c r="B5" s="207" t="s">
        <v>348</v>
      </c>
      <c r="C5" s="207" t="s">
        <v>3365</v>
      </c>
      <c r="N5" s="292" t="str">
        <f>$B$6</f>
        <v>Cloud and Infrastructure Resilience Strategy</v>
      </c>
      <c r="O5" s="293"/>
      <c r="P5" s="294"/>
      <c r="Q5" s="302">
        <f>$B$8</f>
        <v>2.64</v>
      </c>
      <c r="R5" s="293"/>
      <c r="S5" s="294"/>
      <c r="T5" s="292" t="str">
        <f>$B$9</f>
        <v>0-90 days</v>
      </c>
      <c r="U5" s="293"/>
      <c r="V5" s="294"/>
      <c r="W5" s="292">
        <f>COUNTA($B$13:$B$32)</f>
        <v>20</v>
      </c>
      <c r="X5" s="293"/>
      <c r="Y5" s="294"/>
      <c r="Z5" s="145"/>
      <c r="AA5" s="145"/>
      <c r="AB5" s="145"/>
      <c r="AC5" s="145"/>
      <c r="AD5" s="145"/>
    </row>
    <row r="6" spans="1:30" ht="18" customHeight="1">
      <c r="A6" s="224" t="s">
        <v>3486</v>
      </c>
      <c r="B6" s="225" t="str">
        <f>_ENGINE_Strategy!$B$95</f>
        <v>Cloud and Infrastructure Resilience Strategy</v>
      </c>
      <c r="C6" s="226" t="s">
        <v>3491</v>
      </c>
      <c r="N6" s="295" t="s">
        <v>3492</v>
      </c>
      <c r="O6" s="293"/>
      <c r="P6" s="294"/>
      <c r="Q6" s="295" t="s">
        <v>3493</v>
      </c>
      <c r="R6" s="293"/>
      <c r="S6" s="294"/>
      <c r="T6" s="295" t="s">
        <v>3494</v>
      </c>
      <c r="U6" s="293"/>
      <c r="V6" s="294"/>
      <c r="W6" s="295" t="s">
        <v>3495</v>
      </c>
      <c r="X6" s="293"/>
      <c r="Y6" s="294"/>
      <c r="Z6" s="145"/>
      <c r="AA6" s="145"/>
      <c r="AB6" s="145"/>
      <c r="AC6" s="145"/>
      <c r="AD6" s="145"/>
    </row>
    <row r="7" spans="1:30" ht="18" customHeight="1">
      <c r="A7" s="224" t="s">
        <v>3496</v>
      </c>
      <c r="B7" s="225" t="str">
        <f>_ENGINE_Strategy!$B$96</f>
        <v/>
      </c>
      <c r="C7" s="226" t="s">
        <v>3491</v>
      </c>
      <c r="N7" s="145"/>
      <c r="O7" s="145"/>
      <c r="P7" s="145"/>
      <c r="Q7" s="145"/>
      <c r="R7" s="145"/>
      <c r="S7" s="145"/>
      <c r="T7" s="145"/>
      <c r="U7" s="145"/>
      <c r="V7" s="145"/>
      <c r="W7" s="145"/>
      <c r="X7" s="145"/>
      <c r="Y7" s="145"/>
      <c r="Z7" s="145"/>
      <c r="AA7" s="145"/>
      <c r="AB7" s="145"/>
      <c r="AC7" s="145"/>
      <c r="AD7" s="145"/>
    </row>
    <row r="8" spans="1:30" ht="18" customHeight="1">
      <c r="A8" s="224" t="s">
        <v>3497</v>
      </c>
      <c r="B8" s="225">
        <f>IFERROR(INDEX(_ENGINE_Initiatives!$BV$5:$BV$76,MATCH(1,_ENGINE_Initiatives!$BW$5:$BW$76,0)),"")</f>
        <v>2.64</v>
      </c>
      <c r="C8" s="226" t="s">
        <v>216</v>
      </c>
      <c r="N8" s="298" t="s">
        <v>3498</v>
      </c>
      <c r="O8" s="293"/>
      <c r="P8" s="293"/>
      <c r="Q8" s="293"/>
      <c r="R8" s="293"/>
      <c r="S8" s="293"/>
      <c r="T8" s="293"/>
      <c r="U8" s="293"/>
      <c r="V8" s="293"/>
      <c r="W8" s="293"/>
      <c r="X8" s="293"/>
      <c r="Y8" s="293"/>
      <c r="Z8" s="293"/>
      <c r="AA8" s="293"/>
      <c r="AB8" s="293"/>
      <c r="AC8" s="293"/>
      <c r="AD8" s="294"/>
    </row>
    <row r="9" spans="1:30" ht="18" customHeight="1">
      <c r="A9" s="224" t="s">
        <v>3499</v>
      </c>
      <c r="B9" s="225" t="str">
        <f>IFERROR(INDEX(_ENGINE_Initiatives!$BX$5:$BX$76,MATCH(1,_ENGINE_Initiatives!$BW$5:$BW$76,0)),"")</f>
        <v>0-90 days</v>
      </c>
      <c r="C9" s="226" t="s">
        <v>216</v>
      </c>
      <c r="N9" s="146" t="s">
        <v>3500</v>
      </c>
      <c r="O9" s="146" t="s">
        <v>3501</v>
      </c>
      <c r="P9" s="146" t="s">
        <v>3502</v>
      </c>
      <c r="Q9" s="146" t="s">
        <v>3503</v>
      </c>
      <c r="R9" s="146" t="s">
        <v>3504</v>
      </c>
      <c r="S9" s="146" t="s">
        <v>3505</v>
      </c>
      <c r="T9" s="146" t="s">
        <v>3506</v>
      </c>
      <c r="U9" s="146" t="s">
        <v>3507</v>
      </c>
      <c r="V9" s="146" t="s">
        <v>3508</v>
      </c>
      <c r="W9" s="146" t="s">
        <v>3509</v>
      </c>
      <c r="X9" s="146" t="s">
        <v>3510</v>
      </c>
      <c r="Y9" s="145"/>
      <c r="Z9" s="145"/>
      <c r="AA9" s="145"/>
      <c r="AB9" s="145"/>
      <c r="AC9" s="145"/>
      <c r="AD9" s="145"/>
    </row>
    <row r="10" spans="1:30" ht="18" customHeight="1">
      <c r="N10" s="147" t="str">
        <f t="shared" ref="N10:N29" si="0">IF($C13="","",$C13)</f>
        <v>Build geographic exposure and site continuity model</v>
      </c>
      <c r="O10" s="148" t="str">
        <f t="shared" ref="O10:O29" si="1">IF($G13="0-90 days","●","")</f>
        <v>●</v>
      </c>
      <c r="P10" s="160" t="str">
        <f t="shared" ref="P10:P29" si="2">IF($G13="3-6 months","●","")</f>
        <v/>
      </c>
      <c r="Q10" s="149" t="str">
        <f t="shared" ref="Q10:Q29" si="3">IF($G13="6-12 months","●","")</f>
        <v/>
      </c>
      <c r="R10" s="150" t="str">
        <f t="shared" ref="R10:R29" si="4">IF($G13="12+ months","●","")</f>
        <v/>
      </c>
      <c r="S10" s="159">
        <f t="shared" ref="S10:S29" si="5">H13</f>
        <v>2.64</v>
      </c>
      <c r="T10" s="159">
        <f t="shared" ref="T10:T29" si="6">I13</f>
        <v>4.5875000000000004</v>
      </c>
      <c r="U10" s="159">
        <f t="shared" ref="U10:U29" si="7">J13</f>
        <v>5</v>
      </c>
      <c r="V10" s="159">
        <f t="shared" ref="V10:V29" si="8">K13</f>
        <v>4.5145999999999997</v>
      </c>
      <c r="W10" s="159">
        <f t="shared" ref="W10:W29" si="9">L13</f>
        <v>3.0049999999999999</v>
      </c>
      <c r="X10" s="147" t="str">
        <f t="shared" ref="X10:X29" si="10">F13</f>
        <v>Business Continuity and Resilience Strategy</v>
      </c>
      <c r="Y10" s="145"/>
      <c r="Z10" s="145"/>
      <c r="AA10" s="145"/>
      <c r="AB10" s="145"/>
      <c r="AC10" s="145"/>
      <c r="AD10" s="145"/>
    </row>
    <row r="11" spans="1:30" ht="18" customHeight="1">
      <c r="A11" s="211" t="s">
        <v>3511</v>
      </c>
      <c r="N11" s="147" t="str">
        <f t="shared" si="0"/>
        <v>Build integrated risk, continuity and resilience control cycle</v>
      </c>
      <c r="O11" s="148" t="str">
        <f t="shared" si="1"/>
        <v>●</v>
      </c>
      <c r="P11" s="160" t="str">
        <f t="shared" si="2"/>
        <v/>
      </c>
      <c r="Q11" s="149" t="str">
        <f t="shared" si="3"/>
        <v/>
      </c>
      <c r="R11" s="150" t="str">
        <f t="shared" si="4"/>
        <v/>
      </c>
      <c r="S11" s="159">
        <f t="shared" si="5"/>
        <v>2.63</v>
      </c>
      <c r="T11" s="159">
        <f t="shared" si="6"/>
        <v>4.5662500000000001</v>
      </c>
      <c r="U11" s="159">
        <f t="shared" si="7"/>
        <v>5</v>
      </c>
      <c r="V11" s="159">
        <f t="shared" si="8"/>
        <v>4.3959333333333337</v>
      </c>
      <c r="W11" s="159">
        <f t="shared" si="9"/>
        <v>3.2794999999999996</v>
      </c>
      <c r="X11" s="147" t="str">
        <f t="shared" si="10"/>
        <v>Governance and Decision-Speed Strategy</v>
      </c>
      <c r="Y11" s="145"/>
      <c r="Z11" s="145"/>
      <c r="AA11" s="145"/>
      <c r="AB11" s="145"/>
      <c r="AC11" s="145"/>
      <c r="AD11" s="145"/>
    </row>
    <row r="12" spans="1:30" ht="18" customHeight="1">
      <c r="A12" s="207" t="s">
        <v>3447</v>
      </c>
      <c r="B12" s="207" t="s">
        <v>3512</v>
      </c>
      <c r="C12" s="207" t="s">
        <v>3500</v>
      </c>
      <c r="D12" s="207" t="s">
        <v>764</v>
      </c>
      <c r="E12" s="207" t="s">
        <v>768</v>
      </c>
      <c r="F12" s="207" t="s">
        <v>3510</v>
      </c>
      <c r="G12" s="207" t="s">
        <v>3513</v>
      </c>
      <c r="H12" s="207" t="s">
        <v>3514</v>
      </c>
      <c r="I12" s="207" t="s">
        <v>3515</v>
      </c>
      <c r="J12" s="207" t="s">
        <v>3516</v>
      </c>
      <c r="K12" s="207" t="s">
        <v>3517</v>
      </c>
      <c r="L12" s="207" t="s">
        <v>3518</v>
      </c>
      <c r="M12" s="207" t="s">
        <v>3519</v>
      </c>
      <c r="N12" s="147" t="str">
        <f t="shared" si="0"/>
        <v>Implement crisis governance, roles and escalation model</v>
      </c>
      <c r="O12" s="148" t="str">
        <f t="shared" si="1"/>
        <v>●</v>
      </c>
      <c r="P12" s="160" t="str">
        <f t="shared" si="2"/>
        <v/>
      </c>
      <c r="Q12" s="149" t="str">
        <f t="shared" si="3"/>
        <v/>
      </c>
      <c r="R12" s="150" t="str">
        <f t="shared" si="4"/>
        <v/>
      </c>
      <c r="S12" s="159">
        <f t="shared" si="5"/>
        <v>2.62</v>
      </c>
      <c r="T12" s="159">
        <f t="shared" si="6"/>
        <v>4.5662500000000001</v>
      </c>
      <c r="U12" s="159">
        <f t="shared" si="7"/>
        <v>5</v>
      </c>
      <c r="V12" s="159">
        <f t="shared" si="8"/>
        <v>4.3569000000000004</v>
      </c>
      <c r="W12" s="159">
        <f t="shared" si="9"/>
        <v>3.2794999999999996</v>
      </c>
      <c r="X12" s="147" t="str">
        <f t="shared" si="10"/>
        <v>Governance and Decision-Speed Strategy</v>
      </c>
      <c r="Y12" s="145"/>
      <c r="Z12" s="145"/>
      <c r="AA12" s="145"/>
      <c r="AB12" s="145"/>
      <c r="AC12" s="145"/>
      <c r="AD12" s="145"/>
    </row>
    <row r="13" spans="1:30" ht="18" customHeight="1">
      <c r="A13" s="227">
        <f>IFERROR(ROWS($A$13:A13),"")</f>
        <v>1</v>
      </c>
      <c r="B13" s="227" t="str">
        <f>IFERROR(INDEX(_ENGINE_Initiatives!$A$5:$A$76,MATCH(ROWS($A$13:A13),_ENGINE_Initiatives!$BW$5:$BW$76,0)),"")</f>
        <v>INI-002</v>
      </c>
      <c r="C13" s="227" t="str">
        <f>IFERROR(INDEX(_ENGINE_Initiatives!$F$5:$F$76,MATCH(ROWS($A$13:A13),_ENGINE_Initiatives!$BW$5:$BW$76,0)),"")</f>
        <v>Build geographic exposure and site continuity model</v>
      </c>
      <c r="D13" s="227" t="str">
        <f>IFERROR(INDEX(_ENGINE_Initiatives!$B$5:$B$76,MATCH(ROWS($A$13:A13),_ENGINE_Initiatives!$BW$5:$BW$76,0)),"")</f>
        <v>Company Geography</v>
      </c>
      <c r="E13" s="227" t="str">
        <f>IFERROR(INDEX(_ENGINE_Initiatives!$C$5:$C$76,MATCH(ROWS($A$13:A13),_ENGINE_Initiatives!$BW$5:$BW$76,0)),"")</f>
        <v>Geographical distribution</v>
      </c>
      <c r="F13" s="227" t="str">
        <f>IFERROR(INDEX(_ENGINE_Initiatives!$D$5:$D$76,MATCH(ROWS($A$13:A13),_ENGINE_Initiatives!$BW$5:$BW$76,0)),"")</f>
        <v>Business Continuity and Resilience Strategy</v>
      </c>
      <c r="G13" s="227" t="str">
        <f>IFERROR(INDEX(_ENGINE_Initiatives!$BX$5:$BX$76,MATCH(ROWS($A$13:A13),_ENGINE_Initiatives!$BW$5:$BW$76,0)),"")</f>
        <v>0-90 days</v>
      </c>
      <c r="H13" s="227">
        <f>IFERROR(INDEX(_ENGINE_Initiatives!$BV$5:$BV$76,MATCH(ROWS($A$13:A13),_ENGINE_Initiatives!$BW$5:$BW$76,0)),"")</f>
        <v>2.64</v>
      </c>
      <c r="I13" s="227">
        <f>IFERROR(INDEX(_ENGINE_Initiatives!$X$5:$X$76,MATCH(ROWS($A$13:A13),_ENGINE_Initiatives!$BW$5:$BW$76,0)),"")</f>
        <v>4.5875000000000004</v>
      </c>
      <c r="J13" s="227">
        <f>IFERROR(INDEX(_ENGINE_Initiatives!$Y$5:$Y$76,MATCH(ROWS($A$13:A13),_ENGINE_Initiatives!$BW$5:$BW$76,0)),"")</f>
        <v>5</v>
      </c>
      <c r="K13" s="227">
        <f>IFERROR(INDEX(_ENGINE_Initiatives!$BD$5:$BD$76,MATCH(ROWS($A$13:A13),_ENGINE_Initiatives!$BW$5:$BW$76,0)),"")</f>
        <v>4.5145999999999997</v>
      </c>
      <c r="L13" s="227">
        <f>IFERROR(INDEX(_ENGINE_Initiatives!$AA$5:$AA$76,MATCH(ROWS($A$13:A13),_ENGINE_Initiatives!$BW$5:$BW$76,0)),"")</f>
        <v>3.0049999999999999</v>
      </c>
      <c r="M13" s="228">
        <f>IF($B13="","",ROUND(SUMIF(_DATA_RiskInitiativeMap!$A$444:$A$867,$B13,_DATA_RiskInitiativeMap!$K$444:$K$867)*_CONFIG_Model_Settings!$B$169,0))</f>
        <v>2494</v>
      </c>
      <c r="N13" s="147" t="str">
        <f t="shared" si="0"/>
        <v>Implement incident command, escalation and after-action review</v>
      </c>
      <c r="O13" s="148" t="str">
        <f t="shared" si="1"/>
        <v>●</v>
      </c>
      <c r="P13" s="160" t="str">
        <f t="shared" si="2"/>
        <v/>
      </c>
      <c r="Q13" s="149" t="str">
        <f t="shared" si="3"/>
        <v/>
      </c>
      <c r="R13" s="150" t="str">
        <f t="shared" si="4"/>
        <v/>
      </c>
      <c r="S13" s="159">
        <f t="shared" si="5"/>
        <v>2.61</v>
      </c>
      <c r="T13" s="159">
        <f t="shared" si="6"/>
        <v>4.5662500000000001</v>
      </c>
      <c r="U13" s="159">
        <f t="shared" si="7"/>
        <v>5</v>
      </c>
      <c r="V13" s="159">
        <f t="shared" si="8"/>
        <v>4.3289666666666671</v>
      </c>
      <c r="W13" s="159">
        <f t="shared" si="9"/>
        <v>3.2794999999999996</v>
      </c>
      <c r="X13" s="147" t="str">
        <f t="shared" si="10"/>
        <v>Governance and Decision-Speed Strategy</v>
      </c>
      <c r="Y13" s="145"/>
      <c r="Z13" s="145"/>
      <c r="AA13" s="145"/>
      <c r="AB13" s="145"/>
      <c r="AC13" s="145"/>
      <c r="AD13" s="145"/>
    </row>
    <row r="14" spans="1:30" ht="18" customHeight="1">
      <c r="A14" s="220">
        <f>IFERROR(ROWS($A$13:A14),"")</f>
        <v>2</v>
      </c>
      <c r="B14" s="220" t="str">
        <f>IFERROR(INDEX(_ENGINE_Initiatives!$A$5:$A$76,MATCH(ROWS($A$13:A14),_ENGINE_Initiatives!$BW$5:$BW$76,0)),"")</f>
        <v>INI-009</v>
      </c>
      <c r="C14" s="220" t="str">
        <f>IFERROR(INDEX(_ENGINE_Initiatives!$F$5:$F$76,MATCH(ROWS($A$13:A14),_ENGINE_Initiatives!$BW$5:$BW$76,0)),"")</f>
        <v>Build integrated risk, continuity and resilience control cycle</v>
      </c>
      <c r="D14" s="220" t="str">
        <f>IFERROR(INDEX(_ENGINE_Initiatives!$B$5:$B$76,MATCH(ROWS($A$13:A14),_ENGINE_Initiatives!$BW$5:$BW$76,0)),"")</f>
        <v>Governance Crisis</v>
      </c>
      <c r="E14" s="220" t="str">
        <f>IFERROR(INDEX(_ENGINE_Initiatives!$C$5:$C$76,MATCH(ROWS($A$13:A14),_ENGINE_Initiatives!$BW$5:$BW$76,0)),"")</f>
        <v>Risk and continuity</v>
      </c>
      <c r="F14" s="220" t="str">
        <f>IFERROR(INDEX(_ENGINE_Initiatives!$D$5:$D$76,MATCH(ROWS($A$13:A14),_ENGINE_Initiatives!$BW$5:$BW$76,0)),"")</f>
        <v>Governance and Decision-Speed Strategy</v>
      </c>
      <c r="G14" s="220" t="str">
        <f>IFERROR(INDEX(_ENGINE_Initiatives!$BX$5:$BX$76,MATCH(ROWS($A$13:A14),_ENGINE_Initiatives!$BW$5:$BW$76,0)),"")</f>
        <v>0-90 days</v>
      </c>
      <c r="H14" s="220">
        <f>IFERROR(INDEX(_ENGINE_Initiatives!$BV$5:$BV$76,MATCH(ROWS($A$13:A14),_ENGINE_Initiatives!$BW$5:$BW$76,0)),"")</f>
        <v>2.63</v>
      </c>
      <c r="I14" s="220">
        <f>IFERROR(INDEX(_ENGINE_Initiatives!$X$5:$X$76,MATCH(ROWS($A$13:A14),_ENGINE_Initiatives!$BW$5:$BW$76,0)),"")</f>
        <v>4.5662500000000001</v>
      </c>
      <c r="J14" s="220">
        <f>IFERROR(INDEX(_ENGINE_Initiatives!$Y$5:$Y$76,MATCH(ROWS($A$13:A14),_ENGINE_Initiatives!$BW$5:$BW$76,0)),"")</f>
        <v>5</v>
      </c>
      <c r="K14" s="220">
        <f>IFERROR(INDEX(_ENGINE_Initiatives!$BD$5:$BD$76,MATCH(ROWS($A$13:A14),_ENGINE_Initiatives!$BW$5:$BW$76,0)),"")</f>
        <v>4.3959333333333337</v>
      </c>
      <c r="L14" s="220">
        <f>IFERROR(INDEX(_ENGINE_Initiatives!$AA$5:$AA$76,MATCH(ROWS($A$13:A14),_ENGINE_Initiatives!$BW$5:$BW$76,0)),"")</f>
        <v>3.2794999999999996</v>
      </c>
      <c r="M14" s="229">
        <f>IF($B14="","",ROUND(SUMIF(_DATA_RiskInitiativeMap!$A$444:$A$867,$B14,_DATA_RiskInitiativeMap!$K$444:$K$867)*_CONFIG_Model_Settings!$B$169,0))</f>
        <v>5206</v>
      </c>
      <c r="N14" s="147" t="str">
        <f t="shared" si="0"/>
        <v>Implement compliance obligation monitoring and crisis legal controls</v>
      </c>
      <c r="O14" s="148" t="str">
        <f t="shared" si="1"/>
        <v>●</v>
      </c>
      <c r="P14" s="160" t="str">
        <f t="shared" si="2"/>
        <v/>
      </c>
      <c r="Q14" s="149" t="str">
        <f t="shared" si="3"/>
        <v/>
      </c>
      <c r="R14" s="150" t="str">
        <f t="shared" si="4"/>
        <v/>
      </c>
      <c r="S14" s="159">
        <f t="shared" si="5"/>
        <v>2.61</v>
      </c>
      <c r="T14" s="159">
        <f t="shared" si="6"/>
        <v>4.6124999999999998</v>
      </c>
      <c r="U14" s="159">
        <f t="shared" si="7"/>
        <v>5</v>
      </c>
      <c r="V14" s="159">
        <f t="shared" si="8"/>
        <v>4.2796000000000003</v>
      </c>
      <c r="W14" s="159">
        <f t="shared" si="9"/>
        <v>3.335</v>
      </c>
      <c r="X14" s="147" t="str">
        <f t="shared" si="10"/>
        <v>Compliance and Risk Control Strategy</v>
      </c>
      <c r="Y14" s="145"/>
      <c r="Z14" s="145"/>
      <c r="AA14" s="145"/>
      <c r="AB14" s="145"/>
      <c r="AC14" s="145"/>
      <c r="AD14" s="145"/>
    </row>
    <row r="15" spans="1:30" ht="18" customHeight="1">
      <c r="A15" s="227">
        <f>IFERROR(ROWS($A$13:A15),"")</f>
        <v>3</v>
      </c>
      <c r="B15" s="227" t="str">
        <f>IFERROR(INDEX(_ENGINE_Initiatives!$A$5:$A$76,MATCH(ROWS($A$13:A15),_ENGINE_Initiatives!$BW$5:$BW$76,0)),"")</f>
        <v>INI-008</v>
      </c>
      <c r="C15" s="227" t="str">
        <f>IFERROR(INDEX(_ENGINE_Initiatives!$F$5:$F$76,MATCH(ROWS($A$13:A15),_ENGINE_Initiatives!$BW$5:$BW$76,0)),"")</f>
        <v>Implement crisis governance, roles and escalation model</v>
      </c>
      <c r="D15" s="227" t="str">
        <f>IFERROR(INDEX(_ENGINE_Initiatives!$B$5:$B$76,MATCH(ROWS($A$13:A15),_ENGINE_Initiatives!$BW$5:$BW$76,0)),"")</f>
        <v>Governance Crisis</v>
      </c>
      <c r="E15" s="227" t="str">
        <f>IFERROR(INDEX(_ENGINE_Initiatives!$C$5:$C$76,MATCH(ROWS($A$13:A15),_ENGINE_Initiatives!$BW$5:$BW$76,0)),"")</f>
        <v>Crisis governance</v>
      </c>
      <c r="F15" s="227" t="str">
        <f>IFERROR(INDEX(_ENGINE_Initiatives!$D$5:$D$76,MATCH(ROWS($A$13:A15),_ENGINE_Initiatives!$BW$5:$BW$76,0)),"")</f>
        <v>Governance and Decision-Speed Strategy</v>
      </c>
      <c r="G15" s="227" t="str">
        <f>IFERROR(INDEX(_ENGINE_Initiatives!$BX$5:$BX$76,MATCH(ROWS($A$13:A15),_ENGINE_Initiatives!$BW$5:$BW$76,0)),"")</f>
        <v>0-90 days</v>
      </c>
      <c r="H15" s="227">
        <f>IFERROR(INDEX(_ENGINE_Initiatives!$BV$5:$BV$76,MATCH(ROWS($A$13:A15),_ENGINE_Initiatives!$BW$5:$BW$76,0)),"")</f>
        <v>2.62</v>
      </c>
      <c r="I15" s="227">
        <f>IFERROR(INDEX(_ENGINE_Initiatives!$X$5:$X$76,MATCH(ROWS($A$13:A15),_ENGINE_Initiatives!$BW$5:$BW$76,0)),"")</f>
        <v>4.5662500000000001</v>
      </c>
      <c r="J15" s="227">
        <f>IFERROR(INDEX(_ENGINE_Initiatives!$Y$5:$Y$76,MATCH(ROWS($A$13:A15),_ENGINE_Initiatives!$BW$5:$BW$76,0)),"")</f>
        <v>5</v>
      </c>
      <c r="K15" s="227">
        <f>IFERROR(INDEX(_ENGINE_Initiatives!$BD$5:$BD$76,MATCH(ROWS($A$13:A15),_ENGINE_Initiatives!$BW$5:$BW$76,0)),"")</f>
        <v>4.3569000000000004</v>
      </c>
      <c r="L15" s="227">
        <f>IFERROR(INDEX(_ENGINE_Initiatives!$AA$5:$AA$76,MATCH(ROWS($A$13:A15),_ENGINE_Initiatives!$BW$5:$BW$76,0)),"")</f>
        <v>3.2794999999999996</v>
      </c>
      <c r="M15" s="228">
        <f>IF($B15="","",ROUND(SUMIF(_DATA_RiskInitiativeMap!$A$444:$A$867,$B15,_DATA_RiskInitiativeMap!$K$444:$K$867)*_CONFIG_Model_Settings!$B$169,0))</f>
        <v>3894</v>
      </c>
      <c r="N15" s="147" t="str">
        <f t="shared" si="0"/>
        <v>Build contract register, obligations and force-majeure response model</v>
      </c>
      <c r="O15" s="148" t="str">
        <f t="shared" si="1"/>
        <v>●</v>
      </c>
      <c r="P15" s="160" t="str">
        <f t="shared" si="2"/>
        <v/>
      </c>
      <c r="Q15" s="149" t="str">
        <f t="shared" si="3"/>
        <v/>
      </c>
      <c r="R15" s="150" t="str">
        <f t="shared" si="4"/>
        <v/>
      </c>
      <c r="S15" s="159">
        <f t="shared" si="5"/>
        <v>2.6</v>
      </c>
      <c r="T15" s="159">
        <f t="shared" si="6"/>
        <v>4.6124999999999998</v>
      </c>
      <c r="U15" s="159">
        <f t="shared" si="7"/>
        <v>5</v>
      </c>
      <c r="V15" s="159">
        <f t="shared" si="8"/>
        <v>4.2452000000000005</v>
      </c>
      <c r="W15" s="159">
        <f t="shared" si="9"/>
        <v>3.335</v>
      </c>
      <c r="X15" s="147" t="str">
        <f t="shared" si="10"/>
        <v>Compliance and Risk Control Strategy</v>
      </c>
      <c r="Y15" s="145"/>
      <c r="Z15" s="145"/>
      <c r="AA15" s="145"/>
      <c r="AB15" s="145"/>
      <c r="AC15" s="145"/>
      <c r="AD15" s="145"/>
    </row>
    <row r="16" spans="1:30" ht="18" customHeight="1">
      <c r="A16" s="220">
        <f>IFERROR(ROWS($A$13:A16),"")</f>
        <v>4</v>
      </c>
      <c r="B16" s="220" t="str">
        <f>IFERROR(INDEX(_ENGINE_Initiatives!$A$5:$A$76,MATCH(ROWS($A$13:A16),_ENGINE_Initiatives!$BW$5:$BW$76,0)),"")</f>
        <v>INI-010</v>
      </c>
      <c r="C16" s="220" t="str">
        <f>IFERROR(INDEX(_ENGINE_Initiatives!$F$5:$F$76,MATCH(ROWS($A$13:A16),_ENGINE_Initiatives!$BW$5:$BW$76,0)),"")</f>
        <v>Implement incident command, escalation and after-action review</v>
      </c>
      <c r="D16" s="220" t="str">
        <f>IFERROR(INDEX(_ENGINE_Initiatives!$B$5:$B$76,MATCH(ROWS($A$13:A16),_ENGINE_Initiatives!$BW$5:$BW$76,0)),"")</f>
        <v>Governance Crisis</v>
      </c>
      <c r="E16" s="220" t="str">
        <f>IFERROR(INDEX(_ENGINE_Initiatives!$C$5:$C$76,MATCH(ROWS($A$13:A16),_ENGINE_Initiatives!$BW$5:$BW$76,0)),"")</f>
        <v>Incident management</v>
      </c>
      <c r="F16" s="220" t="str">
        <f>IFERROR(INDEX(_ENGINE_Initiatives!$D$5:$D$76,MATCH(ROWS($A$13:A16),_ENGINE_Initiatives!$BW$5:$BW$76,0)),"")</f>
        <v>Governance and Decision-Speed Strategy</v>
      </c>
      <c r="G16" s="220" t="str">
        <f>IFERROR(INDEX(_ENGINE_Initiatives!$BX$5:$BX$76,MATCH(ROWS($A$13:A16),_ENGINE_Initiatives!$BW$5:$BW$76,0)),"")</f>
        <v>0-90 days</v>
      </c>
      <c r="H16" s="220">
        <f>IFERROR(INDEX(_ENGINE_Initiatives!$BV$5:$BV$76,MATCH(ROWS($A$13:A16),_ENGINE_Initiatives!$BW$5:$BW$76,0)),"")</f>
        <v>2.61</v>
      </c>
      <c r="I16" s="220">
        <f>IFERROR(INDEX(_ENGINE_Initiatives!$X$5:$X$76,MATCH(ROWS($A$13:A16),_ENGINE_Initiatives!$BW$5:$BW$76,0)),"")</f>
        <v>4.5662500000000001</v>
      </c>
      <c r="J16" s="220">
        <f>IFERROR(INDEX(_ENGINE_Initiatives!$Y$5:$Y$76,MATCH(ROWS($A$13:A16),_ENGINE_Initiatives!$BW$5:$BW$76,0)),"")</f>
        <v>5</v>
      </c>
      <c r="K16" s="220">
        <f>IFERROR(INDEX(_ENGINE_Initiatives!$BD$5:$BD$76,MATCH(ROWS($A$13:A16),_ENGINE_Initiatives!$BW$5:$BW$76,0)),"")</f>
        <v>4.3289666666666671</v>
      </c>
      <c r="L16" s="220">
        <f>IFERROR(INDEX(_ENGINE_Initiatives!$AA$5:$AA$76,MATCH(ROWS($A$13:A16),_ENGINE_Initiatives!$BW$5:$BW$76,0)),"")</f>
        <v>3.2794999999999996</v>
      </c>
      <c r="M16" s="229">
        <f>IF($B16="","",ROUND(SUMIF(_DATA_RiskInitiativeMap!$A$444:$A$867,$B16,_DATA_RiskInitiativeMap!$K$444:$K$867)*_CONFIG_Model_Settings!$B$169,0))</f>
        <v>3588</v>
      </c>
      <c r="N16" s="147" t="str">
        <f t="shared" si="0"/>
        <v>Strengthen data, IP and confidentiality legal safeguards</v>
      </c>
      <c r="O16" s="148" t="str">
        <f t="shared" si="1"/>
        <v>●</v>
      </c>
      <c r="P16" s="160" t="str">
        <f t="shared" si="2"/>
        <v/>
      </c>
      <c r="Q16" s="149" t="str">
        <f t="shared" si="3"/>
        <v/>
      </c>
      <c r="R16" s="150" t="str">
        <f t="shared" si="4"/>
        <v/>
      </c>
      <c r="S16" s="159">
        <f t="shared" si="5"/>
        <v>2.6</v>
      </c>
      <c r="T16" s="159">
        <f t="shared" si="6"/>
        <v>4.6124999999999998</v>
      </c>
      <c r="U16" s="159">
        <f t="shared" si="7"/>
        <v>5</v>
      </c>
      <c r="V16" s="159">
        <f t="shared" si="8"/>
        <v>4.2452000000000005</v>
      </c>
      <c r="W16" s="159">
        <f t="shared" si="9"/>
        <v>3.335</v>
      </c>
      <c r="X16" s="147" t="str">
        <f t="shared" si="10"/>
        <v>Compliance and Risk Control Strategy</v>
      </c>
      <c r="Y16" s="145"/>
      <c r="Z16" s="145"/>
      <c r="AA16" s="145"/>
      <c r="AB16" s="145"/>
      <c r="AC16" s="145"/>
      <c r="AD16" s="145"/>
    </row>
    <row r="17" spans="1:30" ht="18" customHeight="1">
      <c r="A17" s="227">
        <f>IFERROR(ROWS($A$13:A17),"")</f>
        <v>5</v>
      </c>
      <c r="B17" s="227" t="str">
        <f>IFERROR(INDEX(_ENGINE_Initiatives!$A$5:$A$76,MATCH(ROWS($A$13:A17),_ENGINE_Initiatives!$BW$5:$BW$76,0)),"")</f>
        <v>INI-019</v>
      </c>
      <c r="C17" s="227" t="str">
        <f>IFERROR(INDEX(_ENGINE_Initiatives!$F$5:$F$76,MATCH(ROWS($A$13:A17),_ENGINE_Initiatives!$BW$5:$BW$76,0)),"")</f>
        <v>Implement compliance obligation monitoring and crisis legal controls</v>
      </c>
      <c r="D17" s="227" t="str">
        <f>IFERROR(INDEX(_ENGINE_Initiatives!$B$5:$B$76,MATCH(ROWS($A$13:A17),_ENGINE_Initiatives!$BW$5:$BW$76,0)),"")</f>
        <v>Legal Risk</v>
      </c>
      <c r="E17" s="227" t="str">
        <f>IFERROR(INDEX(_ENGINE_Initiatives!$C$5:$C$76,MATCH(ROWS($A$13:A17),_ENGINE_Initiatives!$BW$5:$BW$76,0)),"")</f>
        <v>Compliance</v>
      </c>
      <c r="F17" s="227" t="str">
        <f>IFERROR(INDEX(_ENGINE_Initiatives!$D$5:$D$76,MATCH(ROWS($A$13:A17),_ENGINE_Initiatives!$BW$5:$BW$76,0)),"")</f>
        <v>Compliance and Risk Control Strategy</v>
      </c>
      <c r="G17" s="227" t="str">
        <f>IFERROR(INDEX(_ENGINE_Initiatives!$BX$5:$BX$76,MATCH(ROWS($A$13:A17),_ENGINE_Initiatives!$BW$5:$BW$76,0)),"")</f>
        <v>0-90 days</v>
      </c>
      <c r="H17" s="227">
        <f>IFERROR(INDEX(_ENGINE_Initiatives!$BV$5:$BV$76,MATCH(ROWS($A$13:A17),_ENGINE_Initiatives!$BW$5:$BW$76,0)),"")</f>
        <v>2.61</v>
      </c>
      <c r="I17" s="227">
        <f>IFERROR(INDEX(_ENGINE_Initiatives!$X$5:$X$76,MATCH(ROWS($A$13:A17),_ENGINE_Initiatives!$BW$5:$BW$76,0)),"")</f>
        <v>4.6124999999999998</v>
      </c>
      <c r="J17" s="227">
        <f>IFERROR(INDEX(_ENGINE_Initiatives!$Y$5:$Y$76,MATCH(ROWS($A$13:A17),_ENGINE_Initiatives!$BW$5:$BW$76,0)),"")</f>
        <v>5</v>
      </c>
      <c r="K17" s="227">
        <f>IFERROR(INDEX(_ENGINE_Initiatives!$BD$5:$BD$76,MATCH(ROWS($A$13:A17),_ENGINE_Initiatives!$BW$5:$BW$76,0)),"")</f>
        <v>4.2796000000000003</v>
      </c>
      <c r="L17" s="227">
        <f>IFERROR(INDEX(_ENGINE_Initiatives!$AA$5:$AA$76,MATCH(ROWS($A$13:A17),_ENGINE_Initiatives!$BW$5:$BW$76,0)),"")</f>
        <v>3.335</v>
      </c>
      <c r="M17" s="228">
        <f>IF($B17="","",ROUND(SUMIF(_DATA_RiskInitiativeMap!$A$444:$A$867,$B17,_DATA_RiskInitiativeMap!$K$444:$K$867)*_CONFIG_Model_Settings!$B$169,0))</f>
        <v>4594</v>
      </c>
      <c r="N17" s="147" t="str">
        <f t="shared" si="0"/>
        <v>Create company context, entity and operating model register</v>
      </c>
      <c r="O17" s="148" t="str">
        <f t="shared" si="1"/>
        <v>●</v>
      </c>
      <c r="P17" s="160" t="str">
        <f t="shared" si="2"/>
        <v/>
      </c>
      <c r="Q17" s="149" t="str">
        <f t="shared" si="3"/>
        <v/>
      </c>
      <c r="R17" s="150" t="str">
        <f t="shared" si="4"/>
        <v/>
      </c>
      <c r="S17" s="159">
        <f t="shared" si="5"/>
        <v>2.59</v>
      </c>
      <c r="T17" s="159">
        <f t="shared" si="6"/>
        <v>4.5875000000000004</v>
      </c>
      <c r="U17" s="159">
        <f t="shared" si="7"/>
        <v>5</v>
      </c>
      <c r="V17" s="159">
        <f t="shared" si="8"/>
        <v>4.2881999999999998</v>
      </c>
      <c r="W17" s="159">
        <f t="shared" si="9"/>
        <v>3.0049999999999999</v>
      </c>
      <c r="X17" s="147" t="str">
        <f t="shared" si="10"/>
        <v>Business Continuity and Resilience Strategy</v>
      </c>
      <c r="Y17" s="145"/>
      <c r="Z17" s="145"/>
      <c r="AA17" s="145"/>
      <c r="AB17" s="145"/>
      <c r="AC17" s="145"/>
      <c r="AD17" s="145"/>
    </row>
    <row r="18" spans="1:30" ht="18" customHeight="1">
      <c r="A18" s="220">
        <f>IFERROR(ROWS($A$13:A18),"")</f>
        <v>6</v>
      </c>
      <c r="B18" s="220" t="str">
        <f>IFERROR(INDEX(_ENGINE_Initiatives!$A$5:$A$76,MATCH(ROWS($A$13:A18),_ENGINE_Initiatives!$BW$5:$BW$76,0)),"")</f>
        <v>INI-020</v>
      </c>
      <c r="C18" s="220" t="str">
        <f>IFERROR(INDEX(_ENGINE_Initiatives!$F$5:$F$76,MATCH(ROWS($A$13:A18),_ENGINE_Initiatives!$BW$5:$BW$76,0)),"")</f>
        <v>Build contract register, obligations and force-majeure response model</v>
      </c>
      <c r="D18" s="220" t="str">
        <f>IFERROR(INDEX(_ENGINE_Initiatives!$B$5:$B$76,MATCH(ROWS($A$13:A18),_ENGINE_Initiatives!$BW$5:$BW$76,0)),"")</f>
        <v>Legal Risk</v>
      </c>
      <c r="E18" s="220" t="str">
        <f>IFERROR(INDEX(_ENGINE_Initiatives!$C$5:$C$76,MATCH(ROWS($A$13:A18),_ENGINE_Initiatives!$BW$5:$BW$76,0)),"")</f>
        <v>Contracts</v>
      </c>
      <c r="F18" s="220" t="str">
        <f>IFERROR(INDEX(_ENGINE_Initiatives!$D$5:$D$76,MATCH(ROWS($A$13:A18),_ENGINE_Initiatives!$BW$5:$BW$76,0)),"")</f>
        <v>Compliance and Risk Control Strategy</v>
      </c>
      <c r="G18" s="220" t="str">
        <f>IFERROR(INDEX(_ENGINE_Initiatives!$BX$5:$BX$76,MATCH(ROWS($A$13:A18),_ENGINE_Initiatives!$BW$5:$BW$76,0)),"")</f>
        <v>0-90 days</v>
      </c>
      <c r="H18" s="220">
        <f>IFERROR(INDEX(_ENGINE_Initiatives!$BV$5:$BV$76,MATCH(ROWS($A$13:A18),_ENGINE_Initiatives!$BW$5:$BW$76,0)),"")</f>
        <v>2.6</v>
      </c>
      <c r="I18" s="220">
        <f>IFERROR(INDEX(_ENGINE_Initiatives!$X$5:$X$76,MATCH(ROWS($A$13:A18),_ENGINE_Initiatives!$BW$5:$BW$76,0)),"")</f>
        <v>4.6124999999999998</v>
      </c>
      <c r="J18" s="220">
        <f>IFERROR(INDEX(_ENGINE_Initiatives!$Y$5:$Y$76,MATCH(ROWS($A$13:A18),_ENGINE_Initiatives!$BW$5:$BW$76,0)),"")</f>
        <v>5</v>
      </c>
      <c r="K18" s="220">
        <f>IFERROR(INDEX(_ENGINE_Initiatives!$BD$5:$BD$76,MATCH(ROWS($A$13:A18),_ENGINE_Initiatives!$BW$5:$BW$76,0)),"")</f>
        <v>4.2452000000000005</v>
      </c>
      <c r="L18" s="220">
        <f>IFERROR(INDEX(_ENGINE_Initiatives!$AA$5:$AA$76,MATCH(ROWS($A$13:A18),_ENGINE_Initiatives!$BW$5:$BW$76,0)),"")</f>
        <v>3.335</v>
      </c>
      <c r="M18" s="229">
        <f>IF($B18="","",ROUND(SUMIF(_DATA_RiskInitiativeMap!$A$444:$A$867,$B18,_DATA_RiskInitiativeMap!$K$444:$K$867)*_CONFIG_Model_Settings!$B$169,0))</f>
        <v>3938</v>
      </c>
      <c r="N18" s="147" t="str">
        <f t="shared" si="0"/>
        <v>Strengthen quality management and audit readiness</v>
      </c>
      <c r="O18" s="148" t="str">
        <f t="shared" si="1"/>
        <v>●</v>
      </c>
      <c r="P18" s="160" t="str">
        <f t="shared" si="2"/>
        <v/>
      </c>
      <c r="Q18" s="149" t="str">
        <f t="shared" si="3"/>
        <v/>
      </c>
      <c r="R18" s="150" t="str">
        <f t="shared" si="4"/>
        <v/>
      </c>
      <c r="S18" s="159">
        <f t="shared" si="5"/>
        <v>2.59</v>
      </c>
      <c r="T18" s="159">
        <f t="shared" si="6"/>
        <v>4.6112500000000001</v>
      </c>
      <c r="U18" s="159">
        <f t="shared" si="7"/>
        <v>5</v>
      </c>
      <c r="V18" s="159">
        <f t="shared" si="8"/>
        <v>3.9603000000000002</v>
      </c>
      <c r="W18" s="159">
        <f t="shared" si="9"/>
        <v>4.1334999999999997</v>
      </c>
      <c r="X18" s="147" t="str">
        <f t="shared" si="10"/>
        <v>Operational Excellence and Automation Strategy</v>
      </c>
      <c r="Y18" s="145"/>
      <c r="Z18" s="145"/>
      <c r="AA18" s="145"/>
      <c r="AB18" s="145"/>
      <c r="AC18" s="145"/>
      <c r="AD18" s="145"/>
    </row>
    <row r="19" spans="1:30" ht="18" customHeight="1">
      <c r="A19" s="227">
        <f>IFERROR(ROWS($A$13:A19),"")</f>
        <v>7</v>
      </c>
      <c r="B19" s="227" t="str">
        <f>IFERROR(INDEX(_ENGINE_Initiatives!$A$5:$A$76,MATCH(ROWS($A$13:A19),_ENGINE_Initiatives!$BW$5:$BW$76,0)),"")</f>
        <v>INI-021</v>
      </c>
      <c r="C19" s="227" t="str">
        <f>IFERROR(INDEX(_ENGINE_Initiatives!$F$5:$F$76,MATCH(ROWS($A$13:A19),_ENGINE_Initiatives!$BW$5:$BW$76,0)),"")</f>
        <v>Strengthen data, IP and confidentiality legal safeguards</v>
      </c>
      <c r="D19" s="227" t="str">
        <f>IFERROR(INDEX(_ENGINE_Initiatives!$B$5:$B$76,MATCH(ROWS($A$13:A19),_ENGINE_Initiatives!$BW$5:$BW$76,0)),"")</f>
        <v>Legal Risk</v>
      </c>
      <c r="E19" s="227" t="str">
        <f>IFERROR(INDEX(_ENGINE_Initiatives!$C$5:$C$76,MATCH(ROWS($A$13:A19),_ENGINE_Initiatives!$BW$5:$BW$76,0)),"")</f>
        <v>Data and IP</v>
      </c>
      <c r="F19" s="227" t="str">
        <f>IFERROR(INDEX(_ENGINE_Initiatives!$D$5:$D$76,MATCH(ROWS($A$13:A19),_ENGINE_Initiatives!$BW$5:$BW$76,0)),"")</f>
        <v>Compliance and Risk Control Strategy</v>
      </c>
      <c r="G19" s="227" t="str">
        <f>IFERROR(INDEX(_ENGINE_Initiatives!$BX$5:$BX$76,MATCH(ROWS($A$13:A19),_ENGINE_Initiatives!$BW$5:$BW$76,0)),"")</f>
        <v>0-90 days</v>
      </c>
      <c r="H19" s="227">
        <f>IFERROR(INDEX(_ENGINE_Initiatives!$BV$5:$BV$76,MATCH(ROWS($A$13:A19),_ENGINE_Initiatives!$BW$5:$BW$76,0)),"")</f>
        <v>2.6</v>
      </c>
      <c r="I19" s="227">
        <f>IFERROR(INDEX(_ENGINE_Initiatives!$X$5:$X$76,MATCH(ROWS($A$13:A19),_ENGINE_Initiatives!$BW$5:$BW$76,0)),"")</f>
        <v>4.6124999999999998</v>
      </c>
      <c r="J19" s="227">
        <f>IFERROR(INDEX(_ENGINE_Initiatives!$Y$5:$Y$76,MATCH(ROWS($A$13:A19),_ENGINE_Initiatives!$BW$5:$BW$76,0)),"")</f>
        <v>5</v>
      </c>
      <c r="K19" s="227">
        <f>IFERROR(INDEX(_ENGINE_Initiatives!$BD$5:$BD$76,MATCH(ROWS($A$13:A19),_ENGINE_Initiatives!$BW$5:$BW$76,0)),"")</f>
        <v>4.2452000000000005</v>
      </c>
      <c r="L19" s="227">
        <f>IFERROR(INDEX(_ENGINE_Initiatives!$AA$5:$AA$76,MATCH(ROWS($A$13:A19),_ENGINE_Initiatives!$BW$5:$BW$76,0)),"")</f>
        <v>3.335</v>
      </c>
      <c r="M19" s="228">
        <f>IF($B19="","",ROUND(SUMIF(_DATA_RiskInitiativeMap!$A$444:$A$867,$B19,_DATA_RiskInitiativeMap!$K$444:$K$867)*_CONFIG_Model_Settings!$B$169,0))</f>
        <v>3938</v>
      </c>
      <c r="N19" s="147" t="str">
        <f t="shared" si="0"/>
        <v>Map critical business dependencies and external exposures</v>
      </c>
      <c r="O19" s="148" t="str">
        <f t="shared" si="1"/>
        <v>●</v>
      </c>
      <c r="P19" s="160" t="str">
        <f t="shared" si="2"/>
        <v/>
      </c>
      <c r="Q19" s="149" t="str">
        <f t="shared" si="3"/>
        <v/>
      </c>
      <c r="R19" s="150" t="str">
        <f t="shared" si="4"/>
        <v/>
      </c>
      <c r="S19" s="159">
        <f t="shared" si="5"/>
        <v>2.58</v>
      </c>
      <c r="T19" s="159">
        <f t="shared" si="6"/>
        <v>4.5875000000000004</v>
      </c>
      <c r="U19" s="159">
        <f t="shared" si="7"/>
        <v>5</v>
      </c>
      <c r="V19" s="159">
        <f t="shared" si="8"/>
        <v>4.218</v>
      </c>
      <c r="W19" s="159">
        <f t="shared" si="9"/>
        <v>3.0049999999999999</v>
      </c>
      <c r="X19" s="147" t="str">
        <f t="shared" si="10"/>
        <v>Business Continuity and Resilience Strategy</v>
      </c>
      <c r="Y19" s="145"/>
      <c r="Z19" s="145"/>
      <c r="AA19" s="145"/>
      <c r="AB19" s="145"/>
      <c r="AC19" s="145"/>
      <c r="AD19" s="145"/>
    </row>
    <row r="20" spans="1:30" ht="18" customHeight="1">
      <c r="A20" s="220">
        <f>IFERROR(ROWS($A$13:A20),"")</f>
        <v>8</v>
      </c>
      <c r="B20" s="220" t="str">
        <f>IFERROR(INDEX(_ENGINE_Initiatives!$A$5:$A$76,MATCH(ROWS($A$13:A20),_ENGINE_Initiatives!$BW$5:$BW$76,0)),"")</f>
        <v>INI-001</v>
      </c>
      <c r="C20" s="220" t="str">
        <f>IFERROR(INDEX(_ENGINE_Initiatives!$F$5:$F$76,MATCH(ROWS($A$13:A20),_ENGINE_Initiatives!$BW$5:$BW$76,0)),"")</f>
        <v>Create company context, entity and operating model register</v>
      </c>
      <c r="D20" s="220" t="str">
        <f>IFERROR(INDEX(_ENGINE_Initiatives!$B$5:$B$76,MATCH(ROWS($A$13:A20),_ENGINE_Initiatives!$BW$5:$BW$76,0)),"")</f>
        <v>Company Geography</v>
      </c>
      <c r="E20" s="220" t="str">
        <f>IFERROR(INDEX(_ENGINE_Initiatives!$C$5:$C$76,MATCH(ROWS($A$13:A20),_ENGINE_Initiatives!$BW$5:$BW$76,0)),"")</f>
        <v>Company profile</v>
      </c>
      <c r="F20" s="220" t="str">
        <f>IFERROR(INDEX(_ENGINE_Initiatives!$D$5:$D$76,MATCH(ROWS($A$13:A20),_ENGINE_Initiatives!$BW$5:$BW$76,0)),"")</f>
        <v>Business Continuity and Resilience Strategy</v>
      </c>
      <c r="G20" s="220" t="str">
        <f>IFERROR(INDEX(_ENGINE_Initiatives!$BX$5:$BX$76,MATCH(ROWS($A$13:A20),_ENGINE_Initiatives!$BW$5:$BW$76,0)),"")</f>
        <v>0-90 days</v>
      </c>
      <c r="H20" s="220">
        <f>IFERROR(INDEX(_ENGINE_Initiatives!$BV$5:$BV$76,MATCH(ROWS($A$13:A20),_ENGINE_Initiatives!$BW$5:$BW$76,0)),"")</f>
        <v>2.59</v>
      </c>
      <c r="I20" s="220">
        <f>IFERROR(INDEX(_ENGINE_Initiatives!$X$5:$X$76,MATCH(ROWS($A$13:A20),_ENGINE_Initiatives!$BW$5:$BW$76,0)),"")</f>
        <v>4.5875000000000004</v>
      </c>
      <c r="J20" s="220">
        <f>IFERROR(INDEX(_ENGINE_Initiatives!$Y$5:$Y$76,MATCH(ROWS($A$13:A20),_ENGINE_Initiatives!$BW$5:$BW$76,0)),"")</f>
        <v>5</v>
      </c>
      <c r="K20" s="220">
        <f>IFERROR(INDEX(_ENGINE_Initiatives!$BD$5:$BD$76,MATCH(ROWS($A$13:A20),_ENGINE_Initiatives!$BW$5:$BW$76,0)),"")</f>
        <v>4.2881999999999998</v>
      </c>
      <c r="L20" s="220">
        <f>IFERROR(INDEX(_ENGINE_Initiatives!$AA$5:$AA$76,MATCH(ROWS($A$13:A20),_ENGINE_Initiatives!$BW$5:$BW$76,0)),"")</f>
        <v>3.0049999999999999</v>
      </c>
      <c r="M20" s="229">
        <f>IF($B20="","",ROUND(SUMIF(_DATA_RiskInitiativeMap!$A$444:$A$867,$B20,_DATA_RiskInitiativeMap!$K$444:$K$867)*_CONFIG_Model_Settings!$B$169,0))</f>
        <v>2844</v>
      </c>
      <c r="N20" s="147" t="str">
        <f t="shared" si="0"/>
        <v>Build process ownership, SOP and continuous-improvement model</v>
      </c>
      <c r="O20" s="148" t="str">
        <f t="shared" si="1"/>
        <v>●</v>
      </c>
      <c r="P20" s="160" t="str">
        <f t="shared" si="2"/>
        <v/>
      </c>
      <c r="Q20" s="149" t="str">
        <f t="shared" si="3"/>
        <v/>
      </c>
      <c r="R20" s="150" t="str">
        <f t="shared" si="4"/>
        <v/>
      </c>
      <c r="S20" s="159">
        <f t="shared" si="5"/>
        <v>2.54</v>
      </c>
      <c r="T20" s="159">
        <f t="shared" si="6"/>
        <v>4.6112500000000001</v>
      </c>
      <c r="U20" s="159">
        <f t="shared" si="7"/>
        <v>4.7</v>
      </c>
      <c r="V20" s="159">
        <f t="shared" si="8"/>
        <v>3.9513750000000001</v>
      </c>
      <c r="W20" s="159">
        <f t="shared" si="9"/>
        <v>4.1334999999999997</v>
      </c>
      <c r="X20" s="147" t="str">
        <f t="shared" si="10"/>
        <v>Operational Excellence and Automation Strategy</v>
      </c>
      <c r="Y20" s="145"/>
      <c r="Z20" s="145"/>
      <c r="AA20" s="145"/>
      <c r="AB20" s="145"/>
      <c r="AC20" s="145"/>
      <c r="AD20" s="145"/>
    </row>
    <row r="21" spans="1:30" ht="18" customHeight="1">
      <c r="A21" s="227">
        <f>IFERROR(ROWS($A$13:A21),"")</f>
        <v>9</v>
      </c>
      <c r="B21" s="227" t="str">
        <f>IFERROR(INDEX(_ENGINE_Initiatives!$A$5:$A$76,MATCH(ROWS($A$13:A21),_ENGINE_Initiatives!$BW$5:$BW$76,0)),"")</f>
        <v>INI-070</v>
      </c>
      <c r="C21" s="227" t="str">
        <f>IFERROR(INDEX(_ENGINE_Initiatives!$F$5:$F$76,MATCH(ROWS($A$13:A21),_ENGINE_Initiatives!$BW$5:$BW$76,0)),"")</f>
        <v>Strengthen quality management and audit readiness</v>
      </c>
      <c r="D21" s="227" t="str">
        <f>IFERROR(INDEX(_ENGINE_Initiatives!$B$5:$B$76,MATCH(ROWS($A$13:A21),_ENGINE_Initiatives!$BW$5:$BW$76,0)),"")</f>
        <v>Quality Portfolio</v>
      </c>
      <c r="E21" s="227" t="str">
        <f>IFERROR(INDEX(_ENGINE_Initiatives!$C$5:$C$76,MATCH(ROWS($A$13:A21),_ENGINE_Initiatives!$BW$5:$BW$76,0)),"")</f>
        <v>Quality management</v>
      </c>
      <c r="F21" s="227" t="str">
        <f>IFERROR(INDEX(_ENGINE_Initiatives!$D$5:$D$76,MATCH(ROWS($A$13:A21),_ENGINE_Initiatives!$BW$5:$BW$76,0)),"")</f>
        <v>Operational Excellence and Automation Strategy</v>
      </c>
      <c r="G21" s="227" t="str">
        <f>IFERROR(INDEX(_ENGINE_Initiatives!$BX$5:$BX$76,MATCH(ROWS($A$13:A21),_ENGINE_Initiatives!$BW$5:$BW$76,0)),"")</f>
        <v>0-90 days</v>
      </c>
      <c r="H21" s="227">
        <f>IFERROR(INDEX(_ENGINE_Initiatives!$BV$5:$BV$76,MATCH(ROWS($A$13:A21),_ENGINE_Initiatives!$BW$5:$BW$76,0)),"")</f>
        <v>2.59</v>
      </c>
      <c r="I21" s="227">
        <f>IFERROR(INDEX(_ENGINE_Initiatives!$X$5:$X$76,MATCH(ROWS($A$13:A21),_ENGINE_Initiatives!$BW$5:$BW$76,0)),"")</f>
        <v>4.6112500000000001</v>
      </c>
      <c r="J21" s="227">
        <f>IFERROR(INDEX(_ENGINE_Initiatives!$Y$5:$Y$76,MATCH(ROWS($A$13:A21),_ENGINE_Initiatives!$BW$5:$BW$76,0)),"")</f>
        <v>5</v>
      </c>
      <c r="K21" s="227">
        <f>IFERROR(INDEX(_ENGINE_Initiatives!$BD$5:$BD$76,MATCH(ROWS($A$13:A21),_ENGINE_Initiatives!$BW$5:$BW$76,0)),"")</f>
        <v>3.9603000000000002</v>
      </c>
      <c r="L21" s="227">
        <f>IFERROR(INDEX(_ENGINE_Initiatives!$AA$5:$AA$76,MATCH(ROWS($A$13:A21),_ENGINE_Initiatives!$BW$5:$BW$76,0)),"")</f>
        <v>4.1334999999999997</v>
      </c>
      <c r="M21" s="228">
        <f>IF($B21="","",ROUND(SUMIF(_DATA_RiskInitiativeMap!$A$444:$A$867,$B21,_DATA_RiskInitiativeMap!$K$444:$K$867)*_CONFIG_Model_Settings!$B$169,0))</f>
        <v>1531</v>
      </c>
      <c r="N21" s="147" t="str">
        <f t="shared" si="0"/>
        <v>Implement portfolio governance, prioritization and change control</v>
      </c>
      <c r="O21" s="148" t="str">
        <f t="shared" si="1"/>
        <v>●</v>
      </c>
      <c r="P21" s="160" t="str">
        <f t="shared" si="2"/>
        <v/>
      </c>
      <c r="Q21" s="149" t="str">
        <f t="shared" si="3"/>
        <v/>
      </c>
      <c r="R21" s="150" t="str">
        <f t="shared" si="4"/>
        <v/>
      </c>
      <c r="S21" s="159">
        <f t="shared" si="5"/>
        <v>2.54</v>
      </c>
      <c r="T21" s="159">
        <f t="shared" si="6"/>
        <v>4.5662500000000001</v>
      </c>
      <c r="U21" s="159">
        <f t="shared" si="7"/>
        <v>5</v>
      </c>
      <c r="V21" s="159">
        <f t="shared" si="8"/>
        <v>3.9528333333333334</v>
      </c>
      <c r="W21" s="159">
        <f t="shared" si="9"/>
        <v>3.2794999999999996</v>
      </c>
      <c r="X21" s="147" t="str">
        <f t="shared" si="10"/>
        <v>Governance and Decision-Speed Strategy</v>
      </c>
      <c r="Y21" s="145"/>
      <c r="Z21" s="145"/>
      <c r="AA21" s="145"/>
      <c r="AB21" s="145"/>
      <c r="AC21" s="145"/>
      <c r="AD21" s="145"/>
    </row>
    <row r="22" spans="1:30" ht="18" customHeight="1">
      <c r="A22" s="220">
        <f>IFERROR(ROWS($A$13:A22),"")</f>
        <v>10</v>
      </c>
      <c r="B22" s="220" t="str">
        <f>IFERROR(INDEX(_ENGINE_Initiatives!$A$5:$A$76,MATCH(ROWS($A$13:A22),_ENGINE_Initiatives!$BW$5:$BW$76,0)),"")</f>
        <v>INI-003</v>
      </c>
      <c r="C22" s="220" t="str">
        <f>IFERROR(INDEX(_ENGINE_Initiatives!$F$5:$F$76,MATCH(ROWS($A$13:A22),_ENGINE_Initiatives!$BW$5:$BW$76,0)),"")</f>
        <v>Map critical business dependencies and external exposures</v>
      </c>
      <c r="D22" s="220" t="str">
        <f>IFERROR(INDEX(_ENGINE_Initiatives!$B$5:$B$76,MATCH(ROWS($A$13:A22),_ENGINE_Initiatives!$BW$5:$BW$76,0)),"")</f>
        <v>Company Geography</v>
      </c>
      <c r="E22" s="220" t="str">
        <f>IFERROR(INDEX(_ENGINE_Initiatives!$C$5:$C$76,MATCH(ROWS($A$13:A22),_ENGINE_Initiatives!$BW$5:$BW$76,0)),"")</f>
        <v>Context and dependencies</v>
      </c>
      <c r="F22" s="220" t="str">
        <f>IFERROR(INDEX(_ENGINE_Initiatives!$D$5:$D$76,MATCH(ROWS($A$13:A22),_ENGINE_Initiatives!$BW$5:$BW$76,0)),"")</f>
        <v>Business Continuity and Resilience Strategy</v>
      </c>
      <c r="G22" s="220" t="str">
        <f>IFERROR(INDEX(_ENGINE_Initiatives!$BX$5:$BX$76,MATCH(ROWS($A$13:A22),_ENGINE_Initiatives!$BW$5:$BW$76,0)),"")</f>
        <v>0-90 days</v>
      </c>
      <c r="H22" s="220">
        <f>IFERROR(INDEX(_ENGINE_Initiatives!$BV$5:$BV$76,MATCH(ROWS($A$13:A22),_ENGINE_Initiatives!$BW$5:$BW$76,0)),"")</f>
        <v>2.58</v>
      </c>
      <c r="I22" s="220">
        <f>IFERROR(INDEX(_ENGINE_Initiatives!$X$5:$X$76,MATCH(ROWS($A$13:A22),_ENGINE_Initiatives!$BW$5:$BW$76,0)),"")</f>
        <v>4.5875000000000004</v>
      </c>
      <c r="J22" s="220">
        <f>IFERROR(INDEX(_ENGINE_Initiatives!$Y$5:$Y$76,MATCH(ROWS($A$13:A22),_ENGINE_Initiatives!$BW$5:$BW$76,0)),"")</f>
        <v>5</v>
      </c>
      <c r="K22" s="220">
        <f>IFERROR(INDEX(_ENGINE_Initiatives!$BD$5:$BD$76,MATCH(ROWS($A$13:A22),_ENGINE_Initiatives!$BW$5:$BW$76,0)),"")</f>
        <v>4.218</v>
      </c>
      <c r="L22" s="220">
        <f>IFERROR(INDEX(_ENGINE_Initiatives!$AA$5:$AA$76,MATCH(ROWS($A$13:A22),_ENGINE_Initiatives!$BW$5:$BW$76,0)),"")</f>
        <v>3.0049999999999999</v>
      </c>
      <c r="M22" s="229">
        <f>IF($B22="","",ROUND(SUMIF(_DATA_RiskInitiativeMap!$A$444:$A$867,$B22,_DATA_RiskInitiativeMap!$K$444:$K$867)*_CONFIG_Model_Settings!$B$169,0))</f>
        <v>1356</v>
      </c>
      <c r="N22" s="147" t="str">
        <f t="shared" si="0"/>
        <v>Integrate management system, KPIs and continual improvement cycle</v>
      </c>
      <c r="O22" s="148" t="str">
        <f t="shared" si="1"/>
        <v/>
      </c>
      <c r="P22" s="160" t="str">
        <f t="shared" si="2"/>
        <v>●</v>
      </c>
      <c r="Q22" s="149" t="str">
        <f t="shared" si="3"/>
        <v/>
      </c>
      <c r="R22" s="150" t="str">
        <f t="shared" si="4"/>
        <v/>
      </c>
      <c r="S22" s="159">
        <f t="shared" si="5"/>
        <v>2.5099999999999998</v>
      </c>
      <c r="T22" s="159">
        <f t="shared" si="6"/>
        <v>4.6124999999999998</v>
      </c>
      <c r="U22" s="159">
        <f t="shared" si="7"/>
        <v>4.7</v>
      </c>
      <c r="V22" s="159">
        <f t="shared" si="8"/>
        <v>3.996</v>
      </c>
      <c r="W22" s="159">
        <f t="shared" si="9"/>
        <v>3.335</v>
      </c>
      <c r="X22" s="147" t="str">
        <f t="shared" si="10"/>
        <v>Compliance and Risk Control Strategy</v>
      </c>
      <c r="Y22" s="145"/>
      <c r="Z22" s="145"/>
      <c r="AA22" s="145"/>
      <c r="AB22" s="145"/>
      <c r="AC22" s="145"/>
      <c r="AD22" s="145"/>
    </row>
    <row r="23" spans="1:30" ht="18" customHeight="1">
      <c r="A23" s="227">
        <f>IFERROR(ROWS($A$13:A23),"")</f>
        <v>11</v>
      </c>
      <c r="B23" s="227" t="str">
        <f>IFERROR(INDEX(_ENGINE_Initiatives!$A$5:$A$76,MATCH(ROWS($A$13:A23),_ENGINE_Initiatives!$BW$5:$BW$76,0)),"")</f>
        <v>INI-069</v>
      </c>
      <c r="C23" s="227" t="str">
        <f>IFERROR(INDEX(_ENGINE_Initiatives!$F$5:$F$76,MATCH(ROWS($A$13:A23),_ENGINE_Initiatives!$BW$5:$BW$76,0)),"")</f>
        <v>Build process ownership, SOP and continuous-improvement model</v>
      </c>
      <c r="D23" s="227" t="str">
        <f>IFERROR(INDEX(_ENGINE_Initiatives!$B$5:$B$76,MATCH(ROWS($A$13:A23),_ENGINE_Initiatives!$BW$5:$BW$76,0)),"")</f>
        <v>Quality Portfolio</v>
      </c>
      <c r="E23" s="227" t="str">
        <f>IFERROR(INDEX(_ENGINE_Initiatives!$C$5:$C$76,MATCH(ROWS($A$13:A23),_ENGINE_Initiatives!$BW$5:$BW$76,0)),"")</f>
        <v>Process management</v>
      </c>
      <c r="F23" s="227" t="str">
        <f>IFERROR(INDEX(_ENGINE_Initiatives!$D$5:$D$76,MATCH(ROWS($A$13:A23),_ENGINE_Initiatives!$BW$5:$BW$76,0)),"")</f>
        <v>Operational Excellence and Automation Strategy</v>
      </c>
      <c r="G23" s="227" t="str">
        <f>IFERROR(INDEX(_ENGINE_Initiatives!$BX$5:$BX$76,MATCH(ROWS($A$13:A23),_ENGINE_Initiatives!$BW$5:$BW$76,0)),"")</f>
        <v>0-90 days</v>
      </c>
      <c r="H23" s="227">
        <f>IFERROR(INDEX(_ENGINE_Initiatives!$BV$5:$BV$76,MATCH(ROWS($A$13:A23),_ENGINE_Initiatives!$BW$5:$BW$76,0)),"")</f>
        <v>2.54</v>
      </c>
      <c r="I23" s="227">
        <f>IFERROR(INDEX(_ENGINE_Initiatives!$X$5:$X$76,MATCH(ROWS($A$13:A23),_ENGINE_Initiatives!$BW$5:$BW$76,0)),"")</f>
        <v>4.6112500000000001</v>
      </c>
      <c r="J23" s="227">
        <f>IFERROR(INDEX(_ENGINE_Initiatives!$Y$5:$Y$76,MATCH(ROWS($A$13:A23),_ENGINE_Initiatives!$BW$5:$BW$76,0)),"")</f>
        <v>4.7</v>
      </c>
      <c r="K23" s="227">
        <f>IFERROR(INDEX(_ENGINE_Initiatives!$BD$5:$BD$76,MATCH(ROWS($A$13:A23),_ENGINE_Initiatives!$BW$5:$BW$76,0)),"")</f>
        <v>3.9513750000000001</v>
      </c>
      <c r="L23" s="227">
        <f>IFERROR(INDEX(_ENGINE_Initiatives!$AA$5:$AA$76,MATCH(ROWS($A$13:A23),_ENGINE_Initiatives!$BW$5:$BW$76,0)),"")</f>
        <v>4.1334999999999997</v>
      </c>
      <c r="M23" s="228">
        <f>IF($B23="","",ROUND(SUMIF(_DATA_RiskInitiativeMap!$A$444:$A$867,$B23,_DATA_RiskInitiativeMap!$K$444:$K$867)*_CONFIG_Model_Settings!$B$169,0))</f>
        <v>1225</v>
      </c>
      <c r="N23" s="147" t="str">
        <f t="shared" si="0"/>
        <v>Prepare employment-law continuity and workforce-location compliance</v>
      </c>
      <c r="O23" s="148" t="str">
        <f t="shared" si="1"/>
        <v/>
      </c>
      <c r="P23" s="160" t="str">
        <f t="shared" si="2"/>
        <v>●</v>
      </c>
      <c r="Q23" s="149" t="str">
        <f t="shared" si="3"/>
        <v/>
      </c>
      <c r="R23" s="150" t="str">
        <f t="shared" si="4"/>
        <v/>
      </c>
      <c r="S23" s="159">
        <f t="shared" si="5"/>
        <v>2.4700000000000002</v>
      </c>
      <c r="T23" s="159">
        <f t="shared" si="6"/>
        <v>4.6124999999999998</v>
      </c>
      <c r="U23" s="159">
        <f t="shared" si="7"/>
        <v>4.0999999999999996</v>
      </c>
      <c r="V23" s="159">
        <f t="shared" si="8"/>
        <v>4.2452000000000005</v>
      </c>
      <c r="W23" s="159">
        <f t="shared" si="9"/>
        <v>3.335</v>
      </c>
      <c r="X23" s="147" t="str">
        <f t="shared" si="10"/>
        <v>Compliance and Risk Control Strategy</v>
      </c>
      <c r="Y23" s="145"/>
      <c r="Z23" s="145"/>
      <c r="AA23" s="145"/>
      <c r="AB23" s="145"/>
      <c r="AC23" s="145"/>
      <c r="AD23" s="145"/>
    </row>
    <row r="24" spans="1:30" ht="18" customHeight="1">
      <c r="A24" s="220">
        <f>IFERROR(ROWS($A$13:A24),"")</f>
        <v>12</v>
      </c>
      <c r="B24" s="220" t="str">
        <f>IFERROR(INDEX(_ENGINE_Initiatives!$A$5:$A$76,MATCH(ROWS($A$13:A24),_ENGINE_Initiatives!$BW$5:$BW$76,0)),"")</f>
        <v>INI-071</v>
      </c>
      <c r="C24" s="220" t="str">
        <f>IFERROR(INDEX(_ENGINE_Initiatives!$F$5:$F$76,MATCH(ROWS($A$13:A24),_ENGINE_Initiatives!$BW$5:$BW$76,0)),"")</f>
        <v>Implement portfolio governance, prioritization and change control</v>
      </c>
      <c r="D24" s="220" t="str">
        <f>IFERROR(INDEX(_ENGINE_Initiatives!$B$5:$B$76,MATCH(ROWS($A$13:A24),_ENGINE_Initiatives!$BW$5:$BW$76,0)),"")</f>
        <v>Quality Portfolio</v>
      </c>
      <c r="E24" s="220" t="str">
        <f>IFERROR(INDEX(_ENGINE_Initiatives!$C$5:$C$76,MATCH(ROWS($A$13:A24),_ENGINE_Initiatives!$BW$5:$BW$76,0)),"")</f>
        <v>Portfolio and change</v>
      </c>
      <c r="F24" s="220" t="str">
        <f>IFERROR(INDEX(_ENGINE_Initiatives!$D$5:$D$76,MATCH(ROWS($A$13:A24),_ENGINE_Initiatives!$BW$5:$BW$76,0)),"")</f>
        <v>Governance and Decision-Speed Strategy</v>
      </c>
      <c r="G24" s="220" t="str">
        <f>IFERROR(INDEX(_ENGINE_Initiatives!$BX$5:$BX$76,MATCH(ROWS($A$13:A24),_ENGINE_Initiatives!$BW$5:$BW$76,0)),"")</f>
        <v>0-90 days</v>
      </c>
      <c r="H24" s="220">
        <f>IFERROR(INDEX(_ENGINE_Initiatives!$BV$5:$BV$76,MATCH(ROWS($A$13:A24),_ENGINE_Initiatives!$BW$5:$BW$76,0)),"")</f>
        <v>2.54</v>
      </c>
      <c r="I24" s="220">
        <f>IFERROR(INDEX(_ENGINE_Initiatives!$X$5:$X$76,MATCH(ROWS($A$13:A24),_ENGINE_Initiatives!$BW$5:$BW$76,0)),"")</f>
        <v>4.5662500000000001</v>
      </c>
      <c r="J24" s="220">
        <f>IFERROR(INDEX(_ENGINE_Initiatives!$Y$5:$Y$76,MATCH(ROWS($A$13:A24),_ENGINE_Initiatives!$BW$5:$BW$76,0)),"")</f>
        <v>5</v>
      </c>
      <c r="K24" s="220">
        <f>IFERROR(INDEX(_ENGINE_Initiatives!$BD$5:$BD$76,MATCH(ROWS($A$13:A24),_ENGINE_Initiatives!$BW$5:$BW$76,0)),"")</f>
        <v>3.9528333333333334</v>
      </c>
      <c r="L24" s="220">
        <f>IFERROR(INDEX(_ENGINE_Initiatives!$AA$5:$AA$76,MATCH(ROWS($A$13:A24),_ENGINE_Initiatives!$BW$5:$BW$76,0)),"")</f>
        <v>3.2794999999999996</v>
      </c>
      <c r="M24" s="229">
        <f>IF($B24="","",ROUND(SUMIF(_DATA_RiskInitiativeMap!$A$444:$A$867,$B24,_DATA_RiskInitiativeMap!$K$444:$K$867)*_CONFIG_Model_Settings!$B$169,0))</f>
        <v>2756</v>
      </c>
      <c r="N24" s="147" t="str">
        <f t="shared" si="0"/>
        <v>Secure facilities, physical access and site protection controls</v>
      </c>
      <c r="O24" s="148" t="str">
        <f t="shared" si="1"/>
        <v/>
      </c>
      <c r="P24" s="160" t="str">
        <f t="shared" si="2"/>
        <v>●</v>
      </c>
      <c r="Q24" s="149" t="str">
        <f t="shared" si="3"/>
        <v/>
      </c>
      <c r="R24" s="150" t="str">
        <f t="shared" si="4"/>
        <v/>
      </c>
      <c r="S24" s="159">
        <f t="shared" si="5"/>
        <v>1.82</v>
      </c>
      <c r="T24" s="159">
        <f t="shared" si="6"/>
        <v>4.5875000000000004</v>
      </c>
      <c r="U24" s="159">
        <f t="shared" si="7"/>
        <v>5</v>
      </c>
      <c r="V24" s="159">
        <f t="shared" si="8"/>
        <v>4.96</v>
      </c>
      <c r="W24" s="159">
        <f t="shared" si="9"/>
        <v>3.0049999999999999</v>
      </c>
      <c r="X24" s="147" t="str">
        <f t="shared" si="10"/>
        <v>Physical Safety and Site Resilience Strategy</v>
      </c>
      <c r="Y24" s="145"/>
      <c r="Z24" s="145"/>
      <c r="AA24" s="145"/>
      <c r="AB24" s="145"/>
      <c r="AC24" s="145"/>
      <c r="AD24" s="145"/>
    </row>
    <row r="25" spans="1:30" ht="18" customHeight="1">
      <c r="A25" s="227">
        <f>IFERROR(ROWS($A$13:A25),"")</f>
        <v>13</v>
      </c>
      <c r="B25" s="227" t="str">
        <f>IFERROR(INDEX(_ENGINE_Initiatives!$A$5:$A$76,MATCH(ROWS($A$13:A25),_ENGINE_Initiatives!$BW$5:$BW$76,0)),"")</f>
        <v>INI-072</v>
      </c>
      <c r="C25" s="227" t="str">
        <f>IFERROR(INDEX(_ENGINE_Initiatives!$F$5:$F$76,MATCH(ROWS($A$13:A25),_ENGINE_Initiatives!$BW$5:$BW$76,0)),"")</f>
        <v>Integrate management system, KPIs and continual improvement cycle</v>
      </c>
      <c r="D25" s="227" t="str">
        <f>IFERROR(INDEX(_ENGINE_Initiatives!$B$5:$B$76,MATCH(ROWS($A$13:A25),_ENGINE_Initiatives!$BW$5:$BW$76,0)),"")</f>
        <v>Quality Portfolio</v>
      </c>
      <c r="E25" s="227" t="str">
        <f>IFERROR(INDEX(_ENGINE_Initiatives!$C$5:$C$76,MATCH(ROWS($A$13:A25),_ENGINE_Initiatives!$BW$5:$BW$76,0)),"")</f>
        <v>Management system</v>
      </c>
      <c r="F25" s="227" t="str">
        <f>IFERROR(INDEX(_ENGINE_Initiatives!$D$5:$D$76,MATCH(ROWS($A$13:A25),_ENGINE_Initiatives!$BW$5:$BW$76,0)),"")</f>
        <v>Compliance and Risk Control Strategy</v>
      </c>
      <c r="G25" s="227" t="str">
        <f>IFERROR(INDEX(_ENGINE_Initiatives!$BX$5:$BX$76,MATCH(ROWS($A$13:A25),_ENGINE_Initiatives!$BW$5:$BW$76,0)),"")</f>
        <v>3-6 months</v>
      </c>
      <c r="H25" s="227">
        <f>IFERROR(INDEX(_ENGINE_Initiatives!$BV$5:$BV$76,MATCH(ROWS($A$13:A25),_ENGINE_Initiatives!$BW$5:$BW$76,0)),"")</f>
        <v>2.5099999999999998</v>
      </c>
      <c r="I25" s="227">
        <f>IFERROR(INDEX(_ENGINE_Initiatives!$X$5:$X$76,MATCH(ROWS($A$13:A25),_ENGINE_Initiatives!$BW$5:$BW$76,0)),"")</f>
        <v>4.6124999999999998</v>
      </c>
      <c r="J25" s="227">
        <f>IFERROR(INDEX(_ENGINE_Initiatives!$Y$5:$Y$76,MATCH(ROWS($A$13:A25),_ENGINE_Initiatives!$BW$5:$BW$76,0)),"")</f>
        <v>4.7</v>
      </c>
      <c r="K25" s="227">
        <f>IFERROR(INDEX(_ENGINE_Initiatives!$BD$5:$BD$76,MATCH(ROWS($A$13:A25),_ENGINE_Initiatives!$BW$5:$BW$76,0)),"")</f>
        <v>3.996</v>
      </c>
      <c r="L25" s="227">
        <f>IFERROR(INDEX(_ENGINE_Initiatives!$AA$5:$AA$76,MATCH(ROWS($A$13:A25),_ENGINE_Initiatives!$BW$5:$BW$76,0)),"")</f>
        <v>3.335</v>
      </c>
      <c r="M25" s="228">
        <f>IF($B25="","",ROUND(SUMIF(_DATA_RiskInitiativeMap!$A$444:$A$867,$B25,_DATA_RiskInitiativeMap!$K$444:$K$867)*_CONFIG_Model_Settings!$B$169,0))</f>
        <v>1225</v>
      </c>
      <c r="N25" s="147" t="str">
        <f t="shared" si="0"/>
        <v>Implement physical security and travel risk management</v>
      </c>
      <c r="O25" s="148" t="str">
        <f t="shared" si="1"/>
        <v/>
      </c>
      <c r="P25" s="160" t="str">
        <f t="shared" si="2"/>
        <v>●</v>
      </c>
      <c r="Q25" s="149" t="str">
        <f t="shared" si="3"/>
        <v/>
      </c>
      <c r="R25" s="150" t="str">
        <f t="shared" si="4"/>
        <v/>
      </c>
      <c r="S25" s="159">
        <f t="shared" si="5"/>
        <v>1.82</v>
      </c>
      <c r="T25" s="159">
        <f t="shared" si="6"/>
        <v>4.5875000000000004</v>
      </c>
      <c r="U25" s="159">
        <f t="shared" si="7"/>
        <v>5</v>
      </c>
      <c r="V25" s="159">
        <f t="shared" si="8"/>
        <v>4.96</v>
      </c>
      <c r="W25" s="159">
        <f t="shared" si="9"/>
        <v>3.0049999999999999</v>
      </c>
      <c r="X25" s="147" t="str">
        <f t="shared" si="10"/>
        <v>Physical Safety and Site Resilience Strategy</v>
      </c>
      <c r="Y25" s="145"/>
      <c r="Z25" s="145"/>
      <c r="AA25" s="145"/>
      <c r="AB25" s="145"/>
      <c r="AC25" s="145"/>
      <c r="AD25" s="145"/>
    </row>
    <row r="26" spans="1:30" ht="18" customHeight="1">
      <c r="A26" s="220">
        <f>IFERROR(ROWS($A$13:A26),"")</f>
        <v>14</v>
      </c>
      <c r="B26" s="220" t="str">
        <f>IFERROR(INDEX(_ENGINE_Initiatives!$A$5:$A$76,MATCH(ROWS($A$13:A26),_ENGINE_Initiatives!$BW$5:$BW$76,0)),"")</f>
        <v>INI-022</v>
      </c>
      <c r="C26" s="220" t="str">
        <f>IFERROR(INDEX(_ENGINE_Initiatives!$F$5:$F$76,MATCH(ROWS($A$13:A26),_ENGINE_Initiatives!$BW$5:$BW$76,0)),"")</f>
        <v>Prepare employment-law continuity and workforce-location compliance</v>
      </c>
      <c r="D26" s="220" t="str">
        <f>IFERROR(INDEX(_ENGINE_Initiatives!$B$5:$B$76,MATCH(ROWS($A$13:A26),_ENGINE_Initiatives!$BW$5:$BW$76,0)),"")</f>
        <v>Legal Risk</v>
      </c>
      <c r="E26" s="220" t="str">
        <f>IFERROR(INDEX(_ENGINE_Initiatives!$C$5:$C$76,MATCH(ROWS($A$13:A26),_ENGINE_Initiatives!$BW$5:$BW$76,0)),"")</f>
        <v>Employment law</v>
      </c>
      <c r="F26" s="220" t="str">
        <f>IFERROR(INDEX(_ENGINE_Initiatives!$D$5:$D$76,MATCH(ROWS($A$13:A26),_ENGINE_Initiatives!$BW$5:$BW$76,0)),"")</f>
        <v>Compliance and Risk Control Strategy</v>
      </c>
      <c r="G26" s="220" t="str">
        <f>IFERROR(INDEX(_ENGINE_Initiatives!$BX$5:$BX$76,MATCH(ROWS($A$13:A26),_ENGINE_Initiatives!$BW$5:$BW$76,0)),"")</f>
        <v>3-6 months</v>
      </c>
      <c r="H26" s="220">
        <f>IFERROR(INDEX(_ENGINE_Initiatives!$BV$5:$BV$76,MATCH(ROWS($A$13:A26),_ENGINE_Initiatives!$BW$5:$BW$76,0)),"")</f>
        <v>2.4700000000000002</v>
      </c>
      <c r="I26" s="220">
        <f>IFERROR(INDEX(_ENGINE_Initiatives!$X$5:$X$76,MATCH(ROWS($A$13:A26),_ENGINE_Initiatives!$BW$5:$BW$76,0)),"")</f>
        <v>4.6124999999999998</v>
      </c>
      <c r="J26" s="220">
        <f>IFERROR(INDEX(_ENGINE_Initiatives!$Y$5:$Y$76,MATCH(ROWS($A$13:A26),_ENGINE_Initiatives!$BW$5:$BW$76,0)),"")</f>
        <v>4.0999999999999996</v>
      </c>
      <c r="K26" s="220">
        <f>IFERROR(INDEX(_ENGINE_Initiatives!$BD$5:$BD$76,MATCH(ROWS($A$13:A26),_ENGINE_Initiatives!$BW$5:$BW$76,0)),"")</f>
        <v>4.2452000000000005</v>
      </c>
      <c r="L26" s="220">
        <f>IFERROR(INDEX(_ENGINE_Initiatives!$AA$5:$AA$76,MATCH(ROWS($A$13:A26),_ENGINE_Initiatives!$BW$5:$BW$76,0)),"")</f>
        <v>3.335</v>
      </c>
      <c r="M26" s="229">
        <f>IF($B26="","",ROUND(SUMIF(_DATA_RiskInitiativeMap!$A$444:$A$867,$B26,_DATA_RiskInitiativeMap!$K$444:$K$867)*_CONFIG_Model_Settings!$B$169,0))</f>
        <v>1313</v>
      </c>
      <c r="N26" s="147" t="str">
        <f t="shared" si="0"/>
        <v>Build utilities backup and facility resilience plan</v>
      </c>
      <c r="O26" s="148" t="str">
        <f t="shared" si="1"/>
        <v/>
      </c>
      <c r="P26" s="160" t="str">
        <f t="shared" si="2"/>
        <v>●</v>
      </c>
      <c r="Q26" s="149" t="str">
        <f t="shared" si="3"/>
        <v/>
      </c>
      <c r="R26" s="150" t="str">
        <f t="shared" si="4"/>
        <v/>
      </c>
      <c r="S26" s="159">
        <f t="shared" si="5"/>
        <v>1.82</v>
      </c>
      <c r="T26" s="159">
        <f t="shared" si="6"/>
        <v>4.5875000000000004</v>
      </c>
      <c r="U26" s="159">
        <f t="shared" si="7"/>
        <v>5</v>
      </c>
      <c r="V26" s="159">
        <f t="shared" si="8"/>
        <v>4.96</v>
      </c>
      <c r="W26" s="159">
        <f t="shared" si="9"/>
        <v>3.0049999999999999</v>
      </c>
      <c r="X26" s="147" t="str">
        <f t="shared" si="10"/>
        <v>Physical Safety and Site Resilience Strategy</v>
      </c>
      <c r="Y26" s="145"/>
      <c r="Z26" s="145"/>
      <c r="AA26" s="145"/>
      <c r="AB26" s="145"/>
      <c r="AC26" s="145"/>
      <c r="AD26" s="145"/>
    </row>
    <row r="27" spans="1:30" ht="18" customHeight="1">
      <c r="A27" s="227">
        <f>IFERROR(ROWS($A$13:A27),"")</f>
        <v>15</v>
      </c>
      <c r="B27" s="227" t="str">
        <f>IFERROR(INDEX(_ENGINE_Initiatives!$A$5:$A$76,MATCH(ROWS($A$13:A27),_ENGINE_Initiatives!$BW$5:$BW$76,0)),"")</f>
        <v>INI-024</v>
      </c>
      <c r="C27" s="227" t="str">
        <f>IFERROR(INDEX(_ENGINE_Initiatives!$F$5:$F$76,MATCH(ROWS($A$13:A27),_ENGINE_Initiatives!$BW$5:$BW$76,0)),"")</f>
        <v>Secure facilities, physical access and site protection controls</v>
      </c>
      <c r="D27" s="227" t="str">
        <f>IFERROR(INDEX(_ENGINE_Initiatives!$B$5:$B$76,MATCH(ROWS($A$13:A27),_ENGINE_Initiatives!$BW$5:$BW$76,0)),"")</f>
        <v>Physical Safety</v>
      </c>
      <c r="E27" s="227" t="str">
        <f>IFERROR(INDEX(_ENGINE_Initiatives!$C$5:$C$76,MATCH(ROWS($A$13:A27),_ENGINE_Initiatives!$BW$5:$BW$76,0)),"")</f>
        <v>Facilities and access</v>
      </c>
      <c r="F27" s="227" t="str">
        <f>IFERROR(INDEX(_ENGINE_Initiatives!$D$5:$D$76,MATCH(ROWS($A$13:A27),_ENGINE_Initiatives!$BW$5:$BW$76,0)),"")</f>
        <v>Physical Safety and Site Resilience Strategy</v>
      </c>
      <c r="G27" s="227" t="str">
        <f>IFERROR(INDEX(_ENGINE_Initiatives!$BX$5:$BX$76,MATCH(ROWS($A$13:A27),_ENGINE_Initiatives!$BW$5:$BW$76,0)),"")</f>
        <v>3-6 months</v>
      </c>
      <c r="H27" s="227">
        <f>IFERROR(INDEX(_ENGINE_Initiatives!$BV$5:$BV$76,MATCH(ROWS($A$13:A27),_ENGINE_Initiatives!$BW$5:$BW$76,0)),"")</f>
        <v>1.82</v>
      </c>
      <c r="I27" s="227">
        <f>IFERROR(INDEX(_ENGINE_Initiatives!$X$5:$X$76,MATCH(ROWS($A$13:A27),_ENGINE_Initiatives!$BW$5:$BW$76,0)),"")</f>
        <v>4.5875000000000004</v>
      </c>
      <c r="J27" s="227">
        <f>IFERROR(INDEX(_ENGINE_Initiatives!$Y$5:$Y$76,MATCH(ROWS($A$13:A27),_ENGINE_Initiatives!$BW$5:$BW$76,0)),"")</f>
        <v>5</v>
      </c>
      <c r="K27" s="227">
        <f>IFERROR(INDEX(_ENGINE_Initiatives!$BD$5:$BD$76,MATCH(ROWS($A$13:A27),_ENGINE_Initiatives!$BW$5:$BW$76,0)),"")</f>
        <v>4.96</v>
      </c>
      <c r="L27" s="227">
        <f>IFERROR(INDEX(_ENGINE_Initiatives!$AA$5:$AA$76,MATCH(ROWS($A$13:A27),_ENGINE_Initiatives!$BW$5:$BW$76,0)),"")</f>
        <v>3.0049999999999999</v>
      </c>
      <c r="M27" s="228">
        <f>IF($B27="","",ROUND(SUMIF(_DATA_RiskInitiativeMap!$A$444:$A$867,$B27,_DATA_RiskInitiativeMap!$K$444:$K$867)*_CONFIG_Model_Settings!$B$169,0))</f>
        <v>3938</v>
      </c>
      <c r="N27" s="147" t="str">
        <f t="shared" si="0"/>
        <v>Redesign supply chain for resilience and alternative sourcing</v>
      </c>
      <c r="O27" s="148" t="str">
        <f t="shared" si="1"/>
        <v/>
      </c>
      <c r="P27" s="160" t="str">
        <f t="shared" si="2"/>
        <v>●</v>
      </c>
      <c r="Q27" s="149" t="str">
        <f t="shared" si="3"/>
        <v/>
      </c>
      <c r="R27" s="150" t="str">
        <f t="shared" si="4"/>
        <v/>
      </c>
      <c r="S27" s="159">
        <f t="shared" si="5"/>
        <v>1.81</v>
      </c>
      <c r="T27" s="159">
        <f t="shared" si="6"/>
        <v>4.6124999999999998</v>
      </c>
      <c r="U27" s="159">
        <f t="shared" si="7"/>
        <v>5</v>
      </c>
      <c r="V27" s="159">
        <f t="shared" si="8"/>
        <v>4.8123000000000005</v>
      </c>
      <c r="W27" s="159">
        <f t="shared" si="9"/>
        <v>3.4350000000000005</v>
      </c>
      <c r="X27" s="147" t="str">
        <f t="shared" si="10"/>
        <v>Supply Chain and Delivery Resilience Strategy</v>
      </c>
      <c r="Y27" s="145"/>
      <c r="Z27" s="145"/>
      <c r="AA27" s="145"/>
      <c r="AB27" s="145"/>
      <c r="AC27" s="145"/>
      <c r="AD27" s="145"/>
    </row>
    <row r="28" spans="1:30" ht="18" customHeight="1">
      <c r="A28" s="220">
        <f>IFERROR(ROWS($A$13:A28),"")</f>
        <v>16</v>
      </c>
      <c r="B28" s="220" t="str">
        <f>IFERROR(INDEX(_ENGINE_Initiatives!$A$5:$A$76,MATCH(ROWS($A$13:A28),_ENGINE_Initiatives!$BW$5:$BW$76,0)),"")</f>
        <v>INI-026</v>
      </c>
      <c r="C28" s="220" t="str">
        <f>IFERROR(INDEX(_ENGINE_Initiatives!$F$5:$F$76,MATCH(ROWS($A$13:A28),_ENGINE_Initiatives!$BW$5:$BW$76,0)),"")</f>
        <v>Implement physical security and travel risk management</v>
      </c>
      <c r="D28" s="220" t="str">
        <f>IFERROR(INDEX(_ENGINE_Initiatives!$B$5:$B$76,MATCH(ROWS($A$13:A28),_ENGINE_Initiatives!$BW$5:$BW$76,0)),"")</f>
        <v>Physical Safety</v>
      </c>
      <c r="E28" s="220" t="str">
        <f>IFERROR(INDEX(_ENGINE_Initiatives!$C$5:$C$76,MATCH(ROWS($A$13:A28),_ENGINE_Initiatives!$BW$5:$BW$76,0)),"")</f>
        <v>Security and travel</v>
      </c>
      <c r="F28" s="220" t="str">
        <f>IFERROR(INDEX(_ENGINE_Initiatives!$D$5:$D$76,MATCH(ROWS($A$13:A28),_ENGINE_Initiatives!$BW$5:$BW$76,0)),"")</f>
        <v>Physical Safety and Site Resilience Strategy</v>
      </c>
      <c r="G28" s="220" t="str">
        <f>IFERROR(INDEX(_ENGINE_Initiatives!$BX$5:$BX$76,MATCH(ROWS($A$13:A28),_ENGINE_Initiatives!$BW$5:$BW$76,0)),"")</f>
        <v>3-6 months</v>
      </c>
      <c r="H28" s="220">
        <f>IFERROR(INDEX(_ENGINE_Initiatives!$BV$5:$BV$76,MATCH(ROWS($A$13:A28),_ENGINE_Initiatives!$BW$5:$BW$76,0)),"")</f>
        <v>1.82</v>
      </c>
      <c r="I28" s="220">
        <f>IFERROR(INDEX(_ENGINE_Initiatives!$X$5:$X$76,MATCH(ROWS($A$13:A28),_ENGINE_Initiatives!$BW$5:$BW$76,0)),"")</f>
        <v>4.5875000000000004</v>
      </c>
      <c r="J28" s="220">
        <f>IFERROR(INDEX(_ENGINE_Initiatives!$Y$5:$Y$76,MATCH(ROWS($A$13:A28),_ENGINE_Initiatives!$BW$5:$BW$76,0)),"")</f>
        <v>5</v>
      </c>
      <c r="K28" s="220">
        <f>IFERROR(INDEX(_ENGINE_Initiatives!$BD$5:$BD$76,MATCH(ROWS($A$13:A28),_ENGINE_Initiatives!$BW$5:$BW$76,0)),"")</f>
        <v>4.96</v>
      </c>
      <c r="L28" s="220">
        <f>IFERROR(INDEX(_ENGINE_Initiatives!$AA$5:$AA$76,MATCH(ROWS($A$13:A28),_ENGINE_Initiatives!$BW$5:$BW$76,0)),"")</f>
        <v>3.0049999999999999</v>
      </c>
      <c r="M28" s="229">
        <f>IF($B28="","",ROUND(SUMIF(_DATA_RiskInitiativeMap!$A$444:$A$867,$B28,_DATA_RiskInitiativeMap!$K$444:$K$867)*_CONFIG_Model_Settings!$B$169,0))</f>
        <v>3281</v>
      </c>
      <c r="N28" s="147" t="str">
        <f t="shared" si="0"/>
        <v>Implement supply-chain technology, risk monitoring and supplier data</v>
      </c>
      <c r="O28" s="148" t="str">
        <f t="shared" si="1"/>
        <v/>
      </c>
      <c r="P28" s="160" t="str">
        <f t="shared" si="2"/>
        <v>●</v>
      </c>
      <c r="Q28" s="149" t="str">
        <f t="shared" si="3"/>
        <v/>
      </c>
      <c r="R28" s="150" t="str">
        <f t="shared" si="4"/>
        <v/>
      </c>
      <c r="S28" s="159">
        <f t="shared" si="5"/>
        <v>1.81</v>
      </c>
      <c r="T28" s="159">
        <f t="shared" si="6"/>
        <v>4.6124999999999998</v>
      </c>
      <c r="U28" s="159">
        <f t="shared" si="7"/>
        <v>5</v>
      </c>
      <c r="V28" s="159">
        <f t="shared" si="8"/>
        <v>4.7947999999999995</v>
      </c>
      <c r="W28" s="159">
        <f t="shared" si="9"/>
        <v>3.4350000000000005</v>
      </c>
      <c r="X28" s="147" t="str">
        <f t="shared" si="10"/>
        <v>Supply Chain and Delivery Resilience Strategy</v>
      </c>
      <c r="Y28" s="145"/>
      <c r="Z28" s="145"/>
      <c r="AA28" s="145"/>
      <c r="AB28" s="145"/>
      <c r="AC28" s="145"/>
      <c r="AD28" s="145"/>
    </row>
    <row r="29" spans="1:30" ht="18" customHeight="1">
      <c r="A29" s="227">
        <f>IFERROR(ROWS($A$13:A29),"")</f>
        <v>17</v>
      </c>
      <c r="B29" s="227" t="str">
        <f>IFERROR(INDEX(_ENGINE_Initiatives!$A$5:$A$76,MATCH(ROWS($A$13:A29),_ENGINE_Initiatives!$BW$5:$BW$76,0)),"")</f>
        <v>INI-027</v>
      </c>
      <c r="C29" s="227" t="str">
        <f>IFERROR(INDEX(_ENGINE_Initiatives!$F$5:$F$76,MATCH(ROWS($A$13:A29),_ENGINE_Initiatives!$BW$5:$BW$76,0)),"")</f>
        <v>Build utilities backup and facility resilience plan</v>
      </c>
      <c r="D29" s="227" t="str">
        <f>IFERROR(INDEX(_ENGINE_Initiatives!$B$5:$B$76,MATCH(ROWS($A$13:A29),_ENGINE_Initiatives!$BW$5:$BW$76,0)),"")</f>
        <v>Physical Safety</v>
      </c>
      <c r="E29" s="227" t="str">
        <f>IFERROR(INDEX(_ENGINE_Initiatives!$C$5:$C$76,MATCH(ROWS($A$13:A29),_ENGINE_Initiatives!$BW$5:$BW$76,0)),"")</f>
        <v>Utilities and resilience</v>
      </c>
      <c r="F29" s="227" t="str">
        <f>IFERROR(INDEX(_ENGINE_Initiatives!$D$5:$D$76,MATCH(ROWS($A$13:A29),_ENGINE_Initiatives!$BW$5:$BW$76,0)),"")</f>
        <v>Physical Safety and Site Resilience Strategy</v>
      </c>
      <c r="G29" s="227" t="str">
        <f>IFERROR(INDEX(_ENGINE_Initiatives!$BX$5:$BX$76,MATCH(ROWS($A$13:A29),_ENGINE_Initiatives!$BW$5:$BW$76,0)),"")</f>
        <v>3-6 months</v>
      </c>
      <c r="H29" s="227">
        <f>IFERROR(INDEX(_ENGINE_Initiatives!$BV$5:$BV$76,MATCH(ROWS($A$13:A29),_ENGINE_Initiatives!$BW$5:$BW$76,0)),"")</f>
        <v>1.82</v>
      </c>
      <c r="I29" s="227">
        <f>IFERROR(INDEX(_ENGINE_Initiatives!$X$5:$X$76,MATCH(ROWS($A$13:A29),_ENGINE_Initiatives!$BW$5:$BW$76,0)),"")</f>
        <v>4.5875000000000004</v>
      </c>
      <c r="J29" s="227">
        <f>IFERROR(INDEX(_ENGINE_Initiatives!$Y$5:$Y$76,MATCH(ROWS($A$13:A29),_ENGINE_Initiatives!$BW$5:$BW$76,0)),"")</f>
        <v>5</v>
      </c>
      <c r="K29" s="227">
        <f>IFERROR(INDEX(_ENGINE_Initiatives!$BD$5:$BD$76,MATCH(ROWS($A$13:A29),_ENGINE_Initiatives!$BW$5:$BW$76,0)),"")</f>
        <v>4.96</v>
      </c>
      <c r="L29" s="227">
        <f>IFERROR(INDEX(_ENGINE_Initiatives!$AA$5:$AA$76,MATCH(ROWS($A$13:A29),_ENGINE_Initiatives!$BW$5:$BW$76,0)),"")</f>
        <v>3.0049999999999999</v>
      </c>
      <c r="M29" s="228">
        <f>IF($B29="","",ROUND(SUMIF(_DATA_RiskInitiativeMap!$A$444:$A$867,$B29,_DATA_RiskInitiativeMap!$K$444:$K$867)*_CONFIG_Model_Settings!$B$169,0))</f>
        <v>3281</v>
      </c>
      <c r="N29" s="147" t="str">
        <f t="shared" si="0"/>
        <v>Build recruitment, retention and succession resilience plan</v>
      </c>
      <c r="O29" s="148" t="str">
        <f t="shared" si="1"/>
        <v/>
      </c>
      <c r="P29" s="160" t="str">
        <f t="shared" si="2"/>
        <v>●</v>
      </c>
      <c r="Q29" s="149" t="str">
        <f t="shared" si="3"/>
        <v/>
      </c>
      <c r="R29" s="150" t="str">
        <f t="shared" si="4"/>
        <v/>
      </c>
      <c r="S29" s="159">
        <f t="shared" si="5"/>
        <v>1.79</v>
      </c>
      <c r="T29" s="159">
        <f t="shared" si="6"/>
        <v>4.5862499999999997</v>
      </c>
      <c r="U29" s="159">
        <f t="shared" si="7"/>
        <v>5</v>
      </c>
      <c r="V29" s="159">
        <f t="shared" si="8"/>
        <v>4.6190999999999995</v>
      </c>
      <c r="W29" s="159">
        <f t="shared" si="9"/>
        <v>3.4035000000000002</v>
      </c>
      <c r="X29" s="147" t="str">
        <f t="shared" si="10"/>
        <v>Workforce Resilience Strategy</v>
      </c>
      <c r="Y29" s="145"/>
      <c r="Z29" s="145"/>
      <c r="AA29" s="145"/>
      <c r="AB29" s="145"/>
      <c r="AC29" s="145"/>
      <c r="AD29" s="145"/>
    </row>
    <row r="30" spans="1:30" ht="18" customHeight="1">
      <c r="A30" s="220">
        <f>IFERROR(ROWS($A$13:A30),"")</f>
        <v>18</v>
      </c>
      <c r="B30" s="220" t="str">
        <f>IFERROR(INDEX(_ENGINE_Initiatives!$A$5:$A$76,MATCH(ROWS($A$13:A30),_ENGINE_Initiatives!$BW$5:$BW$76,0)),"")</f>
        <v>INI-032</v>
      </c>
      <c r="C30" s="220" t="str">
        <f>IFERROR(INDEX(_ENGINE_Initiatives!$F$5:$F$76,MATCH(ROWS($A$13:A30),_ENGINE_Initiatives!$BW$5:$BW$76,0)),"")</f>
        <v>Redesign supply chain for resilience and alternative sourcing</v>
      </c>
      <c r="D30" s="220" t="str">
        <f>IFERROR(INDEX(_ENGINE_Initiatives!$B$5:$B$76,MATCH(ROWS($A$13:A30),_ENGINE_Initiatives!$BW$5:$BW$76,0)),"")</f>
        <v>Supply Chain</v>
      </c>
      <c r="E30" s="220" t="str">
        <f>IFERROR(INDEX(_ENGINE_Initiatives!$C$5:$C$76,MATCH(ROWS($A$13:A30),_ENGINE_Initiatives!$BW$5:$BW$76,0)),"")</f>
        <v>Supply chain design</v>
      </c>
      <c r="F30" s="220" t="str">
        <f>IFERROR(INDEX(_ENGINE_Initiatives!$D$5:$D$76,MATCH(ROWS($A$13:A30),_ENGINE_Initiatives!$BW$5:$BW$76,0)),"")</f>
        <v>Supply Chain and Delivery Resilience Strategy</v>
      </c>
      <c r="G30" s="220" t="str">
        <f>IFERROR(INDEX(_ENGINE_Initiatives!$BX$5:$BX$76,MATCH(ROWS($A$13:A30),_ENGINE_Initiatives!$BW$5:$BW$76,0)),"")</f>
        <v>3-6 months</v>
      </c>
      <c r="H30" s="220">
        <f>IFERROR(INDEX(_ENGINE_Initiatives!$BV$5:$BV$76,MATCH(ROWS($A$13:A30),_ENGINE_Initiatives!$BW$5:$BW$76,0)),"")</f>
        <v>1.81</v>
      </c>
      <c r="I30" s="220">
        <f>IFERROR(INDEX(_ENGINE_Initiatives!$X$5:$X$76,MATCH(ROWS($A$13:A30),_ENGINE_Initiatives!$BW$5:$BW$76,0)),"")</f>
        <v>4.6124999999999998</v>
      </c>
      <c r="J30" s="220">
        <f>IFERROR(INDEX(_ENGINE_Initiatives!$Y$5:$Y$76,MATCH(ROWS($A$13:A30),_ENGINE_Initiatives!$BW$5:$BW$76,0)),"")</f>
        <v>5</v>
      </c>
      <c r="K30" s="220">
        <f>IFERROR(INDEX(_ENGINE_Initiatives!$BD$5:$BD$76,MATCH(ROWS($A$13:A30),_ENGINE_Initiatives!$BW$5:$BW$76,0)),"")</f>
        <v>4.8123000000000005</v>
      </c>
      <c r="L30" s="220">
        <f>IFERROR(INDEX(_ENGINE_Initiatives!$AA$5:$AA$76,MATCH(ROWS($A$13:A30),_ENGINE_Initiatives!$BW$5:$BW$76,0)),"")</f>
        <v>3.4350000000000005</v>
      </c>
      <c r="M30" s="229">
        <f>IF($B30="","",ROUND(SUMIF(_DATA_RiskInitiativeMap!$A$444:$A$867,$B30,_DATA_RiskInitiativeMap!$K$444:$K$867)*_CONFIG_Model_Settings!$B$169,0))</f>
        <v>3938</v>
      </c>
      <c r="N30" s="145"/>
      <c r="O30" s="145"/>
      <c r="P30" s="145"/>
      <c r="Q30" s="145"/>
      <c r="R30" s="145"/>
      <c r="S30" s="145"/>
      <c r="T30" s="145"/>
      <c r="U30" s="145"/>
      <c r="V30" s="145"/>
      <c r="W30" s="145"/>
      <c r="X30" s="145"/>
      <c r="Y30" s="145"/>
      <c r="Z30" s="145"/>
      <c r="AA30" s="145"/>
      <c r="AB30" s="145"/>
      <c r="AC30" s="145"/>
      <c r="AD30" s="145"/>
    </row>
    <row r="31" spans="1:30" ht="18" customHeight="1">
      <c r="A31" s="227">
        <f>IFERROR(ROWS($A$13:A31),"")</f>
        <v>19</v>
      </c>
      <c r="B31" s="227" t="str">
        <f>IFERROR(INDEX(_ENGINE_Initiatives!$A$5:$A$76,MATCH(ROWS($A$13:A31),_ENGINE_Initiatives!$BW$5:$BW$76,0)),"")</f>
        <v>INI-035</v>
      </c>
      <c r="C31" s="227" t="str">
        <f>IFERROR(INDEX(_ENGINE_Initiatives!$F$5:$F$76,MATCH(ROWS($A$13:A31),_ENGINE_Initiatives!$BW$5:$BW$76,0)),"")</f>
        <v>Implement supply-chain technology, risk monitoring and supplier data</v>
      </c>
      <c r="D31" s="227" t="str">
        <f>IFERROR(INDEX(_ENGINE_Initiatives!$B$5:$B$76,MATCH(ROWS($A$13:A31),_ENGINE_Initiatives!$BW$5:$BW$76,0)),"")</f>
        <v>Supply Chain</v>
      </c>
      <c r="E31" s="227" t="str">
        <f>IFERROR(INDEX(_ENGINE_Initiatives!$C$5:$C$76,MATCH(ROWS($A$13:A31),_ENGINE_Initiatives!$BW$5:$BW$76,0)),"")</f>
        <v>Technology and risk</v>
      </c>
      <c r="F31" s="227" t="str">
        <f>IFERROR(INDEX(_ENGINE_Initiatives!$D$5:$D$76,MATCH(ROWS($A$13:A31),_ENGINE_Initiatives!$BW$5:$BW$76,0)),"")</f>
        <v>Supply Chain and Delivery Resilience Strategy</v>
      </c>
      <c r="G31" s="227" t="str">
        <f>IFERROR(INDEX(_ENGINE_Initiatives!$BX$5:$BX$76,MATCH(ROWS($A$13:A31),_ENGINE_Initiatives!$BW$5:$BW$76,0)),"")</f>
        <v>3-6 months</v>
      </c>
      <c r="H31" s="227">
        <f>IFERROR(INDEX(_ENGINE_Initiatives!$BV$5:$BV$76,MATCH(ROWS($A$13:A31),_ENGINE_Initiatives!$BW$5:$BW$76,0)),"")</f>
        <v>1.81</v>
      </c>
      <c r="I31" s="227">
        <f>IFERROR(INDEX(_ENGINE_Initiatives!$X$5:$X$76,MATCH(ROWS($A$13:A31),_ENGINE_Initiatives!$BW$5:$BW$76,0)),"")</f>
        <v>4.6124999999999998</v>
      </c>
      <c r="J31" s="227">
        <f>IFERROR(INDEX(_ENGINE_Initiatives!$Y$5:$Y$76,MATCH(ROWS($A$13:A31),_ENGINE_Initiatives!$BW$5:$BW$76,0)),"")</f>
        <v>5</v>
      </c>
      <c r="K31" s="227">
        <f>IFERROR(INDEX(_ENGINE_Initiatives!$BD$5:$BD$76,MATCH(ROWS($A$13:A31),_ENGINE_Initiatives!$BW$5:$BW$76,0)),"")</f>
        <v>4.7947999999999995</v>
      </c>
      <c r="L31" s="227">
        <f>IFERROR(INDEX(_ENGINE_Initiatives!$AA$5:$AA$76,MATCH(ROWS($A$13:A31),_ENGINE_Initiatives!$BW$5:$BW$76,0)),"")</f>
        <v>3.4350000000000005</v>
      </c>
      <c r="M31" s="228">
        <f>IF($B31="","",ROUND(SUMIF(_DATA_RiskInitiativeMap!$A$444:$A$867,$B31,_DATA_RiskInitiativeMap!$K$444:$K$867)*_CONFIG_Model_Settings!$B$169,0))</f>
        <v>3238</v>
      </c>
      <c r="N31" s="154" t="s">
        <v>3394</v>
      </c>
      <c r="O31" s="155" t="s">
        <v>3520</v>
      </c>
      <c r="P31" s="145"/>
      <c r="Q31" s="156" t="s">
        <v>3521</v>
      </c>
      <c r="R31" s="145"/>
      <c r="S31" s="157" t="s">
        <v>3522</v>
      </c>
      <c r="T31" s="145"/>
      <c r="U31" s="158" t="s">
        <v>3523</v>
      </c>
      <c r="V31" s="145"/>
      <c r="W31" s="145"/>
      <c r="X31" s="145"/>
      <c r="Y31" s="145"/>
      <c r="Z31" s="145"/>
      <c r="AA31" s="145"/>
      <c r="AB31" s="145"/>
      <c r="AC31" s="145"/>
      <c r="AD31" s="145"/>
    </row>
    <row r="32" spans="1:30" ht="18" customHeight="1">
      <c r="A32" s="220">
        <f>IFERROR(ROWS($A$13:A32),"")</f>
        <v>20</v>
      </c>
      <c r="B32" s="220" t="str">
        <f>IFERROR(INDEX(_ENGINE_Initiatives!$A$5:$A$76,MATCH(ROWS($A$13:A32),_ENGINE_Initiatives!$BW$5:$BW$76,0)),"")</f>
        <v>INI-012</v>
      </c>
      <c r="C32" s="220" t="str">
        <f>IFERROR(INDEX(_ENGINE_Initiatives!$F$5:$F$76,MATCH(ROWS($A$13:A32),_ENGINE_Initiatives!$BW$5:$BW$76,0)),"")</f>
        <v>Build recruitment, retention and succession resilience plan</v>
      </c>
      <c r="D32" s="220" t="str">
        <f>IFERROR(INDEX(_ENGINE_Initiatives!$B$5:$B$76,MATCH(ROWS($A$13:A32),_ENGINE_Initiatives!$BW$5:$BW$76,0)),"")</f>
        <v>HR Workforce</v>
      </c>
      <c r="E32" s="220" t="str">
        <f>IFERROR(INDEX(_ENGINE_Initiatives!$C$5:$C$76,MATCH(ROWS($A$13:A32),_ENGINE_Initiatives!$BW$5:$BW$76,0)),"")</f>
        <v>Recruitment and retention</v>
      </c>
      <c r="F32" s="220" t="str">
        <f>IFERROR(INDEX(_ENGINE_Initiatives!$D$5:$D$76,MATCH(ROWS($A$13:A32),_ENGINE_Initiatives!$BW$5:$BW$76,0)),"")</f>
        <v>Workforce Resilience Strategy</v>
      </c>
      <c r="G32" s="220" t="str">
        <f>IFERROR(INDEX(_ENGINE_Initiatives!$BX$5:$BX$76,MATCH(ROWS($A$13:A32),_ENGINE_Initiatives!$BW$5:$BW$76,0)),"")</f>
        <v>3-6 months</v>
      </c>
      <c r="H32" s="220">
        <f>IFERROR(INDEX(_ENGINE_Initiatives!$BV$5:$BV$76,MATCH(ROWS($A$13:A32),_ENGINE_Initiatives!$BW$5:$BW$76,0)),"")</f>
        <v>1.79</v>
      </c>
      <c r="I32" s="220">
        <f>IFERROR(INDEX(_ENGINE_Initiatives!$X$5:$X$76,MATCH(ROWS($A$13:A32),_ENGINE_Initiatives!$BW$5:$BW$76,0)),"")</f>
        <v>4.5862499999999997</v>
      </c>
      <c r="J32" s="220">
        <f>IFERROR(INDEX(_ENGINE_Initiatives!$Y$5:$Y$76,MATCH(ROWS($A$13:A32),_ENGINE_Initiatives!$BW$5:$BW$76,0)),"")</f>
        <v>5</v>
      </c>
      <c r="K32" s="220">
        <f>IFERROR(INDEX(_ENGINE_Initiatives!$BD$5:$BD$76,MATCH(ROWS($A$13:A32),_ENGINE_Initiatives!$BW$5:$BW$76,0)),"")</f>
        <v>4.6190999999999995</v>
      </c>
      <c r="L32" s="220">
        <f>IFERROR(INDEX(_ENGINE_Initiatives!$AA$5:$AA$76,MATCH(ROWS($A$13:A32),_ENGINE_Initiatives!$BW$5:$BW$76,0)),"")</f>
        <v>3.4035000000000002</v>
      </c>
      <c r="M32" s="229">
        <f>IF($B32="","",ROUND(SUMIF(_DATA_RiskInitiativeMap!$A$444:$A$867,$B32,_DATA_RiskInitiativeMap!$K$444:$K$867)*_CONFIG_Model_Settings!$B$169,0))</f>
        <v>1838</v>
      </c>
      <c r="N32" s="145"/>
      <c r="O32" s="145"/>
      <c r="P32" s="145"/>
      <c r="Q32" s="145"/>
      <c r="R32" s="145"/>
      <c r="S32" s="145"/>
      <c r="T32" s="145"/>
      <c r="U32" s="145"/>
      <c r="V32" s="145"/>
      <c r="W32" s="145"/>
      <c r="X32" s="145"/>
      <c r="Y32" s="145"/>
      <c r="Z32" s="145"/>
      <c r="AA32" s="145"/>
      <c r="AB32" s="145"/>
      <c r="AC32" s="145"/>
      <c r="AD32" s="145"/>
    </row>
    <row r="33" spans="1:30" ht="18" customHeight="1">
      <c r="N33" s="145"/>
      <c r="O33" s="145"/>
      <c r="P33" s="145"/>
      <c r="Q33" s="145"/>
      <c r="R33" s="145"/>
      <c r="S33" s="145"/>
      <c r="T33" s="145"/>
      <c r="U33" s="145"/>
      <c r="V33" s="145"/>
      <c r="W33" s="145"/>
      <c r="X33" s="145"/>
      <c r="Y33" s="145"/>
      <c r="Z33" s="145"/>
      <c r="AA33" s="145"/>
      <c r="AB33" s="145"/>
      <c r="AC33" s="145"/>
      <c r="AD33" s="145"/>
    </row>
    <row r="34" spans="1:30" ht="18" customHeight="1">
      <c r="A34" s="211" t="s">
        <v>3524</v>
      </c>
      <c r="N34" s="154" t="s">
        <v>3525</v>
      </c>
      <c r="O34" s="145"/>
      <c r="P34" s="145"/>
      <c r="Q34" s="154" t="s">
        <v>3526</v>
      </c>
      <c r="R34" s="145"/>
      <c r="S34" s="145"/>
      <c r="T34" s="154" t="s">
        <v>3527</v>
      </c>
      <c r="U34" s="145"/>
      <c r="V34" s="145"/>
      <c r="W34" s="145"/>
      <c r="X34" s="145"/>
      <c r="Y34" s="145"/>
      <c r="Z34" s="145"/>
      <c r="AA34" s="145"/>
      <c r="AB34" s="145"/>
      <c r="AC34" s="145"/>
      <c r="AD34" s="145"/>
    </row>
    <row r="35" spans="1:30" ht="18" customHeight="1">
      <c r="A35" s="207" t="s">
        <v>3447</v>
      </c>
      <c r="B35" s="207" t="s">
        <v>3528</v>
      </c>
      <c r="C35" s="207" t="s">
        <v>3462</v>
      </c>
      <c r="D35" s="207" t="s">
        <v>3529</v>
      </c>
      <c r="E35" s="207" t="s">
        <v>3514</v>
      </c>
      <c r="N35" s="146" t="s">
        <v>3530</v>
      </c>
      <c r="O35" s="146" t="s">
        <v>3531</v>
      </c>
      <c r="P35" s="145"/>
      <c r="Q35" s="146" t="s">
        <v>3500</v>
      </c>
      <c r="R35" s="146" t="s">
        <v>3505</v>
      </c>
      <c r="S35" s="145"/>
      <c r="T35" s="146" t="s">
        <v>3513</v>
      </c>
      <c r="U35" s="146" t="s">
        <v>3532</v>
      </c>
      <c r="V35" s="145"/>
      <c r="W35" s="145"/>
      <c r="X35" s="145"/>
      <c r="Y35" s="145"/>
      <c r="Z35" s="145"/>
      <c r="AA35" s="145"/>
      <c r="AB35" s="145"/>
      <c r="AC35" s="145"/>
      <c r="AD35" s="145"/>
    </row>
    <row r="36" spans="1:30" ht="18" customHeight="1">
      <c r="A36" s="227">
        <v>1</v>
      </c>
      <c r="B36" s="227" t="str">
        <f>IFERROR(INDEX(_ENGINE_Risk!$E$500:$E$923,MATCH(ROWS($A$36:A36),_ENGINE_Risk!$A$500:$A$923,0)),"")</f>
        <v>PHYS-007</v>
      </c>
      <c r="C36" s="227" t="str">
        <f>IFERROR(INDEX(_ENGINE_Risk!$T$500:$T$923,MATCH(ROWS($A$36:A36),_ENGINE_Risk!$A$500:$A$923,0)),"")</f>
        <v>Create an immediate risk owner, minimum control baseline and fallback procedure for critical facility register with occupancy, business processes, utilities, safety risks and recovery priority. Add it to the crisis risk register and collect first evidence.</v>
      </c>
      <c r="D36" s="227">
        <f>IFERROR(INDEX(_ENGINE_Risk!$N$500:$N$923,MATCH(ROWS($A$36:A36),_ENGINE_Risk!$A$500:$A$923,0)),"")</f>
        <v>4</v>
      </c>
      <c r="E36" s="227">
        <f>IFERROR(INDEX(_ENGINE_Risk!$BD$500:$BD$923,MATCH(ROWS($A$36:A36),_ENGINE_Risk!$A$500:$A$923,0)),"")</f>
        <v>1.2</v>
      </c>
      <c r="N36" s="147" t="s">
        <v>3515</v>
      </c>
      <c r="O36" s="159">
        <f>IFERROR(AVERAGE($I$13:$I$32),0)</f>
        <v>4.5943124999999991</v>
      </c>
      <c r="P36" s="145"/>
      <c r="Q36" s="147" t="str">
        <f t="shared" ref="Q36:Q45" si="11">IF($C13="","",$C13)</f>
        <v>Build geographic exposure and site continuity model</v>
      </c>
      <c r="R36" s="159">
        <f t="shared" ref="R36:R45" si="12">IFERROR($H13,0)</f>
        <v>2.64</v>
      </c>
      <c r="S36" s="145"/>
      <c r="T36" s="147" t="s">
        <v>3501</v>
      </c>
      <c r="U36" s="147">
        <f>COUNTIF($G$13:$G$32,T36)</f>
        <v>12</v>
      </c>
      <c r="V36" s="145"/>
      <c r="W36" s="145"/>
      <c r="X36" s="145"/>
      <c r="Y36" s="145"/>
      <c r="Z36" s="145"/>
      <c r="AA36" s="145"/>
      <c r="AB36" s="145"/>
      <c r="AC36" s="145"/>
      <c r="AD36" s="145"/>
    </row>
    <row r="37" spans="1:30" ht="18" customHeight="1">
      <c r="A37" s="220">
        <v>2</v>
      </c>
      <c r="B37" s="220" t="str">
        <f>IFERROR(INDEX(_ENGINE_Risk!$E$500:$E$923,MATCH(ROWS($A$36:A37),_ENGINE_Risk!$A$500:$A$923,0)),"")</f>
        <v>PHYS-008</v>
      </c>
      <c r="C37" s="220" t="str">
        <f>IFERROR(INDEX(_ENGINE_Risk!$T$500:$T$923,MATCH(ROWS($A$36:A37),_ENGINE_Risk!$A$500:$A$923,0)),"")</f>
        <v>Create an immediate risk owner, minimum control baseline and fallback procedure for building integrity, fire systems, emergency exits, shelters, alarms, lighting and backup power inspection. Add it to the crisis risk register and collect first evidence.</v>
      </c>
      <c r="D37" s="220">
        <f>IFERROR(INDEX(_ENGINE_Risk!$N$500:$N$923,MATCH(ROWS($A$36:A37),_ENGINE_Risk!$A$500:$A$923,0)),"")</f>
        <v>4</v>
      </c>
      <c r="E37" s="220">
        <f>IFERROR(INDEX(_ENGINE_Risk!$BD$500:$BD$923,MATCH(ROWS($A$36:A37),_ENGINE_Risk!$A$500:$A$923,0)),"")</f>
        <v>1.25</v>
      </c>
      <c r="N37" s="147" t="s">
        <v>3516</v>
      </c>
      <c r="O37" s="159">
        <f>IFERROR(AVERAGE($J$13:$J$32),0)</f>
        <v>4.9249999999999998</v>
      </c>
      <c r="P37" s="145"/>
      <c r="Q37" s="147" t="str">
        <f t="shared" si="11"/>
        <v>Build integrated risk, continuity and resilience control cycle</v>
      </c>
      <c r="R37" s="159">
        <f t="shared" si="12"/>
        <v>2.63</v>
      </c>
      <c r="S37" s="145"/>
      <c r="T37" s="147" t="s">
        <v>3502</v>
      </c>
      <c r="U37" s="147">
        <f>COUNTIF($G$13:$G$32,T37)</f>
        <v>8</v>
      </c>
      <c r="V37" s="145"/>
      <c r="W37" s="145"/>
      <c r="X37" s="145"/>
      <c r="Y37" s="145"/>
      <c r="Z37" s="145"/>
      <c r="AA37" s="145"/>
      <c r="AB37" s="145"/>
      <c r="AC37" s="145"/>
      <c r="AD37" s="145"/>
    </row>
    <row r="38" spans="1:30" ht="18" customHeight="1">
      <c r="A38" s="227">
        <v>3</v>
      </c>
      <c r="B38" s="227" t="str">
        <f>IFERROR(INDEX(_ENGINE_Risk!$E$500:$E$923,MATCH(ROWS($A$36:A38),_ENGINE_Risk!$A$500:$A$923,0)),"")</f>
        <v>PHYS-009</v>
      </c>
      <c r="C38" s="227" t="str">
        <f>IFERROR(INDEX(_ENGINE_Risk!$T$500:$T$923,MATCH(ROWS($A$36:A38),_ENGINE_Risk!$A$500:$A$923,0)),"")</f>
        <v>Create an immediate risk owner, minimum control baseline and fallback procedure for physical access control linked to HR onboarding, offboarding and periodic access review. Add it to the crisis risk register and collect first evidence.</v>
      </c>
      <c r="D38" s="227">
        <f>IFERROR(INDEX(_ENGINE_Risk!$N$500:$N$923,MATCH(ROWS($A$36:A38),_ENGINE_Risk!$A$500:$A$923,0)),"")</f>
        <v>4</v>
      </c>
      <c r="E38" s="227">
        <f>IFERROR(INDEX(_ENGINE_Risk!$BD$500:$BD$923,MATCH(ROWS($A$36:A38),_ENGINE_Risk!$A$500:$A$923,0)),"")</f>
        <v>1.18</v>
      </c>
      <c r="N38" s="147" t="s">
        <v>3517</v>
      </c>
      <c r="O38" s="159">
        <f>IFERROR(AVERAGE($K$13:$K$32),0)</f>
        <v>4.4042254166666677</v>
      </c>
      <c r="P38" s="145"/>
      <c r="Q38" s="147" t="str">
        <f t="shared" si="11"/>
        <v>Implement crisis governance, roles and escalation model</v>
      </c>
      <c r="R38" s="159">
        <f t="shared" si="12"/>
        <v>2.62</v>
      </c>
      <c r="S38" s="145"/>
      <c r="T38" s="147" t="s">
        <v>3503</v>
      </c>
      <c r="U38" s="147">
        <f>COUNTIF($G$13:$G$32,T38)</f>
        <v>0</v>
      </c>
      <c r="V38" s="145"/>
      <c r="W38" s="145"/>
      <c r="X38" s="145"/>
      <c r="Y38" s="145"/>
      <c r="Z38" s="145"/>
      <c r="AA38" s="145"/>
      <c r="AB38" s="145"/>
      <c r="AC38" s="145"/>
      <c r="AD38" s="145"/>
    </row>
    <row r="39" spans="1:30" ht="18" customHeight="1">
      <c r="A39" s="220">
        <v>4</v>
      </c>
      <c r="B39" s="220" t="str">
        <f>IFERROR(INDEX(_ENGINE_Risk!$E$500:$E$923,MATCH(ROWS($A$36:A39),_ENGINE_Risk!$A$500:$A$923,0)),"")</f>
        <v>PHYS-010</v>
      </c>
      <c r="C39" s="220" t="str">
        <f>IFERROR(INDEX(_ENGINE_Risk!$T$500:$T$923,MATCH(ROWS($A$36:A39),_ENGINE_Risk!$A$500:$A$923,0)),"")</f>
        <v>Create an immediate risk owner, minimum control baseline and fallback procedure for visitor management covering identity checks, escorting, sensitive areas and evacuation accountability. Add it to the crisis risk register and collect first evidence.</v>
      </c>
      <c r="D39" s="220">
        <f>IFERROR(INDEX(_ENGINE_Risk!$N$500:$N$923,MATCH(ROWS($A$36:A39),_ENGINE_Risk!$A$500:$A$923,0)),"")</f>
        <v>4</v>
      </c>
      <c r="E39" s="220">
        <f>IFERROR(INDEX(_ENGINE_Risk!$BD$500:$BD$923,MATCH(ROWS($A$36:A39),_ENGINE_Risk!$A$500:$A$923,0)),"")</f>
        <v>1.1599999999999999</v>
      </c>
      <c r="N39" s="147" t="s">
        <v>3518</v>
      </c>
      <c r="O39" s="159">
        <f>IFERROR(AVERAGE($L$13:$L$32),0)</f>
        <v>3.318175000000001</v>
      </c>
      <c r="P39" s="145"/>
      <c r="Q39" s="147" t="str">
        <f t="shared" si="11"/>
        <v>Implement incident command, escalation and after-action review</v>
      </c>
      <c r="R39" s="159">
        <f t="shared" si="12"/>
        <v>2.61</v>
      </c>
      <c r="S39" s="145"/>
      <c r="T39" s="147" t="s">
        <v>3504</v>
      </c>
      <c r="U39" s="147">
        <f>COUNTIF($G$13:$G$32,T39)</f>
        <v>0</v>
      </c>
      <c r="V39" s="145"/>
      <c r="W39" s="145"/>
      <c r="X39" s="145"/>
      <c r="Y39" s="145"/>
      <c r="Z39" s="145"/>
      <c r="AA39" s="145"/>
      <c r="AB39" s="145"/>
      <c r="AC39" s="145"/>
      <c r="AD39" s="145"/>
    </row>
    <row r="40" spans="1:30" ht="18" customHeight="1">
      <c r="A40" s="227">
        <v>5</v>
      </c>
      <c r="B40" s="227" t="str">
        <f>IFERROR(INDEX(_ENGINE_Risk!$E$500:$E$923,MATCH(ROWS($A$36:A40),_ENGINE_Risk!$A$500:$A$923,0)),"")</f>
        <v>PHYS-011</v>
      </c>
      <c r="C40" s="227" t="str">
        <f>IFERROR(INDEX(_ENGINE_Risk!$T$500:$T$923,MATCH(ROWS($A$36:A40),_ENGINE_Risk!$A$500:$A$923,0)),"")</f>
        <v>Create an immediate risk owner, minimum control baseline and fallback procedure for security guarding, CCTV, alarm monitoring and response procedures. Add it to the crisis risk register and collect first evidence.</v>
      </c>
      <c r="D40" s="227">
        <f>IFERROR(INDEX(_ENGINE_Risk!$N$500:$N$923,MATCH(ROWS($A$36:A40),_ENGINE_Risk!$A$500:$A$923,0)),"")</f>
        <v>4</v>
      </c>
      <c r="E40" s="227">
        <f>IFERROR(INDEX(_ENGINE_Risk!$BD$500:$BD$923,MATCH(ROWS($A$36:A40),_ENGINE_Risk!$A$500:$A$923,0)),"")</f>
        <v>1.1599999999999999</v>
      </c>
      <c r="N40" s="145"/>
      <c r="O40" s="145"/>
      <c r="P40" s="145"/>
      <c r="Q40" s="147" t="str">
        <f t="shared" si="11"/>
        <v>Implement compliance obligation monitoring and crisis legal controls</v>
      </c>
      <c r="R40" s="159">
        <f t="shared" si="12"/>
        <v>2.61</v>
      </c>
      <c r="S40" s="145"/>
      <c r="T40" s="145"/>
      <c r="U40" s="145"/>
      <c r="V40" s="145"/>
      <c r="W40" s="145"/>
      <c r="X40" s="145"/>
      <c r="Y40" s="145"/>
      <c r="Z40" s="145"/>
      <c r="AA40" s="145"/>
      <c r="AB40" s="145"/>
      <c r="AC40" s="145"/>
      <c r="AD40" s="145"/>
    </row>
    <row r="41" spans="1:30" ht="18" customHeight="1">
      <c r="A41" s="220">
        <v>6</v>
      </c>
      <c r="B41" s="220" t="str">
        <f>IFERROR(INDEX(_ENGINE_Risk!$E$500:$E$923,MATCH(ROWS($A$36:A41),_ENGINE_Risk!$A$500:$A$923,0)),"")</f>
        <v>PHYS-012</v>
      </c>
      <c r="C41" s="220" t="str">
        <f>IFERROR(INDEX(_ENGINE_Risk!$T$500:$T$923,MATCH(ROWS($A$36:A41),_ENGINE_Risk!$A$500:$A$923,0)),"")</f>
        <v>Create an immediate risk owner, minimum control baseline and fallback procedure for physical asset protection against theft, sabotage, environmental damage and unauthorized access. Add it to the crisis risk register and collect first evidence.</v>
      </c>
      <c r="D41" s="220">
        <f>IFERROR(INDEX(_ENGINE_Risk!$N$500:$N$923,MATCH(ROWS($A$36:A41),_ENGINE_Risk!$A$500:$A$923,0)),"")</f>
        <v>4</v>
      </c>
      <c r="E41" s="220">
        <f>IFERROR(INDEX(_ENGINE_Risk!$BD$500:$BD$923,MATCH(ROWS($A$36:A41),_ENGINE_Risk!$A$500:$A$923,0)),"")</f>
        <v>1.18</v>
      </c>
      <c r="N41" s="145"/>
      <c r="O41" s="145"/>
      <c r="P41" s="145"/>
      <c r="Q41" s="147" t="str">
        <f t="shared" si="11"/>
        <v>Build contract register, obligations and force-majeure response model</v>
      </c>
      <c r="R41" s="159">
        <f t="shared" si="12"/>
        <v>2.6</v>
      </c>
      <c r="S41" s="145"/>
      <c r="T41" s="145"/>
      <c r="U41" s="145"/>
      <c r="V41" s="145"/>
      <c r="W41" s="145"/>
      <c r="X41" s="145"/>
      <c r="Y41" s="145"/>
      <c r="Z41" s="145"/>
      <c r="AA41" s="145"/>
      <c r="AB41" s="145"/>
      <c r="AC41" s="145"/>
      <c r="AD41" s="145"/>
    </row>
    <row r="42" spans="1:30" ht="18" customHeight="1">
      <c r="A42" s="227">
        <v>7</v>
      </c>
      <c r="B42" s="227" t="str">
        <f>IFERROR(INDEX(_ENGINE_Risk!$E$500:$E$923,MATCH(ROWS($A$36:A42),_ENGINE_Risk!$A$500:$A$923,0)),"")</f>
        <v>PHYS-019</v>
      </c>
      <c r="C42" s="227" t="str">
        <f>IFERROR(INDEX(_ENGINE_Risk!$T$500:$T$923,MATCH(ROWS($A$36:A42),_ENGINE_Risk!$A$500:$A$923,0)),"")</f>
        <v>Create an immediate risk owner, minimum control baseline and fallback procedure for air raid, shelling, curfew, checkpoints, movement restriction and shelter procedures for high-risk geographies. Add it to the crisis risk register and collect first evidence.</v>
      </c>
      <c r="D42" s="227">
        <f>IFERROR(INDEX(_ENGINE_Risk!$N$500:$N$923,MATCH(ROWS($A$36:A42),_ENGINE_Risk!$A$500:$A$923,0)),"")</f>
        <v>4</v>
      </c>
      <c r="E42" s="227">
        <f>IFERROR(INDEX(_ENGINE_Risk!$BD$500:$BD$923,MATCH(ROWS($A$36:A42),_ENGINE_Risk!$A$500:$A$923,0)),"")</f>
        <v>1.18</v>
      </c>
      <c r="N42" s="145"/>
      <c r="O42" s="145"/>
      <c r="P42" s="145"/>
      <c r="Q42" s="147" t="str">
        <f t="shared" si="11"/>
        <v>Strengthen data, IP and confidentiality legal safeguards</v>
      </c>
      <c r="R42" s="159">
        <f t="shared" si="12"/>
        <v>2.6</v>
      </c>
      <c r="S42" s="145"/>
      <c r="T42" s="145"/>
      <c r="U42" s="145"/>
      <c r="V42" s="145"/>
      <c r="W42" s="145"/>
      <c r="X42" s="145"/>
      <c r="Y42" s="145"/>
      <c r="Z42" s="145"/>
      <c r="AA42" s="145"/>
      <c r="AB42" s="145"/>
      <c r="AC42" s="145"/>
      <c r="AD42" s="145"/>
    </row>
    <row r="43" spans="1:30" ht="18" customHeight="1">
      <c r="A43" s="220">
        <v>8</v>
      </c>
      <c r="B43" s="220" t="str">
        <f>IFERROR(INDEX(_ENGINE_Risk!$E$500:$E$923,MATCH(ROWS($A$36:A43),_ENGINE_Risk!$A$500:$A$923,0)),"")</f>
        <v>PHYS-020</v>
      </c>
      <c r="C43" s="220" t="str">
        <f>IFERROR(INDEX(_ENGINE_Risk!$T$500:$T$923,MATCH(ROWS($A$36:A43),_ENGINE_Risk!$A$500:$A$923,0)),"")</f>
        <v>Create an immediate risk owner, minimum control baseline and fallback procedure for relocation and evacuation options for employees and critical teams. Add it to the crisis risk register and collect first evidence.</v>
      </c>
      <c r="D43" s="220">
        <f>IFERROR(INDEX(_ENGINE_Risk!$N$500:$N$923,MATCH(ROWS($A$36:A43),_ENGINE_Risk!$A$500:$A$923,0)),"")</f>
        <v>4</v>
      </c>
      <c r="E43" s="220">
        <f>IFERROR(INDEX(_ENGINE_Risk!$BD$500:$BD$923,MATCH(ROWS($A$36:A43),_ENGINE_Risk!$A$500:$A$923,0)),"")</f>
        <v>1.2</v>
      </c>
      <c r="N43" s="145"/>
      <c r="O43" s="145"/>
      <c r="P43" s="145"/>
      <c r="Q43" s="147" t="str">
        <f t="shared" si="11"/>
        <v>Create company context, entity and operating model register</v>
      </c>
      <c r="R43" s="159">
        <f t="shared" si="12"/>
        <v>2.59</v>
      </c>
      <c r="S43" s="145"/>
      <c r="T43" s="145"/>
      <c r="U43" s="145"/>
      <c r="V43" s="145"/>
      <c r="W43" s="145"/>
      <c r="X43" s="145"/>
      <c r="Y43" s="145"/>
      <c r="Z43" s="145"/>
      <c r="AA43" s="145"/>
      <c r="AB43" s="145"/>
      <c r="AC43" s="145"/>
      <c r="AD43" s="145"/>
    </row>
    <row r="44" spans="1:30" ht="18" customHeight="1">
      <c r="A44" s="227">
        <v>9</v>
      </c>
      <c r="B44" s="227" t="str">
        <f>IFERROR(INDEX(_ENGINE_Risk!$E$500:$E$923,MATCH(ROWS($A$36:A44),_ENGINE_Risk!$A$500:$A$923,0)),"")</f>
        <v>PHYS-021</v>
      </c>
      <c r="C44" s="227" t="str">
        <f>IFERROR(INDEX(_ENGINE_Risk!$T$500:$T$923,MATCH(ROWS($A$36:A44),_ENGINE_Risk!$A$500:$A$923,0)),"")</f>
        <v>Create an immediate risk owner, minimum control baseline and fallback procedure for travel risk assessment by destination, route, purpose, employee profile and emergency support. Add it to the crisis risk register and collect first evidence.</v>
      </c>
      <c r="D44" s="227">
        <f>IFERROR(INDEX(_ENGINE_Risk!$N$500:$N$923,MATCH(ROWS($A$36:A44),_ENGINE_Risk!$A$500:$A$923,0)),"")</f>
        <v>4</v>
      </c>
      <c r="E44" s="227">
        <f>IFERROR(INDEX(_ENGINE_Risk!$BD$500:$BD$923,MATCH(ROWS($A$36:A44),_ENGINE_Risk!$A$500:$A$923,0)),"")</f>
        <v>1.2</v>
      </c>
      <c r="N44" s="145"/>
      <c r="O44" s="145"/>
      <c r="P44" s="145"/>
      <c r="Q44" s="147" t="str">
        <f t="shared" si="11"/>
        <v>Strengthen quality management and audit readiness</v>
      </c>
      <c r="R44" s="159">
        <f t="shared" si="12"/>
        <v>2.59</v>
      </c>
      <c r="S44" s="145"/>
      <c r="T44" s="145"/>
      <c r="U44" s="145"/>
      <c r="V44" s="145"/>
      <c r="W44" s="145"/>
      <c r="X44" s="145"/>
      <c r="Y44" s="145"/>
      <c r="Z44" s="145"/>
      <c r="AA44" s="145"/>
      <c r="AB44" s="145"/>
      <c r="AC44" s="145"/>
      <c r="AD44" s="145"/>
    </row>
    <row r="45" spans="1:30" ht="18" customHeight="1">
      <c r="A45" s="220">
        <v>10</v>
      </c>
      <c r="B45" s="220" t="str">
        <f>IFERROR(INDEX(_ENGINE_Risk!$E$500:$E$923,MATCH(ROWS($A$36:A45),_ENGINE_Risk!$A$500:$A$923,0)),"")</f>
        <v>PHYS-022</v>
      </c>
      <c r="C45" s="220" t="str">
        <f>IFERROR(INDEX(_ENGINE_Risk!$T$500:$T$923,MATCH(ROWS($A$36:A45),_ENGINE_Risk!$A$500:$A$923,0)),"")</f>
        <v>Create an immediate risk owner, minimum control baseline and fallback procedure for local threat monitoring for critical sites and geographies. Add it to the crisis risk register and collect first evidence.</v>
      </c>
      <c r="D45" s="220">
        <f>IFERROR(INDEX(_ENGINE_Risk!$N$500:$N$923,MATCH(ROWS($A$36:A45),_ENGINE_Risk!$A$500:$A$923,0)),"")</f>
        <v>4</v>
      </c>
      <c r="E45" s="220">
        <f>IFERROR(INDEX(_ENGINE_Risk!$BD$500:$BD$923,MATCH(ROWS($A$36:A45),_ENGINE_Risk!$A$500:$A$923,0)),"")</f>
        <v>1.2</v>
      </c>
      <c r="N45" s="145"/>
      <c r="O45" s="145"/>
      <c r="P45" s="145"/>
      <c r="Q45" s="147" t="str">
        <f t="shared" si="11"/>
        <v>Map critical business dependencies and external exposures</v>
      </c>
      <c r="R45" s="159">
        <f t="shared" si="12"/>
        <v>2.58</v>
      </c>
      <c r="S45" s="145"/>
      <c r="T45" s="145"/>
      <c r="U45" s="145"/>
      <c r="V45" s="145"/>
      <c r="W45" s="145"/>
      <c r="X45" s="145"/>
      <c r="Y45" s="145"/>
      <c r="Z45" s="145"/>
      <c r="AA45" s="145"/>
      <c r="AB45" s="145"/>
      <c r="AC45" s="145"/>
      <c r="AD45" s="145"/>
    </row>
    <row r="46" spans="1:30" ht="18" customHeight="1">
      <c r="A46" s="227"/>
      <c r="B46" s="227"/>
      <c r="C46" s="227"/>
      <c r="D46" s="227"/>
      <c r="E46" s="227"/>
      <c r="N46" s="145"/>
      <c r="O46" s="145"/>
      <c r="P46" s="145"/>
      <c r="Q46" s="145"/>
      <c r="R46" s="145"/>
      <c r="S46" s="145"/>
      <c r="T46" s="145"/>
      <c r="U46" s="145"/>
      <c r="V46" s="145"/>
      <c r="W46" s="145"/>
      <c r="X46" s="145"/>
      <c r="Y46" s="145"/>
      <c r="Z46" s="145"/>
      <c r="AA46" s="145"/>
      <c r="AB46" s="145"/>
      <c r="AC46" s="145"/>
      <c r="AD46" s="145"/>
    </row>
    <row r="47" spans="1:30" ht="18" customHeight="1">
      <c r="A47" s="220" t="s">
        <v>3463</v>
      </c>
      <c r="B47" s="220" t="s">
        <v>3533</v>
      </c>
      <c r="C47" s="220"/>
      <c r="D47" s="220"/>
      <c r="E47" s="220"/>
      <c r="N47" s="145"/>
      <c r="O47" s="145"/>
      <c r="P47" s="145"/>
      <c r="Q47" s="145"/>
      <c r="R47" s="145"/>
      <c r="S47" s="145"/>
      <c r="T47" s="145"/>
      <c r="U47" s="145"/>
      <c r="V47" s="145"/>
      <c r="W47" s="145"/>
      <c r="X47" s="145"/>
      <c r="Y47" s="145"/>
      <c r="Z47" s="145"/>
      <c r="AA47" s="145"/>
      <c r="AB47" s="145"/>
      <c r="AC47" s="145"/>
      <c r="AD47" s="145"/>
    </row>
    <row r="48" spans="1:30" ht="18" customHeight="1">
      <c r="A48" s="227"/>
      <c r="B48" s="227"/>
      <c r="C48" s="227"/>
      <c r="D48" s="227"/>
      <c r="E48" s="227"/>
      <c r="N48" s="145"/>
      <c r="O48" s="145"/>
      <c r="P48" s="145"/>
      <c r="Q48" s="145"/>
      <c r="R48" s="145"/>
      <c r="S48" s="145"/>
      <c r="T48" s="145"/>
      <c r="U48" s="145"/>
      <c r="V48" s="145"/>
      <c r="W48" s="145"/>
      <c r="X48" s="145"/>
      <c r="Y48" s="145"/>
      <c r="Z48" s="145"/>
      <c r="AA48" s="145"/>
      <c r="AB48" s="145"/>
      <c r="AC48" s="145"/>
      <c r="AD48" s="145"/>
    </row>
    <row r="49" spans="1:30" ht="18" customHeight="1">
      <c r="A49" s="220"/>
      <c r="B49" s="220"/>
      <c r="C49" s="220"/>
      <c r="D49" s="220"/>
      <c r="E49" s="220"/>
      <c r="N49" s="145"/>
      <c r="O49" s="145"/>
      <c r="P49" s="145"/>
      <c r="Q49" s="145"/>
      <c r="R49" s="145"/>
      <c r="S49" s="145"/>
      <c r="T49" s="145"/>
      <c r="U49" s="145"/>
      <c r="V49" s="145"/>
      <c r="W49" s="145"/>
      <c r="X49" s="145"/>
      <c r="Y49" s="145"/>
      <c r="Z49" s="145"/>
      <c r="AA49" s="145"/>
      <c r="AB49" s="145"/>
      <c r="AC49" s="145"/>
      <c r="AD49" s="145"/>
    </row>
    <row r="50" spans="1:30" ht="18" customHeight="1">
      <c r="A50" s="227"/>
      <c r="B50" s="227"/>
      <c r="C50" s="227"/>
      <c r="D50" s="227"/>
      <c r="E50" s="227"/>
      <c r="N50" s="145"/>
      <c r="O50" s="145"/>
      <c r="P50" s="145"/>
      <c r="Q50" s="145"/>
      <c r="R50" s="145"/>
      <c r="S50" s="145"/>
      <c r="T50" s="145"/>
      <c r="U50" s="145"/>
      <c r="V50" s="145"/>
      <c r="W50" s="145"/>
      <c r="X50" s="145"/>
      <c r="Y50" s="145"/>
      <c r="Z50" s="145"/>
      <c r="AA50" s="145"/>
      <c r="AB50" s="145"/>
      <c r="AC50" s="145"/>
      <c r="AD50" s="145"/>
    </row>
    <row r="51" spans="1:30" ht="18" customHeight="1">
      <c r="N51" s="145"/>
      <c r="O51" s="145"/>
      <c r="P51" s="145"/>
      <c r="Q51" s="145"/>
      <c r="R51" s="145"/>
      <c r="S51" s="145"/>
      <c r="T51" s="145"/>
      <c r="U51" s="145"/>
      <c r="V51" s="145"/>
      <c r="W51" s="145"/>
      <c r="X51" s="145"/>
      <c r="Y51" s="145"/>
      <c r="Z51" s="145"/>
      <c r="AA51" s="145"/>
      <c r="AB51" s="145"/>
      <c r="AC51" s="145"/>
      <c r="AD51" s="145"/>
    </row>
    <row r="52" spans="1:30" ht="18" customHeight="1">
      <c r="A52" s="256" t="s">
        <v>3399</v>
      </c>
      <c r="N52" s="145"/>
      <c r="O52" s="145"/>
      <c r="P52" s="145"/>
      <c r="Q52" s="145"/>
      <c r="R52" s="145"/>
      <c r="S52" s="145"/>
      <c r="T52" s="145"/>
      <c r="U52" s="145"/>
      <c r="V52" s="145"/>
      <c r="W52" s="145"/>
      <c r="X52" s="145"/>
      <c r="Y52" s="145"/>
      <c r="Z52" s="145"/>
      <c r="AA52" s="145"/>
      <c r="AB52" s="145"/>
      <c r="AC52" s="145"/>
      <c r="AD52" s="145"/>
    </row>
    <row r="53" spans="1:30" ht="18" customHeight="1">
      <c r="A53" s="257" t="s">
        <v>3400</v>
      </c>
      <c r="B53" s="258" t="s">
        <v>3401</v>
      </c>
      <c r="C53" s="259" t="s">
        <v>3402</v>
      </c>
      <c r="D53" s="257" t="s">
        <v>3403</v>
      </c>
      <c r="E53" s="260" t="s">
        <v>3404</v>
      </c>
      <c r="F53" s="258" t="s">
        <v>3405</v>
      </c>
      <c r="G53" s="259" t="s">
        <v>3406</v>
      </c>
      <c r="N53" s="145"/>
      <c r="O53" s="145"/>
      <c r="P53" s="145"/>
      <c r="Q53" s="145"/>
      <c r="R53" s="145"/>
      <c r="S53" s="145"/>
      <c r="T53" s="145"/>
      <c r="U53" s="145"/>
      <c r="V53" s="145"/>
      <c r="W53" s="145"/>
      <c r="X53" s="145"/>
      <c r="Y53" s="145"/>
      <c r="Z53" s="145"/>
      <c r="AA53" s="145"/>
      <c r="AB53" s="145"/>
      <c r="AC53" s="145"/>
      <c r="AD53" s="145"/>
    </row>
    <row r="54" spans="1:30" ht="18" customHeight="1">
      <c r="N54" s="145"/>
      <c r="O54" s="145"/>
      <c r="P54" s="145"/>
      <c r="Q54" s="145"/>
      <c r="R54" s="145"/>
      <c r="S54" s="145"/>
      <c r="T54" s="145"/>
      <c r="U54" s="145"/>
      <c r="V54" s="145"/>
      <c r="W54" s="145"/>
      <c r="X54" s="145"/>
      <c r="Y54" s="145"/>
      <c r="Z54" s="145"/>
      <c r="AA54" s="145"/>
      <c r="AB54" s="145"/>
      <c r="AC54" s="145"/>
      <c r="AD54" s="145"/>
    </row>
    <row r="55" spans="1:30" ht="18" customHeight="1">
      <c r="A55" t="s">
        <v>3534</v>
      </c>
      <c r="N55" s="145"/>
      <c r="O55" s="145"/>
      <c r="P55" s="145"/>
      <c r="Q55" s="145"/>
      <c r="R55" s="145"/>
      <c r="S55" s="145"/>
      <c r="T55" s="145"/>
      <c r="U55" s="145"/>
      <c r="V55" s="145"/>
      <c r="W55" s="145"/>
      <c r="X55" s="145"/>
      <c r="Y55" s="145"/>
      <c r="Z55" s="145"/>
      <c r="AA55" s="145"/>
      <c r="AB55" s="145"/>
      <c r="AC55" s="145"/>
      <c r="AD55" s="145"/>
    </row>
    <row r="56" spans="1:30" ht="18" customHeight="1">
      <c r="A56" t="s">
        <v>3535</v>
      </c>
      <c r="N56" s="145"/>
      <c r="O56" s="145"/>
      <c r="P56" s="145"/>
      <c r="Q56" s="145"/>
      <c r="R56" s="145"/>
      <c r="S56" s="145"/>
      <c r="T56" s="145"/>
      <c r="U56" s="145"/>
      <c r="V56" s="145"/>
      <c r="W56" s="145"/>
      <c r="X56" s="145"/>
      <c r="Y56" s="145"/>
      <c r="Z56" s="145"/>
      <c r="AA56" s="145"/>
      <c r="AB56" s="145"/>
      <c r="AC56" s="145"/>
      <c r="AD56" s="145"/>
    </row>
    <row r="57" spans="1:30" ht="18" customHeight="1">
      <c r="N57" s="145"/>
      <c r="O57" s="145"/>
      <c r="P57" s="145"/>
      <c r="Q57" s="145"/>
      <c r="R57" s="145"/>
      <c r="S57" s="145"/>
      <c r="T57" s="145"/>
      <c r="U57" s="145"/>
      <c r="V57" s="145"/>
      <c r="W57" s="145"/>
      <c r="X57" s="145"/>
      <c r="Y57" s="145"/>
      <c r="Z57" s="145"/>
      <c r="AA57" s="145"/>
      <c r="AB57" s="145"/>
      <c r="AC57" s="145"/>
      <c r="AD57" s="145"/>
    </row>
    <row r="58" spans="1:30" ht="18" customHeight="1">
      <c r="A58" t="s">
        <v>3512</v>
      </c>
      <c r="B58" t="s">
        <v>3536</v>
      </c>
      <c r="C58" t="s">
        <v>764</v>
      </c>
      <c r="D58" t="s">
        <v>3537</v>
      </c>
      <c r="E58" t="s">
        <v>744</v>
      </c>
      <c r="N58" s="145"/>
      <c r="O58" s="145"/>
      <c r="P58" s="145"/>
      <c r="Q58" s="145"/>
      <c r="R58" s="145"/>
      <c r="S58" s="145"/>
      <c r="T58" s="145"/>
      <c r="U58" s="145"/>
      <c r="V58" s="145"/>
      <c r="W58" s="145"/>
      <c r="X58" s="145"/>
      <c r="Y58" s="145"/>
      <c r="Z58" s="145"/>
      <c r="AA58" s="145"/>
      <c r="AB58" s="145"/>
      <c r="AC58" s="145"/>
      <c r="AD58" s="145"/>
    </row>
    <row r="59" spans="1:30" ht="18" customHeight="1">
      <c r="A59" t="str">
        <f>IF(_ENGINE_Initiatives!A5="","",_ENGINE_Initiatives!A5)</f>
        <v>INI-001</v>
      </c>
      <c r="B59" t="str">
        <f>IF(_ENGINE_Initiatives!A5="","",_ENGINE_Initiatives!F5)</f>
        <v>Create company context, entity and operating model register</v>
      </c>
      <c r="C59" t="str">
        <f>IF(_ENGINE_Initiatives!A5="","",_ENGINE_Initiatives!B5)</f>
        <v>Company Geography</v>
      </c>
      <c r="N59" s="145"/>
      <c r="O59" s="145"/>
      <c r="P59" s="145"/>
      <c r="Q59" s="145"/>
      <c r="R59" s="145"/>
      <c r="S59" s="145"/>
      <c r="T59" s="145"/>
      <c r="U59" s="145"/>
      <c r="V59" s="145"/>
      <c r="W59" s="145"/>
      <c r="X59" s="145"/>
      <c r="Y59" s="145"/>
      <c r="Z59" s="145"/>
      <c r="AA59" s="145"/>
      <c r="AB59" s="145"/>
      <c r="AC59" s="145"/>
      <c r="AD59" s="145"/>
    </row>
    <row r="60" spans="1:30" ht="18" customHeight="1">
      <c r="A60" t="str">
        <f>IF(_ENGINE_Initiatives!A6="","",_ENGINE_Initiatives!A6)</f>
        <v>INI-002</v>
      </c>
      <c r="B60" t="str">
        <f>IF(_ENGINE_Initiatives!A6="","",_ENGINE_Initiatives!F6)</f>
        <v>Build geographic exposure and site continuity model</v>
      </c>
      <c r="C60" t="str">
        <f>IF(_ENGINE_Initiatives!A6="","",_ENGINE_Initiatives!B6)</f>
        <v>Company Geography</v>
      </c>
      <c r="N60" s="145"/>
      <c r="O60" s="145"/>
      <c r="P60" s="145"/>
      <c r="Q60" s="145"/>
      <c r="R60" s="145"/>
      <c r="S60" s="145"/>
      <c r="T60" s="145"/>
      <c r="U60" s="145"/>
      <c r="V60" s="145"/>
      <c r="W60" s="145"/>
      <c r="X60" s="145"/>
      <c r="Y60" s="145"/>
      <c r="Z60" s="145"/>
      <c r="AA60" s="145"/>
      <c r="AB60" s="145"/>
      <c r="AC60" s="145"/>
      <c r="AD60" s="145"/>
    </row>
    <row r="61" spans="1:30" ht="18" customHeight="1">
      <c r="A61" t="str">
        <f>IF(_ENGINE_Initiatives!A7="","",_ENGINE_Initiatives!A7)</f>
        <v>INI-003</v>
      </c>
      <c r="B61" t="str">
        <f>IF(_ENGINE_Initiatives!A7="","",_ENGINE_Initiatives!F7)</f>
        <v>Map critical business dependencies and external exposures</v>
      </c>
      <c r="C61" t="str">
        <f>IF(_ENGINE_Initiatives!A7="","",_ENGINE_Initiatives!B7)</f>
        <v>Company Geography</v>
      </c>
      <c r="N61" s="145"/>
      <c r="O61" s="145"/>
      <c r="P61" s="145"/>
      <c r="Q61" s="145"/>
      <c r="R61" s="145"/>
      <c r="S61" s="145"/>
      <c r="T61" s="145"/>
      <c r="U61" s="145"/>
      <c r="V61" s="145"/>
      <c r="W61" s="145"/>
      <c r="X61" s="145"/>
      <c r="Y61" s="145"/>
      <c r="Z61" s="145"/>
      <c r="AA61" s="145"/>
      <c r="AB61" s="145"/>
      <c r="AC61" s="145"/>
      <c r="AD61" s="145"/>
    </row>
    <row r="62" spans="1:30" ht="18" customHeight="1">
      <c r="A62" t="str">
        <f>IF(_ENGINE_Initiatives!A8="","",_ENGINE_Initiatives!A8)</f>
        <v>INI-004</v>
      </c>
      <c r="B62" t="str">
        <f>IF(_ENGINE_Initiatives!A8="","",_ENGINE_Initiatives!F8)</f>
        <v>Stress-test corporate strategy and decision assumptions</v>
      </c>
      <c r="C62" t="str">
        <f>IF(_ENGINE_Initiatives!A8="","",_ENGINE_Initiatives!B8)</f>
        <v>Strategy GTM</v>
      </c>
      <c r="N62" s="145"/>
      <c r="O62" s="145"/>
      <c r="P62" s="145"/>
      <c r="Q62" s="145"/>
      <c r="R62" s="145"/>
      <c r="S62" s="145"/>
      <c r="T62" s="145"/>
      <c r="U62" s="145"/>
      <c r="V62" s="145"/>
      <c r="W62" s="145"/>
      <c r="X62" s="145"/>
      <c r="Y62" s="145"/>
      <c r="Z62" s="145"/>
      <c r="AA62" s="145"/>
      <c r="AB62" s="145"/>
      <c r="AC62" s="145"/>
      <c r="AD62" s="145"/>
    </row>
    <row r="63" spans="1:30" ht="18" customHeight="1">
      <c r="A63" t="str">
        <f>IF(_ENGINE_Initiatives!A9="","",_ENGINE_Initiatives!A9)</f>
        <v>INI-005</v>
      </c>
      <c r="B63" t="str">
        <f>IF(_ENGINE_Initiatives!A9="","",_ENGINE_Initiatives!F9)</f>
        <v>Define crisis-adjusted ICP, market segments and demand exposure</v>
      </c>
      <c r="C63" t="str">
        <f>IF(_ENGINE_Initiatives!A9="","",_ENGINE_Initiatives!B9)</f>
        <v>Strategy GTM</v>
      </c>
      <c r="N63" s="145"/>
      <c r="O63" s="145"/>
      <c r="P63" s="145"/>
      <c r="Q63" s="145"/>
      <c r="R63" s="145"/>
      <c r="S63" s="145"/>
      <c r="T63" s="145"/>
      <c r="U63" s="145"/>
      <c r="V63" s="145"/>
      <c r="W63" s="145"/>
      <c r="X63" s="145"/>
      <c r="Y63" s="145"/>
      <c r="Z63" s="145"/>
      <c r="AA63" s="145"/>
      <c r="AB63" s="145"/>
      <c r="AC63" s="145"/>
      <c r="AD63" s="145"/>
    </row>
    <row r="64" spans="1:30" ht="18" customHeight="1">
      <c r="A64" t="str">
        <f>IF(_ENGINE_Initiatives!A10="","",_ENGINE_Initiatives!A10)</f>
        <v>INI-006</v>
      </c>
      <c r="B64" t="str">
        <f>IF(_ENGINE_Initiatives!A10="","",_ENGINE_Initiatives!F10)</f>
        <v>Standardize offering architecture and crisis-proof value proposition</v>
      </c>
      <c r="C64" t="str">
        <f>IF(_ENGINE_Initiatives!A10="","",_ENGINE_Initiatives!B10)</f>
        <v>Strategy GTM</v>
      </c>
      <c r="N64" s="145"/>
      <c r="O64" s="145"/>
      <c r="P64" s="145"/>
      <c r="Q64" s="145"/>
      <c r="R64" s="145"/>
      <c r="S64" s="145"/>
      <c r="T64" s="145"/>
      <c r="U64" s="145"/>
      <c r="V64" s="145"/>
      <c r="W64" s="145"/>
      <c r="X64" s="145"/>
      <c r="Y64" s="145"/>
      <c r="Z64" s="145"/>
      <c r="AA64" s="145"/>
      <c r="AB64" s="145"/>
      <c r="AC64" s="145"/>
      <c r="AD64" s="145"/>
    </row>
    <row r="65" spans="1:30" ht="18" customHeight="1">
      <c r="A65" t="str">
        <f>IF(_ENGINE_Initiatives!A11="","",_ENGINE_Initiatives!A11)</f>
        <v>INI-007</v>
      </c>
      <c r="B65" t="str">
        <f>IF(_ENGINE_Initiatives!A11="","",_ENGINE_Initiatives!F11)</f>
        <v>Build resilient GTM execution cadence and channel plan</v>
      </c>
      <c r="C65" t="str">
        <f>IF(_ENGINE_Initiatives!A11="","",_ENGINE_Initiatives!B11)</f>
        <v>Strategy GTM</v>
      </c>
      <c r="N65" s="145"/>
      <c r="O65" s="145"/>
      <c r="P65" s="145"/>
      <c r="Q65" s="145"/>
      <c r="R65" s="145"/>
      <c r="S65" s="145"/>
      <c r="T65" s="145"/>
      <c r="U65" s="145"/>
      <c r="V65" s="145"/>
      <c r="W65" s="145"/>
      <c r="X65" s="145"/>
      <c r="Y65" s="145"/>
      <c r="Z65" s="145"/>
      <c r="AA65" s="145"/>
      <c r="AB65" s="145"/>
      <c r="AC65" s="145"/>
      <c r="AD65" s="145"/>
    </row>
    <row r="66" spans="1:30" ht="18" customHeight="1">
      <c r="A66" t="str">
        <f>IF(_ENGINE_Initiatives!A12="","",_ENGINE_Initiatives!A12)</f>
        <v>INI-008</v>
      </c>
      <c r="B66" t="str">
        <f>IF(_ENGINE_Initiatives!A12="","",_ENGINE_Initiatives!F12)</f>
        <v>Implement crisis governance, roles and escalation model</v>
      </c>
      <c r="C66" t="str">
        <f>IF(_ENGINE_Initiatives!A12="","",_ENGINE_Initiatives!B12)</f>
        <v>Governance Crisis</v>
      </c>
      <c r="N66" s="145"/>
      <c r="O66" s="145"/>
      <c r="P66" s="145"/>
      <c r="Q66" s="145"/>
      <c r="R66" s="145"/>
      <c r="S66" s="145"/>
      <c r="T66" s="145"/>
      <c r="U66" s="145"/>
      <c r="V66" s="145"/>
      <c r="W66" s="145"/>
      <c r="X66" s="145"/>
      <c r="Y66" s="145"/>
      <c r="Z66" s="145"/>
      <c r="AA66" s="145"/>
      <c r="AB66" s="145"/>
      <c r="AC66" s="145"/>
      <c r="AD66" s="145"/>
    </row>
    <row r="67" spans="1:30" ht="18" customHeight="1">
      <c r="A67" t="str">
        <f>IF(_ENGINE_Initiatives!A13="","",_ENGINE_Initiatives!A13)</f>
        <v>INI-009</v>
      </c>
      <c r="B67" t="str">
        <f>IF(_ENGINE_Initiatives!A13="","",_ENGINE_Initiatives!F13)</f>
        <v>Build integrated risk, continuity and resilience control cycle</v>
      </c>
      <c r="C67" t="str">
        <f>IF(_ENGINE_Initiatives!A13="","",_ENGINE_Initiatives!B13)</f>
        <v>Governance Crisis</v>
      </c>
      <c r="N67" s="145"/>
      <c r="O67" s="145"/>
      <c r="P67" s="145"/>
      <c r="Q67" s="145"/>
      <c r="R67" s="145"/>
      <c r="S67" s="145"/>
      <c r="T67" s="145"/>
      <c r="U67" s="145"/>
      <c r="V67" s="145"/>
      <c r="W67" s="145"/>
      <c r="X67" s="145"/>
      <c r="Y67" s="145"/>
      <c r="Z67" s="145"/>
      <c r="AA67" s="145"/>
      <c r="AB67" s="145"/>
      <c r="AC67" s="145"/>
      <c r="AD67" s="145"/>
    </row>
    <row r="68" spans="1:30" ht="18" customHeight="1">
      <c r="A68" t="str">
        <f>IF(_ENGINE_Initiatives!A14="","",_ENGINE_Initiatives!A14)</f>
        <v>INI-010</v>
      </c>
      <c r="B68" t="str">
        <f>IF(_ENGINE_Initiatives!A14="","",_ENGINE_Initiatives!F14)</f>
        <v>Implement incident command, escalation and after-action review</v>
      </c>
      <c r="C68" t="str">
        <f>IF(_ENGINE_Initiatives!A14="","",_ENGINE_Initiatives!B14)</f>
        <v>Governance Crisis</v>
      </c>
      <c r="N68" s="145"/>
      <c r="O68" s="145"/>
      <c r="P68" s="145"/>
      <c r="Q68" s="145"/>
      <c r="R68" s="145"/>
      <c r="S68" s="145"/>
      <c r="T68" s="145"/>
      <c r="U68" s="145"/>
      <c r="V68" s="145"/>
      <c r="W68" s="145"/>
      <c r="X68" s="145"/>
      <c r="Y68" s="145"/>
      <c r="Z68" s="145"/>
      <c r="AA68" s="145"/>
      <c r="AB68" s="145"/>
      <c r="AC68" s="145"/>
      <c r="AD68" s="145"/>
    </row>
    <row r="69" spans="1:30" ht="18" customHeight="1">
      <c r="A69" t="str">
        <f>IF(_ENGINE_Initiatives!A15="","",_ENGINE_Initiatives!A15)</f>
        <v>INI-011</v>
      </c>
      <c r="B69" t="str">
        <f>IF(_ENGINE_Initiatives!A15="","",_ENGINE_Initiatives!F15)</f>
        <v>Create workforce visibility, critical-role and location dashboard</v>
      </c>
      <c r="C69" t="str">
        <f>IF(_ENGINE_Initiatives!A15="","",_ENGINE_Initiatives!B15)</f>
        <v>HR Workforce</v>
      </c>
      <c r="N69" s="145"/>
      <c r="O69" s="145"/>
      <c r="P69" s="145"/>
      <c r="Q69" s="145"/>
      <c r="R69" s="145"/>
      <c r="S69" s="145"/>
      <c r="T69" s="145"/>
      <c r="U69" s="145"/>
      <c r="V69" s="145"/>
      <c r="W69" s="145"/>
      <c r="X69" s="145"/>
      <c r="Y69" s="145"/>
      <c r="Z69" s="145"/>
      <c r="AA69" s="145"/>
      <c r="AB69" s="145"/>
      <c r="AC69" s="145"/>
      <c r="AD69" s="145"/>
    </row>
    <row r="70" spans="1:30" ht="18" customHeight="1">
      <c r="A70" t="str">
        <f>IF(_ENGINE_Initiatives!A16="","",_ENGINE_Initiatives!A16)</f>
        <v>INI-012</v>
      </c>
      <c r="B70" t="str">
        <f>IF(_ENGINE_Initiatives!A16="","",_ENGINE_Initiatives!F16)</f>
        <v>Build recruitment, retention and succession resilience plan</v>
      </c>
      <c r="C70" t="str">
        <f>IF(_ENGINE_Initiatives!A16="","",_ENGINE_Initiatives!B16)</f>
        <v>HR Workforce</v>
      </c>
      <c r="N70" s="145"/>
      <c r="O70" s="145"/>
      <c r="P70" s="145"/>
      <c r="Q70" s="145"/>
      <c r="R70" s="145"/>
      <c r="S70" s="145"/>
      <c r="T70" s="145"/>
      <c r="U70" s="145"/>
      <c r="V70" s="145"/>
      <c r="W70" s="145"/>
      <c r="X70" s="145"/>
      <c r="Y70" s="145"/>
      <c r="Z70" s="145"/>
      <c r="AA70" s="145"/>
      <c r="AB70" s="145"/>
      <c r="AC70" s="145"/>
      <c r="AD70" s="145"/>
    </row>
    <row r="71" spans="1:30" ht="18" customHeight="1">
      <c r="A71" t="str">
        <f>IF(_ENGINE_Initiatives!A17="","",_ENGINE_Initiatives!A17)</f>
        <v>INI-013</v>
      </c>
      <c r="B71" t="str">
        <f>IF(_ENGINE_Initiatives!A17="","",_ENGINE_Initiatives!F17)</f>
        <v>Implement workforce continuity, wellbeing and availability playbook</v>
      </c>
      <c r="C71" t="str">
        <f>IF(_ENGINE_Initiatives!A17="","",_ENGINE_Initiatives!B17)</f>
        <v>HR Workforce</v>
      </c>
      <c r="N71" s="145"/>
      <c r="O71" s="145"/>
      <c r="P71" s="145"/>
      <c r="Q71" s="145"/>
      <c r="R71" s="145"/>
      <c r="S71" s="145"/>
      <c r="T71" s="145"/>
      <c r="U71" s="145"/>
      <c r="V71" s="145"/>
      <c r="W71" s="145"/>
      <c r="X71" s="145"/>
      <c r="Y71" s="145"/>
      <c r="Z71" s="145"/>
      <c r="AA71" s="145"/>
      <c r="AB71" s="145"/>
      <c r="AC71" s="145"/>
      <c r="AD71" s="145"/>
    </row>
    <row r="72" spans="1:30" ht="18" customHeight="1">
      <c r="A72" t="str">
        <f>IF(_ENGINE_Initiatives!A18="","",_ENGINE_Initiatives!A18)</f>
        <v>INI-014</v>
      </c>
      <c r="B72" t="str">
        <f>IF(_ENGINE_Initiatives!A18="","",_ENGINE_Initiatives!F18)</f>
        <v>Stabilize HRMS, workforce data and HR compliance controls</v>
      </c>
      <c r="C72" t="str">
        <f>IF(_ENGINE_Initiatives!A18="","",_ENGINE_Initiatives!B18)</f>
        <v>HR Workforce</v>
      </c>
      <c r="N72" s="145"/>
      <c r="O72" s="145"/>
      <c r="P72" s="145"/>
      <c r="Q72" s="145"/>
      <c r="R72" s="145"/>
      <c r="S72" s="145"/>
      <c r="T72" s="145"/>
      <c r="U72" s="145"/>
      <c r="V72" s="145"/>
      <c r="W72" s="145"/>
      <c r="X72" s="145"/>
      <c r="Y72" s="145"/>
      <c r="Z72" s="145"/>
      <c r="AA72" s="145"/>
      <c r="AB72" s="145"/>
      <c r="AC72" s="145"/>
      <c r="AD72" s="145"/>
    </row>
    <row r="73" spans="1:30" ht="18" customHeight="1">
      <c r="A73" t="str">
        <f>IF(_ENGINE_Initiatives!A19="","",_ENGINE_Initiatives!A19)</f>
        <v>INI-015</v>
      </c>
      <c r="B73" t="str">
        <f>IF(_ENGINE_Initiatives!A19="","",_ENGINE_Initiatives!F19)</f>
        <v>Implement cash-flow resilience and financial scenario planning</v>
      </c>
      <c r="C73" t="str">
        <f>IF(_ENGINE_Initiatives!A19="","",_ENGINE_Initiatives!B19)</f>
        <v>Finance Procurement</v>
      </c>
      <c r="N73" s="297" t="s">
        <v>3538</v>
      </c>
      <c r="O73" s="264"/>
      <c r="P73" s="264"/>
      <c r="Q73" s="264"/>
      <c r="R73" s="264"/>
      <c r="S73" s="264"/>
      <c r="T73" s="264"/>
      <c r="U73" s="264"/>
      <c r="V73" s="264"/>
      <c r="W73" s="264"/>
      <c r="X73" s="264"/>
      <c r="Y73" s="264"/>
      <c r="Z73" s="264"/>
      <c r="AA73" s="264"/>
      <c r="AB73" s="264"/>
      <c r="AC73" s="264"/>
      <c r="AD73" s="265"/>
    </row>
    <row r="74" spans="1:30" ht="18" customHeight="1">
      <c r="A74" t="str">
        <f>IF(_ENGINE_Initiatives!A20="","",_ENGINE_Initiatives!A20)</f>
        <v>INI-016</v>
      </c>
      <c r="B74" t="str">
        <f>IF(_ENGINE_Initiatives!A20="","",_ENGINE_Initiatives!F20)</f>
        <v>Strengthen financial controls, approvals and accounting continuity</v>
      </c>
      <c r="C74" t="str">
        <f>IF(_ENGINE_Initiatives!A20="","",_ENGINE_Initiatives!B20)</f>
        <v>Finance Procurement</v>
      </c>
      <c r="N74" s="269"/>
      <c r="O74" s="270"/>
      <c r="P74" s="270"/>
      <c r="Q74" s="270"/>
      <c r="R74" s="270"/>
      <c r="S74" s="270"/>
      <c r="T74" s="270"/>
      <c r="U74" s="270"/>
      <c r="V74" s="270"/>
      <c r="W74" s="270"/>
      <c r="X74" s="270"/>
      <c r="Y74" s="270"/>
      <c r="Z74" s="270"/>
      <c r="AA74" s="270"/>
      <c r="AB74" s="270"/>
      <c r="AC74" s="270"/>
      <c r="AD74" s="271"/>
    </row>
    <row r="75" spans="1:30" ht="18" customHeight="1">
      <c r="A75" t="str">
        <f>IF(_ENGINE_Initiatives!A21="","",_ENGINE_Initiatives!A21)</f>
        <v>INI-017</v>
      </c>
      <c r="B75" t="str">
        <f>IF(_ENGINE_Initiatives!A21="","",_ENGINE_Initiatives!F21)</f>
        <v>Build resilient procurement governance and supplier risk controls</v>
      </c>
      <c r="C75" t="str">
        <f>IF(_ENGINE_Initiatives!A21="","",_ENGINE_Initiatives!B21)</f>
        <v>Finance Procurement</v>
      </c>
      <c r="N75" s="145"/>
      <c r="O75" s="145"/>
      <c r="P75" s="145"/>
      <c r="Q75" s="145"/>
      <c r="R75" s="145"/>
      <c r="S75" s="145"/>
      <c r="T75" s="145"/>
      <c r="U75" s="145"/>
      <c r="V75" s="145"/>
      <c r="W75" s="145"/>
      <c r="X75" s="145"/>
      <c r="Y75" s="145"/>
      <c r="Z75" s="145"/>
      <c r="AA75" s="145"/>
      <c r="AB75" s="145"/>
      <c r="AC75" s="145"/>
      <c r="AD75" s="145"/>
    </row>
    <row r="76" spans="1:30" ht="18" customHeight="1">
      <c r="A76" t="str">
        <f>IF(_ENGINE_Initiatives!A22="","",_ENGINE_Initiatives!A22)</f>
        <v>INI-018</v>
      </c>
      <c r="B76" t="str">
        <f>IF(_ENGINE_Initiatives!A22="","",_ENGINE_Initiatives!F22)</f>
        <v>Optimize working capital and liquidity early-warning controls</v>
      </c>
      <c r="C76" t="str">
        <f>IF(_ENGINE_Initiatives!A22="","",_ENGINE_Initiatives!B22)</f>
        <v>Finance Procurement</v>
      </c>
      <c r="N76" s="145"/>
      <c r="O76" s="145"/>
      <c r="P76" s="145"/>
      <c r="Q76" s="145"/>
      <c r="R76" s="145"/>
      <c r="S76" s="145"/>
      <c r="T76" s="145"/>
      <c r="U76" s="145"/>
      <c r="V76" s="145"/>
      <c r="W76" s="145"/>
      <c r="X76" s="145"/>
      <c r="Y76" s="145"/>
      <c r="Z76" s="145"/>
      <c r="AA76" s="145"/>
      <c r="AB76" s="145"/>
      <c r="AC76" s="145"/>
      <c r="AD76" s="145"/>
    </row>
    <row r="77" spans="1:30" ht="18" customHeight="1">
      <c r="A77" t="str">
        <f>IF(_ENGINE_Initiatives!A23="","",_ENGINE_Initiatives!A23)</f>
        <v>INI-019</v>
      </c>
      <c r="B77" t="str">
        <f>IF(_ENGINE_Initiatives!A23="","",_ENGINE_Initiatives!F23)</f>
        <v>Implement compliance obligation monitoring and crisis legal controls</v>
      </c>
      <c r="C77" t="str">
        <f>IF(_ENGINE_Initiatives!A23="","",_ENGINE_Initiatives!B23)</f>
        <v>Legal Risk</v>
      </c>
      <c r="N77" s="145"/>
      <c r="O77" s="145"/>
      <c r="P77" s="145"/>
      <c r="Q77" s="145"/>
      <c r="R77" s="145"/>
      <c r="S77" s="145"/>
      <c r="T77" s="145"/>
      <c r="U77" s="145"/>
      <c r="V77" s="145"/>
      <c r="W77" s="145"/>
      <c r="X77" s="145"/>
      <c r="Y77" s="145"/>
      <c r="Z77" s="145"/>
      <c r="AA77" s="145"/>
      <c r="AB77" s="145"/>
      <c r="AC77" s="145"/>
      <c r="AD77" s="145"/>
    </row>
    <row r="78" spans="1:30">
      <c r="A78" t="str">
        <f>IF(_ENGINE_Initiatives!A24="","",_ENGINE_Initiatives!A24)</f>
        <v>INI-020</v>
      </c>
      <c r="B78" t="str">
        <f>IF(_ENGINE_Initiatives!A24="","",_ENGINE_Initiatives!F24)</f>
        <v>Build contract register, obligations and force-majeure response model</v>
      </c>
      <c r="C78" t="str">
        <f>IF(_ENGINE_Initiatives!A24="","",_ENGINE_Initiatives!B24)</f>
        <v>Legal Risk</v>
      </c>
    </row>
    <row r="79" spans="1:30">
      <c r="A79" t="str">
        <f>IF(_ENGINE_Initiatives!A25="","",_ENGINE_Initiatives!A25)</f>
        <v>INI-021</v>
      </c>
      <c r="B79" t="str">
        <f>IF(_ENGINE_Initiatives!A25="","",_ENGINE_Initiatives!F25)</f>
        <v>Strengthen data, IP and confidentiality legal safeguards</v>
      </c>
      <c r="C79" t="str">
        <f>IF(_ENGINE_Initiatives!A25="","",_ENGINE_Initiatives!B25)</f>
        <v>Legal Risk</v>
      </c>
    </row>
    <row r="80" spans="1:30">
      <c r="A80" t="str">
        <f>IF(_ENGINE_Initiatives!A26="","",_ENGINE_Initiatives!A26)</f>
        <v>INI-022</v>
      </c>
      <c r="B80" t="str">
        <f>IF(_ENGINE_Initiatives!A26="","",_ENGINE_Initiatives!F26)</f>
        <v>Prepare employment-law continuity and workforce-location compliance</v>
      </c>
      <c r="C80" t="str">
        <f>IF(_ENGINE_Initiatives!A26="","",_ENGINE_Initiatives!B26)</f>
        <v>Legal Risk</v>
      </c>
    </row>
    <row r="81" spans="1:3">
      <c r="A81" t="str">
        <f>IF(_ENGINE_Initiatives!A27="","",_ENGINE_Initiatives!A27)</f>
        <v>INI-023</v>
      </c>
      <c r="B81" t="str">
        <f>IF(_ENGINE_Initiatives!A27="","",_ENGINE_Initiatives!F27)</f>
        <v>Implement occupational health and safety governance system</v>
      </c>
      <c r="C81" t="str">
        <f>IF(_ENGINE_Initiatives!A27="","",_ENGINE_Initiatives!B27)</f>
        <v>Physical Safety</v>
      </c>
    </row>
    <row r="82" spans="1:3">
      <c r="A82" t="str">
        <f>IF(_ENGINE_Initiatives!A28="","",_ENGINE_Initiatives!A28)</f>
        <v>INI-024</v>
      </c>
      <c r="B82" t="str">
        <f>IF(_ENGINE_Initiatives!A28="","",_ENGINE_Initiatives!F28)</f>
        <v>Secure facilities, physical access and site protection controls</v>
      </c>
      <c r="C82" t="str">
        <f>IF(_ENGINE_Initiatives!A28="","",_ENGINE_Initiatives!B28)</f>
        <v>Physical Safety</v>
      </c>
    </row>
    <row r="83" spans="1:3">
      <c r="A83" t="str">
        <f>IF(_ENGINE_Initiatives!A29="","",_ENGINE_Initiatives!A29)</f>
        <v>INI-025</v>
      </c>
      <c r="B83" t="str">
        <f>IF(_ENGINE_Initiatives!A29="","",_ENGINE_Initiatives!F29)</f>
        <v>Build emergency response, evacuation and shelter procedures</v>
      </c>
      <c r="C83" t="str">
        <f>IF(_ENGINE_Initiatives!A29="","",_ENGINE_Initiatives!B29)</f>
        <v>Physical Safety</v>
      </c>
    </row>
    <row r="84" spans="1:3">
      <c r="A84" t="str">
        <f>IF(_ENGINE_Initiatives!A30="","",_ENGINE_Initiatives!A30)</f>
        <v>INI-026</v>
      </c>
      <c r="B84" t="str">
        <f>IF(_ENGINE_Initiatives!A30="","",_ENGINE_Initiatives!F30)</f>
        <v>Implement physical security and travel risk management</v>
      </c>
      <c r="C84" t="str">
        <f>IF(_ENGINE_Initiatives!A30="","",_ENGINE_Initiatives!B30)</f>
        <v>Physical Safety</v>
      </c>
    </row>
    <row r="85" spans="1:3">
      <c r="A85" t="str">
        <f>IF(_ENGINE_Initiatives!A31="","",_ENGINE_Initiatives!A31)</f>
        <v>INI-027</v>
      </c>
      <c r="B85" t="str">
        <f>IF(_ENGINE_Initiatives!A31="","",_ENGINE_Initiatives!F31)</f>
        <v>Build utilities backup and facility resilience plan</v>
      </c>
      <c r="C85" t="str">
        <f>IF(_ENGINE_Initiatives!A31="","",_ENGINE_Initiatives!B31)</f>
        <v>Physical Safety</v>
      </c>
    </row>
    <row r="86" spans="1:3">
      <c r="A86" t="str">
        <f>IF(_ENGINE_Initiatives!A32="","",_ENGINE_Initiatives!A32)</f>
        <v>INI-028</v>
      </c>
      <c r="B86" t="str">
        <f>IF(_ENGINE_Initiatives!A32="","",_ENGINE_Initiatives!F32)</f>
        <v>Standardize delivery governance, ownership and escalation</v>
      </c>
      <c r="C86" t="str">
        <f>IF(_ENGINE_Initiatives!A32="","",_ENGINE_Initiatives!B32)</f>
        <v>Delivery Ops</v>
      </c>
    </row>
    <row r="87" spans="1:3">
      <c r="A87" t="str">
        <f>IF(_ENGINE_Initiatives!A33="","",_ENGINE_Initiatives!A33)</f>
        <v>INI-029</v>
      </c>
      <c r="B87" t="str">
        <f>IF(_ENGINE_Initiatives!A33="","",_ENGINE_Initiatives!F33)</f>
        <v>Build capacity resilience and delivery continuity model</v>
      </c>
      <c r="C87" t="str">
        <f>IF(_ENGINE_Initiatives!A33="","",_ENGINE_Initiatives!B33)</f>
        <v>Delivery Ops</v>
      </c>
    </row>
    <row r="88" spans="1:3">
      <c r="A88" t="str">
        <f>IF(_ENGINE_Initiatives!A34="","",_ENGINE_Initiatives!A34)</f>
        <v>INI-030</v>
      </c>
      <c r="B88" t="str">
        <f>IF(_ENGINE_Initiatives!A34="","",_ENGINE_Initiatives!F34)</f>
        <v>Strengthen process control, SOPs and operational quality gates</v>
      </c>
      <c r="C88" t="str">
        <f>IF(_ENGINE_Initiatives!A34="","",_ENGINE_Initiatives!B34)</f>
        <v>Delivery Ops</v>
      </c>
    </row>
    <row r="89" spans="1:3">
      <c r="A89" t="str">
        <f>IF(_ENGINE_Initiatives!A35="","",_ENGINE_Initiatives!A35)</f>
        <v>INI-031</v>
      </c>
      <c r="B89" t="str">
        <f>IF(_ENGINE_Initiatives!A35="","",_ENGINE_Initiatives!F35)</f>
        <v>Implement operational visibility dashboards and early warning</v>
      </c>
      <c r="C89" t="str">
        <f>IF(_ENGINE_Initiatives!A35="","",_ENGINE_Initiatives!B35)</f>
        <v>Delivery Ops</v>
      </c>
    </row>
    <row r="90" spans="1:3">
      <c r="A90" t="str">
        <f>IF(_ENGINE_Initiatives!A36="","",_ENGINE_Initiatives!A36)</f>
        <v>INI-032</v>
      </c>
      <c r="B90" t="str">
        <f>IF(_ENGINE_Initiatives!A36="","",_ENGINE_Initiatives!F36)</f>
        <v>Redesign supply chain for resilience and alternative sourcing</v>
      </c>
      <c r="C90" t="str">
        <f>IF(_ENGINE_Initiatives!A36="","",_ENGINE_Initiatives!B36)</f>
        <v>Supply Chain</v>
      </c>
    </row>
    <row r="91" spans="1:3">
      <c r="A91" t="str">
        <f>IF(_ENGINE_Initiatives!A37="","",_ENGINE_Initiatives!A37)</f>
        <v>INI-033</v>
      </c>
      <c r="B91" t="str">
        <f>IF(_ENGINE_Initiatives!A37="","",_ENGINE_Initiatives!F37)</f>
        <v>Build logistics continuity and transport fallback options</v>
      </c>
      <c r="C91" t="str">
        <f>IF(_ENGINE_Initiatives!A37="","",_ENGINE_Initiatives!B37)</f>
        <v>Supply Chain</v>
      </c>
    </row>
    <row r="92" spans="1:3">
      <c r="A92" t="str">
        <f>IF(_ENGINE_Initiatives!A38="","",_ENGINE_Initiatives!A38)</f>
        <v>INI-034</v>
      </c>
      <c r="B92" t="str">
        <f>IF(_ENGINE_Initiatives!A38="","",_ENGINE_Initiatives!F38)</f>
        <v>Implement inventory visibility and demand/supply planning</v>
      </c>
      <c r="C92" t="str">
        <f>IF(_ENGINE_Initiatives!A38="","",_ENGINE_Initiatives!B38)</f>
        <v>Supply Chain</v>
      </c>
    </row>
    <row r="93" spans="1:3">
      <c r="A93" t="str">
        <f>IF(_ENGINE_Initiatives!A39="","",_ENGINE_Initiatives!A39)</f>
        <v>INI-035</v>
      </c>
      <c r="B93" t="str">
        <f>IF(_ENGINE_Initiatives!A39="","",_ENGINE_Initiatives!F39)</f>
        <v>Implement supply-chain technology, risk monitoring and supplier data</v>
      </c>
      <c r="C93" t="str">
        <f>IF(_ENGINE_Initiatives!A39="","",_ENGINE_Initiatives!B39)</f>
        <v>Supply Chain</v>
      </c>
    </row>
    <row r="94" spans="1:3">
      <c r="A94" t="str">
        <f>IF(_ENGINE_Initiatives!A40="","",_ENGINE_Initiatives!A40)</f>
        <v>INI-036</v>
      </c>
      <c r="B94" t="str">
        <f>IF(_ENGINE_Initiatives!A40="","",_ENGINE_Initiatives!F40)</f>
        <v>Assess production footprint and build alternate production options</v>
      </c>
      <c r="C94" t="str">
        <f>IF(_ENGINE_Initiatives!A40="","",_ENGINE_Initiatives!B40)</f>
        <v>Manufacturing MES</v>
      </c>
    </row>
    <row r="95" spans="1:3">
      <c r="A95" t="str">
        <f>IF(_ENGINE_Initiatives!A41="","",_ENGINE_Initiatives!A41)</f>
        <v>INI-037</v>
      </c>
      <c r="B95" t="str">
        <f>IF(_ENGINE_Initiatives!A41="","",_ENGINE_Initiatives!F41)</f>
        <v>Implement MES and shop-floor digital control foundation</v>
      </c>
      <c r="C95" t="str">
        <f>IF(_ENGINE_Initiatives!A41="","",_ENGINE_Initiatives!B41)</f>
        <v>Manufacturing MES</v>
      </c>
    </row>
    <row r="96" spans="1:3">
      <c r="A96" t="str">
        <f>IF(_ENGINE_Initiatives!A42="","",_ENGINE_Initiatives!A42)</f>
        <v>INI-038</v>
      </c>
      <c r="B96" t="str">
        <f>IF(_ENGINE_Initiatives!A42="","",_ENGINE_Initiatives!F42)</f>
        <v>Build maintenance, spare-parts and asset resilience program</v>
      </c>
      <c r="C96" t="str">
        <f>IF(_ENGINE_Initiatives!A42="","",_ENGINE_Initiatives!B42)</f>
        <v>Manufacturing MES</v>
      </c>
    </row>
    <row r="97" spans="1:3">
      <c r="A97" t="str">
        <f>IF(_ENGINE_Initiatives!A43="","",_ENGINE_Initiatives!A43)</f>
        <v>INI-039</v>
      </c>
      <c r="B97" t="str">
        <f>IF(_ENGINE_Initiatives!A43="","",_ENGINE_Initiatives!F43)</f>
        <v>Strengthen manufacturing quality, safety and release controls</v>
      </c>
      <c r="C97" t="str">
        <f>IF(_ENGINE_Initiatives!A43="","",_ENGINE_Initiatives!B43)</f>
        <v>Manufacturing MES</v>
      </c>
    </row>
    <row r="98" spans="1:3">
      <c r="A98" t="str">
        <f>IF(_ENGINE_Initiatives!A44="","",_ENGINE_Initiatives!A44)</f>
        <v>INI-040</v>
      </c>
      <c r="B98" t="str">
        <f>IF(_ENGINE_Initiatives!A44="","",_ENGINE_Initiatives!F44)</f>
        <v>Implement OT security and industrial network resilience controls</v>
      </c>
      <c r="C98" t="str">
        <f>IF(_ENGINE_Initiatives!A44="","",_ENGINE_Initiatives!B44)</f>
        <v>Manufacturing MES</v>
      </c>
    </row>
    <row r="99" spans="1:3">
      <c r="A99" t="str">
        <f>IF(_ENGINE_Initiatives!A45="","",_ENGINE_Initiatives!A45)</f>
        <v>INI-041</v>
      </c>
      <c r="B99" t="str">
        <f>IF(_ENGINE_Initiatives!A45="","",_ENGINE_Initiatives!F45)</f>
        <v>Stabilize CRM data model, ownership and adoption</v>
      </c>
      <c r="C99" t="str">
        <f>IF(_ENGINE_Initiatives!A45="","",_ENGINE_Initiatives!B45)</f>
        <v>Sales CRM</v>
      </c>
    </row>
    <row r="100" spans="1:3">
      <c r="A100" t="str">
        <f>IF(_ENGINE_Initiatives!A46="","",_ENGINE_Initiatives!A46)</f>
        <v>INI-042</v>
      </c>
      <c r="B100" t="str">
        <f>IF(_ENGINE_Initiatives!A46="","",_ENGINE_Initiatives!F46)</f>
        <v>Build pipeline visibility, forecast discipline and revenue scenarios</v>
      </c>
      <c r="C100" t="str">
        <f>IF(_ENGINE_Initiatives!A46="","",_ENGINE_Initiatives!B46)</f>
        <v>Sales CRM</v>
      </c>
    </row>
    <row r="101" spans="1:3">
      <c r="A101" t="str">
        <f>IF(_ENGINE_Initiatives!A47="","",_ENGINE_Initiatives!A47)</f>
        <v>INI-043</v>
      </c>
      <c r="B101" t="str">
        <f>IF(_ENGINE_Initiatives!A47="","",_ENGINE_Initiatives!F47)</f>
        <v>Implement customer continuity and key-account protection program</v>
      </c>
      <c r="C101" t="str">
        <f>IF(_ENGINE_Initiatives!A47="","",_ENGINE_Initiatives!B47)</f>
        <v>Sales CRM</v>
      </c>
    </row>
    <row r="102" spans="1:3">
      <c r="A102" t="str">
        <f>IF(_ENGINE_Initiatives!A48="","",_ENGINE_Initiatives!A48)</f>
        <v>INI-044</v>
      </c>
      <c r="B102" t="str">
        <f>IF(_ENGINE_Initiatives!A48="","",_ENGINE_Initiatives!F48)</f>
        <v>Strengthen pricing, discounting and revenue-control governance</v>
      </c>
      <c r="C102" t="str">
        <f>IF(_ENGINE_Initiatives!A48="","",_ENGINE_Initiatives!B48)</f>
        <v>Sales CRM</v>
      </c>
    </row>
    <row r="103" spans="1:3">
      <c r="A103" t="str">
        <f>IF(_ENGINE_Initiatives!A49="","",_ENGINE_Initiatives!A49)</f>
        <v>INI-045</v>
      </c>
      <c r="B103" t="str">
        <f>IF(_ENGINE_Initiatives!A49="","",_ENGINE_Initiatives!F49)</f>
        <v>Build resilient brand presence and digital demand generation</v>
      </c>
      <c r="C103" t="str">
        <f>IF(_ENGINE_Initiatives!A49="","",_ENGINE_Initiatives!B49)</f>
        <v>Marketing Comms</v>
      </c>
    </row>
    <row r="104" spans="1:3">
      <c r="A104" t="str">
        <f>IF(_ENGINE_Initiatives!A50="","",_ENGINE_Initiatives!A50)</f>
        <v>INI-046</v>
      </c>
      <c r="B104" t="str">
        <f>IF(_ENGINE_Initiatives!A50="","",_ENGINE_Initiatives!F50)</f>
        <v>Prepare crisis communication playbooks and customer notification flows</v>
      </c>
      <c r="C104" t="str">
        <f>IF(_ENGINE_Initiatives!A50="","",_ENGINE_Initiatives!B50)</f>
        <v>Marketing Comms</v>
      </c>
    </row>
    <row r="105" spans="1:3">
      <c r="A105" t="str">
        <f>IF(_ENGINE_Initiatives!A51="","",_ENGINE_Initiatives!A51)</f>
        <v>INI-047</v>
      </c>
      <c r="B105" t="str">
        <f>IF(_ENGINE_Initiatives!A51="","",_ENGINE_Initiatives!F51)</f>
        <v>Standardize marketing operations, content and analytics cadence</v>
      </c>
      <c r="C105" t="str">
        <f>IF(_ENGINE_Initiatives!A51="","",_ENGINE_Initiatives!B51)</f>
        <v>Marketing Comms</v>
      </c>
    </row>
    <row r="106" spans="1:3">
      <c r="A106" t="str">
        <f>IF(_ENGINE_Initiatives!A52="","",_ENGINE_Initiatives!A52)</f>
        <v>INI-048</v>
      </c>
      <c r="B106" t="str">
        <f>IF(_ENGINE_Initiatives!A52="","",_ENGINE_Initiatives!F52)</f>
        <v>Create IT asset, application and architecture criticality map</v>
      </c>
      <c r="C106" t="str">
        <f>IF(_ENGINE_Initiatives!A52="","",_ENGINE_Initiatives!B52)</f>
        <v>IT Cloud DR</v>
      </c>
    </row>
    <row r="107" spans="1:3">
      <c r="A107" t="str">
        <f>IF(_ENGINE_Initiatives!A53="","",_ENGINE_Initiatives!A53)</f>
        <v>INI-049</v>
      </c>
      <c r="B107" t="str">
        <f>IF(_ENGINE_Initiatives!A53="","",_ENGINE_Initiatives!F53)</f>
        <v>Optimize cloud usage, landing zones and infrastructure resilience</v>
      </c>
      <c r="C107" t="str">
        <f>IF(_ENGINE_Initiatives!A53="","",_ENGINE_Initiatives!B53)</f>
        <v>IT Cloud DR</v>
      </c>
    </row>
    <row r="108" spans="1:3">
      <c r="A108" t="str">
        <f>IF(_ENGINE_Initiatives!A54="","",_ENGINE_Initiatives!A54)</f>
        <v>INI-050</v>
      </c>
      <c r="B108" t="str">
        <f>IF(_ENGINE_Initiatives!A54="","",_ENGINE_Initiatives!F54)</f>
        <v>Implement disaster recovery, backup testing and RTO/RPO controls</v>
      </c>
      <c r="C108" t="str">
        <f>IF(_ENGINE_Initiatives!A54="","",_ENGINE_Initiatives!B54)</f>
        <v>IT Cloud DR</v>
      </c>
    </row>
    <row r="109" spans="1:3">
      <c r="A109" t="str">
        <f>IF(_ENGINE_Initiatives!A55="","",_ENGINE_Initiatives!A55)</f>
        <v>INI-051</v>
      </c>
      <c r="B109" t="str">
        <f>IF(_ENGINE_Initiatives!A55="","",_ENGINE_Initiatives!F55)</f>
        <v>Strengthen IT operations, monitoring, incident and change management</v>
      </c>
      <c r="C109" t="str">
        <f>IF(_ENGINE_Initiatives!A55="","",_ENGINE_Initiatives!B55)</f>
        <v>IT Cloud DR</v>
      </c>
    </row>
    <row r="110" spans="1:3">
      <c r="A110" t="str">
        <f>IF(_ENGINE_Initiatives!A56="","",_ENGINE_Initiatives!A56)</f>
        <v>INI-052</v>
      </c>
      <c r="B110" t="str">
        <f>IF(_ENGINE_Initiatives!A56="","",_ENGINE_Initiatives!F56)</f>
        <v>Stabilize SaaS ownership, integrations and vendor continuity</v>
      </c>
      <c r="C110" t="str">
        <f>IF(_ENGINE_Initiatives!A56="","",_ENGINE_Initiatives!B56)</f>
        <v>IT Cloud DR</v>
      </c>
    </row>
    <row r="111" spans="1:3">
      <c r="A111" t="str">
        <f>IF(_ENGINE_Initiatives!A57="","",_ENGINE_Initiatives!A57)</f>
        <v>INI-053</v>
      </c>
      <c r="B111" t="str">
        <f>IF(_ENGINE_Initiatives!A57="","",_ENGINE_Initiatives!F57)</f>
        <v>Stabilize ERP process ownership, master data and continuity controls</v>
      </c>
      <c r="C111" t="str">
        <f>IF(_ENGINE_Initiatives!A57="","",_ENGINE_Initiatives!B57)</f>
        <v>Business Systems</v>
      </c>
    </row>
    <row r="112" spans="1:3">
      <c r="A112" t="str">
        <f>IF(_ENGINE_Initiatives!A58="","",_ENGINE_Initiatives!A58)</f>
        <v>INI-054</v>
      </c>
      <c r="B112" t="str">
        <f>IF(_ENGINE_Initiatives!A58="","",_ENGINE_Initiatives!F58)</f>
        <v>Integrate CRM, commerce and customer-service systems</v>
      </c>
      <c r="C112" t="str">
        <f>IF(_ENGINE_Initiatives!A58="","",_ENGINE_Initiatives!B58)</f>
        <v>Business Systems</v>
      </c>
    </row>
    <row r="113" spans="1:3">
      <c r="A113" t="str">
        <f>IF(_ENGINE_Initiatives!A59="","",_ENGINE_Initiatives!A59)</f>
        <v>INI-055</v>
      </c>
      <c r="B113" t="str">
        <f>IF(_ENGINE_Initiatives!A59="","",_ENGINE_Initiatives!F59)</f>
        <v>Integrate MES, WMS and TMS into operational continuity model</v>
      </c>
      <c r="C113" t="str">
        <f>IF(_ENGINE_Initiatives!A59="","",_ENGINE_Initiatives!B59)</f>
        <v>Business Systems</v>
      </c>
    </row>
    <row r="114" spans="1:3">
      <c r="A114" t="str">
        <f>IF(_ENGINE_Initiatives!A60="","",_ENGINE_Initiatives!A60)</f>
        <v>INI-056</v>
      </c>
      <c r="B114" t="str">
        <f>IF(_ENGINE_Initiatives!A60="","",_ENGINE_Initiatives!F60)</f>
        <v>Stabilize HRMS, finance systems and core administrative workflows</v>
      </c>
      <c r="C114" t="str">
        <f>IF(_ENGINE_Initiatives!A60="","",_ENGINE_Initiatives!B60)</f>
        <v>Business Systems</v>
      </c>
    </row>
    <row r="115" spans="1:3">
      <c r="A115" t="str">
        <f>IF(_ENGINE_Initiatives!A61="","",_ENGINE_Initiatives!A61)</f>
        <v>INI-057</v>
      </c>
      <c r="B115" t="str">
        <f>IF(_ENGINE_Initiatives!A61="","",_ENGINE_Initiatives!F61)</f>
        <v>Implement business-system governance and lifecycle control</v>
      </c>
      <c r="C115" t="str">
        <f>IF(_ENGINE_Initiatives!A61="","",_ENGINE_Initiatives!B61)</f>
        <v>Business Systems</v>
      </c>
    </row>
    <row r="116" spans="1:3">
      <c r="A116" t="str">
        <f>IF(_ENGINE_Initiatives!A62="","",_ENGINE_Initiatives!A62)</f>
        <v>INI-058</v>
      </c>
      <c r="B116" t="str">
        <f>IF(_ENGINE_Initiatives!A62="","",_ENGINE_Initiatives!F62)</f>
        <v>Implement data ownership, quality and governance framework</v>
      </c>
      <c r="C116" t="str">
        <f>IF(_ENGINE_Initiatives!A62="","",_ENGINE_Initiatives!B62)</f>
        <v>Data BI AI</v>
      </c>
    </row>
    <row r="117" spans="1:3">
      <c r="A117" t="str">
        <f>IF(_ENGINE_Initiatives!A63="","",_ENGINE_Initiatives!A63)</f>
        <v>INI-059</v>
      </c>
      <c r="B117" t="str">
        <f>IF(_ENGINE_Initiatives!A63="","",_ENGINE_Initiatives!F63)</f>
        <v>Build resilient data architecture, integration and storage foundation</v>
      </c>
      <c r="C117" t="str">
        <f>IF(_ENGINE_Initiatives!A63="","",_ENGINE_Initiatives!B63)</f>
        <v>Data BI AI</v>
      </c>
    </row>
    <row r="118" spans="1:3">
      <c r="A118" t="str">
        <f>IF(_ENGINE_Initiatives!A64="","",_ENGINE_Initiatives!A64)</f>
        <v>INI-060</v>
      </c>
      <c r="B118" t="str">
        <f>IF(_ENGINE_Initiatives!A64="","",_ENGINE_Initiatives!F64)</f>
        <v>Create BI analytics layer for crisis and operational decisions</v>
      </c>
      <c r="C118" t="str">
        <f>IF(_ENGINE_Initiatives!A64="","",_ENGINE_Initiatives!B64)</f>
        <v>Data BI AI</v>
      </c>
    </row>
    <row r="119" spans="1:3">
      <c r="A119" t="str">
        <f>IF(_ENGINE_Initiatives!A65="","",_ENGINE_Initiatives!A65)</f>
        <v>INI-061</v>
      </c>
      <c r="B119" t="str">
        <f>IF(_ENGINE_Initiatives!A65="","",_ENGINE_Initiatives!F65)</f>
        <v>Build forecasting and scenario analytics capability</v>
      </c>
      <c r="C119" t="str">
        <f>IF(_ENGINE_Initiatives!A65="","",_ENGINE_Initiatives!B65)</f>
        <v>Data BI AI</v>
      </c>
    </row>
    <row r="120" spans="1:3">
      <c r="A120" t="str">
        <f>IF(_ENGINE_Initiatives!A66="","",_ENGINE_Initiatives!A66)</f>
        <v>INI-062</v>
      </c>
      <c r="B120" t="str">
        <f>IF(_ENGINE_Initiatives!A66="","",_ENGINE_Initiatives!F66)</f>
        <v>Implement AI readiness, governance and use-case portfolio</v>
      </c>
      <c r="C120" t="str">
        <f>IF(_ENGINE_Initiatives!A66="","",_ENGINE_Initiatives!B66)</f>
        <v>Data BI AI</v>
      </c>
    </row>
    <row r="121" spans="1:3">
      <c r="A121" t="str">
        <f>IF(_ENGINE_Initiatives!A67="","",_ENGINE_Initiatives!A67)</f>
        <v>INI-063</v>
      </c>
      <c r="B121" t="str">
        <f>IF(_ENGINE_Initiatives!A67="","",_ENGINE_Initiatives!F67)</f>
        <v>Implement security governance and risk-management operating model</v>
      </c>
      <c r="C121" t="str">
        <f>IF(_ENGINE_Initiatives!A67="","",_ENGINE_Initiatives!B67)</f>
        <v>Cyber Privacy</v>
      </c>
    </row>
    <row r="122" spans="1:3">
      <c r="A122" t="str">
        <f>IF(_ENGINE_Initiatives!A68="","",_ENGINE_Initiatives!A68)</f>
        <v>INI-064</v>
      </c>
      <c r="B122" t="str">
        <f>IF(_ENGINE_Initiatives!A68="","",_ENGINE_Initiatives!F68)</f>
        <v>Strengthen IAM, MFA, privileged access and joiner/mover/leaver controls</v>
      </c>
      <c r="C122" t="str">
        <f>IF(_ENGINE_Initiatives!A68="","",_ENGINE_Initiatives!B68)</f>
        <v>Cyber Privacy</v>
      </c>
    </row>
    <row r="123" spans="1:3">
      <c r="A123" t="str">
        <f>IF(_ENGINE_Initiatives!A69="","",_ENGINE_Initiatives!A69)</f>
        <v>INI-065</v>
      </c>
      <c r="B123" t="str">
        <f>IF(_ENGINE_Initiatives!A69="","",_ENGINE_Initiatives!F69)</f>
        <v>Improve endpoint, network, backup and vulnerability protection</v>
      </c>
      <c r="C123" t="str">
        <f>IF(_ENGINE_Initiatives!A69="","",_ENGINE_Initiatives!B69)</f>
        <v>Cyber Privacy</v>
      </c>
    </row>
    <row r="124" spans="1:3">
      <c r="A124" t="str">
        <f>IF(_ENGINE_Initiatives!A70="","",_ENGINE_Initiatives!A70)</f>
        <v>INI-066</v>
      </c>
      <c r="B124" t="str">
        <f>IF(_ENGINE_Initiatives!A70="","",_ENGINE_Initiatives!F70)</f>
        <v>Implement detection, response, logging and security incident exercises</v>
      </c>
      <c r="C124" t="str">
        <f>IF(_ENGINE_Initiatives!A70="","",_ENGINE_Initiatives!B70)</f>
        <v>Cyber Privacy</v>
      </c>
    </row>
    <row r="125" spans="1:3">
      <c r="A125" t="str">
        <f>IF(_ENGINE_Initiatives!A71="","",_ENGINE_Initiatives!A71)</f>
        <v>INI-067</v>
      </c>
      <c r="B125" t="str">
        <f>IF(_ENGINE_Initiatives!A71="","",_ENGINE_Initiatives!F71)</f>
        <v>Strengthen application, API and OT security controls</v>
      </c>
      <c r="C125" t="str">
        <f>IF(_ENGINE_Initiatives!A71="","",_ENGINE_Initiatives!B71)</f>
        <v>Cyber Privacy</v>
      </c>
    </row>
    <row r="126" spans="1:3">
      <c r="A126" t="str">
        <f>IF(_ENGINE_Initiatives!A72="","",_ENGINE_Initiatives!A72)</f>
        <v>INI-068</v>
      </c>
      <c r="B126" t="str">
        <f>IF(_ENGINE_Initiatives!A72="","",_ENGINE_Initiatives!F72)</f>
        <v>Implement privacy governance, DPIA and personal-data controls</v>
      </c>
      <c r="C126" t="str">
        <f>IF(_ENGINE_Initiatives!A72="","",_ENGINE_Initiatives!B72)</f>
        <v>Cyber Privacy</v>
      </c>
    </row>
    <row r="127" spans="1:3">
      <c r="A127" t="str">
        <f>IF(_ENGINE_Initiatives!A73="","",_ENGINE_Initiatives!A73)</f>
        <v>INI-069</v>
      </c>
      <c r="B127" t="str">
        <f>IF(_ENGINE_Initiatives!A73="","",_ENGINE_Initiatives!F73)</f>
        <v>Build process ownership, SOP and continuous-improvement model</v>
      </c>
      <c r="C127" t="str">
        <f>IF(_ENGINE_Initiatives!A73="","",_ENGINE_Initiatives!B73)</f>
        <v>Quality Portfolio</v>
      </c>
    </row>
    <row r="128" spans="1:3">
      <c r="A128" t="str">
        <f>IF(_ENGINE_Initiatives!A74="","",_ENGINE_Initiatives!A74)</f>
        <v>INI-070</v>
      </c>
      <c r="B128" t="str">
        <f>IF(_ENGINE_Initiatives!A74="","",_ENGINE_Initiatives!F74)</f>
        <v>Strengthen quality management and audit readiness</v>
      </c>
      <c r="C128" t="str">
        <f>IF(_ENGINE_Initiatives!A74="","",_ENGINE_Initiatives!B74)</f>
        <v>Quality Portfolio</v>
      </c>
    </row>
    <row r="129" spans="1:3">
      <c r="A129" t="str">
        <f>IF(_ENGINE_Initiatives!A75="","",_ENGINE_Initiatives!A75)</f>
        <v>INI-071</v>
      </c>
      <c r="B129" t="str">
        <f>IF(_ENGINE_Initiatives!A75="","",_ENGINE_Initiatives!F75)</f>
        <v>Implement portfolio governance, prioritization and change control</v>
      </c>
      <c r="C129" t="str">
        <f>IF(_ENGINE_Initiatives!A75="","",_ENGINE_Initiatives!B75)</f>
        <v>Quality Portfolio</v>
      </c>
    </row>
    <row r="130" spans="1:3">
      <c r="A130" t="str">
        <f>IF(_ENGINE_Initiatives!A76="","",_ENGINE_Initiatives!A76)</f>
        <v>INI-072</v>
      </c>
      <c r="B130" t="str">
        <f>IF(_ENGINE_Initiatives!A76="","",_ENGINE_Initiatives!F76)</f>
        <v>Integrate management system, KPIs and continual improvement cycle</v>
      </c>
      <c r="C130" t="str">
        <f>IF(_ENGINE_Initiatives!A76="","",_ENGINE_Initiatives!B76)</f>
        <v>Quality Portfolio</v>
      </c>
    </row>
  </sheetData>
  <mergeCells count="16">
    <mergeCell ref="N73:AD74"/>
    <mergeCell ref="N5:P5"/>
    <mergeCell ref="W4:Y4"/>
    <mergeCell ref="T4:V4"/>
    <mergeCell ref="N4:P4"/>
    <mergeCell ref="N6:P6"/>
    <mergeCell ref="T6:V6"/>
    <mergeCell ref="Q6:S6"/>
    <mergeCell ref="W6:Y6"/>
    <mergeCell ref="Q5:S5"/>
    <mergeCell ref="T5:V5"/>
    <mergeCell ref="N1:AD1"/>
    <mergeCell ref="N8:AD8"/>
    <mergeCell ref="W5:Y5"/>
    <mergeCell ref="Q4:S4"/>
    <mergeCell ref="N2:AD2"/>
  </mergeCells>
  <conditionalFormatting sqref="D36:D50">
    <cfRule type="cellIs" dxfId="17" priority="14" operator="equal">
      <formula>"Critical"</formula>
    </cfRule>
    <cfRule type="cellIs" dxfId="16" priority="15" operator="equal">
      <formula>"Breach"</formula>
    </cfRule>
    <cfRule type="cellIs" dxfId="15" priority="16" operator="equal">
      <formula>"High"</formula>
    </cfRule>
    <cfRule type="cellIs" dxfId="14" priority="17" operator="equal">
      <formula>"Moderate"</formula>
    </cfRule>
    <cfRule type="cellIs" dxfId="13" priority="18" operator="equal">
      <formula>"Medium"</formula>
    </cfRule>
    <cfRule type="cellIs" dxfId="12" priority="19" operator="equal">
      <formula>"Low"</formula>
    </cfRule>
    <cfRule type="cellIs" dxfId="11" priority="20" operator="equal">
      <formula>"OK"</formula>
    </cfRule>
    <cfRule type="cellIs" dxfId="10" priority="21" operator="equal">
      <formula>"Within"</formula>
    </cfRule>
    <cfRule type="cellIs" dxfId="9" priority="22" operator="equal">
      <formula>"Above"</formula>
    </cfRule>
  </conditionalFormatting>
  <conditionalFormatting sqref="E36:E50">
    <cfRule type="colorScale" priority="13">
      <colorScale>
        <cfvo type="min"/>
        <cfvo type="percentile" val="50"/>
        <cfvo type="max"/>
        <color rgb="FFF8696B"/>
        <color rgb="FFFFD666"/>
        <color rgb="FF63BE7B"/>
      </colorScale>
    </cfRule>
  </conditionalFormatting>
  <conditionalFormatting sqref="G13:G32">
    <cfRule type="cellIs" dxfId="8" priority="4" operator="equal">
      <formula>"Critical"</formula>
    </cfRule>
    <cfRule type="cellIs" dxfId="7" priority="5" operator="equal">
      <formula>"Breach"</formula>
    </cfRule>
    <cfRule type="cellIs" dxfId="6" priority="6" operator="equal">
      <formula>"High"</formula>
    </cfRule>
    <cfRule type="cellIs" dxfId="5" priority="7" operator="equal">
      <formula>"Moderate"</formula>
    </cfRule>
    <cfRule type="cellIs" dxfId="4" priority="8" operator="equal">
      <formula>"Medium"</formula>
    </cfRule>
    <cfRule type="cellIs" dxfId="3" priority="9" operator="equal">
      <formula>"Low"</formula>
    </cfRule>
    <cfRule type="cellIs" dxfId="2" priority="10" operator="equal">
      <formula>"OK"</formula>
    </cfRule>
    <cfRule type="cellIs" dxfId="1" priority="11" operator="equal">
      <formula>"Within"</formula>
    </cfRule>
    <cfRule type="cellIs" dxfId="0" priority="12" operator="equal">
      <formula>"Above"</formula>
    </cfRule>
  </conditionalFormatting>
  <conditionalFormatting sqref="H13:H32">
    <cfRule type="colorScale" priority="2">
      <colorScale>
        <cfvo type="min"/>
        <cfvo type="percentile" val="50"/>
        <cfvo type="max"/>
        <color rgb="FFF8696B"/>
        <color rgb="FFFFD666"/>
        <color rgb="FF63BE7B"/>
      </colorScale>
    </cfRule>
  </conditionalFormatting>
  <conditionalFormatting sqref="K13:K32">
    <cfRule type="colorScale" priority="3">
      <colorScale>
        <cfvo type="min"/>
        <cfvo type="percentile" val="50"/>
        <cfvo type="max"/>
        <color rgb="FFF8696B"/>
        <color rgb="FFFFD666"/>
        <color rgb="FF63BE7B"/>
      </colorScale>
    </cfRule>
  </conditionalFormatting>
  <conditionalFormatting sqref="S10:S29">
    <cfRule type="colorScale" priority="1">
      <colorScale>
        <cfvo type="min"/>
        <cfvo type="percentile" val="50"/>
        <cfvo type="max"/>
        <color rgb="FFE2F0D9"/>
        <color rgb="FFFFF2CC"/>
        <color rgb="FFF4CCCC"/>
      </colorScale>
    </cfRule>
  </conditionalFormatting>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6B7280"/>
    <pageSetUpPr fitToPage="1"/>
  </sheetPr>
  <dimension ref="A1:AZ428"/>
  <sheetViews>
    <sheetView showGridLines="0" workbookViewId="0">
      <pane ySplit="3" topLeftCell="A4" activePane="bottomLeft" state="frozen"/>
      <selection pane="bottomLeft" activeCell="A5" sqref="A5"/>
    </sheetView>
  </sheetViews>
  <sheetFormatPr defaultRowHeight="14.15"/>
  <cols>
    <col min="1" max="2" width="12" customWidth="1"/>
    <col min="3" max="52" width="18" customWidth="1"/>
  </cols>
  <sheetData>
    <row r="1" spans="1:52" ht="25.95" customHeight="1">
      <c r="A1" s="85" t="s">
        <v>3539</v>
      </c>
      <c r="B1" s="85"/>
      <c r="C1" s="85"/>
      <c r="D1" s="85"/>
      <c r="E1" s="85"/>
      <c r="F1" s="85"/>
      <c r="G1" s="85"/>
      <c r="H1" s="85"/>
      <c r="I1" s="85"/>
      <c r="J1" s="85"/>
      <c r="K1" s="85"/>
      <c r="L1" s="85"/>
    </row>
    <row r="2" spans="1:52" ht="34.1" customHeight="1">
      <c r="A2" s="77" t="s">
        <v>3540</v>
      </c>
      <c r="B2" s="77"/>
      <c r="C2" s="77"/>
      <c r="D2" s="77"/>
      <c r="E2" s="77"/>
      <c r="F2" s="77"/>
      <c r="G2" s="77"/>
      <c r="H2" s="77"/>
      <c r="I2" s="77"/>
      <c r="J2" s="77"/>
      <c r="K2" s="77"/>
      <c r="L2" s="77"/>
    </row>
    <row r="4" spans="1:52">
      <c r="A4" t="s">
        <v>767</v>
      </c>
      <c r="B4" t="s">
        <v>768</v>
      </c>
      <c r="C4" t="s">
        <v>769</v>
      </c>
      <c r="D4" t="s">
        <v>770</v>
      </c>
      <c r="E4" t="s">
        <v>771</v>
      </c>
      <c r="F4" t="s">
        <v>772</v>
      </c>
      <c r="G4" t="s">
        <v>773</v>
      </c>
      <c r="H4" t="s">
        <v>774</v>
      </c>
      <c r="I4" t="s">
        <v>775</v>
      </c>
      <c r="J4" t="s">
        <v>776</v>
      </c>
      <c r="K4" t="s">
        <v>777</v>
      </c>
      <c r="L4" t="s">
        <v>778</v>
      </c>
      <c r="M4" t="s">
        <v>779</v>
      </c>
      <c r="N4" t="s">
        <v>780</v>
      </c>
      <c r="O4" t="s">
        <v>781</v>
      </c>
      <c r="P4" t="s">
        <v>782</v>
      </c>
      <c r="Q4" t="s">
        <v>783</v>
      </c>
      <c r="R4" t="s">
        <v>784</v>
      </c>
      <c r="S4" t="s">
        <v>785</v>
      </c>
      <c r="T4" t="s">
        <v>786</v>
      </c>
      <c r="U4" t="s">
        <v>787</v>
      </c>
      <c r="V4" t="s">
        <v>788</v>
      </c>
      <c r="W4" t="s">
        <v>789</v>
      </c>
      <c r="X4" t="s">
        <v>790</v>
      </c>
      <c r="Y4" t="s">
        <v>791</v>
      </c>
      <c r="Z4" t="s">
        <v>3541</v>
      </c>
      <c r="AA4" t="s">
        <v>793</v>
      </c>
      <c r="AB4" t="s">
        <v>794</v>
      </c>
      <c r="AC4" t="s">
        <v>795</v>
      </c>
      <c r="AD4" t="s">
        <v>796</v>
      </c>
      <c r="AE4" t="s">
        <v>797</v>
      </c>
      <c r="AF4" t="s">
        <v>798</v>
      </c>
      <c r="AG4" t="s">
        <v>799</v>
      </c>
      <c r="AH4" t="s">
        <v>800</v>
      </c>
      <c r="AI4" t="s">
        <v>801</v>
      </c>
      <c r="AJ4" t="s">
        <v>802</v>
      </c>
      <c r="AK4" t="s">
        <v>803</v>
      </c>
      <c r="AL4" t="s">
        <v>804</v>
      </c>
      <c r="AM4" t="s">
        <v>805</v>
      </c>
      <c r="AN4" t="s">
        <v>806</v>
      </c>
      <c r="AO4" t="s">
        <v>807</v>
      </c>
      <c r="AP4" t="s">
        <v>808</v>
      </c>
      <c r="AQ4" t="s">
        <v>809</v>
      </c>
      <c r="AR4" t="s">
        <v>810</v>
      </c>
      <c r="AS4" t="s">
        <v>811</v>
      </c>
      <c r="AT4" t="s">
        <v>812</v>
      </c>
      <c r="AU4" t="s">
        <v>813</v>
      </c>
      <c r="AV4" t="s">
        <v>814</v>
      </c>
      <c r="AW4" t="s">
        <v>764</v>
      </c>
      <c r="AX4" t="s">
        <v>3542</v>
      </c>
      <c r="AY4" t="s">
        <v>3543</v>
      </c>
      <c r="AZ4" t="s">
        <v>3544</v>
      </c>
    </row>
    <row r="5" spans="1:52">
      <c r="A5" t="s">
        <v>816</v>
      </c>
      <c r="B5" t="s">
        <v>817</v>
      </c>
      <c r="C5" t="s">
        <v>818</v>
      </c>
      <c r="D5" t="s">
        <v>819</v>
      </c>
      <c r="E5" t="s">
        <v>820</v>
      </c>
      <c r="F5" t="s">
        <v>821</v>
      </c>
      <c r="G5">
        <f>'Assessment Questions'!J5</f>
        <v>3</v>
      </c>
      <c r="H5">
        <f t="shared" ref="H5:H68" si="0">IF($Z5="","",IF($Z5="N/A","N/A",VALUE(LEFT($Z5,1))))</f>
        <v>0</v>
      </c>
      <c r="I5">
        <f t="shared" ref="I5:I68" si="1">IF($H5="","",IF($H5="N/A","",VALUE($H5)/5*$G5))</f>
        <v>0</v>
      </c>
      <c r="J5">
        <f t="shared" ref="J5:J68" si="2">IF(OR($H5="",$H5="N/A"),"",$G5)</f>
        <v>3</v>
      </c>
      <c r="K5">
        <f t="shared" ref="K5:K68" si="3">IF(OR($H5="",$H5="N/A"),"",$J5-$I5)</f>
        <v>3</v>
      </c>
      <c r="L5" t="str">
        <f t="shared" ref="L5:L68" si="4">IF($H5="","",IF($H5="N/A","N/A",IF(VALUE($H5)&lt;=1,"Critical",IF(VALUE($H5)&lt;=2,"High",IF(VALUE($H5)&lt;=3,"Medium",IF(VALUE($H5)&lt;=4,"Low","Resilient"))))))</f>
        <v>Critical</v>
      </c>
      <c r="M5" t="s">
        <v>822</v>
      </c>
      <c r="N5" t="s">
        <v>823</v>
      </c>
      <c r="O5" t="s">
        <v>824</v>
      </c>
      <c r="P5" t="s">
        <v>825</v>
      </c>
      <c r="Q5" t="s">
        <v>826</v>
      </c>
      <c r="R5" t="s">
        <v>827</v>
      </c>
      <c r="S5" t="s">
        <v>828</v>
      </c>
      <c r="T5">
        <f>'Assessment Questions'!W5</f>
        <v>0</v>
      </c>
      <c r="U5">
        <f>'Assessment Questions'!X5</f>
        <v>0</v>
      </c>
      <c r="V5" t="str">
        <f>'Assessment Questions'!Y5</f>
        <v>Use the recommended action generated by the model; validate with domain owner during real assessment.</v>
      </c>
      <c r="W5">
        <v>4</v>
      </c>
      <c r="X5">
        <v>5</v>
      </c>
      <c r="Y5">
        <v>5</v>
      </c>
      <c r="Z5">
        <f>'Assessment Questions'!AC5</f>
        <v>0</v>
      </c>
      <c r="AA5" t="s">
        <v>817</v>
      </c>
      <c r="AB5">
        <f t="shared" ref="AB5:AB23" si="5">COUNTIF($B$5:$B$23,$AA5)</f>
        <v>7</v>
      </c>
      <c r="AC5">
        <f t="shared" ref="AC5:AC23" si="6">IFERROR(SUMPRODUCT(($B$5:$B$23=$AA5)*($H$5:$H$23&lt;&gt;"")*($H$5:$H$23&lt;&gt;"N/A")*IFERROR(VALUE($H$5:$H$23),0))/SUMPRODUCT(($B$5:$B$23=$AA5)*($H$5:$H$23&lt;&gt;"")*($H$5:$H$23&lt;&gt;"N/A")),0)</f>
        <v>0</v>
      </c>
      <c r="AD5">
        <f t="shared" ref="AD5:AD68" si="7">AC5/5</f>
        <v>0</v>
      </c>
      <c r="AE5">
        <f t="shared" ref="AE5:AE23" si="8">COUNTIFS($B$5:$B$23,$AA5,$L$5:$L$23,"Critical")+COUNTIFS($B$5:$B$23,$AA5,$L$5:$L$23,"High")</f>
        <v>7</v>
      </c>
      <c r="AF5">
        <f t="shared" ref="AF5:AF68" si="9">5-AC5</f>
        <v>5</v>
      </c>
      <c r="AG5">
        <f t="shared" ref="AG5:AG23" si="10">SUMPRODUCT(($B$5:$B$23=$AA5)*(ISNUMBER($H$5:$H$23)+($H$5:$H$23="N/A")))</f>
        <v>7</v>
      </c>
      <c r="AH5">
        <f>'Assessment Questions'!AK5</f>
        <v>0</v>
      </c>
      <c r="AI5">
        <f>'Assessment Questions'!AL5</f>
        <v>0</v>
      </c>
      <c r="AJ5">
        <f>IF(OR($H5="",$H5="N/A"),"",IF($AH5="",VLOOKUP('Company Profile'!$B$40,_CONFIG_Model_Settings!$A$5:$B$8,2,FALSE),IFERROR(VLOOKUP($AH5,_CONFIG_Model_Settings!$A$5:$B$8,2,FALSE),0.9)))</f>
        <v>0.9</v>
      </c>
      <c r="AK5">
        <f>IF(OR($H5="",$H5="N/A"),"",IF($AI5="",VLOOKUP('Company Profile'!$B$41,_CONFIG_Model_Settings!$A$5:$B$8,2,FALSE),IFERROR(VLOOKUP($AI5,_CONFIG_Model_Settings!$A$5:$B$8,2,FALSE),0.9)))</f>
        <v>0.9</v>
      </c>
      <c r="AL5">
        <f t="shared" ref="AL5:AL68" si="11">IF(OR($H5="",$H5="N/A"),"",ROUND(VALUE($H5)*$AJ5*$AK5*$AV5,2))</f>
        <v>0</v>
      </c>
      <c r="AM5">
        <f t="shared" ref="AM5:AM68" si="12">IF($AL5="","",ROUND($AL5/5*100,1))</f>
        <v>0</v>
      </c>
      <c r="AN5">
        <f>IFERROR(MIN(5,MAX(0,(SUMIFS(_REF_Model_Content!$D$1:$D$174,_REF_Model_Content!$A$1:$A$174,PV_Canonical_Industry,_REF_Model_Content!$B$1:$B$174,"Company Geography"))+IFERROR(VLOOKUP('Company Profile'!$B$35,_CONFIG_Model_Settings!$A$11:$B$13,2,0),0))),"")</f>
        <v>0</v>
      </c>
      <c r="AO5">
        <f t="shared" ref="AO5:AO68" si="13">IF($AL5="","",MAX(0,ROUND($AN5-$AL5,2)))</f>
        <v>0</v>
      </c>
      <c r="AP5">
        <f>IFERROR(SUMIFS(_REF_Model_Content!$E$1:$E$174,_REF_Model_Content!$A$1:$A$174,PV_Canonical_Industry,_REF_Model_Content!$B$1:$B$174,"Company Geography"),1)</f>
        <v>0</v>
      </c>
      <c r="AQ5">
        <f t="shared" ref="AQ5:AQ68" si="14">IF($AO5="","",ROUND($AO5*$AP5*($G5/5),2))</f>
        <v>0</v>
      </c>
      <c r="AR5" t="str">
        <f t="shared" ref="AR5:AR68" si="15">IF($AO5="","",IF($AO5&gt;=2,"Critical industry gap",IF($AO5&gt;=1,"High industry gap",IF($AO5&gt;=0.5,"Moderate industry gap","Within target"))))</f>
        <v>Within target</v>
      </c>
      <c r="AS5">
        <f t="shared" ref="AS5:AS68" si="16">IF(OR($H5="",$H5="N/A"),0,VALUE($H5)*(($AJ5+$AK5)/2)*$AV5)</f>
        <v>0</v>
      </c>
      <c r="AT5">
        <f t="shared" ref="AT5:AT68" si="17">IF(OR($H5="",$H5="N/A"),0,($AJ5+$AK5)/2)</f>
        <v>0.9</v>
      </c>
      <c r="AU5">
        <f>'Assessment Questions'!AX5</f>
        <v>0</v>
      </c>
      <c r="AV5">
        <f t="shared" ref="AV5:AV68" si="18">IF(OR($H5="",$H5="N/A"),"",IF(OR($AU5="",$AU5="Everywhere",$AU5="Not applicable"),1,IF($AU5="Pilot / one team",0.4,IF($AU5="One unit or site",0.7,0.9))))</f>
        <v>0.9</v>
      </c>
      <c r="AW5" t="s">
        <v>815</v>
      </c>
      <c r="AX5" t="s">
        <v>815</v>
      </c>
      <c r="AY5">
        <v>5</v>
      </c>
      <c r="AZ5">
        <v>5</v>
      </c>
    </row>
    <row r="6" spans="1:52">
      <c r="A6" t="s">
        <v>830</v>
      </c>
      <c r="B6" t="s">
        <v>817</v>
      </c>
      <c r="C6" t="s">
        <v>831</v>
      </c>
      <c r="D6" t="s">
        <v>819</v>
      </c>
      <c r="E6" t="s">
        <v>820</v>
      </c>
      <c r="F6" t="s">
        <v>832</v>
      </c>
      <c r="G6">
        <f>'Assessment Questions'!J6</f>
        <v>5</v>
      </c>
      <c r="H6">
        <f t="shared" si="0"/>
        <v>0</v>
      </c>
      <c r="I6">
        <f t="shared" si="1"/>
        <v>0</v>
      </c>
      <c r="J6">
        <f t="shared" si="2"/>
        <v>5</v>
      </c>
      <c r="K6">
        <f t="shared" si="3"/>
        <v>5</v>
      </c>
      <c r="L6" t="str">
        <f t="shared" si="4"/>
        <v>Critical</v>
      </c>
      <c r="M6" t="s">
        <v>833</v>
      </c>
      <c r="N6" t="s">
        <v>834</v>
      </c>
      <c r="O6" t="s">
        <v>835</v>
      </c>
      <c r="P6" t="s">
        <v>836</v>
      </c>
      <c r="Q6" t="s">
        <v>837</v>
      </c>
      <c r="R6" t="s">
        <v>838</v>
      </c>
      <c r="S6" t="s">
        <v>828</v>
      </c>
      <c r="T6">
        <f>'Assessment Questions'!W6</f>
        <v>0</v>
      </c>
      <c r="U6">
        <f>'Assessment Questions'!X6</f>
        <v>0</v>
      </c>
      <c r="V6" t="str">
        <f>'Assessment Questions'!Y6</f>
        <v>Use the recommended action generated by the model; validate with domain owner during real assessment.</v>
      </c>
      <c r="W6">
        <v>4</v>
      </c>
      <c r="X6">
        <v>5</v>
      </c>
      <c r="Y6">
        <v>5</v>
      </c>
      <c r="Z6">
        <f>'Assessment Questions'!AC6</f>
        <v>0</v>
      </c>
      <c r="AA6" t="s">
        <v>839</v>
      </c>
      <c r="AB6">
        <f t="shared" si="5"/>
        <v>7</v>
      </c>
      <c r="AC6">
        <f t="shared" si="6"/>
        <v>0</v>
      </c>
      <c r="AD6">
        <f t="shared" si="7"/>
        <v>0</v>
      </c>
      <c r="AE6">
        <f t="shared" si="8"/>
        <v>7</v>
      </c>
      <c r="AF6">
        <f t="shared" si="9"/>
        <v>5</v>
      </c>
      <c r="AG6">
        <f t="shared" si="10"/>
        <v>7</v>
      </c>
      <c r="AH6">
        <f>'Assessment Questions'!AK6</f>
        <v>0</v>
      </c>
      <c r="AI6">
        <f>'Assessment Questions'!AL6</f>
        <v>0</v>
      </c>
      <c r="AJ6">
        <f>IF(OR($H6="",$H6="N/A"),"",IF($AH6="",VLOOKUP('Company Profile'!$B$40,_CONFIG_Model_Settings!$A$5:$B$8,2,FALSE),IFERROR(VLOOKUP($AH6,_CONFIG_Model_Settings!$A$5:$B$8,2,FALSE),0.9)))</f>
        <v>0.9</v>
      </c>
      <c r="AK6">
        <f>IF(OR($H6="",$H6="N/A"),"",IF($AI6="",VLOOKUP('Company Profile'!$B$41,_CONFIG_Model_Settings!$A$5:$B$8,2,FALSE),IFERROR(VLOOKUP($AI6,_CONFIG_Model_Settings!$A$5:$B$8,2,FALSE),0.9)))</f>
        <v>0.9</v>
      </c>
      <c r="AL6">
        <f t="shared" si="11"/>
        <v>0</v>
      </c>
      <c r="AM6">
        <f t="shared" si="12"/>
        <v>0</v>
      </c>
      <c r="AN6">
        <f>IFERROR(MIN(5,MAX(0,(SUMIFS(_REF_Model_Content!$D$1:$D$174,_REF_Model_Content!$A$1:$A$174,PV_Canonical_Industry,_REF_Model_Content!$B$1:$B$174,"Company Geography"))+IFERROR(VLOOKUP('Company Profile'!$B$35,_CONFIG_Model_Settings!$A$11:$B$13,2,0),0))),"")</f>
        <v>0</v>
      </c>
      <c r="AO6">
        <f t="shared" si="13"/>
        <v>0</v>
      </c>
      <c r="AP6">
        <f>IFERROR(SUMIFS(_REF_Model_Content!$E$1:$E$174,_REF_Model_Content!$A$1:$A$174,PV_Canonical_Industry,_REF_Model_Content!$B$1:$B$174,"Company Geography"),1)</f>
        <v>0</v>
      </c>
      <c r="AQ6">
        <f t="shared" si="14"/>
        <v>0</v>
      </c>
      <c r="AR6" t="str">
        <f t="shared" si="15"/>
        <v>Within target</v>
      </c>
      <c r="AS6">
        <f t="shared" si="16"/>
        <v>0</v>
      </c>
      <c r="AT6">
        <f t="shared" si="17"/>
        <v>0.9</v>
      </c>
      <c r="AU6">
        <f>'Assessment Questions'!AX6</f>
        <v>0</v>
      </c>
      <c r="AV6">
        <f t="shared" si="18"/>
        <v>0.9</v>
      </c>
      <c r="AW6" t="s">
        <v>815</v>
      </c>
      <c r="AX6" t="s">
        <v>815</v>
      </c>
      <c r="AY6">
        <v>6</v>
      </c>
      <c r="AZ6">
        <v>6</v>
      </c>
    </row>
    <row r="7" spans="1:52">
      <c r="A7" t="s">
        <v>840</v>
      </c>
      <c r="B7" t="s">
        <v>817</v>
      </c>
      <c r="C7" t="s">
        <v>841</v>
      </c>
      <c r="D7" t="s">
        <v>819</v>
      </c>
      <c r="E7" t="s">
        <v>820</v>
      </c>
      <c r="F7" t="s">
        <v>842</v>
      </c>
      <c r="G7">
        <f>'Assessment Questions'!J7</f>
        <v>5</v>
      </c>
      <c r="H7">
        <f t="shared" si="0"/>
        <v>0</v>
      </c>
      <c r="I7">
        <f t="shared" si="1"/>
        <v>0</v>
      </c>
      <c r="J7">
        <f t="shared" si="2"/>
        <v>5</v>
      </c>
      <c r="K7">
        <f t="shared" si="3"/>
        <v>5</v>
      </c>
      <c r="L7" t="str">
        <f t="shared" si="4"/>
        <v>Critical</v>
      </c>
      <c r="M7" t="s">
        <v>833</v>
      </c>
      <c r="N7" t="s">
        <v>834</v>
      </c>
      <c r="O7" t="s">
        <v>835</v>
      </c>
      <c r="P7" t="s">
        <v>836</v>
      </c>
      <c r="Q7" t="s">
        <v>837</v>
      </c>
      <c r="R7" t="s">
        <v>838</v>
      </c>
      <c r="S7" t="s">
        <v>828</v>
      </c>
      <c r="T7">
        <f>'Assessment Questions'!W7</f>
        <v>0</v>
      </c>
      <c r="U7">
        <f>'Assessment Questions'!X7</f>
        <v>0</v>
      </c>
      <c r="V7" t="str">
        <f>'Assessment Questions'!Y7</f>
        <v>Use the recommended action generated by the model; validate with domain owner during real assessment.</v>
      </c>
      <c r="W7">
        <v>4</v>
      </c>
      <c r="X7">
        <v>5</v>
      </c>
      <c r="Y7">
        <v>5</v>
      </c>
      <c r="Z7">
        <f>'Assessment Questions'!AC7</f>
        <v>0</v>
      </c>
      <c r="AA7" t="s">
        <v>843</v>
      </c>
      <c r="AB7">
        <f t="shared" si="5"/>
        <v>5</v>
      </c>
      <c r="AC7">
        <f t="shared" si="6"/>
        <v>0</v>
      </c>
      <c r="AD7">
        <f t="shared" si="7"/>
        <v>0</v>
      </c>
      <c r="AE7">
        <f t="shared" si="8"/>
        <v>5</v>
      </c>
      <c r="AF7">
        <f t="shared" si="9"/>
        <v>5</v>
      </c>
      <c r="AG7">
        <f t="shared" si="10"/>
        <v>5</v>
      </c>
      <c r="AH7">
        <f>'Assessment Questions'!AK7</f>
        <v>0</v>
      </c>
      <c r="AI7">
        <f>'Assessment Questions'!AL7</f>
        <v>0</v>
      </c>
      <c r="AJ7">
        <f>IF(OR($H7="",$H7="N/A"),"",IF($AH7="",VLOOKUP('Company Profile'!$B$40,_CONFIG_Model_Settings!$A$5:$B$8,2,FALSE),IFERROR(VLOOKUP($AH7,_CONFIG_Model_Settings!$A$5:$B$8,2,FALSE),0.9)))</f>
        <v>0.9</v>
      </c>
      <c r="AK7">
        <f>IF(OR($H7="",$H7="N/A"),"",IF($AI7="",VLOOKUP('Company Profile'!$B$41,_CONFIG_Model_Settings!$A$5:$B$8,2,FALSE),IFERROR(VLOOKUP($AI7,_CONFIG_Model_Settings!$A$5:$B$8,2,FALSE),0.9)))</f>
        <v>0.9</v>
      </c>
      <c r="AL7">
        <f t="shared" si="11"/>
        <v>0</v>
      </c>
      <c r="AM7">
        <f t="shared" si="12"/>
        <v>0</v>
      </c>
      <c r="AN7">
        <f>IFERROR(MIN(5,MAX(0,(SUMIFS(_REF_Model_Content!$D$1:$D$174,_REF_Model_Content!$A$1:$A$174,PV_Canonical_Industry,_REF_Model_Content!$B$1:$B$174,"Company Geography"))+IFERROR(VLOOKUP('Company Profile'!$B$35,_CONFIG_Model_Settings!$A$11:$B$13,2,0),0))),"")</f>
        <v>0</v>
      </c>
      <c r="AO7">
        <f t="shared" si="13"/>
        <v>0</v>
      </c>
      <c r="AP7">
        <f>IFERROR(SUMIFS(_REF_Model_Content!$E$1:$E$174,_REF_Model_Content!$A$1:$A$174,PV_Canonical_Industry,_REF_Model_Content!$B$1:$B$174,"Company Geography"),1)</f>
        <v>0</v>
      </c>
      <c r="AQ7">
        <f t="shared" si="14"/>
        <v>0</v>
      </c>
      <c r="AR7" t="str">
        <f t="shared" si="15"/>
        <v>Within target</v>
      </c>
      <c r="AS7">
        <f t="shared" si="16"/>
        <v>0</v>
      </c>
      <c r="AT7">
        <f t="shared" si="17"/>
        <v>0.9</v>
      </c>
      <c r="AU7">
        <f>'Assessment Questions'!AX7</f>
        <v>0</v>
      </c>
      <c r="AV7">
        <f t="shared" si="18"/>
        <v>0.9</v>
      </c>
      <c r="AW7" t="s">
        <v>815</v>
      </c>
      <c r="AX7" t="s">
        <v>815</v>
      </c>
      <c r="AY7">
        <v>7</v>
      </c>
      <c r="AZ7">
        <v>7</v>
      </c>
    </row>
    <row r="8" spans="1:52">
      <c r="A8" t="s">
        <v>844</v>
      </c>
      <c r="B8" t="s">
        <v>817</v>
      </c>
      <c r="C8" t="s">
        <v>845</v>
      </c>
      <c r="D8" t="s">
        <v>819</v>
      </c>
      <c r="E8" t="s">
        <v>820</v>
      </c>
      <c r="F8" t="s">
        <v>846</v>
      </c>
      <c r="G8">
        <f>'Assessment Questions'!J8</f>
        <v>4</v>
      </c>
      <c r="H8">
        <f t="shared" si="0"/>
        <v>0</v>
      </c>
      <c r="I8">
        <f t="shared" si="1"/>
        <v>0</v>
      </c>
      <c r="J8">
        <f t="shared" si="2"/>
        <v>4</v>
      </c>
      <c r="K8">
        <f t="shared" si="3"/>
        <v>4</v>
      </c>
      <c r="L8" t="str">
        <f t="shared" si="4"/>
        <v>Critical</v>
      </c>
      <c r="M8" t="s">
        <v>847</v>
      </c>
      <c r="N8" t="s">
        <v>848</v>
      </c>
      <c r="O8" t="s">
        <v>849</v>
      </c>
      <c r="P8" t="s">
        <v>850</v>
      </c>
      <c r="Q8" t="s">
        <v>851</v>
      </c>
      <c r="R8" t="s">
        <v>852</v>
      </c>
      <c r="S8" t="s">
        <v>828</v>
      </c>
      <c r="T8">
        <f>'Assessment Questions'!W8</f>
        <v>0</v>
      </c>
      <c r="U8">
        <f>'Assessment Questions'!X8</f>
        <v>0</v>
      </c>
      <c r="V8" t="str">
        <f>'Assessment Questions'!Y8</f>
        <v>Use the recommended action generated by the model; validate with domain owner during real assessment.</v>
      </c>
      <c r="W8">
        <v>4</v>
      </c>
      <c r="X8">
        <v>5</v>
      </c>
      <c r="Y8">
        <v>5</v>
      </c>
      <c r="Z8">
        <f>'Assessment Questions'!AC8</f>
        <v>0</v>
      </c>
      <c r="AB8">
        <f t="shared" si="5"/>
        <v>0</v>
      </c>
      <c r="AC8">
        <f t="shared" si="6"/>
        <v>0</v>
      </c>
      <c r="AD8">
        <f t="shared" si="7"/>
        <v>0</v>
      </c>
      <c r="AE8">
        <f t="shared" si="8"/>
        <v>0</v>
      </c>
      <c r="AF8">
        <f t="shared" si="9"/>
        <v>5</v>
      </c>
      <c r="AG8">
        <f t="shared" si="10"/>
        <v>0</v>
      </c>
      <c r="AH8">
        <f>'Assessment Questions'!AK8</f>
        <v>0</v>
      </c>
      <c r="AI8">
        <f>'Assessment Questions'!AL8</f>
        <v>0</v>
      </c>
      <c r="AJ8">
        <f>IF(OR($H8="",$H8="N/A"),"",IF($AH8="",VLOOKUP('Company Profile'!$B$40,_CONFIG_Model_Settings!$A$5:$B$8,2,FALSE),IFERROR(VLOOKUP($AH8,_CONFIG_Model_Settings!$A$5:$B$8,2,FALSE),0.9)))</f>
        <v>0.9</v>
      </c>
      <c r="AK8">
        <f>IF(OR($H8="",$H8="N/A"),"",IF($AI8="",VLOOKUP('Company Profile'!$B$41,_CONFIG_Model_Settings!$A$5:$B$8,2,FALSE),IFERROR(VLOOKUP($AI8,_CONFIG_Model_Settings!$A$5:$B$8,2,FALSE),0.9)))</f>
        <v>0.9</v>
      </c>
      <c r="AL8">
        <f t="shared" si="11"/>
        <v>0</v>
      </c>
      <c r="AM8">
        <f t="shared" si="12"/>
        <v>0</v>
      </c>
      <c r="AN8">
        <f>IFERROR(MIN(5,MAX(0,(SUMIFS(_REF_Model_Content!$D$1:$D$174,_REF_Model_Content!$A$1:$A$174,PV_Canonical_Industry,_REF_Model_Content!$B$1:$B$174,"Company Geography"))+IFERROR(VLOOKUP('Company Profile'!$B$35,_CONFIG_Model_Settings!$A$11:$B$13,2,0),0))),"")</f>
        <v>0</v>
      </c>
      <c r="AO8">
        <f t="shared" si="13"/>
        <v>0</v>
      </c>
      <c r="AP8">
        <f>IFERROR(SUMIFS(_REF_Model_Content!$E$1:$E$174,_REF_Model_Content!$A$1:$A$174,PV_Canonical_Industry,_REF_Model_Content!$B$1:$B$174,"Company Geography"),1)</f>
        <v>0</v>
      </c>
      <c r="AQ8">
        <f t="shared" si="14"/>
        <v>0</v>
      </c>
      <c r="AR8" t="str">
        <f t="shared" si="15"/>
        <v>Within target</v>
      </c>
      <c r="AS8">
        <f t="shared" si="16"/>
        <v>0</v>
      </c>
      <c r="AT8">
        <f t="shared" si="17"/>
        <v>0.9</v>
      </c>
      <c r="AU8">
        <f>'Assessment Questions'!AX8</f>
        <v>0</v>
      </c>
      <c r="AV8">
        <f t="shared" si="18"/>
        <v>0.9</v>
      </c>
      <c r="AW8" t="s">
        <v>815</v>
      </c>
      <c r="AX8" t="s">
        <v>815</v>
      </c>
      <c r="AY8">
        <v>8</v>
      </c>
      <c r="AZ8">
        <v>8</v>
      </c>
    </row>
    <row r="9" spans="1:52">
      <c r="A9" t="s">
        <v>853</v>
      </c>
      <c r="B9" t="s">
        <v>817</v>
      </c>
      <c r="C9" t="s">
        <v>854</v>
      </c>
      <c r="D9" t="s">
        <v>819</v>
      </c>
      <c r="E9" t="s">
        <v>820</v>
      </c>
      <c r="F9" t="s">
        <v>855</v>
      </c>
      <c r="G9">
        <f>'Assessment Questions'!J9</f>
        <v>5</v>
      </c>
      <c r="H9">
        <f t="shared" si="0"/>
        <v>0</v>
      </c>
      <c r="I9">
        <f t="shared" si="1"/>
        <v>0</v>
      </c>
      <c r="J9">
        <f t="shared" si="2"/>
        <v>5</v>
      </c>
      <c r="K9">
        <f t="shared" si="3"/>
        <v>5</v>
      </c>
      <c r="L9" t="str">
        <f t="shared" si="4"/>
        <v>Critical</v>
      </c>
      <c r="M9" t="s">
        <v>833</v>
      </c>
      <c r="N9" t="s">
        <v>834</v>
      </c>
      <c r="O9" t="s">
        <v>835</v>
      </c>
      <c r="P9" t="s">
        <v>836</v>
      </c>
      <c r="Q9" t="s">
        <v>837</v>
      </c>
      <c r="R9" t="s">
        <v>838</v>
      </c>
      <c r="S9" t="s">
        <v>828</v>
      </c>
      <c r="T9">
        <f>'Assessment Questions'!W9</f>
        <v>0</v>
      </c>
      <c r="U9">
        <f>'Assessment Questions'!X9</f>
        <v>0</v>
      </c>
      <c r="V9" t="str">
        <f>'Assessment Questions'!Y9</f>
        <v>Use the recommended action generated by the model; validate with domain owner during real assessment.</v>
      </c>
      <c r="W9">
        <v>5</v>
      </c>
      <c r="X9">
        <v>5</v>
      </c>
      <c r="Y9">
        <v>5</v>
      </c>
      <c r="Z9">
        <f>'Assessment Questions'!AC9</f>
        <v>0</v>
      </c>
      <c r="AB9">
        <f t="shared" si="5"/>
        <v>0</v>
      </c>
      <c r="AC9">
        <f t="shared" si="6"/>
        <v>0</v>
      </c>
      <c r="AD9">
        <f t="shared" si="7"/>
        <v>0</v>
      </c>
      <c r="AE9">
        <f t="shared" si="8"/>
        <v>0</v>
      </c>
      <c r="AF9">
        <f t="shared" si="9"/>
        <v>5</v>
      </c>
      <c r="AG9">
        <f t="shared" si="10"/>
        <v>0</v>
      </c>
      <c r="AH9">
        <f>'Assessment Questions'!AK9</f>
        <v>0</v>
      </c>
      <c r="AI9">
        <f>'Assessment Questions'!AL9</f>
        <v>0</v>
      </c>
      <c r="AJ9">
        <f>IF(OR($H9="",$H9="N/A"),"",IF($AH9="",VLOOKUP('Company Profile'!$B$40,_CONFIG_Model_Settings!$A$5:$B$8,2,FALSE),IFERROR(VLOOKUP($AH9,_CONFIG_Model_Settings!$A$5:$B$8,2,FALSE),0.9)))</f>
        <v>0.9</v>
      </c>
      <c r="AK9">
        <f>IF(OR($H9="",$H9="N/A"),"",IF($AI9="",VLOOKUP('Company Profile'!$B$41,_CONFIG_Model_Settings!$A$5:$B$8,2,FALSE),IFERROR(VLOOKUP($AI9,_CONFIG_Model_Settings!$A$5:$B$8,2,FALSE),0.9)))</f>
        <v>0.9</v>
      </c>
      <c r="AL9">
        <f t="shared" si="11"/>
        <v>0</v>
      </c>
      <c r="AM9">
        <f t="shared" si="12"/>
        <v>0</v>
      </c>
      <c r="AN9">
        <f>IFERROR(MIN(5,MAX(0,(SUMIFS(_REF_Model_Content!$D$1:$D$174,_REF_Model_Content!$A$1:$A$174,PV_Canonical_Industry,_REF_Model_Content!$B$1:$B$174,"Company Geography"))+IFERROR(VLOOKUP('Company Profile'!$B$35,_CONFIG_Model_Settings!$A$11:$B$13,2,0),0))),"")</f>
        <v>0</v>
      </c>
      <c r="AO9">
        <f t="shared" si="13"/>
        <v>0</v>
      </c>
      <c r="AP9">
        <f>IFERROR(SUMIFS(_REF_Model_Content!$E$1:$E$174,_REF_Model_Content!$A$1:$A$174,PV_Canonical_Industry,_REF_Model_Content!$B$1:$B$174,"Company Geography"),1)</f>
        <v>0</v>
      </c>
      <c r="AQ9">
        <f t="shared" si="14"/>
        <v>0</v>
      </c>
      <c r="AR9" t="str">
        <f t="shared" si="15"/>
        <v>Within target</v>
      </c>
      <c r="AS9">
        <f t="shared" si="16"/>
        <v>0</v>
      </c>
      <c r="AT9">
        <f t="shared" si="17"/>
        <v>0.9</v>
      </c>
      <c r="AU9">
        <f>'Assessment Questions'!AX9</f>
        <v>0</v>
      </c>
      <c r="AV9">
        <f t="shared" si="18"/>
        <v>0.9</v>
      </c>
      <c r="AW9" t="s">
        <v>815</v>
      </c>
      <c r="AX9" t="s">
        <v>815</v>
      </c>
      <c r="AY9">
        <v>9</v>
      </c>
      <c r="AZ9">
        <v>9</v>
      </c>
    </row>
    <row r="10" spans="1:52">
      <c r="A10" t="s">
        <v>856</v>
      </c>
      <c r="B10" t="s">
        <v>817</v>
      </c>
      <c r="C10" t="s">
        <v>857</v>
      </c>
      <c r="D10" t="s">
        <v>819</v>
      </c>
      <c r="E10" t="s">
        <v>820</v>
      </c>
      <c r="F10" t="s">
        <v>858</v>
      </c>
      <c r="G10">
        <f>'Assessment Questions'!J10</f>
        <v>4</v>
      </c>
      <c r="H10">
        <f t="shared" si="0"/>
        <v>0</v>
      </c>
      <c r="I10">
        <f t="shared" si="1"/>
        <v>0</v>
      </c>
      <c r="J10">
        <f t="shared" si="2"/>
        <v>4</v>
      </c>
      <c r="K10">
        <f t="shared" si="3"/>
        <v>4</v>
      </c>
      <c r="L10" t="str">
        <f t="shared" si="4"/>
        <v>Critical</v>
      </c>
      <c r="M10" t="s">
        <v>859</v>
      </c>
      <c r="N10" t="s">
        <v>860</v>
      </c>
      <c r="O10" t="s">
        <v>861</v>
      </c>
      <c r="P10" t="s">
        <v>862</v>
      </c>
      <c r="Q10" t="s">
        <v>863</v>
      </c>
      <c r="R10" t="s">
        <v>864</v>
      </c>
      <c r="S10" t="s">
        <v>828</v>
      </c>
      <c r="T10">
        <f>'Assessment Questions'!W10</f>
        <v>0</v>
      </c>
      <c r="U10">
        <f>'Assessment Questions'!X10</f>
        <v>0</v>
      </c>
      <c r="V10" t="str">
        <f>'Assessment Questions'!Y10</f>
        <v>Use the recommended action generated by the model; validate with domain owner during real assessment.</v>
      </c>
      <c r="W10">
        <v>4</v>
      </c>
      <c r="X10">
        <v>5</v>
      </c>
      <c r="Y10">
        <v>5</v>
      </c>
      <c r="Z10">
        <f>'Assessment Questions'!AC10</f>
        <v>0</v>
      </c>
      <c r="AB10">
        <f t="shared" si="5"/>
        <v>0</v>
      </c>
      <c r="AC10">
        <f t="shared" si="6"/>
        <v>0</v>
      </c>
      <c r="AD10">
        <f t="shared" si="7"/>
        <v>0</v>
      </c>
      <c r="AE10">
        <f t="shared" si="8"/>
        <v>0</v>
      </c>
      <c r="AF10">
        <f t="shared" si="9"/>
        <v>5</v>
      </c>
      <c r="AG10">
        <f t="shared" si="10"/>
        <v>0</v>
      </c>
      <c r="AH10">
        <f>'Assessment Questions'!AK10</f>
        <v>0</v>
      </c>
      <c r="AI10">
        <f>'Assessment Questions'!AL10</f>
        <v>0</v>
      </c>
      <c r="AJ10">
        <f>IF(OR($H10="",$H10="N/A"),"",IF($AH10="",VLOOKUP('Company Profile'!$B$40,_CONFIG_Model_Settings!$A$5:$B$8,2,FALSE),IFERROR(VLOOKUP($AH10,_CONFIG_Model_Settings!$A$5:$B$8,2,FALSE),0.9)))</f>
        <v>0.9</v>
      </c>
      <c r="AK10">
        <f>IF(OR($H10="",$H10="N/A"),"",IF($AI10="",VLOOKUP('Company Profile'!$B$41,_CONFIG_Model_Settings!$A$5:$B$8,2,FALSE),IFERROR(VLOOKUP($AI10,_CONFIG_Model_Settings!$A$5:$B$8,2,FALSE),0.9)))</f>
        <v>0.9</v>
      </c>
      <c r="AL10">
        <f t="shared" si="11"/>
        <v>0</v>
      </c>
      <c r="AM10">
        <f t="shared" si="12"/>
        <v>0</v>
      </c>
      <c r="AN10">
        <f>IFERROR(MIN(5,MAX(0,(SUMIFS(_REF_Model_Content!$D$1:$D$174,_REF_Model_Content!$A$1:$A$174,PV_Canonical_Industry,_REF_Model_Content!$B$1:$B$174,"Company Geography"))+IFERROR(VLOOKUP('Company Profile'!$B$35,_CONFIG_Model_Settings!$A$11:$B$13,2,0),0))),"")</f>
        <v>0</v>
      </c>
      <c r="AO10">
        <f t="shared" si="13"/>
        <v>0</v>
      </c>
      <c r="AP10">
        <f>IFERROR(SUMIFS(_REF_Model_Content!$E$1:$E$174,_REF_Model_Content!$A$1:$A$174,PV_Canonical_Industry,_REF_Model_Content!$B$1:$B$174,"Company Geography"),1)</f>
        <v>0</v>
      </c>
      <c r="AQ10">
        <f t="shared" si="14"/>
        <v>0</v>
      </c>
      <c r="AR10" t="str">
        <f t="shared" si="15"/>
        <v>Within target</v>
      </c>
      <c r="AS10">
        <f t="shared" si="16"/>
        <v>0</v>
      </c>
      <c r="AT10">
        <f t="shared" si="17"/>
        <v>0.9</v>
      </c>
      <c r="AU10">
        <f>'Assessment Questions'!AX10</f>
        <v>0</v>
      </c>
      <c r="AV10">
        <f t="shared" si="18"/>
        <v>0.9</v>
      </c>
      <c r="AW10" t="s">
        <v>815</v>
      </c>
      <c r="AX10" t="s">
        <v>815</v>
      </c>
      <c r="AY10">
        <v>10</v>
      </c>
      <c r="AZ10">
        <v>10</v>
      </c>
    </row>
    <row r="11" spans="1:52">
      <c r="A11" t="s">
        <v>865</v>
      </c>
      <c r="B11" t="s">
        <v>817</v>
      </c>
      <c r="C11" t="s">
        <v>866</v>
      </c>
      <c r="D11" t="s">
        <v>819</v>
      </c>
      <c r="E11" t="s">
        <v>820</v>
      </c>
      <c r="F11" t="s">
        <v>867</v>
      </c>
      <c r="G11">
        <f>'Assessment Questions'!J11</f>
        <v>5</v>
      </c>
      <c r="H11">
        <f t="shared" si="0"/>
        <v>0</v>
      </c>
      <c r="I11">
        <f t="shared" si="1"/>
        <v>0</v>
      </c>
      <c r="J11">
        <f t="shared" si="2"/>
        <v>5</v>
      </c>
      <c r="K11">
        <f t="shared" si="3"/>
        <v>5</v>
      </c>
      <c r="L11" t="str">
        <f t="shared" si="4"/>
        <v>Critical</v>
      </c>
      <c r="M11" t="s">
        <v>833</v>
      </c>
      <c r="N11" t="s">
        <v>834</v>
      </c>
      <c r="O11" t="s">
        <v>835</v>
      </c>
      <c r="P11" t="s">
        <v>836</v>
      </c>
      <c r="Q11" t="s">
        <v>837</v>
      </c>
      <c r="R11" t="s">
        <v>838</v>
      </c>
      <c r="S11" t="s">
        <v>828</v>
      </c>
      <c r="T11">
        <f>'Assessment Questions'!W11</f>
        <v>0</v>
      </c>
      <c r="U11">
        <f>'Assessment Questions'!X11</f>
        <v>0</v>
      </c>
      <c r="V11" t="str">
        <f>'Assessment Questions'!Y11</f>
        <v>Use the recommended action generated by the model; validate with domain owner during real assessment.</v>
      </c>
      <c r="W11">
        <v>5</v>
      </c>
      <c r="X11">
        <v>5</v>
      </c>
      <c r="Y11">
        <v>5</v>
      </c>
      <c r="Z11">
        <f>'Assessment Questions'!AC11</f>
        <v>0</v>
      </c>
      <c r="AB11">
        <f t="shared" si="5"/>
        <v>0</v>
      </c>
      <c r="AC11">
        <f t="shared" si="6"/>
        <v>0</v>
      </c>
      <c r="AD11">
        <f t="shared" si="7"/>
        <v>0</v>
      </c>
      <c r="AE11">
        <f t="shared" si="8"/>
        <v>0</v>
      </c>
      <c r="AF11">
        <f t="shared" si="9"/>
        <v>5</v>
      </c>
      <c r="AG11">
        <f t="shared" si="10"/>
        <v>0</v>
      </c>
      <c r="AH11">
        <f>'Assessment Questions'!AK11</f>
        <v>0</v>
      </c>
      <c r="AI11">
        <f>'Assessment Questions'!AL11</f>
        <v>0</v>
      </c>
      <c r="AJ11">
        <f>IF(OR($H11="",$H11="N/A"),"",IF($AH11="",VLOOKUP('Company Profile'!$B$40,_CONFIG_Model_Settings!$A$5:$B$8,2,FALSE),IFERROR(VLOOKUP($AH11,_CONFIG_Model_Settings!$A$5:$B$8,2,FALSE),0.9)))</f>
        <v>0.9</v>
      </c>
      <c r="AK11">
        <f>IF(OR($H11="",$H11="N/A"),"",IF($AI11="",VLOOKUP('Company Profile'!$B$41,_CONFIG_Model_Settings!$A$5:$B$8,2,FALSE),IFERROR(VLOOKUP($AI11,_CONFIG_Model_Settings!$A$5:$B$8,2,FALSE),0.9)))</f>
        <v>0.9</v>
      </c>
      <c r="AL11">
        <f t="shared" si="11"/>
        <v>0</v>
      </c>
      <c r="AM11">
        <f t="shared" si="12"/>
        <v>0</v>
      </c>
      <c r="AN11">
        <f>IFERROR(MIN(5,MAX(0,(SUMIFS(_REF_Model_Content!$D$1:$D$174,_REF_Model_Content!$A$1:$A$174,PV_Canonical_Industry,_REF_Model_Content!$B$1:$B$174,"Company Geography"))+IFERROR(VLOOKUP('Company Profile'!$B$35,_CONFIG_Model_Settings!$A$11:$B$13,2,0),0))),"")</f>
        <v>0</v>
      </c>
      <c r="AO11">
        <f t="shared" si="13"/>
        <v>0</v>
      </c>
      <c r="AP11">
        <f>IFERROR(SUMIFS(_REF_Model_Content!$E$1:$E$174,_REF_Model_Content!$A$1:$A$174,PV_Canonical_Industry,_REF_Model_Content!$B$1:$B$174,"Company Geography"),1)</f>
        <v>0</v>
      </c>
      <c r="AQ11">
        <f t="shared" si="14"/>
        <v>0</v>
      </c>
      <c r="AR11" t="str">
        <f t="shared" si="15"/>
        <v>Within target</v>
      </c>
      <c r="AS11">
        <f t="shared" si="16"/>
        <v>0</v>
      </c>
      <c r="AT11">
        <f t="shared" si="17"/>
        <v>0.9</v>
      </c>
      <c r="AU11">
        <f>'Assessment Questions'!AX11</f>
        <v>0</v>
      </c>
      <c r="AV11">
        <f t="shared" si="18"/>
        <v>0.9</v>
      </c>
      <c r="AW11" t="s">
        <v>815</v>
      </c>
      <c r="AX11" t="s">
        <v>815</v>
      </c>
      <c r="AY11">
        <v>11</v>
      </c>
      <c r="AZ11">
        <v>11</v>
      </c>
    </row>
    <row r="12" spans="1:52">
      <c r="A12" t="s">
        <v>868</v>
      </c>
      <c r="B12" t="s">
        <v>839</v>
      </c>
      <c r="C12" t="s">
        <v>869</v>
      </c>
      <c r="D12" t="s">
        <v>819</v>
      </c>
      <c r="E12" t="s">
        <v>820</v>
      </c>
      <c r="F12" t="s">
        <v>870</v>
      </c>
      <c r="G12">
        <f>'Assessment Questions'!J12</f>
        <v>5</v>
      </c>
      <c r="H12">
        <f t="shared" si="0"/>
        <v>0</v>
      </c>
      <c r="I12">
        <f t="shared" si="1"/>
        <v>0</v>
      </c>
      <c r="J12">
        <f t="shared" si="2"/>
        <v>5</v>
      </c>
      <c r="K12">
        <f t="shared" si="3"/>
        <v>5</v>
      </c>
      <c r="L12" t="str">
        <f t="shared" si="4"/>
        <v>Critical</v>
      </c>
      <c r="M12" t="s">
        <v>833</v>
      </c>
      <c r="N12" t="s">
        <v>834</v>
      </c>
      <c r="O12" t="s">
        <v>835</v>
      </c>
      <c r="P12" t="s">
        <v>836</v>
      </c>
      <c r="Q12" t="s">
        <v>837</v>
      </c>
      <c r="R12" t="s">
        <v>838</v>
      </c>
      <c r="S12" t="s">
        <v>828</v>
      </c>
      <c r="T12">
        <f>'Assessment Questions'!W12</f>
        <v>0</v>
      </c>
      <c r="U12">
        <f>'Assessment Questions'!X12</f>
        <v>0</v>
      </c>
      <c r="V12" t="str">
        <f>'Assessment Questions'!Y12</f>
        <v>Use the recommended action generated by the model; validate with domain owner during real assessment.</v>
      </c>
      <c r="W12">
        <v>4</v>
      </c>
      <c r="X12">
        <v>5</v>
      </c>
      <c r="Y12">
        <v>5</v>
      </c>
      <c r="Z12">
        <f>'Assessment Questions'!AC12</f>
        <v>0</v>
      </c>
      <c r="AB12">
        <f t="shared" si="5"/>
        <v>0</v>
      </c>
      <c r="AC12">
        <f t="shared" si="6"/>
        <v>0</v>
      </c>
      <c r="AD12">
        <f t="shared" si="7"/>
        <v>0</v>
      </c>
      <c r="AE12">
        <f t="shared" si="8"/>
        <v>0</v>
      </c>
      <c r="AF12">
        <f t="shared" si="9"/>
        <v>5</v>
      </c>
      <c r="AG12">
        <f t="shared" si="10"/>
        <v>0</v>
      </c>
      <c r="AH12">
        <f>'Assessment Questions'!AK12</f>
        <v>0</v>
      </c>
      <c r="AI12">
        <f>'Assessment Questions'!AL12</f>
        <v>0</v>
      </c>
      <c r="AJ12">
        <f>IF(OR($H12="",$H12="N/A"),"",IF($AH12="",VLOOKUP('Company Profile'!$B$40,_CONFIG_Model_Settings!$A$5:$B$8,2,FALSE),IFERROR(VLOOKUP($AH12,_CONFIG_Model_Settings!$A$5:$B$8,2,FALSE),0.9)))</f>
        <v>0.9</v>
      </c>
      <c r="AK12">
        <f>IF(OR($H12="",$H12="N/A"),"",IF($AI12="",VLOOKUP('Company Profile'!$B$41,_CONFIG_Model_Settings!$A$5:$B$8,2,FALSE),IFERROR(VLOOKUP($AI12,_CONFIG_Model_Settings!$A$5:$B$8,2,FALSE),0.9)))</f>
        <v>0.9</v>
      </c>
      <c r="AL12">
        <f t="shared" si="11"/>
        <v>0</v>
      </c>
      <c r="AM12">
        <f t="shared" si="12"/>
        <v>0</v>
      </c>
      <c r="AN12">
        <f>IFERROR(MIN(5,MAX(0,(SUMIFS(_REF_Model_Content!$D$1:$D$174,_REF_Model_Content!$A$1:$A$174,PV_Canonical_Industry,_REF_Model_Content!$B$1:$B$174,"Company Geography"))+IFERROR(VLOOKUP('Company Profile'!$B$35,_CONFIG_Model_Settings!$A$11:$B$13,2,0),0))),"")</f>
        <v>0</v>
      </c>
      <c r="AO12">
        <f t="shared" si="13"/>
        <v>0</v>
      </c>
      <c r="AP12">
        <f>IFERROR(SUMIFS(_REF_Model_Content!$E$1:$E$174,_REF_Model_Content!$A$1:$A$174,PV_Canonical_Industry,_REF_Model_Content!$B$1:$B$174,"Company Geography"),1)</f>
        <v>0</v>
      </c>
      <c r="AQ12">
        <f t="shared" si="14"/>
        <v>0</v>
      </c>
      <c r="AR12" t="str">
        <f t="shared" si="15"/>
        <v>Within target</v>
      </c>
      <c r="AS12">
        <f t="shared" si="16"/>
        <v>0</v>
      </c>
      <c r="AT12">
        <f t="shared" si="17"/>
        <v>0.9</v>
      </c>
      <c r="AU12">
        <f>'Assessment Questions'!AX12</f>
        <v>0</v>
      </c>
      <c r="AV12">
        <f t="shared" si="18"/>
        <v>0.9</v>
      </c>
      <c r="AW12" t="s">
        <v>815</v>
      </c>
      <c r="AX12" t="s">
        <v>815</v>
      </c>
      <c r="AY12">
        <v>12</v>
      </c>
      <c r="AZ12">
        <v>12</v>
      </c>
    </row>
    <row r="13" spans="1:52">
      <c r="A13" t="s">
        <v>871</v>
      </c>
      <c r="B13" t="s">
        <v>839</v>
      </c>
      <c r="C13" t="s">
        <v>872</v>
      </c>
      <c r="D13" t="s">
        <v>819</v>
      </c>
      <c r="E13" t="s">
        <v>820</v>
      </c>
      <c r="F13" t="s">
        <v>873</v>
      </c>
      <c r="G13">
        <f>'Assessment Questions'!J13</f>
        <v>5</v>
      </c>
      <c r="H13">
        <f t="shared" si="0"/>
        <v>0</v>
      </c>
      <c r="I13">
        <f t="shared" si="1"/>
        <v>0</v>
      </c>
      <c r="J13">
        <f t="shared" si="2"/>
        <v>5</v>
      </c>
      <c r="K13">
        <f t="shared" si="3"/>
        <v>5</v>
      </c>
      <c r="L13" t="str">
        <f t="shared" si="4"/>
        <v>Critical</v>
      </c>
      <c r="M13" t="s">
        <v>874</v>
      </c>
      <c r="N13" t="s">
        <v>875</v>
      </c>
      <c r="O13" t="s">
        <v>876</v>
      </c>
      <c r="P13" t="s">
        <v>877</v>
      </c>
      <c r="Q13" t="s">
        <v>878</v>
      </c>
      <c r="R13" t="s">
        <v>879</v>
      </c>
      <c r="S13" t="s">
        <v>828</v>
      </c>
      <c r="T13">
        <f>'Assessment Questions'!W13</f>
        <v>0</v>
      </c>
      <c r="U13">
        <f>'Assessment Questions'!X13</f>
        <v>0</v>
      </c>
      <c r="V13" t="str">
        <f>'Assessment Questions'!Y13</f>
        <v>Use the recommended action generated by the model; validate with domain owner during real assessment.</v>
      </c>
      <c r="W13">
        <v>5</v>
      </c>
      <c r="X13">
        <v>5</v>
      </c>
      <c r="Y13">
        <v>5</v>
      </c>
      <c r="Z13">
        <f>'Assessment Questions'!AC13</f>
        <v>0</v>
      </c>
      <c r="AB13">
        <f t="shared" si="5"/>
        <v>0</v>
      </c>
      <c r="AC13">
        <f t="shared" si="6"/>
        <v>0</v>
      </c>
      <c r="AD13">
        <f t="shared" si="7"/>
        <v>0</v>
      </c>
      <c r="AE13">
        <f t="shared" si="8"/>
        <v>0</v>
      </c>
      <c r="AF13">
        <f t="shared" si="9"/>
        <v>5</v>
      </c>
      <c r="AG13">
        <f t="shared" si="10"/>
        <v>0</v>
      </c>
      <c r="AH13">
        <f>'Assessment Questions'!AK13</f>
        <v>0</v>
      </c>
      <c r="AI13">
        <f>'Assessment Questions'!AL13</f>
        <v>0</v>
      </c>
      <c r="AJ13">
        <f>IF(OR($H13="",$H13="N/A"),"",IF($AH13="",VLOOKUP('Company Profile'!$B$40,_CONFIG_Model_Settings!$A$5:$B$8,2,FALSE),IFERROR(VLOOKUP($AH13,_CONFIG_Model_Settings!$A$5:$B$8,2,FALSE),0.9)))</f>
        <v>0.9</v>
      </c>
      <c r="AK13">
        <f>IF(OR($H13="",$H13="N/A"),"",IF($AI13="",VLOOKUP('Company Profile'!$B$41,_CONFIG_Model_Settings!$A$5:$B$8,2,FALSE),IFERROR(VLOOKUP($AI13,_CONFIG_Model_Settings!$A$5:$B$8,2,FALSE),0.9)))</f>
        <v>0.9</v>
      </c>
      <c r="AL13">
        <f t="shared" si="11"/>
        <v>0</v>
      </c>
      <c r="AM13">
        <f t="shared" si="12"/>
        <v>0</v>
      </c>
      <c r="AN13">
        <f>IFERROR(MIN(5,MAX(0,(SUMIFS(_REF_Model_Content!$D$1:$D$174,_REF_Model_Content!$A$1:$A$174,PV_Canonical_Industry,_REF_Model_Content!$B$1:$B$174,"Company Geography"))+IFERROR(VLOOKUP('Company Profile'!$B$35,_CONFIG_Model_Settings!$A$11:$B$13,2,0),0))),"")</f>
        <v>0</v>
      </c>
      <c r="AO13">
        <f t="shared" si="13"/>
        <v>0</v>
      </c>
      <c r="AP13">
        <f>IFERROR(SUMIFS(_REF_Model_Content!$E$1:$E$174,_REF_Model_Content!$A$1:$A$174,PV_Canonical_Industry,_REF_Model_Content!$B$1:$B$174,"Company Geography"),1)</f>
        <v>0</v>
      </c>
      <c r="AQ13">
        <f t="shared" si="14"/>
        <v>0</v>
      </c>
      <c r="AR13" t="str">
        <f t="shared" si="15"/>
        <v>Within target</v>
      </c>
      <c r="AS13">
        <f t="shared" si="16"/>
        <v>0</v>
      </c>
      <c r="AT13">
        <f t="shared" si="17"/>
        <v>0.9</v>
      </c>
      <c r="AU13">
        <f>'Assessment Questions'!AX13</f>
        <v>0</v>
      </c>
      <c r="AV13">
        <f t="shared" si="18"/>
        <v>0.9</v>
      </c>
      <c r="AW13" t="s">
        <v>815</v>
      </c>
      <c r="AX13" t="s">
        <v>815</v>
      </c>
      <c r="AY13">
        <v>13</v>
      </c>
      <c r="AZ13">
        <v>13</v>
      </c>
    </row>
    <row r="14" spans="1:52">
      <c r="A14" t="s">
        <v>880</v>
      </c>
      <c r="B14" t="s">
        <v>839</v>
      </c>
      <c r="C14" t="s">
        <v>881</v>
      </c>
      <c r="D14" t="s">
        <v>819</v>
      </c>
      <c r="E14" t="s">
        <v>820</v>
      </c>
      <c r="F14" t="s">
        <v>882</v>
      </c>
      <c r="G14">
        <f>'Assessment Questions'!J14</f>
        <v>4</v>
      </c>
      <c r="H14">
        <f t="shared" si="0"/>
        <v>0</v>
      </c>
      <c r="I14">
        <f t="shared" si="1"/>
        <v>0</v>
      </c>
      <c r="J14">
        <f t="shared" si="2"/>
        <v>4</v>
      </c>
      <c r="K14">
        <f t="shared" si="3"/>
        <v>4</v>
      </c>
      <c r="L14" t="str">
        <f t="shared" si="4"/>
        <v>Critical</v>
      </c>
      <c r="M14" t="s">
        <v>883</v>
      </c>
      <c r="N14" t="s">
        <v>884</v>
      </c>
      <c r="O14" t="s">
        <v>885</v>
      </c>
      <c r="P14" t="s">
        <v>886</v>
      </c>
      <c r="Q14" t="s">
        <v>887</v>
      </c>
      <c r="R14" t="s">
        <v>888</v>
      </c>
      <c r="S14" t="s">
        <v>828</v>
      </c>
      <c r="T14">
        <f>'Assessment Questions'!W14</f>
        <v>0</v>
      </c>
      <c r="U14">
        <f>'Assessment Questions'!X14</f>
        <v>0</v>
      </c>
      <c r="V14" t="str">
        <f>'Assessment Questions'!Y14</f>
        <v>Use the recommended action generated by the model; validate with domain owner during real assessment.</v>
      </c>
      <c r="W14">
        <v>4</v>
      </c>
      <c r="X14">
        <v>5</v>
      </c>
      <c r="Y14">
        <v>5</v>
      </c>
      <c r="Z14">
        <f>'Assessment Questions'!AC14</f>
        <v>0</v>
      </c>
      <c r="AB14">
        <f t="shared" si="5"/>
        <v>0</v>
      </c>
      <c r="AC14">
        <f t="shared" si="6"/>
        <v>0</v>
      </c>
      <c r="AD14">
        <f t="shared" si="7"/>
        <v>0</v>
      </c>
      <c r="AE14">
        <f t="shared" si="8"/>
        <v>0</v>
      </c>
      <c r="AF14">
        <f t="shared" si="9"/>
        <v>5</v>
      </c>
      <c r="AG14">
        <f t="shared" si="10"/>
        <v>0</v>
      </c>
      <c r="AH14">
        <f>'Assessment Questions'!AK14</f>
        <v>0</v>
      </c>
      <c r="AI14">
        <f>'Assessment Questions'!AL14</f>
        <v>0</v>
      </c>
      <c r="AJ14">
        <f>IF(OR($H14="",$H14="N/A"),"",IF($AH14="",VLOOKUP('Company Profile'!$B$40,_CONFIG_Model_Settings!$A$5:$B$8,2,FALSE),IFERROR(VLOOKUP($AH14,_CONFIG_Model_Settings!$A$5:$B$8,2,FALSE),0.9)))</f>
        <v>0.9</v>
      </c>
      <c r="AK14">
        <f>IF(OR($H14="",$H14="N/A"),"",IF($AI14="",VLOOKUP('Company Profile'!$B$41,_CONFIG_Model_Settings!$A$5:$B$8,2,FALSE),IFERROR(VLOOKUP($AI14,_CONFIG_Model_Settings!$A$5:$B$8,2,FALSE),0.9)))</f>
        <v>0.9</v>
      </c>
      <c r="AL14">
        <f t="shared" si="11"/>
        <v>0</v>
      </c>
      <c r="AM14">
        <f t="shared" si="12"/>
        <v>0</v>
      </c>
      <c r="AN14">
        <f>IFERROR(MIN(5,MAX(0,(SUMIFS(_REF_Model_Content!$D$1:$D$174,_REF_Model_Content!$A$1:$A$174,PV_Canonical_Industry,_REF_Model_Content!$B$1:$B$174,"Company Geography"))+IFERROR(VLOOKUP('Company Profile'!$B$35,_CONFIG_Model_Settings!$A$11:$B$13,2,0),0))),"")</f>
        <v>0</v>
      </c>
      <c r="AO14">
        <f t="shared" si="13"/>
        <v>0</v>
      </c>
      <c r="AP14">
        <f>IFERROR(SUMIFS(_REF_Model_Content!$E$1:$E$174,_REF_Model_Content!$A$1:$A$174,PV_Canonical_Industry,_REF_Model_Content!$B$1:$B$174,"Company Geography"),1)</f>
        <v>0</v>
      </c>
      <c r="AQ14">
        <f t="shared" si="14"/>
        <v>0</v>
      </c>
      <c r="AR14" t="str">
        <f t="shared" si="15"/>
        <v>Within target</v>
      </c>
      <c r="AS14">
        <f t="shared" si="16"/>
        <v>0</v>
      </c>
      <c r="AT14">
        <f t="shared" si="17"/>
        <v>0.9</v>
      </c>
      <c r="AU14">
        <f>'Assessment Questions'!AX14</f>
        <v>0</v>
      </c>
      <c r="AV14">
        <f t="shared" si="18"/>
        <v>0.9</v>
      </c>
      <c r="AW14" t="s">
        <v>815</v>
      </c>
      <c r="AX14" t="s">
        <v>815</v>
      </c>
      <c r="AY14">
        <v>14</v>
      </c>
      <c r="AZ14">
        <v>14</v>
      </c>
    </row>
    <row r="15" spans="1:52">
      <c r="A15" t="s">
        <v>889</v>
      </c>
      <c r="B15" t="s">
        <v>839</v>
      </c>
      <c r="C15" t="s">
        <v>890</v>
      </c>
      <c r="D15" t="s">
        <v>819</v>
      </c>
      <c r="E15" t="s">
        <v>820</v>
      </c>
      <c r="F15" t="s">
        <v>891</v>
      </c>
      <c r="G15">
        <f>'Assessment Questions'!J15</f>
        <v>5</v>
      </c>
      <c r="H15">
        <f t="shared" si="0"/>
        <v>0</v>
      </c>
      <c r="I15">
        <f t="shared" si="1"/>
        <v>0</v>
      </c>
      <c r="J15">
        <f t="shared" si="2"/>
        <v>5</v>
      </c>
      <c r="K15">
        <f t="shared" si="3"/>
        <v>5</v>
      </c>
      <c r="L15" t="str">
        <f t="shared" si="4"/>
        <v>Critical</v>
      </c>
      <c r="M15" t="s">
        <v>833</v>
      </c>
      <c r="N15" t="s">
        <v>834</v>
      </c>
      <c r="O15" t="s">
        <v>835</v>
      </c>
      <c r="P15" t="s">
        <v>836</v>
      </c>
      <c r="Q15" t="s">
        <v>837</v>
      </c>
      <c r="R15" t="s">
        <v>838</v>
      </c>
      <c r="S15" t="s">
        <v>828</v>
      </c>
      <c r="T15">
        <f>'Assessment Questions'!W15</f>
        <v>0</v>
      </c>
      <c r="U15">
        <f>'Assessment Questions'!X15</f>
        <v>0</v>
      </c>
      <c r="V15" t="str">
        <f>'Assessment Questions'!Y15</f>
        <v>Use the recommended action generated by the model; validate with domain owner during real assessment.</v>
      </c>
      <c r="W15">
        <v>4</v>
      </c>
      <c r="X15">
        <v>5</v>
      </c>
      <c r="Y15">
        <v>5</v>
      </c>
      <c r="Z15">
        <f>'Assessment Questions'!AC15</f>
        <v>0</v>
      </c>
      <c r="AB15">
        <f t="shared" si="5"/>
        <v>0</v>
      </c>
      <c r="AC15">
        <f t="shared" si="6"/>
        <v>0</v>
      </c>
      <c r="AD15">
        <f t="shared" si="7"/>
        <v>0</v>
      </c>
      <c r="AE15">
        <f t="shared" si="8"/>
        <v>0</v>
      </c>
      <c r="AF15">
        <f t="shared" si="9"/>
        <v>5</v>
      </c>
      <c r="AG15">
        <f t="shared" si="10"/>
        <v>0</v>
      </c>
      <c r="AH15">
        <f>'Assessment Questions'!AK15</f>
        <v>0</v>
      </c>
      <c r="AI15">
        <f>'Assessment Questions'!AL15</f>
        <v>0</v>
      </c>
      <c r="AJ15">
        <f>IF(OR($H15="",$H15="N/A"),"",IF($AH15="",VLOOKUP('Company Profile'!$B$40,_CONFIG_Model_Settings!$A$5:$B$8,2,FALSE),IFERROR(VLOOKUP($AH15,_CONFIG_Model_Settings!$A$5:$B$8,2,FALSE),0.9)))</f>
        <v>0.9</v>
      </c>
      <c r="AK15">
        <f>IF(OR($H15="",$H15="N/A"),"",IF($AI15="",VLOOKUP('Company Profile'!$B$41,_CONFIG_Model_Settings!$A$5:$B$8,2,FALSE),IFERROR(VLOOKUP($AI15,_CONFIG_Model_Settings!$A$5:$B$8,2,FALSE),0.9)))</f>
        <v>0.9</v>
      </c>
      <c r="AL15">
        <f t="shared" si="11"/>
        <v>0</v>
      </c>
      <c r="AM15">
        <f t="shared" si="12"/>
        <v>0</v>
      </c>
      <c r="AN15">
        <f>IFERROR(MIN(5,MAX(0,(SUMIFS(_REF_Model_Content!$D$1:$D$174,_REF_Model_Content!$A$1:$A$174,PV_Canonical_Industry,_REF_Model_Content!$B$1:$B$174,"Company Geography"))+IFERROR(VLOOKUP('Company Profile'!$B$35,_CONFIG_Model_Settings!$A$11:$B$13,2,0),0))),"")</f>
        <v>0</v>
      </c>
      <c r="AO15">
        <f t="shared" si="13"/>
        <v>0</v>
      </c>
      <c r="AP15">
        <f>IFERROR(SUMIFS(_REF_Model_Content!$E$1:$E$174,_REF_Model_Content!$A$1:$A$174,PV_Canonical_Industry,_REF_Model_Content!$B$1:$B$174,"Company Geography"),1)</f>
        <v>0</v>
      </c>
      <c r="AQ15">
        <f t="shared" si="14"/>
        <v>0</v>
      </c>
      <c r="AR15" t="str">
        <f t="shared" si="15"/>
        <v>Within target</v>
      </c>
      <c r="AS15">
        <f t="shared" si="16"/>
        <v>0</v>
      </c>
      <c r="AT15">
        <f t="shared" si="17"/>
        <v>0.9</v>
      </c>
      <c r="AU15">
        <f>'Assessment Questions'!AX15</f>
        <v>0</v>
      </c>
      <c r="AV15">
        <f t="shared" si="18"/>
        <v>0.9</v>
      </c>
      <c r="AW15" t="s">
        <v>815</v>
      </c>
      <c r="AX15" t="s">
        <v>815</v>
      </c>
      <c r="AY15">
        <v>15</v>
      </c>
      <c r="AZ15">
        <v>15</v>
      </c>
    </row>
    <row r="16" spans="1:52">
      <c r="A16" t="s">
        <v>892</v>
      </c>
      <c r="B16" t="s">
        <v>839</v>
      </c>
      <c r="C16" t="s">
        <v>893</v>
      </c>
      <c r="D16" t="s">
        <v>819</v>
      </c>
      <c r="E16" t="s">
        <v>820</v>
      </c>
      <c r="F16" t="s">
        <v>894</v>
      </c>
      <c r="G16">
        <f>'Assessment Questions'!J16</f>
        <v>5</v>
      </c>
      <c r="H16">
        <f t="shared" si="0"/>
        <v>0</v>
      </c>
      <c r="I16">
        <f t="shared" si="1"/>
        <v>0</v>
      </c>
      <c r="J16">
        <f t="shared" si="2"/>
        <v>5</v>
      </c>
      <c r="K16">
        <f t="shared" si="3"/>
        <v>5</v>
      </c>
      <c r="L16" t="str">
        <f t="shared" si="4"/>
        <v>Critical</v>
      </c>
      <c r="M16" t="s">
        <v>833</v>
      </c>
      <c r="N16" t="s">
        <v>834</v>
      </c>
      <c r="O16" t="s">
        <v>835</v>
      </c>
      <c r="P16" t="s">
        <v>836</v>
      </c>
      <c r="Q16" t="s">
        <v>837</v>
      </c>
      <c r="R16" t="s">
        <v>838</v>
      </c>
      <c r="S16" t="s">
        <v>828</v>
      </c>
      <c r="T16">
        <f>'Assessment Questions'!W16</f>
        <v>0</v>
      </c>
      <c r="U16">
        <f>'Assessment Questions'!X16</f>
        <v>0</v>
      </c>
      <c r="V16" t="str">
        <f>'Assessment Questions'!Y16</f>
        <v>Use the recommended action generated by the model; validate with domain owner during real assessment.</v>
      </c>
      <c r="W16">
        <v>4</v>
      </c>
      <c r="X16">
        <v>5</v>
      </c>
      <c r="Y16">
        <v>5</v>
      </c>
      <c r="Z16">
        <f>'Assessment Questions'!AC16</f>
        <v>0</v>
      </c>
      <c r="AB16">
        <f t="shared" si="5"/>
        <v>0</v>
      </c>
      <c r="AC16">
        <f t="shared" si="6"/>
        <v>0</v>
      </c>
      <c r="AD16">
        <f t="shared" si="7"/>
        <v>0</v>
      </c>
      <c r="AE16">
        <f t="shared" si="8"/>
        <v>0</v>
      </c>
      <c r="AF16">
        <f t="shared" si="9"/>
        <v>5</v>
      </c>
      <c r="AG16">
        <f t="shared" si="10"/>
        <v>0</v>
      </c>
      <c r="AH16">
        <f>'Assessment Questions'!AK16</f>
        <v>0</v>
      </c>
      <c r="AI16">
        <f>'Assessment Questions'!AL16</f>
        <v>0</v>
      </c>
      <c r="AJ16">
        <f>IF(OR($H16="",$H16="N/A"),"",IF($AH16="",VLOOKUP('Company Profile'!$B$40,_CONFIG_Model_Settings!$A$5:$B$8,2,FALSE),IFERROR(VLOOKUP($AH16,_CONFIG_Model_Settings!$A$5:$B$8,2,FALSE),0.9)))</f>
        <v>0.9</v>
      </c>
      <c r="AK16">
        <f>IF(OR($H16="",$H16="N/A"),"",IF($AI16="",VLOOKUP('Company Profile'!$B$41,_CONFIG_Model_Settings!$A$5:$B$8,2,FALSE),IFERROR(VLOOKUP($AI16,_CONFIG_Model_Settings!$A$5:$B$8,2,FALSE),0.9)))</f>
        <v>0.9</v>
      </c>
      <c r="AL16">
        <f t="shared" si="11"/>
        <v>0</v>
      </c>
      <c r="AM16">
        <f t="shared" si="12"/>
        <v>0</v>
      </c>
      <c r="AN16">
        <f>IFERROR(MIN(5,MAX(0,(SUMIFS(_REF_Model_Content!$D$1:$D$174,_REF_Model_Content!$A$1:$A$174,PV_Canonical_Industry,_REF_Model_Content!$B$1:$B$174,"Company Geography"))+IFERROR(VLOOKUP('Company Profile'!$B$35,_CONFIG_Model_Settings!$A$11:$B$13,2,0),0))),"")</f>
        <v>0</v>
      </c>
      <c r="AO16">
        <f t="shared" si="13"/>
        <v>0</v>
      </c>
      <c r="AP16">
        <f>IFERROR(SUMIFS(_REF_Model_Content!$E$1:$E$174,_REF_Model_Content!$A$1:$A$174,PV_Canonical_Industry,_REF_Model_Content!$B$1:$B$174,"Company Geography"),1)</f>
        <v>0</v>
      </c>
      <c r="AQ16">
        <f t="shared" si="14"/>
        <v>0</v>
      </c>
      <c r="AR16" t="str">
        <f t="shared" si="15"/>
        <v>Within target</v>
      </c>
      <c r="AS16">
        <f t="shared" si="16"/>
        <v>0</v>
      </c>
      <c r="AT16">
        <f t="shared" si="17"/>
        <v>0.9</v>
      </c>
      <c r="AU16">
        <f>'Assessment Questions'!AX16</f>
        <v>0</v>
      </c>
      <c r="AV16">
        <f t="shared" si="18"/>
        <v>0.9</v>
      </c>
      <c r="AW16" t="s">
        <v>815</v>
      </c>
      <c r="AX16" t="s">
        <v>815</v>
      </c>
      <c r="AY16">
        <v>16</v>
      </c>
      <c r="AZ16">
        <v>16</v>
      </c>
    </row>
    <row r="17" spans="1:52">
      <c r="A17" t="s">
        <v>895</v>
      </c>
      <c r="B17" t="s">
        <v>839</v>
      </c>
      <c r="C17" t="s">
        <v>896</v>
      </c>
      <c r="D17" t="s">
        <v>819</v>
      </c>
      <c r="E17" t="s">
        <v>820</v>
      </c>
      <c r="F17" t="s">
        <v>897</v>
      </c>
      <c r="G17">
        <f>'Assessment Questions'!J17</f>
        <v>4</v>
      </c>
      <c r="H17">
        <f t="shared" si="0"/>
        <v>0</v>
      </c>
      <c r="I17">
        <f t="shared" si="1"/>
        <v>0</v>
      </c>
      <c r="J17">
        <f t="shared" si="2"/>
        <v>4</v>
      </c>
      <c r="K17">
        <f t="shared" si="3"/>
        <v>4</v>
      </c>
      <c r="L17" t="str">
        <f t="shared" si="4"/>
        <v>Critical</v>
      </c>
      <c r="M17" t="s">
        <v>898</v>
      </c>
      <c r="N17" t="s">
        <v>899</v>
      </c>
      <c r="O17" t="s">
        <v>900</v>
      </c>
      <c r="P17" t="s">
        <v>901</v>
      </c>
      <c r="Q17" t="s">
        <v>902</v>
      </c>
      <c r="R17" t="s">
        <v>903</v>
      </c>
      <c r="S17" t="s">
        <v>828</v>
      </c>
      <c r="T17">
        <f>'Assessment Questions'!W17</f>
        <v>0</v>
      </c>
      <c r="U17">
        <f>'Assessment Questions'!X17</f>
        <v>0</v>
      </c>
      <c r="V17" t="str">
        <f>'Assessment Questions'!Y17</f>
        <v>Use the recommended action generated by the model; validate with domain owner during real assessment.</v>
      </c>
      <c r="W17">
        <v>4</v>
      </c>
      <c r="X17">
        <v>5</v>
      </c>
      <c r="Y17">
        <v>5</v>
      </c>
      <c r="Z17">
        <f>'Assessment Questions'!AC17</f>
        <v>0</v>
      </c>
      <c r="AB17">
        <f t="shared" si="5"/>
        <v>0</v>
      </c>
      <c r="AC17">
        <f t="shared" si="6"/>
        <v>0</v>
      </c>
      <c r="AD17">
        <f t="shared" si="7"/>
        <v>0</v>
      </c>
      <c r="AE17">
        <f t="shared" si="8"/>
        <v>0</v>
      </c>
      <c r="AF17">
        <f t="shared" si="9"/>
        <v>5</v>
      </c>
      <c r="AG17">
        <f t="shared" si="10"/>
        <v>0</v>
      </c>
      <c r="AH17">
        <f>'Assessment Questions'!AK17</f>
        <v>0</v>
      </c>
      <c r="AI17">
        <f>'Assessment Questions'!AL17</f>
        <v>0</v>
      </c>
      <c r="AJ17">
        <f>IF(OR($H17="",$H17="N/A"),"",IF($AH17="",VLOOKUP('Company Profile'!$B$40,_CONFIG_Model_Settings!$A$5:$B$8,2,FALSE),IFERROR(VLOOKUP($AH17,_CONFIG_Model_Settings!$A$5:$B$8,2,FALSE),0.9)))</f>
        <v>0.9</v>
      </c>
      <c r="AK17">
        <f>IF(OR($H17="",$H17="N/A"),"",IF($AI17="",VLOOKUP('Company Profile'!$B$41,_CONFIG_Model_Settings!$A$5:$B$8,2,FALSE),IFERROR(VLOOKUP($AI17,_CONFIG_Model_Settings!$A$5:$B$8,2,FALSE),0.9)))</f>
        <v>0.9</v>
      </c>
      <c r="AL17">
        <f t="shared" si="11"/>
        <v>0</v>
      </c>
      <c r="AM17">
        <f t="shared" si="12"/>
        <v>0</v>
      </c>
      <c r="AN17">
        <f>IFERROR(MIN(5,MAX(0,(SUMIFS(_REF_Model_Content!$D$1:$D$174,_REF_Model_Content!$A$1:$A$174,PV_Canonical_Industry,_REF_Model_Content!$B$1:$B$174,"Company Geography"))+IFERROR(VLOOKUP('Company Profile'!$B$35,_CONFIG_Model_Settings!$A$11:$B$13,2,0),0))),"")</f>
        <v>0</v>
      </c>
      <c r="AO17">
        <f t="shared" si="13"/>
        <v>0</v>
      </c>
      <c r="AP17">
        <f>IFERROR(SUMIFS(_REF_Model_Content!$E$1:$E$174,_REF_Model_Content!$A$1:$A$174,PV_Canonical_Industry,_REF_Model_Content!$B$1:$B$174,"Company Geography"),1)</f>
        <v>0</v>
      </c>
      <c r="AQ17">
        <f t="shared" si="14"/>
        <v>0</v>
      </c>
      <c r="AR17" t="str">
        <f t="shared" si="15"/>
        <v>Within target</v>
      </c>
      <c r="AS17">
        <f t="shared" si="16"/>
        <v>0</v>
      </c>
      <c r="AT17">
        <f t="shared" si="17"/>
        <v>0.9</v>
      </c>
      <c r="AU17">
        <f>'Assessment Questions'!AX17</f>
        <v>0</v>
      </c>
      <c r="AV17">
        <f t="shared" si="18"/>
        <v>0.9</v>
      </c>
      <c r="AW17" t="s">
        <v>815</v>
      </c>
      <c r="AX17" t="s">
        <v>815</v>
      </c>
      <c r="AY17">
        <v>17</v>
      </c>
      <c r="AZ17">
        <v>17</v>
      </c>
    </row>
    <row r="18" spans="1:52">
      <c r="A18" t="s">
        <v>904</v>
      </c>
      <c r="B18" t="s">
        <v>839</v>
      </c>
      <c r="C18" t="s">
        <v>905</v>
      </c>
      <c r="D18" t="s">
        <v>819</v>
      </c>
      <c r="E18" t="s">
        <v>820</v>
      </c>
      <c r="F18" t="s">
        <v>906</v>
      </c>
      <c r="G18">
        <f>'Assessment Questions'!J18</f>
        <v>5</v>
      </c>
      <c r="H18">
        <f t="shared" si="0"/>
        <v>0</v>
      </c>
      <c r="I18">
        <f t="shared" si="1"/>
        <v>0</v>
      </c>
      <c r="J18">
        <f t="shared" si="2"/>
        <v>5</v>
      </c>
      <c r="K18">
        <f t="shared" si="3"/>
        <v>5</v>
      </c>
      <c r="L18" t="str">
        <f t="shared" si="4"/>
        <v>Critical</v>
      </c>
      <c r="M18" t="s">
        <v>833</v>
      </c>
      <c r="N18" t="s">
        <v>834</v>
      </c>
      <c r="O18" t="s">
        <v>835</v>
      </c>
      <c r="P18" t="s">
        <v>836</v>
      </c>
      <c r="Q18" t="s">
        <v>837</v>
      </c>
      <c r="R18" t="s">
        <v>838</v>
      </c>
      <c r="S18" t="s">
        <v>828</v>
      </c>
      <c r="T18">
        <f>'Assessment Questions'!W18</f>
        <v>0</v>
      </c>
      <c r="U18">
        <f>'Assessment Questions'!X18</f>
        <v>0</v>
      </c>
      <c r="V18" t="str">
        <f>'Assessment Questions'!Y18</f>
        <v>Use the recommended action generated by the model; validate with domain owner during real assessment.</v>
      </c>
      <c r="W18">
        <v>4</v>
      </c>
      <c r="X18">
        <v>5</v>
      </c>
      <c r="Y18">
        <v>5</v>
      </c>
      <c r="Z18">
        <f>'Assessment Questions'!AC18</f>
        <v>0</v>
      </c>
      <c r="AB18">
        <f t="shared" si="5"/>
        <v>0</v>
      </c>
      <c r="AC18">
        <f t="shared" si="6"/>
        <v>0</v>
      </c>
      <c r="AD18">
        <f t="shared" si="7"/>
        <v>0</v>
      </c>
      <c r="AE18">
        <f t="shared" si="8"/>
        <v>0</v>
      </c>
      <c r="AF18">
        <f t="shared" si="9"/>
        <v>5</v>
      </c>
      <c r="AG18">
        <f t="shared" si="10"/>
        <v>0</v>
      </c>
      <c r="AH18">
        <f>'Assessment Questions'!AK18</f>
        <v>0</v>
      </c>
      <c r="AI18">
        <f>'Assessment Questions'!AL18</f>
        <v>0</v>
      </c>
      <c r="AJ18">
        <f>IF(OR($H18="",$H18="N/A"),"",IF($AH18="",VLOOKUP('Company Profile'!$B$40,_CONFIG_Model_Settings!$A$5:$B$8,2,FALSE),IFERROR(VLOOKUP($AH18,_CONFIG_Model_Settings!$A$5:$B$8,2,FALSE),0.9)))</f>
        <v>0.9</v>
      </c>
      <c r="AK18">
        <f>IF(OR($H18="",$H18="N/A"),"",IF($AI18="",VLOOKUP('Company Profile'!$B$41,_CONFIG_Model_Settings!$A$5:$B$8,2,FALSE),IFERROR(VLOOKUP($AI18,_CONFIG_Model_Settings!$A$5:$B$8,2,FALSE),0.9)))</f>
        <v>0.9</v>
      </c>
      <c r="AL18">
        <f t="shared" si="11"/>
        <v>0</v>
      </c>
      <c r="AM18">
        <f t="shared" si="12"/>
        <v>0</v>
      </c>
      <c r="AN18">
        <f>IFERROR(MIN(5,MAX(0,(SUMIFS(_REF_Model_Content!$D$1:$D$174,_REF_Model_Content!$A$1:$A$174,PV_Canonical_Industry,_REF_Model_Content!$B$1:$B$174,"Company Geography"))+IFERROR(VLOOKUP('Company Profile'!$B$35,_CONFIG_Model_Settings!$A$11:$B$13,2,0),0))),"")</f>
        <v>0</v>
      </c>
      <c r="AO18">
        <f t="shared" si="13"/>
        <v>0</v>
      </c>
      <c r="AP18">
        <f>IFERROR(SUMIFS(_REF_Model_Content!$E$1:$E$174,_REF_Model_Content!$A$1:$A$174,PV_Canonical_Industry,_REF_Model_Content!$B$1:$B$174,"Company Geography"),1)</f>
        <v>0</v>
      </c>
      <c r="AQ18">
        <f t="shared" si="14"/>
        <v>0</v>
      </c>
      <c r="AR18" t="str">
        <f t="shared" si="15"/>
        <v>Within target</v>
      </c>
      <c r="AS18">
        <f t="shared" si="16"/>
        <v>0</v>
      </c>
      <c r="AT18">
        <f t="shared" si="17"/>
        <v>0.9</v>
      </c>
      <c r="AU18">
        <f>'Assessment Questions'!AX18</f>
        <v>0</v>
      </c>
      <c r="AV18">
        <f t="shared" si="18"/>
        <v>0.9</v>
      </c>
      <c r="AW18" t="s">
        <v>815</v>
      </c>
      <c r="AX18" t="s">
        <v>815</v>
      </c>
      <c r="AY18">
        <v>18</v>
      </c>
      <c r="AZ18">
        <v>18</v>
      </c>
    </row>
    <row r="19" spans="1:52">
      <c r="A19" t="s">
        <v>907</v>
      </c>
      <c r="B19" t="s">
        <v>843</v>
      </c>
      <c r="C19" t="s">
        <v>908</v>
      </c>
      <c r="D19" t="s">
        <v>819</v>
      </c>
      <c r="E19" t="s">
        <v>820</v>
      </c>
      <c r="F19" t="s">
        <v>909</v>
      </c>
      <c r="G19">
        <f>'Assessment Questions'!J19</f>
        <v>5</v>
      </c>
      <c r="H19">
        <f t="shared" si="0"/>
        <v>0</v>
      </c>
      <c r="I19">
        <f t="shared" si="1"/>
        <v>0</v>
      </c>
      <c r="J19">
        <f t="shared" si="2"/>
        <v>5</v>
      </c>
      <c r="K19">
        <f t="shared" si="3"/>
        <v>5</v>
      </c>
      <c r="L19" t="str">
        <f t="shared" si="4"/>
        <v>Critical</v>
      </c>
      <c r="M19" t="s">
        <v>833</v>
      </c>
      <c r="N19" t="s">
        <v>834</v>
      </c>
      <c r="O19" t="s">
        <v>835</v>
      </c>
      <c r="P19" t="s">
        <v>836</v>
      </c>
      <c r="Q19" t="s">
        <v>837</v>
      </c>
      <c r="R19" t="s">
        <v>838</v>
      </c>
      <c r="S19" t="s">
        <v>828</v>
      </c>
      <c r="T19">
        <f>'Assessment Questions'!W19</f>
        <v>0</v>
      </c>
      <c r="U19">
        <f>'Assessment Questions'!X19</f>
        <v>0</v>
      </c>
      <c r="V19" t="str">
        <f>'Assessment Questions'!Y19</f>
        <v>Use the recommended action generated by the model; validate with domain owner during real assessment.</v>
      </c>
      <c r="W19">
        <v>4</v>
      </c>
      <c r="X19">
        <v>5</v>
      </c>
      <c r="Y19">
        <v>5</v>
      </c>
      <c r="Z19">
        <f>'Assessment Questions'!AC19</f>
        <v>0</v>
      </c>
      <c r="AB19">
        <f t="shared" si="5"/>
        <v>0</v>
      </c>
      <c r="AC19">
        <f t="shared" si="6"/>
        <v>0</v>
      </c>
      <c r="AD19">
        <f t="shared" si="7"/>
        <v>0</v>
      </c>
      <c r="AE19">
        <f t="shared" si="8"/>
        <v>0</v>
      </c>
      <c r="AF19">
        <f t="shared" si="9"/>
        <v>5</v>
      </c>
      <c r="AG19">
        <f t="shared" si="10"/>
        <v>0</v>
      </c>
      <c r="AH19">
        <f>'Assessment Questions'!AK19</f>
        <v>0</v>
      </c>
      <c r="AI19">
        <f>'Assessment Questions'!AL19</f>
        <v>0</v>
      </c>
      <c r="AJ19">
        <f>IF(OR($H19="",$H19="N/A"),"",IF($AH19="",VLOOKUP('Company Profile'!$B$40,_CONFIG_Model_Settings!$A$5:$B$8,2,FALSE),IFERROR(VLOOKUP($AH19,_CONFIG_Model_Settings!$A$5:$B$8,2,FALSE),0.9)))</f>
        <v>0.9</v>
      </c>
      <c r="AK19">
        <f>IF(OR($H19="",$H19="N/A"),"",IF($AI19="",VLOOKUP('Company Profile'!$B$41,_CONFIG_Model_Settings!$A$5:$B$8,2,FALSE),IFERROR(VLOOKUP($AI19,_CONFIG_Model_Settings!$A$5:$B$8,2,FALSE),0.9)))</f>
        <v>0.9</v>
      </c>
      <c r="AL19">
        <f t="shared" si="11"/>
        <v>0</v>
      </c>
      <c r="AM19">
        <f t="shared" si="12"/>
        <v>0</v>
      </c>
      <c r="AN19">
        <f>IFERROR(MIN(5,MAX(0,(SUMIFS(_REF_Model_Content!$D$1:$D$174,_REF_Model_Content!$A$1:$A$174,PV_Canonical_Industry,_REF_Model_Content!$B$1:$B$174,"Company Geography"))+IFERROR(VLOOKUP('Company Profile'!$B$35,_CONFIG_Model_Settings!$A$11:$B$13,2,0),0))),"")</f>
        <v>0</v>
      </c>
      <c r="AO19">
        <f t="shared" si="13"/>
        <v>0</v>
      </c>
      <c r="AP19">
        <f>IFERROR(SUMIFS(_REF_Model_Content!$E$1:$E$174,_REF_Model_Content!$A$1:$A$174,PV_Canonical_Industry,_REF_Model_Content!$B$1:$B$174,"Company Geography"),1)</f>
        <v>0</v>
      </c>
      <c r="AQ19">
        <f t="shared" si="14"/>
        <v>0</v>
      </c>
      <c r="AR19" t="str">
        <f t="shared" si="15"/>
        <v>Within target</v>
      </c>
      <c r="AS19">
        <f t="shared" si="16"/>
        <v>0</v>
      </c>
      <c r="AT19">
        <f t="shared" si="17"/>
        <v>0.9</v>
      </c>
      <c r="AU19">
        <f>'Assessment Questions'!AX19</f>
        <v>0</v>
      </c>
      <c r="AV19">
        <f t="shared" si="18"/>
        <v>0.9</v>
      </c>
      <c r="AW19" t="s">
        <v>815</v>
      </c>
      <c r="AX19" t="s">
        <v>815</v>
      </c>
      <c r="AY19">
        <v>19</v>
      </c>
      <c r="AZ19">
        <v>19</v>
      </c>
    </row>
    <row r="20" spans="1:52">
      <c r="A20" t="s">
        <v>910</v>
      </c>
      <c r="B20" t="s">
        <v>843</v>
      </c>
      <c r="C20" t="s">
        <v>911</v>
      </c>
      <c r="D20" t="s">
        <v>819</v>
      </c>
      <c r="E20" t="s">
        <v>820</v>
      </c>
      <c r="F20" t="s">
        <v>912</v>
      </c>
      <c r="G20">
        <f>'Assessment Questions'!J20</f>
        <v>3</v>
      </c>
      <c r="H20">
        <f t="shared" si="0"/>
        <v>0</v>
      </c>
      <c r="I20">
        <f t="shared" si="1"/>
        <v>0</v>
      </c>
      <c r="J20">
        <f t="shared" si="2"/>
        <v>3</v>
      </c>
      <c r="K20">
        <f t="shared" si="3"/>
        <v>3</v>
      </c>
      <c r="L20" t="str">
        <f t="shared" si="4"/>
        <v>Critical</v>
      </c>
      <c r="M20" t="s">
        <v>913</v>
      </c>
      <c r="N20" t="s">
        <v>914</v>
      </c>
      <c r="O20" t="s">
        <v>915</v>
      </c>
      <c r="P20" t="s">
        <v>916</v>
      </c>
      <c r="Q20" t="s">
        <v>917</v>
      </c>
      <c r="R20" t="s">
        <v>918</v>
      </c>
      <c r="S20" t="s">
        <v>828</v>
      </c>
      <c r="T20">
        <f>'Assessment Questions'!W20</f>
        <v>0</v>
      </c>
      <c r="U20">
        <f>'Assessment Questions'!X20</f>
        <v>0</v>
      </c>
      <c r="V20" t="str">
        <f>'Assessment Questions'!Y20</f>
        <v>Use the recommended action generated by the model; validate with domain owner during real assessment.</v>
      </c>
      <c r="W20">
        <v>4</v>
      </c>
      <c r="X20">
        <v>5</v>
      </c>
      <c r="Y20">
        <v>5</v>
      </c>
      <c r="Z20">
        <f>'Assessment Questions'!AC20</f>
        <v>0</v>
      </c>
      <c r="AB20">
        <f t="shared" si="5"/>
        <v>0</v>
      </c>
      <c r="AC20">
        <f t="shared" si="6"/>
        <v>0</v>
      </c>
      <c r="AD20">
        <f t="shared" si="7"/>
        <v>0</v>
      </c>
      <c r="AE20">
        <f t="shared" si="8"/>
        <v>0</v>
      </c>
      <c r="AF20">
        <f t="shared" si="9"/>
        <v>5</v>
      </c>
      <c r="AG20">
        <f t="shared" si="10"/>
        <v>0</v>
      </c>
      <c r="AH20">
        <f>'Assessment Questions'!AK20</f>
        <v>0</v>
      </c>
      <c r="AI20">
        <f>'Assessment Questions'!AL20</f>
        <v>0</v>
      </c>
      <c r="AJ20">
        <f>IF(OR($H20="",$H20="N/A"),"",IF($AH20="",VLOOKUP('Company Profile'!$B$40,_CONFIG_Model_Settings!$A$5:$B$8,2,FALSE),IFERROR(VLOOKUP($AH20,_CONFIG_Model_Settings!$A$5:$B$8,2,FALSE),0.9)))</f>
        <v>0.9</v>
      </c>
      <c r="AK20">
        <f>IF(OR($H20="",$H20="N/A"),"",IF($AI20="",VLOOKUP('Company Profile'!$B$41,_CONFIG_Model_Settings!$A$5:$B$8,2,FALSE),IFERROR(VLOOKUP($AI20,_CONFIG_Model_Settings!$A$5:$B$8,2,FALSE),0.9)))</f>
        <v>0.9</v>
      </c>
      <c r="AL20">
        <f t="shared" si="11"/>
        <v>0</v>
      </c>
      <c r="AM20">
        <f t="shared" si="12"/>
        <v>0</v>
      </c>
      <c r="AN20">
        <f>IFERROR(MIN(5,MAX(0,(SUMIFS(_REF_Model_Content!$D$1:$D$174,_REF_Model_Content!$A$1:$A$174,PV_Canonical_Industry,_REF_Model_Content!$B$1:$B$174,"Company Geography"))+IFERROR(VLOOKUP('Company Profile'!$B$35,_CONFIG_Model_Settings!$A$11:$B$13,2,0),0))),"")</f>
        <v>0</v>
      </c>
      <c r="AO20">
        <f t="shared" si="13"/>
        <v>0</v>
      </c>
      <c r="AP20">
        <f>IFERROR(SUMIFS(_REF_Model_Content!$E$1:$E$174,_REF_Model_Content!$A$1:$A$174,PV_Canonical_Industry,_REF_Model_Content!$B$1:$B$174,"Company Geography"),1)</f>
        <v>0</v>
      </c>
      <c r="AQ20">
        <f t="shared" si="14"/>
        <v>0</v>
      </c>
      <c r="AR20" t="str">
        <f t="shared" si="15"/>
        <v>Within target</v>
      </c>
      <c r="AS20">
        <f t="shared" si="16"/>
        <v>0</v>
      </c>
      <c r="AT20">
        <f t="shared" si="17"/>
        <v>0.9</v>
      </c>
      <c r="AU20">
        <f>'Assessment Questions'!AX20</f>
        <v>0</v>
      </c>
      <c r="AV20">
        <f t="shared" si="18"/>
        <v>0.9</v>
      </c>
      <c r="AW20" t="s">
        <v>815</v>
      </c>
      <c r="AX20" t="s">
        <v>815</v>
      </c>
      <c r="AY20">
        <v>20</v>
      </c>
      <c r="AZ20">
        <v>20</v>
      </c>
    </row>
    <row r="21" spans="1:52">
      <c r="A21" t="s">
        <v>919</v>
      </c>
      <c r="B21" t="s">
        <v>843</v>
      </c>
      <c r="C21" t="s">
        <v>920</v>
      </c>
      <c r="D21" t="s">
        <v>819</v>
      </c>
      <c r="E21" t="s">
        <v>820</v>
      </c>
      <c r="F21" t="s">
        <v>921</v>
      </c>
      <c r="G21">
        <f>'Assessment Questions'!J21</f>
        <v>4</v>
      </c>
      <c r="H21">
        <f t="shared" si="0"/>
        <v>0</v>
      </c>
      <c r="I21">
        <f t="shared" si="1"/>
        <v>0</v>
      </c>
      <c r="J21">
        <f t="shared" si="2"/>
        <v>4</v>
      </c>
      <c r="K21">
        <f t="shared" si="3"/>
        <v>4</v>
      </c>
      <c r="L21" t="str">
        <f t="shared" si="4"/>
        <v>Critical</v>
      </c>
      <c r="M21" t="s">
        <v>922</v>
      </c>
      <c r="N21" t="s">
        <v>923</v>
      </c>
      <c r="O21" t="s">
        <v>924</v>
      </c>
      <c r="P21" t="s">
        <v>925</v>
      </c>
      <c r="Q21" t="s">
        <v>926</v>
      </c>
      <c r="R21" t="s">
        <v>927</v>
      </c>
      <c r="S21" t="s">
        <v>828</v>
      </c>
      <c r="T21">
        <f>'Assessment Questions'!W21</f>
        <v>0</v>
      </c>
      <c r="U21">
        <f>'Assessment Questions'!X21</f>
        <v>0</v>
      </c>
      <c r="V21" t="str">
        <f>'Assessment Questions'!Y21</f>
        <v>Use the recommended action generated by the model; validate with domain owner during real assessment.</v>
      </c>
      <c r="W21">
        <v>5</v>
      </c>
      <c r="X21">
        <v>5</v>
      </c>
      <c r="Y21">
        <v>5</v>
      </c>
      <c r="Z21">
        <f>'Assessment Questions'!AC21</f>
        <v>0</v>
      </c>
      <c r="AB21">
        <f t="shared" si="5"/>
        <v>0</v>
      </c>
      <c r="AC21">
        <f t="shared" si="6"/>
        <v>0</v>
      </c>
      <c r="AD21">
        <f t="shared" si="7"/>
        <v>0</v>
      </c>
      <c r="AE21">
        <f t="shared" si="8"/>
        <v>0</v>
      </c>
      <c r="AF21">
        <f t="shared" si="9"/>
        <v>5</v>
      </c>
      <c r="AG21">
        <f t="shared" si="10"/>
        <v>0</v>
      </c>
      <c r="AH21">
        <f>'Assessment Questions'!AK21</f>
        <v>0</v>
      </c>
      <c r="AI21">
        <f>'Assessment Questions'!AL21</f>
        <v>0</v>
      </c>
      <c r="AJ21">
        <f>IF(OR($H21="",$H21="N/A"),"",IF($AH21="",VLOOKUP('Company Profile'!$B$40,_CONFIG_Model_Settings!$A$5:$B$8,2,FALSE),IFERROR(VLOOKUP($AH21,_CONFIG_Model_Settings!$A$5:$B$8,2,FALSE),0.9)))</f>
        <v>0.9</v>
      </c>
      <c r="AK21">
        <f>IF(OR($H21="",$H21="N/A"),"",IF($AI21="",VLOOKUP('Company Profile'!$B$41,_CONFIG_Model_Settings!$A$5:$B$8,2,FALSE),IFERROR(VLOOKUP($AI21,_CONFIG_Model_Settings!$A$5:$B$8,2,FALSE),0.9)))</f>
        <v>0.9</v>
      </c>
      <c r="AL21">
        <f t="shared" si="11"/>
        <v>0</v>
      </c>
      <c r="AM21">
        <f t="shared" si="12"/>
        <v>0</v>
      </c>
      <c r="AN21">
        <f>IFERROR(MIN(5,MAX(0,(SUMIFS(_REF_Model_Content!$D$1:$D$174,_REF_Model_Content!$A$1:$A$174,PV_Canonical_Industry,_REF_Model_Content!$B$1:$B$174,"Company Geography"))+IFERROR(VLOOKUP('Company Profile'!$B$35,_CONFIG_Model_Settings!$A$11:$B$13,2,0),0))),"")</f>
        <v>0</v>
      </c>
      <c r="AO21">
        <f t="shared" si="13"/>
        <v>0</v>
      </c>
      <c r="AP21">
        <f>IFERROR(SUMIFS(_REF_Model_Content!$E$1:$E$174,_REF_Model_Content!$A$1:$A$174,PV_Canonical_Industry,_REF_Model_Content!$B$1:$B$174,"Company Geography"),1)</f>
        <v>0</v>
      </c>
      <c r="AQ21">
        <f t="shared" si="14"/>
        <v>0</v>
      </c>
      <c r="AR21" t="str">
        <f t="shared" si="15"/>
        <v>Within target</v>
      </c>
      <c r="AS21">
        <f t="shared" si="16"/>
        <v>0</v>
      </c>
      <c r="AT21">
        <f t="shared" si="17"/>
        <v>0.9</v>
      </c>
      <c r="AU21">
        <f>'Assessment Questions'!AX21</f>
        <v>0</v>
      </c>
      <c r="AV21">
        <f t="shared" si="18"/>
        <v>0.9</v>
      </c>
      <c r="AW21" t="s">
        <v>815</v>
      </c>
      <c r="AX21" t="s">
        <v>815</v>
      </c>
      <c r="AY21">
        <v>21</v>
      </c>
      <c r="AZ21">
        <v>21</v>
      </c>
    </row>
    <row r="22" spans="1:52">
      <c r="A22" t="s">
        <v>928</v>
      </c>
      <c r="B22" t="s">
        <v>843</v>
      </c>
      <c r="C22" t="s">
        <v>929</v>
      </c>
      <c r="D22" t="s">
        <v>819</v>
      </c>
      <c r="E22" t="s">
        <v>820</v>
      </c>
      <c r="F22" t="s">
        <v>930</v>
      </c>
      <c r="G22">
        <f>'Assessment Questions'!J22</f>
        <v>4</v>
      </c>
      <c r="H22">
        <f t="shared" si="0"/>
        <v>0</v>
      </c>
      <c r="I22">
        <f t="shared" si="1"/>
        <v>0</v>
      </c>
      <c r="J22">
        <f t="shared" si="2"/>
        <v>4</v>
      </c>
      <c r="K22">
        <f t="shared" si="3"/>
        <v>4</v>
      </c>
      <c r="L22" t="str">
        <f t="shared" si="4"/>
        <v>Critical</v>
      </c>
      <c r="M22" t="s">
        <v>931</v>
      </c>
      <c r="N22" t="s">
        <v>932</v>
      </c>
      <c r="O22" t="s">
        <v>933</v>
      </c>
      <c r="P22" t="s">
        <v>934</v>
      </c>
      <c r="Q22" t="s">
        <v>935</v>
      </c>
      <c r="R22" t="s">
        <v>936</v>
      </c>
      <c r="S22" t="s">
        <v>828</v>
      </c>
      <c r="T22">
        <f>'Assessment Questions'!W22</f>
        <v>0</v>
      </c>
      <c r="U22">
        <f>'Assessment Questions'!X22</f>
        <v>0</v>
      </c>
      <c r="V22" t="str">
        <f>'Assessment Questions'!Y22</f>
        <v>Use the recommended action generated by the model; validate with domain owner during real assessment.</v>
      </c>
      <c r="W22">
        <v>4</v>
      </c>
      <c r="X22">
        <v>5</v>
      </c>
      <c r="Y22">
        <v>5</v>
      </c>
      <c r="Z22">
        <f>'Assessment Questions'!AC22</f>
        <v>0</v>
      </c>
      <c r="AB22">
        <f t="shared" si="5"/>
        <v>0</v>
      </c>
      <c r="AC22">
        <f t="shared" si="6"/>
        <v>0</v>
      </c>
      <c r="AD22">
        <f t="shared" si="7"/>
        <v>0</v>
      </c>
      <c r="AE22">
        <f t="shared" si="8"/>
        <v>0</v>
      </c>
      <c r="AF22">
        <f t="shared" si="9"/>
        <v>5</v>
      </c>
      <c r="AG22">
        <f t="shared" si="10"/>
        <v>0</v>
      </c>
      <c r="AH22">
        <f>'Assessment Questions'!AK22</f>
        <v>0</v>
      </c>
      <c r="AI22">
        <f>'Assessment Questions'!AL22</f>
        <v>0</v>
      </c>
      <c r="AJ22">
        <f>IF(OR($H22="",$H22="N/A"),"",IF($AH22="",VLOOKUP('Company Profile'!$B$40,_CONFIG_Model_Settings!$A$5:$B$8,2,FALSE),IFERROR(VLOOKUP($AH22,_CONFIG_Model_Settings!$A$5:$B$8,2,FALSE),0.9)))</f>
        <v>0.9</v>
      </c>
      <c r="AK22">
        <f>IF(OR($H22="",$H22="N/A"),"",IF($AI22="",VLOOKUP('Company Profile'!$B$41,_CONFIG_Model_Settings!$A$5:$B$8,2,FALSE),IFERROR(VLOOKUP($AI22,_CONFIG_Model_Settings!$A$5:$B$8,2,FALSE),0.9)))</f>
        <v>0.9</v>
      </c>
      <c r="AL22">
        <f t="shared" si="11"/>
        <v>0</v>
      </c>
      <c r="AM22">
        <f t="shared" si="12"/>
        <v>0</v>
      </c>
      <c r="AN22">
        <f>IFERROR(MIN(5,MAX(0,(SUMIFS(_REF_Model_Content!$D$1:$D$174,_REF_Model_Content!$A$1:$A$174,PV_Canonical_Industry,_REF_Model_Content!$B$1:$B$174,"Company Geography"))+IFERROR(VLOOKUP('Company Profile'!$B$35,_CONFIG_Model_Settings!$A$11:$B$13,2,0),0))),"")</f>
        <v>0</v>
      </c>
      <c r="AO22">
        <f t="shared" si="13"/>
        <v>0</v>
      </c>
      <c r="AP22">
        <f>IFERROR(SUMIFS(_REF_Model_Content!$E$1:$E$174,_REF_Model_Content!$A$1:$A$174,PV_Canonical_Industry,_REF_Model_Content!$B$1:$B$174,"Company Geography"),1)</f>
        <v>0</v>
      </c>
      <c r="AQ22">
        <f t="shared" si="14"/>
        <v>0</v>
      </c>
      <c r="AR22" t="str">
        <f t="shared" si="15"/>
        <v>Within target</v>
      </c>
      <c r="AS22">
        <f t="shared" si="16"/>
        <v>0</v>
      </c>
      <c r="AT22">
        <f t="shared" si="17"/>
        <v>0.9</v>
      </c>
      <c r="AU22">
        <f>'Assessment Questions'!AX22</f>
        <v>0</v>
      </c>
      <c r="AV22">
        <f t="shared" si="18"/>
        <v>0.9</v>
      </c>
      <c r="AW22" t="s">
        <v>815</v>
      </c>
      <c r="AX22" t="s">
        <v>815</v>
      </c>
      <c r="AY22">
        <v>22</v>
      </c>
      <c r="AZ22">
        <v>22</v>
      </c>
    </row>
    <row r="23" spans="1:52">
      <c r="A23" t="s">
        <v>937</v>
      </c>
      <c r="B23" t="s">
        <v>843</v>
      </c>
      <c r="C23" t="s">
        <v>938</v>
      </c>
      <c r="D23" t="s">
        <v>939</v>
      </c>
      <c r="E23" t="s">
        <v>940</v>
      </c>
      <c r="F23" t="s">
        <v>941</v>
      </c>
      <c r="G23">
        <f>'Assessment Questions'!J23</f>
        <v>3</v>
      </c>
      <c r="H23">
        <f t="shared" si="0"/>
        <v>0</v>
      </c>
      <c r="I23">
        <f t="shared" si="1"/>
        <v>0</v>
      </c>
      <c r="J23">
        <f t="shared" si="2"/>
        <v>3</v>
      </c>
      <c r="K23">
        <f t="shared" si="3"/>
        <v>3</v>
      </c>
      <c r="L23" t="str">
        <f t="shared" si="4"/>
        <v>Critical</v>
      </c>
      <c r="M23" t="s">
        <v>942</v>
      </c>
      <c r="N23" t="s">
        <v>943</v>
      </c>
      <c r="O23" t="s">
        <v>944</v>
      </c>
      <c r="P23" t="s">
        <v>945</v>
      </c>
      <c r="Q23" t="s">
        <v>946</v>
      </c>
      <c r="R23" t="s">
        <v>947</v>
      </c>
      <c r="S23" t="s">
        <v>948</v>
      </c>
      <c r="T23">
        <f>'Assessment Questions'!W23</f>
        <v>0</v>
      </c>
      <c r="U23">
        <f>'Assessment Questions'!X23</f>
        <v>0</v>
      </c>
      <c r="V23" t="str">
        <f>'Assessment Questions'!Y23</f>
        <v>Use the recommended action generated by the model; validate with domain owner during real assessment.</v>
      </c>
      <c r="W23">
        <v>2</v>
      </c>
      <c r="X23">
        <v>4</v>
      </c>
      <c r="Y23">
        <v>4</v>
      </c>
      <c r="Z23">
        <f>'Assessment Questions'!AC23</f>
        <v>0</v>
      </c>
      <c r="AB23">
        <f t="shared" si="5"/>
        <v>0</v>
      </c>
      <c r="AC23">
        <f t="shared" si="6"/>
        <v>0</v>
      </c>
      <c r="AD23">
        <f t="shared" si="7"/>
        <v>0</v>
      </c>
      <c r="AE23">
        <f t="shared" si="8"/>
        <v>0</v>
      </c>
      <c r="AF23">
        <f t="shared" si="9"/>
        <v>5</v>
      </c>
      <c r="AG23">
        <f t="shared" si="10"/>
        <v>0</v>
      </c>
      <c r="AH23">
        <f>'Assessment Questions'!AK23</f>
        <v>0</v>
      </c>
      <c r="AI23">
        <f>'Assessment Questions'!AL23</f>
        <v>0</v>
      </c>
      <c r="AJ23">
        <f>IF(OR($H23="",$H23="N/A"),"",IF($AH23="",VLOOKUP('Company Profile'!$B$40,_CONFIG_Model_Settings!$A$5:$B$8,2,FALSE),IFERROR(VLOOKUP($AH23,_CONFIG_Model_Settings!$A$5:$B$8,2,FALSE),0.9)))</f>
        <v>0.9</v>
      </c>
      <c r="AK23">
        <f>IF(OR($H23="",$H23="N/A"),"",IF($AI23="",VLOOKUP('Company Profile'!$B$41,_CONFIG_Model_Settings!$A$5:$B$8,2,FALSE),IFERROR(VLOOKUP($AI23,_CONFIG_Model_Settings!$A$5:$B$8,2,FALSE),0.9)))</f>
        <v>0.9</v>
      </c>
      <c r="AL23">
        <f t="shared" si="11"/>
        <v>0</v>
      </c>
      <c r="AM23">
        <f t="shared" si="12"/>
        <v>0</v>
      </c>
      <c r="AN23">
        <f>IFERROR(MIN(5,MAX(0,(SUMIFS(_REF_Model_Content!$D$1:$D$174,_REF_Model_Content!$A$1:$A$174,PV_Canonical_Industry,_REF_Model_Content!$B$1:$B$174,"Company Geography"))+IFERROR(VLOOKUP('Company Profile'!$B$35,_CONFIG_Model_Settings!$A$11:$B$13,2,0),0))),"")</f>
        <v>0</v>
      </c>
      <c r="AO23">
        <f t="shared" si="13"/>
        <v>0</v>
      </c>
      <c r="AP23">
        <f>IFERROR(SUMIFS(_REF_Model_Content!$E$1:$E$174,_REF_Model_Content!$A$1:$A$174,PV_Canonical_Industry,_REF_Model_Content!$B$1:$B$174,"Company Geography"),1)</f>
        <v>0</v>
      </c>
      <c r="AQ23">
        <f t="shared" si="14"/>
        <v>0</v>
      </c>
      <c r="AR23" t="str">
        <f t="shared" si="15"/>
        <v>Within target</v>
      </c>
      <c r="AS23">
        <f t="shared" si="16"/>
        <v>0</v>
      </c>
      <c r="AT23">
        <f t="shared" si="17"/>
        <v>0.9</v>
      </c>
      <c r="AU23">
        <f>'Assessment Questions'!AX23</f>
        <v>0</v>
      </c>
      <c r="AV23">
        <f t="shared" si="18"/>
        <v>0.9</v>
      </c>
      <c r="AW23" t="s">
        <v>815</v>
      </c>
      <c r="AX23" t="s">
        <v>815</v>
      </c>
      <c r="AY23">
        <v>23</v>
      </c>
      <c r="AZ23">
        <v>23</v>
      </c>
    </row>
    <row r="24" spans="1:52">
      <c r="A24" t="s">
        <v>950</v>
      </c>
      <c r="B24" t="s">
        <v>951</v>
      </c>
      <c r="C24" t="s">
        <v>952</v>
      </c>
      <c r="D24" t="s">
        <v>953</v>
      </c>
      <c r="E24" t="s">
        <v>954</v>
      </c>
      <c r="F24" t="s">
        <v>955</v>
      </c>
      <c r="G24">
        <f>'Assessment Questions'!J24</f>
        <v>4</v>
      </c>
      <c r="H24">
        <f t="shared" si="0"/>
        <v>0</v>
      </c>
      <c r="I24">
        <f t="shared" si="1"/>
        <v>0</v>
      </c>
      <c r="J24">
        <f t="shared" si="2"/>
        <v>4</v>
      </c>
      <c r="K24">
        <f t="shared" si="3"/>
        <v>4</v>
      </c>
      <c r="L24" t="str">
        <f t="shared" si="4"/>
        <v>Critical</v>
      </c>
      <c r="M24" t="s">
        <v>956</v>
      </c>
      <c r="N24" t="s">
        <v>957</v>
      </c>
      <c r="O24" t="s">
        <v>958</v>
      </c>
      <c r="P24" t="s">
        <v>959</v>
      </c>
      <c r="Q24" t="s">
        <v>960</v>
      </c>
      <c r="R24" t="s">
        <v>961</v>
      </c>
      <c r="S24" t="s">
        <v>962</v>
      </c>
      <c r="T24">
        <f>'Assessment Questions'!W24</f>
        <v>0</v>
      </c>
      <c r="U24">
        <f>'Assessment Questions'!X24</f>
        <v>0</v>
      </c>
      <c r="V24" t="str">
        <f>'Assessment Questions'!Y24</f>
        <v>Use the recommended action generated by the model; validate with domain owner during real assessment.</v>
      </c>
      <c r="W24">
        <v>4</v>
      </c>
      <c r="X24">
        <v>5</v>
      </c>
      <c r="Y24">
        <v>5</v>
      </c>
      <c r="Z24">
        <f>'Assessment Questions'!AC24</f>
        <v>0</v>
      </c>
      <c r="AA24" t="s">
        <v>951</v>
      </c>
      <c r="AB24">
        <f t="shared" ref="AB24:AB49" si="19">COUNTIF($B$24:$B$49,$AA24)</f>
        <v>6</v>
      </c>
      <c r="AC24">
        <f t="shared" ref="AC24:AC49" si="20">IFERROR(SUMPRODUCT(($B$24:$B$49=$AA24)*($H$24:$H$49&lt;&gt;"")*($H$24:$H$49&lt;&gt;"N/A")*IFERROR(VALUE($H$24:$H$49),0))/SUMPRODUCT(($B$24:$B$49=$AA24)*($H$24:$H$49&lt;&gt;"")*($H$24:$H$49&lt;&gt;"N/A")),0)</f>
        <v>0</v>
      </c>
      <c r="AD24">
        <f t="shared" si="7"/>
        <v>0</v>
      </c>
      <c r="AE24">
        <f t="shared" ref="AE24:AE49" si="21">COUNTIFS($B$24:$B$49,$AA24,$L$24:$L$49,"Critical")+COUNTIFS($B$24:$B$49,$AA24,$L$24:$L$49,"High")</f>
        <v>6</v>
      </c>
      <c r="AF24">
        <f t="shared" si="9"/>
        <v>5</v>
      </c>
      <c r="AG24">
        <f t="shared" ref="AG24:AG49" si="22">SUMPRODUCT(($B$24:$B$49=$AA24)*(ISNUMBER($H$24:$H$49)+($H$24:$H$49="N/A")))</f>
        <v>6</v>
      </c>
      <c r="AH24">
        <f>'Assessment Questions'!AK24</f>
        <v>0</v>
      </c>
      <c r="AI24">
        <f>'Assessment Questions'!AL24</f>
        <v>0</v>
      </c>
      <c r="AJ24">
        <f>IF(OR($H24="",$H24="N/A"),"",IF($AH24="",VLOOKUP('Company Profile'!$B$40,_CONFIG_Model_Settings!$A$5:$B$8,2,FALSE),IFERROR(VLOOKUP($AH24,_CONFIG_Model_Settings!$A$5:$B$8,2,FALSE),0.9)))</f>
        <v>0.9</v>
      </c>
      <c r="AK24">
        <f>IF(OR($H24="",$H24="N/A"),"",IF($AI24="",VLOOKUP('Company Profile'!$B$41,_CONFIG_Model_Settings!$A$5:$B$8,2,FALSE),IFERROR(VLOOKUP($AI24,_CONFIG_Model_Settings!$A$5:$B$8,2,FALSE),0.9)))</f>
        <v>0.9</v>
      </c>
      <c r="AL24">
        <f t="shared" si="11"/>
        <v>0</v>
      </c>
      <c r="AM24">
        <f t="shared" si="12"/>
        <v>0</v>
      </c>
      <c r="AN24">
        <f>IFERROR(MIN(5,MAX(0,(SUMIFS(_REF_Model_Content!$D$1:$D$174,_REF_Model_Content!$A$1:$A$174,PV_Canonical_Industry,_REF_Model_Content!$B$1:$B$174,"Strategy GTM"))+IFERROR(VLOOKUP('Company Profile'!$B$35,_CONFIG_Model_Settings!$A$11:$B$13,2,0),0))),"")</f>
        <v>0</v>
      </c>
      <c r="AO24">
        <f t="shared" si="13"/>
        <v>0</v>
      </c>
      <c r="AP24">
        <f>IFERROR(SUMIFS(_REF_Model_Content!$E$1:$E$174,_REF_Model_Content!$A$1:$A$174,PV_Canonical_Industry,_REF_Model_Content!$B$1:$B$174,"Strategy GTM"),1)</f>
        <v>0</v>
      </c>
      <c r="AQ24">
        <f t="shared" si="14"/>
        <v>0</v>
      </c>
      <c r="AR24" t="str">
        <f t="shared" si="15"/>
        <v>Within target</v>
      </c>
      <c r="AS24">
        <f t="shared" si="16"/>
        <v>0</v>
      </c>
      <c r="AT24">
        <f t="shared" si="17"/>
        <v>0.9</v>
      </c>
      <c r="AU24">
        <f>'Assessment Questions'!AX24</f>
        <v>0</v>
      </c>
      <c r="AV24">
        <f t="shared" si="18"/>
        <v>0.9</v>
      </c>
      <c r="AW24" t="s">
        <v>949</v>
      </c>
      <c r="AX24" t="s">
        <v>949</v>
      </c>
      <c r="AY24">
        <v>5</v>
      </c>
      <c r="AZ24">
        <v>24</v>
      </c>
    </row>
    <row r="25" spans="1:52">
      <c r="A25" t="s">
        <v>963</v>
      </c>
      <c r="B25" t="s">
        <v>951</v>
      </c>
      <c r="C25" t="s">
        <v>964</v>
      </c>
      <c r="D25" t="s">
        <v>953</v>
      </c>
      <c r="E25" t="s">
        <v>954</v>
      </c>
      <c r="F25" t="s">
        <v>965</v>
      </c>
      <c r="G25">
        <f>'Assessment Questions'!J25</f>
        <v>3</v>
      </c>
      <c r="H25">
        <f t="shared" si="0"/>
        <v>0</v>
      </c>
      <c r="I25">
        <f t="shared" si="1"/>
        <v>0</v>
      </c>
      <c r="J25">
        <f t="shared" si="2"/>
        <v>3</v>
      </c>
      <c r="K25">
        <f t="shared" si="3"/>
        <v>3</v>
      </c>
      <c r="L25" t="str">
        <f t="shared" si="4"/>
        <v>Critical</v>
      </c>
      <c r="M25" t="s">
        <v>966</v>
      </c>
      <c r="N25" t="s">
        <v>967</v>
      </c>
      <c r="O25" t="s">
        <v>968</v>
      </c>
      <c r="P25" t="s">
        <v>969</v>
      </c>
      <c r="Q25" t="s">
        <v>970</v>
      </c>
      <c r="R25" t="s">
        <v>971</v>
      </c>
      <c r="S25" t="s">
        <v>962</v>
      </c>
      <c r="T25">
        <f>'Assessment Questions'!W25</f>
        <v>0</v>
      </c>
      <c r="U25">
        <f>'Assessment Questions'!X25</f>
        <v>0</v>
      </c>
      <c r="V25" t="str">
        <f>'Assessment Questions'!Y25</f>
        <v>Use the recommended action generated by the model; validate with domain owner during real assessment.</v>
      </c>
      <c r="W25">
        <v>4</v>
      </c>
      <c r="X25">
        <v>5</v>
      </c>
      <c r="Y25">
        <v>5</v>
      </c>
      <c r="Z25">
        <f>'Assessment Questions'!AC25</f>
        <v>0</v>
      </c>
      <c r="AA25" t="s">
        <v>972</v>
      </c>
      <c r="AB25">
        <f t="shared" si="19"/>
        <v>6</v>
      </c>
      <c r="AC25">
        <f t="shared" si="20"/>
        <v>0</v>
      </c>
      <c r="AD25">
        <f t="shared" si="7"/>
        <v>0</v>
      </c>
      <c r="AE25">
        <f t="shared" si="21"/>
        <v>6</v>
      </c>
      <c r="AF25">
        <f t="shared" si="9"/>
        <v>5</v>
      </c>
      <c r="AG25">
        <f t="shared" si="22"/>
        <v>6</v>
      </c>
      <c r="AH25">
        <f>'Assessment Questions'!AK25</f>
        <v>0</v>
      </c>
      <c r="AI25">
        <f>'Assessment Questions'!AL25</f>
        <v>0</v>
      </c>
      <c r="AJ25">
        <f>IF(OR($H25="",$H25="N/A"),"",IF($AH25="",VLOOKUP('Company Profile'!$B$40,_CONFIG_Model_Settings!$A$5:$B$8,2,FALSE),IFERROR(VLOOKUP($AH25,_CONFIG_Model_Settings!$A$5:$B$8,2,FALSE),0.9)))</f>
        <v>0.9</v>
      </c>
      <c r="AK25">
        <f>IF(OR($H25="",$H25="N/A"),"",IF($AI25="",VLOOKUP('Company Profile'!$B$41,_CONFIG_Model_Settings!$A$5:$B$8,2,FALSE),IFERROR(VLOOKUP($AI25,_CONFIG_Model_Settings!$A$5:$B$8,2,FALSE),0.9)))</f>
        <v>0.9</v>
      </c>
      <c r="AL25">
        <f t="shared" si="11"/>
        <v>0</v>
      </c>
      <c r="AM25">
        <f t="shared" si="12"/>
        <v>0</v>
      </c>
      <c r="AN25">
        <f>IFERROR(MIN(5,MAX(0,(SUMIFS(_REF_Model_Content!$D$1:$D$174,_REF_Model_Content!$A$1:$A$174,PV_Canonical_Industry,_REF_Model_Content!$B$1:$B$174,"Strategy GTM"))+IFERROR(VLOOKUP('Company Profile'!$B$35,_CONFIG_Model_Settings!$A$11:$B$13,2,0),0))),"")</f>
        <v>0</v>
      </c>
      <c r="AO25">
        <f t="shared" si="13"/>
        <v>0</v>
      </c>
      <c r="AP25">
        <f>IFERROR(SUMIFS(_REF_Model_Content!$E$1:$E$174,_REF_Model_Content!$A$1:$A$174,PV_Canonical_Industry,_REF_Model_Content!$B$1:$B$174,"Strategy GTM"),1)</f>
        <v>0</v>
      </c>
      <c r="AQ25">
        <f t="shared" si="14"/>
        <v>0</v>
      </c>
      <c r="AR25" t="str">
        <f t="shared" si="15"/>
        <v>Within target</v>
      </c>
      <c r="AS25">
        <f t="shared" si="16"/>
        <v>0</v>
      </c>
      <c r="AT25">
        <f t="shared" si="17"/>
        <v>0.9</v>
      </c>
      <c r="AU25">
        <f>'Assessment Questions'!AX25</f>
        <v>0</v>
      </c>
      <c r="AV25">
        <f t="shared" si="18"/>
        <v>0.9</v>
      </c>
      <c r="AW25" t="s">
        <v>949</v>
      </c>
      <c r="AX25" t="s">
        <v>949</v>
      </c>
      <c r="AY25">
        <v>6</v>
      </c>
      <c r="AZ25">
        <v>25</v>
      </c>
    </row>
    <row r="26" spans="1:52">
      <c r="A26" t="s">
        <v>973</v>
      </c>
      <c r="B26" t="s">
        <v>951</v>
      </c>
      <c r="C26" t="s">
        <v>974</v>
      </c>
      <c r="D26" t="s">
        <v>953</v>
      </c>
      <c r="E26" t="s">
        <v>954</v>
      </c>
      <c r="F26" t="s">
        <v>975</v>
      </c>
      <c r="G26">
        <f>'Assessment Questions'!J26</f>
        <v>5</v>
      </c>
      <c r="H26">
        <f t="shared" si="0"/>
        <v>0</v>
      </c>
      <c r="I26">
        <f t="shared" si="1"/>
        <v>0</v>
      </c>
      <c r="J26">
        <f t="shared" si="2"/>
        <v>5</v>
      </c>
      <c r="K26">
        <f t="shared" si="3"/>
        <v>5</v>
      </c>
      <c r="L26" t="str">
        <f t="shared" si="4"/>
        <v>Critical</v>
      </c>
      <c r="M26" t="s">
        <v>833</v>
      </c>
      <c r="N26" t="s">
        <v>834</v>
      </c>
      <c r="O26" t="s">
        <v>835</v>
      </c>
      <c r="P26" t="s">
        <v>836</v>
      </c>
      <c r="Q26" t="s">
        <v>837</v>
      </c>
      <c r="R26" t="s">
        <v>838</v>
      </c>
      <c r="S26" t="s">
        <v>962</v>
      </c>
      <c r="T26">
        <f>'Assessment Questions'!W26</f>
        <v>0</v>
      </c>
      <c r="U26">
        <f>'Assessment Questions'!X26</f>
        <v>0</v>
      </c>
      <c r="V26" t="str">
        <f>'Assessment Questions'!Y26</f>
        <v>Use the recommended action generated by the model; validate with domain owner during real assessment.</v>
      </c>
      <c r="W26">
        <v>4</v>
      </c>
      <c r="X26">
        <v>5</v>
      </c>
      <c r="Y26">
        <v>5</v>
      </c>
      <c r="Z26">
        <f>'Assessment Questions'!AC26</f>
        <v>0</v>
      </c>
      <c r="AA26" t="s">
        <v>976</v>
      </c>
      <c r="AB26">
        <f t="shared" si="19"/>
        <v>6</v>
      </c>
      <c r="AC26">
        <f t="shared" si="20"/>
        <v>0</v>
      </c>
      <c r="AD26">
        <f t="shared" si="7"/>
        <v>0</v>
      </c>
      <c r="AE26">
        <f t="shared" si="21"/>
        <v>6</v>
      </c>
      <c r="AF26">
        <f t="shared" si="9"/>
        <v>5</v>
      </c>
      <c r="AG26">
        <f t="shared" si="22"/>
        <v>6</v>
      </c>
      <c r="AH26">
        <f>'Assessment Questions'!AK26</f>
        <v>0</v>
      </c>
      <c r="AI26">
        <f>'Assessment Questions'!AL26</f>
        <v>0</v>
      </c>
      <c r="AJ26">
        <f>IF(OR($H26="",$H26="N/A"),"",IF($AH26="",VLOOKUP('Company Profile'!$B$40,_CONFIG_Model_Settings!$A$5:$B$8,2,FALSE),IFERROR(VLOOKUP($AH26,_CONFIG_Model_Settings!$A$5:$B$8,2,FALSE),0.9)))</f>
        <v>0.9</v>
      </c>
      <c r="AK26">
        <f>IF(OR($H26="",$H26="N/A"),"",IF($AI26="",VLOOKUP('Company Profile'!$B$41,_CONFIG_Model_Settings!$A$5:$B$8,2,FALSE),IFERROR(VLOOKUP($AI26,_CONFIG_Model_Settings!$A$5:$B$8,2,FALSE),0.9)))</f>
        <v>0.9</v>
      </c>
      <c r="AL26">
        <f t="shared" si="11"/>
        <v>0</v>
      </c>
      <c r="AM26">
        <f t="shared" si="12"/>
        <v>0</v>
      </c>
      <c r="AN26">
        <f>IFERROR(MIN(5,MAX(0,(SUMIFS(_REF_Model_Content!$D$1:$D$174,_REF_Model_Content!$A$1:$A$174,PV_Canonical_Industry,_REF_Model_Content!$B$1:$B$174,"Strategy GTM"))+IFERROR(VLOOKUP('Company Profile'!$B$35,_CONFIG_Model_Settings!$A$11:$B$13,2,0),0))),"")</f>
        <v>0</v>
      </c>
      <c r="AO26">
        <f t="shared" si="13"/>
        <v>0</v>
      </c>
      <c r="AP26">
        <f>IFERROR(SUMIFS(_REF_Model_Content!$E$1:$E$174,_REF_Model_Content!$A$1:$A$174,PV_Canonical_Industry,_REF_Model_Content!$B$1:$B$174,"Strategy GTM"),1)</f>
        <v>0</v>
      </c>
      <c r="AQ26">
        <f t="shared" si="14"/>
        <v>0</v>
      </c>
      <c r="AR26" t="str">
        <f t="shared" si="15"/>
        <v>Within target</v>
      </c>
      <c r="AS26">
        <f t="shared" si="16"/>
        <v>0</v>
      </c>
      <c r="AT26">
        <f t="shared" si="17"/>
        <v>0.9</v>
      </c>
      <c r="AU26">
        <f>'Assessment Questions'!AX26</f>
        <v>0</v>
      </c>
      <c r="AV26">
        <f t="shared" si="18"/>
        <v>0.9</v>
      </c>
      <c r="AW26" t="s">
        <v>949</v>
      </c>
      <c r="AX26" t="s">
        <v>949</v>
      </c>
      <c r="AY26">
        <v>7</v>
      </c>
      <c r="AZ26">
        <v>26</v>
      </c>
    </row>
    <row r="27" spans="1:52">
      <c r="A27" t="s">
        <v>977</v>
      </c>
      <c r="B27" t="s">
        <v>951</v>
      </c>
      <c r="C27" t="s">
        <v>978</v>
      </c>
      <c r="D27" t="s">
        <v>953</v>
      </c>
      <c r="E27" t="s">
        <v>954</v>
      </c>
      <c r="F27" t="s">
        <v>979</v>
      </c>
      <c r="G27">
        <f>'Assessment Questions'!J27</f>
        <v>4</v>
      </c>
      <c r="H27">
        <f t="shared" si="0"/>
        <v>0</v>
      </c>
      <c r="I27">
        <f t="shared" si="1"/>
        <v>0</v>
      </c>
      <c r="J27">
        <f t="shared" si="2"/>
        <v>4</v>
      </c>
      <c r="K27">
        <f t="shared" si="3"/>
        <v>4</v>
      </c>
      <c r="L27" t="str">
        <f t="shared" si="4"/>
        <v>Critical</v>
      </c>
      <c r="M27" t="s">
        <v>980</v>
      </c>
      <c r="N27" t="s">
        <v>981</v>
      </c>
      <c r="O27" t="s">
        <v>982</v>
      </c>
      <c r="P27" t="s">
        <v>983</v>
      </c>
      <c r="Q27" t="s">
        <v>984</v>
      </c>
      <c r="R27" t="s">
        <v>985</v>
      </c>
      <c r="S27" t="s">
        <v>962</v>
      </c>
      <c r="T27">
        <f>'Assessment Questions'!W27</f>
        <v>0</v>
      </c>
      <c r="U27">
        <f>'Assessment Questions'!X27</f>
        <v>0</v>
      </c>
      <c r="V27" t="str">
        <f>'Assessment Questions'!Y27</f>
        <v>Use the recommended action generated by the model; validate with domain owner during real assessment.</v>
      </c>
      <c r="W27">
        <v>4</v>
      </c>
      <c r="X27">
        <v>5</v>
      </c>
      <c r="Y27">
        <v>5</v>
      </c>
      <c r="Z27">
        <f>'Assessment Questions'!AC27</f>
        <v>0</v>
      </c>
      <c r="AA27" t="s">
        <v>986</v>
      </c>
      <c r="AB27">
        <f t="shared" si="19"/>
        <v>5</v>
      </c>
      <c r="AC27">
        <f t="shared" si="20"/>
        <v>0</v>
      </c>
      <c r="AD27">
        <f t="shared" si="7"/>
        <v>0</v>
      </c>
      <c r="AE27">
        <f t="shared" si="21"/>
        <v>5</v>
      </c>
      <c r="AF27">
        <f t="shared" si="9"/>
        <v>5</v>
      </c>
      <c r="AG27">
        <f t="shared" si="22"/>
        <v>5</v>
      </c>
      <c r="AH27">
        <f>'Assessment Questions'!AK27</f>
        <v>0</v>
      </c>
      <c r="AI27">
        <f>'Assessment Questions'!AL27</f>
        <v>0</v>
      </c>
      <c r="AJ27">
        <f>IF(OR($H27="",$H27="N/A"),"",IF($AH27="",VLOOKUP('Company Profile'!$B$40,_CONFIG_Model_Settings!$A$5:$B$8,2,FALSE),IFERROR(VLOOKUP($AH27,_CONFIG_Model_Settings!$A$5:$B$8,2,FALSE),0.9)))</f>
        <v>0.9</v>
      </c>
      <c r="AK27">
        <f>IF(OR($H27="",$H27="N/A"),"",IF($AI27="",VLOOKUP('Company Profile'!$B$41,_CONFIG_Model_Settings!$A$5:$B$8,2,FALSE),IFERROR(VLOOKUP($AI27,_CONFIG_Model_Settings!$A$5:$B$8,2,FALSE),0.9)))</f>
        <v>0.9</v>
      </c>
      <c r="AL27">
        <f t="shared" si="11"/>
        <v>0</v>
      </c>
      <c r="AM27">
        <f t="shared" si="12"/>
        <v>0</v>
      </c>
      <c r="AN27">
        <f>IFERROR(MIN(5,MAX(0,(SUMIFS(_REF_Model_Content!$D$1:$D$174,_REF_Model_Content!$A$1:$A$174,PV_Canonical_Industry,_REF_Model_Content!$B$1:$B$174,"Strategy GTM"))+IFERROR(VLOOKUP('Company Profile'!$B$35,_CONFIG_Model_Settings!$A$11:$B$13,2,0),0))),"")</f>
        <v>0</v>
      </c>
      <c r="AO27">
        <f t="shared" si="13"/>
        <v>0</v>
      </c>
      <c r="AP27">
        <f>IFERROR(SUMIFS(_REF_Model_Content!$E$1:$E$174,_REF_Model_Content!$A$1:$A$174,PV_Canonical_Industry,_REF_Model_Content!$B$1:$B$174,"Strategy GTM"),1)</f>
        <v>0</v>
      </c>
      <c r="AQ27">
        <f t="shared" si="14"/>
        <v>0</v>
      </c>
      <c r="AR27" t="str">
        <f t="shared" si="15"/>
        <v>Within target</v>
      </c>
      <c r="AS27">
        <f t="shared" si="16"/>
        <v>0</v>
      </c>
      <c r="AT27">
        <f t="shared" si="17"/>
        <v>0.9</v>
      </c>
      <c r="AU27">
        <f>'Assessment Questions'!AX27</f>
        <v>0</v>
      </c>
      <c r="AV27">
        <f t="shared" si="18"/>
        <v>0.9</v>
      </c>
      <c r="AW27" t="s">
        <v>949</v>
      </c>
      <c r="AX27" t="s">
        <v>949</v>
      </c>
      <c r="AY27">
        <v>8</v>
      </c>
      <c r="AZ27">
        <v>27</v>
      </c>
    </row>
    <row r="28" spans="1:52">
      <c r="A28" t="s">
        <v>987</v>
      </c>
      <c r="B28" t="s">
        <v>951</v>
      </c>
      <c r="C28" t="s">
        <v>988</v>
      </c>
      <c r="D28" t="s">
        <v>953</v>
      </c>
      <c r="E28" t="s">
        <v>954</v>
      </c>
      <c r="F28" t="s">
        <v>989</v>
      </c>
      <c r="G28">
        <f>'Assessment Questions'!J28</f>
        <v>5</v>
      </c>
      <c r="H28">
        <f t="shared" si="0"/>
        <v>0</v>
      </c>
      <c r="I28">
        <f t="shared" si="1"/>
        <v>0</v>
      </c>
      <c r="J28">
        <f t="shared" si="2"/>
        <v>5</v>
      </c>
      <c r="K28">
        <f t="shared" si="3"/>
        <v>5</v>
      </c>
      <c r="L28" t="str">
        <f t="shared" si="4"/>
        <v>Critical</v>
      </c>
      <c r="M28" t="s">
        <v>833</v>
      </c>
      <c r="N28" t="s">
        <v>834</v>
      </c>
      <c r="O28" t="s">
        <v>835</v>
      </c>
      <c r="P28" t="s">
        <v>836</v>
      </c>
      <c r="Q28" t="s">
        <v>837</v>
      </c>
      <c r="R28" t="s">
        <v>838</v>
      </c>
      <c r="S28" t="s">
        <v>962</v>
      </c>
      <c r="T28">
        <f>'Assessment Questions'!W28</f>
        <v>0</v>
      </c>
      <c r="U28">
        <f>'Assessment Questions'!X28</f>
        <v>0</v>
      </c>
      <c r="V28" t="str">
        <f>'Assessment Questions'!Y28</f>
        <v>Use the recommended action generated by the model; validate with domain owner during real assessment.</v>
      </c>
      <c r="W28">
        <v>4</v>
      </c>
      <c r="X28">
        <v>5</v>
      </c>
      <c r="Y28">
        <v>5</v>
      </c>
      <c r="Z28">
        <f>'Assessment Questions'!AC28</f>
        <v>0</v>
      </c>
      <c r="AA28" t="s">
        <v>990</v>
      </c>
      <c r="AB28">
        <f t="shared" si="19"/>
        <v>3</v>
      </c>
      <c r="AC28">
        <f t="shared" si="20"/>
        <v>0</v>
      </c>
      <c r="AD28">
        <f t="shared" si="7"/>
        <v>0</v>
      </c>
      <c r="AE28">
        <f t="shared" si="21"/>
        <v>3</v>
      </c>
      <c r="AF28">
        <f t="shared" si="9"/>
        <v>5</v>
      </c>
      <c r="AG28">
        <f t="shared" si="22"/>
        <v>3</v>
      </c>
      <c r="AH28">
        <f>'Assessment Questions'!AK28</f>
        <v>0</v>
      </c>
      <c r="AI28">
        <f>'Assessment Questions'!AL28</f>
        <v>0</v>
      </c>
      <c r="AJ28">
        <f>IF(OR($H28="",$H28="N/A"),"",IF($AH28="",VLOOKUP('Company Profile'!$B$40,_CONFIG_Model_Settings!$A$5:$B$8,2,FALSE),IFERROR(VLOOKUP($AH28,_CONFIG_Model_Settings!$A$5:$B$8,2,FALSE),0.9)))</f>
        <v>0.9</v>
      </c>
      <c r="AK28">
        <f>IF(OR($H28="",$H28="N/A"),"",IF($AI28="",VLOOKUP('Company Profile'!$B$41,_CONFIG_Model_Settings!$A$5:$B$8,2,FALSE),IFERROR(VLOOKUP($AI28,_CONFIG_Model_Settings!$A$5:$B$8,2,FALSE),0.9)))</f>
        <v>0.9</v>
      </c>
      <c r="AL28">
        <f t="shared" si="11"/>
        <v>0</v>
      </c>
      <c r="AM28">
        <f t="shared" si="12"/>
        <v>0</v>
      </c>
      <c r="AN28">
        <f>IFERROR(MIN(5,MAX(0,(SUMIFS(_REF_Model_Content!$D$1:$D$174,_REF_Model_Content!$A$1:$A$174,PV_Canonical_Industry,_REF_Model_Content!$B$1:$B$174,"Strategy GTM"))+IFERROR(VLOOKUP('Company Profile'!$B$35,_CONFIG_Model_Settings!$A$11:$B$13,2,0),0))),"")</f>
        <v>0</v>
      </c>
      <c r="AO28">
        <f t="shared" si="13"/>
        <v>0</v>
      </c>
      <c r="AP28">
        <f>IFERROR(SUMIFS(_REF_Model_Content!$E$1:$E$174,_REF_Model_Content!$A$1:$A$174,PV_Canonical_Industry,_REF_Model_Content!$B$1:$B$174,"Strategy GTM"),1)</f>
        <v>0</v>
      </c>
      <c r="AQ28">
        <f t="shared" si="14"/>
        <v>0</v>
      </c>
      <c r="AR28" t="str">
        <f t="shared" si="15"/>
        <v>Within target</v>
      </c>
      <c r="AS28">
        <f t="shared" si="16"/>
        <v>0</v>
      </c>
      <c r="AT28">
        <f t="shared" si="17"/>
        <v>0.9</v>
      </c>
      <c r="AU28">
        <f>'Assessment Questions'!AX28</f>
        <v>0</v>
      </c>
      <c r="AV28">
        <f t="shared" si="18"/>
        <v>0.9</v>
      </c>
      <c r="AW28" t="s">
        <v>949</v>
      </c>
      <c r="AX28" t="s">
        <v>949</v>
      </c>
      <c r="AY28">
        <v>9</v>
      </c>
      <c r="AZ28">
        <v>28</v>
      </c>
    </row>
    <row r="29" spans="1:52">
      <c r="A29" t="s">
        <v>991</v>
      </c>
      <c r="B29" t="s">
        <v>951</v>
      </c>
      <c r="C29" t="s">
        <v>992</v>
      </c>
      <c r="D29" t="s">
        <v>953</v>
      </c>
      <c r="E29" t="s">
        <v>954</v>
      </c>
      <c r="F29" t="s">
        <v>993</v>
      </c>
      <c r="G29">
        <f>'Assessment Questions'!J29</f>
        <v>4</v>
      </c>
      <c r="H29">
        <f t="shared" si="0"/>
        <v>0</v>
      </c>
      <c r="I29">
        <f t="shared" si="1"/>
        <v>0</v>
      </c>
      <c r="J29">
        <f t="shared" si="2"/>
        <v>4</v>
      </c>
      <c r="K29">
        <f t="shared" si="3"/>
        <v>4</v>
      </c>
      <c r="L29" t="str">
        <f t="shared" si="4"/>
        <v>Critical</v>
      </c>
      <c r="M29" t="s">
        <v>994</v>
      </c>
      <c r="N29" t="s">
        <v>995</v>
      </c>
      <c r="O29" t="s">
        <v>996</v>
      </c>
      <c r="P29" t="s">
        <v>997</v>
      </c>
      <c r="Q29" t="s">
        <v>998</v>
      </c>
      <c r="R29" t="s">
        <v>999</v>
      </c>
      <c r="S29" t="s">
        <v>962</v>
      </c>
      <c r="T29">
        <f>'Assessment Questions'!W29</f>
        <v>0</v>
      </c>
      <c r="U29">
        <f>'Assessment Questions'!X29</f>
        <v>0</v>
      </c>
      <c r="V29" t="str">
        <f>'Assessment Questions'!Y29</f>
        <v>Use the recommended action generated by the model; validate with domain owner during real assessment.</v>
      </c>
      <c r="W29">
        <v>4</v>
      </c>
      <c r="X29">
        <v>5</v>
      </c>
      <c r="Y29">
        <v>5</v>
      </c>
      <c r="Z29">
        <f>'Assessment Questions'!AC29</f>
        <v>0</v>
      </c>
      <c r="AB29">
        <f t="shared" si="19"/>
        <v>0</v>
      </c>
      <c r="AC29">
        <f t="shared" si="20"/>
        <v>0</v>
      </c>
      <c r="AD29">
        <f t="shared" si="7"/>
        <v>0</v>
      </c>
      <c r="AE29">
        <f t="shared" si="21"/>
        <v>0</v>
      </c>
      <c r="AF29">
        <f t="shared" si="9"/>
        <v>5</v>
      </c>
      <c r="AG29">
        <f t="shared" si="22"/>
        <v>0</v>
      </c>
      <c r="AH29">
        <f>'Assessment Questions'!AK29</f>
        <v>0</v>
      </c>
      <c r="AI29">
        <f>'Assessment Questions'!AL29</f>
        <v>0</v>
      </c>
      <c r="AJ29">
        <f>IF(OR($H29="",$H29="N/A"),"",IF($AH29="",VLOOKUP('Company Profile'!$B$40,_CONFIG_Model_Settings!$A$5:$B$8,2,FALSE),IFERROR(VLOOKUP($AH29,_CONFIG_Model_Settings!$A$5:$B$8,2,FALSE),0.9)))</f>
        <v>0.9</v>
      </c>
      <c r="AK29">
        <f>IF(OR($H29="",$H29="N/A"),"",IF($AI29="",VLOOKUP('Company Profile'!$B$41,_CONFIG_Model_Settings!$A$5:$B$8,2,FALSE),IFERROR(VLOOKUP($AI29,_CONFIG_Model_Settings!$A$5:$B$8,2,FALSE),0.9)))</f>
        <v>0.9</v>
      </c>
      <c r="AL29">
        <f t="shared" si="11"/>
        <v>0</v>
      </c>
      <c r="AM29">
        <f t="shared" si="12"/>
        <v>0</v>
      </c>
      <c r="AN29">
        <f>IFERROR(MIN(5,MAX(0,(SUMIFS(_REF_Model_Content!$D$1:$D$174,_REF_Model_Content!$A$1:$A$174,PV_Canonical_Industry,_REF_Model_Content!$B$1:$B$174,"Strategy GTM"))+IFERROR(VLOOKUP('Company Profile'!$B$35,_CONFIG_Model_Settings!$A$11:$B$13,2,0),0))),"")</f>
        <v>0</v>
      </c>
      <c r="AO29">
        <f t="shared" si="13"/>
        <v>0</v>
      </c>
      <c r="AP29">
        <f>IFERROR(SUMIFS(_REF_Model_Content!$E$1:$E$174,_REF_Model_Content!$A$1:$A$174,PV_Canonical_Industry,_REF_Model_Content!$B$1:$B$174,"Strategy GTM"),1)</f>
        <v>0</v>
      </c>
      <c r="AQ29">
        <f t="shared" si="14"/>
        <v>0</v>
      </c>
      <c r="AR29" t="str">
        <f t="shared" si="15"/>
        <v>Within target</v>
      </c>
      <c r="AS29">
        <f t="shared" si="16"/>
        <v>0</v>
      </c>
      <c r="AT29">
        <f t="shared" si="17"/>
        <v>0.9</v>
      </c>
      <c r="AU29">
        <f>'Assessment Questions'!AX29</f>
        <v>0</v>
      </c>
      <c r="AV29">
        <f t="shared" si="18"/>
        <v>0.9</v>
      </c>
      <c r="AW29" t="s">
        <v>949</v>
      </c>
      <c r="AX29" t="s">
        <v>949</v>
      </c>
      <c r="AY29">
        <v>10</v>
      </c>
      <c r="AZ29">
        <v>29</v>
      </c>
    </row>
    <row r="30" spans="1:52">
      <c r="A30" t="s">
        <v>1000</v>
      </c>
      <c r="B30" t="s">
        <v>972</v>
      </c>
      <c r="C30" t="s">
        <v>1001</v>
      </c>
      <c r="D30" t="s">
        <v>953</v>
      </c>
      <c r="E30" t="s">
        <v>954</v>
      </c>
      <c r="F30" t="s">
        <v>1002</v>
      </c>
      <c r="G30">
        <f>'Assessment Questions'!J30</f>
        <v>4</v>
      </c>
      <c r="H30">
        <f t="shared" si="0"/>
        <v>0</v>
      </c>
      <c r="I30">
        <f t="shared" si="1"/>
        <v>0</v>
      </c>
      <c r="J30">
        <f t="shared" si="2"/>
        <v>4</v>
      </c>
      <c r="K30">
        <f t="shared" si="3"/>
        <v>4</v>
      </c>
      <c r="L30" t="str">
        <f t="shared" si="4"/>
        <v>Critical</v>
      </c>
      <c r="M30" t="s">
        <v>1003</v>
      </c>
      <c r="N30" t="s">
        <v>1004</v>
      </c>
      <c r="O30" t="s">
        <v>1005</v>
      </c>
      <c r="P30" t="s">
        <v>1006</v>
      </c>
      <c r="Q30" t="s">
        <v>1007</v>
      </c>
      <c r="R30" t="s">
        <v>1008</v>
      </c>
      <c r="S30" t="s">
        <v>962</v>
      </c>
      <c r="T30">
        <f>'Assessment Questions'!W30</f>
        <v>0</v>
      </c>
      <c r="U30">
        <f>'Assessment Questions'!X30</f>
        <v>0</v>
      </c>
      <c r="V30" t="str">
        <f>'Assessment Questions'!Y30</f>
        <v>Use the recommended action generated by the model; validate with domain owner during real assessment.</v>
      </c>
      <c r="W30">
        <v>4</v>
      </c>
      <c r="X30">
        <v>5</v>
      </c>
      <c r="Y30">
        <v>5</v>
      </c>
      <c r="Z30">
        <f>'Assessment Questions'!AC30</f>
        <v>0</v>
      </c>
      <c r="AB30">
        <f t="shared" si="19"/>
        <v>0</v>
      </c>
      <c r="AC30">
        <f t="shared" si="20"/>
        <v>0</v>
      </c>
      <c r="AD30">
        <f t="shared" si="7"/>
        <v>0</v>
      </c>
      <c r="AE30">
        <f t="shared" si="21"/>
        <v>0</v>
      </c>
      <c r="AF30">
        <f t="shared" si="9"/>
        <v>5</v>
      </c>
      <c r="AG30">
        <f t="shared" si="22"/>
        <v>0</v>
      </c>
      <c r="AH30">
        <f>'Assessment Questions'!AK30</f>
        <v>0</v>
      </c>
      <c r="AI30">
        <f>'Assessment Questions'!AL30</f>
        <v>0</v>
      </c>
      <c r="AJ30">
        <f>IF(OR($H30="",$H30="N/A"),"",IF($AH30="",VLOOKUP('Company Profile'!$B$40,_CONFIG_Model_Settings!$A$5:$B$8,2,FALSE),IFERROR(VLOOKUP($AH30,_CONFIG_Model_Settings!$A$5:$B$8,2,FALSE),0.9)))</f>
        <v>0.9</v>
      </c>
      <c r="AK30">
        <f>IF(OR($H30="",$H30="N/A"),"",IF($AI30="",VLOOKUP('Company Profile'!$B$41,_CONFIG_Model_Settings!$A$5:$B$8,2,FALSE),IFERROR(VLOOKUP($AI30,_CONFIG_Model_Settings!$A$5:$B$8,2,FALSE),0.9)))</f>
        <v>0.9</v>
      </c>
      <c r="AL30">
        <f t="shared" si="11"/>
        <v>0</v>
      </c>
      <c r="AM30">
        <f t="shared" si="12"/>
        <v>0</v>
      </c>
      <c r="AN30">
        <f>IFERROR(MIN(5,MAX(0,(SUMIFS(_REF_Model_Content!$D$1:$D$174,_REF_Model_Content!$A$1:$A$174,PV_Canonical_Industry,_REF_Model_Content!$B$1:$B$174,"Strategy GTM"))+IFERROR(VLOOKUP('Company Profile'!$B$35,_CONFIG_Model_Settings!$A$11:$B$13,2,0),0))),"")</f>
        <v>0</v>
      </c>
      <c r="AO30">
        <f t="shared" si="13"/>
        <v>0</v>
      </c>
      <c r="AP30">
        <f>IFERROR(SUMIFS(_REF_Model_Content!$E$1:$E$174,_REF_Model_Content!$A$1:$A$174,PV_Canonical_Industry,_REF_Model_Content!$B$1:$B$174,"Strategy GTM"),1)</f>
        <v>0</v>
      </c>
      <c r="AQ30">
        <f t="shared" si="14"/>
        <v>0</v>
      </c>
      <c r="AR30" t="str">
        <f t="shared" si="15"/>
        <v>Within target</v>
      </c>
      <c r="AS30">
        <f t="shared" si="16"/>
        <v>0</v>
      </c>
      <c r="AT30">
        <f t="shared" si="17"/>
        <v>0.9</v>
      </c>
      <c r="AU30">
        <f>'Assessment Questions'!AX30</f>
        <v>0</v>
      </c>
      <c r="AV30">
        <f t="shared" si="18"/>
        <v>0.9</v>
      </c>
      <c r="AW30" t="s">
        <v>949</v>
      </c>
      <c r="AX30" t="s">
        <v>949</v>
      </c>
      <c r="AY30">
        <v>11</v>
      </c>
      <c r="AZ30">
        <v>30</v>
      </c>
    </row>
    <row r="31" spans="1:52">
      <c r="A31" t="s">
        <v>1009</v>
      </c>
      <c r="B31" t="s">
        <v>972</v>
      </c>
      <c r="C31" t="s">
        <v>1010</v>
      </c>
      <c r="D31" t="s">
        <v>953</v>
      </c>
      <c r="E31" t="s">
        <v>954</v>
      </c>
      <c r="F31" t="s">
        <v>1011</v>
      </c>
      <c r="G31">
        <f>'Assessment Questions'!J31</f>
        <v>3</v>
      </c>
      <c r="H31">
        <f t="shared" si="0"/>
        <v>0</v>
      </c>
      <c r="I31">
        <f t="shared" si="1"/>
        <v>0</v>
      </c>
      <c r="J31">
        <f t="shared" si="2"/>
        <v>3</v>
      </c>
      <c r="K31">
        <f t="shared" si="3"/>
        <v>3</v>
      </c>
      <c r="L31" t="str">
        <f t="shared" si="4"/>
        <v>Critical</v>
      </c>
      <c r="M31" t="s">
        <v>1012</v>
      </c>
      <c r="N31" t="s">
        <v>1013</v>
      </c>
      <c r="O31" t="s">
        <v>1014</v>
      </c>
      <c r="P31" t="s">
        <v>1015</v>
      </c>
      <c r="Q31" t="s">
        <v>1016</v>
      </c>
      <c r="R31" t="s">
        <v>1017</v>
      </c>
      <c r="S31" t="s">
        <v>962</v>
      </c>
      <c r="T31">
        <f>'Assessment Questions'!W31</f>
        <v>0</v>
      </c>
      <c r="U31">
        <f>'Assessment Questions'!X31</f>
        <v>0</v>
      </c>
      <c r="V31" t="str">
        <f>'Assessment Questions'!Y31</f>
        <v>Use the recommended action generated by the model; validate with domain owner during real assessment.</v>
      </c>
      <c r="W31">
        <v>4</v>
      </c>
      <c r="X31">
        <v>5</v>
      </c>
      <c r="Y31">
        <v>5</v>
      </c>
      <c r="Z31">
        <f>'Assessment Questions'!AC31</f>
        <v>0</v>
      </c>
      <c r="AB31">
        <f t="shared" si="19"/>
        <v>0</v>
      </c>
      <c r="AC31">
        <f t="shared" si="20"/>
        <v>0</v>
      </c>
      <c r="AD31">
        <f t="shared" si="7"/>
        <v>0</v>
      </c>
      <c r="AE31">
        <f t="shared" si="21"/>
        <v>0</v>
      </c>
      <c r="AF31">
        <f t="shared" si="9"/>
        <v>5</v>
      </c>
      <c r="AG31">
        <f t="shared" si="22"/>
        <v>0</v>
      </c>
      <c r="AH31">
        <f>'Assessment Questions'!AK31</f>
        <v>0</v>
      </c>
      <c r="AI31">
        <f>'Assessment Questions'!AL31</f>
        <v>0</v>
      </c>
      <c r="AJ31">
        <f>IF(OR($H31="",$H31="N/A"),"",IF($AH31="",VLOOKUP('Company Profile'!$B$40,_CONFIG_Model_Settings!$A$5:$B$8,2,FALSE),IFERROR(VLOOKUP($AH31,_CONFIG_Model_Settings!$A$5:$B$8,2,FALSE),0.9)))</f>
        <v>0.9</v>
      </c>
      <c r="AK31">
        <f>IF(OR($H31="",$H31="N/A"),"",IF($AI31="",VLOOKUP('Company Profile'!$B$41,_CONFIG_Model_Settings!$A$5:$B$8,2,FALSE),IFERROR(VLOOKUP($AI31,_CONFIG_Model_Settings!$A$5:$B$8,2,FALSE),0.9)))</f>
        <v>0.9</v>
      </c>
      <c r="AL31">
        <f t="shared" si="11"/>
        <v>0</v>
      </c>
      <c r="AM31">
        <f t="shared" si="12"/>
        <v>0</v>
      </c>
      <c r="AN31">
        <f>IFERROR(MIN(5,MAX(0,(SUMIFS(_REF_Model_Content!$D$1:$D$174,_REF_Model_Content!$A$1:$A$174,PV_Canonical_Industry,_REF_Model_Content!$B$1:$B$174,"Strategy GTM"))+IFERROR(VLOOKUP('Company Profile'!$B$35,_CONFIG_Model_Settings!$A$11:$B$13,2,0),0))),"")</f>
        <v>0</v>
      </c>
      <c r="AO31">
        <f t="shared" si="13"/>
        <v>0</v>
      </c>
      <c r="AP31">
        <f>IFERROR(SUMIFS(_REF_Model_Content!$E$1:$E$174,_REF_Model_Content!$A$1:$A$174,PV_Canonical_Industry,_REF_Model_Content!$B$1:$B$174,"Strategy GTM"),1)</f>
        <v>0</v>
      </c>
      <c r="AQ31">
        <f t="shared" si="14"/>
        <v>0</v>
      </c>
      <c r="AR31" t="str">
        <f t="shared" si="15"/>
        <v>Within target</v>
      </c>
      <c r="AS31">
        <f t="shared" si="16"/>
        <v>0</v>
      </c>
      <c r="AT31">
        <f t="shared" si="17"/>
        <v>0.9</v>
      </c>
      <c r="AU31">
        <f>'Assessment Questions'!AX31</f>
        <v>0</v>
      </c>
      <c r="AV31">
        <f t="shared" si="18"/>
        <v>0.9</v>
      </c>
      <c r="AW31" t="s">
        <v>949</v>
      </c>
      <c r="AX31" t="s">
        <v>949</v>
      </c>
      <c r="AY31">
        <v>12</v>
      </c>
      <c r="AZ31">
        <v>31</v>
      </c>
    </row>
    <row r="32" spans="1:52">
      <c r="A32" t="s">
        <v>1018</v>
      </c>
      <c r="B32" t="s">
        <v>972</v>
      </c>
      <c r="C32" t="s">
        <v>1019</v>
      </c>
      <c r="D32" t="s">
        <v>953</v>
      </c>
      <c r="E32" t="s">
        <v>954</v>
      </c>
      <c r="F32" t="s">
        <v>1020</v>
      </c>
      <c r="G32">
        <f>'Assessment Questions'!J32</f>
        <v>4</v>
      </c>
      <c r="H32">
        <f t="shared" si="0"/>
        <v>0</v>
      </c>
      <c r="I32">
        <f t="shared" si="1"/>
        <v>0</v>
      </c>
      <c r="J32">
        <f t="shared" si="2"/>
        <v>4</v>
      </c>
      <c r="K32">
        <f t="shared" si="3"/>
        <v>4</v>
      </c>
      <c r="L32" t="str">
        <f t="shared" si="4"/>
        <v>Critical</v>
      </c>
      <c r="M32" t="s">
        <v>1021</v>
      </c>
      <c r="N32" t="s">
        <v>1022</v>
      </c>
      <c r="O32" t="s">
        <v>1023</v>
      </c>
      <c r="P32" t="s">
        <v>1024</v>
      </c>
      <c r="Q32" t="s">
        <v>1025</v>
      </c>
      <c r="R32" t="s">
        <v>1026</v>
      </c>
      <c r="S32" t="s">
        <v>962</v>
      </c>
      <c r="T32">
        <f>'Assessment Questions'!W32</f>
        <v>0</v>
      </c>
      <c r="U32">
        <f>'Assessment Questions'!X32</f>
        <v>0</v>
      </c>
      <c r="V32" t="str">
        <f>'Assessment Questions'!Y32</f>
        <v>Use the recommended action generated by the model; validate with domain owner during real assessment.</v>
      </c>
      <c r="W32">
        <v>4</v>
      </c>
      <c r="X32">
        <v>5</v>
      </c>
      <c r="Y32">
        <v>5</v>
      </c>
      <c r="Z32">
        <f>'Assessment Questions'!AC32</f>
        <v>0</v>
      </c>
      <c r="AB32">
        <f t="shared" si="19"/>
        <v>0</v>
      </c>
      <c r="AC32">
        <f t="shared" si="20"/>
        <v>0</v>
      </c>
      <c r="AD32">
        <f t="shared" si="7"/>
        <v>0</v>
      </c>
      <c r="AE32">
        <f t="shared" si="21"/>
        <v>0</v>
      </c>
      <c r="AF32">
        <f t="shared" si="9"/>
        <v>5</v>
      </c>
      <c r="AG32">
        <f t="shared" si="22"/>
        <v>0</v>
      </c>
      <c r="AH32">
        <f>'Assessment Questions'!AK32</f>
        <v>0</v>
      </c>
      <c r="AI32">
        <f>'Assessment Questions'!AL32</f>
        <v>0</v>
      </c>
      <c r="AJ32">
        <f>IF(OR($H32="",$H32="N/A"),"",IF($AH32="",VLOOKUP('Company Profile'!$B$40,_CONFIG_Model_Settings!$A$5:$B$8,2,FALSE),IFERROR(VLOOKUP($AH32,_CONFIG_Model_Settings!$A$5:$B$8,2,FALSE),0.9)))</f>
        <v>0.9</v>
      </c>
      <c r="AK32">
        <f>IF(OR($H32="",$H32="N/A"),"",IF($AI32="",VLOOKUP('Company Profile'!$B$41,_CONFIG_Model_Settings!$A$5:$B$8,2,FALSE),IFERROR(VLOOKUP($AI32,_CONFIG_Model_Settings!$A$5:$B$8,2,FALSE),0.9)))</f>
        <v>0.9</v>
      </c>
      <c r="AL32">
        <f t="shared" si="11"/>
        <v>0</v>
      </c>
      <c r="AM32">
        <f t="shared" si="12"/>
        <v>0</v>
      </c>
      <c r="AN32">
        <f>IFERROR(MIN(5,MAX(0,(SUMIFS(_REF_Model_Content!$D$1:$D$174,_REF_Model_Content!$A$1:$A$174,PV_Canonical_Industry,_REF_Model_Content!$B$1:$B$174,"Strategy GTM"))+IFERROR(VLOOKUP('Company Profile'!$B$35,_CONFIG_Model_Settings!$A$11:$B$13,2,0),0))),"")</f>
        <v>0</v>
      </c>
      <c r="AO32">
        <f t="shared" si="13"/>
        <v>0</v>
      </c>
      <c r="AP32">
        <f>IFERROR(SUMIFS(_REF_Model_Content!$E$1:$E$174,_REF_Model_Content!$A$1:$A$174,PV_Canonical_Industry,_REF_Model_Content!$B$1:$B$174,"Strategy GTM"),1)</f>
        <v>0</v>
      </c>
      <c r="AQ32">
        <f t="shared" si="14"/>
        <v>0</v>
      </c>
      <c r="AR32" t="str">
        <f t="shared" si="15"/>
        <v>Within target</v>
      </c>
      <c r="AS32">
        <f t="shared" si="16"/>
        <v>0</v>
      </c>
      <c r="AT32">
        <f t="shared" si="17"/>
        <v>0.9</v>
      </c>
      <c r="AU32">
        <f>'Assessment Questions'!AX32</f>
        <v>0</v>
      </c>
      <c r="AV32">
        <f t="shared" si="18"/>
        <v>0.9</v>
      </c>
      <c r="AW32" t="s">
        <v>949</v>
      </c>
      <c r="AX32" t="s">
        <v>949</v>
      </c>
      <c r="AY32">
        <v>13</v>
      </c>
      <c r="AZ32">
        <v>32</v>
      </c>
    </row>
    <row r="33" spans="1:52">
      <c r="A33" t="s">
        <v>1027</v>
      </c>
      <c r="B33" t="s">
        <v>972</v>
      </c>
      <c r="C33" t="s">
        <v>1028</v>
      </c>
      <c r="D33" t="s">
        <v>953</v>
      </c>
      <c r="E33" t="s">
        <v>954</v>
      </c>
      <c r="F33" t="s">
        <v>1029</v>
      </c>
      <c r="G33">
        <f>'Assessment Questions'!J33</f>
        <v>5</v>
      </c>
      <c r="H33">
        <f t="shared" si="0"/>
        <v>0</v>
      </c>
      <c r="I33">
        <f t="shared" si="1"/>
        <v>0</v>
      </c>
      <c r="J33">
        <f t="shared" si="2"/>
        <v>5</v>
      </c>
      <c r="K33">
        <f t="shared" si="3"/>
        <v>5</v>
      </c>
      <c r="L33" t="str">
        <f t="shared" si="4"/>
        <v>Critical</v>
      </c>
      <c r="M33" t="s">
        <v>833</v>
      </c>
      <c r="N33" t="s">
        <v>834</v>
      </c>
      <c r="O33" t="s">
        <v>835</v>
      </c>
      <c r="P33" t="s">
        <v>836</v>
      </c>
      <c r="Q33" t="s">
        <v>837</v>
      </c>
      <c r="R33" t="s">
        <v>838</v>
      </c>
      <c r="S33" t="s">
        <v>962</v>
      </c>
      <c r="T33">
        <f>'Assessment Questions'!W33</f>
        <v>0</v>
      </c>
      <c r="U33">
        <f>'Assessment Questions'!X33</f>
        <v>0</v>
      </c>
      <c r="V33" t="str">
        <f>'Assessment Questions'!Y33</f>
        <v>Use the recommended action generated by the model; validate with domain owner during real assessment.</v>
      </c>
      <c r="W33">
        <v>4</v>
      </c>
      <c r="X33">
        <v>5</v>
      </c>
      <c r="Y33">
        <v>5</v>
      </c>
      <c r="Z33">
        <f>'Assessment Questions'!AC33</f>
        <v>0</v>
      </c>
      <c r="AB33">
        <f t="shared" si="19"/>
        <v>0</v>
      </c>
      <c r="AC33">
        <f t="shared" si="20"/>
        <v>0</v>
      </c>
      <c r="AD33">
        <f t="shared" si="7"/>
        <v>0</v>
      </c>
      <c r="AE33">
        <f t="shared" si="21"/>
        <v>0</v>
      </c>
      <c r="AF33">
        <f t="shared" si="9"/>
        <v>5</v>
      </c>
      <c r="AG33">
        <f t="shared" si="22"/>
        <v>0</v>
      </c>
      <c r="AH33">
        <f>'Assessment Questions'!AK33</f>
        <v>0</v>
      </c>
      <c r="AI33">
        <f>'Assessment Questions'!AL33</f>
        <v>0</v>
      </c>
      <c r="AJ33">
        <f>IF(OR($H33="",$H33="N/A"),"",IF($AH33="",VLOOKUP('Company Profile'!$B$40,_CONFIG_Model_Settings!$A$5:$B$8,2,FALSE),IFERROR(VLOOKUP($AH33,_CONFIG_Model_Settings!$A$5:$B$8,2,FALSE),0.9)))</f>
        <v>0.9</v>
      </c>
      <c r="AK33">
        <f>IF(OR($H33="",$H33="N/A"),"",IF($AI33="",VLOOKUP('Company Profile'!$B$41,_CONFIG_Model_Settings!$A$5:$B$8,2,FALSE),IFERROR(VLOOKUP($AI33,_CONFIG_Model_Settings!$A$5:$B$8,2,FALSE),0.9)))</f>
        <v>0.9</v>
      </c>
      <c r="AL33">
        <f t="shared" si="11"/>
        <v>0</v>
      </c>
      <c r="AM33">
        <f t="shared" si="12"/>
        <v>0</v>
      </c>
      <c r="AN33">
        <f>IFERROR(MIN(5,MAX(0,(SUMIFS(_REF_Model_Content!$D$1:$D$174,_REF_Model_Content!$A$1:$A$174,PV_Canonical_Industry,_REF_Model_Content!$B$1:$B$174,"Strategy GTM"))+IFERROR(VLOOKUP('Company Profile'!$B$35,_CONFIG_Model_Settings!$A$11:$B$13,2,0),0))),"")</f>
        <v>0</v>
      </c>
      <c r="AO33">
        <f t="shared" si="13"/>
        <v>0</v>
      </c>
      <c r="AP33">
        <f>IFERROR(SUMIFS(_REF_Model_Content!$E$1:$E$174,_REF_Model_Content!$A$1:$A$174,PV_Canonical_Industry,_REF_Model_Content!$B$1:$B$174,"Strategy GTM"),1)</f>
        <v>0</v>
      </c>
      <c r="AQ33">
        <f t="shared" si="14"/>
        <v>0</v>
      </c>
      <c r="AR33" t="str">
        <f t="shared" si="15"/>
        <v>Within target</v>
      </c>
      <c r="AS33">
        <f t="shared" si="16"/>
        <v>0</v>
      </c>
      <c r="AT33">
        <f t="shared" si="17"/>
        <v>0.9</v>
      </c>
      <c r="AU33">
        <f>'Assessment Questions'!AX33</f>
        <v>0</v>
      </c>
      <c r="AV33">
        <f t="shared" si="18"/>
        <v>0.9</v>
      </c>
      <c r="AW33" t="s">
        <v>949</v>
      </c>
      <c r="AX33" t="s">
        <v>949</v>
      </c>
      <c r="AY33">
        <v>14</v>
      </c>
      <c r="AZ33">
        <v>33</v>
      </c>
    </row>
    <row r="34" spans="1:52">
      <c r="A34" t="s">
        <v>1030</v>
      </c>
      <c r="B34" t="s">
        <v>972</v>
      </c>
      <c r="C34" t="s">
        <v>1031</v>
      </c>
      <c r="D34" t="s">
        <v>953</v>
      </c>
      <c r="E34" t="s">
        <v>954</v>
      </c>
      <c r="F34" t="s">
        <v>1032</v>
      </c>
      <c r="G34">
        <f>'Assessment Questions'!J34</f>
        <v>3</v>
      </c>
      <c r="H34">
        <f t="shared" si="0"/>
        <v>0</v>
      </c>
      <c r="I34">
        <f t="shared" si="1"/>
        <v>0</v>
      </c>
      <c r="J34">
        <f t="shared" si="2"/>
        <v>3</v>
      </c>
      <c r="K34">
        <f t="shared" si="3"/>
        <v>3</v>
      </c>
      <c r="L34" t="str">
        <f t="shared" si="4"/>
        <v>Critical</v>
      </c>
      <c r="M34" t="s">
        <v>1033</v>
      </c>
      <c r="N34" t="s">
        <v>1034</v>
      </c>
      <c r="O34" t="s">
        <v>1035</v>
      </c>
      <c r="P34" t="s">
        <v>1036</v>
      </c>
      <c r="Q34" t="s">
        <v>1037</v>
      </c>
      <c r="R34" t="s">
        <v>1038</v>
      </c>
      <c r="S34" t="s">
        <v>962</v>
      </c>
      <c r="T34">
        <f>'Assessment Questions'!W34</f>
        <v>0</v>
      </c>
      <c r="U34">
        <f>'Assessment Questions'!X34</f>
        <v>0</v>
      </c>
      <c r="V34" t="str">
        <f>'Assessment Questions'!Y34</f>
        <v>Use the recommended action generated by the model; validate with domain owner during real assessment.</v>
      </c>
      <c r="W34">
        <v>4</v>
      </c>
      <c r="X34">
        <v>5</v>
      </c>
      <c r="Y34">
        <v>5</v>
      </c>
      <c r="Z34">
        <f>'Assessment Questions'!AC34</f>
        <v>0</v>
      </c>
      <c r="AB34">
        <f t="shared" si="19"/>
        <v>0</v>
      </c>
      <c r="AC34">
        <f t="shared" si="20"/>
        <v>0</v>
      </c>
      <c r="AD34">
        <f t="shared" si="7"/>
        <v>0</v>
      </c>
      <c r="AE34">
        <f t="shared" si="21"/>
        <v>0</v>
      </c>
      <c r="AF34">
        <f t="shared" si="9"/>
        <v>5</v>
      </c>
      <c r="AG34">
        <f t="shared" si="22"/>
        <v>0</v>
      </c>
      <c r="AH34">
        <f>'Assessment Questions'!AK34</f>
        <v>0</v>
      </c>
      <c r="AI34">
        <f>'Assessment Questions'!AL34</f>
        <v>0</v>
      </c>
      <c r="AJ34">
        <f>IF(OR($H34="",$H34="N/A"),"",IF($AH34="",VLOOKUP('Company Profile'!$B$40,_CONFIG_Model_Settings!$A$5:$B$8,2,FALSE),IFERROR(VLOOKUP($AH34,_CONFIG_Model_Settings!$A$5:$B$8,2,FALSE),0.9)))</f>
        <v>0.9</v>
      </c>
      <c r="AK34">
        <f>IF(OR($H34="",$H34="N/A"),"",IF($AI34="",VLOOKUP('Company Profile'!$B$41,_CONFIG_Model_Settings!$A$5:$B$8,2,FALSE),IFERROR(VLOOKUP($AI34,_CONFIG_Model_Settings!$A$5:$B$8,2,FALSE),0.9)))</f>
        <v>0.9</v>
      </c>
      <c r="AL34">
        <f t="shared" si="11"/>
        <v>0</v>
      </c>
      <c r="AM34">
        <f t="shared" si="12"/>
        <v>0</v>
      </c>
      <c r="AN34">
        <f>IFERROR(MIN(5,MAX(0,(SUMIFS(_REF_Model_Content!$D$1:$D$174,_REF_Model_Content!$A$1:$A$174,PV_Canonical_Industry,_REF_Model_Content!$B$1:$B$174,"Strategy GTM"))+IFERROR(VLOOKUP('Company Profile'!$B$35,_CONFIG_Model_Settings!$A$11:$B$13,2,0),0))),"")</f>
        <v>0</v>
      </c>
      <c r="AO34">
        <f t="shared" si="13"/>
        <v>0</v>
      </c>
      <c r="AP34">
        <f>IFERROR(SUMIFS(_REF_Model_Content!$E$1:$E$174,_REF_Model_Content!$A$1:$A$174,PV_Canonical_Industry,_REF_Model_Content!$B$1:$B$174,"Strategy GTM"),1)</f>
        <v>0</v>
      </c>
      <c r="AQ34">
        <f t="shared" si="14"/>
        <v>0</v>
      </c>
      <c r="AR34" t="str">
        <f t="shared" si="15"/>
        <v>Within target</v>
      </c>
      <c r="AS34">
        <f t="shared" si="16"/>
        <v>0</v>
      </c>
      <c r="AT34">
        <f t="shared" si="17"/>
        <v>0.9</v>
      </c>
      <c r="AU34">
        <f>'Assessment Questions'!AX34</f>
        <v>0</v>
      </c>
      <c r="AV34">
        <f t="shared" si="18"/>
        <v>0.9</v>
      </c>
      <c r="AW34" t="s">
        <v>949</v>
      </c>
      <c r="AX34" t="s">
        <v>949</v>
      </c>
      <c r="AY34">
        <v>15</v>
      </c>
      <c r="AZ34">
        <v>34</v>
      </c>
    </row>
    <row r="35" spans="1:52">
      <c r="A35" t="s">
        <v>1039</v>
      </c>
      <c r="B35" t="s">
        <v>972</v>
      </c>
      <c r="C35" t="s">
        <v>1040</v>
      </c>
      <c r="D35" t="s">
        <v>953</v>
      </c>
      <c r="E35" t="s">
        <v>954</v>
      </c>
      <c r="F35" t="s">
        <v>1041</v>
      </c>
      <c r="G35">
        <f>'Assessment Questions'!J35</f>
        <v>4</v>
      </c>
      <c r="H35">
        <f t="shared" si="0"/>
        <v>0</v>
      </c>
      <c r="I35">
        <f t="shared" si="1"/>
        <v>0</v>
      </c>
      <c r="J35">
        <f t="shared" si="2"/>
        <v>4</v>
      </c>
      <c r="K35">
        <f t="shared" si="3"/>
        <v>4</v>
      </c>
      <c r="L35" t="str">
        <f t="shared" si="4"/>
        <v>Critical</v>
      </c>
      <c r="M35" t="s">
        <v>1042</v>
      </c>
      <c r="N35" t="s">
        <v>1043</v>
      </c>
      <c r="O35" t="s">
        <v>1044</v>
      </c>
      <c r="P35" t="s">
        <v>1045</v>
      </c>
      <c r="Q35" t="s">
        <v>1046</v>
      </c>
      <c r="R35" t="s">
        <v>1047</v>
      </c>
      <c r="S35" t="s">
        <v>962</v>
      </c>
      <c r="T35">
        <f>'Assessment Questions'!W35</f>
        <v>0</v>
      </c>
      <c r="U35">
        <f>'Assessment Questions'!X35</f>
        <v>0</v>
      </c>
      <c r="V35" t="str">
        <f>'Assessment Questions'!Y35</f>
        <v>Use the recommended action generated by the model; validate with domain owner during real assessment.</v>
      </c>
      <c r="W35">
        <v>4</v>
      </c>
      <c r="X35">
        <v>5</v>
      </c>
      <c r="Y35">
        <v>5</v>
      </c>
      <c r="Z35">
        <f>'Assessment Questions'!AC35</f>
        <v>0</v>
      </c>
      <c r="AB35">
        <f t="shared" si="19"/>
        <v>0</v>
      </c>
      <c r="AC35">
        <f t="shared" si="20"/>
        <v>0</v>
      </c>
      <c r="AD35">
        <f t="shared" si="7"/>
        <v>0</v>
      </c>
      <c r="AE35">
        <f t="shared" si="21"/>
        <v>0</v>
      </c>
      <c r="AF35">
        <f t="shared" si="9"/>
        <v>5</v>
      </c>
      <c r="AG35">
        <f t="shared" si="22"/>
        <v>0</v>
      </c>
      <c r="AH35">
        <f>'Assessment Questions'!AK35</f>
        <v>0</v>
      </c>
      <c r="AI35">
        <f>'Assessment Questions'!AL35</f>
        <v>0</v>
      </c>
      <c r="AJ35">
        <f>IF(OR($H35="",$H35="N/A"),"",IF($AH35="",VLOOKUP('Company Profile'!$B$40,_CONFIG_Model_Settings!$A$5:$B$8,2,FALSE),IFERROR(VLOOKUP($AH35,_CONFIG_Model_Settings!$A$5:$B$8,2,FALSE),0.9)))</f>
        <v>0.9</v>
      </c>
      <c r="AK35">
        <f>IF(OR($H35="",$H35="N/A"),"",IF($AI35="",VLOOKUP('Company Profile'!$B$41,_CONFIG_Model_Settings!$A$5:$B$8,2,FALSE),IFERROR(VLOOKUP($AI35,_CONFIG_Model_Settings!$A$5:$B$8,2,FALSE),0.9)))</f>
        <v>0.9</v>
      </c>
      <c r="AL35">
        <f t="shared" si="11"/>
        <v>0</v>
      </c>
      <c r="AM35">
        <f t="shared" si="12"/>
        <v>0</v>
      </c>
      <c r="AN35">
        <f>IFERROR(MIN(5,MAX(0,(SUMIFS(_REF_Model_Content!$D$1:$D$174,_REF_Model_Content!$A$1:$A$174,PV_Canonical_Industry,_REF_Model_Content!$B$1:$B$174,"Strategy GTM"))+IFERROR(VLOOKUP('Company Profile'!$B$35,_CONFIG_Model_Settings!$A$11:$B$13,2,0),0))),"")</f>
        <v>0</v>
      </c>
      <c r="AO35">
        <f t="shared" si="13"/>
        <v>0</v>
      </c>
      <c r="AP35">
        <f>IFERROR(SUMIFS(_REF_Model_Content!$E$1:$E$174,_REF_Model_Content!$A$1:$A$174,PV_Canonical_Industry,_REF_Model_Content!$B$1:$B$174,"Strategy GTM"),1)</f>
        <v>0</v>
      </c>
      <c r="AQ35">
        <f t="shared" si="14"/>
        <v>0</v>
      </c>
      <c r="AR35" t="str">
        <f t="shared" si="15"/>
        <v>Within target</v>
      </c>
      <c r="AS35">
        <f t="shared" si="16"/>
        <v>0</v>
      </c>
      <c r="AT35">
        <f t="shared" si="17"/>
        <v>0.9</v>
      </c>
      <c r="AU35">
        <f>'Assessment Questions'!AX35</f>
        <v>0</v>
      </c>
      <c r="AV35">
        <f t="shared" si="18"/>
        <v>0.9</v>
      </c>
      <c r="AW35" t="s">
        <v>949</v>
      </c>
      <c r="AX35" t="s">
        <v>949</v>
      </c>
      <c r="AY35">
        <v>16</v>
      </c>
      <c r="AZ35">
        <v>35</v>
      </c>
    </row>
    <row r="36" spans="1:52">
      <c r="A36" t="s">
        <v>1048</v>
      </c>
      <c r="B36" t="s">
        <v>976</v>
      </c>
      <c r="C36" t="s">
        <v>1049</v>
      </c>
      <c r="D36" t="s">
        <v>953</v>
      </c>
      <c r="E36" t="s">
        <v>954</v>
      </c>
      <c r="F36" t="s">
        <v>1050</v>
      </c>
      <c r="G36">
        <f>'Assessment Questions'!J36</f>
        <v>5</v>
      </c>
      <c r="H36">
        <f t="shared" si="0"/>
        <v>0</v>
      </c>
      <c r="I36">
        <f t="shared" si="1"/>
        <v>0</v>
      </c>
      <c r="J36">
        <f t="shared" si="2"/>
        <v>5</v>
      </c>
      <c r="K36">
        <f t="shared" si="3"/>
        <v>5</v>
      </c>
      <c r="L36" t="str">
        <f t="shared" si="4"/>
        <v>Critical</v>
      </c>
      <c r="M36" t="s">
        <v>1051</v>
      </c>
      <c r="N36" t="s">
        <v>1052</v>
      </c>
      <c r="O36" t="s">
        <v>1053</v>
      </c>
      <c r="P36" t="s">
        <v>1054</v>
      </c>
      <c r="Q36" t="s">
        <v>1055</v>
      </c>
      <c r="R36" t="s">
        <v>1056</v>
      </c>
      <c r="S36" t="s">
        <v>962</v>
      </c>
      <c r="T36">
        <f>'Assessment Questions'!W36</f>
        <v>0</v>
      </c>
      <c r="U36">
        <f>'Assessment Questions'!X36</f>
        <v>0</v>
      </c>
      <c r="V36" t="str">
        <f>'Assessment Questions'!Y36</f>
        <v>Use the recommended action generated by the model; validate with domain owner during real assessment.</v>
      </c>
      <c r="W36">
        <v>4</v>
      </c>
      <c r="X36">
        <v>5</v>
      </c>
      <c r="Y36">
        <v>5</v>
      </c>
      <c r="Z36">
        <f>'Assessment Questions'!AC36</f>
        <v>0</v>
      </c>
      <c r="AB36">
        <f t="shared" si="19"/>
        <v>0</v>
      </c>
      <c r="AC36">
        <f t="shared" si="20"/>
        <v>0</v>
      </c>
      <c r="AD36">
        <f t="shared" si="7"/>
        <v>0</v>
      </c>
      <c r="AE36">
        <f t="shared" si="21"/>
        <v>0</v>
      </c>
      <c r="AF36">
        <f t="shared" si="9"/>
        <v>5</v>
      </c>
      <c r="AG36">
        <f t="shared" si="22"/>
        <v>0</v>
      </c>
      <c r="AH36">
        <f>'Assessment Questions'!AK36</f>
        <v>0</v>
      </c>
      <c r="AI36">
        <f>'Assessment Questions'!AL36</f>
        <v>0</v>
      </c>
      <c r="AJ36">
        <f>IF(OR($H36="",$H36="N/A"),"",IF($AH36="",VLOOKUP('Company Profile'!$B$40,_CONFIG_Model_Settings!$A$5:$B$8,2,FALSE),IFERROR(VLOOKUP($AH36,_CONFIG_Model_Settings!$A$5:$B$8,2,FALSE),0.9)))</f>
        <v>0.9</v>
      </c>
      <c r="AK36">
        <f>IF(OR($H36="",$H36="N/A"),"",IF($AI36="",VLOOKUP('Company Profile'!$B$41,_CONFIG_Model_Settings!$A$5:$B$8,2,FALSE),IFERROR(VLOOKUP($AI36,_CONFIG_Model_Settings!$A$5:$B$8,2,FALSE),0.9)))</f>
        <v>0.9</v>
      </c>
      <c r="AL36">
        <f t="shared" si="11"/>
        <v>0</v>
      </c>
      <c r="AM36">
        <f t="shared" si="12"/>
        <v>0</v>
      </c>
      <c r="AN36">
        <f>IFERROR(MIN(5,MAX(0,(SUMIFS(_REF_Model_Content!$D$1:$D$174,_REF_Model_Content!$A$1:$A$174,PV_Canonical_Industry,_REF_Model_Content!$B$1:$B$174,"Strategy GTM"))+IFERROR(VLOOKUP('Company Profile'!$B$35,_CONFIG_Model_Settings!$A$11:$B$13,2,0),0))),"")</f>
        <v>0</v>
      </c>
      <c r="AO36">
        <f t="shared" si="13"/>
        <v>0</v>
      </c>
      <c r="AP36">
        <f>IFERROR(SUMIFS(_REF_Model_Content!$E$1:$E$174,_REF_Model_Content!$A$1:$A$174,PV_Canonical_Industry,_REF_Model_Content!$B$1:$B$174,"Strategy GTM"),1)</f>
        <v>0</v>
      </c>
      <c r="AQ36">
        <f t="shared" si="14"/>
        <v>0</v>
      </c>
      <c r="AR36" t="str">
        <f t="shared" si="15"/>
        <v>Within target</v>
      </c>
      <c r="AS36">
        <f t="shared" si="16"/>
        <v>0</v>
      </c>
      <c r="AT36">
        <f t="shared" si="17"/>
        <v>0.9</v>
      </c>
      <c r="AU36">
        <f>'Assessment Questions'!AX36</f>
        <v>0</v>
      </c>
      <c r="AV36">
        <f t="shared" si="18"/>
        <v>0.9</v>
      </c>
      <c r="AW36" t="s">
        <v>949</v>
      </c>
      <c r="AX36" t="s">
        <v>949</v>
      </c>
      <c r="AY36">
        <v>17</v>
      </c>
      <c r="AZ36">
        <v>36</v>
      </c>
    </row>
    <row r="37" spans="1:52">
      <c r="A37" t="s">
        <v>1057</v>
      </c>
      <c r="B37" t="s">
        <v>976</v>
      </c>
      <c r="C37" t="s">
        <v>1058</v>
      </c>
      <c r="D37" t="s">
        <v>953</v>
      </c>
      <c r="E37" t="s">
        <v>954</v>
      </c>
      <c r="F37" t="s">
        <v>1059</v>
      </c>
      <c r="G37">
        <f>'Assessment Questions'!J37</f>
        <v>3</v>
      </c>
      <c r="H37">
        <f t="shared" si="0"/>
        <v>0</v>
      </c>
      <c r="I37">
        <f t="shared" si="1"/>
        <v>0</v>
      </c>
      <c r="J37">
        <f t="shared" si="2"/>
        <v>3</v>
      </c>
      <c r="K37">
        <f t="shared" si="3"/>
        <v>3</v>
      </c>
      <c r="L37" t="str">
        <f t="shared" si="4"/>
        <v>Critical</v>
      </c>
      <c r="M37" t="s">
        <v>1060</v>
      </c>
      <c r="N37" t="s">
        <v>1061</v>
      </c>
      <c r="O37" t="s">
        <v>1062</v>
      </c>
      <c r="P37" t="s">
        <v>1063</v>
      </c>
      <c r="Q37" t="s">
        <v>1064</v>
      </c>
      <c r="R37" t="s">
        <v>1065</v>
      </c>
      <c r="S37" t="s">
        <v>962</v>
      </c>
      <c r="T37">
        <f>'Assessment Questions'!W37</f>
        <v>0</v>
      </c>
      <c r="U37">
        <f>'Assessment Questions'!X37</f>
        <v>0</v>
      </c>
      <c r="V37" t="str">
        <f>'Assessment Questions'!Y37</f>
        <v>Use the recommended action generated by the model; validate with domain owner during real assessment.</v>
      </c>
      <c r="W37">
        <v>4</v>
      </c>
      <c r="X37">
        <v>5</v>
      </c>
      <c r="Y37">
        <v>5</v>
      </c>
      <c r="Z37">
        <f>'Assessment Questions'!AC37</f>
        <v>0</v>
      </c>
      <c r="AB37">
        <f t="shared" si="19"/>
        <v>0</v>
      </c>
      <c r="AC37">
        <f t="shared" si="20"/>
        <v>0</v>
      </c>
      <c r="AD37">
        <f t="shared" si="7"/>
        <v>0</v>
      </c>
      <c r="AE37">
        <f t="shared" si="21"/>
        <v>0</v>
      </c>
      <c r="AF37">
        <f t="shared" si="9"/>
        <v>5</v>
      </c>
      <c r="AG37">
        <f t="shared" si="22"/>
        <v>0</v>
      </c>
      <c r="AH37">
        <f>'Assessment Questions'!AK37</f>
        <v>0</v>
      </c>
      <c r="AI37">
        <f>'Assessment Questions'!AL37</f>
        <v>0</v>
      </c>
      <c r="AJ37">
        <f>IF(OR($H37="",$H37="N/A"),"",IF($AH37="",VLOOKUP('Company Profile'!$B$40,_CONFIG_Model_Settings!$A$5:$B$8,2,FALSE),IFERROR(VLOOKUP($AH37,_CONFIG_Model_Settings!$A$5:$B$8,2,FALSE),0.9)))</f>
        <v>0.9</v>
      </c>
      <c r="AK37">
        <f>IF(OR($H37="",$H37="N/A"),"",IF($AI37="",VLOOKUP('Company Profile'!$B$41,_CONFIG_Model_Settings!$A$5:$B$8,2,FALSE),IFERROR(VLOOKUP($AI37,_CONFIG_Model_Settings!$A$5:$B$8,2,FALSE),0.9)))</f>
        <v>0.9</v>
      </c>
      <c r="AL37">
        <f t="shared" si="11"/>
        <v>0</v>
      </c>
      <c r="AM37">
        <f t="shared" si="12"/>
        <v>0</v>
      </c>
      <c r="AN37">
        <f>IFERROR(MIN(5,MAX(0,(SUMIFS(_REF_Model_Content!$D$1:$D$174,_REF_Model_Content!$A$1:$A$174,PV_Canonical_Industry,_REF_Model_Content!$B$1:$B$174,"Strategy GTM"))+IFERROR(VLOOKUP('Company Profile'!$B$35,_CONFIG_Model_Settings!$A$11:$B$13,2,0),0))),"")</f>
        <v>0</v>
      </c>
      <c r="AO37">
        <f t="shared" si="13"/>
        <v>0</v>
      </c>
      <c r="AP37">
        <f>IFERROR(SUMIFS(_REF_Model_Content!$E$1:$E$174,_REF_Model_Content!$A$1:$A$174,PV_Canonical_Industry,_REF_Model_Content!$B$1:$B$174,"Strategy GTM"),1)</f>
        <v>0</v>
      </c>
      <c r="AQ37">
        <f t="shared" si="14"/>
        <v>0</v>
      </c>
      <c r="AR37" t="str">
        <f t="shared" si="15"/>
        <v>Within target</v>
      </c>
      <c r="AS37">
        <f t="shared" si="16"/>
        <v>0</v>
      </c>
      <c r="AT37">
        <f t="shared" si="17"/>
        <v>0.9</v>
      </c>
      <c r="AU37">
        <f>'Assessment Questions'!AX37</f>
        <v>0</v>
      </c>
      <c r="AV37">
        <f t="shared" si="18"/>
        <v>0.9</v>
      </c>
      <c r="AW37" t="s">
        <v>949</v>
      </c>
      <c r="AX37" t="s">
        <v>949</v>
      </c>
      <c r="AY37">
        <v>18</v>
      </c>
      <c r="AZ37">
        <v>37</v>
      </c>
    </row>
    <row r="38" spans="1:52">
      <c r="A38" t="s">
        <v>1066</v>
      </c>
      <c r="B38" t="s">
        <v>976</v>
      </c>
      <c r="C38" t="s">
        <v>1067</v>
      </c>
      <c r="D38" t="s">
        <v>953</v>
      </c>
      <c r="E38" t="s">
        <v>954</v>
      </c>
      <c r="F38" t="s">
        <v>1068</v>
      </c>
      <c r="G38">
        <f>'Assessment Questions'!J38</f>
        <v>5</v>
      </c>
      <c r="H38">
        <f t="shared" si="0"/>
        <v>0</v>
      </c>
      <c r="I38">
        <f t="shared" si="1"/>
        <v>0</v>
      </c>
      <c r="J38">
        <f t="shared" si="2"/>
        <v>5</v>
      </c>
      <c r="K38">
        <f t="shared" si="3"/>
        <v>5</v>
      </c>
      <c r="L38" t="str">
        <f t="shared" si="4"/>
        <v>Critical</v>
      </c>
      <c r="M38" t="s">
        <v>1069</v>
      </c>
      <c r="N38" t="s">
        <v>1070</v>
      </c>
      <c r="O38" t="s">
        <v>1071</v>
      </c>
      <c r="P38" t="s">
        <v>1072</v>
      </c>
      <c r="Q38" t="s">
        <v>1073</v>
      </c>
      <c r="R38" t="s">
        <v>1074</v>
      </c>
      <c r="S38" t="s">
        <v>962</v>
      </c>
      <c r="T38">
        <f>'Assessment Questions'!W38</f>
        <v>0</v>
      </c>
      <c r="U38">
        <f>'Assessment Questions'!X38</f>
        <v>0</v>
      </c>
      <c r="V38" t="str">
        <f>'Assessment Questions'!Y38</f>
        <v>Use the recommended action generated by the model; validate with domain owner during real assessment.</v>
      </c>
      <c r="W38">
        <v>4</v>
      </c>
      <c r="X38">
        <v>5</v>
      </c>
      <c r="Y38">
        <v>5</v>
      </c>
      <c r="Z38">
        <f>'Assessment Questions'!AC38</f>
        <v>0</v>
      </c>
      <c r="AB38">
        <f t="shared" si="19"/>
        <v>0</v>
      </c>
      <c r="AC38">
        <f t="shared" si="20"/>
        <v>0</v>
      </c>
      <c r="AD38">
        <f t="shared" si="7"/>
        <v>0</v>
      </c>
      <c r="AE38">
        <f t="shared" si="21"/>
        <v>0</v>
      </c>
      <c r="AF38">
        <f t="shared" si="9"/>
        <v>5</v>
      </c>
      <c r="AG38">
        <f t="shared" si="22"/>
        <v>0</v>
      </c>
      <c r="AH38">
        <f>'Assessment Questions'!AK38</f>
        <v>0</v>
      </c>
      <c r="AI38">
        <f>'Assessment Questions'!AL38</f>
        <v>0</v>
      </c>
      <c r="AJ38">
        <f>IF(OR($H38="",$H38="N/A"),"",IF($AH38="",VLOOKUP('Company Profile'!$B$40,_CONFIG_Model_Settings!$A$5:$B$8,2,FALSE),IFERROR(VLOOKUP($AH38,_CONFIG_Model_Settings!$A$5:$B$8,2,FALSE),0.9)))</f>
        <v>0.9</v>
      </c>
      <c r="AK38">
        <f>IF(OR($H38="",$H38="N/A"),"",IF($AI38="",VLOOKUP('Company Profile'!$B$41,_CONFIG_Model_Settings!$A$5:$B$8,2,FALSE),IFERROR(VLOOKUP($AI38,_CONFIG_Model_Settings!$A$5:$B$8,2,FALSE),0.9)))</f>
        <v>0.9</v>
      </c>
      <c r="AL38">
        <f t="shared" si="11"/>
        <v>0</v>
      </c>
      <c r="AM38">
        <f t="shared" si="12"/>
        <v>0</v>
      </c>
      <c r="AN38">
        <f>IFERROR(MIN(5,MAX(0,(SUMIFS(_REF_Model_Content!$D$1:$D$174,_REF_Model_Content!$A$1:$A$174,PV_Canonical_Industry,_REF_Model_Content!$B$1:$B$174,"Strategy GTM"))+IFERROR(VLOOKUP('Company Profile'!$B$35,_CONFIG_Model_Settings!$A$11:$B$13,2,0),0))),"")</f>
        <v>0</v>
      </c>
      <c r="AO38">
        <f t="shared" si="13"/>
        <v>0</v>
      </c>
      <c r="AP38">
        <f>IFERROR(SUMIFS(_REF_Model_Content!$E$1:$E$174,_REF_Model_Content!$A$1:$A$174,PV_Canonical_Industry,_REF_Model_Content!$B$1:$B$174,"Strategy GTM"),1)</f>
        <v>0</v>
      </c>
      <c r="AQ38">
        <f t="shared" si="14"/>
        <v>0</v>
      </c>
      <c r="AR38" t="str">
        <f t="shared" si="15"/>
        <v>Within target</v>
      </c>
      <c r="AS38">
        <f t="shared" si="16"/>
        <v>0</v>
      </c>
      <c r="AT38">
        <f t="shared" si="17"/>
        <v>0.9</v>
      </c>
      <c r="AU38">
        <f>'Assessment Questions'!AX38</f>
        <v>0</v>
      </c>
      <c r="AV38">
        <f t="shared" si="18"/>
        <v>0.9</v>
      </c>
      <c r="AW38" t="s">
        <v>949</v>
      </c>
      <c r="AX38" t="s">
        <v>949</v>
      </c>
      <c r="AY38">
        <v>19</v>
      </c>
      <c r="AZ38">
        <v>38</v>
      </c>
    </row>
    <row r="39" spans="1:52">
      <c r="A39" t="s">
        <v>1075</v>
      </c>
      <c r="B39" t="s">
        <v>976</v>
      </c>
      <c r="C39" t="s">
        <v>1076</v>
      </c>
      <c r="D39" t="s">
        <v>953</v>
      </c>
      <c r="E39" t="s">
        <v>954</v>
      </c>
      <c r="F39" t="s">
        <v>1077</v>
      </c>
      <c r="G39">
        <f>'Assessment Questions'!J39</f>
        <v>5</v>
      </c>
      <c r="H39">
        <f t="shared" si="0"/>
        <v>0</v>
      </c>
      <c r="I39">
        <f t="shared" si="1"/>
        <v>0</v>
      </c>
      <c r="J39">
        <f t="shared" si="2"/>
        <v>5</v>
      </c>
      <c r="K39">
        <f t="shared" si="3"/>
        <v>5</v>
      </c>
      <c r="L39" t="str">
        <f t="shared" si="4"/>
        <v>Critical</v>
      </c>
      <c r="M39" t="s">
        <v>833</v>
      </c>
      <c r="N39" t="s">
        <v>834</v>
      </c>
      <c r="O39" t="s">
        <v>835</v>
      </c>
      <c r="P39" t="s">
        <v>836</v>
      </c>
      <c r="Q39" t="s">
        <v>837</v>
      </c>
      <c r="R39" t="s">
        <v>838</v>
      </c>
      <c r="S39" t="s">
        <v>962</v>
      </c>
      <c r="T39">
        <f>'Assessment Questions'!W39</f>
        <v>0</v>
      </c>
      <c r="U39">
        <f>'Assessment Questions'!X39</f>
        <v>0</v>
      </c>
      <c r="V39" t="str">
        <f>'Assessment Questions'!Y39</f>
        <v>Use the recommended action generated by the model; validate with domain owner during real assessment.</v>
      </c>
      <c r="W39">
        <v>4</v>
      </c>
      <c r="X39">
        <v>5</v>
      </c>
      <c r="Y39">
        <v>5</v>
      </c>
      <c r="Z39">
        <f>'Assessment Questions'!AC39</f>
        <v>0</v>
      </c>
      <c r="AB39">
        <f t="shared" si="19"/>
        <v>0</v>
      </c>
      <c r="AC39">
        <f t="shared" si="20"/>
        <v>0</v>
      </c>
      <c r="AD39">
        <f t="shared" si="7"/>
        <v>0</v>
      </c>
      <c r="AE39">
        <f t="shared" si="21"/>
        <v>0</v>
      </c>
      <c r="AF39">
        <f t="shared" si="9"/>
        <v>5</v>
      </c>
      <c r="AG39">
        <f t="shared" si="22"/>
        <v>0</v>
      </c>
      <c r="AH39">
        <f>'Assessment Questions'!AK39</f>
        <v>0</v>
      </c>
      <c r="AI39">
        <f>'Assessment Questions'!AL39</f>
        <v>0</v>
      </c>
      <c r="AJ39">
        <f>IF(OR($H39="",$H39="N/A"),"",IF($AH39="",VLOOKUP('Company Profile'!$B$40,_CONFIG_Model_Settings!$A$5:$B$8,2,FALSE),IFERROR(VLOOKUP($AH39,_CONFIG_Model_Settings!$A$5:$B$8,2,FALSE),0.9)))</f>
        <v>0.9</v>
      </c>
      <c r="AK39">
        <f>IF(OR($H39="",$H39="N/A"),"",IF($AI39="",VLOOKUP('Company Profile'!$B$41,_CONFIG_Model_Settings!$A$5:$B$8,2,FALSE),IFERROR(VLOOKUP($AI39,_CONFIG_Model_Settings!$A$5:$B$8,2,FALSE),0.9)))</f>
        <v>0.9</v>
      </c>
      <c r="AL39">
        <f t="shared" si="11"/>
        <v>0</v>
      </c>
      <c r="AM39">
        <f t="shared" si="12"/>
        <v>0</v>
      </c>
      <c r="AN39">
        <f>IFERROR(MIN(5,MAX(0,(SUMIFS(_REF_Model_Content!$D$1:$D$174,_REF_Model_Content!$A$1:$A$174,PV_Canonical_Industry,_REF_Model_Content!$B$1:$B$174,"Strategy GTM"))+IFERROR(VLOOKUP('Company Profile'!$B$35,_CONFIG_Model_Settings!$A$11:$B$13,2,0),0))),"")</f>
        <v>0</v>
      </c>
      <c r="AO39">
        <f t="shared" si="13"/>
        <v>0</v>
      </c>
      <c r="AP39">
        <f>IFERROR(SUMIFS(_REF_Model_Content!$E$1:$E$174,_REF_Model_Content!$A$1:$A$174,PV_Canonical_Industry,_REF_Model_Content!$B$1:$B$174,"Strategy GTM"),1)</f>
        <v>0</v>
      </c>
      <c r="AQ39">
        <f t="shared" si="14"/>
        <v>0</v>
      </c>
      <c r="AR39" t="str">
        <f t="shared" si="15"/>
        <v>Within target</v>
      </c>
      <c r="AS39">
        <f t="shared" si="16"/>
        <v>0</v>
      </c>
      <c r="AT39">
        <f t="shared" si="17"/>
        <v>0.9</v>
      </c>
      <c r="AU39">
        <f>'Assessment Questions'!AX39</f>
        <v>0</v>
      </c>
      <c r="AV39">
        <f t="shared" si="18"/>
        <v>0.9</v>
      </c>
      <c r="AW39" t="s">
        <v>949</v>
      </c>
      <c r="AX39" t="s">
        <v>949</v>
      </c>
      <c r="AY39">
        <v>20</v>
      </c>
      <c r="AZ39">
        <v>39</v>
      </c>
    </row>
    <row r="40" spans="1:52">
      <c r="A40" t="s">
        <v>1078</v>
      </c>
      <c r="B40" t="s">
        <v>976</v>
      </c>
      <c r="C40" t="s">
        <v>1079</v>
      </c>
      <c r="D40" t="s">
        <v>953</v>
      </c>
      <c r="E40" t="s">
        <v>954</v>
      </c>
      <c r="F40" t="s">
        <v>1080</v>
      </c>
      <c r="G40">
        <f>'Assessment Questions'!J40</f>
        <v>5</v>
      </c>
      <c r="H40">
        <f t="shared" si="0"/>
        <v>0</v>
      </c>
      <c r="I40">
        <f t="shared" si="1"/>
        <v>0</v>
      </c>
      <c r="J40">
        <f t="shared" si="2"/>
        <v>5</v>
      </c>
      <c r="K40">
        <f t="shared" si="3"/>
        <v>5</v>
      </c>
      <c r="L40" t="str">
        <f t="shared" si="4"/>
        <v>Critical</v>
      </c>
      <c r="M40" t="s">
        <v>833</v>
      </c>
      <c r="N40" t="s">
        <v>834</v>
      </c>
      <c r="O40" t="s">
        <v>835</v>
      </c>
      <c r="P40" t="s">
        <v>836</v>
      </c>
      <c r="Q40" t="s">
        <v>837</v>
      </c>
      <c r="R40" t="s">
        <v>838</v>
      </c>
      <c r="S40" t="s">
        <v>962</v>
      </c>
      <c r="T40">
        <f>'Assessment Questions'!W40</f>
        <v>0</v>
      </c>
      <c r="U40">
        <f>'Assessment Questions'!X40</f>
        <v>0</v>
      </c>
      <c r="V40" t="str">
        <f>'Assessment Questions'!Y40</f>
        <v>Use the recommended action generated by the model; validate with domain owner during real assessment.</v>
      </c>
      <c r="W40">
        <v>4</v>
      </c>
      <c r="X40">
        <v>5</v>
      </c>
      <c r="Y40">
        <v>5</v>
      </c>
      <c r="Z40">
        <f>'Assessment Questions'!AC40</f>
        <v>0</v>
      </c>
      <c r="AB40">
        <f t="shared" si="19"/>
        <v>0</v>
      </c>
      <c r="AC40">
        <f t="shared" si="20"/>
        <v>0</v>
      </c>
      <c r="AD40">
        <f t="shared" si="7"/>
        <v>0</v>
      </c>
      <c r="AE40">
        <f t="shared" si="21"/>
        <v>0</v>
      </c>
      <c r="AF40">
        <f t="shared" si="9"/>
        <v>5</v>
      </c>
      <c r="AG40">
        <f t="shared" si="22"/>
        <v>0</v>
      </c>
      <c r="AH40">
        <f>'Assessment Questions'!AK40</f>
        <v>0</v>
      </c>
      <c r="AI40">
        <f>'Assessment Questions'!AL40</f>
        <v>0</v>
      </c>
      <c r="AJ40">
        <f>IF(OR($H40="",$H40="N/A"),"",IF($AH40="",VLOOKUP('Company Profile'!$B$40,_CONFIG_Model_Settings!$A$5:$B$8,2,FALSE),IFERROR(VLOOKUP($AH40,_CONFIG_Model_Settings!$A$5:$B$8,2,FALSE),0.9)))</f>
        <v>0.9</v>
      </c>
      <c r="AK40">
        <f>IF(OR($H40="",$H40="N/A"),"",IF($AI40="",VLOOKUP('Company Profile'!$B$41,_CONFIG_Model_Settings!$A$5:$B$8,2,FALSE),IFERROR(VLOOKUP($AI40,_CONFIG_Model_Settings!$A$5:$B$8,2,FALSE),0.9)))</f>
        <v>0.9</v>
      </c>
      <c r="AL40">
        <f t="shared" si="11"/>
        <v>0</v>
      </c>
      <c r="AM40">
        <f t="shared" si="12"/>
        <v>0</v>
      </c>
      <c r="AN40">
        <f>IFERROR(MIN(5,MAX(0,(SUMIFS(_REF_Model_Content!$D$1:$D$174,_REF_Model_Content!$A$1:$A$174,PV_Canonical_Industry,_REF_Model_Content!$B$1:$B$174,"Strategy GTM"))+IFERROR(VLOOKUP('Company Profile'!$B$35,_CONFIG_Model_Settings!$A$11:$B$13,2,0),0))),"")</f>
        <v>0</v>
      </c>
      <c r="AO40">
        <f t="shared" si="13"/>
        <v>0</v>
      </c>
      <c r="AP40">
        <f>IFERROR(SUMIFS(_REF_Model_Content!$E$1:$E$174,_REF_Model_Content!$A$1:$A$174,PV_Canonical_Industry,_REF_Model_Content!$B$1:$B$174,"Strategy GTM"),1)</f>
        <v>0</v>
      </c>
      <c r="AQ40">
        <f t="shared" si="14"/>
        <v>0</v>
      </c>
      <c r="AR40" t="str">
        <f t="shared" si="15"/>
        <v>Within target</v>
      </c>
      <c r="AS40">
        <f t="shared" si="16"/>
        <v>0</v>
      </c>
      <c r="AT40">
        <f t="shared" si="17"/>
        <v>0.9</v>
      </c>
      <c r="AU40">
        <f>'Assessment Questions'!AX40</f>
        <v>0</v>
      </c>
      <c r="AV40">
        <f t="shared" si="18"/>
        <v>0.9</v>
      </c>
      <c r="AW40" t="s">
        <v>949</v>
      </c>
      <c r="AX40" t="s">
        <v>949</v>
      </c>
      <c r="AY40">
        <v>21</v>
      </c>
      <c r="AZ40">
        <v>40</v>
      </c>
    </row>
    <row r="41" spans="1:52">
      <c r="A41" t="s">
        <v>1081</v>
      </c>
      <c r="B41" t="s">
        <v>976</v>
      </c>
      <c r="C41" t="s">
        <v>1082</v>
      </c>
      <c r="D41" t="s">
        <v>953</v>
      </c>
      <c r="E41" t="s">
        <v>954</v>
      </c>
      <c r="F41" t="s">
        <v>1083</v>
      </c>
      <c r="G41">
        <f>'Assessment Questions'!J41</f>
        <v>5</v>
      </c>
      <c r="H41">
        <f t="shared" si="0"/>
        <v>0</v>
      </c>
      <c r="I41">
        <f t="shared" si="1"/>
        <v>0</v>
      </c>
      <c r="J41">
        <f t="shared" si="2"/>
        <v>5</v>
      </c>
      <c r="K41">
        <f t="shared" si="3"/>
        <v>5</v>
      </c>
      <c r="L41" t="str">
        <f t="shared" si="4"/>
        <v>Critical</v>
      </c>
      <c r="M41" t="s">
        <v>833</v>
      </c>
      <c r="N41" t="s">
        <v>834</v>
      </c>
      <c r="O41" t="s">
        <v>835</v>
      </c>
      <c r="P41" t="s">
        <v>836</v>
      </c>
      <c r="Q41" t="s">
        <v>837</v>
      </c>
      <c r="R41" t="s">
        <v>838</v>
      </c>
      <c r="S41" t="s">
        <v>962</v>
      </c>
      <c r="T41">
        <f>'Assessment Questions'!W41</f>
        <v>0</v>
      </c>
      <c r="U41">
        <f>'Assessment Questions'!X41</f>
        <v>0</v>
      </c>
      <c r="V41" t="str">
        <f>'Assessment Questions'!Y41</f>
        <v>Use the recommended action generated by the model; validate with domain owner during real assessment.</v>
      </c>
      <c r="W41">
        <v>4</v>
      </c>
      <c r="X41">
        <v>5</v>
      </c>
      <c r="Y41">
        <v>5</v>
      </c>
      <c r="Z41">
        <f>'Assessment Questions'!AC41</f>
        <v>0</v>
      </c>
      <c r="AB41">
        <f t="shared" si="19"/>
        <v>0</v>
      </c>
      <c r="AC41">
        <f t="shared" si="20"/>
        <v>0</v>
      </c>
      <c r="AD41">
        <f t="shared" si="7"/>
        <v>0</v>
      </c>
      <c r="AE41">
        <f t="shared" si="21"/>
        <v>0</v>
      </c>
      <c r="AF41">
        <f t="shared" si="9"/>
        <v>5</v>
      </c>
      <c r="AG41">
        <f t="shared" si="22"/>
        <v>0</v>
      </c>
      <c r="AH41">
        <f>'Assessment Questions'!AK41</f>
        <v>0</v>
      </c>
      <c r="AI41">
        <f>'Assessment Questions'!AL41</f>
        <v>0</v>
      </c>
      <c r="AJ41">
        <f>IF(OR($H41="",$H41="N/A"),"",IF($AH41="",VLOOKUP('Company Profile'!$B$40,_CONFIG_Model_Settings!$A$5:$B$8,2,FALSE),IFERROR(VLOOKUP($AH41,_CONFIG_Model_Settings!$A$5:$B$8,2,FALSE),0.9)))</f>
        <v>0.9</v>
      </c>
      <c r="AK41">
        <f>IF(OR($H41="",$H41="N/A"),"",IF($AI41="",VLOOKUP('Company Profile'!$B$41,_CONFIG_Model_Settings!$A$5:$B$8,2,FALSE),IFERROR(VLOOKUP($AI41,_CONFIG_Model_Settings!$A$5:$B$8,2,FALSE),0.9)))</f>
        <v>0.9</v>
      </c>
      <c r="AL41">
        <f t="shared" si="11"/>
        <v>0</v>
      </c>
      <c r="AM41">
        <f t="shared" si="12"/>
        <v>0</v>
      </c>
      <c r="AN41">
        <f>IFERROR(MIN(5,MAX(0,(SUMIFS(_REF_Model_Content!$D$1:$D$174,_REF_Model_Content!$A$1:$A$174,PV_Canonical_Industry,_REF_Model_Content!$B$1:$B$174,"Strategy GTM"))+IFERROR(VLOOKUP('Company Profile'!$B$35,_CONFIG_Model_Settings!$A$11:$B$13,2,0),0))),"")</f>
        <v>0</v>
      </c>
      <c r="AO41">
        <f t="shared" si="13"/>
        <v>0</v>
      </c>
      <c r="AP41">
        <f>IFERROR(SUMIFS(_REF_Model_Content!$E$1:$E$174,_REF_Model_Content!$A$1:$A$174,PV_Canonical_Industry,_REF_Model_Content!$B$1:$B$174,"Strategy GTM"),1)</f>
        <v>0</v>
      </c>
      <c r="AQ41">
        <f t="shared" si="14"/>
        <v>0</v>
      </c>
      <c r="AR41" t="str">
        <f t="shared" si="15"/>
        <v>Within target</v>
      </c>
      <c r="AS41">
        <f t="shared" si="16"/>
        <v>0</v>
      </c>
      <c r="AT41">
        <f t="shared" si="17"/>
        <v>0.9</v>
      </c>
      <c r="AU41">
        <f>'Assessment Questions'!AX41</f>
        <v>0</v>
      </c>
      <c r="AV41">
        <f t="shared" si="18"/>
        <v>0.9</v>
      </c>
      <c r="AW41" t="s">
        <v>949</v>
      </c>
      <c r="AX41" t="s">
        <v>949</v>
      </c>
      <c r="AY41">
        <v>22</v>
      </c>
      <c r="AZ41">
        <v>41</v>
      </c>
    </row>
    <row r="42" spans="1:52">
      <c r="A42" t="s">
        <v>1084</v>
      </c>
      <c r="B42" t="s">
        <v>986</v>
      </c>
      <c r="C42" t="s">
        <v>1085</v>
      </c>
      <c r="D42" t="s">
        <v>953</v>
      </c>
      <c r="E42" t="s">
        <v>954</v>
      </c>
      <c r="F42" t="s">
        <v>1086</v>
      </c>
      <c r="G42">
        <f>'Assessment Questions'!J42</f>
        <v>5</v>
      </c>
      <c r="H42">
        <f t="shared" si="0"/>
        <v>0</v>
      </c>
      <c r="I42">
        <f t="shared" si="1"/>
        <v>0</v>
      </c>
      <c r="J42">
        <f t="shared" si="2"/>
        <v>5</v>
      </c>
      <c r="K42">
        <f t="shared" si="3"/>
        <v>5</v>
      </c>
      <c r="L42" t="str">
        <f t="shared" si="4"/>
        <v>Critical</v>
      </c>
      <c r="M42" t="s">
        <v>874</v>
      </c>
      <c r="N42" t="s">
        <v>875</v>
      </c>
      <c r="O42" t="s">
        <v>876</v>
      </c>
      <c r="P42" t="s">
        <v>877</v>
      </c>
      <c r="Q42" t="s">
        <v>878</v>
      </c>
      <c r="R42" t="s">
        <v>879</v>
      </c>
      <c r="S42" t="s">
        <v>962</v>
      </c>
      <c r="T42">
        <f>'Assessment Questions'!W42</f>
        <v>0</v>
      </c>
      <c r="U42">
        <f>'Assessment Questions'!X42</f>
        <v>0</v>
      </c>
      <c r="V42" t="str">
        <f>'Assessment Questions'!Y42</f>
        <v>Use the recommended action generated by the model; validate with domain owner during real assessment.</v>
      </c>
      <c r="W42">
        <v>4</v>
      </c>
      <c r="X42">
        <v>5</v>
      </c>
      <c r="Y42">
        <v>5</v>
      </c>
      <c r="Z42">
        <f>'Assessment Questions'!AC42</f>
        <v>0</v>
      </c>
      <c r="AB42">
        <f t="shared" si="19"/>
        <v>0</v>
      </c>
      <c r="AC42">
        <f t="shared" si="20"/>
        <v>0</v>
      </c>
      <c r="AD42">
        <f t="shared" si="7"/>
        <v>0</v>
      </c>
      <c r="AE42">
        <f t="shared" si="21"/>
        <v>0</v>
      </c>
      <c r="AF42">
        <f t="shared" si="9"/>
        <v>5</v>
      </c>
      <c r="AG42">
        <f t="shared" si="22"/>
        <v>0</v>
      </c>
      <c r="AH42">
        <f>'Assessment Questions'!AK42</f>
        <v>0</v>
      </c>
      <c r="AI42">
        <f>'Assessment Questions'!AL42</f>
        <v>0</v>
      </c>
      <c r="AJ42">
        <f>IF(OR($H42="",$H42="N/A"),"",IF($AH42="",VLOOKUP('Company Profile'!$B$40,_CONFIG_Model_Settings!$A$5:$B$8,2,FALSE),IFERROR(VLOOKUP($AH42,_CONFIG_Model_Settings!$A$5:$B$8,2,FALSE),0.9)))</f>
        <v>0.9</v>
      </c>
      <c r="AK42">
        <f>IF(OR($H42="",$H42="N/A"),"",IF($AI42="",VLOOKUP('Company Profile'!$B$41,_CONFIG_Model_Settings!$A$5:$B$8,2,FALSE),IFERROR(VLOOKUP($AI42,_CONFIG_Model_Settings!$A$5:$B$8,2,FALSE),0.9)))</f>
        <v>0.9</v>
      </c>
      <c r="AL42">
        <f t="shared" si="11"/>
        <v>0</v>
      </c>
      <c r="AM42">
        <f t="shared" si="12"/>
        <v>0</v>
      </c>
      <c r="AN42">
        <f>IFERROR(MIN(5,MAX(0,(SUMIFS(_REF_Model_Content!$D$1:$D$174,_REF_Model_Content!$A$1:$A$174,PV_Canonical_Industry,_REF_Model_Content!$B$1:$B$174,"Strategy GTM"))+IFERROR(VLOOKUP('Company Profile'!$B$35,_CONFIG_Model_Settings!$A$11:$B$13,2,0),0))),"")</f>
        <v>0</v>
      </c>
      <c r="AO42">
        <f t="shared" si="13"/>
        <v>0</v>
      </c>
      <c r="AP42">
        <f>IFERROR(SUMIFS(_REF_Model_Content!$E$1:$E$174,_REF_Model_Content!$A$1:$A$174,PV_Canonical_Industry,_REF_Model_Content!$B$1:$B$174,"Strategy GTM"),1)</f>
        <v>0</v>
      </c>
      <c r="AQ42">
        <f t="shared" si="14"/>
        <v>0</v>
      </c>
      <c r="AR42" t="str">
        <f t="shared" si="15"/>
        <v>Within target</v>
      </c>
      <c r="AS42">
        <f t="shared" si="16"/>
        <v>0</v>
      </c>
      <c r="AT42">
        <f t="shared" si="17"/>
        <v>0.9</v>
      </c>
      <c r="AU42">
        <f>'Assessment Questions'!AX42</f>
        <v>0</v>
      </c>
      <c r="AV42">
        <f t="shared" si="18"/>
        <v>0.9</v>
      </c>
      <c r="AW42" t="s">
        <v>949</v>
      </c>
      <c r="AX42" t="s">
        <v>949</v>
      </c>
      <c r="AY42">
        <v>23</v>
      </c>
      <c r="AZ42">
        <v>42</v>
      </c>
    </row>
    <row r="43" spans="1:52">
      <c r="A43" t="s">
        <v>1087</v>
      </c>
      <c r="B43" t="s">
        <v>986</v>
      </c>
      <c r="C43" t="s">
        <v>1088</v>
      </c>
      <c r="D43" t="s">
        <v>953</v>
      </c>
      <c r="E43" t="s">
        <v>954</v>
      </c>
      <c r="F43" t="s">
        <v>1089</v>
      </c>
      <c r="G43">
        <f>'Assessment Questions'!J43</f>
        <v>4</v>
      </c>
      <c r="H43">
        <f t="shared" si="0"/>
        <v>0</v>
      </c>
      <c r="I43">
        <f t="shared" si="1"/>
        <v>0</v>
      </c>
      <c r="J43">
        <f t="shared" si="2"/>
        <v>4</v>
      </c>
      <c r="K43">
        <f t="shared" si="3"/>
        <v>4</v>
      </c>
      <c r="L43" t="str">
        <f t="shared" si="4"/>
        <v>Critical</v>
      </c>
      <c r="M43" t="s">
        <v>1090</v>
      </c>
      <c r="N43" t="s">
        <v>1091</v>
      </c>
      <c r="O43" t="s">
        <v>1092</v>
      </c>
      <c r="P43" t="s">
        <v>1093</v>
      </c>
      <c r="Q43" t="s">
        <v>1094</v>
      </c>
      <c r="R43" t="s">
        <v>1095</v>
      </c>
      <c r="S43" t="s">
        <v>962</v>
      </c>
      <c r="T43">
        <f>'Assessment Questions'!W43</f>
        <v>0</v>
      </c>
      <c r="U43">
        <f>'Assessment Questions'!X43</f>
        <v>0</v>
      </c>
      <c r="V43" t="str">
        <f>'Assessment Questions'!Y43</f>
        <v>Use the recommended action generated by the model; validate with domain owner during real assessment.</v>
      </c>
      <c r="W43">
        <v>5</v>
      </c>
      <c r="X43">
        <v>5</v>
      </c>
      <c r="Y43">
        <v>5</v>
      </c>
      <c r="Z43">
        <f>'Assessment Questions'!AC43</f>
        <v>0</v>
      </c>
      <c r="AB43">
        <f t="shared" si="19"/>
        <v>0</v>
      </c>
      <c r="AC43">
        <f t="shared" si="20"/>
        <v>0</v>
      </c>
      <c r="AD43">
        <f t="shared" si="7"/>
        <v>0</v>
      </c>
      <c r="AE43">
        <f t="shared" si="21"/>
        <v>0</v>
      </c>
      <c r="AF43">
        <f t="shared" si="9"/>
        <v>5</v>
      </c>
      <c r="AG43">
        <f t="shared" si="22"/>
        <v>0</v>
      </c>
      <c r="AH43">
        <f>'Assessment Questions'!AK43</f>
        <v>0</v>
      </c>
      <c r="AI43">
        <f>'Assessment Questions'!AL43</f>
        <v>0</v>
      </c>
      <c r="AJ43">
        <f>IF(OR($H43="",$H43="N/A"),"",IF($AH43="",VLOOKUP('Company Profile'!$B$40,_CONFIG_Model_Settings!$A$5:$B$8,2,FALSE),IFERROR(VLOOKUP($AH43,_CONFIG_Model_Settings!$A$5:$B$8,2,FALSE),0.9)))</f>
        <v>0.9</v>
      </c>
      <c r="AK43">
        <f>IF(OR($H43="",$H43="N/A"),"",IF($AI43="",VLOOKUP('Company Profile'!$B$41,_CONFIG_Model_Settings!$A$5:$B$8,2,FALSE),IFERROR(VLOOKUP($AI43,_CONFIG_Model_Settings!$A$5:$B$8,2,FALSE),0.9)))</f>
        <v>0.9</v>
      </c>
      <c r="AL43">
        <f t="shared" si="11"/>
        <v>0</v>
      </c>
      <c r="AM43">
        <f t="shared" si="12"/>
        <v>0</v>
      </c>
      <c r="AN43">
        <f>IFERROR(MIN(5,MAX(0,(SUMIFS(_REF_Model_Content!$D$1:$D$174,_REF_Model_Content!$A$1:$A$174,PV_Canonical_Industry,_REF_Model_Content!$B$1:$B$174,"Strategy GTM"))+IFERROR(VLOOKUP('Company Profile'!$B$35,_CONFIG_Model_Settings!$A$11:$B$13,2,0),0))),"")</f>
        <v>0</v>
      </c>
      <c r="AO43">
        <f t="shared" si="13"/>
        <v>0</v>
      </c>
      <c r="AP43">
        <f>IFERROR(SUMIFS(_REF_Model_Content!$E$1:$E$174,_REF_Model_Content!$A$1:$A$174,PV_Canonical_Industry,_REF_Model_Content!$B$1:$B$174,"Strategy GTM"),1)</f>
        <v>0</v>
      </c>
      <c r="AQ43">
        <f t="shared" si="14"/>
        <v>0</v>
      </c>
      <c r="AR43" t="str">
        <f t="shared" si="15"/>
        <v>Within target</v>
      </c>
      <c r="AS43">
        <f t="shared" si="16"/>
        <v>0</v>
      </c>
      <c r="AT43">
        <f t="shared" si="17"/>
        <v>0.9</v>
      </c>
      <c r="AU43">
        <f>'Assessment Questions'!AX43</f>
        <v>0</v>
      </c>
      <c r="AV43">
        <f t="shared" si="18"/>
        <v>0.9</v>
      </c>
      <c r="AW43" t="s">
        <v>949</v>
      </c>
      <c r="AX43" t="s">
        <v>949</v>
      </c>
      <c r="AY43">
        <v>24</v>
      </c>
      <c r="AZ43">
        <v>43</v>
      </c>
    </row>
    <row r="44" spans="1:52">
      <c r="A44" t="s">
        <v>1096</v>
      </c>
      <c r="B44" t="s">
        <v>986</v>
      </c>
      <c r="C44" t="s">
        <v>1097</v>
      </c>
      <c r="D44" t="s">
        <v>953</v>
      </c>
      <c r="E44" t="s">
        <v>954</v>
      </c>
      <c r="F44" t="s">
        <v>1098</v>
      </c>
      <c r="G44">
        <f>'Assessment Questions'!J44</f>
        <v>4</v>
      </c>
      <c r="H44">
        <f t="shared" si="0"/>
        <v>0</v>
      </c>
      <c r="I44">
        <f t="shared" si="1"/>
        <v>0</v>
      </c>
      <c r="J44">
        <f t="shared" si="2"/>
        <v>4</v>
      </c>
      <c r="K44">
        <f t="shared" si="3"/>
        <v>4</v>
      </c>
      <c r="L44" t="str">
        <f t="shared" si="4"/>
        <v>Critical</v>
      </c>
      <c r="M44" t="s">
        <v>1099</v>
      </c>
      <c r="N44" t="s">
        <v>1100</v>
      </c>
      <c r="O44" t="s">
        <v>1101</v>
      </c>
      <c r="P44" t="s">
        <v>1102</v>
      </c>
      <c r="Q44" t="s">
        <v>1103</v>
      </c>
      <c r="R44" t="s">
        <v>1104</v>
      </c>
      <c r="S44" t="s">
        <v>962</v>
      </c>
      <c r="T44">
        <f>'Assessment Questions'!W44</f>
        <v>0</v>
      </c>
      <c r="U44">
        <f>'Assessment Questions'!X44</f>
        <v>0</v>
      </c>
      <c r="V44" t="str">
        <f>'Assessment Questions'!Y44</f>
        <v>Use the recommended action generated by the model; validate with domain owner during real assessment.</v>
      </c>
      <c r="W44">
        <v>4</v>
      </c>
      <c r="X44">
        <v>5</v>
      </c>
      <c r="Y44">
        <v>5</v>
      </c>
      <c r="Z44">
        <f>'Assessment Questions'!AC44</f>
        <v>0</v>
      </c>
      <c r="AB44">
        <f t="shared" si="19"/>
        <v>0</v>
      </c>
      <c r="AC44">
        <f t="shared" si="20"/>
        <v>0</v>
      </c>
      <c r="AD44">
        <f t="shared" si="7"/>
        <v>0</v>
      </c>
      <c r="AE44">
        <f t="shared" si="21"/>
        <v>0</v>
      </c>
      <c r="AF44">
        <f t="shared" si="9"/>
        <v>5</v>
      </c>
      <c r="AG44">
        <f t="shared" si="22"/>
        <v>0</v>
      </c>
      <c r="AH44">
        <f>'Assessment Questions'!AK44</f>
        <v>0</v>
      </c>
      <c r="AI44">
        <f>'Assessment Questions'!AL44</f>
        <v>0</v>
      </c>
      <c r="AJ44">
        <f>IF(OR($H44="",$H44="N/A"),"",IF($AH44="",VLOOKUP('Company Profile'!$B$40,_CONFIG_Model_Settings!$A$5:$B$8,2,FALSE),IFERROR(VLOOKUP($AH44,_CONFIG_Model_Settings!$A$5:$B$8,2,FALSE),0.9)))</f>
        <v>0.9</v>
      </c>
      <c r="AK44">
        <f>IF(OR($H44="",$H44="N/A"),"",IF($AI44="",VLOOKUP('Company Profile'!$B$41,_CONFIG_Model_Settings!$A$5:$B$8,2,FALSE),IFERROR(VLOOKUP($AI44,_CONFIG_Model_Settings!$A$5:$B$8,2,FALSE),0.9)))</f>
        <v>0.9</v>
      </c>
      <c r="AL44">
        <f t="shared" si="11"/>
        <v>0</v>
      </c>
      <c r="AM44">
        <f t="shared" si="12"/>
        <v>0</v>
      </c>
      <c r="AN44">
        <f>IFERROR(MIN(5,MAX(0,(SUMIFS(_REF_Model_Content!$D$1:$D$174,_REF_Model_Content!$A$1:$A$174,PV_Canonical_Industry,_REF_Model_Content!$B$1:$B$174,"Strategy GTM"))+IFERROR(VLOOKUP('Company Profile'!$B$35,_CONFIG_Model_Settings!$A$11:$B$13,2,0),0))),"")</f>
        <v>0</v>
      </c>
      <c r="AO44">
        <f t="shared" si="13"/>
        <v>0</v>
      </c>
      <c r="AP44">
        <f>IFERROR(SUMIFS(_REF_Model_Content!$E$1:$E$174,_REF_Model_Content!$A$1:$A$174,PV_Canonical_Industry,_REF_Model_Content!$B$1:$B$174,"Strategy GTM"),1)</f>
        <v>0</v>
      </c>
      <c r="AQ44">
        <f t="shared" si="14"/>
        <v>0</v>
      </c>
      <c r="AR44" t="str">
        <f t="shared" si="15"/>
        <v>Within target</v>
      </c>
      <c r="AS44">
        <f t="shared" si="16"/>
        <v>0</v>
      </c>
      <c r="AT44">
        <f t="shared" si="17"/>
        <v>0.9</v>
      </c>
      <c r="AU44">
        <f>'Assessment Questions'!AX44</f>
        <v>0</v>
      </c>
      <c r="AV44">
        <f t="shared" si="18"/>
        <v>0.9</v>
      </c>
      <c r="AW44" t="s">
        <v>949</v>
      </c>
      <c r="AX44" t="s">
        <v>949</v>
      </c>
      <c r="AY44">
        <v>25</v>
      </c>
      <c r="AZ44">
        <v>44</v>
      </c>
    </row>
    <row r="45" spans="1:52">
      <c r="A45" t="s">
        <v>1105</v>
      </c>
      <c r="B45" t="s">
        <v>986</v>
      </c>
      <c r="C45" t="s">
        <v>1106</v>
      </c>
      <c r="D45" t="s">
        <v>953</v>
      </c>
      <c r="E45" t="s">
        <v>954</v>
      </c>
      <c r="F45" t="s">
        <v>1107</v>
      </c>
      <c r="G45">
        <f>'Assessment Questions'!J45</f>
        <v>5</v>
      </c>
      <c r="H45">
        <f t="shared" si="0"/>
        <v>0</v>
      </c>
      <c r="I45">
        <f t="shared" si="1"/>
        <v>0</v>
      </c>
      <c r="J45">
        <f t="shared" si="2"/>
        <v>5</v>
      </c>
      <c r="K45">
        <f t="shared" si="3"/>
        <v>5</v>
      </c>
      <c r="L45" t="str">
        <f t="shared" si="4"/>
        <v>Critical</v>
      </c>
      <c r="M45" t="s">
        <v>833</v>
      </c>
      <c r="N45" t="s">
        <v>834</v>
      </c>
      <c r="O45" t="s">
        <v>835</v>
      </c>
      <c r="P45" t="s">
        <v>836</v>
      </c>
      <c r="Q45" t="s">
        <v>837</v>
      </c>
      <c r="R45" t="s">
        <v>838</v>
      </c>
      <c r="S45" t="s">
        <v>962</v>
      </c>
      <c r="T45">
        <f>'Assessment Questions'!W45</f>
        <v>0</v>
      </c>
      <c r="U45">
        <f>'Assessment Questions'!X45</f>
        <v>0</v>
      </c>
      <c r="V45" t="str">
        <f>'Assessment Questions'!Y45</f>
        <v>Use the recommended action generated by the model; validate with domain owner during real assessment.</v>
      </c>
      <c r="W45">
        <v>4</v>
      </c>
      <c r="X45">
        <v>5</v>
      </c>
      <c r="Y45">
        <v>5</v>
      </c>
      <c r="Z45">
        <f>'Assessment Questions'!AC45</f>
        <v>0</v>
      </c>
      <c r="AB45">
        <f t="shared" si="19"/>
        <v>0</v>
      </c>
      <c r="AC45">
        <f t="shared" si="20"/>
        <v>0</v>
      </c>
      <c r="AD45">
        <f t="shared" si="7"/>
        <v>0</v>
      </c>
      <c r="AE45">
        <f t="shared" si="21"/>
        <v>0</v>
      </c>
      <c r="AF45">
        <f t="shared" si="9"/>
        <v>5</v>
      </c>
      <c r="AG45">
        <f t="shared" si="22"/>
        <v>0</v>
      </c>
      <c r="AH45">
        <f>'Assessment Questions'!AK45</f>
        <v>0</v>
      </c>
      <c r="AI45">
        <f>'Assessment Questions'!AL45</f>
        <v>0</v>
      </c>
      <c r="AJ45">
        <f>IF(OR($H45="",$H45="N/A"),"",IF($AH45="",VLOOKUP('Company Profile'!$B$40,_CONFIG_Model_Settings!$A$5:$B$8,2,FALSE),IFERROR(VLOOKUP($AH45,_CONFIG_Model_Settings!$A$5:$B$8,2,FALSE),0.9)))</f>
        <v>0.9</v>
      </c>
      <c r="AK45">
        <f>IF(OR($H45="",$H45="N/A"),"",IF($AI45="",VLOOKUP('Company Profile'!$B$41,_CONFIG_Model_Settings!$A$5:$B$8,2,FALSE),IFERROR(VLOOKUP($AI45,_CONFIG_Model_Settings!$A$5:$B$8,2,FALSE),0.9)))</f>
        <v>0.9</v>
      </c>
      <c r="AL45">
        <f t="shared" si="11"/>
        <v>0</v>
      </c>
      <c r="AM45">
        <f t="shared" si="12"/>
        <v>0</v>
      </c>
      <c r="AN45">
        <f>IFERROR(MIN(5,MAX(0,(SUMIFS(_REF_Model_Content!$D$1:$D$174,_REF_Model_Content!$A$1:$A$174,PV_Canonical_Industry,_REF_Model_Content!$B$1:$B$174,"Strategy GTM"))+IFERROR(VLOOKUP('Company Profile'!$B$35,_CONFIG_Model_Settings!$A$11:$B$13,2,0),0))),"")</f>
        <v>0</v>
      </c>
      <c r="AO45">
        <f t="shared" si="13"/>
        <v>0</v>
      </c>
      <c r="AP45">
        <f>IFERROR(SUMIFS(_REF_Model_Content!$E$1:$E$174,_REF_Model_Content!$A$1:$A$174,PV_Canonical_Industry,_REF_Model_Content!$B$1:$B$174,"Strategy GTM"),1)</f>
        <v>0</v>
      </c>
      <c r="AQ45">
        <f t="shared" si="14"/>
        <v>0</v>
      </c>
      <c r="AR45" t="str">
        <f t="shared" si="15"/>
        <v>Within target</v>
      </c>
      <c r="AS45">
        <f t="shared" si="16"/>
        <v>0</v>
      </c>
      <c r="AT45">
        <f t="shared" si="17"/>
        <v>0.9</v>
      </c>
      <c r="AU45">
        <f>'Assessment Questions'!AX45</f>
        <v>0</v>
      </c>
      <c r="AV45">
        <f t="shared" si="18"/>
        <v>0.9</v>
      </c>
      <c r="AW45" t="s">
        <v>949</v>
      </c>
      <c r="AX45" t="s">
        <v>949</v>
      </c>
      <c r="AY45">
        <v>26</v>
      </c>
      <c r="AZ45">
        <v>45</v>
      </c>
    </row>
    <row r="46" spans="1:52">
      <c r="A46" t="s">
        <v>1108</v>
      </c>
      <c r="B46" t="s">
        <v>986</v>
      </c>
      <c r="C46" t="s">
        <v>1109</v>
      </c>
      <c r="D46" t="s">
        <v>953</v>
      </c>
      <c r="E46" t="s">
        <v>954</v>
      </c>
      <c r="F46" t="s">
        <v>1110</v>
      </c>
      <c r="G46">
        <f>'Assessment Questions'!J46</f>
        <v>4</v>
      </c>
      <c r="H46">
        <f t="shared" si="0"/>
        <v>0</v>
      </c>
      <c r="I46">
        <f t="shared" si="1"/>
        <v>0</v>
      </c>
      <c r="J46">
        <f t="shared" si="2"/>
        <v>4</v>
      </c>
      <c r="K46">
        <f t="shared" si="3"/>
        <v>4</v>
      </c>
      <c r="L46" t="str">
        <f t="shared" si="4"/>
        <v>Critical</v>
      </c>
      <c r="M46" t="s">
        <v>1111</v>
      </c>
      <c r="N46" t="s">
        <v>1112</v>
      </c>
      <c r="O46" t="s">
        <v>1113</v>
      </c>
      <c r="P46" t="s">
        <v>1114</v>
      </c>
      <c r="Q46" t="s">
        <v>1115</v>
      </c>
      <c r="R46" t="s">
        <v>1116</v>
      </c>
      <c r="S46" t="s">
        <v>962</v>
      </c>
      <c r="T46">
        <f>'Assessment Questions'!W46</f>
        <v>0</v>
      </c>
      <c r="U46">
        <f>'Assessment Questions'!X46</f>
        <v>0</v>
      </c>
      <c r="V46" t="str">
        <f>'Assessment Questions'!Y46</f>
        <v>Use the recommended action generated by the model; validate with domain owner during real assessment.</v>
      </c>
      <c r="W46">
        <v>4</v>
      </c>
      <c r="X46">
        <v>5</v>
      </c>
      <c r="Y46">
        <v>5</v>
      </c>
      <c r="Z46">
        <f>'Assessment Questions'!AC46</f>
        <v>0</v>
      </c>
      <c r="AB46">
        <f t="shared" si="19"/>
        <v>0</v>
      </c>
      <c r="AC46">
        <f t="shared" si="20"/>
        <v>0</v>
      </c>
      <c r="AD46">
        <f t="shared" si="7"/>
        <v>0</v>
      </c>
      <c r="AE46">
        <f t="shared" si="21"/>
        <v>0</v>
      </c>
      <c r="AF46">
        <f t="shared" si="9"/>
        <v>5</v>
      </c>
      <c r="AG46">
        <f t="shared" si="22"/>
        <v>0</v>
      </c>
      <c r="AH46">
        <f>'Assessment Questions'!AK46</f>
        <v>0</v>
      </c>
      <c r="AI46">
        <f>'Assessment Questions'!AL46</f>
        <v>0</v>
      </c>
      <c r="AJ46">
        <f>IF(OR($H46="",$H46="N/A"),"",IF($AH46="",VLOOKUP('Company Profile'!$B$40,_CONFIG_Model_Settings!$A$5:$B$8,2,FALSE),IFERROR(VLOOKUP($AH46,_CONFIG_Model_Settings!$A$5:$B$8,2,FALSE),0.9)))</f>
        <v>0.9</v>
      </c>
      <c r="AK46">
        <f>IF(OR($H46="",$H46="N/A"),"",IF($AI46="",VLOOKUP('Company Profile'!$B$41,_CONFIG_Model_Settings!$A$5:$B$8,2,FALSE),IFERROR(VLOOKUP($AI46,_CONFIG_Model_Settings!$A$5:$B$8,2,FALSE),0.9)))</f>
        <v>0.9</v>
      </c>
      <c r="AL46">
        <f t="shared" si="11"/>
        <v>0</v>
      </c>
      <c r="AM46">
        <f t="shared" si="12"/>
        <v>0</v>
      </c>
      <c r="AN46">
        <f>IFERROR(MIN(5,MAX(0,(SUMIFS(_REF_Model_Content!$D$1:$D$174,_REF_Model_Content!$A$1:$A$174,PV_Canonical_Industry,_REF_Model_Content!$B$1:$B$174,"Strategy GTM"))+IFERROR(VLOOKUP('Company Profile'!$B$35,_CONFIG_Model_Settings!$A$11:$B$13,2,0),0))),"")</f>
        <v>0</v>
      </c>
      <c r="AO46">
        <f t="shared" si="13"/>
        <v>0</v>
      </c>
      <c r="AP46">
        <f>IFERROR(SUMIFS(_REF_Model_Content!$E$1:$E$174,_REF_Model_Content!$A$1:$A$174,PV_Canonical_Industry,_REF_Model_Content!$B$1:$B$174,"Strategy GTM"),1)</f>
        <v>0</v>
      </c>
      <c r="AQ46">
        <f t="shared" si="14"/>
        <v>0</v>
      </c>
      <c r="AR46" t="str">
        <f t="shared" si="15"/>
        <v>Within target</v>
      </c>
      <c r="AS46">
        <f t="shared" si="16"/>
        <v>0</v>
      </c>
      <c r="AT46">
        <f t="shared" si="17"/>
        <v>0.9</v>
      </c>
      <c r="AU46">
        <f>'Assessment Questions'!AX46</f>
        <v>0</v>
      </c>
      <c r="AV46">
        <f t="shared" si="18"/>
        <v>0.9</v>
      </c>
      <c r="AW46" t="s">
        <v>949</v>
      </c>
      <c r="AX46" t="s">
        <v>949</v>
      </c>
      <c r="AY46">
        <v>27</v>
      </c>
      <c r="AZ46">
        <v>46</v>
      </c>
    </row>
    <row r="47" spans="1:52">
      <c r="A47" t="s">
        <v>1117</v>
      </c>
      <c r="B47" t="s">
        <v>990</v>
      </c>
      <c r="C47" t="s">
        <v>1118</v>
      </c>
      <c r="D47" t="s">
        <v>1119</v>
      </c>
      <c r="E47" t="s">
        <v>1120</v>
      </c>
      <c r="F47" t="s">
        <v>955</v>
      </c>
      <c r="G47">
        <f>'Assessment Questions'!J47</f>
        <v>4</v>
      </c>
      <c r="H47">
        <f t="shared" si="0"/>
        <v>0</v>
      </c>
      <c r="I47">
        <f t="shared" si="1"/>
        <v>0</v>
      </c>
      <c r="J47">
        <f t="shared" si="2"/>
        <v>4</v>
      </c>
      <c r="K47">
        <f t="shared" si="3"/>
        <v>4</v>
      </c>
      <c r="L47" t="str">
        <f t="shared" si="4"/>
        <v>Critical</v>
      </c>
      <c r="M47" t="s">
        <v>1121</v>
      </c>
      <c r="N47" t="s">
        <v>1122</v>
      </c>
      <c r="O47" t="s">
        <v>1123</v>
      </c>
      <c r="P47" t="s">
        <v>1124</v>
      </c>
      <c r="Q47" t="s">
        <v>1125</v>
      </c>
      <c r="R47" t="s">
        <v>1126</v>
      </c>
      <c r="S47" t="s">
        <v>1127</v>
      </c>
      <c r="T47">
        <f>'Assessment Questions'!W47</f>
        <v>0</v>
      </c>
      <c r="U47">
        <f>'Assessment Questions'!X47</f>
        <v>0</v>
      </c>
      <c r="V47" t="str">
        <f>'Assessment Questions'!Y47</f>
        <v>Use the recommended action generated by the model; validate with domain owner during real assessment.</v>
      </c>
      <c r="W47">
        <v>3</v>
      </c>
      <c r="X47">
        <v>4</v>
      </c>
      <c r="Y47">
        <v>4</v>
      </c>
      <c r="Z47">
        <f>'Assessment Questions'!AC47</f>
        <v>0</v>
      </c>
      <c r="AB47">
        <f t="shared" si="19"/>
        <v>0</v>
      </c>
      <c r="AC47">
        <f t="shared" si="20"/>
        <v>0</v>
      </c>
      <c r="AD47">
        <f t="shared" si="7"/>
        <v>0</v>
      </c>
      <c r="AE47">
        <f t="shared" si="21"/>
        <v>0</v>
      </c>
      <c r="AF47">
        <f t="shared" si="9"/>
        <v>5</v>
      </c>
      <c r="AG47">
        <f t="shared" si="22"/>
        <v>0</v>
      </c>
      <c r="AH47">
        <f>'Assessment Questions'!AK47</f>
        <v>0</v>
      </c>
      <c r="AI47">
        <f>'Assessment Questions'!AL47</f>
        <v>0</v>
      </c>
      <c r="AJ47">
        <f>IF(OR($H47="",$H47="N/A"),"",IF($AH47="",VLOOKUP('Company Profile'!$B$40,_CONFIG_Model_Settings!$A$5:$B$8,2,FALSE),IFERROR(VLOOKUP($AH47,_CONFIG_Model_Settings!$A$5:$B$8,2,FALSE),0.9)))</f>
        <v>0.9</v>
      </c>
      <c r="AK47">
        <f>IF(OR($H47="",$H47="N/A"),"",IF($AI47="",VLOOKUP('Company Profile'!$B$41,_CONFIG_Model_Settings!$A$5:$B$8,2,FALSE),IFERROR(VLOOKUP($AI47,_CONFIG_Model_Settings!$A$5:$B$8,2,FALSE),0.9)))</f>
        <v>0.9</v>
      </c>
      <c r="AL47">
        <f t="shared" si="11"/>
        <v>0</v>
      </c>
      <c r="AM47">
        <f t="shared" si="12"/>
        <v>0</v>
      </c>
      <c r="AN47">
        <f>IFERROR(MIN(5,MAX(0,(SUMIFS(_REF_Model_Content!$D$1:$D$174,_REF_Model_Content!$A$1:$A$174,PV_Canonical_Industry,_REF_Model_Content!$B$1:$B$174,"Strategy GTM"))+IFERROR(VLOOKUP('Company Profile'!$B$35,_CONFIG_Model_Settings!$A$11:$B$13,2,0),0))),"")</f>
        <v>0</v>
      </c>
      <c r="AO47">
        <f t="shared" si="13"/>
        <v>0</v>
      </c>
      <c r="AP47">
        <f>IFERROR(SUMIFS(_REF_Model_Content!$E$1:$E$174,_REF_Model_Content!$A$1:$A$174,PV_Canonical_Industry,_REF_Model_Content!$B$1:$B$174,"Strategy GTM"),1)</f>
        <v>0</v>
      </c>
      <c r="AQ47">
        <f t="shared" si="14"/>
        <v>0</v>
      </c>
      <c r="AR47" t="str">
        <f t="shared" si="15"/>
        <v>Within target</v>
      </c>
      <c r="AS47">
        <f t="shared" si="16"/>
        <v>0</v>
      </c>
      <c r="AT47">
        <f t="shared" si="17"/>
        <v>0.9</v>
      </c>
      <c r="AU47">
        <f>'Assessment Questions'!AX47</f>
        <v>0</v>
      </c>
      <c r="AV47">
        <f t="shared" si="18"/>
        <v>0.9</v>
      </c>
      <c r="AW47" t="s">
        <v>949</v>
      </c>
      <c r="AX47" t="s">
        <v>949</v>
      </c>
      <c r="AY47">
        <v>28</v>
      </c>
      <c r="AZ47">
        <v>47</v>
      </c>
    </row>
    <row r="48" spans="1:52">
      <c r="A48" t="s">
        <v>1128</v>
      </c>
      <c r="B48" t="s">
        <v>990</v>
      </c>
      <c r="C48" t="s">
        <v>1129</v>
      </c>
      <c r="D48" t="s">
        <v>1130</v>
      </c>
      <c r="E48" t="s">
        <v>1131</v>
      </c>
      <c r="F48" t="s">
        <v>955</v>
      </c>
      <c r="G48">
        <f>'Assessment Questions'!J48</f>
        <v>3</v>
      </c>
      <c r="H48">
        <f t="shared" si="0"/>
        <v>0</v>
      </c>
      <c r="I48">
        <f t="shared" si="1"/>
        <v>0</v>
      </c>
      <c r="J48">
        <f t="shared" si="2"/>
        <v>3</v>
      </c>
      <c r="K48">
        <f t="shared" si="3"/>
        <v>3</v>
      </c>
      <c r="L48" t="str">
        <f t="shared" si="4"/>
        <v>Critical</v>
      </c>
      <c r="M48" t="s">
        <v>1132</v>
      </c>
      <c r="N48" t="s">
        <v>1133</v>
      </c>
      <c r="O48" t="s">
        <v>1134</v>
      </c>
      <c r="P48" t="s">
        <v>1135</v>
      </c>
      <c r="Q48" t="s">
        <v>1136</v>
      </c>
      <c r="R48" t="s">
        <v>1137</v>
      </c>
      <c r="S48" t="s">
        <v>1138</v>
      </c>
      <c r="T48">
        <f>'Assessment Questions'!W48</f>
        <v>0</v>
      </c>
      <c r="U48">
        <f>'Assessment Questions'!X48</f>
        <v>0</v>
      </c>
      <c r="V48" t="str">
        <f>'Assessment Questions'!Y48</f>
        <v>Use the recommended action generated by the model; validate with domain owner during real assessment.</v>
      </c>
      <c r="W48">
        <v>2</v>
      </c>
      <c r="X48">
        <v>4</v>
      </c>
      <c r="Y48">
        <v>3</v>
      </c>
      <c r="Z48">
        <f>'Assessment Questions'!AC48</f>
        <v>0</v>
      </c>
      <c r="AB48">
        <f t="shared" si="19"/>
        <v>0</v>
      </c>
      <c r="AC48">
        <f t="shared" si="20"/>
        <v>0</v>
      </c>
      <c r="AD48">
        <f t="shared" si="7"/>
        <v>0</v>
      </c>
      <c r="AE48">
        <f t="shared" si="21"/>
        <v>0</v>
      </c>
      <c r="AF48">
        <f t="shared" si="9"/>
        <v>5</v>
      </c>
      <c r="AG48">
        <f t="shared" si="22"/>
        <v>0</v>
      </c>
      <c r="AH48">
        <f>'Assessment Questions'!AK48</f>
        <v>0</v>
      </c>
      <c r="AI48">
        <f>'Assessment Questions'!AL48</f>
        <v>0</v>
      </c>
      <c r="AJ48">
        <f>IF(OR($H48="",$H48="N/A"),"",IF($AH48="",VLOOKUP('Company Profile'!$B$40,_CONFIG_Model_Settings!$A$5:$B$8,2,FALSE),IFERROR(VLOOKUP($AH48,_CONFIG_Model_Settings!$A$5:$B$8,2,FALSE),0.9)))</f>
        <v>0.9</v>
      </c>
      <c r="AK48">
        <f>IF(OR($H48="",$H48="N/A"),"",IF($AI48="",VLOOKUP('Company Profile'!$B$41,_CONFIG_Model_Settings!$A$5:$B$8,2,FALSE),IFERROR(VLOOKUP($AI48,_CONFIG_Model_Settings!$A$5:$B$8,2,FALSE),0.9)))</f>
        <v>0.9</v>
      </c>
      <c r="AL48">
        <f t="shared" si="11"/>
        <v>0</v>
      </c>
      <c r="AM48">
        <f t="shared" si="12"/>
        <v>0</v>
      </c>
      <c r="AN48">
        <f>IFERROR(MIN(5,MAX(0,(SUMIFS(_REF_Model_Content!$D$1:$D$174,_REF_Model_Content!$A$1:$A$174,PV_Canonical_Industry,_REF_Model_Content!$B$1:$B$174,"Strategy GTM"))+IFERROR(VLOOKUP('Company Profile'!$B$35,_CONFIG_Model_Settings!$A$11:$B$13,2,0),0))),"")</f>
        <v>0</v>
      </c>
      <c r="AO48">
        <f t="shared" si="13"/>
        <v>0</v>
      </c>
      <c r="AP48">
        <f>IFERROR(SUMIFS(_REF_Model_Content!$E$1:$E$174,_REF_Model_Content!$A$1:$A$174,PV_Canonical_Industry,_REF_Model_Content!$B$1:$B$174,"Strategy GTM"),1)</f>
        <v>0</v>
      </c>
      <c r="AQ48">
        <f t="shared" si="14"/>
        <v>0</v>
      </c>
      <c r="AR48" t="str">
        <f t="shared" si="15"/>
        <v>Within target</v>
      </c>
      <c r="AS48">
        <f t="shared" si="16"/>
        <v>0</v>
      </c>
      <c r="AT48">
        <f t="shared" si="17"/>
        <v>0.9</v>
      </c>
      <c r="AU48">
        <f>'Assessment Questions'!AX48</f>
        <v>0</v>
      </c>
      <c r="AV48">
        <f t="shared" si="18"/>
        <v>0.9</v>
      </c>
      <c r="AW48" t="s">
        <v>949</v>
      </c>
      <c r="AX48" t="s">
        <v>949</v>
      </c>
      <c r="AY48">
        <v>29</v>
      </c>
      <c r="AZ48">
        <v>48</v>
      </c>
    </row>
    <row r="49" spans="1:52">
      <c r="A49" t="s">
        <v>1139</v>
      </c>
      <c r="B49" t="s">
        <v>990</v>
      </c>
      <c r="C49" t="s">
        <v>1140</v>
      </c>
      <c r="D49" t="s">
        <v>1141</v>
      </c>
      <c r="E49" t="s">
        <v>1142</v>
      </c>
      <c r="F49" t="s">
        <v>955</v>
      </c>
      <c r="G49">
        <f>'Assessment Questions'!J49</f>
        <v>4</v>
      </c>
      <c r="H49">
        <f t="shared" si="0"/>
        <v>0</v>
      </c>
      <c r="I49">
        <f t="shared" si="1"/>
        <v>0</v>
      </c>
      <c r="J49">
        <f t="shared" si="2"/>
        <v>4</v>
      </c>
      <c r="K49">
        <f t="shared" si="3"/>
        <v>4</v>
      </c>
      <c r="L49" t="str">
        <f t="shared" si="4"/>
        <v>Critical</v>
      </c>
      <c r="M49" t="s">
        <v>1143</v>
      </c>
      <c r="N49" t="s">
        <v>1144</v>
      </c>
      <c r="O49" t="s">
        <v>1145</v>
      </c>
      <c r="P49" t="s">
        <v>1146</v>
      </c>
      <c r="Q49" t="s">
        <v>1147</v>
      </c>
      <c r="R49" t="s">
        <v>1148</v>
      </c>
      <c r="S49" t="s">
        <v>1149</v>
      </c>
      <c r="T49">
        <f>'Assessment Questions'!W49</f>
        <v>0</v>
      </c>
      <c r="U49">
        <f>'Assessment Questions'!X49</f>
        <v>0</v>
      </c>
      <c r="V49" t="str">
        <f>'Assessment Questions'!Y49</f>
        <v>Use the recommended action generated by the model; validate with domain owner during real assessment.</v>
      </c>
      <c r="W49">
        <v>2</v>
      </c>
      <c r="X49">
        <v>4</v>
      </c>
      <c r="Y49">
        <v>4</v>
      </c>
      <c r="Z49">
        <f>'Assessment Questions'!AC49</f>
        <v>0</v>
      </c>
      <c r="AB49">
        <f t="shared" si="19"/>
        <v>0</v>
      </c>
      <c r="AC49">
        <f t="shared" si="20"/>
        <v>0</v>
      </c>
      <c r="AD49">
        <f t="shared" si="7"/>
        <v>0</v>
      </c>
      <c r="AE49">
        <f t="shared" si="21"/>
        <v>0</v>
      </c>
      <c r="AF49">
        <f t="shared" si="9"/>
        <v>5</v>
      </c>
      <c r="AG49">
        <f t="shared" si="22"/>
        <v>0</v>
      </c>
      <c r="AH49">
        <f>'Assessment Questions'!AK49</f>
        <v>0</v>
      </c>
      <c r="AI49">
        <f>'Assessment Questions'!AL49</f>
        <v>0</v>
      </c>
      <c r="AJ49">
        <f>IF(OR($H49="",$H49="N/A"),"",IF($AH49="",VLOOKUP('Company Profile'!$B$40,_CONFIG_Model_Settings!$A$5:$B$8,2,FALSE),IFERROR(VLOOKUP($AH49,_CONFIG_Model_Settings!$A$5:$B$8,2,FALSE),0.9)))</f>
        <v>0.9</v>
      </c>
      <c r="AK49">
        <f>IF(OR($H49="",$H49="N/A"),"",IF($AI49="",VLOOKUP('Company Profile'!$B$41,_CONFIG_Model_Settings!$A$5:$B$8,2,FALSE),IFERROR(VLOOKUP($AI49,_CONFIG_Model_Settings!$A$5:$B$8,2,FALSE),0.9)))</f>
        <v>0.9</v>
      </c>
      <c r="AL49">
        <f t="shared" si="11"/>
        <v>0</v>
      </c>
      <c r="AM49">
        <f t="shared" si="12"/>
        <v>0</v>
      </c>
      <c r="AN49">
        <f>IFERROR(MIN(5,MAX(0,(SUMIFS(_REF_Model_Content!$D$1:$D$174,_REF_Model_Content!$A$1:$A$174,PV_Canonical_Industry,_REF_Model_Content!$B$1:$B$174,"Strategy GTM"))+IFERROR(VLOOKUP('Company Profile'!$B$35,_CONFIG_Model_Settings!$A$11:$B$13,2,0),0))),"")</f>
        <v>0</v>
      </c>
      <c r="AO49">
        <f t="shared" si="13"/>
        <v>0</v>
      </c>
      <c r="AP49">
        <f>IFERROR(SUMIFS(_REF_Model_Content!$E$1:$E$174,_REF_Model_Content!$A$1:$A$174,PV_Canonical_Industry,_REF_Model_Content!$B$1:$B$174,"Strategy GTM"),1)</f>
        <v>0</v>
      </c>
      <c r="AQ49">
        <f t="shared" si="14"/>
        <v>0</v>
      </c>
      <c r="AR49" t="str">
        <f t="shared" si="15"/>
        <v>Within target</v>
      </c>
      <c r="AS49">
        <f t="shared" si="16"/>
        <v>0</v>
      </c>
      <c r="AT49">
        <f t="shared" si="17"/>
        <v>0.9</v>
      </c>
      <c r="AU49">
        <f>'Assessment Questions'!AX49</f>
        <v>0</v>
      </c>
      <c r="AV49">
        <f t="shared" si="18"/>
        <v>0.9</v>
      </c>
      <c r="AW49" t="s">
        <v>949</v>
      </c>
      <c r="AX49" t="s">
        <v>949</v>
      </c>
      <c r="AY49">
        <v>30</v>
      </c>
      <c r="AZ49">
        <v>49</v>
      </c>
    </row>
    <row r="50" spans="1:52">
      <c r="A50" t="s">
        <v>1151</v>
      </c>
      <c r="B50" t="s">
        <v>1152</v>
      </c>
      <c r="C50" t="s">
        <v>1153</v>
      </c>
      <c r="D50" t="s">
        <v>1154</v>
      </c>
      <c r="E50" t="s">
        <v>1155</v>
      </c>
      <c r="F50" t="s">
        <v>1156</v>
      </c>
      <c r="G50">
        <f>'Assessment Questions'!J50</f>
        <v>5</v>
      </c>
      <c r="H50">
        <f t="shared" si="0"/>
        <v>0</v>
      </c>
      <c r="I50">
        <f t="shared" si="1"/>
        <v>0</v>
      </c>
      <c r="J50">
        <f t="shared" si="2"/>
        <v>5</v>
      </c>
      <c r="K50">
        <f t="shared" si="3"/>
        <v>5</v>
      </c>
      <c r="L50" t="str">
        <f t="shared" si="4"/>
        <v>Critical</v>
      </c>
      <c r="M50" t="s">
        <v>833</v>
      </c>
      <c r="N50" t="s">
        <v>834</v>
      </c>
      <c r="O50" t="s">
        <v>835</v>
      </c>
      <c r="P50" t="s">
        <v>836</v>
      </c>
      <c r="Q50" t="s">
        <v>837</v>
      </c>
      <c r="R50" t="s">
        <v>838</v>
      </c>
      <c r="S50" t="s">
        <v>1157</v>
      </c>
      <c r="T50">
        <f>'Assessment Questions'!W50</f>
        <v>0</v>
      </c>
      <c r="U50">
        <f>'Assessment Questions'!X50</f>
        <v>0</v>
      </c>
      <c r="V50" t="str">
        <f>'Assessment Questions'!Y50</f>
        <v>Use the recommended action generated by the model; validate with domain owner during real assessment.</v>
      </c>
      <c r="W50">
        <v>4</v>
      </c>
      <c r="X50">
        <v>5</v>
      </c>
      <c r="Y50">
        <v>5</v>
      </c>
      <c r="Z50">
        <f>'Assessment Questions'!AC50</f>
        <v>0</v>
      </c>
      <c r="AA50" t="s">
        <v>1152</v>
      </c>
      <c r="AB50">
        <f t="shared" ref="AB50:AB71" si="23">COUNTIF($B$50:$B$71,$AA50)</f>
        <v>7</v>
      </c>
      <c r="AC50">
        <f t="shared" ref="AC50:AC71" si="24">IFERROR(SUMPRODUCT(($B$50:$B$71=$AA50)*($H$50:$H$71&lt;&gt;"")*($H$50:$H$71&lt;&gt;"N/A")*IFERROR(VALUE($H$50:$H$71),0))/SUMPRODUCT(($B$50:$B$71=$AA50)*($H$50:$H$71&lt;&gt;"")*($H$50:$H$71&lt;&gt;"N/A")),0)</f>
        <v>0</v>
      </c>
      <c r="AD50">
        <f t="shared" si="7"/>
        <v>0</v>
      </c>
      <c r="AE50">
        <f t="shared" ref="AE50:AE71" si="25">COUNTIFS($B$50:$B$71,$AA50,$L$50:$L$71,"Critical")+COUNTIFS($B$50:$B$71,$AA50,$L$50:$L$71,"High")</f>
        <v>7</v>
      </c>
      <c r="AF50">
        <f t="shared" si="9"/>
        <v>5</v>
      </c>
      <c r="AG50">
        <f t="shared" ref="AG50:AG71" si="26">SUMPRODUCT(($B$50:$B$71=$AA50)*(ISNUMBER($H$50:$H$71)+($H$50:$H$71="N/A")))</f>
        <v>7</v>
      </c>
      <c r="AH50">
        <f>'Assessment Questions'!AK50</f>
        <v>0</v>
      </c>
      <c r="AI50">
        <f>'Assessment Questions'!AL50</f>
        <v>0</v>
      </c>
      <c r="AJ50">
        <f>IF(OR($H50="",$H50="N/A"),"",IF($AH50="",VLOOKUP('Company Profile'!$B$40,_CONFIG_Model_Settings!$A$5:$B$8,2,FALSE),IFERROR(VLOOKUP($AH50,_CONFIG_Model_Settings!$A$5:$B$8,2,FALSE),0.9)))</f>
        <v>0.9</v>
      </c>
      <c r="AK50">
        <f>IF(OR($H50="",$H50="N/A"),"",IF($AI50="",VLOOKUP('Company Profile'!$B$41,_CONFIG_Model_Settings!$A$5:$B$8,2,FALSE),IFERROR(VLOOKUP($AI50,_CONFIG_Model_Settings!$A$5:$B$8,2,FALSE),0.9)))</f>
        <v>0.9</v>
      </c>
      <c r="AL50">
        <f t="shared" si="11"/>
        <v>0</v>
      </c>
      <c r="AM50">
        <f t="shared" si="12"/>
        <v>0</v>
      </c>
      <c r="AN50">
        <f>IFERROR(MIN(5,MAX(0,(SUMIFS(_REF_Model_Content!$D$1:$D$174,_REF_Model_Content!$A$1:$A$174,PV_Canonical_Industry,_REF_Model_Content!$B$1:$B$174,"Governance Crisis"))+IFERROR(VLOOKUP('Company Profile'!$B$35,_CONFIG_Model_Settings!$A$11:$B$13,2,0),0))),"")</f>
        <v>0</v>
      </c>
      <c r="AO50">
        <f t="shared" si="13"/>
        <v>0</v>
      </c>
      <c r="AP50">
        <f>IFERROR(SUMIFS(_REF_Model_Content!$E$1:$E$174,_REF_Model_Content!$A$1:$A$174,PV_Canonical_Industry,_REF_Model_Content!$B$1:$B$174,"Governance Crisis"),1)</f>
        <v>0</v>
      </c>
      <c r="AQ50">
        <f t="shared" si="14"/>
        <v>0</v>
      </c>
      <c r="AR50" t="str">
        <f t="shared" si="15"/>
        <v>Within target</v>
      </c>
      <c r="AS50">
        <f t="shared" si="16"/>
        <v>0</v>
      </c>
      <c r="AT50">
        <f t="shared" si="17"/>
        <v>0.9</v>
      </c>
      <c r="AU50">
        <f>'Assessment Questions'!AX50</f>
        <v>0</v>
      </c>
      <c r="AV50">
        <f t="shared" si="18"/>
        <v>0.9</v>
      </c>
      <c r="AW50" t="s">
        <v>1150</v>
      </c>
      <c r="AX50" t="s">
        <v>1150</v>
      </c>
      <c r="AY50">
        <v>5</v>
      </c>
      <c r="AZ50">
        <v>50</v>
      </c>
    </row>
    <row r="51" spans="1:52">
      <c r="A51" t="s">
        <v>1158</v>
      </c>
      <c r="B51" t="s">
        <v>1152</v>
      </c>
      <c r="C51" t="s">
        <v>1159</v>
      </c>
      <c r="D51" t="s">
        <v>1154</v>
      </c>
      <c r="E51" t="s">
        <v>1155</v>
      </c>
      <c r="F51" t="s">
        <v>1160</v>
      </c>
      <c r="G51">
        <f>'Assessment Questions'!J51</f>
        <v>5</v>
      </c>
      <c r="H51">
        <f t="shared" si="0"/>
        <v>0</v>
      </c>
      <c r="I51">
        <f t="shared" si="1"/>
        <v>0</v>
      </c>
      <c r="J51">
        <f t="shared" si="2"/>
        <v>5</v>
      </c>
      <c r="K51">
        <f t="shared" si="3"/>
        <v>5</v>
      </c>
      <c r="L51" t="str">
        <f t="shared" si="4"/>
        <v>Critical</v>
      </c>
      <c r="M51" t="s">
        <v>833</v>
      </c>
      <c r="N51" t="s">
        <v>834</v>
      </c>
      <c r="O51" t="s">
        <v>835</v>
      </c>
      <c r="P51" t="s">
        <v>836</v>
      </c>
      <c r="Q51" t="s">
        <v>837</v>
      </c>
      <c r="R51" t="s">
        <v>838</v>
      </c>
      <c r="S51" t="s">
        <v>1157</v>
      </c>
      <c r="T51">
        <f>'Assessment Questions'!W51</f>
        <v>0</v>
      </c>
      <c r="U51">
        <f>'Assessment Questions'!X51</f>
        <v>0</v>
      </c>
      <c r="V51" t="str">
        <f>'Assessment Questions'!Y51</f>
        <v>Use the recommended action generated by the model; validate with domain owner during real assessment.</v>
      </c>
      <c r="W51">
        <v>4</v>
      </c>
      <c r="X51">
        <v>5</v>
      </c>
      <c r="Y51">
        <v>5</v>
      </c>
      <c r="Z51">
        <f>'Assessment Questions'!AC51</f>
        <v>0</v>
      </c>
      <c r="AA51" t="s">
        <v>1161</v>
      </c>
      <c r="AB51">
        <f t="shared" si="23"/>
        <v>9</v>
      </c>
      <c r="AC51">
        <f t="shared" si="24"/>
        <v>0</v>
      </c>
      <c r="AD51">
        <f t="shared" si="7"/>
        <v>0</v>
      </c>
      <c r="AE51">
        <f t="shared" si="25"/>
        <v>9</v>
      </c>
      <c r="AF51">
        <f t="shared" si="9"/>
        <v>5</v>
      </c>
      <c r="AG51">
        <f t="shared" si="26"/>
        <v>9</v>
      </c>
      <c r="AH51">
        <f>'Assessment Questions'!AK51</f>
        <v>0</v>
      </c>
      <c r="AI51">
        <f>'Assessment Questions'!AL51</f>
        <v>0</v>
      </c>
      <c r="AJ51">
        <f>IF(OR($H51="",$H51="N/A"),"",IF($AH51="",VLOOKUP('Company Profile'!$B$40,_CONFIG_Model_Settings!$A$5:$B$8,2,FALSE),IFERROR(VLOOKUP($AH51,_CONFIG_Model_Settings!$A$5:$B$8,2,FALSE),0.9)))</f>
        <v>0.9</v>
      </c>
      <c r="AK51">
        <f>IF(OR($H51="",$H51="N/A"),"",IF($AI51="",VLOOKUP('Company Profile'!$B$41,_CONFIG_Model_Settings!$A$5:$B$8,2,FALSE),IFERROR(VLOOKUP($AI51,_CONFIG_Model_Settings!$A$5:$B$8,2,FALSE),0.9)))</f>
        <v>0.9</v>
      </c>
      <c r="AL51">
        <f t="shared" si="11"/>
        <v>0</v>
      </c>
      <c r="AM51">
        <f t="shared" si="12"/>
        <v>0</v>
      </c>
      <c r="AN51">
        <f>IFERROR(MIN(5,MAX(0,(SUMIFS(_REF_Model_Content!$D$1:$D$174,_REF_Model_Content!$A$1:$A$174,PV_Canonical_Industry,_REF_Model_Content!$B$1:$B$174,"Governance Crisis"))+IFERROR(VLOOKUP('Company Profile'!$B$35,_CONFIG_Model_Settings!$A$11:$B$13,2,0),0))),"")</f>
        <v>0</v>
      </c>
      <c r="AO51">
        <f t="shared" si="13"/>
        <v>0</v>
      </c>
      <c r="AP51">
        <f>IFERROR(SUMIFS(_REF_Model_Content!$E$1:$E$174,_REF_Model_Content!$A$1:$A$174,PV_Canonical_Industry,_REF_Model_Content!$B$1:$B$174,"Governance Crisis"),1)</f>
        <v>0</v>
      </c>
      <c r="AQ51">
        <f t="shared" si="14"/>
        <v>0</v>
      </c>
      <c r="AR51" t="str">
        <f t="shared" si="15"/>
        <v>Within target</v>
      </c>
      <c r="AS51">
        <f t="shared" si="16"/>
        <v>0</v>
      </c>
      <c r="AT51">
        <f t="shared" si="17"/>
        <v>0.9</v>
      </c>
      <c r="AU51">
        <f>'Assessment Questions'!AX51</f>
        <v>0</v>
      </c>
      <c r="AV51">
        <f t="shared" si="18"/>
        <v>0.9</v>
      </c>
      <c r="AW51" t="s">
        <v>1150</v>
      </c>
      <c r="AX51" t="s">
        <v>1150</v>
      </c>
      <c r="AY51">
        <v>6</v>
      </c>
      <c r="AZ51">
        <v>51</v>
      </c>
    </row>
    <row r="52" spans="1:52">
      <c r="A52" t="s">
        <v>1162</v>
      </c>
      <c r="B52" t="s">
        <v>1152</v>
      </c>
      <c r="C52" t="s">
        <v>1163</v>
      </c>
      <c r="D52" t="s">
        <v>1154</v>
      </c>
      <c r="E52" t="s">
        <v>1155</v>
      </c>
      <c r="F52" t="s">
        <v>1164</v>
      </c>
      <c r="G52">
        <f>'Assessment Questions'!J52</f>
        <v>5</v>
      </c>
      <c r="H52">
        <f t="shared" si="0"/>
        <v>0</v>
      </c>
      <c r="I52">
        <f t="shared" si="1"/>
        <v>0</v>
      </c>
      <c r="J52">
        <f t="shared" si="2"/>
        <v>5</v>
      </c>
      <c r="K52">
        <f t="shared" si="3"/>
        <v>5</v>
      </c>
      <c r="L52" t="str">
        <f t="shared" si="4"/>
        <v>Critical</v>
      </c>
      <c r="M52" t="s">
        <v>833</v>
      </c>
      <c r="N52" t="s">
        <v>834</v>
      </c>
      <c r="O52" t="s">
        <v>835</v>
      </c>
      <c r="P52" t="s">
        <v>836</v>
      </c>
      <c r="Q52" t="s">
        <v>837</v>
      </c>
      <c r="R52" t="s">
        <v>838</v>
      </c>
      <c r="S52" t="s">
        <v>1157</v>
      </c>
      <c r="T52">
        <f>'Assessment Questions'!W52</f>
        <v>0</v>
      </c>
      <c r="U52">
        <f>'Assessment Questions'!X52</f>
        <v>0</v>
      </c>
      <c r="V52" t="str">
        <f>'Assessment Questions'!Y52</f>
        <v>Use the recommended action generated by the model; validate with domain owner during real assessment.</v>
      </c>
      <c r="W52">
        <v>4</v>
      </c>
      <c r="X52">
        <v>5</v>
      </c>
      <c r="Y52">
        <v>5</v>
      </c>
      <c r="Z52">
        <f>'Assessment Questions'!AC52</f>
        <v>0</v>
      </c>
      <c r="AA52" t="s">
        <v>1165</v>
      </c>
      <c r="AB52">
        <f t="shared" si="23"/>
        <v>6</v>
      </c>
      <c r="AC52">
        <f t="shared" si="24"/>
        <v>0</v>
      </c>
      <c r="AD52">
        <f t="shared" si="7"/>
        <v>0</v>
      </c>
      <c r="AE52">
        <f t="shared" si="25"/>
        <v>6</v>
      </c>
      <c r="AF52">
        <f t="shared" si="9"/>
        <v>5</v>
      </c>
      <c r="AG52">
        <f t="shared" si="26"/>
        <v>6</v>
      </c>
      <c r="AH52">
        <f>'Assessment Questions'!AK52</f>
        <v>0</v>
      </c>
      <c r="AI52">
        <f>'Assessment Questions'!AL52</f>
        <v>0</v>
      </c>
      <c r="AJ52">
        <f>IF(OR($H52="",$H52="N/A"),"",IF($AH52="",VLOOKUP('Company Profile'!$B$40,_CONFIG_Model_Settings!$A$5:$B$8,2,FALSE),IFERROR(VLOOKUP($AH52,_CONFIG_Model_Settings!$A$5:$B$8,2,FALSE),0.9)))</f>
        <v>0.9</v>
      </c>
      <c r="AK52">
        <f>IF(OR($H52="",$H52="N/A"),"",IF($AI52="",VLOOKUP('Company Profile'!$B$41,_CONFIG_Model_Settings!$A$5:$B$8,2,FALSE),IFERROR(VLOOKUP($AI52,_CONFIG_Model_Settings!$A$5:$B$8,2,FALSE),0.9)))</f>
        <v>0.9</v>
      </c>
      <c r="AL52">
        <f t="shared" si="11"/>
        <v>0</v>
      </c>
      <c r="AM52">
        <f t="shared" si="12"/>
        <v>0</v>
      </c>
      <c r="AN52">
        <f>IFERROR(MIN(5,MAX(0,(SUMIFS(_REF_Model_Content!$D$1:$D$174,_REF_Model_Content!$A$1:$A$174,PV_Canonical_Industry,_REF_Model_Content!$B$1:$B$174,"Governance Crisis"))+IFERROR(VLOOKUP('Company Profile'!$B$35,_CONFIG_Model_Settings!$A$11:$B$13,2,0),0))),"")</f>
        <v>0</v>
      </c>
      <c r="AO52">
        <f t="shared" si="13"/>
        <v>0</v>
      </c>
      <c r="AP52">
        <f>IFERROR(SUMIFS(_REF_Model_Content!$E$1:$E$174,_REF_Model_Content!$A$1:$A$174,PV_Canonical_Industry,_REF_Model_Content!$B$1:$B$174,"Governance Crisis"),1)</f>
        <v>0</v>
      </c>
      <c r="AQ52">
        <f t="shared" si="14"/>
        <v>0</v>
      </c>
      <c r="AR52" t="str">
        <f t="shared" si="15"/>
        <v>Within target</v>
      </c>
      <c r="AS52">
        <f t="shared" si="16"/>
        <v>0</v>
      </c>
      <c r="AT52">
        <f t="shared" si="17"/>
        <v>0.9</v>
      </c>
      <c r="AU52">
        <f>'Assessment Questions'!AX52</f>
        <v>0</v>
      </c>
      <c r="AV52">
        <f t="shared" si="18"/>
        <v>0.9</v>
      </c>
      <c r="AW52" t="s">
        <v>1150</v>
      </c>
      <c r="AX52" t="s">
        <v>1150</v>
      </c>
      <c r="AY52">
        <v>7</v>
      </c>
      <c r="AZ52">
        <v>52</v>
      </c>
    </row>
    <row r="53" spans="1:52">
      <c r="A53" t="s">
        <v>1166</v>
      </c>
      <c r="B53" t="s">
        <v>1152</v>
      </c>
      <c r="C53" t="s">
        <v>1167</v>
      </c>
      <c r="D53" t="s">
        <v>1154</v>
      </c>
      <c r="E53" t="s">
        <v>1155</v>
      </c>
      <c r="F53" t="s">
        <v>1168</v>
      </c>
      <c r="G53">
        <f>'Assessment Questions'!J53</f>
        <v>5</v>
      </c>
      <c r="H53">
        <f t="shared" si="0"/>
        <v>0</v>
      </c>
      <c r="I53">
        <f t="shared" si="1"/>
        <v>0</v>
      </c>
      <c r="J53">
        <f t="shared" si="2"/>
        <v>5</v>
      </c>
      <c r="K53">
        <f t="shared" si="3"/>
        <v>5</v>
      </c>
      <c r="L53" t="str">
        <f t="shared" si="4"/>
        <v>Critical</v>
      </c>
      <c r="M53" t="s">
        <v>833</v>
      </c>
      <c r="N53" t="s">
        <v>834</v>
      </c>
      <c r="O53" t="s">
        <v>835</v>
      </c>
      <c r="P53" t="s">
        <v>836</v>
      </c>
      <c r="Q53" t="s">
        <v>837</v>
      </c>
      <c r="R53" t="s">
        <v>838</v>
      </c>
      <c r="S53" t="s">
        <v>1157</v>
      </c>
      <c r="T53">
        <f>'Assessment Questions'!W53</f>
        <v>0</v>
      </c>
      <c r="U53">
        <f>'Assessment Questions'!X53</f>
        <v>0</v>
      </c>
      <c r="V53" t="str">
        <f>'Assessment Questions'!Y53</f>
        <v>Use the recommended action generated by the model; validate with domain owner during real assessment.</v>
      </c>
      <c r="W53">
        <v>4</v>
      </c>
      <c r="X53">
        <v>5</v>
      </c>
      <c r="Y53">
        <v>5</v>
      </c>
      <c r="Z53">
        <f>'Assessment Questions'!AC53</f>
        <v>0</v>
      </c>
      <c r="AB53">
        <f t="shared" si="23"/>
        <v>0</v>
      </c>
      <c r="AC53">
        <f t="shared" si="24"/>
        <v>0</v>
      </c>
      <c r="AD53">
        <f t="shared" si="7"/>
        <v>0</v>
      </c>
      <c r="AE53">
        <f t="shared" si="25"/>
        <v>0</v>
      </c>
      <c r="AF53">
        <f t="shared" si="9"/>
        <v>5</v>
      </c>
      <c r="AG53">
        <f t="shared" si="26"/>
        <v>0</v>
      </c>
      <c r="AH53">
        <f>'Assessment Questions'!AK53</f>
        <v>0</v>
      </c>
      <c r="AI53">
        <f>'Assessment Questions'!AL53</f>
        <v>0</v>
      </c>
      <c r="AJ53">
        <f>IF(OR($H53="",$H53="N/A"),"",IF($AH53="",VLOOKUP('Company Profile'!$B$40,_CONFIG_Model_Settings!$A$5:$B$8,2,FALSE),IFERROR(VLOOKUP($AH53,_CONFIG_Model_Settings!$A$5:$B$8,2,FALSE),0.9)))</f>
        <v>0.9</v>
      </c>
      <c r="AK53">
        <f>IF(OR($H53="",$H53="N/A"),"",IF($AI53="",VLOOKUP('Company Profile'!$B$41,_CONFIG_Model_Settings!$A$5:$B$8,2,FALSE),IFERROR(VLOOKUP($AI53,_CONFIG_Model_Settings!$A$5:$B$8,2,FALSE),0.9)))</f>
        <v>0.9</v>
      </c>
      <c r="AL53">
        <f t="shared" si="11"/>
        <v>0</v>
      </c>
      <c r="AM53">
        <f t="shared" si="12"/>
        <v>0</v>
      </c>
      <c r="AN53">
        <f>IFERROR(MIN(5,MAX(0,(SUMIFS(_REF_Model_Content!$D$1:$D$174,_REF_Model_Content!$A$1:$A$174,PV_Canonical_Industry,_REF_Model_Content!$B$1:$B$174,"Governance Crisis"))+IFERROR(VLOOKUP('Company Profile'!$B$35,_CONFIG_Model_Settings!$A$11:$B$13,2,0),0))),"")</f>
        <v>0</v>
      </c>
      <c r="AO53">
        <f t="shared" si="13"/>
        <v>0</v>
      </c>
      <c r="AP53">
        <f>IFERROR(SUMIFS(_REF_Model_Content!$E$1:$E$174,_REF_Model_Content!$A$1:$A$174,PV_Canonical_Industry,_REF_Model_Content!$B$1:$B$174,"Governance Crisis"),1)</f>
        <v>0</v>
      </c>
      <c r="AQ53">
        <f t="shared" si="14"/>
        <v>0</v>
      </c>
      <c r="AR53" t="str">
        <f t="shared" si="15"/>
        <v>Within target</v>
      </c>
      <c r="AS53">
        <f t="shared" si="16"/>
        <v>0</v>
      </c>
      <c r="AT53">
        <f t="shared" si="17"/>
        <v>0.9</v>
      </c>
      <c r="AU53">
        <f>'Assessment Questions'!AX53</f>
        <v>0</v>
      </c>
      <c r="AV53">
        <f t="shared" si="18"/>
        <v>0.9</v>
      </c>
      <c r="AW53" t="s">
        <v>1150</v>
      </c>
      <c r="AX53" t="s">
        <v>1150</v>
      </c>
      <c r="AY53">
        <v>8</v>
      </c>
      <c r="AZ53">
        <v>53</v>
      </c>
    </row>
    <row r="54" spans="1:52">
      <c r="A54" t="s">
        <v>1169</v>
      </c>
      <c r="B54" t="s">
        <v>1152</v>
      </c>
      <c r="C54" t="s">
        <v>1170</v>
      </c>
      <c r="D54" t="s">
        <v>1154</v>
      </c>
      <c r="E54" t="s">
        <v>1155</v>
      </c>
      <c r="F54" t="s">
        <v>1171</v>
      </c>
      <c r="G54">
        <f>'Assessment Questions'!J54</f>
        <v>5</v>
      </c>
      <c r="H54">
        <f t="shared" si="0"/>
        <v>0</v>
      </c>
      <c r="I54">
        <f t="shared" si="1"/>
        <v>0</v>
      </c>
      <c r="J54">
        <f t="shared" si="2"/>
        <v>5</v>
      </c>
      <c r="K54">
        <f t="shared" si="3"/>
        <v>5</v>
      </c>
      <c r="L54" t="str">
        <f t="shared" si="4"/>
        <v>Critical</v>
      </c>
      <c r="M54" t="s">
        <v>833</v>
      </c>
      <c r="N54" t="s">
        <v>834</v>
      </c>
      <c r="O54" t="s">
        <v>835</v>
      </c>
      <c r="P54" t="s">
        <v>836</v>
      </c>
      <c r="Q54" t="s">
        <v>837</v>
      </c>
      <c r="R54" t="s">
        <v>838</v>
      </c>
      <c r="S54" t="s">
        <v>1157</v>
      </c>
      <c r="T54">
        <f>'Assessment Questions'!W54</f>
        <v>0</v>
      </c>
      <c r="U54">
        <f>'Assessment Questions'!X54</f>
        <v>0</v>
      </c>
      <c r="V54" t="str">
        <f>'Assessment Questions'!Y54</f>
        <v>Use the recommended action generated by the model; validate with domain owner during real assessment.</v>
      </c>
      <c r="W54">
        <v>4</v>
      </c>
      <c r="X54">
        <v>5</v>
      </c>
      <c r="Y54">
        <v>5</v>
      </c>
      <c r="Z54">
        <f>'Assessment Questions'!AC54</f>
        <v>0</v>
      </c>
      <c r="AB54">
        <f t="shared" si="23"/>
        <v>0</v>
      </c>
      <c r="AC54">
        <f t="shared" si="24"/>
        <v>0</v>
      </c>
      <c r="AD54">
        <f t="shared" si="7"/>
        <v>0</v>
      </c>
      <c r="AE54">
        <f t="shared" si="25"/>
        <v>0</v>
      </c>
      <c r="AF54">
        <f t="shared" si="9"/>
        <v>5</v>
      </c>
      <c r="AG54">
        <f t="shared" si="26"/>
        <v>0</v>
      </c>
      <c r="AH54">
        <f>'Assessment Questions'!AK54</f>
        <v>0</v>
      </c>
      <c r="AI54">
        <f>'Assessment Questions'!AL54</f>
        <v>0</v>
      </c>
      <c r="AJ54">
        <f>IF(OR($H54="",$H54="N/A"),"",IF($AH54="",VLOOKUP('Company Profile'!$B$40,_CONFIG_Model_Settings!$A$5:$B$8,2,FALSE),IFERROR(VLOOKUP($AH54,_CONFIG_Model_Settings!$A$5:$B$8,2,FALSE),0.9)))</f>
        <v>0.9</v>
      </c>
      <c r="AK54">
        <f>IF(OR($H54="",$H54="N/A"),"",IF($AI54="",VLOOKUP('Company Profile'!$B$41,_CONFIG_Model_Settings!$A$5:$B$8,2,FALSE),IFERROR(VLOOKUP($AI54,_CONFIG_Model_Settings!$A$5:$B$8,2,FALSE),0.9)))</f>
        <v>0.9</v>
      </c>
      <c r="AL54">
        <f t="shared" si="11"/>
        <v>0</v>
      </c>
      <c r="AM54">
        <f t="shared" si="12"/>
        <v>0</v>
      </c>
      <c r="AN54">
        <f>IFERROR(MIN(5,MAX(0,(SUMIFS(_REF_Model_Content!$D$1:$D$174,_REF_Model_Content!$A$1:$A$174,PV_Canonical_Industry,_REF_Model_Content!$B$1:$B$174,"Governance Crisis"))+IFERROR(VLOOKUP('Company Profile'!$B$35,_CONFIG_Model_Settings!$A$11:$B$13,2,0),0))),"")</f>
        <v>0</v>
      </c>
      <c r="AO54">
        <f t="shared" si="13"/>
        <v>0</v>
      </c>
      <c r="AP54">
        <f>IFERROR(SUMIFS(_REF_Model_Content!$E$1:$E$174,_REF_Model_Content!$A$1:$A$174,PV_Canonical_Industry,_REF_Model_Content!$B$1:$B$174,"Governance Crisis"),1)</f>
        <v>0</v>
      </c>
      <c r="AQ54">
        <f t="shared" si="14"/>
        <v>0</v>
      </c>
      <c r="AR54" t="str">
        <f t="shared" si="15"/>
        <v>Within target</v>
      </c>
      <c r="AS54">
        <f t="shared" si="16"/>
        <v>0</v>
      </c>
      <c r="AT54">
        <f t="shared" si="17"/>
        <v>0.9</v>
      </c>
      <c r="AU54">
        <f>'Assessment Questions'!AX54</f>
        <v>0</v>
      </c>
      <c r="AV54">
        <f t="shared" si="18"/>
        <v>0.9</v>
      </c>
      <c r="AW54" t="s">
        <v>1150</v>
      </c>
      <c r="AX54" t="s">
        <v>1150</v>
      </c>
      <c r="AY54">
        <v>9</v>
      </c>
      <c r="AZ54">
        <v>54</v>
      </c>
    </row>
    <row r="55" spans="1:52">
      <c r="A55" t="s">
        <v>1172</v>
      </c>
      <c r="B55" t="s">
        <v>1152</v>
      </c>
      <c r="C55" t="s">
        <v>1173</v>
      </c>
      <c r="D55" t="s">
        <v>1154</v>
      </c>
      <c r="E55" t="s">
        <v>1155</v>
      </c>
      <c r="F55" t="s">
        <v>1174</v>
      </c>
      <c r="G55">
        <f>'Assessment Questions'!J55</f>
        <v>3</v>
      </c>
      <c r="H55">
        <f t="shared" si="0"/>
        <v>0</v>
      </c>
      <c r="I55">
        <f t="shared" si="1"/>
        <v>0</v>
      </c>
      <c r="J55">
        <f t="shared" si="2"/>
        <v>3</v>
      </c>
      <c r="K55">
        <f t="shared" si="3"/>
        <v>3</v>
      </c>
      <c r="L55" t="str">
        <f t="shared" si="4"/>
        <v>Critical</v>
      </c>
      <c r="M55" t="s">
        <v>1175</v>
      </c>
      <c r="N55" t="s">
        <v>1176</v>
      </c>
      <c r="O55" t="s">
        <v>1177</v>
      </c>
      <c r="P55" t="s">
        <v>1178</v>
      </c>
      <c r="Q55" t="s">
        <v>1179</v>
      </c>
      <c r="R55" t="s">
        <v>1180</v>
      </c>
      <c r="S55" t="s">
        <v>1157</v>
      </c>
      <c r="T55">
        <f>'Assessment Questions'!W55</f>
        <v>0</v>
      </c>
      <c r="U55">
        <f>'Assessment Questions'!X55</f>
        <v>0</v>
      </c>
      <c r="V55" t="str">
        <f>'Assessment Questions'!Y55</f>
        <v>Use the recommended action generated by the model; validate with domain owner during real assessment.</v>
      </c>
      <c r="W55">
        <v>4</v>
      </c>
      <c r="X55">
        <v>5</v>
      </c>
      <c r="Y55">
        <v>5</v>
      </c>
      <c r="Z55">
        <f>'Assessment Questions'!AC55</f>
        <v>0</v>
      </c>
      <c r="AB55">
        <f t="shared" si="23"/>
        <v>0</v>
      </c>
      <c r="AC55">
        <f t="shared" si="24"/>
        <v>0</v>
      </c>
      <c r="AD55">
        <f t="shared" si="7"/>
        <v>0</v>
      </c>
      <c r="AE55">
        <f t="shared" si="25"/>
        <v>0</v>
      </c>
      <c r="AF55">
        <f t="shared" si="9"/>
        <v>5</v>
      </c>
      <c r="AG55">
        <f t="shared" si="26"/>
        <v>0</v>
      </c>
      <c r="AH55">
        <f>'Assessment Questions'!AK55</f>
        <v>0</v>
      </c>
      <c r="AI55">
        <f>'Assessment Questions'!AL55</f>
        <v>0</v>
      </c>
      <c r="AJ55">
        <f>IF(OR($H55="",$H55="N/A"),"",IF($AH55="",VLOOKUP('Company Profile'!$B$40,_CONFIG_Model_Settings!$A$5:$B$8,2,FALSE),IFERROR(VLOOKUP($AH55,_CONFIG_Model_Settings!$A$5:$B$8,2,FALSE),0.9)))</f>
        <v>0.9</v>
      </c>
      <c r="AK55">
        <f>IF(OR($H55="",$H55="N/A"),"",IF($AI55="",VLOOKUP('Company Profile'!$B$41,_CONFIG_Model_Settings!$A$5:$B$8,2,FALSE),IFERROR(VLOOKUP($AI55,_CONFIG_Model_Settings!$A$5:$B$8,2,FALSE),0.9)))</f>
        <v>0.9</v>
      </c>
      <c r="AL55">
        <f t="shared" si="11"/>
        <v>0</v>
      </c>
      <c r="AM55">
        <f t="shared" si="12"/>
        <v>0</v>
      </c>
      <c r="AN55">
        <f>IFERROR(MIN(5,MAX(0,(SUMIFS(_REF_Model_Content!$D$1:$D$174,_REF_Model_Content!$A$1:$A$174,PV_Canonical_Industry,_REF_Model_Content!$B$1:$B$174,"Governance Crisis"))+IFERROR(VLOOKUP('Company Profile'!$B$35,_CONFIG_Model_Settings!$A$11:$B$13,2,0),0))),"")</f>
        <v>0</v>
      </c>
      <c r="AO55">
        <f t="shared" si="13"/>
        <v>0</v>
      </c>
      <c r="AP55">
        <f>IFERROR(SUMIFS(_REF_Model_Content!$E$1:$E$174,_REF_Model_Content!$A$1:$A$174,PV_Canonical_Industry,_REF_Model_Content!$B$1:$B$174,"Governance Crisis"),1)</f>
        <v>0</v>
      </c>
      <c r="AQ55">
        <f t="shared" si="14"/>
        <v>0</v>
      </c>
      <c r="AR55" t="str">
        <f t="shared" si="15"/>
        <v>Within target</v>
      </c>
      <c r="AS55">
        <f t="shared" si="16"/>
        <v>0</v>
      </c>
      <c r="AT55">
        <f t="shared" si="17"/>
        <v>0.9</v>
      </c>
      <c r="AU55">
        <f>'Assessment Questions'!AX55</f>
        <v>0</v>
      </c>
      <c r="AV55">
        <f t="shared" si="18"/>
        <v>0.9</v>
      </c>
      <c r="AW55" t="s">
        <v>1150</v>
      </c>
      <c r="AX55" t="s">
        <v>1150</v>
      </c>
      <c r="AY55">
        <v>10</v>
      </c>
      <c r="AZ55">
        <v>55</v>
      </c>
    </row>
    <row r="56" spans="1:52">
      <c r="A56" t="s">
        <v>1181</v>
      </c>
      <c r="B56" t="s">
        <v>1161</v>
      </c>
      <c r="C56" t="s">
        <v>1182</v>
      </c>
      <c r="D56" t="s">
        <v>1154</v>
      </c>
      <c r="E56" t="s">
        <v>1155</v>
      </c>
      <c r="F56" t="s">
        <v>1183</v>
      </c>
      <c r="G56">
        <f>'Assessment Questions'!J56</f>
        <v>5</v>
      </c>
      <c r="H56">
        <f t="shared" si="0"/>
        <v>0</v>
      </c>
      <c r="I56">
        <f t="shared" si="1"/>
        <v>0</v>
      </c>
      <c r="J56">
        <f t="shared" si="2"/>
        <v>5</v>
      </c>
      <c r="K56">
        <f t="shared" si="3"/>
        <v>5</v>
      </c>
      <c r="L56" t="str">
        <f t="shared" si="4"/>
        <v>Critical</v>
      </c>
      <c r="M56" t="s">
        <v>1051</v>
      </c>
      <c r="N56" t="s">
        <v>1052</v>
      </c>
      <c r="O56" t="s">
        <v>1053</v>
      </c>
      <c r="P56" t="s">
        <v>1054</v>
      </c>
      <c r="Q56" t="s">
        <v>1055</v>
      </c>
      <c r="R56" t="s">
        <v>1056</v>
      </c>
      <c r="S56" t="s">
        <v>1157</v>
      </c>
      <c r="T56">
        <f>'Assessment Questions'!W56</f>
        <v>0</v>
      </c>
      <c r="U56">
        <f>'Assessment Questions'!X56</f>
        <v>0</v>
      </c>
      <c r="V56" t="str">
        <f>'Assessment Questions'!Y56</f>
        <v>Use the recommended action generated by the model; validate with domain owner during real assessment.</v>
      </c>
      <c r="W56">
        <v>4</v>
      </c>
      <c r="X56">
        <v>5</v>
      </c>
      <c r="Y56">
        <v>5</v>
      </c>
      <c r="Z56">
        <f>'Assessment Questions'!AC56</f>
        <v>0</v>
      </c>
      <c r="AB56">
        <f t="shared" si="23"/>
        <v>0</v>
      </c>
      <c r="AC56">
        <f t="shared" si="24"/>
        <v>0</v>
      </c>
      <c r="AD56">
        <f t="shared" si="7"/>
        <v>0</v>
      </c>
      <c r="AE56">
        <f t="shared" si="25"/>
        <v>0</v>
      </c>
      <c r="AF56">
        <f t="shared" si="9"/>
        <v>5</v>
      </c>
      <c r="AG56">
        <f t="shared" si="26"/>
        <v>0</v>
      </c>
      <c r="AH56">
        <f>'Assessment Questions'!AK56</f>
        <v>0</v>
      </c>
      <c r="AI56">
        <f>'Assessment Questions'!AL56</f>
        <v>0</v>
      </c>
      <c r="AJ56">
        <f>IF(OR($H56="",$H56="N/A"),"",IF($AH56="",VLOOKUP('Company Profile'!$B$40,_CONFIG_Model_Settings!$A$5:$B$8,2,FALSE),IFERROR(VLOOKUP($AH56,_CONFIG_Model_Settings!$A$5:$B$8,2,FALSE),0.9)))</f>
        <v>0.9</v>
      </c>
      <c r="AK56">
        <f>IF(OR($H56="",$H56="N/A"),"",IF($AI56="",VLOOKUP('Company Profile'!$B$41,_CONFIG_Model_Settings!$A$5:$B$8,2,FALSE),IFERROR(VLOOKUP($AI56,_CONFIG_Model_Settings!$A$5:$B$8,2,FALSE),0.9)))</f>
        <v>0.9</v>
      </c>
      <c r="AL56">
        <f t="shared" si="11"/>
        <v>0</v>
      </c>
      <c r="AM56">
        <f t="shared" si="12"/>
        <v>0</v>
      </c>
      <c r="AN56">
        <f>IFERROR(MIN(5,MAX(0,(SUMIFS(_REF_Model_Content!$D$1:$D$174,_REF_Model_Content!$A$1:$A$174,PV_Canonical_Industry,_REF_Model_Content!$B$1:$B$174,"Governance Crisis"))+IFERROR(VLOOKUP('Company Profile'!$B$35,_CONFIG_Model_Settings!$A$11:$B$13,2,0),0))),"")</f>
        <v>0</v>
      </c>
      <c r="AO56">
        <f t="shared" si="13"/>
        <v>0</v>
      </c>
      <c r="AP56">
        <f>IFERROR(SUMIFS(_REF_Model_Content!$E$1:$E$174,_REF_Model_Content!$A$1:$A$174,PV_Canonical_Industry,_REF_Model_Content!$B$1:$B$174,"Governance Crisis"),1)</f>
        <v>0</v>
      </c>
      <c r="AQ56">
        <f t="shared" si="14"/>
        <v>0</v>
      </c>
      <c r="AR56" t="str">
        <f t="shared" si="15"/>
        <v>Within target</v>
      </c>
      <c r="AS56">
        <f t="shared" si="16"/>
        <v>0</v>
      </c>
      <c r="AT56">
        <f t="shared" si="17"/>
        <v>0.9</v>
      </c>
      <c r="AU56">
        <f>'Assessment Questions'!AX56</f>
        <v>0</v>
      </c>
      <c r="AV56">
        <f t="shared" si="18"/>
        <v>0.9</v>
      </c>
      <c r="AW56" t="s">
        <v>1150</v>
      </c>
      <c r="AX56" t="s">
        <v>1150</v>
      </c>
      <c r="AY56">
        <v>11</v>
      </c>
      <c r="AZ56">
        <v>56</v>
      </c>
    </row>
    <row r="57" spans="1:52">
      <c r="A57" t="s">
        <v>1184</v>
      </c>
      <c r="B57" t="s">
        <v>1161</v>
      </c>
      <c r="C57" t="s">
        <v>1185</v>
      </c>
      <c r="D57" t="s">
        <v>1154</v>
      </c>
      <c r="E57" t="s">
        <v>1155</v>
      </c>
      <c r="F57" t="s">
        <v>1186</v>
      </c>
      <c r="G57">
        <f>'Assessment Questions'!J57</f>
        <v>5</v>
      </c>
      <c r="H57">
        <f t="shared" si="0"/>
        <v>0</v>
      </c>
      <c r="I57">
        <f t="shared" si="1"/>
        <v>0</v>
      </c>
      <c r="J57">
        <f t="shared" si="2"/>
        <v>5</v>
      </c>
      <c r="K57">
        <f t="shared" si="3"/>
        <v>5</v>
      </c>
      <c r="L57" t="str">
        <f t="shared" si="4"/>
        <v>Critical</v>
      </c>
      <c r="M57" t="s">
        <v>833</v>
      </c>
      <c r="N57" t="s">
        <v>834</v>
      </c>
      <c r="O57" t="s">
        <v>835</v>
      </c>
      <c r="P57" t="s">
        <v>836</v>
      </c>
      <c r="Q57" t="s">
        <v>837</v>
      </c>
      <c r="R57" t="s">
        <v>838</v>
      </c>
      <c r="S57" t="s">
        <v>1157</v>
      </c>
      <c r="T57">
        <f>'Assessment Questions'!W57</f>
        <v>0</v>
      </c>
      <c r="U57">
        <f>'Assessment Questions'!X57</f>
        <v>0</v>
      </c>
      <c r="V57" t="str">
        <f>'Assessment Questions'!Y57</f>
        <v>Use the recommended action generated by the model; validate with domain owner during real assessment.</v>
      </c>
      <c r="W57">
        <v>5</v>
      </c>
      <c r="X57">
        <v>5</v>
      </c>
      <c r="Y57">
        <v>5</v>
      </c>
      <c r="Z57">
        <f>'Assessment Questions'!AC57</f>
        <v>0</v>
      </c>
      <c r="AB57">
        <f t="shared" si="23"/>
        <v>0</v>
      </c>
      <c r="AC57">
        <f t="shared" si="24"/>
        <v>0</v>
      </c>
      <c r="AD57">
        <f t="shared" si="7"/>
        <v>0</v>
      </c>
      <c r="AE57">
        <f t="shared" si="25"/>
        <v>0</v>
      </c>
      <c r="AF57">
        <f t="shared" si="9"/>
        <v>5</v>
      </c>
      <c r="AG57">
        <f t="shared" si="26"/>
        <v>0</v>
      </c>
      <c r="AH57">
        <f>'Assessment Questions'!AK57</f>
        <v>0</v>
      </c>
      <c r="AI57">
        <f>'Assessment Questions'!AL57</f>
        <v>0</v>
      </c>
      <c r="AJ57">
        <f>IF(OR($H57="",$H57="N/A"),"",IF($AH57="",VLOOKUP('Company Profile'!$B$40,_CONFIG_Model_Settings!$A$5:$B$8,2,FALSE),IFERROR(VLOOKUP($AH57,_CONFIG_Model_Settings!$A$5:$B$8,2,FALSE),0.9)))</f>
        <v>0.9</v>
      </c>
      <c r="AK57">
        <f>IF(OR($H57="",$H57="N/A"),"",IF($AI57="",VLOOKUP('Company Profile'!$B$41,_CONFIG_Model_Settings!$A$5:$B$8,2,FALSE),IFERROR(VLOOKUP($AI57,_CONFIG_Model_Settings!$A$5:$B$8,2,FALSE),0.9)))</f>
        <v>0.9</v>
      </c>
      <c r="AL57">
        <f t="shared" si="11"/>
        <v>0</v>
      </c>
      <c r="AM57">
        <f t="shared" si="12"/>
        <v>0</v>
      </c>
      <c r="AN57">
        <f>IFERROR(MIN(5,MAX(0,(SUMIFS(_REF_Model_Content!$D$1:$D$174,_REF_Model_Content!$A$1:$A$174,PV_Canonical_Industry,_REF_Model_Content!$B$1:$B$174,"Governance Crisis"))+IFERROR(VLOOKUP('Company Profile'!$B$35,_CONFIG_Model_Settings!$A$11:$B$13,2,0),0))),"")</f>
        <v>0</v>
      </c>
      <c r="AO57">
        <f t="shared" si="13"/>
        <v>0</v>
      </c>
      <c r="AP57">
        <f>IFERROR(SUMIFS(_REF_Model_Content!$E$1:$E$174,_REF_Model_Content!$A$1:$A$174,PV_Canonical_Industry,_REF_Model_Content!$B$1:$B$174,"Governance Crisis"),1)</f>
        <v>0</v>
      </c>
      <c r="AQ57">
        <f t="shared" si="14"/>
        <v>0</v>
      </c>
      <c r="AR57" t="str">
        <f t="shared" si="15"/>
        <v>Within target</v>
      </c>
      <c r="AS57">
        <f t="shared" si="16"/>
        <v>0</v>
      </c>
      <c r="AT57">
        <f t="shared" si="17"/>
        <v>0.9</v>
      </c>
      <c r="AU57">
        <f>'Assessment Questions'!AX57</f>
        <v>0</v>
      </c>
      <c r="AV57">
        <f t="shared" si="18"/>
        <v>0.9</v>
      </c>
      <c r="AW57" t="s">
        <v>1150</v>
      </c>
      <c r="AX57" t="s">
        <v>1150</v>
      </c>
      <c r="AY57">
        <v>12</v>
      </c>
      <c r="AZ57">
        <v>57</v>
      </c>
    </row>
    <row r="58" spans="1:52">
      <c r="A58" t="s">
        <v>1187</v>
      </c>
      <c r="B58" t="s">
        <v>1161</v>
      </c>
      <c r="C58" t="s">
        <v>1188</v>
      </c>
      <c r="D58" t="s">
        <v>1154</v>
      </c>
      <c r="E58" t="s">
        <v>1155</v>
      </c>
      <c r="F58" t="s">
        <v>1189</v>
      </c>
      <c r="G58">
        <f>'Assessment Questions'!J58</f>
        <v>5</v>
      </c>
      <c r="H58">
        <f t="shared" si="0"/>
        <v>0</v>
      </c>
      <c r="I58">
        <f t="shared" si="1"/>
        <v>0</v>
      </c>
      <c r="J58">
        <f t="shared" si="2"/>
        <v>5</v>
      </c>
      <c r="K58">
        <f t="shared" si="3"/>
        <v>5</v>
      </c>
      <c r="L58" t="str">
        <f t="shared" si="4"/>
        <v>Critical</v>
      </c>
      <c r="M58" t="s">
        <v>1069</v>
      </c>
      <c r="N58" t="s">
        <v>1070</v>
      </c>
      <c r="O58" t="s">
        <v>1071</v>
      </c>
      <c r="P58" t="s">
        <v>1072</v>
      </c>
      <c r="Q58" t="s">
        <v>1073</v>
      </c>
      <c r="R58" t="s">
        <v>1074</v>
      </c>
      <c r="S58" t="s">
        <v>1157</v>
      </c>
      <c r="T58">
        <f>'Assessment Questions'!W58</f>
        <v>0</v>
      </c>
      <c r="U58">
        <f>'Assessment Questions'!X58</f>
        <v>0</v>
      </c>
      <c r="V58" t="str">
        <f>'Assessment Questions'!Y58</f>
        <v>Use the recommended action generated by the model; validate with domain owner during real assessment.</v>
      </c>
      <c r="W58">
        <v>4</v>
      </c>
      <c r="X58">
        <v>5</v>
      </c>
      <c r="Y58">
        <v>5</v>
      </c>
      <c r="Z58">
        <f>'Assessment Questions'!AC58</f>
        <v>0</v>
      </c>
      <c r="AB58">
        <f t="shared" si="23"/>
        <v>0</v>
      </c>
      <c r="AC58">
        <f t="shared" si="24"/>
        <v>0</v>
      </c>
      <c r="AD58">
        <f t="shared" si="7"/>
        <v>0</v>
      </c>
      <c r="AE58">
        <f t="shared" si="25"/>
        <v>0</v>
      </c>
      <c r="AF58">
        <f t="shared" si="9"/>
        <v>5</v>
      </c>
      <c r="AG58">
        <f t="shared" si="26"/>
        <v>0</v>
      </c>
      <c r="AH58">
        <f>'Assessment Questions'!AK58</f>
        <v>0</v>
      </c>
      <c r="AI58">
        <f>'Assessment Questions'!AL58</f>
        <v>0</v>
      </c>
      <c r="AJ58">
        <f>IF(OR($H58="",$H58="N/A"),"",IF($AH58="",VLOOKUP('Company Profile'!$B$40,_CONFIG_Model_Settings!$A$5:$B$8,2,FALSE),IFERROR(VLOOKUP($AH58,_CONFIG_Model_Settings!$A$5:$B$8,2,FALSE),0.9)))</f>
        <v>0.9</v>
      </c>
      <c r="AK58">
        <f>IF(OR($H58="",$H58="N/A"),"",IF($AI58="",VLOOKUP('Company Profile'!$B$41,_CONFIG_Model_Settings!$A$5:$B$8,2,FALSE),IFERROR(VLOOKUP($AI58,_CONFIG_Model_Settings!$A$5:$B$8,2,FALSE),0.9)))</f>
        <v>0.9</v>
      </c>
      <c r="AL58">
        <f t="shared" si="11"/>
        <v>0</v>
      </c>
      <c r="AM58">
        <f t="shared" si="12"/>
        <v>0</v>
      </c>
      <c r="AN58">
        <f>IFERROR(MIN(5,MAX(0,(SUMIFS(_REF_Model_Content!$D$1:$D$174,_REF_Model_Content!$A$1:$A$174,PV_Canonical_Industry,_REF_Model_Content!$B$1:$B$174,"Governance Crisis"))+IFERROR(VLOOKUP('Company Profile'!$B$35,_CONFIG_Model_Settings!$A$11:$B$13,2,0),0))),"")</f>
        <v>0</v>
      </c>
      <c r="AO58">
        <f t="shared" si="13"/>
        <v>0</v>
      </c>
      <c r="AP58">
        <f>IFERROR(SUMIFS(_REF_Model_Content!$E$1:$E$174,_REF_Model_Content!$A$1:$A$174,PV_Canonical_Industry,_REF_Model_Content!$B$1:$B$174,"Governance Crisis"),1)</f>
        <v>0</v>
      </c>
      <c r="AQ58">
        <f t="shared" si="14"/>
        <v>0</v>
      </c>
      <c r="AR58" t="str">
        <f t="shared" si="15"/>
        <v>Within target</v>
      </c>
      <c r="AS58">
        <f t="shared" si="16"/>
        <v>0</v>
      </c>
      <c r="AT58">
        <f t="shared" si="17"/>
        <v>0.9</v>
      </c>
      <c r="AU58">
        <f>'Assessment Questions'!AX58</f>
        <v>0</v>
      </c>
      <c r="AV58">
        <f t="shared" si="18"/>
        <v>0.9</v>
      </c>
      <c r="AW58" t="s">
        <v>1150</v>
      </c>
      <c r="AX58" t="s">
        <v>1150</v>
      </c>
      <c r="AY58">
        <v>13</v>
      </c>
      <c r="AZ58">
        <v>58</v>
      </c>
    </row>
    <row r="59" spans="1:52">
      <c r="A59" t="s">
        <v>1190</v>
      </c>
      <c r="B59" t="s">
        <v>1161</v>
      </c>
      <c r="C59" t="s">
        <v>1191</v>
      </c>
      <c r="D59" t="s">
        <v>1154</v>
      </c>
      <c r="E59" t="s">
        <v>1155</v>
      </c>
      <c r="F59" t="s">
        <v>1192</v>
      </c>
      <c r="G59">
        <f>'Assessment Questions'!J59</f>
        <v>5</v>
      </c>
      <c r="H59">
        <f t="shared" si="0"/>
        <v>0</v>
      </c>
      <c r="I59">
        <f t="shared" si="1"/>
        <v>0</v>
      </c>
      <c r="J59">
        <f t="shared" si="2"/>
        <v>5</v>
      </c>
      <c r="K59">
        <f t="shared" si="3"/>
        <v>5</v>
      </c>
      <c r="L59" t="str">
        <f t="shared" si="4"/>
        <v>Critical</v>
      </c>
      <c r="M59" t="s">
        <v>833</v>
      </c>
      <c r="N59" t="s">
        <v>834</v>
      </c>
      <c r="O59" t="s">
        <v>835</v>
      </c>
      <c r="P59" t="s">
        <v>836</v>
      </c>
      <c r="Q59" t="s">
        <v>837</v>
      </c>
      <c r="R59" t="s">
        <v>838</v>
      </c>
      <c r="S59" t="s">
        <v>1157</v>
      </c>
      <c r="T59">
        <f>'Assessment Questions'!W59</f>
        <v>0</v>
      </c>
      <c r="U59">
        <f>'Assessment Questions'!X59</f>
        <v>0</v>
      </c>
      <c r="V59" t="str">
        <f>'Assessment Questions'!Y59</f>
        <v>Use the recommended action generated by the model; validate with domain owner during real assessment.</v>
      </c>
      <c r="W59">
        <v>4</v>
      </c>
      <c r="X59">
        <v>5</v>
      </c>
      <c r="Y59">
        <v>5</v>
      </c>
      <c r="Z59">
        <f>'Assessment Questions'!AC59</f>
        <v>0</v>
      </c>
      <c r="AB59">
        <f t="shared" si="23"/>
        <v>0</v>
      </c>
      <c r="AC59">
        <f t="shared" si="24"/>
        <v>0</v>
      </c>
      <c r="AD59">
        <f t="shared" si="7"/>
        <v>0</v>
      </c>
      <c r="AE59">
        <f t="shared" si="25"/>
        <v>0</v>
      </c>
      <c r="AF59">
        <f t="shared" si="9"/>
        <v>5</v>
      </c>
      <c r="AG59">
        <f t="shared" si="26"/>
        <v>0</v>
      </c>
      <c r="AH59">
        <f>'Assessment Questions'!AK59</f>
        <v>0</v>
      </c>
      <c r="AI59">
        <f>'Assessment Questions'!AL59</f>
        <v>0</v>
      </c>
      <c r="AJ59">
        <f>IF(OR($H59="",$H59="N/A"),"",IF($AH59="",VLOOKUP('Company Profile'!$B$40,_CONFIG_Model_Settings!$A$5:$B$8,2,FALSE),IFERROR(VLOOKUP($AH59,_CONFIG_Model_Settings!$A$5:$B$8,2,FALSE),0.9)))</f>
        <v>0.9</v>
      </c>
      <c r="AK59">
        <f>IF(OR($H59="",$H59="N/A"),"",IF($AI59="",VLOOKUP('Company Profile'!$B$41,_CONFIG_Model_Settings!$A$5:$B$8,2,FALSE),IFERROR(VLOOKUP($AI59,_CONFIG_Model_Settings!$A$5:$B$8,2,FALSE),0.9)))</f>
        <v>0.9</v>
      </c>
      <c r="AL59">
        <f t="shared" si="11"/>
        <v>0</v>
      </c>
      <c r="AM59">
        <f t="shared" si="12"/>
        <v>0</v>
      </c>
      <c r="AN59">
        <f>IFERROR(MIN(5,MAX(0,(SUMIFS(_REF_Model_Content!$D$1:$D$174,_REF_Model_Content!$A$1:$A$174,PV_Canonical_Industry,_REF_Model_Content!$B$1:$B$174,"Governance Crisis"))+IFERROR(VLOOKUP('Company Profile'!$B$35,_CONFIG_Model_Settings!$A$11:$B$13,2,0),0))),"")</f>
        <v>0</v>
      </c>
      <c r="AO59">
        <f t="shared" si="13"/>
        <v>0</v>
      </c>
      <c r="AP59">
        <f>IFERROR(SUMIFS(_REF_Model_Content!$E$1:$E$174,_REF_Model_Content!$A$1:$A$174,PV_Canonical_Industry,_REF_Model_Content!$B$1:$B$174,"Governance Crisis"),1)</f>
        <v>0</v>
      </c>
      <c r="AQ59">
        <f t="shared" si="14"/>
        <v>0</v>
      </c>
      <c r="AR59" t="str">
        <f t="shared" si="15"/>
        <v>Within target</v>
      </c>
      <c r="AS59">
        <f t="shared" si="16"/>
        <v>0</v>
      </c>
      <c r="AT59">
        <f t="shared" si="17"/>
        <v>0.9</v>
      </c>
      <c r="AU59">
        <f>'Assessment Questions'!AX59</f>
        <v>0</v>
      </c>
      <c r="AV59">
        <f t="shared" si="18"/>
        <v>0.9</v>
      </c>
      <c r="AW59" t="s">
        <v>1150</v>
      </c>
      <c r="AX59" t="s">
        <v>1150</v>
      </c>
      <c r="AY59">
        <v>14</v>
      </c>
      <c r="AZ59">
        <v>59</v>
      </c>
    </row>
    <row r="60" spans="1:52">
      <c r="A60" t="s">
        <v>1193</v>
      </c>
      <c r="B60" t="s">
        <v>1161</v>
      </c>
      <c r="C60" t="s">
        <v>1194</v>
      </c>
      <c r="D60" t="s">
        <v>1154</v>
      </c>
      <c r="E60" t="s">
        <v>1155</v>
      </c>
      <c r="F60" t="s">
        <v>1195</v>
      </c>
      <c r="G60">
        <f>'Assessment Questions'!J60</f>
        <v>5</v>
      </c>
      <c r="H60">
        <f t="shared" si="0"/>
        <v>0</v>
      </c>
      <c r="I60">
        <f t="shared" si="1"/>
        <v>0</v>
      </c>
      <c r="J60">
        <f t="shared" si="2"/>
        <v>5</v>
      </c>
      <c r="K60">
        <f t="shared" si="3"/>
        <v>5</v>
      </c>
      <c r="L60" t="str">
        <f t="shared" si="4"/>
        <v>Critical</v>
      </c>
      <c r="M60" t="s">
        <v>874</v>
      </c>
      <c r="N60" t="s">
        <v>875</v>
      </c>
      <c r="O60" t="s">
        <v>876</v>
      </c>
      <c r="P60" t="s">
        <v>877</v>
      </c>
      <c r="Q60" t="s">
        <v>878</v>
      </c>
      <c r="R60" t="s">
        <v>879</v>
      </c>
      <c r="S60" t="s">
        <v>1157</v>
      </c>
      <c r="T60">
        <f>'Assessment Questions'!W60</f>
        <v>0</v>
      </c>
      <c r="U60">
        <f>'Assessment Questions'!X60</f>
        <v>0</v>
      </c>
      <c r="V60" t="str">
        <f>'Assessment Questions'!Y60</f>
        <v>Use the recommended action generated by the model; validate with domain owner during real assessment.</v>
      </c>
      <c r="W60">
        <v>4</v>
      </c>
      <c r="X60">
        <v>5</v>
      </c>
      <c r="Y60">
        <v>5</v>
      </c>
      <c r="Z60">
        <f>'Assessment Questions'!AC60</f>
        <v>0</v>
      </c>
      <c r="AB60">
        <f t="shared" si="23"/>
        <v>0</v>
      </c>
      <c r="AC60">
        <f t="shared" si="24"/>
        <v>0</v>
      </c>
      <c r="AD60">
        <f t="shared" si="7"/>
        <v>0</v>
      </c>
      <c r="AE60">
        <f t="shared" si="25"/>
        <v>0</v>
      </c>
      <c r="AF60">
        <f t="shared" si="9"/>
        <v>5</v>
      </c>
      <c r="AG60">
        <f t="shared" si="26"/>
        <v>0</v>
      </c>
      <c r="AH60">
        <f>'Assessment Questions'!AK60</f>
        <v>0</v>
      </c>
      <c r="AI60">
        <f>'Assessment Questions'!AL60</f>
        <v>0</v>
      </c>
      <c r="AJ60">
        <f>IF(OR($H60="",$H60="N/A"),"",IF($AH60="",VLOOKUP('Company Profile'!$B$40,_CONFIG_Model_Settings!$A$5:$B$8,2,FALSE),IFERROR(VLOOKUP($AH60,_CONFIG_Model_Settings!$A$5:$B$8,2,FALSE),0.9)))</f>
        <v>0.9</v>
      </c>
      <c r="AK60">
        <f>IF(OR($H60="",$H60="N/A"),"",IF($AI60="",VLOOKUP('Company Profile'!$B$41,_CONFIG_Model_Settings!$A$5:$B$8,2,FALSE),IFERROR(VLOOKUP($AI60,_CONFIG_Model_Settings!$A$5:$B$8,2,FALSE),0.9)))</f>
        <v>0.9</v>
      </c>
      <c r="AL60">
        <f t="shared" si="11"/>
        <v>0</v>
      </c>
      <c r="AM60">
        <f t="shared" si="12"/>
        <v>0</v>
      </c>
      <c r="AN60">
        <f>IFERROR(MIN(5,MAX(0,(SUMIFS(_REF_Model_Content!$D$1:$D$174,_REF_Model_Content!$A$1:$A$174,PV_Canonical_Industry,_REF_Model_Content!$B$1:$B$174,"Governance Crisis"))+IFERROR(VLOOKUP('Company Profile'!$B$35,_CONFIG_Model_Settings!$A$11:$B$13,2,0),0))),"")</f>
        <v>0</v>
      </c>
      <c r="AO60">
        <f t="shared" si="13"/>
        <v>0</v>
      </c>
      <c r="AP60">
        <f>IFERROR(SUMIFS(_REF_Model_Content!$E$1:$E$174,_REF_Model_Content!$A$1:$A$174,PV_Canonical_Industry,_REF_Model_Content!$B$1:$B$174,"Governance Crisis"),1)</f>
        <v>0</v>
      </c>
      <c r="AQ60">
        <f t="shared" si="14"/>
        <v>0</v>
      </c>
      <c r="AR60" t="str">
        <f t="shared" si="15"/>
        <v>Within target</v>
      </c>
      <c r="AS60">
        <f t="shared" si="16"/>
        <v>0</v>
      </c>
      <c r="AT60">
        <f t="shared" si="17"/>
        <v>0.9</v>
      </c>
      <c r="AU60">
        <f>'Assessment Questions'!AX60</f>
        <v>0</v>
      </c>
      <c r="AV60">
        <f t="shared" si="18"/>
        <v>0.9</v>
      </c>
      <c r="AW60" t="s">
        <v>1150</v>
      </c>
      <c r="AX60" t="s">
        <v>1150</v>
      </c>
      <c r="AY60">
        <v>15</v>
      </c>
      <c r="AZ60">
        <v>60</v>
      </c>
    </row>
    <row r="61" spans="1:52">
      <c r="A61" t="s">
        <v>1196</v>
      </c>
      <c r="B61" t="s">
        <v>1161</v>
      </c>
      <c r="C61" t="s">
        <v>1197</v>
      </c>
      <c r="D61" t="s">
        <v>1154</v>
      </c>
      <c r="E61" t="s">
        <v>1155</v>
      </c>
      <c r="F61" t="s">
        <v>1198</v>
      </c>
      <c r="G61">
        <f>'Assessment Questions'!J61</f>
        <v>5</v>
      </c>
      <c r="H61">
        <f t="shared" si="0"/>
        <v>0</v>
      </c>
      <c r="I61">
        <f t="shared" si="1"/>
        <v>0</v>
      </c>
      <c r="J61">
        <f t="shared" si="2"/>
        <v>5</v>
      </c>
      <c r="K61">
        <f t="shared" si="3"/>
        <v>5</v>
      </c>
      <c r="L61" t="str">
        <f t="shared" si="4"/>
        <v>Critical</v>
      </c>
      <c r="M61" t="s">
        <v>833</v>
      </c>
      <c r="N61" t="s">
        <v>834</v>
      </c>
      <c r="O61" t="s">
        <v>835</v>
      </c>
      <c r="P61" t="s">
        <v>836</v>
      </c>
      <c r="Q61" t="s">
        <v>837</v>
      </c>
      <c r="R61" t="s">
        <v>838</v>
      </c>
      <c r="S61" t="s">
        <v>1157</v>
      </c>
      <c r="T61">
        <f>'Assessment Questions'!W61</f>
        <v>0</v>
      </c>
      <c r="U61">
        <f>'Assessment Questions'!X61</f>
        <v>0</v>
      </c>
      <c r="V61" t="str">
        <f>'Assessment Questions'!Y61</f>
        <v>Use the recommended action generated by the model; validate with domain owner during real assessment.</v>
      </c>
      <c r="W61">
        <v>5</v>
      </c>
      <c r="X61">
        <v>5</v>
      </c>
      <c r="Y61">
        <v>5</v>
      </c>
      <c r="Z61">
        <f>'Assessment Questions'!AC61</f>
        <v>0</v>
      </c>
      <c r="AB61">
        <f t="shared" si="23"/>
        <v>0</v>
      </c>
      <c r="AC61">
        <f t="shared" si="24"/>
        <v>0</v>
      </c>
      <c r="AD61">
        <f t="shared" si="7"/>
        <v>0</v>
      </c>
      <c r="AE61">
        <f t="shared" si="25"/>
        <v>0</v>
      </c>
      <c r="AF61">
        <f t="shared" si="9"/>
        <v>5</v>
      </c>
      <c r="AG61">
        <f t="shared" si="26"/>
        <v>0</v>
      </c>
      <c r="AH61">
        <f>'Assessment Questions'!AK61</f>
        <v>0</v>
      </c>
      <c r="AI61">
        <f>'Assessment Questions'!AL61</f>
        <v>0</v>
      </c>
      <c r="AJ61">
        <f>IF(OR($H61="",$H61="N/A"),"",IF($AH61="",VLOOKUP('Company Profile'!$B$40,_CONFIG_Model_Settings!$A$5:$B$8,2,FALSE),IFERROR(VLOOKUP($AH61,_CONFIG_Model_Settings!$A$5:$B$8,2,FALSE),0.9)))</f>
        <v>0.9</v>
      </c>
      <c r="AK61">
        <f>IF(OR($H61="",$H61="N/A"),"",IF($AI61="",VLOOKUP('Company Profile'!$B$41,_CONFIG_Model_Settings!$A$5:$B$8,2,FALSE),IFERROR(VLOOKUP($AI61,_CONFIG_Model_Settings!$A$5:$B$8,2,FALSE),0.9)))</f>
        <v>0.9</v>
      </c>
      <c r="AL61">
        <f t="shared" si="11"/>
        <v>0</v>
      </c>
      <c r="AM61">
        <f t="shared" si="12"/>
        <v>0</v>
      </c>
      <c r="AN61">
        <f>IFERROR(MIN(5,MAX(0,(SUMIFS(_REF_Model_Content!$D$1:$D$174,_REF_Model_Content!$A$1:$A$174,PV_Canonical_Industry,_REF_Model_Content!$B$1:$B$174,"Governance Crisis"))+IFERROR(VLOOKUP('Company Profile'!$B$35,_CONFIG_Model_Settings!$A$11:$B$13,2,0),0))),"")</f>
        <v>0</v>
      </c>
      <c r="AO61">
        <f t="shared" si="13"/>
        <v>0</v>
      </c>
      <c r="AP61">
        <f>IFERROR(SUMIFS(_REF_Model_Content!$E$1:$E$174,_REF_Model_Content!$A$1:$A$174,PV_Canonical_Industry,_REF_Model_Content!$B$1:$B$174,"Governance Crisis"),1)</f>
        <v>0</v>
      </c>
      <c r="AQ61">
        <f t="shared" si="14"/>
        <v>0</v>
      </c>
      <c r="AR61" t="str">
        <f t="shared" si="15"/>
        <v>Within target</v>
      </c>
      <c r="AS61">
        <f t="shared" si="16"/>
        <v>0</v>
      </c>
      <c r="AT61">
        <f t="shared" si="17"/>
        <v>0.9</v>
      </c>
      <c r="AU61">
        <f>'Assessment Questions'!AX61</f>
        <v>0</v>
      </c>
      <c r="AV61">
        <f t="shared" si="18"/>
        <v>0.9</v>
      </c>
      <c r="AW61" t="s">
        <v>1150</v>
      </c>
      <c r="AX61" t="s">
        <v>1150</v>
      </c>
      <c r="AY61">
        <v>16</v>
      </c>
      <c r="AZ61">
        <v>61</v>
      </c>
    </row>
    <row r="62" spans="1:52">
      <c r="A62" t="s">
        <v>1199</v>
      </c>
      <c r="B62" t="s">
        <v>1161</v>
      </c>
      <c r="C62" t="s">
        <v>1200</v>
      </c>
      <c r="D62" t="s">
        <v>1154</v>
      </c>
      <c r="E62" t="s">
        <v>1155</v>
      </c>
      <c r="F62" t="s">
        <v>1201</v>
      </c>
      <c r="G62">
        <f>'Assessment Questions'!J62</f>
        <v>5</v>
      </c>
      <c r="H62">
        <f t="shared" si="0"/>
        <v>0</v>
      </c>
      <c r="I62">
        <f t="shared" si="1"/>
        <v>0</v>
      </c>
      <c r="J62">
        <f t="shared" si="2"/>
        <v>5</v>
      </c>
      <c r="K62">
        <f t="shared" si="3"/>
        <v>5</v>
      </c>
      <c r="L62" t="str">
        <f t="shared" si="4"/>
        <v>Critical</v>
      </c>
      <c r="M62" t="s">
        <v>1202</v>
      </c>
      <c r="N62" t="s">
        <v>1203</v>
      </c>
      <c r="O62" t="s">
        <v>1204</v>
      </c>
      <c r="P62" t="s">
        <v>1205</v>
      </c>
      <c r="Q62" t="s">
        <v>1206</v>
      </c>
      <c r="R62" t="s">
        <v>1207</v>
      </c>
      <c r="S62" t="s">
        <v>1157</v>
      </c>
      <c r="T62">
        <f>'Assessment Questions'!W62</f>
        <v>0</v>
      </c>
      <c r="U62">
        <f>'Assessment Questions'!X62</f>
        <v>0</v>
      </c>
      <c r="V62" t="str">
        <f>'Assessment Questions'!Y62</f>
        <v>Use the recommended action generated by the model; validate with domain owner during real assessment.</v>
      </c>
      <c r="W62">
        <v>4</v>
      </c>
      <c r="X62">
        <v>5</v>
      </c>
      <c r="Y62">
        <v>5</v>
      </c>
      <c r="Z62">
        <f>'Assessment Questions'!AC62</f>
        <v>0</v>
      </c>
      <c r="AB62">
        <f t="shared" si="23"/>
        <v>0</v>
      </c>
      <c r="AC62">
        <f t="shared" si="24"/>
        <v>0</v>
      </c>
      <c r="AD62">
        <f t="shared" si="7"/>
        <v>0</v>
      </c>
      <c r="AE62">
        <f t="shared" si="25"/>
        <v>0</v>
      </c>
      <c r="AF62">
        <f t="shared" si="9"/>
        <v>5</v>
      </c>
      <c r="AG62">
        <f t="shared" si="26"/>
        <v>0</v>
      </c>
      <c r="AH62">
        <f>'Assessment Questions'!AK62</f>
        <v>0</v>
      </c>
      <c r="AI62">
        <f>'Assessment Questions'!AL62</f>
        <v>0</v>
      </c>
      <c r="AJ62">
        <f>IF(OR($H62="",$H62="N/A"),"",IF($AH62="",VLOOKUP('Company Profile'!$B$40,_CONFIG_Model_Settings!$A$5:$B$8,2,FALSE),IFERROR(VLOOKUP($AH62,_CONFIG_Model_Settings!$A$5:$B$8,2,FALSE),0.9)))</f>
        <v>0.9</v>
      </c>
      <c r="AK62">
        <f>IF(OR($H62="",$H62="N/A"),"",IF($AI62="",VLOOKUP('Company Profile'!$B$41,_CONFIG_Model_Settings!$A$5:$B$8,2,FALSE),IFERROR(VLOOKUP($AI62,_CONFIG_Model_Settings!$A$5:$B$8,2,FALSE),0.9)))</f>
        <v>0.9</v>
      </c>
      <c r="AL62">
        <f t="shared" si="11"/>
        <v>0</v>
      </c>
      <c r="AM62">
        <f t="shared" si="12"/>
        <v>0</v>
      </c>
      <c r="AN62">
        <f>IFERROR(MIN(5,MAX(0,(SUMIFS(_REF_Model_Content!$D$1:$D$174,_REF_Model_Content!$A$1:$A$174,PV_Canonical_Industry,_REF_Model_Content!$B$1:$B$174,"Governance Crisis"))+IFERROR(VLOOKUP('Company Profile'!$B$35,_CONFIG_Model_Settings!$A$11:$B$13,2,0),0))),"")</f>
        <v>0</v>
      </c>
      <c r="AO62">
        <f t="shared" si="13"/>
        <v>0</v>
      </c>
      <c r="AP62">
        <f>IFERROR(SUMIFS(_REF_Model_Content!$E$1:$E$174,_REF_Model_Content!$A$1:$A$174,PV_Canonical_Industry,_REF_Model_Content!$B$1:$B$174,"Governance Crisis"),1)</f>
        <v>0</v>
      </c>
      <c r="AQ62">
        <f t="shared" si="14"/>
        <v>0</v>
      </c>
      <c r="AR62" t="str">
        <f t="shared" si="15"/>
        <v>Within target</v>
      </c>
      <c r="AS62">
        <f t="shared" si="16"/>
        <v>0</v>
      </c>
      <c r="AT62">
        <f t="shared" si="17"/>
        <v>0.9</v>
      </c>
      <c r="AU62">
        <f>'Assessment Questions'!AX62</f>
        <v>0</v>
      </c>
      <c r="AV62">
        <f t="shared" si="18"/>
        <v>0.9</v>
      </c>
      <c r="AW62" t="s">
        <v>1150</v>
      </c>
      <c r="AX62" t="s">
        <v>1150</v>
      </c>
      <c r="AY62">
        <v>17</v>
      </c>
      <c r="AZ62">
        <v>62</v>
      </c>
    </row>
    <row r="63" spans="1:52">
      <c r="A63" t="s">
        <v>1208</v>
      </c>
      <c r="B63" t="s">
        <v>1165</v>
      </c>
      <c r="C63" t="s">
        <v>1209</v>
      </c>
      <c r="D63" t="s">
        <v>1154</v>
      </c>
      <c r="E63" t="s">
        <v>1155</v>
      </c>
      <c r="F63" t="s">
        <v>1210</v>
      </c>
      <c r="G63">
        <f>'Assessment Questions'!J63</f>
        <v>5</v>
      </c>
      <c r="H63">
        <f t="shared" si="0"/>
        <v>0</v>
      </c>
      <c r="I63">
        <f t="shared" si="1"/>
        <v>0</v>
      </c>
      <c r="J63">
        <f t="shared" si="2"/>
        <v>5</v>
      </c>
      <c r="K63">
        <f t="shared" si="3"/>
        <v>5</v>
      </c>
      <c r="L63" t="str">
        <f t="shared" si="4"/>
        <v>Critical</v>
      </c>
      <c r="M63" t="s">
        <v>833</v>
      </c>
      <c r="N63" t="s">
        <v>834</v>
      </c>
      <c r="O63" t="s">
        <v>835</v>
      </c>
      <c r="P63" t="s">
        <v>836</v>
      </c>
      <c r="Q63" t="s">
        <v>837</v>
      </c>
      <c r="R63" t="s">
        <v>838</v>
      </c>
      <c r="S63" t="s">
        <v>1157</v>
      </c>
      <c r="T63">
        <f>'Assessment Questions'!W63</f>
        <v>0</v>
      </c>
      <c r="U63">
        <f>'Assessment Questions'!X63</f>
        <v>0</v>
      </c>
      <c r="V63" t="str">
        <f>'Assessment Questions'!Y63</f>
        <v>Use the recommended action generated by the model; validate with domain owner during real assessment.</v>
      </c>
      <c r="W63">
        <v>4</v>
      </c>
      <c r="X63">
        <v>5</v>
      </c>
      <c r="Y63">
        <v>5</v>
      </c>
      <c r="Z63">
        <f>'Assessment Questions'!AC63</f>
        <v>0</v>
      </c>
      <c r="AB63">
        <f t="shared" si="23"/>
        <v>0</v>
      </c>
      <c r="AC63">
        <f t="shared" si="24"/>
        <v>0</v>
      </c>
      <c r="AD63">
        <f t="shared" si="7"/>
        <v>0</v>
      </c>
      <c r="AE63">
        <f t="shared" si="25"/>
        <v>0</v>
      </c>
      <c r="AF63">
        <f t="shared" si="9"/>
        <v>5</v>
      </c>
      <c r="AG63">
        <f t="shared" si="26"/>
        <v>0</v>
      </c>
      <c r="AH63">
        <f>'Assessment Questions'!AK63</f>
        <v>0</v>
      </c>
      <c r="AI63">
        <f>'Assessment Questions'!AL63</f>
        <v>0</v>
      </c>
      <c r="AJ63">
        <f>IF(OR($H63="",$H63="N/A"),"",IF($AH63="",VLOOKUP('Company Profile'!$B$40,_CONFIG_Model_Settings!$A$5:$B$8,2,FALSE),IFERROR(VLOOKUP($AH63,_CONFIG_Model_Settings!$A$5:$B$8,2,FALSE),0.9)))</f>
        <v>0.9</v>
      </c>
      <c r="AK63">
        <f>IF(OR($H63="",$H63="N/A"),"",IF($AI63="",VLOOKUP('Company Profile'!$B$41,_CONFIG_Model_Settings!$A$5:$B$8,2,FALSE),IFERROR(VLOOKUP($AI63,_CONFIG_Model_Settings!$A$5:$B$8,2,FALSE),0.9)))</f>
        <v>0.9</v>
      </c>
      <c r="AL63">
        <f t="shared" si="11"/>
        <v>0</v>
      </c>
      <c r="AM63">
        <f t="shared" si="12"/>
        <v>0</v>
      </c>
      <c r="AN63">
        <f>IFERROR(MIN(5,MAX(0,(SUMIFS(_REF_Model_Content!$D$1:$D$174,_REF_Model_Content!$A$1:$A$174,PV_Canonical_Industry,_REF_Model_Content!$B$1:$B$174,"Governance Crisis"))+IFERROR(VLOOKUP('Company Profile'!$B$35,_CONFIG_Model_Settings!$A$11:$B$13,2,0),0))),"")</f>
        <v>0</v>
      </c>
      <c r="AO63">
        <f t="shared" si="13"/>
        <v>0</v>
      </c>
      <c r="AP63">
        <f>IFERROR(SUMIFS(_REF_Model_Content!$E$1:$E$174,_REF_Model_Content!$A$1:$A$174,PV_Canonical_Industry,_REF_Model_Content!$B$1:$B$174,"Governance Crisis"),1)</f>
        <v>0</v>
      </c>
      <c r="AQ63">
        <f t="shared" si="14"/>
        <v>0</v>
      </c>
      <c r="AR63" t="str">
        <f t="shared" si="15"/>
        <v>Within target</v>
      </c>
      <c r="AS63">
        <f t="shared" si="16"/>
        <v>0</v>
      </c>
      <c r="AT63">
        <f t="shared" si="17"/>
        <v>0.9</v>
      </c>
      <c r="AU63">
        <f>'Assessment Questions'!AX63</f>
        <v>0</v>
      </c>
      <c r="AV63">
        <f t="shared" si="18"/>
        <v>0.9</v>
      </c>
      <c r="AW63" t="s">
        <v>1150</v>
      </c>
      <c r="AX63" t="s">
        <v>1150</v>
      </c>
      <c r="AY63">
        <v>18</v>
      </c>
      <c r="AZ63">
        <v>63</v>
      </c>
    </row>
    <row r="64" spans="1:52">
      <c r="A64" t="s">
        <v>1211</v>
      </c>
      <c r="B64" t="s">
        <v>1165</v>
      </c>
      <c r="C64" t="s">
        <v>1212</v>
      </c>
      <c r="D64" t="s">
        <v>1154</v>
      </c>
      <c r="E64" t="s">
        <v>1155</v>
      </c>
      <c r="F64" t="s">
        <v>1213</v>
      </c>
      <c r="G64">
        <f>'Assessment Questions'!J64</f>
        <v>5</v>
      </c>
      <c r="H64">
        <f t="shared" si="0"/>
        <v>0</v>
      </c>
      <c r="I64">
        <f t="shared" si="1"/>
        <v>0</v>
      </c>
      <c r="J64">
        <f t="shared" si="2"/>
        <v>5</v>
      </c>
      <c r="K64">
        <f t="shared" si="3"/>
        <v>5</v>
      </c>
      <c r="L64" t="str">
        <f t="shared" si="4"/>
        <v>Critical</v>
      </c>
      <c r="M64" t="s">
        <v>833</v>
      </c>
      <c r="N64" t="s">
        <v>834</v>
      </c>
      <c r="O64" t="s">
        <v>835</v>
      </c>
      <c r="P64" t="s">
        <v>836</v>
      </c>
      <c r="Q64" t="s">
        <v>837</v>
      </c>
      <c r="R64" t="s">
        <v>838</v>
      </c>
      <c r="S64" t="s">
        <v>1157</v>
      </c>
      <c r="T64">
        <f>'Assessment Questions'!W64</f>
        <v>0</v>
      </c>
      <c r="U64">
        <f>'Assessment Questions'!X64</f>
        <v>0</v>
      </c>
      <c r="V64" t="str">
        <f>'Assessment Questions'!Y64</f>
        <v>Use the recommended action generated by the model; validate with domain owner during real assessment.</v>
      </c>
      <c r="W64">
        <v>4</v>
      </c>
      <c r="X64">
        <v>5</v>
      </c>
      <c r="Y64">
        <v>5</v>
      </c>
      <c r="Z64">
        <f>'Assessment Questions'!AC64</f>
        <v>0</v>
      </c>
      <c r="AB64">
        <f t="shared" si="23"/>
        <v>0</v>
      </c>
      <c r="AC64">
        <f t="shared" si="24"/>
        <v>0</v>
      </c>
      <c r="AD64">
        <f t="shared" si="7"/>
        <v>0</v>
      </c>
      <c r="AE64">
        <f t="shared" si="25"/>
        <v>0</v>
      </c>
      <c r="AF64">
        <f t="shared" si="9"/>
        <v>5</v>
      </c>
      <c r="AG64">
        <f t="shared" si="26"/>
        <v>0</v>
      </c>
      <c r="AH64">
        <f>'Assessment Questions'!AK64</f>
        <v>0</v>
      </c>
      <c r="AI64">
        <f>'Assessment Questions'!AL64</f>
        <v>0</v>
      </c>
      <c r="AJ64">
        <f>IF(OR($H64="",$H64="N/A"),"",IF($AH64="",VLOOKUP('Company Profile'!$B$40,_CONFIG_Model_Settings!$A$5:$B$8,2,FALSE),IFERROR(VLOOKUP($AH64,_CONFIG_Model_Settings!$A$5:$B$8,2,FALSE),0.9)))</f>
        <v>0.9</v>
      </c>
      <c r="AK64">
        <f>IF(OR($H64="",$H64="N/A"),"",IF($AI64="",VLOOKUP('Company Profile'!$B$41,_CONFIG_Model_Settings!$A$5:$B$8,2,FALSE),IFERROR(VLOOKUP($AI64,_CONFIG_Model_Settings!$A$5:$B$8,2,FALSE),0.9)))</f>
        <v>0.9</v>
      </c>
      <c r="AL64">
        <f t="shared" si="11"/>
        <v>0</v>
      </c>
      <c r="AM64">
        <f t="shared" si="12"/>
        <v>0</v>
      </c>
      <c r="AN64">
        <f>IFERROR(MIN(5,MAX(0,(SUMIFS(_REF_Model_Content!$D$1:$D$174,_REF_Model_Content!$A$1:$A$174,PV_Canonical_Industry,_REF_Model_Content!$B$1:$B$174,"Governance Crisis"))+IFERROR(VLOOKUP('Company Profile'!$B$35,_CONFIG_Model_Settings!$A$11:$B$13,2,0),0))),"")</f>
        <v>0</v>
      </c>
      <c r="AO64">
        <f t="shared" si="13"/>
        <v>0</v>
      </c>
      <c r="AP64">
        <f>IFERROR(SUMIFS(_REF_Model_Content!$E$1:$E$174,_REF_Model_Content!$A$1:$A$174,PV_Canonical_Industry,_REF_Model_Content!$B$1:$B$174,"Governance Crisis"),1)</f>
        <v>0</v>
      </c>
      <c r="AQ64">
        <f t="shared" si="14"/>
        <v>0</v>
      </c>
      <c r="AR64" t="str">
        <f t="shared" si="15"/>
        <v>Within target</v>
      </c>
      <c r="AS64">
        <f t="shared" si="16"/>
        <v>0</v>
      </c>
      <c r="AT64">
        <f t="shared" si="17"/>
        <v>0.9</v>
      </c>
      <c r="AU64">
        <f>'Assessment Questions'!AX64</f>
        <v>0</v>
      </c>
      <c r="AV64">
        <f t="shared" si="18"/>
        <v>0.9</v>
      </c>
      <c r="AW64" t="s">
        <v>1150</v>
      </c>
      <c r="AX64" t="s">
        <v>1150</v>
      </c>
      <c r="AY64">
        <v>19</v>
      </c>
      <c r="AZ64">
        <v>64</v>
      </c>
    </row>
    <row r="65" spans="1:52">
      <c r="A65" t="s">
        <v>1214</v>
      </c>
      <c r="B65" t="s">
        <v>1165</v>
      </c>
      <c r="C65" t="s">
        <v>1215</v>
      </c>
      <c r="D65" t="s">
        <v>1154</v>
      </c>
      <c r="E65" t="s">
        <v>1155</v>
      </c>
      <c r="F65" t="s">
        <v>1216</v>
      </c>
      <c r="G65">
        <f>'Assessment Questions'!J65</f>
        <v>5</v>
      </c>
      <c r="H65">
        <f t="shared" si="0"/>
        <v>0</v>
      </c>
      <c r="I65">
        <f t="shared" si="1"/>
        <v>0</v>
      </c>
      <c r="J65">
        <f t="shared" si="2"/>
        <v>5</v>
      </c>
      <c r="K65">
        <f t="shared" si="3"/>
        <v>5</v>
      </c>
      <c r="L65" t="str">
        <f t="shared" si="4"/>
        <v>Critical</v>
      </c>
      <c r="M65" t="s">
        <v>1051</v>
      </c>
      <c r="N65" t="s">
        <v>1052</v>
      </c>
      <c r="O65" t="s">
        <v>1053</v>
      </c>
      <c r="P65" t="s">
        <v>1054</v>
      </c>
      <c r="Q65" t="s">
        <v>1055</v>
      </c>
      <c r="R65" t="s">
        <v>1056</v>
      </c>
      <c r="S65" t="s">
        <v>1157</v>
      </c>
      <c r="T65">
        <f>'Assessment Questions'!W65</f>
        <v>0</v>
      </c>
      <c r="U65">
        <f>'Assessment Questions'!X65</f>
        <v>0</v>
      </c>
      <c r="V65" t="str">
        <f>'Assessment Questions'!Y65</f>
        <v>Use the recommended action generated by the model; validate with domain owner during real assessment.</v>
      </c>
      <c r="W65">
        <v>4</v>
      </c>
      <c r="X65">
        <v>5</v>
      </c>
      <c r="Y65">
        <v>5</v>
      </c>
      <c r="Z65">
        <f>'Assessment Questions'!AC65</f>
        <v>0</v>
      </c>
      <c r="AB65">
        <f t="shared" si="23"/>
        <v>0</v>
      </c>
      <c r="AC65">
        <f t="shared" si="24"/>
        <v>0</v>
      </c>
      <c r="AD65">
        <f t="shared" si="7"/>
        <v>0</v>
      </c>
      <c r="AE65">
        <f t="shared" si="25"/>
        <v>0</v>
      </c>
      <c r="AF65">
        <f t="shared" si="9"/>
        <v>5</v>
      </c>
      <c r="AG65">
        <f t="shared" si="26"/>
        <v>0</v>
      </c>
      <c r="AH65">
        <f>'Assessment Questions'!AK65</f>
        <v>0</v>
      </c>
      <c r="AI65">
        <f>'Assessment Questions'!AL65</f>
        <v>0</v>
      </c>
      <c r="AJ65">
        <f>IF(OR($H65="",$H65="N/A"),"",IF($AH65="",VLOOKUP('Company Profile'!$B$40,_CONFIG_Model_Settings!$A$5:$B$8,2,FALSE),IFERROR(VLOOKUP($AH65,_CONFIG_Model_Settings!$A$5:$B$8,2,FALSE),0.9)))</f>
        <v>0.9</v>
      </c>
      <c r="AK65">
        <f>IF(OR($H65="",$H65="N/A"),"",IF($AI65="",VLOOKUP('Company Profile'!$B$41,_CONFIG_Model_Settings!$A$5:$B$8,2,FALSE),IFERROR(VLOOKUP($AI65,_CONFIG_Model_Settings!$A$5:$B$8,2,FALSE),0.9)))</f>
        <v>0.9</v>
      </c>
      <c r="AL65">
        <f t="shared" si="11"/>
        <v>0</v>
      </c>
      <c r="AM65">
        <f t="shared" si="12"/>
        <v>0</v>
      </c>
      <c r="AN65">
        <f>IFERROR(MIN(5,MAX(0,(SUMIFS(_REF_Model_Content!$D$1:$D$174,_REF_Model_Content!$A$1:$A$174,PV_Canonical_Industry,_REF_Model_Content!$B$1:$B$174,"Governance Crisis"))+IFERROR(VLOOKUP('Company Profile'!$B$35,_CONFIG_Model_Settings!$A$11:$B$13,2,0),0))),"")</f>
        <v>0</v>
      </c>
      <c r="AO65">
        <f t="shared" si="13"/>
        <v>0</v>
      </c>
      <c r="AP65">
        <f>IFERROR(SUMIFS(_REF_Model_Content!$E$1:$E$174,_REF_Model_Content!$A$1:$A$174,PV_Canonical_Industry,_REF_Model_Content!$B$1:$B$174,"Governance Crisis"),1)</f>
        <v>0</v>
      </c>
      <c r="AQ65">
        <f t="shared" si="14"/>
        <v>0</v>
      </c>
      <c r="AR65" t="str">
        <f t="shared" si="15"/>
        <v>Within target</v>
      </c>
      <c r="AS65">
        <f t="shared" si="16"/>
        <v>0</v>
      </c>
      <c r="AT65">
        <f t="shared" si="17"/>
        <v>0.9</v>
      </c>
      <c r="AU65">
        <f>'Assessment Questions'!AX65</f>
        <v>0</v>
      </c>
      <c r="AV65">
        <f t="shared" si="18"/>
        <v>0.9</v>
      </c>
      <c r="AW65" t="s">
        <v>1150</v>
      </c>
      <c r="AX65" t="s">
        <v>1150</v>
      </c>
      <c r="AY65">
        <v>20</v>
      </c>
      <c r="AZ65">
        <v>65</v>
      </c>
    </row>
    <row r="66" spans="1:52">
      <c r="A66" t="s">
        <v>1217</v>
      </c>
      <c r="B66" t="s">
        <v>1165</v>
      </c>
      <c r="C66" t="s">
        <v>1218</v>
      </c>
      <c r="D66" t="s">
        <v>1154</v>
      </c>
      <c r="E66" t="s">
        <v>1155</v>
      </c>
      <c r="F66" t="s">
        <v>1219</v>
      </c>
      <c r="G66">
        <f>'Assessment Questions'!J66</f>
        <v>5</v>
      </c>
      <c r="H66">
        <f t="shared" si="0"/>
        <v>0</v>
      </c>
      <c r="I66">
        <f t="shared" si="1"/>
        <v>0</v>
      </c>
      <c r="J66">
        <f t="shared" si="2"/>
        <v>5</v>
      </c>
      <c r="K66">
        <f t="shared" si="3"/>
        <v>5</v>
      </c>
      <c r="L66" t="str">
        <f t="shared" si="4"/>
        <v>Critical</v>
      </c>
      <c r="M66" t="s">
        <v>874</v>
      </c>
      <c r="N66" t="s">
        <v>875</v>
      </c>
      <c r="O66" t="s">
        <v>876</v>
      </c>
      <c r="P66" t="s">
        <v>877</v>
      </c>
      <c r="Q66" t="s">
        <v>878</v>
      </c>
      <c r="R66" t="s">
        <v>879</v>
      </c>
      <c r="S66" t="s">
        <v>1157</v>
      </c>
      <c r="T66">
        <f>'Assessment Questions'!W66</f>
        <v>0</v>
      </c>
      <c r="U66">
        <f>'Assessment Questions'!X66</f>
        <v>0</v>
      </c>
      <c r="V66" t="str">
        <f>'Assessment Questions'!Y66</f>
        <v>Use the recommended action generated by the model; validate with domain owner during real assessment.</v>
      </c>
      <c r="W66">
        <v>4</v>
      </c>
      <c r="X66">
        <v>5</v>
      </c>
      <c r="Y66">
        <v>5</v>
      </c>
      <c r="Z66">
        <f>'Assessment Questions'!AC66</f>
        <v>0</v>
      </c>
      <c r="AB66">
        <f t="shared" si="23"/>
        <v>0</v>
      </c>
      <c r="AC66">
        <f t="shared" si="24"/>
        <v>0</v>
      </c>
      <c r="AD66">
        <f t="shared" si="7"/>
        <v>0</v>
      </c>
      <c r="AE66">
        <f t="shared" si="25"/>
        <v>0</v>
      </c>
      <c r="AF66">
        <f t="shared" si="9"/>
        <v>5</v>
      </c>
      <c r="AG66">
        <f t="shared" si="26"/>
        <v>0</v>
      </c>
      <c r="AH66">
        <f>'Assessment Questions'!AK66</f>
        <v>0</v>
      </c>
      <c r="AI66">
        <f>'Assessment Questions'!AL66</f>
        <v>0</v>
      </c>
      <c r="AJ66">
        <f>IF(OR($H66="",$H66="N/A"),"",IF($AH66="",VLOOKUP('Company Profile'!$B$40,_CONFIG_Model_Settings!$A$5:$B$8,2,FALSE),IFERROR(VLOOKUP($AH66,_CONFIG_Model_Settings!$A$5:$B$8,2,FALSE),0.9)))</f>
        <v>0.9</v>
      </c>
      <c r="AK66">
        <f>IF(OR($H66="",$H66="N/A"),"",IF($AI66="",VLOOKUP('Company Profile'!$B$41,_CONFIG_Model_Settings!$A$5:$B$8,2,FALSE),IFERROR(VLOOKUP($AI66,_CONFIG_Model_Settings!$A$5:$B$8,2,FALSE),0.9)))</f>
        <v>0.9</v>
      </c>
      <c r="AL66">
        <f t="shared" si="11"/>
        <v>0</v>
      </c>
      <c r="AM66">
        <f t="shared" si="12"/>
        <v>0</v>
      </c>
      <c r="AN66">
        <f>IFERROR(MIN(5,MAX(0,(SUMIFS(_REF_Model_Content!$D$1:$D$174,_REF_Model_Content!$A$1:$A$174,PV_Canonical_Industry,_REF_Model_Content!$B$1:$B$174,"Governance Crisis"))+IFERROR(VLOOKUP('Company Profile'!$B$35,_CONFIG_Model_Settings!$A$11:$B$13,2,0),0))),"")</f>
        <v>0</v>
      </c>
      <c r="AO66">
        <f t="shared" si="13"/>
        <v>0</v>
      </c>
      <c r="AP66">
        <f>IFERROR(SUMIFS(_REF_Model_Content!$E$1:$E$174,_REF_Model_Content!$A$1:$A$174,PV_Canonical_Industry,_REF_Model_Content!$B$1:$B$174,"Governance Crisis"),1)</f>
        <v>0</v>
      </c>
      <c r="AQ66">
        <f t="shared" si="14"/>
        <v>0</v>
      </c>
      <c r="AR66" t="str">
        <f t="shared" si="15"/>
        <v>Within target</v>
      </c>
      <c r="AS66">
        <f t="shared" si="16"/>
        <v>0</v>
      </c>
      <c r="AT66">
        <f t="shared" si="17"/>
        <v>0.9</v>
      </c>
      <c r="AU66">
        <f>'Assessment Questions'!AX66</f>
        <v>0</v>
      </c>
      <c r="AV66">
        <f t="shared" si="18"/>
        <v>0.9</v>
      </c>
      <c r="AW66" t="s">
        <v>1150</v>
      </c>
      <c r="AX66" t="s">
        <v>1150</v>
      </c>
      <c r="AY66">
        <v>21</v>
      </c>
      <c r="AZ66">
        <v>66</v>
      </c>
    </row>
    <row r="67" spans="1:52">
      <c r="A67" t="s">
        <v>1220</v>
      </c>
      <c r="B67" t="s">
        <v>1165</v>
      </c>
      <c r="C67" t="s">
        <v>1221</v>
      </c>
      <c r="D67" t="s">
        <v>1154</v>
      </c>
      <c r="E67" t="s">
        <v>1155</v>
      </c>
      <c r="F67" t="s">
        <v>1222</v>
      </c>
      <c r="G67">
        <f>'Assessment Questions'!J67</f>
        <v>3</v>
      </c>
      <c r="H67">
        <f t="shared" si="0"/>
        <v>0</v>
      </c>
      <c r="I67">
        <f t="shared" si="1"/>
        <v>0</v>
      </c>
      <c r="J67">
        <f t="shared" si="2"/>
        <v>3</v>
      </c>
      <c r="K67">
        <f t="shared" si="3"/>
        <v>3</v>
      </c>
      <c r="L67" t="str">
        <f t="shared" si="4"/>
        <v>Critical</v>
      </c>
      <c r="M67" t="s">
        <v>1223</v>
      </c>
      <c r="N67" t="s">
        <v>1224</v>
      </c>
      <c r="O67" t="s">
        <v>1225</v>
      </c>
      <c r="P67" t="s">
        <v>1226</v>
      </c>
      <c r="Q67" t="s">
        <v>1227</v>
      </c>
      <c r="R67" t="s">
        <v>1228</v>
      </c>
      <c r="S67" t="s">
        <v>1157</v>
      </c>
      <c r="T67">
        <f>'Assessment Questions'!W67</f>
        <v>0</v>
      </c>
      <c r="U67">
        <f>'Assessment Questions'!X67</f>
        <v>0</v>
      </c>
      <c r="V67" t="str">
        <f>'Assessment Questions'!Y67</f>
        <v>Use the recommended action generated by the model; validate with domain owner during real assessment.</v>
      </c>
      <c r="W67">
        <v>4</v>
      </c>
      <c r="X67">
        <v>5</v>
      </c>
      <c r="Y67">
        <v>5</v>
      </c>
      <c r="Z67">
        <f>'Assessment Questions'!AC67</f>
        <v>0</v>
      </c>
      <c r="AB67">
        <f t="shared" si="23"/>
        <v>0</v>
      </c>
      <c r="AC67">
        <f t="shared" si="24"/>
        <v>0</v>
      </c>
      <c r="AD67">
        <f t="shared" si="7"/>
        <v>0</v>
      </c>
      <c r="AE67">
        <f t="shared" si="25"/>
        <v>0</v>
      </c>
      <c r="AF67">
        <f t="shared" si="9"/>
        <v>5</v>
      </c>
      <c r="AG67">
        <f t="shared" si="26"/>
        <v>0</v>
      </c>
      <c r="AH67">
        <f>'Assessment Questions'!AK67</f>
        <v>0</v>
      </c>
      <c r="AI67">
        <f>'Assessment Questions'!AL67</f>
        <v>0</v>
      </c>
      <c r="AJ67">
        <f>IF(OR($H67="",$H67="N/A"),"",IF($AH67="",VLOOKUP('Company Profile'!$B$40,_CONFIG_Model_Settings!$A$5:$B$8,2,FALSE),IFERROR(VLOOKUP($AH67,_CONFIG_Model_Settings!$A$5:$B$8,2,FALSE),0.9)))</f>
        <v>0.9</v>
      </c>
      <c r="AK67">
        <f>IF(OR($H67="",$H67="N/A"),"",IF($AI67="",VLOOKUP('Company Profile'!$B$41,_CONFIG_Model_Settings!$A$5:$B$8,2,FALSE),IFERROR(VLOOKUP($AI67,_CONFIG_Model_Settings!$A$5:$B$8,2,FALSE),0.9)))</f>
        <v>0.9</v>
      </c>
      <c r="AL67">
        <f t="shared" si="11"/>
        <v>0</v>
      </c>
      <c r="AM67">
        <f t="shared" si="12"/>
        <v>0</v>
      </c>
      <c r="AN67">
        <f>IFERROR(MIN(5,MAX(0,(SUMIFS(_REF_Model_Content!$D$1:$D$174,_REF_Model_Content!$A$1:$A$174,PV_Canonical_Industry,_REF_Model_Content!$B$1:$B$174,"Governance Crisis"))+IFERROR(VLOOKUP('Company Profile'!$B$35,_CONFIG_Model_Settings!$A$11:$B$13,2,0),0))),"")</f>
        <v>0</v>
      </c>
      <c r="AO67">
        <f t="shared" si="13"/>
        <v>0</v>
      </c>
      <c r="AP67">
        <f>IFERROR(SUMIFS(_REF_Model_Content!$E$1:$E$174,_REF_Model_Content!$A$1:$A$174,PV_Canonical_Industry,_REF_Model_Content!$B$1:$B$174,"Governance Crisis"),1)</f>
        <v>0</v>
      </c>
      <c r="AQ67">
        <f t="shared" si="14"/>
        <v>0</v>
      </c>
      <c r="AR67" t="str">
        <f t="shared" si="15"/>
        <v>Within target</v>
      </c>
      <c r="AS67">
        <f t="shared" si="16"/>
        <v>0</v>
      </c>
      <c r="AT67">
        <f t="shared" si="17"/>
        <v>0.9</v>
      </c>
      <c r="AU67">
        <f>'Assessment Questions'!AX67</f>
        <v>0</v>
      </c>
      <c r="AV67">
        <f t="shared" si="18"/>
        <v>0.9</v>
      </c>
      <c r="AW67" t="s">
        <v>1150</v>
      </c>
      <c r="AX67" t="s">
        <v>1150</v>
      </c>
      <c r="AY67">
        <v>22</v>
      </c>
      <c r="AZ67">
        <v>67</v>
      </c>
    </row>
    <row r="68" spans="1:52">
      <c r="A68" t="s">
        <v>1229</v>
      </c>
      <c r="B68" t="s">
        <v>1165</v>
      </c>
      <c r="C68" t="s">
        <v>1230</v>
      </c>
      <c r="D68" t="s">
        <v>1154</v>
      </c>
      <c r="E68" t="s">
        <v>1155</v>
      </c>
      <c r="F68" t="s">
        <v>1231</v>
      </c>
      <c r="G68">
        <f>'Assessment Questions'!J68</f>
        <v>5</v>
      </c>
      <c r="H68">
        <f t="shared" si="0"/>
        <v>0</v>
      </c>
      <c r="I68">
        <f t="shared" si="1"/>
        <v>0</v>
      </c>
      <c r="J68">
        <f t="shared" si="2"/>
        <v>5</v>
      </c>
      <c r="K68">
        <f t="shared" si="3"/>
        <v>5</v>
      </c>
      <c r="L68" t="str">
        <f t="shared" si="4"/>
        <v>Critical</v>
      </c>
      <c r="M68" t="s">
        <v>833</v>
      </c>
      <c r="N68" t="s">
        <v>834</v>
      </c>
      <c r="O68" t="s">
        <v>835</v>
      </c>
      <c r="P68" t="s">
        <v>836</v>
      </c>
      <c r="Q68" t="s">
        <v>837</v>
      </c>
      <c r="R68" t="s">
        <v>838</v>
      </c>
      <c r="S68" t="s">
        <v>1157</v>
      </c>
      <c r="T68">
        <f>'Assessment Questions'!W68</f>
        <v>0</v>
      </c>
      <c r="U68">
        <f>'Assessment Questions'!X68</f>
        <v>0</v>
      </c>
      <c r="V68" t="str">
        <f>'Assessment Questions'!Y68</f>
        <v>Use the recommended action generated by the model; validate with domain owner during real assessment.</v>
      </c>
      <c r="W68">
        <v>4</v>
      </c>
      <c r="X68">
        <v>5</v>
      </c>
      <c r="Y68">
        <v>5</v>
      </c>
      <c r="Z68">
        <f>'Assessment Questions'!AC68</f>
        <v>0</v>
      </c>
      <c r="AB68">
        <f t="shared" si="23"/>
        <v>0</v>
      </c>
      <c r="AC68">
        <f t="shared" si="24"/>
        <v>0</v>
      </c>
      <c r="AD68">
        <f t="shared" si="7"/>
        <v>0</v>
      </c>
      <c r="AE68">
        <f t="shared" si="25"/>
        <v>0</v>
      </c>
      <c r="AF68">
        <f t="shared" si="9"/>
        <v>5</v>
      </c>
      <c r="AG68">
        <f t="shared" si="26"/>
        <v>0</v>
      </c>
      <c r="AH68">
        <f>'Assessment Questions'!AK68</f>
        <v>0</v>
      </c>
      <c r="AI68">
        <f>'Assessment Questions'!AL68</f>
        <v>0</v>
      </c>
      <c r="AJ68">
        <f>IF(OR($H68="",$H68="N/A"),"",IF($AH68="",VLOOKUP('Company Profile'!$B$40,_CONFIG_Model_Settings!$A$5:$B$8,2,FALSE),IFERROR(VLOOKUP($AH68,_CONFIG_Model_Settings!$A$5:$B$8,2,FALSE),0.9)))</f>
        <v>0.9</v>
      </c>
      <c r="AK68">
        <f>IF(OR($H68="",$H68="N/A"),"",IF($AI68="",VLOOKUP('Company Profile'!$B$41,_CONFIG_Model_Settings!$A$5:$B$8,2,FALSE),IFERROR(VLOOKUP($AI68,_CONFIG_Model_Settings!$A$5:$B$8,2,FALSE),0.9)))</f>
        <v>0.9</v>
      </c>
      <c r="AL68">
        <f t="shared" si="11"/>
        <v>0</v>
      </c>
      <c r="AM68">
        <f t="shared" si="12"/>
        <v>0</v>
      </c>
      <c r="AN68">
        <f>IFERROR(MIN(5,MAX(0,(SUMIFS(_REF_Model_Content!$D$1:$D$174,_REF_Model_Content!$A$1:$A$174,PV_Canonical_Industry,_REF_Model_Content!$B$1:$B$174,"Governance Crisis"))+IFERROR(VLOOKUP('Company Profile'!$B$35,_CONFIG_Model_Settings!$A$11:$B$13,2,0),0))),"")</f>
        <v>0</v>
      </c>
      <c r="AO68">
        <f t="shared" si="13"/>
        <v>0</v>
      </c>
      <c r="AP68">
        <f>IFERROR(SUMIFS(_REF_Model_Content!$E$1:$E$174,_REF_Model_Content!$A$1:$A$174,PV_Canonical_Industry,_REF_Model_Content!$B$1:$B$174,"Governance Crisis"),1)</f>
        <v>0</v>
      </c>
      <c r="AQ68">
        <f t="shared" si="14"/>
        <v>0</v>
      </c>
      <c r="AR68" t="str">
        <f t="shared" si="15"/>
        <v>Within target</v>
      </c>
      <c r="AS68">
        <f t="shared" si="16"/>
        <v>0</v>
      </c>
      <c r="AT68">
        <f t="shared" si="17"/>
        <v>0.9</v>
      </c>
      <c r="AU68">
        <f>'Assessment Questions'!AX68</f>
        <v>0</v>
      </c>
      <c r="AV68">
        <f t="shared" si="18"/>
        <v>0.9</v>
      </c>
      <c r="AW68" t="s">
        <v>1150</v>
      </c>
      <c r="AX68" t="s">
        <v>1150</v>
      </c>
      <c r="AY68">
        <v>23</v>
      </c>
      <c r="AZ68">
        <v>68</v>
      </c>
    </row>
    <row r="69" spans="1:52">
      <c r="A69" t="s">
        <v>1232</v>
      </c>
      <c r="B69" t="s">
        <v>1161</v>
      </c>
      <c r="C69" t="s">
        <v>1233</v>
      </c>
      <c r="D69" t="s">
        <v>1234</v>
      </c>
      <c r="E69" t="s">
        <v>1235</v>
      </c>
      <c r="F69" t="s">
        <v>941</v>
      </c>
      <c r="G69">
        <f>'Assessment Questions'!J69</f>
        <v>4</v>
      </c>
      <c r="H69">
        <f t="shared" ref="H69:H132" si="27">IF($Z69="","",IF($Z69="N/A","N/A",VALUE(LEFT($Z69,1))))</f>
        <v>0</v>
      </c>
      <c r="I69">
        <f t="shared" ref="I69:I132" si="28">IF($H69="","",IF($H69="N/A","",VALUE($H69)/5*$G69))</f>
        <v>0</v>
      </c>
      <c r="J69">
        <f t="shared" ref="J69:J132" si="29">IF(OR($H69="",$H69="N/A"),"",$G69)</f>
        <v>4</v>
      </c>
      <c r="K69">
        <f t="shared" ref="K69:K132" si="30">IF(OR($H69="",$H69="N/A"),"",$J69-$I69)</f>
        <v>4</v>
      </c>
      <c r="L69" t="str">
        <f t="shared" ref="L69:L132" si="31">IF($H69="","",IF($H69="N/A","N/A",IF(VALUE($H69)&lt;=1,"Critical",IF(VALUE($H69)&lt;=2,"High",IF(VALUE($H69)&lt;=3,"Medium",IF(VALUE($H69)&lt;=4,"Low","Resilient"))))))</f>
        <v>Critical</v>
      </c>
      <c r="M69" t="s">
        <v>1236</v>
      </c>
      <c r="N69" t="s">
        <v>1237</v>
      </c>
      <c r="O69" t="s">
        <v>1238</v>
      </c>
      <c r="P69" t="s">
        <v>1239</v>
      </c>
      <c r="Q69" t="s">
        <v>1240</v>
      </c>
      <c r="R69" t="s">
        <v>1241</v>
      </c>
      <c r="S69" t="s">
        <v>1242</v>
      </c>
      <c r="T69">
        <f>'Assessment Questions'!W69</f>
        <v>0</v>
      </c>
      <c r="U69">
        <f>'Assessment Questions'!X69</f>
        <v>0</v>
      </c>
      <c r="V69" t="str">
        <f>'Assessment Questions'!Y69</f>
        <v>Use the recommended action generated by the model; validate with domain owner during real assessment.</v>
      </c>
      <c r="W69">
        <v>2</v>
      </c>
      <c r="X69">
        <v>5</v>
      </c>
      <c r="Y69">
        <v>4</v>
      </c>
      <c r="Z69">
        <f>'Assessment Questions'!AC69</f>
        <v>0</v>
      </c>
      <c r="AB69">
        <f t="shared" si="23"/>
        <v>0</v>
      </c>
      <c r="AC69">
        <f t="shared" si="24"/>
        <v>0</v>
      </c>
      <c r="AD69">
        <f t="shared" ref="AD69:AD132" si="32">AC69/5</f>
        <v>0</v>
      </c>
      <c r="AE69">
        <f t="shared" si="25"/>
        <v>0</v>
      </c>
      <c r="AF69">
        <f t="shared" ref="AF69:AF132" si="33">5-AC69</f>
        <v>5</v>
      </c>
      <c r="AG69">
        <f t="shared" si="26"/>
        <v>0</v>
      </c>
      <c r="AH69">
        <f>'Assessment Questions'!AK69</f>
        <v>0</v>
      </c>
      <c r="AI69">
        <f>'Assessment Questions'!AL69</f>
        <v>0</v>
      </c>
      <c r="AJ69">
        <f>IF(OR($H69="",$H69="N/A"),"",IF($AH69="",VLOOKUP('Company Profile'!$B$40,_CONFIG_Model_Settings!$A$5:$B$8,2,FALSE),IFERROR(VLOOKUP($AH69,_CONFIG_Model_Settings!$A$5:$B$8,2,FALSE),0.9)))</f>
        <v>0.9</v>
      </c>
      <c r="AK69">
        <f>IF(OR($H69="",$H69="N/A"),"",IF($AI69="",VLOOKUP('Company Profile'!$B$41,_CONFIG_Model_Settings!$A$5:$B$8,2,FALSE),IFERROR(VLOOKUP($AI69,_CONFIG_Model_Settings!$A$5:$B$8,2,FALSE),0.9)))</f>
        <v>0.9</v>
      </c>
      <c r="AL69">
        <f t="shared" ref="AL69:AL132" si="34">IF(OR($H69="",$H69="N/A"),"",ROUND(VALUE($H69)*$AJ69*$AK69*$AV69,2))</f>
        <v>0</v>
      </c>
      <c r="AM69">
        <f t="shared" ref="AM69:AM132" si="35">IF($AL69="","",ROUND($AL69/5*100,1))</f>
        <v>0</v>
      </c>
      <c r="AN69">
        <f>IFERROR(MIN(5,MAX(0,(SUMIFS(_REF_Model_Content!$D$1:$D$174,_REF_Model_Content!$A$1:$A$174,PV_Canonical_Industry,_REF_Model_Content!$B$1:$B$174,"Governance Crisis"))+IFERROR(VLOOKUP('Company Profile'!$B$35,_CONFIG_Model_Settings!$A$11:$B$13,2,0),0))),"")</f>
        <v>0</v>
      </c>
      <c r="AO69">
        <f t="shared" ref="AO69:AO132" si="36">IF($AL69="","",MAX(0,ROUND($AN69-$AL69,2)))</f>
        <v>0</v>
      </c>
      <c r="AP69">
        <f>IFERROR(SUMIFS(_REF_Model_Content!$E$1:$E$174,_REF_Model_Content!$A$1:$A$174,PV_Canonical_Industry,_REF_Model_Content!$B$1:$B$174,"Governance Crisis"),1)</f>
        <v>0</v>
      </c>
      <c r="AQ69">
        <f t="shared" ref="AQ69:AQ132" si="37">IF($AO69="","",ROUND($AO69*$AP69*($G69/5),2))</f>
        <v>0</v>
      </c>
      <c r="AR69" t="str">
        <f t="shared" ref="AR69:AR132" si="38">IF($AO69="","",IF($AO69&gt;=2,"Critical industry gap",IF($AO69&gt;=1,"High industry gap",IF($AO69&gt;=0.5,"Moderate industry gap","Within target"))))</f>
        <v>Within target</v>
      </c>
      <c r="AS69">
        <f t="shared" ref="AS69:AS132" si="39">IF(OR($H69="",$H69="N/A"),0,VALUE($H69)*(($AJ69+$AK69)/2)*$AV69)</f>
        <v>0</v>
      </c>
      <c r="AT69">
        <f t="shared" ref="AT69:AT132" si="40">IF(OR($H69="",$H69="N/A"),0,($AJ69+$AK69)/2)</f>
        <v>0.9</v>
      </c>
      <c r="AU69">
        <f>'Assessment Questions'!AX69</f>
        <v>0</v>
      </c>
      <c r="AV69">
        <f t="shared" ref="AV69:AV132" si="41">IF(OR($H69="",$H69="N/A"),"",IF(OR($AU69="",$AU69="Everywhere",$AU69="Not applicable"),1,IF($AU69="Pilot / one team",0.4,IF($AU69="One unit or site",0.7,0.9))))</f>
        <v>0.9</v>
      </c>
      <c r="AW69" t="s">
        <v>1150</v>
      </c>
      <c r="AX69" t="s">
        <v>1150</v>
      </c>
      <c r="AY69">
        <v>24</v>
      </c>
      <c r="AZ69">
        <v>69</v>
      </c>
    </row>
    <row r="70" spans="1:52">
      <c r="A70" t="s">
        <v>1243</v>
      </c>
      <c r="B70" t="s">
        <v>1152</v>
      </c>
      <c r="C70" t="s">
        <v>1244</v>
      </c>
      <c r="D70" t="s">
        <v>1245</v>
      </c>
      <c r="E70" t="s">
        <v>1246</v>
      </c>
      <c r="F70" t="s">
        <v>941</v>
      </c>
      <c r="G70">
        <f>'Assessment Questions'!J70</f>
        <v>4</v>
      </c>
      <c r="H70">
        <f t="shared" si="27"/>
        <v>0</v>
      </c>
      <c r="I70">
        <f t="shared" si="28"/>
        <v>0</v>
      </c>
      <c r="J70">
        <f t="shared" si="29"/>
        <v>4</v>
      </c>
      <c r="K70">
        <f t="shared" si="30"/>
        <v>4</v>
      </c>
      <c r="L70" t="str">
        <f t="shared" si="31"/>
        <v>Critical</v>
      </c>
      <c r="M70" t="s">
        <v>1247</v>
      </c>
      <c r="N70" t="s">
        <v>1248</v>
      </c>
      <c r="O70" t="s">
        <v>1249</v>
      </c>
      <c r="P70" t="s">
        <v>1250</v>
      </c>
      <c r="Q70" t="s">
        <v>1251</v>
      </c>
      <c r="R70" t="s">
        <v>1252</v>
      </c>
      <c r="S70" t="s">
        <v>1253</v>
      </c>
      <c r="T70">
        <f>'Assessment Questions'!W70</f>
        <v>0</v>
      </c>
      <c r="U70">
        <f>'Assessment Questions'!X70</f>
        <v>0</v>
      </c>
      <c r="V70" t="str">
        <f>'Assessment Questions'!Y70</f>
        <v>Use the recommended action generated by the model; validate with domain owner during real assessment.</v>
      </c>
      <c r="W70">
        <v>3</v>
      </c>
      <c r="X70">
        <v>5</v>
      </c>
      <c r="Y70">
        <v>4</v>
      </c>
      <c r="Z70">
        <f>'Assessment Questions'!AC70</f>
        <v>0</v>
      </c>
      <c r="AB70">
        <f t="shared" si="23"/>
        <v>0</v>
      </c>
      <c r="AC70">
        <f t="shared" si="24"/>
        <v>0</v>
      </c>
      <c r="AD70">
        <f t="shared" si="32"/>
        <v>0</v>
      </c>
      <c r="AE70">
        <f t="shared" si="25"/>
        <v>0</v>
      </c>
      <c r="AF70">
        <f t="shared" si="33"/>
        <v>5</v>
      </c>
      <c r="AG70">
        <f t="shared" si="26"/>
        <v>0</v>
      </c>
      <c r="AH70">
        <f>'Assessment Questions'!AK70</f>
        <v>0</v>
      </c>
      <c r="AI70">
        <f>'Assessment Questions'!AL70</f>
        <v>0</v>
      </c>
      <c r="AJ70">
        <f>IF(OR($H70="",$H70="N/A"),"",IF($AH70="",VLOOKUP('Company Profile'!$B$40,_CONFIG_Model_Settings!$A$5:$B$8,2,FALSE),IFERROR(VLOOKUP($AH70,_CONFIG_Model_Settings!$A$5:$B$8,2,FALSE),0.9)))</f>
        <v>0.9</v>
      </c>
      <c r="AK70">
        <f>IF(OR($H70="",$H70="N/A"),"",IF($AI70="",VLOOKUP('Company Profile'!$B$41,_CONFIG_Model_Settings!$A$5:$B$8,2,FALSE),IFERROR(VLOOKUP($AI70,_CONFIG_Model_Settings!$A$5:$B$8,2,FALSE),0.9)))</f>
        <v>0.9</v>
      </c>
      <c r="AL70">
        <f t="shared" si="34"/>
        <v>0</v>
      </c>
      <c r="AM70">
        <f t="shared" si="35"/>
        <v>0</v>
      </c>
      <c r="AN70">
        <f>IFERROR(MIN(5,MAX(0,(SUMIFS(_REF_Model_Content!$D$1:$D$174,_REF_Model_Content!$A$1:$A$174,PV_Canonical_Industry,_REF_Model_Content!$B$1:$B$174,"Governance Crisis"))+IFERROR(VLOOKUP('Company Profile'!$B$35,_CONFIG_Model_Settings!$A$11:$B$13,2,0),0))),"")</f>
        <v>0</v>
      </c>
      <c r="AO70">
        <f t="shared" si="36"/>
        <v>0</v>
      </c>
      <c r="AP70">
        <f>IFERROR(SUMIFS(_REF_Model_Content!$E$1:$E$174,_REF_Model_Content!$A$1:$A$174,PV_Canonical_Industry,_REF_Model_Content!$B$1:$B$174,"Governance Crisis"),1)</f>
        <v>0</v>
      </c>
      <c r="AQ70">
        <f t="shared" si="37"/>
        <v>0</v>
      </c>
      <c r="AR70" t="str">
        <f t="shared" si="38"/>
        <v>Within target</v>
      </c>
      <c r="AS70">
        <f t="shared" si="39"/>
        <v>0</v>
      </c>
      <c r="AT70">
        <f t="shared" si="40"/>
        <v>0.9</v>
      </c>
      <c r="AU70">
        <f>'Assessment Questions'!AX70</f>
        <v>0</v>
      </c>
      <c r="AV70">
        <f t="shared" si="41"/>
        <v>0.9</v>
      </c>
      <c r="AW70" t="s">
        <v>1150</v>
      </c>
      <c r="AX70" t="s">
        <v>1150</v>
      </c>
      <c r="AY70">
        <v>25</v>
      </c>
      <c r="AZ70">
        <v>70</v>
      </c>
    </row>
    <row r="71" spans="1:52">
      <c r="A71" t="s">
        <v>1254</v>
      </c>
      <c r="B71" t="s">
        <v>1161</v>
      </c>
      <c r="C71" t="s">
        <v>1255</v>
      </c>
      <c r="D71" t="s">
        <v>1256</v>
      </c>
      <c r="E71" t="s">
        <v>1257</v>
      </c>
      <c r="F71" t="s">
        <v>941</v>
      </c>
      <c r="G71">
        <f>'Assessment Questions'!J71</f>
        <v>3</v>
      </c>
      <c r="H71">
        <f t="shared" si="27"/>
        <v>0</v>
      </c>
      <c r="I71">
        <f t="shared" si="28"/>
        <v>0</v>
      </c>
      <c r="J71">
        <f t="shared" si="29"/>
        <v>3</v>
      </c>
      <c r="K71">
        <f t="shared" si="30"/>
        <v>3</v>
      </c>
      <c r="L71" t="str">
        <f t="shared" si="31"/>
        <v>Critical</v>
      </c>
      <c r="M71" t="s">
        <v>1202</v>
      </c>
      <c r="N71" t="s">
        <v>1203</v>
      </c>
      <c r="O71" t="s">
        <v>1204</v>
      </c>
      <c r="P71" t="s">
        <v>1205</v>
      </c>
      <c r="Q71" t="s">
        <v>1206</v>
      </c>
      <c r="R71" t="s">
        <v>1207</v>
      </c>
      <c r="S71" t="s">
        <v>1258</v>
      </c>
      <c r="T71">
        <f>'Assessment Questions'!W71</f>
        <v>0</v>
      </c>
      <c r="U71">
        <f>'Assessment Questions'!X71</f>
        <v>0</v>
      </c>
      <c r="V71" t="str">
        <f>'Assessment Questions'!Y71</f>
        <v>Use the recommended action generated by the model; validate with domain owner during real assessment.</v>
      </c>
      <c r="W71">
        <v>2</v>
      </c>
      <c r="X71">
        <v>5</v>
      </c>
      <c r="Y71">
        <v>3</v>
      </c>
      <c r="Z71">
        <f>'Assessment Questions'!AC71</f>
        <v>0</v>
      </c>
      <c r="AB71">
        <f t="shared" si="23"/>
        <v>0</v>
      </c>
      <c r="AC71">
        <f t="shared" si="24"/>
        <v>0</v>
      </c>
      <c r="AD71">
        <f t="shared" si="32"/>
        <v>0</v>
      </c>
      <c r="AE71">
        <f t="shared" si="25"/>
        <v>0</v>
      </c>
      <c r="AF71">
        <f t="shared" si="33"/>
        <v>5</v>
      </c>
      <c r="AG71">
        <f t="shared" si="26"/>
        <v>0</v>
      </c>
      <c r="AH71">
        <f>'Assessment Questions'!AK71</f>
        <v>0</v>
      </c>
      <c r="AI71">
        <f>'Assessment Questions'!AL71</f>
        <v>0</v>
      </c>
      <c r="AJ71">
        <f>IF(OR($H71="",$H71="N/A"),"",IF($AH71="",VLOOKUP('Company Profile'!$B$40,_CONFIG_Model_Settings!$A$5:$B$8,2,FALSE),IFERROR(VLOOKUP($AH71,_CONFIG_Model_Settings!$A$5:$B$8,2,FALSE),0.9)))</f>
        <v>0.9</v>
      </c>
      <c r="AK71">
        <f>IF(OR($H71="",$H71="N/A"),"",IF($AI71="",VLOOKUP('Company Profile'!$B$41,_CONFIG_Model_Settings!$A$5:$B$8,2,FALSE),IFERROR(VLOOKUP($AI71,_CONFIG_Model_Settings!$A$5:$B$8,2,FALSE),0.9)))</f>
        <v>0.9</v>
      </c>
      <c r="AL71">
        <f t="shared" si="34"/>
        <v>0</v>
      </c>
      <c r="AM71">
        <f t="shared" si="35"/>
        <v>0</v>
      </c>
      <c r="AN71">
        <f>IFERROR(MIN(5,MAX(0,(SUMIFS(_REF_Model_Content!$D$1:$D$174,_REF_Model_Content!$A$1:$A$174,PV_Canonical_Industry,_REF_Model_Content!$B$1:$B$174,"Governance Crisis"))+IFERROR(VLOOKUP('Company Profile'!$B$35,_CONFIG_Model_Settings!$A$11:$B$13,2,0),0))),"")</f>
        <v>0</v>
      </c>
      <c r="AO71">
        <f t="shared" si="36"/>
        <v>0</v>
      </c>
      <c r="AP71">
        <f>IFERROR(SUMIFS(_REF_Model_Content!$E$1:$E$174,_REF_Model_Content!$A$1:$A$174,PV_Canonical_Industry,_REF_Model_Content!$B$1:$B$174,"Governance Crisis"),1)</f>
        <v>0</v>
      </c>
      <c r="AQ71">
        <f t="shared" si="37"/>
        <v>0</v>
      </c>
      <c r="AR71" t="str">
        <f t="shared" si="38"/>
        <v>Within target</v>
      </c>
      <c r="AS71">
        <f t="shared" si="39"/>
        <v>0</v>
      </c>
      <c r="AT71">
        <f t="shared" si="40"/>
        <v>0.9</v>
      </c>
      <c r="AU71">
        <f>'Assessment Questions'!AX71</f>
        <v>0</v>
      </c>
      <c r="AV71">
        <f t="shared" si="41"/>
        <v>0.9</v>
      </c>
      <c r="AW71" t="s">
        <v>1150</v>
      </c>
      <c r="AX71" t="s">
        <v>1150</v>
      </c>
      <c r="AY71">
        <v>26</v>
      </c>
      <c r="AZ71">
        <v>71</v>
      </c>
    </row>
    <row r="72" spans="1:52">
      <c r="A72" t="s">
        <v>1260</v>
      </c>
      <c r="B72" t="s">
        <v>1261</v>
      </c>
      <c r="C72" t="s">
        <v>1262</v>
      </c>
      <c r="D72" t="s">
        <v>1263</v>
      </c>
      <c r="E72" t="s">
        <v>1264</v>
      </c>
      <c r="F72" t="s">
        <v>1265</v>
      </c>
      <c r="G72">
        <f>'Assessment Questions'!J72</f>
        <v>5</v>
      </c>
      <c r="H72">
        <f t="shared" si="27"/>
        <v>0</v>
      </c>
      <c r="I72">
        <f t="shared" si="28"/>
        <v>0</v>
      </c>
      <c r="J72">
        <f t="shared" si="29"/>
        <v>5</v>
      </c>
      <c r="K72">
        <f t="shared" si="30"/>
        <v>5</v>
      </c>
      <c r="L72" t="str">
        <f t="shared" si="31"/>
        <v>Critical</v>
      </c>
      <c r="M72" t="s">
        <v>1051</v>
      </c>
      <c r="N72" t="s">
        <v>1052</v>
      </c>
      <c r="O72" t="s">
        <v>1053</v>
      </c>
      <c r="P72" t="s">
        <v>1054</v>
      </c>
      <c r="Q72" t="s">
        <v>1055</v>
      </c>
      <c r="R72" t="s">
        <v>1056</v>
      </c>
      <c r="S72" t="s">
        <v>1266</v>
      </c>
      <c r="T72">
        <f>'Assessment Questions'!W72</f>
        <v>0</v>
      </c>
      <c r="U72">
        <f>'Assessment Questions'!X72</f>
        <v>0</v>
      </c>
      <c r="V72" t="str">
        <f>'Assessment Questions'!Y72</f>
        <v>Use the recommended action generated by the model; validate with domain owner during real assessment.</v>
      </c>
      <c r="W72">
        <v>4</v>
      </c>
      <c r="X72">
        <v>5</v>
      </c>
      <c r="Y72">
        <v>5</v>
      </c>
      <c r="Z72">
        <f>'Assessment Questions'!AC72</f>
        <v>0</v>
      </c>
      <c r="AA72" t="s">
        <v>1261</v>
      </c>
      <c r="AB72">
        <f t="shared" ref="AB72:AB97" si="42">COUNTIF($B$72:$B$97,$AA72)</f>
        <v>7</v>
      </c>
      <c r="AC72">
        <f t="shared" ref="AC72:AC97" si="43">IFERROR(SUMPRODUCT(($B$72:$B$97=$AA72)*($H$72:$H$97&lt;&gt;"")*($H$72:$H$97&lt;&gt;"N/A")*IFERROR(VALUE($H$72:$H$97),0))/SUMPRODUCT(($B$72:$B$97=$AA72)*($H$72:$H$97&lt;&gt;"")*($H$72:$H$97&lt;&gt;"N/A")),0)</f>
        <v>0</v>
      </c>
      <c r="AD72">
        <f t="shared" si="32"/>
        <v>0</v>
      </c>
      <c r="AE72">
        <f t="shared" ref="AE72:AE97" si="44">COUNTIFS($B$72:$B$97,$AA72,$L$72:$L$97,"Critical")+COUNTIFS($B$72:$B$97,$AA72,$L$72:$L$97,"High")</f>
        <v>7</v>
      </c>
      <c r="AF72">
        <f t="shared" si="33"/>
        <v>5</v>
      </c>
      <c r="AG72">
        <f t="shared" ref="AG72:AG97" si="45">SUMPRODUCT(($B$72:$B$97=$AA72)*(ISNUMBER($H$72:$H$97)+($H$72:$H$97="N/A")))</f>
        <v>7</v>
      </c>
      <c r="AH72">
        <f>'Assessment Questions'!AK72</f>
        <v>0</v>
      </c>
      <c r="AI72">
        <f>'Assessment Questions'!AL72</f>
        <v>0</v>
      </c>
      <c r="AJ72">
        <f>IF(OR($H72="",$H72="N/A"),"",IF($AH72="",VLOOKUP('Company Profile'!$B$40,_CONFIG_Model_Settings!$A$5:$B$8,2,FALSE),IFERROR(VLOOKUP($AH72,_CONFIG_Model_Settings!$A$5:$B$8,2,FALSE),0.9)))</f>
        <v>0.9</v>
      </c>
      <c r="AK72">
        <f>IF(OR($H72="",$H72="N/A"),"",IF($AI72="",VLOOKUP('Company Profile'!$B$41,_CONFIG_Model_Settings!$A$5:$B$8,2,FALSE),IFERROR(VLOOKUP($AI72,_CONFIG_Model_Settings!$A$5:$B$8,2,FALSE),0.9)))</f>
        <v>0.9</v>
      </c>
      <c r="AL72">
        <f t="shared" si="34"/>
        <v>0</v>
      </c>
      <c r="AM72">
        <f t="shared" si="35"/>
        <v>0</v>
      </c>
      <c r="AN72">
        <f>IFERROR(MIN(5,MAX(0,(SUMIFS(_REF_Model_Content!$D$1:$D$174,_REF_Model_Content!$A$1:$A$174,PV_Canonical_Industry,_REF_Model_Content!$B$1:$B$174,"HR Workforce"))+IFERROR(VLOOKUP('Company Profile'!$B$35,_CONFIG_Model_Settings!$A$11:$B$13,2,0),0))),"")</f>
        <v>0</v>
      </c>
      <c r="AO72">
        <f t="shared" si="36"/>
        <v>0</v>
      </c>
      <c r="AP72">
        <f>IFERROR(SUMIFS(_REF_Model_Content!$E$1:$E$174,_REF_Model_Content!$A$1:$A$174,PV_Canonical_Industry,_REF_Model_Content!$B$1:$B$174,"HR Workforce"),1)</f>
        <v>0</v>
      </c>
      <c r="AQ72">
        <f t="shared" si="37"/>
        <v>0</v>
      </c>
      <c r="AR72" t="str">
        <f t="shared" si="38"/>
        <v>Within target</v>
      </c>
      <c r="AS72">
        <f t="shared" si="39"/>
        <v>0</v>
      </c>
      <c r="AT72">
        <f t="shared" si="40"/>
        <v>0.9</v>
      </c>
      <c r="AU72">
        <f>'Assessment Questions'!AX72</f>
        <v>0</v>
      </c>
      <c r="AV72">
        <f t="shared" si="41"/>
        <v>0.9</v>
      </c>
      <c r="AW72" t="s">
        <v>1259</v>
      </c>
      <c r="AX72" t="s">
        <v>1259</v>
      </c>
      <c r="AY72">
        <v>5</v>
      </c>
      <c r="AZ72">
        <v>72</v>
      </c>
    </row>
    <row r="73" spans="1:52">
      <c r="A73" t="s">
        <v>1267</v>
      </c>
      <c r="B73" t="s">
        <v>1261</v>
      </c>
      <c r="C73" t="s">
        <v>1268</v>
      </c>
      <c r="D73" t="s">
        <v>1263</v>
      </c>
      <c r="E73" t="s">
        <v>1264</v>
      </c>
      <c r="F73" t="s">
        <v>1269</v>
      </c>
      <c r="G73">
        <f>'Assessment Questions'!J73</f>
        <v>5</v>
      </c>
      <c r="H73">
        <f t="shared" si="27"/>
        <v>0</v>
      </c>
      <c r="I73">
        <f t="shared" si="28"/>
        <v>0</v>
      </c>
      <c r="J73">
        <f t="shared" si="29"/>
        <v>5</v>
      </c>
      <c r="K73">
        <f t="shared" si="30"/>
        <v>5</v>
      </c>
      <c r="L73" t="str">
        <f t="shared" si="31"/>
        <v>Critical</v>
      </c>
      <c r="M73" t="s">
        <v>1051</v>
      </c>
      <c r="N73" t="s">
        <v>1052</v>
      </c>
      <c r="O73" t="s">
        <v>1053</v>
      </c>
      <c r="P73" t="s">
        <v>1054</v>
      </c>
      <c r="Q73" t="s">
        <v>1055</v>
      </c>
      <c r="R73" t="s">
        <v>1056</v>
      </c>
      <c r="S73" t="s">
        <v>1266</v>
      </c>
      <c r="T73">
        <f>'Assessment Questions'!W73</f>
        <v>0</v>
      </c>
      <c r="U73">
        <f>'Assessment Questions'!X73</f>
        <v>0</v>
      </c>
      <c r="V73" t="str">
        <f>'Assessment Questions'!Y73</f>
        <v>Use the recommended action generated by the model; validate with domain owner during real assessment.</v>
      </c>
      <c r="W73">
        <v>4</v>
      </c>
      <c r="X73">
        <v>5</v>
      </c>
      <c r="Y73">
        <v>5</v>
      </c>
      <c r="Z73">
        <f>'Assessment Questions'!AC73</f>
        <v>0</v>
      </c>
      <c r="AA73" t="s">
        <v>1270</v>
      </c>
      <c r="AB73">
        <f t="shared" si="42"/>
        <v>6</v>
      </c>
      <c r="AC73">
        <f t="shared" si="43"/>
        <v>0</v>
      </c>
      <c r="AD73">
        <f t="shared" si="32"/>
        <v>0</v>
      </c>
      <c r="AE73">
        <f t="shared" si="44"/>
        <v>6</v>
      </c>
      <c r="AF73">
        <f t="shared" si="33"/>
        <v>5</v>
      </c>
      <c r="AG73">
        <f t="shared" si="45"/>
        <v>6</v>
      </c>
      <c r="AH73">
        <f>'Assessment Questions'!AK73</f>
        <v>0</v>
      </c>
      <c r="AI73">
        <f>'Assessment Questions'!AL73</f>
        <v>0</v>
      </c>
      <c r="AJ73">
        <f>IF(OR($H73="",$H73="N/A"),"",IF($AH73="",VLOOKUP('Company Profile'!$B$40,_CONFIG_Model_Settings!$A$5:$B$8,2,FALSE),IFERROR(VLOOKUP($AH73,_CONFIG_Model_Settings!$A$5:$B$8,2,FALSE),0.9)))</f>
        <v>0.9</v>
      </c>
      <c r="AK73">
        <f>IF(OR($H73="",$H73="N/A"),"",IF($AI73="",VLOOKUP('Company Profile'!$B$41,_CONFIG_Model_Settings!$A$5:$B$8,2,FALSE),IFERROR(VLOOKUP($AI73,_CONFIG_Model_Settings!$A$5:$B$8,2,FALSE),0.9)))</f>
        <v>0.9</v>
      </c>
      <c r="AL73">
        <f t="shared" si="34"/>
        <v>0</v>
      </c>
      <c r="AM73">
        <f t="shared" si="35"/>
        <v>0</v>
      </c>
      <c r="AN73">
        <f>IFERROR(MIN(5,MAX(0,(SUMIFS(_REF_Model_Content!$D$1:$D$174,_REF_Model_Content!$A$1:$A$174,PV_Canonical_Industry,_REF_Model_Content!$B$1:$B$174,"HR Workforce"))+IFERROR(VLOOKUP('Company Profile'!$B$35,_CONFIG_Model_Settings!$A$11:$B$13,2,0),0))),"")</f>
        <v>0</v>
      </c>
      <c r="AO73">
        <f t="shared" si="36"/>
        <v>0</v>
      </c>
      <c r="AP73">
        <f>IFERROR(SUMIFS(_REF_Model_Content!$E$1:$E$174,_REF_Model_Content!$A$1:$A$174,PV_Canonical_Industry,_REF_Model_Content!$B$1:$B$174,"HR Workforce"),1)</f>
        <v>0</v>
      </c>
      <c r="AQ73">
        <f t="shared" si="37"/>
        <v>0</v>
      </c>
      <c r="AR73" t="str">
        <f t="shared" si="38"/>
        <v>Within target</v>
      </c>
      <c r="AS73">
        <f t="shared" si="39"/>
        <v>0</v>
      </c>
      <c r="AT73">
        <f t="shared" si="40"/>
        <v>0.9</v>
      </c>
      <c r="AU73">
        <f>'Assessment Questions'!AX73</f>
        <v>0</v>
      </c>
      <c r="AV73">
        <f t="shared" si="41"/>
        <v>0.9</v>
      </c>
      <c r="AW73" t="s">
        <v>1259</v>
      </c>
      <c r="AX73" t="s">
        <v>1259</v>
      </c>
      <c r="AY73">
        <v>6</v>
      </c>
      <c r="AZ73">
        <v>73</v>
      </c>
    </row>
    <row r="74" spans="1:52">
      <c r="A74" t="s">
        <v>1271</v>
      </c>
      <c r="B74" t="s">
        <v>1261</v>
      </c>
      <c r="C74" t="s">
        <v>1272</v>
      </c>
      <c r="D74" t="s">
        <v>1263</v>
      </c>
      <c r="E74" t="s">
        <v>1264</v>
      </c>
      <c r="F74" t="s">
        <v>1273</v>
      </c>
      <c r="G74">
        <f>'Assessment Questions'!J74</f>
        <v>5</v>
      </c>
      <c r="H74">
        <f t="shared" si="27"/>
        <v>0</v>
      </c>
      <c r="I74">
        <f t="shared" si="28"/>
        <v>0</v>
      </c>
      <c r="J74">
        <f t="shared" si="29"/>
        <v>5</v>
      </c>
      <c r="K74">
        <f t="shared" si="30"/>
        <v>5</v>
      </c>
      <c r="L74" t="str">
        <f t="shared" si="31"/>
        <v>Critical</v>
      </c>
      <c r="M74" t="s">
        <v>874</v>
      </c>
      <c r="N74" t="s">
        <v>875</v>
      </c>
      <c r="O74" t="s">
        <v>876</v>
      </c>
      <c r="P74" t="s">
        <v>877</v>
      </c>
      <c r="Q74" t="s">
        <v>878</v>
      </c>
      <c r="R74" t="s">
        <v>879</v>
      </c>
      <c r="S74" t="s">
        <v>1266</v>
      </c>
      <c r="T74">
        <f>'Assessment Questions'!W74</f>
        <v>0</v>
      </c>
      <c r="U74">
        <f>'Assessment Questions'!X74</f>
        <v>0</v>
      </c>
      <c r="V74" t="str">
        <f>'Assessment Questions'!Y74</f>
        <v>Use the recommended action generated by the model; validate with domain owner during real assessment.</v>
      </c>
      <c r="W74">
        <v>4</v>
      </c>
      <c r="X74">
        <v>5</v>
      </c>
      <c r="Y74">
        <v>5</v>
      </c>
      <c r="Z74">
        <f>'Assessment Questions'!AC74</f>
        <v>0</v>
      </c>
      <c r="AA74" t="s">
        <v>1274</v>
      </c>
      <c r="AB74">
        <f t="shared" si="42"/>
        <v>8</v>
      </c>
      <c r="AC74">
        <f t="shared" si="43"/>
        <v>0</v>
      </c>
      <c r="AD74">
        <f t="shared" si="32"/>
        <v>0</v>
      </c>
      <c r="AE74">
        <f t="shared" si="44"/>
        <v>8</v>
      </c>
      <c r="AF74">
        <f t="shared" si="33"/>
        <v>5</v>
      </c>
      <c r="AG74">
        <f t="shared" si="45"/>
        <v>8</v>
      </c>
      <c r="AH74">
        <f>'Assessment Questions'!AK74</f>
        <v>0</v>
      </c>
      <c r="AI74">
        <f>'Assessment Questions'!AL74</f>
        <v>0</v>
      </c>
      <c r="AJ74">
        <f>IF(OR($H74="",$H74="N/A"),"",IF($AH74="",VLOOKUP('Company Profile'!$B$40,_CONFIG_Model_Settings!$A$5:$B$8,2,FALSE),IFERROR(VLOOKUP($AH74,_CONFIG_Model_Settings!$A$5:$B$8,2,FALSE),0.9)))</f>
        <v>0.9</v>
      </c>
      <c r="AK74">
        <f>IF(OR($H74="",$H74="N/A"),"",IF($AI74="",VLOOKUP('Company Profile'!$B$41,_CONFIG_Model_Settings!$A$5:$B$8,2,FALSE),IFERROR(VLOOKUP($AI74,_CONFIG_Model_Settings!$A$5:$B$8,2,FALSE),0.9)))</f>
        <v>0.9</v>
      </c>
      <c r="AL74">
        <f t="shared" si="34"/>
        <v>0</v>
      </c>
      <c r="AM74">
        <f t="shared" si="35"/>
        <v>0</v>
      </c>
      <c r="AN74">
        <f>IFERROR(MIN(5,MAX(0,(SUMIFS(_REF_Model_Content!$D$1:$D$174,_REF_Model_Content!$A$1:$A$174,PV_Canonical_Industry,_REF_Model_Content!$B$1:$B$174,"HR Workforce"))+IFERROR(VLOOKUP('Company Profile'!$B$35,_CONFIG_Model_Settings!$A$11:$B$13,2,0),0))),"")</f>
        <v>0</v>
      </c>
      <c r="AO74">
        <f t="shared" si="36"/>
        <v>0</v>
      </c>
      <c r="AP74">
        <f>IFERROR(SUMIFS(_REF_Model_Content!$E$1:$E$174,_REF_Model_Content!$A$1:$A$174,PV_Canonical_Industry,_REF_Model_Content!$B$1:$B$174,"HR Workforce"),1)</f>
        <v>0</v>
      </c>
      <c r="AQ74">
        <f t="shared" si="37"/>
        <v>0</v>
      </c>
      <c r="AR74" t="str">
        <f t="shared" si="38"/>
        <v>Within target</v>
      </c>
      <c r="AS74">
        <f t="shared" si="39"/>
        <v>0</v>
      </c>
      <c r="AT74">
        <f t="shared" si="40"/>
        <v>0.9</v>
      </c>
      <c r="AU74">
        <f>'Assessment Questions'!AX74</f>
        <v>0</v>
      </c>
      <c r="AV74">
        <f t="shared" si="41"/>
        <v>0.9</v>
      </c>
      <c r="AW74" t="s">
        <v>1259</v>
      </c>
      <c r="AX74" t="s">
        <v>1259</v>
      </c>
      <c r="AY74">
        <v>7</v>
      </c>
      <c r="AZ74">
        <v>74</v>
      </c>
    </row>
    <row r="75" spans="1:52">
      <c r="A75" t="s">
        <v>1275</v>
      </c>
      <c r="B75" t="s">
        <v>1261</v>
      </c>
      <c r="C75" t="s">
        <v>1276</v>
      </c>
      <c r="D75" t="s">
        <v>1263</v>
      </c>
      <c r="E75" t="s">
        <v>1264</v>
      </c>
      <c r="F75" t="s">
        <v>1277</v>
      </c>
      <c r="G75">
        <f>'Assessment Questions'!J75</f>
        <v>5</v>
      </c>
      <c r="H75">
        <f t="shared" si="27"/>
        <v>0</v>
      </c>
      <c r="I75">
        <f t="shared" si="28"/>
        <v>0</v>
      </c>
      <c r="J75">
        <f t="shared" si="29"/>
        <v>5</v>
      </c>
      <c r="K75">
        <f t="shared" si="30"/>
        <v>5</v>
      </c>
      <c r="L75" t="str">
        <f t="shared" si="31"/>
        <v>Critical</v>
      </c>
      <c r="M75" t="s">
        <v>1051</v>
      </c>
      <c r="N75" t="s">
        <v>1052</v>
      </c>
      <c r="O75" t="s">
        <v>1053</v>
      </c>
      <c r="P75" t="s">
        <v>1054</v>
      </c>
      <c r="Q75" t="s">
        <v>1055</v>
      </c>
      <c r="R75" t="s">
        <v>1056</v>
      </c>
      <c r="S75" t="s">
        <v>1266</v>
      </c>
      <c r="T75">
        <f>'Assessment Questions'!W75</f>
        <v>0</v>
      </c>
      <c r="U75">
        <f>'Assessment Questions'!X75</f>
        <v>0</v>
      </c>
      <c r="V75" t="str">
        <f>'Assessment Questions'!Y75</f>
        <v>Use the recommended action generated by the model; validate with domain owner during real assessment.</v>
      </c>
      <c r="W75">
        <v>5</v>
      </c>
      <c r="X75">
        <v>5</v>
      </c>
      <c r="Y75">
        <v>5</v>
      </c>
      <c r="Z75">
        <f>'Assessment Questions'!AC75</f>
        <v>0</v>
      </c>
      <c r="AA75" t="s">
        <v>1278</v>
      </c>
      <c r="AB75">
        <f t="shared" si="42"/>
        <v>5</v>
      </c>
      <c r="AC75">
        <f t="shared" si="43"/>
        <v>0</v>
      </c>
      <c r="AD75">
        <f t="shared" si="32"/>
        <v>0</v>
      </c>
      <c r="AE75">
        <f t="shared" si="44"/>
        <v>5</v>
      </c>
      <c r="AF75">
        <f t="shared" si="33"/>
        <v>5</v>
      </c>
      <c r="AG75">
        <f t="shared" si="45"/>
        <v>5</v>
      </c>
      <c r="AH75">
        <f>'Assessment Questions'!AK75</f>
        <v>0</v>
      </c>
      <c r="AI75">
        <f>'Assessment Questions'!AL75</f>
        <v>0</v>
      </c>
      <c r="AJ75">
        <f>IF(OR($H75="",$H75="N/A"),"",IF($AH75="",VLOOKUP('Company Profile'!$B$40,_CONFIG_Model_Settings!$A$5:$B$8,2,FALSE),IFERROR(VLOOKUP($AH75,_CONFIG_Model_Settings!$A$5:$B$8,2,FALSE),0.9)))</f>
        <v>0.9</v>
      </c>
      <c r="AK75">
        <f>IF(OR($H75="",$H75="N/A"),"",IF($AI75="",VLOOKUP('Company Profile'!$B$41,_CONFIG_Model_Settings!$A$5:$B$8,2,FALSE),IFERROR(VLOOKUP($AI75,_CONFIG_Model_Settings!$A$5:$B$8,2,FALSE),0.9)))</f>
        <v>0.9</v>
      </c>
      <c r="AL75">
        <f t="shared" si="34"/>
        <v>0</v>
      </c>
      <c r="AM75">
        <f t="shared" si="35"/>
        <v>0</v>
      </c>
      <c r="AN75">
        <f>IFERROR(MIN(5,MAX(0,(SUMIFS(_REF_Model_Content!$D$1:$D$174,_REF_Model_Content!$A$1:$A$174,PV_Canonical_Industry,_REF_Model_Content!$B$1:$B$174,"HR Workforce"))+IFERROR(VLOOKUP('Company Profile'!$B$35,_CONFIG_Model_Settings!$A$11:$B$13,2,0),0))),"")</f>
        <v>0</v>
      </c>
      <c r="AO75">
        <f t="shared" si="36"/>
        <v>0</v>
      </c>
      <c r="AP75">
        <f>IFERROR(SUMIFS(_REF_Model_Content!$E$1:$E$174,_REF_Model_Content!$A$1:$A$174,PV_Canonical_Industry,_REF_Model_Content!$B$1:$B$174,"HR Workforce"),1)</f>
        <v>0</v>
      </c>
      <c r="AQ75">
        <f t="shared" si="37"/>
        <v>0</v>
      </c>
      <c r="AR75" t="str">
        <f t="shared" si="38"/>
        <v>Within target</v>
      </c>
      <c r="AS75">
        <f t="shared" si="39"/>
        <v>0</v>
      </c>
      <c r="AT75">
        <f t="shared" si="40"/>
        <v>0.9</v>
      </c>
      <c r="AU75">
        <f>'Assessment Questions'!AX75</f>
        <v>0</v>
      </c>
      <c r="AV75">
        <f t="shared" si="41"/>
        <v>0.9</v>
      </c>
      <c r="AW75" t="s">
        <v>1259</v>
      </c>
      <c r="AX75" t="s">
        <v>1259</v>
      </c>
      <c r="AY75">
        <v>8</v>
      </c>
      <c r="AZ75">
        <v>75</v>
      </c>
    </row>
    <row r="76" spans="1:52">
      <c r="A76" t="s">
        <v>1279</v>
      </c>
      <c r="B76" t="s">
        <v>1261</v>
      </c>
      <c r="C76" t="s">
        <v>1280</v>
      </c>
      <c r="D76" t="s">
        <v>1263</v>
      </c>
      <c r="E76" t="s">
        <v>1264</v>
      </c>
      <c r="F76" t="s">
        <v>1281</v>
      </c>
      <c r="G76">
        <f>'Assessment Questions'!J76</f>
        <v>5</v>
      </c>
      <c r="H76">
        <f t="shared" si="27"/>
        <v>0</v>
      </c>
      <c r="I76">
        <f t="shared" si="28"/>
        <v>0</v>
      </c>
      <c r="J76">
        <f t="shared" si="29"/>
        <v>5</v>
      </c>
      <c r="K76">
        <f t="shared" si="30"/>
        <v>5</v>
      </c>
      <c r="L76" t="str">
        <f t="shared" si="31"/>
        <v>Critical</v>
      </c>
      <c r="M76" t="s">
        <v>833</v>
      </c>
      <c r="N76" t="s">
        <v>834</v>
      </c>
      <c r="O76" t="s">
        <v>835</v>
      </c>
      <c r="P76" t="s">
        <v>836</v>
      </c>
      <c r="Q76" t="s">
        <v>837</v>
      </c>
      <c r="R76" t="s">
        <v>838</v>
      </c>
      <c r="S76" t="s">
        <v>1266</v>
      </c>
      <c r="T76">
        <f>'Assessment Questions'!W76</f>
        <v>0</v>
      </c>
      <c r="U76">
        <f>'Assessment Questions'!X76</f>
        <v>0</v>
      </c>
      <c r="V76" t="str">
        <f>'Assessment Questions'!Y76</f>
        <v>Use the recommended action generated by the model; validate with domain owner during real assessment.</v>
      </c>
      <c r="W76">
        <v>4</v>
      </c>
      <c r="X76">
        <v>5</v>
      </c>
      <c r="Y76">
        <v>5</v>
      </c>
      <c r="Z76">
        <f>'Assessment Questions'!AC76</f>
        <v>0</v>
      </c>
      <c r="AB76">
        <f t="shared" si="42"/>
        <v>0</v>
      </c>
      <c r="AC76">
        <f t="shared" si="43"/>
        <v>0</v>
      </c>
      <c r="AD76">
        <f t="shared" si="32"/>
        <v>0</v>
      </c>
      <c r="AE76">
        <f t="shared" si="44"/>
        <v>0</v>
      </c>
      <c r="AF76">
        <f t="shared" si="33"/>
        <v>5</v>
      </c>
      <c r="AG76">
        <f t="shared" si="45"/>
        <v>0</v>
      </c>
      <c r="AH76">
        <f>'Assessment Questions'!AK76</f>
        <v>0</v>
      </c>
      <c r="AI76">
        <f>'Assessment Questions'!AL76</f>
        <v>0</v>
      </c>
      <c r="AJ76">
        <f>IF(OR($H76="",$H76="N/A"),"",IF($AH76="",VLOOKUP('Company Profile'!$B$40,_CONFIG_Model_Settings!$A$5:$B$8,2,FALSE),IFERROR(VLOOKUP($AH76,_CONFIG_Model_Settings!$A$5:$B$8,2,FALSE),0.9)))</f>
        <v>0.9</v>
      </c>
      <c r="AK76">
        <f>IF(OR($H76="",$H76="N/A"),"",IF($AI76="",VLOOKUP('Company Profile'!$B$41,_CONFIG_Model_Settings!$A$5:$B$8,2,FALSE),IFERROR(VLOOKUP($AI76,_CONFIG_Model_Settings!$A$5:$B$8,2,FALSE),0.9)))</f>
        <v>0.9</v>
      </c>
      <c r="AL76">
        <f t="shared" si="34"/>
        <v>0</v>
      </c>
      <c r="AM76">
        <f t="shared" si="35"/>
        <v>0</v>
      </c>
      <c r="AN76">
        <f>IFERROR(MIN(5,MAX(0,(SUMIFS(_REF_Model_Content!$D$1:$D$174,_REF_Model_Content!$A$1:$A$174,PV_Canonical_Industry,_REF_Model_Content!$B$1:$B$174,"HR Workforce"))+IFERROR(VLOOKUP('Company Profile'!$B$35,_CONFIG_Model_Settings!$A$11:$B$13,2,0),0))),"")</f>
        <v>0</v>
      </c>
      <c r="AO76">
        <f t="shared" si="36"/>
        <v>0</v>
      </c>
      <c r="AP76">
        <f>IFERROR(SUMIFS(_REF_Model_Content!$E$1:$E$174,_REF_Model_Content!$A$1:$A$174,PV_Canonical_Industry,_REF_Model_Content!$B$1:$B$174,"HR Workforce"),1)</f>
        <v>0</v>
      </c>
      <c r="AQ76">
        <f t="shared" si="37"/>
        <v>0</v>
      </c>
      <c r="AR76" t="str">
        <f t="shared" si="38"/>
        <v>Within target</v>
      </c>
      <c r="AS76">
        <f t="shared" si="39"/>
        <v>0</v>
      </c>
      <c r="AT76">
        <f t="shared" si="40"/>
        <v>0.9</v>
      </c>
      <c r="AU76">
        <f>'Assessment Questions'!AX76</f>
        <v>0</v>
      </c>
      <c r="AV76">
        <f t="shared" si="41"/>
        <v>0.9</v>
      </c>
      <c r="AW76" t="s">
        <v>1259</v>
      </c>
      <c r="AX76" t="s">
        <v>1259</v>
      </c>
      <c r="AY76">
        <v>9</v>
      </c>
      <c r="AZ76">
        <v>76</v>
      </c>
    </row>
    <row r="77" spans="1:52">
      <c r="A77" t="s">
        <v>1282</v>
      </c>
      <c r="B77" t="s">
        <v>1261</v>
      </c>
      <c r="C77" t="s">
        <v>1283</v>
      </c>
      <c r="D77" t="s">
        <v>1263</v>
      </c>
      <c r="E77" t="s">
        <v>1264</v>
      </c>
      <c r="F77" t="s">
        <v>1284</v>
      </c>
      <c r="G77">
        <f>'Assessment Questions'!J77</f>
        <v>3</v>
      </c>
      <c r="H77">
        <f t="shared" si="27"/>
        <v>0</v>
      </c>
      <c r="I77">
        <f t="shared" si="28"/>
        <v>0</v>
      </c>
      <c r="J77">
        <f t="shared" si="29"/>
        <v>3</v>
      </c>
      <c r="K77">
        <f t="shared" si="30"/>
        <v>3</v>
      </c>
      <c r="L77" t="str">
        <f t="shared" si="31"/>
        <v>Critical</v>
      </c>
      <c r="M77" t="s">
        <v>1285</v>
      </c>
      <c r="N77" t="s">
        <v>1286</v>
      </c>
      <c r="O77" t="s">
        <v>1287</v>
      </c>
      <c r="P77" t="s">
        <v>1288</v>
      </c>
      <c r="Q77" t="s">
        <v>1289</v>
      </c>
      <c r="R77" t="s">
        <v>1290</v>
      </c>
      <c r="S77" t="s">
        <v>1266</v>
      </c>
      <c r="T77">
        <f>'Assessment Questions'!W77</f>
        <v>0</v>
      </c>
      <c r="U77">
        <f>'Assessment Questions'!X77</f>
        <v>0</v>
      </c>
      <c r="V77" t="str">
        <f>'Assessment Questions'!Y77</f>
        <v>Use the recommended action generated by the model; validate with domain owner during real assessment.</v>
      </c>
      <c r="W77">
        <v>4</v>
      </c>
      <c r="X77">
        <v>5</v>
      </c>
      <c r="Y77">
        <v>5</v>
      </c>
      <c r="Z77">
        <f>'Assessment Questions'!AC77</f>
        <v>0</v>
      </c>
      <c r="AB77">
        <f t="shared" si="42"/>
        <v>0</v>
      </c>
      <c r="AC77">
        <f t="shared" si="43"/>
        <v>0</v>
      </c>
      <c r="AD77">
        <f t="shared" si="32"/>
        <v>0</v>
      </c>
      <c r="AE77">
        <f t="shared" si="44"/>
        <v>0</v>
      </c>
      <c r="AF77">
        <f t="shared" si="33"/>
        <v>5</v>
      </c>
      <c r="AG77">
        <f t="shared" si="45"/>
        <v>0</v>
      </c>
      <c r="AH77">
        <f>'Assessment Questions'!AK77</f>
        <v>0</v>
      </c>
      <c r="AI77">
        <f>'Assessment Questions'!AL77</f>
        <v>0</v>
      </c>
      <c r="AJ77">
        <f>IF(OR($H77="",$H77="N/A"),"",IF($AH77="",VLOOKUP('Company Profile'!$B$40,_CONFIG_Model_Settings!$A$5:$B$8,2,FALSE),IFERROR(VLOOKUP($AH77,_CONFIG_Model_Settings!$A$5:$B$8,2,FALSE),0.9)))</f>
        <v>0.9</v>
      </c>
      <c r="AK77">
        <f>IF(OR($H77="",$H77="N/A"),"",IF($AI77="",VLOOKUP('Company Profile'!$B$41,_CONFIG_Model_Settings!$A$5:$B$8,2,FALSE),IFERROR(VLOOKUP($AI77,_CONFIG_Model_Settings!$A$5:$B$8,2,FALSE),0.9)))</f>
        <v>0.9</v>
      </c>
      <c r="AL77">
        <f t="shared" si="34"/>
        <v>0</v>
      </c>
      <c r="AM77">
        <f t="shared" si="35"/>
        <v>0</v>
      </c>
      <c r="AN77">
        <f>IFERROR(MIN(5,MAX(0,(SUMIFS(_REF_Model_Content!$D$1:$D$174,_REF_Model_Content!$A$1:$A$174,PV_Canonical_Industry,_REF_Model_Content!$B$1:$B$174,"HR Workforce"))+IFERROR(VLOOKUP('Company Profile'!$B$35,_CONFIG_Model_Settings!$A$11:$B$13,2,0),0))),"")</f>
        <v>0</v>
      </c>
      <c r="AO77">
        <f t="shared" si="36"/>
        <v>0</v>
      </c>
      <c r="AP77">
        <f>IFERROR(SUMIFS(_REF_Model_Content!$E$1:$E$174,_REF_Model_Content!$A$1:$A$174,PV_Canonical_Industry,_REF_Model_Content!$B$1:$B$174,"HR Workforce"),1)</f>
        <v>0</v>
      </c>
      <c r="AQ77">
        <f t="shared" si="37"/>
        <v>0</v>
      </c>
      <c r="AR77" t="str">
        <f t="shared" si="38"/>
        <v>Within target</v>
      </c>
      <c r="AS77">
        <f t="shared" si="39"/>
        <v>0</v>
      </c>
      <c r="AT77">
        <f t="shared" si="40"/>
        <v>0.9</v>
      </c>
      <c r="AU77">
        <f>'Assessment Questions'!AX77</f>
        <v>0</v>
      </c>
      <c r="AV77">
        <f t="shared" si="41"/>
        <v>0.9</v>
      </c>
      <c r="AW77" t="s">
        <v>1259</v>
      </c>
      <c r="AX77" t="s">
        <v>1259</v>
      </c>
      <c r="AY77">
        <v>10</v>
      </c>
      <c r="AZ77">
        <v>77</v>
      </c>
    </row>
    <row r="78" spans="1:52">
      <c r="A78" t="s">
        <v>1291</v>
      </c>
      <c r="B78" t="s">
        <v>1270</v>
      </c>
      <c r="C78" t="s">
        <v>1292</v>
      </c>
      <c r="D78" t="s">
        <v>1263</v>
      </c>
      <c r="E78" t="s">
        <v>1264</v>
      </c>
      <c r="F78" t="s">
        <v>1293</v>
      </c>
      <c r="G78">
        <f>'Assessment Questions'!J78</f>
        <v>5</v>
      </c>
      <c r="H78">
        <f t="shared" si="27"/>
        <v>0</v>
      </c>
      <c r="I78">
        <f t="shared" si="28"/>
        <v>0</v>
      </c>
      <c r="J78">
        <f t="shared" si="29"/>
        <v>5</v>
      </c>
      <c r="K78">
        <f t="shared" si="30"/>
        <v>5</v>
      </c>
      <c r="L78" t="str">
        <f t="shared" si="31"/>
        <v>Critical</v>
      </c>
      <c r="M78" t="s">
        <v>833</v>
      </c>
      <c r="N78" t="s">
        <v>834</v>
      </c>
      <c r="O78" t="s">
        <v>835</v>
      </c>
      <c r="P78" t="s">
        <v>836</v>
      </c>
      <c r="Q78" t="s">
        <v>837</v>
      </c>
      <c r="R78" t="s">
        <v>838</v>
      </c>
      <c r="S78" t="s">
        <v>1266</v>
      </c>
      <c r="T78">
        <f>'Assessment Questions'!W78</f>
        <v>0</v>
      </c>
      <c r="U78">
        <f>'Assessment Questions'!X78</f>
        <v>0</v>
      </c>
      <c r="V78" t="str">
        <f>'Assessment Questions'!Y78</f>
        <v>Use the recommended action generated by the model; validate with domain owner during real assessment.</v>
      </c>
      <c r="W78">
        <v>4</v>
      </c>
      <c r="X78">
        <v>5</v>
      </c>
      <c r="Y78">
        <v>5</v>
      </c>
      <c r="Z78">
        <f>'Assessment Questions'!AC78</f>
        <v>0</v>
      </c>
      <c r="AB78">
        <f t="shared" si="42"/>
        <v>0</v>
      </c>
      <c r="AC78">
        <f t="shared" si="43"/>
        <v>0</v>
      </c>
      <c r="AD78">
        <f t="shared" si="32"/>
        <v>0</v>
      </c>
      <c r="AE78">
        <f t="shared" si="44"/>
        <v>0</v>
      </c>
      <c r="AF78">
        <f t="shared" si="33"/>
        <v>5</v>
      </c>
      <c r="AG78">
        <f t="shared" si="45"/>
        <v>0</v>
      </c>
      <c r="AH78">
        <f>'Assessment Questions'!AK78</f>
        <v>0</v>
      </c>
      <c r="AI78">
        <f>'Assessment Questions'!AL78</f>
        <v>0</v>
      </c>
      <c r="AJ78">
        <f>IF(OR($H78="",$H78="N/A"),"",IF($AH78="",VLOOKUP('Company Profile'!$B$40,_CONFIG_Model_Settings!$A$5:$B$8,2,FALSE),IFERROR(VLOOKUP($AH78,_CONFIG_Model_Settings!$A$5:$B$8,2,FALSE),0.9)))</f>
        <v>0.9</v>
      </c>
      <c r="AK78">
        <f>IF(OR($H78="",$H78="N/A"),"",IF($AI78="",VLOOKUP('Company Profile'!$B$41,_CONFIG_Model_Settings!$A$5:$B$8,2,FALSE),IFERROR(VLOOKUP($AI78,_CONFIG_Model_Settings!$A$5:$B$8,2,FALSE),0.9)))</f>
        <v>0.9</v>
      </c>
      <c r="AL78">
        <f t="shared" si="34"/>
        <v>0</v>
      </c>
      <c r="AM78">
        <f t="shared" si="35"/>
        <v>0</v>
      </c>
      <c r="AN78">
        <f>IFERROR(MIN(5,MAX(0,(SUMIFS(_REF_Model_Content!$D$1:$D$174,_REF_Model_Content!$A$1:$A$174,PV_Canonical_Industry,_REF_Model_Content!$B$1:$B$174,"HR Workforce"))+IFERROR(VLOOKUP('Company Profile'!$B$35,_CONFIG_Model_Settings!$A$11:$B$13,2,0),0))),"")</f>
        <v>0</v>
      </c>
      <c r="AO78">
        <f t="shared" si="36"/>
        <v>0</v>
      </c>
      <c r="AP78">
        <f>IFERROR(SUMIFS(_REF_Model_Content!$E$1:$E$174,_REF_Model_Content!$A$1:$A$174,PV_Canonical_Industry,_REF_Model_Content!$B$1:$B$174,"HR Workforce"),1)</f>
        <v>0</v>
      </c>
      <c r="AQ78">
        <f t="shared" si="37"/>
        <v>0</v>
      </c>
      <c r="AR78" t="str">
        <f t="shared" si="38"/>
        <v>Within target</v>
      </c>
      <c r="AS78">
        <f t="shared" si="39"/>
        <v>0</v>
      </c>
      <c r="AT78">
        <f t="shared" si="40"/>
        <v>0.9</v>
      </c>
      <c r="AU78">
        <f>'Assessment Questions'!AX78</f>
        <v>0</v>
      </c>
      <c r="AV78">
        <f t="shared" si="41"/>
        <v>0.9</v>
      </c>
      <c r="AW78" t="s">
        <v>1259</v>
      </c>
      <c r="AX78" t="s">
        <v>1259</v>
      </c>
      <c r="AY78">
        <v>11</v>
      </c>
      <c r="AZ78">
        <v>78</v>
      </c>
    </row>
    <row r="79" spans="1:52">
      <c r="A79" t="s">
        <v>1294</v>
      </c>
      <c r="B79" t="s">
        <v>1270</v>
      </c>
      <c r="C79" t="s">
        <v>1295</v>
      </c>
      <c r="D79" t="s">
        <v>1263</v>
      </c>
      <c r="E79" t="s">
        <v>1264</v>
      </c>
      <c r="F79" t="s">
        <v>1296</v>
      </c>
      <c r="G79">
        <f>'Assessment Questions'!J79</f>
        <v>5</v>
      </c>
      <c r="H79">
        <f t="shared" si="27"/>
        <v>0</v>
      </c>
      <c r="I79">
        <f t="shared" si="28"/>
        <v>0</v>
      </c>
      <c r="J79">
        <f t="shared" si="29"/>
        <v>5</v>
      </c>
      <c r="K79">
        <f t="shared" si="30"/>
        <v>5</v>
      </c>
      <c r="L79" t="str">
        <f t="shared" si="31"/>
        <v>Critical</v>
      </c>
      <c r="M79" t="s">
        <v>1069</v>
      </c>
      <c r="N79" t="s">
        <v>1070</v>
      </c>
      <c r="O79" t="s">
        <v>1071</v>
      </c>
      <c r="P79" t="s">
        <v>1072</v>
      </c>
      <c r="Q79" t="s">
        <v>1073</v>
      </c>
      <c r="R79" t="s">
        <v>1074</v>
      </c>
      <c r="S79" t="s">
        <v>1266</v>
      </c>
      <c r="T79">
        <f>'Assessment Questions'!W79</f>
        <v>0</v>
      </c>
      <c r="U79">
        <f>'Assessment Questions'!X79</f>
        <v>0</v>
      </c>
      <c r="V79" t="str">
        <f>'Assessment Questions'!Y79</f>
        <v>Use the recommended action generated by the model; validate with domain owner during real assessment.</v>
      </c>
      <c r="W79">
        <v>4</v>
      </c>
      <c r="X79">
        <v>5</v>
      </c>
      <c r="Y79">
        <v>5</v>
      </c>
      <c r="Z79">
        <f>'Assessment Questions'!AC79</f>
        <v>0</v>
      </c>
      <c r="AB79">
        <f t="shared" si="42"/>
        <v>0</v>
      </c>
      <c r="AC79">
        <f t="shared" si="43"/>
        <v>0</v>
      </c>
      <c r="AD79">
        <f t="shared" si="32"/>
        <v>0</v>
      </c>
      <c r="AE79">
        <f t="shared" si="44"/>
        <v>0</v>
      </c>
      <c r="AF79">
        <f t="shared" si="33"/>
        <v>5</v>
      </c>
      <c r="AG79">
        <f t="shared" si="45"/>
        <v>0</v>
      </c>
      <c r="AH79">
        <f>'Assessment Questions'!AK79</f>
        <v>0</v>
      </c>
      <c r="AI79">
        <f>'Assessment Questions'!AL79</f>
        <v>0</v>
      </c>
      <c r="AJ79">
        <f>IF(OR($H79="",$H79="N/A"),"",IF($AH79="",VLOOKUP('Company Profile'!$B$40,_CONFIG_Model_Settings!$A$5:$B$8,2,FALSE),IFERROR(VLOOKUP($AH79,_CONFIG_Model_Settings!$A$5:$B$8,2,FALSE),0.9)))</f>
        <v>0.9</v>
      </c>
      <c r="AK79">
        <f>IF(OR($H79="",$H79="N/A"),"",IF($AI79="",VLOOKUP('Company Profile'!$B$41,_CONFIG_Model_Settings!$A$5:$B$8,2,FALSE),IFERROR(VLOOKUP($AI79,_CONFIG_Model_Settings!$A$5:$B$8,2,FALSE),0.9)))</f>
        <v>0.9</v>
      </c>
      <c r="AL79">
        <f t="shared" si="34"/>
        <v>0</v>
      </c>
      <c r="AM79">
        <f t="shared" si="35"/>
        <v>0</v>
      </c>
      <c r="AN79">
        <f>IFERROR(MIN(5,MAX(0,(SUMIFS(_REF_Model_Content!$D$1:$D$174,_REF_Model_Content!$A$1:$A$174,PV_Canonical_Industry,_REF_Model_Content!$B$1:$B$174,"HR Workforce"))+IFERROR(VLOOKUP('Company Profile'!$B$35,_CONFIG_Model_Settings!$A$11:$B$13,2,0),0))),"")</f>
        <v>0</v>
      </c>
      <c r="AO79">
        <f t="shared" si="36"/>
        <v>0</v>
      </c>
      <c r="AP79">
        <f>IFERROR(SUMIFS(_REF_Model_Content!$E$1:$E$174,_REF_Model_Content!$A$1:$A$174,PV_Canonical_Industry,_REF_Model_Content!$B$1:$B$174,"HR Workforce"),1)</f>
        <v>0</v>
      </c>
      <c r="AQ79">
        <f t="shared" si="37"/>
        <v>0</v>
      </c>
      <c r="AR79" t="str">
        <f t="shared" si="38"/>
        <v>Within target</v>
      </c>
      <c r="AS79">
        <f t="shared" si="39"/>
        <v>0</v>
      </c>
      <c r="AT79">
        <f t="shared" si="40"/>
        <v>0.9</v>
      </c>
      <c r="AU79">
        <f>'Assessment Questions'!AX79</f>
        <v>0</v>
      </c>
      <c r="AV79">
        <f t="shared" si="41"/>
        <v>0.9</v>
      </c>
      <c r="AW79" t="s">
        <v>1259</v>
      </c>
      <c r="AX79" t="s">
        <v>1259</v>
      </c>
      <c r="AY79">
        <v>12</v>
      </c>
      <c r="AZ79">
        <v>79</v>
      </c>
    </row>
    <row r="80" spans="1:52">
      <c r="A80" t="s">
        <v>1297</v>
      </c>
      <c r="B80" t="s">
        <v>1270</v>
      </c>
      <c r="C80" t="s">
        <v>1298</v>
      </c>
      <c r="D80" t="s">
        <v>1263</v>
      </c>
      <c r="E80" t="s">
        <v>1264</v>
      </c>
      <c r="F80" t="s">
        <v>1299</v>
      </c>
      <c r="G80">
        <f>'Assessment Questions'!J80</f>
        <v>5</v>
      </c>
      <c r="H80">
        <f t="shared" si="27"/>
        <v>0</v>
      </c>
      <c r="I80">
        <f t="shared" si="28"/>
        <v>0</v>
      </c>
      <c r="J80">
        <f t="shared" si="29"/>
        <v>5</v>
      </c>
      <c r="K80">
        <f t="shared" si="30"/>
        <v>5</v>
      </c>
      <c r="L80" t="str">
        <f t="shared" si="31"/>
        <v>Critical</v>
      </c>
      <c r="M80" t="s">
        <v>833</v>
      </c>
      <c r="N80" t="s">
        <v>834</v>
      </c>
      <c r="O80" t="s">
        <v>835</v>
      </c>
      <c r="P80" t="s">
        <v>836</v>
      </c>
      <c r="Q80" t="s">
        <v>837</v>
      </c>
      <c r="R80" t="s">
        <v>838</v>
      </c>
      <c r="S80" t="s">
        <v>1266</v>
      </c>
      <c r="T80">
        <f>'Assessment Questions'!W80</f>
        <v>0</v>
      </c>
      <c r="U80">
        <f>'Assessment Questions'!X80</f>
        <v>0</v>
      </c>
      <c r="V80" t="str">
        <f>'Assessment Questions'!Y80</f>
        <v>Use the recommended action generated by the model; validate with domain owner during real assessment.</v>
      </c>
      <c r="W80">
        <v>4</v>
      </c>
      <c r="X80">
        <v>5</v>
      </c>
      <c r="Y80">
        <v>5</v>
      </c>
      <c r="Z80">
        <f>'Assessment Questions'!AC80</f>
        <v>0</v>
      </c>
      <c r="AB80">
        <f t="shared" si="42"/>
        <v>0</v>
      </c>
      <c r="AC80">
        <f t="shared" si="43"/>
        <v>0</v>
      </c>
      <c r="AD80">
        <f t="shared" si="32"/>
        <v>0</v>
      </c>
      <c r="AE80">
        <f t="shared" si="44"/>
        <v>0</v>
      </c>
      <c r="AF80">
        <f t="shared" si="33"/>
        <v>5</v>
      </c>
      <c r="AG80">
        <f t="shared" si="45"/>
        <v>0</v>
      </c>
      <c r="AH80">
        <f>'Assessment Questions'!AK80</f>
        <v>0</v>
      </c>
      <c r="AI80">
        <f>'Assessment Questions'!AL80</f>
        <v>0</v>
      </c>
      <c r="AJ80">
        <f>IF(OR($H80="",$H80="N/A"),"",IF($AH80="",VLOOKUP('Company Profile'!$B$40,_CONFIG_Model_Settings!$A$5:$B$8,2,FALSE),IFERROR(VLOOKUP($AH80,_CONFIG_Model_Settings!$A$5:$B$8,2,FALSE),0.9)))</f>
        <v>0.9</v>
      </c>
      <c r="AK80">
        <f>IF(OR($H80="",$H80="N/A"),"",IF($AI80="",VLOOKUP('Company Profile'!$B$41,_CONFIG_Model_Settings!$A$5:$B$8,2,FALSE),IFERROR(VLOOKUP($AI80,_CONFIG_Model_Settings!$A$5:$B$8,2,FALSE),0.9)))</f>
        <v>0.9</v>
      </c>
      <c r="AL80">
        <f t="shared" si="34"/>
        <v>0</v>
      </c>
      <c r="AM80">
        <f t="shared" si="35"/>
        <v>0</v>
      </c>
      <c r="AN80">
        <f>IFERROR(MIN(5,MAX(0,(SUMIFS(_REF_Model_Content!$D$1:$D$174,_REF_Model_Content!$A$1:$A$174,PV_Canonical_Industry,_REF_Model_Content!$B$1:$B$174,"HR Workforce"))+IFERROR(VLOOKUP('Company Profile'!$B$35,_CONFIG_Model_Settings!$A$11:$B$13,2,0),0))),"")</f>
        <v>0</v>
      </c>
      <c r="AO80">
        <f t="shared" si="36"/>
        <v>0</v>
      </c>
      <c r="AP80">
        <f>IFERROR(SUMIFS(_REF_Model_Content!$E$1:$E$174,_REF_Model_Content!$A$1:$A$174,PV_Canonical_Industry,_REF_Model_Content!$B$1:$B$174,"HR Workforce"),1)</f>
        <v>0</v>
      </c>
      <c r="AQ80">
        <f t="shared" si="37"/>
        <v>0</v>
      </c>
      <c r="AR80" t="str">
        <f t="shared" si="38"/>
        <v>Within target</v>
      </c>
      <c r="AS80">
        <f t="shared" si="39"/>
        <v>0</v>
      </c>
      <c r="AT80">
        <f t="shared" si="40"/>
        <v>0.9</v>
      </c>
      <c r="AU80">
        <f>'Assessment Questions'!AX80</f>
        <v>0</v>
      </c>
      <c r="AV80">
        <f t="shared" si="41"/>
        <v>0.9</v>
      </c>
      <c r="AW80" t="s">
        <v>1259</v>
      </c>
      <c r="AX80" t="s">
        <v>1259</v>
      </c>
      <c r="AY80">
        <v>13</v>
      </c>
      <c r="AZ80">
        <v>80</v>
      </c>
    </row>
    <row r="81" spans="1:52">
      <c r="A81" t="s">
        <v>1300</v>
      </c>
      <c r="B81" t="s">
        <v>1270</v>
      </c>
      <c r="C81" t="s">
        <v>1301</v>
      </c>
      <c r="D81" t="s">
        <v>1263</v>
      </c>
      <c r="E81" t="s">
        <v>1264</v>
      </c>
      <c r="F81" t="s">
        <v>1302</v>
      </c>
      <c r="G81">
        <f>'Assessment Questions'!J81</f>
        <v>5</v>
      </c>
      <c r="H81">
        <f t="shared" si="27"/>
        <v>0</v>
      </c>
      <c r="I81">
        <f t="shared" si="28"/>
        <v>0</v>
      </c>
      <c r="J81">
        <f t="shared" si="29"/>
        <v>5</v>
      </c>
      <c r="K81">
        <f t="shared" si="30"/>
        <v>5</v>
      </c>
      <c r="L81" t="str">
        <f t="shared" si="31"/>
        <v>Critical</v>
      </c>
      <c r="M81" t="s">
        <v>1069</v>
      </c>
      <c r="N81" t="s">
        <v>1070</v>
      </c>
      <c r="O81" t="s">
        <v>1071</v>
      </c>
      <c r="P81" t="s">
        <v>1072</v>
      </c>
      <c r="Q81" t="s">
        <v>1073</v>
      </c>
      <c r="R81" t="s">
        <v>1074</v>
      </c>
      <c r="S81" t="s">
        <v>1266</v>
      </c>
      <c r="T81">
        <f>'Assessment Questions'!W81</f>
        <v>0</v>
      </c>
      <c r="U81">
        <f>'Assessment Questions'!X81</f>
        <v>0</v>
      </c>
      <c r="V81" t="str">
        <f>'Assessment Questions'!Y81</f>
        <v>Use the recommended action generated by the model; validate with domain owner during real assessment.</v>
      </c>
      <c r="W81">
        <v>4</v>
      </c>
      <c r="X81">
        <v>5</v>
      </c>
      <c r="Y81">
        <v>5</v>
      </c>
      <c r="Z81">
        <f>'Assessment Questions'!AC81</f>
        <v>0</v>
      </c>
      <c r="AB81">
        <f t="shared" si="42"/>
        <v>0</v>
      </c>
      <c r="AC81">
        <f t="shared" si="43"/>
        <v>0</v>
      </c>
      <c r="AD81">
        <f t="shared" si="32"/>
        <v>0</v>
      </c>
      <c r="AE81">
        <f t="shared" si="44"/>
        <v>0</v>
      </c>
      <c r="AF81">
        <f t="shared" si="33"/>
        <v>5</v>
      </c>
      <c r="AG81">
        <f t="shared" si="45"/>
        <v>0</v>
      </c>
      <c r="AH81">
        <f>'Assessment Questions'!AK81</f>
        <v>0</v>
      </c>
      <c r="AI81">
        <f>'Assessment Questions'!AL81</f>
        <v>0</v>
      </c>
      <c r="AJ81">
        <f>IF(OR($H81="",$H81="N/A"),"",IF($AH81="",VLOOKUP('Company Profile'!$B$40,_CONFIG_Model_Settings!$A$5:$B$8,2,FALSE),IFERROR(VLOOKUP($AH81,_CONFIG_Model_Settings!$A$5:$B$8,2,FALSE),0.9)))</f>
        <v>0.9</v>
      </c>
      <c r="AK81">
        <f>IF(OR($H81="",$H81="N/A"),"",IF($AI81="",VLOOKUP('Company Profile'!$B$41,_CONFIG_Model_Settings!$A$5:$B$8,2,FALSE),IFERROR(VLOOKUP($AI81,_CONFIG_Model_Settings!$A$5:$B$8,2,FALSE),0.9)))</f>
        <v>0.9</v>
      </c>
      <c r="AL81">
        <f t="shared" si="34"/>
        <v>0</v>
      </c>
      <c r="AM81">
        <f t="shared" si="35"/>
        <v>0</v>
      </c>
      <c r="AN81">
        <f>IFERROR(MIN(5,MAX(0,(SUMIFS(_REF_Model_Content!$D$1:$D$174,_REF_Model_Content!$A$1:$A$174,PV_Canonical_Industry,_REF_Model_Content!$B$1:$B$174,"HR Workforce"))+IFERROR(VLOOKUP('Company Profile'!$B$35,_CONFIG_Model_Settings!$A$11:$B$13,2,0),0))),"")</f>
        <v>0</v>
      </c>
      <c r="AO81">
        <f t="shared" si="36"/>
        <v>0</v>
      </c>
      <c r="AP81">
        <f>IFERROR(SUMIFS(_REF_Model_Content!$E$1:$E$174,_REF_Model_Content!$A$1:$A$174,PV_Canonical_Industry,_REF_Model_Content!$B$1:$B$174,"HR Workforce"),1)</f>
        <v>0</v>
      </c>
      <c r="AQ81">
        <f t="shared" si="37"/>
        <v>0</v>
      </c>
      <c r="AR81" t="str">
        <f t="shared" si="38"/>
        <v>Within target</v>
      </c>
      <c r="AS81">
        <f t="shared" si="39"/>
        <v>0</v>
      </c>
      <c r="AT81">
        <f t="shared" si="40"/>
        <v>0.9</v>
      </c>
      <c r="AU81">
        <f>'Assessment Questions'!AX81</f>
        <v>0</v>
      </c>
      <c r="AV81">
        <f t="shared" si="41"/>
        <v>0.9</v>
      </c>
      <c r="AW81" t="s">
        <v>1259</v>
      </c>
      <c r="AX81" t="s">
        <v>1259</v>
      </c>
      <c r="AY81">
        <v>14</v>
      </c>
      <c r="AZ81">
        <v>81</v>
      </c>
    </row>
    <row r="82" spans="1:52">
      <c r="A82" t="s">
        <v>1303</v>
      </c>
      <c r="B82" t="s">
        <v>1270</v>
      </c>
      <c r="C82" t="s">
        <v>1304</v>
      </c>
      <c r="D82" t="s">
        <v>1263</v>
      </c>
      <c r="E82" t="s">
        <v>1264</v>
      </c>
      <c r="F82" t="s">
        <v>1305</v>
      </c>
      <c r="G82">
        <f>'Assessment Questions'!J82</f>
        <v>5</v>
      </c>
      <c r="H82">
        <f t="shared" si="27"/>
        <v>0</v>
      </c>
      <c r="I82">
        <f t="shared" si="28"/>
        <v>0</v>
      </c>
      <c r="J82">
        <f t="shared" si="29"/>
        <v>5</v>
      </c>
      <c r="K82">
        <f t="shared" si="30"/>
        <v>5</v>
      </c>
      <c r="L82" t="str">
        <f t="shared" si="31"/>
        <v>Critical</v>
      </c>
      <c r="M82" t="s">
        <v>833</v>
      </c>
      <c r="N82" t="s">
        <v>834</v>
      </c>
      <c r="O82" t="s">
        <v>835</v>
      </c>
      <c r="P82" t="s">
        <v>836</v>
      </c>
      <c r="Q82" t="s">
        <v>837</v>
      </c>
      <c r="R82" t="s">
        <v>838</v>
      </c>
      <c r="S82" t="s">
        <v>1266</v>
      </c>
      <c r="T82">
        <f>'Assessment Questions'!W82</f>
        <v>0</v>
      </c>
      <c r="U82">
        <f>'Assessment Questions'!X82</f>
        <v>0</v>
      </c>
      <c r="V82" t="str">
        <f>'Assessment Questions'!Y82</f>
        <v>Use the recommended action generated by the model; validate with domain owner during real assessment.</v>
      </c>
      <c r="W82">
        <v>4</v>
      </c>
      <c r="X82">
        <v>5</v>
      </c>
      <c r="Y82">
        <v>5</v>
      </c>
      <c r="Z82">
        <f>'Assessment Questions'!AC82</f>
        <v>0</v>
      </c>
      <c r="AB82">
        <f t="shared" si="42"/>
        <v>0</v>
      </c>
      <c r="AC82">
        <f t="shared" si="43"/>
        <v>0</v>
      </c>
      <c r="AD82">
        <f t="shared" si="32"/>
        <v>0</v>
      </c>
      <c r="AE82">
        <f t="shared" si="44"/>
        <v>0</v>
      </c>
      <c r="AF82">
        <f t="shared" si="33"/>
        <v>5</v>
      </c>
      <c r="AG82">
        <f t="shared" si="45"/>
        <v>0</v>
      </c>
      <c r="AH82">
        <f>'Assessment Questions'!AK82</f>
        <v>0</v>
      </c>
      <c r="AI82">
        <f>'Assessment Questions'!AL82</f>
        <v>0</v>
      </c>
      <c r="AJ82">
        <f>IF(OR($H82="",$H82="N/A"),"",IF($AH82="",VLOOKUP('Company Profile'!$B$40,_CONFIG_Model_Settings!$A$5:$B$8,2,FALSE),IFERROR(VLOOKUP($AH82,_CONFIG_Model_Settings!$A$5:$B$8,2,FALSE),0.9)))</f>
        <v>0.9</v>
      </c>
      <c r="AK82">
        <f>IF(OR($H82="",$H82="N/A"),"",IF($AI82="",VLOOKUP('Company Profile'!$B$41,_CONFIG_Model_Settings!$A$5:$B$8,2,FALSE),IFERROR(VLOOKUP($AI82,_CONFIG_Model_Settings!$A$5:$B$8,2,FALSE),0.9)))</f>
        <v>0.9</v>
      </c>
      <c r="AL82">
        <f t="shared" si="34"/>
        <v>0</v>
      </c>
      <c r="AM82">
        <f t="shared" si="35"/>
        <v>0</v>
      </c>
      <c r="AN82">
        <f>IFERROR(MIN(5,MAX(0,(SUMIFS(_REF_Model_Content!$D$1:$D$174,_REF_Model_Content!$A$1:$A$174,PV_Canonical_Industry,_REF_Model_Content!$B$1:$B$174,"HR Workforce"))+IFERROR(VLOOKUP('Company Profile'!$B$35,_CONFIG_Model_Settings!$A$11:$B$13,2,0),0))),"")</f>
        <v>0</v>
      </c>
      <c r="AO82">
        <f t="shared" si="36"/>
        <v>0</v>
      </c>
      <c r="AP82">
        <f>IFERROR(SUMIFS(_REF_Model_Content!$E$1:$E$174,_REF_Model_Content!$A$1:$A$174,PV_Canonical_Industry,_REF_Model_Content!$B$1:$B$174,"HR Workforce"),1)</f>
        <v>0</v>
      </c>
      <c r="AQ82">
        <f t="shared" si="37"/>
        <v>0</v>
      </c>
      <c r="AR82" t="str">
        <f t="shared" si="38"/>
        <v>Within target</v>
      </c>
      <c r="AS82">
        <f t="shared" si="39"/>
        <v>0</v>
      </c>
      <c r="AT82">
        <f t="shared" si="40"/>
        <v>0.9</v>
      </c>
      <c r="AU82">
        <f>'Assessment Questions'!AX82</f>
        <v>0</v>
      </c>
      <c r="AV82">
        <f t="shared" si="41"/>
        <v>0.9</v>
      </c>
      <c r="AW82" t="s">
        <v>1259</v>
      </c>
      <c r="AX82" t="s">
        <v>1259</v>
      </c>
      <c r="AY82">
        <v>15</v>
      </c>
      <c r="AZ82">
        <v>82</v>
      </c>
    </row>
    <row r="83" spans="1:52">
      <c r="A83" t="s">
        <v>1306</v>
      </c>
      <c r="B83" t="s">
        <v>1270</v>
      </c>
      <c r="C83" t="s">
        <v>1307</v>
      </c>
      <c r="D83" t="s">
        <v>1263</v>
      </c>
      <c r="E83" t="s">
        <v>1264</v>
      </c>
      <c r="F83" t="s">
        <v>1308</v>
      </c>
      <c r="G83">
        <f>'Assessment Questions'!J83</f>
        <v>5</v>
      </c>
      <c r="H83">
        <f t="shared" si="27"/>
        <v>0</v>
      </c>
      <c r="I83">
        <f t="shared" si="28"/>
        <v>0</v>
      </c>
      <c r="J83">
        <f t="shared" si="29"/>
        <v>5</v>
      </c>
      <c r="K83">
        <f t="shared" si="30"/>
        <v>5</v>
      </c>
      <c r="L83" t="str">
        <f t="shared" si="31"/>
        <v>Critical</v>
      </c>
      <c r="M83" t="s">
        <v>874</v>
      </c>
      <c r="N83" t="s">
        <v>875</v>
      </c>
      <c r="O83" t="s">
        <v>876</v>
      </c>
      <c r="P83" t="s">
        <v>877</v>
      </c>
      <c r="Q83" t="s">
        <v>878</v>
      </c>
      <c r="R83" t="s">
        <v>879</v>
      </c>
      <c r="S83" t="s">
        <v>1266</v>
      </c>
      <c r="T83">
        <f>'Assessment Questions'!W83</f>
        <v>0</v>
      </c>
      <c r="U83">
        <f>'Assessment Questions'!X83</f>
        <v>0</v>
      </c>
      <c r="V83" t="str">
        <f>'Assessment Questions'!Y83</f>
        <v>Use the recommended action generated by the model; validate with domain owner during real assessment.</v>
      </c>
      <c r="W83">
        <v>4</v>
      </c>
      <c r="X83">
        <v>5</v>
      </c>
      <c r="Y83">
        <v>5</v>
      </c>
      <c r="Z83">
        <f>'Assessment Questions'!AC83</f>
        <v>0</v>
      </c>
      <c r="AB83">
        <f t="shared" si="42"/>
        <v>0</v>
      </c>
      <c r="AC83">
        <f t="shared" si="43"/>
        <v>0</v>
      </c>
      <c r="AD83">
        <f t="shared" si="32"/>
        <v>0</v>
      </c>
      <c r="AE83">
        <f t="shared" si="44"/>
        <v>0</v>
      </c>
      <c r="AF83">
        <f t="shared" si="33"/>
        <v>5</v>
      </c>
      <c r="AG83">
        <f t="shared" si="45"/>
        <v>0</v>
      </c>
      <c r="AH83">
        <f>'Assessment Questions'!AK83</f>
        <v>0</v>
      </c>
      <c r="AI83">
        <f>'Assessment Questions'!AL83</f>
        <v>0</v>
      </c>
      <c r="AJ83">
        <f>IF(OR($H83="",$H83="N/A"),"",IF($AH83="",VLOOKUP('Company Profile'!$B$40,_CONFIG_Model_Settings!$A$5:$B$8,2,FALSE),IFERROR(VLOOKUP($AH83,_CONFIG_Model_Settings!$A$5:$B$8,2,FALSE),0.9)))</f>
        <v>0.9</v>
      </c>
      <c r="AK83">
        <f>IF(OR($H83="",$H83="N/A"),"",IF($AI83="",VLOOKUP('Company Profile'!$B$41,_CONFIG_Model_Settings!$A$5:$B$8,2,FALSE),IFERROR(VLOOKUP($AI83,_CONFIG_Model_Settings!$A$5:$B$8,2,FALSE),0.9)))</f>
        <v>0.9</v>
      </c>
      <c r="AL83">
        <f t="shared" si="34"/>
        <v>0</v>
      </c>
      <c r="AM83">
        <f t="shared" si="35"/>
        <v>0</v>
      </c>
      <c r="AN83">
        <f>IFERROR(MIN(5,MAX(0,(SUMIFS(_REF_Model_Content!$D$1:$D$174,_REF_Model_Content!$A$1:$A$174,PV_Canonical_Industry,_REF_Model_Content!$B$1:$B$174,"HR Workforce"))+IFERROR(VLOOKUP('Company Profile'!$B$35,_CONFIG_Model_Settings!$A$11:$B$13,2,0),0))),"")</f>
        <v>0</v>
      </c>
      <c r="AO83">
        <f t="shared" si="36"/>
        <v>0</v>
      </c>
      <c r="AP83">
        <f>IFERROR(SUMIFS(_REF_Model_Content!$E$1:$E$174,_REF_Model_Content!$A$1:$A$174,PV_Canonical_Industry,_REF_Model_Content!$B$1:$B$174,"HR Workforce"),1)</f>
        <v>0</v>
      </c>
      <c r="AQ83">
        <f t="shared" si="37"/>
        <v>0</v>
      </c>
      <c r="AR83" t="str">
        <f t="shared" si="38"/>
        <v>Within target</v>
      </c>
      <c r="AS83">
        <f t="shared" si="39"/>
        <v>0</v>
      </c>
      <c r="AT83">
        <f t="shared" si="40"/>
        <v>0.9</v>
      </c>
      <c r="AU83">
        <f>'Assessment Questions'!AX83</f>
        <v>0</v>
      </c>
      <c r="AV83">
        <f t="shared" si="41"/>
        <v>0.9</v>
      </c>
      <c r="AW83" t="s">
        <v>1259</v>
      </c>
      <c r="AX83" t="s">
        <v>1259</v>
      </c>
      <c r="AY83">
        <v>16</v>
      </c>
      <c r="AZ83">
        <v>83</v>
      </c>
    </row>
    <row r="84" spans="1:52">
      <c r="A84" t="s">
        <v>1309</v>
      </c>
      <c r="B84" t="s">
        <v>1274</v>
      </c>
      <c r="C84" t="s">
        <v>1310</v>
      </c>
      <c r="D84" t="s">
        <v>1263</v>
      </c>
      <c r="E84" t="s">
        <v>1264</v>
      </c>
      <c r="F84" t="s">
        <v>1311</v>
      </c>
      <c r="G84">
        <f>'Assessment Questions'!J84</f>
        <v>4</v>
      </c>
      <c r="H84">
        <f t="shared" si="27"/>
        <v>0</v>
      </c>
      <c r="I84">
        <f t="shared" si="28"/>
        <v>0</v>
      </c>
      <c r="J84">
        <f t="shared" si="29"/>
        <v>4</v>
      </c>
      <c r="K84">
        <f t="shared" si="30"/>
        <v>4</v>
      </c>
      <c r="L84" t="str">
        <f t="shared" si="31"/>
        <v>Critical</v>
      </c>
      <c r="M84" t="s">
        <v>1202</v>
      </c>
      <c r="N84" t="s">
        <v>1203</v>
      </c>
      <c r="O84" t="s">
        <v>1204</v>
      </c>
      <c r="P84" t="s">
        <v>1205</v>
      </c>
      <c r="Q84" t="s">
        <v>1206</v>
      </c>
      <c r="R84" t="s">
        <v>1207</v>
      </c>
      <c r="S84" t="s">
        <v>1266</v>
      </c>
      <c r="T84">
        <f>'Assessment Questions'!W84</f>
        <v>0</v>
      </c>
      <c r="U84">
        <f>'Assessment Questions'!X84</f>
        <v>0</v>
      </c>
      <c r="V84" t="str">
        <f>'Assessment Questions'!Y84</f>
        <v>Use the recommended action generated by the model; validate with domain owner during real assessment.</v>
      </c>
      <c r="W84">
        <v>4</v>
      </c>
      <c r="X84">
        <v>5</v>
      </c>
      <c r="Y84">
        <v>5</v>
      </c>
      <c r="Z84">
        <f>'Assessment Questions'!AC84</f>
        <v>0</v>
      </c>
      <c r="AB84">
        <f t="shared" si="42"/>
        <v>0</v>
      </c>
      <c r="AC84">
        <f t="shared" si="43"/>
        <v>0</v>
      </c>
      <c r="AD84">
        <f t="shared" si="32"/>
        <v>0</v>
      </c>
      <c r="AE84">
        <f t="shared" si="44"/>
        <v>0</v>
      </c>
      <c r="AF84">
        <f t="shared" si="33"/>
        <v>5</v>
      </c>
      <c r="AG84">
        <f t="shared" si="45"/>
        <v>0</v>
      </c>
      <c r="AH84">
        <f>'Assessment Questions'!AK84</f>
        <v>0</v>
      </c>
      <c r="AI84">
        <f>'Assessment Questions'!AL84</f>
        <v>0</v>
      </c>
      <c r="AJ84">
        <f>IF(OR($H84="",$H84="N/A"),"",IF($AH84="",VLOOKUP('Company Profile'!$B$40,_CONFIG_Model_Settings!$A$5:$B$8,2,FALSE),IFERROR(VLOOKUP($AH84,_CONFIG_Model_Settings!$A$5:$B$8,2,FALSE),0.9)))</f>
        <v>0.9</v>
      </c>
      <c r="AK84">
        <f>IF(OR($H84="",$H84="N/A"),"",IF($AI84="",VLOOKUP('Company Profile'!$B$41,_CONFIG_Model_Settings!$A$5:$B$8,2,FALSE),IFERROR(VLOOKUP($AI84,_CONFIG_Model_Settings!$A$5:$B$8,2,FALSE),0.9)))</f>
        <v>0.9</v>
      </c>
      <c r="AL84">
        <f t="shared" si="34"/>
        <v>0</v>
      </c>
      <c r="AM84">
        <f t="shared" si="35"/>
        <v>0</v>
      </c>
      <c r="AN84">
        <f>IFERROR(MIN(5,MAX(0,(SUMIFS(_REF_Model_Content!$D$1:$D$174,_REF_Model_Content!$A$1:$A$174,PV_Canonical_Industry,_REF_Model_Content!$B$1:$B$174,"HR Workforce"))+IFERROR(VLOOKUP('Company Profile'!$B$35,_CONFIG_Model_Settings!$A$11:$B$13,2,0),0))),"")</f>
        <v>0</v>
      </c>
      <c r="AO84">
        <f t="shared" si="36"/>
        <v>0</v>
      </c>
      <c r="AP84">
        <f>IFERROR(SUMIFS(_REF_Model_Content!$E$1:$E$174,_REF_Model_Content!$A$1:$A$174,PV_Canonical_Industry,_REF_Model_Content!$B$1:$B$174,"HR Workforce"),1)</f>
        <v>0</v>
      </c>
      <c r="AQ84">
        <f t="shared" si="37"/>
        <v>0</v>
      </c>
      <c r="AR84" t="str">
        <f t="shared" si="38"/>
        <v>Within target</v>
      </c>
      <c r="AS84">
        <f t="shared" si="39"/>
        <v>0</v>
      </c>
      <c r="AT84">
        <f t="shared" si="40"/>
        <v>0.9</v>
      </c>
      <c r="AU84">
        <f>'Assessment Questions'!AX84</f>
        <v>0</v>
      </c>
      <c r="AV84">
        <f t="shared" si="41"/>
        <v>0.9</v>
      </c>
      <c r="AW84" t="s">
        <v>1259</v>
      </c>
      <c r="AX84" t="s">
        <v>1259</v>
      </c>
      <c r="AY84">
        <v>17</v>
      </c>
      <c r="AZ84">
        <v>84</v>
      </c>
    </row>
    <row r="85" spans="1:52">
      <c r="A85" t="s">
        <v>1312</v>
      </c>
      <c r="B85" t="s">
        <v>1274</v>
      </c>
      <c r="C85" t="s">
        <v>1313</v>
      </c>
      <c r="D85" t="s">
        <v>1263</v>
      </c>
      <c r="E85" t="s">
        <v>1264</v>
      </c>
      <c r="F85" t="s">
        <v>1314</v>
      </c>
      <c r="G85">
        <f>'Assessment Questions'!J85</f>
        <v>4</v>
      </c>
      <c r="H85">
        <f t="shared" si="27"/>
        <v>0</v>
      </c>
      <c r="I85">
        <f t="shared" si="28"/>
        <v>0</v>
      </c>
      <c r="J85">
        <f t="shared" si="29"/>
        <v>4</v>
      </c>
      <c r="K85">
        <f t="shared" si="30"/>
        <v>4</v>
      </c>
      <c r="L85" t="str">
        <f t="shared" si="31"/>
        <v>Critical</v>
      </c>
      <c r="M85" t="s">
        <v>1315</v>
      </c>
      <c r="N85" t="s">
        <v>1316</v>
      </c>
      <c r="O85" t="s">
        <v>1317</v>
      </c>
      <c r="P85" t="s">
        <v>1318</v>
      </c>
      <c r="Q85" t="s">
        <v>1319</v>
      </c>
      <c r="R85" t="s">
        <v>1320</v>
      </c>
      <c r="S85" t="s">
        <v>1266</v>
      </c>
      <c r="T85">
        <f>'Assessment Questions'!W85</f>
        <v>0</v>
      </c>
      <c r="U85">
        <f>'Assessment Questions'!X85</f>
        <v>0</v>
      </c>
      <c r="V85" t="str">
        <f>'Assessment Questions'!Y85</f>
        <v>Use the recommended action generated by the model; validate with domain owner during real assessment.</v>
      </c>
      <c r="W85">
        <v>4</v>
      </c>
      <c r="X85">
        <v>5</v>
      </c>
      <c r="Y85">
        <v>5</v>
      </c>
      <c r="Z85">
        <f>'Assessment Questions'!AC85</f>
        <v>0</v>
      </c>
      <c r="AB85">
        <f t="shared" si="42"/>
        <v>0</v>
      </c>
      <c r="AC85">
        <f t="shared" si="43"/>
        <v>0</v>
      </c>
      <c r="AD85">
        <f t="shared" si="32"/>
        <v>0</v>
      </c>
      <c r="AE85">
        <f t="shared" si="44"/>
        <v>0</v>
      </c>
      <c r="AF85">
        <f t="shared" si="33"/>
        <v>5</v>
      </c>
      <c r="AG85">
        <f t="shared" si="45"/>
        <v>0</v>
      </c>
      <c r="AH85">
        <f>'Assessment Questions'!AK85</f>
        <v>0</v>
      </c>
      <c r="AI85">
        <f>'Assessment Questions'!AL85</f>
        <v>0</v>
      </c>
      <c r="AJ85">
        <f>IF(OR($H85="",$H85="N/A"),"",IF($AH85="",VLOOKUP('Company Profile'!$B$40,_CONFIG_Model_Settings!$A$5:$B$8,2,FALSE),IFERROR(VLOOKUP($AH85,_CONFIG_Model_Settings!$A$5:$B$8,2,FALSE),0.9)))</f>
        <v>0.9</v>
      </c>
      <c r="AK85">
        <f>IF(OR($H85="",$H85="N/A"),"",IF($AI85="",VLOOKUP('Company Profile'!$B$41,_CONFIG_Model_Settings!$A$5:$B$8,2,FALSE),IFERROR(VLOOKUP($AI85,_CONFIG_Model_Settings!$A$5:$B$8,2,FALSE),0.9)))</f>
        <v>0.9</v>
      </c>
      <c r="AL85">
        <f t="shared" si="34"/>
        <v>0</v>
      </c>
      <c r="AM85">
        <f t="shared" si="35"/>
        <v>0</v>
      </c>
      <c r="AN85">
        <f>IFERROR(MIN(5,MAX(0,(SUMIFS(_REF_Model_Content!$D$1:$D$174,_REF_Model_Content!$A$1:$A$174,PV_Canonical_Industry,_REF_Model_Content!$B$1:$B$174,"HR Workforce"))+IFERROR(VLOOKUP('Company Profile'!$B$35,_CONFIG_Model_Settings!$A$11:$B$13,2,0),0))),"")</f>
        <v>0</v>
      </c>
      <c r="AO85">
        <f t="shared" si="36"/>
        <v>0</v>
      </c>
      <c r="AP85">
        <f>IFERROR(SUMIFS(_REF_Model_Content!$E$1:$E$174,_REF_Model_Content!$A$1:$A$174,PV_Canonical_Industry,_REF_Model_Content!$B$1:$B$174,"HR Workforce"),1)</f>
        <v>0</v>
      </c>
      <c r="AQ85">
        <f t="shared" si="37"/>
        <v>0</v>
      </c>
      <c r="AR85" t="str">
        <f t="shared" si="38"/>
        <v>Within target</v>
      </c>
      <c r="AS85">
        <f t="shared" si="39"/>
        <v>0</v>
      </c>
      <c r="AT85">
        <f t="shared" si="40"/>
        <v>0.9</v>
      </c>
      <c r="AU85">
        <f>'Assessment Questions'!AX85</f>
        <v>0</v>
      </c>
      <c r="AV85">
        <f t="shared" si="41"/>
        <v>0.9</v>
      </c>
      <c r="AW85" t="s">
        <v>1259</v>
      </c>
      <c r="AX85" t="s">
        <v>1259</v>
      </c>
      <c r="AY85">
        <v>18</v>
      </c>
      <c r="AZ85">
        <v>85</v>
      </c>
    </row>
    <row r="86" spans="1:52">
      <c r="A86" t="s">
        <v>1321</v>
      </c>
      <c r="B86" t="s">
        <v>1274</v>
      </c>
      <c r="C86" t="s">
        <v>1322</v>
      </c>
      <c r="D86" t="s">
        <v>1263</v>
      </c>
      <c r="E86" t="s">
        <v>1264</v>
      </c>
      <c r="F86" t="s">
        <v>1323</v>
      </c>
      <c r="G86">
        <f>'Assessment Questions'!J86</f>
        <v>5</v>
      </c>
      <c r="H86">
        <f t="shared" si="27"/>
        <v>0</v>
      </c>
      <c r="I86">
        <f t="shared" si="28"/>
        <v>0</v>
      </c>
      <c r="J86">
        <f t="shared" si="29"/>
        <v>5</v>
      </c>
      <c r="K86">
        <f t="shared" si="30"/>
        <v>5</v>
      </c>
      <c r="L86" t="str">
        <f t="shared" si="31"/>
        <v>Critical</v>
      </c>
      <c r="M86" t="s">
        <v>833</v>
      </c>
      <c r="N86" t="s">
        <v>834</v>
      </c>
      <c r="O86" t="s">
        <v>835</v>
      </c>
      <c r="P86" t="s">
        <v>836</v>
      </c>
      <c r="Q86" t="s">
        <v>837</v>
      </c>
      <c r="R86" t="s">
        <v>838</v>
      </c>
      <c r="S86" t="s">
        <v>1266</v>
      </c>
      <c r="T86">
        <f>'Assessment Questions'!W86</f>
        <v>0</v>
      </c>
      <c r="U86">
        <f>'Assessment Questions'!X86</f>
        <v>0</v>
      </c>
      <c r="V86" t="str">
        <f>'Assessment Questions'!Y86</f>
        <v>Use the recommended action generated by the model; validate with domain owner during real assessment.</v>
      </c>
      <c r="W86">
        <v>5</v>
      </c>
      <c r="X86">
        <v>5</v>
      </c>
      <c r="Y86">
        <v>5</v>
      </c>
      <c r="Z86">
        <f>'Assessment Questions'!AC86</f>
        <v>0</v>
      </c>
      <c r="AB86">
        <f t="shared" si="42"/>
        <v>0</v>
      </c>
      <c r="AC86">
        <f t="shared" si="43"/>
        <v>0</v>
      </c>
      <c r="AD86">
        <f t="shared" si="32"/>
        <v>0</v>
      </c>
      <c r="AE86">
        <f t="shared" si="44"/>
        <v>0</v>
      </c>
      <c r="AF86">
        <f t="shared" si="33"/>
        <v>5</v>
      </c>
      <c r="AG86">
        <f t="shared" si="45"/>
        <v>0</v>
      </c>
      <c r="AH86">
        <f>'Assessment Questions'!AK86</f>
        <v>0</v>
      </c>
      <c r="AI86">
        <f>'Assessment Questions'!AL86</f>
        <v>0</v>
      </c>
      <c r="AJ86">
        <f>IF(OR($H86="",$H86="N/A"),"",IF($AH86="",VLOOKUP('Company Profile'!$B$40,_CONFIG_Model_Settings!$A$5:$B$8,2,FALSE),IFERROR(VLOOKUP($AH86,_CONFIG_Model_Settings!$A$5:$B$8,2,FALSE),0.9)))</f>
        <v>0.9</v>
      </c>
      <c r="AK86">
        <f>IF(OR($H86="",$H86="N/A"),"",IF($AI86="",VLOOKUP('Company Profile'!$B$41,_CONFIG_Model_Settings!$A$5:$B$8,2,FALSE),IFERROR(VLOOKUP($AI86,_CONFIG_Model_Settings!$A$5:$B$8,2,FALSE),0.9)))</f>
        <v>0.9</v>
      </c>
      <c r="AL86">
        <f t="shared" si="34"/>
        <v>0</v>
      </c>
      <c r="AM86">
        <f t="shared" si="35"/>
        <v>0</v>
      </c>
      <c r="AN86">
        <f>IFERROR(MIN(5,MAX(0,(SUMIFS(_REF_Model_Content!$D$1:$D$174,_REF_Model_Content!$A$1:$A$174,PV_Canonical_Industry,_REF_Model_Content!$B$1:$B$174,"HR Workforce"))+IFERROR(VLOOKUP('Company Profile'!$B$35,_CONFIG_Model_Settings!$A$11:$B$13,2,0),0))),"")</f>
        <v>0</v>
      </c>
      <c r="AO86">
        <f t="shared" si="36"/>
        <v>0</v>
      </c>
      <c r="AP86">
        <f>IFERROR(SUMIFS(_REF_Model_Content!$E$1:$E$174,_REF_Model_Content!$A$1:$A$174,PV_Canonical_Industry,_REF_Model_Content!$B$1:$B$174,"HR Workforce"),1)</f>
        <v>0</v>
      </c>
      <c r="AQ86">
        <f t="shared" si="37"/>
        <v>0</v>
      </c>
      <c r="AR86" t="str">
        <f t="shared" si="38"/>
        <v>Within target</v>
      </c>
      <c r="AS86">
        <f t="shared" si="39"/>
        <v>0</v>
      </c>
      <c r="AT86">
        <f t="shared" si="40"/>
        <v>0.9</v>
      </c>
      <c r="AU86">
        <f>'Assessment Questions'!AX86</f>
        <v>0</v>
      </c>
      <c r="AV86">
        <f t="shared" si="41"/>
        <v>0.9</v>
      </c>
      <c r="AW86" t="s">
        <v>1259</v>
      </c>
      <c r="AX86" t="s">
        <v>1259</v>
      </c>
      <c r="AY86">
        <v>19</v>
      </c>
      <c r="AZ86">
        <v>86</v>
      </c>
    </row>
    <row r="87" spans="1:52">
      <c r="A87" t="s">
        <v>1324</v>
      </c>
      <c r="B87" t="s">
        <v>1274</v>
      </c>
      <c r="C87" t="s">
        <v>1325</v>
      </c>
      <c r="D87" t="s">
        <v>1263</v>
      </c>
      <c r="E87" t="s">
        <v>1264</v>
      </c>
      <c r="F87" t="s">
        <v>1326</v>
      </c>
      <c r="G87">
        <f>'Assessment Questions'!J87</f>
        <v>5</v>
      </c>
      <c r="H87">
        <f t="shared" si="27"/>
        <v>0</v>
      </c>
      <c r="I87">
        <f t="shared" si="28"/>
        <v>0</v>
      </c>
      <c r="J87">
        <f t="shared" si="29"/>
        <v>5</v>
      </c>
      <c r="K87">
        <f t="shared" si="30"/>
        <v>5</v>
      </c>
      <c r="L87" t="str">
        <f t="shared" si="31"/>
        <v>Critical</v>
      </c>
      <c r="M87" t="s">
        <v>833</v>
      </c>
      <c r="N87" t="s">
        <v>834</v>
      </c>
      <c r="O87" t="s">
        <v>835</v>
      </c>
      <c r="P87" t="s">
        <v>836</v>
      </c>
      <c r="Q87" t="s">
        <v>837</v>
      </c>
      <c r="R87" t="s">
        <v>838</v>
      </c>
      <c r="S87" t="s">
        <v>1266</v>
      </c>
      <c r="T87">
        <f>'Assessment Questions'!W87</f>
        <v>0</v>
      </c>
      <c r="U87">
        <f>'Assessment Questions'!X87</f>
        <v>0</v>
      </c>
      <c r="V87" t="str">
        <f>'Assessment Questions'!Y87</f>
        <v>Use the recommended action generated by the model; validate with domain owner during real assessment.</v>
      </c>
      <c r="W87">
        <v>4</v>
      </c>
      <c r="X87">
        <v>5</v>
      </c>
      <c r="Y87">
        <v>5</v>
      </c>
      <c r="Z87">
        <f>'Assessment Questions'!AC87</f>
        <v>0</v>
      </c>
      <c r="AB87">
        <f t="shared" si="42"/>
        <v>0</v>
      </c>
      <c r="AC87">
        <f t="shared" si="43"/>
        <v>0</v>
      </c>
      <c r="AD87">
        <f t="shared" si="32"/>
        <v>0</v>
      </c>
      <c r="AE87">
        <f t="shared" si="44"/>
        <v>0</v>
      </c>
      <c r="AF87">
        <f t="shared" si="33"/>
        <v>5</v>
      </c>
      <c r="AG87">
        <f t="shared" si="45"/>
        <v>0</v>
      </c>
      <c r="AH87">
        <f>'Assessment Questions'!AK87</f>
        <v>0</v>
      </c>
      <c r="AI87">
        <f>'Assessment Questions'!AL87</f>
        <v>0</v>
      </c>
      <c r="AJ87">
        <f>IF(OR($H87="",$H87="N/A"),"",IF($AH87="",VLOOKUP('Company Profile'!$B$40,_CONFIG_Model_Settings!$A$5:$B$8,2,FALSE),IFERROR(VLOOKUP($AH87,_CONFIG_Model_Settings!$A$5:$B$8,2,FALSE),0.9)))</f>
        <v>0.9</v>
      </c>
      <c r="AK87">
        <f>IF(OR($H87="",$H87="N/A"),"",IF($AI87="",VLOOKUP('Company Profile'!$B$41,_CONFIG_Model_Settings!$A$5:$B$8,2,FALSE),IFERROR(VLOOKUP($AI87,_CONFIG_Model_Settings!$A$5:$B$8,2,FALSE),0.9)))</f>
        <v>0.9</v>
      </c>
      <c r="AL87">
        <f t="shared" si="34"/>
        <v>0</v>
      </c>
      <c r="AM87">
        <f t="shared" si="35"/>
        <v>0</v>
      </c>
      <c r="AN87">
        <f>IFERROR(MIN(5,MAX(0,(SUMIFS(_REF_Model_Content!$D$1:$D$174,_REF_Model_Content!$A$1:$A$174,PV_Canonical_Industry,_REF_Model_Content!$B$1:$B$174,"HR Workforce"))+IFERROR(VLOOKUP('Company Profile'!$B$35,_CONFIG_Model_Settings!$A$11:$B$13,2,0),0))),"")</f>
        <v>0</v>
      </c>
      <c r="AO87">
        <f t="shared" si="36"/>
        <v>0</v>
      </c>
      <c r="AP87">
        <f>IFERROR(SUMIFS(_REF_Model_Content!$E$1:$E$174,_REF_Model_Content!$A$1:$A$174,PV_Canonical_Industry,_REF_Model_Content!$B$1:$B$174,"HR Workforce"),1)</f>
        <v>0</v>
      </c>
      <c r="AQ87">
        <f t="shared" si="37"/>
        <v>0</v>
      </c>
      <c r="AR87" t="str">
        <f t="shared" si="38"/>
        <v>Within target</v>
      </c>
      <c r="AS87">
        <f t="shared" si="39"/>
        <v>0</v>
      </c>
      <c r="AT87">
        <f t="shared" si="40"/>
        <v>0.9</v>
      </c>
      <c r="AU87">
        <f>'Assessment Questions'!AX87</f>
        <v>0</v>
      </c>
      <c r="AV87">
        <f t="shared" si="41"/>
        <v>0.9</v>
      </c>
      <c r="AW87" t="s">
        <v>1259</v>
      </c>
      <c r="AX87" t="s">
        <v>1259</v>
      </c>
      <c r="AY87">
        <v>20</v>
      </c>
      <c r="AZ87">
        <v>87</v>
      </c>
    </row>
    <row r="88" spans="1:52">
      <c r="A88" t="s">
        <v>1327</v>
      </c>
      <c r="B88" t="s">
        <v>1274</v>
      </c>
      <c r="C88" t="s">
        <v>1328</v>
      </c>
      <c r="D88" t="s">
        <v>1263</v>
      </c>
      <c r="E88" t="s">
        <v>1264</v>
      </c>
      <c r="F88" t="s">
        <v>1329</v>
      </c>
      <c r="G88">
        <f>'Assessment Questions'!J88</f>
        <v>5</v>
      </c>
      <c r="H88">
        <f t="shared" si="27"/>
        <v>0</v>
      </c>
      <c r="I88">
        <f t="shared" si="28"/>
        <v>0</v>
      </c>
      <c r="J88">
        <f t="shared" si="29"/>
        <v>5</v>
      </c>
      <c r="K88">
        <f t="shared" si="30"/>
        <v>5</v>
      </c>
      <c r="L88" t="str">
        <f t="shared" si="31"/>
        <v>Critical</v>
      </c>
      <c r="M88" t="s">
        <v>1069</v>
      </c>
      <c r="N88" t="s">
        <v>1070</v>
      </c>
      <c r="O88" t="s">
        <v>1071</v>
      </c>
      <c r="P88" t="s">
        <v>1072</v>
      </c>
      <c r="Q88" t="s">
        <v>1073</v>
      </c>
      <c r="R88" t="s">
        <v>1074</v>
      </c>
      <c r="S88" t="s">
        <v>1266</v>
      </c>
      <c r="T88">
        <f>'Assessment Questions'!W88</f>
        <v>0</v>
      </c>
      <c r="U88">
        <f>'Assessment Questions'!X88</f>
        <v>0</v>
      </c>
      <c r="V88" t="str">
        <f>'Assessment Questions'!Y88</f>
        <v>Use the recommended action generated by the model; validate with domain owner during real assessment.</v>
      </c>
      <c r="W88">
        <v>4</v>
      </c>
      <c r="X88">
        <v>5</v>
      </c>
      <c r="Y88">
        <v>5</v>
      </c>
      <c r="Z88">
        <f>'Assessment Questions'!AC88</f>
        <v>0</v>
      </c>
      <c r="AB88">
        <f t="shared" si="42"/>
        <v>0</v>
      </c>
      <c r="AC88">
        <f t="shared" si="43"/>
        <v>0</v>
      </c>
      <c r="AD88">
        <f t="shared" si="32"/>
        <v>0</v>
      </c>
      <c r="AE88">
        <f t="shared" si="44"/>
        <v>0</v>
      </c>
      <c r="AF88">
        <f t="shared" si="33"/>
        <v>5</v>
      </c>
      <c r="AG88">
        <f t="shared" si="45"/>
        <v>0</v>
      </c>
      <c r="AH88">
        <f>'Assessment Questions'!AK88</f>
        <v>0</v>
      </c>
      <c r="AI88">
        <f>'Assessment Questions'!AL88</f>
        <v>0</v>
      </c>
      <c r="AJ88">
        <f>IF(OR($H88="",$H88="N/A"),"",IF($AH88="",VLOOKUP('Company Profile'!$B$40,_CONFIG_Model_Settings!$A$5:$B$8,2,FALSE),IFERROR(VLOOKUP($AH88,_CONFIG_Model_Settings!$A$5:$B$8,2,FALSE),0.9)))</f>
        <v>0.9</v>
      </c>
      <c r="AK88">
        <f>IF(OR($H88="",$H88="N/A"),"",IF($AI88="",VLOOKUP('Company Profile'!$B$41,_CONFIG_Model_Settings!$A$5:$B$8,2,FALSE),IFERROR(VLOOKUP($AI88,_CONFIG_Model_Settings!$A$5:$B$8,2,FALSE),0.9)))</f>
        <v>0.9</v>
      </c>
      <c r="AL88">
        <f t="shared" si="34"/>
        <v>0</v>
      </c>
      <c r="AM88">
        <f t="shared" si="35"/>
        <v>0</v>
      </c>
      <c r="AN88">
        <f>IFERROR(MIN(5,MAX(0,(SUMIFS(_REF_Model_Content!$D$1:$D$174,_REF_Model_Content!$A$1:$A$174,PV_Canonical_Industry,_REF_Model_Content!$B$1:$B$174,"HR Workforce"))+IFERROR(VLOOKUP('Company Profile'!$B$35,_CONFIG_Model_Settings!$A$11:$B$13,2,0),0))),"")</f>
        <v>0</v>
      </c>
      <c r="AO88">
        <f t="shared" si="36"/>
        <v>0</v>
      </c>
      <c r="AP88">
        <f>IFERROR(SUMIFS(_REF_Model_Content!$E$1:$E$174,_REF_Model_Content!$A$1:$A$174,PV_Canonical_Industry,_REF_Model_Content!$B$1:$B$174,"HR Workforce"),1)</f>
        <v>0</v>
      </c>
      <c r="AQ88">
        <f t="shared" si="37"/>
        <v>0</v>
      </c>
      <c r="AR88" t="str">
        <f t="shared" si="38"/>
        <v>Within target</v>
      </c>
      <c r="AS88">
        <f t="shared" si="39"/>
        <v>0</v>
      </c>
      <c r="AT88">
        <f t="shared" si="40"/>
        <v>0.9</v>
      </c>
      <c r="AU88">
        <f>'Assessment Questions'!AX88</f>
        <v>0</v>
      </c>
      <c r="AV88">
        <f t="shared" si="41"/>
        <v>0.9</v>
      </c>
      <c r="AW88" t="s">
        <v>1259</v>
      </c>
      <c r="AX88" t="s">
        <v>1259</v>
      </c>
      <c r="AY88">
        <v>21</v>
      </c>
      <c r="AZ88">
        <v>88</v>
      </c>
    </row>
    <row r="89" spans="1:52">
      <c r="A89" t="s">
        <v>1330</v>
      </c>
      <c r="B89" t="s">
        <v>1274</v>
      </c>
      <c r="C89" t="s">
        <v>1331</v>
      </c>
      <c r="D89" t="s">
        <v>1263</v>
      </c>
      <c r="E89" t="s">
        <v>1264</v>
      </c>
      <c r="F89" t="s">
        <v>1332</v>
      </c>
      <c r="G89">
        <f>'Assessment Questions'!J89</f>
        <v>3</v>
      </c>
      <c r="H89">
        <f t="shared" si="27"/>
        <v>0</v>
      </c>
      <c r="I89">
        <f t="shared" si="28"/>
        <v>0</v>
      </c>
      <c r="J89">
        <f t="shared" si="29"/>
        <v>3</v>
      </c>
      <c r="K89">
        <f t="shared" si="30"/>
        <v>3</v>
      </c>
      <c r="L89" t="str">
        <f t="shared" si="31"/>
        <v>Critical</v>
      </c>
      <c r="M89" t="s">
        <v>1333</v>
      </c>
      <c r="N89" t="s">
        <v>1334</v>
      </c>
      <c r="O89" t="s">
        <v>1335</v>
      </c>
      <c r="P89" t="s">
        <v>1336</v>
      </c>
      <c r="Q89" t="s">
        <v>1337</v>
      </c>
      <c r="R89" t="s">
        <v>1338</v>
      </c>
      <c r="S89" t="s">
        <v>1266</v>
      </c>
      <c r="T89">
        <f>'Assessment Questions'!W89</f>
        <v>0</v>
      </c>
      <c r="U89">
        <f>'Assessment Questions'!X89</f>
        <v>0</v>
      </c>
      <c r="V89" t="str">
        <f>'Assessment Questions'!Y89</f>
        <v>Use the recommended action generated by the model; validate with domain owner during real assessment.</v>
      </c>
      <c r="W89">
        <v>4</v>
      </c>
      <c r="X89">
        <v>5</v>
      </c>
      <c r="Y89">
        <v>5</v>
      </c>
      <c r="Z89">
        <f>'Assessment Questions'!AC89</f>
        <v>0</v>
      </c>
      <c r="AB89">
        <f t="shared" si="42"/>
        <v>0</v>
      </c>
      <c r="AC89">
        <f t="shared" si="43"/>
        <v>0</v>
      </c>
      <c r="AD89">
        <f t="shared" si="32"/>
        <v>0</v>
      </c>
      <c r="AE89">
        <f t="shared" si="44"/>
        <v>0</v>
      </c>
      <c r="AF89">
        <f t="shared" si="33"/>
        <v>5</v>
      </c>
      <c r="AG89">
        <f t="shared" si="45"/>
        <v>0</v>
      </c>
      <c r="AH89">
        <f>'Assessment Questions'!AK89</f>
        <v>0</v>
      </c>
      <c r="AI89">
        <f>'Assessment Questions'!AL89</f>
        <v>0</v>
      </c>
      <c r="AJ89">
        <f>IF(OR($H89="",$H89="N/A"),"",IF($AH89="",VLOOKUP('Company Profile'!$B$40,_CONFIG_Model_Settings!$A$5:$B$8,2,FALSE),IFERROR(VLOOKUP($AH89,_CONFIG_Model_Settings!$A$5:$B$8,2,FALSE),0.9)))</f>
        <v>0.9</v>
      </c>
      <c r="AK89">
        <f>IF(OR($H89="",$H89="N/A"),"",IF($AI89="",VLOOKUP('Company Profile'!$B$41,_CONFIG_Model_Settings!$A$5:$B$8,2,FALSE),IFERROR(VLOOKUP($AI89,_CONFIG_Model_Settings!$A$5:$B$8,2,FALSE),0.9)))</f>
        <v>0.9</v>
      </c>
      <c r="AL89">
        <f t="shared" si="34"/>
        <v>0</v>
      </c>
      <c r="AM89">
        <f t="shared" si="35"/>
        <v>0</v>
      </c>
      <c r="AN89">
        <f>IFERROR(MIN(5,MAX(0,(SUMIFS(_REF_Model_Content!$D$1:$D$174,_REF_Model_Content!$A$1:$A$174,PV_Canonical_Industry,_REF_Model_Content!$B$1:$B$174,"HR Workforce"))+IFERROR(VLOOKUP('Company Profile'!$B$35,_CONFIG_Model_Settings!$A$11:$B$13,2,0),0))),"")</f>
        <v>0</v>
      </c>
      <c r="AO89">
        <f t="shared" si="36"/>
        <v>0</v>
      </c>
      <c r="AP89">
        <f>IFERROR(SUMIFS(_REF_Model_Content!$E$1:$E$174,_REF_Model_Content!$A$1:$A$174,PV_Canonical_Industry,_REF_Model_Content!$B$1:$B$174,"HR Workforce"),1)</f>
        <v>0</v>
      </c>
      <c r="AQ89">
        <f t="shared" si="37"/>
        <v>0</v>
      </c>
      <c r="AR89" t="str">
        <f t="shared" si="38"/>
        <v>Within target</v>
      </c>
      <c r="AS89">
        <f t="shared" si="39"/>
        <v>0</v>
      </c>
      <c r="AT89">
        <f t="shared" si="40"/>
        <v>0.9</v>
      </c>
      <c r="AU89">
        <f>'Assessment Questions'!AX89</f>
        <v>0</v>
      </c>
      <c r="AV89">
        <f t="shared" si="41"/>
        <v>0.9</v>
      </c>
      <c r="AW89" t="s">
        <v>1259</v>
      </c>
      <c r="AX89" t="s">
        <v>1259</v>
      </c>
      <c r="AY89">
        <v>22</v>
      </c>
      <c r="AZ89">
        <v>89</v>
      </c>
    </row>
    <row r="90" spans="1:52">
      <c r="A90" t="s">
        <v>1339</v>
      </c>
      <c r="B90" t="s">
        <v>1274</v>
      </c>
      <c r="C90" t="s">
        <v>1340</v>
      </c>
      <c r="D90" t="s">
        <v>1263</v>
      </c>
      <c r="E90" t="s">
        <v>1264</v>
      </c>
      <c r="F90" t="s">
        <v>1341</v>
      </c>
      <c r="G90">
        <f>'Assessment Questions'!J90</f>
        <v>5</v>
      </c>
      <c r="H90">
        <f t="shared" si="27"/>
        <v>0</v>
      </c>
      <c r="I90">
        <f t="shared" si="28"/>
        <v>0</v>
      </c>
      <c r="J90">
        <f t="shared" si="29"/>
        <v>5</v>
      </c>
      <c r="K90">
        <f t="shared" si="30"/>
        <v>5</v>
      </c>
      <c r="L90" t="str">
        <f t="shared" si="31"/>
        <v>Critical</v>
      </c>
      <c r="M90" t="s">
        <v>1202</v>
      </c>
      <c r="N90" t="s">
        <v>1203</v>
      </c>
      <c r="O90" t="s">
        <v>1204</v>
      </c>
      <c r="P90" t="s">
        <v>1205</v>
      </c>
      <c r="Q90" t="s">
        <v>1206</v>
      </c>
      <c r="R90" t="s">
        <v>1207</v>
      </c>
      <c r="S90" t="s">
        <v>1266</v>
      </c>
      <c r="T90">
        <f>'Assessment Questions'!W90</f>
        <v>0</v>
      </c>
      <c r="U90">
        <f>'Assessment Questions'!X90</f>
        <v>0</v>
      </c>
      <c r="V90" t="str">
        <f>'Assessment Questions'!Y90</f>
        <v>Use the recommended action generated by the model; validate with domain owner during real assessment.</v>
      </c>
      <c r="W90">
        <v>4</v>
      </c>
      <c r="X90">
        <v>5</v>
      </c>
      <c r="Y90">
        <v>5</v>
      </c>
      <c r="Z90">
        <f>'Assessment Questions'!AC90</f>
        <v>0</v>
      </c>
      <c r="AB90">
        <f t="shared" si="42"/>
        <v>0</v>
      </c>
      <c r="AC90">
        <f t="shared" si="43"/>
        <v>0</v>
      </c>
      <c r="AD90">
        <f t="shared" si="32"/>
        <v>0</v>
      </c>
      <c r="AE90">
        <f t="shared" si="44"/>
        <v>0</v>
      </c>
      <c r="AF90">
        <f t="shared" si="33"/>
        <v>5</v>
      </c>
      <c r="AG90">
        <f t="shared" si="45"/>
        <v>0</v>
      </c>
      <c r="AH90">
        <f>'Assessment Questions'!AK90</f>
        <v>0</v>
      </c>
      <c r="AI90">
        <f>'Assessment Questions'!AL90</f>
        <v>0</v>
      </c>
      <c r="AJ90">
        <f>IF(OR($H90="",$H90="N/A"),"",IF($AH90="",VLOOKUP('Company Profile'!$B$40,_CONFIG_Model_Settings!$A$5:$B$8,2,FALSE),IFERROR(VLOOKUP($AH90,_CONFIG_Model_Settings!$A$5:$B$8,2,FALSE),0.9)))</f>
        <v>0.9</v>
      </c>
      <c r="AK90">
        <f>IF(OR($H90="",$H90="N/A"),"",IF($AI90="",VLOOKUP('Company Profile'!$B$41,_CONFIG_Model_Settings!$A$5:$B$8,2,FALSE),IFERROR(VLOOKUP($AI90,_CONFIG_Model_Settings!$A$5:$B$8,2,FALSE),0.9)))</f>
        <v>0.9</v>
      </c>
      <c r="AL90">
        <f t="shared" si="34"/>
        <v>0</v>
      </c>
      <c r="AM90">
        <f t="shared" si="35"/>
        <v>0</v>
      </c>
      <c r="AN90">
        <f>IFERROR(MIN(5,MAX(0,(SUMIFS(_REF_Model_Content!$D$1:$D$174,_REF_Model_Content!$A$1:$A$174,PV_Canonical_Industry,_REF_Model_Content!$B$1:$B$174,"HR Workforce"))+IFERROR(VLOOKUP('Company Profile'!$B$35,_CONFIG_Model_Settings!$A$11:$B$13,2,0),0))),"")</f>
        <v>0</v>
      </c>
      <c r="AO90">
        <f t="shared" si="36"/>
        <v>0</v>
      </c>
      <c r="AP90">
        <f>IFERROR(SUMIFS(_REF_Model_Content!$E$1:$E$174,_REF_Model_Content!$A$1:$A$174,PV_Canonical_Industry,_REF_Model_Content!$B$1:$B$174,"HR Workforce"),1)</f>
        <v>0</v>
      </c>
      <c r="AQ90">
        <f t="shared" si="37"/>
        <v>0</v>
      </c>
      <c r="AR90" t="str">
        <f t="shared" si="38"/>
        <v>Within target</v>
      </c>
      <c r="AS90">
        <f t="shared" si="39"/>
        <v>0</v>
      </c>
      <c r="AT90">
        <f t="shared" si="40"/>
        <v>0.9</v>
      </c>
      <c r="AU90">
        <f>'Assessment Questions'!AX90</f>
        <v>0</v>
      </c>
      <c r="AV90">
        <f t="shared" si="41"/>
        <v>0.9</v>
      </c>
      <c r="AW90" t="s">
        <v>1259</v>
      </c>
      <c r="AX90" t="s">
        <v>1259</v>
      </c>
      <c r="AY90">
        <v>23</v>
      </c>
      <c r="AZ90">
        <v>90</v>
      </c>
    </row>
    <row r="91" spans="1:52">
      <c r="A91" t="s">
        <v>1342</v>
      </c>
      <c r="B91" t="s">
        <v>1278</v>
      </c>
      <c r="C91" t="s">
        <v>1343</v>
      </c>
      <c r="D91" t="s">
        <v>1263</v>
      </c>
      <c r="E91" t="s">
        <v>1264</v>
      </c>
      <c r="F91" t="s">
        <v>1344</v>
      </c>
      <c r="G91">
        <f>'Assessment Questions'!J91</f>
        <v>5</v>
      </c>
      <c r="H91">
        <f t="shared" si="27"/>
        <v>0</v>
      </c>
      <c r="I91">
        <f t="shared" si="28"/>
        <v>0</v>
      </c>
      <c r="J91">
        <f t="shared" si="29"/>
        <v>5</v>
      </c>
      <c r="K91">
        <f t="shared" si="30"/>
        <v>5</v>
      </c>
      <c r="L91" t="str">
        <f t="shared" si="31"/>
        <v>Critical</v>
      </c>
      <c r="M91" t="s">
        <v>833</v>
      </c>
      <c r="N91" t="s">
        <v>834</v>
      </c>
      <c r="O91" t="s">
        <v>835</v>
      </c>
      <c r="P91" t="s">
        <v>836</v>
      </c>
      <c r="Q91" t="s">
        <v>837</v>
      </c>
      <c r="R91" t="s">
        <v>838</v>
      </c>
      <c r="S91" t="s">
        <v>1266</v>
      </c>
      <c r="T91">
        <f>'Assessment Questions'!W91</f>
        <v>0</v>
      </c>
      <c r="U91">
        <f>'Assessment Questions'!X91</f>
        <v>0</v>
      </c>
      <c r="V91" t="str">
        <f>'Assessment Questions'!Y91</f>
        <v>Use the recommended action generated by the model; validate with domain owner during real assessment.</v>
      </c>
      <c r="W91">
        <v>5</v>
      </c>
      <c r="X91">
        <v>5</v>
      </c>
      <c r="Y91">
        <v>5</v>
      </c>
      <c r="Z91">
        <f>'Assessment Questions'!AC91</f>
        <v>0</v>
      </c>
      <c r="AB91">
        <f t="shared" si="42"/>
        <v>0</v>
      </c>
      <c r="AC91">
        <f t="shared" si="43"/>
        <v>0</v>
      </c>
      <c r="AD91">
        <f t="shared" si="32"/>
        <v>0</v>
      </c>
      <c r="AE91">
        <f t="shared" si="44"/>
        <v>0</v>
      </c>
      <c r="AF91">
        <f t="shared" si="33"/>
        <v>5</v>
      </c>
      <c r="AG91">
        <f t="shared" si="45"/>
        <v>0</v>
      </c>
      <c r="AH91">
        <f>'Assessment Questions'!AK91</f>
        <v>0</v>
      </c>
      <c r="AI91">
        <f>'Assessment Questions'!AL91</f>
        <v>0</v>
      </c>
      <c r="AJ91">
        <f>IF(OR($H91="",$H91="N/A"),"",IF($AH91="",VLOOKUP('Company Profile'!$B$40,_CONFIG_Model_Settings!$A$5:$B$8,2,FALSE),IFERROR(VLOOKUP($AH91,_CONFIG_Model_Settings!$A$5:$B$8,2,FALSE),0.9)))</f>
        <v>0.9</v>
      </c>
      <c r="AK91">
        <f>IF(OR($H91="",$H91="N/A"),"",IF($AI91="",VLOOKUP('Company Profile'!$B$41,_CONFIG_Model_Settings!$A$5:$B$8,2,FALSE),IFERROR(VLOOKUP($AI91,_CONFIG_Model_Settings!$A$5:$B$8,2,FALSE),0.9)))</f>
        <v>0.9</v>
      </c>
      <c r="AL91">
        <f t="shared" si="34"/>
        <v>0</v>
      </c>
      <c r="AM91">
        <f t="shared" si="35"/>
        <v>0</v>
      </c>
      <c r="AN91">
        <f>IFERROR(MIN(5,MAX(0,(SUMIFS(_REF_Model_Content!$D$1:$D$174,_REF_Model_Content!$A$1:$A$174,PV_Canonical_Industry,_REF_Model_Content!$B$1:$B$174,"HR Workforce"))+IFERROR(VLOOKUP('Company Profile'!$B$35,_CONFIG_Model_Settings!$A$11:$B$13,2,0),0))),"")</f>
        <v>0</v>
      </c>
      <c r="AO91">
        <f t="shared" si="36"/>
        <v>0</v>
      </c>
      <c r="AP91">
        <f>IFERROR(SUMIFS(_REF_Model_Content!$E$1:$E$174,_REF_Model_Content!$A$1:$A$174,PV_Canonical_Industry,_REF_Model_Content!$B$1:$B$174,"HR Workforce"),1)</f>
        <v>0</v>
      </c>
      <c r="AQ91">
        <f t="shared" si="37"/>
        <v>0</v>
      </c>
      <c r="AR91" t="str">
        <f t="shared" si="38"/>
        <v>Within target</v>
      </c>
      <c r="AS91">
        <f t="shared" si="39"/>
        <v>0</v>
      </c>
      <c r="AT91">
        <f t="shared" si="40"/>
        <v>0.9</v>
      </c>
      <c r="AU91">
        <f>'Assessment Questions'!AX91</f>
        <v>0</v>
      </c>
      <c r="AV91">
        <f t="shared" si="41"/>
        <v>0.9</v>
      </c>
      <c r="AW91" t="s">
        <v>1259</v>
      </c>
      <c r="AX91" t="s">
        <v>1259</v>
      </c>
      <c r="AY91">
        <v>24</v>
      </c>
      <c r="AZ91">
        <v>91</v>
      </c>
    </row>
    <row r="92" spans="1:52">
      <c r="A92" t="s">
        <v>1345</v>
      </c>
      <c r="B92" t="s">
        <v>1278</v>
      </c>
      <c r="C92" t="s">
        <v>1346</v>
      </c>
      <c r="D92" t="s">
        <v>1263</v>
      </c>
      <c r="E92" t="s">
        <v>1264</v>
      </c>
      <c r="F92" t="s">
        <v>1347</v>
      </c>
      <c r="G92">
        <f>'Assessment Questions'!J92</f>
        <v>4</v>
      </c>
      <c r="H92">
        <f t="shared" si="27"/>
        <v>0</v>
      </c>
      <c r="I92">
        <f t="shared" si="28"/>
        <v>0</v>
      </c>
      <c r="J92">
        <f t="shared" si="29"/>
        <v>4</v>
      </c>
      <c r="K92">
        <f t="shared" si="30"/>
        <v>4</v>
      </c>
      <c r="L92" t="str">
        <f t="shared" si="31"/>
        <v>Critical</v>
      </c>
      <c r="M92" t="s">
        <v>1348</v>
      </c>
      <c r="N92" t="s">
        <v>1349</v>
      </c>
      <c r="O92" t="s">
        <v>1350</v>
      </c>
      <c r="P92" t="s">
        <v>1351</v>
      </c>
      <c r="Q92" t="s">
        <v>1352</v>
      </c>
      <c r="R92" t="s">
        <v>1353</v>
      </c>
      <c r="S92" t="s">
        <v>1266</v>
      </c>
      <c r="T92">
        <f>'Assessment Questions'!W92</f>
        <v>0</v>
      </c>
      <c r="U92">
        <f>'Assessment Questions'!X92</f>
        <v>0</v>
      </c>
      <c r="V92" t="str">
        <f>'Assessment Questions'!Y92</f>
        <v>Use the recommended action generated by the model; validate with domain owner during real assessment.</v>
      </c>
      <c r="W92">
        <v>4</v>
      </c>
      <c r="X92">
        <v>5</v>
      </c>
      <c r="Y92">
        <v>5</v>
      </c>
      <c r="Z92">
        <f>'Assessment Questions'!AC92</f>
        <v>0</v>
      </c>
      <c r="AB92">
        <f t="shared" si="42"/>
        <v>0</v>
      </c>
      <c r="AC92">
        <f t="shared" si="43"/>
        <v>0</v>
      </c>
      <c r="AD92">
        <f t="shared" si="32"/>
        <v>0</v>
      </c>
      <c r="AE92">
        <f t="shared" si="44"/>
        <v>0</v>
      </c>
      <c r="AF92">
        <f t="shared" si="33"/>
        <v>5</v>
      </c>
      <c r="AG92">
        <f t="shared" si="45"/>
        <v>0</v>
      </c>
      <c r="AH92">
        <f>'Assessment Questions'!AK92</f>
        <v>0</v>
      </c>
      <c r="AI92">
        <f>'Assessment Questions'!AL92</f>
        <v>0</v>
      </c>
      <c r="AJ92">
        <f>IF(OR($H92="",$H92="N/A"),"",IF($AH92="",VLOOKUP('Company Profile'!$B$40,_CONFIG_Model_Settings!$A$5:$B$8,2,FALSE),IFERROR(VLOOKUP($AH92,_CONFIG_Model_Settings!$A$5:$B$8,2,FALSE),0.9)))</f>
        <v>0.9</v>
      </c>
      <c r="AK92">
        <f>IF(OR($H92="",$H92="N/A"),"",IF($AI92="",VLOOKUP('Company Profile'!$B$41,_CONFIG_Model_Settings!$A$5:$B$8,2,FALSE),IFERROR(VLOOKUP($AI92,_CONFIG_Model_Settings!$A$5:$B$8,2,FALSE),0.9)))</f>
        <v>0.9</v>
      </c>
      <c r="AL92">
        <f t="shared" si="34"/>
        <v>0</v>
      </c>
      <c r="AM92">
        <f t="shared" si="35"/>
        <v>0</v>
      </c>
      <c r="AN92">
        <f>IFERROR(MIN(5,MAX(0,(SUMIFS(_REF_Model_Content!$D$1:$D$174,_REF_Model_Content!$A$1:$A$174,PV_Canonical_Industry,_REF_Model_Content!$B$1:$B$174,"HR Workforce"))+IFERROR(VLOOKUP('Company Profile'!$B$35,_CONFIG_Model_Settings!$A$11:$B$13,2,0),0))),"")</f>
        <v>0</v>
      </c>
      <c r="AO92">
        <f t="shared" si="36"/>
        <v>0</v>
      </c>
      <c r="AP92">
        <f>IFERROR(SUMIFS(_REF_Model_Content!$E$1:$E$174,_REF_Model_Content!$A$1:$A$174,PV_Canonical_Industry,_REF_Model_Content!$B$1:$B$174,"HR Workforce"),1)</f>
        <v>0</v>
      </c>
      <c r="AQ92">
        <f t="shared" si="37"/>
        <v>0</v>
      </c>
      <c r="AR92" t="str">
        <f t="shared" si="38"/>
        <v>Within target</v>
      </c>
      <c r="AS92">
        <f t="shared" si="39"/>
        <v>0</v>
      </c>
      <c r="AT92">
        <f t="shared" si="40"/>
        <v>0.9</v>
      </c>
      <c r="AU92">
        <f>'Assessment Questions'!AX92</f>
        <v>0</v>
      </c>
      <c r="AV92">
        <f t="shared" si="41"/>
        <v>0.9</v>
      </c>
      <c r="AW92" t="s">
        <v>1259</v>
      </c>
      <c r="AX92" t="s">
        <v>1259</v>
      </c>
      <c r="AY92">
        <v>25</v>
      </c>
      <c r="AZ92">
        <v>92</v>
      </c>
    </row>
    <row r="93" spans="1:52">
      <c r="A93" t="s">
        <v>1354</v>
      </c>
      <c r="B93" t="s">
        <v>1278</v>
      </c>
      <c r="C93" t="s">
        <v>1355</v>
      </c>
      <c r="D93" t="s">
        <v>1263</v>
      </c>
      <c r="E93" t="s">
        <v>1264</v>
      </c>
      <c r="F93" t="s">
        <v>1356</v>
      </c>
      <c r="G93">
        <f>'Assessment Questions'!J93</f>
        <v>3</v>
      </c>
      <c r="H93">
        <f t="shared" si="27"/>
        <v>0</v>
      </c>
      <c r="I93">
        <f t="shared" si="28"/>
        <v>0</v>
      </c>
      <c r="J93">
        <f t="shared" si="29"/>
        <v>3</v>
      </c>
      <c r="K93">
        <f t="shared" si="30"/>
        <v>3</v>
      </c>
      <c r="L93" t="str">
        <f t="shared" si="31"/>
        <v>Critical</v>
      </c>
      <c r="M93" t="s">
        <v>1357</v>
      </c>
      <c r="N93" t="s">
        <v>1358</v>
      </c>
      <c r="O93" t="s">
        <v>1359</v>
      </c>
      <c r="P93" t="s">
        <v>1360</v>
      </c>
      <c r="Q93" t="s">
        <v>1361</v>
      </c>
      <c r="R93" t="s">
        <v>1362</v>
      </c>
      <c r="S93" t="s">
        <v>1266</v>
      </c>
      <c r="T93">
        <f>'Assessment Questions'!W93</f>
        <v>0</v>
      </c>
      <c r="U93">
        <f>'Assessment Questions'!X93</f>
        <v>0</v>
      </c>
      <c r="V93" t="str">
        <f>'Assessment Questions'!Y93</f>
        <v>Use the recommended action generated by the model; validate with domain owner during real assessment.</v>
      </c>
      <c r="W93">
        <v>4</v>
      </c>
      <c r="X93">
        <v>5</v>
      </c>
      <c r="Y93">
        <v>5</v>
      </c>
      <c r="Z93">
        <f>'Assessment Questions'!AC93</f>
        <v>0</v>
      </c>
      <c r="AB93">
        <f t="shared" si="42"/>
        <v>0</v>
      </c>
      <c r="AC93">
        <f t="shared" si="43"/>
        <v>0</v>
      </c>
      <c r="AD93">
        <f t="shared" si="32"/>
        <v>0</v>
      </c>
      <c r="AE93">
        <f t="shared" si="44"/>
        <v>0</v>
      </c>
      <c r="AF93">
        <f t="shared" si="33"/>
        <v>5</v>
      </c>
      <c r="AG93">
        <f t="shared" si="45"/>
        <v>0</v>
      </c>
      <c r="AH93">
        <f>'Assessment Questions'!AK93</f>
        <v>0</v>
      </c>
      <c r="AI93">
        <f>'Assessment Questions'!AL93</f>
        <v>0</v>
      </c>
      <c r="AJ93">
        <f>IF(OR($H93="",$H93="N/A"),"",IF($AH93="",VLOOKUP('Company Profile'!$B$40,_CONFIG_Model_Settings!$A$5:$B$8,2,FALSE),IFERROR(VLOOKUP($AH93,_CONFIG_Model_Settings!$A$5:$B$8,2,FALSE),0.9)))</f>
        <v>0.9</v>
      </c>
      <c r="AK93">
        <f>IF(OR($H93="",$H93="N/A"),"",IF($AI93="",VLOOKUP('Company Profile'!$B$41,_CONFIG_Model_Settings!$A$5:$B$8,2,FALSE),IFERROR(VLOOKUP($AI93,_CONFIG_Model_Settings!$A$5:$B$8,2,FALSE),0.9)))</f>
        <v>0.9</v>
      </c>
      <c r="AL93">
        <f t="shared" si="34"/>
        <v>0</v>
      </c>
      <c r="AM93">
        <f t="shared" si="35"/>
        <v>0</v>
      </c>
      <c r="AN93">
        <f>IFERROR(MIN(5,MAX(0,(SUMIFS(_REF_Model_Content!$D$1:$D$174,_REF_Model_Content!$A$1:$A$174,PV_Canonical_Industry,_REF_Model_Content!$B$1:$B$174,"HR Workforce"))+IFERROR(VLOOKUP('Company Profile'!$B$35,_CONFIG_Model_Settings!$A$11:$B$13,2,0),0))),"")</f>
        <v>0</v>
      </c>
      <c r="AO93">
        <f t="shared" si="36"/>
        <v>0</v>
      </c>
      <c r="AP93">
        <f>IFERROR(SUMIFS(_REF_Model_Content!$E$1:$E$174,_REF_Model_Content!$A$1:$A$174,PV_Canonical_Industry,_REF_Model_Content!$B$1:$B$174,"HR Workforce"),1)</f>
        <v>0</v>
      </c>
      <c r="AQ93">
        <f t="shared" si="37"/>
        <v>0</v>
      </c>
      <c r="AR93" t="str">
        <f t="shared" si="38"/>
        <v>Within target</v>
      </c>
      <c r="AS93">
        <f t="shared" si="39"/>
        <v>0</v>
      </c>
      <c r="AT93">
        <f t="shared" si="40"/>
        <v>0.9</v>
      </c>
      <c r="AU93">
        <f>'Assessment Questions'!AX93</f>
        <v>0</v>
      </c>
      <c r="AV93">
        <f t="shared" si="41"/>
        <v>0.9</v>
      </c>
      <c r="AW93" t="s">
        <v>1259</v>
      </c>
      <c r="AX93" t="s">
        <v>1259</v>
      </c>
      <c r="AY93">
        <v>26</v>
      </c>
      <c r="AZ93">
        <v>93</v>
      </c>
    </row>
    <row r="94" spans="1:52">
      <c r="A94" t="s">
        <v>1363</v>
      </c>
      <c r="B94" t="s">
        <v>1278</v>
      </c>
      <c r="C94" t="s">
        <v>1364</v>
      </c>
      <c r="D94" t="s">
        <v>1365</v>
      </c>
      <c r="E94" t="s">
        <v>1366</v>
      </c>
      <c r="F94" t="s">
        <v>1265</v>
      </c>
      <c r="G94">
        <f>'Assessment Questions'!J94</f>
        <v>4</v>
      </c>
      <c r="H94">
        <f t="shared" si="27"/>
        <v>0</v>
      </c>
      <c r="I94">
        <f t="shared" si="28"/>
        <v>0</v>
      </c>
      <c r="J94">
        <f t="shared" si="29"/>
        <v>4</v>
      </c>
      <c r="K94">
        <f t="shared" si="30"/>
        <v>4</v>
      </c>
      <c r="L94" t="str">
        <f t="shared" si="31"/>
        <v>Critical</v>
      </c>
      <c r="M94" t="s">
        <v>1367</v>
      </c>
      <c r="N94" t="s">
        <v>1368</v>
      </c>
      <c r="O94" t="s">
        <v>1369</v>
      </c>
      <c r="P94" t="s">
        <v>1370</v>
      </c>
      <c r="Q94" t="s">
        <v>1371</v>
      </c>
      <c r="R94" t="s">
        <v>1372</v>
      </c>
      <c r="S94" t="s">
        <v>1373</v>
      </c>
      <c r="T94">
        <f>'Assessment Questions'!W94</f>
        <v>0</v>
      </c>
      <c r="U94">
        <f>'Assessment Questions'!X94</f>
        <v>0</v>
      </c>
      <c r="V94" t="str">
        <f>'Assessment Questions'!Y94</f>
        <v>Use the recommended action generated by the model; validate with domain owner during real assessment.</v>
      </c>
      <c r="W94">
        <v>2</v>
      </c>
      <c r="X94">
        <v>4</v>
      </c>
      <c r="Y94">
        <v>4</v>
      </c>
      <c r="Z94">
        <f>'Assessment Questions'!AC94</f>
        <v>0</v>
      </c>
      <c r="AB94">
        <f t="shared" si="42"/>
        <v>0</v>
      </c>
      <c r="AC94">
        <f t="shared" si="43"/>
        <v>0</v>
      </c>
      <c r="AD94">
        <f t="shared" si="32"/>
        <v>0</v>
      </c>
      <c r="AE94">
        <f t="shared" si="44"/>
        <v>0</v>
      </c>
      <c r="AF94">
        <f t="shared" si="33"/>
        <v>5</v>
      </c>
      <c r="AG94">
        <f t="shared" si="45"/>
        <v>0</v>
      </c>
      <c r="AH94">
        <f>'Assessment Questions'!AK94</f>
        <v>0</v>
      </c>
      <c r="AI94">
        <f>'Assessment Questions'!AL94</f>
        <v>0</v>
      </c>
      <c r="AJ94">
        <f>IF(OR($H94="",$H94="N/A"),"",IF($AH94="",VLOOKUP('Company Profile'!$B$40,_CONFIG_Model_Settings!$A$5:$B$8,2,FALSE),IFERROR(VLOOKUP($AH94,_CONFIG_Model_Settings!$A$5:$B$8,2,FALSE),0.9)))</f>
        <v>0.9</v>
      </c>
      <c r="AK94">
        <f>IF(OR($H94="",$H94="N/A"),"",IF($AI94="",VLOOKUP('Company Profile'!$B$41,_CONFIG_Model_Settings!$A$5:$B$8,2,FALSE),IFERROR(VLOOKUP($AI94,_CONFIG_Model_Settings!$A$5:$B$8,2,FALSE),0.9)))</f>
        <v>0.9</v>
      </c>
      <c r="AL94">
        <f t="shared" si="34"/>
        <v>0</v>
      </c>
      <c r="AM94">
        <f t="shared" si="35"/>
        <v>0</v>
      </c>
      <c r="AN94">
        <f>IFERROR(MIN(5,MAX(0,(SUMIFS(_REF_Model_Content!$D$1:$D$174,_REF_Model_Content!$A$1:$A$174,PV_Canonical_Industry,_REF_Model_Content!$B$1:$B$174,"HR Workforce"))+IFERROR(VLOOKUP('Company Profile'!$B$35,_CONFIG_Model_Settings!$A$11:$B$13,2,0),0))),"")</f>
        <v>0</v>
      </c>
      <c r="AO94">
        <f t="shared" si="36"/>
        <v>0</v>
      </c>
      <c r="AP94">
        <f>IFERROR(SUMIFS(_REF_Model_Content!$E$1:$E$174,_REF_Model_Content!$A$1:$A$174,PV_Canonical_Industry,_REF_Model_Content!$B$1:$B$174,"HR Workforce"),1)</f>
        <v>0</v>
      </c>
      <c r="AQ94">
        <f t="shared" si="37"/>
        <v>0</v>
      </c>
      <c r="AR94" t="str">
        <f t="shared" si="38"/>
        <v>Within target</v>
      </c>
      <c r="AS94">
        <f t="shared" si="39"/>
        <v>0</v>
      </c>
      <c r="AT94">
        <f t="shared" si="40"/>
        <v>0.9</v>
      </c>
      <c r="AU94">
        <f>'Assessment Questions'!AX94</f>
        <v>0</v>
      </c>
      <c r="AV94">
        <f t="shared" si="41"/>
        <v>0.9</v>
      </c>
      <c r="AW94" t="s">
        <v>1259</v>
      </c>
      <c r="AX94" t="s">
        <v>1259</v>
      </c>
      <c r="AY94">
        <v>27</v>
      </c>
      <c r="AZ94">
        <v>94</v>
      </c>
    </row>
    <row r="95" spans="1:52">
      <c r="A95" t="s">
        <v>1374</v>
      </c>
      <c r="B95" t="s">
        <v>1278</v>
      </c>
      <c r="C95" t="s">
        <v>1375</v>
      </c>
      <c r="D95" t="s">
        <v>1376</v>
      </c>
      <c r="E95" t="s">
        <v>1377</v>
      </c>
      <c r="F95" t="s">
        <v>1265</v>
      </c>
      <c r="G95">
        <f>'Assessment Questions'!J95</f>
        <v>3</v>
      </c>
      <c r="H95">
        <f t="shared" si="27"/>
        <v>0</v>
      </c>
      <c r="I95">
        <f t="shared" si="28"/>
        <v>0</v>
      </c>
      <c r="J95">
        <f t="shared" si="29"/>
        <v>3</v>
      </c>
      <c r="K95">
        <f t="shared" si="30"/>
        <v>3</v>
      </c>
      <c r="L95" t="str">
        <f t="shared" si="31"/>
        <v>Critical</v>
      </c>
      <c r="M95" t="s">
        <v>1202</v>
      </c>
      <c r="N95" t="s">
        <v>1203</v>
      </c>
      <c r="O95" t="s">
        <v>1204</v>
      </c>
      <c r="P95" t="s">
        <v>1205</v>
      </c>
      <c r="Q95" t="s">
        <v>1206</v>
      </c>
      <c r="R95" t="s">
        <v>1207</v>
      </c>
      <c r="S95" t="s">
        <v>1378</v>
      </c>
      <c r="T95">
        <f>'Assessment Questions'!W95</f>
        <v>0</v>
      </c>
      <c r="U95">
        <f>'Assessment Questions'!X95</f>
        <v>0</v>
      </c>
      <c r="V95" t="str">
        <f>'Assessment Questions'!Y95</f>
        <v>Use the recommended action generated by the model; validate with domain owner during real assessment.</v>
      </c>
      <c r="W95">
        <v>3</v>
      </c>
      <c r="X95">
        <v>4</v>
      </c>
      <c r="Y95">
        <v>4</v>
      </c>
      <c r="Z95">
        <f>'Assessment Questions'!AC95</f>
        <v>0</v>
      </c>
      <c r="AB95">
        <f t="shared" si="42"/>
        <v>0</v>
      </c>
      <c r="AC95">
        <f t="shared" si="43"/>
        <v>0</v>
      </c>
      <c r="AD95">
        <f t="shared" si="32"/>
        <v>0</v>
      </c>
      <c r="AE95">
        <f t="shared" si="44"/>
        <v>0</v>
      </c>
      <c r="AF95">
        <f t="shared" si="33"/>
        <v>5</v>
      </c>
      <c r="AG95">
        <f t="shared" si="45"/>
        <v>0</v>
      </c>
      <c r="AH95">
        <f>'Assessment Questions'!AK95</f>
        <v>0</v>
      </c>
      <c r="AI95">
        <f>'Assessment Questions'!AL95</f>
        <v>0</v>
      </c>
      <c r="AJ95">
        <f>IF(OR($H95="",$H95="N/A"),"",IF($AH95="",VLOOKUP('Company Profile'!$B$40,_CONFIG_Model_Settings!$A$5:$B$8,2,FALSE),IFERROR(VLOOKUP($AH95,_CONFIG_Model_Settings!$A$5:$B$8,2,FALSE),0.9)))</f>
        <v>0.9</v>
      </c>
      <c r="AK95">
        <f>IF(OR($H95="",$H95="N/A"),"",IF($AI95="",VLOOKUP('Company Profile'!$B$41,_CONFIG_Model_Settings!$A$5:$B$8,2,FALSE),IFERROR(VLOOKUP($AI95,_CONFIG_Model_Settings!$A$5:$B$8,2,FALSE),0.9)))</f>
        <v>0.9</v>
      </c>
      <c r="AL95">
        <f t="shared" si="34"/>
        <v>0</v>
      </c>
      <c r="AM95">
        <f t="shared" si="35"/>
        <v>0</v>
      </c>
      <c r="AN95">
        <f>IFERROR(MIN(5,MAX(0,(SUMIFS(_REF_Model_Content!$D$1:$D$174,_REF_Model_Content!$A$1:$A$174,PV_Canonical_Industry,_REF_Model_Content!$B$1:$B$174,"HR Workforce"))+IFERROR(VLOOKUP('Company Profile'!$B$35,_CONFIG_Model_Settings!$A$11:$B$13,2,0),0))),"")</f>
        <v>0</v>
      </c>
      <c r="AO95">
        <f t="shared" si="36"/>
        <v>0</v>
      </c>
      <c r="AP95">
        <f>IFERROR(SUMIFS(_REF_Model_Content!$E$1:$E$174,_REF_Model_Content!$A$1:$A$174,PV_Canonical_Industry,_REF_Model_Content!$B$1:$B$174,"HR Workforce"),1)</f>
        <v>0</v>
      </c>
      <c r="AQ95">
        <f t="shared" si="37"/>
        <v>0</v>
      </c>
      <c r="AR95" t="str">
        <f t="shared" si="38"/>
        <v>Within target</v>
      </c>
      <c r="AS95">
        <f t="shared" si="39"/>
        <v>0</v>
      </c>
      <c r="AT95">
        <f t="shared" si="40"/>
        <v>0.9</v>
      </c>
      <c r="AU95">
        <f>'Assessment Questions'!AX95</f>
        <v>0</v>
      </c>
      <c r="AV95">
        <f t="shared" si="41"/>
        <v>0.9</v>
      </c>
      <c r="AW95" t="s">
        <v>1259</v>
      </c>
      <c r="AX95" t="s">
        <v>1259</v>
      </c>
      <c r="AY95">
        <v>28</v>
      </c>
      <c r="AZ95">
        <v>95</v>
      </c>
    </row>
    <row r="96" spans="1:52">
      <c r="A96" t="s">
        <v>1379</v>
      </c>
      <c r="B96" t="s">
        <v>1274</v>
      </c>
      <c r="C96" t="s">
        <v>1380</v>
      </c>
      <c r="D96" t="s">
        <v>1381</v>
      </c>
      <c r="E96" t="s">
        <v>1382</v>
      </c>
      <c r="F96" t="s">
        <v>1265</v>
      </c>
      <c r="G96">
        <f>'Assessment Questions'!J96</f>
        <v>3</v>
      </c>
      <c r="H96">
        <f t="shared" si="27"/>
        <v>0</v>
      </c>
      <c r="I96">
        <f t="shared" si="28"/>
        <v>0</v>
      </c>
      <c r="J96">
        <f t="shared" si="29"/>
        <v>3</v>
      </c>
      <c r="K96">
        <f t="shared" si="30"/>
        <v>3</v>
      </c>
      <c r="L96" t="str">
        <f t="shared" si="31"/>
        <v>Critical</v>
      </c>
      <c r="M96" t="s">
        <v>1383</v>
      </c>
      <c r="N96" t="s">
        <v>1384</v>
      </c>
      <c r="O96" t="s">
        <v>1385</v>
      </c>
      <c r="P96" t="s">
        <v>1386</v>
      </c>
      <c r="Q96" t="s">
        <v>1387</v>
      </c>
      <c r="R96" t="s">
        <v>1388</v>
      </c>
      <c r="S96" t="s">
        <v>1389</v>
      </c>
      <c r="T96">
        <f>'Assessment Questions'!W96</f>
        <v>0</v>
      </c>
      <c r="U96">
        <f>'Assessment Questions'!X96</f>
        <v>0</v>
      </c>
      <c r="V96" t="str">
        <f>'Assessment Questions'!Y96</f>
        <v>Use the recommended action generated by the model; validate with domain owner during real assessment.</v>
      </c>
      <c r="W96">
        <v>3</v>
      </c>
      <c r="X96">
        <v>3</v>
      </c>
      <c r="Y96">
        <v>4</v>
      </c>
      <c r="Z96">
        <f>'Assessment Questions'!AC96</f>
        <v>0</v>
      </c>
      <c r="AB96">
        <f t="shared" si="42"/>
        <v>0</v>
      </c>
      <c r="AC96">
        <f t="shared" si="43"/>
        <v>0</v>
      </c>
      <c r="AD96">
        <f t="shared" si="32"/>
        <v>0</v>
      </c>
      <c r="AE96">
        <f t="shared" si="44"/>
        <v>0</v>
      </c>
      <c r="AF96">
        <f t="shared" si="33"/>
        <v>5</v>
      </c>
      <c r="AG96">
        <f t="shared" si="45"/>
        <v>0</v>
      </c>
      <c r="AH96">
        <f>'Assessment Questions'!AK96</f>
        <v>0</v>
      </c>
      <c r="AI96">
        <f>'Assessment Questions'!AL96</f>
        <v>0</v>
      </c>
      <c r="AJ96">
        <f>IF(OR($H96="",$H96="N/A"),"",IF($AH96="",VLOOKUP('Company Profile'!$B$40,_CONFIG_Model_Settings!$A$5:$B$8,2,FALSE),IFERROR(VLOOKUP($AH96,_CONFIG_Model_Settings!$A$5:$B$8,2,FALSE),0.9)))</f>
        <v>0.9</v>
      </c>
      <c r="AK96">
        <f>IF(OR($H96="",$H96="N/A"),"",IF($AI96="",VLOOKUP('Company Profile'!$B$41,_CONFIG_Model_Settings!$A$5:$B$8,2,FALSE),IFERROR(VLOOKUP($AI96,_CONFIG_Model_Settings!$A$5:$B$8,2,FALSE),0.9)))</f>
        <v>0.9</v>
      </c>
      <c r="AL96">
        <f t="shared" si="34"/>
        <v>0</v>
      </c>
      <c r="AM96">
        <f t="shared" si="35"/>
        <v>0</v>
      </c>
      <c r="AN96">
        <f>IFERROR(MIN(5,MAX(0,(SUMIFS(_REF_Model_Content!$D$1:$D$174,_REF_Model_Content!$A$1:$A$174,PV_Canonical_Industry,_REF_Model_Content!$B$1:$B$174,"HR Workforce"))+IFERROR(VLOOKUP('Company Profile'!$B$35,_CONFIG_Model_Settings!$A$11:$B$13,2,0),0))),"")</f>
        <v>0</v>
      </c>
      <c r="AO96">
        <f t="shared" si="36"/>
        <v>0</v>
      </c>
      <c r="AP96">
        <f>IFERROR(SUMIFS(_REF_Model_Content!$E$1:$E$174,_REF_Model_Content!$A$1:$A$174,PV_Canonical_Industry,_REF_Model_Content!$B$1:$B$174,"HR Workforce"),1)</f>
        <v>0</v>
      </c>
      <c r="AQ96">
        <f t="shared" si="37"/>
        <v>0</v>
      </c>
      <c r="AR96" t="str">
        <f t="shared" si="38"/>
        <v>Within target</v>
      </c>
      <c r="AS96">
        <f t="shared" si="39"/>
        <v>0</v>
      </c>
      <c r="AT96">
        <f t="shared" si="40"/>
        <v>0.9</v>
      </c>
      <c r="AU96">
        <f>'Assessment Questions'!AX96</f>
        <v>0</v>
      </c>
      <c r="AV96">
        <f t="shared" si="41"/>
        <v>0.9</v>
      </c>
      <c r="AW96" t="s">
        <v>1259</v>
      </c>
      <c r="AX96" t="s">
        <v>1259</v>
      </c>
      <c r="AY96">
        <v>29</v>
      </c>
      <c r="AZ96">
        <v>96</v>
      </c>
    </row>
    <row r="97" spans="1:52">
      <c r="A97" t="s">
        <v>1390</v>
      </c>
      <c r="B97" t="s">
        <v>1261</v>
      </c>
      <c r="C97" t="s">
        <v>1391</v>
      </c>
      <c r="D97" t="s">
        <v>1392</v>
      </c>
      <c r="E97" t="s">
        <v>1393</v>
      </c>
      <c r="F97" t="s">
        <v>941</v>
      </c>
      <c r="G97">
        <f>'Assessment Questions'!J97</f>
        <v>4</v>
      </c>
      <c r="H97">
        <f t="shared" si="27"/>
        <v>0</v>
      </c>
      <c r="I97">
        <f t="shared" si="28"/>
        <v>0</v>
      </c>
      <c r="J97">
        <f t="shared" si="29"/>
        <v>4</v>
      </c>
      <c r="K97">
        <f t="shared" si="30"/>
        <v>4</v>
      </c>
      <c r="L97" t="str">
        <f t="shared" si="31"/>
        <v>Critical</v>
      </c>
      <c r="M97" t="s">
        <v>1394</v>
      </c>
      <c r="N97" t="s">
        <v>1395</v>
      </c>
      <c r="O97" t="s">
        <v>1396</v>
      </c>
      <c r="P97" t="s">
        <v>1397</v>
      </c>
      <c r="Q97" t="s">
        <v>1398</v>
      </c>
      <c r="R97" t="s">
        <v>1399</v>
      </c>
      <c r="S97" t="s">
        <v>1400</v>
      </c>
      <c r="T97">
        <f>'Assessment Questions'!W97</f>
        <v>0</v>
      </c>
      <c r="U97">
        <f>'Assessment Questions'!X97</f>
        <v>0</v>
      </c>
      <c r="V97" t="str">
        <f>'Assessment Questions'!Y97</f>
        <v>Use the recommended action generated by the model; validate with domain owner during real assessment.</v>
      </c>
      <c r="W97">
        <v>2</v>
      </c>
      <c r="X97">
        <v>5</v>
      </c>
      <c r="Y97">
        <v>4</v>
      </c>
      <c r="Z97">
        <f>'Assessment Questions'!AC97</f>
        <v>0</v>
      </c>
      <c r="AB97">
        <f t="shared" si="42"/>
        <v>0</v>
      </c>
      <c r="AC97">
        <f t="shared" si="43"/>
        <v>0</v>
      </c>
      <c r="AD97">
        <f t="shared" si="32"/>
        <v>0</v>
      </c>
      <c r="AE97">
        <f t="shared" si="44"/>
        <v>0</v>
      </c>
      <c r="AF97">
        <f t="shared" si="33"/>
        <v>5</v>
      </c>
      <c r="AG97">
        <f t="shared" si="45"/>
        <v>0</v>
      </c>
      <c r="AH97">
        <f>'Assessment Questions'!AK97</f>
        <v>0</v>
      </c>
      <c r="AI97">
        <f>'Assessment Questions'!AL97</f>
        <v>0</v>
      </c>
      <c r="AJ97">
        <f>IF(OR($H97="",$H97="N/A"),"",IF($AH97="",VLOOKUP('Company Profile'!$B$40,_CONFIG_Model_Settings!$A$5:$B$8,2,FALSE),IFERROR(VLOOKUP($AH97,_CONFIG_Model_Settings!$A$5:$B$8,2,FALSE),0.9)))</f>
        <v>0.9</v>
      </c>
      <c r="AK97">
        <f>IF(OR($H97="",$H97="N/A"),"",IF($AI97="",VLOOKUP('Company Profile'!$B$41,_CONFIG_Model_Settings!$A$5:$B$8,2,FALSE),IFERROR(VLOOKUP($AI97,_CONFIG_Model_Settings!$A$5:$B$8,2,FALSE),0.9)))</f>
        <v>0.9</v>
      </c>
      <c r="AL97">
        <f t="shared" si="34"/>
        <v>0</v>
      </c>
      <c r="AM97">
        <f t="shared" si="35"/>
        <v>0</v>
      </c>
      <c r="AN97">
        <f>IFERROR(MIN(5,MAX(0,(SUMIFS(_REF_Model_Content!$D$1:$D$174,_REF_Model_Content!$A$1:$A$174,PV_Canonical_Industry,_REF_Model_Content!$B$1:$B$174,"HR Workforce"))+IFERROR(VLOOKUP('Company Profile'!$B$35,_CONFIG_Model_Settings!$A$11:$B$13,2,0),0))),"")</f>
        <v>0</v>
      </c>
      <c r="AO97">
        <f t="shared" si="36"/>
        <v>0</v>
      </c>
      <c r="AP97">
        <f>IFERROR(SUMIFS(_REF_Model_Content!$E$1:$E$174,_REF_Model_Content!$A$1:$A$174,PV_Canonical_Industry,_REF_Model_Content!$B$1:$B$174,"HR Workforce"),1)</f>
        <v>0</v>
      </c>
      <c r="AQ97">
        <f t="shared" si="37"/>
        <v>0</v>
      </c>
      <c r="AR97" t="str">
        <f t="shared" si="38"/>
        <v>Within target</v>
      </c>
      <c r="AS97">
        <f t="shared" si="39"/>
        <v>0</v>
      </c>
      <c r="AT97">
        <f t="shared" si="40"/>
        <v>0.9</v>
      </c>
      <c r="AU97">
        <f>'Assessment Questions'!AX97</f>
        <v>0</v>
      </c>
      <c r="AV97">
        <f t="shared" si="41"/>
        <v>0.9</v>
      </c>
      <c r="AW97" t="s">
        <v>1259</v>
      </c>
      <c r="AX97" t="s">
        <v>1259</v>
      </c>
      <c r="AY97">
        <v>30</v>
      </c>
      <c r="AZ97">
        <v>97</v>
      </c>
    </row>
    <row r="98" spans="1:52">
      <c r="A98" t="s">
        <v>1402</v>
      </c>
      <c r="B98" t="s">
        <v>1403</v>
      </c>
      <c r="C98" t="s">
        <v>1404</v>
      </c>
      <c r="D98" t="s">
        <v>1405</v>
      </c>
      <c r="E98" t="s">
        <v>1406</v>
      </c>
      <c r="F98" t="s">
        <v>1407</v>
      </c>
      <c r="G98">
        <f>'Assessment Questions'!J98</f>
        <v>5</v>
      </c>
      <c r="H98">
        <f t="shared" si="27"/>
        <v>0</v>
      </c>
      <c r="I98">
        <f t="shared" si="28"/>
        <v>0</v>
      </c>
      <c r="J98">
        <f t="shared" si="29"/>
        <v>5</v>
      </c>
      <c r="K98">
        <f t="shared" si="30"/>
        <v>5</v>
      </c>
      <c r="L98" t="str">
        <f t="shared" si="31"/>
        <v>Critical</v>
      </c>
      <c r="M98" t="s">
        <v>1069</v>
      </c>
      <c r="N98" t="s">
        <v>1070</v>
      </c>
      <c r="O98" t="s">
        <v>1071</v>
      </c>
      <c r="P98" t="s">
        <v>1072</v>
      </c>
      <c r="Q98" t="s">
        <v>1073</v>
      </c>
      <c r="R98" t="s">
        <v>1074</v>
      </c>
      <c r="S98" t="s">
        <v>1408</v>
      </c>
      <c r="T98">
        <f>'Assessment Questions'!W98</f>
        <v>0</v>
      </c>
      <c r="U98">
        <f>'Assessment Questions'!X98</f>
        <v>0</v>
      </c>
      <c r="V98" t="str">
        <f>'Assessment Questions'!Y98</f>
        <v>Use the recommended action generated by the model; validate with domain owner during real assessment.</v>
      </c>
      <c r="W98">
        <v>4</v>
      </c>
      <c r="X98">
        <v>5</v>
      </c>
      <c r="Y98">
        <v>5</v>
      </c>
      <c r="Z98">
        <f>'Assessment Questions'!AC98</f>
        <v>0</v>
      </c>
      <c r="AA98" t="s">
        <v>1403</v>
      </c>
      <c r="AB98">
        <f t="shared" ref="AB98:AB123" si="46">COUNTIF($B$98:$B$123,$AA98)</f>
        <v>8</v>
      </c>
      <c r="AC98">
        <f t="shared" ref="AC98:AC123" si="47">IFERROR(SUMPRODUCT(($B$98:$B$123=$AA98)*($H$98:$H$123&lt;&gt;"")*($H$98:$H$123&lt;&gt;"N/A")*IFERROR(VALUE($H$98:$H$123),0))/SUMPRODUCT(($B$98:$B$123=$AA98)*($H$98:$H$123&lt;&gt;"")*($H$98:$H$123&lt;&gt;"N/A")),0)</f>
        <v>0</v>
      </c>
      <c r="AD98">
        <f t="shared" si="32"/>
        <v>0</v>
      </c>
      <c r="AE98">
        <f t="shared" ref="AE98:AE123" si="48">COUNTIFS($B$98:$B$123,$AA98,$L$98:$L$123,"Critical")+COUNTIFS($B$98:$B$123,$AA98,$L$98:$L$123,"High")</f>
        <v>8</v>
      </c>
      <c r="AF98">
        <f t="shared" si="33"/>
        <v>5</v>
      </c>
      <c r="AG98">
        <f t="shared" ref="AG98:AG123" si="49">SUMPRODUCT(($B$98:$B$123=$AA98)*(ISNUMBER($H$98:$H$123)+($H$98:$H$123="N/A")))</f>
        <v>8</v>
      </c>
      <c r="AH98">
        <f>'Assessment Questions'!AK98</f>
        <v>0</v>
      </c>
      <c r="AI98">
        <f>'Assessment Questions'!AL98</f>
        <v>0</v>
      </c>
      <c r="AJ98">
        <f>IF(OR($H98="",$H98="N/A"),"",IF($AH98="",VLOOKUP('Company Profile'!$B$40,_CONFIG_Model_Settings!$A$5:$B$8,2,FALSE),IFERROR(VLOOKUP($AH98,_CONFIG_Model_Settings!$A$5:$B$8,2,FALSE),0.9)))</f>
        <v>0.9</v>
      </c>
      <c r="AK98">
        <f>IF(OR($H98="",$H98="N/A"),"",IF($AI98="",VLOOKUP('Company Profile'!$B$41,_CONFIG_Model_Settings!$A$5:$B$8,2,FALSE),IFERROR(VLOOKUP($AI98,_CONFIG_Model_Settings!$A$5:$B$8,2,FALSE),0.9)))</f>
        <v>0.9</v>
      </c>
      <c r="AL98">
        <f t="shared" si="34"/>
        <v>0</v>
      </c>
      <c r="AM98">
        <f t="shared" si="35"/>
        <v>0</v>
      </c>
      <c r="AN98">
        <f>IFERROR(MIN(5,MAX(0,(SUMIFS(_REF_Model_Content!$D$1:$D$174,_REF_Model_Content!$A$1:$A$174,PV_Canonical_Industry,_REF_Model_Content!$B$1:$B$174,"Finance Procurement"))+IFERROR(VLOOKUP('Company Profile'!$B$35,_CONFIG_Model_Settings!$A$11:$B$13,2,0),0))),"")</f>
        <v>0</v>
      </c>
      <c r="AO98">
        <f t="shared" si="36"/>
        <v>0</v>
      </c>
      <c r="AP98">
        <f>IFERROR(SUMIFS(_REF_Model_Content!$E$1:$E$174,_REF_Model_Content!$A$1:$A$174,PV_Canonical_Industry,_REF_Model_Content!$B$1:$B$174,"Finance Procurement"),1)</f>
        <v>0</v>
      </c>
      <c r="AQ98">
        <f t="shared" si="37"/>
        <v>0</v>
      </c>
      <c r="AR98" t="str">
        <f t="shared" si="38"/>
        <v>Within target</v>
      </c>
      <c r="AS98">
        <f t="shared" si="39"/>
        <v>0</v>
      </c>
      <c r="AT98">
        <f t="shared" si="40"/>
        <v>0.9</v>
      </c>
      <c r="AU98">
        <f>'Assessment Questions'!AX98</f>
        <v>0</v>
      </c>
      <c r="AV98">
        <f t="shared" si="41"/>
        <v>0.9</v>
      </c>
      <c r="AW98" t="s">
        <v>1401</v>
      </c>
      <c r="AX98" t="s">
        <v>1401</v>
      </c>
      <c r="AY98">
        <v>5</v>
      </c>
      <c r="AZ98">
        <v>98</v>
      </c>
    </row>
    <row r="99" spans="1:52">
      <c r="A99" t="s">
        <v>1409</v>
      </c>
      <c r="B99" t="s">
        <v>1403</v>
      </c>
      <c r="C99" t="s">
        <v>1410</v>
      </c>
      <c r="D99" t="s">
        <v>1405</v>
      </c>
      <c r="E99" t="s">
        <v>1406</v>
      </c>
      <c r="F99" t="s">
        <v>1411</v>
      </c>
      <c r="G99">
        <f>'Assessment Questions'!J99</f>
        <v>5</v>
      </c>
      <c r="H99">
        <f t="shared" si="27"/>
        <v>0</v>
      </c>
      <c r="I99">
        <f t="shared" si="28"/>
        <v>0</v>
      </c>
      <c r="J99">
        <f t="shared" si="29"/>
        <v>5</v>
      </c>
      <c r="K99">
        <f t="shared" si="30"/>
        <v>5</v>
      </c>
      <c r="L99" t="str">
        <f t="shared" si="31"/>
        <v>Critical</v>
      </c>
      <c r="M99" t="s">
        <v>833</v>
      </c>
      <c r="N99" t="s">
        <v>834</v>
      </c>
      <c r="O99" t="s">
        <v>835</v>
      </c>
      <c r="P99" t="s">
        <v>836</v>
      </c>
      <c r="Q99" t="s">
        <v>837</v>
      </c>
      <c r="R99" t="s">
        <v>838</v>
      </c>
      <c r="S99" t="s">
        <v>1408</v>
      </c>
      <c r="T99">
        <f>'Assessment Questions'!W99</f>
        <v>0</v>
      </c>
      <c r="U99">
        <f>'Assessment Questions'!X99</f>
        <v>0</v>
      </c>
      <c r="V99" t="str">
        <f>'Assessment Questions'!Y99</f>
        <v>Use the recommended action generated by the model; validate with domain owner during real assessment.</v>
      </c>
      <c r="W99">
        <v>4</v>
      </c>
      <c r="X99">
        <v>5</v>
      </c>
      <c r="Y99">
        <v>5</v>
      </c>
      <c r="Z99">
        <f>'Assessment Questions'!AC99</f>
        <v>0</v>
      </c>
      <c r="AA99" t="s">
        <v>1412</v>
      </c>
      <c r="AB99">
        <f t="shared" si="46"/>
        <v>6</v>
      </c>
      <c r="AC99">
        <f t="shared" si="47"/>
        <v>0</v>
      </c>
      <c r="AD99">
        <f t="shared" si="32"/>
        <v>0</v>
      </c>
      <c r="AE99">
        <f t="shared" si="48"/>
        <v>6</v>
      </c>
      <c r="AF99">
        <f t="shared" si="33"/>
        <v>5</v>
      </c>
      <c r="AG99">
        <f t="shared" si="49"/>
        <v>6</v>
      </c>
      <c r="AH99">
        <f>'Assessment Questions'!AK99</f>
        <v>0</v>
      </c>
      <c r="AI99">
        <f>'Assessment Questions'!AL99</f>
        <v>0</v>
      </c>
      <c r="AJ99">
        <f>IF(OR($H99="",$H99="N/A"),"",IF($AH99="",VLOOKUP('Company Profile'!$B$40,_CONFIG_Model_Settings!$A$5:$B$8,2,FALSE),IFERROR(VLOOKUP($AH99,_CONFIG_Model_Settings!$A$5:$B$8,2,FALSE),0.9)))</f>
        <v>0.9</v>
      </c>
      <c r="AK99">
        <f>IF(OR($H99="",$H99="N/A"),"",IF($AI99="",VLOOKUP('Company Profile'!$B$41,_CONFIG_Model_Settings!$A$5:$B$8,2,FALSE),IFERROR(VLOOKUP($AI99,_CONFIG_Model_Settings!$A$5:$B$8,2,FALSE),0.9)))</f>
        <v>0.9</v>
      </c>
      <c r="AL99">
        <f t="shared" si="34"/>
        <v>0</v>
      </c>
      <c r="AM99">
        <f t="shared" si="35"/>
        <v>0</v>
      </c>
      <c r="AN99">
        <f>IFERROR(MIN(5,MAX(0,(SUMIFS(_REF_Model_Content!$D$1:$D$174,_REF_Model_Content!$A$1:$A$174,PV_Canonical_Industry,_REF_Model_Content!$B$1:$B$174,"Finance Procurement"))+IFERROR(VLOOKUP('Company Profile'!$B$35,_CONFIG_Model_Settings!$A$11:$B$13,2,0),0))),"")</f>
        <v>0</v>
      </c>
      <c r="AO99">
        <f t="shared" si="36"/>
        <v>0</v>
      </c>
      <c r="AP99">
        <f>IFERROR(SUMIFS(_REF_Model_Content!$E$1:$E$174,_REF_Model_Content!$A$1:$A$174,PV_Canonical_Industry,_REF_Model_Content!$B$1:$B$174,"Finance Procurement"),1)</f>
        <v>0</v>
      </c>
      <c r="AQ99">
        <f t="shared" si="37"/>
        <v>0</v>
      </c>
      <c r="AR99" t="str">
        <f t="shared" si="38"/>
        <v>Within target</v>
      </c>
      <c r="AS99">
        <f t="shared" si="39"/>
        <v>0</v>
      </c>
      <c r="AT99">
        <f t="shared" si="40"/>
        <v>0.9</v>
      </c>
      <c r="AU99">
        <f>'Assessment Questions'!AX99</f>
        <v>0</v>
      </c>
      <c r="AV99">
        <f t="shared" si="41"/>
        <v>0.9</v>
      </c>
      <c r="AW99" t="s">
        <v>1401</v>
      </c>
      <c r="AX99" t="s">
        <v>1401</v>
      </c>
      <c r="AY99">
        <v>6</v>
      </c>
      <c r="AZ99">
        <v>99</v>
      </c>
    </row>
    <row r="100" spans="1:52">
      <c r="A100" t="s">
        <v>1413</v>
      </c>
      <c r="B100" t="s">
        <v>1403</v>
      </c>
      <c r="C100" t="s">
        <v>1414</v>
      </c>
      <c r="D100" t="s">
        <v>1405</v>
      </c>
      <c r="E100" t="s">
        <v>1406</v>
      </c>
      <c r="F100" t="s">
        <v>1415</v>
      </c>
      <c r="G100">
        <f>'Assessment Questions'!J100</f>
        <v>3</v>
      </c>
      <c r="H100">
        <f t="shared" si="27"/>
        <v>0</v>
      </c>
      <c r="I100">
        <f t="shared" si="28"/>
        <v>0</v>
      </c>
      <c r="J100">
        <f t="shared" si="29"/>
        <v>3</v>
      </c>
      <c r="K100">
        <f t="shared" si="30"/>
        <v>3</v>
      </c>
      <c r="L100" t="str">
        <f t="shared" si="31"/>
        <v>Critical</v>
      </c>
      <c r="M100" t="s">
        <v>1416</v>
      </c>
      <c r="N100" t="s">
        <v>1417</v>
      </c>
      <c r="O100" t="s">
        <v>1418</v>
      </c>
      <c r="P100" t="s">
        <v>1419</v>
      </c>
      <c r="Q100" t="s">
        <v>1420</v>
      </c>
      <c r="R100" t="s">
        <v>1421</v>
      </c>
      <c r="S100" t="s">
        <v>1408</v>
      </c>
      <c r="T100">
        <f>'Assessment Questions'!W100</f>
        <v>0</v>
      </c>
      <c r="U100">
        <f>'Assessment Questions'!X100</f>
        <v>0</v>
      </c>
      <c r="V100" t="str">
        <f>'Assessment Questions'!Y100</f>
        <v>Use the recommended action generated by the model; validate with domain owner during real assessment.</v>
      </c>
      <c r="W100">
        <v>4</v>
      </c>
      <c r="X100">
        <v>5</v>
      </c>
      <c r="Y100">
        <v>5</v>
      </c>
      <c r="Z100">
        <f>'Assessment Questions'!AC100</f>
        <v>0</v>
      </c>
      <c r="AA100" t="s">
        <v>1422</v>
      </c>
      <c r="AB100">
        <f t="shared" si="46"/>
        <v>6</v>
      </c>
      <c r="AC100">
        <f t="shared" si="47"/>
        <v>0</v>
      </c>
      <c r="AD100">
        <f t="shared" si="32"/>
        <v>0</v>
      </c>
      <c r="AE100">
        <f t="shared" si="48"/>
        <v>6</v>
      </c>
      <c r="AF100">
        <f t="shared" si="33"/>
        <v>5</v>
      </c>
      <c r="AG100">
        <f t="shared" si="49"/>
        <v>6</v>
      </c>
      <c r="AH100">
        <f>'Assessment Questions'!AK100</f>
        <v>0</v>
      </c>
      <c r="AI100">
        <f>'Assessment Questions'!AL100</f>
        <v>0</v>
      </c>
      <c r="AJ100">
        <f>IF(OR($H100="",$H100="N/A"),"",IF($AH100="",VLOOKUP('Company Profile'!$B$40,_CONFIG_Model_Settings!$A$5:$B$8,2,FALSE),IFERROR(VLOOKUP($AH100,_CONFIG_Model_Settings!$A$5:$B$8,2,FALSE),0.9)))</f>
        <v>0.9</v>
      </c>
      <c r="AK100">
        <f>IF(OR($H100="",$H100="N/A"),"",IF($AI100="",VLOOKUP('Company Profile'!$B$41,_CONFIG_Model_Settings!$A$5:$B$8,2,FALSE),IFERROR(VLOOKUP($AI100,_CONFIG_Model_Settings!$A$5:$B$8,2,FALSE),0.9)))</f>
        <v>0.9</v>
      </c>
      <c r="AL100">
        <f t="shared" si="34"/>
        <v>0</v>
      </c>
      <c r="AM100">
        <f t="shared" si="35"/>
        <v>0</v>
      </c>
      <c r="AN100">
        <f>IFERROR(MIN(5,MAX(0,(SUMIFS(_REF_Model_Content!$D$1:$D$174,_REF_Model_Content!$A$1:$A$174,PV_Canonical_Industry,_REF_Model_Content!$B$1:$B$174,"Finance Procurement"))+IFERROR(VLOOKUP('Company Profile'!$B$35,_CONFIG_Model_Settings!$A$11:$B$13,2,0),0))),"")</f>
        <v>0</v>
      </c>
      <c r="AO100">
        <f t="shared" si="36"/>
        <v>0</v>
      </c>
      <c r="AP100">
        <f>IFERROR(SUMIFS(_REF_Model_Content!$E$1:$E$174,_REF_Model_Content!$A$1:$A$174,PV_Canonical_Industry,_REF_Model_Content!$B$1:$B$174,"Finance Procurement"),1)</f>
        <v>0</v>
      </c>
      <c r="AQ100">
        <f t="shared" si="37"/>
        <v>0</v>
      </c>
      <c r="AR100" t="str">
        <f t="shared" si="38"/>
        <v>Within target</v>
      </c>
      <c r="AS100">
        <f t="shared" si="39"/>
        <v>0</v>
      </c>
      <c r="AT100">
        <f t="shared" si="40"/>
        <v>0.9</v>
      </c>
      <c r="AU100">
        <f>'Assessment Questions'!AX100</f>
        <v>0</v>
      </c>
      <c r="AV100">
        <f t="shared" si="41"/>
        <v>0.9</v>
      </c>
      <c r="AW100" t="s">
        <v>1401</v>
      </c>
      <c r="AX100" t="s">
        <v>1401</v>
      </c>
      <c r="AY100">
        <v>7</v>
      </c>
      <c r="AZ100">
        <v>100</v>
      </c>
    </row>
    <row r="101" spans="1:52">
      <c r="A101" t="s">
        <v>1423</v>
      </c>
      <c r="B101" t="s">
        <v>1403</v>
      </c>
      <c r="C101" t="s">
        <v>1424</v>
      </c>
      <c r="D101" t="s">
        <v>1405</v>
      </c>
      <c r="E101" t="s">
        <v>1406</v>
      </c>
      <c r="F101" t="s">
        <v>1425</v>
      </c>
      <c r="G101">
        <f>'Assessment Questions'!J101</f>
        <v>5</v>
      </c>
      <c r="H101">
        <f t="shared" si="27"/>
        <v>0</v>
      </c>
      <c r="I101">
        <f t="shared" si="28"/>
        <v>0</v>
      </c>
      <c r="J101">
        <f t="shared" si="29"/>
        <v>5</v>
      </c>
      <c r="K101">
        <f t="shared" si="30"/>
        <v>5</v>
      </c>
      <c r="L101" t="str">
        <f t="shared" si="31"/>
        <v>Critical</v>
      </c>
      <c r="M101" t="s">
        <v>1051</v>
      </c>
      <c r="N101" t="s">
        <v>1052</v>
      </c>
      <c r="O101" t="s">
        <v>1053</v>
      </c>
      <c r="P101" t="s">
        <v>1054</v>
      </c>
      <c r="Q101" t="s">
        <v>1055</v>
      </c>
      <c r="R101" t="s">
        <v>1056</v>
      </c>
      <c r="S101" t="s">
        <v>1408</v>
      </c>
      <c r="T101">
        <f>'Assessment Questions'!W101</f>
        <v>0</v>
      </c>
      <c r="U101">
        <f>'Assessment Questions'!X101</f>
        <v>0</v>
      </c>
      <c r="V101" t="str">
        <f>'Assessment Questions'!Y101</f>
        <v>Use the recommended action generated by the model; validate with domain owner during real assessment.</v>
      </c>
      <c r="W101">
        <v>4</v>
      </c>
      <c r="X101">
        <v>5</v>
      </c>
      <c r="Y101">
        <v>5</v>
      </c>
      <c r="Z101">
        <f>'Assessment Questions'!AC101</f>
        <v>0</v>
      </c>
      <c r="AA101" t="s">
        <v>1426</v>
      </c>
      <c r="AB101">
        <f t="shared" si="46"/>
        <v>6</v>
      </c>
      <c r="AC101">
        <f t="shared" si="47"/>
        <v>0</v>
      </c>
      <c r="AD101">
        <f t="shared" si="32"/>
        <v>0</v>
      </c>
      <c r="AE101">
        <f t="shared" si="48"/>
        <v>6</v>
      </c>
      <c r="AF101">
        <f t="shared" si="33"/>
        <v>5</v>
      </c>
      <c r="AG101">
        <f t="shared" si="49"/>
        <v>6</v>
      </c>
      <c r="AH101">
        <f>'Assessment Questions'!AK101</f>
        <v>0</v>
      </c>
      <c r="AI101">
        <f>'Assessment Questions'!AL101</f>
        <v>0</v>
      </c>
      <c r="AJ101">
        <f>IF(OR($H101="",$H101="N/A"),"",IF($AH101="",VLOOKUP('Company Profile'!$B$40,_CONFIG_Model_Settings!$A$5:$B$8,2,FALSE),IFERROR(VLOOKUP($AH101,_CONFIG_Model_Settings!$A$5:$B$8,2,FALSE),0.9)))</f>
        <v>0.9</v>
      </c>
      <c r="AK101">
        <f>IF(OR($H101="",$H101="N/A"),"",IF($AI101="",VLOOKUP('Company Profile'!$B$41,_CONFIG_Model_Settings!$A$5:$B$8,2,FALSE),IFERROR(VLOOKUP($AI101,_CONFIG_Model_Settings!$A$5:$B$8,2,FALSE),0.9)))</f>
        <v>0.9</v>
      </c>
      <c r="AL101">
        <f t="shared" si="34"/>
        <v>0</v>
      </c>
      <c r="AM101">
        <f t="shared" si="35"/>
        <v>0</v>
      </c>
      <c r="AN101">
        <f>IFERROR(MIN(5,MAX(0,(SUMIFS(_REF_Model_Content!$D$1:$D$174,_REF_Model_Content!$A$1:$A$174,PV_Canonical_Industry,_REF_Model_Content!$B$1:$B$174,"Finance Procurement"))+IFERROR(VLOOKUP('Company Profile'!$B$35,_CONFIG_Model_Settings!$A$11:$B$13,2,0),0))),"")</f>
        <v>0</v>
      </c>
      <c r="AO101">
        <f t="shared" si="36"/>
        <v>0</v>
      </c>
      <c r="AP101">
        <f>IFERROR(SUMIFS(_REF_Model_Content!$E$1:$E$174,_REF_Model_Content!$A$1:$A$174,PV_Canonical_Industry,_REF_Model_Content!$B$1:$B$174,"Finance Procurement"),1)</f>
        <v>0</v>
      </c>
      <c r="AQ101">
        <f t="shared" si="37"/>
        <v>0</v>
      </c>
      <c r="AR101" t="str">
        <f t="shared" si="38"/>
        <v>Within target</v>
      </c>
      <c r="AS101">
        <f t="shared" si="39"/>
        <v>0</v>
      </c>
      <c r="AT101">
        <f t="shared" si="40"/>
        <v>0.9</v>
      </c>
      <c r="AU101">
        <f>'Assessment Questions'!AX101</f>
        <v>0</v>
      </c>
      <c r="AV101">
        <f t="shared" si="41"/>
        <v>0.9</v>
      </c>
      <c r="AW101" t="s">
        <v>1401</v>
      </c>
      <c r="AX101" t="s">
        <v>1401</v>
      </c>
      <c r="AY101">
        <v>8</v>
      </c>
      <c r="AZ101">
        <v>101</v>
      </c>
    </row>
    <row r="102" spans="1:52">
      <c r="A102" t="s">
        <v>1427</v>
      </c>
      <c r="B102" t="s">
        <v>1403</v>
      </c>
      <c r="C102" t="s">
        <v>1428</v>
      </c>
      <c r="D102" t="s">
        <v>1405</v>
      </c>
      <c r="E102" t="s">
        <v>1406</v>
      </c>
      <c r="F102" t="s">
        <v>1429</v>
      </c>
      <c r="G102">
        <f>'Assessment Questions'!J102</f>
        <v>3</v>
      </c>
      <c r="H102">
        <f t="shared" si="27"/>
        <v>0</v>
      </c>
      <c r="I102">
        <f t="shared" si="28"/>
        <v>0</v>
      </c>
      <c r="J102">
        <f t="shared" si="29"/>
        <v>3</v>
      </c>
      <c r="K102">
        <f t="shared" si="30"/>
        <v>3</v>
      </c>
      <c r="L102" t="str">
        <f t="shared" si="31"/>
        <v>Critical</v>
      </c>
      <c r="M102" t="s">
        <v>1430</v>
      </c>
      <c r="N102" t="s">
        <v>1431</v>
      </c>
      <c r="O102" t="s">
        <v>1432</v>
      </c>
      <c r="P102" t="s">
        <v>1433</v>
      </c>
      <c r="Q102" t="s">
        <v>1434</v>
      </c>
      <c r="R102" t="s">
        <v>1435</v>
      </c>
      <c r="S102" t="s">
        <v>1408</v>
      </c>
      <c r="T102">
        <f>'Assessment Questions'!W102</f>
        <v>0</v>
      </c>
      <c r="U102">
        <f>'Assessment Questions'!X102</f>
        <v>0</v>
      </c>
      <c r="V102" t="str">
        <f>'Assessment Questions'!Y102</f>
        <v>Use the recommended action generated by the model; validate with domain owner during real assessment.</v>
      </c>
      <c r="W102">
        <v>4</v>
      </c>
      <c r="X102">
        <v>5</v>
      </c>
      <c r="Y102">
        <v>5</v>
      </c>
      <c r="Z102">
        <f>'Assessment Questions'!AC102</f>
        <v>0</v>
      </c>
      <c r="AB102">
        <f t="shared" si="46"/>
        <v>0</v>
      </c>
      <c r="AC102">
        <f t="shared" si="47"/>
        <v>0</v>
      </c>
      <c r="AD102">
        <f t="shared" si="32"/>
        <v>0</v>
      </c>
      <c r="AE102">
        <f t="shared" si="48"/>
        <v>0</v>
      </c>
      <c r="AF102">
        <f t="shared" si="33"/>
        <v>5</v>
      </c>
      <c r="AG102">
        <f t="shared" si="49"/>
        <v>0</v>
      </c>
      <c r="AH102">
        <f>'Assessment Questions'!AK102</f>
        <v>0</v>
      </c>
      <c r="AI102">
        <f>'Assessment Questions'!AL102</f>
        <v>0</v>
      </c>
      <c r="AJ102">
        <f>IF(OR($H102="",$H102="N/A"),"",IF($AH102="",VLOOKUP('Company Profile'!$B$40,_CONFIG_Model_Settings!$A$5:$B$8,2,FALSE),IFERROR(VLOOKUP($AH102,_CONFIG_Model_Settings!$A$5:$B$8,2,FALSE),0.9)))</f>
        <v>0.9</v>
      </c>
      <c r="AK102">
        <f>IF(OR($H102="",$H102="N/A"),"",IF($AI102="",VLOOKUP('Company Profile'!$B$41,_CONFIG_Model_Settings!$A$5:$B$8,2,FALSE),IFERROR(VLOOKUP($AI102,_CONFIG_Model_Settings!$A$5:$B$8,2,FALSE),0.9)))</f>
        <v>0.9</v>
      </c>
      <c r="AL102">
        <f t="shared" si="34"/>
        <v>0</v>
      </c>
      <c r="AM102">
        <f t="shared" si="35"/>
        <v>0</v>
      </c>
      <c r="AN102">
        <f>IFERROR(MIN(5,MAX(0,(SUMIFS(_REF_Model_Content!$D$1:$D$174,_REF_Model_Content!$A$1:$A$174,PV_Canonical_Industry,_REF_Model_Content!$B$1:$B$174,"Finance Procurement"))+IFERROR(VLOOKUP('Company Profile'!$B$35,_CONFIG_Model_Settings!$A$11:$B$13,2,0),0))),"")</f>
        <v>0</v>
      </c>
      <c r="AO102">
        <f t="shared" si="36"/>
        <v>0</v>
      </c>
      <c r="AP102">
        <f>IFERROR(SUMIFS(_REF_Model_Content!$E$1:$E$174,_REF_Model_Content!$A$1:$A$174,PV_Canonical_Industry,_REF_Model_Content!$B$1:$B$174,"Finance Procurement"),1)</f>
        <v>0</v>
      </c>
      <c r="AQ102">
        <f t="shared" si="37"/>
        <v>0</v>
      </c>
      <c r="AR102" t="str">
        <f t="shared" si="38"/>
        <v>Within target</v>
      </c>
      <c r="AS102">
        <f t="shared" si="39"/>
        <v>0</v>
      </c>
      <c r="AT102">
        <f t="shared" si="40"/>
        <v>0.9</v>
      </c>
      <c r="AU102">
        <f>'Assessment Questions'!AX102</f>
        <v>0</v>
      </c>
      <c r="AV102">
        <f t="shared" si="41"/>
        <v>0.9</v>
      </c>
      <c r="AW102" t="s">
        <v>1401</v>
      </c>
      <c r="AX102" t="s">
        <v>1401</v>
      </c>
      <c r="AY102">
        <v>9</v>
      </c>
      <c r="AZ102">
        <v>102</v>
      </c>
    </row>
    <row r="103" spans="1:52">
      <c r="A103" t="s">
        <v>1436</v>
      </c>
      <c r="B103" t="s">
        <v>1403</v>
      </c>
      <c r="C103" t="s">
        <v>1437</v>
      </c>
      <c r="D103" t="s">
        <v>1405</v>
      </c>
      <c r="E103" t="s">
        <v>1406</v>
      </c>
      <c r="F103" t="s">
        <v>1438</v>
      </c>
      <c r="G103">
        <f>'Assessment Questions'!J103</f>
        <v>5</v>
      </c>
      <c r="H103">
        <f t="shared" si="27"/>
        <v>0</v>
      </c>
      <c r="I103">
        <f t="shared" si="28"/>
        <v>0</v>
      </c>
      <c r="J103">
        <f t="shared" si="29"/>
        <v>5</v>
      </c>
      <c r="K103">
        <f t="shared" si="30"/>
        <v>5</v>
      </c>
      <c r="L103" t="str">
        <f t="shared" si="31"/>
        <v>Critical</v>
      </c>
      <c r="M103" t="s">
        <v>1202</v>
      </c>
      <c r="N103" t="s">
        <v>1203</v>
      </c>
      <c r="O103" t="s">
        <v>1204</v>
      </c>
      <c r="P103" t="s">
        <v>1205</v>
      </c>
      <c r="Q103" t="s">
        <v>1206</v>
      </c>
      <c r="R103" t="s">
        <v>1207</v>
      </c>
      <c r="S103" t="s">
        <v>1408</v>
      </c>
      <c r="T103">
        <f>'Assessment Questions'!W103</f>
        <v>0</v>
      </c>
      <c r="U103">
        <f>'Assessment Questions'!X103</f>
        <v>0</v>
      </c>
      <c r="V103" t="str">
        <f>'Assessment Questions'!Y103</f>
        <v>Use the recommended action generated by the model; validate with domain owner during real assessment.</v>
      </c>
      <c r="W103">
        <v>4</v>
      </c>
      <c r="X103">
        <v>5</v>
      </c>
      <c r="Y103">
        <v>5</v>
      </c>
      <c r="Z103">
        <f>'Assessment Questions'!AC103</f>
        <v>0</v>
      </c>
      <c r="AB103">
        <f t="shared" si="46"/>
        <v>0</v>
      </c>
      <c r="AC103">
        <f t="shared" si="47"/>
        <v>0</v>
      </c>
      <c r="AD103">
        <f t="shared" si="32"/>
        <v>0</v>
      </c>
      <c r="AE103">
        <f t="shared" si="48"/>
        <v>0</v>
      </c>
      <c r="AF103">
        <f t="shared" si="33"/>
        <v>5</v>
      </c>
      <c r="AG103">
        <f t="shared" si="49"/>
        <v>0</v>
      </c>
      <c r="AH103">
        <f>'Assessment Questions'!AK103</f>
        <v>0</v>
      </c>
      <c r="AI103">
        <f>'Assessment Questions'!AL103</f>
        <v>0</v>
      </c>
      <c r="AJ103">
        <f>IF(OR($H103="",$H103="N/A"),"",IF($AH103="",VLOOKUP('Company Profile'!$B$40,_CONFIG_Model_Settings!$A$5:$B$8,2,FALSE),IFERROR(VLOOKUP($AH103,_CONFIG_Model_Settings!$A$5:$B$8,2,FALSE),0.9)))</f>
        <v>0.9</v>
      </c>
      <c r="AK103">
        <f>IF(OR($H103="",$H103="N/A"),"",IF($AI103="",VLOOKUP('Company Profile'!$B$41,_CONFIG_Model_Settings!$A$5:$B$8,2,FALSE),IFERROR(VLOOKUP($AI103,_CONFIG_Model_Settings!$A$5:$B$8,2,FALSE),0.9)))</f>
        <v>0.9</v>
      </c>
      <c r="AL103">
        <f t="shared" si="34"/>
        <v>0</v>
      </c>
      <c r="AM103">
        <f t="shared" si="35"/>
        <v>0</v>
      </c>
      <c r="AN103">
        <f>IFERROR(MIN(5,MAX(0,(SUMIFS(_REF_Model_Content!$D$1:$D$174,_REF_Model_Content!$A$1:$A$174,PV_Canonical_Industry,_REF_Model_Content!$B$1:$B$174,"Finance Procurement"))+IFERROR(VLOOKUP('Company Profile'!$B$35,_CONFIG_Model_Settings!$A$11:$B$13,2,0),0))),"")</f>
        <v>0</v>
      </c>
      <c r="AO103">
        <f t="shared" si="36"/>
        <v>0</v>
      </c>
      <c r="AP103">
        <f>IFERROR(SUMIFS(_REF_Model_Content!$E$1:$E$174,_REF_Model_Content!$A$1:$A$174,PV_Canonical_Industry,_REF_Model_Content!$B$1:$B$174,"Finance Procurement"),1)</f>
        <v>0</v>
      </c>
      <c r="AQ103">
        <f t="shared" si="37"/>
        <v>0</v>
      </c>
      <c r="AR103" t="str">
        <f t="shared" si="38"/>
        <v>Within target</v>
      </c>
      <c r="AS103">
        <f t="shared" si="39"/>
        <v>0</v>
      </c>
      <c r="AT103">
        <f t="shared" si="40"/>
        <v>0.9</v>
      </c>
      <c r="AU103">
        <f>'Assessment Questions'!AX103</f>
        <v>0</v>
      </c>
      <c r="AV103">
        <f t="shared" si="41"/>
        <v>0.9</v>
      </c>
      <c r="AW103" t="s">
        <v>1401</v>
      </c>
      <c r="AX103" t="s">
        <v>1401</v>
      </c>
      <c r="AY103">
        <v>10</v>
      </c>
      <c r="AZ103">
        <v>103</v>
      </c>
    </row>
    <row r="104" spans="1:52">
      <c r="A104" t="s">
        <v>1439</v>
      </c>
      <c r="B104" t="s">
        <v>1412</v>
      </c>
      <c r="C104" t="s">
        <v>1440</v>
      </c>
      <c r="D104" t="s">
        <v>1405</v>
      </c>
      <c r="E104" t="s">
        <v>1406</v>
      </c>
      <c r="F104" t="s">
        <v>1441</v>
      </c>
      <c r="G104">
        <f>'Assessment Questions'!J104</f>
        <v>3</v>
      </c>
      <c r="H104">
        <f t="shared" si="27"/>
        <v>0</v>
      </c>
      <c r="I104">
        <f t="shared" si="28"/>
        <v>0</v>
      </c>
      <c r="J104">
        <f t="shared" si="29"/>
        <v>3</v>
      </c>
      <c r="K104">
        <f t="shared" si="30"/>
        <v>3</v>
      </c>
      <c r="L104" t="str">
        <f t="shared" si="31"/>
        <v>Critical</v>
      </c>
      <c r="M104" t="s">
        <v>1442</v>
      </c>
      <c r="N104" t="s">
        <v>1443</v>
      </c>
      <c r="O104" t="s">
        <v>1444</v>
      </c>
      <c r="P104" t="s">
        <v>1445</v>
      </c>
      <c r="Q104" t="s">
        <v>1446</v>
      </c>
      <c r="R104" t="s">
        <v>1447</v>
      </c>
      <c r="S104" t="s">
        <v>1408</v>
      </c>
      <c r="T104">
        <f>'Assessment Questions'!W104</f>
        <v>0</v>
      </c>
      <c r="U104">
        <f>'Assessment Questions'!X104</f>
        <v>0</v>
      </c>
      <c r="V104" t="str">
        <f>'Assessment Questions'!Y104</f>
        <v>Use the recommended action generated by the model; validate with domain owner during real assessment.</v>
      </c>
      <c r="W104">
        <v>4</v>
      </c>
      <c r="X104">
        <v>5</v>
      </c>
      <c r="Y104">
        <v>5</v>
      </c>
      <c r="Z104">
        <f>'Assessment Questions'!AC104</f>
        <v>0</v>
      </c>
      <c r="AB104">
        <f t="shared" si="46"/>
        <v>0</v>
      </c>
      <c r="AC104">
        <f t="shared" si="47"/>
        <v>0</v>
      </c>
      <c r="AD104">
        <f t="shared" si="32"/>
        <v>0</v>
      </c>
      <c r="AE104">
        <f t="shared" si="48"/>
        <v>0</v>
      </c>
      <c r="AF104">
        <f t="shared" si="33"/>
        <v>5</v>
      </c>
      <c r="AG104">
        <f t="shared" si="49"/>
        <v>0</v>
      </c>
      <c r="AH104">
        <f>'Assessment Questions'!AK104</f>
        <v>0</v>
      </c>
      <c r="AI104">
        <f>'Assessment Questions'!AL104</f>
        <v>0</v>
      </c>
      <c r="AJ104">
        <f>IF(OR($H104="",$H104="N/A"),"",IF($AH104="",VLOOKUP('Company Profile'!$B$40,_CONFIG_Model_Settings!$A$5:$B$8,2,FALSE),IFERROR(VLOOKUP($AH104,_CONFIG_Model_Settings!$A$5:$B$8,2,FALSE),0.9)))</f>
        <v>0.9</v>
      </c>
      <c r="AK104">
        <f>IF(OR($H104="",$H104="N/A"),"",IF($AI104="",VLOOKUP('Company Profile'!$B$41,_CONFIG_Model_Settings!$A$5:$B$8,2,FALSE),IFERROR(VLOOKUP($AI104,_CONFIG_Model_Settings!$A$5:$B$8,2,FALSE),0.9)))</f>
        <v>0.9</v>
      </c>
      <c r="AL104">
        <f t="shared" si="34"/>
        <v>0</v>
      </c>
      <c r="AM104">
        <f t="shared" si="35"/>
        <v>0</v>
      </c>
      <c r="AN104">
        <f>IFERROR(MIN(5,MAX(0,(SUMIFS(_REF_Model_Content!$D$1:$D$174,_REF_Model_Content!$A$1:$A$174,PV_Canonical_Industry,_REF_Model_Content!$B$1:$B$174,"Finance Procurement"))+IFERROR(VLOOKUP('Company Profile'!$B$35,_CONFIG_Model_Settings!$A$11:$B$13,2,0),0))),"")</f>
        <v>0</v>
      </c>
      <c r="AO104">
        <f t="shared" si="36"/>
        <v>0</v>
      </c>
      <c r="AP104">
        <f>IFERROR(SUMIFS(_REF_Model_Content!$E$1:$E$174,_REF_Model_Content!$A$1:$A$174,PV_Canonical_Industry,_REF_Model_Content!$B$1:$B$174,"Finance Procurement"),1)</f>
        <v>0</v>
      </c>
      <c r="AQ104">
        <f t="shared" si="37"/>
        <v>0</v>
      </c>
      <c r="AR104" t="str">
        <f t="shared" si="38"/>
        <v>Within target</v>
      </c>
      <c r="AS104">
        <f t="shared" si="39"/>
        <v>0</v>
      </c>
      <c r="AT104">
        <f t="shared" si="40"/>
        <v>0.9</v>
      </c>
      <c r="AU104">
        <f>'Assessment Questions'!AX104</f>
        <v>0</v>
      </c>
      <c r="AV104">
        <f t="shared" si="41"/>
        <v>0.9</v>
      </c>
      <c r="AW104" t="s">
        <v>1401</v>
      </c>
      <c r="AX104" t="s">
        <v>1401</v>
      </c>
      <c r="AY104">
        <v>11</v>
      </c>
      <c r="AZ104">
        <v>104</v>
      </c>
    </row>
    <row r="105" spans="1:52">
      <c r="A105" t="s">
        <v>1448</v>
      </c>
      <c r="B105" t="s">
        <v>1412</v>
      </c>
      <c r="C105" t="s">
        <v>1449</v>
      </c>
      <c r="D105" t="s">
        <v>1405</v>
      </c>
      <c r="E105" t="s">
        <v>1406</v>
      </c>
      <c r="F105" t="s">
        <v>1450</v>
      </c>
      <c r="G105">
        <f>'Assessment Questions'!J105</f>
        <v>5</v>
      </c>
      <c r="H105">
        <f t="shared" si="27"/>
        <v>0</v>
      </c>
      <c r="I105">
        <f t="shared" si="28"/>
        <v>0</v>
      </c>
      <c r="J105">
        <f t="shared" si="29"/>
        <v>5</v>
      </c>
      <c r="K105">
        <f t="shared" si="30"/>
        <v>5</v>
      </c>
      <c r="L105" t="str">
        <f t="shared" si="31"/>
        <v>Critical</v>
      </c>
      <c r="M105" t="s">
        <v>833</v>
      </c>
      <c r="N105" t="s">
        <v>834</v>
      </c>
      <c r="O105" t="s">
        <v>835</v>
      </c>
      <c r="P105" t="s">
        <v>836</v>
      </c>
      <c r="Q105" t="s">
        <v>837</v>
      </c>
      <c r="R105" t="s">
        <v>838</v>
      </c>
      <c r="S105" t="s">
        <v>1408</v>
      </c>
      <c r="T105">
        <f>'Assessment Questions'!W105</f>
        <v>0</v>
      </c>
      <c r="U105">
        <f>'Assessment Questions'!X105</f>
        <v>0</v>
      </c>
      <c r="V105" t="str">
        <f>'Assessment Questions'!Y105</f>
        <v>Use the recommended action generated by the model; validate with domain owner during real assessment.</v>
      </c>
      <c r="W105">
        <v>5</v>
      </c>
      <c r="X105">
        <v>5</v>
      </c>
      <c r="Y105">
        <v>5</v>
      </c>
      <c r="Z105">
        <f>'Assessment Questions'!AC105</f>
        <v>0</v>
      </c>
      <c r="AB105">
        <f t="shared" si="46"/>
        <v>0</v>
      </c>
      <c r="AC105">
        <f t="shared" si="47"/>
        <v>0</v>
      </c>
      <c r="AD105">
        <f t="shared" si="32"/>
        <v>0</v>
      </c>
      <c r="AE105">
        <f t="shared" si="48"/>
        <v>0</v>
      </c>
      <c r="AF105">
        <f t="shared" si="33"/>
        <v>5</v>
      </c>
      <c r="AG105">
        <f t="shared" si="49"/>
        <v>0</v>
      </c>
      <c r="AH105">
        <f>'Assessment Questions'!AK105</f>
        <v>0</v>
      </c>
      <c r="AI105">
        <f>'Assessment Questions'!AL105</f>
        <v>0</v>
      </c>
      <c r="AJ105">
        <f>IF(OR($H105="",$H105="N/A"),"",IF($AH105="",VLOOKUP('Company Profile'!$B$40,_CONFIG_Model_Settings!$A$5:$B$8,2,FALSE),IFERROR(VLOOKUP($AH105,_CONFIG_Model_Settings!$A$5:$B$8,2,FALSE),0.9)))</f>
        <v>0.9</v>
      </c>
      <c r="AK105">
        <f>IF(OR($H105="",$H105="N/A"),"",IF($AI105="",VLOOKUP('Company Profile'!$B$41,_CONFIG_Model_Settings!$A$5:$B$8,2,FALSE),IFERROR(VLOOKUP($AI105,_CONFIG_Model_Settings!$A$5:$B$8,2,FALSE),0.9)))</f>
        <v>0.9</v>
      </c>
      <c r="AL105">
        <f t="shared" si="34"/>
        <v>0</v>
      </c>
      <c r="AM105">
        <f t="shared" si="35"/>
        <v>0</v>
      </c>
      <c r="AN105">
        <f>IFERROR(MIN(5,MAX(0,(SUMIFS(_REF_Model_Content!$D$1:$D$174,_REF_Model_Content!$A$1:$A$174,PV_Canonical_Industry,_REF_Model_Content!$B$1:$B$174,"Finance Procurement"))+IFERROR(VLOOKUP('Company Profile'!$B$35,_CONFIG_Model_Settings!$A$11:$B$13,2,0),0))),"")</f>
        <v>0</v>
      </c>
      <c r="AO105">
        <f t="shared" si="36"/>
        <v>0</v>
      </c>
      <c r="AP105">
        <f>IFERROR(SUMIFS(_REF_Model_Content!$E$1:$E$174,_REF_Model_Content!$A$1:$A$174,PV_Canonical_Industry,_REF_Model_Content!$B$1:$B$174,"Finance Procurement"),1)</f>
        <v>0</v>
      </c>
      <c r="AQ105">
        <f t="shared" si="37"/>
        <v>0</v>
      </c>
      <c r="AR105" t="str">
        <f t="shared" si="38"/>
        <v>Within target</v>
      </c>
      <c r="AS105">
        <f t="shared" si="39"/>
        <v>0</v>
      </c>
      <c r="AT105">
        <f t="shared" si="40"/>
        <v>0.9</v>
      </c>
      <c r="AU105">
        <f>'Assessment Questions'!AX105</f>
        <v>0</v>
      </c>
      <c r="AV105">
        <f t="shared" si="41"/>
        <v>0.9</v>
      </c>
      <c r="AW105" t="s">
        <v>1401</v>
      </c>
      <c r="AX105" t="s">
        <v>1401</v>
      </c>
      <c r="AY105">
        <v>12</v>
      </c>
      <c r="AZ105">
        <v>105</v>
      </c>
    </row>
    <row r="106" spans="1:52">
      <c r="A106" t="s">
        <v>1451</v>
      </c>
      <c r="B106" t="s">
        <v>1412</v>
      </c>
      <c r="C106" t="s">
        <v>1452</v>
      </c>
      <c r="D106" t="s">
        <v>1405</v>
      </c>
      <c r="E106" t="s">
        <v>1406</v>
      </c>
      <c r="F106" t="s">
        <v>1453</v>
      </c>
      <c r="G106">
        <f>'Assessment Questions'!J106</f>
        <v>5</v>
      </c>
      <c r="H106">
        <f t="shared" si="27"/>
        <v>0</v>
      </c>
      <c r="I106">
        <f t="shared" si="28"/>
        <v>0</v>
      </c>
      <c r="J106">
        <f t="shared" si="29"/>
        <v>5</v>
      </c>
      <c r="K106">
        <f t="shared" si="30"/>
        <v>5</v>
      </c>
      <c r="L106" t="str">
        <f t="shared" si="31"/>
        <v>Critical</v>
      </c>
      <c r="M106" t="s">
        <v>833</v>
      </c>
      <c r="N106" t="s">
        <v>834</v>
      </c>
      <c r="O106" t="s">
        <v>835</v>
      </c>
      <c r="P106" t="s">
        <v>836</v>
      </c>
      <c r="Q106" t="s">
        <v>837</v>
      </c>
      <c r="R106" t="s">
        <v>838</v>
      </c>
      <c r="S106" t="s">
        <v>1408</v>
      </c>
      <c r="T106">
        <f>'Assessment Questions'!W106</f>
        <v>0</v>
      </c>
      <c r="U106">
        <f>'Assessment Questions'!X106</f>
        <v>0</v>
      </c>
      <c r="V106" t="str">
        <f>'Assessment Questions'!Y106</f>
        <v>Use the recommended action generated by the model; validate with domain owner during real assessment.</v>
      </c>
      <c r="W106">
        <v>4</v>
      </c>
      <c r="X106">
        <v>5</v>
      </c>
      <c r="Y106">
        <v>5</v>
      </c>
      <c r="Z106">
        <f>'Assessment Questions'!AC106</f>
        <v>0</v>
      </c>
      <c r="AB106">
        <f t="shared" si="46"/>
        <v>0</v>
      </c>
      <c r="AC106">
        <f t="shared" si="47"/>
        <v>0</v>
      </c>
      <c r="AD106">
        <f t="shared" si="32"/>
        <v>0</v>
      </c>
      <c r="AE106">
        <f t="shared" si="48"/>
        <v>0</v>
      </c>
      <c r="AF106">
        <f t="shared" si="33"/>
        <v>5</v>
      </c>
      <c r="AG106">
        <f t="shared" si="49"/>
        <v>0</v>
      </c>
      <c r="AH106">
        <f>'Assessment Questions'!AK106</f>
        <v>0</v>
      </c>
      <c r="AI106">
        <f>'Assessment Questions'!AL106</f>
        <v>0</v>
      </c>
      <c r="AJ106">
        <f>IF(OR($H106="",$H106="N/A"),"",IF($AH106="",VLOOKUP('Company Profile'!$B$40,_CONFIG_Model_Settings!$A$5:$B$8,2,FALSE),IFERROR(VLOOKUP($AH106,_CONFIG_Model_Settings!$A$5:$B$8,2,FALSE),0.9)))</f>
        <v>0.9</v>
      </c>
      <c r="AK106">
        <f>IF(OR($H106="",$H106="N/A"),"",IF($AI106="",VLOOKUP('Company Profile'!$B$41,_CONFIG_Model_Settings!$A$5:$B$8,2,FALSE),IFERROR(VLOOKUP($AI106,_CONFIG_Model_Settings!$A$5:$B$8,2,FALSE),0.9)))</f>
        <v>0.9</v>
      </c>
      <c r="AL106">
        <f t="shared" si="34"/>
        <v>0</v>
      </c>
      <c r="AM106">
        <f t="shared" si="35"/>
        <v>0</v>
      </c>
      <c r="AN106">
        <f>IFERROR(MIN(5,MAX(0,(SUMIFS(_REF_Model_Content!$D$1:$D$174,_REF_Model_Content!$A$1:$A$174,PV_Canonical_Industry,_REF_Model_Content!$B$1:$B$174,"Finance Procurement"))+IFERROR(VLOOKUP('Company Profile'!$B$35,_CONFIG_Model_Settings!$A$11:$B$13,2,0),0))),"")</f>
        <v>0</v>
      </c>
      <c r="AO106">
        <f t="shared" si="36"/>
        <v>0</v>
      </c>
      <c r="AP106">
        <f>IFERROR(SUMIFS(_REF_Model_Content!$E$1:$E$174,_REF_Model_Content!$A$1:$A$174,PV_Canonical_Industry,_REF_Model_Content!$B$1:$B$174,"Finance Procurement"),1)</f>
        <v>0</v>
      </c>
      <c r="AQ106">
        <f t="shared" si="37"/>
        <v>0</v>
      </c>
      <c r="AR106" t="str">
        <f t="shared" si="38"/>
        <v>Within target</v>
      </c>
      <c r="AS106">
        <f t="shared" si="39"/>
        <v>0</v>
      </c>
      <c r="AT106">
        <f t="shared" si="40"/>
        <v>0.9</v>
      </c>
      <c r="AU106">
        <f>'Assessment Questions'!AX106</f>
        <v>0</v>
      </c>
      <c r="AV106">
        <f t="shared" si="41"/>
        <v>0.9</v>
      </c>
      <c r="AW106" t="s">
        <v>1401</v>
      </c>
      <c r="AX106" t="s">
        <v>1401</v>
      </c>
      <c r="AY106">
        <v>13</v>
      </c>
      <c r="AZ106">
        <v>106</v>
      </c>
    </row>
    <row r="107" spans="1:52">
      <c r="A107" t="s">
        <v>1454</v>
      </c>
      <c r="B107" t="s">
        <v>1412</v>
      </c>
      <c r="C107" t="s">
        <v>1455</v>
      </c>
      <c r="D107" t="s">
        <v>1405</v>
      </c>
      <c r="E107" t="s">
        <v>1406</v>
      </c>
      <c r="F107" t="s">
        <v>1456</v>
      </c>
      <c r="G107">
        <f>'Assessment Questions'!J107</f>
        <v>5</v>
      </c>
      <c r="H107">
        <f t="shared" si="27"/>
        <v>0</v>
      </c>
      <c r="I107">
        <f t="shared" si="28"/>
        <v>0</v>
      </c>
      <c r="J107">
        <f t="shared" si="29"/>
        <v>5</v>
      </c>
      <c r="K107">
        <f t="shared" si="30"/>
        <v>5</v>
      </c>
      <c r="L107" t="str">
        <f t="shared" si="31"/>
        <v>Critical</v>
      </c>
      <c r="M107" t="s">
        <v>874</v>
      </c>
      <c r="N107" t="s">
        <v>875</v>
      </c>
      <c r="O107" t="s">
        <v>876</v>
      </c>
      <c r="P107" t="s">
        <v>877</v>
      </c>
      <c r="Q107" t="s">
        <v>878</v>
      </c>
      <c r="R107" t="s">
        <v>879</v>
      </c>
      <c r="S107" t="s">
        <v>1408</v>
      </c>
      <c r="T107">
        <f>'Assessment Questions'!W107</f>
        <v>0</v>
      </c>
      <c r="U107">
        <f>'Assessment Questions'!X107</f>
        <v>0</v>
      </c>
      <c r="V107" t="str">
        <f>'Assessment Questions'!Y107</f>
        <v>Use the recommended action generated by the model; validate with domain owner during real assessment.</v>
      </c>
      <c r="W107">
        <v>4</v>
      </c>
      <c r="X107">
        <v>5</v>
      </c>
      <c r="Y107">
        <v>5</v>
      </c>
      <c r="Z107">
        <f>'Assessment Questions'!AC107</f>
        <v>0</v>
      </c>
      <c r="AB107">
        <f t="shared" si="46"/>
        <v>0</v>
      </c>
      <c r="AC107">
        <f t="shared" si="47"/>
        <v>0</v>
      </c>
      <c r="AD107">
        <f t="shared" si="32"/>
        <v>0</v>
      </c>
      <c r="AE107">
        <f t="shared" si="48"/>
        <v>0</v>
      </c>
      <c r="AF107">
        <f t="shared" si="33"/>
        <v>5</v>
      </c>
      <c r="AG107">
        <f t="shared" si="49"/>
        <v>0</v>
      </c>
      <c r="AH107">
        <f>'Assessment Questions'!AK107</f>
        <v>0</v>
      </c>
      <c r="AI107">
        <f>'Assessment Questions'!AL107</f>
        <v>0</v>
      </c>
      <c r="AJ107">
        <f>IF(OR($H107="",$H107="N/A"),"",IF($AH107="",VLOOKUP('Company Profile'!$B$40,_CONFIG_Model_Settings!$A$5:$B$8,2,FALSE),IFERROR(VLOOKUP($AH107,_CONFIG_Model_Settings!$A$5:$B$8,2,FALSE),0.9)))</f>
        <v>0.9</v>
      </c>
      <c r="AK107">
        <f>IF(OR($H107="",$H107="N/A"),"",IF($AI107="",VLOOKUP('Company Profile'!$B$41,_CONFIG_Model_Settings!$A$5:$B$8,2,FALSE),IFERROR(VLOOKUP($AI107,_CONFIG_Model_Settings!$A$5:$B$8,2,FALSE),0.9)))</f>
        <v>0.9</v>
      </c>
      <c r="AL107">
        <f t="shared" si="34"/>
        <v>0</v>
      </c>
      <c r="AM107">
        <f t="shared" si="35"/>
        <v>0</v>
      </c>
      <c r="AN107">
        <f>IFERROR(MIN(5,MAX(0,(SUMIFS(_REF_Model_Content!$D$1:$D$174,_REF_Model_Content!$A$1:$A$174,PV_Canonical_Industry,_REF_Model_Content!$B$1:$B$174,"Finance Procurement"))+IFERROR(VLOOKUP('Company Profile'!$B$35,_CONFIG_Model_Settings!$A$11:$B$13,2,0),0))),"")</f>
        <v>0</v>
      </c>
      <c r="AO107">
        <f t="shared" si="36"/>
        <v>0</v>
      </c>
      <c r="AP107">
        <f>IFERROR(SUMIFS(_REF_Model_Content!$E$1:$E$174,_REF_Model_Content!$A$1:$A$174,PV_Canonical_Industry,_REF_Model_Content!$B$1:$B$174,"Finance Procurement"),1)</f>
        <v>0</v>
      </c>
      <c r="AQ107">
        <f t="shared" si="37"/>
        <v>0</v>
      </c>
      <c r="AR107" t="str">
        <f t="shared" si="38"/>
        <v>Within target</v>
      </c>
      <c r="AS107">
        <f t="shared" si="39"/>
        <v>0</v>
      </c>
      <c r="AT107">
        <f t="shared" si="40"/>
        <v>0.9</v>
      </c>
      <c r="AU107">
        <f>'Assessment Questions'!AX107</f>
        <v>0</v>
      </c>
      <c r="AV107">
        <f t="shared" si="41"/>
        <v>0.9</v>
      </c>
      <c r="AW107" t="s">
        <v>1401</v>
      </c>
      <c r="AX107" t="s">
        <v>1401</v>
      </c>
      <c r="AY107">
        <v>14</v>
      </c>
      <c r="AZ107">
        <v>107</v>
      </c>
    </row>
    <row r="108" spans="1:52">
      <c r="A108" t="s">
        <v>1457</v>
      </c>
      <c r="B108" t="s">
        <v>1412</v>
      </c>
      <c r="C108" t="s">
        <v>1458</v>
      </c>
      <c r="D108" t="s">
        <v>1405</v>
      </c>
      <c r="E108" t="s">
        <v>1406</v>
      </c>
      <c r="F108" t="s">
        <v>1459</v>
      </c>
      <c r="G108">
        <f>'Assessment Questions'!J108</f>
        <v>5</v>
      </c>
      <c r="H108">
        <f t="shared" si="27"/>
        <v>0</v>
      </c>
      <c r="I108">
        <f t="shared" si="28"/>
        <v>0</v>
      </c>
      <c r="J108">
        <f t="shared" si="29"/>
        <v>5</v>
      </c>
      <c r="K108">
        <f t="shared" si="30"/>
        <v>5</v>
      </c>
      <c r="L108" t="str">
        <f t="shared" si="31"/>
        <v>Critical</v>
      </c>
      <c r="M108" t="s">
        <v>833</v>
      </c>
      <c r="N108" t="s">
        <v>834</v>
      </c>
      <c r="O108" t="s">
        <v>835</v>
      </c>
      <c r="P108" t="s">
        <v>836</v>
      </c>
      <c r="Q108" t="s">
        <v>837</v>
      </c>
      <c r="R108" t="s">
        <v>838</v>
      </c>
      <c r="S108" t="s">
        <v>1408</v>
      </c>
      <c r="T108">
        <f>'Assessment Questions'!W108</f>
        <v>0</v>
      </c>
      <c r="U108">
        <f>'Assessment Questions'!X108</f>
        <v>0</v>
      </c>
      <c r="V108" t="str">
        <f>'Assessment Questions'!Y108</f>
        <v>Use the recommended action generated by the model; validate with domain owner during real assessment.</v>
      </c>
      <c r="W108">
        <v>4</v>
      </c>
      <c r="X108">
        <v>5</v>
      </c>
      <c r="Y108">
        <v>5</v>
      </c>
      <c r="Z108">
        <f>'Assessment Questions'!AC108</f>
        <v>0</v>
      </c>
      <c r="AB108">
        <f t="shared" si="46"/>
        <v>0</v>
      </c>
      <c r="AC108">
        <f t="shared" si="47"/>
        <v>0</v>
      </c>
      <c r="AD108">
        <f t="shared" si="32"/>
        <v>0</v>
      </c>
      <c r="AE108">
        <f t="shared" si="48"/>
        <v>0</v>
      </c>
      <c r="AF108">
        <f t="shared" si="33"/>
        <v>5</v>
      </c>
      <c r="AG108">
        <f t="shared" si="49"/>
        <v>0</v>
      </c>
      <c r="AH108">
        <f>'Assessment Questions'!AK108</f>
        <v>0</v>
      </c>
      <c r="AI108">
        <f>'Assessment Questions'!AL108</f>
        <v>0</v>
      </c>
      <c r="AJ108">
        <f>IF(OR($H108="",$H108="N/A"),"",IF($AH108="",VLOOKUP('Company Profile'!$B$40,_CONFIG_Model_Settings!$A$5:$B$8,2,FALSE),IFERROR(VLOOKUP($AH108,_CONFIG_Model_Settings!$A$5:$B$8,2,FALSE),0.9)))</f>
        <v>0.9</v>
      </c>
      <c r="AK108">
        <f>IF(OR($H108="",$H108="N/A"),"",IF($AI108="",VLOOKUP('Company Profile'!$B$41,_CONFIG_Model_Settings!$A$5:$B$8,2,FALSE),IFERROR(VLOOKUP($AI108,_CONFIG_Model_Settings!$A$5:$B$8,2,FALSE),0.9)))</f>
        <v>0.9</v>
      </c>
      <c r="AL108">
        <f t="shared" si="34"/>
        <v>0</v>
      </c>
      <c r="AM108">
        <f t="shared" si="35"/>
        <v>0</v>
      </c>
      <c r="AN108">
        <f>IFERROR(MIN(5,MAX(0,(SUMIFS(_REF_Model_Content!$D$1:$D$174,_REF_Model_Content!$A$1:$A$174,PV_Canonical_Industry,_REF_Model_Content!$B$1:$B$174,"Finance Procurement"))+IFERROR(VLOOKUP('Company Profile'!$B$35,_CONFIG_Model_Settings!$A$11:$B$13,2,0),0))),"")</f>
        <v>0</v>
      </c>
      <c r="AO108">
        <f t="shared" si="36"/>
        <v>0</v>
      </c>
      <c r="AP108">
        <f>IFERROR(SUMIFS(_REF_Model_Content!$E$1:$E$174,_REF_Model_Content!$A$1:$A$174,PV_Canonical_Industry,_REF_Model_Content!$B$1:$B$174,"Finance Procurement"),1)</f>
        <v>0</v>
      </c>
      <c r="AQ108">
        <f t="shared" si="37"/>
        <v>0</v>
      </c>
      <c r="AR108" t="str">
        <f t="shared" si="38"/>
        <v>Within target</v>
      </c>
      <c r="AS108">
        <f t="shared" si="39"/>
        <v>0</v>
      </c>
      <c r="AT108">
        <f t="shared" si="40"/>
        <v>0.9</v>
      </c>
      <c r="AU108">
        <f>'Assessment Questions'!AX108</f>
        <v>0</v>
      </c>
      <c r="AV108">
        <f t="shared" si="41"/>
        <v>0.9</v>
      </c>
      <c r="AW108" t="s">
        <v>1401</v>
      </c>
      <c r="AX108" t="s">
        <v>1401</v>
      </c>
      <c r="AY108">
        <v>15</v>
      </c>
      <c r="AZ108">
        <v>108</v>
      </c>
    </row>
    <row r="109" spans="1:52">
      <c r="A109" t="s">
        <v>1460</v>
      </c>
      <c r="B109" t="s">
        <v>1412</v>
      </c>
      <c r="C109" t="s">
        <v>1461</v>
      </c>
      <c r="D109" t="s">
        <v>1405</v>
      </c>
      <c r="E109" t="s">
        <v>1406</v>
      </c>
      <c r="F109" t="s">
        <v>1462</v>
      </c>
      <c r="G109">
        <f>'Assessment Questions'!J109</f>
        <v>4</v>
      </c>
      <c r="H109">
        <f t="shared" si="27"/>
        <v>0</v>
      </c>
      <c r="I109">
        <f t="shared" si="28"/>
        <v>0</v>
      </c>
      <c r="J109">
        <f t="shared" si="29"/>
        <v>4</v>
      </c>
      <c r="K109">
        <f t="shared" si="30"/>
        <v>4</v>
      </c>
      <c r="L109" t="str">
        <f t="shared" si="31"/>
        <v>Critical</v>
      </c>
      <c r="M109" t="s">
        <v>1463</v>
      </c>
      <c r="N109" t="s">
        <v>1464</v>
      </c>
      <c r="O109" t="s">
        <v>1465</v>
      </c>
      <c r="P109" t="s">
        <v>1466</v>
      </c>
      <c r="Q109" t="s">
        <v>1467</v>
      </c>
      <c r="R109" t="s">
        <v>1468</v>
      </c>
      <c r="S109" t="s">
        <v>1408</v>
      </c>
      <c r="T109">
        <f>'Assessment Questions'!W109</f>
        <v>0</v>
      </c>
      <c r="U109">
        <f>'Assessment Questions'!X109</f>
        <v>0</v>
      </c>
      <c r="V109" t="str">
        <f>'Assessment Questions'!Y109</f>
        <v>Use the recommended action generated by the model; validate with domain owner during real assessment.</v>
      </c>
      <c r="W109">
        <v>5</v>
      </c>
      <c r="X109">
        <v>5</v>
      </c>
      <c r="Y109">
        <v>5</v>
      </c>
      <c r="Z109">
        <f>'Assessment Questions'!AC109</f>
        <v>0</v>
      </c>
      <c r="AB109">
        <f t="shared" si="46"/>
        <v>0</v>
      </c>
      <c r="AC109">
        <f t="shared" si="47"/>
        <v>0</v>
      </c>
      <c r="AD109">
        <f t="shared" si="32"/>
        <v>0</v>
      </c>
      <c r="AE109">
        <f t="shared" si="48"/>
        <v>0</v>
      </c>
      <c r="AF109">
        <f t="shared" si="33"/>
        <v>5</v>
      </c>
      <c r="AG109">
        <f t="shared" si="49"/>
        <v>0</v>
      </c>
      <c r="AH109">
        <f>'Assessment Questions'!AK109</f>
        <v>0</v>
      </c>
      <c r="AI109">
        <f>'Assessment Questions'!AL109</f>
        <v>0</v>
      </c>
      <c r="AJ109">
        <f>IF(OR($H109="",$H109="N/A"),"",IF($AH109="",VLOOKUP('Company Profile'!$B$40,_CONFIG_Model_Settings!$A$5:$B$8,2,FALSE),IFERROR(VLOOKUP($AH109,_CONFIG_Model_Settings!$A$5:$B$8,2,FALSE),0.9)))</f>
        <v>0.9</v>
      </c>
      <c r="AK109">
        <f>IF(OR($H109="",$H109="N/A"),"",IF($AI109="",VLOOKUP('Company Profile'!$B$41,_CONFIG_Model_Settings!$A$5:$B$8,2,FALSE),IFERROR(VLOOKUP($AI109,_CONFIG_Model_Settings!$A$5:$B$8,2,FALSE),0.9)))</f>
        <v>0.9</v>
      </c>
      <c r="AL109">
        <f t="shared" si="34"/>
        <v>0</v>
      </c>
      <c r="AM109">
        <f t="shared" si="35"/>
        <v>0</v>
      </c>
      <c r="AN109">
        <f>IFERROR(MIN(5,MAX(0,(SUMIFS(_REF_Model_Content!$D$1:$D$174,_REF_Model_Content!$A$1:$A$174,PV_Canonical_Industry,_REF_Model_Content!$B$1:$B$174,"Finance Procurement"))+IFERROR(VLOOKUP('Company Profile'!$B$35,_CONFIG_Model_Settings!$A$11:$B$13,2,0),0))),"")</f>
        <v>0</v>
      </c>
      <c r="AO109">
        <f t="shared" si="36"/>
        <v>0</v>
      </c>
      <c r="AP109">
        <f>IFERROR(SUMIFS(_REF_Model_Content!$E$1:$E$174,_REF_Model_Content!$A$1:$A$174,PV_Canonical_Industry,_REF_Model_Content!$B$1:$B$174,"Finance Procurement"),1)</f>
        <v>0</v>
      </c>
      <c r="AQ109">
        <f t="shared" si="37"/>
        <v>0</v>
      </c>
      <c r="AR109" t="str">
        <f t="shared" si="38"/>
        <v>Within target</v>
      </c>
      <c r="AS109">
        <f t="shared" si="39"/>
        <v>0</v>
      </c>
      <c r="AT109">
        <f t="shared" si="40"/>
        <v>0.9</v>
      </c>
      <c r="AU109">
        <f>'Assessment Questions'!AX109</f>
        <v>0</v>
      </c>
      <c r="AV109">
        <f t="shared" si="41"/>
        <v>0.9</v>
      </c>
      <c r="AW109" t="s">
        <v>1401</v>
      </c>
      <c r="AX109" t="s">
        <v>1401</v>
      </c>
      <c r="AY109">
        <v>16</v>
      </c>
      <c r="AZ109">
        <v>109</v>
      </c>
    </row>
    <row r="110" spans="1:52">
      <c r="A110" t="s">
        <v>1469</v>
      </c>
      <c r="B110" t="s">
        <v>1422</v>
      </c>
      <c r="C110" t="s">
        <v>1470</v>
      </c>
      <c r="D110" t="s">
        <v>1405</v>
      </c>
      <c r="E110" t="s">
        <v>1406</v>
      </c>
      <c r="F110" t="s">
        <v>1471</v>
      </c>
      <c r="G110">
        <f>'Assessment Questions'!J110</f>
        <v>3</v>
      </c>
      <c r="H110">
        <f t="shared" si="27"/>
        <v>0</v>
      </c>
      <c r="I110">
        <f t="shared" si="28"/>
        <v>0</v>
      </c>
      <c r="J110">
        <f t="shared" si="29"/>
        <v>3</v>
      </c>
      <c r="K110">
        <f t="shared" si="30"/>
        <v>3</v>
      </c>
      <c r="L110" t="str">
        <f t="shared" si="31"/>
        <v>Critical</v>
      </c>
      <c r="M110" t="s">
        <v>1472</v>
      </c>
      <c r="N110" t="s">
        <v>1473</v>
      </c>
      <c r="O110" t="s">
        <v>1474</v>
      </c>
      <c r="P110" t="s">
        <v>1475</v>
      </c>
      <c r="Q110" t="s">
        <v>1476</v>
      </c>
      <c r="R110" t="s">
        <v>1477</v>
      </c>
      <c r="S110" t="s">
        <v>1408</v>
      </c>
      <c r="T110">
        <f>'Assessment Questions'!W110</f>
        <v>0</v>
      </c>
      <c r="U110">
        <f>'Assessment Questions'!X110</f>
        <v>0</v>
      </c>
      <c r="V110" t="str">
        <f>'Assessment Questions'!Y110</f>
        <v>Use the recommended action generated by the model; validate with domain owner during real assessment.</v>
      </c>
      <c r="W110">
        <v>4</v>
      </c>
      <c r="X110">
        <v>5</v>
      </c>
      <c r="Y110">
        <v>5</v>
      </c>
      <c r="Z110">
        <f>'Assessment Questions'!AC110</f>
        <v>0</v>
      </c>
      <c r="AB110">
        <f t="shared" si="46"/>
        <v>0</v>
      </c>
      <c r="AC110">
        <f t="shared" si="47"/>
        <v>0</v>
      </c>
      <c r="AD110">
        <f t="shared" si="32"/>
        <v>0</v>
      </c>
      <c r="AE110">
        <f t="shared" si="48"/>
        <v>0</v>
      </c>
      <c r="AF110">
        <f t="shared" si="33"/>
        <v>5</v>
      </c>
      <c r="AG110">
        <f t="shared" si="49"/>
        <v>0</v>
      </c>
      <c r="AH110">
        <f>'Assessment Questions'!AK110</f>
        <v>0</v>
      </c>
      <c r="AI110">
        <f>'Assessment Questions'!AL110</f>
        <v>0</v>
      </c>
      <c r="AJ110">
        <f>IF(OR($H110="",$H110="N/A"),"",IF($AH110="",VLOOKUP('Company Profile'!$B$40,_CONFIG_Model_Settings!$A$5:$B$8,2,FALSE),IFERROR(VLOOKUP($AH110,_CONFIG_Model_Settings!$A$5:$B$8,2,FALSE),0.9)))</f>
        <v>0.9</v>
      </c>
      <c r="AK110">
        <f>IF(OR($H110="",$H110="N/A"),"",IF($AI110="",VLOOKUP('Company Profile'!$B$41,_CONFIG_Model_Settings!$A$5:$B$8,2,FALSE),IFERROR(VLOOKUP($AI110,_CONFIG_Model_Settings!$A$5:$B$8,2,FALSE),0.9)))</f>
        <v>0.9</v>
      </c>
      <c r="AL110">
        <f t="shared" si="34"/>
        <v>0</v>
      </c>
      <c r="AM110">
        <f t="shared" si="35"/>
        <v>0</v>
      </c>
      <c r="AN110">
        <f>IFERROR(MIN(5,MAX(0,(SUMIFS(_REF_Model_Content!$D$1:$D$174,_REF_Model_Content!$A$1:$A$174,PV_Canonical_Industry,_REF_Model_Content!$B$1:$B$174,"Finance Procurement"))+IFERROR(VLOOKUP('Company Profile'!$B$35,_CONFIG_Model_Settings!$A$11:$B$13,2,0),0))),"")</f>
        <v>0</v>
      </c>
      <c r="AO110">
        <f t="shared" si="36"/>
        <v>0</v>
      </c>
      <c r="AP110">
        <f>IFERROR(SUMIFS(_REF_Model_Content!$E$1:$E$174,_REF_Model_Content!$A$1:$A$174,PV_Canonical_Industry,_REF_Model_Content!$B$1:$B$174,"Finance Procurement"),1)</f>
        <v>0</v>
      </c>
      <c r="AQ110">
        <f t="shared" si="37"/>
        <v>0</v>
      </c>
      <c r="AR110" t="str">
        <f t="shared" si="38"/>
        <v>Within target</v>
      </c>
      <c r="AS110">
        <f t="shared" si="39"/>
        <v>0</v>
      </c>
      <c r="AT110">
        <f t="shared" si="40"/>
        <v>0.9</v>
      </c>
      <c r="AU110">
        <f>'Assessment Questions'!AX110</f>
        <v>0</v>
      </c>
      <c r="AV110">
        <f t="shared" si="41"/>
        <v>0.9</v>
      </c>
      <c r="AW110" t="s">
        <v>1401</v>
      </c>
      <c r="AX110" t="s">
        <v>1401</v>
      </c>
      <c r="AY110">
        <v>17</v>
      </c>
      <c r="AZ110">
        <v>110</v>
      </c>
    </row>
    <row r="111" spans="1:52">
      <c r="A111" t="s">
        <v>1478</v>
      </c>
      <c r="B111" t="s">
        <v>1422</v>
      </c>
      <c r="C111" t="s">
        <v>1479</v>
      </c>
      <c r="D111" t="s">
        <v>1405</v>
      </c>
      <c r="E111" t="s">
        <v>1406</v>
      </c>
      <c r="F111" t="s">
        <v>1480</v>
      </c>
      <c r="G111">
        <f>'Assessment Questions'!J111</f>
        <v>5</v>
      </c>
      <c r="H111">
        <f t="shared" si="27"/>
        <v>0</v>
      </c>
      <c r="I111">
        <f t="shared" si="28"/>
        <v>0</v>
      </c>
      <c r="J111">
        <f t="shared" si="29"/>
        <v>5</v>
      </c>
      <c r="K111">
        <f t="shared" si="30"/>
        <v>5</v>
      </c>
      <c r="L111" t="str">
        <f t="shared" si="31"/>
        <v>Critical</v>
      </c>
      <c r="M111" t="s">
        <v>833</v>
      </c>
      <c r="N111" t="s">
        <v>834</v>
      </c>
      <c r="O111" t="s">
        <v>835</v>
      </c>
      <c r="P111" t="s">
        <v>836</v>
      </c>
      <c r="Q111" t="s">
        <v>837</v>
      </c>
      <c r="R111" t="s">
        <v>838</v>
      </c>
      <c r="S111" t="s">
        <v>1408</v>
      </c>
      <c r="T111">
        <f>'Assessment Questions'!W111</f>
        <v>0</v>
      </c>
      <c r="U111">
        <f>'Assessment Questions'!X111</f>
        <v>0</v>
      </c>
      <c r="V111" t="str">
        <f>'Assessment Questions'!Y111</f>
        <v>Use the recommended action generated by the model; validate with domain owner during real assessment.</v>
      </c>
      <c r="W111">
        <v>4</v>
      </c>
      <c r="X111">
        <v>5</v>
      </c>
      <c r="Y111">
        <v>5</v>
      </c>
      <c r="Z111">
        <f>'Assessment Questions'!AC111</f>
        <v>0</v>
      </c>
      <c r="AB111">
        <f t="shared" si="46"/>
        <v>0</v>
      </c>
      <c r="AC111">
        <f t="shared" si="47"/>
        <v>0</v>
      </c>
      <c r="AD111">
        <f t="shared" si="32"/>
        <v>0</v>
      </c>
      <c r="AE111">
        <f t="shared" si="48"/>
        <v>0</v>
      </c>
      <c r="AF111">
        <f t="shared" si="33"/>
        <v>5</v>
      </c>
      <c r="AG111">
        <f t="shared" si="49"/>
        <v>0</v>
      </c>
      <c r="AH111">
        <f>'Assessment Questions'!AK111</f>
        <v>0</v>
      </c>
      <c r="AI111">
        <f>'Assessment Questions'!AL111</f>
        <v>0</v>
      </c>
      <c r="AJ111">
        <f>IF(OR($H111="",$H111="N/A"),"",IF($AH111="",VLOOKUP('Company Profile'!$B$40,_CONFIG_Model_Settings!$A$5:$B$8,2,FALSE),IFERROR(VLOOKUP($AH111,_CONFIG_Model_Settings!$A$5:$B$8,2,FALSE),0.9)))</f>
        <v>0.9</v>
      </c>
      <c r="AK111">
        <f>IF(OR($H111="",$H111="N/A"),"",IF($AI111="",VLOOKUP('Company Profile'!$B$41,_CONFIG_Model_Settings!$A$5:$B$8,2,FALSE),IFERROR(VLOOKUP($AI111,_CONFIG_Model_Settings!$A$5:$B$8,2,FALSE),0.9)))</f>
        <v>0.9</v>
      </c>
      <c r="AL111">
        <f t="shared" si="34"/>
        <v>0</v>
      </c>
      <c r="AM111">
        <f t="shared" si="35"/>
        <v>0</v>
      </c>
      <c r="AN111">
        <f>IFERROR(MIN(5,MAX(0,(SUMIFS(_REF_Model_Content!$D$1:$D$174,_REF_Model_Content!$A$1:$A$174,PV_Canonical_Industry,_REF_Model_Content!$B$1:$B$174,"Finance Procurement"))+IFERROR(VLOOKUP('Company Profile'!$B$35,_CONFIG_Model_Settings!$A$11:$B$13,2,0),0))),"")</f>
        <v>0</v>
      </c>
      <c r="AO111">
        <f t="shared" si="36"/>
        <v>0</v>
      </c>
      <c r="AP111">
        <f>IFERROR(SUMIFS(_REF_Model_Content!$E$1:$E$174,_REF_Model_Content!$A$1:$A$174,PV_Canonical_Industry,_REF_Model_Content!$B$1:$B$174,"Finance Procurement"),1)</f>
        <v>0</v>
      </c>
      <c r="AQ111">
        <f t="shared" si="37"/>
        <v>0</v>
      </c>
      <c r="AR111" t="str">
        <f t="shared" si="38"/>
        <v>Within target</v>
      </c>
      <c r="AS111">
        <f t="shared" si="39"/>
        <v>0</v>
      </c>
      <c r="AT111">
        <f t="shared" si="40"/>
        <v>0.9</v>
      </c>
      <c r="AU111">
        <f>'Assessment Questions'!AX111</f>
        <v>0</v>
      </c>
      <c r="AV111">
        <f t="shared" si="41"/>
        <v>0.9</v>
      </c>
      <c r="AW111" t="s">
        <v>1401</v>
      </c>
      <c r="AX111" t="s">
        <v>1401</v>
      </c>
      <c r="AY111">
        <v>18</v>
      </c>
      <c r="AZ111">
        <v>111</v>
      </c>
    </row>
    <row r="112" spans="1:52">
      <c r="A112" t="s">
        <v>1481</v>
      </c>
      <c r="B112" t="s">
        <v>1422</v>
      </c>
      <c r="C112" t="s">
        <v>1482</v>
      </c>
      <c r="D112" t="s">
        <v>1405</v>
      </c>
      <c r="E112" t="s">
        <v>1406</v>
      </c>
      <c r="F112" t="s">
        <v>1483</v>
      </c>
      <c r="G112">
        <f>'Assessment Questions'!J112</f>
        <v>5</v>
      </c>
      <c r="H112">
        <f t="shared" si="27"/>
        <v>0</v>
      </c>
      <c r="I112">
        <f t="shared" si="28"/>
        <v>0</v>
      </c>
      <c r="J112">
        <f t="shared" si="29"/>
        <v>5</v>
      </c>
      <c r="K112">
        <f t="shared" si="30"/>
        <v>5</v>
      </c>
      <c r="L112" t="str">
        <f t="shared" si="31"/>
        <v>Critical</v>
      </c>
      <c r="M112" t="s">
        <v>874</v>
      </c>
      <c r="N112" t="s">
        <v>875</v>
      </c>
      <c r="O112" t="s">
        <v>876</v>
      </c>
      <c r="P112" t="s">
        <v>877</v>
      </c>
      <c r="Q112" t="s">
        <v>878</v>
      </c>
      <c r="R112" t="s">
        <v>879</v>
      </c>
      <c r="S112" t="s">
        <v>1408</v>
      </c>
      <c r="T112">
        <f>'Assessment Questions'!W112</f>
        <v>0</v>
      </c>
      <c r="U112">
        <f>'Assessment Questions'!X112</f>
        <v>0</v>
      </c>
      <c r="V112" t="str">
        <f>'Assessment Questions'!Y112</f>
        <v>Use the recommended action generated by the model; validate with domain owner during real assessment.</v>
      </c>
      <c r="W112">
        <v>4</v>
      </c>
      <c r="X112">
        <v>5</v>
      </c>
      <c r="Y112">
        <v>5</v>
      </c>
      <c r="Z112">
        <f>'Assessment Questions'!AC112</f>
        <v>0</v>
      </c>
      <c r="AB112">
        <f t="shared" si="46"/>
        <v>0</v>
      </c>
      <c r="AC112">
        <f t="shared" si="47"/>
        <v>0</v>
      </c>
      <c r="AD112">
        <f t="shared" si="32"/>
        <v>0</v>
      </c>
      <c r="AE112">
        <f t="shared" si="48"/>
        <v>0</v>
      </c>
      <c r="AF112">
        <f t="shared" si="33"/>
        <v>5</v>
      </c>
      <c r="AG112">
        <f t="shared" si="49"/>
        <v>0</v>
      </c>
      <c r="AH112">
        <f>'Assessment Questions'!AK112</f>
        <v>0</v>
      </c>
      <c r="AI112">
        <f>'Assessment Questions'!AL112</f>
        <v>0</v>
      </c>
      <c r="AJ112">
        <f>IF(OR($H112="",$H112="N/A"),"",IF($AH112="",VLOOKUP('Company Profile'!$B$40,_CONFIG_Model_Settings!$A$5:$B$8,2,FALSE),IFERROR(VLOOKUP($AH112,_CONFIG_Model_Settings!$A$5:$B$8,2,FALSE),0.9)))</f>
        <v>0.9</v>
      </c>
      <c r="AK112">
        <f>IF(OR($H112="",$H112="N/A"),"",IF($AI112="",VLOOKUP('Company Profile'!$B$41,_CONFIG_Model_Settings!$A$5:$B$8,2,FALSE),IFERROR(VLOOKUP($AI112,_CONFIG_Model_Settings!$A$5:$B$8,2,FALSE),0.9)))</f>
        <v>0.9</v>
      </c>
      <c r="AL112">
        <f t="shared" si="34"/>
        <v>0</v>
      </c>
      <c r="AM112">
        <f t="shared" si="35"/>
        <v>0</v>
      </c>
      <c r="AN112">
        <f>IFERROR(MIN(5,MAX(0,(SUMIFS(_REF_Model_Content!$D$1:$D$174,_REF_Model_Content!$A$1:$A$174,PV_Canonical_Industry,_REF_Model_Content!$B$1:$B$174,"Finance Procurement"))+IFERROR(VLOOKUP('Company Profile'!$B$35,_CONFIG_Model_Settings!$A$11:$B$13,2,0),0))),"")</f>
        <v>0</v>
      </c>
      <c r="AO112">
        <f t="shared" si="36"/>
        <v>0</v>
      </c>
      <c r="AP112">
        <f>IFERROR(SUMIFS(_REF_Model_Content!$E$1:$E$174,_REF_Model_Content!$A$1:$A$174,PV_Canonical_Industry,_REF_Model_Content!$B$1:$B$174,"Finance Procurement"),1)</f>
        <v>0</v>
      </c>
      <c r="AQ112">
        <f t="shared" si="37"/>
        <v>0</v>
      </c>
      <c r="AR112" t="str">
        <f t="shared" si="38"/>
        <v>Within target</v>
      </c>
      <c r="AS112">
        <f t="shared" si="39"/>
        <v>0</v>
      </c>
      <c r="AT112">
        <f t="shared" si="40"/>
        <v>0.9</v>
      </c>
      <c r="AU112">
        <f>'Assessment Questions'!AX112</f>
        <v>0</v>
      </c>
      <c r="AV112">
        <f t="shared" si="41"/>
        <v>0.9</v>
      </c>
      <c r="AW112" t="s">
        <v>1401</v>
      </c>
      <c r="AX112" t="s">
        <v>1401</v>
      </c>
      <c r="AY112">
        <v>19</v>
      </c>
      <c r="AZ112">
        <v>112</v>
      </c>
    </row>
    <row r="113" spans="1:52">
      <c r="A113" t="s">
        <v>1484</v>
      </c>
      <c r="B113" t="s">
        <v>1422</v>
      </c>
      <c r="C113" t="s">
        <v>1485</v>
      </c>
      <c r="D113" t="s">
        <v>1405</v>
      </c>
      <c r="E113" t="s">
        <v>1406</v>
      </c>
      <c r="F113" t="s">
        <v>1486</v>
      </c>
      <c r="G113">
        <f>'Assessment Questions'!J113</f>
        <v>5</v>
      </c>
      <c r="H113">
        <f t="shared" si="27"/>
        <v>0</v>
      </c>
      <c r="I113">
        <f t="shared" si="28"/>
        <v>0</v>
      </c>
      <c r="J113">
        <f t="shared" si="29"/>
        <v>5</v>
      </c>
      <c r="K113">
        <f t="shared" si="30"/>
        <v>5</v>
      </c>
      <c r="L113" t="str">
        <f t="shared" si="31"/>
        <v>Critical</v>
      </c>
      <c r="M113" t="s">
        <v>1069</v>
      </c>
      <c r="N113" t="s">
        <v>1070</v>
      </c>
      <c r="O113" t="s">
        <v>1071</v>
      </c>
      <c r="P113" t="s">
        <v>1072</v>
      </c>
      <c r="Q113" t="s">
        <v>1073</v>
      </c>
      <c r="R113" t="s">
        <v>1074</v>
      </c>
      <c r="S113" t="s">
        <v>1408</v>
      </c>
      <c r="T113">
        <f>'Assessment Questions'!W113</f>
        <v>0</v>
      </c>
      <c r="U113">
        <f>'Assessment Questions'!X113</f>
        <v>0</v>
      </c>
      <c r="V113" t="str">
        <f>'Assessment Questions'!Y113</f>
        <v>Use the recommended action generated by the model; validate with domain owner during real assessment.</v>
      </c>
      <c r="W113">
        <v>4</v>
      </c>
      <c r="X113">
        <v>5</v>
      </c>
      <c r="Y113">
        <v>5</v>
      </c>
      <c r="Z113">
        <f>'Assessment Questions'!AC113</f>
        <v>0</v>
      </c>
      <c r="AB113">
        <f t="shared" si="46"/>
        <v>0</v>
      </c>
      <c r="AC113">
        <f t="shared" si="47"/>
        <v>0</v>
      </c>
      <c r="AD113">
        <f t="shared" si="32"/>
        <v>0</v>
      </c>
      <c r="AE113">
        <f t="shared" si="48"/>
        <v>0</v>
      </c>
      <c r="AF113">
        <f t="shared" si="33"/>
        <v>5</v>
      </c>
      <c r="AG113">
        <f t="shared" si="49"/>
        <v>0</v>
      </c>
      <c r="AH113">
        <f>'Assessment Questions'!AK113</f>
        <v>0</v>
      </c>
      <c r="AI113">
        <f>'Assessment Questions'!AL113</f>
        <v>0</v>
      </c>
      <c r="AJ113">
        <f>IF(OR($H113="",$H113="N/A"),"",IF($AH113="",VLOOKUP('Company Profile'!$B$40,_CONFIG_Model_Settings!$A$5:$B$8,2,FALSE),IFERROR(VLOOKUP($AH113,_CONFIG_Model_Settings!$A$5:$B$8,2,FALSE),0.9)))</f>
        <v>0.9</v>
      </c>
      <c r="AK113">
        <f>IF(OR($H113="",$H113="N/A"),"",IF($AI113="",VLOOKUP('Company Profile'!$B$41,_CONFIG_Model_Settings!$A$5:$B$8,2,FALSE),IFERROR(VLOOKUP($AI113,_CONFIG_Model_Settings!$A$5:$B$8,2,FALSE),0.9)))</f>
        <v>0.9</v>
      </c>
      <c r="AL113">
        <f t="shared" si="34"/>
        <v>0</v>
      </c>
      <c r="AM113">
        <f t="shared" si="35"/>
        <v>0</v>
      </c>
      <c r="AN113">
        <f>IFERROR(MIN(5,MAX(0,(SUMIFS(_REF_Model_Content!$D$1:$D$174,_REF_Model_Content!$A$1:$A$174,PV_Canonical_Industry,_REF_Model_Content!$B$1:$B$174,"Finance Procurement"))+IFERROR(VLOOKUP('Company Profile'!$B$35,_CONFIG_Model_Settings!$A$11:$B$13,2,0),0))),"")</f>
        <v>0</v>
      </c>
      <c r="AO113">
        <f t="shared" si="36"/>
        <v>0</v>
      </c>
      <c r="AP113">
        <f>IFERROR(SUMIFS(_REF_Model_Content!$E$1:$E$174,_REF_Model_Content!$A$1:$A$174,PV_Canonical_Industry,_REF_Model_Content!$B$1:$B$174,"Finance Procurement"),1)</f>
        <v>0</v>
      </c>
      <c r="AQ113">
        <f t="shared" si="37"/>
        <v>0</v>
      </c>
      <c r="AR113" t="str">
        <f t="shared" si="38"/>
        <v>Within target</v>
      </c>
      <c r="AS113">
        <f t="shared" si="39"/>
        <v>0</v>
      </c>
      <c r="AT113">
        <f t="shared" si="40"/>
        <v>0.9</v>
      </c>
      <c r="AU113">
        <f>'Assessment Questions'!AX113</f>
        <v>0</v>
      </c>
      <c r="AV113">
        <f t="shared" si="41"/>
        <v>0.9</v>
      </c>
      <c r="AW113" t="s">
        <v>1401</v>
      </c>
      <c r="AX113" t="s">
        <v>1401</v>
      </c>
      <c r="AY113">
        <v>20</v>
      </c>
      <c r="AZ113">
        <v>113</v>
      </c>
    </row>
    <row r="114" spans="1:52">
      <c r="A114" t="s">
        <v>1487</v>
      </c>
      <c r="B114" t="s">
        <v>1422</v>
      </c>
      <c r="C114" t="s">
        <v>1488</v>
      </c>
      <c r="D114" t="s">
        <v>1405</v>
      </c>
      <c r="E114" t="s">
        <v>1406</v>
      </c>
      <c r="F114" t="s">
        <v>1489</v>
      </c>
      <c r="G114">
        <f>'Assessment Questions'!J114</f>
        <v>3</v>
      </c>
      <c r="H114">
        <f t="shared" si="27"/>
        <v>0</v>
      </c>
      <c r="I114">
        <f t="shared" si="28"/>
        <v>0</v>
      </c>
      <c r="J114">
        <f t="shared" si="29"/>
        <v>3</v>
      </c>
      <c r="K114">
        <f t="shared" si="30"/>
        <v>3</v>
      </c>
      <c r="L114" t="str">
        <f t="shared" si="31"/>
        <v>Critical</v>
      </c>
      <c r="M114" t="s">
        <v>1490</v>
      </c>
      <c r="N114" t="s">
        <v>1491</v>
      </c>
      <c r="O114" t="s">
        <v>1492</v>
      </c>
      <c r="P114" t="s">
        <v>1493</v>
      </c>
      <c r="Q114" t="s">
        <v>1494</v>
      </c>
      <c r="R114" t="s">
        <v>1495</v>
      </c>
      <c r="S114" t="s">
        <v>1408</v>
      </c>
      <c r="T114">
        <f>'Assessment Questions'!W114</f>
        <v>0</v>
      </c>
      <c r="U114">
        <f>'Assessment Questions'!X114</f>
        <v>0</v>
      </c>
      <c r="V114" t="str">
        <f>'Assessment Questions'!Y114</f>
        <v>Use the recommended action generated by the model; validate with domain owner during real assessment.</v>
      </c>
      <c r="W114">
        <v>4</v>
      </c>
      <c r="X114">
        <v>5</v>
      </c>
      <c r="Y114">
        <v>5</v>
      </c>
      <c r="Z114">
        <f>'Assessment Questions'!AC114</f>
        <v>0</v>
      </c>
      <c r="AB114">
        <f t="shared" si="46"/>
        <v>0</v>
      </c>
      <c r="AC114">
        <f t="shared" si="47"/>
        <v>0</v>
      </c>
      <c r="AD114">
        <f t="shared" si="32"/>
        <v>0</v>
      </c>
      <c r="AE114">
        <f t="shared" si="48"/>
        <v>0</v>
      </c>
      <c r="AF114">
        <f t="shared" si="33"/>
        <v>5</v>
      </c>
      <c r="AG114">
        <f t="shared" si="49"/>
        <v>0</v>
      </c>
      <c r="AH114">
        <f>'Assessment Questions'!AK114</f>
        <v>0</v>
      </c>
      <c r="AI114">
        <f>'Assessment Questions'!AL114</f>
        <v>0</v>
      </c>
      <c r="AJ114">
        <f>IF(OR($H114="",$H114="N/A"),"",IF($AH114="",VLOOKUP('Company Profile'!$B$40,_CONFIG_Model_Settings!$A$5:$B$8,2,FALSE),IFERROR(VLOOKUP($AH114,_CONFIG_Model_Settings!$A$5:$B$8,2,FALSE),0.9)))</f>
        <v>0.9</v>
      </c>
      <c r="AK114">
        <f>IF(OR($H114="",$H114="N/A"),"",IF($AI114="",VLOOKUP('Company Profile'!$B$41,_CONFIG_Model_Settings!$A$5:$B$8,2,FALSE),IFERROR(VLOOKUP($AI114,_CONFIG_Model_Settings!$A$5:$B$8,2,FALSE),0.9)))</f>
        <v>0.9</v>
      </c>
      <c r="AL114">
        <f t="shared" si="34"/>
        <v>0</v>
      </c>
      <c r="AM114">
        <f t="shared" si="35"/>
        <v>0</v>
      </c>
      <c r="AN114">
        <f>IFERROR(MIN(5,MAX(0,(SUMIFS(_REF_Model_Content!$D$1:$D$174,_REF_Model_Content!$A$1:$A$174,PV_Canonical_Industry,_REF_Model_Content!$B$1:$B$174,"Finance Procurement"))+IFERROR(VLOOKUP('Company Profile'!$B$35,_CONFIG_Model_Settings!$A$11:$B$13,2,0),0))),"")</f>
        <v>0</v>
      </c>
      <c r="AO114">
        <f t="shared" si="36"/>
        <v>0</v>
      </c>
      <c r="AP114">
        <f>IFERROR(SUMIFS(_REF_Model_Content!$E$1:$E$174,_REF_Model_Content!$A$1:$A$174,PV_Canonical_Industry,_REF_Model_Content!$B$1:$B$174,"Finance Procurement"),1)</f>
        <v>0</v>
      </c>
      <c r="AQ114">
        <f t="shared" si="37"/>
        <v>0</v>
      </c>
      <c r="AR114" t="str">
        <f t="shared" si="38"/>
        <v>Within target</v>
      </c>
      <c r="AS114">
        <f t="shared" si="39"/>
        <v>0</v>
      </c>
      <c r="AT114">
        <f t="shared" si="40"/>
        <v>0.9</v>
      </c>
      <c r="AU114">
        <f>'Assessment Questions'!AX114</f>
        <v>0</v>
      </c>
      <c r="AV114">
        <f t="shared" si="41"/>
        <v>0.9</v>
      </c>
      <c r="AW114" t="s">
        <v>1401</v>
      </c>
      <c r="AX114" t="s">
        <v>1401</v>
      </c>
      <c r="AY114">
        <v>21</v>
      </c>
      <c r="AZ114">
        <v>114</v>
      </c>
    </row>
    <row r="115" spans="1:52">
      <c r="A115" t="s">
        <v>1496</v>
      </c>
      <c r="B115" t="s">
        <v>1422</v>
      </c>
      <c r="C115" t="s">
        <v>1497</v>
      </c>
      <c r="D115" t="s">
        <v>1405</v>
      </c>
      <c r="E115" t="s">
        <v>1406</v>
      </c>
      <c r="F115" t="s">
        <v>1498</v>
      </c>
      <c r="G115">
        <f>'Assessment Questions'!J115</f>
        <v>5</v>
      </c>
      <c r="H115">
        <f t="shared" si="27"/>
        <v>0</v>
      </c>
      <c r="I115">
        <f t="shared" si="28"/>
        <v>0</v>
      </c>
      <c r="J115">
        <f t="shared" si="29"/>
        <v>5</v>
      </c>
      <c r="K115">
        <f t="shared" si="30"/>
        <v>5</v>
      </c>
      <c r="L115" t="str">
        <f t="shared" si="31"/>
        <v>Critical</v>
      </c>
      <c r="M115" t="s">
        <v>833</v>
      </c>
      <c r="N115" t="s">
        <v>834</v>
      </c>
      <c r="O115" t="s">
        <v>835</v>
      </c>
      <c r="P115" t="s">
        <v>836</v>
      </c>
      <c r="Q115" t="s">
        <v>837</v>
      </c>
      <c r="R115" t="s">
        <v>838</v>
      </c>
      <c r="S115" t="s">
        <v>1408</v>
      </c>
      <c r="T115">
        <f>'Assessment Questions'!W115</f>
        <v>0</v>
      </c>
      <c r="U115">
        <f>'Assessment Questions'!X115</f>
        <v>0</v>
      </c>
      <c r="V115" t="str">
        <f>'Assessment Questions'!Y115</f>
        <v>Use the recommended action generated by the model; validate with domain owner during real assessment.</v>
      </c>
      <c r="W115">
        <v>4</v>
      </c>
      <c r="X115">
        <v>5</v>
      </c>
      <c r="Y115">
        <v>5</v>
      </c>
      <c r="Z115">
        <f>'Assessment Questions'!AC115</f>
        <v>0</v>
      </c>
      <c r="AB115">
        <f t="shared" si="46"/>
        <v>0</v>
      </c>
      <c r="AC115">
        <f t="shared" si="47"/>
        <v>0</v>
      </c>
      <c r="AD115">
        <f t="shared" si="32"/>
        <v>0</v>
      </c>
      <c r="AE115">
        <f t="shared" si="48"/>
        <v>0</v>
      </c>
      <c r="AF115">
        <f t="shared" si="33"/>
        <v>5</v>
      </c>
      <c r="AG115">
        <f t="shared" si="49"/>
        <v>0</v>
      </c>
      <c r="AH115">
        <f>'Assessment Questions'!AK115</f>
        <v>0</v>
      </c>
      <c r="AI115">
        <f>'Assessment Questions'!AL115</f>
        <v>0</v>
      </c>
      <c r="AJ115">
        <f>IF(OR($H115="",$H115="N/A"),"",IF($AH115="",VLOOKUP('Company Profile'!$B$40,_CONFIG_Model_Settings!$A$5:$B$8,2,FALSE),IFERROR(VLOOKUP($AH115,_CONFIG_Model_Settings!$A$5:$B$8,2,FALSE),0.9)))</f>
        <v>0.9</v>
      </c>
      <c r="AK115">
        <f>IF(OR($H115="",$H115="N/A"),"",IF($AI115="",VLOOKUP('Company Profile'!$B$41,_CONFIG_Model_Settings!$A$5:$B$8,2,FALSE),IFERROR(VLOOKUP($AI115,_CONFIG_Model_Settings!$A$5:$B$8,2,FALSE),0.9)))</f>
        <v>0.9</v>
      </c>
      <c r="AL115">
        <f t="shared" si="34"/>
        <v>0</v>
      </c>
      <c r="AM115">
        <f t="shared" si="35"/>
        <v>0</v>
      </c>
      <c r="AN115">
        <f>IFERROR(MIN(5,MAX(0,(SUMIFS(_REF_Model_Content!$D$1:$D$174,_REF_Model_Content!$A$1:$A$174,PV_Canonical_Industry,_REF_Model_Content!$B$1:$B$174,"Finance Procurement"))+IFERROR(VLOOKUP('Company Profile'!$B$35,_CONFIG_Model_Settings!$A$11:$B$13,2,0),0))),"")</f>
        <v>0</v>
      </c>
      <c r="AO115">
        <f t="shared" si="36"/>
        <v>0</v>
      </c>
      <c r="AP115">
        <f>IFERROR(SUMIFS(_REF_Model_Content!$E$1:$E$174,_REF_Model_Content!$A$1:$A$174,PV_Canonical_Industry,_REF_Model_Content!$B$1:$B$174,"Finance Procurement"),1)</f>
        <v>0</v>
      </c>
      <c r="AQ115">
        <f t="shared" si="37"/>
        <v>0</v>
      </c>
      <c r="AR115" t="str">
        <f t="shared" si="38"/>
        <v>Within target</v>
      </c>
      <c r="AS115">
        <f t="shared" si="39"/>
        <v>0</v>
      </c>
      <c r="AT115">
        <f t="shared" si="40"/>
        <v>0.9</v>
      </c>
      <c r="AU115">
        <f>'Assessment Questions'!AX115</f>
        <v>0</v>
      </c>
      <c r="AV115">
        <f t="shared" si="41"/>
        <v>0.9</v>
      </c>
      <c r="AW115" t="s">
        <v>1401</v>
      </c>
      <c r="AX115" t="s">
        <v>1401</v>
      </c>
      <c r="AY115">
        <v>22</v>
      </c>
      <c r="AZ115">
        <v>115</v>
      </c>
    </row>
    <row r="116" spans="1:52">
      <c r="A116" t="s">
        <v>1499</v>
      </c>
      <c r="B116" t="s">
        <v>1426</v>
      </c>
      <c r="C116" t="s">
        <v>1500</v>
      </c>
      <c r="D116" t="s">
        <v>1405</v>
      </c>
      <c r="E116" t="s">
        <v>1406</v>
      </c>
      <c r="F116" t="s">
        <v>1501</v>
      </c>
      <c r="G116">
        <f>'Assessment Questions'!J116</f>
        <v>4</v>
      </c>
      <c r="H116">
        <f t="shared" si="27"/>
        <v>0</v>
      </c>
      <c r="I116">
        <f t="shared" si="28"/>
        <v>0</v>
      </c>
      <c r="J116">
        <f t="shared" si="29"/>
        <v>4</v>
      </c>
      <c r="K116">
        <f t="shared" si="30"/>
        <v>4</v>
      </c>
      <c r="L116" t="str">
        <f t="shared" si="31"/>
        <v>Critical</v>
      </c>
      <c r="M116" t="s">
        <v>1502</v>
      </c>
      <c r="N116" t="s">
        <v>1503</v>
      </c>
      <c r="O116" t="s">
        <v>1504</v>
      </c>
      <c r="P116" t="s">
        <v>1505</v>
      </c>
      <c r="Q116" t="s">
        <v>1506</v>
      </c>
      <c r="R116" t="s">
        <v>1507</v>
      </c>
      <c r="S116" t="s">
        <v>1408</v>
      </c>
      <c r="T116">
        <f>'Assessment Questions'!W116</f>
        <v>0</v>
      </c>
      <c r="U116">
        <f>'Assessment Questions'!X116</f>
        <v>0</v>
      </c>
      <c r="V116" t="str">
        <f>'Assessment Questions'!Y116</f>
        <v>Use the recommended action generated by the model; validate with domain owner during real assessment.</v>
      </c>
      <c r="W116">
        <v>4</v>
      </c>
      <c r="X116">
        <v>5</v>
      </c>
      <c r="Y116">
        <v>5</v>
      </c>
      <c r="Z116">
        <f>'Assessment Questions'!AC116</f>
        <v>0</v>
      </c>
      <c r="AB116">
        <f t="shared" si="46"/>
        <v>0</v>
      </c>
      <c r="AC116">
        <f t="shared" si="47"/>
        <v>0</v>
      </c>
      <c r="AD116">
        <f t="shared" si="32"/>
        <v>0</v>
      </c>
      <c r="AE116">
        <f t="shared" si="48"/>
        <v>0</v>
      </c>
      <c r="AF116">
        <f t="shared" si="33"/>
        <v>5</v>
      </c>
      <c r="AG116">
        <f t="shared" si="49"/>
        <v>0</v>
      </c>
      <c r="AH116">
        <f>'Assessment Questions'!AK116</f>
        <v>0</v>
      </c>
      <c r="AI116">
        <f>'Assessment Questions'!AL116</f>
        <v>0</v>
      </c>
      <c r="AJ116">
        <f>IF(OR($H116="",$H116="N/A"),"",IF($AH116="",VLOOKUP('Company Profile'!$B$40,_CONFIG_Model_Settings!$A$5:$B$8,2,FALSE),IFERROR(VLOOKUP($AH116,_CONFIG_Model_Settings!$A$5:$B$8,2,FALSE),0.9)))</f>
        <v>0.9</v>
      </c>
      <c r="AK116">
        <f>IF(OR($H116="",$H116="N/A"),"",IF($AI116="",VLOOKUP('Company Profile'!$B$41,_CONFIG_Model_Settings!$A$5:$B$8,2,FALSE),IFERROR(VLOOKUP($AI116,_CONFIG_Model_Settings!$A$5:$B$8,2,FALSE),0.9)))</f>
        <v>0.9</v>
      </c>
      <c r="AL116">
        <f t="shared" si="34"/>
        <v>0</v>
      </c>
      <c r="AM116">
        <f t="shared" si="35"/>
        <v>0</v>
      </c>
      <c r="AN116">
        <f>IFERROR(MIN(5,MAX(0,(SUMIFS(_REF_Model_Content!$D$1:$D$174,_REF_Model_Content!$A$1:$A$174,PV_Canonical_Industry,_REF_Model_Content!$B$1:$B$174,"Finance Procurement"))+IFERROR(VLOOKUP('Company Profile'!$B$35,_CONFIG_Model_Settings!$A$11:$B$13,2,0),0))),"")</f>
        <v>0</v>
      </c>
      <c r="AO116">
        <f t="shared" si="36"/>
        <v>0</v>
      </c>
      <c r="AP116">
        <f>IFERROR(SUMIFS(_REF_Model_Content!$E$1:$E$174,_REF_Model_Content!$A$1:$A$174,PV_Canonical_Industry,_REF_Model_Content!$B$1:$B$174,"Finance Procurement"),1)</f>
        <v>0</v>
      </c>
      <c r="AQ116">
        <f t="shared" si="37"/>
        <v>0</v>
      </c>
      <c r="AR116" t="str">
        <f t="shared" si="38"/>
        <v>Within target</v>
      </c>
      <c r="AS116">
        <f t="shared" si="39"/>
        <v>0</v>
      </c>
      <c r="AT116">
        <f t="shared" si="40"/>
        <v>0.9</v>
      </c>
      <c r="AU116">
        <f>'Assessment Questions'!AX116</f>
        <v>0</v>
      </c>
      <c r="AV116">
        <f t="shared" si="41"/>
        <v>0.9</v>
      </c>
      <c r="AW116" t="s">
        <v>1401</v>
      </c>
      <c r="AX116" t="s">
        <v>1401</v>
      </c>
      <c r="AY116">
        <v>23</v>
      </c>
      <c r="AZ116">
        <v>116</v>
      </c>
    </row>
    <row r="117" spans="1:52">
      <c r="A117" t="s">
        <v>1508</v>
      </c>
      <c r="B117" t="s">
        <v>1426</v>
      </c>
      <c r="C117" t="s">
        <v>1509</v>
      </c>
      <c r="D117" t="s">
        <v>1405</v>
      </c>
      <c r="E117" t="s">
        <v>1406</v>
      </c>
      <c r="F117" t="s">
        <v>1510</v>
      </c>
      <c r="G117">
        <f>'Assessment Questions'!J117</f>
        <v>5</v>
      </c>
      <c r="H117">
        <f t="shared" si="27"/>
        <v>0</v>
      </c>
      <c r="I117">
        <f t="shared" si="28"/>
        <v>0</v>
      </c>
      <c r="J117">
        <f t="shared" si="29"/>
        <v>5</v>
      </c>
      <c r="K117">
        <f t="shared" si="30"/>
        <v>5</v>
      </c>
      <c r="L117" t="str">
        <f t="shared" si="31"/>
        <v>Critical</v>
      </c>
      <c r="M117" t="s">
        <v>833</v>
      </c>
      <c r="N117" t="s">
        <v>834</v>
      </c>
      <c r="O117" t="s">
        <v>835</v>
      </c>
      <c r="P117" t="s">
        <v>836</v>
      </c>
      <c r="Q117" t="s">
        <v>837</v>
      </c>
      <c r="R117" t="s">
        <v>838</v>
      </c>
      <c r="S117" t="s">
        <v>1408</v>
      </c>
      <c r="T117">
        <f>'Assessment Questions'!W117</f>
        <v>0</v>
      </c>
      <c r="U117">
        <f>'Assessment Questions'!X117</f>
        <v>0</v>
      </c>
      <c r="V117" t="str">
        <f>'Assessment Questions'!Y117</f>
        <v>Use the recommended action generated by the model; validate with domain owner during real assessment.</v>
      </c>
      <c r="W117">
        <v>4</v>
      </c>
      <c r="X117">
        <v>5</v>
      </c>
      <c r="Y117">
        <v>5</v>
      </c>
      <c r="Z117">
        <f>'Assessment Questions'!AC117</f>
        <v>0</v>
      </c>
      <c r="AB117">
        <f t="shared" si="46"/>
        <v>0</v>
      </c>
      <c r="AC117">
        <f t="shared" si="47"/>
        <v>0</v>
      </c>
      <c r="AD117">
        <f t="shared" si="32"/>
        <v>0</v>
      </c>
      <c r="AE117">
        <f t="shared" si="48"/>
        <v>0</v>
      </c>
      <c r="AF117">
        <f t="shared" si="33"/>
        <v>5</v>
      </c>
      <c r="AG117">
        <f t="shared" si="49"/>
        <v>0</v>
      </c>
      <c r="AH117">
        <f>'Assessment Questions'!AK117</f>
        <v>0</v>
      </c>
      <c r="AI117">
        <f>'Assessment Questions'!AL117</f>
        <v>0</v>
      </c>
      <c r="AJ117">
        <f>IF(OR($H117="",$H117="N/A"),"",IF($AH117="",VLOOKUP('Company Profile'!$B$40,_CONFIG_Model_Settings!$A$5:$B$8,2,FALSE),IFERROR(VLOOKUP($AH117,_CONFIG_Model_Settings!$A$5:$B$8,2,FALSE),0.9)))</f>
        <v>0.9</v>
      </c>
      <c r="AK117">
        <f>IF(OR($H117="",$H117="N/A"),"",IF($AI117="",VLOOKUP('Company Profile'!$B$41,_CONFIG_Model_Settings!$A$5:$B$8,2,FALSE),IFERROR(VLOOKUP($AI117,_CONFIG_Model_Settings!$A$5:$B$8,2,FALSE),0.9)))</f>
        <v>0.9</v>
      </c>
      <c r="AL117">
        <f t="shared" si="34"/>
        <v>0</v>
      </c>
      <c r="AM117">
        <f t="shared" si="35"/>
        <v>0</v>
      </c>
      <c r="AN117">
        <f>IFERROR(MIN(5,MAX(0,(SUMIFS(_REF_Model_Content!$D$1:$D$174,_REF_Model_Content!$A$1:$A$174,PV_Canonical_Industry,_REF_Model_Content!$B$1:$B$174,"Finance Procurement"))+IFERROR(VLOOKUP('Company Profile'!$B$35,_CONFIG_Model_Settings!$A$11:$B$13,2,0),0))),"")</f>
        <v>0</v>
      </c>
      <c r="AO117">
        <f t="shared" si="36"/>
        <v>0</v>
      </c>
      <c r="AP117">
        <f>IFERROR(SUMIFS(_REF_Model_Content!$E$1:$E$174,_REF_Model_Content!$A$1:$A$174,PV_Canonical_Industry,_REF_Model_Content!$B$1:$B$174,"Finance Procurement"),1)</f>
        <v>0</v>
      </c>
      <c r="AQ117">
        <f t="shared" si="37"/>
        <v>0</v>
      </c>
      <c r="AR117" t="str">
        <f t="shared" si="38"/>
        <v>Within target</v>
      </c>
      <c r="AS117">
        <f t="shared" si="39"/>
        <v>0</v>
      </c>
      <c r="AT117">
        <f t="shared" si="40"/>
        <v>0.9</v>
      </c>
      <c r="AU117">
        <f>'Assessment Questions'!AX117</f>
        <v>0</v>
      </c>
      <c r="AV117">
        <f t="shared" si="41"/>
        <v>0.9</v>
      </c>
      <c r="AW117" t="s">
        <v>1401</v>
      </c>
      <c r="AX117" t="s">
        <v>1401</v>
      </c>
      <c r="AY117">
        <v>24</v>
      </c>
      <c r="AZ117">
        <v>117</v>
      </c>
    </row>
    <row r="118" spans="1:52">
      <c r="A118" t="s">
        <v>1511</v>
      </c>
      <c r="B118" t="s">
        <v>1426</v>
      </c>
      <c r="C118" t="s">
        <v>1512</v>
      </c>
      <c r="D118" t="s">
        <v>1405</v>
      </c>
      <c r="E118" t="s">
        <v>1406</v>
      </c>
      <c r="F118" t="s">
        <v>1513</v>
      </c>
      <c r="G118">
        <f>'Assessment Questions'!J118</f>
        <v>5</v>
      </c>
      <c r="H118">
        <f t="shared" si="27"/>
        <v>0</v>
      </c>
      <c r="I118">
        <f t="shared" si="28"/>
        <v>0</v>
      </c>
      <c r="J118">
        <f t="shared" si="29"/>
        <v>5</v>
      </c>
      <c r="K118">
        <f t="shared" si="30"/>
        <v>5</v>
      </c>
      <c r="L118" t="str">
        <f t="shared" si="31"/>
        <v>Critical</v>
      </c>
      <c r="M118" t="s">
        <v>833</v>
      </c>
      <c r="N118" t="s">
        <v>834</v>
      </c>
      <c r="O118" t="s">
        <v>835</v>
      </c>
      <c r="P118" t="s">
        <v>836</v>
      </c>
      <c r="Q118" t="s">
        <v>837</v>
      </c>
      <c r="R118" t="s">
        <v>838</v>
      </c>
      <c r="S118" t="s">
        <v>1408</v>
      </c>
      <c r="T118">
        <f>'Assessment Questions'!W118</f>
        <v>0</v>
      </c>
      <c r="U118">
        <f>'Assessment Questions'!X118</f>
        <v>0</v>
      </c>
      <c r="V118" t="str">
        <f>'Assessment Questions'!Y118</f>
        <v>Use the recommended action generated by the model; validate with domain owner during real assessment.</v>
      </c>
      <c r="W118">
        <v>5</v>
      </c>
      <c r="X118">
        <v>5</v>
      </c>
      <c r="Y118">
        <v>5</v>
      </c>
      <c r="Z118">
        <f>'Assessment Questions'!AC118</f>
        <v>0</v>
      </c>
      <c r="AB118">
        <f t="shared" si="46"/>
        <v>0</v>
      </c>
      <c r="AC118">
        <f t="shared" si="47"/>
        <v>0</v>
      </c>
      <c r="AD118">
        <f t="shared" si="32"/>
        <v>0</v>
      </c>
      <c r="AE118">
        <f t="shared" si="48"/>
        <v>0</v>
      </c>
      <c r="AF118">
        <f t="shared" si="33"/>
        <v>5</v>
      </c>
      <c r="AG118">
        <f t="shared" si="49"/>
        <v>0</v>
      </c>
      <c r="AH118">
        <f>'Assessment Questions'!AK118</f>
        <v>0</v>
      </c>
      <c r="AI118">
        <f>'Assessment Questions'!AL118</f>
        <v>0</v>
      </c>
      <c r="AJ118">
        <f>IF(OR($H118="",$H118="N/A"),"",IF($AH118="",VLOOKUP('Company Profile'!$B$40,_CONFIG_Model_Settings!$A$5:$B$8,2,FALSE),IFERROR(VLOOKUP($AH118,_CONFIG_Model_Settings!$A$5:$B$8,2,FALSE),0.9)))</f>
        <v>0.9</v>
      </c>
      <c r="AK118">
        <f>IF(OR($H118="",$H118="N/A"),"",IF($AI118="",VLOOKUP('Company Profile'!$B$41,_CONFIG_Model_Settings!$A$5:$B$8,2,FALSE),IFERROR(VLOOKUP($AI118,_CONFIG_Model_Settings!$A$5:$B$8,2,FALSE),0.9)))</f>
        <v>0.9</v>
      </c>
      <c r="AL118">
        <f t="shared" si="34"/>
        <v>0</v>
      </c>
      <c r="AM118">
        <f t="shared" si="35"/>
        <v>0</v>
      </c>
      <c r="AN118">
        <f>IFERROR(MIN(5,MAX(0,(SUMIFS(_REF_Model_Content!$D$1:$D$174,_REF_Model_Content!$A$1:$A$174,PV_Canonical_Industry,_REF_Model_Content!$B$1:$B$174,"Finance Procurement"))+IFERROR(VLOOKUP('Company Profile'!$B$35,_CONFIG_Model_Settings!$A$11:$B$13,2,0),0))),"")</f>
        <v>0</v>
      </c>
      <c r="AO118">
        <f t="shared" si="36"/>
        <v>0</v>
      </c>
      <c r="AP118">
        <f>IFERROR(SUMIFS(_REF_Model_Content!$E$1:$E$174,_REF_Model_Content!$A$1:$A$174,PV_Canonical_Industry,_REF_Model_Content!$B$1:$B$174,"Finance Procurement"),1)</f>
        <v>0</v>
      </c>
      <c r="AQ118">
        <f t="shared" si="37"/>
        <v>0</v>
      </c>
      <c r="AR118" t="str">
        <f t="shared" si="38"/>
        <v>Within target</v>
      </c>
      <c r="AS118">
        <f t="shared" si="39"/>
        <v>0</v>
      </c>
      <c r="AT118">
        <f t="shared" si="40"/>
        <v>0.9</v>
      </c>
      <c r="AU118">
        <f>'Assessment Questions'!AX118</f>
        <v>0</v>
      </c>
      <c r="AV118">
        <f t="shared" si="41"/>
        <v>0.9</v>
      </c>
      <c r="AW118" t="s">
        <v>1401</v>
      </c>
      <c r="AX118" t="s">
        <v>1401</v>
      </c>
      <c r="AY118">
        <v>25</v>
      </c>
      <c r="AZ118">
        <v>118</v>
      </c>
    </row>
    <row r="119" spans="1:52">
      <c r="A119" t="s">
        <v>1514</v>
      </c>
      <c r="B119" t="s">
        <v>1426</v>
      </c>
      <c r="C119" t="s">
        <v>1515</v>
      </c>
      <c r="D119" t="s">
        <v>1405</v>
      </c>
      <c r="E119" t="s">
        <v>1406</v>
      </c>
      <c r="F119" t="s">
        <v>1516</v>
      </c>
      <c r="G119">
        <f>'Assessment Questions'!J119</f>
        <v>5</v>
      </c>
      <c r="H119">
        <f t="shared" si="27"/>
        <v>0</v>
      </c>
      <c r="I119">
        <f t="shared" si="28"/>
        <v>0</v>
      </c>
      <c r="J119">
        <f t="shared" si="29"/>
        <v>5</v>
      </c>
      <c r="K119">
        <f t="shared" si="30"/>
        <v>5</v>
      </c>
      <c r="L119" t="str">
        <f t="shared" si="31"/>
        <v>Critical</v>
      </c>
      <c r="M119" t="s">
        <v>833</v>
      </c>
      <c r="N119" t="s">
        <v>834</v>
      </c>
      <c r="O119" t="s">
        <v>835</v>
      </c>
      <c r="P119" t="s">
        <v>836</v>
      </c>
      <c r="Q119" t="s">
        <v>837</v>
      </c>
      <c r="R119" t="s">
        <v>838</v>
      </c>
      <c r="S119" t="s">
        <v>1408</v>
      </c>
      <c r="T119">
        <f>'Assessment Questions'!W119</f>
        <v>0</v>
      </c>
      <c r="U119">
        <f>'Assessment Questions'!X119</f>
        <v>0</v>
      </c>
      <c r="V119" t="str">
        <f>'Assessment Questions'!Y119</f>
        <v>Use the recommended action generated by the model; validate with domain owner during real assessment.</v>
      </c>
      <c r="W119">
        <v>4</v>
      </c>
      <c r="X119">
        <v>5</v>
      </c>
      <c r="Y119">
        <v>5</v>
      </c>
      <c r="Z119">
        <f>'Assessment Questions'!AC119</f>
        <v>0</v>
      </c>
      <c r="AB119">
        <f t="shared" si="46"/>
        <v>0</v>
      </c>
      <c r="AC119">
        <f t="shared" si="47"/>
        <v>0</v>
      </c>
      <c r="AD119">
        <f t="shared" si="32"/>
        <v>0</v>
      </c>
      <c r="AE119">
        <f t="shared" si="48"/>
        <v>0</v>
      </c>
      <c r="AF119">
        <f t="shared" si="33"/>
        <v>5</v>
      </c>
      <c r="AG119">
        <f t="shared" si="49"/>
        <v>0</v>
      </c>
      <c r="AH119">
        <f>'Assessment Questions'!AK119</f>
        <v>0</v>
      </c>
      <c r="AI119">
        <f>'Assessment Questions'!AL119</f>
        <v>0</v>
      </c>
      <c r="AJ119">
        <f>IF(OR($H119="",$H119="N/A"),"",IF($AH119="",VLOOKUP('Company Profile'!$B$40,_CONFIG_Model_Settings!$A$5:$B$8,2,FALSE),IFERROR(VLOOKUP($AH119,_CONFIG_Model_Settings!$A$5:$B$8,2,FALSE),0.9)))</f>
        <v>0.9</v>
      </c>
      <c r="AK119">
        <f>IF(OR($H119="",$H119="N/A"),"",IF($AI119="",VLOOKUP('Company Profile'!$B$41,_CONFIG_Model_Settings!$A$5:$B$8,2,FALSE),IFERROR(VLOOKUP($AI119,_CONFIG_Model_Settings!$A$5:$B$8,2,FALSE),0.9)))</f>
        <v>0.9</v>
      </c>
      <c r="AL119">
        <f t="shared" si="34"/>
        <v>0</v>
      </c>
      <c r="AM119">
        <f t="shared" si="35"/>
        <v>0</v>
      </c>
      <c r="AN119">
        <f>IFERROR(MIN(5,MAX(0,(SUMIFS(_REF_Model_Content!$D$1:$D$174,_REF_Model_Content!$A$1:$A$174,PV_Canonical_Industry,_REF_Model_Content!$B$1:$B$174,"Finance Procurement"))+IFERROR(VLOOKUP('Company Profile'!$B$35,_CONFIG_Model_Settings!$A$11:$B$13,2,0),0))),"")</f>
        <v>0</v>
      </c>
      <c r="AO119">
        <f t="shared" si="36"/>
        <v>0</v>
      </c>
      <c r="AP119">
        <f>IFERROR(SUMIFS(_REF_Model_Content!$E$1:$E$174,_REF_Model_Content!$A$1:$A$174,PV_Canonical_Industry,_REF_Model_Content!$B$1:$B$174,"Finance Procurement"),1)</f>
        <v>0</v>
      </c>
      <c r="AQ119">
        <f t="shared" si="37"/>
        <v>0</v>
      </c>
      <c r="AR119" t="str">
        <f t="shared" si="38"/>
        <v>Within target</v>
      </c>
      <c r="AS119">
        <f t="shared" si="39"/>
        <v>0</v>
      </c>
      <c r="AT119">
        <f t="shared" si="40"/>
        <v>0.9</v>
      </c>
      <c r="AU119">
        <f>'Assessment Questions'!AX119</f>
        <v>0</v>
      </c>
      <c r="AV119">
        <f t="shared" si="41"/>
        <v>0.9</v>
      </c>
      <c r="AW119" t="s">
        <v>1401</v>
      </c>
      <c r="AX119" t="s">
        <v>1401</v>
      </c>
      <c r="AY119">
        <v>26</v>
      </c>
      <c r="AZ119">
        <v>119</v>
      </c>
    </row>
    <row r="120" spans="1:52">
      <c r="A120" t="s">
        <v>1517</v>
      </c>
      <c r="B120" t="s">
        <v>1426</v>
      </c>
      <c r="C120" t="s">
        <v>1518</v>
      </c>
      <c r="D120" t="s">
        <v>1405</v>
      </c>
      <c r="E120" t="s">
        <v>1406</v>
      </c>
      <c r="F120" t="s">
        <v>1519</v>
      </c>
      <c r="G120">
        <f>'Assessment Questions'!J120</f>
        <v>5</v>
      </c>
      <c r="H120">
        <f t="shared" si="27"/>
        <v>0</v>
      </c>
      <c r="I120">
        <f t="shared" si="28"/>
        <v>0</v>
      </c>
      <c r="J120">
        <f t="shared" si="29"/>
        <v>5</v>
      </c>
      <c r="K120">
        <f t="shared" si="30"/>
        <v>5</v>
      </c>
      <c r="L120" t="str">
        <f t="shared" si="31"/>
        <v>Critical</v>
      </c>
      <c r="M120" t="s">
        <v>833</v>
      </c>
      <c r="N120" t="s">
        <v>834</v>
      </c>
      <c r="O120" t="s">
        <v>835</v>
      </c>
      <c r="P120" t="s">
        <v>836</v>
      </c>
      <c r="Q120" t="s">
        <v>837</v>
      </c>
      <c r="R120" t="s">
        <v>838</v>
      </c>
      <c r="S120" t="s">
        <v>1408</v>
      </c>
      <c r="T120">
        <f>'Assessment Questions'!W120</f>
        <v>0</v>
      </c>
      <c r="U120">
        <f>'Assessment Questions'!X120</f>
        <v>0</v>
      </c>
      <c r="V120" t="str">
        <f>'Assessment Questions'!Y120</f>
        <v>Use the recommended action generated by the model; validate with domain owner during real assessment.</v>
      </c>
      <c r="W120">
        <v>4</v>
      </c>
      <c r="X120">
        <v>5</v>
      </c>
      <c r="Y120">
        <v>5</v>
      </c>
      <c r="Z120">
        <f>'Assessment Questions'!AC120</f>
        <v>0</v>
      </c>
      <c r="AB120">
        <f t="shared" si="46"/>
        <v>0</v>
      </c>
      <c r="AC120">
        <f t="shared" si="47"/>
        <v>0</v>
      </c>
      <c r="AD120">
        <f t="shared" si="32"/>
        <v>0</v>
      </c>
      <c r="AE120">
        <f t="shared" si="48"/>
        <v>0</v>
      </c>
      <c r="AF120">
        <f t="shared" si="33"/>
        <v>5</v>
      </c>
      <c r="AG120">
        <f t="shared" si="49"/>
        <v>0</v>
      </c>
      <c r="AH120">
        <f>'Assessment Questions'!AK120</f>
        <v>0</v>
      </c>
      <c r="AI120">
        <f>'Assessment Questions'!AL120</f>
        <v>0</v>
      </c>
      <c r="AJ120">
        <f>IF(OR($H120="",$H120="N/A"),"",IF($AH120="",VLOOKUP('Company Profile'!$B$40,_CONFIG_Model_Settings!$A$5:$B$8,2,FALSE),IFERROR(VLOOKUP($AH120,_CONFIG_Model_Settings!$A$5:$B$8,2,FALSE),0.9)))</f>
        <v>0.9</v>
      </c>
      <c r="AK120">
        <f>IF(OR($H120="",$H120="N/A"),"",IF($AI120="",VLOOKUP('Company Profile'!$B$41,_CONFIG_Model_Settings!$A$5:$B$8,2,FALSE),IFERROR(VLOOKUP($AI120,_CONFIG_Model_Settings!$A$5:$B$8,2,FALSE),0.9)))</f>
        <v>0.9</v>
      </c>
      <c r="AL120">
        <f t="shared" si="34"/>
        <v>0</v>
      </c>
      <c r="AM120">
        <f t="shared" si="35"/>
        <v>0</v>
      </c>
      <c r="AN120">
        <f>IFERROR(MIN(5,MAX(0,(SUMIFS(_REF_Model_Content!$D$1:$D$174,_REF_Model_Content!$A$1:$A$174,PV_Canonical_Industry,_REF_Model_Content!$B$1:$B$174,"Finance Procurement"))+IFERROR(VLOOKUP('Company Profile'!$B$35,_CONFIG_Model_Settings!$A$11:$B$13,2,0),0))),"")</f>
        <v>0</v>
      </c>
      <c r="AO120">
        <f t="shared" si="36"/>
        <v>0</v>
      </c>
      <c r="AP120">
        <f>IFERROR(SUMIFS(_REF_Model_Content!$E$1:$E$174,_REF_Model_Content!$A$1:$A$174,PV_Canonical_Industry,_REF_Model_Content!$B$1:$B$174,"Finance Procurement"),1)</f>
        <v>0</v>
      </c>
      <c r="AQ120">
        <f t="shared" si="37"/>
        <v>0</v>
      </c>
      <c r="AR120" t="str">
        <f t="shared" si="38"/>
        <v>Within target</v>
      </c>
      <c r="AS120">
        <f t="shared" si="39"/>
        <v>0</v>
      </c>
      <c r="AT120">
        <f t="shared" si="40"/>
        <v>0.9</v>
      </c>
      <c r="AU120">
        <f>'Assessment Questions'!AX120</f>
        <v>0</v>
      </c>
      <c r="AV120">
        <f t="shared" si="41"/>
        <v>0.9</v>
      </c>
      <c r="AW120" t="s">
        <v>1401</v>
      </c>
      <c r="AX120" t="s">
        <v>1401</v>
      </c>
      <c r="AY120">
        <v>27</v>
      </c>
      <c r="AZ120">
        <v>120</v>
      </c>
    </row>
    <row r="121" spans="1:52">
      <c r="A121" t="s">
        <v>1520</v>
      </c>
      <c r="B121" t="s">
        <v>1403</v>
      </c>
      <c r="C121" t="s">
        <v>1521</v>
      </c>
      <c r="D121" t="s">
        <v>1522</v>
      </c>
      <c r="E121" t="s">
        <v>1523</v>
      </c>
      <c r="F121" t="s">
        <v>941</v>
      </c>
      <c r="G121">
        <f>'Assessment Questions'!J121</f>
        <v>4</v>
      </c>
      <c r="H121">
        <f t="shared" si="27"/>
        <v>0</v>
      </c>
      <c r="I121">
        <f t="shared" si="28"/>
        <v>0</v>
      </c>
      <c r="J121">
        <f t="shared" si="29"/>
        <v>4</v>
      </c>
      <c r="K121">
        <f t="shared" si="30"/>
        <v>4</v>
      </c>
      <c r="L121" t="str">
        <f t="shared" si="31"/>
        <v>Critical</v>
      </c>
      <c r="M121" t="s">
        <v>1524</v>
      </c>
      <c r="N121" t="s">
        <v>1525</v>
      </c>
      <c r="O121" t="s">
        <v>1526</v>
      </c>
      <c r="P121" t="s">
        <v>1527</v>
      </c>
      <c r="Q121" t="s">
        <v>1528</v>
      </c>
      <c r="R121" t="s">
        <v>1529</v>
      </c>
      <c r="S121" t="s">
        <v>1530</v>
      </c>
      <c r="T121">
        <f>'Assessment Questions'!W121</f>
        <v>0</v>
      </c>
      <c r="U121">
        <f>'Assessment Questions'!X121</f>
        <v>0</v>
      </c>
      <c r="V121" t="str">
        <f>'Assessment Questions'!Y121</f>
        <v>Use the recommended action generated by the model; validate with domain owner during real assessment.</v>
      </c>
      <c r="W121">
        <v>3</v>
      </c>
      <c r="X121">
        <v>4</v>
      </c>
      <c r="Y121">
        <v>4</v>
      </c>
      <c r="Z121">
        <f>'Assessment Questions'!AC121</f>
        <v>0</v>
      </c>
      <c r="AB121">
        <f t="shared" si="46"/>
        <v>0</v>
      </c>
      <c r="AC121">
        <f t="shared" si="47"/>
        <v>0</v>
      </c>
      <c r="AD121">
        <f t="shared" si="32"/>
        <v>0</v>
      </c>
      <c r="AE121">
        <f t="shared" si="48"/>
        <v>0</v>
      </c>
      <c r="AF121">
        <f t="shared" si="33"/>
        <v>5</v>
      </c>
      <c r="AG121">
        <f t="shared" si="49"/>
        <v>0</v>
      </c>
      <c r="AH121">
        <f>'Assessment Questions'!AK121</f>
        <v>0</v>
      </c>
      <c r="AI121">
        <f>'Assessment Questions'!AL121</f>
        <v>0</v>
      </c>
      <c r="AJ121">
        <f>IF(OR($H121="",$H121="N/A"),"",IF($AH121="",VLOOKUP('Company Profile'!$B$40,_CONFIG_Model_Settings!$A$5:$B$8,2,FALSE),IFERROR(VLOOKUP($AH121,_CONFIG_Model_Settings!$A$5:$B$8,2,FALSE),0.9)))</f>
        <v>0.9</v>
      </c>
      <c r="AK121">
        <f>IF(OR($H121="",$H121="N/A"),"",IF($AI121="",VLOOKUP('Company Profile'!$B$41,_CONFIG_Model_Settings!$A$5:$B$8,2,FALSE),IFERROR(VLOOKUP($AI121,_CONFIG_Model_Settings!$A$5:$B$8,2,FALSE),0.9)))</f>
        <v>0.9</v>
      </c>
      <c r="AL121">
        <f t="shared" si="34"/>
        <v>0</v>
      </c>
      <c r="AM121">
        <f t="shared" si="35"/>
        <v>0</v>
      </c>
      <c r="AN121">
        <f>IFERROR(MIN(5,MAX(0,(SUMIFS(_REF_Model_Content!$D$1:$D$174,_REF_Model_Content!$A$1:$A$174,PV_Canonical_Industry,_REF_Model_Content!$B$1:$B$174,"Finance Procurement"))+IFERROR(VLOOKUP('Company Profile'!$B$35,_CONFIG_Model_Settings!$A$11:$B$13,2,0),0))),"")</f>
        <v>0</v>
      </c>
      <c r="AO121">
        <f t="shared" si="36"/>
        <v>0</v>
      </c>
      <c r="AP121">
        <f>IFERROR(SUMIFS(_REF_Model_Content!$E$1:$E$174,_REF_Model_Content!$A$1:$A$174,PV_Canonical_Industry,_REF_Model_Content!$B$1:$B$174,"Finance Procurement"),1)</f>
        <v>0</v>
      </c>
      <c r="AQ121">
        <f t="shared" si="37"/>
        <v>0</v>
      </c>
      <c r="AR121" t="str">
        <f t="shared" si="38"/>
        <v>Within target</v>
      </c>
      <c r="AS121">
        <f t="shared" si="39"/>
        <v>0</v>
      </c>
      <c r="AT121">
        <f t="shared" si="40"/>
        <v>0.9</v>
      </c>
      <c r="AU121">
        <f>'Assessment Questions'!AX121</f>
        <v>0</v>
      </c>
      <c r="AV121">
        <f t="shared" si="41"/>
        <v>0.9</v>
      </c>
      <c r="AW121" t="s">
        <v>1401</v>
      </c>
      <c r="AX121" t="s">
        <v>1401</v>
      </c>
      <c r="AY121">
        <v>28</v>
      </c>
      <c r="AZ121">
        <v>121</v>
      </c>
    </row>
    <row r="122" spans="1:52">
      <c r="A122" t="s">
        <v>1531</v>
      </c>
      <c r="B122" t="s">
        <v>1403</v>
      </c>
      <c r="C122" t="s">
        <v>1532</v>
      </c>
      <c r="D122" t="s">
        <v>1522</v>
      </c>
      <c r="E122" t="s">
        <v>1533</v>
      </c>
      <c r="F122" t="s">
        <v>941</v>
      </c>
      <c r="G122">
        <f>'Assessment Questions'!J122</f>
        <v>4</v>
      </c>
      <c r="H122">
        <f t="shared" si="27"/>
        <v>0</v>
      </c>
      <c r="I122">
        <f t="shared" si="28"/>
        <v>0</v>
      </c>
      <c r="J122">
        <f t="shared" si="29"/>
        <v>4</v>
      </c>
      <c r="K122">
        <f t="shared" si="30"/>
        <v>4</v>
      </c>
      <c r="L122" t="str">
        <f t="shared" si="31"/>
        <v>Critical</v>
      </c>
      <c r="M122" t="s">
        <v>1534</v>
      </c>
      <c r="N122" t="s">
        <v>1535</v>
      </c>
      <c r="O122" t="s">
        <v>1536</v>
      </c>
      <c r="P122" t="s">
        <v>1537</v>
      </c>
      <c r="Q122" t="s">
        <v>1538</v>
      </c>
      <c r="R122" t="s">
        <v>1539</v>
      </c>
      <c r="S122" t="s">
        <v>1530</v>
      </c>
      <c r="T122">
        <f>'Assessment Questions'!W122</f>
        <v>0</v>
      </c>
      <c r="U122">
        <f>'Assessment Questions'!X122</f>
        <v>0</v>
      </c>
      <c r="V122" t="str">
        <f>'Assessment Questions'!Y122</f>
        <v>Use the recommended action generated by the model; validate with domain owner during real assessment.</v>
      </c>
      <c r="W122">
        <v>3</v>
      </c>
      <c r="X122">
        <v>4</v>
      </c>
      <c r="Y122">
        <v>4</v>
      </c>
      <c r="Z122">
        <f>'Assessment Questions'!AC122</f>
        <v>0</v>
      </c>
      <c r="AB122">
        <f t="shared" si="46"/>
        <v>0</v>
      </c>
      <c r="AC122">
        <f t="shared" si="47"/>
        <v>0</v>
      </c>
      <c r="AD122">
        <f t="shared" si="32"/>
        <v>0</v>
      </c>
      <c r="AE122">
        <f t="shared" si="48"/>
        <v>0</v>
      </c>
      <c r="AF122">
        <f t="shared" si="33"/>
        <v>5</v>
      </c>
      <c r="AG122">
        <f t="shared" si="49"/>
        <v>0</v>
      </c>
      <c r="AH122">
        <f>'Assessment Questions'!AK122</f>
        <v>0</v>
      </c>
      <c r="AI122">
        <f>'Assessment Questions'!AL122</f>
        <v>0</v>
      </c>
      <c r="AJ122">
        <f>IF(OR($H122="",$H122="N/A"),"",IF($AH122="",VLOOKUP('Company Profile'!$B$40,_CONFIG_Model_Settings!$A$5:$B$8,2,FALSE),IFERROR(VLOOKUP($AH122,_CONFIG_Model_Settings!$A$5:$B$8,2,FALSE),0.9)))</f>
        <v>0.9</v>
      </c>
      <c r="AK122">
        <f>IF(OR($H122="",$H122="N/A"),"",IF($AI122="",VLOOKUP('Company Profile'!$B$41,_CONFIG_Model_Settings!$A$5:$B$8,2,FALSE),IFERROR(VLOOKUP($AI122,_CONFIG_Model_Settings!$A$5:$B$8,2,FALSE),0.9)))</f>
        <v>0.9</v>
      </c>
      <c r="AL122">
        <f t="shared" si="34"/>
        <v>0</v>
      </c>
      <c r="AM122">
        <f t="shared" si="35"/>
        <v>0</v>
      </c>
      <c r="AN122">
        <f>IFERROR(MIN(5,MAX(0,(SUMIFS(_REF_Model_Content!$D$1:$D$174,_REF_Model_Content!$A$1:$A$174,PV_Canonical_Industry,_REF_Model_Content!$B$1:$B$174,"Finance Procurement"))+IFERROR(VLOOKUP('Company Profile'!$B$35,_CONFIG_Model_Settings!$A$11:$B$13,2,0),0))),"")</f>
        <v>0</v>
      </c>
      <c r="AO122">
        <f t="shared" si="36"/>
        <v>0</v>
      </c>
      <c r="AP122">
        <f>IFERROR(SUMIFS(_REF_Model_Content!$E$1:$E$174,_REF_Model_Content!$A$1:$A$174,PV_Canonical_Industry,_REF_Model_Content!$B$1:$B$174,"Finance Procurement"),1)</f>
        <v>0</v>
      </c>
      <c r="AQ122">
        <f t="shared" si="37"/>
        <v>0</v>
      </c>
      <c r="AR122" t="str">
        <f t="shared" si="38"/>
        <v>Within target</v>
      </c>
      <c r="AS122">
        <f t="shared" si="39"/>
        <v>0</v>
      </c>
      <c r="AT122">
        <f t="shared" si="40"/>
        <v>0.9</v>
      </c>
      <c r="AU122">
        <f>'Assessment Questions'!AX122</f>
        <v>0</v>
      </c>
      <c r="AV122">
        <f t="shared" si="41"/>
        <v>0.9</v>
      </c>
      <c r="AW122" t="s">
        <v>1401</v>
      </c>
      <c r="AX122" t="s">
        <v>1401</v>
      </c>
      <c r="AY122">
        <v>29</v>
      </c>
      <c r="AZ122">
        <v>122</v>
      </c>
    </row>
    <row r="123" spans="1:52">
      <c r="A123" t="s">
        <v>1540</v>
      </c>
      <c r="B123" t="s">
        <v>1426</v>
      </c>
      <c r="C123" t="s">
        <v>1541</v>
      </c>
      <c r="D123" t="s">
        <v>1542</v>
      </c>
      <c r="E123" t="s">
        <v>1543</v>
      </c>
      <c r="F123" t="s">
        <v>941</v>
      </c>
      <c r="G123">
        <f>'Assessment Questions'!J123</f>
        <v>3</v>
      </c>
      <c r="H123">
        <f t="shared" si="27"/>
        <v>0</v>
      </c>
      <c r="I123">
        <f t="shared" si="28"/>
        <v>0</v>
      </c>
      <c r="J123">
        <f t="shared" si="29"/>
        <v>3</v>
      </c>
      <c r="K123">
        <f t="shared" si="30"/>
        <v>3</v>
      </c>
      <c r="L123" t="str">
        <f t="shared" si="31"/>
        <v>Critical</v>
      </c>
      <c r="M123" t="s">
        <v>1544</v>
      </c>
      <c r="N123" t="s">
        <v>1545</v>
      </c>
      <c r="O123" t="s">
        <v>1546</v>
      </c>
      <c r="P123" t="s">
        <v>1547</v>
      </c>
      <c r="Q123" t="s">
        <v>1548</v>
      </c>
      <c r="R123" t="s">
        <v>1549</v>
      </c>
      <c r="S123" t="s">
        <v>1550</v>
      </c>
      <c r="T123">
        <f>'Assessment Questions'!W123</f>
        <v>0</v>
      </c>
      <c r="U123">
        <f>'Assessment Questions'!X123</f>
        <v>0</v>
      </c>
      <c r="V123" t="str">
        <f>'Assessment Questions'!Y123</f>
        <v>Use the recommended action generated by the model; validate with domain owner during real assessment.</v>
      </c>
      <c r="W123">
        <v>3</v>
      </c>
      <c r="X123">
        <v>3</v>
      </c>
      <c r="Y123">
        <v>4</v>
      </c>
      <c r="Z123">
        <f>'Assessment Questions'!AC123</f>
        <v>0</v>
      </c>
      <c r="AB123">
        <f t="shared" si="46"/>
        <v>0</v>
      </c>
      <c r="AC123">
        <f t="shared" si="47"/>
        <v>0</v>
      </c>
      <c r="AD123">
        <f t="shared" si="32"/>
        <v>0</v>
      </c>
      <c r="AE123">
        <f t="shared" si="48"/>
        <v>0</v>
      </c>
      <c r="AF123">
        <f t="shared" si="33"/>
        <v>5</v>
      </c>
      <c r="AG123">
        <f t="shared" si="49"/>
        <v>0</v>
      </c>
      <c r="AH123">
        <f>'Assessment Questions'!AK123</f>
        <v>0</v>
      </c>
      <c r="AI123">
        <f>'Assessment Questions'!AL123</f>
        <v>0</v>
      </c>
      <c r="AJ123">
        <f>IF(OR($H123="",$H123="N/A"),"",IF($AH123="",VLOOKUP('Company Profile'!$B$40,_CONFIG_Model_Settings!$A$5:$B$8,2,FALSE),IFERROR(VLOOKUP($AH123,_CONFIG_Model_Settings!$A$5:$B$8,2,FALSE),0.9)))</f>
        <v>0.9</v>
      </c>
      <c r="AK123">
        <f>IF(OR($H123="",$H123="N/A"),"",IF($AI123="",VLOOKUP('Company Profile'!$B$41,_CONFIG_Model_Settings!$A$5:$B$8,2,FALSE),IFERROR(VLOOKUP($AI123,_CONFIG_Model_Settings!$A$5:$B$8,2,FALSE),0.9)))</f>
        <v>0.9</v>
      </c>
      <c r="AL123">
        <f t="shared" si="34"/>
        <v>0</v>
      </c>
      <c r="AM123">
        <f t="shared" si="35"/>
        <v>0</v>
      </c>
      <c r="AN123">
        <f>IFERROR(MIN(5,MAX(0,(SUMIFS(_REF_Model_Content!$D$1:$D$174,_REF_Model_Content!$A$1:$A$174,PV_Canonical_Industry,_REF_Model_Content!$B$1:$B$174,"Finance Procurement"))+IFERROR(VLOOKUP('Company Profile'!$B$35,_CONFIG_Model_Settings!$A$11:$B$13,2,0),0))),"")</f>
        <v>0</v>
      </c>
      <c r="AO123">
        <f t="shared" si="36"/>
        <v>0</v>
      </c>
      <c r="AP123">
        <f>IFERROR(SUMIFS(_REF_Model_Content!$E$1:$E$174,_REF_Model_Content!$A$1:$A$174,PV_Canonical_Industry,_REF_Model_Content!$B$1:$B$174,"Finance Procurement"),1)</f>
        <v>0</v>
      </c>
      <c r="AQ123">
        <f t="shared" si="37"/>
        <v>0</v>
      </c>
      <c r="AR123" t="str">
        <f t="shared" si="38"/>
        <v>Within target</v>
      </c>
      <c r="AS123">
        <f t="shared" si="39"/>
        <v>0</v>
      </c>
      <c r="AT123">
        <f t="shared" si="40"/>
        <v>0.9</v>
      </c>
      <c r="AU123">
        <f>'Assessment Questions'!AX123</f>
        <v>0</v>
      </c>
      <c r="AV123">
        <f t="shared" si="41"/>
        <v>0.9</v>
      </c>
      <c r="AW123" t="s">
        <v>1401</v>
      </c>
      <c r="AX123" t="s">
        <v>1401</v>
      </c>
      <c r="AY123">
        <v>30</v>
      </c>
      <c r="AZ123">
        <v>123</v>
      </c>
    </row>
    <row r="124" spans="1:52">
      <c r="A124" t="s">
        <v>1552</v>
      </c>
      <c r="B124" t="s">
        <v>1553</v>
      </c>
      <c r="C124" t="s">
        <v>1554</v>
      </c>
      <c r="D124" t="s">
        <v>1555</v>
      </c>
      <c r="E124" t="s">
        <v>1556</v>
      </c>
      <c r="F124" t="s">
        <v>1557</v>
      </c>
      <c r="G124">
        <f>'Assessment Questions'!J124</f>
        <v>4</v>
      </c>
      <c r="H124">
        <f t="shared" si="27"/>
        <v>0</v>
      </c>
      <c r="I124">
        <f t="shared" si="28"/>
        <v>0</v>
      </c>
      <c r="J124">
        <f t="shared" si="29"/>
        <v>4</v>
      </c>
      <c r="K124">
        <f t="shared" si="30"/>
        <v>4</v>
      </c>
      <c r="L124" t="str">
        <f t="shared" si="31"/>
        <v>Critical</v>
      </c>
      <c r="M124" t="s">
        <v>1558</v>
      </c>
      <c r="N124" t="s">
        <v>1559</v>
      </c>
      <c r="O124" t="s">
        <v>1560</v>
      </c>
      <c r="P124" t="s">
        <v>1561</v>
      </c>
      <c r="Q124" t="s">
        <v>1562</v>
      </c>
      <c r="R124" t="s">
        <v>1563</v>
      </c>
      <c r="S124" t="s">
        <v>1564</v>
      </c>
      <c r="T124">
        <f>'Assessment Questions'!W124</f>
        <v>0</v>
      </c>
      <c r="U124">
        <f>'Assessment Questions'!X124</f>
        <v>0</v>
      </c>
      <c r="V124" t="str">
        <f>'Assessment Questions'!Y124</f>
        <v>Use the recommended action generated by the model; validate with domain owner during real assessment.</v>
      </c>
      <c r="W124">
        <v>5</v>
      </c>
      <c r="X124">
        <v>5</v>
      </c>
      <c r="Y124">
        <v>5</v>
      </c>
      <c r="Z124">
        <f>'Assessment Questions'!AC124</f>
        <v>0</v>
      </c>
      <c r="AA124" t="s">
        <v>1553</v>
      </c>
      <c r="AB124">
        <f t="shared" ref="AB124:AB144" si="50">COUNTIF($B$124:$B$144,$AA124)</f>
        <v>7</v>
      </c>
      <c r="AC124">
        <f t="shared" ref="AC124:AC144" si="51">IFERROR(SUMPRODUCT(($B$124:$B$144=$AA124)*($H$124:$H$144&lt;&gt;"")*($H$124:$H$144&lt;&gt;"N/A")*IFERROR(VALUE($H$124:$H$144),0))/SUMPRODUCT(($B$124:$B$144=$AA124)*($H$124:$H$144&lt;&gt;"")*($H$124:$H$144&lt;&gt;"N/A")),0)</f>
        <v>0</v>
      </c>
      <c r="AD124">
        <f t="shared" si="32"/>
        <v>0</v>
      </c>
      <c r="AE124">
        <f t="shared" ref="AE124:AE144" si="52">COUNTIFS($B$124:$B$144,$AA124,$L$124:$L$144,"Critical")+COUNTIFS($B$124:$B$144,$AA124,$L$124:$L$144,"High")</f>
        <v>7</v>
      </c>
      <c r="AF124">
        <f t="shared" si="33"/>
        <v>5</v>
      </c>
      <c r="AG124">
        <f t="shared" ref="AG124:AG144" si="53">SUMPRODUCT(($B$124:$B$144=$AA124)*(ISNUMBER($H$124:$H$144)+($H$124:$H$144="N/A")))</f>
        <v>7</v>
      </c>
      <c r="AH124">
        <f>'Assessment Questions'!AK124</f>
        <v>0</v>
      </c>
      <c r="AI124">
        <f>'Assessment Questions'!AL124</f>
        <v>0</v>
      </c>
      <c r="AJ124">
        <f>IF(OR($H124="",$H124="N/A"),"",IF($AH124="",VLOOKUP('Company Profile'!$B$40,_CONFIG_Model_Settings!$A$5:$B$8,2,FALSE),IFERROR(VLOOKUP($AH124,_CONFIG_Model_Settings!$A$5:$B$8,2,FALSE),0.9)))</f>
        <v>0.9</v>
      </c>
      <c r="AK124">
        <f>IF(OR($H124="",$H124="N/A"),"",IF($AI124="",VLOOKUP('Company Profile'!$B$41,_CONFIG_Model_Settings!$A$5:$B$8,2,FALSE),IFERROR(VLOOKUP($AI124,_CONFIG_Model_Settings!$A$5:$B$8,2,FALSE),0.9)))</f>
        <v>0.9</v>
      </c>
      <c r="AL124">
        <f t="shared" si="34"/>
        <v>0</v>
      </c>
      <c r="AM124">
        <f t="shared" si="35"/>
        <v>0</v>
      </c>
      <c r="AN124">
        <f>IFERROR(MIN(5,MAX(0,(SUMIFS(_REF_Model_Content!$D$1:$D$174,_REF_Model_Content!$A$1:$A$174,PV_Canonical_Industry,_REF_Model_Content!$B$1:$B$174,"Legal Risk"))+IFERROR(VLOOKUP('Company Profile'!$B$35,_CONFIG_Model_Settings!$A$11:$B$13,2,0),0))),"")</f>
        <v>0</v>
      </c>
      <c r="AO124">
        <f t="shared" si="36"/>
        <v>0</v>
      </c>
      <c r="AP124">
        <f>IFERROR(SUMIFS(_REF_Model_Content!$E$1:$E$174,_REF_Model_Content!$A$1:$A$174,PV_Canonical_Industry,_REF_Model_Content!$B$1:$B$174,"Legal Risk"),1)</f>
        <v>0</v>
      </c>
      <c r="AQ124">
        <f t="shared" si="37"/>
        <v>0</v>
      </c>
      <c r="AR124" t="str">
        <f t="shared" si="38"/>
        <v>Within target</v>
      </c>
      <c r="AS124">
        <f t="shared" si="39"/>
        <v>0</v>
      </c>
      <c r="AT124">
        <f t="shared" si="40"/>
        <v>0.9</v>
      </c>
      <c r="AU124">
        <f>'Assessment Questions'!AX124</f>
        <v>0</v>
      </c>
      <c r="AV124">
        <f t="shared" si="41"/>
        <v>0.9</v>
      </c>
      <c r="AW124" t="s">
        <v>1551</v>
      </c>
      <c r="AX124" t="s">
        <v>1551</v>
      </c>
      <c r="AY124">
        <v>5</v>
      </c>
      <c r="AZ124">
        <v>124</v>
      </c>
    </row>
    <row r="125" spans="1:52">
      <c r="A125" t="s">
        <v>1565</v>
      </c>
      <c r="B125" t="s">
        <v>1553</v>
      </c>
      <c r="C125" t="s">
        <v>1566</v>
      </c>
      <c r="D125" t="s">
        <v>1555</v>
      </c>
      <c r="E125" t="s">
        <v>1556</v>
      </c>
      <c r="F125" t="s">
        <v>1567</v>
      </c>
      <c r="G125">
        <f>'Assessment Questions'!J125</f>
        <v>5</v>
      </c>
      <c r="H125">
        <f t="shared" si="27"/>
        <v>0</v>
      </c>
      <c r="I125">
        <f t="shared" si="28"/>
        <v>0</v>
      </c>
      <c r="J125">
        <f t="shared" si="29"/>
        <v>5</v>
      </c>
      <c r="K125">
        <f t="shared" si="30"/>
        <v>5</v>
      </c>
      <c r="L125" t="str">
        <f t="shared" si="31"/>
        <v>Critical</v>
      </c>
      <c r="M125" t="s">
        <v>833</v>
      </c>
      <c r="N125" t="s">
        <v>834</v>
      </c>
      <c r="O125" t="s">
        <v>835</v>
      </c>
      <c r="P125" t="s">
        <v>836</v>
      </c>
      <c r="Q125" t="s">
        <v>837</v>
      </c>
      <c r="R125" t="s">
        <v>838</v>
      </c>
      <c r="S125" t="s">
        <v>1564</v>
      </c>
      <c r="T125">
        <f>'Assessment Questions'!W125</f>
        <v>0</v>
      </c>
      <c r="U125">
        <f>'Assessment Questions'!X125</f>
        <v>0</v>
      </c>
      <c r="V125" t="str">
        <f>'Assessment Questions'!Y125</f>
        <v>Use the recommended action generated by the model; validate with domain owner during real assessment.</v>
      </c>
      <c r="W125">
        <v>5</v>
      </c>
      <c r="X125">
        <v>5</v>
      </c>
      <c r="Y125">
        <v>5</v>
      </c>
      <c r="Z125">
        <f>'Assessment Questions'!AC125</f>
        <v>0</v>
      </c>
      <c r="AA125" t="s">
        <v>1568</v>
      </c>
      <c r="AB125">
        <f t="shared" si="50"/>
        <v>6</v>
      </c>
      <c r="AC125">
        <f t="shared" si="51"/>
        <v>0</v>
      </c>
      <c r="AD125">
        <f t="shared" si="32"/>
        <v>0</v>
      </c>
      <c r="AE125">
        <f t="shared" si="52"/>
        <v>6</v>
      </c>
      <c r="AF125">
        <f t="shared" si="33"/>
        <v>5</v>
      </c>
      <c r="AG125">
        <f t="shared" si="53"/>
        <v>6</v>
      </c>
      <c r="AH125">
        <f>'Assessment Questions'!AK125</f>
        <v>0</v>
      </c>
      <c r="AI125">
        <f>'Assessment Questions'!AL125</f>
        <v>0</v>
      </c>
      <c r="AJ125">
        <f>IF(OR($H125="",$H125="N/A"),"",IF($AH125="",VLOOKUP('Company Profile'!$B$40,_CONFIG_Model_Settings!$A$5:$B$8,2,FALSE),IFERROR(VLOOKUP($AH125,_CONFIG_Model_Settings!$A$5:$B$8,2,FALSE),0.9)))</f>
        <v>0.9</v>
      </c>
      <c r="AK125">
        <f>IF(OR($H125="",$H125="N/A"),"",IF($AI125="",VLOOKUP('Company Profile'!$B$41,_CONFIG_Model_Settings!$A$5:$B$8,2,FALSE),IFERROR(VLOOKUP($AI125,_CONFIG_Model_Settings!$A$5:$B$8,2,FALSE),0.9)))</f>
        <v>0.9</v>
      </c>
      <c r="AL125">
        <f t="shared" si="34"/>
        <v>0</v>
      </c>
      <c r="AM125">
        <f t="shared" si="35"/>
        <v>0</v>
      </c>
      <c r="AN125">
        <f>IFERROR(MIN(5,MAX(0,(SUMIFS(_REF_Model_Content!$D$1:$D$174,_REF_Model_Content!$A$1:$A$174,PV_Canonical_Industry,_REF_Model_Content!$B$1:$B$174,"Legal Risk"))+IFERROR(VLOOKUP('Company Profile'!$B$35,_CONFIG_Model_Settings!$A$11:$B$13,2,0),0))),"")</f>
        <v>0</v>
      </c>
      <c r="AO125">
        <f t="shared" si="36"/>
        <v>0</v>
      </c>
      <c r="AP125">
        <f>IFERROR(SUMIFS(_REF_Model_Content!$E$1:$E$174,_REF_Model_Content!$A$1:$A$174,PV_Canonical_Industry,_REF_Model_Content!$B$1:$B$174,"Legal Risk"),1)</f>
        <v>0</v>
      </c>
      <c r="AQ125">
        <f t="shared" si="37"/>
        <v>0</v>
      </c>
      <c r="AR125" t="str">
        <f t="shared" si="38"/>
        <v>Within target</v>
      </c>
      <c r="AS125">
        <f t="shared" si="39"/>
        <v>0</v>
      </c>
      <c r="AT125">
        <f t="shared" si="40"/>
        <v>0.9</v>
      </c>
      <c r="AU125">
        <f>'Assessment Questions'!AX125</f>
        <v>0</v>
      </c>
      <c r="AV125">
        <f t="shared" si="41"/>
        <v>0.9</v>
      </c>
      <c r="AW125" t="s">
        <v>1551</v>
      </c>
      <c r="AX125" t="s">
        <v>1551</v>
      </c>
      <c r="AY125">
        <v>6</v>
      </c>
      <c r="AZ125">
        <v>125</v>
      </c>
    </row>
    <row r="126" spans="1:52">
      <c r="A126" t="s">
        <v>1569</v>
      </c>
      <c r="B126" t="s">
        <v>1553</v>
      </c>
      <c r="C126" t="s">
        <v>1570</v>
      </c>
      <c r="D126" t="s">
        <v>1555</v>
      </c>
      <c r="E126" t="s">
        <v>1556</v>
      </c>
      <c r="F126" t="s">
        <v>1571</v>
      </c>
      <c r="G126">
        <f>'Assessment Questions'!J126</f>
        <v>5</v>
      </c>
      <c r="H126">
        <f t="shared" si="27"/>
        <v>0</v>
      </c>
      <c r="I126">
        <f t="shared" si="28"/>
        <v>0</v>
      </c>
      <c r="J126">
        <f t="shared" si="29"/>
        <v>5</v>
      </c>
      <c r="K126">
        <f t="shared" si="30"/>
        <v>5</v>
      </c>
      <c r="L126" t="str">
        <f t="shared" si="31"/>
        <v>Critical</v>
      </c>
      <c r="M126" t="s">
        <v>833</v>
      </c>
      <c r="N126" t="s">
        <v>834</v>
      </c>
      <c r="O126" t="s">
        <v>835</v>
      </c>
      <c r="P126" t="s">
        <v>836</v>
      </c>
      <c r="Q126" t="s">
        <v>837</v>
      </c>
      <c r="R126" t="s">
        <v>838</v>
      </c>
      <c r="S126" t="s">
        <v>1564</v>
      </c>
      <c r="T126">
        <f>'Assessment Questions'!W126</f>
        <v>0</v>
      </c>
      <c r="U126">
        <f>'Assessment Questions'!X126</f>
        <v>0</v>
      </c>
      <c r="V126" t="str">
        <f>'Assessment Questions'!Y126</f>
        <v>Use the recommended action generated by the model; validate with domain owner during real assessment.</v>
      </c>
      <c r="W126">
        <v>5</v>
      </c>
      <c r="X126">
        <v>5</v>
      </c>
      <c r="Y126">
        <v>5</v>
      </c>
      <c r="Z126">
        <f>'Assessment Questions'!AC126</f>
        <v>0</v>
      </c>
      <c r="AA126" t="s">
        <v>1572</v>
      </c>
      <c r="AB126">
        <f t="shared" si="50"/>
        <v>6</v>
      </c>
      <c r="AC126">
        <f t="shared" si="51"/>
        <v>0</v>
      </c>
      <c r="AD126">
        <f t="shared" si="32"/>
        <v>0</v>
      </c>
      <c r="AE126">
        <f t="shared" si="52"/>
        <v>6</v>
      </c>
      <c r="AF126">
        <f t="shared" si="33"/>
        <v>5</v>
      </c>
      <c r="AG126">
        <f t="shared" si="53"/>
        <v>6</v>
      </c>
      <c r="AH126">
        <f>'Assessment Questions'!AK126</f>
        <v>0</v>
      </c>
      <c r="AI126">
        <f>'Assessment Questions'!AL126</f>
        <v>0</v>
      </c>
      <c r="AJ126">
        <f>IF(OR($H126="",$H126="N/A"),"",IF($AH126="",VLOOKUP('Company Profile'!$B$40,_CONFIG_Model_Settings!$A$5:$B$8,2,FALSE),IFERROR(VLOOKUP($AH126,_CONFIG_Model_Settings!$A$5:$B$8,2,FALSE),0.9)))</f>
        <v>0.9</v>
      </c>
      <c r="AK126">
        <f>IF(OR($H126="",$H126="N/A"),"",IF($AI126="",VLOOKUP('Company Profile'!$B$41,_CONFIG_Model_Settings!$A$5:$B$8,2,FALSE),IFERROR(VLOOKUP($AI126,_CONFIG_Model_Settings!$A$5:$B$8,2,FALSE),0.9)))</f>
        <v>0.9</v>
      </c>
      <c r="AL126">
        <f t="shared" si="34"/>
        <v>0</v>
      </c>
      <c r="AM126">
        <f t="shared" si="35"/>
        <v>0</v>
      </c>
      <c r="AN126">
        <f>IFERROR(MIN(5,MAX(0,(SUMIFS(_REF_Model_Content!$D$1:$D$174,_REF_Model_Content!$A$1:$A$174,PV_Canonical_Industry,_REF_Model_Content!$B$1:$B$174,"Legal Risk"))+IFERROR(VLOOKUP('Company Profile'!$B$35,_CONFIG_Model_Settings!$A$11:$B$13,2,0),0))),"")</f>
        <v>0</v>
      </c>
      <c r="AO126">
        <f t="shared" si="36"/>
        <v>0</v>
      </c>
      <c r="AP126">
        <f>IFERROR(SUMIFS(_REF_Model_Content!$E$1:$E$174,_REF_Model_Content!$A$1:$A$174,PV_Canonical_Industry,_REF_Model_Content!$B$1:$B$174,"Legal Risk"),1)</f>
        <v>0</v>
      </c>
      <c r="AQ126">
        <f t="shared" si="37"/>
        <v>0</v>
      </c>
      <c r="AR126" t="str">
        <f t="shared" si="38"/>
        <v>Within target</v>
      </c>
      <c r="AS126">
        <f t="shared" si="39"/>
        <v>0</v>
      </c>
      <c r="AT126">
        <f t="shared" si="40"/>
        <v>0.9</v>
      </c>
      <c r="AU126">
        <f>'Assessment Questions'!AX126</f>
        <v>0</v>
      </c>
      <c r="AV126">
        <f t="shared" si="41"/>
        <v>0.9</v>
      </c>
      <c r="AW126" t="s">
        <v>1551</v>
      </c>
      <c r="AX126" t="s">
        <v>1551</v>
      </c>
      <c r="AY126">
        <v>7</v>
      </c>
      <c r="AZ126">
        <v>126</v>
      </c>
    </row>
    <row r="127" spans="1:52">
      <c r="A127" t="s">
        <v>1573</v>
      </c>
      <c r="B127" t="s">
        <v>1553</v>
      </c>
      <c r="C127" t="s">
        <v>1574</v>
      </c>
      <c r="D127" t="s">
        <v>1555</v>
      </c>
      <c r="E127" t="s">
        <v>1556</v>
      </c>
      <c r="F127" t="s">
        <v>1575</v>
      </c>
      <c r="G127">
        <f>'Assessment Questions'!J127</f>
        <v>3</v>
      </c>
      <c r="H127">
        <f t="shared" si="27"/>
        <v>0</v>
      </c>
      <c r="I127">
        <f t="shared" si="28"/>
        <v>0</v>
      </c>
      <c r="J127">
        <f t="shared" si="29"/>
        <v>3</v>
      </c>
      <c r="K127">
        <f t="shared" si="30"/>
        <v>3</v>
      </c>
      <c r="L127" t="str">
        <f t="shared" si="31"/>
        <v>Critical</v>
      </c>
      <c r="M127" t="s">
        <v>1576</v>
      </c>
      <c r="N127" t="s">
        <v>1577</v>
      </c>
      <c r="O127" t="s">
        <v>1578</v>
      </c>
      <c r="P127" t="s">
        <v>1579</v>
      </c>
      <c r="Q127" t="s">
        <v>1580</v>
      </c>
      <c r="R127" t="s">
        <v>1581</v>
      </c>
      <c r="S127" t="s">
        <v>1564</v>
      </c>
      <c r="T127">
        <f>'Assessment Questions'!W127</f>
        <v>0</v>
      </c>
      <c r="U127">
        <f>'Assessment Questions'!X127</f>
        <v>0</v>
      </c>
      <c r="V127" t="str">
        <f>'Assessment Questions'!Y127</f>
        <v>Use the recommended action generated by the model; validate with domain owner during real assessment.</v>
      </c>
      <c r="W127">
        <v>5</v>
      </c>
      <c r="X127">
        <v>5</v>
      </c>
      <c r="Y127">
        <v>5</v>
      </c>
      <c r="Z127">
        <f>'Assessment Questions'!AC127</f>
        <v>0</v>
      </c>
      <c r="AA127" t="s">
        <v>1582</v>
      </c>
      <c r="AB127">
        <f t="shared" si="50"/>
        <v>2</v>
      </c>
      <c r="AC127">
        <f t="shared" si="51"/>
        <v>0</v>
      </c>
      <c r="AD127">
        <f t="shared" si="32"/>
        <v>0</v>
      </c>
      <c r="AE127">
        <f t="shared" si="52"/>
        <v>2</v>
      </c>
      <c r="AF127">
        <f t="shared" si="33"/>
        <v>5</v>
      </c>
      <c r="AG127">
        <f t="shared" si="53"/>
        <v>2</v>
      </c>
      <c r="AH127">
        <f>'Assessment Questions'!AK127</f>
        <v>0</v>
      </c>
      <c r="AI127">
        <f>'Assessment Questions'!AL127</f>
        <v>0</v>
      </c>
      <c r="AJ127">
        <f>IF(OR($H127="",$H127="N/A"),"",IF($AH127="",VLOOKUP('Company Profile'!$B$40,_CONFIG_Model_Settings!$A$5:$B$8,2,FALSE),IFERROR(VLOOKUP($AH127,_CONFIG_Model_Settings!$A$5:$B$8,2,FALSE),0.9)))</f>
        <v>0.9</v>
      </c>
      <c r="AK127">
        <f>IF(OR($H127="",$H127="N/A"),"",IF($AI127="",VLOOKUP('Company Profile'!$B$41,_CONFIG_Model_Settings!$A$5:$B$8,2,FALSE),IFERROR(VLOOKUP($AI127,_CONFIG_Model_Settings!$A$5:$B$8,2,FALSE),0.9)))</f>
        <v>0.9</v>
      </c>
      <c r="AL127">
        <f t="shared" si="34"/>
        <v>0</v>
      </c>
      <c r="AM127">
        <f t="shared" si="35"/>
        <v>0</v>
      </c>
      <c r="AN127">
        <f>IFERROR(MIN(5,MAX(0,(SUMIFS(_REF_Model_Content!$D$1:$D$174,_REF_Model_Content!$A$1:$A$174,PV_Canonical_Industry,_REF_Model_Content!$B$1:$B$174,"Legal Risk"))+IFERROR(VLOOKUP('Company Profile'!$B$35,_CONFIG_Model_Settings!$A$11:$B$13,2,0),0))),"")</f>
        <v>0</v>
      </c>
      <c r="AO127">
        <f t="shared" si="36"/>
        <v>0</v>
      </c>
      <c r="AP127">
        <f>IFERROR(SUMIFS(_REF_Model_Content!$E$1:$E$174,_REF_Model_Content!$A$1:$A$174,PV_Canonical_Industry,_REF_Model_Content!$B$1:$B$174,"Legal Risk"),1)</f>
        <v>0</v>
      </c>
      <c r="AQ127">
        <f t="shared" si="37"/>
        <v>0</v>
      </c>
      <c r="AR127" t="str">
        <f t="shared" si="38"/>
        <v>Within target</v>
      </c>
      <c r="AS127">
        <f t="shared" si="39"/>
        <v>0</v>
      </c>
      <c r="AT127">
        <f t="shared" si="40"/>
        <v>0.9</v>
      </c>
      <c r="AU127">
        <f>'Assessment Questions'!AX127</f>
        <v>0</v>
      </c>
      <c r="AV127">
        <f t="shared" si="41"/>
        <v>0.9</v>
      </c>
      <c r="AW127" t="s">
        <v>1551</v>
      </c>
      <c r="AX127" t="s">
        <v>1551</v>
      </c>
      <c r="AY127">
        <v>8</v>
      </c>
      <c r="AZ127">
        <v>127</v>
      </c>
    </row>
    <row r="128" spans="1:52">
      <c r="A128" t="s">
        <v>1583</v>
      </c>
      <c r="B128" t="s">
        <v>1553</v>
      </c>
      <c r="C128" t="s">
        <v>1584</v>
      </c>
      <c r="D128" t="s">
        <v>1555</v>
      </c>
      <c r="E128" t="s">
        <v>1556</v>
      </c>
      <c r="F128" t="s">
        <v>1585</v>
      </c>
      <c r="G128">
        <f>'Assessment Questions'!J128</f>
        <v>3</v>
      </c>
      <c r="H128">
        <f t="shared" si="27"/>
        <v>0</v>
      </c>
      <c r="I128">
        <f t="shared" si="28"/>
        <v>0</v>
      </c>
      <c r="J128">
        <f t="shared" si="29"/>
        <v>3</v>
      </c>
      <c r="K128">
        <f t="shared" si="30"/>
        <v>3</v>
      </c>
      <c r="L128" t="str">
        <f t="shared" si="31"/>
        <v>Critical</v>
      </c>
      <c r="M128" t="s">
        <v>1586</v>
      </c>
      <c r="N128" t="s">
        <v>1587</v>
      </c>
      <c r="O128" t="s">
        <v>1588</v>
      </c>
      <c r="P128" t="s">
        <v>1589</v>
      </c>
      <c r="Q128" t="s">
        <v>1590</v>
      </c>
      <c r="R128" t="s">
        <v>1591</v>
      </c>
      <c r="S128" t="s">
        <v>1564</v>
      </c>
      <c r="T128">
        <f>'Assessment Questions'!W128</f>
        <v>0</v>
      </c>
      <c r="U128">
        <f>'Assessment Questions'!X128</f>
        <v>0</v>
      </c>
      <c r="V128" t="str">
        <f>'Assessment Questions'!Y128</f>
        <v>Use the recommended action generated by the model; validate with domain owner during real assessment.</v>
      </c>
      <c r="W128">
        <v>5</v>
      </c>
      <c r="X128">
        <v>5</v>
      </c>
      <c r="Y128">
        <v>5</v>
      </c>
      <c r="Z128">
        <f>'Assessment Questions'!AC128</f>
        <v>0</v>
      </c>
      <c r="AB128">
        <f t="shared" si="50"/>
        <v>0</v>
      </c>
      <c r="AC128">
        <f t="shared" si="51"/>
        <v>0</v>
      </c>
      <c r="AD128">
        <f t="shared" si="32"/>
        <v>0</v>
      </c>
      <c r="AE128">
        <f t="shared" si="52"/>
        <v>0</v>
      </c>
      <c r="AF128">
        <f t="shared" si="33"/>
        <v>5</v>
      </c>
      <c r="AG128">
        <f t="shared" si="53"/>
        <v>0</v>
      </c>
      <c r="AH128">
        <f>'Assessment Questions'!AK128</f>
        <v>0</v>
      </c>
      <c r="AI128">
        <f>'Assessment Questions'!AL128</f>
        <v>0</v>
      </c>
      <c r="AJ128">
        <f>IF(OR($H128="",$H128="N/A"),"",IF($AH128="",VLOOKUP('Company Profile'!$B$40,_CONFIG_Model_Settings!$A$5:$B$8,2,FALSE),IFERROR(VLOOKUP($AH128,_CONFIG_Model_Settings!$A$5:$B$8,2,FALSE),0.9)))</f>
        <v>0.9</v>
      </c>
      <c r="AK128">
        <f>IF(OR($H128="",$H128="N/A"),"",IF($AI128="",VLOOKUP('Company Profile'!$B$41,_CONFIG_Model_Settings!$A$5:$B$8,2,FALSE),IFERROR(VLOOKUP($AI128,_CONFIG_Model_Settings!$A$5:$B$8,2,FALSE),0.9)))</f>
        <v>0.9</v>
      </c>
      <c r="AL128">
        <f t="shared" si="34"/>
        <v>0</v>
      </c>
      <c r="AM128">
        <f t="shared" si="35"/>
        <v>0</v>
      </c>
      <c r="AN128">
        <f>IFERROR(MIN(5,MAX(0,(SUMIFS(_REF_Model_Content!$D$1:$D$174,_REF_Model_Content!$A$1:$A$174,PV_Canonical_Industry,_REF_Model_Content!$B$1:$B$174,"Legal Risk"))+IFERROR(VLOOKUP('Company Profile'!$B$35,_CONFIG_Model_Settings!$A$11:$B$13,2,0),0))),"")</f>
        <v>0</v>
      </c>
      <c r="AO128">
        <f t="shared" si="36"/>
        <v>0</v>
      </c>
      <c r="AP128">
        <f>IFERROR(SUMIFS(_REF_Model_Content!$E$1:$E$174,_REF_Model_Content!$A$1:$A$174,PV_Canonical_Industry,_REF_Model_Content!$B$1:$B$174,"Legal Risk"),1)</f>
        <v>0</v>
      </c>
      <c r="AQ128">
        <f t="shared" si="37"/>
        <v>0</v>
      </c>
      <c r="AR128" t="str">
        <f t="shared" si="38"/>
        <v>Within target</v>
      </c>
      <c r="AS128">
        <f t="shared" si="39"/>
        <v>0</v>
      </c>
      <c r="AT128">
        <f t="shared" si="40"/>
        <v>0.9</v>
      </c>
      <c r="AU128">
        <f>'Assessment Questions'!AX128</f>
        <v>0</v>
      </c>
      <c r="AV128">
        <f t="shared" si="41"/>
        <v>0.9</v>
      </c>
      <c r="AW128" t="s">
        <v>1551</v>
      </c>
      <c r="AX128" t="s">
        <v>1551</v>
      </c>
      <c r="AY128">
        <v>9</v>
      </c>
      <c r="AZ128">
        <v>128</v>
      </c>
    </row>
    <row r="129" spans="1:52">
      <c r="A129" t="s">
        <v>1592</v>
      </c>
      <c r="B129" t="s">
        <v>1553</v>
      </c>
      <c r="C129" t="s">
        <v>1593</v>
      </c>
      <c r="D129" t="s">
        <v>1555</v>
      </c>
      <c r="E129" t="s">
        <v>1556</v>
      </c>
      <c r="F129" t="s">
        <v>1594</v>
      </c>
      <c r="G129">
        <f>'Assessment Questions'!J129</f>
        <v>5</v>
      </c>
      <c r="H129">
        <f t="shared" si="27"/>
        <v>0</v>
      </c>
      <c r="I129">
        <f t="shared" si="28"/>
        <v>0</v>
      </c>
      <c r="J129">
        <f t="shared" si="29"/>
        <v>5</v>
      </c>
      <c r="K129">
        <f t="shared" si="30"/>
        <v>5</v>
      </c>
      <c r="L129" t="str">
        <f t="shared" si="31"/>
        <v>Critical</v>
      </c>
      <c r="M129" t="s">
        <v>833</v>
      </c>
      <c r="N129" t="s">
        <v>834</v>
      </c>
      <c r="O129" t="s">
        <v>835</v>
      </c>
      <c r="P129" t="s">
        <v>836</v>
      </c>
      <c r="Q129" t="s">
        <v>837</v>
      </c>
      <c r="R129" t="s">
        <v>838</v>
      </c>
      <c r="S129" t="s">
        <v>1564</v>
      </c>
      <c r="T129">
        <f>'Assessment Questions'!W129</f>
        <v>0</v>
      </c>
      <c r="U129">
        <f>'Assessment Questions'!X129</f>
        <v>0</v>
      </c>
      <c r="V129" t="str">
        <f>'Assessment Questions'!Y129</f>
        <v>Use the recommended action generated by the model; validate with domain owner during real assessment.</v>
      </c>
      <c r="W129">
        <v>5</v>
      </c>
      <c r="X129">
        <v>5</v>
      </c>
      <c r="Y129">
        <v>5</v>
      </c>
      <c r="Z129">
        <f>'Assessment Questions'!AC129</f>
        <v>0</v>
      </c>
      <c r="AB129">
        <f t="shared" si="50"/>
        <v>0</v>
      </c>
      <c r="AC129">
        <f t="shared" si="51"/>
        <v>0</v>
      </c>
      <c r="AD129">
        <f t="shared" si="32"/>
        <v>0</v>
      </c>
      <c r="AE129">
        <f t="shared" si="52"/>
        <v>0</v>
      </c>
      <c r="AF129">
        <f t="shared" si="33"/>
        <v>5</v>
      </c>
      <c r="AG129">
        <f t="shared" si="53"/>
        <v>0</v>
      </c>
      <c r="AH129">
        <f>'Assessment Questions'!AK129</f>
        <v>0</v>
      </c>
      <c r="AI129">
        <f>'Assessment Questions'!AL129</f>
        <v>0</v>
      </c>
      <c r="AJ129">
        <f>IF(OR($H129="",$H129="N/A"),"",IF($AH129="",VLOOKUP('Company Profile'!$B$40,_CONFIG_Model_Settings!$A$5:$B$8,2,FALSE),IFERROR(VLOOKUP($AH129,_CONFIG_Model_Settings!$A$5:$B$8,2,FALSE),0.9)))</f>
        <v>0.9</v>
      </c>
      <c r="AK129">
        <f>IF(OR($H129="",$H129="N/A"),"",IF($AI129="",VLOOKUP('Company Profile'!$B$41,_CONFIG_Model_Settings!$A$5:$B$8,2,FALSE),IFERROR(VLOOKUP($AI129,_CONFIG_Model_Settings!$A$5:$B$8,2,FALSE),0.9)))</f>
        <v>0.9</v>
      </c>
      <c r="AL129">
        <f t="shared" si="34"/>
        <v>0</v>
      </c>
      <c r="AM129">
        <f t="shared" si="35"/>
        <v>0</v>
      </c>
      <c r="AN129">
        <f>IFERROR(MIN(5,MAX(0,(SUMIFS(_REF_Model_Content!$D$1:$D$174,_REF_Model_Content!$A$1:$A$174,PV_Canonical_Industry,_REF_Model_Content!$B$1:$B$174,"Legal Risk"))+IFERROR(VLOOKUP('Company Profile'!$B$35,_CONFIG_Model_Settings!$A$11:$B$13,2,0),0))),"")</f>
        <v>0</v>
      </c>
      <c r="AO129">
        <f t="shared" si="36"/>
        <v>0</v>
      </c>
      <c r="AP129">
        <f>IFERROR(SUMIFS(_REF_Model_Content!$E$1:$E$174,_REF_Model_Content!$A$1:$A$174,PV_Canonical_Industry,_REF_Model_Content!$B$1:$B$174,"Legal Risk"),1)</f>
        <v>0</v>
      </c>
      <c r="AQ129">
        <f t="shared" si="37"/>
        <v>0</v>
      </c>
      <c r="AR129" t="str">
        <f t="shared" si="38"/>
        <v>Within target</v>
      </c>
      <c r="AS129">
        <f t="shared" si="39"/>
        <v>0</v>
      </c>
      <c r="AT129">
        <f t="shared" si="40"/>
        <v>0.9</v>
      </c>
      <c r="AU129">
        <f>'Assessment Questions'!AX129</f>
        <v>0</v>
      </c>
      <c r="AV129">
        <f t="shared" si="41"/>
        <v>0.9</v>
      </c>
      <c r="AW129" t="s">
        <v>1551</v>
      </c>
      <c r="AX129" t="s">
        <v>1551</v>
      </c>
      <c r="AY129">
        <v>10</v>
      </c>
      <c r="AZ129">
        <v>129</v>
      </c>
    </row>
    <row r="130" spans="1:52">
      <c r="A130" t="s">
        <v>1595</v>
      </c>
      <c r="B130" t="s">
        <v>1568</v>
      </c>
      <c r="C130" t="s">
        <v>1596</v>
      </c>
      <c r="D130" t="s">
        <v>1555</v>
      </c>
      <c r="E130" t="s">
        <v>1556</v>
      </c>
      <c r="F130" t="s">
        <v>1597</v>
      </c>
      <c r="G130">
        <f>'Assessment Questions'!J130</f>
        <v>5</v>
      </c>
      <c r="H130">
        <f t="shared" si="27"/>
        <v>0</v>
      </c>
      <c r="I130">
        <f t="shared" si="28"/>
        <v>0</v>
      </c>
      <c r="J130">
        <f t="shared" si="29"/>
        <v>5</v>
      </c>
      <c r="K130">
        <f t="shared" si="30"/>
        <v>5</v>
      </c>
      <c r="L130" t="str">
        <f t="shared" si="31"/>
        <v>Critical</v>
      </c>
      <c r="M130" t="s">
        <v>1051</v>
      </c>
      <c r="N130" t="s">
        <v>1052</v>
      </c>
      <c r="O130" t="s">
        <v>1053</v>
      </c>
      <c r="P130" t="s">
        <v>1054</v>
      </c>
      <c r="Q130" t="s">
        <v>1055</v>
      </c>
      <c r="R130" t="s">
        <v>1056</v>
      </c>
      <c r="S130" t="s">
        <v>1564</v>
      </c>
      <c r="T130">
        <f>'Assessment Questions'!W130</f>
        <v>0</v>
      </c>
      <c r="U130">
        <f>'Assessment Questions'!X130</f>
        <v>0</v>
      </c>
      <c r="V130" t="str">
        <f>'Assessment Questions'!Y130</f>
        <v>Use the recommended action generated by the model; validate with domain owner during real assessment.</v>
      </c>
      <c r="W130">
        <v>5</v>
      </c>
      <c r="X130">
        <v>5</v>
      </c>
      <c r="Y130">
        <v>5</v>
      </c>
      <c r="Z130">
        <f>'Assessment Questions'!AC130</f>
        <v>0</v>
      </c>
      <c r="AB130">
        <f t="shared" si="50"/>
        <v>0</v>
      </c>
      <c r="AC130">
        <f t="shared" si="51"/>
        <v>0</v>
      </c>
      <c r="AD130">
        <f t="shared" si="32"/>
        <v>0</v>
      </c>
      <c r="AE130">
        <f t="shared" si="52"/>
        <v>0</v>
      </c>
      <c r="AF130">
        <f t="shared" si="33"/>
        <v>5</v>
      </c>
      <c r="AG130">
        <f t="shared" si="53"/>
        <v>0</v>
      </c>
      <c r="AH130">
        <f>'Assessment Questions'!AK130</f>
        <v>0</v>
      </c>
      <c r="AI130">
        <f>'Assessment Questions'!AL130</f>
        <v>0</v>
      </c>
      <c r="AJ130">
        <f>IF(OR($H130="",$H130="N/A"),"",IF($AH130="",VLOOKUP('Company Profile'!$B$40,_CONFIG_Model_Settings!$A$5:$B$8,2,FALSE),IFERROR(VLOOKUP($AH130,_CONFIG_Model_Settings!$A$5:$B$8,2,FALSE),0.9)))</f>
        <v>0.9</v>
      </c>
      <c r="AK130">
        <f>IF(OR($H130="",$H130="N/A"),"",IF($AI130="",VLOOKUP('Company Profile'!$B$41,_CONFIG_Model_Settings!$A$5:$B$8,2,FALSE),IFERROR(VLOOKUP($AI130,_CONFIG_Model_Settings!$A$5:$B$8,2,FALSE),0.9)))</f>
        <v>0.9</v>
      </c>
      <c r="AL130">
        <f t="shared" si="34"/>
        <v>0</v>
      </c>
      <c r="AM130">
        <f t="shared" si="35"/>
        <v>0</v>
      </c>
      <c r="AN130">
        <f>IFERROR(MIN(5,MAX(0,(SUMIFS(_REF_Model_Content!$D$1:$D$174,_REF_Model_Content!$A$1:$A$174,PV_Canonical_Industry,_REF_Model_Content!$B$1:$B$174,"Legal Risk"))+IFERROR(VLOOKUP('Company Profile'!$B$35,_CONFIG_Model_Settings!$A$11:$B$13,2,0),0))),"")</f>
        <v>0</v>
      </c>
      <c r="AO130">
        <f t="shared" si="36"/>
        <v>0</v>
      </c>
      <c r="AP130">
        <f>IFERROR(SUMIFS(_REF_Model_Content!$E$1:$E$174,_REF_Model_Content!$A$1:$A$174,PV_Canonical_Industry,_REF_Model_Content!$B$1:$B$174,"Legal Risk"),1)</f>
        <v>0</v>
      </c>
      <c r="AQ130">
        <f t="shared" si="37"/>
        <v>0</v>
      </c>
      <c r="AR130" t="str">
        <f t="shared" si="38"/>
        <v>Within target</v>
      </c>
      <c r="AS130">
        <f t="shared" si="39"/>
        <v>0</v>
      </c>
      <c r="AT130">
        <f t="shared" si="40"/>
        <v>0.9</v>
      </c>
      <c r="AU130">
        <f>'Assessment Questions'!AX130</f>
        <v>0</v>
      </c>
      <c r="AV130">
        <f t="shared" si="41"/>
        <v>0.9</v>
      </c>
      <c r="AW130" t="s">
        <v>1551</v>
      </c>
      <c r="AX130" t="s">
        <v>1551</v>
      </c>
      <c r="AY130">
        <v>11</v>
      </c>
      <c r="AZ130">
        <v>130</v>
      </c>
    </row>
    <row r="131" spans="1:52">
      <c r="A131" t="s">
        <v>1598</v>
      </c>
      <c r="B131" t="s">
        <v>1568</v>
      </c>
      <c r="C131" t="s">
        <v>1599</v>
      </c>
      <c r="D131" t="s">
        <v>1555</v>
      </c>
      <c r="E131" t="s">
        <v>1556</v>
      </c>
      <c r="F131" t="s">
        <v>1600</v>
      </c>
      <c r="G131">
        <f>'Assessment Questions'!J131</f>
        <v>5</v>
      </c>
      <c r="H131">
        <f t="shared" si="27"/>
        <v>0</v>
      </c>
      <c r="I131">
        <f t="shared" si="28"/>
        <v>0</v>
      </c>
      <c r="J131">
        <f t="shared" si="29"/>
        <v>5</v>
      </c>
      <c r="K131">
        <f t="shared" si="30"/>
        <v>5</v>
      </c>
      <c r="L131" t="str">
        <f t="shared" si="31"/>
        <v>Critical</v>
      </c>
      <c r="M131" t="s">
        <v>833</v>
      </c>
      <c r="N131" t="s">
        <v>834</v>
      </c>
      <c r="O131" t="s">
        <v>835</v>
      </c>
      <c r="P131" t="s">
        <v>836</v>
      </c>
      <c r="Q131" t="s">
        <v>837</v>
      </c>
      <c r="R131" t="s">
        <v>838</v>
      </c>
      <c r="S131" t="s">
        <v>1564</v>
      </c>
      <c r="T131">
        <f>'Assessment Questions'!W131</f>
        <v>0</v>
      </c>
      <c r="U131">
        <f>'Assessment Questions'!X131</f>
        <v>0</v>
      </c>
      <c r="V131" t="str">
        <f>'Assessment Questions'!Y131</f>
        <v>Use the recommended action generated by the model; validate with domain owner during real assessment.</v>
      </c>
      <c r="W131">
        <v>5</v>
      </c>
      <c r="X131">
        <v>5</v>
      </c>
      <c r="Y131">
        <v>5</v>
      </c>
      <c r="Z131">
        <f>'Assessment Questions'!AC131</f>
        <v>0</v>
      </c>
      <c r="AB131">
        <f t="shared" si="50"/>
        <v>0</v>
      </c>
      <c r="AC131">
        <f t="shared" si="51"/>
        <v>0</v>
      </c>
      <c r="AD131">
        <f t="shared" si="32"/>
        <v>0</v>
      </c>
      <c r="AE131">
        <f t="shared" si="52"/>
        <v>0</v>
      </c>
      <c r="AF131">
        <f t="shared" si="33"/>
        <v>5</v>
      </c>
      <c r="AG131">
        <f t="shared" si="53"/>
        <v>0</v>
      </c>
      <c r="AH131">
        <f>'Assessment Questions'!AK131</f>
        <v>0</v>
      </c>
      <c r="AI131">
        <f>'Assessment Questions'!AL131</f>
        <v>0</v>
      </c>
      <c r="AJ131">
        <f>IF(OR($H131="",$H131="N/A"),"",IF($AH131="",VLOOKUP('Company Profile'!$B$40,_CONFIG_Model_Settings!$A$5:$B$8,2,FALSE),IFERROR(VLOOKUP($AH131,_CONFIG_Model_Settings!$A$5:$B$8,2,FALSE),0.9)))</f>
        <v>0.9</v>
      </c>
      <c r="AK131">
        <f>IF(OR($H131="",$H131="N/A"),"",IF($AI131="",VLOOKUP('Company Profile'!$B$41,_CONFIG_Model_Settings!$A$5:$B$8,2,FALSE),IFERROR(VLOOKUP($AI131,_CONFIG_Model_Settings!$A$5:$B$8,2,FALSE),0.9)))</f>
        <v>0.9</v>
      </c>
      <c r="AL131">
        <f t="shared" si="34"/>
        <v>0</v>
      </c>
      <c r="AM131">
        <f t="shared" si="35"/>
        <v>0</v>
      </c>
      <c r="AN131">
        <f>IFERROR(MIN(5,MAX(0,(SUMIFS(_REF_Model_Content!$D$1:$D$174,_REF_Model_Content!$A$1:$A$174,PV_Canonical_Industry,_REF_Model_Content!$B$1:$B$174,"Legal Risk"))+IFERROR(VLOOKUP('Company Profile'!$B$35,_CONFIG_Model_Settings!$A$11:$B$13,2,0),0))),"")</f>
        <v>0</v>
      </c>
      <c r="AO131">
        <f t="shared" si="36"/>
        <v>0</v>
      </c>
      <c r="AP131">
        <f>IFERROR(SUMIFS(_REF_Model_Content!$E$1:$E$174,_REF_Model_Content!$A$1:$A$174,PV_Canonical_Industry,_REF_Model_Content!$B$1:$B$174,"Legal Risk"),1)</f>
        <v>0</v>
      </c>
      <c r="AQ131">
        <f t="shared" si="37"/>
        <v>0</v>
      </c>
      <c r="AR131" t="str">
        <f t="shared" si="38"/>
        <v>Within target</v>
      </c>
      <c r="AS131">
        <f t="shared" si="39"/>
        <v>0</v>
      </c>
      <c r="AT131">
        <f t="shared" si="40"/>
        <v>0.9</v>
      </c>
      <c r="AU131">
        <f>'Assessment Questions'!AX131</f>
        <v>0</v>
      </c>
      <c r="AV131">
        <f t="shared" si="41"/>
        <v>0.9</v>
      </c>
      <c r="AW131" t="s">
        <v>1551</v>
      </c>
      <c r="AX131" t="s">
        <v>1551</v>
      </c>
      <c r="AY131">
        <v>12</v>
      </c>
      <c r="AZ131">
        <v>131</v>
      </c>
    </row>
    <row r="132" spans="1:52">
      <c r="A132" t="s">
        <v>1601</v>
      </c>
      <c r="B132" t="s">
        <v>1568</v>
      </c>
      <c r="C132" t="s">
        <v>1602</v>
      </c>
      <c r="D132" t="s">
        <v>1555</v>
      </c>
      <c r="E132" t="s">
        <v>1556</v>
      </c>
      <c r="F132" t="s">
        <v>1603</v>
      </c>
      <c r="G132">
        <f>'Assessment Questions'!J132</f>
        <v>4</v>
      </c>
      <c r="H132">
        <f t="shared" si="27"/>
        <v>0</v>
      </c>
      <c r="I132">
        <f t="shared" si="28"/>
        <v>0</v>
      </c>
      <c r="J132">
        <f t="shared" si="29"/>
        <v>4</v>
      </c>
      <c r="K132">
        <f t="shared" si="30"/>
        <v>4</v>
      </c>
      <c r="L132" t="str">
        <f t="shared" si="31"/>
        <v>Critical</v>
      </c>
      <c r="M132" t="s">
        <v>1604</v>
      </c>
      <c r="N132" t="s">
        <v>1605</v>
      </c>
      <c r="O132" t="s">
        <v>1606</v>
      </c>
      <c r="P132" t="s">
        <v>1607</v>
      </c>
      <c r="Q132" t="s">
        <v>1608</v>
      </c>
      <c r="R132" t="s">
        <v>1609</v>
      </c>
      <c r="S132" t="s">
        <v>1564</v>
      </c>
      <c r="T132">
        <f>'Assessment Questions'!W132</f>
        <v>0</v>
      </c>
      <c r="U132">
        <f>'Assessment Questions'!X132</f>
        <v>0</v>
      </c>
      <c r="V132" t="str">
        <f>'Assessment Questions'!Y132</f>
        <v>Use the recommended action generated by the model; validate with domain owner during real assessment.</v>
      </c>
      <c r="W132">
        <v>5</v>
      </c>
      <c r="X132">
        <v>5</v>
      </c>
      <c r="Y132">
        <v>5</v>
      </c>
      <c r="Z132">
        <f>'Assessment Questions'!AC132</f>
        <v>0</v>
      </c>
      <c r="AB132">
        <f t="shared" si="50"/>
        <v>0</v>
      </c>
      <c r="AC132">
        <f t="shared" si="51"/>
        <v>0</v>
      </c>
      <c r="AD132">
        <f t="shared" si="32"/>
        <v>0</v>
      </c>
      <c r="AE132">
        <f t="shared" si="52"/>
        <v>0</v>
      </c>
      <c r="AF132">
        <f t="shared" si="33"/>
        <v>5</v>
      </c>
      <c r="AG132">
        <f t="shared" si="53"/>
        <v>0</v>
      </c>
      <c r="AH132">
        <f>'Assessment Questions'!AK132</f>
        <v>0</v>
      </c>
      <c r="AI132">
        <f>'Assessment Questions'!AL132</f>
        <v>0</v>
      </c>
      <c r="AJ132">
        <f>IF(OR($H132="",$H132="N/A"),"",IF($AH132="",VLOOKUP('Company Profile'!$B$40,_CONFIG_Model_Settings!$A$5:$B$8,2,FALSE),IFERROR(VLOOKUP($AH132,_CONFIG_Model_Settings!$A$5:$B$8,2,FALSE),0.9)))</f>
        <v>0.9</v>
      </c>
      <c r="AK132">
        <f>IF(OR($H132="",$H132="N/A"),"",IF($AI132="",VLOOKUP('Company Profile'!$B$41,_CONFIG_Model_Settings!$A$5:$B$8,2,FALSE),IFERROR(VLOOKUP($AI132,_CONFIG_Model_Settings!$A$5:$B$8,2,FALSE),0.9)))</f>
        <v>0.9</v>
      </c>
      <c r="AL132">
        <f t="shared" si="34"/>
        <v>0</v>
      </c>
      <c r="AM132">
        <f t="shared" si="35"/>
        <v>0</v>
      </c>
      <c r="AN132">
        <f>IFERROR(MIN(5,MAX(0,(SUMIFS(_REF_Model_Content!$D$1:$D$174,_REF_Model_Content!$A$1:$A$174,PV_Canonical_Industry,_REF_Model_Content!$B$1:$B$174,"Legal Risk"))+IFERROR(VLOOKUP('Company Profile'!$B$35,_CONFIG_Model_Settings!$A$11:$B$13,2,0),0))),"")</f>
        <v>0</v>
      </c>
      <c r="AO132">
        <f t="shared" si="36"/>
        <v>0</v>
      </c>
      <c r="AP132">
        <f>IFERROR(SUMIFS(_REF_Model_Content!$E$1:$E$174,_REF_Model_Content!$A$1:$A$174,PV_Canonical_Industry,_REF_Model_Content!$B$1:$B$174,"Legal Risk"),1)</f>
        <v>0</v>
      </c>
      <c r="AQ132">
        <f t="shared" si="37"/>
        <v>0</v>
      </c>
      <c r="AR132" t="str">
        <f t="shared" si="38"/>
        <v>Within target</v>
      </c>
      <c r="AS132">
        <f t="shared" si="39"/>
        <v>0</v>
      </c>
      <c r="AT132">
        <f t="shared" si="40"/>
        <v>0.9</v>
      </c>
      <c r="AU132">
        <f>'Assessment Questions'!AX132</f>
        <v>0</v>
      </c>
      <c r="AV132">
        <f t="shared" si="41"/>
        <v>0.9</v>
      </c>
      <c r="AW132" t="s">
        <v>1551</v>
      </c>
      <c r="AX132" t="s">
        <v>1551</v>
      </c>
      <c r="AY132">
        <v>13</v>
      </c>
      <c r="AZ132">
        <v>132</v>
      </c>
    </row>
    <row r="133" spans="1:52">
      <c r="A133" t="s">
        <v>1610</v>
      </c>
      <c r="B133" t="s">
        <v>1568</v>
      </c>
      <c r="C133" t="s">
        <v>1611</v>
      </c>
      <c r="D133" t="s">
        <v>1555</v>
      </c>
      <c r="E133" t="s">
        <v>1556</v>
      </c>
      <c r="F133" t="s">
        <v>1612</v>
      </c>
      <c r="G133">
        <f>'Assessment Questions'!J133</f>
        <v>5</v>
      </c>
      <c r="H133">
        <f t="shared" ref="H133:H196" si="54">IF($Z133="","",IF($Z133="N/A","N/A",VALUE(LEFT($Z133,1))))</f>
        <v>0</v>
      </c>
      <c r="I133">
        <f t="shared" ref="I133:I196" si="55">IF($H133="","",IF($H133="N/A","",VALUE($H133)/5*$G133))</f>
        <v>0</v>
      </c>
      <c r="J133">
        <f t="shared" ref="J133:J196" si="56">IF(OR($H133="",$H133="N/A"),"",$G133)</f>
        <v>5</v>
      </c>
      <c r="K133">
        <f t="shared" ref="K133:K196" si="57">IF(OR($H133="",$H133="N/A"),"",$J133-$I133)</f>
        <v>5</v>
      </c>
      <c r="L133" t="str">
        <f t="shared" ref="L133:L196" si="58">IF($H133="","",IF($H133="N/A","N/A",IF(VALUE($H133)&lt;=1,"Critical",IF(VALUE($H133)&lt;=2,"High",IF(VALUE($H133)&lt;=3,"Medium",IF(VALUE($H133)&lt;=4,"Low","Resilient"))))))</f>
        <v>Critical</v>
      </c>
      <c r="M133" t="s">
        <v>833</v>
      </c>
      <c r="N133" t="s">
        <v>834</v>
      </c>
      <c r="O133" t="s">
        <v>835</v>
      </c>
      <c r="P133" t="s">
        <v>836</v>
      </c>
      <c r="Q133" t="s">
        <v>837</v>
      </c>
      <c r="R133" t="s">
        <v>838</v>
      </c>
      <c r="S133" t="s">
        <v>1564</v>
      </c>
      <c r="T133">
        <f>'Assessment Questions'!W133</f>
        <v>0</v>
      </c>
      <c r="U133">
        <f>'Assessment Questions'!X133</f>
        <v>0</v>
      </c>
      <c r="V133" t="str">
        <f>'Assessment Questions'!Y133</f>
        <v>Use the recommended action generated by the model; validate with domain owner during real assessment.</v>
      </c>
      <c r="W133">
        <v>5</v>
      </c>
      <c r="X133">
        <v>5</v>
      </c>
      <c r="Y133">
        <v>5</v>
      </c>
      <c r="Z133">
        <f>'Assessment Questions'!AC133</f>
        <v>0</v>
      </c>
      <c r="AB133">
        <f t="shared" si="50"/>
        <v>0</v>
      </c>
      <c r="AC133">
        <f t="shared" si="51"/>
        <v>0</v>
      </c>
      <c r="AD133">
        <f t="shared" ref="AD133:AD196" si="59">AC133/5</f>
        <v>0</v>
      </c>
      <c r="AE133">
        <f t="shared" si="52"/>
        <v>0</v>
      </c>
      <c r="AF133">
        <f t="shared" ref="AF133:AF196" si="60">5-AC133</f>
        <v>5</v>
      </c>
      <c r="AG133">
        <f t="shared" si="53"/>
        <v>0</v>
      </c>
      <c r="AH133">
        <f>'Assessment Questions'!AK133</f>
        <v>0</v>
      </c>
      <c r="AI133">
        <f>'Assessment Questions'!AL133</f>
        <v>0</v>
      </c>
      <c r="AJ133">
        <f>IF(OR($H133="",$H133="N/A"),"",IF($AH133="",VLOOKUP('Company Profile'!$B$40,_CONFIG_Model_Settings!$A$5:$B$8,2,FALSE),IFERROR(VLOOKUP($AH133,_CONFIG_Model_Settings!$A$5:$B$8,2,FALSE),0.9)))</f>
        <v>0.9</v>
      </c>
      <c r="AK133">
        <f>IF(OR($H133="",$H133="N/A"),"",IF($AI133="",VLOOKUP('Company Profile'!$B$41,_CONFIG_Model_Settings!$A$5:$B$8,2,FALSE),IFERROR(VLOOKUP($AI133,_CONFIG_Model_Settings!$A$5:$B$8,2,FALSE),0.9)))</f>
        <v>0.9</v>
      </c>
      <c r="AL133">
        <f t="shared" ref="AL133:AL196" si="61">IF(OR($H133="",$H133="N/A"),"",ROUND(VALUE($H133)*$AJ133*$AK133*$AV133,2))</f>
        <v>0</v>
      </c>
      <c r="AM133">
        <f t="shared" ref="AM133:AM196" si="62">IF($AL133="","",ROUND($AL133/5*100,1))</f>
        <v>0</v>
      </c>
      <c r="AN133">
        <f>IFERROR(MIN(5,MAX(0,(SUMIFS(_REF_Model_Content!$D$1:$D$174,_REF_Model_Content!$A$1:$A$174,PV_Canonical_Industry,_REF_Model_Content!$B$1:$B$174,"Legal Risk"))+IFERROR(VLOOKUP('Company Profile'!$B$35,_CONFIG_Model_Settings!$A$11:$B$13,2,0),0))),"")</f>
        <v>0</v>
      </c>
      <c r="AO133">
        <f t="shared" ref="AO133:AO196" si="63">IF($AL133="","",MAX(0,ROUND($AN133-$AL133,2)))</f>
        <v>0</v>
      </c>
      <c r="AP133">
        <f>IFERROR(SUMIFS(_REF_Model_Content!$E$1:$E$174,_REF_Model_Content!$A$1:$A$174,PV_Canonical_Industry,_REF_Model_Content!$B$1:$B$174,"Legal Risk"),1)</f>
        <v>0</v>
      </c>
      <c r="AQ133">
        <f t="shared" ref="AQ133:AQ196" si="64">IF($AO133="","",ROUND($AO133*$AP133*($G133/5),2))</f>
        <v>0</v>
      </c>
      <c r="AR133" t="str">
        <f t="shared" ref="AR133:AR196" si="65">IF($AO133="","",IF($AO133&gt;=2,"Critical industry gap",IF($AO133&gt;=1,"High industry gap",IF($AO133&gt;=0.5,"Moderate industry gap","Within target"))))</f>
        <v>Within target</v>
      </c>
      <c r="AS133">
        <f t="shared" ref="AS133:AS196" si="66">IF(OR($H133="",$H133="N/A"),0,VALUE($H133)*(($AJ133+$AK133)/2)*$AV133)</f>
        <v>0</v>
      </c>
      <c r="AT133">
        <f t="shared" ref="AT133:AT196" si="67">IF(OR($H133="",$H133="N/A"),0,($AJ133+$AK133)/2)</f>
        <v>0.9</v>
      </c>
      <c r="AU133">
        <f>'Assessment Questions'!AX133</f>
        <v>0</v>
      </c>
      <c r="AV133">
        <f t="shared" ref="AV133:AV196" si="68">IF(OR($H133="",$H133="N/A"),"",IF(OR($AU133="",$AU133="Everywhere",$AU133="Not applicable"),1,IF($AU133="Pilot / one team",0.4,IF($AU133="One unit or site",0.7,0.9))))</f>
        <v>0.9</v>
      </c>
      <c r="AW133" t="s">
        <v>1551</v>
      </c>
      <c r="AX133" t="s">
        <v>1551</v>
      </c>
      <c r="AY133">
        <v>14</v>
      </c>
      <c r="AZ133">
        <v>133</v>
      </c>
    </row>
    <row r="134" spans="1:52">
      <c r="A134" t="s">
        <v>1613</v>
      </c>
      <c r="B134" t="s">
        <v>1568</v>
      </c>
      <c r="C134" t="s">
        <v>1614</v>
      </c>
      <c r="D134" t="s">
        <v>1555</v>
      </c>
      <c r="E134" t="s">
        <v>1556</v>
      </c>
      <c r="F134" t="s">
        <v>1615</v>
      </c>
      <c r="G134">
        <f>'Assessment Questions'!J134</f>
        <v>5</v>
      </c>
      <c r="H134">
        <f t="shared" si="54"/>
        <v>0</v>
      </c>
      <c r="I134">
        <f t="shared" si="55"/>
        <v>0</v>
      </c>
      <c r="J134">
        <f t="shared" si="56"/>
        <v>5</v>
      </c>
      <c r="K134">
        <f t="shared" si="57"/>
        <v>5</v>
      </c>
      <c r="L134" t="str">
        <f t="shared" si="58"/>
        <v>Critical</v>
      </c>
      <c r="M134" t="s">
        <v>833</v>
      </c>
      <c r="N134" t="s">
        <v>834</v>
      </c>
      <c r="O134" t="s">
        <v>835</v>
      </c>
      <c r="P134" t="s">
        <v>836</v>
      </c>
      <c r="Q134" t="s">
        <v>837</v>
      </c>
      <c r="R134" t="s">
        <v>838</v>
      </c>
      <c r="S134" t="s">
        <v>1564</v>
      </c>
      <c r="T134">
        <f>'Assessment Questions'!W134</f>
        <v>0</v>
      </c>
      <c r="U134">
        <f>'Assessment Questions'!X134</f>
        <v>0</v>
      </c>
      <c r="V134" t="str">
        <f>'Assessment Questions'!Y134</f>
        <v>Use the recommended action generated by the model; validate with domain owner during real assessment.</v>
      </c>
      <c r="W134">
        <v>5</v>
      </c>
      <c r="X134">
        <v>5</v>
      </c>
      <c r="Y134">
        <v>5</v>
      </c>
      <c r="Z134">
        <f>'Assessment Questions'!AC134</f>
        <v>0</v>
      </c>
      <c r="AB134">
        <f t="shared" si="50"/>
        <v>0</v>
      </c>
      <c r="AC134">
        <f t="shared" si="51"/>
        <v>0</v>
      </c>
      <c r="AD134">
        <f t="shared" si="59"/>
        <v>0</v>
      </c>
      <c r="AE134">
        <f t="shared" si="52"/>
        <v>0</v>
      </c>
      <c r="AF134">
        <f t="shared" si="60"/>
        <v>5</v>
      </c>
      <c r="AG134">
        <f t="shared" si="53"/>
        <v>0</v>
      </c>
      <c r="AH134">
        <f>'Assessment Questions'!AK134</f>
        <v>0</v>
      </c>
      <c r="AI134">
        <f>'Assessment Questions'!AL134</f>
        <v>0</v>
      </c>
      <c r="AJ134">
        <f>IF(OR($H134="",$H134="N/A"),"",IF($AH134="",VLOOKUP('Company Profile'!$B$40,_CONFIG_Model_Settings!$A$5:$B$8,2,FALSE),IFERROR(VLOOKUP($AH134,_CONFIG_Model_Settings!$A$5:$B$8,2,FALSE),0.9)))</f>
        <v>0.9</v>
      </c>
      <c r="AK134">
        <f>IF(OR($H134="",$H134="N/A"),"",IF($AI134="",VLOOKUP('Company Profile'!$B$41,_CONFIG_Model_Settings!$A$5:$B$8,2,FALSE),IFERROR(VLOOKUP($AI134,_CONFIG_Model_Settings!$A$5:$B$8,2,FALSE),0.9)))</f>
        <v>0.9</v>
      </c>
      <c r="AL134">
        <f t="shared" si="61"/>
        <v>0</v>
      </c>
      <c r="AM134">
        <f t="shared" si="62"/>
        <v>0</v>
      </c>
      <c r="AN134">
        <f>IFERROR(MIN(5,MAX(0,(SUMIFS(_REF_Model_Content!$D$1:$D$174,_REF_Model_Content!$A$1:$A$174,PV_Canonical_Industry,_REF_Model_Content!$B$1:$B$174,"Legal Risk"))+IFERROR(VLOOKUP('Company Profile'!$B$35,_CONFIG_Model_Settings!$A$11:$B$13,2,0),0))),"")</f>
        <v>0</v>
      </c>
      <c r="AO134">
        <f t="shared" si="63"/>
        <v>0</v>
      </c>
      <c r="AP134">
        <f>IFERROR(SUMIFS(_REF_Model_Content!$E$1:$E$174,_REF_Model_Content!$A$1:$A$174,PV_Canonical_Industry,_REF_Model_Content!$B$1:$B$174,"Legal Risk"),1)</f>
        <v>0</v>
      </c>
      <c r="AQ134">
        <f t="shared" si="64"/>
        <v>0</v>
      </c>
      <c r="AR134" t="str">
        <f t="shared" si="65"/>
        <v>Within target</v>
      </c>
      <c r="AS134">
        <f t="shared" si="66"/>
        <v>0</v>
      </c>
      <c r="AT134">
        <f t="shared" si="67"/>
        <v>0.9</v>
      </c>
      <c r="AU134">
        <f>'Assessment Questions'!AX134</f>
        <v>0</v>
      </c>
      <c r="AV134">
        <f t="shared" si="68"/>
        <v>0.9</v>
      </c>
      <c r="AW134" t="s">
        <v>1551</v>
      </c>
      <c r="AX134" t="s">
        <v>1551</v>
      </c>
      <c r="AY134">
        <v>15</v>
      </c>
      <c r="AZ134">
        <v>134</v>
      </c>
    </row>
    <row r="135" spans="1:52">
      <c r="A135" t="s">
        <v>1616</v>
      </c>
      <c r="B135" t="s">
        <v>1568</v>
      </c>
      <c r="C135" t="s">
        <v>1617</v>
      </c>
      <c r="D135" t="s">
        <v>1555</v>
      </c>
      <c r="E135" t="s">
        <v>1556</v>
      </c>
      <c r="F135" t="s">
        <v>1618</v>
      </c>
      <c r="G135">
        <f>'Assessment Questions'!J135</f>
        <v>5</v>
      </c>
      <c r="H135">
        <f t="shared" si="54"/>
        <v>0</v>
      </c>
      <c r="I135">
        <f t="shared" si="55"/>
        <v>0</v>
      </c>
      <c r="J135">
        <f t="shared" si="56"/>
        <v>5</v>
      </c>
      <c r="K135">
        <f t="shared" si="57"/>
        <v>5</v>
      </c>
      <c r="L135" t="str">
        <f t="shared" si="58"/>
        <v>Critical</v>
      </c>
      <c r="M135" t="s">
        <v>833</v>
      </c>
      <c r="N135" t="s">
        <v>834</v>
      </c>
      <c r="O135" t="s">
        <v>835</v>
      </c>
      <c r="P135" t="s">
        <v>836</v>
      </c>
      <c r="Q135" t="s">
        <v>837</v>
      </c>
      <c r="R135" t="s">
        <v>838</v>
      </c>
      <c r="S135" t="s">
        <v>1564</v>
      </c>
      <c r="T135">
        <f>'Assessment Questions'!W135</f>
        <v>0</v>
      </c>
      <c r="U135">
        <f>'Assessment Questions'!X135</f>
        <v>0</v>
      </c>
      <c r="V135" t="str">
        <f>'Assessment Questions'!Y135</f>
        <v>Use the recommended action generated by the model; validate with domain owner during real assessment.</v>
      </c>
      <c r="W135">
        <v>5</v>
      </c>
      <c r="X135">
        <v>5</v>
      </c>
      <c r="Y135">
        <v>5</v>
      </c>
      <c r="Z135">
        <f>'Assessment Questions'!AC135</f>
        <v>0</v>
      </c>
      <c r="AB135">
        <f t="shared" si="50"/>
        <v>0</v>
      </c>
      <c r="AC135">
        <f t="shared" si="51"/>
        <v>0</v>
      </c>
      <c r="AD135">
        <f t="shared" si="59"/>
        <v>0</v>
      </c>
      <c r="AE135">
        <f t="shared" si="52"/>
        <v>0</v>
      </c>
      <c r="AF135">
        <f t="shared" si="60"/>
        <v>5</v>
      </c>
      <c r="AG135">
        <f t="shared" si="53"/>
        <v>0</v>
      </c>
      <c r="AH135">
        <f>'Assessment Questions'!AK135</f>
        <v>0</v>
      </c>
      <c r="AI135">
        <f>'Assessment Questions'!AL135</f>
        <v>0</v>
      </c>
      <c r="AJ135">
        <f>IF(OR($H135="",$H135="N/A"),"",IF($AH135="",VLOOKUP('Company Profile'!$B$40,_CONFIG_Model_Settings!$A$5:$B$8,2,FALSE),IFERROR(VLOOKUP($AH135,_CONFIG_Model_Settings!$A$5:$B$8,2,FALSE),0.9)))</f>
        <v>0.9</v>
      </c>
      <c r="AK135">
        <f>IF(OR($H135="",$H135="N/A"),"",IF($AI135="",VLOOKUP('Company Profile'!$B$41,_CONFIG_Model_Settings!$A$5:$B$8,2,FALSE),IFERROR(VLOOKUP($AI135,_CONFIG_Model_Settings!$A$5:$B$8,2,FALSE),0.9)))</f>
        <v>0.9</v>
      </c>
      <c r="AL135">
        <f t="shared" si="61"/>
        <v>0</v>
      </c>
      <c r="AM135">
        <f t="shared" si="62"/>
        <v>0</v>
      </c>
      <c r="AN135">
        <f>IFERROR(MIN(5,MAX(0,(SUMIFS(_REF_Model_Content!$D$1:$D$174,_REF_Model_Content!$A$1:$A$174,PV_Canonical_Industry,_REF_Model_Content!$B$1:$B$174,"Legal Risk"))+IFERROR(VLOOKUP('Company Profile'!$B$35,_CONFIG_Model_Settings!$A$11:$B$13,2,0),0))),"")</f>
        <v>0</v>
      </c>
      <c r="AO135">
        <f t="shared" si="63"/>
        <v>0</v>
      </c>
      <c r="AP135">
        <f>IFERROR(SUMIFS(_REF_Model_Content!$E$1:$E$174,_REF_Model_Content!$A$1:$A$174,PV_Canonical_Industry,_REF_Model_Content!$B$1:$B$174,"Legal Risk"),1)</f>
        <v>0</v>
      </c>
      <c r="AQ135">
        <f t="shared" si="64"/>
        <v>0</v>
      </c>
      <c r="AR135" t="str">
        <f t="shared" si="65"/>
        <v>Within target</v>
      </c>
      <c r="AS135">
        <f t="shared" si="66"/>
        <v>0</v>
      </c>
      <c r="AT135">
        <f t="shared" si="67"/>
        <v>0.9</v>
      </c>
      <c r="AU135">
        <f>'Assessment Questions'!AX135</f>
        <v>0</v>
      </c>
      <c r="AV135">
        <f t="shared" si="68"/>
        <v>0.9</v>
      </c>
      <c r="AW135" t="s">
        <v>1551</v>
      </c>
      <c r="AX135" t="s">
        <v>1551</v>
      </c>
      <c r="AY135">
        <v>16</v>
      </c>
      <c r="AZ135">
        <v>135</v>
      </c>
    </row>
    <row r="136" spans="1:52">
      <c r="A136" t="s">
        <v>1619</v>
      </c>
      <c r="B136" t="s">
        <v>1572</v>
      </c>
      <c r="C136" t="s">
        <v>1620</v>
      </c>
      <c r="D136" t="s">
        <v>1555</v>
      </c>
      <c r="E136" t="s">
        <v>1556</v>
      </c>
      <c r="F136" t="s">
        <v>1621</v>
      </c>
      <c r="G136">
        <f>'Assessment Questions'!J136</f>
        <v>5</v>
      </c>
      <c r="H136">
        <f t="shared" si="54"/>
        <v>0</v>
      </c>
      <c r="I136">
        <f t="shared" si="55"/>
        <v>0</v>
      </c>
      <c r="J136">
        <f t="shared" si="56"/>
        <v>5</v>
      </c>
      <c r="K136">
        <f t="shared" si="57"/>
        <v>5</v>
      </c>
      <c r="L136" t="str">
        <f t="shared" si="58"/>
        <v>Critical</v>
      </c>
      <c r="M136" t="s">
        <v>1051</v>
      </c>
      <c r="N136" t="s">
        <v>1052</v>
      </c>
      <c r="O136" t="s">
        <v>1053</v>
      </c>
      <c r="P136" t="s">
        <v>1054</v>
      </c>
      <c r="Q136" t="s">
        <v>1055</v>
      </c>
      <c r="R136" t="s">
        <v>1056</v>
      </c>
      <c r="S136" t="s">
        <v>1564</v>
      </c>
      <c r="T136">
        <f>'Assessment Questions'!W136</f>
        <v>0</v>
      </c>
      <c r="U136">
        <f>'Assessment Questions'!X136</f>
        <v>0</v>
      </c>
      <c r="V136" t="str">
        <f>'Assessment Questions'!Y136</f>
        <v>Use the recommended action generated by the model; validate with domain owner during real assessment.</v>
      </c>
      <c r="W136">
        <v>5</v>
      </c>
      <c r="X136">
        <v>5</v>
      </c>
      <c r="Y136">
        <v>5</v>
      </c>
      <c r="Z136">
        <f>'Assessment Questions'!AC136</f>
        <v>0</v>
      </c>
      <c r="AB136">
        <f t="shared" si="50"/>
        <v>0</v>
      </c>
      <c r="AC136">
        <f t="shared" si="51"/>
        <v>0</v>
      </c>
      <c r="AD136">
        <f t="shared" si="59"/>
        <v>0</v>
      </c>
      <c r="AE136">
        <f t="shared" si="52"/>
        <v>0</v>
      </c>
      <c r="AF136">
        <f t="shared" si="60"/>
        <v>5</v>
      </c>
      <c r="AG136">
        <f t="shared" si="53"/>
        <v>0</v>
      </c>
      <c r="AH136">
        <f>'Assessment Questions'!AK136</f>
        <v>0</v>
      </c>
      <c r="AI136">
        <f>'Assessment Questions'!AL136</f>
        <v>0</v>
      </c>
      <c r="AJ136">
        <f>IF(OR($H136="",$H136="N/A"),"",IF($AH136="",VLOOKUP('Company Profile'!$B$40,_CONFIG_Model_Settings!$A$5:$B$8,2,FALSE),IFERROR(VLOOKUP($AH136,_CONFIG_Model_Settings!$A$5:$B$8,2,FALSE),0.9)))</f>
        <v>0.9</v>
      </c>
      <c r="AK136">
        <f>IF(OR($H136="",$H136="N/A"),"",IF($AI136="",VLOOKUP('Company Profile'!$B$41,_CONFIG_Model_Settings!$A$5:$B$8,2,FALSE),IFERROR(VLOOKUP($AI136,_CONFIG_Model_Settings!$A$5:$B$8,2,FALSE),0.9)))</f>
        <v>0.9</v>
      </c>
      <c r="AL136">
        <f t="shared" si="61"/>
        <v>0</v>
      </c>
      <c r="AM136">
        <f t="shared" si="62"/>
        <v>0</v>
      </c>
      <c r="AN136">
        <f>IFERROR(MIN(5,MAX(0,(SUMIFS(_REF_Model_Content!$D$1:$D$174,_REF_Model_Content!$A$1:$A$174,PV_Canonical_Industry,_REF_Model_Content!$B$1:$B$174,"Legal Risk"))+IFERROR(VLOOKUP('Company Profile'!$B$35,_CONFIG_Model_Settings!$A$11:$B$13,2,0),0))),"")</f>
        <v>0</v>
      </c>
      <c r="AO136">
        <f t="shared" si="63"/>
        <v>0</v>
      </c>
      <c r="AP136">
        <f>IFERROR(SUMIFS(_REF_Model_Content!$E$1:$E$174,_REF_Model_Content!$A$1:$A$174,PV_Canonical_Industry,_REF_Model_Content!$B$1:$B$174,"Legal Risk"),1)</f>
        <v>0</v>
      </c>
      <c r="AQ136">
        <f t="shared" si="64"/>
        <v>0</v>
      </c>
      <c r="AR136" t="str">
        <f t="shared" si="65"/>
        <v>Within target</v>
      </c>
      <c r="AS136">
        <f t="shared" si="66"/>
        <v>0</v>
      </c>
      <c r="AT136">
        <f t="shared" si="67"/>
        <v>0.9</v>
      </c>
      <c r="AU136">
        <f>'Assessment Questions'!AX136</f>
        <v>0</v>
      </c>
      <c r="AV136">
        <f t="shared" si="68"/>
        <v>0.9</v>
      </c>
      <c r="AW136" t="s">
        <v>1551</v>
      </c>
      <c r="AX136" t="s">
        <v>1551</v>
      </c>
      <c r="AY136">
        <v>17</v>
      </c>
      <c r="AZ136">
        <v>136</v>
      </c>
    </row>
    <row r="137" spans="1:52">
      <c r="A137" t="s">
        <v>1622</v>
      </c>
      <c r="B137" t="s">
        <v>1572</v>
      </c>
      <c r="C137" t="s">
        <v>1623</v>
      </c>
      <c r="D137" t="s">
        <v>1555</v>
      </c>
      <c r="E137" t="s">
        <v>1556</v>
      </c>
      <c r="F137" t="s">
        <v>1624</v>
      </c>
      <c r="G137">
        <f>'Assessment Questions'!J137</f>
        <v>4</v>
      </c>
      <c r="H137">
        <f t="shared" si="54"/>
        <v>0</v>
      </c>
      <c r="I137">
        <f t="shared" si="55"/>
        <v>0</v>
      </c>
      <c r="J137">
        <f t="shared" si="56"/>
        <v>4</v>
      </c>
      <c r="K137">
        <f t="shared" si="57"/>
        <v>4</v>
      </c>
      <c r="L137" t="str">
        <f t="shared" si="58"/>
        <v>Critical</v>
      </c>
      <c r="M137" t="s">
        <v>1625</v>
      </c>
      <c r="N137" t="s">
        <v>1626</v>
      </c>
      <c r="O137" t="s">
        <v>1627</v>
      </c>
      <c r="P137" t="s">
        <v>1628</v>
      </c>
      <c r="Q137" t="s">
        <v>1629</v>
      </c>
      <c r="R137" t="s">
        <v>1630</v>
      </c>
      <c r="S137" t="s">
        <v>1564</v>
      </c>
      <c r="T137">
        <f>'Assessment Questions'!W137</f>
        <v>0</v>
      </c>
      <c r="U137">
        <f>'Assessment Questions'!X137</f>
        <v>0</v>
      </c>
      <c r="V137" t="str">
        <f>'Assessment Questions'!Y137</f>
        <v>Use the recommended action generated by the model; validate with domain owner during real assessment.</v>
      </c>
      <c r="W137">
        <v>5</v>
      </c>
      <c r="X137">
        <v>5</v>
      </c>
      <c r="Y137">
        <v>5</v>
      </c>
      <c r="Z137">
        <f>'Assessment Questions'!AC137</f>
        <v>0</v>
      </c>
      <c r="AB137">
        <f t="shared" si="50"/>
        <v>0</v>
      </c>
      <c r="AC137">
        <f t="shared" si="51"/>
        <v>0</v>
      </c>
      <c r="AD137">
        <f t="shared" si="59"/>
        <v>0</v>
      </c>
      <c r="AE137">
        <f t="shared" si="52"/>
        <v>0</v>
      </c>
      <c r="AF137">
        <f t="shared" si="60"/>
        <v>5</v>
      </c>
      <c r="AG137">
        <f t="shared" si="53"/>
        <v>0</v>
      </c>
      <c r="AH137">
        <f>'Assessment Questions'!AK137</f>
        <v>0</v>
      </c>
      <c r="AI137">
        <f>'Assessment Questions'!AL137</f>
        <v>0</v>
      </c>
      <c r="AJ137">
        <f>IF(OR($H137="",$H137="N/A"),"",IF($AH137="",VLOOKUP('Company Profile'!$B$40,_CONFIG_Model_Settings!$A$5:$B$8,2,FALSE),IFERROR(VLOOKUP($AH137,_CONFIG_Model_Settings!$A$5:$B$8,2,FALSE),0.9)))</f>
        <v>0.9</v>
      </c>
      <c r="AK137">
        <f>IF(OR($H137="",$H137="N/A"),"",IF($AI137="",VLOOKUP('Company Profile'!$B$41,_CONFIG_Model_Settings!$A$5:$B$8,2,FALSE),IFERROR(VLOOKUP($AI137,_CONFIG_Model_Settings!$A$5:$B$8,2,FALSE),0.9)))</f>
        <v>0.9</v>
      </c>
      <c r="AL137">
        <f t="shared" si="61"/>
        <v>0</v>
      </c>
      <c r="AM137">
        <f t="shared" si="62"/>
        <v>0</v>
      </c>
      <c r="AN137">
        <f>IFERROR(MIN(5,MAX(0,(SUMIFS(_REF_Model_Content!$D$1:$D$174,_REF_Model_Content!$A$1:$A$174,PV_Canonical_Industry,_REF_Model_Content!$B$1:$B$174,"Legal Risk"))+IFERROR(VLOOKUP('Company Profile'!$B$35,_CONFIG_Model_Settings!$A$11:$B$13,2,0),0))),"")</f>
        <v>0</v>
      </c>
      <c r="AO137">
        <f t="shared" si="63"/>
        <v>0</v>
      </c>
      <c r="AP137">
        <f>IFERROR(SUMIFS(_REF_Model_Content!$E$1:$E$174,_REF_Model_Content!$A$1:$A$174,PV_Canonical_Industry,_REF_Model_Content!$B$1:$B$174,"Legal Risk"),1)</f>
        <v>0</v>
      </c>
      <c r="AQ137">
        <f t="shared" si="64"/>
        <v>0</v>
      </c>
      <c r="AR137" t="str">
        <f t="shared" si="65"/>
        <v>Within target</v>
      </c>
      <c r="AS137">
        <f t="shared" si="66"/>
        <v>0</v>
      </c>
      <c r="AT137">
        <f t="shared" si="67"/>
        <v>0.9</v>
      </c>
      <c r="AU137">
        <f>'Assessment Questions'!AX137</f>
        <v>0</v>
      </c>
      <c r="AV137">
        <f t="shared" si="68"/>
        <v>0.9</v>
      </c>
      <c r="AW137" t="s">
        <v>1551</v>
      </c>
      <c r="AX137" t="s">
        <v>1551</v>
      </c>
      <c r="AY137">
        <v>18</v>
      </c>
      <c r="AZ137">
        <v>137</v>
      </c>
    </row>
    <row r="138" spans="1:52">
      <c r="A138" t="s">
        <v>1631</v>
      </c>
      <c r="B138" t="s">
        <v>1572</v>
      </c>
      <c r="C138" t="s">
        <v>1632</v>
      </c>
      <c r="D138" t="s">
        <v>1555</v>
      </c>
      <c r="E138" t="s">
        <v>1556</v>
      </c>
      <c r="F138" t="s">
        <v>1633</v>
      </c>
      <c r="G138">
        <f>'Assessment Questions'!J138</f>
        <v>5</v>
      </c>
      <c r="H138">
        <f t="shared" si="54"/>
        <v>0</v>
      </c>
      <c r="I138">
        <f t="shared" si="55"/>
        <v>0</v>
      </c>
      <c r="J138">
        <f t="shared" si="56"/>
        <v>5</v>
      </c>
      <c r="K138">
        <f t="shared" si="57"/>
        <v>5</v>
      </c>
      <c r="L138" t="str">
        <f t="shared" si="58"/>
        <v>Critical</v>
      </c>
      <c r="M138" t="s">
        <v>833</v>
      </c>
      <c r="N138" t="s">
        <v>834</v>
      </c>
      <c r="O138" t="s">
        <v>835</v>
      </c>
      <c r="P138" t="s">
        <v>836</v>
      </c>
      <c r="Q138" t="s">
        <v>837</v>
      </c>
      <c r="R138" t="s">
        <v>838</v>
      </c>
      <c r="S138" t="s">
        <v>1564</v>
      </c>
      <c r="T138">
        <f>'Assessment Questions'!W138</f>
        <v>0</v>
      </c>
      <c r="U138">
        <f>'Assessment Questions'!X138</f>
        <v>0</v>
      </c>
      <c r="V138" t="str">
        <f>'Assessment Questions'!Y138</f>
        <v>Use the recommended action generated by the model; validate with domain owner during real assessment.</v>
      </c>
      <c r="W138">
        <v>5</v>
      </c>
      <c r="X138">
        <v>5</v>
      </c>
      <c r="Y138">
        <v>5</v>
      </c>
      <c r="Z138">
        <f>'Assessment Questions'!AC138</f>
        <v>0</v>
      </c>
      <c r="AB138">
        <f t="shared" si="50"/>
        <v>0</v>
      </c>
      <c r="AC138">
        <f t="shared" si="51"/>
        <v>0</v>
      </c>
      <c r="AD138">
        <f t="shared" si="59"/>
        <v>0</v>
      </c>
      <c r="AE138">
        <f t="shared" si="52"/>
        <v>0</v>
      </c>
      <c r="AF138">
        <f t="shared" si="60"/>
        <v>5</v>
      </c>
      <c r="AG138">
        <f t="shared" si="53"/>
        <v>0</v>
      </c>
      <c r="AH138">
        <f>'Assessment Questions'!AK138</f>
        <v>0</v>
      </c>
      <c r="AI138">
        <f>'Assessment Questions'!AL138</f>
        <v>0</v>
      </c>
      <c r="AJ138">
        <f>IF(OR($H138="",$H138="N/A"),"",IF($AH138="",VLOOKUP('Company Profile'!$B$40,_CONFIG_Model_Settings!$A$5:$B$8,2,FALSE),IFERROR(VLOOKUP($AH138,_CONFIG_Model_Settings!$A$5:$B$8,2,FALSE),0.9)))</f>
        <v>0.9</v>
      </c>
      <c r="AK138">
        <f>IF(OR($H138="",$H138="N/A"),"",IF($AI138="",VLOOKUP('Company Profile'!$B$41,_CONFIG_Model_Settings!$A$5:$B$8,2,FALSE),IFERROR(VLOOKUP($AI138,_CONFIG_Model_Settings!$A$5:$B$8,2,FALSE),0.9)))</f>
        <v>0.9</v>
      </c>
      <c r="AL138">
        <f t="shared" si="61"/>
        <v>0</v>
      </c>
      <c r="AM138">
        <f t="shared" si="62"/>
        <v>0</v>
      </c>
      <c r="AN138">
        <f>IFERROR(MIN(5,MAX(0,(SUMIFS(_REF_Model_Content!$D$1:$D$174,_REF_Model_Content!$A$1:$A$174,PV_Canonical_Industry,_REF_Model_Content!$B$1:$B$174,"Legal Risk"))+IFERROR(VLOOKUP('Company Profile'!$B$35,_CONFIG_Model_Settings!$A$11:$B$13,2,0),0))),"")</f>
        <v>0</v>
      </c>
      <c r="AO138">
        <f t="shared" si="63"/>
        <v>0</v>
      </c>
      <c r="AP138">
        <f>IFERROR(SUMIFS(_REF_Model_Content!$E$1:$E$174,_REF_Model_Content!$A$1:$A$174,PV_Canonical_Industry,_REF_Model_Content!$B$1:$B$174,"Legal Risk"),1)</f>
        <v>0</v>
      </c>
      <c r="AQ138">
        <f t="shared" si="64"/>
        <v>0</v>
      </c>
      <c r="AR138" t="str">
        <f t="shared" si="65"/>
        <v>Within target</v>
      </c>
      <c r="AS138">
        <f t="shared" si="66"/>
        <v>0</v>
      </c>
      <c r="AT138">
        <f t="shared" si="67"/>
        <v>0.9</v>
      </c>
      <c r="AU138">
        <f>'Assessment Questions'!AX138</f>
        <v>0</v>
      </c>
      <c r="AV138">
        <f t="shared" si="68"/>
        <v>0.9</v>
      </c>
      <c r="AW138" t="s">
        <v>1551</v>
      </c>
      <c r="AX138" t="s">
        <v>1551</v>
      </c>
      <c r="AY138">
        <v>19</v>
      </c>
      <c r="AZ138">
        <v>138</v>
      </c>
    </row>
    <row r="139" spans="1:52">
      <c r="A139" t="s">
        <v>1634</v>
      </c>
      <c r="B139" t="s">
        <v>1572</v>
      </c>
      <c r="C139" t="s">
        <v>1635</v>
      </c>
      <c r="D139" t="s">
        <v>1555</v>
      </c>
      <c r="E139" t="s">
        <v>1556</v>
      </c>
      <c r="F139" t="s">
        <v>1636</v>
      </c>
      <c r="G139">
        <f>'Assessment Questions'!J139</f>
        <v>5</v>
      </c>
      <c r="H139">
        <f t="shared" si="54"/>
        <v>0</v>
      </c>
      <c r="I139">
        <f t="shared" si="55"/>
        <v>0</v>
      </c>
      <c r="J139">
        <f t="shared" si="56"/>
        <v>5</v>
      </c>
      <c r="K139">
        <f t="shared" si="57"/>
        <v>5</v>
      </c>
      <c r="L139" t="str">
        <f t="shared" si="58"/>
        <v>Critical</v>
      </c>
      <c r="M139" t="s">
        <v>833</v>
      </c>
      <c r="N139" t="s">
        <v>834</v>
      </c>
      <c r="O139" t="s">
        <v>835</v>
      </c>
      <c r="P139" t="s">
        <v>836</v>
      </c>
      <c r="Q139" t="s">
        <v>837</v>
      </c>
      <c r="R139" t="s">
        <v>838</v>
      </c>
      <c r="S139" t="s">
        <v>1564</v>
      </c>
      <c r="T139">
        <f>'Assessment Questions'!W139</f>
        <v>0</v>
      </c>
      <c r="U139">
        <f>'Assessment Questions'!X139</f>
        <v>0</v>
      </c>
      <c r="V139" t="str">
        <f>'Assessment Questions'!Y139</f>
        <v>Use the recommended action generated by the model; validate with domain owner during real assessment.</v>
      </c>
      <c r="W139">
        <v>5</v>
      </c>
      <c r="X139">
        <v>5</v>
      </c>
      <c r="Y139">
        <v>5</v>
      </c>
      <c r="Z139">
        <f>'Assessment Questions'!AC139</f>
        <v>0</v>
      </c>
      <c r="AB139">
        <f t="shared" si="50"/>
        <v>0</v>
      </c>
      <c r="AC139">
        <f t="shared" si="51"/>
        <v>0</v>
      </c>
      <c r="AD139">
        <f t="shared" si="59"/>
        <v>0</v>
      </c>
      <c r="AE139">
        <f t="shared" si="52"/>
        <v>0</v>
      </c>
      <c r="AF139">
        <f t="shared" si="60"/>
        <v>5</v>
      </c>
      <c r="AG139">
        <f t="shared" si="53"/>
        <v>0</v>
      </c>
      <c r="AH139">
        <f>'Assessment Questions'!AK139</f>
        <v>0</v>
      </c>
      <c r="AI139">
        <f>'Assessment Questions'!AL139</f>
        <v>0</v>
      </c>
      <c r="AJ139">
        <f>IF(OR($H139="",$H139="N/A"),"",IF($AH139="",VLOOKUP('Company Profile'!$B$40,_CONFIG_Model_Settings!$A$5:$B$8,2,FALSE),IFERROR(VLOOKUP($AH139,_CONFIG_Model_Settings!$A$5:$B$8,2,FALSE),0.9)))</f>
        <v>0.9</v>
      </c>
      <c r="AK139">
        <f>IF(OR($H139="",$H139="N/A"),"",IF($AI139="",VLOOKUP('Company Profile'!$B$41,_CONFIG_Model_Settings!$A$5:$B$8,2,FALSE),IFERROR(VLOOKUP($AI139,_CONFIG_Model_Settings!$A$5:$B$8,2,FALSE),0.9)))</f>
        <v>0.9</v>
      </c>
      <c r="AL139">
        <f t="shared" si="61"/>
        <v>0</v>
      </c>
      <c r="AM139">
        <f t="shared" si="62"/>
        <v>0</v>
      </c>
      <c r="AN139">
        <f>IFERROR(MIN(5,MAX(0,(SUMIFS(_REF_Model_Content!$D$1:$D$174,_REF_Model_Content!$A$1:$A$174,PV_Canonical_Industry,_REF_Model_Content!$B$1:$B$174,"Legal Risk"))+IFERROR(VLOOKUP('Company Profile'!$B$35,_CONFIG_Model_Settings!$A$11:$B$13,2,0),0))),"")</f>
        <v>0</v>
      </c>
      <c r="AO139">
        <f t="shared" si="63"/>
        <v>0</v>
      </c>
      <c r="AP139">
        <f>IFERROR(SUMIFS(_REF_Model_Content!$E$1:$E$174,_REF_Model_Content!$A$1:$A$174,PV_Canonical_Industry,_REF_Model_Content!$B$1:$B$174,"Legal Risk"),1)</f>
        <v>0</v>
      </c>
      <c r="AQ139">
        <f t="shared" si="64"/>
        <v>0</v>
      </c>
      <c r="AR139" t="str">
        <f t="shared" si="65"/>
        <v>Within target</v>
      </c>
      <c r="AS139">
        <f t="shared" si="66"/>
        <v>0</v>
      </c>
      <c r="AT139">
        <f t="shared" si="67"/>
        <v>0.9</v>
      </c>
      <c r="AU139">
        <f>'Assessment Questions'!AX139</f>
        <v>0</v>
      </c>
      <c r="AV139">
        <f t="shared" si="68"/>
        <v>0.9</v>
      </c>
      <c r="AW139" t="s">
        <v>1551</v>
      </c>
      <c r="AX139" t="s">
        <v>1551</v>
      </c>
      <c r="AY139">
        <v>20</v>
      </c>
      <c r="AZ139">
        <v>139</v>
      </c>
    </row>
    <row r="140" spans="1:52">
      <c r="A140" t="s">
        <v>1637</v>
      </c>
      <c r="B140" t="s">
        <v>1572</v>
      </c>
      <c r="C140" t="s">
        <v>1638</v>
      </c>
      <c r="D140" t="s">
        <v>1555</v>
      </c>
      <c r="E140" t="s">
        <v>1556</v>
      </c>
      <c r="F140" t="s">
        <v>1639</v>
      </c>
      <c r="G140">
        <f>'Assessment Questions'!J140</f>
        <v>5</v>
      </c>
      <c r="H140">
        <f t="shared" si="54"/>
        <v>0</v>
      </c>
      <c r="I140">
        <f t="shared" si="55"/>
        <v>0</v>
      </c>
      <c r="J140">
        <f t="shared" si="56"/>
        <v>5</v>
      </c>
      <c r="K140">
        <f t="shared" si="57"/>
        <v>5</v>
      </c>
      <c r="L140" t="str">
        <f t="shared" si="58"/>
        <v>Critical</v>
      </c>
      <c r="M140" t="s">
        <v>833</v>
      </c>
      <c r="N140" t="s">
        <v>834</v>
      </c>
      <c r="O140" t="s">
        <v>835</v>
      </c>
      <c r="P140" t="s">
        <v>836</v>
      </c>
      <c r="Q140" t="s">
        <v>837</v>
      </c>
      <c r="R140" t="s">
        <v>838</v>
      </c>
      <c r="S140" t="s">
        <v>1564</v>
      </c>
      <c r="T140">
        <f>'Assessment Questions'!W140</f>
        <v>0</v>
      </c>
      <c r="U140">
        <f>'Assessment Questions'!X140</f>
        <v>0</v>
      </c>
      <c r="V140" t="str">
        <f>'Assessment Questions'!Y140</f>
        <v>Use the recommended action generated by the model; validate with domain owner during real assessment.</v>
      </c>
      <c r="W140">
        <v>5</v>
      </c>
      <c r="X140">
        <v>5</v>
      </c>
      <c r="Y140">
        <v>5</v>
      </c>
      <c r="Z140">
        <f>'Assessment Questions'!AC140</f>
        <v>0</v>
      </c>
      <c r="AB140">
        <f t="shared" si="50"/>
        <v>0</v>
      </c>
      <c r="AC140">
        <f t="shared" si="51"/>
        <v>0</v>
      </c>
      <c r="AD140">
        <f t="shared" si="59"/>
        <v>0</v>
      </c>
      <c r="AE140">
        <f t="shared" si="52"/>
        <v>0</v>
      </c>
      <c r="AF140">
        <f t="shared" si="60"/>
        <v>5</v>
      </c>
      <c r="AG140">
        <f t="shared" si="53"/>
        <v>0</v>
      </c>
      <c r="AH140">
        <f>'Assessment Questions'!AK140</f>
        <v>0</v>
      </c>
      <c r="AI140">
        <f>'Assessment Questions'!AL140</f>
        <v>0</v>
      </c>
      <c r="AJ140">
        <f>IF(OR($H140="",$H140="N/A"),"",IF($AH140="",VLOOKUP('Company Profile'!$B$40,_CONFIG_Model_Settings!$A$5:$B$8,2,FALSE),IFERROR(VLOOKUP($AH140,_CONFIG_Model_Settings!$A$5:$B$8,2,FALSE),0.9)))</f>
        <v>0.9</v>
      </c>
      <c r="AK140">
        <f>IF(OR($H140="",$H140="N/A"),"",IF($AI140="",VLOOKUP('Company Profile'!$B$41,_CONFIG_Model_Settings!$A$5:$B$8,2,FALSE),IFERROR(VLOOKUP($AI140,_CONFIG_Model_Settings!$A$5:$B$8,2,FALSE),0.9)))</f>
        <v>0.9</v>
      </c>
      <c r="AL140">
        <f t="shared" si="61"/>
        <v>0</v>
      </c>
      <c r="AM140">
        <f t="shared" si="62"/>
        <v>0</v>
      </c>
      <c r="AN140">
        <f>IFERROR(MIN(5,MAX(0,(SUMIFS(_REF_Model_Content!$D$1:$D$174,_REF_Model_Content!$A$1:$A$174,PV_Canonical_Industry,_REF_Model_Content!$B$1:$B$174,"Legal Risk"))+IFERROR(VLOOKUP('Company Profile'!$B$35,_CONFIG_Model_Settings!$A$11:$B$13,2,0),0))),"")</f>
        <v>0</v>
      </c>
      <c r="AO140">
        <f t="shared" si="63"/>
        <v>0</v>
      </c>
      <c r="AP140">
        <f>IFERROR(SUMIFS(_REF_Model_Content!$E$1:$E$174,_REF_Model_Content!$A$1:$A$174,PV_Canonical_Industry,_REF_Model_Content!$B$1:$B$174,"Legal Risk"),1)</f>
        <v>0</v>
      </c>
      <c r="AQ140">
        <f t="shared" si="64"/>
        <v>0</v>
      </c>
      <c r="AR140" t="str">
        <f t="shared" si="65"/>
        <v>Within target</v>
      </c>
      <c r="AS140">
        <f t="shared" si="66"/>
        <v>0</v>
      </c>
      <c r="AT140">
        <f t="shared" si="67"/>
        <v>0.9</v>
      </c>
      <c r="AU140">
        <f>'Assessment Questions'!AX140</f>
        <v>0</v>
      </c>
      <c r="AV140">
        <f t="shared" si="68"/>
        <v>0.9</v>
      </c>
      <c r="AW140" t="s">
        <v>1551</v>
      </c>
      <c r="AX140" t="s">
        <v>1551</v>
      </c>
      <c r="AY140">
        <v>21</v>
      </c>
      <c r="AZ140">
        <v>140</v>
      </c>
    </row>
    <row r="141" spans="1:52">
      <c r="A141" t="s">
        <v>1640</v>
      </c>
      <c r="B141" t="s">
        <v>1572</v>
      </c>
      <c r="C141" t="s">
        <v>1641</v>
      </c>
      <c r="D141" t="s">
        <v>1555</v>
      </c>
      <c r="E141" t="s">
        <v>1556</v>
      </c>
      <c r="F141" t="s">
        <v>1642</v>
      </c>
      <c r="G141">
        <f>'Assessment Questions'!J141</f>
        <v>5</v>
      </c>
      <c r="H141">
        <f t="shared" si="54"/>
        <v>0</v>
      </c>
      <c r="I141">
        <f t="shared" si="55"/>
        <v>0</v>
      </c>
      <c r="J141">
        <f t="shared" si="56"/>
        <v>5</v>
      </c>
      <c r="K141">
        <f t="shared" si="57"/>
        <v>5</v>
      </c>
      <c r="L141" t="str">
        <f t="shared" si="58"/>
        <v>Critical</v>
      </c>
      <c r="M141" t="s">
        <v>833</v>
      </c>
      <c r="N141" t="s">
        <v>834</v>
      </c>
      <c r="O141" t="s">
        <v>835</v>
      </c>
      <c r="P141" t="s">
        <v>836</v>
      </c>
      <c r="Q141" t="s">
        <v>837</v>
      </c>
      <c r="R141" t="s">
        <v>838</v>
      </c>
      <c r="S141" t="s">
        <v>1564</v>
      </c>
      <c r="T141">
        <f>'Assessment Questions'!W141</f>
        <v>0</v>
      </c>
      <c r="U141">
        <f>'Assessment Questions'!X141</f>
        <v>0</v>
      </c>
      <c r="V141" t="str">
        <f>'Assessment Questions'!Y141</f>
        <v>Use the recommended action generated by the model; validate with domain owner during real assessment.</v>
      </c>
      <c r="W141">
        <v>5</v>
      </c>
      <c r="X141">
        <v>5</v>
      </c>
      <c r="Y141">
        <v>5</v>
      </c>
      <c r="Z141">
        <f>'Assessment Questions'!AC141</f>
        <v>0</v>
      </c>
      <c r="AB141">
        <f t="shared" si="50"/>
        <v>0</v>
      </c>
      <c r="AC141">
        <f t="shared" si="51"/>
        <v>0</v>
      </c>
      <c r="AD141">
        <f t="shared" si="59"/>
        <v>0</v>
      </c>
      <c r="AE141">
        <f t="shared" si="52"/>
        <v>0</v>
      </c>
      <c r="AF141">
        <f t="shared" si="60"/>
        <v>5</v>
      </c>
      <c r="AG141">
        <f t="shared" si="53"/>
        <v>0</v>
      </c>
      <c r="AH141">
        <f>'Assessment Questions'!AK141</f>
        <v>0</v>
      </c>
      <c r="AI141">
        <f>'Assessment Questions'!AL141</f>
        <v>0</v>
      </c>
      <c r="AJ141">
        <f>IF(OR($H141="",$H141="N/A"),"",IF($AH141="",VLOOKUP('Company Profile'!$B$40,_CONFIG_Model_Settings!$A$5:$B$8,2,FALSE),IFERROR(VLOOKUP($AH141,_CONFIG_Model_Settings!$A$5:$B$8,2,FALSE),0.9)))</f>
        <v>0.9</v>
      </c>
      <c r="AK141">
        <f>IF(OR($H141="",$H141="N/A"),"",IF($AI141="",VLOOKUP('Company Profile'!$B$41,_CONFIG_Model_Settings!$A$5:$B$8,2,FALSE),IFERROR(VLOOKUP($AI141,_CONFIG_Model_Settings!$A$5:$B$8,2,FALSE),0.9)))</f>
        <v>0.9</v>
      </c>
      <c r="AL141">
        <f t="shared" si="61"/>
        <v>0</v>
      </c>
      <c r="AM141">
        <f t="shared" si="62"/>
        <v>0</v>
      </c>
      <c r="AN141">
        <f>IFERROR(MIN(5,MAX(0,(SUMIFS(_REF_Model_Content!$D$1:$D$174,_REF_Model_Content!$A$1:$A$174,PV_Canonical_Industry,_REF_Model_Content!$B$1:$B$174,"Legal Risk"))+IFERROR(VLOOKUP('Company Profile'!$B$35,_CONFIG_Model_Settings!$A$11:$B$13,2,0),0))),"")</f>
        <v>0</v>
      </c>
      <c r="AO141">
        <f t="shared" si="63"/>
        <v>0</v>
      </c>
      <c r="AP141">
        <f>IFERROR(SUMIFS(_REF_Model_Content!$E$1:$E$174,_REF_Model_Content!$A$1:$A$174,PV_Canonical_Industry,_REF_Model_Content!$B$1:$B$174,"Legal Risk"),1)</f>
        <v>0</v>
      </c>
      <c r="AQ141">
        <f t="shared" si="64"/>
        <v>0</v>
      </c>
      <c r="AR141" t="str">
        <f t="shared" si="65"/>
        <v>Within target</v>
      </c>
      <c r="AS141">
        <f t="shared" si="66"/>
        <v>0</v>
      </c>
      <c r="AT141">
        <f t="shared" si="67"/>
        <v>0.9</v>
      </c>
      <c r="AU141">
        <f>'Assessment Questions'!AX141</f>
        <v>0</v>
      </c>
      <c r="AV141">
        <f t="shared" si="68"/>
        <v>0.9</v>
      </c>
      <c r="AW141" t="s">
        <v>1551</v>
      </c>
      <c r="AX141" t="s">
        <v>1551</v>
      </c>
      <c r="AY141">
        <v>22</v>
      </c>
      <c r="AZ141">
        <v>141</v>
      </c>
    </row>
    <row r="142" spans="1:52">
      <c r="A142" t="s">
        <v>1643</v>
      </c>
      <c r="B142" t="s">
        <v>1582</v>
      </c>
      <c r="C142" t="s">
        <v>1644</v>
      </c>
      <c r="D142" t="s">
        <v>1555</v>
      </c>
      <c r="E142" t="s">
        <v>1556</v>
      </c>
      <c r="F142" t="s">
        <v>1645</v>
      </c>
      <c r="G142">
        <f>'Assessment Questions'!J142</f>
        <v>3</v>
      </c>
      <c r="H142">
        <f t="shared" si="54"/>
        <v>0</v>
      </c>
      <c r="I142">
        <f t="shared" si="55"/>
        <v>0</v>
      </c>
      <c r="J142">
        <f t="shared" si="56"/>
        <v>3</v>
      </c>
      <c r="K142">
        <f t="shared" si="57"/>
        <v>3</v>
      </c>
      <c r="L142" t="str">
        <f t="shared" si="58"/>
        <v>Critical</v>
      </c>
      <c r="M142" t="s">
        <v>1646</v>
      </c>
      <c r="N142" t="s">
        <v>1647</v>
      </c>
      <c r="O142" t="s">
        <v>1648</v>
      </c>
      <c r="P142" t="s">
        <v>1649</v>
      </c>
      <c r="Q142" t="s">
        <v>1650</v>
      </c>
      <c r="R142" t="s">
        <v>1651</v>
      </c>
      <c r="S142" t="s">
        <v>1564</v>
      </c>
      <c r="T142">
        <f>'Assessment Questions'!W142</f>
        <v>0</v>
      </c>
      <c r="U142">
        <f>'Assessment Questions'!X142</f>
        <v>0</v>
      </c>
      <c r="V142" t="str">
        <f>'Assessment Questions'!Y142</f>
        <v>Use the recommended action generated by the model; validate with domain owner during real assessment.</v>
      </c>
      <c r="W142">
        <v>5</v>
      </c>
      <c r="X142">
        <v>5</v>
      </c>
      <c r="Y142">
        <v>5</v>
      </c>
      <c r="Z142">
        <f>'Assessment Questions'!AC142</f>
        <v>0</v>
      </c>
      <c r="AB142">
        <f t="shared" si="50"/>
        <v>0</v>
      </c>
      <c r="AC142">
        <f t="shared" si="51"/>
        <v>0</v>
      </c>
      <c r="AD142">
        <f t="shared" si="59"/>
        <v>0</v>
      </c>
      <c r="AE142">
        <f t="shared" si="52"/>
        <v>0</v>
      </c>
      <c r="AF142">
        <f t="shared" si="60"/>
        <v>5</v>
      </c>
      <c r="AG142">
        <f t="shared" si="53"/>
        <v>0</v>
      </c>
      <c r="AH142">
        <f>'Assessment Questions'!AK142</f>
        <v>0</v>
      </c>
      <c r="AI142">
        <f>'Assessment Questions'!AL142</f>
        <v>0</v>
      </c>
      <c r="AJ142">
        <f>IF(OR($H142="",$H142="N/A"),"",IF($AH142="",VLOOKUP('Company Profile'!$B$40,_CONFIG_Model_Settings!$A$5:$B$8,2,FALSE),IFERROR(VLOOKUP($AH142,_CONFIG_Model_Settings!$A$5:$B$8,2,FALSE),0.9)))</f>
        <v>0.9</v>
      </c>
      <c r="AK142">
        <f>IF(OR($H142="",$H142="N/A"),"",IF($AI142="",VLOOKUP('Company Profile'!$B$41,_CONFIG_Model_Settings!$A$5:$B$8,2,FALSE),IFERROR(VLOOKUP($AI142,_CONFIG_Model_Settings!$A$5:$B$8,2,FALSE),0.9)))</f>
        <v>0.9</v>
      </c>
      <c r="AL142">
        <f t="shared" si="61"/>
        <v>0</v>
      </c>
      <c r="AM142">
        <f t="shared" si="62"/>
        <v>0</v>
      </c>
      <c r="AN142">
        <f>IFERROR(MIN(5,MAX(0,(SUMIFS(_REF_Model_Content!$D$1:$D$174,_REF_Model_Content!$A$1:$A$174,PV_Canonical_Industry,_REF_Model_Content!$B$1:$B$174,"Legal Risk"))+IFERROR(VLOOKUP('Company Profile'!$B$35,_CONFIG_Model_Settings!$A$11:$B$13,2,0),0))),"")</f>
        <v>0</v>
      </c>
      <c r="AO142">
        <f t="shared" si="63"/>
        <v>0</v>
      </c>
      <c r="AP142">
        <f>IFERROR(SUMIFS(_REF_Model_Content!$E$1:$E$174,_REF_Model_Content!$A$1:$A$174,PV_Canonical_Industry,_REF_Model_Content!$B$1:$B$174,"Legal Risk"),1)</f>
        <v>0</v>
      </c>
      <c r="AQ142">
        <f t="shared" si="64"/>
        <v>0</v>
      </c>
      <c r="AR142" t="str">
        <f t="shared" si="65"/>
        <v>Within target</v>
      </c>
      <c r="AS142">
        <f t="shared" si="66"/>
        <v>0</v>
      </c>
      <c r="AT142">
        <f t="shared" si="67"/>
        <v>0.9</v>
      </c>
      <c r="AU142">
        <f>'Assessment Questions'!AX142</f>
        <v>0</v>
      </c>
      <c r="AV142">
        <f t="shared" si="68"/>
        <v>0.9</v>
      </c>
      <c r="AW142" t="s">
        <v>1551</v>
      </c>
      <c r="AX142" t="s">
        <v>1551</v>
      </c>
      <c r="AY142">
        <v>23</v>
      </c>
      <c r="AZ142">
        <v>142</v>
      </c>
    </row>
    <row r="143" spans="1:52">
      <c r="A143" t="s">
        <v>1652</v>
      </c>
      <c r="B143" t="s">
        <v>1582</v>
      </c>
      <c r="C143" t="s">
        <v>1653</v>
      </c>
      <c r="D143" t="s">
        <v>1555</v>
      </c>
      <c r="E143" t="s">
        <v>1556</v>
      </c>
      <c r="F143" t="s">
        <v>1654</v>
      </c>
      <c r="G143">
        <f>'Assessment Questions'!J143</f>
        <v>5</v>
      </c>
      <c r="H143">
        <f t="shared" si="54"/>
        <v>0</v>
      </c>
      <c r="I143">
        <f t="shared" si="55"/>
        <v>0</v>
      </c>
      <c r="J143">
        <f t="shared" si="56"/>
        <v>5</v>
      </c>
      <c r="K143">
        <f t="shared" si="57"/>
        <v>5</v>
      </c>
      <c r="L143" t="str">
        <f t="shared" si="58"/>
        <v>Critical</v>
      </c>
      <c r="M143" t="s">
        <v>1069</v>
      </c>
      <c r="N143" t="s">
        <v>1070</v>
      </c>
      <c r="O143" t="s">
        <v>1071</v>
      </c>
      <c r="P143" t="s">
        <v>1072</v>
      </c>
      <c r="Q143" t="s">
        <v>1073</v>
      </c>
      <c r="R143" t="s">
        <v>1074</v>
      </c>
      <c r="S143" t="s">
        <v>1564</v>
      </c>
      <c r="T143">
        <f>'Assessment Questions'!W143</f>
        <v>0</v>
      </c>
      <c r="U143">
        <f>'Assessment Questions'!X143</f>
        <v>0</v>
      </c>
      <c r="V143" t="str">
        <f>'Assessment Questions'!Y143</f>
        <v>Use the recommended action generated by the model; validate with domain owner during real assessment.</v>
      </c>
      <c r="W143">
        <v>5</v>
      </c>
      <c r="X143">
        <v>5</v>
      </c>
      <c r="Y143">
        <v>5</v>
      </c>
      <c r="Z143">
        <f>'Assessment Questions'!AC143</f>
        <v>0</v>
      </c>
      <c r="AB143">
        <f t="shared" si="50"/>
        <v>0</v>
      </c>
      <c r="AC143">
        <f t="shared" si="51"/>
        <v>0</v>
      </c>
      <c r="AD143">
        <f t="shared" si="59"/>
        <v>0</v>
      </c>
      <c r="AE143">
        <f t="shared" si="52"/>
        <v>0</v>
      </c>
      <c r="AF143">
        <f t="shared" si="60"/>
        <v>5</v>
      </c>
      <c r="AG143">
        <f t="shared" si="53"/>
        <v>0</v>
      </c>
      <c r="AH143">
        <f>'Assessment Questions'!AK143</f>
        <v>0</v>
      </c>
      <c r="AI143">
        <f>'Assessment Questions'!AL143</f>
        <v>0</v>
      </c>
      <c r="AJ143">
        <f>IF(OR($H143="",$H143="N/A"),"",IF($AH143="",VLOOKUP('Company Profile'!$B$40,_CONFIG_Model_Settings!$A$5:$B$8,2,FALSE),IFERROR(VLOOKUP($AH143,_CONFIG_Model_Settings!$A$5:$B$8,2,FALSE),0.9)))</f>
        <v>0.9</v>
      </c>
      <c r="AK143">
        <f>IF(OR($H143="",$H143="N/A"),"",IF($AI143="",VLOOKUP('Company Profile'!$B$41,_CONFIG_Model_Settings!$A$5:$B$8,2,FALSE),IFERROR(VLOOKUP($AI143,_CONFIG_Model_Settings!$A$5:$B$8,2,FALSE),0.9)))</f>
        <v>0.9</v>
      </c>
      <c r="AL143">
        <f t="shared" si="61"/>
        <v>0</v>
      </c>
      <c r="AM143">
        <f t="shared" si="62"/>
        <v>0</v>
      </c>
      <c r="AN143">
        <f>IFERROR(MIN(5,MAX(0,(SUMIFS(_REF_Model_Content!$D$1:$D$174,_REF_Model_Content!$A$1:$A$174,PV_Canonical_Industry,_REF_Model_Content!$B$1:$B$174,"Legal Risk"))+IFERROR(VLOOKUP('Company Profile'!$B$35,_CONFIG_Model_Settings!$A$11:$B$13,2,0),0))),"")</f>
        <v>0</v>
      </c>
      <c r="AO143">
        <f t="shared" si="63"/>
        <v>0</v>
      </c>
      <c r="AP143">
        <f>IFERROR(SUMIFS(_REF_Model_Content!$E$1:$E$174,_REF_Model_Content!$A$1:$A$174,PV_Canonical_Industry,_REF_Model_Content!$B$1:$B$174,"Legal Risk"),1)</f>
        <v>0</v>
      </c>
      <c r="AQ143">
        <f t="shared" si="64"/>
        <v>0</v>
      </c>
      <c r="AR143" t="str">
        <f t="shared" si="65"/>
        <v>Within target</v>
      </c>
      <c r="AS143">
        <f t="shared" si="66"/>
        <v>0</v>
      </c>
      <c r="AT143">
        <f t="shared" si="67"/>
        <v>0.9</v>
      </c>
      <c r="AU143">
        <f>'Assessment Questions'!AX143</f>
        <v>0</v>
      </c>
      <c r="AV143">
        <f t="shared" si="68"/>
        <v>0.9</v>
      </c>
      <c r="AW143" t="s">
        <v>1551</v>
      </c>
      <c r="AX143" t="s">
        <v>1551</v>
      </c>
      <c r="AY143">
        <v>24</v>
      </c>
      <c r="AZ143">
        <v>143</v>
      </c>
    </row>
    <row r="144" spans="1:52">
      <c r="A144" t="s">
        <v>1655</v>
      </c>
      <c r="B144" t="s">
        <v>1553</v>
      </c>
      <c r="C144" t="s">
        <v>1656</v>
      </c>
      <c r="D144" t="s">
        <v>1657</v>
      </c>
      <c r="E144" t="s">
        <v>1658</v>
      </c>
      <c r="F144" t="s">
        <v>941</v>
      </c>
      <c r="G144">
        <f>'Assessment Questions'!J144</f>
        <v>3</v>
      </c>
      <c r="H144">
        <f t="shared" si="54"/>
        <v>0</v>
      </c>
      <c r="I144">
        <f t="shared" si="55"/>
        <v>0</v>
      </c>
      <c r="J144">
        <f t="shared" si="56"/>
        <v>3</v>
      </c>
      <c r="K144">
        <f t="shared" si="57"/>
        <v>3</v>
      </c>
      <c r="L144" t="str">
        <f t="shared" si="58"/>
        <v>Critical</v>
      </c>
      <c r="M144" t="s">
        <v>1659</v>
      </c>
      <c r="N144" t="s">
        <v>1660</v>
      </c>
      <c r="O144" t="s">
        <v>1661</v>
      </c>
      <c r="P144" t="s">
        <v>1662</v>
      </c>
      <c r="Q144" t="s">
        <v>1663</v>
      </c>
      <c r="R144" t="s">
        <v>1664</v>
      </c>
      <c r="S144" t="s">
        <v>1665</v>
      </c>
      <c r="T144">
        <f>'Assessment Questions'!W144</f>
        <v>0</v>
      </c>
      <c r="U144">
        <f>'Assessment Questions'!X144</f>
        <v>0</v>
      </c>
      <c r="V144" t="str">
        <f>'Assessment Questions'!Y144</f>
        <v>Use the recommended action generated by the model; validate with domain owner during real assessment.</v>
      </c>
      <c r="W144">
        <v>3</v>
      </c>
      <c r="X144">
        <v>3</v>
      </c>
      <c r="Y144">
        <v>4</v>
      </c>
      <c r="Z144">
        <f>'Assessment Questions'!AC144</f>
        <v>0</v>
      </c>
      <c r="AB144">
        <f t="shared" si="50"/>
        <v>0</v>
      </c>
      <c r="AC144">
        <f t="shared" si="51"/>
        <v>0</v>
      </c>
      <c r="AD144">
        <f t="shared" si="59"/>
        <v>0</v>
      </c>
      <c r="AE144">
        <f t="shared" si="52"/>
        <v>0</v>
      </c>
      <c r="AF144">
        <f t="shared" si="60"/>
        <v>5</v>
      </c>
      <c r="AG144">
        <f t="shared" si="53"/>
        <v>0</v>
      </c>
      <c r="AH144">
        <f>'Assessment Questions'!AK144</f>
        <v>0</v>
      </c>
      <c r="AI144">
        <f>'Assessment Questions'!AL144</f>
        <v>0</v>
      </c>
      <c r="AJ144">
        <f>IF(OR($H144="",$H144="N/A"),"",IF($AH144="",VLOOKUP('Company Profile'!$B$40,_CONFIG_Model_Settings!$A$5:$B$8,2,FALSE),IFERROR(VLOOKUP($AH144,_CONFIG_Model_Settings!$A$5:$B$8,2,FALSE),0.9)))</f>
        <v>0.9</v>
      </c>
      <c r="AK144">
        <f>IF(OR($H144="",$H144="N/A"),"",IF($AI144="",VLOOKUP('Company Profile'!$B$41,_CONFIG_Model_Settings!$A$5:$B$8,2,FALSE),IFERROR(VLOOKUP($AI144,_CONFIG_Model_Settings!$A$5:$B$8,2,FALSE),0.9)))</f>
        <v>0.9</v>
      </c>
      <c r="AL144">
        <f t="shared" si="61"/>
        <v>0</v>
      </c>
      <c r="AM144">
        <f t="shared" si="62"/>
        <v>0</v>
      </c>
      <c r="AN144">
        <f>IFERROR(MIN(5,MAX(0,(SUMIFS(_REF_Model_Content!$D$1:$D$174,_REF_Model_Content!$A$1:$A$174,PV_Canonical_Industry,_REF_Model_Content!$B$1:$B$174,"Legal Risk"))+IFERROR(VLOOKUP('Company Profile'!$B$35,_CONFIG_Model_Settings!$A$11:$B$13,2,0),0))),"")</f>
        <v>0</v>
      </c>
      <c r="AO144">
        <f t="shared" si="63"/>
        <v>0</v>
      </c>
      <c r="AP144">
        <f>IFERROR(SUMIFS(_REF_Model_Content!$E$1:$E$174,_REF_Model_Content!$A$1:$A$174,PV_Canonical_Industry,_REF_Model_Content!$B$1:$B$174,"Legal Risk"),1)</f>
        <v>0</v>
      </c>
      <c r="AQ144">
        <f t="shared" si="64"/>
        <v>0</v>
      </c>
      <c r="AR144" t="str">
        <f t="shared" si="65"/>
        <v>Within target</v>
      </c>
      <c r="AS144">
        <f t="shared" si="66"/>
        <v>0</v>
      </c>
      <c r="AT144">
        <f t="shared" si="67"/>
        <v>0.9</v>
      </c>
      <c r="AU144">
        <f>'Assessment Questions'!AX144</f>
        <v>0</v>
      </c>
      <c r="AV144">
        <f t="shared" si="68"/>
        <v>0.9</v>
      </c>
      <c r="AW144" t="s">
        <v>1551</v>
      </c>
      <c r="AX144" t="s">
        <v>1551</v>
      </c>
      <c r="AY144">
        <v>25</v>
      </c>
      <c r="AZ144">
        <v>144</v>
      </c>
    </row>
    <row r="145" spans="1:52">
      <c r="A145" t="s">
        <v>1667</v>
      </c>
      <c r="B145" t="s">
        <v>1668</v>
      </c>
      <c r="C145" t="s">
        <v>1669</v>
      </c>
      <c r="D145" t="s">
        <v>1670</v>
      </c>
      <c r="E145" t="s">
        <v>1671</v>
      </c>
      <c r="F145" t="s">
        <v>1672</v>
      </c>
      <c r="G145">
        <f>'Assessment Questions'!J145</f>
        <v>5</v>
      </c>
      <c r="H145">
        <f t="shared" si="54"/>
        <v>0</v>
      </c>
      <c r="I145">
        <f t="shared" si="55"/>
        <v>0</v>
      </c>
      <c r="J145">
        <f t="shared" si="56"/>
        <v>5</v>
      </c>
      <c r="K145">
        <f t="shared" si="57"/>
        <v>5</v>
      </c>
      <c r="L145" t="str">
        <f t="shared" si="58"/>
        <v>Critical</v>
      </c>
      <c r="M145" t="s">
        <v>833</v>
      </c>
      <c r="N145" t="s">
        <v>834</v>
      </c>
      <c r="O145" t="s">
        <v>835</v>
      </c>
      <c r="P145" t="s">
        <v>836</v>
      </c>
      <c r="Q145" t="s">
        <v>837</v>
      </c>
      <c r="R145" t="s">
        <v>838</v>
      </c>
      <c r="S145" t="s">
        <v>1673</v>
      </c>
      <c r="T145">
        <f>'Assessment Questions'!W145</f>
        <v>0</v>
      </c>
      <c r="U145">
        <f>'Assessment Questions'!X145</f>
        <v>0</v>
      </c>
      <c r="V145" t="str">
        <f>'Assessment Questions'!Y145</f>
        <v>Use the recommended action generated by the model; validate with domain owner during real assessment.</v>
      </c>
      <c r="W145">
        <v>4</v>
      </c>
      <c r="X145">
        <v>5</v>
      </c>
      <c r="Y145">
        <v>5</v>
      </c>
      <c r="Z145">
        <f>'Assessment Questions'!AC145</f>
        <v>0</v>
      </c>
      <c r="AA145" t="s">
        <v>1668</v>
      </c>
      <c r="AB145">
        <f t="shared" ref="AB145:AB175" si="69">COUNTIF($B$145:$B$175,$AA145)</f>
        <v>6</v>
      </c>
      <c r="AC145">
        <f t="shared" ref="AC145:AC175" si="70">IFERROR(SUMPRODUCT(($B$145:$B$175=$AA145)*($H$145:$H$175&lt;&gt;"")*($H$145:$H$175&lt;&gt;"N/A")*IFERROR(VALUE($H$145:$H$175),0))/SUMPRODUCT(($B$145:$B$175=$AA145)*($H$145:$H$175&lt;&gt;"")*($H$145:$H$175&lt;&gt;"N/A")),0)</f>
        <v>0</v>
      </c>
      <c r="AD145">
        <f t="shared" si="59"/>
        <v>0</v>
      </c>
      <c r="AE145">
        <f t="shared" ref="AE145:AE175" si="71">COUNTIFS($B$145:$B$175,$AA145,$L$145:$L$175,"Critical")+COUNTIFS($B$145:$B$175,$AA145,$L$145:$L$175,"High")</f>
        <v>6</v>
      </c>
      <c r="AF145">
        <f t="shared" si="60"/>
        <v>5</v>
      </c>
      <c r="AG145">
        <f t="shared" ref="AG145:AG175" si="72">SUMPRODUCT(($B$145:$B$175=$AA145)*(ISNUMBER($H$145:$H$175)+($H$145:$H$175="N/A")))</f>
        <v>6</v>
      </c>
      <c r="AH145">
        <f>'Assessment Questions'!AK145</f>
        <v>0</v>
      </c>
      <c r="AI145">
        <f>'Assessment Questions'!AL145</f>
        <v>0</v>
      </c>
      <c r="AJ145">
        <f>IF(OR($H145="",$H145="N/A"),"",IF($AH145="",VLOOKUP('Company Profile'!$B$40,_CONFIG_Model_Settings!$A$5:$B$8,2,FALSE),IFERROR(VLOOKUP($AH145,_CONFIG_Model_Settings!$A$5:$B$8,2,FALSE),0.9)))</f>
        <v>0.9</v>
      </c>
      <c r="AK145">
        <f>IF(OR($H145="",$H145="N/A"),"",IF($AI145="",VLOOKUP('Company Profile'!$B$41,_CONFIG_Model_Settings!$A$5:$B$8,2,FALSE),IFERROR(VLOOKUP($AI145,_CONFIG_Model_Settings!$A$5:$B$8,2,FALSE),0.9)))</f>
        <v>0.9</v>
      </c>
      <c r="AL145">
        <f t="shared" si="61"/>
        <v>0</v>
      </c>
      <c r="AM145">
        <f t="shared" si="62"/>
        <v>0</v>
      </c>
      <c r="AN145">
        <f>IFERROR(MIN(5,MAX(0,(SUMIFS(_REF_Model_Content!$D$1:$D$174,_REF_Model_Content!$A$1:$A$174,PV_Canonical_Industry,_REF_Model_Content!$B$1:$B$174,"Physical Safety"))+IFERROR(VLOOKUP('Company Profile'!$B$35,_CONFIG_Model_Settings!$A$11:$B$13,2,0),0))),"")</f>
        <v>0</v>
      </c>
      <c r="AO145">
        <f t="shared" si="63"/>
        <v>0</v>
      </c>
      <c r="AP145">
        <f>IFERROR(SUMIFS(_REF_Model_Content!$E$1:$E$174,_REF_Model_Content!$A$1:$A$174,PV_Canonical_Industry,_REF_Model_Content!$B$1:$B$174,"Physical Safety"),1)</f>
        <v>0</v>
      </c>
      <c r="AQ145">
        <f t="shared" si="64"/>
        <v>0</v>
      </c>
      <c r="AR145" t="str">
        <f t="shared" si="65"/>
        <v>Within target</v>
      </c>
      <c r="AS145">
        <f t="shared" si="66"/>
        <v>0</v>
      </c>
      <c r="AT145">
        <f t="shared" si="67"/>
        <v>0.9</v>
      </c>
      <c r="AU145">
        <f>'Assessment Questions'!AX145</f>
        <v>0</v>
      </c>
      <c r="AV145">
        <f t="shared" si="68"/>
        <v>0.9</v>
      </c>
      <c r="AW145" t="s">
        <v>1666</v>
      </c>
      <c r="AX145" t="s">
        <v>1666</v>
      </c>
      <c r="AY145">
        <v>5</v>
      </c>
      <c r="AZ145">
        <v>145</v>
      </c>
    </row>
    <row r="146" spans="1:52">
      <c r="A146" t="s">
        <v>1674</v>
      </c>
      <c r="B146" t="s">
        <v>1668</v>
      </c>
      <c r="C146" t="s">
        <v>1675</v>
      </c>
      <c r="D146" t="s">
        <v>1670</v>
      </c>
      <c r="E146" t="s">
        <v>1671</v>
      </c>
      <c r="F146" t="s">
        <v>1676</v>
      </c>
      <c r="G146">
        <f>'Assessment Questions'!J146</f>
        <v>5</v>
      </c>
      <c r="H146">
        <f t="shared" si="54"/>
        <v>0</v>
      </c>
      <c r="I146">
        <f t="shared" si="55"/>
        <v>0</v>
      </c>
      <c r="J146">
        <f t="shared" si="56"/>
        <v>5</v>
      </c>
      <c r="K146">
        <f t="shared" si="57"/>
        <v>5</v>
      </c>
      <c r="L146" t="str">
        <f t="shared" si="58"/>
        <v>Critical</v>
      </c>
      <c r="M146" t="s">
        <v>833</v>
      </c>
      <c r="N146" t="s">
        <v>834</v>
      </c>
      <c r="O146" t="s">
        <v>835</v>
      </c>
      <c r="P146" t="s">
        <v>836</v>
      </c>
      <c r="Q146" t="s">
        <v>837</v>
      </c>
      <c r="R146" t="s">
        <v>838</v>
      </c>
      <c r="S146" t="s">
        <v>1673</v>
      </c>
      <c r="T146">
        <f>'Assessment Questions'!W146</f>
        <v>0</v>
      </c>
      <c r="U146">
        <f>'Assessment Questions'!X146</f>
        <v>0</v>
      </c>
      <c r="V146" t="str">
        <f>'Assessment Questions'!Y146</f>
        <v>Use the recommended action generated by the model; validate with domain owner during real assessment.</v>
      </c>
      <c r="W146">
        <v>4</v>
      </c>
      <c r="X146">
        <v>5</v>
      </c>
      <c r="Y146">
        <v>5</v>
      </c>
      <c r="Z146">
        <f>'Assessment Questions'!AC146</f>
        <v>0</v>
      </c>
      <c r="AA146" t="s">
        <v>1677</v>
      </c>
      <c r="AB146">
        <f t="shared" si="69"/>
        <v>6</v>
      </c>
      <c r="AC146">
        <f t="shared" si="70"/>
        <v>0</v>
      </c>
      <c r="AD146">
        <f t="shared" si="59"/>
        <v>0</v>
      </c>
      <c r="AE146">
        <f t="shared" si="71"/>
        <v>6</v>
      </c>
      <c r="AF146">
        <f t="shared" si="60"/>
        <v>5</v>
      </c>
      <c r="AG146">
        <f t="shared" si="72"/>
        <v>6</v>
      </c>
      <c r="AH146">
        <f>'Assessment Questions'!AK146</f>
        <v>0</v>
      </c>
      <c r="AI146">
        <f>'Assessment Questions'!AL146</f>
        <v>0</v>
      </c>
      <c r="AJ146">
        <f>IF(OR($H146="",$H146="N/A"),"",IF($AH146="",VLOOKUP('Company Profile'!$B$40,_CONFIG_Model_Settings!$A$5:$B$8,2,FALSE),IFERROR(VLOOKUP($AH146,_CONFIG_Model_Settings!$A$5:$B$8,2,FALSE),0.9)))</f>
        <v>0.9</v>
      </c>
      <c r="AK146">
        <f>IF(OR($H146="",$H146="N/A"),"",IF($AI146="",VLOOKUP('Company Profile'!$B$41,_CONFIG_Model_Settings!$A$5:$B$8,2,FALSE),IFERROR(VLOOKUP($AI146,_CONFIG_Model_Settings!$A$5:$B$8,2,FALSE),0.9)))</f>
        <v>0.9</v>
      </c>
      <c r="AL146">
        <f t="shared" si="61"/>
        <v>0</v>
      </c>
      <c r="AM146">
        <f t="shared" si="62"/>
        <v>0</v>
      </c>
      <c r="AN146">
        <f>IFERROR(MIN(5,MAX(0,(SUMIFS(_REF_Model_Content!$D$1:$D$174,_REF_Model_Content!$A$1:$A$174,PV_Canonical_Industry,_REF_Model_Content!$B$1:$B$174,"Physical Safety"))+IFERROR(VLOOKUP('Company Profile'!$B$35,_CONFIG_Model_Settings!$A$11:$B$13,2,0),0))),"")</f>
        <v>0</v>
      </c>
      <c r="AO146">
        <f t="shared" si="63"/>
        <v>0</v>
      </c>
      <c r="AP146">
        <f>IFERROR(SUMIFS(_REF_Model_Content!$E$1:$E$174,_REF_Model_Content!$A$1:$A$174,PV_Canonical_Industry,_REF_Model_Content!$B$1:$B$174,"Physical Safety"),1)</f>
        <v>0</v>
      </c>
      <c r="AQ146">
        <f t="shared" si="64"/>
        <v>0</v>
      </c>
      <c r="AR146" t="str">
        <f t="shared" si="65"/>
        <v>Within target</v>
      </c>
      <c r="AS146">
        <f t="shared" si="66"/>
        <v>0</v>
      </c>
      <c r="AT146">
        <f t="shared" si="67"/>
        <v>0.9</v>
      </c>
      <c r="AU146">
        <f>'Assessment Questions'!AX146</f>
        <v>0</v>
      </c>
      <c r="AV146">
        <f t="shared" si="68"/>
        <v>0.9</v>
      </c>
      <c r="AW146" t="s">
        <v>1666</v>
      </c>
      <c r="AX146" t="s">
        <v>1666</v>
      </c>
      <c r="AY146">
        <v>6</v>
      </c>
      <c r="AZ146">
        <v>146</v>
      </c>
    </row>
    <row r="147" spans="1:52">
      <c r="A147" t="s">
        <v>1678</v>
      </c>
      <c r="B147" t="s">
        <v>1668</v>
      </c>
      <c r="C147" t="s">
        <v>1679</v>
      </c>
      <c r="D147" t="s">
        <v>1670</v>
      </c>
      <c r="E147" t="s">
        <v>1671</v>
      </c>
      <c r="F147" t="s">
        <v>1680</v>
      </c>
      <c r="G147">
        <f>'Assessment Questions'!J147</f>
        <v>5</v>
      </c>
      <c r="H147">
        <f t="shared" si="54"/>
        <v>0</v>
      </c>
      <c r="I147">
        <f t="shared" si="55"/>
        <v>0</v>
      </c>
      <c r="J147">
        <f t="shared" si="56"/>
        <v>5</v>
      </c>
      <c r="K147">
        <f t="shared" si="57"/>
        <v>5</v>
      </c>
      <c r="L147" t="str">
        <f t="shared" si="58"/>
        <v>Critical</v>
      </c>
      <c r="M147" t="s">
        <v>833</v>
      </c>
      <c r="N147" t="s">
        <v>834</v>
      </c>
      <c r="O147" t="s">
        <v>835</v>
      </c>
      <c r="P147" t="s">
        <v>836</v>
      </c>
      <c r="Q147" t="s">
        <v>837</v>
      </c>
      <c r="R147" t="s">
        <v>838</v>
      </c>
      <c r="S147" t="s">
        <v>1673</v>
      </c>
      <c r="T147">
        <f>'Assessment Questions'!W147</f>
        <v>0</v>
      </c>
      <c r="U147">
        <f>'Assessment Questions'!X147</f>
        <v>0</v>
      </c>
      <c r="V147" t="str">
        <f>'Assessment Questions'!Y147</f>
        <v>Use the recommended action generated by the model; validate with domain owner during real assessment.</v>
      </c>
      <c r="W147">
        <v>4</v>
      </c>
      <c r="X147">
        <v>5</v>
      </c>
      <c r="Y147">
        <v>5</v>
      </c>
      <c r="Z147">
        <f>'Assessment Questions'!AC147</f>
        <v>0</v>
      </c>
      <c r="AA147" t="s">
        <v>1681</v>
      </c>
      <c r="AB147">
        <f t="shared" si="69"/>
        <v>6</v>
      </c>
      <c r="AC147">
        <f t="shared" si="70"/>
        <v>0</v>
      </c>
      <c r="AD147">
        <f t="shared" si="59"/>
        <v>0</v>
      </c>
      <c r="AE147">
        <f t="shared" si="71"/>
        <v>6</v>
      </c>
      <c r="AF147">
        <f t="shared" si="60"/>
        <v>5</v>
      </c>
      <c r="AG147">
        <f t="shared" si="72"/>
        <v>6</v>
      </c>
      <c r="AH147">
        <f>'Assessment Questions'!AK147</f>
        <v>0</v>
      </c>
      <c r="AI147">
        <f>'Assessment Questions'!AL147</f>
        <v>0</v>
      </c>
      <c r="AJ147">
        <f>IF(OR($H147="",$H147="N/A"),"",IF($AH147="",VLOOKUP('Company Profile'!$B$40,_CONFIG_Model_Settings!$A$5:$B$8,2,FALSE),IFERROR(VLOOKUP($AH147,_CONFIG_Model_Settings!$A$5:$B$8,2,FALSE),0.9)))</f>
        <v>0.9</v>
      </c>
      <c r="AK147">
        <f>IF(OR($H147="",$H147="N/A"),"",IF($AI147="",VLOOKUP('Company Profile'!$B$41,_CONFIG_Model_Settings!$A$5:$B$8,2,FALSE),IFERROR(VLOOKUP($AI147,_CONFIG_Model_Settings!$A$5:$B$8,2,FALSE),0.9)))</f>
        <v>0.9</v>
      </c>
      <c r="AL147">
        <f t="shared" si="61"/>
        <v>0</v>
      </c>
      <c r="AM147">
        <f t="shared" si="62"/>
        <v>0</v>
      </c>
      <c r="AN147">
        <f>IFERROR(MIN(5,MAX(0,(SUMIFS(_REF_Model_Content!$D$1:$D$174,_REF_Model_Content!$A$1:$A$174,PV_Canonical_Industry,_REF_Model_Content!$B$1:$B$174,"Physical Safety"))+IFERROR(VLOOKUP('Company Profile'!$B$35,_CONFIG_Model_Settings!$A$11:$B$13,2,0),0))),"")</f>
        <v>0</v>
      </c>
      <c r="AO147">
        <f t="shared" si="63"/>
        <v>0</v>
      </c>
      <c r="AP147">
        <f>IFERROR(SUMIFS(_REF_Model_Content!$E$1:$E$174,_REF_Model_Content!$A$1:$A$174,PV_Canonical_Industry,_REF_Model_Content!$B$1:$B$174,"Physical Safety"),1)</f>
        <v>0</v>
      </c>
      <c r="AQ147">
        <f t="shared" si="64"/>
        <v>0</v>
      </c>
      <c r="AR147" t="str">
        <f t="shared" si="65"/>
        <v>Within target</v>
      </c>
      <c r="AS147">
        <f t="shared" si="66"/>
        <v>0</v>
      </c>
      <c r="AT147">
        <f t="shared" si="67"/>
        <v>0.9</v>
      </c>
      <c r="AU147">
        <f>'Assessment Questions'!AX147</f>
        <v>0</v>
      </c>
      <c r="AV147">
        <f t="shared" si="68"/>
        <v>0.9</v>
      </c>
      <c r="AW147" t="s">
        <v>1666</v>
      </c>
      <c r="AX147" t="s">
        <v>1666</v>
      </c>
      <c r="AY147">
        <v>7</v>
      </c>
      <c r="AZ147">
        <v>147</v>
      </c>
    </row>
    <row r="148" spans="1:52">
      <c r="A148" t="s">
        <v>1682</v>
      </c>
      <c r="B148" t="s">
        <v>1668</v>
      </c>
      <c r="C148" t="s">
        <v>1683</v>
      </c>
      <c r="D148" t="s">
        <v>1670</v>
      </c>
      <c r="E148" t="s">
        <v>1671</v>
      </c>
      <c r="F148" t="s">
        <v>1684</v>
      </c>
      <c r="G148">
        <f>'Assessment Questions'!J148</f>
        <v>5</v>
      </c>
      <c r="H148">
        <f t="shared" si="54"/>
        <v>0</v>
      </c>
      <c r="I148">
        <f t="shared" si="55"/>
        <v>0</v>
      </c>
      <c r="J148">
        <f t="shared" si="56"/>
        <v>5</v>
      </c>
      <c r="K148">
        <f t="shared" si="57"/>
        <v>5</v>
      </c>
      <c r="L148" t="str">
        <f t="shared" si="58"/>
        <v>Critical</v>
      </c>
      <c r="M148" t="s">
        <v>874</v>
      </c>
      <c r="N148" t="s">
        <v>875</v>
      </c>
      <c r="O148" t="s">
        <v>876</v>
      </c>
      <c r="P148" t="s">
        <v>877</v>
      </c>
      <c r="Q148" t="s">
        <v>878</v>
      </c>
      <c r="R148" t="s">
        <v>879</v>
      </c>
      <c r="S148" t="s">
        <v>1673</v>
      </c>
      <c r="T148">
        <f>'Assessment Questions'!W148</f>
        <v>0</v>
      </c>
      <c r="U148">
        <f>'Assessment Questions'!X148</f>
        <v>0</v>
      </c>
      <c r="V148" t="str">
        <f>'Assessment Questions'!Y148</f>
        <v>Use the recommended action generated by the model; validate with domain owner during real assessment.</v>
      </c>
      <c r="W148">
        <v>4</v>
      </c>
      <c r="X148">
        <v>5</v>
      </c>
      <c r="Y148">
        <v>5</v>
      </c>
      <c r="Z148">
        <f>'Assessment Questions'!AC148</f>
        <v>0</v>
      </c>
      <c r="AA148" t="s">
        <v>1685</v>
      </c>
      <c r="AB148">
        <f t="shared" si="69"/>
        <v>5</v>
      </c>
      <c r="AC148">
        <f t="shared" si="70"/>
        <v>0</v>
      </c>
      <c r="AD148">
        <f t="shared" si="59"/>
        <v>0</v>
      </c>
      <c r="AE148">
        <f t="shared" si="71"/>
        <v>5</v>
      </c>
      <c r="AF148">
        <f t="shared" si="60"/>
        <v>5</v>
      </c>
      <c r="AG148">
        <f t="shared" si="72"/>
        <v>5</v>
      </c>
      <c r="AH148">
        <f>'Assessment Questions'!AK148</f>
        <v>0</v>
      </c>
      <c r="AI148">
        <f>'Assessment Questions'!AL148</f>
        <v>0</v>
      </c>
      <c r="AJ148">
        <f>IF(OR($H148="",$H148="N/A"),"",IF($AH148="",VLOOKUP('Company Profile'!$B$40,_CONFIG_Model_Settings!$A$5:$B$8,2,FALSE),IFERROR(VLOOKUP($AH148,_CONFIG_Model_Settings!$A$5:$B$8,2,FALSE),0.9)))</f>
        <v>0.9</v>
      </c>
      <c r="AK148">
        <f>IF(OR($H148="",$H148="N/A"),"",IF($AI148="",VLOOKUP('Company Profile'!$B$41,_CONFIG_Model_Settings!$A$5:$B$8,2,FALSE),IFERROR(VLOOKUP($AI148,_CONFIG_Model_Settings!$A$5:$B$8,2,FALSE),0.9)))</f>
        <v>0.9</v>
      </c>
      <c r="AL148">
        <f t="shared" si="61"/>
        <v>0</v>
      </c>
      <c r="AM148">
        <f t="shared" si="62"/>
        <v>0</v>
      </c>
      <c r="AN148">
        <f>IFERROR(MIN(5,MAX(0,(SUMIFS(_REF_Model_Content!$D$1:$D$174,_REF_Model_Content!$A$1:$A$174,PV_Canonical_Industry,_REF_Model_Content!$B$1:$B$174,"Physical Safety"))+IFERROR(VLOOKUP('Company Profile'!$B$35,_CONFIG_Model_Settings!$A$11:$B$13,2,0),0))),"")</f>
        <v>0</v>
      </c>
      <c r="AO148">
        <f t="shared" si="63"/>
        <v>0</v>
      </c>
      <c r="AP148">
        <f>IFERROR(SUMIFS(_REF_Model_Content!$E$1:$E$174,_REF_Model_Content!$A$1:$A$174,PV_Canonical_Industry,_REF_Model_Content!$B$1:$B$174,"Physical Safety"),1)</f>
        <v>0</v>
      </c>
      <c r="AQ148">
        <f t="shared" si="64"/>
        <v>0</v>
      </c>
      <c r="AR148" t="str">
        <f t="shared" si="65"/>
        <v>Within target</v>
      </c>
      <c r="AS148">
        <f t="shared" si="66"/>
        <v>0</v>
      </c>
      <c r="AT148">
        <f t="shared" si="67"/>
        <v>0.9</v>
      </c>
      <c r="AU148">
        <f>'Assessment Questions'!AX148</f>
        <v>0</v>
      </c>
      <c r="AV148">
        <f t="shared" si="68"/>
        <v>0.9</v>
      </c>
      <c r="AW148" t="s">
        <v>1666</v>
      </c>
      <c r="AX148" t="s">
        <v>1666</v>
      </c>
      <c r="AY148">
        <v>8</v>
      </c>
      <c r="AZ148">
        <v>148</v>
      </c>
    </row>
    <row r="149" spans="1:52">
      <c r="A149" t="s">
        <v>1686</v>
      </c>
      <c r="B149" t="s">
        <v>1668</v>
      </c>
      <c r="C149" t="s">
        <v>1687</v>
      </c>
      <c r="D149" t="s">
        <v>1670</v>
      </c>
      <c r="E149" t="s">
        <v>1671</v>
      </c>
      <c r="F149" t="s">
        <v>1688</v>
      </c>
      <c r="G149">
        <f>'Assessment Questions'!J149</f>
        <v>5</v>
      </c>
      <c r="H149">
        <f t="shared" si="54"/>
        <v>0</v>
      </c>
      <c r="I149">
        <f t="shared" si="55"/>
        <v>0</v>
      </c>
      <c r="J149">
        <f t="shared" si="56"/>
        <v>5</v>
      </c>
      <c r="K149">
        <f t="shared" si="57"/>
        <v>5</v>
      </c>
      <c r="L149" t="str">
        <f t="shared" si="58"/>
        <v>Critical</v>
      </c>
      <c r="M149" t="s">
        <v>833</v>
      </c>
      <c r="N149" t="s">
        <v>834</v>
      </c>
      <c r="O149" t="s">
        <v>835</v>
      </c>
      <c r="P149" t="s">
        <v>836</v>
      </c>
      <c r="Q149" t="s">
        <v>837</v>
      </c>
      <c r="R149" t="s">
        <v>838</v>
      </c>
      <c r="S149" t="s">
        <v>1673</v>
      </c>
      <c r="T149">
        <f>'Assessment Questions'!W149</f>
        <v>0</v>
      </c>
      <c r="U149">
        <f>'Assessment Questions'!X149</f>
        <v>0</v>
      </c>
      <c r="V149" t="str">
        <f>'Assessment Questions'!Y149</f>
        <v>Use the recommended action generated by the model; validate with domain owner during real assessment.</v>
      </c>
      <c r="W149">
        <v>4</v>
      </c>
      <c r="X149">
        <v>5</v>
      </c>
      <c r="Y149">
        <v>5</v>
      </c>
      <c r="Z149">
        <f>'Assessment Questions'!AC149</f>
        <v>0</v>
      </c>
      <c r="AA149" t="s">
        <v>1689</v>
      </c>
      <c r="AB149">
        <f t="shared" si="69"/>
        <v>5</v>
      </c>
      <c r="AC149">
        <f t="shared" si="70"/>
        <v>0</v>
      </c>
      <c r="AD149">
        <f t="shared" si="59"/>
        <v>0</v>
      </c>
      <c r="AE149">
        <f t="shared" si="71"/>
        <v>5</v>
      </c>
      <c r="AF149">
        <f t="shared" si="60"/>
        <v>5</v>
      </c>
      <c r="AG149">
        <f t="shared" si="72"/>
        <v>5</v>
      </c>
      <c r="AH149">
        <f>'Assessment Questions'!AK149</f>
        <v>0</v>
      </c>
      <c r="AI149">
        <f>'Assessment Questions'!AL149</f>
        <v>0</v>
      </c>
      <c r="AJ149">
        <f>IF(OR($H149="",$H149="N/A"),"",IF($AH149="",VLOOKUP('Company Profile'!$B$40,_CONFIG_Model_Settings!$A$5:$B$8,2,FALSE),IFERROR(VLOOKUP($AH149,_CONFIG_Model_Settings!$A$5:$B$8,2,FALSE),0.9)))</f>
        <v>0.9</v>
      </c>
      <c r="AK149">
        <f>IF(OR($H149="",$H149="N/A"),"",IF($AI149="",VLOOKUP('Company Profile'!$B$41,_CONFIG_Model_Settings!$A$5:$B$8,2,FALSE),IFERROR(VLOOKUP($AI149,_CONFIG_Model_Settings!$A$5:$B$8,2,FALSE),0.9)))</f>
        <v>0.9</v>
      </c>
      <c r="AL149">
        <f t="shared" si="61"/>
        <v>0</v>
      </c>
      <c r="AM149">
        <f t="shared" si="62"/>
        <v>0</v>
      </c>
      <c r="AN149">
        <f>IFERROR(MIN(5,MAX(0,(SUMIFS(_REF_Model_Content!$D$1:$D$174,_REF_Model_Content!$A$1:$A$174,PV_Canonical_Industry,_REF_Model_Content!$B$1:$B$174,"Physical Safety"))+IFERROR(VLOOKUP('Company Profile'!$B$35,_CONFIG_Model_Settings!$A$11:$B$13,2,0),0))),"")</f>
        <v>0</v>
      </c>
      <c r="AO149">
        <f t="shared" si="63"/>
        <v>0</v>
      </c>
      <c r="AP149">
        <f>IFERROR(SUMIFS(_REF_Model_Content!$E$1:$E$174,_REF_Model_Content!$A$1:$A$174,PV_Canonical_Industry,_REF_Model_Content!$B$1:$B$174,"Physical Safety"),1)</f>
        <v>0</v>
      </c>
      <c r="AQ149">
        <f t="shared" si="64"/>
        <v>0</v>
      </c>
      <c r="AR149" t="str">
        <f t="shared" si="65"/>
        <v>Within target</v>
      </c>
      <c r="AS149">
        <f t="shared" si="66"/>
        <v>0</v>
      </c>
      <c r="AT149">
        <f t="shared" si="67"/>
        <v>0.9</v>
      </c>
      <c r="AU149">
        <f>'Assessment Questions'!AX149</f>
        <v>0</v>
      </c>
      <c r="AV149">
        <f t="shared" si="68"/>
        <v>0.9</v>
      </c>
      <c r="AW149" t="s">
        <v>1666</v>
      </c>
      <c r="AX149" t="s">
        <v>1666</v>
      </c>
      <c r="AY149">
        <v>9</v>
      </c>
      <c r="AZ149">
        <v>149</v>
      </c>
    </row>
    <row r="150" spans="1:52">
      <c r="A150" t="s">
        <v>1690</v>
      </c>
      <c r="B150" t="s">
        <v>1668</v>
      </c>
      <c r="C150" t="s">
        <v>1691</v>
      </c>
      <c r="D150" t="s">
        <v>1670</v>
      </c>
      <c r="E150" t="s">
        <v>1671</v>
      </c>
      <c r="F150" t="s">
        <v>1692</v>
      </c>
      <c r="G150">
        <f>'Assessment Questions'!J150</f>
        <v>5</v>
      </c>
      <c r="H150">
        <f t="shared" si="54"/>
        <v>0</v>
      </c>
      <c r="I150">
        <f t="shared" si="55"/>
        <v>0</v>
      </c>
      <c r="J150">
        <f t="shared" si="56"/>
        <v>5</v>
      </c>
      <c r="K150">
        <f t="shared" si="57"/>
        <v>5</v>
      </c>
      <c r="L150" t="str">
        <f t="shared" si="58"/>
        <v>Critical</v>
      </c>
      <c r="M150" t="s">
        <v>833</v>
      </c>
      <c r="N150" t="s">
        <v>834</v>
      </c>
      <c r="O150" t="s">
        <v>835</v>
      </c>
      <c r="P150" t="s">
        <v>836</v>
      </c>
      <c r="Q150" t="s">
        <v>837</v>
      </c>
      <c r="R150" t="s">
        <v>838</v>
      </c>
      <c r="S150" t="s">
        <v>1673</v>
      </c>
      <c r="T150">
        <f>'Assessment Questions'!W150</f>
        <v>0</v>
      </c>
      <c r="U150">
        <f>'Assessment Questions'!X150</f>
        <v>0</v>
      </c>
      <c r="V150" t="str">
        <f>'Assessment Questions'!Y150</f>
        <v>Use the recommended action generated by the model; validate with domain owner during real assessment.</v>
      </c>
      <c r="W150">
        <v>4</v>
      </c>
      <c r="X150">
        <v>5</v>
      </c>
      <c r="Y150">
        <v>5</v>
      </c>
      <c r="Z150">
        <f>'Assessment Questions'!AC150</f>
        <v>0</v>
      </c>
      <c r="AA150" t="s">
        <v>1693</v>
      </c>
      <c r="AB150">
        <f t="shared" si="69"/>
        <v>3</v>
      </c>
      <c r="AC150">
        <f t="shared" si="70"/>
        <v>0</v>
      </c>
      <c r="AD150">
        <f t="shared" si="59"/>
        <v>0</v>
      </c>
      <c r="AE150">
        <f t="shared" si="71"/>
        <v>3</v>
      </c>
      <c r="AF150">
        <f t="shared" si="60"/>
        <v>5</v>
      </c>
      <c r="AG150">
        <f t="shared" si="72"/>
        <v>3</v>
      </c>
      <c r="AH150">
        <f>'Assessment Questions'!AK150</f>
        <v>0</v>
      </c>
      <c r="AI150">
        <f>'Assessment Questions'!AL150</f>
        <v>0</v>
      </c>
      <c r="AJ150">
        <f>IF(OR($H150="",$H150="N/A"),"",IF($AH150="",VLOOKUP('Company Profile'!$B$40,_CONFIG_Model_Settings!$A$5:$B$8,2,FALSE),IFERROR(VLOOKUP($AH150,_CONFIG_Model_Settings!$A$5:$B$8,2,FALSE),0.9)))</f>
        <v>0.9</v>
      </c>
      <c r="AK150">
        <f>IF(OR($H150="",$H150="N/A"),"",IF($AI150="",VLOOKUP('Company Profile'!$B$41,_CONFIG_Model_Settings!$A$5:$B$8,2,FALSE),IFERROR(VLOOKUP($AI150,_CONFIG_Model_Settings!$A$5:$B$8,2,FALSE),0.9)))</f>
        <v>0.9</v>
      </c>
      <c r="AL150">
        <f t="shared" si="61"/>
        <v>0</v>
      </c>
      <c r="AM150">
        <f t="shared" si="62"/>
        <v>0</v>
      </c>
      <c r="AN150">
        <f>IFERROR(MIN(5,MAX(0,(SUMIFS(_REF_Model_Content!$D$1:$D$174,_REF_Model_Content!$A$1:$A$174,PV_Canonical_Industry,_REF_Model_Content!$B$1:$B$174,"Physical Safety"))+IFERROR(VLOOKUP('Company Profile'!$B$35,_CONFIG_Model_Settings!$A$11:$B$13,2,0),0))),"")</f>
        <v>0</v>
      </c>
      <c r="AO150">
        <f t="shared" si="63"/>
        <v>0</v>
      </c>
      <c r="AP150">
        <f>IFERROR(SUMIFS(_REF_Model_Content!$E$1:$E$174,_REF_Model_Content!$A$1:$A$174,PV_Canonical_Industry,_REF_Model_Content!$B$1:$B$174,"Physical Safety"),1)</f>
        <v>0</v>
      </c>
      <c r="AQ150">
        <f t="shared" si="64"/>
        <v>0</v>
      </c>
      <c r="AR150" t="str">
        <f t="shared" si="65"/>
        <v>Within target</v>
      </c>
      <c r="AS150">
        <f t="shared" si="66"/>
        <v>0</v>
      </c>
      <c r="AT150">
        <f t="shared" si="67"/>
        <v>0.9</v>
      </c>
      <c r="AU150">
        <f>'Assessment Questions'!AX150</f>
        <v>0</v>
      </c>
      <c r="AV150">
        <f t="shared" si="68"/>
        <v>0.9</v>
      </c>
      <c r="AW150" t="s">
        <v>1666</v>
      </c>
      <c r="AX150" t="s">
        <v>1666</v>
      </c>
      <c r="AY150">
        <v>10</v>
      </c>
      <c r="AZ150">
        <v>150</v>
      </c>
    </row>
    <row r="151" spans="1:52">
      <c r="A151" t="s">
        <v>1694</v>
      </c>
      <c r="B151" t="s">
        <v>1677</v>
      </c>
      <c r="C151" t="s">
        <v>1695</v>
      </c>
      <c r="D151" t="s">
        <v>1670</v>
      </c>
      <c r="E151" t="s">
        <v>1671</v>
      </c>
      <c r="F151" t="s">
        <v>1696</v>
      </c>
      <c r="G151">
        <f>'Assessment Questions'!J151</f>
        <v>5</v>
      </c>
      <c r="H151">
        <f t="shared" si="54"/>
        <v>0</v>
      </c>
      <c r="I151">
        <f t="shared" si="55"/>
        <v>0</v>
      </c>
      <c r="J151">
        <f t="shared" si="56"/>
        <v>5</v>
      </c>
      <c r="K151">
        <f t="shared" si="57"/>
        <v>5</v>
      </c>
      <c r="L151" t="str">
        <f t="shared" si="58"/>
        <v>Critical</v>
      </c>
      <c r="M151" t="s">
        <v>1051</v>
      </c>
      <c r="N151" t="s">
        <v>1052</v>
      </c>
      <c r="O151" t="s">
        <v>1053</v>
      </c>
      <c r="P151" t="s">
        <v>1054</v>
      </c>
      <c r="Q151" t="s">
        <v>1055</v>
      </c>
      <c r="R151" t="s">
        <v>1056</v>
      </c>
      <c r="S151" t="s">
        <v>1673</v>
      </c>
      <c r="T151">
        <f>'Assessment Questions'!W151</f>
        <v>0</v>
      </c>
      <c r="U151">
        <f>'Assessment Questions'!X151</f>
        <v>0</v>
      </c>
      <c r="V151" t="str">
        <f>'Assessment Questions'!Y151</f>
        <v>Use the recommended action generated by the model; validate with domain owner during real assessment.</v>
      </c>
      <c r="W151">
        <v>4</v>
      </c>
      <c r="X151">
        <v>5</v>
      </c>
      <c r="Y151">
        <v>5</v>
      </c>
      <c r="Z151">
        <f>'Assessment Questions'!AC151</f>
        <v>0</v>
      </c>
      <c r="AB151">
        <f t="shared" si="69"/>
        <v>0</v>
      </c>
      <c r="AC151">
        <f t="shared" si="70"/>
        <v>0</v>
      </c>
      <c r="AD151">
        <f t="shared" si="59"/>
        <v>0</v>
      </c>
      <c r="AE151">
        <f t="shared" si="71"/>
        <v>0</v>
      </c>
      <c r="AF151">
        <f t="shared" si="60"/>
        <v>5</v>
      </c>
      <c r="AG151">
        <f t="shared" si="72"/>
        <v>0</v>
      </c>
      <c r="AH151">
        <f>'Assessment Questions'!AK151</f>
        <v>0</v>
      </c>
      <c r="AI151">
        <f>'Assessment Questions'!AL151</f>
        <v>0</v>
      </c>
      <c r="AJ151">
        <f>IF(OR($H151="",$H151="N/A"),"",IF($AH151="",VLOOKUP('Company Profile'!$B$40,_CONFIG_Model_Settings!$A$5:$B$8,2,FALSE),IFERROR(VLOOKUP($AH151,_CONFIG_Model_Settings!$A$5:$B$8,2,FALSE),0.9)))</f>
        <v>0.9</v>
      </c>
      <c r="AK151">
        <f>IF(OR($H151="",$H151="N/A"),"",IF($AI151="",VLOOKUP('Company Profile'!$B$41,_CONFIG_Model_Settings!$A$5:$B$8,2,FALSE),IFERROR(VLOOKUP($AI151,_CONFIG_Model_Settings!$A$5:$B$8,2,FALSE),0.9)))</f>
        <v>0.9</v>
      </c>
      <c r="AL151">
        <f t="shared" si="61"/>
        <v>0</v>
      </c>
      <c r="AM151">
        <f t="shared" si="62"/>
        <v>0</v>
      </c>
      <c r="AN151">
        <f>IFERROR(MIN(5,MAX(0,(SUMIFS(_REF_Model_Content!$D$1:$D$174,_REF_Model_Content!$A$1:$A$174,PV_Canonical_Industry,_REF_Model_Content!$B$1:$B$174,"Physical Safety"))+IFERROR(VLOOKUP('Company Profile'!$B$35,_CONFIG_Model_Settings!$A$11:$B$13,2,0),0))),"")</f>
        <v>0</v>
      </c>
      <c r="AO151">
        <f t="shared" si="63"/>
        <v>0</v>
      </c>
      <c r="AP151">
        <f>IFERROR(SUMIFS(_REF_Model_Content!$E$1:$E$174,_REF_Model_Content!$A$1:$A$174,PV_Canonical_Industry,_REF_Model_Content!$B$1:$B$174,"Physical Safety"),1)</f>
        <v>0</v>
      </c>
      <c r="AQ151">
        <f t="shared" si="64"/>
        <v>0</v>
      </c>
      <c r="AR151" t="str">
        <f t="shared" si="65"/>
        <v>Within target</v>
      </c>
      <c r="AS151">
        <f t="shared" si="66"/>
        <v>0</v>
      </c>
      <c r="AT151">
        <f t="shared" si="67"/>
        <v>0.9</v>
      </c>
      <c r="AU151">
        <f>'Assessment Questions'!AX151</f>
        <v>0</v>
      </c>
      <c r="AV151">
        <f t="shared" si="68"/>
        <v>0.9</v>
      </c>
      <c r="AW151" t="s">
        <v>1666</v>
      </c>
      <c r="AX151" t="s">
        <v>1666</v>
      </c>
      <c r="AY151">
        <v>11</v>
      </c>
      <c r="AZ151">
        <v>151</v>
      </c>
    </row>
    <row r="152" spans="1:52">
      <c r="A152" t="s">
        <v>1697</v>
      </c>
      <c r="B152" t="s">
        <v>1677</v>
      </c>
      <c r="C152" t="s">
        <v>1698</v>
      </c>
      <c r="D152" t="s">
        <v>1670</v>
      </c>
      <c r="E152" t="s">
        <v>1671</v>
      </c>
      <c r="F152" t="s">
        <v>1699</v>
      </c>
      <c r="G152">
        <f>'Assessment Questions'!J152</f>
        <v>5</v>
      </c>
      <c r="H152">
        <f t="shared" si="54"/>
        <v>0</v>
      </c>
      <c r="I152">
        <f t="shared" si="55"/>
        <v>0</v>
      </c>
      <c r="J152">
        <f t="shared" si="56"/>
        <v>5</v>
      </c>
      <c r="K152">
        <f t="shared" si="57"/>
        <v>5</v>
      </c>
      <c r="L152" t="str">
        <f t="shared" si="58"/>
        <v>Critical</v>
      </c>
      <c r="M152" t="s">
        <v>833</v>
      </c>
      <c r="N152" t="s">
        <v>834</v>
      </c>
      <c r="O152" t="s">
        <v>835</v>
      </c>
      <c r="P152" t="s">
        <v>836</v>
      </c>
      <c r="Q152" t="s">
        <v>837</v>
      </c>
      <c r="R152" t="s">
        <v>838</v>
      </c>
      <c r="S152" t="s">
        <v>1673</v>
      </c>
      <c r="T152">
        <f>'Assessment Questions'!W152</f>
        <v>0</v>
      </c>
      <c r="U152">
        <f>'Assessment Questions'!X152</f>
        <v>0</v>
      </c>
      <c r="V152" t="str">
        <f>'Assessment Questions'!Y152</f>
        <v>Use the recommended action generated by the model; validate with domain owner during real assessment.</v>
      </c>
      <c r="W152">
        <v>5</v>
      </c>
      <c r="X152">
        <v>5</v>
      </c>
      <c r="Y152">
        <v>5</v>
      </c>
      <c r="Z152">
        <f>'Assessment Questions'!AC152</f>
        <v>0</v>
      </c>
      <c r="AB152">
        <f t="shared" si="69"/>
        <v>0</v>
      </c>
      <c r="AC152">
        <f t="shared" si="70"/>
        <v>0</v>
      </c>
      <c r="AD152">
        <f t="shared" si="59"/>
        <v>0</v>
      </c>
      <c r="AE152">
        <f t="shared" si="71"/>
        <v>0</v>
      </c>
      <c r="AF152">
        <f t="shared" si="60"/>
        <v>5</v>
      </c>
      <c r="AG152">
        <f t="shared" si="72"/>
        <v>0</v>
      </c>
      <c r="AH152">
        <f>'Assessment Questions'!AK152</f>
        <v>0</v>
      </c>
      <c r="AI152">
        <f>'Assessment Questions'!AL152</f>
        <v>0</v>
      </c>
      <c r="AJ152">
        <f>IF(OR($H152="",$H152="N/A"),"",IF($AH152="",VLOOKUP('Company Profile'!$B$40,_CONFIG_Model_Settings!$A$5:$B$8,2,FALSE),IFERROR(VLOOKUP($AH152,_CONFIG_Model_Settings!$A$5:$B$8,2,FALSE),0.9)))</f>
        <v>0.9</v>
      </c>
      <c r="AK152">
        <f>IF(OR($H152="",$H152="N/A"),"",IF($AI152="",VLOOKUP('Company Profile'!$B$41,_CONFIG_Model_Settings!$A$5:$B$8,2,FALSE),IFERROR(VLOOKUP($AI152,_CONFIG_Model_Settings!$A$5:$B$8,2,FALSE),0.9)))</f>
        <v>0.9</v>
      </c>
      <c r="AL152">
        <f t="shared" si="61"/>
        <v>0</v>
      </c>
      <c r="AM152">
        <f t="shared" si="62"/>
        <v>0</v>
      </c>
      <c r="AN152">
        <f>IFERROR(MIN(5,MAX(0,(SUMIFS(_REF_Model_Content!$D$1:$D$174,_REF_Model_Content!$A$1:$A$174,PV_Canonical_Industry,_REF_Model_Content!$B$1:$B$174,"Physical Safety"))+IFERROR(VLOOKUP('Company Profile'!$B$35,_CONFIG_Model_Settings!$A$11:$B$13,2,0),0))),"")</f>
        <v>0</v>
      </c>
      <c r="AO152">
        <f t="shared" si="63"/>
        <v>0</v>
      </c>
      <c r="AP152">
        <f>IFERROR(SUMIFS(_REF_Model_Content!$E$1:$E$174,_REF_Model_Content!$A$1:$A$174,PV_Canonical_Industry,_REF_Model_Content!$B$1:$B$174,"Physical Safety"),1)</f>
        <v>0</v>
      </c>
      <c r="AQ152">
        <f t="shared" si="64"/>
        <v>0</v>
      </c>
      <c r="AR152" t="str">
        <f t="shared" si="65"/>
        <v>Within target</v>
      </c>
      <c r="AS152">
        <f t="shared" si="66"/>
        <v>0</v>
      </c>
      <c r="AT152">
        <f t="shared" si="67"/>
        <v>0.9</v>
      </c>
      <c r="AU152">
        <f>'Assessment Questions'!AX152</f>
        <v>0</v>
      </c>
      <c r="AV152">
        <f t="shared" si="68"/>
        <v>0.9</v>
      </c>
      <c r="AW152" t="s">
        <v>1666</v>
      </c>
      <c r="AX152" t="s">
        <v>1666</v>
      </c>
      <c r="AY152">
        <v>12</v>
      </c>
      <c r="AZ152">
        <v>152</v>
      </c>
    </row>
    <row r="153" spans="1:52">
      <c r="A153" t="s">
        <v>1700</v>
      </c>
      <c r="B153" t="s">
        <v>1677</v>
      </c>
      <c r="C153" t="s">
        <v>1701</v>
      </c>
      <c r="D153" t="s">
        <v>1670</v>
      </c>
      <c r="E153" t="s">
        <v>1671</v>
      </c>
      <c r="F153" t="s">
        <v>1702</v>
      </c>
      <c r="G153">
        <f>'Assessment Questions'!J153</f>
        <v>4</v>
      </c>
      <c r="H153">
        <f t="shared" si="54"/>
        <v>0</v>
      </c>
      <c r="I153">
        <f t="shared" si="55"/>
        <v>0</v>
      </c>
      <c r="J153">
        <f t="shared" si="56"/>
        <v>4</v>
      </c>
      <c r="K153">
        <f t="shared" si="57"/>
        <v>4</v>
      </c>
      <c r="L153" t="str">
        <f t="shared" si="58"/>
        <v>Critical</v>
      </c>
      <c r="M153" t="s">
        <v>1703</v>
      </c>
      <c r="N153" t="s">
        <v>1704</v>
      </c>
      <c r="O153" t="s">
        <v>1705</v>
      </c>
      <c r="P153" t="s">
        <v>1706</v>
      </c>
      <c r="Q153" t="s">
        <v>1707</v>
      </c>
      <c r="R153" t="s">
        <v>1708</v>
      </c>
      <c r="S153" t="s">
        <v>1673</v>
      </c>
      <c r="T153">
        <f>'Assessment Questions'!W153</f>
        <v>0</v>
      </c>
      <c r="U153">
        <f>'Assessment Questions'!X153</f>
        <v>0</v>
      </c>
      <c r="V153" t="str">
        <f>'Assessment Questions'!Y153</f>
        <v>Use the recommended action generated by the model; validate with domain owner during real assessment.</v>
      </c>
      <c r="W153">
        <v>4</v>
      </c>
      <c r="X153">
        <v>5</v>
      </c>
      <c r="Y153">
        <v>5</v>
      </c>
      <c r="Z153">
        <f>'Assessment Questions'!AC153</f>
        <v>0</v>
      </c>
      <c r="AB153">
        <f t="shared" si="69"/>
        <v>0</v>
      </c>
      <c r="AC153">
        <f t="shared" si="70"/>
        <v>0</v>
      </c>
      <c r="AD153">
        <f t="shared" si="59"/>
        <v>0</v>
      </c>
      <c r="AE153">
        <f t="shared" si="71"/>
        <v>0</v>
      </c>
      <c r="AF153">
        <f t="shared" si="60"/>
        <v>5</v>
      </c>
      <c r="AG153">
        <f t="shared" si="72"/>
        <v>0</v>
      </c>
      <c r="AH153">
        <f>'Assessment Questions'!AK153</f>
        <v>0</v>
      </c>
      <c r="AI153">
        <f>'Assessment Questions'!AL153</f>
        <v>0</v>
      </c>
      <c r="AJ153">
        <f>IF(OR($H153="",$H153="N/A"),"",IF($AH153="",VLOOKUP('Company Profile'!$B$40,_CONFIG_Model_Settings!$A$5:$B$8,2,FALSE),IFERROR(VLOOKUP($AH153,_CONFIG_Model_Settings!$A$5:$B$8,2,FALSE),0.9)))</f>
        <v>0.9</v>
      </c>
      <c r="AK153">
        <f>IF(OR($H153="",$H153="N/A"),"",IF($AI153="",VLOOKUP('Company Profile'!$B$41,_CONFIG_Model_Settings!$A$5:$B$8,2,FALSE),IFERROR(VLOOKUP($AI153,_CONFIG_Model_Settings!$A$5:$B$8,2,FALSE),0.9)))</f>
        <v>0.9</v>
      </c>
      <c r="AL153">
        <f t="shared" si="61"/>
        <v>0</v>
      </c>
      <c r="AM153">
        <f t="shared" si="62"/>
        <v>0</v>
      </c>
      <c r="AN153">
        <f>IFERROR(MIN(5,MAX(0,(SUMIFS(_REF_Model_Content!$D$1:$D$174,_REF_Model_Content!$A$1:$A$174,PV_Canonical_Industry,_REF_Model_Content!$B$1:$B$174,"Physical Safety"))+IFERROR(VLOOKUP('Company Profile'!$B$35,_CONFIG_Model_Settings!$A$11:$B$13,2,0),0))),"")</f>
        <v>0</v>
      </c>
      <c r="AO153">
        <f t="shared" si="63"/>
        <v>0</v>
      </c>
      <c r="AP153">
        <f>IFERROR(SUMIFS(_REF_Model_Content!$E$1:$E$174,_REF_Model_Content!$A$1:$A$174,PV_Canonical_Industry,_REF_Model_Content!$B$1:$B$174,"Physical Safety"),1)</f>
        <v>0</v>
      </c>
      <c r="AQ153">
        <f t="shared" si="64"/>
        <v>0</v>
      </c>
      <c r="AR153" t="str">
        <f t="shared" si="65"/>
        <v>Within target</v>
      </c>
      <c r="AS153">
        <f t="shared" si="66"/>
        <v>0</v>
      </c>
      <c r="AT153">
        <f t="shared" si="67"/>
        <v>0.9</v>
      </c>
      <c r="AU153">
        <f>'Assessment Questions'!AX153</f>
        <v>0</v>
      </c>
      <c r="AV153">
        <f t="shared" si="68"/>
        <v>0.9</v>
      </c>
      <c r="AW153" t="s">
        <v>1666</v>
      </c>
      <c r="AX153" t="s">
        <v>1666</v>
      </c>
      <c r="AY153">
        <v>13</v>
      </c>
      <c r="AZ153">
        <v>153</v>
      </c>
    </row>
    <row r="154" spans="1:52">
      <c r="A154" t="s">
        <v>1709</v>
      </c>
      <c r="B154" t="s">
        <v>1677</v>
      </c>
      <c r="C154" t="s">
        <v>1710</v>
      </c>
      <c r="D154" t="s">
        <v>1670</v>
      </c>
      <c r="E154" t="s">
        <v>1671</v>
      </c>
      <c r="F154" t="s">
        <v>1711</v>
      </c>
      <c r="G154">
        <f>'Assessment Questions'!J154</f>
        <v>3</v>
      </c>
      <c r="H154">
        <f t="shared" si="54"/>
        <v>0</v>
      </c>
      <c r="I154">
        <f t="shared" si="55"/>
        <v>0</v>
      </c>
      <c r="J154">
        <f t="shared" si="56"/>
        <v>3</v>
      </c>
      <c r="K154">
        <f t="shared" si="57"/>
        <v>3</v>
      </c>
      <c r="L154" t="str">
        <f t="shared" si="58"/>
        <v>Critical</v>
      </c>
      <c r="M154" t="s">
        <v>1712</v>
      </c>
      <c r="N154" t="s">
        <v>1713</v>
      </c>
      <c r="O154" t="s">
        <v>1714</v>
      </c>
      <c r="P154" t="s">
        <v>1715</v>
      </c>
      <c r="Q154" t="s">
        <v>1716</v>
      </c>
      <c r="R154" t="s">
        <v>1717</v>
      </c>
      <c r="S154" t="s">
        <v>1673</v>
      </c>
      <c r="T154">
        <f>'Assessment Questions'!W154</f>
        <v>0</v>
      </c>
      <c r="U154">
        <f>'Assessment Questions'!X154</f>
        <v>0</v>
      </c>
      <c r="V154" t="str">
        <f>'Assessment Questions'!Y154</f>
        <v>Use the recommended action generated by the model; validate with domain owner during real assessment.</v>
      </c>
      <c r="W154">
        <v>4</v>
      </c>
      <c r="X154">
        <v>5</v>
      </c>
      <c r="Y154">
        <v>5</v>
      </c>
      <c r="Z154">
        <f>'Assessment Questions'!AC154</f>
        <v>0</v>
      </c>
      <c r="AB154">
        <f t="shared" si="69"/>
        <v>0</v>
      </c>
      <c r="AC154">
        <f t="shared" si="70"/>
        <v>0</v>
      </c>
      <c r="AD154">
        <f t="shared" si="59"/>
        <v>0</v>
      </c>
      <c r="AE154">
        <f t="shared" si="71"/>
        <v>0</v>
      </c>
      <c r="AF154">
        <f t="shared" si="60"/>
        <v>5</v>
      </c>
      <c r="AG154">
        <f t="shared" si="72"/>
        <v>0</v>
      </c>
      <c r="AH154">
        <f>'Assessment Questions'!AK154</f>
        <v>0</v>
      </c>
      <c r="AI154">
        <f>'Assessment Questions'!AL154</f>
        <v>0</v>
      </c>
      <c r="AJ154">
        <f>IF(OR($H154="",$H154="N/A"),"",IF($AH154="",VLOOKUP('Company Profile'!$B$40,_CONFIG_Model_Settings!$A$5:$B$8,2,FALSE),IFERROR(VLOOKUP($AH154,_CONFIG_Model_Settings!$A$5:$B$8,2,FALSE),0.9)))</f>
        <v>0.9</v>
      </c>
      <c r="AK154">
        <f>IF(OR($H154="",$H154="N/A"),"",IF($AI154="",VLOOKUP('Company Profile'!$B$41,_CONFIG_Model_Settings!$A$5:$B$8,2,FALSE),IFERROR(VLOOKUP($AI154,_CONFIG_Model_Settings!$A$5:$B$8,2,FALSE),0.9)))</f>
        <v>0.9</v>
      </c>
      <c r="AL154">
        <f t="shared" si="61"/>
        <v>0</v>
      </c>
      <c r="AM154">
        <f t="shared" si="62"/>
        <v>0</v>
      </c>
      <c r="AN154">
        <f>IFERROR(MIN(5,MAX(0,(SUMIFS(_REF_Model_Content!$D$1:$D$174,_REF_Model_Content!$A$1:$A$174,PV_Canonical_Industry,_REF_Model_Content!$B$1:$B$174,"Physical Safety"))+IFERROR(VLOOKUP('Company Profile'!$B$35,_CONFIG_Model_Settings!$A$11:$B$13,2,0),0))),"")</f>
        <v>0</v>
      </c>
      <c r="AO154">
        <f t="shared" si="63"/>
        <v>0</v>
      </c>
      <c r="AP154">
        <f>IFERROR(SUMIFS(_REF_Model_Content!$E$1:$E$174,_REF_Model_Content!$A$1:$A$174,PV_Canonical_Industry,_REF_Model_Content!$B$1:$B$174,"Physical Safety"),1)</f>
        <v>0</v>
      </c>
      <c r="AQ154">
        <f t="shared" si="64"/>
        <v>0</v>
      </c>
      <c r="AR154" t="str">
        <f t="shared" si="65"/>
        <v>Within target</v>
      </c>
      <c r="AS154">
        <f t="shared" si="66"/>
        <v>0</v>
      </c>
      <c r="AT154">
        <f t="shared" si="67"/>
        <v>0.9</v>
      </c>
      <c r="AU154">
        <f>'Assessment Questions'!AX154</f>
        <v>0</v>
      </c>
      <c r="AV154">
        <f t="shared" si="68"/>
        <v>0.9</v>
      </c>
      <c r="AW154" t="s">
        <v>1666</v>
      </c>
      <c r="AX154" t="s">
        <v>1666</v>
      </c>
      <c r="AY154">
        <v>14</v>
      </c>
      <c r="AZ154">
        <v>154</v>
      </c>
    </row>
    <row r="155" spans="1:52">
      <c r="A155" t="s">
        <v>1718</v>
      </c>
      <c r="B155" t="s">
        <v>1677</v>
      </c>
      <c r="C155" t="s">
        <v>1719</v>
      </c>
      <c r="D155" t="s">
        <v>1670</v>
      </c>
      <c r="E155" t="s">
        <v>1671</v>
      </c>
      <c r="F155" t="s">
        <v>1720</v>
      </c>
      <c r="G155">
        <f>'Assessment Questions'!J155</f>
        <v>3</v>
      </c>
      <c r="H155">
        <f t="shared" si="54"/>
        <v>0</v>
      </c>
      <c r="I155">
        <f t="shared" si="55"/>
        <v>0</v>
      </c>
      <c r="J155">
        <f t="shared" si="56"/>
        <v>3</v>
      </c>
      <c r="K155">
        <f t="shared" si="57"/>
        <v>3</v>
      </c>
      <c r="L155" t="str">
        <f t="shared" si="58"/>
        <v>Critical</v>
      </c>
      <c r="M155" t="s">
        <v>1721</v>
      </c>
      <c r="N155" t="s">
        <v>1722</v>
      </c>
      <c r="O155" t="s">
        <v>1723</v>
      </c>
      <c r="P155" t="s">
        <v>1724</v>
      </c>
      <c r="Q155" t="s">
        <v>1725</v>
      </c>
      <c r="R155" t="s">
        <v>1726</v>
      </c>
      <c r="S155" t="s">
        <v>1673</v>
      </c>
      <c r="T155">
        <f>'Assessment Questions'!W155</f>
        <v>0</v>
      </c>
      <c r="U155">
        <f>'Assessment Questions'!X155</f>
        <v>0</v>
      </c>
      <c r="V155" t="str">
        <f>'Assessment Questions'!Y155</f>
        <v>Use the recommended action generated by the model; validate with domain owner during real assessment.</v>
      </c>
      <c r="W155">
        <v>4</v>
      </c>
      <c r="X155">
        <v>5</v>
      </c>
      <c r="Y155">
        <v>5</v>
      </c>
      <c r="Z155">
        <f>'Assessment Questions'!AC155</f>
        <v>0</v>
      </c>
      <c r="AB155">
        <f t="shared" si="69"/>
        <v>0</v>
      </c>
      <c r="AC155">
        <f t="shared" si="70"/>
        <v>0</v>
      </c>
      <c r="AD155">
        <f t="shared" si="59"/>
        <v>0</v>
      </c>
      <c r="AE155">
        <f t="shared" si="71"/>
        <v>0</v>
      </c>
      <c r="AF155">
        <f t="shared" si="60"/>
        <v>5</v>
      </c>
      <c r="AG155">
        <f t="shared" si="72"/>
        <v>0</v>
      </c>
      <c r="AH155">
        <f>'Assessment Questions'!AK155</f>
        <v>0</v>
      </c>
      <c r="AI155">
        <f>'Assessment Questions'!AL155</f>
        <v>0</v>
      </c>
      <c r="AJ155">
        <f>IF(OR($H155="",$H155="N/A"),"",IF($AH155="",VLOOKUP('Company Profile'!$B$40,_CONFIG_Model_Settings!$A$5:$B$8,2,FALSE),IFERROR(VLOOKUP($AH155,_CONFIG_Model_Settings!$A$5:$B$8,2,FALSE),0.9)))</f>
        <v>0.9</v>
      </c>
      <c r="AK155">
        <f>IF(OR($H155="",$H155="N/A"),"",IF($AI155="",VLOOKUP('Company Profile'!$B$41,_CONFIG_Model_Settings!$A$5:$B$8,2,FALSE),IFERROR(VLOOKUP($AI155,_CONFIG_Model_Settings!$A$5:$B$8,2,FALSE),0.9)))</f>
        <v>0.9</v>
      </c>
      <c r="AL155">
        <f t="shared" si="61"/>
        <v>0</v>
      </c>
      <c r="AM155">
        <f t="shared" si="62"/>
        <v>0</v>
      </c>
      <c r="AN155">
        <f>IFERROR(MIN(5,MAX(0,(SUMIFS(_REF_Model_Content!$D$1:$D$174,_REF_Model_Content!$A$1:$A$174,PV_Canonical_Industry,_REF_Model_Content!$B$1:$B$174,"Physical Safety"))+IFERROR(VLOOKUP('Company Profile'!$B$35,_CONFIG_Model_Settings!$A$11:$B$13,2,0),0))),"")</f>
        <v>0</v>
      </c>
      <c r="AO155">
        <f t="shared" si="63"/>
        <v>0</v>
      </c>
      <c r="AP155">
        <f>IFERROR(SUMIFS(_REF_Model_Content!$E$1:$E$174,_REF_Model_Content!$A$1:$A$174,PV_Canonical_Industry,_REF_Model_Content!$B$1:$B$174,"Physical Safety"),1)</f>
        <v>0</v>
      </c>
      <c r="AQ155">
        <f t="shared" si="64"/>
        <v>0</v>
      </c>
      <c r="AR155" t="str">
        <f t="shared" si="65"/>
        <v>Within target</v>
      </c>
      <c r="AS155">
        <f t="shared" si="66"/>
        <v>0</v>
      </c>
      <c r="AT155">
        <f t="shared" si="67"/>
        <v>0.9</v>
      </c>
      <c r="AU155">
        <f>'Assessment Questions'!AX155</f>
        <v>0</v>
      </c>
      <c r="AV155">
        <f t="shared" si="68"/>
        <v>0.9</v>
      </c>
      <c r="AW155" t="s">
        <v>1666</v>
      </c>
      <c r="AX155" t="s">
        <v>1666</v>
      </c>
      <c r="AY155">
        <v>15</v>
      </c>
      <c r="AZ155">
        <v>155</v>
      </c>
    </row>
    <row r="156" spans="1:52">
      <c r="A156" t="s">
        <v>1727</v>
      </c>
      <c r="B156" t="s">
        <v>1677</v>
      </c>
      <c r="C156" t="s">
        <v>1728</v>
      </c>
      <c r="D156" t="s">
        <v>1670</v>
      </c>
      <c r="E156" t="s">
        <v>1671</v>
      </c>
      <c r="F156" t="s">
        <v>1729</v>
      </c>
      <c r="G156">
        <f>'Assessment Questions'!J156</f>
        <v>4</v>
      </c>
      <c r="H156">
        <f t="shared" si="54"/>
        <v>0</v>
      </c>
      <c r="I156">
        <f t="shared" si="55"/>
        <v>0</v>
      </c>
      <c r="J156">
        <f t="shared" si="56"/>
        <v>4</v>
      </c>
      <c r="K156">
        <f t="shared" si="57"/>
        <v>4</v>
      </c>
      <c r="L156" t="str">
        <f t="shared" si="58"/>
        <v>Critical</v>
      </c>
      <c r="M156" t="s">
        <v>1730</v>
      </c>
      <c r="N156" t="s">
        <v>1731</v>
      </c>
      <c r="O156" t="s">
        <v>1732</v>
      </c>
      <c r="P156" t="s">
        <v>1733</v>
      </c>
      <c r="Q156" t="s">
        <v>1734</v>
      </c>
      <c r="R156" t="s">
        <v>1735</v>
      </c>
      <c r="S156" t="s">
        <v>1673</v>
      </c>
      <c r="T156">
        <f>'Assessment Questions'!W156</f>
        <v>0</v>
      </c>
      <c r="U156">
        <f>'Assessment Questions'!X156</f>
        <v>0</v>
      </c>
      <c r="V156" t="str">
        <f>'Assessment Questions'!Y156</f>
        <v>Use the recommended action generated by the model; validate with domain owner during real assessment.</v>
      </c>
      <c r="W156">
        <v>4</v>
      </c>
      <c r="X156">
        <v>5</v>
      </c>
      <c r="Y156">
        <v>5</v>
      </c>
      <c r="Z156">
        <f>'Assessment Questions'!AC156</f>
        <v>0</v>
      </c>
      <c r="AB156">
        <f t="shared" si="69"/>
        <v>0</v>
      </c>
      <c r="AC156">
        <f t="shared" si="70"/>
        <v>0</v>
      </c>
      <c r="AD156">
        <f t="shared" si="59"/>
        <v>0</v>
      </c>
      <c r="AE156">
        <f t="shared" si="71"/>
        <v>0</v>
      </c>
      <c r="AF156">
        <f t="shared" si="60"/>
        <v>5</v>
      </c>
      <c r="AG156">
        <f t="shared" si="72"/>
        <v>0</v>
      </c>
      <c r="AH156">
        <f>'Assessment Questions'!AK156</f>
        <v>0</v>
      </c>
      <c r="AI156">
        <f>'Assessment Questions'!AL156</f>
        <v>0</v>
      </c>
      <c r="AJ156">
        <f>IF(OR($H156="",$H156="N/A"),"",IF($AH156="",VLOOKUP('Company Profile'!$B$40,_CONFIG_Model_Settings!$A$5:$B$8,2,FALSE),IFERROR(VLOOKUP($AH156,_CONFIG_Model_Settings!$A$5:$B$8,2,FALSE),0.9)))</f>
        <v>0.9</v>
      </c>
      <c r="AK156">
        <f>IF(OR($H156="",$H156="N/A"),"",IF($AI156="",VLOOKUP('Company Profile'!$B$41,_CONFIG_Model_Settings!$A$5:$B$8,2,FALSE),IFERROR(VLOOKUP($AI156,_CONFIG_Model_Settings!$A$5:$B$8,2,FALSE),0.9)))</f>
        <v>0.9</v>
      </c>
      <c r="AL156">
        <f t="shared" si="61"/>
        <v>0</v>
      </c>
      <c r="AM156">
        <f t="shared" si="62"/>
        <v>0</v>
      </c>
      <c r="AN156">
        <f>IFERROR(MIN(5,MAX(0,(SUMIFS(_REF_Model_Content!$D$1:$D$174,_REF_Model_Content!$A$1:$A$174,PV_Canonical_Industry,_REF_Model_Content!$B$1:$B$174,"Physical Safety"))+IFERROR(VLOOKUP('Company Profile'!$B$35,_CONFIG_Model_Settings!$A$11:$B$13,2,0),0))),"")</f>
        <v>0</v>
      </c>
      <c r="AO156">
        <f t="shared" si="63"/>
        <v>0</v>
      </c>
      <c r="AP156">
        <f>IFERROR(SUMIFS(_REF_Model_Content!$E$1:$E$174,_REF_Model_Content!$A$1:$A$174,PV_Canonical_Industry,_REF_Model_Content!$B$1:$B$174,"Physical Safety"),1)</f>
        <v>0</v>
      </c>
      <c r="AQ156">
        <f t="shared" si="64"/>
        <v>0</v>
      </c>
      <c r="AR156" t="str">
        <f t="shared" si="65"/>
        <v>Within target</v>
      </c>
      <c r="AS156">
        <f t="shared" si="66"/>
        <v>0</v>
      </c>
      <c r="AT156">
        <f t="shared" si="67"/>
        <v>0.9</v>
      </c>
      <c r="AU156">
        <f>'Assessment Questions'!AX156</f>
        <v>0</v>
      </c>
      <c r="AV156">
        <f t="shared" si="68"/>
        <v>0.9</v>
      </c>
      <c r="AW156" t="s">
        <v>1666</v>
      </c>
      <c r="AX156" t="s">
        <v>1666</v>
      </c>
      <c r="AY156">
        <v>16</v>
      </c>
      <c r="AZ156">
        <v>156</v>
      </c>
    </row>
    <row r="157" spans="1:52">
      <c r="A157" t="s">
        <v>1736</v>
      </c>
      <c r="B157" t="s">
        <v>1681</v>
      </c>
      <c r="C157" t="s">
        <v>1737</v>
      </c>
      <c r="D157" t="s">
        <v>1670</v>
      </c>
      <c r="E157" t="s">
        <v>1671</v>
      </c>
      <c r="F157" t="s">
        <v>1738</v>
      </c>
      <c r="G157">
        <f>'Assessment Questions'!J157</f>
        <v>3</v>
      </c>
      <c r="H157">
        <f t="shared" si="54"/>
        <v>0</v>
      </c>
      <c r="I157">
        <f t="shared" si="55"/>
        <v>0</v>
      </c>
      <c r="J157">
        <f t="shared" si="56"/>
        <v>3</v>
      </c>
      <c r="K157">
        <f t="shared" si="57"/>
        <v>3</v>
      </c>
      <c r="L157" t="str">
        <f t="shared" si="58"/>
        <v>Critical</v>
      </c>
      <c r="M157" t="s">
        <v>1739</v>
      </c>
      <c r="N157" t="s">
        <v>1740</v>
      </c>
      <c r="O157" t="s">
        <v>1741</v>
      </c>
      <c r="P157" t="s">
        <v>1742</v>
      </c>
      <c r="Q157" t="s">
        <v>1743</v>
      </c>
      <c r="R157" t="s">
        <v>1744</v>
      </c>
      <c r="S157" t="s">
        <v>1673</v>
      </c>
      <c r="T157">
        <f>'Assessment Questions'!W157</f>
        <v>0</v>
      </c>
      <c r="U157">
        <f>'Assessment Questions'!X157</f>
        <v>0</v>
      </c>
      <c r="V157" t="str">
        <f>'Assessment Questions'!Y157</f>
        <v>Use the recommended action generated by the model; validate with domain owner during real assessment.</v>
      </c>
      <c r="W157">
        <v>4</v>
      </c>
      <c r="X157">
        <v>5</v>
      </c>
      <c r="Y157">
        <v>5</v>
      </c>
      <c r="Z157">
        <f>'Assessment Questions'!AC157</f>
        <v>0</v>
      </c>
      <c r="AB157">
        <f t="shared" si="69"/>
        <v>0</v>
      </c>
      <c r="AC157">
        <f t="shared" si="70"/>
        <v>0</v>
      </c>
      <c r="AD157">
        <f t="shared" si="59"/>
        <v>0</v>
      </c>
      <c r="AE157">
        <f t="shared" si="71"/>
        <v>0</v>
      </c>
      <c r="AF157">
        <f t="shared" si="60"/>
        <v>5</v>
      </c>
      <c r="AG157">
        <f t="shared" si="72"/>
        <v>0</v>
      </c>
      <c r="AH157">
        <f>'Assessment Questions'!AK157</f>
        <v>0</v>
      </c>
      <c r="AI157">
        <f>'Assessment Questions'!AL157</f>
        <v>0</v>
      </c>
      <c r="AJ157">
        <f>IF(OR($H157="",$H157="N/A"),"",IF($AH157="",VLOOKUP('Company Profile'!$B$40,_CONFIG_Model_Settings!$A$5:$B$8,2,FALSE),IFERROR(VLOOKUP($AH157,_CONFIG_Model_Settings!$A$5:$B$8,2,FALSE),0.9)))</f>
        <v>0.9</v>
      </c>
      <c r="AK157">
        <f>IF(OR($H157="",$H157="N/A"),"",IF($AI157="",VLOOKUP('Company Profile'!$B$41,_CONFIG_Model_Settings!$A$5:$B$8,2,FALSE),IFERROR(VLOOKUP($AI157,_CONFIG_Model_Settings!$A$5:$B$8,2,FALSE),0.9)))</f>
        <v>0.9</v>
      </c>
      <c r="AL157">
        <f t="shared" si="61"/>
        <v>0</v>
      </c>
      <c r="AM157">
        <f t="shared" si="62"/>
        <v>0</v>
      </c>
      <c r="AN157">
        <f>IFERROR(MIN(5,MAX(0,(SUMIFS(_REF_Model_Content!$D$1:$D$174,_REF_Model_Content!$A$1:$A$174,PV_Canonical_Industry,_REF_Model_Content!$B$1:$B$174,"Physical Safety"))+IFERROR(VLOOKUP('Company Profile'!$B$35,_CONFIG_Model_Settings!$A$11:$B$13,2,0),0))),"")</f>
        <v>0</v>
      </c>
      <c r="AO157">
        <f t="shared" si="63"/>
        <v>0</v>
      </c>
      <c r="AP157">
        <f>IFERROR(SUMIFS(_REF_Model_Content!$E$1:$E$174,_REF_Model_Content!$A$1:$A$174,PV_Canonical_Industry,_REF_Model_Content!$B$1:$B$174,"Physical Safety"),1)</f>
        <v>0</v>
      </c>
      <c r="AQ157">
        <f t="shared" si="64"/>
        <v>0</v>
      </c>
      <c r="AR157" t="str">
        <f t="shared" si="65"/>
        <v>Within target</v>
      </c>
      <c r="AS157">
        <f t="shared" si="66"/>
        <v>0</v>
      </c>
      <c r="AT157">
        <f t="shared" si="67"/>
        <v>0.9</v>
      </c>
      <c r="AU157">
        <f>'Assessment Questions'!AX157</f>
        <v>0</v>
      </c>
      <c r="AV157">
        <f t="shared" si="68"/>
        <v>0.9</v>
      </c>
      <c r="AW157" t="s">
        <v>1666</v>
      </c>
      <c r="AX157" t="s">
        <v>1666</v>
      </c>
      <c r="AY157">
        <v>17</v>
      </c>
      <c r="AZ157">
        <v>157</v>
      </c>
    </row>
    <row r="158" spans="1:52">
      <c r="A158" t="s">
        <v>1745</v>
      </c>
      <c r="B158" t="s">
        <v>1681</v>
      </c>
      <c r="C158" t="s">
        <v>1746</v>
      </c>
      <c r="D158" t="s">
        <v>1670</v>
      </c>
      <c r="E158" t="s">
        <v>1671</v>
      </c>
      <c r="F158" t="s">
        <v>1747</v>
      </c>
      <c r="G158">
        <f>'Assessment Questions'!J158</f>
        <v>5</v>
      </c>
      <c r="H158">
        <f t="shared" si="54"/>
        <v>0</v>
      </c>
      <c r="I158">
        <f t="shared" si="55"/>
        <v>0</v>
      </c>
      <c r="J158">
        <f t="shared" si="56"/>
        <v>5</v>
      </c>
      <c r="K158">
        <f t="shared" si="57"/>
        <v>5</v>
      </c>
      <c r="L158" t="str">
        <f t="shared" si="58"/>
        <v>Critical</v>
      </c>
      <c r="M158" t="s">
        <v>1748</v>
      </c>
      <c r="N158" t="s">
        <v>1749</v>
      </c>
      <c r="O158" t="s">
        <v>1750</v>
      </c>
      <c r="P158" t="s">
        <v>1751</v>
      </c>
      <c r="Q158" t="s">
        <v>1752</v>
      </c>
      <c r="R158" t="s">
        <v>1753</v>
      </c>
      <c r="S158" t="s">
        <v>1673</v>
      </c>
      <c r="T158">
        <f>'Assessment Questions'!W158</f>
        <v>0</v>
      </c>
      <c r="U158">
        <f>'Assessment Questions'!X158</f>
        <v>0</v>
      </c>
      <c r="V158" t="str">
        <f>'Assessment Questions'!Y158</f>
        <v>Use the recommended action generated by the model; validate with domain owner during real assessment.</v>
      </c>
      <c r="W158">
        <v>4</v>
      </c>
      <c r="X158">
        <v>5</v>
      </c>
      <c r="Y158">
        <v>5</v>
      </c>
      <c r="Z158">
        <f>'Assessment Questions'!AC158</f>
        <v>0</v>
      </c>
      <c r="AB158">
        <f t="shared" si="69"/>
        <v>0</v>
      </c>
      <c r="AC158">
        <f t="shared" si="70"/>
        <v>0</v>
      </c>
      <c r="AD158">
        <f t="shared" si="59"/>
        <v>0</v>
      </c>
      <c r="AE158">
        <f t="shared" si="71"/>
        <v>0</v>
      </c>
      <c r="AF158">
        <f t="shared" si="60"/>
        <v>5</v>
      </c>
      <c r="AG158">
        <f t="shared" si="72"/>
        <v>0</v>
      </c>
      <c r="AH158">
        <f>'Assessment Questions'!AK158</f>
        <v>0</v>
      </c>
      <c r="AI158">
        <f>'Assessment Questions'!AL158</f>
        <v>0</v>
      </c>
      <c r="AJ158">
        <f>IF(OR($H158="",$H158="N/A"),"",IF($AH158="",VLOOKUP('Company Profile'!$B$40,_CONFIG_Model_Settings!$A$5:$B$8,2,FALSE),IFERROR(VLOOKUP($AH158,_CONFIG_Model_Settings!$A$5:$B$8,2,FALSE),0.9)))</f>
        <v>0.9</v>
      </c>
      <c r="AK158">
        <f>IF(OR($H158="",$H158="N/A"),"",IF($AI158="",VLOOKUP('Company Profile'!$B$41,_CONFIG_Model_Settings!$A$5:$B$8,2,FALSE),IFERROR(VLOOKUP($AI158,_CONFIG_Model_Settings!$A$5:$B$8,2,FALSE),0.9)))</f>
        <v>0.9</v>
      </c>
      <c r="AL158">
        <f t="shared" si="61"/>
        <v>0</v>
      </c>
      <c r="AM158">
        <f t="shared" si="62"/>
        <v>0</v>
      </c>
      <c r="AN158">
        <f>IFERROR(MIN(5,MAX(0,(SUMIFS(_REF_Model_Content!$D$1:$D$174,_REF_Model_Content!$A$1:$A$174,PV_Canonical_Industry,_REF_Model_Content!$B$1:$B$174,"Physical Safety"))+IFERROR(VLOOKUP('Company Profile'!$B$35,_CONFIG_Model_Settings!$A$11:$B$13,2,0),0))),"")</f>
        <v>0</v>
      </c>
      <c r="AO158">
        <f t="shared" si="63"/>
        <v>0</v>
      </c>
      <c r="AP158">
        <f>IFERROR(SUMIFS(_REF_Model_Content!$E$1:$E$174,_REF_Model_Content!$A$1:$A$174,PV_Canonical_Industry,_REF_Model_Content!$B$1:$B$174,"Physical Safety"),1)</f>
        <v>0</v>
      </c>
      <c r="AQ158">
        <f t="shared" si="64"/>
        <v>0</v>
      </c>
      <c r="AR158" t="str">
        <f t="shared" si="65"/>
        <v>Within target</v>
      </c>
      <c r="AS158">
        <f t="shared" si="66"/>
        <v>0</v>
      </c>
      <c r="AT158">
        <f t="shared" si="67"/>
        <v>0.9</v>
      </c>
      <c r="AU158">
        <f>'Assessment Questions'!AX158</f>
        <v>0</v>
      </c>
      <c r="AV158">
        <f t="shared" si="68"/>
        <v>0.9</v>
      </c>
      <c r="AW158" t="s">
        <v>1666</v>
      </c>
      <c r="AX158" t="s">
        <v>1666</v>
      </c>
      <c r="AY158">
        <v>18</v>
      </c>
      <c r="AZ158">
        <v>158</v>
      </c>
    </row>
    <row r="159" spans="1:52">
      <c r="A159" t="s">
        <v>1754</v>
      </c>
      <c r="B159" t="s">
        <v>1681</v>
      </c>
      <c r="C159" t="s">
        <v>1755</v>
      </c>
      <c r="D159" t="s">
        <v>1670</v>
      </c>
      <c r="E159" t="s">
        <v>1671</v>
      </c>
      <c r="F159" t="s">
        <v>1756</v>
      </c>
      <c r="G159">
        <f>'Assessment Questions'!J159</f>
        <v>3</v>
      </c>
      <c r="H159">
        <f t="shared" si="54"/>
        <v>0</v>
      </c>
      <c r="I159">
        <f t="shared" si="55"/>
        <v>0</v>
      </c>
      <c r="J159">
        <f t="shared" si="56"/>
        <v>3</v>
      </c>
      <c r="K159">
        <f t="shared" si="57"/>
        <v>3</v>
      </c>
      <c r="L159" t="str">
        <f t="shared" si="58"/>
        <v>Critical</v>
      </c>
      <c r="M159" t="s">
        <v>1757</v>
      </c>
      <c r="N159" t="s">
        <v>1758</v>
      </c>
      <c r="O159" t="s">
        <v>1759</v>
      </c>
      <c r="P159" t="s">
        <v>1760</v>
      </c>
      <c r="Q159" t="s">
        <v>1761</v>
      </c>
      <c r="R159" t="s">
        <v>1762</v>
      </c>
      <c r="S159" t="s">
        <v>1673</v>
      </c>
      <c r="T159">
        <f>'Assessment Questions'!W159</f>
        <v>0</v>
      </c>
      <c r="U159">
        <f>'Assessment Questions'!X159</f>
        <v>0</v>
      </c>
      <c r="V159" t="str">
        <f>'Assessment Questions'!Y159</f>
        <v>Use the recommended action generated by the model; validate with domain owner during real assessment.</v>
      </c>
      <c r="W159">
        <v>4</v>
      </c>
      <c r="X159">
        <v>5</v>
      </c>
      <c r="Y159">
        <v>5</v>
      </c>
      <c r="Z159">
        <f>'Assessment Questions'!AC159</f>
        <v>0</v>
      </c>
      <c r="AB159">
        <f t="shared" si="69"/>
        <v>0</v>
      </c>
      <c r="AC159">
        <f t="shared" si="70"/>
        <v>0</v>
      </c>
      <c r="AD159">
        <f t="shared" si="59"/>
        <v>0</v>
      </c>
      <c r="AE159">
        <f t="shared" si="71"/>
        <v>0</v>
      </c>
      <c r="AF159">
        <f t="shared" si="60"/>
        <v>5</v>
      </c>
      <c r="AG159">
        <f t="shared" si="72"/>
        <v>0</v>
      </c>
      <c r="AH159">
        <f>'Assessment Questions'!AK159</f>
        <v>0</v>
      </c>
      <c r="AI159">
        <f>'Assessment Questions'!AL159</f>
        <v>0</v>
      </c>
      <c r="AJ159">
        <f>IF(OR($H159="",$H159="N/A"),"",IF($AH159="",VLOOKUP('Company Profile'!$B$40,_CONFIG_Model_Settings!$A$5:$B$8,2,FALSE),IFERROR(VLOOKUP($AH159,_CONFIG_Model_Settings!$A$5:$B$8,2,FALSE),0.9)))</f>
        <v>0.9</v>
      </c>
      <c r="AK159">
        <f>IF(OR($H159="",$H159="N/A"),"",IF($AI159="",VLOOKUP('Company Profile'!$B$41,_CONFIG_Model_Settings!$A$5:$B$8,2,FALSE),IFERROR(VLOOKUP($AI159,_CONFIG_Model_Settings!$A$5:$B$8,2,FALSE),0.9)))</f>
        <v>0.9</v>
      </c>
      <c r="AL159">
        <f t="shared" si="61"/>
        <v>0</v>
      </c>
      <c r="AM159">
        <f t="shared" si="62"/>
        <v>0</v>
      </c>
      <c r="AN159">
        <f>IFERROR(MIN(5,MAX(0,(SUMIFS(_REF_Model_Content!$D$1:$D$174,_REF_Model_Content!$A$1:$A$174,PV_Canonical_Industry,_REF_Model_Content!$B$1:$B$174,"Physical Safety"))+IFERROR(VLOOKUP('Company Profile'!$B$35,_CONFIG_Model_Settings!$A$11:$B$13,2,0),0))),"")</f>
        <v>0</v>
      </c>
      <c r="AO159">
        <f t="shared" si="63"/>
        <v>0</v>
      </c>
      <c r="AP159">
        <f>IFERROR(SUMIFS(_REF_Model_Content!$E$1:$E$174,_REF_Model_Content!$A$1:$A$174,PV_Canonical_Industry,_REF_Model_Content!$B$1:$B$174,"Physical Safety"),1)</f>
        <v>0</v>
      </c>
      <c r="AQ159">
        <f t="shared" si="64"/>
        <v>0</v>
      </c>
      <c r="AR159" t="str">
        <f t="shared" si="65"/>
        <v>Within target</v>
      </c>
      <c r="AS159">
        <f t="shared" si="66"/>
        <v>0</v>
      </c>
      <c r="AT159">
        <f t="shared" si="67"/>
        <v>0.9</v>
      </c>
      <c r="AU159">
        <f>'Assessment Questions'!AX159</f>
        <v>0</v>
      </c>
      <c r="AV159">
        <f t="shared" si="68"/>
        <v>0.9</v>
      </c>
      <c r="AW159" t="s">
        <v>1666</v>
      </c>
      <c r="AX159" t="s">
        <v>1666</v>
      </c>
      <c r="AY159">
        <v>19</v>
      </c>
      <c r="AZ159">
        <v>159</v>
      </c>
    </row>
    <row r="160" spans="1:52">
      <c r="A160" t="s">
        <v>1763</v>
      </c>
      <c r="B160" t="s">
        <v>1681</v>
      </c>
      <c r="C160" t="s">
        <v>1764</v>
      </c>
      <c r="D160" t="s">
        <v>1670</v>
      </c>
      <c r="E160" t="s">
        <v>1671</v>
      </c>
      <c r="F160" t="s">
        <v>1765</v>
      </c>
      <c r="G160">
        <f>'Assessment Questions'!J160</f>
        <v>5</v>
      </c>
      <c r="H160">
        <f t="shared" si="54"/>
        <v>0</v>
      </c>
      <c r="I160">
        <f t="shared" si="55"/>
        <v>0</v>
      </c>
      <c r="J160">
        <f t="shared" si="56"/>
        <v>5</v>
      </c>
      <c r="K160">
        <f t="shared" si="57"/>
        <v>5</v>
      </c>
      <c r="L160" t="str">
        <f t="shared" si="58"/>
        <v>Critical</v>
      </c>
      <c r="M160" t="s">
        <v>833</v>
      </c>
      <c r="N160" t="s">
        <v>834</v>
      </c>
      <c r="O160" t="s">
        <v>835</v>
      </c>
      <c r="P160" t="s">
        <v>836</v>
      </c>
      <c r="Q160" t="s">
        <v>837</v>
      </c>
      <c r="R160" t="s">
        <v>838</v>
      </c>
      <c r="S160" t="s">
        <v>1673</v>
      </c>
      <c r="T160">
        <f>'Assessment Questions'!W160</f>
        <v>0</v>
      </c>
      <c r="U160">
        <f>'Assessment Questions'!X160</f>
        <v>0</v>
      </c>
      <c r="V160" t="str">
        <f>'Assessment Questions'!Y160</f>
        <v>Use the recommended action generated by the model; validate with domain owner during real assessment.</v>
      </c>
      <c r="W160">
        <v>4</v>
      </c>
      <c r="X160">
        <v>5</v>
      </c>
      <c r="Y160">
        <v>5</v>
      </c>
      <c r="Z160">
        <f>'Assessment Questions'!AC160</f>
        <v>0</v>
      </c>
      <c r="AB160">
        <f t="shared" si="69"/>
        <v>0</v>
      </c>
      <c r="AC160">
        <f t="shared" si="70"/>
        <v>0</v>
      </c>
      <c r="AD160">
        <f t="shared" si="59"/>
        <v>0</v>
      </c>
      <c r="AE160">
        <f t="shared" si="71"/>
        <v>0</v>
      </c>
      <c r="AF160">
        <f t="shared" si="60"/>
        <v>5</v>
      </c>
      <c r="AG160">
        <f t="shared" si="72"/>
        <v>0</v>
      </c>
      <c r="AH160">
        <f>'Assessment Questions'!AK160</f>
        <v>0</v>
      </c>
      <c r="AI160">
        <f>'Assessment Questions'!AL160</f>
        <v>0</v>
      </c>
      <c r="AJ160">
        <f>IF(OR($H160="",$H160="N/A"),"",IF($AH160="",VLOOKUP('Company Profile'!$B$40,_CONFIG_Model_Settings!$A$5:$B$8,2,FALSE),IFERROR(VLOOKUP($AH160,_CONFIG_Model_Settings!$A$5:$B$8,2,FALSE),0.9)))</f>
        <v>0.9</v>
      </c>
      <c r="AK160">
        <f>IF(OR($H160="",$H160="N/A"),"",IF($AI160="",VLOOKUP('Company Profile'!$B$41,_CONFIG_Model_Settings!$A$5:$B$8,2,FALSE),IFERROR(VLOOKUP($AI160,_CONFIG_Model_Settings!$A$5:$B$8,2,FALSE),0.9)))</f>
        <v>0.9</v>
      </c>
      <c r="AL160">
        <f t="shared" si="61"/>
        <v>0</v>
      </c>
      <c r="AM160">
        <f t="shared" si="62"/>
        <v>0</v>
      </c>
      <c r="AN160">
        <f>IFERROR(MIN(5,MAX(0,(SUMIFS(_REF_Model_Content!$D$1:$D$174,_REF_Model_Content!$A$1:$A$174,PV_Canonical_Industry,_REF_Model_Content!$B$1:$B$174,"Physical Safety"))+IFERROR(VLOOKUP('Company Profile'!$B$35,_CONFIG_Model_Settings!$A$11:$B$13,2,0),0))),"")</f>
        <v>0</v>
      </c>
      <c r="AO160">
        <f t="shared" si="63"/>
        <v>0</v>
      </c>
      <c r="AP160">
        <f>IFERROR(SUMIFS(_REF_Model_Content!$E$1:$E$174,_REF_Model_Content!$A$1:$A$174,PV_Canonical_Industry,_REF_Model_Content!$B$1:$B$174,"Physical Safety"),1)</f>
        <v>0</v>
      </c>
      <c r="AQ160">
        <f t="shared" si="64"/>
        <v>0</v>
      </c>
      <c r="AR160" t="str">
        <f t="shared" si="65"/>
        <v>Within target</v>
      </c>
      <c r="AS160">
        <f t="shared" si="66"/>
        <v>0</v>
      </c>
      <c r="AT160">
        <f t="shared" si="67"/>
        <v>0.9</v>
      </c>
      <c r="AU160">
        <f>'Assessment Questions'!AX160</f>
        <v>0</v>
      </c>
      <c r="AV160">
        <f t="shared" si="68"/>
        <v>0.9</v>
      </c>
      <c r="AW160" t="s">
        <v>1666</v>
      </c>
      <c r="AX160" t="s">
        <v>1666</v>
      </c>
      <c r="AY160">
        <v>20</v>
      </c>
      <c r="AZ160">
        <v>160</v>
      </c>
    </row>
    <row r="161" spans="1:52">
      <c r="A161" t="s">
        <v>1766</v>
      </c>
      <c r="B161" t="s">
        <v>1681</v>
      </c>
      <c r="C161" t="s">
        <v>1767</v>
      </c>
      <c r="D161" t="s">
        <v>1670</v>
      </c>
      <c r="E161" t="s">
        <v>1671</v>
      </c>
      <c r="F161" t="s">
        <v>1768</v>
      </c>
      <c r="G161">
        <f>'Assessment Questions'!J161</f>
        <v>3</v>
      </c>
      <c r="H161">
        <f t="shared" si="54"/>
        <v>0</v>
      </c>
      <c r="I161">
        <f t="shared" si="55"/>
        <v>0</v>
      </c>
      <c r="J161">
        <f t="shared" si="56"/>
        <v>3</v>
      </c>
      <c r="K161">
        <f t="shared" si="57"/>
        <v>3</v>
      </c>
      <c r="L161" t="str">
        <f t="shared" si="58"/>
        <v>Critical</v>
      </c>
      <c r="M161" t="s">
        <v>1769</v>
      </c>
      <c r="N161" t="s">
        <v>1770</v>
      </c>
      <c r="O161" t="s">
        <v>1771</v>
      </c>
      <c r="P161" t="s">
        <v>1772</v>
      </c>
      <c r="Q161" t="s">
        <v>1773</v>
      </c>
      <c r="R161" t="s">
        <v>1774</v>
      </c>
      <c r="S161" t="s">
        <v>1673</v>
      </c>
      <c r="T161">
        <f>'Assessment Questions'!W161</f>
        <v>0</v>
      </c>
      <c r="U161">
        <f>'Assessment Questions'!X161</f>
        <v>0</v>
      </c>
      <c r="V161" t="str">
        <f>'Assessment Questions'!Y161</f>
        <v>Use the recommended action generated by the model; validate with domain owner during real assessment.</v>
      </c>
      <c r="W161">
        <v>4</v>
      </c>
      <c r="X161">
        <v>5</v>
      </c>
      <c r="Y161">
        <v>5</v>
      </c>
      <c r="Z161">
        <f>'Assessment Questions'!AC161</f>
        <v>0</v>
      </c>
      <c r="AB161">
        <f t="shared" si="69"/>
        <v>0</v>
      </c>
      <c r="AC161">
        <f t="shared" si="70"/>
        <v>0</v>
      </c>
      <c r="AD161">
        <f t="shared" si="59"/>
        <v>0</v>
      </c>
      <c r="AE161">
        <f t="shared" si="71"/>
        <v>0</v>
      </c>
      <c r="AF161">
        <f t="shared" si="60"/>
        <v>5</v>
      </c>
      <c r="AG161">
        <f t="shared" si="72"/>
        <v>0</v>
      </c>
      <c r="AH161">
        <f>'Assessment Questions'!AK161</f>
        <v>0</v>
      </c>
      <c r="AI161">
        <f>'Assessment Questions'!AL161</f>
        <v>0</v>
      </c>
      <c r="AJ161">
        <f>IF(OR($H161="",$H161="N/A"),"",IF($AH161="",VLOOKUP('Company Profile'!$B$40,_CONFIG_Model_Settings!$A$5:$B$8,2,FALSE),IFERROR(VLOOKUP($AH161,_CONFIG_Model_Settings!$A$5:$B$8,2,FALSE),0.9)))</f>
        <v>0.9</v>
      </c>
      <c r="AK161">
        <f>IF(OR($H161="",$H161="N/A"),"",IF($AI161="",VLOOKUP('Company Profile'!$B$41,_CONFIG_Model_Settings!$A$5:$B$8,2,FALSE),IFERROR(VLOOKUP($AI161,_CONFIG_Model_Settings!$A$5:$B$8,2,FALSE),0.9)))</f>
        <v>0.9</v>
      </c>
      <c r="AL161">
        <f t="shared" si="61"/>
        <v>0</v>
      </c>
      <c r="AM161">
        <f t="shared" si="62"/>
        <v>0</v>
      </c>
      <c r="AN161">
        <f>IFERROR(MIN(5,MAX(0,(SUMIFS(_REF_Model_Content!$D$1:$D$174,_REF_Model_Content!$A$1:$A$174,PV_Canonical_Industry,_REF_Model_Content!$B$1:$B$174,"Physical Safety"))+IFERROR(VLOOKUP('Company Profile'!$B$35,_CONFIG_Model_Settings!$A$11:$B$13,2,0),0))),"")</f>
        <v>0</v>
      </c>
      <c r="AO161">
        <f t="shared" si="63"/>
        <v>0</v>
      </c>
      <c r="AP161">
        <f>IFERROR(SUMIFS(_REF_Model_Content!$E$1:$E$174,_REF_Model_Content!$A$1:$A$174,PV_Canonical_Industry,_REF_Model_Content!$B$1:$B$174,"Physical Safety"),1)</f>
        <v>0</v>
      </c>
      <c r="AQ161">
        <f t="shared" si="64"/>
        <v>0</v>
      </c>
      <c r="AR161" t="str">
        <f t="shared" si="65"/>
        <v>Within target</v>
      </c>
      <c r="AS161">
        <f t="shared" si="66"/>
        <v>0</v>
      </c>
      <c r="AT161">
        <f t="shared" si="67"/>
        <v>0.9</v>
      </c>
      <c r="AU161">
        <f>'Assessment Questions'!AX161</f>
        <v>0</v>
      </c>
      <c r="AV161">
        <f t="shared" si="68"/>
        <v>0.9</v>
      </c>
      <c r="AW161" t="s">
        <v>1666</v>
      </c>
      <c r="AX161" t="s">
        <v>1666</v>
      </c>
      <c r="AY161">
        <v>21</v>
      </c>
      <c r="AZ161">
        <v>161</v>
      </c>
    </row>
    <row r="162" spans="1:52">
      <c r="A162" t="s">
        <v>1775</v>
      </c>
      <c r="B162" t="s">
        <v>1681</v>
      </c>
      <c r="C162" t="s">
        <v>1776</v>
      </c>
      <c r="D162" t="s">
        <v>1670</v>
      </c>
      <c r="E162" t="s">
        <v>1671</v>
      </c>
      <c r="F162" t="s">
        <v>1777</v>
      </c>
      <c r="G162">
        <f>'Assessment Questions'!J162</f>
        <v>3</v>
      </c>
      <c r="H162">
        <f t="shared" si="54"/>
        <v>0</v>
      </c>
      <c r="I162">
        <f t="shared" si="55"/>
        <v>0</v>
      </c>
      <c r="J162">
        <f t="shared" si="56"/>
        <v>3</v>
      </c>
      <c r="K162">
        <f t="shared" si="57"/>
        <v>3</v>
      </c>
      <c r="L162" t="str">
        <f t="shared" si="58"/>
        <v>Critical</v>
      </c>
      <c r="M162" t="s">
        <v>1778</v>
      </c>
      <c r="N162" t="s">
        <v>1779</v>
      </c>
      <c r="O162" t="s">
        <v>1780</v>
      </c>
      <c r="P162" t="s">
        <v>1781</v>
      </c>
      <c r="Q162" t="s">
        <v>1782</v>
      </c>
      <c r="R162" t="s">
        <v>1783</v>
      </c>
      <c r="S162" t="s">
        <v>1673</v>
      </c>
      <c r="T162">
        <f>'Assessment Questions'!W162</f>
        <v>0</v>
      </c>
      <c r="U162">
        <f>'Assessment Questions'!X162</f>
        <v>0</v>
      </c>
      <c r="V162" t="str">
        <f>'Assessment Questions'!Y162</f>
        <v>Use the recommended action generated by the model; validate with domain owner during real assessment.</v>
      </c>
      <c r="W162">
        <v>4</v>
      </c>
      <c r="X162">
        <v>5</v>
      </c>
      <c r="Y162">
        <v>5</v>
      </c>
      <c r="Z162">
        <f>'Assessment Questions'!AC162</f>
        <v>0</v>
      </c>
      <c r="AB162">
        <f t="shared" si="69"/>
        <v>0</v>
      </c>
      <c r="AC162">
        <f t="shared" si="70"/>
        <v>0</v>
      </c>
      <c r="AD162">
        <f t="shared" si="59"/>
        <v>0</v>
      </c>
      <c r="AE162">
        <f t="shared" si="71"/>
        <v>0</v>
      </c>
      <c r="AF162">
        <f t="shared" si="60"/>
        <v>5</v>
      </c>
      <c r="AG162">
        <f t="shared" si="72"/>
        <v>0</v>
      </c>
      <c r="AH162">
        <f>'Assessment Questions'!AK162</f>
        <v>0</v>
      </c>
      <c r="AI162">
        <f>'Assessment Questions'!AL162</f>
        <v>0</v>
      </c>
      <c r="AJ162">
        <f>IF(OR($H162="",$H162="N/A"),"",IF($AH162="",VLOOKUP('Company Profile'!$B$40,_CONFIG_Model_Settings!$A$5:$B$8,2,FALSE),IFERROR(VLOOKUP($AH162,_CONFIG_Model_Settings!$A$5:$B$8,2,FALSE),0.9)))</f>
        <v>0.9</v>
      </c>
      <c r="AK162">
        <f>IF(OR($H162="",$H162="N/A"),"",IF($AI162="",VLOOKUP('Company Profile'!$B$41,_CONFIG_Model_Settings!$A$5:$B$8,2,FALSE),IFERROR(VLOOKUP($AI162,_CONFIG_Model_Settings!$A$5:$B$8,2,FALSE),0.9)))</f>
        <v>0.9</v>
      </c>
      <c r="AL162">
        <f t="shared" si="61"/>
        <v>0</v>
      </c>
      <c r="AM162">
        <f t="shared" si="62"/>
        <v>0</v>
      </c>
      <c r="AN162">
        <f>IFERROR(MIN(5,MAX(0,(SUMIFS(_REF_Model_Content!$D$1:$D$174,_REF_Model_Content!$A$1:$A$174,PV_Canonical_Industry,_REF_Model_Content!$B$1:$B$174,"Physical Safety"))+IFERROR(VLOOKUP('Company Profile'!$B$35,_CONFIG_Model_Settings!$A$11:$B$13,2,0),0))),"")</f>
        <v>0</v>
      </c>
      <c r="AO162">
        <f t="shared" si="63"/>
        <v>0</v>
      </c>
      <c r="AP162">
        <f>IFERROR(SUMIFS(_REF_Model_Content!$E$1:$E$174,_REF_Model_Content!$A$1:$A$174,PV_Canonical_Industry,_REF_Model_Content!$B$1:$B$174,"Physical Safety"),1)</f>
        <v>0</v>
      </c>
      <c r="AQ162">
        <f t="shared" si="64"/>
        <v>0</v>
      </c>
      <c r="AR162" t="str">
        <f t="shared" si="65"/>
        <v>Within target</v>
      </c>
      <c r="AS162">
        <f t="shared" si="66"/>
        <v>0</v>
      </c>
      <c r="AT162">
        <f t="shared" si="67"/>
        <v>0.9</v>
      </c>
      <c r="AU162">
        <f>'Assessment Questions'!AX162</f>
        <v>0</v>
      </c>
      <c r="AV162">
        <f t="shared" si="68"/>
        <v>0.9</v>
      </c>
      <c r="AW162" t="s">
        <v>1666</v>
      </c>
      <c r="AX162" t="s">
        <v>1666</v>
      </c>
      <c r="AY162">
        <v>22</v>
      </c>
      <c r="AZ162">
        <v>162</v>
      </c>
    </row>
    <row r="163" spans="1:52">
      <c r="A163" t="s">
        <v>1784</v>
      </c>
      <c r="B163" t="s">
        <v>1685</v>
      </c>
      <c r="C163" t="s">
        <v>1785</v>
      </c>
      <c r="D163" t="s">
        <v>1670</v>
      </c>
      <c r="E163" t="s">
        <v>1671</v>
      </c>
      <c r="F163" t="s">
        <v>1786</v>
      </c>
      <c r="G163">
        <f>'Assessment Questions'!J163</f>
        <v>4</v>
      </c>
      <c r="H163">
        <f t="shared" si="54"/>
        <v>0</v>
      </c>
      <c r="I163">
        <f t="shared" si="55"/>
        <v>0</v>
      </c>
      <c r="J163">
        <f t="shared" si="56"/>
        <v>4</v>
      </c>
      <c r="K163">
        <f t="shared" si="57"/>
        <v>4</v>
      </c>
      <c r="L163" t="str">
        <f t="shared" si="58"/>
        <v>Critical</v>
      </c>
      <c r="M163" t="s">
        <v>1787</v>
      </c>
      <c r="N163" t="s">
        <v>1788</v>
      </c>
      <c r="O163" t="s">
        <v>1789</v>
      </c>
      <c r="P163" t="s">
        <v>1790</v>
      </c>
      <c r="Q163" t="s">
        <v>1791</v>
      </c>
      <c r="R163" t="s">
        <v>1792</v>
      </c>
      <c r="S163" t="s">
        <v>1673</v>
      </c>
      <c r="T163">
        <f>'Assessment Questions'!W163</f>
        <v>0</v>
      </c>
      <c r="U163">
        <f>'Assessment Questions'!X163</f>
        <v>0</v>
      </c>
      <c r="V163" t="str">
        <f>'Assessment Questions'!Y163</f>
        <v>Use the recommended action generated by the model; validate with domain owner during real assessment.</v>
      </c>
      <c r="W163">
        <v>4</v>
      </c>
      <c r="X163">
        <v>5</v>
      </c>
      <c r="Y163">
        <v>5</v>
      </c>
      <c r="Z163">
        <f>'Assessment Questions'!AC163</f>
        <v>0</v>
      </c>
      <c r="AB163">
        <f t="shared" si="69"/>
        <v>0</v>
      </c>
      <c r="AC163">
        <f t="shared" si="70"/>
        <v>0</v>
      </c>
      <c r="AD163">
        <f t="shared" si="59"/>
        <v>0</v>
      </c>
      <c r="AE163">
        <f t="shared" si="71"/>
        <v>0</v>
      </c>
      <c r="AF163">
        <f t="shared" si="60"/>
        <v>5</v>
      </c>
      <c r="AG163">
        <f t="shared" si="72"/>
        <v>0</v>
      </c>
      <c r="AH163">
        <f>'Assessment Questions'!AK163</f>
        <v>0</v>
      </c>
      <c r="AI163">
        <f>'Assessment Questions'!AL163</f>
        <v>0</v>
      </c>
      <c r="AJ163">
        <f>IF(OR($H163="",$H163="N/A"),"",IF($AH163="",VLOOKUP('Company Profile'!$B$40,_CONFIG_Model_Settings!$A$5:$B$8,2,FALSE),IFERROR(VLOOKUP($AH163,_CONFIG_Model_Settings!$A$5:$B$8,2,FALSE),0.9)))</f>
        <v>0.9</v>
      </c>
      <c r="AK163">
        <f>IF(OR($H163="",$H163="N/A"),"",IF($AI163="",VLOOKUP('Company Profile'!$B$41,_CONFIG_Model_Settings!$A$5:$B$8,2,FALSE),IFERROR(VLOOKUP($AI163,_CONFIG_Model_Settings!$A$5:$B$8,2,FALSE),0.9)))</f>
        <v>0.9</v>
      </c>
      <c r="AL163">
        <f t="shared" si="61"/>
        <v>0</v>
      </c>
      <c r="AM163">
        <f t="shared" si="62"/>
        <v>0</v>
      </c>
      <c r="AN163">
        <f>IFERROR(MIN(5,MAX(0,(SUMIFS(_REF_Model_Content!$D$1:$D$174,_REF_Model_Content!$A$1:$A$174,PV_Canonical_Industry,_REF_Model_Content!$B$1:$B$174,"Physical Safety"))+IFERROR(VLOOKUP('Company Profile'!$B$35,_CONFIG_Model_Settings!$A$11:$B$13,2,0),0))),"")</f>
        <v>0</v>
      </c>
      <c r="AO163">
        <f t="shared" si="63"/>
        <v>0</v>
      </c>
      <c r="AP163">
        <f>IFERROR(SUMIFS(_REF_Model_Content!$E$1:$E$174,_REF_Model_Content!$A$1:$A$174,PV_Canonical_Industry,_REF_Model_Content!$B$1:$B$174,"Physical Safety"),1)</f>
        <v>0</v>
      </c>
      <c r="AQ163">
        <f t="shared" si="64"/>
        <v>0</v>
      </c>
      <c r="AR163" t="str">
        <f t="shared" si="65"/>
        <v>Within target</v>
      </c>
      <c r="AS163">
        <f t="shared" si="66"/>
        <v>0</v>
      </c>
      <c r="AT163">
        <f t="shared" si="67"/>
        <v>0.9</v>
      </c>
      <c r="AU163">
        <f>'Assessment Questions'!AX163</f>
        <v>0</v>
      </c>
      <c r="AV163">
        <f t="shared" si="68"/>
        <v>0.9</v>
      </c>
      <c r="AW163" t="s">
        <v>1666</v>
      </c>
      <c r="AX163" t="s">
        <v>1666</v>
      </c>
      <c r="AY163">
        <v>23</v>
      </c>
      <c r="AZ163">
        <v>163</v>
      </c>
    </row>
    <row r="164" spans="1:52">
      <c r="A164" t="s">
        <v>1793</v>
      </c>
      <c r="B164" t="s">
        <v>1685</v>
      </c>
      <c r="C164" t="s">
        <v>1794</v>
      </c>
      <c r="D164" t="s">
        <v>1670</v>
      </c>
      <c r="E164" t="s">
        <v>1671</v>
      </c>
      <c r="F164" t="s">
        <v>1795</v>
      </c>
      <c r="G164">
        <f>'Assessment Questions'!J164</f>
        <v>5</v>
      </c>
      <c r="H164">
        <f t="shared" si="54"/>
        <v>0</v>
      </c>
      <c r="I164">
        <f t="shared" si="55"/>
        <v>0</v>
      </c>
      <c r="J164">
        <f t="shared" si="56"/>
        <v>5</v>
      </c>
      <c r="K164">
        <f t="shared" si="57"/>
        <v>5</v>
      </c>
      <c r="L164" t="str">
        <f t="shared" si="58"/>
        <v>Critical</v>
      </c>
      <c r="M164" t="s">
        <v>833</v>
      </c>
      <c r="N164" t="s">
        <v>834</v>
      </c>
      <c r="O164" t="s">
        <v>835</v>
      </c>
      <c r="P164" t="s">
        <v>836</v>
      </c>
      <c r="Q164" t="s">
        <v>837</v>
      </c>
      <c r="R164" t="s">
        <v>838</v>
      </c>
      <c r="S164" t="s">
        <v>1673</v>
      </c>
      <c r="T164">
        <f>'Assessment Questions'!W164</f>
        <v>0</v>
      </c>
      <c r="U164">
        <f>'Assessment Questions'!X164</f>
        <v>0</v>
      </c>
      <c r="V164" t="str">
        <f>'Assessment Questions'!Y164</f>
        <v>Use the recommended action generated by the model; validate with domain owner during real assessment.</v>
      </c>
      <c r="W164">
        <v>4</v>
      </c>
      <c r="X164">
        <v>5</v>
      </c>
      <c r="Y164">
        <v>5</v>
      </c>
      <c r="Z164">
        <f>'Assessment Questions'!AC164</f>
        <v>0</v>
      </c>
      <c r="AB164">
        <f t="shared" si="69"/>
        <v>0</v>
      </c>
      <c r="AC164">
        <f t="shared" si="70"/>
        <v>0</v>
      </c>
      <c r="AD164">
        <f t="shared" si="59"/>
        <v>0</v>
      </c>
      <c r="AE164">
        <f t="shared" si="71"/>
        <v>0</v>
      </c>
      <c r="AF164">
        <f t="shared" si="60"/>
        <v>5</v>
      </c>
      <c r="AG164">
        <f t="shared" si="72"/>
        <v>0</v>
      </c>
      <c r="AH164">
        <f>'Assessment Questions'!AK164</f>
        <v>0</v>
      </c>
      <c r="AI164">
        <f>'Assessment Questions'!AL164</f>
        <v>0</v>
      </c>
      <c r="AJ164">
        <f>IF(OR($H164="",$H164="N/A"),"",IF($AH164="",VLOOKUP('Company Profile'!$B$40,_CONFIG_Model_Settings!$A$5:$B$8,2,FALSE),IFERROR(VLOOKUP($AH164,_CONFIG_Model_Settings!$A$5:$B$8,2,FALSE),0.9)))</f>
        <v>0.9</v>
      </c>
      <c r="AK164">
        <f>IF(OR($H164="",$H164="N/A"),"",IF($AI164="",VLOOKUP('Company Profile'!$B$41,_CONFIG_Model_Settings!$A$5:$B$8,2,FALSE),IFERROR(VLOOKUP($AI164,_CONFIG_Model_Settings!$A$5:$B$8,2,FALSE),0.9)))</f>
        <v>0.9</v>
      </c>
      <c r="AL164">
        <f t="shared" si="61"/>
        <v>0</v>
      </c>
      <c r="AM164">
        <f t="shared" si="62"/>
        <v>0</v>
      </c>
      <c r="AN164">
        <f>IFERROR(MIN(5,MAX(0,(SUMIFS(_REF_Model_Content!$D$1:$D$174,_REF_Model_Content!$A$1:$A$174,PV_Canonical_Industry,_REF_Model_Content!$B$1:$B$174,"Physical Safety"))+IFERROR(VLOOKUP('Company Profile'!$B$35,_CONFIG_Model_Settings!$A$11:$B$13,2,0),0))),"")</f>
        <v>0</v>
      </c>
      <c r="AO164">
        <f t="shared" si="63"/>
        <v>0</v>
      </c>
      <c r="AP164">
        <f>IFERROR(SUMIFS(_REF_Model_Content!$E$1:$E$174,_REF_Model_Content!$A$1:$A$174,PV_Canonical_Industry,_REF_Model_Content!$B$1:$B$174,"Physical Safety"),1)</f>
        <v>0</v>
      </c>
      <c r="AQ164">
        <f t="shared" si="64"/>
        <v>0</v>
      </c>
      <c r="AR164" t="str">
        <f t="shared" si="65"/>
        <v>Within target</v>
      </c>
      <c r="AS164">
        <f t="shared" si="66"/>
        <v>0</v>
      </c>
      <c r="AT164">
        <f t="shared" si="67"/>
        <v>0.9</v>
      </c>
      <c r="AU164">
        <f>'Assessment Questions'!AX164</f>
        <v>0</v>
      </c>
      <c r="AV164">
        <f t="shared" si="68"/>
        <v>0.9</v>
      </c>
      <c r="AW164" t="s">
        <v>1666</v>
      </c>
      <c r="AX164" t="s">
        <v>1666</v>
      </c>
      <c r="AY164">
        <v>24</v>
      </c>
      <c r="AZ164">
        <v>164</v>
      </c>
    </row>
    <row r="165" spans="1:52">
      <c r="A165" t="s">
        <v>1796</v>
      </c>
      <c r="B165" t="s">
        <v>1685</v>
      </c>
      <c r="C165" t="s">
        <v>1797</v>
      </c>
      <c r="D165" t="s">
        <v>1670</v>
      </c>
      <c r="E165" t="s">
        <v>1671</v>
      </c>
      <c r="F165" t="s">
        <v>1798</v>
      </c>
      <c r="G165">
        <f>'Assessment Questions'!J165</f>
        <v>5</v>
      </c>
      <c r="H165">
        <f t="shared" si="54"/>
        <v>0</v>
      </c>
      <c r="I165">
        <f t="shared" si="55"/>
        <v>0</v>
      </c>
      <c r="J165">
        <f t="shared" si="56"/>
        <v>5</v>
      </c>
      <c r="K165">
        <f t="shared" si="57"/>
        <v>5</v>
      </c>
      <c r="L165" t="str">
        <f t="shared" si="58"/>
        <v>Critical</v>
      </c>
      <c r="M165" t="s">
        <v>833</v>
      </c>
      <c r="N165" t="s">
        <v>834</v>
      </c>
      <c r="O165" t="s">
        <v>835</v>
      </c>
      <c r="P165" t="s">
        <v>836</v>
      </c>
      <c r="Q165" t="s">
        <v>837</v>
      </c>
      <c r="R165" t="s">
        <v>838</v>
      </c>
      <c r="S165" t="s">
        <v>1673</v>
      </c>
      <c r="T165">
        <f>'Assessment Questions'!W165</f>
        <v>0</v>
      </c>
      <c r="U165">
        <f>'Assessment Questions'!X165</f>
        <v>0</v>
      </c>
      <c r="V165" t="str">
        <f>'Assessment Questions'!Y165</f>
        <v>Use the recommended action generated by the model; validate with domain owner during real assessment.</v>
      </c>
      <c r="W165">
        <v>4</v>
      </c>
      <c r="X165">
        <v>5</v>
      </c>
      <c r="Y165">
        <v>5</v>
      </c>
      <c r="Z165">
        <f>'Assessment Questions'!AC165</f>
        <v>0</v>
      </c>
      <c r="AB165">
        <f t="shared" si="69"/>
        <v>0</v>
      </c>
      <c r="AC165">
        <f t="shared" si="70"/>
        <v>0</v>
      </c>
      <c r="AD165">
        <f t="shared" si="59"/>
        <v>0</v>
      </c>
      <c r="AE165">
        <f t="shared" si="71"/>
        <v>0</v>
      </c>
      <c r="AF165">
        <f t="shared" si="60"/>
        <v>5</v>
      </c>
      <c r="AG165">
        <f t="shared" si="72"/>
        <v>0</v>
      </c>
      <c r="AH165">
        <f>'Assessment Questions'!AK165</f>
        <v>0</v>
      </c>
      <c r="AI165">
        <f>'Assessment Questions'!AL165</f>
        <v>0</v>
      </c>
      <c r="AJ165">
        <f>IF(OR($H165="",$H165="N/A"),"",IF($AH165="",VLOOKUP('Company Profile'!$B$40,_CONFIG_Model_Settings!$A$5:$B$8,2,FALSE),IFERROR(VLOOKUP($AH165,_CONFIG_Model_Settings!$A$5:$B$8,2,FALSE),0.9)))</f>
        <v>0.9</v>
      </c>
      <c r="AK165">
        <f>IF(OR($H165="",$H165="N/A"),"",IF($AI165="",VLOOKUP('Company Profile'!$B$41,_CONFIG_Model_Settings!$A$5:$B$8,2,FALSE),IFERROR(VLOOKUP($AI165,_CONFIG_Model_Settings!$A$5:$B$8,2,FALSE),0.9)))</f>
        <v>0.9</v>
      </c>
      <c r="AL165">
        <f t="shared" si="61"/>
        <v>0</v>
      </c>
      <c r="AM165">
        <f t="shared" si="62"/>
        <v>0</v>
      </c>
      <c r="AN165">
        <f>IFERROR(MIN(5,MAX(0,(SUMIFS(_REF_Model_Content!$D$1:$D$174,_REF_Model_Content!$A$1:$A$174,PV_Canonical_Industry,_REF_Model_Content!$B$1:$B$174,"Physical Safety"))+IFERROR(VLOOKUP('Company Profile'!$B$35,_CONFIG_Model_Settings!$A$11:$B$13,2,0),0))),"")</f>
        <v>0</v>
      </c>
      <c r="AO165">
        <f t="shared" si="63"/>
        <v>0</v>
      </c>
      <c r="AP165">
        <f>IFERROR(SUMIFS(_REF_Model_Content!$E$1:$E$174,_REF_Model_Content!$A$1:$A$174,PV_Canonical_Industry,_REF_Model_Content!$B$1:$B$174,"Physical Safety"),1)</f>
        <v>0</v>
      </c>
      <c r="AQ165">
        <f t="shared" si="64"/>
        <v>0</v>
      </c>
      <c r="AR165" t="str">
        <f t="shared" si="65"/>
        <v>Within target</v>
      </c>
      <c r="AS165">
        <f t="shared" si="66"/>
        <v>0</v>
      </c>
      <c r="AT165">
        <f t="shared" si="67"/>
        <v>0.9</v>
      </c>
      <c r="AU165">
        <f>'Assessment Questions'!AX165</f>
        <v>0</v>
      </c>
      <c r="AV165">
        <f t="shared" si="68"/>
        <v>0.9</v>
      </c>
      <c r="AW165" t="s">
        <v>1666</v>
      </c>
      <c r="AX165" t="s">
        <v>1666</v>
      </c>
      <c r="AY165">
        <v>25</v>
      </c>
      <c r="AZ165">
        <v>165</v>
      </c>
    </row>
    <row r="166" spans="1:52">
      <c r="A166" t="s">
        <v>1799</v>
      </c>
      <c r="B166" t="s">
        <v>1685</v>
      </c>
      <c r="C166" t="s">
        <v>1800</v>
      </c>
      <c r="D166" t="s">
        <v>1670</v>
      </c>
      <c r="E166" t="s">
        <v>1671</v>
      </c>
      <c r="F166" t="s">
        <v>1801</v>
      </c>
      <c r="G166">
        <f>'Assessment Questions'!J166</f>
        <v>5</v>
      </c>
      <c r="H166">
        <f t="shared" si="54"/>
        <v>0</v>
      </c>
      <c r="I166">
        <f t="shared" si="55"/>
        <v>0</v>
      </c>
      <c r="J166">
        <f t="shared" si="56"/>
        <v>5</v>
      </c>
      <c r="K166">
        <f t="shared" si="57"/>
        <v>5</v>
      </c>
      <c r="L166" t="str">
        <f t="shared" si="58"/>
        <v>Critical</v>
      </c>
      <c r="M166" t="s">
        <v>1069</v>
      </c>
      <c r="N166" t="s">
        <v>1070</v>
      </c>
      <c r="O166" t="s">
        <v>1071</v>
      </c>
      <c r="P166" t="s">
        <v>1072</v>
      </c>
      <c r="Q166" t="s">
        <v>1073</v>
      </c>
      <c r="R166" t="s">
        <v>1074</v>
      </c>
      <c r="S166" t="s">
        <v>1673</v>
      </c>
      <c r="T166">
        <f>'Assessment Questions'!W166</f>
        <v>0</v>
      </c>
      <c r="U166">
        <f>'Assessment Questions'!X166</f>
        <v>0</v>
      </c>
      <c r="V166" t="str">
        <f>'Assessment Questions'!Y166</f>
        <v>Use the recommended action generated by the model; validate with domain owner during real assessment.</v>
      </c>
      <c r="W166">
        <v>4</v>
      </c>
      <c r="X166">
        <v>5</v>
      </c>
      <c r="Y166">
        <v>5</v>
      </c>
      <c r="Z166">
        <f>'Assessment Questions'!AC166</f>
        <v>0</v>
      </c>
      <c r="AB166">
        <f t="shared" si="69"/>
        <v>0</v>
      </c>
      <c r="AC166">
        <f t="shared" si="70"/>
        <v>0</v>
      </c>
      <c r="AD166">
        <f t="shared" si="59"/>
        <v>0</v>
      </c>
      <c r="AE166">
        <f t="shared" si="71"/>
        <v>0</v>
      </c>
      <c r="AF166">
        <f t="shared" si="60"/>
        <v>5</v>
      </c>
      <c r="AG166">
        <f t="shared" si="72"/>
        <v>0</v>
      </c>
      <c r="AH166">
        <f>'Assessment Questions'!AK166</f>
        <v>0</v>
      </c>
      <c r="AI166">
        <f>'Assessment Questions'!AL166</f>
        <v>0</v>
      </c>
      <c r="AJ166">
        <f>IF(OR($H166="",$H166="N/A"),"",IF($AH166="",VLOOKUP('Company Profile'!$B$40,_CONFIG_Model_Settings!$A$5:$B$8,2,FALSE),IFERROR(VLOOKUP($AH166,_CONFIG_Model_Settings!$A$5:$B$8,2,FALSE),0.9)))</f>
        <v>0.9</v>
      </c>
      <c r="AK166">
        <f>IF(OR($H166="",$H166="N/A"),"",IF($AI166="",VLOOKUP('Company Profile'!$B$41,_CONFIG_Model_Settings!$A$5:$B$8,2,FALSE),IFERROR(VLOOKUP($AI166,_CONFIG_Model_Settings!$A$5:$B$8,2,FALSE),0.9)))</f>
        <v>0.9</v>
      </c>
      <c r="AL166">
        <f t="shared" si="61"/>
        <v>0</v>
      </c>
      <c r="AM166">
        <f t="shared" si="62"/>
        <v>0</v>
      </c>
      <c r="AN166">
        <f>IFERROR(MIN(5,MAX(0,(SUMIFS(_REF_Model_Content!$D$1:$D$174,_REF_Model_Content!$A$1:$A$174,PV_Canonical_Industry,_REF_Model_Content!$B$1:$B$174,"Physical Safety"))+IFERROR(VLOOKUP('Company Profile'!$B$35,_CONFIG_Model_Settings!$A$11:$B$13,2,0),0))),"")</f>
        <v>0</v>
      </c>
      <c r="AO166">
        <f t="shared" si="63"/>
        <v>0</v>
      </c>
      <c r="AP166">
        <f>IFERROR(SUMIFS(_REF_Model_Content!$E$1:$E$174,_REF_Model_Content!$A$1:$A$174,PV_Canonical_Industry,_REF_Model_Content!$B$1:$B$174,"Physical Safety"),1)</f>
        <v>0</v>
      </c>
      <c r="AQ166">
        <f t="shared" si="64"/>
        <v>0</v>
      </c>
      <c r="AR166" t="str">
        <f t="shared" si="65"/>
        <v>Within target</v>
      </c>
      <c r="AS166">
        <f t="shared" si="66"/>
        <v>0</v>
      </c>
      <c r="AT166">
        <f t="shared" si="67"/>
        <v>0.9</v>
      </c>
      <c r="AU166">
        <f>'Assessment Questions'!AX166</f>
        <v>0</v>
      </c>
      <c r="AV166">
        <f t="shared" si="68"/>
        <v>0.9</v>
      </c>
      <c r="AW166" t="s">
        <v>1666</v>
      </c>
      <c r="AX166" t="s">
        <v>1666</v>
      </c>
      <c r="AY166">
        <v>26</v>
      </c>
      <c r="AZ166">
        <v>166</v>
      </c>
    </row>
    <row r="167" spans="1:52">
      <c r="A167" t="s">
        <v>1802</v>
      </c>
      <c r="B167" t="s">
        <v>1685</v>
      </c>
      <c r="C167" t="s">
        <v>1803</v>
      </c>
      <c r="D167" t="s">
        <v>1670</v>
      </c>
      <c r="E167" t="s">
        <v>1671</v>
      </c>
      <c r="F167" t="s">
        <v>1804</v>
      </c>
      <c r="G167">
        <f>'Assessment Questions'!J167</f>
        <v>3</v>
      </c>
      <c r="H167">
        <f t="shared" si="54"/>
        <v>0</v>
      </c>
      <c r="I167">
        <f t="shared" si="55"/>
        <v>0</v>
      </c>
      <c r="J167">
        <f t="shared" si="56"/>
        <v>3</v>
      </c>
      <c r="K167">
        <f t="shared" si="57"/>
        <v>3</v>
      </c>
      <c r="L167" t="str">
        <f t="shared" si="58"/>
        <v>Critical</v>
      </c>
      <c r="M167" t="s">
        <v>1805</v>
      </c>
      <c r="N167" t="s">
        <v>1806</v>
      </c>
      <c r="O167" t="s">
        <v>1807</v>
      </c>
      <c r="P167" t="s">
        <v>1808</v>
      </c>
      <c r="Q167" t="s">
        <v>1809</v>
      </c>
      <c r="R167" t="s">
        <v>1810</v>
      </c>
      <c r="S167" t="s">
        <v>1673</v>
      </c>
      <c r="T167">
        <f>'Assessment Questions'!W167</f>
        <v>0</v>
      </c>
      <c r="U167">
        <f>'Assessment Questions'!X167</f>
        <v>0</v>
      </c>
      <c r="V167" t="str">
        <f>'Assessment Questions'!Y167</f>
        <v>Use the recommended action generated by the model; validate with domain owner during real assessment.</v>
      </c>
      <c r="W167">
        <v>4</v>
      </c>
      <c r="X167">
        <v>5</v>
      </c>
      <c r="Y167">
        <v>5</v>
      </c>
      <c r="Z167">
        <f>'Assessment Questions'!AC167</f>
        <v>0</v>
      </c>
      <c r="AB167">
        <f t="shared" si="69"/>
        <v>0</v>
      </c>
      <c r="AC167">
        <f t="shared" si="70"/>
        <v>0</v>
      </c>
      <c r="AD167">
        <f t="shared" si="59"/>
        <v>0</v>
      </c>
      <c r="AE167">
        <f t="shared" si="71"/>
        <v>0</v>
      </c>
      <c r="AF167">
        <f t="shared" si="60"/>
        <v>5</v>
      </c>
      <c r="AG167">
        <f t="shared" si="72"/>
        <v>0</v>
      </c>
      <c r="AH167">
        <f>'Assessment Questions'!AK167</f>
        <v>0</v>
      </c>
      <c r="AI167">
        <f>'Assessment Questions'!AL167</f>
        <v>0</v>
      </c>
      <c r="AJ167">
        <f>IF(OR($H167="",$H167="N/A"),"",IF($AH167="",VLOOKUP('Company Profile'!$B$40,_CONFIG_Model_Settings!$A$5:$B$8,2,FALSE),IFERROR(VLOOKUP($AH167,_CONFIG_Model_Settings!$A$5:$B$8,2,FALSE),0.9)))</f>
        <v>0.9</v>
      </c>
      <c r="AK167">
        <f>IF(OR($H167="",$H167="N/A"),"",IF($AI167="",VLOOKUP('Company Profile'!$B$41,_CONFIG_Model_Settings!$A$5:$B$8,2,FALSE),IFERROR(VLOOKUP($AI167,_CONFIG_Model_Settings!$A$5:$B$8,2,FALSE),0.9)))</f>
        <v>0.9</v>
      </c>
      <c r="AL167">
        <f t="shared" si="61"/>
        <v>0</v>
      </c>
      <c r="AM167">
        <f t="shared" si="62"/>
        <v>0</v>
      </c>
      <c r="AN167">
        <f>IFERROR(MIN(5,MAX(0,(SUMIFS(_REF_Model_Content!$D$1:$D$174,_REF_Model_Content!$A$1:$A$174,PV_Canonical_Industry,_REF_Model_Content!$B$1:$B$174,"Physical Safety"))+IFERROR(VLOOKUP('Company Profile'!$B$35,_CONFIG_Model_Settings!$A$11:$B$13,2,0),0))),"")</f>
        <v>0</v>
      </c>
      <c r="AO167">
        <f t="shared" si="63"/>
        <v>0</v>
      </c>
      <c r="AP167">
        <f>IFERROR(SUMIFS(_REF_Model_Content!$E$1:$E$174,_REF_Model_Content!$A$1:$A$174,PV_Canonical_Industry,_REF_Model_Content!$B$1:$B$174,"Physical Safety"),1)</f>
        <v>0</v>
      </c>
      <c r="AQ167">
        <f t="shared" si="64"/>
        <v>0</v>
      </c>
      <c r="AR167" t="str">
        <f t="shared" si="65"/>
        <v>Within target</v>
      </c>
      <c r="AS167">
        <f t="shared" si="66"/>
        <v>0</v>
      </c>
      <c r="AT167">
        <f t="shared" si="67"/>
        <v>0.9</v>
      </c>
      <c r="AU167">
        <f>'Assessment Questions'!AX167</f>
        <v>0</v>
      </c>
      <c r="AV167">
        <f t="shared" si="68"/>
        <v>0.9</v>
      </c>
      <c r="AW167" t="s">
        <v>1666</v>
      </c>
      <c r="AX167" t="s">
        <v>1666</v>
      </c>
      <c r="AY167">
        <v>27</v>
      </c>
      <c r="AZ167">
        <v>167</v>
      </c>
    </row>
    <row r="168" spans="1:52">
      <c r="A168" t="s">
        <v>1811</v>
      </c>
      <c r="B168" t="s">
        <v>1689</v>
      </c>
      <c r="C168" t="s">
        <v>1812</v>
      </c>
      <c r="D168" t="s">
        <v>1670</v>
      </c>
      <c r="E168" t="s">
        <v>1671</v>
      </c>
      <c r="F168" t="s">
        <v>1813</v>
      </c>
      <c r="G168">
        <f>'Assessment Questions'!J168</f>
        <v>5</v>
      </c>
      <c r="H168">
        <f t="shared" si="54"/>
        <v>0</v>
      </c>
      <c r="I168">
        <f t="shared" si="55"/>
        <v>0</v>
      </c>
      <c r="J168">
        <f t="shared" si="56"/>
        <v>5</v>
      </c>
      <c r="K168">
        <f t="shared" si="57"/>
        <v>5</v>
      </c>
      <c r="L168" t="str">
        <f t="shared" si="58"/>
        <v>Critical</v>
      </c>
      <c r="M168" t="s">
        <v>1202</v>
      </c>
      <c r="N168" t="s">
        <v>1203</v>
      </c>
      <c r="O168" t="s">
        <v>1204</v>
      </c>
      <c r="P168" t="s">
        <v>1205</v>
      </c>
      <c r="Q168" t="s">
        <v>1206</v>
      </c>
      <c r="R168" t="s">
        <v>1207</v>
      </c>
      <c r="S168" t="s">
        <v>1673</v>
      </c>
      <c r="T168">
        <f>'Assessment Questions'!W168</f>
        <v>0</v>
      </c>
      <c r="U168">
        <f>'Assessment Questions'!X168</f>
        <v>0</v>
      </c>
      <c r="V168" t="str">
        <f>'Assessment Questions'!Y168</f>
        <v>Use the recommended action generated by the model; validate with domain owner during real assessment.</v>
      </c>
      <c r="W168">
        <v>5</v>
      </c>
      <c r="X168">
        <v>5</v>
      </c>
      <c r="Y168">
        <v>5</v>
      </c>
      <c r="Z168">
        <f>'Assessment Questions'!AC168</f>
        <v>0</v>
      </c>
      <c r="AB168">
        <f t="shared" si="69"/>
        <v>0</v>
      </c>
      <c r="AC168">
        <f t="shared" si="70"/>
        <v>0</v>
      </c>
      <c r="AD168">
        <f t="shared" si="59"/>
        <v>0</v>
      </c>
      <c r="AE168">
        <f t="shared" si="71"/>
        <v>0</v>
      </c>
      <c r="AF168">
        <f t="shared" si="60"/>
        <v>5</v>
      </c>
      <c r="AG168">
        <f t="shared" si="72"/>
        <v>0</v>
      </c>
      <c r="AH168">
        <f>'Assessment Questions'!AK168</f>
        <v>0</v>
      </c>
      <c r="AI168">
        <f>'Assessment Questions'!AL168</f>
        <v>0</v>
      </c>
      <c r="AJ168">
        <f>IF(OR($H168="",$H168="N/A"),"",IF($AH168="",VLOOKUP('Company Profile'!$B$40,_CONFIG_Model_Settings!$A$5:$B$8,2,FALSE),IFERROR(VLOOKUP($AH168,_CONFIG_Model_Settings!$A$5:$B$8,2,FALSE),0.9)))</f>
        <v>0.9</v>
      </c>
      <c r="AK168">
        <f>IF(OR($H168="",$H168="N/A"),"",IF($AI168="",VLOOKUP('Company Profile'!$B$41,_CONFIG_Model_Settings!$A$5:$B$8,2,FALSE),IFERROR(VLOOKUP($AI168,_CONFIG_Model_Settings!$A$5:$B$8,2,FALSE),0.9)))</f>
        <v>0.9</v>
      </c>
      <c r="AL168">
        <f t="shared" si="61"/>
        <v>0</v>
      </c>
      <c r="AM168">
        <f t="shared" si="62"/>
        <v>0</v>
      </c>
      <c r="AN168">
        <f>IFERROR(MIN(5,MAX(0,(SUMIFS(_REF_Model_Content!$D$1:$D$174,_REF_Model_Content!$A$1:$A$174,PV_Canonical_Industry,_REF_Model_Content!$B$1:$B$174,"Physical Safety"))+IFERROR(VLOOKUP('Company Profile'!$B$35,_CONFIG_Model_Settings!$A$11:$B$13,2,0),0))),"")</f>
        <v>0</v>
      </c>
      <c r="AO168">
        <f t="shared" si="63"/>
        <v>0</v>
      </c>
      <c r="AP168">
        <f>IFERROR(SUMIFS(_REF_Model_Content!$E$1:$E$174,_REF_Model_Content!$A$1:$A$174,PV_Canonical_Industry,_REF_Model_Content!$B$1:$B$174,"Physical Safety"),1)</f>
        <v>0</v>
      </c>
      <c r="AQ168">
        <f t="shared" si="64"/>
        <v>0</v>
      </c>
      <c r="AR168" t="str">
        <f t="shared" si="65"/>
        <v>Within target</v>
      </c>
      <c r="AS168">
        <f t="shared" si="66"/>
        <v>0</v>
      </c>
      <c r="AT168">
        <f t="shared" si="67"/>
        <v>0.9</v>
      </c>
      <c r="AU168">
        <f>'Assessment Questions'!AX168</f>
        <v>0</v>
      </c>
      <c r="AV168">
        <f t="shared" si="68"/>
        <v>0.9</v>
      </c>
      <c r="AW168" t="s">
        <v>1666</v>
      </c>
      <c r="AX168" t="s">
        <v>1666</v>
      </c>
      <c r="AY168">
        <v>28</v>
      </c>
      <c r="AZ168">
        <v>168</v>
      </c>
    </row>
    <row r="169" spans="1:52">
      <c r="A169" t="s">
        <v>1814</v>
      </c>
      <c r="B169" t="s">
        <v>1689</v>
      </c>
      <c r="C169" t="s">
        <v>1815</v>
      </c>
      <c r="D169" t="s">
        <v>1670</v>
      </c>
      <c r="E169" t="s">
        <v>1671</v>
      </c>
      <c r="F169" t="s">
        <v>1816</v>
      </c>
      <c r="G169">
        <f>'Assessment Questions'!J169</f>
        <v>5</v>
      </c>
      <c r="H169">
        <f t="shared" si="54"/>
        <v>0</v>
      </c>
      <c r="I169">
        <f t="shared" si="55"/>
        <v>0</v>
      </c>
      <c r="J169">
        <f t="shared" si="56"/>
        <v>5</v>
      </c>
      <c r="K169">
        <f t="shared" si="57"/>
        <v>5</v>
      </c>
      <c r="L169" t="str">
        <f t="shared" si="58"/>
        <v>Critical</v>
      </c>
      <c r="M169" t="s">
        <v>874</v>
      </c>
      <c r="N169" t="s">
        <v>875</v>
      </c>
      <c r="O169" t="s">
        <v>876</v>
      </c>
      <c r="P169" t="s">
        <v>877</v>
      </c>
      <c r="Q169" t="s">
        <v>878</v>
      </c>
      <c r="R169" t="s">
        <v>879</v>
      </c>
      <c r="S169" t="s">
        <v>1673</v>
      </c>
      <c r="T169">
        <f>'Assessment Questions'!W169</f>
        <v>0</v>
      </c>
      <c r="U169">
        <f>'Assessment Questions'!X169</f>
        <v>0</v>
      </c>
      <c r="V169" t="str">
        <f>'Assessment Questions'!Y169</f>
        <v>Use the recommended action generated by the model; validate with domain owner during real assessment.</v>
      </c>
      <c r="W169">
        <v>4</v>
      </c>
      <c r="X169">
        <v>5</v>
      </c>
      <c r="Y169">
        <v>5</v>
      </c>
      <c r="Z169">
        <f>'Assessment Questions'!AC169</f>
        <v>0</v>
      </c>
      <c r="AB169">
        <f t="shared" si="69"/>
        <v>0</v>
      </c>
      <c r="AC169">
        <f t="shared" si="70"/>
        <v>0</v>
      </c>
      <c r="AD169">
        <f t="shared" si="59"/>
        <v>0</v>
      </c>
      <c r="AE169">
        <f t="shared" si="71"/>
        <v>0</v>
      </c>
      <c r="AF169">
        <f t="shared" si="60"/>
        <v>5</v>
      </c>
      <c r="AG169">
        <f t="shared" si="72"/>
        <v>0</v>
      </c>
      <c r="AH169">
        <f>'Assessment Questions'!AK169</f>
        <v>0</v>
      </c>
      <c r="AI169">
        <f>'Assessment Questions'!AL169</f>
        <v>0</v>
      </c>
      <c r="AJ169">
        <f>IF(OR($H169="",$H169="N/A"),"",IF($AH169="",VLOOKUP('Company Profile'!$B$40,_CONFIG_Model_Settings!$A$5:$B$8,2,FALSE),IFERROR(VLOOKUP($AH169,_CONFIG_Model_Settings!$A$5:$B$8,2,FALSE),0.9)))</f>
        <v>0.9</v>
      </c>
      <c r="AK169">
        <f>IF(OR($H169="",$H169="N/A"),"",IF($AI169="",VLOOKUP('Company Profile'!$B$41,_CONFIG_Model_Settings!$A$5:$B$8,2,FALSE),IFERROR(VLOOKUP($AI169,_CONFIG_Model_Settings!$A$5:$B$8,2,FALSE),0.9)))</f>
        <v>0.9</v>
      </c>
      <c r="AL169">
        <f t="shared" si="61"/>
        <v>0</v>
      </c>
      <c r="AM169">
        <f t="shared" si="62"/>
        <v>0</v>
      </c>
      <c r="AN169">
        <f>IFERROR(MIN(5,MAX(0,(SUMIFS(_REF_Model_Content!$D$1:$D$174,_REF_Model_Content!$A$1:$A$174,PV_Canonical_Industry,_REF_Model_Content!$B$1:$B$174,"Physical Safety"))+IFERROR(VLOOKUP('Company Profile'!$B$35,_CONFIG_Model_Settings!$A$11:$B$13,2,0),0))),"")</f>
        <v>0</v>
      </c>
      <c r="AO169">
        <f t="shared" si="63"/>
        <v>0</v>
      </c>
      <c r="AP169">
        <f>IFERROR(SUMIFS(_REF_Model_Content!$E$1:$E$174,_REF_Model_Content!$A$1:$A$174,PV_Canonical_Industry,_REF_Model_Content!$B$1:$B$174,"Physical Safety"),1)</f>
        <v>0</v>
      </c>
      <c r="AQ169">
        <f t="shared" si="64"/>
        <v>0</v>
      </c>
      <c r="AR169" t="str">
        <f t="shared" si="65"/>
        <v>Within target</v>
      </c>
      <c r="AS169">
        <f t="shared" si="66"/>
        <v>0</v>
      </c>
      <c r="AT169">
        <f t="shared" si="67"/>
        <v>0.9</v>
      </c>
      <c r="AU169">
        <f>'Assessment Questions'!AX169</f>
        <v>0</v>
      </c>
      <c r="AV169">
        <f t="shared" si="68"/>
        <v>0.9</v>
      </c>
      <c r="AW169" t="s">
        <v>1666</v>
      </c>
      <c r="AX169" t="s">
        <v>1666</v>
      </c>
      <c r="AY169">
        <v>29</v>
      </c>
      <c r="AZ169">
        <v>169</v>
      </c>
    </row>
    <row r="170" spans="1:52">
      <c r="A170" t="s">
        <v>1817</v>
      </c>
      <c r="B170" t="s">
        <v>1689</v>
      </c>
      <c r="C170" t="s">
        <v>1818</v>
      </c>
      <c r="D170" t="s">
        <v>1670</v>
      </c>
      <c r="E170" t="s">
        <v>1671</v>
      </c>
      <c r="F170" t="s">
        <v>1819</v>
      </c>
      <c r="G170">
        <f>'Assessment Questions'!J170</f>
        <v>5</v>
      </c>
      <c r="H170">
        <f t="shared" si="54"/>
        <v>0</v>
      </c>
      <c r="I170">
        <f t="shared" si="55"/>
        <v>0</v>
      </c>
      <c r="J170">
        <f t="shared" si="56"/>
        <v>5</v>
      </c>
      <c r="K170">
        <f t="shared" si="57"/>
        <v>5</v>
      </c>
      <c r="L170" t="str">
        <f t="shared" si="58"/>
        <v>Critical</v>
      </c>
      <c r="M170" t="s">
        <v>833</v>
      </c>
      <c r="N170" t="s">
        <v>834</v>
      </c>
      <c r="O170" t="s">
        <v>835</v>
      </c>
      <c r="P170" t="s">
        <v>836</v>
      </c>
      <c r="Q170" t="s">
        <v>837</v>
      </c>
      <c r="R170" t="s">
        <v>838</v>
      </c>
      <c r="S170" t="s">
        <v>1673</v>
      </c>
      <c r="T170">
        <f>'Assessment Questions'!W170</f>
        <v>0</v>
      </c>
      <c r="U170">
        <f>'Assessment Questions'!X170</f>
        <v>0</v>
      </c>
      <c r="V170" t="str">
        <f>'Assessment Questions'!Y170</f>
        <v>Use the recommended action generated by the model; validate with domain owner during real assessment.</v>
      </c>
      <c r="W170">
        <v>5</v>
      </c>
      <c r="X170">
        <v>5</v>
      </c>
      <c r="Y170">
        <v>5</v>
      </c>
      <c r="Z170">
        <f>'Assessment Questions'!AC170</f>
        <v>0</v>
      </c>
      <c r="AB170">
        <f t="shared" si="69"/>
        <v>0</v>
      </c>
      <c r="AC170">
        <f t="shared" si="70"/>
        <v>0</v>
      </c>
      <c r="AD170">
        <f t="shared" si="59"/>
        <v>0</v>
      </c>
      <c r="AE170">
        <f t="shared" si="71"/>
        <v>0</v>
      </c>
      <c r="AF170">
        <f t="shared" si="60"/>
        <v>5</v>
      </c>
      <c r="AG170">
        <f t="shared" si="72"/>
        <v>0</v>
      </c>
      <c r="AH170">
        <f>'Assessment Questions'!AK170</f>
        <v>0</v>
      </c>
      <c r="AI170">
        <f>'Assessment Questions'!AL170</f>
        <v>0</v>
      </c>
      <c r="AJ170">
        <f>IF(OR($H170="",$H170="N/A"),"",IF($AH170="",VLOOKUP('Company Profile'!$B$40,_CONFIG_Model_Settings!$A$5:$B$8,2,FALSE),IFERROR(VLOOKUP($AH170,_CONFIG_Model_Settings!$A$5:$B$8,2,FALSE),0.9)))</f>
        <v>0.9</v>
      </c>
      <c r="AK170">
        <f>IF(OR($H170="",$H170="N/A"),"",IF($AI170="",VLOOKUP('Company Profile'!$B$41,_CONFIG_Model_Settings!$A$5:$B$8,2,FALSE),IFERROR(VLOOKUP($AI170,_CONFIG_Model_Settings!$A$5:$B$8,2,FALSE),0.9)))</f>
        <v>0.9</v>
      </c>
      <c r="AL170">
        <f t="shared" si="61"/>
        <v>0</v>
      </c>
      <c r="AM170">
        <f t="shared" si="62"/>
        <v>0</v>
      </c>
      <c r="AN170">
        <f>IFERROR(MIN(5,MAX(0,(SUMIFS(_REF_Model_Content!$D$1:$D$174,_REF_Model_Content!$A$1:$A$174,PV_Canonical_Industry,_REF_Model_Content!$B$1:$B$174,"Physical Safety"))+IFERROR(VLOOKUP('Company Profile'!$B$35,_CONFIG_Model_Settings!$A$11:$B$13,2,0),0))),"")</f>
        <v>0</v>
      </c>
      <c r="AO170">
        <f t="shared" si="63"/>
        <v>0</v>
      </c>
      <c r="AP170">
        <f>IFERROR(SUMIFS(_REF_Model_Content!$E$1:$E$174,_REF_Model_Content!$A$1:$A$174,PV_Canonical_Industry,_REF_Model_Content!$B$1:$B$174,"Physical Safety"),1)</f>
        <v>0</v>
      </c>
      <c r="AQ170">
        <f t="shared" si="64"/>
        <v>0</v>
      </c>
      <c r="AR170" t="str">
        <f t="shared" si="65"/>
        <v>Within target</v>
      </c>
      <c r="AS170">
        <f t="shared" si="66"/>
        <v>0</v>
      </c>
      <c r="AT170">
        <f t="shared" si="67"/>
        <v>0.9</v>
      </c>
      <c r="AU170">
        <f>'Assessment Questions'!AX170</f>
        <v>0</v>
      </c>
      <c r="AV170">
        <f t="shared" si="68"/>
        <v>0.9</v>
      </c>
      <c r="AW170" t="s">
        <v>1666</v>
      </c>
      <c r="AX170" t="s">
        <v>1666</v>
      </c>
      <c r="AY170">
        <v>30</v>
      </c>
      <c r="AZ170">
        <v>170</v>
      </c>
    </row>
    <row r="171" spans="1:52">
      <c r="A171" t="s">
        <v>1820</v>
      </c>
      <c r="B171" t="s">
        <v>1689</v>
      </c>
      <c r="C171" t="s">
        <v>1821</v>
      </c>
      <c r="D171" t="s">
        <v>1670</v>
      </c>
      <c r="E171" t="s">
        <v>1671</v>
      </c>
      <c r="F171" t="s">
        <v>1822</v>
      </c>
      <c r="G171">
        <f>'Assessment Questions'!J171</f>
        <v>5</v>
      </c>
      <c r="H171">
        <f t="shared" si="54"/>
        <v>0</v>
      </c>
      <c r="I171">
        <f t="shared" si="55"/>
        <v>0</v>
      </c>
      <c r="J171">
        <f t="shared" si="56"/>
        <v>5</v>
      </c>
      <c r="K171">
        <f t="shared" si="57"/>
        <v>5</v>
      </c>
      <c r="L171" t="str">
        <f t="shared" si="58"/>
        <v>Critical</v>
      </c>
      <c r="M171" t="s">
        <v>833</v>
      </c>
      <c r="N171" t="s">
        <v>834</v>
      </c>
      <c r="O171" t="s">
        <v>835</v>
      </c>
      <c r="P171" t="s">
        <v>836</v>
      </c>
      <c r="Q171" t="s">
        <v>837</v>
      </c>
      <c r="R171" t="s">
        <v>838</v>
      </c>
      <c r="S171" t="s">
        <v>1673</v>
      </c>
      <c r="T171">
        <f>'Assessment Questions'!W171</f>
        <v>0</v>
      </c>
      <c r="U171">
        <f>'Assessment Questions'!X171</f>
        <v>0</v>
      </c>
      <c r="V171" t="str">
        <f>'Assessment Questions'!Y171</f>
        <v>Use the recommended action generated by the model; validate with domain owner during real assessment.</v>
      </c>
      <c r="W171">
        <v>4</v>
      </c>
      <c r="X171">
        <v>5</v>
      </c>
      <c r="Y171">
        <v>5</v>
      </c>
      <c r="Z171">
        <f>'Assessment Questions'!AC171</f>
        <v>0</v>
      </c>
      <c r="AB171">
        <f t="shared" si="69"/>
        <v>0</v>
      </c>
      <c r="AC171">
        <f t="shared" si="70"/>
        <v>0</v>
      </c>
      <c r="AD171">
        <f t="shared" si="59"/>
        <v>0</v>
      </c>
      <c r="AE171">
        <f t="shared" si="71"/>
        <v>0</v>
      </c>
      <c r="AF171">
        <f t="shared" si="60"/>
        <v>5</v>
      </c>
      <c r="AG171">
        <f t="shared" si="72"/>
        <v>0</v>
      </c>
      <c r="AH171">
        <f>'Assessment Questions'!AK171</f>
        <v>0</v>
      </c>
      <c r="AI171">
        <f>'Assessment Questions'!AL171</f>
        <v>0</v>
      </c>
      <c r="AJ171">
        <f>IF(OR($H171="",$H171="N/A"),"",IF($AH171="",VLOOKUP('Company Profile'!$B$40,_CONFIG_Model_Settings!$A$5:$B$8,2,FALSE),IFERROR(VLOOKUP($AH171,_CONFIG_Model_Settings!$A$5:$B$8,2,FALSE),0.9)))</f>
        <v>0.9</v>
      </c>
      <c r="AK171">
        <f>IF(OR($H171="",$H171="N/A"),"",IF($AI171="",VLOOKUP('Company Profile'!$B$41,_CONFIG_Model_Settings!$A$5:$B$8,2,FALSE),IFERROR(VLOOKUP($AI171,_CONFIG_Model_Settings!$A$5:$B$8,2,FALSE),0.9)))</f>
        <v>0.9</v>
      </c>
      <c r="AL171">
        <f t="shared" si="61"/>
        <v>0</v>
      </c>
      <c r="AM171">
        <f t="shared" si="62"/>
        <v>0</v>
      </c>
      <c r="AN171">
        <f>IFERROR(MIN(5,MAX(0,(SUMIFS(_REF_Model_Content!$D$1:$D$174,_REF_Model_Content!$A$1:$A$174,PV_Canonical_Industry,_REF_Model_Content!$B$1:$B$174,"Physical Safety"))+IFERROR(VLOOKUP('Company Profile'!$B$35,_CONFIG_Model_Settings!$A$11:$B$13,2,0),0))),"")</f>
        <v>0</v>
      </c>
      <c r="AO171">
        <f t="shared" si="63"/>
        <v>0</v>
      </c>
      <c r="AP171">
        <f>IFERROR(SUMIFS(_REF_Model_Content!$E$1:$E$174,_REF_Model_Content!$A$1:$A$174,PV_Canonical_Industry,_REF_Model_Content!$B$1:$B$174,"Physical Safety"),1)</f>
        <v>0</v>
      </c>
      <c r="AQ171">
        <f t="shared" si="64"/>
        <v>0</v>
      </c>
      <c r="AR171" t="str">
        <f t="shared" si="65"/>
        <v>Within target</v>
      </c>
      <c r="AS171">
        <f t="shared" si="66"/>
        <v>0</v>
      </c>
      <c r="AT171">
        <f t="shared" si="67"/>
        <v>0.9</v>
      </c>
      <c r="AU171">
        <f>'Assessment Questions'!AX171</f>
        <v>0</v>
      </c>
      <c r="AV171">
        <f t="shared" si="68"/>
        <v>0.9</v>
      </c>
      <c r="AW171" t="s">
        <v>1666</v>
      </c>
      <c r="AX171" t="s">
        <v>1666</v>
      </c>
      <c r="AY171">
        <v>31</v>
      </c>
      <c r="AZ171">
        <v>171</v>
      </c>
    </row>
    <row r="172" spans="1:52">
      <c r="A172" t="s">
        <v>1823</v>
      </c>
      <c r="B172" t="s">
        <v>1689</v>
      </c>
      <c r="C172" t="s">
        <v>1824</v>
      </c>
      <c r="D172" t="s">
        <v>1670</v>
      </c>
      <c r="E172" t="s">
        <v>1671</v>
      </c>
      <c r="F172" t="s">
        <v>1825</v>
      </c>
      <c r="G172">
        <f>'Assessment Questions'!J172</f>
        <v>5</v>
      </c>
      <c r="H172">
        <f t="shared" si="54"/>
        <v>0</v>
      </c>
      <c r="I172">
        <f t="shared" si="55"/>
        <v>0</v>
      </c>
      <c r="J172">
        <f t="shared" si="56"/>
        <v>5</v>
      </c>
      <c r="K172">
        <f t="shared" si="57"/>
        <v>5</v>
      </c>
      <c r="L172" t="str">
        <f t="shared" si="58"/>
        <v>Critical</v>
      </c>
      <c r="M172" t="s">
        <v>833</v>
      </c>
      <c r="N172" t="s">
        <v>834</v>
      </c>
      <c r="O172" t="s">
        <v>835</v>
      </c>
      <c r="P172" t="s">
        <v>836</v>
      </c>
      <c r="Q172" t="s">
        <v>837</v>
      </c>
      <c r="R172" t="s">
        <v>838</v>
      </c>
      <c r="S172" t="s">
        <v>1673</v>
      </c>
      <c r="T172">
        <f>'Assessment Questions'!W172</f>
        <v>0</v>
      </c>
      <c r="U172">
        <f>'Assessment Questions'!X172</f>
        <v>0</v>
      </c>
      <c r="V172" t="str">
        <f>'Assessment Questions'!Y172</f>
        <v>Use the recommended action generated by the model; validate with domain owner during real assessment.</v>
      </c>
      <c r="W172">
        <v>4</v>
      </c>
      <c r="X172">
        <v>5</v>
      </c>
      <c r="Y172">
        <v>5</v>
      </c>
      <c r="Z172">
        <f>'Assessment Questions'!AC172</f>
        <v>0</v>
      </c>
      <c r="AB172">
        <f t="shared" si="69"/>
        <v>0</v>
      </c>
      <c r="AC172">
        <f t="shared" si="70"/>
        <v>0</v>
      </c>
      <c r="AD172">
        <f t="shared" si="59"/>
        <v>0</v>
      </c>
      <c r="AE172">
        <f t="shared" si="71"/>
        <v>0</v>
      </c>
      <c r="AF172">
        <f t="shared" si="60"/>
        <v>5</v>
      </c>
      <c r="AG172">
        <f t="shared" si="72"/>
        <v>0</v>
      </c>
      <c r="AH172">
        <f>'Assessment Questions'!AK172</f>
        <v>0</v>
      </c>
      <c r="AI172">
        <f>'Assessment Questions'!AL172</f>
        <v>0</v>
      </c>
      <c r="AJ172">
        <f>IF(OR($H172="",$H172="N/A"),"",IF($AH172="",VLOOKUP('Company Profile'!$B$40,_CONFIG_Model_Settings!$A$5:$B$8,2,FALSE),IFERROR(VLOOKUP($AH172,_CONFIG_Model_Settings!$A$5:$B$8,2,FALSE),0.9)))</f>
        <v>0.9</v>
      </c>
      <c r="AK172">
        <f>IF(OR($H172="",$H172="N/A"),"",IF($AI172="",VLOOKUP('Company Profile'!$B$41,_CONFIG_Model_Settings!$A$5:$B$8,2,FALSE),IFERROR(VLOOKUP($AI172,_CONFIG_Model_Settings!$A$5:$B$8,2,FALSE),0.9)))</f>
        <v>0.9</v>
      </c>
      <c r="AL172">
        <f t="shared" si="61"/>
        <v>0</v>
      </c>
      <c r="AM172">
        <f t="shared" si="62"/>
        <v>0</v>
      </c>
      <c r="AN172">
        <f>IFERROR(MIN(5,MAX(0,(SUMIFS(_REF_Model_Content!$D$1:$D$174,_REF_Model_Content!$A$1:$A$174,PV_Canonical_Industry,_REF_Model_Content!$B$1:$B$174,"Physical Safety"))+IFERROR(VLOOKUP('Company Profile'!$B$35,_CONFIG_Model_Settings!$A$11:$B$13,2,0),0))),"")</f>
        <v>0</v>
      </c>
      <c r="AO172">
        <f t="shared" si="63"/>
        <v>0</v>
      </c>
      <c r="AP172">
        <f>IFERROR(SUMIFS(_REF_Model_Content!$E$1:$E$174,_REF_Model_Content!$A$1:$A$174,PV_Canonical_Industry,_REF_Model_Content!$B$1:$B$174,"Physical Safety"),1)</f>
        <v>0</v>
      </c>
      <c r="AQ172">
        <f t="shared" si="64"/>
        <v>0</v>
      </c>
      <c r="AR172" t="str">
        <f t="shared" si="65"/>
        <v>Within target</v>
      </c>
      <c r="AS172">
        <f t="shared" si="66"/>
        <v>0</v>
      </c>
      <c r="AT172">
        <f t="shared" si="67"/>
        <v>0.9</v>
      </c>
      <c r="AU172">
        <f>'Assessment Questions'!AX172</f>
        <v>0</v>
      </c>
      <c r="AV172">
        <f t="shared" si="68"/>
        <v>0.9</v>
      </c>
      <c r="AW172" t="s">
        <v>1666</v>
      </c>
      <c r="AX172" t="s">
        <v>1666</v>
      </c>
      <c r="AY172">
        <v>32</v>
      </c>
      <c r="AZ172">
        <v>172</v>
      </c>
    </row>
    <row r="173" spans="1:52">
      <c r="A173" t="s">
        <v>1826</v>
      </c>
      <c r="B173" t="s">
        <v>1693</v>
      </c>
      <c r="C173" t="s">
        <v>1827</v>
      </c>
      <c r="D173" t="s">
        <v>1828</v>
      </c>
      <c r="E173" t="s">
        <v>1829</v>
      </c>
      <c r="F173" t="s">
        <v>1672</v>
      </c>
      <c r="G173">
        <f>'Assessment Questions'!J173</f>
        <v>4</v>
      </c>
      <c r="H173">
        <f t="shared" si="54"/>
        <v>0</v>
      </c>
      <c r="I173">
        <f t="shared" si="55"/>
        <v>0</v>
      </c>
      <c r="J173">
        <f t="shared" si="56"/>
        <v>4</v>
      </c>
      <c r="K173">
        <f t="shared" si="57"/>
        <v>4</v>
      </c>
      <c r="L173" t="str">
        <f t="shared" si="58"/>
        <v>Critical</v>
      </c>
      <c r="M173" t="s">
        <v>1830</v>
      </c>
      <c r="N173" t="s">
        <v>1831</v>
      </c>
      <c r="O173" t="s">
        <v>1832</v>
      </c>
      <c r="P173" t="s">
        <v>1833</v>
      </c>
      <c r="Q173" t="s">
        <v>1834</v>
      </c>
      <c r="R173" t="s">
        <v>1835</v>
      </c>
      <c r="S173" t="s">
        <v>1836</v>
      </c>
      <c r="T173">
        <f>'Assessment Questions'!W173</f>
        <v>0</v>
      </c>
      <c r="U173">
        <f>'Assessment Questions'!X173</f>
        <v>0</v>
      </c>
      <c r="V173" t="str">
        <f>'Assessment Questions'!Y173</f>
        <v>Use the recommended action generated by the model; validate with domain owner during real assessment.</v>
      </c>
      <c r="W173">
        <v>4</v>
      </c>
      <c r="X173">
        <v>4</v>
      </c>
      <c r="Y173">
        <v>5</v>
      </c>
      <c r="Z173">
        <f>'Assessment Questions'!AC173</f>
        <v>0</v>
      </c>
      <c r="AB173">
        <f t="shared" si="69"/>
        <v>0</v>
      </c>
      <c r="AC173">
        <f t="shared" si="70"/>
        <v>0</v>
      </c>
      <c r="AD173">
        <f t="shared" si="59"/>
        <v>0</v>
      </c>
      <c r="AE173">
        <f t="shared" si="71"/>
        <v>0</v>
      </c>
      <c r="AF173">
        <f t="shared" si="60"/>
        <v>5</v>
      </c>
      <c r="AG173">
        <f t="shared" si="72"/>
        <v>0</v>
      </c>
      <c r="AH173">
        <f>'Assessment Questions'!AK173</f>
        <v>0</v>
      </c>
      <c r="AI173">
        <f>'Assessment Questions'!AL173</f>
        <v>0</v>
      </c>
      <c r="AJ173">
        <f>IF(OR($H173="",$H173="N/A"),"",IF($AH173="",VLOOKUP('Company Profile'!$B$40,_CONFIG_Model_Settings!$A$5:$B$8,2,FALSE),IFERROR(VLOOKUP($AH173,_CONFIG_Model_Settings!$A$5:$B$8,2,FALSE),0.9)))</f>
        <v>0.9</v>
      </c>
      <c r="AK173">
        <f>IF(OR($H173="",$H173="N/A"),"",IF($AI173="",VLOOKUP('Company Profile'!$B$41,_CONFIG_Model_Settings!$A$5:$B$8,2,FALSE),IFERROR(VLOOKUP($AI173,_CONFIG_Model_Settings!$A$5:$B$8,2,FALSE),0.9)))</f>
        <v>0.9</v>
      </c>
      <c r="AL173">
        <f t="shared" si="61"/>
        <v>0</v>
      </c>
      <c r="AM173">
        <f t="shared" si="62"/>
        <v>0</v>
      </c>
      <c r="AN173">
        <f>IFERROR(MIN(5,MAX(0,(SUMIFS(_REF_Model_Content!$D$1:$D$174,_REF_Model_Content!$A$1:$A$174,PV_Canonical_Industry,_REF_Model_Content!$B$1:$B$174,"Physical Safety"))+IFERROR(VLOOKUP('Company Profile'!$B$35,_CONFIG_Model_Settings!$A$11:$B$13,2,0),0))),"")</f>
        <v>0</v>
      </c>
      <c r="AO173">
        <f t="shared" si="63"/>
        <v>0</v>
      </c>
      <c r="AP173">
        <f>IFERROR(SUMIFS(_REF_Model_Content!$E$1:$E$174,_REF_Model_Content!$A$1:$A$174,PV_Canonical_Industry,_REF_Model_Content!$B$1:$B$174,"Physical Safety"),1)</f>
        <v>0</v>
      </c>
      <c r="AQ173">
        <f t="shared" si="64"/>
        <v>0</v>
      </c>
      <c r="AR173" t="str">
        <f t="shared" si="65"/>
        <v>Within target</v>
      </c>
      <c r="AS173">
        <f t="shared" si="66"/>
        <v>0</v>
      </c>
      <c r="AT173">
        <f t="shared" si="67"/>
        <v>0.9</v>
      </c>
      <c r="AU173">
        <f>'Assessment Questions'!AX173</f>
        <v>0</v>
      </c>
      <c r="AV173">
        <f t="shared" si="68"/>
        <v>0.9</v>
      </c>
      <c r="AW173" t="s">
        <v>1666</v>
      </c>
      <c r="AX173" t="s">
        <v>1666</v>
      </c>
      <c r="AY173">
        <v>33</v>
      </c>
      <c r="AZ173">
        <v>173</v>
      </c>
    </row>
    <row r="174" spans="1:52">
      <c r="A174" t="s">
        <v>1837</v>
      </c>
      <c r="B174" t="s">
        <v>1693</v>
      </c>
      <c r="C174" t="s">
        <v>1838</v>
      </c>
      <c r="D174" t="s">
        <v>1839</v>
      </c>
      <c r="E174" t="s">
        <v>1840</v>
      </c>
      <c r="F174" t="s">
        <v>1672</v>
      </c>
      <c r="G174">
        <f>'Assessment Questions'!J174</f>
        <v>3</v>
      </c>
      <c r="H174">
        <f t="shared" si="54"/>
        <v>0</v>
      </c>
      <c r="I174">
        <f t="shared" si="55"/>
        <v>0</v>
      </c>
      <c r="J174">
        <f t="shared" si="56"/>
        <v>3</v>
      </c>
      <c r="K174">
        <f t="shared" si="57"/>
        <v>3</v>
      </c>
      <c r="L174" t="str">
        <f t="shared" si="58"/>
        <v>Critical</v>
      </c>
      <c r="M174" t="s">
        <v>1841</v>
      </c>
      <c r="N174" t="s">
        <v>1842</v>
      </c>
      <c r="O174" t="s">
        <v>1843</v>
      </c>
      <c r="P174" t="s">
        <v>1844</v>
      </c>
      <c r="Q174" t="s">
        <v>1845</v>
      </c>
      <c r="R174" t="s">
        <v>1846</v>
      </c>
      <c r="S174" t="s">
        <v>1847</v>
      </c>
      <c r="T174">
        <f>'Assessment Questions'!W174</f>
        <v>0</v>
      </c>
      <c r="U174">
        <f>'Assessment Questions'!X174</f>
        <v>0</v>
      </c>
      <c r="V174" t="str">
        <f>'Assessment Questions'!Y174</f>
        <v>Use the recommended action generated by the model; validate with domain owner during real assessment.</v>
      </c>
      <c r="W174">
        <v>3</v>
      </c>
      <c r="X174">
        <v>4</v>
      </c>
      <c r="Y174">
        <v>4</v>
      </c>
      <c r="Z174">
        <f>'Assessment Questions'!AC174</f>
        <v>0</v>
      </c>
      <c r="AB174">
        <f t="shared" si="69"/>
        <v>0</v>
      </c>
      <c r="AC174">
        <f t="shared" si="70"/>
        <v>0</v>
      </c>
      <c r="AD174">
        <f t="shared" si="59"/>
        <v>0</v>
      </c>
      <c r="AE174">
        <f t="shared" si="71"/>
        <v>0</v>
      </c>
      <c r="AF174">
        <f t="shared" si="60"/>
        <v>5</v>
      </c>
      <c r="AG174">
        <f t="shared" si="72"/>
        <v>0</v>
      </c>
      <c r="AH174">
        <f>'Assessment Questions'!AK174</f>
        <v>0</v>
      </c>
      <c r="AI174">
        <f>'Assessment Questions'!AL174</f>
        <v>0</v>
      </c>
      <c r="AJ174">
        <f>IF(OR($H174="",$H174="N/A"),"",IF($AH174="",VLOOKUP('Company Profile'!$B$40,_CONFIG_Model_Settings!$A$5:$B$8,2,FALSE),IFERROR(VLOOKUP($AH174,_CONFIG_Model_Settings!$A$5:$B$8,2,FALSE),0.9)))</f>
        <v>0.9</v>
      </c>
      <c r="AK174">
        <f>IF(OR($H174="",$H174="N/A"),"",IF($AI174="",VLOOKUP('Company Profile'!$B$41,_CONFIG_Model_Settings!$A$5:$B$8,2,FALSE),IFERROR(VLOOKUP($AI174,_CONFIG_Model_Settings!$A$5:$B$8,2,FALSE),0.9)))</f>
        <v>0.9</v>
      </c>
      <c r="AL174">
        <f t="shared" si="61"/>
        <v>0</v>
      </c>
      <c r="AM174">
        <f t="shared" si="62"/>
        <v>0</v>
      </c>
      <c r="AN174">
        <f>IFERROR(MIN(5,MAX(0,(SUMIFS(_REF_Model_Content!$D$1:$D$174,_REF_Model_Content!$A$1:$A$174,PV_Canonical_Industry,_REF_Model_Content!$B$1:$B$174,"Physical Safety"))+IFERROR(VLOOKUP('Company Profile'!$B$35,_CONFIG_Model_Settings!$A$11:$B$13,2,0),0))),"")</f>
        <v>0</v>
      </c>
      <c r="AO174">
        <f t="shared" si="63"/>
        <v>0</v>
      </c>
      <c r="AP174">
        <f>IFERROR(SUMIFS(_REF_Model_Content!$E$1:$E$174,_REF_Model_Content!$A$1:$A$174,PV_Canonical_Industry,_REF_Model_Content!$B$1:$B$174,"Physical Safety"),1)</f>
        <v>0</v>
      </c>
      <c r="AQ174">
        <f t="shared" si="64"/>
        <v>0</v>
      </c>
      <c r="AR174" t="str">
        <f t="shared" si="65"/>
        <v>Within target</v>
      </c>
      <c r="AS174">
        <f t="shared" si="66"/>
        <v>0</v>
      </c>
      <c r="AT174">
        <f t="shared" si="67"/>
        <v>0.9</v>
      </c>
      <c r="AU174">
        <f>'Assessment Questions'!AX174</f>
        <v>0</v>
      </c>
      <c r="AV174">
        <f t="shared" si="68"/>
        <v>0.9</v>
      </c>
      <c r="AW174" t="s">
        <v>1666</v>
      </c>
      <c r="AX174" t="s">
        <v>1666</v>
      </c>
      <c r="AY174">
        <v>34</v>
      </c>
      <c r="AZ174">
        <v>174</v>
      </c>
    </row>
    <row r="175" spans="1:52">
      <c r="A175" t="s">
        <v>1848</v>
      </c>
      <c r="B175" t="s">
        <v>1693</v>
      </c>
      <c r="C175" t="s">
        <v>1849</v>
      </c>
      <c r="D175" t="s">
        <v>1850</v>
      </c>
      <c r="E175" t="s">
        <v>1851</v>
      </c>
      <c r="F175" t="s">
        <v>1672</v>
      </c>
      <c r="G175">
        <f>'Assessment Questions'!J175</f>
        <v>3</v>
      </c>
      <c r="H175">
        <f t="shared" si="54"/>
        <v>0</v>
      </c>
      <c r="I175">
        <f t="shared" si="55"/>
        <v>0</v>
      </c>
      <c r="J175">
        <f t="shared" si="56"/>
        <v>3</v>
      </c>
      <c r="K175">
        <f t="shared" si="57"/>
        <v>3</v>
      </c>
      <c r="L175" t="str">
        <f t="shared" si="58"/>
        <v>Critical</v>
      </c>
      <c r="M175" t="s">
        <v>1852</v>
      </c>
      <c r="N175" t="s">
        <v>1853</v>
      </c>
      <c r="O175" t="s">
        <v>1854</v>
      </c>
      <c r="P175" t="s">
        <v>1855</v>
      </c>
      <c r="Q175" t="s">
        <v>1856</v>
      </c>
      <c r="R175" t="s">
        <v>1857</v>
      </c>
      <c r="S175" t="s">
        <v>1858</v>
      </c>
      <c r="T175">
        <f>'Assessment Questions'!W175</f>
        <v>0</v>
      </c>
      <c r="U175">
        <f>'Assessment Questions'!X175</f>
        <v>0</v>
      </c>
      <c r="V175" t="str">
        <f>'Assessment Questions'!Y175</f>
        <v>Use the recommended action generated by the model; validate with domain owner during real assessment.</v>
      </c>
      <c r="W175">
        <v>3</v>
      </c>
      <c r="X175">
        <v>3</v>
      </c>
      <c r="Y175">
        <v>4</v>
      </c>
      <c r="Z175">
        <f>'Assessment Questions'!AC175</f>
        <v>0</v>
      </c>
      <c r="AB175">
        <f t="shared" si="69"/>
        <v>0</v>
      </c>
      <c r="AC175">
        <f t="shared" si="70"/>
        <v>0</v>
      </c>
      <c r="AD175">
        <f t="shared" si="59"/>
        <v>0</v>
      </c>
      <c r="AE175">
        <f t="shared" si="71"/>
        <v>0</v>
      </c>
      <c r="AF175">
        <f t="shared" si="60"/>
        <v>5</v>
      </c>
      <c r="AG175">
        <f t="shared" si="72"/>
        <v>0</v>
      </c>
      <c r="AH175">
        <f>'Assessment Questions'!AK175</f>
        <v>0</v>
      </c>
      <c r="AI175">
        <f>'Assessment Questions'!AL175</f>
        <v>0</v>
      </c>
      <c r="AJ175">
        <f>IF(OR($H175="",$H175="N/A"),"",IF($AH175="",VLOOKUP('Company Profile'!$B$40,_CONFIG_Model_Settings!$A$5:$B$8,2,FALSE),IFERROR(VLOOKUP($AH175,_CONFIG_Model_Settings!$A$5:$B$8,2,FALSE),0.9)))</f>
        <v>0.9</v>
      </c>
      <c r="AK175">
        <f>IF(OR($H175="",$H175="N/A"),"",IF($AI175="",VLOOKUP('Company Profile'!$B$41,_CONFIG_Model_Settings!$A$5:$B$8,2,FALSE),IFERROR(VLOOKUP($AI175,_CONFIG_Model_Settings!$A$5:$B$8,2,FALSE),0.9)))</f>
        <v>0.9</v>
      </c>
      <c r="AL175">
        <f t="shared" si="61"/>
        <v>0</v>
      </c>
      <c r="AM175">
        <f t="shared" si="62"/>
        <v>0</v>
      </c>
      <c r="AN175">
        <f>IFERROR(MIN(5,MAX(0,(SUMIFS(_REF_Model_Content!$D$1:$D$174,_REF_Model_Content!$A$1:$A$174,PV_Canonical_Industry,_REF_Model_Content!$B$1:$B$174,"Physical Safety"))+IFERROR(VLOOKUP('Company Profile'!$B$35,_CONFIG_Model_Settings!$A$11:$B$13,2,0),0))),"")</f>
        <v>0</v>
      </c>
      <c r="AO175">
        <f t="shared" si="63"/>
        <v>0</v>
      </c>
      <c r="AP175">
        <f>IFERROR(SUMIFS(_REF_Model_Content!$E$1:$E$174,_REF_Model_Content!$A$1:$A$174,PV_Canonical_Industry,_REF_Model_Content!$B$1:$B$174,"Physical Safety"),1)</f>
        <v>0</v>
      </c>
      <c r="AQ175">
        <f t="shared" si="64"/>
        <v>0</v>
      </c>
      <c r="AR175" t="str">
        <f t="shared" si="65"/>
        <v>Within target</v>
      </c>
      <c r="AS175">
        <f t="shared" si="66"/>
        <v>0</v>
      </c>
      <c r="AT175">
        <f t="shared" si="67"/>
        <v>0.9</v>
      </c>
      <c r="AU175">
        <f>'Assessment Questions'!AX175</f>
        <v>0</v>
      </c>
      <c r="AV175">
        <f t="shared" si="68"/>
        <v>0.9</v>
      </c>
      <c r="AW175" t="s">
        <v>1666</v>
      </c>
      <c r="AX175" t="s">
        <v>1666</v>
      </c>
      <c r="AY175">
        <v>35</v>
      </c>
      <c r="AZ175">
        <v>175</v>
      </c>
    </row>
    <row r="176" spans="1:52">
      <c r="A176" t="s">
        <v>1860</v>
      </c>
      <c r="B176" t="s">
        <v>1861</v>
      </c>
      <c r="C176" t="s">
        <v>1862</v>
      </c>
      <c r="D176" t="s">
        <v>1863</v>
      </c>
      <c r="E176" t="s">
        <v>1864</v>
      </c>
      <c r="F176" t="s">
        <v>1865</v>
      </c>
      <c r="G176">
        <f>'Assessment Questions'!J176</f>
        <v>5</v>
      </c>
      <c r="H176">
        <f t="shared" si="54"/>
        <v>0</v>
      </c>
      <c r="I176">
        <f t="shared" si="55"/>
        <v>0</v>
      </c>
      <c r="J176">
        <f t="shared" si="56"/>
        <v>5</v>
      </c>
      <c r="K176">
        <f t="shared" si="57"/>
        <v>5</v>
      </c>
      <c r="L176" t="str">
        <f t="shared" si="58"/>
        <v>Critical</v>
      </c>
      <c r="M176" t="s">
        <v>833</v>
      </c>
      <c r="N176" t="s">
        <v>834</v>
      </c>
      <c r="O176" t="s">
        <v>835</v>
      </c>
      <c r="P176" t="s">
        <v>836</v>
      </c>
      <c r="Q176" t="s">
        <v>837</v>
      </c>
      <c r="R176" t="s">
        <v>838</v>
      </c>
      <c r="S176" t="s">
        <v>1866</v>
      </c>
      <c r="T176">
        <f>'Assessment Questions'!W176</f>
        <v>0</v>
      </c>
      <c r="U176">
        <f>'Assessment Questions'!X176</f>
        <v>0</v>
      </c>
      <c r="V176" t="str">
        <f>'Assessment Questions'!Y176</f>
        <v>Use the recommended action generated by the model; validate with domain owner during real assessment.</v>
      </c>
      <c r="W176">
        <v>4</v>
      </c>
      <c r="X176">
        <v>5</v>
      </c>
      <c r="Y176">
        <v>5</v>
      </c>
      <c r="Z176">
        <f>'Assessment Questions'!AC176</f>
        <v>0</v>
      </c>
      <c r="AA176" t="s">
        <v>1861</v>
      </c>
      <c r="AB176">
        <f t="shared" ref="AB176:AB199" si="73">COUNTIF($B$176:$B$199,$AA176)</f>
        <v>6</v>
      </c>
      <c r="AC176">
        <f t="shared" ref="AC176:AC199" si="74">IFERROR(SUMPRODUCT(($B$176:$B$199=$AA176)*($H$176:$H$199&lt;&gt;"")*($H$176:$H$199&lt;&gt;"N/A")*IFERROR(VALUE($H$176:$H$199),0))/SUMPRODUCT(($B$176:$B$199=$AA176)*($H$176:$H$199&lt;&gt;"")*($H$176:$H$199&lt;&gt;"N/A")),0)</f>
        <v>0</v>
      </c>
      <c r="AD176">
        <f t="shared" si="59"/>
        <v>0</v>
      </c>
      <c r="AE176">
        <f t="shared" ref="AE176:AE199" si="75">COUNTIFS($B$176:$B$199,$AA176,$L$176:$L$199,"Critical")+COUNTIFS($B$176:$B$199,$AA176,$L$176:$L$199,"High")</f>
        <v>6</v>
      </c>
      <c r="AF176">
        <f t="shared" si="60"/>
        <v>5</v>
      </c>
      <c r="AG176">
        <f t="shared" ref="AG176:AG199" si="76">SUMPRODUCT(($B$176:$B$199=$AA176)*(ISNUMBER($H$176:$H$199)+($H$176:$H$199="N/A")))</f>
        <v>6</v>
      </c>
      <c r="AH176">
        <f>'Assessment Questions'!AK176</f>
        <v>0</v>
      </c>
      <c r="AI176">
        <f>'Assessment Questions'!AL176</f>
        <v>0</v>
      </c>
      <c r="AJ176">
        <f>IF(OR($H176="",$H176="N/A"),"",IF($AH176="",VLOOKUP('Company Profile'!$B$40,_CONFIG_Model_Settings!$A$5:$B$8,2,FALSE),IFERROR(VLOOKUP($AH176,_CONFIG_Model_Settings!$A$5:$B$8,2,FALSE),0.9)))</f>
        <v>0.9</v>
      </c>
      <c r="AK176">
        <f>IF(OR($H176="",$H176="N/A"),"",IF($AI176="",VLOOKUP('Company Profile'!$B$41,_CONFIG_Model_Settings!$A$5:$B$8,2,FALSE),IFERROR(VLOOKUP($AI176,_CONFIG_Model_Settings!$A$5:$B$8,2,FALSE),0.9)))</f>
        <v>0.9</v>
      </c>
      <c r="AL176">
        <f t="shared" si="61"/>
        <v>0</v>
      </c>
      <c r="AM176">
        <f t="shared" si="62"/>
        <v>0</v>
      </c>
      <c r="AN176">
        <f>IFERROR(MIN(5,MAX(0,(SUMIFS(_REF_Model_Content!$D$1:$D$174,_REF_Model_Content!$A$1:$A$174,PV_Canonical_Industry,_REF_Model_Content!$B$1:$B$174,"Delivery Ops"))+IFERROR(VLOOKUP('Company Profile'!$B$35,_CONFIG_Model_Settings!$A$11:$B$13,2,0),0))),"")</f>
        <v>0</v>
      </c>
      <c r="AO176">
        <f t="shared" si="63"/>
        <v>0</v>
      </c>
      <c r="AP176">
        <f>IFERROR(SUMIFS(_REF_Model_Content!$E$1:$E$174,_REF_Model_Content!$A$1:$A$174,PV_Canonical_Industry,_REF_Model_Content!$B$1:$B$174,"Delivery Ops"),1)</f>
        <v>0</v>
      </c>
      <c r="AQ176">
        <f t="shared" si="64"/>
        <v>0</v>
      </c>
      <c r="AR176" t="str">
        <f t="shared" si="65"/>
        <v>Within target</v>
      </c>
      <c r="AS176">
        <f t="shared" si="66"/>
        <v>0</v>
      </c>
      <c r="AT176">
        <f t="shared" si="67"/>
        <v>0.9</v>
      </c>
      <c r="AU176">
        <f>'Assessment Questions'!AX176</f>
        <v>0</v>
      </c>
      <c r="AV176">
        <f t="shared" si="68"/>
        <v>0.9</v>
      </c>
      <c r="AW176" t="s">
        <v>1859</v>
      </c>
      <c r="AX176" t="s">
        <v>1859</v>
      </c>
      <c r="AY176">
        <v>5</v>
      </c>
      <c r="AZ176">
        <v>176</v>
      </c>
    </row>
    <row r="177" spans="1:52">
      <c r="A177" t="s">
        <v>1867</v>
      </c>
      <c r="B177" t="s">
        <v>1861</v>
      </c>
      <c r="C177" t="s">
        <v>1868</v>
      </c>
      <c r="D177" t="s">
        <v>1863</v>
      </c>
      <c r="E177" t="s">
        <v>1864</v>
      </c>
      <c r="F177" t="s">
        <v>1869</v>
      </c>
      <c r="G177">
        <f>'Assessment Questions'!J177</f>
        <v>5</v>
      </c>
      <c r="H177">
        <f t="shared" si="54"/>
        <v>0</v>
      </c>
      <c r="I177">
        <f t="shared" si="55"/>
        <v>0</v>
      </c>
      <c r="J177">
        <f t="shared" si="56"/>
        <v>5</v>
      </c>
      <c r="K177">
        <f t="shared" si="57"/>
        <v>5</v>
      </c>
      <c r="L177" t="str">
        <f t="shared" si="58"/>
        <v>Critical</v>
      </c>
      <c r="M177" t="s">
        <v>833</v>
      </c>
      <c r="N177" t="s">
        <v>834</v>
      </c>
      <c r="O177" t="s">
        <v>835</v>
      </c>
      <c r="P177" t="s">
        <v>836</v>
      </c>
      <c r="Q177" t="s">
        <v>837</v>
      </c>
      <c r="R177" t="s">
        <v>838</v>
      </c>
      <c r="S177" t="s">
        <v>1866</v>
      </c>
      <c r="T177">
        <f>'Assessment Questions'!W177</f>
        <v>0</v>
      </c>
      <c r="U177">
        <f>'Assessment Questions'!X177</f>
        <v>0</v>
      </c>
      <c r="V177" t="str">
        <f>'Assessment Questions'!Y177</f>
        <v>Use the recommended action generated by the model; validate with domain owner during real assessment.</v>
      </c>
      <c r="W177">
        <v>4</v>
      </c>
      <c r="X177">
        <v>5</v>
      </c>
      <c r="Y177">
        <v>5</v>
      </c>
      <c r="Z177">
        <f>'Assessment Questions'!AC177</f>
        <v>0</v>
      </c>
      <c r="AA177" t="s">
        <v>1870</v>
      </c>
      <c r="AB177">
        <f t="shared" si="73"/>
        <v>6</v>
      </c>
      <c r="AC177">
        <f t="shared" si="74"/>
        <v>0</v>
      </c>
      <c r="AD177">
        <f t="shared" si="59"/>
        <v>0</v>
      </c>
      <c r="AE177">
        <f t="shared" si="75"/>
        <v>6</v>
      </c>
      <c r="AF177">
        <f t="shared" si="60"/>
        <v>5</v>
      </c>
      <c r="AG177">
        <f t="shared" si="76"/>
        <v>6</v>
      </c>
      <c r="AH177">
        <f>'Assessment Questions'!AK177</f>
        <v>0</v>
      </c>
      <c r="AI177">
        <f>'Assessment Questions'!AL177</f>
        <v>0</v>
      </c>
      <c r="AJ177">
        <f>IF(OR($H177="",$H177="N/A"),"",IF($AH177="",VLOOKUP('Company Profile'!$B$40,_CONFIG_Model_Settings!$A$5:$B$8,2,FALSE),IFERROR(VLOOKUP($AH177,_CONFIG_Model_Settings!$A$5:$B$8,2,FALSE),0.9)))</f>
        <v>0.9</v>
      </c>
      <c r="AK177">
        <f>IF(OR($H177="",$H177="N/A"),"",IF($AI177="",VLOOKUP('Company Profile'!$B$41,_CONFIG_Model_Settings!$A$5:$B$8,2,FALSE),IFERROR(VLOOKUP($AI177,_CONFIG_Model_Settings!$A$5:$B$8,2,FALSE),0.9)))</f>
        <v>0.9</v>
      </c>
      <c r="AL177">
        <f t="shared" si="61"/>
        <v>0</v>
      </c>
      <c r="AM177">
        <f t="shared" si="62"/>
        <v>0</v>
      </c>
      <c r="AN177">
        <f>IFERROR(MIN(5,MAX(0,(SUMIFS(_REF_Model_Content!$D$1:$D$174,_REF_Model_Content!$A$1:$A$174,PV_Canonical_Industry,_REF_Model_Content!$B$1:$B$174,"Delivery Ops"))+IFERROR(VLOOKUP('Company Profile'!$B$35,_CONFIG_Model_Settings!$A$11:$B$13,2,0),0))),"")</f>
        <v>0</v>
      </c>
      <c r="AO177">
        <f t="shared" si="63"/>
        <v>0</v>
      </c>
      <c r="AP177">
        <f>IFERROR(SUMIFS(_REF_Model_Content!$E$1:$E$174,_REF_Model_Content!$A$1:$A$174,PV_Canonical_Industry,_REF_Model_Content!$B$1:$B$174,"Delivery Ops"),1)</f>
        <v>0</v>
      </c>
      <c r="AQ177">
        <f t="shared" si="64"/>
        <v>0</v>
      </c>
      <c r="AR177" t="str">
        <f t="shared" si="65"/>
        <v>Within target</v>
      </c>
      <c r="AS177">
        <f t="shared" si="66"/>
        <v>0</v>
      </c>
      <c r="AT177">
        <f t="shared" si="67"/>
        <v>0.9</v>
      </c>
      <c r="AU177">
        <f>'Assessment Questions'!AX177</f>
        <v>0</v>
      </c>
      <c r="AV177">
        <f t="shared" si="68"/>
        <v>0.9</v>
      </c>
      <c r="AW177" t="s">
        <v>1859</v>
      </c>
      <c r="AX177" t="s">
        <v>1859</v>
      </c>
      <c r="AY177">
        <v>6</v>
      </c>
      <c r="AZ177">
        <v>177</v>
      </c>
    </row>
    <row r="178" spans="1:52">
      <c r="A178" t="s">
        <v>1871</v>
      </c>
      <c r="B178" t="s">
        <v>1861</v>
      </c>
      <c r="C178" t="s">
        <v>1872</v>
      </c>
      <c r="D178" t="s">
        <v>1863</v>
      </c>
      <c r="E178" t="s">
        <v>1864</v>
      </c>
      <c r="F178" t="s">
        <v>1873</v>
      </c>
      <c r="G178">
        <f>'Assessment Questions'!J178</f>
        <v>4</v>
      </c>
      <c r="H178">
        <f t="shared" si="54"/>
        <v>0</v>
      </c>
      <c r="I178">
        <f t="shared" si="55"/>
        <v>0</v>
      </c>
      <c r="J178">
        <f t="shared" si="56"/>
        <v>4</v>
      </c>
      <c r="K178">
        <f t="shared" si="57"/>
        <v>4</v>
      </c>
      <c r="L178" t="str">
        <f t="shared" si="58"/>
        <v>Critical</v>
      </c>
      <c r="M178" t="s">
        <v>1874</v>
      </c>
      <c r="N178" t="s">
        <v>1875</v>
      </c>
      <c r="O178" t="s">
        <v>1876</v>
      </c>
      <c r="P178" t="s">
        <v>1877</v>
      </c>
      <c r="Q178" t="s">
        <v>1878</v>
      </c>
      <c r="R178" t="s">
        <v>1879</v>
      </c>
      <c r="S178" t="s">
        <v>1866</v>
      </c>
      <c r="T178">
        <f>'Assessment Questions'!W178</f>
        <v>0</v>
      </c>
      <c r="U178">
        <f>'Assessment Questions'!X178</f>
        <v>0</v>
      </c>
      <c r="V178" t="str">
        <f>'Assessment Questions'!Y178</f>
        <v>Use the recommended action generated by the model; validate with domain owner during real assessment.</v>
      </c>
      <c r="W178">
        <v>4</v>
      </c>
      <c r="X178">
        <v>5</v>
      </c>
      <c r="Y178">
        <v>5</v>
      </c>
      <c r="Z178">
        <f>'Assessment Questions'!AC178</f>
        <v>0</v>
      </c>
      <c r="AA178" t="s">
        <v>1880</v>
      </c>
      <c r="AB178">
        <f t="shared" si="73"/>
        <v>6</v>
      </c>
      <c r="AC178">
        <f t="shared" si="74"/>
        <v>0</v>
      </c>
      <c r="AD178">
        <f t="shared" si="59"/>
        <v>0</v>
      </c>
      <c r="AE178">
        <f t="shared" si="75"/>
        <v>6</v>
      </c>
      <c r="AF178">
        <f t="shared" si="60"/>
        <v>5</v>
      </c>
      <c r="AG178">
        <f t="shared" si="76"/>
        <v>6</v>
      </c>
      <c r="AH178">
        <f>'Assessment Questions'!AK178</f>
        <v>0</v>
      </c>
      <c r="AI178">
        <f>'Assessment Questions'!AL178</f>
        <v>0</v>
      </c>
      <c r="AJ178">
        <f>IF(OR($H178="",$H178="N/A"),"",IF($AH178="",VLOOKUP('Company Profile'!$B$40,_CONFIG_Model_Settings!$A$5:$B$8,2,FALSE),IFERROR(VLOOKUP($AH178,_CONFIG_Model_Settings!$A$5:$B$8,2,FALSE),0.9)))</f>
        <v>0.9</v>
      </c>
      <c r="AK178">
        <f>IF(OR($H178="",$H178="N/A"),"",IF($AI178="",VLOOKUP('Company Profile'!$B$41,_CONFIG_Model_Settings!$A$5:$B$8,2,FALSE),IFERROR(VLOOKUP($AI178,_CONFIG_Model_Settings!$A$5:$B$8,2,FALSE),0.9)))</f>
        <v>0.9</v>
      </c>
      <c r="AL178">
        <f t="shared" si="61"/>
        <v>0</v>
      </c>
      <c r="AM178">
        <f t="shared" si="62"/>
        <v>0</v>
      </c>
      <c r="AN178">
        <f>IFERROR(MIN(5,MAX(0,(SUMIFS(_REF_Model_Content!$D$1:$D$174,_REF_Model_Content!$A$1:$A$174,PV_Canonical_Industry,_REF_Model_Content!$B$1:$B$174,"Delivery Ops"))+IFERROR(VLOOKUP('Company Profile'!$B$35,_CONFIG_Model_Settings!$A$11:$B$13,2,0),0))),"")</f>
        <v>0</v>
      </c>
      <c r="AO178">
        <f t="shared" si="63"/>
        <v>0</v>
      </c>
      <c r="AP178">
        <f>IFERROR(SUMIFS(_REF_Model_Content!$E$1:$E$174,_REF_Model_Content!$A$1:$A$174,PV_Canonical_Industry,_REF_Model_Content!$B$1:$B$174,"Delivery Ops"),1)</f>
        <v>0</v>
      </c>
      <c r="AQ178">
        <f t="shared" si="64"/>
        <v>0</v>
      </c>
      <c r="AR178" t="str">
        <f t="shared" si="65"/>
        <v>Within target</v>
      </c>
      <c r="AS178">
        <f t="shared" si="66"/>
        <v>0</v>
      </c>
      <c r="AT178">
        <f t="shared" si="67"/>
        <v>0.9</v>
      </c>
      <c r="AU178">
        <f>'Assessment Questions'!AX178</f>
        <v>0</v>
      </c>
      <c r="AV178">
        <f t="shared" si="68"/>
        <v>0.9</v>
      </c>
      <c r="AW178" t="s">
        <v>1859</v>
      </c>
      <c r="AX178" t="s">
        <v>1859</v>
      </c>
      <c r="AY178">
        <v>7</v>
      </c>
      <c r="AZ178">
        <v>178</v>
      </c>
    </row>
    <row r="179" spans="1:52">
      <c r="A179" t="s">
        <v>1881</v>
      </c>
      <c r="B179" t="s">
        <v>1861</v>
      </c>
      <c r="C179" t="s">
        <v>1882</v>
      </c>
      <c r="D179" t="s">
        <v>1863</v>
      </c>
      <c r="E179" t="s">
        <v>1864</v>
      </c>
      <c r="F179" t="s">
        <v>1883</v>
      </c>
      <c r="G179">
        <f>'Assessment Questions'!J179</f>
        <v>5</v>
      </c>
      <c r="H179">
        <f t="shared" si="54"/>
        <v>0</v>
      </c>
      <c r="I179">
        <f t="shared" si="55"/>
        <v>0</v>
      </c>
      <c r="J179">
        <f t="shared" si="56"/>
        <v>5</v>
      </c>
      <c r="K179">
        <f t="shared" si="57"/>
        <v>5</v>
      </c>
      <c r="L179" t="str">
        <f t="shared" si="58"/>
        <v>Critical</v>
      </c>
      <c r="M179" t="s">
        <v>833</v>
      </c>
      <c r="N179" t="s">
        <v>834</v>
      </c>
      <c r="O179" t="s">
        <v>835</v>
      </c>
      <c r="P179" t="s">
        <v>836</v>
      </c>
      <c r="Q179" t="s">
        <v>837</v>
      </c>
      <c r="R179" t="s">
        <v>838</v>
      </c>
      <c r="S179" t="s">
        <v>1866</v>
      </c>
      <c r="T179">
        <f>'Assessment Questions'!W179</f>
        <v>0</v>
      </c>
      <c r="U179">
        <f>'Assessment Questions'!X179</f>
        <v>0</v>
      </c>
      <c r="V179" t="str">
        <f>'Assessment Questions'!Y179</f>
        <v>Use the recommended action generated by the model; validate with domain owner during real assessment.</v>
      </c>
      <c r="W179">
        <v>4</v>
      </c>
      <c r="X179">
        <v>5</v>
      </c>
      <c r="Y179">
        <v>5</v>
      </c>
      <c r="Z179">
        <f>'Assessment Questions'!AC179</f>
        <v>0</v>
      </c>
      <c r="AA179" t="s">
        <v>1884</v>
      </c>
      <c r="AB179">
        <f t="shared" si="73"/>
        <v>6</v>
      </c>
      <c r="AC179">
        <f t="shared" si="74"/>
        <v>0</v>
      </c>
      <c r="AD179">
        <f t="shared" si="59"/>
        <v>0</v>
      </c>
      <c r="AE179">
        <f t="shared" si="75"/>
        <v>6</v>
      </c>
      <c r="AF179">
        <f t="shared" si="60"/>
        <v>5</v>
      </c>
      <c r="AG179">
        <f t="shared" si="76"/>
        <v>6</v>
      </c>
      <c r="AH179">
        <f>'Assessment Questions'!AK179</f>
        <v>0</v>
      </c>
      <c r="AI179">
        <f>'Assessment Questions'!AL179</f>
        <v>0</v>
      </c>
      <c r="AJ179">
        <f>IF(OR($H179="",$H179="N/A"),"",IF($AH179="",VLOOKUP('Company Profile'!$B$40,_CONFIG_Model_Settings!$A$5:$B$8,2,FALSE),IFERROR(VLOOKUP($AH179,_CONFIG_Model_Settings!$A$5:$B$8,2,FALSE),0.9)))</f>
        <v>0.9</v>
      </c>
      <c r="AK179">
        <f>IF(OR($H179="",$H179="N/A"),"",IF($AI179="",VLOOKUP('Company Profile'!$B$41,_CONFIG_Model_Settings!$A$5:$B$8,2,FALSE),IFERROR(VLOOKUP($AI179,_CONFIG_Model_Settings!$A$5:$B$8,2,FALSE),0.9)))</f>
        <v>0.9</v>
      </c>
      <c r="AL179">
        <f t="shared" si="61"/>
        <v>0</v>
      </c>
      <c r="AM179">
        <f t="shared" si="62"/>
        <v>0</v>
      </c>
      <c r="AN179">
        <f>IFERROR(MIN(5,MAX(0,(SUMIFS(_REF_Model_Content!$D$1:$D$174,_REF_Model_Content!$A$1:$A$174,PV_Canonical_Industry,_REF_Model_Content!$B$1:$B$174,"Delivery Ops"))+IFERROR(VLOOKUP('Company Profile'!$B$35,_CONFIG_Model_Settings!$A$11:$B$13,2,0),0))),"")</f>
        <v>0</v>
      </c>
      <c r="AO179">
        <f t="shared" si="63"/>
        <v>0</v>
      </c>
      <c r="AP179">
        <f>IFERROR(SUMIFS(_REF_Model_Content!$E$1:$E$174,_REF_Model_Content!$A$1:$A$174,PV_Canonical_Industry,_REF_Model_Content!$B$1:$B$174,"Delivery Ops"),1)</f>
        <v>0</v>
      </c>
      <c r="AQ179">
        <f t="shared" si="64"/>
        <v>0</v>
      </c>
      <c r="AR179" t="str">
        <f t="shared" si="65"/>
        <v>Within target</v>
      </c>
      <c r="AS179">
        <f t="shared" si="66"/>
        <v>0</v>
      </c>
      <c r="AT179">
        <f t="shared" si="67"/>
        <v>0.9</v>
      </c>
      <c r="AU179">
        <f>'Assessment Questions'!AX179</f>
        <v>0</v>
      </c>
      <c r="AV179">
        <f t="shared" si="68"/>
        <v>0.9</v>
      </c>
      <c r="AW179" t="s">
        <v>1859</v>
      </c>
      <c r="AX179" t="s">
        <v>1859</v>
      </c>
      <c r="AY179">
        <v>8</v>
      </c>
      <c r="AZ179">
        <v>179</v>
      </c>
    </row>
    <row r="180" spans="1:52">
      <c r="A180" t="s">
        <v>1885</v>
      </c>
      <c r="B180" t="s">
        <v>1861</v>
      </c>
      <c r="C180" t="s">
        <v>1886</v>
      </c>
      <c r="D180" t="s">
        <v>1863</v>
      </c>
      <c r="E180" t="s">
        <v>1864</v>
      </c>
      <c r="F180" t="s">
        <v>1887</v>
      </c>
      <c r="G180">
        <f>'Assessment Questions'!J180</f>
        <v>4</v>
      </c>
      <c r="H180">
        <f t="shared" si="54"/>
        <v>0</v>
      </c>
      <c r="I180">
        <f t="shared" si="55"/>
        <v>0</v>
      </c>
      <c r="J180">
        <f t="shared" si="56"/>
        <v>4</v>
      </c>
      <c r="K180">
        <f t="shared" si="57"/>
        <v>4</v>
      </c>
      <c r="L180" t="str">
        <f t="shared" si="58"/>
        <v>Critical</v>
      </c>
      <c r="M180" t="s">
        <v>1888</v>
      </c>
      <c r="N180" t="s">
        <v>1889</v>
      </c>
      <c r="O180" t="s">
        <v>1890</v>
      </c>
      <c r="P180" t="s">
        <v>1891</v>
      </c>
      <c r="Q180" t="s">
        <v>1892</v>
      </c>
      <c r="R180" t="s">
        <v>1893</v>
      </c>
      <c r="S180" t="s">
        <v>1866</v>
      </c>
      <c r="T180">
        <f>'Assessment Questions'!W180</f>
        <v>0</v>
      </c>
      <c r="U180">
        <f>'Assessment Questions'!X180</f>
        <v>0</v>
      </c>
      <c r="V180" t="str">
        <f>'Assessment Questions'!Y180</f>
        <v>Use the recommended action generated by the model; validate with domain owner during real assessment.</v>
      </c>
      <c r="W180">
        <v>4</v>
      </c>
      <c r="X180">
        <v>5</v>
      </c>
      <c r="Y180">
        <v>5</v>
      </c>
      <c r="Z180">
        <f>'Assessment Questions'!AC180</f>
        <v>0</v>
      </c>
      <c r="AB180">
        <f t="shared" si="73"/>
        <v>0</v>
      </c>
      <c r="AC180">
        <f t="shared" si="74"/>
        <v>0</v>
      </c>
      <c r="AD180">
        <f t="shared" si="59"/>
        <v>0</v>
      </c>
      <c r="AE180">
        <f t="shared" si="75"/>
        <v>0</v>
      </c>
      <c r="AF180">
        <f t="shared" si="60"/>
        <v>5</v>
      </c>
      <c r="AG180">
        <f t="shared" si="76"/>
        <v>0</v>
      </c>
      <c r="AH180">
        <f>'Assessment Questions'!AK180</f>
        <v>0</v>
      </c>
      <c r="AI180">
        <f>'Assessment Questions'!AL180</f>
        <v>0</v>
      </c>
      <c r="AJ180">
        <f>IF(OR($H180="",$H180="N/A"),"",IF($AH180="",VLOOKUP('Company Profile'!$B$40,_CONFIG_Model_Settings!$A$5:$B$8,2,FALSE),IFERROR(VLOOKUP($AH180,_CONFIG_Model_Settings!$A$5:$B$8,2,FALSE),0.9)))</f>
        <v>0.9</v>
      </c>
      <c r="AK180">
        <f>IF(OR($H180="",$H180="N/A"),"",IF($AI180="",VLOOKUP('Company Profile'!$B$41,_CONFIG_Model_Settings!$A$5:$B$8,2,FALSE),IFERROR(VLOOKUP($AI180,_CONFIG_Model_Settings!$A$5:$B$8,2,FALSE),0.9)))</f>
        <v>0.9</v>
      </c>
      <c r="AL180">
        <f t="shared" si="61"/>
        <v>0</v>
      </c>
      <c r="AM180">
        <f t="shared" si="62"/>
        <v>0</v>
      </c>
      <c r="AN180">
        <f>IFERROR(MIN(5,MAX(0,(SUMIFS(_REF_Model_Content!$D$1:$D$174,_REF_Model_Content!$A$1:$A$174,PV_Canonical_Industry,_REF_Model_Content!$B$1:$B$174,"Delivery Ops"))+IFERROR(VLOOKUP('Company Profile'!$B$35,_CONFIG_Model_Settings!$A$11:$B$13,2,0),0))),"")</f>
        <v>0</v>
      </c>
      <c r="AO180">
        <f t="shared" si="63"/>
        <v>0</v>
      </c>
      <c r="AP180">
        <f>IFERROR(SUMIFS(_REF_Model_Content!$E$1:$E$174,_REF_Model_Content!$A$1:$A$174,PV_Canonical_Industry,_REF_Model_Content!$B$1:$B$174,"Delivery Ops"),1)</f>
        <v>0</v>
      </c>
      <c r="AQ180">
        <f t="shared" si="64"/>
        <v>0</v>
      </c>
      <c r="AR180" t="str">
        <f t="shared" si="65"/>
        <v>Within target</v>
      </c>
      <c r="AS180">
        <f t="shared" si="66"/>
        <v>0</v>
      </c>
      <c r="AT180">
        <f t="shared" si="67"/>
        <v>0.9</v>
      </c>
      <c r="AU180">
        <f>'Assessment Questions'!AX180</f>
        <v>0</v>
      </c>
      <c r="AV180">
        <f t="shared" si="68"/>
        <v>0.9</v>
      </c>
      <c r="AW180" t="s">
        <v>1859</v>
      </c>
      <c r="AX180" t="s">
        <v>1859</v>
      </c>
      <c r="AY180">
        <v>9</v>
      </c>
      <c r="AZ180">
        <v>180</v>
      </c>
    </row>
    <row r="181" spans="1:52">
      <c r="A181" t="s">
        <v>1894</v>
      </c>
      <c r="B181" t="s">
        <v>1861</v>
      </c>
      <c r="C181" t="s">
        <v>1895</v>
      </c>
      <c r="D181" t="s">
        <v>1863</v>
      </c>
      <c r="E181" t="s">
        <v>1864</v>
      </c>
      <c r="F181" t="s">
        <v>1896</v>
      </c>
      <c r="G181">
        <f>'Assessment Questions'!J181</f>
        <v>5</v>
      </c>
      <c r="H181">
        <f t="shared" si="54"/>
        <v>0</v>
      </c>
      <c r="I181">
        <f t="shared" si="55"/>
        <v>0</v>
      </c>
      <c r="J181">
        <f t="shared" si="56"/>
        <v>5</v>
      </c>
      <c r="K181">
        <f t="shared" si="57"/>
        <v>5</v>
      </c>
      <c r="L181" t="str">
        <f t="shared" si="58"/>
        <v>Critical</v>
      </c>
      <c r="M181" t="s">
        <v>833</v>
      </c>
      <c r="N181" t="s">
        <v>834</v>
      </c>
      <c r="O181" t="s">
        <v>835</v>
      </c>
      <c r="P181" t="s">
        <v>836</v>
      </c>
      <c r="Q181" t="s">
        <v>837</v>
      </c>
      <c r="R181" t="s">
        <v>838</v>
      </c>
      <c r="S181" t="s">
        <v>1866</v>
      </c>
      <c r="T181">
        <f>'Assessment Questions'!W181</f>
        <v>0</v>
      </c>
      <c r="U181">
        <f>'Assessment Questions'!X181</f>
        <v>0</v>
      </c>
      <c r="V181" t="str">
        <f>'Assessment Questions'!Y181</f>
        <v>Use the recommended action generated by the model; validate with domain owner during real assessment.</v>
      </c>
      <c r="W181">
        <v>4</v>
      </c>
      <c r="X181">
        <v>5</v>
      </c>
      <c r="Y181">
        <v>5</v>
      </c>
      <c r="Z181">
        <f>'Assessment Questions'!AC181</f>
        <v>0</v>
      </c>
      <c r="AB181">
        <f t="shared" si="73"/>
        <v>0</v>
      </c>
      <c r="AC181">
        <f t="shared" si="74"/>
        <v>0</v>
      </c>
      <c r="AD181">
        <f t="shared" si="59"/>
        <v>0</v>
      </c>
      <c r="AE181">
        <f t="shared" si="75"/>
        <v>0</v>
      </c>
      <c r="AF181">
        <f t="shared" si="60"/>
        <v>5</v>
      </c>
      <c r="AG181">
        <f t="shared" si="76"/>
        <v>0</v>
      </c>
      <c r="AH181">
        <f>'Assessment Questions'!AK181</f>
        <v>0</v>
      </c>
      <c r="AI181">
        <f>'Assessment Questions'!AL181</f>
        <v>0</v>
      </c>
      <c r="AJ181">
        <f>IF(OR($H181="",$H181="N/A"),"",IF($AH181="",VLOOKUP('Company Profile'!$B$40,_CONFIG_Model_Settings!$A$5:$B$8,2,FALSE),IFERROR(VLOOKUP($AH181,_CONFIG_Model_Settings!$A$5:$B$8,2,FALSE),0.9)))</f>
        <v>0.9</v>
      </c>
      <c r="AK181">
        <f>IF(OR($H181="",$H181="N/A"),"",IF($AI181="",VLOOKUP('Company Profile'!$B$41,_CONFIG_Model_Settings!$A$5:$B$8,2,FALSE),IFERROR(VLOOKUP($AI181,_CONFIG_Model_Settings!$A$5:$B$8,2,FALSE),0.9)))</f>
        <v>0.9</v>
      </c>
      <c r="AL181">
        <f t="shared" si="61"/>
        <v>0</v>
      </c>
      <c r="AM181">
        <f t="shared" si="62"/>
        <v>0</v>
      </c>
      <c r="AN181">
        <f>IFERROR(MIN(5,MAX(0,(SUMIFS(_REF_Model_Content!$D$1:$D$174,_REF_Model_Content!$A$1:$A$174,PV_Canonical_Industry,_REF_Model_Content!$B$1:$B$174,"Delivery Ops"))+IFERROR(VLOOKUP('Company Profile'!$B$35,_CONFIG_Model_Settings!$A$11:$B$13,2,0),0))),"")</f>
        <v>0</v>
      </c>
      <c r="AO181">
        <f t="shared" si="63"/>
        <v>0</v>
      </c>
      <c r="AP181">
        <f>IFERROR(SUMIFS(_REF_Model_Content!$E$1:$E$174,_REF_Model_Content!$A$1:$A$174,PV_Canonical_Industry,_REF_Model_Content!$B$1:$B$174,"Delivery Ops"),1)</f>
        <v>0</v>
      </c>
      <c r="AQ181">
        <f t="shared" si="64"/>
        <v>0</v>
      </c>
      <c r="AR181" t="str">
        <f t="shared" si="65"/>
        <v>Within target</v>
      </c>
      <c r="AS181">
        <f t="shared" si="66"/>
        <v>0</v>
      </c>
      <c r="AT181">
        <f t="shared" si="67"/>
        <v>0.9</v>
      </c>
      <c r="AU181">
        <f>'Assessment Questions'!AX181</f>
        <v>0</v>
      </c>
      <c r="AV181">
        <f t="shared" si="68"/>
        <v>0.9</v>
      </c>
      <c r="AW181" t="s">
        <v>1859</v>
      </c>
      <c r="AX181" t="s">
        <v>1859</v>
      </c>
      <c r="AY181">
        <v>10</v>
      </c>
      <c r="AZ181">
        <v>181</v>
      </c>
    </row>
    <row r="182" spans="1:52">
      <c r="A182" t="s">
        <v>1897</v>
      </c>
      <c r="B182" t="s">
        <v>1870</v>
      </c>
      <c r="C182" t="s">
        <v>1898</v>
      </c>
      <c r="D182" t="s">
        <v>1863</v>
      </c>
      <c r="E182" t="s">
        <v>1864</v>
      </c>
      <c r="F182" t="s">
        <v>1899</v>
      </c>
      <c r="G182">
        <f>'Assessment Questions'!J182</f>
        <v>5</v>
      </c>
      <c r="H182">
        <f t="shared" si="54"/>
        <v>0</v>
      </c>
      <c r="I182">
        <f t="shared" si="55"/>
        <v>0</v>
      </c>
      <c r="J182">
        <f t="shared" si="56"/>
        <v>5</v>
      </c>
      <c r="K182">
        <f t="shared" si="57"/>
        <v>5</v>
      </c>
      <c r="L182" t="str">
        <f t="shared" si="58"/>
        <v>Critical</v>
      </c>
      <c r="M182" t="s">
        <v>874</v>
      </c>
      <c r="N182" t="s">
        <v>875</v>
      </c>
      <c r="O182" t="s">
        <v>876</v>
      </c>
      <c r="P182" t="s">
        <v>877</v>
      </c>
      <c r="Q182" t="s">
        <v>878</v>
      </c>
      <c r="R182" t="s">
        <v>879</v>
      </c>
      <c r="S182" t="s">
        <v>1866</v>
      </c>
      <c r="T182">
        <f>'Assessment Questions'!W182</f>
        <v>0</v>
      </c>
      <c r="U182">
        <f>'Assessment Questions'!X182</f>
        <v>0</v>
      </c>
      <c r="V182" t="str">
        <f>'Assessment Questions'!Y182</f>
        <v>Use the recommended action generated by the model; validate with domain owner during real assessment.</v>
      </c>
      <c r="W182">
        <v>5</v>
      </c>
      <c r="X182">
        <v>5</v>
      </c>
      <c r="Y182">
        <v>5</v>
      </c>
      <c r="Z182">
        <f>'Assessment Questions'!AC182</f>
        <v>0</v>
      </c>
      <c r="AB182">
        <f t="shared" si="73"/>
        <v>0</v>
      </c>
      <c r="AC182">
        <f t="shared" si="74"/>
        <v>0</v>
      </c>
      <c r="AD182">
        <f t="shared" si="59"/>
        <v>0</v>
      </c>
      <c r="AE182">
        <f t="shared" si="75"/>
        <v>0</v>
      </c>
      <c r="AF182">
        <f t="shared" si="60"/>
        <v>5</v>
      </c>
      <c r="AG182">
        <f t="shared" si="76"/>
        <v>0</v>
      </c>
      <c r="AH182">
        <f>'Assessment Questions'!AK182</f>
        <v>0</v>
      </c>
      <c r="AI182">
        <f>'Assessment Questions'!AL182</f>
        <v>0</v>
      </c>
      <c r="AJ182">
        <f>IF(OR($H182="",$H182="N/A"),"",IF($AH182="",VLOOKUP('Company Profile'!$B$40,_CONFIG_Model_Settings!$A$5:$B$8,2,FALSE),IFERROR(VLOOKUP($AH182,_CONFIG_Model_Settings!$A$5:$B$8,2,FALSE),0.9)))</f>
        <v>0.9</v>
      </c>
      <c r="AK182">
        <f>IF(OR($H182="",$H182="N/A"),"",IF($AI182="",VLOOKUP('Company Profile'!$B$41,_CONFIG_Model_Settings!$A$5:$B$8,2,FALSE),IFERROR(VLOOKUP($AI182,_CONFIG_Model_Settings!$A$5:$B$8,2,FALSE),0.9)))</f>
        <v>0.9</v>
      </c>
      <c r="AL182">
        <f t="shared" si="61"/>
        <v>0</v>
      </c>
      <c r="AM182">
        <f t="shared" si="62"/>
        <v>0</v>
      </c>
      <c r="AN182">
        <f>IFERROR(MIN(5,MAX(0,(SUMIFS(_REF_Model_Content!$D$1:$D$174,_REF_Model_Content!$A$1:$A$174,PV_Canonical_Industry,_REF_Model_Content!$B$1:$B$174,"Delivery Ops"))+IFERROR(VLOOKUP('Company Profile'!$B$35,_CONFIG_Model_Settings!$A$11:$B$13,2,0),0))),"")</f>
        <v>0</v>
      </c>
      <c r="AO182">
        <f t="shared" si="63"/>
        <v>0</v>
      </c>
      <c r="AP182">
        <f>IFERROR(SUMIFS(_REF_Model_Content!$E$1:$E$174,_REF_Model_Content!$A$1:$A$174,PV_Canonical_Industry,_REF_Model_Content!$B$1:$B$174,"Delivery Ops"),1)</f>
        <v>0</v>
      </c>
      <c r="AQ182">
        <f t="shared" si="64"/>
        <v>0</v>
      </c>
      <c r="AR182" t="str">
        <f t="shared" si="65"/>
        <v>Within target</v>
      </c>
      <c r="AS182">
        <f t="shared" si="66"/>
        <v>0</v>
      </c>
      <c r="AT182">
        <f t="shared" si="67"/>
        <v>0.9</v>
      </c>
      <c r="AU182">
        <f>'Assessment Questions'!AX182</f>
        <v>0</v>
      </c>
      <c r="AV182">
        <f t="shared" si="68"/>
        <v>0.9</v>
      </c>
      <c r="AW182" t="s">
        <v>1859</v>
      </c>
      <c r="AX182" t="s">
        <v>1859</v>
      </c>
      <c r="AY182">
        <v>11</v>
      </c>
      <c r="AZ182">
        <v>182</v>
      </c>
    </row>
    <row r="183" spans="1:52">
      <c r="A183" t="s">
        <v>1900</v>
      </c>
      <c r="B183" t="s">
        <v>1870</v>
      </c>
      <c r="C183" t="s">
        <v>1901</v>
      </c>
      <c r="D183" t="s">
        <v>1863</v>
      </c>
      <c r="E183" t="s">
        <v>1864</v>
      </c>
      <c r="F183" t="s">
        <v>1902</v>
      </c>
      <c r="G183">
        <f>'Assessment Questions'!J183</f>
        <v>5</v>
      </c>
      <c r="H183">
        <f t="shared" si="54"/>
        <v>0</v>
      </c>
      <c r="I183">
        <f t="shared" si="55"/>
        <v>0</v>
      </c>
      <c r="J183">
        <f t="shared" si="56"/>
        <v>5</v>
      </c>
      <c r="K183">
        <f t="shared" si="57"/>
        <v>5</v>
      </c>
      <c r="L183" t="str">
        <f t="shared" si="58"/>
        <v>Critical</v>
      </c>
      <c r="M183" t="s">
        <v>833</v>
      </c>
      <c r="N183" t="s">
        <v>834</v>
      </c>
      <c r="O183" t="s">
        <v>835</v>
      </c>
      <c r="P183" t="s">
        <v>836</v>
      </c>
      <c r="Q183" t="s">
        <v>837</v>
      </c>
      <c r="R183" t="s">
        <v>838</v>
      </c>
      <c r="S183" t="s">
        <v>1866</v>
      </c>
      <c r="T183">
        <f>'Assessment Questions'!W183</f>
        <v>0</v>
      </c>
      <c r="U183">
        <f>'Assessment Questions'!X183</f>
        <v>0</v>
      </c>
      <c r="V183" t="str">
        <f>'Assessment Questions'!Y183</f>
        <v>Use the recommended action generated by the model; validate with domain owner during real assessment.</v>
      </c>
      <c r="W183">
        <v>4</v>
      </c>
      <c r="X183">
        <v>5</v>
      </c>
      <c r="Y183">
        <v>5</v>
      </c>
      <c r="Z183">
        <f>'Assessment Questions'!AC183</f>
        <v>0</v>
      </c>
      <c r="AB183">
        <f t="shared" si="73"/>
        <v>0</v>
      </c>
      <c r="AC183">
        <f t="shared" si="74"/>
        <v>0</v>
      </c>
      <c r="AD183">
        <f t="shared" si="59"/>
        <v>0</v>
      </c>
      <c r="AE183">
        <f t="shared" si="75"/>
        <v>0</v>
      </c>
      <c r="AF183">
        <f t="shared" si="60"/>
        <v>5</v>
      </c>
      <c r="AG183">
        <f t="shared" si="76"/>
        <v>0</v>
      </c>
      <c r="AH183">
        <f>'Assessment Questions'!AK183</f>
        <v>0</v>
      </c>
      <c r="AI183">
        <f>'Assessment Questions'!AL183</f>
        <v>0</v>
      </c>
      <c r="AJ183">
        <f>IF(OR($H183="",$H183="N/A"),"",IF($AH183="",VLOOKUP('Company Profile'!$B$40,_CONFIG_Model_Settings!$A$5:$B$8,2,FALSE),IFERROR(VLOOKUP($AH183,_CONFIG_Model_Settings!$A$5:$B$8,2,FALSE),0.9)))</f>
        <v>0.9</v>
      </c>
      <c r="AK183">
        <f>IF(OR($H183="",$H183="N/A"),"",IF($AI183="",VLOOKUP('Company Profile'!$B$41,_CONFIG_Model_Settings!$A$5:$B$8,2,FALSE),IFERROR(VLOOKUP($AI183,_CONFIG_Model_Settings!$A$5:$B$8,2,FALSE),0.9)))</f>
        <v>0.9</v>
      </c>
      <c r="AL183">
        <f t="shared" si="61"/>
        <v>0</v>
      </c>
      <c r="AM183">
        <f t="shared" si="62"/>
        <v>0</v>
      </c>
      <c r="AN183">
        <f>IFERROR(MIN(5,MAX(0,(SUMIFS(_REF_Model_Content!$D$1:$D$174,_REF_Model_Content!$A$1:$A$174,PV_Canonical_Industry,_REF_Model_Content!$B$1:$B$174,"Delivery Ops"))+IFERROR(VLOOKUP('Company Profile'!$B$35,_CONFIG_Model_Settings!$A$11:$B$13,2,0),0))),"")</f>
        <v>0</v>
      </c>
      <c r="AO183">
        <f t="shared" si="63"/>
        <v>0</v>
      </c>
      <c r="AP183">
        <f>IFERROR(SUMIFS(_REF_Model_Content!$E$1:$E$174,_REF_Model_Content!$A$1:$A$174,PV_Canonical_Industry,_REF_Model_Content!$B$1:$B$174,"Delivery Ops"),1)</f>
        <v>0</v>
      </c>
      <c r="AQ183">
        <f t="shared" si="64"/>
        <v>0</v>
      </c>
      <c r="AR183" t="str">
        <f t="shared" si="65"/>
        <v>Within target</v>
      </c>
      <c r="AS183">
        <f t="shared" si="66"/>
        <v>0</v>
      </c>
      <c r="AT183">
        <f t="shared" si="67"/>
        <v>0.9</v>
      </c>
      <c r="AU183">
        <f>'Assessment Questions'!AX183</f>
        <v>0</v>
      </c>
      <c r="AV183">
        <f t="shared" si="68"/>
        <v>0.9</v>
      </c>
      <c r="AW183" t="s">
        <v>1859</v>
      </c>
      <c r="AX183" t="s">
        <v>1859</v>
      </c>
      <c r="AY183">
        <v>12</v>
      </c>
      <c r="AZ183">
        <v>183</v>
      </c>
    </row>
    <row r="184" spans="1:52">
      <c r="A184" t="s">
        <v>1903</v>
      </c>
      <c r="B184" t="s">
        <v>1870</v>
      </c>
      <c r="C184" t="s">
        <v>1904</v>
      </c>
      <c r="D184" t="s">
        <v>1863</v>
      </c>
      <c r="E184" t="s">
        <v>1864</v>
      </c>
      <c r="F184" t="s">
        <v>1905</v>
      </c>
      <c r="G184">
        <f>'Assessment Questions'!J184</f>
        <v>3</v>
      </c>
      <c r="H184">
        <f t="shared" si="54"/>
        <v>0</v>
      </c>
      <c r="I184">
        <f t="shared" si="55"/>
        <v>0</v>
      </c>
      <c r="J184">
        <f t="shared" si="56"/>
        <v>3</v>
      </c>
      <c r="K184">
        <f t="shared" si="57"/>
        <v>3</v>
      </c>
      <c r="L184" t="str">
        <f t="shared" si="58"/>
        <v>Critical</v>
      </c>
      <c r="M184" t="s">
        <v>1906</v>
      </c>
      <c r="N184" t="s">
        <v>1907</v>
      </c>
      <c r="O184" t="s">
        <v>1908</v>
      </c>
      <c r="P184" t="s">
        <v>1909</v>
      </c>
      <c r="Q184" t="s">
        <v>1910</v>
      </c>
      <c r="R184" t="s">
        <v>1911</v>
      </c>
      <c r="S184" t="s">
        <v>1866</v>
      </c>
      <c r="T184">
        <f>'Assessment Questions'!W184</f>
        <v>0</v>
      </c>
      <c r="U184">
        <f>'Assessment Questions'!X184</f>
        <v>0</v>
      </c>
      <c r="V184" t="str">
        <f>'Assessment Questions'!Y184</f>
        <v>Use the recommended action generated by the model; validate with domain owner during real assessment.</v>
      </c>
      <c r="W184">
        <v>4</v>
      </c>
      <c r="X184">
        <v>5</v>
      </c>
      <c r="Y184">
        <v>5</v>
      </c>
      <c r="Z184">
        <f>'Assessment Questions'!AC184</f>
        <v>0</v>
      </c>
      <c r="AB184">
        <f t="shared" si="73"/>
        <v>0</v>
      </c>
      <c r="AC184">
        <f t="shared" si="74"/>
        <v>0</v>
      </c>
      <c r="AD184">
        <f t="shared" si="59"/>
        <v>0</v>
      </c>
      <c r="AE184">
        <f t="shared" si="75"/>
        <v>0</v>
      </c>
      <c r="AF184">
        <f t="shared" si="60"/>
        <v>5</v>
      </c>
      <c r="AG184">
        <f t="shared" si="76"/>
        <v>0</v>
      </c>
      <c r="AH184">
        <f>'Assessment Questions'!AK184</f>
        <v>0</v>
      </c>
      <c r="AI184">
        <f>'Assessment Questions'!AL184</f>
        <v>0</v>
      </c>
      <c r="AJ184">
        <f>IF(OR($H184="",$H184="N/A"),"",IF($AH184="",VLOOKUP('Company Profile'!$B$40,_CONFIG_Model_Settings!$A$5:$B$8,2,FALSE),IFERROR(VLOOKUP($AH184,_CONFIG_Model_Settings!$A$5:$B$8,2,FALSE),0.9)))</f>
        <v>0.9</v>
      </c>
      <c r="AK184">
        <f>IF(OR($H184="",$H184="N/A"),"",IF($AI184="",VLOOKUP('Company Profile'!$B$41,_CONFIG_Model_Settings!$A$5:$B$8,2,FALSE),IFERROR(VLOOKUP($AI184,_CONFIG_Model_Settings!$A$5:$B$8,2,FALSE),0.9)))</f>
        <v>0.9</v>
      </c>
      <c r="AL184">
        <f t="shared" si="61"/>
        <v>0</v>
      </c>
      <c r="AM184">
        <f t="shared" si="62"/>
        <v>0</v>
      </c>
      <c r="AN184">
        <f>IFERROR(MIN(5,MAX(0,(SUMIFS(_REF_Model_Content!$D$1:$D$174,_REF_Model_Content!$A$1:$A$174,PV_Canonical_Industry,_REF_Model_Content!$B$1:$B$174,"Delivery Ops"))+IFERROR(VLOOKUP('Company Profile'!$B$35,_CONFIG_Model_Settings!$A$11:$B$13,2,0),0))),"")</f>
        <v>0</v>
      </c>
      <c r="AO184">
        <f t="shared" si="63"/>
        <v>0</v>
      </c>
      <c r="AP184">
        <f>IFERROR(SUMIFS(_REF_Model_Content!$E$1:$E$174,_REF_Model_Content!$A$1:$A$174,PV_Canonical_Industry,_REF_Model_Content!$B$1:$B$174,"Delivery Ops"),1)</f>
        <v>0</v>
      </c>
      <c r="AQ184">
        <f t="shared" si="64"/>
        <v>0</v>
      </c>
      <c r="AR184" t="str">
        <f t="shared" si="65"/>
        <v>Within target</v>
      </c>
      <c r="AS184">
        <f t="shared" si="66"/>
        <v>0</v>
      </c>
      <c r="AT184">
        <f t="shared" si="67"/>
        <v>0.9</v>
      </c>
      <c r="AU184">
        <f>'Assessment Questions'!AX184</f>
        <v>0</v>
      </c>
      <c r="AV184">
        <f t="shared" si="68"/>
        <v>0.9</v>
      </c>
      <c r="AW184" t="s">
        <v>1859</v>
      </c>
      <c r="AX184" t="s">
        <v>1859</v>
      </c>
      <c r="AY184">
        <v>13</v>
      </c>
      <c r="AZ184">
        <v>184</v>
      </c>
    </row>
    <row r="185" spans="1:52">
      <c r="A185" t="s">
        <v>1912</v>
      </c>
      <c r="B185" t="s">
        <v>1870</v>
      </c>
      <c r="C185" t="s">
        <v>1913</v>
      </c>
      <c r="D185" t="s">
        <v>1863</v>
      </c>
      <c r="E185" t="s">
        <v>1864</v>
      </c>
      <c r="F185" t="s">
        <v>1914</v>
      </c>
      <c r="G185">
        <f>'Assessment Questions'!J185</f>
        <v>5</v>
      </c>
      <c r="H185">
        <f t="shared" si="54"/>
        <v>0</v>
      </c>
      <c r="I185">
        <f t="shared" si="55"/>
        <v>0</v>
      </c>
      <c r="J185">
        <f t="shared" si="56"/>
        <v>5</v>
      </c>
      <c r="K185">
        <f t="shared" si="57"/>
        <v>5</v>
      </c>
      <c r="L185" t="str">
        <f t="shared" si="58"/>
        <v>Critical</v>
      </c>
      <c r="M185" t="s">
        <v>833</v>
      </c>
      <c r="N185" t="s">
        <v>834</v>
      </c>
      <c r="O185" t="s">
        <v>835</v>
      </c>
      <c r="P185" t="s">
        <v>836</v>
      </c>
      <c r="Q185" t="s">
        <v>837</v>
      </c>
      <c r="R185" t="s">
        <v>838</v>
      </c>
      <c r="S185" t="s">
        <v>1866</v>
      </c>
      <c r="T185">
        <f>'Assessment Questions'!W185</f>
        <v>0</v>
      </c>
      <c r="U185">
        <f>'Assessment Questions'!X185</f>
        <v>0</v>
      </c>
      <c r="V185" t="str">
        <f>'Assessment Questions'!Y185</f>
        <v>Use the recommended action generated by the model; validate with domain owner during real assessment.</v>
      </c>
      <c r="W185">
        <v>4</v>
      </c>
      <c r="X185">
        <v>5</v>
      </c>
      <c r="Y185">
        <v>5</v>
      </c>
      <c r="Z185">
        <f>'Assessment Questions'!AC185</f>
        <v>0</v>
      </c>
      <c r="AB185">
        <f t="shared" si="73"/>
        <v>0</v>
      </c>
      <c r="AC185">
        <f t="shared" si="74"/>
        <v>0</v>
      </c>
      <c r="AD185">
        <f t="shared" si="59"/>
        <v>0</v>
      </c>
      <c r="AE185">
        <f t="shared" si="75"/>
        <v>0</v>
      </c>
      <c r="AF185">
        <f t="shared" si="60"/>
        <v>5</v>
      </c>
      <c r="AG185">
        <f t="shared" si="76"/>
        <v>0</v>
      </c>
      <c r="AH185">
        <f>'Assessment Questions'!AK185</f>
        <v>0</v>
      </c>
      <c r="AI185">
        <f>'Assessment Questions'!AL185</f>
        <v>0</v>
      </c>
      <c r="AJ185">
        <f>IF(OR($H185="",$H185="N/A"),"",IF($AH185="",VLOOKUP('Company Profile'!$B$40,_CONFIG_Model_Settings!$A$5:$B$8,2,FALSE),IFERROR(VLOOKUP($AH185,_CONFIG_Model_Settings!$A$5:$B$8,2,FALSE),0.9)))</f>
        <v>0.9</v>
      </c>
      <c r="AK185">
        <f>IF(OR($H185="",$H185="N/A"),"",IF($AI185="",VLOOKUP('Company Profile'!$B$41,_CONFIG_Model_Settings!$A$5:$B$8,2,FALSE),IFERROR(VLOOKUP($AI185,_CONFIG_Model_Settings!$A$5:$B$8,2,FALSE),0.9)))</f>
        <v>0.9</v>
      </c>
      <c r="AL185">
        <f t="shared" si="61"/>
        <v>0</v>
      </c>
      <c r="AM185">
        <f t="shared" si="62"/>
        <v>0</v>
      </c>
      <c r="AN185">
        <f>IFERROR(MIN(5,MAX(0,(SUMIFS(_REF_Model_Content!$D$1:$D$174,_REF_Model_Content!$A$1:$A$174,PV_Canonical_Industry,_REF_Model_Content!$B$1:$B$174,"Delivery Ops"))+IFERROR(VLOOKUP('Company Profile'!$B$35,_CONFIG_Model_Settings!$A$11:$B$13,2,0),0))),"")</f>
        <v>0</v>
      </c>
      <c r="AO185">
        <f t="shared" si="63"/>
        <v>0</v>
      </c>
      <c r="AP185">
        <f>IFERROR(SUMIFS(_REF_Model_Content!$E$1:$E$174,_REF_Model_Content!$A$1:$A$174,PV_Canonical_Industry,_REF_Model_Content!$B$1:$B$174,"Delivery Ops"),1)</f>
        <v>0</v>
      </c>
      <c r="AQ185">
        <f t="shared" si="64"/>
        <v>0</v>
      </c>
      <c r="AR185" t="str">
        <f t="shared" si="65"/>
        <v>Within target</v>
      </c>
      <c r="AS185">
        <f t="shared" si="66"/>
        <v>0</v>
      </c>
      <c r="AT185">
        <f t="shared" si="67"/>
        <v>0.9</v>
      </c>
      <c r="AU185">
        <f>'Assessment Questions'!AX185</f>
        <v>0</v>
      </c>
      <c r="AV185">
        <f t="shared" si="68"/>
        <v>0.9</v>
      </c>
      <c r="AW185" t="s">
        <v>1859</v>
      </c>
      <c r="AX185" t="s">
        <v>1859</v>
      </c>
      <c r="AY185">
        <v>14</v>
      </c>
      <c r="AZ185">
        <v>185</v>
      </c>
    </row>
    <row r="186" spans="1:52">
      <c r="A186" t="s">
        <v>1915</v>
      </c>
      <c r="B186" t="s">
        <v>1870</v>
      </c>
      <c r="C186" t="s">
        <v>1916</v>
      </c>
      <c r="D186" t="s">
        <v>1863</v>
      </c>
      <c r="E186" t="s">
        <v>1864</v>
      </c>
      <c r="F186" t="s">
        <v>1917</v>
      </c>
      <c r="G186">
        <f>'Assessment Questions'!J186</f>
        <v>5</v>
      </c>
      <c r="H186">
        <f t="shared" si="54"/>
        <v>0</v>
      </c>
      <c r="I186">
        <f t="shared" si="55"/>
        <v>0</v>
      </c>
      <c r="J186">
        <f t="shared" si="56"/>
        <v>5</v>
      </c>
      <c r="K186">
        <f t="shared" si="57"/>
        <v>5</v>
      </c>
      <c r="L186" t="str">
        <f t="shared" si="58"/>
        <v>Critical</v>
      </c>
      <c r="M186" t="s">
        <v>833</v>
      </c>
      <c r="N186" t="s">
        <v>834</v>
      </c>
      <c r="O186" t="s">
        <v>835</v>
      </c>
      <c r="P186" t="s">
        <v>836</v>
      </c>
      <c r="Q186" t="s">
        <v>837</v>
      </c>
      <c r="R186" t="s">
        <v>838</v>
      </c>
      <c r="S186" t="s">
        <v>1866</v>
      </c>
      <c r="T186">
        <f>'Assessment Questions'!W186</f>
        <v>0</v>
      </c>
      <c r="U186">
        <f>'Assessment Questions'!X186</f>
        <v>0</v>
      </c>
      <c r="V186" t="str">
        <f>'Assessment Questions'!Y186</f>
        <v>Use the recommended action generated by the model; validate with domain owner during real assessment.</v>
      </c>
      <c r="W186">
        <v>4</v>
      </c>
      <c r="X186">
        <v>5</v>
      </c>
      <c r="Y186">
        <v>5</v>
      </c>
      <c r="Z186">
        <f>'Assessment Questions'!AC186</f>
        <v>0</v>
      </c>
      <c r="AB186">
        <f t="shared" si="73"/>
        <v>0</v>
      </c>
      <c r="AC186">
        <f t="shared" si="74"/>
        <v>0</v>
      </c>
      <c r="AD186">
        <f t="shared" si="59"/>
        <v>0</v>
      </c>
      <c r="AE186">
        <f t="shared" si="75"/>
        <v>0</v>
      </c>
      <c r="AF186">
        <f t="shared" si="60"/>
        <v>5</v>
      </c>
      <c r="AG186">
        <f t="shared" si="76"/>
        <v>0</v>
      </c>
      <c r="AH186">
        <f>'Assessment Questions'!AK186</f>
        <v>0</v>
      </c>
      <c r="AI186">
        <f>'Assessment Questions'!AL186</f>
        <v>0</v>
      </c>
      <c r="AJ186">
        <f>IF(OR($H186="",$H186="N/A"),"",IF($AH186="",VLOOKUP('Company Profile'!$B$40,_CONFIG_Model_Settings!$A$5:$B$8,2,FALSE),IFERROR(VLOOKUP($AH186,_CONFIG_Model_Settings!$A$5:$B$8,2,FALSE),0.9)))</f>
        <v>0.9</v>
      </c>
      <c r="AK186">
        <f>IF(OR($H186="",$H186="N/A"),"",IF($AI186="",VLOOKUP('Company Profile'!$B$41,_CONFIG_Model_Settings!$A$5:$B$8,2,FALSE),IFERROR(VLOOKUP($AI186,_CONFIG_Model_Settings!$A$5:$B$8,2,FALSE),0.9)))</f>
        <v>0.9</v>
      </c>
      <c r="AL186">
        <f t="shared" si="61"/>
        <v>0</v>
      </c>
      <c r="AM186">
        <f t="shared" si="62"/>
        <v>0</v>
      </c>
      <c r="AN186">
        <f>IFERROR(MIN(5,MAX(0,(SUMIFS(_REF_Model_Content!$D$1:$D$174,_REF_Model_Content!$A$1:$A$174,PV_Canonical_Industry,_REF_Model_Content!$B$1:$B$174,"Delivery Ops"))+IFERROR(VLOOKUP('Company Profile'!$B$35,_CONFIG_Model_Settings!$A$11:$B$13,2,0),0))),"")</f>
        <v>0</v>
      </c>
      <c r="AO186">
        <f t="shared" si="63"/>
        <v>0</v>
      </c>
      <c r="AP186">
        <f>IFERROR(SUMIFS(_REF_Model_Content!$E$1:$E$174,_REF_Model_Content!$A$1:$A$174,PV_Canonical_Industry,_REF_Model_Content!$B$1:$B$174,"Delivery Ops"),1)</f>
        <v>0</v>
      </c>
      <c r="AQ186">
        <f t="shared" si="64"/>
        <v>0</v>
      </c>
      <c r="AR186" t="str">
        <f t="shared" si="65"/>
        <v>Within target</v>
      </c>
      <c r="AS186">
        <f t="shared" si="66"/>
        <v>0</v>
      </c>
      <c r="AT186">
        <f t="shared" si="67"/>
        <v>0.9</v>
      </c>
      <c r="AU186">
        <f>'Assessment Questions'!AX186</f>
        <v>0</v>
      </c>
      <c r="AV186">
        <f t="shared" si="68"/>
        <v>0.9</v>
      </c>
      <c r="AW186" t="s">
        <v>1859</v>
      </c>
      <c r="AX186" t="s">
        <v>1859</v>
      </c>
      <c r="AY186">
        <v>15</v>
      </c>
      <c r="AZ186">
        <v>186</v>
      </c>
    </row>
    <row r="187" spans="1:52">
      <c r="A187" t="s">
        <v>1918</v>
      </c>
      <c r="B187" t="s">
        <v>1870</v>
      </c>
      <c r="C187" t="s">
        <v>1919</v>
      </c>
      <c r="D187" t="s">
        <v>1863</v>
      </c>
      <c r="E187" t="s">
        <v>1864</v>
      </c>
      <c r="F187" t="s">
        <v>1920</v>
      </c>
      <c r="G187">
        <f>'Assessment Questions'!J187</f>
        <v>5</v>
      </c>
      <c r="H187">
        <f t="shared" si="54"/>
        <v>0</v>
      </c>
      <c r="I187">
        <f t="shared" si="55"/>
        <v>0</v>
      </c>
      <c r="J187">
        <f t="shared" si="56"/>
        <v>5</v>
      </c>
      <c r="K187">
        <f t="shared" si="57"/>
        <v>5</v>
      </c>
      <c r="L187" t="str">
        <f t="shared" si="58"/>
        <v>Critical</v>
      </c>
      <c r="M187" t="s">
        <v>1202</v>
      </c>
      <c r="N187" t="s">
        <v>1203</v>
      </c>
      <c r="O187" t="s">
        <v>1204</v>
      </c>
      <c r="P187" t="s">
        <v>1205</v>
      </c>
      <c r="Q187" t="s">
        <v>1206</v>
      </c>
      <c r="R187" t="s">
        <v>1207</v>
      </c>
      <c r="S187" t="s">
        <v>1866</v>
      </c>
      <c r="T187">
        <f>'Assessment Questions'!W187</f>
        <v>0</v>
      </c>
      <c r="U187">
        <f>'Assessment Questions'!X187</f>
        <v>0</v>
      </c>
      <c r="V187" t="str">
        <f>'Assessment Questions'!Y187</f>
        <v>Use the recommended action generated by the model; validate with domain owner during real assessment.</v>
      </c>
      <c r="W187">
        <v>4</v>
      </c>
      <c r="X187">
        <v>5</v>
      </c>
      <c r="Y187">
        <v>5</v>
      </c>
      <c r="Z187">
        <f>'Assessment Questions'!AC187</f>
        <v>0</v>
      </c>
      <c r="AB187">
        <f t="shared" si="73"/>
        <v>0</v>
      </c>
      <c r="AC187">
        <f t="shared" si="74"/>
        <v>0</v>
      </c>
      <c r="AD187">
        <f t="shared" si="59"/>
        <v>0</v>
      </c>
      <c r="AE187">
        <f t="shared" si="75"/>
        <v>0</v>
      </c>
      <c r="AF187">
        <f t="shared" si="60"/>
        <v>5</v>
      </c>
      <c r="AG187">
        <f t="shared" si="76"/>
        <v>0</v>
      </c>
      <c r="AH187">
        <f>'Assessment Questions'!AK187</f>
        <v>0</v>
      </c>
      <c r="AI187">
        <f>'Assessment Questions'!AL187</f>
        <v>0</v>
      </c>
      <c r="AJ187">
        <f>IF(OR($H187="",$H187="N/A"),"",IF($AH187="",VLOOKUP('Company Profile'!$B$40,_CONFIG_Model_Settings!$A$5:$B$8,2,FALSE),IFERROR(VLOOKUP($AH187,_CONFIG_Model_Settings!$A$5:$B$8,2,FALSE),0.9)))</f>
        <v>0.9</v>
      </c>
      <c r="AK187">
        <f>IF(OR($H187="",$H187="N/A"),"",IF($AI187="",VLOOKUP('Company Profile'!$B$41,_CONFIG_Model_Settings!$A$5:$B$8,2,FALSE),IFERROR(VLOOKUP($AI187,_CONFIG_Model_Settings!$A$5:$B$8,2,FALSE),0.9)))</f>
        <v>0.9</v>
      </c>
      <c r="AL187">
        <f t="shared" si="61"/>
        <v>0</v>
      </c>
      <c r="AM187">
        <f t="shared" si="62"/>
        <v>0</v>
      </c>
      <c r="AN187">
        <f>IFERROR(MIN(5,MAX(0,(SUMIFS(_REF_Model_Content!$D$1:$D$174,_REF_Model_Content!$A$1:$A$174,PV_Canonical_Industry,_REF_Model_Content!$B$1:$B$174,"Delivery Ops"))+IFERROR(VLOOKUP('Company Profile'!$B$35,_CONFIG_Model_Settings!$A$11:$B$13,2,0),0))),"")</f>
        <v>0</v>
      </c>
      <c r="AO187">
        <f t="shared" si="63"/>
        <v>0</v>
      </c>
      <c r="AP187">
        <f>IFERROR(SUMIFS(_REF_Model_Content!$E$1:$E$174,_REF_Model_Content!$A$1:$A$174,PV_Canonical_Industry,_REF_Model_Content!$B$1:$B$174,"Delivery Ops"),1)</f>
        <v>0</v>
      </c>
      <c r="AQ187">
        <f t="shared" si="64"/>
        <v>0</v>
      </c>
      <c r="AR187" t="str">
        <f t="shared" si="65"/>
        <v>Within target</v>
      </c>
      <c r="AS187">
        <f t="shared" si="66"/>
        <v>0</v>
      </c>
      <c r="AT187">
        <f t="shared" si="67"/>
        <v>0.9</v>
      </c>
      <c r="AU187">
        <f>'Assessment Questions'!AX187</f>
        <v>0</v>
      </c>
      <c r="AV187">
        <f t="shared" si="68"/>
        <v>0.9</v>
      </c>
      <c r="AW187" t="s">
        <v>1859</v>
      </c>
      <c r="AX187" t="s">
        <v>1859</v>
      </c>
      <c r="AY187">
        <v>16</v>
      </c>
      <c r="AZ187">
        <v>187</v>
      </c>
    </row>
    <row r="188" spans="1:52">
      <c r="A188" t="s">
        <v>1921</v>
      </c>
      <c r="B188" t="s">
        <v>1880</v>
      </c>
      <c r="C188" t="s">
        <v>1922</v>
      </c>
      <c r="D188" t="s">
        <v>1863</v>
      </c>
      <c r="E188" t="s">
        <v>1864</v>
      </c>
      <c r="F188" t="s">
        <v>1923</v>
      </c>
      <c r="G188">
        <f>'Assessment Questions'!J188</f>
        <v>5</v>
      </c>
      <c r="H188">
        <f t="shared" si="54"/>
        <v>0</v>
      </c>
      <c r="I188">
        <f t="shared" si="55"/>
        <v>0</v>
      </c>
      <c r="J188">
        <f t="shared" si="56"/>
        <v>5</v>
      </c>
      <c r="K188">
        <f t="shared" si="57"/>
        <v>5</v>
      </c>
      <c r="L188" t="str">
        <f t="shared" si="58"/>
        <v>Critical</v>
      </c>
      <c r="M188" t="s">
        <v>833</v>
      </c>
      <c r="N188" t="s">
        <v>834</v>
      </c>
      <c r="O188" t="s">
        <v>835</v>
      </c>
      <c r="P188" t="s">
        <v>836</v>
      </c>
      <c r="Q188" t="s">
        <v>837</v>
      </c>
      <c r="R188" t="s">
        <v>838</v>
      </c>
      <c r="S188" t="s">
        <v>1866</v>
      </c>
      <c r="T188">
        <f>'Assessment Questions'!W188</f>
        <v>0</v>
      </c>
      <c r="U188">
        <f>'Assessment Questions'!X188</f>
        <v>0</v>
      </c>
      <c r="V188" t="str">
        <f>'Assessment Questions'!Y188</f>
        <v>Use the recommended action generated by the model; validate with domain owner during real assessment.</v>
      </c>
      <c r="W188">
        <v>4</v>
      </c>
      <c r="X188">
        <v>5</v>
      </c>
      <c r="Y188">
        <v>5</v>
      </c>
      <c r="Z188">
        <f>'Assessment Questions'!AC188</f>
        <v>0</v>
      </c>
      <c r="AB188">
        <f t="shared" si="73"/>
        <v>0</v>
      </c>
      <c r="AC188">
        <f t="shared" si="74"/>
        <v>0</v>
      </c>
      <c r="AD188">
        <f t="shared" si="59"/>
        <v>0</v>
      </c>
      <c r="AE188">
        <f t="shared" si="75"/>
        <v>0</v>
      </c>
      <c r="AF188">
        <f t="shared" si="60"/>
        <v>5</v>
      </c>
      <c r="AG188">
        <f t="shared" si="76"/>
        <v>0</v>
      </c>
      <c r="AH188">
        <f>'Assessment Questions'!AK188</f>
        <v>0</v>
      </c>
      <c r="AI188">
        <f>'Assessment Questions'!AL188</f>
        <v>0</v>
      </c>
      <c r="AJ188">
        <f>IF(OR($H188="",$H188="N/A"),"",IF($AH188="",VLOOKUP('Company Profile'!$B$40,_CONFIG_Model_Settings!$A$5:$B$8,2,FALSE),IFERROR(VLOOKUP($AH188,_CONFIG_Model_Settings!$A$5:$B$8,2,FALSE),0.9)))</f>
        <v>0.9</v>
      </c>
      <c r="AK188">
        <f>IF(OR($H188="",$H188="N/A"),"",IF($AI188="",VLOOKUP('Company Profile'!$B$41,_CONFIG_Model_Settings!$A$5:$B$8,2,FALSE),IFERROR(VLOOKUP($AI188,_CONFIG_Model_Settings!$A$5:$B$8,2,FALSE),0.9)))</f>
        <v>0.9</v>
      </c>
      <c r="AL188">
        <f t="shared" si="61"/>
        <v>0</v>
      </c>
      <c r="AM188">
        <f t="shared" si="62"/>
        <v>0</v>
      </c>
      <c r="AN188">
        <f>IFERROR(MIN(5,MAX(0,(SUMIFS(_REF_Model_Content!$D$1:$D$174,_REF_Model_Content!$A$1:$A$174,PV_Canonical_Industry,_REF_Model_Content!$B$1:$B$174,"Delivery Ops"))+IFERROR(VLOOKUP('Company Profile'!$B$35,_CONFIG_Model_Settings!$A$11:$B$13,2,0),0))),"")</f>
        <v>0</v>
      </c>
      <c r="AO188">
        <f t="shared" si="63"/>
        <v>0</v>
      </c>
      <c r="AP188">
        <f>IFERROR(SUMIFS(_REF_Model_Content!$E$1:$E$174,_REF_Model_Content!$A$1:$A$174,PV_Canonical_Industry,_REF_Model_Content!$B$1:$B$174,"Delivery Ops"),1)</f>
        <v>0</v>
      </c>
      <c r="AQ188">
        <f t="shared" si="64"/>
        <v>0</v>
      </c>
      <c r="AR188" t="str">
        <f t="shared" si="65"/>
        <v>Within target</v>
      </c>
      <c r="AS188">
        <f t="shared" si="66"/>
        <v>0</v>
      </c>
      <c r="AT188">
        <f t="shared" si="67"/>
        <v>0.9</v>
      </c>
      <c r="AU188">
        <f>'Assessment Questions'!AX188</f>
        <v>0</v>
      </c>
      <c r="AV188">
        <f t="shared" si="68"/>
        <v>0.9</v>
      </c>
      <c r="AW188" t="s">
        <v>1859</v>
      </c>
      <c r="AX188" t="s">
        <v>1859</v>
      </c>
      <c r="AY188">
        <v>17</v>
      </c>
      <c r="AZ188">
        <v>188</v>
      </c>
    </row>
    <row r="189" spans="1:52">
      <c r="A189" t="s">
        <v>1924</v>
      </c>
      <c r="B189" t="s">
        <v>1880</v>
      </c>
      <c r="C189" t="s">
        <v>1925</v>
      </c>
      <c r="D189" t="s">
        <v>1863</v>
      </c>
      <c r="E189" t="s">
        <v>1864</v>
      </c>
      <c r="F189" t="s">
        <v>1926</v>
      </c>
      <c r="G189">
        <f>'Assessment Questions'!J189</f>
        <v>4</v>
      </c>
      <c r="H189">
        <f t="shared" si="54"/>
        <v>0</v>
      </c>
      <c r="I189">
        <f t="shared" si="55"/>
        <v>0</v>
      </c>
      <c r="J189">
        <f t="shared" si="56"/>
        <v>4</v>
      </c>
      <c r="K189">
        <f t="shared" si="57"/>
        <v>4</v>
      </c>
      <c r="L189" t="str">
        <f t="shared" si="58"/>
        <v>Critical</v>
      </c>
      <c r="M189" t="s">
        <v>1927</v>
      </c>
      <c r="N189" t="s">
        <v>1928</v>
      </c>
      <c r="O189" t="s">
        <v>1929</v>
      </c>
      <c r="P189" t="s">
        <v>1930</v>
      </c>
      <c r="Q189" t="s">
        <v>1931</v>
      </c>
      <c r="R189" t="s">
        <v>1932</v>
      </c>
      <c r="S189" t="s">
        <v>1866</v>
      </c>
      <c r="T189">
        <f>'Assessment Questions'!W189</f>
        <v>0</v>
      </c>
      <c r="U189">
        <f>'Assessment Questions'!X189</f>
        <v>0</v>
      </c>
      <c r="V189" t="str">
        <f>'Assessment Questions'!Y189</f>
        <v>Use the recommended action generated by the model; validate with domain owner during real assessment.</v>
      </c>
      <c r="W189">
        <v>4</v>
      </c>
      <c r="X189">
        <v>5</v>
      </c>
      <c r="Y189">
        <v>5</v>
      </c>
      <c r="Z189">
        <f>'Assessment Questions'!AC189</f>
        <v>0</v>
      </c>
      <c r="AB189">
        <f t="shared" si="73"/>
        <v>0</v>
      </c>
      <c r="AC189">
        <f t="shared" si="74"/>
        <v>0</v>
      </c>
      <c r="AD189">
        <f t="shared" si="59"/>
        <v>0</v>
      </c>
      <c r="AE189">
        <f t="shared" si="75"/>
        <v>0</v>
      </c>
      <c r="AF189">
        <f t="shared" si="60"/>
        <v>5</v>
      </c>
      <c r="AG189">
        <f t="shared" si="76"/>
        <v>0</v>
      </c>
      <c r="AH189">
        <f>'Assessment Questions'!AK189</f>
        <v>0</v>
      </c>
      <c r="AI189">
        <f>'Assessment Questions'!AL189</f>
        <v>0</v>
      </c>
      <c r="AJ189">
        <f>IF(OR($H189="",$H189="N/A"),"",IF($AH189="",VLOOKUP('Company Profile'!$B$40,_CONFIG_Model_Settings!$A$5:$B$8,2,FALSE),IFERROR(VLOOKUP($AH189,_CONFIG_Model_Settings!$A$5:$B$8,2,FALSE),0.9)))</f>
        <v>0.9</v>
      </c>
      <c r="AK189">
        <f>IF(OR($H189="",$H189="N/A"),"",IF($AI189="",VLOOKUP('Company Profile'!$B$41,_CONFIG_Model_Settings!$A$5:$B$8,2,FALSE),IFERROR(VLOOKUP($AI189,_CONFIG_Model_Settings!$A$5:$B$8,2,FALSE),0.9)))</f>
        <v>0.9</v>
      </c>
      <c r="AL189">
        <f t="shared" si="61"/>
        <v>0</v>
      </c>
      <c r="AM189">
        <f t="shared" si="62"/>
        <v>0</v>
      </c>
      <c r="AN189">
        <f>IFERROR(MIN(5,MAX(0,(SUMIFS(_REF_Model_Content!$D$1:$D$174,_REF_Model_Content!$A$1:$A$174,PV_Canonical_Industry,_REF_Model_Content!$B$1:$B$174,"Delivery Ops"))+IFERROR(VLOOKUP('Company Profile'!$B$35,_CONFIG_Model_Settings!$A$11:$B$13,2,0),0))),"")</f>
        <v>0</v>
      </c>
      <c r="AO189">
        <f t="shared" si="63"/>
        <v>0</v>
      </c>
      <c r="AP189">
        <f>IFERROR(SUMIFS(_REF_Model_Content!$E$1:$E$174,_REF_Model_Content!$A$1:$A$174,PV_Canonical_Industry,_REF_Model_Content!$B$1:$B$174,"Delivery Ops"),1)</f>
        <v>0</v>
      </c>
      <c r="AQ189">
        <f t="shared" si="64"/>
        <v>0</v>
      </c>
      <c r="AR189" t="str">
        <f t="shared" si="65"/>
        <v>Within target</v>
      </c>
      <c r="AS189">
        <f t="shared" si="66"/>
        <v>0</v>
      </c>
      <c r="AT189">
        <f t="shared" si="67"/>
        <v>0.9</v>
      </c>
      <c r="AU189">
        <f>'Assessment Questions'!AX189</f>
        <v>0</v>
      </c>
      <c r="AV189">
        <f t="shared" si="68"/>
        <v>0.9</v>
      </c>
      <c r="AW189" t="s">
        <v>1859</v>
      </c>
      <c r="AX189" t="s">
        <v>1859</v>
      </c>
      <c r="AY189">
        <v>18</v>
      </c>
      <c r="AZ189">
        <v>189</v>
      </c>
    </row>
    <row r="190" spans="1:52">
      <c r="A190" t="s">
        <v>1933</v>
      </c>
      <c r="B190" t="s">
        <v>1880</v>
      </c>
      <c r="C190" t="s">
        <v>1934</v>
      </c>
      <c r="D190" t="s">
        <v>1863</v>
      </c>
      <c r="E190" t="s">
        <v>1864</v>
      </c>
      <c r="F190" t="s">
        <v>1935</v>
      </c>
      <c r="G190">
        <f>'Assessment Questions'!J190</f>
        <v>5</v>
      </c>
      <c r="H190">
        <f t="shared" si="54"/>
        <v>0</v>
      </c>
      <c r="I190">
        <f t="shared" si="55"/>
        <v>0</v>
      </c>
      <c r="J190">
        <f t="shared" si="56"/>
        <v>5</v>
      </c>
      <c r="K190">
        <f t="shared" si="57"/>
        <v>5</v>
      </c>
      <c r="L190" t="str">
        <f t="shared" si="58"/>
        <v>Critical</v>
      </c>
      <c r="M190" t="s">
        <v>833</v>
      </c>
      <c r="N190" t="s">
        <v>834</v>
      </c>
      <c r="O190" t="s">
        <v>835</v>
      </c>
      <c r="P190" t="s">
        <v>836</v>
      </c>
      <c r="Q190" t="s">
        <v>837</v>
      </c>
      <c r="R190" t="s">
        <v>838</v>
      </c>
      <c r="S190" t="s">
        <v>1866</v>
      </c>
      <c r="T190">
        <f>'Assessment Questions'!W190</f>
        <v>0</v>
      </c>
      <c r="U190">
        <f>'Assessment Questions'!X190</f>
        <v>0</v>
      </c>
      <c r="V190" t="str">
        <f>'Assessment Questions'!Y190</f>
        <v>Use the recommended action generated by the model; validate with domain owner during real assessment.</v>
      </c>
      <c r="W190">
        <v>4</v>
      </c>
      <c r="X190">
        <v>5</v>
      </c>
      <c r="Y190">
        <v>5</v>
      </c>
      <c r="Z190">
        <f>'Assessment Questions'!AC190</f>
        <v>0</v>
      </c>
      <c r="AB190">
        <f t="shared" si="73"/>
        <v>0</v>
      </c>
      <c r="AC190">
        <f t="shared" si="74"/>
        <v>0</v>
      </c>
      <c r="AD190">
        <f t="shared" si="59"/>
        <v>0</v>
      </c>
      <c r="AE190">
        <f t="shared" si="75"/>
        <v>0</v>
      </c>
      <c r="AF190">
        <f t="shared" si="60"/>
        <v>5</v>
      </c>
      <c r="AG190">
        <f t="shared" si="76"/>
        <v>0</v>
      </c>
      <c r="AH190">
        <f>'Assessment Questions'!AK190</f>
        <v>0</v>
      </c>
      <c r="AI190">
        <f>'Assessment Questions'!AL190</f>
        <v>0</v>
      </c>
      <c r="AJ190">
        <f>IF(OR($H190="",$H190="N/A"),"",IF($AH190="",VLOOKUP('Company Profile'!$B$40,_CONFIG_Model_Settings!$A$5:$B$8,2,FALSE),IFERROR(VLOOKUP($AH190,_CONFIG_Model_Settings!$A$5:$B$8,2,FALSE),0.9)))</f>
        <v>0.9</v>
      </c>
      <c r="AK190">
        <f>IF(OR($H190="",$H190="N/A"),"",IF($AI190="",VLOOKUP('Company Profile'!$B$41,_CONFIG_Model_Settings!$A$5:$B$8,2,FALSE),IFERROR(VLOOKUP($AI190,_CONFIG_Model_Settings!$A$5:$B$8,2,FALSE),0.9)))</f>
        <v>0.9</v>
      </c>
      <c r="AL190">
        <f t="shared" si="61"/>
        <v>0</v>
      </c>
      <c r="AM190">
        <f t="shared" si="62"/>
        <v>0</v>
      </c>
      <c r="AN190">
        <f>IFERROR(MIN(5,MAX(0,(SUMIFS(_REF_Model_Content!$D$1:$D$174,_REF_Model_Content!$A$1:$A$174,PV_Canonical_Industry,_REF_Model_Content!$B$1:$B$174,"Delivery Ops"))+IFERROR(VLOOKUP('Company Profile'!$B$35,_CONFIG_Model_Settings!$A$11:$B$13,2,0),0))),"")</f>
        <v>0</v>
      </c>
      <c r="AO190">
        <f t="shared" si="63"/>
        <v>0</v>
      </c>
      <c r="AP190">
        <f>IFERROR(SUMIFS(_REF_Model_Content!$E$1:$E$174,_REF_Model_Content!$A$1:$A$174,PV_Canonical_Industry,_REF_Model_Content!$B$1:$B$174,"Delivery Ops"),1)</f>
        <v>0</v>
      </c>
      <c r="AQ190">
        <f t="shared" si="64"/>
        <v>0</v>
      </c>
      <c r="AR190" t="str">
        <f t="shared" si="65"/>
        <v>Within target</v>
      </c>
      <c r="AS190">
        <f t="shared" si="66"/>
        <v>0</v>
      </c>
      <c r="AT190">
        <f t="shared" si="67"/>
        <v>0.9</v>
      </c>
      <c r="AU190">
        <f>'Assessment Questions'!AX190</f>
        <v>0</v>
      </c>
      <c r="AV190">
        <f t="shared" si="68"/>
        <v>0.9</v>
      </c>
      <c r="AW190" t="s">
        <v>1859</v>
      </c>
      <c r="AX190" t="s">
        <v>1859</v>
      </c>
      <c r="AY190">
        <v>19</v>
      </c>
      <c r="AZ190">
        <v>190</v>
      </c>
    </row>
    <row r="191" spans="1:52">
      <c r="A191" t="s">
        <v>1936</v>
      </c>
      <c r="B191" t="s">
        <v>1880</v>
      </c>
      <c r="C191" t="s">
        <v>1937</v>
      </c>
      <c r="D191" t="s">
        <v>1863</v>
      </c>
      <c r="E191" t="s">
        <v>1864</v>
      </c>
      <c r="F191" t="s">
        <v>1938</v>
      </c>
      <c r="G191">
        <f>'Assessment Questions'!J191</f>
        <v>4</v>
      </c>
      <c r="H191">
        <f t="shared" si="54"/>
        <v>0</v>
      </c>
      <c r="I191">
        <f t="shared" si="55"/>
        <v>0</v>
      </c>
      <c r="J191">
        <f t="shared" si="56"/>
        <v>4</v>
      </c>
      <c r="K191">
        <f t="shared" si="57"/>
        <v>4</v>
      </c>
      <c r="L191" t="str">
        <f t="shared" si="58"/>
        <v>Critical</v>
      </c>
      <c r="M191" t="s">
        <v>1939</v>
      </c>
      <c r="N191" t="s">
        <v>1940</v>
      </c>
      <c r="O191" t="s">
        <v>1941</v>
      </c>
      <c r="P191" t="s">
        <v>1942</v>
      </c>
      <c r="Q191" t="s">
        <v>1943</v>
      </c>
      <c r="R191" t="s">
        <v>1944</v>
      </c>
      <c r="S191" t="s">
        <v>1866</v>
      </c>
      <c r="T191">
        <f>'Assessment Questions'!W191</f>
        <v>0</v>
      </c>
      <c r="U191">
        <f>'Assessment Questions'!X191</f>
        <v>0</v>
      </c>
      <c r="V191" t="str">
        <f>'Assessment Questions'!Y191</f>
        <v>Use the recommended action generated by the model; validate with domain owner during real assessment.</v>
      </c>
      <c r="W191">
        <v>4</v>
      </c>
      <c r="X191">
        <v>5</v>
      </c>
      <c r="Y191">
        <v>5</v>
      </c>
      <c r="Z191">
        <f>'Assessment Questions'!AC191</f>
        <v>0</v>
      </c>
      <c r="AB191">
        <f t="shared" si="73"/>
        <v>0</v>
      </c>
      <c r="AC191">
        <f t="shared" si="74"/>
        <v>0</v>
      </c>
      <c r="AD191">
        <f t="shared" si="59"/>
        <v>0</v>
      </c>
      <c r="AE191">
        <f t="shared" si="75"/>
        <v>0</v>
      </c>
      <c r="AF191">
        <f t="shared" si="60"/>
        <v>5</v>
      </c>
      <c r="AG191">
        <f t="shared" si="76"/>
        <v>0</v>
      </c>
      <c r="AH191">
        <f>'Assessment Questions'!AK191</f>
        <v>0</v>
      </c>
      <c r="AI191">
        <f>'Assessment Questions'!AL191</f>
        <v>0</v>
      </c>
      <c r="AJ191">
        <f>IF(OR($H191="",$H191="N/A"),"",IF($AH191="",VLOOKUP('Company Profile'!$B$40,_CONFIG_Model_Settings!$A$5:$B$8,2,FALSE),IFERROR(VLOOKUP($AH191,_CONFIG_Model_Settings!$A$5:$B$8,2,FALSE),0.9)))</f>
        <v>0.9</v>
      </c>
      <c r="AK191">
        <f>IF(OR($H191="",$H191="N/A"),"",IF($AI191="",VLOOKUP('Company Profile'!$B$41,_CONFIG_Model_Settings!$A$5:$B$8,2,FALSE),IFERROR(VLOOKUP($AI191,_CONFIG_Model_Settings!$A$5:$B$8,2,FALSE),0.9)))</f>
        <v>0.9</v>
      </c>
      <c r="AL191">
        <f t="shared" si="61"/>
        <v>0</v>
      </c>
      <c r="AM191">
        <f t="shared" si="62"/>
        <v>0</v>
      </c>
      <c r="AN191">
        <f>IFERROR(MIN(5,MAX(0,(SUMIFS(_REF_Model_Content!$D$1:$D$174,_REF_Model_Content!$A$1:$A$174,PV_Canonical_Industry,_REF_Model_Content!$B$1:$B$174,"Delivery Ops"))+IFERROR(VLOOKUP('Company Profile'!$B$35,_CONFIG_Model_Settings!$A$11:$B$13,2,0),0))),"")</f>
        <v>0</v>
      </c>
      <c r="AO191">
        <f t="shared" si="63"/>
        <v>0</v>
      </c>
      <c r="AP191">
        <f>IFERROR(SUMIFS(_REF_Model_Content!$E$1:$E$174,_REF_Model_Content!$A$1:$A$174,PV_Canonical_Industry,_REF_Model_Content!$B$1:$B$174,"Delivery Ops"),1)</f>
        <v>0</v>
      </c>
      <c r="AQ191">
        <f t="shared" si="64"/>
        <v>0</v>
      </c>
      <c r="AR191" t="str">
        <f t="shared" si="65"/>
        <v>Within target</v>
      </c>
      <c r="AS191">
        <f t="shared" si="66"/>
        <v>0</v>
      </c>
      <c r="AT191">
        <f t="shared" si="67"/>
        <v>0.9</v>
      </c>
      <c r="AU191">
        <f>'Assessment Questions'!AX191</f>
        <v>0</v>
      </c>
      <c r="AV191">
        <f t="shared" si="68"/>
        <v>0.9</v>
      </c>
      <c r="AW191" t="s">
        <v>1859</v>
      </c>
      <c r="AX191" t="s">
        <v>1859</v>
      </c>
      <c r="AY191">
        <v>20</v>
      </c>
      <c r="AZ191">
        <v>191</v>
      </c>
    </row>
    <row r="192" spans="1:52">
      <c r="A192" t="s">
        <v>1945</v>
      </c>
      <c r="B192" t="s">
        <v>1880</v>
      </c>
      <c r="C192" t="s">
        <v>1946</v>
      </c>
      <c r="D192" t="s">
        <v>1863</v>
      </c>
      <c r="E192" t="s">
        <v>1864</v>
      </c>
      <c r="F192" t="s">
        <v>1947</v>
      </c>
      <c r="G192">
        <f>'Assessment Questions'!J192</f>
        <v>3</v>
      </c>
      <c r="H192">
        <f t="shared" si="54"/>
        <v>0</v>
      </c>
      <c r="I192">
        <f t="shared" si="55"/>
        <v>0</v>
      </c>
      <c r="J192">
        <f t="shared" si="56"/>
        <v>3</v>
      </c>
      <c r="K192">
        <f t="shared" si="57"/>
        <v>3</v>
      </c>
      <c r="L192" t="str">
        <f t="shared" si="58"/>
        <v>Critical</v>
      </c>
      <c r="M192" t="s">
        <v>1948</v>
      </c>
      <c r="N192" t="s">
        <v>1949</v>
      </c>
      <c r="O192" t="s">
        <v>1950</v>
      </c>
      <c r="P192" t="s">
        <v>1951</v>
      </c>
      <c r="Q192" t="s">
        <v>1952</v>
      </c>
      <c r="R192" t="s">
        <v>1953</v>
      </c>
      <c r="S192" t="s">
        <v>1866</v>
      </c>
      <c r="T192">
        <f>'Assessment Questions'!W192</f>
        <v>0</v>
      </c>
      <c r="U192">
        <f>'Assessment Questions'!X192</f>
        <v>0</v>
      </c>
      <c r="V192" t="str">
        <f>'Assessment Questions'!Y192</f>
        <v>Use the recommended action generated by the model; validate with domain owner during real assessment.</v>
      </c>
      <c r="W192">
        <v>4</v>
      </c>
      <c r="X192">
        <v>5</v>
      </c>
      <c r="Y192">
        <v>5</v>
      </c>
      <c r="Z192">
        <f>'Assessment Questions'!AC192</f>
        <v>0</v>
      </c>
      <c r="AB192">
        <f t="shared" si="73"/>
        <v>0</v>
      </c>
      <c r="AC192">
        <f t="shared" si="74"/>
        <v>0</v>
      </c>
      <c r="AD192">
        <f t="shared" si="59"/>
        <v>0</v>
      </c>
      <c r="AE192">
        <f t="shared" si="75"/>
        <v>0</v>
      </c>
      <c r="AF192">
        <f t="shared" si="60"/>
        <v>5</v>
      </c>
      <c r="AG192">
        <f t="shared" si="76"/>
        <v>0</v>
      </c>
      <c r="AH192">
        <f>'Assessment Questions'!AK192</f>
        <v>0</v>
      </c>
      <c r="AI192">
        <f>'Assessment Questions'!AL192</f>
        <v>0</v>
      </c>
      <c r="AJ192">
        <f>IF(OR($H192="",$H192="N/A"),"",IF($AH192="",VLOOKUP('Company Profile'!$B$40,_CONFIG_Model_Settings!$A$5:$B$8,2,FALSE),IFERROR(VLOOKUP($AH192,_CONFIG_Model_Settings!$A$5:$B$8,2,FALSE),0.9)))</f>
        <v>0.9</v>
      </c>
      <c r="AK192">
        <f>IF(OR($H192="",$H192="N/A"),"",IF($AI192="",VLOOKUP('Company Profile'!$B$41,_CONFIG_Model_Settings!$A$5:$B$8,2,FALSE),IFERROR(VLOOKUP($AI192,_CONFIG_Model_Settings!$A$5:$B$8,2,FALSE),0.9)))</f>
        <v>0.9</v>
      </c>
      <c r="AL192">
        <f t="shared" si="61"/>
        <v>0</v>
      </c>
      <c r="AM192">
        <f t="shared" si="62"/>
        <v>0</v>
      </c>
      <c r="AN192">
        <f>IFERROR(MIN(5,MAX(0,(SUMIFS(_REF_Model_Content!$D$1:$D$174,_REF_Model_Content!$A$1:$A$174,PV_Canonical_Industry,_REF_Model_Content!$B$1:$B$174,"Delivery Ops"))+IFERROR(VLOOKUP('Company Profile'!$B$35,_CONFIG_Model_Settings!$A$11:$B$13,2,0),0))),"")</f>
        <v>0</v>
      </c>
      <c r="AO192">
        <f t="shared" si="63"/>
        <v>0</v>
      </c>
      <c r="AP192">
        <f>IFERROR(SUMIFS(_REF_Model_Content!$E$1:$E$174,_REF_Model_Content!$A$1:$A$174,PV_Canonical_Industry,_REF_Model_Content!$B$1:$B$174,"Delivery Ops"),1)</f>
        <v>0</v>
      </c>
      <c r="AQ192">
        <f t="shared" si="64"/>
        <v>0</v>
      </c>
      <c r="AR192" t="str">
        <f t="shared" si="65"/>
        <v>Within target</v>
      </c>
      <c r="AS192">
        <f t="shared" si="66"/>
        <v>0</v>
      </c>
      <c r="AT192">
        <f t="shared" si="67"/>
        <v>0.9</v>
      </c>
      <c r="AU192">
        <f>'Assessment Questions'!AX192</f>
        <v>0</v>
      </c>
      <c r="AV192">
        <f t="shared" si="68"/>
        <v>0.9</v>
      </c>
      <c r="AW192" t="s">
        <v>1859</v>
      </c>
      <c r="AX192" t="s">
        <v>1859</v>
      </c>
      <c r="AY192">
        <v>21</v>
      </c>
      <c r="AZ192">
        <v>192</v>
      </c>
    </row>
    <row r="193" spans="1:52">
      <c r="A193" t="s">
        <v>1954</v>
      </c>
      <c r="B193" t="s">
        <v>1880</v>
      </c>
      <c r="C193" t="s">
        <v>1955</v>
      </c>
      <c r="D193" t="s">
        <v>1863</v>
      </c>
      <c r="E193" t="s">
        <v>1864</v>
      </c>
      <c r="F193" t="s">
        <v>1956</v>
      </c>
      <c r="G193">
        <f>'Assessment Questions'!J193</f>
        <v>3</v>
      </c>
      <c r="H193">
        <f t="shared" si="54"/>
        <v>0</v>
      </c>
      <c r="I193">
        <f t="shared" si="55"/>
        <v>0</v>
      </c>
      <c r="J193">
        <f t="shared" si="56"/>
        <v>3</v>
      </c>
      <c r="K193">
        <f t="shared" si="57"/>
        <v>3</v>
      </c>
      <c r="L193" t="str">
        <f t="shared" si="58"/>
        <v>Critical</v>
      </c>
      <c r="M193" t="s">
        <v>1957</v>
      </c>
      <c r="N193" t="s">
        <v>1958</v>
      </c>
      <c r="O193" t="s">
        <v>1959</v>
      </c>
      <c r="P193" t="s">
        <v>1960</v>
      </c>
      <c r="Q193" t="s">
        <v>1961</v>
      </c>
      <c r="R193" t="s">
        <v>1962</v>
      </c>
      <c r="S193" t="s">
        <v>1866</v>
      </c>
      <c r="T193">
        <f>'Assessment Questions'!W193</f>
        <v>0</v>
      </c>
      <c r="U193">
        <f>'Assessment Questions'!X193</f>
        <v>0</v>
      </c>
      <c r="V193" t="str">
        <f>'Assessment Questions'!Y193</f>
        <v>Use the recommended action generated by the model; validate with domain owner during real assessment.</v>
      </c>
      <c r="W193">
        <v>4</v>
      </c>
      <c r="X193">
        <v>5</v>
      </c>
      <c r="Y193">
        <v>5</v>
      </c>
      <c r="Z193">
        <f>'Assessment Questions'!AC193</f>
        <v>0</v>
      </c>
      <c r="AB193">
        <f t="shared" si="73"/>
        <v>0</v>
      </c>
      <c r="AC193">
        <f t="shared" si="74"/>
        <v>0</v>
      </c>
      <c r="AD193">
        <f t="shared" si="59"/>
        <v>0</v>
      </c>
      <c r="AE193">
        <f t="shared" si="75"/>
        <v>0</v>
      </c>
      <c r="AF193">
        <f t="shared" si="60"/>
        <v>5</v>
      </c>
      <c r="AG193">
        <f t="shared" si="76"/>
        <v>0</v>
      </c>
      <c r="AH193">
        <f>'Assessment Questions'!AK193</f>
        <v>0</v>
      </c>
      <c r="AI193">
        <f>'Assessment Questions'!AL193</f>
        <v>0</v>
      </c>
      <c r="AJ193">
        <f>IF(OR($H193="",$H193="N/A"),"",IF($AH193="",VLOOKUP('Company Profile'!$B$40,_CONFIG_Model_Settings!$A$5:$B$8,2,FALSE),IFERROR(VLOOKUP($AH193,_CONFIG_Model_Settings!$A$5:$B$8,2,FALSE),0.9)))</f>
        <v>0.9</v>
      </c>
      <c r="AK193">
        <f>IF(OR($H193="",$H193="N/A"),"",IF($AI193="",VLOOKUP('Company Profile'!$B$41,_CONFIG_Model_Settings!$A$5:$B$8,2,FALSE),IFERROR(VLOOKUP($AI193,_CONFIG_Model_Settings!$A$5:$B$8,2,FALSE),0.9)))</f>
        <v>0.9</v>
      </c>
      <c r="AL193">
        <f t="shared" si="61"/>
        <v>0</v>
      </c>
      <c r="AM193">
        <f t="shared" si="62"/>
        <v>0</v>
      </c>
      <c r="AN193">
        <f>IFERROR(MIN(5,MAX(0,(SUMIFS(_REF_Model_Content!$D$1:$D$174,_REF_Model_Content!$A$1:$A$174,PV_Canonical_Industry,_REF_Model_Content!$B$1:$B$174,"Delivery Ops"))+IFERROR(VLOOKUP('Company Profile'!$B$35,_CONFIG_Model_Settings!$A$11:$B$13,2,0),0))),"")</f>
        <v>0</v>
      </c>
      <c r="AO193">
        <f t="shared" si="63"/>
        <v>0</v>
      </c>
      <c r="AP193">
        <f>IFERROR(SUMIFS(_REF_Model_Content!$E$1:$E$174,_REF_Model_Content!$A$1:$A$174,PV_Canonical_Industry,_REF_Model_Content!$B$1:$B$174,"Delivery Ops"),1)</f>
        <v>0</v>
      </c>
      <c r="AQ193">
        <f t="shared" si="64"/>
        <v>0</v>
      </c>
      <c r="AR193" t="str">
        <f t="shared" si="65"/>
        <v>Within target</v>
      </c>
      <c r="AS193">
        <f t="shared" si="66"/>
        <v>0</v>
      </c>
      <c r="AT193">
        <f t="shared" si="67"/>
        <v>0.9</v>
      </c>
      <c r="AU193">
        <f>'Assessment Questions'!AX193</f>
        <v>0</v>
      </c>
      <c r="AV193">
        <f t="shared" si="68"/>
        <v>0.9</v>
      </c>
      <c r="AW193" t="s">
        <v>1859</v>
      </c>
      <c r="AX193" t="s">
        <v>1859</v>
      </c>
      <c r="AY193">
        <v>22</v>
      </c>
      <c r="AZ193">
        <v>193</v>
      </c>
    </row>
    <row r="194" spans="1:52">
      <c r="A194" t="s">
        <v>1963</v>
      </c>
      <c r="B194" t="s">
        <v>1884</v>
      </c>
      <c r="C194" t="s">
        <v>1964</v>
      </c>
      <c r="D194" t="s">
        <v>1863</v>
      </c>
      <c r="E194" t="s">
        <v>1864</v>
      </c>
      <c r="F194" t="s">
        <v>1965</v>
      </c>
      <c r="G194">
        <f>'Assessment Questions'!J194</f>
        <v>5</v>
      </c>
      <c r="H194">
        <f t="shared" si="54"/>
        <v>0</v>
      </c>
      <c r="I194">
        <f t="shared" si="55"/>
        <v>0</v>
      </c>
      <c r="J194">
        <f t="shared" si="56"/>
        <v>5</v>
      </c>
      <c r="K194">
        <f t="shared" si="57"/>
        <v>5</v>
      </c>
      <c r="L194" t="str">
        <f t="shared" si="58"/>
        <v>Critical</v>
      </c>
      <c r="M194" t="s">
        <v>1069</v>
      </c>
      <c r="N194" t="s">
        <v>1070</v>
      </c>
      <c r="O194" t="s">
        <v>1071</v>
      </c>
      <c r="P194" t="s">
        <v>1072</v>
      </c>
      <c r="Q194" t="s">
        <v>1073</v>
      </c>
      <c r="R194" t="s">
        <v>1074</v>
      </c>
      <c r="S194" t="s">
        <v>1866</v>
      </c>
      <c r="T194">
        <f>'Assessment Questions'!W194</f>
        <v>0</v>
      </c>
      <c r="U194">
        <f>'Assessment Questions'!X194</f>
        <v>0</v>
      </c>
      <c r="V194" t="str">
        <f>'Assessment Questions'!Y194</f>
        <v>Use the recommended action generated by the model; validate with domain owner during real assessment.</v>
      </c>
      <c r="W194">
        <v>4</v>
      </c>
      <c r="X194">
        <v>5</v>
      </c>
      <c r="Y194">
        <v>5</v>
      </c>
      <c r="Z194">
        <f>'Assessment Questions'!AC194</f>
        <v>0</v>
      </c>
      <c r="AB194">
        <f t="shared" si="73"/>
        <v>0</v>
      </c>
      <c r="AC194">
        <f t="shared" si="74"/>
        <v>0</v>
      </c>
      <c r="AD194">
        <f t="shared" si="59"/>
        <v>0</v>
      </c>
      <c r="AE194">
        <f t="shared" si="75"/>
        <v>0</v>
      </c>
      <c r="AF194">
        <f t="shared" si="60"/>
        <v>5</v>
      </c>
      <c r="AG194">
        <f t="shared" si="76"/>
        <v>0</v>
      </c>
      <c r="AH194">
        <f>'Assessment Questions'!AK194</f>
        <v>0</v>
      </c>
      <c r="AI194">
        <f>'Assessment Questions'!AL194</f>
        <v>0</v>
      </c>
      <c r="AJ194">
        <f>IF(OR($H194="",$H194="N/A"),"",IF($AH194="",VLOOKUP('Company Profile'!$B$40,_CONFIG_Model_Settings!$A$5:$B$8,2,FALSE),IFERROR(VLOOKUP($AH194,_CONFIG_Model_Settings!$A$5:$B$8,2,FALSE),0.9)))</f>
        <v>0.9</v>
      </c>
      <c r="AK194">
        <f>IF(OR($H194="",$H194="N/A"),"",IF($AI194="",VLOOKUP('Company Profile'!$B$41,_CONFIG_Model_Settings!$A$5:$B$8,2,FALSE),IFERROR(VLOOKUP($AI194,_CONFIG_Model_Settings!$A$5:$B$8,2,FALSE),0.9)))</f>
        <v>0.9</v>
      </c>
      <c r="AL194">
        <f t="shared" si="61"/>
        <v>0</v>
      </c>
      <c r="AM194">
        <f t="shared" si="62"/>
        <v>0</v>
      </c>
      <c r="AN194">
        <f>IFERROR(MIN(5,MAX(0,(SUMIFS(_REF_Model_Content!$D$1:$D$174,_REF_Model_Content!$A$1:$A$174,PV_Canonical_Industry,_REF_Model_Content!$B$1:$B$174,"Delivery Ops"))+IFERROR(VLOOKUP('Company Profile'!$B$35,_CONFIG_Model_Settings!$A$11:$B$13,2,0),0))),"")</f>
        <v>0</v>
      </c>
      <c r="AO194">
        <f t="shared" si="63"/>
        <v>0</v>
      </c>
      <c r="AP194">
        <f>IFERROR(SUMIFS(_REF_Model_Content!$E$1:$E$174,_REF_Model_Content!$A$1:$A$174,PV_Canonical_Industry,_REF_Model_Content!$B$1:$B$174,"Delivery Ops"),1)</f>
        <v>0</v>
      </c>
      <c r="AQ194">
        <f t="shared" si="64"/>
        <v>0</v>
      </c>
      <c r="AR194" t="str">
        <f t="shared" si="65"/>
        <v>Within target</v>
      </c>
      <c r="AS194">
        <f t="shared" si="66"/>
        <v>0</v>
      </c>
      <c r="AT194">
        <f t="shared" si="67"/>
        <v>0.9</v>
      </c>
      <c r="AU194">
        <f>'Assessment Questions'!AX194</f>
        <v>0</v>
      </c>
      <c r="AV194">
        <f t="shared" si="68"/>
        <v>0.9</v>
      </c>
      <c r="AW194" t="s">
        <v>1859</v>
      </c>
      <c r="AX194" t="s">
        <v>1859</v>
      </c>
      <c r="AY194">
        <v>23</v>
      </c>
      <c r="AZ194">
        <v>194</v>
      </c>
    </row>
    <row r="195" spans="1:52">
      <c r="A195" t="s">
        <v>1966</v>
      </c>
      <c r="B195" t="s">
        <v>1884</v>
      </c>
      <c r="C195" t="s">
        <v>1967</v>
      </c>
      <c r="D195" t="s">
        <v>1863</v>
      </c>
      <c r="E195" t="s">
        <v>1864</v>
      </c>
      <c r="F195" t="s">
        <v>1968</v>
      </c>
      <c r="G195">
        <f>'Assessment Questions'!J195</f>
        <v>5</v>
      </c>
      <c r="H195">
        <f t="shared" si="54"/>
        <v>0</v>
      </c>
      <c r="I195">
        <f t="shared" si="55"/>
        <v>0</v>
      </c>
      <c r="J195">
        <f t="shared" si="56"/>
        <v>5</v>
      </c>
      <c r="K195">
        <f t="shared" si="57"/>
        <v>5</v>
      </c>
      <c r="L195" t="str">
        <f t="shared" si="58"/>
        <v>Critical</v>
      </c>
      <c r="M195" t="s">
        <v>1069</v>
      </c>
      <c r="N195" t="s">
        <v>1070</v>
      </c>
      <c r="O195" t="s">
        <v>1071</v>
      </c>
      <c r="P195" t="s">
        <v>1072</v>
      </c>
      <c r="Q195" t="s">
        <v>1073</v>
      </c>
      <c r="R195" t="s">
        <v>1074</v>
      </c>
      <c r="S195" t="s">
        <v>1866</v>
      </c>
      <c r="T195">
        <f>'Assessment Questions'!W195</f>
        <v>0</v>
      </c>
      <c r="U195">
        <f>'Assessment Questions'!X195</f>
        <v>0</v>
      </c>
      <c r="V195" t="str">
        <f>'Assessment Questions'!Y195</f>
        <v>Use the recommended action generated by the model; validate with domain owner during real assessment.</v>
      </c>
      <c r="W195">
        <v>4</v>
      </c>
      <c r="X195">
        <v>5</v>
      </c>
      <c r="Y195">
        <v>5</v>
      </c>
      <c r="Z195">
        <f>'Assessment Questions'!AC195</f>
        <v>0</v>
      </c>
      <c r="AB195">
        <f t="shared" si="73"/>
        <v>0</v>
      </c>
      <c r="AC195">
        <f t="shared" si="74"/>
        <v>0</v>
      </c>
      <c r="AD195">
        <f t="shared" si="59"/>
        <v>0</v>
      </c>
      <c r="AE195">
        <f t="shared" si="75"/>
        <v>0</v>
      </c>
      <c r="AF195">
        <f t="shared" si="60"/>
        <v>5</v>
      </c>
      <c r="AG195">
        <f t="shared" si="76"/>
        <v>0</v>
      </c>
      <c r="AH195">
        <f>'Assessment Questions'!AK195</f>
        <v>0</v>
      </c>
      <c r="AI195">
        <f>'Assessment Questions'!AL195</f>
        <v>0</v>
      </c>
      <c r="AJ195">
        <f>IF(OR($H195="",$H195="N/A"),"",IF($AH195="",VLOOKUP('Company Profile'!$B$40,_CONFIG_Model_Settings!$A$5:$B$8,2,FALSE),IFERROR(VLOOKUP($AH195,_CONFIG_Model_Settings!$A$5:$B$8,2,FALSE),0.9)))</f>
        <v>0.9</v>
      </c>
      <c r="AK195">
        <f>IF(OR($H195="",$H195="N/A"),"",IF($AI195="",VLOOKUP('Company Profile'!$B$41,_CONFIG_Model_Settings!$A$5:$B$8,2,FALSE),IFERROR(VLOOKUP($AI195,_CONFIG_Model_Settings!$A$5:$B$8,2,FALSE),0.9)))</f>
        <v>0.9</v>
      </c>
      <c r="AL195">
        <f t="shared" si="61"/>
        <v>0</v>
      </c>
      <c r="AM195">
        <f t="shared" si="62"/>
        <v>0</v>
      </c>
      <c r="AN195">
        <f>IFERROR(MIN(5,MAX(0,(SUMIFS(_REF_Model_Content!$D$1:$D$174,_REF_Model_Content!$A$1:$A$174,PV_Canonical_Industry,_REF_Model_Content!$B$1:$B$174,"Delivery Ops"))+IFERROR(VLOOKUP('Company Profile'!$B$35,_CONFIG_Model_Settings!$A$11:$B$13,2,0),0))),"")</f>
        <v>0</v>
      </c>
      <c r="AO195">
        <f t="shared" si="63"/>
        <v>0</v>
      </c>
      <c r="AP195">
        <f>IFERROR(SUMIFS(_REF_Model_Content!$E$1:$E$174,_REF_Model_Content!$A$1:$A$174,PV_Canonical_Industry,_REF_Model_Content!$B$1:$B$174,"Delivery Ops"),1)</f>
        <v>0</v>
      </c>
      <c r="AQ195">
        <f t="shared" si="64"/>
        <v>0</v>
      </c>
      <c r="AR195" t="str">
        <f t="shared" si="65"/>
        <v>Within target</v>
      </c>
      <c r="AS195">
        <f t="shared" si="66"/>
        <v>0</v>
      </c>
      <c r="AT195">
        <f t="shared" si="67"/>
        <v>0.9</v>
      </c>
      <c r="AU195">
        <f>'Assessment Questions'!AX195</f>
        <v>0</v>
      </c>
      <c r="AV195">
        <f t="shared" si="68"/>
        <v>0.9</v>
      </c>
      <c r="AW195" t="s">
        <v>1859</v>
      </c>
      <c r="AX195" t="s">
        <v>1859</v>
      </c>
      <c r="AY195">
        <v>24</v>
      </c>
      <c r="AZ195">
        <v>195</v>
      </c>
    </row>
    <row r="196" spans="1:52">
      <c r="A196" t="s">
        <v>1969</v>
      </c>
      <c r="B196" t="s">
        <v>1884</v>
      </c>
      <c r="C196" t="s">
        <v>1970</v>
      </c>
      <c r="D196" t="s">
        <v>1863</v>
      </c>
      <c r="E196" t="s">
        <v>1864</v>
      </c>
      <c r="F196" t="s">
        <v>1971</v>
      </c>
      <c r="G196">
        <f>'Assessment Questions'!J196</f>
        <v>4</v>
      </c>
      <c r="H196">
        <f t="shared" si="54"/>
        <v>0</v>
      </c>
      <c r="I196">
        <f t="shared" si="55"/>
        <v>0</v>
      </c>
      <c r="J196">
        <f t="shared" si="56"/>
        <v>4</v>
      </c>
      <c r="K196">
        <f t="shared" si="57"/>
        <v>4</v>
      </c>
      <c r="L196" t="str">
        <f t="shared" si="58"/>
        <v>Critical</v>
      </c>
      <c r="M196" t="s">
        <v>1972</v>
      </c>
      <c r="N196" t="s">
        <v>1973</v>
      </c>
      <c r="O196" t="s">
        <v>1974</v>
      </c>
      <c r="P196" t="s">
        <v>1975</v>
      </c>
      <c r="Q196" t="s">
        <v>1976</v>
      </c>
      <c r="R196" t="s">
        <v>1977</v>
      </c>
      <c r="S196" t="s">
        <v>1866</v>
      </c>
      <c r="T196">
        <f>'Assessment Questions'!W196</f>
        <v>0</v>
      </c>
      <c r="U196">
        <f>'Assessment Questions'!X196</f>
        <v>0</v>
      </c>
      <c r="V196" t="str">
        <f>'Assessment Questions'!Y196</f>
        <v>Use the recommended action generated by the model; validate with domain owner during real assessment.</v>
      </c>
      <c r="W196">
        <v>4</v>
      </c>
      <c r="X196">
        <v>5</v>
      </c>
      <c r="Y196">
        <v>5</v>
      </c>
      <c r="Z196">
        <f>'Assessment Questions'!AC196</f>
        <v>0</v>
      </c>
      <c r="AB196">
        <f t="shared" si="73"/>
        <v>0</v>
      </c>
      <c r="AC196">
        <f t="shared" si="74"/>
        <v>0</v>
      </c>
      <c r="AD196">
        <f t="shared" si="59"/>
        <v>0</v>
      </c>
      <c r="AE196">
        <f t="shared" si="75"/>
        <v>0</v>
      </c>
      <c r="AF196">
        <f t="shared" si="60"/>
        <v>5</v>
      </c>
      <c r="AG196">
        <f t="shared" si="76"/>
        <v>0</v>
      </c>
      <c r="AH196">
        <f>'Assessment Questions'!AK196</f>
        <v>0</v>
      </c>
      <c r="AI196">
        <f>'Assessment Questions'!AL196</f>
        <v>0</v>
      </c>
      <c r="AJ196">
        <f>IF(OR($H196="",$H196="N/A"),"",IF($AH196="",VLOOKUP('Company Profile'!$B$40,_CONFIG_Model_Settings!$A$5:$B$8,2,FALSE),IFERROR(VLOOKUP($AH196,_CONFIG_Model_Settings!$A$5:$B$8,2,FALSE),0.9)))</f>
        <v>0.9</v>
      </c>
      <c r="AK196">
        <f>IF(OR($H196="",$H196="N/A"),"",IF($AI196="",VLOOKUP('Company Profile'!$B$41,_CONFIG_Model_Settings!$A$5:$B$8,2,FALSE),IFERROR(VLOOKUP($AI196,_CONFIG_Model_Settings!$A$5:$B$8,2,FALSE),0.9)))</f>
        <v>0.9</v>
      </c>
      <c r="AL196">
        <f t="shared" si="61"/>
        <v>0</v>
      </c>
      <c r="AM196">
        <f t="shared" si="62"/>
        <v>0</v>
      </c>
      <c r="AN196">
        <f>IFERROR(MIN(5,MAX(0,(SUMIFS(_REF_Model_Content!$D$1:$D$174,_REF_Model_Content!$A$1:$A$174,PV_Canonical_Industry,_REF_Model_Content!$B$1:$B$174,"Delivery Ops"))+IFERROR(VLOOKUP('Company Profile'!$B$35,_CONFIG_Model_Settings!$A$11:$B$13,2,0),0))),"")</f>
        <v>0</v>
      </c>
      <c r="AO196">
        <f t="shared" si="63"/>
        <v>0</v>
      </c>
      <c r="AP196">
        <f>IFERROR(SUMIFS(_REF_Model_Content!$E$1:$E$174,_REF_Model_Content!$A$1:$A$174,PV_Canonical_Industry,_REF_Model_Content!$B$1:$B$174,"Delivery Ops"),1)</f>
        <v>0</v>
      </c>
      <c r="AQ196">
        <f t="shared" si="64"/>
        <v>0</v>
      </c>
      <c r="AR196" t="str">
        <f t="shared" si="65"/>
        <v>Within target</v>
      </c>
      <c r="AS196">
        <f t="shared" si="66"/>
        <v>0</v>
      </c>
      <c r="AT196">
        <f t="shared" si="67"/>
        <v>0.9</v>
      </c>
      <c r="AU196">
        <f>'Assessment Questions'!AX196</f>
        <v>0</v>
      </c>
      <c r="AV196">
        <f t="shared" si="68"/>
        <v>0.9</v>
      </c>
      <c r="AW196" t="s">
        <v>1859</v>
      </c>
      <c r="AX196" t="s">
        <v>1859</v>
      </c>
      <c r="AY196">
        <v>25</v>
      </c>
      <c r="AZ196">
        <v>196</v>
      </c>
    </row>
    <row r="197" spans="1:52">
      <c r="A197" t="s">
        <v>1978</v>
      </c>
      <c r="B197" t="s">
        <v>1884</v>
      </c>
      <c r="C197" t="s">
        <v>1979</v>
      </c>
      <c r="D197" t="s">
        <v>1863</v>
      </c>
      <c r="E197" t="s">
        <v>1864</v>
      </c>
      <c r="F197" t="s">
        <v>1980</v>
      </c>
      <c r="G197">
        <f>'Assessment Questions'!J197</f>
        <v>5</v>
      </c>
      <c r="H197">
        <f t="shared" ref="H197:H260" si="77">IF($Z197="","",IF($Z197="N/A","N/A",VALUE(LEFT($Z197,1))))</f>
        <v>0</v>
      </c>
      <c r="I197">
        <f t="shared" ref="I197:I260" si="78">IF($H197="","",IF($H197="N/A","",VALUE($H197)/5*$G197))</f>
        <v>0</v>
      </c>
      <c r="J197">
        <f t="shared" ref="J197:J260" si="79">IF(OR($H197="",$H197="N/A"),"",$G197)</f>
        <v>5</v>
      </c>
      <c r="K197">
        <f t="shared" ref="K197:K260" si="80">IF(OR($H197="",$H197="N/A"),"",$J197-$I197)</f>
        <v>5</v>
      </c>
      <c r="L197" t="str">
        <f t="shared" ref="L197:L260" si="81">IF($H197="","",IF($H197="N/A","N/A",IF(VALUE($H197)&lt;=1,"Critical",IF(VALUE($H197)&lt;=2,"High",IF(VALUE($H197)&lt;=3,"Medium",IF(VALUE($H197)&lt;=4,"Low","Resilient"))))))</f>
        <v>Critical</v>
      </c>
      <c r="M197" t="s">
        <v>874</v>
      </c>
      <c r="N197" t="s">
        <v>875</v>
      </c>
      <c r="O197" t="s">
        <v>876</v>
      </c>
      <c r="P197" t="s">
        <v>877</v>
      </c>
      <c r="Q197" t="s">
        <v>878</v>
      </c>
      <c r="R197" t="s">
        <v>879</v>
      </c>
      <c r="S197" t="s">
        <v>1866</v>
      </c>
      <c r="T197">
        <f>'Assessment Questions'!W197</f>
        <v>0</v>
      </c>
      <c r="U197">
        <f>'Assessment Questions'!X197</f>
        <v>0</v>
      </c>
      <c r="V197" t="str">
        <f>'Assessment Questions'!Y197</f>
        <v>Use the recommended action generated by the model; validate with domain owner during real assessment.</v>
      </c>
      <c r="W197">
        <v>4</v>
      </c>
      <c r="X197">
        <v>5</v>
      </c>
      <c r="Y197">
        <v>5</v>
      </c>
      <c r="Z197">
        <f>'Assessment Questions'!AC197</f>
        <v>0</v>
      </c>
      <c r="AB197">
        <f t="shared" si="73"/>
        <v>0</v>
      </c>
      <c r="AC197">
        <f t="shared" si="74"/>
        <v>0</v>
      </c>
      <c r="AD197">
        <f t="shared" ref="AD197:AD260" si="82">AC197/5</f>
        <v>0</v>
      </c>
      <c r="AE197">
        <f t="shared" si="75"/>
        <v>0</v>
      </c>
      <c r="AF197">
        <f t="shared" ref="AF197:AF260" si="83">5-AC197</f>
        <v>5</v>
      </c>
      <c r="AG197">
        <f t="shared" si="76"/>
        <v>0</v>
      </c>
      <c r="AH197">
        <f>'Assessment Questions'!AK197</f>
        <v>0</v>
      </c>
      <c r="AI197">
        <f>'Assessment Questions'!AL197</f>
        <v>0</v>
      </c>
      <c r="AJ197">
        <f>IF(OR($H197="",$H197="N/A"),"",IF($AH197="",VLOOKUP('Company Profile'!$B$40,_CONFIG_Model_Settings!$A$5:$B$8,2,FALSE),IFERROR(VLOOKUP($AH197,_CONFIG_Model_Settings!$A$5:$B$8,2,FALSE),0.9)))</f>
        <v>0.9</v>
      </c>
      <c r="AK197">
        <f>IF(OR($H197="",$H197="N/A"),"",IF($AI197="",VLOOKUP('Company Profile'!$B$41,_CONFIG_Model_Settings!$A$5:$B$8,2,FALSE),IFERROR(VLOOKUP($AI197,_CONFIG_Model_Settings!$A$5:$B$8,2,FALSE),0.9)))</f>
        <v>0.9</v>
      </c>
      <c r="AL197">
        <f t="shared" ref="AL197:AL260" si="84">IF(OR($H197="",$H197="N/A"),"",ROUND(VALUE($H197)*$AJ197*$AK197*$AV197,2))</f>
        <v>0</v>
      </c>
      <c r="AM197">
        <f t="shared" ref="AM197:AM260" si="85">IF($AL197="","",ROUND($AL197/5*100,1))</f>
        <v>0</v>
      </c>
      <c r="AN197">
        <f>IFERROR(MIN(5,MAX(0,(SUMIFS(_REF_Model_Content!$D$1:$D$174,_REF_Model_Content!$A$1:$A$174,PV_Canonical_Industry,_REF_Model_Content!$B$1:$B$174,"Delivery Ops"))+IFERROR(VLOOKUP('Company Profile'!$B$35,_CONFIG_Model_Settings!$A$11:$B$13,2,0),0))),"")</f>
        <v>0</v>
      </c>
      <c r="AO197">
        <f t="shared" ref="AO197:AO260" si="86">IF($AL197="","",MAX(0,ROUND($AN197-$AL197,2)))</f>
        <v>0</v>
      </c>
      <c r="AP197">
        <f>IFERROR(SUMIFS(_REF_Model_Content!$E$1:$E$174,_REF_Model_Content!$A$1:$A$174,PV_Canonical_Industry,_REF_Model_Content!$B$1:$B$174,"Delivery Ops"),1)</f>
        <v>0</v>
      </c>
      <c r="AQ197">
        <f t="shared" ref="AQ197:AQ260" si="87">IF($AO197="","",ROUND($AO197*$AP197*($G197/5),2))</f>
        <v>0</v>
      </c>
      <c r="AR197" t="str">
        <f t="shared" ref="AR197:AR260" si="88">IF($AO197="","",IF($AO197&gt;=2,"Critical industry gap",IF($AO197&gt;=1,"High industry gap",IF($AO197&gt;=0.5,"Moderate industry gap","Within target"))))</f>
        <v>Within target</v>
      </c>
      <c r="AS197">
        <f t="shared" ref="AS197:AS260" si="89">IF(OR($H197="",$H197="N/A"),0,VALUE($H197)*(($AJ197+$AK197)/2)*$AV197)</f>
        <v>0</v>
      </c>
      <c r="AT197">
        <f t="shared" ref="AT197:AT260" si="90">IF(OR($H197="",$H197="N/A"),0,($AJ197+$AK197)/2)</f>
        <v>0.9</v>
      </c>
      <c r="AU197">
        <f>'Assessment Questions'!AX197</f>
        <v>0</v>
      </c>
      <c r="AV197">
        <f t="shared" ref="AV197:AV260" si="91">IF(OR($H197="",$H197="N/A"),"",IF(OR($AU197="",$AU197="Everywhere",$AU197="Not applicable"),1,IF($AU197="Pilot / one team",0.4,IF($AU197="One unit or site",0.7,0.9))))</f>
        <v>0.9</v>
      </c>
      <c r="AW197" t="s">
        <v>1859</v>
      </c>
      <c r="AX197" t="s">
        <v>1859</v>
      </c>
      <c r="AY197">
        <v>26</v>
      </c>
      <c r="AZ197">
        <v>197</v>
      </c>
    </row>
    <row r="198" spans="1:52">
      <c r="A198" t="s">
        <v>1981</v>
      </c>
      <c r="B198" t="s">
        <v>1884</v>
      </c>
      <c r="C198" t="s">
        <v>1982</v>
      </c>
      <c r="D198" t="s">
        <v>1863</v>
      </c>
      <c r="E198" t="s">
        <v>1864</v>
      </c>
      <c r="F198" t="s">
        <v>1983</v>
      </c>
      <c r="G198">
        <f>'Assessment Questions'!J198</f>
        <v>5</v>
      </c>
      <c r="H198">
        <f t="shared" si="77"/>
        <v>0</v>
      </c>
      <c r="I198">
        <f t="shared" si="78"/>
        <v>0</v>
      </c>
      <c r="J198">
        <f t="shared" si="79"/>
        <v>5</v>
      </c>
      <c r="K198">
        <f t="shared" si="80"/>
        <v>5</v>
      </c>
      <c r="L198" t="str">
        <f t="shared" si="81"/>
        <v>Critical</v>
      </c>
      <c r="M198" t="s">
        <v>833</v>
      </c>
      <c r="N198" t="s">
        <v>834</v>
      </c>
      <c r="O198" t="s">
        <v>835</v>
      </c>
      <c r="P198" t="s">
        <v>836</v>
      </c>
      <c r="Q198" t="s">
        <v>837</v>
      </c>
      <c r="R198" t="s">
        <v>838</v>
      </c>
      <c r="S198" t="s">
        <v>1866</v>
      </c>
      <c r="T198">
        <f>'Assessment Questions'!W198</f>
        <v>0</v>
      </c>
      <c r="U198">
        <f>'Assessment Questions'!X198</f>
        <v>0</v>
      </c>
      <c r="V198" t="str">
        <f>'Assessment Questions'!Y198</f>
        <v>Use the recommended action generated by the model; validate with domain owner during real assessment.</v>
      </c>
      <c r="W198">
        <v>4</v>
      </c>
      <c r="X198">
        <v>5</v>
      </c>
      <c r="Y198">
        <v>5</v>
      </c>
      <c r="Z198">
        <f>'Assessment Questions'!AC198</f>
        <v>0</v>
      </c>
      <c r="AB198">
        <f t="shared" si="73"/>
        <v>0</v>
      </c>
      <c r="AC198">
        <f t="shared" si="74"/>
        <v>0</v>
      </c>
      <c r="AD198">
        <f t="shared" si="82"/>
        <v>0</v>
      </c>
      <c r="AE198">
        <f t="shared" si="75"/>
        <v>0</v>
      </c>
      <c r="AF198">
        <f t="shared" si="83"/>
        <v>5</v>
      </c>
      <c r="AG198">
        <f t="shared" si="76"/>
        <v>0</v>
      </c>
      <c r="AH198">
        <f>'Assessment Questions'!AK198</f>
        <v>0</v>
      </c>
      <c r="AI198">
        <f>'Assessment Questions'!AL198</f>
        <v>0</v>
      </c>
      <c r="AJ198">
        <f>IF(OR($H198="",$H198="N/A"),"",IF($AH198="",VLOOKUP('Company Profile'!$B$40,_CONFIG_Model_Settings!$A$5:$B$8,2,FALSE),IFERROR(VLOOKUP($AH198,_CONFIG_Model_Settings!$A$5:$B$8,2,FALSE),0.9)))</f>
        <v>0.9</v>
      </c>
      <c r="AK198">
        <f>IF(OR($H198="",$H198="N/A"),"",IF($AI198="",VLOOKUP('Company Profile'!$B$41,_CONFIG_Model_Settings!$A$5:$B$8,2,FALSE),IFERROR(VLOOKUP($AI198,_CONFIG_Model_Settings!$A$5:$B$8,2,FALSE),0.9)))</f>
        <v>0.9</v>
      </c>
      <c r="AL198">
        <f t="shared" si="84"/>
        <v>0</v>
      </c>
      <c r="AM198">
        <f t="shared" si="85"/>
        <v>0</v>
      </c>
      <c r="AN198">
        <f>IFERROR(MIN(5,MAX(0,(SUMIFS(_REF_Model_Content!$D$1:$D$174,_REF_Model_Content!$A$1:$A$174,PV_Canonical_Industry,_REF_Model_Content!$B$1:$B$174,"Delivery Ops"))+IFERROR(VLOOKUP('Company Profile'!$B$35,_CONFIG_Model_Settings!$A$11:$B$13,2,0),0))),"")</f>
        <v>0</v>
      </c>
      <c r="AO198">
        <f t="shared" si="86"/>
        <v>0</v>
      </c>
      <c r="AP198">
        <f>IFERROR(SUMIFS(_REF_Model_Content!$E$1:$E$174,_REF_Model_Content!$A$1:$A$174,PV_Canonical_Industry,_REF_Model_Content!$B$1:$B$174,"Delivery Ops"),1)</f>
        <v>0</v>
      </c>
      <c r="AQ198">
        <f t="shared" si="87"/>
        <v>0</v>
      </c>
      <c r="AR198" t="str">
        <f t="shared" si="88"/>
        <v>Within target</v>
      </c>
      <c r="AS198">
        <f t="shared" si="89"/>
        <v>0</v>
      </c>
      <c r="AT198">
        <f t="shared" si="90"/>
        <v>0.9</v>
      </c>
      <c r="AU198">
        <f>'Assessment Questions'!AX198</f>
        <v>0</v>
      </c>
      <c r="AV198">
        <f t="shared" si="91"/>
        <v>0.9</v>
      </c>
      <c r="AW198" t="s">
        <v>1859</v>
      </c>
      <c r="AX198" t="s">
        <v>1859</v>
      </c>
      <c r="AY198">
        <v>27</v>
      </c>
      <c r="AZ198">
        <v>198</v>
      </c>
    </row>
    <row r="199" spans="1:52">
      <c r="A199" t="s">
        <v>1984</v>
      </c>
      <c r="B199" t="s">
        <v>1884</v>
      </c>
      <c r="C199" t="s">
        <v>1985</v>
      </c>
      <c r="D199" t="s">
        <v>1863</v>
      </c>
      <c r="E199" t="s">
        <v>1864</v>
      </c>
      <c r="F199" t="s">
        <v>1986</v>
      </c>
      <c r="G199">
        <f>'Assessment Questions'!J199</f>
        <v>5</v>
      </c>
      <c r="H199">
        <f t="shared" si="77"/>
        <v>0</v>
      </c>
      <c r="I199">
        <f t="shared" si="78"/>
        <v>0</v>
      </c>
      <c r="J199">
        <f t="shared" si="79"/>
        <v>5</v>
      </c>
      <c r="K199">
        <f t="shared" si="80"/>
        <v>5</v>
      </c>
      <c r="L199" t="str">
        <f t="shared" si="81"/>
        <v>Critical</v>
      </c>
      <c r="M199" t="s">
        <v>833</v>
      </c>
      <c r="N199" t="s">
        <v>834</v>
      </c>
      <c r="O199" t="s">
        <v>835</v>
      </c>
      <c r="P199" t="s">
        <v>836</v>
      </c>
      <c r="Q199" t="s">
        <v>837</v>
      </c>
      <c r="R199" t="s">
        <v>838</v>
      </c>
      <c r="S199" t="s">
        <v>1866</v>
      </c>
      <c r="T199">
        <f>'Assessment Questions'!W199</f>
        <v>0</v>
      </c>
      <c r="U199">
        <f>'Assessment Questions'!X199</f>
        <v>0</v>
      </c>
      <c r="V199" t="str">
        <f>'Assessment Questions'!Y199</f>
        <v>Use the recommended action generated by the model; validate with domain owner during real assessment.</v>
      </c>
      <c r="W199">
        <v>4</v>
      </c>
      <c r="X199">
        <v>5</v>
      </c>
      <c r="Y199">
        <v>5</v>
      </c>
      <c r="Z199">
        <f>'Assessment Questions'!AC199</f>
        <v>0</v>
      </c>
      <c r="AB199">
        <f t="shared" si="73"/>
        <v>0</v>
      </c>
      <c r="AC199">
        <f t="shared" si="74"/>
        <v>0</v>
      </c>
      <c r="AD199">
        <f t="shared" si="82"/>
        <v>0</v>
      </c>
      <c r="AE199">
        <f t="shared" si="75"/>
        <v>0</v>
      </c>
      <c r="AF199">
        <f t="shared" si="83"/>
        <v>5</v>
      </c>
      <c r="AG199">
        <f t="shared" si="76"/>
        <v>0</v>
      </c>
      <c r="AH199">
        <f>'Assessment Questions'!AK199</f>
        <v>0</v>
      </c>
      <c r="AI199">
        <f>'Assessment Questions'!AL199</f>
        <v>0</v>
      </c>
      <c r="AJ199">
        <f>IF(OR($H199="",$H199="N/A"),"",IF($AH199="",VLOOKUP('Company Profile'!$B$40,_CONFIG_Model_Settings!$A$5:$B$8,2,FALSE),IFERROR(VLOOKUP($AH199,_CONFIG_Model_Settings!$A$5:$B$8,2,FALSE),0.9)))</f>
        <v>0.9</v>
      </c>
      <c r="AK199">
        <f>IF(OR($H199="",$H199="N/A"),"",IF($AI199="",VLOOKUP('Company Profile'!$B$41,_CONFIG_Model_Settings!$A$5:$B$8,2,FALSE),IFERROR(VLOOKUP($AI199,_CONFIG_Model_Settings!$A$5:$B$8,2,FALSE),0.9)))</f>
        <v>0.9</v>
      </c>
      <c r="AL199">
        <f t="shared" si="84"/>
        <v>0</v>
      </c>
      <c r="AM199">
        <f t="shared" si="85"/>
        <v>0</v>
      </c>
      <c r="AN199">
        <f>IFERROR(MIN(5,MAX(0,(SUMIFS(_REF_Model_Content!$D$1:$D$174,_REF_Model_Content!$A$1:$A$174,PV_Canonical_Industry,_REF_Model_Content!$B$1:$B$174,"Delivery Ops"))+IFERROR(VLOOKUP('Company Profile'!$B$35,_CONFIG_Model_Settings!$A$11:$B$13,2,0),0))),"")</f>
        <v>0</v>
      </c>
      <c r="AO199">
        <f t="shared" si="86"/>
        <v>0</v>
      </c>
      <c r="AP199">
        <f>IFERROR(SUMIFS(_REF_Model_Content!$E$1:$E$174,_REF_Model_Content!$A$1:$A$174,PV_Canonical_Industry,_REF_Model_Content!$B$1:$B$174,"Delivery Ops"),1)</f>
        <v>0</v>
      </c>
      <c r="AQ199">
        <f t="shared" si="87"/>
        <v>0</v>
      </c>
      <c r="AR199" t="str">
        <f t="shared" si="88"/>
        <v>Within target</v>
      </c>
      <c r="AS199">
        <f t="shared" si="89"/>
        <v>0</v>
      </c>
      <c r="AT199">
        <f t="shared" si="90"/>
        <v>0.9</v>
      </c>
      <c r="AU199">
        <f>'Assessment Questions'!AX199</f>
        <v>0</v>
      </c>
      <c r="AV199">
        <f t="shared" si="91"/>
        <v>0.9</v>
      </c>
      <c r="AW199" t="s">
        <v>1859</v>
      </c>
      <c r="AX199" t="s">
        <v>1859</v>
      </c>
      <c r="AY199">
        <v>28</v>
      </c>
      <c r="AZ199">
        <v>199</v>
      </c>
    </row>
    <row r="200" spans="1:52">
      <c r="A200" t="s">
        <v>1988</v>
      </c>
      <c r="B200" t="s">
        <v>1989</v>
      </c>
      <c r="C200" t="s">
        <v>1990</v>
      </c>
      <c r="D200" t="s">
        <v>1991</v>
      </c>
      <c r="E200" t="s">
        <v>1992</v>
      </c>
      <c r="F200" t="s">
        <v>1993</v>
      </c>
      <c r="G200">
        <f>'Assessment Questions'!J200</f>
        <v>5</v>
      </c>
      <c r="H200">
        <f t="shared" si="77"/>
        <v>0</v>
      </c>
      <c r="I200">
        <f t="shared" si="78"/>
        <v>0</v>
      </c>
      <c r="J200">
        <f t="shared" si="79"/>
        <v>5</v>
      </c>
      <c r="K200">
        <f t="shared" si="80"/>
        <v>5</v>
      </c>
      <c r="L200" t="str">
        <f t="shared" si="81"/>
        <v>Critical</v>
      </c>
      <c r="M200" t="s">
        <v>1051</v>
      </c>
      <c r="N200" t="s">
        <v>1052</v>
      </c>
      <c r="O200" t="s">
        <v>1053</v>
      </c>
      <c r="P200" t="s">
        <v>1054</v>
      </c>
      <c r="Q200" t="s">
        <v>1055</v>
      </c>
      <c r="R200" t="s">
        <v>1056</v>
      </c>
      <c r="S200" t="s">
        <v>1994</v>
      </c>
      <c r="T200">
        <f>'Assessment Questions'!W200</f>
        <v>0</v>
      </c>
      <c r="U200">
        <f>'Assessment Questions'!X200</f>
        <v>0</v>
      </c>
      <c r="V200" t="str">
        <f>'Assessment Questions'!Y200</f>
        <v>Use the recommended action generated by the model; validate with domain owner during real assessment.</v>
      </c>
      <c r="W200">
        <v>4</v>
      </c>
      <c r="X200">
        <v>5</v>
      </c>
      <c r="Y200">
        <v>5</v>
      </c>
      <c r="Z200">
        <f>'Assessment Questions'!AC200</f>
        <v>0</v>
      </c>
      <c r="AA200" t="s">
        <v>1989</v>
      </c>
      <c r="AB200">
        <f t="shared" ref="AB200:AB228" si="92">COUNTIF($B$200:$B$228,$AA200)</f>
        <v>6</v>
      </c>
      <c r="AC200">
        <f t="shared" ref="AC200:AC228" si="93">IFERROR(SUMPRODUCT(($B$200:$B$228=$AA200)*($H$200:$H$228&lt;&gt;"")*($H$200:$H$228&lt;&gt;"N/A")*IFERROR(VALUE($H$200:$H$228),0))/SUMPRODUCT(($B$200:$B$228=$AA200)*($H$200:$H$228&lt;&gt;"")*($H$200:$H$228&lt;&gt;"N/A")),0)</f>
        <v>0</v>
      </c>
      <c r="AD200">
        <f t="shared" si="82"/>
        <v>0</v>
      </c>
      <c r="AE200">
        <f t="shared" ref="AE200:AE228" si="94">COUNTIFS($B$200:$B$228,$AA200,$L$200:$L$228,"Critical")+COUNTIFS($B$200:$B$228,$AA200,$L$200:$L$228,"High")</f>
        <v>6</v>
      </c>
      <c r="AF200">
        <f t="shared" si="83"/>
        <v>5</v>
      </c>
      <c r="AG200">
        <f t="shared" ref="AG200:AG228" si="95">SUMPRODUCT(($B$200:$B$228=$AA200)*(ISNUMBER($H$200:$H$228)+($H$200:$H$228="N/A")))</f>
        <v>6</v>
      </c>
      <c r="AH200">
        <f>'Assessment Questions'!AK200</f>
        <v>0</v>
      </c>
      <c r="AI200">
        <f>'Assessment Questions'!AL200</f>
        <v>0</v>
      </c>
      <c r="AJ200">
        <f>IF(OR($H200="",$H200="N/A"),"",IF($AH200="",VLOOKUP('Company Profile'!$B$40,_CONFIG_Model_Settings!$A$5:$B$8,2,FALSE),IFERROR(VLOOKUP($AH200,_CONFIG_Model_Settings!$A$5:$B$8,2,FALSE),0.9)))</f>
        <v>0.9</v>
      </c>
      <c r="AK200">
        <f>IF(OR($H200="",$H200="N/A"),"",IF($AI200="",VLOOKUP('Company Profile'!$B$41,_CONFIG_Model_Settings!$A$5:$B$8,2,FALSE),IFERROR(VLOOKUP($AI200,_CONFIG_Model_Settings!$A$5:$B$8,2,FALSE),0.9)))</f>
        <v>0.9</v>
      </c>
      <c r="AL200">
        <f t="shared" si="84"/>
        <v>0</v>
      </c>
      <c r="AM200">
        <f t="shared" si="85"/>
        <v>0</v>
      </c>
      <c r="AN200">
        <f>IFERROR(MIN(5,MAX(0,(SUMIFS(_REF_Model_Content!$D$1:$D$174,_REF_Model_Content!$A$1:$A$174,PV_Canonical_Industry,_REF_Model_Content!$B$1:$B$174,"Supply Chain"))+IFERROR(VLOOKUP('Company Profile'!$B$35,_CONFIG_Model_Settings!$A$11:$B$13,2,0),0))),"")</f>
        <v>0</v>
      </c>
      <c r="AO200">
        <f t="shared" si="86"/>
        <v>0</v>
      </c>
      <c r="AP200">
        <f>IFERROR(SUMIFS(_REF_Model_Content!$E$1:$E$174,_REF_Model_Content!$A$1:$A$174,PV_Canonical_Industry,_REF_Model_Content!$B$1:$B$174,"Supply Chain"),1)</f>
        <v>0</v>
      </c>
      <c r="AQ200">
        <f t="shared" si="87"/>
        <v>0</v>
      </c>
      <c r="AR200" t="str">
        <f t="shared" si="88"/>
        <v>Within target</v>
      </c>
      <c r="AS200">
        <f t="shared" si="89"/>
        <v>0</v>
      </c>
      <c r="AT200">
        <f t="shared" si="90"/>
        <v>0.9</v>
      </c>
      <c r="AU200">
        <f>'Assessment Questions'!AX200</f>
        <v>0</v>
      </c>
      <c r="AV200">
        <f t="shared" si="91"/>
        <v>0.9</v>
      </c>
      <c r="AW200" t="s">
        <v>1987</v>
      </c>
      <c r="AX200" t="s">
        <v>1987</v>
      </c>
      <c r="AY200">
        <v>5</v>
      </c>
      <c r="AZ200">
        <v>200</v>
      </c>
    </row>
    <row r="201" spans="1:52">
      <c r="A201" t="s">
        <v>1995</v>
      </c>
      <c r="B201" t="s">
        <v>1989</v>
      </c>
      <c r="C201" t="s">
        <v>1996</v>
      </c>
      <c r="D201" t="s">
        <v>1991</v>
      </c>
      <c r="E201" t="s">
        <v>1992</v>
      </c>
      <c r="F201" t="s">
        <v>1997</v>
      </c>
      <c r="G201">
        <f>'Assessment Questions'!J201</f>
        <v>5</v>
      </c>
      <c r="H201">
        <f t="shared" si="77"/>
        <v>0</v>
      </c>
      <c r="I201">
        <f t="shared" si="78"/>
        <v>0</v>
      </c>
      <c r="J201">
        <f t="shared" si="79"/>
        <v>5</v>
      </c>
      <c r="K201">
        <f t="shared" si="80"/>
        <v>5</v>
      </c>
      <c r="L201" t="str">
        <f t="shared" si="81"/>
        <v>Critical</v>
      </c>
      <c r="M201" t="s">
        <v>1069</v>
      </c>
      <c r="N201" t="s">
        <v>1070</v>
      </c>
      <c r="O201" t="s">
        <v>1071</v>
      </c>
      <c r="P201" t="s">
        <v>1072</v>
      </c>
      <c r="Q201" t="s">
        <v>1073</v>
      </c>
      <c r="R201" t="s">
        <v>1074</v>
      </c>
      <c r="S201" t="s">
        <v>1994</v>
      </c>
      <c r="T201">
        <f>'Assessment Questions'!W201</f>
        <v>0</v>
      </c>
      <c r="U201">
        <f>'Assessment Questions'!X201</f>
        <v>0</v>
      </c>
      <c r="V201" t="str">
        <f>'Assessment Questions'!Y201</f>
        <v>Use the recommended action generated by the model; validate with domain owner during real assessment.</v>
      </c>
      <c r="W201">
        <v>4</v>
      </c>
      <c r="X201">
        <v>5</v>
      </c>
      <c r="Y201">
        <v>5</v>
      </c>
      <c r="Z201">
        <f>'Assessment Questions'!AC201</f>
        <v>0</v>
      </c>
      <c r="AA201" t="s">
        <v>1998</v>
      </c>
      <c r="AB201">
        <f t="shared" si="92"/>
        <v>6</v>
      </c>
      <c r="AC201">
        <f t="shared" si="93"/>
        <v>0</v>
      </c>
      <c r="AD201">
        <f t="shared" si="82"/>
        <v>0</v>
      </c>
      <c r="AE201">
        <f t="shared" si="94"/>
        <v>6</v>
      </c>
      <c r="AF201">
        <f t="shared" si="83"/>
        <v>5</v>
      </c>
      <c r="AG201">
        <f t="shared" si="95"/>
        <v>6</v>
      </c>
      <c r="AH201">
        <f>'Assessment Questions'!AK201</f>
        <v>0</v>
      </c>
      <c r="AI201">
        <f>'Assessment Questions'!AL201</f>
        <v>0</v>
      </c>
      <c r="AJ201">
        <f>IF(OR($H201="",$H201="N/A"),"",IF($AH201="",VLOOKUP('Company Profile'!$B$40,_CONFIG_Model_Settings!$A$5:$B$8,2,FALSE),IFERROR(VLOOKUP($AH201,_CONFIG_Model_Settings!$A$5:$B$8,2,FALSE),0.9)))</f>
        <v>0.9</v>
      </c>
      <c r="AK201">
        <f>IF(OR($H201="",$H201="N/A"),"",IF($AI201="",VLOOKUP('Company Profile'!$B$41,_CONFIG_Model_Settings!$A$5:$B$8,2,FALSE),IFERROR(VLOOKUP($AI201,_CONFIG_Model_Settings!$A$5:$B$8,2,FALSE),0.9)))</f>
        <v>0.9</v>
      </c>
      <c r="AL201">
        <f t="shared" si="84"/>
        <v>0</v>
      </c>
      <c r="AM201">
        <f t="shared" si="85"/>
        <v>0</v>
      </c>
      <c r="AN201">
        <f>IFERROR(MIN(5,MAX(0,(SUMIFS(_REF_Model_Content!$D$1:$D$174,_REF_Model_Content!$A$1:$A$174,PV_Canonical_Industry,_REF_Model_Content!$B$1:$B$174,"Supply Chain"))+IFERROR(VLOOKUP('Company Profile'!$B$35,_CONFIG_Model_Settings!$A$11:$B$13,2,0),0))),"")</f>
        <v>0</v>
      </c>
      <c r="AO201">
        <f t="shared" si="86"/>
        <v>0</v>
      </c>
      <c r="AP201">
        <f>IFERROR(SUMIFS(_REF_Model_Content!$E$1:$E$174,_REF_Model_Content!$A$1:$A$174,PV_Canonical_Industry,_REF_Model_Content!$B$1:$B$174,"Supply Chain"),1)</f>
        <v>0</v>
      </c>
      <c r="AQ201">
        <f t="shared" si="87"/>
        <v>0</v>
      </c>
      <c r="AR201" t="str">
        <f t="shared" si="88"/>
        <v>Within target</v>
      </c>
      <c r="AS201">
        <f t="shared" si="89"/>
        <v>0</v>
      </c>
      <c r="AT201">
        <f t="shared" si="90"/>
        <v>0.9</v>
      </c>
      <c r="AU201">
        <f>'Assessment Questions'!AX201</f>
        <v>0</v>
      </c>
      <c r="AV201">
        <f t="shared" si="91"/>
        <v>0.9</v>
      </c>
      <c r="AW201" t="s">
        <v>1987</v>
      </c>
      <c r="AX201" t="s">
        <v>1987</v>
      </c>
      <c r="AY201">
        <v>6</v>
      </c>
      <c r="AZ201">
        <v>201</v>
      </c>
    </row>
    <row r="202" spans="1:52">
      <c r="A202" t="s">
        <v>1999</v>
      </c>
      <c r="B202" t="s">
        <v>1989</v>
      </c>
      <c r="C202" t="s">
        <v>2000</v>
      </c>
      <c r="D202" t="s">
        <v>1991</v>
      </c>
      <c r="E202" t="s">
        <v>1992</v>
      </c>
      <c r="F202" t="s">
        <v>2001</v>
      </c>
      <c r="G202">
        <f>'Assessment Questions'!J202</f>
        <v>5</v>
      </c>
      <c r="H202">
        <f t="shared" si="77"/>
        <v>0</v>
      </c>
      <c r="I202">
        <f t="shared" si="78"/>
        <v>0</v>
      </c>
      <c r="J202">
        <f t="shared" si="79"/>
        <v>5</v>
      </c>
      <c r="K202">
        <f t="shared" si="80"/>
        <v>5</v>
      </c>
      <c r="L202" t="str">
        <f t="shared" si="81"/>
        <v>Critical</v>
      </c>
      <c r="M202" t="s">
        <v>1069</v>
      </c>
      <c r="N202" t="s">
        <v>1070</v>
      </c>
      <c r="O202" t="s">
        <v>1071</v>
      </c>
      <c r="P202" t="s">
        <v>1072</v>
      </c>
      <c r="Q202" t="s">
        <v>1073</v>
      </c>
      <c r="R202" t="s">
        <v>1074</v>
      </c>
      <c r="S202" t="s">
        <v>1994</v>
      </c>
      <c r="T202">
        <f>'Assessment Questions'!W202</f>
        <v>0</v>
      </c>
      <c r="U202">
        <f>'Assessment Questions'!X202</f>
        <v>0</v>
      </c>
      <c r="V202" t="str">
        <f>'Assessment Questions'!Y202</f>
        <v>Use the recommended action generated by the model; validate with domain owner during real assessment.</v>
      </c>
      <c r="W202">
        <v>4</v>
      </c>
      <c r="X202">
        <v>5</v>
      </c>
      <c r="Y202">
        <v>5</v>
      </c>
      <c r="Z202">
        <f>'Assessment Questions'!AC202</f>
        <v>0</v>
      </c>
      <c r="AA202" t="s">
        <v>2002</v>
      </c>
      <c r="AB202">
        <f t="shared" si="92"/>
        <v>7</v>
      </c>
      <c r="AC202">
        <f t="shared" si="93"/>
        <v>0</v>
      </c>
      <c r="AD202">
        <f t="shared" si="82"/>
        <v>0</v>
      </c>
      <c r="AE202">
        <f t="shared" si="94"/>
        <v>7</v>
      </c>
      <c r="AF202">
        <f t="shared" si="83"/>
        <v>5</v>
      </c>
      <c r="AG202">
        <f t="shared" si="95"/>
        <v>7</v>
      </c>
      <c r="AH202">
        <f>'Assessment Questions'!AK202</f>
        <v>0</v>
      </c>
      <c r="AI202">
        <f>'Assessment Questions'!AL202</f>
        <v>0</v>
      </c>
      <c r="AJ202">
        <f>IF(OR($H202="",$H202="N/A"),"",IF($AH202="",VLOOKUP('Company Profile'!$B$40,_CONFIG_Model_Settings!$A$5:$B$8,2,FALSE),IFERROR(VLOOKUP($AH202,_CONFIG_Model_Settings!$A$5:$B$8,2,FALSE),0.9)))</f>
        <v>0.9</v>
      </c>
      <c r="AK202">
        <f>IF(OR($H202="",$H202="N/A"),"",IF($AI202="",VLOOKUP('Company Profile'!$B$41,_CONFIG_Model_Settings!$A$5:$B$8,2,FALSE),IFERROR(VLOOKUP($AI202,_CONFIG_Model_Settings!$A$5:$B$8,2,FALSE),0.9)))</f>
        <v>0.9</v>
      </c>
      <c r="AL202">
        <f t="shared" si="84"/>
        <v>0</v>
      </c>
      <c r="AM202">
        <f t="shared" si="85"/>
        <v>0</v>
      </c>
      <c r="AN202">
        <f>IFERROR(MIN(5,MAX(0,(SUMIFS(_REF_Model_Content!$D$1:$D$174,_REF_Model_Content!$A$1:$A$174,PV_Canonical_Industry,_REF_Model_Content!$B$1:$B$174,"Supply Chain"))+IFERROR(VLOOKUP('Company Profile'!$B$35,_CONFIG_Model_Settings!$A$11:$B$13,2,0),0))),"")</f>
        <v>0</v>
      </c>
      <c r="AO202">
        <f t="shared" si="86"/>
        <v>0</v>
      </c>
      <c r="AP202">
        <f>IFERROR(SUMIFS(_REF_Model_Content!$E$1:$E$174,_REF_Model_Content!$A$1:$A$174,PV_Canonical_Industry,_REF_Model_Content!$B$1:$B$174,"Supply Chain"),1)</f>
        <v>0</v>
      </c>
      <c r="AQ202">
        <f t="shared" si="87"/>
        <v>0</v>
      </c>
      <c r="AR202" t="str">
        <f t="shared" si="88"/>
        <v>Within target</v>
      </c>
      <c r="AS202">
        <f t="shared" si="89"/>
        <v>0</v>
      </c>
      <c r="AT202">
        <f t="shared" si="90"/>
        <v>0.9</v>
      </c>
      <c r="AU202">
        <f>'Assessment Questions'!AX202</f>
        <v>0</v>
      </c>
      <c r="AV202">
        <f t="shared" si="91"/>
        <v>0.9</v>
      </c>
      <c r="AW202" t="s">
        <v>1987</v>
      </c>
      <c r="AX202" t="s">
        <v>1987</v>
      </c>
      <c r="AY202">
        <v>7</v>
      </c>
      <c r="AZ202">
        <v>202</v>
      </c>
    </row>
    <row r="203" spans="1:52">
      <c r="A203" t="s">
        <v>2003</v>
      </c>
      <c r="B203" t="s">
        <v>1989</v>
      </c>
      <c r="C203" t="s">
        <v>2004</v>
      </c>
      <c r="D203" t="s">
        <v>1991</v>
      </c>
      <c r="E203" t="s">
        <v>1992</v>
      </c>
      <c r="F203" t="s">
        <v>2005</v>
      </c>
      <c r="G203">
        <f>'Assessment Questions'!J203</f>
        <v>5</v>
      </c>
      <c r="H203">
        <f t="shared" si="77"/>
        <v>0</v>
      </c>
      <c r="I203">
        <f t="shared" si="78"/>
        <v>0</v>
      </c>
      <c r="J203">
        <f t="shared" si="79"/>
        <v>5</v>
      </c>
      <c r="K203">
        <f t="shared" si="80"/>
        <v>5</v>
      </c>
      <c r="L203" t="str">
        <f t="shared" si="81"/>
        <v>Critical</v>
      </c>
      <c r="M203" t="s">
        <v>833</v>
      </c>
      <c r="N203" t="s">
        <v>834</v>
      </c>
      <c r="O203" t="s">
        <v>835</v>
      </c>
      <c r="P203" t="s">
        <v>836</v>
      </c>
      <c r="Q203" t="s">
        <v>837</v>
      </c>
      <c r="R203" t="s">
        <v>838</v>
      </c>
      <c r="S203" t="s">
        <v>1994</v>
      </c>
      <c r="T203">
        <f>'Assessment Questions'!W203</f>
        <v>0</v>
      </c>
      <c r="U203">
        <f>'Assessment Questions'!X203</f>
        <v>0</v>
      </c>
      <c r="V203" t="str">
        <f>'Assessment Questions'!Y203</f>
        <v>Use the recommended action generated by the model; validate with domain owner during real assessment.</v>
      </c>
      <c r="W203">
        <v>4</v>
      </c>
      <c r="X203">
        <v>5</v>
      </c>
      <c r="Y203">
        <v>5</v>
      </c>
      <c r="Z203">
        <f>'Assessment Questions'!AC203</f>
        <v>0</v>
      </c>
      <c r="AA203" t="s">
        <v>2006</v>
      </c>
      <c r="AB203">
        <f t="shared" si="92"/>
        <v>6</v>
      </c>
      <c r="AC203">
        <f t="shared" si="93"/>
        <v>0</v>
      </c>
      <c r="AD203">
        <f t="shared" si="82"/>
        <v>0</v>
      </c>
      <c r="AE203">
        <f t="shared" si="94"/>
        <v>6</v>
      </c>
      <c r="AF203">
        <f t="shared" si="83"/>
        <v>5</v>
      </c>
      <c r="AG203">
        <f t="shared" si="95"/>
        <v>6</v>
      </c>
      <c r="AH203">
        <f>'Assessment Questions'!AK203</f>
        <v>0</v>
      </c>
      <c r="AI203">
        <f>'Assessment Questions'!AL203</f>
        <v>0</v>
      </c>
      <c r="AJ203">
        <f>IF(OR($H203="",$H203="N/A"),"",IF($AH203="",VLOOKUP('Company Profile'!$B$40,_CONFIG_Model_Settings!$A$5:$B$8,2,FALSE),IFERROR(VLOOKUP($AH203,_CONFIG_Model_Settings!$A$5:$B$8,2,FALSE),0.9)))</f>
        <v>0.9</v>
      </c>
      <c r="AK203">
        <f>IF(OR($H203="",$H203="N/A"),"",IF($AI203="",VLOOKUP('Company Profile'!$B$41,_CONFIG_Model_Settings!$A$5:$B$8,2,FALSE),IFERROR(VLOOKUP($AI203,_CONFIG_Model_Settings!$A$5:$B$8,2,FALSE),0.9)))</f>
        <v>0.9</v>
      </c>
      <c r="AL203">
        <f t="shared" si="84"/>
        <v>0</v>
      </c>
      <c r="AM203">
        <f t="shared" si="85"/>
        <v>0</v>
      </c>
      <c r="AN203">
        <f>IFERROR(MIN(5,MAX(0,(SUMIFS(_REF_Model_Content!$D$1:$D$174,_REF_Model_Content!$A$1:$A$174,PV_Canonical_Industry,_REF_Model_Content!$B$1:$B$174,"Supply Chain"))+IFERROR(VLOOKUP('Company Profile'!$B$35,_CONFIG_Model_Settings!$A$11:$B$13,2,0),0))),"")</f>
        <v>0</v>
      </c>
      <c r="AO203">
        <f t="shared" si="86"/>
        <v>0</v>
      </c>
      <c r="AP203">
        <f>IFERROR(SUMIFS(_REF_Model_Content!$E$1:$E$174,_REF_Model_Content!$A$1:$A$174,PV_Canonical_Industry,_REF_Model_Content!$B$1:$B$174,"Supply Chain"),1)</f>
        <v>0</v>
      </c>
      <c r="AQ203">
        <f t="shared" si="87"/>
        <v>0</v>
      </c>
      <c r="AR203" t="str">
        <f t="shared" si="88"/>
        <v>Within target</v>
      </c>
      <c r="AS203">
        <f t="shared" si="89"/>
        <v>0</v>
      </c>
      <c r="AT203">
        <f t="shared" si="90"/>
        <v>0.9</v>
      </c>
      <c r="AU203">
        <f>'Assessment Questions'!AX203</f>
        <v>0</v>
      </c>
      <c r="AV203">
        <f t="shared" si="91"/>
        <v>0.9</v>
      </c>
      <c r="AW203" t="s">
        <v>1987</v>
      </c>
      <c r="AX203" t="s">
        <v>1987</v>
      </c>
      <c r="AY203">
        <v>8</v>
      </c>
      <c r="AZ203">
        <v>203</v>
      </c>
    </row>
    <row r="204" spans="1:52">
      <c r="A204" t="s">
        <v>2007</v>
      </c>
      <c r="B204" t="s">
        <v>1989</v>
      </c>
      <c r="C204" t="s">
        <v>2008</v>
      </c>
      <c r="D204" t="s">
        <v>1991</v>
      </c>
      <c r="E204" t="s">
        <v>1992</v>
      </c>
      <c r="F204" t="s">
        <v>2009</v>
      </c>
      <c r="G204">
        <f>'Assessment Questions'!J204</f>
        <v>5</v>
      </c>
      <c r="H204">
        <f t="shared" si="77"/>
        <v>0</v>
      </c>
      <c r="I204">
        <f t="shared" si="78"/>
        <v>0</v>
      </c>
      <c r="J204">
        <f t="shared" si="79"/>
        <v>5</v>
      </c>
      <c r="K204">
        <f t="shared" si="80"/>
        <v>5</v>
      </c>
      <c r="L204" t="str">
        <f t="shared" si="81"/>
        <v>Critical</v>
      </c>
      <c r="M204" t="s">
        <v>874</v>
      </c>
      <c r="N204" t="s">
        <v>875</v>
      </c>
      <c r="O204" t="s">
        <v>876</v>
      </c>
      <c r="P204" t="s">
        <v>877</v>
      </c>
      <c r="Q204" t="s">
        <v>878</v>
      </c>
      <c r="R204" t="s">
        <v>879</v>
      </c>
      <c r="S204" t="s">
        <v>1994</v>
      </c>
      <c r="T204">
        <f>'Assessment Questions'!W204</f>
        <v>0</v>
      </c>
      <c r="U204">
        <f>'Assessment Questions'!X204</f>
        <v>0</v>
      </c>
      <c r="V204" t="str">
        <f>'Assessment Questions'!Y204</f>
        <v>Use the recommended action generated by the model; validate with domain owner during real assessment.</v>
      </c>
      <c r="W204">
        <v>4</v>
      </c>
      <c r="X204">
        <v>5</v>
      </c>
      <c r="Y204">
        <v>5</v>
      </c>
      <c r="Z204">
        <f>'Assessment Questions'!AC204</f>
        <v>0</v>
      </c>
      <c r="AA204" t="s">
        <v>2010</v>
      </c>
      <c r="AB204">
        <f t="shared" si="92"/>
        <v>4</v>
      </c>
      <c r="AC204">
        <f t="shared" si="93"/>
        <v>0</v>
      </c>
      <c r="AD204">
        <f t="shared" si="82"/>
        <v>0</v>
      </c>
      <c r="AE204">
        <f t="shared" si="94"/>
        <v>4</v>
      </c>
      <c r="AF204">
        <f t="shared" si="83"/>
        <v>5</v>
      </c>
      <c r="AG204">
        <f t="shared" si="95"/>
        <v>4</v>
      </c>
      <c r="AH204">
        <f>'Assessment Questions'!AK204</f>
        <v>0</v>
      </c>
      <c r="AI204">
        <f>'Assessment Questions'!AL204</f>
        <v>0</v>
      </c>
      <c r="AJ204">
        <f>IF(OR($H204="",$H204="N/A"),"",IF($AH204="",VLOOKUP('Company Profile'!$B$40,_CONFIG_Model_Settings!$A$5:$B$8,2,FALSE),IFERROR(VLOOKUP($AH204,_CONFIG_Model_Settings!$A$5:$B$8,2,FALSE),0.9)))</f>
        <v>0.9</v>
      </c>
      <c r="AK204">
        <f>IF(OR($H204="",$H204="N/A"),"",IF($AI204="",VLOOKUP('Company Profile'!$B$41,_CONFIG_Model_Settings!$A$5:$B$8,2,FALSE),IFERROR(VLOOKUP($AI204,_CONFIG_Model_Settings!$A$5:$B$8,2,FALSE),0.9)))</f>
        <v>0.9</v>
      </c>
      <c r="AL204">
        <f t="shared" si="84"/>
        <v>0</v>
      </c>
      <c r="AM204">
        <f t="shared" si="85"/>
        <v>0</v>
      </c>
      <c r="AN204">
        <f>IFERROR(MIN(5,MAX(0,(SUMIFS(_REF_Model_Content!$D$1:$D$174,_REF_Model_Content!$A$1:$A$174,PV_Canonical_Industry,_REF_Model_Content!$B$1:$B$174,"Supply Chain"))+IFERROR(VLOOKUP('Company Profile'!$B$35,_CONFIG_Model_Settings!$A$11:$B$13,2,0),0))),"")</f>
        <v>0</v>
      </c>
      <c r="AO204">
        <f t="shared" si="86"/>
        <v>0</v>
      </c>
      <c r="AP204">
        <f>IFERROR(SUMIFS(_REF_Model_Content!$E$1:$E$174,_REF_Model_Content!$A$1:$A$174,PV_Canonical_Industry,_REF_Model_Content!$B$1:$B$174,"Supply Chain"),1)</f>
        <v>0</v>
      </c>
      <c r="AQ204">
        <f t="shared" si="87"/>
        <v>0</v>
      </c>
      <c r="AR204" t="str">
        <f t="shared" si="88"/>
        <v>Within target</v>
      </c>
      <c r="AS204">
        <f t="shared" si="89"/>
        <v>0</v>
      </c>
      <c r="AT204">
        <f t="shared" si="90"/>
        <v>0.9</v>
      </c>
      <c r="AU204">
        <f>'Assessment Questions'!AX204</f>
        <v>0</v>
      </c>
      <c r="AV204">
        <f t="shared" si="91"/>
        <v>0.9</v>
      </c>
      <c r="AW204" t="s">
        <v>1987</v>
      </c>
      <c r="AX204" t="s">
        <v>1987</v>
      </c>
      <c r="AY204">
        <v>9</v>
      </c>
      <c r="AZ204">
        <v>204</v>
      </c>
    </row>
    <row r="205" spans="1:52">
      <c r="A205" t="s">
        <v>2011</v>
      </c>
      <c r="B205" t="s">
        <v>1989</v>
      </c>
      <c r="C205" t="s">
        <v>2012</v>
      </c>
      <c r="D205" t="s">
        <v>1991</v>
      </c>
      <c r="E205" t="s">
        <v>1992</v>
      </c>
      <c r="F205" t="s">
        <v>2013</v>
      </c>
      <c r="G205">
        <f>'Assessment Questions'!J205</f>
        <v>5</v>
      </c>
      <c r="H205">
        <f t="shared" si="77"/>
        <v>0</v>
      </c>
      <c r="I205">
        <f t="shared" si="78"/>
        <v>0</v>
      </c>
      <c r="J205">
        <f t="shared" si="79"/>
        <v>5</v>
      </c>
      <c r="K205">
        <f t="shared" si="80"/>
        <v>5</v>
      </c>
      <c r="L205" t="str">
        <f t="shared" si="81"/>
        <v>Critical</v>
      </c>
      <c r="M205" t="s">
        <v>833</v>
      </c>
      <c r="N205" t="s">
        <v>834</v>
      </c>
      <c r="O205" t="s">
        <v>835</v>
      </c>
      <c r="P205" t="s">
        <v>836</v>
      </c>
      <c r="Q205" t="s">
        <v>837</v>
      </c>
      <c r="R205" t="s">
        <v>838</v>
      </c>
      <c r="S205" t="s">
        <v>1994</v>
      </c>
      <c r="T205">
        <f>'Assessment Questions'!W205</f>
        <v>0</v>
      </c>
      <c r="U205">
        <f>'Assessment Questions'!X205</f>
        <v>0</v>
      </c>
      <c r="V205" t="str">
        <f>'Assessment Questions'!Y205</f>
        <v>Use the recommended action generated by the model; validate with domain owner during real assessment.</v>
      </c>
      <c r="W205">
        <v>4</v>
      </c>
      <c r="X205">
        <v>5</v>
      </c>
      <c r="Y205">
        <v>5</v>
      </c>
      <c r="Z205">
        <f>'Assessment Questions'!AC205</f>
        <v>0</v>
      </c>
      <c r="AB205">
        <f t="shared" si="92"/>
        <v>0</v>
      </c>
      <c r="AC205">
        <f t="shared" si="93"/>
        <v>0</v>
      </c>
      <c r="AD205">
        <f t="shared" si="82"/>
        <v>0</v>
      </c>
      <c r="AE205">
        <f t="shared" si="94"/>
        <v>0</v>
      </c>
      <c r="AF205">
        <f t="shared" si="83"/>
        <v>5</v>
      </c>
      <c r="AG205">
        <f t="shared" si="95"/>
        <v>0</v>
      </c>
      <c r="AH205">
        <f>'Assessment Questions'!AK205</f>
        <v>0</v>
      </c>
      <c r="AI205">
        <f>'Assessment Questions'!AL205</f>
        <v>0</v>
      </c>
      <c r="AJ205">
        <f>IF(OR($H205="",$H205="N/A"),"",IF($AH205="",VLOOKUP('Company Profile'!$B$40,_CONFIG_Model_Settings!$A$5:$B$8,2,FALSE),IFERROR(VLOOKUP($AH205,_CONFIG_Model_Settings!$A$5:$B$8,2,FALSE),0.9)))</f>
        <v>0.9</v>
      </c>
      <c r="AK205">
        <f>IF(OR($H205="",$H205="N/A"),"",IF($AI205="",VLOOKUP('Company Profile'!$B$41,_CONFIG_Model_Settings!$A$5:$B$8,2,FALSE),IFERROR(VLOOKUP($AI205,_CONFIG_Model_Settings!$A$5:$B$8,2,FALSE),0.9)))</f>
        <v>0.9</v>
      </c>
      <c r="AL205">
        <f t="shared" si="84"/>
        <v>0</v>
      </c>
      <c r="AM205">
        <f t="shared" si="85"/>
        <v>0</v>
      </c>
      <c r="AN205">
        <f>IFERROR(MIN(5,MAX(0,(SUMIFS(_REF_Model_Content!$D$1:$D$174,_REF_Model_Content!$A$1:$A$174,PV_Canonical_Industry,_REF_Model_Content!$B$1:$B$174,"Supply Chain"))+IFERROR(VLOOKUP('Company Profile'!$B$35,_CONFIG_Model_Settings!$A$11:$B$13,2,0),0))),"")</f>
        <v>0</v>
      </c>
      <c r="AO205">
        <f t="shared" si="86"/>
        <v>0</v>
      </c>
      <c r="AP205">
        <f>IFERROR(SUMIFS(_REF_Model_Content!$E$1:$E$174,_REF_Model_Content!$A$1:$A$174,PV_Canonical_Industry,_REF_Model_Content!$B$1:$B$174,"Supply Chain"),1)</f>
        <v>0</v>
      </c>
      <c r="AQ205">
        <f t="shared" si="87"/>
        <v>0</v>
      </c>
      <c r="AR205" t="str">
        <f t="shared" si="88"/>
        <v>Within target</v>
      </c>
      <c r="AS205">
        <f t="shared" si="89"/>
        <v>0</v>
      </c>
      <c r="AT205">
        <f t="shared" si="90"/>
        <v>0.9</v>
      </c>
      <c r="AU205">
        <f>'Assessment Questions'!AX205</f>
        <v>0</v>
      </c>
      <c r="AV205">
        <f t="shared" si="91"/>
        <v>0.9</v>
      </c>
      <c r="AW205" t="s">
        <v>1987</v>
      </c>
      <c r="AX205" t="s">
        <v>1987</v>
      </c>
      <c r="AY205">
        <v>10</v>
      </c>
      <c r="AZ205">
        <v>205</v>
      </c>
    </row>
    <row r="206" spans="1:52">
      <c r="A206" t="s">
        <v>2014</v>
      </c>
      <c r="B206" t="s">
        <v>1998</v>
      </c>
      <c r="C206" t="s">
        <v>2015</v>
      </c>
      <c r="D206" t="s">
        <v>1991</v>
      </c>
      <c r="E206" t="s">
        <v>1992</v>
      </c>
      <c r="F206" t="s">
        <v>2016</v>
      </c>
      <c r="G206">
        <f>'Assessment Questions'!J206</f>
        <v>5</v>
      </c>
      <c r="H206">
        <f t="shared" si="77"/>
        <v>0</v>
      </c>
      <c r="I206">
        <f t="shared" si="78"/>
        <v>0</v>
      </c>
      <c r="J206">
        <f t="shared" si="79"/>
        <v>5</v>
      </c>
      <c r="K206">
        <f t="shared" si="80"/>
        <v>5</v>
      </c>
      <c r="L206" t="str">
        <f t="shared" si="81"/>
        <v>Critical</v>
      </c>
      <c r="M206" t="s">
        <v>833</v>
      </c>
      <c r="N206" t="s">
        <v>834</v>
      </c>
      <c r="O206" t="s">
        <v>835</v>
      </c>
      <c r="P206" t="s">
        <v>836</v>
      </c>
      <c r="Q206" t="s">
        <v>837</v>
      </c>
      <c r="R206" t="s">
        <v>838</v>
      </c>
      <c r="S206" t="s">
        <v>1994</v>
      </c>
      <c r="T206">
        <f>'Assessment Questions'!W206</f>
        <v>0</v>
      </c>
      <c r="U206">
        <f>'Assessment Questions'!X206</f>
        <v>0</v>
      </c>
      <c r="V206" t="str">
        <f>'Assessment Questions'!Y206</f>
        <v>Use the recommended action generated by the model; validate with domain owner during real assessment.</v>
      </c>
      <c r="W206">
        <v>4</v>
      </c>
      <c r="X206">
        <v>5</v>
      </c>
      <c r="Y206">
        <v>5</v>
      </c>
      <c r="Z206">
        <f>'Assessment Questions'!AC206</f>
        <v>0</v>
      </c>
      <c r="AB206">
        <f t="shared" si="92"/>
        <v>0</v>
      </c>
      <c r="AC206">
        <f t="shared" si="93"/>
        <v>0</v>
      </c>
      <c r="AD206">
        <f t="shared" si="82"/>
        <v>0</v>
      </c>
      <c r="AE206">
        <f t="shared" si="94"/>
        <v>0</v>
      </c>
      <c r="AF206">
        <f t="shared" si="83"/>
        <v>5</v>
      </c>
      <c r="AG206">
        <f t="shared" si="95"/>
        <v>0</v>
      </c>
      <c r="AH206">
        <f>'Assessment Questions'!AK206</f>
        <v>0</v>
      </c>
      <c r="AI206">
        <f>'Assessment Questions'!AL206</f>
        <v>0</v>
      </c>
      <c r="AJ206">
        <f>IF(OR($H206="",$H206="N/A"),"",IF($AH206="",VLOOKUP('Company Profile'!$B$40,_CONFIG_Model_Settings!$A$5:$B$8,2,FALSE),IFERROR(VLOOKUP($AH206,_CONFIG_Model_Settings!$A$5:$B$8,2,FALSE),0.9)))</f>
        <v>0.9</v>
      </c>
      <c r="AK206">
        <f>IF(OR($H206="",$H206="N/A"),"",IF($AI206="",VLOOKUP('Company Profile'!$B$41,_CONFIG_Model_Settings!$A$5:$B$8,2,FALSE),IFERROR(VLOOKUP($AI206,_CONFIG_Model_Settings!$A$5:$B$8,2,FALSE),0.9)))</f>
        <v>0.9</v>
      </c>
      <c r="AL206">
        <f t="shared" si="84"/>
        <v>0</v>
      </c>
      <c r="AM206">
        <f t="shared" si="85"/>
        <v>0</v>
      </c>
      <c r="AN206">
        <f>IFERROR(MIN(5,MAX(0,(SUMIFS(_REF_Model_Content!$D$1:$D$174,_REF_Model_Content!$A$1:$A$174,PV_Canonical_Industry,_REF_Model_Content!$B$1:$B$174,"Supply Chain"))+IFERROR(VLOOKUP('Company Profile'!$B$35,_CONFIG_Model_Settings!$A$11:$B$13,2,0),0))),"")</f>
        <v>0</v>
      </c>
      <c r="AO206">
        <f t="shared" si="86"/>
        <v>0</v>
      </c>
      <c r="AP206">
        <f>IFERROR(SUMIFS(_REF_Model_Content!$E$1:$E$174,_REF_Model_Content!$A$1:$A$174,PV_Canonical_Industry,_REF_Model_Content!$B$1:$B$174,"Supply Chain"),1)</f>
        <v>0</v>
      </c>
      <c r="AQ206">
        <f t="shared" si="87"/>
        <v>0</v>
      </c>
      <c r="AR206" t="str">
        <f t="shared" si="88"/>
        <v>Within target</v>
      </c>
      <c r="AS206">
        <f t="shared" si="89"/>
        <v>0</v>
      </c>
      <c r="AT206">
        <f t="shared" si="90"/>
        <v>0.9</v>
      </c>
      <c r="AU206">
        <f>'Assessment Questions'!AX206</f>
        <v>0</v>
      </c>
      <c r="AV206">
        <f t="shared" si="91"/>
        <v>0.9</v>
      </c>
      <c r="AW206" t="s">
        <v>1987</v>
      </c>
      <c r="AX206" t="s">
        <v>1987</v>
      </c>
      <c r="AY206">
        <v>11</v>
      </c>
      <c r="AZ206">
        <v>206</v>
      </c>
    </row>
    <row r="207" spans="1:52">
      <c r="A207" t="s">
        <v>2017</v>
      </c>
      <c r="B207" t="s">
        <v>1998</v>
      </c>
      <c r="C207" t="s">
        <v>2018</v>
      </c>
      <c r="D207" t="s">
        <v>1991</v>
      </c>
      <c r="E207" t="s">
        <v>1992</v>
      </c>
      <c r="F207" t="s">
        <v>2019</v>
      </c>
      <c r="G207">
        <f>'Assessment Questions'!J207</f>
        <v>3</v>
      </c>
      <c r="H207">
        <f t="shared" si="77"/>
        <v>0</v>
      </c>
      <c r="I207">
        <f t="shared" si="78"/>
        <v>0</v>
      </c>
      <c r="J207">
        <f t="shared" si="79"/>
        <v>3</v>
      </c>
      <c r="K207">
        <f t="shared" si="80"/>
        <v>3</v>
      </c>
      <c r="L207" t="str">
        <f t="shared" si="81"/>
        <v>Critical</v>
      </c>
      <c r="M207" t="s">
        <v>2020</v>
      </c>
      <c r="N207" t="s">
        <v>2021</v>
      </c>
      <c r="O207" t="s">
        <v>2022</v>
      </c>
      <c r="P207" t="s">
        <v>2023</v>
      </c>
      <c r="Q207" t="s">
        <v>2024</v>
      </c>
      <c r="R207" t="s">
        <v>2025</v>
      </c>
      <c r="S207" t="s">
        <v>1994</v>
      </c>
      <c r="T207">
        <f>'Assessment Questions'!W207</f>
        <v>0</v>
      </c>
      <c r="U207">
        <f>'Assessment Questions'!X207</f>
        <v>0</v>
      </c>
      <c r="V207" t="str">
        <f>'Assessment Questions'!Y207</f>
        <v>Use the recommended action generated by the model; validate with domain owner during real assessment.</v>
      </c>
      <c r="W207">
        <v>4</v>
      </c>
      <c r="X207">
        <v>5</v>
      </c>
      <c r="Y207">
        <v>5</v>
      </c>
      <c r="Z207">
        <f>'Assessment Questions'!AC207</f>
        <v>0</v>
      </c>
      <c r="AB207">
        <f t="shared" si="92"/>
        <v>0</v>
      </c>
      <c r="AC207">
        <f t="shared" si="93"/>
        <v>0</v>
      </c>
      <c r="AD207">
        <f t="shared" si="82"/>
        <v>0</v>
      </c>
      <c r="AE207">
        <f t="shared" si="94"/>
        <v>0</v>
      </c>
      <c r="AF207">
        <f t="shared" si="83"/>
        <v>5</v>
      </c>
      <c r="AG207">
        <f t="shared" si="95"/>
        <v>0</v>
      </c>
      <c r="AH207">
        <f>'Assessment Questions'!AK207</f>
        <v>0</v>
      </c>
      <c r="AI207">
        <f>'Assessment Questions'!AL207</f>
        <v>0</v>
      </c>
      <c r="AJ207">
        <f>IF(OR($H207="",$H207="N/A"),"",IF($AH207="",VLOOKUP('Company Profile'!$B$40,_CONFIG_Model_Settings!$A$5:$B$8,2,FALSE),IFERROR(VLOOKUP($AH207,_CONFIG_Model_Settings!$A$5:$B$8,2,FALSE),0.9)))</f>
        <v>0.9</v>
      </c>
      <c r="AK207">
        <f>IF(OR($H207="",$H207="N/A"),"",IF($AI207="",VLOOKUP('Company Profile'!$B$41,_CONFIG_Model_Settings!$A$5:$B$8,2,FALSE),IFERROR(VLOOKUP($AI207,_CONFIG_Model_Settings!$A$5:$B$8,2,FALSE),0.9)))</f>
        <v>0.9</v>
      </c>
      <c r="AL207">
        <f t="shared" si="84"/>
        <v>0</v>
      </c>
      <c r="AM207">
        <f t="shared" si="85"/>
        <v>0</v>
      </c>
      <c r="AN207">
        <f>IFERROR(MIN(5,MAX(0,(SUMIFS(_REF_Model_Content!$D$1:$D$174,_REF_Model_Content!$A$1:$A$174,PV_Canonical_Industry,_REF_Model_Content!$B$1:$B$174,"Supply Chain"))+IFERROR(VLOOKUP('Company Profile'!$B$35,_CONFIG_Model_Settings!$A$11:$B$13,2,0),0))),"")</f>
        <v>0</v>
      </c>
      <c r="AO207">
        <f t="shared" si="86"/>
        <v>0</v>
      </c>
      <c r="AP207">
        <f>IFERROR(SUMIFS(_REF_Model_Content!$E$1:$E$174,_REF_Model_Content!$A$1:$A$174,PV_Canonical_Industry,_REF_Model_Content!$B$1:$B$174,"Supply Chain"),1)</f>
        <v>0</v>
      </c>
      <c r="AQ207">
        <f t="shared" si="87"/>
        <v>0</v>
      </c>
      <c r="AR207" t="str">
        <f t="shared" si="88"/>
        <v>Within target</v>
      </c>
      <c r="AS207">
        <f t="shared" si="89"/>
        <v>0</v>
      </c>
      <c r="AT207">
        <f t="shared" si="90"/>
        <v>0.9</v>
      </c>
      <c r="AU207">
        <f>'Assessment Questions'!AX207</f>
        <v>0</v>
      </c>
      <c r="AV207">
        <f t="shared" si="91"/>
        <v>0.9</v>
      </c>
      <c r="AW207" t="s">
        <v>1987</v>
      </c>
      <c r="AX207" t="s">
        <v>1987</v>
      </c>
      <c r="AY207">
        <v>12</v>
      </c>
      <c r="AZ207">
        <v>207</v>
      </c>
    </row>
    <row r="208" spans="1:52">
      <c r="A208" t="s">
        <v>2026</v>
      </c>
      <c r="B208" t="s">
        <v>1998</v>
      </c>
      <c r="C208" t="s">
        <v>2027</v>
      </c>
      <c r="D208" t="s">
        <v>1991</v>
      </c>
      <c r="E208" t="s">
        <v>1992</v>
      </c>
      <c r="F208" t="s">
        <v>2028</v>
      </c>
      <c r="G208">
        <f>'Assessment Questions'!J208</f>
        <v>3</v>
      </c>
      <c r="H208">
        <f t="shared" si="77"/>
        <v>0</v>
      </c>
      <c r="I208">
        <f t="shared" si="78"/>
        <v>0</v>
      </c>
      <c r="J208">
        <f t="shared" si="79"/>
        <v>3</v>
      </c>
      <c r="K208">
        <f t="shared" si="80"/>
        <v>3</v>
      </c>
      <c r="L208" t="str">
        <f t="shared" si="81"/>
        <v>Critical</v>
      </c>
      <c r="M208" t="s">
        <v>2029</v>
      </c>
      <c r="N208" t="s">
        <v>2030</v>
      </c>
      <c r="O208" t="s">
        <v>2031</v>
      </c>
      <c r="P208" t="s">
        <v>2032</v>
      </c>
      <c r="Q208" t="s">
        <v>2033</v>
      </c>
      <c r="R208" t="s">
        <v>2034</v>
      </c>
      <c r="S208" t="s">
        <v>1994</v>
      </c>
      <c r="T208">
        <f>'Assessment Questions'!W208</f>
        <v>0</v>
      </c>
      <c r="U208">
        <f>'Assessment Questions'!X208</f>
        <v>0</v>
      </c>
      <c r="V208" t="str">
        <f>'Assessment Questions'!Y208</f>
        <v>Use the recommended action generated by the model; validate with domain owner during real assessment.</v>
      </c>
      <c r="W208">
        <v>4</v>
      </c>
      <c r="X208">
        <v>5</v>
      </c>
      <c r="Y208">
        <v>5</v>
      </c>
      <c r="Z208">
        <f>'Assessment Questions'!AC208</f>
        <v>0</v>
      </c>
      <c r="AB208">
        <f t="shared" si="92"/>
        <v>0</v>
      </c>
      <c r="AC208">
        <f t="shared" si="93"/>
        <v>0</v>
      </c>
      <c r="AD208">
        <f t="shared" si="82"/>
        <v>0</v>
      </c>
      <c r="AE208">
        <f t="shared" si="94"/>
        <v>0</v>
      </c>
      <c r="AF208">
        <f t="shared" si="83"/>
        <v>5</v>
      </c>
      <c r="AG208">
        <f t="shared" si="95"/>
        <v>0</v>
      </c>
      <c r="AH208">
        <f>'Assessment Questions'!AK208</f>
        <v>0</v>
      </c>
      <c r="AI208">
        <f>'Assessment Questions'!AL208</f>
        <v>0</v>
      </c>
      <c r="AJ208">
        <f>IF(OR($H208="",$H208="N/A"),"",IF($AH208="",VLOOKUP('Company Profile'!$B$40,_CONFIG_Model_Settings!$A$5:$B$8,2,FALSE),IFERROR(VLOOKUP($AH208,_CONFIG_Model_Settings!$A$5:$B$8,2,FALSE),0.9)))</f>
        <v>0.9</v>
      </c>
      <c r="AK208">
        <f>IF(OR($H208="",$H208="N/A"),"",IF($AI208="",VLOOKUP('Company Profile'!$B$41,_CONFIG_Model_Settings!$A$5:$B$8,2,FALSE),IFERROR(VLOOKUP($AI208,_CONFIG_Model_Settings!$A$5:$B$8,2,FALSE),0.9)))</f>
        <v>0.9</v>
      </c>
      <c r="AL208">
        <f t="shared" si="84"/>
        <v>0</v>
      </c>
      <c r="AM208">
        <f t="shared" si="85"/>
        <v>0</v>
      </c>
      <c r="AN208">
        <f>IFERROR(MIN(5,MAX(0,(SUMIFS(_REF_Model_Content!$D$1:$D$174,_REF_Model_Content!$A$1:$A$174,PV_Canonical_Industry,_REF_Model_Content!$B$1:$B$174,"Supply Chain"))+IFERROR(VLOOKUP('Company Profile'!$B$35,_CONFIG_Model_Settings!$A$11:$B$13,2,0),0))),"")</f>
        <v>0</v>
      </c>
      <c r="AO208">
        <f t="shared" si="86"/>
        <v>0</v>
      </c>
      <c r="AP208">
        <f>IFERROR(SUMIFS(_REF_Model_Content!$E$1:$E$174,_REF_Model_Content!$A$1:$A$174,PV_Canonical_Industry,_REF_Model_Content!$B$1:$B$174,"Supply Chain"),1)</f>
        <v>0</v>
      </c>
      <c r="AQ208">
        <f t="shared" si="87"/>
        <v>0</v>
      </c>
      <c r="AR208" t="str">
        <f t="shared" si="88"/>
        <v>Within target</v>
      </c>
      <c r="AS208">
        <f t="shared" si="89"/>
        <v>0</v>
      </c>
      <c r="AT208">
        <f t="shared" si="90"/>
        <v>0.9</v>
      </c>
      <c r="AU208">
        <f>'Assessment Questions'!AX208</f>
        <v>0</v>
      </c>
      <c r="AV208">
        <f t="shared" si="91"/>
        <v>0.9</v>
      </c>
      <c r="AW208" t="s">
        <v>1987</v>
      </c>
      <c r="AX208" t="s">
        <v>1987</v>
      </c>
      <c r="AY208">
        <v>13</v>
      </c>
      <c r="AZ208">
        <v>208</v>
      </c>
    </row>
    <row r="209" spans="1:52">
      <c r="A209" t="s">
        <v>2035</v>
      </c>
      <c r="B209" t="s">
        <v>1998</v>
      </c>
      <c r="C209" t="s">
        <v>2036</v>
      </c>
      <c r="D209" t="s">
        <v>1991</v>
      </c>
      <c r="E209" t="s">
        <v>1992</v>
      </c>
      <c r="F209" t="s">
        <v>2037</v>
      </c>
      <c r="G209">
        <f>'Assessment Questions'!J209</f>
        <v>5</v>
      </c>
      <c r="H209">
        <f t="shared" si="77"/>
        <v>0</v>
      </c>
      <c r="I209">
        <f t="shared" si="78"/>
        <v>0</v>
      </c>
      <c r="J209">
        <f t="shared" si="79"/>
        <v>5</v>
      </c>
      <c r="K209">
        <f t="shared" si="80"/>
        <v>5</v>
      </c>
      <c r="L209" t="str">
        <f t="shared" si="81"/>
        <v>Critical</v>
      </c>
      <c r="M209" t="s">
        <v>1069</v>
      </c>
      <c r="N209" t="s">
        <v>1070</v>
      </c>
      <c r="O209" t="s">
        <v>1071</v>
      </c>
      <c r="P209" t="s">
        <v>1072</v>
      </c>
      <c r="Q209" t="s">
        <v>1073</v>
      </c>
      <c r="R209" t="s">
        <v>1074</v>
      </c>
      <c r="S209" t="s">
        <v>1994</v>
      </c>
      <c r="T209">
        <f>'Assessment Questions'!W209</f>
        <v>0</v>
      </c>
      <c r="U209">
        <f>'Assessment Questions'!X209</f>
        <v>0</v>
      </c>
      <c r="V209" t="str">
        <f>'Assessment Questions'!Y209</f>
        <v>Use the recommended action generated by the model; validate with domain owner during real assessment.</v>
      </c>
      <c r="W209">
        <v>4</v>
      </c>
      <c r="X209">
        <v>5</v>
      </c>
      <c r="Y209">
        <v>5</v>
      </c>
      <c r="Z209">
        <f>'Assessment Questions'!AC209</f>
        <v>0</v>
      </c>
      <c r="AB209">
        <f t="shared" si="92"/>
        <v>0</v>
      </c>
      <c r="AC209">
        <f t="shared" si="93"/>
        <v>0</v>
      </c>
      <c r="AD209">
        <f t="shared" si="82"/>
        <v>0</v>
      </c>
      <c r="AE209">
        <f t="shared" si="94"/>
        <v>0</v>
      </c>
      <c r="AF209">
        <f t="shared" si="83"/>
        <v>5</v>
      </c>
      <c r="AG209">
        <f t="shared" si="95"/>
        <v>0</v>
      </c>
      <c r="AH209">
        <f>'Assessment Questions'!AK209</f>
        <v>0</v>
      </c>
      <c r="AI209">
        <f>'Assessment Questions'!AL209</f>
        <v>0</v>
      </c>
      <c r="AJ209">
        <f>IF(OR($H209="",$H209="N/A"),"",IF($AH209="",VLOOKUP('Company Profile'!$B$40,_CONFIG_Model_Settings!$A$5:$B$8,2,FALSE),IFERROR(VLOOKUP($AH209,_CONFIG_Model_Settings!$A$5:$B$8,2,FALSE),0.9)))</f>
        <v>0.9</v>
      </c>
      <c r="AK209">
        <f>IF(OR($H209="",$H209="N/A"),"",IF($AI209="",VLOOKUP('Company Profile'!$B$41,_CONFIG_Model_Settings!$A$5:$B$8,2,FALSE),IFERROR(VLOOKUP($AI209,_CONFIG_Model_Settings!$A$5:$B$8,2,FALSE),0.9)))</f>
        <v>0.9</v>
      </c>
      <c r="AL209">
        <f t="shared" si="84"/>
        <v>0</v>
      </c>
      <c r="AM209">
        <f t="shared" si="85"/>
        <v>0</v>
      </c>
      <c r="AN209">
        <f>IFERROR(MIN(5,MAX(0,(SUMIFS(_REF_Model_Content!$D$1:$D$174,_REF_Model_Content!$A$1:$A$174,PV_Canonical_Industry,_REF_Model_Content!$B$1:$B$174,"Supply Chain"))+IFERROR(VLOOKUP('Company Profile'!$B$35,_CONFIG_Model_Settings!$A$11:$B$13,2,0),0))),"")</f>
        <v>0</v>
      </c>
      <c r="AO209">
        <f t="shared" si="86"/>
        <v>0</v>
      </c>
      <c r="AP209">
        <f>IFERROR(SUMIFS(_REF_Model_Content!$E$1:$E$174,_REF_Model_Content!$A$1:$A$174,PV_Canonical_Industry,_REF_Model_Content!$B$1:$B$174,"Supply Chain"),1)</f>
        <v>0</v>
      </c>
      <c r="AQ209">
        <f t="shared" si="87"/>
        <v>0</v>
      </c>
      <c r="AR209" t="str">
        <f t="shared" si="88"/>
        <v>Within target</v>
      </c>
      <c r="AS209">
        <f t="shared" si="89"/>
        <v>0</v>
      </c>
      <c r="AT209">
        <f t="shared" si="90"/>
        <v>0.9</v>
      </c>
      <c r="AU209">
        <f>'Assessment Questions'!AX209</f>
        <v>0</v>
      </c>
      <c r="AV209">
        <f t="shared" si="91"/>
        <v>0.9</v>
      </c>
      <c r="AW209" t="s">
        <v>1987</v>
      </c>
      <c r="AX209" t="s">
        <v>1987</v>
      </c>
      <c r="AY209">
        <v>14</v>
      </c>
      <c r="AZ209">
        <v>209</v>
      </c>
    </row>
    <row r="210" spans="1:52">
      <c r="A210" t="s">
        <v>2038</v>
      </c>
      <c r="B210" t="s">
        <v>1998</v>
      </c>
      <c r="C210" t="s">
        <v>2039</v>
      </c>
      <c r="D210" t="s">
        <v>1991</v>
      </c>
      <c r="E210" t="s">
        <v>1992</v>
      </c>
      <c r="F210" t="s">
        <v>2040</v>
      </c>
      <c r="G210">
        <f>'Assessment Questions'!J210</f>
        <v>3</v>
      </c>
      <c r="H210">
        <f t="shared" si="77"/>
        <v>0</v>
      </c>
      <c r="I210">
        <f t="shared" si="78"/>
        <v>0</v>
      </c>
      <c r="J210">
        <f t="shared" si="79"/>
        <v>3</v>
      </c>
      <c r="K210">
        <f t="shared" si="80"/>
        <v>3</v>
      </c>
      <c r="L210" t="str">
        <f t="shared" si="81"/>
        <v>Critical</v>
      </c>
      <c r="M210" t="s">
        <v>2041</v>
      </c>
      <c r="N210" t="s">
        <v>2042</v>
      </c>
      <c r="O210" t="s">
        <v>2043</v>
      </c>
      <c r="P210" t="s">
        <v>2044</v>
      </c>
      <c r="Q210" t="s">
        <v>2045</v>
      </c>
      <c r="R210" t="s">
        <v>2046</v>
      </c>
      <c r="S210" t="s">
        <v>1994</v>
      </c>
      <c r="T210">
        <f>'Assessment Questions'!W210</f>
        <v>0</v>
      </c>
      <c r="U210">
        <f>'Assessment Questions'!X210</f>
        <v>0</v>
      </c>
      <c r="V210" t="str">
        <f>'Assessment Questions'!Y210</f>
        <v>Use the recommended action generated by the model; validate with domain owner during real assessment.</v>
      </c>
      <c r="W210">
        <v>4</v>
      </c>
      <c r="X210">
        <v>5</v>
      </c>
      <c r="Y210">
        <v>5</v>
      </c>
      <c r="Z210">
        <f>'Assessment Questions'!AC210</f>
        <v>0</v>
      </c>
      <c r="AB210">
        <f t="shared" si="92"/>
        <v>0</v>
      </c>
      <c r="AC210">
        <f t="shared" si="93"/>
        <v>0</v>
      </c>
      <c r="AD210">
        <f t="shared" si="82"/>
        <v>0</v>
      </c>
      <c r="AE210">
        <f t="shared" si="94"/>
        <v>0</v>
      </c>
      <c r="AF210">
        <f t="shared" si="83"/>
        <v>5</v>
      </c>
      <c r="AG210">
        <f t="shared" si="95"/>
        <v>0</v>
      </c>
      <c r="AH210">
        <f>'Assessment Questions'!AK210</f>
        <v>0</v>
      </c>
      <c r="AI210">
        <f>'Assessment Questions'!AL210</f>
        <v>0</v>
      </c>
      <c r="AJ210">
        <f>IF(OR($H210="",$H210="N/A"),"",IF($AH210="",VLOOKUP('Company Profile'!$B$40,_CONFIG_Model_Settings!$A$5:$B$8,2,FALSE),IFERROR(VLOOKUP($AH210,_CONFIG_Model_Settings!$A$5:$B$8,2,FALSE),0.9)))</f>
        <v>0.9</v>
      </c>
      <c r="AK210">
        <f>IF(OR($H210="",$H210="N/A"),"",IF($AI210="",VLOOKUP('Company Profile'!$B$41,_CONFIG_Model_Settings!$A$5:$B$8,2,FALSE),IFERROR(VLOOKUP($AI210,_CONFIG_Model_Settings!$A$5:$B$8,2,FALSE),0.9)))</f>
        <v>0.9</v>
      </c>
      <c r="AL210">
        <f t="shared" si="84"/>
        <v>0</v>
      </c>
      <c r="AM210">
        <f t="shared" si="85"/>
        <v>0</v>
      </c>
      <c r="AN210">
        <f>IFERROR(MIN(5,MAX(0,(SUMIFS(_REF_Model_Content!$D$1:$D$174,_REF_Model_Content!$A$1:$A$174,PV_Canonical_Industry,_REF_Model_Content!$B$1:$B$174,"Supply Chain"))+IFERROR(VLOOKUP('Company Profile'!$B$35,_CONFIG_Model_Settings!$A$11:$B$13,2,0),0))),"")</f>
        <v>0</v>
      </c>
      <c r="AO210">
        <f t="shared" si="86"/>
        <v>0</v>
      </c>
      <c r="AP210">
        <f>IFERROR(SUMIFS(_REF_Model_Content!$E$1:$E$174,_REF_Model_Content!$A$1:$A$174,PV_Canonical_Industry,_REF_Model_Content!$B$1:$B$174,"Supply Chain"),1)</f>
        <v>0</v>
      </c>
      <c r="AQ210">
        <f t="shared" si="87"/>
        <v>0</v>
      </c>
      <c r="AR210" t="str">
        <f t="shared" si="88"/>
        <v>Within target</v>
      </c>
      <c r="AS210">
        <f t="shared" si="89"/>
        <v>0</v>
      </c>
      <c r="AT210">
        <f t="shared" si="90"/>
        <v>0.9</v>
      </c>
      <c r="AU210">
        <f>'Assessment Questions'!AX210</f>
        <v>0</v>
      </c>
      <c r="AV210">
        <f t="shared" si="91"/>
        <v>0.9</v>
      </c>
      <c r="AW210" t="s">
        <v>1987</v>
      </c>
      <c r="AX210" t="s">
        <v>1987</v>
      </c>
      <c r="AY210">
        <v>15</v>
      </c>
      <c r="AZ210">
        <v>210</v>
      </c>
    </row>
    <row r="211" spans="1:52">
      <c r="A211" t="s">
        <v>2047</v>
      </c>
      <c r="B211" t="s">
        <v>1998</v>
      </c>
      <c r="C211" t="s">
        <v>2048</v>
      </c>
      <c r="D211" t="s">
        <v>1991</v>
      </c>
      <c r="E211" t="s">
        <v>1992</v>
      </c>
      <c r="F211" t="s">
        <v>2049</v>
      </c>
      <c r="G211">
        <f>'Assessment Questions'!J211</f>
        <v>5</v>
      </c>
      <c r="H211">
        <f t="shared" si="77"/>
        <v>0</v>
      </c>
      <c r="I211">
        <f t="shared" si="78"/>
        <v>0</v>
      </c>
      <c r="J211">
        <f t="shared" si="79"/>
        <v>5</v>
      </c>
      <c r="K211">
        <f t="shared" si="80"/>
        <v>5</v>
      </c>
      <c r="L211" t="str">
        <f t="shared" si="81"/>
        <v>Critical</v>
      </c>
      <c r="M211" t="s">
        <v>833</v>
      </c>
      <c r="N211" t="s">
        <v>834</v>
      </c>
      <c r="O211" t="s">
        <v>835</v>
      </c>
      <c r="P211" t="s">
        <v>836</v>
      </c>
      <c r="Q211" t="s">
        <v>837</v>
      </c>
      <c r="R211" t="s">
        <v>838</v>
      </c>
      <c r="S211" t="s">
        <v>1994</v>
      </c>
      <c r="T211">
        <f>'Assessment Questions'!W211</f>
        <v>0</v>
      </c>
      <c r="U211">
        <f>'Assessment Questions'!X211</f>
        <v>0</v>
      </c>
      <c r="V211" t="str">
        <f>'Assessment Questions'!Y211</f>
        <v>Use the recommended action generated by the model; validate with domain owner during real assessment.</v>
      </c>
      <c r="W211">
        <v>4</v>
      </c>
      <c r="X211">
        <v>5</v>
      </c>
      <c r="Y211">
        <v>5</v>
      </c>
      <c r="Z211">
        <f>'Assessment Questions'!AC211</f>
        <v>0</v>
      </c>
      <c r="AB211">
        <f t="shared" si="92"/>
        <v>0</v>
      </c>
      <c r="AC211">
        <f t="shared" si="93"/>
        <v>0</v>
      </c>
      <c r="AD211">
        <f t="shared" si="82"/>
        <v>0</v>
      </c>
      <c r="AE211">
        <f t="shared" si="94"/>
        <v>0</v>
      </c>
      <c r="AF211">
        <f t="shared" si="83"/>
        <v>5</v>
      </c>
      <c r="AG211">
        <f t="shared" si="95"/>
        <v>0</v>
      </c>
      <c r="AH211">
        <f>'Assessment Questions'!AK211</f>
        <v>0</v>
      </c>
      <c r="AI211">
        <f>'Assessment Questions'!AL211</f>
        <v>0</v>
      </c>
      <c r="AJ211">
        <f>IF(OR($H211="",$H211="N/A"),"",IF($AH211="",VLOOKUP('Company Profile'!$B$40,_CONFIG_Model_Settings!$A$5:$B$8,2,FALSE),IFERROR(VLOOKUP($AH211,_CONFIG_Model_Settings!$A$5:$B$8,2,FALSE),0.9)))</f>
        <v>0.9</v>
      </c>
      <c r="AK211">
        <f>IF(OR($H211="",$H211="N/A"),"",IF($AI211="",VLOOKUP('Company Profile'!$B$41,_CONFIG_Model_Settings!$A$5:$B$8,2,FALSE),IFERROR(VLOOKUP($AI211,_CONFIG_Model_Settings!$A$5:$B$8,2,FALSE),0.9)))</f>
        <v>0.9</v>
      </c>
      <c r="AL211">
        <f t="shared" si="84"/>
        <v>0</v>
      </c>
      <c r="AM211">
        <f t="shared" si="85"/>
        <v>0</v>
      </c>
      <c r="AN211">
        <f>IFERROR(MIN(5,MAX(0,(SUMIFS(_REF_Model_Content!$D$1:$D$174,_REF_Model_Content!$A$1:$A$174,PV_Canonical_Industry,_REF_Model_Content!$B$1:$B$174,"Supply Chain"))+IFERROR(VLOOKUP('Company Profile'!$B$35,_CONFIG_Model_Settings!$A$11:$B$13,2,0),0))),"")</f>
        <v>0</v>
      </c>
      <c r="AO211">
        <f t="shared" si="86"/>
        <v>0</v>
      </c>
      <c r="AP211">
        <f>IFERROR(SUMIFS(_REF_Model_Content!$E$1:$E$174,_REF_Model_Content!$A$1:$A$174,PV_Canonical_Industry,_REF_Model_Content!$B$1:$B$174,"Supply Chain"),1)</f>
        <v>0</v>
      </c>
      <c r="AQ211">
        <f t="shared" si="87"/>
        <v>0</v>
      </c>
      <c r="AR211" t="str">
        <f t="shared" si="88"/>
        <v>Within target</v>
      </c>
      <c r="AS211">
        <f t="shared" si="89"/>
        <v>0</v>
      </c>
      <c r="AT211">
        <f t="shared" si="90"/>
        <v>0.9</v>
      </c>
      <c r="AU211">
        <f>'Assessment Questions'!AX211</f>
        <v>0</v>
      </c>
      <c r="AV211">
        <f t="shared" si="91"/>
        <v>0.9</v>
      </c>
      <c r="AW211" t="s">
        <v>1987</v>
      </c>
      <c r="AX211" t="s">
        <v>1987</v>
      </c>
      <c r="AY211">
        <v>16</v>
      </c>
      <c r="AZ211">
        <v>211</v>
      </c>
    </row>
    <row r="212" spans="1:52">
      <c r="A212" t="s">
        <v>2050</v>
      </c>
      <c r="B212" t="s">
        <v>2002</v>
      </c>
      <c r="C212" t="s">
        <v>2051</v>
      </c>
      <c r="D212" t="s">
        <v>1991</v>
      </c>
      <c r="E212" t="s">
        <v>1992</v>
      </c>
      <c r="F212" t="s">
        <v>2052</v>
      </c>
      <c r="G212">
        <f>'Assessment Questions'!J212</f>
        <v>5</v>
      </c>
      <c r="H212">
        <f t="shared" si="77"/>
        <v>0</v>
      </c>
      <c r="I212">
        <f t="shared" si="78"/>
        <v>0</v>
      </c>
      <c r="J212">
        <f t="shared" si="79"/>
        <v>5</v>
      </c>
      <c r="K212">
        <f t="shared" si="80"/>
        <v>5</v>
      </c>
      <c r="L212" t="str">
        <f t="shared" si="81"/>
        <v>Critical</v>
      </c>
      <c r="M212" t="s">
        <v>833</v>
      </c>
      <c r="N212" t="s">
        <v>834</v>
      </c>
      <c r="O212" t="s">
        <v>835</v>
      </c>
      <c r="P212" t="s">
        <v>836</v>
      </c>
      <c r="Q212" t="s">
        <v>837</v>
      </c>
      <c r="R212" t="s">
        <v>838</v>
      </c>
      <c r="S212" t="s">
        <v>1994</v>
      </c>
      <c r="T212">
        <f>'Assessment Questions'!W212</f>
        <v>0</v>
      </c>
      <c r="U212">
        <f>'Assessment Questions'!X212</f>
        <v>0</v>
      </c>
      <c r="V212" t="str">
        <f>'Assessment Questions'!Y212</f>
        <v>Use the recommended action generated by the model; validate with domain owner during real assessment.</v>
      </c>
      <c r="W212">
        <v>4</v>
      </c>
      <c r="X212">
        <v>5</v>
      </c>
      <c r="Y212">
        <v>5</v>
      </c>
      <c r="Z212">
        <f>'Assessment Questions'!AC212</f>
        <v>0</v>
      </c>
      <c r="AB212">
        <f t="shared" si="92"/>
        <v>0</v>
      </c>
      <c r="AC212">
        <f t="shared" si="93"/>
        <v>0</v>
      </c>
      <c r="AD212">
        <f t="shared" si="82"/>
        <v>0</v>
      </c>
      <c r="AE212">
        <f t="shared" si="94"/>
        <v>0</v>
      </c>
      <c r="AF212">
        <f t="shared" si="83"/>
        <v>5</v>
      </c>
      <c r="AG212">
        <f t="shared" si="95"/>
        <v>0</v>
      </c>
      <c r="AH212">
        <f>'Assessment Questions'!AK212</f>
        <v>0</v>
      </c>
      <c r="AI212">
        <f>'Assessment Questions'!AL212</f>
        <v>0</v>
      </c>
      <c r="AJ212">
        <f>IF(OR($H212="",$H212="N/A"),"",IF($AH212="",VLOOKUP('Company Profile'!$B$40,_CONFIG_Model_Settings!$A$5:$B$8,2,FALSE),IFERROR(VLOOKUP($AH212,_CONFIG_Model_Settings!$A$5:$B$8,2,FALSE),0.9)))</f>
        <v>0.9</v>
      </c>
      <c r="AK212">
        <f>IF(OR($H212="",$H212="N/A"),"",IF($AI212="",VLOOKUP('Company Profile'!$B$41,_CONFIG_Model_Settings!$A$5:$B$8,2,FALSE),IFERROR(VLOOKUP($AI212,_CONFIG_Model_Settings!$A$5:$B$8,2,FALSE),0.9)))</f>
        <v>0.9</v>
      </c>
      <c r="AL212">
        <f t="shared" si="84"/>
        <v>0</v>
      </c>
      <c r="AM212">
        <f t="shared" si="85"/>
        <v>0</v>
      </c>
      <c r="AN212">
        <f>IFERROR(MIN(5,MAX(0,(SUMIFS(_REF_Model_Content!$D$1:$D$174,_REF_Model_Content!$A$1:$A$174,PV_Canonical_Industry,_REF_Model_Content!$B$1:$B$174,"Supply Chain"))+IFERROR(VLOOKUP('Company Profile'!$B$35,_CONFIG_Model_Settings!$A$11:$B$13,2,0),0))),"")</f>
        <v>0</v>
      </c>
      <c r="AO212">
        <f t="shared" si="86"/>
        <v>0</v>
      </c>
      <c r="AP212">
        <f>IFERROR(SUMIFS(_REF_Model_Content!$E$1:$E$174,_REF_Model_Content!$A$1:$A$174,PV_Canonical_Industry,_REF_Model_Content!$B$1:$B$174,"Supply Chain"),1)</f>
        <v>0</v>
      </c>
      <c r="AQ212">
        <f t="shared" si="87"/>
        <v>0</v>
      </c>
      <c r="AR212" t="str">
        <f t="shared" si="88"/>
        <v>Within target</v>
      </c>
      <c r="AS212">
        <f t="shared" si="89"/>
        <v>0</v>
      </c>
      <c r="AT212">
        <f t="shared" si="90"/>
        <v>0.9</v>
      </c>
      <c r="AU212">
        <f>'Assessment Questions'!AX212</f>
        <v>0</v>
      </c>
      <c r="AV212">
        <f t="shared" si="91"/>
        <v>0.9</v>
      </c>
      <c r="AW212" t="s">
        <v>1987</v>
      </c>
      <c r="AX212" t="s">
        <v>1987</v>
      </c>
      <c r="AY212">
        <v>17</v>
      </c>
      <c r="AZ212">
        <v>212</v>
      </c>
    </row>
    <row r="213" spans="1:52">
      <c r="A213" t="s">
        <v>2053</v>
      </c>
      <c r="B213" t="s">
        <v>2002</v>
      </c>
      <c r="C213" t="s">
        <v>2054</v>
      </c>
      <c r="D213" t="s">
        <v>1991</v>
      </c>
      <c r="E213" t="s">
        <v>1992</v>
      </c>
      <c r="F213" t="s">
        <v>2055</v>
      </c>
      <c r="G213">
        <f>'Assessment Questions'!J213</f>
        <v>4</v>
      </c>
      <c r="H213">
        <f t="shared" si="77"/>
        <v>0</v>
      </c>
      <c r="I213">
        <f t="shared" si="78"/>
        <v>0</v>
      </c>
      <c r="J213">
        <f t="shared" si="79"/>
        <v>4</v>
      </c>
      <c r="K213">
        <f t="shared" si="80"/>
        <v>4</v>
      </c>
      <c r="L213" t="str">
        <f t="shared" si="81"/>
        <v>Critical</v>
      </c>
      <c r="M213" t="s">
        <v>2056</v>
      </c>
      <c r="N213" t="s">
        <v>2057</v>
      </c>
      <c r="O213" t="s">
        <v>2058</v>
      </c>
      <c r="P213" t="s">
        <v>2059</v>
      </c>
      <c r="Q213" t="s">
        <v>2060</v>
      </c>
      <c r="R213" t="s">
        <v>2061</v>
      </c>
      <c r="S213" t="s">
        <v>1994</v>
      </c>
      <c r="T213">
        <f>'Assessment Questions'!W213</f>
        <v>0</v>
      </c>
      <c r="U213">
        <f>'Assessment Questions'!X213</f>
        <v>0</v>
      </c>
      <c r="V213" t="str">
        <f>'Assessment Questions'!Y213</f>
        <v>Use the recommended action generated by the model; validate with domain owner during real assessment.</v>
      </c>
      <c r="W213">
        <v>4</v>
      </c>
      <c r="X213">
        <v>5</v>
      </c>
      <c r="Y213">
        <v>5</v>
      </c>
      <c r="Z213">
        <f>'Assessment Questions'!AC213</f>
        <v>0</v>
      </c>
      <c r="AB213">
        <f t="shared" si="92"/>
        <v>0</v>
      </c>
      <c r="AC213">
        <f t="shared" si="93"/>
        <v>0</v>
      </c>
      <c r="AD213">
        <f t="shared" si="82"/>
        <v>0</v>
      </c>
      <c r="AE213">
        <f t="shared" si="94"/>
        <v>0</v>
      </c>
      <c r="AF213">
        <f t="shared" si="83"/>
        <v>5</v>
      </c>
      <c r="AG213">
        <f t="shared" si="95"/>
        <v>0</v>
      </c>
      <c r="AH213">
        <f>'Assessment Questions'!AK213</f>
        <v>0</v>
      </c>
      <c r="AI213">
        <f>'Assessment Questions'!AL213</f>
        <v>0</v>
      </c>
      <c r="AJ213">
        <f>IF(OR($H213="",$H213="N/A"),"",IF($AH213="",VLOOKUP('Company Profile'!$B$40,_CONFIG_Model_Settings!$A$5:$B$8,2,FALSE),IFERROR(VLOOKUP($AH213,_CONFIG_Model_Settings!$A$5:$B$8,2,FALSE),0.9)))</f>
        <v>0.9</v>
      </c>
      <c r="AK213">
        <f>IF(OR($H213="",$H213="N/A"),"",IF($AI213="",VLOOKUP('Company Profile'!$B$41,_CONFIG_Model_Settings!$A$5:$B$8,2,FALSE),IFERROR(VLOOKUP($AI213,_CONFIG_Model_Settings!$A$5:$B$8,2,FALSE),0.9)))</f>
        <v>0.9</v>
      </c>
      <c r="AL213">
        <f t="shared" si="84"/>
        <v>0</v>
      </c>
      <c r="AM213">
        <f t="shared" si="85"/>
        <v>0</v>
      </c>
      <c r="AN213">
        <f>IFERROR(MIN(5,MAX(0,(SUMIFS(_REF_Model_Content!$D$1:$D$174,_REF_Model_Content!$A$1:$A$174,PV_Canonical_Industry,_REF_Model_Content!$B$1:$B$174,"Supply Chain"))+IFERROR(VLOOKUP('Company Profile'!$B$35,_CONFIG_Model_Settings!$A$11:$B$13,2,0),0))),"")</f>
        <v>0</v>
      </c>
      <c r="AO213">
        <f t="shared" si="86"/>
        <v>0</v>
      </c>
      <c r="AP213">
        <f>IFERROR(SUMIFS(_REF_Model_Content!$E$1:$E$174,_REF_Model_Content!$A$1:$A$174,PV_Canonical_Industry,_REF_Model_Content!$B$1:$B$174,"Supply Chain"),1)</f>
        <v>0</v>
      </c>
      <c r="AQ213">
        <f t="shared" si="87"/>
        <v>0</v>
      </c>
      <c r="AR213" t="str">
        <f t="shared" si="88"/>
        <v>Within target</v>
      </c>
      <c r="AS213">
        <f t="shared" si="89"/>
        <v>0</v>
      </c>
      <c r="AT213">
        <f t="shared" si="90"/>
        <v>0.9</v>
      </c>
      <c r="AU213">
        <f>'Assessment Questions'!AX213</f>
        <v>0</v>
      </c>
      <c r="AV213">
        <f t="shared" si="91"/>
        <v>0.9</v>
      </c>
      <c r="AW213" t="s">
        <v>1987</v>
      </c>
      <c r="AX213" t="s">
        <v>1987</v>
      </c>
      <c r="AY213">
        <v>18</v>
      </c>
      <c r="AZ213">
        <v>213</v>
      </c>
    </row>
    <row r="214" spans="1:52">
      <c r="A214" t="s">
        <v>2062</v>
      </c>
      <c r="B214" t="s">
        <v>2002</v>
      </c>
      <c r="C214" t="s">
        <v>2063</v>
      </c>
      <c r="D214" t="s">
        <v>1991</v>
      </c>
      <c r="E214" t="s">
        <v>1992</v>
      </c>
      <c r="F214" t="s">
        <v>2064</v>
      </c>
      <c r="G214">
        <f>'Assessment Questions'!J214</f>
        <v>4</v>
      </c>
      <c r="H214">
        <f t="shared" si="77"/>
        <v>0</v>
      </c>
      <c r="I214">
        <f t="shared" si="78"/>
        <v>0</v>
      </c>
      <c r="J214">
        <f t="shared" si="79"/>
        <v>4</v>
      </c>
      <c r="K214">
        <f t="shared" si="80"/>
        <v>4</v>
      </c>
      <c r="L214" t="str">
        <f t="shared" si="81"/>
        <v>Critical</v>
      </c>
      <c r="M214" t="s">
        <v>2065</v>
      </c>
      <c r="N214" t="s">
        <v>2066</v>
      </c>
      <c r="O214" t="s">
        <v>2067</v>
      </c>
      <c r="P214" t="s">
        <v>2068</v>
      </c>
      <c r="Q214" t="s">
        <v>2069</v>
      </c>
      <c r="R214" t="s">
        <v>2070</v>
      </c>
      <c r="S214" t="s">
        <v>1994</v>
      </c>
      <c r="T214">
        <f>'Assessment Questions'!W214</f>
        <v>0</v>
      </c>
      <c r="U214">
        <f>'Assessment Questions'!X214</f>
        <v>0</v>
      </c>
      <c r="V214" t="str">
        <f>'Assessment Questions'!Y214</f>
        <v>Use the recommended action generated by the model; validate with domain owner during real assessment.</v>
      </c>
      <c r="W214">
        <v>4</v>
      </c>
      <c r="X214">
        <v>5</v>
      </c>
      <c r="Y214">
        <v>5</v>
      </c>
      <c r="Z214">
        <f>'Assessment Questions'!AC214</f>
        <v>0</v>
      </c>
      <c r="AB214">
        <f t="shared" si="92"/>
        <v>0</v>
      </c>
      <c r="AC214">
        <f t="shared" si="93"/>
        <v>0</v>
      </c>
      <c r="AD214">
        <f t="shared" si="82"/>
        <v>0</v>
      </c>
      <c r="AE214">
        <f t="shared" si="94"/>
        <v>0</v>
      </c>
      <c r="AF214">
        <f t="shared" si="83"/>
        <v>5</v>
      </c>
      <c r="AG214">
        <f t="shared" si="95"/>
        <v>0</v>
      </c>
      <c r="AH214">
        <f>'Assessment Questions'!AK214</f>
        <v>0</v>
      </c>
      <c r="AI214">
        <f>'Assessment Questions'!AL214</f>
        <v>0</v>
      </c>
      <c r="AJ214">
        <f>IF(OR($H214="",$H214="N/A"),"",IF($AH214="",VLOOKUP('Company Profile'!$B$40,_CONFIG_Model_Settings!$A$5:$B$8,2,FALSE),IFERROR(VLOOKUP($AH214,_CONFIG_Model_Settings!$A$5:$B$8,2,FALSE),0.9)))</f>
        <v>0.9</v>
      </c>
      <c r="AK214">
        <f>IF(OR($H214="",$H214="N/A"),"",IF($AI214="",VLOOKUP('Company Profile'!$B$41,_CONFIG_Model_Settings!$A$5:$B$8,2,FALSE),IFERROR(VLOOKUP($AI214,_CONFIG_Model_Settings!$A$5:$B$8,2,FALSE),0.9)))</f>
        <v>0.9</v>
      </c>
      <c r="AL214">
        <f t="shared" si="84"/>
        <v>0</v>
      </c>
      <c r="AM214">
        <f t="shared" si="85"/>
        <v>0</v>
      </c>
      <c r="AN214">
        <f>IFERROR(MIN(5,MAX(0,(SUMIFS(_REF_Model_Content!$D$1:$D$174,_REF_Model_Content!$A$1:$A$174,PV_Canonical_Industry,_REF_Model_Content!$B$1:$B$174,"Supply Chain"))+IFERROR(VLOOKUP('Company Profile'!$B$35,_CONFIG_Model_Settings!$A$11:$B$13,2,0),0))),"")</f>
        <v>0</v>
      </c>
      <c r="AO214">
        <f t="shared" si="86"/>
        <v>0</v>
      </c>
      <c r="AP214">
        <f>IFERROR(SUMIFS(_REF_Model_Content!$E$1:$E$174,_REF_Model_Content!$A$1:$A$174,PV_Canonical_Industry,_REF_Model_Content!$B$1:$B$174,"Supply Chain"),1)</f>
        <v>0</v>
      </c>
      <c r="AQ214">
        <f t="shared" si="87"/>
        <v>0</v>
      </c>
      <c r="AR214" t="str">
        <f t="shared" si="88"/>
        <v>Within target</v>
      </c>
      <c r="AS214">
        <f t="shared" si="89"/>
        <v>0</v>
      </c>
      <c r="AT214">
        <f t="shared" si="90"/>
        <v>0.9</v>
      </c>
      <c r="AU214">
        <f>'Assessment Questions'!AX214</f>
        <v>0</v>
      </c>
      <c r="AV214">
        <f t="shared" si="91"/>
        <v>0.9</v>
      </c>
      <c r="AW214" t="s">
        <v>1987</v>
      </c>
      <c r="AX214" t="s">
        <v>1987</v>
      </c>
      <c r="AY214">
        <v>19</v>
      </c>
      <c r="AZ214">
        <v>214</v>
      </c>
    </row>
    <row r="215" spans="1:52">
      <c r="A215" t="s">
        <v>2071</v>
      </c>
      <c r="B215" t="s">
        <v>2002</v>
      </c>
      <c r="C215" t="s">
        <v>2072</v>
      </c>
      <c r="D215" t="s">
        <v>1991</v>
      </c>
      <c r="E215" t="s">
        <v>1992</v>
      </c>
      <c r="F215" t="s">
        <v>2073</v>
      </c>
      <c r="G215">
        <f>'Assessment Questions'!J215</f>
        <v>5</v>
      </c>
      <c r="H215">
        <f t="shared" si="77"/>
        <v>0</v>
      </c>
      <c r="I215">
        <f t="shared" si="78"/>
        <v>0</v>
      </c>
      <c r="J215">
        <f t="shared" si="79"/>
        <v>5</v>
      </c>
      <c r="K215">
        <f t="shared" si="80"/>
        <v>5</v>
      </c>
      <c r="L215" t="str">
        <f t="shared" si="81"/>
        <v>Critical</v>
      </c>
      <c r="M215" t="s">
        <v>833</v>
      </c>
      <c r="N215" t="s">
        <v>834</v>
      </c>
      <c r="O215" t="s">
        <v>835</v>
      </c>
      <c r="P215" t="s">
        <v>836</v>
      </c>
      <c r="Q215" t="s">
        <v>837</v>
      </c>
      <c r="R215" t="s">
        <v>838</v>
      </c>
      <c r="S215" t="s">
        <v>1994</v>
      </c>
      <c r="T215">
        <f>'Assessment Questions'!W215</f>
        <v>0</v>
      </c>
      <c r="U215">
        <f>'Assessment Questions'!X215</f>
        <v>0</v>
      </c>
      <c r="V215" t="str">
        <f>'Assessment Questions'!Y215</f>
        <v>Use the recommended action generated by the model; validate with domain owner during real assessment.</v>
      </c>
      <c r="W215">
        <v>4</v>
      </c>
      <c r="X215">
        <v>5</v>
      </c>
      <c r="Y215">
        <v>5</v>
      </c>
      <c r="Z215">
        <f>'Assessment Questions'!AC215</f>
        <v>0</v>
      </c>
      <c r="AB215">
        <f t="shared" si="92"/>
        <v>0</v>
      </c>
      <c r="AC215">
        <f t="shared" si="93"/>
        <v>0</v>
      </c>
      <c r="AD215">
        <f t="shared" si="82"/>
        <v>0</v>
      </c>
      <c r="AE215">
        <f t="shared" si="94"/>
        <v>0</v>
      </c>
      <c r="AF215">
        <f t="shared" si="83"/>
        <v>5</v>
      </c>
      <c r="AG215">
        <f t="shared" si="95"/>
        <v>0</v>
      </c>
      <c r="AH215">
        <f>'Assessment Questions'!AK215</f>
        <v>0</v>
      </c>
      <c r="AI215">
        <f>'Assessment Questions'!AL215</f>
        <v>0</v>
      </c>
      <c r="AJ215">
        <f>IF(OR($H215="",$H215="N/A"),"",IF($AH215="",VLOOKUP('Company Profile'!$B$40,_CONFIG_Model_Settings!$A$5:$B$8,2,FALSE),IFERROR(VLOOKUP($AH215,_CONFIG_Model_Settings!$A$5:$B$8,2,FALSE),0.9)))</f>
        <v>0.9</v>
      </c>
      <c r="AK215">
        <f>IF(OR($H215="",$H215="N/A"),"",IF($AI215="",VLOOKUP('Company Profile'!$B$41,_CONFIG_Model_Settings!$A$5:$B$8,2,FALSE),IFERROR(VLOOKUP($AI215,_CONFIG_Model_Settings!$A$5:$B$8,2,FALSE),0.9)))</f>
        <v>0.9</v>
      </c>
      <c r="AL215">
        <f t="shared" si="84"/>
        <v>0</v>
      </c>
      <c r="AM215">
        <f t="shared" si="85"/>
        <v>0</v>
      </c>
      <c r="AN215">
        <f>IFERROR(MIN(5,MAX(0,(SUMIFS(_REF_Model_Content!$D$1:$D$174,_REF_Model_Content!$A$1:$A$174,PV_Canonical_Industry,_REF_Model_Content!$B$1:$B$174,"Supply Chain"))+IFERROR(VLOOKUP('Company Profile'!$B$35,_CONFIG_Model_Settings!$A$11:$B$13,2,0),0))),"")</f>
        <v>0</v>
      </c>
      <c r="AO215">
        <f t="shared" si="86"/>
        <v>0</v>
      </c>
      <c r="AP215">
        <f>IFERROR(SUMIFS(_REF_Model_Content!$E$1:$E$174,_REF_Model_Content!$A$1:$A$174,PV_Canonical_Industry,_REF_Model_Content!$B$1:$B$174,"Supply Chain"),1)</f>
        <v>0</v>
      </c>
      <c r="AQ215">
        <f t="shared" si="87"/>
        <v>0</v>
      </c>
      <c r="AR215" t="str">
        <f t="shared" si="88"/>
        <v>Within target</v>
      </c>
      <c r="AS215">
        <f t="shared" si="89"/>
        <v>0</v>
      </c>
      <c r="AT215">
        <f t="shared" si="90"/>
        <v>0.9</v>
      </c>
      <c r="AU215">
        <f>'Assessment Questions'!AX215</f>
        <v>0</v>
      </c>
      <c r="AV215">
        <f t="shared" si="91"/>
        <v>0.9</v>
      </c>
      <c r="AW215" t="s">
        <v>1987</v>
      </c>
      <c r="AX215" t="s">
        <v>1987</v>
      </c>
      <c r="AY215">
        <v>20</v>
      </c>
      <c r="AZ215">
        <v>215</v>
      </c>
    </row>
    <row r="216" spans="1:52">
      <c r="A216" t="s">
        <v>2074</v>
      </c>
      <c r="B216" t="s">
        <v>2002</v>
      </c>
      <c r="C216" t="s">
        <v>2075</v>
      </c>
      <c r="D216" t="s">
        <v>1991</v>
      </c>
      <c r="E216" t="s">
        <v>1992</v>
      </c>
      <c r="F216" t="s">
        <v>2076</v>
      </c>
      <c r="G216">
        <f>'Assessment Questions'!J216</f>
        <v>5</v>
      </c>
      <c r="H216">
        <f t="shared" si="77"/>
        <v>0</v>
      </c>
      <c r="I216">
        <f t="shared" si="78"/>
        <v>0</v>
      </c>
      <c r="J216">
        <f t="shared" si="79"/>
        <v>5</v>
      </c>
      <c r="K216">
        <f t="shared" si="80"/>
        <v>5</v>
      </c>
      <c r="L216" t="str">
        <f t="shared" si="81"/>
        <v>Critical</v>
      </c>
      <c r="M216" t="s">
        <v>833</v>
      </c>
      <c r="N216" t="s">
        <v>834</v>
      </c>
      <c r="O216" t="s">
        <v>835</v>
      </c>
      <c r="P216" t="s">
        <v>836</v>
      </c>
      <c r="Q216" t="s">
        <v>837</v>
      </c>
      <c r="R216" t="s">
        <v>838</v>
      </c>
      <c r="S216" t="s">
        <v>1994</v>
      </c>
      <c r="T216">
        <f>'Assessment Questions'!W216</f>
        <v>0</v>
      </c>
      <c r="U216">
        <f>'Assessment Questions'!X216</f>
        <v>0</v>
      </c>
      <c r="V216" t="str">
        <f>'Assessment Questions'!Y216</f>
        <v>Use the recommended action generated by the model; validate with domain owner during real assessment.</v>
      </c>
      <c r="W216">
        <v>4</v>
      </c>
      <c r="X216">
        <v>5</v>
      </c>
      <c r="Y216">
        <v>5</v>
      </c>
      <c r="Z216">
        <f>'Assessment Questions'!AC216</f>
        <v>0</v>
      </c>
      <c r="AB216">
        <f t="shared" si="92"/>
        <v>0</v>
      </c>
      <c r="AC216">
        <f t="shared" si="93"/>
        <v>0</v>
      </c>
      <c r="AD216">
        <f t="shared" si="82"/>
        <v>0</v>
      </c>
      <c r="AE216">
        <f t="shared" si="94"/>
        <v>0</v>
      </c>
      <c r="AF216">
        <f t="shared" si="83"/>
        <v>5</v>
      </c>
      <c r="AG216">
        <f t="shared" si="95"/>
        <v>0</v>
      </c>
      <c r="AH216">
        <f>'Assessment Questions'!AK216</f>
        <v>0</v>
      </c>
      <c r="AI216">
        <f>'Assessment Questions'!AL216</f>
        <v>0</v>
      </c>
      <c r="AJ216">
        <f>IF(OR($H216="",$H216="N/A"),"",IF($AH216="",VLOOKUP('Company Profile'!$B$40,_CONFIG_Model_Settings!$A$5:$B$8,2,FALSE),IFERROR(VLOOKUP($AH216,_CONFIG_Model_Settings!$A$5:$B$8,2,FALSE),0.9)))</f>
        <v>0.9</v>
      </c>
      <c r="AK216">
        <f>IF(OR($H216="",$H216="N/A"),"",IF($AI216="",VLOOKUP('Company Profile'!$B$41,_CONFIG_Model_Settings!$A$5:$B$8,2,FALSE),IFERROR(VLOOKUP($AI216,_CONFIG_Model_Settings!$A$5:$B$8,2,FALSE),0.9)))</f>
        <v>0.9</v>
      </c>
      <c r="AL216">
        <f t="shared" si="84"/>
        <v>0</v>
      </c>
      <c r="AM216">
        <f t="shared" si="85"/>
        <v>0</v>
      </c>
      <c r="AN216">
        <f>IFERROR(MIN(5,MAX(0,(SUMIFS(_REF_Model_Content!$D$1:$D$174,_REF_Model_Content!$A$1:$A$174,PV_Canonical_Industry,_REF_Model_Content!$B$1:$B$174,"Supply Chain"))+IFERROR(VLOOKUP('Company Profile'!$B$35,_CONFIG_Model_Settings!$A$11:$B$13,2,0),0))),"")</f>
        <v>0</v>
      </c>
      <c r="AO216">
        <f t="shared" si="86"/>
        <v>0</v>
      </c>
      <c r="AP216">
        <f>IFERROR(SUMIFS(_REF_Model_Content!$E$1:$E$174,_REF_Model_Content!$A$1:$A$174,PV_Canonical_Industry,_REF_Model_Content!$B$1:$B$174,"Supply Chain"),1)</f>
        <v>0</v>
      </c>
      <c r="AQ216">
        <f t="shared" si="87"/>
        <v>0</v>
      </c>
      <c r="AR216" t="str">
        <f t="shared" si="88"/>
        <v>Within target</v>
      </c>
      <c r="AS216">
        <f t="shared" si="89"/>
        <v>0</v>
      </c>
      <c r="AT216">
        <f t="shared" si="90"/>
        <v>0.9</v>
      </c>
      <c r="AU216">
        <f>'Assessment Questions'!AX216</f>
        <v>0</v>
      </c>
      <c r="AV216">
        <f t="shared" si="91"/>
        <v>0.9</v>
      </c>
      <c r="AW216" t="s">
        <v>1987</v>
      </c>
      <c r="AX216" t="s">
        <v>1987</v>
      </c>
      <c r="AY216">
        <v>21</v>
      </c>
      <c r="AZ216">
        <v>216</v>
      </c>
    </row>
    <row r="217" spans="1:52">
      <c r="A217" t="s">
        <v>2077</v>
      </c>
      <c r="B217" t="s">
        <v>2002</v>
      </c>
      <c r="C217" t="s">
        <v>2078</v>
      </c>
      <c r="D217" t="s">
        <v>1991</v>
      </c>
      <c r="E217" t="s">
        <v>1992</v>
      </c>
      <c r="F217" t="s">
        <v>2079</v>
      </c>
      <c r="G217">
        <f>'Assessment Questions'!J217</f>
        <v>5</v>
      </c>
      <c r="H217">
        <f t="shared" si="77"/>
        <v>0</v>
      </c>
      <c r="I217">
        <f t="shared" si="78"/>
        <v>0</v>
      </c>
      <c r="J217">
        <f t="shared" si="79"/>
        <v>5</v>
      </c>
      <c r="K217">
        <f t="shared" si="80"/>
        <v>5</v>
      </c>
      <c r="L217" t="str">
        <f t="shared" si="81"/>
        <v>Critical</v>
      </c>
      <c r="M217" t="s">
        <v>833</v>
      </c>
      <c r="N217" t="s">
        <v>834</v>
      </c>
      <c r="O217" t="s">
        <v>835</v>
      </c>
      <c r="P217" t="s">
        <v>836</v>
      </c>
      <c r="Q217" t="s">
        <v>837</v>
      </c>
      <c r="R217" t="s">
        <v>838</v>
      </c>
      <c r="S217" t="s">
        <v>1994</v>
      </c>
      <c r="T217">
        <f>'Assessment Questions'!W217</f>
        <v>0</v>
      </c>
      <c r="U217">
        <f>'Assessment Questions'!X217</f>
        <v>0</v>
      </c>
      <c r="V217" t="str">
        <f>'Assessment Questions'!Y217</f>
        <v>Use the recommended action generated by the model; validate with domain owner during real assessment.</v>
      </c>
      <c r="W217">
        <v>4</v>
      </c>
      <c r="X217">
        <v>5</v>
      </c>
      <c r="Y217">
        <v>5</v>
      </c>
      <c r="Z217">
        <f>'Assessment Questions'!AC217</f>
        <v>0</v>
      </c>
      <c r="AB217">
        <f t="shared" si="92"/>
        <v>0</v>
      </c>
      <c r="AC217">
        <f t="shared" si="93"/>
        <v>0</v>
      </c>
      <c r="AD217">
        <f t="shared" si="82"/>
        <v>0</v>
      </c>
      <c r="AE217">
        <f t="shared" si="94"/>
        <v>0</v>
      </c>
      <c r="AF217">
        <f t="shared" si="83"/>
        <v>5</v>
      </c>
      <c r="AG217">
        <f t="shared" si="95"/>
        <v>0</v>
      </c>
      <c r="AH217">
        <f>'Assessment Questions'!AK217</f>
        <v>0</v>
      </c>
      <c r="AI217">
        <f>'Assessment Questions'!AL217</f>
        <v>0</v>
      </c>
      <c r="AJ217">
        <f>IF(OR($H217="",$H217="N/A"),"",IF($AH217="",VLOOKUP('Company Profile'!$B$40,_CONFIG_Model_Settings!$A$5:$B$8,2,FALSE),IFERROR(VLOOKUP($AH217,_CONFIG_Model_Settings!$A$5:$B$8,2,FALSE),0.9)))</f>
        <v>0.9</v>
      </c>
      <c r="AK217">
        <f>IF(OR($H217="",$H217="N/A"),"",IF($AI217="",VLOOKUP('Company Profile'!$B$41,_CONFIG_Model_Settings!$A$5:$B$8,2,FALSE),IFERROR(VLOOKUP($AI217,_CONFIG_Model_Settings!$A$5:$B$8,2,FALSE),0.9)))</f>
        <v>0.9</v>
      </c>
      <c r="AL217">
        <f t="shared" si="84"/>
        <v>0</v>
      </c>
      <c r="AM217">
        <f t="shared" si="85"/>
        <v>0</v>
      </c>
      <c r="AN217">
        <f>IFERROR(MIN(5,MAX(0,(SUMIFS(_REF_Model_Content!$D$1:$D$174,_REF_Model_Content!$A$1:$A$174,PV_Canonical_Industry,_REF_Model_Content!$B$1:$B$174,"Supply Chain"))+IFERROR(VLOOKUP('Company Profile'!$B$35,_CONFIG_Model_Settings!$A$11:$B$13,2,0),0))),"")</f>
        <v>0</v>
      </c>
      <c r="AO217">
        <f t="shared" si="86"/>
        <v>0</v>
      </c>
      <c r="AP217">
        <f>IFERROR(SUMIFS(_REF_Model_Content!$E$1:$E$174,_REF_Model_Content!$A$1:$A$174,PV_Canonical_Industry,_REF_Model_Content!$B$1:$B$174,"Supply Chain"),1)</f>
        <v>0</v>
      </c>
      <c r="AQ217">
        <f t="shared" si="87"/>
        <v>0</v>
      </c>
      <c r="AR217" t="str">
        <f t="shared" si="88"/>
        <v>Within target</v>
      </c>
      <c r="AS217">
        <f t="shared" si="89"/>
        <v>0</v>
      </c>
      <c r="AT217">
        <f t="shared" si="90"/>
        <v>0.9</v>
      </c>
      <c r="AU217">
        <f>'Assessment Questions'!AX217</f>
        <v>0</v>
      </c>
      <c r="AV217">
        <f t="shared" si="91"/>
        <v>0.9</v>
      </c>
      <c r="AW217" t="s">
        <v>1987</v>
      </c>
      <c r="AX217" t="s">
        <v>1987</v>
      </c>
      <c r="AY217">
        <v>22</v>
      </c>
      <c r="AZ217">
        <v>217</v>
      </c>
    </row>
    <row r="218" spans="1:52">
      <c r="A218" t="s">
        <v>2080</v>
      </c>
      <c r="B218" t="s">
        <v>2002</v>
      </c>
      <c r="C218" t="s">
        <v>2081</v>
      </c>
      <c r="D218" t="s">
        <v>1991</v>
      </c>
      <c r="E218" t="s">
        <v>1992</v>
      </c>
      <c r="F218" t="s">
        <v>2082</v>
      </c>
      <c r="G218">
        <f>'Assessment Questions'!J218</f>
        <v>5</v>
      </c>
      <c r="H218">
        <f t="shared" si="77"/>
        <v>0</v>
      </c>
      <c r="I218">
        <f t="shared" si="78"/>
        <v>0</v>
      </c>
      <c r="J218">
        <f t="shared" si="79"/>
        <v>5</v>
      </c>
      <c r="K218">
        <f t="shared" si="80"/>
        <v>5</v>
      </c>
      <c r="L218" t="str">
        <f t="shared" si="81"/>
        <v>Critical</v>
      </c>
      <c r="M218" t="s">
        <v>874</v>
      </c>
      <c r="N218" t="s">
        <v>875</v>
      </c>
      <c r="O218" t="s">
        <v>876</v>
      </c>
      <c r="P218" t="s">
        <v>877</v>
      </c>
      <c r="Q218" t="s">
        <v>878</v>
      </c>
      <c r="R218" t="s">
        <v>879</v>
      </c>
      <c r="S218" t="s">
        <v>1994</v>
      </c>
      <c r="T218">
        <f>'Assessment Questions'!W218</f>
        <v>0</v>
      </c>
      <c r="U218">
        <f>'Assessment Questions'!X218</f>
        <v>0</v>
      </c>
      <c r="V218" t="str">
        <f>'Assessment Questions'!Y218</f>
        <v>Use the recommended action generated by the model; validate with domain owner during real assessment.</v>
      </c>
      <c r="W218">
        <v>5</v>
      </c>
      <c r="X218">
        <v>5</v>
      </c>
      <c r="Y218">
        <v>5</v>
      </c>
      <c r="Z218">
        <f>'Assessment Questions'!AC218</f>
        <v>0</v>
      </c>
      <c r="AB218">
        <f t="shared" si="92"/>
        <v>0</v>
      </c>
      <c r="AC218">
        <f t="shared" si="93"/>
        <v>0</v>
      </c>
      <c r="AD218">
        <f t="shared" si="82"/>
        <v>0</v>
      </c>
      <c r="AE218">
        <f t="shared" si="94"/>
        <v>0</v>
      </c>
      <c r="AF218">
        <f t="shared" si="83"/>
        <v>5</v>
      </c>
      <c r="AG218">
        <f t="shared" si="95"/>
        <v>0</v>
      </c>
      <c r="AH218">
        <f>'Assessment Questions'!AK218</f>
        <v>0</v>
      </c>
      <c r="AI218">
        <f>'Assessment Questions'!AL218</f>
        <v>0</v>
      </c>
      <c r="AJ218">
        <f>IF(OR($H218="",$H218="N/A"),"",IF($AH218="",VLOOKUP('Company Profile'!$B$40,_CONFIG_Model_Settings!$A$5:$B$8,2,FALSE),IFERROR(VLOOKUP($AH218,_CONFIG_Model_Settings!$A$5:$B$8,2,FALSE),0.9)))</f>
        <v>0.9</v>
      </c>
      <c r="AK218">
        <f>IF(OR($H218="",$H218="N/A"),"",IF($AI218="",VLOOKUP('Company Profile'!$B$41,_CONFIG_Model_Settings!$A$5:$B$8,2,FALSE),IFERROR(VLOOKUP($AI218,_CONFIG_Model_Settings!$A$5:$B$8,2,FALSE),0.9)))</f>
        <v>0.9</v>
      </c>
      <c r="AL218">
        <f t="shared" si="84"/>
        <v>0</v>
      </c>
      <c r="AM218">
        <f t="shared" si="85"/>
        <v>0</v>
      </c>
      <c r="AN218">
        <f>IFERROR(MIN(5,MAX(0,(SUMIFS(_REF_Model_Content!$D$1:$D$174,_REF_Model_Content!$A$1:$A$174,PV_Canonical_Industry,_REF_Model_Content!$B$1:$B$174,"Supply Chain"))+IFERROR(VLOOKUP('Company Profile'!$B$35,_CONFIG_Model_Settings!$A$11:$B$13,2,0),0))),"")</f>
        <v>0</v>
      </c>
      <c r="AO218">
        <f t="shared" si="86"/>
        <v>0</v>
      </c>
      <c r="AP218">
        <f>IFERROR(SUMIFS(_REF_Model_Content!$E$1:$E$174,_REF_Model_Content!$A$1:$A$174,PV_Canonical_Industry,_REF_Model_Content!$B$1:$B$174,"Supply Chain"),1)</f>
        <v>0</v>
      </c>
      <c r="AQ218">
        <f t="shared" si="87"/>
        <v>0</v>
      </c>
      <c r="AR218" t="str">
        <f t="shared" si="88"/>
        <v>Within target</v>
      </c>
      <c r="AS218">
        <f t="shared" si="89"/>
        <v>0</v>
      </c>
      <c r="AT218">
        <f t="shared" si="90"/>
        <v>0.9</v>
      </c>
      <c r="AU218">
        <f>'Assessment Questions'!AX218</f>
        <v>0</v>
      </c>
      <c r="AV218">
        <f t="shared" si="91"/>
        <v>0.9</v>
      </c>
      <c r="AW218" t="s">
        <v>1987</v>
      </c>
      <c r="AX218" t="s">
        <v>1987</v>
      </c>
      <c r="AY218">
        <v>23</v>
      </c>
      <c r="AZ218">
        <v>218</v>
      </c>
    </row>
    <row r="219" spans="1:52">
      <c r="A219" t="s">
        <v>2083</v>
      </c>
      <c r="B219" t="s">
        <v>2006</v>
      </c>
      <c r="C219" t="s">
        <v>2084</v>
      </c>
      <c r="D219" t="s">
        <v>1991</v>
      </c>
      <c r="E219" t="s">
        <v>1992</v>
      </c>
      <c r="F219" t="s">
        <v>2085</v>
      </c>
      <c r="G219">
        <f>'Assessment Questions'!J219</f>
        <v>5</v>
      </c>
      <c r="H219">
        <f t="shared" si="77"/>
        <v>0</v>
      </c>
      <c r="I219">
        <f t="shared" si="78"/>
        <v>0</v>
      </c>
      <c r="J219">
        <f t="shared" si="79"/>
        <v>5</v>
      </c>
      <c r="K219">
        <f t="shared" si="80"/>
        <v>5</v>
      </c>
      <c r="L219" t="str">
        <f t="shared" si="81"/>
        <v>Critical</v>
      </c>
      <c r="M219" t="s">
        <v>833</v>
      </c>
      <c r="N219" t="s">
        <v>834</v>
      </c>
      <c r="O219" t="s">
        <v>835</v>
      </c>
      <c r="P219" t="s">
        <v>836</v>
      </c>
      <c r="Q219" t="s">
        <v>837</v>
      </c>
      <c r="R219" t="s">
        <v>838</v>
      </c>
      <c r="S219" t="s">
        <v>1994</v>
      </c>
      <c r="T219">
        <f>'Assessment Questions'!W219</f>
        <v>0</v>
      </c>
      <c r="U219">
        <f>'Assessment Questions'!X219</f>
        <v>0</v>
      </c>
      <c r="V219" t="str">
        <f>'Assessment Questions'!Y219</f>
        <v>Use the recommended action generated by the model; validate with domain owner during real assessment.</v>
      </c>
      <c r="W219">
        <v>5</v>
      </c>
      <c r="X219">
        <v>5</v>
      </c>
      <c r="Y219">
        <v>5</v>
      </c>
      <c r="Z219">
        <f>'Assessment Questions'!AC219</f>
        <v>0</v>
      </c>
      <c r="AB219">
        <f t="shared" si="92"/>
        <v>0</v>
      </c>
      <c r="AC219">
        <f t="shared" si="93"/>
        <v>0</v>
      </c>
      <c r="AD219">
        <f t="shared" si="82"/>
        <v>0</v>
      </c>
      <c r="AE219">
        <f t="shared" si="94"/>
        <v>0</v>
      </c>
      <c r="AF219">
        <f t="shared" si="83"/>
        <v>5</v>
      </c>
      <c r="AG219">
        <f t="shared" si="95"/>
        <v>0</v>
      </c>
      <c r="AH219">
        <f>'Assessment Questions'!AK219</f>
        <v>0</v>
      </c>
      <c r="AI219">
        <f>'Assessment Questions'!AL219</f>
        <v>0</v>
      </c>
      <c r="AJ219">
        <f>IF(OR($H219="",$H219="N/A"),"",IF($AH219="",VLOOKUP('Company Profile'!$B$40,_CONFIG_Model_Settings!$A$5:$B$8,2,FALSE),IFERROR(VLOOKUP($AH219,_CONFIG_Model_Settings!$A$5:$B$8,2,FALSE),0.9)))</f>
        <v>0.9</v>
      </c>
      <c r="AK219">
        <f>IF(OR($H219="",$H219="N/A"),"",IF($AI219="",VLOOKUP('Company Profile'!$B$41,_CONFIG_Model_Settings!$A$5:$B$8,2,FALSE),IFERROR(VLOOKUP($AI219,_CONFIG_Model_Settings!$A$5:$B$8,2,FALSE),0.9)))</f>
        <v>0.9</v>
      </c>
      <c r="AL219">
        <f t="shared" si="84"/>
        <v>0</v>
      </c>
      <c r="AM219">
        <f t="shared" si="85"/>
        <v>0</v>
      </c>
      <c r="AN219">
        <f>IFERROR(MIN(5,MAX(0,(SUMIFS(_REF_Model_Content!$D$1:$D$174,_REF_Model_Content!$A$1:$A$174,PV_Canonical_Industry,_REF_Model_Content!$B$1:$B$174,"Supply Chain"))+IFERROR(VLOOKUP('Company Profile'!$B$35,_CONFIG_Model_Settings!$A$11:$B$13,2,0),0))),"")</f>
        <v>0</v>
      </c>
      <c r="AO219">
        <f t="shared" si="86"/>
        <v>0</v>
      </c>
      <c r="AP219">
        <f>IFERROR(SUMIFS(_REF_Model_Content!$E$1:$E$174,_REF_Model_Content!$A$1:$A$174,PV_Canonical_Industry,_REF_Model_Content!$B$1:$B$174,"Supply Chain"),1)</f>
        <v>0</v>
      </c>
      <c r="AQ219">
        <f t="shared" si="87"/>
        <v>0</v>
      </c>
      <c r="AR219" t="str">
        <f t="shared" si="88"/>
        <v>Within target</v>
      </c>
      <c r="AS219">
        <f t="shared" si="89"/>
        <v>0</v>
      </c>
      <c r="AT219">
        <f t="shared" si="90"/>
        <v>0.9</v>
      </c>
      <c r="AU219">
        <f>'Assessment Questions'!AX219</f>
        <v>0</v>
      </c>
      <c r="AV219">
        <f t="shared" si="91"/>
        <v>0.9</v>
      </c>
      <c r="AW219" t="s">
        <v>1987</v>
      </c>
      <c r="AX219" t="s">
        <v>1987</v>
      </c>
      <c r="AY219">
        <v>24</v>
      </c>
      <c r="AZ219">
        <v>219</v>
      </c>
    </row>
    <row r="220" spans="1:52">
      <c r="A220" t="s">
        <v>2086</v>
      </c>
      <c r="B220" t="s">
        <v>2006</v>
      </c>
      <c r="C220" t="s">
        <v>2087</v>
      </c>
      <c r="D220" t="s">
        <v>1991</v>
      </c>
      <c r="E220" t="s">
        <v>1992</v>
      </c>
      <c r="F220" t="s">
        <v>2088</v>
      </c>
      <c r="G220">
        <f>'Assessment Questions'!J220</f>
        <v>5</v>
      </c>
      <c r="H220">
        <f t="shared" si="77"/>
        <v>0</v>
      </c>
      <c r="I220">
        <f t="shared" si="78"/>
        <v>0</v>
      </c>
      <c r="J220">
        <f t="shared" si="79"/>
        <v>5</v>
      </c>
      <c r="K220">
        <f t="shared" si="80"/>
        <v>5</v>
      </c>
      <c r="L220" t="str">
        <f t="shared" si="81"/>
        <v>Critical</v>
      </c>
      <c r="M220" t="s">
        <v>1069</v>
      </c>
      <c r="N220" t="s">
        <v>1070</v>
      </c>
      <c r="O220" t="s">
        <v>1071</v>
      </c>
      <c r="P220" t="s">
        <v>1072</v>
      </c>
      <c r="Q220" t="s">
        <v>1073</v>
      </c>
      <c r="R220" t="s">
        <v>1074</v>
      </c>
      <c r="S220" t="s">
        <v>1994</v>
      </c>
      <c r="T220">
        <f>'Assessment Questions'!W220</f>
        <v>0</v>
      </c>
      <c r="U220">
        <f>'Assessment Questions'!X220</f>
        <v>0</v>
      </c>
      <c r="V220" t="str">
        <f>'Assessment Questions'!Y220</f>
        <v>Use the recommended action generated by the model; validate with domain owner during real assessment.</v>
      </c>
      <c r="W220">
        <v>4</v>
      </c>
      <c r="X220">
        <v>5</v>
      </c>
      <c r="Y220">
        <v>5</v>
      </c>
      <c r="Z220">
        <f>'Assessment Questions'!AC220</f>
        <v>0</v>
      </c>
      <c r="AB220">
        <f t="shared" si="92"/>
        <v>0</v>
      </c>
      <c r="AC220">
        <f t="shared" si="93"/>
        <v>0</v>
      </c>
      <c r="AD220">
        <f t="shared" si="82"/>
        <v>0</v>
      </c>
      <c r="AE220">
        <f t="shared" si="94"/>
        <v>0</v>
      </c>
      <c r="AF220">
        <f t="shared" si="83"/>
        <v>5</v>
      </c>
      <c r="AG220">
        <f t="shared" si="95"/>
        <v>0</v>
      </c>
      <c r="AH220">
        <f>'Assessment Questions'!AK220</f>
        <v>0</v>
      </c>
      <c r="AI220">
        <f>'Assessment Questions'!AL220</f>
        <v>0</v>
      </c>
      <c r="AJ220">
        <f>IF(OR($H220="",$H220="N/A"),"",IF($AH220="",VLOOKUP('Company Profile'!$B$40,_CONFIG_Model_Settings!$A$5:$B$8,2,FALSE),IFERROR(VLOOKUP($AH220,_CONFIG_Model_Settings!$A$5:$B$8,2,FALSE),0.9)))</f>
        <v>0.9</v>
      </c>
      <c r="AK220">
        <f>IF(OR($H220="",$H220="N/A"),"",IF($AI220="",VLOOKUP('Company Profile'!$B$41,_CONFIG_Model_Settings!$A$5:$B$8,2,FALSE),IFERROR(VLOOKUP($AI220,_CONFIG_Model_Settings!$A$5:$B$8,2,FALSE),0.9)))</f>
        <v>0.9</v>
      </c>
      <c r="AL220">
        <f t="shared" si="84"/>
        <v>0</v>
      </c>
      <c r="AM220">
        <f t="shared" si="85"/>
        <v>0</v>
      </c>
      <c r="AN220">
        <f>IFERROR(MIN(5,MAX(0,(SUMIFS(_REF_Model_Content!$D$1:$D$174,_REF_Model_Content!$A$1:$A$174,PV_Canonical_Industry,_REF_Model_Content!$B$1:$B$174,"Supply Chain"))+IFERROR(VLOOKUP('Company Profile'!$B$35,_CONFIG_Model_Settings!$A$11:$B$13,2,0),0))),"")</f>
        <v>0</v>
      </c>
      <c r="AO220">
        <f t="shared" si="86"/>
        <v>0</v>
      </c>
      <c r="AP220">
        <f>IFERROR(SUMIFS(_REF_Model_Content!$E$1:$E$174,_REF_Model_Content!$A$1:$A$174,PV_Canonical_Industry,_REF_Model_Content!$B$1:$B$174,"Supply Chain"),1)</f>
        <v>0</v>
      </c>
      <c r="AQ220">
        <f t="shared" si="87"/>
        <v>0</v>
      </c>
      <c r="AR220" t="str">
        <f t="shared" si="88"/>
        <v>Within target</v>
      </c>
      <c r="AS220">
        <f t="shared" si="89"/>
        <v>0</v>
      </c>
      <c r="AT220">
        <f t="shared" si="90"/>
        <v>0.9</v>
      </c>
      <c r="AU220">
        <f>'Assessment Questions'!AX220</f>
        <v>0</v>
      </c>
      <c r="AV220">
        <f t="shared" si="91"/>
        <v>0.9</v>
      </c>
      <c r="AW220" t="s">
        <v>1987</v>
      </c>
      <c r="AX220" t="s">
        <v>1987</v>
      </c>
      <c r="AY220">
        <v>25</v>
      </c>
      <c r="AZ220">
        <v>220</v>
      </c>
    </row>
    <row r="221" spans="1:52">
      <c r="A221" t="s">
        <v>2089</v>
      </c>
      <c r="B221" t="s">
        <v>2006</v>
      </c>
      <c r="C221" t="s">
        <v>2090</v>
      </c>
      <c r="D221" t="s">
        <v>1991</v>
      </c>
      <c r="E221" t="s">
        <v>1992</v>
      </c>
      <c r="F221" t="s">
        <v>2091</v>
      </c>
      <c r="G221">
        <f>'Assessment Questions'!J221</f>
        <v>3</v>
      </c>
      <c r="H221">
        <f t="shared" si="77"/>
        <v>0</v>
      </c>
      <c r="I221">
        <f t="shared" si="78"/>
        <v>0</v>
      </c>
      <c r="J221">
        <f t="shared" si="79"/>
        <v>3</v>
      </c>
      <c r="K221">
        <f t="shared" si="80"/>
        <v>3</v>
      </c>
      <c r="L221" t="str">
        <f t="shared" si="81"/>
        <v>Critical</v>
      </c>
      <c r="M221" t="s">
        <v>2092</v>
      </c>
      <c r="N221" t="s">
        <v>2093</v>
      </c>
      <c r="O221" t="s">
        <v>2094</v>
      </c>
      <c r="P221" t="s">
        <v>2095</v>
      </c>
      <c r="Q221" t="s">
        <v>2096</v>
      </c>
      <c r="R221" t="s">
        <v>2097</v>
      </c>
      <c r="S221" t="s">
        <v>1994</v>
      </c>
      <c r="T221">
        <f>'Assessment Questions'!W221</f>
        <v>0</v>
      </c>
      <c r="U221">
        <f>'Assessment Questions'!X221</f>
        <v>0</v>
      </c>
      <c r="V221" t="str">
        <f>'Assessment Questions'!Y221</f>
        <v>Use the recommended action generated by the model; validate with domain owner during real assessment.</v>
      </c>
      <c r="W221">
        <v>4</v>
      </c>
      <c r="X221">
        <v>5</v>
      </c>
      <c r="Y221">
        <v>5</v>
      </c>
      <c r="Z221">
        <f>'Assessment Questions'!AC221</f>
        <v>0</v>
      </c>
      <c r="AB221">
        <f t="shared" si="92"/>
        <v>0</v>
      </c>
      <c r="AC221">
        <f t="shared" si="93"/>
        <v>0</v>
      </c>
      <c r="AD221">
        <f t="shared" si="82"/>
        <v>0</v>
      </c>
      <c r="AE221">
        <f t="shared" si="94"/>
        <v>0</v>
      </c>
      <c r="AF221">
        <f t="shared" si="83"/>
        <v>5</v>
      </c>
      <c r="AG221">
        <f t="shared" si="95"/>
        <v>0</v>
      </c>
      <c r="AH221">
        <f>'Assessment Questions'!AK221</f>
        <v>0</v>
      </c>
      <c r="AI221">
        <f>'Assessment Questions'!AL221</f>
        <v>0</v>
      </c>
      <c r="AJ221">
        <f>IF(OR($H221="",$H221="N/A"),"",IF($AH221="",VLOOKUP('Company Profile'!$B$40,_CONFIG_Model_Settings!$A$5:$B$8,2,FALSE),IFERROR(VLOOKUP($AH221,_CONFIG_Model_Settings!$A$5:$B$8,2,FALSE),0.9)))</f>
        <v>0.9</v>
      </c>
      <c r="AK221">
        <f>IF(OR($H221="",$H221="N/A"),"",IF($AI221="",VLOOKUP('Company Profile'!$B$41,_CONFIG_Model_Settings!$A$5:$B$8,2,FALSE),IFERROR(VLOOKUP($AI221,_CONFIG_Model_Settings!$A$5:$B$8,2,FALSE),0.9)))</f>
        <v>0.9</v>
      </c>
      <c r="AL221">
        <f t="shared" si="84"/>
        <v>0</v>
      </c>
      <c r="AM221">
        <f t="shared" si="85"/>
        <v>0</v>
      </c>
      <c r="AN221">
        <f>IFERROR(MIN(5,MAX(0,(SUMIFS(_REF_Model_Content!$D$1:$D$174,_REF_Model_Content!$A$1:$A$174,PV_Canonical_Industry,_REF_Model_Content!$B$1:$B$174,"Supply Chain"))+IFERROR(VLOOKUP('Company Profile'!$B$35,_CONFIG_Model_Settings!$A$11:$B$13,2,0),0))),"")</f>
        <v>0</v>
      </c>
      <c r="AO221">
        <f t="shared" si="86"/>
        <v>0</v>
      </c>
      <c r="AP221">
        <f>IFERROR(SUMIFS(_REF_Model_Content!$E$1:$E$174,_REF_Model_Content!$A$1:$A$174,PV_Canonical_Industry,_REF_Model_Content!$B$1:$B$174,"Supply Chain"),1)</f>
        <v>0</v>
      </c>
      <c r="AQ221">
        <f t="shared" si="87"/>
        <v>0</v>
      </c>
      <c r="AR221" t="str">
        <f t="shared" si="88"/>
        <v>Within target</v>
      </c>
      <c r="AS221">
        <f t="shared" si="89"/>
        <v>0</v>
      </c>
      <c r="AT221">
        <f t="shared" si="90"/>
        <v>0.9</v>
      </c>
      <c r="AU221">
        <f>'Assessment Questions'!AX221</f>
        <v>0</v>
      </c>
      <c r="AV221">
        <f t="shared" si="91"/>
        <v>0.9</v>
      </c>
      <c r="AW221" t="s">
        <v>1987</v>
      </c>
      <c r="AX221" t="s">
        <v>1987</v>
      </c>
      <c r="AY221">
        <v>26</v>
      </c>
      <c r="AZ221">
        <v>221</v>
      </c>
    </row>
    <row r="222" spans="1:52">
      <c r="A222" t="s">
        <v>2098</v>
      </c>
      <c r="B222" t="s">
        <v>2006</v>
      </c>
      <c r="C222" t="s">
        <v>2099</v>
      </c>
      <c r="D222" t="s">
        <v>1991</v>
      </c>
      <c r="E222" t="s">
        <v>1992</v>
      </c>
      <c r="F222" t="s">
        <v>2100</v>
      </c>
      <c r="G222">
        <f>'Assessment Questions'!J222</f>
        <v>4</v>
      </c>
      <c r="H222">
        <f t="shared" si="77"/>
        <v>0</v>
      </c>
      <c r="I222">
        <f t="shared" si="78"/>
        <v>0</v>
      </c>
      <c r="J222">
        <f t="shared" si="79"/>
        <v>4</v>
      </c>
      <c r="K222">
        <f t="shared" si="80"/>
        <v>4</v>
      </c>
      <c r="L222" t="str">
        <f t="shared" si="81"/>
        <v>Critical</v>
      </c>
      <c r="M222" t="s">
        <v>2101</v>
      </c>
      <c r="N222" t="s">
        <v>2102</v>
      </c>
      <c r="O222" t="s">
        <v>2103</v>
      </c>
      <c r="P222" t="s">
        <v>2104</v>
      </c>
      <c r="Q222" t="s">
        <v>2105</v>
      </c>
      <c r="R222" t="s">
        <v>2106</v>
      </c>
      <c r="S222" t="s">
        <v>1994</v>
      </c>
      <c r="T222">
        <f>'Assessment Questions'!W222</f>
        <v>0</v>
      </c>
      <c r="U222">
        <f>'Assessment Questions'!X222</f>
        <v>0</v>
      </c>
      <c r="V222" t="str">
        <f>'Assessment Questions'!Y222</f>
        <v>Use the recommended action generated by the model; validate with domain owner during real assessment.</v>
      </c>
      <c r="W222">
        <v>4</v>
      </c>
      <c r="X222">
        <v>5</v>
      </c>
      <c r="Y222">
        <v>5</v>
      </c>
      <c r="Z222">
        <f>'Assessment Questions'!AC222</f>
        <v>0</v>
      </c>
      <c r="AB222">
        <f t="shared" si="92"/>
        <v>0</v>
      </c>
      <c r="AC222">
        <f t="shared" si="93"/>
        <v>0</v>
      </c>
      <c r="AD222">
        <f t="shared" si="82"/>
        <v>0</v>
      </c>
      <c r="AE222">
        <f t="shared" si="94"/>
        <v>0</v>
      </c>
      <c r="AF222">
        <f t="shared" si="83"/>
        <v>5</v>
      </c>
      <c r="AG222">
        <f t="shared" si="95"/>
        <v>0</v>
      </c>
      <c r="AH222">
        <f>'Assessment Questions'!AK222</f>
        <v>0</v>
      </c>
      <c r="AI222">
        <f>'Assessment Questions'!AL222</f>
        <v>0</v>
      </c>
      <c r="AJ222">
        <f>IF(OR($H222="",$H222="N/A"),"",IF($AH222="",VLOOKUP('Company Profile'!$B$40,_CONFIG_Model_Settings!$A$5:$B$8,2,FALSE),IFERROR(VLOOKUP($AH222,_CONFIG_Model_Settings!$A$5:$B$8,2,FALSE),0.9)))</f>
        <v>0.9</v>
      </c>
      <c r="AK222">
        <f>IF(OR($H222="",$H222="N/A"),"",IF($AI222="",VLOOKUP('Company Profile'!$B$41,_CONFIG_Model_Settings!$A$5:$B$8,2,FALSE),IFERROR(VLOOKUP($AI222,_CONFIG_Model_Settings!$A$5:$B$8,2,FALSE),0.9)))</f>
        <v>0.9</v>
      </c>
      <c r="AL222">
        <f t="shared" si="84"/>
        <v>0</v>
      </c>
      <c r="AM222">
        <f t="shared" si="85"/>
        <v>0</v>
      </c>
      <c r="AN222">
        <f>IFERROR(MIN(5,MAX(0,(SUMIFS(_REF_Model_Content!$D$1:$D$174,_REF_Model_Content!$A$1:$A$174,PV_Canonical_Industry,_REF_Model_Content!$B$1:$B$174,"Supply Chain"))+IFERROR(VLOOKUP('Company Profile'!$B$35,_CONFIG_Model_Settings!$A$11:$B$13,2,0),0))),"")</f>
        <v>0</v>
      </c>
      <c r="AO222">
        <f t="shared" si="86"/>
        <v>0</v>
      </c>
      <c r="AP222">
        <f>IFERROR(SUMIFS(_REF_Model_Content!$E$1:$E$174,_REF_Model_Content!$A$1:$A$174,PV_Canonical_Industry,_REF_Model_Content!$B$1:$B$174,"Supply Chain"),1)</f>
        <v>0</v>
      </c>
      <c r="AQ222">
        <f t="shared" si="87"/>
        <v>0</v>
      </c>
      <c r="AR222" t="str">
        <f t="shared" si="88"/>
        <v>Within target</v>
      </c>
      <c r="AS222">
        <f t="shared" si="89"/>
        <v>0</v>
      </c>
      <c r="AT222">
        <f t="shared" si="90"/>
        <v>0.9</v>
      </c>
      <c r="AU222">
        <f>'Assessment Questions'!AX222</f>
        <v>0</v>
      </c>
      <c r="AV222">
        <f t="shared" si="91"/>
        <v>0.9</v>
      </c>
      <c r="AW222" t="s">
        <v>1987</v>
      </c>
      <c r="AX222" t="s">
        <v>1987</v>
      </c>
      <c r="AY222">
        <v>27</v>
      </c>
      <c r="AZ222">
        <v>222</v>
      </c>
    </row>
    <row r="223" spans="1:52">
      <c r="A223" t="s">
        <v>2107</v>
      </c>
      <c r="B223" t="s">
        <v>2006</v>
      </c>
      <c r="C223" t="s">
        <v>2108</v>
      </c>
      <c r="D223" t="s">
        <v>1991</v>
      </c>
      <c r="E223" t="s">
        <v>1992</v>
      </c>
      <c r="F223" t="s">
        <v>2109</v>
      </c>
      <c r="G223">
        <f>'Assessment Questions'!J223</f>
        <v>5</v>
      </c>
      <c r="H223">
        <f t="shared" si="77"/>
        <v>0</v>
      </c>
      <c r="I223">
        <f t="shared" si="78"/>
        <v>0</v>
      </c>
      <c r="J223">
        <f t="shared" si="79"/>
        <v>5</v>
      </c>
      <c r="K223">
        <f t="shared" si="80"/>
        <v>5</v>
      </c>
      <c r="L223" t="str">
        <f t="shared" si="81"/>
        <v>Critical</v>
      </c>
      <c r="M223" t="s">
        <v>833</v>
      </c>
      <c r="N223" t="s">
        <v>834</v>
      </c>
      <c r="O223" t="s">
        <v>835</v>
      </c>
      <c r="P223" t="s">
        <v>836</v>
      </c>
      <c r="Q223" t="s">
        <v>837</v>
      </c>
      <c r="R223" t="s">
        <v>838</v>
      </c>
      <c r="S223" t="s">
        <v>1994</v>
      </c>
      <c r="T223">
        <f>'Assessment Questions'!W223</f>
        <v>0</v>
      </c>
      <c r="U223">
        <f>'Assessment Questions'!X223</f>
        <v>0</v>
      </c>
      <c r="V223" t="str">
        <f>'Assessment Questions'!Y223</f>
        <v>Use the recommended action generated by the model; validate with domain owner during real assessment.</v>
      </c>
      <c r="W223">
        <v>5</v>
      </c>
      <c r="X223">
        <v>5</v>
      </c>
      <c r="Y223">
        <v>5</v>
      </c>
      <c r="Z223">
        <f>'Assessment Questions'!AC223</f>
        <v>0</v>
      </c>
      <c r="AB223">
        <f t="shared" si="92"/>
        <v>0</v>
      </c>
      <c r="AC223">
        <f t="shared" si="93"/>
        <v>0</v>
      </c>
      <c r="AD223">
        <f t="shared" si="82"/>
        <v>0</v>
      </c>
      <c r="AE223">
        <f t="shared" si="94"/>
        <v>0</v>
      </c>
      <c r="AF223">
        <f t="shared" si="83"/>
        <v>5</v>
      </c>
      <c r="AG223">
        <f t="shared" si="95"/>
        <v>0</v>
      </c>
      <c r="AH223">
        <f>'Assessment Questions'!AK223</f>
        <v>0</v>
      </c>
      <c r="AI223">
        <f>'Assessment Questions'!AL223</f>
        <v>0</v>
      </c>
      <c r="AJ223">
        <f>IF(OR($H223="",$H223="N/A"),"",IF($AH223="",VLOOKUP('Company Profile'!$B$40,_CONFIG_Model_Settings!$A$5:$B$8,2,FALSE),IFERROR(VLOOKUP($AH223,_CONFIG_Model_Settings!$A$5:$B$8,2,FALSE),0.9)))</f>
        <v>0.9</v>
      </c>
      <c r="AK223">
        <f>IF(OR($H223="",$H223="N/A"),"",IF($AI223="",VLOOKUP('Company Profile'!$B$41,_CONFIG_Model_Settings!$A$5:$B$8,2,FALSE),IFERROR(VLOOKUP($AI223,_CONFIG_Model_Settings!$A$5:$B$8,2,FALSE),0.9)))</f>
        <v>0.9</v>
      </c>
      <c r="AL223">
        <f t="shared" si="84"/>
        <v>0</v>
      </c>
      <c r="AM223">
        <f t="shared" si="85"/>
        <v>0</v>
      </c>
      <c r="AN223">
        <f>IFERROR(MIN(5,MAX(0,(SUMIFS(_REF_Model_Content!$D$1:$D$174,_REF_Model_Content!$A$1:$A$174,PV_Canonical_Industry,_REF_Model_Content!$B$1:$B$174,"Supply Chain"))+IFERROR(VLOOKUP('Company Profile'!$B$35,_CONFIG_Model_Settings!$A$11:$B$13,2,0),0))),"")</f>
        <v>0</v>
      </c>
      <c r="AO223">
        <f t="shared" si="86"/>
        <v>0</v>
      </c>
      <c r="AP223">
        <f>IFERROR(SUMIFS(_REF_Model_Content!$E$1:$E$174,_REF_Model_Content!$A$1:$A$174,PV_Canonical_Industry,_REF_Model_Content!$B$1:$B$174,"Supply Chain"),1)</f>
        <v>0</v>
      </c>
      <c r="AQ223">
        <f t="shared" si="87"/>
        <v>0</v>
      </c>
      <c r="AR223" t="str">
        <f t="shared" si="88"/>
        <v>Within target</v>
      </c>
      <c r="AS223">
        <f t="shared" si="89"/>
        <v>0</v>
      </c>
      <c r="AT223">
        <f t="shared" si="90"/>
        <v>0.9</v>
      </c>
      <c r="AU223">
        <f>'Assessment Questions'!AX223</f>
        <v>0</v>
      </c>
      <c r="AV223">
        <f t="shared" si="91"/>
        <v>0.9</v>
      </c>
      <c r="AW223" t="s">
        <v>1987</v>
      </c>
      <c r="AX223" t="s">
        <v>1987</v>
      </c>
      <c r="AY223">
        <v>28</v>
      </c>
      <c r="AZ223">
        <v>223</v>
      </c>
    </row>
    <row r="224" spans="1:52">
      <c r="A224" t="s">
        <v>2110</v>
      </c>
      <c r="B224" t="s">
        <v>2006</v>
      </c>
      <c r="C224" t="s">
        <v>2111</v>
      </c>
      <c r="D224" t="s">
        <v>1991</v>
      </c>
      <c r="E224" t="s">
        <v>1992</v>
      </c>
      <c r="F224" t="s">
        <v>2112</v>
      </c>
      <c r="G224">
        <f>'Assessment Questions'!J224</f>
        <v>5</v>
      </c>
      <c r="H224">
        <f t="shared" si="77"/>
        <v>0</v>
      </c>
      <c r="I224">
        <f t="shared" si="78"/>
        <v>0</v>
      </c>
      <c r="J224">
        <f t="shared" si="79"/>
        <v>5</v>
      </c>
      <c r="K224">
        <f t="shared" si="80"/>
        <v>5</v>
      </c>
      <c r="L224" t="str">
        <f t="shared" si="81"/>
        <v>Critical</v>
      </c>
      <c r="M224" t="s">
        <v>833</v>
      </c>
      <c r="N224" t="s">
        <v>834</v>
      </c>
      <c r="O224" t="s">
        <v>835</v>
      </c>
      <c r="P224" t="s">
        <v>836</v>
      </c>
      <c r="Q224" t="s">
        <v>837</v>
      </c>
      <c r="R224" t="s">
        <v>838</v>
      </c>
      <c r="S224" t="s">
        <v>1994</v>
      </c>
      <c r="T224">
        <f>'Assessment Questions'!W224</f>
        <v>0</v>
      </c>
      <c r="U224">
        <f>'Assessment Questions'!X224</f>
        <v>0</v>
      </c>
      <c r="V224" t="str">
        <f>'Assessment Questions'!Y224</f>
        <v>Use the recommended action generated by the model; validate with domain owner during real assessment.</v>
      </c>
      <c r="W224">
        <v>4</v>
      </c>
      <c r="X224">
        <v>5</v>
      </c>
      <c r="Y224">
        <v>5</v>
      </c>
      <c r="Z224">
        <f>'Assessment Questions'!AC224</f>
        <v>0</v>
      </c>
      <c r="AB224">
        <f t="shared" si="92"/>
        <v>0</v>
      </c>
      <c r="AC224">
        <f t="shared" si="93"/>
        <v>0</v>
      </c>
      <c r="AD224">
        <f t="shared" si="82"/>
        <v>0</v>
      </c>
      <c r="AE224">
        <f t="shared" si="94"/>
        <v>0</v>
      </c>
      <c r="AF224">
        <f t="shared" si="83"/>
        <v>5</v>
      </c>
      <c r="AG224">
        <f t="shared" si="95"/>
        <v>0</v>
      </c>
      <c r="AH224">
        <f>'Assessment Questions'!AK224</f>
        <v>0</v>
      </c>
      <c r="AI224">
        <f>'Assessment Questions'!AL224</f>
        <v>0</v>
      </c>
      <c r="AJ224">
        <f>IF(OR($H224="",$H224="N/A"),"",IF($AH224="",VLOOKUP('Company Profile'!$B$40,_CONFIG_Model_Settings!$A$5:$B$8,2,FALSE),IFERROR(VLOOKUP($AH224,_CONFIG_Model_Settings!$A$5:$B$8,2,FALSE),0.9)))</f>
        <v>0.9</v>
      </c>
      <c r="AK224">
        <f>IF(OR($H224="",$H224="N/A"),"",IF($AI224="",VLOOKUP('Company Profile'!$B$41,_CONFIG_Model_Settings!$A$5:$B$8,2,FALSE),IFERROR(VLOOKUP($AI224,_CONFIG_Model_Settings!$A$5:$B$8,2,FALSE),0.9)))</f>
        <v>0.9</v>
      </c>
      <c r="AL224">
        <f t="shared" si="84"/>
        <v>0</v>
      </c>
      <c r="AM224">
        <f t="shared" si="85"/>
        <v>0</v>
      </c>
      <c r="AN224">
        <f>IFERROR(MIN(5,MAX(0,(SUMIFS(_REF_Model_Content!$D$1:$D$174,_REF_Model_Content!$A$1:$A$174,PV_Canonical_Industry,_REF_Model_Content!$B$1:$B$174,"Supply Chain"))+IFERROR(VLOOKUP('Company Profile'!$B$35,_CONFIG_Model_Settings!$A$11:$B$13,2,0),0))),"")</f>
        <v>0</v>
      </c>
      <c r="AO224">
        <f t="shared" si="86"/>
        <v>0</v>
      </c>
      <c r="AP224">
        <f>IFERROR(SUMIFS(_REF_Model_Content!$E$1:$E$174,_REF_Model_Content!$A$1:$A$174,PV_Canonical_Industry,_REF_Model_Content!$B$1:$B$174,"Supply Chain"),1)</f>
        <v>0</v>
      </c>
      <c r="AQ224">
        <f t="shared" si="87"/>
        <v>0</v>
      </c>
      <c r="AR224" t="str">
        <f t="shared" si="88"/>
        <v>Within target</v>
      </c>
      <c r="AS224">
        <f t="shared" si="89"/>
        <v>0</v>
      </c>
      <c r="AT224">
        <f t="shared" si="90"/>
        <v>0.9</v>
      </c>
      <c r="AU224">
        <f>'Assessment Questions'!AX224</f>
        <v>0</v>
      </c>
      <c r="AV224">
        <f t="shared" si="91"/>
        <v>0.9</v>
      </c>
      <c r="AW224" t="s">
        <v>1987</v>
      </c>
      <c r="AX224" t="s">
        <v>1987</v>
      </c>
      <c r="AY224">
        <v>29</v>
      </c>
      <c r="AZ224">
        <v>224</v>
      </c>
    </row>
    <row r="225" spans="1:52">
      <c r="A225" t="s">
        <v>2113</v>
      </c>
      <c r="B225" t="s">
        <v>2010</v>
      </c>
      <c r="C225" t="s">
        <v>2114</v>
      </c>
      <c r="D225" t="s">
        <v>2115</v>
      </c>
      <c r="E225" t="s">
        <v>2116</v>
      </c>
      <c r="F225" t="s">
        <v>1993</v>
      </c>
      <c r="G225">
        <f>'Assessment Questions'!J225</f>
        <v>4</v>
      </c>
      <c r="H225">
        <f t="shared" si="77"/>
        <v>0</v>
      </c>
      <c r="I225">
        <f t="shared" si="78"/>
        <v>0</v>
      </c>
      <c r="J225">
        <f t="shared" si="79"/>
        <v>4</v>
      </c>
      <c r="K225">
        <f t="shared" si="80"/>
        <v>4</v>
      </c>
      <c r="L225" t="str">
        <f t="shared" si="81"/>
        <v>Critical</v>
      </c>
      <c r="M225" t="s">
        <v>2117</v>
      </c>
      <c r="N225" t="s">
        <v>2118</v>
      </c>
      <c r="O225" t="s">
        <v>2119</v>
      </c>
      <c r="P225" t="s">
        <v>2120</v>
      </c>
      <c r="Q225" t="s">
        <v>2121</v>
      </c>
      <c r="R225" t="s">
        <v>2122</v>
      </c>
      <c r="S225" t="s">
        <v>2123</v>
      </c>
      <c r="T225">
        <f>'Assessment Questions'!W225</f>
        <v>0</v>
      </c>
      <c r="U225">
        <f>'Assessment Questions'!X225</f>
        <v>0</v>
      </c>
      <c r="V225" t="str">
        <f>'Assessment Questions'!Y225</f>
        <v>Use the recommended action generated by the model; validate with domain owner during real assessment.</v>
      </c>
      <c r="W225">
        <v>3</v>
      </c>
      <c r="X225">
        <v>4</v>
      </c>
      <c r="Y225">
        <v>5</v>
      </c>
      <c r="Z225">
        <f>'Assessment Questions'!AC225</f>
        <v>0</v>
      </c>
      <c r="AB225">
        <f t="shared" si="92"/>
        <v>0</v>
      </c>
      <c r="AC225">
        <f t="shared" si="93"/>
        <v>0</v>
      </c>
      <c r="AD225">
        <f t="shared" si="82"/>
        <v>0</v>
      </c>
      <c r="AE225">
        <f t="shared" si="94"/>
        <v>0</v>
      </c>
      <c r="AF225">
        <f t="shared" si="83"/>
        <v>5</v>
      </c>
      <c r="AG225">
        <f t="shared" si="95"/>
        <v>0</v>
      </c>
      <c r="AH225">
        <f>'Assessment Questions'!AK225</f>
        <v>0</v>
      </c>
      <c r="AI225">
        <f>'Assessment Questions'!AL225</f>
        <v>0</v>
      </c>
      <c r="AJ225">
        <f>IF(OR($H225="",$H225="N/A"),"",IF($AH225="",VLOOKUP('Company Profile'!$B$40,_CONFIG_Model_Settings!$A$5:$B$8,2,FALSE),IFERROR(VLOOKUP($AH225,_CONFIG_Model_Settings!$A$5:$B$8,2,FALSE),0.9)))</f>
        <v>0.9</v>
      </c>
      <c r="AK225">
        <f>IF(OR($H225="",$H225="N/A"),"",IF($AI225="",VLOOKUP('Company Profile'!$B$41,_CONFIG_Model_Settings!$A$5:$B$8,2,FALSE),IFERROR(VLOOKUP($AI225,_CONFIG_Model_Settings!$A$5:$B$8,2,FALSE),0.9)))</f>
        <v>0.9</v>
      </c>
      <c r="AL225">
        <f t="shared" si="84"/>
        <v>0</v>
      </c>
      <c r="AM225">
        <f t="shared" si="85"/>
        <v>0</v>
      </c>
      <c r="AN225">
        <f>IFERROR(MIN(5,MAX(0,(SUMIFS(_REF_Model_Content!$D$1:$D$174,_REF_Model_Content!$A$1:$A$174,PV_Canonical_Industry,_REF_Model_Content!$B$1:$B$174,"Supply Chain"))+IFERROR(VLOOKUP('Company Profile'!$B$35,_CONFIG_Model_Settings!$A$11:$B$13,2,0),0))),"")</f>
        <v>0</v>
      </c>
      <c r="AO225">
        <f t="shared" si="86"/>
        <v>0</v>
      </c>
      <c r="AP225">
        <f>IFERROR(SUMIFS(_REF_Model_Content!$E$1:$E$174,_REF_Model_Content!$A$1:$A$174,PV_Canonical_Industry,_REF_Model_Content!$B$1:$B$174,"Supply Chain"),1)</f>
        <v>0</v>
      </c>
      <c r="AQ225">
        <f t="shared" si="87"/>
        <v>0</v>
      </c>
      <c r="AR225" t="str">
        <f t="shared" si="88"/>
        <v>Within target</v>
      </c>
      <c r="AS225">
        <f t="shared" si="89"/>
        <v>0</v>
      </c>
      <c r="AT225">
        <f t="shared" si="90"/>
        <v>0.9</v>
      </c>
      <c r="AU225">
        <f>'Assessment Questions'!AX225</f>
        <v>0</v>
      </c>
      <c r="AV225">
        <f t="shared" si="91"/>
        <v>0.9</v>
      </c>
      <c r="AW225" t="s">
        <v>1987</v>
      </c>
      <c r="AX225" t="s">
        <v>1987</v>
      </c>
      <c r="AY225">
        <v>30</v>
      </c>
      <c r="AZ225">
        <v>225</v>
      </c>
    </row>
    <row r="226" spans="1:52">
      <c r="A226" t="s">
        <v>2124</v>
      </c>
      <c r="B226" t="s">
        <v>2010</v>
      </c>
      <c r="C226" t="s">
        <v>2125</v>
      </c>
      <c r="D226" t="s">
        <v>2126</v>
      </c>
      <c r="E226" t="s">
        <v>2127</v>
      </c>
      <c r="F226" t="s">
        <v>1993</v>
      </c>
      <c r="G226">
        <f>'Assessment Questions'!J226</f>
        <v>5</v>
      </c>
      <c r="H226">
        <f t="shared" si="77"/>
        <v>0</v>
      </c>
      <c r="I226">
        <f t="shared" si="78"/>
        <v>0</v>
      </c>
      <c r="J226">
        <f t="shared" si="79"/>
        <v>5</v>
      </c>
      <c r="K226">
        <f t="shared" si="80"/>
        <v>5</v>
      </c>
      <c r="L226" t="str">
        <f t="shared" si="81"/>
        <v>Critical</v>
      </c>
      <c r="M226" t="s">
        <v>833</v>
      </c>
      <c r="N226" t="s">
        <v>834</v>
      </c>
      <c r="O226" t="s">
        <v>835</v>
      </c>
      <c r="P226" t="s">
        <v>836</v>
      </c>
      <c r="Q226" t="s">
        <v>837</v>
      </c>
      <c r="R226" t="s">
        <v>838</v>
      </c>
      <c r="S226" t="s">
        <v>2128</v>
      </c>
      <c r="T226">
        <f>'Assessment Questions'!W226</f>
        <v>0</v>
      </c>
      <c r="U226">
        <f>'Assessment Questions'!X226</f>
        <v>0</v>
      </c>
      <c r="V226" t="str">
        <f>'Assessment Questions'!Y226</f>
        <v>Use the recommended action generated by the model; validate with domain owner during real assessment.</v>
      </c>
      <c r="W226">
        <v>4</v>
      </c>
      <c r="X226">
        <v>5</v>
      </c>
      <c r="Y226">
        <v>4</v>
      </c>
      <c r="Z226">
        <f>'Assessment Questions'!AC226</f>
        <v>0</v>
      </c>
      <c r="AB226">
        <f t="shared" si="92"/>
        <v>0</v>
      </c>
      <c r="AC226">
        <f t="shared" si="93"/>
        <v>0</v>
      </c>
      <c r="AD226">
        <f t="shared" si="82"/>
        <v>0</v>
      </c>
      <c r="AE226">
        <f t="shared" si="94"/>
        <v>0</v>
      </c>
      <c r="AF226">
        <f t="shared" si="83"/>
        <v>5</v>
      </c>
      <c r="AG226">
        <f t="shared" si="95"/>
        <v>0</v>
      </c>
      <c r="AH226">
        <f>'Assessment Questions'!AK226</f>
        <v>0</v>
      </c>
      <c r="AI226">
        <f>'Assessment Questions'!AL226</f>
        <v>0</v>
      </c>
      <c r="AJ226">
        <f>IF(OR($H226="",$H226="N/A"),"",IF($AH226="",VLOOKUP('Company Profile'!$B$40,_CONFIG_Model_Settings!$A$5:$B$8,2,FALSE),IFERROR(VLOOKUP($AH226,_CONFIG_Model_Settings!$A$5:$B$8,2,FALSE),0.9)))</f>
        <v>0.9</v>
      </c>
      <c r="AK226">
        <f>IF(OR($H226="",$H226="N/A"),"",IF($AI226="",VLOOKUP('Company Profile'!$B$41,_CONFIG_Model_Settings!$A$5:$B$8,2,FALSE),IFERROR(VLOOKUP($AI226,_CONFIG_Model_Settings!$A$5:$B$8,2,FALSE),0.9)))</f>
        <v>0.9</v>
      </c>
      <c r="AL226">
        <f t="shared" si="84"/>
        <v>0</v>
      </c>
      <c r="AM226">
        <f t="shared" si="85"/>
        <v>0</v>
      </c>
      <c r="AN226">
        <f>IFERROR(MIN(5,MAX(0,(SUMIFS(_REF_Model_Content!$D$1:$D$174,_REF_Model_Content!$A$1:$A$174,PV_Canonical_Industry,_REF_Model_Content!$B$1:$B$174,"Supply Chain"))+IFERROR(VLOOKUP('Company Profile'!$B$35,_CONFIG_Model_Settings!$A$11:$B$13,2,0),0))),"")</f>
        <v>0</v>
      </c>
      <c r="AO226">
        <f t="shared" si="86"/>
        <v>0</v>
      </c>
      <c r="AP226">
        <f>IFERROR(SUMIFS(_REF_Model_Content!$E$1:$E$174,_REF_Model_Content!$A$1:$A$174,PV_Canonical_Industry,_REF_Model_Content!$B$1:$B$174,"Supply Chain"),1)</f>
        <v>0</v>
      </c>
      <c r="AQ226">
        <f t="shared" si="87"/>
        <v>0</v>
      </c>
      <c r="AR226" t="str">
        <f t="shared" si="88"/>
        <v>Within target</v>
      </c>
      <c r="AS226">
        <f t="shared" si="89"/>
        <v>0</v>
      </c>
      <c r="AT226">
        <f t="shared" si="90"/>
        <v>0.9</v>
      </c>
      <c r="AU226">
        <f>'Assessment Questions'!AX226</f>
        <v>0</v>
      </c>
      <c r="AV226">
        <f t="shared" si="91"/>
        <v>0.9</v>
      </c>
      <c r="AW226" t="s">
        <v>1987</v>
      </c>
      <c r="AX226" t="s">
        <v>1987</v>
      </c>
      <c r="AY226">
        <v>31</v>
      </c>
      <c r="AZ226">
        <v>226</v>
      </c>
    </row>
    <row r="227" spans="1:52">
      <c r="A227" t="s">
        <v>2129</v>
      </c>
      <c r="B227" t="s">
        <v>2010</v>
      </c>
      <c r="C227" t="s">
        <v>2130</v>
      </c>
      <c r="D227" t="s">
        <v>2131</v>
      </c>
      <c r="E227" t="s">
        <v>2132</v>
      </c>
      <c r="F227" t="s">
        <v>1993</v>
      </c>
      <c r="G227">
        <f>'Assessment Questions'!J227</f>
        <v>3</v>
      </c>
      <c r="H227">
        <f t="shared" si="77"/>
        <v>0</v>
      </c>
      <c r="I227">
        <f t="shared" si="78"/>
        <v>0</v>
      </c>
      <c r="J227">
        <f t="shared" si="79"/>
        <v>3</v>
      </c>
      <c r="K227">
        <f t="shared" si="80"/>
        <v>3</v>
      </c>
      <c r="L227" t="str">
        <f t="shared" si="81"/>
        <v>Critical</v>
      </c>
      <c r="M227" t="s">
        <v>2133</v>
      </c>
      <c r="N227" t="s">
        <v>2134</v>
      </c>
      <c r="O227" t="s">
        <v>2135</v>
      </c>
      <c r="P227" t="s">
        <v>2136</v>
      </c>
      <c r="Q227" t="s">
        <v>2137</v>
      </c>
      <c r="R227" t="s">
        <v>2138</v>
      </c>
      <c r="S227" t="s">
        <v>2139</v>
      </c>
      <c r="T227">
        <f>'Assessment Questions'!W227</f>
        <v>0</v>
      </c>
      <c r="U227">
        <f>'Assessment Questions'!X227</f>
        <v>0</v>
      </c>
      <c r="V227" t="str">
        <f>'Assessment Questions'!Y227</f>
        <v>Use the recommended action generated by the model; validate with domain owner during real assessment.</v>
      </c>
      <c r="W227">
        <v>4</v>
      </c>
      <c r="X227">
        <v>4</v>
      </c>
      <c r="Y227">
        <v>4</v>
      </c>
      <c r="Z227">
        <f>'Assessment Questions'!AC227</f>
        <v>0</v>
      </c>
      <c r="AB227">
        <f t="shared" si="92"/>
        <v>0</v>
      </c>
      <c r="AC227">
        <f t="shared" si="93"/>
        <v>0</v>
      </c>
      <c r="AD227">
        <f t="shared" si="82"/>
        <v>0</v>
      </c>
      <c r="AE227">
        <f t="shared" si="94"/>
        <v>0</v>
      </c>
      <c r="AF227">
        <f t="shared" si="83"/>
        <v>5</v>
      </c>
      <c r="AG227">
        <f t="shared" si="95"/>
        <v>0</v>
      </c>
      <c r="AH227">
        <f>'Assessment Questions'!AK227</f>
        <v>0</v>
      </c>
      <c r="AI227">
        <f>'Assessment Questions'!AL227</f>
        <v>0</v>
      </c>
      <c r="AJ227">
        <f>IF(OR($H227="",$H227="N/A"),"",IF($AH227="",VLOOKUP('Company Profile'!$B$40,_CONFIG_Model_Settings!$A$5:$B$8,2,FALSE),IFERROR(VLOOKUP($AH227,_CONFIG_Model_Settings!$A$5:$B$8,2,FALSE),0.9)))</f>
        <v>0.9</v>
      </c>
      <c r="AK227">
        <f>IF(OR($H227="",$H227="N/A"),"",IF($AI227="",VLOOKUP('Company Profile'!$B$41,_CONFIG_Model_Settings!$A$5:$B$8,2,FALSE),IFERROR(VLOOKUP($AI227,_CONFIG_Model_Settings!$A$5:$B$8,2,FALSE),0.9)))</f>
        <v>0.9</v>
      </c>
      <c r="AL227">
        <f t="shared" si="84"/>
        <v>0</v>
      </c>
      <c r="AM227">
        <f t="shared" si="85"/>
        <v>0</v>
      </c>
      <c r="AN227">
        <f>IFERROR(MIN(5,MAX(0,(SUMIFS(_REF_Model_Content!$D$1:$D$174,_REF_Model_Content!$A$1:$A$174,PV_Canonical_Industry,_REF_Model_Content!$B$1:$B$174,"Supply Chain"))+IFERROR(VLOOKUP('Company Profile'!$B$35,_CONFIG_Model_Settings!$A$11:$B$13,2,0),0))),"")</f>
        <v>0</v>
      </c>
      <c r="AO227">
        <f t="shared" si="86"/>
        <v>0</v>
      </c>
      <c r="AP227">
        <f>IFERROR(SUMIFS(_REF_Model_Content!$E$1:$E$174,_REF_Model_Content!$A$1:$A$174,PV_Canonical_Industry,_REF_Model_Content!$B$1:$B$174,"Supply Chain"),1)</f>
        <v>0</v>
      </c>
      <c r="AQ227">
        <f t="shared" si="87"/>
        <v>0</v>
      </c>
      <c r="AR227" t="str">
        <f t="shared" si="88"/>
        <v>Within target</v>
      </c>
      <c r="AS227">
        <f t="shared" si="89"/>
        <v>0</v>
      </c>
      <c r="AT227">
        <f t="shared" si="90"/>
        <v>0.9</v>
      </c>
      <c r="AU227">
        <f>'Assessment Questions'!AX227</f>
        <v>0</v>
      </c>
      <c r="AV227">
        <f t="shared" si="91"/>
        <v>0.9</v>
      </c>
      <c r="AW227" t="s">
        <v>1987</v>
      </c>
      <c r="AX227" t="s">
        <v>1987</v>
      </c>
      <c r="AY227">
        <v>32</v>
      </c>
      <c r="AZ227">
        <v>227</v>
      </c>
    </row>
    <row r="228" spans="1:52">
      <c r="A228" t="s">
        <v>2140</v>
      </c>
      <c r="B228" t="s">
        <v>2010</v>
      </c>
      <c r="C228" t="s">
        <v>2141</v>
      </c>
      <c r="D228" t="s">
        <v>2142</v>
      </c>
      <c r="E228" t="s">
        <v>2143</v>
      </c>
      <c r="F228" t="s">
        <v>1993</v>
      </c>
      <c r="G228">
        <f>'Assessment Questions'!J228</f>
        <v>4</v>
      </c>
      <c r="H228">
        <f t="shared" si="77"/>
        <v>0</v>
      </c>
      <c r="I228">
        <f t="shared" si="78"/>
        <v>0</v>
      </c>
      <c r="J228">
        <f t="shared" si="79"/>
        <v>4</v>
      </c>
      <c r="K228">
        <f t="shared" si="80"/>
        <v>4</v>
      </c>
      <c r="L228" t="str">
        <f t="shared" si="81"/>
        <v>Critical</v>
      </c>
      <c r="M228" t="s">
        <v>1202</v>
      </c>
      <c r="N228" t="s">
        <v>1203</v>
      </c>
      <c r="O228" t="s">
        <v>1204</v>
      </c>
      <c r="P228" t="s">
        <v>1205</v>
      </c>
      <c r="Q228" t="s">
        <v>1206</v>
      </c>
      <c r="R228" t="s">
        <v>1207</v>
      </c>
      <c r="S228" t="s">
        <v>2144</v>
      </c>
      <c r="T228">
        <f>'Assessment Questions'!W228</f>
        <v>0</v>
      </c>
      <c r="U228">
        <f>'Assessment Questions'!X228</f>
        <v>0</v>
      </c>
      <c r="V228" t="str">
        <f>'Assessment Questions'!Y228</f>
        <v>Use the recommended action generated by the model; validate with domain owner during real assessment.</v>
      </c>
      <c r="W228">
        <v>3</v>
      </c>
      <c r="X228">
        <v>5</v>
      </c>
      <c r="Y228">
        <v>4</v>
      </c>
      <c r="Z228">
        <f>'Assessment Questions'!AC228</f>
        <v>0</v>
      </c>
      <c r="AB228">
        <f t="shared" si="92"/>
        <v>0</v>
      </c>
      <c r="AC228">
        <f t="shared" si="93"/>
        <v>0</v>
      </c>
      <c r="AD228">
        <f t="shared" si="82"/>
        <v>0</v>
      </c>
      <c r="AE228">
        <f t="shared" si="94"/>
        <v>0</v>
      </c>
      <c r="AF228">
        <f t="shared" si="83"/>
        <v>5</v>
      </c>
      <c r="AG228">
        <f t="shared" si="95"/>
        <v>0</v>
      </c>
      <c r="AH228">
        <f>'Assessment Questions'!AK228</f>
        <v>0</v>
      </c>
      <c r="AI228">
        <f>'Assessment Questions'!AL228</f>
        <v>0</v>
      </c>
      <c r="AJ228">
        <f>IF(OR($H228="",$H228="N/A"),"",IF($AH228="",VLOOKUP('Company Profile'!$B$40,_CONFIG_Model_Settings!$A$5:$B$8,2,FALSE),IFERROR(VLOOKUP($AH228,_CONFIG_Model_Settings!$A$5:$B$8,2,FALSE),0.9)))</f>
        <v>0.9</v>
      </c>
      <c r="AK228">
        <f>IF(OR($H228="",$H228="N/A"),"",IF($AI228="",VLOOKUP('Company Profile'!$B$41,_CONFIG_Model_Settings!$A$5:$B$8,2,FALSE),IFERROR(VLOOKUP($AI228,_CONFIG_Model_Settings!$A$5:$B$8,2,FALSE),0.9)))</f>
        <v>0.9</v>
      </c>
      <c r="AL228">
        <f t="shared" si="84"/>
        <v>0</v>
      </c>
      <c r="AM228">
        <f t="shared" si="85"/>
        <v>0</v>
      </c>
      <c r="AN228">
        <f>IFERROR(MIN(5,MAX(0,(SUMIFS(_REF_Model_Content!$D$1:$D$174,_REF_Model_Content!$A$1:$A$174,PV_Canonical_Industry,_REF_Model_Content!$B$1:$B$174,"Supply Chain"))+IFERROR(VLOOKUP('Company Profile'!$B$35,_CONFIG_Model_Settings!$A$11:$B$13,2,0),0))),"")</f>
        <v>0</v>
      </c>
      <c r="AO228">
        <f t="shared" si="86"/>
        <v>0</v>
      </c>
      <c r="AP228">
        <f>IFERROR(SUMIFS(_REF_Model_Content!$E$1:$E$174,_REF_Model_Content!$A$1:$A$174,PV_Canonical_Industry,_REF_Model_Content!$B$1:$B$174,"Supply Chain"),1)</f>
        <v>0</v>
      </c>
      <c r="AQ228">
        <f t="shared" si="87"/>
        <v>0</v>
      </c>
      <c r="AR228" t="str">
        <f t="shared" si="88"/>
        <v>Within target</v>
      </c>
      <c r="AS228">
        <f t="shared" si="89"/>
        <v>0</v>
      </c>
      <c r="AT228">
        <f t="shared" si="90"/>
        <v>0.9</v>
      </c>
      <c r="AU228">
        <f>'Assessment Questions'!AX228</f>
        <v>0</v>
      </c>
      <c r="AV228">
        <f t="shared" si="91"/>
        <v>0.9</v>
      </c>
      <c r="AW228" t="s">
        <v>1987</v>
      </c>
      <c r="AX228" t="s">
        <v>1987</v>
      </c>
      <c r="AY228">
        <v>33</v>
      </c>
      <c r="AZ228">
        <v>228</v>
      </c>
    </row>
    <row r="229" spans="1:52">
      <c r="A229" t="s">
        <v>2146</v>
      </c>
      <c r="B229" t="s">
        <v>2147</v>
      </c>
      <c r="C229" t="s">
        <v>2148</v>
      </c>
      <c r="D229" t="s">
        <v>2149</v>
      </c>
      <c r="E229" t="s">
        <v>2150</v>
      </c>
      <c r="F229" t="s">
        <v>2151</v>
      </c>
      <c r="G229">
        <f>'Assessment Questions'!J229</f>
        <v>5</v>
      </c>
      <c r="H229">
        <f t="shared" si="77"/>
        <v>0</v>
      </c>
      <c r="I229">
        <f t="shared" si="78"/>
        <v>0</v>
      </c>
      <c r="J229">
        <f t="shared" si="79"/>
        <v>5</v>
      </c>
      <c r="K229">
        <f t="shared" si="80"/>
        <v>5</v>
      </c>
      <c r="L229" t="str">
        <f t="shared" si="81"/>
        <v>Critical</v>
      </c>
      <c r="M229" t="s">
        <v>874</v>
      </c>
      <c r="N229" t="s">
        <v>875</v>
      </c>
      <c r="O229" t="s">
        <v>876</v>
      </c>
      <c r="P229" t="s">
        <v>877</v>
      </c>
      <c r="Q229" t="s">
        <v>878</v>
      </c>
      <c r="R229" t="s">
        <v>879</v>
      </c>
      <c r="S229" t="s">
        <v>2152</v>
      </c>
      <c r="T229">
        <f>'Assessment Questions'!W229</f>
        <v>0</v>
      </c>
      <c r="U229">
        <f>'Assessment Questions'!X229</f>
        <v>0</v>
      </c>
      <c r="V229" t="str">
        <f>'Assessment Questions'!Y229</f>
        <v>Use the recommended action generated by the model; validate with domain owner during real assessment.</v>
      </c>
      <c r="W229">
        <v>5</v>
      </c>
      <c r="X229">
        <v>5</v>
      </c>
      <c r="Y229">
        <v>5</v>
      </c>
      <c r="Z229">
        <f>'Assessment Questions'!AC229</f>
        <v>0</v>
      </c>
      <c r="AA229" t="s">
        <v>2147</v>
      </c>
      <c r="AB229">
        <f t="shared" ref="AB229:AB256" si="96">COUNTIF($B$229:$B$256,$AA229)</f>
        <v>6</v>
      </c>
      <c r="AC229">
        <f t="shared" ref="AC229:AC256" si="97">IFERROR(SUMPRODUCT(($B$229:$B$256=$AA229)*($H$229:$H$256&lt;&gt;"")*($H$229:$H$256&lt;&gt;"N/A")*IFERROR(VALUE($H$229:$H$256),0))/SUMPRODUCT(($B$229:$B$256=$AA229)*($H$229:$H$256&lt;&gt;"")*($H$229:$H$256&lt;&gt;"N/A")),0)</f>
        <v>0</v>
      </c>
      <c r="AD229">
        <f t="shared" si="82"/>
        <v>0</v>
      </c>
      <c r="AE229">
        <f t="shared" ref="AE229:AE256" si="98">COUNTIFS($B$229:$B$256,$AA229,$L$229:$L$256,"Critical")+COUNTIFS($B$229:$B$256,$AA229,$L$229:$L$256,"High")</f>
        <v>6</v>
      </c>
      <c r="AF229">
        <f t="shared" si="83"/>
        <v>5</v>
      </c>
      <c r="AG229">
        <f t="shared" ref="AG229:AG256" si="99">SUMPRODUCT(($B$229:$B$256=$AA229)*(ISNUMBER($H$229:$H$256)+($H$229:$H$256="N/A")))</f>
        <v>6</v>
      </c>
      <c r="AH229">
        <f>'Assessment Questions'!AK229</f>
        <v>0</v>
      </c>
      <c r="AI229">
        <f>'Assessment Questions'!AL229</f>
        <v>0</v>
      </c>
      <c r="AJ229">
        <f>IF(OR($H229="",$H229="N/A"),"",IF($AH229="",VLOOKUP('Company Profile'!$B$40,_CONFIG_Model_Settings!$A$5:$B$8,2,FALSE),IFERROR(VLOOKUP($AH229,_CONFIG_Model_Settings!$A$5:$B$8,2,FALSE),0.9)))</f>
        <v>0.9</v>
      </c>
      <c r="AK229">
        <f>IF(OR($H229="",$H229="N/A"),"",IF($AI229="",VLOOKUP('Company Profile'!$B$41,_CONFIG_Model_Settings!$A$5:$B$8,2,FALSE),IFERROR(VLOOKUP($AI229,_CONFIG_Model_Settings!$A$5:$B$8,2,FALSE),0.9)))</f>
        <v>0.9</v>
      </c>
      <c r="AL229">
        <f t="shared" si="84"/>
        <v>0</v>
      </c>
      <c r="AM229">
        <f t="shared" si="85"/>
        <v>0</v>
      </c>
      <c r="AN229">
        <f>IFERROR(MIN(5,MAX(0,(SUMIFS(_REF_Model_Content!$D$1:$D$174,_REF_Model_Content!$A$1:$A$174,PV_Canonical_Industry,_REF_Model_Content!$B$1:$B$174,"Manufacturing MES"))+IFERROR(VLOOKUP('Company Profile'!$B$35,_CONFIG_Model_Settings!$A$11:$B$13,2,0),0))),"")</f>
        <v>0</v>
      </c>
      <c r="AO229">
        <f t="shared" si="86"/>
        <v>0</v>
      </c>
      <c r="AP229">
        <f>IFERROR(SUMIFS(_REF_Model_Content!$E$1:$E$174,_REF_Model_Content!$A$1:$A$174,PV_Canonical_Industry,_REF_Model_Content!$B$1:$B$174,"Manufacturing MES"),1)</f>
        <v>0</v>
      </c>
      <c r="AQ229">
        <f t="shared" si="87"/>
        <v>0</v>
      </c>
      <c r="AR229" t="str">
        <f t="shared" si="88"/>
        <v>Within target</v>
      </c>
      <c r="AS229">
        <f t="shared" si="89"/>
        <v>0</v>
      </c>
      <c r="AT229">
        <f t="shared" si="90"/>
        <v>0.9</v>
      </c>
      <c r="AU229">
        <f>'Assessment Questions'!AX229</f>
        <v>0</v>
      </c>
      <c r="AV229">
        <f t="shared" si="91"/>
        <v>0.9</v>
      </c>
      <c r="AW229" t="s">
        <v>2145</v>
      </c>
      <c r="AX229" t="s">
        <v>2145</v>
      </c>
      <c r="AY229">
        <v>5</v>
      </c>
      <c r="AZ229">
        <v>229</v>
      </c>
    </row>
    <row r="230" spans="1:52">
      <c r="A230" t="s">
        <v>2153</v>
      </c>
      <c r="B230" t="s">
        <v>2147</v>
      </c>
      <c r="C230" t="s">
        <v>2154</v>
      </c>
      <c r="D230" t="s">
        <v>2149</v>
      </c>
      <c r="E230" t="s">
        <v>2150</v>
      </c>
      <c r="F230" t="s">
        <v>2155</v>
      </c>
      <c r="G230">
        <f>'Assessment Questions'!J230</f>
        <v>5</v>
      </c>
      <c r="H230">
        <f t="shared" si="77"/>
        <v>0</v>
      </c>
      <c r="I230">
        <f t="shared" si="78"/>
        <v>0</v>
      </c>
      <c r="J230">
        <f t="shared" si="79"/>
        <v>5</v>
      </c>
      <c r="K230">
        <f t="shared" si="80"/>
        <v>5</v>
      </c>
      <c r="L230" t="str">
        <f t="shared" si="81"/>
        <v>Critical</v>
      </c>
      <c r="M230" t="s">
        <v>1051</v>
      </c>
      <c r="N230" t="s">
        <v>1052</v>
      </c>
      <c r="O230" t="s">
        <v>1053</v>
      </c>
      <c r="P230" t="s">
        <v>1054</v>
      </c>
      <c r="Q230" t="s">
        <v>1055</v>
      </c>
      <c r="R230" t="s">
        <v>1056</v>
      </c>
      <c r="S230" t="s">
        <v>2152</v>
      </c>
      <c r="T230">
        <f>'Assessment Questions'!W230</f>
        <v>0</v>
      </c>
      <c r="U230">
        <f>'Assessment Questions'!X230</f>
        <v>0</v>
      </c>
      <c r="V230" t="str">
        <f>'Assessment Questions'!Y230</f>
        <v>Use the recommended action generated by the model; validate with domain owner during real assessment.</v>
      </c>
      <c r="W230">
        <v>5</v>
      </c>
      <c r="X230">
        <v>5</v>
      </c>
      <c r="Y230">
        <v>5</v>
      </c>
      <c r="Z230">
        <f>'Assessment Questions'!AC230</f>
        <v>0</v>
      </c>
      <c r="AA230" t="s">
        <v>2156</v>
      </c>
      <c r="AB230">
        <f t="shared" si="96"/>
        <v>6</v>
      </c>
      <c r="AC230">
        <f t="shared" si="97"/>
        <v>0</v>
      </c>
      <c r="AD230">
        <f t="shared" si="82"/>
        <v>0</v>
      </c>
      <c r="AE230">
        <f t="shared" si="98"/>
        <v>6</v>
      </c>
      <c r="AF230">
        <f t="shared" si="83"/>
        <v>5</v>
      </c>
      <c r="AG230">
        <f t="shared" si="99"/>
        <v>6</v>
      </c>
      <c r="AH230">
        <f>'Assessment Questions'!AK230</f>
        <v>0</v>
      </c>
      <c r="AI230">
        <f>'Assessment Questions'!AL230</f>
        <v>0</v>
      </c>
      <c r="AJ230">
        <f>IF(OR($H230="",$H230="N/A"),"",IF($AH230="",VLOOKUP('Company Profile'!$B$40,_CONFIG_Model_Settings!$A$5:$B$8,2,FALSE),IFERROR(VLOOKUP($AH230,_CONFIG_Model_Settings!$A$5:$B$8,2,FALSE),0.9)))</f>
        <v>0.9</v>
      </c>
      <c r="AK230">
        <f>IF(OR($H230="",$H230="N/A"),"",IF($AI230="",VLOOKUP('Company Profile'!$B$41,_CONFIG_Model_Settings!$A$5:$B$8,2,FALSE),IFERROR(VLOOKUP($AI230,_CONFIG_Model_Settings!$A$5:$B$8,2,FALSE),0.9)))</f>
        <v>0.9</v>
      </c>
      <c r="AL230">
        <f t="shared" si="84"/>
        <v>0</v>
      </c>
      <c r="AM230">
        <f t="shared" si="85"/>
        <v>0</v>
      </c>
      <c r="AN230">
        <f>IFERROR(MIN(5,MAX(0,(SUMIFS(_REF_Model_Content!$D$1:$D$174,_REF_Model_Content!$A$1:$A$174,PV_Canonical_Industry,_REF_Model_Content!$B$1:$B$174,"Manufacturing MES"))+IFERROR(VLOOKUP('Company Profile'!$B$35,_CONFIG_Model_Settings!$A$11:$B$13,2,0),0))),"")</f>
        <v>0</v>
      </c>
      <c r="AO230">
        <f t="shared" si="86"/>
        <v>0</v>
      </c>
      <c r="AP230">
        <f>IFERROR(SUMIFS(_REF_Model_Content!$E$1:$E$174,_REF_Model_Content!$A$1:$A$174,PV_Canonical_Industry,_REF_Model_Content!$B$1:$B$174,"Manufacturing MES"),1)</f>
        <v>0</v>
      </c>
      <c r="AQ230">
        <f t="shared" si="87"/>
        <v>0</v>
      </c>
      <c r="AR230" t="str">
        <f t="shared" si="88"/>
        <v>Within target</v>
      </c>
      <c r="AS230">
        <f t="shared" si="89"/>
        <v>0</v>
      </c>
      <c r="AT230">
        <f t="shared" si="90"/>
        <v>0.9</v>
      </c>
      <c r="AU230">
        <f>'Assessment Questions'!AX230</f>
        <v>0</v>
      </c>
      <c r="AV230">
        <f t="shared" si="91"/>
        <v>0.9</v>
      </c>
      <c r="AW230" t="s">
        <v>2145</v>
      </c>
      <c r="AX230" t="s">
        <v>2145</v>
      </c>
      <c r="AY230">
        <v>6</v>
      </c>
      <c r="AZ230">
        <v>230</v>
      </c>
    </row>
    <row r="231" spans="1:52">
      <c r="A231" t="s">
        <v>2157</v>
      </c>
      <c r="B231" t="s">
        <v>2147</v>
      </c>
      <c r="C231" t="s">
        <v>2158</v>
      </c>
      <c r="D231" t="s">
        <v>2149</v>
      </c>
      <c r="E231" t="s">
        <v>2150</v>
      </c>
      <c r="F231" t="s">
        <v>2159</v>
      </c>
      <c r="G231">
        <f>'Assessment Questions'!J231</f>
        <v>3</v>
      </c>
      <c r="H231">
        <f t="shared" si="77"/>
        <v>0</v>
      </c>
      <c r="I231">
        <f t="shared" si="78"/>
        <v>0</v>
      </c>
      <c r="J231">
        <f t="shared" si="79"/>
        <v>3</v>
      </c>
      <c r="K231">
        <f t="shared" si="80"/>
        <v>3</v>
      </c>
      <c r="L231" t="str">
        <f t="shared" si="81"/>
        <v>Critical</v>
      </c>
      <c r="M231" t="s">
        <v>2160</v>
      </c>
      <c r="N231" t="s">
        <v>2161</v>
      </c>
      <c r="O231" t="s">
        <v>2162</v>
      </c>
      <c r="P231" t="s">
        <v>2163</v>
      </c>
      <c r="Q231" t="s">
        <v>2164</v>
      </c>
      <c r="R231" t="s">
        <v>2165</v>
      </c>
      <c r="S231" t="s">
        <v>2152</v>
      </c>
      <c r="T231">
        <f>'Assessment Questions'!W231</f>
        <v>0</v>
      </c>
      <c r="U231">
        <f>'Assessment Questions'!X231</f>
        <v>0</v>
      </c>
      <c r="V231" t="str">
        <f>'Assessment Questions'!Y231</f>
        <v>Use the recommended action generated by the model; validate with domain owner during real assessment.</v>
      </c>
      <c r="W231">
        <v>5</v>
      </c>
      <c r="X231">
        <v>5</v>
      </c>
      <c r="Y231">
        <v>5</v>
      </c>
      <c r="Z231">
        <f>'Assessment Questions'!AC231</f>
        <v>0</v>
      </c>
      <c r="AA231" t="s">
        <v>2166</v>
      </c>
      <c r="AB231">
        <f t="shared" si="96"/>
        <v>6</v>
      </c>
      <c r="AC231">
        <f t="shared" si="97"/>
        <v>0</v>
      </c>
      <c r="AD231">
        <f t="shared" si="82"/>
        <v>0</v>
      </c>
      <c r="AE231">
        <f t="shared" si="98"/>
        <v>6</v>
      </c>
      <c r="AF231">
        <f t="shared" si="83"/>
        <v>5</v>
      </c>
      <c r="AG231">
        <f t="shared" si="99"/>
        <v>6</v>
      </c>
      <c r="AH231">
        <f>'Assessment Questions'!AK231</f>
        <v>0</v>
      </c>
      <c r="AI231">
        <f>'Assessment Questions'!AL231</f>
        <v>0</v>
      </c>
      <c r="AJ231">
        <f>IF(OR($H231="",$H231="N/A"),"",IF($AH231="",VLOOKUP('Company Profile'!$B$40,_CONFIG_Model_Settings!$A$5:$B$8,2,FALSE),IFERROR(VLOOKUP($AH231,_CONFIG_Model_Settings!$A$5:$B$8,2,FALSE),0.9)))</f>
        <v>0.9</v>
      </c>
      <c r="AK231">
        <f>IF(OR($H231="",$H231="N/A"),"",IF($AI231="",VLOOKUP('Company Profile'!$B$41,_CONFIG_Model_Settings!$A$5:$B$8,2,FALSE),IFERROR(VLOOKUP($AI231,_CONFIG_Model_Settings!$A$5:$B$8,2,FALSE),0.9)))</f>
        <v>0.9</v>
      </c>
      <c r="AL231">
        <f t="shared" si="84"/>
        <v>0</v>
      </c>
      <c r="AM231">
        <f t="shared" si="85"/>
        <v>0</v>
      </c>
      <c r="AN231">
        <f>IFERROR(MIN(5,MAX(0,(SUMIFS(_REF_Model_Content!$D$1:$D$174,_REF_Model_Content!$A$1:$A$174,PV_Canonical_Industry,_REF_Model_Content!$B$1:$B$174,"Manufacturing MES"))+IFERROR(VLOOKUP('Company Profile'!$B$35,_CONFIG_Model_Settings!$A$11:$B$13,2,0),0))),"")</f>
        <v>0</v>
      </c>
      <c r="AO231">
        <f t="shared" si="86"/>
        <v>0</v>
      </c>
      <c r="AP231">
        <f>IFERROR(SUMIFS(_REF_Model_Content!$E$1:$E$174,_REF_Model_Content!$A$1:$A$174,PV_Canonical_Industry,_REF_Model_Content!$B$1:$B$174,"Manufacturing MES"),1)</f>
        <v>0</v>
      </c>
      <c r="AQ231">
        <f t="shared" si="87"/>
        <v>0</v>
      </c>
      <c r="AR231" t="str">
        <f t="shared" si="88"/>
        <v>Within target</v>
      </c>
      <c r="AS231">
        <f t="shared" si="89"/>
        <v>0</v>
      </c>
      <c r="AT231">
        <f t="shared" si="90"/>
        <v>0.9</v>
      </c>
      <c r="AU231">
        <f>'Assessment Questions'!AX231</f>
        <v>0</v>
      </c>
      <c r="AV231">
        <f t="shared" si="91"/>
        <v>0.9</v>
      </c>
      <c r="AW231" t="s">
        <v>2145</v>
      </c>
      <c r="AX231" t="s">
        <v>2145</v>
      </c>
      <c r="AY231">
        <v>7</v>
      </c>
      <c r="AZ231">
        <v>231</v>
      </c>
    </row>
    <row r="232" spans="1:52">
      <c r="A232" t="s">
        <v>2167</v>
      </c>
      <c r="B232" t="s">
        <v>2147</v>
      </c>
      <c r="C232" t="s">
        <v>2168</v>
      </c>
      <c r="D232" t="s">
        <v>2149</v>
      </c>
      <c r="E232" t="s">
        <v>2150</v>
      </c>
      <c r="F232" t="s">
        <v>2169</v>
      </c>
      <c r="G232">
        <f>'Assessment Questions'!J232</f>
        <v>5</v>
      </c>
      <c r="H232">
        <f t="shared" si="77"/>
        <v>0</v>
      </c>
      <c r="I232">
        <f t="shared" si="78"/>
        <v>0</v>
      </c>
      <c r="J232">
        <f t="shared" si="79"/>
        <v>5</v>
      </c>
      <c r="K232">
        <f t="shared" si="80"/>
        <v>5</v>
      </c>
      <c r="L232" t="str">
        <f t="shared" si="81"/>
        <v>Critical</v>
      </c>
      <c r="M232" t="s">
        <v>833</v>
      </c>
      <c r="N232" t="s">
        <v>834</v>
      </c>
      <c r="O232" t="s">
        <v>835</v>
      </c>
      <c r="P232" t="s">
        <v>836</v>
      </c>
      <c r="Q232" t="s">
        <v>837</v>
      </c>
      <c r="R232" t="s">
        <v>838</v>
      </c>
      <c r="S232" t="s">
        <v>2152</v>
      </c>
      <c r="T232">
        <f>'Assessment Questions'!W232</f>
        <v>0</v>
      </c>
      <c r="U232">
        <f>'Assessment Questions'!X232</f>
        <v>0</v>
      </c>
      <c r="V232" t="str">
        <f>'Assessment Questions'!Y232</f>
        <v>Use the recommended action generated by the model; validate with domain owner during real assessment.</v>
      </c>
      <c r="W232">
        <v>5</v>
      </c>
      <c r="X232">
        <v>5</v>
      </c>
      <c r="Y232">
        <v>5</v>
      </c>
      <c r="Z232">
        <f>'Assessment Questions'!AC232</f>
        <v>0</v>
      </c>
      <c r="AA232" t="s">
        <v>2170</v>
      </c>
      <c r="AB232">
        <f t="shared" si="96"/>
        <v>6</v>
      </c>
      <c r="AC232">
        <f t="shared" si="97"/>
        <v>0</v>
      </c>
      <c r="AD232">
        <f t="shared" si="82"/>
        <v>0</v>
      </c>
      <c r="AE232">
        <f t="shared" si="98"/>
        <v>6</v>
      </c>
      <c r="AF232">
        <f t="shared" si="83"/>
        <v>5</v>
      </c>
      <c r="AG232">
        <f t="shared" si="99"/>
        <v>6</v>
      </c>
      <c r="AH232">
        <f>'Assessment Questions'!AK232</f>
        <v>0</v>
      </c>
      <c r="AI232">
        <f>'Assessment Questions'!AL232</f>
        <v>0</v>
      </c>
      <c r="AJ232">
        <f>IF(OR($H232="",$H232="N/A"),"",IF($AH232="",VLOOKUP('Company Profile'!$B$40,_CONFIG_Model_Settings!$A$5:$B$8,2,FALSE),IFERROR(VLOOKUP($AH232,_CONFIG_Model_Settings!$A$5:$B$8,2,FALSE),0.9)))</f>
        <v>0.9</v>
      </c>
      <c r="AK232">
        <f>IF(OR($H232="",$H232="N/A"),"",IF($AI232="",VLOOKUP('Company Profile'!$B$41,_CONFIG_Model_Settings!$A$5:$B$8,2,FALSE),IFERROR(VLOOKUP($AI232,_CONFIG_Model_Settings!$A$5:$B$8,2,FALSE),0.9)))</f>
        <v>0.9</v>
      </c>
      <c r="AL232">
        <f t="shared" si="84"/>
        <v>0</v>
      </c>
      <c r="AM232">
        <f t="shared" si="85"/>
        <v>0</v>
      </c>
      <c r="AN232">
        <f>IFERROR(MIN(5,MAX(0,(SUMIFS(_REF_Model_Content!$D$1:$D$174,_REF_Model_Content!$A$1:$A$174,PV_Canonical_Industry,_REF_Model_Content!$B$1:$B$174,"Manufacturing MES"))+IFERROR(VLOOKUP('Company Profile'!$B$35,_CONFIG_Model_Settings!$A$11:$B$13,2,0),0))),"")</f>
        <v>0</v>
      </c>
      <c r="AO232">
        <f t="shared" si="86"/>
        <v>0</v>
      </c>
      <c r="AP232">
        <f>IFERROR(SUMIFS(_REF_Model_Content!$E$1:$E$174,_REF_Model_Content!$A$1:$A$174,PV_Canonical_Industry,_REF_Model_Content!$B$1:$B$174,"Manufacturing MES"),1)</f>
        <v>0</v>
      </c>
      <c r="AQ232">
        <f t="shared" si="87"/>
        <v>0</v>
      </c>
      <c r="AR232" t="str">
        <f t="shared" si="88"/>
        <v>Within target</v>
      </c>
      <c r="AS232">
        <f t="shared" si="89"/>
        <v>0</v>
      </c>
      <c r="AT232">
        <f t="shared" si="90"/>
        <v>0.9</v>
      </c>
      <c r="AU232">
        <f>'Assessment Questions'!AX232</f>
        <v>0</v>
      </c>
      <c r="AV232">
        <f t="shared" si="91"/>
        <v>0.9</v>
      </c>
      <c r="AW232" t="s">
        <v>2145</v>
      </c>
      <c r="AX232" t="s">
        <v>2145</v>
      </c>
      <c r="AY232">
        <v>8</v>
      </c>
      <c r="AZ232">
        <v>232</v>
      </c>
    </row>
    <row r="233" spans="1:52">
      <c r="A233" t="s">
        <v>2171</v>
      </c>
      <c r="B233" t="s">
        <v>2147</v>
      </c>
      <c r="C233" t="s">
        <v>2172</v>
      </c>
      <c r="D233" t="s">
        <v>2149</v>
      </c>
      <c r="E233" t="s">
        <v>2150</v>
      </c>
      <c r="F233" t="s">
        <v>2173</v>
      </c>
      <c r="G233">
        <f>'Assessment Questions'!J233</f>
        <v>5</v>
      </c>
      <c r="H233">
        <f t="shared" si="77"/>
        <v>0</v>
      </c>
      <c r="I233">
        <f t="shared" si="78"/>
        <v>0</v>
      </c>
      <c r="J233">
        <f t="shared" si="79"/>
        <v>5</v>
      </c>
      <c r="K233">
        <f t="shared" si="80"/>
        <v>5</v>
      </c>
      <c r="L233" t="str">
        <f t="shared" si="81"/>
        <v>Critical</v>
      </c>
      <c r="M233" t="s">
        <v>833</v>
      </c>
      <c r="N233" t="s">
        <v>834</v>
      </c>
      <c r="O233" t="s">
        <v>835</v>
      </c>
      <c r="P233" t="s">
        <v>836</v>
      </c>
      <c r="Q233" t="s">
        <v>837</v>
      </c>
      <c r="R233" t="s">
        <v>838</v>
      </c>
      <c r="S233" t="s">
        <v>2152</v>
      </c>
      <c r="T233">
        <f>'Assessment Questions'!W233</f>
        <v>0</v>
      </c>
      <c r="U233">
        <f>'Assessment Questions'!X233</f>
        <v>0</v>
      </c>
      <c r="V233" t="str">
        <f>'Assessment Questions'!Y233</f>
        <v>Use the recommended action generated by the model; validate with domain owner during real assessment.</v>
      </c>
      <c r="W233">
        <v>5</v>
      </c>
      <c r="X233">
        <v>5</v>
      </c>
      <c r="Y233">
        <v>5</v>
      </c>
      <c r="Z233">
        <f>'Assessment Questions'!AC233</f>
        <v>0</v>
      </c>
      <c r="AA233" t="s">
        <v>2174</v>
      </c>
      <c r="AB233">
        <f t="shared" si="96"/>
        <v>4</v>
      </c>
      <c r="AC233">
        <f t="shared" si="97"/>
        <v>0</v>
      </c>
      <c r="AD233">
        <f t="shared" si="82"/>
        <v>0</v>
      </c>
      <c r="AE233">
        <f t="shared" si="98"/>
        <v>4</v>
      </c>
      <c r="AF233">
        <f t="shared" si="83"/>
        <v>5</v>
      </c>
      <c r="AG233">
        <f t="shared" si="99"/>
        <v>4</v>
      </c>
      <c r="AH233">
        <f>'Assessment Questions'!AK233</f>
        <v>0</v>
      </c>
      <c r="AI233">
        <f>'Assessment Questions'!AL233</f>
        <v>0</v>
      </c>
      <c r="AJ233">
        <f>IF(OR($H233="",$H233="N/A"),"",IF($AH233="",VLOOKUP('Company Profile'!$B$40,_CONFIG_Model_Settings!$A$5:$B$8,2,FALSE),IFERROR(VLOOKUP($AH233,_CONFIG_Model_Settings!$A$5:$B$8,2,FALSE),0.9)))</f>
        <v>0.9</v>
      </c>
      <c r="AK233">
        <f>IF(OR($H233="",$H233="N/A"),"",IF($AI233="",VLOOKUP('Company Profile'!$B$41,_CONFIG_Model_Settings!$A$5:$B$8,2,FALSE),IFERROR(VLOOKUP($AI233,_CONFIG_Model_Settings!$A$5:$B$8,2,FALSE),0.9)))</f>
        <v>0.9</v>
      </c>
      <c r="AL233">
        <f t="shared" si="84"/>
        <v>0</v>
      </c>
      <c r="AM233">
        <f t="shared" si="85"/>
        <v>0</v>
      </c>
      <c r="AN233">
        <f>IFERROR(MIN(5,MAX(0,(SUMIFS(_REF_Model_Content!$D$1:$D$174,_REF_Model_Content!$A$1:$A$174,PV_Canonical_Industry,_REF_Model_Content!$B$1:$B$174,"Manufacturing MES"))+IFERROR(VLOOKUP('Company Profile'!$B$35,_CONFIG_Model_Settings!$A$11:$B$13,2,0),0))),"")</f>
        <v>0</v>
      </c>
      <c r="AO233">
        <f t="shared" si="86"/>
        <v>0</v>
      </c>
      <c r="AP233">
        <f>IFERROR(SUMIFS(_REF_Model_Content!$E$1:$E$174,_REF_Model_Content!$A$1:$A$174,PV_Canonical_Industry,_REF_Model_Content!$B$1:$B$174,"Manufacturing MES"),1)</f>
        <v>0</v>
      </c>
      <c r="AQ233">
        <f t="shared" si="87"/>
        <v>0</v>
      </c>
      <c r="AR233" t="str">
        <f t="shared" si="88"/>
        <v>Within target</v>
      </c>
      <c r="AS233">
        <f t="shared" si="89"/>
        <v>0</v>
      </c>
      <c r="AT233">
        <f t="shared" si="90"/>
        <v>0.9</v>
      </c>
      <c r="AU233">
        <f>'Assessment Questions'!AX233</f>
        <v>0</v>
      </c>
      <c r="AV233">
        <f t="shared" si="91"/>
        <v>0.9</v>
      </c>
      <c r="AW233" t="s">
        <v>2145</v>
      </c>
      <c r="AX233" t="s">
        <v>2145</v>
      </c>
      <c r="AY233">
        <v>9</v>
      </c>
      <c r="AZ233">
        <v>233</v>
      </c>
    </row>
    <row r="234" spans="1:52">
      <c r="A234" t="s">
        <v>2175</v>
      </c>
      <c r="B234" t="s">
        <v>2147</v>
      </c>
      <c r="C234" t="s">
        <v>2176</v>
      </c>
      <c r="D234" t="s">
        <v>2149</v>
      </c>
      <c r="E234" t="s">
        <v>2150</v>
      </c>
      <c r="F234" t="s">
        <v>2177</v>
      </c>
      <c r="G234">
        <f>'Assessment Questions'!J234</f>
        <v>5</v>
      </c>
      <c r="H234">
        <f t="shared" si="77"/>
        <v>0</v>
      </c>
      <c r="I234">
        <f t="shared" si="78"/>
        <v>0</v>
      </c>
      <c r="J234">
        <f t="shared" si="79"/>
        <v>5</v>
      </c>
      <c r="K234">
        <f t="shared" si="80"/>
        <v>5</v>
      </c>
      <c r="L234" t="str">
        <f t="shared" si="81"/>
        <v>Critical</v>
      </c>
      <c r="M234" t="s">
        <v>833</v>
      </c>
      <c r="N234" t="s">
        <v>834</v>
      </c>
      <c r="O234" t="s">
        <v>835</v>
      </c>
      <c r="P234" t="s">
        <v>836</v>
      </c>
      <c r="Q234" t="s">
        <v>837</v>
      </c>
      <c r="R234" t="s">
        <v>838</v>
      </c>
      <c r="S234" t="s">
        <v>2152</v>
      </c>
      <c r="T234">
        <f>'Assessment Questions'!W234</f>
        <v>0</v>
      </c>
      <c r="U234">
        <f>'Assessment Questions'!X234</f>
        <v>0</v>
      </c>
      <c r="V234" t="str">
        <f>'Assessment Questions'!Y234</f>
        <v>Use the recommended action generated by the model; validate with domain owner during real assessment.</v>
      </c>
      <c r="W234">
        <v>5</v>
      </c>
      <c r="X234">
        <v>5</v>
      </c>
      <c r="Y234">
        <v>5</v>
      </c>
      <c r="Z234">
        <f>'Assessment Questions'!AC234</f>
        <v>0</v>
      </c>
      <c r="AB234">
        <f t="shared" si="96"/>
        <v>0</v>
      </c>
      <c r="AC234">
        <f t="shared" si="97"/>
        <v>0</v>
      </c>
      <c r="AD234">
        <f t="shared" si="82"/>
        <v>0</v>
      </c>
      <c r="AE234">
        <f t="shared" si="98"/>
        <v>0</v>
      </c>
      <c r="AF234">
        <f t="shared" si="83"/>
        <v>5</v>
      </c>
      <c r="AG234">
        <f t="shared" si="99"/>
        <v>0</v>
      </c>
      <c r="AH234">
        <f>'Assessment Questions'!AK234</f>
        <v>0</v>
      </c>
      <c r="AI234">
        <f>'Assessment Questions'!AL234</f>
        <v>0</v>
      </c>
      <c r="AJ234">
        <f>IF(OR($H234="",$H234="N/A"),"",IF($AH234="",VLOOKUP('Company Profile'!$B$40,_CONFIG_Model_Settings!$A$5:$B$8,2,FALSE),IFERROR(VLOOKUP($AH234,_CONFIG_Model_Settings!$A$5:$B$8,2,FALSE),0.9)))</f>
        <v>0.9</v>
      </c>
      <c r="AK234">
        <f>IF(OR($H234="",$H234="N/A"),"",IF($AI234="",VLOOKUP('Company Profile'!$B$41,_CONFIG_Model_Settings!$A$5:$B$8,2,FALSE),IFERROR(VLOOKUP($AI234,_CONFIG_Model_Settings!$A$5:$B$8,2,FALSE),0.9)))</f>
        <v>0.9</v>
      </c>
      <c r="AL234">
        <f t="shared" si="84"/>
        <v>0</v>
      </c>
      <c r="AM234">
        <f t="shared" si="85"/>
        <v>0</v>
      </c>
      <c r="AN234">
        <f>IFERROR(MIN(5,MAX(0,(SUMIFS(_REF_Model_Content!$D$1:$D$174,_REF_Model_Content!$A$1:$A$174,PV_Canonical_Industry,_REF_Model_Content!$B$1:$B$174,"Manufacturing MES"))+IFERROR(VLOOKUP('Company Profile'!$B$35,_CONFIG_Model_Settings!$A$11:$B$13,2,0),0))),"")</f>
        <v>0</v>
      </c>
      <c r="AO234">
        <f t="shared" si="86"/>
        <v>0</v>
      </c>
      <c r="AP234">
        <f>IFERROR(SUMIFS(_REF_Model_Content!$E$1:$E$174,_REF_Model_Content!$A$1:$A$174,PV_Canonical_Industry,_REF_Model_Content!$B$1:$B$174,"Manufacturing MES"),1)</f>
        <v>0</v>
      </c>
      <c r="AQ234">
        <f t="shared" si="87"/>
        <v>0</v>
      </c>
      <c r="AR234" t="str">
        <f t="shared" si="88"/>
        <v>Within target</v>
      </c>
      <c r="AS234">
        <f t="shared" si="89"/>
        <v>0</v>
      </c>
      <c r="AT234">
        <f t="shared" si="90"/>
        <v>0.9</v>
      </c>
      <c r="AU234">
        <f>'Assessment Questions'!AX234</f>
        <v>0</v>
      </c>
      <c r="AV234">
        <f t="shared" si="91"/>
        <v>0.9</v>
      </c>
      <c r="AW234" t="s">
        <v>2145</v>
      </c>
      <c r="AX234" t="s">
        <v>2145</v>
      </c>
      <c r="AY234">
        <v>10</v>
      </c>
      <c r="AZ234">
        <v>234</v>
      </c>
    </row>
    <row r="235" spans="1:52">
      <c r="A235" t="s">
        <v>2178</v>
      </c>
      <c r="B235" t="s">
        <v>2156</v>
      </c>
      <c r="C235" t="s">
        <v>2179</v>
      </c>
      <c r="D235" t="s">
        <v>2149</v>
      </c>
      <c r="E235" t="s">
        <v>2150</v>
      </c>
      <c r="F235" t="s">
        <v>2180</v>
      </c>
      <c r="G235">
        <f>'Assessment Questions'!J235</f>
        <v>5</v>
      </c>
      <c r="H235">
        <f t="shared" si="77"/>
        <v>0</v>
      </c>
      <c r="I235">
        <f t="shared" si="78"/>
        <v>0</v>
      </c>
      <c r="J235">
        <f t="shared" si="79"/>
        <v>5</v>
      </c>
      <c r="K235">
        <f t="shared" si="80"/>
        <v>5</v>
      </c>
      <c r="L235" t="str">
        <f t="shared" si="81"/>
        <v>Critical</v>
      </c>
      <c r="M235" t="s">
        <v>833</v>
      </c>
      <c r="N235" t="s">
        <v>834</v>
      </c>
      <c r="O235" t="s">
        <v>835</v>
      </c>
      <c r="P235" t="s">
        <v>836</v>
      </c>
      <c r="Q235" t="s">
        <v>837</v>
      </c>
      <c r="R235" t="s">
        <v>838</v>
      </c>
      <c r="S235" t="s">
        <v>2152</v>
      </c>
      <c r="T235">
        <f>'Assessment Questions'!W235</f>
        <v>0</v>
      </c>
      <c r="U235">
        <f>'Assessment Questions'!X235</f>
        <v>0</v>
      </c>
      <c r="V235" t="str">
        <f>'Assessment Questions'!Y235</f>
        <v>Use the recommended action generated by the model; validate with domain owner during real assessment.</v>
      </c>
      <c r="W235">
        <v>5</v>
      </c>
      <c r="X235">
        <v>5</v>
      </c>
      <c r="Y235">
        <v>5</v>
      </c>
      <c r="Z235">
        <f>'Assessment Questions'!AC235</f>
        <v>0</v>
      </c>
      <c r="AB235">
        <f t="shared" si="96"/>
        <v>0</v>
      </c>
      <c r="AC235">
        <f t="shared" si="97"/>
        <v>0</v>
      </c>
      <c r="AD235">
        <f t="shared" si="82"/>
        <v>0</v>
      </c>
      <c r="AE235">
        <f t="shared" si="98"/>
        <v>0</v>
      </c>
      <c r="AF235">
        <f t="shared" si="83"/>
        <v>5</v>
      </c>
      <c r="AG235">
        <f t="shared" si="99"/>
        <v>0</v>
      </c>
      <c r="AH235">
        <f>'Assessment Questions'!AK235</f>
        <v>0</v>
      </c>
      <c r="AI235">
        <f>'Assessment Questions'!AL235</f>
        <v>0</v>
      </c>
      <c r="AJ235">
        <f>IF(OR($H235="",$H235="N/A"),"",IF($AH235="",VLOOKUP('Company Profile'!$B$40,_CONFIG_Model_Settings!$A$5:$B$8,2,FALSE),IFERROR(VLOOKUP($AH235,_CONFIG_Model_Settings!$A$5:$B$8,2,FALSE),0.9)))</f>
        <v>0.9</v>
      </c>
      <c r="AK235">
        <f>IF(OR($H235="",$H235="N/A"),"",IF($AI235="",VLOOKUP('Company Profile'!$B$41,_CONFIG_Model_Settings!$A$5:$B$8,2,FALSE),IFERROR(VLOOKUP($AI235,_CONFIG_Model_Settings!$A$5:$B$8,2,FALSE),0.9)))</f>
        <v>0.9</v>
      </c>
      <c r="AL235">
        <f t="shared" si="84"/>
        <v>0</v>
      </c>
      <c r="AM235">
        <f t="shared" si="85"/>
        <v>0</v>
      </c>
      <c r="AN235">
        <f>IFERROR(MIN(5,MAX(0,(SUMIFS(_REF_Model_Content!$D$1:$D$174,_REF_Model_Content!$A$1:$A$174,PV_Canonical_Industry,_REF_Model_Content!$B$1:$B$174,"Manufacturing MES"))+IFERROR(VLOOKUP('Company Profile'!$B$35,_CONFIG_Model_Settings!$A$11:$B$13,2,0),0))),"")</f>
        <v>0</v>
      </c>
      <c r="AO235">
        <f t="shared" si="86"/>
        <v>0</v>
      </c>
      <c r="AP235">
        <f>IFERROR(SUMIFS(_REF_Model_Content!$E$1:$E$174,_REF_Model_Content!$A$1:$A$174,PV_Canonical_Industry,_REF_Model_Content!$B$1:$B$174,"Manufacturing MES"),1)</f>
        <v>0</v>
      </c>
      <c r="AQ235">
        <f t="shared" si="87"/>
        <v>0</v>
      </c>
      <c r="AR235" t="str">
        <f t="shared" si="88"/>
        <v>Within target</v>
      </c>
      <c r="AS235">
        <f t="shared" si="89"/>
        <v>0</v>
      </c>
      <c r="AT235">
        <f t="shared" si="90"/>
        <v>0.9</v>
      </c>
      <c r="AU235">
        <f>'Assessment Questions'!AX235</f>
        <v>0</v>
      </c>
      <c r="AV235">
        <f t="shared" si="91"/>
        <v>0.9</v>
      </c>
      <c r="AW235" t="s">
        <v>2145</v>
      </c>
      <c r="AX235" t="s">
        <v>2145</v>
      </c>
      <c r="AY235">
        <v>11</v>
      </c>
      <c r="AZ235">
        <v>235</v>
      </c>
    </row>
    <row r="236" spans="1:52">
      <c r="A236" t="s">
        <v>2181</v>
      </c>
      <c r="B236" t="s">
        <v>2156</v>
      </c>
      <c r="C236" t="s">
        <v>2182</v>
      </c>
      <c r="D236" t="s">
        <v>2149</v>
      </c>
      <c r="E236" t="s">
        <v>2150</v>
      </c>
      <c r="F236" t="s">
        <v>2183</v>
      </c>
      <c r="G236">
        <f>'Assessment Questions'!J236</f>
        <v>5</v>
      </c>
      <c r="H236">
        <f t="shared" si="77"/>
        <v>0</v>
      </c>
      <c r="I236">
        <f t="shared" si="78"/>
        <v>0</v>
      </c>
      <c r="J236">
        <f t="shared" si="79"/>
        <v>5</v>
      </c>
      <c r="K236">
        <f t="shared" si="80"/>
        <v>5</v>
      </c>
      <c r="L236" t="str">
        <f t="shared" si="81"/>
        <v>Critical</v>
      </c>
      <c r="M236" t="s">
        <v>874</v>
      </c>
      <c r="N236" t="s">
        <v>875</v>
      </c>
      <c r="O236" t="s">
        <v>876</v>
      </c>
      <c r="P236" t="s">
        <v>877</v>
      </c>
      <c r="Q236" t="s">
        <v>878</v>
      </c>
      <c r="R236" t="s">
        <v>879</v>
      </c>
      <c r="S236" t="s">
        <v>2152</v>
      </c>
      <c r="T236">
        <f>'Assessment Questions'!W236</f>
        <v>0</v>
      </c>
      <c r="U236">
        <f>'Assessment Questions'!X236</f>
        <v>0</v>
      </c>
      <c r="V236" t="str">
        <f>'Assessment Questions'!Y236</f>
        <v>Use the recommended action generated by the model; validate with domain owner during real assessment.</v>
      </c>
      <c r="W236">
        <v>5</v>
      </c>
      <c r="X236">
        <v>5</v>
      </c>
      <c r="Y236">
        <v>5</v>
      </c>
      <c r="Z236">
        <f>'Assessment Questions'!AC236</f>
        <v>0</v>
      </c>
      <c r="AB236">
        <f t="shared" si="96"/>
        <v>0</v>
      </c>
      <c r="AC236">
        <f t="shared" si="97"/>
        <v>0</v>
      </c>
      <c r="AD236">
        <f t="shared" si="82"/>
        <v>0</v>
      </c>
      <c r="AE236">
        <f t="shared" si="98"/>
        <v>0</v>
      </c>
      <c r="AF236">
        <f t="shared" si="83"/>
        <v>5</v>
      </c>
      <c r="AG236">
        <f t="shared" si="99"/>
        <v>0</v>
      </c>
      <c r="AH236">
        <f>'Assessment Questions'!AK236</f>
        <v>0</v>
      </c>
      <c r="AI236">
        <f>'Assessment Questions'!AL236</f>
        <v>0</v>
      </c>
      <c r="AJ236">
        <f>IF(OR($H236="",$H236="N/A"),"",IF($AH236="",VLOOKUP('Company Profile'!$B$40,_CONFIG_Model_Settings!$A$5:$B$8,2,FALSE),IFERROR(VLOOKUP($AH236,_CONFIG_Model_Settings!$A$5:$B$8,2,FALSE),0.9)))</f>
        <v>0.9</v>
      </c>
      <c r="AK236">
        <f>IF(OR($H236="",$H236="N/A"),"",IF($AI236="",VLOOKUP('Company Profile'!$B$41,_CONFIG_Model_Settings!$A$5:$B$8,2,FALSE),IFERROR(VLOOKUP($AI236,_CONFIG_Model_Settings!$A$5:$B$8,2,FALSE),0.9)))</f>
        <v>0.9</v>
      </c>
      <c r="AL236">
        <f t="shared" si="84"/>
        <v>0</v>
      </c>
      <c r="AM236">
        <f t="shared" si="85"/>
        <v>0</v>
      </c>
      <c r="AN236">
        <f>IFERROR(MIN(5,MAX(0,(SUMIFS(_REF_Model_Content!$D$1:$D$174,_REF_Model_Content!$A$1:$A$174,PV_Canonical_Industry,_REF_Model_Content!$B$1:$B$174,"Manufacturing MES"))+IFERROR(VLOOKUP('Company Profile'!$B$35,_CONFIG_Model_Settings!$A$11:$B$13,2,0),0))),"")</f>
        <v>0</v>
      </c>
      <c r="AO236">
        <f t="shared" si="86"/>
        <v>0</v>
      </c>
      <c r="AP236">
        <f>IFERROR(SUMIFS(_REF_Model_Content!$E$1:$E$174,_REF_Model_Content!$A$1:$A$174,PV_Canonical_Industry,_REF_Model_Content!$B$1:$B$174,"Manufacturing MES"),1)</f>
        <v>0</v>
      </c>
      <c r="AQ236">
        <f t="shared" si="87"/>
        <v>0</v>
      </c>
      <c r="AR236" t="str">
        <f t="shared" si="88"/>
        <v>Within target</v>
      </c>
      <c r="AS236">
        <f t="shared" si="89"/>
        <v>0</v>
      </c>
      <c r="AT236">
        <f t="shared" si="90"/>
        <v>0.9</v>
      </c>
      <c r="AU236">
        <f>'Assessment Questions'!AX236</f>
        <v>0</v>
      </c>
      <c r="AV236">
        <f t="shared" si="91"/>
        <v>0.9</v>
      </c>
      <c r="AW236" t="s">
        <v>2145</v>
      </c>
      <c r="AX236" t="s">
        <v>2145</v>
      </c>
      <c r="AY236">
        <v>12</v>
      </c>
      <c r="AZ236">
        <v>236</v>
      </c>
    </row>
    <row r="237" spans="1:52">
      <c r="A237" t="s">
        <v>2184</v>
      </c>
      <c r="B237" t="s">
        <v>2156</v>
      </c>
      <c r="C237" t="s">
        <v>2185</v>
      </c>
      <c r="D237" t="s">
        <v>2149</v>
      </c>
      <c r="E237" t="s">
        <v>2150</v>
      </c>
      <c r="F237" t="s">
        <v>2186</v>
      </c>
      <c r="G237">
        <f>'Assessment Questions'!J237</f>
        <v>5</v>
      </c>
      <c r="H237">
        <f t="shared" si="77"/>
        <v>0</v>
      </c>
      <c r="I237">
        <f t="shared" si="78"/>
        <v>0</v>
      </c>
      <c r="J237">
        <f t="shared" si="79"/>
        <v>5</v>
      </c>
      <c r="K237">
        <f t="shared" si="80"/>
        <v>5</v>
      </c>
      <c r="L237" t="str">
        <f t="shared" si="81"/>
        <v>Critical</v>
      </c>
      <c r="M237" t="s">
        <v>833</v>
      </c>
      <c r="N237" t="s">
        <v>834</v>
      </c>
      <c r="O237" t="s">
        <v>835</v>
      </c>
      <c r="P237" t="s">
        <v>836</v>
      </c>
      <c r="Q237" t="s">
        <v>837</v>
      </c>
      <c r="R237" t="s">
        <v>838</v>
      </c>
      <c r="S237" t="s">
        <v>2152</v>
      </c>
      <c r="T237">
        <f>'Assessment Questions'!W237</f>
        <v>0</v>
      </c>
      <c r="U237">
        <f>'Assessment Questions'!X237</f>
        <v>0</v>
      </c>
      <c r="V237" t="str">
        <f>'Assessment Questions'!Y237</f>
        <v>Use the recommended action generated by the model; validate with domain owner during real assessment.</v>
      </c>
      <c r="W237">
        <v>5</v>
      </c>
      <c r="X237">
        <v>5</v>
      </c>
      <c r="Y237">
        <v>5</v>
      </c>
      <c r="Z237">
        <f>'Assessment Questions'!AC237</f>
        <v>0</v>
      </c>
      <c r="AB237">
        <f t="shared" si="96"/>
        <v>0</v>
      </c>
      <c r="AC237">
        <f t="shared" si="97"/>
        <v>0</v>
      </c>
      <c r="AD237">
        <f t="shared" si="82"/>
        <v>0</v>
      </c>
      <c r="AE237">
        <f t="shared" si="98"/>
        <v>0</v>
      </c>
      <c r="AF237">
        <f t="shared" si="83"/>
        <v>5</v>
      </c>
      <c r="AG237">
        <f t="shared" si="99"/>
        <v>0</v>
      </c>
      <c r="AH237">
        <f>'Assessment Questions'!AK237</f>
        <v>0</v>
      </c>
      <c r="AI237">
        <f>'Assessment Questions'!AL237</f>
        <v>0</v>
      </c>
      <c r="AJ237">
        <f>IF(OR($H237="",$H237="N/A"),"",IF($AH237="",VLOOKUP('Company Profile'!$B$40,_CONFIG_Model_Settings!$A$5:$B$8,2,FALSE),IFERROR(VLOOKUP($AH237,_CONFIG_Model_Settings!$A$5:$B$8,2,FALSE),0.9)))</f>
        <v>0.9</v>
      </c>
      <c r="AK237">
        <f>IF(OR($H237="",$H237="N/A"),"",IF($AI237="",VLOOKUP('Company Profile'!$B$41,_CONFIG_Model_Settings!$A$5:$B$8,2,FALSE),IFERROR(VLOOKUP($AI237,_CONFIG_Model_Settings!$A$5:$B$8,2,FALSE),0.9)))</f>
        <v>0.9</v>
      </c>
      <c r="AL237">
        <f t="shared" si="84"/>
        <v>0</v>
      </c>
      <c r="AM237">
        <f t="shared" si="85"/>
        <v>0</v>
      </c>
      <c r="AN237">
        <f>IFERROR(MIN(5,MAX(0,(SUMIFS(_REF_Model_Content!$D$1:$D$174,_REF_Model_Content!$A$1:$A$174,PV_Canonical_Industry,_REF_Model_Content!$B$1:$B$174,"Manufacturing MES"))+IFERROR(VLOOKUP('Company Profile'!$B$35,_CONFIG_Model_Settings!$A$11:$B$13,2,0),0))),"")</f>
        <v>0</v>
      </c>
      <c r="AO237">
        <f t="shared" si="86"/>
        <v>0</v>
      </c>
      <c r="AP237">
        <f>IFERROR(SUMIFS(_REF_Model_Content!$E$1:$E$174,_REF_Model_Content!$A$1:$A$174,PV_Canonical_Industry,_REF_Model_Content!$B$1:$B$174,"Manufacturing MES"),1)</f>
        <v>0</v>
      </c>
      <c r="AQ237">
        <f t="shared" si="87"/>
        <v>0</v>
      </c>
      <c r="AR237" t="str">
        <f t="shared" si="88"/>
        <v>Within target</v>
      </c>
      <c r="AS237">
        <f t="shared" si="89"/>
        <v>0</v>
      </c>
      <c r="AT237">
        <f t="shared" si="90"/>
        <v>0.9</v>
      </c>
      <c r="AU237">
        <f>'Assessment Questions'!AX237</f>
        <v>0</v>
      </c>
      <c r="AV237">
        <f t="shared" si="91"/>
        <v>0.9</v>
      </c>
      <c r="AW237" t="s">
        <v>2145</v>
      </c>
      <c r="AX237" t="s">
        <v>2145</v>
      </c>
      <c r="AY237">
        <v>13</v>
      </c>
      <c r="AZ237">
        <v>237</v>
      </c>
    </row>
    <row r="238" spans="1:52">
      <c r="A238" t="s">
        <v>2187</v>
      </c>
      <c r="B238" t="s">
        <v>2156</v>
      </c>
      <c r="C238" t="s">
        <v>2188</v>
      </c>
      <c r="D238" t="s">
        <v>2149</v>
      </c>
      <c r="E238" t="s">
        <v>2150</v>
      </c>
      <c r="F238" t="s">
        <v>2189</v>
      </c>
      <c r="G238">
        <f>'Assessment Questions'!J238</f>
        <v>4</v>
      </c>
      <c r="H238">
        <f t="shared" si="77"/>
        <v>0</v>
      </c>
      <c r="I238">
        <f t="shared" si="78"/>
        <v>0</v>
      </c>
      <c r="J238">
        <f t="shared" si="79"/>
        <v>4</v>
      </c>
      <c r="K238">
        <f t="shared" si="80"/>
        <v>4</v>
      </c>
      <c r="L238" t="str">
        <f t="shared" si="81"/>
        <v>Critical</v>
      </c>
      <c r="M238" t="s">
        <v>2190</v>
      </c>
      <c r="N238" t="s">
        <v>2191</v>
      </c>
      <c r="O238" t="s">
        <v>2192</v>
      </c>
      <c r="P238" t="s">
        <v>2193</v>
      </c>
      <c r="Q238" t="s">
        <v>2194</v>
      </c>
      <c r="R238" t="s">
        <v>2195</v>
      </c>
      <c r="S238" t="s">
        <v>2152</v>
      </c>
      <c r="T238">
        <f>'Assessment Questions'!W238</f>
        <v>0</v>
      </c>
      <c r="U238">
        <f>'Assessment Questions'!X238</f>
        <v>0</v>
      </c>
      <c r="V238" t="str">
        <f>'Assessment Questions'!Y238</f>
        <v>Use the recommended action generated by the model; validate with domain owner during real assessment.</v>
      </c>
      <c r="W238">
        <v>5</v>
      </c>
      <c r="X238">
        <v>5</v>
      </c>
      <c r="Y238">
        <v>5</v>
      </c>
      <c r="Z238">
        <f>'Assessment Questions'!AC238</f>
        <v>0</v>
      </c>
      <c r="AB238">
        <f t="shared" si="96"/>
        <v>0</v>
      </c>
      <c r="AC238">
        <f t="shared" si="97"/>
        <v>0</v>
      </c>
      <c r="AD238">
        <f t="shared" si="82"/>
        <v>0</v>
      </c>
      <c r="AE238">
        <f t="shared" si="98"/>
        <v>0</v>
      </c>
      <c r="AF238">
        <f t="shared" si="83"/>
        <v>5</v>
      </c>
      <c r="AG238">
        <f t="shared" si="99"/>
        <v>0</v>
      </c>
      <c r="AH238">
        <f>'Assessment Questions'!AK238</f>
        <v>0</v>
      </c>
      <c r="AI238">
        <f>'Assessment Questions'!AL238</f>
        <v>0</v>
      </c>
      <c r="AJ238">
        <f>IF(OR($H238="",$H238="N/A"),"",IF($AH238="",VLOOKUP('Company Profile'!$B$40,_CONFIG_Model_Settings!$A$5:$B$8,2,FALSE),IFERROR(VLOOKUP($AH238,_CONFIG_Model_Settings!$A$5:$B$8,2,FALSE),0.9)))</f>
        <v>0.9</v>
      </c>
      <c r="AK238">
        <f>IF(OR($H238="",$H238="N/A"),"",IF($AI238="",VLOOKUP('Company Profile'!$B$41,_CONFIG_Model_Settings!$A$5:$B$8,2,FALSE),IFERROR(VLOOKUP($AI238,_CONFIG_Model_Settings!$A$5:$B$8,2,FALSE),0.9)))</f>
        <v>0.9</v>
      </c>
      <c r="AL238">
        <f t="shared" si="84"/>
        <v>0</v>
      </c>
      <c r="AM238">
        <f t="shared" si="85"/>
        <v>0</v>
      </c>
      <c r="AN238">
        <f>IFERROR(MIN(5,MAX(0,(SUMIFS(_REF_Model_Content!$D$1:$D$174,_REF_Model_Content!$A$1:$A$174,PV_Canonical_Industry,_REF_Model_Content!$B$1:$B$174,"Manufacturing MES"))+IFERROR(VLOOKUP('Company Profile'!$B$35,_CONFIG_Model_Settings!$A$11:$B$13,2,0),0))),"")</f>
        <v>0</v>
      </c>
      <c r="AO238">
        <f t="shared" si="86"/>
        <v>0</v>
      </c>
      <c r="AP238">
        <f>IFERROR(SUMIFS(_REF_Model_Content!$E$1:$E$174,_REF_Model_Content!$A$1:$A$174,PV_Canonical_Industry,_REF_Model_Content!$B$1:$B$174,"Manufacturing MES"),1)</f>
        <v>0</v>
      </c>
      <c r="AQ238">
        <f t="shared" si="87"/>
        <v>0</v>
      </c>
      <c r="AR238" t="str">
        <f t="shared" si="88"/>
        <v>Within target</v>
      </c>
      <c r="AS238">
        <f t="shared" si="89"/>
        <v>0</v>
      </c>
      <c r="AT238">
        <f t="shared" si="90"/>
        <v>0.9</v>
      </c>
      <c r="AU238">
        <f>'Assessment Questions'!AX238</f>
        <v>0</v>
      </c>
      <c r="AV238">
        <f t="shared" si="91"/>
        <v>0.9</v>
      </c>
      <c r="AW238" t="s">
        <v>2145</v>
      </c>
      <c r="AX238" t="s">
        <v>2145</v>
      </c>
      <c r="AY238">
        <v>14</v>
      </c>
      <c r="AZ238">
        <v>238</v>
      </c>
    </row>
    <row r="239" spans="1:52">
      <c r="A239" t="s">
        <v>2196</v>
      </c>
      <c r="B239" t="s">
        <v>2156</v>
      </c>
      <c r="C239" t="s">
        <v>2197</v>
      </c>
      <c r="D239" t="s">
        <v>2149</v>
      </c>
      <c r="E239" t="s">
        <v>2150</v>
      </c>
      <c r="F239" t="s">
        <v>2198</v>
      </c>
      <c r="G239">
        <f>'Assessment Questions'!J239</f>
        <v>3</v>
      </c>
      <c r="H239">
        <f t="shared" si="77"/>
        <v>0</v>
      </c>
      <c r="I239">
        <f t="shared" si="78"/>
        <v>0</v>
      </c>
      <c r="J239">
        <f t="shared" si="79"/>
        <v>3</v>
      </c>
      <c r="K239">
        <f t="shared" si="80"/>
        <v>3</v>
      </c>
      <c r="L239" t="str">
        <f t="shared" si="81"/>
        <v>Critical</v>
      </c>
      <c r="M239" t="s">
        <v>2199</v>
      </c>
      <c r="N239" t="s">
        <v>2200</v>
      </c>
      <c r="O239" t="s">
        <v>2201</v>
      </c>
      <c r="P239" t="s">
        <v>2202</v>
      </c>
      <c r="Q239" t="s">
        <v>2203</v>
      </c>
      <c r="R239" t="s">
        <v>2204</v>
      </c>
      <c r="S239" t="s">
        <v>2152</v>
      </c>
      <c r="T239">
        <f>'Assessment Questions'!W239</f>
        <v>0</v>
      </c>
      <c r="U239">
        <f>'Assessment Questions'!X239</f>
        <v>0</v>
      </c>
      <c r="V239" t="str">
        <f>'Assessment Questions'!Y239</f>
        <v>Use the recommended action generated by the model; validate with domain owner during real assessment.</v>
      </c>
      <c r="W239">
        <v>5</v>
      </c>
      <c r="X239">
        <v>5</v>
      </c>
      <c r="Y239">
        <v>5</v>
      </c>
      <c r="Z239">
        <f>'Assessment Questions'!AC239</f>
        <v>0</v>
      </c>
      <c r="AB239">
        <f t="shared" si="96"/>
        <v>0</v>
      </c>
      <c r="AC239">
        <f t="shared" si="97"/>
        <v>0</v>
      </c>
      <c r="AD239">
        <f t="shared" si="82"/>
        <v>0</v>
      </c>
      <c r="AE239">
        <f t="shared" si="98"/>
        <v>0</v>
      </c>
      <c r="AF239">
        <f t="shared" si="83"/>
        <v>5</v>
      </c>
      <c r="AG239">
        <f t="shared" si="99"/>
        <v>0</v>
      </c>
      <c r="AH239">
        <f>'Assessment Questions'!AK239</f>
        <v>0</v>
      </c>
      <c r="AI239">
        <f>'Assessment Questions'!AL239</f>
        <v>0</v>
      </c>
      <c r="AJ239">
        <f>IF(OR($H239="",$H239="N/A"),"",IF($AH239="",VLOOKUP('Company Profile'!$B$40,_CONFIG_Model_Settings!$A$5:$B$8,2,FALSE),IFERROR(VLOOKUP($AH239,_CONFIG_Model_Settings!$A$5:$B$8,2,FALSE),0.9)))</f>
        <v>0.9</v>
      </c>
      <c r="AK239">
        <f>IF(OR($H239="",$H239="N/A"),"",IF($AI239="",VLOOKUP('Company Profile'!$B$41,_CONFIG_Model_Settings!$A$5:$B$8,2,FALSE),IFERROR(VLOOKUP($AI239,_CONFIG_Model_Settings!$A$5:$B$8,2,FALSE),0.9)))</f>
        <v>0.9</v>
      </c>
      <c r="AL239">
        <f t="shared" si="84"/>
        <v>0</v>
      </c>
      <c r="AM239">
        <f t="shared" si="85"/>
        <v>0</v>
      </c>
      <c r="AN239">
        <f>IFERROR(MIN(5,MAX(0,(SUMIFS(_REF_Model_Content!$D$1:$D$174,_REF_Model_Content!$A$1:$A$174,PV_Canonical_Industry,_REF_Model_Content!$B$1:$B$174,"Manufacturing MES"))+IFERROR(VLOOKUP('Company Profile'!$B$35,_CONFIG_Model_Settings!$A$11:$B$13,2,0),0))),"")</f>
        <v>0</v>
      </c>
      <c r="AO239">
        <f t="shared" si="86"/>
        <v>0</v>
      </c>
      <c r="AP239">
        <f>IFERROR(SUMIFS(_REF_Model_Content!$E$1:$E$174,_REF_Model_Content!$A$1:$A$174,PV_Canonical_Industry,_REF_Model_Content!$B$1:$B$174,"Manufacturing MES"),1)</f>
        <v>0</v>
      </c>
      <c r="AQ239">
        <f t="shared" si="87"/>
        <v>0</v>
      </c>
      <c r="AR239" t="str">
        <f t="shared" si="88"/>
        <v>Within target</v>
      </c>
      <c r="AS239">
        <f t="shared" si="89"/>
        <v>0</v>
      </c>
      <c r="AT239">
        <f t="shared" si="90"/>
        <v>0.9</v>
      </c>
      <c r="AU239">
        <f>'Assessment Questions'!AX239</f>
        <v>0</v>
      </c>
      <c r="AV239">
        <f t="shared" si="91"/>
        <v>0.9</v>
      </c>
      <c r="AW239" t="s">
        <v>2145</v>
      </c>
      <c r="AX239" t="s">
        <v>2145</v>
      </c>
      <c r="AY239">
        <v>15</v>
      </c>
      <c r="AZ239">
        <v>239</v>
      </c>
    </row>
    <row r="240" spans="1:52">
      <c r="A240" t="s">
        <v>2205</v>
      </c>
      <c r="B240" t="s">
        <v>2156</v>
      </c>
      <c r="C240" t="s">
        <v>2206</v>
      </c>
      <c r="D240" t="s">
        <v>2149</v>
      </c>
      <c r="E240" t="s">
        <v>2150</v>
      </c>
      <c r="F240" t="s">
        <v>2207</v>
      </c>
      <c r="G240">
        <f>'Assessment Questions'!J240</f>
        <v>5</v>
      </c>
      <c r="H240">
        <f t="shared" si="77"/>
        <v>0</v>
      </c>
      <c r="I240">
        <f t="shared" si="78"/>
        <v>0</v>
      </c>
      <c r="J240">
        <f t="shared" si="79"/>
        <v>5</v>
      </c>
      <c r="K240">
        <f t="shared" si="80"/>
        <v>5</v>
      </c>
      <c r="L240" t="str">
        <f t="shared" si="81"/>
        <v>Critical</v>
      </c>
      <c r="M240" t="s">
        <v>833</v>
      </c>
      <c r="N240" t="s">
        <v>834</v>
      </c>
      <c r="O240" t="s">
        <v>835</v>
      </c>
      <c r="P240" t="s">
        <v>836</v>
      </c>
      <c r="Q240" t="s">
        <v>837</v>
      </c>
      <c r="R240" t="s">
        <v>838</v>
      </c>
      <c r="S240" t="s">
        <v>2152</v>
      </c>
      <c r="T240">
        <f>'Assessment Questions'!W240</f>
        <v>0</v>
      </c>
      <c r="U240">
        <f>'Assessment Questions'!X240</f>
        <v>0</v>
      </c>
      <c r="V240" t="str">
        <f>'Assessment Questions'!Y240</f>
        <v>Use the recommended action generated by the model; validate with domain owner during real assessment.</v>
      </c>
      <c r="W240">
        <v>5</v>
      </c>
      <c r="X240">
        <v>5</v>
      </c>
      <c r="Y240">
        <v>5</v>
      </c>
      <c r="Z240">
        <f>'Assessment Questions'!AC240</f>
        <v>0</v>
      </c>
      <c r="AB240">
        <f t="shared" si="96"/>
        <v>0</v>
      </c>
      <c r="AC240">
        <f t="shared" si="97"/>
        <v>0</v>
      </c>
      <c r="AD240">
        <f t="shared" si="82"/>
        <v>0</v>
      </c>
      <c r="AE240">
        <f t="shared" si="98"/>
        <v>0</v>
      </c>
      <c r="AF240">
        <f t="shared" si="83"/>
        <v>5</v>
      </c>
      <c r="AG240">
        <f t="shared" si="99"/>
        <v>0</v>
      </c>
      <c r="AH240">
        <f>'Assessment Questions'!AK240</f>
        <v>0</v>
      </c>
      <c r="AI240">
        <f>'Assessment Questions'!AL240</f>
        <v>0</v>
      </c>
      <c r="AJ240">
        <f>IF(OR($H240="",$H240="N/A"),"",IF($AH240="",VLOOKUP('Company Profile'!$B$40,_CONFIG_Model_Settings!$A$5:$B$8,2,FALSE),IFERROR(VLOOKUP($AH240,_CONFIG_Model_Settings!$A$5:$B$8,2,FALSE),0.9)))</f>
        <v>0.9</v>
      </c>
      <c r="AK240">
        <f>IF(OR($H240="",$H240="N/A"),"",IF($AI240="",VLOOKUP('Company Profile'!$B$41,_CONFIG_Model_Settings!$A$5:$B$8,2,FALSE),IFERROR(VLOOKUP($AI240,_CONFIG_Model_Settings!$A$5:$B$8,2,FALSE),0.9)))</f>
        <v>0.9</v>
      </c>
      <c r="AL240">
        <f t="shared" si="84"/>
        <v>0</v>
      </c>
      <c r="AM240">
        <f t="shared" si="85"/>
        <v>0</v>
      </c>
      <c r="AN240">
        <f>IFERROR(MIN(5,MAX(0,(SUMIFS(_REF_Model_Content!$D$1:$D$174,_REF_Model_Content!$A$1:$A$174,PV_Canonical_Industry,_REF_Model_Content!$B$1:$B$174,"Manufacturing MES"))+IFERROR(VLOOKUP('Company Profile'!$B$35,_CONFIG_Model_Settings!$A$11:$B$13,2,0),0))),"")</f>
        <v>0</v>
      </c>
      <c r="AO240">
        <f t="shared" si="86"/>
        <v>0</v>
      </c>
      <c r="AP240">
        <f>IFERROR(SUMIFS(_REF_Model_Content!$E$1:$E$174,_REF_Model_Content!$A$1:$A$174,PV_Canonical_Industry,_REF_Model_Content!$B$1:$B$174,"Manufacturing MES"),1)</f>
        <v>0</v>
      </c>
      <c r="AQ240">
        <f t="shared" si="87"/>
        <v>0</v>
      </c>
      <c r="AR240" t="str">
        <f t="shared" si="88"/>
        <v>Within target</v>
      </c>
      <c r="AS240">
        <f t="shared" si="89"/>
        <v>0</v>
      </c>
      <c r="AT240">
        <f t="shared" si="90"/>
        <v>0.9</v>
      </c>
      <c r="AU240">
        <f>'Assessment Questions'!AX240</f>
        <v>0</v>
      </c>
      <c r="AV240">
        <f t="shared" si="91"/>
        <v>0.9</v>
      </c>
      <c r="AW240" t="s">
        <v>2145</v>
      </c>
      <c r="AX240" t="s">
        <v>2145</v>
      </c>
      <c r="AY240">
        <v>16</v>
      </c>
      <c r="AZ240">
        <v>240</v>
      </c>
    </row>
    <row r="241" spans="1:52">
      <c r="A241" t="s">
        <v>2208</v>
      </c>
      <c r="B241" t="s">
        <v>2166</v>
      </c>
      <c r="C241" t="s">
        <v>2209</v>
      </c>
      <c r="D241" t="s">
        <v>2149</v>
      </c>
      <c r="E241" t="s">
        <v>2150</v>
      </c>
      <c r="F241" t="s">
        <v>2210</v>
      </c>
      <c r="G241">
        <f>'Assessment Questions'!J241</f>
        <v>5</v>
      </c>
      <c r="H241">
        <f t="shared" si="77"/>
        <v>0</v>
      </c>
      <c r="I241">
        <f t="shared" si="78"/>
        <v>0</v>
      </c>
      <c r="J241">
        <f t="shared" si="79"/>
        <v>5</v>
      </c>
      <c r="K241">
        <f t="shared" si="80"/>
        <v>5</v>
      </c>
      <c r="L241" t="str">
        <f t="shared" si="81"/>
        <v>Critical</v>
      </c>
      <c r="M241" t="s">
        <v>833</v>
      </c>
      <c r="N241" t="s">
        <v>834</v>
      </c>
      <c r="O241" t="s">
        <v>835</v>
      </c>
      <c r="P241" t="s">
        <v>836</v>
      </c>
      <c r="Q241" t="s">
        <v>837</v>
      </c>
      <c r="R241" t="s">
        <v>838</v>
      </c>
      <c r="S241" t="s">
        <v>2152</v>
      </c>
      <c r="T241">
        <f>'Assessment Questions'!W241</f>
        <v>0</v>
      </c>
      <c r="U241">
        <f>'Assessment Questions'!X241</f>
        <v>0</v>
      </c>
      <c r="V241" t="str">
        <f>'Assessment Questions'!Y241</f>
        <v>Use the recommended action generated by the model; validate with domain owner during real assessment.</v>
      </c>
      <c r="W241">
        <v>5</v>
      </c>
      <c r="X241">
        <v>5</v>
      </c>
      <c r="Y241">
        <v>5</v>
      </c>
      <c r="Z241">
        <f>'Assessment Questions'!AC241</f>
        <v>0</v>
      </c>
      <c r="AB241">
        <f t="shared" si="96"/>
        <v>0</v>
      </c>
      <c r="AC241">
        <f t="shared" si="97"/>
        <v>0</v>
      </c>
      <c r="AD241">
        <f t="shared" si="82"/>
        <v>0</v>
      </c>
      <c r="AE241">
        <f t="shared" si="98"/>
        <v>0</v>
      </c>
      <c r="AF241">
        <f t="shared" si="83"/>
        <v>5</v>
      </c>
      <c r="AG241">
        <f t="shared" si="99"/>
        <v>0</v>
      </c>
      <c r="AH241">
        <f>'Assessment Questions'!AK241</f>
        <v>0</v>
      </c>
      <c r="AI241">
        <f>'Assessment Questions'!AL241</f>
        <v>0</v>
      </c>
      <c r="AJ241">
        <f>IF(OR($H241="",$H241="N/A"),"",IF($AH241="",VLOOKUP('Company Profile'!$B$40,_CONFIG_Model_Settings!$A$5:$B$8,2,FALSE),IFERROR(VLOOKUP($AH241,_CONFIG_Model_Settings!$A$5:$B$8,2,FALSE),0.9)))</f>
        <v>0.9</v>
      </c>
      <c r="AK241">
        <f>IF(OR($H241="",$H241="N/A"),"",IF($AI241="",VLOOKUP('Company Profile'!$B$41,_CONFIG_Model_Settings!$A$5:$B$8,2,FALSE),IFERROR(VLOOKUP($AI241,_CONFIG_Model_Settings!$A$5:$B$8,2,FALSE),0.9)))</f>
        <v>0.9</v>
      </c>
      <c r="AL241">
        <f t="shared" si="84"/>
        <v>0</v>
      </c>
      <c r="AM241">
        <f t="shared" si="85"/>
        <v>0</v>
      </c>
      <c r="AN241">
        <f>IFERROR(MIN(5,MAX(0,(SUMIFS(_REF_Model_Content!$D$1:$D$174,_REF_Model_Content!$A$1:$A$174,PV_Canonical_Industry,_REF_Model_Content!$B$1:$B$174,"Manufacturing MES"))+IFERROR(VLOOKUP('Company Profile'!$B$35,_CONFIG_Model_Settings!$A$11:$B$13,2,0),0))),"")</f>
        <v>0</v>
      </c>
      <c r="AO241">
        <f t="shared" si="86"/>
        <v>0</v>
      </c>
      <c r="AP241">
        <f>IFERROR(SUMIFS(_REF_Model_Content!$E$1:$E$174,_REF_Model_Content!$A$1:$A$174,PV_Canonical_Industry,_REF_Model_Content!$B$1:$B$174,"Manufacturing MES"),1)</f>
        <v>0</v>
      </c>
      <c r="AQ241">
        <f t="shared" si="87"/>
        <v>0</v>
      </c>
      <c r="AR241" t="str">
        <f t="shared" si="88"/>
        <v>Within target</v>
      </c>
      <c r="AS241">
        <f t="shared" si="89"/>
        <v>0</v>
      </c>
      <c r="AT241">
        <f t="shared" si="90"/>
        <v>0.9</v>
      </c>
      <c r="AU241">
        <f>'Assessment Questions'!AX241</f>
        <v>0</v>
      </c>
      <c r="AV241">
        <f t="shared" si="91"/>
        <v>0.9</v>
      </c>
      <c r="AW241" t="s">
        <v>2145</v>
      </c>
      <c r="AX241" t="s">
        <v>2145</v>
      </c>
      <c r="AY241">
        <v>17</v>
      </c>
      <c r="AZ241">
        <v>241</v>
      </c>
    </row>
    <row r="242" spans="1:52">
      <c r="A242" t="s">
        <v>2211</v>
      </c>
      <c r="B242" t="s">
        <v>2166</v>
      </c>
      <c r="C242" t="s">
        <v>2212</v>
      </c>
      <c r="D242" t="s">
        <v>2149</v>
      </c>
      <c r="E242" t="s">
        <v>2150</v>
      </c>
      <c r="F242" t="s">
        <v>2213</v>
      </c>
      <c r="G242">
        <f>'Assessment Questions'!J242</f>
        <v>5</v>
      </c>
      <c r="H242">
        <f t="shared" si="77"/>
        <v>0</v>
      </c>
      <c r="I242">
        <f t="shared" si="78"/>
        <v>0</v>
      </c>
      <c r="J242">
        <f t="shared" si="79"/>
        <v>5</v>
      </c>
      <c r="K242">
        <f t="shared" si="80"/>
        <v>5</v>
      </c>
      <c r="L242" t="str">
        <f t="shared" si="81"/>
        <v>Critical</v>
      </c>
      <c r="M242" t="s">
        <v>833</v>
      </c>
      <c r="N242" t="s">
        <v>834</v>
      </c>
      <c r="O242" t="s">
        <v>835</v>
      </c>
      <c r="P242" t="s">
        <v>836</v>
      </c>
      <c r="Q242" t="s">
        <v>837</v>
      </c>
      <c r="R242" t="s">
        <v>838</v>
      </c>
      <c r="S242" t="s">
        <v>2152</v>
      </c>
      <c r="T242">
        <f>'Assessment Questions'!W242</f>
        <v>0</v>
      </c>
      <c r="U242">
        <f>'Assessment Questions'!X242</f>
        <v>0</v>
      </c>
      <c r="V242" t="str">
        <f>'Assessment Questions'!Y242</f>
        <v>Use the recommended action generated by the model; validate with domain owner during real assessment.</v>
      </c>
      <c r="W242">
        <v>5</v>
      </c>
      <c r="X242">
        <v>5</v>
      </c>
      <c r="Y242">
        <v>5</v>
      </c>
      <c r="Z242">
        <f>'Assessment Questions'!AC242</f>
        <v>0</v>
      </c>
      <c r="AB242">
        <f t="shared" si="96"/>
        <v>0</v>
      </c>
      <c r="AC242">
        <f t="shared" si="97"/>
        <v>0</v>
      </c>
      <c r="AD242">
        <f t="shared" si="82"/>
        <v>0</v>
      </c>
      <c r="AE242">
        <f t="shared" si="98"/>
        <v>0</v>
      </c>
      <c r="AF242">
        <f t="shared" si="83"/>
        <v>5</v>
      </c>
      <c r="AG242">
        <f t="shared" si="99"/>
        <v>0</v>
      </c>
      <c r="AH242">
        <f>'Assessment Questions'!AK242</f>
        <v>0</v>
      </c>
      <c r="AI242">
        <f>'Assessment Questions'!AL242</f>
        <v>0</v>
      </c>
      <c r="AJ242">
        <f>IF(OR($H242="",$H242="N/A"),"",IF($AH242="",VLOOKUP('Company Profile'!$B$40,_CONFIG_Model_Settings!$A$5:$B$8,2,FALSE),IFERROR(VLOOKUP($AH242,_CONFIG_Model_Settings!$A$5:$B$8,2,FALSE),0.9)))</f>
        <v>0.9</v>
      </c>
      <c r="AK242">
        <f>IF(OR($H242="",$H242="N/A"),"",IF($AI242="",VLOOKUP('Company Profile'!$B$41,_CONFIG_Model_Settings!$A$5:$B$8,2,FALSE),IFERROR(VLOOKUP($AI242,_CONFIG_Model_Settings!$A$5:$B$8,2,FALSE),0.9)))</f>
        <v>0.9</v>
      </c>
      <c r="AL242">
        <f t="shared" si="84"/>
        <v>0</v>
      </c>
      <c r="AM242">
        <f t="shared" si="85"/>
        <v>0</v>
      </c>
      <c r="AN242">
        <f>IFERROR(MIN(5,MAX(0,(SUMIFS(_REF_Model_Content!$D$1:$D$174,_REF_Model_Content!$A$1:$A$174,PV_Canonical_Industry,_REF_Model_Content!$B$1:$B$174,"Manufacturing MES"))+IFERROR(VLOOKUP('Company Profile'!$B$35,_CONFIG_Model_Settings!$A$11:$B$13,2,0),0))),"")</f>
        <v>0</v>
      </c>
      <c r="AO242">
        <f t="shared" si="86"/>
        <v>0</v>
      </c>
      <c r="AP242">
        <f>IFERROR(SUMIFS(_REF_Model_Content!$E$1:$E$174,_REF_Model_Content!$A$1:$A$174,PV_Canonical_Industry,_REF_Model_Content!$B$1:$B$174,"Manufacturing MES"),1)</f>
        <v>0</v>
      </c>
      <c r="AQ242">
        <f t="shared" si="87"/>
        <v>0</v>
      </c>
      <c r="AR242" t="str">
        <f t="shared" si="88"/>
        <v>Within target</v>
      </c>
      <c r="AS242">
        <f t="shared" si="89"/>
        <v>0</v>
      </c>
      <c r="AT242">
        <f t="shared" si="90"/>
        <v>0.9</v>
      </c>
      <c r="AU242">
        <f>'Assessment Questions'!AX242</f>
        <v>0</v>
      </c>
      <c r="AV242">
        <f t="shared" si="91"/>
        <v>0.9</v>
      </c>
      <c r="AW242" t="s">
        <v>2145</v>
      </c>
      <c r="AX242" t="s">
        <v>2145</v>
      </c>
      <c r="AY242">
        <v>18</v>
      </c>
      <c r="AZ242">
        <v>242</v>
      </c>
    </row>
    <row r="243" spans="1:52">
      <c r="A243" t="s">
        <v>2214</v>
      </c>
      <c r="B243" t="s">
        <v>2166</v>
      </c>
      <c r="C243" t="s">
        <v>2215</v>
      </c>
      <c r="D243" t="s">
        <v>2149</v>
      </c>
      <c r="E243" t="s">
        <v>2150</v>
      </c>
      <c r="F243" t="s">
        <v>2216</v>
      </c>
      <c r="G243">
        <f>'Assessment Questions'!J243</f>
        <v>5</v>
      </c>
      <c r="H243">
        <f t="shared" si="77"/>
        <v>0</v>
      </c>
      <c r="I243">
        <f t="shared" si="78"/>
        <v>0</v>
      </c>
      <c r="J243">
        <f t="shared" si="79"/>
        <v>5</v>
      </c>
      <c r="K243">
        <f t="shared" si="80"/>
        <v>5</v>
      </c>
      <c r="L243" t="str">
        <f t="shared" si="81"/>
        <v>Critical</v>
      </c>
      <c r="M243" t="s">
        <v>833</v>
      </c>
      <c r="N243" t="s">
        <v>834</v>
      </c>
      <c r="O243" t="s">
        <v>835</v>
      </c>
      <c r="P243" t="s">
        <v>836</v>
      </c>
      <c r="Q243" t="s">
        <v>837</v>
      </c>
      <c r="R243" t="s">
        <v>838</v>
      </c>
      <c r="S243" t="s">
        <v>2152</v>
      </c>
      <c r="T243">
        <f>'Assessment Questions'!W243</f>
        <v>0</v>
      </c>
      <c r="U243">
        <f>'Assessment Questions'!X243</f>
        <v>0</v>
      </c>
      <c r="V243" t="str">
        <f>'Assessment Questions'!Y243</f>
        <v>Use the recommended action generated by the model; validate with domain owner during real assessment.</v>
      </c>
      <c r="W243">
        <v>5</v>
      </c>
      <c r="X243">
        <v>5</v>
      </c>
      <c r="Y243">
        <v>5</v>
      </c>
      <c r="Z243">
        <f>'Assessment Questions'!AC243</f>
        <v>0</v>
      </c>
      <c r="AB243">
        <f t="shared" si="96"/>
        <v>0</v>
      </c>
      <c r="AC243">
        <f t="shared" si="97"/>
        <v>0</v>
      </c>
      <c r="AD243">
        <f t="shared" si="82"/>
        <v>0</v>
      </c>
      <c r="AE243">
        <f t="shared" si="98"/>
        <v>0</v>
      </c>
      <c r="AF243">
        <f t="shared" si="83"/>
        <v>5</v>
      </c>
      <c r="AG243">
        <f t="shared" si="99"/>
        <v>0</v>
      </c>
      <c r="AH243">
        <f>'Assessment Questions'!AK243</f>
        <v>0</v>
      </c>
      <c r="AI243">
        <f>'Assessment Questions'!AL243</f>
        <v>0</v>
      </c>
      <c r="AJ243">
        <f>IF(OR($H243="",$H243="N/A"),"",IF($AH243="",VLOOKUP('Company Profile'!$B$40,_CONFIG_Model_Settings!$A$5:$B$8,2,FALSE),IFERROR(VLOOKUP($AH243,_CONFIG_Model_Settings!$A$5:$B$8,2,FALSE),0.9)))</f>
        <v>0.9</v>
      </c>
      <c r="AK243">
        <f>IF(OR($H243="",$H243="N/A"),"",IF($AI243="",VLOOKUP('Company Profile'!$B$41,_CONFIG_Model_Settings!$A$5:$B$8,2,FALSE),IFERROR(VLOOKUP($AI243,_CONFIG_Model_Settings!$A$5:$B$8,2,FALSE),0.9)))</f>
        <v>0.9</v>
      </c>
      <c r="AL243">
        <f t="shared" si="84"/>
        <v>0</v>
      </c>
      <c r="AM243">
        <f t="shared" si="85"/>
        <v>0</v>
      </c>
      <c r="AN243">
        <f>IFERROR(MIN(5,MAX(0,(SUMIFS(_REF_Model_Content!$D$1:$D$174,_REF_Model_Content!$A$1:$A$174,PV_Canonical_Industry,_REF_Model_Content!$B$1:$B$174,"Manufacturing MES"))+IFERROR(VLOOKUP('Company Profile'!$B$35,_CONFIG_Model_Settings!$A$11:$B$13,2,0),0))),"")</f>
        <v>0</v>
      </c>
      <c r="AO243">
        <f t="shared" si="86"/>
        <v>0</v>
      </c>
      <c r="AP243">
        <f>IFERROR(SUMIFS(_REF_Model_Content!$E$1:$E$174,_REF_Model_Content!$A$1:$A$174,PV_Canonical_Industry,_REF_Model_Content!$B$1:$B$174,"Manufacturing MES"),1)</f>
        <v>0</v>
      </c>
      <c r="AQ243">
        <f t="shared" si="87"/>
        <v>0</v>
      </c>
      <c r="AR243" t="str">
        <f t="shared" si="88"/>
        <v>Within target</v>
      </c>
      <c r="AS243">
        <f t="shared" si="89"/>
        <v>0</v>
      </c>
      <c r="AT243">
        <f t="shared" si="90"/>
        <v>0.9</v>
      </c>
      <c r="AU243">
        <f>'Assessment Questions'!AX243</f>
        <v>0</v>
      </c>
      <c r="AV243">
        <f t="shared" si="91"/>
        <v>0.9</v>
      </c>
      <c r="AW243" t="s">
        <v>2145</v>
      </c>
      <c r="AX243" t="s">
        <v>2145</v>
      </c>
      <c r="AY243">
        <v>19</v>
      </c>
      <c r="AZ243">
        <v>243</v>
      </c>
    </row>
    <row r="244" spans="1:52">
      <c r="A244" t="s">
        <v>2217</v>
      </c>
      <c r="B244" t="s">
        <v>2166</v>
      </c>
      <c r="C244" t="s">
        <v>2218</v>
      </c>
      <c r="D244" t="s">
        <v>2149</v>
      </c>
      <c r="E244" t="s">
        <v>2150</v>
      </c>
      <c r="F244" t="s">
        <v>2219</v>
      </c>
      <c r="G244">
        <f>'Assessment Questions'!J244</f>
        <v>3</v>
      </c>
      <c r="H244">
        <f t="shared" si="77"/>
        <v>0</v>
      </c>
      <c r="I244">
        <f t="shared" si="78"/>
        <v>0</v>
      </c>
      <c r="J244">
        <f t="shared" si="79"/>
        <v>3</v>
      </c>
      <c r="K244">
        <f t="shared" si="80"/>
        <v>3</v>
      </c>
      <c r="L244" t="str">
        <f t="shared" si="81"/>
        <v>Critical</v>
      </c>
      <c r="M244" t="s">
        <v>2220</v>
      </c>
      <c r="N244" t="s">
        <v>2221</v>
      </c>
      <c r="O244" t="s">
        <v>2222</v>
      </c>
      <c r="P244" t="s">
        <v>2223</v>
      </c>
      <c r="Q244" t="s">
        <v>2224</v>
      </c>
      <c r="R244" t="s">
        <v>2225</v>
      </c>
      <c r="S244" t="s">
        <v>2152</v>
      </c>
      <c r="T244">
        <f>'Assessment Questions'!W244</f>
        <v>0</v>
      </c>
      <c r="U244">
        <f>'Assessment Questions'!X244</f>
        <v>0</v>
      </c>
      <c r="V244" t="str">
        <f>'Assessment Questions'!Y244</f>
        <v>Use the recommended action generated by the model; validate with domain owner during real assessment.</v>
      </c>
      <c r="W244">
        <v>5</v>
      </c>
      <c r="X244">
        <v>5</v>
      </c>
      <c r="Y244">
        <v>5</v>
      </c>
      <c r="Z244">
        <f>'Assessment Questions'!AC244</f>
        <v>0</v>
      </c>
      <c r="AB244">
        <f t="shared" si="96"/>
        <v>0</v>
      </c>
      <c r="AC244">
        <f t="shared" si="97"/>
        <v>0</v>
      </c>
      <c r="AD244">
        <f t="shared" si="82"/>
        <v>0</v>
      </c>
      <c r="AE244">
        <f t="shared" si="98"/>
        <v>0</v>
      </c>
      <c r="AF244">
        <f t="shared" si="83"/>
        <v>5</v>
      </c>
      <c r="AG244">
        <f t="shared" si="99"/>
        <v>0</v>
      </c>
      <c r="AH244">
        <f>'Assessment Questions'!AK244</f>
        <v>0</v>
      </c>
      <c r="AI244">
        <f>'Assessment Questions'!AL244</f>
        <v>0</v>
      </c>
      <c r="AJ244">
        <f>IF(OR($H244="",$H244="N/A"),"",IF($AH244="",VLOOKUP('Company Profile'!$B$40,_CONFIG_Model_Settings!$A$5:$B$8,2,FALSE),IFERROR(VLOOKUP($AH244,_CONFIG_Model_Settings!$A$5:$B$8,2,FALSE),0.9)))</f>
        <v>0.9</v>
      </c>
      <c r="AK244">
        <f>IF(OR($H244="",$H244="N/A"),"",IF($AI244="",VLOOKUP('Company Profile'!$B$41,_CONFIG_Model_Settings!$A$5:$B$8,2,FALSE),IFERROR(VLOOKUP($AI244,_CONFIG_Model_Settings!$A$5:$B$8,2,FALSE),0.9)))</f>
        <v>0.9</v>
      </c>
      <c r="AL244">
        <f t="shared" si="84"/>
        <v>0</v>
      </c>
      <c r="AM244">
        <f t="shared" si="85"/>
        <v>0</v>
      </c>
      <c r="AN244">
        <f>IFERROR(MIN(5,MAX(0,(SUMIFS(_REF_Model_Content!$D$1:$D$174,_REF_Model_Content!$A$1:$A$174,PV_Canonical_Industry,_REF_Model_Content!$B$1:$B$174,"Manufacturing MES"))+IFERROR(VLOOKUP('Company Profile'!$B$35,_CONFIG_Model_Settings!$A$11:$B$13,2,0),0))),"")</f>
        <v>0</v>
      </c>
      <c r="AO244">
        <f t="shared" si="86"/>
        <v>0</v>
      </c>
      <c r="AP244">
        <f>IFERROR(SUMIFS(_REF_Model_Content!$E$1:$E$174,_REF_Model_Content!$A$1:$A$174,PV_Canonical_Industry,_REF_Model_Content!$B$1:$B$174,"Manufacturing MES"),1)</f>
        <v>0</v>
      </c>
      <c r="AQ244">
        <f t="shared" si="87"/>
        <v>0</v>
      </c>
      <c r="AR244" t="str">
        <f t="shared" si="88"/>
        <v>Within target</v>
      </c>
      <c r="AS244">
        <f t="shared" si="89"/>
        <v>0</v>
      </c>
      <c r="AT244">
        <f t="shared" si="90"/>
        <v>0.9</v>
      </c>
      <c r="AU244">
        <f>'Assessment Questions'!AX244</f>
        <v>0</v>
      </c>
      <c r="AV244">
        <f t="shared" si="91"/>
        <v>0.9</v>
      </c>
      <c r="AW244" t="s">
        <v>2145</v>
      </c>
      <c r="AX244" t="s">
        <v>2145</v>
      </c>
      <c r="AY244">
        <v>20</v>
      </c>
      <c r="AZ244">
        <v>244</v>
      </c>
    </row>
    <row r="245" spans="1:52">
      <c r="A245" t="s">
        <v>2226</v>
      </c>
      <c r="B245" t="s">
        <v>2166</v>
      </c>
      <c r="C245" t="s">
        <v>2227</v>
      </c>
      <c r="D245" t="s">
        <v>2149</v>
      </c>
      <c r="E245" t="s">
        <v>2150</v>
      </c>
      <c r="F245" t="s">
        <v>2228</v>
      </c>
      <c r="G245">
        <f>'Assessment Questions'!J245</f>
        <v>5</v>
      </c>
      <c r="H245">
        <f t="shared" si="77"/>
        <v>0</v>
      </c>
      <c r="I245">
        <f t="shared" si="78"/>
        <v>0</v>
      </c>
      <c r="J245">
        <f t="shared" si="79"/>
        <v>5</v>
      </c>
      <c r="K245">
        <f t="shared" si="80"/>
        <v>5</v>
      </c>
      <c r="L245" t="str">
        <f t="shared" si="81"/>
        <v>Critical</v>
      </c>
      <c r="M245" t="s">
        <v>833</v>
      </c>
      <c r="N245" t="s">
        <v>834</v>
      </c>
      <c r="O245" t="s">
        <v>835</v>
      </c>
      <c r="P245" t="s">
        <v>836</v>
      </c>
      <c r="Q245" t="s">
        <v>837</v>
      </c>
      <c r="R245" t="s">
        <v>838</v>
      </c>
      <c r="S245" t="s">
        <v>2152</v>
      </c>
      <c r="T245">
        <f>'Assessment Questions'!W245</f>
        <v>0</v>
      </c>
      <c r="U245">
        <f>'Assessment Questions'!X245</f>
        <v>0</v>
      </c>
      <c r="V245" t="str">
        <f>'Assessment Questions'!Y245</f>
        <v>Use the recommended action generated by the model; validate with domain owner during real assessment.</v>
      </c>
      <c r="W245">
        <v>5</v>
      </c>
      <c r="X245">
        <v>5</v>
      </c>
      <c r="Y245">
        <v>5</v>
      </c>
      <c r="Z245">
        <f>'Assessment Questions'!AC245</f>
        <v>0</v>
      </c>
      <c r="AB245">
        <f t="shared" si="96"/>
        <v>0</v>
      </c>
      <c r="AC245">
        <f t="shared" si="97"/>
        <v>0</v>
      </c>
      <c r="AD245">
        <f t="shared" si="82"/>
        <v>0</v>
      </c>
      <c r="AE245">
        <f t="shared" si="98"/>
        <v>0</v>
      </c>
      <c r="AF245">
        <f t="shared" si="83"/>
        <v>5</v>
      </c>
      <c r="AG245">
        <f t="shared" si="99"/>
        <v>0</v>
      </c>
      <c r="AH245">
        <f>'Assessment Questions'!AK245</f>
        <v>0</v>
      </c>
      <c r="AI245">
        <f>'Assessment Questions'!AL245</f>
        <v>0</v>
      </c>
      <c r="AJ245">
        <f>IF(OR($H245="",$H245="N/A"),"",IF($AH245="",VLOOKUP('Company Profile'!$B$40,_CONFIG_Model_Settings!$A$5:$B$8,2,FALSE),IFERROR(VLOOKUP($AH245,_CONFIG_Model_Settings!$A$5:$B$8,2,FALSE),0.9)))</f>
        <v>0.9</v>
      </c>
      <c r="AK245">
        <f>IF(OR($H245="",$H245="N/A"),"",IF($AI245="",VLOOKUP('Company Profile'!$B$41,_CONFIG_Model_Settings!$A$5:$B$8,2,FALSE),IFERROR(VLOOKUP($AI245,_CONFIG_Model_Settings!$A$5:$B$8,2,FALSE),0.9)))</f>
        <v>0.9</v>
      </c>
      <c r="AL245">
        <f t="shared" si="84"/>
        <v>0</v>
      </c>
      <c r="AM245">
        <f t="shared" si="85"/>
        <v>0</v>
      </c>
      <c r="AN245">
        <f>IFERROR(MIN(5,MAX(0,(SUMIFS(_REF_Model_Content!$D$1:$D$174,_REF_Model_Content!$A$1:$A$174,PV_Canonical_Industry,_REF_Model_Content!$B$1:$B$174,"Manufacturing MES"))+IFERROR(VLOOKUP('Company Profile'!$B$35,_CONFIG_Model_Settings!$A$11:$B$13,2,0),0))),"")</f>
        <v>0</v>
      </c>
      <c r="AO245">
        <f t="shared" si="86"/>
        <v>0</v>
      </c>
      <c r="AP245">
        <f>IFERROR(SUMIFS(_REF_Model_Content!$E$1:$E$174,_REF_Model_Content!$A$1:$A$174,PV_Canonical_Industry,_REF_Model_Content!$B$1:$B$174,"Manufacturing MES"),1)</f>
        <v>0</v>
      </c>
      <c r="AQ245">
        <f t="shared" si="87"/>
        <v>0</v>
      </c>
      <c r="AR245" t="str">
        <f t="shared" si="88"/>
        <v>Within target</v>
      </c>
      <c r="AS245">
        <f t="shared" si="89"/>
        <v>0</v>
      </c>
      <c r="AT245">
        <f t="shared" si="90"/>
        <v>0.9</v>
      </c>
      <c r="AU245">
        <f>'Assessment Questions'!AX245</f>
        <v>0</v>
      </c>
      <c r="AV245">
        <f t="shared" si="91"/>
        <v>0.9</v>
      </c>
      <c r="AW245" t="s">
        <v>2145</v>
      </c>
      <c r="AX245" t="s">
        <v>2145</v>
      </c>
      <c r="AY245">
        <v>21</v>
      </c>
      <c r="AZ245">
        <v>245</v>
      </c>
    </row>
    <row r="246" spans="1:52">
      <c r="A246" t="s">
        <v>2229</v>
      </c>
      <c r="B246" t="s">
        <v>2166</v>
      </c>
      <c r="C246" t="s">
        <v>2230</v>
      </c>
      <c r="D246" t="s">
        <v>2149</v>
      </c>
      <c r="E246" t="s">
        <v>2150</v>
      </c>
      <c r="F246" t="s">
        <v>2231</v>
      </c>
      <c r="G246">
        <f>'Assessment Questions'!J246</f>
        <v>5</v>
      </c>
      <c r="H246">
        <f t="shared" si="77"/>
        <v>0</v>
      </c>
      <c r="I246">
        <f t="shared" si="78"/>
        <v>0</v>
      </c>
      <c r="J246">
        <f t="shared" si="79"/>
        <v>5</v>
      </c>
      <c r="K246">
        <f t="shared" si="80"/>
        <v>5</v>
      </c>
      <c r="L246" t="str">
        <f t="shared" si="81"/>
        <v>Critical</v>
      </c>
      <c r="M246" t="s">
        <v>833</v>
      </c>
      <c r="N246" t="s">
        <v>834</v>
      </c>
      <c r="O246" t="s">
        <v>835</v>
      </c>
      <c r="P246" t="s">
        <v>836</v>
      </c>
      <c r="Q246" t="s">
        <v>837</v>
      </c>
      <c r="R246" t="s">
        <v>838</v>
      </c>
      <c r="S246" t="s">
        <v>2152</v>
      </c>
      <c r="T246">
        <f>'Assessment Questions'!W246</f>
        <v>0</v>
      </c>
      <c r="U246">
        <f>'Assessment Questions'!X246</f>
        <v>0</v>
      </c>
      <c r="V246" t="str">
        <f>'Assessment Questions'!Y246</f>
        <v>Use the recommended action generated by the model; validate with domain owner during real assessment.</v>
      </c>
      <c r="W246">
        <v>5</v>
      </c>
      <c r="X246">
        <v>5</v>
      </c>
      <c r="Y246">
        <v>5</v>
      </c>
      <c r="Z246">
        <f>'Assessment Questions'!AC246</f>
        <v>0</v>
      </c>
      <c r="AB246">
        <f t="shared" si="96"/>
        <v>0</v>
      </c>
      <c r="AC246">
        <f t="shared" si="97"/>
        <v>0</v>
      </c>
      <c r="AD246">
        <f t="shared" si="82"/>
        <v>0</v>
      </c>
      <c r="AE246">
        <f t="shared" si="98"/>
        <v>0</v>
      </c>
      <c r="AF246">
        <f t="shared" si="83"/>
        <v>5</v>
      </c>
      <c r="AG246">
        <f t="shared" si="99"/>
        <v>0</v>
      </c>
      <c r="AH246">
        <f>'Assessment Questions'!AK246</f>
        <v>0</v>
      </c>
      <c r="AI246">
        <f>'Assessment Questions'!AL246</f>
        <v>0</v>
      </c>
      <c r="AJ246">
        <f>IF(OR($H246="",$H246="N/A"),"",IF($AH246="",VLOOKUP('Company Profile'!$B$40,_CONFIG_Model_Settings!$A$5:$B$8,2,FALSE),IFERROR(VLOOKUP($AH246,_CONFIG_Model_Settings!$A$5:$B$8,2,FALSE),0.9)))</f>
        <v>0.9</v>
      </c>
      <c r="AK246">
        <f>IF(OR($H246="",$H246="N/A"),"",IF($AI246="",VLOOKUP('Company Profile'!$B$41,_CONFIG_Model_Settings!$A$5:$B$8,2,FALSE),IFERROR(VLOOKUP($AI246,_CONFIG_Model_Settings!$A$5:$B$8,2,FALSE),0.9)))</f>
        <v>0.9</v>
      </c>
      <c r="AL246">
        <f t="shared" si="84"/>
        <v>0</v>
      </c>
      <c r="AM246">
        <f t="shared" si="85"/>
        <v>0</v>
      </c>
      <c r="AN246">
        <f>IFERROR(MIN(5,MAX(0,(SUMIFS(_REF_Model_Content!$D$1:$D$174,_REF_Model_Content!$A$1:$A$174,PV_Canonical_Industry,_REF_Model_Content!$B$1:$B$174,"Manufacturing MES"))+IFERROR(VLOOKUP('Company Profile'!$B$35,_CONFIG_Model_Settings!$A$11:$B$13,2,0),0))),"")</f>
        <v>0</v>
      </c>
      <c r="AO246">
        <f t="shared" si="86"/>
        <v>0</v>
      </c>
      <c r="AP246">
        <f>IFERROR(SUMIFS(_REF_Model_Content!$E$1:$E$174,_REF_Model_Content!$A$1:$A$174,PV_Canonical_Industry,_REF_Model_Content!$B$1:$B$174,"Manufacturing MES"),1)</f>
        <v>0</v>
      </c>
      <c r="AQ246">
        <f t="shared" si="87"/>
        <v>0</v>
      </c>
      <c r="AR246" t="str">
        <f t="shared" si="88"/>
        <v>Within target</v>
      </c>
      <c r="AS246">
        <f t="shared" si="89"/>
        <v>0</v>
      </c>
      <c r="AT246">
        <f t="shared" si="90"/>
        <v>0.9</v>
      </c>
      <c r="AU246">
        <f>'Assessment Questions'!AX246</f>
        <v>0</v>
      </c>
      <c r="AV246">
        <f t="shared" si="91"/>
        <v>0.9</v>
      </c>
      <c r="AW246" t="s">
        <v>2145</v>
      </c>
      <c r="AX246" t="s">
        <v>2145</v>
      </c>
      <c r="AY246">
        <v>22</v>
      </c>
      <c r="AZ246">
        <v>246</v>
      </c>
    </row>
    <row r="247" spans="1:52">
      <c r="A247" t="s">
        <v>2232</v>
      </c>
      <c r="B247" t="s">
        <v>2170</v>
      </c>
      <c r="C247" t="s">
        <v>2233</v>
      </c>
      <c r="D247" t="s">
        <v>2149</v>
      </c>
      <c r="E247" t="s">
        <v>2150</v>
      </c>
      <c r="F247" t="s">
        <v>2234</v>
      </c>
      <c r="G247">
        <f>'Assessment Questions'!J247</f>
        <v>5</v>
      </c>
      <c r="H247">
        <f t="shared" si="77"/>
        <v>0</v>
      </c>
      <c r="I247">
        <f t="shared" si="78"/>
        <v>0</v>
      </c>
      <c r="J247">
        <f t="shared" si="79"/>
        <v>5</v>
      </c>
      <c r="K247">
        <f t="shared" si="80"/>
        <v>5</v>
      </c>
      <c r="L247" t="str">
        <f t="shared" si="81"/>
        <v>Critical</v>
      </c>
      <c r="M247" t="s">
        <v>833</v>
      </c>
      <c r="N247" t="s">
        <v>834</v>
      </c>
      <c r="O247" t="s">
        <v>835</v>
      </c>
      <c r="P247" t="s">
        <v>836</v>
      </c>
      <c r="Q247" t="s">
        <v>837</v>
      </c>
      <c r="R247" t="s">
        <v>838</v>
      </c>
      <c r="S247" t="s">
        <v>2152</v>
      </c>
      <c r="T247">
        <f>'Assessment Questions'!W247</f>
        <v>0</v>
      </c>
      <c r="U247">
        <f>'Assessment Questions'!X247</f>
        <v>0</v>
      </c>
      <c r="V247" t="str">
        <f>'Assessment Questions'!Y247</f>
        <v>Use the recommended action generated by the model; validate with domain owner during real assessment.</v>
      </c>
      <c r="W247">
        <v>5</v>
      </c>
      <c r="X247">
        <v>5</v>
      </c>
      <c r="Y247">
        <v>5</v>
      </c>
      <c r="Z247">
        <f>'Assessment Questions'!AC247</f>
        <v>0</v>
      </c>
      <c r="AB247">
        <f t="shared" si="96"/>
        <v>0</v>
      </c>
      <c r="AC247">
        <f t="shared" si="97"/>
        <v>0</v>
      </c>
      <c r="AD247">
        <f t="shared" si="82"/>
        <v>0</v>
      </c>
      <c r="AE247">
        <f t="shared" si="98"/>
        <v>0</v>
      </c>
      <c r="AF247">
        <f t="shared" si="83"/>
        <v>5</v>
      </c>
      <c r="AG247">
        <f t="shared" si="99"/>
        <v>0</v>
      </c>
      <c r="AH247">
        <f>'Assessment Questions'!AK247</f>
        <v>0</v>
      </c>
      <c r="AI247">
        <f>'Assessment Questions'!AL247</f>
        <v>0</v>
      </c>
      <c r="AJ247">
        <f>IF(OR($H247="",$H247="N/A"),"",IF($AH247="",VLOOKUP('Company Profile'!$B$40,_CONFIG_Model_Settings!$A$5:$B$8,2,FALSE),IFERROR(VLOOKUP($AH247,_CONFIG_Model_Settings!$A$5:$B$8,2,FALSE),0.9)))</f>
        <v>0.9</v>
      </c>
      <c r="AK247">
        <f>IF(OR($H247="",$H247="N/A"),"",IF($AI247="",VLOOKUP('Company Profile'!$B$41,_CONFIG_Model_Settings!$A$5:$B$8,2,FALSE),IFERROR(VLOOKUP($AI247,_CONFIG_Model_Settings!$A$5:$B$8,2,FALSE),0.9)))</f>
        <v>0.9</v>
      </c>
      <c r="AL247">
        <f t="shared" si="84"/>
        <v>0</v>
      </c>
      <c r="AM247">
        <f t="shared" si="85"/>
        <v>0</v>
      </c>
      <c r="AN247">
        <f>IFERROR(MIN(5,MAX(0,(SUMIFS(_REF_Model_Content!$D$1:$D$174,_REF_Model_Content!$A$1:$A$174,PV_Canonical_Industry,_REF_Model_Content!$B$1:$B$174,"Manufacturing MES"))+IFERROR(VLOOKUP('Company Profile'!$B$35,_CONFIG_Model_Settings!$A$11:$B$13,2,0),0))),"")</f>
        <v>0</v>
      </c>
      <c r="AO247">
        <f t="shared" si="86"/>
        <v>0</v>
      </c>
      <c r="AP247">
        <f>IFERROR(SUMIFS(_REF_Model_Content!$E$1:$E$174,_REF_Model_Content!$A$1:$A$174,PV_Canonical_Industry,_REF_Model_Content!$B$1:$B$174,"Manufacturing MES"),1)</f>
        <v>0</v>
      </c>
      <c r="AQ247">
        <f t="shared" si="87"/>
        <v>0</v>
      </c>
      <c r="AR247" t="str">
        <f t="shared" si="88"/>
        <v>Within target</v>
      </c>
      <c r="AS247">
        <f t="shared" si="89"/>
        <v>0</v>
      </c>
      <c r="AT247">
        <f t="shared" si="90"/>
        <v>0.9</v>
      </c>
      <c r="AU247">
        <f>'Assessment Questions'!AX247</f>
        <v>0</v>
      </c>
      <c r="AV247">
        <f t="shared" si="91"/>
        <v>0.9</v>
      </c>
      <c r="AW247" t="s">
        <v>2145</v>
      </c>
      <c r="AX247" t="s">
        <v>2145</v>
      </c>
      <c r="AY247">
        <v>23</v>
      </c>
      <c r="AZ247">
        <v>247</v>
      </c>
    </row>
    <row r="248" spans="1:52">
      <c r="A248" t="s">
        <v>2235</v>
      </c>
      <c r="B248" t="s">
        <v>2170</v>
      </c>
      <c r="C248" t="s">
        <v>2236</v>
      </c>
      <c r="D248" t="s">
        <v>2149</v>
      </c>
      <c r="E248" t="s">
        <v>2150</v>
      </c>
      <c r="F248" t="s">
        <v>2237</v>
      </c>
      <c r="G248">
        <f>'Assessment Questions'!J248</f>
        <v>3</v>
      </c>
      <c r="H248">
        <f t="shared" si="77"/>
        <v>0</v>
      </c>
      <c r="I248">
        <f t="shared" si="78"/>
        <v>0</v>
      </c>
      <c r="J248">
        <f t="shared" si="79"/>
        <v>3</v>
      </c>
      <c r="K248">
        <f t="shared" si="80"/>
        <v>3</v>
      </c>
      <c r="L248" t="str">
        <f t="shared" si="81"/>
        <v>Critical</v>
      </c>
      <c r="M248" t="s">
        <v>2238</v>
      </c>
      <c r="N248" t="s">
        <v>2239</v>
      </c>
      <c r="O248" t="s">
        <v>2240</v>
      </c>
      <c r="P248" t="s">
        <v>2241</v>
      </c>
      <c r="Q248" t="s">
        <v>2242</v>
      </c>
      <c r="R248" t="s">
        <v>2243</v>
      </c>
      <c r="S248" t="s">
        <v>2152</v>
      </c>
      <c r="T248">
        <f>'Assessment Questions'!W248</f>
        <v>0</v>
      </c>
      <c r="U248">
        <f>'Assessment Questions'!X248</f>
        <v>0</v>
      </c>
      <c r="V248" t="str">
        <f>'Assessment Questions'!Y248</f>
        <v>Use the recommended action generated by the model; validate with domain owner during real assessment.</v>
      </c>
      <c r="W248">
        <v>5</v>
      </c>
      <c r="X248">
        <v>5</v>
      </c>
      <c r="Y248">
        <v>5</v>
      </c>
      <c r="Z248">
        <f>'Assessment Questions'!AC248</f>
        <v>0</v>
      </c>
      <c r="AB248">
        <f t="shared" si="96"/>
        <v>0</v>
      </c>
      <c r="AC248">
        <f t="shared" si="97"/>
        <v>0</v>
      </c>
      <c r="AD248">
        <f t="shared" si="82"/>
        <v>0</v>
      </c>
      <c r="AE248">
        <f t="shared" si="98"/>
        <v>0</v>
      </c>
      <c r="AF248">
        <f t="shared" si="83"/>
        <v>5</v>
      </c>
      <c r="AG248">
        <f t="shared" si="99"/>
        <v>0</v>
      </c>
      <c r="AH248">
        <f>'Assessment Questions'!AK248</f>
        <v>0</v>
      </c>
      <c r="AI248">
        <f>'Assessment Questions'!AL248</f>
        <v>0</v>
      </c>
      <c r="AJ248">
        <f>IF(OR($H248="",$H248="N/A"),"",IF($AH248="",VLOOKUP('Company Profile'!$B$40,_CONFIG_Model_Settings!$A$5:$B$8,2,FALSE),IFERROR(VLOOKUP($AH248,_CONFIG_Model_Settings!$A$5:$B$8,2,FALSE),0.9)))</f>
        <v>0.9</v>
      </c>
      <c r="AK248">
        <f>IF(OR($H248="",$H248="N/A"),"",IF($AI248="",VLOOKUP('Company Profile'!$B$41,_CONFIG_Model_Settings!$A$5:$B$8,2,FALSE),IFERROR(VLOOKUP($AI248,_CONFIG_Model_Settings!$A$5:$B$8,2,FALSE),0.9)))</f>
        <v>0.9</v>
      </c>
      <c r="AL248">
        <f t="shared" si="84"/>
        <v>0</v>
      </c>
      <c r="AM248">
        <f t="shared" si="85"/>
        <v>0</v>
      </c>
      <c r="AN248">
        <f>IFERROR(MIN(5,MAX(0,(SUMIFS(_REF_Model_Content!$D$1:$D$174,_REF_Model_Content!$A$1:$A$174,PV_Canonical_Industry,_REF_Model_Content!$B$1:$B$174,"Manufacturing MES"))+IFERROR(VLOOKUP('Company Profile'!$B$35,_CONFIG_Model_Settings!$A$11:$B$13,2,0),0))),"")</f>
        <v>0</v>
      </c>
      <c r="AO248">
        <f t="shared" si="86"/>
        <v>0</v>
      </c>
      <c r="AP248">
        <f>IFERROR(SUMIFS(_REF_Model_Content!$E$1:$E$174,_REF_Model_Content!$A$1:$A$174,PV_Canonical_Industry,_REF_Model_Content!$B$1:$B$174,"Manufacturing MES"),1)</f>
        <v>0</v>
      </c>
      <c r="AQ248">
        <f t="shared" si="87"/>
        <v>0</v>
      </c>
      <c r="AR248" t="str">
        <f t="shared" si="88"/>
        <v>Within target</v>
      </c>
      <c r="AS248">
        <f t="shared" si="89"/>
        <v>0</v>
      </c>
      <c r="AT248">
        <f t="shared" si="90"/>
        <v>0.9</v>
      </c>
      <c r="AU248">
        <f>'Assessment Questions'!AX248</f>
        <v>0</v>
      </c>
      <c r="AV248">
        <f t="shared" si="91"/>
        <v>0.9</v>
      </c>
      <c r="AW248" t="s">
        <v>2145</v>
      </c>
      <c r="AX248" t="s">
        <v>2145</v>
      </c>
      <c r="AY248">
        <v>24</v>
      </c>
      <c r="AZ248">
        <v>248</v>
      </c>
    </row>
    <row r="249" spans="1:52">
      <c r="A249" t="s">
        <v>2244</v>
      </c>
      <c r="B249" t="s">
        <v>2170</v>
      </c>
      <c r="C249" t="s">
        <v>2245</v>
      </c>
      <c r="D249" t="s">
        <v>2149</v>
      </c>
      <c r="E249" t="s">
        <v>2150</v>
      </c>
      <c r="F249" t="s">
        <v>2246</v>
      </c>
      <c r="G249">
        <f>'Assessment Questions'!J249</f>
        <v>5</v>
      </c>
      <c r="H249">
        <f t="shared" si="77"/>
        <v>0</v>
      </c>
      <c r="I249">
        <f t="shared" si="78"/>
        <v>0</v>
      </c>
      <c r="J249">
        <f t="shared" si="79"/>
        <v>5</v>
      </c>
      <c r="K249">
        <f t="shared" si="80"/>
        <v>5</v>
      </c>
      <c r="L249" t="str">
        <f t="shared" si="81"/>
        <v>Critical</v>
      </c>
      <c r="M249" t="s">
        <v>833</v>
      </c>
      <c r="N249" t="s">
        <v>834</v>
      </c>
      <c r="O249" t="s">
        <v>835</v>
      </c>
      <c r="P249" t="s">
        <v>836</v>
      </c>
      <c r="Q249" t="s">
        <v>837</v>
      </c>
      <c r="R249" t="s">
        <v>838</v>
      </c>
      <c r="S249" t="s">
        <v>2152</v>
      </c>
      <c r="T249">
        <f>'Assessment Questions'!W249</f>
        <v>0</v>
      </c>
      <c r="U249">
        <f>'Assessment Questions'!X249</f>
        <v>0</v>
      </c>
      <c r="V249" t="str">
        <f>'Assessment Questions'!Y249</f>
        <v>Use the recommended action generated by the model; validate with domain owner during real assessment.</v>
      </c>
      <c r="W249">
        <v>5</v>
      </c>
      <c r="X249">
        <v>5</v>
      </c>
      <c r="Y249">
        <v>5</v>
      </c>
      <c r="Z249">
        <f>'Assessment Questions'!AC249</f>
        <v>0</v>
      </c>
      <c r="AB249">
        <f t="shared" si="96"/>
        <v>0</v>
      </c>
      <c r="AC249">
        <f t="shared" si="97"/>
        <v>0</v>
      </c>
      <c r="AD249">
        <f t="shared" si="82"/>
        <v>0</v>
      </c>
      <c r="AE249">
        <f t="shared" si="98"/>
        <v>0</v>
      </c>
      <c r="AF249">
        <f t="shared" si="83"/>
        <v>5</v>
      </c>
      <c r="AG249">
        <f t="shared" si="99"/>
        <v>0</v>
      </c>
      <c r="AH249">
        <f>'Assessment Questions'!AK249</f>
        <v>0</v>
      </c>
      <c r="AI249">
        <f>'Assessment Questions'!AL249</f>
        <v>0</v>
      </c>
      <c r="AJ249">
        <f>IF(OR($H249="",$H249="N/A"),"",IF($AH249="",VLOOKUP('Company Profile'!$B$40,_CONFIG_Model_Settings!$A$5:$B$8,2,FALSE),IFERROR(VLOOKUP($AH249,_CONFIG_Model_Settings!$A$5:$B$8,2,FALSE),0.9)))</f>
        <v>0.9</v>
      </c>
      <c r="AK249">
        <f>IF(OR($H249="",$H249="N/A"),"",IF($AI249="",VLOOKUP('Company Profile'!$B$41,_CONFIG_Model_Settings!$A$5:$B$8,2,FALSE),IFERROR(VLOOKUP($AI249,_CONFIG_Model_Settings!$A$5:$B$8,2,FALSE),0.9)))</f>
        <v>0.9</v>
      </c>
      <c r="AL249">
        <f t="shared" si="84"/>
        <v>0</v>
      </c>
      <c r="AM249">
        <f t="shared" si="85"/>
        <v>0</v>
      </c>
      <c r="AN249">
        <f>IFERROR(MIN(5,MAX(0,(SUMIFS(_REF_Model_Content!$D$1:$D$174,_REF_Model_Content!$A$1:$A$174,PV_Canonical_Industry,_REF_Model_Content!$B$1:$B$174,"Manufacturing MES"))+IFERROR(VLOOKUP('Company Profile'!$B$35,_CONFIG_Model_Settings!$A$11:$B$13,2,0),0))),"")</f>
        <v>0</v>
      </c>
      <c r="AO249">
        <f t="shared" si="86"/>
        <v>0</v>
      </c>
      <c r="AP249">
        <f>IFERROR(SUMIFS(_REF_Model_Content!$E$1:$E$174,_REF_Model_Content!$A$1:$A$174,PV_Canonical_Industry,_REF_Model_Content!$B$1:$B$174,"Manufacturing MES"),1)</f>
        <v>0</v>
      </c>
      <c r="AQ249">
        <f t="shared" si="87"/>
        <v>0</v>
      </c>
      <c r="AR249" t="str">
        <f t="shared" si="88"/>
        <v>Within target</v>
      </c>
      <c r="AS249">
        <f t="shared" si="89"/>
        <v>0</v>
      </c>
      <c r="AT249">
        <f t="shared" si="90"/>
        <v>0.9</v>
      </c>
      <c r="AU249">
        <f>'Assessment Questions'!AX249</f>
        <v>0</v>
      </c>
      <c r="AV249">
        <f t="shared" si="91"/>
        <v>0.9</v>
      </c>
      <c r="AW249" t="s">
        <v>2145</v>
      </c>
      <c r="AX249" t="s">
        <v>2145</v>
      </c>
      <c r="AY249">
        <v>25</v>
      </c>
      <c r="AZ249">
        <v>249</v>
      </c>
    </row>
    <row r="250" spans="1:52">
      <c r="A250" t="s">
        <v>2247</v>
      </c>
      <c r="B250" t="s">
        <v>2170</v>
      </c>
      <c r="C250" t="s">
        <v>2248</v>
      </c>
      <c r="D250" t="s">
        <v>2149</v>
      </c>
      <c r="E250" t="s">
        <v>2150</v>
      </c>
      <c r="F250" t="s">
        <v>2249</v>
      </c>
      <c r="G250">
        <f>'Assessment Questions'!J250</f>
        <v>5</v>
      </c>
      <c r="H250">
        <f t="shared" si="77"/>
        <v>0</v>
      </c>
      <c r="I250">
        <f t="shared" si="78"/>
        <v>0</v>
      </c>
      <c r="J250">
        <f t="shared" si="79"/>
        <v>5</v>
      </c>
      <c r="K250">
        <f t="shared" si="80"/>
        <v>5</v>
      </c>
      <c r="L250" t="str">
        <f t="shared" si="81"/>
        <v>Critical</v>
      </c>
      <c r="M250" t="s">
        <v>1202</v>
      </c>
      <c r="N250" t="s">
        <v>1203</v>
      </c>
      <c r="O250" t="s">
        <v>1204</v>
      </c>
      <c r="P250" t="s">
        <v>1205</v>
      </c>
      <c r="Q250" t="s">
        <v>1206</v>
      </c>
      <c r="R250" t="s">
        <v>1207</v>
      </c>
      <c r="S250" t="s">
        <v>2152</v>
      </c>
      <c r="T250">
        <f>'Assessment Questions'!W250</f>
        <v>0</v>
      </c>
      <c r="U250">
        <f>'Assessment Questions'!X250</f>
        <v>0</v>
      </c>
      <c r="V250" t="str">
        <f>'Assessment Questions'!Y250</f>
        <v>Use the recommended action generated by the model; validate with domain owner during real assessment.</v>
      </c>
      <c r="W250">
        <v>5</v>
      </c>
      <c r="X250">
        <v>5</v>
      </c>
      <c r="Y250">
        <v>5</v>
      </c>
      <c r="Z250">
        <f>'Assessment Questions'!AC250</f>
        <v>0</v>
      </c>
      <c r="AB250">
        <f t="shared" si="96"/>
        <v>0</v>
      </c>
      <c r="AC250">
        <f t="shared" si="97"/>
        <v>0</v>
      </c>
      <c r="AD250">
        <f t="shared" si="82"/>
        <v>0</v>
      </c>
      <c r="AE250">
        <f t="shared" si="98"/>
        <v>0</v>
      </c>
      <c r="AF250">
        <f t="shared" si="83"/>
        <v>5</v>
      </c>
      <c r="AG250">
        <f t="shared" si="99"/>
        <v>0</v>
      </c>
      <c r="AH250">
        <f>'Assessment Questions'!AK250</f>
        <v>0</v>
      </c>
      <c r="AI250">
        <f>'Assessment Questions'!AL250</f>
        <v>0</v>
      </c>
      <c r="AJ250">
        <f>IF(OR($H250="",$H250="N/A"),"",IF($AH250="",VLOOKUP('Company Profile'!$B$40,_CONFIG_Model_Settings!$A$5:$B$8,2,FALSE),IFERROR(VLOOKUP($AH250,_CONFIG_Model_Settings!$A$5:$B$8,2,FALSE),0.9)))</f>
        <v>0.9</v>
      </c>
      <c r="AK250">
        <f>IF(OR($H250="",$H250="N/A"),"",IF($AI250="",VLOOKUP('Company Profile'!$B$41,_CONFIG_Model_Settings!$A$5:$B$8,2,FALSE),IFERROR(VLOOKUP($AI250,_CONFIG_Model_Settings!$A$5:$B$8,2,FALSE),0.9)))</f>
        <v>0.9</v>
      </c>
      <c r="AL250">
        <f t="shared" si="84"/>
        <v>0</v>
      </c>
      <c r="AM250">
        <f t="shared" si="85"/>
        <v>0</v>
      </c>
      <c r="AN250">
        <f>IFERROR(MIN(5,MAX(0,(SUMIFS(_REF_Model_Content!$D$1:$D$174,_REF_Model_Content!$A$1:$A$174,PV_Canonical_Industry,_REF_Model_Content!$B$1:$B$174,"Manufacturing MES"))+IFERROR(VLOOKUP('Company Profile'!$B$35,_CONFIG_Model_Settings!$A$11:$B$13,2,0),0))),"")</f>
        <v>0</v>
      </c>
      <c r="AO250">
        <f t="shared" si="86"/>
        <v>0</v>
      </c>
      <c r="AP250">
        <f>IFERROR(SUMIFS(_REF_Model_Content!$E$1:$E$174,_REF_Model_Content!$A$1:$A$174,PV_Canonical_Industry,_REF_Model_Content!$B$1:$B$174,"Manufacturing MES"),1)</f>
        <v>0</v>
      </c>
      <c r="AQ250">
        <f t="shared" si="87"/>
        <v>0</v>
      </c>
      <c r="AR250" t="str">
        <f t="shared" si="88"/>
        <v>Within target</v>
      </c>
      <c r="AS250">
        <f t="shared" si="89"/>
        <v>0</v>
      </c>
      <c r="AT250">
        <f t="shared" si="90"/>
        <v>0.9</v>
      </c>
      <c r="AU250">
        <f>'Assessment Questions'!AX250</f>
        <v>0</v>
      </c>
      <c r="AV250">
        <f t="shared" si="91"/>
        <v>0.9</v>
      </c>
      <c r="AW250" t="s">
        <v>2145</v>
      </c>
      <c r="AX250" t="s">
        <v>2145</v>
      </c>
      <c r="AY250">
        <v>26</v>
      </c>
      <c r="AZ250">
        <v>250</v>
      </c>
    </row>
    <row r="251" spans="1:52">
      <c r="A251" t="s">
        <v>2250</v>
      </c>
      <c r="B251" t="s">
        <v>2170</v>
      </c>
      <c r="C251" t="s">
        <v>2251</v>
      </c>
      <c r="D251" t="s">
        <v>2149</v>
      </c>
      <c r="E251" t="s">
        <v>2150</v>
      </c>
      <c r="F251" t="s">
        <v>2252</v>
      </c>
      <c r="G251">
        <f>'Assessment Questions'!J251</f>
        <v>5</v>
      </c>
      <c r="H251">
        <f t="shared" si="77"/>
        <v>0</v>
      </c>
      <c r="I251">
        <f t="shared" si="78"/>
        <v>0</v>
      </c>
      <c r="J251">
        <f t="shared" si="79"/>
        <v>5</v>
      </c>
      <c r="K251">
        <f t="shared" si="80"/>
        <v>5</v>
      </c>
      <c r="L251" t="str">
        <f t="shared" si="81"/>
        <v>Critical</v>
      </c>
      <c r="M251" t="s">
        <v>833</v>
      </c>
      <c r="N251" t="s">
        <v>834</v>
      </c>
      <c r="O251" t="s">
        <v>835</v>
      </c>
      <c r="P251" t="s">
        <v>836</v>
      </c>
      <c r="Q251" t="s">
        <v>837</v>
      </c>
      <c r="R251" t="s">
        <v>838</v>
      </c>
      <c r="S251" t="s">
        <v>2152</v>
      </c>
      <c r="T251">
        <f>'Assessment Questions'!W251</f>
        <v>0</v>
      </c>
      <c r="U251">
        <f>'Assessment Questions'!X251</f>
        <v>0</v>
      </c>
      <c r="V251" t="str">
        <f>'Assessment Questions'!Y251</f>
        <v>Use the recommended action generated by the model; validate with domain owner during real assessment.</v>
      </c>
      <c r="W251">
        <v>5</v>
      </c>
      <c r="X251">
        <v>5</v>
      </c>
      <c r="Y251">
        <v>5</v>
      </c>
      <c r="Z251">
        <f>'Assessment Questions'!AC251</f>
        <v>0</v>
      </c>
      <c r="AB251">
        <f t="shared" si="96"/>
        <v>0</v>
      </c>
      <c r="AC251">
        <f t="shared" si="97"/>
        <v>0</v>
      </c>
      <c r="AD251">
        <f t="shared" si="82"/>
        <v>0</v>
      </c>
      <c r="AE251">
        <f t="shared" si="98"/>
        <v>0</v>
      </c>
      <c r="AF251">
        <f t="shared" si="83"/>
        <v>5</v>
      </c>
      <c r="AG251">
        <f t="shared" si="99"/>
        <v>0</v>
      </c>
      <c r="AH251">
        <f>'Assessment Questions'!AK251</f>
        <v>0</v>
      </c>
      <c r="AI251">
        <f>'Assessment Questions'!AL251</f>
        <v>0</v>
      </c>
      <c r="AJ251">
        <f>IF(OR($H251="",$H251="N/A"),"",IF($AH251="",VLOOKUP('Company Profile'!$B$40,_CONFIG_Model_Settings!$A$5:$B$8,2,FALSE),IFERROR(VLOOKUP($AH251,_CONFIG_Model_Settings!$A$5:$B$8,2,FALSE),0.9)))</f>
        <v>0.9</v>
      </c>
      <c r="AK251">
        <f>IF(OR($H251="",$H251="N/A"),"",IF($AI251="",VLOOKUP('Company Profile'!$B$41,_CONFIG_Model_Settings!$A$5:$B$8,2,FALSE),IFERROR(VLOOKUP($AI251,_CONFIG_Model_Settings!$A$5:$B$8,2,FALSE),0.9)))</f>
        <v>0.9</v>
      </c>
      <c r="AL251">
        <f t="shared" si="84"/>
        <v>0</v>
      </c>
      <c r="AM251">
        <f t="shared" si="85"/>
        <v>0</v>
      </c>
      <c r="AN251">
        <f>IFERROR(MIN(5,MAX(0,(SUMIFS(_REF_Model_Content!$D$1:$D$174,_REF_Model_Content!$A$1:$A$174,PV_Canonical_Industry,_REF_Model_Content!$B$1:$B$174,"Manufacturing MES"))+IFERROR(VLOOKUP('Company Profile'!$B$35,_CONFIG_Model_Settings!$A$11:$B$13,2,0),0))),"")</f>
        <v>0</v>
      </c>
      <c r="AO251">
        <f t="shared" si="86"/>
        <v>0</v>
      </c>
      <c r="AP251">
        <f>IFERROR(SUMIFS(_REF_Model_Content!$E$1:$E$174,_REF_Model_Content!$A$1:$A$174,PV_Canonical_Industry,_REF_Model_Content!$B$1:$B$174,"Manufacturing MES"),1)</f>
        <v>0</v>
      </c>
      <c r="AQ251">
        <f t="shared" si="87"/>
        <v>0</v>
      </c>
      <c r="AR251" t="str">
        <f t="shared" si="88"/>
        <v>Within target</v>
      </c>
      <c r="AS251">
        <f t="shared" si="89"/>
        <v>0</v>
      </c>
      <c r="AT251">
        <f t="shared" si="90"/>
        <v>0.9</v>
      </c>
      <c r="AU251">
        <f>'Assessment Questions'!AX251</f>
        <v>0</v>
      </c>
      <c r="AV251">
        <f t="shared" si="91"/>
        <v>0.9</v>
      </c>
      <c r="AW251" t="s">
        <v>2145</v>
      </c>
      <c r="AX251" t="s">
        <v>2145</v>
      </c>
      <c r="AY251">
        <v>27</v>
      </c>
      <c r="AZ251">
        <v>251</v>
      </c>
    </row>
    <row r="252" spans="1:52">
      <c r="A252" t="s">
        <v>2253</v>
      </c>
      <c r="B252" t="s">
        <v>2170</v>
      </c>
      <c r="C252" t="s">
        <v>2254</v>
      </c>
      <c r="D252" t="s">
        <v>2149</v>
      </c>
      <c r="E252" t="s">
        <v>2150</v>
      </c>
      <c r="F252" t="s">
        <v>2255</v>
      </c>
      <c r="G252">
        <f>'Assessment Questions'!J252</f>
        <v>3</v>
      </c>
      <c r="H252">
        <f t="shared" si="77"/>
        <v>0</v>
      </c>
      <c r="I252">
        <f t="shared" si="78"/>
        <v>0</v>
      </c>
      <c r="J252">
        <f t="shared" si="79"/>
        <v>3</v>
      </c>
      <c r="K252">
        <f t="shared" si="80"/>
        <v>3</v>
      </c>
      <c r="L252" t="str">
        <f t="shared" si="81"/>
        <v>Critical</v>
      </c>
      <c r="M252" t="s">
        <v>2256</v>
      </c>
      <c r="N252" t="s">
        <v>2257</v>
      </c>
      <c r="O252" t="s">
        <v>2258</v>
      </c>
      <c r="P252" t="s">
        <v>2259</v>
      </c>
      <c r="Q252" t="s">
        <v>2260</v>
      </c>
      <c r="R252" t="s">
        <v>2261</v>
      </c>
      <c r="S252" t="s">
        <v>2152</v>
      </c>
      <c r="T252">
        <f>'Assessment Questions'!W252</f>
        <v>0</v>
      </c>
      <c r="U252">
        <f>'Assessment Questions'!X252</f>
        <v>0</v>
      </c>
      <c r="V252" t="str">
        <f>'Assessment Questions'!Y252</f>
        <v>Use the recommended action generated by the model; validate with domain owner during real assessment.</v>
      </c>
      <c r="W252">
        <v>5</v>
      </c>
      <c r="X252">
        <v>5</v>
      </c>
      <c r="Y252">
        <v>5</v>
      </c>
      <c r="Z252">
        <f>'Assessment Questions'!AC252</f>
        <v>0</v>
      </c>
      <c r="AB252">
        <f t="shared" si="96"/>
        <v>0</v>
      </c>
      <c r="AC252">
        <f t="shared" si="97"/>
        <v>0</v>
      </c>
      <c r="AD252">
        <f t="shared" si="82"/>
        <v>0</v>
      </c>
      <c r="AE252">
        <f t="shared" si="98"/>
        <v>0</v>
      </c>
      <c r="AF252">
        <f t="shared" si="83"/>
        <v>5</v>
      </c>
      <c r="AG252">
        <f t="shared" si="99"/>
        <v>0</v>
      </c>
      <c r="AH252">
        <f>'Assessment Questions'!AK252</f>
        <v>0</v>
      </c>
      <c r="AI252">
        <f>'Assessment Questions'!AL252</f>
        <v>0</v>
      </c>
      <c r="AJ252">
        <f>IF(OR($H252="",$H252="N/A"),"",IF($AH252="",VLOOKUP('Company Profile'!$B$40,_CONFIG_Model_Settings!$A$5:$B$8,2,FALSE),IFERROR(VLOOKUP($AH252,_CONFIG_Model_Settings!$A$5:$B$8,2,FALSE),0.9)))</f>
        <v>0.9</v>
      </c>
      <c r="AK252">
        <f>IF(OR($H252="",$H252="N/A"),"",IF($AI252="",VLOOKUP('Company Profile'!$B$41,_CONFIG_Model_Settings!$A$5:$B$8,2,FALSE),IFERROR(VLOOKUP($AI252,_CONFIG_Model_Settings!$A$5:$B$8,2,FALSE),0.9)))</f>
        <v>0.9</v>
      </c>
      <c r="AL252">
        <f t="shared" si="84"/>
        <v>0</v>
      </c>
      <c r="AM252">
        <f t="shared" si="85"/>
        <v>0</v>
      </c>
      <c r="AN252">
        <f>IFERROR(MIN(5,MAX(0,(SUMIFS(_REF_Model_Content!$D$1:$D$174,_REF_Model_Content!$A$1:$A$174,PV_Canonical_Industry,_REF_Model_Content!$B$1:$B$174,"Manufacturing MES"))+IFERROR(VLOOKUP('Company Profile'!$B$35,_CONFIG_Model_Settings!$A$11:$B$13,2,0),0))),"")</f>
        <v>0</v>
      </c>
      <c r="AO252">
        <f t="shared" si="86"/>
        <v>0</v>
      </c>
      <c r="AP252">
        <f>IFERROR(SUMIFS(_REF_Model_Content!$E$1:$E$174,_REF_Model_Content!$A$1:$A$174,PV_Canonical_Industry,_REF_Model_Content!$B$1:$B$174,"Manufacturing MES"),1)</f>
        <v>0</v>
      </c>
      <c r="AQ252">
        <f t="shared" si="87"/>
        <v>0</v>
      </c>
      <c r="AR252" t="str">
        <f t="shared" si="88"/>
        <v>Within target</v>
      </c>
      <c r="AS252">
        <f t="shared" si="89"/>
        <v>0</v>
      </c>
      <c r="AT252">
        <f t="shared" si="90"/>
        <v>0.9</v>
      </c>
      <c r="AU252">
        <f>'Assessment Questions'!AX252</f>
        <v>0</v>
      </c>
      <c r="AV252">
        <f t="shared" si="91"/>
        <v>0.9</v>
      </c>
      <c r="AW252" t="s">
        <v>2145</v>
      </c>
      <c r="AX252" t="s">
        <v>2145</v>
      </c>
      <c r="AY252">
        <v>28</v>
      </c>
      <c r="AZ252">
        <v>252</v>
      </c>
    </row>
    <row r="253" spans="1:52">
      <c r="A253" t="s">
        <v>2262</v>
      </c>
      <c r="B253" t="s">
        <v>2174</v>
      </c>
      <c r="C253" t="s">
        <v>2263</v>
      </c>
      <c r="D253" t="s">
        <v>2149</v>
      </c>
      <c r="E253" t="s">
        <v>2150</v>
      </c>
      <c r="F253" t="s">
        <v>2264</v>
      </c>
      <c r="G253">
        <f>'Assessment Questions'!J253</f>
        <v>4</v>
      </c>
      <c r="H253">
        <f t="shared" si="77"/>
        <v>0</v>
      </c>
      <c r="I253">
        <f t="shared" si="78"/>
        <v>0</v>
      </c>
      <c r="J253">
        <f t="shared" si="79"/>
        <v>4</v>
      </c>
      <c r="K253">
        <f t="shared" si="80"/>
        <v>4</v>
      </c>
      <c r="L253" t="str">
        <f t="shared" si="81"/>
        <v>Critical</v>
      </c>
      <c r="M253" t="s">
        <v>2265</v>
      </c>
      <c r="N253" t="s">
        <v>2266</v>
      </c>
      <c r="O253" t="s">
        <v>2267</v>
      </c>
      <c r="P253" t="s">
        <v>2268</v>
      </c>
      <c r="Q253" t="s">
        <v>2269</v>
      </c>
      <c r="R253" t="s">
        <v>2270</v>
      </c>
      <c r="S253" t="s">
        <v>2152</v>
      </c>
      <c r="T253">
        <f>'Assessment Questions'!W253</f>
        <v>0</v>
      </c>
      <c r="U253">
        <f>'Assessment Questions'!X253</f>
        <v>0</v>
      </c>
      <c r="V253" t="str">
        <f>'Assessment Questions'!Y253</f>
        <v>Use the recommended action generated by the model; validate with domain owner during real assessment.</v>
      </c>
      <c r="W253">
        <v>5</v>
      </c>
      <c r="X253">
        <v>5</v>
      </c>
      <c r="Y253">
        <v>5</v>
      </c>
      <c r="Z253">
        <f>'Assessment Questions'!AC253</f>
        <v>0</v>
      </c>
      <c r="AB253">
        <f t="shared" si="96"/>
        <v>0</v>
      </c>
      <c r="AC253">
        <f t="shared" si="97"/>
        <v>0</v>
      </c>
      <c r="AD253">
        <f t="shared" si="82"/>
        <v>0</v>
      </c>
      <c r="AE253">
        <f t="shared" si="98"/>
        <v>0</v>
      </c>
      <c r="AF253">
        <f t="shared" si="83"/>
        <v>5</v>
      </c>
      <c r="AG253">
        <f t="shared" si="99"/>
        <v>0</v>
      </c>
      <c r="AH253">
        <f>'Assessment Questions'!AK253</f>
        <v>0</v>
      </c>
      <c r="AI253">
        <f>'Assessment Questions'!AL253</f>
        <v>0</v>
      </c>
      <c r="AJ253">
        <f>IF(OR($H253="",$H253="N/A"),"",IF($AH253="",VLOOKUP('Company Profile'!$B$40,_CONFIG_Model_Settings!$A$5:$B$8,2,FALSE),IFERROR(VLOOKUP($AH253,_CONFIG_Model_Settings!$A$5:$B$8,2,FALSE),0.9)))</f>
        <v>0.9</v>
      </c>
      <c r="AK253">
        <f>IF(OR($H253="",$H253="N/A"),"",IF($AI253="",VLOOKUP('Company Profile'!$B$41,_CONFIG_Model_Settings!$A$5:$B$8,2,FALSE),IFERROR(VLOOKUP($AI253,_CONFIG_Model_Settings!$A$5:$B$8,2,FALSE),0.9)))</f>
        <v>0.9</v>
      </c>
      <c r="AL253">
        <f t="shared" si="84"/>
        <v>0</v>
      </c>
      <c r="AM253">
        <f t="shared" si="85"/>
        <v>0</v>
      </c>
      <c r="AN253">
        <f>IFERROR(MIN(5,MAX(0,(SUMIFS(_REF_Model_Content!$D$1:$D$174,_REF_Model_Content!$A$1:$A$174,PV_Canonical_Industry,_REF_Model_Content!$B$1:$B$174,"Manufacturing MES"))+IFERROR(VLOOKUP('Company Profile'!$B$35,_CONFIG_Model_Settings!$A$11:$B$13,2,0),0))),"")</f>
        <v>0</v>
      </c>
      <c r="AO253">
        <f t="shared" si="86"/>
        <v>0</v>
      </c>
      <c r="AP253">
        <f>IFERROR(SUMIFS(_REF_Model_Content!$E$1:$E$174,_REF_Model_Content!$A$1:$A$174,PV_Canonical_Industry,_REF_Model_Content!$B$1:$B$174,"Manufacturing MES"),1)</f>
        <v>0</v>
      </c>
      <c r="AQ253">
        <f t="shared" si="87"/>
        <v>0</v>
      </c>
      <c r="AR253" t="str">
        <f t="shared" si="88"/>
        <v>Within target</v>
      </c>
      <c r="AS253">
        <f t="shared" si="89"/>
        <v>0</v>
      </c>
      <c r="AT253">
        <f t="shared" si="90"/>
        <v>0.9</v>
      </c>
      <c r="AU253">
        <f>'Assessment Questions'!AX253</f>
        <v>0</v>
      </c>
      <c r="AV253">
        <f t="shared" si="91"/>
        <v>0.9</v>
      </c>
      <c r="AW253" t="s">
        <v>2145</v>
      </c>
      <c r="AX253" t="s">
        <v>2145</v>
      </c>
      <c r="AY253">
        <v>29</v>
      </c>
      <c r="AZ253">
        <v>253</v>
      </c>
    </row>
    <row r="254" spans="1:52">
      <c r="A254" t="s">
        <v>2271</v>
      </c>
      <c r="B254" t="s">
        <v>2174</v>
      </c>
      <c r="C254" t="s">
        <v>2272</v>
      </c>
      <c r="D254" t="s">
        <v>2149</v>
      </c>
      <c r="E254" t="s">
        <v>2150</v>
      </c>
      <c r="F254" t="s">
        <v>2273</v>
      </c>
      <c r="G254">
        <f>'Assessment Questions'!J254</f>
        <v>4</v>
      </c>
      <c r="H254">
        <f t="shared" si="77"/>
        <v>0</v>
      </c>
      <c r="I254">
        <f t="shared" si="78"/>
        <v>0</v>
      </c>
      <c r="J254">
        <f t="shared" si="79"/>
        <v>4</v>
      </c>
      <c r="K254">
        <f t="shared" si="80"/>
        <v>4</v>
      </c>
      <c r="L254" t="str">
        <f t="shared" si="81"/>
        <v>Critical</v>
      </c>
      <c r="M254" t="s">
        <v>2274</v>
      </c>
      <c r="N254" t="s">
        <v>2275</v>
      </c>
      <c r="O254" t="s">
        <v>2276</v>
      </c>
      <c r="P254" t="s">
        <v>2277</v>
      </c>
      <c r="Q254" t="s">
        <v>2278</v>
      </c>
      <c r="R254" t="s">
        <v>2279</v>
      </c>
      <c r="S254" t="s">
        <v>2152</v>
      </c>
      <c r="T254">
        <f>'Assessment Questions'!W254</f>
        <v>0</v>
      </c>
      <c r="U254">
        <f>'Assessment Questions'!X254</f>
        <v>0</v>
      </c>
      <c r="V254" t="str">
        <f>'Assessment Questions'!Y254</f>
        <v>Use the recommended action generated by the model; validate with domain owner during real assessment.</v>
      </c>
      <c r="W254">
        <v>5</v>
      </c>
      <c r="X254">
        <v>5</v>
      </c>
      <c r="Y254">
        <v>5</v>
      </c>
      <c r="Z254">
        <f>'Assessment Questions'!AC254</f>
        <v>0</v>
      </c>
      <c r="AB254">
        <f t="shared" si="96"/>
        <v>0</v>
      </c>
      <c r="AC254">
        <f t="shared" si="97"/>
        <v>0</v>
      </c>
      <c r="AD254">
        <f t="shared" si="82"/>
        <v>0</v>
      </c>
      <c r="AE254">
        <f t="shared" si="98"/>
        <v>0</v>
      </c>
      <c r="AF254">
        <f t="shared" si="83"/>
        <v>5</v>
      </c>
      <c r="AG254">
        <f t="shared" si="99"/>
        <v>0</v>
      </c>
      <c r="AH254">
        <f>'Assessment Questions'!AK254</f>
        <v>0</v>
      </c>
      <c r="AI254">
        <f>'Assessment Questions'!AL254</f>
        <v>0</v>
      </c>
      <c r="AJ254">
        <f>IF(OR($H254="",$H254="N/A"),"",IF($AH254="",VLOOKUP('Company Profile'!$B$40,_CONFIG_Model_Settings!$A$5:$B$8,2,FALSE),IFERROR(VLOOKUP($AH254,_CONFIG_Model_Settings!$A$5:$B$8,2,FALSE),0.9)))</f>
        <v>0.9</v>
      </c>
      <c r="AK254">
        <f>IF(OR($H254="",$H254="N/A"),"",IF($AI254="",VLOOKUP('Company Profile'!$B$41,_CONFIG_Model_Settings!$A$5:$B$8,2,FALSE),IFERROR(VLOOKUP($AI254,_CONFIG_Model_Settings!$A$5:$B$8,2,FALSE),0.9)))</f>
        <v>0.9</v>
      </c>
      <c r="AL254">
        <f t="shared" si="84"/>
        <v>0</v>
      </c>
      <c r="AM254">
        <f t="shared" si="85"/>
        <v>0</v>
      </c>
      <c r="AN254">
        <f>IFERROR(MIN(5,MAX(0,(SUMIFS(_REF_Model_Content!$D$1:$D$174,_REF_Model_Content!$A$1:$A$174,PV_Canonical_Industry,_REF_Model_Content!$B$1:$B$174,"Manufacturing MES"))+IFERROR(VLOOKUP('Company Profile'!$B$35,_CONFIG_Model_Settings!$A$11:$B$13,2,0),0))),"")</f>
        <v>0</v>
      </c>
      <c r="AO254">
        <f t="shared" si="86"/>
        <v>0</v>
      </c>
      <c r="AP254">
        <f>IFERROR(SUMIFS(_REF_Model_Content!$E$1:$E$174,_REF_Model_Content!$A$1:$A$174,PV_Canonical_Industry,_REF_Model_Content!$B$1:$B$174,"Manufacturing MES"),1)</f>
        <v>0</v>
      </c>
      <c r="AQ254">
        <f t="shared" si="87"/>
        <v>0</v>
      </c>
      <c r="AR254" t="str">
        <f t="shared" si="88"/>
        <v>Within target</v>
      </c>
      <c r="AS254">
        <f t="shared" si="89"/>
        <v>0</v>
      </c>
      <c r="AT254">
        <f t="shared" si="90"/>
        <v>0.9</v>
      </c>
      <c r="AU254">
        <f>'Assessment Questions'!AX254</f>
        <v>0</v>
      </c>
      <c r="AV254">
        <f t="shared" si="91"/>
        <v>0.9</v>
      </c>
      <c r="AW254" t="s">
        <v>2145</v>
      </c>
      <c r="AX254" t="s">
        <v>2145</v>
      </c>
      <c r="AY254">
        <v>30</v>
      </c>
      <c r="AZ254">
        <v>254</v>
      </c>
    </row>
    <row r="255" spans="1:52">
      <c r="A255" t="s">
        <v>2280</v>
      </c>
      <c r="B255" t="s">
        <v>2174</v>
      </c>
      <c r="C255" t="s">
        <v>2281</v>
      </c>
      <c r="D255" t="s">
        <v>2149</v>
      </c>
      <c r="E255" t="s">
        <v>2150</v>
      </c>
      <c r="F255" t="s">
        <v>2282</v>
      </c>
      <c r="G255">
        <f>'Assessment Questions'!J255</f>
        <v>5</v>
      </c>
      <c r="H255">
        <f t="shared" si="77"/>
        <v>0</v>
      </c>
      <c r="I255">
        <f t="shared" si="78"/>
        <v>0</v>
      </c>
      <c r="J255">
        <f t="shared" si="79"/>
        <v>5</v>
      </c>
      <c r="K255">
        <f t="shared" si="80"/>
        <v>5</v>
      </c>
      <c r="L255" t="str">
        <f t="shared" si="81"/>
        <v>Critical</v>
      </c>
      <c r="M255" t="s">
        <v>1202</v>
      </c>
      <c r="N255" t="s">
        <v>1203</v>
      </c>
      <c r="O255" t="s">
        <v>1204</v>
      </c>
      <c r="P255" t="s">
        <v>1205</v>
      </c>
      <c r="Q255" t="s">
        <v>1206</v>
      </c>
      <c r="R255" t="s">
        <v>1207</v>
      </c>
      <c r="S255" t="s">
        <v>2152</v>
      </c>
      <c r="T255">
        <f>'Assessment Questions'!W255</f>
        <v>0</v>
      </c>
      <c r="U255">
        <f>'Assessment Questions'!X255</f>
        <v>0</v>
      </c>
      <c r="V255" t="str">
        <f>'Assessment Questions'!Y255</f>
        <v>Use the recommended action generated by the model; validate with domain owner during real assessment.</v>
      </c>
      <c r="W255">
        <v>5</v>
      </c>
      <c r="X255">
        <v>5</v>
      </c>
      <c r="Y255">
        <v>5</v>
      </c>
      <c r="Z255">
        <f>'Assessment Questions'!AC255</f>
        <v>0</v>
      </c>
      <c r="AB255">
        <f t="shared" si="96"/>
        <v>0</v>
      </c>
      <c r="AC255">
        <f t="shared" si="97"/>
        <v>0</v>
      </c>
      <c r="AD255">
        <f t="shared" si="82"/>
        <v>0</v>
      </c>
      <c r="AE255">
        <f t="shared" si="98"/>
        <v>0</v>
      </c>
      <c r="AF255">
        <f t="shared" si="83"/>
        <v>5</v>
      </c>
      <c r="AG255">
        <f t="shared" si="99"/>
        <v>0</v>
      </c>
      <c r="AH255">
        <f>'Assessment Questions'!AK255</f>
        <v>0</v>
      </c>
      <c r="AI255">
        <f>'Assessment Questions'!AL255</f>
        <v>0</v>
      </c>
      <c r="AJ255">
        <f>IF(OR($H255="",$H255="N/A"),"",IF($AH255="",VLOOKUP('Company Profile'!$B$40,_CONFIG_Model_Settings!$A$5:$B$8,2,FALSE),IFERROR(VLOOKUP($AH255,_CONFIG_Model_Settings!$A$5:$B$8,2,FALSE),0.9)))</f>
        <v>0.9</v>
      </c>
      <c r="AK255">
        <f>IF(OR($H255="",$H255="N/A"),"",IF($AI255="",VLOOKUP('Company Profile'!$B$41,_CONFIG_Model_Settings!$A$5:$B$8,2,FALSE),IFERROR(VLOOKUP($AI255,_CONFIG_Model_Settings!$A$5:$B$8,2,FALSE),0.9)))</f>
        <v>0.9</v>
      </c>
      <c r="AL255">
        <f t="shared" si="84"/>
        <v>0</v>
      </c>
      <c r="AM255">
        <f t="shared" si="85"/>
        <v>0</v>
      </c>
      <c r="AN255">
        <f>IFERROR(MIN(5,MAX(0,(SUMIFS(_REF_Model_Content!$D$1:$D$174,_REF_Model_Content!$A$1:$A$174,PV_Canonical_Industry,_REF_Model_Content!$B$1:$B$174,"Manufacturing MES"))+IFERROR(VLOOKUP('Company Profile'!$B$35,_CONFIG_Model_Settings!$A$11:$B$13,2,0),0))),"")</f>
        <v>0</v>
      </c>
      <c r="AO255">
        <f t="shared" si="86"/>
        <v>0</v>
      </c>
      <c r="AP255">
        <f>IFERROR(SUMIFS(_REF_Model_Content!$E$1:$E$174,_REF_Model_Content!$A$1:$A$174,PV_Canonical_Industry,_REF_Model_Content!$B$1:$B$174,"Manufacturing MES"),1)</f>
        <v>0</v>
      </c>
      <c r="AQ255">
        <f t="shared" si="87"/>
        <v>0</v>
      </c>
      <c r="AR255" t="str">
        <f t="shared" si="88"/>
        <v>Within target</v>
      </c>
      <c r="AS255">
        <f t="shared" si="89"/>
        <v>0</v>
      </c>
      <c r="AT255">
        <f t="shared" si="90"/>
        <v>0.9</v>
      </c>
      <c r="AU255">
        <f>'Assessment Questions'!AX255</f>
        <v>0</v>
      </c>
      <c r="AV255">
        <f t="shared" si="91"/>
        <v>0.9</v>
      </c>
      <c r="AW255" t="s">
        <v>2145</v>
      </c>
      <c r="AX255" t="s">
        <v>2145</v>
      </c>
      <c r="AY255">
        <v>31</v>
      </c>
      <c r="AZ255">
        <v>255</v>
      </c>
    </row>
    <row r="256" spans="1:52">
      <c r="A256" t="s">
        <v>2283</v>
      </c>
      <c r="B256" t="s">
        <v>2174</v>
      </c>
      <c r="C256" t="s">
        <v>2284</v>
      </c>
      <c r="D256" t="s">
        <v>2149</v>
      </c>
      <c r="E256" t="s">
        <v>2150</v>
      </c>
      <c r="F256" t="s">
        <v>2285</v>
      </c>
      <c r="G256">
        <f>'Assessment Questions'!J256</f>
        <v>5</v>
      </c>
      <c r="H256">
        <f t="shared" si="77"/>
        <v>0</v>
      </c>
      <c r="I256">
        <f t="shared" si="78"/>
        <v>0</v>
      </c>
      <c r="J256">
        <f t="shared" si="79"/>
        <v>5</v>
      </c>
      <c r="K256">
        <f t="shared" si="80"/>
        <v>5</v>
      </c>
      <c r="L256" t="str">
        <f t="shared" si="81"/>
        <v>Critical</v>
      </c>
      <c r="M256" t="s">
        <v>874</v>
      </c>
      <c r="N256" t="s">
        <v>875</v>
      </c>
      <c r="O256" t="s">
        <v>876</v>
      </c>
      <c r="P256" t="s">
        <v>877</v>
      </c>
      <c r="Q256" t="s">
        <v>878</v>
      </c>
      <c r="R256" t="s">
        <v>879</v>
      </c>
      <c r="S256" t="s">
        <v>2152</v>
      </c>
      <c r="T256">
        <f>'Assessment Questions'!W256</f>
        <v>0</v>
      </c>
      <c r="U256">
        <f>'Assessment Questions'!X256</f>
        <v>0</v>
      </c>
      <c r="V256" t="str">
        <f>'Assessment Questions'!Y256</f>
        <v>Use the recommended action generated by the model; validate with domain owner during real assessment.</v>
      </c>
      <c r="W256">
        <v>5</v>
      </c>
      <c r="X256">
        <v>5</v>
      </c>
      <c r="Y256">
        <v>5</v>
      </c>
      <c r="Z256">
        <f>'Assessment Questions'!AC256</f>
        <v>0</v>
      </c>
      <c r="AB256">
        <f t="shared" si="96"/>
        <v>0</v>
      </c>
      <c r="AC256">
        <f t="shared" si="97"/>
        <v>0</v>
      </c>
      <c r="AD256">
        <f t="shared" si="82"/>
        <v>0</v>
      </c>
      <c r="AE256">
        <f t="shared" si="98"/>
        <v>0</v>
      </c>
      <c r="AF256">
        <f t="shared" si="83"/>
        <v>5</v>
      </c>
      <c r="AG256">
        <f t="shared" si="99"/>
        <v>0</v>
      </c>
      <c r="AH256">
        <f>'Assessment Questions'!AK256</f>
        <v>0</v>
      </c>
      <c r="AI256">
        <f>'Assessment Questions'!AL256</f>
        <v>0</v>
      </c>
      <c r="AJ256">
        <f>IF(OR($H256="",$H256="N/A"),"",IF($AH256="",VLOOKUP('Company Profile'!$B$40,_CONFIG_Model_Settings!$A$5:$B$8,2,FALSE),IFERROR(VLOOKUP($AH256,_CONFIG_Model_Settings!$A$5:$B$8,2,FALSE),0.9)))</f>
        <v>0.9</v>
      </c>
      <c r="AK256">
        <f>IF(OR($H256="",$H256="N/A"),"",IF($AI256="",VLOOKUP('Company Profile'!$B$41,_CONFIG_Model_Settings!$A$5:$B$8,2,FALSE),IFERROR(VLOOKUP($AI256,_CONFIG_Model_Settings!$A$5:$B$8,2,FALSE),0.9)))</f>
        <v>0.9</v>
      </c>
      <c r="AL256">
        <f t="shared" si="84"/>
        <v>0</v>
      </c>
      <c r="AM256">
        <f t="shared" si="85"/>
        <v>0</v>
      </c>
      <c r="AN256">
        <f>IFERROR(MIN(5,MAX(0,(SUMIFS(_REF_Model_Content!$D$1:$D$174,_REF_Model_Content!$A$1:$A$174,PV_Canonical_Industry,_REF_Model_Content!$B$1:$B$174,"Manufacturing MES"))+IFERROR(VLOOKUP('Company Profile'!$B$35,_CONFIG_Model_Settings!$A$11:$B$13,2,0),0))),"")</f>
        <v>0</v>
      </c>
      <c r="AO256">
        <f t="shared" si="86"/>
        <v>0</v>
      </c>
      <c r="AP256">
        <f>IFERROR(SUMIFS(_REF_Model_Content!$E$1:$E$174,_REF_Model_Content!$A$1:$A$174,PV_Canonical_Industry,_REF_Model_Content!$B$1:$B$174,"Manufacturing MES"),1)</f>
        <v>0</v>
      </c>
      <c r="AQ256">
        <f t="shared" si="87"/>
        <v>0</v>
      </c>
      <c r="AR256" t="str">
        <f t="shared" si="88"/>
        <v>Within target</v>
      </c>
      <c r="AS256">
        <f t="shared" si="89"/>
        <v>0</v>
      </c>
      <c r="AT256">
        <f t="shared" si="90"/>
        <v>0.9</v>
      </c>
      <c r="AU256">
        <f>'Assessment Questions'!AX256</f>
        <v>0</v>
      </c>
      <c r="AV256">
        <f t="shared" si="91"/>
        <v>0.9</v>
      </c>
      <c r="AW256" t="s">
        <v>2145</v>
      </c>
      <c r="AX256" t="s">
        <v>2145</v>
      </c>
      <c r="AY256">
        <v>32</v>
      </c>
      <c r="AZ256">
        <v>256</v>
      </c>
    </row>
    <row r="257" spans="1:52">
      <c r="A257" t="s">
        <v>2287</v>
      </c>
      <c r="B257" t="s">
        <v>2288</v>
      </c>
      <c r="C257" t="s">
        <v>2289</v>
      </c>
      <c r="D257" t="s">
        <v>2290</v>
      </c>
      <c r="E257" t="s">
        <v>2291</v>
      </c>
      <c r="F257" t="s">
        <v>2292</v>
      </c>
      <c r="G257">
        <f>'Assessment Questions'!J257</f>
        <v>4</v>
      </c>
      <c r="H257">
        <f t="shared" si="77"/>
        <v>0</v>
      </c>
      <c r="I257">
        <f t="shared" si="78"/>
        <v>0</v>
      </c>
      <c r="J257">
        <f t="shared" si="79"/>
        <v>4</v>
      </c>
      <c r="K257">
        <f t="shared" si="80"/>
        <v>4</v>
      </c>
      <c r="L257" t="str">
        <f t="shared" si="81"/>
        <v>Critical</v>
      </c>
      <c r="M257" t="s">
        <v>2293</v>
      </c>
      <c r="N257" t="s">
        <v>2294</v>
      </c>
      <c r="O257" t="s">
        <v>2295</v>
      </c>
      <c r="P257" t="s">
        <v>2296</v>
      </c>
      <c r="Q257" t="s">
        <v>2297</v>
      </c>
      <c r="R257" t="s">
        <v>2298</v>
      </c>
      <c r="S257" t="s">
        <v>2299</v>
      </c>
      <c r="T257">
        <f>'Assessment Questions'!W257</f>
        <v>0</v>
      </c>
      <c r="U257">
        <f>'Assessment Questions'!X257</f>
        <v>0</v>
      </c>
      <c r="V257" t="str">
        <f>'Assessment Questions'!Y257</f>
        <v>Use the recommended action generated by the model; validate with domain owner during real assessment.</v>
      </c>
      <c r="W257">
        <v>5</v>
      </c>
      <c r="X257">
        <v>5</v>
      </c>
      <c r="Y257">
        <v>5</v>
      </c>
      <c r="Z257">
        <f>'Assessment Questions'!AC257</f>
        <v>0</v>
      </c>
      <c r="AA257" t="s">
        <v>2288</v>
      </c>
      <c r="AB257">
        <f t="shared" ref="AB257:AB280" si="100">COUNTIF($B$257:$B$280,$AA257)</f>
        <v>4</v>
      </c>
      <c r="AC257">
        <f t="shared" ref="AC257:AC280" si="101">IFERROR(SUMPRODUCT(($B$257:$B$280=$AA257)*($H$257:$H$280&lt;&gt;"")*($H$257:$H$280&lt;&gt;"N/A")*IFERROR(VALUE($H$257:$H$280),0))/SUMPRODUCT(($B$257:$B$280=$AA257)*($H$257:$H$280&lt;&gt;"")*($H$257:$H$280&lt;&gt;"N/A")),0)</f>
        <v>0</v>
      </c>
      <c r="AD257">
        <f t="shared" si="82"/>
        <v>0</v>
      </c>
      <c r="AE257">
        <f t="shared" ref="AE257:AE280" si="102">COUNTIFS($B$257:$B$280,$AA257,$L$257:$L$280,"Critical")+COUNTIFS($B$257:$B$280,$AA257,$L$257:$L$280,"High")</f>
        <v>4</v>
      </c>
      <c r="AF257">
        <f t="shared" si="83"/>
        <v>5</v>
      </c>
      <c r="AG257">
        <f t="shared" ref="AG257:AG280" si="103">SUMPRODUCT(($B$257:$B$280=$AA257)*(ISNUMBER($H$257:$H$280)+($H$257:$H$280="N/A")))</f>
        <v>4</v>
      </c>
      <c r="AH257">
        <f>'Assessment Questions'!AK257</f>
        <v>0</v>
      </c>
      <c r="AI257">
        <f>'Assessment Questions'!AL257</f>
        <v>0</v>
      </c>
      <c r="AJ257">
        <f>IF(OR($H257="",$H257="N/A"),"",IF($AH257="",VLOOKUP('Company Profile'!$B$40,_CONFIG_Model_Settings!$A$5:$B$8,2,FALSE),IFERROR(VLOOKUP($AH257,_CONFIG_Model_Settings!$A$5:$B$8,2,FALSE),0.9)))</f>
        <v>0.9</v>
      </c>
      <c r="AK257">
        <f>IF(OR($H257="",$H257="N/A"),"",IF($AI257="",VLOOKUP('Company Profile'!$B$41,_CONFIG_Model_Settings!$A$5:$B$8,2,FALSE),IFERROR(VLOOKUP($AI257,_CONFIG_Model_Settings!$A$5:$B$8,2,FALSE),0.9)))</f>
        <v>0.9</v>
      </c>
      <c r="AL257">
        <f t="shared" si="84"/>
        <v>0</v>
      </c>
      <c r="AM257">
        <f t="shared" si="85"/>
        <v>0</v>
      </c>
      <c r="AN257">
        <f>IFERROR(MIN(5,MAX(0,(SUMIFS(_REF_Model_Content!$D$1:$D$174,_REF_Model_Content!$A$1:$A$174,PV_Canonical_Industry,_REF_Model_Content!$B$1:$B$174,"Sales CRM"))+IFERROR(VLOOKUP('Company Profile'!$B$35,_CONFIG_Model_Settings!$A$11:$B$13,2,0),0))),"")</f>
        <v>0</v>
      </c>
      <c r="AO257">
        <f t="shared" si="86"/>
        <v>0</v>
      </c>
      <c r="AP257">
        <f>IFERROR(SUMIFS(_REF_Model_Content!$E$1:$E$174,_REF_Model_Content!$A$1:$A$174,PV_Canonical_Industry,_REF_Model_Content!$B$1:$B$174,"Sales CRM"),1)</f>
        <v>0</v>
      </c>
      <c r="AQ257">
        <f t="shared" si="87"/>
        <v>0</v>
      </c>
      <c r="AR257" t="str">
        <f t="shared" si="88"/>
        <v>Within target</v>
      </c>
      <c r="AS257">
        <f t="shared" si="89"/>
        <v>0</v>
      </c>
      <c r="AT257">
        <f t="shared" si="90"/>
        <v>0.9</v>
      </c>
      <c r="AU257">
        <f>'Assessment Questions'!AX257</f>
        <v>0</v>
      </c>
      <c r="AV257">
        <f t="shared" si="91"/>
        <v>0.9</v>
      </c>
      <c r="AW257" t="s">
        <v>2286</v>
      </c>
      <c r="AX257" t="s">
        <v>2286</v>
      </c>
      <c r="AY257">
        <v>5</v>
      </c>
      <c r="AZ257">
        <v>257</v>
      </c>
    </row>
    <row r="258" spans="1:52">
      <c r="A258" t="s">
        <v>2300</v>
      </c>
      <c r="B258" t="s">
        <v>2288</v>
      </c>
      <c r="C258" t="s">
        <v>2301</v>
      </c>
      <c r="D258" t="s">
        <v>2290</v>
      </c>
      <c r="E258" t="s">
        <v>2291</v>
      </c>
      <c r="F258" t="s">
        <v>2302</v>
      </c>
      <c r="G258">
        <f>'Assessment Questions'!J258</f>
        <v>4</v>
      </c>
      <c r="H258">
        <f t="shared" si="77"/>
        <v>0</v>
      </c>
      <c r="I258">
        <f t="shared" si="78"/>
        <v>0</v>
      </c>
      <c r="J258">
        <f t="shared" si="79"/>
        <v>4</v>
      </c>
      <c r="K258">
        <f t="shared" si="80"/>
        <v>4</v>
      </c>
      <c r="L258" t="str">
        <f t="shared" si="81"/>
        <v>Critical</v>
      </c>
      <c r="M258" t="s">
        <v>2303</v>
      </c>
      <c r="N258" t="s">
        <v>2304</v>
      </c>
      <c r="O258" t="s">
        <v>2305</v>
      </c>
      <c r="P258" t="s">
        <v>2306</v>
      </c>
      <c r="Q258" t="s">
        <v>2307</v>
      </c>
      <c r="R258" t="s">
        <v>2308</v>
      </c>
      <c r="S258" t="s">
        <v>2299</v>
      </c>
      <c r="T258">
        <f>'Assessment Questions'!W258</f>
        <v>0</v>
      </c>
      <c r="U258">
        <f>'Assessment Questions'!X258</f>
        <v>0</v>
      </c>
      <c r="V258" t="str">
        <f>'Assessment Questions'!Y258</f>
        <v>Use the recommended action generated by the model; validate with domain owner during real assessment.</v>
      </c>
      <c r="W258">
        <v>5</v>
      </c>
      <c r="X258">
        <v>5</v>
      </c>
      <c r="Y258">
        <v>5</v>
      </c>
      <c r="Z258">
        <f>'Assessment Questions'!AC258</f>
        <v>0</v>
      </c>
      <c r="AA258" t="s">
        <v>2309</v>
      </c>
      <c r="AB258">
        <f t="shared" si="100"/>
        <v>5</v>
      </c>
      <c r="AC258">
        <f t="shared" si="101"/>
        <v>0</v>
      </c>
      <c r="AD258">
        <f t="shared" si="82"/>
        <v>0</v>
      </c>
      <c r="AE258">
        <f t="shared" si="102"/>
        <v>5</v>
      </c>
      <c r="AF258">
        <f t="shared" si="83"/>
        <v>5</v>
      </c>
      <c r="AG258">
        <f t="shared" si="103"/>
        <v>5</v>
      </c>
      <c r="AH258">
        <f>'Assessment Questions'!AK258</f>
        <v>0</v>
      </c>
      <c r="AI258">
        <f>'Assessment Questions'!AL258</f>
        <v>0</v>
      </c>
      <c r="AJ258">
        <f>IF(OR($H258="",$H258="N/A"),"",IF($AH258="",VLOOKUP('Company Profile'!$B$40,_CONFIG_Model_Settings!$A$5:$B$8,2,FALSE),IFERROR(VLOOKUP($AH258,_CONFIG_Model_Settings!$A$5:$B$8,2,FALSE),0.9)))</f>
        <v>0.9</v>
      </c>
      <c r="AK258">
        <f>IF(OR($H258="",$H258="N/A"),"",IF($AI258="",VLOOKUP('Company Profile'!$B$41,_CONFIG_Model_Settings!$A$5:$B$8,2,FALSE),IFERROR(VLOOKUP($AI258,_CONFIG_Model_Settings!$A$5:$B$8,2,FALSE),0.9)))</f>
        <v>0.9</v>
      </c>
      <c r="AL258">
        <f t="shared" si="84"/>
        <v>0</v>
      </c>
      <c r="AM258">
        <f t="shared" si="85"/>
        <v>0</v>
      </c>
      <c r="AN258">
        <f>IFERROR(MIN(5,MAX(0,(SUMIFS(_REF_Model_Content!$D$1:$D$174,_REF_Model_Content!$A$1:$A$174,PV_Canonical_Industry,_REF_Model_Content!$B$1:$B$174,"Sales CRM"))+IFERROR(VLOOKUP('Company Profile'!$B$35,_CONFIG_Model_Settings!$A$11:$B$13,2,0),0))),"")</f>
        <v>0</v>
      </c>
      <c r="AO258">
        <f t="shared" si="86"/>
        <v>0</v>
      </c>
      <c r="AP258">
        <f>IFERROR(SUMIFS(_REF_Model_Content!$E$1:$E$174,_REF_Model_Content!$A$1:$A$174,PV_Canonical_Industry,_REF_Model_Content!$B$1:$B$174,"Sales CRM"),1)</f>
        <v>0</v>
      </c>
      <c r="AQ258">
        <f t="shared" si="87"/>
        <v>0</v>
      </c>
      <c r="AR258" t="str">
        <f t="shared" si="88"/>
        <v>Within target</v>
      </c>
      <c r="AS258">
        <f t="shared" si="89"/>
        <v>0</v>
      </c>
      <c r="AT258">
        <f t="shared" si="90"/>
        <v>0.9</v>
      </c>
      <c r="AU258">
        <f>'Assessment Questions'!AX258</f>
        <v>0</v>
      </c>
      <c r="AV258">
        <f t="shared" si="91"/>
        <v>0.9</v>
      </c>
      <c r="AW258" t="s">
        <v>2286</v>
      </c>
      <c r="AX258" t="s">
        <v>2286</v>
      </c>
      <c r="AY258">
        <v>6</v>
      </c>
      <c r="AZ258">
        <v>258</v>
      </c>
    </row>
    <row r="259" spans="1:52">
      <c r="A259" t="s">
        <v>2310</v>
      </c>
      <c r="B259" t="s">
        <v>2288</v>
      </c>
      <c r="C259" t="s">
        <v>2311</v>
      </c>
      <c r="D259" t="s">
        <v>2290</v>
      </c>
      <c r="E259" t="s">
        <v>2291</v>
      </c>
      <c r="F259" t="s">
        <v>2312</v>
      </c>
      <c r="G259">
        <f>'Assessment Questions'!J259</f>
        <v>4</v>
      </c>
      <c r="H259">
        <f t="shared" si="77"/>
        <v>0</v>
      </c>
      <c r="I259">
        <f t="shared" si="78"/>
        <v>0</v>
      </c>
      <c r="J259">
        <f t="shared" si="79"/>
        <v>4</v>
      </c>
      <c r="K259">
        <f t="shared" si="80"/>
        <v>4</v>
      </c>
      <c r="L259" t="str">
        <f t="shared" si="81"/>
        <v>Critical</v>
      </c>
      <c r="M259" t="s">
        <v>2313</v>
      </c>
      <c r="N259" t="s">
        <v>2314</v>
      </c>
      <c r="O259" t="s">
        <v>2315</v>
      </c>
      <c r="P259" t="s">
        <v>2316</v>
      </c>
      <c r="Q259" t="s">
        <v>2317</v>
      </c>
      <c r="R259" t="s">
        <v>2318</v>
      </c>
      <c r="S259" t="s">
        <v>2299</v>
      </c>
      <c r="T259">
        <f>'Assessment Questions'!W259</f>
        <v>0</v>
      </c>
      <c r="U259">
        <f>'Assessment Questions'!X259</f>
        <v>0</v>
      </c>
      <c r="V259" t="str">
        <f>'Assessment Questions'!Y259</f>
        <v>Use the recommended action generated by the model; validate with domain owner during real assessment.</v>
      </c>
      <c r="W259">
        <v>5</v>
      </c>
      <c r="X259">
        <v>5</v>
      </c>
      <c r="Y259">
        <v>5</v>
      </c>
      <c r="Z259">
        <f>'Assessment Questions'!AC259</f>
        <v>0</v>
      </c>
      <c r="AA259" t="s">
        <v>2319</v>
      </c>
      <c r="AB259">
        <f t="shared" si="100"/>
        <v>6</v>
      </c>
      <c r="AC259">
        <f t="shared" si="101"/>
        <v>0</v>
      </c>
      <c r="AD259">
        <f t="shared" si="82"/>
        <v>0</v>
      </c>
      <c r="AE259">
        <f t="shared" si="102"/>
        <v>6</v>
      </c>
      <c r="AF259">
        <f t="shared" si="83"/>
        <v>5</v>
      </c>
      <c r="AG259">
        <f t="shared" si="103"/>
        <v>6</v>
      </c>
      <c r="AH259">
        <f>'Assessment Questions'!AK259</f>
        <v>0</v>
      </c>
      <c r="AI259">
        <f>'Assessment Questions'!AL259</f>
        <v>0</v>
      </c>
      <c r="AJ259">
        <f>IF(OR($H259="",$H259="N/A"),"",IF($AH259="",VLOOKUP('Company Profile'!$B$40,_CONFIG_Model_Settings!$A$5:$B$8,2,FALSE),IFERROR(VLOOKUP($AH259,_CONFIG_Model_Settings!$A$5:$B$8,2,FALSE),0.9)))</f>
        <v>0.9</v>
      </c>
      <c r="AK259">
        <f>IF(OR($H259="",$H259="N/A"),"",IF($AI259="",VLOOKUP('Company Profile'!$B$41,_CONFIG_Model_Settings!$A$5:$B$8,2,FALSE),IFERROR(VLOOKUP($AI259,_CONFIG_Model_Settings!$A$5:$B$8,2,FALSE),0.9)))</f>
        <v>0.9</v>
      </c>
      <c r="AL259">
        <f t="shared" si="84"/>
        <v>0</v>
      </c>
      <c r="AM259">
        <f t="shared" si="85"/>
        <v>0</v>
      </c>
      <c r="AN259">
        <f>IFERROR(MIN(5,MAX(0,(SUMIFS(_REF_Model_Content!$D$1:$D$174,_REF_Model_Content!$A$1:$A$174,PV_Canonical_Industry,_REF_Model_Content!$B$1:$B$174,"Sales CRM"))+IFERROR(VLOOKUP('Company Profile'!$B$35,_CONFIG_Model_Settings!$A$11:$B$13,2,0),0))),"")</f>
        <v>0</v>
      </c>
      <c r="AO259">
        <f t="shared" si="86"/>
        <v>0</v>
      </c>
      <c r="AP259">
        <f>IFERROR(SUMIFS(_REF_Model_Content!$E$1:$E$174,_REF_Model_Content!$A$1:$A$174,PV_Canonical_Industry,_REF_Model_Content!$B$1:$B$174,"Sales CRM"),1)</f>
        <v>0</v>
      </c>
      <c r="AQ259">
        <f t="shared" si="87"/>
        <v>0</v>
      </c>
      <c r="AR259" t="str">
        <f t="shared" si="88"/>
        <v>Within target</v>
      </c>
      <c r="AS259">
        <f t="shared" si="89"/>
        <v>0</v>
      </c>
      <c r="AT259">
        <f t="shared" si="90"/>
        <v>0.9</v>
      </c>
      <c r="AU259">
        <f>'Assessment Questions'!AX259</f>
        <v>0</v>
      </c>
      <c r="AV259">
        <f t="shared" si="91"/>
        <v>0.9</v>
      </c>
      <c r="AW259" t="s">
        <v>2286</v>
      </c>
      <c r="AX259" t="s">
        <v>2286</v>
      </c>
      <c r="AY259">
        <v>7</v>
      </c>
      <c r="AZ259">
        <v>259</v>
      </c>
    </row>
    <row r="260" spans="1:52">
      <c r="A260" t="s">
        <v>2320</v>
      </c>
      <c r="B260" t="s">
        <v>2288</v>
      </c>
      <c r="C260" t="s">
        <v>2321</v>
      </c>
      <c r="D260" t="s">
        <v>2290</v>
      </c>
      <c r="E260" t="s">
        <v>2291</v>
      </c>
      <c r="F260" t="s">
        <v>2322</v>
      </c>
      <c r="G260">
        <f>'Assessment Questions'!J260</f>
        <v>4</v>
      </c>
      <c r="H260">
        <f t="shared" si="77"/>
        <v>0</v>
      </c>
      <c r="I260">
        <f t="shared" si="78"/>
        <v>0</v>
      </c>
      <c r="J260">
        <f t="shared" si="79"/>
        <v>4</v>
      </c>
      <c r="K260">
        <f t="shared" si="80"/>
        <v>4</v>
      </c>
      <c r="L260" t="str">
        <f t="shared" si="81"/>
        <v>Critical</v>
      </c>
      <c r="M260" t="s">
        <v>2323</v>
      </c>
      <c r="N260" t="s">
        <v>2324</v>
      </c>
      <c r="O260" t="s">
        <v>2325</v>
      </c>
      <c r="P260" t="s">
        <v>2326</v>
      </c>
      <c r="Q260" t="s">
        <v>2327</v>
      </c>
      <c r="R260" t="s">
        <v>2328</v>
      </c>
      <c r="S260" t="s">
        <v>2299</v>
      </c>
      <c r="T260">
        <f>'Assessment Questions'!W260</f>
        <v>0</v>
      </c>
      <c r="U260">
        <f>'Assessment Questions'!X260</f>
        <v>0</v>
      </c>
      <c r="V260" t="str">
        <f>'Assessment Questions'!Y260</f>
        <v>Use the recommended action generated by the model; validate with domain owner during real assessment.</v>
      </c>
      <c r="W260">
        <v>5</v>
      </c>
      <c r="X260">
        <v>5</v>
      </c>
      <c r="Y260">
        <v>5</v>
      </c>
      <c r="Z260">
        <f>'Assessment Questions'!AC260</f>
        <v>0</v>
      </c>
      <c r="AA260" t="s">
        <v>2329</v>
      </c>
      <c r="AB260">
        <f t="shared" si="100"/>
        <v>4</v>
      </c>
      <c r="AC260">
        <f t="shared" si="101"/>
        <v>0</v>
      </c>
      <c r="AD260">
        <f t="shared" si="82"/>
        <v>0</v>
      </c>
      <c r="AE260">
        <f t="shared" si="102"/>
        <v>4</v>
      </c>
      <c r="AF260">
        <f t="shared" si="83"/>
        <v>5</v>
      </c>
      <c r="AG260">
        <f t="shared" si="103"/>
        <v>4</v>
      </c>
      <c r="AH260">
        <f>'Assessment Questions'!AK260</f>
        <v>0</v>
      </c>
      <c r="AI260">
        <f>'Assessment Questions'!AL260</f>
        <v>0</v>
      </c>
      <c r="AJ260">
        <f>IF(OR($H260="",$H260="N/A"),"",IF($AH260="",VLOOKUP('Company Profile'!$B$40,_CONFIG_Model_Settings!$A$5:$B$8,2,FALSE),IFERROR(VLOOKUP($AH260,_CONFIG_Model_Settings!$A$5:$B$8,2,FALSE),0.9)))</f>
        <v>0.9</v>
      </c>
      <c r="AK260">
        <f>IF(OR($H260="",$H260="N/A"),"",IF($AI260="",VLOOKUP('Company Profile'!$B$41,_CONFIG_Model_Settings!$A$5:$B$8,2,FALSE),IFERROR(VLOOKUP($AI260,_CONFIG_Model_Settings!$A$5:$B$8,2,FALSE),0.9)))</f>
        <v>0.9</v>
      </c>
      <c r="AL260">
        <f t="shared" si="84"/>
        <v>0</v>
      </c>
      <c r="AM260">
        <f t="shared" si="85"/>
        <v>0</v>
      </c>
      <c r="AN260">
        <f>IFERROR(MIN(5,MAX(0,(SUMIFS(_REF_Model_Content!$D$1:$D$174,_REF_Model_Content!$A$1:$A$174,PV_Canonical_Industry,_REF_Model_Content!$B$1:$B$174,"Sales CRM"))+IFERROR(VLOOKUP('Company Profile'!$B$35,_CONFIG_Model_Settings!$A$11:$B$13,2,0),0))),"")</f>
        <v>0</v>
      </c>
      <c r="AO260">
        <f t="shared" si="86"/>
        <v>0</v>
      </c>
      <c r="AP260">
        <f>IFERROR(SUMIFS(_REF_Model_Content!$E$1:$E$174,_REF_Model_Content!$A$1:$A$174,PV_Canonical_Industry,_REF_Model_Content!$B$1:$B$174,"Sales CRM"),1)</f>
        <v>0</v>
      </c>
      <c r="AQ260">
        <f t="shared" si="87"/>
        <v>0</v>
      </c>
      <c r="AR260" t="str">
        <f t="shared" si="88"/>
        <v>Within target</v>
      </c>
      <c r="AS260">
        <f t="shared" si="89"/>
        <v>0</v>
      </c>
      <c r="AT260">
        <f t="shared" si="90"/>
        <v>0.9</v>
      </c>
      <c r="AU260">
        <f>'Assessment Questions'!AX260</f>
        <v>0</v>
      </c>
      <c r="AV260">
        <f t="shared" si="91"/>
        <v>0.9</v>
      </c>
      <c r="AW260" t="s">
        <v>2286</v>
      </c>
      <c r="AX260" t="s">
        <v>2286</v>
      </c>
      <c r="AY260">
        <v>8</v>
      </c>
      <c r="AZ260">
        <v>260</v>
      </c>
    </row>
    <row r="261" spans="1:52">
      <c r="A261" t="s">
        <v>2330</v>
      </c>
      <c r="B261" t="s">
        <v>2309</v>
      </c>
      <c r="C261" t="s">
        <v>2331</v>
      </c>
      <c r="D261" t="s">
        <v>2290</v>
      </c>
      <c r="E261" t="s">
        <v>2291</v>
      </c>
      <c r="F261" t="s">
        <v>2332</v>
      </c>
      <c r="G261">
        <f>'Assessment Questions'!J261</f>
        <v>4</v>
      </c>
      <c r="H261">
        <f t="shared" ref="H261:H324" si="104">IF($Z261="","",IF($Z261="N/A","N/A",VALUE(LEFT($Z261,1))))</f>
        <v>0</v>
      </c>
      <c r="I261">
        <f t="shared" ref="I261:I324" si="105">IF($H261="","",IF($H261="N/A","",VALUE($H261)/5*$G261))</f>
        <v>0</v>
      </c>
      <c r="J261">
        <f t="shared" ref="J261:J324" si="106">IF(OR($H261="",$H261="N/A"),"",$G261)</f>
        <v>4</v>
      </c>
      <c r="K261">
        <f t="shared" ref="K261:K324" si="107">IF(OR($H261="",$H261="N/A"),"",$J261-$I261)</f>
        <v>4</v>
      </c>
      <c r="L261" t="str">
        <f t="shared" ref="L261:L324" si="108">IF($H261="","",IF($H261="N/A","N/A",IF(VALUE($H261)&lt;=1,"Critical",IF(VALUE($H261)&lt;=2,"High",IF(VALUE($H261)&lt;=3,"Medium",IF(VALUE($H261)&lt;=4,"Low","Resilient"))))))</f>
        <v>Critical</v>
      </c>
      <c r="M261" t="s">
        <v>2333</v>
      </c>
      <c r="N261" t="s">
        <v>2334</v>
      </c>
      <c r="O261" t="s">
        <v>2335</v>
      </c>
      <c r="P261" t="s">
        <v>2336</v>
      </c>
      <c r="Q261" t="s">
        <v>2337</v>
      </c>
      <c r="R261" t="s">
        <v>2338</v>
      </c>
      <c r="S261" t="s">
        <v>2299</v>
      </c>
      <c r="T261">
        <f>'Assessment Questions'!W261</f>
        <v>0</v>
      </c>
      <c r="U261">
        <f>'Assessment Questions'!X261</f>
        <v>0</v>
      </c>
      <c r="V261" t="str">
        <f>'Assessment Questions'!Y261</f>
        <v>Use the recommended action generated by the model; validate with domain owner during real assessment.</v>
      </c>
      <c r="W261">
        <v>4</v>
      </c>
      <c r="X261">
        <v>5</v>
      </c>
      <c r="Y261">
        <v>5</v>
      </c>
      <c r="Z261">
        <f>'Assessment Questions'!AC261</f>
        <v>0</v>
      </c>
      <c r="AA261" t="s">
        <v>2339</v>
      </c>
      <c r="AB261">
        <f t="shared" si="100"/>
        <v>5</v>
      </c>
      <c r="AC261">
        <f t="shared" si="101"/>
        <v>0</v>
      </c>
      <c r="AD261">
        <f t="shared" ref="AD261:AD324" si="109">AC261/5</f>
        <v>0</v>
      </c>
      <c r="AE261">
        <f t="shared" si="102"/>
        <v>5</v>
      </c>
      <c r="AF261">
        <f t="shared" ref="AF261:AF324" si="110">5-AC261</f>
        <v>5</v>
      </c>
      <c r="AG261">
        <f t="shared" si="103"/>
        <v>5</v>
      </c>
      <c r="AH261">
        <f>'Assessment Questions'!AK261</f>
        <v>0</v>
      </c>
      <c r="AI261">
        <f>'Assessment Questions'!AL261</f>
        <v>0</v>
      </c>
      <c r="AJ261">
        <f>IF(OR($H261="",$H261="N/A"),"",IF($AH261="",VLOOKUP('Company Profile'!$B$40,_CONFIG_Model_Settings!$A$5:$B$8,2,FALSE),IFERROR(VLOOKUP($AH261,_CONFIG_Model_Settings!$A$5:$B$8,2,FALSE),0.9)))</f>
        <v>0.9</v>
      </c>
      <c r="AK261">
        <f>IF(OR($H261="",$H261="N/A"),"",IF($AI261="",VLOOKUP('Company Profile'!$B$41,_CONFIG_Model_Settings!$A$5:$B$8,2,FALSE),IFERROR(VLOOKUP($AI261,_CONFIG_Model_Settings!$A$5:$B$8,2,FALSE),0.9)))</f>
        <v>0.9</v>
      </c>
      <c r="AL261">
        <f t="shared" ref="AL261:AL324" si="111">IF(OR($H261="",$H261="N/A"),"",ROUND(VALUE($H261)*$AJ261*$AK261*$AV261,2))</f>
        <v>0</v>
      </c>
      <c r="AM261">
        <f t="shared" ref="AM261:AM324" si="112">IF($AL261="","",ROUND($AL261/5*100,1))</f>
        <v>0</v>
      </c>
      <c r="AN261">
        <f>IFERROR(MIN(5,MAX(0,(SUMIFS(_REF_Model_Content!$D$1:$D$174,_REF_Model_Content!$A$1:$A$174,PV_Canonical_Industry,_REF_Model_Content!$B$1:$B$174,"Sales CRM"))+IFERROR(VLOOKUP('Company Profile'!$B$35,_CONFIG_Model_Settings!$A$11:$B$13,2,0),0))),"")</f>
        <v>0</v>
      </c>
      <c r="AO261">
        <f t="shared" ref="AO261:AO324" si="113">IF($AL261="","",MAX(0,ROUND($AN261-$AL261,2)))</f>
        <v>0</v>
      </c>
      <c r="AP261">
        <f>IFERROR(SUMIFS(_REF_Model_Content!$E$1:$E$174,_REF_Model_Content!$A$1:$A$174,PV_Canonical_Industry,_REF_Model_Content!$B$1:$B$174,"Sales CRM"),1)</f>
        <v>0</v>
      </c>
      <c r="AQ261">
        <f t="shared" ref="AQ261:AQ324" si="114">IF($AO261="","",ROUND($AO261*$AP261*($G261/5),2))</f>
        <v>0</v>
      </c>
      <c r="AR261" t="str">
        <f t="shared" ref="AR261:AR324" si="115">IF($AO261="","",IF($AO261&gt;=2,"Critical industry gap",IF($AO261&gt;=1,"High industry gap",IF($AO261&gt;=0.5,"Moderate industry gap","Within target"))))</f>
        <v>Within target</v>
      </c>
      <c r="AS261">
        <f t="shared" ref="AS261:AS324" si="116">IF(OR($H261="",$H261="N/A"),0,VALUE($H261)*(($AJ261+$AK261)/2)*$AV261)</f>
        <v>0</v>
      </c>
      <c r="AT261">
        <f t="shared" ref="AT261:AT324" si="117">IF(OR($H261="",$H261="N/A"),0,($AJ261+$AK261)/2)</f>
        <v>0.9</v>
      </c>
      <c r="AU261">
        <f>'Assessment Questions'!AX261</f>
        <v>0</v>
      </c>
      <c r="AV261">
        <f t="shared" ref="AV261:AV324" si="118">IF(OR($H261="",$H261="N/A"),"",IF(OR($AU261="",$AU261="Everywhere",$AU261="Not applicable"),1,IF($AU261="Pilot / one team",0.4,IF($AU261="One unit or site",0.7,0.9))))</f>
        <v>0.9</v>
      </c>
      <c r="AW261" t="s">
        <v>2286</v>
      </c>
      <c r="AX261" t="s">
        <v>2286</v>
      </c>
      <c r="AY261">
        <v>9</v>
      </c>
      <c r="AZ261">
        <v>261</v>
      </c>
    </row>
    <row r="262" spans="1:52">
      <c r="A262" t="s">
        <v>2340</v>
      </c>
      <c r="B262" t="s">
        <v>2309</v>
      </c>
      <c r="C262" t="s">
        <v>2341</v>
      </c>
      <c r="D262" t="s">
        <v>2290</v>
      </c>
      <c r="E262" t="s">
        <v>2291</v>
      </c>
      <c r="F262" t="s">
        <v>2342</v>
      </c>
      <c r="G262">
        <f>'Assessment Questions'!J262</f>
        <v>5</v>
      </c>
      <c r="H262">
        <f t="shared" si="104"/>
        <v>0</v>
      </c>
      <c r="I262">
        <f t="shared" si="105"/>
        <v>0</v>
      </c>
      <c r="J262">
        <f t="shared" si="106"/>
        <v>5</v>
      </c>
      <c r="K262">
        <f t="shared" si="107"/>
        <v>5</v>
      </c>
      <c r="L262" t="str">
        <f t="shared" si="108"/>
        <v>Critical</v>
      </c>
      <c r="M262" t="s">
        <v>833</v>
      </c>
      <c r="N262" t="s">
        <v>834</v>
      </c>
      <c r="O262" t="s">
        <v>835</v>
      </c>
      <c r="P262" t="s">
        <v>836</v>
      </c>
      <c r="Q262" t="s">
        <v>837</v>
      </c>
      <c r="R262" t="s">
        <v>838</v>
      </c>
      <c r="S262" t="s">
        <v>2299</v>
      </c>
      <c r="T262">
        <f>'Assessment Questions'!W262</f>
        <v>0</v>
      </c>
      <c r="U262">
        <f>'Assessment Questions'!X262</f>
        <v>0</v>
      </c>
      <c r="V262" t="str">
        <f>'Assessment Questions'!Y262</f>
        <v>Use the recommended action generated by the model; validate with domain owner during real assessment.</v>
      </c>
      <c r="W262">
        <v>4</v>
      </c>
      <c r="X262">
        <v>5</v>
      </c>
      <c r="Y262">
        <v>5</v>
      </c>
      <c r="Z262">
        <f>'Assessment Questions'!AC262</f>
        <v>0</v>
      </c>
      <c r="AB262">
        <f t="shared" si="100"/>
        <v>0</v>
      </c>
      <c r="AC262">
        <f t="shared" si="101"/>
        <v>0</v>
      </c>
      <c r="AD262">
        <f t="shared" si="109"/>
        <v>0</v>
      </c>
      <c r="AE262">
        <f t="shared" si="102"/>
        <v>0</v>
      </c>
      <c r="AF262">
        <f t="shared" si="110"/>
        <v>5</v>
      </c>
      <c r="AG262">
        <f t="shared" si="103"/>
        <v>0</v>
      </c>
      <c r="AH262">
        <f>'Assessment Questions'!AK262</f>
        <v>0</v>
      </c>
      <c r="AI262">
        <f>'Assessment Questions'!AL262</f>
        <v>0</v>
      </c>
      <c r="AJ262">
        <f>IF(OR($H262="",$H262="N/A"),"",IF($AH262="",VLOOKUP('Company Profile'!$B$40,_CONFIG_Model_Settings!$A$5:$B$8,2,FALSE),IFERROR(VLOOKUP($AH262,_CONFIG_Model_Settings!$A$5:$B$8,2,FALSE),0.9)))</f>
        <v>0.9</v>
      </c>
      <c r="AK262">
        <f>IF(OR($H262="",$H262="N/A"),"",IF($AI262="",VLOOKUP('Company Profile'!$B$41,_CONFIG_Model_Settings!$A$5:$B$8,2,FALSE),IFERROR(VLOOKUP($AI262,_CONFIG_Model_Settings!$A$5:$B$8,2,FALSE),0.9)))</f>
        <v>0.9</v>
      </c>
      <c r="AL262">
        <f t="shared" si="111"/>
        <v>0</v>
      </c>
      <c r="AM262">
        <f t="shared" si="112"/>
        <v>0</v>
      </c>
      <c r="AN262">
        <f>IFERROR(MIN(5,MAX(0,(SUMIFS(_REF_Model_Content!$D$1:$D$174,_REF_Model_Content!$A$1:$A$174,PV_Canonical_Industry,_REF_Model_Content!$B$1:$B$174,"Sales CRM"))+IFERROR(VLOOKUP('Company Profile'!$B$35,_CONFIG_Model_Settings!$A$11:$B$13,2,0),0))),"")</f>
        <v>0</v>
      </c>
      <c r="AO262">
        <f t="shared" si="113"/>
        <v>0</v>
      </c>
      <c r="AP262">
        <f>IFERROR(SUMIFS(_REF_Model_Content!$E$1:$E$174,_REF_Model_Content!$A$1:$A$174,PV_Canonical_Industry,_REF_Model_Content!$B$1:$B$174,"Sales CRM"),1)</f>
        <v>0</v>
      </c>
      <c r="AQ262">
        <f t="shared" si="114"/>
        <v>0</v>
      </c>
      <c r="AR262" t="str">
        <f t="shared" si="115"/>
        <v>Within target</v>
      </c>
      <c r="AS262">
        <f t="shared" si="116"/>
        <v>0</v>
      </c>
      <c r="AT262">
        <f t="shared" si="117"/>
        <v>0.9</v>
      </c>
      <c r="AU262">
        <f>'Assessment Questions'!AX262</f>
        <v>0</v>
      </c>
      <c r="AV262">
        <f t="shared" si="118"/>
        <v>0.9</v>
      </c>
      <c r="AW262" t="s">
        <v>2286</v>
      </c>
      <c r="AX262" t="s">
        <v>2286</v>
      </c>
      <c r="AY262">
        <v>10</v>
      </c>
      <c r="AZ262">
        <v>262</v>
      </c>
    </row>
    <row r="263" spans="1:52">
      <c r="A263" t="s">
        <v>2343</v>
      </c>
      <c r="B263" t="s">
        <v>2309</v>
      </c>
      <c r="C263" t="s">
        <v>2344</v>
      </c>
      <c r="D263" t="s">
        <v>2290</v>
      </c>
      <c r="E263" t="s">
        <v>2291</v>
      </c>
      <c r="F263" t="s">
        <v>2345</v>
      </c>
      <c r="G263">
        <f>'Assessment Questions'!J263</f>
        <v>4</v>
      </c>
      <c r="H263">
        <f t="shared" si="104"/>
        <v>0</v>
      </c>
      <c r="I263">
        <f t="shared" si="105"/>
        <v>0</v>
      </c>
      <c r="J263">
        <f t="shared" si="106"/>
        <v>4</v>
      </c>
      <c r="K263">
        <f t="shared" si="107"/>
        <v>4</v>
      </c>
      <c r="L263" t="str">
        <f t="shared" si="108"/>
        <v>Critical</v>
      </c>
      <c r="M263" t="s">
        <v>2346</v>
      </c>
      <c r="N263" t="s">
        <v>2347</v>
      </c>
      <c r="O263" t="s">
        <v>2348</v>
      </c>
      <c r="P263" t="s">
        <v>2349</v>
      </c>
      <c r="Q263" t="s">
        <v>2350</v>
      </c>
      <c r="R263" t="s">
        <v>2351</v>
      </c>
      <c r="S263" t="s">
        <v>2299</v>
      </c>
      <c r="T263">
        <f>'Assessment Questions'!W263</f>
        <v>0</v>
      </c>
      <c r="U263">
        <f>'Assessment Questions'!X263</f>
        <v>0</v>
      </c>
      <c r="V263" t="str">
        <f>'Assessment Questions'!Y263</f>
        <v>Use the recommended action generated by the model; validate with domain owner during real assessment.</v>
      </c>
      <c r="W263">
        <v>4</v>
      </c>
      <c r="X263">
        <v>5</v>
      </c>
      <c r="Y263">
        <v>5</v>
      </c>
      <c r="Z263">
        <f>'Assessment Questions'!AC263</f>
        <v>0</v>
      </c>
      <c r="AB263">
        <f t="shared" si="100"/>
        <v>0</v>
      </c>
      <c r="AC263">
        <f t="shared" si="101"/>
        <v>0</v>
      </c>
      <c r="AD263">
        <f t="shared" si="109"/>
        <v>0</v>
      </c>
      <c r="AE263">
        <f t="shared" si="102"/>
        <v>0</v>
      </c>
      <c r="AF263">
        <f t="shared" si="110"/>
        <v>5</v>
      </c>
      <c r="AG263">
        <f t="shared" si="103"/>
        <v>0</v>
      </c>
      <c r="AH263">
        <f>'Assessment Questions'!AK263</f>
        <v>0</v>
      </c>
      <c r="AI263">
        <f>'Assessment Questions'!AL263</f>
        <v>0</v>
      </c>
      <c r="AJ263">
        <f>IF(OR($H263="",$H263="N/A"),"",IF($AH263="",VLOOKUP('Company Profile'!$B$40,_CONFIG_Model_Settings!$A$5:$B$8,2,FALSE),IFERROR(VLOOKUP($AH263,_CONFIG_Model_Settings!$A$5:$B$8,2,FALSE),0.9)))</f>
        <v>0.9</v>
      </c>
      <c r="AK263">
        <f>IF(OR($H263="",$H263="N/A"),"",IF($AI263="",VLOOKUP('Company Profile'!$B$41,_CONFIG_Model_Settings!$A$5:$B$8,2,FALSE),IFERROR(VLOOKUP($AI263,_CONFIG_Model_Settings!$A$5:$B$8,2,FALSE),0.9)))</f>
        <v>0.9</v>
      </c>
      <c r="AL263">
        <f t="shared" si="111"/>
        <v>0</v>
      </c>
      <c r="AM263">
        <f t="shared" si="112"/>
        <v>0</v>
      </c>
      <c r="AN263">
        <f>IFERROR(MIN(5,MAX(0,(SUMIFS(_REF_Model_Content!$D$1:$D$174,_REF_Model_Content!$A$1:$A$174,PV_Canonical_Industry,_REF_Model_Content!$B$1:$B$174,"Sales CRM"))+IFERROR(VLOOKUP('Company Profile'!$B$35,_CONFIG_Model_Settings!$A$11:$B$13,2,0),0))),"")</f>
        <v>0</v>
      </c>
      <c r="AO263">
        <f t="shared" si="113"/>
        <v>0</v>
      </c>
      <c r="AP263">
        <f>IFERROR(SUMIFS(_REF_Model_Content!$E$1:$E$174,_REF_Model_Content!$A$1:$A$174,PV_Canonical_Industry,_REF_Model_Content!$B$1:$B$174,"Sales CRM"),1)</f>
        <v>0</v>
      </c>
      <c r="AQ263">
        <f t="shared" si="114"/>
        <v>0</v>
      </c>
      <c r="AR263" t="str">
        <f t="shared" si="115"/>
        <v>Within target</v>
      </c>
      <c r="AS263">
        <f t="shared" si="116"/>
        <v>0</v>
      </c>
      <c r="AT263">
        <f t="shared" si="117"/>
        <v>0.9</v>
      </c>
      <c r="AU263">
        <f>'Assessment Questions'!AX263</f>
        <v>0</v>
      </c>
      <c r="AV263">
        <f t="shared" si="118"/>
        <v>0.9</v>
      </c>
      <c r="AW263" t="s">
        <v>2286</v>
      </c>
      <c r="AX263" t="s">
        <v>2286</v>
      </c>
      <c r="AY263">
        <v>11</v>
      </c>
      <c r="AZ263">
        <v>263</v>
      </c>
    </row>
    <row r="264" spans="1:52">
      <c r="A264" t="s">
        <v>2352</v>
      </c>
      <c r="B264" t="s">
        <v>2309</v>
      </c>
      <c r="C264" t="s">
        <v>2353</v>
      </c>
      <c r="D264" t="s">
        <v>2290</v>
      </c>
      <c r="E264" t="s">
        <v>2291</v>
      </c>
      <c r="F264" t="s">
        <v>2354</v>
      </c>
      <c r="G264">
        <f>'Assessment Questions'!J264</f>
        <v>4</v>
      </c>
      <c r="H264">
        <f t="shared" si="104"/>
        <v>0</v>
      </c>
      <c r="I264">
        <f t="shared" si="105"/>
        <v>0</v>
      </c>
      <c r="J264">
        <f t="shared" si="106"/>
        <v>4</v>
      </c>
      <c r="K264">
        <f t="shared" si="107"/>
        <v>4</v>
      </c>
      <c r="L264" t="str">
        <f t="shared" si="108"/>
        <v>Critical</v>
      </c>
      <c r="M264" t="s">
        <v>1202</v>
      </c>
      <c r="N264" t="s">
        <v>1203</v>
      </c>
      <c r="O264" t="s">
        <v>1204</v>
      </c>
      <c r="P264" t="s">
        <v>1205</v>
      </c>
      <c r="Q264" t="s">
        <v>1206</v>
      </c>
      <c r="R264" t="s">
        <v>1207</v>
      </c>
      <c r="S264" t="s">
        <v>2299</v>
      </c>
      <c r="T264">
        <f>'Assessment Questions'!W264</f>
        <v>0</v>
      </c>
      <c r="U264">
        <f>'Assessment Questions'!X264</f>
        <v>0</v>
      </c>
      <c r="V264" t="str">
        <f>'Assessment Questions'!Y264</f>
        <v>Use the recommended action generated by the model; validate with domain owner during real assessment.</v>
      </c>
      <c r="W264">
        <v>4</v>
      </c>
      <c r="X264">
        <v>5</v>
      </c>
      <c r="Y264">
        <v>5</v>
      </c>
      <c r="Z264">
        <f>'Assessment Questions'!AC264</f>
        <v>0</v>
      </c>
      <c r="AB264">
        <f t="shared" si="100"/>
        <v>0</v>
      </c>
      <c r="AC264">
        <f t="shared" si="101"/>
        <v>0</v>
      </c>
      <c r="AD264">
        <f t="shared" si="109"/>
        <v>0</v>
      </c>
      <c r="AE264">
        <f t="shared" si="102"/>
        <v>0</v>
      </c>
      <c r="AF264">
        <f t="shared" si="110"/>
        <v>5</v>
      </c>
      <c r="AG264">
        <f t="shared" si="103"/>
        <v>0</v>
      </c>
      <c r="AH264">
        <f>'Assessment Questions'!AK264</f>
        <v>0</v>
      </c>
      <c r="AI264">
        <f>'Assessment Questions'!AL264</f>
        <v>0</v>
      </c>
      <c r="AJ264">
        <f>IF(OR($H264="",$H264="N/A"),"",IF($AH264="",VLOOKUP('Company Profile'!$B$40,_CONFIG_Model_Settings!$A$5:$B$8,2,FALSE),IFERROR(VLOOKUP($AH264,_CONFIG_Model_Settings!$A$5:$B$8,2,FALSE),0.9)))</f>
        <v>0.9</v>
      </c>
      <c r="AK264">
        <f>IF(OR($H264="",$H264="N/A"),"",IF($AI264="",VLOOKUP('Company Profile'!$B$41,_CONFIG_Model_Settings!$A$5:$B$8,2,FALSE),IFERROR(VLOOKUP($AI264,_CONFIG_Model_Settings!$A$5:$B$8,2,FALSE),0.9)))</f>
        <v>0.9</v>
      </c>
      <c r="AL264">
        <f t="shared" si="111"/>
        <v>0</v>
      </c>
      <c r="AM264">
        <f t="shared" si="112"/>
        <v>0</v>
      </c>
      <c r="AN264">
        <f>IFERROR(MIN(5,MAX(0,(SUMIFS(_REF_Model_Content!$D$1:$D$174,_REF_Model_Content!$A$1:$A$174,PV_Canonical_Industry,_REF_Model_Content!$B$1:$B$174,"Sales CRM"))+IFERROR(VLOOKUP('Company Profile'!$B$35,_CONFIG_Model_Settings!$A$11:$B$13,2,0),0))),"")</f>
        <v>0</v>
      </c>
      <c r="AO264">
        <f t="shared" si="113"/>
        <v>0</v>
      </c>
      <c r="AP264">
        <f>IFERROR(SUMIFS(_REF_Model_Content!$E$1:$E$174,_REF_Model_Content!$A$1:$A$174,PV_Canonical_Industry,_REF_Model_Content!$B$1:$B$174,"Sales CRM"),1)</f>
        <v>0</v>
      </c>
      <c r="AQ264">
        <f t="shared" si="114"/>
        <v>0</v>
      </c>
      <c r="AR264" t="str">
        <f t="shared" si="115"/>
        <v>Within target</v>
      </c>
      <c r="AS264">
        <f t="shared" si="116"/>
        <v>0</v>
      </c>
      <c r="AT264">
        <f t="shared" si="117"/>
        <v>0.9</v>
      </c>
      <c r="AU264">
        <f>'Assessment Questions'!AX264</f>
        <v>0</v>
      </c>
      <c r="AV264">
        <f t="shared" si="118"/>
        <v>0.9</v>
      </c>
      <c r="AW264" t="s">
        <v>2286</v>
      </c>
      <c r="AX264" t="s">
        <v>2286</v>
      </c>
      <c r="AY264">
        <v>12</v>
      </c>
      <c r="AZ264">
        <v>264</v>
      </c>
    </row>
    <row r="265" spans="1:52">
      <c r="A265" t="s">
        <v>2355</v>
      </c>
      <c r="B265" t="s">
        <v>2309</v>
      </c>
      <c r="C265" t="s">
        <v>2356</v>
      </c>
      <c r="D265" t="s">
        <v>2290</v>
      </c>
      <c r="E265" t="s">
        <v>2291</v>
      </c>
      <c r="F265" t="s">
        <v>2357</v>
      </c>
      <c r="G265">
        <f>'Assessment Questions'!J265</f>
        <v>3</v>
      </c>
      <c r="H265">
        <f t="shared" si="104"/>
        <v>0</v>
      </c>
      <c r="I265">
        <f t="shared" si="105"/>
        <v>0</v>
      </c>
      <c r="J265">
        <f t="shared" si="106"/>
        <v>3</v>
      </c>
      <c r="K265">
        <f t="shared" si="107"/>
        <v>3</v>
      </c>
      <c r="L265" t="str">
        <f t="shared" si="108"/>
        <v>Critical</v>
      </c>
      <c r="M265" t="s">
        <v>2358</v>
      </c>
      <c r="N265" t="s">
        <v>2359</v>
      </c>
      <c r="O265" t="s">
        <v>2360</v>
      </c>
      <c r="P265" t="s">
        <v>2361</v>
      </c>
      <c r="Q265" t="s">
        <v>2362</v>
      </c>
      <c r="R265" t="s">
        <v>2363</v>
      </c>
      <c r="S265" t="s">
        <v>2299</v>
      </c>
      <c r="T265">
        <f>'Assessment Questions'!W265</f>
        <v>0</v>
      </c>
      <c r="U265">
        <f>'Assessment Questions'!X265</f>
        <v>0</v>
      </c>
      <c r="V265" t="str">
        <f>'Assessment Questions'!Y265</f>
        <v>Use the recommended action generated by the model; validate with domain owner during real assessment.</v>
      </c>
      <c r="W265">
        <v>5</v>
      </c>
      <c r="X265">
        <v>5</v>
      </c>
      <c r="Y265">
        <v>5</v>
      </c>
      <c r="Z265">
        <f>'Assessment Questions'!AC265</f>
        <v>0</v>
      </c>
      <c r="AB265">
        <f t="shared" si="100"/>
        <v>0</v>
      </c>
      <c r="AC265">
        <f t="shared" si="101"/>
        <v>0</v>
      </c>
      <c r="AD265">
        <f t="shared" si="109"/>
        <v>0</v>
      </c>
      <c r="AE265">
        <f t="shared" si="102"/>
        <v>0</v>
      </c>
      <c r="AF265">
        <f t="shared" si="110"/>
        <v>5</v>
      </c>
      <c r="AG265">
        <f t="shared" si="103"/>
        <v>0</v>
      </c>
      <c r="AH265">
        <f>'Assessment Questions'!AK265</f>
        <v>0</v>
      </c>
      <c r="AI265">
        <f>'Assessment Questions'!AL265</f>
        <v>0</v>
      </c>
      <c r="AJ265">
        <f>IF(OR($H265="",$H265="N/A"),"",IF($AH265="",VLOOKUP('Company Profile'!$B$40,_CONFIG_Model_Settings!$A$5:$B$8,2,FALSE),IFERROR(VLOOKUP($AH265,_CONFIG_Model_Settings!$A$5:$B$8,2,FALSE),0.9)))</f>
        <v>0.9</v>
      </c>
      <c r="AK265">
        <f>IF(OR($H265="",$H265="N/A"),"",IF($AI265="",VLOOKUP('Company Profile'!$B$41,_CONFIG_Model_Settings!$A$5:$B$8,2,FALSE),IFERROR(VLOOKUP($AI265,_CONFIG_Model_Settings!$A$5:$B$8,2,FALSE),0.9)))</f>
        <v>0.9</v>
      </c>
      <c r="AL265">
        <f t="shared" si="111"/>
        <v>0</v>
      </c>
      <c r="AM265">
        <f t="shared" si="112"/>
        <v>0</v>
      </c>
      <c r="AN265">
        <f>IFERROR(MIN(5,MAX(0,(SUMIFS(_REF_Model_Content!$D$1:$D$174,_REF_Model_Content!$A$1:$A$174,PV_Canonical_Industry,_REF_Model_Content!$B$1:$B$174,"Sales CRM"))+IFERROR(VLOOKUP('Company Profile'!$B$35,_CONFIG_Model_Settings!$A$11:$B$13,2,0),0))),"")</f>
        <v>0</v>
      </c>
      <c r="AO265">
        <f t="shared" si="113"/>
        <v>0</v>
      </c>
      <c r="AP265">
        <f>IFERROR(SUMIFS(_REF_Model_Content!$E$1:$E$174,_REF_Model_Content!$A$1:$A$174,PV_Canonical_Industry,_REF_Model_Content!$B$1:$B$174,"Sales CRM"),1)</f>
        <v>0</v>
      </c>
      <c r="AQ265">
        <f t="shared" si="114"/>
        <v>0</v>
      </c>
      <c r="AR265" t="str">
        <f t="shared" si="115"/>
        <v>Within target</v>
      </c>
      <c r="AS265">
        <f t="shared" si="116"/>
        <v>0</v>
      </c>
      <c r="AT265">
        <f t="shared" si="117"/>
        <v>0.9</v>
      </c>
      <c r="AU265">
        <f>'Assessment Questions'!AX265</f>
        <v>0</v>
      </c>
      <c r="AV265">
        <f t="shared" si="118"/>
        <v>0.9</v>
      </c>
      <c r="AW265" t="s">
        <v>2286</v>
      </c>
      <c r="AX265" t="s">
        <v>2286</v>
      </c>
      <c r="AY265">
        <v>13</v>
      </c>
      <c r="AZ265">
        <v>265</v>
      </c>
    </row>
    <row r="266" spans="1:52">
      <c r="A266" t="s">
        <v>2364</v>
      </c>
      <c r="B266" t="s">
        <v>2319</v>
      </c>
      <c r="C266" t="s">
        <v>2365</v>
      </c>
      <c r="D266" t="s">
        <v>2290</v>
      </c>
      <c r="E266" t="s">
        <v>2291</v>
      </c>
      <c r="F266" t="s">
        <v>2366</v>
      </c>
      <c r="G266">
        <f>'Assessment Questions'!J266</f>
        <v>4</v>
      </c>
      <c r="H266">
        <f t="shared" si="104"/>
        <v>0</v>
      </c>
      <c r="I266">
        <f t="shared" si="105"/>
        <v>0</v>
      </c>
      <c r="J266">
        <f t="shared" si="106"/>
        <v>4</v>
      </c>
      <c r="K266">
        <f t="shared" si="107"/>
        <v>4</v>
      </c>
      <c r="L266" t="str">
        <f t="shared" si="108"/>
        <v>Critical</v>
      </c>
      <c r="M266" t="s">
        <v>2367</v>
      </c>
      <c r="N266" t="s">
        <v>2368</v>
      </c>
      <c r="O266" t="s">
        <v>2369</v>
      </c>
      <c r="P266" t="s">
        <v>2370</v>
      </c>
      <c r="Q266" t="s">
        <v>2371</v>
      </c>
      <c r="R266" t="s">
        <v>2372</v>
      </c>
      <c r="S266" t="s">
        <v>2299</v>
      </c>
      <c r="T266">
        <f>'Assessment Questions'!W266</f>
        <v>0</v>
      </c>
      <c r="U266">
        <f>'Assessment Questions'!X266</f>
        <v>0</v>
      </c>
      <c r="V266" t="str">
        <f>'Assessment Questions'!Y266</f>
        <v>Use the recommended action generated by the model; validate with domain owner during real assessment.</v>
      </c>
      <c r="W266">
        <v>4</v>
      </c>
      <c r="X266">
        <v>5</v>
      </c>
      <c r="Y266">
        <v>5</v>
      </c>
      <c r="Z266">
        <f>'Assessment Questions'!AC266</f>
        <v>0</v>
      </c>
      <c r="AB266">
        <f t="shared" si="100"/>
        <v>0</v>
      </c>
      <c r="AC266">
        <f t="shared" si="101"/>
        <v>0</v>
      </c>
      <c r="AD266">
        <f t="shared" si="109"/>
        <v>0</v>
      </c>
      <c r="AE266">
        <f t="shared" si="102"/>
        <v>0</v>
      </c>
      <c r="AF266">
        <f t="shared" si="110"/>
        <v>5</v>
      </c>
      <c r="AG266">
        <f t="shared" si="103"/>
        <v>0</v>
      </c>
      <c r="AH266">
        <f>'Assessment Questions'!AK266</f>
        <v>0</v>
      </c>
      <c r="AI266">
        <f>'Assessment Questions'!AL266</f>
        <v>0</v>
      </c>
      <c r="AJ266">
        <f>IF(OR($H266="",$H266="N/A"),"",IF($AH266="",VLOOKUP('Company Profile'!$B$40,_CONFIG_Model_Settings!$A$5:$B$8,2,FALSE),IFERROR(VLOOKUP($AH266,_CONFIG_Model_Settings!$A$5:$B$8,2,FALSE),0.9)))</f>
        <v>0.9</v>
      </c>
      <c r="AK266">
        <f>IF(OR($H266="",$H266="N/A"),"",IF($AI266="",VLOOKUP('Company Profile'!$B$41,_CONFIG_Model_Settings!$A$5:$B$8,2,FALSE),IFERROR(VLOOKUP($AI266,_CONFIG_Model_Settings!$A$5:$B$8,2,FALSE),0.9)))</f>
        <v>0.9</v>
      </c>
      <c r="AL266">
        <f t="shared" si="111"/>
        <v>0</v>
      </c>
      <c r="AM266">
        <f t="shared" si="112"/>
        <v>0</v>
      </c>
      <c r="AN266">
        <f>IFERROR(MIN(5,MAX(0,(SUMIFS(_REF_Model_Content!$D$1:$D$174,_REF_Model_Content!$A$1:$A$174,PV_Canonical_Industry,_REF_Model_Content!$B$1:$B$174,"Sales CRM"))+IFERROR(VLOOKUP('Company Profile'!$B$35,_CONFIG_Model_Settings!$A$11:$B$13,2,0),0))),"")</f>
        <v>0</v>
      </c>
      <c r="AO266">
        <f t="shared" si="113"/>
        <v>0</v>
      </c>
      <c r="AP266">
        <f>IFERROR(SUMIFS(_REF_Model_Content!$E$1:$E$174,_REF_Model_Content!$A$1:$A$174,PV_Canonical_Industry,_REF_Model_Content!$B$1:$B$174,"Sales CRM"),1)</f>
        <v>0</v>
      </c>
      <c r="AQ266">
        <f t="shared" si="114"/>
        <v>0</v>
      </c>
      <c r="AR266" t="str">
        <f t="shared" si="115"/>
        <v>Within target</v>
      </c>
      <c r="AS266">
        <f t="shared" si="116"/>
        <v>0</v>
      </c>
      <c r="AT266">
        <f t="shared" si="117"/>
        <v>0.9</v>
      </c>
      <c r="AU266">
        <f>'Assessment Questions'!AX266</f>
        <v>0</v>
      </c>
      <c r="AV266">
        <f t="shared" si="118"/>
        <v>0.9</v>
      </c>
      <c r="AW266" t="s">
        <v>2286</v>
      </c>
      <c r="AX266" t="s">
        <v>2286</v>
      </c>
      <c r="AY266">
        <v>14</v>
      </c>
      <c r="AZ266">
        <v>266</v>
      </c>
    </row>
    <row r="267" spans="1:52">
      <c r="A267" t="s">
        <v>2373</v>
      </c>
      <c r="B267" t="s">
        <v>2319</v>
      </c>
      <c r="C267" t="s">
        <v>2374</v>
      </c>
      <c r="D267" t="s">
        <v>2290</v>
      </c>
      <c r="E267" t="s">
        <v>2291</v>
      </c>
      <c r="F267" t="s">
        <v>2375</v>
      </c>
      <c r="G267">
        <f>'Assessment Questions'!J267</f>
        <v>4</v>
      </c>
      <c r="H267">
        <f t="shared" si="104"/>
        <v>0</v>
      </c>
      <c r="I267">
        <f t="shared" si="105"/>
        <v>0</v>
      </c>
      <c r="J267">
        <f t="shared" si="106"/>
        <v>4</v>
      </c>
      <c r="K267">
        <f t="shared" si="107"/>
        <v>4</v>
      </c>
      <c r="L267" t="str">
        <f t="shared" si="108"/>
        <v>Critical</v>
      </c>
      <c r="M267" t="s">
        <v>2376</v>
      </c>
      <c r="N267" t="s">
        <v>2377</v>
      </c>
      <c r="O267" t="s">
        <v>2378</v>
      </c>
      <c r="P267" t="s">
        <v>2379</v>
      </c>
      <c r="Q267" t="s">
        <v>2380</v>
      </c>
      <c r="R267" t="s">
        <v>2381</v>
      </c>
      <c r="S267" t="s">
        <v>2299</v>
      </c>
      <c r="T267">
        <f>'Assessment Questions'!W267</f>
        <v>0</v>
      </c>
      <c r="U267">
        <f>'Assessment Questions'!X267</f>
        <v>0</v>
      </c>
      <c r="V267" t="str">
        <f>'Assessment Questions'!Y267</f>
        <v>Use the recommended action generated by the model; validate with domain owner during real assessment.</v>
      </c>
      <c r="W267">
        <v>4</v>
      </c>
      <c r="X267">
        <v>5</v>
      </c>
      <c r="Y267">
        <v>5</v>
      </c>
      <c r="Z267">
        <f>'Assessment Questions'!AC267</f>
        <v>0</v>
      </c>
      <c r="AB267">
        <f t="shared" si="100"/>
        <v>0</v>
      </c>
      <c r="AC267">
        <f t="shared" si="101"/>
        <v>0</v>
      </c>
      <c r="AD267">
        <f t="shared" si="109"/>
        <v>0</v>
      </c>
      <c r="AE267">
        <f t="shared" si="102"/>
        <v>0</v>
      </c>
      <c r="AF267">
        <f t="shared" si="110"/>
        <v>5</v>
      </c>
      <c r="AG267">
        <f t="shared" si="103"/>
        <v>0</v>
      </c>
      <c r="AH267">
        <f>'Assessment Questions'!AK267</f>
        <v>0</v>
      </c>
      <c r="AI267">
        <f>'Assessment Questions'!AL267</f>
        <v>0</v>
      </c>
      <c r="AJ267">
        <f>IF(OR($H267="",$H267="N/A"),"",IF($AH267="",VLOOKUP('Company Profile'!$B$40,_CONFIG_Model_Settings!$A$5:$B$8,2,FALSE),IFERROR(VLOOKUP($AH267,_CONFIG_Model_Settings!$A$5:$B$8,2,FALSE),0.9)))</f>
        <v>0.9</v>
      </c>
      <c r="AK267">
        <f>IF(OR($H267="",$H267="N/A"),"",IF($AI267="",VLOOKUP('Company Profile'!$B$41,_CONFIG_Model_Settings!$A$5:$B$8,2,FALSE),IFERROR(VLOOKUP($AI267,_CONFIG_Model_Settings!$A$5:$B$8,2,FALSE),0.9)))</f>
        <v>0.9</v>
      </c>
      <c r="AL267">
        <f t="shared" si="111"/>
        <v>0</v>
      </c>
      <c r="AM267">
        <f t="shared" si="112"/>
        <v>0</v>
      </c>
      <c r="AN267">
        <f>IFERROR(MIN(5,MAX(0,(SUMIFS(_REF_Model_Content!$D$1:$D$174,_REF_Model_Content!$A$1:$A$174,PV_Canonical_Industry,_REF_Model_Content!$B$1:$B$174,"Sales CRM"))+IFERROR(VLOOKUP('Company Profile'!$B$35,_CONFIG_Model_Settings!$A$11:$B$13,2,0),0))),"")</f>
        <v>0</v>
      </c>
      <c r="AO267">
        <f t="shared" si="113"/>
        <v>0</v>
      </c>
      <c r="AP267">
        <f>IFERROR(SUMIFS(_REF_Model_Content!$E$1:$E$174,_REF_Model_Content!$A$1:$A$174,PV_Canonical_Industry,_REF_Model_Content!$B$1:$B$174,"Sales CRM"),1)</f>
        <v>0</v>
      </c>
      <c r="AQ267">
        <f t="shared" si="114"/>
        <v>0</v>
      </c>
      <c r="AR267" t="str">
        <f t="shared" si="115"/>
        <v>Within target</v>
      </c>
      <c r="AS267">
        <f t="shared" si="116"/>
        <v>0</v>
      </c>
      <c r="AT267">
        <f t="shared" si="117"/>
        <v>0.9</v>
      </c>
      <c r="AU267">
        <f>'Assessment Questions'!AX267</f>
        <v>0</v>
      </c>
      <c r="AV267">
        <f t="shared" si="118"/>
        <v>0.9</v>
      </c>
      <c r="AW267" t="s">
        <v>2286</v>
      </c>
      <c r="AX267" t="s">
        <v>2286</v>
      </c>
      <c r="AY267">
        <v>15</v>
      </c>
      <c r="AZ267">
        <v>267</v>
      </c>
    </row>
    <row r="268" spans="1:52">
      <c r="A268" t="s">
        <v>2382</v>
      </c>
      <c r="B268" t="s">
        <v>2319</v>
      </c>
      <c r="C268" t="s">
        <v>2383</v>
      </c>
      <c r="D268" t="s">
        <v>2290</v>
      </c>
      <c r="E268" t="s">
        <v>2291</v>
      </c>
      <c r="F268" t="s">
        <v>2384</v>
      </c>
      <c r="G268">
        <f>'Assessment Questions'!J268</f>
        <v>3</v>
      </c>
      <c r="H268">
        <f t="shared" si="104"/>
        <v>0</v>
      </c>
      <c r="I268">
        <f t="shared" si="105"/>
        <v>0</v>
      </c>
      <c r="J268">
        <f t="shared" si="106"/>
        <v>3</v>
      </c>
      <c r="K268">
        <f t="shared" si="107"/>
        <v>3</v>
      </c>
      <c r="L268" t="str">
        <f t="shared" si="108"/>
        <v>Critical</v>
      </c>
      <c r="M268" t="s">
        <v>2385</v>
      </c>
      <c r="N268" t="s">
        <v>2386</v>
      </c>
      <c r="O268" t="s">
        <v>2387</v>
      </c>
      <c r="P268" t="s">
        <v>2388</v>
      </c>
      <c r="Q268" t="s">
        <v>2389</v>
      </c>
      <c r="R268" t="s">
        <v>2390</v>
      </c>
      <c r="S268" t="s">
        <v>2299</v>
      </c>
      <c r="T268">
        <f>'Assessment Questions'!W268</f>
        <v>0</v>
      </c>
      <c r="U268">
        <f>'Assessment Questions'!X268</f>
        <v>0</v>
      </c>
      <c r="V268" t="str">
        <f>'Assessment Questions'!Y268</f>
        <v>Use the recommended action generated by the model; validate with domain owner during real assessment.</v>
      </c>
      <c r="W268">
        <v>4</v>
      </c>
      <c r="X268">
        <v>5</v>
      </c>
      <c r="Y268">
        <v>5</v>
      </c>
      <c r="Z268">
        <f>'Assessment Questions'!AC268</f>
        <v>0</v>
      </c>
      <c r="AB268">
        <f t="shared" si="100"/>
        <v>0</v>
      </c>
      <c r="AC268">
        <f t="shared" si="101"/>
        <v>0</v>
      </c>
      <c r="AD268">
        <f t="shared" si="109"/>
        <v>0</v>
      </c>
      <c r="AE268">
        <f t="shared" si="102"/>
        <v>0</v>
      </c>
      <c r="AF268">
        <f t="shared" si="110"/>
        <v>5</v>
      </c>
      <c r="AG268">
        <f t="shared" si="103"/>
        <v>0</v>
      </c>
      <c r="AH268">
        <f>'Assessment Questions'!AK268</f>
        <v>0</v>
      </c>
      <c r="AI268">
        <f>'Assessment Questions'!AL268</f>
        <v>0</v>
      </c>
      <c r="AJ268">
        <f>IF(OR($H268="",$H268="N/A"),"",IF($AH268="",VLOOKUP('Company Profile'!$B$40,_CONFIG_Model_Settings!$A$5:$B$8,2,FALSE),IFERROR(VLOOKUP($AH268,_CONFIG_Model_Settings!$A$5:$B$8,2,FALSE),0.9)))</f>
        <v>0.9</v>
      </c>
      <c r="AK268">
        <f>IF(OR($H268="",$H268="N/A"),"",IF($AI268="",VLOOKUP('Company Profile'!$B$41,_CONFIG_Model_Settings!$A$5:$B$8,2,FALSE),IFERROR(VLOOKUP($AI268,_CONFIG_Model_Settings!$A$5:$B$8,2,FALSE),0.9)))</f>
        <v>0.9</v>
      </c>
      <c r="AL268">
        <f t="shared" si="111"/>
        <v>0</v>
      </c>
      <c r="AM268">
        <f t="shared" si="112"/>
        <v>0</v>
      </c>
      <c r="AN268">
        <f>IFERROR(MIN(5,MAX(0,(SUMIFS(_REF_Model_Content!$D$1:$D$174,_REF_Model_Content!$A$1:$A$174,PV_Canonical_Industry,_REF_Model_Content!$B$1:$B$174,"Sales CRM"))+IFERROR(VLOOKUP('Company Profile'!$B$35,_CONFIG_Model_Settings!$A$11:$B$13,2,0),0))),"")</f>
        <v>0</v>
      </c>
      <c r="AO268">
        <f t="shared" si="113"/>
        <v>0</v>
      </c>
      <c r="AP268">
        <f>IFERROR(SUMIFS(_REF_Model_Content!$E$1:$E$174,_REF_Model_Content!$A$1:$A$174,PV_Canonical_Industry,_REF_Model_Content!$B$1:$B$174,"Sales CRM"),1)</f>
        <v>0</v>
      </c>
      <c r="AQ268">
        <f t="shared" si="114"/>
        <v>0</v>
      </c>
      <c r="AR268" t="str">
        <f t="shared" si="115"/>
        <v>Within target</v>
      </c>
      <c r="AS268">
        <f t="shared" si="116"/>
        <v>0</v>
      </c>
      <c r="AT268">
        <f t="shared" si="117"/>
        <v>0.9</v>
      </c>
      <c r="AU268">
        <f>'Assessment Questions'!AX268</f>
        <v>0</v>
      </c>
      <c r="AV268">
        <f t="shared" si="118"/>
        <v>0.9</v>
      </c>
      <c r="AW268" t="s">
        <v>2286</v>
      </c>
      <c r="AX268" t="s">
        <v>2286</v>
      </c>
      <c r="AY268">
        <v>16</v>
      </c>
      <c r="AZ268">
        <v>268</v>
      </c>
    </row>
    <row r="269" spans="1:52">
      <c r="A269" t="s">
        <v>2391</v>
      </c>
      <c r="B269" t="s">
        <v>2319</v>
      </c>
      <c r="C269" t="s">
        <v>2392</v>
      </c>
      <c r="D269" t="s">
        <v>2290</v>
      </c>
      <c r="E269" t="s">
        <v>2291</v>
      </c>
      <c r="F269" t="s">
        <v>2393</v>
      </c>
      <c r="G269">
        <f>'Assessment Questions'!J269</f>
        <v>5</v>
      </c>
      <c r="H269">
        <f t="shared" si="104"/>
        <v>0</v>
      </c>
      <c r="I269">
        <f t="shared" si="105"/>
        <v>0</v>
      </c>
      <c r="J269">
        <f t="shared" si="106"/>
        <v>5</v>
      </c>
      <c r="K269">
        <f t="shared" si="107"/>
        <v>5</v>
      </c>
      <c r="L269" t="str">
        <f t="shared" si="108"/>
        <v>Critical</v>
      </c>
      <c r="M269" t="s">
        <v>874</v>
      </c>
      <c r="N269" t="s">
        <v>875</v>
      </c>
      <c r="O269" t="s">
        <v>876</v>
      </c>
      <c r="P269" t="s">
        <v>877</v>
      </c>
      <c r="Q269" t="s">
        <v>878</v>
      </c>
      <c r="R269" t="s">
        <v>879</v>
      </c>
      <c r="S269" t="s">
        <v>2299</v>
      </c>
      <c r="T269">
        <f>'Assessment Questions'!W269</f>
        <v>0</v>
      </c>
      <c r="U269">
        <f>'Assessment Questions'!X269</f>
        <v>0</v>
      </c>
      <c r="V269" t="str">
        <f>'Assessment Questions'!Y269</f>
        <v>Use the recommended action generated by the model; validate with domain owner during real assessment.</v>
      </c>
      <c r="W269">
        <v>4</v>
      </c>
      <c r="X269">
        <v>5</v>
      </c>
      <c r="Y269">
        <v>5</v>
      </c>
      <c r="Z269">
        <f>'Assessment Questions'!AC269</f>
        <v>0</v>
      </c>
      <c r="AB269">
        <f t="shared" si="100"/>
        <v>0</v>
      </c>
      <c r="AC269">
        <f t="shared" si="101"/>
        <v>0</v>
      </c>
      <c r="AD269">
        <f t="shared" si="109"/>
        <v>0</v>
      </c>
      <c r="AE269">
        <f t="shared" si="102"/>
        <v>0</v>
      </c>
      <c r="AF269">
        <f t="shared" si="110"/>
        <v>5</v>
      </c>
      <c r="AG269">
        <f t="shared" si="103"/>
        <v>0</v>
      </c>
      <c r="AH269">
        <f>'Assessment Questions'!AK269</f>
        <v>0</v>
      </c>
      <c r="AI269">
        <f>'Assessment Questions'!AL269</f>
        <v>0</v>
      </c>
      <c r="AJ269">
        <f>IF(OR($H269="",$H269="N/A"),"",IF($AH269="",VLOOKUP('Company Profile'!$B$40,_CONFIG_Model_Settings!$A$5:$B$8,2,FALSE),IFERROR(VLOOKUP($AH269,_CONFIG_Model_Settings!$A$5:$B$8,2,FALSE),0.9)))</f>
        <v>0.9</v>
      </c>
      <c r="AK269">
        <f>IF(OR($H269="",$H269="N/A"),"",IF($AI269="",VLOOKUP('Company Profile'!$B$41,_CONFIG_Model_Settings!$A$5:$B$8,2,FALSE),IFERROR(VLOOKUP($AI269,_CONFIG_Model_Settings!$A$5:$B$8,2,FALSE),0.9)))</f>
        <v>0.9</v>
      </c>
      <c r="AL269">
        <f t="shared" si="111"/>
        <v>0</v>
      </c>
      <c r="AM269">
        <f t="shared" si="112"/>
        <v>0</v>
      </c>
      <c r="AN269">
        <f>IFERROR(MIN(5,MAX(0,(SUMIFS(_REF_Model_Content!$D$1:$D$174,_REF_Model_Content!$A$1:$A$174,PV_Canonical_Industry,_REF_Model_Content!$B$1:$B$174,"Sales CRM"))+IFERROR(VLOOKUP('Company Profile'!$B$35,_CONFIG_Model_Settings!$A$11:$B$13,2,0),0))),"")</f>
        <v>0</v>
      </c>
      <c r="AO269">
        <f t="shared" si="113"/>
        <v>0</v>
      </c>
      <c r="AP269">
        <f>IFERROR(SUMIFS(_REF_Model_Content!$E$1:$E$174,_REF_Model_Content!$A$1:$A$174,PV_Canonical_Industry,_REF_Model_Content!$B$1:$B$174,"Sales CRM"),1)</f>
        <v>0</v>
      </c>
      <c r="AQ269">
        <f t="shared" si="114"/>
        <v>0</v>
      </c>
      <c r="AR269" t="str">
        <f t="shared" si="115"/>
        <v>Within target</v>
      </c>
      <c r="AS269">
        <f t="shared" si="116"/>
        <v>0</v>
      </c>
      <c r="AT269">
        <f t="shared" si="117"/>
        <v>0.9</v>
      </c>
      <c r="AU269">
        <f>'Assessment Questions'!AX269</f>
        <v>0</v>
      </c>
      <c r="AV269">
        <f t="shared" si="118"/>
        <v>0.9</v>
      </c>
      <c r="AW269" t="s">
        <v>2286</v>
      </c>
      <c r="AX269" t="s">
        <v>2286</v>
      </c>
      <c r="AY269">
        <v>17</v>
      </c>
      <c r="AZ269">
        <v>269</v>
      </c>
    </row>
    <row r="270" spans="1:52">
      <c r="A270" t="s">
        <v>2394</v>
      </c>
      <c r="B270" t="s">
        <v>2319</v>
      </c>
      <c r="C270" t="s">
        <v>2395</v>
      </c>
      <c r="D270" t="s">
        <v>2290</v>
      </c>
      <c r="E270" t="s">
        <v>2291</v>
      </c>
      <c r="F270" t="s">
        <v>2396</v>
      </c>
      <c r="G270">
        <f>'Assessment Questions'!J270</f>
        <v>5</v>
      </c>
      <c r="H270">
        <f t="shared" si="104"/>
        <v>0</v>
      </c>
      <c r="I270">
        <f t="shared" si="105"/>
        <v>0</v>
      </c>
      <c r="J270">
        <f t="shared" si="106"/>
        <v>5</v>
      </c>
      <c r="K270">
        <f t="shared" si="107"/>
        <v>5</v>
      </c>
      <c r="L270" t="str">
        <f t="shared" si="108"/>
        <v>Critical</v>
      </c>
      <c r="M270" t="s">
        <v>833</v>
      </c>
      <c r="N270" t="s">
        <v>834</v>
      </c>
      <c r="O270" t="s">
        <v>835</v>
      </c>
      <c r="P270" t="s">
        <v>836</v>
      </c>
      <c r="Q270" t="s">
        <v>837</v>
      </c>
      <c r="R270" t="s">
        <v>838</v>
      </c>
      <c r="S270" t="s">
        <v>2299</v>
      </c>
      <c r="T270">
        <f>'Assessment Questions'!W270</f>
        <v>0</v>
      </c>
      <c r="U270">
        <f>'Assessment Questions'!X270</f>
        <v>0</v>
      </c>
      <c r="V270" t="str">
        <f>'Assessment Questions'!Y270</f>
        <v>Use the recommended action generated by the model; validate with domain owner during real assessment.</v>
      </c>
      <c r="W270">
        <v>5</v>
      </c>
      <c r="X270">
        <v>5</v>
      </c>
      <c r="Y270">
        <v>5</v>
      </c>
      <c r="Z270">
        <f>'Assessment Questions'!AC270</f>
        <v>0</v>
      </c>
      <c r="AB270">
        <f t="shared" si="100"/>
        <v>0</v>
      </c>
      <c r="AC270">
        <f t="shared" si="101"/>
        <v>0</v>
      </c>
      <c r="AD270">
        <f t="shared" si="109"/>
        <v>0</v>
      </c>
      <c r="AE270">
        <f t="shared" si="102"/>
        <v>0</v>
      </c>
      <c r="AF270">
        <f t="shared" si="110"/>
        <v>5</v>
      </c>
      <c r="AG270">
        <f t="shared" si="103"/>
        <v>0</v>
      </c>
      <c r="AH270">
        <f>'Assessment Questions'!AK270</f>
        <v>0</v>
      </c>
      <c r="AI270">
        <f>'Assessment Questions'!AL270</f>
        <v>0</v>
      </c>
      <c r="AJ270">
        <f>IF(OR($H270="",$H270="N/A"),"",IF($AH270="",VLOOKUP('Company Profile'!$B$40,_CONFIG_Model_Settings!$A$5:$B$8,2,FALSE),IFERROR(VLOOKUP($AH270,_CONFIG_Model_Settings!$A$5:$B$8,2,FALSE),0.9)))</f>
        <v>0.9</v>
      </c>
      <c r="AK270">
        <f>IF(OR($H270="",$H270="N/A"),"",IF($AI270="",VLOOKUP('Company Profile'!$B$41,_CONFIG_Model_Settings!$A$5:$B$8,2,FALSE),IFERROR(VLOOKUP($AI270,_CONFIG_Model_Settings!$A$5:$B$8,2,FALSE),0.9)))</f>
        <v>0.9</v>
      </c>
      <c r="AL270">
        <f t="shared" si="111"/>
        <v>0</v>
      </c>
      <c r="AM270">
        <f t="shared" si="112"/>
        <v>0</v>
      </c>
      <c r="AN270">
        <f>IFERROR(MIN(5,MAX(0,(SUMIFS(_REF_Model_Content!$D$1:$D$174,_REF_Model_Content!$A$1:$A$174,PV_Canonical_Industry,_REF_Model_Content!$B$1:$B$174,"Sales CRM"))+IFERROR(VLOOKUP('Company Profile'!$B$35,_CONFIG_Model_Settings!$A$11:$B$13,2,0),0))),"")</f>
        <v>0</v>
      </c>
      <c r="AO270">
        <f t="shared" si="113"/>
        <v>0</v>
      </c>
      <c r="AP270">
        <f>IFERROR(SUMIFS(_REF_Model_Content!$E$1:$E$174,_REF_Model_Content!$A$1:$A$174,PV_Canonical_Industry,_REF_Model_Content!$B$1:$B$174,"Sales CRM"),1)</f>
        <v>0</v>
      </c>
      <c r="AQ270">
        <f t="shared" si="114"/>
        <v>0</v>
      </c>
      <c r="AR270" t="str">
        <f t="shared" si="115"/>
        <v>Within target</v>
      </c>
      <c r="AS270">
        <f t="shared" si="116"/>
        <v>0</v>
      </c>
      <c r="AT270">
        <f t="shared" si="117"/>
        <v>0.9</v>
      </c>
      <c r="AU270">
        <f>'Assessment Questions'!AX270</f>
        <v>0</v>
      </c>
      <c r="AV270">
        <f t="shared" si="118"/>
        <v>0.9</v>
      </c>
      <c r="AW270" t="s">
        <v>2286</v>
      </c>
      <c r="AX270" t="s">
        <v>2286</v>
      </c>
      <c r="AY270">
        <v>18</v>
      </c>
      <c r="AZ270">
        <v>270</v>
      </c>
    </row>
    <row r="271" spans="1:52">
      <c r="A271" t="s">
        <v>2397</v>
      </c>
      <c r="B271" t="s">
        <v>2319</v>
      </c>
      <c r="C271" t="s">
        <v>2398</v>
      </c>
      <c r="D271" t="s">
        <v>2290</v>
      </c>
      <c r="E271" t="s">
        <v>2291</v>
      </c>
      <c r="F271" t="s">
        <v>2399</v>
      </c>
      <c r="G271">
        <f>'Assessment Questions'!J271</f>
        <v>3</v>
      </c>
      <c r="H271">
        <f t="shared" si="104"/>
        <v>0</v>
      </c>
      <c r="I271">
        <f t="shared" si="105"/>
        <v>0</v>
      </c>
      <c r="J271">
        <f t="shared" si="106"/>
        <v>3</v>
      </c>
      <c r="K271">
        <f t="shared" si="107"/>
        <v>3</v>
      </c>
      <c r="L271" t="str">
        <f t="shared" si="108"/>
        <v>Critical</v>
      </c>
      <c r="M271" t="s">
        <v>2400</v>
      </c>
      <c r="N271" t="s">
        <v>2401</v>
      </c>
      <c r="O271" t="s">
        <v>2402</v>
      </c>
      <c r="P271" t="s">
        <v>2403</v>
      </c>
      <c r="Q271" t="s">
        <v>2404</v>
      </c>
      <c r="R271" t="s">
        <v>2405</v>
      </c>
      <c r="S271" t="s">
        <v>2299</v>
      </c>
      <c r="T271">
        <f>'Assessment Questions'!W271</f>
        <v>0</v>
      </c>
      <c r="U271">
        <f>'Assessment Questions'!X271</f>
        <v>0</v>
      </c>
      <c r="V271" t="str">
        <f>'Assessment Questions'!Y271</f>
        <v>Use the recommended action generated by the model; validate with domain owner during real assessment.</v>
      </c>
      <c r="W271">
        <v>4</v>
      </c>
      <c r="X271">
        <v>5</v>
      </c>
      <c r="Y271">
        <v>5</v>
      </c>
      <c r="Z271">
        <f>'Assessment Questions'!AC271</f>
        <v>0</v>
      </c>
      <c r="AB271">
        <f t="shared" si="100"/>
        <v>0</v>
      </c>
      <c r="AC271">
        <f t="shared" si="101"/>
        <v>0</v>
      </c>
      <c r="AD271">
        <f t="shared" si="109"/>
        <v>0</v>
      </c>
      <c r="AE271">
        <f t="shared" si="102"/>
        <v>0</v>
      </c>
      <c r="AF271">
        <f t="shared" si="110"/>
        <v>5</v>
      </c>
      <c r="AG271">
        <f t="shared" si="103"/>
        <v>0</v>
      </c>
      <c r="AH271">
        <f>'Assessment Questions'!AK271</f>
        <v>0</v>
      </c>
      <c r="AI271">
        <f>'Assessment Questions'!AL271</f>
        <v>0</v>
      </c>
      <c r="AJ271">
        <f>IF(OR($H271="",$H271="N/A"),"",IF($AH271="",VLOOKUP('Company Profile'!$B$40,_CONFIG_Model_Settings!$A$5:$B$8,2,FALSE),IFERROR(VLOOKUP($AH271,_CONFIG_Model_Settings!$A$5:$B$8,2,FALSE),0.9)))</f>
        <v>0.9</v>
      </c>
      <c r="AK271">
        <f>IF(OR($H271="",$H271="N/A"),"",IF($AI271="",VLOOKUP('Company Profile'!$B$41,_CONFIG_Model_Settings!$A$5:$B$8,2,FALSE),IFERROR(VLOOKUP($AI271,_CONFIG_Model_Settings!$A$5:$B$8,2,FALSE),0.9)))</f>
        <v>0.9</v>
      </c>
      <c r="AL271">
        <f t="shared" si="111"/>
        <v>0</v>
      </c>
      <c r="AM271">
        <f t="shared" si="112"/>
        <v>0</v>
      </c>
      <c r="AN271">
        <f>IFERROR(MIN(5,MAX(0,(SUMIFS(_REF_Model_Content!$D$1:$D$174,_REF_Model_Content!$A$1:$A$174,PV_Canonical_Industry,_REF_Model_Content!$B$1:$B$174,"Sales CRM"))+IFERROR(VLOOKUP('Company Profile'!$B$35,_CONFIG_Model_Settings!$A$11:$B$13,2,0),0))),"")</f>
        <v>0</v>
      </c>
      <c r="AO271">
        <f t="shared" si="113"/>
        <v>0</v>
      </c>
      <c r="AP271">
        <f>IFERROR(SUMIFS(_REF_Model_Content!$E$1:$E$174,_REF_Model_Content!$A$1:$A$174,PV_Canonical_Industry,_REF_Model_Content!$B$1:$B$174,"Sales CRM"),1)</f>
        <v>0</v>
      </c>
      <c r="AQ271">
        <f t="shared" si="114"/>
        <v>0</v>
      </c>
      <c r="AR271" t="str">
        <f t="shared" si="115"/>
        <v>Within target</v>
      </c>
      <c r="AS271">
        <f t="shared" si="116"/>
        <v>0</v>
      </c>
      <c r="AT271">
        <f t="shared" si="117"/>
        <v>0.9</v>
      </c>
      <c r="AU271">
        <f>'Assessment Questions'!AX271</f>
        <v>0</v>
      </c>
      <c r="AV271">
        <f t="shared" si="118"/>
        <v>0.9</v>
      </c>
      <c r="AW271" t="s">
        <v>2286</v>
      </c>
      <c r="AX271" t="s">
        <v>2286</v>
      </c>
      <c r="AY271">
        <v>19</v>
      </c>
      <c r="AZ271">
        <v>271</v>
      </c>
    </row>
    <row r="272" spans="1:52">
      <c r="A272" t="s">
        <v>2406</v>
      </c>
      <c r="B272" t="s">
        <v>2329</v>
      </c>
      <c r="C272" t="s">
        <v>2407</v>
      </c>
      <c r="D272" t="s">
        <v>2290</v>
      </c>
      <c r="E272" t="s">
        <v>2291</v>
      </c>
      <c r="F272" t="s">
        <v>2408</v>
      </c>
      <c r="G272">
        <f>'Assessment Questions'!J272</f>
        <v>4</v>
      </c>
      <c r="H272">
        <f t="shared" si="104"/>
        <v>0</v>
      </c>
      <c r="I272">
        <f t="shared" si="105"/>
        <v>0</v>
      </c>
      <c r="J272">
        <f t="shared" si="106"/>
        <v>4</v>
      </c>
      <c r="K272">
        <f t="shared" si="107"/>
        <v>4</v>
      </c>
      <c r="L272" t="str">
        <f t="shared" si="108"/>
        <v>Critical</v>
      </c>
      <c r="M272" t="s">
        <v>2409</v>
      </c>
      <c r="N272" t="s">
        <v>2410</v>
      </c>
      <c r="O272" t="s">
        <v>2411</v>
      </c>
      <c r="P272" t="s">
        <v>2412</v>
      </c>
      <c r="Q272" t="s">
        <v>2413</v>
      </c>
      <c r="R272" t="s">
        <v>2414</v>
      </c>
      <c r="S272" t="s">
        <v>2299</v>
      </c>
      <c r="T272">
        <f>'Assessment Questions'!W272</f>
        <v>0</v>
      </c>
      <c r="U272">
        <f>'Assessment Questions'!X272</f>
        <v>0</v>
      </c>
      <c r="V272" t="str">
        <f>'Assessment Questions'!Y272</f>
        <v>Use the recommended action generated by the model; validate with domain owner during real assessment.</v>
      </c>
      <c r="W272">
        <v>4</v>
      </c>
      <c r="X272">
        <v>5</v>
      </c>
      <c r="Y272">
        <v>5</v>
      </c>
      <c r="Z272">
        <f>'Assessment Questions'!AC272</f>
        <v>0</v>
      </c>
      <c r="AB272">
        <f t="shared" si="100"/>
        <v>0</v>
      </c>
      <c r="AC272">
        <f t="shared" si="101"/>
        <v>0</v>
      </c>
      <c r="AD272">
        <f t="shared" si="109"/>
        <v>0</v>
      </c>
      <c r="AE272">
        <f t="shared" si="102"/>
        <v>0</v>
      </c>
      <c r="AF272">
        <f t="shared" si="110"/>
        <v>5</v>
      </c>
      <c r="AG272">
        <f t="shared" si="103"/>
        <v>0</v>
      </c>
      <c r="AH272">
        <f>'Assessment Questions'!AK272</f>
        <v>0</v>
      </c>
      <c r="AI272">
        <f>'Assessment Questions'!AL272</f>
        <v>0</v>
      </c>
      <c r="AJ272">
        <f>IF(OR($H272="",$H272="N/A"),"",IF($AH272="",VLOOKUP('Company Profile'!$B$40,_CONFIG_Model_Settings!$A$5:$B$8,2,FALSE),IFERROR(VLOOKUP($AH272,_CONFIG_Model_Settings!$A$5:$B$8,2,FALSE),0.9)))</f>
        <v>0.9</v>
      </c>
      <c r="AK272">
        <f>IF(OR($H272="",$H272="N/A"),"",IF($AI272="",VLOOKUP('Company Profile'!$B$41,_CONFIG_Model_Settings!$A$5:$B$8,2,FALSE),IFERROR(VLOOKUP($AI272,_CONFIG_Model_Settings!$A$5:$B$8,2,FALSE),0.9)))</f>
        <v>0.9</v>
      </c>
      <c r="AL272">
        <f t="shared" si="111"/>
        <v>0</v>
      </c>
      <c r="AM272">
        <f t="shared" si="112"/>
        <v>0</v>
      </c>
      <c r="AN272">
        <f>IFERROR(MIN(5,MAX(0,(SUMIFS(_REF_Model_Content!$D$1:$D$174,_REF_Model_Content!$A$1:$A$174,PV_Canonical_Industry,_REF_Model_Content!$B$1:$B$174,"Sales CRM"))+IFERROR(VLOOKUP('Company Profile'!$B$35,_CONFIG_Model_Settings!$A$11:$B$13,2,0),0))),"")</f>
        <v>0</v>
      </c>
      <c r="AO272">
        <f t="shared" si="113"/>
        <v>0</v>
      </c>
      <c r="AP272">
        <f>IFERROR(SUMIFS(_REF_Model_Content!$E$1:$E$174,_REF_Model_Content!$A$1:$A$174,PV_Canonical_Industry,_REF_Model_Content!$B$1:$B$174,"Sales CRM"),1)</f>
        <v>0</v>
      </c>
      <c r="AQ272">
        <f t="shared" si="114"/>
        <v>0</v>
      </c>
      <c r="AR272" t="str">
        <f t="shared" si="115"/>
        <v>Within target</v>
      </c>
      <c r="AS272">
        <f t="shared" si="116"/>
        <v>0</v>
      </c>
      <c r="AT272">
        <f t="shared" si="117"/>
        <v>0.9</v>
      </c>
      <c r="AU272">
        <f>'Assessment Questions'!AX272</f>
        <v>0</v>
      </c>
      <c r="AV272">
        <f t="shared" si="118"/>
        <v>0.9</v>
      </c>
      <c r="AW272" t="s">
        <v>2286</v>
      </c>
      <c r="AX272" t="s">
        <v>2286</v>
      </c>
      <c r="AY272">
        <v>20</v>
      </c>
      <c r="AZ272">
        <v>272</v>
      </c>
    </row>
    <row r="273" spans="1:52">
      <c r="A273" t="s">
        <v>2415</v>
      </c>
      <c r="B273" t="s">
        <v>2329</v>
      </c>
      <c r="C273" t="s">
        <v>2416</v>
      </c>
      <c r="D273" t="s">
        <v>2290</v>
      </c>
      <c r="E273" t="s">
        <v>2291</v>
      </c>
      <c r="F273" t="s">
        <v>2417</v>
      </c>
      <c r="G273">
        <f>'Assessment Questions'!J273</f>
        <v>5</v>
      </c>
      <c r="H273">
        <f t="shared" si="104"/>
        <v>0</v>
      </c>
      <c r="I273">
        <f t="shared" si="105"/>
        <v>0</v>
      </c>
      <c r="J273">
        <f t="shared" si="106"/>
        <v>5</v>
      </c>
      <c r="K273">
        <f t="shared" si="107"/>
        <v>5</v>
      </c>
      <c r="L273" t="str">
        <f t="shared" si="108"/>
        <v>Critical</v>
      </c>
      <c r="M273" t="s">
        <v>833</v>
      </c>
      <c r="N273" t="s">
        <v>834</v>
      </c>
      <c r="O273" t="s">
        <v>835</v>
      </c>
      <c r="P273" t="s">
        <v>836</v>
      </c>
      <c r="Q273" t="s">
        <v>837</v>
      </c>
      <c r="R273" t="s">
        <v>838</v>
      </c>
      <c r="S273" t="s">
        <v>2299</v>
      </c>
      <c r="T273">
        <f>'Assessment Questions'!W273</f>
        <v>0</v>
      </c>
      <c r="U273">
        <f>'Assessment Questions'!X273</f>
        <v>0</v>
      </c>
      <c r="V273" t="str">
        <f>'Assessment Questions'!Y273</f>
        <v>Use the recommended action generated by the model; validate with domain owner during real assessment.</v>
      </c>
      <c r="W273">
        <v>4</v>
      </c>
      <c r="X273">
        <v>5</v>
      </c>
      <c r="Y273">
        <v>5</v>
      </c>
      <c r="Z273">
        <f>'Assessment Questions'!AC273</f>
        <v>0</v>
      </c>
      <c r="AB273">
        <f t="shared" si="100"/>
        <v>0</v>
      </c>
      <c r="AC273">
        <f t="shared" si="101"/>
        <v>0</v>
      </c>
      <c r="AD273">
        <f t="shared" si="109"/>
        <v>0</v>
      </c>
      <c r="AE273">
        <f t="shared" si="102"/>
        <v>0</v>
      </c>
      <c r="AF273">
        <f t="shared" si="110"/>
        <v>5</v>
      </c>
      <c r="AG273">
        <f t="shared" si="103"/>
        <v>0</v>
      </c>
      <c r="AH273">
        <f>'Assessment Questions'!AK273</f>
        <v>0</v>
      </c>
      <c r="AI273">
        <f>'Assessment Questions'!AL273</f>
        <v>0</v>
      </c>
      <c r="AJ273">
        <f>IF(OR($H273="",$H273="N/A"),"",IF($AH273="",VLOOKUP('Company Profile'!$B$40,_CONFIG_Model_Settings!$A$5:$B$8,2,FALSE),IFERROR(VLOOKUP($AH273,_CONFIG_Model_Settings!$A$5:$B$8,2,FALSE),0.9)))</f>
        <v>0.9</v>
      </c>
      <c r="AK273">
        <f>IF(OR($H273="",$H273="N/A"),"",IF($AI273="",VLOOKUP('Company Profile'!$B$41,_CONFIG_Model_Settings!$A$5:$B$8,2,FALSE),IFERROR(VLOOKUP($AI273,_CONFIG_Model_Settings!$A$5:$B$8,2,FALSE),0.9)))</f>
        <v>0.9</v>
      </c>
      <c r="AL273">
        <f t="shared" si="111"/>
        <v>0</v>
      </c>
      <c r="AM273">
        <f t="shared" si="112"/>
        <v>0</v>
      </c>
      <c r="AN273">
        <f>IFERROR(MIN(5,MAX(0,(SUMIFS(_REF_Model_Content!$D$1:$D$174,_REF_Model_Content!$A$1:$A$174,PV_Canonical_Industry,_REF_Model_Content!$B$1:$B$174,"Sales CRM"))+IFERROR(VLOOKUP('Company Profile'!$B$35,_CONFIG_Model_Settings!$A$11:$B$13,2,0),0))),"")</f>
        <v>0</v>
      </c>
      <c r="AO273">
        <f t="shared" si="113"/>
        <v>0</v>
      </c>
      <c r="AP273">
        <f>IFERROR(SUMIFS(_REF_Model_Content!$E$1:$E$174,_REF_Model_Content!$A$1:$A$174,PV_Canonical_Industry,_REF_Model_Content!$B$1:$B$174,"Sales CRM"),1)</f>
        <v>0</v>
      </c>
      <c r="AQ273">
        <f t="shared" si="114"/>
        <v>0</v>
      </c>
      <c r="AR273" t="str">
        <f t="shared" si="115"/>
        <v>Within target</v>
      </c>
      <c r="AS273">
        <f t="shared" si="116"/>
        <v>0</v>
      </c>
      <c r="AT273">
        <f t="shared" si="117"/>
        <v>0.9</v>
      </c>
      <c r="AU273">
        <f>'Assessment Questions'!AX273</f>
        <v>0</v>
      </c>
      <c r="AV273">
        <f t="shared" si="118"/>
        <v>0.9</v>
      </c>
      <c r="AW273" t="s">
        <v>2286</v>
      </c>
      <c r="AX273" t="s">
        <v>2286</v>
      </c>
      <c r="AY273">
        <v>21</v>
      </c>
      <c r="AZ273">
        <v>273</v>
      </c>
    </row>
    <row r="274" spans="1:52">
      <c r="A274" t="s">
        <v>2418</v>
      </c>
      <c r="B274" t="s">
        <v>2329</v>
      </c>
      <c r="C274" t="s">
        <v>2419</v>
      </c>
      <c r="D274" t="s">
        <v>2290</v>
      </c>
      <c r="E274" t="s">
        <v>2291</v>
      </c>
      <c r="F274" t="s">
        <v>2420</v>
      </c>
      <c r="G274">
        <f>'Assessment Questions'!J274</f>
        <v>5</v>
      </c>
      <c r="H274">
        <f t="shared" si="104"/>
        <v>0</v>
      </c>
      <c r="I274">
        <f t="shared" si="105"/>
        <v>0</v>
      </c>
      <c r="J274">
        <f t="shared" si="106"/>
        <v>5</v>
      </c>
      <c r="K274">
        <f t="shared" si="107"/>
        <v>5</v>
      </c>
      <c r="L274" t="str">
        <f t="shared" si="108"/>
        <v>Critical</v>
      </c>
      <c r="M274" t="s">
        <v>833</v>
      </c>
      <c r="N274" t="s">
        <v>834</v>
      </c>
      <c r="O274" t="s">
        <v>835</v>
      </c>
      <c r="P274" t="s">
        <v>836</v>
      </c>
      <c r="Q274" t="s">
        <v>837</v>
      </c>
      <c r="R274" t="s">
        <v>838</v>
      </c>
      <c r="S274" t="s">
        <v>2299</v>
      </c>
      <c r="T274">
        <f>'Assessment Questions'!W274</f>
        <v>0</v>
      </c>
      <c r="U274">
        <f>'Assessment Questions'!X274</f>
        <v>0</v>
      </c>
      <c r="V274" t="str">
        <f>'Assessment Questions'!Y274</f>
        <v>Use the recommended action generated by the model; validate with domain owner during real assessment.</v>
      </c>
      <c r="W274">
        <v>4</v>
      </c>
      <c r="X274">
        <v>5</v>
      </c>
      <c r="Y274">
        <v>5</v>
      </c>
      <c r="Z274">
        <f>'Assessment Questions'!AC274</f>
        <v>0</v>
      </c>
      <c r="AB274">
        <f t="shared" si="100"/>
        <v>0</v>
      </c>
      <c r="AC274">
        <f t="shared" si="101"/>
        <v>0</v>
      </c>
      <c r="AD274">
        <f t="shared" si="109"/>
        <v>0</v>
      </c>
      <c r="AE274">
        <f t="shared" si="102"/>
        <v>0</v>
      </c>
      <c r="AF274">
        <f t="shared" si="110"/>
        <v>5</v>
      </c>
      <c r="AG274">
        <f t="shared" si="103"/>
        <v>0</v>
      </c>
      <c r="AH274">
        <f>'Assessment Questions'!AK274</f>
        <v>0</v>
      </c>
      <c r="AI274">
        <f>'Assessment Questions'!AL274</f>
        <v>0</v>
      </c>
      <c r="AJ274">
        <f>IF(OR($H274="",$H274="N/A"),"",IF($AH274="",VLOOKUP('Company Profile'!$B$40,_CONFIG_Model_Settings!$A$5:$B$8,2,FALSE),IFERROR(VLOOKUP($AH274,_CONFIG_Model_Settings!$A$5:$B$8,2,FALSE),0.9)))</f>
        <v>0.9</v>
      </c>
      <c r="AK274">
        <f>IF(OR($H274="",$H274="N/A"),"",IF($AI274="",VLOOKUP('Company Profile'!$B$41,_CONFIG_Model_Settings!$A$5:$B$8,2,FALSE),IFERROR(VLOOKUP($AI274,_CONFIG_Model_Settings!$A$5:$B$8,2,FALSE),0.9)))</f>
        <v>0.9</v>
      </c>
      <c r="AL274">
        <f t="shared" si="111"/>
        <v>0</v>
      </c>
      <c r="AM274">
        <f t="shared" si="112"/>
        <v>0</v>
      </c>
      <c r="AN274">
        <f>IFERROR(MIN(5,MAX(0,(SUMIFS(_REF_Model_Content!$D$1:$D$174,_REF_Model_Content!$A$1:$A$174,PV_Canonical_Industry,_REF_Model_Content!$B$1:$B$174,"Sales CRM"))+IFERROR(VLOOKUP('Company Profile'!$B$35,_CONFIG_Model_Settings!$A$11:$B$13,2,0),0))),"")</f>
        <v>0</v>
      </c>
      <c r="AO274">
        <f t="shared" si="113"/>
        <v>0</v>
      </c>
      <c r="AP274">
        <f>IFERROR(SUMIFS(_REF_Model_Content!$E$1:$E$174,_REF_Model_Content!$A$1:$A$174,PV_Canonical_Industry,_REF_Model_Content!$B$1:$B$174,"Sales CRM"),1)</f>
        <v>0</v>
      </c>
      <c r="AQ274">
        <f t="shared" si="114"/>
        <v>0</v>
      </c>
      <c r="AR274" t="str">
        <f t="shared" si="115"/>
        <v>Within target</v>
      </c>
      <c r="AS274">
        <f t="shared" si="116"/>
        <v>0</v>
      </c>
      <c r="AT274">
        <f t="shared" si="117"/>
        <v>0.9</v>
      </c>
      <c r="AU274">
        <f>'Assessment Questions'!AX274</f>
        <v>0</v>
      </c>
      <c r="AV274">
        <f t="shared" si="118"/>
        <v>0.9</v>
      </c>
      <c r="AW274" t="s">
        <v>2286</v>
      </c>
      <c r="AX274" t="s">
        <v>2286</v>
      </c>
      <c r="AY274">
        <v>22</v>
      </c>
      <c r="AZ274">
        <v>274</v>
      </c>
    </row>
    <row r="275" spans="1:52">
      <c r="A275" t="s">
        <v>2421</v>
      </c>
      <c r="B275" t="s">
        <v>2329</v>
      </c>
      <c r="C275" t="s">
        <v>2422</v>
      </c>
      <c r="D275" t="s">
        <v>2290</v>
      </c>
      <c r="E275" t="s">
        <v>2291</v>
      </c>
      <c r="F275" t="s">
        <v>2423</v>
      </c>
      <c r="G275">
        <f>'Assessment Questions'!J275</f>
        <v>5</v>
      </c>
      <c r="H275">
        <f t="shared" si="104"/>
        <v>0</v>
      </c>
      <c r="I275">
        <f t="shared" si="105"/>
        <v>0</v>
      </c>
      <c r="J275">
        <f t="shared" si="106"/>
        <v>5</v>
      </c>
      <c r="K275">
        <f t="shared" si="107"/>
        <v>5</v>
      </c>
      <c r="L275" t="str">
        <f t="shared" si="108"/>
        <v>Critical</v>
      </c>
      <c r="M275" t="s">
        <v>833</v>
      </c>
      <c r="N275" t="s">
        <v>834</v>
      </c>
      <c r="O275" t="s">
        <v>835</v>
      </c>
      <c r="P275" t="s">
        <v>836</v>
      </c>
      <c r="Q275" t="s">
        <v>837</v>
      </c>
      <c r="R275" t="s">
        <v>838</v>
      </c>
      <c r="S275" t="s">
        <v>2299</v>
      </c>
      <c r="T275">
        <f>'Assessment Questions'!W275</f>
        <v>0</v>
      </c>
      <c r="U275">
        <f>'Assessment Questions'!X275</f>
        <v>0</v>
      </c>
      <c r="V275" t="str">
        <f>'Assessment Questions'!Y275</f>
        <v>Use the recommended action generated by the model; validate with domain owner during real assessment.</v>
      </c>
      <c r="W275">
        <v>4</v>
      </c>
      <c r="X275">
        <v>5</v>
      </c>
      <c r="Y275">
        <v>5</v>
      </c>
      <c r="Z275">
        <f>'Assessment Questions'!AC275</f>
        <v>0</v>
      </c>
      <c r="AB275">
        <f t="shared" si="100"/>
        <v>0</v>
      </c>
      <c r="AC275">
        <f t="shared" si="101"/>
        <v>0</v>
      </c>
      <c r="AD275">
        <f t="shared" si="109"/>
        <v>0</v>
      </c>
      <c r="AE275">
        <f t="shared" si="102"/>
        <v>0</v>
      </c>
      <c r="AF275">
        <f t="shared" si="110"/>
        <v>5</v>
      </c>
      <c r="AG275">
        <f t="shared" si="103"/>
        <v>0</v>
      </c>
      <c r="AH275">
        <f>'Assessment Questions'!AK275</f>
        <v>0</v>
      </c>
      <c r="AI275">
        <f>'Assessment Questions'!AL275</f>
        <v>0</v>
      </c>
      <c r="AJ275">
        <f>IF(OR($H275="",$H275="N/A"),"",IF($AH275="",VLOOKUP('Company Profile'!$B$40,_CONFIG_Model_Settings!$A$5:$B$8,2,FALSE),IFERROR(VLOOKUP($AH275,_CONFIG_Model_Settings!$A$5:$B$8,2,FALSE),0.9)))</f>
        <v>0.9</v>
      </c>
      <c r="AK275">
        <f>IF(OR($H275="",$H275="N/A"),"",IF($AI275="",VLOOKUP('Company Profile'!$B$41,_CONFIG_Model_Settings!$A$5:$B$8,2,FALSE),IFERROR(VLOOKUP($AI275,_CONFIG_Model_Settings!$A$5:$B$8,2,FALSE),0.9)))</f>
        <v>0.9</v>
      </c>
      <c r="AL275">
        <f t="shared" si="111"/>
        <v>0</v>
      </c>
      <c r="AM275">
        <f t="shared" si="112"/>
        <v>0</v>
      </c>
      <c r="AN275">
        <f>IFERROR(MIN(5,MAX(0,(SUMIFS(_REF_Model_Content!$D$1:$D$174,_REF_Model_Content!$A$1:$A$174,PV_Canonical_Industry,_REF_Model_Content!$B$1:$B$174,"Sales CRM"))+IFERROR(VLOOKUP('Company Profile'!$B$35,_CONFIG_Model_Settings!$A$11:$B$13,2,0),0))),"")</f>
        <v>0</v>
      </c>
      <c r="AO275">
        <f t="shared" si="113"/>
        <v>0</v>
      </c>
      <c r="AP275">
        <f>IFERROR(SUMIFS(_REF_Model_Content!$E$1:$E$174,_REF_Model_Content!$A$1:$A$174,PV_Canonical_Industry,_REF_Model_Content!$B$1:$B$174,"Sales CRM"),1)</f>
        <v>0</v>
      </c>
      <c r="AQ275">
        <f t="shared" si="114"/>
        <v>0</v>
      </c>
      <c r="AR275" t="str">
        <f t="shared" si="115"/>
        <v>Within target</v>
      </c>
      <c r="AS275">
        <f t="shared" si="116"/>
        <v>0</v>
      </c>
      <c r="AT275">
        <f t="shared" si="117"/>
        <v>0.9</v>
      </c>
      <c r="AU275">
        <f>'Assessment Questions'!AX275</f>
        <v>0</v>
      </c>
      <c r="AV275">
        <f t="shared" si="118"/>
        <v>0.9</v>
      </c>
      <c r="AW275" t="s">
        <v>2286</v>
      </c>
      <c r="AX275" t="s">
        <v>2286</v>
      </c>
      <c r="AY275">
        <v>23</v>
      </c>
      <c r="AZ275">
        <v>275</v>
      </c>
    </row>
    <row r="276" spans="1:52">
      <c r="A276" t="s">
        <v>2424</v>
      </c>
      <c r="B276" t="s">
        <v>2339</v>
      </c>
      <c r="C276" t="s">
        <v>2425</v>
      </c>
      <c r="D276" t="s">
        <v>2426</v>
      </c>
      <c r="E276" t="s">
        <v>2427</v>
      </c>
      <c r="F276" t="s">
        <v>2292</v>
      </c>
      <c r="G276">
        <f>'Assessment Questions'!J276</f>
        <v>4</v>
      </c>
      <c r="H276">
        <f t="shared" si="104"/>
        <v>0</v>
      </c>
      <c r="I276">
        <f t="shared" si="105"/>
        <v>0</v>
      </c>
      <c r="J276">
        <f t="shared" si="106"/>
        <v>4</v>
      </c>
      <c r="K276">
        <f t="shared" si="107"/>
        <v>4</v>
      </c>
      <c r="L276" t="str">
        <f t="shared" si="108"/>
        <v>Critical</v>
      </c>
      <c r="M276" t="s">
        <v>2428</v>
      </c>
      <c r="N276" t="s">
        <v>2429</v>
      </c>
      <c r="O276" t="s">
        <v>2430</v>
      </c>
      <c r="P276" t="s">
        <v>2431</v>
      </c>
      <c r="Q276" t="s">
        <v>2432</v>
      </c>
      <c r="R276" t="s">
        <v>2433</v>
      </c>
      <c r="S276" t="s">
        <v>2434</v>
      </c>
      <c r="T276">
        <f>'Assessment Questions'!W276</f>
        <v>0</v>
      </c>
      <c r="U276">
        <f>'Assessment Questions'!X276</f>
        <v>0</v>
      </c>
      <c r="V276" t="str">
        <f>'Assessment Questions'!Y276</f>
        <v>Use the recommended action generated by the model; validate with domain owner during real assessment.</v>
      </c>
      <c r="W276">
        <v>4</v>
      </c>
      <c r="X276">
        <v>4</v>
      </c>
      <c r="Y276">
        <v>5</v>
      </c>
      <c r="Z276">
        <f>'Assessment Questions'!AC276</f>
        <v>0</v>
      </c>
      <c r="AB276">
        <f t="shared" si="100"/>
        <v>0</v>
      </c>
      <c r="AC276">
        <f t="shared" si="101"/>
        <v>0</v>
      </c>
      <c r="AD276">
        <f t="shared" si="109"/>
        <v>0</v>
      </c>
      <c r="AE276">
        <f t="shared" si="102"/>
        <v>0</v>
      </c>
      <c r="AF276">
        <f t="shared" si="110"/>
        <v>5</v>
      </c>
      <c r="AG276">
        <f t="shared" si="103"/>
        <v>0</v>
      </c>
      <c r="AH276">
        <f>'Assessment Questions'!AK276</f>
        <v>0</v>
      </c>
      <c r="AI276">
        <f>'Assessment Questions'!AL276</f>
        <v>0</v>
      </c>
      <c r="AJ276">
        <f>IF(OR($H276="",$H276="N/A"),"",IF($AH276="",VLOOKUP('Company Profile'!$B$40,_CONFIG_Model_Settings!$A$5:$B$8,2,FALSE),IFERROR(VLOOKUP($AH276,_CONFIG_Model_Settings!$A$5:$B$8,2,FALSE),0.9)))</f>
        <v>0.9</v>
      </c>
      <c r="AK276">
        <f>IF(OR($H276="",$H276="N/A"),"",IF($AI276="",VLOOKUP('Company Profile'!$B$41,_CONFIG_Model_Settings!$A$5:$B$8,2,FALSE),IFERROR(VLOOKUP($AI276,_CONFIG_Model_Settings!$A$5:$B$8,2,FALSE),0.9)))</f>
        <v>0.9</v>
      </c>
      <c r="AL276">
        <f t="shared" si="111"/>
        <v>0</v>
      </c>
      <c r="AM276">
        <f t="shared" si="112"/>
        <v>0</v>
      </c>
      <c r="AN276">
        <f>IFERROR(MIN(5,MAX(0,(SUMIFS(_REF_Model_Content!$D$1:$D$174,_REF_Model_Content!$A$1:$A$174,PV_Canonical_Industry,_REF_Model_Content!$B$1:$B$174,"Sales CRM"))+IFERROR(VLOOKUP('Company Profile'!$B$35,_CONFIG_Model_Settings!$A$11:$B$13,2,0),0))),"")</f>
        <v>0</v>
      </c>
      <c r="AO276">
        <f t="shared" si="113"/>
        <v>0</v>
      </c>
      <c r="AP276">
        <f>IFERROR(SUMIFS(_REF_Model_Content!$E$1:$E$174,_REF_Model_Content!$A$1:$A$174,PV_Canonical_Industry,_REF_Model_Content!$B$1:$B$174,"Sales CRM"),1)</f>
        <v>0</v>
      </c>
      <c r="AQ276">
        <f t="shared" si="114"/>
        <v>0</v>
      </c>
      <c r="AR276" t="str">
        <f t="shared" si="115"/>
        <v>Within target</v>
      </c>
      <c r="AS276">
        <f t="shared" si="116"/>
        <v>0</v>
      </c>
      <c r="AT276">
        <f t="shared" si="117"/>
        <v>0.9</v>
      </c>
      <c r="AU276">
        <f>'Assessment Questions'!AX276</f>
        <v>0</v>
      </c>
      <c r="AV276">
        <f t="shared" si="118"/>
        <v>0.9</v>
      </c>
      <c r="AW276" t="s">
        <v>2286</v>
      </c>
      <c r="AX276" t="s">
        <v>2286</v>
      </c>
      <c r="AY276">
        <v>24</v>
      </c>
      <c r="AZ276">
        <v>276</v>
      </c>
    </row>
    <row r="277" spans="1:52">
      <c r="A277" t="s">
        <v>2435</v>
      </c>
      <c r="B277" t="s">
        <v>2339</v>
      </c>
      <c r="C277" t="s">
        <v>2436</v>
      </c>
      <c r="D277" t="s">
        <v>2437</v>
      </c>
      <c r="E277" t="s">
        <v>2438</v>
      </c>
      <c r="F277" t="s">
        <v>2292</v>
      </c>
      <c r="G277">
        <f>'Assessment Questions'!J277</f>
        <v>4</v>
      </c>
      <c r="H277">
        <f t="shared" si="104"/>
        <v>0</v>
      </c>
      <c r="I277">
        <f t="shared" si="105"/>
        <v>0</v>
      </c>
      <c r="J277">
        <f t="shared" si="106"/>
        <v>4</v>
      </c>
      <c r="K277">
        <f t="shared" si="107"/>
        <v>4</v>
      </c>
      <c r="L277" t="str">
        <f t="shared" si="108"/>
        <v>Critical</v>
      </c>
      <c r="M277" t="s">
        <v>2439</v>
      </c>
      <c r="N277" t="s">
        <v>2440</v>
      </c>
      <c r="O277" t="s">
        <v>2441</v>
      </c>
      <c r="P277" t="s">
        <v>2442</v>
      </c>
      <c r="Q277" t="s">
        <v>2443</v>
      </c>
      <c r="R277" t="s">
        <v>2444</v>
      </c>
      <c r="S277" t="s">
        <v>2445</v>
      </c>
      <c r="T277">
        <f>'Assessment Questions'!W277</f>
        <v>0</v>
      </c>
      <c r="U277">
        <f>'Assessment Questions'!X277</f>
        <v>0</v>
      </c>
      <c r="V277" t="str">
        <f>'Assessment Questions'!Y277</f>
        <v>Use the recommended action generated by the model; validate with domain owner during real assessment.</v>
      </c>
      <c r="W277">
        <v>5</v>
      </c>
      <c r="X277">
        <v>4</v>
      </c>
      <c r="Y277">
        <v>5</v>
      </c>
      <c r="Z277">
        <f>'Assessment Questions'!AC277</f>
        <v>0</v>
      </c>
      <c r="AB277">
        <f t="shared" si="100"/>
        <v>0</v>
      </c>
      <c r="AC277">
        <f t="shared" si="101"/>
        <v>0</v>
      </c>
      <c r="AD277">
        <f t="shared" si="109"/>
        <v>0</v>
      </c>
      <c r="AE277">
        <f t="shared" si="102"/>
        <v>0</v>
      </c>
      <c r="AF277">
        <f t="shared" si="110"/>
        <v>5</v>
      </c>
      <c r="AG277">
        <f t="shared" si="103"/>
        <v>0</v>
      </c>
      <c r="AH277">
        <f>'Assessment Questions'!AK277</f>
        <v>0</v>
      </c>
      <c r="AI277">
        <f>'Assessment Questions'!AL277</f>
        <v>0</v>
      </c>
      <c r="AJ277">
        <f>IF(OR($H277="",$H277="N/A"),"",IF($AH277="",VLOOKUP('Company Profile'!$B$40,_CONFIG_Model_Settings!$A$5:$B$8,2,FALSE),IFERROR(VLOOKUP($AH277,_CONFIG_Model_Settings!$A$5:$B$8,2,FALSE),0.9)))</f>
        <v>0.9</v>
      </c>
      <c r="AK277">
        <f>IF(OR($H277="",$H277="N/A"),"",IF($AI277="",VLOOKUP('Company Profile'!$B$41,_CONFIG_Model_Settings!$A$5:$B$8,2,FALSE),IFERROR(VLOOKUP($AI277,_CONFIG_Model_Settings!$A$5:$B$8,2,FALSE),0.9)))</f>
        <v>0.9</v>
      </c>
      <c r="AL277">
        <f t="shared" si="111"/>
        <v>0</v>
      </c>
      <c r="AM277">
        <f t="shared" si="112"/>
        <v>0</v>
      </c>
      <c r="AN277">
        <f>IFERROR(MIN(5,MAX(0,(SUMIFS(_REF_Model_Content!$D$1:$D$174,_REF_Model_Content!$A$1:$A$174,PV_Canonical_Industry,_REF_Model_Content!$B$1:$B$174,"Sales CRM"))+IFERROR(VLOOKUP('Company Profile'!$B$35,_CONFIG_Model_Settings!$A$11:$B$13,2,0),0))),"")</f>
        <v>0</v>
      </c>
      <c r="AO277">
        <f t="shared" si="113"/>
        <v>0</v>
      </c>
      <c r="AP277">
        <f>IFERROR(SUMIFS(_REF_Model_Content!$E$1:$E$174,_REF_Model_Content!$A$1:$A$174,PV_Canonical_Industry,_REF_Model_Content!$B$1:$B$174,"Sales CRM"),1)</f>
        <v>0</v>
      </c>
      <c r="AQ277">
        <f t="shared" si="114"/>
        <v>0</v>
      </c>
      <c r="AR277" t="str">
        <f t="shared" si="115"/>
        <v>Within target</v>
      </c>
      <c r="AS277">
        <f t="shared" si="116"/>
        <v>0</v>
      </c>
      <c r="AT277">
        <f t="shared" si="117"/>
        <v>0.9</v>
      </c>
      <c r="AU277">
        <f>'Assessment Questions'!AX277</f>
        <v>0</v>
      </c>
      <c r="AV277">
        <f t="shared" si="118"/>
        <v>0.9</v>
      </c>
      <c r="AW277" t="s">
        <v>2286</v>
      </c>
      <c r="AX277" t="s">
        <v>2286</v>
      </c>
      <c r="AY277">
        <v>25</v>
      </c>
      <c r="AZ277">
        <v>277</v>
      </c>
    </row>
    <row r="278" spans="1:52">
      <c r="A278" t="s">
        <v>2446</v>
      </c>
      <c r="B278" t="s">
        <v>2339</v>
      </c>
      <c r="C278" t="s">
        <v>2447</v>
      </c>
      <c r="D278" t="s">
        <v>2448</v>
      </c>
      <c r="E278" t="s">
        <v>2449</v>
      </c>
      <c r="F278" t="s">
        <v>2292</v>
      </c>
      <c r="G278">
        <f>'Assessment Questions'!J278</f>
        <v>5</v>
      </c>
      <c r="H278">
        <f t="shared" si="104"/>
        <v>0</v>
      </c>
      <c r="I278">
        <f t="shared" si="105"/>
        <v>0</v>
      </c>
      <c r="J278">
        <f t="shared" si="106"/>
        <v>5</v>
      </c>
      <c r="K278">
        <f t="shared" si="107"/>
        <v>5</v>
      </c>
      <c r="L278" t="str">
        <f t="shared" si="108"/>
        <v>Critical</v>
      </c>
      <c r="M278" t="s">
        <v>833</v>
      </c>
      <c r="N278" t="s">
        <v>834</v>
      </c>
      <c r="O278" t="s">
        <v>835</v>
      </c>
      <c r="P278" t="s">
        <v>836</v>
      </c>
      <c r="Q278" t="s">
        <v>837</v>
      </c>
      <c r="R278" t="s">
        <v>838</v>
      </c>
      <c r="S278" t="s">
        <v>2450</v>
      </c>
      <c r="T278">
        <f>'Assessment Questions'!W278</f>
        <v>0</v>
      </c>
      <c r="U278">
        <f>'Assessment Questions'!X278</f>
        <v>0</v>
      </c>
      <c r="V278" t="str">
        <f>'Assessment Questions'!Y278</f>
        <v>Use the recommended action generated by the model; validate with domain owner during real assessment.</v>
      </c>
      <c r="W278">
        <v>4</v>
      </c>
      <c r="X278">
        <v>5</v>
      </c>
      <c r="Y278">
        <v>4</v>
      </c>
      <c r="Z278">
        <f>'Assessment Questions'!AC278</f>
        <v>0</v>
      </c>
      <c r="AB278">
        <f t="shared" si="100"/>
        <v>0</v>
      </c>
      <c r="AC278">
        <f t="shared" si="101"/>
        <v>0</v>
      </c>
      <c r="AD278">
        <f t="shared" si="109"/>
        <v>0</v>
      </c>
      <c r="AE278">
        <f t="shared" si="102"/>
        <v>0</v>
      </c>
      <c r="AF278">
        <f t="shared" si="110"/>
        <v>5</v>
      </c>
      <c r="AG278">
        <f t="shared" si="103"/>
        <v>0</v>
      </c>
      <c r="AH278">
        <f>'Assessment Questions'!AK278</f>
        <v>0</v>
      </c>
      <c r="AI278">
        <f>'Assessment Questions'!AL278</f>
        <v>0</v>
      </c>
      <c r="AJ278">
        <f>IF(OR($H278="",$H278="N/A"),"",IF($AH278="",VLOOKUP('Company Profile'!$B$40,_CONFIG_Model_Settings!$A$5:$B$8,2,FALSE),IFERROR(VLOOKUP($AH278,_CONFIG_Model_Settings!$A$5:$B$8,2,FALSE),0.9)))</f>
        <v>0.9</v>
      </c>
      <c r="AK278">
        <f>IF(OR($H278="",$H278="N/A"),"",IF($AI278="",VLOOKUP('Company Profile'!$B$41,_CONFIG_Model_Settings!$A$5:$B$8,2,FALSE),IFERROR(VLOOKUP($AI278,_CONFIG_Model_Settings!$A$5:$B$8,2,FALSE),0.9)))</f>
        <v>0.9</v>
      </c>
      <c r="AL278">
        <f t="shared" si="111"/>
        <v>0</v>
      </c>
      <c r="AM278">
        <f t="shared" si="112"/>
        <v>0</v>
      </c>
      <c r="AN278">
        <f>IFERROR(MIN(5,MAX(0,(SUMIFS(_REF_Model_Content!$D$1:$D$174,_REF_Model_Content!$A$1:$A$174,PV_Canonical_Industry,_REF_Model_Content!$B$1:$B$174,"Sales CRM"))+IFERROR(VLOOKUP('Company Profile'!$B$35,_CONFIG_Model_Settings!$A$11:$B$13,2,0),0))),"")</f>
        <v>0</v>
      </c>
      <c r="AO278">
        <f t="shared" si="113"/>
        <v>0</v>
      </c>
      <c r="AP278">
        <f>IFERROR(SUMIFS(_REF_Model_Content!$E$1:$E$174,_REF_Model_Content!$A$1:$A$174,PV_Canonical_Industry,_REF_Model_Content!$B$1:$B$174,"Sales CRM"),1)</f>
        <v>0</v>
      </c>
      <c r="AQ278">
        <f t="shared" si="114"/>
        <v>0</v>
      </c>
      <c r="AR278" t="str">
        <f t="shared" si="115"/>
        <v>Within target</v>
      </c>
      <c r="AS278">
        <f t="shared" si="116"/>
        <v>0</v>
      </c>
      <c r="AT278">
        <f t="shared" si="117"/>
        <v>0.9</v>
      </c>
      <c r="AU278">
        <f>'Assessment Questions'!AX278</f>
        <v>0</v>
      </c>
      <c r="AV278">
        <f t="shared" si="118"/>
        <v>0.9</v>
      </c>
      <c r="AW278" t="s">
        <v>2286</v>
      </c>
      <c r="AX278" t="s">
        <v>2286</v>
      </c>
      <c r="AY278">
        <v>26</v>
      </c>
      <c r="AZ278">
        <v>278</v>
      </c>
    </row>
    <row r="279" spans="1:52">
      <c r="A279" t="s">
        <v>2451</v>
      </c>
      <c r="B279" t="s">
        <v>2339</v>
      </c>
      <c r="C279" t="s">
        <v>2452</v>
      </c>
      <c r="D279" t="s">
        <v>2453</v>
      </c>
      <c r="E279" t="s">
        <v>2454</v>
      </c>
      <c r="F279" t="s">
        <v>2292</v>
      </c>
      <c r="G279">
        <f>'Assessment Questions'!J279</f>
        <v>3</v>
      </c>
      <c r="H279">
        <f t="shared" si="104"/>
        <v>0</v>
      </c>
      <c r="I279">
        <f t="shared" si="105"/>
        <v>0</v>
      </c>
      <c r="J279">
        <f t="shared" si="106"/>
        <v>3</v>
      </c>
      <c r="K279">
        <f t="shared" si="107"/>
        <v>3</v>
      </c>
      <c r="L279" t="str">
        <f t="shared" si="108"/>
        <v>Critical</v>
      </c>
      <c r="M279" t="s">
        <v>2455</v>
      </c>
      <c r="N279" t="s">
        <v>2456</v>
      </c>
      <c r="O279" t="s">
        <v>2457</v>
      </c>
      <c r="P279" t="s">
        <v>2458</v>
      </c>
      <c r="Q279" t="s">
        <v>2459</v>
      </c>
      <c r="R279" t="s">
        <v>2460</v>
      </c>
      <c r="S279" t="s">
        <v>2461</v>
      </c>
      <c r="T279">
        <f>'Assessment Questions'!W279</f>
        <v>0</v>
      </c>
      <c r="U279">
        <f>'Assessment Questions'!X279</f>
        <v>0</v>
      </c>
      <c r="V279" t="str">
        <f>'Assessment Questions'!Y279</f>
        <v>Use the recommended action generated by the model; validate with domain owner during real assessment.</v>
      </c>
      <c r="W279">
        <v>3</v>
      </c>
      <c r="X279">
        <v>3</v>
      </c>
      <c r="Y279">
        <v>5</v>
      </c>
      <c r="Z279">
        <f>'Assessment Questions'!AC279</f>
        <v>0</v>
      </c>
      <c r="AB279">
        <f t="shared" si="100"/>
        <v>0</v>
      </c>
      <c r="AC279">
        <f t="shared" si="101"/>
        <v>0</v>
      </c>
      <c r="AD279">
        <f t="shared" si="109"/>
        <v>0</v>
      </c>
      <c r="AE279">
        <f t="shared" si="102"/>
        <v>0</v>
      </c>
      <c r="AF279">
        <f t="shared" si="110"/>
        <v>5</v>
      </c>
      <c r="AG279">
        <f t="shared" si="103"/>
        <v>0</v>
      </c>
      <c r="AH279">
        <f>'Assessment Questions'!AK279</f>
        <v>0</v>
      </c>
      <c r="AI279">
        <f>'Assessment Questions'!AL279</f>
        <v>0</v>
      </c>
      <c r="AJ279">
        <f>IF(OR($H279="",$H279="N/A"),"",IF($AH279="",VLOOKUP('Company Profile'!$B$40,_CONFIG_Model_Settings!$A$5:$B$8,2,FALSE),IFERROR(VLOOKUP($AH279,_CONFIG_Model_Settings!$A$5:$B$8,2,FALSE),0.9)))</f>
        <v>0.9</v>
      </c>
      <c r="AK279">
        <f>IF(OR($H279="",$H279="N/A"),"",IF($AI279="",VLOOKUP('Company Profile'!$B$41,_CONFIG_Model_Settings!$A$5:$B$8,2,FALSE),IFERROR(VLOOKUP($AI279,_CONFIG_Model_Settings!$A$5:$B$8,2,FALSE),0.9)))</f>
        <v>0.9</v>
      </c>
      <c r="AL279">
        <f t="shared" si="111"/>
        <v>0</v>
      </c>
      <c r="AM279">
        <f t="shared" si="112"/>
        <v>0</v>
      </c>
      <c r="AN279">
        <f>IFERROR(MIN(5,MAX(0,(SUMIFS(_REF_Model_Content!$D$1:$D$174,_REF_Model_Content!$A$1:$A$174,PV_Canonical_Industry,_REF_Model_Content!$B$1:$B$174,"Sales CRM"))+IFERROR(VLOOKUP('Company Profile'!$B$35,_CONFIG_Model_Settings!$A$11:$B$13,2,0),0))),"")</f>
        <v>0</v>
      </c>
      <c r="AO279">
        <f t="shared" si="113"/>
        <v>0</v>
      </c>
      <c r="AP279">
        <f>IFERROR(SUMIFS(_REF_Model_Content!$E$1:$E$174,_REF_Model_Content!$A$1:$A$174,PV_Canonical_Industry,_REF_Model_Content!$B$1:$B$174,"Sales CRM"),1)</f>
        <v>0</v>
      </c>
      <c r="AQ279">
        <f t="shared" si="114"/>
        <v>0</v>
      </c>
      <c r="AR279" t="str">
        <f t="shared" si="115"/>
        <v>Within target</v>
      </c>
      <c r="AS279">
        <f t="shared" si="116"/>
        <v>0</v>
      </c>
      <c r="AT279">
        <f t="shared" si="117"/>
        <v>0.9</v>
      </c>
      <c r="AU279">
        <f>'Assessment Questions'!AX279</f>
        <v>0</v>
      </c>
      <c r="AV279">
        <f t="shared" si="118"/>
        <v>0.9</v>
      </c>
      <c r="AW279" t="s">
        <v>2286</v>
      </c>
      <c r="AX279" t="s">
        <v>2286</v>
      </c>
      <c r="AY279">
        <v>27</v>
      </c>
      <c r="AZ279">
        <v>279</v>
      </c>
    </row>
    <row r="280" spans="1:52">
      <c r="A280" t="s">
        <v>2462</v>
      </c>
      <c r="B280" t="s">
        <v>2339</v>
      </c>
      <c r="C280" t="s">
        <v>2463</v>
      </c>
      <c r="D280" t="s">
        <v>2464</v>
      </c>
      <c r="E280" t="s">
        <v>2465</v>
      </c>
      <c r="F280" t="s">
        <v>2292</v>
      </c>
      <c r="G280">
        <f>'Assessment Questions'!J280</f>
        <v>4</v>
      </c>
      <c r="H280">
        <f t="shared" si="104"/>
        <v>0</v>
      </c>
      <c r="I280">
        <f t="shared" si="105"/>
        <v>0</v>
      </c>
      <c r="J280">
        <f t="shared" si="106"/>
        <v>4</v>
      </c>
      <c r="K280">
        <f t="shared" si="107"/>
        <v>4</v>
      </c>
      <c r="L280" t="str">
        <f t="shared" si="108"/>
        <v>Critical</v>
      </c>
      <c r="M280" t="s">
        <v>2466</v>
      </c>
      <c r="N280" t="s">
        <v>2467</v>
      </c>
      <c r="O280" t="s">
        <v>2468</v>
      </c>
      <c r="P280" t="s">
        <v>2469</v>
      </c>
      <c r="Q280" t="s">
        <v>2470</v>
      </c>
      <c r="R280" t="s">
        <v>2471</v>
      </c>
      <c r="S280" t="s">
        <v>2472</v>
      </c>
      <c r="T280">
        <f>'Assessment Questions'!W280</f>
        <v>0</v>
      </c>
      <c r="U280">
        <f>'Assessment Questions'!X280</f>
        <v>0</v>
      </c>
      <c r="V280" t="str">
        <f>'Assessment Questions'!Y280</f>
        <v>Use the recommended action generated by the model; validate with domain owner during real assessment.</v>
      </c>
      <c r="W280">
        <v>4</v>
      </c>
      <c r="X280">
        <v>3</v>
      </c>
      <c r="Y280">
        <v>4</v>
      </c>
      <c r="Z280">
        <f>'Assessment Questions'!AC280</f>
        <v>0</v>
      </c>
      <c r="AB280">
        <f t="shared" si="100"/>
        <v>0</v>
      </c>
      <c r="AC280">
        <f t="shared" si="101"/>
        <v>0</v>
      </c>
      <c r="AD280">
        <f t="shared" si="109"/>
        <v>0</v>
      </c>
      <c r="AE280">
        <f t="shared" si="102"/>
        <v>0</v>
      </c>
      <c r="AF280">
        <f t="shared" si="110"/>
        <v>5</v>
      </c>
      <c r="AG280">
        <f t="shared" si="103"/>
        <v>0</v>
      </c>
      <c r="AH280">
        <f>'Assessment Questions'!AK280</f>
        <v>0</v>
      </c>
      <c r="AI280">
        <f>'Assessment Questions'!AL280</f>
        <v>0</v>
      </c>
      <c r="AJ280">
        <f>IF(OR($H280="",$H280="N/A"),"",IF($AH280="",VLOOKUP('Company Profile'!$B$40,_CONFIG_Model_Settings!$A$5:$B$8,2,FALSE),IFERROR(VLOOKUP($AH280,_CONFIG_Model_Settings!$A$5:$B$8,2,FALSE),0.9)))</f>
        <v>0.9</v>
      </c>
      <c r="AK280">
        <f>IF(OR($H280="",$H280="N/A"),"",IF($AI280="",VLOOKUP('Company Profile'!$B$41,_CONFIG_Model_Settings!$A$5:$B$8,2,FALSE),IFERROR(VLOOKUP($AI280,_CONFIG_Model_Settings!$A$5:$B$8,2,FALSE),0.9)))</f>
        <v>0.9</v>
      </c>
      <c r="AL280">
        <f t="shared" si="111"/>
        <v>0</v>
      </c>
      <c r="AM280">
        <f t="shared" si="112"/>
        <v>0</v>
      </c>
      <c r="AN280">
        <f>IFERROR(MIN(5,MAX(0,(SUMIFS(_REF_Model_Content!$D$1:$D$174,_REF_Model_Content!$A$1:$A$174,PV_Canonical_Industry,_REF_Model_Content!$B$1:$B$174,"Sales CRM"))+IFERROR(VLOOKUP('Company Profile'!$B$35,_CONFIG_Model_Settings!$A$11:$B$13,2,0),0))),"")</f>
        <v>0</v>
      </c>
      <c r="AO280">
        <f t="shared" si="113"/>
        <v>0</v>
      </c>
      <c r="AP280">
        <f>IFERROR(SUMIFS(_REF_Model_Content!$E$1:$E$174,_REF_Model_Content!$A$1:$A$174,PV_Canonical_Industry,_REF_Model_Content!$B$1:$B$174,"Sales CRM"),1)</f>
        <v>0</v>
      </c>
      <c r="AQ280">
        <f t="shared" si="114"/>
        <v>0</v>
      </c>
      <c r="AR280" t="str">
        <f t="shared" si="115"/>
        <v>Within target</v>
      </c>
      <c r="AS280">
        <f t="shared" si="116"/>
        <v>0</v>
      </c>
      <c r="AT280">
        <f t="shared" si="117"/>
        <v>0.9</v>
      </c>
      <c r="AU280">
        <f>'Assessment Questions'!AX280</f>
        <v>0</v>
      </c>
      <c r="AV280">
        <f t="shared" si="118"/>
        <v>0.9</v>
      </c>
      <c r="AW280" t="s">
        <v>2286</v>
      </c>
      <c r="AX280" t="s">
        <v>2286</v>
      </c>
      <c r="AY280">
        <v>28</v>
      </c>
      <c r="AZ280">
        <v>280</v>
      </c>
    </row>
    <row r="281" spans="1:52">
      <c r="A281" t="s">
        <v>2474</v>
      </c>
      <c r="B281" t="s">
        <v>2475</v>
      </c>
      <c r="C281" t="s">
        <v>2476</v>
      </c>
      <c r="D281" t="s">
        <v>2477</v>
      </c>
      <c r="E281" t="s">
        <v>2478</v>
      </c>
      <c r="F281" t="s">
        <v>2479</v>
      </c>
      <c r="G281">
        <f>'Assessment Questions'!J281</f>
        <v>3</v>
      </c>
      <c r="H281">
        <f t="shared" si="104"/>
        <v>0</v>
      </c>
      <c r="I281">
        <f t="shared" si="105"/>
        <v>0</v>
      </c>
      <c r="J281">
        <f t="shared" si="106"/>
        <v>3</v>
      </c>
      <c r="K281">
        <f t="shared" si="107"/>
        <v>3</v>
      </c>
      <c r="L281" t="str">
        <f t="shared" si="108"/>
        <v>Critical</v>
      </c>
      <c r="M281" t="s">
        <v>2480</v>
      </c>
      <c r="N281" t="s">
        <v>2481</v>
      </c>
      <c r="O281" t="s">
        <v>2482</v>
      </c>
      <c r="P281" t="s">
        <v>2483</v>
      </c>
      <c r="Q281" t="s">
        <v>2484</v>
      </c>
      <c r="R281" t="s">
        <v>2485</v>
      </c>
      <c r="S281" t="s">
        <v>2486</v>
      </c>
      <c r="T281">
        <f>'Assessment Questions'!W281</f>
        <v>0</v>
      </c>
      <c r="U281">
        <f>'Assessment Questions'!X281</f>
        <v>0</v>
      </c>
      <c r="V281" t="str">
        <f>'Assessment Questions'!Y281</f>
        <v>Use the recommended action generated by the model; validate with domain owner during real assessment.</v>
      </c>
      <c r="W281">
        <v>4</v>
      </c>
      <c r="X281">
        <v>5</v>
      </c>
      <c r="Y281">
        <v>5</v>
      </c>
      <c r="Z281">
        <f>'Assessment Questions'!AC281</f>
        <v>0</v>
      </c>
      <c r="AA281" t="s">
        <v>2475</v>
      </c>
      <c r="AB281">
        <f t="shared" ref="AB281:AB296" si="119">COUNTIF($B$281:$B$296,$AA281)</f>
        <v>5</v>
      </c>
      <c r="AC281">
        <f t="shared" ref="AC281:AC296" si="120">IFERROR(SUMPRODUCT(($B$281:$B$296=$AA281)*($H$281:$H$296&lt;&gt;"")*($H$281:$H$296&lt;&gt;"N/A")*IFERROR(VALUE($H$281:$H$296),0))/SUMPRODUCT(($B$281:$B$296=$AA281)*($H$281:$H$296&lt;&gt;"")*($H$281:$H$296&lt;&gt;"N/A")),0)</f>
        <v>0</v>
      </c>
      <c r="AD281">
        <f t="shared" si="109"/>
        <v>0</v>
      </c>
      <c r="AE281">
        <f t="shared" ref="AE281:AE296" si="121">COUNTIFS($B$281:$B$296,$AA281,$L$281:$L$296,"Critical")+COUNTIFS($B$281:$B$296,$AA281,$L$281:$L$296,"High")</f>
        <v>5</v>
      </c>
      <c r="AF281">
        <f t="shared" si="110"/>
        <v>5</v>
      </c>
      <c r="AG281">
        <f t="shared" ref="AG281:AG296" si="122">SUMPRODUCT(($B$281:$B$296=$AA281)*(ISNUMBER($H$281:$H$296)+($H$281:$H$296="N/A")))</f>
        <v>5</v>
      </c>
      <c r="AH281">
        <f>'Assessment Questions'!AK281</f>
        <v>0</v>
      </c>
      <c r="AI281">
        <f>'Assessment Questions'!AL281</f>
        <v>0</v>
      </c>
      <c r="AJ281">
        <f>IF(OR($H281="",$H281="N/A"),"",IF($AH281="",VLOOKUP('Company Profile'!$B$40,_CONFIG_Model_Settings!$A$5:$B$8,2,FALSE),IFERROR(VLOOKUP($AH281,_CONFIG_Model_Settings!$A$5:$B$8,2,FALSE),0.9)))</f>
        <v>0.9</v>
      </c>
      <c r="AK281">
        <f>IF(OR($H281="",$H281="N/A"),"",IF($AI281="",VLOOKUP('Company Profile'!$B$41,_CONFIG_Model_Settings!$A$5:$B$8,2,FALSE),IFERROR(VLOOKUP($AI281,_CONFIG_Model_Settings!$A$5:$B$8,2,FALSE),0.9)))</f>
        <v>0.9</v>
      </c>
      <c r="AL281">
        <f t="shared" si="111"/>
        <v>0</v>
      </c>
      <c r="AM281">
        <f t="shared" si="112"/>
        <v>0</v>
      </c>
      <c r="AN281">
        <f>IFERROR(MIN(5,MAX(0,(SUMIFS(_REF_Model_Content!$D$1:$D$174,_REF_Model_Content!$A$1:$A$174,PV_Canonical_Industry,_REF_Model_Content!$B$1:$B$174,"Marketing Comms"))+IFERROR(VLOOKUP('Company Profile'!$B$35,_CONFIG_Model_Settings!$A$11:$B$13,2,0),0))),"")</f>
        <v>0</v>
      </c>
      <c r="AO281">
        <f t="shared" si="113"/>
        <v>0</v>
      </c>
      <c r="AP281">
        <f>IFERROR(SUMIFS(_REF_Model_Content!$E$1:$E$174,_REF_Model_Content!$A$1:$A$174,PV_Canonical_Industry,_REF_Model_Content!$B$1:$B$174,"Marketing Comms"),1)</f>
        <v>0</v>
      </c>
      <c r="AQ281">
        <f t="shared" si="114"/>
        <v>0</v>
      </c>
      <c r="AR281" t="str">
        <f t="shared" si="115"/>
        <v>Within target</v>
      </c>
      <c r="AS281">
        <f t="shared" si="116"/>
        <v>0</v>
      </c>
      <c r="AT281">
        <f t="shared" si="117"/>
        <v>0.9</v>
      </c>
      <c r="AU281">
        <f>'Assessment Questions'!AX281</f>
        <v>0</v>
      </c>
      <c r="AV281">
        <f t="shared" si="118"/>
        <v>0.9</v>
      </c>
      <c r="AW281" t="s">
        <v>2473</v>
      </c>
      <c r="AX281" t="s">
        <v>2473</v>
      </c>
      <c r="AY281">
        <v>5</v>
      </c>
      <c r="AZ281">
        <v>281</v>
      </c>
    </row>
    <row r="282" spans="1:52">
      <c r="A282" t="s">
        <v>2487</v>
      </c>
      <c r="B282" t="s">
        <v>2475</v>
      </c>
      <c r="C282" t="s">
        <v>2488</v>
      </c>
      <c r="D282" t="s">
        <v>2477</v>
      </c>
      <c r="E282" t="s">
        <v>2478</v>
      </c>
      <c r="F282" t="s">
        <v>2489</v>
      </c>
      <c r="G282">
        <f>'Assessment Questions'!J282</f>
        <v>5</v>
      </c>
      <c r="H282">
        <f t="shared" si="104"/>
        <v>0</v>
      </c>
      <c r="I282">
        <f t="shared" si="105"/>
        <v>0</v>
      </c>
      <c r="J282">
        <f t="shared" si="106"/>
        <v>5</v>
      </c>
      <c r="K282">
        <f t="shared" si="107"/>
        <v>5</v>
      </c>
      <c r="L282" t="str">
        <f t="shared" si="108"/>
        <v>Critical</v>
      </c>
      <c r="M282" t="s">
        <v>833</v>
      </c>
      <c r="N282" t="s">
        <v>834</v>
      </c>
      <c r="O282" t="s">
        <v>835</v>
      </c>
      <c r="P282" t="s">
        <v>836</v>
      </c>
      <c r="Q282" t="s">
        <v>837</v>
      </c>
      <c r="R282" t="s">
        <v>838</v>
      </c>
      <c r="S282" t="s">
        <v>2486</v>
      </c>
      <c r="T282">
        <f>'Assessment Questions'!W282</f>
        <v>0</v>
      </c>
      <c r="U282">
        <f>'Assessment Questions'!X282</f>
        <v>0</v>
      </c>
      <c r="V282" t="str">
        <f>'Assessment Questions'!Y282</f>
        <v>Use the recommended action generated by the model; validate with domain owner during real assessment.</v>
      </c>
      <c r="W282">
        <v>4</v>
      </c>
      <c r="X282">
        <v>5</v>
      </c>
      <c r="Y282">
        <v>5</v>
      </c>
      <c r="Z282">
        <f>'Assessment Questions'!AC282</f>
        <v>0</v>
      </c>
      <c r="AA282" t="s">
        <v>2490</v>
      </c>
      <c r="AB282">
        <f t="shared" si="119"/>
        <v>6</v>
      </c>
      <c r="AC282">
        <f t="shared" si="120"/>
        <v>0</v>
      </c>
      <c r="AD282">
        <f t="shared" si="109"/>
        <v>0</v>
      </c>
      <c r="AE282">
        <f t="shared" si="121"/>
        <v>6</v>
      </c>
      <c r="AF282">
        <f t="shared" si="110"/>
        <v>5</v>
      </c>
      <c r="AG282">
        <f t="shared" si="122"/>
        <v>6</v>
      </c>
      <c r="AH282">
        <f>'Assessment Questions'!AK282</f>
        <v>0</v>
      </c>
      <c r="AI282">
        <f>'Assessment Questions'!AL282</f>
        <v>0</v>
      </c>
      <c r="AJ282">
        <f>IF(OR($H282="",$H282="N/A"),"",IF($AH282="",VLOOKUP('Company Profile'!$B$40,_CONFIG_Model_Settings!$A$5:$B$8,2,FALSE),IFERROR(VLOOKUP($AH282,_CONFIG_Model_Settings!$A$5:$B$8,2,FALSE),0.9)))</f>
        <v>0.9</v>
      </c>
      <c r="AK282">
        <f>IF(OR($H282="",$H282="N/A"),"",IF($AI282="",VLOOKUP('Company Profile'!$B$41,_CONFIG_Model_Settings!$A$5:$B$8,2,FALSE),IFERROR(VLOOKUP($AI282,_CONFIG_Model_Settings!$A$5:$B$8,2,FALSE),0.9)))</f>
        <v>0.9</v>
      </c>
      <c r="AL282">
        <f t="shared" si="111"/>
        <v>0</v>
      </c>
      <c r="AM282">
        <f t="shared" si="112"/>
        <v>0</v>
      </c>
      <c r="AN282">
        <f>IFERROR(MIN(5,MAX(0,(SUMIFS(_REF_Model_Content!$D$1:$D$174,_REF_Model_Content!$A$1:$A$174,PV_Canonical_Industry,_REF_Model_Content!$B$1:$B$174,"Marketing Comms"))+IFERROR(VLOOKUP('Company Profile'!$B$35,_CONFIG_Model_Settings!$A$11:$B$13,2,0),0))),"")</f>
        <v>0</v>
      </c>
      <c r="AO282">
        <f t="shared" si="113"/>
        <v>0</v>
      </c>
      <c r="AP282">
        <f>IFERROR(SUMIFS(_REF_Model_Content!$E$1:$E$174,_REF_Model_Content!$A$1:$A$174,PV_Canonical_Industry,_REF_Model_Content!$B$1:$B$174,"Marketing Comms"),1)</f>
        <v>0</v>
      </c>
      <c r="AQ282">
        <f t="shared" si="114"/>
        <v>0</v>
      </c>
      <c r="AR282" t="str">
        <f t="shared" si="115"/>
        <v>Within target</v>
      </c>
      <c r="AS282">
        <f t="shared" si="116"/>
        <v>0</v>
      </c>
      <c r="AT282">
        <f t="shared" si="117"/>
        <v>0.9</v>
      </c>
      <c r="AU282">
        <f>'Assessment Questions'!AX282</f>
        <v>0</v>
      </c>
      <c r="AV282">
        <f t="shared" si="118"/>
        <v>0.9</v>
      </c>
      <c r="AW282" t="s">
        <v>2473</v>
      </c>
      <c r="AX282" t="s">
        <v>2473</v>
      </c>
      <c r="AY282">
        <v>6</v>
      </c>
      <c r="AZ282">
        <v>282</v>
      </c>
    </row>
    <row r="283" spans="1:52">
      <c r="A283" t="s">
        <v>2491</v>
      </c>
      <c r="B283" t="s">
        <v>2475</v>
      </c>
      <c r="C283" t="s">
        <v>2492</v>
      </c>
      <c r="D283" t="s">
        <v>2477</v>
      </c>
      <c r="E283" t="s">
        <v>2478</v>
      </c>
      <c r="F283" t="s">
        <v>2493</v>
      </c>
      <c r="G283">
        <f>'Assessment Questions'!J283</f>
        <v>5</v>
      </c>
      <c r="H283">
        <f t="shared" si="104"/>
        <v>0</v>
      </c>
      <c r="I283">
        <f t="shared" si="105"/>
        <v>0</v>
      </c>
      <c r="J283">
        <f t="shared" si="106"/>
        <v>5</v>
      </c>
      <c r="K283">
        <f t="shared" si="107"/>
        <v>5</v>
      </c>
      <c r="L283" t="str">
        <f t="shared" si="108"/>
        <v>Critical</v>
      </c>
      <c r="M283" t="s">
        <v>833</v>
      </c>
      <c r="N283" t="s">
        <v>834</v>
      </c>
      <c r="O283" t="s">
        <v>835</v>
      </c>
      <c r="P283" t="s">
        <v>836</v>
      </c>
      <c r="Q283" t="s">
        <v>837</v>
      </c>
      <c r="R283" t="s">
        <v>838</v>
      </c>
      <c r="S283" t="s">
        <v>2486</v>
      </c>
      <c r="T283">
        <f>'Assessment Questions'!W283</f>
        <v>0</v>
      </c>
      <c r="U283">
        <f>'Assessment Questions'!X283</f>
        <v>0</v>
      </c>
      <c r="V283" t="str">
        <f>'Assessment Questions'!Y283</f>
        <v>Use the recommended action generated by the model; validate with domain owner during real assessment.</v>
      </c>
      <c r="W283">
        <v>4</v>
      </c>
      <c r="X283">
        <v>5</v>
      </c>
      <c r="Y283">
        <v>5</v>
      </c>
      <c r="Z283">
        <f>'Assessment Questions'!AC283</f>
        <v>0</v>
      </c>
      <c r="AA283" t="s">
        <v>2494</v>
      </c>
      <c r="AB283">
        <f t="shared" si="119"/>
        <v>5</v>
      </c>
      <c r="AC283">
        <f t="shared" si="120"/>
        <v>0</v>
      </c>
      <c r="AD283">
        <f t="shared" si="109"/>
        <v>0</v>
      </c>
      <c r="AE283">
        <f t="shared" si="121"/>
        <v>5</v>
      </c>
      <c r="AF283">
        <f t="shared" si="110"/>
        <v>5</v>
      </c>
      <c r="AG283">
        <f t="shared" si="122"/>
        <v>5</v>
      </c>
      <c r="AH283">
        <f>'Assessment Questions'!AK283</f>
        <v>0</v>
      </c>
      <c r="AI283">
        <f>'Assessment Questions'!AL283</f>
        <v>0</v>
      </c>
      <c r="AJ283">
        <f>IF(OR($H283="",$H283="N/A"),"",IF($AH283="",VLOOKUP('Company Profile'!$B$40,_CONFIG_Model_Settings!$A$5:$B$8,2,FALSE),IFERROR(VLOOKUP($AH283,_CONFIG_Model_Settings!$A$5:$B$8,2,FALSE),0.9)))</f>
        <v>0.9</v>
      </c>
      <c r="AK283">
        <f>IF(OR($H283="",$H283="N/A"),"",IF($AI283="",VLOOKUP('Company Profile'!$B$41,_CONFIG_Model_Settings!$A$5:$B$8,2,FALSE),IFERROR(VLOOKUP($AI283,_CONFIG_Model_Settings!$A$5:$B$8,2,FALSE),0.9)))</f>
        <v>0.9</v>
      </c>
      <c r="AL283">
        <f t="shared" si="111"/>
        <v>0</v>
      </c>
      <c r="AM283">
        <f t="shared" si="112"/>
        <v>0</v>
      </c>
      <c r="AN283">
        <f>IFERROR(MIN(5,MAX(0,(SUMIFS(_REF_Model_Content!$D$1:$D$174,_REF_Model_Content!$A$1:$A$174,PV_Canonical_Industry,_REF_Model_Content!$B$1:$B$174,"Marketing Comms"))+IFERROR(VLOOKUP('Company Profile'!$B$35,_CONFIG_Model_Settings!$A$11:$B$13,2,0),0))),"")</f>
        <v>0</v>
      </c>
      <c r="AO283">
        <f t="shared" si="113"/>
        <v>0</v>
      </c>
      <c r="AP283">
        <f>IFERROR(SUMIFS(_REF_Model_Content!$E$1:$E$174,_REF_Model_Content!$A$1:$A$174,PV_Canonical_Industry,_REF_Model_Content!$B$1:$B$174,"Marketing Comms"),1)</f>
        <v>0</v>
      </c>
      <c r="AQ283">
        <f t="shared" si="114"/>
        <v>0</v>
      </c>
      <c r="AR283" t="str">
        <f t="shared" si="115"/>
        <v>Within target</v>
      </c>
      <c r="AS283">
        <f t="shared" si="116"/>
        <v>0</v>
      </c>
      <c r="AT283">
        <f t="shared" si="117"/>
        <v>0.9</v>
      </c>
      <c r="AU283">
        <f>'Assessment Questions'!AX283</f>
        <v>0</v>
      </c>
      <c r="AV283">
        <f t="shared" si="118"/>
        <v>0.9</v>
      </c>
      <c r="AW283" t="s">
        <v>2473</v>
      </c>
      <c r="AX283" t="s">
        <v>2473</v>
      </c>
      <c r="AY283">
        <v>7</v>
      </c>
      <c r="AZ283">
        <v>283</v>
      </c>
    </row>
    <row r="284" spans="1:52">
      <c r="A284" t="s">
        <v>2495</v>
      </c>
      <c r="B284" t="s">
        <v>2475</v>
      </c>
      <c r="C284" t="s">
        <v>2496</v>
      </c>
      <c r="D284" t="s">
        <v>2477</v>
      </c>
      <c r="E284" t="s">
        <v>2478</v>
      </c>
      <c r="F284" t="s">
        <v>2497</v>
      </c>
      <c r="G284">
        <f>'Assessment Questions'!J284</f>
        <v>3</v>
      </c>
      <c r="H284">
        <f t="shared" si="104"/>
        <v>0</v>
      </c>
      <c r="I284">
        <f t="shared" si="105"/>
        <v>0</v>
      </c>
      <c r="J284">
        <f t="shared" si="106"/>
        <v>3</v>
      </c>
      <c r="K284">
        <f t="shared" si="107"/>
        <v>3</v>
      </c>
      <c r="L284" t="str">
        <f t="shared" si="108"/>
        <v>Critical</v>
      </c>
      <c r="M284" t="s">
        <v>2498</v>
      </c>
      <c r="N284" t="s">
        <v>2499</v>
      </c>
      <c r="O284" t="s">
        <v>2500</v>
      </c>
      <c r="P284" t="s">
        <v>2501</v>
      </c>
      <c r="Q284" t="s">
        <v>2502</v>
      </c>
      <c r="R284" t="s">
        <v>2503</v>
      </c>
      <c r="S284" t="s">
        <v>2486</v>
      </c>
      <c r="T284">
        <f>'Assessment Questions'!W284</f>
        <v>0</v>
      </c>
      <c r="U284">
        <f>'Assessment Questions'!X284</f>
        <v>0</v>
      </c>
      <c r="V284" t="str">
        <f>'Assessment Questions'!Y284</f>
        <v>Use the recommended action generated by the model; validate with domain owner during real assessment.</v>
      </c>
      <c r="W284">
        <v>4</v>
      </c>
      <c r="X284">
        <v>5</v>
      </c>
      <c r="Y284">
        <v>5</v>
      </c>
      <c r="Z284">
        <f>'Assessment Questions'!AC284</f>
        <v>0</v>
      </c>
      <c r="AB284">
        <f t="shared" si="119"/>
        <v>0</v>
      </c>
      <c r="AC284">
        <f t="shared" si="120"/>
        <v>0</v>
      </c>
      <c r="AD284">
        <f t="shared" si="109"/>
        <v>0</v>
      </c>
      <c r="AE284">
        <f t="shared" si="121"/>
        <v>0</v>
      </c>
      <c r="AF284">
        <f t="shared" si="110"/>
        <v>5</v>
      </c>
      <c r="AG284">
        <f t="shared" si="122"/>
        <v>0</v>
      </c>
      <c r="AH284">
        <f>'Assessment Questions'!AK284</f>
        <v>0</v>
      </c>
      <c r="AI284">
        <f>'Assessment Questions'!AL284</f>
        <v>0</v>
      </c>
      <c r="AJ284">
        <f>IF(OR($H284="",$H284="N/A"),"",IF($AH284="",VLOOKUP('Company Profile'!$B$40,_CONFIG_Model_Settings!$A$5:$B$8,2,FALSE),IFERROR(VLOOKUP($AH284,_CONFIG_Model_Settings!$A$5:$B$8,2,FALSE),0.9)))</f>
        <v>0.9</v>
      </c>
      <c r="AK284">
        <f>IF(OR($H284="",$H284="N/A"),"",IF($AI284="",VLOOKUP('Company Profile'!$B$41,_CONFIG_Model_Settings!$A$5:$B$8,2,FALSE),IFERROR(VLOOKUP($AI284,_CONFIG_Model_Settings!$A$5:$B$8,2,FALSE),0.9)))</f>
        <v>0.9</v>
      </c>
      <c r="AL284">
        <f t="shared" si="111"/>
        <v>0</v>
      </c>
      <c r="AM284">
        <f t="shared" si="112"/>
        <v>0</v>
      </c>
      <c r="AN284">
        <f>IFERROR(MIN(5,MAX(0,(SUMIFS(_REF_Model_Content!$D$1:$D$174,_REF_Model_Content!$A$1:$A$174,PV_Canonical_Industry,_REF_Model_Content!$B$1:$B$174,"Marketing Comms"))+IFERROR(VLOOKUP('Company Profile'!$B$35,_CONFIG_Model_Settings!$A$11:$B$13,2,0),0))),"")</f>
        <v>0</v>
      </c>
      <c r="AO284">
        <f t="shared" si="113"/>
        <v>0</v>
      </c>
      <c r="AP284">
        <f>IFERROR(SUMIFS(_REF_Model_Content!$E$1:$E$174,_REF_Model_Content!$A$1:$A$174,PV_Canonical_Industry,_REF_Model_Content!$B$1:$B$174,"Marketing Comms"),1)</f>
        <v>0</v>
      </c>
      <c r="AQ284">
        <f t="shared" si="114"/>
        <v>0</v>
      </c>
      <c r="AR284" t="str">
        <f t="shared" si="115"/>
        <v>Within target</v>
      </c>
      <c r="AS284">
        <f t="shared" si="116"/>
        <v>0</v>
      </c>
      <c r="AT284">
        <f t="shared" si="117"/>
        <v>0.9</v>
      </c>
      <c r="AU284">
        <f>'Assessment Questions'!AX284</f>
        <v>0</v>
      </c>
      <c r="AV284">
        <f t="shared" si="118"/>
        <v>0.9</v>
      </c>
      <c r="AW284" t="s">
        <v>2473</v>
      </c>
      <c r="AX284" t="s">
        <v>2473</v>
      </c>
      <c r="AY284">
        <v>8</v>
      </c>
      <c r="AZ284">
        <v>284</v>
      </c>
    </row>
    <row r="285" spans="1:52">
      <c r="A285" t="s">
        <v>2504</v>
      </c>
      <c r="B285" t="s">
        <v>2475</v>
      </c>
      <c r="C285" t="s">
        <v>2505</v>
      </c>
      <c r="D285" t="s">
        <v>2477</v>
      </c>
      <c r="E285" t="s">
        <v>2478</v>
      </c>
      <c r="F285" t="s">
        <v>2506</v>
      </c>
      <c r="G285">
        <f>'Assessment Questions'!J285</f>
        <v>3</v>
      </c>
      <c r="H285">
        <f t="shared" si="104"/>
        <v>0</v>
      </c>
      <c r="I285">
        <f t="shared" si="105"/>
        <v>0</v>
      </c>
      <c r="J285">
        <f t="shared" si="106"/>
        <v>3</v>
      </c>
      <c r="K285">
        <f t="shared" si="107"/>
        <v>3</v>
      </c>
      <c r="L285" t="str">
        <f t="shared" si="108"/>
        <v>Critical</v>
      </c>
      <c r="M285" t="s">
        <v>2507</v>
      </c>
      <c r="N285" t="s">
        <v>2508</v>
      </c>
      <c r="O285" t="s">
        <v>2509</v>
      </c>
      <c r="P285" t="s">
        <v>2510</v>
      </c>
      <c r="Q285" t="s">
        <v>2511</v>
      </c>
      <c r="R285" t="s">
        <v>2512</v>
      </c>
      <c r="S285" t="s">
        <v>2486</v>
      </c>
      <c r="T285">
        <f>'Assessment Questions'!W285</f>
        <v>0</v>
      </c>
      <c r="U285">
        <f>'Assessment Questions'!X285</f>
        <v>0</v>
      </c>
      <c r="V285" t="str">
        <f>'Assessment Questions'!Y285</f>
        <v>Use the recommended action generated by the model; validate with domain owner during real assessment.</v>
      </c>
      <c r="W285">
        <v>4</v>
      </c>
      <c r="X285">
        <v>5</v>
      </c>
      <c r="Y285">
        <v>5</v>
      </c>
      <c r="Z285">
        <f>'Assessment Questions'!AC285</f>
        <v>0</v>
      </c>
      <c r="AB285">
        <f t="shared" si="119"/>
        <v>0</v>
      </c>
      <c r="AC285">
        <f t="shared" si="120"/>
        <v>0</v>
      </c>
      <c r="AD285">
        <f t="shared" si="109"/>
        <v>0</v>
      </c>
      <c r="AE285">
        <f t="shared" si="121"/>
        <v>0</v>
      </c>
      <c r="AF285">
        <f t="shared" si="110"/>
        <v>5</v>
      </c>
      <c r="AG285">
        <f t="shared" si="122"/>
        <v>0</v>
      </c>
      <c r="AH285">
        <f>'Assessment Questions'!AK285</f>
        <v>0</v>
      </c>
      <c r="AI285">
        <f>'Assessment Questions'!AL285</f>
        <v>0</v>
      </c>
      <c r="AJ285">
        <f>IF(OR($H285="",$H285="N/A"),"",IF($AH285="",VLOOKUP('Company Profile'!$B$40,_CONFIG_Model_Settings!$A$5:$B$8,2,FALSE),IFERROR(VLOOKUP($AH285,_CONFIG_Model_Settings!$A$5:$B$8,2,FALSE),0.9)))</f>
        <v>0.9</v>
      </c>
      <c r="AK285">
        <f>IF(OR($H285="",$H285="N/A"),"",IF($AI285="",VLOOKUP('Company Profile'!$B$41,_CONFIG_Model_Settings!$A$5:$B$8,2,FALSE),IFERROR(VLOOKUP($AI285,_CONFIG_Model_Settings!$A$5:$B$8,2,FALSE),0.9)))</f>
        <v>0.9</v>
      </c>
      <c r="AL285">
        <f t="shared" si="111"/>
        <v>0</v>
      </c>
      <c r="AM285">
        <f t="shared" si="112"/>
        <v>0</v>
      </c>
      <c r="AN285">
        <f>IFERROR(MIN(5,MAX(0,(SUMIFS(_REF_Model_Content!$D$1:$D$174,_REF_Model_Content!$A$1:$A$174,PV_Canonical_Industry,_REF_Model_Content!$B$1:$B$174,"Marketing Comms"))+IFERROR(VLOOKUP('Company Profile'!$B$35,_CONFIG_Model_Settings!$A$11:$B$13,2,0),0))),"")</f>
        <v>0</v>
      </c>
      <c r="AO285">
        <f t="shared" si="113"/>
        <v>0</v>
      </c>
      <c r="AP285">
        <f>IFERROR(SUMIFS(_REF_Model_Content!$E$1:$E$174,_REF_Model_Content!$A$1:$A$174,PV_Canonical_Industry,_REF_Model_Content!$B$1:$B$174,"Marketing Comms"),1)</f>
        <v>0</v>
      </c>
      <c r="AQ285">
        <f t="shared" si="114"/>
        <v>0</v>
      </c>
      <c r="AR285" t="str">
        <f t="shared" si="115"/>
        <v>Within target</v>
      </c>
      <c r="AS285">
        <f t="shared" si="116"/>
        <v>0</v>
      </c>
      <c r="AT285">
        <f t="shared" si="117"/>
        <v>0.9</v>
      </c>
      <c r="AU285">
        <f>'Assessment Questions'!AX285</f>
        <v>0</v>
      </c>
      <c r="AV285">
        <f t="shared" si="118"/>
        <v>0.9</v>
      </c>
      <c r="AW285" t="s">
        <v>2473</v>
      </c>
      <c r="AX285" t="s">
        <v>2473</v>
      </c>
      <c r="AY285">
        <v>9</v>
      </c>
      <c r="AZ285">
        <v>285</v>
      </c>
    </row>
    <row r="286" spans="1:52">
      <c r="A286" t="s">
        <v>2513</v>
      </c>
      <c r="B286" t="s">
        <v>2490</v>
      </c>
      <c r="C286" t="s">
        <v>2514</v>
      </c>
      <c r="D286" t="s">
        <v>2477</v>
      </c>
      <c r="E286" t="s">
        <v>2478</v>
      </c>
      <c r="F286" t="s">
        <v>2515</v>
      </c>
      <c r="G286">
        <f>'Assessment Questions'!J286</f>
        <v>5</v>
      </c>
      <c r="H286">
        <f t="shared" si="104"/>
        <v>0</v>
      </c>
      <c r="I286">
        <f t="shared" si="105"/>
        <v>0</v>
      </c>
      <c r="J286">
        <f t="shared" si="106"/>
        <v>5</v>
      </c>
      <c r="K286">
        <f t="shared" si="107"/>
        <v>5</v>
      </c>
      <c r="L286" t="str">
        <f t="shared" si="108"/>
        <v>Critical</v>
      </c>
      <c r="M286" t="s">
        <v>833</v>
      </c>
      <c r="N286" t="s">
        <v>834</v>
      </c>
      <c r="O286" t="s">
        <v>835</v>
      </c>
      <c r="P286" t="s">
        <v>836</v>
      </c>
      <c r="Q286" t="s">
        <v>837</v>
      </c>
      <c r="R286" t="s">
        <v>838</v>
      </c>
      <c r="S286" t="s">
        <v>2486</v>
      </c>
      <c r="T286">
        <f>'Assessment Questions'!W286</f>
        <v>0</v>
      </c>
      <c r="U286">
        <f>'Assessment Questions'!X286</f>
        <v>0</v>
      </c>
      <c r="V286" t="str">
        <f>'Assessment Questions'!Y286</f>
        <v>Use the recommended action generated by the model; validate with domain owner during real assessment.</v>
      </c>
      <c r="W286">
        <v>4</v>
      </c>
      <c r="X286">
        <v>5</v>
      </c>
      <c r="Y286">
        <v>5</v>
      </c>
      <c r="Z286">
        <f>'Assessment Questions'!AC286</f>
        <v>0</v>
      </c>
      <c r="AB286">
        <f t="shared" si="119"/>
        <v>0</v>
      </c>
      <c r="AC286">
        <f t="shared" si="120"/>
        <v>0</v>
      </c>
      <c r="AD286">
        <f t="shared" si="109"/>
        <v>0</v>
      </c>
      <c r="AE286">
        <f t="shared" si="121"/>
        <v>0</v>
      </c>
      <c r="AF286">
        <f t="shared" si="110"/>
        <v>5</v>
      </c>
      <c r="AG286">
        <f t="shared" si="122"/>
        <v>0</v>
      </c>
      <c r="AH286">
        <f>'Assessment Questions'!AK286</f>
        <v>0</v>
      </c>
      <c r="AI286">
        <f>'Assessment Questions'!AL286</f>
        <v>0</v>
      </c>
      <c r="AJ286">
        <f>IF(OR($H286="",$H286="N/A"),"",IF($AH286="",VLOOKUP('Company Profile'!$B$40,_CONFIG_Model_Settings!$A$5:$B$8,2,FALSE),IFERROR(VLOOKUP($AH286,_CONFIG_Model_Settings!$A$5:$B$8,2,FALSE),0.9)))</f>
        <v>0.9</v>
      </c>
      <c r="AK286">
        <f>IF(OR($H286="",$H286="N/A"),"",IF($AI286="",VLOOKUP('Company Profile'!$B$41,_CONFIG_Model_Settings!$A$5:$B$8,2,FALSE),IFERROR(VLOOKUP($AI286,_CONFIG_Model_Settings!$A$5:$B$8,2,FALSE),0.9)))</f>
        <v>0.9</v>
      </c>
      <c r="AL286">
        <f t="shared" si="111"/>
        <v>0</v>
      </c>
      <c r="AM286">
        <f t="shared" si="112"/>
        <v>0</v>
      </c>
      <c r="AN286">
        <f>IFERROR(MIN(5,MAX(0,(SUMIFS(_REF_Model_Content!$D$1:$D$174,_REF_Model_Content!$A$1:$A$174,PV_Canonical_Industry,_REF_Model_Content!$B$1:$B$174,"Marketing Comms"))+IFERROR(VLOOKUP('Company Profile'!$B$35,_CONFIG_Model_Settings!$A$11:$B$13,2,0),0))),"")</f>
        <v>0</v>
      </c>
      <c r="AO286">
        <f t="shared" si="113"/>
        <v>0</v>
      </c>
      <c r="AP286">
        <f>IFERROR(SUMIFS(_REF_Model_Content!$E$1:$E$174,_REF_Model_Content!$A$1:$A$174,PV_Canonical_Industry,_REF_Model_Content!$B$1:$B$174,"Marketing Comms"),1)</f>
        <v>0</v>
      </c>
      <c r="AQ286">
        <f t="shared" si="114"/>
        <v>0</v>
      </c>
      <c r="AR286" t="str">
        <f t="shared" si="115"/>
        <v>Within target</v>
      </c>
      <c r="AS286">
        <f t="shared" si="116"/>
        <v>0</v>
      </c>
      <c r="AT286">
        <f t="shared" si="117"/>
        <v>0.9</v>
      </c>
      <c r="AU286">
        <f>'Assessment Questions'!AX286</f>
        <v>0</v>
      </c>
      <c r="AV286">
        <f t="shared" si="118"/>
        <v>0.9</v>
      </c>
      <c r="AW286" t="s">
        <v>2473</v>
      </c>
      <c r="AX286" t="s">
        <v>2473</v>
      </c>
      <c r="AY286">
        <v>10</v>
      </c>
      <c r="AZ286">
        <v>286</v>
      </c>
    </row>
    <row r="287" spans="1:52">
      <c r="A287" t="s">
        <v>2516</v>
      </c>
      <c r="B287" t="s">
        <v>2490</v>
      </c>
      <c r="C287" t="s">
        <v>2517</v>
      </c>
      <c r="D287" t="s">
        <v>2477</v>
      </c>
      <c r="E287" t="s">
        <v>2478</v>
      </c>
      <c r="F287" t="s">
        <v>2518</v>
      </c>
      <c r="G287">
        <f>'Assessment Questions'!J287</f>
        <v>5</v>
      </c>
      <c r="H287">
        <f t="shared" si="104"/>
        <v>0</v>
      </c>
      <c r="I287">
        <f t="shared" si="105"/>
        <v>0</v>
      </c>
      <c r="J287">
        <f t="shared" si="106"/>
        <v>5</v>
      </c>
      <c r="K287">
        <f t="shared" si="107"/>
        <v>5</v>
      </c>
      <c r="L287" t="str">
        <f t="shared" si="108"/>
        <v>Critical</v>
      </c>
      <c r="M287" t="s">
        <v>1202</v>
      </c>
      <c r="N287" t="s">
        <v>1203</v>
      </c>
      <c r="O287" t="s">
        <v>1204</v>
      </c>
      <c r="P287" t="s">
        <v>1205</v>
      </c>
      <c r="Q287" t="s">
        <v>1206</v>
      </c>
      <c r="R287" t="s">
        <v>1207</v>
      </c>
      <c r="S287" t="s">
        <v>2486</v>
      </c>
      <c r="T287">
        <f>'Assessment Questions'!W287</f>
        <v>0</v>
      </c>
      <c r="U287">
        <f>'Assessment Questions'!X287</f>
        <v>0</v>
      </c>
      <c r="V287" t="str">
        <f>'Assessment Questions'!Y287</f>
        <v>Use the recommended action generated by the model; validate with domain owner during real assessment.</v>
      </c>
      <c r="W287">
        <v>5</v>
      </c>
      <c r="X287">
        <v>5</v>
      </c>
      <c r="Y287">
        <v>5</v>
      </c>
      <c r="Z287">
        <f>'Assessment Questions'!AC287</f>
        <v>0</v>
      </c>
      <c r="AB287">
        <f t="shared" si="119"/>
        <v>0</v>
      </c>
      <c r="AC287">
        <f t="shared" si="120"/>
        <v>0</v>
      </c>
      <c r="AD287">
        <f t="shared" si="109"/>
        <v>0</v>
      </c>
      <c r="AE287">
        <f t="shared" si="121"/>
        <v>0</v>
      </c>
      <c r="AF287">
        <f t="shared" si="110"/>
        <v>5</v>
      </c>
      <c r="AG287">
        <f t="shared" si="122"/>
        <v>0</v>
      </c>
      <c r="AH287">
        <f>'Assessment Questions'!AK287</f>
        <v>0</v>
      </c>
      <c r="AI287">
        <f>'Assessment Questions'!AL287</f>
        <v>0</v>
      </c>
      <c r="AJ287">
        <f>IF(OR($H287="",$H287="N/A"),"",IF($AH287="",VLOOKUP('Company Profile'!$B$40,_CONFIG_Model_Settings!$A$5:$B$8,2,FALSE),IFERROR(VLOOKUP($AH287,_CONFIG_Model_Settings!$A$5:$B$8,2,FALSE),0.9)))</f>
        <v>0.9</v>
      </c>
      <c r="AK287">
        <f>IF(OR($H287="",$H287="N/A"),"",IF($AI287="",VLOOKUP('Company Profile'!$B$41,_CONFIG_Model_Settings!$A$5:$B$8,2,FALSE),IFERROR(VLOOKUP($AI287,_CONFIG_Model_Settings!$A$5:$B$8,2,FALSE),0.9)))</f>
        <v>0.9</v>
      </c>
      <c r="AL287">
        <f t="shared" si="111"/>
        <v>0</v>
      </c>
      <c r="AM287">
        <f t="shared" si="112"/>
        <v>0</v>
      </c>
      <c r="AN287">
        <f>IFERROR(MIN(5,MAX(0,(SUMIFS(_REF_Model_Content!$D$1:$D$174,_REF_Model_Content!$A$1:$A$174,PV_Canonical_Industry,_REF_Model_Content!$B$1:$B$174,"Marketing Comms"))+IFERROR(VLOOKUP('Company Profile'!$B$35,_CONFIG_Model_Settings!$A$11:$B$13,2,0),0))),"")</f>
        <v>0</v>
      </c>
      <c r="AO287">
        <f t="shared" si="113"/>
        <v>0</v>
      </c>
      <c r="AP287">
        <f>IFERROR(SUMIFS(_REF_Model_Content!$E$1:$E$174,_REF_Model_Content!$A$1:$A$174,PV_Canonical_Industry,_REF_Model_Content!$B$1:$B$174,"Marketing Comms"),1)</f>
        <v>0</v>
      </c>
      <c r="AQ287">
        <f t="shared" si="114"/>
        <v>0</v>
      </c>
      <c r="AR287" t="str">
        <f t="shared" si="115"/>
        <v>Within target</v>
      </c>
      <c r="AS287">
        <f t="shared" si="116"/>
        <v>0</v>
      </c>
      <c r="AT287">
        <f t="shared" si="117"/>
        <v>0.9</v>
      </c>
      <c r="AU287">
        <f>'Assessment Questions'!AX287</f>
        <v>0</v>
      </c>
      <c r="AV287">
        <f t="shared" si="118"/>
        <v>0.9</v>
      </c>
      <c r="AW287" t="s">
        <v>2473</v>
      </c>
      <c r="AX287" t="s">
        <v>2473</v>
      </c>
      <c r="AY287">
        <v>11</v>
      </c>
      <c r="AZ287">
        <v>287</v>
      </c>
    </row>
    <row r="288" spans="1:52">
      <c r="A288" t="s">
        <v>2519</v>
      </c>
      <c r="B288" t="s">
        <v>2490</v>
      </c>
      <c r="C288" t="s">
        <v>2520</v>
      </c>
      <c r="D288" t="s">
        <v>2477</v>
      </c>
      <c r="E288" t="s">
        <v>2478</v>
      </c>
      <c r="F288" t="s">
        <v>2521</v>
      </c>
      <c r="G288">
        <f>'Assessment Questions'!J288</f>
        <v>4</v>
      </c>
      <c r="H288">
        <f t="shared" si="104"/>
        <v>0</v>
      </c>
      <c r="I288">
        <f t="shared" si="105"/>
        <v>0</v>
      </c>
      <c r="J288">
        <f t="shared" si="106"/>
        <v>4</v>
      </c>
      <c r="K288">
        <f t="shared" si="107"/>
        <v>4</v>
      </c>
      <c r="L288" t="str">
        <f t="shared" si="108"/>
        <v>Critical</v>
      </c>
      <c r="M288" t="s">
        <v>2522</v>
      </c>
      <c r="N288" t="s">
        <v>2523</v>
      </c>
      <c r="O288" t="s">
        <v>2524</v>
      </c>
      <c r="P288" t="s">
        <v>2525</v>
      </c>
      <c r="Q288" t="s">
        <v>2526</v>
      </c>
      <c r="R288" t="s">
        <v>2527</v>
      </c>
      <c r="S288" t="s">
        <v>2486</v>
      </c>
      <c r="T288">
        <f>'Assessment Questions'!W288</f>
        <v>0</v>
      </c>
      <c r="U288">
        <f>'Assessment Questions'!X288</f>
        <v>0</v>
      </c>
      <c r="V288" t="str">
        <f>'Assessment Questions'!Y288</f>
        <v>Use the recommended action generated by the model; validate with domain owner during real assessment.</v>
      </c>
      <c r="W288">
        <v>4</v>
      </c>
      <c r="X288">
        <v>5</v>
      </c>
      <c r="Y288">
        <v>5</v>
      </c>
      <c r="Z288">
        <f>'Assessment Questions'!AC288</f>
        <v>0</v>
      </c>
      <c r="AB288">
        <f t="shared" si="119"/>
        <v>0</v>
      </c>
      <c r="AC288">
        <f t="shared" si="120"/>
        <v>0</v>
      </c>
      <c r="AD288">
        <f t="shared" si="109"/>
        <v>0</v>
      </c>
      <c r="AE288">
        <f t="shared" si="121"/>
        <v>0</v>
      </c>
      <c r="AF288">
        <f t="shared" si="110"/>
        <v>5</v>
      </c>
      <c r="AG288">
        <f t="shared" si="122"/>
        <v>0</v>
      </c>
      <c r="AH288">
        <f>'Assessment Questions'!AK288</f>
        <v>0</v>
      </c>
      <c r="AI288">
        <f>'Assessment Questions'!AL288</f>
        <v>0</v>
      </c>
      <c r="AJ288">
        <f>IF(OR($H288="",$H288="N/A"),"",IF($AH288="",VLOOKUP('Company Profile'!$B$40,_CONFIG_Model_Settings!$A$5:$B$8,2,FALSE),IFERROR(VLOOKUP($AH288,_CONFIG_Model_Settings!$A$5:$B$8,2,FALSE),0.9)))</f>
        <v>0.9</v>
      </c>
      <c r="AK288">
        <f>IF(OR($H288="",$H288="N/A"),"",IF($AI288="",VLOOKUP('Company Profile'!$B$41,_CONFIG_Model_Settings!$A$5:$B$8,2,FALSE),IFERROR(VLOOKUP($AI288,_CONFIG_Model_Settings!$A$5:$B$8,2,FALSE),0.9)))</f>
        <v>0.9</v>
      </c>
      <c r="AL288">
        <f t="shared" si="111"/>
        <v>0</v>
      </c>
      <c r="AM288">
        <f t="shared" si="112"/>
        <v>0</v>
      </c>
      <c r="AN288">
        <f>IFERROR(MIN(5,MAX(0,(SUMIFS(_REF_Model_Content!$D$1:$D$174,_REF_Model_Content!$A$1:$A$174,PV_Canonical_Industry,_REF_Model_Content!$B$1:$B$174,"Marketing Comms"))+IFERROR(VLOOKUP('Company Profile'!$B$35,_CONFIG_Model_Settings!$A$11:$B$13,2,0),0))),"")</f>
        <v>0</v>
      </c>
      <c r="AO288">
        <f t="shared" si="113"/>
        <v>0</v>
      </c>
      <c r="AP288">
        <f>IFERROR(SUMIFS(_REF_Model_Content!$E$1:$E$174,_REF_Model_Content!$A$1:$A$174,PV_Canonical_Industry,_REF_Model_Content!$B$1:$B$174,"Marketing Comms"),1)</f>
        <v>0</v>
      </c>
      <c r="AQ288">
        <f t="shared" si="114"/>
        <v>0</v>
      </c>
      <c r="AR288" t="str">
        <f t="shared" si="115"/>
        <v>Within target</v>
      </c>
      <c r="AS288">
        <f t="shared" si="116"/>
        <v>0</v>
      </c>
      <c r="AT288">
        <f t="shared" si="117"/>
        <v>0.9</v>
      </c>
      <c r="AU288">
        <f>'Assessment Questions'!AX288</f>
        <v>0</v>
      </c>
      <c r="AV288">
        <f t="shared" si="118"/>
        <v>0.9</v>
      </c>
      <c r="AW288" t="s">
        <v>2473</v>
      </c>
      <c r="AX288" t="s">
        <v>2473</v>
      </c>
      <c r="AY288">
        <v>12</v>
      </c>
      <c r="AZ288">
        <v>288</v>
      </c>
    </row>
    <row r="289" spans="1:52">
      <c r="A289" t="s">
        <v>2528</v>
      </c>
      <c r="B289" t="s">
        <v>2490</v>
      </c>
      <c r="C289" t="s">
        <v>2529</v>
      </c>
      <c r="D289" t="s">
        <v>2477</v>
      </c>
      <c r="E289" t="s">
        <v>2478</v>
      </c>
      <c r="F289" t="s">
        <v>2530</v>
      </c>
      <c r="G289">
        <f>'Assessment Questions'!J289</f>
        <v>3</v>
      </c>
      <c r="H289">
        <f t="shared" si="104"/>
        <v>0</v>
      </c>
      <c r="I289">
        <f t="shared" si="105"/>
        <v>0</v>
      </c>
      <c r="J289">
        <f t="shared" si="106"/>
        <v>3</v>
      </c>
      <c r="K289">
        <f t="shared" si="107"/>
        <v>3</v>
      </c>
      <c r="L289" t="str">
        <f t="shared" si="108"/>
        <v>Critical</v>
      </c>
      <c r="M289" t="s">
        <v>2531</v>
      </c>
      <c r="N289" t="s">
        <v>2532</v>
      </c>
      <c r="O289" t="s">
        <v>2533</v>
      </c>
      <c r="P289" t="s">
        <v>2534</v>
      </c>
      <c r="Q289" t="s">
        <v>2535</v>
      </c>
      <c r="R289" t="s">
        <v>2536</v>
      </c>
      <c r="S289" t="s">
        <v>2486</v>
      </c>
      <c r="T289">
        <f>'Assessment Questions'!W289</f>
        <v>0</v>
      </c>
      <c r="U289">
        <f>'Assessment Questions'!X289</f>
        <v>0</v>
      </c>
      <c r="V289" t="str">
        <f>'Assessment Questions'!Y289</f>
        <v>Use the recommended action generated by the model; validate with domain owner during real assessment.</v>
      </c>
      <c r="W289">
        <v>4</v>
      </c>
      <c r="X289">
        <v>5</v>
      </c>
      <c r="Y289">
        <v>5</v>
      </c>
      <c r="Z289">
        <f>'Assessment Questions'!AC289</f>
        <v>0</v>
      </c>
      <c r="AB289">
        <f t="shared" si="119"/>
        <v>0</v>
      </c>
      <c r="AC289">
        <f t="shared" si="120"/>
        <v>0</v>
      </c>
      <c r="AD289">
        <f t="shared" si="109"/>
        <v>0</v>
      </c>
      <c r="AE289">
        <f t="shared" si="121"/>
        <v>0</v>
      </c>
      <c r="AF289">
        <f t="shared" si="110"/>
        <v>5</v>
      </c>
      <c r="AG289">
        <f t="shared" si="122"/>
        <v>0</v>
      </c>
      <c r="AH289">
        <f>'Assessment Questions'!AK289</f>
        <v>0</v>
      </c>
      <c r="AI289">
        <f>'Assessment Questions'!AL289</f>
        <v>0</v>
      </c>
      <c r="AJ289">
        <f>IF(OR($H289="",$H289="N/A"),"",IF($AH289="",VLOOKUP('Company Profile'!$B$40,_CONFIG_Model_Settings!$A$5:$B$8,2,FALSE),IFERROR(VLOOKUP($AH289,_CONFIG_Model_Settings!$A$5:$B$8,2,FALSE),0.9)))</f>
        <v>0.9</v>
      </c>
      <c r="AK289">
        <f>IF(OR($H289="",$H289="N/A"),"",IF($AI289="",VLOOKUP('Company Profile'!$B$41,_CONFIG_Model_Settings!$A$5:$B$8,2,FALSE),IFERROR(VLOOKUP($AI289,_CONFIG_Model_Settings!$A$5:$B$8,2,FALSE),0.9)))</f>
        <v>0.9</v>
      </c>
      <c r="AL289">
        <f t="shared" si="111"/>
        <v>0</v>
      </c>
      <c r="AM289">
        <f t="shared" si="112"/>
        <v>0</v>
      </c>
      <c r="AN289">
        <f>IFERROR(MIN(5,MAX(0,(SUMIFS(_REF_Model_Content!$D$1:$D$174,_REF_Model_Content!$A$1:$A$174,PV_Canonical_Industry,_REF_Model_Content!$B$1:$B$174,"Marketing Comms"))+IFERROR(VLOOKUP('Company Profile'!$B$35,_CONFIG_Model_Settings!$A$11:$B$13,2,0),0))),"")</f>
        <v>0</v>
      </c>
      <c r="AO289">
        <f t="shared" si="113"/>
        <v>0</v>
      </c>
      <c r="AP289">
        <f>IFERROR(SUMIFS(_REF_Model_Content!$E$1:$E$174,_REF_Model_Content!$A$1:$A$174,PV_Canonical_Industry,_REF_Model_Content!$B$1:$B$174,"Marketing Comms"),1)</f>
        <v>0</v>
      </c>
      <c r="AQ289">
        <f t="shared" si="114"/>
        <v>0</v>
      </c>
      <c r="AR289" t="str">
        <f t="shared" si="115"/>
        <v>Within target</v>
      </c>
      <c r="AS289">
        <f t="shared" si="116"/>
        <v>0</v>
      </c>
      <c r="AT289">
        <f t="shared" si="117"/>
        <v>0.9</v>
      </c>
      <c r="AU289">
        <f>'Assessment Questions'!AX289</f>
        <v>0</v>
      </c>
      <c r="AV289">
        <f t="shared" si="118"/>
        <v>0.9</v>
      </c>
      <c r="AW289" t="s">
        <v>2473</v>
      </c>
      <c r="AX289" t="s">
        <v>2473</v>
      </c>
      <c r="AY289">
        <v>13</v>
      </c>
      <c r="AZ289">
        <v>289</v>
      </c>
    </row>
    <row r="290" spans="1:52">
      <c r="A290" t="s">
        <v>2537</v>
      </c>
      <c r="B290" t="s">
        <v>2490</v>
      </c>
      <c r="C290" t="s">
        <v>2538</v>
      </c>
      <c r="D290" t="s">
        <v>2477</v>
      </c>
      <c r="E290" t="s">
        <v>2478</v>
      </c>
      <c r="F290" t="s">
        <v>2539</v>
      </c>
      <c r="G290">
        <f>'Assessment Questions'!J290</f>
        <v>4</v>
      </c>
      <c r="H290">
        <f t="shared" si="104"/>
        <v>0</v>
      </c>
      <c r="I290">
        <f t="shared" si="105"/>
        <v>0</v>
      </c>
      <c r="J290">
        <f t="shared" si="106"/>
        <v>4</v>
      </c>
      <c r="K290">
        <f t="shared" si="107"/>
        <v>4</v>
      </c>
      <c r="L290" t="str">
        <f t="shared" si="108"/>
        <v>Critical</v>
      </c>
      <c r="M290" t="s">
        <v>2540</v>
      </c>
      <c r="N290" t="s">
        <v>2541</v>
      </c>
      <c r="O290" t="s">
        <v>2542</v>
      </c>
      <c r="P290" t="s">
        <v>2543</v>
      </c>
      <c r="Q290" t="s">
        <v>2544</v>
      </c>
      <c r="R290" t="s">
        <v>2545</v>
      </c>
      <c r="S290" t="s">
        <v>2486</v>
      </c>
      <c r="T290">
        <f>'Assessment Questions'!W290</f>
        <v>0</v>
      </c>
      <c r="U290">
        <f>'Assessment Questions'!X290</f>
        <v>0</v>
      </c>
      <c r="V290" t="str">
        <f>'Assessment Questions'!Y290</f>
        <v>Use the recommended action generated by the model; validate with domain owner during real assessment.</v>
      </c>
      <c r="W290">
        <v>4</v>
      </c>
      <c r="X290">
        <v>5</v>
      </c>
      <c r="Y290">
        <v>5</v>
      </c>
      <c r="Z290">
        <f>'Assessment Questions'!AC290</f>
        <v>0</v>
      </c>
      <c r="AB290">
        <f t="shared" si="119"/>
        <v>0</v>
      </c>
      <c r="AC290">
        <f t="shared" si="120"/>
        <v>0</v>
      </c>
      <c r="AD290">
        <f t="shared" si="109"/>
        <v>0</v>
      </c>
      <c r="AE290">
        <f t="shared" si="121"/>
        <v>0</v>
      </c>
      <c r="AF290">
        <f t="shared" si="110"/>
        <v>5</v>
      </c>
      <c r="AG290">
        <f t="shared" si="122"/>
        <v>0</v>
      </c>
      <c r="AH290">
        <f>'Assessment Questions'!AK290</f>
        <v>0</v>
      </c>
      <c r="AI290">
        <f>'Assessment Questions'!AL290</f>
        <v>0</v>
      </c>
      <c r="AJ290">
        <f>IF(OR($H290="",$H290="N/A"),"",IF($AH290="",VLOOKUP('Company Profile'!$B$40,_CONFIG_Model_Settings!$A$5:$B$8,2,FALSE),IFERROR(VLOOKUP($AH290,_CONFIG_Model_Settings!$A$5:$B$8,2,FALSE),0.9)))</f>
        <v>0.9</v>
      </c>
      <c r="AK290">
        <f>IF(OR($H290="",$H290="N/A"),"",IF($AI290="",VLOOKUP('Company Profile'!$B$41,_CONFIG_Model_Settings!$A$5:$B$8,2,FALSE),IFERROR(VLOOKUP($AI290,_CONFIG_Model_Settings!$A$5:$B$8,2,FALSE),0.9)))</f>
        <v>0.9</v>
      </c>
      <c r="AL290">
        <f t="shared" si="111"/>
        <v>0</v>
      </c>
      <c r="AM290">
        <f t="shared" si="112"/>
        <v>0</v>
      </c>
      <c r="AN290">
        <f>IFERROR(MIN(5,MAX(0,(SUMIFS(_REF_Model_Content!$D$1:$D$174,_REF_Model_Content!$A$1:$A$174,PV_Canonical_Industry,_REF_Model_Content!$B$1:$B$174,"Marketing Comms"))+IFERROR(VLOOKUP('Company Profile'!$B$35,_CONFIG_Model_Settings!$A$11:$B$13,2,0),0))),"")</f>
        <v>0</v>
      </c>
      <c r="AO290">
        <f t="shared" si="113"/>
        <v>0</v>
      </c>
      <c r="AP290">
        <f>IFERROR(SUMIFS(_REF_Model_Content!$E$1:$E$174,_REF_Model_Content!$A$1:$A$174,PV_Canonical_Industry,_REF_Model_Content!$B$1:$B$174,"Marketing Comms"),1)</f>
        <v>0</v>
      </c>
      <c r="AQ290">
        <f t="shared" si="114"/>
        <v>0</v>
      </c>
      <c r="AR290" t="str">
        <f t="shared" si="115"/>
        <v>Within target</v>
      </c>
      <c r="AS290">
        <f t="shared" si="116"/>
        <v>0</v>
      </c>
      <c r="AT290">
        <f t="shared" si="117"/>
        <v>0.9</v>
      </c>
      <c r="AU290">
        <f>'Assessment Questions'!AX290</f>
        <v>0</v>
      </c>
      <c r="AV290">
        <f t="shared" si="118"/>
        <v>0.9</v>
      </c>
      <c r="AW290" t="s">
        <v>2473</v>
      </c>
      <c r="AX290" t="s">
        <v>2473</v>
      </c>
      <c r="AY290">
        <v>14</v>
      </c>
      <c r="AZ290">
        <v>290</v>
      </c>
    </row>
    <row r="291" spans="1:52">
      <c r="A291" t="s">
        <v>2546</v>
      </c>
      <c r="B291" t="s">
        <v>2490</v>
      </c>
      <c r="C291" t="s">
        <v>2547</v>
      </c>
      <c r="D291" t="s">
        <v>2477</v>
      </c>
      <c r="E291" t="s">
        <v>2478</v>
      </c>
      <c r="F291" t="s">
        <v>2548</v>
      </c>
      <c r="G291">
        <f>'Assessment Questions'!J291</f>
        <v>3</v>
      </c>
      <c r="H291">
        <f t="shared" si="104"/>
        <v>0</v>
      </c>
      <c r="I291">
        <f t="shared" si="105"/>
        <v>0</v>
      </c>
      <c r="J291">
        <f t="shared" si="106"/>
        <v>3</v>
      </c>
      <c r="K291">
        <f t="shared" si="107"/>
        <v>3</v>
      </c>
      <c r="L291" t="str">
        <f t="shared" si="108"/>
        <v>Critical</v>
      </c>
      <c r="M291" t="s">
        <v>2549</v>
      </c>
      <c r="N291" t="s">
        <v>2550</v>
      </c>
      <c r="O291" t="s">
        <v>2551</v>
      </c>
      <c r="P291" t="s">
        <v>2552</v>
      </c>
      <c r="Q291" t="s">
        <v>2553</v>
      </c>
      <c r="R291" t="s">
        <v>2554</v>
      </c>
      <c r="S291" t="s">
        <v>2486</v>
      </c>
      <c r="T291">
        <f>'Assessment Questions'!W291</f>
        <v>0</v>
      </c>
      <c r="U291">
        <f>'Assessment Questions'!X291</f>
        <v>0</v>
      </c>
      <c r="V291" t="str">
        <f>'Assessment Questions'!Y291</f>
        <v>Use the recommended action generated by the model; validate with domain owner during real assessment.</v>
      </c>
      <c r="W291">
        <v>4</v>
      </c>
      <c r="X291">
        <v>5</v>
      </c>
      <c r="Y291">
        <v>5</v>
      </c>
      <c r="Z291">
        <f>'Assessment Questions'!AC291</f>
        <v>0</v>
      </c>
      <c r="AB291">
        <f t="shared" si="119"/>
        <v>0</v>
      </c>
      <c r="AC291">
        <f t="shared" si="120"/>
        <v>0</v>
      </c>
      <c r="AD291">
        <f t="shared" si="109"/>
        <v>0</v>
      </c>
      <c r="AE291">
        <f t="shared" si="121"/>
        <v>0</v>
      </c>
      <c r="AF291">
        <f t="shared" si="110"/>
        <v>5</v>
      </c>
      <c r="AG291">
        <f t="shared" si="122"/>
        <v>0</v>
      </c>
      <c r="AH291">
        <f>'Assessment Questions'!AK291</f>
        <v>0</v>
      </c>
      <c r="AI291">
        <f>'Assessment Questions'!AL291</f>
        <v>0</v>
      </c>
      <c r="AJ291">
        <f>IF(OR($H291="",$H291="N/A"),"",IF($AH291="",VLOOKUP('Company Profile'!$B$40,_CONFIG_Model_Settings!$A$5:$B$8,2,FALSE),IFERROR(VLOOKUP($AH291,_CONFIG_Model_Settings!$A$5:$B$8,2,FALSE),0.9)))</f>
        <v>0.9</v>
      </c>
      <c r="AK291">
        <f>IF(OR($H291="",$H291="N/A"),"",IF($AI291="",VLOOKUP('Company Profile'!$B$41,_CONFIG_Model_Settings!$A$5:$B$8,2,FALSE),IFERROR(VLOOKUP($AI291,_CONFIG_Model_Settings!$A$5:$B$8,2,FALSE),0.9)))</f>
        <v>0.9</v>
      </c>
      <c r="AL291">
        <f t="shared" si="111"/>
        <v>0</v>
      </c>
      <c r="AM291">
        <f t="shared" si="112"/>
        <v>0</v>
      </c>
      <c r="AN291">
        <f>IFERROR(MIN(5,MAX(0,(SUMIFS(_REF_Model_Content!$D$1:$D$174,_REF_Model_Content!$A$1:$A$174,PV_Canonical_Industry,_REF_Model_Content!$B$1:$B$174,"Marketing Comms"))+IFERROR(VLOOKUP('Company Profile'!$B$35,_CONFIG_Model_Settings!$A$11:$B$13,2,0),0))),"")</f>
        <v>0</v>
      </c>
      <c r="AO291">
        <f t="shared" si="113"/>
        <v>0</v>
      </c>
      <c r="AP291">
        <f>IFERROR(SUMIFS(_REF_Model_Content!$E$1:$E$174,_REF_Model_Content!$A$1:$A$174,PV_Canonical_Industry,_REF_Model_Content!$B$1:$B$174,"Marketing Comms"),1)</f>
        <v>0</v>
      </c>
      <c r="AQ291">
        <f t="shared" si="114"/>
        <v>0</v>
      </c>
      <c r="AR291" t="str">
        <f t="shared" si="115"/>
        <v>Within target</v>
      </c>
      <c r="AS291">
        <f t="shared" si="116"/>
        <v>0</v>
      </c>
      <c r="AT291">
        <f t="shared" si="117"/>
        <v>0.9</v>
      </c>
      <c r="AU291">
        <f>'Assessment Questions'!AX291</f>
        <v>0</v>
      </c>
      <c r="AV291">
        <f t="shared" si="118"/>
        <v>0.9</v>
      </c>
      <c r="AW291" t="s">
        <v>2473</v>
      </c>
      <c r="AX291" t="s">
        <v>2473</v>
      </c>
      <c r="AY291">
        <v>15</v>
      </c>
      <c r="AZ291">
        <v>291</v>
      </c>
    </row>
    <row r="292" spans="1:52">
      <c r="A292" t="s">
        <v>2555</v>
      </c>
      <c r="B292" t="s">
        <v>2494</v>
      </c>
      <c r="C292" t="s">
        <v>2556</v>
      </c>
      <c r="D292" t="s">
        <v>2477</v>
      </c>
      <c r="E292" t="s">
        <v>2478</v>
      </c>
      <c r="F292" t="s">
        <v>2557</v>
      </c>
      <c r="G292">
        <f>'Assessment Questions'!J292</f>
        <v>5</v>
      </c>
      <c r="H292">
        <f t="shared" si="104"/>
        <v>0</v>
      </c>
      <c r="I292">
        <f t="shared" si="105"/>
        <v>0</v>
      </c>
      <c r="J292">
        <f t="shared" si="106"/>
        <v>5</v>
      </c>
      <c r="K292">
        <f t="shared" si="107"/>
        <v>5</v>
      </c>
      <c r="L292" t="str">
        <f t="shared" si="108"/>
        <v>Critical</v>
      </c>
      <c r="M292" t="s">
        <v>833</v>
      </c>
      <c r="N292" t="s">
        <v>834</v>
      </c>
      <c r="O292" t="s">
        <v>835</v>
      </c>
      <c r="P292" t="s">
        <v>836</v>
      </c>
      <c r="Q292" t="s">
        <v>837</v>
      </c>
      <c r="R292" t="s">
        <v>838</v>
      </c>
      <c r="S292" t="s">
        <v>2486</v>
      </c>
      <c r="T292">
        <f>'Assessment Questions'!W292</f>
        <v>0</v>
      </c>
      <c r="U292">
        <f>'Assessment Questions'!X292</f>
        <v>0</v>
      </c>
      <c r="V292" t="str">
        <f>'Assessment Questions'!Y292</f>
        <v>Use the recommended action generated by the model; validate with domain owner during real assessment.</v>
      </c>
      <c r="W292">
        <v>5</v>
      </c>
      <c r="X292">
        <v>5</v>
      </c>
      <c r="Y292">
        <v>5</v>
      </c>
      <c r="Z292">
        <f>'Assessment Questions'!AC292</f>
        <v>0</v>
      </c>
      <c r="AB292">
        <f t="shared" si="119"/>
        <v>0</v>
      </c>
      <c r="AC292">
        <f t="shared" si="120"/>
        <v>0</v>
      </c>
      <c r="AD292">
        <f t="shared" si="109"/>
        <v>0</v>
      </c>
      <c r="AE292">
        <f t="shared" si="121"/>
        <v>0</v>
      </c>
      <c r="AF292">
        <f t="shared" si="110"/>
        <v>5</v>
      </c>
      <c r="AG292">
        <f t="shared" si="122"/>
        <v>0</v>
      </c>
      <c r="AH292">
        <f>'Assessment Questions'!AK292</f>
        <v>0</v>
      </c>
      <c r="AI292">
        <f>'Assessment Questions'!AL292</f>
        <v>0</v>
      </c>
      <c r="AJ292">
        <f>IF(OR($H292="",$H292="N/A"),"",IF($AH292="",VLOOKUP('Company Profile'!$B$40,_CONFIG_Model_Settings!$A$5:$B$8,2,FALSE),IFERROR(VLOOKUP($AH292,_CONFIG_Model_Settings!$A$5:$B$8,2,FALSE),0.9)))</f>
        <v>0.9</v>
      </c>
      <c r="AK292">
        <f>IF(OR($H292="",$H292="N/A"),"",IF($AI292="",VLOOKUP('Company Profile'!$B$41,_CONFIG_Model_Settings!$A$5:$B$8,2,FALSE),IFERROR(VLOOKUP($AI292,_CONFIG_Model_Settings!$A$5:$B$8,2,FALSE),0.9)))</f>
        <v>0.9</v>
      </c>
      <c r="AL292">
        <f t="shared" si="111"/>
        <v>0</v>
      </c>
      <c r="AM292">
        <f t="shared" si="112"/>
        <v>0</v>
      </c>
      <c r="AN292">
        <f>IFERROR(MIN(5,MAX(0,(SUMIFS(_REF_Model_Content!$D$1:$D$174,_REF_Model_Content!$A$1:$A$174,PV_Canonical_Industry,_REF_Model_Content!$B$1:$B$174,"Marketing Comms"))+IFERROR(VLOOKUP('Company Profile'!$B$35,_CONFIG_Model_Settings!$A$11:$B$13,2,0),0))),"")</f>
        <v>0</v>
      </c>
      <c r="AO292">
        <f t="shared" si="113"/>
        <v>0</v>
      </c>
      <c r="AP292">
        <f>IFERROR(SUMIFS(_REF_Model_Content!$E$1:$E$174,_REF_Model_Content!$A$1:$A$174,PV_Canonical_Industry,_REF_Model_Content!$B$1:$B$174,"Marketing Comms"),1)</f>
        <v>0</v>
      </c>
      <c r="AQ292">
        <f t="shared" si="114"/>
        <v>0</v>
      </c>
      <c r="AR292" t="str">
        <f t="shared" si="115"/>
        <v>Within target</v>
      </c>
      <c r="AS292">
        <f t="shared" si="116"/>
        <v>0</v>
      </c>
      <c r="AT292">
        <f t="shared" si="117"/>
        <v>0.9</v>
      </c>
      <c r="AU292">
        <f>'Assessment Questions'!AX292</f>
        <v>0</v>
      </c>
      <c r="AV292">
        <f t="shared" si="118"/>
        <v>0.9</v>
      </c>
      <c r="AW292" t="s">
        <v>2473</v>
      </c>
      <c r="AX292" t="s">
        <v>2473</v>
      </c>
      <c r="AY292">
        <v>16</v>
      </c>
      <c r="AZ292">
        <v>292</v>
      </c>
    </row>
    <row r="293" spans="1:52">
      <c r="A293" t="s">
        <v>2558</v>
      </c>
      <c r="B293" t="s">
        <v>2494</v>
      </c>
      <c r="C293" t="s">
        <v>2559</v>
      </c>
      <c r="D293" t="s">
        <v>2477</v>
      </c>
      <c r="E293" t="s">
        <v>2478</v>
      </c>
      <c r="F293" t="s">
        <v>2560</v>
      </c>
      <c r="G293">
        <f>'Assessment Questions'!J293</f>
        <v>3</v>
      </c>
      <c r="H293">
        <f t="shared" si="104"/>
        <v>0</v>
      </c>
      <c r="I293">
        <f t="shared" si="105"/>
        <v>0</v>
      </c>
      <c r="J293">
        <f t="shared" si="106"/>
        <v>3</v>
      </c>
      <c r="K293">
        <f t="shared" si="107"/>
        <v>3</v>
      </c>
      <c r="L293" t="str">
        <f t="shared" si="108"/>
        <v>Critical</v>
      </c>
      <c r="M293" t="s">
        <v>2561</v>
      </c>
      <c r="N293" t="s">
        <v>2562</v>
      </c>
      <c r="O293" t="s">
        <v>2563</v>
      </c>
      <c r="P293" t="s">
        <v>2564</v>
      </c>
      <c r="Q293" t="s">
        <v>2565</v>
      </c>
      <c r="R293" t="s">
        <v>2566</v>
      </c>
      <c r="S293" t="s">
        <v>2486</v>
      </c>
      <c r="T293">
        <f>'Assessment Questions'!W293</f>
        <v>0</v>
      </c>
      <c r="U293">
        <f>'Assessment Questions'!X293</f>
        <v>0</v>
      </c>
      <c r="V293" t="str">
        <f>'Assessment Questions'!Y293</f>
        <v>Use the recommended action generated by the model; validate with domain owner during real assessment.</v>
      </c>
      <c r="W293">
        <v>5</v>
      </c>
      <c r="X293">
        <v>5</v>
      </c>
      <c r="Y293">
        <v>5</v>
      </c>
      <c r="Z293">
        <f>'Assessment Questions'!AC293</f>
        <v>0</v>
      </c>
      <c r="AB293">
        <f t="shared" si="119"/>
        <v>0</v>
      </c>
      <c r="AC293">
        <f t="shared" si="120"/>
        <v>0</v>
      </c>
      <c r="AD293">
        <f t="shared" si="109"/>
        <v>0</v>
      </c>
      <c r="AE293">
        <f t="shared" si="121"/>
        <v>0</v>
      </c>
      <c r="AF293">
        <f t="shared" si="110"/>
        <v>5</v>
      </c>
      <c r="AG293">
        <f t="shared" si="122"/>
        <v>0</v>
      </c>
      <c r="AH293">
        <f>'Assessment Questions'!AK293</f>
        <v>0</v>
      </c>
      <c r="AI293">
        <f>'Assessment Questions'!AL293</f>
        <v>0</v>
      </c>
      <c r="AJ293">
        <f>IF(OR($H293="",$H293="N/A"),"",IF($AH293="",VLOOKUP('Company Profile'!$B$40,_CONFIG_Model_Settings!$A$5:$B$8,2,FALSE),IFERROR(VLOOKUP($AH293,_CONFIG_Model_Settings!$A$5:$B$8,2,FALSE),0.9)))</f>
        <v>0.9</v>
      </c>
      <c r="AK293">
        <f>IF(OR($H293="",$H293="N/A"),"",IF($AI293="",VLOOKUP('Company Profile'!$B$41,_CONFIG_Model_Settings!$A$5:$B$8,2,FALSE),IFERROR(VLOOKUP($AI293,_CONFIG_Model_Settings!$A$5:$B$8,2,FALSE),0.9)))</f>
        <v>0.9</v>
      </c>
      <c r="AL293">
        <f t="shared" si="111"/>
        <v>0</v>
      </c>
      <c r="AM293">
        <f t="shared" si="112"/>
        <v>0</v>
      </c>
      <c r="AN293">
        <f>IFERROR(MIN(5,MAX(0,(SUMIFS(_REF_Model_Content!$D$1:$D$174,_REF_Model_Content!$A$1:$A$174,PV_Canonical_Industry,_REF_Model_Content!$B$1:$B$174,"Marketing Comms"))+IFERROR(VLOOKUP('Company Profile'!$B$35,_CONFIG_Model_Settings!$A$11:$B$13,2,0),0))),"")</f>
        <v>0</v>
      </c>
      <c r="AO293">
        <f t="shared" si="113"/>
        <v>0</v>
      </c>
      <c r="AP293">
        <f>IFERROR(SUMIFS(_REF_Model_Content!$E$1:$E$174,_REF_Model_Content!$A$1:$A$174,PV_Canonical_Industry,_REF_Model_Content!$B$1:$B$174,"Marketing Comms"),1)</f>
        <v>0</v>
      </c>
      <c r="AQ293">
        <f t="shared" si="114"/>
        <v>0</v>
      </c>
      <c r="AR293" t="str">
        <f t="shared" si="115"/>
        <v>Within target</v>
      </c>
      <c r="AS293">
        <f t="shared" si="116"/>
        <v>0</v>
      </c>
      <c r="AT293">
        <f t="shared" si="117"/>
        <v>0.9</v>
      </c>
      <c r="AU293">
        <f>'Assessment Questions'!AX293</f>
        <v>0</v>
      </c>
      <c r="AV293">
        <f t="shared" si="118"/>
        <v>0.9</v>
      </c>
      <c r="AW293" t="s">
        <v>2473</v>
      </c>
      <c r="AX293" t="s">
        <v>2473</v>
      </c>
      <c r="AY293">
        <v>17</v>
      </c>
      <c r="AZ293">
        <v>293</v>
      </c>
    </row>
    <row r="294" spans="1:52">
      <c r="A294" t="s">
        <v>2567</v>
      </c>
      <c r="B294" t="s">
        <v>2494</v>
      </c>
      <c r="C294" t="s">
        <v>2568</v>
      </c>
      <c r="D294" t="s">
        <v>2477</v>
      </c>
      <c r="E294" t="s">
        <v>2478</v>
      </c>
      <c r="F294" t="s">
        <v>2569</v>
      </c>
      <c r="G294">
        <f>'Assessment Questions'!J294</f>
        <v>4</v>
      </c>
      <c r="H294">
        <f t="shared" si="104"/>
        <v>0</v>
      </c>
      <c r="I294">
        <f t="shared" si="105"/>
        <v>0</v>
      </c>
      <c r="J294">
        <f t="shared" si="106"/>
        <v>4</v>
      </c>
      <c r="K294">
        <f t="shared" si="107"/>
        <v>4</v>
      </c>
      <c r="L294" t="str">
        <f t="shared" si="108"/>
        <v>Critical</v>
      </c>
      <c r="M294" t="s">
        <v>2570</v>
      </c>
      <c r="N294" t="s">
        <v>2571</v>
      </c>
      <c r="O294" t="s">
        <v>2572</v>
      </c>
      <c r="P294" t="s">
        <v>2573</v>
      </c>
      <c r="Q294" t="s">
        <v>2574</v>
      </c>
      <c r="R294" t="s">
        <v>2575</v>
      </c>
      <c r="S294" t="s">
        <v>2486</v>
      </c>
      <c r="T294">
        <f>'Assessment Questions'!W294</f>
        <v>0</v>
      </c>
      <c r="U294">
        <f>'Assessment Questions'!X294</f>
        <v>0</v>
      </c>
      <c r="V294" t="str">
        <f>'Assessment Questions'!Y294</f>
        <v>Use the recommended action generated by the model; validate with domain owner during real assessment.</v>
      </c>
      <c r="W294">
        <v>4</v>
      </c>
      <c r="X294">
        <v>5</v>
      </c>
      <c r="Y294">
        <v>5</v>
      </c>
      <c r="Z294">
        <f>'Assessment Questions'!AC294</f>
        <v>0</v>
      </c>
      <c r="AB294">
        <f t="shared" si="119"/>
        <v>0</v>
      </c>
      <c r="AC294">
        <f t="shared" si="120"/>
        <v>0</v>
      </c>
      <c r="AD294">
        <f t="shared" si="109"/>
        <v>0</v>
      </c>
      <c r="AE294">
        <f t="shared" si="121"/>
        <v>0</v>
      </c>
      <c r="AF294">
        <f t="shared" si="110"/>
        <v>5</v>
      </c>
      <c r="AG294">
        <f t="shared" si="122"/>
        <v>0</v>
      </c>
      <c r="AH294">
        <f>'Assessment Questions'!AK294</f>
        <v>0</v>
      </c>
      <c r="AI294">
        <f>'Assessment Questions'!AL294</f>
        <v>0</v>
      </c>
      <c r="AJ294">
        <f>IF(OR($H294="",$H294="N/A"),"",IF($AH294="",VLOOKUP('Company Profile'!$B$40,_CONFIG_Model_Settings!$A$5:$B$8,2,FALSE),IFERROR(VLOOKUP($AH294,_CONFIG_Model_Settings!$A$5:$B$8,2,FALSE),0.9)))</f>
        <v>0.9</v>
      </c>
      <c r="AK294">
        <f>IF(OR($H294="",$H294="N/A"),"",IF($AI294="",VLOOKUP('Company Profile'!$B$41,_CONFIG_Model_Settings!$A$5:$B$8,2,FALSE),IFERROR(VLOOKUP($AI294,_CONFIG_Model_Settings!$A$5:$B$8,2,FALSE),0.9)))</f>
        <v>0.9</v>
      </c>
      <c r="AL294">
        <f t="shared" si="111"/>
        <v>0</v>
      </c>
      <c r="AM294">
        <f t="shared" si="112"/>
        <v>0</v>
      </c>
      <c r="AN294">
        <f>IFERROR(MIN(5,MAX(0,(SUMIFS(_REF_Model_Content!$D$1:$D$174,_REF_Model_Content!$A$1:$A$174,PV_Canonical_Industry,_REF_Model_Content!$B$1:$B$174,"Marketing Comms"))+IFERROR(VLOOKUP('Company Profile'!$B$35,_CONFIG_Model_Settings!$A$11:$B$13,2,0),0))),"")</f>
        <v>0</v>
      </c>
      <c r="AO294">
        <f t="shared" si="113"/>
        <v>0</v>
      </c>
      <c r="AP294">
        <f>IFERROR(SUMIFS(_REF_Model_Content!$E$1:$E$174,_REF_Model_Content!$A$1:$A$174,PV_Canonical_Industry,_REF_Model_Content!$B$1:$B$174,"Marketing Comms"),1)</f>
        <v>0</v>
      </c>
      <c r="AQ294">
        <f t="shared" si="114"/>
        <v>0</v>
      </c>
      <c r="AR294" t="str">
        <f t="shared" si="115"/>
        <v>Within target</v>
      </c>
      <c r="AS294">
        <f t="shared" si="116"/>
        <v>0</v>
      </c>
      <c r="AT294">
        <f t="shared" si="117"/>
        <v>0.9</v>
      </c>
      <c r="AU294">
        <f>'Assessment Questions'!AX294</f>
        <v>0</v>
      </c>
      <c r="AV294">
        <f t="shared" si="118"/>
        <v>0.9</v>
      </c>
      <c r="AW294" t="s">
        <v>2473</v>
      </c>
      <c r="AX294" t="s">
        <v>2473</v>
      </c>
      <c r="AY294">
        <v>18</v>
      </c>
      <c r="AZ294">
        <v>294</v>
      </c>
    </row>
    <row r="295" spans="1:52">
      <c r="A295" t="s">
        <v>2576</v>
      </c>
      <c r="B295" t="s">
        <v>2494</v>
      </c>
      <c r="C295" t="s">
        <v>2577</v>
      </c>
      <c r="D295" t="s">
        <v>2477</v>
      </c>
      <c r="E295" t="s">
        <v>2478</v>
      </c>
      <c r="F295" t="s">
        <v>2578</v>
      </c>
      <c r="G295">
        <f>'Assessment Questions'!J295</f>
        <v>3</v>
      </c>
      <c r="H295">
        <f t="shared" si="104"/>
        <v>0</v>
      </c>
      <c r="I295">
        <f t="shared" si="105"/>
        <v>0</v>
      </c>
      <c r="J295">
        <f t="shared" si="106"/>
        <v>3</v>
      </c>
      <c r="K295">
        <f t="shared" si="107"/>
        <v>3</v>
      </c>
      <c r="L295" t="str">
        <f t="shared" si="108"/>
        <v>Critical</v>
      </c>
      <c r="M295" t="s">
        <v>2579</v>
      </c>
      <c r="N295" t="s">
        <v>2580</v>
      </c>
      <c r="O295" t="s">
        <v>2581</v>
      </c>
      <c r="P295" t="s">
        <v>2582</v>
      </c>
      <c r="Q295" t="s">
        <v>2583</v>
      </c>
      <c r="R295" t="s">
        <v>2584</v>
      </c>
      <c r="S295" t="s">
        <v>2486</v>
      </c>
      <c r="T295">
        <f>'Assessment Questions'!W295</f>
        <v>0</v>
      </c>
      <c r="U295">
        <f>'Assessment Questions'!X295</f>
        <v>0</v>
      </c>
      <c r="V295" t="str">
        <f>'Assessment Questions'!Y295</f>
        <v>Use the recommended action generated by the model; validate with domain owner during real assessment.</v>
      </c>
      <c r="W295">
        <v>4</v>
      </c>
      <c r="X295">
        <v>5</v>
      </c>
      <c r="Y295">
        <v>5</v>
      </c>
      <c r="Z295">
        <f>'Assessment Questions'!AC295</f>
        <v>0</v>
      </c>
      <c r="AB295">
        <f t="shared" si="119"/>
        <v>0</v>
      </c>
      <c r="AC295">
        <f t="shared" si="120"/>
        <v>0</v>
      </c>
      <c r="AD295">
        <f t="shared" si="109"/>
        <v>0</v>
      </c>
      <c r="AE295">
        <f t="shared" si="121"/>
        <v>0</v>
      </c>
      <c r="AF295">
        <f t="shared" si="110"/>
        <v>5</v>
      </c>
      <c r="AG295">
        <f t="shared" si="122"/>
        <v>0</v>
      </c>
      <c r="AH295">
        <f>'Assessment Questions'!AK295</f>
        <v>0</v>
      </c>
      <c r="AI295">
        <f>'Assessment Questions'!AL295</f>
        <v>0</v>
      </c>
      <c r="AJ295">
        <f>IF(OR($H295="",$H295="N/A"),"",IF($AH295="",VLOOKUP('Company Profile'!$B$40,_CONFIG_Model_Settings!$A$5:$B$8,2,FALSE),IFERROR(VLOOKUP($AH295,_CONFIG_Model_Settings!$A$5:$B$8,2,FALSE),0.9)))</f>
        <v>0.9</v>
      </c>
      <c r="AK295">
        <f>IF(OR($H295="",$H295="N/A"),"",IF($AI295="",VLOOKUP('Company Profile'!$B$41,_CONFIG_Model_Settings!$A$5:$B$8,2,FALSE),IFERROR(VLOOKUP($AI295,_CONFIG_Model_Settings!$A$5:$B$8,2,FALSE),0.9)))</f>
        <v>0.9</v>
      </c>
      <c r="AL295">
        <f t="shared" si="111"/>
        <v>0</v>
      </c>
      <c r="AM295">
        <f t="shared" si="112"/>
        <v>0</v>
      </c>
      <c r="AN295">
        <f>IFERROR(MIN(5,MAX(0,(SUMIFS(_REF_Model_Content!$D$1:$D$174,_REF_Model_Content!$A$1:$A$174,PV_Canonical_Industry,_REF_Model_Content!$B$1:$B$174,"Marketing Comms"))+IFERROR(VLOOKUP('Company Profile'!$B$35,_CONFIG_Model_Settings!$A$11:$B$13,2,0),0))),"")</f>
        <v>0</v>
      </c>
      <c r="AO295">
        <f t="shared" si="113"/>
        <v>0</v>
      </c>
      <c r="AP295">
        <f>IFERROR(SUMIFS(_REF_Model_Content!$E$1:$E$174,_REF_Model_Content!$A$1:$A$174,PV_Canonical_Industry,_REF_Model_Content!$B$1:$B$174,"Marketing Comms"),1)</f>
        <v>0</v>
      </c>
      <c r="AQ295">
        <f t="shared" si="114"/>
        <v>0</v>
      </c>
      <c r="AR295" t="str">
        <f t="shared" si="115"/>
        <v>Within target</v>
      </c>
      <c r="AS295">
        <f t="shared" si="116"/>
        <v>0</v>
      </c>
      <c r="AT295">
        <f t="shared" si="117"/>
        <v>0.9</v>
      </c>
      <c r="AU295">
        <f>'Assessment Questions'!AX295</f>
        <v>0</v>
      </c>
      <c r="AV295">
        <f t="shared" si="118"/>
        <v>0.9</v>
      </c>
      <c r="AW295" t="s">
        <v>2473</v>
      </c>
      <c r="AX295" t="s">
        <v>2473</v>
      </c>
      <c r="AY295">
        <v>19</v>
      </c>
      <c r="AZ295">
        <v>295</v>
      </c>
    </row>
    <row r="296" spans="1:52">
      <c r="A296" t="s">
        <v>2585</v>
      </c>
      <c r="B296" t="s">
        <v>2494</v>
      </c>
      <c r="C296" t="s">
        <v>2586</v>
      </c>
      <c r="D296" t="s">
        <v>2477</v>
      </c>
      <c r="E296" t="s">
        <v>2478</v>
      </c>
      <c r="F296" t="s">
        <v>2587</v>
      </c>
      <c r="G296">
        <f>'Assessment Questions'!J296</f>
        <v>5</v>
      </c>
      <c r="H296">
        <f t="shared" si="104"/>
        <v>0</v>
      </c>
      <c r="I296">
        <f t="shared" si="105"/>
        <v>0</v>
      </c>
      <c r="J296">
        <f t="shared" si="106"/>
        <v>5</v>
      </c>
      <c r="K296">
        <f t="shared" si="107"/>
        <v>5</v>
      </c>
      <c r="L296" t="str">
        <f t="shared" si="108"/>
        <v>Critical</v>
      </c>
      <c r="M296" t="s">
        <v>833</v>
      </c>
      <c r="N296" t="s">
        <v>834</v>
      </c>
      <c r="O296" t="s">
        <v>835</v>
      </c>
      <c r="P296" t="s">
        <v>836</v>
      </c>
      <c r="Q296" t="s">
        <v>837</v>
      </c>
      <c r="R296" t="s">
        <v>838</v>
      </c>
      <c r="S296" t="s">
        <v>2486</v>
      </c>
      <c r="T296">
        <f>'Assessment Questions'!W296</f>
        <v>0</v>
      </c>
      <c r="U296">
        <f>'Assessment Questions'!X296</f>
        <v>0</v>
      </c>
      <c r="V296" t="str">
        <f>'Assessment Questions'!Y296</f>
        <v>Use the recommended action generated by the model; validate with domain owner during real assessment.</v>
      </c>
      <c r="W296">
        <v>4</v>
      </c>
      <c r="X296">
        <v>5</v>
      </c>
      <c r="Y296">
        <v>5</v>
      </c>
      <c r="Z296">
        <f>'Assessment Questions'!AC296</f>
        <v>0</v>
      </c>
      <c r="AB296">
        <f t="shared" si="119"/>
        <v>0</v>
      </c>
      <c r="AC296">
        <f t="shared" si="120"/>
        <v>0</v>
      </c>
      <c r="AD296">
        <f t="shared" si="109"/>
        <v>0</v>
      </c>
      <c r="AE296">
        <f t="shared" si="121"/>
        <v>0</v>
      </c>
      <c r="AF296">
        <f t="shared" si="110"/>
        <v>5</v>
      </c>
      <c r="AG296">
        <f t="shared" si="122"/>
        <v>0</v>
      </c>
      <c r="AH296">
        <f>'Assessment Questions'!AK296</f>
        <v>0</v>
      </c>
      <c r="AI296">
        <f>'Assessment Questions'!AL296</f>
        <v>0</v>
      </c>
      <c r="AJ296">
        <f>IF(OR($H296="",$H296="N/A"),"",IF($AH296="",VLOOKUP('Company Profile'!$B$40,_CONFIG_Model_Settings!$A$5:$B$8,2,FALSE),IFERROR(VLOOKUP($AH296,_CONFIG_Model_Settings!$A$5:$B$8,2,FALSE),0.9)))</f>
        <v>0.9</v>
      </c>
      <c r="AK296">
        <f>IF(OR($H296="",$H296="N/A"),"",IF($AI296="",VLOOKUP('Company Profile'!$B$41,_CONFIG_Model_Settings!$A$5:$B$8,2,FALSE),IFERROR(VLOOKUP($AI296,_CONFIG_Model_Settings!$A$5:$B$8,2,FALSE),0.9)))</f>
        <v>0.9</v>
      </c>
      <c r="AL296">
        <f t="shared" si="111"/>
        <v>0</v>
      </c>
      <c r="AM296">
        <f t="shared" si="112"/>
        <v>0</v>
      </c>
      <c r="AN296">
        <f>IFERROR(MIN(5,MAX(0,(SUMIFS(_REF_Model_Content!$D$1:$D$174,_REF_Model_Content!$A$1:$A$174,PV_Canonical_Industry,_REF_Model_Content!$B$1:$B$174,"Marketing Comms"))+IFERROR(VLOOKUP('Company Profile'!$B$35,_CONFIG_Model_Settings!$A$11:$B$13,2,0),0))),"")</f>
        <v>0</v>
      </c>
      <c r="AO296">
        <f t="shared" si="113"/>
        <v>0</v>
      </c>
      <c r="AP296">
        <f>IFERROR(SUMIFS(_REF_Model_Content!$E$1:$E$174,_REF_Model_Content!$A$1:$A$174,PV_Canonical_Industry,_REF_Model_Content!$B$1:$B$174,"Marketing Comms"),1)</f>
        <v>0</v>
      </c>
      <c r="AQ296">
        <f t="shared" si="114"/>
        <v>0</v>
      </c>
      <c r="AR296" t="str">
        <f t="shared" si="115"/>
        <v>Within target</v>
      </c>
      <c r="AS296">
        <f t="shared" si="116"/>
        <v>0</v>
      </c>
      <c r="AT296">
        <f t="shared" si="117"/>
        <v>0.9</v>
      </c>
      <c r="AU296">
        <f>'Assessment Questions'!AX296</f>
        <v>0</v>
      </c>
      <c r="AV296">
        <f t="shared" si="118"/>
        <v>0.9</v>
      </c>
      <c r="AW296" t="s">
        <v>2473</v>
      </c>
      <c r="AX296" t="s">
        <v>2473</v>
      </c>
      <c r="AY296">
        <v>20</v>
      </c>
      <c r="AZ296">
        <v>296</v>
      </c>
    </row>
    <row r="297" spans="1:52">
      <c r="A297" t="s">
        <v>2589</v>
      </c>
      <c r="B297" t="s">
        <v>2590</v>
      </c>
      <c r="C297" t="s">
        <v>2591</v>
      </c>
      <c r="D297" t="s">
        <v>2592</v>
      </c>
      <c r="E297" t="s">
        <v>2593</v>
      </c>
      <c r="F297" t="s">
        <v>2594</v>
      </c>
      <c r="G297">
        <f>'Assessment Questions'!J297</f>
        <v>5</v>
      </c>
      <c r="H297">
        <f t="shared" si="104"/>
        <v>0</v>
      </c>
      <c r="I297">
        <f t="shared" si="105"/>
        <v>0</v>
      </c>
      <c r="J297">
        <f t="shared" si="106"/>
        <v>5</v>
      </c>
      <c r="K297">
        <f t="shared" si="107"/>
        <v>5</v>
      </c>
      <c r="L297" t="str">
        <f t="shared" si="108"/>
        <v>Critical</v>
      </c>
      <c r="M297" t="s">
        <v>1051</v>
      </c>
      <c r="N297" t="s">
        <v>1052</v>
      </c>
      <c r="O297" t="s">
        <v>1053</v>
      </c>
      <c r="P297" t="s">
        <v>1054</v>
      </c>
      <c r="Q297" t="s">
        <v>1055</v>
      </c>
      <c r="R297" t="s">
        <v>1056</v>
      </c>
      <c r="S297" t="s">
        <v>2595</v>
      </c>
      <c r="T297">
        <f>'Assessment Questions'!W297</f>
        <v>0</v>
      </c>
      <c r="U297">
        <f>'Assessment Questions'!X297</f>
        <v>0</v>
      </c>
      <c r="V297" t="str">
        <f>'Assessment Questions'!Y297</f>
        <v>Use the recommended action generated by the model; validate with domain owner during real assessment.</v>
      </c>
      <c r="W297">
        <v>5</v>
      </c>
      <c r="X297">
        <v>5</v>
      </c>
      <c r="Y297">
        <v>5</v>
      </c>
      <c r="Z297">
        <f>'Assessment Questions'!AC297</f>
        <v>0</v>
      </c>
      <c r="AA297" t="s">
        <v>2590</v>
      </c>
      <c r="AB297">
        <f t="shared" ref="AB297:AB324" si="123">COUNTIF($B$297:$B$324,$AA297)</f>
        <v>6</v>
      </c>
      <c r="AC297">
        <f t="shared" ref="AC297:AC324" si="124">IFERROR(SUMPRODUCT(($B$297:$B$324=$AA297)*($H$297:$H$324&lt;&gt;"")*($H$297:$H$324&lt;&gt;"N/A")*IFERROR(VALUE($H$297:$H$324),0))/SUMPRODUCT(($B$297:$B$324=$AA297)*($H$297:$H$324&lt;&gt;"")*($H$297:$H$324&lt;&gt;"N/A")),0)</f>
        <v>0</v>
      </c>
      <c r="AD297">
        <f t="shared" si="109"/>
        <v>0</v>
      </c>
      <c r="AE297">
        <f t="shared" ref="AE297:AE324" si="125">COUNTIFS($B$297:$B$324,$AA297,$L$297:$L$324,"Critical")+COUNTIFS($B$297:$B$324,$AA297,$L$297:$L$324,"High")</f>
        <v>6</v>
      </c>
      <c r="AF297">
        <f t="shared" si="110"/>
        <v>5</v>
      </c>
      <c r="AG297">
        <f t="shared" ref="AG297:AG324" si="126">SUMPRODUCT(($B$297:$B$324=$AA297)*(ISNUMBER($H$297:$H$324)+($H$297:$H$324="N/A")))</f>
        <v>6</v>
      </c>
      <c r="AH297">
        <f>'Assessment Questions'!AK297</f>
        <v>0</v>
      </c>
      <c r="AI297">
        <f>'Assessment Questions'!AL297</f>
        <v>0</v>
      </c>
      <c r="AJ297">
        <f>IF(OR($H297="",$H297="N/A"),"",IF($AH297="",VLOOKUP('Company Profile'!$B$40,_CONFIG_Model_Settings!$A$5:$B$8,2,FALSE),IFERROR(VLOOKUP($AH297,_CONFIG_Model_Settings!$A$5:$B$8,2,FALSE),0.9)))</f>
        <v>0.9</v>
      </c>
      <c r="AK297">
        <f>IF(OR($H297="",$H297="N/A"),"",IF($AI297="",VLOOKUP('Company Profile'!$B$41,_CONFIG_Model_Settings!$A$5:$B$8,2,FALSE),IFERROR(VLOOKUP($AI297,_CONFIG_Model_Settings!$A$5:$B$8,2,FALSE),0.9)))</f>
        <v>0.9</v>
      </c>
      <c r="AL297">
        <f t="shared" si="111"/>
        <v>0</v>
      </c>
      <c r="AM297">
        <f t="shared" si="112"/>
        <v>0</v>
      </c>
      <c r="AN297">
        <f>IFERROR(MIN(5,MAX(0,(SUMIFS(_REF_Model_Content!$D$1:$D$174,_REF_Model_Content!$A$1:$A$174,PV_Canonical_Industry,_REF_Model_Content!$B$1:$B$174,"IT Cloud DR"))+IFERROR(VLOOKUP('Company Profile'!$B$35,_CONFIG_Model_Settings!$A$11:$B$13,2,0),0))),"")</f>
        <v>0</v>
      </c>
      <c r="AO297">
        <f t="shared" si="113"/>
        <v>0</v>
      </c>
      <c r="AP297">
        <f>IFERROR(SUMIFS(_REF_Model_Content!$E$1:$E$174,_REF_Model_Content!$A$1:$A$174,PV_Canonical_Industry,_REF_Model_Content!$B$1:$B$174,"IT Cloud DR"),1)</f>
        <v>0</v>
      </c>
      <c r="AQ297">
        <f t="shared" si="114"/>
        <v>0</v>
      </c>
      <c r="AR297" t="str">
        <f t="shared" si="115"/>
        <v>Within target</v>
      </c>
      <c r="AS297">
        <f t="shared" si="116"/>
        <v>0</v>
      </c>
      <c r="AT297">
        <f t="shared" si="117"/>
        <v>0.9</v>
      </c>
      <c r="AU297">
        <f>'Assessment Questions'!AX297</f>
        <v>0</v>
      </c>
      <c r="AV297">
        <f t="shared" si="118"/>
        <v>0.9</v>
      </c>
      <c r="AW297" t="s">
        <v>2588</v>
      </c>
      <c r="AX297" t="s">
        <v>2588</v>
      </c>
      <c r="AY297">
        <v>5</v>
      </c>
      <c r="AZ297">
        <v>297</v>
      </c>
    </row>
    <row r="298" spans="1:52">
      <c r="A298" t="s">
        <v>2596</v>
      </c>
      <c r="B298" t="s">
        <v>2590</v>
      </c>
      <c r="C298" t="s">
        <v>2597</v>
      </c>
      <c r="D298" t="s">
        <v>2592</v>
      </c>
      <c r="E298" t="s">
        <v>2593</v>
      </c>
      <c r="F298" t="s">
        <v>2598</v>
      </c>
      <c r="G298">
        <f>'Assessment Questions'!J298</f>
        <v>5</v>
      </c>
      <c r="H298">
        <f t="shared" si="104"/>
        <v>0</v>
      </c>
      <c r="I298">
        <f t="shared" si="105"/>
        <v>0</v>
      </c>
      <c r="J298">
        <f t="shared" si="106"/>
        <v>5</v>
      </c>
      <c r="K298">
        <f t="shared" si="107"/>
        <v>5</v>
      </c>
      <c r="L298" t="str">
        <f t="shared" si="108"/>
        <v>Critical</v>
      </c>
      <c r="M298" t="s">
        <v>833</v>
      </c>
      <c r="N298" t="s">
        <v>834</v>
      </c>
      <c r="O298" t="s">
        <v>835</v>
      </c>
      <c r="P298" t="s">
        <v>836</v>
      </c>
      <c r="Q298" t="s">
        <v>837</v>
      </c>
      <c r="R298" t="s">
        <v>838</v>
      </c>
      <c r="S298" t="s">
        <v>2595</v>
      </c>
      <c r="T298">
        <f>'Assessment Questions'!W298</f>
        <v>0</v>
      </c>
      <c r="U298">
        <f>'Assessment Questions'!X298</f>
        <v>0</v>
      </c>
      <c r="V298" t="str">
        <f>'Assessment Questions'!Y298</f>
        <v>Use the recommended action generated by the model; validate with domain owner during real assessment.</v>
      </c>
      <c r="W298">
        <v>5</v>
      </c>
      <c r="X298">
        <v>5</v>
      </c>
      <c r="Y298">
        <v>5</v>
      </c>
      <c r="Z298">
        <f>'Assessment Questions'!AC298</f>
        <v>0</v>
      </c>
      <c r="AA298" t="s">
        <v>2599</v>
      </c>
      <c r="AB298">
        <f t="shared" si="123"/>
        <v>5</v>
      </c>
      <c r="AC298">
        <f t="shared" si="124"/>
        <v>0</v>
      </c>
      <c r="AD298">
        <f t="shared" si="109"/>
        <v>0</v>
      </c>
      <c r="AE298">
        <f t="shared" si="125"/>
        <v>5</v>
      </c>
      <c r="AF298">
        <f t="shared" si="110"/>
        <v>5</v>
      </c>
      <c r="AG298">
        <f t="shared" si="126"/>
        <v>5</v>
      </c>
      <c r="AH298">
        <f>'Assessment Questions'!AK298</f>
        <v>0</v>
      </c>
      <c r="AI298">
        <f>'Assessment Questions'!AL298</f>
        <v>0</v>
      </c>
      <c r="AJ298">
        <f>IF(OR($H298="",$H298="N/A"),"",IF($AH298="",VLOOKUP('Company Profile'!$B$40,_CONFIG_Model_Settings!$A$5:$B$8,2,FALSE),IFERROR(VLOOKUP($AH298,_CONFIG_Model_Settings!$A$5:$B$8,2,FALSE),0.9)))</f>
        <v>0.9</v>
      </c>
      <c r="AK298">
        <f>IF(OR($H298="",$H298="N/A"),"",IF($AI298="",VLOOKUP('Company Profile'!$B$41,_CONFIG_Model_Settings!$A$5:$B$8,2,FALSE),IFERROR(VLOOKUP($AI298,_CONFIG_Model_Settings!$A$5:$B$8,2,FALSE),0.9)))</f>
        <v>0.9</v>
      </c>
      <c r="AL298">
        <f t="shared" si="111"/>
        <v>0</v>
      </c>
      <c r="AM298">
        <f t="shared" si="112"/>
        <v>0</v>
      </c>
      <c r="AN298">
        <f>IFERROR(MIN(5,MAX(0,(SUMIFS(_REF_Model_Content!$D$1:$D$174,_REF_Model_Content!$A$1:$A$174,PV_Canonical_Industry,_REF_Model_Content!$B$1:$B$174,"IT Cloud DR"))+IFERROR(VLOOKUP('Company Profile'!$B$35,_CONFIG_Model_Settings!$A$11:$B$13,2,0),0))),"")</f>
        <v>0</v>
      </c>
      <c r="AO298">
        <f t="shared" si="113"/>
        <v>0</v>
      </c>
      <c r="AP298">
        <f>IFERROR(SUMIFS(_REF_Model_Content!$E$1:$E$174,_REF_Model_Content!$A$1:$A$174,PV_Canonical_Industry,_REF_Model_Content!$B$1:$B$174,"IT Cloud DR"),1)</f>
        <v>0</v>
      </c>
      <c r="AQ298">
        <f t="shared" si="114"/>
        <v>0</v>
      </c>
      <c r="AR298" t="str">
        <f t="shared" si="115"/>
        <v>Within target</v>
      </c>
      <c r="AS298">
        <f t="shared" si="116"/>
        <v>0</v>
      </c>
      <c r="AT298">
        <f t="shared" si="117"/>
        <v>0.9</v>
      </c>
      <c r="AU298">
        <f>'Assessment Questions'!AX298</f>
        <v>0</v>
      </c>
      <c r="AV298">
        <f t="shared" si="118"/>
        <v>0.9</v>
      </c>
      <c r="AW298" t="s">
        <v>2588</v>
      </c>
      <c r="AX298" t="s">
        <v>2588</v>
      </c>
      <c r="AY298">
        <v>6</v>
      </c>
      <c r="AZ298">
        <v>298</v>
      </c>
    </row>
    <row r="299" spans="1:52">
      <c r="A299" t="s">
        <v>2600</v>
      </c>
      <c r="B299" t="s">
        <v>2590</v>
      </c>
      <c r="C299" t="s">
        <v>2601</v>
      </c>
      <c r="D299" t="s">
        <v>2592</v>
      </c>
      <c r="E299" t="s">
        <v>2593</v>
      </c>
      <c r="F299" t="s">
        <v>2602</v>
      </c>
      <c r="G299">
        <f>'Assessment Questions'!J299</f>
        <v>3</v>
      </c>
      <c r="H299">
        <f t="shared" si="104"/>
        <v>0</v>
      </c>
      <c r="I299">
        <f t="shared" si="105"/>
        <v>0</v>
      </c>
      <c r="J299">
        <f t="shared" si="106"/>
        <v>3</v>
      </c>
      <c r="K299">
        <f t="shared" si="107"/>
        <v>3</v>
      </c>
      <c r="L299" t="str">
        <f t="shared" si="108"/>
        <v>Critical</v>
      </c>
      <c r="M299" t="s">
        <v>2603</v>
      </c>
      <c r="N299" t="s">
        <v>2604</v>
      </c>
      <c r="O299" t="s">
        <v>2605</v>
      </c>
      <c r="P299" t="s">
        <v>2606</v>
      </c>
      <c r="Q299" t="s">
        <v>2607</v>
      </c>
      <c r="R299" t="s">
        <v>2608</v>
      </c>
      <c r="S299" t="s">
        <v>2595</v>
      </c>
      <c r="T299">
        <f>'Assessment Questions'!W299</f>
        <v>0</v>
      </c>
      <c r="U299">
        <f>'Assessment Questions'!X299</f>
        <v>0</v>
      </c>
      <c r="V299" t="str">
        <f>'Assessment Questions'!Y299</f>
        <v>Use the recommended action generated by the model; validate with domain owner during real assessment.</v>
      </c>
      <c r="W299">
        <v>5</v>
      </c>
      <c r="X299">
        <v>5</v>
      </c>
      <c r="Y299">
        <v>5</v>
      </c>
      <c r="Z299">
        <f>'Assessment Questions'!AC299</f>
        <v>0</v>
      </c>
      <c r="AA299" t="s">
        <v>2609</v>
      </c>
      <c r="AB299">
        <f t="shared" si="123"/>
        <v>6</v>
      </c>
      <c r="AC299">
        <f t="shared" si="124"/>
        <v>0</v>
      </c>
      <c r="AD299">
        <f t="shared" si="109"/>
        <v>0</v>
      </c>
      <c r="AE299">
        <f t="shared" si="125"/>
        <v>6</v>
      </c>
      <c r="AF299">
        <f t="shared" si="110"/>
        <v>5</v>
      </c>
      <c r="AG299">
        <f t="shared" si="126"/>
        <v>6</v>
      </c>
      <c r="AH299">
        <f>'Assessment Questions'!AK299</f>
        <v>0</v>
      </c>
      <c r="AI299">
        <f>'Assessment Questions'!AL299</f>
        <v>0</v>
      </c>
      <c r="AJ299">
        <f>IF(OR($H299="",$H299="N/A"),"",IF($AH299="",VLOOKUP('Company Profile'!$B$40,_CONFIG_Model_Settings!$A$5:$B$8,2,FALSE),IFERROR(VLOOKUP($AH299,_CONFIG_Model_Settings!$A$5:$B$8,2,FALSE),0.9)))</f>
        <v>0.9</v>
      </c>
      <c r="AK299">
        <f>IF(OR($H299="",$H299="N/A"),"",IF($AI299="",VLOOKUP('Company Profile'!$B$41,_CONFIG_Model_Settings!$A$5:$B$8,2,FALSE),IFERROR(VLOOKUP($AI299,_CONFIG_Model_Settings!$A$5:$B$8,2,FALSE),0.9)))</f>
        <v>0.9</v>
      </c>
      <c r="AL299">
        <f t="shared" si="111"/>
        <v>0</v>
      </c>
      <c r="AM299">
        <f t="shared" si="112"/>
        <v>0</v>
      </c>
      <c r="AN299">
        <f>IFERROR(MIN(5,MAX(0,(SUMIFS(_REF_Model_Content!$D$1:$D$174,_REF_Model_Content!$A$1:$A$174,PV_Canonical_Industry,_REF_Model_Content!$B$1:$B$174,"IT Cloud DR"))+IFERROR(VLOOKUP('Company Profile'!$B$35,_CONFIG_Model_Settings!$A$11:$B$13,2,0),0))),"")</f>
        <v>0</v>
      </c>
      <c r="AO299">
        <f t="shared" si="113"/>
        <v>0</v>
      </c>
      <c r="AP299">
        <f>IFERROR(SUMIFS(_REF_Model_Content!$E$1:$E$174,_REF_Model_Content!$A$1:$A$174,PV_Canonical_Industry,_REF_Model_Content!$B$1:$B$174,"IT Cloud DR"),1)</f>
        <v>0</v>
      </c>
      <c r="AQ299">
        <f t="shared" si="114"/>
        <v>0</v>
      </c>
      <c r="AR299" t="str">
        <f t="shared" si="115"/>
        <v>Within target</v>
      </c>
      <c r="AS299">
        <f t="shared" si="116"/>
        <v>0</v>
      </c>
      <c r="AT299">
        <f t="shared" si="117"/>
        <v>0.9</v>
      </c>
      <c r="AU299">
        <f>'Assessment Questions'!AX299</f>
        <v>0</v>
      </c>
      <c r="AV299">
        <f t="shared" si="118"/>
        <v>0.9</v>
      </c>
      <c r="AW299" t="s">
        <v>2588</v>
      </c>
      <c r="AX299" t="s">
        <v>2588</v>
      </c>
      <c r="AY299">
        <v>7</v>
      </c>
      <c r="AZ299">
        <v>299</v>
      </c>
    </row>
    <row r="300" spans="1:52">
      <c r="A300" t="s">
        <v>2610</v>
      </c>
      <c r="B300" t="s">
        <v>2590</v>
      </c>
      <c r="C300" t="s">
        <v>2611</v>
      </c>
      <c r="D300" t="s">
        <v>2592</v>
      </c>
      <c r="E300" t="s">
        <v>2593</v>
      </c>
      <c r="F300" t="s">
        <v>2612</v>
      </c>
      <c r="G300">
        <f>'Assessment Questions'!J300</f>
        <v>5</v>
      </c>
      <c r="H300">
        <f t="shared" si="104"/>
        <v>0</v>
      </c>
      <c r="I300">
        <f t="shared" si="105"/>
        <v>0</v>
      </c>
      <c r="J300">
        <f t="shared" si="106"/>
        <v>5</v>
      </c>
      <c r="K300">
        <f t="shared" si="107"/>
        <v>5</v>
      </c>
      <c r="L300" t="str">
        <f t="shared" si="108"/>
        <v>Critical</v>
      </c>
      <c r="M300" t="s">
        <v>833</v>
      </c>
      <c r="N300" t="s">
        <v>834</v>
      </c>
      <c r="O300" t="s">
        <v>835</v>
      </c>
      <c r="P300" t="s">
        <v>836</v>
      </c>
      <c r="Q300" t="s">
        <v>837</v>
      </c>
      <c r="R300" t="s">
        <v>838</v>
      </c>
      <c r="S300" t="s">
        <v>2595</v>
      </c>
      <c r="T300">
        <f>'Assessment Questions'!W300</f>
        <v>0</v>
      </c>
      <c r="U300">
        <f>'Assessment Questions'!X300</f>
        <v>0</v>
      </c>
      <c r="V300" t="str">
        <f>'Assessment Questions'!Y300</f>
        <v>Use the recommended action generated by the model; validate with domain owner during real assessment.</v>
      </c>
      <c r="W300">
        <v>5</v>
      </c>
      <c r="X300">
        <v>5</v>
      </c>
      <c r="Y300">
        <v>5</v>
      </c>
      <c r="Z300">
        <f>'Assessment Questions'!AC300</f>
        <v>0</v>
      </c>
      <c r="AA300" t="s">
        <v>2613</v>
      </c>
      <c r="AB300">
        <f t="shared" si="123"/>
        <v>6</v>
      </c>
      <c r="AC300">
        <f t="shared" si="124"/>
        <v>0</v>
      </c>
      <c r="AD300">
        <f t="shared" si="109"/>
        <v>0</v>
      </c>
      <c r="AE300">
        <f t="shared" si="125"/>
        <v>6</v>
      </c>
      <c r="AF300">
        <f t="shared" si="110"/>
        <v>5</v>
      </c>
      <c r="AG300">
        <f t="shared" si="126"/>
        <v>6</v>
      </c>
      <c r="AH300">
        <f>'Assessment Questions'!AK300</f>
        <v>0</v>
      </c>
      <c r="AI300">
        <f>'Assessment Questions'!AL300</f>
        <v>0</v>
      </c>
      <c r="AJ300">
        <f>IF(OR($H300="",$H300="N/A"),"",IF($AH300="",VLOOKUP('Company Profile'!$B$40,_CONFIG_Model_Settings!$A$5:$B$8,2,FALSE),IFERROR(VLOOKUP($AH300,_CONFIG_Model_Settings!$A$5:$B$8,2,FALSE),0.9)))</f>
        <v>0.9</v>
      </c>
      <c r="AK300">
        <f>IF(OR($H300="",$H300="N/A"),"",IF($AI300="",VLOOKUP('Company Profile'!$B$41,_CONFIG_Model_Settings!$A$5:$B$8,2,FALSE),IFERROR(VLOOKUP($AI300,_CONFIG_Model_Settings!$A$5:$B$8,2,FALSE),0.9)))</f>
        <v>0.9</v>
      </c>
      <c r="AL300">
        <f t="shared" si="111"/>
        <v>0</v>
      </c>
      <c r="AM300">
        <f t="shared" si="112"/>
        <v>0</v>
      </c>
      <c r="AN300">
        <f>IFERROR(MIN(5,MAX(0,(SUMIFS(_REF_Model_Content!$D$1:$D$174,_REF_Model_Content!$A$1:$A$174,PV_Canonical_Industry,_REF_Model_Content!$B$1:$B$174,"IT Cloud DR"))+IFERROR(VLOOKUP('Company Profile'!$B$35,_CONFIG_Model_Settings!$A$11:$B$13,2,0),0))),"")</f>
        <v>0</v>
      </c>
      <c r="AO300">
        <f t="shared" si="113"/>
        <v>0</v>
      </c>
      <c r="AP300">
        <f>IFERROR(SUMIFS(_REF_Model_Content!$E$1:$E$174,_REF_Model_Content!$A$1:$A$174,PV_Canonical_Industry,_REF_Model_Content!$B$1:$B$174,"IT Cloud DR"),1)</f>
        <v>0</v>
      </c>
      <c r="AQ300">
        <f t="shared" si="114"/>
        <v>0</v>
      </c>
      <c r="AR300" t="str">
        <f t="shared" si="115"/>
        <v>Within target</v>
      </c>
      <c r="AS300">
        <f t="shared" si="116"/>
        <v>0</v>
      </c>
      <c r="AT300">
        <f t="shared" si="117"/>
        <v>0.9</v>
      </c>
      <c r="AU300">
        <f>'Assessment Questions'!AX300</f>
        <v>0</v>
      </c>
      <c r="AV300">
        <f t="shared" si="118"/>
        <v>0.9</v>
      </c>
      <c r="AW300" t="s">
        <v>2588</v>
      </c>
      <c r="AX300" t="s">
        <v>2588</v>
      </c>
      <c r="AY300">
        <v>8</v>
      </c>
      <c r="AZ300">
        <v>300</v>
      </c>
    </row>
    <row r="301" spans="1:52">
      <c r="A301" t="s">
        <v>2614</v>
      </c>
      <c r="B301" t="s">
        <v>2590</v>
      </c>
      <c r="C301" t="s">
        <v>2615</v>
      </c>
      <c r="D301" t="s">
        <v>2592</v>
      </c>
      <c r="E301" t="s">
        <v>2593</v>
      </c>
      <c r="F301" t="s">
        <v>2616</v>
      </c>
      <c r="G301">
        <f>'Assessment Questions'!J301</f>
        <v>4</v>
      </c>
      <c r="H301">
        <f t="shared" si="104"/>
        <v>0</v>
      </c>
      <c r="I301">
        <f t="shared" si="105"/>
        <v>0</v>
      </c>
      <c r="J301">
        <f t="shared" si="106"/>
        <v>4</v>
      </c>
      <c r="K301">
        <f t="shared" si="107"/>
        <v>4</v>
      </c>
      <c r="L301" t="str">
        <f t="shared" si="108"/>
        <v>Critical</v>
      </c>
      <c r="M301" t="s">
        <v>2617</v>
      </c>
      <c r="N301" t="s">
        <v>2618</v>
      </c>
      <c r="O301" t="s">
        <v>2619</v>
      </c>
      <c r="P301" t="s">
        <v>2620</v>
      </c>
      <c r="Q301" t="s">
        <v>2621</v>
      </c>
      <c r="R301" t="s">
        <v>2622</v>
      </c>
      <c r="S301" t="s">
        <v>2595</v>
      </c>
      <c r="T301">
        <f>'Assessment Questions'!W301</f>
        <v>0</v>
      </c>
      <c r="U301">
        <f>'Assessment Questions'!X301</f>
        <v>0</v>
      </c>
      <c r="V301" t="str">
        <f>'Assessment Questions'!Y301</f>
        <v>Use the recommended action generated by the model; validate with domain owner during real assessment.</v>
      </c>
      <c r="W301">
        <v>5</v>
      </c>
      <c r="X301">
        <v>5</v>
      </c>
      <c r="Y301">
        <v>5</v>
      </c>
      <c r="Z301">
        <f>'Assessment Questions'!AC301</f>
        <v>0</v>
      </c>
      <c r="AA301" t="s">
        <v>2623</v>
      </c>
      <c r="AB301">
        <f t="shared" si="123"/>
        <v>5</v>
      </c>
      <c r="AC301">
        <f t="shared" si="124"/>
        <v>0</v>
      </c>
      <c r="AD301">
        <f t="shared" si="109"/>
        <v>0</v>
      </c>
      <c r="AE301">
        <f t="shared" si="125"/>
        <v>5</v>
      </c>
      <c r="AF301">
        <f t="shared" si="110"/>
        <v>5</v>
      </c>
      <c r="AG301">
        <f t="shared" si="126"/>
        <v>5</v>
      </c>
      <c r="AH301">
        <f>'Assessment Questions'!AK301</f>
        <v>0</v>
      </c>
      <c r="AI301">
        <f>'Assessment Questions'!AL301</f>
        <v>0</v>
      </c>
      <c r="AJ301">
        <f>IF(OR($H301="",$H301="N/A"),"",IF($AH301="",VLOOKUP('Company Profile'!$B$40,_CONFIG_Model_Settings!$A$5:$B$8,2,FALSE),IFERROR(VLOOKUP($AH301,_CONFIG_Model_Settings!$A$5:$B$8,2,FALSE),0.9)))</f>
        <v>0.9</v>
      </c>
      <c r="AK301">
        <f>IF(OR($H301="",$H301="N/A"),"",IF($AI301="",VLOOKUP('Company Profile'!$B$41,_CONFIG_Model_Settings!$A$5:$B$8,2,FALSE),IFERROR(VLOOKUP($AI301,_CONFIG_Model_Settings!$A$5:$B$8,2,FALSE),0.9)))</f>
        <v>0.9</v>
      </c>
      <c r="AL301">
        <f t="shared" si="111"/>
        <v>0</v>
      </c>
      <c r="AM301">
        <f t="shared" si="112"/>
        <v>0</v>
      </c>
      <c r="AN301">
        <f>IFERROR(MIN(5,MAX(0,(SUMIFS(_REF_Model_Content!$D$1:$D$174,_REF_Model_Content!$A$1:$A$174,PV_Canonical_Industry,_REF_Model_Content!$B$1:$B$174,"IT Cloud DR"))+IFERROR(VLOOKUP('Company Profile'!$B$35,_CONFIG_Model_Settings!$A$11:$B$13,2,0),0))),"")</f>
        <v>0</v>
      </c>
      <c r="AO301">
        <f t="shared" si="113"/>
        <v>0</v>
      </c>
      <c r="AP301">
        <f>IFERROR(SUMIFS(_REF_Model_Content!$E$1:$E$174,_REF_Model_Content!$A$1:$A$174,PV_Canonical_Industry,_REF_Model_Content!$B$1:$B$174,"IT Cloud DR"),1)</f>
        <v>0</v>
      </c>
      <c r="AQ301">
        <f t="shared" si="114"/>
        <v>0</v>
      </c>
      <c r="AR301" t="str">
        <f t="shared" si="115"/>
        <v>Within target</v>
      </c>
      <c r="AS301">
        <f t="shared" si="116"/>
        <v>0</v>
      </c>
      <c r="AT301">
        <f t="shared" si="117"/>
        <v>0.9</v>
      </c>
      <c r="AU301">
        <f>'Assessment Questions'!AX301</f>
        <v>0</v>
      </c>
      <c r="AV301">
        <f t="shared" si="118"/>
        <v>0.9</v>
      </c>
      <c r="AW301" t="s">
        <v>2588</v>
      </c>
      <c r="AX301" t="s">
        <v>2588</v>
      </c>
      <c r="AY301">
        <v>9</v>
      </c>
      <c r="AZ301">
        <v>301</v>
      </c>
    </row>
    <row r="302" spans="1:52">
      <c r="A302" t="s">
        <v>2624</v>
      </c>
      <c r="B302" t="s">
        <v>2590</v>
      </c>
      <c r="C302" t="s">
        <v>2625</v>
      </c>
      <c r="D302" t="s">
        <v>2592</v>
      </c>
      <c r="E302" t="s">
        <v>2593</v>
      </c>
      <c r="F302" t="s">
        <v>2626</v>
      </c>
      <c r="G302">
        <f>'Assessment Questions'!J302</f>
        <v>3</v>
      </c>
      <c r="H302">
        <f t="shared" si="104"/>
        <v>0</v>
      </c>
      <c r="I302">
        <f t="shared" si="105"/>
        <v>0</v>
      </c>
      <c r="J302">
        <f t="shared" si="106"/>
        <v>3</v>
      </c>
      <c r="K302">
        <f t="shared" si="107"/>
        <v>3</v>
      </c>
      <c r="L302" t="str">
        <f t="shared" si="108"/>
        <v>Critical</v>
      </c>
      <c r="M302" t="s">
        <v>2627</v>
      </c>
      <c r="N302" t="s">
        <v>2628</v>
      </c>
      <c r="O302" t="s">
        <v>2629</v>
      </c>
      <c r="P302" t="s">
        <v>2630</v>
      </c>
      <c r="Q302" t="s">
        <v>2631</v>
      </c>
      <c r="R302" t="s">
        <v>2632</v>
      </c>
      <c r="S302" t="s">
        <v>2595</v>
      </c>
      <c r="T302">
        <f>'Assessment Questions'!W302</f>
        <v>0</v>
      </c>
      <c r="U302">
        <f>'Assessment Questions'!X302</f>
        <v>0</v>
      </c>
      <c r="V302" t="str">
        <f>'Assessment Questions'!Y302</f>
        <v>Use the recommended action generated by the model; validate with domain owner during real assessment.</v>
      </c>
      <c r="W302">
        <v>5</v>
      </c>
      <c r="X302">
        <v>5</v>
      </c>
      <c r="Y302">
        <v>5</v>
      </c>
      <c r="Z302">
        <f>'Assessment Questions'!AC302</f>
        <v>0</v>
      </c>
      <c r="AB302">
        <f t="shared" si="123"/>
        <v>0</v>
      </c>
      <c r="AC302">
        <f t="shared" si="124"/>
        <v>0</v>
      </c>
      <c r="AD302">
        <f t="shared" si="109"/>
        <v>0</v>
      </c>
      <c r="AE302">
        <f t="shared" si="125"/>
        <v>0</v>
      </c>
      <c r="AF302">
        <f t="shared" si="110"/>
        <v>5</v>
      </c>
      <c r="AG302">
        <f t="shared" si="126"/>
        <v>0</v>
      </c>
      <c r="AH302">
        <f>'Assessment Questions'!AK302</f>
        <v>0</v>
      </c>
      <c r="AI302">
        <f>'Assessment Questions'!AL302</f>
        <v>0</v>
      </c>
      <c r="AJ302">
        <f>IF(OR($H302="",$H302="N/A"),"",IF($AH302="",VLOOKUP('Company Profile'!$B$40,_CONFIG_Model_Settings!$A$5:$B$8,2,FALSE),IFERROR(VLOOKUP($AH302,_CONFIG_Model_Settings!$A$5:$B$8,2,FALSE),0.9)))</f>
        <v>0.9</v>
      </c>
      <c r="AK302">
        <f>IF(OR($H302="",$H302="N/A"),"",IF($AI302="",VLOOKUP('Company Profile'!$B$41,_CONFIG_Model_Settings!$A$5:$B$8,2,FALSE),IFERROR(VLOOKUP($AI302,_CONFIG_Model_Settings!$A$5:$B$8,2,FALSE),0.9)))</f>
        <v>0.9</v>
      </c>
      <c r="AL302">
        <f t="shared" si="111"/>
        <v>0</v>
      </c>
      <c r="AM302">
        <f t="shared" si="112"/>
        <v>0</v>
      </c>
      <c r="AN302">
        <f>IFERROR(MIN(5,MAX(0,(SUMIFS(_REF_Model_Content!$D$1:$D$174,_REF_Model_Content!$A$1:$A$174,PV_Canonical_Industry,_REF_Model_Content!$B$1:$B$174,"IT Cloud DR"))+IFERROR(VLOOKUP('Company Profile'!$B$35,_CONFIG_Model_Settings!$A$11:$B$13,2,0),0))),"")</f>
        <v>0</v>
      </c>
      <c r="AO302">
        <f t="shared" si="113"/>
        <v>0</v>
      </c>
      <c r="AP302">
        <f>IFERROR(SUMIFS(_REF_Model_Content!$E$1:$E$174,_REF_Model_Content!$A$1:$A$174,PV_Canonical_Industry,_REF_Model_Content!$B$1:$B$174,"IT Cloud DR"),1)</f>
        <v>0</v>
      </c>
      <c r="AQ302">
        <f t="shared" si="114"/>
        <v>0</v>
      </c>
      <c r="AR302" t="str">
        <f t="shared" si="115"/>
        <v>Within target</v>
      </c>
      <c r="AS302">
        <f t="shared" si="116"/>
        <v>0</v>
      </c>
      <c r="AT302">
        <f t="shared" si="117"/>
        <v>0.9</v>
      </c>
      <c r="AU302">
        <f>'Assessment Questions'!AX302</f>
        <v>0</v>
      </c>
      <c r="AV302">
        <f t="shared" si="118"/>
        <v>0.9</v>
      </c>
      <c r="AW302" t="s">
        <v>2588</v>
      </c>
      <c r="AX302" t="s">
        <v>2588</v>
      </c>
      <c r="AY302">
        <v>10</v>
      </c>
      <c r="AZ302">
        <v>302</v>
      </c>
    </row>
    <row r="303" spans="1:52">
      <c r="A303" t="s">
        <v>2633</v>
      </c>
      <c r="B303" t="s">
        <v>2599</v>
      </c>
      <c r="C303" t="s">
        <v>2634</v>
      </c>
      <c r="D303" t="s">
        <v>2592</v>
      </c>
      <c r="E303" t="s">
        <v>2593</v>
      </c>
      <c r="F303" t="s">
        <v>2635</v>
      </c>
      <c r="G303">
        <f>'Assessment Questions'!J303</f>
        <v>5</v>
      </c>
      <c r="H303">
        <f t="shared" si="104"/>
        <v>0</v>
      </c>
      <c r="I303">
        <f t="shared" si="105"/>
        <v>0</v>
      </c>
      <c r="J303">
        <f t="shared" si="106"/>
        <v>5</v>
      </c>
      <c r="K303">
        <f t="shared" si="107"/>
        <v>5</v>
      </c>
      <c r="L303" t="str">
        <f t="shared" si="108"/>
        <v>Critical</v>
      </c>
      <c r="M303" t="s">
        <v>833</v>
      </c>
      <c r="N303" t="s">
        <v>834</v>
      </c>
      <c r="O303" t="s">
        <v>835</v>
      </c>
      <c r="P303" t="s">
        <v>836</v>
      </c>
      <c r="Q303" t="s">
        <v>837</v>
      </c>
      <c r="R303" t="s">
        <v>838</v>
      </c>
      <c r="S303" t="s">
        <v>2595</v>
      </c>
      <c r="T303">
        <f>'Assessment Questions'!W303</f>
        <v>0</v>
      </c>
      <c r="U303">
        <f>'Assessment Questions'!X303</f>
        <v>0</v>
      </c>
      <c r="V303" t="str">
        <f>'Assessment Questions'!Y303</f>
        <v>Use the recommended action generated by the model; validate with domain owner during real assessment.</v>
      </c>
      <c r="W303">
        <v>5</v>
      </c>
      <c r="X303">
        <v>5</v>
      </c>
      <c r="Y303">
        <v>5</v>
      </c>
      <c r="Z303">
        <f>'Assessment Questions'!AC303</f>
        <v>0</v>
      </c>
      <c r="AB303">
        <f t="shared" si="123"/>
        <v>0</v>
      </c>
      <c r="AC303">
        <f t="shared" si="124"/>
        <v>0</v>
      </c>
      <c r="AD303">
        <f t="shared" si="109"/>
        <v>0</v>
      </c>
      <c r="AE303">
        <f t="shared" si="125"/>
        <v>0</v>
      </c>
      <c r="AF303">
        <f t="shared" si="110"/>
        <v>5</v>
      </c>
      <c r="AG303">
        <f t="shared" si="126"/>
        <v>0</v>
      </c>
      <c r="AH303">
        <f>'Assessment Questions'!AK303</f>
        <v>0</v>
      </c>
      <c r="AI303">
        <f>'Assessment Questions'!AL303</f>
        <v>0</v>
      </c>
      <c r="AJ303">
        <f>IF(OR($H303="",$H303="N/A"),"",IF($AH303="",VLOOKUP('Company Profile'!$B$40,_CONFIG_Model_Settings!$A$5:$B$8,2,FALSE),IFERROR(VLOOKUP($AH303,_CONFIG_Model_Settings!$A$5:$B$8,2,FALSE),0.9)))</f>
        <v>0.9</v>
      </c>
      <c r="AK303">
        <f>IF(OR($H303="",$H303="N/A"),"",IF($AI303="",VLOOKUP('Company Profile'!$B$41,_CONFIG_Model_Settings!$A$5:$B$8,2,FALSE),IFERROR(VLOOKUP($AI303,_CONFIG_Model_Settings!$A$5:$B$8,2,FALSE),0.9)))</f>
        <v>0.9</v>
      </c>
      <c r="AL303">
        <f t="shared" si="111"/>
        <v>0</v>
      </c>
      <c r="AM303">
        <f t="shared" si="112"/>
        <v>0</v>
      </c>
      <c r="AN303">
        <f>IFERROR(MIN(5,MAX(0,(SUMIFS(_REF_Model_Content!$D$1:$D$174,_REF_Model_Content!$A$1:$A$174,PV_Canonical_Industry,_REF_Model_Content!$B$1:$B$174,"IT Cloud DR"))+IFERROR(VLOOKUP('Company Profile'!$B$35,_CONFIG_Model_Settings!$A$11:$B$13,2,0),0))),"")</f>
        <v>0</v>
      </c>
      <c r="AO303">
        <f t="shared" si="113"/>
        <v>0</v>
      </c>
      <c r="AP303">
        <f>IFERROR(SUMIFS(_REF_Model_Content!$E$1:$E$174,_REF_Model_Content!$A$1:$A$174,PV_Canonical_Industry,_REF_Model_Content!$B$1:$B$174,"IT Cloud DR"),1)</f>
        <v>0</v>
      </c>
      <c r="AQ303">
        <f t="shared" si="114"/>
        <v>0</v>
      </c>
      <c r="AR303" t="str">
        <f t="shared" si="115"/>
        <v>Within target</v>
      </c>
      <c r="AS303">
        <f t="shared" si="116"/>
        <v>0</v>
      </c>
      <c r="AT303">
        <f t="shared" si="117"/>
        <v>0.9</v>
      </c>
      <c r="AU303">
        <f>'Assessment Questions'!AX303</f>
        <v>0</v>
      </c>
      <c r="AV303">
        <f t="shared" si="118"/>
        <v>0.9</v>
      </c>
      <c r="AW303" t="s">
        <v>2588</v>
      </c>
      <c r="AX303" t="s">
        <v>2588</v>
      </c>
      <c r="AY303">
        <v>11</v>
      </c>
      <c r="AZ303">
        <v>303</v>
      </c>
    </row>
    <row r="304" spans="1:52">
      <c r="A304" t="s">
        <v>2636</v>
      </c>
      <c r="B304" t="s">
        <v>2599</v>
      </c>
      <c r="C304" t="s">
        <v>2637</v>
      </c>
      <c r="D304" t="s">
        <v>2592</v>
      </c>
      <c r="E304" t="s">
        <v>2593</v>
      </c>
      <c r="F304" t="s">
        <v>2638</v>
      </c>
      <c r="G304">
        <f>'Assessment Questions'!J304</f>
        <v>5</v>
      </c>
      <c r="H304">
        <f t="shared" si="104"/>
        <v>0</v>
      </c>
      <c r="I304">
        <f t="shared" si="105"/>
        <v>0</v>
      </c>
      <c r="J304">
        <f t="shared" si="106"/>
        <v>5</v>
      </c>
      <c r="K304">
        <f t="shared" si="107"/>
        <v>5</v>
      </c>
      <c r="L304" t="str">
        <f t="shared" si="108"/>
        <v>Critical</v>
      </c>
      <c r="M304" t="s">
        <v>833</v>
      </c>
      <c r="N304" t="s">
        <v>834</v>
      </c>
      <c r="O304" t="s">
        <v>835</v>
      </c>
      <c r="P304" t="s">
        <v>836</v>
      </c>
      <c r="Q304" t="s">
        <v>837</v>
      </c>
      <c r="R304" t="s">
        <v>838</v>
      </c>
      <c r="S304" t="s">
        <v>2595</v>
      </c>
      <c r="T304">
        <f>'Assessment Questions'!W304</f>
        <v>0</v>
      </c>
      <c r="U304">
        <f>'Assessment Questions'!X304</f>
        <v>0</v>
      </c>
      <c r="V304" t="str">
        <f>'Assessment Questions'!Y304</f>
        <v>Use the recommended action generated by the model; validate with domain owner during real assessment.</v>
      </c>
      <c r="W304">
        <v>5</v>
      </c>
      <c r="X304">
        <v>5</v>
      </c>
      <c r="Y304">
        <v>5</v>
      </c>
      <c r="Z304">
        <f>'Assessment Questions'!AC304</f>
        <v>0</v>
      </c>
      <c r="AB304">
        <f t="shared" si="123"/>
        <v>0</v>
      </c>
      <c r="AC304">
        <f t="shared" si="124"/>
        <v>0</v>
      </c>
      <c r="AD304">
        <f t="shared" si="109"/>
        <v>0</v>
      </c>
      <c r="AE304">
        <f t="shared" si="125"/>
        <v>0</v>
      </c>
      <c r="AF304">
        <f t="shared" si="110"/>
        <v>5</v>
      </c>
      <c r="AG304">
        <f t="shared" si="126"/>
        <v>0</v>
      </c>
      <c r="AH304">
        <f>'Assessment Questions'!AK304</f>
        <v>0</v>
      </c>
      <c r="AI304">
        <f>'Assessment Questions'!AL304</f>
        <v>0</v>
      </c>
      <c r="AJ304">
        <f>IF(OR($H304="",$H304="N/A"),"",IF($AH304="",VLOOKUP('Company Profile'!$B$40,_CONFIG_Model_Settings!$A$5:$B$8,2,FALSE),IFERROR(VLOOKUP($AH304,_CONFIG_Model_Settings!$A$5:$B$8,2,FALSE),0.9)))</f>
        <v>0.9</v>
      </c>
      <c r="AK304">
        <f>IF(OR($H304="",$H304="N/A"),"",IF($AI304="",VLOOKUP('Company Profile'!$B$41,_CONFIG_Model_Settings!$A$5:$B$8,2,FALSE),IFERROR(VLOOKUP($AI304,_CONFIG_Model_Settings!$A$5:$B$8,2,FALSE),0.9)))</f>
        <v>0.9</v>
      </c>
      <c r="AL304">
        <f t="shared" si="111"/>
        <v>0</v>
      </c>
      <c r="AM304">
        <f t="shared" si="112"/>
        <v>0</v>
      </c>
      <c r="AN304">
        <f>IFERROR(MIN(5,MAX(0,(SUMIFS(_REF_Model_Content!$D$1:$D$174,_REF_Model_Content!$A$1:$A$174,PV_Canonical_Industry,_REF_Model_Content!$B$1:$B$174,"IT Cloud DR"))+IFERROR(VLOOKUP('Company Profile'!$B$35,_CONFIG_Model_Settings!$A$11:$B$13,2,0),0))),"")</f>
        <v>0</v>
      </c>
      <c r="AO304">
        <f t="shared" si="113"/>
        <v>0</v>
      </c>
      <c r="AP304">
        <f>IFERROR(SUMIFS(_REF_Model_Content!$E$1:$E$174,_REF_Model_Content!$A$1:$A$174,PV_Canonical_Industry,_REF_Model_Content!$B$1:$B$174,"IT Cloud DR"),1)</f>
        <v>0</v>
      </c>
      <c r="AQ304">
        <f t="shared" si="114"/>
        <v>0</v>
      </c>
      <c r="AR304" t="str">
        <f t="shared" si="115"/>
        <v>Within target</v>
      </c>
      <c r="AS304">
        <f t="shared" si="116"/>
        <v>0</v>
      </c>
      <c r="AT304">
        <f t="shared" si="117"/>
        <v>0.9</v>
      </c>
      <c r="AU304">
        <f>'Assessment Questions'!AX304</f>
        <v>0</v>
      </c>
      <c r="AV304">
        <f t="shared" si="118"/>
        <v>0.9</v>
      </c>
      <c r="AW304" t="s">
        <v>2588</v>
      </c>
      <c r="AX304" t="s">
        <v>2588</v>
      </c>
      <c r="AY304">
        <v>12</v>
      </c>
      <c r="AZ304">
        <v>304</v>
      </c>
    </row>
    <row r="305" spans="1:52">
      <c r="A305" t="s">
        <v>2639</v>
      </c>
      <c r="B305" t="s">
        <v>2599</v>
      </c>
      <c r="C305" t="s">
        <v>2640</v>
      </c>
      <c r="D305" t="s">
        <v>2592</v>
      </c>
      <c r="E305" t="s">
        <v>2593</v>
      </c>
      <c r="F305" t="s">
        <v>2641</v>
      </c>
      <c r="G305">
        <f>'Assessment Questions'!J305</f>
        <v>5</v>
      </c>
      <c r="H305">
        <f t="shared" si="104"/>
        <v>0</v>
      </c>
      <c r="I305">
        <f t="shared" si="105"/>
        <v>0</v>
      </c>
      <c r="J305">
        <f t="shared" si="106"/>
        <v>5</v>
      </c>
      <c r="K305">
        <f t="shared" si="107"/>
        <v>5</v>
      </c>
      <c r="L305" t="str">
        <f t="shared" si="108"/>
        <v>Critical</v>
      </c>
      <c r="M305" t="s">
        <v>833</v>
      </c>
      <c r="N305" t="s">
        <v>834</v>
      </c>
      <c r="O305" t="s">
        <v>835</v>
      </c>
      <c r="P305" t="s">
        <v>836</v>
      </c>
      <c r="Q305" t="s">
        <v>837</v>
      </c>
      <c r="R305" t="s">
        <v>838</v>
      </c>
      <c r="S305" t="s">
        <v>2595</v>
      </c>
      <c r="T305">
        <f>'Assessment Questions'!W305</f>
        <v>0</v>
      </c>
      <c r="U305">
        <f>'Assessment Questions'!X305</f>
        <v>0</v>
      </c>
      <c r="V305" t="str">
        <f>'Assessment Questions'!Y305</f>
        <v>Use the recommended action generated by the model; validate with domain owner during real assessment.</v>
      </c>
      <c r="W305">
        <v>5</v>
      </c>
      <c r="X305">
        <v>5</v>
      </c>
      <c r="Y305">
        <v>5</v>
      </c>
      <c r="Z305">
        <f>'Assessment Questions'!AC305</f>
        <v>0</v>
      </c>
      <c r="AB305">
        <f t="shared" si="123"/>
        <v>0</v>
      </c>
      <c r="AC305">
        <f t="shared" si="124"/>
        <v>0</v>
      </c>
      <c r="AD305">
        <f t="shared" si="109"/>
        <v>0</v>
      </c>
      <c r="AE305">
        <f t="shared" si="125"/>
        <v>0</v>
      </c>
      <c r="AF305">
        <f t="shared" si="110"/>
        <v>5</v>
      </c>
      <c r="AG305">
        <f t="shared" si="126"/>
        <v>0</v>
      </c>
      <c r="AH305">
        <f>'Assessment Questions'!AK305</f>
        <v>0</v>
      </c>
      <c r="AI305">
        <f>'Assessment Questions'!AL305</f>
        <v>0</v>
      </c>
      <c r="AJ305">
        <f>IF(OR($H305="",$H305="N/A"),"",IF($AH305="",VLOOKUP('Company Profile'!$B$40,_CONFIG_Model_Settings!$A$5:$B$8,2,FALSE),IFERROR(VLOOKUP($AH305,_CONFIG_Model_Settings!$A$5:$B$8,2,FALSE),0.9)))</f>
        <v>0.9</v>
      </c>
      <c r="AK305">
        <f>IF(OR($H305="",$H305="N/A"),"",IF($AI305="",VLOOKUP('Company Profile'!$B$41,_CONFIG_Model_Settings!$A$5:$B$8,2,FALSE),IFERROR(VLOOKUP($AI305,_CONFIG_Model_Settings!$A$5:$B$8,2,FALSE),0.9)))</f>
        <v>0.9</v>
      </c>
      <c r="AL305">
        <f t="shared" si="111"/>
        <v>0</v>
      </c>
      <c r="AM305">
        <f t="shared" si="112"/>
        <v>0</v>
      </c>
      <c r="AN305">
        <f>IFERROR(MIN(5,MAX(0,(SUMIFS(_REF_Model_Content!$D$1:$D$174,_REF_Model_Content!$A$1:$A$174,PV_Canonical_Industry,_REF_Model_Content!$B$1:$B$174,"IT Cloud DR"))+IFERROR(VLOOKUP('Company Profile'!$B$35,_CONFIG_Model_Settings!$A$11:$B$13,2,0),0))),"")</f>
        <v>0</v>
      </c>
      <c r="AO305">
        <f t="shared" si="113"/>
        <v>0</v>
      </c>
      <c r="AP305">
        <f>IFERROR(SUMIFS(_REF_Model_Content!$E$1:$E$174,_REF_Model_Content!$A$1:$A$174,PV_Canonical_Industry,_REF_Model_Content!$B$1:$B$174,"IT Cloud DR"),1)</f>
        <v>0</v>
      </c>
      <c r="AQ305">
        <f t="shared" si="114"/>
        <v>0</v>
      </c>
      <c r="AR305" t="str">
        <f t="shared" si="115"/>
        <v>Within target</v>
      </c>
      <c r="AS305">
        <f t="shared" si="116"/>
        <v>0</v>
      </c>
      <c r="AT305">
        <f t="shared" si="117"/>
        <v>0.9</v>
      </c>
      <c r="AU305">
        <f>'Assessment Questions'!AX305</f>
        <v>0</v>
      </c>
      <c r="AV305">
        <f t="shared" si="118"/>
        <v>0.9</v>
      </c>
      <c r="AW305" t="s">
        <v>2588</v>
      </c>
      <c r="AX305" t="s">
        <v>2588</v>
      </c>
      <c r="AY305">
        <v>13</v>
      </c>
      <c r="AZ305">
        <v>305</v>
      </c>
    </row>
    <row r="306" spans="1:52">
      <c r="A306" t="s">
        <v>2642</v>
      </c>
      <c r="B306" t="s">
        <v>2599</v>
      </c>
      <c r="C306" t="s">
        <v>2643</v>
      </c>
      <c r="D306" t="s">
        <v>2592</v>
      </c>
      <c r="E306" t="s">
        <v>2593</v>
      </c>
      <c r="F306" t="s">
        <v>2644</v>
      </c>
      <c r="G306">
        <f>'Assessment Questions'!J306</f>
        <v>5</v>
      </c>
      <c r="H306">
        <f t="shared" si="104"/>
        <v>0</v>
      </c>
      <c r="I306">
        <f t="shared" si="105"/>
        <v>0</v>
      </c>
      <c r="J306">
        <f t="shared" si="106"/>
        <v>5</v>
      </c>
      <c r="K306">
        <f t="shared" si="107"/>
        <v>5</v>
      </c>
      <c r="L306" t="str">
        <f t="shared" si="108"/>
        <v>Critical</v>
      </c>
      <c r="M306" t="s">
        <v>1069</v>
      </c>
      <c r="N306" t="s">
        <v>1070</v>
      </c>
      <c r="O306" t="s">
        <v>1071</v>
      </c>
      <c r="P306" t="s">
        <v>1072</v>
      </c>
      <c r="Q306" t="s">
        <v>1073</v>
      </c>
      <c r="R306" t="s">
        <v>1074</v>
      </c>
      <c r="S306" t="s">
        <v>2595</v>
      </c>
      <c r="T306">
        <f>'Assessment Questions'!W306</f>
        <v>0</v>
      </c>
      <c r="U306">
        <f>'Assessment Questions'!X306</f>
        <v>0</v>
      </c>
      <c r="V306" t="str">
        <f>'Assessment Questions'!Y306</f>
        <v>Use the recommended action generated by the model; validate with domain owner during real assessment.</v>
      </c>
      <c r="W306">
        <v>5</v>
      </c>
      <c r="X306">
        <v>5</v>
      </c>
      <c r="Y306">
        <v>5</v>
      </c>
      <c r="Z306">
        <f>'Assessment Questions'!AC306</f>
        <v>0</v>
      </c>
      <c r="AB306">
        <f t="shared" si="123"/>
        <v>0</v>
      </c>
      <c r="AC306">
        <f t="shared" si="124"/>
        <v>0</v>
      </c>
      <c r="AD306">
        <f t="shared" si="109"/>
        <v>0</v>
      </c>
      <c r="AE306">
        <f t="shared" si="125"/>
        <v>0</v>
      </c>
      <c r="AF306">
        <f t="shared" si="110"/>
        <v>5</v>
      </c>
      <c r="AG306">
        <f t="shared" si="126"/>
        <v>0</v>
      </c>
      <c r="AH306">
        <f>'Assessment Questions'!AK306</f>
        <v>0</v>
      </c>
      <c r="AI306">
        <f>'Assessment Questions'!AL306</f>
        <v>0</v>
      </c>
      <c r="AJ306">
        <f>IF(OR($H306="",$H306="N/A"),"",IF($AH306="",VLOOKUP('Company Profile'!$B$40,_CONFIG_Model_Settings!$A$5:$B$8,2,FALSE),IFERROR(VLOOKUP($AH306,_CONFIG_Model_Settings!$A$5:$B$8,2,FALSE),0.9)))</f>
        <v>0.9</v>
      </c>
      <c r="AK306">
        <f>IF(OR($H306="",$H306="N/A"),"",IF($AI306="",VLOOKUP('Company Profile'!$B$41,_CONFIG_Model_Settings!$A$5:$B$8,2,FALSE),IFERROR(VLOOKUP($AI306,_CONFIG_Model_Settings!$A$5:$B$8,2,FALSE),0.9)))</f>
        <v>0.9</v>
      </c>
      <c r="AL306">
        <f t="shared" si="111"/>
        <v>0</v>
      </c>
      <c r="AM306">
        <f t="shared" si="112"/>
        <v>0</v>
      </c>
      <c r="AN306">
        <f>IFERROR(MIN(5,MAX(0,(SUMIFS(_REF_Model_Content!$D$1:$D$174,_REF_Model_Content!$A$1:$A$174,PV_Canonical_Industry,_REF_Model_Content!$B$1:$B$174,"IT Cloud DR"))+IFERROR(VLOOKUP('Company Profile'!$B$35,_CONFIG_Model_Settings!$A$11:$B$13,2,0),0))),"")</f>
        <v>0</v>
      </c>
      <c r="AO306">
        <f t="shared" si="113"/>
        <v>0</v>
      </c>
      <c r="AP306">
        <f>IFERROR(SUMIFS(_REF_Model_Content!$E$1:$E$174,_REF_Model_Content!$A$1:$A$174,PV_Canonical_Industry,_REF_Model_Content!$B$1:$B$174,"IT Cloud DR"),1)</f>
        <v>0</v>
      </c>
      <c r="AQ306">
        <f t="shared" si="114"/>
        <v>0</v>
      </c>
      <c r="AR306" t="str">
        <f t="shared" si="115"/>
        <v>Within target</v>
      </c>
      <c r="AS306">
        <f t="shared" si="116"/>
        <v>0</v>
      </c>
      <c r="AT306">
        <f t="shared" si="117"/>
        <v>0.9</v>
      </c>
      <c r="AU306">
        <f>'Assessment Questions'!AX306</f>
        <v>0</v>
      </c>
      <c r="AV306">
        <f t="shared" si="118"/>
        <v>0.9</v>
      </c>
      <c r="AW306" t="s">
        <v>2588</v>
      </c>
      <c r="AX306" t="s">
        <v>2588</v>
      </c>
      <c r="AY306">
        <v>14</v>
      </c>
      <c r="AZ306">
        <v>306</v>
      </c>
    </row>
    <row r="307" spans="1:52">
      <c r="A307" t="s">
        <v>2645</v>
      </c>
      <c r="B307" t="s">
        <v>2599</v>
      </c>
      <c r="C307" t="s">
        <v>2646</v>
      </c>
      <c r="D307" t="s">
        <v>2592</v>
      </c>
      <c r="E307" t="s">
        <v>2593</v>
      </c>
      <c r="F307" t="s">
        <v>2647</v>
      </c>
      <c r="G307">
        <f>'Assessment Questions'!J307</f>
        <v>5</v>
      </c>
      <c r="H307">
        <f t="shared" si="104"/>
        <v>0</v>
      </c>
      <c r="I307">
        <f t="shared" si="105"/>
        <v>0</v>
      </c>
      <c r="J307">
        <f t="shared" si="106"/>
        <v>5</v>
      </c>
      <c r="K307">
        <f t="shared" si="107"/>
        <v>5</v>
      </c>
      <c r="L307" t="str">
        <f t="shared" si="108"/>
        <v>Critical</v>
      </c>
      <c r="M307" t="s">
        <v>1202</v>
      </c>
      <c r="N307" t="s">
        <v>1203</v>
      </c>
      <c r="O307" t="s">
        <v>1204</v>
      </c>
      <c r="P307" t="s">
        <v>1205</v>
      </c>
      <c r="Q307" t="s">
        <v>1206</v>
      </c>
      <c r="R307" t="s">
        <v>1207</v>
      </c>
      <c r="S307" t="s">
        <v>2595</v>
      </c>
      <c r="T307">
        <f>'Assessment Questions'!W307</f>
        <v>0</v>
      </c>
      <c r="U307">
        <f>'Assessment Questions'!X307</f>
        <v>0</v>
      </c>
      <c r="V307" t="str">
        <f>'Assessment Questions'!Y307</f>
        <v>Use the recommended action generated by the model; validate with domain owner during real assessment.</v>
      </c>
      <c r="W307">
        <v>5</v>
      </c>
      <c r="X307">
        <v>5</v>
      </c>
      <c r="Y307">
        <v>5</v>
      </c>
      <c r="Z307">
        <f>'Assessment Questions'!AC307</f>
        <v>0</v>
      </c>
      <c r="AB307">
        <f t="shared" si="123"/>
        <v>0</v>
      </c>
      <c r="AC307">
        <f t="shared" si="124"/>
        <v>0</v>
      </c>
      <c r="AD307">
        <f t="shared" si="109"/>
        <v>0</v>
      </c>
      <c r="AE307">
        <f t="shared" si="125"/>
        <v>0</v>
      </c>
      <c r="AF307">
        <f t="shared" si="110"/>
        <v>5</v>
      </c>
      <c r="AG307">
        <f t="shared" si="126"/>
        <v>0</v>
      </c>
      <c r="AH307">
        <f>'Assessment Questions'!AK307</f>
        <v>0</v>
      </c>
      <c r="AI307">
        <f>'Assessment Questions'!AL307</f>
        <v>0</v>
      </c>
      <c r="AJ307">
        <f>IF(OR($H307="",$H307="N/A"),"",IF($AH307="",VLOOKUP('Company Profile'!$B$40,_CONFIG_Model_Settings!$A$5:$B$8,2,FALSE),IFERROR(VLOOKUP($AH307,_CONFIG_Model_Settings!$A$5:$B$8,2,FALSE),0.9)))</f>
        <v>0.9</v>
      </c>
      <c r="AK307">
        <f>IF(OR($H307="",$H307="N/A"),"",IF($AI307="",VLOOKUP('Company Profile'!$B$41,_CONFIG_Model_Settings!$A$5:$B$8,2,FALSE),IFERROR(VLOOKUP($AI307,_CONFIG_Model_Settings!$A$5:$B$8,2,FALSE),0.9)))</f>
        <v>0.9</v>
      </c>
      <c r="AL307">
        <f t="shared" si="111"/>
        <v>0</v>
      </c>
      <c r="AM307">
        <f t="shared" si="112"/>
        <v>0</v>
      </c>
      <c r="AN307">
        <f>IFERROR(MIN(5,MAX(0,(SUMIFS(_REF_Model_Content!$D$1:$D$174,_REF_Model_Content!$A$1:$A$174,PV_Canonical_Industry,_REF_Model_Content!$B$1:$B$174,"IT Cloud DR"))+IFERROR(VLOOKUP('Company Profile'!$B$35,_CONFIG_Model_Settings!$A$11:$B$13,2,0),0))),"")</f>
        <v>0</v>
      </c>
      <c r="AO307">
        <f t="shared" si="113"/>
        <v>0</v>
      </c>
      <c r="AP307">
        <f>IFERROR(SUMIFS(_REF_Model_Content!$E$1:$E$174,_REF_Model_Content!$A$1:$A$174,PV_Canonical_Industry,_REF_Model_Content!$B$1:$B$174,"IT Cloud DR"),1)</f>
        <v>0</v>
      </c>
      <c r="AQ307">
        <f t="shared" si="114"/>
        <v>0</v>
      </c>
      <c r="AR307" t="str">
        <f t="shared" si="115"/>
        <v>Within target</v>
      </c>
      <c r="AS307">
        <f t="shared" si="116"/>
        <v>0</v>
      </c>
      <c r="AT307">
        <f t="shared" si="117"/>
        <v>0.9</v>
      </c>
      <c r="AU307">
        <f>'Assessment Questions'!AX307</f>
        <v>0</v>
      </c>
      <c r="AV307">
        <f t="shared" si="118"/>
        <v>0.9</v>
      </c>
      <c r="AW307" t="s">
        <v>2588</v>
      </c>
      <c r="AX307" t="s">
        <v>2588</v>
      </c>
      <c r="AY307">
        <v>15</v>
      </c>
      <c r="AZ307">
        <v>307</v>
      </c>
    </row>
    <row r="308" spans="1:52">
      <c r="A308" t="s">
        <v>2648</v>
      </c>
      <c r="B308" t="s">
        <v>2609</v>
      </c>
      <c r="C308" t="s">
        <v>2649</v>
      </c>
      <c r="D308" t="s">
        <v>2592</v>
      </c>
      <c r="E308" t="s">
        <v>2593</v>
      </c>
      <c r="F308" t="s">
        <v>2650</v>
      </c>
      <c r="G308">
        <f>'Assessment Questions'!J308</f>
        <v>5</v>
      </c>
      <c r="H308">
        <f t="shared" si="104"/>
        <v>0</v>
      </c>
      <c r="I308">
        <f t="shared" si="105"/>
        <v>0</v>
      </c>
      <c r="J308">
        <f t="shared" si="106"/>
        <v>5</v>
      </c>
      <c r="K308">
        <f t="shared" si="107"/>
        <v>5</v>
      </c>
      <c r="L308" t="str">
        <f t="shared" si="108"/>
        <v>Critical</v>
      </c>
      <c r="M308" t="s">
        <v>833</v>
      </c>
      <c r="N308" t="s">
        <v>834</v>
      </c>
      <c r="O308" t="s">
        <v>835</v>
      </c>
      <c r="P308" t="s">
        <v>836</v>
      </c>
      <c r="Q308" t="s">
        <v>837</v>
      </c>
      <c r="R308" t="s">
        <v>838</v>
      </c>
      <c r="S308" t="s">
        <v>2595</v>
      </c>
      <c r="T308">
        <f>'Assessment Questions'!W308</f>
        <v>0</v>
      </c>
      <c r="U308">
        <f>'Assessment Questions'!X308</f>
        <v>0</v>
      </c>
      <c r="V308" t="str">
        <f>'Assessment Questions'!Y308</f>
        <v>Use the recommended action generated by the model; validate with domain owner during real assessment.</v>
      </c>
      <c r="W308">
        <v>5</v>
      </c>
      <c r="X308">
        <v>5</v>
      </c>
      <c r="Y308">
        <v>5</v>
      </c>
      <c r="Z308">
        <f>'Assessment Questions'!AC308</f>
        <v>0</v>
      </c>
      <c r="AB308">
        <f t="shared" si="123"/>
        <v>0</v>
      </c>
      <c r="AC308">
        <f t="shared" si="124"/>
        <v>0</v>
      </c>
      <c r="AD308">
        <f t="shared" si="109"/>
        <v>0</v>
      </c>
      <c r="AE308">
        <f t="shared" si="125"/>
        <v>0</v>
      </c>
      <c r="AF308">
        <f t="shared" si="110"/>
        <v>5</v>
      </c>
      <c r="AG308">
        <f t="shared" si="126"/>
        <v>0</v>
      </c>
      <c r="AH308">
        <f>'Assessment Questions'!AK308</f>
        <v>0</v>
      </c>
      <c r="AI308">
        <f>'Assessment Questions'!AL308</f>
        <v>0</v>
      </c>
      <c r="AJ308">
        <f>IF(OR($H308="",$H308="N/A"),"",IF($AH308="",VLOOKUP('Company Profile'!$B$40,_CONFIG_Model_Settings!$A$5:$B$8,2,FALSE),IFERROR(VLOOKUP($AH308,_CONFIG_Model_Settings!$A$5:$B$8,2,FALSE),0.9)))</f>
        <v>0.9</v>
      </c>
      <c r="AK308">
        <f>IF(OR($H308="",$H308="N/A"),"",IF($AI308="",VLOOKUP('Company Profile'!$B$41,_CONFIG_Model_Settings!$A$5:$B$8,2,FALSE),IFERROR(VLOOKUP($AI308,_CONFIG_Model_Settings!$A$5:$B$8,2,FALSE),0.9)))</f>
        <v>0.9</v>
      </c>
      <c r="AL308">
        <f t="shared" si="111"/>
        <v>0</v>
      </c>
      <c r="AM308">
        <f t="shared" si="112"/>
        <v>0</v>
      </c>
      <c r="AN308">
        <f>IFERROR(MIN(5,MAX(0,(SUMIFS(_REF_Model_Content!$D$1:$D$174,_REF_Model_Content!$A$1:$A$174,PV_Canonical_Industry,_REF_Model_Content!$B$1:$B$174,"IT Cloud DR"))+IFERROR(VLOOKUP('Company Profile'!$B$35,_CONFIG_Model_Settings!$A$11:$B$13,2,0),0))),"")</f>
        <v>0</v>
      </c>
      <c r="AO308">
        <f t="shared" si="113"/>
        <v>0</v>
      </c>
      <c r="AP308">
        <f>IFERROR(SUMIFS(_REF_Model_Content!$E$1:$E$174,_REF_Model_Content!$A$1:$A$174,PV_Canonical_Industry,_REF_Model_Content!$B$1:$B$174,"IT Cloud DR"),1)</f>
        <v>0</v>
      </c>
      <c r="AQ308">
        <f t="shared" si="114"/>
        <v>0</v>
      </c>
      <c r="AR308" t="str">
        <f t="shared" si="115"/>
        <v>Within target</v>
      </c>
      <c r="AS308">
        <f t="shared" si="116"/>
        <v>0</v>
      </c>
      <c r="AT308">
        <f t="shared" si="117"/>
        <v>0.9</v>
      </c>
      <c r="AU308">
        <f>'Assessment Questions'!AX308</f>
        <v>0</v>
      </c>
      <c r="AV308">
        <f t="shared" si="118"/>
        <v>0.9</v>
      </c>
      <c r="AW308" t="s">
        <v>2588</v>
      </c>
      <c r="AX308" t="s">
        <v>2588</v>
      </c>
      <c r="AY308">
        <v>16</v>
      </c>
      <c r="AZ308">
        <v>308</v>
      </c>
    </row>
    <row r="309" spans="1:52">
      <c r="A309" t="s">
        <v>2651</v>
      </c>
      <c r="B309" t="s">
        <v>2609</v>
      </c>
      <c r="C309" t="s">
        <v>2652</v>
      </c>
      <c r="D309" t="s">
        <v>2592</v>
      </c>
      <c r="E309" t="s">
        <v>2593</v>
      </c>
      <c r="F309" t="s">
        <v>2653</v>
      </c>
      <c r="G309">
        <f>'Assessment Questions'!J309</f>
        <v>5</v>
      </c>
      <c r="H309">
        <f t="shared" si="104"/>
        <v>0</v>
      </c>
      <c r="I309">
        <f t="shared" si="105"/>
        <v>0</v>
      </c>
      <c r="J309">
        <f t="shared" si="106"/>
        <v>5</v>
      </c>
      <c r="K309">
        <f t="shared" si="107"/>
        <v>5</v>
      </c>
      <c r="L309" t="str">
        <f t="shared" si="108"/>
        <v>Critical</v>
      </c>
      <c r="M309" t="s">
        <v>2654</v>
      </c>
      <c r="N309" t="s">
        <v>2655</v>
      </c>
      <c r="O309" t="s">
        <v>2656</v>
      </c>
      <c r="P309" t="s">
        <v>2657</v>
      </c>
      <c r="Q309" t="s">
        <v>2658</v>
      </c>
      <c r="R309" t="s">
        <v>2659</v>
      </c>
      <c r="S309" t="s">
        <v>2595</v>
      </c>
      <c r="T309">
        <f>'Assessment Questions'!W309</f>
        <v>0</v>
      </c>
      <c r="U309">
        <f>'Assessment Questions'!X309</f>
        <v>0</v>
      </c>
      <c r="V309" t="str">
        <f>'Assessment Questions'!Y309</f>
        <v>Use the recommended action generated by the model; validate with domain owner during real assessment.</v>
      </c>
      <c r="W309">
        <v>5</v>
      </c>
      <c r="X309">
        <v>5</v>
      </c>
      <c r="Y309">
        <v>5</v>
      </c>
      <c r="Z309">
        <f>'Assessment Questions'!AC309</f>
        <v>0</v>
      </c>
      <c r="AB309">
        <f t="shared" si="123"/>
        <v>0</v>
      </c>
      <c r="AC309">
        <f t="shared" si="124"/>
        <v>0</v>
      </c>
      <c r="AD309">
        <f t="shared" si="109"/>
        <v>0</v>
      </c>
      <c r="AE309">
        <f t="shared" si="125"/>
        <v>0</v>
      </c>
      <c r="AF309">
        <f t="shared" si="110"/>
        <v>5</v>
      </c>
      <c r="AG309">
        <f t="shared" si="126"/>
        <v>0</v>
      </c>
      <c r="AH309">
        <f>'Assessment Questions'!AK309</f>
        <v>0</v>
      </c>
      <c r="AI309">
        <f>'Assessment Questions'!AL309</f>
        <v>0</v>
      </c>
      <c r="AJ309">
        <f>IF(OR($H309="",$H309="N/A"),"",IF($AH309="",VLOOKUP('Company Profile'!$B$40,_CONFIG_Model_Settings!$A$5:$B$8,2,FALSE),IFERROR(VLOOKUP($AH309,_CONFIG_Model_Settings!$A$5:$B$8,2,FALSE),0.9)))</f>
        <v>0.9</v>
      </c>
      <c r="AK309">
        <f>IF(OR($H309="",$H309="N/A"),"",IF($AI309="",VLOOKUP('Company Profile'!$B$41,_CONFIG_Model_Settings!$A$5:$B$8,2,FALSE),IFERROR(VLOOKUP($AI309,_CONFIG_Model_Settings!$A$5:$B$8,2,FALSE),0.9)))</f>
        <v>0.9</v>
      </c>
      <c r="AL309">
        <f t="shared" si="111"/>
        <v>0</v>
      </c>
      <c r="AM309">
        <f t="shared" si="112"/>
        <v>0</v>
      </c>
      <c r="AN309">
        <f>IFERROR(MIN(5,MAX(0,(SUMIFS(_REF_Model_Content!$D$1:$D$174,_REF_Model_Content!$A$1:$A$174,PV_Canonical_Industry,_REF_Model_Content!$B$1:$B$174,"IT Cloud DR"))+IFERROR(VLOOKUP('Company Profile'!$B$35,_CONFIG_Model_Settings!$A$11:$B$13,2,0),0))),"")</f>
        <v>0</v>
      </c>
      <c r="AO309">
        <f t="shared" si="113"/>
        <v>0</v>
      </c>
      <c r="AP309">
        <f>IFERROR(SUMIFS(_REF_Model_Content!$E$1:$E$174,_REF_Model_Content!$A$1:$A$174,PV_Canonical_Industry,_REF_Model_Content!$B$1:$B$174,"IT Cloud DR"),1)</f>
        <v>0</v>
      </c>
      <c r="AQ309">
        <f t="shared" si="114"/>
        <v>0</v>
      </c>
      <c r="AR309" t="str">
        <f t="shared" si="115"/>
        <v>Within target</v>
      </c>
      <c r="AS309">
        <f t="shared" si="116"/>
        <v>0</v>
      </c>
      <c r="AT309">
        <f t="shared" si="117"/>
        <v>0.9</v>
      </c>
      <c r="AU309">
        <f>'Assessment Questions'!AX309</f>
        <v>0</v>
      </c>
      <c r="AV309">
        <f t="shared" si="118"/>
        <v>0.9</v>
      </c>
      <c r="AW309" t="s">
        <v>2588</v>
      </c>
      <c r="AX309" t="s">
        <v>2588</v>
      </c>
      <c r="AY309">
        <v>17</v>
      </c>
      <c r="AZ309">
        <v>309</v>
      </c>
    </row>
    <row r="310" spans="1:52">
      <c r="A310" t="s">
        <v>2660</v>
      </c>
      <c r="B310" t="s">
        <v>2609</v>
      </c>
      <c r="C310" t="s">
        <v>2661</v>
      </c>
      <c r="D310" t="s">
        <v>2592</v>
      </c>
      <c r="E310" t="s">
        <v>2593</v>
      </c>
      <c r="F310" t="s">
        <v>2662</v>
      </c>
      <c r="G310">
        <f>'Assessment Questions'!J310</f>
        <v>5</v>
      </c>
      <c r="H310">
        <f t="shared" si="104"/>
        <v>0</v>
      </c>
      <c r="I310">
        <f t="shared" si="105"/>
        <v>0</v>
      </c>
      <c r="J310">
        <f t="shared" si="106"/>
        <v>5</v>
      </c>
      <c r="K310">
        <f t="shared" si="107"/>
        <v>5</v>
      </c>
      <c r="L310" t="str">
        <f t="shared" si="108"/>
        <v>Critical</v>
      </c>
      <c r="M310" t="s">
        <v>874</v>
      </c>
      <c r="N310" t="s">
        <v>875</v>
      </c>
      <c r="O310" t="s">
        <v>876</v>
      </c>
      <c r="P310" t="s">
        <v>877</v>
      </c>
      <c r="Q310" t="s">
        <v>878</v>
      </c>
      <c r="R310" t="s">
        <v>879</v>
      </c>
      <c r="S310" t="s">
        <v>2595</v>
      </c>
      <c r="T310">
        <f>'Assessment Questions'!W310</f>
        <v>0</v>
      </c>
      <c r="U310">
        <f>'Assessment Questions'!X310</f>
        <v>0</v>
      </c>
      <c r="V310" t="str">
        <f>'Assessment Questions'!Y310</f>
        <v>Use the recommended action generated by the model; validate with domain owner during real assessment.</v>
      </c>
      <c r="W310">
        <v>5</v>
      </c>
      <c r="X310">
        <v>5</v>
      </c>
      <c r="Y310">
        <v>5</v>
      </c>
      <c r="Z310">
        <f>'Assessment Questions'!AC310</f>
        <v>0</v>
      </c>
      <c r="AB310">
        <f t="shared" si="123"/>
        <v>0</v>
      </c>
      <c r="AC310">
        <f t="shared" si="124"/>
        <v>0</v>
      </c>
      <c r="AD310">
        <f t="shared" si="109"/>
        <v>0</v>
      </c>
      <c r="AE310">
        <f t="shared" si="125"/>
        <v>0</v>
      </c>
      <c r="AF310">
        <f t="shared" si="110"/>
        <v>5</v>
      </c>
      <c r="AG310">
        <f t="shared" si="126"/>
        <v>0</v>
      </c>
      <c r="AH310">
        <f>'Assessment Questions'!AK310</f>
        <v>0</v>
      </c>
      <c r="AI310">
        <f>'Assessment Questions'!AL310</f>
        <v>0</v>
      </c>
      <c r="AJ310">
        <f>IF(OR($H310="",$H310="N/A"),"",IF($AH310="",VLOOKUP('Company Profile'!$B$40,_CONFIG_Model_Settings!$A$5:$B$8,2,FALSE),IFERROR(VLOOKUP($AH310,_CONFIG_Model_Settings!$A$5:$B$8,2,FALSE),0.9)))</f>
        <v>0.9</v>
      </c>
      <c r="AK310">
        <f>IF(OR($H310="",$H310="N/A"),"",IF($AI310="",VLOOKUP('Company Profile'!$B$41,_CONFIG_Model_Settings!$A$5:$B$8,2,FALSE),IFERROR(VLOOKUP($AI310,_CONFIG_Model_Settings!$A$5:$B$8,2,FALSE),0.9)))</f>
        <v>0.9</v>
      </c>
      <c r="AL310">
        <f t="shared" si="111"/>
        <v>0</v>
      </c>
      <c r="AM310">
        <f t="shared" si="112"/>
        <v>0</v>
      </c>
      <c r="AN310">
        <f>IFERROR(MIN(5,MAX(0,(SUMIFS(_REF_Model_Content!$D$1:$D$174,_REF_Model_Content!$A$1:$A$174,PV_Canonical_Industry,_REF_Model_Content!$B$1:$B$174,"IT Cloud DR"))+IFERROR(VLOOKUP('Company Profile'!$B$35,_CONFIG_Model_Settings!$A$11:$B$13,2,0),0))),"")</f>
        <v>0</v>
      </c>
      <c r="AO310">
        <f t="shared" si="113"/>
        <v>0</v>
      </c>
      <c r="AP310">
        <f>IFERROR(SUMIFS(_REF_Model_Content!$E$1:$E$174,_REF_Model_Content!$A$1:$A$174,PV_Canonical_Industry,_REF_Model_Content!$B$1:$B$174,"IT Cloud DR"),1)</f>
        <v>0</v>
      </c>
      <c r="AQ310">
        <f t="shared" si="114"/>
        <v>0</v>
      </c>
      <c r="AR310" t="str">
        <f t="shared" si="115"/>
        <v>Within target</v>
      </c>
      <c r="AS310">
        <f t="shared" si="116"/>
        <v>0</v>
      </c>
      <c r="AT310">
        <f t="shared" si="117"/>
        <v>0.9</v>
      </c>
      <c r="AU310">
        <f>'Assessment Questions'!AX310</f>
        <v>0</v>
      </c>
      <c r="AV310">
        <f t="shared" si="118"/>
        <v>0.9</v>
      </c>
      <c r="AW310" t="s">
        <v>2588</v>
      </c>
      <c r="AX310" t="s">
        <v>2588</v>
      </c>
      <c r="AY310">
        <v>18</v>
      </c>
      <c r="AZ310">
        <v>310</v>
      </c>
    </row>
    <row r="311" spans="1:52">
      <c r="A311" t="s">
        <v>2663</v>
      </c>
      <c r="B311" t="s">
        <v>2609</v>
      </c>
      <c r="C311" t="s">
        <v>2664</v>
      </c>
      <c r="D311" t="s">
        <v>2592</v>
      </c>
      <c r="E311" t="s">
        <v>2593</v>
      </c>
      <c r="F311" t="s">
        <v>2665</v>
      </c>
      <c r="G311">
        <f>'Assessment Questions'!J311</f>
        <v>5</v>
      </c>
      <c r="H311">
        <f t="shared" si="104"/>
        <v>0</v>
      </c>
      <c r="I311">
        <f t="shared" si="105"/>
        <v>0</v>
      </c>
      <c r="J311">
        <f t="shared" si="106"/>
        <v>5</v>
      </c>
      <c r="K311">
        <f t="shared" si="107"/>
        <v>5</v>
      </c>
      <c r="L311" t="str">
        <f t="shared" si="108"/>
        <v>Critical</v>
      </c>
      <c r="M311" t="s">
        <v>1202</v>
      </c>
      <c r="N311" t="s">
        <v>1203</v>
      </c>
      <c r="O311" t="s">
        <v>1204</v>
      </c>
      <c r="P311" t="s">
        <v>1205</v>
      </c>
      <c r="Q311" t="s">
        <v>1206</v>
      </c>
      <c r="R311" t="s">
        <v>1207</v>
      </c>
      <c r="S311" t="s">
        <v>2595</v>
      </c>
      <c r="T311">
        <f>'Assessment Questions'!W311</f>
        <v>0</v>
      </c>
      <c r="U311">
        <f>'Assessment Questions'!X311</f>
        <v>0</v>
      </c>
      <c r="V311" t="str">
        <f>'Assessment Questions'!Y311</f>
        <v>Use the recommended action generated by the model; validate with domain owner during real assessment.</v>
      </c>
      <c r="W311">
        <v>5</v>
      </c>
      <c r="X311">
        <v>5</v>
      </c>
      <c r="Y311">
        <v>5</v>
      </c>
      <c r="Z311">
        <f>'Assessment Questions'!AC311</f>
        <v>0</v>
      </c>
      <c r="AB311">
        <f t="shared" si="123"/>
        <v>0</v>
      </c>
      <c r="AC311">
        <f t="shared" si="124"/>
        <v>0</v>
      </c>
      <c r="AD311">
        <f t="shared" si="109"/>
        <v>0</v>
      </c>
      <c r="AE311">
        <f t="shared" si="125"/>
        <v>0</v>
      </c>
      <c r="AF311">
        <f t="shared" si="110"/>
        <v>5</v>
      </c>
      <c r="AG311">
        <f t="shared" si="126"/>
        <v>0</v>
      </c>
      <c r="AH311">
        <f>'Assessment Questions'!AK311</f>
        <v>0</v>
      </c>
      <c r="AI311">
        <f>'Assessment Questions'!AL311</f>
        <v>0</v>
      </c>
      <c r="AJ311">
        <f>IF(OR($H311="",$H311="N/A"),"",IF($AH311="",VLOOKUP('Company Profile'!$B$40,_CONFIG_Model_Settings!$A$5:$B$8,2,FALSE),IFERROR(VLOOKUP($AH311,_CONFIG_Model_Settings!$A$5:$B$8,2,FALSE),0.9)))</f>
        <v>0.9</v>
      </c>
      <c r="AK311">
        <f>IF(OR($H311="",$H311="N/A"),"",IF($AI311="",VLOOKUP('Company Profile'!$B$41,_CONFIG_Model_Settings!$A$5:$B$8,2,FALSE),IFERROR(VLOOKUP($AI311,_CONFIG_Model_Settings!$A$5:$B$8,2,FALSE),0.9)))</f>
        <v>0.9</v>
      </c>
      <c r="AL311">
        <f t="shared" si="111"/>
        <v>0</v>
      </c>
      <c r="AM311">
        <f t="shared" si="112"/>
        <v>0</v>
      </c>
      <c r="AN311">
        <f>IFERROR(MIN(5,MAX(0,(SUMIFS(_REF_Model_Content!$D$1:$D$174,_REF_Model_Content!$A$1:$A$174,PV_Canonical_Industry,_REF_Model_Content!$B$1:$B$174,"IT Cloud DR"))+IFERROR(VLOOKUP('Company Profile'!$B$35,_CONFIG_Model_Settings!$A$11:$B$13,2,0),0))),"")</f>
        <v>0</v>
      </c>
      <c r="AO311">
        <f t="shared" si="113"/>
        <v>0</v>
      </c>
      <c r="AP311">
        <f>IFERROR(SUMIFS(_REF_Model_Content!$E$1:$E$174,_REF_Model_Content!$A$1:$A$174,PV_Canonical_Industry,_REF_Model_Content!$B$1:$B$174,"IT Cloud DR"),1)</f>
        <v>0</v>
      </c>
      <c r="AQ311">
        <f t="shared" si="114"/>
        <v>0</v>
      </c>
      <c r="AR311" t="str">
        <f t="shared" si="115"/>
        <v>Within target</v>
      </c>
      <c r="AS311">
        <f t="shared" si="116"/>
        <v>0</v>
      </c>
      <c r="AT311">
        <f t="shared" si="117"/>
        <v>0.9</v>
      </c>
      <c r="AU311">
        <f>'Assessment Questions'!AX311</f>
        <v>0</v>
      </c>
      <c r="AV311">
        <f t="shared" si="118"/>
        <v>0.9</v>
      </c>
      <c r="AW311" t="s">
        <v>2588</v>
      </c>
      <c r="AX311" t="s">
        <v>2588</v>
      </c>
      <c r="AY311">
        <v>19</v>
      </c>
      <c r="AZ311">
        <v>311</v>
      </c>
    </row>
    <row r="312" spans="1:52">
      <c r="A312" t="s">
        <v>2666</v>
      </c>
      <c r="B312" t="s">
        <v>2609</v>
      </c>
      <c r="C312" t="s">
        <v>2667</v>
      </c>
      <c r="D312" t="s">
        <v>2592</v>
      </c>
      <c r="E312" t="s">
        <v>2593</v>
      </c>
      <c r="F312" t="s">
        <v>2668</v>
      </c>
      <c r="G312">
        <f>'Assessment Questions'!J312</f>
        <v>5</v>
      </c>
      <c r="H312">
        <f t="shared" si="104"/>
        <v>0</v>
      </c>
      <c r="I312">
        <f t="shared" si="105"/>
        <v>0</v>
      </c>
      <c r="J312">
        <f t="shared" si="106"/>
        <v>5</v>
      </c>
      <c r="K312">
        <f t="shared" si="107"/>
        <v>5</v>
      </c>
      <c r="L312" t="str">
        <f t="shared" si="108"/>
        <v>Critical</v>
      </c>
      <c r="M312" t="s">
        <v>833</v>
      </c>
      <c r="N312" t="s">
        <v>834</v>
      </c>
      <c r="O312" t="s">
        <v>835</v>
      </c>
      <c r="P312" t="s">
        <v>836</v>
      </c>
      <c r="Q312" t="s">
        <v>837</v>
      </c>
      <c r="R312" t="s">
        <v>838</v>
      </c>
      <c r="S312" t="s">
        <v>2595</v>
      </c>
      <c r="T312">
        <f>'Assessment Questions'!W312</f>
        <v>0</v>
      </c>
      <c r="U312">
        <f>'Assessment Questions'!X312</f>
        <v>0</v>
      </c>
      <c r="V312" t="str">
        <f>'Assessment Questions'!Y312</f>
        <v>Use the recommended action generated by the model; validate with domain owner during real assessment.</v>
      </c>
      <c r="W312">
        <v>5</v>
      </c>
      <c r="X312">
        <v>5</v>
      </c>
      <c r="Y312">
        <v>5</v>
      </c>
      <c r="Z312">
        <f>'Assessment Questions'!AC312</f>
        <v>0</v>
      </c>
      <c r="AB312">
        <f t="shared" si="123"/>
        <v>0</v>
      </c>
      <c r="AC312">
        <f t="shared" si="124"/>
        <v>0</v>
      </c>
      <c r="AD312">
        <f t="shared" si="109"/>
        <v>0</v>
      </c>
      <c r="AE312">
        <f t="shared" si="125"/>
        <v>0</v>
      </c>
      <c r="AF312">
        <f t="shared" si="110"/>
        <v>5</v>
      </c>
      <c r="AG312">
        <f t="shared" si="126"/>
        <v>0</v>
      </c>
      <c r="AH312">
        <f>'Assessment Questions'!AK312</f>
        <v>0</v>
      </c>
      <c r="AI312">
        <f>'Assessment Questions'!AL312</f>
        <v>0</v>
      </c>
      <c r="AJ312">
        <f>IF(OR($H312="",$H312="N/A"),"",IF($AH312="",VLOOKUP('Company Profile'!$B$40,_CONFIG_Model_Settings!$A$5:$B$8,2,FALSE),IFERROR(VLOOKUP($AH312,_CONFIG_Model_Settings!$A$5:$B$8,2,FALSE),0.9)))</f>
        <v>0.9</v>
      </c>
      <c r="AK312">
        <f>IF(OR($H312="",$H312="N/A"),"",IF($AI312="",VLOOKUP('Company Profile'!$B$41,_CONFIG_Model_Settings!$A$5:$B$8,2,FALSE),IFERROR(VLOOKUP($AI312,_CONFIG_Model_Settings!$A$5:$B$8,2,FALSE),0.9)))</f>
        <v>0.9</v>
      </c>
      <c r="AL312">
        <f t="shared" si="111"/>
        <v>0</v>
      </c>
      <c r="AM312">
        <f t="shared" si="112"/>
        <v>0</v>
      </c>
      <c r="AN312">
        <f>IFERROR(MIN(5,MAX(0,(SUMIFS(_REF_Model_Content!$D$1:$D$174,_REF_Model_Content!$A$1:$A$174,PV_Canonical_Industry,_REF_Model_Content!$B$1:$B$174,"IT Cloud DR"))+IFERROR(VLOOKUP('Company Profile'!$B$35,_CONFIG_Model_Settings!$A$11:$B$13,2,0),0))),"")</f>
        <v>0</v>
      </c>
      <c r="AO312">
        <f t="shared" si="113"/>
        <v>0</v>
      </c>
      <c r="AP312">
        <f>IFERROR(SUMIFS(_REF_Model_Content!$E$1:$E$174,_REF_Model_Content!$A$1:$A$174,PV_Canonical_Industry,_REF_Model_Content!$B$1:$B$174,"IT Cloud DR"),1)</f>
        <v>0</v>
      </c>
      <c r="AQ312">
        <f t="shared" si="114"/>
        <v>0</v>
      </c>
      <c r="AR312" t="str">
        <f t="shared" si="115"/>
        <v>Within target</v>
      </c>
      <c r="AS312">
        <f t="shared" si="116"/>
        <v>0</v>
      </c>
      <c r="AT312">
        <f t="shared" si="117"/>
        <v>0.9</v>
      </c>
      <c r="AU312">
        <f>'Assessment Questions'!AX312</f>
        <v>0</v>
      </c>
      <c r="AV312">
        <f t="shared" si="118"/>
        <v>0.9</v>
      </c>
      <c r="AW312" t="s">
        <v>2588</v>
      </c>
      <c r="AX312" t="s">
        <v>2588</v>
      </c>
      <c r="AY312">
        <v>20</v>
      </c>
      <c r="AZ312">
        <v>312</v>
      </c>
    </row>
    <row r="313" spans="1:52">
      <c r="A313" t="s">
        <v>2669</v>
      </c>
      <c r="B313" t="s">
        <v>2609</v>
      </c>
      <c r="C313" t="s">
        <v>2670</v>
      </c>
      <c r="D313" t="s">
        <v>2592</v>
      </c>
      <c r="E313" t="s">
        <v>2593</v>
      </c>
      <c r="F313" t="s">
        <v>2671</v>
      </c>
      <c r="G313">
        <f>'Assessment Questions'!J313</f>
        <v>5</v>
      </c>
      <c r="H313">
        <f t="shared" si="104"/>
        <v>0</v>
      </c>
      <c r="I313">
        <f t="shared" si="105"/>
        <v>0</v>
      </c>
      <c r="J313">
        <f t="shared" si="106"/>
        <v>5</v>
      </c>
      <c r="K313">
        <f t="shared" si="107"/>
        <v>5</v>
      </c>
      <c r="L313" t="str">
        <f t="shared" si="108"/>
        <v>Critical</v>
      </c>
      <c r="M313" t="s">
        <v>833</v>
      </c>
      <c r="N313" t="s">
        <v>834</v>
      </c>
      <c r="O313" t="s">
        <v>835</v>
      </c>
      <c r="P313" t="s">
        <v>836</v>
      </c>
      <c r="Q313" t="s">
        <v>837</v>
      </c>
      <c r="R313" t="s">
        <v>838</v>
      </c>
      <c r="S313" t="s">
        <v>2595</v>
      </c>
      <c r="T313">
        <f>'Assessment Questions'!W313</f>
        <v>0</v>
      </c>
      <c r="U313">
        <f>'Assessment Questions'!X313</f>
        <v>0</v>
      </c>
      <c r="V313" t="str">
        <f>'Assessment Questions'!Y313</f>
        <v>Use the recommended action generated by the model; validate with domain owner during real assessment.</v>
      </c>
      <c r="W313">
        <v>5</v>
      </c>
      <c r="X313">
        <v>5</v>
      </c>
      <c r="Y313">
        <v>5</v>
      </c>
      <c r="Z313">
        <f>'Assessment Questions'!AC313</f>
        <v>0</v>
      </c>
      <c r="AB313">
        <f t="shared" si="123"/>
        <v>0</v>
      </c>
      <c r="AC313">
        <f t="shared" si="124"/>
        <v>0</v>
      </c>
      <c r="AD313">
        <f t="shared" si="109"/>
        <v>0</v>
      </c>
      <c r="AE313">
        <f t="shared" si="125"/>
        <v>0</v>
      </c>
      <c r="AF313">
        <f t="shared" si="110"/>
        <v>5</v>
      </c>
      <c r="AG313">
        <f t="shared" si="126"/>
        <v>0</v>
      </c>
      <c r="AH313">
        <f>'Assessment Questions'!AK313</f>
        <v>0</v>
      </c>
      <c r="AI313">
        <f>'Assessment Questions'!AL313</f>
        <v>0</v>
      </c>
      <c r="AJ313">
        <f>IF(OR($H313="",$H313="N/A"),"",IF($AH313="",VLOOKUP('Company Profile'!$B$40,_CONFIG_Model_Settings!$A$5:$B$8,2,FALSE),IFERROR(VLOOKUP($AH313,_CONFIG_Model_Settings!$A$5:$B$8,2,FALSE),0.9)))</f>
        <v>0.9</v>
      </c>
      <c r="AK313">
        <f>IF(OR($H313="",$H313="N/A"),"",IF($AI313="",VLOOKUP('Company Profile'!$B$41,_CONFIG_Model_Settings!$A$5:$B$8,2,FALSE),IFERROR(VLOOKUP($AI313,_CONFIG_Model_Settings!$A$5:$B$8,2,FALSE),0.9)))</f>
        <v>0.9</v>
      </c>
      <c r="AL313">
        <f t="shared" si="111"/>
        <v>0</v>
      </c>
      <c r="AM313">
        <f t="shared" si="112"/>
        <v>0</v>
      </c>
      <c r="AN313">
        <f>IFERROR(MIN(5,MAX(0,(SUMIFS(_REF_Model_Content!$D$1:$D$174,_REF_Model_Content!$A$1:$A$174,PV_Canonical_Industry,_REF_Model_Content!$B$1:$B$174,"IT Cloud DR"))+IFERROR(VLOOKUP('Company Profile'!$B$35,_CONFIG_Model_Settings!$A$11:$B$13,2,0),0))),"")</f>
        <v>0</v>
      </c>
      <c r="AO313">
        <f t="shared" si="113"/>
        <v>0</v>
      </c>
      <c r="AP313">
        <f>IFERROR(SUMIFS(_REF_Model_Content!$E$1:$E$174,_REF_Model_Content!$A$1:$A$174,PV_Canonical_Industry,_REF_Model_Content!$B$1:$B$174,"IT Cloud DR"),1)</f>
        <v>0</v>
      </c>
      <c r="AQ313">
        <f t="shared" si="114"/>
        <v>0</v>
      </c>
      <c r="AR313" t="str">
        <f t="shared" si="115"/>
        <v>Within target</v>
      </c>
      <c r="AS313">
        <f t="shared" si="116"/>
        <v>0</v>
      </c>
      <c r="AT313">
        <f t="shared" si="117"/>
        <v>0.9</v>
      </c>
      <c r="AU313">
        <f>'Assessment Questions'!AX313</f>
        <v>0</v>
      </c>
      <c r="AV313">
        <f t="shared" si="118"/>
        <v>0.9</v>
      </c>
      <c r="AW313" t="s">
        <v>2588</v>
      </c>
      <c r="AX313" t="s">
        <v>2588</v>
      </c>
      <c r="AY313">
        <v>21</v>
      </c>
      <c r="AZ313">
        <v>313</v>
      </c>
    </row>
    <row r="314" spans="1:52">
      <c r="A314" t="s">
        <v>2672</v>
      </c>
      <c r="B314" t="s">
        <v>2613</v>
      </c>
      <c r="C314" t="s">
        <v>2673</v>
      </c>
      <c r="D314" t="s">
        <v>2592</v>
      </c>
      <c r="E314" t="s">
        <v>2593</v>
      </c>
      <c r="F314" t="s">
        <v>2674</v>
      </c>
      <c r="G314">
        <f>'Assessment Questions'!J314</f>
        <v>5</v>
      </c>
      <c r="H314">
        <f t="shared" si="104"/>
        <v>0</v>
      </c>
      <c r="I314">
        <f t="shared" si="105"/>
        <v>0</v>
      </c>
      <c r="J314">
        <f t="shared" si="106"/>
        <v>5</v>
      </c>
      <c r="K314">
        <f t="shared" si="107"/>
        <v>5</v>
      </c>
      <c r="L314" t="str">
        <f t="shared" si="108"/>
        <v>Critical</v>
      </c>
      <c r="M314" t="s">
        <v>833</v>
      </c>
      <c r="N314" t="s">
        <v>834</v>
      </c>
      <c r="O314" t="s">
        <v>835</v>
      </c>
      <c r="P314" t="s">
        <v>836</v>
      </c>
      <c r="Q314" t="s">
        <v>837</v>
      </c>
      <c r="R314" t="s">
        <v>838</v>
      </c>
      <c r="S314" t="s">
        <v>2595</v>
      </c>
      <c r="T314">
        <f>'Assessment Questions'!W314</f>
        <v>0</v>
      </c>
      <c r="U314">
        <f>'Assessment Questions'!X314</f>
        <v>0</v>
      </c>
      <c r="V314" t="str">
        <f>'Assessment Questions'!Y314</f>
        <v>Use the recommended action generated by the model; validate with domain owner during real assessment.</v>
      </c>
      <c r="W314">
        <v>5</v>
      </c>
      <c r="X314">
        <v>5</v>
      </c>
      <c r="Y314">
        <v>5</v>
      </c>
      <c r="Z314">
        <f>'Assessment Questions'!AC314</f>
        <v>0</v>
      </c>
      <c r="AB314">
        <f t="shared" si="123"/>
        <v>0</v>
      </c>
      <c r="AC314">
        <f t="shared" si="124"/>
        <v>0</v>
      </c>
      <c r="AD314">
        <f t="shared" si="109"/>
        <v>0</v>
      </c>
      <c r="AE314">
        <f t="shared" si="125"/>
        <v>0</v>
      </c>
      <c r="AF314">
        <f t="shared" si="110"/>
        <v>5</v>
      </c>
      <c r="AG314">
        <f t="shared" si="126"/>
        <v>0</v>
      </c>
      <c r="AH314">
        <f>'Assessment Questions'!AK314</f>
        <v>0</v>
      </c>
      <c r="AI314">
        <f>'Assessment Questions'!AL314</f>
        <v>0</v>
      </c>
      <c r="AJ314">
        <f>IF(OR($H314="",$H314="N/A"),"",IF($AH314="",VLOOKUP('Company Profile'!$B$40,_CONFIG_Model_Settings!$A$5:$B$8,2,FALSE),IFERROR(VLOOKUP($AH314,_CONFIG_Model_Settings!$A$5:$B$8,2,FALSE),0.9)))</f>
        <v>0.9</v>
      </c>
      <c r="AK314">
        <f>IF(OR($H314="",$H314="N/A"),"",IF($AI314="",VLOOKUP('Company Profile'!$B$41,_CONFIG_Model_Settings!$A$5:$B$8,2,FALSE),IFERROR(VLOOKUP($AI314,_CONFIG_Model_Settings!$A$5:$B$8,2,FALSE),0.9)))</f>
        <v>0.9</v>
      </c>
      <c r="AL314">
        <f t="shared" si="111"/>
        <v>0</v>
      </c>
      <c r="AM314">
        <f t="shared" si="112"/>
        <v>0</v>
      </c>
      <c r="AN314">
        <f>IFERROR(MIN(5,MAX(0,(SUMIFS(_REF_Model_Content!$D$1:$D$174,_REF_Model_Content!$A$1:$A$174,PV_Canonical_Industry,_REF_Model_Content!$B$1:$B$174,"IT Cloud DR"))+IFERROR(VLOOKUP('Company Profile'!$B$35,_CONFIG_Model_Settings!$A$11:$B$13,2,0),0))),"")</f>
        <v>0</v>
      </c>
      <c r="AO314">
        <f t="shared" si="113"/>
        <v>0</v>
      </c>
      <c r="AP314">
        <f>IFERROR(SUMIFS(_REF_Model_Content!$E$1:$E$174,_REF_Model_Content!$A$1:$A$174,PV_Canonical_Industry,_REF_Model_Content!$B$1:$B$174,"IT Cloud DR"),1)</f>
        <v>0</v>
      </c>
      <c r="AQ314">
        <f t="shared" si="114"/>
        <v>0</v>
      </c>
      <c r="AR314" t="str">
        <f t="shared" si="115"/>
        <v>Within target</v>
      </c>
      <c r="AS314">
        <f t="shared" si="116"/>
        <v>0</v>
      </c>
      <c r="AT314">
        <f t="shared" si="117"/>
        <v>0.9</v>
      </c>
      <c r="AU314">
        <f>'Assessment Questions'!AX314</f>
        <v>0</v>
      </c>
      <c r="AV314">
        <f t="shared" si="118"/>
        <v>0.9</v>
      </c>
      <c r="AW314" t="s">
        <v>2588</v>
      </c>
      <c r="AX314" t="s">
        <v>2588</v>
      </c>
      <c r="AY314">
        <v>22</v>
      </c>
      <c r="AZ314">
        <v>314</v>
      </c>
    </row>
    <row r="315" spans="1:52">
      <c r="A315" t="s">
        <v>2675</v>
      </c>
      <c r="B315" t="s">
        <v>2613</v>
      </c>
      <c r="C315" t="s">
        <v>2676</v>
      </c>
      <c r="D315" t="s">
        <v>2592</v>
      </c>
      <c r="E315" t="s">
        <v>2593</v>
      </c>
      <c r="F315" t="s">
        <v>2677</v>
      </c>
      <c r="G315">
        <f>'Assessment Questions'!J315</f>
        <v>3</v>
      </c>
      <c r="H315">
        <f t="shared" si="104"/>
        <v>0</v>
      </c>
      <c r="I315">
        <f t="shared" si="105"/>
        <v>0</v>
      </c>
      <c r="J315">
        <f t="shared" si="106"/>
        <v>3</v>
      </c>
      <c r="K315">
        <f t="shared" si="107"/>
        <v>3</v>
      </c>
      <c r="L315" t="str">
        <f t="shared" si="108"/>
        <v>Critical</v>
      </c>
      <c r="M315" t="s">
        <v>2678</v>
      </c>
      <c r="N315" t="s">
        <v>2679</v>
      </c>
      <c r="O315" t="s">
        <v>2680</v>
      </c>
      <c r="P315" t="s">
        <v>2681</v>
      </c>
      <c r="Q315" t="s">
        <v>2682</v>
      </c>
      <c r="R315" t="s">
        <v>2683</v>
      </c>
      <c r="S315" t="s">
        <v>2595</v>
      </c>
      <c r="T315">
        <f>'Assessment Questions'!W315</f>
        <v>0</v>
      </c>
      <c r="U315">
        <f>'Assessment Questions'!X315</f>
        <v>0</v>
      </c>
      <c r="V315" t="str">
        <f>'Assessment Questions'!Y315</f>
        <v>Use the recommended action generated by the model; validate with domain owner during real assessment.</v>
      </c>
      <c r="W315">
        <v>5</v>
      </c>
      <c r="X315">
        <v>5</v>
      </c>
      <c r="Y315">
        <v>5</v>
      </c>
      <c r="Z315">
        <f>'Assessment Questions'!AC315</f>
        <v>0</v>
      </c>
      <c r="AB315">
        <f t="shared" si="123"/>
        <v>0</v>
      </c>
      <c r="AC315">
        <f t="shared" si="124"/>
        <v>0</v>
      </c>
      <c r="AD315">
        <f t="shared" si="109"/>
        <v>0</v>
      </c>
      <c r="AE315">
        <f t="shared" si="125"/>
        <v>0</v>
      </c>
      <c r="AF315">
        <f t="shared" si="110"/>
        <v>5</v>
      </c>
      <c r="AG315">
        <f t="shared" si="126"/>
        <v>0</v>
      </c>
      <c r="AH315">
        <f>'Assessment Questions'!AK315</f>
        <v>0</v>
      </c>
      <c r="AI315">
        <f>'Assessment Questions'!AL315</f>
        <v>0</v>
      </c>
      <c r="AJ315">
        <f>IF(OR($H315="",$H315="N/A"),"",IF($AH315="",VLOOKUP('Company Profile'!$B$40,_CONFIG_Model_Settings!$A$5:$B$8,2,FALSE),IFERROR(VLOOKUP($AH315,_CONFIG_Model_Settings!$A$5:$B$8,2,FALSE),0.9)))</f>
        <v>0.9</v>
      </c>
      <c r="AK315">
        <f>IF(OR($H315="",$H315="N/A"),"",IF($AI315="",VLOOKUP('Company Profile'!$B$41,_CONFIG_Model_Settings!$A$5:$B$8,2,FALSE),IFERROR(VLOOKUP($AI315,_CONFIG_Model_Settings!$A$5:$B$8,2,FALSE),0.9)))</f>
        <v>0.9</v>
      </c>
      <c r="AL315">
        <f t="shared" si="111"/>
        <v>0</v>
      </c>
      <c r="AM315">
        <f t="shared" si="112"/>
        <v>0</v>
      </c>
      <c r="AN315">
        <f>IFERROR(MIN(5,MAX(0,(SUMIFS(_REF_Model_Content!$D$1:$D$174,_REF_Model_Content!$A$1:$A$174,PV_Canonical_Industry,_REF_Model_Content!$B$1:$B$174,"IT Cloud DR"))+IFERROR(VLOOKUP('Company Profile'!$B$35,_CONFIG_Model_Settings!$A$11:$B$13,2,0),0))),"")</f>
        <v>0</v>
      </c>
      <c r="AO315">
        <f t="shared" si="113"/>
        <v>0</v>
      </c>
      <c r="AP315">
        <f>IFERROR(SUMIFS(_REF_Model_Content!$E$1:$E$174,_REF_Model_Content!$A$1:$A$174,PV_Canonical_Industry,_REF_Model_Content!$B$1:$B$174,"IT Cloud DR"),1)</f>
        <v>0</v>
      </c>
      <c r="AQ315">
        <f t="shared" si="114"/>
        <v>0</v>
      </c>
      <c r="AR315" t="str">
        <f t="shared" si="115"/>
        <v>Within target</v>
      </c>
      <c r="AS315">
        <f t="shared" si="116"/>
        <v>0</v>
      </c>
      <c r="AT315">
        <f t="shared" si="117"/>
        <v>0.9</v>
      </c>
      <c r="AU315">
        <f>'Assessment Questions'!AX315</f>
        <v>0</v>
      </c>
      <c r="AV315">
        <f t="shared" si="118"/>
        <v>0.9</v>
      </c>
      <c r="AW315" t="s">
        <v>2588</v>
      </c>
      <c r="AX315" t="s">
        <v>2588</v>
      </c>
      <c r="AY315">
        <v>23</v>
      </c>
      <c r="AZ315">
        <v>315</v>
      </c>
    </row>
    <row r="316" spans="1:52">
      <c r="A316" t="s">
        <v>2684</v>
      </c>
      <c r="B316" t="s">
        <v>2613</v>
      </c>
      <c r="C316" t="s">
        <v>2685</v>
      </c>
      <c r="D316" t="s">
        <v>2592</v>
      </c>
      <c r="E316" t="s">
        <v>2593</v>
      </c>
      <c r="F316" t="s">
        <v>2686</v>
      </c>
      <c r="G316">
        <f>'Assessment Questions'!J316</f>
        <v>3</v>
      </c>
      <c r="H316">
        <f t="shared" si="104"/>
        <v>0</v>
      </c>
      <c r="I316">
        <f t="shared" si="105"/>
        <v>0</v>
      </c>
      <c r="J316">
        <f t="shared" si="106"/>
        <v>3</v>
      </c>
      <c r="K316">
        <f t="shared" si="107"/>
        <v>3</v>
      </c>
      <c r="L316" t="str">
        <f t="shared" si="108"/>
        <v>Critical</v>
      </c>
      <c r="M316" t="s">
        <v>2687</v>
      </c>
      <c r="N316" t="s">
        <v>2688</v>
      </c>
      <c r="O316" t="s">
        <v>2689</v>
      </c>
      <c r="P316" t="s">
        <v>2690</v>
      </c>
      <c r="Q316" t="s">
        <v>2691</v>
      </c>
      <c r="R316" t="s">
        <v>2692</v>
      </c>
      <c r="S316" t="s">
        <v>2595</v>
      </c>
      <c r="T316">
        <f>'Assessment Questions'!W316</f>
        <v>0</v>
      </c>
      <c r="U316">
        <f>'Assessment Questions'!X316</f>
        <v>0</v>
      </c>
      <c r="V316" t="str">
        <f>'Assessment Questions'!Y316</f>
        <v>Use the recommended action generated by the model; validate with domain owner during real assessment.</v>
      </c>
      <c r="W316">
        <v>5</v>
      </c>
      <c r="X316">
        <v>5</v>
      </c>
      <c r="Y316">
        <v>5</v>
      </c>
      <c r="Z316">
        <f>'Assessment Questions'!AC316</f>
        <v>0</v>
      </c>
      <c r="AB316">
        <f t="shared" si="123"/>
        <v>0</v>
      </c>
      <c r="AC316">
        <f t="shared" si="124"/>
        <v>0</v>
      </c>
      <c r="AD316">
        <f t="shared" si="109"/>
        <v>0</v>
      </c>
      <c r="AE316">
        <f t="shared" si="125"/>
        <v>0</v>
      </c>
      <c r="AF316">
        <f t="shared" si="110"/>
        <v>5</v>
      </c>
      <c r="AG316">
        <f t="shared" si="126"/>
        <v>0</v>
      </c>
      <c r="AH316">
        <f>'Assessment Questions'!AK316</f>
        <v>0</v>
      </c>
      <c r="AI316">
        <f>'Assessment Questions'!AL316</f>
        <v>0</v>
      </c>
      <c r="AJ316">
        <f>IF(OR($H316="",$H316="N/A"),"",IF($AH316="",VLOOKUP('Company Profile'!$B$40,_CONFIG_Model_Settings!$A$5:$B$8,2,FALSE),IFERROR(VLOOKUP($AH316,_CONFIG_Model_Settings!$A$5:$B$8,2,FALSE),0.9)))</f>
        <v>0.9</v>
      </c>
      <c r="AK316">
        <f>IF(OR($H316="",$H316="N/A"),"",IF($AI316="",VLOOKUP('Company Profile'!$B$41,_CONFIG_Model_Settings!$A$5:$B$8,2,FALSE),IFERROR(VLOOKUP($AI316,_CONFIG_Model_Settings!$A$5:$B$8,2,FALSE),0.9)))</f>
        <v>0.9</v>
      </c>
      <c r="AL316">
        <f t="shared" si="111"/>
        <v>0</v>
      </c>
      <c r="AM316">
        <f t="shared" si="112"/>
        <v>0</v>
      </c>
      <c r="AN316">
        <f>IFERROR(MIN(5,MAX(0,(SUMIFS(_REF_Model_Content!$D$1:$D$174,_REF_Model_Content!$A$1:$A$174,PV_Canonical_Industry,_REF_Model_Content!$B$1:$B$174,"IT Cloud DR"))+IFERROR(VLOOKUP('Company Profile'!$B$35,_CONFIG_Model_Settings!$A$11:$B$13,2,0),0))),"")</f>
        <v>0</v>
      </c>
      <c r="AO316">
        <f t="shared" si="113"/>
        <v>0</v>
      </c>
      <c r="AP316">
        <f>IFERROR(SUMIFS(_REF_Model_Content!$E$1:$E$174,_REF_Model_Content!$A$1:$A$174,PV_Canonical_Industry,_REF_Model_Content!$B$1:$B$174,"IT Cloud DR"),1)</f>
        <v>0</v>
      </c>
      <c r="AQ316">
        <f t="shared" si="114"/>
        <v>0</v>
      </c>
      <c r="AR316" t="str">
        <f t="shared" si="115"/>
        <v>Within target</v>
      </c>
      <c r="AS316">
        <f t="shared" si="116"/>
        <v>0</v>
      </c>
      <c r="AT316">
        <f t="shared" si="117"/>
        <v>0.9</v>
      </c>
      <c r="AU316">
        <f>'Assessment Questions'!AX316</f>
        <v>0</v>
      </c>
      <c r="AV316">
        <f t="shared" si="118"/>
        <v>0.9</v>
      </c>
      <c r="AW316" t="s">
        <v>2588</v>
      </c>
      <c r="AX316" t="s">
        <v>2588</v>
      </c>
      <c r="AY316">
        <v>24</v>
      </c>
      <c r="AZ316">
        <v>316</v>
      </c>
    </row>
    <row r="317" spans="1:52">
      <c r="A317" t="s">
        <v>2693</v>
      </c>
      <c r="B317" t="s">
        <v>2613</v>
      </c>
      <c r="C317" t="s">
        <v>2694</v>
      </c>
      <c r="D317" t="s">
        <v>2592</v>
      </c>
      <c r="E317" t="s">
        <v>2593</v>
      </c>
      <c r="F317" t="s">
        <v>2695</v>
      </c>
      <c r="G317">
        <f>'Assessment Questions'!J317</f>
        <v>5</v>
      </c>
      <c r="H317">
        <f t="shared" si="104"/>
        <v>0</v>
      </c>
      <c r="I317">
        <f t="shared" si="105"/>
        <v>0</v>
      </c>
      <c r="J317">
        <f t="shared" si="106"/>
        <v>5</v>
      </c>
      <c r="K317">
        <f t="shared" si="107"/>
        <v>5</v>
      </c>
      <c r="L317" t="str">
        <f t="shared" si="108"/>
        <v>Critical</v>
      </c>
      <c r="M317" t="s">
        <v>833</v>
      </c>
      <c r="N317" t="s">
        <v>834</v>
      </c>
      <c r="O317" t="s">
        <v>835</v>
      </c>
      <c r="P317" t="s">
        <v>836</v>
      </c>
      <c r="Q317" t="s">
        <v>837</v>
      </c>
      <c r="R317" t="s">
        <v>838</v>
      </c>
      <c r="S317" t="s">
        <v>2595</v>
      </c>
      <c r="T317">
        <f>'Assessment Questions'!W317</f>
        <v>0</v>
      </c>
      <c r="U317">
        <f>'Assessment Questions'!X317</f>
        <v>0</v>
      </c>
      <c r="V317" t="str">
        <f>'Assessment Questions'!Y317</f>
        <v>Use the recommended action generated by the model; validate with domain owner during real assessment.</v>
      </c>
      <c r="W317">
        <v>5</v>
      </c>
      <c r="X317">
        <v>5</v>
      </c>
      <c r="Y317">
        <v>5</v>
      </c>
      <c r="Z317">
        <f>'Assessment Questions'!AC317</f>
        <v>0</v>
      </c>
      <c r="AB317">
        <f t="shared" si="123"/>
        <v>0</v>
      </c>
      <c r="AC317">
        <f t="shared" si="124"/>
        <v>0</v>
      </c>
      <c r="AD317">
        <f t="shared" si="109"/>
        <v>0</v>
      </c>
      <c r="AE317">
        <f t="shared" si="125"/>
        <v>0</v>
      </c>
      <c r="AF317">
        <f t="shared" si="110"/>
        <v>5</v>
      </c>
      <c r="AG317">
        <f t="shared" si="126"/>
        <v>0</v>
      </c>
      <c r="AH317">
        <f>'Assessment Questions'!AK317</f>
        <v>0</v>
      </c>
      <c r="AI317">
        <f>'Assessment Questions'!AL317</f>
        <v>0</v>
      </c>
      <c r="AJ317">
        <f>IF(OR($H317="",$H317="N/A"),"",IF($AH317="",VLOOKUP('Company Profile'!$B$40,_CONFIG_Model_Settings!$A$5:$B$8,2,FALSE),IFERROR(VLOOKUP($AH317,_CONFIG_Model_Settings!$A$5:$B$8,2,FALSE),0.9)))</f>
        <v>0.9</v>
      </c>
      <c r="AK317">
        <f>IF(OR($H317="",$H317="N/A"),"",IF($AI317="",VLOOKUP('Company Profile'!$B$41,_CONFIG_Model_Settings!$A$5:$B$8,2,FALSE),IFERROR(VLOOKUP($AI317,_CONFIG_Model_Settings!$A$5:$B$8,2,FALSE),0.9)))</f>
        <v>0.9</v>
      </c>
      <c r="AL317">
        <f t="shared" si="111"/>
        <v>0</v>
      </c>
      <c r="AM317">
        <f t="shared" si="112"/>
        <v>0</v>
      </c>
      <c r="AN317">
        <f>IFERROR(MIN(5,MAX(0,(SUMIFS(_REF_Model_Content!$D$1:$D$174,_REF_Model_Content!$A$1:$A$174,PV_Canonical_Industry,_REF_Model_Content!$B$1:$B$174,"IT Cloud DR"))+IFERROR(VLOOKUP('Company Profile'!$B$35,_CONFIG_Model_Settings!$A$11:$B$13,2,0),0))),"")</f>
        <v>0</v>
      </c>
      <c r="AO317">
        <f t="shared" si="113"/>
        <v>0</v>
      </c>
      <c r="AP317">
        <f>IFERROR(SUMIFS(_REF_Model_Content!$E$1:$E$174,_REF_Model_Content!$A$1:$A$174,PV_Canonical_Industry,_REF_Model_Content!$B$1:$B$174,"IT Cloud DR"),1)</f>
        <v>0</v>
      </c>
      <c r="AQ317">
        <f t="shared" si="114"/>
        <v>0</v>
      </c>
      <c r="AR317" t="str">
        <f t="shared" si="115"/>
        <v>Within target</v>
      </c>
      <c r="AS317">
        <f t="shared" si="116"/>
        <v>0</v>
      </c>
      <c r="AT317">
        <f t="shared" si="117"/>
        <v>0.9</v>
      </c>
      <c r="AU317">
        <f>'Assessment Questions'!AX317</f>
        <v>0</v>
      </c>
      <c r="AV317">
        <f t="shared" si="118"/>
        <v>0.9</v>
      </c>
      <c r="AW317" t="s">
        <v>2588</v>
      </c>
      <c r="AX317" t="s">
        <v>2588</v>
      </c>
      <c r="AY317">
        <v>25</v>
      </c>
      <c r="AZ317">
        <v>317</v>
      </c>
    </row>
    <row r="318" spans="1:52">
      <c r="A318" t="s">
        <v>2696</v>
      </c>
      <c r="B318" t="s">
        <v>2613</v>
      </c>
      <c r="C318" t="s">
        <v>2697</v>
      </c>
      <c r="D318" t="s">
        <v>2592</v>
      </c>
      <c r="E318" t="s">
        <v>2593</v>
      </c>
      <c r="F318" t="s">
        <v>2698</v>
      </c>
      <c r="G318">
        <f>'Assessment Questions'!J318</f>
        <v>5</v>
      </c>
      <c r="H318">
        <f t="shared" si="104"/>
        <v>0</v>
      </c>
      <c r="I318">
        <f t="shared" si="105"/>
        <v>0</v>
      </c>
      <c r="J318">
        <f t="shared" si="106"/>
        <v>5</v>
      </c>
      <c r="K318">
        <f t="shared" si="107"/>
        <v>5</v>
      </c>
      <c r="L318" t="str">
        <f t="shared" si="108"/>
        <v>Critical</v>
      </c>
      <c r="M318" t="s">
        <v>1051</v>
      </c>
      <c r="N318" t="s">
        <v>1052</v>
      </c>
      <c r="O318" t="s">
        <v>1053</v>
      </c>
      <c r="P318" t="s">
        <v>1054</v>
      </c>
      <c r="Q318" t="s">
        <v>1055</v>
      </c>
      <c r="R318" t="s">
        <v>1056</v>
      </c>
      <c r="S318" t="s">
        <v>2595</v>
      </c>
      <c r="T318">
        <f>'Assessment Questions'!W318</f>
        <v>0</v>
      </c>
      <c r="U318">
        <f>'Assessment Questions'!X318</f>
        <v>0</v>
      </c>
      <c r="V318" t="str">
        <f>'Assessment Questions'!Y318</f>
        <v>Use the recommended action generated by the model; validate with domain owner during real assessment.</v>
      </c>
      <c r="W318">
        <v>5</v>
      </c>
      <c r="X318">
        <v>5</v>
      </c>
      <c r="Y318">
        <v>5</v>
      </c>
      <c r="Z318">
        <f>'Assessment Questions'!AC318</f>
        <v>0</v>
      </c>
      <c r="AB318">
        <f t="shared" si="123"/>
        <v>0</v>
      </c>
      <c r="AC318">
        <f t="shared" si="124"/>
        <v>0</v>
      </c>
      <c r="AD318">
        <f t="shared" si="109"/>
        <v>0</v>
      </c>
      <c r="AE318">
        <f t="shared" si="125"/>
        <v>0</v>
      </c>
      <c r="AF318">
        <f t="shared" si="110"/>
        <v>5</v>
      </c>
      <c r="AG318">
        <f t="shared" si="126"/>
        <v>0</v>
      </c>
      <c r="AH318">
        <f>'Assessment Questions'!AK318</f>
        <v>0</v>
      </c>
      <c r="AI318">
        <f>'Assessment Questions'!AL318</f>
        <v>0</v>
      </c>
      <c r="AJ318">
        <f>IF(OR($H318="",$H318="N/A"),"",IF($AH318="",VLOOKUP('Company Profile'!$B$40,_CONFIG_Model_Settings!$A$5:$B$8,2,FALSE),IFERROR(VLOOKUP($AH318,_CONFIG_Model_Settings!$A$5:$B$8,2,FALSE),0.9)))</f>
        <v>0.9</v>
      </c>
      <c r="AK318">
        <f>IF(OR($H318="",$H318="N/A"),"",IF($AI318="",VLOOKUP('Company Profile'!$B$41,_CONFIG_Model_Settings!$A$5:$B$8,2,FALSE),IFERROR(VLOOKUP($AI318,_CONFIG_Model_Settings!$A$5:$B$8,2,FALSE),0.9)))</f>
        <v>0.9</v>
      </c>
      <c r="AL318">
        <f t="shared" si="111"/>
        <v>0</v>
      </c>
      <c r="AM318">
        <f t="shared" si="112"/>
        <v>0</v>
      </c>
      <c r="AN318">
        <f>IFERROR(MIN(5,MAX(0,(SUMIFS(_REF_Model_Content!$D$1:$D$174,_REF_Model_Content!$A$1:$A$174,PV_Canonical_Industry,_REF_Model_Content!$B$1:$B$174,"IT Cloud DR"))+IFERROR(VLOOKUP('Company Profile'!$B$35,_CONFIG_Model_Settings!$A$11:$B$13,2,0),0))),"")</f>
        <v>0</v>
      </c>
      <c r="AO318">
        <f t="shared" si="113"/>
        <v>0</v>
      </c>
      <c r="AP318">
        <f>IFERROR(SUMIFS(_REF_Model_Content!$E$1:$E$174,_REF_Model_Content!$A$1:$A$174,PV_Canonical_Industry,_REF_Model_Content!$B$1:$B$174,"IT Cloud DR"),1)</f>
        <v>0</v>
      </c>
      <c r="AQ318">
        <f t="shared" si="114"/>
        <v>0</v>
      </c>
      <c r="AR318" t="str">
        <f t="shared" si="115"/>
        <v>Within target</v>
      </c>
      <c r="AS318">
        <f t="shared" si="116"/>
        <v>0</v>
      </c>
      <c r="AT318">
        <f t="shared" si="117"/>
        <v>0.9</v>
      </c>
      <c r="AU318">
        <f>'Assessment Questions'!AX318</f>
        <v>0</v>
      </c>
      <c r="AV318">
        <f t="shared" si="118"/>
        <v>0.9</v>
      </c>
      <c r="AW318" t="s">
        <v>2588</v>
      </c>
      <c r="AX318" t="s">
        <v>2588</v>
      </c>
      <c r="AY318">
        <v>26</v>
      </c>
      <c r="AZ318">
        <v>318</v>
      </c>
    </row>
    <row r="319" spans="1:52">
      <c r="A319" t="s">
        <v>2699</v>
      </c>
      <c r="B319" t="s">
        <v>2613</v>
      </c>
      <c r="C319" t="s">
        <v>2700</v>
      </c>
      <c r="D319" t="s">
        <v>2592</v>
      </c>
      <c r="E319" t="s">
        <v>2593</v>
      </c>
      <c r="F319" t="s">
        <v>2701</v>
      </c>
      <c r="G319">
        <f>'Assessment Questions'!J319</f>
        <v>5</v>
      </c>
      <c r="H319">
        <f t="shared" si="104"/>
        <v>0</v>
      </c>
      <c r="I319">
        <f t="shared" si="105"/>
        <v>0</v>
      </c>
      <c r="J319">
        <f t="shared" si="106"/>
        <v>5</v>
      </c>
      <c r="K319">
        <f t="shared" si="107"/>
        <v>5</v>
      </c>
      <c r="L319" t="str">
        <f t="shared" si="108"/>
        <v>Critical</v>
      </c>
      <c r="M319" t="s">
        <v>833</v>
      </c>
      <c r="N319" t="s">
        <v>834</v>
      </c>
      <c r="O319" t="s">
        <v>835</v>
      </c>
      <c r="P319" t="s">
        <v>836</v>
      </c>
      <c r="Q319" t="s">
        <v>837</v>
      </c>
      <c r="R319" t="s">
        <v>838</v>
      </c>
      <c r="S319" t="s">
        <v>2595</v>
      </c>
      <c r="T319">
        <f>'Assessment Questions'!W319</f>
        <v>0</v>
      </c>
      <c r="U319">
        <f>'Assessment Questions'!X319</f>
        <v>0</v>
      </c>
      <c r="V319" t="str">
        <f>'Assessment Questions'!Y319</f>
        <v>Use the recommended action generated by the model; validate with domain owner during real assessment.</v>
      </c>
      <c r="W319">
        <v>5</v>
      </c>
      <c r="X319">
        <v>5</v>
      </c>
      <c r="Y319">
        <v>5</v>
      </c>
      <c r="Z319">
        <f>'Assessment Questions'!AC319</f>
        <v>0</v>
      </c>
      <c r="AB319">
        <f t="shared" si="123"/>
        <v>0</v>
      </c>
      <c r="AC319">
        <f t="shared" si="124"/>
        <v>0</v>
      </c>
      <c r="AD319">
        <f t="shared" si="109"/>
        <v>0</v>
      </c>
      <c r="AE319">
        <f t="shared" si="125"/>
        <v>0</v>
      </c>
      <c r="AF319">
        <f t="shared" si="110"/>
        <v>5</v>
      </c>
      <c r="AG319">
        <f t="shared" si="126"/>
        <v>0</v>
      </c>
      <c r="AH319">
        <f>'Assessment Questions'!AK319</f>
        <v>0</v>
      </c>
      <c r="AI319">
        <f>'Assessment Questions'!AL319</f>
        <v>0</v>
      </c>
      <c r="AJ319">
        <f>IF(OR($H319="",$H319="N/A"),"",IF($AH319="",VLOOKUP('Company Profile'!$B$40,_CONFIG_Model_Settings!$A$5:$B$8,2,FALSE),IFERROR(VLOOKUP($AH319,_CONFIG_Model_Settings!$A$5:$B$8,2,FALSE),0.9)))</f>
        <v>0.9</v>
      </c>
      <c r="AK319">
        <f>IF(OR($H319="",$H319="N/A"),"",IF($AI319="",VLOOKUP('Company Profile'!$B$41,_CONFIG_Model_Settings!$A$5:$B$8,2,FALSE),IFERROR(VLOOKUP($AI319,_CONFIG_Model_Settings!$A$5:$B$8,2,FALSE),0.9)))</f>
        <v>0.9</v>
      </c>
      <c r="AL319">
        <f t="shared" si="111"/>
        <v>0</v>
      </c>
      <c r="AM319">
        <f t="shared" si="112"/>
        <v>0</v>
      </c>
      <c r="AN319">
        <f>IFERROR(MIN(5,MAX(0,(SUMIFS(_REF_Model_Content!$D$1:$D$174,_REF_Model_Content!$A$1:$A$174,PV_Canonical_Industry,_REF_Model_Content!$B$1:$B$174,"IT Cloud DR"))+IFERROR(VLOOKUP('Company Profile'!$B$35,_CONFIG_Model_Settings!$A$11:$B$13,2,0),0))),"")</f>
        <v>0</v>
      </c>
      <c r="AO319">
        <f t="shared" si="113"/>
        <v>0</v>
      </c>
      <c r="AP319">
        <f>IFERROR(SUMIFS(_REF_Model_Content!$E$1:$E$174,_REF_Model_Content!$A$1:$A$174,PV_Canonical_Industry,_REF_Model_Content!$B$1:$B$174,"IT Cloud DR"),1)</f>
        <v>0</v>
      </c>
      <c r="AQ319">
        <f t="shared" si="114"/>
        <v>0</v>
      </c>
      <c r="AR319" t="str">
        <f t="shared" si="115"/>
        <v>Within target</v>
      </c>
      <c r="AS319">
        <f t="shared" si="116"/>
        <v>0</v>
      </c>
      <c r="AT319">
        <f t="shared" si="117"/>
        <v>0.9</v>
      </c>
      <c r="AU319">
        <f>'Assessment Questions'!AX319</f>
        <v>0</v>
      </c>
      <c r="AV319">
        <f t="shared" si="118"/>
        <v>0.9</v>
      </c>
      <c r="AW319" t="s">
        <v>2588</v>
      </c>
      <c r="AX319" t="s">
        <v>2588</v>
      </c>
      <c r="AY319">
        <v>27</v>
      </c>
      <c r="AZ319">
        <v>319</v>
      </c>
    </row>
    <row r="320" spans="1:52">
      <c r="A320" t="s">
        <v>2702</v>
      </c>
      <c r="B320" t="s">
        <v>2623</v>
      </c>
      <c r="C320" t="s">
        <v>2703</v>
      </c>
      <c r="D320" t="s">
        <v>2592</v>
      </c>
      <c r="E320" t="s">
        <v>2593</v>
      </c>
      <c r="F320" t="s">
        <v>2704</v>
      </c>
      <c r="G320">
        <f>'Assessment Questions'!J320</f>
        <v>5</v>
      </c>
      <c r="H320">
        <f t="shared" si="104"/>
        <v>0</v>
      </c>
      <c r="I320">
        <f t="shared" si="105"/>
        <v>0</v>
      </c>
      <c r="J320">
        <f t="shared" si="106"/>
        <v>5</v>
      </c>
      <c r="K320">
        <f t="shared" si="107"/>
        <v>5</v>
      </c>
      <c r="L320" t="str">
        <f t="shared" si="108"/>
        <v>Critical</v>
      </c>
      <c r="M320" t="s">
        <v>833</v>
      </c>
      <c r="N320" t="s">
        <v>834</v>
      </c>
      <c r="O320" t="s">
        <v>835</v>
      </c>
      <c r="P320" t="s">
        <v>836</v>
      </c>
      <c r="Q320" t="s">
        <v>837</v>
      </c>
      <c r="R320" t="s">
        <v>838</v>
      </c>
      <c r="S320" t="s">
        <v>2595</v>
      </c>
      <c r="T320">
        <f>'Assessment Questions'!W320</f>
        <v>0</v>
      </c>
      <c r="U320">
        <f>'Assessment Questions'!X320</f>
        <v>0</v>
      </c>
      <c r="V320" t="str">
        <f>'Assessment Questions'!Y320</f>
        <v>Use the recommended action generated by the model; validate with domain owner during real assessment.</v>
      </c>
      <c r="W320">
        <v>5</v>
      </c>
      <c r="X320">
        <v>5</v>
      </c>
      <c r="Y320">
        <v>5</v>
      </c>
      <c r="Z320">
        <f>'Assessment Questions'!AC320</f>
        <v>0</v>
      </c>
      <c r="AB320">
        <f t="shared" si="123"/>
        <v>0</v>
      </c>
      <c r="AC320">
        <f t="shared" si="124"/>
        <v>0</v>
      </c>
      <c r="AD320">
        <f t="shared" si="109"/>
        <v>0</v>
      </c>
      <c r="AE320">
        <f t="shared" si="125"/>
        <v>0</v>
      </c>
      <c r="AF320">
        <f t="shared" si="110"/>
        <v>5</v>
      </c>
      <c r="AG320">
        <f t="shared" si="126"/>
        <v>0</v>
      </c>
      <c r="AH320">
        <f>'Assessment Questions'!AK320</f>
        <v>0</v>
      </c>
      <c r="AI320">
        <f>'Assessment Questions'!AL320</f>
        <v>0</v>
      </c>
      <c r="AJ320">
        <f>IF(OR($H320="",$H320="N/A"),"",IF($AH320="",VLOOKUP('Company Profile'!$B$40,_CONFIG_Model_Settings!$A$5:$B$8,2,FALSE),IFERROR(VLOOKUP($AH320,_CONFIG_Model_Settings!$A$5:$B$8,2,FALSE),0.9)))</f>
        <v>0.9</v>
      </c>
      <c r="AK320">
        <f>IF(OR($H320="",$H320="N/A"),"",IF($AI320="",VLOOKUP('Company Profile'!$B$41,_CONFIG_Model_Settings!$A$5:$B$8,2,FALSE),IFERROR(VLOOKUP($AI320,_CONFIG_Model_Settings!$A$5:$B$8,2,FALSE),0.9)))</f>
        <v>0.9</v>
      </c>
      <c r="AL320">
        <f t="shared" si="111"/>
        <v>0</v>
      </c>
      <c r="AM320">
        <f t="shared" si="112"/>
        <v>0</v>
      </c>
      <c r="AN320">
        <f>IFERROR(MIN(5,MAX(0,(SUMIFS(_REF_Model_Content!$D$1:$D$174,_REF_Model_Content!$A$1:$A$174,PV_Canonical_Industry,_REF_Model_Content!$B$1:$B$174,"IT Cloud DR"))+IFERROR(VLOOKUP('Company Profile'!$B$35,_CONFIG_Model_Settings!$A$11:$B$13,2,0),0))),"")</f>
        <v>0</v>
      </c>
      <c r="AO320">
        <f t="shared" si="113"/>
        <v>0</v>
      </c>
      <c r="AP320">
        <f>IFERROR(SUMIFS(_REF_Model_Content!$E$1:$E$174,_REF_Model_Content!$A$1:$A$174,PV_Canonical_Industry,_REF_Model_Content!$B$1:$B$174,"IT Cloud DR"),1)</f>
        <v>0</v>
      </c>
      <c r="AQ320">
        <f t="shared" si="114"/>
        <v>0</v>
      </c>
      <c r="AR320" t="str">
        <f t="shared" si="115"/>
        <v>Within target</v>
      </c>
      <c r="AS320">
        <f t="shared" si="116"/>
        <v>0</v>
      </c>
      <c r="AT320">
        <f t="shared" si="117"/>
        <v>0.9</v>
      </c>
      <c r="AU320">
        <f>'Assessment Questions'!AX320</f>
        <v>0</v>
      </c>
      <c r="AV320">
        <f t="shared" si="118"/>
        <v>0.9</v>
      </c>
      <c r="AW320" t="s">
        <v>2588</v>
      </c>
      <c r="AX320" t="s">
        <v>2588</v>
      </c>
      <c r="AY320">
        <v>28</v>
      </c>
      <c r="AZ320">
        <v>320</v>
      </c>
    </row>
    <row r="321" spans="1:52">
      <c r="A321" t="s">
        <v>2705</v>
      </c>
      <c r="B321" t="s">
        <v>2623</v>
      </c>
      <c r="C321" t="s">
        <v>2706</v>
      </c>
      <c r="D321" t="s">
        <v>2592</v>
      </c>
      <c r="E321" t="s">
        <v>2593</v>
      </c>
      <c r="F321" t="s">
        <v>2707</v>
      </c>
      <c r="G321">
        <f>'Assessment Questions'!J321</f>
        <v>5</v>
      </c>
      <c r="H321">
        <f t="shared" si="104"/>
        <v>0</v>
      </c>
      <c r="I321">
        <f t="shared" si="105"/>
        <v>0</v>
      </c>
      <c r="J321">
        <f t="shared" si="106"/>
        <v>5</v>
      </c>
      <c r="K321">
        <f t="shared" si="107"/>
        <v>5</v>
      </c>
      <c r="L321" t="str">
        <f t="shared" si="108"/>
        <v>Critical</v>
      </c>
      <c r="M321" t="s">
        <v>833</v>
      </c>
      <c r="N321" t="s">
        <v>834</v>
      </c>
      <c r="O321" t="s">
        <v>835</v>
      </c>
      <c r="P321" t="s">
        <v>836</v>
      </c>
      <c r="Q321" t="s">
        <v>837</v>
      </c>
      <c r="R321" t="s">
        <v>838</v>
      </c>
      <c r="S321" t="s">
        <v>2595</v>
      </c>
      <c r="T321">
        <f>'Assessment Questions'!W321</f>
        <v>0</v>
      </c>
      <c r="U321">
        <f>'Assessment Questions'!X321</f>
        <v>0</v>
      </c>
      <c r="V321" t="str">
        <f>'Assessment Questions'!Y321</f>
        <v>Use the recommended action generated by the model; validate with domain owner during real assessment.</v>
      </c>
      <c r="W321">
        <v>5</v>
      </c>
      <c r="X321">
        <v>5</v>
      </c>
      <c r="Y321">
        <v>5</v>
      </c>
      <c r="Z321">
        <f>'Assessment Questions'!AC321</f>
        <v>0</v>
      </c>
      <c r="AB321">
        <f t="shared" si="123"/>
        <v>0</v>
      </c>
      <c r="AC321">
        <f t="shared" si="124"/>
        <v>0</v>
      </c>
      <c r="AD321">
        <f t="shared" si="109"/>
        <v>0</v>
      </c>
      <c r="AE321">
        <f t="shared" si="125"/>
        <v>0</v>
      </c>
      <c r="AF321">
        <f t="shared" si="110"/>
        <v>5</v>
      </c>
      <c r="AG321">
        <f t="shared" si="126"/>
        <v>0</v>
      </c>
      <c r="AH321">
        <f>'Assessment Questions'!AK321</f>
        <v>0</v>
      </c>
      <c r="AI321">
        <f>'Assessment Questions'!AL321</f>
        <v>0</v>
      </c>
      <c r="AJ321">
        <f>IF(OR($H321="",$H321="N/A"),"",IF($AH321="",VLOOKUP('Company Profile'!$B$40,_CONFIG_Model_Settings!$A$5:$B$8,2,FALSE),IFERROR(VLOOKUP($AH321,_CONFIG_Model_Settings!$A$5:$B$8,2,FALSE),0.9)))</f>
        <v>0.9</v>
      </c>
      <c r="AK321">
        <f>IF(OR($H321="",$H321="N/A"),"",IF($AI321="",VLOOKUP('Company Profile'!$B$41,_CONFIG_Model_Settings!$A$5:$B$8,2,FALSE),IFERROR(VLOOKUP($AI321,_CONFIG_Model_Settings!$A$5:$B$8,2,FALSE),0.9)))</f>
        <v>0.9</v>
      </c>
      <c r="AL321">
        <f t="shared" si="111"/>
        <v>0</v>
      </c>
      <c r="AM321">
        <f t="shared" si="112"/>
        <v>0</v>
      </c>
      <c r="AN321">
        <f>IFERROR(MIN(5,MAX(0,(SUMIFS(_REF_Model_Content!$D$1:$D$174,_REF_Model_Content!$A$1:$A$174,PV_Canonical_Industry,_REF_Model_Content!$B$1:$B$174,"IT Cloud DR"))+IFERROR(VLOOKUP('Company Profile'!$B$35,_CONFIG_Model_Settings!$A$11:$B$13,2,0),0))),"")</f>
        <v>0</v>
      </c>
      <c r="AO321">
        <f t="shared" si="113"/>
        <v>0</v>
      </c>
      <c r="AP321">
        <f>IFERROR(SUMIFS(_REF_Model_Content!$E$1:$E$174,_REF_Model_Content!$A$1:$A$174,PV_Canonical_Industry,_REF_Model_Content!$B$1:$B$174,"IT Cloud DR"),1)</f>
        <v>0</v>
      </c>
      <c r="AQ321">
        <f t="shared" si="114"/>
        <v>0</v>
      </c>
      <c r="AR321" t="str">
        <f t="shared" si="115"/>
        <v>Within target</v>
      </c>
      <c r="AS321">
        <f t="shared" si="116"/>
        <v>0</v>
      </c>
      <c r="AT321">
        <f t="shared" si="117"/>
        <v>0.9</v>
      </c>
      <c r="AU321">
        <f>'Assessment Questions'!AX321</f>
        <v>0</v>
      </c>
      <c r="AV321">
        <f t="shared" si="118"/>
        <v>0.9</v>
      </c>
      <c r="AW321" t="s">
        <v>2588</v>
      </c>
      <c r="AX321" t="s">
        <v>2588</v>
      </c>
      <c r="AY321">
        <v>29</v>
      </c>
      <c r="AZ321">
        <v>321</v>
      </c>
    </row>
    <row r="322" spans="1:52">
      <c r="A322" t="s">
        <v>2708</v>
      </c>
      <c r="B322" t="s">
        <v>2623</v>
      </c>
      <c r="C322" t="s">
        <v>2709</v>
      </c>
      <c r="D322" t="s">
        <v>2592</v>
      </c>
      <c r="E322" t="s">
        <v>2593</v>
      </c>
      <c r="F322" t="s">
        <v>2710</v>
      </c>
      <c r="G322">
        <f>'Assessment Questions'!J322</f>
        <v>3</v>
      </c>
      <c r="H322">
        <f t="shared" si="104"/>
        <v>0</v>
      </c>
      <c r="I322">
        <f t="shared" si="105"/>
        <v>0</v>
      </c>
      <c r="J322">
        <f t="shared" si="106"/>
        <v>3</v>
      </c>
      <c r="K322">
        <f t="shared" si="107"/>
        <v>3</v>
      </c>
      <c r="L322" t="str">
        <f t="shared" si="108"/>
        <v>Critical</v>
      </c>
      <c r="M322" t="s">
        <v>2711</v>
      </c>
      <c r="N322" t="s">
        <v>2712</v>
      </c>
      <c r="O322" t="s">
        <v>2713</v>
      </c>
      <c r="P322" t="s">
        <v>2714</v>
      </c>
      <c r="Q322" t="s">
        <v>2715</v>
      </c>
      <c r="R322" t="s">
        <v>2716</v>
      </c>
      <c r="S322" t="s">
        <v>2595</v>
      </c>
      <c r="T322">
        <f>'Assessment Questions'!W322</f>
        <v>0</v>
      </c>
      <c r="U322">
        <f>'Assessment Questions'!X322</f>
        <v>0</v>
      </c>
      <c r="V322" t="str">
        <f>'Assessment Questions'!Y322</f>
        <v>Use the recommended action generated by the model; validate with domain owner during real assessment.</v>
      </c>
      <c r="W322">
        <v>5</v>
      </c>
      <c r="X322">
        <v>5</v>
      </c>
      <c r="Y322">
        <v>5</v>
      </c>
      <c r="Z322">
        <f>'Assessment Questions'!AC322</f>
        <v>0</v>
      </c>
      <c r="AB322">
        <f t="shared" si="123"/>
        <v>0</v>
      </c>
      <c r="AC322">
        <f t="shared" si="124"/>
        <v>0</v>
      </c>
      <c r="AD322">
        <f t="shared" si="109"/>
        <v>0</v>
      </c>
      <c r="AE322">
        <f t="shared" si="125"/>
        <v>0</v>
      </c>
      <c r="AF322">
        <f t="shared" si="110"/>
        <v>5</v>
      </c>
      <c r="AG322">
        <f t="shared" si="126"/>
        <v>0</v>
      </c>
      <c r="AH322">
        <f>'Assessment Questions'!AK322</f>
        <v>0</v>
      </c>
      <c r="AI322">
        <f>'Assessment Questions'!AL322</f>
        <v>0</v>
      </c>
      <c r="AJ322">
        <f>IF(OR($H322="",$H322="N/A"),"",IF($AH322="",VLOOKUP('Company Profile'!$B$40,_CONFIG_Model_Settings!$A$5:$B$8,2,FALSE),IFERROR(VLOOKUP($AH322,_CONFIG_Model_Settings!$A$5:$B$8,2,FALSE),0.9)))</f>
        <v>0.9</v>
      </c>
      <c r="AK322">
        <f>IF(OR($H322="",$H322="N/A"),"",IF($AI322="",VLOOKUP('Company Profile'!$B$41,_CONFIG_Model_Settings!$A$5:$B$8,2,FALSE),IFERROR(VLOOKUP($AI322,_CONFIG_Model_Settings!$A$5:$B$8,2,FALSE),0.9)))</f>
        <v>0.9</v>
      </c>
      <c r="AL322">
        <f t="shared" si="111"/>
        <v>0</v>
      </c>
      <c r="AM322">
        <f t="shared" si="112"/>
        <v>0</v>
      </c>
      <c r="AN322">
        <f>IFERROR(MIN(5,MAX(0,(SUMIFS(_REF_Model_Content!$D$1:$D$174,_REF_Model_Content!$A$1:$A$174,PV_Canonical_Industry,_REF_Model_Content!$B$1:$B$174,"IT Cloud DR"))+IFERROR(VLOOKUP('Company Profile'!$B$35,_CONFIG_Model_Settings!$A$11:$B$13,2,0),0))),"")</f>
        <v>0</v>
      </c>
      <c r="AO322">
        <f t="shared" si="113"/>
        <v>0</v>
      </c>
      <c r="AP322">
        <f>IFERROR(SUMIFS(_REF_Model_Content!$E$1:$E$174,_REF_Model_Content!$A$1:$A$174,PV_Canonical_Industry,_REF_Model_Content!$B$1:$B$174,"IT Cloud DR"),1)</f>
        <v>0</v>
      </c>
      <c r="AQ322">
        <f t="shared" si="114"/>
        <v>0</v>
      </c>
      <c r="AR322" t="str">
        <f t="shared" si="115"/>
        <v>Within target</v>
      </c>
      <c r="AS322">
        <f t="shared" si="116"/>
        <v>0</v>
      </c>
      <c r="AT322">
        <f t="shared" si="117"/>
        <v>0.9</v>
      </c>
      <c r="AU322">
        <f>'Assessment Questions'!AX322</f>
        <v>0</v>
      </c>
      <c r="AV322">
        <f t="shared" si="118"/>
        <v>0.9</v>
      </c>
      <c r="AW322" t="s">
        <v>2588</v>
      </c>
      <c r="AX322" t="s">
        <v>2588</v>
      </c>
      <c r="AY322">
        <v>30</v>
      </c>
      <c r="AZ322">
        <v>322</v>
      </c>
    </row>
    <row r="323" spans="1:52">
      <c r="A323" t="s">
        <v>2717</v>
      </c>
      <c r="B323" t="s">
        <v>2623</v>
      </c>
      <c r="C323" t="s">
        <v>2718</v>
      </c>
      <c r="D323" t="s">
        <v>2592</v>
      </c>
      <c r="E323" t="s">
        <v>2593</v>
      </c>
      <c r="F323" t="s">
        <v>2719</v>
      </c>
      <c r="G323">
        <f>'Assessment Questions'!J323</f>
        <v>3</v>
      </c>
      <c r="H323">
        <f t="shared" si="104"/>
        <v>0</v>
      </c>
      <c r="I323">
        <f t="shared" si="105"/>
        <v>0</v>
      </c>
      <c r="J323">
        <f t="shared" si="106"/>
        <v>3</v>
      </c>
      <c r="K323">
        <f t="shared" si="107"/>
        <v>3</v>
      </c>
      <c r="L323" t="str">
        <f t="shared" si="108"/>
        <v>Critical</v>
      </c>
      <c r="M323" t="s">
        <v>2720</v>
      </c>
      <c r="N323" t="s">
        <v>2721</v>
      </c>
      <c r="O323" t="s">
        <v>2722</v>
      </c>
      <c r="P323" t="s">
        <v>2723</v>
      </c>
      <c r="Q323" t="s">
        <v>2724</v>
      </c>
      <c r="R323" t="s">
        <v>2725</v>
      </c>
      <c r="S323" t="s">
        <v>2595</v>
      </c>
      <c r="T323">
        <f>'Assessment Questions'!W323</f>
        <v>0</v>
      </c>
      <c r="U323">
        <f>'Assessment Questions'!X323</f>
        <v>0</v>
      </c>
      <c r="V323" t="str">
        <f>'Assessment Questions'!Y323</f>
        <v>Use the recommended action generated by the model; validate with domain owner during real assessment.</v>
      </c>
      <c r="W323">
        <v>5</v>
      </c>
      <c r="X323">
        <v>5</v>
      </c>
      <c r="Y323">
        <v>5</v>
      </c>
      <c r="Z323">
        <f>'Assessment Questions'!AC323</f>
        <v>0</v>
      </c>
      <c r="AB323">
        <f t="shared" si="123"/>
        <v>0</v>
      </c>
      <c r="AC323">
        <f t="shared" si="124"/>
        <v>0</v>
      </c>
      <c r="AD323">
        <f t="shared" si="109"/>
        <v>0</v>
      </c>
      <c r="AE323">
        <f t="shared" si="125"/>
        <v>0</v>
      </c>
      <c r="AF323">
        <f t="shared" si="110"/>
        <v>5</v>
      </c>
      <c r="AG323">
        <f t="shared" si="126"/>
        <v>0</v>
      </c>
      <c r="AH323">
        <f>'Assessment Questions'!AK323</f>
        <v>0</v>
      </c>
      <c r="AI323">
        <f>'Assessment Questions'!AL323</f>
        <v>0</v>
      </c>
      <c r="AJ323">
        <f>IF(OR($H323="",$H323="N/A"),"",IF($AH323="",VLOOKUP('Company Profile'!$B$40,_CONFIG_Model_Settings!$A$5:$B$8,2,FALSE),IFERROR(VLOOKUP($AH323,_CONFIG_Model_Settings!$A$5:$B$8,2,FALSE),0.9)))</f>
        <v>0.9</v>
      </c>
      <c r="AK323">
        <f>IF(OR($H323="",$H323="N/A"),"",IF($AI323="",VLOOKUP('Company Profile'!$B$41,_CONFIG_Model_Settings!$A$5:$B$8,2,FALSE),IFERROR(VLOOKUP($AI323,_CONFIG_Model_Settings!$A$5:$B$8,2,FALSE),0.9)))</f>
        <v>0.9</v>
      </c>
      <c r="AL323">
        <f t="shared" si="111"/>
        <v>0</v>
      </c>
      <c r="AM323">
        <f t="shared" si="112"/>
        <v>0</v>
      </c>
      <c r="AN323">
        <f>IFERROR(MIN(5,MAX(0,(SUMIFS(_REF_Model_Content!$D$1:$D$174,_REF_Model_Content!$A$1:$A$174,PV_Canonical_Industry,_REF_Model_Content!$B$1:$B$174,"IT Cloud DR"))+IFERROR(VLOOKUP('Company Profile'!$B$35,_CONFIG_Model_Settings!$A$11:$B$13,2,0),0))),"")</f>
        <v>0</v>
      </c>
      <c r="AO323">
        <f t="shared" si="113"/>
        <v>0</v>
      </c>
      <c r="AP323">
        <f>IFERROR(SUMIFS(_REF_Model_Content!$E$1:$E$174,_REF_Model_Content!$A$1:$A$174,PV_Canonical_Industry,_REF_Model_Content!$B$1:$B$174,"IT Cloud DR"),1)</f>
        <v>0</v>
      </c>
      <c r="AQ323">
        <f t="shared" si="114"/>
        <v>0</v>
      </c>
      <c r="AR323" t="str">
        <f t="shared" si="115"/>
        <v>Within target</v>
      </c>
      <c r="AS323">
        <f t="shared" si="116"/>
        <v>0</v>
      </c>
      <c r="AT323">
        <f t="shared" si="117"/>
        <v>0.9</v>
      </c>
      <c r="AU323">
        <f>'Assessment Questions'!AX323</f>
        <v>0</v>
      </c>
      <c r="AV323">
        <f t="shared" si="118"/>
        <v>0.9</v>
      </c>
      <c r="AW323" t="s">
        <v>2588</v>
      </c>
      <c r="AX323" t="s">
        <v>2588</v>
      </c>
      <c r="AY323">
        <v>31</v>
      </c>
      <c r="AZ323">
        <v>323</v>
      </c>
    </row>
    <row r="324" spans="1:52">
      <c r="A324" t="s">
        <v>2726</v>
      </c>
      <c r="B324" t="s">
        <v>2623</v>
      </c>
      <c r="C324" t="s">
        <v>2727</v>
      </c>
      <c r="D324" t="s">
        <v>2592</v>
      </c>
      <c r="E324" t="s">
        <v>2593</v>
      </c>
      <c r="F324" t="s">
        <v>2728</v>
      </c>
      <c r="G324">
        <f>'Assessment Questions'!J324</f>
        <v>5</v>
      </c>
      <c r="H324">
        <f t="shared" si="104"/>
        <v>0</v>
      </c>
      <c r="I324">
        <f t="shared" si="105"/>
        <v>0</v>
      </c>
      <c r="J324">
        <f t="shared" si="106"/>
        <v>5</v>
      </c>
      <c r="K324">
        <f t="shared" si="107"/>
        <v>5</v>
      </c>
      <c r="L324" t="str">
        <f t="shared" si="108"/>
        <v>Critical</v>
      </c>
      <c r="M324" t="s">
        <v>833</v>
      </c>
      <c r="N324" t="s">
        <v>834</v>
      </c>
      <c r="O324" t="s">
        <v>835</v>
      </c>
      <c r="P324" t="s">
        <v>836</v>
      </c>
      <c r="Q324" t="s">
        <v>837</v>
      </c>
      <c r="R324" t="s">
        <v>838</v>
      </c>
      <c r="S324" t="s">
        <v>2595</v>
      </c>
      <c r="T324">
        <f>'Assessment Questions'!W324</f>
        <v>0</v>
      </c>
      <c r="U324">
        <f>'Assessment Questions'!X324</f>
        <v>0</v>
      </c>
      <c r="V324" t="str">
        <f>'Assessment Questions'!Y324</f>
        <v>Use the recommended action generated by the model; validate with domain owner during real assessment.</v>
      </c>
      <c r="W324">
        <v>5</v>
      </c>
      <c r="X324">
        <v>5</v>
      </c>
      <c r="Y324">
        <v>5</v>
      </c>
      <c r="Z324">
        <f>'Assessment Questions'!AC324</f>
        <v>0</v>
      </c>
      <c r="AB324">
        <f t="shared" si="123"/>
        <v>0</v>
      </c>
      <c r="AC324">
        <f t="shared" si="124"/>
        <v>0</v>
      </c>
      <c r="AD324">
        <f t="shared" si="109"/>
        <v>0</v>
      </c>
      <c r="AE324">
        <f t="shared" si="125"/>
        <v>0</v>
      </c>
      <c r="AF324">
        <f t="shared" si="110"/>
        <v>5</v>
      </c>
      <c r="AG324">
        <f t="shared" si="126"/>
        <v>0</v>
      </c>
      <c r="AH324">
        <f>'Assessment Questions'!AK324</f>
        <v>0</v>
      </c>
      <c r="AI324">
        <f>'Assessment Questions'!AL324</f>
        <v>0</v>
      </c>
      <c r="AJ324">
        <f>IF(OR($H324="",$H324="N/A"),"",IF($AH324="",VLOOKUP('Company Profile'!$B$40,_CONFIG_Model_Settings!$A$5:$B$8,2,FALSE),IFERROR(VLOOKUP($AH324,_CONFIG_Model_Settings!$A$5:$B$8,2,FALSE),0.9)))</f>
        <v>0.9</v>
      </c>
      <c r="AK324">
        <f>IF(OR($H324="",$H324="N/A"),"",IF($AI324="",VLOOKUP('Company Profile'!$B$41,_CONFIG_Model_Settings!$A$5:$B$8,2,FALSE),IFERROR(VLOOKUP($AI324,_CONFIG_Model_Settings!$A$5:$B$8,2,FALSE),0.9)))</f>
        <v>0.9</v>
      </c>
      <c r="AL324">
        <f t="shared" si="111"/>
        <v>0</v>
      </c>
      <c r="AM324">
        <f t="shared" si="112"/>
        <v>0</v>
      </c>
      <c r="AN324">
        <f>IFERROR(MIN(5,MAX(0,(SUMIFS(_REF_Model_Content!$D$1:$D$174,_REF_Model_Content!$A$1:$A$174,PV_Canonical_Industry,_REF_Model_Content!$B$1:$B$174,"IT Cloud DR"))+IFERROR(VLOOKUP('Company Profile'!$B$35,_CONFIG_Model_Settings!$A$11:$B$13,2,0),0))),"")</f>
        <v>0</v>
      </c>
      <c r="AO324">
        <f t="shared" si="113"/>
        <v>0</v>
      </c>
      <c r="AP324">
        <f>IFERROR(SUMIFS(_REF_Model_Content!$E$1:$E$174,_REF_Model_Content!$A$1:$A$174,PV_Canonical_Industry,_REF_Model_Content!$B$1:$B$174,"IT Cloud DR"),1)</f>
        <v>0</v>
      </c>
      <c r="AQ324">
        <f t="shared" si="114"/>
        <v>0</v>
      </c>
      <c r="AR324" t="str">
        <f t="shared" si="115"/>
        <v>Within target</v>
      </c>
      <c r="AS324">
        <f t="shared" si="116"/>
        <v>0</v>
      </c>
      <c r="AT324">
        <f t="shared" si="117"/>
        <v>0.9</v>
      </c>
      <c r="AU324">
        <f>'Assessment Questions'!AX324</f>
        <v>0</v>
      </c>
      <c r="AV324">
        <f t="shared" si="118"/>
        <v>0.9</v>
      </c>
      <c r="AW324" t="s">
        <v>2588</v>
      </c>
      <c r="AX324" t="s">
        <v>2588</v>
      </c>
      <c r="AY324">
        <v>32</v>
      </c>
      <c r="AZ324">
        <v>324</v>
      </c>
    </row>
    <row r="325" spans="1:52">
      <c r="A325" t="s">
        <v>2730</v>
      </c>
      <c r="B325" t="s">
        <v>677</v>
      </c>
      <c r="C325" t="s">
        <v>2731</v>
      </c>
      <c r="D325" t="s">
        <v>2732</v>
      </c>
      <c r="E325" t="s">
        <v>2733</v>
      </c>
      <c r="F325" t="s">
        <v>2734</v>
      </c>
      <c r="G325">
        <f>'Assessment Questions'!J325</f>
        <v>5</v>
      </c>
      <c r="H325">
        <f t="shared" ref="H325:H388" si="127">IF($Z325="","",IF($Z325="N/A","N/A",VALUE(LEFT($Z325,1))))</f>
        <v>0</v>
      </c>
      <c r="I325">
        <f t="shared" ref="I325:I388" si="128">IF($H325="","",IF($H325="N/A","",VALUE($H325)/5*$G325))</f>
        <v>0</v>
      </c>
      <c r="J325">
        <f t="shared" ref="J325:J388" si="129">IF(OR($H325="",$H325="N/A"),"",$G325)</f>
        <v>5</v>
      </c>
      <c r="K325">
        <f t="shared" ref="K325:K388" si="130">IF(OR($H325="",$H325="N/A"),"",$J325-$I325)</f>
        <v>5</v>
      </c>
      <c r="L325" t="str">
        <f t="shared" ref="L325:L388" si="131">IF($H325="","",IF($H325="N/A","N/A",IF(VALUE($H325)&lt;=1,"Critical",IF(VALUE($H325)&lt;=2,"High",IF(VALUE($H325)&lt;=3,"Medium",IF(VALUE($H325)&lt;=4,"Low","Resilient"))))))</f>
        <v>Critical</v>
      </c>
      <c r="M325" t="s">
        <v>1051</v>
      </c>
      <c r="N325" t="s">
        <v>1052</v>
      </c>
      <c r="O325" t="s">
        <v>1053</v>
      </c>
      <c r="P325" t="s">
        <v>1054</v>
      </c>
      <c r="Q325" t="s">
        <v>1055</v>
      </c>
      <c r="R325" t="s">
        <v>1056</v>
      </c>
      <c r="S325" t="s">
        <v>2735</v>
      </c>
      <c r="T325">
        <f>'Assessment Questions'!W325</f>
        <v>0</v>
      </c>
      <c r="U325">
        <f>'Assessment Questions'!X325</f>
        <v>0</v>
      </c>
      <c r="V325" t="str">
        <f>'Assessment Questions'!Y325</f>
        <v>Use the recommended action generated by the model; validate with domain owner during real assessment.</v>
      </c>
      <c r="W325">
        <v>5</v>
      </c>
      <c r="X325">
        <v>5</v>
      </c>
      <c r="Y325">
        <v>5</v>
      </c>
      <c r="Z325">
        <f>'Assessment Questions'!AC325</f>
        <v>0</v>
      </c>
      <c r="AA325" t="s">
        <v>677</v>
      </c>
      <c r="AB325">
        <f t="shared" ref="AB325:AB345" si="132">COUNTIF($B$325:$B$345,$AA325)</f>
        <v>5</v>
      </c>
      <c r="AC325">
        <f t="shared" ref="AC325:AC345" si="133">IFERROR(SUMPRODUCT(($B$325:$B$345=$AA325)*($H$325:$H$345&lt;&gt;"")*($H$325:$H$345&lt;&gt;"N/A")*IFERROR(VALUE($H$325:$H$345),0))/SUMPRODUCT(($B$325:$B$345=$AA325)*($H$325:$H$345&lt;&gt;"")*($H$325:$H$345&lt;&gt;"N/A")),0)</f>
        <v>0</v>
      </c>
      <c r="AD325">
        <f t="shared" ref="AD325:AD388" si="134">AC325/5</f>
        <v>0</v>
      </c>
      <c r="AE325">
        <f t="shared" ref="AE325:AE345" si="135">COUNTIFS($B$325:$B$345,$AA325,$L$325:$L$345,"Critical")+COUNTIFS($B$325:$B$345,$AA325,$L$325:$L$345,"High")</f>
        <v>5</v>
      </c>
      <c r="AF325">
        <f t="shared" ref="AF325:AF388" si="136">5-AC325</f>
        <v>5</v>
      </c>
      <c r="AG325">
        <f t="shared" ref="AG325:AG345" si="137">SUMPRODUCT(($B$325:$B$345=$AA325)*(ISNUMBER($H$325:$H$345)+($H$325:$H$345="N/A")))</f>
        <v>5</v>
      </c>
      <c r="AH325">
        <f>'Assessment Questions'!AK325</f>
        <v>0</v>
      </c>
      <c r="AI325">
        <f>'Assessment Questions'!AL325</f>
        <v>0</v>
      </c>
      <c r="AJ325">
        <f>IF(OR($H325="",$H325="N/A"),"",IF($AH325="",VLOOKUP('Company Profile'!$B$40,_CONFIG_Model_Settings!$A$5:$B$8,2,FALSE),IFERROR(VLOOKUP($AH325,_CONFIG_Model_Settings!$A$5:$B$8,2,FALSE),0.9)))</f>
        <v>0.9</v>
      </c>
      <c r="AK325">
        <f>IF(OR($H325="",$H325="N/A"),"",IF($AI325="",VLOOKUP('Company Profile'!$B$41,_CONFIG_Model_Settings!$A$5:$B$8,2,FALSE),IFERROR(VLOOKUP($AI325,_CONFIG_Model_Settings!$A$5:$B$8,2,FALSE),0.9)))</f>
        <v>0.9</v>
      </c>
      <c r="AL325">
        <f t="shared" ref="AL325:AL388" si="138">IF(OR($H325="",$H325="N/A"),"",ROUND(VALUE($H325)*$AJ325*$AK325*$AV325,2))</f>
        <v>0</v>
      </c>
      <c r="AM325">
        <f t="shared" ref="AM325:AM388" si="139">IF($AL325="","",ROUND($AL325/5*100,1))</f>
        <v>0</v>
      </c>
      <c r="AN325">
        <f>IFERROR(MIN(5,MAX(0,(SUMIFS(_REF_Model_Content!$D$1:$D$174,_REF_Model_Content!$A$1:$A$174,PV_Canonical_Industry,_REF_Model_Content!$B$1:$B$174,"Business Systems"))+IFERROR(VLOOKUP('Company Profile'!$B$35,_CONFIG_Model_Settings!$A$11:$B$13,2,0),0))),"")</f>
        <v>0</v>
      </c>
      <c r="AO325">
        <f t="shared" ref="AO325:AO388" si="140">IF($AL325="","",MAX(0,ROUND($AN325-$AL325,2)))</f>
        <v>0</v>
      </c>
      <c r="AP325">
        <f>IFERROR(SUMIFS(_REF_Model_Content!$E$1:$E$174,_REF_Model_Content!$A$1:$A$174,PV_Canonical_Industry,_REF_Model_Content!$B$1:$B$174,"Business Systems"),1)</f>
        <v>0</v>
      </c>
      <c r="AQ325">
        <f t="shared" ref="AQ325:AQ388" si="141">IF($AO325="","",ROUND($AO325*$AP325*($G325/5),2))</f>
        <v>0</v>
      </c>
      <c r="AR325" t="str">
        <f t="shared" ref="AR325:AR388" si="142">IF($AO325="","",IF($AO325&gt;=2,"Critical industry gap",IF($AO325&gt;=1,"High industry gap",IF($AO325&gt;=0.5,"Moderate industry gap","Within target"))))</f>
        <v>Within target</v>
      </c>
      <c r="AS325">
        <f t="shared" ref="AS325:AS388" si="143">IF(OR($H325="",$H325="N/A"),0,VALUE($H325)*(($AJ325+$AK325)/2)*$AV325)</f>
        <v>0</v>
      </c>
      <c r="AT325">
        <f t="shared" ref="AT325:AT388" si="144">IF(OR($H325="",$H325="N/A"),0,($AJ325+$AK325)/2)</f>
        <v>0.9</v>
      </c>
      <c r="AU325">
        <f>'Assessment Questions'!AX325</f>
        <v>0</v>
      </c>
      <c r="AV325">
        <f t="shared" ref="AV325:AV388" si="145">IF(OR($H325="",$H325="N/A"),"",IF(OR($AU325="",$AU325="Everywhere",$AU325="Not applicable"),1,IF($AU325="Pilot / one team",0.4,IF($AU325="One unit or site",0.7,0.9))))</f>
        <v>0.9</v>
      </c>
      <c r="AW325" t="s">
        <v>2729</v>
      </c>
      <c r="AX325" t="s">
        <v>2729</v>
      </c>
      <c r="AY325">
        <v>5</v>
      </c>
      <c r="AZ325">
        <v>325</v>
      </c>
    </row>
    <row r="326" spans="1:52">
      <c r="A326" t="s">
        <v>2736</v>
      </c>
      <c r="B326" t="s">
        <v>677</v>
      </c>
      <c r="C326" t="s">
        <v>2737</v>
      </c>
      <c r="D326" t="s">
        <v>2732</v>
      </c>
      <c r="E326" t="s">
        <v>2733</v>
      </c>
      <c r="F326" t="s">
        <v>2738</v>
      </c>
      <c r="G326">
        <f>'Assessment Questions'!J326</f>
        <v>5</v>
      </c>
      <c r="H326">
        <f t="shared" si="127"/>
        <v>0</v>
      </c>
      <c r="I326">
        <f t="shared" si="128"/>
        <v>0</v>
      </c>
      <c r="J326">
        <f t="shared" si="129"/>
        <v>5</v>
      </c>
      <c r="K326">
        <f t="shared" si="130"/>
        <v>5</v>
      </c>
      <c r="L326" t="str">
        <f t="shared" si="131"/>
        <v>Critical</v>
      </c>
      <c r="M326" t="s">
        <v>833</v>
      </c>
      <c r="N326" t="s">
        <v>834</v>
      </c>
      <c r="O326" t="s">
        <v>835</v>
      </c>
      <c r="P326" t="s">
        <v>836</v>
      </c>
      <c r="Q326" t="s">
        <v>837</v>
      </c>
      <c r="R326" t="s">
        <v>838</v>
      </c>
      <c r="S326" t="s">
        <v>2735</v>
      </c>
      <c r="T326">
        <f>'Assessment Questions'!W326</f>
        <v>0</v>
      </c>
      <c r="U326">
        <f>'Assessment Questions'!X326</f>
        <v>0</v>
      </c>
      <c r="V326" t="str">
        <f>'Assessment Questions'!Y326</f>
        <v>Use the recommended action generated by the model; validate with domain owner during real assessment.</v>
      </c>
      <c r="W326">
        <v>5</v>
      </c>
      <c r="X326">
        <v>5</v>
      </c>
      <c r="Y326">
        <v>5</v>
      </c>
      <c r="Z326">
        <f>'Assessment Questions'!AC326</f>
        <v>0</v>
      </c>
      <c r="AA326" t="s">
        <v>2739</v>
      </c>
      <c r="AB326">
        <f t="shared" si="132"/>
        <v>3</v>
      </c>
      <c r="AC326">
        <f t="shared" si="133"/>
        <v>0</v>
      </c>
      <c r="AD326">
        <f t="shared" si="134"/>
        <v>0</v>
      </c>
      <c r="AE326">
        <f t="shared" si="135"/>
        <v>3</v>
      </c>
      <c r="AF326">
        <f t="shared" si="136"/>
        <v>5</v>
      </c>
      <c r="AG326">
        <f t="shared" si="137"/>
        <v>3</v>
      </c>
      <c r="AH326">
        <f>'Assessment Questions'!AK326</f>
        <v>0</v>
      </c>
      <c r="AI326">
        <f>'Assessment Questions'!AL326</f>
        <v>0</v>
      </c>
      <c r="AJ326">
        <f>IF(OR($H326="",$H326="N/A"),"",IF($AH326="",VLOOKUP('Company Profile'!$B$40,_CONFIG_Model_Settings!$A$5:$B$8,2,FALSE),IFERROR(VLOOKUP($AH326,_CONFIG_Model_Settings!$A$5:$B$8,2,FALSE),0.9)))</f>
        <v>0.9</v>
      </c>
      <c r="AK326">
        <f>IF(OR($H326="",$H326="N/A"),"",IF($AI326="",VLOOKUP('Company Profile'!$B$41,_CONFIG_Model_Settings!$A$5:$B$8,2,FALSE),IFERROR(VLOOKUP($AI326,_CONFIG_Model_Settings!$A$5:$B$8,2,FALSE),0.9)))</f>
        <v>0.9</v>
      </c>
      <c r="AL326">
        <f t="shared" si="138"/>
        <v>0</v>
      </c>
      <c r="AM326">
        <f t="shared" si="139"/>
        <v>0</v>
      </c>
      <c r="AN326">
        <f>IFERROR(MIN(5,MAX(0,(SUMIFS(_REF_Model_Content!$D$1:$D$174,_REF_Model_Content!$A$1:$A$174,PV_Canonical_Industry,_REF_Model_Content!$B$1:$B$174,"Business Systems"))+IFERROR(VLOOKUP('Company Profile'!$B$35,_CONFIG_Model_Settings!$A$11:$B$13,2,0),0))),"")</f>
        <v>0</v>
      </c>
      <c r="AO326">
        <f t="shared" si="140"/>
        <v>0</v>
      </c>
      <c r="AP326">
        <f>IFERROR(SUMIFS(_REF_Model_Content!$E$1:$E$174,_REF_Model_Content!$A$1:$A$174,PV_Canonical_Industry,_REF_Model_Content!$B$1:$B$174,"Business Systems"),1)</f>
        <v>0</v>
      </c>
      <c r="AQ326">
        <f t="shared" si="141"/>
        <v>0</v>
      </c>
      <c r="AR326" t="str">
        <f t="shared" si="142"/>
        <v>Within target</v>
      </c>
      <c r="AS326">
        <f t="shared" si="143"/>
        <v>0</v>
      </c>
      <c r="AT326">
        <f t="shared" si="144"/>
        <v>0.9</v>
      </c>
      <c r="AU326">
        <f>'Assessment Questions'!AX326</f>
        <v>0</v>
      </c>
      <c r="AV326">
        <f t="shared" si="145"/>
        <v>0.9</v>
      </c>
      <c r="AW326" t="s">
        <v>2729</v>
      </c>
      <c r="AX326" t="s">
        <v>2729</v>
      </c>
      <c r="AY326">
        <v>6</v>
      </c>
      <c r="AZ326">
        <v>326</v>
      </c>
    </row>
    <row r="327" spans="1:52">
      <c r="A327" t="s">
        <v>2740</v>
      </c>
      <c r="B327" t="s">
        <v>677</v>
      </c>
      <c r="C327" t="s">
        <v>2741</v>
      </c>
      <c r="D327" t="s">
        <v>2732</v>
      </c>
      <c r="E327" t="s">
        <v>2733</v>
      </c>
      <c r="F327" t="s">
        <v>2742</v>
      </c>
      <c r="G327">
        <f>'Assessment Questions'!J327</f>
        <v>5</v>
      </c>
      <c r="H327">
        <f t="shared" si="127"/>
        <v>0</v>
      </c>
      <c r="I327">
        <f t="shared" si="128"/>
        <v>0</v>
      </c>
      <c r="J327">
        <f t="shared" si="129"/>
        <v>5</v>
      </c>
      <c r="K327">
        <f t="shared" si="130"/>
        <v>5</v>
      </c>
      <c r="L327" t="str">
        <f t="shared" si="131"/>
        <v>Critical</v>
      </c>
      <c r="M327" t="s">
        <v>833</v>
      </c>
      <c r="N327" t="s">
        <v>834</v>
      </c>
      <c r="O327" t="s">
        <v>835</v>
      </c>
      <c r="P327" t="s">
        <v>836</v>
      </c>
      <c r="Q327" t="s">
        <v>837</v>
      </c>
      <c r="R327" t="s">
        <v>838</v>
      </c>
      <c r="S327" t="s">
        <v>2735</v>
      </c>
      <c r="T327">
        <f>'Assessment Questions'!W327</f>
        <v>0</v>
      </c>
      <c r="U327">
        <f>'Assessment Questions'!X327</f>
        <v>0</v>
      </c>
      <c r="V327" t="str">
        <f>'Assessment Questions'!Y327</f>
        <v>Use the recommended action generated by the model; validate with domain owner during real assessment.</v>
      </c>
      <c r="W327">
        <v>5</v>
      </c>
      <c r="X327">
        <v>5</v>
      </c>
      <c r="Y327">
        <v>5</v>
      </c>
      <c r="Z327">
        <f>'Assessment Questions'!AC327</f>
        <v>0</v>
      </c>
      <c r="AA327" t="s">
        <v>2743</v>
      </c>
      <c r="AB327">
        <f t="shared" si="132"/>
        <v>4</v>
      </c>
      <c r="AC327">
        <f t="shared" si="133"/>
        <v>0</v>
      </c>
      <c r="AD327">
        <f t="shared" si="134"/>
        <v>0</v>
      </c>
      <c r="AE327">
        <f t="shared" si="135"/>
        <v>4</v>
      </c>
      <c r="AF327">
        <f t="shared" si="136"/>
        <v>5</v>
      </c>
      <c r="AG327">
        <f t="shared" si="137"/>
        <v>4</v>
      </c>
      <c r="AH327">
        <f>'Assessment Questions'!AK327</f>
        <v>0</v>
      </c>
      <c r="AI327">
        <f>'Assessment Questions'!AL327</f>
        <v>0</v>
      </c>
      <c r="AJ327">
        <f>IF(OR($H327="",$H327="N/A"),"",IF($AH327="",VLOOKUP('Company Profile'!$B$40,_CONFIG_Model_Settings!$A$5:$B$8,2,FALSE),IFERROR(VLOOKUP($AH327,_CONFIG_Model_Settings!$A$5:$B$8,2,FALSE),0.9)))</f>
        <v>0.9</v>
      </c>
      <c r="AK327">
        <f>IF(OR($H327="",$H327="N/A"),"",IF($AI327="",VLOOKUP('Company Profile'!$B$41,_CONFIG_Model_Settings!$A$5:$B$8,2,FALSE),IFERROR(VLOOKUP($AI327,_CONFIG_Model_Settings!$A$5:$B$8,2,FALSE),0.9)))</f>
        <v>0.9</v>
      </c>
      <c r="AL327">
        <f t="shared" si="138"/>
        <v>0</v>
      </c>
      <c r="AM327">
        <f t="shared" si="139"/>
        <v>0</v>
      </c>
      <c r="AN327">
        <f>IFERROR(MIN(5,MAX(0,(SUMIFS(_REF_Model_Content!$D$1:$D$174,_REF_Model_Content!$A$1:$A$174,PV_Canonical_Industry,_REF_Model_Content!$B$1:$B$174,"Business Systems"))+IFERROR(VLOOKUP('Company Profile'!$B$35,_CONFIG_Model_Settings!$A$11:$B$13,2,0),0))),"")</f>
        <v>0</v>
      </c>
      <c r="AO327">
        <f t="shared" si="140"/>
        <v>0</v>
      </c>
      <c r="AP327">
        <f>IFERROR(SUMIFS(_REF_Model_Content!$E$1:$E$174,_REF_Model_Content!$A$1:$A$174,PV_Canonical_Industry,_REF_Model_Content!$B$1:$B$174,"Business Systems"),1)</f>
        <v>0</v>
      </c>
      <c r="AQ327">
        <f t="shared" si="141"/>
        <v>0</v>
      </c>
      <c r="AR327" t="str">
        <f t="shared" si="142"/>
        <v>Within target</v>
      </c>
      <c r="AS327">
        <f t="shared" si="143"/>
        <v>0</v>
      </c>
      <c r="AT327">
        <f t="shared" si="144"/>
        <v>0.9</v>
      </c>
      <c r="AU327">
        <f>'Assessment Questions'!AX327</f>
        <v>0</v>
      </c>
      <c r="AV327">
        <f t="shared" si="145"/>
        <v>0.9</v>
      </c>
      <c r="AW327" t="s">
        <v>2729</v>
      </c>
      <c r="AX327" t="s">
        <v>2729</v>
      </c>
      <c r="AY327">
        <v>7</v>
      </c>
      <c r="AZ327">
        <v>327</v>
      </c>
    </row>
    <row r="328" spans="1:52">
      <c r="A328" t="s">
        <v>2744</v>
      </c>
      <c r="B328" t="s">
        <v>677</v>
      </c>
      <c r="C328" t="s">
        <v>2745</v>
      </c>
      <c r="D328" t="s">
        <v>2732</v>
      </c>
      <c r="E328" t="s">
        <v>2733</v>
      </c>
      <c r="F328" t="s">
        <v>2746</v>
      </c>
      <c r="G328">
        <f>'Assessment Questions'!J328</f>
        <v>5</v>
      </c>
      <c r="H328">
        <f t="shared" si="127"/>
        <v>0</v>
      </c>
      <c r="I328">
        <f t="shared" si="128"/>
        <v>0</v>
      </c>
      <c r="J328">
        <f t="shared" si="129"/>
        <v>5</v>
      </c>
      <c r="K328">
        <f t="shared" si="130"/>
        <v>5</v>
      </c>
      <c r="L328" t="str">
        <f t="shared" si="131"/>
        <v>Critical</v>
      </c>
      <c r="M328" t="s">
        <v>833</v>
      </c>
      <c r="N328" t="s">
        <v>834</v>
      </c>
      <c r="O328" t="s">
        <v>835</v>
      </c>
      <c r="P328" t="s">
        <v>836</v>
      </c>
      <c r="Q328" t="s">
        <v>837</v>
      </c>
      <c r="R328" t="s">
        <v>838</v>
      </c>
      <c r="S328" t="s">
        <v>2735</v>
      </c>
      <c r="T328">
        <f>'Assessment Questions'!W328</f>
        <v>0</v>
      </c>
      <c r="U328">
        <f>'Assessment Questions'!X328</f>
        <v>0</v>
      </c>
      <c r="V328" t="str">
        <f>'Assessment Questions'!Y328</f>
        <v>Use the recommended action generated by the model; validate with domain owner during real assessment.</v>
      </c>
      <c r="W328">
        <v>5</v>
      </c>
      <c r="X328">
        <v>5</v>
      </c>
      <c r="Y328">
        <v>5</v>
      </c>
      <c r="Z328">
        <f>'Assessment Questions'!AC328</f>
        <v>0</v>
      </c>
      <c r="AA328" t="s">
        <v>2747</v>
      </c>
      <c r="AB328">
        <f t="shared" si="132"/>
        <v>3</v>
      </c>
      <c r="AC328">
        <f t="shared" si="133"/>
        <v>0</v>
      </c>
      <c r="AD328">
        <f t="shared" si="134"/>
        <v>0</v>
      </c>
      <c r="AE328">
        <f t="shared" si="135"/>
        <v>3</v>
      </c>
      <c r="AF328">
        <f t="shared" si="136"/>
        <v>5</v>
      </c>
      <c r="AG328">
        <f t="shared" si="137"/>
        <v>3</v>
      </c>
      <c r="AH328">
        <f>'Assessment Questions'!AK328</f>
        <v>0</v>
      </c>
      <c r="AI328">
        <f>'Assessment Questions'!AL328</f>
        <v>0</v>
      </c>
      <c r="AJ328">
        <f>IF(OR($H328="",$H328="N/A"),"",IF($AH328="",VLOOKUP('Company Profile'!$B$40,_CONFIG_Model_Settings!$A$5:$B$8,2,FALSE),IFERROR(VLOOKUP($AH328,_CONFIG_Model_Settings!$A$5:$B$8,2,FALSE),0.9)))</f>
        <v>0.9</v>
      </c>
      <c r="AK328">
        <f>IF(OR($H328="",$H328="N/A"),"",IF($AI328="",VLOOKUP('Company Profile'!$B$41,_CONFIG_Model_Settings!$A$5:$B$8,2,FALSE),IFERROR(VLOOKUP($AI328,_CONFIG_Model_Settings!$A$5:$B$8,2,FALSE),0.9)))</f>
        <v>0.9</v>
      </c>
      <c r="AL328">
        <f t="shared" si="138"/>
        <v>0</v>
      </c>
      <c r="AM328">
        <f t="shared" si="139"/>
        <v>0</v>
      </c>
      <c r="AN328">
        <f>IFERROR(MIN(5,MAX(0,(SUMIFS(_REF_Model_Content!$D$1:$D$174,_REF_Model_Content!$A$1:$A$174,PV_Canonical_Industry,_REF_Model_Content!$B$1:$B$174,"Business Systems"))+IFERROR(VLOOKUP('Company Profile'!$B$35,_CONFIG_Model_Settings!$A$11:$B$13,2,0),0))),"")</f>
        <v>0</v>
      </c>
      <c r="AO328">
        <f t="shared" si="140"/>
        <v>0</v>
      </c>
      <c r="AP328">
        <f>IFERROR(SUMIFS(_REF_Model_Content!$E$1:$E$174,_REF_Model_Content!$A$1:$A$174,PV_Canonical_Industry,_REF_Model_Content!$B$1:$B$174,"Business Systems"),1)</f>
        <v>0</v>
      </c>
      <c r="AQ328">
        <f t="shared" si="141"/>
        <v>0</v>
      </c>
      <c r="AR328" t="str">
        <f t="shared" si="142"/>
        <v>Within target</v>
      </c>
      <c r="AS328">
        <f t="shared" si="143"/>
        <v>0</v>
      </c>
      <c r="AT328">
        <f t="shared" si="144"/>
        <v>0.9</v>
      </c>
      <c r="AU328">
        <f>'Assessment Questions'!AX328</f>
        <v>0</v>
      </c>
      <c r="AV328">
        <f t="shared" si="145"/>
        <v>0.9</v>
      </c>
      <c r="AW328" t="s">
        <v>2729</v>
      </c>
      <c r="AX328" t="s">
        <v>2729</v>
      </c>
      <c r="AY328">
        <v>8</v>
      </c>
      <c r="AZ328">
        <v>328</v>
      </c>
    </row>
    <row r="329" spans="1:52">
      <c r="A329" t="s">
        <v>2748</v>
      </c>
      <c r="B329" t="s">
        <v>677</v>
      </c>
      <c r="C329" t="s">
        <v>2749</v>
      </c>
      <c r="D329" t="s">
        <v>2732</v>
      </c>
      <c r="E329" t="s">
        <v>2733</v>
      </c>
      <c r="F329" t="s">
        <v>2750</v>
      </c>
      <c r="G329">
        <f>'Assessment Questions'!J329</f>
        <v>5</v>
      </c>
      <c r="H329">
        <f t="shared" si="127"/>
        <v>0</v>
      </c>
      <c r="I329">
        <f t="shared" si="128"/>
        <v>0</v>
      </c>
      <c r="J329">
        <f t="shared" si="129"/>
        <v>5</v>
      </c>
      <c r="K329">
        <f t="shared" si="130"/>
        <v>5</v>
      </c>
      <c r="L329" t="str">
        <f t="shared" si="131"/>
        <v>Critical</v>
      </c>
      <c r="M329" t="s">
        <v>874</v>
      </c>
      <c r="N329" t="s">
        <v>875</v>
      </c>
      <c r="O329" t="s">
        <v>876</v>
      </c>
      <c r="P329" t="s">
        <v>877</v>
      </c>
      <c r="Q329" t="s">
        <v>878</v>
      </c>
      <c r="R329" t="s">
        <v>879</v>
      </c>
      <c r="S329" t="s">
        <v>2735</v>
      </c>
      <c r="T329">
        <f>'Assessment Questions'!W329</f>
        <v>0</v>
      </c>
      <c r="U329">
        <f>'Assessment Questions'!X329</f>
        <v>0</v>
      </c>
      <c r="V329" t="str">
        <f>'Assessment Questions'!Y329</f>
        <v>Use the recommended action generated by the model; validate with domain owner during real assessment.</v>
      </c>
      <c r="W329">
        <v>5</v>
      </c>
      <c r="X329">
        <v>5</v>
      </c>
      <c r="Y329">
        <v>5</v>
      </c>
      <c r="Z329">
        <f>'Assessment Questions'!AC329</f>
        <v>0</v>
      </c>
      <c r="AA329" t="s">
        <v>2751</v>
      </c>
      <c r="AB329">
        <f t="shared" si="132"/>
        <v>6</v>
      </c>
      <c r="AC329">
        <f t="shared" si="133"/>
        <v>0</v>
      </c>
      <c r="AD329">
        <f t="shared" si="134"/>
        <v>0</v>
      </c>
      <c r="AE329">
        <f t="shared" si="135"/>
        <v>6</v>
      </c>
      <c r="AF329">
        <f t="shared" si="136"/>
        <v>5</v>
      </c>
      <c r="AG329">
        <f t="shared" si="137"/>
        <v>6</v>
      </c>
      <c r="AH329">
        <f>'Assessment Questions'!AK329</f>
        <v>0</v>
      </c>
      <c r="AI329">
        <f>'Assessment Questions'!AL329</f>
        <v>0</v>
      </c>
      <c r="AJ329">
        <f>IF(OR($H329="",$H329="N/A"),"",IF($AH329="",VLOOKUP('Company Profile'!$B$40,_CONFIG_Model_Settings!$A$5:$B$8,2,FALSE),IFERROR(VLOOKUP($AH329,_CONFIG_Model_Settings!$A$5:$B$8,2,FALSE),0.9)))</f>
        <v>0.9</v>
      </c>
      <c r="AK329">
        <f>IF(OR($H329="",$H329="N/A"),"",IF($AI329="",VLOOKUP('Company Profile'!$B$41,_CONFIG_Model_Settings!$A$5:$B$8,2,FALSE),IFERROR(VLOOKUP($AI329,_CONFIG_Model_Settings!$A$5:$B$8,2,FALSE),0.9)))</f>
        <v>0.9</v>
      </c>
      <c r="AL329">
        <f t="shared" si="138"/>
        <v>0</v>
      </c>
      <c r="AM329">
        <f t="shared" si="139"/>
        <v>0</v>
      </c>
      <c r="AN329">
        <f>IFERROR(MIN(5,MAX(0,(SUMIFS(_REF_Model_Content!$D$1:$D$174,_REF_Model_Content!$A$1:$A$174,PV_Canonical_Industry,_REF_Model_Content!$B$1:$B$174,"Business Systems"))+IFERROR(VLOOKUP('Company Profile'!$B$35,_CONFIG_Model_Settings!$A$11:$B$13,2,0),0))),"")</f>
        <v>0</v>
      </c>
      <c r="AO329">
        <f t="shared" si="140"/>
        <v>0</v>
      </c>
      <c r="AP329">
        <f>IFERROR(SUMIFS(_REF_Model_Content!$E$1:$E$174,_REF_Model_Content!$A$1:$A$174,PV_Canonical_Industry,_REF_Model_Content!$B$1:$B$174,"Business Systems"),1)</f>
        <v>0</v>
      </c>
      <c r="AQ329">
        <f t="shared" si="141"/>
        <v>0</v>
      </c>
      <c r="AR329" t="str">
        <f t="shared" si="142"/>
        <v>Within target</v>
      </c>
      <c r="AS329">
        <f t="shared" si="143"/>
        <v>0</v>
      </c>
      <c r="AT329">
        <f t="shared" si="144"/>
        <v>0.9</v>
      </c>
      <c r="AU329">
        <f>'Assessment Questions'!AX329</f>
        <v>0</v>
      </c>
      <c r="AV329">
        <f t="shared" si="145"/>
        <v>0.9</v>
      </c>
      <c r="AW329" t="s">
        <v>2729</v>
      </c>
      <c r="AX329" t="s">
        <v>2729</v>
      </c>
      <c r="AY329">
        <v>9</v>
      </c>
      <c r="AZ329">
        <v>329</v>
      </c>
    </row>
    <row r="330" spans="1:52">
      <c r="A330" t="s">
        <v>2752</v>
      </c>
      <c r="B330" t="s">
        <v>2739</v>
      </c>
      <c r="C330" t="s">
        <v>2753</v>
      </c>
      <c r="D330" t="s">
        <v>2732</v>
      </c>
      <c r="E330" t="s">
        <v>2733</v>
      </c>
      <c r="F330" t="s">
        <v>2754</v>
      </c>
      <c r="G330">
        <f>'Assessment Questions'!J330</f>
        <v>5</v>
      </c>
      <c r="H330">
        <f t="shared" si="127"/>
        <v>0</v>
      </c>
      <c r="I330">
        <f t="shared" si="128"/>
        <v>0</v>
      </c>
      <c r="J330">
        <f t="shared" si="129"/>
        <v>5</v>
      </c>
      <c r="K330">
        <f t="shared" si="130"/>
        <v>5</v>
      </c>
      <c r="L330" t="str">
        <f t="shared" si="131"/>
        <v>Critical</v>
      </c>
      <c r="M330" t="s">
        <v>833</v>
      </c>
      <c r="N330" t="s">
        <v>834</v>
      </c>
      <c r="O330" t="s">
        <v>835</v>
      </c>
      <c r="P330" t="s">
        <v>836</v>
      </c>
      <c r="Q330" t="s">
        <v>837</v>
      </c>
      <c r="R330" t="s">
        <v>838</v>
      </c>
      <c r="S330" t="s">
        <v>2735</v>
      </c>
      <c r="T330">
        <f>'Assessment Questions'!W330</f>
        <v>0</v>
      </c>
      <c r="U330">
        <f>'Assessment Questions'!X330</f>
        <v>0</v>
      </c>
      <c r="V330" t="str">
        <f>'Assessment Questions'!Y330</f>
        <v>Use the recommended action generated by the model; validate with domain owner during real assessment.</v>
      </c>
      <c r="W330">
        <v>5</v>
      </c>
      <c r="X330">
        <v>5</v>
      </c>
      <c r="Y330">
        <v>5</v>
      </c>
      <c r="Z330">
        <f>'Assessment Questions'!AC330</f>
        <v>0</v>
      </c>
      <c r="AB330">
        <f t="shared" si="132"/>
        <v>0</v>
      </c>
      <c r="AC330">
        <f t="shared" si="133"/>
        <v>0</v>
      </c>
      <c r="AD330">
        <f t="shared" si="134"/>
        <v>0</v>
      </c>
      <c r="AE330">
        <f t="shared" si="135"/>
        <v>0</v>
      </c>
      <c r="AF330">
        <f t="shared" si="136"/>
        <v>5</v>
      </c>
      <c r="AG330">
        <f t="shared" si="137"/>
        <v>0</v>
      </c>
      <c r="AH330">
        <f>'Assessment Questions'!AK330</f>
        <v>0</v>
      </c>
      <c r="AI330">
        <f>'Assessment Questions'!AL330</f>
        <v>0</v>
      </c>
      <c r="AJ330">
        <f>IF(OR($H330="",$H330="N/A"),"",IF($AH330="",VLOOKUP('Company Profile'!$B$40,_CONFIG_Model_Settings!$A$5:$B$8,2,FALSE),IFERROR(VLOOKUP($AH330,_CONFIG_Model_Settings!$A$5:$B$8,2,FALSE),0.9)))</f>
        <v>0.9</v>
      </c>
      <c r="AK330">
        <f>IF(OR($H330="",$H330="N/A"),"",IF($AI330="",VLOOKUP('Company Profile'!$B$41,_CONFIG_Model_Settings!$A$5:$B$8,2,FALSE),IFERROR(VLOOKUP($AI330,_CONFIG_Model_Settings!$A$5:$B$8,2,FALSE),0.9)))</f>
        <v>0.9</v>
      </c>
      <c r="AL330">
        <f t="shared" si="138"/>
        <v>0</v>
      </c>
      <c r="AM330">
        <f t="shared" si="139"/>
        <v>0</v>
      </c>
      <c r="AN330">
        <f>IFERROR(MIN(5,MAX(0,(SUMIFS(_REF_Model_Content!$D$1:$D$174,_REF_Model_Content!$A$1:$A$174,PV_Canonical_Industry,_REF_Model_Content!$B$1:$B$174,"Business Systems"))+IFERROR(VLOOKUP('Company Profile'!$B$35,_CONFIG_Model_Settings!$A$11:$B$13,2,0),0))),"")</f>
        <v>0</v>
      </c>
      <c r="AO330">
        <f t="shared" si="140"/>
        <v>0</v>
      </c>
      <c r="AP330">
        <f>IFERROR(SUMIFS(_REF_Model_Content!$E$1:$E$174,_REF_Model_Content!$A$1:$A$174,PV_Canonical_Industry,_REF_Model_Content!$B$1:$B$174,"Business Systems"),1)</f>
        <v>0</v>
      </c>
      <c r="AQ330">
        <f t="shared" si="141"/>
        <v>0</v>
      </c>
      <c r="AR330" t="str">
        <f t="shared" si="142"/>
        <v>Within target</v>
      </c>
      <c r="AS330">
        <f t="shared" si="143"/>
        <v>0</v>
      </c>
      <c r="AT330">
        <f t="shared" si="144"/>
        <v>0.9</v>
      </c>
      <c r="AU330">
        <f>'Assessment Questions'!AX330</f>
        <v>0</v>
      </c>
      <c r="AV330">
        <f t="shared" si="145"/>
        <v>0.9</v>
      </c>
      <c r="AW330" t="s">
        <v>2729</v>
      </c>
      <c r="AX330" t="s">
        <v>2729</v>
      </c>
      <c r="AY330">
        <v>10</v>
      </c>
      <c r="AZ330">
        <v>330</v>
      </c>
    </row>
    <row r="331" spans="1:52">
      <c r="A331" t="s">
        <v>2755</v>
      </c>
      <c r="B331" t="s">
        <v>2739</v>
      </c>
      <c r="C331" t="s">
        <v>2756</v>
      </c>
      <c r="D331" t="s">
        <v>2732</v>
      </c>
      <c r="E331" t="s">
        <v>2733</v>
      </c>
      <c r="F331" t="s">
        <v>2757</v>
      </c>
      <c r="G331">
        <f>'Assessment Questions'!J331</f>
        <v>5</v>
      </c>
      <c r="H331">
        <f t="shared" si="127"/>
        <v>0</v>
      </c>
      <c r="I331">
        <f t="shared" si="128"/>
        <v>0</v>
      </c>
      <c r="J331">
        <f t="shared" si="129"/>
        <v>5</v>
      </c>
      <c r="K331">
        <f t="shared" si="130"/>
        <v>5</v>
      </c>
      <c r="L331" t="str">
        <f t="shared" si="131"/>
        <v>Critical</v>
      </c>
      <c r="M331" t="s">
        <v>833</v>
      </c>
      <c r="N331" t="s">
        <v>834</v>
      </c>
      <c r="O331" t="s">
        <v>835</v>
      </c>
      <c r="P331" t="s">
        <v>836</v>
      </c>
      <c r="Q331" t="s">
        <v>837</v>
      </c>
      <c r="R331" t="s">
        <v>838</v>
      </c>
      <c r="S331" t="s">
        <v>2735</v>
      </c>
      <c r="T331">
        <f>'Assessment Questions'!W331</f>
        <v>0</v>
      </c>
      <c r="U331">
        <f>'Assessment Questions'!X331</f>
        <v>0</v>
      </c>
      <c r="V331" t="str">
        <f>'Assessment Questions'!Y331</f>
        <v>Use the recommended action generated by the model; validate with domain owner during real assessment.</v>
      </c>
      <c r="W331">
        <v>5</v>
      </c>
      <c r="X331">
        <v>5</v>
      </c>
      <c r="Y331">
        <v>5</v>
      </c>
      <c r="Z331">
        <f>'Assessment Questions'!AC331</f>
        <v>0</v>
      </c>
      <c r="AB331">
        <f t="shared" si="132"/>
        <v>0</v>
      </c>
      <c r="AC331">
        <f t="shared" si="133"/>
        <v>0</v>
      </c>
      <c r="AD331">
        <f t="shared" si="134"/>
        <v>0</v>
      </c>
      <c r="AE331">
        <f t="shared" si="135"/>
        <v>0</v>
      </c>
      <c r="AF331">
        <f t="shared" si="136"/>
        <v>5</v>
      </c>
      <c r="AG331">
        <f t="shared" si="137"/>
        <v>0</v>
      </c>
      <c r="AH331">
        <f>'Assessment Questions'!AK331</f>
        <v>0</v>
      </c>
      <c r="AI331">
        <f>'Assessment Questions'!AL331</f>
        <v>0</v>
      </c>
      <c r="AJ331">
        <f>IF(OR($H331="",$H331="N/A"),"",IF($AH331="",VLOOKUP('Company Profile'!$B$40,_CONFIG_Model_Settings!$A$5:$B$8,2,FALSE),IFERROR(VLOOKUP($AH331,_CONFIG_Model_Settings!$A$5:$B$8,2,FALSE),0.9)))</f>
        <v>0.9</v>
      </c>
      <c r="AK331">
        <f>IF(OR($H331="",$H331="N/A"),"",IF($AI331="",VLOOKUP('Company Profile'!$B$41,_CONFIG_Model_Settings!$A$5:$B$8,2,FALSE),IFERROR(VLOOKUP($AI331,_CONFIG_Model_Settings!$A$5:$B$8,2,FALSE),0.9)))</f>
        <v>0.9</v>
      </c>
      <c r="AL331">
        <f t="shared" si="138"/>
        <v>0</v>
      </c>
      <c r="AM331">
        <f t="shared" si="139"/>
        <v>0</v>
      </c>
      <c r="AN331">
        <f>IFERROR(MIN(5,MAX(0,(SUMIFS(_REF_Model_Content!$D$1:$D$174,_REF_Model_Content!$A$1:$A$174,PV_Canonical_Industry,_REF_Model_Content!$B$1:$B$174,"Business Systems"))+IFERROR(VLOOKUP('Company Profile'!$B$35,_CONFIG_Model_Settings!$A$11:$B$13,2,0),0))),"")</f>
        <v>0</v>
      </c>
      <c r="AO331">
        <f t="shared" si="140"/>
        <v>0</v>
      </c>
      <c r="AP331">
        <f>IFERROR(SUMIFS(_REF_Model_Content!$E$1:$E$174,_REF_Model_Content!$A$1:$A$174,PV_Canonical_Industry,_REF_Model_Content!$B$1:$B$174,"Business Systems"),1)</f>
        <v>0</v>
      </c>
      <c r="AQ331">
        <f t="shared" si="141"/>
        <v>0</v>
      </c>
      <c r="AR331" t="str">
        <f t="shared" si="142"/>
        <v>Within target</v>
      </c>
      <c r="AS331">
        <f t="shared" si="143"/>
        <v>0</v>
      </c>
      <c r="AT331">
        <f t="shared" si="144"/>
        <v>0.9</v>
      </c>
      <c r="AU331">
        <f>'Assessment Questions'!AX331</f>
        <v>0</v>
      </c>
      <c r="AV331">
        <f t="shared" si="145"/>
        <v>0.9</v>
      </c>
      <c r="AW331" t="s">
        <v>2729</v>
      </c>
      <c r="AX331" t="s">
        <v>2729</v>
      </c>
      <c r="AY331">
        <v>11</v>
      </c>
      <c r="AZ331">
        <v>331</v>
      </c>
    </row>
    <row r="332" spans="1:52">
      <c r="A332" t="s">
        <v>2758</v>
      </c>
      <c r="B332" t="s">
        <v>2739</v>
      </c>
      <c r="C332" t="s">
        <v>2759</v>
      </c>
      <c r="D332" t="s">
        <v>2732</v>
      </c>
      <c r="E332" t="s">
        <v>2733</v>
      </c>
      <c r="F332" t="s">
        <v>2760</v>
      </c>
      <c r="G332">
        <f>'Assessment Questions'!J332</f>
        <v>4</v>
      </c>
      <c r="H332">
        <f t="shared" si="127"/>
        <v>0</v>
      </c>
      <c r="I332">
        <f t="shared" si="128"/>
        <v>0</v>
      </c>
      <c r="J332">
        <f t="shared" si="129"/>
        <v>4</v>
      </c>
      <c r="K332">
        <f t="shared" si="130"/>
        <v>4</v>
      </c>
      <c r="L332" t="str">
        <f t="shared" si="131"/>
        <v>Critical</v>
      </c>
      <c r="M332" t="s">
        <v>2761</v>
      </c>
      <c r="N332" t="s">
        <v>2762</v>
      </c>
      <c r="O332" t="s">
        <v>2763</v>
      </c>
      <c r="P332" t="s">
        <v>2764</v>
      </c>
      <c r="Q332" t="s">
        <v>2765</v>
      </c>
      <c r="R332" t="s">
        <v>2766</v>
      </c>
      <c r="S332" t="s">
        <v>2735</v>
      </c>
      <c r="T332">
        <f>'Assessment Questions'!W332</f>
        <v>0</v>
      </c>
      <c r="U332">
        <f>'Assessment Questions'!X332</f>
        <v>0</v>
      </c>
      <c r="V332" t="str">
        <f>'Assessment Questions'!Y332</f>
        <v>Use the recommended action generated by the model; validate with domain owner during real assessment.</v>
      </c>
      <c r="W332">
        <v>5</v>
      </c>
      <c r="X332">
        <v>5</v>
      </c>
      <c r="Y332">
        <v>5</v>
      </c>
      <c r="Z332">
        <f>'Assessment Questions'!AC332</f>
        <v>0</v>
      </c>
      <c r="AB332">
        <f t="shared" si="132"/>
        <v>0</v>
      </c>
      <c r="AC332">
        <f t="shared" si="133"/>
        <v>0</v>
      </c>
      <c r="AD332">
        <f t="shared" si="134"/>
        <v>0</v>
      </c>
      <c r="AE332">
        <f t="shared" si="135"/>
        <v>0</v>
      </c>
      <c r="AF332">
        <f t="shared" si="136"/>
        <v>5</v>
      </c>
      <c r="AG332">
        <f t="shared" si="137"/>
        <v>0</v>
      </c>
      <c r="AH332">
        <f>'Assessment Questions'!AK332</f>
        <v>0</v>
      </c>
      <c r="AI332">
        <f>'Assessment Questions'!AL332</f>
        <v>0</v>
      </c>
      <c r="AJ332">
        <f>IF(OR($H332="",$H332="N/A"),"",IF($AH332="",VLOOKUP('Company Profile'!$B$40,_CONFIG_Model_Settings!$A$5:$B$8,2,FALSE),IFERROR(VLOOKUP($AH332,_CONFIG_Model_Settings!$A$5:$B$8,2,FALSE),0.9)))</f>
        <v>0.9</v>
      </c>
      <c r="AK332">
        <f>IF(OR($H332="",$H332="N/A"),"",IF($AI332="",VLOOKUP('Company Profile'!$B$41,_CONFIG_Model_Settings!$A$5:$B$8,2,FALSE),IFERROR(VLOOKUP($AI332,_CONFIG_Model_Settings!$A$5:$B$8,2,FALSE),0.9)))</f>
        <v>0.9</v>
      </c>
      <c r="AL332">
        <f t="shared" si="138"/>
        <v>0</v>
      </c>
      <c r="AM332">
        <f t="shared" si="139"/>
        <v>0</v>
      </c>
      <c r="AN332">
        <f>IFERROR(MIN(5,MAX(0,(SUMIFS(_REF_Model_Content!$D$1:$D$174,_REF_Model_Content!$A$1:$A$174,PV_Canonical_Industry,_REF_Model_Content!$B$1:$B$174,"Business Systems"))+IFERROR(VLOOKUP('Company Profile'!$B$35,_CONFIG_Model_Settings!$A$11:$B$13,2,0),0))),"")</f>
        <v>0</v>
      </c>
      <c r="AO332">
        <f t="shared" si="140"/>
        <v>0</v>
      </c>
      <c r="AP332">
        <f>IFERROR(SUMIFS(_REF_Model_Content!$E$1:$E$174,_REF_Model_Content!$A$1:$A$174,PV_Canonical_Industry,_REF_Model_Content!$B$1:$B$174,"Business Systems"),1)</f>
        <v>0</v>
      </c>
      <c r="AQ332">
        <f t="shared" si="141"/>
        <v>0</v>
      </c>
      <c r="AR332" t="str">
        <f t="shared" si="142"/>
        <v>Within target</v>
      </c>
      <c r="AS332">
        <f t="shared" si="143"/>
        <v>0</v>
      </c>
      <c r="AT332">
        <f t="shared" si="144"/>
        <v>0.9</v>
      </c>
      <c r="AU332">
        <f>'Assessment Questions'!AX332</f>
        <v>0</v>
      </c>
      <c r="AV332">
        <f t="shared" si="145"/>
        <v>0.9</v>
      </c>
      <c r="AW332" t="s">
        <v>2729</v>
      </c>
      <c r="AX332" t="s">
        <v>2729</v>
      </c>
      <c r="AY332">
        <v>12</v>
      </c>
      <c r="AZ332">
        <v>332</v>
      </c>
    </row>
    <row r="333" spans="1:52">
      <c r="A333" t="s">
        <v>2767</v>
      </c>
      <c r="B333" t="s">
        <v>2743</v>
      </c>
      <c r="C333" t="s">
        <v>2768</v>
      </c>
      <c r="D333" t="s">
        <v>2732</v>
      </c>
      <c r="E333" t="s">
        <v>2733</v>
      </c>
      <c r="F333" t="s">
        <v>2769</v>
      </c>
      <c r="G333">
        <f>'Assessment Questions'!J333</f>
        <v>5</v>
      </c>
      <c r="H333">
        <f t="shared" si="127"/>
        <v>0</v>
      </c>
      <c r="I333">
        <f t="shared" si="128"/>
        <v>0</v>
      </c>
      <c r="J333">
        <f t="shared" si="129"/>
        <v>5</v>
      </c>
      <c r="K333">
        <f t="shared" si="130"/>
        <v>5</v>
      </c>
      <c r="L333" t="str">
        <f t="shared" si="131"/>
        <v>Critical</v>
      </c>
      <c r="M333" t="s">
        <v>833</v>
      </c>
      <c r="N333" t="s">
        <v>834</v>
      </c>
      <c r="O333" t="s">
        <v>835</v>
      </c>
      <c r="P333" t="s">
        <v>836</v>
      </c>
      <c r="Q333" t="s">
        <v>837</v>
      </c>
      <c r="R333" t="s">
        <v>838</v>
      </c>
      <c r="S333" t="s">
        <v>2735</v>
      </c>
      <c r="T333">
        <f>'Assessment Questions'!W333</f>
        <v>0</v>
      </c>
      <c r="U333">
        <f>'Assessment Questions'!X333</f>
        <v>0</v>
      </c>
      <c r="V333" t="str">
        <f>'Assessment Questions'!Y333</f>
        <v>Use the recommended action generated by the model; validate with domain owner during real assessment.</v>
      </c>
      <c r="W333">
        <v>5</v>
      </c>
      <c r="X333">
        <v>5</v>
      </c>
      <c r="Y333">
        <v>5</v>
      </c>
      <c r="Z333">
        <f>'Assessment Questions'!AC333</f>
        <v>0</v>
      </c>
      <c r="AB333">
        <f t="shared" si="132"/>
        <v>0</v>
      </c>
      <c r="AC333">
        <f t="shared" si="133"/>
        <v>0</v>
      </c>
      <c r="AD333">
        <f t="shared" si="134"/>
        <v>0</v>
      </c>
      <c r="AE333">
        <f t="shared" si="135"/>
        <v>0</v>
      </c>
      <c r="AF333">
        <f t="shared" si="136"/>
        <v>5</v>
      </c>
      <c r="AG333">
        <f t="shared" si="137"/>
        <v>0</v>
      </c>
      <c r="AH333">
        <f>'Assessment Questions'!AK333</f>
        <v>0</v>
      </c>
      <c r="AI333">
        <f>'Assessment Questions'!AL333</f>
        <v>0</v>
      </c>
      <c r="AJ333">
        <f>IF(OR($H333="",$H333="N/A"),"",IF($AH333="",VLOOKUP('Company Profile'!$B$40,_CONFIG_Model_Settings!$A$5:$B$8,2,FALSE),IFERROR(VLOOKUP($AH333,_CONFIG_Model_Settings!$A$5:$B$8,2,FALSE),0.9)))</f>
        <v>0.9</v>
      </c>
      <c r="AK333">
        <f>IF(OR($H333="",$H333="N/A"),"",IF($AI333="",VLOOKUP('Company Profile'!$B$41,_CONFIG_Model_Settings!$A$5:$B$8,2,FALSE),IFERROR(VLOOKUP($AI333,_CONFIG_Model_Settings!$A$5:$B$8,2,FALSE),0.9)))</f>
        <v>0.9</v>
      </c>
      <c r="AL333">
        <f t="shared" si="138"/>
        <v>0</v>
      </c>
      <c r="AM333">
        <f t="shared" si="139"/>
        <v>0</v>
      </c>
      <c r="AN333">
        <f>IFERROR(MIN(5,MAX(0,(SUMIFS(_REF_Model_Content!$D$1:$D$174,_REF_Model_Content!$A$1:$A$174,PV_Canonical_Industry,_REF_Model_Content!$B$1:$B$174,"Business Systems"))+IFERROR(VLOOKUP('Company Profile'!$B$35,_CONFIG_Model_Settings!$A$11:$B$13,2,0),0))),"")</f>
        <v>0</v>
      </c>
      <c r="AO333">
        <f t="shared" si="140"/>
        <v>0</v>
      </c>
      <c r="AP333">
        <f>IFERROR(SUMIFS(_REF_Model_Content!$E$1:$E$174,_REF_Model_Content!$A$1:$A$174,PV_Canonical_Industry,_REF_Model_Content!$B$1:$B$174,"Business Systems"),1)</f>
        <v>0</v>
      </c>
      <c r="AQ333">
        <f t="shared" si="141"/>
        <v>0</v>
      </c>
      <c r="AR333" t="str">
        <f t="shared" si="142"/>
        <v>Within target</v>
      </c>
      <c r="AS333">
        <f t="shared" si="143"/>
        <v>0</v>
      </c>
      <c r="AT333">
        <f t="shared" si="144"/>
        <v>0.9</v>
      </c>
      <c r="AU333">
        <f>'Assessment Questions'!AX333</f>
        <v>0</v>
      </c>
      <c r="AV333">
        <f t="shared" si="145"/>
        <v>0.9</v>
      </c>
      <c r="AW333" t="s">
        <v>2729</v>
      </c>
      <c r="AX333" t="s">
        <v>2729</v>
      </c>
      <c r="AY333">
        <v>13</v>
      </c>
      <c r="AZ333">
        <v>333</v>
      </c>
    </row>
    <row r="334" spans="1:52">
      <c r="A334" t="s">
        <v>2770</v>
      </c>
      <c r="B334" t="s">
        <v>2743</v>
      </c>
      <c r="C334" t="s">
        <v>2771</v>
      </c>
      <c r="D334" t="s">
        <v>2732</v>
      </c>
      <c r="E334" t="s">
        <v>2733</v>
      </c>
      <c r="F334" t="s">
        <v>2772</v>
      </c>
      <c r="G334">
        <f>'Assessment Questions'!J334</f>
        <v>5</v>
      </c>
      <c r="H334">
        <f t="shared" si="127"/>
        <v>0</v>
      </c>
      <c r="I334">
        <f t="shared" si="128"/>
        <v>0</v>
      </c>
      <c r="J334">
        <f t="shared" si="129"/>
        <v>5</v>
      </c>
      <c r="K334">
        <f t="shared" si="130"/>
        <v>5</v>
      </c>
      <c r="L334" t="str">
        <f t="shared" si="131"/>
        <v>Critical</v>
      </c>
      <c r="M334" t="s">
        <v>1051</v>
      </c>
      <c r="N334" t="s">
        <v>1052</v>
      </c>
      <c r="O334" t="s">
        <v>1053</v>
      </c>
      <c r="P334" t="s">
        <v>1054</v>
      </c>
      <c r="Q334" t="s">
        <v>1055</v>
      </c>
      <c r="R334" t="s">
        <v>1056</v>
      </c>
      <c r="S334" t="s">
        <v>2735</v>
      </c>
      <c r="T334">
        <f>'Assessment Questions'!W334</f>
        <v>0</v>
      </c>
      <c r="U334">
        <f>'Assessment Questions'!X334</f>
        <v>0</v>
      </c>
      <c r="V334" t="str">
        <f>'Assessment Questions'!Y334</f>
        <v>Use the recommended action generated by the model; validate with domain owner during real assessment.</v>
      </c>
      <c r="W334">
        <v>5</v>
      </c>
      <c r="X334">
        <v>5</v>
      </c>
      <c r="Y334">
        <v>5</v>
      </c>
      <c r="Z334">
        <f>'Assessment Questions'!AC334</f>
        <v>0</v>
      </c>
      <c r="AB334">
        <f t="shared" si="132"/>
        <v>0</v>
      </c>
      <c r="AC334">
        <f t="shared" si="133"/>
        <v>0</v>
      </c>
      <c r="AD334">
        <f t="shared" si="134"/>
        <v>0</v>
      </c>
      <c r="AE334">
        <f t="shared" si="135"/>
        <v>0</v>
      </c>
      <c r="AF334">
        <f t="shared" si="136"/>
        <v>5</v>
      </c>
      <c r="AG334">
        <f t="shared" si="137"/>
        <v>0</v>
      </c>
      <c r="AH334">
        <f>'Assessment Questions'!AK334</f>
        <v>0</v>
      </c>
      <c r="AI334">
        <f>'Assessment Questions'!AL334</f>
        <v>0</v>
      </c>
      <c r="AJ334">
        <f>IF(OR($H334="",$H334="N/A"),"",IF($AH334="",VLOOKUP('Company Profile'!$B$40,_CONFIG_Model_Settings!$A$5:$B$8,2,FALSE),IFERROR(VLOOKUP($AH334,_CONFIG_Model_Settings!$A$5:$B$8,2,FALSE),0.9)))</f>
        <v>0.9</v>
      </c>
      <c r="AK334">
        <f>IF(OR($H334="",$H334="N/A"),"",IF($AI334="",VLOOKUP('Company Profile'!$B$41,_CONFIG_Model_Settings!$A$5:$B$8,2,FALSE),IFERROR(VLOOKUP($AI334,_CONFIG_Model_Settings!$A$5:$B$8,2,FALSE),0.9)))</f>
        <v>0.9</v>
      </c>
      <c r="AL334">
        <f t="shared" si="138"/>
        <v>0</v>
      </c>
      <c r="AM334">
        <f t="shared" si="139"/>
        <v>0</v>
      </c>
      <c r="AN334">
        <f>IFERROR(MIN(5,MAX(0,(SUMIFS(_REF_Model_Content!$D$1:$D$174,_REF_Model_Content!$A$1:$A$174,PV_Canonical_Industry,_REF_Model_Content!$B$1:$B$174,"Business Systems"))+IFERROR(VLOOKUP('Company Profile'!$B$35,_CONFIG_Model_Settings!$A$11:$B$13,2,0),0))),"")</f>
        <v>0</v>
      </c>
      <c r="AO334">
        <f t="shared" si="140"/>
        <v>0</v>
      </c>
      <c r="AP334">
        <f>IFERROR(SUMIFS(_REF_Model_Content!$E$1:$E$174,_REF_Model_Content!$A$1:$A$174,PV_Canonical_Industry,_REF_Model_Content!$B$1:$B$174,"Business Systems"),1)</f>
        <v>0</v>
      </c>
      <c r="AQ334">
        <f t="shared" si="141"/>
        <v>0</v>
      </c>
      <c r="AR334" t="str">
        <f t="shared" si="142"/>
        <v>Within target</v>
      </c>
      <c r="AS334">
        <f t="shared" si="143"/>
        <v>0</v>
      </c>
      <c r="AT334">
        <f t="shared" si="144"/>
        <v>0.9</v>
      </c>
      <c r="AU334">
        <f>'Assessment Questions'!AX334</f>
        <v>0</v>
      </c>
      <c r="AV334">
        <f t="shared" si="145"/>
        <v>0.9</v>
      </c>
      <c r="AW334" t="s">
        <v>2729</v>
      </c>
      <c r="AX334" t="s">
        <v>2729</v>
      </c>
      <c r="AY334">
        <v>14</v>
      </c>
      <c r="AZ334">
        <v>334</v>
      </c>
    </row>
    <row r="335" spans="1:52">
      <c r="A335" t="s">
        <v>2773</v>
      </c>
      <c r="B335" t="s">
        <v>2743</v>
      </c>
      <c r="C335" t="s">
        <v>2774</v>
      </c>
      <c r="D335" t="s">
        <v>2732</v>
      </c>
      <c r="E335" t="s">
        <v>2733</v>
      </c>
      <c r="F335" t="s">
        <v>2775</v>
      </c>
      <c r="G335">
        <f>'Assessment Questions'!J335</f>
        <v>4</v>
      </c>
      <c r="H335">
        <f t="shared" si="127"/>
        <v>0</v>
      </c>
      <c r="I335">
        <f t="shared" si="128"/>
        <v>0</v>
      </c>
      <c r="J335">
        <f t="shared" si="129"/>
        <v>4</v>
      </c>
      <c r="K335">
        <f t="shared" si="130"/>
        <v>4</v>
      </c>
      <c r="L335" t="str">
        <f t="shared" si="131"/>
        <v>Critical</v>
      </c>
      <c r="M335" t="s">
        <v>2776</v>
      </c>
      <c r="N335" t="s">
        <v>2777</v>
      </c>
      <c r="O335" t="s">
        <v>2778</v>
      </c>
      <c r="P335" t="s">
        <v>2779</v>
      </c>
      <c r="Q335" t="s">
        <v>2780</v>
      </c>
      <c r="R335" t="s">
        <v>2781</v>
      </c>
      <c r="S335" t="s">
        <v>2735</v>
      </c>
      <c r="T335">
        <f>'Assessment Questions'!W335</f>
        <v>0</v>
      </c>
      <c r="U335">
        <f>'Assessment Questions'!X335</f>
        <v>0</v>
      </c>
      <c r="V335" t="str">
        <f>'Assessment Questions'!Y335</f>
        <v>Use the recommended action generated by the model; validate with domain owner during real assessment.</v>
      </c>
      <c r="W335">
        <v>5</v>
      </c>
      <c r="X335">
        <v>5</v>
      </c>
      <c r="Y335">
        <v>5</v>
      </c>
      <c r="Z335">
        <f>'Assessment Questions'!AC335</f>
        <v>0</v>
      </c>
      <c r="AB335">
        <f t="shared" si="132"/>
        <v>0</v>
      </c>
      <c r="AC335">
        <f t="shared" si="133"/>
        <v>0</v>
      </c>
      <c r="AD335">
        <f t="shared" si="134"/>
        <v>0</v>
      </c>
      <c r="AE335">
        <f t="shared" si="135"/>
        <v>0</v>
      </c>
      <c r="AF335">
        <f t="shared" si="136"/>
        <v>5</v>
      </c>
      <c r="AG335">
        <f t="shared" si="137"/>
        <v>0</v>
      </c>
      <c r="AH335">
        <f>'Assessment Questions'!AK335</f>
        <v>0</v>
      </c>
      <c r="AI335">
        <f>'Assessment Questions'!AL335</f>
        <v>0</v>
      </c>
      <c r="AJ335">
        <f>IF(OR($H335="",$H335="N/A"),"",IF($AH335="",VLOOKUP('Company Profile'!$B$40,_CONFIG_Model_Settings!$A$5:$B$8,2,FALSE),IFERROR(VLOOKUP($AH335,_CONFIG_Model_Settings!$A$5:$B$8,2,FALSE),0.9)))</f>
        <v>0.9</v>
      </c>
      <c r="AK335">
        <f>IF(OR($H335="",$H335="N/A"),"",IF($AI335="",VLOOKUP('Company Profile'!$B$41,_CONFIG_Model_Settings!$A$5:$B$8,2,FALSE),IFERROR(VLOOKUP($AI335,_CONFIG_Model_Settings!$A$5:$B$8,2,FALSE),0.9)))</f>
        <v>0.9</v>
      </c>
      <c r="AL335">
        <f t="shared" si="138"/>
        <v>0</v>
      </c>
      <c r="AM335">
        <f t="shared" si="139"/>
        <v>0</v>
      </c>
      <c r="AN335">
        <f>IFERROR(MIN(5,MAX(0,(SUMIFS(_REF_Model_Content!$D$1:$D$174,_REF_Model_Content!$A$1:$A$174,PV_Canonical_Industry,_REF_Model_Content!$B$1:$B$174,"Business Systems"))+IFERROR(VLOOKUP('Company Profile'!$B$35,_CONFIG_Model_Settings!$A$11:$B$13,2,0),0))),"")</f>
        <v>0</v>
      </c>
      <c r="AO335">
        <f t="shared" si="140"/>
        <v>0</v>
      </c>
      <c r="AP335">
        <f>IFERROR(SUMIFS(_REF_Model_Content!$E$1:$E$174,_REF_Model_Content!$A$1:$A$174,PV_Canonical_Industry,_REF_Model_Content!$B$1:$B$174,"Business Systems"),1)</f>
        <v>0</v>
      </c>
      <c r="AQ335">
        <f t="shared" si="141"/>
        <v>0</v>
      </c>
      <c r="AR335" t="str">
        <f t="shared" si="142"/>
        <v>Within target</v>
      </c>
      <c r="AS335">
        <f t="shared" si="143"/>
        <v>0</v>
      </c>
      <c r="AT335">
        <f t="shared" si="144"/>
        <v>0.9</v>
      </c>
      <c r="AU335">
        <f>'Assessment Questions'!AX335</f>
        <v>0</v>
      </c>
      <c r="AV335">
        <f t="shared" si="145"/>
        <v>0.9</v>
      </c>
      <c r="AW335" t="s">
        <v>2729</v>
      </c>
      <c r="AX335" t="s">
        <v>2729</v>
      </c>
      <c r="AY335">
        <v>15</v>
      </c>
      <c r="AZ335">
        <v>335</v>
      </c>
    </row>
    <row r="336" spans="1:52">
      <c r="A336" t="s">
        <v>2782</v>
      </c>
      <c r="B336" t="s">
        <v>2743</v>
      </c>
      <c r="C336" t="s">
        <v>2783</v>
      </c>
      <c r="D336" t="s">
        <v>2732</v>
      </c>
      <c r="E336" t="s">
        <v>2733</v>
      </c>
      <c r="F336" t="s">
        <v>2784</v>
      </c>
      <c r="G336">
        <f>'Assessment Questions'!J336</f>
        <v>3</v>
      </c>
      <c r="H336">
        <f t="shared" si="127"/>
        <v>0</v>
      </c>
      <c r="I336">
        <f t="shared" si="128"/>
        <v>0</v>
      </c>
      <c r="J336">
        <f t="shared" si="129"/>
        <v>3</v>
      </c>
      <c r="K336">
        <f t="shared" si="130"/>
        <v>3</v>
      </c>
      <c r="L336" t="str">
        <f t="shared" si="131"/>
        <v>Critical</v>
      </c>
      <c r="M336" t="s">
        <v>2785</v>
      </c>
      <c r="N336" t="s">
        <v>2786</v>
      </c>
      <c r="O336" t="s">
        <v>2787</v>
      </c>
      <c r="P336" t="s">
        <v>2788</v>
      </c>
      <c r="Q336" t="s">
        <v>2789</v>
      </c>
      <c r="R336" t="s">
        <v>2790</v>
      </c>
      <c r="S336" t="s">
        <v>2735</v>
      </c>
      <c r="T336">
        <f>'Assessment Questions'!W336</f>
        <v>0</v>
      </c>
      <c r="U336">
        <f>'Assessment Questions'!X336</f>
        <v>0</v>
      </c>
      <c r="V336" t="str">
        <f>'Assessment Questions'!Y336</f>
        <v>Use the recommended action generated by the model; validate with domain owner during real assessment.</v>
      </c>
      <c r="W336">
        <v>5</v>
      </c>
      <c r="X336">
        <v>5</v>
      </c>
      <c r="Y336">
        <v>5</v>
      </c>
      <c r="Z336">
        <f>'Assessment Questions'!AC336</f>
        <v>0</v>
      </c>
      <c r="AB336">
        <f t="shared" si="132"/>
        <v>0</v>
      </c>
      <c r="AC336">
        <f t="shared" si="133"/>
        <v>0</v>
      </c>
      <c r="AD336">
        <f t="shared" si="134"/>
        <v>0</v>
      </c>
      <c r="AE336">
        <f t="shared" si="135"/>
        <v>0</v>
      </c>
      <c r="AF336">
        <f t="shared" si="136"/>
        <v>5</v>
      </c>
      <c r="AG336">
        <f t="shared" si="137"/>
        <v>0</v>
      </c>
      <c r="AH336">
        <f>'Assessment Questions'!AK336</f>
        <v>0</v>
      </c>
      <c r="AI336">
        <f>'Assessment Questions'!AL336</f>
        <v>0</v>
      </c>
      <c r="AJ336">
        <f>IF(OR($H336="",$H336="N/A"),"",IF($AH336="",VLOOKUP('Company Profile'!$B$40,_CONFIG_Model_Settings!$A$5:$B$8,2,FALSE),IFERROR(VLOOKUP($AH336,_CONFIG_Model_Settings!$A$5:$B$8,2,FALSE),0.9)))</f>
        <v>0.9</v>
      </c>
      <c r="AK336">
        <f>IF(OR($H336="",$H336="N/A"),"",IF($AI336="",VLOOKUP('Company Profile'!$B$41,_CONFIG_Model_Settings!$A$5:$B$8,2,FALSE),IFERROR(VLOOKUP($AI336,_CONFIG_Model_Settings!$A$5:$B$8,2,FALSE),0.9)))</f>
        <v>0.9</v>
      </c>
      <c r="AL336">
        <f t="shared" si="138"/>
        <v>0</v>
      </c>
      <c r="AM336">
        <f t="shared" si="139"/>
        <v>0</v>
      </c>
      <c r="AN336">
        <f>IFERROR(MIN(5,MAX(0,(SUMIFS(_REF_Model_Content!$D$1:$D$174,_REF_Model_Content!$A$1:$A$174,PV_Canonical_Industry,_REF_Model_Content!$B$1:$B$174,"Business Systems"))+IFERROR(VLOOKUP('Company Profile'!$B$35,_CONFIG_Model_Settings!$A$11:$B$13,2,0),0))),"")</f>
        <v>0</v>
      </c>
      <c r="AO336">
        <f t="shared" si="140"/>
        <v>0</v>
      </c>
      <c r="AP336">
        <f>IFERROR(SUMIFS(_REF_Model_Content!$E$1:$E$174,_REF_Model_Content!$A$1:$A$174,PV_Canonical_Industry,_REF_Model_Content!$B$1:$B$174,"Business Systems"),1)</f>
        <v>0</v>
      </c>
      <c r="AQ336">
        <f t="shared" si="141"/>
        <v>0</v>
      </c>
      <c r="AR336" t="str">
        <f t="shared" si="142"/>
        <v>Within target</v>
      </c>
      <c r="AS336">
        <f t="shared" si="143"/>
        <v>0</v>
      </c>
      <c r="AT336">
        <f t="shared" si="144"/>
        <v>0.9</v>
      </c>
      <c r="AU336">
        <f>'Assessment Questions'!AX336</f>
        <v>0</v>
      </c>
      <c r="AV336">
        <f t="shared" si="145"/>
        <v>0.9</v>
      </c>
      <c r="AW336" t="s">
        <v>2729</v>
      </c>
      <c r="AX336" t="s">
        <v>2729</v>
      </c>
      <c r="AY336">
        <v>16</v>
      </c>
      <c r="AZ336">
        <v>336</v>
      </c>
    </row>
    <row r="337" spans="1:52">
      <c r="A337" t="s">
        <v>2791</v>
      </c>
      <c r="B337" t="s">
        <v>2747</v>
      </c>
      <c r="C337" t="s">
        <v>2792</v>
      </c>
      <c r="D337" t="s">
        <v>2732</v>
      </c>
      <c r="E337" t="s">
        <v>2733</v>
      </c>
      <c r="F337" t="s">
        <v>2793</v>
      </c>
      <c r="G337">
        <f>'Assessment Questions'!J337</f>
        <v>5</v>
      </c>
      <c r="H337">
        <f t="shared" si="127"/>
        <v>0</v>
      </c>
      <c r="I337">
        <f t="shared" si="128"/>
        <v>0</v>
      </c>
      <c r="J337">
        <f t="shared" si="129"/>
        <v>5</v>
      </c>
      <c r="K337">
        <f t="shared" si="130"/>
        <v>5</v>
      </c>
      <c r="L337" t="str">
        <f t="shared" si="131"/>
        <v>Critical</v>
      </c>
      <c r="M337" t="s">
        <v>833</v>
      </c>
      <c r="N337" t="s">
        <v>834</v>
      </c>
      <c r="O337" t="s">
        <v>835</v>
      </c>
      <c r="P337" t="s">
        <v>836</v>
      </c>
      <c r="Q337" t="s">
        <v>837</v>
      </c>
      <c r="R337" t="s">
        <v>838</v>
      </c>
      <c r="S337" t="s">
        <v>2735</v>
      </c>
      <c r="T337">
        <f>'Assessment Questions'!W337</f>
        <v>0</v>
      </c>
      <c r="U337">
        <f>'Assessment Questions'!X337</f>
        <v>0</v>
      </c>
      <c r="V337" t="str">
        <f>'Assessment Questions'!Y337</f>
        <v>Use the recommended action generated by the model; validate with domain owner during real assessment.</v>
      </c>
      <c r="W337">
        <v>5</v>
      </c>
      <c r="X337">
        <v>5</v>
      </c>
      <c r="Y337">
        <v>5</v>
      </c>
      <c r="Z337">
        <f>'Assessment Questions'!AC337</f>
        <v>0</v>
      </c>
      <c r="AB337">
        <f t="shared" si="132"/>
        <v>0</v>
      </c>
      <c r="AC337">
        <f t="shared" si="133"/>
        <v>0</v>
      </c>
      <c r="AD337">
        <f t="shared" si="134"/>
        <v>0</v>
      </c>
      <c r="AE337">
        <f t="shared" si="135"/>
        <v>0</v>
      </c>
      <c r="AF337">
        <f t="shared" si="136"/>
        <v>5</v>
      </c>
      <c r="AG337">
        <f t="shared" si="137"/>
        <v>0</v>
      </c>
      <c r="AH337">
        <f>'Assessment Questions'!AK337</f>
        <v>0</v>
      </c>
      <c r="AI337">
        <f>'Assessment Questions'!AL337</f>
        <v>0</v>
      </c>
      <c r="AJ337">
        <f>IF(OR($H337="",$H337="N/A"),"",IF($AH337="",VLOOKUP('Company Profile'!$B$40,_CONFIG_Model_Settings!$A$5:$B$8,2,FALSE),IFERROR(VLOOKUP($AH337,_CONFIG_Model_Settings!$A$5:$B$8,2,FALSE),0.9)))</f>
        <v>0.9</v>
      </c>
      <c r="AK337">
        <f>IF(OR($H337="",$H337="N/A"),"",IF($AI337="",VLOOKUP('Company Profile'!$B$41,_CONFIG_Model_Settings!$A$5:$B$8,2,FALSE),IFERROR(VLOOKUP($AI337,_CONFIG_Model_Settings!$A$5:$B$8,2,FALSE),0.9)))</f>
        <v>0.9</v>
      </c>
      <c r="AL337">
        <f t="shared" si="138"/>
        <v>0</v>
      </c>
      <c r="AM337">
        <f t="shared" si="139"/>
        <v>0</v>
      </c>
      <c r="AN337">
        <f>IFERROR(MIN(5,MAX(0,(SUMIFS(_REF_Model_Content!$D$1:$D$174,_REF_Model_Content!$A$1:$A$174,PV_Canonical_Industry,_REF_Model_Content!$B$1:$B$174,"Business Systems"))+IFERROR(VLOOKUP('Company Profile'!$B$35,_CONFIG_Model_Settings!$A$11:$B$13,2,0),0))),"")</f>
        <v>0</v>
      </c>
      <c r="AO337">
        <f t="shared" si="140"/>
        <v>0</v>
      </c>
      <c r="AP337">
        <f>IFERROR(SUMIFS(_REF_Model_Content!$E$1:$E$174,_REF_Model_Content!$A$1:$A$174,PV_Canonical_Industry,_REF_Model_Content!$B$1:$B$174,"Business Systems"),1)</f>
        <v>0</v>
      </c>
      <c r="AQ337">
        <f t="shared" si="141"/>
        <v>0</v>
      </c>
      <c r="AR337" t="str">
        <f t="shared" si="142"/>
        <v>Within target</v>
      </c>
      <c r="AS337">
        <f t="shared" si="143"/>
        <v>0</v>
      </c>
      <c r="AT337">
        <f t="shared" si="144"/>
        <v>0.9</v>
      </c>
      <c r="AU337">
        <f>'Assessment Questions'!AX337</f>
        <v>0</v>
      </c>
      <c r="AV337">
        <f t="shared" si="145"/>
        <v>0.9</v>
      </c>
      <c r="AW337" t="s">
        <v>2729</v>
      </c>
      <c r="AX337" t="s">
        <v>2729</v>
      </c>
      <c r="AY337">
        <v>17</v>
      </c>
      <c r="AZ337">
        <v>337</v>
      </c>
    </row>
    <row r="338" spans="1:52">
      <c r="A338" t="s">
        <v>2794</v>
      </c>
      <c r="B338" t="s">
        <v>2747</v>
      </c>
      <c r="C338" t="s">
        <v>2795</v>
      </c>
      <c r="D338" t="s">
        <v>2732</v>
      </c>
      <c r="E338" t="s">
        <v>2733</v>
      </c>
      <c r="F338" t="s">
        <v>2796</v>
      </c>
      <c r="G338">
        <f>'Assessment Questions'!J338</f>
        <v>5</v>
      </c>
      <c r="H338">
        <f t="shared" si="127"/>
        <v>0</v>
      </c>
      <c r="I338">
        <f t="shared" si="128"/>
        <v>0</v>
      </c>
      <c r="J338">
        <f t="shared" si="129"/>
        <v>5</v>
      </c>
      <c r="K338">
        <f t="shared" si="130"/>
        <v>5</v>
      </c>
      <c r="L338" t="str">
        <f t="shared" si="131"/>
        <v>Critical</v>
      </c>
      <c r="M338" t="s">
        <v>833</v>
      </c>
      <c r="N338" t="s">
        <v>834</v>
      </c>
      <c r="O338" t="s">
        <v>835</v>
      </c>
      <c r="P338" t="s">
        <v>836</v>
      </c>
      <c r="Q338" t="s">
        <v>837</v>
      </c>
      <c r="R338" t="s">
        <v>838</v>
      </c>
      <c r="S338" t="s">
        <v>2735</v>
      </c>
      <c r="T338">
        <f>'Assessment Questions'!W338</f>
        <v>0</v>
      </c>
      <c r="U338">
        <f>'Assessment Questions'!X338</f>
        <v>0</v>
      </c>
      <c r="V338" t="str">
        <f>'Assessment Questions'!Y338</f>
        <v>Use the recommended action generated by the model; validate with domain owner during real assessment.</v>
      </c>
      <c r="W338">
        <v>5</v>
      </c>
      <c r="X338">
        <v>5</v>
      </c>
      <c r="Y338">
        <v>5</v>
      </c>
      <c r="Z338">
        <f>'Assessment Questions'!AC338</f>
        <v>0</v>
      </c>
      <c r="AB338">
        <f t="shared" si="132"/>
        <v>0</v>
      </c>
      <c r="AC338">
        <f t="shared" si="133"/>
        <v>0</v>
      </c>
      <c r="AD338">
        <f t="shared" si="134"/>
        <v>0</v>
      </c>
      <c r="AE338">
        <f t="shared" si="135"/>
        <v>0</v>
      </c>
      <c r="AF338">
        <f t="shared" si="136"/>
        <v>5</v>
      </c>
      <c r="AG338">
        <f t="shared" si="137"/>
        <v>0</v>
      </c>
      <c r="AH338">
        <f>'Assessment Questions'!AK338</f>
        <v>0</v>
      </c>
      <c r="AI338">
        <f>'Assessment Questions'!AL338</f>
        <v>0</v>
      </c>
      <c r="AJ338">
        <f>IF(OR($H338="",$H338="N/A"),"",IF($AH338="",VLOOKUP('Company Profile'!$B$40,_CONFIG_Model_Settings!$A$5:$B$8,2,FALSE),IFERROR(VLOOKUP($AH338,_CONFIG_Model_Settings!$A$5:$B$8,2,FALSE),0.9)))</f>
        <v>0.9</v>
      </c>
      <c r="AK338">
        <f>IF(OR($H338="",$H338="N/A"),"",IF($AI338="",VLOOKUP('Company Profile'!$B$41,_CONFIG_Model_Settings!$A$5:$B$8,2,FALSE),IFERROR(VLOOKUP($AI338,_CONFIG_Model_Settings!$A$5:$B$8,2,FALSE),0.9)))</f>
        <v>0.9</v>
      </c>
      <c r="AL338">
        <f t="shared" si="138"/>
        <v>0</v>
      </c>
      <c r="AM338">
        <f t="shared" si="139"/>
        <v>0</v>
      </c>
      <c r="AN338">
        <f>IFERROR(MIN(5,MAX(0,(SUMIFS(_REF_Model_Content!$D$1:$D$174,_REF_Model_Content!$A$1:$A$174,PV_Canonical_Industry,_REF_Model_Content!$B$1:$B$174,"Business Systems"))+IFERROR(VLOOKUP('Company Profile'!$B$35,_CONFIG_Model_Settings!$A$11:$B$13,2,0),0))),"")</f>
        <v>0</v>
      </c>
      <c r="AO338">
        <f t="shared" si="140"/>
        <v>0</v>
      </c>
      <c r="AP338">
        <f>IFERROR(SUMIFS(_REF_Model_Content!$E$1:$E$174,_REF_Model_Content!$A$1:$A$174,PV_Canonical_Industry,_REF_Model_Content!$B$1:$B$174,"Business Systems"),1)</f>
        <v>0</v>
      </c>
      <c r="AQ338">
        <f t="shared" si="141"/>
        <v>0</v>
      </c>
      <c r="AR338" t="str">
        <f t="shared" si="142"/>
        <v>Within target</v>
      </c>
      <c r="AS338">
        <f t="shared" si="143"/>
        <v>0</v>
      </c>
      <c r="AT338">
        <f t="shared" si="144"/>
        <v>0.9</v>
      </c>
      <c r="AU338">
        <f>'Assessment Questions'!AX338</f>
        <v>0</v>
      </c>
      <c r="AV338">
        <f t="shared" si="145"/>
        <v>0.9</v>
      </c>
      <c r="AW338" t="s">
        <v>2729</v>
      </c>
      <c r="AX338" t="s">
        <v>2729</v>
      </c>
      <c r="AY338">
        <v>18</v>
      </c>
      <c r="AZ338">
        <v>338</v>
      </c>
    </row>
    <row r="339" spans="1:52">
      <c r="A339" t="s">
        <v>2797</v>
      </c>
      <c r="B339" t="s">
        <v>2747</v>
      </c>
      <c r="C339" t="s">
        <v>2798</v>
      </c>
      <c r="D339" t="s">
        <v>2732</v>
      </c>
      <c r="E339" t="s">
        <v>2733</v>
      </c>
      <c r="F339" t="s">
        <v>2799</v>
      </c>
      <c r="G339">
        <f>'Assessment Questions'!J339</f>
        <v>5</v>
      </c>
      <c r="H339">
        <f t="shared" si="127"/>
        <v>0</v>
      </c>
      <c r="I339">
        <f t="shared" si="128"/>
        <v>0</v>
      </c>
      <c r="J339">
        <f t="shared" si="129"/>
        <v>5</v>
      </c>
      <c r="K339">
        <f t="shared" si="130"/>
        <v>5</v>
      </c>
      <c r="L339" t="str">
        <f t="shared" si="131"/>
        <v>Critical</v>
      </c>
      <c r="M339" t="s">
        <v>833</v>
      </c>
      <c r="N339" t="s">
        <v>834</v>
      </c>
      <c r="O339" t="s">
        <v>835</v>
      </c>
      <c r="P339" t="s">
        <v>836</v>
      </c>
      <c r="Q339" t="s">
        <v>837</v>
      </c>
      <c r="R339" t="s">
        <v>838</v>
      </c>
      <c r="S339" t="s">
        <v>2735</v>
      </c>
      <c r="T339">
        <f>'Assessment Questions'!W339</f>
        <v>0</v>
      </c>
      <c r="U339">
        <f>'Assessment Questions'!X339</f>
        <v>0</v>
      </c>
      <c r="V339" t="str">
        <f>'Assessment Questions'!Y339</f>
        <v>Use the recommended action generated by the model; validate with domain owner during real assessment.</v>
      </c>
      <c r="W339">
        <v>5</v>
      </c>
      <c r="X339">
        <v>5</v>
      </c>
      <c r="Y339">
        <v>5</v>
      </c>
      <c r="Z339">
        <f>'Assessment Questions'!AC339</f>
        <v>0</v>
      </c>
      <c r="AB339">
        <f t="shared" si="132"/>
        <v>0</v>
      </c>
      <c r="AC339">
        <f t="shared" si="133"/>
        <v>0</v>
      </c>
      <c r="AD339">
        <f t="shared" si="134"/>
        <v>0</v>
      </c>
      <c r="AE339">
        <f t="shared" si="135"/>
        <v>0</v>
      </c>
      <c r="AF339">
        <f t="shared" si="136"/>
        <v>5</v>
      </c>
      <c r="AG339">
        <f t="shared" si="137"/>
        <v>0</v>
      </c>
      <c r="AH339">
        <f>'Assessment Questions'!AK339</f>
        <v>0</v>
      </c>
      <c r="AI339">
        <f>'Assessment Questions'!AL339</f>
        <v>0</v>
      </c>
      <c r="AJ339">
        <f>IF(OR($H339="",$H339="N/A"),"",IF($AH339="",VLOOKUP('Company Profile'!$B$40,_CONFIG_Model_Settings!$A$5:$B$8,2,FALSE),IFERROR(VLOOKUP($AH339,_CONFIG_Model_Settings!$A$5:$B$8,2,FALSE),0.9)))</f>
        <v>0.9</v>
      </c>
      <c r="AK339">
        <f>IF(OR($H339="",$H339="N/A"),"",IF($AI339="",VLOOKUP('Company Profile'!$B$41,_CONFIG_Model_Settings!$A$5:$B$8,2,FALSE),IFERROR(VLOOKUP($AI339,_CONFIG_Model_Settings!$A$5:$B$8,2,FALSE),0.9)))</f>
        <v>0.9</v>
      </c>
      <c r="AL339">
        <f t="shared" si="138"/>
        <v>0</v>
      </c>
      <c r="AM339">
        <f t="shared" si="139"/>
        <v>0</v>
      </c>
      <c r="AN339">
        <f>IFERROR(MIN(5,MAX(0,(SUMIFS(_REF_Model_Content!$D$1:$D$174,_REF_Model_Content!$A$1:$A$174,PV_Canonical_Industry,_REF_Model_Content!$B$1:$B$174,"Business Systems"))+IFERROR(VLOOKUP('Company Profile'!$B$35,_CONFIG_Model_Settings!$A$11:$B$13,2,0),0))),"")</f>
        <v>0</v>
      </c>
      <c r="AO339">
        <f t="shared" si="140"/>
        <v>0</v>
      </c>
      <c r="AP339">
        <f>IFERROR(SUMIFS(_REF_Model_Content!$E$1:$E$174,_REF_Model_Content!$A$1:$A$174,PV_Canonical_Industry,_REF_Model_Content!$B$1:$B$174,"Business Systems"),1)</f>
        <v>0</v>
      </c>
      <c r="AQ339">
        <f t="shared" si="141"/>
        <v>0</v>
      </c>
      <c r="AR339" t="str">
        <f t="shared" si="142"/>
        <v>Within target</v>
      </c>
      <c r="AS339">
        <f t="shared" si="143"/>
        <v>0</v>
      </c>
      <c r="AT339">
        <f t="shared" si="144"/>
        <v>0.9</v>
      </c>
      <c r="AU339">
        <f>'Assessment Questions'!AX339</f>
        <v>0</v>
      </c>
      <c r="AV339">
        <f t="shared" si="145"/>
        <v>0.9</v>
      </c>
      <c r="AW339" t="s">
        <v>2729</v>
      </c>
      <c r="AX339" t="s">
        <v>2729</v>
      </c>
      <c r="AY339">
        <v>19</v>
      </c>
      <c r="AZ339">
        <v>339</v>
      </c>
    </row>
    <row r="340" spans="1:52">
      <c r="A340" t="s">
        <v>2800</v>
      </c>
      <c r="B340" t="s">
        <v>2751</v>
      </c>
      <c r="C340" t="s">
        <v>2801</v>
      </c>
      <c r="D340" t="s">
        <v>2732</v>
      </c>
      <c r="E340" t="s">
        <v>2733</v>
      </c>
      <c r="F340" t="s">
        <v>2802</v>
      </c>
      <c r="G340">
        <f>'Assessment Questions'!J340</f>
        <v>4</v>
      </c>
      <c r="H340">
        <f t="shared" si="127"/>
        <v>0</v>
      </c>
      <c r="I340">
        <f t="shared" si="128"/>
        <v>0</v>
      </c>
      <c r="J340">
        <f t="shared" si="129"/>
        <v>4</v>
      </c>
      <c r="K340">
        <f t="shared" si="130"/>
        <v>4</v>
      </c>
      <c r="L340" t="str">
        <f t="shared" si="131"/>
        <v>Critical</v>
      </c>
      <c r="M340" t="s">
        <v>2803</v>
      </c>
      <c r="N340" t="s">
        <v>2804</v>
      </c>
      <c r="O340" t="s">
        <v>2805</v>
      </c>
      <c r="P340" t="s">
        <v>2806</v>
      </c>
      <c r="Q340" t="s">
        <v>2807</v>
      </c>
      <c r="R340" t="s">
        <v>2808</v>
      </c>
      <c r="S340" t="s">
        <v>2735</v>
      </c>
      <c r="T340">
        <f>'Assessment Questions'!W340</f>
        <v>0</v>
      </c>
      <c r="U340">
        <f>'Assessment Questions'!X340</f>
        <v>0</v>
      </c>
      <c r="V340" t="str">
        <f>'Assessment Questions'!Y340</f>
        <v>Use the recommended action generated by the model; validate with domain owner during real assessment.</v>
      </c>
      <c r="W340">
        <v>5</v>
      </c>
      <c r="X340">
        <v>5</v>
      </c>
      <c r="Y340">
        <v>5</v>
      </c>
      <c r="Z340">
        <f>'Assessment Questions'!AC340</f>
        <v>0</v>
      </c>
      <c r="AB340">
        <f t="shared" si="132"/>
        <v>0</v>
      </c>
      <c r="AC340">
        <f t="shared" si="133"/>
        <v>0</v>
      </c>
      <c r="AD340">
        <f t="shared" si="134"/>
        <v>0</v>
      </c>
      <c r="AE340">
        <f t="shared" si="135"/>
        <v>0</v>
      </c>
      <c r="AF340">
        <f t="shared" si="136"/>
        <v>5</v>
      </c>
      <c r="AG340">
        <f t="shared" si="137"/>
        <v>0</v>
      </c>
      <c r="AH340">
        <f>'Assessment Questions'!AK340</f>
        <v>0</v>
      </c>
      <c r="AI340">
        <f>'Assessment Questions'!AL340</f>
        <v>0</v>
      </c>
      <c r="AJ340">
        <f>IF(OR($H340="",$H340="N/A"),"",IF($AH340="",VLOOKUP('Company Profile'!$B$40,_CONFIG_Model_Settings!$A$5:$B$8,2,FALSE),IFERROR(VLOOKUP($AH340,_CONFIG_Model_Settings!$A$5:$B$8,2,FALSE),0.9)))</f>
        <v>0.9</v>
      </c>
      <c r="AK340">
        <f>IF(OR($H340="",$H340="N/A"),"",IF($AI340="",VLOOKUP('Company Profile'!$B$41,_CONFIG_Model_Settings!$A$5:$B$8,2,FALSE),IFERROR(VLOOKUP($AI340,_CONFIG_Model_Settings!$A$5:$B$8,2,FALSE),0.9)))</f>
        <v>0.9</v>
      </c>
      <c r="AL340">
        <f t="shared" si="138"/>
        <v>0</v>
      </c>
      <c r="AM340">
        <f t="shared" si="139"/>
        <v>0</v>
      </c>
      <c r="AN340">
        <f>IFERROR(MIN(5,MAX(0,(SUMIFS(_REF_Model_Content!$D$1:$D$174,_REF_Model_Content!$A$1:$A$174,PV_Canonical_Industry,_REF_Model_Content!$B$1:$B$174,"Business Systems"))+IFERROR(VLOOKUP('Company Profile'!$B$35,_CONFIG_Model_Settings!$A$11:$B$13,2,0),0))),"")</f>
        <v>0</v>
      </c>
      <c r="AO340">
        <f t="shared" si="140"/>
        <v>0</v>
      </c>
      <c r="AP340">
        <f>IFERROR(SUMIFS(_REF_Model_Content!$E$1:$E$174,_REF_Model_Content!$A$1:$A$174,PV_Canonical_Industry,_REF_Model_Content!$B$1:$B$174,"Business Systems"),1)</f>
        <v>0</v>
      </c>
      <c r="AQ340">
        <f t="shared" si="141"/>
        <v>0</v>
      </c>
      <c r="AR340" t="str">
        <f t="shared" si="142"/>
        <v>Within target</v>
      </c>
      <c r="AS340">
        <f t="shared" si="143"/>
        <v>0</v>
      </c>
      <c r="AT340">
        <f t="shared" si="144"/>
        <v>0.9</v>
      </c>
      <c r="AU340">
        <f>'Assessment Questions'!AX340</f>
        <v>0</v>
      </c>
      <c r="AV340">
        <f t="shared" si="145"/>
        <v>0.9</v>
      </c>
      <c r="AW340" t="s">
        <v>2729</v>
      </c>
      <c r="AX340" t="s">
        <v>2729</v>
      </c>
      <c r="AY340">
        <v>20</v>
      </c>
      <c r="AZ340">
        <v>340</v>
      </c>
    </row>
    <row r="341" spans="1:52">
      <c r="A341" t="s">
        <v>2809</v>
      </c>
      <c r="B341" t="s">
        <v>2751</v>
      </c>
      <c r="C341" t="s">
        <v>2810</v>
      </c>
      <c r="D341" t="s">
        <v>2732</v>
      </c>
      <c r="E341" t="s">
        <v>2733</v>
      </c>
      <c r="F341" t="s">
        <v>2811</v>
      </c>
      <c r="G341">
        <f>'Assessment Questions'!J341</f>
        <v>5</v>
      </c>
      <c r="H341">
        <f t="shared" si="127"/>
        <v>0</v>
      </c>
      <c r="I341">
        <f t="shared" si="128"/>
        <v>0</v>
      </c>
      <c r="J341">
        <f t="shared" si="129"/>
        <v>5</v>
      </c>
      <c r="K341">
        <f t="shared" si="130"/>
        <v>5</v>
      </c>
      <c r="L341" t="str">
        <f t="shared" si="131"/>
        <v>Critical</v>
      </c>
      <c r="M341" t="s">
        <v>833</v>
      </c>
      <c r="N341" t="s">
        <v>834</v>
      </c>
      <c r="O341" t="s">
        <v>835</v>
      </c>
      <c r="P341" t="s">
        <v>836</v>
      </c>
      <c r="Q341" t="s">
        <v>837</v>
      </c>
      <c r="R341" t="s">
        <v>838</v>
      </c>
      <c r="S341" t="s">
        <v>2735</v>
      </c>
      <c r="T341">
        <f>'Assessment Questions'!W341</f>
        <v>0</v>
      </c>
      <c r="U341">
        <f>'Assessment Questions'!X341</f>
        <v>0</v>
      </c>
      <c r="V341" t="str">
        <f>'Assessment Questions'!Y341</f>
        <v>Use the recommended action generated by the model; validate with domain owner during real assessment.</v>
      </c>
      <c r="W341">
        <v>5</v>
      </c>
      <c r="X341">
        <v>5</v>
      </c>
      <c r="Y341">
        <v>5</v>
      </c>
      <c r="Z341">
        <f>'Assessment Questions'!AC341</f>
        <v>0</v>
      </c>
      <c r="AB341">
        <f t="shared" si="132"/>
        <v>0</v>
      </c>
      <c r="AC341">
        <f t="shared" si="133"/>
        <v>0</v>
      </c>
      <c r="AD341">
        <f t="shared" si="134"/>
        <v>0</v>
      </c>
      <c r="AE341">
        <f t="shared" si="135"/>
        <v>0</v>
      </c>
      <c r="AF341">
        <f t="shared" si="136"/>
        <v>5</v>
      </c>
      <c r="AG341">
        <f t="shared" si="137"/>
        <v>0</v>
      </c>
      <c r="AH341">
        <f>'Assessment Questions'!AK341</f>
        <v>0</v>
      </c>
      <c r="AI341">
        <f>'Assessment Questions'!AL341</f>
        <v>0</v>
      </c>
      <c r="AJ341">
        <f>IF(OR($H341="",$H341="N/A"),"",IF($AH341="",VLOOKUP('Company Profile'!$B$40,_CONFIG_Model_Settings!$A$5:$B$8,2,FALSE),IFERROR(VLOOKUP($AH341,_CONFIG_Model_Settings!$A$5:$B$8,2,FALSE),0.9)))</f>
        <v>0.9</v>
      </c>
      <c r="AK341">
        <f>IF(OR($H341="",$H341="N/A"),"",IF($AI341="",VLOOKUP('Company Profile'!$B$41,_CONFIG_Model_Settings!$A$5:$B$8,2,FALSE),IFERROR(VLOOKUP($AI341,_CONFIG_Model_Settings!$A$5:$B$8,2,FALSE),0.9)))</f>
        <v>0.9</v>
      </c>
      <c r="AL341">
        <f t="shared" si="138"/>
        <v>0</v>
      </c>
      <c r="AM341">
        <f t="shared" si="139"/>
        <v>0</v>
      </c>
      <c r="AN341">
        <f>IFERROR(MIN(5,MAX(0,(SUMIFS(_REF_Model_Content!$D$1:$D$174,_REF_Model_Content!$A$1:$A$174,PV_Canonical_Industry,_REF_Model_Content!$B$1:$B$174,"Business Systems"))+IFERROR(VLOOKUP('Company Profile'!$B$35,_CONFIG_Model_Settings!$A$11:$B$13,2,0),0))),"")</f>
        <v>0</v>
      </c>
      <c r="AO341">
        <f t="shared" si="140"/>
        <v>0</v>
      </c>
      <c r="AP341">
        <f>IFERROR(SUMIFS(_REF_Model_Content!$E$1:$E$174,_REF_Model_Content!$A$1:$A$174,PV_Canonical_Industry,_REF_Model_Content!$B$1:$B$174,"Business Systems"),1)</f>
        <v>0</v>
      </c>
      <c r="AQ341">
        <f t="shared" si="141"/>
        <v>0</v>
      </c>
      <c r="AR341" t="str">
        <f t="shared" si="142"/>
        <v>Within target</v>
      </c>
      <c r="AS341">
        <f t="shared" si="143"/>
        <v>0</v>
      </c>
      <c r="AT341">
        <f t="shared" si="144"/>
        <v>0.9</v>
      </c>
      <c r="AU341">
        <f>'Assessment Questions'!AX341</f>
        <v>0</v>
      </c>
      <c r="AV341">
        <f t="shared" si="145"/>
        <v>0.9</v>
      </c>
      <c r="AW341" t="s">
        <v>2729</v>
      </c>
      <c r="AX341" t="s">
        <v>2729</v>
      </c>
      <c r="AY341">
        <v>21</v>
      </c>
      <c r="AZ341">
        <v>341</v>
      </c>
    </row>
    <row r="342" spans="1:52">
      <c r="A342" t="s">
        <v>2812</v>
      </c>
      <c r="B342" t="s">
        <v>2751</v>
      </c>
      <c r="C342" t="s">
        <v>2813</v>
      </c>
      <c r="D342" t="s">
        <v>2732</v>
      </c>
      <c r="E342" t="s">
        <v>2733</v>
      </c>
      <c r="F342" t="s">
        <v>2814</v>
      </c>
      <c r="G342">
        <f>'Assessment Questions'!J342</f>
        <v>5</v>
      </c>
      <c r="H342">
        <f t="shared" si="127"/>
        <v>0</v>
      </c>
      <c r="I342">
        <f t="shared" si="128"/>
        <v>0</v>
      </c>
      <c r="J342">
        <f t="shared" si="129"/>
        <v>5</v>
      </c>
      <c r="K342">
        <f t="shared" si="130"/>
        <v>5</v>
      </c>
      <c r="L342" t="str">
        <f t="shared" si="131"/>
        <v>Critical</v>
      </c>
      <c r="M342" t="s">
        <v>1051</v>
      </c>
      <c r="N342" t="s">
        <v>1052</v>
      </c>
      <c r="O342" t="s">
        <v>1053</v>
      </c>
      <c r="P342" t="s">
        <v>1054</v>
      </c>
      <c r="Q342" t="s">
        <v>1055</v>
      </c>
      <c r="R342" t="s">
        <v>1056</v>
      </c>
      <c r="S342" t="s">
        <v>2735</v>
      </c>
      <c r="T342">
        <f>'Assessment Questions'!W342</f>
        <v>0</v>
      </c>
      <c r="U342">
        <f>'Assessment Questions'!X342</f>
        <v>0</v>
      </c>
      <c r="V342" t="str">
        <f>'Assessment Questions'!Y342</f>
        <v>Use the recommended action generated by the model; validate with domain owner during real assessment.</v>
      </c>
      <c r="W342">
        <v>5</v>
      </c>
      <c r="X342">
        <v>5</v>
      </c>
      <c r="Y342">
        <v>5</v>
      </c>
      <c r="Z342">
        <f>'Assessment Questions'!AC342</f>
        <v>0</v>
      </c>
      <c r="AB342">
        <f t="shared" si="132"/>
        <v>0</v>
      </c>
      <c r="AC342">
        <f t="shared" si="133"/>
        <v>0</v>
      </c>
      <c r="AD342">
        <f t="shared" si="134"/>
        <v>0</v>
      </c>
      <c r="AE342">
        <f t="shared" si="135"/>
        <v>0</v>
      </c>
      <c r="AF342">
        <f t="shared" si="136"/>
        <v>5</v>
      </c>
      <c r="AG342">
        <f t="shared" si="137"/>
        <v>0</v>
      </c>
      <c r="AH342">
        <f>'Assessment Questions'!AK342</f>
        <v>0</v>
      </c>
      <c r="AI342">
        <f>'Assessment Questions'!AL342</f>
        <v>0</v>
      </c>
      <c r="AJ342">
        <f>IF(OR($H342="",$H342="N/A"),"",IF($AH342="",VLOOKUP('Company Profile'!$B$40,_CONFIG_Model_Settings!$A$5:$B$8,2,FALSE),IFERROR(VLOOKUP($AH342,_CONFIG_Model_Settings!$A$5:$B$8,2,FALSE),0.9)))</f>
        <v>0.9</v>
      </c>
      <c r="AK342">
        <f>IF(OR($H342="",$H342="N/A"),"",IF($AI342="",VLOOKUP('Company Profile'!$B$41,_CONFIG_Model_Settings!$A$5:$B$8,2,FALSE),IFERROR(VLOOKUP($AI342,_CONFIG_Model_Settings!$A$5:$B$8,2,FALSE),0.9)))</f>
        <v>0.9</v>
      </c>
      <c r="AL342">
        <f t="shared" si="138"/>
        <v>0</v>
      </c>
      <c r="AM342">
        <f t="shared" si="139"/>
        <v>0</v>
      </c>
      <c r="AN342">
        <f>IFERROR(MIN(5,MAX(0,(SUMIFS(_REF_Model_Content!$D$1:$D$174,_REF_Model_Content!$A$1:$A$174,PV_Canonical_Industry,_REF_Model_Content!$B$1:$B$174,"Business Systems"))+IFERROR(VLOOKUP('Company Profile'!$B$35,_CONFIG_Model_Settings!$A$11:$B$13,2,0),0))),"")</f>
        <v>0</v>
      </c>
      <c r="AO342">
        <f t="shared" si="140"/>
        <v>0</v>
      </c>
      <c r="AP342">
        <f>IFERROR(SUMIFS(_REF_Model_Content!$E$1:$E$174,_REF_Model_Content!$A$1:$A$174,PV_Canonical_Industry,_REF_Model_Content!$B$1:$B$174,"Business Systems"),1)</f>
        <v>0</v>
      </c>
      <c r="AQ342">
        <f t="shared" si="141"/>
        <v>0</v>
      </c>
      <c r="AR342" t="str">
        <f t="shared" si="142"/>
        <v>Within target</v>
      </c>
      <c r="AS342">
        <f t="shared" si="143"/>
        <v>0</v>
      </c>
      <c r="AT342">
        <f t="shared" si="144"/>
        <v>0.9</v>
      </c>
      <c r="AU342">
        <f>'Assessment Questions'!AX342</f>
        <v>0</v>
      </c>
      <c r="AV342">
        <f t="shared" si="145"/>
        <v>0.9</v>
      </c>
      <c r="AW342" t="s">
        <v>2729</v>
      </c>
      <c r="AX342" t="s">
        <v>2729</v>
      </c>
      <c r="AY342">
        <v>22</v>
      </c>
      <c r="AZ342">
        <v>342</v>
      </c>
    </row>
    <row r="343" spans="1:52">
      <c r="A343" t="s">
        <v>2815</v>
      </c>
      <c r="B343" t="s">
        <v>2751</v>
      </c>
      <c r="C343" t="s">
        <v>2816</v>
      </c>
      <c r="D343" t="s">
        <v>2732</v>
      </c>
      <c r="E343" t="s">
        <v>2733</v>
      </c>
      <c r="F343" t="s">
        <v>2817</v>
      </c>
      <c r="G343">
        <f>'Assessment Questions'!J343</f>
        <v>5</v>
      </c>
      <c r="H343">
        <f t="shared" si="127"/>
        <v>0</v>
      </c>
      <c r="I343">
        <f t="shared" si="128"/>
        <v>0</v>
      </c>
      <c r="J343">
        <f t="shared" si="129"/>
        <v>5</v>
      </c>
      <c r="K343">
        <f t="shared" si="130"/>
        <v>5</v>
      </c>
      <c r="L343" t="str">
        <f t="shared" si="131"/>
        <v>Critical</v>
      </c>
      <c r="M343" t="s">
        <v>833</v>
      </c>
      <c r="N343" t="s">
        <v>834</v>
      </c>
      <c r="O343" t="s">
        <v>835</v>
      </c>
      <c r="P343" t="s">
        <v>836</v>
      </c>
      <c r="Q343" t="s">
        <v>837</v>
      </c>
      <c r="R343" t="s">
        <v>838</v>
      </c>
      <c r="S343" t="s">
        <v>2735</v>
      </c>
      <c r="T343">
        <f>'Assessment Questions'!W343</f>
        <v>0</v>
      </c>
      <c r="U343">
        <f>'Assessment Questions'!X343</f>
        <v>0</v>
      </c>
      <c r="V343" t="str">
        <f>'Assessment Questions'!Y343</f>
        <v>Use the recommended action generated by the model; validate with domain owner during real assessment.</v>
      </c>
      <c r="W343">
        <v>5</v>
      </c>
      <c r="X343">
        <v>5</v>
      </c>
      <c r="Y343">
        <v>5</v>
      </c>
      <c r="Z343">
        <f>'Assessment Questions'!AC343</f>
        <v>0</v>
      </c>
      <c r="AB343">
        <f t="shared" si="132"/>
        <v>0</v>
      </c>
      <c r="AC343">
        <f t="shared" si="133"/>
        <v>0</v>
      </c>
      <c r="AD343">
        <f t="shared" si="134"/>
        <v>0</v>
      </c>
      <c r="AE343">
        <f t="shared" si="135"/>
        <v>0</v>
      </c>
      <c r="AF343">
        <f t="shared" si="136"/>
        <v>5</v>
      </c>
      <c r="AG343">
        <f t="shared" si="137"/>
        <v>0</v>
      </c>
      <c r="AH343">
        <f>'Assessment Questions'!AK343</f>
        <v>0</v>
      </c>
      <c r="AI343">
        <f>'Assessment Questions'!AL343</f>
        <v>0</v>
      </c>
      <c r="AJ343">
        <f>IF(OR($H343="",$H343="N/A"),"",IF($AH343="",VLOOKUP('Company Profile'!$B$40,_CONFIG_Model_Settings!$A$5:$B$8,2,FALSE),IFERROR(VLOOKUP($AH343,_CONFIG_Model_Settings!$A$5:$B$8,2,FALSE),0.9)))</f>
        <v>0.9</v>
      </c>
      <c r="AK343">
        <f>IF(OR($H343="",$H343="N/A"),"",IF($AI343="",VLOOKUP('Company Profile'!$B$41,_CONFIG_Model_Settings!$A$5:$B$8,2,FALSE),IFERROR(VLOOKUP($AI343,_CONFIG_Model_Settings!$A$5:$B$8,2,FALSE),0.9)))</f>
        <v>0.9</v>
      </c>
      <c r="AL343">
        <f t="shared" si="138"/>
        <v>0</v>
      </c>
      <c r="AM343">
        <f t="shared" si="139"/>
        <v>0</v>
      </c>
      <c r="AN343">
        <f>IFERROR(MIN(5,MAX(0,(SUMIFS(_REF_Model_Content!$D$1:$D$174,_REF_Model_Content!$A$1:$A$174,PV_Canonical_Industry,_REF_Model_Content!$B$1:$B$174,"Business Systems"))+IFERROR(VLOOKUP('Company Profile'!$B$35,_CONFIG_Model_Settings!$A$11:$B$13,2,0),0))),"")</f>
        <v>0</v>
      </c>
      <c r="AO343">
        <f t="shared" si="140"/>
        <v>0</v>
      </c>
      <c r="AP343">
        <f>IFERROR(SUMIFS(_REF_Model_Content!$E$1:$E$174,_REF_Model_Content!$A$1:$A$174,PV_Canonical_Industry,_REF_Model_Content!$B$1:$B$174,"Business Systems"),1)</f>
        <v>0</v>
      </c>
      <c r="AQ343">
        <f t="shared" si="141"/>
        <v>0</v>
      </c>
      <c r="AR343" t="str">
        <f t="shared" si="142"/>
        <v>Within target</v>
      </c>
      <c r="AS343">
        <f t="shared" si="143"/>
        <v>0</v>
      </c>
      <c r="AT343">
        <f t="shared" si="144"/>
        <v>0.9</v>
      </c>
      <c r="AU343">
        <f>'Assessment Questions'!AX343</f>
        <v>0</v>
      </c>
      <c r="AV343">
        <f t="shared" si="145"/>
        <v>0.9</v>
      </c>
      <c r="AW343" t="s">
        <v>2729</v>
      </c>
      <c r="AX343" t="s">
        <v>2729</v>
      </c>
      <c r="AY343">
        <v>23</v>
      </c>
      <c r="AZ343">
        <v>343</v>
      </c>
    </row>
    <row r="344" spans="1:52">
      <c r="A344" t="s">
        <v>2818</v>
      </c>
      <c r="B344" t="s">
        <v>2751</v>
      </c>
      <c r="C344" t="s">
        <v>2819</v>
      </c>
      <c r="D344" t="s">
        <v>2732</v>
      </c>
      <c r="E344" t="s">
        <v>2733</v>
      </c>
      <c r="F344" t="s">
        <v>2820</v>
      </c>
      <c r="G344">
        <f>'Assessment Questions'!J344</f>
        <v>5</v>
      </c>
      <c r="H344">
        <f t="shared" si="127"/>
        <v>0</v>
      </c>
      <c r="I344">
        <f t="shared" si="128"/>
        <v>0</v>
      </c>
      <c r="J344">
        <f t="shared" si="129"/>
        <v>5</v>
      </c>
      <c r="K344">
        <f t="shared" si="130"/>
        <v>5</v>
      </c>
      <c r="L344" t="str">
        <f t="shared" si="131"/>
        <v>Critical</v>
      </c>
      <c r="M344" t="s">
        <v>874</v>
      </c>
      <c r="N344" t="s">
        <v>875</v>
      </c>
      <c r="O344" t="s">
        <v>876</v>
      </c>
      <c r="P344" t="s">
        <v>877</v>
      </c>
      <c r="Q344" t="s">
        <v>878</v>
      </c>
      <c r="R344" t="s">
        <v>879</v>
      </c>
      <c r="S344" t="s">
        <v>2735</v>
      </c>
      <c r="T344">
        <f>'Assessment Questions'!W344</f>
        <v>0</v>
      </c>
      <c r="U344">
        <f>'Assessment Questions'!X344</f>
        <v>0</v>
      </c>
      <c r="V344" t="str">
        <f>'Assessment Questions'!Y344</f>
        <v>Use the recommended action generated by the model; validate with domain owner during real assessment.</v>
      </c>
      <c r="W344">
        <v>5</v>
      </c>
      <c r="X344">
        <v>5</v>
      </c>
      <c r="Y344">
        <v>5</v>
      </c>
      <c r="Z344">
        <f>'Assessment Questions'!AC344</f>
        <v>0</v>
      </c>
      <c r="AB344">
        <f t="shared" si="132"/>
        <v>0</v>
      </c>
      <c r="AC344">
        <f t="shared" si="133"/>
        <v>0</v>
      </c>
      <c r="AD344">
        <f t="shared" si="134"/>
        <v>0</v>
      </c>
      <c r="AE344">
        <f t="shared" si="135"/>
        <v>0</v>
      </c>
      <c r="AF344">
        <f t="shared" si="136"/>
        <v>5</v>
      </c>
      <c r="AG344">
        <f t="shared" si="137"/>
        <v>0</v>
      </c>
      <c r="AH344">
        <f>'Assessment Questions'!AK344</f>
        <v>0</v>
      </c>
      <c r="AI344">
        <f>'Assessment Questions'!AL344</f>
        <v>0</v>
      </c>
      <c r="AJ344">
        <f>IF(OR($H344="",$H344="N/A"),"",IF($AH344="",VLOOKUP('Company Profile'!$B$40,_CONFIG_Model_Settings!$A$5:$B$8,2,FALSE),IFERROR(VLOOKUP($AH344,_CONFIG_Model_Settings!$A$5:$B$8,2,FALSE),0.9)))</f>
        <v>0.9</v>
      </c>
      <c r="AK344">
        <f>IF(OR($H344="",$H344="N/A"),"",IF($AI344="",VLOOKUP('Company Profile'!$B$41,_CONFIG_Model_Settings!$A$5:$B$8,2,FALSE),IFERROR(VLOOKUP($AI344,_CONFIG_Model_Settings!$A$5:$B$8,2,FALSE),0.9)))</f>
        <v>0.9</v>
      </c>
      <c r="AL344">
        <f t="shared" si="138"/>
        <v>0</v>
      </c>
      <c r="AM344">
        <f t="shared" si="139"/>
        <v>0</v>
      </c>
      <c r="AN344">
        <f>IFERROR(MIN(5,MAX(0,(SUMIFS(_REF_Model_Content!$D$1:$D$174,_REF_Model_Content!$A$1:$A$174,PV_Canonical_Industry,_REF_Model_Content!$B$1:$B$174,"Business Systems"))+IFERROR(VLOOKUP('Company Profile'!$B$35,_CONFIG_Model_Settings!$A$11:$B$13,2,0),0))),"")</f>
        <v>0</v>
      </c>
      <c r="AO344">
        <f t="shared" si="140"/>
        <v>0</v>
      </c>
      <c r="AP344">
        <f>IFERROR(SUMIFS(_REF_Model_Content!$E$1:$E$174,_REF_Model_Content!$A$1:$A$174,PV_Canonical_Industry,_REF_Model_Content!$B$1:$B$174,"Business Systems"),1)</f>
        <v>0</v>
      </c>
      <c r="AQ344">
        <f t="shared" si="141"/>
        <v>0</v>
      </c>
      <c r="AR344" t="str">
        <f t="shared" si="142"/>
        <v>Within target</v>
      </c>
      <c r="AS344">
        <f t="shared" si="143"/>
        <v>0</v>
      </c>
      <c r="AT344">
        <f t="shared" si="144"/>
        <v>0.9</v>
      </c>
      <c r="AU344">
        <f>'Assessment Questions'!AX344</f>
        <v>0</v>
      </c>
      <c r="AV344">
        <f t="shared" si="145"/>
        <v>0.9</v>
      </c>
      <c r="AW344" t="s">
        <v>2729</v>
      </c>
      <c r="AX344" t="s">
        <v>2729</v>
      </c>
      <c r="AY344">
        <v>24</v>
      </c>
      <c r="AZ344">
        <v>344</v>
      </c>
    </row>
    <row r="345" spans="1:52">
      <c r="A345" t="s">
        <v>2821</v>
      </c>
      <c r="B345" t="s">
        <v>2751</v>
      </c>
      <c r="C345" t="s">
        <v>2822</v>
      </c>
      <c r="D345" t="s">
        <v>2732</v>
      </c>
      <c r="E345" t="s">
        <v>2733</v>
      </c>
      <c r="F345" t="s">
        <v>2823</v>
      </c>
      <c r="G345">
        <f>'Assessment Questions'!J345</f>
        <v>5</v>
      </c>
      <c r="H345">
        <f t="shared" si="127"/>
        <v>0</v>
      </c>
      <c r="I345">
        <f t="shared" si="128"/>
        <v>0</v>
      </c>
      <c r="J345">
        <f t="shared" si="129"/>
        <v>5</v>
      </c>
      <c r="K345">
        <f t="shared" si="130"/>
        <v>5</v>
      </c>
      <c r="L345" t="str">
        <f t="shared" si="131"/>
        <v>Critical</v>
      </c>
      <c r="M345" t="s">
        <v>833</v>
      </c>
      <c r="N345" t="s">
        <v>834</v>
      </c>
      <c r="O345" t="s">
        <v>835</v>
      </c>
      <c r="P345" t="s">
        <v>836</v>
      </c>
      <c r="Q345" t="s">
        <v>837</v>
      </c>
      <c r="R345" t="s">
        <v>838</v>
      </c>
      <c r="S345" t="s">
        <v>2735</v>
      </c>
      <c r="T345">
        <f>'Assessment Questions'!W345</f>
        <v>0</v>
      </c>
      <c r="U345">
        <f>'Assessment Questions'!X345</f>
        <v>0</v>
      </c>
      <c r="V345" t="str">
        <f>'Assessment Questions'!Y345</f>
        <v>Use the recommended action generated by the model; validate with domain owner during real assessment.</v>
      </c>
      <c r="W345">
        <v>5</v>
      </c>
      <c r="X345">
        <v>5</v>
      </c>
      <c r="Y345">
        <v>5</v>
      </c>
      <c r="Z345">
        <f>'Assessment Questions'!AC345</f>
        <v>0</v>
      </c>
      <c r="AB345">
        <f t="shared" si="132"/>
        <v>0</v>
      </c>
      <c r="AC345">
        <f t="shared" si="133"/>
        <v>0</v>
      </c>
      <c r="AD345">
        <f t="shared" si="134"/>
        <v>0</v>
      </c>
      <c r="AE345">
        <f t="shared" si="135"/>
        <v>0</v>
      </c>
      <c r="AF345">
        <f t="shared" si="136"/>
        <v>5</v>
      </c>
      <c r="AG345">
        <f t="shared" si="137"/>
        <v>0</v>
      </c>
      <c r="AH345">
        <f>'Assessment Questions'!AK345</f>
        <v>0</v>
      </c>
      <c r="AI345">
        <f>'Assessment Questions'!AL345</f>
        <v>0</v>
      </c>
      <c r="AJ345">
        <f>IF(OR($H345="",$H345="N/A"),"",IF($AH345="",VLOOKUP('Company Profile'!$B$40,_CONFIG_Model_Settings!$A$5:$B$8,2,FALSE),IFERROR(VLOOKUP($AH345,_CONFIG_Model_Settings!$A$5:$B$8,2,FALSE),0.9)))</f>
        <v>0.9</v>
      </c>
      <c r="AK345">
        <f>IF(OR($H345="",$H345="N/A"),"",IF($AI345="",VLOOKUP('Company Profile'!$B$41,_CONFIG_Model_Settings!$A$5:$B$8,2,FALSE),IFERROR(VLOOKUP($AI345,_CONFIG_Model_Settings!$A$5:$B$8,2,FALSE),0.9)))</f>
        <v>0.9</v>
      </c>
      <c r="AL345">
        <f t="shared" si="138"/>
        <v>0</v>
      </c>
      <c r="AM345">
        <f t="shared" si="139"/>
        <v>0</v>
      </c>
      <c r="AN345">
        <f>IFERROR(MIN(5,MAX(0,(SUMIFS(_REF_Model_Content!$D$1:$D$174,_REF_Model_Content!$A$1:$A$174,PV_Canonical_Industry,_REF_Model_Content!$B$1:$B$174,"Business Systems"))+IFERROR(VLOOKUP('Company Profile'!$B$35,_CONFIG_Model_Settings!$A$11:$B$13,2,0),0))),"")</f>
        <v>0</v>
      </c>
      <c r="AO345">
        <f t="shared" si="140"/>
        <v>0</v>
      </c>
      <c r="AP345">
        <f>IFERROR(SUMIFS(_REF_Model_Content!$E$1:$E$174,_REF_Model_Content!$A$1:$A$174,PV_Canonical_Industry,_REF_Model_Content!$B$1:$B$174,"Business Systems"),1)</f>
        <v>0</v>
      </c>
      <c r="AQ345">
        <f t="shared" si="141"/>
        <v>0</v>
      </c>
      <c r="AR345" t="str">
        <f t="shared" si="142"/>
        <v>Within target</v>
      </c>
      <c r="AS345">
        <f t="shared" si="143"/>
        <v>0</v>
      </c>
      <c r="AT345">
        <f t="shared" si="144"/>
        <v>0.9</v>
      </c>
      <c r="AU345">
        <f>'Assessment Questions'!AX345</f>
        <v>0</v>
      </c>
      <c r="AV345">
        <f t="shared" si="145"/>
        <v>0.9</v>
      </c>
      <c r="AW345" t="s">
        <v>2729</v>
      </c>
      <c r="AX345" t="s">
        <v>2729</v>
      </c>
      <c r="AY345">
        <v>25</v>
      </c>
      <c r="AZ345">
        <v>345</v>
      </c>
    </row>
    <row r="346" spans="1:52">
      <c r="A346" t="s">
        <v>2825</v>
      </c>
      <c r="B346" t="s">
        <v>2826</v>
      </c>
      <c r="C346" t="s">
        <v>2827</v>
      </c>
      <c r="D346" t="s">
        <v>2828</v>
      </c>
      <c r="E346" t="s">
        <v>2829</v>
      </c>
      <c r="F346" t="s">
        <v>2830</v>
      </c>
      <c r="G346">
        <f>'Assessment Questions'!J346</f>
        <v>5</v>
      </c>
      <c r="H346">
        <f t="shared" si="127"/>
        <v>0</v>
      </c>
      <c r="I346">
        <f t="shared" si="128"/>
        <v>0</v>
      </c>
      <c r="J346">
        <f t="shared" si="129"/>
        <v>5</v>
      </c>
      <c r="K346">
        <f t="shared" si="130"/>
        <v>5</v>
      </c>
      <c r="L346" t="str">
        <f t="shared" si="131"/>
        <v>Critical</v>
      </c>
      <c r="M346" t="s">
        <v>833</v>
      </c>
      <c r="N346" t="s">
        <v>834</v>
      </c>
      <c r="O346" t="s">
        <v>835</v>
      </c>
      <c r="P346" t="s">
        <v>836</v>
      </c>
      <c r="Q346" t="s">
        <v>837</v>
      </c>
      <c r="R346" t="s">
        <v>838</v>
      </c>
      <c r="S346" t="s">
        <v>2831</v>
      </c>
      <c r="T346">
        <f>'Assessment Questions'!W346</f>
        <v>0</v>
      </c>
      <c r="U346">
        <f>'Assessment Questions'!X346</f>
        <v>0</v>
      </c>
      <c r="V346" t="str">
        <f>'Assessment Questions'!Y346</f>
        <v>Use the recommended action generated by the model; validate with domain owner during real assessment.</v>
      </c>
      <c r="W346">
        <v>5</v>
      </c>
      <c r="X346">
        <v>5</v>
      </c>
      <c r="Y346">
        <v>5</v>
      </c>
      <c r="Z346">
        <f>'Assessment Questions'!AC346</f>
        <v>0</v>
      </c>
      <c r="AA346" t="s">
        <v>2826</v>
      </c>
      <c r="AB346">
        <f t="shared" ref="AB346:AB372" si="146">COUNTIF($B$346:$B$372,$AA346)</f>
        <v>6</v>
      </c>
      <c r="AC346">
        <f t="shared" ref="AC346:AC372" si="147">IFERROR(SUMPRODUCT(($B$346:$B$372=$AA346)*($H$346:$H$372&lt;&gt;"")*($H$346:$H$372&lt;&gt;"N/A")*IFERROR(VALUE($H$346:$H$372),0))/SUMPRODUCT(($B$346:$B$372=$AA346)*($H$346:$H$372&lt;&gt;"")*($H$346:$H$372&lt;&gt;"N/A")),0)</f>
        <v>0</v>
      </c>
      <c r="AD346">
        <f t="shared" si="134"/>
        <v>0</v>
      </c>
      <c r="AE346">
        <f t="shared" ref="AE346:AE372" si="148">COUNTIFS($B$346:$B$372,$AA346,$L$346:$L$372,"Critical")+COUNTIFS($B$346:$B$372,$AA346,$L$346:$L$372,"High")</f>
        <v>6</v>
      </c>
      <c r="AF346">
        <f t="shared" si="136"/>
        <v>5</v>
      </c>
      <c r="AG346">
        <f t="shared" ref="AG346:AG372" si="149">SUMPRODUCT(($B$346:$B$372=$AA346)*(ISNUMBER($H$346:$H$372)+($H$346:$H$372="N/A")))</f>
        <v>6</v>
      </c>
      <c r="AH346">
        <f>'Assessment Questions'!AK346</f>
        <v>0</v>
      </c>
      <c r="AI346">
        <f>'Assessment Questions'!AL346</f>
        <v>0</v>
      </c>
      <c r="AJ346">
        <f>IF(OR($H346="",$H346="N/A"),"",IF($AH346="",VLOOKUP('Company Profile'!$B$40,_CONFIG_Model_Settings!$A$5:$B$8,2,FALSE),IFERROR(VLOOKUP($AH346,_CONFIG_Model_Settings!$A$5:$B$8,2,FALSE),0.9)))</f>
        <v>0.9</v>
      </c>
      <c r="AK346">
        <f>IF(OR($H346="",$H346="N/A"),"",IF($AI346="",VLOOKUP('Company Profile'!$B$41,_CONFIG_Model_Settings!$A$5:$B$8,2,FALSE),IFERROR(VLOOKUP($AI346,_CONFIG_Model_Settings!$A$5:$B$8,2,FALSE),0.9)))</f>
        <v>0.9</v>
      </c>
      <c r="AL346">
        <f t="shared" si="138"/>
        <v>0</v>
      </c>
      <c r="AM346">
        <f t="shared" si="139"/>
        <v>0</v>
      </c>
      <c r="AN346">
        <f>IFERROR(MIN(5,MAX(0,(SUMIFS(_REF_Model_Content!$D$1:$D$174,_REF_Model_Content!$A$1:$A$174,PV_Canonical_Industry,_REF_Model_Content!$B$1:$B$174,"Data BI AI"))+IFERROR(VLOOKUP('Company Profile'!$B$35,_CONFIG_Model_Settings!$A$11:$B$13,2,0),0))),"")</f>
        <v>0</v>
      </c>
      <c r="AO346">
        <f t="shared" si="140"/>
        <v>0</v>
      </c>
      <c r="AP346">
        <f>IFERROR(SUMIFS(_REF_Model_Content!$E$1:$E$174,_REF_Model_Content!$A$1:$A$174,PV_Canonical_Industry,_REF_Model_Content!$B$1:$B$174,"Data BI AI"),1)</f>
        <v>0</v>
      </c>
      <c r="AQ346">
        <f t="shared" si="141"/>
        <v>0</v>
      </c>
      <c r="AR346" t="str">
        <f t="shared" si="142"/>
        <v>Within target</v>
      </c>
      <c r="AS346">
        <f t="shared" si="143"/>
        <v>0</v>
      </c>
      <c r="AT346">
        <f t="shared" si="144"/>
        <v>0.9</v>
      </c>
      <c r="AU346">
        <f>'Assessment Questions'!AX346</f>
        <v>0</v>
      </c>
      <c r="AV346">
        <f t="shared" si="145"/>
        <v>0.9</v>
      </c>
      <c r="AW346" t="s">
        <v>2824</v>
      </c>
      <c r="AX346" t="s">
        <v>2824</v>
      </c>
      <c r="AY346">
        <v>5</v>
      </c>
      <c r="AZ346">
        <v>346</v>
      </c>
    </row>
    <row r="347" spans="1:52">
      <c r="A347" t="s">
        <v>2832</v>
      </c>
      <c r="B347" t="s">
        <v>2826</v>
      </c>
      <c r="C347" t="s">
        <v>2833</v>
      </c>
      <c r="D347" t="s">
        <v>2828</v>
      </c>
      <c r="E347" t="s">
        <v>2829</v>
      </c>
      <c r="F347" t="s">
        <v>2834</v>
      </c>
      <c r="G347">
        <f>'Assessment Questions'!J347</f>
        <v>5</v>
      </c>
      <c r="H347">
        <f t="shared" si="127"/>
        <v>0</v>
      </c>
      <c r="I347">
        <f t="shared" si="128"/>
        <v>0</v>
      </c>
      <c r="J347">
        <f t="shared" si="129"/>
        <v>5</v>
      </c>
      <c r="K347">
        <f t="shared" si="130"/>
        <v>5</v>
      </c>
      <c r="L347" t="str">
        <f t="shared" si="131"/>
        <v>Critical</v>
      </c>
      <c r="M347" t="s">
        <v>1051</v>
      </c>
      <c r="N347" t="s">
        <v>1052</v>
      </c>
      <c r="O347" t="s">
        <v>1053</v>
      </c>
      <c r="P347" t="s">
        <v>1054</v>
      </c>
      <c r="Q347" t="s">
        <v>1055</v>
      </c>
      <c r="R347" t="s">
        <v>1056</v>
      </c>
      <c r="S347" t="s">
        <v>2831</v>
      </c>
      <c r="T347">
        <f>'Assessment Questions'!W347</f>
        <v>0</v>
      </c>
      <c r="U347">
        <f>'Assessment Questions'!X347</f>
        <v>0</v>
      </c>
      <c r="V347" t="str">
        <f>'Assessment Questions'!Y347</f>
        <v>Use the recommended action generated by the model; validate with domain owner during real assessment.</v>
      </c>
      <c r="W347">
        <v>5</v>
      </c>
      <c r="X347">
        <v>5</v>
      </c>
      <c r="Y347">
        <v>5</v>
      </c>
      <c r="Z347">
        <f>'Assessment Questions'!AC347</f>
        <v>0</v>
      </c>
      <c r="AA347" t="s">
        <v>2835</v>
      </c>
      <c r="AB347">
        <f t="shared" si="146"/>
        <v>6</v>
      </c>
      <c r="AC347">
        <f t="shared" si="147"/>
        <v>0</v>
      </c>
      <c r="AD347">
        <f t="shared" si="134"/>
        <v>0</v>
      </c>
      <c r="AE347">
        <f t="shared" si="148"/>
        <v>6</v>
      </c>
      <c r="AF347">
        <f t="shared" si="136"/>
        <v>5</v>
      </c>
      <c r="AG347">
        <f t="shared" si="149"/>
        <v>6</v>
      </c>
      <c r="AH347">
        <f>'Assessment Questions'!AK347</f>
        <v>0</v>
      </c>
      <c r="AI347">
        <f>'Assessment Questions'!AL347</f>
        <v>0</v>
      </c>
      <c r="AJ347">
        <f>IF(OR($H347="",$H347="N/A"),"",IF($AH347="",VLOOKUP('Company Profile'!$B$40,_CONFIG_Model_Settings!$A$5:$B$8,2,FALSE),IFERROR(VLOOKUP($AH347,_CONFIG_Model_Settings!$A$5:$B$8,2,FALSE),0.9)))</f>
        <v>0.9</v>
      </c>
      <c r="AK347">
        <f>IF(OR($H347="",$H347="N/A"),"",IF($AI347="",VLOOKUP('Company Profile'!$B$41,_CONFIG_Model_Settings!$A$5:$B$8,2,FALSE),IFERROR(VLOOKUP($AI347,_CONFIG_Model_Settings!$A$5:$B$8,2,FALSE),0.9)))</f>
        <v>0.9</v>
      </c>
      <c r="AL347">
        <f t="shared" si="138"/>
        <v>0</v>
      </c>
      <c r="AM347">
        <f t="shared" si="139"/>
        <v>0</v>
      </c>
      <c r="AN347">
        <f>IFERROR(MIN(5,MAX(0,(SUMIFS(_REF_Model_Content!$D$1:$D$174,_REF_Model_Content!$A$1:$A$174,PV_Canonical_Industry,_REF_Model_Content!$B$1:$B$174,"Data BI AI"))+IFERROR(VLOOKUP('Company Profile'!$B$35,_CONFIG_Model_Settings!$A$11:$B$13,2,0),0))),"")</f>
        <v>0</v>
      </c>
      <c r="AO347">
        <f t="shared" si="140"/>
        <v>0</v>
      </c>
      <c r="AP347">
        <f>IFERROR(SUMIFS(_REF_Model_Content!$E$1:$E$174,_REF_Model_Content!$A$1:$A$174,PV_Canonical_Industry,_REF_Model_Content!$B$1:$B$174,"Data BI AI"),1)</f>
        <v>0</v>
      </c>
      <c r="AQ347">
        <f t="shared" si="141"/>
        <v>0</v>
      </c>
      <c r="AR347" t="str">
        <f t="shared" si="142"/>
        <v>Within target</v>
      </c>
      <c r="AS347">
        <f t="shared" si="143"/>
        <v>0</v>
      </c>
      <c r="AT347">
        <f t="shared" si="144"/>
        <v>0.9</v>
      </c>
      <c r="AU347">
        <f>'Assessment Questions'!AX347</f>
        <v>0</v>
      </c>
      <c r="AV347">
        <f t="shared" si="145"/>
        <v>0.9</v>
      </c>
      <c r="AW347" t="s">
        <v>2824</v>
      </c>
      <c r="AX347" t="s">
        <v>2824</v>
      </c>
      <c r="AY347">
        <v>6</v>
      </c>
      <c r="AZ347">
        <v>347</v>
      </c>
    </row>
    <row r="348" spans="1:52">
      <c r="A348" t="s">
        <v>2836</v>
      </c>
      <c r="B348" t="s">
        <v>2826</v>
      </c>
      <c r="C348" t="s">
        <v>2837</v>
      </c>
      <c r="D348" t="s">
        <v>2828</v>
      </c>
      <c r="E348" t="s">
        <v>2829</v>
      </c>
      <c r="F348" t="s">
        <v>2838</v>
      </c>
      <c r="G348">
        <f>'Assessment Questions'!J348</f>
        <v>3</v>
      </c>
      <c r="H348">
        <f t="shared" si="127"/>
        <v>0</v>
      </c>
      <c r="I348">
        <f t="shared" si="128"/>
        <v>0</v>
      </c>
      <c r="J348">
        <f t="shared" si="129"/>
        <v>3</v>
      </c>
      <c r="K348">
        <f t="shared" si="130"/>
        <v>3</v>
      </c>
      <c r="L348" t="str">
        <f t="shared" si="131"/>
        <v>Critical</v>
      </c>
      <c r="M348" t="s">
        <v>2839</v>
      </c>
      <c r="N348" t="s">
        <v>2840</v>
      </c>
      <c r="O348" t="s">
        <v>2841</v>
      </c>
      <c r="P348" t="s">
        <v>2842</v>
      </c>
      <c r="Q348" t="s">
        <v>2843</v>
      </c>
      <c r="R348" t="s">
        <v>2844</v>
      </c>
      <c r="S348" t="s">
        <v>2831</v>
      </c>
      <c r="T348">
        <f>'Assessment Questions'!W348</f>
        <v>0</v>
      </c>
      <c r="U348">
        <f>'Assessment Questions'!X348</f>
        <v>0</v>
      </c>
      <c r="V348" t="str">
        <f>'Assessment Questions'!Y348</f>
        <v>Use the recommended action generated by the model; validate with domain owner during real assessment.</v>
      </c>
      <c r="W348">
        <v>5</v>
      </c>
      <c r="X348">
        <v>5</v>
      </c>
      <c r="Y348">
        <v>5</v>
      </c>
      <c r="Z348">
        <f>'Assessment Questions'!AC348</f>
        <v>0</v>
      </c>
      <c r="AA348" t="s">
        <v>2845</v>
      </c>
      <c r="AB348">
        <f t="shared" si="146"/>
        <v>6</v>
      </c>
      <c r="AC348">
        <f t="shared" si="147"/>
        <v>0</v>
      </c>
      <c r="AD348">
        <f t="shared" si="134"/>
        <v>0</v>
      </c>
      <c r="AE348">
        <f t="shared" si="148"/>
        <v>6</v>
      </c>
      <c r="AF348">
        <f t="shared" si="136"/>
        <v>5</v>
      </c>
      <c r="AG348">
        <f t="shared" si="149"/>
        <v>6</v>
      </c>
      <c r="AH348">
        <f>'Assessment Questions'!AK348</f>
        <v>0</v>
      </c>
      <c r="AI348">
        <f>'Assessment Questions'!AL348</f>
        <v>0</v>
      </c>
      <c r="AJ348">
        <f>IF(OR($H348="",$H348="N/A"),"",IF($AH348="",VLOOKUP('Company Profile'!$B$40,_CONFIG_Model_Settings!$A$5:$B$8,2,FALSE),IFERROR(VLOOKUP($AH348,_CONFIG_Model_Settings!$A$5:$B$8,2,FALSE),0.9)))</f>
        <v>0.9</v>
      </c>
      <c r="AK348">
        <f>IF(OR($H348="",$H348="N/A"),"",IF($AI348="",VLOOKUP('Company Profile'!$B$41,_CONFIG_Model_Settings!$A$5:$B$8,2,FALSE),IFERROR(VLOOKUP($AI348,_CONFIG_Model_Settings!$A$5:$B$8,2,FALSE),0.9)))</f>
        <v>0.9</v>
      </c>
      <c r="AL348">
        <f t="shared" si="138"/>
        <v>0</v>
      </c>
      <c r="AM348">
        <f t="shared" si="139"/>
        <v>0</v>
      </c>
      <c r="AN348">
        <f>IFERROR(MIN(5,MAX(0,(SUMIFS(_REF_Model_Content!$D$1:$D$174,_REF_Model_Content!$A$1:$A$174,PV_Canonical_Industry,_REF_Model_Content!$B$1:$B$174,"Data BI AI"))+IFERROR(VLOOKUP('Company Profile'!$B$35,_CONFIG_Model_Settings!$A$11:$B$13,2,0),0))),"")</f>
        <v>0</v>
      </c>
      <c r="AO348">
        <f t="shared" si="140"/>
        <v>0</v>
      </c>
      <c r="AP348">
        <f>IFERROR(SUMIFS(_REF_Model_Content!$E$1:$E$174,_REF_Model_Content!$A$1:$A$174,PV_Canonical_Industry,_REF_Model_Content!$B$1:$B$174,"Data BI AI"),1)</f>
        <v>0</v>
      </c>
      <c r="AQ348">
        <f t="shared" si="141"/>
        <v>0</v>
      </c>
      <c r="AR348" t="str">
        <f t="shared" si="142"/>
        <v>Within target</v>
      </c>
      <c r="AS348">
        <f t="shared" si="143"/>
        <v>0</v>
      </c>
      <c r="AT348">
        <f t="shared" si="144"/>
        <v>0.9</v>
      </c>
      <c r="AU348">
        <f>'Assessment Questions'!AX348</f>
        <v>0</v>
      </c>
      <c r="AV348">
        <f t="shared" si="145"/>
        <v>0.9</v>
      </c>
      <c r="AW348" t="s">
        <v>2824</v>
      </c>
      <c r="AX348" t="s">
        <v>2824</v>
      </c>
      <c r="AY348">
        <v>7</v>
      </c>
      <c r="AZ348">
        <v>348</v>
      </c>
    </row>
    <row r="349" spans="1:52">
      <c r="A349" t="s">
        <v>2846</v>
      </c>
      <c r="B349" t="s">
        <v>2826</v>
      </c>
      <c r="C349" t="s">
        <v>2847</v>
      </c>
      <c r="D349" t="s">
        <v>2828</v>
      </c>
      <c r="E349" t="s">
        <v>2829</v>
      </c>
      <c r="F349" t="s">
        <v>2848</v>
      </c>
      <c r="G349">
        <f>'Assessment Questions'!J349</f>
        <v>4</v>
      </c>
      <c r="H349">
        <f t="shared" si="127"/>
        <v>0</v>
      </c>
      <c r="I349">
        <f t="shared" si="128"/>
        <v>0</v>
      </c>
      <c r="J349">
        <f t="shared" si="129"/>
        <v>4</v>
      </c>
      <c r="K349">
        <f t="shared" si="130"/>
        <v>4</v>
      </c>
      <c r="L349" t="str">
        <f t="shared" si="131"/>
        <v>Critical</v>
      </c>
      <c r="M349" t="s">
        <v>2849</v>
      </c>
      <c r="N349" t="s">
        <v>2850</v>
      </c>
      <c r="O349" t="s">
        <v>2851</v>
      </c>
      <c r="P349" t="s">
        <v>2852</v>
      </c>
      <c r="Q349" t="s">
        <v>2853</v>
      </c>
      <c r="R349" t="s">
        <v>2854</v>
      </c>
      <c r="S349" t="s">
        <v>2831</v>
      </c>
      <c r="T349">
        <f>'Assessment Questions'!W349</f>
        <v>0</v>
      </c>
      <c r="U349">
        <f>'Assessment Questions'!X349</f>
        <v>0</v>
      </c>
      <c r="V349" t="str">
        <f>'Assessment Questions'!Y349</f>
        <v>Use the recommended action generated by the model; validate with domain owner during real assessment.</v>
      </c>
      <c r="W349">
        <v>5</v>
      </c>
      <c r="X349">
        <v>5</v>
      </c>
      <c r="Y349">
        <v>5</v>
      </c>
      <c r="Z349">
        <f>'Assessment Questions'!AC349</f>
        <v>0</v>
      </c>
      <c r="AA349" t="s">
        <v>2855</v>
      </c>
      <c r="AB349">
        <f t="shared" si="146"/>
        <v>4</v>
      </c>
      <c r="AC349">
        <f t="shared" si="147"/>
        <v>0</v>
      </c>
      <c r="AD349">
        <f t="shared" si="134"/>
        <v>0</v>
      </c>
      <c r="AE349">
        <f t="shared" si="148"/>
        <v>4</v>
      </c>
      <c r="AF349">
        <f t="shared" si="136"/>
        <v>5</v>
      </c>
      <c r="AG349">
        <f t="shared" si="149"/>
        <v>4</v>
      </c>
      <c r="AH349">
        <f>'Assessment Questions'!AK349</f>
        <v>0</v>
      </c>
      <c r="AI349">
        <f>'Assessment Questions'!AL349</f>
        <v>0</v>
      </c>
      <c r="AJ349">
        <f>IF(OR($H349="",$H349="N/A"),"",IF($AH349="",VLOOKUP('Company Profile'!$B$40,_CONFIG_Model_Settings!$A$5:$B$8,2,FALSE),IFERROR(VLOOKUP($AH349,_CONFIG_Model_Settings!$A$5:$B$8,2,FALSE),0.9)))</f>
        <v>0.9</v>
      </c>
      <c r="AK349">
        <f>IF(OR($H349="",$H349="N/A"),"",IF($AI349="",VLOOKUP('Company Profile'!$B$41,_CONFIG_Model_Settings!$A$5:$B$8,2,FALSE),IFERROR(VLOOKUP($AI349,_CONFIG_Model_Settings!$A$5:$B$8,2,FALSE),0.9)))</f>
        <v>0.9</v>
      </c>
      <c r="AL349">
        <f t="shared" si="138"/>
        <v>0</v>
      </c>
      <c r="AM349">
        <f t="shared" si="139"/>
        <v>0</v>
      </c>
      <c r="AN349">
        <f>IFERROR(MIN(5,MAX(0,(SUMIFS(_REF_Model_Content!$D$1:$D$174,_REF_Model_Content!$A$1:$A$174,PV_Canonical_Industry,_REF_Model_Content!$B$1:$B$174,"Data BI AI"))+IFERROR(VLOOKUP('Company Profile'!$B$35,_CONFIG_Model_Settings!$A$11:$B$13,2,0),0))),"")</f>
        <v>0</v>
      </c>
      <c r="AO349">
        <f t="shared" si="140"/>
        <v>0</v>
      </c>
      <c r="AP349">
        <f>IFERROR(SUMIFS(_REF_Model_Content!$E$1:$E$174,_REF_Model_Content!$A$1:$A$174,PV_Canonical_Industry,_REF_Model_Content!$B$1:$B$174,"Data BI AI"),1)</f>
        <v>0</v>
      </c>
      <c r="AQ349">
        <f t="shared" si="141"/>
        <v>0</v>
      </c>
      <c r="AR349" t="str">
        <f t="shared" si="142"/>
        <v>Within target</v>
      </c>
      <c r="AS349">
        <f t="shared" si="143"/>
        <v>0</v>
      </c>
      <c r="AT349">
        <f t="shared" si="144"/>
        <v>0.9</v>
      </c>
      <c r="AU349">
        <f>'Assessment Questions'!AX349</f>
        <v>0</v>
      </c>
      <c r="AV349">
        <f t="shared" si="145"/>
        <v>0.9</v>
      </c>
      <c r="AW349" t="s">
        <v>2824</v>
      </c>
      <c r="AX349" t="s">
        <v>2824</v>
      </c>
      <c r="AY349">
        <v>8</v>
      </c>
      <c r="AZ349">
        <v>349</v>
      </c>
    </row>
    <row r="350" spans="1:52">
      <c r="A350" t="s">
        <v>2856</v>
      </c>
      <c r="B350" t="s">
        <v>2826</v>
      </c>
      <c r="C350" t="s">
        <v>2857</v>
      </c>
      <c r="D350" t="s">
        <v>2828</v>
      </c>
      <c r="E350" t="s">
        <v>2829</v>
      </c>
      <c r="F350" t="s">
        <v>2858</v>
      </c>
      <c r="G350">
        <f>'Assessment Questions'!J350</f>
        <v>5</v>
      </c>
      <c r="H350">
        <f t="shared" si="127"/>
        <v>0</v>
      </c>
      <c r="I350">
        <f t="shared" si="128"/>
        <v>0</v>
      </c>
      <c r="J350">
        <f t="shared" si="129"/>
        <v>5</v>
      </c>
      <c r="K350">
        <f t="shared" si="130"/>
        <v>5</v>
      </c>
      <c r="L350" t="str">
        <f t="shared" si="131"/>
        <v>Critical</v>
      </c>
      <c r="M350" t="s">
        <v>833</v>
      </c>
      <c r="N350" t="s">
        <v>834</v>
      </c>
      <c r="O350" t="s">
        <v>835</v>
      </c>
      <c r="P350" t="s">
        <v>836</v>
      </c>
      <c r="Q350" t="s">
        <v>837</v>
      </c>
      <c r="R350" t="s">
        <v>838</v>
      </c>
      <c r="S350" t="s">
        <v>2831</v>
      </c>
      <c r="T350">
        <f>'Assessment Questions'!W350</f>
        <v>0</v>
      </c>
      <c r="U350">
        <f>'Assessment Questions'!X350</f>
        <v>0</v>
      </c>
      <c r="V350" t="str">
        <f>'Assessment Questions'!Y350</f>
        <v>Use the recommended action generated by the model; validate with domain owner during real assessment.</v>
      </c>
      <c r="W350">
        <v>5</v>
      </c>
      <c r="X350">
        <v>5</v>
      </c>
      <c r="Y350">
        <v>5</v>
      </c>
      <c r="Z350">
        <f>'Assessment Questions'!AC350</f>
        <v>0</v>
      </c>
      <c r="AA350" t="s">
        <v>2859</v>
      </c>
      <c r="AB350">
        <f t="shared" si="146"/>
        <v>5</v>
      </c>
      <c r="AC350">
        <f t="shared" si="147"/>
        <v>0</v>
      </c>
      <c r="AD350">
        <f t="shared" si="134"/>
        <v>0</v>
      </c>
      <c r="AE350">
        <f t="shared" si="148"/>
        <v>5</v>
      </c>
      <c r="AF350">
        <f t="shared" si="136"/>
        <v>5</v>
      </c>
      <c r="AG350">
        <f t="shared" si="149"/>
        <v>5</v>
      </c>
      <c r="AH350">
        <f>'Assessment Questions'!AK350</f>
        <v>0</v>
      </c>
      <c r="AI350">
        <f>'Assessment Questions'!AL350</f>
        <v>0</v>
      </c>
      <c r="AJ350">
        <f>IF(OR($H350="",$H350="N/A"),"",IF($AH350="",VLOOKUP('Company Profile'!$B$40,_CONFIG_Model_Settings!$A$5:$B$8,2,FALSE),IFERROR(VLOOKUP($AH350,_CONFIG_Model_Settings!$A$5:$B$8,2,FALSE),0.9)))</f>
        <v>0.9</v>
      </c>
      <c r="AK350">
        <f>IF(OR($H350="",$H350="N/A"),"",IF($AI350="",VLOOKUP('Company Profile'!$B$41,_CONFIG_Model_Settings!$A$5:$B$8,2,FALSE),IFERROR(VLOOKUP($AI350,_CONFIG_Model_Settings!$A$5:$B$8,2,FALSE),0.9)))</f>
        <v>0.9</v>
      </c>
      <c r="AL350">
        <f t="shared" si="138"/>
        <v>0</v>
      </c>
      <c r="AM350">
        <f t="shared" si="139"/>
        <v>0</v>
      </c>
      <c r="AN350">
        <f>IFERROR(MIN(5,MAX(0,(SUMIFS(_REF_Model_Content!$D$1:$D$174,_REF_Model_Content!$A$1:$A$174,PV_Canonical_Industry,_REF_Model_Content!$B$1:$B$174,"Data BI AI"))+IFERROR(VLOOKUP('Company Profile'!$B$35,_CONFIG_Model_Settings!$A$11:$B$13,2,0),0))),"")</f>
        <v>0</v>
      </c>
      <c r="AO350">
        <f t="shared" si="140"/>
        <v>0</v>
      </c>
      <c r="AP350">
        <f>IFERROR(SUMIFS(_REF_Model_Content!$E$1:$E$174,_REF_Model_Content!$A$1:$A$174,PV_Canonical_Industry,_REF_Model_Content!$B$1:$B$174,"Data BI AI"),1)</f>
        <v>0</v>
      </c>
      <c r="AQ350">
        <f t="shared" si="141"/>
        <v>0</v>
      </c>
      <c r="AR350" t="str">
        <f t="shared" si="142"/>
        <v>Within target</v>
      </c>
      <c r="AS350">
        <f t="shared" si="143"/>
        <v>0</v>
      </c>
      <c r="AT350">
        <f t="shared" si="144"/>
        <v>0.9</v>
      </c>
      <c r="AU350">
        <f>'Assessment Questions'!AX350</f>
        <v>0</v>
      </c>
      <c r="AV350">
        <f t="shared" si="145"/>
        <v>0.9</v>
      </c>
      <c r="AW350" t="s">
        <v>2824</v>
      </c>
      <c r="AX350" t="s">
        <v>2824</v>
      </c>
      <c r="AY350">
        <v>9</v>
      </c>
      <c r="AZ350">
        <v>350</v>
      </c>
    </row>
    <row r="351" spans="1:52">
      <c r="A351" t="s">
        <v>2860</v>
      </c>
      <c r="B351" t="s">
        <v>2826</v>
      </c>
      <c r="C351" t="s">
        <v>2861</v>
      </c>
      <c r="D351" t="s">
        <v>2828</v>
      </c>
      <c r="E351" t="s">
        <v>2829</v>
      </c>
      <c r="F351" t="s">
        <v>2862</v>
      </c>
      <c r="G351">
        <f>'Assessment Questions'!J351</f>
        <v>4</v>
      </c>
      <c r="H351">
        <f t="shared" si="127"/>
        <v>0</v>
      </c>
      <c r="I351">
        <f t="shared" si="128"/>
        <v>0</v>
      </c>
      <c r="J351">
        <f t="shared" si="129"/>
        <v>4</v>
      </c>
      <c r="K351">
        <f t="shared" si="130"/>
        <v>4</v>
      </c>
      <c r="L351" t="str">
        <f t="shared" si="131"/>
        <v>Critical</v>
      </c>
      <c r="M351" t="s">
        <v>2863</v>
      </c>
      <c r="N351" t="s">
        <v>2864</v>
      </c>
      <c r="O351" t="s">
        <v>2865</v>
      </c>
      <c r="P351" t="s">
        <v>2866</v>
      </c>
      <c r="Q351" t="s">
        <v>2867</v>
      </c>
      <c r="R351" t="s">
        <v>2868</v>
      </c>
      <c r="S351" t="s">
        <v>2831</v>
      </c>
      <c r="T351">
        <f>'Assessment Questions'!W351</f>
        <v>0</v>
      </c>
      <c r="U351">
        <f>'Assessment Questions'!X351</f>
        <v>0</v>
      </c>
      <c r="V351" t="str">
        <f>'Assessment Questions'!Y351</f>
        <v>Use the recommended action generated by the model; validate with domain owner during real assessment.</v>
      </c>
      <c r="W351">
        <v>5</v>
      </c>
      <c r="X351">
        <v>5</v>
      </c>
      <c r="Y351">
        <v>5</v>
      </c>
      <c r="Z351">
        <f>'Assessment Questions'!AC351</f>
        <v>0</v>
      </c>
      <c r="AB351">
        <f t="shared" si="146"/>
        <v>0</v>
      </c>
      <c r="AC351">
        <f t="shared" si="147"/>
        <v>0</v>
      </c>
      <c r="AD351">
        <f t="shared" si="134"/>
        <v>0</v>
      </c>
      <c r="AE351">
        <f t="shared" si="148"/>
        <v>0</v>
      </c>
      <c r="AF351">
        <f t="shared" si="136"/>
        <v>5</v>
      </c>
      <c r="AG351">
        <f t="shared" si="149"/>
        <v>0</v>
      </c>
      <c r="AH351">
        <f>'Assessment Questions'!AK351</f>
        <v>0</v>
      </c>
      <c r="AI351">
        <f>'Assessment Questions'!AL351</f>
        <v>0</v>
      </c>
      <c r="AJ351">
        <f>IF(OR($H351="",$H351="N/A"),"",IF($AH351="",VLOOKUP('Company Profile'!$B$40,_CONFIG_Model_Settings!$A$5:$B$8,2,FALSE),IFERROR(VLOOKUP($AH351,_CONFIG_Model_Settings!$A$5:$B$8,2,FALSE),0.9)))</f>
        <v>0.9</v>
      </c>
      <c r="AK351">
        <f>IF(OR($H351="",$H351="N/A"),"",IF($AI351="",VLOOKUP('Company Profile'!$B$41,_CONFIG_Model_Settings!$A$5:$B$8,2,FALSE),IFERROR(VLOOKUP($AI351,_CONFIG_Model_Settings!$A$5:$B$8,2,FALSE),0.9)))</f>
        <v>0.9</v>
      </c>
      <c r="AL351">
        <f t="shared" si="138"/>
        <v>0</v>
      </c>
      <c r="AM351">
        <f t="shared" si="139"/>
        <v>0</v>
      </c>
      <c r="AN351">
        <f>IFERROR(MIN(5,MAX(0,(SUMIFS(_REF_Model_Content!$D$1:$D$174,_REF_Model_Content!$A$1:$A$174,PV_Canonical_Industry,_REF_Model_Content!$B$1:$B$174,"Data BI AI"))+IFERROR(VLOOKUP('Company Profile'!$B$35,_CONFIG_Model_Settings!$A$11:$B$13,2,0),0))),"")</f>
        <v>0</v>
      </c>
      <c r="AO351">
        <f t="shared" si="140"/>
        <v>0</v>
      </c>
      <c r="AP351">
        <f>IFERROR(SUMIFS(_REF_Model_Content!$E$1:$E$174,_REF_Model_Content!$A$1:$A$174,PV_Canonical_Industry,_REF_Model_Content!$B$1:$B$174,"Data BI AI"),1)</f>
        <v>0</v>
      </c>
      <c r="AQ351">
        <f t="shared" si="141"/>
        <v>0</v>
      </c>
      <c r="AR351" t="str">
        <f t="shared" si="142"/>
        <v>Within target</v>
      </c>
      <c r="AS351">
        <f t="shared" si="143"/>
        <v>0</v>
      </c>
      <c r="AT351">
        <f t="shared" si="144"/>
        <v>0.9</v>
      </c>
      <c r="AU351">
        <f>'Assessment Questions'!AX351</f>
        <v>0</v>
      </c>
      <c r="AV351">
        <f t="shared" si="145"/>
        <v>0.9</v>
      </c>
      <c r="AW351" t="s">
        <v>2824</v>
      </c>
      <c r="AX351" t="s">
        <v>2824</v>
      </c>
      <c r="AY351">
        <v>10</v>
      </c>
      <c r="AZ351">
        <v>351</v>
      </c>
    </row>
    <row r="352" spans="1:52">
      <c r="A352" t="s">
        <v>2869</v>
      </c>
      <c r="B352" t="s">
        <v>2835</v>
      </c>
      <c r="C352" t="s">
        <v>2870</v>
      </c>
      <c r="D352" t="s">
        <v>2828</v>
      </c>
      <c r="E352" t="s">
        <v>2829</v>
      </c>
      <c r="F352" t="s">
        <v>2871</v>
      </c>
      <c r="G352">
        <f>'Assessment Questions'!J352</f>
        <v>4</v>
      </c>
      <c r="H352">
        <f t="shared" si="127"/>
        <v>0</v>
      </c>
      <c r="I352">
        <f t="shared" si="128"/>
        <v>0</v>
      </c>
      <c r="J352">
        <f t="shared" si="129"/>
        <v>4</v>
      </c>
      <c r="K352">
        <f t="shared" si="130"/>
        <v>4</v>
      </c>
      <c r="L352" t="str">
        <f t="shared" si="131"/>
        <v>Critical</v>
      </c>
      <c r="M352" t="s">
        <v>2872</v>
      </c>
      <c r="N352" t="s">
        <v>2873</v>
      </c>
      <c r="O352" t="s">
        <v>2874</v>
      </c>
      <c r="P352" t="s">
        <v>2875</v>
      </c>
      <c r="Q352" t="s">
        <v>2876</v>
      </c>
      <c r="R352" t="s">
        <v>2877</v>
      </c>
      <c r="S352" t="s">
        <v>2831</v>
      </c>
      <c r="T352">
        <f>'Assessment Questions'!W352</f>
        <v>0</v>
      </c>
      <c r="U352">
        <f>'Assessment Questions'!X352</f>
        <v>0</v>
      </c>
      <c r="V352" t="str">
        <f>'Assessment Questions'!Y352</f>
        <v>Use the recommended action generated by the model; validate with domain owner during real assessment.</v>
      </c>
      <c r="W352">
        <v>5</v>
      </c>
      <c r="X352">
        <v>5</v>
      </c>
      <c r="Y352">
        <v>5</v>
      </c>
      <c r="Z352">
        <f>'Assessment Questions'!AC352</f>
        <v>0</v>
      </c>
      <c r="AB352">
        <f t="shared" si="146"/>
        <v>0</v>
      </c>
      <c r="AC352">
        <f t="shared" si="147"/>
        <v>0</v>
      </c>
      <c r="AD352">
        <f t="shared" si="134"/>
        <v>0</v>
      </c>
      <c r="AE352">
        <f t="shared" si="148"/>
        <v>0</v>
      </c>
      <c r="AF352">
        <f t="shared" si="136"/>
        <v>5</v>
      </c>
      <c r="AG352">
        <f t="shared" si="149"/>
        <v>0</v>
      </c>
      <c r="AH352">
        <f>'Assessment Questions'!AK352</f>
        <v>0</v>
      </c>
      <c r="AI352">
        <f>'Assessment Questions'!AL352</f>
        <v>0</v>
      </c>
      <c r="AJ352">
        <f>IF(OR($H352="",$H352="N/A"),"",IF($AH352="",VLOOKUP('Company Profile'!$B$40,_CONFIG_Model_Settings!$A$5:$B$8,2,FALSE),IFERROR(VLOOKUP($AH352,_CONFIG_Model_Settings!$A$5:$B$8,2,FALSE),0.9)))</f>
        <v>0.9</v>
      </c>
      <c r="AK352">
        <f>IF(OR($H352="",$H352="N/A"),"",IF($AI352="",VLOOKUP('Company Profile'!$B$41,_CONFIG_Model_Settings!$A$5:$B$8,2,FALSE),IFERROR(VLOOKUP($AI352,_CONFIG_Model_Settings!$A$5:$B$8,2,FALSE),0.9)))</f>
        <v>0.9</v>
      </c>
      <c r="AL352">
        <f t="shared" si="138"/>
        <v>0</v>
      </c>
      <c r="AM352">
        <f t="shared" si="139"/>
        <v>0</v>
      </c>
      <c r="AN352">
        <f>IFERROR(MIN(5,MAX(0,(SUMIFS(_REF_Model_Content!$D$1:$D$174,_REF_Model_Content!$A$1:$A$174,PV_Canonical_Industry,_REF_Model_Content!$B$1:$B$174,"Data BI AI"))+IFERROR(VLOOKUP('Company Profile'!$B$35,_CONFIG_Model_Settings!$A$11:$B$13,2,0),0))),"")</f>
        <v>0</v>
      </c>
      <c r="AO352">
        <f t="shared" si="140"/>
        <v>0</v>
      </c>
      <c r="AP352">
        <f>IFERROR(SUMIFS(_REF_Model_Content!$E$1:$E$174,_REF_Model_Content!$A$1:$A$174,PV_Canonical_Industry,_REF_Model_Content!$B$1:$B$174,"Data BI AI"),1)</f>
        <v>0</v>
      </c>
      <c r="AQ352">
        <f t="shared" si="141"/>
        <v>0</v>
      </c>
      <c r="AR352" t="str">
        <f t="shared" si="142"/>
        <v>Within target</v>
      </c>
      <c r="AS352">
        <f t="shared" si="143"/>
        <v>0</v>
      </c>
      <c r="AT352">
        <f t="shared" si="144"/>
        <v>0.9</v>
      </c>
      <c r="AU352">
        <f>'Assessment Questions'!AX352</f>
        <v>0</v>
      </c>
      <c r="AV352">
        <f t="shared" si="145"/>
        <v>0.9</v>
      </c>
      <c r="AW352" t="s">
        <v>2824</v>
      </c>
      <c r="AX352" t="s">
        <v>2824</v>
      </c>
      <c r="AY352">
        <v>11</v>
      </c>
      <c r="AZ352">
        <v>352</v>
      </c>
    </row>
    <row r="353" spans="1:52">
      <c r="A353" t="s">
        <v>2878</v>
      </c>
      <c r="B353" t="s">
        <v>2835</v>
      </c>
      <c r="C353" t="s">
        <v>2879</v>
      </c>
      <c r="D353" t="s">
        <v>2828</v>
      </c>
      <c r="E353" t="s">
        <v>2829</v>
      </c>
      <c r="F353" t="s">
        <v>2880</v>
      </c>
      <c r="G353">
        <f>'Assessment Questions'!J353</f>
        <v>3</v>
      </c>
      <c r="H353">
        <f t="shared" si="127"/>
        <v>0</v>
      </c>
      <c r="I353">
        <f t="shared" si="128"/>
        <v>0</v>
      </c>
      <c r="J353">
        <f t="shared" si="129"/>
        <v>3</v>
      </c>
      <c r="K353">
        <f t="shared" si="130"/>
        <v>3</v>
      </c>
      <c r="L353" t="str">
        <f t="shared" si="131"/>
        <v>Critical</v>
      </c>
      <c r="M353" t="s">
        <v>2881</v>
      </c>
      <c r="N353" t="s">
        <v>2882</v>
      </c>
      <c r="O353" t="s">
        <v>2883</v>
      </c>
      <c r="P353" t="s">
        <v>2884</v>
      </c>
      <c r="Q353" t="s">
        <v>2885</v>
      </c>
      <c r="R353" t="s">
        <v>2886</v>
      </c>
      <c r="S353" t="s">
        <v>2831</v>
      </c>
      <c r="T353">
        <f>'Assessment Questions'!W353</f>
        <v>0</v>
      </c>
      <c r="U353">
        <f>'Assessment Questions'!X353</f>
        <v>0</v>
      </c>
      <c r="V353" t="str">
        <f>'Assessment Questions'!Y353</f>
        <v>Use the recommended action generated by the model; validate with domain owner during real assessment.</v>
      </c>
      <c r="W353">
        <v>5</v>
      </c>
      <c r="X353">
        <v>5</v>
      </c>
      <c r="Y353">
        <v>5</v>
      </c>
      <c r="Z353">
        <f>'Assessment Questions'!AC353</f>
        <v>0</v>
      </c>
      <c r="AB353">
        <f t="shared" si="146"/>
        <v>0</v>
      </c>
      <c r="AC353">
        <f t="shared" si="147"/>
        <v>0</v>
      </c>
      <c r="AD353">
        <f t="shared" si="134"/>
        <v>0</v>
      </c>
      <c r="AE353">
        <f t="shared" si="148"/>
        <v>0</v>
      </c>
      <c r="AF353">
        <f t="shared" si="136"/>
        <v>5</v>
      </c>
      <c r="AG353">
        <f t="shared" si="149"/>
        <v>0</v>
      </c>
      <c r="AH353">
        <f>'Assessment Questions'!AK353</f>
        <v>0</v>
      </c>
      <c r="AI353">
        <f>'Assessment Questions'!AL353</f>
        <v>0</v>
      </c>
      <c r="AJ353">
        <f>IF(OR($H353="",$H353="N/A"),"",IF($AH353="",VLOOKUP('Company Profile'!$B$40,_CONFIG_Model_Settings!$A$5:$B$8,2,FALSE),IFERROR(VLOOKUP($AH353,_CONFIG_Model_Settings!$A$5:$B$8,2,FALSE),0.9)))</f>
        <v>0.9</v>
      </c>
      <c r="AK353">
        <f>IF(OR($H353="",$H353="N/A"),"",IF($AI353="",VLOOKUP('Company Profile'!$B$41,_CONFIG_Model_Settings!$A$5:$B$8,2,FALSE),IFERROR(VLOOKUP($AI353,_CONFIG_Model_Settings!$A$5:$B$8,2,FALSE),0.9)))</f>
        <v>0.9</v>
      </c>
      <c r="AL353">
        <f t="shared" si="138"/>
        <v>0</v>
      </c>
      <c r="AM353">
        <f t="shared" si="139"/>
        <v>0</v>
      </c>
      <c r="AN353">
        <f>IFERROR(MIN(5,MAX(0,(SUMIFS(_REF_Model_Content!$D$1:$D$174,_REF_Model_Content!$A$1:$A$174,PV_Canonical_Industry,_REF_Model_Content!$B$1:$B$174,"Data BI AI"))+IFERROR(VLOOKUP('Company Profile'!$B$35,_CONFIG_Model_Settings!$A$11:$B$13,2,0),0))),"")</f>
        <v>0</v>
      </c>
      <c r="AO353">
        <f t="shared" si="140"/>
        <v>0</v>
      </c>
      <c r="AP353">
        <f>IFERROR(SUMIFS(_REF_Model_Content!$E$1:$E$174,_REF_Model_Content!$A$1:$A$174,PV_Canonical_Industry,_REF_Model_Content!$B$1:$B$174,"Data BI AI"),1)</f>
        <v>0</v>
      </c>
      <c r="AQ353">
        <f t="shared" si="141"/>
        <v>0</v>
      </c>
      <c r="AR353" t="str">
        <f t="shared" si="142"/>
        <v>Within target</v>
      </c>
      <c r="AS353">
        <f t="shared" si="143"/>
        <v>0</v>
      </c>
      <c r="AT353">
        <f t="shared" si="144"/>
        <v>0.9</v>
      </c>
      <c r="AU353">
        <f>'Assessment Questions'!AX353</f>
        <v>0</v>
      </c>
      <c r="AV353">
        <f t="shared" si="145"/>
        <v>0.9</v>
      </c>
      <c r="AW353" t="s">
        <v>2824</v>
      </c>
      <c r="AX353" t="s">
        <v>2824</v>
      </c>
      <c r="AY353">
        <v>12</v>
      </c>
      <c r="AZ353">
        <v>353</v>
      </c>
    </row>
    <row r="354" spans="1:52">
      <c r="A354" t="s">
        <v>2887</v>
      </c>
      <c r="B354" t="s">
        <v>2835</v>
      </c>
      <c r="C354" t="s">
        <v>2888</v>
      </c>
      <c r="D354" t="s">
        <v>2828</v>
      </c>
      <c r="E354" t="s">
        <v>2829</v>
      </c>
      <c r="F354" t="s">
        <v>2889</v>
      </c>
      <c r="G354">
        <f>'Assessment Questions'!J354</f>
        <v>5</v>
      </c>
      <c r="H354">
        <f t="shared" si="127"/>
        <v>0</v>
      </c>
      <c r="I354">
        <f t="shared" si="128"/>
        <v>0</v>
      </c>
      <c r="J354">
        <f t="shared" si="129"/>
        <v>5</v>
      </c>
      <c r="K354">
        <f t="shared" si="130"/>
        <v>5</v>
      </c>
      <c r="L354" t="str">
        <f t="shared" si="131"/>
        <v>Critical</v>
      </c>
      <c r="M354" t="s">
        <v>1069</v>
      </c>
      <c r="N354" t="s">
        <v>1070</v>
      </c>
      <c r="O354" t="s">
        <v>1071</v>
      </c>
      <c r="P354" t="s">
        <v>1072</v>
      </c>
      <c r="Q354" t="s">
        <v>1073</v>
      </c>
      <c r="R354" t="s">
        <v>1074</v>
      </c>
      <c r="S354" t="s">
        <v>2831</v>
      </c>
      <c r="T354">
        <f>'Assessment Questions'!W354</f>
        <v>0</v>
      </c>
      <c r="U354">
        <f>'Assessment Questions'!X354</f>
        <v>0</v>
      </c>
      <c r="V354" t="str">
        <f>'Assessment Questions'!Y354</f>
        <v>Use the recommended action generated by the model; validate with domain owner during real assessment.</v>
      </c>
      <c r="W354">
        <v>5</v>
      </c>
      <c r="X354">
        <v>5</v>
      </c>
      <c r="Y354">
        <v>5</v>
      </c>
      <c r="Z354">
        <f>'Assessment Questions'!AC354</f>
        <v>0</v>
      </c>
      <c r="AB354">
        <f t="shared" si="146"/>
        <v>0</v>
      </c>
      <c r="AC354">
        <f t="shared" si="147"/>
        <v>0</v>
      </c>
      <c r="AD354">
        <f t="shared" si="134"/>
        <v>0</v>
      </c>
      <c r="AE354">
        <f t="shared" si="148"/>
        <v>0</v>
      </c>
      <c r="AF354">
        <f t="shared" si="136"/>
        <v>5</v>
      </c>
      <c r="AG354">
        <f t="shared" si="149"/>
        <v>0</v>
      </c>
      <c r="AH354">
        <f>'Assessment Questions'!AK354</f>
        <v>0</v>
      </c>
      <c r="AI354">
        <f>'Assessment Questions'!AL354</f>
        <v>0</v>
      </c>
      <c r="AJ354">
        <f>IF(OR($H354="",$H354="N/A"),"",IF($AH354="",VLOOKUP('Company Profile'!$B$40,_CONFIG_Model_Settings!$A$5:$B$8,2,FALSE),IFERROR(VLOOKUP($AH354,_CONFIG_Model_Settings!$A$5:$B$8,2,FALSE),0.9)))</f>
        <v>0.9</v>
      </c>
      <c r="AK354">
        <f>IF(OR($H354="",$H354="N/A"),"",IF($AI354="",VLOOKUP('Company Profile'!$B$41,_CONFIG_Model_Settings!$A$5:$B$8,2,FALSE),IFERROR(VLOOKUP($AI354,_CONFIG_Model_Settings!$A$5:$B$8,2,FALSE),0.9)))</f>
        <v>0.9</v>
      </c>
      <c r="AL354">
        <f t="shared" si="138"/>
        <v>0</v>
      </c>
      <c r="AM354">
        <f t="shared" si="139"/>
        <v>0</v>
      </c>
      <c r="AN354">
        <f>IFERROR(MIN(5,MAX(0,(SUMIFS(_REF_Model_Content!$D$1:$D$174,_REF_Model_Content!$A$1:$A$174,PV_Canonical_Industry,_REF_Model_Content!$B$1:$B$174,"Data BI AI"))+IFERROR(VLOOKUP('Company Profile'!$B$35,_CONFIG_Model_Settings!$A$11:$B$13,2,0),0))),"")</f>
        <v>0</v>
      </c>
      <c r="AO354">
        <f t="shared" si="140"/>
        <v>0</v>
      </c>
      <c r="AP354">
        <f>IFERROR(SUMIFS(_REF_Model_Content!$E$1:$E$174,_REF_Model_Content!$A$1:$A$174,PV_Canonical_Industry,_REF_Model_Content!$B$1:$B$174,"Data BI AI"),1)</f>
        <v>0</v>
      </c>
      <c r="AQ354">
        <f t="shared" si="141"/>
        <v>0</v>
      </c>
      <c r="AR354" t="str">
        <f t="shared" si="142"/>
        <v>Within target</v>
      </c>
      <c r="AS354">
        <f t="shared" si="143"/>
        <v>0</v>
      </c>
      <c r="AT354">
        <f t="shared" si="144"/>
        <v>0.9</v>
      </c>
      <c r="AU354">
        <f>'Assessment Questions'!AX354</f>
        <v>0</v>
      </c>
      <c r="AV354">
        <f t="shared" si="145"/>
        <v>0.9</v>
      </c>
      <c r="AW354" t="s">
        <v>2824</v>
      </c>
      <c r="AX354" t="s">
        <v>2824</v>
      </c>
      <c r="AY354">
        <v>13</v>
      </c>
      <c r="AZ354">
        <v>354</v>
      </c>
    </row>
    <row r="355" spans="1:52">
      <c r="A355" t="s">
        <v>2890</v>
      </c>
      <c r="B355" t="s">
        <v>2835</v>
      </c>
      <c r="C355" t="s">
        <v>2891</v>
      </c>
      <c r="D355" t="s">
        <v>2828</v>
      </c>
      <c r="E355" t="s">
        <v>2829</v>
      </c>
      <c r="F355" t="s">
        <v>2892</v>
      </c>
      <c r="G355">
        <f>'Assessment Questions'!J355</f>
        <v>5</v>
      </c>
      <c r="H355">
        <f t="shared" si="127"/>
        <v>0</v>
      </c>
      <c r="I355">
        <f t="shared" si="128"/>
        <v>0</v>
      </c>
      <c r="J355">
        <f t="shared" si="129"/>
        <v>5</v>
      </c>
      <c r="K355">
        <f t="shared" si="130"/>
        <v>5</v>
      </c>
      <c r="L355" t="str">
        <f t="shared" si="131"/>
        <v>Critical</v>
      </c>
      <c r="M355" t="s">
        <v>1069</v>
      </c>
      <c r="N355" t="s">
        <v>1070</v>
      </c>
      <c r="O355" t="s">
        <v>1071</v>
      </c>
      <c r="P355" t="s">
        <v>1072</v>
      </c>
      <c r="Q355" t="s">
        <v>1073</v>
      </c>
      <c r="R355" t="s">
        <v>1074</v>
      </c>
      <c r="S355" t="s">
        <v>2831</v>
      </c>
      <c r="T355">
        <f>'Assessment Questions'!W355</f>
        <v>0</v>
      </c>
      <c r="U355">
        <f>'Assessment Questions'!X355</f>
        <v>0</v>
      </c>
      <c r="V355" t="str">
        <f>'Assessment Questions'!Y355</f>
        <v>Use the recommended action generated by the model; validate with domain owner during real assessment.</v>
      </c>
      <c r="W355">
        <v>5</v>
      </c>
      <c r="X355">
        <v>5</v>
      </c>
      <c r="Y355">
        <v>5</v>
      </c>
      <c r="Z355">
        <f>'Assessment Questions'!AC355</f>
        <v>0</v>
      </c>
      <c r="AB355">
        <f t="shared" si="146"/>
        <v>0</v>
      </c>
      <c r="AC355">
        <f t="shared" si="147"/>
        <v>0</v>
      </c>
      <c r="AD355">
        <f t="shared" si="134"/>
        <v>0</v>
      </c>
      <c r="AE355">
        <f t="shared" si="148"/>
        <v>0</v>
      </c>
      <c r="AF355">
        <f t="shared" si="136"/>
        <v>5</v>
      </c>
      <c r="AG355">
        <f t="shared" si="149"/>
        <v>0</v>
      </c>
      <c r="AH355">
        <f>'Assessment Questions'!AK355</f>
        <v>0</v>
      </c>
      <c r="AI355">
        <f>'Assessment Questions'!AL355</f>
        <v>0</v>
      </c>
      <c r="AJ355">
        <f>IF(OR($H355="",$H355="N/A"),"",IF($AH355="",VLOOKUP('Company Profile'!$B$40,_CONFIG_Model_Settings!$A$5:$B$8,2,FALSE),IFERROR(VLOOKUP($AH355,_CONFIG_Model_Settings!$A$5:$B$8,2,FALSE),0.9)))</f>
        <v>0.9</v>
      </c>
      <c r="AK355">
        <f>IF(OR($H355="",$H355="N/A"),"",IF($AI355="",VLOOKUP('Company Profile'!$B$41,_CONFIG_Model_Settings!$A$5:$B$8,2,FALSE),IFERROR(VLOOKUP($AI355,_CONFIG_Model_Settings!$A$5:$B$8,2,FALSE),0.9)))</f>
        <v>0.9</v>
      </c>
      <c r="AL355">
        <f t="shared" si="138"/>
        <v>0</v>
      </c>
      <c r="AM355">
        <f t="shared" si="139"/>
        <v>0</v>
      </c>
      <c r="AN355">
        <f>IFERROR(MIN(5,MAX(0,(SUMIFS(_REF_Model_Content!$D$1:$D$174,_REF_Model_Content!$A$1:$A$174,PV_Canonical_Industry,_REF_Model_Content!$B$1:$B$174,"Data BI AI"))+IFERROR(VLOOKUP('Company Profile'!$B$35,_CONFIG_Model_Settings!$A$11:$B$13,2,0),0))),"")</f>
        <v>0</v>
      </c>
      <c r="AO355">
        <f t="shared" si="140"/>
        <v>0</v>
      </c>
      <c r="AP355">
        <f>IFERROR(SUMIFS(_REF_Model_Content!$E$1:$E$174,_REF_Model_Content!$A$1:$A$174,PV_Canonical_Industry,_REF_Model_Content!$B$1:$B$174,"Data BI AI"),1)</f>
        <v>0</v>
      </c>
      <c r="AQ355">
        <f t="shared" si="141"/>
        <v>0</v>
      </c>
      <c r="AR355" t="str">
        <f t="shared" si="142"/>
        <v>Within target</v>
      </c>
      <c r="AS355">
        <f t="shared" si="143"/>
        <v>0</v>
      </c>
      <c r="AT355">
        <f t="shared" si="144"/>
        <v>0.9</v>
      </c>
      <c r="AU355">
        <f>'Assessment Questions'!AX355</f>
        <v>0</v>
      </c>
      <c r="AV355">
        <f t="shared" si="145"/>
        <v>0.9</v>
      </c>
      <c r="AW355" t="s">
        <v>2824</v>
      </c>
      <c r="AX355" t="s">
        <v>2824</v>
      </c>
      <c r="AY355">
        <v>14</v>
      </c>
      <c r="AZ355">
        <v>355</v>
      </c>
    </row>
    <row r="356" spans="1:52">
      <c r="A356" t="s">
        <v>2893</v>
      </c>
      <c r="B356" t="s">
        <v>2835</v>
      </c>
      <c r="C356" t="s">
        <v>2894</v>
      </c>
      <c r="D356" t="s">
        <v>2828</v>
      </c>
      <c r="E356" t="s">
        <v>2829</v>
      </c>
      <c r="F356" t="s">
        <v>2895</v>
      </c>
      <c r="G356">
        <f>'Assessment Questions'!J356</f>
        <v>4</v>
      </c>
      <c r="H356">
        <f t="shared" si="127"/>
        <v>0</v>
      </c>
      <c r="I356">
        <f t="shared" si="128"/>
        <v>0</v>
      </c>
      <c r="J356">
        <f t="shared" si="129"/>
        <v>4</v>
      </c>
      <c r="K356">
        <f t="shared" si="130"/>
        <v>4</v>
      </c>
      <c r="L356" t="str">
        <f t="shared" si="131"/>
        <v>Critical</v>
      </c>
      <c r="M356" t="s">
        <v>2896</v>
      </c>
      <c r="N356" t="s">
        <v>2897</v>
      </c>
      <c r="O356" t="s">
        <v>2898</v>
      </c>
      <c r="P356" t="s">
        <v>2899</v>
      </c>
      <c r="Q356" t="s">
        <v>2900</v>
      </c>
      <c r="R356" t="s">
        <v>2901</v>
      </c>
      <c r="S356" t="s">
        <v>2831</v>
      </c>
      <c r="T356">
        <f>'Assessment Questions'!W356</f>
        <v>0</v>
      </c>
      <c r="U356">
        <f>'Assessment Questions'!X356</f>
        <v>0</v>
      </c>
      <c r="V356" t="str">
        <f>'Assessment Questions'!Y356</f>
        <v>Use the recommended action generated by the model; validate with domain owner during real assessment.</v>
      </c>
      <c r="W356">
        <v>5</v>
      </c>
      <c r="X356">
        <v>5</v>
      </c>
      <c r="Y356">
        <v>5</v>
      </c>
      <c r="Z356">
        <f>'Assessment Questions'!AC356</f>
        <v>0</v>
      </c>
      <c r="AB356">
        <f t="shared" si="146"/>
        <v>0</v>
      </c>
      <c r="AC356">
        <f t="shared" si="147"/>
        <v>0</v>
      </c>
      <c r="AD356">
        <f t="shared" si="134"/>
        <v>0</v>
      </c>
      <c r="AE356">
        <f t="shared" si="148"/>
        <v>0</v>
      </c>
      <c r="AF356">
        <f t="shared" si="136"/>
        <v>5</v>
      </c>
      <c r="AG356">
        <f t="shared" si="149"/>
        <v>0</v>
      </c>
      <c r="AH356">
        <f>'Assessment Questions'!AK356</f>
        <v>0</v>
      </c>
      <c r="AI356">
        <f>'Assessment Questions'!AL356</f>
        <v>0</v>
      </c>
      <c r="AJ356">
        <f>IF(OR($H356="",$H356="N/A"),"",IF($AH356="",VLOOKUP('Company Profile'!$B$40,_CONFIG_Model_Settings!$A$5:$B$8,2,FALSE),IFERROR(VLOOKUP($AH356,_CONFIG_Model_Settings!$A$5:$B$8,2,FALSE),0.9)))</f>
        <v>0.9</v>
      </c>
      <c r="AK356">
        <f>IF(OR($H356="",$H356="N/A"),"",IF($AI356="",VLOOKUP('Company Profile'!$B$41,_CONFIG_Model_Settings!$A$5:$B$8,2,FALSE),IFERROR(VLOOKUP($AI356,_CONFIG_Model_Settings!$A$5:$B$8,2,FALSE),0.9)))</f>
        <v>0.9</v>
      </c>
      <c r="AL356">
        <f t="shared" si="138"/>
        <v>0</v>
      </c>
      <c r="AM356">
        <f t="shared" si="139"/>
        <v>0</v>
      </c>
      <c r="AN356">
        <f>IFERROR(MIN(5,MAX(0,(SUMIFS(_REF_Model_Content!$D$1:$D$174,_REF_Model_Content!$A$1:$A$174,PV_Canonical_Industry,_REF_Model_Content!$B$1:$B$174,"Data BI AI"))+IFERROR(VLOOKUP('Company Profile'!$B$35,_CONFIG_Model_Settings!$A$11:$B$13,2,0),0))),"")</f>
        <v>0</v>
      </c>
      <c r="AO356">
        <f t="shared" si="140"/>
        <v>0</v>
      </c>
      <c r="AP356">
        <f>IFERROR(SUMIFS(_REF_Model_Content!$E$1:$E$174,_REF_Model_Content!$A$1:$A$174,PV_Canonical_Industry,_REF_Model_Content!$B$1:$B$174,"Data BI AI"),1)</f>
        <v>0</v>
      </c>
      <c r="AQ356">
        <f t="shared" si="141"/>
        <v>0</v>
      </c>
      <c r="AR356" t="str">
        <f t="shared" si="142"/>
        <v>Within target</v>
      </c>
      <c r="AS356">
        <f t="shared" si="143"/>
        <v>0</v>
      </c>
      <c r="AT356">
        <f t="shared" si="144"/>
        <v>0.9</v>
      </c>
      <c r="AU356">
        <f>'Assessment Questions'!AX356</f>
        <v>0</v>
      </c>
      <c r="AV356">
        <f t="shared" si="145"/>
        <v>0.9</v>
      </c>
      <c r="AW356" t="s">
        <v>2824</v>
      </c>
      <c r="AX356" t="s">
        <v>2824</v>
      </c>
      <c r="AY356">
        <v>15</v>
      </c>
      <c r="AZ356">
        <v>356</v>
      </c>
    </row>
    <row r="357" spans="1:52">
      <c r="A357" t="s">
        <v>2902</v>
      </c>
      <c r="B357" t="s">
        <v>2835</v>
      </c>
      <c r="C357" t="s">
        <v>2903</v>
      </c>
      <c r="D357" t="s">
        <v>2828</v>
      </c>
      <c r="E357" t="s">
        <v>2829</v>
      </c>
      <c r="F357" t="s">
        <v>2904</v>
      </c>
      <c r="G357">
        <f>'Assessment Questions'!J357</f>
        <v>5</v>
      </c>
      <c r="H357">
        <f t="shared" si="127"/>
        <v>0</v>
      </c>
      <c r="I357">
        <f t="shared" si="128"/>
        <v>0</v>
      </c>
      <c r="J357">
        <f t="shared" si="129"/>
        <v>5</v>
      </c>
      <c r="K357">
        <f t="shared" si="130"/>
        <v>5</v>
      </c>
      <c r="L357" t="str">
        <f t="shared" si="131"/>
        <v>Critical</v>
      </c>
      <c r="M357" t="s">
        <v>833</v>
      </c>
      <c r="N357" t="s">
        <v>834</v>
      </c>
      <c r="O357" t="s">
        <v>835</v>
      </c>
      <c r="P357" t="s">
        <v>836</v>
      </c>
      <c r="Q357" t="s">
        <v>837</v>
      </c>
      <c r="R357" t="s">
        <v>838</v>
      </c>
      <c r="S357" t="s">
        <v>2831</v>
      </c>
      <c r="T357">
        <f>'Assessment Questions'!W357</f>
        <v>0</v>
      </c>
      <c r="U357">
        <f>'Assessment Questions'!X357</f>
        <v>0</v>
      </c>
      <c r="V357" t="str">
        <f>'Assessment Questions'!Y357</f>
        <v>Use the recommended action generated by the model; validate with domain owner during real assessment.</v>
      </c>
      <c r="W357">
        <v>5</v>
      </c>
      <c r="X357">
        <v>5</v>
      </c>
      <c r="Y357">
        <v>5</v>
      </c>
      <c r="Z357">
        <f>'Assessment Questions'!AC357</f>
        <v>0</v>
      </c>
      <c r="AB357">
        <f t="shared" si="146"/>
        <v>0</v>
      </c>
      <c r="AC357">
        <f t="shared" si="147"/>
        <v>0</v>
      </c>
      <c r="AD357">
        <f t="shared" si="134"/>
        <v>0</v>
      </c>
      <c r="AE357">
        <f t="shared" si="148"/>
        <v>0</v>
      </c>
      <c r="AF357">
        <f t="shared" si="136"/>
        <v>5</v>
      </c>
      <c r="AG357">
        <f t="shared" si="149"/>
        <v>0</v>
      </c>
      <c r="AH357">
        <f>'Assessment Questions'!AK357</f>
        <v>0</v>
      </c>
      <c r="AI357">
        <f>'Assessment Questions'!AL357</f>
        <v>0</v>
      </c>
      <c r="AJ357">
        <f>IF(OR($H357="",$H357="N/A"),"",IF($AH357="",VLOOKUP('Company Profile'!$B$40,_CONFIG_Model_Settings!$A$5:$B$8,2,FALSE),IFERROR(VLOOKUP($AH357,_CONFIG_Model_Settings!$A$5:$B$8,2,FALSE),0.9)))</f>
        <v>0.9</v>
      </c>
      <c r="AK357">
        <f>IF(OR($H357="",$H357="N/A"),"",IF($AI357="",VLOOKUP('Company Profile'!$B$41,_CONFIG_Model_Settings!$A$5:$B$8,2,FALSE),IFERROR(VLOOKUP($AI357,_CONFIG_Model_Settings!$A$5:$B$8,2,FALSE),0.9)))</f>
        <v>0.9</v>
      </c>
      <c r="AL357">
        <f t="shared" si="138"/>
        <v>0</v>
      </c>
      <c r="AM357">
        <f t="shared" si="139"/>
        <v>0</v>
      </c>
      <c r="AN357">
        <f>IFERROR(MIN(5,MAX(0,(SUMIFS(_REF_Model_Content!$D$1:$D$174,_REF_Model_Content!$A$1:$A$174,PV_Canonical_Industry,_REF_Model_Content!$B$1:$B$174,"Data BI AI"))+IFERROR(VLOOKUP('Company Profile'!$B$35,_CONFIG_Model_Settings!$A$11:$B$13,2,0),0))),"")</f>
        <v>0</v>
      </c>
      <c r="AO357">
        <f t="shared" si="140"/>
        <v>0</v>
      </c>
      <c r="AP357">
        <f>IFERROR(SUMIFS(_REF_Model_Content!$E$1:$E$174,_REF_Model_Content!$A$1:$A$174,PV_Canonical_Industry,_REF_Model_Content!$B$1:$B$174,"Data BI AI"),1)</f>
        <v>0</v>
      </c>
      <c r="AQ357">
        <f t="shared" si="141"/>
        <v>0</v>
      </c>
      <c r="AR357" t="str">
        <f t="shared" si="142"/>
        <v>Within target</v>
      </c>
      <c r="AS357">
        <f t="shared" si="143"/>
        <v>0</v>
      </c>
      <c r="AT357">
        <f t="shared" si="144"/>
        <v>0.9</v>
      </c>
      <c r="AU357">
        <f>'Assessment Questions'!AX357</f>
        <v>0</v>
      </c>
      <c r="AV357">
        <f t="shared" si="145"/>
        <v>0.9</v>
      </c>
      <c r="AW357" t="s">
        <v>2824</v>
      </c>
      <c r="AX357" t="s">
        <v>2824</v>
      </c>
      <c r="AY357">
        <v>16</v>
      </c>
      <c r="AZ357">
        <v>357</v>
      </c>
    </row>
    <row r="358" spans="1:52">
      <c r="A358" t="s">
        <v>2905</v>
      </c>
      <c r="B358" t="s">
        <v>2845</v>
      </c>
      <c r="C358" t="s">
        <v>2906</v>
      </c>
      <c r="D358" t="s">
        <v>2828</v>
      </c>
      <c r="E358" t="s">
        <v>2829</v>
      </c>
      <c r="F358" t="s">
        <v>2907</v>
      </c>
      <c r="G358">
        <f>'Assessment Questions'!J358</f>
        <v>5</v>
      </c>
      <c r="H358">
        <f t="shared" si="127"/>
        <v>0</v>
      </c>
      <c r="I358">
        <f t="shared" si="128"/>
        <v>0</v>
      </c>
      <c r="J358">
        <f t="shared" si="129"/>
        <v>5</v>
      </c>
      <c r="K358">
        <f t="shared" si="130"/>
        <v>5</v>
      </c>
      <c r="L358" t="str">
        <f t="shared" si="131"/>
        <v>Critical</v>
      </c>
      <c r="M358" t="s">
        <v>1069</v>
      </c>
      <c r="N358" t="s">
        <v>1070</v>
      </c>
      <c r="O358" t="s">
        <v>1071</v>
      </c>
      <c r="P358" t="s">
        <v>1072</v>
      </c>
      <c r="Q358" t="s">
        <v>1073</v>
      </c>
      <c r="R358" t="s">
        <v>1074</v>
      </c>
      <c r="S358" t="s">
        <v>2831</v>
      </c>
      <c r="T358">
        <f>'Assessment Questions'!W358</f>
        <v>0</v>
      </c>
      <c r="U358">
        <f>'Assessment Questions'!X358</f>
        <v>0</v>
      </c>
      <c r="V358" t="str">
        <f>'Assessment Questions'!Y358</f>
        <v>Use the recommended action generated by the model; validate with domain owner during real assessment.</v>
      </c>
      <c r="W358">
        <v>5</v>
      </c>
      <c r="X358">
        <v>5</v>
      </c>
      <c r="Y358">
        <v>5</v>
      </c>
      <c r="Z358">
        <f>'Assessment Questions'!AC358</f>
        <v>0</v>
      </c>
      <c r="AB358">
        <f t="shared" si="146"/>
        <v>0</v>
      </c>
      <c r="AC358">
        <f t="shared" si="147"/>
        <v>0</v>
      </c>
      <c r="AD358">
        <f t="shared" si="134"/>
        <v>0</v>
      </c>
      <c r="AE358">
        <f t="shared" si="148"/>
        <v>0</v>
      </c>
      <c r="AF358">
        <f t="shared" si="136"/>
        <v>5</v>
      </c>
      <c r="AG358">
        <f t="shared" si="149"/>
        <v>0</v>
      </c>
      <c r="AH358">
        <f>'Assessment Questions'!AK358</f>
        <v>0</v>
      </c>
      <c r="AI358">
        <f>'Assessment Questions'!AL358</f>
        <v>0</v>
      </c>
      <c r="AJ358">
        <f>IF(OR($H358="",$H358="N/A"),"",IF($AH358="",VLOOKUP('Company Profile'!$B$40,_CONFIG_Model_Settings!$A$5:$B$8,2,FALSE),IFERROR(VLOOKUP($AH358,_CONFIG_Model_Settings!$A$5:$B$8,2,FALSE),0.9)))</f>
        <v>0.9</v>
      </c>
      <c r="AK358">
        <f>IF(OR($H358="",$H358="N/A"),"",IF($AI358="",VLOOKUP('Company Profile'!$B$41,_CONFIG_Model_Settings!$A$5:$B$8,2,FALSE),IFERROR(VLOOKUP($AI358,_CONFIG_Model_Settings!$A$5:$B$8,2,FALSE),0.9)))</f>
        <v>0.9</v>
      </c>
      <c r="AL358">
        <f t="shared" si="138"/>
        <v>0</v>
      </c>
      <c r="AM358">
        <f t="shared" si="139"/>
        <v>0</v>
      </c>
      <c r="AN358">
        <f>IFERROR(MIN(5,MAX(0,(SUMIFS(_REF_Model_Content!$D$1:$D$174,_REF_Model_Content!$A$1:$A$174,PV_Canonical_Industry,_REF_Model_Content!$B$1:$B$174,"Data BI AI"))+IFERROR(VLOOKUP('Company Profile'!$B$35,_CONFIG_Model_Settings!$A$11:$B$13,2,0),0))),"")</f>
        <v>0</v>
      </c>
      <c r="AO358">
        <f t="shared" si="140"/>
        <v>0</v>
      </c>
      <c r="AP358">
        <f>IFERROR(SUMIFS(_REF_Model_Content!$E$1:$E$174,_REF_Model_Content!$A$1:$A$174,PV_Canonical_Industry,_REF_Model_Content!$B$1:$B$174,"Data BI AI"),1)</f>
        <v>0</v>
      </c>
      <c r="AQ358">
        <f t="shared" si="141"/>
        <v>0</v>
      </c>
      <c r="AR358" t="str">
        <f t="shared" si="142"/>
        <v>Within target</v>
      </c>
      <c r="AS358">
        <f t="shared" si="143"/>
        <v>0</v>
      </c>
      <c r="AT358">
        <f t="shared" si="144"/>
        <v>0.9</v>
      </c>
      <c r="AU358">
        <f>'Assessment Questions'!AX358</f>
        <v>0</v>
      </c>
      <c r="AV358">
        <f t="shared" si="145"/>
        <v>0.9</v>
      </c>
      <c r="AW358" t="s">
        <v>2824</v>
      </c>
      <c r="AX358" t="s">
        <v>2824</v>
      </c>
      <c r="AY358">
        <v>17</v>
      </c>
      <c r="AZ358">
        <v>358</v>
      </c>
    </row>
    <row r="359" spans="1:52">
      <c r="A359" t="s">
        <v>2908</v>
      </c>
      <c r="B359" t="s">
        <v>2845</v>
      </c>
      <c r="C359" t="s">
        <v>2909</v>
      </c>
      <c r="D359" t="s">
        <v>2828</v>
      </c>
      <c r="E359" t="s">
        <v>2829</v>
      </c>
      <c r="F359" t="s">
        <v>2910</v>
      </c>
      <c r="G359">
        <f>'Assessment Questions'!J359</f>
        <v>5</v>
      </c>
      <c r="H359">
        <f t="shared" si="127"/>
        <v>0</v>
      </c>
      <c r="I359">
        <f t="shared" si="128"/>
        <v>0</v>
      </c>
      <c r="J359">
        <f t="shared" si="129"/>
        <v>5</v>
      </c>
      <c r="K359">
        <f t="shared" si="130"/>
        <v>5</v>
      </c>
      <c r="L359" t="str">
        <f t="shared" si="131"/>
        <v>Critical</v>
      </c>
      <c r="M359" t="s">
        <v>833</v>
      </c>
      <c r="N359" t="s">
        <v>834</v>
      </c>
      <c r="O359" t="s">
        <v>835</v>
      </c>
      <c r="P359" t="s">
        <v>836</v>
      </c>
      <c r="Q359" t="s">
        <v>837</v>
      </c>
      <c r="R359" t="s">
        <v>838</v>
      </c>
      <c r="S359" t="s">
        <v>2831</v>
      </c>
      <c r="T359">
        <f>'Assessment Questions'!W359</f>
        <v>0</v>
      </c>
      <c r="U359">
        <f>'Assessment Questions'!X359</f>
        <v>0</v>
      </c>
      <c r="V359" t="str">
        <f>'Assessment Questions'!Y359</f>
        <v>Use the recommended action generated by the model; validate with domain owner during real assessment.</v>
      </c>
      <c r="W359">
        <v>5</v>
      </c>
      <c r="X359">
        <v>5</v>
      </c>
      <c r="Y359">
        <v>5</v>
      </c>
      <c r="Z359">
        <f>'Assessment Questions'!AC359</f>
        <v>0</v>
      </c>
      <c r="AB359">
        <f t="shared" si="146"/>
        <v>0</v>
      </c>
      <c r="AC359">
        <f t="shared" si="147"/>
        <v>0</v>
      </c>
      <c r="AD359">
        <f t="shared" si="134"/>
        <v>0</v>
      </c>
      <c r="AE359">
        <f t="shared" si="148"/>
        <v>0</v>
      </c>
      <c r="AF359">
        <f t="shared" si="136"/>
        <v>5</v>
      </c>
      <c r="AG359">
        <f t="shared" si="149"/>
        <v>0</v>
      </c>
      <c r="AH359">
        <f>'Assessment Questions'!AK359</f>
        <v>0</v>
      </c>
      <c r="AI359">
        <f>'Assessment Questions'!AL359</f>
        <v>0</v>
      </c>
      <c r="AJ359">
        <f>IF(OR($H359="",$H359="N/A"),"",IF($AH359="",VLOOKUP('Company Profile'!$B$40,_CONFIG_Model_Settings!$A$5:$B$8,2,FALSE),IFERROR(VLOOKUP($AH359,_CONFIG_Model_Settings!$A$5:$B$8,2,FALSE),0.9)))</f>
        <v>0.9</v>
      </c>
      <c r="AK359">
        <f>IF(OR($H359="",$H359="N/A"),"",IF($AI359="",VLOOKUP('Company Profile'!$B$41,_CONFIG_Model_Settings!$A$5:$B$8,2,FALSE),IFERROR(VLOOKUP($AI359,_CONFIG_Model_Settings!$A$5:$B$8,2,FALSE),0.9)))</f>
        <v>0.9</v>
      </c>
      <c r="AL359">
        <f t="shared" si="138"/>
        <v>0</v>
      </c>
      <c r="AM359">
        <f t="shared" si="139"/>
        <v>0</v>
      </c>
      <c r="AN359">
        <f>IFERROR(MIN(5,MAX(0,(SUMIFS(_REF_Model_Content!$D$1:$D$174,_REF_Model_Content!$A$1:$A$174,PV_Canonical_Industry,_REF_Model_Content!$B$1:$B$174,"Data BI AI"))+IFERROR(VLOOKUP('Company Profile'!$B$35,_CONFIG_Model_Settings!$A$11:$B$13,2,0),0))),"")</f>
        <v>0</v>
      </c>
      <c r="AO359">
        <f t="shared" si="140"/>
        <v>0</v>
      </c>
      <c r="AP359">
        <f>IFERROR(SUMIFS(_REF_Model_Content!$E$1:$E$174,_REF_Model_Content!$A$1:$A$174,PV_Canonical_Industry,_REF_Model_Content!$B$1:$B$174,"Data BI AI"),1)</f>
        <v>0</v>
      </c>
      <c r="AQ359">
        <f t="shared" si="141"/>
        <v>0</v>
      </c>
      <c r="AR359" t="str">
        <f t="shared" si="142"/>
        <v>Within target</v>
      </c>
      <c r="AS359">
        <f t="shared" si="143"/>
        <v>0</v>
      </c>
      <c r="AT359">
        <f t="shared" si="144"/>
        <v>0.9</v>
      </c>
      <c r="AU359">
        <f>'Assessment Questions'!AX359</f>
        <v>0</v>
      </c>
      <c r="AV359">
        <f t="shared" si="145"/>
        <v>0.9</v>
      </c>
      <c r="AW359" t="s">
        <v>2824</v>
      </c>
      <c r="AX359" t="s">
        <v>2824</v>
      </c>
      <c r="AY359">
        <v>18</v>
      </c>
      <c r="AZ359">
        <v>359</v>
      </c>
    </row>
    <row r="360" spans="1:52">
      <c r="A360" t="s">
        <v>2911</v>
      </c>
      <c r="B360" t="s">
        <v>2845</v>
      </c>
      <c r="C360" t="s">
        <v>2912</v>
      </c>
      <c r="D360" t="s">
        <v>2828</v>
      </c>
      <c r="E360" t="s">
        <v>2829</v>
      </c>
      <c r="F360" t="s">
        <v>2913</v>
      </c>
      <c r="G360">
        <f>'Assessment Questions'!J360</f>
        <v>5</v>
      </c>
      <c r="H360">
        <f t="shared" si="127"/>
        <v>0</v>
      </c>
      <c r="I360">
        <f t="shared" si="128"/>
        <v>0</v>
      </c>
      <c r="J360">
        <f t="shared" si="129"/>
        <v>5</v>
      </c>
      <c r="K360">
        <f t="shared" si="130"/>
        <v>5</v>
      </c>
      <c r="L360" t="str">
        <f t="shared" si="131"/>
        <v>Critical</v>
      </c>
      <c r="M360" t="s">
        <v>833</v>
      </c>
      <c r="N360" t="s">
        <v>834</v>
      </c>
      <c r="O360" t="s">
        <v>835</v>
      </c>
      <c r="P360" t="s">
        <v>836</v>
      </c>
      <c r="Q360" t="s">
        <v>837</v>
      </c>
      <c r="R360" t="s">
        <v>838</v>
      </c>
      <c r="S360" t="s">
        <v>2831</v>
      </c>
      <c r="T360">
        <f>'Assessment Questions'!W360</f>
        <v>0</v>
      </c>
      <c r="U360">
        <f>'Assessment Questions'!X360</f>
        <v>0</v>
      </c>
      <c r="V360" t="str">
        <f>'Assessment Questions'!Y360</f>
        <v>Use the recommended action generated by the model; validate with domain owner during real assessment.</v>
      </c>
      <c r="W360">
        <v>5</v>
      </c>
      <c r="X360">
        <v>5</v>
      </c>
      <c r="Y360">
        <v>5</v>
      </c>
      <c r="Z360">
        <f>'Assessment Questions'!AC360</f>
        <v>0</v>
      </c>
      <c r="AB360">
        <f t="shared" si="146"/>
        <v>0</v>
      </c>
      <c r="AC360">
        <f t="shared" si="147"/>
        <v>0</v>
      </c>
      <c r="AD360">
        <f t="shared" si="134"/>
        <v>0</v>
      </c>
      <c r="AE360">
        <f t="shared" si="148"/>
        <v>0</v>
      </c>
      <c r="AF360">
        <f t="shared" si="136"/>
        <v>5</v>
      </c>
      <c r="AG360">
        <f t="shared" si="149"/>
        <v>0</v>
      </c>
      <c r="AH360">
        <f>'Assessment Questions'!AK360</f>
        <v>0</v>
      </c>
      <c r="AI360">
        <f>'Assessment Questions'!AL360</f>
        <v>0</v>
      </c>
      <c r="AJ360">
        <f>IF(OR($H360="",$H360="N/A"),"",IF($AH360="",VLOOKUP('Company Profile'!$B$40,_CONFIG_Model_Settings!$A$5:$B$8,2,FALSE),IFERROR(VLOOKUP($AH360,_CONFIG_Model_Settings!$A$5:$B$8,2,FALSE),0.9)))</f>
        <v>0.9</v>
      </c>
      <c r="AK360">
        <f>IF(OR($H360="",$H360="N/A"),"",IF($AI360="",VLOOKUP('Company Profile'!$B$41,_CONFIG_Model_Settings!$A$5:$B$8,2,FALSE),IFERROR(VLOOKUP($AI360,_CONFIG_Model_Settings!$A$5:$B$8,2,FALSE),0.9)))</f>
        <v>0.9</v>
      </c>
      <c r="AL360">
        <f t="shared" si="138"/>
        <v>0</v>
      </c>
      <c r="AM360">
        <f t="shared" si="139"/>
        <v>0</v>
      </c>
      <c r="AN360">
        <f>IFERROR(MIN(5,MAX(0,(SUMIFS(_REF_Model_Content!$D$1:$D$174,_REF_Model_Content!$A$1:$A$174,PV_Canonical_Industry,_REF_Model_Content!$B$1:$B$174,"Data BI AI"))+IFERROR(VLOOKUP('Company Profile'!$B$35,_CONFIG_Model_Settings!$A$11:$B$13,2,0),0))),"")</f>
        <v>0</v>
      </c>
      <c r="AO360">
        <f t="shared" si="140"/>
        <v>0</v>
      </c>
      <c r="AP360">
        <f>IFERROR(SUMIFS(_REF_Model_Content!$E$1:$E$174,_REF_Model_Content!$A$1:$A$174,PV_Canonical_Industry,_REF_Model_Content!$B$1:$B$174,"Data BI AI"),1)</f>
        <v>0</v>
      </c>
      <c r="AQ360">
        <f t="shared" si="141"/>
        <v>0</v>
      </c>
      <c r="AR360" t="str">
        <f t="shared" si="142"/>
        <v>Within target</v>
      </c>
      <c r="AS360">
        <f t="shared" si="143"/>
        <v>0</v>
      </c>
      <c r="AT360">
        <f t="shared" si="144"/>
        <v>0.9</v>
      </c>
      <c r="AU360">
        <f>'Assessment Questions'!AX360</f>
        <v>0</v>
      </c>
      <c r="AV360">
        <f t="shared" si="145"/>
        <v>0.9</v>
      </c>
      <c r="AW360" t="s">
        <v>2824</v>
      </c>
      <c r="AX360" t="s">
        <v>2824</v>
      </c>
      <c r="AY360">
        <v>19</v>
      </c>
      <c r="AZ360">
        <v>360</v>
      </c>
    </row>
    <row r="361" spans="1:52">
      <c r="A361" t="s">
        <v>2914</v>
      </c>
      <c r="B361" t="s">
        <v>2845</v>
      </c>
      <c r="C361" t="s">
        <v>2915</v>
      </c>
      <c r="D361" t="s">
        <v>2828</v>
      </c>
      <c r="E361" t="s">
        <v>2829</v>
      </c>
      <c r="F361" t="s">
        <v>2916</v>
      </c>
      <c r="G361">
        <f>'Assessment Questions'!J361</f>
        <v>4</v>
      </c>
      <c r="H361">
        <f t="shared" si="127"/>
        <v>0</v>
      </c>
      <c r="I361">
        <f t="shared" si="128"/>
        <v>0</v>
      </c>
      <c r="J361">
        <f t="shared" si="129"/>
        <v>4</v>
      </c>
      <c r="K361">
        <f t="shared" si="130"/>
        <v>4</v>
      </c>
      <c r="L361" t="str">
        <f t="shared" si="131"/>
        <v>Critical</v>
      </c>
      <c r="M361" t="s">
        <v>2917</v>
      </c>
      <c r="N361" t="s">
        <v>2918</v>
      </c>
      <c r="O361" t="s">
        <v>2919</v>
      </c>
      <c r="P361" t="s">
        <v>2920</v>
      </c>
      <c r="Q361" t="s">
        <v>2921</v>
      </c>
      <c r="R361" t="s">
        <v>2922</v>
      </c>
      <c r="S361" t="s">
        <v>2831</v>
      </c>
      <c r="T361">
        <f>'Assessment Questions'!W361</f>
        <v>0</v>
      </c>
      <c r="U361">
        <f>'Assessment Questions'!X361</f>
        <v>0</v>
      </c>
      <c r="V361" t="str">
        <f>'Assessment Questions'!Y361</f>
        <v>Use the recommended action generated by the model; validate with domain owner during real assessment.</v>
      </c>
      <c r="W361">
        <v>5</v>
      </c>
      <c r="X361">
        <v>5</v>
      </c>
      <c r="Y361">
        <v>5</v>
      </c>
      <c r="Z361">
        <f>'Assessment Questions'!AC361</f>
        <v>0</v>
      </c>
      <c r="AB361">
        <f t="shared" si="146"/>
        <v>0</v>
      </c>
      <c r="AC361">
        <f t="shared" si="147"/>
        <v>0</v>
      </c>
      <c r="AD361">
        <f t="shared" si="134"/>
        <v>0</v>
      </c>
      <c r="AE361">
        <f t="shared" si="148"/>
        <v>0</v>
      </c>
      <c r="AF361">
        <f t="shared" si="136"/>
        <v>5</v>
      </c>
      <c r="AG361">
        <f t="shared" si="149"/>
        <v>0</v>
      </c>
      <c r="AH361">
        <f>'Assessment Questions'!AK361</f>
        <v>0</v>
      </c>
      <c r="AI361">
        <f>'Assessment Questions'!AL361</f>
        <v>0</v>
      </c>
      <c r="AJ361">
        <f>IF(OR($H361="",$H361="N/A"),"",IF($AH361="",VLOOKUP('Company Profile'!$B$40,_CONFIG_Model_Settings!$A$5:$B$8,2,FALSE),IFERROR(VLOOKUP($AH361,_CONFIG_Model_Settings!$A$5:$B$8,2,FALSE),0.9)))</f>
        <v>0.9</v>
      </c>
      <c r="AK361">
        <f>IF(OR($H361="",$H361="N/A"),"",IF($AI361="",VLOOKUP('Company Profile'!$B$41,_CONFIG_Model_Settings!$A$5:$B$8,2,FALSE),IFERROR(VLOOKUP($AI361,_CONFIG_Model_Settings!$A$5:$B$8,2,FALSE),0.9)))</f>
        <v>0.9</v>
      </c>
      <c r="AL361">
        <f t="shared" si="138"/>
        <v>0</v>
      </c>
      <c r="AM361">
        <f t="shared" si="139"/>
        <v>0</v>
      </c>
      <c r="AN361">
        <f>IFERROR(MIN(5,MAX(0,(SUMIFS(_REF_Model_Content!$D$1:$D$174,_REF_Model_Content!$A$1:$A$174,PV_Canonical_Industry,_REF_Model_Content!$B$1:$B$174,"Data BI AI"))+IFERROR(VLOOKUP('Company Profile'!$B$35,_CONFIG_Model_Settings!$A$11:$B$13,2,0),0))),"")</f>
        <v>0</v>
      </c>
      <c r="AO361">
        <f t="shared" si="140"/>
        <v>0</v>
      </c>
      <c r="AP361">
        <f>IFERROR(SUMIFS(_REF_Model_Content!$E$1:$E$174,_REF_Model_Content!$A$1:$A$174,PV_Canonical_Industry,_REF_Model_Content!$B$1:$B$174,"Data BI AI"),1)</f>
        <v>0</v>
      </c>
      <c r="AQ361">
        <f t="shared" si="141"/>
        <v>0</v>
      </c>
      <c r="AR361" t="str">
        <f t="shared" si="142"/>
        <v>Within target</v>
      </c>
      <c r="AS361">
        <f t="shared" si="143"/>
        <v>0</v>
      </c>
      <c r="AT361">
        <f t="shared" si="144"/>
        <v>0.9</v>
      </c>
      <c r="AU361">
        <f>'Assessment Questions'!AX361</f>
        <v>0</v>
      </c>
      <c r="AV361">
        <f t="shared" si="145"/>
        <v>0.9</v>
      </c>
      <c r="AW361" t="s">
        <v>2824</v>
      </c>
      <c r="AX361" t="s">
        <v>2824</v>
      </c>
      <c r="AY361">
        <v>20</v>
      </c>
      <c r="AZ361">
        <v>361</v>
      </c>
    </row>
    <row r="362" spans="1:52">
      <c r="A362" t="s">
        <v>2923</v>
      </c>
      <c r="B362" t="s">
        <v>2845</v>
      </c>
      <c r="C362" t="s">
        <v>2924</v>
      </c>
      <c r="D362" t="s">
        <v>2828</v>
      </c>
      <c r="E362" t="s">
        <v>2829</v>
      </c>
      <c r="F362" t="s">
        <v>2925</v>
      </c>
      <c r="G362">
        <f>'Assessment Questions'!J362</f>
        <v>5</v>
      </c>
      <c r="H362">
        <f t="shared" si="127"/>
        <v>0</v>
      </c>
      <c r="I362">
        <f t="shared" si="128"/>
        <v>0</v>
      </c>
      <c r="J362">
        <f t="shared" si="129"/>
        <v>5</v>
      </c>
      <c r="K362">
        <f t="shared" si="130"/>
        <v>5</v>
      </c>
      <c r="L362" t="str">
        <f t="shared" si="131"/>
        <v>Critical</v>
      </c>
      <c r="M362" t="s">
        <v>833</v>
      </c>
      <c r="N362" t="s">
        <v>834</v>
      </c>
      <c r="O362" t="s">
        <v>835</v>
      </c>
      <c r="P362" t="s">
        <v>836</v>
      </c>
      <c r="Q362" t="s">
        <v>837</v>
      </c>
      <c r="R362" t="s">
        <v>838</v>
      </c>
      <c r="S362" t="s">
        <v>2831</v>
      </c>
      <c r="T362">
        <f>'Assessment Questions'!W362</f>
        <v>0</v>
      </c>
      <c r="U362">
        <f>'Assessment Questions'!X362</f>
        <v>0</v>
      </c>
      <c r="V362" t="str">
        <f>'Assessment Questions'!Y362</f>
        <v>Use the recommended action generated by the model; validate with domain owner during real assessment.</v>
      </c>
      <c r="W362">
        <v>5</v>
      </c>
      <c r="X362">
        <v>5</v>
      </c>
      <c r="Y362">
        <v>5</v>
      </c>
      <c r="Z362">
        <f>'Assessment Questions'!AC362</f>
        <v>0</v>
      </c>
      <c r="AB362">
        <f t="shared" si="146"/>
        <v>0</v>
      </c>
      <c r="AC362">
        <f t="shared" si="147"/>
        <v>0</v>
      </c>
      <c r="AD362">
        <f t="shared" si="134"/>
        <v>0</v>
      </c>
      <c r="AE362">
        <f t="shared" si="148"/>
        <v>0</v>
      </c>
      <c r="AF362">
        <f t="shared" si="136"/>
        <v>5</v>
      </c>
      <c r="AG362">
        <f t="shared" si="149"/>
        <v>0</v>
      </c>
      <c r="AH362">
        <f>'Assessment Questions'!AK362</f>
        <v>0</v>
      </c>
      <c r="AI362">
        <f>'Assessment Questions'!AL362</f>
        <v>0</v>
      </c>
      <c r="AJ362">
        <f>IF(OR($H362="",$H362="N/A"),"",IF($AH362="",VLOOKUP('Company Profile'!$B$40,_CONFIG_Model_Settings!$A$5:$B$8,2,FALSE),IFERROR(VLOOKUP($AH362,_CONFIG_Model_Settings!$A$5:$B$8,2,FALSE),0.9)))</f>
        <v>0.9</v>
      </c>
      <c r="AK362">
        <f>IF(OR($H362="",$H362="N/A"),"",IF($AI362="",VLOOKUP('Company Profile'!$B$41,_CONFIG_Model_Settings!$A$5:$B$8,2,FALSE),IFERROR(VLOOKUP($AI362,_CONFIG_Model_Settings!$A$5:$B$8,2,FALSE),0.9)))</f>
        <v>0.9</v>
      </c>
      <c r="AL362">
        <f t="shared" si="138"/>
        <v>0</v>
      </c>
      <c r="AM362">
        <f t="shared" si="139"/>
        <v>0</v>
      </c>
      <c r="AN362">
        <f>IFERROR(MIN(5,MAX(0,(SUMIFS(_REF_Model_Content!$D$1:$D$174,_REF_Model_Content!$A$1:$A$174,PV_Canonical_Industry,_REF_Model_Content!$B$1:$B$174,"Data BI AI"))+IFERROR(VLOOKUP('Company Profile'!$B$35,_CONFIG_Model_Settings!$A$11:$B$13,2,0),0))),"")</f>
        <v>0</v>
      </c>
      <c r="AO362">
        <f t="shared" si="140"/>
        <v>0</v>
      </c>
      <c r="AP362">
        <f>IFERROR(SUMIFS(_REF_Model_Content!$E$1:$E$174,_REF_Model_Content!$A$1:$A$174,PV_Canonical_Industry,_REF_Model_Content!$B$1:$B$174,"Data BI AI"),1)</f>
        <v>0</v>
      </c>
      <c r="AQ362">
        <f t="shared" si="141"/>
        <v>0</v>
      </c>
      <c r="AR362" t="str">
        <f t="shared" si="142"/>
        <v>Within target</v>
      </c>
      <c r="AS362">
        <f t="shared" si="143"/>
        <v>0</v>
      </c>
      <c r="AT362">
        <f t="shared" si="144"/>
        <v>0.9</v>
      </c>
      <c r="AU362">
        <f>'Assessment Questions'!AX362</f>
        <v>0</v>
      </c>
      <c r="AV362">
        <f t="shared" si="145"/>
        <v>0.9</v>
      </c>
      <c r="AW362" t="s">
        <v>2824</v>
      </c>
      <c r="AX362" t="s">
        <v>2824</v>
      </c>
      <c r="AY362">
        <v>21</v>
      </c>
      <c r="AZ362">
        <v>362</v>
      </c>
    </row>
    <row r="363" spans="1:52">
      <c r="A363" t="s">
        <v>2926</v>
      </c>
      <c r="B363" t="s">
        <v>2845</v>
      </c>
      <c r="C363" t="s">
        <v>2927</v>
      </c>
      <c r="D363" t="s">
        <v>2828</v>
      </c>
      <c r="E363" t="s">
        <v>2829</v>
      </c>
      <c r="F363" t="s">
        <v>2928</v>
      </c>
      <c r="G363">
        <f>'Assessment Questions'!J363</f>
        <v>5</v>
      </c>
      <c r="H363">
        <f t="shared" si="127"/>
        <v>0</v>
      </c>
      <c r="I363">
        <f t="shared" si="128"/>
        <v>0</v>
      </c>
      <c r="J363">
        <f t="shared" si="129"/>
        <v>5</v>
      </c>
      <c r="K363">
        <f t="shared" si="130"/>
        <v>5</v>
      </c>
      <c r="L363" t="str">
        <f t="shared" si="131"/>
        <v>Critical</v>
      </c>
      <c r="M363" t="s">
        <v>1069</v>
      </c>
      <c r="N363" t="s">
        <v>1070</v>
      </c>
      <c r="O363" t="s">
        <v>1071</v>
      </c>
      <c r="P363" t="s">
        <v>1072</v>
      </c>
      <c r="Q363" t="s">
        <v>1073</v>
      </c>
      <c r="R363" t="s">
        <v>1074</v>
      </c>
      <c r="S363" t="s">
        <v>2831</v>
      </c>
      <c r="T363">
        <f>'Assessment Questions'!W363</f>
        <v>0</v>
      </c>
      <c r="U363">
        <f>'Assessment Questions'!X363</f>
        <v>0</v>
      </c>
      <c r="V363" t="str">
        <f>'Assessment Questions'!Y363</f>
        <v>Use the recommended action generated by the model; validate with domain owner during real assessment.</v>
      </c>
      <c r="W363">
        <v>5</v>
      </c>
      <c r="X363">
        <v>5</v>
      </c>
      <c r="Y363">
        <v>5</v>
      </c>
      <c r="Z363">
        <f>'Assessment Questions'!AC363</f>
        <v>0</v>
      </c>
      <c r="AB363">
        <f t="shared" si="146"/>
        <v>0</v>
      </c>
      <c r="AC363">
        <f t="shared" si="147"/>
        <v>0</v>
      </c>
      <c r="AD363">
        <f t="shared" si="134"/>
        <v>0</v>
      </c>
      <c r="AE363">
        <f t="shared" si="148"/>
        <v>0</v>
      </c>
      <c r="AF363">
        <f t="shared" si="136"/>
        <v>5</v>
      </c>
      <c r="AG363">
        <f t="shared" si="149"/>
        <v>0</v>
      </c>
      <c r="AH363">
        <f>'Assessment Questions'!AK363</f>
        <v>0</v>
      </c>
      <c r="AI363">
        <f>'Assessment Questions'!AL363</f>
        <v>0</v>
      </c>
      <c r="AJ363">
        <f>IF(OR($H363="",$H363="N/A"),"",IF($AH363="",VLOOKUP('Company Profile'!$B$40,_CONFIG_Model_Settings!$A$5:$B$8,2,FALSE),IFERROR(VLOOKUP($AH363,_CONFIG_Model_Settings!$A$5:$B$8,2,FALSE),0.9)))</f>
        <v>0.9</v>
      </c>
      <c r="AK363">
        <f>IF(OR($H363="",$H363="N/A"),"",IF($AI363="",VLOOKUP('Company Profile'!$B$41,_CONFIG_Model_Settings!$A$5:$B$8,2,FALSE),IFERROR(VLOOKUP($AI363,_CONFIG_Model_Settings!$A$5:$B$8,2,FALSE),0.9)))</f>
        <v>0.9</v>
      </c>
      <c r="AL363">
        <f t="shared" si="138"/>
        <v>0</v>
      </c>
      <c r="AM363">
        <f t="shared" si="139"/>
        <v>0</v>
      </c>
      <c r="AN363">
        <f>IFERROR(MIN(5,MAX(0,(SUMIFS(_REF_Model_Content!$D$1:$D$174,_REF_Model_Content!$A$1:$A$174,PV_Canonical_Industry,_REF_Model_Content!$B$1:$B$174,"Data BI AI"))+IFERROR(VLOOKUP('Company Profile'!$B$35,_CONFIG_Model_Settings!$A$11:$B$13,2,0),0))),"")</f>
        <v>0</v>
      </c>
      <c r="AO363">
        <f t="shared" si="140"/>
        <v>0</v>
      </c>
      <c r="AP363">
        <f>IFERROR(SUMIFS(_REF_Model_Content!$E$1:$E$174,_REF_Model_Content!$A$1:$A$174,PV_Canonical_Industry,_REF_Model_Content!$B$1:$B$174,"Data BI AI"),1)</f>
        <v>0</v>
      </c>
      <c r="AQ363">
        <f t="shared" si="141"/>
        <v>0</v>
      </c>
      <c r="AR363" t="str">
        <f t="shared" si="142"/>
        <v>Within target</v>
      </c>
      <c r="AS363">
        <f t="shared" si="143"/>
        <v>0</v>
      </c>
      <c r="AT363">
        <f t="shared" si="144"/>
        <v>0.9</v>
      </c>
      <c r="AU363">
        <f>'Assessment Questions'!AX363</f>
        <v>0</v>
      </c>
      <c r="AV363">
        <f t="shared" si="145"/>
        <v>0.9</v>
      </c>
      <c r="AW363" t="s">
        <v>2824</v>
      </c>
      <c r="AX363" t="s">
        <v>2824</v>
      </c>
      <c r="AY363">
        <v>22</v>
      </c>
      <c r="AZ363">
        <v>363</v>
      </c>
    </row>
    <row r="364" spans="1:52">
      <c r="A364" t="s">
        <v>2929</v>
      </c>
      <c r="B364" t="s">
        <v>2855</v>
      </c>
      <c r="C364" t="s">
        <v>2930</v>
      </c>
      <c r="D364" t="s">
        <v>2828</v>
      </c>
      <c r="E364" t="s">
        <v>2829</v>
      </c>
      <c r="F364" t="s">
        <v>2931</v>
      </c>
      <c r="G364">
        <f>'Assessment Questions'!J364</f>
        <v>5</v>
      </c>
      <c r="H364">
        <f t="shared" si="127"/>
        <v>0</v>
      </c>
      <c r="I364">
        <f t="shared" si="128"/>
        <v>0</v>
      </c>
      <c r="J364">
        <f t="shared" si="129"/>
        <v>5</v>
      </c>
      <c r="K364">
        <f t="shared" si="130"/>
        <v>5</v>
      </c>
      <c r="L364" t="str">
        <f t="shared" si="131"/>
        <v>Critical</v>
      </c>
      <c r="M364" t="s">
        <v>1051</v>
      </c>
      <c r="N364" t="s">
        <v>1052</v>
      </c>
      <c r="O364" t="s">
        <v>1053</v>
      </c>
      <c r="P364" t="s">
        <v>1054</v>
      </c>
      <c r="Q364" t="s">
        <v>1055</v>
      </c>
      <c r="R364" t="s">
        <v>1056</v>
      </c>
      <c r="S364" t="s">
        <v>2831</v>
      </c>
      <c r="T364">
        <f>'Assessment Questions'!W364</f>
        <v>0</v>
      </c>
      <c r="U364">
        <f>'Assessment Questions'!X364</f>
        <v>0</v>
      </c>
      <c r="V364" t="str">
        <f>'Assessment Questions'!Y364</f>
        <v>Use the recommended action generated by the model; validate with domain owner during real assessment.</v>
      </c>
      <c r="W364">
        <v>5</v>
      </c>
      <c r="X364">
        <v>5</v>
      </c>
      <c r="Y364">
        <v>5</v>
      </c>
      <c r="Z364">
        <f>'Assessment Questions'!AC364</f>
        <v>0</v>
      </c>
      <c r="AB364">
        <f t="shared" si="146"/>
        <v>0</v>
      </c>
      <c r="AC364">
        <f t="shared" si="147"/>
        <v>0</v>
      </c>
      <c r="AD364">
        <f t="shared" si="134"/>
        <v>0</v>
      </c>
      <c r="AE364">
        <f t="shared" si="148"/>
        <v>0</v>
      </c>
      <c r="AF364">
        <f t="shared" si="136"/>
        <v>5</v>
      </c>
      <c r="AG364">
        <f t="shared" si="149"/>
        <v>0</v>
      </c>
      <c r="AH364">
        <f>'Assessment Questions'!AK364</f>
        <v>0</v>
      </c>
      <c r="AI364">
        <f>'Assessment Questions'!AL364</f>
        <v>0</v>
      </c>
      <c r="AJ364">
        <f>IF(OR($H364="",$H364="N/A"),"",IF($AH364="",VLOOKUP('Company Profile'!$B$40,_CONFIG_Model_Settings!$A$5:$B$8,2,FALSE),IFERROR(VLOOKUP($AH364,_CONFIG_Model_Settings!$A$5:$B$8,2,FALSE),0.9)))</f>
        <v>0.9</v>
      </c>
      <c r="AK364">
        <f>IF(OR($H364="",$H364="N/A"),"",IF($AI364="",VLOOKUP('Company Profile'!$B$41,_CONFIG_Model_Settings!$A$5:$B$8,2,FALSE),IFERROR(VLOOKUP($AI364,_CONFIG_Model_Settings!$A$5:$B$8,2,FALSE),0.9)))</f>
        <v>0.9</v>
      </c>
      <c r="AL364">
        <f t="shared" si="138"/>
        <v>0</v>
      </c>
      <c r="AM364">
        <f t="shared" si="139"/>
        <v>0</v>
      </c>
      <c r="AN364">
        <f>IFERROR(MIN(5,MAX(0,(SUMIFS(_REF_Model_Content!$D$1:$D$174,_REF_Model_Content!$A$1:$A$174,PV_Canonical_Industry,_REF_Model_Content!$B$1:$B$174,"Data BI AI"))+IFERROR(VLOOKUP('Company Profile'!$B$35,_CONFIG_Model_Settings!$A$11:$B$13,2,0),0))),"")</f>
        <v>0</v>
      </c>
      <c r="AO364">
        <f t="shared" si="140"/>
        <v>0</v>
      </c>
      <c r="AP364">
        <f>IFERROR(SUMIFS(_REF_Model_Content!$E$1:$E$174,_REF_Model_Content!$A$1:$A$174,PV_Canonical_Industry,_REF_Model_Content!$B$1:$B$174,"Data BI AI"),1)</f>
        <v>0</v>
      </c>
      <c r="AQ364">
        <f t="shared" si="141"/>
        <v>0</v>
      </c>
      <c r="AR364" t="str">
        <f t="shared" si="142"/>
        <v>Within target</v>
      </c>
      <c r="AS364">
        <f t="shared" si="143"/>
        <v>0</v>
      </c>
      <c r="AT364">
        <f t="shared" si="144"/>
        <v>0.9</v>
      </c>
      <c r="AU364">
        <f>'Assessment Questions'!AX364</f>
        <v>0</v>
      </c>
      <c r="AV364">
        <f t="shared" si="145"/>
        <v>0.9</v>
      </c>
      <c r="AW364" t="s">
        <v>2824</v>
      </c>
      <c r="AX364" t="s">
        <v>2824</v>
      </c>
      <c r="AY364">
        <v>23</v>
      </c>
      <c r="AZ364">
        <v>364</v>
      </c>
    </row>
    <row r="365" spans="1:52">
      <c r="A365" t="s">
        <v>2932</v>
      </c>
      <c r="B365" t="s">
        <v>2855</v>
      </c>
      <c r="C365" t="s">
        <v>2933</v>
      </c>
      <c r="D365" t="s">
        <v>2828</v>
      </c>
      <c r="E365" t="s">
        <v>2829</v>
      </c>
      <c r="F365" t="s">
        <v>2934</v>
      </c>
      <c r="G365">
        <f>'Assessment Questions'!J365</f>
        <v>5</v>
      </c>
      <c r="H365">
        <f t="shared" si="127"/>
        <v>0</v>
      </c>
      <c r="I365">
        <f t="shared" si="128"/>
        <v>0</v>
      </c>
      <c r="J365">
        <f t="shared" si="129"/>
        <v>5</v>
      </c>
      <c r="K365">
        <f t="shared" si="130"/>
        <v>5</v>
      </c>
      <c r="L365" t="str">
        <f t="shared" si="131"/>
        <v>Critical</v>
      </c>
      <c r="M365" t="s">
        <v>1051</v>
      </c>
      <c r="N365" t="s">
        <v>1052</v>
      </c>
      <c r="O365" t="s">
        <v>1053</v>
      </c>
      <c r="P365" t="s">
        <v>1054</v>
      </c>
      <c r="Q365" t="s">
        <v>1055</v>
      </c>
      <c r="R365" t="s">
        <v>1056</v>
      </c>
      <c r="S365" t="s">
        <v>2831</v>
      </c>
      <c r="T365">
        <f>'Assessment Questions'!W365</f>
        <v>0</v>
      </c>
      <c r="U365">
        <f>'Assessment Questions'!X365</f>
        <v>0</v>
      </c>
      <c r="V365" t="str">
        <f>'Assessment Questions'!Y365</f>
        <v>Use the recommended action generated by the model; validate with domain owner during real assessment.</v>
      </c>
      <c r="W365">
        <v>5</v>
      </c>
      <c r="X365">
        <v>5</v>
      </c>
      <c r="Y365">
        <v>5</v>
      </c>
      <c r="Z365">
        <f>'Assessment Questions'!AC365</f>
        <v>0</v>
      </c>
      <c r="AB365">
        <f t="shared" si="146"/>
        <v>0</v>
      </c>
      <c r="AC365">
        <f t="shared" si="147"/>
        <v>0</v>
      </c>
      <c r="AD365">
        <f t="shared" si="134"/>
        <v>0</v>
      </c>
      <c r="AE365">
        <f t="shared" si="148"/>
        <v>0</v>
      </c>
      <c r="AF365">
        <f t="shared" si="136"/>
        <v>5</v>
      </c>
      <c r="AG365">
        <f t="shared" si="149"/>
        <v>0</v>
      </c>
      <c r="AH365">
        <f>'Assessment Questions'!AK365</f>
        <v>0</v>
      </c>
      <c r="AI365">
        <f>'Assessment Questions'!AL365</f>
        <v>0</v>
      </c>
      <c r="AJ365">
        <f>IF(OR($H365="",$H365="N/A"),"",IF($AH365="",VLOOKUP('Company Profile'!$B$40,_CONFIG_Model_Settings!$A$5:$B$8,2,FALSE),IFERROR(VLOOKUP($AH365,_CONFIG_Model_Settings!$A$5:$B$8,2,FALSE),0.9)))</f>
        <v>0.9</v>
      </c>
      <c r="AK365">
        <f>IF(OR($H365="",$H365="N/A"),"",IF($AI365="",VLOOKUP('Company Profile'!$B$41,_CONFIG_Model_Settings!$A$5:$B$8,2,FALSE),IFERROR(VLOOKUP($AI365,_CONFIG_Model_Settings!$A$5:$B$8,2,FALSE),0.9)))</f>
        <v>0.9</v>
      </c>
      <c r="AL365">
        <f t="shared" si="138"/>
        <v>0</v>
      </c>
      <c r="AM365">
        <f t="shared" si="139"/>
        <v>0</v>
      </c>
      <c r="AN365">
        <f>IFERROR(MIN(5,MAX(0,(SUMIFS(_REF_Model_Content!$D$1:$D$174,_REF_Model_Content!$A$1:$A$174,PV_Canonical_Industry,_REF_Model_Content!$B$1:$B$174,"Data BI AI"))+IFERROR(VLOOKUP('Company Profile'!$B$35,_CONFIG_Model_Settings!$A$11:$B$13,2,0),0))),"")</f>
        <v>0</v>
      </c>
      <c r="AO365">
        <f t="shared" si="140"/>
        <v>0</v>
      </c>
      <c r="AP365">
        <f>IFERROR(SUMIFS(_REF_Model_Content!$E$1:$E$174,_REF_Model_Content!$A$1:$A$174,PV_Canonical_Industry,_REF_Model_Content!$B$1:$B$174,"Data BI AI"),1)</f>
        <v>0</v>
      </c>
      <c r="AQ365">
        <f t="shared" si="141"/>
        <v>0</v>
      </c>
      <c r="AR365" t="str">
        <f t="shared" si="142"/>
        <v>Within target</v>
      </c>
      <c r="AS365">
        <f t="shared" si="143"/>
        <v>0</v>
      </c>
      <c r="AT365">
        <f t="shared" si="144"/>
        <v>0.9</v>
      </c>
      <c r="AU365">
        <f>'Assessment Questions'!AX365</f>
        <v>0</v>
      </c>
      <c r="AV365">
        <f t="shared" si="145"/>
        <v>0.9</v>
      </c>
      <c r="AW365" t="s">
        <v>2824</v>
      </c>
      <c r="AX365" t="s">
        <v>2824</v>
      </c>
      <c r="AY365">
        <v>24</v>
      </c>
      <c r="AZ365">
        <v>365</v>
      </c>
    </row>
    <row r="366" spans="1:52">
      <c r="A366" t="s">
        <v>2935</v>
      </c>
      <c r="B366" t="s">
        <v>2855</v>
      </c>
      <c r="C366" t="s">
        <v>2936</v>
      </c>
      <c r="D366" t="s">
        <v>2828</v>
      </c>
      <c r="E366" t="s">
        <v>2829</v>
      </c>
      <c r="F366" t="s">
        <v>2937</v>
      </c>
      <c r="G366">
        <f>'Assessment Questions'!J366</f>
        <v>4</v>
      </c>
      <c r="H366">
        <f t="shared" si="127"/>
        <v>0</v>
      </c>
      <c r="I366">
        <f t="shared" si="128"/>
        <v>0</v>
      </c>
      <c r="J366">
        <f t="shared" si="129"/>
        <v>4</v>
      </c>
      <c r="K366">
        <f t="shared" si="130"/>
        <v>4</v>
      </c>
      <c r="L366" t="str">
        <f t="shared" si="131"/>
        <v>Critical</v>
      </c>
      <c r="M366" t="s">
        <v>2938</v>
      </c>
      <c r="N366" t="s">
        <v>2939</v>
      </c>
      <c r="O366" t="s">
        <v>2940</v>
      </c>
      <c r="P366" t="s">
        <v>2941</v>
      </c>
      <c r="Q366" t="s">
        <v>2942</v>
      </c>
      <c r="R366" t="s">
        <v>2943</v>
      </c>
      <c r="S366" t="s">
        <v>2831</v>
      </c>
      <c r="T366">
        <f>'Assessment Questions'!W366</f>
        <v>0</v>
      </c>
      <c r="U366">
        <f>'Assessment Questions'!X366</f>
        <v>0</v>
      </c>
      <c r="V366" t="str">
        <f>'Assessment Questions'!Y366</f>
        <v>Use the recommended action generated by the model; validate with domain owner during real assessment.</v>
      </c>
      <c r="W366">
        <v>5</v>
      </c>
      <c r="X366">
        <v>5</v>
      </c>
      <c r="Y366">
        <v>5</v>
      </c>
      <c r="Z366">
        <f>'Assessment Questions'!AC366</f>
        <v>0</v>
      </c>
      <c r="AB366">
        <f t="shared" si="146"/>
        <v>0</v>
      </c>
      <c r="AC366">
        <f t="shared" si="147"/>
        <v>0</v>
      </c>
      <c r="AD366">
        <f t="shared" si="134"/>
        <v>0</v>
      </c>
      <c r="AE366">
        <f t="shared" si="148"/>
        <v>0</v>
      </c>
      <c r="AF366">
        <f t="shared" si="136"/>
        <v>5</v>
      </c>
      <c r="AG366">
        <f t="shared" si="149"/>
        <v>0</v>
      </c>
      <c r="AH366">
        <f>'Assessment Questions'!AK366</f>
        <v>0</v>
      </c>
      <c r="AI366">
        <f>'Assessment Questions'!AL366</f>
        <v>0</v>
      </c>
      <c r="AJ366">
        <f>IF(OR($H366="",$H366="N/A"),"",IF($AH366="",VLOOKUP('Company Profile'!$B$40,_CONFIG_Model_Settings!$A$5:$B$8,2,FALSE),IFERROR(VLOOKUP($AH366,_CONFIG_Model_Settings!$A$5:$B$8,2,FALSE),0.9)))</f>
        <v>0.9</v>
      </c>
      <c r="AK366">
        <f>IF(OR($H366="",$H366="N/A"),"",IF($AI366="",VLOOKUP('Company Profile'!$B$41,_CONFIG_Model_Settings!$A$5:$B$8,2,FALSE),IFERROR(VLOOKUP($AI366,_CONFIG_Model_Settings!$A$5:$B$8,2,FALSE),0.9)))</f>
        <v>0.9</v>
      </c>
      <c r="AL366">
        <f t="shared" si="138"/>
        <v>0</v>
      </c>
      <c r="AM366">
        <f t="shared" si="139"/>
        <v>0</v>
      </c>
      <c r="AN366">
        <f>IFERROR(MIN(5,MAX(0,(SUMIFS(_REF_Model_Content!$D$1:$D$174,_REF_Model_Content!$A$1:$A$174,PV_Canonical_Industry,_REF_Model_Content!$B$1:$B$174,"Data BI AI"))+IFERROR(VLOOKUP('Company Profile'!$B$35,_CONFIG_Model_Settings!$A$11:$B$13,2,0),0))),"")</f>
        <v>0</v>
      </c>
      <c r="AO366">
        <f t="shared" si="140"/>
        <v>0</v>
      </c>
      <c r="AP366">
        <f>IFERROR(SUMIFS(_REF_Model_Content!$E$1:$E$174,_REF_Model_Content!$A$1:$A$174,PV_Canonical_Industry,_REF_Model_Content!$B$1:$B$174,"Data BI AI"),1)</f>
        <v>0</v>
      </c>
      <c r="AQ366">
        <f t="shared" si="141"/>
        <v>0</v>
      </c>
      <c r="AR366" t="str">
        <f t="shared" si="142"/>
        <v>Within target</v>
      </c>
      <c r="AS366">
        <f t="shared" si="143"/>
        <v>0</v>
      </c>
      <c r="AT366">
        <f t="shared" si="144"/>
        <v>0.9</v>
      </c>
      <c r="AU366">
        <f>'Assessment Questions'!AX366</f>
        <v>0</v>
      </c>
      <c r="AV366">
        <f t="shared" si="145"/>
        <v>0.9</v>
      </c>
      <c r="AW366" t="s">
        <v>2824</v>
      </c>
      <c r="AX366" t="s">
        <v>2824</v>
      </c>
      <c r="AY366">
        <v>25</v>
      </c>
      <c r="AZ366">
        <v>366</v>
      </c>
    </row>
    <row r="367" spans="1:52">
      <c r="A367" t="s">
        <v>2944</v>
      </c>
      <c r="B367" t="s">
        <v>2855</v>
      </c>
      <c r="C367" t="s">
        <v>2945</v>
      </c>
      <c r="D367" t="s">
        <v>2828</v>
      </c>
      <c r="E367" t="s">
        <v>2829</v>
      </c>
      <c r="F367" t="s">
        <v>2946</v>
      </c>
      <c r="G367">
        <f>'Assessment Questions'!J367</f>
        <v>4</v>
      </c>
      <c r="H367">
        <f t="shared" si="127"/>
        <v>0</v>
      </c>
      <c r="I367">
        <f t="shared" si="128"/>
        <v>0</v>
      </c>
      <c r="J367">
        <f t="shared" si="129"/>
        <v>4</v>
      </c>
      <c r="K367">
        <f t="shared" si="130"/>
        <v>4</v>
      </c>
      <c r="L367" t="str">
        <f t="shared" si="131"/>
        <v>Critical</v>
      </c>
      <c r="M367" t="s">
        <v>1202</v>
      </c>
      <c r="N367" t="s">
        <v>1203</v>
      </c>
      <c r="O367" t="s">
        <v>1204</v>
      </c>
      <c r="P367" t="s">
        <v>1205</v>
      </c>
      <c r="Q367" t="s">
        <v>1206</v>
      </c>
      <c r="R367" t="s">
        <v>1207</v>
      </c>
      <c r="S367" t="s">
        <v>2831</v>
      </c>
      <c r="T367">
        <f>'Assessment Questions'!W367</f>
        <v>0</v>
      </c>
      <c r="U367">
        <f>'Assessment Questions'!X367</f>
        <v>0</v>
      </c>
      <c r="V367" t="str">
        <f>'Assessment Questions'!Y367</f>
        <v>Use the recommended action generated by the model; validate with domain owner during real assessment.</v>
      </c>
      <c r="W367">
        <v>5</v>
      </c>
      <c r="X367">
        <v>5</v>
      </c>
      <c r="Y367">
        <v>5</v>
      </c>
      <c r="Z367">
        <f>'Assessment Questions'!AC367</f>
        <v>0</v>
      </c>
      <c r="AB367">
        <f t="shared" si="146"/>
        <v>0</v>
      </c>
      <c r="AC367">
        <f t="shared" si="147"/>
        <v>0</v>
      </c>
      <c r="AD367">
        <f t="shared" si="134"/>
        <v>0</v>
      </c>
      <c r="AE367">
        <f t="shared" si="148"/>
        <v>0</v>
      </c>
      <c r="AF367">
        <f t="shared" si="136"/>
        <v>5</v>
      </c>
      <c r="AG367">
        <f t="shared" si="149"/>
        <v>0</v>
      </c>
      <c r="AH367">
        <f>'Assessment Questions'!AK367</f>
        <v>0</v>
      </c>
      <c r="AI367">
        <f>'Assessment Questions'!AL367</f>
        <v>0</v>
      </c>
      <c r="AJ367">
        <f>IF(OR($H367="",$H367="N/A"),"",IF($AH367="",VLOOKUP('Company Profile'!$B$40,_CONFIG_Model_Settings!$A$5:$B$8,2,FALSE),IFERROR(VLOOKUP($AH367,_CONFIG_Model_Settings!$A$5:$B$8,2,FALSE),0.9)))</f>
        <v>0.9</v>
      </c>
      <c r="AK367">
        <f>IF(OR($H367="",$H367="N/A"),"",IF($AI367="",VLOOKUP('Company Profile'!$B$41,_CONFIG_Model_Settings!$A$5:$B$8,2,FALSE),IFERROR(VLOOKUP($AI367,_CONFIG_Model_Settings!$A$5:$B$8,2,FALSE),0.9)))</f>
        <v>0.9</v>
      </c>
      <c r="AL367">
        <f t="shared" si="138"/>
        <v>0</v>
      </c>
      <c r="AM367">
        <f t="shared" si="139"/>
        <v>0</v>
      </c>
      <c r="AN367">
        <f>IFERROR(MIN(5,MAX(0,(SUMIFS(_REF_Model_Content!$D$1:$D$174,_REF_Model_Content!$A$1:$A$174,PV_Canonical_Industry,_REF_Model_Content!$B$1:$B$174,"Data BI AI"))+IFERROR(VLOOKUP('Company Profile'!$B$35,_CONFIG_Model_Settings!$A$11:$B$13,2,0),0))),"")</f>
        <v>0</v>
      </c>
      <c r="AO367">
        <f t="shared" si="140"/>
        <v>0</v>
      </c>
      <c r="AP367">
        <f>IFERROR(SUMIFS(_REF_Model_Content!$E$1:$E$174,_REF_Model_Content!$A$1:$A$174,PV_Canonical_Industry,_REF_Model_Content!$B$1:$B$174,"Data BI AI"),1)</f>
        <v>0</v>
      </c>
      <c r="AQ367">
        <f t="shared" si="141"/>
        <v>0</v>
      </c>
      <c r="AR367" t="str">
        <f t="shared" si="142"/>
        <v>Within target</v>
      </c>
      <c r="AS367">
        <f t="shared" si="143"/>
        <v>0</v>
      </c>
      <c r="AT367">
        <f t="shared" si="144"/>
        <v>0.9</v>
      </c>
      <c r="AU367">
        <f>'Assessment Questions'!AX367</f>
        <v>0</v>
      </c>
      <c r="AV367">
        <f t="shared" si="145"/>
        <v>0.9</v>
      </c>
      <c r="AW367" t="s">
        <v>2824</v>
      </c>
      <c r="AX367" t="s">
        <v>2824</v>
      </c>
      <c r="AY367">
        <v>26</v>
      </c>
      <c r="AZ367">
        <v>367</v>
      </c>
    </row>
    <row r="368" spans="1:52">
      <c r="A368" t="s">
        <v>2947</v>
      </c>
      <c r="B368" t="s">
        <v>2859</v>
      </c>
      <c r="C368" t="s">
        <v>2948</v>
      </c>
      <c r="D368" t="s">
        <v>2828</v>
      </c>
      <c r="E368" t="s">
        <v>2829</v>
      </c>
      <c r="F368" t="s">
        <v>2949</v>
      </c>
      <c r="G368">
        <f>'Assessment Questions'!J368</f>
        <v>4</v>
      </c>
      <c r="H368">
        <f t="shared" si="127"/>
        <v>0</v>
      </c>
      <c r="I368">
        <f t="shared" si="128"/>
        <v>0</v>
      </c>
      <c r="J368">
        <f t="shared" si="129"/>
        <v>4</v>
      </c>
      <c r="K368">
        <f t="shared" si="130"/>
        <v>4</v>
      </c>
      <c r="L368" t="str">
        <f t="shared" si="131"/>
        <v>Critical</v>
      </c>
      <c r="M368" t="s">
        <v>2950</v>
      </c>
      <c r="N368" t="s">
        <v>2951</v>
      </c>
      <c r="O368" t="s">
        <v>2952</v>
      </c>
      <c r="P368" t="s">
        <v>2953</v>
      </c>
      <c r="Q368" t="s">
        <v>2954</v>
      </c>
      <c r="R368" t="s">
        <v>2955</v>
      </c>
      <c r="S368" t="s">
        <v>2831</v>
      </c>
      <c r="T368">
        <f>'Assessment Questions'!W368</f>
        <v>0</v>
      </c>
      <c r="U368">
        <f>'Assessment Questions'!X368</f>
        <v>0</v>
      </c>
      <c r="V368" t="str">
        <f>'Assessment Questions'!Y368</f>
        <v>Use the recommended action generated by the model; validate with domain owner during real assessment.</v>
      </c>
      <c r="W368">
        <v>5</v>
      </c>
      <c r="X368">
        <v>5</v>
      </c>
      <c r="Y368">
        <v>5</v>
      </c>
      <c r="Z368">
        <f>'Assessment Questions'!AC368</f>
        <v>0</v>
      </c>
      <c r="AB368">
        <f t="shared" si="146"/>
        <v>0</v>
      </c>
      <c r="AC368">
        <f t="shared" si="147"/>
        <v>0</v>
      </c>
      <c r="AD368">
        <f t="shared" si="134"/>
        <v>0</v>
      </c>
      <c r="AE368">
        <f t="shared" si="148"/>
        <v>0</v>
      </c>
      <c r="AF368">
        <f t="shared" si="136"/>
        <v>5</v>
      </c>
      <c r="AG368">
        <f t="shared" si="149"/>
        <v>0</v>
      </c>
      <c r="AH368">
        <f>'Assessment Questions'!AK368</f>
        <v>0</v>
      </c>
      <c r="AI368">
        <f>'Assessment Questions'!AL368</f>
        <v>0</v>
      </c>
      <c r="AJ368">
        <f>IF(OR($H368="",$H368="N/A"),"",IF($AH368="",VLOOKUP('Company Profile'!$B$40,_CONFIG_Model_Settings!$A$5:$B$8,2,FALSE),IFERROR(VLOOKUP($AH368,_CONFIG_Model_Settings!$A$5:$B$8,2,FALSE),0.9)))</f>
        <v>0.9</v>
      </c>
      <c r="AK368">
        <f>IF(OR($H368="",$H368="N/A"),"",IF($AI368="",VLOOKUP('Company Profile'!$B$41,_CONFIG_Model_Settings!$A$5:$B$8,2,FALSE),IFERROR(VLOOKUP($AI368,_CONFIG_Model_Settings!$A$5:$B$8,2,FALSE),0.9)))</f>
        <v>0.9</v>
      </c>
      <c r="AL368">
        <f t="shared" si="138"/>
        <v>0</v>
      </c>
      <c r="AM368">
        <f t="shared" si="139"/>
        <v>0</v>
      </c>
      <c r="AN368">
        <f>IFERROR(MIN(5,MAX(0,(SUMIFS(_REF_Model_Content!$D$1:$D$174,_REF_Model_Content!$A$1:$A$174,PV_Canonical_Industry,_REF_Model_Content!$B$1:$B$174,"Data BI AI"))+IFERROR(VLOOKUP('Company Profile'!$B$35,_CONFIG_Model_Settings!$A$11:$B$13,2,0),0))),"")</f>
        <v>0</v>
      </c>
      <c r="AO368">
        <f t="shared" si="140"/>
        <v>0</v>
      </c>
      <c r="AP368">
        <f>IFERROR(SUMIFS(_REF_Model_Content!$E$1:$E$174,_REF_Model_Content!$A$1:$A$174,PV_Canonical_Industry,_REF_Model_Content!$B$1:$B$174,"Data BI AI"),1)</f>
        <v>0</v>
      </c>
      <c r="AQ368">
        <f t="shared" si="141"/>
        <v>0</v>
      </c>
      <c r="AR368" t="str">
        <f t="shared" si="142"/>
        <v>Within target</v>
      </c>
      <c r="AS368">
        <f t="shared" si="143"/>
        <v>0</v>
      </c>
      <c r="AT368">
        <f t="shared" si="144"/>
        <v>0.9</v>
      </c>
      <c r="AU368">
        <f>'Assessment Questions'!AX368</f>
        <v>0</v>
      </c>
      <c r="AV368">
        <f t="shared" si="145"/>
        <v>0.9</v>
      </c>
      <c r="AW368" t="s">
        <v>2824</v>
      </c>
      <c r="AX368" t="s">
        <v>2824</v>
      </c>
      <c r="AY368">
        <v>27</v>
      </c>
      <c r="AZ368">
        <v>368</v>
      </c>
    </row>
    <row r="369" spans="1:52">
      <c r="A369" t="s">
        <v>2956</v>
      </c>
      <c r="B369" t="s">
        <v>2859</v>
      </c>
      <c r="C369" t="s">
        <v>2957</v>
      </c>
      <c r="D369" t="s">
        <v>2828</v>
      </c>
      <c r="E369" t="s">
        <v>2829</v>
      </c>
      <c r="F369" t="s">
        <v>2958</v>
      </c>
      <c r="G369">
        <f>'Assessment Questions'!J369</f>
        <v>4</v>
      </c>
      <c r="H369">
        <f t="shared" si="127"/>
        <v>0</v>
      </c>
      <c r="I369">
        <f t="shared" si="128"/>
        <v>0</v>
      </c>
      <c r="J369">
        <f t="shared" si="129"/>
        <v>4</v>
      </c>
      <c r="K369">
        <f t="shared" si="130"/>
        <v>4</v>
      </c>
      <c r="L369" t="str">
        <f t="shared" si="131"/>
        <v>Critical</v>
      </c>
      <c r="M369" t="s">
        <v>2959</v>
      </c>
      <c r="N369" t="s">
        <v>2960</v>
      </c>
      <c r="O369" t="s">
        <v>2961</v>
      </c>
      <c r="P369" t="s">
        <v>2962</v>
      </c>
      <c r="Q369" t="s">
        <v>2963</v>
      </c>
      <c r="R369" t="s">
        <v>2964</v>
      </c>
      <c r="S369" t="s">
        <v>2831</v>
      </c>
      <c r="T369">
        <f>'Assessment Questions'!W369</f>
        <v>0</v>
      </c>
      <c r="U369">
        <f>'Assessment Questions'!X369</f>
        <v>0</v>
      </c>
      <c r="V369" t="str">
        <f>'Assessment Questions'!Y369</f>
        <v>Use the recommended action generated by the model; validate with domain owner during real assessment.</v>
      </c>
      <c r="W369">
        <v>5</v>
      </c>
      <c r="X369">
        <v>5</v>
      </c>
      <c r="Y369">
        <v>5</v>
      </c>
      <c r="Z369">
        <f>'Assessment Questions'!AC369</f>
        <v>0</v>
      </c>
      <c r="AB369">
        <f t="shared" si="146"/>
        <v>0</v>
      </c>
      <c r="AC369">
        <f t="shared" si="147"/>
        <v>0</v>
      </c>
      <c r="AD369">
        <f t="shared" si="134"/>
        <v>0</v>
      </c>
      <c r="AE369">
        <f t="shared" si="148"/>
        <v>0</v>
      </c>
      <c r="AF369">
        <f t="shared" si="136"/>
        <v>5</v>
      </c>
      <c r="AG369">
        <f t="shared" si="149"/>
        <v>0</v>
      </c>
      <c r="AH369">
        <f>'Assessment Questions'!AK369</f>
        <v>0</v>
      </c>
      <c r="AI369">
        <f>'Assessment Questions'!AL369</f>
        <v>0</v>
      </c>
      <c r="AJ369">
        <f>IF(OR($H369="",$H369="N/A"),"",IF($AH369="",VLOOKUP('Company Profile'!$B$40,_CONFIG_Model_Settings!$A$5:$B$8,2,FALSE),IFERROR(VLOOKUP($AH369,_CONFIG_Model_Settings!$A$5:$B$8,2,FALSE),0.9)))</f>
        <v>0.9</v>
      </c>
      <c r="AK369">
        <f>IF(OR($H369="",$H369="N/A"),"",IF($AI369="",VLOOKUP('Company Profile'!$B$41,_CONFIG_Model_Settings!$A$5:$B$8,2,FALSE),IFERROR(VLOOKUP($AI369,_CONFIG_Model_Settings!$A$5:$B$8,2,FALSE),0.9)))</f>
        <v>0.9</v>
      </c>
      <c r="AL369">
        <f t="shared" si="138"/>
        <v>0</v>
      </c>
      <c r="AM369">
        <f t="shared" si="139"/>
        <v>0</v>
      </c>
      <c r="AN369">
        <f>IFERROR(MIN(5,MAX(0,(SUMIFS(_REF_Model_Content!$D$1:$D$174,_REF_Model_Content!$A$1:$A$174,PV_Canonical_Industry,_REF_Model_Content!$B$1:$B$174,"Data BI AI"))+IFERROR(VLOOKUP('Company Profile'!$B$35,_CONFIG_Model_Settings!$A$11:$B$13,2,0),0))),"")</f>
        <v>0</v>
      </c>
      <c r="AO369">
        <f t="shared" si="140"/>
        <v>0</v>
      </c>
      <c r="AP369">
        <f>IFERROR(SUMIFS(_REF_Model_Content!$E$1:$E$174,_REF_Model_Content!$A$1:$A$174,PV_Canonical_Industry,_REF_Model_Content!$B$1:$B$174,"Data BI AI"),1)</f>
        <v>0</v>
      </c>
      <c r="AQ369">
        <f t="shared" si="141"/>
        <v>0</v>
      </c>
      <c r="AR369" t="str">
        <f t="shared" si="142"/>
        <v>Within target</v>
      </c>
      <c r="AS369">
        <f t="shared" si="143"/>
        <v>0</v>
      </c>
      <c r="AT369">
        <f t="shared" si="144"/>
        <v>0.9</v>
      </c>
      <c r="AU369">
        <f>'Assessment Questions'!AX369</f>
        <v>0</v>
      </c>
      <c r="AV369">
        <f t="shared" si="145"/>
        <v>0.9</v>
      </c>
      <c r="AW369" t="s">
        <v>2824</v>
      </c>
      <c r="AX369" t="s">
        <v>2824</v>
      </c>
      <c r="AY369">
        <v>28</v>
      </c>
      <c r="AZ369">
        <v>369</v>
      </c>
    </row>
    <row r="370" spans="1:52">
      <c r="A370" t="s">
        <v>2965</v>
      </c>
      <c r="B370" t="s">
        <v>2859</v>
      </c>
      <c r="C370" t="s">
        <v>2966</v>
      </c>
      <c r="D370" t="s">
        <v>2828</v>
      </c>
      <c r="E370" t="s">
        <v>2829</v>
      </c>
      <c r="F370" t="s">
        <v>2967</v>
      </c>
      <c r="G370">
        <f>'Assessment Questions'!J370</f>
        <v>4</v>
      </c>
      <c r="H370">
        <f t="shared" si="127"/>
        <v>0</v>
      </c>
      <c r="I370">
        <f t="shared" si="128"/>
        <v>0</v>
      </c>
      <c r="J370">
        <f t="shared" si="129"/>
        <v>4</v>
      </c>
      <c r="K370">
        <f t="shared" si="130"/>
        <v>4</v>
      </c>
      <c r="L370" t="str">
        <f t="shared" si="131"/>
        <v>Critical</v>
      </c>
      <c r="M370" t="s">
        <v>2968</v>
      </c>
      <c r="N370" t="s">
        <v>2969</v>
      </c>
      <c r="O370" t="s">
        <v>2970</v>
      </c>
      <c r="P370" t="s">
        <v>2971</v>
      </c>
      <c r="Q370" t="s">
        <v>2972</v>
      </c>
      <c r="R370" t="s">
        <v>2973</v>
      </c>
      <c r="S370" t="s">
        <v>2831</v>
      </c>
      <c r="T370">
        <f>'Assessment Questions'!W370</f>
        <v>0</v>
      </c>
      <c r="U370">
        <f>'Assessment Questions'!X370</f>
        <v>0</v>
      </c>
      <c r="V370" t="str">
        <f>'Assessment Questions'!Y370</f>
        <v>Use the recommended action generated by the model; validate with domain owner during real assessment.</v>
      </c>
      <c r="W370">
        <v>5</v>
      </c>
      <c r="X370">
        <v>5</v>
      </c>
      <c r="Y370">
        <v>5</v>
      </c>
      <c r="Z370">
        <f>'Assessment Questions'!AC370</f>
        <v>0</v>
      </c>
      <c r="AB370">
        <f t="shared" si="146"/>
        <v>0</v>
      </c>
      <c r="AC370">
        <f t="shared" si="147"/>
        <v>0</v>
      </c>
      <c r="AD370">
        <f t="shared" si="134"/>
        <v>0</v>
      </c>
      <c r="AE370">
        <f t="shared" si="148"/>
        <v>0</v>
      </c>
      <c r="AF370">
        <f t="shared" si="136"/>
        <v>5</v>
      </c>
      <c r="AG370">
        <f t="shared" si="149"/>
        <v>0</v>
      </c>
      <c r="AH370">
        <f>'Assessment Questions'!AK370</f>
        <v>0</v>
      </c>
      <c r="AI370">
        <f>'Assessment Questions'!AL370</f>
        <v>0</v>
      </c>
      <c r="AJ370">
        <f>IF(OR($H370="",$H370="N/A"),"",IF($AH370="",VLOOKUP('Company Profile'!$B$40,_CONFIG_Model_Settings!$A$5:$B$8,2,FALSE),IFERROR(VLOOKUP($AH370,_CONFIG_Model_Settings!$A$5:$B$8,2,FALSE),0.9)))</f>
        <v>0.9</v>
      </c>
      <c r="AK370">
        <f>IF(OR($H370="",$H370="N/A"),"",IF($AI370="",VLOOKUP('Company Profile'!$B$41,_CONFIG_Model_Settings!$A$5:$B$8,2,FALSE),IFERROR(VLOOKUP($AI370,_CONFIG_Model_Settings!$A$5:$B$8,2,FALSE),0.9)))</f>
        <v>0.9</v>
      </c>
      <c r="AL370">
        <f t="shared" si="138"/>
        <v>0</v>
      </c>
      <c r="AM370">
        <f t="shared" si="139"/>
        <v>0</v>
      </c>
      <c r="AN370">
        <f>IFERROR(MIN(5,MAX(0,(SUMIFS(_REF_Model_Content!$D$1:$D$174,_REF_Model_Content!$A$1:$A$174,PV_Canonical_Industry,_REF_Model_Content!$B$1:$B$174,"Data BI AI"))+IFERROR(VLOOKUP('Company Profile'!$B$35,_CONFIG_Model_Settings!$A$11:$B$13,2,0),0))),"")</f>
        <v>0</v>
      </c>
      <c r="AO370">
        <f t="shared" si="140"/>
        <v>0</v>
      </c>
      <c r="AP370">
        <f>IFERROR(SUMIFS(_REF_Model_Content!$E$1:$E$174,_REF_Model_Content!$A$1:$A$174,PV_Canonical_Industry,_REF_Model_Content!$B$1:$B$174,"Data BI AI"),1)</f>
        <v>0</v>
      </c>
      <c r="AQ370">
        <f t="shared" si="141"/>
        <v>0</v>
      </c>
      <c r="AR370" t="str">
        <f t="shared" si="142"/>
        <v>Within target</v>
      </c>
      <c r="AS370">
        <f t="shared" si="143"/>
        <v>0</v>
      </c>
      <c r="AT370">
        <f t="shared" si="144"/>
        <v>0.9</v>
      </c>
      <c r="AU370">
        <f>'Assessment Questions'!AX370</f>
        <v>0</v>
      </c>
      <c r="AV370">
        <f t="shared" si="145"/>
        <v>0.9</v>
      </c>
      <c r="AW370" t="s">
        <v>2824</v>
      </c>
      <c r="AX370" t="s">
        <v>2824</v>
      </c>
      <c r="AY370">
        <v>29</v>
      </c>
      <c r="AZ370">
        <v>370</v>
      </c>
    </row>
    <row r="371" spans="1:52">
      <c r="A371" t="s">
        <v>2974</v>
      </c>
      <c r="B371" t="s">
        <v>2859</v>
      </c>
      <c r="C371" t="s">
        <v>2975</v>
      </c>
      <c r="D371" t="s">
        <v>2828</v>
      </c>
      <c r="E371" t="s">
        <v>2829</v>
      </c>
      <c r="F371" t="s">
        <v>2976</v>
      </c>
      <c r="G371">
        <f>'Assessment Questions'!J371</f>
        <v>5</v>
      </c>
      <c r="H371">
        <f t="shared" si="127"/>
        <v>0</v>
      </c>
      <c r="I371">
        <f t="shared" si="128"/>
        <v>0</v>
      </c>
      <c r="J371">
        <f t="shared" si="129"/>
        <v>5</v>
      </c>
      <c r="K371">
        <f t="shared" si="130"/>
        <v>5</v>
      </c>
      <c r="L371" t="str">
        <f t="shared" si="131"/>
        <v>Critical</v>
      </c>
      <c r="M371" t="s">
        <v>1051</v>
      </c>
      <c r="N371" t="s">
        <v>1052</v>
      </c>
      <c r="O371" t="s">
        <v>1053</v>
      </c>
      <c r="P371" t="s">
        <v>1054</v>
      </c>
      <c r="Q371" t="s">
        <v>1055</v>
      </c>
      <c r="R371" t="s">
        <v>1056</v>
      </c>
      <c r="S371" t="s">
        <v>2831</v>
      </c>
      <c r="T371">
        <f>'Assessment Questions'!W371</f>
        <v>0</v>
      </c>
      <c r="U371">
        <f>'Assessment Questions'!X371</f>
        <v>0</v>
      </c>
      <c r="V371" t="str">
        <f>'Assessment Questions'!Y371</f>
        <v>Use the recommended action generated by the model; validate with domain owner during real assessment.</v>
      </c>
      <c r="W371">
        <v>5</v>
      </c>
      <c r="X371">
        <v>5</v>
      </c>
      <c r="Y371">
        <v>5</v>
      </c>
      <c r="Z371">
        <f>'Assessment Questions'!AC371</f>
        <v>0</v>
      </c>
      <c r="AB371">
        <f t="shared" si="146"/>
        <v>0</v>
      </c>
      <c r="AC371">
        <f t="shared" si="147"/>
        <v>0</v>
      </c>
      <c r="AD371">
        <f t="shared" si="134"/>
        <v>0</v>
      </c>
      <c r="AE371">
        <f t="shared" si="148"/>
        <v>0</v>
      </c>
      <c r="AF371">
        <f t="shared" si="136"/>
        <v>5</v>
      </c>
      <c r="AG371">
        <f t="shared" si="149"/>
        <v>0</v>
      </c>
      <c r="AH371">
        <f>'Assessment Questions'!AK371</f>
        <v>0</v>
      </c>
      <c r="AI371">
        <f>'Assessment Questions'!AL371</f>
        <v>0</v>
      </c>
      <c r="AJ371">
        <f>IF(OR($H371="",$H371="N/A"),"",IF($AH371="",VLOOKUP('Company Profile'!$B$40,_CONFIG_Model_Settings!$A$5:$B$8,2,FALSE),IFERROR(VLOOKUP($AH371,_CONFIG_Model_Settings!$A$5:$B$8,2,FALSE),0.9)))</f>
        <v>0.9</v>
      </c>
      <c r="AK371">
        <f>IF(OR($H371="",$H371="N/A"),"",IF($AI371="",VLOOKUP('Company Profile'!$B$41,_CONFIG_Model_Settings!$A$5:$B$8,2,FALSE),IFERROR(VLOOKUP($AI371,_CONFIG_Model_Settings!$A$5:$B$8,2,FALSE),0.9)))</f>
        <v>0.9</v>
      </c>
      <c r="AL371">
        <f t="shared" si="138"/>
        <v>0</v>
      </c>
      <c r="AM371">
        <f t="shared" si="139"/>
        <v>0</v>
      </c>
      <c r="AN371">
        <f>IFERROR(MIN(5,MAX(0,(SUMIFS(_REF_Model_Content!$D$1:$D$174,_REF_Model_Content!$A$1:$A$174,PV_Canonical_Industry,_REF_Model_Content!$B$1:$B$174,"Data BI AI"))+IFERROR(VLOOKUP('Company Profile'!$B$35,_CONFIG_Model_Settings!$A$11:$B$13,2,0),0))),"")</f>
        <v>0</v>
      </c>
      <c r="AO371">
        <f t="shared" si="140"/>
        <v>0</v>
      </c>
      <c r="AP371">
        <f>IFERROR(SUMIFS(_REF_Model_Content!$E$1:$E$174,_REF_Model_Content!$A$1:$A$174,PV_Canonical_Industry,_REF_Model_Content!$B$1:$B$174,"Data BI AI"),1)</f>
        <v>0</v>
      </c>
      <c r="AQ371">
        <f t="shared" si="141"/>
        <v>0</v>
      </c>
      <c r="AR371" t="str">
        <f t="shared" si="142"/>
        <v>Within target</v>
      </c>
      <c r="AS371">
        <f t="shared" si="143"/>
        <v>0</v>
      </c>
      <c r="AT371">
        <f t="shared" si="144"/>
        <v>0.9</v>
      </c>
      <c r="AU371">
        <f>'Assessment Questions'!AX371</f>
        <v>0</v>
      </c>
      <c r="AV371">
        <f t="shared" si="145"/>
        <v>0.9</v>
      </c>
      <c r="AW371" t="s">
        <v>2824</v>
      </c>
      <c r="AX371" t="s">
        <v>2824</v>
      </c>
      <c r="AY371">
        <v>30</v>
      </c>
      <c r="AZ371">
        <v>371</v>
      </c>
    </row>
    <row r="372" spans="1:52">
      <c r="A372" t="s">
        <v>2977</v>
      </c>
      <c r="B372" t="s">
        <v>2859</v>
      </c>
      <c r="C372" t="s">
        <v>2978</v>
      </c>
      <c r="D372" t="s">
        <v>2828</v>
      </c>
      <c r="E372" t="s">
        <v>2829</v>
      </c>
      <c r="F372" t="s">
        <v>2979</v>
      </c>
      <c r="G372">
        <f>'Assessment Questions'!J372</f>
        <v>4</v>
      </c>
      <c r="H372">
        <f t="shared" si="127"/>
        <v>0</v>
      </c>
      <c r="I372">
        <f t="shared" si="128"/>
        <v>0</v>
      </c>
      <c r="J372">
        <f t="shared" si="129"/>
        <v>4</v>
      </c>
      <c r="K372">
        <f t="shared" si="130"/>
        <v>4</v>
      </c>
      <c r="L372" t="str">
        <f t="shared" si="131"/>
        <v>Critical</v>
      </c>
      <c r="M372" t="s">
        <v>2980</v>
      </c>
      <c r="N372" t="s">
        <v>2981</v>
      </c>
      <c r="O372" t="s">
        <v>2982</v>
      </c>
      <c r="P372" t="s">
        <v>2983</v>
      </c>
      <c r="Q372" t="s">
        <v>2984</v>
      </c>
      <c r="R372" t="s">
        <v>2985</v>
      </c>
      <c r="S372" t="s">
        <v>2831</v>
      </c>
      <c r="T372">
        <f>'Assessment Questions'!W372</f>
        <v>0</v>
      </c>
      <c r="U372">
        <f>'Assessment Questions'!X372</f>
        <v>0</v>
      </c>
      <c r="V372" t="str">
        <f>'Assessment Questions'!Y372</f>
        <v>Use the recommended action generated by the model; validate with domain owner during real assessment.</v>
      </c>
      <c r="W372">
        <v>5</v>
      </c>
      <c r="X372">
        <v>5</v>
      </c>
      <c r="Y372">
        <v>5</v>
      </c>
      <c r="Z372">
        <f>'Assessment Questions'!AC372</f>
        <v>0</v>
      </c>
      <c r="AB372">
        <f t="shared" si="146"/>
        <v>0</v>
      </c>
      <c r="AC372">
        <f t="shared" si="147"/>
        <v>0</v>
      </c>
      <c r="AD372">
        <f t="shared" si="134"/>
        <v>0</v>
      </c>
      <c r="AE372">
        <f t="shared" si="148"/>
        <v>0</v>
      </c>
      <c r="AF372">
        <f t="shared" si="136"/>
        <v>5</v>
      </c>
      <c r="AG372">
        <f t="shared" si="149"/>
        <v>0</v>
      </c>
      <c r="AH372">
        <f>'Assessment Questions'!AK372</f>
        <v>0</v>
      </c>
      <c r="AI372">
        <f>'Assessment Questions'!AL372</f>
        <v>0</v>
      </c>
      <c r="AJ372">
        <f>IF(OR($H372="",$H372="N/A"),"",IF($AH372="",VLOOKUP('Company Profile'!$B$40,_CONFIG_Model_Settings!$A$5:$B$8,2,FALSE),IFERROR(VLOOKUP($AH372,_CONFIG_Model_Settings!$A$5:$B$8,2,FALSE),0.9)))</f>
        <v>0.9</v>
      </c>
      <c r="AK372">
        <f>IF(OR($H372="",$H372="N/A"),"",IF($AI372="",VLOOKUP('Company Profile'!$B$41,_CONFIG_Model_Settings!$A$5:$B$8,2,FALSE),IFERROR(VLOOKUP($AI372,_CONFIG_Model_Settings!$A$5:$B$8,2,FALSE),0.9)))</f>
        <v>0.9</v>
      </c>
      <c r="AL372">
        <f t="shared" si="138"/>
        <v>0</v>
      </c>
      <c r="AM372">
        <f t="shared" si="139"/>
        <v>0</v>
      </c>
      <c r="AN372">
        <f>IFERROR(MIN(5,MAX(0,(SUMIFS(_REF_Model_Content!$D$1:$D$174,_REF_Model_Content!$A$1:$A$174,PV_Canonical_Industry,_REF_Model_Content!$B$1:$B$174,"Data BI AI"))+IFERROR(VLOOKUP('Company Profile'!$B$35,_CONFIG_Model_Settings!$A$11:$B$13,2,0),0))),"")</f>
        <v>0</v>
      </c>
      <c r="AO372">
        <f t="shared" si="140"/>
        <v>0</v>
      </c>
      <c r="AP372">
        <f>IFERROR(SUMIFS(_REF_Model_Content!$E$1:$E$174,_REF_Model_Content!$A$1:$A$174,PV_Canonical_Industry,_REF_Model_Content!$B$1:$B$174,"Data BI AI"),1)</f>
        <v>0</v>
      </c>
      <c r="AQ372">
        <f t="shared" si="141"/>
        <v>0</v>
      </c>
      <c r="AR372" t="str">
        <f t="shared" si="142"/>
        <v>Within target</v>
      </c>
      <c r="AS372">
        <f t="shared" si="143"/>
        <v>0</v>
      </c>
      <c r="AT372">
        <f t="shared" si="144"/>
        <v>0.9</v>
      </c>
      <c r="AU372">
        <f>'Assessment Questions'!AX372</f>
        <v>0</v>
      </c>
      <c r="AV372">
        <f t="shared" si="145"/>
        <v>0.9</v>
      </c>
      <c r="AW372" t="s">
        <v>2824</v>
      </c>
      <c r="AX372" t="s">
        <v>2824</v>
      </c>
      <c r="AY372">
        <v>31</v>
      </c>
      <c r="AZ372">
        <v>372</v>
      </c>
    </row>
    <row r="373" spans="1:52">
      <c r="A373" t="s">
        <v>2987</v>
      </c>
      <c r="B373" t="s">
        <v>2988</v>
      </c>
      <c r="C373" t="s">
        <v>2989</v>
      </c>
      <c r="D373" t="s">
        <v>2990</v>
      </c>
      <c r="E373" t="s">
        <v>2991</v>
      </c>
      <c r="F373" t="s">
        <v>2992</v>
      </c>
      <c r="G373">
        <f>'Assessment Questions'!J373</f>
        <v>4</v>
      </c>
      <c r="H373">
        <f t="shared" si="127"/>
        <v>0</v>
      </c>
      <c r="I373">
        <f t="shared" si="128"/>
        <v>0</v>
      </c>
      <c r="J373">
        <f t="shared" si="129"/>
        <v>4</v>
      </c>
      <c r="K373">
        <f t="shared" si="130"/>
        <v>4</v>
      </c>
      <c r="L373" t="str">
        <f t="shared" si="131"/>
        <v>Critical</v>
      </c>
      <c r="M373" t="s">
        <v>2993</v>
      </c>
      <c r="N373" t="s">
        <v>2994</v>
      </c>
      <c r="O373" t="s">
        <v>2995</v>
      </c>
      <c r="P373" t="s">
        <v>2996</v>
      </c>
      <c r="Q373" t="s">
        <v>2997</v>
      </c>
      <c r="R373" t="s">
        <v>2998</v>
      </c>
      <c r="S373" t="s">
        <v>2999</v>
      </c>
      <c r="T373">
        <f>'Assessment Questions'!W373</f>
        <v>0</v>
      </c>
      <c r="U373">
        <f>'Assessment Questions'!X373</f>
        <v>0</v>
      </c>
      <c r="V373" t="str">
        <f>'Assessment Questions'!Y373</f>
        <v>Use the recommended action generated by the model; validate with domain owner during real assessment.</v>
      </c>
      <c r="W373">
        <v>5</v>
      </c>
      <c r="X373">
        <v>5</v>
      </c>
      <c r="Y373">
        <v>5</v>
      </c>
      <c r="Z373">
        <f>'Assessment Questions'!AC373</f>
        <v>0</v>
      </c>
      <c r="AA373" t="s">
        <v>2988</v>
      </c>
      <c r="AB373">
        <f t="shared" ref="AB373:AB406" si="150">COUNTIF($B$373:$B$406,$AA373)</f>
        <v>8</v>
      </c>
      <c r="AC373">
        <f t="shared" ref="AC373:AC406" si="151">IFERROR(SUMPRODUCT(($B$373:$B$406=$AA373)*($H$373:$H$406&lt;&gt;"")*($H$373:$H$406&lt;&gt;"N/A")*IFERROR(VALUE($H$373:$H$406),0))/SUMPRODUCT(($B$373:$B$406=$AA373)*($H$373:$H$406&lt;&gt;"")*($H$373:$H$406&lt;&gt;"N/A")),0)</f>
        <v>0</v>
      </c>
      <c r="AD373">
        <f t="shared" si="134"/>
        <v>0</v>
      </c>
      <c r="AE373">
        <f t="shared" ref="AE373:AE406" si="152">COUNTIFS($B$373:$B$406,$AA373,$L$373:$L$406,"Critical")+COUNTIFS($B$373:$B$406,$AA373,$L$373:$L$406,"High")</f>
        <v>8</v>
      </c>
      <c r="AF373">
        <f t="shared" si="136"/>
        <v>5</v>
      </c>
      <c r="AG373">
        <f t="shared" ref="AG373:AG406" si="153">SUMPRODUCT(($B$373:$B$406=$AA373)*(ISNUMBER($H$373:$H$406)+($H$373:$H$406="N/A")))</f>
        <v>8</v>
      </c>
      <c r="AH373">
        <f>'Assessment Questions'!AK373</f>
        <v>0</v>
      </c>
      <c r="AI373">
        <f>'Assessment Questions'!AL373</f>
        <v>0</v>
      </c>
      <c r="AJ373">
        <f>IF(OR($H373="",$H373="N/A"),"",IF($AH373="",VLOOKUP('Company Profile'!$B$40,_CONFIG_Model_Settings!$A$5:$B$8,2,FALSE),IFERROR(VLOOKUP($AH373,_CONFIG_Model_Settings!$A$5:$B$8,2,FALSE),0.9)))</f>
        <v>0.9</v>
      </c>
      <c r="AK373">
        <f>IF(OR($H373="",$H373="N/A"),"",IF($AI373="",VLOOKUP('Company Profile'!$B$41,_CONFIG_Model_Settings!$A$5:$B$8,2,FALSE),IFERROR(VLOOKUP($AI373,_CONFIG_Model_Settings!$A$5:$B$8,2,FALSE),0.9)))</f>
        <v>0.9</v>
      </c>
      <c r="AL373">
        <f t="shared" si="138"/>
        <v>0</v>
      </c>
      <c r="AM373">
        <f t="shared" si="139"/>
        <v>0</v>
      </c>
      <c r="AN373">
        <f>IFERROR(MIN(5,MAX(0,(SUMIFS(_REF_Model_Content!$D$1:$D$174,_REF_Model_Content!$A$1:$A$174,PV_Canonical_Industry,_REF_Model_Content!$B$1:$B$174,"Cyber Privacy"))+IFERROR(VLOOKUP('Company Profile'!$B$35,_CONFIG_Model_Settings!$A$11:$B$13,2,0),0))),"")</f>
        <v>0</v>
      </c>
      <c r="AO373">
        <f t="shared" si="140"/>
        <v>0</v>
      </c>
      <c r="AP373">
        <f>IFERROR(SUMIFS(_REF_Model_Content!$E$1:$E$174,_REF_Model_Content!$A$1:$A$174,PV_Canonical_Industry,_REF_Model_Content!$B$1:$B$174,"Cyber Privacy"),1)</f>
        <v>0</v>
      </c>
      <c r="AQ373">
        <f t="shared" si="141"/>
        <v>0</v>
      </c>
      <c r="AR373" t="str">
        <f t="shared" si="142"/>
        <v>Within target</v>
      </c>
      <c r="AS373">
        <f t="shared" si="143"/>
        <v>0</v>
      </c>
      <c r="AT373">
        <f t="shared" si="144"/>
        <v>0.9</v>
      </c>
      <c r="AU373">
        <f>'Assessment Questions'!AX373</f>
        <v>0</v>
      </c>
      <c r="AV373">
        <f t="shared" si="145"/>
        <v>0.9</v>
      </c>
      <c r="AW373" t="s">
        <v>2986</v>
      </c>
      <c r="AX373" t="s">
        <v>2986</v>
      </c>
      <c r="AY373">
        <v>5</v>
      </c>
      <c r="AZ373">
        <v>373</v>
      </c>
    </row>
    <row r="374" spans="1:52">
      <c r="A374" t="s">
        <v>3000</v>
      </c>
      <c r="B374" t="s">
        <v>2988</v>
      </c>
      <c r="C374" t="s">
        <v>3001</v>
      </c>
      <c r="D374" t="s">
        <v>2990</v>
      </c>
      <c r="E374" t="s">
        <v>2991</v>
      </c>
      <c r="F374" t="s">
        <v>3002</v>
      </c>
      <c r="G374">
        <f>'Assessment Questions'!J374</f>
        <v>5</v>
      </c>
      <c r="H374">
        <f t="shared" si="127"/>
        <v>0</v>
      </c>
      <c r="I374">
        <f t="shared" si="128"/>
        <v>0</v>
      </c>
      <c r="J374">
        <f t="shared" si="129"/>
        <v>5</v>
      </c>
      <c r="K374">
        <f t="shared" si="130"/>
        <v>5</v>
      </c>
      <c r="L374" t="str">
        <f t="shared" si="131"/>
        <v>Critical</v>
      </c>
      <c r="M374" t="s">
        <v>1051</v>
      </c>
      <c r="N374" t="s">
        <v>1052</v>
      </c>
      <c r="O374" t="s">
        <v>1053</v>
      </c>
      <c r="P374" t="s">
        <v>1054</v>
      </c>
      <c r="Q374" t="s">
        <v>1055</v>
      </c>
      <c r="R374" t="s">
        <v>1056</v>
      </c>
      <c r="S374" t="s">
        <v>2999</v>
      </c>
      <c r="T374">
        <f>'Assessment Questions'!W374</f>
        <v>0</v>
      </c>
      <c r="U374">
        <f>'Assessment Questions'!X374</f>
        <v>0</v>
      </c>
      <c r="V374" t="str">
        <f>'Assessment Questions'!Y374</f>
        <v>Use the recommended action generated by the model; validate with domain owner during real assessment.</v>
      </c>
      <c r="W374">
        <v>5</v>
      </c>
      <c r="X374">
        <v>5</v>
      </c>
      <c r="Y374">
        <v>5</v>
      </c>
      <c r="Z374">
        <f>'Assessment Questions'!AC374</f>
        <v>0</v>
      </c>
      <c r="AA374" t="s">
        <v>3003</v>
      </c>
      <c r="AB374">
        <f t="shared" si="150"/>
        <v>6</v>
      </c>
      <c r="AC374">
        <f t="shared" si="151"/>
        <v>0</v>
      </c>
      <c r="AD374">
        <f t="shared" si="134"/>
        <v>0</v>
      </c>
      <c r="AE374">
        <f t="shared" si="152"/>
        <v>6</v>
      </c>
      <c r="AF374">
        <f t="shared" si="136"/>
        <v>5</v>
      </c>
      <c r="AG374">
        <f t="shared" si="153"/>
        <v>6</v>
      </c>
      <c r="AH374">
        <f>'Assessment Questions'!AK374</f>
        <v>0</v>
      </c>
      <c r="AI374">
        <f>'Assessment Questions'!AL374</f>
        <v>0</v>
      </c>
      <c r="AJ374">
        <f>IF(OR($H374="",$H374="N/A"),"",IF($AH374="",VLOOKUP('Company Profile'!$B$40,_CONFIG_Model_Settings!$A$5:$B$8,2,FALSE),IFERROR(VLOOKUP($AH374,_CONFIG_Model_Settings!$A$5:$B$8,2,FALSE),0.9)))</f>
        <v>0.9</v>
      </c>
      <c r="AK374">
        <f>IF(OR($H374="",$H374="N/A"),"",IF($AI374="",VLOOKUP('Company Profile'!$B$41,_CONFIG_Model_Settings!$A$5:$B$8,2,FALSE),IFERROR(VLOOKUP($AI374,_CONFIG_Model_Settings!$A$5:$B$8,2,FALSE),0.9)))</f>
        <v>0.9</v>
      </c>
      <c r="AL374">
        <f t="shared" si="138"/>
        <v>0</v>
      </c>
      <c r="AM374">
        <f t="shared" si="139"/>
        <v>0</v>
      </c>
      <c r="AN374">
        <f>IFERROR(MIN(5,MAX(0,(SUMIFS(_REF_Model_Content!$D$1:$D$174,_REF_Model_Content!$A$1:$A$174,PV_Canonical_Industry,_REF_Model_Content!$B$1:$B$174,"Cyber Privacy"))+IFERROR(VLOOKUP('Company Profile'!$B$35,_CONFIG_Model_Settings!$A$11:$B$13,2,0),0))),"")</f>
        <v>0</v>
      </c>
      <c r="AO374">
        <f t="shared" si="140"/>
        <v>0</v>
      </c>
      <c r="AP374">
        <f>IFERROR(SUMIFS(_REF_Model_Content!$E$1:$E$174,_REF_Model_Content!$A$1:$A$174,PV_Canonical_Industry,_REF_Model_Content!$B$1:$B$174,"Cyber Privacy"),1)</f>
        <v>0</v>
      </c>
      <c r="AQ374">
        <f t="shared" si="141"/>
        <v>0</v>
      </c>
      <c r="AR374" t="str">
        <f t="shared" si="142"/>
        <v>Within target</v>
      </c>
      <c r="AS374">
        <f t="shared" si="143"/>
        <v>0</v>
      </c>
      <c r="AT374">
        <f t="shared" si="144"/>
        <v>0.9</v>
      </c>
      <c r="AU374">
        <f>'Assessment Questions'!AX374</f>
        <v>0</v>
      </c>
      <c r="AV374">
        <f t="shared" si="145"/>
        <v>0.9</v>
      </c>
      <c r="AW374" t="s">
        <v>2986</v>
      </c>
      <c r="AX374" t="s">
        <v>2986</v>
      </c>
      <c r="AY374">
        <v>6</v>
      </c>
      <c r="AZ374">
        <v>374</v>
      </c>
    </row>
    <row r="375" spans="1:52">
      <c r="A375" t="s">
        <v>3004</v>
      </c>
      <c r="B375" t="s">
        <v>2988</v>
      </c>
      <c r="C375" t="s">
        <v>3005</v>
      </c>
      <c r="D375" t="s">
        <v>2990</v>
      </c>
      <c r="E375" t="s">
        <v>2991</v>
      </c>
      <c r="F375" t="s">
        <v>3006</v>
      </c>
      <c r="G375">
        <f>'Assessment Questions'!J375</f>
        <v>5</v>
      </c>
      <c r="H375">
        <f t="shared" si="127"/>
        <v>0</v>
      </c>
      <c r="I375">
        <f t="shared" si="128"/>
        <v>0</v>
      </c>
      <c r="J375">
        <f t="shared" si="129"/>
        <v>5</v>
      </c>
      <c r="K375">
        <f t="shared" si="130"/>
        <v>5</v>
      </c>
      <c r="L375" t="str">
        <f t="shared" si="131"/>
        <v>Critical</v>
      </c>
      <c r="M375" t="s">
        <v>3007</v>
      </c>
      <c r="N375" t="s">
        <v>3008</v>
      </c>
      <c r="O375" t="s">
        <v>3009</v>
      </c>
      <c r="P375" t="s">
        <v>3010</v>
      </c>
      <c r="Q375" t="s">
        <v>3011</v>
      </c>
      <c r="R375" t="s">
        <v>3012</v>
      </c>
      <c r="S375" t="s">
        <v>2999</v>
      </c>
      <c r="T375">
        <f>'Assessment Questions'!W375</f>
        <v>0</v>
      </c>
      <c r="U375">
        <f>'Assessment Questions'!X375</f>
        <v>0</v>
      </c>
      <c r="V375" t="str">
        <f>'Assessment Questions'!Y375</f>
        <v>Use the recommended action generated by the model; validate with domain owner during real assessment.</v>
      </c>
      <c r="W375">
        <v>5</v>
      </c>
      <c r="X375">
        <v>5</v>
      </c>
      <c r="Y375">
        <v>5</v>
      </c>
      <c r="Z375">
        <f>'Assessment Questions'!AC375</f>
        <v>0</v>
      </c>
      <c r="AA375" t="s">
        <v>3013</v>
      </c>
      <c r="AB375">
        <f t="shared" si="150"/>
        <v>8</v>
      </c>
      <c r="AC375">
        <f t="shared" si="151"/>
        <v>0</v>
      </c>
      <c r="AD375">
        <f t="shared" si="134"/>
        <v>0</v>
      </c>
      <c r="AE375">
        <f t="shared" si="152"/>
        <v>8</v>
      </c>
      <c r="AF375">
        <f t="shared" si="136"/>
        <v>5</v>
      </c>
      <c r="AG375">
        <f t="shared" si="153"/>
        <v>8</v>
      </c>
      <c r="AH375">
        <f>'Assessment Questions'!AK375</f>
        <v>0</v>
      </c>
      <c r="AI375">
        <f>'Assessment Questions'!AL375</f>
        <v>0</v>
      </c>
      <c r="AJ375">
        <f>IF(OR($H375="",$H375="N/A"),"",IF($AH375="",VLOOKUP('Company Profile'!$B$40,_CONFIG_Model_Settings!$A$5:$B$8,2,FALSE),IFERROR(VLOOKUP($AH375,_CONFIG_Model_Settings!$A$5:$B$8,2,FALSE),0.9)))</f>
        <v>0.9</v>
      </c>
      <c r="AK375">
        <f>IF(OR($H375="",$H375="N/A"),"",IF($AI375="",VLOOKUP('Company Profile'!$B$41,_CONFIG_Model_Settings!$A$5:$B$8,2,FALSE),IFERROR(VLOOKUP($AI375,_CONFIG_Model_Settings!$A$5:$B$8,2,FALSE),0.9)))</f>
        <v>0.9</v>
      </c>
      <c r="AL375">
        <f t="shared" si="138"/>
        <v>0</v>
      </c>
      <c r="AM375">
        <f t="shared" si="139"/>
        <v>0</v>
      </c>
      <c r="AN375">
        <f>IFERROR(MIN(5,MAX(0,(SUMIFS(_REF_Model_Content!$D$1:$D$174,_REF_Model_Content!$A$1:$A$174,PV_Canonical_Industry,_REF_Model_Content!$B$1:$B$174,"Cyber Privacy"))+IFERROR(VLOOKUP('Company Profile'!$B$35,_CONFIG_Model_Settings!$A$11:$B$13,2,0),0))),"")</f>
        <v>0</v>
      </c>
      <c r="AO375">
        <f t="shared" si="140"/>
        <v>0</v>
      </c>
      <c r="AP375">
        <f>IFERROR(SUMIFS(_REF_Model_Content!$E$1:$E$174,_REF_Model_Content!$A$1:$A$174,PV_Canonical_Industry,_REF_Model_Content!$B$1:$B$174,"Cyber Privacy"),1)</f>
        <v>0</v>
      </c>
      <c r="AQ375">
        <f t="shared" si="141"/>
        <v>0</v>
      </c>
      <c r="AR375" t="str">
        <f t="shared" si="142"/>
        <v>Within target</v>
      </c>
      <c r="AS375">
        <f t="shared" si="143"/>
        <v>0</v>
      </c>
      <c r="AT375">
        <f t="shared" si="144"/>
        <v>0.9</v>
      </c>
      <c r="AU375">
        <f>'Assessment Questions'!AX375</f>
        <v>0</v>
      </c>
      <c r="AV375">
        <f t="shared" si="145"/>
        <v>0.9</v>
      </c>
      <c r="AW375" t="s">
        <v>2986</v>
      </c>
      <c r="AX375" t="s">
        <v>2986</v>
      </c>
      <c r="AY375">
        <v>7</v>
      </c>
      <c r="AZ375">
        <v>375</v>
      </c>
    </row>
    <row r="376" spans="1:52">
      <c r="A376" t="s">
        <v>3014</v>
      </c>
      <c r="B376" t="s">
        <v>2988</v>
      </c>
      <c r="C376" t="s">
        <v>3015</v>
      </c>
      <c r="D376" t="s">
        <v>2990</v>
      </c>
      <c r="E376" t="s">
        <v>2991</v>
      </c>
      <c r="F376" t="s">
        <v>3016</v>
      </c>
      <c r="G376">
        <f>'Assessment Questions'!J376</f>
        <v>4</v>
      </c>
      <c r="H376">
        <f t="shared" si="127"/>
        <v>0</v>
      </c>
      <c r="I376">
        <f t="shared" si="128"/>
        <v>0</v>
      </c>
      <c r="J376">
        <f t="shared" si="129"/>
        <v>4</v>
      </c>
      <c r="K376">
        <f t="shared" si="130"/>
        <v>4</v>
      </c>
      <c r="L376" t="str">
        <f t="shared" si="131"/>
        <v>Critical</v>
      </c>
      <c r="M376" t="s">
        <v>3017</v>
      </c>
      <c r="N376" t="s">
        <v>3018</v>
      </c>
      <c r="O376" t="s">
        <v>3019</v>
      </c>
      <c r="P376" t="s">
        <v>3020</v>
      </c>
      <c r="Q376" t="s">
        <v>3021</v>
      </c>
      <c r="R376" t="s">
        <v>3022</v>
      </c>
      <c r="S376" t="s">
        <v>2999</v>
      </c>
      <c r="T376">
        <f>'Assessment Questions'!W376</f>
        <v>0</v>
      </c>
      <c r="U376">
        <f>'Assessment Questions'!X376</f>
        <v>0</v>
      </c>
      <c r="V376" t="str">
        <f>'Assessment Questions'!Y376</f>
        <v>Use the recommended action generated by the model; validate with domain owner during real assessment.</v>
      </c>
      <c r="W376">
        <v>5</v>
      </c>
      <c r="X376">
        <v>5</v>
      </c>
      <c r="Y376">
        <v>5</v>
      </c>
      <c r="Z376">
        <f>'Assessment Questions'!AC376</f>
        <v>0</v>
      </c>
      <c r="AA376" t="s">
        <v>3023</v>
      </c>
      <c r="AB376">
        <f t="shared" si="150"/>
        <v>8</v>
      </c>
      <c r="AC376">
        <f t="shared" si="151"/>
        <v>0</v>
      </c>
      <c r="AD376">
        <f t="shared" si="134"/>
        <v>0</v>
      </c>
      <c r="AE376">
        <f t="shared" si="152"/>
        <v>8</v>
      </c>
      <c r="AF376">
        <f t="shared" si="136"/>
        <v>5</v>
      </c>
      <c r="AG376">
        <f t="shared" si="153"/>
        <v>8</v>
      </c>
      <c r="AH376">
        <f>'Assessment Questions'!AK376</f>
        <v>0</v>
      </c>
      <c r="AI376">
        <f>'Assessment Questions'!AL376</f>
        <v>0</v>
      </c>
      <c r="AJ376">
        <f>IF(OR($H376="",$H376="N/A"),"",IF($AH376="",VLOOKUP('Company Profile'!$B$40,_CONFIG_Model_Settings!$A$5:$B$8,2,FALSE),IFERROR(VLOOKUP($AH376,_CONFIG_Model_Settings!$A$5:$B$8,2,FALSE),0.9)))</f>
        <v>0.9</v>
      </c>
      <c r="AK376">
        <f>IF(OR($H376="",$H376="N/A"),"",IF($AI376="",VLOOKUP('Company Profile'!$B$41,_CONFIG_Model_Settings!$A$5:$B$8,2,FALSE),IFERROR(VLOOKUP($AI376,_CONFIG_Model_Settings!$A$5:$B$8,2,FALSE),0.9)))</f>
        <v>0.9</v>
      </c>
      <c r="AL376">
        <f t="shared" si="138"/>
        <v>0</v>
      </c>
      <c r="AM376">
        <f t="shared" si="139"/>
        <v>0</v>
      </c>
      <c r="AN376">
        <f>IFERROR(MIN(5,MAX(0,(SUMIFS(_REF_Model_Content!$D$1:$D$174,_REF_Model_Content!$A$1:$A$174,PV_Canonical_Industry,_REF_Model_Content!$B$1:$B$174,"Cyber Privacy"))+IFERROR(VLOOKUP('Company Profile'!$B$35,_CONFIG_Model_Settings!$A$11:$B$13,2,0),0))),"")</f>
        <v>0</v>
      </c>
      <c r="AO376">
        <f t="shared" si="140"/>
        <v>0</v>
      </c>
      <c r="AP376">
        <f>IFERROR(SUMIFS(_REF_Model_Content!$E$1:$E$174,_REF_Model_Content!$A$1:$A$174,PV_Canonical_Industry,_REF_Model_Content!$B$1:$B$174,"Cyber Privacy"),1)</f>
        <v>0</v>
      </c>
      <c r="AQ376">
        <f t="shared" si="141"/>
        <v>0</v>
      </c>
      <c r="AR376" t="str">
        <f t="shared" si="142"/>
        <v>Within target</v>
      </c>
      <c r="AS376">
        <f t="shared" si="143"/>
        <v>0</v>
      </c>
      <c r="AT376">
        <f t="shared" si="144"/>
        <v>0.9</v>
      </c>
      <c r="AU376">
        <f>'Assessment Questions'!AX376</f>
        <v>0</v>
      </c>
      <c r="AV376">
        <f t="shared" si="145"/>
        <v>0.9</v>
      </c>
      <c r="AW376" t="s">
        <v>2986</v>
      </c>
      <c r="AX376" t="s">
        <v>2986</v>
      </c>
      <c r="AY376">
        <v>8</v>
      </c>
      <c r="AZ376">
        <v>376</v>
      </c>
    </row>
    <row r="377" spans="1:52">
      <c r="A377" t="s">
        <v>3024</v>
      </c>
      <c r="B377" t="s">
        <v>2988</v>
      </c>
      <c r="C377" t="s">
        <v>3025</v>
      </c>
      <c r="D377" t="s">
        <v>2990</v>
      </c>
      <c r="E377" t="s">
        <v>2991</v>
      </c>
      <c r="F377" t="s">
        <v>3026</v>
      </c>
      <c r="G377">
        <f>'Assessment Questions'!J377</f>
        <v>5</v>
      </c>
      <c r="H377">
        <f t="shared" si="127"/>
        <v>0</v>
      </c>
      <c r="I377">
        <f t="shared" si="128"/>
        <v>0</v>
      </c>
      <c r="J377">
        <f t="shared" si="129"/>
        <v>5</v>
      </c>
      <c r="K377">
        <f t="shared" si="130"/>
        <v>5</v>
      </c>
      <c r="L377" t="str">
        <f t="shared" si="131"/>
        <v>Critical</v>
      </c>
      <c r="M377" t="s">
        <v>833</v>
      </c>
      <c r="N377" t="s">
        <v>834</v>
      </c>
      <c r="O377" t="s">
        <v>835</v>
      </c>
      <c r="P377" t="s">
        <v>836</v>
      </c>
      <c r="Q377" t="s">
        <v>837</v>
      </c>
      <c r="R377" t="s">
        <v>838</v>
      </c>
      <c r="S377" t="s">
        <v>2999</v>
      </c>
      <c r="T377">
        <f>'Assessment Questions'!W377</f>
        <v>0</v>
      </c>
      <c r="U377">
        <f>'Assessment Questions'!X377</f>
        <v>0</v>
      </c>
      <c r="V377" t="str">
        <f>'Assessment Questions'!Y377</f>
        <v>Use the recommended action generated by the model; validate with domain owner during real assessment.</v>
      </c>
      <c r="W377">
        <v>5</v>
      </c>
      <c r="X377">
        <v>5</v>
      </c>
      <c r="Y377">
        <v>5</v>
      </c>
      <c r="Z377">
        <f>'Assessment Questions'!AC377</f>
        <v>0</v>
      </c>
      <c r="AA377" t="s">
        <v>3027</v>
      </c>
      <c r="AB377">
        <f t="shared" si="150"/>
        <v>2</v>
      </c>
      <c r="AC377">
        <f t="shared" si="151"/>
        <v>0</v>
      </c>
      <c r="AD377">
        <f t="shared" si="134"/>
        <v>0</v>
      </c>
      <c r="AE377">
        <f t="shared" si="152"/>
        <v>2</v>
      </c>
      <c r="AF377">
        <f t="shared" si="136"/>
        <v>5</v>
      </c>
      <c r="AG377">
        <f t="shared" si="153"/>
        <v>2</v>
      </c>
      <c r="AH377">
        <f>'Assessment Questions'!AK377</f>
        <v>0</v>
      </c>
      <c r="AI377">
        <f>'Assessment Questions'!AL377</f>
        <v>0</v>
      </c>
      <c r="AJ377">
        <f>IF(OR($H377="",$H377="N/A"),"",IF($AH377="",VLOOKUP('Company Profile'!$B$40,_CONFIG_Model_Settings!$A$5:$B$8,2,FALSE),IFERROR(VLOOKUP($AH377,_CONFIG_Model_Settings!$A$5:$B$8,2,FALSE),0.9)))</f>
        <v>0.9</v>
      </c>
      <c r="AK377">
        <f>IF(OR($H377="",$H377="N/A"),"",IF($AI377="",VLOOKUP('Company Profile'!$B$41,_CONFIG_Model_Settings!$A$5:$B$8,2,FALSE),IFERROR(VLOOKUP($AI377,_CONFIG_Model_Settings!$A$5:$B$8,2,FALSE),0.9)))</f>
        <v>0.9</v>
      </c>
      <c r="AL377">
        <f t="shared" si="138"/>
        <v>0</v>
      </c>
      <c r="AM377">
        <f t="shared" si="139"/>
        <v>0</v>
      </c>
      <c r="AN377">
        <f>IFERROR(MIN(5,MAX(0,(SUMIFS(_REF_Model_Content!$D$1:$D$174,_REF_Model_Content!$A$1:$A$174,PV_Canonical_Industry,_REF_Model_Content!$B$1:$B$174,"Cyber Privacy"))+IFERROR(VLOOKUP('Company Profile'!$B$35,_CONFIG_Model_Settings!$A$11:$B$13,2,0),0))),"")</f>
        <v>0</v>
      </c>
      <c r="AO377">
        <f t="shared" si="140"/>
        <v>0</v>
      </c>
      <c r="AP377">
        <f>IFERROR(SUMIFS(_REF_Model_Content!$E$1:$E$174,_REF_Model_Content!$A$1:$A$174,PV_Canonical_Industry,_REF_Model_Content!$B$1:$B$174,"Cyber Privacy"),1)</f>
        <v>0</v>
      </c>
      <c r="AQ377">
        <f t="shared" si="141"/>
        <v>0</v>
      </c>
      <c r="AR377" t="str">
        <f t="shared" si="142"/>
        <v>Within target</v>
      </c>
      <c r="AS377">
        <f t="shared" si="143"/>
        <v>0</v>
      </c>
      <c r="AT377">
        <f t="shared" si="144"/>
        <v>0.9</v>
      </c>
      <c r="AU377">
        <f>'Assessment Questions'!AX377</f>
        <v>0</v>
      </c>
      <c r="AV377">
        <f t="shared" si="145"/>
        <v>0.9</v>
      </c>
      <c r="AW377" t="s">
        <v>2986</v>
      </c>
      <c r="AX377" t="s">
        <v>2986</v>
      </c>
      <c r="AY377">
        <v>9</v>
      </c>
      <c r="AZ377">
        <v>377</v>
      </c>
    </row>
    <row r="378" spans="1:52">
      <c r="A378" t="s">
        <v>3028</v>
      </c>
      <c r="B378" t="s">
        <v>2988</v>
      </c>
      <c r="C378" t="s">
        <v>3029</v>
      </c>
      <c r="D378" t="s">
        <v>2990</v>
      </c>
      <c r="E378" t="s">
        <v>2991</v>
      </c>
      <c r="F378" t="s">
        <v>3030</v>
      </c>
      <c r="G378">
        <f>'Assessment Questions'!J378</f>
        <v>4</v>
      </c>
      <c r="H378">
        <f t="shared" si="127"/>
        <v>0</v>
      </c>
      <c r="I378">
        <f t="shared" si="128"/>
        <v>0</v>
      </c>
      <c r="J378">
        <f t="shared" si="129"/>
        <v>4</v>
      </c>
      <c r="K378">
        <f t="shared" si="130"/>
        <v>4</v>
      </c>
      <c r="L378" t="str">
        <f t="shared" si="131"/>
        <v>Critical</v>
      </c>
      <c r="M378" t="s">
        <v>1202</v>
      </c>
      <c r="N378" t="s">
        <v>1203</v>
      </c>
      <c r="O378" t="s">
        <v>1204</v>
      </c>
      <c r="P378" t="s">
        <v>1205</v>
      </c>
      <c r="Q378" t="s">
        <v>1206</v>
      </c>
      <c r="R378" t="s">
        <v>1207</v>
      </c>
      <c r="S378" t="s">
        <v>2999</v>
      </c>
      <c r="T378">
        <f>'Assessment Questions'!W378</f>
        <v>0</v>
      </c>
      <c r="U378">
        <f>'Assessment Questions'!X378</f>
        <v>0</v>
      </c>
      <c r="V378" t="str">
        <f>'Assessment Questions'!Y378</f>
        <v>Use the recommended action generated by the model; validate with domain owner during real assessment.</v>
      </c>
      <c r="W378">
        <v>5</v>
      </c>
      <c r="X378">
        <v>5</v>
      </c>
      <c r="Y378">
        <v>5</v>
      </c>
      <c r="Z378">
        <f>'Assessment Questions'!AC378</f>
        <v>0</v>
      </c>
      <c r="AA378" t="s">
        <v>3031</v>
      </c>
      <c r="AB378">
        <f t="shared" si="150"/>
        <v>2</v>
      </c>
      <c r="AC378">
        <f t="shared" si="151"/>
        <v>0</v>
      </c>
      <c r="AD378">
        <f t="shared" si="134"/>
        <v>0</v>
      </c>
      <c r="AE378">
        <f t="shared" si="152"/>
        <v>2</v>
      </c>
      <c r="AF378">
        <f t="shared" si="136"/>
        <v>5</v>
      </c>
      <c r="AG378">
        <f t="shared" si="153"/>
        <v>2</v>
      </c>
      <c r="AH378">
        <f>'Assessment Questions'!AK378</f>
        <v>0</v>
      </c>
      <c r="AI378">
        <f>'Assessment Questions'!AL378</f>
        <v>0</v>
      </c>
      <c r="AJ378">
        <f>IF(OR($H378="",$H378="N/A"),"",IF($AH378="",VLOOKUP('Company Profile'!$B$40,_CONFIG_Model_Settings!$A$5:$B$8,2,FALSE),IFERROR(VLOOKUP($AH378,_CONFIG_Model_Settings!$A$5:$B$8,2,FALSE),0.9)))</f>
        <v>0.9</v>
      </c>
      <c r="AK378">
        <f>IF(OR($H378="",$H378="N/A"),"",IF($AI378="",VLOOKUP('Company Profile'!$B$41,_CONFIG_Model_Settings!$A$5:$B$8,2,FALSE),IFERROR(VLOOKUP($AI378,_CONFIG_Model_Settings!$A$5:$B$8,2,FALSE),0.9)))</f>
        <v>0.9</v>
      </c>
      <c r="AL378">
        <f t="shared" si="138"/>
        <v>0</v>
      </c>
      <c r="AM378">
        <f t="shared" si="139"/>
        <v>0</v>
      </c>
      <c r="AN378">
        <f>IFERROR(MIN(5,MAX(0,(SUMIFS(_REF_Model_Content!$D$1:$D$174,_REF_Model_Content!$A$1:$A$174,PV_Canonical_Industry,_REF_Model_Content!$B$1:$B$174,"Cyber Privacy"))+IFERROR(VLOOKUP('Company Profile'!$B$35,_CONFIG_Model_Settings!$A$11:$B$13,2,0),0))),"")</f>
        <v>0</v>
      </c>
      <c r="AO378">
        <f t="shared" si="140"/>
        <v>0</v>
      </c>
      <c r="AP378">
        <f>IFERROR(SUMIFS(_REF_Model_Content!$E$1:$E$174,_REF_Model_Content!$A$1:$A$174,PV_Canonical_Industry,_REF_Model_Content!$B$1:$B$174,"Cyber Privacy"),1)</f>
        <v>0</v>
      </c>
      <c r="AQ378">
        <f t="shared" si="141"/>
        <v>0</v>
      </c>
      <c r="AR378" t="str">
        <f t="shared" si="142"/>
        <v>Within target</v>
      </c>
      <c r="AS378">
        <f t="shared" si="143"/>
        <v>0</v>
      </c>
      <c r="AT378">
        <f t="shared" si="144"/>
        <v>0.9</v>
      </c>
      <c r="AU378">
        <f>'Assessment Questions'!AX378</f>
        <v>0</v>
      </c>
      <c r="AV378">
        <f t="shared" si="145"/>
        <v>0.9</v>
      </c>
      <c r="AW378" t="s">
        <v>2986</v>
      </c>
      <c r="AX378" t="s">
        <v>2986</v>
      </c>
      <c r="AY378">
        <v>10</v>
      </c>
      <c r="AZ378">
        <v>378</v>
      </c>
    </row>
    <row r="379" spans="1:52">
      <c r="A379" t="s">
        <v>3032</v>
      </c>
      <c r="B379" t="s">
        <v>3003</v>
      </c>
      <c r="C379" t="s">
        <v>3033</v>
      </c>
      <c r="D379" t="s">
        <v>2990</v>
      </c>
      <c r="E379" t="s">
        <v>2991</v>
      </c>
      <c r="F379" t="s">
        <v>3034</v>
      </c>
      <c r="G379">
        <f>'Assessment Questions'!J379</f>
        <v>4</v>
      </c>
      <c r="H379">
        <f t="shared" si="127"/>
        <v>0</v>
      </c>
      <c r="I379">
        <f t="shared" si="128"/>
        <v>0</v>
      </c>
      <c r="J379">
        <f t="shared" si="129"/>
        <v>4</v>
      </c>
      <c r="K379">
        <f t="shared" si="130"/>
        <v>4</v>
      </c>
      <c r="L379" t="str">
        <f t="shared" si="131"/>
        <v>Critical</v>
      </c>
      <c r="M379" t="s">
        <v>3035</v>
      </c>
      <c r="N379" t="s">
        <v>3036</v>
      </c>
      <c r="O379" t="s">
        <v>3037</v>
      </c>
      <c r="P379" t="s">
        <v>3038</v>
      </c>
      <c r="Q379" t="s">
        <v>3039</v>
      </c>
      <c r="R379" t="s">
        <v>3040</v>
      </c>
      <c r="S379" t="s">
        <v>2999</v>
      </c>
      <c r="T379">
        <f>'Assessment Questions'!W379</f>
        <v>0</v>
      </c>
      <c r="U379">
        <f>'Assessment Questions'!X379</f>
        <v>0</v>
      </c>
      <c r="V379" t="str">
        <f>'Assessment Questions'!Y379</f>
        <v>Use the recommended action generated by the model; validate with domain owner during real assessment.</v>
      </c>
      <c r="W379">
        <v>5</v>
      </c>
      <c r="X379">
        <v>5</v>
      </c>
      <c r="Y379">
        <v>5</v>
      </c>
      <c r="Z379">
        <f>'Assessment Questions'!AC379</f>
        <v>0</v>
      </c>
      <c r="AB379">
        <f t="shared" si="150"/>
        <v>0</v>
      </c>
      <c r="AC379">
        <f t="shared" si="151"/>
        <v>0</v>
      </c>
      <c r="AD379">
        <f t="shared" si="134"/>
        <v>0</v>
      </c>
      <c r="AE379">
        <f t="shared" si="152"/>
        <v>0</v>
      </c>
      <c r="AF379">
        <f t="shared" si="136"/>
        <v>5</v>
      </c>
      <c r="AG379">
        <f t="shared" si="153"/>
        <v>0</v>
      </c>
      <c r="AH379">
        <f>'Assessment Questions'!AK379</f>
        <v>0</v>
      </c>
      <c r="AI379">
        <f>'Assessment Questions'!AL379</f>
        <v>0</v>
      </c>
      <c r="AJ379">
        <f>IF(OR($H379="",$H379="N/A"),"",IF($AH379="",VLOOKUP('Company Profile'!$B$40,_CONFIG_Model_Settings!$A$5:$B$8,2,FALSE),IFERROR(VLOOKUP($AH379,_CONFIG_Model_Settings!$A$5:$B$8,2,FALSE),0.9)))</f>
        <v>0.9</v>
      </c>
      <c r="AK379">
        <f>IF(OR($H379="",$H379="N/A"),"",IF($AI379="",VLOOKUP('Company Profile'!$B$41,_CONFIG_Model_Settings!$A$5:$B$8,2,FALSE),IFERROR(VLOOKUP($AI379,_CONFIG_Model_Settings!$A$5:$B$8,2,FALSE),0.9)))</f>
        <v>0.9</v>
      </c>
      <c r="AL379">
        <f t="shared" si="138"/>
        <v>0</v>
      </c>
      <c r="AM379">
        <f t="shared" si="139"/>
        <v>0</v>
      </c>
      <c r="AN379">
        <f>IFERROR(MIN(5,MAX(0,(SUMIFS(_REF_Model_Content!$D$1:$D$174,_REF_Model_Content!$A$1:$A$174,PV_Canonical_Industry,_REF_Model_Content!$B$1:$B$174,"Cyber Privacy"))+IFERROR(VLOOKUP('Company Profile'!$B$35,_CONFIG_Model_Settings!$A$11:$B$13,2,0),0))),"")</f>
        <v>0</v>
      </c>
      <c r="AO379">
        <f t="shared" si="140"/>
        <v>0</v>
      </c>
      <c r="AP379">
        <f>IFERROR(SUMIFS(_REF_Model_Content!$E$1:$E$174,_REF_Model_Content!$A$1:$A$174,PV_Canonical_Industry,_REF_Model_Content!$B$1:$B$174,"Cyber Privacy"),1)</f>
        <v>0</v>
      </c>
      <c r="AQ379">
        <f t="shared" si="141"/>
        <v>0</v>
      </c>
      <c r="AR379" t="str">
        <f t="shared" si="142"/>
        <v>Within target</v>
      </c>
      <c r="AS379">
        <f t="shared" si="143"/>
        <v>0</v>
      </c>
      <c r="AT379">
        <f t="shared" si="144"/>
        <v>0.9</v>
      </c>
      <c r="AU379">
        <f>'Assessment Questions'!AX379</f>
        <v>0</v>
      </c>
      <c r="AV379">
        <f t="shared" si="145"/>
        <v>0.9</v>
      </c>
      <c r="AW379" t="s">
        <v>2986</v>
      </c>
      <c r="AX379" t="s">
        <v>2986</v>
      </c>
      <c r="AY379">
        <v>11</v>
      </c>
      <c r="AZ379">
        <v>379</v>
      </c>
    </row>
    <row r="380" spans="1:52">
      <c r="A380" t="s">
        <v>3041</v>
      </c>
      <c r="B380" t="s">
        <v>3003</v>
      </c>
      <c r="C380" t="s">
        <v>3042</v>
      </c>
      <c r="D380" t="s">
        <v>2990</v>
      </c>
      <c r="E380" t="s">
        <v>2991</v>
      </c>
      <c r="F380" t="s">
        <v>3043</v>
      </c>
      <c r="G380">
        <f>'Assessment Questions'!J380</f>
        <v>5</v>
      </c>
      <c r="H380">
        <f t="shared" si="127"/>
        <v>0</v>
      </c>
      <c r="I380">
        <f t="shared" si="128"/>
        <v>0</v>
      </c>
      <c r="J380">
        <f t="shared" si="129"/>
        <v>5</v>
      </c>
      <c r="K380">
        <f t="shared" si="130"/>
        <v>5</v>
      </c>
      <c r="L380" t="str">
        <f t="shared" si="131"/>
        <v>Critical</v>
      </c>
      <c r="M380" t="s">
        <v>3044</v>
      </c>
      <c r="N380" t="s">
        <v>3045</v>
      </c>
      <c r="O380" t="s">
        <v>3046</v>
      </c>
      <c r="P380" t="s">
        <v>3047</v>
      </c>
      <c r="Q380" t="s">
        <v>3048</v>
      </c>
      <c r="R380" t="s">
        <v>3049</v>
      </c>
      <c r="S380" t="s">
        <v>2999</v>
      </c>
      <c r="T380">
        <f>'Assessment Questions'!W380</f>
        <v>0</v>
      </c>
      <c r="U380">
        <f>'Assessment Questions'!X380</f>
        <v>0</v>
      </c>
      <c r="V380" t="str">
        <f>'Assessment Questions'!Y380</f>
        <v>Use the recommended action generated by the model; validate with domain owner during real assessment.</v>
      </c>
      <c r="W380">
        <v>5</v>
      </c>
      <c r="X380">
        <v>5</v>
      </c>
      <c r="Y380">
        <v>5</v>
      </c>
      <c r="Z380">
        <f>'Assessment Questions'!AC380</f>
        <v>0</v>
      </c>
      <c r="AB380">
        <f t="shared" si="150"/>
        <v>0</v>
      </c>
      <c r="AC380">
        <f t="shared" si="151"/>
        <v>0</v>
      </c>
      <c r="AD380">
        <f t="shared" si="134"/>
        <v>0</v>
      </c>
      <c r="AE380">
        <f t="shared" si="152"/>
        <v>0</v>
      </c>
      <c r="AF380">
        <f t="shared" si="136"/>
        <v>5</v>
      </c>
      <c r="AG380">
        <f t="shared" si="153"/>
        <v>0</v>
      </c>
      <c r="AH380">
        <f>'Assessment Questions'!AK380</f>
        <v>0</v>
      </c>
      <c r="AI380">
        <f>'Assessment Questions'!AL380</f>
        <v>0</v>
      </c>
      <c r="AJ380">
        <f>IF(OR($H380="",$H380="N/A"),"",IF($AH380="",VLOOKUP('Company Profile'!$B$40,_CONFIG_Model_Settings!$A$5:$B$8,2,FALSE),IFERROR(VLOOKUP($AH380,_CONFIG_Model_Settings!$A$5:$B$8,2,FALSE),0.9)))</f>
        <v>0.9</v>
      </c>
      <c r="AK380">
        <f>IF(OR($H380="",$H380="N/A"),"",IF($AI380="",VLOOKUP('Company Profile'!$B$41,_CONFIG_Model_Settings!$A$5:$B$8,2,FALSE),IFERROR(VLOOKUP($AI380,_CONFIG_Model_Settings!$A$5:$B$8,2,FALSE),0.9)))</f>
        <v>0.9</v>
      </c>
      <c r="AL380">
        <f t="shared" si="138"/>
        <v>0</v>
      </c>
      <c r="AM380">
        <f t="shared" si="139"/>
        <v>0</v>
      </c>
      <c r="AN380">
        <f>IFERROR(MIN(5,MAX(0,(SUMIFS(_REF_Model_Content!$D$1:$D$174,_REF_Model_Content!$A$1:$A$174,PV_Canonical_Industry,_REF_Model_Content!$B$1:$B$174,"Cyber Privacy"))+IFERROR(VLOOKUP('Company Profile'!$B$35,_CONFIG_Model_Settings!$A$11:$B$13,2,0),0))),"")</f>
        <v>0</v>
      </c>
      <c r="AO380">
        <f t="shared" si="140"/>
        <v>0</v>
      </c>
      <c r="AP380">
        <f>IFERROR(SUMIFS(_REF_Model_Content!$E$1:$E$174,_REF_Model_Content!$A$1:$A$174,PV_Canonical_Industry,_REF_Model_Content!$B$1:$B$174,"Cyber Privacy"),1)</f>
        <v>0</v>
      </c>
      <c r="AQ380">
        <f t="shared" si="141"/>
        <v>0</v>
      </c>
      <c r="AR380" t="str">
        <f t="shared" si="142"/>
        <v>Within target</v>
      </c>
      <c r="AS380">
        <f t="shared" si="143"/>
        <v>0</v>
      </c>
      <c r="AT380">
        <f t="shared" si="144"/>
        <v>0.9</v>
      </c>
      <c r="AU380">
        <f>'Assessment Questions'!AX380</f>
        <v>0</v>
      </c>
      <c r="AV380">
        <f t="shared" si="145"/>
        <v>0.9</v>
      </c>
      <c r="AW380" t="s">
        <v>2986</v>
      </c>
      <c r="AX380" t="s">
        <v>2986</v>
      </c>
      <c r="AY380">
        <v>12</v>
      </c>
      <c r="AZ380">
        <v>380</v>
      </c>
    </row>
    <row r="381" spans="1:52">
      <c r="A381" t="s">
        <v>3050</v>
      </c>
      <c r="B381" t="s">
        <v>3003</v>
      </c>
      <c r="C381" t="s">
        <v>3051</v>
      </c>
      <c r="D381" t="s">
        <v>2990</v>
      </c>
      <c r="E381" t="s">
        <v>2991</v>
      </c>
      <c r="F381" t="s">
        <v>3052</v>
      </c>
      <c r="G381">
        <f>'Assessment Questions'!J381</f>
        <v>4</v>
      </c>
      <c r="H381">
        <f t="shared" si="127"/>
        <v>0</v>
      </c>
      <c r="I381">
        <f t="shared" si="128"/>
        <v>0</v>
      </c>
      <c r="J381">
        <f t="shared" si="129"/>
        <v>4</v>
      </c>
      <c r="K381">
        <f t="shared" si="130"/>
        <v>4</v>
      </c>
      <c r="L381" t="str">
        <f t="shared" si="131"/>
        <v>Critical</v>
      </c>
      <c r="M381" t="s">
        <v>3053</v>
      </c>
      <c r="N381" t="s">
        <v>3054</v>
      </c>
      <c r="O381" t="s">
        <v>3055</v>
      </c>
      <c r="P381" t="s">
        <v>3056</v>
      </c>
      <c r="Q381" t="s">
        <v>3057</v>
      </c>
      <c r="R381" t="s">
        <v>3058</v>
      </c>
      <c r="S381" t="s">
        <v>2999</v>
      </c>
      <c r="T381">
        <f>'Assessment Questions'!W381</f>
        <v>0</v>
      </c>
      <c r="U381">
        <f>'Assessment Questions'!X381</f>
        <v>0</v>
      </c>
      <c r="V381" t="str">
        <f>'Assessment Questions'!Y381</f>
        <v>Use the recommended action generated by the model; validate with domain owner during real assessment.</v>
      </c>
      <c r="W381">
        <v>5</v>
      </c>
      <c r="X381">
        <v>5</v>
      </c>
      <c r="Y381">
        <v>5</v>
      </c>
      <c r="Z381">
        <f>'Assessment Questions'!AC381</f>
        <v>0</v>
      </c>
      <c r="AB381">
        <f t="shared" si="150"/>
        <v>0</v>
      </c>
      <c r="AC381">
        <f t="shared" si="151"/>
        <v>0</v>
      </c>
      <c r="AD381">
        <f t="shared" si="134"/>
        <v>0</v>
      </c>
      <c r="AE381">
        <f t="shared" si="152"/>
        <v>0</v>
      </c>
      <c r="AF381">
        <f t="shared" si="136"/>
        <v>5</v>
      </c>
      <c r="AG381">
        <f t="shared" si="153"/>
        <v>0</v>
      </c>
      <c r="AH381">
        <f>'Assessment Questions'!AK381</f>
        <v>0</v>
      </c>
      <c r="AI381">
        <f>'Assessment Questions'!AL381</f>
        <v>0</v>
      </c>
      <c r="AJ381">
        <f>IF(OR($H381="",$H381="N/A"),"",IF($AH381="",VLOOKUP('Company Profile'!$B$40,_CONFIG_Model_Settings!$A$5:$B$8,2,FALSE),IFERROR(VLOOKUP($AH381,_CONFIG_Model_Settings!$A$5:$B$8,2,FALSE),0.9)))</f>
        <v>0.9</v>
      </c>
      <c r="AK381">
        <f>IF(OR($H381="",$H381="N/A"),"",IF($AI381="",VLOOKUP('Company Profile'!$B$41,_CONFIG_Model_Settings!$A$5:$B$8,2,FALSE),IFERROR(VLOOKUP($AI381,_CONFIG_Model_Settings!$A$5:$B$8,2,FALSE),0.9)))</f>
        <v>0.9</v>
      </c>
      <c r="AL381">
        <f t="shared" si="138"/>
        <v>0</v>
      </c>
      <c r="AM381">
        <f t="shared" si="139"/>
        <v>0</v>
      </c>
      <c r="AN381">
        <f>IFERROR(MIN(5,MAX(0,(SUMIFS(_REF_Model_Content!$D$1:$D$174,_REF_Model_Content!$A$1:$A$174,PV_Canonical_Industry,_REF_Model_Content!$B$1:$B$174,"Cyber Privacy"))+IFERROR(VLOOKUP('Company Profile'!$B$35,_CONFIG_Model_Settings!$A$11:$B$13,2,0),0))),"")</f>
        <v>0</v>
      </c>
      <c r="AO381">
        <f t="shared" si="140"/>
        <v>0</v>
      </c>
      <c r="AP381">
        <f>IFERROR(SUMIFS(_REF_Model_Content!$E$1:$E$174,_REF_Model_Content!$A$1:$A$174,PV_Canonical_Industry,_REF_Model_Content!$B$1:$B$174,"Cyber Privacy"),1)</f>
        <v>0</v>
      </c>
      <c r="AQ381">
        <f t="shared" si="141"/>
        <v>0</v>
      </c>
      <c r="AR381" t="str">
        <f t="shared" si="142"/>
        <v>Within target</v>
      </c>
      <c r="AS381">
        <f t="shared" si="143"/>
        <v>0</v>
      </c>
      <c r="AT381">
        <f t="shared" si="144"/>
        <v>0.9</v>
      </c>
      <c r="AU381">
        <f>'Assessment Questions'!AX381</f>
        <v>0</v>
      </c>
      <c r="AV381">
        <f t="shared" si="145"/>
        <v>0.9</v>
      </c>
      <c r="AW381" t="s">
        <v>2986</v>
      </c>
      <c r="AX381" t="s">
        <v>2986</v>
      </c>
      <c r="AY381">
        <v>13</v>
      </c>
      <c r="AZ381">
        <v>381</v>
      </c>
    </row>
    <row r="382" spans="1:52">
      <c r="A382" t="s">
        <v>3059</v>
      </c>
      <c r="B382" t="s">
        <v>3003</v>
      </c>
      <c r="C382" t="s">
        <v>3060</v>
      </c>
      <c r="D382" t="s">
        <v>2990</v>
      </c>
      <c r="E382" t="s">
        <v>2991</v>
      </c>
      <c r="F382" t="s">
        <v>3061</v>
      </c>
      <c r="G382">
        <f>'Assessment Questions'!J382</f>
        <v>3</v>
      </c>
      <c r="H382">
        <f t="shared" si="127"/>
        <v>0</v>
      </c>
      <c r="I382">
        <f t="shared" si="128"/>
        <v>0</v>
      </c>
      <c r="J382">
        <f t="shared" si="129"/>
        <v>3</v>
      </c>
      <c r="K382">
        <f t="shared" si="130"/>
        <v>3</v>
      </c>
      <c r="L382" t="str">
        <f t="shared" si="131"/>
        <v>Critical</v>
      </c>
      <c r="M382" t="s">
        <v>1202</v>
      </c>
      <c r="N382" t="s">
        <v>1203</v>
      </c>
      <c r="O382" t="s">
        <v>1204</v>
      </c>
      <c r="P382" t="s">
        <v>1205</v>
      </c>
      <c r="Q382" t="s">
        <v>1206</v>
      </c>
      <c r="R382" t="s">
        <v>1207</v>
      </c>
      <c r="S382" t="s">
        <v>2999</v>
      </c>
      <c r="T382">
        <f>'Assessment Questions'!W382</f>
        <v>0</v>
      </c>
      <c r="U382">
        <f>'Assessment Questions'!X382</f>
        <v>0</v>
      </c>
      <c r="V382" t="str">
        <f>'Assessment Questions'!Y382</f>
        <v>Use the recommended action generated by the model; validate with domain owner during real assessment.</v>
      </c>
      <c r="W382">
        <v>5</v>
      </c>
      <c r="X382">
        <v>5</v>
      </c>
      <c r="Y382">
        <v>5</v>
      </c>
      <c r="Z382">
        <f>'Assessment Questions'!AC382</f>
        <v>0</v>
      </c>
      <c r="AB382">
        <f t="shared" si="150"/>
        <v>0</v>
      </c>
      <c r="AC382">
        <f t="shared" si="151"/>
        <v>0</v>
      </c>
      <c r="AD382">
        <f t="shared" si="134"/>
        <v>0</v>
      </c>
      <c r="AE382">
        <f t="shared" si="152"/>
        <v>0</v>
      </c>
      <c r="AF382">
        <f t="shared" si="136"/>
        <v>5</v>
      </c>
      <c r="AG382">
        <f t="shared" si="153"/>
        <v>0</v>
      </c>
      <c r="AH382">
        <f>'Assessment Questions'!AK382</f>
        <v>0</v>
      </c>
      <c r="AI382">
        <f>'Assessment Questions'!AL382</f>
        <v>0</v>
      </c>
      <c r="AJ382">
        <f>IF(OR($H382="",$H382="N/A"),"",IF($AH382="",VLOOKUP('Company Profile'!$B$40,_CONFIG_Model_Settings!$A$5:$B$8,2,FALSE),IFERROR(VLOOKUP($AH382,_CONFIG_Model_Settings!$A$5:$B$8,2,FALSE),0.9)))</f>
        <v>0.9</v>
      </c>
      <c r="AK382">
        <f>IF(OR($H382="",$H382="N/A"),"",IF($AI382="",VLOOKUP('Company Profile'!$B$41,_CONFIG_Model_Settings!$A$5:$B$8,2,FALSE),IFERROR(VLOOKUP($AI382,_CONFIG_Model_Settings!$A$5:$B$8,2,FALSE),0.9)))</f>
        <v>0.9</v>
      </c>
      <c r="AL382">
        <f t="shared" si="138"/>
        <v>0</v>
      </c>
      <c r="AM382">
        <f t="shared" si="139"/>
        <v>0</v>
      </c>
      <c r="AN382">
        <f>IFERROR(MIN(5,MAX(0,(SUMIFS(_REF_Model_Content!$D$1:$D$174,_REF_Model_Content!$A$1:$A$174,PV_Canonical_Industry,_REF_Model_Content!$B$1:$B$174,"Cyber Privacy"))+IFERROR(VLOOKUP('Company Profile'!$B$35,_CONFIG_Model_Settings!$A$11:$B$13,2,0),0))),"")</f>
        <v>0</v>
      </c>
      <c r="AO382">
        <f t="shared" si="140"/>
        <v>0</v>
      </c>
      <c r="AP382">
        <f>IFERROR(SUMIFS(_REF_Model_Content!$E$1:$E$174,_REF_Model_Content!$A$1:$A$174,PV_Canonical_Industry,_REF_Model_Content!$B$1:$B$174,"Cyber Privacy"),1)</f>
        <v>0</v>
      </c>
      <c r="AQ382">
        <f t="shared" si="141"/>
        <v>0</v>
      </c>
      <c r="AR382" t="str">
        <f t="shared" si="142"/>
        <v>Within target</v>
      </c>
      <c r="AS382">
        <f t="shared" si="143"/>
        <v>0</v>
      </c>
      <c r="AT382">
        <f t="shared" si="144"/>
        <v>0.9</v>
      </c>
      <c r="AU382">
        <f>'Assessment Questions'!AX382</f>
        <v>0</v>
      </c>
      <c r="AV382">
        <f t="shared" si="145"/>
        <v>0.9</v>
      </c>
      <c r="AW382" t="s">
        <v>2986</v>
      </c>
      <c r="AX382" t="s">
        <v>2986</v>
      </c>
      <c r="AY382">
        <v>14</v>
      </c>
      <c r="AZ382">
        <v>382</v>
      </c>
    </row>
    <row r="383" spans="1:52">
      <c r="A383" t="s">
        <v>3062</v>
      </c>
      <c r="B383" t="s">
        <v>3003</v>
      </c>
      <c r="C383" t="s">
        <v>3063</v>
      </c>
      <c r="D383" t="s">
        <v>2990</v>
      </c>
      <c r="E383" t="s">
        <v>2991</v>
      </c>
      <c r="F383" t="s">
        <v>3064</v>
      </c>
      <c r="G383">
        <f>'Assessment Questions'!J383</f>
        <v>4</v>
      </c>
      <c r="H383">
        <f t="shared" si="127"/>
        <v>0</v>
      </c>
      <c r="I383">
        <f t="shared" si="128"/>
        <v>0</v>
      </c>
      <c r="J383">
        <f t="shared" si="129"/>
        <v>4</v>
      </c>
      <c r="K383">
        <f t="shared" si="130"/>
        <v>4</v>
      </c>
      <c r="L383" t="str">
        <f t="shared" si="131"/>
        <v>Critical</v>
      </c>
      <c r="M383" t="s">
        <v>3065</v>
      </c>
      <c r="N383" t="s">
        <v>3066</v>
      </c>
      <c r="O383" t="s">
        <v>3067</v>
      </c>
      <c r="P383" t="s">
        <v>3068</v>
      </c>
      <c r="Q383" t="s">
        <v>3069</v>
      </c>
      <c r="R383" t="s">
        <v>3070</v>
      </c>
      <c r="S383" t="s">
        <v>2999</v>
      </c>
      <c r="T383">
        <f>'Assessment Questions'!W383</f>
        <v>0</v>
      </c>
      <c r="U383">
        <f>'Assessment Questions'!X383</f>
        <v>0</v>
      </c>
      <c r="V383" t="str">
        <f>'Assessment Questions'!Y383</f>
        <v>Use the recommended action generated by the model; validate with domain owner during real assessment.</v>
      </c>
      <c r="W383">
        <v>5</v>
      </c>
      <c r="X383">
        <v>5</v>
      </c>
      <c r="Y383">
        <v>5</v>
      </c>
      <c r="Z383">
        <f>'Assessment Questions'!AC383</f>
        <v>0</v>
      </c>
      <c r="AB383">
        <f t="shared" si="150"/>
        <v>0</v>
      </c>
      <c r="AC383">
        <f t="shared" si="151"/>
        <v>0</v>
      </c>
      <c r="AD383">
        <f t="shared" si="134"/>
        <v>0</v>
      </c>
      <c r="AE383">
        <f t="shared" si="152"/>
        <v>0</v>
      </c>
      <c r="AF383">
        <f t="shared" si="136"/>
        <v>5</v>
      </c>
      <c r="AG383">
        <f t="shared" si="153"/>
        <v>0</v>
      </c>
      <c r="AH383">
        <f>'Assessment Questions'!AK383</f>
        <v>0</v>
      </c>
      <c r="AI383">
        <f>'Assessment Questions'!AL383</f>
        <v>0</v>
      </c>
      <c r="AJ383">
        <f>IF(OR($H383="",$H383="N/A"),"",IF($AH383="",VLOOKUP('Company Profile'!$B$40,_CONFIG_Model_Settings!$A$5:$B$8,2,FALSE),IFERROR(VLOOKUP($AH383,_CONFIG_Model_Settings!$A$5:$B$8,2,FALSE),0.9)))</f>
        <v>0.9</v>
      </c>
      <c r="AK383">
        <f>IF(OR($H383="",$H383="N/A"),"",IF($AI383="",VLOOKUP('Company Profile'!$B$41,_CONFIG_Model_Settings!$A$5:$B$8,2,FALSE),IFERROR(VLOOKUP($AI383,_CONFIG_Model_Settings!$A$5:$B$8,2,FALSE),0.9)))</f>
        <v>0.9</v>
      </c>
      <c r="AL383">
        <f t="shared" si="138"/>
        <v>0</v>
      </c>
      <c r="AM383">
        <f t="shared" si="139"/>
        <v>0</v>
      </c>
      <c r="AN383">
        <f>IFERROR(MIN(5,MAX(0,(SUMIFS(_REF_Model_Content!$D$1:$D$174,_REF_Model_Content!$A$1:$A$174,PV_Canonical_Industry,_REF_Model_Content!$B$1:$B$174,"Cyber Privacy"))+IFERROR(VLOOKUP('Company Profile'!$B$35,_CONFIG_Model_Settings!$A$11:$B$13,2,0),0))),"")</f>
        <v>0</v>
      </c>
      <c r="AO383">
        <f t="shared" si="140"/>
        <v>0</v>
      </c>
      <c r="AP383">
        <f>IFERROR(SUMIFS(_REF_Model_Content!$E$1:$E$174,_REF_Model_Content!$A$1:$A$174,PV_Canonical_Industry,_REF_Model_Content!$B$1:$B$174,"Cyber Privacy"),1)</f>
        <v>0</v>
      </c>
      <c r="AQ383">
        <f t="shared" si="141"/>
        <v>0</v>
      </c>
      <c r="AR383" t="str">
        <f t="shared" si="142"/>
        <v>Within target</v>
      </c>
      <c r="AS383">
        <f t="shared" si="143"/>
        <v>0</v>
      </c>
      <c r="AT383">
        <f t="shared" si="144"/>
        <v>0.9</v>
      </c>
      <c r="AU383">
        <f>'Assessment Questions'!AX383</f>
        <v>0</v>
      </c>
      <c r="AV383">
        <f t="shared" si="145"/>
        <v>0.9</v>
      </c>
      <c r="AW383" t="s">
        <v>2986</v>
      </c>
      <c r="AX383" t="s">
        <v>2986</v>
      </c>
      <c r="AY383">
        <v>15</v>
      </c>
      <c r="AZ383">
        <v>383</v>
      </c>
    </row>
    <row r="384" spans="1:52">
      <c r="A384" t="s">
        <v>3071</v>
      </c>
      <c r="B384" t="s">
        <v>3003</v>
      </c>
      <c r="C384" t="s">
        <v>3072</v>
      </c>
      <c r="D384" t="s">
        <v>2990</v>
      </c>
      <c r="E384" t="s">
        <v>2991</v>
      </c>
      <c r="F384" t="s">
        <v>3073</v>
      </c>
      <c r="G384">
        <f>'Assessment Questions'!J384</f>
        <v>5</v>
      </c>
      <c r="H384">
        <f t="shared" si="127"/>
        <v>0</v>
      </c>
      <c r="I384">
        <f t="shared" si="128"/>
        <v>0</v>
      </c>
      <c r="J384">
        <f t="shared" si="129"/>
        <v>5</v>
      </c>
      <c r="K384">
        <f t="shared" si="130"/>
        <v>5</v>
      </c>
      <c r="L384" t="str">
        <f t="shared" si="131"/>
        <v>Critical</v>
      </c>
      <c r="M384" t="s">
        <v>3007</v>
      </c>
      <c r="N384" t="s">
        <v>3008</v>
      </c>
      <c r="O384" t="s">
        <v>3009</v>
      </c>
      <c r="P384" t="s">
        <v>3010</v>
      </c>
      <c r="Q384" t="s">
        <v>3011</v>
      </c>
      <c r="R384" t="s">
        <v>3012</v>
      </c>
      <c r="S384" t="s">
        <v>2999</v>
      </c>
      <c r="T384">
        <f>'Assessment Questions'!W384</f>
        <v>0</v>
      </c>
      <c r="U384">
        <f>'Assessment Questions'!X384</f>
        <v>0</v>
      </c>
      <c r="V384" t="str">
        <f>'Assessment Questions'!Y384</f>
        <v>Use the recommended action generated by the model; validate with domain owner during real assessment.</v>
      </c>
      <c r="W384">
        <v>5</v>
      </c>
      <c r="X384">
        <v>5</v>
      </c>
      <c r="Y384">
        <v>5</v>
      </c>
      <c r="Z384">
        <f>'Assessment Questions'!AC384</f>
        <v>0</v>
      </c>
      <c r="AB384">
        <f t="shared" si="150"/>
        <v>0</v>
      </c>
      <c r="AC384">
        <f t="shared" si="151"/>
        <v>0</v>
      </c>
      <c r="AD384">
        <f t="shared" si="134"/>
        <v>0</v>
      </c>
      <c r="AE384">
        <f t="shared" si="152"/>
        <v>0</v>
      </c>
      <c r="AF384">
        <f t="shared" si="136"/>
        <v>5</v>
      </c>
      <c r="AG384">
        <f t="shared" si="153"/>
        <v>0</v>
      </c>
      <c r="AH384">
        <f>'Assessment Questions'!AK384</f>
        <v>0</v>
      </c>
      <c r="AI384">
        <f>'Assessment Questions'!AL384</f>
        <v>0</v>
      </c>
      <c r="AJ384">
        <f>IF(OR($H384="",$H384="N/A"),"",IF($AH384="",VLOOKUP('Company Profile'!$B$40,_CONFIG_Model_Settings!$A$5:$B$8,2,FALSE),IFERROR(VLOOKUP($AH384,_CONFIG_Model_Settings!$A$5:$B$8,2,FALSE),0.9)))</f>
        <v>0.9</v>
      </c>
      <c r="AK384">
        <f>IF(OR($H384="",$H384="N/A"),"",IF($AI384="",VLOOKUP('Company Profile'!$B$41,_CONFIG_Model_Settings!$A$5:$B$8,2,FALSE),IFERROR(VLOOKUP($AI384,_CONFIG_Model_Settings!$A$5:$B$8,2,FALSE),0.9)))</f>
        <v>0.9</v>
      </c>
      <c r="AL384">
        <f t="shared" si="138"/>
        <v>0</v>
      </c>
      <c r="AM384">
        <f t="shared" si="139"/>
        <v>0</v>
      </c>
      <c r="AN384">
        <f>IFERROR(MIN(5,MAX(0,(SUMIFS(_REF_Model_Content!$D$1:$D$174,_REF_Model_Content!$A$1:$A$174,PV_Canonical_Industry,_REF_Model_Content!$B$1:$B$174,"Cyber Privacy"))+IFERROR(VLOOKUP('Company Profile'!$B$35,_CONFIG_Model_Settings!$A$11:$B$13,2,0),0))),"")</f>
        <v>0</v>
      </c>
      <c r="AO384">
        <f t="shared" si="140"/>
        <v>0</v>
      </c>
      <c r="AP384">
        <f>IFERROR(SUMIFS(_REF_Model_Content!$E$1:$E$174,_REF_Model_Content!$A$1:$A$174,PV_Canonical_Industry,_REF_Model_Content!$B$1:$B$174,"Cyber Privacy"),1)</f>
        <v>0</v>
      </c>
      <c r="AQ384">
        <f t="shared" si="141"/>
        <v>0</v>
      </c>
      <c r="AR384" t="str">
        <f t="shared" si="142"/>
        <v>Within target</v>
      </c>
      <c r="AS384">
        <f t="shared" si="143"/>
        <v>0</v>
      </c>
      <c r="AT384">
        <f t="shared" si="144"/>
        <v>0.9</v>
      </c>
      <c r="AU384">
        <f>'Assessment Questions'!AX384</f>
        <v>0</v>
      </c>
      <c r="AV384">
        <f t="shared" si="145"/>
        <v>0.9</v>
      </c>
      <c r="AW384" t="s">
        <v>2986</v>
      </c>
      <c r="AX384" t="s">
        <v>2986</v>
      </c>
      <c r="AY384">
        <v>16</v>
      </c>
      <c r="AZ384">
        <v>384</v>
      </c>
    </row>
    <row r="385" spans="1:52">
      <c r="A385" t="s">
        <v>3074</v>
      </c>
      <c r="B385" t="s">
        <v>3013</v>
      </c>
      <c r="C385" t="s">
        <v>3075</v>
      </c>
      <c r="D385" t="s">
        <v>2990</v>
      </c>
      <c r="E385" t="s">
        <v>2991</v>
      </c>
      <c r="F385" t="s">
        <v>3076</v>
      </c>
      <c r="G385">
        <f>'Assessment Questions'!J385</f>
        <v>5</v>
      </c>
      <c r="H385">
        <f t="shared" si="127"/>
        <v>0</v>
      </c>
      <c r="I385">
        <f t="shared" si="128"/>
        <v>0</v>
      </c>
      <c r="J385">
        <f t="shared" si="129"/>
        <v>5</v>
      </c>
      <c r="K385">
        <f t="shared" si="130"/>
        <v>5</v>
      </c>
      <c r="L385" t="str">
        <f t="shared" si="131"/>
        <v>Critical</v>
      </c>
      <c r="M385" t="s">
        <v>833</v>
      </c>
      <c r="N385" t="s">
        <v>834</v>
      </c>
      <c r="O385" t="s">
        <v>835</v>
      </c>
      <c r="P385" t="s">
        <v>836</v>
      </c>
      <c r="Q385" t="s">
        <v>837</v>
      </c>
      <c r="R385" t="s">
        <v>838</v>
      </c>
      <c r="S385" t="s">
        <v>2999</v>
      </c>
      <c r="T385">
        <f>'Assessment Questions'!W385</f>
        <v>0</v>
      </c>
      <c r="U385">
        <f>'Assessment Questions'!X385</f>
        <v>0</v>
      </c>
      <c r="V385" t="str">
        <f>'Assessment Questions'!Y385</f>
        <v>Use the recommended action generated by the model; validate with domain owner during real assessment.</v>
      </c>
      <c r="W385">
        <v>5</v>
      </c>
      <c r="X385">
        <v>5</v>
      </c>
      <c r="Y385">
        <v>5</v>
      </c>
      <c r="Z385">
        <f>'Assessment Questions'!AC385</f>
        <v>0</v>
      </c>
      <c r="AB385">
        <f t="shared" si="150"/>
        <v>0</v>
      </c>
      <c r="AC385">
        <f t="shared" si="151"/>
        <v>0</v>
      </c>
      <c r="AD385">
        <f t="shared" si="134"/>
        <v>0</v>
      </c>
      <c r="AE385">
        <f t="shared" si="152"/>
        <v>0</v>
      </c>
      <c r="AF385">
        <f t="shared" si="136"/>
        <v>5</v>
      </c>
      <c r="AG385">
        <f t="shared" si="153"/>
        <v>0</v>
      </c>
      <c r="AH385">
        <f>'Assessment Questions'!AK385</f>
        <v>0</v>
      </c>
      <c r="AI385">
        <f>'Assessment Questions'!AL385</f>
        <v>0</v>
      </c>
      <c r="AJ385">
        <f>IF(OR($H385="",$H385="N/A"),"",IF($AH385="",VLOOKUP('Company Profile'!$B$40,_CONFIG_Model_Settings!$A$5:$B$8,2,FALSE),IFERROR(VLOOKUP($AH385,_CONFIG_Model_Settings!$A$5:$B$8,2,FALSE),0.9)))</f>
        <v>0.9</v>
      </c>
      <c r="AK385">
        <f>IF(OR($H385="",$H385="N/A"),"",IF($AI385="",VLOOKUP('Company Profile'!$B$41,_CONFIG_Model_Settings!$A$5:$B$8,2,FALSE),IFERROR(VLOOKUP($AI385,_CONFIG_Model_Settings!$A$5:$B$8,2,FALSE),0.9)))</f>
        <v>0.9</v>
      </c>
      <c r="AL385">
        <f t="shared" si="138"/>
        <v>0</v>
      </c>
      <c r="AM385">
        <f t="shared" si="139"/>
        <v>0</v>
      </c>
      <c r="AN385">
        <f>IFERROR(MIN(5,MAX(0,(SUMIFS(_REF_Model_Content!$D$1:$D$174,_REF_Model_Content!$A$1:$A$174,PV_Canonical_Industry,_REF_Model_Content!$B$1:$B$174,"Cyber Privacy"))+IFERROR(VLOOKUP('Company Profile'!$B$35,_CONFIG_Model_Settings!$A$11:$B$13,2,0),0))),"")</f>
        <v>0</v>
      </c>
      <c r="AO385">
        <f t="shared" si="140"/>
        <v>0</v>
      </c>
      <c r="AP385">
        <f>IFERROR(SUMIFS(_REF_Model_Content!$E$1:$E$174,_REF_Model_Content!$A$1:$A$174,PV_Canonical_Industry,_REF_Model_Content!$B$1:$B$174,"Cyber Privacy"),1)</f>
        <v>0</v>
      </c>
      <c r="AQ385">
        <f t="shared" si="141"/>
        <v>0</v>
      </c>
      <c r="AR385" t="str">
        <f t="shared" si="142"/>
        <v>Within target</v>
      </c>
      <c r="AS385">
        <f t="shared" si="143"/>
        <v>0</v>
      </c>
      <c r="AT385">
        <f t="shared" si="144"/>
        <v>0.9</v>
      </c>
      <c r="AU385">
        <f>'Assessment Questions'!AX385</f>
        <v>0</v>
      </c>
      <c r="AV385">
        <f t="shared" si="145"/>
        <v>0.9</v>
      </c>
      <c r="AW385" t="s">
        <v>2986</v>
      </c>
      <c r="AX385" t="s">
        <v>2986</v>
      </c>
      <c r="AY385">
        <v>17</v>
      </c>
      <c r="AZ385">
        <v>385</v>
      </c>
    </row>
    <row r="386" spans="1:52">
      <c r="A386" t="s">
        <v>3077</v>
      </c>
      <c r="B386" t="s">
        <v>3013</v>
      </c>
      <c r="C386" t="s">
        <v>3078</v>
      </c>
      <c r="D386" t="s">
        <v>2990</v>
      </c>
      <c r="E386" t="s">
        <v>2991</v>
      </c>
      <c r="F386" t="s">
        <v>3079</v>
      </c>
      <c r="G386">
        <f>'Assessment Questions'!J386</f>
        <v>5</v>
      </c>
      <c r="H386">
        <f t="shared" si="127"/>
        <v>0</v>
      </c>
      <c r="I386">
        <f t="shared" si="128"/>
        <v>0</v>
      </c>
      <c r="J386">
        <f t="shared" si="129"/>
        <v>5</v>
      </c>
      <c r="K386">
        <f t="shared" si="130"/>
        <v>5</v>
      </c>
      <c r="L386" t="str">
        <f t="shared" si="131"/>
        <v>Critical</v>
      </c>
      <c r="M386" t="s">
        <v>833</v>
      </c>
      <c r="N386" t="s">
        <v>834</v>
      </c>
      <c r="O386" t="s">
        <v>835</v>
      </c>
      <c r="P386" t="s">
        <v>836</v>
      </c>
      <c r="Q386" t="s">
        <v>837</v>
      </c>
      <c r="R386" t="s">
        <v>838</v>
      </c>
      <c r="S386" t="s">
        <v>2999</v>
      </c>
      <c r="T386">
        <f>'Assessment Questions'!W386</f>
        <v>0</v>
      </c>
      <c r="U386">
        <f>'Assessment Questions'!X386</f>
        <v>0</v>
      </c>
      <c r="V386" t="str">
        <f>'Assessment Questions'!Y386</f>
        <v>Use the recommended action generated by the model; validate with domain owner during real assessment.</v>
      </c>
      <c r="W386">
        <v>5</v>
      </c>
      <c r="X386">
        <v>5</v>
      </c>
      <c r="Y386">
        <v>5</v>
      </c>
      <c r="Z386">
        <f>'Assessment Questions'!AC386</f>
        <v>0</v>
      </c>
      <c r="AB386">
        <f t="shared" si="150"/>
        <v>0</v>
      </c>
      <c r="AC386">
        <f t="shared" si="151"/>
        <v>0</v>
      </c>
      <c r="AD386">
        <f t="shared" si="134"/>
        <v>0</v>
      </c>
      <c r="AE386">
        <f t="shared" si="152"/>
        <v>0</v>
      </c>
      <c r="AF386">
        <f t="shared" si="136"/>
        <v>5</v>
      </c>
      <c r="AG386">
        <f t="shared" si="153"/>
        <v>0</v>
      </c>
      <c r="AH386">
        <f>'Assessment Questions'!AK386</f>
        <v>0</v>
      </c>
      <c r="AI386">
        <f>'Assessment Questions'!AL386</f>
        <v>0</v>
      </c>
      <c r="AJ386">
        <f>IF(OR($H386="",$H386="N/A"),"",IF($AH386="",VLOOKUP('Company Profile'!$B$40,_CONFIG_Model_Settings!$A$5:$B$8,2,FALSE),IFERROR(VLOOKUP($AH386,_CONFIG_Model_Settings!$A$5:$B$8,2,FALSE),0.9)))</f>
        <v>0.9</v>
      </c>
      <c r="AK386">
        <f>IF(OR($H386="",$H386="N/A"),"",IF($AI386="",VLOOKUP('Company Profile'!$B$41,_CONFIG_Model_Settings!$A$5:$B$8,2,FALSE),IFERROR(VLOOKUP($AI386,_CONFIG_Model_Settings!$A$5:$B$8,2,FALSE),0.9)))</f>
        <v>0.9</v>
      </c>
      <c r="AL386">
        <f t="shared" si="138"/>
        <v>0</v>
      </c>
      <c r="AM386">
        <f t="shared" si="139"/>
        <v>0</v>
      </c>
      <c r="AN386">
        <f>IFERROR(MIN(5,MAX(0,(SUMIFS(_REF_Model_Content!$D$1:$D$174,_REF_Model_Content!$A$1:$A$174,PV_Canonical_Industry,_REF_Model_Content!$B$1:$B$174,"Cyber Privacy"))+IFERROR(VLOOKUP('Company Profile'!$B$35,_CONFIG_Model_Settings!$A$11:$B$13,2,0),0))),"")</f>
        <v>0</v>
      </c>
      <c r="AO386">
        <f t="shared" si="140"/>
        <v>0</v>
      </c>
      <c r="AP386">
        <f>IFERROR(SUMIFS(_REF_Model_Content!$E$1:$E$174,_REF_Model_Content!$A$1:$A$174,PV_Canonical_Industry,_REF_Model_Content!$B$1:$B$174,"Cyber Privacy"),1)</f>
        <v>0</v>
      </c>
      <c r="AQ386">
        <f t="shared" si="141"/>
        <v>0</v>
      </c>
      <c r="AR386" t="str">
        <f t="shared" si="142"/>
        <v>Within target</v>
      </c>
      <c r="AS386">
        <f t="shared" si="143"/>
        <v>0</v>
      </c>
      <c r="AT386">
        <f t="shared" si="144"/>
        <v>0.9</v>
      </c>
      <c r="AU386">
        <f>'Assessment Questions'!AX386</f>
        <v>0</v>
      </c>
      <c r="AV386">
        <f t="shared" si="145"/>
        <v>0.9</v>
      </c>
      <c r="AW386" t="s">
        <v>2986</v>
      </c>
      <c r="AX386" t="s">
        <v>2986</v>
      </c>
      <c r="AY386">
        <v>18</v>
      </c>
      <c r="AZ386">
        <v>386</v>
      </c>
    </row>
    <row r="387" spans="1:52">
      <c r="A387" t="s">
        <v>3080</v>
      </c>
      <c r="B387" t="s">
        <v>3013</v>
      </c>
      <c r="C387" t="s">
        <v>3081</v>
      </c>
      <c r="D387" t="s">
        <v>2990</v>
      </c>
      <c r="E387" t="s">
        <v>2991</v>
      </c>
      <c r="F387" t="s">
        <v>3082</v>
      </c>
      <c r="G387">
        <f>'Assessment Questions'!J387</f>
        <v>5</v>
      </c>
      <c r="H387">
        <f t="shared" si="127"/>
        <v>0</v>
      </c>
      <c r="I387">
        <f t="shared" si="128"/>
        <v>0</v>
      </c>
      <c r="J387">
        <f t="shared" si="129"/>
        <v>5</v>
      </c>
      <c r="K387">
        <f t="shared" si="130"/>
        <v>5</v>
      </c>
      <c r="L387" t="str">
        <f t="shared" si="131"/>
        <v>Critical</v>
      </c>
      <c r="M387" t="s">
        <v>833</v>
      </c>
      <c r="N387" t="s">
        <v>834</v>
      </c>
      <c r="O387" t="s">
        <v>835</v>
      </c>
      <c r="P387" t="s">
        <v>836</v>
      </c>
      <c r="Q387" t="s">
        <v>837</v>
      </c>
      <c r="R387" t="s">
        <v>838</v>
      </c>
      <c r="S387" t="s">
        <v>2999</v>
      </c>
      <c r="T387">
        <f>'Assessment Questions'!W387</f>
        <v>0</v>
      </c>
      <c r="U387">
        <f>'Assessment Questions'!X387</f>
        <v>0</v>
      </c>
      <c r="V387" t="str">
        <f>'Assessment Questions'!Y387</f>
        <v>Use the recommended action generated by the model; validate with domain owner during real assessment.</v>
      </c>
      <c r="W387">
        <v>5</v>
      </c>
      <c r="X387">
        <v>5</v>
      </c>
      <c r="Y387">
        <v>5</v>
      </c>
      <c r="Z387">
        <f>'Assessment Questions'!AC387</f>
        <v>0</v>
      </c>
      <c r="AB387">
        <f t="shared" si="150"/>
        <v>0</v>
      </c>
      <c r="AC387">
        <f t="shared" si="151"/>
        <v>0</v>
      </c>
      <c r="AD387">
        <f t="shared" si="134"/>
        <v>0</v>
      </c>
      <c r="AE387">
        <f t="shared" si="152"/>
        <v>0</v>
      </c>
      <c r="AF387">
        <f t="shared" si="136"/>
        <v>5</v>
      </c>
      <c r="AG387">
        <f t="shared" si="153"/>
        <v>0</v>
      </c>
      <c r="AH387">
        <f>'Assessment Questions'!AK387</f>
        <v>0</v>
      </c>
      <c r="AI387">
        <f>'Assessment Questions'!AL387</f>
        <v>0</v>
      </c>
      <c r="AJ387">
        <f>IF(OR($H387="",$H387="N/A"),"",IF($AH387="",VLOOKUP('Company Profile'!$B$40,_CONFIG_Model_Settings!$A$5:$B$8,2,FALSE),IFERROR(VLOOKUP($AH387,_CONFIG_Model_Settings!$A$5:$B$8,2,FALSE),0.9)))</f>
        <v>0.9</v>
      </c>
      <c r="AK387">
        <f>IF(OR($H387="",$H387="N/A"),"",IF($AI387="",VLOOKUP('Company Profile'!$B$41,_CONFIG_Model_Settings!$A$5:$B$8,2,FALSE),IFERROR(VLOOKUP($AI387,_CONFIG_Model_Settings!$A$5:$B$8,2,FALSE),0.9)))</f>
        <v>0.9</v>
      </c>
      <c r="AL387">
        <f t="shared" si="138"/>
        <v>0</v>
      </c>
      <c r="AM387">
        <f t="shared" si="139"/>
        <v>0</v>
      </c>
      <c r="AN387">
        <f>IFERROR(MIN(5,MAX(0,(SUMIFS(_REF_Model_Content!$D$1:$D$174,_REF_Model_Content!$A$1:$A$174,PV_Canonical_Industry,_REF_Model_Content!$B$1:$B$174,"Cyber Privacy"))+IFERROR(VLOOKUP('Company Profile'!$B$35,_CONFIG_Model_Settings!$A$11:$B$13,2,0),0))),"")</f>
        <v>0</v>
      </c>
      <c r="AO387">
        <f t="shared" si="140"/>
        <v>0</v>
      </c>
      <c r="AP387">
        <f>IFERROR(SUMIFS(_REF_Model_Content!$E$1:$E$174,_REF_Model_Content!$A$1:$A$174,PV_Canonical_Industry,_REF_Model_Content!$B$1:$B$174,"Cyber Privacy"),1)</f>
        <v>0</v>
      </c>
      <c r="AQ387">
        <f t="shared" si="141"/>
        <v>0</v>
      </c>
      <c r="AR387" t="str">
        <f t="shared" si="142"/>
        <v>Within target</v>
      </c>
      <c r="AS387">
        <f t="shared" si="143"/>
        <v>0</v>
      </c>
      <c r="AT387">
        <f t="shared" si="144"/>
        <v>0.9</v>
      </c>
      <c r="AU387">
        <f>'Assessment Questions'!AX387</f>
        <v>0</v>
      </c>
      <c r="AV387">
        <f t="shared" si="145"/>
        <v>0.9</v>
      </c>
      <c r="AW387" t="s">
        <v>2986</v>
      </c>
      <c r="AX387" t="s">
        <v>2986</v>
      </c>
      <c r="AY387">
        <v>19</v>
      </c>
      <c r="AZ387">
        <v>387</v>
      </c>
    </row>
    <row r="388" spans="1:52">
      <c r="A388" t="s">
        <v>3083</v>
      </c>
      <c r="B388" t="s">
        <v>3013</v>
      </c>
      <c r="C388" t="s">
        <v>3084</v>
      </c>
      <c r="D388" t="s">
        <v>2990</v>
      </c>
      <c r="E388" t="s">
        <v>2991</v>
      </c>
      <c r="F388" t="s">
        <v>3085</v>
      </c>
      <c r="G388">
        <f>'Assessment Questions'!J388</f>
        <v>3</v>
      </c>
      <c r="H388">
        <f t="shared" si="127"/>
        <v>0</v>
      </c>
      <c r="I388">
        <f t="shared" si="128"/>
        <v>0</v>
      </c>
      <c r="J388">
        <f t="shared" si="129"/>
        <v>3</v>
      </c>
      <c r="K388">
        <f t="shared" si="130"/>
        <v>3</v>
      </c>
      <c r="L388" t="str">
        <f t="shared" si="131"/>
        <v>Critical</v>
      </c>
      <c r="M388" t="s">
        <v>3086</v>
      </c>
      <c r="N388" t="s">
        <v>3087</v>
      </c>
      <c r="O388" t="s">
        <v>3088</v>
      </c>
      <c r="P388" t="s">
        <v>3089</v>
      </c>
      <c r="Q388" t="s">
        <v>3090</v>
      </c>
      <c r="R388" t="s">
        <v>3091</v>
      </c>
      <c r="S388" t="s">
        <v>2999</v>
      </c>
      <c r="T388">
        <f>'Assessment Questions'!W388</f>
        <v>0</v>
      </c>
      <c r="U388">
        <f>'Assessment Questions'!X388</f>
        <v>0</v>
      </c>
      <c r="V388" t="str">
        <f>'Assessment Questions'!Y388</f>
        <v>Use the recommended action generated by the model; validate with domain owner during real assessment.</v>
      </c>
      <c r="W388">
        <v>5</v>
      </c>
      <c r="X388">
        <v>5</v>
      </c>
      <c r="Y388">
        <v>5</v>
      </c>
      <c r="Z388">
        <f>'Assessment Questions'!AC388</f>
        <v>0</v>
      </c>
      <c r="AB388">
        <f t="shared" si="150"/>
        <v>0</v>
      </c>
      <c r="AC388">
        <f t="shared" si="151"/>
        <v>0</v>
      </c>
      <c r="AD388">
        <f t="shared" si="134"/>
        <v>0</v>
      </c>
      <c r="AE388">
        <f t="shared" si="152"/>
        <v>0</v>
      </c>
      <c r="AF388">
        <f t="shared" si="136"/>
        <v>5</v>
      </c>
      <c r="AG388">
        <f t="shared" si="153"/>
        <v>0</v>
      </c>
      <c r="AH388">
        <f>'Assessment Questions'!AK388</f>
        <v>0</v>
      </c>
      <c r="AI388">
        <f>'Assessment Questions'!AL388</f>
        <v>0</v>
      </c>
      <c r="AJ388">
        <f>IF(OR($H388="",$H388="N/A"),"",IF($AH388="",VLOOKUP('Company Profile'!$B$40,_CONFIG_Model_Settings!$A$5:$B$8,2,FALSE),IFERROR(VLOOKUP($AH388,_CONFIG_Model_Settings!$A$5:$B$8,2,FALSE),0.9)))</f>
        <v>0.9</v>
      </c>
      <c r="AK388">
        <f>IF(OR($H388="",$H388="N/A"),"",IF($AI388="",VLOOKUP('Company Profile'!$B$41,_CONFIG_Model_Settings!$A$5:$B$8,2,FALSE),IFERROR(VLOOKUP($AI388,_CONFIG_Model_Settings!$A$5:$B$8,2,FALSE),0.9)))</f>
        <v>0.9</v>
      </c>
      <c r="AL388">
        <f t="shared" si="138"/>
        <v>0</v>
      </c>
      <c r="AM388">
        <f t="shared" si="139"/>
        <v>0</v>
      </c>
      <c r="AN388">
        <f>IFERROR(MIN(5,MAX(0,(SUMIFS(_REF_Model_Content!$D$1:$D$174,_REF_Model_Content!$A$1:$A$174,PV_Canonical_Industry,_REF_Model_Content!$B$1:$B$174,"Cyber Privacy"))+IFERROR(VLOOKUP('Company Profile'!$B$35,_CONFIG_Model_Settings!$A$11:$B$13,2,0),0))),"")</f>
        <v>0</v>
      </c>
      <c r="AO388">
        <f t="shared" si="140"/>
        <v>0</v>
      </c>
      <c r="AP388">
        <f>IFERROR(SUMIFS(_REF_Model_Content!$E$1:$E$174,_REF_Model_Content!$A$1:$A$174,PV_Canonical_Industry,_REF_Model_Content!$B$1:$B$174,"Cyber Privacy"),1)</f>
        <v>0</v>
      </c>
      <c r="AQ388">
        <f t="shared" si="141"/>
        <v>0</v>
      </c>
      <c r="AR388" t="str">
        <f t="shared" si="142"/>
        <v>Within target</v>
      </c>
      <c r="AS388">
        <f t="shared" si="143"/>
        <v>0</v>
      </c>
      <c r="AT388">
        <f t="shared" si="144"/>
        <v>0.9</v>
      </c>
      <c r="AU388">
        <f>'Assessment Questions'!AX388</f>
        <v>0</v>
      </c>
      <c r="AV388">
        <f t="shared" si="145"/>
        <v>0.9</v>
      </c>
      <c r="AW388" t="s">
        <v>2986</v>
      </c>
      <c r="AX388" t="s">
        <v>2986</v>
      </c>
      <c r="AY388">
        <v>20</v>
      </c>
      <c r="AZ388">
        <v>388</v>
      </c>
    </row>
    <row r="389" spans="1:52">
      <c r="A389" t="s">
        <v>3092</v>
      </c>
      <c r="B389" t="s">
        <v>3013</v>
      </c>
      <c r="C389" t="s">
        <v>3093</v>
      </c>
      <c r="D389" t="s">
        <v>2990</v>
      </c>
      <c r="E389" t="s">
        <v>2991</v>
      </c>
      <c r="F389" t="s">
        <v>3094</v>
      </c>
      <c r="G389">
        <f>'Assessment Questions'!J389</f>
        <v>5</v>
      </c>
      <c r="H389">
        <f t="shared" ref="H389:H428" si="154">IF($Z389="","",IF($Z389="N/A","N/A",VALUE(LEFT($Z389,1))))</f>
        <v>0</v>
      </c>
      <c r="I389">
        <f t="shared" ref="I389:I428" si="155">IF($H389="","",IF($H389="N/A","",VALUE($H389)/5*$G389))</f>
        <v>0</v>
      </c>
      <c r="J389">
        <f t="shared" ref="J389:J428" si="156">IF(OR($H389="",$H389="N/A"),"",$G389)</f>
        <v>5</v>
      </c>
      <c r="K389">
        <f t="shared" ref="K389:K428" si="157">IF(OR($H389="",$H389="N/A"),"",$J389-$I389)</f>
        <v>5</v>
      </c>
      <c r="L389" t="str">
        <f t="shared" ref="L389:L428" si="158">IF($H389="","",IF($H389="N/A","N/A",IF(VALUE($H389)&lt;=1,"Critical",IF(VALUE($H389)&lt;=2,"High",IF(VALUE($H389)&lt;=3,"Medium",IF(VALUE($H389)&lt;=4,"Low","Resilient"))))))</f>
        <v>Critical</v>
      </c>
      <c r="M389" t="s">
        <v>833</v>
      </c>
      <c r="N389" t="s">
        <v>834</v>
      </c>
      <c r="O389" t="s">
        <v>835</v>
      </c>
      <c r="P389" t="s">
        <v>836</v>
      </c>
      <c r="Q389" t="s">
        <v>837</v>
      </c>
      <c r="R389" t="s">
        <v>838</v>
      </c>
      <c r="S389" t="s">
        <v>2999</v>
      </c>
      <c r="T389">
        <f>'Assessment Questions'!W389</f>
        <v>0</v>
      </c>
      <c r="U389">
        <f>'Assessment Questions'!X389</f>
        <v>0</v>
      </c>
      <c r="V389" t="str">
        <f>'Assessment Questions'!Y389</f>
        <v>Use the recommended action generated by the model; validate with domain owner during real assessment.</v>
      </c>
      <c r="W389">
        <v>5</v>
      </c>
      <c r="X389">
        <v>5</v>
      </c>
      <c r="Y389">
        <v>5</v>
      </c>
      <c r="Z389">
        <f>'Assessment Questions'!AC389</f>
        <v>0</v>
      </c>
      <c r="AB389">
        <f t="shared" si="150"/>
        <v>0</v>
      </c>
      <c r="AC389">
        <f t="shared" si="151"/>
        <v>0</v>
      </c>
      <c r="AD389">
        <f t="shared" ref="AD389:AD452" si="159">AC389/5</f>
        <v>0</v>
      </c>
      <c r="AE389">
        <f t="shared" si="152"/>
        <v>0</v>
      </c>
      <c r="AF389">
        <f t="shared" ref="AF389:AF428" si="160">5-AC389</f>
        <v>5</v>
      </c>
      <c r="AG389">
        <f t="shared" si="153"/>
        <v>0</v>
      </c>
      <c r="AH389">
        <f>'Assessment Questions'!AK389</f>
        <v>0</v>
      </c>
      <c r="AI389">
        <f>'Assessment Questions'!AL389</f>
        <v>0</v>
      </c>
      <c r="AJ389">
        <f>IF(OR($H389="",$H389="N/A"),"",IF($AH389="",VLOOKUP('Company Profile'!$B$40,_CONFIG_Model_Settings!$A$5:$B$8,2,FALSE),IFERROR(VLOOKUP($AH389,_CONFIG_Model_Settings!$A$5:$B$8,2,FALSE),0.9)))</f>
        <v>0.9</v>
      </c>
      <c r="AK389">
        <f>IF(OR($H389="",$H389="N/A"),"",IF($AI389="",VLOOKUP('Company Profile'!$B$41,_CONFIG_Model_Settings!$A$5:$B$8,2,FALSE),IFERROR(VLOOKUP($AI389,_CONFIG_Model_Settings!$A$5:$B$8,2,FALSE),0.9)))</f>
        <v>0.9</v>
      </c>
      <c r="AL389">
        <f t="shared" ref="AL389:AL428" si="161">IF(OR($H389="",$H389="N/A"),"",ROUND(VALUE($H389)*$AJ389*$AK389*$AV389,2))</f>
        <v>0</v>
      </c>
      <c r="AM389">
        <f t="shared" ref="AM389:AM428" si="162">IF($AL389="","",ROUND($AL389/5*100,1))</f>
        <v>0</v>
      </c>
      <c r="AN389">
        <f>IFERROR(MIN(5,MAX(0,(SUMIFS(_REF_Model_Content!$D$1:$D$174,_REF_Model_Content!$A$1:$A$174,PV_Canonical_Industry,_REF_Model_Content!$B$1:$B$174,"Cyber Privacy"))+IFERROR(VLOOKUP('Company Profile'!$B$35,_CONFIG_Model_Settings!$A$11:$B$13,2,0),0))),"")</f>
        <v>0</v>
      </c>
      <c r="AO389">
        <f t="shared" ref="AO389:AO428" si="163">IF($AL389="","",MAX(0,ROUND($AN389-$AL389,2)))</f>
        <v>0</v>
      </c>
      <c r="AP389">
        <f>IFERROR(SUMIFS(_REF_Model_Content!$E$1:$E$174,_REF_Model_Content!$A$1:$A$174,PV_Canonical_Industry,_REF_Model_Content!$B$1:$B$174,"Cyber Privacy"),1)</f>
        <v>0</v>
      </c>
      <c r="AQ389">
        <f t="shared" ref="AQ389:AQ428" si="164">IF($AO389="","",ROUND($AO389*$AP389*($G389/5),2))</f>
        <v>0</v>
      </c>
      <c r="AR389" t="str">
        <f t="shared" ref="AR389:AR428" si="165">IF($AO389="","",IF($AO389&gt;=2,"Critical industry gap",IF($AO389&gt;=1,"High industry gap",IF($AO389&gt;=0.5,"Moderate industry gap","Within target"))))</f>
        <v>Within target</v>
      </c>
      <c r="AS389">
        <f t="shared" ref="AS389:AS428" si="166">IF(OR($H389="",$H389="N/A"),0,VALUE($H389)*(($AJ389+$AK389)/2)*$AV389)</f>
        <v>0</v>
      </c>
      <c r="AT389">
        <f t="shared" ref="AT389:AT428" si="167">IF(OR($H389="",$H389="N/A"),0,($AJ389+$AK389)/2)</f>
        <v>0.9</v>
      </c>
      <c r="AU389">
        <f>'Assessment Questions'!AX389</f>
        <v>0</v>
      </c>
      <c r="AV389">
        <f t="shared" ref="AV389:AV428" si="168">IF(OR($H389="",$H389="N/A"),"",IF(OR($AU389="",$AU389="Everywhere",$AU389="Not applicable"),1,IF($AU389="Pilot / one team",0.4,IF($AU389="One unit or site",0.7,0.9))))</f>
        <v>0.9</v>
      </c>
      <c r="AW389" t="s">
        <v>2986</v>
      </c>
      <c r="AX389" t="s">
        <v>2986</v>
      </c>
      <c r="AY389">
        <v>21</v>
      </c>
      <c r="AZ389">
        <v>389</v>
      </c>
    </row>
    <row r="390" spans="1:52">
      <c r="A390" t="s">
        <v>3095</v>
      </c>
      <c r="B390" t="s">
        <v>3013</v>
      </c>
      <c r="C390" t="s">
        <v>3096</v>
      </c>
      <c r="D390" t="s">
        <v>2990</v>
      </c>
      <c r="E390" t="s">
        <v>2991</v>
      </c>
      <c r="F390" t="s">
        <v>3097</v>
      </c>
      <c r="G390">
        <f>'Assessment Questions'!J390</f>
        <v>3</v>
      </c>
      <c r="H390">
        <f t="shared" si="154"/>
        <v>0</v>
      </c>
      <c r="I390">
        <f t="shared" si="155"/>
        <v>0</v>
      </c>
      <c r="J390">
        <f t="shared" si="156"/>
        <v>3</v>
      </c>
      <c r="K390">
        <f t="shared" si="157"/>
        <v>3</v>
      </c>
      <c r="L390" t="str">
        <f t="shared" si="158"/>
        <v>Critical</v>
      </c>
      <c r="M390" t="s">
        <v>3098</v>
      </c>
      <c r="N390" t="s">
        <v>3099</v>
      </c>
      <c r="O390" t="s">
        <v>3100</v>
      </c>
      <c r="P390" t="s">
        <v>3101</v>
      </c>
      <c r="Q390" t="s">
        <v>3102</v>
      </c>
      <c r="R390" t="s">
        <v>3103</v>
      </c>
      <c r="S390" t="s">
        <v>2999</v>
      </c>
      <c r="T390">
        <f>'Assessment Questions'!W390</f>
        <v>0</v>
      </c>
      <c r="U390">
        <f>'Assessment Questions'!X390</f>
        <v>0</v>
      </c>
      <c r="V390" t="str">
        <f>'Assessment Questions'!Y390</f>
        <v>Use the recommended action generated by the model; validate with domain owner during real assessment.</v>
      </c>
      <c r="W390">
        <v>5</v>
      </c>
      <c r="X390">
        <v>5</v>
      </c>
      <c r="Y390">
        <v>5</v>
      </c>
      <c r="Z390">
        <f>'Assessment Questions'!AC390</f>
        <v>0</v>
      </c>
      <c r="AB390">
        <f t="shared" si="150"/>
        <v>0</v>
      </c>
      <c r="AC390">
        <f t="shared" si="151"/>
        <v>0</v>
      </c>
      <c r="AD390">
        <f t="shared" si="159"/>
        <v>0</v>
      </c>
      <c r="AE390">
        <f t="shared" si="152"/>
        <v>0</v>
      </c>
      <c r="AF390">
        <f t="shared" si="160"/>
        <v>5</v>
      </c>
      <c r="AG390">
        <f t="shared" si="153"/>
        <v>0</v>
      </c>
      <c r="AH390">
        <f>'Assessment Questions'!AK390</f>
        <v>0</v>
      </c>
      <c r="AI390">
        <f>'Assessment Questions'!AL390</f>
        <v>0</v>
      </c>
      <c r="AJ390">
        <f>IF(OR($H390="",$H390="N/A"),"",IF($AH390="",VLOOKUP('Company Profile'!$B$40,_CONFIG_Model_Settings!$A$5:$B$8,2,FALSE),IFERROR(VLOOKUP($AH390,_CONFIG_Model_Settings!$A$5:$B$8,2,FALSE),0.9)))</f>
        <v>0.9</v>
      </c>
      <c r="AK390">
        <f>IF(OR($H390="",$H390="N/A"),"",IF($AI390="",VLOOKUP('Company Profile'!$B$41,_CONFIG_Model_Settings!$A$5:$B$8,2,FALSE),IFERROR(VLOOKUP($AI390,_CONFIG_Model_Settings!$A$5:$B$8,2,FALSE),0.9)))</f>
        <v>0.9</v>
      </c>
      <c r="AL390">
        <f t="shared" si="161"/>
        <v>0</v>
      </c>
      <c r="AM390">
        <f t="shared" si="162"/>
        <v>0</v>
      </c>
      <c r="AN390">
        <f>IFERROR(MIN(5,MAX(0,(SUMIFS(_REF_Model_Content!$D$1:$D$174,_REF_Model_Content!$A$1:$A$174,PV_Canonical_Industry,_REF_Model_Content!$B$1:$B$174,"Cyber Privacy"))+IFERROR(VLOOKUP('Company Profile'!$B$35,_CONFIG_Model_Settings!$A$11:$B$13,2,0),0))),"")</f>
        <v>0</v>
      </c>
      <c r="AO390">
        <f t="shared" si="163"/>
        <v>0</v>
      </c>
      <c r="AP390">
        <f>IFERROR(SUMIFS(_REF_Model_Content!$E$1:$E$174,_REF_Model_Content!$A$1:$A$174,PV_Canonical_Industry,_REF_Model_Content!$B$1:$B$174,"Cyber Privacy"),1)</f>
        <v>0</v>
      </c>
      <c r="AQ390">
        <f t="shared" si="164"/>
        <v>0</v>
      </c>
      <c r="AR390" t="str">
        <f t="shared" si="165"/>
        <v>Within target</v>
      </c>
      <c r="AS390">
        <f t="shared" si="166"/>
        <v>0</v>
      </c>
      <c r="AT390">
        <f t="shared" si="167"/>
        <v>0.9</v>
      </c>
      <c r="AU390">
        <f>'Assessment Questions'!AX390</f>
        <v>0</v>
      </c>
      <c r="AV390">
        <f t="shared" si="168"/>
        <v>0.9</v>
      </c>
      <c r="AW390" t="s">
        <v>2986</v>
      </c>
      <c r="AX390" t="s">
        <v>2986</v>
      </c>
      <c r="AY390">
        <v>22</v>
      </c>
      <c r="AZ390">
        <v>390</v>
      </c>
    </row>
    <row r="391" spans="1:52">
      <c r="A391" t="s">
        <v>3104</v>
      </c>
      <c r="B391" t="s">
        <v>3013</v>
      </c>
      <c r="C391" t="s">
        <v>3105</v>
      </c>
      <c r="D391" t="s">
        <v>2990</v>
      </c>
      <c r="E391" t="s">
        <v>2991</v>
      </c>
      <c r="F391" t="s">
        <v>3106</v>
      </c>
      <c r="G391">
        <f>'Assessment Questions'!J391</f>
        <v>4</v>
      </c>
      <c r="H391">
        <f t="shared" si="154"/>
        <v>0</v>
      </c>
      <c r="I391">
        <f t="shared" si="155"/>
        <v>0</v>
      </c>
      <c r="J391">
        <f t="shared" si="156"/>
        <v>4</v>
      </c>
      <c r="K391">
        <f t="shared" si="157"/>
        <v>4</v>
      </c>
      <c r="L391" t="str">
        <f t="shared" si="158"/>
        <v>Critical</v>
      </c>
      <c r="M391" t="s">
        <v>3107</v>
      </c>
      <c r="N391" t="s">
        <v>3108</v>
      </c>
      <c r="O391" t="s">
        <v>3109</v>
      </c>
      <c r="P391" t="s">
        <v>3110</v>
      </c>
      <c r="Q391" t="s">
        <v>3111</v>
      </c>
      <c r="R391" t="s">
        <v>3112</v>
      </c>
      <c r="S391" t="s">
        <v>2999</v>
      </c>
      <c r="T391">
        <f>'Assessment Questions'!W391</f>
        <v>0</v>
      </c>
      <c r="U391">
        <f>'Assessment Questions'!X391</f>
        <v>0</v>
      </c>
      <c r="V391" t="str">
        <f>'Assessment Questions'!Y391</f>
        <v>Use the recommended action generated by the model; validate with domain owner during real assessment.</v>
      </c>
      <c r="W391">
        <v>5</v>
      </c>
      <c r="X391">
        <v>5</v>
      </c>
      <c r="Y391">
        <v>5</v>
      </c>
      <c r="Z391">
        <f>'Assessment Questions'!AC391</f>
        <v>0</v>
      </c>
      <c r="AB391">
        <f t="shared" si="150"/>
        <v>0</v>
      </c>
      <c r="AC391">
        <f t="shared" si="151"/>
        <v>0</v>
      </c>
      <c r="AD391">
        <f t="shared" si="159"/>
        <v>0</v>
      </c>
      <c r="AE391">
        <f t="shared" si="152"/>
        <v>0</v>
      </c>
      <c r="AF391">
        <f t="shared" si="160"/>
        <v>5</v>
      </c>
      <c r="AG391">
        <f t="shared" si="153"/>
        <v>0</v>
      </c>
      <c r="AH391">
        <f>'Assessment Questions'!AK391</f>
        <v>0</v>
      </c>
      <c r="AI391">
        <f>'Assessment Questions'!AL391</f>
        <v>0</v>
      </c>
      <c r="AJ391">
        <f>IF(OR($H391="",$H391="N/A"),"",IF($AH391="",VLOOKUP('Company Profile'!$B$40,_CONFIG_Model_Settings!$A$5:$B$8,2,FALSE),IFERROR(VLOOKUP($AH391,_CONFIG_Model_Settings!$A$5:$B$8,2,FALSE),0.9)))</f>
        <v>0.9</v>
      </c>
      <c r="AK391">
        <f>IF(OR($H391="",$H391="N/A"),"",IF($AI391="",VLOOKUP('Company Profile'!$B$41,_CONFIG_Model_Settings!$A$5:$B$8,2,FALSE),IFERROR(VLOOKUP($AI391,_CONFIG_Model_Settings!$A$5:$B$8,2,FALSE),0.9)))</f>
        <v>0.9</v>
      </c>
      <c r="AL391">
        <f t="shared" si="161"/>
        <v>0</v>
      </c>
      <c r="AM391">
        <f t="shared" si="162"/>
        <v>0</v>
      </c>
      <c r="AN391">
        <f>IFERROR(MIN(5,MAX(0,(SUMIFS(_REF_Model_Content!$D$1:$D$174,_REF_Model_Content!$A$1:$A$174,PV_Canonical_Industry,_REF_Model_Content!$B$1:$B$174,"Cyber Privacy"))+IFERROR(VLOOKUP('Company Profile'!$B$35,_CONFIG_Model_Settings!$A$11:$B$13,2,0),0))),"")</f>
        <v>0</v>
      </c>
      <c r="AO391">
        <f t="shared" si="163"/>
        <v>0</v>
      </c>
      <c r="AP391">
        <f>IFERROR(SUMIFS(_REF_Model_Content!$E$1:$E$174,_REF_Model_Content!$A$1:$A$174,PV_Canonical_Industry,_REF_Model_Content!$B$1:$B$174,"Cyber Privacy"),1)</f>
        <v>0</v>
      </c>
      <c r="AQ391">
        <f t="shared" si="164"/>
        <v>0</v>
      </c>
      <c r="AR391" t="str">
        <f t="shared" si="165"/>
        <v>Within target</v>
      </c>
      <c r="AS391">
        <f t="shared" si="166"/>
        <v>0</v>
      </c>
      <c r="AT391">
        <f t="shared" si="167"/>
        <v>0.9</v>
      </c>
      <c r="AU391">
        <f>'Assessment Questions'!AX391</f>
        <v>0</v>
      </c>
      <c r="AV391">
        <f t="shared" si="168"/>
        <v>0.9</v>
      </c>
      <c r="AW391" t="s">
        <v>2986</v>
      </c>
      <c r="AX391" t="s">
        <v>2986</v>
      </c>
      <c r="AY391">
        <v>23</v>
      </c>
      <c r="AZ391">
        <v>391</v>
      </c>
    </row>
    <row r="392" spans="1:52">
      <c r="A392" t="s">
        <v>3113</v>
      </c>
      <c r="B392" t="s">
        <v>3013</v>
      </c>
      <c r="C392" t="s">
        <v>3114</v>
      </c>
      <c r="D392" t="s">
        <v>2990</v>
      </c>
      <c r="E392" t="s">
        <v>2991</v>
      </c>
      <c r="F392" t="s">
        <v>3115</v>
      </c>
      <c r="G392">
        <f>'Assessment Questions'!J392</f>
        <v>5</v>
      </c>
      <c r="H392">
        <f t="shared" si="154"/>
        <v>0</v>
      </c>
      <c r="I392">
        <f t="shared" si="155"/>
        <v>0</v>
      </c>
      <c r="J392">
        <f t="shared" si="156"/>
        <v>5</v>
      </c>
      <c r="K392">
        <f t="shared" si="157"/>
        <v>5</v>
      </c>
      <c r="L392" t="str">
        <f t="shared" si="158"/>
        <v>Critical</v>
      </c>
      <c r="M392" t="s">
        <v>833</v>
      </c>
      <c r="N392" t="s">
        <v>834</v>
      </c>
      <c r="O392" t="s">
        <v>835</v>
      </c>
      <c r="P392" t="s">
        <v>836</v>
      </c>
      <c r="Q392" t="s">
        <v>837</v>
      </c>
      <c r="R392" t="s">
        <v>838</v>
      </c>
      <c r="S392" t="s">
        <v>2999</v>
      </c>
      <c r="T392">
        <f>'Assessment Questions'!W392</f>
        <v>0</v>
      </c>
      <c r="U392">
        <f>'Assessment Questions'!X392</f>
        <v>0</v>
      </c>
      <c r="V392" t="str">
        <f>'Assessment Questions'!Y392</f>
        <v>Use the recommended action generated by the model; validate with domain owner during real assessment.</v>
      </c>
      <c r="W392">
        <v>5</v>
      </c>
      <c r="X392">
        <v>5</v>
      </c>
      <c r="Y392">
        <v>5</v>
      </c>
      <c r="Z392">
        <f>'Assessment Questions'!AC392</f>
        <v>0</v>
      </c>
      <c r="AB392">
        <f t="shared" si="150"/>
        <v>0</v>
      </c>
      <c r="AC392">
        <f t="shared" si="151"/>
        <v>0</v>
      </c>
      <c r="AD392">
        <f t="shared" si="159"/>
        <v>0</v>
      </c>
      <c r="AE392">
        <f t="shared" si="152"/>
        <v>0</v>
      </c>
      <c r="AF392">
        <f t="shared" si="160"/>
        <v>5</v>
      </c>
      <c r="AG392">
        <f t="shared" si="153"/>
        <v>0</v>
      </c>
      <c r="AH392">
        <f>'Assessment Questions'!AK392</f>
        <v>0</v>
      </c>
      <c r="AI392">
        <f>'Assessment Questions'!AL392</f>
        <v>0</v>
      </c>
      <c r="AJ392">
        <f>IF(OR($H392="",$H392="N/A"),"",IF($AH392="",VLOOKUP('Company Profile'!$B$40,_CONFIG_Model_Settings!$A$5:$B$8,2,FALSE),IFERROR(VLOOKUP($AH392,_CONFIG_Model_Settings!$A$5:$B$8,2,FALSE),0.9)))</f>
        <v>0.9</v>
      </c>
      <c r="AK392">
        <f>IF(OR($H392="",$H392="N/A"),"",IF($AI392="",VLOOKUP('Company Profile'!$B$41,_CONFIG_Model_Settings!$A$5:$B$8,2,FALSE),IFERROR(VLOOKUP($AI392,_CONFIG_Model_Settings!$A$5:$B$8,2,FALSE),0.9)))</f>
        <v>0.9</v>
      </c>
      <c r="AL392">
        <f t="shared" si="161"/>
        <v>0</v>
      </c>
      <c r="AM392">
        <f t="shared" si="162"/>
        <v>0</v>
      </c>
      <c r="AN392">
        <f>IFERROR(MIN(5,MAX(0,(SUMIFS(_REF_Model_Content!$D$1:$D$174,_REF_Model_Content!$A$1:$A$174,PV_Canonical_Industry,_REF_Model_Content!$B$1:$B$174,"Cyber Privacy"))+IFERROR(VLOOKUP('Company Profile'!$B$35,_CONFIG_Model_Settings!$A$11:$B$13,2,0),0))),"")</f>
        <v>0</v>
      </c>
      <c r="AO392">
        <f t="shared" si="163"/>
        <v>0</v>
      </c>
      <c r="AP392">
        <f>IFERROR(SUMIFS(_REF_Model_Content!$E$1:$E$174,_REF_Model_Content!$A$1:$A$174,PV_Canonical_Industry,_REF_Model_Content!$B$1:$B$174,"Cyber Privacy"),1)</f>
        <v>0</v>
      </c>
      <c r="AQ392">
        <f t="shared" si="164"/>
        <v>0</v>
      </c>
      <c r="AR392" t="str">
        <f t="shared" si="165"/>
        <v>Within target</v>
      </c>
      <c r="AS392">
        <f t="shared" si="166"/>
        <v>0</v>
      </c>
      <c r="AT392">
        <f t="shared" si="167"/>
        <v>0.9</v>
      </c>
      <c r="AU392">
        <f>'Assessment Questions'!AX392</f>
        <v>0</v>
      </c>
      <c r="AV392">
        <f t="shared" si="168"/>
        <v>0.9</v>
      </c>
      <c r="AW392" t="s">
        <v>2986</v>
      </c>
      <c r="AX392" t="s">
        <v>2986</v>
      </c>
      <c r="AY392">
        <v>24</v>
      </c>
      <c r="AZ392">
        <v>392</v>
      </c>
    </row>
    <row r="393" spans="1:52">
      <c r="A393" t="s">
        <v>3116</v>
      </c>
      <c r="B393" t="s">
        <v>3023</v>
      </c>
      <c r="C393" t="s">
        <v>3117</v>
      </c>
      <c r="D393" t="s">
        <v>2990</v>
      </c>
      <c r="E393" t="s">
        <v>2991</v>
      </c>
      <c r="F393" t="s">
        <v>3118</v>
      </c>
      <c r="G393">
        <f>'Assessment Questions'!J393</f>
        <v>5</v>
      </c>
      <c r="H393">
        <f t="shared" si="154"/>
        <v>0</v>
      </c>
      <c r="I393">
        <f t="shared" si="155"/>
        <v>0</v>
      </c>
      <c r="J393">
        <f t="shared" si="156"/>
        <v>5</v>
      </c>
      <c r="K393">
        <f t="shared" si="157"/>
        <v>5</v>
      </c>
      <c r="L393" t="str">
        <f t="shared" si="158"/>
        <v>Critical</v>
      </c>
      <c r="M393" t="s">
        <v>1069</v>
      </c>
      <c r="N393" t="s">
        <v>1070</v>
      </c>
      <c r="O393" t="s">
        <v>1071</v>
      </c>
      <c r="P393" t="s">
        <v>1072</v>
      </c>
      <c r="Q393" t="s">
        <v>1073</v>
      </c>
      <c r="R393" t="s">
        <v>1074</v>
      </c>
      <c r="S393" t="s">
        <v>2999</v>
      </c>
      <c r="T393">
        <f>'Assessment Questions'!W393</f>
        <v>0</v>
      </c>
      <c r="U393">
        <f>'Assessment Questions'!X393</f>
        <v>0</v>
      </c>
      <c r="V393" t="str">
        <f>'Assessment Questions'!Y393</f>
        <v>Use the recommended action generated by the model; validate with domain owner during real assessment.</v>
      </c>
      <c r="W393">
        <v>5</v>
      </c>
      <c r="X393">
        <v>5</v>
      </c>
      <c r="Y393">
        <v>5</v>
      </c>
      <c r="Z393">
        <f>'Assessment Questions'!AC393</f>
        <v>0</v>
      </c>
      <c r="AB393">
        <f t="shared" si="150"/>
        <v>0</v>
      </c>
      <c r="AC393">
        <f t="shared" si="151"/>
        <v>0</v>
      </c>
      <c r="AD393">
        <f t="shared" si="159"/>
        <v>0</v>
      </c>
      <c r="AE393">
        <f t="shared" si="152"/>
        <v>0</v>
      </c>
      <c r="AF393">
        <f t="shared" si="160"/>
        <v>5</v>
      </c>
      <c r="AG393">
        <f t="shared" si="153"/>
        <v>0</v>
      </c>
      <c r="AH393">
        <f>'Assessment Questions'!AK393</f>
        <v>0</v>
      </c>
      <c r="AI393">
        <f>'Assessment Questions'!AL393</f>
        <v>0</v>
      </c>
      <c r="AJ393">
        <f>IF(OR($H393="",$H393="N/A"),"",IF($AH393="",VLOOKUP('Company Profile'!$B$40,_CONFIG_Model_Settings!$A$5:$B$8,2,FALSE),IFERROR(VLOOKUP($AH393,_CONFIG_Model_Settings!$A$5:$B$8,2,FALSE),0.9)))</f>
        <v>0.9</v>
      </c>
      <c r="AK393">
        <f>IF(OR($H393="",$H393="N/A"),"",IF($AI393="",VLOOKUP('Company Profile'!$B$41,_CONFIG_Model_Settings!$A$5:$B$8,2,FALSE),IFERROR(VLOOKUP($AI393,_CONFIG_Model_Settings!$A$5:$B$8,2,FALSE),0.9)))</f>
        <v>0.9</v>
      </c>
      <c r="AL393">
        <f t="shared" si="161"/>
        <v>0</v>
      </c>
      <c r="AM393">
        <f t="shared" si="162"/>
        <v>0</v>
      </c>
      <c r="AN393">
        <f>IFERROR(MIN(5,MAX(0,(SUMIFS(_REF_Model_Content!$D$1:$D$174,_REF_Model_Content!$A$1:$A$174,PV_Canonical_Industry,_REF_Model_Content!$B$1:$B$174,"Cyber Privacy"))+IFERROR(VLOOKUP('Company Profile'!$B$35,_CONFIG_Model_Settings!$A$11:$B$13,2,0),0))),"")</f>
        <v>0</v>
      </c>
      <c r="AO393">
        <f t="shared" si="163"/>
        <v>0</v>
      </c>
      <c r="AP393">
        <f>IFERROR(SUMIFS(_REF_Model_Content!$E$1:$E$174,_REF_Model_Content!$A$1:$A$174,PV_Canonical_Industry,_REF_Model_Content!$B$1:$B$174,"Cyber Privacy"),1)</f>
        <v>0</v>
      </c>
      <c r="AQ393">
        <f t="shared" si="164"/>
        <v>0</v>
      </c>
      <c r="AR393" t="str">
        <f t="shared" si="165"/>
        <v>Within target</v>
      </c>
      <c r="AS393">
        <f t="shared" si="166"/>
        <v>0</v>
      </c>
      <c r="AT393">
        <f t="shared" si="167"/>
        <v>0.9</v>
      </c>
      <c r="AU393">
        <f>'Assessment Questions'!AX393</f>
        <v>0</v>
      </c>
      <c r="AV393">
        <f t="shared" si="168"/>
        <v>0.9</v>
      </c>
      <c r="AW393" t="s">
        <v>2986</v>
      </c>
      <c r="AX393" t="s">
        <v>2986</v>
      </c>
      <c r="AY393">
        <v>25</v>
      </c>
      <c r="AZ393">
        <v>393</v>
      </c>
    </row>
    <row r="394" spans="1:52">
      <c r="A394" t="s">
        <v>3119</v>
      </c>
      <c r="B394" t="s">
        <v>3023</v>
      </c>
      <c r="C394" t="s">
        <v>3120</v>
      </c>
      <c r="D394" t="s">
        <v>2990</v>
      </c>
      <c r="E394" t="s">
        <v>2991</v>
      </c>
      <c r="F394" t="s">
        <v>3121</v>
      </c>
      <c r="G394">
        <f>'Assessment Questions'!J394</f>
        <v>3</v>
      </c>
      <c r="H394">
        <f t="shared" si="154"/>
        <v>0</v>
      </c>
      <c r="I394">
        <f t="shared" si="155"/>
        <v>0</v>
      </c>
      <c r="J394">
        <f t="shared" si="156"/>
        <v>3</v>
      </c>
      <c r="K394">
        <f t="shared" si="157"/>
        <v>3</v>
      </c>
      <c r="L394" t="str">
        <f t="shared" si="158"/>
        <v>Critical</v>
      </c>
      <c r="M394" t="s">
        <v>3122</v>
      </c>
      <c r="N394" t="s">
        <v>3123</v>
      </c>
      <c r="O394" t="s">
        <v>3124</v>
      </c>
      <c r="P394" t="s">
        <v>3125</v>
      </c>
      <c r="Q394" t="s">
        <v>3126</v>
      </c>
      <c r="R394" t="s">
        <v>3127</v>
      </c>
      <c r="S394" t="s">
        <v>2999</v>
      </c>
      <c r="T394">
        <f>'Assessment Questions'!W394</f>
        <v>0</v>
      </c>
      <c r="U394">
        <f>'Assessment Questions'!X394</f>
        <v>0</v>
      </c>
      <c r="V394" t="str">
        <f>'Assessment Questions'!Y394</f>
        <v>Use the recommended action generated by the model; validate with domain owner during real assessment.</v>
      </c>
      <c r="W394">
        <v>5</v>
      </c>
      <c r="X394">
        <v>5</v>
      </c>
      <c r="Y394">
        <v>5</v>
      </c>
      <c r="Z394">
        <f>'Assessment Questions'!AC394</f>
        <v>0</v>
      </c>
      <c r="AB394">
        <f t="shared" si="150"/>
        <v>0</v>
      </c>
      <c r="AC394">
        <f t="shared" si="151"/>
        <v>0</v>
      </c>
      <c r="AD394">
        <f t="shared" si="159"/>
        <v>0</v>
      </c>
      <c r="AE394">
        <f t="shared" si="152"/>
        <v>0</v>
      </c>
      <c r="AF394">
        <f t="shared" si="160"/>
        <v>5</v>
      </c>
      <c r="AG394">
        <f t="shared" si="153"/>
        <v>0</v>
      </c>
      <c r="AH394">
        <f>'Assessment Questions'!AK394</f>
        <v>0</v>
      </c>
      <c r="AI394">
        <f>'Assessment Questions'!AL394</f>
        <v>0</v>
      </c>
      <c r="AJ394">
        <f>IF(OR($H394="",$H394="N/A"),"",IF($AH394="",VLOOKUP('Company Profile'!$B$40,_CONFIG_Model_Settings!$A$5:$B$8,2,FALSE),IFERROR(VLOOKUP($AH394,_CONFIG_Model_Settings!$A$5:$B$8,2,FALSE),0.9)))</f>
        <v>0.9</v>
      </c>
      <c r="AK394">
        <f>IF(OR($H394="",$H394="N/A"),"",IF($AI394="",VLOOKUP('Company Profile'!$B$41,_CONFIG_Model_Settings!$A$5:$B$8,2,FALSE),IFERROR(VLOOKUP($AI394,_CONFIG_Model_Settings!$A$5:$B$8,2,FALSE),0.9)))</f>
        <v>0.9</v>
      </c>
      <c r="AL394">
        <f t="shared" si="161"/>
        <v>0</v>
      </c>
      <c r="AM394">
        <f t="shared" si="162"/>
        <v>0</v>
      </c>
      <c r="AN394">
        <f>IFERROR(MIN(5,MAX(0,(SUMIFS(_REF_Model_Content!$D$1:$D$174,_REF_Model_Content!$A$1:$A$174,PV_Canonical_Industry,_REF_Model_Content!$B$1:$B$174,"Cyber Privacy"))+IFERROR(VLOOKUP('Company Profile'!$B$35,_CONFIG_Model_Settings!$A$11:$B$13,2,0),0))),"")</f>
        <v>0</v>
      </c>
      <c r="AO394">
        <f t="shared" si="163"/>
        <v>0</v>
      </c>
      <c r="AP394">
        <f>IFERROR(SUMIFS(_REF_Model_Content!$E$1:$E$174,_REF_Model_Content!$A$1:$A$174,PV_Canonical_Industry,_REF_Model_Content!$B$1:$B$174,"Cyber Privacy"),1)</f>
        <v>0</v>
      </c>
      <c r="AQ394">
        <f t="shared" si="164"/>
        <v>0</v>
      </c>
      <c r="AR394" t="str">
        <f t="shared" si="165"/>
        <v>Within target</v>
      </c>
      <c r="AS394">
        <f t="shared" si="166"/>
        <v>0</v>
      </c>
      <c r="AT394">
        <f t="shared" si="167"/>
        <v>0.9</v>
      </c>
      <c r="AU394">
        <f>'Assessment Questions'!AX394</f>
        <v>0</v>
      </c>
      <c r="AV394">
        <f t="shared" si="168"/>
        <v>0.9</v>
      </c>
      <c r="AW394" t="s">
        <v>2986</v>
      </c>
      <c r="AX394" t="s">
        <v>2986</v>
      </c>
      <c r="AY394">
        <v>26</v>
      </c>
      <c r="AZ394">
        <v>394</v>
      </c>
    </row>
    <row r="395" spans="1:52">
      <c r="A395" t="s">
        <v>3128</v>
      </c>
      <c r="B395" t="s">
        <v>3023</v>
      </c>
      <c r="C395" t="s">
        <v>3129</v>
      </c>
      <c r="D395" t="s">
        <v>2990</v>
      </c>
      <c r="E395" t="s">
        <v>2991</v>
      </c>
      <c r="F395" t="s">
        <v>3130</v>
      </c>
      <c r="G395">
        <f>'Assessment Questions'!J395</f>
        <v>5</v>
      </c>
      <c r="H395">
        <f t="shared" si="154"/>
        <v>0</v>
      </c>
      <c r="I395">
        <f t="shared" si="155"/>
        <v>0</v>
      </c>
      <c r="J395">
        <f t="shared" si="156"/>
        <v>5</v>
      </c>
      <c r="K395">
        <f t="shared" si="157"/>
        <v>5</v>
      </c>
      <c r="L395" t="str">
        <f t="shared" si="158"/>
        <v>Critical</v>
      </c>
      <c r="M395" t="s">
        <v>874</v>
      </c>
      <c r="N395" t="s">
        <v>875</v>
      </c>
      <c r="O395" t="s">
        <v>876</v>
      </c>
      <c r="P395" t="s">
        <v>877</v>
      </c>
      <c r="Q395" t="s">
        <v>878</v>
      </c>
      <c r="R395" t="s">
        <v>879</v>
      </c>
      <c r="S395" t="s">
        <v>2999</v>
      </c>
      <c r="T395">
        <f>'Assessment Questions'!W395</f>
        <v>0</v>
      </c>
      <c r="U395">
        <f>'Assessment Questions'!X395</f>
        <v>0</v>
      </c>
      <c r="V395" t="str">
        <f>'Assessment Questions'!Y395</f>
        <v>Use the recommended action generated by the model; validate with domain owner during real assessment.</v>
      </c>
      <c r="W395">
        <v>5</v>
      </c>
      <c r="X395">
        <v>5</v>
      </c>
      <c r="Y395">
        <v>5</v>
      </c>
      <c r="Z395">
        <f>'Assessment Questions'!AC395</f>
        <v>0</v>
      </c>
      <c r="AB395">
        <f t="shared" si="150"/>
        <v>0</v>
      </c>
      <c r="AC395">
        <f t="shared" si="151"/>
        <v>0</v>
      </c>
      <c r="AD395">
        <f t="shared" si="159"/>
        <v>0</v>
      </c>
      <c r="AE395">
        <f t="shared" si="152"/>
        <v>0</v>
      </c>
      <c r="AF395">
        <f t="shared" si="160"/>
        <v>5</v>
      </c>
      <c r="AG395">
        <f t="shared" si="153"/>
        <v>0</v>
      </c>
      <c r="AH395">
        <f>'Assessment Questions'!AK395</f>
        <v>0</v>
      </c>
      <c r="AI395">
        <f>'Assessment Questions'!AL395</f>
        <v>0</v>
      </c>
      <c r="AJ395">
        <f>IF(OR($H395="",$H395="N/A"),"",IF($AH395="",VLOOKUP('Company Profile'!$B$40,_CONFIG_Model_Settings!$A$5:$B$8,2,FALSE),IFERROR(VLOOKUP($AH395,_CONFIG_Model_Settings!$A$5:$B$8,2,FALSE),0.9)))</f>
        <v>0.9</v>
      </c>
      <c r="AK395">
        <f>IF(OR($H395="",$H395="N/A"),"",IF($AI395="",VLOOKUP('Company Profile'!$B$41,_CONFIG_Model_Settings!$A$5:$B$8,2,FALSE),IFERROR(VLOOKUP($AI395,_CONFIG_Model_Settings!$A$5:$B$8,2,FALSE),0.9)))</f>
        <v>0.9</v>
      </c>
      <c r="AL395">
        <f t="shared" si="161"/>
        <v>0</v>
      </c>
      <c r="AM395">
        <f t="shared" si="162"/>
        <v>0</v>
      </c>
      <c r="AN395">
        <f>IFERROR(MIN(5,MAX(0,(SUMIFS(_REF_Model_Content!$D$1:$D$174,_REF_Model_Content!$A$1:$A$174,PV_Canonical_Industry,_REF_Model_Content!$B$1:$B$174,"Cyber Privacy"))+IFERROR(VLOOKUP('Company Profile'!$B$35,_CONFIG_Model_Settings!$A$11:$B$13,2,0),0))),"")</f>
        <v>0</v>
      </c>
      <c r="AO395">
        <f t="shared" si="163"/>
        <v>0</v>
      </c>
      <c r="AP395">
        <f>IFERROR(SUMIFS(_REF_Model_Content!$E$1:$E$174,_REF_Model_Content!$A$1:$A$174,PV_Canonical_Industry,_REF_Model_Content!$B$1:$B$174,"Cyber Privacy"),1)</f>
        <v>0</v>
      </c>
      <c r="AQ395">
        <f t="shared" si="164"/>
        <v>0</v>
      </c>
      <c r="AR395" t="str">
        <f t="shared" si="165"/>
        <v>Within target</v>
      </c>
      <c r="AS395">
        <f t="shared" si="166"/>
        <v>0</v>
      </c>
      <c r="AT395">
        <f t="shared" si="167"/>
        <v>0.9</v>
      </c>
      <c r="AU395">
        <f>'Assessment Questions'!AX395</f>
        <v>0</v>
      </c>
      <c r="AV395">
        <f t="shared" si="168"/>
        <v>0.9</v>
      </c>
      <c r="AW395" t="s">
        <v>2986</v>
      </c>
      <c r="AX395" t="s">
        <v>2986</v>
      </c>
      <c r="AY395">
        <v>27</v>
      </c>
      <c r="AZ395">
        <v>395</v>
      </c>
    </row>
    <row r="396" spans="1:52">
      <c r="A396" t="s">
        <v>3131</v>
      </c>
      <c r="B396" t="s">
        <v>3023</v>
      </c>
      <c r="C396" t="s">
        <v>3132</v>
      </c>
      <c r="D396" t="s">
        <v>2990</v>
      </c>
      <c r="E396" t="s">
        <v>2991</v>
      </c>
      <c r="F396" t="s">
        <v>3133</v>
      </c>
      <c r="G396">
        <f>'Assessment Questions'!J396</f>
        <v>5</v>
      </c>
      <c r="H396">
        <f t="shared" si="154"/>
        <v>0</v>
      </c>
      <c r="I396">
        <f t="shared" si="155"/>
        <v>0</v>
      </c>
      <c r="J396">
        <f t="shared" si="156"/>
        <v>5</v>
      </c>
      <c r="K396">
        <f t="shared" si="157"/>
        <v>5</v>
      </c>
      <c r="L396" t="str">
        <f t="shared" si="158"/>
        <v>Critical</v>
      </c>
      <c r="M396" t="s">
        <v>874</v>
      </c>
      <c r="N396" t="s">
        <v>875</v>
      </c>
      <c r="O396" t="s">
        <v>876</v>
      </c>
      <c r="P396" t="s">
        <v>877</v>
      </c>
      <c r="Q396" t="s">
        <v>878</v>
      </c>
      <c r="R396" t="s">
        <v>879</v>
      </c>
      <c r="S396" t="s">
        <v>2999</v>
      </c>
      <c r="T396">
        <f>'Assessment Questions'!W396</f>
        <v>0</v>
      </c>
      <c r="U396">
        <f>'Assessment Questions'!X396</f>
        <v>0</v>
      </c>
      <c r="V396" t="str">
        <f>'Assessment Questions'!Y396</f>
        <v>Use the recommended action generated by the model; validate with domain owner during real assessment.</v>
      </c>
      <c r="W396">
        <v>5</v>
      </c>
      <c r="X396">
        <v>5</v>
      </c>
      <c r="Y396">
        <v>5</v>
      </c>
      <c r="Z396">
        <f>'Assessment Questions'!AC396</f>
        <v>0</v>
      </c>
      <c r="AB396">
        <f t="shared" si="150"/>
        <v>0</v>
      </c>
      <c r="AC396">
        <f t="shared" si="151"/>
        <v>0</v>
      </c>
      <c r="AD396">
        <f t="shared" si="159"/>
        <v>0</v>
      </c>
      <c r="AE396">
        <f t="shared" si="152"/>
        <v>0</v>
      </c>
      <c r="AF396">
        <f t="shared" si="160"/>
        <v>5</v>
      </c>
      <c r="AG396">
        <f t="shared" si="153"/>
        <v>0</v>
      </c>
      <c r="AH396">
        <f>'Assessment Questions'!AK396</f>
        <v>0</v>
      </c>
      <c r="AI396">
        <f>'Assessment Questions'!AL396</f>
        <v>0</v>
      </c>
      <c r="AJ396">
        <f>IF(OR($H396="",$H396="N/A"),"",IF($AH396="",VLOOKUP('Company Profile'!$B$40,_CONFIG_Model_Settings!$A$5:$B$8,2,FALSE),IFERROR(VLOOKUP($AH396,_CONFIG_Model_Settings!$A$5:$B$8,2,FALSE),0.9)))</f>
        <v>0.9</v>
      </c>
      <c r="AK396">
        <f>IF(OR($H396="",$H396="N/A"),"",IF($AI396="",VLOOKUP('Company Profile'!$B$41,_CONFIG_Model_Settings!$A$5:$B$8,2,FALSE),IFERROR(VLOOKUP($AI396,_CONFIG_Model_Settings!$A$5:$B$8,2,FALSE),0.9)))</f>
        <v>0.9</v>
      </c>
      <c r="AL396">
        <f t="shared" si="161"/>
        <v>0</v>
      </c>
      <c r="AM396">
        <f t="shared" si="162"/>
        <v>0</v>
      </c>
      <c r="AN396">
        <f>IFERROR(MIN(5,MAX(0,(SUMIFS(_REF_Model_Content!$D$1:$D$174,_REF_Model_Content!$A$1:$A$174,PV_Canonical_Industry,_REF_Model_Content!$B$1:$B$174,"Cyber Privacy"))+IFERROR(VLOOKUP('Company Profile'!$B$35,_CONFIG_Model_Settings!$A$11:$B$13,2,0),0))),"")</f>
        <v>0</v>
      </c>
      <c r="AO396">
        <f t="shared" si="163"/>
        <v>0</v>
      </c>
      <c r="AP396">
        <f>IFERROR(SUMIFS(_REF_Model_Content!$E$1:$E$174,_REF_Model_Content!$A$1:$A$174,PV_Canonical_Industry,_REF_Model_Content!$B$1:$B$174,"Cyber Privacy"),1)</f>
        <v>0</v>
      </c>
      <c r="AQ396">
        <f t="shared" si="164"/>
        <v>0</v>
      </c>
      <c r="AR396" t="str">
        <f t="shared" si="165"/>
        <v>Within target</v>
      </c>
      <c r="AS396">
        <f t="shared" si="166"/>
        <v>0</v>
      </c>
      <c r="AT396">
        <f t="shared" si="167"/>
        <v>0.9</v>
      </c>
      <c r="AU396">
        <f>'Assessment Questions'!AX396</f>
        <v>0</v>
      </c>
      <c r="AV396">
        <f t="shared" si="168"/>
        <v>0.9</v>
      </c>
      <c r="AW396" t="s">
        <v>2986</v>
      </c>
      <c r="AX396" t="s">
        <v>2986</v>
      </c>
      <c r="AY396">
        <v>28</v>
      </c>
      <c r="AZ396">
        <v>396</v>
      </c>
    </row>
    <row r="397" spans="1:52">
      <c r="A397" t="s">
        <v>3134</v>
      </c>
      <c r="B397" t="s">
        <v>3023</v>
      </c>
      <c r="C397" t="s">
        <v>3135</v>
      </c>
      <c r="D397" t="s">
        <v>2990</v>
      </c>
      <c r="E397" t="s">
        <v>2991</v>
      </c>
      <c r="F397" t="s">
        <v>3136</v>
      </c>
      <c r="G397">
        <f>'Assessment Questions'!J397</f>
        <v>5</v>
      </c>
      <c r="H397">
        <f t="shared" si="154"/>
        <v>0</v>
      </c>
      <c r="I397">
        <f t="shared" si="155"/>
        <v>0</v>
      </c>
      <c r="J397">
        <f t="shared" si="156"/>
        <v>5</v>
      </c>
      <c r="K397">
        <f t="shared" si="157"/>
        <v>5</v>
      </c>
      <c r="L397" t="str">
        <f t="shared" si="158"/>
        <v>Critical</v>
      </c>
      <c r="M397" t="s">
        <v>1202</v>
      </c>
      <c r="N397" t="s">
        <v>1203</v>
      </c>
      <c r="O397" t="s">
        <v>1204</v>
      </c>
      <c r="P397" t="s">
        <v>1205</v>
      </c>
      <c r="Q397" t="s">
        <v>1206</v>
      </c>
      <c r="R397" t="s">
        <v>1207</v>
      </c>
      <c r="S397" t="s">
        <v>2999</v>
      </c>
      <c r="T397">
        <f>'Assessment Questions'!W397</f>
        <v>0</v>
      </c>
      <c r="U397">
        <f>'Assessment Questions'!X397</f>
        <v>0</v>
      </c>
      <c r="V397" t="str">
        <f>'Assessment Questions'!Y397</f>
        <v>Use the recommended action generated by the model; validate with domain owner during real assessment.</v>
      </c>
      <c r="W397">
        <v>5</v>
      </c>
      <c r="X397">
        <v>5</v>
      </c>
      <c r="Y397">
        <v>5</v>
      </c>
      <c r="Z397">
        <f>'Assessment Questions'!AC397</f>
        <v>0</v>
      </c>
      <c r="AB397">
        <f t="shared" si="150"/>
        <v>0</v>
      </c>
      <c r="AC397">
        <f t="shared" si="151"/>
        <v>0</v>
      </c>
      <c r="AD397">
        <f t="shared" si="159"/>
        <v>0</v>
      </c>
      <c r="AE397">
        <f t="shared" si="152"/>
        <v>0</v>
      </c>
      <c r="AF397">
        <f t="shared" si="160"/>
        <v>5</v>
      </c>
      <c r="AG397">
        <f t="shared" si="153"/>
        <v>0</v>
      </c>
      <c r="AH397">
        <f>'Assessment Questions'!AK397</f>
        <v>0</v>
      </c>
      <c r="AI397">
        <f>'Assessment Questions'!AL397</f>
        <v>0</v>
      </c>
      <c r="AJ397">
        <f>IF(OR($H397="",$H397="N/A"),"",IF($AH397="",VLOOKUP('Company Profile'!$B$40,_CONFIG_Model_Settings!$A$5:$B$8,2,FALSE),IFERROR(VLOOKUP($AH397,_CONFIG_Model_Settings!$A$5:$B$8,2,FALSE),0.9)))</f>
        <v>0.9</v>
      </c>
      <c r="AK397">
        <f>IF(OR($H397="",$H397="N/A"),"",IF($AI397="",VLOOKUP('Company Profile'!$B$41,_CONFIG_Model_Settings!$A$5:$B$8,2,FALSE),IFERROR(VLOOKUP($AI397,_CONFIG_Model_Settings!$A$5:$B$8,2,FALSE),0.9)))</f>
        <v>0.9</v>
      </c>
      <c r="AL397">
        <f t="shared" si="161"/>
        <v>0</v>
      </c>
      <c r="AM397">
        <f t="shared" si="162"/>
        <v>0</v>
      </c>
      <c r="AN397">
        <f>IFERROR(MIN(5,MAX(0,(SUMIFS(_REF_Model_Content!$D$1:$D$174,_REF_Model_Content!$A$1:$A$174,PV_Canonical_Industry,_REF_Model_Content!$B$1:$B$174,"Cyber Privacy"))+IFERROR(VLOOKUP('Company Profile'!$B$35,_CONFIG_Model_Settings!$A$11:$B$13,2,0),0))),"")</f>
        <v>0</v>
      </c>
      <c r="AO397">
        <f t="shared" si="163"/>
        <v>0</v>
      </c>
      <c r="AP397">
        <f>IFERROR(SUMIFS(_REF_Model_Content!$E$1:$E$174,_REF_Model_Content!$A$1:$A$174,PV_Canonical_Industry,_REF_Model_Content!$B$1:$B$174,"Cyber Privacy"),1)</f>
        <v>0</v>
      </c>
      <c r="AQ397">
        <f t="shared" si="164"/>
        <v>0</v>
      </c>
      <c r="AR397" t="str">
        <f t="shared" si="165"/>
        <v>Within target</v>
      </c>
      <c r="AS397">
        <f t="shared" si="166"/>
        <v>0</v>
      </c>
      <c r="AT397">
        <f t="shared" si="167"/>
        <v>0.9</v>
      </c>
      <c r="AU397">
        <f>'Assessment Questions'!AX397</f>
        <v>0</v>
      </c>
      <c r="AV397">
        <f t="shared" si="168"/>
        <v>0.9</v>
      </c>
      <c r="AW397" t="s">
        <v>2986</v>
      </c>
      <c r="AX397" t="s">
        <v>2986</v>
      </c>
      <c r="AY397">
        <v>29</v>
      </c>
      <c r="AZ397">
        <v>397</v>
      </c>
    </row>
    <row r="398" spans="1:52">
      <c r="A398" t="s">
        <v>3137</v>
      </c>
      <c r="B398" t="s">
        <v>3023</v>
      </c>
      <c r="C398" t="s">
        <v>3138</v>
      </c>
      <c r="D398" t="s">
        <v>2990</v>
      </c>
      <c r="E398" t="s">
        <v>2991</v>
      </c>
      <c r="F398" t="s">
        <v>3139</v>
      </c>
      <c r="G398">
        <f>'Assessment Questions'!J398</f>
        <v>5</v>
      </c>
      <c r="H398">
        <f t="shared" si="154"/>
        <v>0</v>
      </c>
      <c r="I398">
        <f t="shared" si="155"/>
        <v>0</v>
      </c>
      <c r="J398">
        <f t="shared" si="156"/>
        <v>5</v>
      </c>
      <c r="K398">
        <f t="shared" si="157"/>
        <v>5</v>
      </c>
      <c r="L398" t="str">
        <f t="shared" si="158"/>
        <v>Critical</v>
      </c>
      <c r="M398" t="s">
        <v>833</v>
      </c>
      <c r="N398" t="s">
        <v>834</v>
      </c>
      <c r="O398" t="s">
        <v>835</v>
      </c>
      <c r="P398" t="s">
        <v>836</v>
      </c>
      <c r="Q398" t="s">
        <v>837</v>
      </c>
      <c r="R398" t="s">
        <v>838</v>
      </c>
      <c r="S398" t="s">
        <v>2999</v>
      </c>
      <c r="T398">
        <f>'Assessment Questions'!W398</f>
        <v>0</v>
      </c>
      <c r="U398">
        <f>'Assessment Questions'!X398</f>
        <v>0</v>
      </c>
      <c r="V398" t="str">
        <f>'Assessment Questions'!Y398</f>
        <v>Use the recommended action generated by the model; validate with domain owner during real assessment.</v>
      </c>
      <c r="W398">
        <v>5</v>
      </c>
      <c r="X398">
        <v>5</v>
      </c>
      <c r="Y398">
        <v>5</v>
      </c>
      <c r="Z398">
        <f>'Assessment Questions'!AC398</f>
        <v>0</v>
      </c>
      <c r="AB398">
        <f t="shared" si="150"/>
        <v>0</v>
      </c>
      <c r="AC398">
        <f t="shared" si="151"/>
        <v>0</v>
      </c>
      <c r="AD398">
        <f t="shared" si="159"/>
        <v>0</v>
      </c>
      <c r="AE398">
        <f t="shared" si="152"/>
        <v>0</v>
      </c>
      <c r="AF398">
        <f t="shared" si="160"/>
        <v>5</v>
      </c>
      <c r="AG398">
        <f t="shared" si="153"/>
        <v>0</v>
      </c>
      <c r="AH398">
        <f>'Assessment Questions'!AK398</f>
        <v>0</v>
      </c>
      <c r="AI398">
        <f>'Assessment Questions'!AL398</f>
        <v>0</v>
      </c>
      <c r="AJ398">
        <f>IF(OR($H398="",$H398="N/A"),"",IF($AH398="",VLOOKUP('Company Profile'!$B$40,_CONFIG_Model_Settings!$A$5:$B$8,2,FALSE),IFERROR(VLOOKUP($AH398,_CONFIG_Model_Settings!$A$5:$B$8,2,FALSE),0.9)))</f>
        <v>0.9</v>
      </c>
      <c r="AK398">
        <f>IF(OR($H398="",$H398="N/A"),"",IF($AI398="",VLOOKUP('Company Profile'!$B$41,_CONFIG_Model_Settings!$A$5:$B$8,2,FALSE),IFERROR(VLOOKUP($AI398,_CONFIG_Model_Settings!$A$5:$B$8,2,FALSE),0.9)))</f>
        <v>0.9</v>
      </c>
      <c r="AL398">
        <f t="shared" si="161"/>
        <v>0</v>
      </c>
      <c r="AM398">
        <f t="shared" si="162"/>
        <v>0</v>
      </c>
      <c r="AN398">
        <f>IFERROR(MIN(5,MAX(0,(SUMIFS(_REF_Model_Content!$D$1:$D$174,_REF_Model_Content!$A$1:$A$174,PV_Canonical_Industry,_REF_Model_Content!$B$1:$B$174,"Cyber Privacy"))+IFERROR(VLOOKUP('Company Profile'!$B$35,_CONFIG_Model_Settings!$A$11:$B$13,2,0),0))),"")</f>
        <v>0</v>
      </c>
      <c r="AO398">
        <f t="shared" si="163"/>
        <v>0</v>
      </c>
      <c r="AP398">
        <f>IFERROR(SUMIFS(_REF_Model_Content!$E$1:$E$174,_REF_Model_Content!$A$1:$A$174,PV_Canonical_Industry,_REF_Model_Content!$B$1:$B$174,"Cyber Privacy"),1)</f>
        <v>0</v>
      </c>
      <c r="AQ398">
        <f t="shared" si="164"/>
        <v>0</v>
      </c>
      <c r="AR398" t="str">
        <f t="shared" si="165"/>
        <v>Within target</v>
      </c>
      <c r="AS398">
        <f t="shared" si="166"/>
        <v>0</v>
      </c>
      <c r="AT398">
        <f t="shared" si="167"/>
        <v>0.9</v>
      </c>
      <c r="AU398">
        <f>'Assessment Questions'!AX398</f>
        <v>0</v>
      </c>
      <c r="AV398">
        <f t="shared" si="168"/>
        <v>0.9</v>
      </c>
      <c r="AW398" t="s">
        <v>2986</v>
      </c>
      <c r="AX398" t="s">
        <v>2986</v>
      </c>
      <c r="AY398">
        <v>30</v>
      </c>
      <c r="AZ398">
        <v>398</v>
      </c>
    </row>
    <row r="399" spans="1:52">
      <c r="A399" t="s">
        <v>3140</v>
      </c>
      <c r="B399" t="s">
        <v>3027</v>
      </c>
      <c r="C399" t="s">
        <v>3141</v>
      </c>
      <c r="D399" t="s">
        <v>2990</v>
      </c>
      <c r="E399" t="s">
        <v>2991</v>
      </c>
      <c r="F399" t="s">
        <v>3142</v>
      </c>
      <c r="G399">
        <f>'Assessment Questions'!J399</f>
        <v>3</v>
      </c>
      <c r="H399">
        <f t="shared" si="154"/>
        <v>0</v>
      </c>
      <c r="I399">
        <f t="shared" si="155"/>
        <v>0</v>
      </c>
      <c r="J399">
        <f t="shared" si="156"/>
        <v>3</v>
      </c>
      <c r="K399">
        <f t="shared" si="157"/>
        <v>3</v>
      </c>
      <c r="L399" t="str">
        <f t="shared" si="158"/>
        <v>Critical</v>
      </c>
      <c r="M399" t="s">
        <v>3143</v>
      </c>
      <c r="N399" t="s">
        <v>3144</v>
      </c>
      <c r="O399" t="s">
        <v>3145</v>
      </c>
      <c r="P399" t="s">
        <v>3146</v>
      </c>
      <c r="Q399" t="s">
        <v>3147</v>
      </c>
      <c r="R399" t="s">
        <v>3148</v>
      </c>
      <c r="S399" t="s">
        <v>2999</v>
      </c>
      <c r="T399">
        <f>'Assessment Questions'!W399</f>
        <v>0</v>
      </c>
      <c r="U399">
        <f>'Assessment Questions'!X399</f>
        <v>0</v>
      </c>
      <c r="V399" t="str">
        <f>'Assessment Questions'!Y399</f>
        <v>Use the recommended action generated by the model; validate with domain owner during real assessment.</v>
      </c>
      <c r="W399">
        <v>5</v>
      </c>
      <c r="X399">
        <v>5</v>
      </c>
      <c r="Y399">
        <v>5</v>
      </c>
      <c r="Z399">
        <f>'Assessment Questions'!AC399</f>
        <v>0</v>
      </c>
      <c r="AB399">
        <f t="shared" si="150"/>
        <v>0</v>
      </c>
      <c r="AC399">
        <f t="shared" si="151"/>
        <v>0</v>
      </c>
      <c r="AD399">
        <f t="shared" si="159"/>
        <v>0</v>
      </c>
      <c r="AE399">
        <f t="shared" si="152"/>
        <v>0</v>
      </c>
      <c r="AF399">
        <f t="shared" si="160"/>
        <v>5</v>
      </c>
      <c r="AG399">
        <f t="shared" si="153"/>
        <v>0</v>
      </c>
      <c r="AH399">
        <f>'Assessment Questions'!AK399</f>
        <v>0</v>
      </c>
      <c r="AI399">
        <f>'Assessment Questions'!AL399</f>
        <v>0</v>
      </c>
      <c r="AJ399">
        <f>IF(OR($H399="",$H399="N/A"),"",IF($AH399="",VLOOKUP('Company Profile'!$B$40,_CONFIG_Model_Settings!$A$5:$B$8,2,FALSE),IFERROR(VLOOKUP($AH399,_CONFIG_Model_Settings!$A$5:$B$8,2,FALSE),0.9)))</f>
        <v>0.9</v>
      </c>
      <c r="AK399">
        <f>IF(OR($H399="",$H399="N/A"),"",IF($AI399="",VLOOKUP('Company Profile'!$B$41,_CONFIG_Model_Settings!$A$5:$B$8,2,FALSE),IFERROR(VLOOKUP($AI399,_CONFIG_Model_Settings!$A$5:$B$8,2,FALSE),0.9)))</f>
        <v>0.9</v>
      </c>
      <c r="AL399">
        <f t="shared" si="161"/>
        <v>0</v>
      </c>
      <c r="AM399">
        <f t="shared" si="162"/>
        <v>0</v>
      </c>
      <c r="AN399">
        <f>IFERROR(MIN(5,MAX(0,(SUMIFS(_REF_Model_Content!$D$1:$D$174,_REF_Model_Content!$A$1:$A$174,PV_Canonical_Industry,_REF_Model_Content!$B$1:$B$174,"Cyber Privacy"))+IFERROR(VLOOKUP('Company Profile'!$B$35,_CONFIG_Model_Settings!$A$11:$B$13,2,0),0))),"")</f>
        <v>0</v>
      </c>
      <c r="AO399">
        <f t="shared" si="163"/>
        <v>0</v>
      </c>
      <c r="AP399">
        <f>IFERROR(SUMIFS(_REF_Model_Content!$E$1:$E$174,_REF_Model_Content!$A$1:$A$174,PV_Canonical_Industry,_REF_Model_Content!$B$1:$B$174,"Cyber Privacy"),1)</f>
        <v>0</v>
      </c>
      <c r="AQ399">
        <f t="shared" si="164"/>
        <v>0</v>
      </c>
      <c r="AR399" t="str">
        <f t="shared" si="165"/>
        <v>Within target</v>
      </c>
      <c r="AS399">
        <f t="shared" si="166"/>
        <v>0</v>
      </c>
      <c r="AT399">
        <f t="shared" si="167"/>
        <v>0.9</v>
      </c>
      <c r="AU399">
        <f>'Assessment Questions'!AX399</f>
        <v>0</v>
      </c>
      <c r="AV399">
        <f t="shared" si="168"/>
        <v>0.9</v>
      </c>
      <c r="AW399" t="s">
        <v>2986</v>
      </c>
      <c r="AX399" t="s">
        <v>2986</v>
      </c>
      <c r="AY399">
        <v>31</v>
      </c>
      <c r="AZ399">
        <v>399</v>
      </c>
    </row>
    <row r="400" spans="1:52">
      <c r="A400" t="s">
        <v>3149</v>
      </c>
      <c r="B400" t="s">
        <v>3027</v>
      </c>
      <c r="C400" t="s">
        <v>3150</v>
      </c>
      <c r="D400" t="s">
        <v>2990</v>
      </c>
      <c r="E400" t="s">
        <v>2991</v>
      </c>
      <c r="F400" t="s">
        <v>3151</v>
      </c>
      <c r="G400">
        <f>'Assessment Questions'!J400</f>
        <v>3</v>
      </c>
      <c r="H400">
        <f t="shared" si="154"/>
        <v>0</v>
      </c>
      <c r="I400">
        <f t="shared" si="155"/>
        <v>0</v>
      </c>
      <c r="J400">
        <f t="shared" si="156"/>
        <v>3</v>
      </c>
      <c r="K400">
        <f t="shared" si="157"/>
        <v>3</v>
      </c>
      <c r="L400" t="str">
        <f t="shared" si="158"/>
        <v>Critical</v>
      </c>
      <c r="M400" t="s">
        <v>1202</v>
      </c>
      <c r="N400" t="s">
        <v>1203</v>
      </c>
      <c r="O400" t="s">
        <v>1204</v>
      </c>
      <c r="P400" t="s">
        <v>1205</v>
      </c>
      <c r="Q400" t="s">
        <v>1206</v>
      </c>
      <c r="R400" t="s">
        <v>1207</v>
      </c>
      <c r="S400" t="s">
        <v>2999</v>
      </c>
      <c r="T400">
        <f>'Assessment Questions'!W400</f>
        <v>0</v>
      </c>
      <c r="U400">
        <f>'Assessment Questions'!X400</f>
        <v>0</v>
      </c>
      <c r="V400" t="str">
        <f>'Assessment Questions'!Y400</f>
        <v>Use the recommended action generated by the model; validate with domain owner during real assessment.</v>
      </c>
      <c r="W400">
        <v>5</v>
      </c>
      <c r="X400">
        <v>5</v>
      </c>
      <c r="Y400">
        <v>5</v>
      </c>
      <c r="Z400">
        <f>'Assessment Questions'!AC400</f>
        <v>0</v>
      </c>
      <c r="AB400">
        <f t="shared" si="150"/>
        <v>0</v>
      </c>
      <c r="AC400">
        <f t="shared" si="151"/>
        <v>0</v>
      </c>
      <c r="AD400">
        <f t="shared" si="159"/>
        <v>0</v>
      </c>
      <c r="AE400">
        <f t="shared" si="152"/>
        <v>0</v>
      </c>
      <c r="AF400">
        <f t="shared" si="160"/>
        <v>5</v>
      </c>
      <c r="AG400">
        <f t="shared" si="153"/>
        <v>0</v>
      </c>
      <c r="AH400">
        <f>'Assessment Questions'!AK400</f>
        <v>0</v>
      </c>
      <c r="AI400">
        <f>'Assessment Questions'!AL400</f>
        <v>0</v>
      </c>
      <c r="AJ400">
        <f>IF(OR($H400="",$H400="N/A"),"",IF($AH400="",VLOOKUP('Company Profile'!$B$40,_CONFIG_Model_Settings!$A$5:$B$8,2,FALSE),IFERROR(VLOOKUP($AH400,_CONFIG_Model_Settings!$A$5:$B$8,2,FALSE),0.9)))</f>
        <v>0.9</v>
      </c>
      <c r="AK400">
        <f>IF(OR($H400="",$H400="N/A"),"",IF($AI400="",VLOOKUP('Company Profile'!$B$41,_CONFIG_Model_Settings!$A$5:$B$8,2,FALSE),IFERROR(VLOOKUP($AI400,_CONFIG_Model_Settings!$A$5:$B$8,2,FALSE),0.9)))</f>
        <v>0.9</v>
      </c>
      <c r="AL400">
        <f t="shared" si="161"/>
        <v>0</v>
      </c>
      <c r="AM400">
        <f t="shared" si="162"/>
        <v>0</v>
      </c>
      <c r="AN400">
        <f>IFERROR(MIN(5,MAX(0,(SUMIFS(_REF_Model_Content!$D$1:$D$174,_REF_Model_Content!$A$1:$A$174,PV_Canonical_Industry,_REF_Model_Content!$B$1:$B$174,"Cyber Privacy"))+IFERROR(VLOOKUP('Company Profile'!$B$35,_CONFIG_Model_Settings!$A$11:$B$13,2,0),0))),"")</f>
        <v>0</v>
      </c>
      <c r="AO400">
        <f t="shared" si="163"/>
        <v>0</v>
      </c>
      <c r="AP400">
        <f>IFERROR(SUMIFS(_REF_Model_Content!$E$1:$E$174,_REF_Model_Content!$A$1:$A$174,PV_Canonical_Industry,_REF_Model_Content!$B$1:$B$174,"Cyber Privacy"),1)</f>
        <v>0</v>
      </c>
      <c r="AQ400">
        <f t="shared" si="164"/>
        <v>0</v>
      </c>
      <c r="AR400" t="str">
        <f t="shared" si="165"/>
        <v>Within target</v>
      </c>
      <c r="AS400">
        <f t="shared" si="166"/>
        <v>0</v>
      </c>
      <c r="AT400">
        <f t="shared" si="167"/>
        <v>0.9</v>
      </c>
      <c r="AU400">
        <f>'Assessment Questions'!AX400</f>
        <v>0</v>
      </c>
      <c r="AV400">
        <f t="shared" si="168"/>
        <v>0.9</v>
      </c>
      <c r="AW400" t="s">
        <v>2986</v>
      </c>
      <c r="AX400" t="s">
        <v>2986</v>
      </c>
      <c r="AY400">
        <v>32</v>
      </c>
      <c r="AZ400">
        <v>400</v>
      </c>
    </row>
    <row r="401" spans="1:52">
      <c r="A401" t="s">
        <v>3152</v>
      </c>
      <c r="B401" t="s">
        <v>3031</v>
      </c>
      <c r="C401" t="s">
        <v>3153</v>
      </c>
      <c r="D401" t="s">
        <v>2990</v>
      </c>
      <c r="E401" t="s">
        <v>2991</v>
      </c>
      <c r="F401" t="s">
        <v>3154</v>
      </c>
      <c r="G401">
        <f>'Assessment Questions'!J401</f>
        <v>4</v>
      </c>
      <c r="H401">
        <f t="shared" si="154"/>
        <v>0</v>
      </c>
      <c r="I401">
        <f t="shared" si="155"/>
        <v>0</v>
      </c>
      <c r="J401">
        <f t="shared" si="156"/>
        <v>4</v>
      </c>
      <c r="K401">
        <f t="shared" si="157"/>
        <v>4</v>
      </c>
      <c r="L401" t="str">
        <f t="shared" si="158"/>
        <v>Critical</v>
      </c>
      <c r="M401" t="s">
        <v>3155</v>
      </c>
      <c r="N401" t="s">
        <v>3156</v>
      </c>
      <c r="O401" t="s">
        <v>3157</v>
      </c>
      <c r="P401" t="s">
        <v>3158</v>
      </c>
      <c r="Q401" t="s">
        <v>3159</v>
      </c>
      <c r="R401" t="s">
        <v>3160</v>
      </c>
      <c r="S401" t="s">
        <v>2999</v>
      </c>
      <c r="T401">
        <f>'Assessment Questions'!W401</f>
        <v>0</v>
      </c>
      <c r="U401">
        <f>'Assessment Questions'!X401</f>
        <v>0</v>
      </c>
      <c r="V401" t="str">
        <f>'Assessment Questions'!Y401</f>
        <v>Use the recommended action generated by the model; validate with domain owner during real assessment.</v>
      </c>
      <c r="W401">
        <v>5</v>
      </c>
      <c r="X401">
        <v>5</v>
      </c>
      <c r="Y401">
        <v>5</v>
      </c>
      <c r="Z401">
        <f>'Assessment Questions'!AC401</f>
        <v>0</v>
      </c>
      <c r="AB401">
        <f t="shared" si="150"/>
        <v>0</v>
      </c>
      <c r="AC401">
        <f t="shared" si="151"/>
        <v>0</v>
      </c>
      <c r="AD401">
        <f t="shared" si="159"/>
        <v>0</v>
      </c>
      <c r="AE401">
        <f t="shared" si="152"/>
        <v>0</v>
      </c>
      <c r="AF401">
        <f t="shared" si="160"/>
        <v>5</v>
      </c>
      <c r="AG401">
        <f t="shared" si="153"/>
        <v>0</v>
      </c>
      <c r="AH401">
        <f>'Assessment Questions'!AK401</f>
        <v>0</v>
      </c>
      <c r="AI401">
        <f>'Assessment Questions'!AL401</f>
        <v>0</v>
      </c>
      <c r="AJ401">
        <f>IF(OR($H401="",$H401="N/A"),"",IF($AH401="",VLOOKUP('Company Profile'!$B$40,_CONFIG_Model_Settings!$A$5:$B$8,2,FALSE),IFERROR(VLOOKUP($AH401,_CONFIG_Model_Settings!$A$5:$B$8,2,FALSE),0.9)))</f>
        <v>0.9</v>
      </c>
      <c r="AK401">
        <f>IF(OR($H401="",$H401="N/A"),"",IF($AI401="",VLOOKUP('Company Profile'!$B$41,_CONFIG_Model_Settings!$A$5:$B$8,2,FALSE),IFERROR(VLOOKUP($AI401,_CONFIG_Model_Settings!$A$5:$B$8,2,FALSE),0.9)))</f>
        <v>0.9</v>
      </c>
      <c r="AL401">
        <f t="shared" si="161"/>
        <v>0</v>
      </c>
      <c r="AM401">
        <f t="shared" si="162"/>
        <v>0</v>
      </c>
      <c r="AN401">
        <f>IFERROR(MIN(5,MAX(0,(SUMIFS(_REF_Model_Content!$D$1:$D$174,_REF_Model_Content!$A$1:$A$174,PV_Canonical_Industry,_REF_Model_Content!$B$1:$B$174,"Cyber Privacy"))+IFERROR(VLOOKUP('Company Profile'!$B$35,_CONFIG_Model_Settings!$A$11:$B$13,2,0),0))),"")</f>
        <v>0</v>
      </c>
      <c r="AO401">
        <f t="shared" si="163"/>
        <v>0</v>
      </c>
      <c r="AP401">
        <f>IFERROR(SUMIFS(_REF_Model_Content!$E$1:$E$174,_REF_Model_Content!$A$1:$A$174,PV_Canonical_Industry,_REF_Model_Content!$B$1:$B$174,"Cyber Privacy"),1)</f>
        <v>0</v>
      </c>
      <c r="AQ401">
        <f t="shared" si="164"/>
        <v>0</v>
      </c>
      <c r="AR401" t="str">
        <f t="shared" si="165"/>
        <v>Within target</v>
      </c>
      <c r="AS401">
        <f t="shared" si="166"/>
        <v>0</v>
      </c>
      <c r="AT401">
        <f t="shared" si="167"/>
        <v>0.9</v>
      </c>
      <c r="AU401">
        <f>'Assessment Questions'!AX401</f>
        <v>0</v>
      </c>
      <c r="AV401">
        <f t="shared" si="168"/>
        <v>0.9</v>
      </c>
      <c r="AW401" t="s">
        <v>2986</v>
      </c>
      <c r="AX401" t="s">
        <v>2986</v>
      </c>
      <c r="AY401">
        <v>33</v>
      </c>
      <c r="AZ401">
        <v>401</v>
      </c>
    </row>
    <row r="402" spans="1:52">
      <c r="A402" t="s">
        <v>3161</v>
      </c>
      <c r="B402" t="s">
        <v>3031</v>
      </c>
      <c r="C402" t="s">
        <v>3162</v>
      </c>
      <c r="D402" t="s">
        <v>2990</v>
      </c>
      <c r="E402" t="s">
        <v>2991</v>
      </c>
      <c r="F402" t="s">
        <v>3163</v>
      </c>
      <c r="G402">
        <f>'Assessment Questions'!J402</f>
        <v>4</v>
      </c>
      <c r="H402">
        <f t="shared" si="154"/>
        <v>0</v>
      </c>
      <c r="I402">
        <f t="shared" si="155"/>
        <v>0</v>
      </c>
      <c r="J402">
        <f t="shared" si="156"/>
        <v>4</v>
      </c>
      <c r="K402">
        <f t="shared" si="157"/>
        <v>4</v>
      </c>
      <c r="L402" t="str">
        <f t="shared" si="158"/>
        <v>Critical</v>
      </c>
      <c r="M402" t="s">
        <v>3164</v>
      </c>
      <c r="N402" t="s">
        <v>3165</v>
      </c>
      <c r="O402" t="s">
        <v>3166</v>
      </c>
      <c r="P402" t="s">
        <v>3167</v>
      </c>
      <c r="Q402" t="s">
        <v>3168</v>
      </c>
      <c r="R402" t="s">
        <v>3169</v>
      </c>
      <c r="S402" t="s">
        <v>2999</v>
      </c>
      <c r="T402">
        <f>'Assessment Questions'!W402</f>
        <v>0</v>
      </c>
      <c r="U402">
        <f>'Assessment Questions'!X402</f>
        <v>0</v>
      </c>
      <c r="V402" t="str">
        <f>'Assessment Questions'!Y402</f>
        <v>Use the recommended action generated by the model; validate with domain owner during real assessment.</v>
      </c>
      <c r="W402">
        <v>5</v>
      </c>
      <c r="X402">
        <v>5</v>
      </c>
      <c r="Y402">
        <v>5</v>
      </c>
      <c r="Z402">
        <f>'Assessment Questions'!AC402</f>
        <v>0</v>
      </c>
      <c r="AB402">
        <f t="shared" si="150"/>
        <v>0</v>
      </c>
      <c r="AC402">
        <f t="shared" si="151"/>
        <v>0</v>
      </c>
      <c r="AD402">
        <f t="shared" si="159"/>
        <v>0</v>
      </c>
      <c r="AE402">
        <f t="shared" si="152"/>
        <v>0</v>
      </c>
      <c r="AF402">
        <f t="shared" si="160"/>
        <v>5</v>
      </c>
      <c r="AG402">
        <f t="shared" si="153"/>
        <v>0</v>
      </c>
      <c r="AH402">
        <f>'Assessment Questions'!AK402</f>
        <v>0</v>
      </c>
      <c r="AI402">
        <f>'Assessment Questions'!AL402</f>
        <v>0</v>
      </c>
      <c r="AJ402">
        <f>IF(OR($H402="",$H402="N/A"),"",IF($AH402="",VLOOKUP('Company Profile'!$B$40,_CONFIG_Model_Settings!$A$5:$B$8,2,FALSE),IFERROR(VLOOKUP($AH402,_CONFIG_Model_Settings!$A$5:$B$8,2,FALSE),0.9)))</f>
        <v>0.9</v>
      </c>
      <c r="AK402">
        <f>IF(OR($H402="",$H402="N/A"),"",IF($AI402="",VLOOKUP('Company Profile'!$B$41,_CONFIG_Model_Settings!$A$5:$B$8,2,FALSE),IFERROR(VLOOKUP($AI402,_CONFIG_Model_Settings!$A$5:$B$8,2,FALSE),0.9)))</f>
        <v>0.9</v>
      </c>
      <c r="AL402">
        <f t="shared" si="161"/>
        <v>0</v>
      </c>
      <c r="AM402">
        <f t="shared" si="162"/>
        <v>0</v>
      </c>
      <c r="AN402">
        <f>IFERROR(MIN(5,MAX(0,(SUMIFS(_REF_Model_Content!$D$1:$D$174,_REF_Model_Content!$A$1:$A$174,PV_Canonical_Industry,_REF_Model_Content!$B$1:$B$174,"Cyber Privacy"))+IFERROR(VLOOKUP('Company Profile'!$B$35,_CONFIG_Model_Settings!$A$11:$B$13,2,0),0))),"")</f>
        <v>0</v>
      </c>
      <c r="AO402">
        <f t="shared" si="163"/>
        <v>0</v>
      </c>
      <c r="AP402">
        <f>IFERROR(SUMIFS(_REF_Model_Content!$E$1:$E$174,_REF_Model_Content!$A$1:$A$174,PV_Canonical_Industry,_REF_Model_Content!$B$1:$B$174,"Cyber Privacy"),1)</f>
        <v>0</v>
      </c>
      <c r="AQ402">
        <f t="shared" si="164"/>
        <v>0</v>
      </c>
      <c r="AR402" t="str">
        <f t="shared" si="165"/>
        <v>Within target</v>
      </c>
      <c r="AS402">
        <f t="shared" si="166"/>
        <v>0</v>
      </c>
      <c r="AT402">
        <f t="shared" si="167"/>
        <v>0.9</v>
      </c>
      <c r="AU402">
        <f>'Assessment Questions'!AX402</f>
        <v>0</v>
      </c>
      <c r="AV402">
        <f t="shared" si="168"/>
        <v>0.9</v>
      </c>
      <c r="AW402" t="s">
        <v>2986</v>
      </c>
      <c r="AX402" t="s">
        <v>2986</v>
      </c>
      <c r="AY402">
        <v>34</v>
      </c>
      <c r="AZ402">
        <v>402</v>
      </c>
    </row>
    <row r="403" spans="1:52">
      <c r="A403" t="s">
        <v>3170</v>
      </c>
      <c r="B403" t="s">
        <v>2988</v>
      </c>
      <c r="C403" t="s">
        <v>3171</v>
      </c>
      <c r="D403" t="s">
        <v>3172</v>
      </c>
      <c r="E403" t="s">
        <v>3173</v>
      </c>
      <c r="F403" t="s">
        <v>2992</v>
      </c>
      <c r="G403">
        <f>'Assessment Questions'!J403</f>
        <v>4</v>
      </c>
      <c r="H403">
        <f t="shared" si="154"/>
        <v>0</v>
      </c>
      <c r="I403">
        <f t="shared" si="155"/>
        <v>0</v>
      </c>
      <c r="J403">
        <f t="shared" si="156"/>
        <v>4</v>
      </c>
      <c r="K403">
        <f t="shared" si="157"/>
        <v>4</v>
      </c>
      <c r="L403" t="str">
        <f t="shared" si="158"/>
        <v>Critical</v>
      </c>
      <c r="M403" t="s">
        <v>1202</v>
      </c>
      <c r="N403" t="s">
        <v>1203</v>
      </c>
      <c r="O403" t="s">
        <v>1204</v>
      </c>
      <c r="P403" t="s">
        <v>1205</v>
      </c>
      <c r="Q403" t="s">
        <v>1206</v>
      </c>
      <c r="R403" t="s">
        <v>1207</v>
      </c>
      <c r="S403" t="s">
        <v>3174</v>
      </c>
      <c r="T403">
        <f>'Assessment Questions'!W403</f>
        <v>0</v>
      </c>
      <c r="U403">
        <f>'Assessment Questions'!X403</f>
        <v>0</v>
      </c>
      <c r="V403" t="str">
        <f>'Assessment Questions'!Y403</f>
        <v>Use the recommended action generated by the model; validate with domain owner during real assessment.</v>
      </c>
      <c r="W403">
        <v>3</v>
      </c>
      <c r="X403">
        <v>5</v>
      </c>
      <c r="Y403">
        <v>4</v>
      </c>
      <c r="Z403">
        <f>'Assessment Questions'!AC403</f>
        <v>0</v>
      </c>
      <c r="AB403">
        <f t="shared" si="150"/>
        <v>0</v>
      </c>
      <c r="AC403">
        <f t="shared" si="151"/>
        <v>0</v>
      </c>
      <c r="AD403">
        <f t="shared" si="159"/>
        <v>0</v>
      </c>
      <c r="AE403">
        <f t="shared" si="152"/>
        <v>0</v>
      </c>
      <c r="AF403">
        <f t="shared" si="160"/>
        <v>5</v>
      </c>
      <c r="AG403">
        <f t="shared" si="153"/>
        <v>0</v>
      </c>
      <c r="AH403">
        <f>'Assessment Questions'!AK403</f>
        <v>0</v>
      </c>
      <c r="AI403">
        <f>'Assessment Questions'!AL403</f>
        <v>0</v>
      </c>
      <c r="AJ403">
        <f>IF(OR($H403="",$H403="N/A"),"",IF($AH403="",VLOOKUP('Company Profile'!$B$40,_CONFIG_Model_Settings!$A$5:$B$8,2,FALSE),IFERROR(VLOOKUP($AH403,_CONFIG_Model_Settings!$A$5:$B$8,2,FALSE),0.9)))</f>
        <v>0.9</v>
      </c>
      <c r="AK403">
        <f>IF(OR($H403="",$H403="N/A"),"",IF($AI403="",VLOOKUP('Company Profile'!$B$41,_CONFIG_Model_Settings!$A$5:$B$8,2,FALSE),IFERROR(VLOOKUP($AI403,_CONFIG_Model_Settings!$A$5:$B$8,2,FALSE),0.9)))</f>
        <v>0.9</v>
      </c>
      <c r="AL403">
        <f t="shared" si="161"/>
        <v>0</v>
      </c>
      <c r="AM403">
        <f t="shared" si="162"/>
        <v>0</v>
      </c>
      <c r="AN403">
        <f>IFERROR(MIN(5,MAX(0,(SUMIFS(_REF_Model_Content!$D$1:$D$174,_REF_Model_Content!$A$1:$A$174,PV_Canonical_Industry,_REF_Model_Content!$B$1:$B$174,"Cyber Privacy"))+IFERROR(VLOOKUP('Company Profile'!$B$35,_CONFIG_Model_Settings!$A$11:$B$13,2,0),0))),"")</f>
        <v>0</v>
      </c>
      <c r="AO403">
        <f t="shared" si="163"/>
        <v>0</v>
      </c>
      <c r="AP403">
        <f>IFERROR(SUMIFS(_REF_Model_Content!$E$1:$E$174,_REF_Model_Content!$A$1:$A$174,PV_Canonical_Industry,_REF_Model_Content!$B$1:$B$174,"Cyber Privacy"),1)</f>
        <v>0</v>
      </c>
      <c r="AQ403">
        <f t="shared" si="164"/>
        <v>0</v>
      </c>
      <c r="AR403" t="str">
        <f t="shared" si="165"/>
        <v>Within target</v>
      </c>
      <c r="AS403">
        <f t="shared" si="166"/>
        <v>0</v>
      </c>
      <c r="AT403">
        <f t="shared" si="167"/>
        <v>0.9</v>
      </c>
      <c r="AU403">
        <f>'Assessment Questions'!AX403</f>
        <v>0</v>
      </c>
      <c r="AV403">
        <f t="shared" si="168"/>
        <v>0.9</v>
      </c>
      <c r="AW403" t="s">
        <v>2986</v>
      </c>
      <c r="AX403" t="s">
        <v>2986</v>
      </c>
      <c r="AY403">
        <v>35</v>
      </c>
      <c r="AZ403">
        <v>403</v>
      </c>
    </row>
    <row r="404" spans="1:52">
      <c r="A404" t="s">
        <v>3175</v>
      </c>
      <c r="B404" t="s">
        <v>2988</v>
      </c>
      <c r="C404" t="s">
        <v>3176</v>
      </c>
      <c r="D404" t="s">
        <v>1365</v>
      </c>
      <c r="E404" t="s">
        <v>3177</v>
      </c>
      <c r="F404" t="s">
        <v>2992</v>
      </c>
      <c r="G404">
        <f>'Assessment Questions'!J404</f>
        <v>4</v>
      </c>
      <c r="H404">
        <f t="shared" si="154"/>
        <v>0</v>
      </c>
      <c r="I404">
        <f t="shared" si="155"/>
        <v>0</v>
      </c>
      <c r="J404">
        <f t="shared" si="156"/>
        <v>4</v>
      </c>
      <c r="K404">
        <f t="shared" si="157"/>
        <v>4</v>
      </c>
      <c r="L404" t="str">
        <f t="shared" si="158"/>
        <v>Critical</v>
      </c>
      <c r="M404" t="s">
        <v>3178</v>
      </c>
      <c r="N404" t="s">
        <v>3179</v>
      </c>
      <c r="O404" t="s">
        <v>3180</v>
      </c>
      <c r="P404" t="s">
        <v>3181</v>
      </c>
      <c r="Q404" t="s">
        <v>3182</v>
      </c>
      <c r="R404" t="s">
        <v>3183</v>
      </c>
      <c r="S404" t="s">
        <v>1373</v>
      </c>
      <c r="T404">
        <f>'Assessment Questions'!W404</f>
        <v>0</v>
      </c>
      <c r="U404">
        <f>'Assessment Questions'!X404</f>
        <v>0</v>
      </c>
      <c r="V404" t="str">
        <f>'Assessment Questions'!Y404</f>
        <v>Use the recommended action generated by the model; validate with domain owner during real assessment.</v>
      </c>
      <c r="W404">
        <v>4</v>
      </c>
      <c r="X404">
        <v>4</v>
      </c>
      <c r="Y404">
        <v>4</v>
      </c>
      <c r="Z404">
        <f>'Assessment Questions'!AC404</f>
        <v>0</v>
      </c>
      <c r="AB404">
        <f t="shared" si="150"/>
        <v>0</v>
      </c>
      <c r="AC404">
        <f t="shared" si="151"/>
        <v>0</v>
      </c>
      <c r="AD404">
        <f t="shared" si="159"/>
        <v>0</v>
      </c>
      <c r="AE404">
        <f t="shared" si="152"/>
        <v>0</v>
      </c>
      <c r="AF404">
        <f t="shared" si="160"/>
        <v>5</v>
      </c>
      <c r="AG404">
        <f t="shared" si="153"/>
        <v>0</v>
      </c>
      <c r="AH404">
        <f>'Assessment Questions'!AK404</f>
        <v>0</v>
      </c>
      <c r="AI404">
        <f>'Assessment Questions'!AL404</f>
        <v>0</v>
      </c>
      <c r="AJ404">
        <f>IF(OR($H404="",$H404="N/A"),"",IF($AH404="",VLOOKUP('Company Profile'!$B$40,_CONFIG_Model_Settings!$A$5:$B$8,2,FALSE),IFERROR(VLOOKUP($AH404,_CONFIG_Model_Settings!$A$5:$B$8,2,FALSE),0.9)))</f>
        <v>0.9</v>
      </c>
      <c r="AK404">
        <f>IF(OR($H404="",$H404="N/A"),"",IF($AI404="",VLOOKUP('Company Profile'!$B$41,_CONFIG_Model_Settings!$A$5:$B$8,2,FALSE),IFERROR(VLOOKUP($AI404,_CONFIG_Model_Settings!$A$5:$B$8,2,FALSE),0.9)))</f>
        <v>0.9</v>
      </c>
      <c r="AL404">
        <f t="shared" si="161"/>
        <v>0</v>
      </c>
      <c r="AM404">
        <f t="shared" si="162"/>
        <v>0</v>
      </c>
      <c r="AN404">
        <f>IFERROR(MIN(5,MAX(0,(SUMIFS(_REF_Model_Content!$D$1:$D$174,_REF_Model_Content!$A$1:$A$174,PV_Canonical_Industry,_REF_Model_Content!$B$1:$B$174,"Cyber Privacy"))+IFERROR(VLOOKUP('Company Profile'!$B$35,_CONFIG_Model_Settings!$A$11:$B$13,2,0),0))),"")</f>
        <v>0</v>
      </c>
      <c r="AO404">
        <f t="shared" si="163"/>
        <v>0</v>
      </c>
      <c r="AP404">
        <f>IFERROR(SUMIFS(_REF_Model_Content!$E$1:$E$174,_REF_Model_Content!$A$1:$A$174,PV_Canonical_Industry,_REF_Model_Content!$B$1:$B$174,"Cyber Privacy"),1)</f>
        <v>0</v>
      </c>
      <c r="AQ404">
        <f t="shared" si="164"/>
        <v>0</v>
      </c>
      <c r="AR404" t="str">
        <f t="shared" si="165"/>
        <v>Within target</v>
      </c>
      <c r="AS404">
        <f t="shared" si="166"/>
        <v>0</v>
      </c>
      <c r="AT404">
        <f t="shared" si="167"/>
        <v>0.9</v>
      </c>
      <c r="AU404">
        <f>'Assessment Questions'!AX404</f>
        <v>0</v>
      </c>
      <c r="AV404">
        <f t="shared" si="168"/>
        <v>0.9</v>
      </c>
      <c r="AW404" t="s">
        <v>2986</v>
      </c>
      <c r="AX404" t="s">
        <v>2986</v>
      </c>
      <c r="AY404">
        <v>36</v>
      </c>
      <c r="AZ404">
        <v>404</v>
      </c>
    </row>
    <row r="405" spans="1:52">
      <c r="A405" t="s">
        <v>3184</v>
      </c>
      <c r="B405" t="s">
        <v>3023</v>
      </c>
      <c r="C405" t="s">
        <v>3185</v>
      </c>
      <c r="D405" t="s">
        <v>3186</v>
      </c>
      <c r="E405" t="s">
        <v>3187</v>
      </c>
      <c r="F405" t="s">
        <v>2992</v>
      </c>
      <c r="G405">
        <f>'Assessment Questions'!J405</f>
        <v>3</v>
      </c>
      <c r="H405">
        <f t="shared" si="154"/>
        <v>0</v>
      </c>
      <c r="I405">
        <f t="shared" si="155"/>
        <v>0</v>
      </c>
      <c r="J405">
        <f t="shared" si="156"/>
        <v>3</v>
      </c>
      <c r="K405">
        <f t="shared" si="157"/>
        <v>3</v>
      </c>
      <c r="L405" t="str">
        <f t="shared" si="158"/>
        <v>Critical</v>
      </c>
      <c r="M405" t="s">
        <v>3188</v>
      </c>
      <c r="N405" t="s">
        <v>3189</v>
      </c>
      <c r="O405" t="s">
        <v>3190</v>
      </c>
      <c r="P405" t="s">
        <v>3191</v>
      </c>
      <c r="Q405" t="s">
        <v>3192</v>
      </c>
      <c r="R405" t="s">
        <v>3193</v>
      </c>
      <c r="S405" t="s">
        <v>3194</v>
      </c>
      <c r="T405">
        <f>'Assessment Questions'!W405</f>
        <v>0</v>
      </c>
      <c r="U405">
        <f>'Assessment Questions'!X405</f>
        <v>0</v>
      </c>
      <c r="V405" t="str">
        <f>'Assessment Questions'!Y405</f>
        <v>Use the recommended action generated by the model; validate with domain owner during real assessment.</v>
      </c>
      <c r="W405">
        <v>4</v>
      </c>
      <c r="X405">
        <v>4</v>
      </c>
      <c r="Y405">
        <v>3</v>
      </c>
      <c r="Z405">
        <f>'Assessment Questions'!AC405</f>
        <v>0</v>
      </c>
      <c r="AB405">
        <f t="shared" si="150"/>
        <v>0</v>
      </c>
      <c r="AC405">
        <f t="shared" si="151"/>
        <v>0</v>
      </c>
      <c r="AD405">
        <f t="shared" si="159"/>
        <v>0</v>
      </c>
      <c r="AE405">
        <f t="shared" si="152"/>
        <v>0</v>
      </c>
      <c r="AF405">
        <f t="shared" si="160"/>
        <v>5</v>
      </c>
      <c r="AG405">
        <f t="shared" si="153"/>
        <v>0</v>
      </c>
      <c r="AH405">
        <f>'Assessment Questions'!AK405</f>
        <v>0</v>
      </c>
      <c r="AI405">
        <f>'Assessment Questions'!AL405</f>
        <v>0</v>
      </c>
      <c r="AJ405">
        <f>IF(OR($H405="",$H405="N/A"),"",IF($AH405="",VLOOKUP('Company Profile'!$B$40,_CONFIG_Model_Settings!$A$5:$B$8,2,FALSE),IFERROR(VLOOKUP($AH405,_CONFIG_Model_Settings!$A$5:$B$8,2,FALSE),0.9)))</f>
        <v>0.9</v>
      </c>
      <c r="AK405">
        <f>IF(OR($H405="",$H405="N/A"),"",IF($AI405="",VLOOKUP('Company Profile'!$B$41,_CONFIG_Model_Settings!$A$5:$B$8,2,FALSE),IFERROR(VLOOKUP($AI405,_CONFIG_Model_Settings!$A$5:$B$8,2,FALSE),0.9)))</f>
        <v>0.9</v>
      </c>
      <c r="AL405">
        <f t="shared" si="161"/>
        <v>0</v>
      </c>
      <c r="AM405">
        <f t="shared" si="162"/>
        <v>0</v>
      </c>
      <c r="AN405">
        <f>IFERROR(MIN(5,MAX(0,(SUMIFS(_REF_Model_Content!$D$1:$D$174,_REF_Model_Content!$A$1:$A$174,PV_Canonical_Industry,_REF_Model_Content!$B$1:$B$174,"Cyber Privacy"))+IFERROR(VLOOKUP('Company Profile'!$B$35,_CONFIG_Model_Settings!$A$11:$B$13,2,0),0))),"")</f>
        <v>0</v>
      </c>
      <c r="AO405">
        <f t="shared" si="163"/>
        <v>0</v>
      </c>
      <c r="AP405">
        <f>IFERROR(SUMIFS(_REF_Model_Content!$E$1:$E$174,_REF_Model_Content!$A$1:$A$174,PV_Canonical_Industry,_REF_Model_Content!$B$1:$B$174,"Cyber Privacy"),1)</f>
        <v>0</v>
      </c>
      <c r="AQ405">
        <f t="shared" si="164"/>
        <v>0</v>
      </c>
      <c r="AR405" t="str">
        <f t="shared" si="165"/>
        <v>Within target</v>
      </c>
      <c r="AS405">
        <f t="shared" si="166"/>
        <v>0</v>
      </c>
      <c r="AT405">
        <f t="shared" si="167"/>
        <v>0.9</v>
      </c>
      <c r="AU405">
        <f>'Assessment Questions'!AX405</f>
        <v>0</v>
      </c>
      <c r="AV405">
        <f t="shared" si="168"/>
        <v>0.9</v>
      </c>
      <c r="AW405" t="s">
        <v>2986</v>
      </c>
      <c r="AX405" t="s">
        <v>2986</v>
      </c>
      <c r="AY405">
        <v>37</v>
      </c>
      <c r="AZ405">
        <v>405</v>
      </c>
    </row>
    <row r="406" spans="1:52">
      <c r="A406" t="s">
        <v>3195</v>
      </c>
      <c r="B406" t="s">
        <v>3023</v>
      </c>
      <c r="C406" t="s">
        <v>3196</v>
      </c>
      <c r="D406" t="s">
        <v>1365</v>
      </c>
      <c r="E406" t="s">
        <v>3197</v>
      </c>
      <c r="F406" t="s">
        <v>2992</v>
      </c>
      <c r="G406">
        <f>'Assessment Questions'!J406</f>
        <v>3</v>
      </c>
      <c r="H406">
        <f t="shared" si="154"/>
        <v>0</v>
      </c>
      <c r="I406">
        <f t="shared" si="155"/>
        <v>0</v>
      </c>
      <c r="J406">
        <f t="shared" si="156"/>
        <v>3</v>
      </c>
      <c r="K406">
        <f t="shared" si="157"/>
        <v>3</v>
      </c>
      <c r="L406" t="str">
        <f t="shared" si="158"/>
        <v>Critical</v>
      </c>
      <c r="M406" t="s">
        <v>3198</v>
      </c>
      <c r="N406" t="s">
        <v>3199</v>
      </c>
      <c r="O406" t="s">
        <v>3200</v>
      </c>
      <c r="P406" t="s">
        <v>3201</v>
      </c>
      <c r="Q406" t="s">
        <v>3202</v>
      </c>
      <c r="R406" t="s">
        <v>3203</v>
      </c>
      <c r="S406" t="s">
        <v>1373</v>
      </c>
      <c r="T406">
        <f>'Assessment Questions'!W406</f>
        <v>0</v>
      </c>
      <c r="U406">
        <f>'Assessment Questions'!X406</f>
        <v>0</v>
      </c>
      <c r="V406" t="str">
        <f>'Assessment Questions'!Y406</f>
        <v>Use the recommended action generated by the model; validate with domain owner during real assessment.</v>
      </c>
      <c r="W406">
        <v>3</v>
      </c>
      <c r="X406">
        <v>4</v>
      </c>
      <c r="Y406">
        <v>4</v>
      </c>
      <c r="Z406">
        <f>'Assessment Questions'!AC406</f>
        <v>0</v>
      </c>
      <c r="AB406">
        <f t="shared" si="150"/>
        <v>0</v>
      </c>
      <c r="AC406">
        <f t="shared" si="151"/>
        <v>0</v>
      </c>
      <c r="AD406">
        <f t="shared" si="159"/>
        <v>0</v>
      </c>
      <c r="AE406">
        <f t="shared" si="152"/>
        <v>0</v>
      </c>
      <c r="AF406">
        <f t="shared" si="160"/>
        <v>5</v>
      </c>
      <c r="AG406">
        <f t="shared" si="153"/>
        <v>0</v>
      </c>
      <c r="AH406">
        <f>'Assessment Questions'!AK406</f>
        <v>0</v>
      </c>
      <c r="AI406">
        <f>'Assessment Questions'!AL406</f>
        <v>0</v>
      </c>
      <c r="AJ406">
        <f>IF(OR($H406="",$H406="N/A"),"",IF($AH406="",VLOOKUP('Company Profile'!$B$40,_CONFIG_Model_Settings!$A$5:$B$8,2,FALSE),IFERROR(VLOOKUP($AH406,_CONFIG_Model_Settings!$A$5:$B$8,2,FALSE),0.9)))</f>
        <v>0.9</v>
      </c>
      <c r="AK406">
        <f>IF(OR($H406="",$H406="N/A"),"",IF($AI406="",VLOOKUP('Company Profile'!$B$41,_CONFIG_Model_Settings!$A$5:$B$8,2,FALSE),IFERROR(VLOOKUP($AI406,_CONFIG_Model_Settings!$A$5:$B$8,2,FALSE),0.9)))</f>
        <v>0.9</v>
      </c>
      <c r="AL406">
        <f t="shared" si="161"/>
        <v>0</v>
      </c>
      <c r="AM406">
        <f t="shared" si="162"/>
        <v>0</v>
      </c>
      <c r="AN406">
        <f>IFERROR(MIN(5,MAX(0,(SUMIFS(_REF_Model_Content!$D$1:$D$174,_REF_Model_Content!$A$1:$A$174,PV_Canonical_Industry,_REF_Model_Content!$B$1:$B$174,"Cyber Privacy"))+IFERROR(VLOOKUP('Company Profile'!$B$35,_CONFIG_Model_Settings!$A$11:$B$13,2,0),0))),"")</f>
        <v>0</v>
      </c>
      <c r="AO406">
        <f t="shared" si="163"/>
        <v>0</v>
      </c>
      <c r="AP406">
        <f>IFERROR(SUMIFS(_REF_Model_Content!$E$1:$E$174,_REF_Model_Content!$A$1:$A$174,PV_Canonical_Industry,_REF_Model_Content!$B$1:$B$174,"Cyber Privacy"),1)</f>
        <v>0</v>
      </c>
      <c r="AQ406">
        <f t="shared" si="164"/>
        <v>0</v>
      </c>
      <c r="AR406" t="str">
        <f t="shared" si="165"/>
        <v>Within target</v>
      </c>
      <c r="AS406">
        <f t="shared" si="166"/>
        <v>0</v>
      </c>
      <c r="AT406">
        <f t="shared" si="167"/>
        <v>0.9</v>
      </c>
      <c r="AU406">
        <f>'Assessment Questions'!AX406</f>
        <v>0</v>
      </c>
      <c r="AV406">
        <f t="shared" si="168"/>
        <v>0.9</v>
      </c>
      <c r="AW406" t="s">
        <v>2986</v>
      </c>
      <c r="AX406" t="s">
        <v>2986</v>
      </c>
      <c r="AY406">
        <v>38</v>
      </c>
      <c r="AZ406">
        <v>406</v>
      </c>
    </row>
    <row r="407" spans="1:52">
      <c r="A407" t="s">
        <v>3205</v>
      </c>
      <c r="B407" t="s">
        <v>3206</v>
      </c>
      <c r="C407" t="s">
        <v>3207</v>
      </c>
      <c r="D407" t="s">
        <v>3208</v>
      </c>
      <c r="E407" t="s">
        <v>3209</v>
      </c>
      <c r="F407" t="s">
        <v>3210</v>
      </c>
      <c r="G407">
        <f>'Assessment Questions'!J407</f>
        <v>3</v>
      </c>
      <c r="H407">
        <f t="shared" si="154"/>
        <v>0</v>
      </c>
      <c r="I407">
        <f t="shared" si="155"/>
        <v>0</v>
      </c>
      <c r="J407">
        <f t="shared" si="156"/>
        <v>3</v>
      </c>
      <c r="K407">
        <f t="shared" si="157"/>
        <v>3</v>
      </c>
      <c r="L407" t="str">
        <f t="shared" si="158"/>
        <v>Critical</v>
      </c>
      <c r="M407" t="s">
        <v>3211</v>
      </c>
      <c r="N407" t="s">
        <v>3212</v>
      </c>
      <c r="O407" t="s">
        <v>3213</v>
      </c>
      <c r="P407" t="s">
        <v>3214</v>
      </c>
      <c r="Q407" t="s">
        <v>3215</v>
      </c>
      <c r="R407" t="s">
        <v>3216</v>
      </c>
      <c r="S407" t="s">
        <v>3217</v>
      </c>
      <c r="T407">
        <f>'Assessment Questions'!W407</f>
        <v>0</v>
      </c>
      <c r="U407">
        <f>'Assessment Questions'!X407</f>
        <v>0</v>
      </c>
      <c r="V407" t="str">
        <f>'Assessment Questions'!Y407</f>
        <v>Use the recommended action generated by the model; validate with domain owner during real assessment.</v>
      </c>
      <c r="W407">
        <v>4</v>
      </c>
      <c r="X407">
        <v>5</v>
      </c>
      <c r="Y407">
        <v>5</v>
      </c>
      <c r="Z407">
        <f>'Assessment Questions'!AC407</f>
        <v>0</v>
      </c>
      <c r="AA407" t="s">
        <v>3206</v>
      </c>
      <c r="AB407">
        <f t="shared" ref="AB407:AB428" si="169">COUNTIF($B$407:$B$428,$AA407)</f>
        <v>4</v>
      </c>
      <c r="AC407">
        <f t="shared" ref="AC407:AC428" si="170">IFERROR(SUMPRODUCT(($B$407:$B$428=$AA407)*($H$407:$H$428&lt;&gt;"")*($H$407:$H$428&lt;&gt;"N/A")*IFERROR(VALUE($H$407:$H$428),0))/SUMPRODUCT(($B$407:$B$428=$AA407)*($H$407:$H$428&lt;&gt;"")*($H$407:$H$428&lt;&gt;"N/A")),0)</f>
        <v>0</v>
      </c>
      <c r="AD407">
        <f t="shared" si="159"/>
        <v>0</v>
      </c>
      <c r="AE407">
        <f t="shared" ref="AE407:AE428" si="171">COUNTIFS($B$407:$B$428,$AA407,$L$407:$L$428,"Critical")+COUNTIFS($B$407:$B$428,$AA407,$L$407:$L$428,"High")</f>
        <v>4</v>
      </c>
      <c r="AF407">
        <f t="shared" si="160"/>
        <v>5</v>
      </c>
      <c r="AG407">
        <f t="shared" ref="AG407:AG428" si="172">SUMPRODUCT(($B$407:$B$428=$AA407)*(ISNUMBER($H$407:$H$428)+($H$407:$H$428="N/A")))</f>
        <v>4</v>
      </c>
      <c r="AH407">
        <f>'Assessment Questions'!AK407</f>
        <v>0</v>
      </c>
      <c r="AI407">
        <f>'Assessment Questions'!AL407</f>
        <v>0</v>
      </c>
      <c r="AJ407">
        <f>IF(OR($H407="",$H407="N/A"),"",IF($AH407="",VLOOKUP('Company Profile'!$B$40,_CONFIG_Model_Settings!$A$5:$B$8,2,FALSE),IFERROR(VLOOKUP($AH407,_CONFIG_Model_Settings!$A$5:$B$8,2,FALSE),0.9)))</f>
        <v>0.9</v>
      </c>
      <c r="AK407">
        <f>IF(OR($H407="",$H407="N/A"),"",IF($AI407="",VLOOKUP('Company Profile'!$B$41,_CONFIG_Model_Settings!$A$5:$B$8,2,FALSE),IFERROR(VLOOKUP($AI407,_CONFIG_Model_Settings!$A$5:$B$8,2,FALSE),0.9)))</f>
        <v>0.9</v>
      </c>
      <c r="AL407">
        <f t="shared" si="161"/>
        <v>0</v>
      </c>
      <c r="AM407">
        <f t="shared" si="162"/>
        <v>0</v>
      </c>
      <c r="AN407">
        <f>IFERROR(MIN(5,MAX(0,(SUMIFS(_REF_Model_Content!$D$1:$D$174,_REF_Model_Content!$A$1:$A$174,PV_Canonical_Industry,_REF_Model_Content!$B$1:$B$174,"Quality Portfolio"))+IFERROR(VLOOKUP('Company Profile'!$B$35,_CONFIG_Model_Settings!$A$11:$B$13,2,0),0))),"")</f>
        <v>0</v>
      </c>
      <c r="AO407">
        <f t="shared" si="163"/>
        <v>0</v>
      </c>
      <c r="AP407">
        <f>IFERROR(SUMIFS(_REF_Model_Content!$E$1:$E$174,_REF_Model_Content!$A$1:$A$174,PV_Canonical_Industry,_REF_Model_Content!$B$1:$B$174,"Quality Portfolio"),1)</f>
        <v>0</v>
      </c>
      <c r="AQ407">
        <f t="shared" si="164"/>
        <v>0</v>
      </c>
      <c r="AR407" t="str">
        <f t="shared" si="165"/>
        <v>Within target</v>
      </c>
      <c r="AS407">
        <f t="shared" si="166"/>
        <v>0</v>
      </c>
      <c r="AT407">
        <f t="shared" si="167"/>
        <v>0.9</v>
      </c>
      <c r="AU407">
        <f>'Assessment Questions'!AX407</f>
        <v>0</v>
      </c>
      <c r="AV407">
        <f t="shared" si="168"/>
        <v>0.9</v>
      </c>
      <c r="AW407" t="s">
        <v>3204</v>
      </c>
      <c r="AX407" t="s">
        <v>3204</v>
      </c>
      <c r="AY407">
        <v>5</v>
      </c>
      <c r="AZ407">
        <v>407</v>
      </c>
    </row>
    <row r="408" spans="1:52">
      <c r="A408" t="s">
        <v>3218</v>
      </c>
      <c r="B408" t="s">
        <v>3206</v>
      </c>
      <c r="C408" t="s">
        <v>3219</v>
      </c>
      <c r="D408" t="s">
        <v>3208</v>
      </c>
      <c r="E408" t="s">
        <v>3209</v>
      </c>
      <c r="F408" t="s">
        <v>3220</v>
      </c>
      <c r="G408">
        <f>'Assessment Questions'!J408</f>
        <v>5</v>
      </c>
      <c r="H408">
        <f t="shared" si="154"/>
        <v>0</v>
      </c>
      <c r="I408">
        <f t="shared" si="155"/>
        <v>0</v>
      </c>
      <c r="J408">
        <f t="shared" si="156"/>
        <v>5</v>
      </c>
      <c r="K408">
        <f t="shared" si="157"/>
        <v>5</v>
      </c>
      <c r="L408" t="str">
        <f t="shared" si="158"/>
        <v>Critical</v>
      </c>
      <c r="M408" t="s">
        <v>1069</v>
      </c>
      <c r="N408" t="s">
        <v>1070</v>
      </c>
      <c r="O408" t="s">
        <v>1071</v>
      </c>
      <c r="P408" t="s">
        <v>1072</v>
      </c>
      <c r="Q408" t="s">
        <v>1073</v>
      </c>
      <c r="R408" t="s">
        <v>1074</v>
      </c>
      <c r="S408" t="s">
        <v>3217</v>
      </c>
      <c r="T408">
        <f>'Assessment Questions'!W408</f>
        <v>0</v>
      </c>
      <c r="U408">
        <f>'Assessment Questions'!X408</f>
        <v>0</v>
      </c>
      <c r="V408" t="str">
        <f>'Assessment Questions'!Y408</f>
        <v>Use the recommended action generated by the model; validate with domain owner during real assessment.</v>
      </c>
      <c r="W408">
        <v>4</v>
      </c>
      <c r="X408">
        <v>5</v>
      </c>
      <c r="Y408">
        <v>5</v>
      </c>
      <c r="Z408">
        <f>'Assessment Questions'!AC408</f>
        <v>0</v>
      </c>
      <c r="AA408" t="s">
        <v>3221</v>
      </c>
      <c r="AB408">
        <f t="shared" si="169"/>
        <v>5</v>
      </c>
      <c r="AC408">
        <f t="shared" si="170"/>
        <v>0</v>
      </c>
      <c r="AD408">
        <f t="shared" si="159"/>
        <v>0</v>
      </c>
      <c r="AE408">
        <f t="shared" si="171"/>
        <v>5</v>
      </c>
      <c r="AF408">
        <f t="shared" si="160"/>
        <v>5</v>
      </c>
      <c r="AG408">
        <f t="shared" si="172"/>
        <v>5</v>
      </c>
      <c r="AH408">
        <f>'Assessment Questions'!AK408</f>
        <v>0</v>
      </c>
      <c r="AI408">
        <f>'Assessment Questions'!AL408</f>
        <v>0</v>
      </c>
      <c r="AJ408">
        <f>IF(OR($H408="",$H408="N/A"),"",IF($AH408="",VLOOKUP('Company Profile'!$B$40,_CONFIG_Model_Settings!$A$5:$B$8,2,FALSE),IFERROR(VLOOKUP($AH408,_CONFIG_Model_Settings!$A$5:$B$8,2,FALSE),0.9)))</f>
        <v>0.9</v>
      </c>
      <c r="AK408">
        <f>IF(OR($H408="",$H408="N/A"),"",IF($AI408="",VLOOKUP('Company Profile'!$B$41,_CONFIG_Model_Settings!$A$5:$B$8,2,FALSE),IFERROR(VLOOKUP($AI408,_CONFIG_Model_Settings!$A$5:$B$8,2,FALSE),0.9)))</f>
        <v>0.9</v>
      </c>
      <c r="AL408">
        <f t="shared" si="161"/>
        <v>0</v>
      </c>
      <c r="AM408">
        <f t="shared" si="162"/>
        <v>0</v>
      </c>
      <c r="AN408">
        <f>IFERROR(MIN(5,MAX(0,(SUMIFS(_REF_Model_Content!$D$1:$D$174,_REF_Model_Content!$A$1:$A$174,PV_Canonical_Industry,_REF_Model_Content!$B$1:$B$174,"Quality Portfolio"))+IFERROR(VLOOKUP('Company Profile'!$B$35,_CONFIG_Model_Settings!$A$11:$B$13,2,0),0))),"")</f>
        <v>0</v>
      </c>
      <c r="AO408">
        <f t="shared" si="163"/>
        <v>0</v>
      </c>
      <c r="AP408">
        <f>IFERROR(SUMIFS(_REF_Model_Content!$E$1:$E$174,_REF_Model_Content!$A$1:$A$174,PV_Canonical_Industry,_REF_Model_Content!$B$1:$B$174,"Quality Portfolio"),1)</f>
        <v>0</v>
      </c>
      <c r="AQ408">
        <f t="shared" si="164"/>
        <v>0</v>
      </c>
      <c r="AR408" t="str">
        <f t="shared" si="165"/>
        <v>Within target</v>
      </c>
      <c r="AS408">
        <f t="shared" si="166"/>
        <v>0</v>
      </c>
      <c r="AT408">
        <f t="shared" si="167"/>
        <v>0.9</v>
      </c>
      <c r="AU408">
        <f>'Assessment Questions'!AX408</f>
        <v>0</v>
      </c>
      <c r="AV408">
        <f t="shared" si="168"/>
        <v>0.9</v>
      </c>
      <c r="AW408" t="s">
        <v>3204</v>
      </c>
      <c r="AX408" t="s">
        <v>3204</v>
      </c>
      <c r="AY408">
        <v>6</v>
      </c>
      <c r="AZ408">
        <v>408</v>
      </c>
    </row>
    <row r="409" spans="1:52">
      <c r="A409" t="s">
        <v>3222</v>
      </c>
      <c r="B409" t="s">
        <v>3206</v>
      </c>
      <c r="C409" t="s">
        <v>3223</v>
      </c>
      <c r="D409" t="s">
        <v>3208</v>
      </c>
      <c r="E409" t="s">
        <v>3209</v>
      </c>
      <c r="F409" t="s">
        <v>3224</v>
      </c>
      <c r="G409">
        <f>'Assessment Questions'!J409</f>
        <v>3</v>
      </c>
      <c r="H409">
        <f t="shared" si="154"/>
        <v>0</v>
      </c>
      <c r="I409">
        <f t="shared" si="155"/>
        <v>0</v>
      </c>
      <c r="J409">
        <f t="shared" si="156"/>
        <v>3</v>
      </c>
      <c r="K409">
        <f t="shared" si="157"/>
        <v>3</v>
      </c>
      <c r="L409" t="str">
        <f t="shared" si="158"/>
        <v>Critical</v>
      </c>
      <c r="M409" t="s">
        <v>1202</v>
      </c>
      <c r="N409" t="s">
        <v>1203</v>
      </c>
      <c r="O409" t="s">
        <v>1204</v>
      </c>
      <c r="P409" t="s">
        <v>1205</v>
      </c>
      <c r="Q409" t="s">
        <v>1206</v>
      </c>
      <c r="R409" t="s">
        <v>1207</v>
      </c>
      <c r="S409" t="s">
        <v>3217</v>
      </c>
      <c r="T409">
        <f>'Assessment Questions'!W409</f>
        <v>0</v>
      </c>
      <c r="U409">
        <f>'Assessment Questions'!X409</f>
        <v>0</v>
      </c>
      <c r="V409" t="str">
        <f>'Assessment Questions'!Y409</f>
        <v>Use the recommended action generated by the model; validate with domain owner during real assessment.</v>
      </c>
      <c r="W409">
        <v>4</v>
      </c>
      <c r="X409">
        <v>5</v>
      </c>
      <c r="Y409">
        <v>5</v>
      </c>
      <c r="Z409">
        <f>'Assessment Questions'!AC409</f>
        <v>0</v>
      </c>
      <c r="AA409" t="s">
        <v>3225</v>
      </c>
      <c r="AB409">
        <f t="shared" si="169"/>
        <v>9</v>
      </c>
      <c r="AC409">
        <f t="shared" si="170"/>
        <v>0</v>
      </c>
      <c r="AD409">
        <f t="shared" si="159"/>
        <v>0</v>
      </c>
      <c r="AE409">
        <f t="shared" si="171"/>
        <v>9</v>
      </c>
      <c r="AF409">
        <f t="shared" si="160"/>
        <v>5</v>
      </c>
      <c r="AG409">
        <f t="shared" si="172"/>
        <v>9</v>
      </c>
      <c r="AH409">
        <f>'Assessment Questions'!AK409</f>
        <v>0</v>
      </c>
      <c r="AI409">
        <f>'Assessment Questions'!AL409</f>
        <v>0</v>
      </c>
      <c r="AJ409">
        <f>IF(OR($H409="",$H409="N/A"),"",IF($AH409="",VLOOKUP('Company Profile'!$B$40,_CONFIG_Model_Settings!$A$5:$B$8,2,FALSE),IFERROR(VLOOKUP($AH409,_CONFIG_Model_Settings!$A$5:$B$8,2,FALSE),0.9)))</f>
        <v>0.9</v>
      </c>
      <c r="AK409">
        <f>IF(OR($H409="",$H409="N/A"),"",IF($AI409="",VLOOKUP('Company Profile'!$B$41,_CONFIG_Model_Settings!$A$5:$B$8,2,FALSE),IFERROR(VLOOKUP($AI409,_CONFIG_Model_Settings!$A$5:$B$8,2,FALSE),0.9)))</f>
        <v>0.9</v>
      </c>
      <c r="AL409">
        <f t="shared" si="161"/>
        <v>0</v>
      </c>
      <c r="AM409">
        <f t="shared" si="162"/>
        <v>0</v>
      </c>
      <c r="AN409">
        <f>IFERROR(MIN(5,MAX(0,(SUMIFS(_REF_Model_Content!$D$1:$D$174,_REF_Model_Content!$A$1:$A$174,PV_Canonical_Industry,_REF_Model_Content!$B$1:$B$174,"Quality Portfolio"))+IFERROR(VLOOKUP('Company Profile'!$B$35,_CONFIG_Model_Settings!$A$11:$B$13,2,0),0))),"")</f>
        <v>0</v>
      </c>
      <c r="AO409">
        <f t="shared" si="163"/>
        <v>0</v>
      </c>
      <c r="AP409">
        <f>IFERROR(SUMIFS(_REF_Model_Content!$E$1:$E$174,_REF_Model_Content!$A$1:$A$174,PV_Canonical_Industry,_REF_Model_Content!$B$1:$B$174,"Quality Portfolio"),1)</f>
        <v>0</v>
      </c>
      <c r="AQ409">
        <f t="shared" si="164"/>
        <v>0</v>
      </c>
      <c r="AR409" t="str">
        <f t="shared" si="165"/>
        <v>Within target</v>
      </c>
      <c r="AS409">
        <f t="shared" si="166"/>
        <v>0</v>
      </c>
      <c r="AT409">
        <f t="shared" si="167"/>
        <v>0.9</v>
      </c>
      <c r="AU409">
        <f>'Assessment Questions'!AX409</f>
        <v>0</v>
      </c>
      <c r="AV409">
        <f t="shared" si="168"/>
        <v>0.9</v>
      </c>
      <c r="AW409" t="s">
        <v>3204</v>
      </c>
      <c r="AX409" t="s">
        <v>3204</v>
      </c>
      <c r="AY409">
        <v>7</v>
      </c>
      <c r="AZ409">
        <v>409</v>
      </c>
    </row>
    <row r="410" spans="1:52">
      <c r="A410" t="s">
        <v>3226</v>
      </c>
      <c r="B410" t="s">
        <v>3206</v>
      </c>
      <c r="C410" t="s">
        <v>3227</v>
      </c>
      <c r="D410" t="s">
        <v>3208</v>
      </c>
      <c r="E410" t="s">
        <v>3209</v>
      </c>
      <c r="F410" t="s">
        <v>3228</v>
      </c>
      <c r="G410">
        <f>'Assessment Questions'!J410</f>
        <v>3</v>
      </c>
      <c r="H410">
        <f t="shared" si="154"/>
        <v>0</v>
      </c>
      <c r="I410">
        <f t="shared" si="155"/>
        <v>0</v>
      </c>
      <c r="J410">
        <f t="shared" si="156"/>
        <v>3</v>
      </c>
      <c r="K410">
        <f t="shared" si="157"/>
        <v>3</v>
      </c>
      <c r="L410" t="str">
        <f t="shared" si="158"/>
        <v>Critical</v>
      </c>
      <c r="M410" t="s">
        <v>3229</v>
      </c>
      <c r="N410" t="s">
        <v>3230</v>
      </c>
      <c r="O410" t="s">
        <v>3231</v>
      </c>
      <c r="P410" t="s">
        <v>3232</v>
      </c>
      <c r="Q410" t="s">
        <v>3233</v>
      </c>
      <c r="R410" t="s">
        <v>3234</v>
      </c>
      <c r="S410" t="s">
        <v>3217</v>
      </c>
      <c r="T410">
        <f>'Assessment Questions'!W410</f>
        <v>0</v>
      </c>
      <c r="U410">
        <f>'Assessment Questions'!X410</f>
        <v>0</v>
      </c>
      <c r="V410" t="str">
        <f>'Assessment Questions'!Y410</f>
        <v>Use the recommended action generated by the model; validate with domain owner during real assessment.</v>
      </c>
      <c r="W410">
        <v>4</v>
      </c>
      <c r="X410">
        <v>5</v>
      </c>
      <c r="Y410">
        <v>5</v>
      </c>
      <c r="Z410">
        <f>'Assessment Questions'!AC410</f>
        <v>0</v>
      </c>
      <c r="AA410" t="s">
        <v>3235</v>
      </c>
      <c r="AB410">
        <f t="shared" si="169"/>
        <v>4</v>
      </c>
      <c r="AC410">
        <f t="shared" si="170"/>
        <v>0</v>
      </c>
      <c r="AD410">
        <f t="shared" si="159"/>
        <v>0</v>
      </c>
      <c r="AE410">
        <f t="shared" si="171"/>
        <v>4</v>
      </c>
      <c r="AF410">
        <f t="shared" si="160"/>
        <v>5</v>
      </c>
      <c r="AG410">
        <f t="shared" si="172"/>
        <v>4</v>
      </c>
      <c r="AH410">
        <f>'Assessment Questions'!AK410</f>
        <v>0</v>
      </c>
      <c r="AI410">
        <f>'Assessment Questions'!AL410</f>
        <v>0</v>
      </c>
      <c r="AJ410">
        <f>IF(OR($H410="",$H410="N/A"),"",IF($AH410="",VLOOKUP('Company Profile'!$B$40,_CONFIG_Model_Settings!$A$5:$B$8,2,FALSE),IFERROR(VLOOKUP($AH410,_CONFIG_Model_Settings!$A$5:$B$8,2,FALSE),0.9)))</f>
        <v>0.9</v>
      </c>
      <c r="AK410">
        <f>IF(OR($H410="",$H410="N/A"),"",IF($AI410="",VLOOKUP('Company Profile'!$B$41,_CONFIG_Model_Settings!$A$5:$B$8,2,FALSE),IFERROR(VLOOKUP($AI410,_CONFIG_Model_Settings!$A$5:$B$8,2,FALSE),0.9)))</f>
        <v>0.9</v>
      </c>
      <c r="AL410">
        <f t="shared" si="161"/>
        <v>0</v>
      </c>
      <c r="AM410">
        <f t="shared" si="162"/>
        <v>0</v>
      </c>
      <c r="AN410">
        <f>IFERROR(MIN(5,MAX(0,(SUMIFS(_REF_Model_Content!$D$1:$D$174,_REF_Model_Content!$A$1:$A$174,PV_Canonical_Industry,_REF_Model_Content!$B$1:$B$174,"Quality Portfolio"))+IFERROR(VLOOKUP('Company Profile'!$B$35,_CONFIG_Model_Settings!$A$11:$B$13,2,0),0))),"")</f>
        <v>0</v>
      </c>
      <c r="AO410">
        <f t="shared" si="163"/>
        <v>0</v>
      </c>
      <c r="AP410">
        <f>IFERROR(SUMIFS(_REF_Model_Content!$E$1:$E$174,_REF_Model_Content!$A$1:$A$174,PV_Canonical_Industry,_REF_Model_Content!$B$1:$B$174,"Quality Portfolio"),1)</f>
        <v>0</v>
      </c>
      <c r="AQ410">
        <f t="shared" si="164"/>
        <v>0</v>
      </c>
      <c r="AR410" t="str">
        <f t="shared" si="165"/>
        <v>Within target</v>
      </c>
      <c r="AS410">
        <f t="shared" si="166"/>
        <v>0</v>
      </c>
      <c r="AT410">
        <f t="shared" si="167"/>
        <v>0.9</v>
      </c>
      <c r="AU410">
        <f>'Assessment Questions'!AX410</f>
        <v>0</v>
      </c>
      <c r="AV410">
        <f t="shared" si="168"/>
        <v>0.9</v>
      </c>
      <c r="AW410" t="s">
        <v>3204</v>
      </c>
      <c r="AX410" t="s">
        <v>3204</v>
      </c>
      <c r="AY410">
        <v>8</v>
      </c>
      <c r="AZ410">
        <v>410</v>
      </c>
    </row>
    <row r="411" spans="1:52">
      <c r="A411" t="s">
        <v>3236</v>
      </c>
      <c r="B411" t="s">
        <v>3221</v>
      </c>
      <c r="C411" t="s">
        <v>3237</v>
      </c>
      <c r="D411" t="s">
        <v>3208</v>
      </c>
      <c r="E411" t="s">
        <v>3209</v>
      </c>
      <c r="F411" t="s">
        <v>3238</v>
      </c>
      <c r="G411">
        <f>'Assessment Questions'!J411</f>
        <v>4</v>
      </c>
      <c r="H411">
        <f t="shared" si="154"/>
        <v>0</v>
      </c>
      <c r="I411">
        <f t="shared" si="155"/>
        <v>0</v>
      </c>
      <c r="J411">
        <f t="shared" si="156"/>
        <v>4</v>
      </c>
      <c r="K411">
        <f t="shared" si="157"/>
        <v>4</v>
      </c>
      <c r="L411" t="str">
        <f t="shared" si="158"/>
        <v>Critical</v>
      </c>
      <c r="M411" t="s">
        <v>3239</v>
      </c>
      <c r="N411" t="s">
        <v>3240</v>
      </c>
      <c r="O411" t="s">
        <v>3241</v>
      </c>
      <c r="P411" t="s">
        <v>3242</v>
      </c>
      <c r="Q411" t="s">
        <v>3243</v>
      </c>
      <c r="R411" t="s">
        <v>3244</v>
      </c>
      <c r="S411" t="s">
        <v>3217</v>
      </c>
      <c r="T411">
        <f>'Assessment Questions'!W411</f>
        <v>0</v>
      </c>
      <c r="U411">
        <f>'Assessment Questions'!X411</f>
        <v>0</v>
      </c>
      <c r="V411" t="str">
        <f>'Assessment Questions'!Y411</f>
        <v>Use the recommended action generated by the model; validate with domain owner during real assessment.</v>
      </c>
      <c r="W411">
        <v>4</v>
      </c>
      <c r="X411">
        <v>5</v>
      </c>
      <c r="Y411">
        <v>5</v>
      </c>
      <c r="Z411">
        <f>'Assessment Questions'!AC411</f>
        <v>0</v>
      </c>
      <c r="AB411">
        <f t="shared" si="169"/>
        <v>0</v>
      </c>
      <c r="AC411">
        <f t="shared" si="170"/>
        <v>0</v>
      </c>
      <c r="AD411">
        <f t="shared" si="159"/>
        <v>0</v>
      </c>
      <c r="AE411">
        <f t="shared" si="171"/>
        <v>0</v>
      </c>
      <c r="AF411">
        <f t="shared" si="160"/>
        <v>5</v>
      </c>
      <c r="AG411">
        <f t="shared" si="172"/>
        <v>0</v>
      </c>
      <c r="AH411">
        <f>'Assessment Questions'!AK411</f>
        <v>0</v>
      </c>
      <c r="AI411">
        <f>'Assessment Questions'!AL411</f>
        <v>0</v>
      </c>
      <c r="AJ411">
        <f>IF(OR($H411="",$H411="N/A"),"",IF($AH411="",VLOOKUP('Company Profile'!$B$40,_CONFIG_Model_Settings!$A$5:$B$8,2,FALSE),IFERROR(VLOOKUP($AH411,_CONFIG_Model_Settings!$A$5:$B$8,2,FALSE),0.9)))</f>
        <v>0.9</v>
      </c>
      <c r="AK411">
        <f>IF(OR($H411="",$H411="N/A"),"",IF($AI411="",VLOOKUP('Company Profile'!$B$41,_CONFIG_Model_Settings!$A$5:$B$8,2,FALSE),IFERROR(VLOOKUP($AI411,_CONFIG_Model_Settings!$A$5:$B$8,2,FALSE),0.9)))</f>
        <v>0.9</v>
      </c>
      <c r="AL411">
        <f t="shared" si="161"/>
        <v>0</v>
      </c>
      <c r="AM411">
        <f t="shared" si="162"/>
        <v>0</v>
      </c>
      <c r="AN411">
        <f>IFERROR(MIN(5,MAX(0,(SUMIFS(_REF_Model_Content!$D$1:$D$174,_REF_Model_Content!$A$1:$A$174,PV_Canonical_Industry,_REF_Model_Content!$B$1:$B$174,"Quality Portfolio"))+IFERROR(VLOOKUP('Company Profile'!$B$35,_CONFIG_Model_Settings!$A$11:$B$13,2,0),0))),"")</f>
        <v>0</v>
      </c>
      <c r="AO411">
        <f t="shared" si="163"/>
        <v>0</v>
      </c>
      <c r="AP411">
        <f>IFERROR(SUMIFS(_REF_Model_Content!$E$1:$E$174,_REF_Model_Content!$A$1:$A$174,PV_Canonical_Industry,_REF_Model_Content!$B$1:$B$174,"Quality Portfolio"),1)</f>
        <v>0</v>
      </c>
      <c r="AQ411">
        <f t="shared" si="164"/>
        <v>0</v>
      </c>
      <c r="AR411" t="str">
        <f t="shared" si="165"/>
        <v>Within target</v>
      </c>
      <c r="AS411">
        <f t="shared" si="166"/>
        <v>0</v>
      </c>
      <c r="AT411">
        <f t="shared" si="167"/>
        <v>0.9</v>
      </c>
      <c r="AU411">
        <f>'Assessment Questions'!AX411</f>
        <v>0</v>
      </c>
      <c r="AV411">
        <f t="shared" si="168"/>
        <v>0.9</v>
      </c>
      <c r="AW411" t="s">
        <v>3204</v>
      </c>
      <c r="AX411" t="s">
        <v>3204</v>
      </c>
      <c r="AY411">
        <v>9</v>
      </c>
      <c r="AZ411">
        <v>411</v>
      </c>
    </row>
    <row r="412" spans="1:52">
      <c r="A412" t="s">
        <v>3245</v>
      </c>
      <c r="B412" t="s">
        <v>3221</v>
      </c>
      <c r="C412" t="s">
        <v>3246</v>
      </c>
      <c r="D412" t="s">
        <v>3208</v>
      </c>
      <c r="E412" t="s">
        <v>3209</v>
      </c>
      <c r="F412" t="s">
        <v>3247</v>
      </c>
      <c r="G412">
        <f>'Assessment Questions'!J412</f>
        <v>3</v>
      </c>
      <c r="H412">
        <f t="shared" si="154"/>
        <v>0</v>
      </c>
      <c r="I412">
        <f t="shared" si="155"/>
        <v>0</v>
      </c>
      <c r="J412">
        <f t="shared" si="156"/>
        <v>3</v>
      </c>
      <c r="K412">
        <f t="shared" si="157"/>
        <v>3</v>
      </c>
      <c r="L412" t="str">
        <f t="shared" si="158"/>
        <v>Critical</v>
      </c>
      <c r="M412" t="s">
        <v>3248</v>
      </c>
      <c r="N412" t="s">
        <v>3249</v>
      </c>
      <c r="O412" t="s">
        <v>3250</v>
      </c>
      <c r="P412" t="s">
        <v>3251</v>
      </c>
      <c r="Q412" t="s">
        <v>3252</v>
      </c>
      <c r="R412" t="s">
        <v>3253</v>
      </c>
      <c r="S412" t="s">
        <v>3217</v>
      </c>
      <c r="T412">
        <f>'Assessment Questions'!W412</f>
        <v>0</v>
      </c>
      <c r="U412">
        <f>'Assessment Questions'!X412</f>
        <v>0</v>
      </c>
      <c r="V412" t="str">
        <f>'Assessment Questions'!Y412</f>
        <v>Use the recommended action generated by the model; validate with domain owner during real assessment.</v>
      </c>
      <c r="W412">
        <v>4</v>
      </c>
      <c r="X412">
        <v>5</v>
      </c>
      <c r="Y412">
        <v>5</v>
      </c>
      <c r="Z412">
        <f>'Assessment Questions'!AC412</f>
        <v>0</v>
      </c>
      <c r="AB412">
        <f t="shared" si="169"/>
        <v>0</v>
      </c>
      <c r="AC412">
        <f t="shared" si="170"/>
        <v>0</v>
      </c>
      <c r="AD412">
        <f t="shared" si="159"/>
        <v>0</v>
      </c>
      <c r="AE412">
        <f t="shared" si="171"/>
        <v>0</v>
      </c>
      <c r="AF412">
        <f t="shared" si="160"/>
        <v>5</v>
      </c>
      <c r="AG412">
        <f t="shared" si="172"/>
        <v>0</v>
      </c>
      <c r="AH412">
        <f>'Assessment Questions'!AK412</f>
        <v>0</v>
      </c>
      <c r="AI412">
        <f>'Assessment Questions'!AL412</f>
        <v>0</v>
      </c>
      <c r="AJ412">
        <f>IF(OR($H412="",$H412="N/A"),"",IF($AH412="",VLOOKUP('Company Profile'!$B$40,_CONFIG_Model_Settings!$A$5:$B$8,2,FALSE),IFERROR(VLOOKUP($AH412,_CONFIG_Model_Settings!$A$5:$B$8,2,FALSE),0.9)))</f>
        <v>0.9</v>
      </c>
      <c r="AK412">
        <f>IF(OR($H412="",$H412="N/A"),"",IF($AI412="",VLOOKUP('Company Profile'!$B$41,_CONFIG_Model_Settings!$A$5:$B$8,2,FALSE),IFERROR(VLOOKUP($AI412,_CONFIG_Model_Settings!$A$5:$B$8,2,FALSE),0.9)))</f>
        <v>0.9</v>
      </c>
      <c r="AL412">
        <f t="shared" si="161"/>
        <v>0</v>
      </c>
      <c r="AM412">
        <f t="shared" si="162"/>
        <v>0</v>
      </c>
      <c r="AN412">
        <f>IFERROR(MIN(5,MAX(0,(SUMIFS(_REF_Model_Content!$D$1:$D$174,_REF_Model_Content!$A$1:$A$174,PV_Canonical_Industry,_REF_Model_Content!$B$1:$B$174,"Quality Portfolio"))+IFERROR(VLOOKUP('Company Profile'!$B$35,_CONFIG_Model_Settings!$A$11:$B$13,2,0),0))),"")</f>
        <v>0</v>
      </c>
      <c r="AO412">
        <f t="shared" si="163"/>
        <v>0</v>
      </c>
      <c r="AP412">
        <f>IFERROR(SUMIFS(_REF_Model_Content!$E$1:$E$174,_REF_Model_Content!$A$1:$A$174,PV_Canonical_Industry,_REF_Model_Content!$B$1:$B$174,"Quality Portfolio"),1)</f>
        <v>0</v>
      </c>
      <c r="AQ412">
        <f t="shared" si="164"/>
        <v>0</v>
      </c>
      <c r="AR412" t="str">
        <f t="shared" si="165"/>
        <v>Within target</v>
      </c>
      <c r="AS412">
        <f t="shared" si="166"/>
        <v>0</v>
      </c>
      <c r="AT412">
        <f t="shared" si="167"/>
        <v>0.9</v>
      </c>
      <c r="AU412">
        <f>'Assessment Questions'!AX412</f>
        <v>0</v>
      </c>
      <c r="AV412">
        <f t="shared" si="168"/>
        <v>0.9</v>
      </c>
      <c r="AW412" t="s">
        <v>3204</v>
      </c>
      <c r="AX412" t="s">
        <v>3204</v>
      </c>
      <c r="AY412">
        <v>10</v>
      </c>
      <c r="AZ412">
        <v>412</v>
      </c>
    </row>
    <row r="413" spans="1:52">
      <c r="A413" t="s">
        <v>3254</v>
      </c>
      <c r="B413" t="s">
        <v>3221</v>
      </c>
      <c r="C413" t="s">
        <v>3255</v>
      </c>
      <c r="D413" t="s">
        <v>3208</v>
      </c>
      <c r="E413" t="s">
        <v>3209</v>
      </c>
      <c r="F413" t="s">
        <v>3256</v>
      </c>
      <c r="G413">
        <f>'Assessment Questions'!J413</f>
        <v>5</v>
      </c>
      <c r="H413">
        <f t="shared" si="154"/>
        <v>0</v>
      </c>
      <c r="I413">
        <f t="shared" si="155"/>
        <v>0</v>
      </c>
      <c r="J413">
        <f t="shared" si="156"/>
        <v>5</v>
      </c>
      <c r="K413">
        <f t="shared" si="157"/>
        <v>5</v>
      </c>
      <c r="L413" t="str">
        <f t="shared" si="158"/>
        <v>Critical</v>
      </c>
      <c r="M413" t="s">
        <v>833</v>
      </c>
      <c r="N413" t="s">
        <v>834</v>
      </c>
      <c r="O413" t="s">
        <v>835</v>
      </c>
      <c r="P413" t="s">
        <v>836</v>
      </c>
      <c r="Q413" t="s">
        <v>837</v>
      </c>
      <c r="R413" t="s">
        <v>838</v>
      </c>
      <c r="S413" t="s">
        <v>3217</v>
      </c>
      <c r="T413">
        <f>'Assessment Questions'!W413</f>
        <v>0</v>
      </c>
      <c r="U413">
        <f>'Assessment Questions'!X413</f>
        <v>0</v>
      </c>
      <c r="V413" t="str">
        <f>'Assessment Questions'!Y413</f>
        <v>Use the recommended action generated by the model; validate with domain owner during real assessment.</v>
      </c>
      <c r="W413">
        <v>4</v>
      </c>
      <c r="X413">
        <v>5</v>
      </c>
      <c r="Y413">
        <v>5</v>
      </c>
      <c r="Z413">
        <f>'Assessment Questions'!AC413</f>
        <v>0</v>
      </c>
      <c r="AB413">
        <f t="shared" si="169"/>
        <v>0</v>
      </c>
      <c r="AC413">
        <f t="shared" si="170"/>
        <v>0</v>
      </c>
      <c r="AD413">
        <f t="shared" si="159"/>
        <v>0</v>
      </c>
      <c r="AE413">
        <f t="shared" si="171"/>
        <v>0</v>
      </c>
      <c r="AF413">
        <f t="shared" si="160"/>
        <v>5</v>
      </c>
      <c r="AG413">
        <f t="shared" si="172"/>
        <v>0</v>
      </c>
      <c r="AH413">
        <f>'Assessment Questions'!AK413</f>
        <v>0</v>
      </c>
      <c r="AI413">
        <f>'Assessment Questions'!AL413</f>
        <v>0</v>
      </c>
      <c r="AJ413">
        <f>IF(OR($H413="",$H413="N/A"),"",IF($AH413="",VLOOKUP('Company Profile'!$B$40,_CONFIG_Model_Settings!$A$5:$B$8,2,FALSE),IFERROR(VLOOKUP($AH413,_CONFIG_Model_Settings!$A$5:$B$8,2,FALSE),0.9)))</f>
        <v>0.9</v>
      </c>
      <c r="AK413">
        <f>IF(OR($H413="",$H413="N/A"),"",IF($AI413="",VLOOKUP('Company Profile'!$B$41,_CONFIG_Model_Settings!$A$5:$B$8,2,FALSE),IFERROR(VLOOKUP($AI413,_CONFIG_Model_Settings!$A$5:$B$8,2,FALSE),0.9)))</f>
        <v>0.9</v>
      </c>
      <c r="AL413">
        <f t="shared" si="161"/>
        <v>0</v>
      </c>
      <c r="AM413">
        <f t="shared" si="162"/>
        <v>0</v>
      </c>
      <c r="AN413">
        <f>IFERROR(MIN(5,MAX(0,(SUMIFS(_REF_Model_Content!$D$1:$D$174,_REF_Model_Content!$A$1:$A$174,PV_Canonical_Industry,_REF_Model_Content!$B$1:$B$174,"Quality Portfolio"))+IFERROR(VLOOKUP('Company Profile'!$B$35,_CONFIG_Model_Settings!$A$11:$B$13,2,0),0))),"")</f>
        <v>0</v>
      </c>
      <c r="AO413">
        <f t="shared" si="163"/>
        <v>0</v>
      </c>
      <c r="AP413">
        <f>IFERROR(SUMIFS(_REF_Model_Content!$E$1:$E$174,_REF_Model_Content!$A$1:$A$174,PV_Canonical_Industry,_REF_Model_Content!$B$1:$B$174,"Quality Portfolio"),1)</f>
        <v>0</v>
      </c>
      <c r="AQ413">
        <f t="shared" si="164"/>
        <v>0</v>
      </c>
      <c r="AR413" t="str">
        <f t="shared" si="165"/>
        <v>Within target</v>
      </c>
      <c r="AS413">
        <f t="shared" si="166"/>
        <v>0</v>
      </c>
      <c r="AT413">
        <f t="shared" si="167"/>
        <v>0.9</v>
      </c>
      <c r="AU413">
        <f>'Assessment Questions'!AX413</f>
        <v>0</v>
      </c>
      <c r="AV413">
        <f t="shared" si="168"/>
        <v>0.9</v>
      </c>
      <c r="AW413" t="s">
        <v>3204</v>
      </c>
      <c r="AX413" t="s">
        <v>3204</v>
      </c>
      <c r="AY413">
        <v>11</v>
      </c>
      <c r="AZ413">
        <v>413</v>
      </c>
    </row>
    <row r="414" spans="1:52">
      <c r="A414" t="s">
        <v>3257</v>
      </c>
      <c r="B414" t="s">
        <v>3221</v>
      </c>
      <c r="C414" t="s">
        <v>3258</v>
      </c>
      <c r="D414" t="s">
        <v>3208</v>
      </c>
      <c r="E414" t="s">
        <v>3209</v>
      </c>
      <c r="F414" t="s">
        <v>3259</v>
      </c>
      <c r="G414">
        <f>'Assessment Questions'!J414</f>
        <v>3</v>
      </c>
      <c r="H414">
        <f t="shared" si="154"/>
        <v>0</v>
      </c>
      <c r="I414">
        <f t="shared" si="155"/>
        <v>0</v>
      </c>
      <c r="J414">
        <f t="shared" si="156"/>
        <v>3</v>
      </c>
      <c r="K414">
        <f t="shared" si="157"/>
        <v>3</v>
      </c>
      <c r="L414" t="str">
        <f t="shared" si="158"/>
        <v>Critical</v>
      </c>
      <c r="M414" t="s">
        <v>1202</v>
      </c>
      <c r="N414" t="s">
        <v>1203</v>
      </c>
      <c r="O414" t="s">
        <v>1204</v>
      </c>
      <c r="P414" t="s">
        <v>1205</v>
      </c>
      <c r="Q414" t="s">
        <v>1206</v>
      </c>
      <c r="R414" t="s">
        <v>1207</v>
      </c>
      <c r="S414" t="s">
        <v>3217</v>
      </c>
      <c r="T414">
        <f>'Assessment Questions'!W414</f>
        <v>0</v>
      </c>
      <c r="U414">
        <f>'Assessment Questions'!X414</f>
        <v>0</v>
      </c>
      <c r="V414" t="str">
        <f>'Assessment Questions'!Y414</f>
        <v>Use the recommended action generated by the model; validate with domain owner during real assessment.</v>
      </c>
      <c r="W414">
        <v>4</v>
      </c>
      <c r="X414">
        <v>5</v>
      </c>
      <c r="Y414">
        <v>5</v>
      </c>
      <c r="Z414">
        <f>'Assessment Questions'!AC414</f>
        <v>0</v>
      </c>
      <c r="AB414">
        <f t="shared" si="169"/>
        <v>0</v>
      </c>
      <c r="AC414">
        <f t="shared" si="170"/>
        <v>0</v>
      </c>
      <c r="AD414">
        <f t="shared" si="159"/>
        <v>0</v>
      </c>
      <c r="AE414">
        <f t="shared" si="171"/>
        <v>0</v>
      </c>
      <c r="AF414">
        <f t="shared" si="160"/>
        <v>5</v>
      </c>
      <c r="AG414">
        <f t="shared" si="172"/>
        <v>0</v>
      </c>
      <c r="AH414">
        <f>'Assessment Questions'!AK414</f>
        <v>0</v>
      </c>
      <c r="AI414">
        <f>'Assessment Questions'!AL414</f>
        <v>0</v>
      </c>
      <c r="AJ414">
        <f>IF(OR($H414="",$H414="N/A"),"",IF($AH414="",VLOOKUP('Company Profile'!$B$40,_CONFIG_Model_Settings!$A$5:$B$8,2,FALSE),IFERROR(VLOOKUP($AH414,_CONFIG_Model_Settings!$A$5:$B$8,2,FALSE),0.9)))</f>
        <v>0.9</v>
      </c>
      <c r="AK414">
        <f>IF(OR($H414="",$H414="N/A"),"",IF($AI414="",VLOOKUP('Company Profile'!$B$41,_CONFIG_Model_Settings!$A$5:$B$8,2,FALSE),IFERROR(VLOOKUP($AI414,_CONFIG_Model_Settings!$A$5:$B$8,2,FALSE),0.9)))</f>
        <v>0.9</v>
      </c>
      <c r="AL414">
        <f t="shared" si="161"/>
        <v>0</v>
      </c>
      <c r="AM414">
        <f t="shared" si="162"/>
        <v>0</v>
      </c>
      <c r="AN414">
        <f>IFERROR(MIN(5,MAX(0,(SUMIFS(_REF_Model_Content!$D$1:$D$174,_REF_Model_Content!$A$1:$A$174,PV_Canonical_Industry,_REF_Model_Content!$B$1:$B$174,"Quality Portfolio"))+IFERROR(VLOOKUP('Company Profile'!$B$35,_CONFIG_Model_Settings!$A$11:$B$13,2,0),0))),"")</f>
        <v>0</v>
      </c>
      <c r="AO414">
        <f t="shared" si="163"/>
        <v>0</v>
      </c>
      <c r="AP414">
        <f>IFERROR(SUMIFS(_REF_Model_Content!$E$1:$E$174,_REF_Model_Content!$A$1:$A$174,PV_Canonical_Industry,_REF_Model_Content!$B$1:$B$174,"Quality Portfolio"),1)</f>
        <v>0</v>
      </c>
      <c r="AQ414">
        <f t="shared" si="164"/>
        <v>0</v>
      </c>
      <c r="AR414" t="str">
        <f t="shared" si="165"/>
        <v>Within target</v>
      </c>
      <c r="AS414">
        <f t="shared" si="166"/>
        <v>0</v>
      </c>
      <c r="AT414">
        <f t="shared" si="167"/>
        <v>0.9</v>
      </c>
      <c r="AU414">
        <f>'Assessment Questions'!AX414</f>
        <v>0</v>
      </c>
      <c r="AV414">
        <f t="shared" si="168"/>
        <v>0.9</v>
      </c>
      <c r="AW414" t="s">
        <v>3204</v>
      </c>
      <c r="AX414" t="s">
        <v>3204</v>
      </c>
      <c r="AY414">
        <v>12</v>
      </c>
      <c r="AZ414">
        <v>414</v>
      </c>
    </row>
    <row r="415" spans="1:52">
      <c r="A415" t="s">
        <v>3260</v>
      </c>
      <c r="B415" t="s">
        <v>3221</v>
      </c>
      <c r="C415" t="s">
        <v>3261</v>
      </c>
      <c r="D415" t="s">
        <v>3208</v>
      </c>
      <c r="E415" t="s">
        <v>3209</v>
      </c>
      <c r="F415" t="s">
        <v>3262</v>
      </c>
      <c r="G415">
        <f>'Assessment Questions'!J415</f>
        <v>4</v>
      </c>
      <c r="H415">
        <f t="shared" si="154"/>
        <v>0</v>
      </c>
      <c r="I415">
        <f t="shared" si="155"/>
        <v>0</v>
      </c>
      <c r="J415">
        <f t="shared" si="156"/>
        <v>4</v>
      </c>
      <c r="K415">
        <f t="shared" si="157"/>
        <v>4</v>
      </c>
      <c r="L415" t="str">
        <f t="shared" si="158"/>
        <v>Critical</v>
      </c>
      <c r="M415" t="s">
        <v>3263</v>
      </c>
      <c r="N415" t="s">
        <v>3264</v>
      </c>
      <c r="O415" t="s">
        <v>3265</v>
      </c>
      <c r="P415" t="s">
        <v>3266</v>
      </c>
      <c r="Q415" t="s">
        <v>3267</v>
      </c>
      <c r="R415" t="s">
        <v>3268</v>
      </c>
      <c r="S415" t="s">
        <v>3217</v>
      </c>
      <c r="T415">
        <f>'Assessment Questions'!W415</f>
        <v>0</v>
      </c>
      <c r="U415">
        <f>'Assessment Questions'!X415</f>
        <v>0</v>
      </c>
      <c r="V415" t="str">
        <f>'Assessment Questions'!Y415</f>
        <v>Use the recommended action generated by the model; validate with domain owner during real assessment.</v>
      </c>
      <c r="W415">
        <v>4</v>
      </c>
      <c r="X415">
        <v>5</v>
      </c>
      <c r="Y415">
        <v>5</v>
      </c>
      <c r="Z415">
        <f>'Assessment Questions'!AC415</f>
        <v>0</v>
      </c>
      <c r="AB415">
        <f t="shared" si="169"/>
        <v>0</v>
      </c>
      <c r="AC415">
        <f t="shared" si="170"/>
        <v>0</v>
      </c>
      <c r="AD415">
        <f t="shared" si="159"/>
        <v>0</v>
      </c>
      <c r="AE415">
        <f t="shared" si="171"/>
        <v>0</v>
      </c>
      <c r="AF415">
        <f t="shared" si="160"/>
        <v>5</v>
      </c>
      <c r="AG415">
        <f t="shared" si="172"/>
        <v>0</v>
      </c>
      <c r="AH415">
        <f>'Assessment Questions'!AK415</f>
        <v>0</v>
      </c>
      <c r="AI415">
        <f>'Assessment Questions'!AL415</f>
        <v>0</v>
      </c>
      <c r="AJ415">
        <f>IF(OR($H415="",$H415="N/A"),"",IF($AH415="",VLOOKUP('Company Profile'!$B$40,_CONFIG_Model_Settings!$A$5:$B$8,2,FALSE),IFERROR(VLOOKUP($AH415,_CONFIG_Model_Settings!$A$5:$B$8,2,FALSE),0.9)))</f>
        <v>0.9</v>
      </c>
      <c r="AK415">
        <f>IF(OR($H415="",$H415="N/A"),"",IF($AI415="",VLOOKUP('Company Profile'!$B$41,_CONFIG_Model_Settings!$A$5:$B$8,2,FALSE),IFERROR(VLOOKUP($AI415,_CONFIG_Model_Settings!$A$5:$B$8,2,FALSE),0.9)))</f>
        <v>0.9</v>
      </c>
      <c r="AL415">
        <f t="shared" si="161"/>
        <v>0</v>
      </c>
      <c r="AM415">
        <f t="shared" si="162"/>
        <v>0</v>
      </c>
      <c r="AN415">
        <f>IFERROR(MIN(5,MAX(0,(SUMIFS(_REF_Model_Content!$D$1:$D$174,_REF_Model_Content!$A$1:$A$174,PV_Canonical_Industry,_REF_Model_Content!$B$1:$B$174,"Quality Portfolio"))+IFERROR(VLOOKUP('Company Profile'!$B$35,_CONFIG_Model_Settings!$A$11:$B$13,2,0),0))),"")</f>
        <v>0</v>
      </c>
      <c r="AO415">
        <f t="shared" si="163"/>
        <v>0</v>
      </c>
      <c r="AP415">
        <f>IFERROR(SUMIFS(_REF_Model_Content!$E$1:$E$174,_REF_Model_Content!$A$1:$A$174,PV_Canonical_Industry,_REF_Model_Content!$B$1:$B$174,"Quality Portfolio"),1)</f>
        <v>0</v>
      </c>
      <c r="AQ415">
        <f t="shared" si="164"/>
        <v>0</v>
      </c>
      <c r="AR415" t="str">
        <f t="shared" si="165"/>
        <v>Within target</v>
      </c>
      <c r="AS415">
        <f t="shared" si="166"/>
        <v>0</v>
      </c>
      <c r="AT415">
        <f t="shared" si="167"/>
        <v>0.9</v>
      </c>
      <c r="AU415">
        <f>'Assessment Questions'!AX415</f>
        <v>0</v>
      </c>
      <c r="AV415">
        <f t="shared" si="168"/>
        <v>0.9</v>
      </c>
      <c r="AW415" t="s">
        <v>3204</v>
      </c>
      <c r="AX415" t="s">
        <v>3204</v>
      </c>
      <c r="AY415">
        <v>13</v>
      </c>
      <c r="AZ415">
        <v>415</v>
      </c>
    </row>
    <row r="416" spans="1:52">
      <c r="A416" t="s">
        <v>3269</v>
      </c>
      <c r="B416" t="s">
        <v>3225</v>
      </c>
      <c r="C416" t="s">
        <v>3270</v>
      </c>
      <c r="D416" t="s">
        <v>3208</v>
      </c>
      <c r="E416" t="s">
        <v>3209</v>
      </c>
      <c r="F416" t="s">
        <v>3271</v>
      </c>
      <c r="G416">
        <f>'Assessment Questions'!J416</f>
        <v>4</v>
      </c>
      <c r="H416">
        <f t="shared" si="154"/>
        <v>0</v>
      </c>
      <c r="I416">
        <f t="shared" si="155"/>
        <v>0</v>
      </c>
      <c r="J416">
        <f t="shared" si="156"/>
        <v>4</v>
      </c>
      <c r="K416">
        <f t="shared" si="157"/>
        <v>4</v>
      </c>
      <c r="L416" t="str">
        <f t="shared" si="158"/>
        <v>Critical</v>
      </c>
      <c r="M416" t="s">
        <v>3272</v>
      </c>
      <c r="N416" t="s">
        <v>3273</v>
      </c>
      <c r="O416" t="s">
        <v>3274</v>
      </c>
      <c r="P416" t="s">
        <v>3275</v>
      </c>
      <c r="Q416" t="s">
        <v>3276</v>
      </c>
      <c r="R416" t="s">
        <v>3277</v>
      </c>
      <c r="S416" t="s">
        <v>3217</v>
      </c>
      <c r="T416">
        <f>'Assessment Questions'!W416</f>
        <v>0</v>
      </c>
      <c r="U416">
        <f>'Assessment Questions'!X416</f>
        <v>0</v>
      </c>
      <c r="V416" t="str">
        <f>'Assessment Questions'!Y416</f>
        <v>Use the recommended action generated by the model; validate with domain owner during real assessment.</v>
      </c>
      <c r="W416">
        <v>4</v>
      </c>
      <c r="X416">
        <v>5</v>
      </c>
      <c r="Y416">
        <v>5</v>
      </c>
      <c r="Z416">
        <f>'Assessment Questions'!AC416</f>
        <v>0</v>
      </c>
      <c r="AB416">
        <f t="shared" si="169"/>
        <v>0</v>
      </c>
      <c r="AC416">
        <f t="shared" si="170"/>
        <v>0</v>
      </c>
      <c r="AD416">
        <f t="shared" si="159"/>
        <v>0</v>
      </c>
      <c r="AE416">
        <f t="shared" si="171"/>
        <v>0</v>
      </c>
      <c r="AF416">
        <f t="shared" si="160"/>
        <v>5</v>
      </c>
      <c r="AG416">
        <f t="shared" si="172"/>
        <v>0</v>
      </c>
      <c r="AH416">
        <f>'Assessment Questions'!AK416</f>
        <v>0</v>
      </c>
      <c r="AI416">
        <f>'Assessment Questions'!AL416</f>
        <v>0</v>
      </c>
      <c r="AJ416">
        <f>IF(OR($H416="",$H416="N/A"),"",IF($AH416="",VLOOKUP('Company Profile'!$B$40,_CONFIG_Model_Settings!$A$5:$B$8,2,FALSE),IFERROR(VLOOKUP($AH416,_CONFIG_Model_Settings!$A$5:$B$8,2,FALSE),0.9)))</f>
        <v>0.9</v>
      </c>
      <c r="AK416">
        <f>IF(OR($H416="",$H416="N/A"),"",IF($AI416="",VLOOKUP('Company Profile'!$B$41,_CONFIG_Model_Settings!$A$5:$B$8,2,FALSE),IFERROR(VLOOKUP($AI416,_CONFIG_Model_Settings!$A$5:$B$8,2,FALSE),0.9)))</f>
        <v>0.9</v>
      </c>
      <c r="AL416">
        <f t="shared" si="161"/>
        <v>0</v>
      </c>
      <c r="AM416">
        <f t="shared" si="162"/>
        <v>0</v>
      </c>
      <c r="AN416">
        <f>IFERROR(MIN(5,MAX(0,(SUMIFS(_REF_Model_Content!$D$1:$D$174,_REF_Model_Content!$A$1:$A$174,PV_Canonical_Industry,_REF_Model_Content!$B$1:$B$174,"Quality Portfolio"))+IFERROR(VLOOKUP('Company Profile'!$B$35,_CONFIG_Model_Settings!$A$11:$B$13,2,0),0))),"")</f>
        <v>0</v>
      </c>
      <c r="AO416">
        <f t="shared" si="163"/>
        <v>0</v>
      </c>
      <c r="AP416">
        <f>IFERROR(SUMIFS(_REF_Model_Content!$E$1:$E$174,_REF_Model_Content!$A$1:$A$174,PV_Canonical_Industry,_REF_Model_Content!$B$1:$B$174,"Quality Portfolio"),1)</f>
        <v>0</v>
      </c>
      <c r="AQ416">
        <f t="shared" si="164"/>
        <v>0</v>
      </c>
      <c r="AR416" t="str">
        <f t="shared" si="165"/>
        <v>Within target</v>
      </c>
      <c r="AS416">
        <f t="shared" si="166"/>
        <v>0</v>
      </c>
      <c r="AT416">
        <f t="shared" si="167"/>
        <v>0.9</v>
      </c>
      <c r="AU416">
        <f>'Assessment Questions'!AX416</f>
        <v>0</v>
      </c>
      <c r="AV416">
        <f t="shared" si="168"/>
        <v>0.9</v>
      </c>
      <c r="AW416" t="s">
        <v>3204</v>
      </c>
      <c r="AX416" t="s">
        <v>3204</v>
      </c>
      <c r="AY416">
        <v>14</v>
      </c>
      <c r="AZ416">
        <v>416</v>
      </c>
    </row>
    <row r="417" spans="1:52">
      <c r="A417" t="s">
        <v>3278</v>
      </c>
      <c r="B417" t="s">
        <v>3225</v>
      </c>
      <c r="C417" t="s">
        <v>3279</v>
      </c>
      <c r="D417" t="s">
        <v>3208</v>
      </c>
      <c r="E417" t="s">
        <v>3209</v>
      </c>
      <c r="F417" t="s">
        <v>3280</v>
      </c>
      <c r="G417">
        <f>'Assessment Questions'!J417</f>
        <v>5</v>
      </c>
      <c r="H417">
        <f t="shared" si="154"/>
        <v>0</v>
      </c>
      <c r="I417">
        <f t="shared" si="155"/>
        <v>0</v>
      </c>
      <c r="J417">
        <f t="shared" si="156"/>
        <v>5</v>
      </c>
      <c r="K417">
        <f t="shared" si="157"/>
        <v>5</v>
      </c>
      <c r="L417" t="str">
        <f t="shared" si="158"/>
        <v>Critical</v>
      </c>
      <c r="M417" t="s">
        <v>833</v>
      </c>
      <c r="N417" t="s">
        <v>834</v>
      </c>
      <c r="O417" t="s">
        <v>835</v>
      </c>
      <c r="P417" t="s">
        <v>836</v>
      </c>
      <c r="Q417" t="s">
        <v>837</v>
      </c>
      <c r="R417" t="s">
        <v>838</v>
      </c>
      <c r="S417" t="s">
        <v>3217</v>
      </c>
      <c r="T417">
        <f>'Assessment Questions'!W417</f>
        <v>0</v>
      </c>
      <c r="U417">
        <f>'Assessment Questions'!X417</f>
        <v>0</v>
      </c>
      <c r="V417" t="str">
        <f>'Assessment Questions'!Y417</f>
        <v>Use the recommended action generated by the model; validate with domain owner during real assessment.</v>
      </c>
      <c r="W417">
        <v>4</v>
      </c>
      <c r="X417">
        <v>5</v>
      </c>
      <c r="Y417">
        <v>5</v>
      </c>
      <c r="Z417">
        <f>'Assessment Questions'!AC417</f>
        <v>0</v>
      </c>
      <c r="AB417">
        <f t="shared" si="169"/>
        <v>0</v>
      </c>
      <c r="AC417">
        <f t="shared" si="170"/>
        <v>0</v>
      </c>
      <c r="AD417">
        <f t="shared" si="159"/>
        <v>0</v>
      </c>
      <c r="AE417">
        <f t="shared" si="171"/>
        <v>0</v>
      </c>
      <c r="AF417">
        <f t="shared" si="160"/>
        <v>5</v>
      </c>
      <c r="AG417">
        <f t="shared" si="172"/>
        <v>0</v>
      </c>
      <c r="AH417">
        <f>'Assessment Questions'!AK417</f>
        <v>0</v>
      </c>
      <c r="AI417">
        <f>'Assessment Questions'!AL417</f>
        <v>0</v>
      </c>
      <c r="AJ417">
        <f>IF(OR($H417="",$H417="N/A"),"",IF($AH417="",VLOOKUP('Company Profile'!$B$40,_CONFIG_Model_Settings!$A$5:$B$8,2,FALSE),IFERROR(VLOOKUP($AH417,_CONFIG_Model_Settings!$A$5:$B$8,2,FALSE),0.9)))</f>
        <v>0.9</v>
      </c>
      <c r="AK417">
        <f>IF(OR($H417="",$H417="N/A"),"",IF($AI417="",VLOOKUP('Company Profile'!$B$41,_CONFIG_Model_Settings!$A$5:$B$8,2,FALSE),IFERROR(VLOOKUP($AI417,_CONFIG_Model_Settings!$A$5:$B$8,2,FALSE),0.9)))</f>
        <v>0.9</v>
      </c>
      <c r="AL417">
        <f t="shared" si="161"/>
        <v>0</v>
      </c>
      <c r="AM417">
        <f t="shared" si="162"/>
        <v>0</v>
      </c>
      <c r="AN417">
        <f>IFERROR(MIN(5,MAX(0,(SUMIFS(_REF_Model_Content!$D$1:$D$174,_REF_Model_Content!$A$1:$A$174,PV_Canonical_Industry,_REF_Model_Content!$B$1:$B$174,"Quality Portfolio"))+IFERROR(VLOOKUP('Company Profile'!$B$35,_CONFIG_Model_Settings!$A$11:$B$13,2,0),0))),"")</f>
        <v>0</v>
      </c>
      <c r="AO417">
        <f t="shared" si="163"/>
        <v>0</v>
      </c>
      <c r="AP417">
        <f>IFERROR(SUMIFS(_REF_Model_Content!$E$1:$E$174,_REF_Model_Content!$A$1:$A$174,PV_Canonical_Industry,_REF_Model_Content!$B$1:$B$174,"Quality Portfolio"),1)</f>
        <v>0</v>
      </c>
      <c r="AQ417">
        <f t="shared" si="164"/>
        <v>0</v>
      </c>
      <c r="AR417" t="str">
        <f t="shared" si="165"/>
        <v>Within target</v>
      </c>
      <c r="AS417">
        <f t="shared" si="166"/>
        <v>0</v>
      </c>
      <c r="AT417">
        <f t="shared" si="167"/>
        <v>0.9</v>
      </c>
      <c r="AU417">
        <f>'Assessment Questions'!AX417</f>
        <v>0</v>
      </c>
      <c r="AV417">
        <f t="shared" si="168"/>
        <v>0.9</v>
      </c>
      <c r="AW417" t="s">
        <v>3204</v>
      </c>
      <c r="AX417" t="s">
        <v>3204</v>
      </c>
      <c r="AY417">
        <v>15</v>
      </c>
      <c r="AZ417">
        <v>417</v>
      </c>
    </row>
    <row r="418" spans="1:52">
      <c r="A418" t="s">
        <v>3281</v>
      </c>
      <c r="B418" t="s">
        <v>3225</v>
      </c>
      <c r="C418" t="s">
        <v>3282</v>
      </c>
      <c r="D418" t="s">
        <v>3208</v>
      </c>
      <c r="E418" t="s">
        <v>3209</v>
      </c>
      <c r="F418" t="s">
        <v>3283</v>
      </c>
      <c r="G418">
        <f>'Assessment Questions'!J418</f>
        <v>3</v>
      </c>
      <c r="H418">
        <f t="shared" si="154"/>
        <v>0</v>
      </c>
      <c r="I418">
        <f t="shared" si="155"/>
        <v>0</v>
      </c>
      <c r="J418">
        <f t="shared" si="156"/>
        <v>3</v>
      </c>
      <c r="K418">
        <f t="shared" si="157"/>
        <v>3</v>
      </c>
      <c r="L418" t="str">
        <f t="shared" si="158"/>
        <v>Critical</v>
      </c>
      <c r="M418" t="s">
        <v>3284</v>
      </c>
      <c r="N418" t="s">
        <v>3285</v>
      </c>
      <c r="O418" t="s">
        <v>3286</v>
      </c>
      <c r="P418" t="s">
        <v>3287</v>
      </c>
      <c r="Q418" t="s">
        <v>3288</v>
      </c>
      <c r="R418" t="s">
        <v>3289</v>
      </c>
      <c r="S418" t="s">
        <v>3217</v>
      </c>
      <c r="T418">
        <f>'Assessment Questions'!W418</f>
        <v>0</v>
      </c>
      <c r="U418">
        <f>'Assessment Questions'!X418</f>
        <v>0</v>
      </c>
      <c r="V418" t="str">
        <f>'Assessment Questions'!Y418</f>
        <v>Use the recommended action generated by the model; validate with domain owner during real assessment.</v>
      </c>
      <c r="W418">
        <v>4</v>
      </c>
      <c r="X418">
        <v>5</v>
      </c>
      <c r="Y418">
        <v>5</v>
      </c>
      <c r="Z418">
        <f>'Assessment Questions'!AC418</f>
        <v>0</v>
      </c>
      <c r="AB418">
        <f t="shared" si="169"/>
        <v>0</v>
      </c>
      <c r="AC418">
        <f t="shared" si="170"/>
        <v>0</v>
      </c>
      <c r="AD418">
        <f t="shared" si="159"/>
        <v>0</v>
      </c>
      <c r="AE418">
        <f t="shared" si="171"/>
        <v>0</v>
      </c>
      <c r="AF418">
        <f t="shared" si="160"/>
        <v>5</v>
      </c>
      <c r="AG418">
        <f t="shared" si="172"/>
        <v>0</v>
      </c>
      <c r="AH418">
        <f>'Assessment Questions'!AK418</f>
        <v>0</v>
      </c>
      <c r="AI418">
        <f>'Assessment Questions'!AL418</f>
        <v>0</v>
      </c>
      <c r="AJ418">
        <f>IF(OR($H418="",$H418="N/A"),"",IF($AH418="",VLOOKUP('Company Profile'!$B$40,_CONFIG_Model_Settings!$A$5:$B$8,2,FALSE),IFERROR(VLOOKUP($AH418,_CONFIG_Model_Settings!$A$5:$B$8,2,FALSE),0.9)))</f>
        <v>0.9</v>
      </c>
      <c r="AK418">
        <f>IF(OR($H418="",$H418="N/A"),"",IF($AI418="",VLOOKUP('Company Profile'!$B$41,_CONFIG_Model_Settings!$A$5:$B$8,2,FALSE),IFERROR(VLOOKUP($AI418,_CONFIG_Model_Settings!$A$5:$B$8,2,FALSE),0.9)))</f>
        <v>0.9</v>
      </c>
      <c r="AL418">
        <f t="shared" si="161"/>
        <v>0</v>
      </c>
      <c r="AM418">
        <f t="shared" si="162"/>
        <v>0</v>
      </c>
      <c r="AN418">
        <f>IFERROR(MIN(5,MAX(0,(SUMIFS(_REF_Model_Content!$D$1:$D$174,_REF_Model_Content!$A$1:$A$174,PV_Canonical_Industry,_REF_Model_Content!$B$1:$B$174,"Quality Portfolio"))+IFERROR(VLOOKUP('Company Profile'!$B$35,_CONFIG_Model_Settings!$A$11:$B$13,2,0),0))),"")</f>
        <v>0</v>
      </c>
      <c r="AO418">
        <f t="shared" si="163"/>
        <v>0</v>
      </c>
      <c r="AP418">
        <f>IFERROR(SUMIFS(_REF_Model_Content!$E$1:$E$174,_REF_Model_Content!$A$1:$A$174,PV_Canonical_Industry,_REF_Model_Content!$B$1:$B$174,"Quality Portfolio"),1)</f>
        <v>0</v>
      </c>
      <c r="AQ418">
        <f t="shared" si="164"/>
        <v>0</v>
      </c>
      <c r="AR418" t="str">
        <f t="shared" si="165"/>
        <v>Within target</v>
      </c>
      <c r="AS418">
        <f t="shared" si="166"/>
        <v>0</v>
      </c>
      <c r="AT418">
        <f t="shared" si="167"/>
        <v>0.9</v>
      </c>
      <c r="AU418">
        <f>'Assessment Questions'!AX418</f>
        <v>0</v>
      </c>
      <c r="AV418">
        <f t="shared" si="168"/>
        <v>0.9</v>
      </c>
      <c r="AW418" t="s">
        <v>3204</v>
      </c>
      <c r="AX418" t="s">
        <v>3204</v>
      </c>
      <c r="AY418">
        <v>16</v>
      </c>
      <c r="AZ418">
        <v>418</v>
      </c>
    </row>
    <row r="419" spans="1:52">
      <c r="A419" t="s">
        <v>3290</v>
      </c>
      <c r="B419" t="s">
        <v>3225</v>
      </c>
      <c r="C419" t="s">
        <v>3291</v>
      </c>
      <c r="D419" t="s">
        <v>3208</v>
      </c>
      <c r="E419" t="s">
        <v>3209</v>
      </c>
      <c r="F419" t="s">
        <v>3292</v>
      </c>
      <c r="G419">
        <f>'Assessment Questions'!J419</f>
        <v>3</v>
      </c>
      <c r="H419">
        <f t="shared" si="154"/>
        <v>0</v>
      </c>
      <c r="I419">
        <f t="shared" si="155"/>
        <v>0</v>
      </c>
      <c r="J419">
        <f t="shared" si="156"/>
        <v>3</v>
      </c>
      <c r="K419">
        <f t="shared" si="157"/>
        <v>3</v>
      </c>
      <c r="L419" t="str">
        <f t="shared" si="158"/>
        <v>Critical</v>
      </c>
      <c r="M419" t="s">
        <v>1202</v>
      </c>
      <c r="N419" t="s">
        <v>1203</v>
      </c>
      <c r="O419" t="s">
        <v>1204</v>
      </c>
      <c r="P419" t="s">
        <v>1205</v>
      </c>
      <c r="Q419" t="s">
        <v>1206</v>
      </c>
      <c r="R419" t="s">
        <v>1207</v>
      </c>
      <c r="S419" t="s">
        <v>3217</v>
      </c>
      <c r="T419">
        <f>'Assessment Questions'!W419</f>
        <v>0</v>
      </c>
      <c r="U419">
        <f>'Assessment Questions'!X419</f>
        <v>0</v>
      </c>
      <c r="V419" t="str">
        <f>'Assessment Questions'!Y419</f>
        <v>Use the recommended action generated by the model; validate with domain owner during real assessment.</v>
      </c>
      <c r="W419">
        <v>4</v>
      </c>
      <c r="X419">
        <v>5</v>
      </c>
      <c r="Y419">
        <v>5</v>
      </c>
      <c r="Z419">
        <f>'Assessment Questions'!AC419</f>
        <v>0</v>
      </c>
      <c r="AB419">
        <f t="shared" si="169"/>
        <v>0</v>
      </c>
      <c r="AC419">
        <f t="shared" si="170"/>
        <v>0</v>
      </c>
      <c r="AD419">
        <f t="shared" si="159"/>
        <v>0</v>
      </c>
      <c r="AE419">
        <f t="shared" si="171"/>
        <v>0</v>
      </c>
      <c r="AF419">
        <f t="shared" si="160"/>
        <v>5</v>
      </c>
      <c r="AG419">
        <f t="shared" si="172"/>
        <v>0</v>
      </c>
      <c r="AH419">
        <f>'Assessment Questions'!AK419</f>
        <v>0</v>
      </c>
      <c r="AI419">
        <f>'Assessment Questions'!AL419</f>
        <v>0</v>
      </c>
      <c r="AJ419">
        <f>IF(OR($H419="",$H419="N/A"),"",IF($AH419="",VLOOKUP('Company Profile'!$B$40,_CONFIG_Model_Settings!$A$5:$B$8,2,FALSE),IFERROR(VLOOKUP($AH419,_CONFIG_Model_Settings!$A$5:$B$8,2,FALSE),0.9)))</f>
        <v>0.9</v>
      </c>
      <c r="AK419">
        <f>IF(OR($H419="",$H419="N/A"),"",IF($AI419="",VLOOKUP('Company Profile'!$B$41,_CONFIG_Model_Settings!$A$5:$B$8,2,FALSE),IFERROR(VLOOKUP($AI419,_CONFIG_Model_Settings!$A$5:$B$8,2,FALSE),0.9)))</f>
        <v>0.9</v>
      </c>
      <c r="AL419">
        <f t="shared" si="161"/>
        <v>0</v>
      </c>
      <c r="AM419">
        <f t="shared" si="162"/>
        <v>0</v>
      </c>
      <c r="AN419">
        <f>IFERROR(MIN(5,MAX(0,(SUMIFS(_REF_Model_Content!$D$1:$D$174,_REF_Model_Content!$A$1:$A$174,PV_Canonical_Industry,_REF_Model_Content!$B$1:$B$174,"Quality Portfolio"))+IFERROR(VLOOKUP('Company Profile'!$B$35,_CONFIG_Model_Settings!$A$11:$B$13,2,0),0))),"")</f>
        <v>0</v>
      </c>
      <c r="AO419">
        <f t="shared" si="163"/>
        <v>0</v>
      </c>
      <c r="AP419">
        <f>IFERROR(SUMIFS(_REF_Model_Content!$E$1:$E$174,_REF_Model_Content!$A$1:$A$174,PV_Canonical_Industry,_REF_Model_Content!$B$1:$B$174,"Quality Portfolio"),1)</f>
        <v>0</v>
      </c>
      <c r="AQ419">
        <f t="shared" si="164"/>
        <v>0</v>
      </c>
      <c r="AR419" t="str">
        <f t="shared" si="165"/>
        <v>Within target</v>
      </c>
      <c r="AS419">
        <f t="shared" si="166"/>
        <v>0</v>
      </c>
      <c r="AT419">
        <f t="shared" si="167"/>
        <v>0.9</v>
      </c>
      <c r="AU419">
        <f>'Assessment Questions'!AX419</f>
        <v>0</v>
      </c>
      <c r="AV419">
        <f t="shared" si="168"/>
        <v>0.9</v>
      </c>
      <c r="AW419" t="s">
        <v>3204</v>
      </c>
      <c r="AX419" t="s">
        <v>3204</v>
      </c>
      <c r="AY419">
        <v>17</v>
      </c>
      <c r="AZ419">
        <v>419</v>
      </c>
    </row>
    <row r="420" spans="1:52">
      <c r="A420" t="s">
        <v>3293</v>
      </c>
      <c r="B420" t="s">
        <v>3225</v>
      </c>
      <c r="C420" t="s">
        <v>3294</v>
      </c>
      <c r="D420" t="s">
        <v>3208</v>
      </c>
      <c r="E420" t="s">
        <v>3209</v>
      </c>
      <c r="F420" t="s">
        <v>3295</v>
      </c>
      <c r="G420">
        <f>'Assessment Questions'!J420</f>
        <v>5</v>
      </c>
      <c r="H420">
        <f t="shared" si="154"/>
        <v>0</v>
      </c>
      <c r="I420">
        <f t="shared" si="155"/>
        <v>0</v>
      </c>
      <c r="J420">
        <f t="shared" si="156"/>
        <v>5</v>
      </c>
      <c r="K420">
        <f t="shared" si="157"/>
        <v>5</v>
      </c>
      <c r="L420" t="str">
        <f t="shared" si="158"/>
        <v>Critical</v>
      </c>
      <c r="M420" t="s">
        <v>833</v>
      </c>
      <c r="N420" t="s">
        <v>834</v>
      </c>
      <c r="O420" t="s">
        <v>835</v>
      </c>
      <c r="P420" t="s">
        <v>836</v>
      </c>
      <c r="Q420" t="s">
        <v>837</v>
      </c>
      <c r="R420" t="s">
        <v>838</v>
      </c>
      <c r="S420" t="s">
        <v>3217</v>
      </c>
      <c r="T420">
        <f>'Assessment Questions'!W420</f>
        <v>0</v>
      </c>
      <c r="U420">
        <f>'Assessment Questions'!X420</f>
        <v>0</v>
      </c>
      <c r="V420" t="str">
        <f>'Assessment Questions'!Y420</f>
        <v>Use the recommended action generated by the model; validate with domain owner during real assessment.</v>
      </c>
      <c r="W420">
        <v>4</v>
      </c>
      <c r="X420">
        <v>5</v>
      </c>
      <c r="Y420">
        <v>5</v>
      </c>
      <c r="Z420">
        <f>'Assessment Questions'!AC420</f>
        <v>0</v>
      </c>
      <c r="AB420">
        <f t="shared" si="169"/>
        <v>0</v>
      </c>
      <c r="AC420">
        <f t="shared" si="170"/>
        <v>0</v>
      </c>
      <c r="AD420">
        <f t="shared" si="159"/>
        <v>0</v>
      </c>
      <c r="AE420">
        <f t="shared" si="171"/>
        <v>0</v>
      </c>
      <c r="AF420">
        <f t="shared" si="160"/>
        <v>5</v>
      </c>
      <c r="AG420">
        <f t="shared" si="172"/>
        <v>0</v>
      </c>
      <c r="AH420">
        <f>'Assessment Questions'!AK420</f>
        <v>0</v>
      </c>
      <c r="AI420">
        <f>'Assessment Questions'!AL420</f>
        <v>0</v>
      </c>
      <c r="AJ420">
        <f>IF(OR($H420="",$H420="N/A"),"",IF($AH420="",VLOOKUP('Company Profile'!$B$40,_CONFIG_Model_Settings!$A$5:$B$8,2,FALSE),IFERROR(VLOOKUP($AH420,_CONFIG_Model_Settings!$A$5:$B$8,2,FALSE),0.9)))</f>
        <v>0.9</v>
      </c>
      <c r="AK420">
        <f>IF(OR($H420="",$H420="N/A"),"",IF($AI420="",VLOOKUP('Company Profile'!$B$41,_CONFIG_Model_Settings!$A$5:$B$8,2,FALSE),IFERROR(VLOOKUP($AI420,_CONFIG_Model_Settings!$A$5:$B$8,2,FALSE),0.9)))</f>
        <v>0.9</v>
      </c>
      <c r="AL420">
        <f t="shared" si="161"/>
        <v>0</v>
      </c>
      <c r="AM420">
        <f t="shared" si="162"/>
        <v>0</v>
      </c>
      <c r="AN420">
        <f>IFERROR(MIN(5,MAX(0,(SUMIFS(_REF_Model_Content!$D$1:$D$174,_REF_Model_Content!$A$1:$A$174,PV_Canonical_Industry,_REF_Model_Content!$B$1:$B$174,"Quality Portfolio"))+IFERROR(VLOOKUP('Company Profile'!$B$35,_CONFIG_Model_Settings!$A$11:$B$13,2,0),0))),"")</f>
        <v>0</v>
      </c>
      <c r="AO420">
        <f t="shared" si="163"/>
        <v>0</v>
      </c>
      <c r="AP420">
        <f>IFERROR(SUMIFS(_REF_Model_Content!$E$1:$E$174,_REF_Model_Content!$A$1:$A$174,PV_Canonical_Industry,_REF_Model_Content!$B$1:$B$174,"Quality Portfolio"),1)</f>
        <v>0</v>
      </c>
      <c r="AQ420">
        <f t="shared" si="164"/>
        <v>0</v>
      </c>
      <c r="AR420" t="str">
        <f t="shared" si="165"/>
        <v>Within target</v>
      </c>
      <c r="AS420">
        <f t="shared" si="166"/>
        <v>0</v>
      </c>
      <c r="AT420">
        <f t="shared" si="167"/>
        <v>0.9</v>
      </c>
      <c r="AU420">
        <f>'Assessment Questions'!AX420</f>
        <v>0</v>
      </c>
      <c r="AV420">
        <f t="shared" si="168"/>
        <v>0.9</v>
      </c>
      <c r="AW420" t="s">
        <v>3204</v>
      </c>
      <c r="AX420" t="s">
        <v>3204</v>
      </c>
      <c r="AY420">
        <v>18</v>
      </c>
      <c r="AZ420">
        <v>420</v>
      </c>
    </row>
    <row r="421" spans="1:52">
      <c r="A421" t="s">
        <v>3296</v>
      </c>
      <c r="B421" t="s">
        <v>3235</v>
      </c>
      <c r="C421" t="s">
        <v>3297</v>
      </c>
      <c r="D421" t="s">
        <v>3208</v>
      </c>
      <c r="E421" t="s">
        <v>3209</v>
      </c>
      <c r="F421" t="s">
        <v>3298</v>
      </c>
      <c r="G421">
        <f>'Assessment Questions'!J421</f>
        <v>5</v>
      </c>
      <c r="H421">
        <f t="shared" si="154"/>
        <v>0</v>
      </c>
      <c r="I421">
        <f t="shared" si="155"/>
        <v>0</v>
      </c>
      <c r="J421">
        <f t="shared" si="156"/>
        <v>5</v>
      </c>
      <c r="K421">
        <f t="shared" si="157"/>
        <v>5</v>
      </c>
      <c r="L421" t="str">
        <f t="shared" si="158"/>
        <v>Critical</v>
      </c>
      <c r="M421" t="s">
        <v>1069</v>
      </c>
      <c r="N421" t="s">
        <v>1070</v>
      </c>
      <c r="O421" t="s">
        <v>1071</v>
      </c>
      <c r="P421" t="s">
        <v>1072</v>
      </c>
      <c r="Q421" t="s">
        <v>1073</v>
      </c>
      <c r="R421" t="s">
        <v>1074</v>
      </c>
      <c r="S421" t="s">
        <v>3217</v>
      </c>
      <c r="T421">
        <f>'Assessment Questions'!W421</f>
        <v>0</v>
      </c>
      <c r="U421">
        <f>'Assessment Questions'!X421</f>
        <v>0</v>
      </c>
      <c r="V421" t="str">
        <f>'Assessment Questions'!Y421</f>
        <v>Use the recommended action generated by the model; validate with domain owner during real assessment.</v>
      </c>
      <c r="W421">
        <v>4</v>
      </c>
      <c r="X421">
        <v>5</v>
      </c>
      <c r="Y421">
        <v>5</v>
      </c>
      <c r="Z421">
        <f>'Assessment Questions'!AC421</f>
        <v>0</v>
      </c>
      <c r="AB421">
        <f t="shared" si="169"/>
        <v>0</v>
      </c>
      <c r="AC421">
        <f t="shared" si="170"/>
        <v>0</v>
      </c>
      <c r="AD421">
        <f t="shared" si="159"/>
        <v>0</v>
      </c>
      <c r="AE421">
        <f t="shared" si="171"/>
        <v>0</v>
      </c>
      <c r="AF421">
        <f t="shared" si="160"/>
        <v>5</v>
      </c>
      <c r="AG421">
        <f t="shared" si="172"/>
        <v>0</v>
      </c>
      <c r="AH421">
        <f>'Assessment Questions'!AK421</f>
        <v>0</v>
      </c>
      <c r="AI421">
        <f>'Assessment Questions'!AL421</f>
        <v>0</v>
      </c>
      <c r="AJ421">
        <f>IF(OR($H421="",$H421="N/A"),"",IF($AH421="",VLOOKUP('Company Profile'!$B$40,_CONFIG_Model_Settings!$A$5:$B$8,2,FALSE),IFERROR(VLOOKUP($AH421,_CONFIG_Model_Settings!$A$5:$B$8,2,FALSE),0.9)))</f>
        <v>0.9</v>
      </c>
      <c r="AK421">
        <f>IF(OR($H421="",$H421="N/A"),"",IF($AI421="",VLOOKUP('Company Profile'!$B$41,_CONFIG_Model_Settings!$A$5:$B$8,2,FALSE),IFERROR(VLOOKUP($AI421,_CONFIG_Model_Settings!$A$5:$B$8,2,FALSE),0.9)))</f>
        <v>0.9</v>
      </c>
      <c r="AL421">
        <f t="shared" si="161"/>
        <v>0</v>
      </c>
      <c r="AM421">
        <f t="shared" si="162"/>
        <v>0</v>
      </c>
      <c r="AN421">
        <f>IFERROR(MIN(5,MAX(0,(SUMIFS(_REF_Model_Content!$D$1:$D$174,_REF_Model_Content!$A$1:$A$174,PV_Canonical_Industry,_REF_Model_Content!$B$1:$B$174,"Quality Portfolio"))+IFERROR(VLOOKUP('Company Profile'!$B$35,_CONFIG_Model_Settings!$A$11:$B$13,2,0),0))),"")</f>
        <v>0</v>
      </c>
      <c r="AO421">
        <f t="shared" si="163"/>
        <v>0</v>
      </c>
      <c r="AP421">
        <f>IFERROR(SUMIFS(_REF_Model_Content!$E$1:$E$174,_REF_Model_Content!$A$1:$A$174,PV_Canonical_Industry,_REF_Model_Content!$B$1:$B$174,"Quality Portfolio"),1)</f>
        <v>0</v>
      </c>
      <c r="AQ421">
        <f t="shared" si="164"/>
        <v>0</v>
      </c>
      <c r="AR421" t="str">
        <f t="shared" si="165"/>
        <v>Within target</v>
      </c>
      <c r="AS421">
        <f t="shared" si="166"/>
        <v>0</v>
      </c>
      <c r="AT421">
        <f t="shared" si="167"/>
        <v>0.9</v>
      </c>
      <c r="AU421">
        <f>'Assessment Questions'!AX421</f>
        <v>0</v>
      </c>
      <c r="AV421">
        <f t="shared" si="168"/>
        <v>0.9</v>
      </c>
      <c r="AW421" t="s">
        <v>3204</v>
      </c>
      <c r="AX421" t="s">
        <v>3204</v>
      </c>
      <c r="AY421">
        <v>19</v>
      </c>
      <c r="AZ421">
        <v>421</v>
      </c>
    </row>
    <row r="422" spans="1:52">
      <c r="A422" t="s">
        <v>3299</v>
      </c>
      <c r="B422" t="s">
        <v>3235</v>
      </c>
      <c r="C422" t="s">
        <v>3300</v>
      </c>
      <c r="D422" t="s">
        <v>3208</v>
      </c>
      <c r="E422" t="s">
        <v>3209</v>
      </c>
      <c r="F422" t="s">
        <v>3301</v>
      </c>
      <c r="G422">
        <f>'Assessment Questions'!J422</f>
        <v>5</v>
      </c>
      <c r="H422">
        <f t="shared" si="154"/>
        <v>0</v>
      </c>
      <c r="I422">
        <f t="shared" si="155"/>
        <v>0</v>
      </c>
      <c r="J422">
        <f t="shared" si="156"/>
        <v>5</v>
      </c>
      <c r="K422">
        <f t="shared" si="157"/>
        <v>5</v>
      </c>
      <c r="L422" t="str">
        <f t="shared" si="158"/>
        <v>Critical</v>
      </c>
      <c r="M422" t="s">
        <v>833</v>
      </c>
      <c r="N422" t="s">
        <v>834</v>
      </c>
      <c r="O422" t="s">
        <v>835</v>
      </c>
      <c r="P422" t="s">
        <v>836</v>
      </c>
      <c r="Q422" t="s">
        <v>837</v>
      </c>
      <c r="R422" t="s">
        <v>838</v>
      </c>
      <c r="S422" t="s">
        <v>3217</v>
      </c>
      <c r="T422">
        <f>'Assessment Questions'!W422</f>
        <v>0</v>
      </c>
      <c r="U422">
        <f>'Assessment Questions'!X422</f>
        <v>0</v>
      </c>
      <c r="V422" t="str">
        <f>'Assessment Questions'!Y422</f>
        <v>Use the recommended action generated by the model; validate with domain owner during real assessment.</v>
      </c>
      <c r="W422">
        <v>4</v>
      </c>
      <c r="X422">
        <v>5</v>
      </c>
      <c r="Y422">
        <v>5</v>
      </c>
      <c r="Z422">
        <f>'Assessment Questions'!AC422</f>
        <v>0</v>
      </c>
      <c r="AB422">
        <f t="shared" si="169"/>
        <v>0</v>
      </c>
      <c r="AC422">
        <f t="shared" si="170"/>
        <v>0</v>
      </c>
      <c r="AD422">
        <f t="shared" si="159"/>
        <v>0</v>
      </c>
      <c r="AE422">
        <f t="shared" si="171"/>
        <v>0</v>
      </c>
      <c r="AF422">
        <f t="shared" si="160"/>
        <v>5</v>
      </c>
      <c r="AG422">
        <f t="shared" si="172"/>
        <v>0</v>
      </c>
      <c r="AH422">
        <f>'Assessment Questions'!AK422</f>
        <v>0</v>
      </c>
      <c r="AI422">
        <f>'Assessment Questions'!AL422</f>
        <v>0</v>
      </c>
      <c r="AJ422">
        <f>IF(OR($H422="",$H422="N/A"),"",IF($AH422="",VLOOKUP('Company Profile'!$B$40,_CONFIG_Model_Settings!$A$5:$B$8,2,FALSE),IFERROR(VLOOKUP($AH422,_CONFIG_Model_Settings!$A$5:$B$8,2,FALSE),0.9)))</f>
        <v>0.9</v>
      </c>
      <c r="AK422">
        <f>IF(OR($H422="",$H422="N/A"),"",IF($AI422="",VLOOKUP('Company Profile'!$B$41,_CONFIG_Model_Settings!$A$5:$B$8,2,FALSE),IFERROR(VLOOKUP($AI422,_CONFIG_Model_Settings!$A$5:$B$8,2,FALSE),0.9)))</f>
        <v>0.9</v>
      </c>
      <c r="AL422">
        <f t="shared" si="161"/>
        <v>0</v>
      </c>
      <c r="AM422">
        <f t="shared" si="162"/>
        <v>0</v>
      </c>
      <c r="AN422">
        <f>IFERROR(MIN(5,MAX(0,(SUMIFS(_REF_Model_Content!$D$1:$D$174,_REF_Model_Content!$A$1:$A$174,PV_Canonical_Industry,_REF_Model_Content!$B$1:$B$174,"Quality Portfolio"))+IFERROR(VLOOKUP('Company Profile'!$B$35,_CONFIG_Model_Settings!$A$11:$B$13,2,0),0))),"")</f>
        <v>0</v>
      </c>
      <c r="AO422">
        <f t="shared" si="163"/>
        <v>0</v>
      </c>
      <c r="AP422">
        <f>IFERROR(SUMIFS(_REF_Model_Content!$E$1:$E$174,_REF_Model_Content!$A$1:$A$174,PV_Canonical_Industry,_REF_Model_Content!$B$1:$B$174,"Quality Portfolio"),1)</f>
        <v>0</v>
      </c>
      <c r="AQ422">
        <f t="shared" si="164"/>
        <v>0</v>
      </c>
      <c r="AR422" t="str">
        <f t="shared" si="165"/>
        <v>Within target</v>
      </c>
      <c r="AS422">
        <f t="shared" si="166"/>
        <v>0</v>
      </c>
      <c r="AT422">
        <f t="shared" si="167"/>
        <v>0.9</v>
      </c>
      <c r="AU422">
        <f>'Assessment Questions'!AX422</f>
        <v>0</v>
      </c>
      <c r="AV422">
        <f t="shared" si="168"/>
        <v>0.9</v>
      </c>
      <c r="AW422" t="s">
        <v>3204</v>
      </c>
      <c r="AX422" t="s">
        <v>3204</v>
      </c>
      <c r="AY422">
        <v>20</v>
      </c>
      <c r="AZ422">
        <v>422</v>
      </c>
    </row>
    <row r="423" spans="1:52">
      <c r="A423" t="s">
        <v>3302</v>
      </c>
      <c r="B423" t="s">
        <v>3235</v>
      </c>
      <c r="C423" t="s">
        <v>3303</v>
      </c>
      <c r="D423" t="s">
        <v>3208</v>
      </c>
      <c r="E423" t="s">
        <v>3209</v>
      </c>
      <c r="F423" t="s">
        <v>3304</v>
      </c>
      <c r="G423">
        <f>'Assessment Questions'!J423</f>
        <v>4</v>
      </c>
      <c r="H423">
        <f t="shared" si="154"/>
        <v>0</v>
      </c>
      <c r="I423">
        <f t="shared" si="155"/>
        <v>0</v>
      </c>
      <c r="J423">
        <f t="shared" si="156"/>
        <v>4</v>
      </c>
      <c r="K423">
        <f t="shared" si="157"/>
        <v>4</v>
      </c>
      <c r="L423" t="str">
        <f t="shared" si="158"/>
        <v>Critical</v>
      </c>
      <c r="M423" t="s">
        <v>3305</v>
      </c>
      <c r="N423" t="s">
        <v>3306</v>
      </c>
      <c r="O423" t="s">
        <v>3307</v>
      </c>
      <c r="P423" t="s">
        <v>3308</v>
      </c>
      <c r="Q423" t="s">
        <v>3309</v>
      </c>
      <c r="R423" t="s">
        <v>3310</v>
      </c>
      <c r="S423" t="s">
        <v>3217</v>
      </c>
      <c r="T423">
        <f>'Assessment Questions'!W423</f>
        <v>0</v>
      </c>
      <c r="U423">
        <f>'Assessment Questions'!X423</f>
        <v>0</v>
      </c>
      <c r="V423" t="str">
        <f>'Assessment Questions'!Y423</f>
        <v>Use the recommended action generated by the model; validate with domain owner during real assessment.</v>
      </c>
      <c r="W423">
        <v>4</v>
      </c>
      <c r="X423">
        <v>5</v>
      </c>
      <c r="Y423">
        <v>5</v>
      </c>
      <c r="Z423">
        <f>'Assessment Questions'!AC423</f>
        <v>0</v>
      </c>
      <c r="AB423">
        <f t="shared" si="169"/>
        <v>0</v>
      </c>
      <c r="AC423">
        <f t="shared" si="170"/>
        <v>0</v>
      </c>
      <c r="AD423">
        <f t="shared" si="159"/>
        <v>0</v>
      </c>
      <c r="AE423">
        <f t="shared" si="171"/>
        <v>0</v>
      </c>
      <c r="AF423">
        <f t="shared" si="160"/>
        <v>5</v>
      </c>
      <c r="AG423">
        <f t="shared" si="172"/>
        <v>0</v>
      </c>
      <c r="AH423">
        <f>'Assessment Questions'!AK423</f>
        <v>0</v>
      </c>
      <c r="AI423">
        <f>'Assessment Questions'!AL423</f>
        <v>0</v>
      </c>
      <c r="AJ423">
        <f>IF(OR($H423="",$H423="N/A"),"",IF($AH423="",VLOOKUP('Company Profile'!$B$40,_CONFIG_Model_Settings!$A$5:$B$8,2,FALSE),IFERROR(VLOOKUP($AH423,_CONFIG_Model_Settings!$A$5:$B$8,2,FALSE),0.9)))</f>
        <v>0.9</v>
      </c>
      <c r="AK423">
        <f>IF(OR($H423="",$H423="N/A"),"",IF($AI423="",VLOOKUP('Company Profile'!$B$41,_CONFIG_Model_Settings!$A$5:$B$8,2,FALSE),IFERROR(VLOOKUP($AI423,_CONFIG_Model_Settings!$A$5:$B$8,2,FALSE),0.9)))</f>
        <v>0.9</v>
      </c>
      <c r="AL423">
        <f t="shared" si="161"/>
        <v>0</v>
      </c>
      <c r="AM423">
        <f t="shared" si="162"/>
        <v>0</v>
      </c>
      <c r="AN423">
        <f>IFERROR(MIN(5,MAX(0,(SUMIFS(_REF_Model_Content!$D$1:$D$174,_REF_Model_Content!$A$1:$A$174,PV_Canonical_Industry,_REF_Model_Content!$B$1:$B$174,"Quality Portfolio"))+IFERROR(VLOOKUP('Company Profile'!$B$35,_CONFIG_Model_Settings!$A$11:$B$13,2,0),0))),"")</f>
        <v>0</v>
      </c>
      <c r="AO423">
        <f t="shared" si="163"/>
        <v>0</v>
      </c>
      <c r="AP423">
        <f>IFERROR(SUMIFS(_REF_Model_Content!$E$1:$E$174,_REF_Model_Content!$A$1:$A$174,PV_Canonical_Industry,_REF_Model_Content!$B$1:$B$174,"Quality Portfolio"),1)</f>
        <v>0</v>
      </c>
      <c r="AQ423">
        <f t="shared" si="164"/>
        <v>0</v>
      </c>
      <c r="AR423" t="str">
        <f t="shared" si="165"/>
        <v>Within target</v>
      </c>
      <c r="AS423">
        <f t="shared" si="166"/>
        <v>0</v>
      </c>
      <c r="AT423">
        <f t="shared" si="167"/>
        <v>0.9</v>
      </c>
      <c r="AU423">
        <f>'Assessment Questions'!AX423</f>
        <v>0</v>
      </c>
      <c r="AV423">
        <f t="shared" si="168"/>
        <v>0.9</v>
      </c>
      <c r="AW423" t="s">
        <v>3204</v>
      </c>
      <c r="AX423" t="s">
        <v>3204</v>
      </c>
      <c r="AY423">
        <v>21</v>
      </c>
      <c r="AZ423">
        <v>423</v>
      </c>
    </row>
    <row r="424" spans="1:52">
      <c r="A424" t="s">
        <v>3311</v>
      </c>
      <c r="B424" t="s">
        <v>3235</v>
      </c>
      <c r="C424" t="s">
        <v>3312</v>
      </c>
      <c r="D424" t="s">
        <v>3208</v>
      </c>
      <c r="E424" t="s">
        <v>3209</v>
      </c>
      <c r="F424" t="s">
        <v>3313</v>
      </c>
      <c r="G424">
        <f>'Assessment Questions'!J424</f>
        <v>5</v>
      </c>
      <c r="H424">
        <f t="shared" si="154"/>
        <v>0</v>
      </c>
      <c r="I424">
        <f t="shared" si="155"/>
        <v>0</v>
      </c>
      <c r="J424">
        <f t="shared" si="156"/>
        <v>5</v>
      </c>
      <c r="K424">
        <f t="shared" si="157"/>
        <v>5</v>
      </c>
      <c r="L424" t="str">
        <f t="shared" si="158"/>
        <v>Critical</v>
      </c>
      <c r="M424" t="s">
        <v>833</v>
      </c>
      <c r="N424" t="s">
        <v>834</v>
      </c>
      <c r="O424" t="s">
        <v>835</v>
      </c>
      <c r="P424" t="s">
        <v>836</v>
      </c>
      <c r="Q424" t="s">
        <v>837</v>
      </c>
      <c r="R424" t="s">
        <v>838</v>
      </c>
      <c r="S424" t="s">
        <v>3217</v>
      </c>
      <c r="T424">
        <f>'Assessment Questions'!W424</f>
        <v>0</v>
      </c>
      <c r="U424">
        <f>'Assessment Questions'!X424</f>
        <v>0</v>
      </c>
      <c r="V424" t="str">
        <f>'Assessment Questions'!Y424</f>
        <v>Use the recommended action generated by the model; validate with domain owner during real assessment.</v>
      </c>
      <c r="W424">
        <v>4</v>
      </c>
      <c r="X424">
        <v>5</v>
      </c>
      <c r="Y424">
        <v>5</v>
      </c>
      <c r="Z424">
        <f>'Assessment Questions'!AC424</f>
        <v>0</v>
      </c>
      <c r="AB424">
        <f t="shared" si="169"/>
        <v>0</v>
      </c>
      <c r="AC424">
        <f t="shared" si="170"/>
        <v>0</v>
      </c>
      <c r="AD424">
        <f t="shared" si="159"/>
        <v>0</v>
      </c>
      <c r="AE424">
        <f t="shared" si="171"/>
        <v>0</v>
      </c>
      <c r="AF424">
        <f t="shared" si="160"/>
        <v>5</v>
      </c>
      <c r="AG424">
        <f t="shared" si="172"/>
        <v>0</v>
      </c>
      <c r="AH424">
        <f>'Assessment Questions'!AK424</f>
        <v>0</v>
      </c>
      <c r="AI424">
        <f>'Assessment Questions'!AL424</f>
        <v>0</v>
      </c>
      <c r="AJ424">
        <f>IF(OR($H424="",$H424="N/A"),"",IF($AH424="",VLOOKUP('Company Profile'!$B$40,_CONFIG_Model_Settings!$A$5:$B$8,2,FALSE),IFERROR(VLOOKUP($AH424,_CONFIG_Model_Settings!$A$5:$B$8,2,FALSE),0.9)))</f>
        <v>0.9</v>
      </c>
      <c r="AK424">
        <f>IF(OR($H424="",$H424="N/A"),"",IF($AI424="",VLOOKUP('Company Profile'!$B$41,_CONFIG_Model_Settings!$A$5:$B$8,2,FALSE),IFERROR(VLOOKUP($AI424,_CONFIG_Model_Settings!$A$5:$B$8,2,FALSE),0.9)))</f>
        <v>0.9</v>
      </c>
      <c r="AL424">
        <f t="shared" si="161"/>
        <v>0</v>
      </c>
      <c r="AM424">
        <f t="shared" si="162"/>
        <v>0</v>
      </c>
      <c r="AN424">
        <f>IFERROR(MIN(5,MAX(0,(SUMIFS(_REF_Model_Content!$D$1:$D$174,_REF_Model_Content!$A$1:$A$174,PV_Canonical_Industry,_REF_Model_Content!$B$1:$B$174,"Quality Portfolio"))+IFERROR(VLOOKUP('Company Profile'!$B$35,_CONFIG_Model_Settings!$A$11:$B$13,2,0),0))),"")</f>
        <v>0</v>
      </c>
      <c r="AO424">
        <f t="shared" si="163"/>
        <v>0</v>
      </c>
      <c r="AP424">
        <f>IFERROR(SUMIFS(_REF_Model_Content!$E$1:$E$174,_REF_Model_Content!$A$1:$A$174,PV_Canonical_Industry,_REF_Model_Content!$B$1:$B$174,"Quality Portfolio"),1)</f>
        <v>0</v>
      </c>
      <c r="AQ424">
        <f t="shared" si="164"/>
        <v>0</v>
      </c>
      <c r="AR424" t="str">
        <f t="shared" si="165"/>
        <v>Within target</v>
      </c>
      <c r="AS424">
        <f t="shared" si="166"/>
        <v>0</v>
      </c>
      <c r="AT424">
        <f t="shared" si="167"/>
        <v>0.9</v>
      </c>
      <c r="AU424">
        <f>'Assessment Questions'!AX424</f>
        <v>0</v>
      </c>
      <c r="AV424">
        <f t="shared" si="168"/>
        <v>0.9</v>
      </c>
      <c r="AW424" t="s">
        <v>3204</v>
      </c>
      <c r="AX424" t="s">
        <v>3204</v>
      </c>
      <c r="AY424">
        <v>22</v>
      </c>
      <c r="AZ424">
        <v>424</v>
      </c>
    </row>
    <row r="425" spans="1:52">
      <c r="A425" t="s">
        <v>3314</v>
      </c>
      <c r="B425" t="s">
        <v>3225</v>
      </c>
      <c r="C425" t="s">
        <v>3315</v>
      </c>
      <c r="D425" t="s">
        <v>1522</v>
      </c>
      <c r="E425" t="s">
        <v>3316</v>
      </c>
      <c r="F425" t="s">
        <v>3210</v>
      </c>
      <c r="G425">
        <f>'Assessment Questions'!J425</f>
        <v>4</v>
      </c>
      <c r="H425">
        <f t="shared" si="154"/>
        <v>0</v>
      </c>
      <c r="I425">
        <f t="shared" si="155"/>
        <v>0</v>
      </c>
      <c r="J425">
        <f t="shared" si="156"/>
        <v>4</v>
      </c>
      <c r="K425">
        <f t="shared" si="157"/>
        <v>4</v>
      </c>
      <c r="L425" t="str">
        <f t="shared" si="158"/>
        <v>Critical</v>
      </c>
      <c r="M425" t="s">
        <v>3317</v>
      </c>
      <c r="N425" t="s">
        <v>3318</v>
      </c>
      <c r="O425" t="s">
        <v>3319</v>
      </c>
      <c r="P425" t="s">
        <v>3320</v>
      </c>
      <c r="Q425" t="s">
        <v>3321</v>
      </c>
      <c r="R425" t="s">
        <v>3322</v>
      </c>
      <c r="S425" t="s">
        <v>1530</v>
      </c>
      <c r="T425">
        <f>'Assessment Questions'!W425</f>
        <v>0</v>
      </c>
      <c r="U425">
        <f>'Assessment Questions'!X425</f>
        <v>0</v>
      </c>
      <c r="V425" t="str">
        <f>'Assessment Questions'!Y425</f>
        <v>Use the recommended action generated by the model; validate with domain owner during real assessment.</v>
      </c>
      <c r="W425">
        <v>3</v>
      </c>
      <c r="X425">
        <v>3</v>
      </c>
      <c r="Y425">
        <v>5</v>
      </c>
      <c r="Z425">
        <f>'Assessment Questions'!AC425</f>
        <v>0</v>
      </c>
      <c r="AB425">
        <f t="shared" si="169"/>
        <v>0</v>
      </c>
      <c r="AC425">
        <f t="shared" si="170"/>
        <v>0</v>
      </c>
      <c r="AD425">
        <f t="shared" si="159"/>
        <v>0</v>
      </c>
      <c r="AE425">
        <f t="shared" si="171"/>
        <v>0</v>
      </c>
      <c r="AF425">
        <f t="shared" si="160"/>
        <v>5</v>
      </c>
      <c r="AG425">
        <f t="shared" si="172"/>
        <v>0</v>
      </c>
      <c r="AH425">
        <f>'Assessment Questions'!AK425</f>
        <v>0</v>
      </c>
      <c r="AI425">
        <f>'Assessment Questions'!AL425</f>
        <v>0</v>
      </c>
      <c r="AJ425">
        <f>IF(OR($H425="",$H425="N/A"),"",IF($AH425="",VLOOKUP('Company Profile'!$B$40,_CONFIG_Model_Settings!$A$5:$B$8,2,FALSE),IFERROR(VLOOKUP($AH425,_CONFIG_Model_Settings!$A$5:$B$8,2,FALSE),0.9)))</f>
        <v>0.9</v>
      </c>
      <c r="AK425">
        <f>IF(OR($H425="",$H425="N/A"),"",IF($AI425="",VLOOKUP('Company Profile'!$B$41,_CONFIG_Model_Settings!$A$5:$B$8,2,FALSE),IFERROR(VLOOKUP($AI425,_CONFIG_Model_Settings!$A$5:$B$8,2,FALSE),0.9)))</f>
        <v>0.9</v>
      </c>
      <c r="AL425">
        <f t="shared" si="161"/>
        <v>0</v>
      </c>
      <c r="AM425">
        <f t="shared" si="162"/>
        <v>0</v>
      </c>
      <c r="AN425">
        <f>IFERROR(MIN(5,MAX(0,(SUMIFS(_REF_Model_Content!$D$1:$D$174,_REF_Model_Content!$A$1:$A$174,PV_Canonical_Industry,_REF_Model_Content!$B$1:$B$174,"Quality Portfolio"))+IFERROR(VLOOKUP('Company Profile'!$B$35,_CONFIG_Model_Settings!$A$11:$B$13,2,0),0))),"")</f>
        <v>0</v>
      </c>
      <c r="AO425">
        <f t="shared" si="163"/>
        <v>0</v>
      </c>
      <c r="AP425">
        <f>IFERROR(SUMIFS(_REF_Model_Content!$E$1:$E$174,_REF_Model_Content!$A$1:$A$174,PV_Canonical_Industry,_REF_Model_Content!$B$1:$B$174,"Quality Portfolio"),1)</f>
        <v>0</v>
      </c>
      <c r="AQ425">
        <f t="shared" si="164"/>
        <v>0</v>
      </c>
      <c r="AR425" t="str">
        <f t="shared" si="165"/>
        <v>Within target</v>
      </c>
      <c r="AS425">
        <f t="shared" si="166"/>
        <v>0</v>
      </c>
      <c r="AT425">
        <f t="shared" si="167"/>
        <v>0.9</v>
      </c>
      <c r="AU425">
        <f>'Assessment Questions'!AX425</f>
        <v>0</v>
      </c>
      <c r="AV425">
        <f t="shared" si="168"/>
        <v>0.9</v>
      </c>
      <c r="AW425" t="s">
        <v>3204</v>
      </c>
      <c r="AX425" t="s">
        <v>3204</v>
      </c>
      <c r="AY425">
        <v>23</v>
      </c>
      <c r="AZ425">
        <v>425</v>
      </c>
    </row>
    <row r="426" spans="1:52">
      <c r="A426" t="s">
        <v>3323</v>
      </c>
      <c r="B426" t="s">
        <v>3225</v>
      </c>
      <c r="C426" t="s">
        <v>3324</v>
      </c>
      <c r="D426" t="s">
        <v>3325</v>
      </c>
      <c r="E426" t="s">
        <v>3326</v>
      </c>
      <c r="F426" t="s">
        <v>3210</v>
      </c>
      <c r="G426">
        <f>'Assessment Questions'!J426</f>
        <v>3</v>
      </c>
      <c r="H426">
        <f t="shared" si="154"/>
        <v>0</v>
      </c>
      <c r="I426">
        <f t="shared" si="155"/>
        <v>0</v>
      </c>
      <c r="J426">
        <f t="shared" si="156"/>
        <v>3</v>
      </c>
      <c r="K426">
        <f t="shared" si="157"/>
        <v>3</v>
      </c>
      <c r="L426" t="str">
        <f t="shared" si="158"/>
        <v>Critical</v>
      </c>
      <c r="M426" t="s">
        <v>3327</v>
      </c>
      <c r="N426" t="s">
        <v>3328</v>
      </c>
      <c r="O426" t="s">
        <v>3329</v>
      </c>
      <c r="P426" t="s">
        <v>3330</v>
      </c>
      <c r="Q426" t="s">
        <v>3331</v>
      </c>
      <c r="R426" t="s">
        <v>3332</v>
      </c>
      <c r="S426" t="s">
        <v>3333</v>
      </c>
      <c r="T426">
        <f>'Assessment Questions'!W426</f>
        <v>0</v>
      </c>
      <c r="U426">
        <f>'Assessment Questions'!X426</f>
        <v>0</v>
      </c>
      <c r="V426" t="str">
        <f>'Assessment Questions'!Y426</f>
        <v>Use the recommended action generated by the model; validate with domain owner during real assessment.</v>
      </c>
      <c r="W426">
        <v>3</v>
      </c>
      <c r="X426">
        <v>3</v>
      </c>
      <c r="Y426">
        <v>5</v>
      </c>
      <c r="Z426">
        <f>'Assessment Questions'!AC426</f>
        <v>0</v>
      </c>
      <c r="AB426">
        <f t="shared" si="169"/>
        <v>0</v>
      </c>
      <c r="AC426">
        <f t="shared" si="170"/>
        <v>0</v>
      </c>
      <c r="AD426">
        <f t="shared" si="159"/>
        <v>0</v>
      </c>
      <c r="AE426">
        <f t="shared" si="171"/>
        <v>0</v>
      </c>
      <c r="AF426">
        <f t="shared" si="160"/>
        <v>5</v>
      </c>
      <c r="AG426">
        <f t="shared" si="172"/>
        <v>0</v>
      </c>
      <c r="AH426">
        <f>'Assessment Questions'!AK426</f>
        <v>0</v>
      </c>
      <c r="AI426">
        <f>'Assessment Questions'!AL426</f>
        <v>0</v>
      </c>
      <c r="AJ426">
        <f>IF(OR($H426="",$H426="N/A"),"",IF($AH426="",VLOOKUP('Company Profile'!$B$40,_CONFIG_Model_Settings!$A$5:$B$8,2,FALSE),IFERROR(VLOOKUP($AH426,_CONFIG_Model_Settings!$A$5:$B$8,2,FALSE),0.9)))</f>
        <v>0.9</v>
      </c>
      <c r="AK426">
        <f>IF(OR($H426="",$H426="N/A"),"",IF($AI426="",VLOOKUP('Company Profile'!$B$41,_CONFIG_Model_Settings!$A$5:$B$8,2,FALSE),IFERROR(VLOOKUP($AI426,_CONFIG_Model_Settings!$A$5:$B$8,2,FALSE),0.9)))</f>
        <v>0.9</v>
      </c>
      <c r="AL426">
        <f t="shared" si="161"/>
        <v>0</v>
      </c>
      <c r="AM426">
        <f t="shared" si="162"/>
        <v>0</v>
      </c>
      <c r="AN426">
        <f>IFERROR(MIN(5,MAX(0,(SUMIFS(_REF_Model_Content!$D$1:$D$174,_REF_Model_Content!$A$1:$A$174,PV_Canonical_Industry,_REF_Model_Content!$B$1:$B$174,"Quality Portfolio"))+IFERROR(VLOOKUP('Company Profile'!$B$35,_CONFIG_Model_Settings!$A$11:$B$13,2,0),0))),"")</f>
        <v>0</v>
      </c>
      <c r="AO426">
        <f t="shared" si="163"/>
        <v>0</v>
      </c>
      <c r="AP426">
        <f>IFERROR(SUMIFS(_REF_Model_Content!$E$1:$E$174,_REF_Model_Content!$A$1:$A$174,PV_Canonical_Industry,_REF_Model_Content!$B$1:$B$174,"Quality Portfolio"),1)</f>
        <v>0</v>
      </c>
      <c r="AQ426">
        <f t="shared" si="164"/>
        <v>0</v>
      </c>
      <c r="AR426" t="str">
        <f t="shared" si="165"/>
        <v>Within target</v>
      </c>
      <c r="AS426">
        <f t="shared" si="166"/>
        <v>0</v>
      </c>
      <c r="AT426">
        <f t="shared" si="167"/>
        <v>0.9</v>
      </c>
      <c r="AU426">
        <f>'Assessment Questions'!AX426</f>
        <v>0</v>
      </c>
      <c r="AV426">
        <f t="shared" si="168"/>
        <v>0.9</v>
      </c>
      <c r="AW426" t="s">
        <v>3204</v>
      </c>
      <c r="AX426" t="s">
        <v>3204</v>
      </c>
      <c r="AY426">
        <v>24</v>
      </c>
      <c r="AZ426">
        <v>426</v>
      </c>
    </row>
    <row r="427" spans="1:52">
      <c r="A427" t="s">
        <v>3334</v>
      </c>
      <c r="B427" t="s">
        <v>3225</v>
      </c>
      <c r="C427" t="s">
        <v>3335</v>
      </c>
      <c r="D427" t="s">
        <v>3336</v>
      </c>
      <c r="E427" t="s">
        <v>3337</v>
      </c>
      <c r="F427" t="s">
        <v>3210</v>
      </c>
      <c r="G427">
        <f>'Assessment Questions'!J427</f>
        <v>3</v>
      </c>
      <c r="H427">
        <f t="shared" si="154"/>
        <v>0</v>
      </c>
      <c r="I427">
        <f t="shared" si="155"/>
        <v>0</v>
      </c>
      <c r="J427">
        <f t="shared" si="156"/>
        <v>3</v>
      </c>
      <c r="K427">
        <f t="shared" si="157"/>
        <v>3</v>
      </c>
      <c r="L427" t="str">
        <f t="shared" si="158"/>
        <v>Critical</v>
      </c>
      <c r="M427" t="s">
        <v>3338</v>
      </c>
      <c r="N427" t="s">
        <v>3339</v>
      </c>
      <c r="O427" t="s">
        <v>3340</v>
      </c>
      <c r="P427" t="s">
        <v>3341</v>
      </c>
      <c r="Q427" t="s">
        <v>3342</v>
      </c>
      <c r="R427" t="s">
        <v>3343</v>
      </c>
      <c r="S427" t="s">
        <v>3344</v>
      </c>
      <c r="T427">
        <f>'Assessment Questions'!W427</f>
        <v>0</v>
      </c>
      <c r="U427">
        <f>'Assessment Questions'!X427</f>
        <v>0</v>
      </c>
      <c r="V427" t="str">
        <f>'Assessment Questions'!Y427</f>
        <v>Use the recommended action generated by the model; validate with domain owner during real assessment.</v>
      </c>
      <c r="W427">
        <v>3</v>
      </c>
      <c r="X427">
        <v>3</v>
      </c>
      <c r="Y427">
        <v>4</v>
      </c>
      <c r="Z427">
        <f>'Assessment Questions'!AC427</f>
        <v>0</v>
      </c>
      <c r="AB427">
        <f t="shared" si="169"/>
        <v>0</v>
      </c>
      <c r="AC427">
        <f t="shared" si="170"/>
        <v>0</v>
      </c>
      <c r="AD427">
        <f t="shared" si="159"/>
        <v>0</v>
      </c>
      <c r="AE427">
        <f t="shared" si="171"/>
        <v>0</v>
      </c>
      <c r="AF427">
        <f t="shared" si="160"/>
        <v>5</v>
      </c>
      <c r="AG427">
        <f t="shared" si="172"/>
        <v>0</v>
      </c>
      <c r="AH427">
        <f>'Assessment Questions'!AK427</f>
        <v>0</v>
      </c>
      <c r="AI427">
        <f>'Assessment Questions'!AL427</f>
        <v>0</v>
      </c>
      <c r="AJ427">
        <f>IF(OR($H427="",$H427="N/A"),"",IF($AH427="",VLOOKUP('Company Profile'!$B$40,_CONFIG_Model_Settings!$A$5:$B$8,2,FALSE),IFERROR(VLOOKUP($AH427,_CONFIG_Model_Settings!$A$5:$B$8,2,FALSE),0.9)))</f>
        <v>0.9</v>
      </c>
      <c r="AK427">
        <f>IF(OR($H427="",$H427="N/A"),"",IF($AI427="",VLOOKUP('Company Profile'!$B$41,_CONFIG_Model_Settings!$A$5:$B$8,2,FALSE),IFERROR(VLOOKUP($AI427,_CONFIG_Model_Settings!$A$5:$B$8,2,FALSE),0.9)))</f>
        <v>0.9</v>
      </c>
      <c r="AL427">
        <f t="shared" si="161"/>
        <v>0</v>
      </c>
      <c r="AM427">
        <f t="shared" si="162"/>
        <v>0</v>
      </c>
      <c r="AN427">
        <f>IFERROR(MIN(5,MAX(0,(SUMIFS(_REF_Model_Content!$D$1:$D$174,_REF_Model_Content!$A$1:$A$174,PV_Canonical_Industry,_REF_Model_Content!$B$1:$B$174,"Quality Portfolio"))+IFERROR(VLOOKUP('Company Profile'!$B$35,_CONFIG_Model_Settings!$A$11:$B$13,2,0),0))),"")</f>
        <v>0</v>
      </c>
      <c r="AO427">
        <f t="shared" si="163"/>
        <v>0</v>
      </c>
      <c r="AP427">
        <f>IFERROR(SUMIFS(_REF_Model_Content!$E$1:$E$174,_REF_Model_Content!$A$1:$A$174,PV_Canonical_Industry,_REF_Model_Content!$B$1:$B$174,"Quality Portfolio"),1)</f>
        <v>0</v>
      </c>
      <c r="AQ427">
        <f t="shared" si="164"/>
        <v>0</v>
      </c>
      <c r="AR427" t="str">
        <f t="shared" si="165"/>
        <v>Within target</v>
      </c>
      <c r="AS427">
        <f t="shared" si="166"/>
        <v>0</v>
      </c>
      <c r="AT427">
        <f t="shared" si="167"/>
        <v>0.9</v>
      </c>
      <c r="AU427">
        <f>'Assessment Questions'!AX427</f>
        <v>0</v>
      </c>
      <c r="AV427">
        <f t="shared" si="168"/>
        <v>0.9</v>
      </c>
      <c r="AW427" t="s">
        <v>3204</v>
      </c>
      <c r="AX427" t="s">
        <v>3204</v>
      </c>
      <c r="AY427">
        <v>25</v>
      </c>
      <c r="AZ427">
        <v>427</v>
      </c>
    </row>
    <row r="428" spans="1:52">
      <c r="A428" t="s">
        <v>3345</v>
      </c>
      <c r="B428" t="s">
        <v>3225</v>
      </c>
      <c r="C428" t="s">
        <v>3346</v>
      </c>
      <c r="D428" t="s">
        <v>3347</v>
      </c>
      <c r="E428" t="s">
        <v>3348</v>
      </c>
      <c r="F428" t="s">
        <v>3210</v>
      </c>
      <c r="G428">
        <f>'Assessment Questions'!J428</f>
        <v>3</v>
      </c>
      <c r="H428">
        <f t="shared" si="154"/>
        <v>0</v>
      </c>
      <c r="I428">
        <f t="shared" si="155"/>
        <v>0</v>
      </c>
      <c r="J428">
        <f t="shared" si="156"/>
        <v>3</v>
      </c>
      <c r="K428">
        <f t="shared" si="157"/>
        <v>3</v>
      </c>
      <c r="L428" t="str">
        <f t="shared" si="158"/>
        <v>Critical</v>
      </c>
      <c r="M428" t="s">
        <v>3349</v>
      </c>
      <c r="N428" t="s">
        <v>3350</v>
      </c>
      <c r="O428" t="s">
        <v>3351</v>
      </c>
      <c r="P428" t="s">
        <v>3352</v>
      </c>
      <c r="Q428" t="s">
        <v>3353</v>
      </c>
      <c r="R428" t="s">
        <v>3354</v>
      </c>
      <c r="S428" t="s">
        <v>3355</v>
      </c>
      <c r="T428">
        <f>'Assessment Questions'!W428</f>
        <v>0</v>
      </c>
      <c r="U428">
        <f>'Assessment Questions'!X428</f>
        <v>0</v>
      </c>
      <c r="V428" t="str">
        <f>'Assessment Questions'!Y428</f>
        <v>Use the recommended action generated by the model; validate with domain owner during real assessment.</v>
      </c>
      <c r="W428">
        <v>3</v>
      </c>
      <c r="X428">
        <v>3</v>
      </c>
      <c r="Y428">
        <v>4</v>
      </c>
      <c r="Z428">
        <f>'Assessment Questions'!AC428</f>
        <v>0</v>
      </c>
      <c r="AB428">
        <f t="shared" si="169"/>
        <v>0</v>
      </c>
      <c r="AC428">
        <f t="shared" si="170"/>
        <v>0</v>
      </c>
      <c r="AD428">
        <f t="shared" si="159"/>
        <v>0</v>
      </c>
      <c r="AE428">
        <f t="shared" si="171"/>
        <v>0</v>
      </c>
      <c r="AF428">
        <f t="shared" si="160"/>
        <v>5</v>
      </c>
      <c r="AG428">
        <f t="shared" si="172"/>
        <v>0</v>
      </c>
      <c r="AH428">
        <f>'Assessment Questions'!AK428</f>
        <v>0</v>
      </c>
      <c r="AI428">
        <f>'Assessment Questions'!AL428</f>
        <v>0</v>
      </c>
      <c r="AJ428">
        <f>IF(OR($H428="",$H428="N/A"),"",IF($AH428="",VLOOKUP('Company Profile'!$B$40,_CONFIG_Model_Settings!$A$5:$B$8,2,FALSE),IFERROR(VLOOKUP($AH428,_CONFIG_Model_Settings!$A$5:$B$8,2,FALSE),0.9)))</f>
        <v>0.9</v>
      </c>
      <c r="AK428">
        <f>IF(OR($H428="",$H428="N/A"),"",IF($AI428="",VLOOKUP('Company Profile'!$B$41,_CONFIG_Model_Settings!$A$5:$B$8,2,FALSE),IFERROR(VLOOKUP($AI428,_CONFIG_Model_Settings!$A$5:$B$8,2,FALSE),0.9)))</f>
        <v>0.9</v>
      </c>
      <c r="AL428">
        <f t="shared" si="161"/>
        <v>0</v>
      </c>
      <c r="AM428">
        <f t="shared" si="162"/>
        <v>0</v>
      </c>
      <c r="AN428">
        <f>IFERROR(MIN(5,MAX(0,(SUMIFS(_REF_Model_Content!$D$1:$D$174,_REF_Model_Content!$A$1:$A$174,PV_Canonical_Industry,_REF_Model_Content!$B$1:$B$174,"Quality Portfolio"))+IFERROR(VLOOKUP('Company Profile'!$B$35,_CONFIG_Model_Settings!$A$11:$B$13,2,0),0))),"")</f>
        <v>0</v>
      </c>
      <c r="AO428">
        <f t="shared" si="163"/>
        <v>0</v>
      </c>
      <c r="AP428">
        <f>IFERROR(SUMIFS(_REF_Model_Content!$E$1:$E$174,_REF_Model_Content!$A$1:$A$174,PV_Canonical_Industry,_REF_Model_Content!$B$1:$B$174,"Quality Portfolio"),1)</f>
        <v>0</v>
      </c>
      <c r="AQ428">
        <f t="shared" si="164"/>
        <v>0</v>
      </c>
      <c r="AR428" t="str">
        <f t="shared" si="165"/>
        <v>Within target</v>
      </c>
      <c r="AS428">
        <f t="shared" si="166"/>
        <v>0</v>
      </c>
      <c r="AT428">
        <f t="shared" si="167"/>
        <v>0.9</v>
      </c>
      <c r="AU428">
        <f>'Assessment Questions'!AX428</f>
        <v>0</v>
      </c>
      <c r="AV428">
        <f t="shared" si="168"/>
        <v>0.9</v>
      </c>
      <c r="AW428" t="s">
        <v>3204</v>
      </c>
      <c r="AX428" t="s">
        <v>3204</v>
      </c>
      <c r="AY428">
        <v>26</v>
      </c>
      <c r="AZ428">
        <v>428</v>
      </c>
    </row>
  </sheetData>
  <autoFilter ref="A4:AZ428" xr:uid="{00000000-0009-0000-0000-000006000000}"/>
  <pageMargins left="0.7" right="0.7" top="0.75" bottom="0.75" header="0.3" footer="0.3"/>
  <pageSetup fitToHeight="0" orientation="landscape"/>
  <headerFooter>
    <oddFooter>&amp;R© Roman Reznikov / RR-framework — CC BY-NC-SA 4.0 — For authorized use only</oddFooter>
    <evenFooter>&amp;R© Roman Reznikov / RR-framework — CC BY-NC-SA 4.0 — For authorized use only</evenFooter>
    <firstFooter>&amp;R© Roman Reznikov / RR-framework — CC BY-NC-SA 4.0 — For authorized use only</first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6B7280"/>
    <pageSetUpPr fitToPage="1"/>
  </sheetPr>
  <dimension ref="A1:AA404"/>
  <sheetViews>
    <sheetView showGridLines="0" workbookViewId="0">
      <pane ySplit="3" topLeftCell="A4" activePane="bottomLeft" state="frozen"/>
      <selection pane="bottomLeft"/>
    </sheetView>
  </sheetViews>
  <sheetFormatPr defaultRowHeight="14.15"/>
  <cols>
    <col min="1" max="1" width="34" customWidth="1"/>
    <col min="2" max="2" width="26" customWidth="1"/>
    <col min="3" max="3" width="60" customWidth="1"/>
    <col min="4" max="4" width="20" customWidth="1"/>
    <col min="5" max="5" width="40" customWidth="1"/>
    <col min="6" max="6" width="13" customWidth="1"/>
    <col min="7" max="7" width="20" customWidth="1"/>
    <col min="8" max="8" width="14" customWidth="1"/>
    <col min="9" max="9" width="13" customWidth="1"/>
    <col min="10" max="10" width="48" customWidth="1"/>
    <col min="11" max="11" width="13" customWidth="1"/>
    <col min="12" max="12" width="24" customWidth="1"/>
    <col min="13" max="13" width="16" customWidth="1"/>
    <col min="14" max="22" width="13" customWidth="1"/>
  </cols>
  <sheetData>
    <row r="1" spans="1:27" ht="25.95" customHeight="1">
      <c r="A1" s="85" t="s">
        <v>3545</v>
      </c>
      <c r="B1" s="85"/>
      <c r="C1" s="85"/>
      <c r="D1" s="85"/>
      <c r="E1" s="85"/>
      <c r="F1" s="85"/>
      <c r="G1" s="85"/>
      <c r="H1" s="85"/>
      <c r="I1" s="85"/>
      <c r="J1" s="85"/>
      <c r="K1" s="85"/>
      <c r="L1" s="85"/>
      <c r="M1" s="1"/>
      <c r="N1" s="1"/>
      <c r="O1" s="1"/>
      <c r="P1" s="1"/>
      <c r="Q1" s="1"/>
      <c r="R1" s="1"/>
      <c r="S1" s="1"/>
      <c r="T1" s="1"/>
      <c r="U1" s="1"/>
      <c r="V1" s="1"/>
      <c r="Y1" t="s">
        <v>3546</v>
      </c>
    </row>
    <row r="2" spans="1:27" ht="34.1" customHeight="1">
      <c r="A2" s="78" t="s">
        <v>3547</v>
      </c>
      <c r="B2" s="78"/>
      <c r="C2" s="78"/>
      <c r="D2" s="78"/>
      <c r="E2" s="78"/>
      <c r="F2" s="78"/>
      <c r="G2" s="78"/>
      <c r="H2" s="78"/>
      <c r="I2" s="78"/>
      <c r="J2" s="78"/>
      <c r="K2" s="78"/>
      <c r="L2" s="78"/>
      <c r="M2" s="1"/>
      <c r="N2" s="1"/>
      <c r="O2" s="1"/>
      <c r="P2" s="1"/>
      <c r="Q2" s="1"/>
      <c r="R2" s="1"/>
      <c r="S2" s="1"/>
      <c r="T2" s="1"/>
      <c r="U2" s="1"/>
      <c r="V2" s="1"/>
      <c r="Y2" t="s">
        <v>3548</v>
      </c>
      <c r="Z2" t="s">
        <v>3549</v>
      </c>
      <c r="AA2" t="s">
        <v>3550</v>
      </c>
    </row>
    <row r="3" spans="1:27">
      <c r="A3" s="1"/>
      <c r="B3" s="1"/>
      <c r="C3" s="1"/>
      <c r="D3" s="1"/>
      <c r="E3" s="1"/>
      <c r="F3" s="1"/>
      <c r="G3" s="1"/>
      <c r="H3" s="1"/>
      <c r="I3" s="1"/>
      <c r="J3" s="1"/>
      <c r="K3" s="1"/>
      <c r="L3" s="1"/>
      <c r="M3" s="1"/>
      <c r="N3" s="1"/>
      <c r="O3" s="1"/>
      <c r="P3" s="1"/>
      <c r="Q3" s="1"/>
      <c r="R3" s="1"/>
      <c r="S3" s="1"/>
      <c r="T3" s="1"/>
      <c r="U3" s="1"/>
      <c r="V3" s="1"/>
      <c r="Y3" t="s">
        <v>3551</v>
      </c>
      <c r="Z3" t="s">
        <v>3552</v>
      </c>
      <c r="AA3" t="s">
        <v>3553</v>
      </c>
    </row>
    <row r="4" spans="1:27" ht="30" customHeight="1">
      <c r="A4" s="59" t="s">
        <v>764</v>
      </c>
      <c r="B4" s="59" t="s">
        <v>794</v>
      </c>
      <c r="C4" s="59" t="s">
        <v>799</v>
      </c>
      <c r="D4" s="59" t="s">
        <v>3554</v>
      </c>
      <c r="E4" s="59" t="s">
        <v>775</v>
      </c>
      <c r="F4" s="59" t="s">
        <v>776</v>
      </c>
      <c r="G4" s="59" t="s">
        <v>796</v>
      </c>
      <c r="H4" s="59" t="s">
        <v>3555</v>
      </c>
      <c r="I4" s="59" t="s">
        <v>777</v>
      </c>
      <c r="J4" s="59" t="s">
        <v>3403</v>
      </c>
      <c r="K4" s="59" t="s">
        <v>3404</v>
      </c>
      <c r="L4" s="59" t="s">
        <v>546</v>
      </c>
      <c r="M4" s="59" t="s">
        <v>3406</v>
      </c>
      <c r="N4" s="59" t="s">
        <v>3442</v>
      </c>
      <c r="O4" s="59" t="s">
        <v>3556</v>
      </c>
      <c r="P4" s="1"/>
      <c r="Q4" s="62" t="s">
        <v>3557</v>
      </c>
      <c r="R4" s="62" t="s">
        <v>348</v>
      </c>
      <c r="S4" s="62" t="s">
        <v>3558</v>
      </c>
      <c r="T4" s="1"/>
      <c r="U4" s="1"/>
      <c r="V4" s="1"/>
      <c r="Y4" t="s">
        <v>3559</v>
      </c>
      <c r="Z4" t="s">
        <v>3560</v>
      </c>
      <c r="AA4" t="s">
        <v>3561</v>
      </c>
    </row>
    <row r="5" spans="1:27" ht="42.45" customHeight="1">
      <c r="A5" s="58" t="s">
        <v>815</v>
      </c>
      <c r="B5" s="58">
        <f>COUNTIF(_DATA_Assessment_Model!$AW$5:$AW$428,$A5)</f>
        <v>19</v>
      </c>
      <c r="C5" s="58">
        <f>COUNTIFS(_DATA_Assessment_Model!$AW$5:$AW$428,$A5,_DATA_Assessment_Model!$H$5:$H$428,"N/A")+COUNTIFS(_DATA_Assessment_Model!$AW$5:$AW$428,$A5,_DATA_Assessment_Model!$H$5:$H$428,"0")+COUNTIFS(_DATA_Assessment_Model!$AW$5:$AW$428,$A5,_DATA_Assessment_Model!$H$5:$H$428,"1")+COUNTIFS(_DATA_Assessment_Model!$AW$5:$AW$428,$A5,_DATA_Assessment_Model!$H$5:$H$428,"2")+COUNTIFS(_DATA_Assessment_Model!$AW$5:$AW$428,$A5,_DATA_Assessment_Model!$H$5:$H$428,"3")+COUNTIFS(_DATA_Assessment_Model!$AW$5:$AW$428,$A5,_DATA_Assessment_Model!$H$5:$H$428,"4")+COUNTIFS(_DATA_Assessment_Model!$AW$5:$AW$428,$A5,_DATA_Assessment_Model!$H$5:$H$428,"5")</f>
        <v>19</v>
      </c>
      <c r="D5" s="63">
        <f t="shared" ref="D5:D21" si="0">IFERROR(C5/B5,0)</f>
        <v>1</v>
      </c>
      <c r="E5" s="64">
        <f>SUMIFS(_DATA_Assessment_Model!$I$5:$I$428,_DATA_Assessment_Model!$AW$5:$AW$428,$A5)</f>
        <v>0</v>
      </c>
      <c r="F5" s="64">
        <f>SUMIFS(_DATA_Assessment_Model!$J$5:$J$428,_DATA_Assessment_Model!$AW$5:$AW$428,$A5)</f>
        <v>83</v>
      </c>
      <c r="G5" s="64">
        <f t="shared" ref="G5:G21" si="1">IF($F5=0,"",IFERROR($E5/$F5,0))</f>
        <v>0</v>
      </c>
      <c r="H5" s="64">
        <f t="shared" ref="H5:H21" si="2">IF($G5="","",$G5*5)</f>
        <v>0</v>
      </c>
      <c r="I5" s="64">
        <f>IF($F5=0,"",SUMIFS(_DATA_Assessment_Model!$K$5:$K$428,_DATA_Assessment_Model!$AW$5:$AW$428,$A5))</f>
        <v>83</v>
      </c>
      <c r="J5" s="58">
        <f>COUNTIFS(_DATA_Assessment_Model!$AW$5:$AW$428,$A5,_DATA_Assessment_Model!$L$5:$L$428,"Critical")</f>
        <v>19</v>
      </c>
      <c r="K5" s="58">
        <f>COUNTIFS(_DATA_Assessment_Model!$AW$5:$AW$428,$A5,_DATA_Assessment_Model!$L$5:$L$428,"High")</f>
        <v>0</v>
      </c>
      <c r="L5" s="58">
        <f>COUNTIFS(_DATA_Assessment_Model!$AW$5:$AW$428,$A5,_DATA_Assessment_Model!$L$5:$L$428,"Medium")</f>
        <v>0</v>
      </c>
      <c r="M5" s="58">
        <f>COUNTIFS(_DATA_Assessment_Model!$AW$5:$AW$428,$A5,_DATA_Assessment_Model!$L$5:$L$428,"Low")</f>
        <v>0</v>
      </c>
      <c r="N5" s="58">
        <f>COUNTIFS(_DATA_Assessment_Model!$AW$5:$AW$428,$A5,_DATA_Assessment_Model!$L$5:$L$428,"Resilient")</f>
        <v>0</v>
      </c>
      <c r="O5" s="58" t="str">
        <f t="shared" ref="O5:O21" si="3">IF($F5=0,"Not applicable",IF(J5+K5&gt;0,"Review critical/high-risk gaps",IF(D5&lt;1,"Complete assessment","Monitor and improve")))</f>
        <v>Review critical/high-risk gaps</v>
      </c>
      <c r="P5" s="1"/>
      <c r="Q5" s="1" t="s">
        <v>3562</v>
      </c>
      <c r="R5" s="65">
        <f>SUM(B5:B21)</f>
        <v>424</v>
      </c>
      <c r="S5" s="1" t="s">
        <v>3563</v>
      </c>
      <c r="T5" s="1"/>
      <c r="U5" s="1"/>
      <c r="V5" s="1"/>
      <c r="Y5" t="s">
        <v>656</v>
      </c>
      <c r="Z5" t="s">
        <v>3564</v>
      </c>
      <c r="AA5" t="s">
        <v>3565</v>
      </c>
    </row>
    <row r="6" spans="1:27" ht="42.45" customHeight="1">
      <c r="A6" s="58" t="s">
        <v>949</v>
      </c>
      <c r="B6" s="58">
        <f>COUNTIF(_DATA_Assessment_Model!$AW$5:$AW$428,$A6)</f>
        <v>26</v>
      </c>
      <c r="C6" s="58">
        <f>COUNTIFS(_DATA_Assessment_Model!$AW$5:$AW$428,$A6,_DATA_Assessment_Model!$H$5:$H$428,"N/A")+COUNTIFS(_DATA_Assessment_Model!$AW$5:$AW$428,$A6,_DATA_Assessment_Model!$H$5:$H$428,"0")+COUNTIFS(_DATA_Assessment_Model!$AW$5:$AW$428,$A6,_DATA_Assessment_Model!$H$5:$H$428,"1")+COUNTIFS(_DATA_Assessment_Model!$AW$5:$AW$428,$A6,_DATA_Assessment_Model!$H$5:$H$428,"2")+COUNTIFS(_DATA_Assessment_Model!$AW$5:$AW$428,$A6,_DATA_Assessment_Model!$H$5:$H$428,"3")+COUNTIFS(_DATA_Assessment_Model!$AW$5:$AW$428,$A6,_DATA_Assessment_Model!$H$5:$H$428,"4")+COUNTIFS(_DATA_Assessment_Model!$AW$5:$AW$428,$A6,_DATA_Assessment_Model!$H$5:$H$428,"5")</f>
        <v>26</v>
      </c>
      <c r="D6" s="63">
        <f t="shared" si="0"/>
        <v>1</v>
      </c>
      <c r="E6" s="64">
        <f>SUMIFS(_DATA_Assessment_Model!$I$5:$I$428,_DATA_Assessment_Model!$AW$5:$AW$428,$A6)</f>
        <v>0</v>
      </c>
      <c r="F6" s="64">
        <f>SUMIFS(_DATA_Assessment_Model!$J$5:$J$428,_DATA_Assessment_Model!$AW$5:$AW$428,$A6)</f>
        <v>109</v>
      </c>
      <c r="G6" s="64">
        <f t="shared" si="1"/>
        <v>0</v>
      </c>
      <c r="H6" s="64">
        <f t="shared" si="2"/>
        <v>0</v>
      </c>
      <c r="I6" s="64">
        <f>IF($F6=0,"",SUMIFS(_DATA_Assessment_Model!$K$5:$K$428,_DATA_Assessment_Model!$AW$5:$AW$428,$A6))</f>
        <v>109</v>
      </c>
      <c r="J6" s="58">
        <f>COUNTIFS(_DATA_Assessment_Model!$AW$5:$AW$428,$A6,_DATA_Assessment_Model!$L$5:$L$428,"Critical")</f>
        <v>26</v>
      </c>
      <c r="K6" s="58">
        <f>COUNTIFS(_DATA_Assessment_Model!$AW$5:$AW$428,$A6,_DATA_Assessment_Model!$L$5:$L$428,"High")</f>
        <v>0</v>
      </c>
      <c r="L6" s="58">
        <f>COUNTIFS(_DATA_Assessment_Model!$AW$5:$AW$428,$A6,_DATA_Assessment_Model!$L$5:$L$428,"Medium")</f>
        <v>0</v>
      </c>
      <c r="M6" s="58">
        <f>COUNTIFS(_DATA_Assessment_Model!$AW$5:$AW$428,$A6,_DATA_Assessment_Model!$L$5:$L$428,"Low")</f>
        <v>0</v>
      </c>
      <c r="N6" s="58">
        <f>COUNTIFS(_DATA_Assessment_Model!$AW$5:$AW$428,$A6,_DATA_Assessment_Model!$L$5:$L$428,"Resilient")</f>
        <v>0</v>
      </c>
      <c r="O6" s="58" t="str">
        <f t="shared" si="3"/>
        <v>Review critical/high-risk gaps</v>
      </c>
      <c r="P6" s="1"/>
      <c r="Q6" s="1" t="s">
        <v>3566</v>
      </c>
      <c r="R6" s="65">
        <f>SUM(C5:C21)</f>
        <v>424</v>
      </c>
      <c r="S6" s="1" t="s">
        <v>3567</v>
      </c>
      <c r="T6" s="1"/>
      <c r="U6" s="1"/>
      <c r="V6" s="1"/>
      <c r="Y6" t="s">
        <v>3568</v>
      </c>
      <c r="Z6" t="s">
        <v>3569</v>
      </c>
      <c r="AA6" t="s">
        <v>3570</v>
      </c>
    </row>
    <row r="7" spans="1:27" ht="42.45" customHeight="1">
      <c r="A7" s="58" t="s">
        <v>1150</v>
      </c>
      <c r="B7" s="58">
        <f>COUNTIF(_DATA_Assessment_Model!$AW$5:$AW$428,$A7)</f>
        <v>22</v>
      </c>
      <c r="C7" s="58">
        <f>COUNTIFS(_DATA_Assessment_Model!$AW$5:$AW$428,$A7,_DATA_Assessment_Model!$H$5:$H$428,"N/A")+COUNTIFS(_DATA_Assessment_Model!$AW$5:$AW$428,$A7,_DATA_Assessment_Model!$H$5:$H$428,"0")+COUNTIFS(_DATA_Assessment_Model!$AW$5:$AW$428,$A7,_DATA_Assessment_Model!$H$5:$H$428,"1")+COUNTIFS(_DATA_Assessment_Model!$AW$5:$AW$428,$A7,_DATA_Assessment_Model!$H$5:$H$428,"2")+COUNTIFS(_DATA_Assessment_Model!$AW$5:$AW$428,$A7,_DATA_Assessment_Model!$H$5:$H$428,"3")+COUNTIFS(_DATA_Assessment_Model!$AW$5:$AW$428,$A7,_DATA_Assessment_Model!$H$5:$H$428,"4")+COUNTIFS(_DATA_Assessment_Model!$AW$5:$AW$428,$A7,_DATA_Assessment_Model!$H$5:$H$428,"5")</f>
        <v>22</v>
      </c>
      <c r="D7" s="63">
        <f t="shared" si="0"/>
        <v>1</v>
      </c>
      <c r="E7" s="64">
        <f>SUMIFS(_DATA_Assessment_Model!$I$5:$I$428,_DATA_Assessment_Model!$AW$5:$AW$428,$A7)</f>
        <v>0</v>
      </c>
      <c r="F7" s="64">
        <f>SUMIFS(_DATA_Assessment_Model!$J$5:$J$428,_DATA_Assessment_Model!$AW$5:$AW$428,$A7)</f>
        <v>102</v>
      </c>
      <c r="G7" s="64">
        <f t="shared" si="1"/>
        <v>0</v>
      </c>
      <c r="H7" s="64">
        <f t="shared" si="2"/>
        <v>0</v>
      </c>
      <c r="I7" s="64">
        <f>IF($F7=0,"",SUMIFS(_DATA_Assessment_Model!$K$5:$K$428,_DATA_Assessment_Model!$AW$5:$AW$428,$A7))</f>
        <v>102</v>
      </c>
      <c r="J7" s="58">
        <f>COUNTIFS(_DATA_Assessment_Model!$AW$5:$AW$428,$A7,_DATA_Assessment_Model!$L$5:$L$428,"Critical")</f>
        <v>22</v>
      </c>
      <c r="K7" s="58">
        <f>COUNTIFS(_DATA_Assessment_Model!$AW$5:$AW$428,$A7,_DATA_Assessment_Model!$L$5:$L$428,"High")</f>
        <v>0</v>
      </c>
      <c r="L7" s="58">
        <f>COUNTIFS(_DATA_Assessment_Model!$AW$5:$AW$428,$A7,_DATA_Assessment_Model!$L$5:$L$428,"Medium")</f>
        <v>0</v>
      </c>
      <c r="M7" s="58">
        <f>COUNTIFS(_DATA_Assessment_Model!$AW$5:$AW$428,$A7,_DATA_Assessment_Model!$L$5:$L$428,"Low")</f>
        <v>0</v>
      </c>
      <c r="N7" s="58">
        <f>COUNTIFS(_DATA_Assessment_Model!$AW$5:$AW$428,$A7,_DATA_Assessment_Model!$L$5:$L$428,"Resilient")</f>
        <v>0</v>
      </c>
      <c r="O7" s="58" t="str">
        <f t="shared" si="3"/>
        <v>Review critical/high-risk gaps</v>
      </c>
      <c r="P7" s="1"/>
      <c r="Q7" s="1" t="s">
        <v>3571</v>
      </c>
      <c r="R7" s="65">
        <f>IFERROR(R6/R5,0)</f>
        <v>1</v>
      </c>
      <c r="S7" s="1" t="s">
        <v>3572</v>
      </c>
      <c r="T7" s="1"/>
      <c r="U7" s="1"/>
      <c r="V7" s="1"/>
      <c r="Y7" t="s">
        <v>3573</v>
      </c>
      <c r="Z7" t="s">
        <v>3574</v>
      </c>
      <c r="AA7" t="s">
        <v>3575</v>
      </c>
    </row>
    <row r="8" spans="1:27" ht="42.45" customHeight="1">
      <c r="A8" s="58" t="s">
        <v>1259</v>
      </c>
      <c r="B8" s="58">
        <f>COUNTIF(_DATA_Assessment_Model!$AW$5:$AW$428,$A8)</f>
        <v>26</v>
      </c>
      <c r="C8" s="58">
        <f>COUNTIFS(_DATA_Assessment_Model!$AW$5:$AW$428,$A8,_DATA_Assessment_Model!$H$5:$H$428,"N/A")+COUNTIFS(_DATA_Assessment_Model!$AW$5:$AW$428,$A8,_DATA_Assessment_Model!$H$5:$H$428,"0")+COUNTIFS(_DATA_Assessment_Model!$AW$5:$AW$428,$A8,_DATA_Assessment_Model!$H$5:$H$428,"1")+COUNTIFS(_DATA_Assessment_Model!$AW$5:$AW$428,$A8,_DATA_Assessment_Model!$H$5:$H$428,"2")+COUNTIFS(_DATA_Assessment_Model!$AW$5:$AW$428,$A8,_DATA_Assessment_Model!$H$5:$H$428,"3")+COUNTIFS(_DATA_Assessment_Model!$AW$5:$AW$428,$A8,_DATA_Assessment_Model!$H$5:$H$428,"4")+COUNTIFS(_DATA_Assessment_Model!$AW$5:$AW$428,$A8,_DATA_Assessment_Model!$H$5:$H$428,"5")</f>
        <v>26</v>
      </c>
      <c r="D8" s="63">
        <f t="shared" si="0"/>
        <v>1</v>
      </c>
      <c r="E8" s="64">
        <f>SUMIFS(_DATA_Assessment_Model!$I$5:$I$428,_DATA_Assessment_Model!$AW$5:$AW$428,$A8)</f>
        <v>0</v>
      </c>
      <c r="F8" s="64">
        <f>SUMIFS(_DATA_Assessment_Model!$J$5:$J$428,_DATA_Assessment_Model!$AW$5:$AW$428,$A8)</f>
        <v>115</v>
      </c>
      <c r="G8" s="64">
        <f t="shared" si="1"/>
        <v>0</v>
      </c>
      <c r="H8" s="64">
        <f t="shared" si="2"/>
        <v>0</v>
      </c>
      <c r="I8" s="64">
        <f>IF($F8=0,"",SUMIFS(_DATA_Assessment_Model!$K$5:$K$428,_DATA_Assessment_Model!$AW$5:$AW$428,$A8))</f>
        <v>115</v>
      </c>
      <c r="J8" s="58">
        <f>COUNTIFS(_DATA_Assessment_Model!$AW$5:$AW$428,$A8,_DATA_Assessment_Model!$L$5:$L$428,"Critical")</f>
        <v>26</v>
      </c>
      <c r="K8" s="58">
        <f>COUNTIFS(_DATA_Assessment_Model!$AW$5:$AW$428,$A8,_DATA_Assessment_Model!$L$5:$L$428,"High")</f>
        <v>0</v>
      </c>
      <c r="L8" s="58">
        <f>COUNTIFS(_DATA_Assessment_Model!$AW$5:$AW$428,$A8,_DATA_Assessment_Model!$L$5:$L$428,"Medium")</f>
        <v>0</v>
      </c>
      <c r="M8" s="58">
        <f>COUNTIFS(_DATA_Assessment_Model!$AW$5:$AW$428,$A8,_DATA_Assessment_Model!$L$5:$L$428,"Low")</f>
        <v>0</v>
      </c>
      <c r="N8" s="58">
        <f>COUNTIFS(_DATA_Assessment_Model!$AW$5:$AW$428,$A8,_DATA_Assessment_Model!$L$5:$L$428,"Resilient")</f>
        <v>0</v>
      </c>
      <c r="O8" s="58" t="str">
        <f t="shared" si="3"/>
        <v>Review critical/high-risk gaps</v>
      </c>
      <c r="P8" s="1"/>
      <c r="Q8" s="1" t="s">
        <v>3576</v>
      </c>
      <c r="R8" s="65">
        <f>IFERROR(SUM(E5:E21)/SUM(F5:F21),0)</f>
        <v>0</v>
      </c>
      <c r="S8" s="1" t="s">
        <v>3577</v>
      </c>
      <c r="T8" s="1"/>
      <c r="U8" s="1"/>
      <c r="V8" s="1"/>
    </row>
    <row r="9" spans="1:27" ht="42.45" customHeight="1">
      <c r="A9" s="58" t="s">
        <v>1401</v>
      </c>
      <c r="B9" s="58">
        <f>COUNTIF(_DATA_Assessment_Model!$AW$5:$AW$428,$A9)</f>
        <v>26</v>
      </c>
      <c r="C9" s="58">
        <f>COUNTIFS(_DATA_Assessment_Model!$AW$5:$AW$428,$A9,_DATA_Assessment_Model!$H$5:$H$428,"N/A")+COUNTIFS(_DATA_Assessment_Model!$AW$5:$AW$428,$A9,_DATA_Assessment_Model!$H$5:$H$428,"0")+COUNTIFS(_DATA_Assessment_Model!$AW$5:$AW$428,$A9,_DATA_Assessment_Model!$H$5:$H$428,"1")+COUNTIFS(_DATA_Assessment_Model!$AW$5:$AW$428,$A9,_DATA_Assessment_Model!$H$5:$H$428,"2")+COUNTIFS(_DATA_Assessment_Model!$AW$5:$AW$428,$A9,_DATA_Assessment_Model!$H$5:$H$428,"3")+COUNTIFS(_DATA_Assessment_Model!$AW$5:$AW$428,$A9,_DATA_Assessment_Model!$H$5:$H$428,"4")+COUNTIFS(_DATA_Assessment_Model!$AW$5:$AW$428,$A9,_DATA_Assessment_Model!$H$5:$H$428,"5")</f>
        <v>26</v>
      </c>
      <c r="D9" s="63">
        <f t="shared" si="0"/>
        <v>1</v>
      </c>
      <c r="E9" s="64">
        <f>SUMIFS(_DATA_Assessment_Model!$I$5:$I$428,_DATA_Assessment_Model!$AW$5:$AW$428,$A9)</f>
        <v>0</v>
      </c>
      <c r="F9" s="64">
        <f>SUMIFS(_DATA_Assessment_Model!$J$5:$J$428,_DATA_Assessment_Model!$AW$5:$AW$428,$A9)</f>
        <v>114</v>
      </c>
      <c r="G9" s="64">
        <f t="shared" si="1"/>
        <v>0</v>
      </c>
      <c r="H9" s="64">
        <f t="shared" si="2"/>
        <v>0</v>
      </c>
      <c r="I9" s="64">
        <f>IF($F9=0,"",SUMIFS(_DATA_Assessment_Model!$K$5:$K$428,_DATA_Assessment_Model!$AW$5:$AW$428,$A9))</f>
        <v>114</v>
      </c>
      <c r="J9" s="58">
        <f>COUNTIFS(_DATA_Assessment_Model!$AW$5:$AW$428,$A9,_DATA_Assessment_Model!$L$5:$L$428,"Critical")</f>
        <v>26</v>
      </c>
      <c r="K9" s="58">
        <f>COUNTIFS(_DATA_Assessment_Model!$AW$5:$AW$428,$A9,_DATA_Assessment_Model!$L$5:$L$428,"High")</f>
        <v>0</v>
      </c>
      <c r="L9" s="58">
        <f>COUNTIFS(_DATA_Assessment_Model!$AW$5:$AW$428,$A9,_DATA_Assessment_Model!$L$5:$L$428,"Medium")</f>
        <v>0</v>
      </c>
      <c r="M9" s="58">
        <f>COUNTIFS(_DATA_Assessment_Model!$AW$5:$AW$428,$A9,_DATA_Assessment_Model!$L$5:$L$428,"Low")</f>
        <v>0</v>
      </c>
      <c r="N9" s="58">
        <f>COUNTIFS(_DATA_Assessment_Model!$AW$5:$AW$428,$A9,_DATA_Assessment_Model!$L$5:$L$428,"Resilient")</f>
        <v>0</v>
      </c>
      <c r="O9" s="58" t="str">
        <f t="shared" si="3"/>
        <v>Review critical/high-risk gaps</v>
      </c>
      <c r="P9" s="1"/>
      <c r="Q9" s="1" t="s">
        <v>3423</v>
      </c>
      <c r="R9" s="65">
        <f>R8*5</f>
        <v>0</v>
      </c>
      <c r="S9" s="1" t="s">
        <v>3578</v>
      </c>
      <c r="T9" s="1"/>
      <c r="U9" s="1"/>
      <c r="V9" s="1"/>
    </row>
    <row r="10" spans="1:27" ht="42.45" customHeight="1">
      <c r="A10" s="58" t="s">
        <v>1551</v>
      </c>
      <c r="B10" s="58">
        <f>COUNTIF(_DATA_Assessment_Model!$AW$5:$AW$428,$A10)</f>
        <v>21</v>
      </c>
      <c r="C10" s="58">
        <f>COUNTIFS(_DATA_Assessment_Model!$AW$5:$AW$428,$A10,_DATA_Assessment_Model!$H$5:$H$428,"N/A")+COUNTIFS(_DATA_Assessment_Model!$AW$5:$AW$428,$A10,_DATA_Assessment_Model!$H$5:$H$428,"0")+COUNTIFS(_DATA_Assessment_Model!$AW$5:$AW$428,$A10,_DATA_Assessment_Model!$H$5:$H$428,"1")+COUNTIFS(_DATA_Assessment_Model!$AW$5:$AW$428,$A10,_DATA_Assessment_Model!$H$5:$H$428,"2")+COUNTIFS(_DATA_Assessment_Model!$AW$5:$AW$428,$A10,_DATA_Assessment_Model!$H$5:$H$428,"3")+COUNTIFS(_DATA_Assessment_Model!$AW$5:$AW$428,$A10,_DATA_Assessment_Model!$H$5:$H$428,"4")+COUNTIFS(_DATA_Assessment_Model!$AW$5:$AW$428,$A10,_DATA_Assessment_Model!$H$5:$H$428,"5")</f>
        <v>21</v>
      </c>
      <c r="D10" s="63">
        <f t="shared" si="0"/>
        <v>1</v>
      </c>
      <c r="E10" s="64">
        <f>SUMIFS(_DATA_Assessment_Model!$I$5:$I$428,_DATA_Assessment_Model!$AW$5:$AW$428,$A10)</f>
        <v>0</v>
      </c>
      <c r="F10" s="64">
        <f>SUMIFS(_DATA_Assessment_Model!$J$5:$J$428,_DATA_Assessment_Model!$AW$5:$AW$428,$A10)</f>
        <v>94</v>
      </c>
      <c r="G10" s="64">
        <f t="shared" si="1"/>
        <v>0</v>
      </c>
      <c r="H10" s="64">
        <f t="shared" si="2"/>
        <v>0</v>
      </c>
      <c r="I10" s="64">
        <f>IF($F10=0,"",SUMIFS(_DATA_Assessment_Model!$K$5:$K$428,_DATA_Assessment_Model!$AW$5:$AW$428,$A10))</f>
        <v>94</v>
      </c>
      <c r="J10" s="58">
        <f>COUNTIFS(_DATA_Assessment_Model!$AW$5:$AW$428,$A10,_DATA_Assessment_Model!$L$5:$L$428,"Critical")</f>
        <v>21</v>
      </c>
      <c r="K10" s="58">
        <f>COUNTIFS(_DATA_Assessment_Model!$AW$5:$AW$428,$A10,_DATA_Assessment_Model!$L$5:$L$428,"High")</f>
        <v>0</v>
      </c>
      <c r="L10" s="58">
        <f>COUNTIFS(_DATA_Assessment_Model!$AW$5:$AW$428,$A10,_DATA_Assessment_Model!$L$5:$L$428,"Medium")</f>
        <v>0</v>
      </c>
      <c r="M10" s="58">
        <f>COUNTIFS(_DATA_Assessment_Model!$AW$5:$AW$428,$A10,_DATA_Assessment_Model!$L$5:$L$428,"Low")</f>
        <v>0</v>
      </c>
      <c r="N10" s="58">
        <f>COUNTIFS(_DATA_Assessment_Model!$AW$5:$AW$428,$A10,_DATA_Assessment_Model!$L$5:$L$428,"Resilient")</f>
        <v>0</v>
      </c>
      <c r="O10" s="58" t="str">
        <f t="shared" si="3"/>
        <v>Review critical/high-risk gaps</v>
      </c>
      <c r="P10" s="1"/>
      <c r="Q10" s="1" t="s">
        <v>355</v>
      </c>
      <c r="R10" s="65">
        <f>SUM(J5:J21)</f>
        <v>424</v>
      </c>
      <c r="S10" s="1" t="s">
        <v>3579</v>
      </c>
      <c r="T10" s="1"/>
      <c r="U10" s="1"/>
      <c r="V10" s="1"/>
    </row>
    <row r="11" spans="1:27" ht="42.45" customHeight="1">
      <c r="A11" s="58" t="s">
        <v>1666</v>
      </c>
      <c r="B11" s="58">
        <f>COUNTIF(_DATA_Assessment_Model!$AW$5:$AW$428,$A11)</f>
        <v>31</v>
      </c>
      <c r="C11" s="58">
        <f>COUNTIFS(_DATA_Assessment_Model!$AW$5:$AW$428,$A11,_DATA_Assessment_Model!$H$5:$H$428,"N/A")+COUNTIFS(_DATA_Assessment_Model!$AW$5:$AW$428,$A11,_DATA_Assessment_Model!$H$5:$H$428,"0")+COUNTIFS(_DATA_Assessment_Model!$AW$5:$AW$428,$A11,_DATA_Assessment_Model!$H$5:$H$428,"1")+COUNTIFS(_DATA_Assessment_Model!$AW$5:$AW$428,$A11,_DATA_Assessment_Model!$H$5:$H$428,"2")+COUNTIFS(_DATA_Assessment_Model!$AW$5:$AW$428,$A11,_DATA_Assessment_Model!$H$5:$H$428,"3")+COUNTIFS(_DATA_Assessment_Model!$AW$5:$AW$428,$A11,_DATA_Assessment_Model!$H$5:$H$428,"4")+COUNTIFS(_DATA_Assessment_Model!$AW$5:$AW$428,$A11,_DATA_Assessment_Model!$H$5:$H$428,"5")</f>
        <v>31</v>
      </c>
      <c r="D11" s="63">
        <f t="shared" si="0"/>
        <v>1</v>
      </c>
      <c r="E11" s="64">
        <f>SUMIFS(_DATA_Assessment_Model!$I$5:$I$428,_DATA_Assessment_Model!$AW$5:$AW$428,$A11)</f>
        <v>0</v>
      </c>
      <c r="F11" s="64">
        <f>SUMIFS(_DATA_Assessment_Model!$J$5:$J$428,_DATA_Assessment_Model!$AW$5:$AW$428,$A11)</f>
        <v>133</v>
      </c>
      <c r="G11" s="64">
        <f t="shared" si="1"/>
        <v>0</v>
      </c>
      <c r="H11" s="64">
        <f t="shared" si="2"/>
        <v>0</v>
      </c>
      <c r="I11" s="64">
        <f>IF($F11=0,"",SUMIFS(_DATA_Assessment_Model!$K$5:$K$428,_DATA_Assessment_Model!$AW$5:$AW$428,$A11))</f>
        <v>133</v>
      </c>
      <c r="J11" s="58">
        <f>COUNTIFS(_DATA_Assessment_Model!$AW$5:$AW$428,$A11,_DATA_Assessment_Model!$L$5:$L$428,"Critical")</f>
        <v>31</v>
      </c>
      <c r="K11" s="58">
        <f>COUNTIFS(_DATA_Assessment_Model!$AW$5:$AW$428,$A11,_DATA_Assessment_Model!$L$5:$L$428,"High")</f>
        <v>0</v>
      </c>
      <c r="L11" s="58">
        <f>COUNTIFS(_DATA_Assessment_Model!$AW$5:$AW$428,$A11,_DATA_Assessment_Model!$L$5:$L$428,"Medium")</f>
        <v>0</v>
      </c>
      <c r="M11" s="58">
        <f>COUNTIFS(_DATA_Assessment_Model!$AW$5:$AW$428,$A11,_DATA_Assessment_Model!$L$5:$L$428,"Low")</f>
        <v>0</v>
      </c>
      <c r="N11" s="58">
        <f>COUNTIFS(_DATA_Assessment_Model!$AW$5:$AW$428,$A11,_DATA_Assessment_Model!$L$5:$L$428,"Resilient")</f>
        <v>0</v>
      </c>
      <c r="O11" s="58" t="str">
        <f t="shared" si="3"/>
        <v>Review critical/high-risk gaps</v>
      </c>
      <c r="P11" s="1"/>
      <c r="Q11" s="1" t="s">
        <v>356</v>
      </c>
      <c r="R11" s="65">
        <f>SUM(K5:K21)</f>
        <v>0</v>
      </c>
      <c r="S11" s="1" t="s">
        <v>3580</v>
      </c>
      <c r="T11" s="1"/>
      <c r="U11" s="1"/>
      <c r="V11" s="1"/>
    </row>
    <row r="12" spans="1:27" ht="42.45" customHeight="1">
      <c r="A12" s="58" t="s">
        <v>1859</v>
      </c>
      <c r="B12" s="58">
        <f>COUNTIF(_DATA_Assessment_Model!$AW$5:$AW$428,$A12)</f>
        <v>24</v>
      </c>
      <c r="C12" s="58">
        <f>COUNTIFS(_DATA_Assessment_Model!$AW$5:$AW$428,$A12,_DATA_Assessment_Model!$H$5:$H$428,"N/A")+COUNTIFS(_DATA_Assessment_Model!$AW$5:$AW$428,$A12,_DATA_Assessment_Model!$H$5:$H$428,"0")+COUNTIFS(_DATA_Assessment_Model!$AW$5:$AW$428,$A12,_DATA_Assessment_Model!$H$5:$H$428,"1")+COUNTIFS(_DATA_Assessment_Model!$AW$5:$AW$428,$A12,_DATA_Assessment_Model!$H$5:$H$428,"2")+COUNTIFS(_DATA_Assessment_Model!$AW$5:$AW$428,$A12,_DATA_Assessment_Model!$H$5:$H$428,"3")+COUNTIFS(_DATA_Assessment_Model!$AW$5:$AW$428,$A12,_DATA_Assessment_Model!$H$5:$H$428,"4")+COUNTIFS(_DATA_Assessment_Model!$AW$5:$AW$428,$A12,_DATA_Assessment_Model!$H$5:$H$428,"5")</f>
        <v>24</v>
      </c>
      <c r="D12" s="63">
        <f t="shared" si="0"/>
        <v>1</v>
      </c>
      <c r="E12" s="64">
        <f>SUMIFS(_DATA_Assessment_Model!$I$5:$I$428,_DATA_Assessment_Model!$AW$5:$AW$428,$A12)</f>
        <v>0</v>
      </c>
      <c r="F12" s="64">
        <f>SUMIFS(_DATA_Assessment_Model!$J$5:$J$428,_DATA_Assessment_Model!$AW$5:$AW$428,$A12)</f>
        <v>109</v>
      </c>
      <c r="G12" s="64">
        <f t="shared" si="1"/>
        <v>0</v>
      </c>
      <c r="H12" s="64">
        <f t="shared" si="2"/>
        <v>0</v>
      </c>
      <c r="I12" s="64">
        <f>IF($F12=0,"",SUMIFS(_DATA_Assessment_Model!$K$5:$K$428,_DATA_Assessment_Model!$AW$5:$AW$428,$A12))</f>
        <v>109</v>
      </c>
      <c r="J12" s="58">
        <f>COUNTIFS(_DATA_Assessment_Model!$AW$5:$AW$428,$A12,_DATA_Assessment_Model!$L$5:$L$428,"Critical")</f>
        <v>24</v>
      </c>
      <c r="K12" s="58">
        <f>COUNTIFS(_DATA_Assessment_Model!$AW$5:$AW$428,$A12,_DATA_Assessment_Model!$L$5:$L$428,"High")</f>
        <v>0</v>
      </c>
      <c r="L12" s="58">
        <f>COUNTIFS(_DATA_Assessment_Model!$AW$5:$AW$428,$A12,_DATA_Assessment_Model!$L$5:$L$428,"Medium")</f>
        <v>0</v>
      </c>
      <c r="M12" s="58">
        <f>COUNTIFS(_DATA_Assessment_Model!$AW$5:$AW$428,$A12,_DATA_Assessment_Model!$L$5:$L$428,"Low")</f>
        <v>0</v>
      </c>
      <c r="N12" s="58">
        <f>COUNTIFS(_DATA_Assessment_Model!$AW$5:$AW$428,$A12,_DATA_Assessment_Model!$L$5:$L$428,"Resilient")</f>
        <v>0</v>
      </c>
      <c r="O12" s="58" t="str">
        <f t="shared" si="3"/>
        <v>Review critical/high-risk gaps</v>
      </c>
      <c r="P12" s="1"/>
      <c r="Q12" s="1" t="s">
        <v>3581</v>
      </c>
      <c r="R12" s="65">
        <f>SUM(I5:I21)</f>
        <v>1853</v>
      </c>
      <c r="S12" s="1" t="s">
        <v>3582</v>
      </c>
      <c r="T12" s="1"/>
      <c r="U12" s="1"/>
      <c r="V12" s="1"/>
    </row>
    <row r="13" spans="1:27" ht="15" customHeight="1">
      <c r="A13" s="58" t="s">
        <v>1987</v>
      </c>
      <c r="B13" s="58">
        <f>COUNTIF(_DATA_Assessment_Model!$AW$5:$AW$428,$A13)</f>
        <v>29</v>
      </c>
      <c r="C13" s="58">
        <f>COUNTIFS(_DATA_Assessment_Model!$AW$5:$AW$428,$A13,_DATA_Assessment_Model!$H$5:$H$428,"N/A")+COUNTIFS(_DATA_Assessment_Model!$AW$5:$AW$428,$A13,_DATA_Assessment_Model!$H$5:$H$428,"0")+COUNTIFS(_DATA_Assessment_Model!$AW$5:$AW$428,$A13,_DATA_Assessment_Model!$H$5:$H$428,"1")+COUNTIFS(_DATA_Assessment_Model!$AW$5:$AW$428,$A13,_DATA_Assessment_Model!$H$5:$H$428,"2")+COUNTIFS(_DATA_Assessment_Model!$AW$5:$AW$428,$A13,_DATA_Assessment_Model!$H$5:$H$428,"3")+COUNTIFS(_DATA_Assessment_Model!$AW$5:$AW$428,$A13,_DATA_Assessment_Model!$H$5:$H$428,"4")+COUNTIFS(_DATA_Assessment_Model!$AW$5:$AW$428,$A13,_DATA_Assessment_Model!$H$5:$H$428,"5")</f>
        <v>29</v>
      </c>
      <c r="D13" s="63">
        <f t="shared" si="0"/>
        <v>1</v>
      </c>
      <c r="E13" s="64">
        <f>SUMIFS(_DATA_Assessment_Model!$I$5:$I$428,_DATA_Assessment_Model!$AW$5:$AW$428,$A13)</f>
        <v>0</v>
      </c>
      <c r="F13" s="64">
        <f>SUMIFS(_DATA_Assessment_Model!$J$5:$J$428,_DATA_Assessment_Model!$AW$5:$AW$428,$A13)</f>
        <v>130</v>
      </c>
      <c r="G13" s="64">
        <f t="shared" si="1"/>
        <v>0</v>
      </c>
      <c r="H13" s="64">
        <f t="shared" si="2"/>
        <v>0</v>
      </c>
      <c r="I13" s="64">
        <f>IF($F13=0,"",SUMIFS(_DATA_Assessment_Model!$K$5:$K$428,_DATA_Assessment_Model!$AW$5:$AW$428,$A13))</f>
        <v>130</v>
      </c>
      <c r="J13" s="58">
        <f>COUNTIFS(_DATA_Assessment_Model!$AW$5:$AW$428,$A13,_DATA_Assessment_Model!$L$5:$L$428,"Critical")</f>
        <v>29</v>
      </c>
      <c r="K13" s="58">
        <f>COUNTIFS(_DATA_Assessment_Model!$AW$5:$AW$428,$A13,_DATA_Assessment_Model!$L$5:$L$428,"High")</f>
        <v>0</v>
      </c>
      <c r="L13" s="58">
        <f>COUNTIFS(_DATA_Assessment_Model!$AW$5:$AW$428,$A13,_DATA_Assessment_Model!$L$5:$L$428,"Medium")</f>
        <v>0</v>
      </c>
      <c r="M13" s="58">
        <f>COUNTIFS(_DATA_Assessment_Model!$AW$5:$AW$428,$A13,_DATA_Assessment_Model!$L$5:$L$428,"Low")</f>
        <v>0</v>
      </c>
      <c r="N13" s="58">
        <f>COUNTIFS(_DATA_Assessment_Model!$AW$5:$AW$428,$A13,_DATA_Assessment_Model!$L$5:$L$428,"Resilient")</f>
        <v>0</v>
      </c>
      <c r="O13" s="58" t="str">
        <f t="shared" si="3"/>
        <v>Review critical/high-risk gaps</v>
      </c>
      <c r="P13" s="1"/>
      <c r="Q13" s="11" t="s">
        <v>352</v>
      </c>
      <c r="R13" s="12">
        <f>'Resilience &amp; Risk Scenario'!$B$6</f>
        <v>0</v>
      </c>
      <c r="S13" s="13" t="s">
        <v>3583</v>
      </c>
      <c r="T13" s="1"/>
      <c r="U13" s="1"/>
      <c r="V13" s="1"/>
    </row>
    <row r="14" spans="1:27" ht="15" customHeight="1">
      <c r="A14" s="58" t="s">
        <v>2145</v>
      </c>
      <c r="B14" s="58">
        <f>COUNTIF(_DATA_Assessment_Model!$AW$5:$AW$428,$A14)</f>
        <v>28</v>
      </c>
      <c r="C14" s="58">
        <f>COUNTIFS(_DATA_Assessment_Model!$AW$5:$AW$428,$A14,_DATA_Assessment_Model!$H$5:$H$428,"N/A")+COUNTIFS(_DATA_Assessment_Model!$AW$5:$AW$428,$A14,_DATA_Assessment_Model!$H$5:$H$428,"0")+COUNTIFS(_DATA_Assessment_Model!$AW$5:$AW$428,$A14,_DATA_Assessment_Model!$H$5:$H$428,"1")+COUNTIFS(_DATA_Assessment_Model!$AW$5:$AW$428,$A14,_DATA_Assessment_Model!$H$5:$H$428,"2")+COUNTIFS(_DATA_Assessment_Model!$AW$5:$AW$428,$A14,_DATA_Assessment_Model!$H$5:$H$428,"3")+COUNTIFS(_DATA_Assessment_Model!$AW$5:$AW$428,$A14,_DATA_Assessment_Model!$H$5:$H$428,"4")+COUNTIFS(_DATA_Assessment_Model!$AW$5:$AW$428,$A14,_DATA_Assessment_Model!$H$5:$H$428,"5")</f>
        <v>28</v>
      </c>
      <c r="D14" s="63">
        <f t="shared" si="0"/>
        <v>1</v>
      </c>
      <c r="E14" s="64">
        <f>SUMIFS(_DATA_Assessment_Model!$I$5:$I$428,_DATA_Assessment_Model!$AW$5:$AW$428,$A14)</f>
        <v>0</v>
      </c>
      <c r="F14" s="64">
        <f>SUMIFS(_DATA_Assessment_Model!$J$5:$J$428,_DATA_Assessment_Model!$AW$5:$AW$428,$A14)</f>
        <v>127</v>
      </c>
      <c r="G14" s="64">
        <f t="shared" si="1"/>
        <v>0</v>
      </c>
      <c r="H14" s="64">
        <f t="shared" si="2"/>
        <v>0</v>
      </c>
      <c r="I14" s="64">
        <f>IF($F14=0,"",SUMIFS(_DATA_Assessment_Model!$K$5:$K$428,_DATA_Assessment_Model!$AW$5:$AW$428,$A14))</f>
        <v>127</v>
      </c>
      <c r="J14" s="58">
        <f>COUNTIFS(_DATA_Assessment_Model!$AW$5:$AW$428,$A14,_DATA_Assessment_Model!$L$5:$L$428,"Critical")</f>
        <v>28</v>
      </c>
      <c r="K14" s="58">
        <f>COUNTIFS(_DATA_Assessment_Model!$AW$5:$AW$428,$A14,_DATA_Assessment_Model!$L$5:$L$428,"High")</f>
        <v>0</v>
      </c>
      <c r="L14" s="58">
        <f>COUNTIFS(_DATA_Assessment_Model!$AW$5:$AW$428,$A14,_DATA_Assessment_Model!$L$5:$L$428,"Medium")</f>
        <v>0</v>
      </c>
      <c r="M14" s="58">
        <f>COUNTIFS(_DATA_Assessment_Model!$AW$5:$AW$428,$A14,_DATA_Assessment_Model!$L$5:$L$428,"Low")</f>
        <v>0</v>
      </c>
      <c r="N14" s="58">
        <f>COUNTIFS(_DATA_Assessment_Model!$AW$5:$AW$428,$A14,_DATA_Assessment_Model!$L$5:$L$428,"Resilient")</f>
        <v>0</v>
      </c>
      <c r="O14" s="58" t="str">
        <f t="shared" si="3"/>
        <v>Review critical/high-risk gaps</v>
      </c>
      <c r="P14" s="1"/>
      <c r="Q14" s="11" t="s">
        <v>3584</v>
      </c>
      <c r="R14" s="12">
        <f>'Resilience &amp; Risk Scenario'!$B$7</f>
        <v>0</v>
      </c>
      <c r="S14" s="13" t="s">
        <v>3585</v>
      </c>
      <c r="T14" s="1"/>
      <c r="U14" s="1"/>
      <c r="V14" s="1"/>
    </row>
    <row r="15" spans="1:27" ht="15" customHeight="1">
      <c r="A15" s="58" t="s">
        <v>2286</v>
      </c>
      <c r="B15" s="58">
        <f>COUNTIF(_DATA_Assessment_Model!$AW$5:$AW$428,$A15)</f>
        <v>24</v>
      </c>
      <c r="C15" s="58">
        <f>COUNTIFS(_DATA_Assessment_Model!$AW$5:$AW$428,$A15,_DATA_Assessment_Model!$H$5:$H$428,"N/A")+COUNTIFS(_DATA_Assessment_Model!$AW$5:$AW$428,$A15,_DATA_Assessment_Model!$H$5:$H$428,"0")+COUNTIFS(_DATA_Assessment_Model!$AW$5:$AW$428,$A15,_DATA_Assessment_Model!$H$5:$H$428,"1")+COUNTIFS(_DATA_Assessment_Model!$AW$5:$AW$428,$A15,_DATA_Assessment_Model!$H$5:$H$428,"2")+COUNTIFS(_DATA_Assessment_Model!$AW$5:$AW$428,$A15,_DATA_Assessment_Model!$H$5:$H$428,"3")+COUNTIFS(_DATA_Assessment_Model!$AW$5:$AW$428,$A15,_DATA_Assessment_Model!$H$5:$H$428,"4")+COUNTIFS(_DATA_Assessment_Model!$AW$5:$AW$428,$A15,_DATA_Assessment_Model!$H$5:$H$428,"5")</f>
        <v>24</v>
      </c>
      <c r="D15" s="63">
        <f t="shared" si="0"/>
        <v>1</v>
      </c>
      <c r="E15" s="64">
        <f>SUMIFS(_DATA_Assessment_Model!$I$5:$I$428,_DATA_Assessment_Model!$AW$5:$AW$428,$A15)</f>
        <v>0</v>
      </c>
      <c r="F15" s="64">
        <f>SUMIFS(_DATA_Assessment_Model!$J$5:$J$428,_DATA_Assessment_Model!$AW$5:$AW$428,$A15)</f>
        <v>99</v>
      </c>
      <c r="G15" s="64">
        <f t="shared" si="1"/>
        <v>0</v>
      </c>
      <c r="H15" s="64">
        <f t="shared" si="2"/>
        <v>0</v>
      </c>
      <c r="I15" s="64">
        <f>IF($F15=0,"",SUMIFS(_DATA_Assessment_Model!$K$5:$K$428,_DATA_Assessment_Model!$AW$5:$AW$428,$A15))</f>
        <v>99</v>
      </c>
      <c r="J15" s="58">
        <f>COUNTIFS(_DATA_Assessment_Model!$AW$5:$AW$428,$A15,_DATA_Assessment_Model!$L$5:$L$428,"Critical")</f>
        <v>24</v>
      </c>
      <c r="K15" s="58">
        <f>COUNTIFS(_DATA_Assessment_Model!$AW$5:$AW$428,$A15,_DATA_Assessment_Model!$L$5:$L$428,"High")</f>
        <v>0</v>
      </c>
      <c r="L15" s="58">
        <f>COUNTIFS(_DATA_Assessment_Model!$AW$5:$AW$428,$A15,_DATA_Assessment_Model!$L$5:$L$428,"Medium")</f>
        <v>0</v>
      </c>
      <c r="M15" s="58">
        <f>COUNTIFS(_DATA_Assessment_Model!$AW$5:$AW$428,$A15,_DATA_Assessment_Model!$L$5:$L$428,"Low")</f>
        <v>0</v>
      </c>
      <c r="N15" s="58">
        <f>COUNTIFS(_DATA_Assessment_Model!$AW$5:$AW$428,$A15,_DATA_Assessment_Model!$L$5:$L$428,"Resilient")</f>
        <v>0</v>
      </c>
      <c r="O15" s="58" t="str">
        <f t="shared" si="3"/>
        <v>Review critical/high-risk gaps</v>
      </c>
      <c r="P15" s="1"/>
      <c r="Q15" s="11" t="s">
        <v>3586</v>
      </c>
      <c r="R15" s="12" t="str">
        <f>IFERROR('Resilience &amp; Risk Scenario'!$B$21,"")</f>
        <v>Cyber Privacy</v>
      </c>
      <c r="S15" s="13" t="s">
        <v>3587</v>
      </c>
      <c r="T15" s="1"/>
      <c r="U15" s="1"/>
      <c r="V15" s="1"/>
    </row>
    <row r="16" spans="1:27" ht="15" customHeight="1">
      <c r="A16" s="58" t="s">
        <v>2473</v>
      </c>
      <c r="B16" s="58">
        <f>COUNTIF(_DATA_Assessment_Model!$AW$5:$AW$428,$A16)</f>
        <v>16</v>
      </c>
      <c r="C16" s="58">
        <f>COUNTIFS(_DATA_Assessment_Model!$AW$5:$AW$428,$A16,_DATA_Assessment_Model!$H$5:$H$428,"N/A")+COUNTIFS(_DATA_Assessment_Model!$AW$5:$AW$428,$A16,_DATA_Assessment_Model!$H$5:$H$428,"0")+COUNTIFS(_DATA_Assessment_Model!$AW$5:$AW$428,$A16,_DATA_Assessment_Model!$H$5:$H$428,"1")+COUNTIFS(_DATA_Assessment_Model!$AW$5:$AW$428,$A16,_DATA_Assessment_Model!$H$5:$H$428,"2")+COUNTIFS(_DATA_Assessment_Model!$AW$5:$AW$428,$A16,_DATA_Assessment_Model!$H$5:$H$428,"3")+COUNTIFS(_DATA_Assessment_Model!$AW$5:$AW$428,$A16,_DATA_Assessment_Model!$H$5:$H$428,"4")+COUNTIFS(_DATA_Assessment_Model!$AW$5:$AW$428,$A16,_DATA_Assessment_Model!$H$5:$H$428,"5")</f>
        <v>16</v>
      </c>
      <c r="D16" s="63">
        <f t="shared" si="0"/>
        <v>1</v>
      </c>
      <c r="E16" s="64">
        <f>SUMIFS(_DATA_Assessment_Model!$I$5:$I$428,_DATA_Assessment_Model!$AW$5:$AW$428,$A16)</f>
        <v>0</v>
      </c>
      <c r="F16" s="64">
        <f>SUMIFS(_DATA_Assessment_Model!$J$5:$J$428,_DATA_Assessment_Model!$AW$5:$AW$428,$A16)</f>
        <v>63</v>
      </c>
      <c r="G16" s="64">
        <f t="shared" si="1"/>
        <v>0</v>
      </c>
      <c r="H16" s="64">
        <f t="shared" si="2"/>
        <v>0</v>
      </c>
      <c r="I16" s="64">
        <f>IF($F16=0,"",SUMIFS(_DATA_Assessment_Model!$K$5:$K$428,_DATA_Assessment_Model!$AW$5:$AW$428,$A16))</f>
        <v>63</v>
      </c>
      <c r="J16" s="58">
        <f>COUNTIFS(_DATA_Assessment_Model!$AW$5:$AW$428,$A16,_DATA_Assessment_Model!$L$5:$L$428,"Critical")</f>
        <v>16</v>
      </c>
      <c r="K16" s="58">
        <f>COUNTIFS(_DATA_Assessment_Model!$AW$5:$AW$428,$A16,_DATA_Assessment_Model!$L$5:$L$428,"High")</f>
        <v>0</v>
      </c>
      <c r="L16" s="58">
        <f>COUNTIFS(_DATA_Assessment_Model!$AW$5:$AW$428,$A16,_DATA_Assessment_Model!$L$5:$L$428,"Medium")</f>
        <v>0</v>
      </c>
      <c r="M16" s="58">
        <f>COUNTIFS(_DATA_Assessment_Model!$AW$5:$AW$428,$A16,_DATA_Assessment_Model!$L$5:$L$428,"Low")</f>
        <v>0</v>
      </c>
      <c r="N16" s="58">
        <f>COUNTIFS(_DATA_Assessment_Model!$AW$5:$AW$428,$A16,_DATA_Assessment_Model!$L$5:$L$428,"Resilient")</f>
        <v>0</v>
      </c>
      <c r="O16" s="58" t="str">
        <f t="shared" si="3"/>
        <v>Review critical/high-risk gaps</v>
      </c>
      <c r="P16" s="1"/>
      <c r="Q16" s="11" t="s">
        <v>3486</v>
      </c>
      <c r="R16" s="12" t="str">
        <f>_ENGINE_Strategy!$B$95</f>
        <v>Cloud and Infrastructure Resilience Strategy</v>
      </c>
      <c r="S16" s="13" t="s">
        <v>3588</v>
      </c>
      <c r="T16" s="1"/>
      <c r="U16" s="1"/>
      <c r="V16" s="1"/>
    </row>
    <row r="17" spans="1:22" ht="42.45" customHeight="1">
      <c r="A17" s="58" t="s">
        <v>2588</v>
      </c>
      <c r="B17" s="58">
        <f>COUNTIF(_DATA_Assessment_Model!$AW$5:$AW$428,$A17)</f>
        <v>28</v>
      </c>
      <c r="C17" s="58">
        <f>COUNTIFS(_DATA_Assessment_Model!$AW$5:$AW$428,$A17,_DATA_Assessment_Model!$H$5:$H$428,"N/A")+COUNTIFS(_DATA_Assessment_Model!$AW$5:$AW$428,$A17,_DATA_Assessment_Model!$H$5:$H$428,"0")+COUNTIFS(_DATA_Assessment_Model!$AW$5:$AW$428,$A17,_DATA_Assessment_Model!$H$5:$H$428,"1")+COUNTIFS(_DATA_Assessment_Model!$AW$5:$AW$428,$A17,_DATA_Assessment_Model!$H$5:$H$428,"2")+COUNTIFS(_DATA_Assessment_Model!$AW$5:$AW$428,$A17,_DATA_Assessment_Model!$H$5:$H$428,"3")+COUNTIFS(_DATA_Assessment_Model!$AW$5:$AW$428,$A17,_DATA_Assessment_Model!$H$5:$H$428,"4")+COUNTIFS(_DATA_Assessment_Model!$AW$5:$AW$428,$A17,_DATA_Assessment_Model!$H$5:$H$428,"5")</f>
        <v>28</v>
      </c>
      <c r="D17" s="63">
        <f t="shared" si="0"/>
        <v>1</v>
      </c>
      <c r="E17" s="64">
        <f>SUMIFS(_DATA_Assessment_Model!$I$5:$I$428,_DATA_Assessment_Model!$AW$5:$AW$428,$A17)</f>
        <v>0</v>
      </c>
      <c r="F17" s="64">
        <f>SUMIFS(_DATA_Assessment_Model!$J$5:$J$428,_DATA_Assessment_Model!$AW$5:$AW$428,$A17)</f>
        <v>127</v>
      </c>
      <c r="G17" s="64">
        <f t="shared" si="1"/>
        <v>0</v>
      </c>
      <c r="H17" s="64">
        <f t="shared" si="2"/>
        <v>0</v>
      </c>
      <c r="I17" s="64">
        <f>IF($F17=0,"",SUMIFS(_DATA_Assessment_Model!$K$5:$K$428,_DATA_Assessment_Model!$AW$5:$AW$428,$A17))</f>
        <v>127</v>
      </c>
      <c r="J17" s="58">
        <f>COUNTIFS(_DATA_Assessment_Model!$AW$5:$AW$428,$A17,_DATA_Assessment_Model!$L$5:$L$428,"Critical")</f>
        <v>28</v>
      </c>
      <c r="K17" s="58">
        <f>COUNTIFS(_DATA_Assessment_Model!$AW$5:$AW$428,$A17,_DATA_Assessment_Model!$L$5:$L$428,"High")</f>
        <v>0</v>
      </c>
      <c r="L17" s="58">
        <f>COUNTIFS(_DATA_Assessment_Model!$AW$5:$AW$428,$A17,_DATA_Assessment_Model!$L$5:$L$428,"Medium")</f>
        <v>0</v>
      </c>
      <c r="M17" s="58">
        <f>COUNTIFS(_DATA_Assessment_Model!$AW$5:$AW$428,$A17,_DATA_Assessment_Model!$L$5:$L$428,"Low")</f>
        <v>0</v>
      </c>
      <c r="N17" s="58">
        <f>COUNTIFS(_DATA_Assessment_Model!$AW$5:$AW$428,$A17,_DATA_Assessment_Model!$L$5:$L$428,"Resilient")</f>
        <v>0</v>
      </c>
      <c r="O17" s="58" t="str">
        <f t="shared" si="3"/>
        <v>Review critical/high-risk gaps</v>
      </c>
      <c r="P17" s="1"/>
      <c r="Q17" s="1" t="s">
        <v>3589</v>
      </c>
      <c r="R17" s="1">
        <f>_ENGINE_Crisis!$B$275</f>
        <v>0</v>
      </c>
      <c r="S17" s="1" t="s">
        <v>3590</v>
      </c>
      <c r="T17" s="1"/>
      <c r="U17" s="1"/>
      <c r="V17" s="1"/>
    </row>
    <row r="18" spans="1:22" ht="42.45" customHeight="1">
      <c r="A18" s="58" t="s">
        <v>2729</v>
      </c>
      <c r="B18" s="58">
        <f>COUNTIF(_DATA_Assessment_Model!$AW$5:$AW$428,$A18)</f>
        <v>21</v>
      </c>
      <c r="C18" s="58">
        <f>COUNTIFS(_DATA_Assessment_Model!$AW$5:$AW$428,$A18,_DATA_Assessment_Model!$H$5:$H$428,"N/A")+COUNTIFS(_DATA_Assessment_Model!$AW$5:$AW$428,$A18,_DATA_Assessment_Model!$H$5:$H$428,"0")+COUNTIFS(_DATA_Assessment_Model!$AW$5:$AW$428,$A18,_DATA_Assessment_Model!$H$5:$H$428,"1")+COUNTIFS(_DATA_Assessment_Model!$AW$5:$AW$428,$A18,_DATA_Assessment_Model!$H$5:$H$428,"2")+COUNTIFS(_DATA_Assessment_Model!$AW$5:$AW$428,$A18,_DATA_Assessment_Model!$H$5:$H$428,"3")+COUNTIFS(_DATA_Assessment_Model!$AW$5:$AW$428,$A18,_DATA_Assessment_Model!$H$5:$H$428,"4")+COUNTIFS(_DATA_Assessment_Model!$AW$5:$AW$428,$A18,_DATA_Assessment_Model!$H$5:$H$428,"5")</f>
        <v>21</v>
      </c>
      <c r="D18" s="63">
        <f t="shared" si="0"/>
        <v>1</v>
      </c>
      <c r="E18" s="64">
        <f>SUMIFS(_DATA_Assessment_Model!$I$5:$I$428,_DATA_Assessment_Model!$AW$5:$AW$428,$A18)</f>
        <v>0</v>
      </c>
      <c r="F18" s="64">
        <f>SUMIFS(_DATA_Assessment_Model!$J$5:$J$428,_DATA_Assessment_Model!$AW$5:$AW$428,$A18)</f>
        <v>100</v>
      </c>
      <c r="G18" s="64">
        <f t="shared" si="1"/>
        <v>0</v>
      </c>
      <c r="H18" s="64">
        <f t="shared" si="2"/>
        <v>0</v>
      </c>
      <c r="I18" s="64">
        <f>IF($F18=0,"",SUMIFS(_DATA_Assessment_Model!$K$5:$K$428,_DATA_Assessment_Model!$AW$5:$AW$428,$A18))</f>
        <v>100</v>
      </c>
      <c r="J18" s="58">
        <f>COUNTIFS(_DATA_Assessment_Model!$AW$5:$AW$428,$A18,_DATA_Assessment_Model!$L$5:$L$428,"Critical")</f>
        <v>21</v>
      </c>
      <c r="K18" s="58">
        <f>COUNTIFS(_DATA_Assessment_Model!$AW$5:$AW$428,$A18,_DATA_Assessment_Model!$L$5:$L$428,"High")</f>
        <v>0</v>
      </c>
      <c r="L18" s="58">
        <f>COUNTIFS(_DATA_Assessment_Model!$AW$5:$AW$428,$A18,_DATA_Assessment_Model!$L$5:$L$428,"Medium")</f>
        <v>0</v>
      </c>
      <c r="M18" s="58">
        <f>COUNTIFS(_DATA_Assessment_Model!$AW$5:$AW$428,$A18,_DATA_Assessment_Model!$L$5:$L$428,"Low")</f>
        <v>0</v>
      </c>
      <c r="N18" s="58">
        <f>COUNTIFS(_DATA_Assessment_Model!$AW$5:$AW$428,$A18,_DATA_Assessment_Model!$L$5:$L$428,"Resilient")</f>
        <v>0</v>
      </c>
      <c r="O18" s="58" t="str">
        <f t="shared" si="3"/>
        <v>Review critical/high-risk gaps</v>
      </c>
      <c r="P18" s="1"/>
      <c r="Q18" s="1" t="s">
        <v>3591</v>
      </c>
      <c r="R18" s="1" t="str">
        <f>IFERROR(INDEX(_ENGINE_Crisis!$A$254:$A$270,MATCH(MIN(_ENGINE_Crisis!$G$254:$G$270),_ENGINE_Crisis!$G$254:$G$270,0)),"")</f>
        <v>Company Geography</v>
      </c>
      <c r="S18" s="1" t="s">
        <v>3592</v>
      </c>
      <c r="T18" s="1"/>
      <c r="U18" s="1"/>
      <c r="V18" s="1"/>
    </row>
    <row r="19" spans="1:22" ht="42.45" customHeight="1">
      <c r="A19" s="58" t="s">
        <v>2824</v>
      </c>
      <c r="B19" s="58">
        <f>COUNTIF(_DATA_Assessment_Model!$AW$5:$AW$428,$A19)</f>
        <v>27</v>
      </c>
      <c r="C19" s="58">
        <f>COUNTIFS(_DATA_Assessment_Model!$AW$5:$AW$428,$A19,_DATA_Assessment_Model!$H$5:$H$428,"N/A")+COUNTIFS(_DATA_Assessment_Model!$AW$5:$AW$428,$A19,_DATA_Assessment_Model!$H$5:$H$428,"0")+COUNTIFS(_DATA_Assessment_Model!$AW$5:$AW$428,$A19,_DATA_Assessment_Model!$H$5:$H$428,"1")+COUNTIFS(_DATA_Assessment_Model!$AW$5:$AW$428,$A19,_DATA_Assessment_Model!$H$5:$H$428,"2")+COUNTIFS(_DATA_Assessment_Model!$AW$5:$AW$428,$A19,_DATA_Assessment_Model!$H$5:$H$428,"3")+COUNTIFS(_DATA_Assessment_Model!$AW$5:$AW$428,$A19,_DATA_Assessment_Model!$H$5:$H$428,"4")+COUNTIFS(_DATA_Assessment_Model!$AW$5:$AW$428,$A19,_DATA_Assessment_Model!$H$5:$H$428,"5")</f>
        <v>27</v>
      </c>
      <c r="D19" s="63">
        <f t="shared" si="0"/>
        <v>1</v>
      </c>
      <c r="E19" s="64">
        <f>SUMIFS(_DATA_Assessment_Model!$I$5:$I$428,_DATA_Assessment_Model!$AW$5:$AW$428,$A19)</f>
        <v>0</v>
      </c>
      <c r="F19" s="64">
        <f>SUMIFS(_DATA_Assessment_Model!$J$5:$J$428,_DATA_Assessment_Model!$AW$5:$AW$428,$A19)</f>
        <v>120</v>
      </c>
      <c r="G19" s="64">
        <f t="shared" si="1"/>
        <v>0</v>
      </c>
      <c r="H19" s="64">
        <f t="shared" si="2"/>
        <v>0</v>
      </c>
      <c r="I19" s="64">
        <f>IF($F19=0,"",SUMIFS(_DATA_Assessment_Model!$K$5:$K$428,_DATA_Assessment_Model!$AW$5:$AW$428,$A19))</f>
        <v>120</v>
      </c>
      <c r="J19" s="58">
        <f>COUNTIFS(_DATA_Assessment_Model!$AW$5:$AW$428,$A19,_DATA_Assessment_Model!$L$5:$L$428,"Critical")</f>
        <v>27</v>
      </c>
      <c r="K19" s="58">
        <f>COUNTIFS(_DATA_Assessment_Model!$AW$5:$AW$428,$A19,_DATA_Assessment_Model!$L$5:$L$428,"High")</f>
        <v>0</v>
      </c>
      <c r="L19" s="58">
        <f>COUNTIFS(_DATA_Assessment_Model!$AW$5:$AW$428,$A19,_DATA_Assessment_Model!$L$5:$L$428,"Medium")</f>
        <v>0</v>
      </c>
      <c r="M19" s="58">
        <f>COUNTIFS(_DATA_Assessment_Model!$AW$5:$AW$428,$A19,_DATA_Assessment_Model!$L$5:$L$428,"Low")</f>
        <v>0</v>
      </c>
      <c r="N19" s="58">
        <f>COUNTIFS(_DATA_Assessment_Model!$AW$5:$AW$428,$A19,_DATA_Assessment_Model!$L$5:$L$428,"Resilient")</f>
        <v>0</v>
      </c>
      <c r="O19" s="58" t="str">
        <f t="shared" si="3"/>
        <v>Review critical/high-risk gaps</v>
      </c>
      <c r="P19" s="1"/>
      <c r="Q19" s="1" t="s">
        <v>3593</v>
      </c>
      <c r="R19" s="1" t="str">
        <f>_DATA_Dashboard_Facts!$B$325</f>
        <v/>
      </c>
      <c r="S19" s="1" t="s">
        <v>3594</v>
      </c>
      <c r="T19" s="1"/>
      <c r="U19" s="1"/>
      <c r="V19" s="1"/>
    </row>
    <row r="20" spans="1:22" ht="42.45" customHeight="1">
      <c r="A20" s="58" t="s">
        <v>2986</v>
      </c>
      <c r="B20" s="58">
        <f>COUNTIF(_DATA_Assessment_Model!$AW$5:$AW$428,$A20)</f>
        <v>34</v>
      </c>
      <c r="C20" s="58">
        <f>COUNTIFS(_DATA_Assessment_Model!$AW$5:$AW$428,$A20,_DATA_Assessment_Model!$H$5:$H$428,"N/A")+COUNTIFS(_DATA_Assessment_Model!$AW$5:$AW$428,$A20,_DATA_Assessment_Model!$H$5:$H$428,"0")+COUNTIFS(_DATA_Assessment_Model!$AW$5:$AW$428,$A20,_DATA_Assessment_Model!$H$5:$H$428,"1")+COUNTIFS(_DATA_Assessment_Model!$AW$5:$AW$428,$A20,_DATA_Assessment_Model!$H$5:$H$428,"2")+COUNTIFS(_DATA_Assessment_Model!$AW$5:$AW$428,$A20,_DATA_Assessment_Model!$H$5:$H$428,"3")+COUNTIFS(_DATA_Assessment_Model!$AW$5:$AW$428,$A20,_DATA_Assessment_Model!$H$5:$H$428,"4")+COUNTIFS(_DATA_Assessment_Model!$AW$5:$AW$428,$A20,_DATA_Assessment_Model!$H$5:$H$428,"5")</f>
        <v>34</v>
      </c>
      <c r="D20" s="63">
        <f t="shared" si="0"/>
        <v>1</v>
      </c>
      <c r="E20" s="64">
        <f>SUMIFS(_DATA_Assessment_Model!$I$5:$I$428,_DATA_Assessment_Model!$AW$5:$AW$428,$A20)</f>
        <v>0</v>
      </c>
      <c r="F20" s="64">
        <f>SUMIFS(_DATA_Assessment_Model!$J$5:$J$428,_DATA_Assessment_Model!$AW$5:$AW$428,$A20)</f>
        <v>143</v>
      </c>
      <c r="G20" s="64">
        <f t="shared" si="1"/>
        <v>0</v>
      </c>
      <c r="H20" s="64">
        <f t="shared" si="2"/>
        <v>0</v>
      </c>
      <c r="I20" s="64">
        <f>IF($F20=0,"",SUMIFS(_DATA_Assessment_Model!$K$5:$K$428,_DATA_Assessment_Model!$AW$5:$AW$428,$A20))</f>
        <v>143</v>
      </c>
      <c r="J20" s="58">
        <f>COUNTIFS(_DATA_Assessment_Model!$AW$5:$AW$428,$A20,_DATA_Assessment_Model!$L$5:$L$428,"Critical")</f>
        <v>34</v>
      </c>
      <c r="K20" s="58">
        <f>COUNTIFS(_DATA_Assessment_Model!$AW$5:$AW$428,$A20,_DATA_Assessment_Model!$L$5:$L$428,"High")</f>
        <v>0</v>
      </c>
      <c r="L20" s="58">
        <f>COUNTIFS(_DATA_Assessment_Model!$AW$5:$AW$428,$A20,_DATA_Assessment_Model!$L$5:$L$428,"Medium")</f>
        <v>0</v>
      </c>
      <c r="M20" s="58">
        <f>COUNTIFS(_DATA_Assessment_Model!$AW$5:$AW$428,$A20,_DATA_Assessment_Model!$L$5:$L$428,"Low")</f>
        <v>0</v>
      </c>
      <c r="N20" s="58">
        <f>COUNTIFS(_DATA_Assessment_Model!$AW$5:$AW$428,$A20,_DATA_Assessment_Model!$L$5:$L$428,"Resilient")</f>
        <v>0</v>
      </c>
      <c r="O20" s="58" t="str">
        <f t="shared" si="3"/>
        <v>Review critical/high-risk gaps</v>
      </c>
      <c r="P20" s="1"/>
      <c r="Q20" s="1" t="s">
        <v>3387</v>
      </c>
      <c r="R20" s="1">
        <f>IFERROR('AS-IS Assessment'!$B$12,"")</f>
        <v>0</v>
      </c>
      <c r="S20" s="1" t="s">
        <v>3595</v>
      </c>
      <c r="T20" s="1"/>
      <c r="U20" s="1"/>
      <c r="V20" s="1"/>
    </row>
    <row r="21" spans="1:22" ht="42.45" customHeight="1">
      <c r="A21" s="58" t="s">
        <v>3204</v>
      </c>
      <c r="B21" s="58">
        <f>COUNTIF(_DATA_Assessment_Model!$AW$5:$AW$428,$A21)</f>
        <v>22</v>
      </c>
      <c r="C21" s="58">
        <f>COUNTIFS(_DATA_Assessment_Model!$AW$5:$AW$428,$A21,_DATA_Assessment_Model!$H$5:$H$428,"N/A")+COUNTIFS(_DATA_Assessment_Model!$AW$5:$AW$428,$A21,_DATA_Assessment_Model!$H$5:$H$428,"0")+COUNTIFS(_DATA_Assessment_Model!$AW$5:$AW$428,$A21,_DATA_Assessment_Model!$H$5:$H$428,"1")+COUNTIFS(_DATA_Assessment_Model!$AW$5:$AW$428,$A21,_DATA_Assessment_Model!$H$5:$H$428,"2")+COUNTIFS(_DATA_Assessment_Model!$AW$5:$AW$428,$A21,_DATA_Assessment_Model!$H$5:$H$428,"3")+COUNTIFS(_DATA_Assessment_Model!$AW$5:$AW$428,$A21,_DATA_Assessment_Model!$H$5:$H$428,"4")+COUNTIFS(_DATA_Assessment_Model!$AW$5:$AW$428,$A21,_DATA_Assessment_Model!$H$5:$H$428,"5")</f>
        <v>22</v>
      </c>
      <c r="D21" s="63">
        <f t="shared" si="0"/>
        <v>1</v>
      </c>
      <c r="E21" s="64">
        <f>SUMIFS(_DATA_Assessment_Model!$I$5:$I$428,_DATA_Assessment_Model!$AW$5:$AW$428,$A21)</f>
        <v>0</v>
      </c>
      <c r="F21" s="64">
        <f>SUMIFS(_DATA_Assessment_Model!$J$5:$J$428,_DATA_Assessment_Model!$AW$5:$AW$428,$A21)</f>
        <v>85</v>
      </c>
      <c r="G21" s="64">
        <f t="shared" si="1"/>
        <v>0</v>
      </c>
      <c r="H21" s="64">
        <f t="shared" si="2"/>
        <v>0</v>
      </c>
      <c r="I21" s="64">
        <f>IF($F21=0,"",SUMIFS(_DATA_Assessment_Model!$K$5:$K$428,_DATA_Assessment_Model!$AW$5:$AW$428,$A21))</f>
        <v>85</v>
      </c>
      <c r="J21" s="58">
        <f>COUNTIFS(_DATA_Assessment_Model!$AW$5:$AW$428,$A21,_DATA_Assessment_Model!$L$5:$L$428,"Critical")</f>
        <v>22</v>
      </c>
      <c r="K21" s="58">
        <f>COUNTIFS(_DATA_Assessment_Model!$AW$5:$AW$428,$A21,_DATA_Assessment_Model!$L$5:$L$428,"High")</f>
        <v>0</v>
      </c>
      <c r="L21" s="58">
        <f>COUNTIFS(_DATA_Assessment_Model!$AW$5:$AW$428,$A21,_DATA_Assessment_Model!$L$5:$L$428,"Medium")</f>
        <v>0</v>
      </c>
      <c r="M21" s="58">
        <f>COUNTIFS(_DATA_Assessment_Model!$AW$5:$AW$428,$A21,_DATA_Assessment_Model!$L$5:$L$428,"Low")</f>
        <v>0</v>
      </c>
      <c r="N21" s="58">
        <f>COUNTIFS(_DATA_Assessment_Model!$AW$5:$AW$428,$A21,_DATA_Assessment_Model!$L$5:$L$428,"Resilient")</f>
        <v>0</v>
      </c>
      <c r="O21" s="58" t="str">
        <f t="shared" si="3"/>
        <v>Review critical/high-risk gaps</v>
      </c>
      <c r="P21" s="1"/>
      <c r="Q21" s="1" t="s">
        <v>3596</v>
      </c>
      <c r="R21" s="1">
        <f>'Company Profile'!$B$35</f>
        <v>0</v>
      </c>
      <c r="S21" s="1" t="s">
        <v>3597</v>
      </c>
      <c r="T21" s="1"/>
      <c r="U21" s="1"/>
      <c r="V21" s="1"/>
    </row>
    <row r="22" spans="1:22">
      <c r="A22" s="1"/>
      <c r="B22" s="1"/>
      <c r="C22" s="1"/>
      <c r="D22" s="1"/>
      <c r="E22" s="1"/>
      <c r="F22" s="1"/>
      <c r="G22" s="1"/>
      <c r="H22" s="1"/>
      <c r="I22" s="1"/>
      <c r="J22" s="1"/>
      <c r="K22" s="1"/>
      <c r="L22" s="1"/>
      <c r="M22" s="1"/>
      <c r="N22" s="1"/>
      <c r="O22" s="1"/>
      <c r="P22" s="1"/>
      <c r="Q22" s="1" t="s">
        <v>3598</v>
      </c>
      <c r="R22" s="1">
        <f>IFERROR(SUMPRODUCT(--(_DATA_Dashboard_Facts!$B$217:$B$233&lt;&gt;"")*--(_DATA_Dashboard_Facts!$B$217:$B$233&lt;_DATA_Dashboard_Facts!$D$217:$D$233)),"")</f>
        <v>17</v>
      </c>
      <c r="S22" s="1" t="s">
        <v>3599</v>
      </c>
      <c r="T22" s="1"/>
      <c r="U22" s="1"/>
      <c r="V22" s="1"/>
    </row>
    <row r="23" spans="1:22">
      <c r="A23" s="1"/>
      <c r="B23" s="1"/>
      <c r="C23" s="1"/>
      <c r="D23" s="1"/>
      <c r="E23" s="1"/>
      <c r="F23" s="1"/>
      <c r="G23" s="1"/>
      <c r="H23" s="1"/>
      <c r="I23" s="1"/>
      <c r="J23" s="1"/>
      <c r="K23" s="1"/>
      <c r="L23" s="1"/>
      <c r="M23" s="1"/>
      <c r="N23" s="1"/>
      <c r="O23" s="1"/>
      <c r="P23" s="1"/>
      <c r="Q23" s="1" t="s">
        <v>3600</v>
      </c>
      <c r="R23" s="1">
        <f>_DATA_Dashboard_Facts!$B$388</f>
        <v>0</v>
      </c>
      <c r="S23" s="1" t="s">
        <v>3601</v>
      </c>
      <c r="T23" s="1"/>
      <c r="U23" s="1"/>
      <c r="V23" s="1"/>
    </row>
    <row r="24" spans="1:22">
      <c r="A24" s="1"/>
      <c r="B24" s="1"/>
      <c r="C24" s="1"/>
      <c r="D24" s="1"/>
      <c r="E24" s="1"/>
      <c r="F24" s="1"/>
      <c r="G24" s="1"/>
      <c r="H24" s="1"/>
      <c r="I24" s="1"/>
      <c r="J24" s="1"/>
      <c r="K24" s="1"/>
      <c r="L24" s="1"/>
      <c r="M24" s="1"/>
      <c r="N24" s="1"/>
      <c r="O24" s="1"/>
      <c r="P24" s="1"/>
      <c r="Q24" s="1" t="s">
        <v>357</v>
      </c>
      <c r="R24" s="1">
        <f>_ENGINE_Risk!$I$494</f>
        <v>9375</v>
      </c>
      <c r="S24" s="1" t="s">
        <v>3602</v>
      </c>
      <c r="T24" s="1"/>
      <c r="U24" s="1"/>
      <c r="V24" s="1"/>
    </row>
    <row r="25" spans="1:22">
      <c r="A25" s="1"/>
      <c r="B25" s="1"/>
      <c r="C25" s="1"/>
      <c r="D25" s="1"/>
      <c r="E25" s="1"/>
      <c r="F25" s="1"/>
      <c r="G25" s="1"/>
      <c r="H25" s="1"/>
      <c r="I25" s="1"/>
      <c r="J25" s="1"/>
      <c r="K25" s="1"/>
      <c r="L25" s="1"/>
      <c r="M25" s="1"/>
      <c r="N25" s="1"/>
      <c r="O25" s="1"/>
      <c r="P25" s="1"/>
      <c r="Q25" s="1" t="s">
        <v>3603</v>
      </c>
      <c r="R25" s="1">
        <f>_DATA_Dashboard_Facts!$B$361</f>
        <v>100</v>
      </c>
      <c r="S25" s="1" t="s">
        <v>3604</v>
      </c>
      <c r="T25" s="1"/>
      <c r="U25" s="1"/>
      <c r="V25" s="1"/>
    </row>
    <row r="26" spans="1:22">
      <c r="A26" s="1"/>
      <c r="B26" s="1"/>
      <c r="C26" s="1"/>
      <c r="D26" s="1"/>
      <c r="E26" s="1"/>
      <c r="F26" s="1"/>
      <c r="G26" s="1"/>
      <c r="H26" s="1"/>
      <c r="I26" s="1"/>
      <c r="J26" s="1"/>
      <c r="K26" s="1"/>
      <c r="L26" s="1"/>
      <c r="M26" s="1"/>
      <c r="N26" s="1"/>
      <c r="O26" s="1"/>
      <c r="P26" s="1"/>
      <c r="Q26" s="1"/>
      <c r="R26" s="1"/>
      <c r="S26" s="1"/>
      <c r="T26" s="1"/>
      <c r="U26" s="1"/>
      <c r="V26" s="1"/>
    </row>
    <row r="27" spans="1:22">
      <c r="A27" s="1"/>
      <c r="B27" s="1"/>
      <c r="C27" s="1"/>
      <c r="D27" s="1"/>
      <c r="E27" s="1"/>
      <c r="F27" s="1"/>
      <c r="G27" s="1"/>
      <c r="H27" s="1"/>
      <c r="I27" s="1"/>
      <c r="J27" s="1"/>
      <c r="K27" s="1"/>
      <c r="L27" s="1"/>
      <c r="M27" s="1"/>
      <c r="N27" s="1"/>
      <c r="O27" s="1"/>
      <c r="P27" s="1"/>
      <c r="Q27" s="1"/>
      <c r="R27" s="1"/>
      <c r="S27" s="1"/>
      <c r="T27" s="1"/>
      <c r="U27" s="1"/>
      <c r="V27" s="1"/>
    </row>
    <row r="28" spans="1:22">
      <c r="A28" s="1"/>
      <c r="B28" s="1"/>
      <c r="C28" s="1"/>
      <c r="D28" s="1"/>
      <c r="E28" s="1"/>
      <c r="F28" s="1"/>
      <c r="G28" s="1"/>
      <c r="H28" s="1"/>
      <c r="I28" s="1"/>
      <c r="J28" s="1"/>
      <c r="K28" s="1"/>
      <c r="L28" s="1"/>
      <c r="M28" s="1"/>
      <c r="N28" s="1"/>
      <c r="O28" s="1"/>
      <c r="P28" s="1"/>
      <c r="Q28" s="1"/>
      <c r="R28" s="1"/>
      <c r="S28" s="1"/>
      <c r="T28" s="1"/>
      <c r="U28" s="1"/>
      <c r="V28" s="1"/>
    </row>
    <row r="29" spans="1:22">
      <c r="A29" s="1"/>
      <c r="B29" s="1"/>
      <c r="C29" s="1"/>
      <c r="D29" s="1"/>
      <c r="E29" s="1"/>
      <c r="F29" s="1"/>
      <c r="G29" s="1"/>
      <c r="H29" s="1"/>
      <c r="I29" s="1"/>
      <c r="J29" s="1"/>
      <c r="K29" s="1"/>
      <c r="L29" s="1"/>
      <c r="M29" s="1"/>
      <c r="N29" s="1"/>
      <c r="O29" s="1"/>
      <c r="P29" s="1"/>
      <c r="Q29" s="1"/>
      <c r="R29" s="1"/>
      <c r="S29" s="1"/>
      <c r="T29" s="1"/>
      <c r="U29" s="1"/>
      <c r="V29" s="1"/>
    </row>
    <row r="30" spans="1:22">
      <c r="A30" s="1"/>
      <c r="B30" s="1"/>
      <c r="C30" s="1"/>
      <c r="D30" s="1"/>
      <c r="E30" s="1"/>
      <c r="F30" s="1"/>
      <c r="G30" s="1"/>
      <c r="H30" s="1"/>
      <c r="I30" s="1"/>
      <c r="J30" s="1"/>
      <c r="K30" s="1"/>
      <c r="L30" s="1"/>
      <c r="M30" s="1"/>
      <c r="N30" s="1"/>
      <c r="O30" s="1"/>
      <c r="P30" s="1"/>
      <c r="Q30" s="1"/>
      <c r="R30" s="1"/>
      <c r="S30" s="1"/>
      <c r="T30" s="1"/>
      <c r="U30" s="1"/>
      <c r="V30" s="1"/>
    </row>
    <row r="31" spans="1:22">
      <c r="A31" s="1"/>
      <c r="B31" s="1"/>
      <c r="C31" s="1"/>
      <c r="D31" s="1"/>
      <c r="E31" s="1"/>
      <c r="F31" s="1"/>
      <c r="G31" s="1"/>
      <c r="H31" s="1"/>
      <c r="I31" s="1"/>
      <c r="J31" s="1"/>
      <c r="K31" s="1"/>
      <c r="L31" s="1"/>
      <c r="M31" s="1"/>
      <c r="N31" s="1"/>
      <c r="O31" s="1"/>
      <c r="P31" s="1"/>
      <c r="Q31" s="1"/>
      <c r="R31" s="1"/>
      <c r="S31" s="1"/>
      <c r="T31" s="1"/>
      <c r="U31" s="1"/>
      <c r="V31" s="1"/>
    </row>
    <row r="32" spans="1:22">
      <c r="A32" s="1"/>
      <c r="B32" s="1"/>
      <c r="C32" s="1"/>
      <c r="D32" s="1"/>
      <c r="E32" s="1"/>
      <c r="F32" s="1"/>
      <c r="G32" s="1"/>
      <c r="H32" s="1"/>
      <c r="I32" s="1"/>
      <c r="J32" s="1"/>
      <c r="K32" s="1"/>
      <c r="L32" s="1"/>
      <c r="M32" s="1"/>
      <c r="N32" s="1"/>
      <c r="O32" s="1"/>
      <c r="P32" s="1"/>
      <c r="Q32" s="1"/>
      <c r="R32" s="1"/>
      <c r="S32" s="1"/>
      <c r="T32" s="1"/>
      <c r="U32" s="1"/>
      <c r="V32" s="1"/>
    </row>
    <row r="33" spans="1:22">
      <c r="A33" s="1"/>
      <c r="B33" s="1"/>
      <c r="C33" s="1"/>
      <c r="D33" s="1"/>
      <c r="E33" s="1"/>
      <c r="F33" s="1"/>
      <c r="G33" s="1"/>
      <c r="H33" s="1"/>
      <c r="I33" s="1"/>
      <c r="J33" s="1"/>
      <c r="K33" s="1"/>
      <c r="L33" s="1"/>
      <c r="M33" s="1"/>
      <c r="N33" s="1"/>
      <c r="O33" s="1"/>
      <c r="P33" s="1"/>
      <c r="Q33" s="1"/>
      <c r="R33" s="1"/>
      <c r="S33" s="1"/>
      <c r="T33" s="1"/>
      <c r="U33" s="1"/>
      <c r="V33" s="1"/>
    </row>
    <row r="34" spans="1:22">
      <c r="A34" s="1"/>
      <c r="B34" s="1"/>
      <c r="C34" s="1"/>
      <c r="D34" s="1"/>
      <c r="E34" s="1"/>
      <c r="F34" s="1"/>
      <c r="G34" s="1"/>
      <c r="H34" s="1"/>
      <c r="I34" s="1"/>
      <c r="J34" s="1"/>
      <c r="K34" s="1"/>
      <c r="L34" s="1"/>
      <c r="M34" s="1"/>
      <c r="N34" s="1"/>
      <c r="O34" s="1"/>
      <c r="P34" s="1"/>
      <c r="Q34" s="1"/>
      <c r="R34" s="1"/>
      <c r="S34" s="1"/>
      <c r="T34" s="1"/>
      <c r="U34" s="1"/>
      <c r="V34" s="1"/>
    </row>
    <row r="35" spans="1:22">
      <c r="A35" s="1"/>
      <c r="B35" s="1"/>
      <c r="C35" s="1"/>
      <c r="D35" s="1"/>
      <c r="E35" s="1"/>
      <c r="F35" s="1"/>
      <c r="G35" s="1"/>
      <c r="H35" s="1"/>
      <c r="I35" s="1"/>
      <c r="J35" s="1"/>
      <c r="K35" s="1"/>
      <c r="L35" s="1"/>
      <c r="M35" s="1"/>
      <c r="N35" s="1"/>
      <c r="O35" s="1"/>
      <c r="P35" s="1"/>
      <c r="Q35" s="1"/>
      <c r="R35" s="1"/>
      <c r="S35" s="1"/>
      <c r="T35" s="1"/>
      <c r="U35" s="1"/>
      <c r="V35" s="1"/>
    </row>
    <row r="36" spans="1:22">
      <c r="A36" s="1"/>
      <c r="B36" s="1"/>
      <c r="C36" s="1"/>
      <c r="D36" s="1"/>
      <c r="E36" s="1"/>
      <c r="F36" s="1"/>
      <c r="G36" s="1"/>
      <c r="H36" s="1"/>
      <c r="I36" s="1"/>
      <c r="J36" s="1"/>
      <c r="K36" s="1"/>
      <c r="L36" s="1"/>
      <c r="M36" s="1"/>
      <c r="N36" s="1"/>
      <c r="O36" s="1"/>
      <c r="P36" s="1"/>
      <c r="Q36" s="1"/>
      <c r="R36" s="1"/>
      <c r="S36" s="1"/>
      <c r="T36" s="1"/>
      <c r="U36" s="1"/>
      <c r="V36" s="1"/>
    </row>
    <row r="37" spans="1:22">
      <c r="A37" s="1"/>
      <c r="B37" s="1"/>
      <c r="C37" s="1"/>
      <c r="D37" s="1"/>
      <c r="E37" s="1"/>
      <c r="F37" s="1"/>
      <c r="G37" s="1"/>
      <c r="H37" s="1"/>
      <c r="I37" s="1"/>
      <c r="J37" s="1"/>
      <c r="K37" s="1"/>
      <c r="L37" s="1"/>
      <c r="M37" s="1"/>
      <c r="N37" s="1"/>
      <c r="O37" s="1"/>
      <c r="P37" s="1"/>
      <c r="Q37" s="1"/>
      <c r="R37" s="1"/>
      <c r="S37" s="1"/>
      <c r="T37" s="1"/>
      <c r="U37" s="1"/>
      <c r="V37" s="1"/>
    </row>
    <row r="38" spans="1:22">
      <c r="A38" s="1"/>
      <c r="B38" s="1"/>
      <c r="C38" s="1"/>
      <c r="D38" s="1"/>
      <c r="E38" s="1"/>
      <c r="F38" s="1"/>
      <c r="G38" s="1"/>
      <c r="H38" s="1"/>
      <c r="I38" s="1"/>
      <c r="J38" s="1"/>
      <c r="K38" s="1"/>
      <c r="L38" s="1"/>
      <c r="M38" s="1"/>
      <c r="N38" s="1"/>
      <c r="O38" s="1"/>
      <c r="P38" s="1"/>
      <c r="Q38" s="1"/>
      <c r="R38" s="1"/>
      <c r="S38" s="1"/>
      <c r="T38" s="1"/>
      <c r="U38" s="1"/>
      <c r="V38" s="1"/>
    </row>
    <row r="39" spans="1:22">
      <c r="A39" s="1"/>
      <c r="B39" s="1"/>
      <c r="C39" s="1"/>
      <c r="D39" s="1"/>
      <c r="E39" s="1"/>
      <c r="F39" s="1"/>
      <c r="G39" s="1"/>
      <c r="H39" s="1"/>
      <c r="I39" s="1"/>
      <c r="J39" s="1"/>
      <c r="K39" s="1"/>
      <c r="L39" s="1"/>
      <c r="M39" s="1"/>
      <c r="N39" s="1"/>
      <c r="O39" s="1"/>
      <c r="P39" s="1"/>
      <c r="Q39" s="1"/>
      <c r="R39" s="1"/>
      <c r="S39" s="1"/>
      <c r="T39" s="1"/>
      <c r="U39" s="1"/>
      <c r="V39" s="1"/>
    </row>
    <row r="40" spans="1:22" ht="30" customHeight="1">
      <c r="A40" s="1"/>
      <c r="B40" s="1"/>
      <c r="C40" s="1"/>
      <c r="D40" s="1"/>
      <c r="E40" s="1"/>
      <c r="F40" s="1"/>
      <c r="G40" s="1"/>
      <c r="H40" s="1"/>
      <c r="I40" s="1"/>
      <c r="J40" s="1"/>
      <c r="K40" s="1"/>
      <c r="L40" s="1"/>
      <c r="M40" s="1"/>
      <c r="N40" s="1"/>
      <c r="O40" s="1"/>
      <c r="P40" s="1"/>
      <c r="Q40" s="59" t="s">
        <v>3605</v>
      </c>
      <c r="R40" s="59" t="s">
        <v>3606</v>
      </c>
      <c r="S40" s="59" t="s">
        <v>3607</v>
      </c>
      <c r="T40" s="1"/>
      <c r="U40" s="1"/>
      <c r="V40" s="1"/>
    </row>
    <row r="41" spans="1:22" ht="85.5" customHeight="1">
      <c r="A41" s="1"/>
      <c r="B41" s="1"/>
      <c r="C41" s="1"/>
      <c r="D41" s="1"/>
      <c r="E41" s="1"/>
      <c r="F41" s="1"/>
      <c r="G41" s="1"/>
      <c r="H41" s="1"/>
      <c r="I41" s="1"/>
      <c r="J41" s="1"/>
      <c r="K41" s="1"/>
      <c r="L41" s="1"/>
      <c r="M41" s="1"/>
      <c r="N41" s="1"/>
      <c r="O41" s="1"/>
      <c r="P41" s="1"/>
      <c r="Q41" s="58" t="s">
        <v>642</v>
      </c>
      <c r="R41" s="58" t="s">
        <v>3608</v>
      </c>
      <c r="S41" s="58" t="s">
        <v>3609</v>
      </c>
      <c r="T41" s="1"/>
      <c r="U41" s="1"/>
      <c r="V41" s="1"/>
    </row>
    <row r="42" spans="1:22" ht="85.5" customHeight="1">
      <c r="A42" s="1"/>
      <c r="B42" s="1"/>
      <c r="C42" s="1"/>
      <c r="D42" s="1"/>
      <c r="E42" s="1"/>
      <c r="F42" s="1"/>
      <c r="G42" s="1"/>
      <c r="H42" s="1"/>
      <c r="I42" s="1"/>
      <c r="J42" s="1"/>
      <c r="K42" s="1"/>
      <c r="L42" s="1"/>
      <c r="M42" s="1"/>
      <c r="N42" s="1"/>
      <c r="O42" s="1"/>
      <c r="P42" s="1"/>
      <c r="Q42" s="58" t="s">
        <v>3610</v>
      </c>
      <c r="R42" s="58" t="s">
        <v>3611</v>
      </c>
      <c r="S42" s="58" t="s">
        <v>3612</v>
      </c>
      <c r="T42" s="1"/>
      <c r="U42" s="1"/>
      <c r="V42" s="1"/>
    </row>
    <row r="43" spans="1:22" ht="85.5" customHeight="1">
      <c r="A43" s="1"/>
      <c r="B43" s="1"/>
      <c r="C43" s="1"/>
      <c r="D43" s="1"/>
      <c r="E43" s="1"/>
      <c r="F43" s="1"/>
      <c r="G43" s="1"/>
      <c r="H43" s="1"/>
      <c r="I43" s="1"/>
      <c r="J43" s="1"/>
      <c r="K43" s="1"/>
      <c r="L43" s="1"/>
      <c r="M43" s="1"/>
      <c r="N43" s="1"/>
      <c r="O43" s="1"/>
      <c r="P43" s="1"/>
      <c r="Q43" s="58" t="s">
        <v>643</v>
      </c>
      <c r="R43" s="58" t="s">
        <v>3613</v>
      </c>
      <c r="S43" s="58" t="s">
        <v>3614</v>
      </c>
      <c r="T43" s="1"/>
      <c r="U43" s="1"/>
      <c r="V43" s="1"/>
    </row>
    <row r="44" spans="1:22" ht="57" customHeight="1">
      <c r="A44" s="1"/>
      <c r="B44" s="1"/>
      <c r="C44" s="1"/>
      <c r="D44" s="1"/>
      <c r="E44" s="1"/>
      <c r="F44" s="1"/>
      <c r="G44" s="1"/>
      <c r="H44" s="1"/>
      <c r="I44" s="1"/>
      <c r="J44" s="1"/>
      <c r="K44" s="1"/>
      <c r="L44" s="1"/>
      <c r="M44" s="1"/>
      <c r="N44" s="1"/>
      <c r="O44" s="1"/>
      <c r="P44" s="1"/>
      <c r="Q44" s="58" t="s">
        <v>3615</v>
      </c>
      <c r="R44" s="58" t="s">
        <v>3616</v>
      </c>
      <c r="S44" s="58" t="s">
        <v>3617</v>
      </c>
      <c r="T44" s="1"/>
      <c r="U44" s="1"/>
      <c r="V44" s="1"/>
    </row>
    <row r="45" spans="1:22" ht="85.5" customHeight="1">
      <c r="A45" s="1"/>
      <c r="B45" s="1"/>
      <c r="C45" s="1"/>
      <c r="D45" s="1"/>
      <c r="E45" s="1"/>
      <c r="F45" s="1"/>
      <c r="G45" s="1"/>
      <c r="H45" s="1"/>
      <c r="I45" s="1"/>
      <c r="J45" s="1"/>
      <c r="K45" s="1"/>
      <c r="L45" s="1"/>
      <c r="M45" s="1"/>
      <c r="N45" s="1"/>
      <c r="O45" s="1"/>
      <c r="P45" s="1"/>
      <c r="Q45" s="58" t="s">
        <v>644</v>
      </c>
      <c r="R45" s="58" t="s">
        <v>3618</v>
      </c>
      <c r="S45" s="58" t="s">
        <v>3619</v>
      </c>
      <c r="T45" s="1"/>
      <c r="U45" s="1"/>
      <c r="V45" s="1"/>
    </row>
    <row r="46" spans="1:22" ht="57" customHeight="1">
      <c r="A46" s="1"/>
      <c r="B46" s="1"/>
      <c r="C46" s="1"/>
      <c r="D46" s="1"/>
      <c r="E46" s="1"/>
      <c r="F46" s="1"/>
      <c r="G46" s="1"/>
      <c r="H46" s="1"/>
      <c r="I46" s="1"/>
      <c r="J46" s="1"/>
      <c r="K46" s="1"/>
      <c r="L46" s="1"/>
      <c r="M46" s="1"/>
      <c r="N46" s="1"/>
      <c r="O46" s="1"/>
      <c r="P46" s="1"/>
      <c r="Q46" s="58" t="s">
        <v>3620</v>
      </c>
      <c r="R46" s="58" t="s">
        <v>3621</v>
      </c>
      <c r="S46" s="58" t="s">
        <v>3622</v>
      </c>
      <c r="T46" s="1"/>
      <c r="U46" s="1"/>
      <c r="V46" s="1"/>
    </row>
    <row r="47" spans="1:22" ht="85.5" customHeight="1">
      <c r="A47" s="1"/>
      <c r="B47" s="1"/>
      <c r="C47" s="1"/>
      <c r="D47" s="1"/>
      <c r="E47" s="1"/>
      <c r="F47" s="1"/>
      <c r="G47" s="1"/>
      <c r="H47" s="1"/>
      <c r="I47" s="1"/>
      <c r="J47" s="1"/>
      <c r="K47" s="1"/>
      <c r="L47" s="1"/>
      <c r="M47" s="1"/>
      <c r="N47" s="1"/>
      <c r="O47" s="1"/>
      <c r="P47" s="1"/>
      <c r="Q47" s="58" t="s">
        <v>3623</v>
      </c>
      <c r="R47" s="58" t="s">
        <v>3624</v>
      </c>
      <c r="S47" s="58" t="s">
        <v>3625</v>
      </c>
      <c r="T47" s="1"/>
      <c r="U47" s="1"/>
      <c r="V47" s="1"/>
    </row>
    <row r="48" spans="1:22" ht="71.25" customHeight="1">
      <c r="A48" s="1"/>
      <c r="B48" s="1"/>
      <c r="C48" s="1"/>
      <c r="D48" s="1"/>
      <c r="E48" s="1"/>
      <c r="F48" s="1"/>
      <c r="G48" s="1"/>
      <c r="H48" s="1"/>
      <c r="I48" s="1"/>
      <c r="J48" s="1"/>
      <c r="K48" s="1"/>
      <c r="L48" s="1"/>
      <c r="M48" s="1"/>
      <c r="N48" s="1"/>
      <c r="O48" s="1"/>
      <c r="P48" s="1"/>
      <c r="Q48" s="58" t="s">
        <v>3626</v>
      </c>
      <c r="R48" s="58" t="s">
        <v>3627</v>
      </c>
      <c r="S48" s="58" t="s">
        <v>3628</v>
      </c>
      <c r="T48" s="1"/>
      <c r="U48" s="1"/>
      <c r="V48" s="1"/>
    </row>
    <row r="49" spans="1:22" ht="57" customHeight="1">
      <c r="A49" s="1"/>
      <c r="B49" s="1"/>
      <c r="C49" s="1"/>
      <c r="D49" s="1"/>
      <c r="E49" s="1"/>
      <c r="F49" s="1"/>
      <c r="G49" s="1"/>
      <c r="H49" s="1"/>
      <c r="I49" s="1"/>
      <c r="J49" s="1"/>
      <c r="K49" s="1"/>
      <c r="L49" s="1"/>
      <c r="M49" s="1"/>
      <c r="N49" s="1"/>
      <c r="O49" s="1"/>
      <c r="P49" s="1"/>
      <c r="Q49" s="58" t="s">
        <v>3629</v>
      </c>
      <c r="R49" s="58" t="s">
        <v>3630</v>
      </c>
      <c r="S49" s="58" t="s">
        <v>3631</v>
      </c>
      <c r="T49" s="1"/>
      <c r="U49" s="1"/>
      <c r="V49" s="1"/>
    </row>
    <row r="50" spans="1:22" ht="57" customHeight="1">
      <c r="A50" s="1"/>
      <c r="B50" s="1"/>
      <c r="C50" s="1"/>
      <c r="D50" s="1"/>
      <c r="E50" s="1"/>
      <c r="F50" s="1"/>
      <c r="G50" s="1"/>
      <c r="H50" s="1"/>
      <c r="I50" s="1"/>
      <c r="J50" s="1"/>
      <c r="K50" s="1"/>
      <c r="L50" s="1"/>
      <c r="M50" s="1"/>
      <c r="N50" s="1"/>
      <c r="O50" s="1"/>
      <c r="P50" s="1"/>
      <c r="Q50" s="58" t="s">
        <v>3632</v>
      </c>
      <c r="R50" s="58" t="s">
        <v>3633</v>
      </c>
      <c r="S50" s="58" t="s">
        <v>3634</v>
      </c>
      <c r="T50" s="1"/>
      <c r="U50" s="1"/>
      <c r="V50" s="1"/>
    </row>
    <row r="51" spans="1:22" ht="57" customHeight="1">
      <c r="A51" s="1"/>
      <c r="B51" s="1"/>
      <c r="C51" s="1"/>
      <c r="D51" s="1"/>
      <c r="E51" s="1"/>
      <c r="F51" s="1"/>
      <c r="G51" s="1"/>
      <c r="H51" s="1"/>
      <c r="I51" s="1"/>
      <c r="J51" s="1"/>
      <c r="K51" s="1"/>
      <c r="L51" s="1"/>
      <c r="M51" s="1"/>
      <c r="N51" s="1"/>
      <c r="O51" s="1"/>
      <c r="P51" s="1"/>
      <c r="Q51" s="58" t="s">
        <v>3635</v>
      </c>
      <c r="R51" s="58" t="s">
        <v>3636</v>
      </c>
      <c r="S51" s="58" t="s">
        <v>3637</v>
      </c>
      <c r="T51" s="1"/>
      <c r="U51" s="1"/>
      <c r="V51" s="1"/>
    </row>
    <row r="52" spans="1:22" ht="57" customHeight="1">
      <c r="A52" s="1"/>
      <c r="B52" s="1"/>
      <c r="C52" s="1"/>
      <c r="D52" s="1"/>
      <c r="E52" s="1"/>
      <c r="F52" s="1"/>
      <c r="G52" s="1"/>
      <c r="H52" s="1"/>
      <c r="I52" s="1"/>
      <c r="J52" s="1"/>
      <c r="K52" s="1"/>
      <c r="L52" s="1"/>
      <c r="M52" s="1"/>
      <c r="N52" s="1"/>
      <c r="O52" s="1"/>
      <c r="P52" s="1"/>
      <c r="Q52" s="58" t="s">
        <v>3638</v>
      </c>
      <c r="R52" s="58" t="s">
        <v>3639</v>
      </c>
      <c r="S52" s="58" t="s">
        <v>3640</v>
      </c>
      <c r="T52" s="1"/>
      <c r="U52" s="1"/>
      <c r="V52" s="1"/>
    </row>
    <row r="53" spans="1:22">
      <c r="A53" s="1"/>
      <c r="B53" s="1"/>
      <c r="C53" s="1"/>
      <c r="D53" s="1"/>
      <c r="E53" s="1"/>
      <c r="F53" s="1"/>
      <c r="G53" s="1"/>
      <c r="H53" s="1"/>
      <c r="I53" s="1"/>
      <c r="J53" s="1"/>
      <c r="K53" s="1"/>
      <c r="L53" s="1"/>
      <c r="M53" s="1"/>
      <c r="N53" s="1"/>
      <c r="O53" s="1"/>
      <c r="P53" s="1"/>
      <c r="Q53" s="1"/>
      <c r="R53" s="1"/>
      <c r="S53" s="1"/>
      <c r="T53" s="1"/>
      <c r="U53" s="1"/>
      <c r="V53" s="1"/>
    </row>
    <row r="54" spans="1:22">
      <c r="A54" s="1"/>
      <c r="B54" s="1"/>
      <c r="C54" s="1"/>
      <c r="D54" s="1"/>
      <c r="E54" s="1"/>
      <c r="F54" s="1"/>
      <c r="G54" s="1"/>
      <c r="H54" s="1"/>
      <c r="I54" s="1"/>
      <c r="J54" s="1"/>
      <c r="K54" s="1"/>
      <c r="L54" s="1"/>
      <c r="M54" s="1"/>
      <c r="N54" s="1"/>
      <c r="O54" s="1"/>
      <c r="P54" s="1"/>
      <c r="Q54" s="1"/>
      <c r="R54" s="1"/>
      <c r="S54" s="1"/>
      <c r="T54" s="1"/>
      <c r="U54" s="1"/>
      <c r="V54" s="1"/>
    </row>
    <row r="55" spans="1:22" ht="15.75" customHeight="1">
      <c r="A55" s="50" t="s">
        <v>3641</v>
      </c>
      <c r="B55" s="1"/>
      <c r="C55" s="1"/>
      <c r="D55" s="1"/>
      <c r="E55" s="1"/>
      <c r="F55" s="1"/>
      <c r="G55" s="1"/>
      <c r="H55" s="1"/>
      <c r="I55" s="1"/>
      <c r="J55" s="1"/>
      <c r="K55" s="1"/>
      <c r="L55" s="1"/>
      <c r="M55" s="1"/>
      <c r="N55" s="1"/>
      <c r="O55" s="1"/>
      <c r="P55" s="1"/>
      <c r="Q55" s="1"/>
      <c r="R55" s="1"/>
      <c r="S55" s="1"/>
      <c r="T55" s="1"/>
      <c r="U55" s="1"/>
      <c r="V55" s="1"/>
    </row>
    <row r="56" spans="1:22" ht="25.5" customHeight="1">
      <c r="A56" s="16" t="s">
        <v>3642</v>
      </c>
      <c r="B56" s="16" t="s">
        <v>348</v>
      </c>
      <c r="C56" s="16" t="s">
        <v>3643</v>
      </c>
      <c r="D56" s="16" t="s">
        <v>17</v>
      </c>
      <c r="E56" s="1"/>
      <c r="F56" s="1"/>
      <c r="G56" s="1"/>
      <c r="H56" s="1"/>
      <c r="I56" s="1"/>
      <c r="J56" s="1"/>
      <c r="K56" s="1"/>
      <c r="L56" s="1"/>
      <c r="M56" s="1"/>
      <c r="N56" s="1"/>
      <c r="O56" s="1"/>
      <c r="P56" s="1"/>
      <c r="Q56" s="1"/>
      <c r="R56" s="1"/>
      <c r="S56" s="1"/>
      <c r="T56" s="1"/>
      <c r="U56" s="1"/>
      <c r="V56" s="1"/>
    </row>
    <row r="57" spans="1:22" ht="51" customHeight="1">
      <c r="A57" s="17" t="s">
        <v>3486</v>
      </c>
      <c r="B57" s="17" t="str">
        <f>_ENGINE_Strategy!$B$95</f>
        <v>Cloud and Infrastructure Resilience Strategy</v>
      </c>
      <c r="C57" s="17" t="s">
        <v>3644</v>
      </c>
      <c r="D57" s="17" t="s">
        <v>3645</v>
      </c>
      <c r="E57" s="1"/>
      <c r="F57" s="1"/>
      <c r="G57" s="1"/>
      <c r="H57" s="1"/>
      <c r="I57" s="1"/>
      <c r="J57" s="1"/>
      <c r="K57" s="1"/>
      <c r="L57" s="1"/>
      <c r="M57" s="1"/>
      <c r="N57" s="1"/>
      <c r="O57" s="1"/>
      <c r="P57" s="1"/>
      <c r="Q57" s="1"/>
      <c r="R57" s="1"/>
      <c r="S57" s="1"/>
      <c r="T57" s="1"/>
      <c r="U57" s="1"/>
      <c r="V57" s="1"/>
    </row>
    <row r="58" spans="1:22" ht="38.25" customHeight="1">
      <c r="A58" s="17" t="s">
        <v>3646</v>
      </c>
      <c r="B58" s="17">
        <f>'Resilience &amp; Risk Scenario'!$B$6</f>
        <v>0</v>
      </c>
      <c r="C58" s="17" t="s">
        <v>3647</v>
      </c>
      <c r="D58" s="17" t="s">
        <v>3648</v>
      </c>
      <c r="E58" s="1"/>
      <c r="F58" s="1"/>
      <c r="G58" s="1"/>
      <c r="H58" s="1"/>
      <c r="I58" s="1"/>
      <c r="J58" s="1"/>
      <c r="K58" s="1"/>
      <c r="L58" s="1"/>
      <c r="M58" s="1"/>
      <c r="N58" s="1"/>
      <c r="O58" s="1"/>
      <c r="P58" s="1"/>
      <c r="Q58" s="1"/>
      <c r="R58" s="1"/>
      <c r="S58" s="1"/>
      <c r="T58" s="1"/>
      <c r="U58" s="1"/>
      <c r="V58" s="1"/>
    </row>
    <row r="59" spans="1:22" ht="51" customHeight="1">
      <c r="A59" s="17" t="s">
        <v>3649</v>
      </c>
      <c r="B59" s="17">
        <f>COUNTIFS(_ENGINE_Initiatives!$BW$5:$BW$76,"&lt;=55")</f>
        <v>55</v>
      </c>
      <c r="C59" s="17" t="s">
        <v>3650</v>
      </c>
      <c r="D59" s="17" t="s">
        <v>3651</v>
      </c>
      <c r="E59" s="1"/>
      <c r="F59" s="1"/>
      <c r="G59" s="1"/>
      <c r="H59" s="1"/>
      <c r="I59" s="1"/>
      <c r="J59" s="1"/>
      <c r="K59" s="1"/>
      <c r="L59" s="1"/>
      <c r="M59" s="1"/>
      <c r="N59" s="1"/>
      <c r="O59" s="1"/>
      <c r="P59" s="1"/>
      <c r="Q59" s="1"/>
      <c r="R59" s="1"/>
      <c r="S59" s="1"/>
      <c r="T59" s="1"/>
      <c r="U59" s="1"/>
      <c r="V59" s="1"/>
    </row>
    <row r="60" spans="1:22" ht="38.25" customHeight="1">
      <c r="A60" s="17" t="s">
        <v>3487</v>
      </c>
      <c r="B60" s="17">
        <f>IFERROR(MAX(_ENGINE_Initiatives!$BV$5:$BV$76),"")</f>
        <v>2.64</v>
      </c>
      <c r="C60" s="17" t="s">
        <v>3652</v>
      </c>
      <c r="D60" s="17" t="s">
        <v>3653</v>
      </c>
      <c r="E60" s="1"/>
      <c r="F60" s="1"/>
      <c r="G60" s="1"/>
      <c r="H60" s="1"/>
      <c r="I60" s="1"/>
      <c r="J60" s="1"/>
      <c r="K60" s="1"/>
      <c r="L60" s="1"/>
      <c r="M60" s="1"/>
      <c r="N60" s="1"/>
      <c r="O60" s="1"/>
      <c r="P60" s="1"/>
      <c r="Q60" s="1"/>
      <c r="R60" s="1"/>
      <c r="S60" s="1"/>
      <c r="T60" s="1"/>
      <c r="U60" s="1"/>
      <c r="V60" s="1"/>
    </row>
    <row r="61" spans="1:22" ht="38.25" customHeight="1">
      <c r="A61" s="17" t="s">
        <v>3654</v>
      </c>
      <c r="B61" s="17">
        <f>COUNTIF(_ENGINE_Initiatives!$BX$5:$BX$76,"0-90 days")</f>
        <v>12</v>
      </c>
      <c r="C61" s="17" t="s">
        <v>3655</v>
      </c>
      <c r="D61" s="17" t="s">
        <v>3656</v>
      </c>
      <c r="E61" s="1"/>
      <c r="F61" s="1"/>
      <c r="G61" s="1"/>
      <c r="H61" s="1"/>
      <c r="I61" s="1"/>
      <c r="J61" s="1"/>
      <c r="K61" s="1"/>
      <c r="L61" s="1"/>
      <c r="M61" s="1"/>
      <c r="N61" s="1"/>
      <c r="O61" s="1"/>
      <c r="P61" s="1"/>
      <c r="Q61" s="1"/>
      <c r="R61" s="1"/>
      <c r="S61" s="1"/>
      <c r="T61" s="1"/>
      <c r="U61" s="1"/>
      <c r="V61" s="1"/>
    </row>
    <row r="62" spans="1:22" ht="38.25" customHeight="1">
      <c r="A62" s="17" t="s">
        <v>3657</v>
      </c>
      <c r="B62" s="17">
        <f>COUNTIF(_ENGINE_Initiatives!$BX$5:$BX$76,"3-6 months")</f>
        <v>20</v>
      </c>
      <c r="C62" s="17" t="s">
        <v>3655</v>
      </c>
      <c r="D62" s="17" t="s">
        <v>3658</v>
      </c>
      <c r="E62" s="1"/>
      <c r="F62" s="1"/>
      <c r="G62" s="1"/>
      <c r="H62" s="1"/>
      <c r="I62" s="1"/>
      <c r="J62" s="1"/>
      <c r="K62" s="1"/>
      <c r="L62" s="1"/>
      <c r="M62" s="1"/>
      <c r="N62" s="1"/>
      <c r="O62" s="1"/>
      <c r="P62" s="1"/>
      <c r="Q62" s="1"/>
      <c r="R62" s="1"/>
      <c r="S62" s="1"/>
      <c r="T62" s="1"/>
      <c r="U62" s="1"/>
      <c r="V62" s="1"/>
    </row>
    <row r="63" spans="1:22">
      <c r="A63" s="1"/>
      <c r="B63" s="1"/>
      <c r="C63" s="1"/>
      <c r="D63" s="1"/>
      <c r="E63" s="1"/>
      <c r="F63" s="1"/>
      <c r="G63" s="1"/>
      <c r="H63" s="1"/>
      <c r="I63" s="1"/>
      <c r="J63" s="1"/>
      <c r="K63" s="1"/>
      <c r="L63" s="1"/>
      <c r="M63" s="1"/>
      <c r="N63" s="1"/>
      <c r="O63" s="1"/>
      <c r="P63" s="1"/>
      <c r="Q63" s="1"/>
      <c r="R63" s="1"/>
      <c r="S63" s="1"/>
      <c r="T63" s="1"/>
      <c r="U63" s="1"/>
      <c r="V63" s="1"/>
    </row>
    <row r="64" spans="1:22" ht="15" customHeight="1">
      <c r="A64" s="53" t="s">
        <v>3659</v>
      </c>
      <c r="B64" s="1"/>
      <c r="C64" s="1"/>
      <c r="D64" s="1"/>
      <c r="E64" s="1"/>
      <c r="F64" s="1"/>
      <c r="G64" s="1"/>
      <c r="H64" s="1"/>
      <c r="I64" s="1"/>
      <c r="J64" s="1"/>
      <c r="K64" s="1"/>
      <c r="L64" s="1"/>
      <c r="M64" s="1"/>
      <c r="N64" s="1"/>
      <c r="O64" s="1"/>
      <c r="P64" s="1"/>
      <c r="Q64" s="1"/>
      <c r="R64" s="1"/>
      <c r="S64" s="1"/>
      <c r="T64" s="1"/>
      <c r="U64" s="1"/>
      <c r="V64" s="1"/>
    </row>
    <row r="65" spans="1:22" ht="28.5" customHeight="1">
      <c r="A65" s="13" t="s">
        <v>51</v>
      </c>
      <c r="B65" s="13" t="s">
        <v>3660</v>
      </c>
      <c r="C65" s="1"/>
      <c r="D65" s="1"/>
      <c r="E65" s="1"/>
      <c r="F65" s="1"/>
      <c r="G65" s="1"/>
      <c r="H65" s="1"/>
      <c r="I65" s="1"/>
      <c r="J65" s="1"/>
      <c r="K65" s="1"/>
      <c r="L65" s="1"/>
      <c r="M65" s="1"/>
      <c r="N65" s="1"/>
      <c r="O65" s="1"/>
      <c r="P65" s="1"/>
      <c r="Q65" s="1"/>
      <c r="R65" s="1"/>
      <c r="S65" s="1"/>
      <c r="T65" s="1"/>
      <c r="U65" s="1"/>
      <c r="V65" s="1"/>
    </row>
    <row r="66" spans="1:22" ht="42.75" customHeight="1">
      <c r="A66" s="13" t="s">
        <v>458</v>
      </c>
      <c r="B66" s="13" t="s">
        <v>3661</v>
      </c>
      <c r="C66" s="1"/>
      <c r="D66" s="1"/>
      <c r="E66" s="1"/>
      <c r="F66" s="1"/>
      <c r="G66" s="1"/>
      <c r="H66" s="1"/>
      <c r="I66" s="1"/>
      <c r="J66" s="1"/>
      <c r="K66" s="1"/>
      <c r="L66" s="1"/>
      <c r="M66" s="1"/>
      <c r="N66" s="1"/>
      <c r="O66" s="1"/>
      <c r="P66" s="1"/>
      <c r="Q66" s="1"/>
      <c r="R66" s="1"/>
      <c r="S66" s="1"/>
      <c r="T66" s="1"/>
      <c r="U66" s="1"/>
      <c r="V66" s="1"/>
    </row>
    <row r="67" spans="1:22" ht="42.75" customHeight="1">
      <c r="A67" s="13" t="s">
        <v>455</v>
      </c>
      <c r="B67" s="13" t="s">
        <v>3662</v>
      </c>
      <c r="C67" s="1"/>
      <c r="D67" s="1"/>
      <c r="E67" s="1"/>
      <c r="F67" s="1"/>
      <c r="G67" s="1"/>
      <c r="H67" s="1"/>
      <c r="I67" s="1"/>
      <c r="J67" s="1"/>
      <c r="K67" s="1"/>
      <c r="L67" s="1"/>
      <c r="M67" s="1"/>
      <c r="N67" s="1"/>
      <c r="O67" s="1"/>
      <c r="P67" s="1"/>
      <c r="Q67" s="1"/>
      <c r="R67" s="1"/>
      <c r="S67" s="1"/>
      <c r="T67" s="1"/>
      <c r="U67" s="1"/>
      <c r="V67" s="1"/>
    </row>
    <row r="68" spans="1:22" ht="42.75" customHeight="1">
      <c r="A68" s="13" t="s">
        <v>3663</v>
      </c>
      <c r="B68" s="13" t="s">
        <v>3664</v>
      </c>
      <c r="C68" s="1"/>
      <c r="D68" s="1"/>
      <c r="E68" s="1"/>
      <c r="F68" s="1"/>
      <c r="G68" s="1"/>
      <c r="H68" s="1"/>
      <c r="I68" s="1"/>
      <c r="J68" s="1"/>
      <c r="K68" s="1"/>
      <c r="L68" s="1"/>
      <c r="M68" s="1"/>
      <c r="N68" s="1"/>
      <c r="O68" s="1"/>
      <c r="P68" s="1"/>
      <c r="Q68" s="1"/>
      <c r="R68" s="1"/>
      <c r="S68" s="1"/>
      <c r="T68" s="1"/>
      <c r="U68" s="1"/>
      <c r="V68" s="1"/>
    </row>
    <row r="69" spans="1:22">
      <c r="A69" s="1"/>
      <c r="B69" s="1"/>
      <c r="C69" s="1"/>
      <c r="D69" s="1"/>
      <c r="E69" s="1"/>
      <c r="F69" s="1"/>
      <c r="G69" s="1"/>
      <c r="H69" s="1"/>
      <c r="I69" s="1"/>
      <c r="J69" s="1"/>
      <c r="K69" s="1"/>
      <c r="L69" s="1"/>
      <c r="M69" s="1"/>
      <c r="N69" s="1"/>
      <c r="O69" s="1"/>
      <c r="P69" s="1"/>
      <c r="Q69" s="1"/>
      <c r="R69" s="1"/>
      <c r="S69" s="1"/>
      <c r="T69" s="1"/>
      <c r="U69" s="1"/>
      <c r="V69" s="1"/>
    </row>
    <row r="70" spans="1:22">
      <c r="A70" s="1"/>
      <c r="B70" s="1"/>
      <c r="C70" s="1"/>
      <c r="D70" s="1"/>
      <c r="E70" s="1"/>
      <c r="F70" s="1"/>
      <c r="G70" s="1"/>
      <c r="H70" s="1"/>
      <c r="I70" s="1"/>
      <c r="J70" s="1"/>
      <c r="K70" s="1"/>
      <c r="L70" s="1"/>
      <c r="M70" s="1"/>
      <c r="N70" s="1"/>
      <c r="O70" s="1"/>
      <c r="P70" s="1"/>
      <c r="Q70" s="1"/>
      <c r="R70" s="1"/>
      <c r="S70" s="1"/>
      <c r="T70" s="1"/>
      <c r="U70" s="1"/>
      <c r="V70" s="1"/>
    </row>
    <row r="71" spans="1:22">
      <c r="A71" s="1"/>
      <c r="B71" s="1"/>
      <c r="C71" s="1"/>
      <c r="D71" s="1"/>
      <c r="E71" s="1"/>
      <c r="F71" s="1"/>
      <c r="G71" s="1"/>
      <c r="H71" s="1"/>
      <c r="I71" s="1"/>
      <c r="J71" s="1"/>
      <c r="K71" s="1"/>
      <c r="L71" s="1"/>
      <c r="M71" s="1"/>
      <c r="N71" s="1"/>
      <c r="O71" s="1"/>
      <c r="P71" s="1"/>
      <c r="Q71" s="1"/>
      <c r="R71" s="1"/>
      <c r="S71" s="1"/>
      <c r="T71" s="1"/>
      <c r="U71" s="1"/>
      <c r="V71" s="1"/>
    </row>
    <row r="72" spans="1:22" ht="15.75" customHeight="1">
      <c r="A72" s="51" t="s">
        <v>3665</v>
      </c>
      <c r="B72" s="1"/>
      <c r="C72" s="1"/>
      <c r="D72" s="1"/>
      <c r="E72" s="1"/>
      <c r="F72" s="1"/>
      <c r="G72" s="1"/>
      <c r="H72" s="1"/>
      <c r="I72" s="1"/>
      <c r="J72" s="1"/>
      <c r="K72" s="1"/>
      <c r="L72" s="1"/>
      <c r="M72" s="1"/>
      <c r="N72" s="1"/>
      <c r="O72" s="1"/>
      <c r="P72" s="1"/>
      <c r="Q72" s="1"/>
      <c r="R72" s="1"/>
      <c r="S72" s="1"/>
      <c r="T72" s="1"/>
      <c r="U72" s="1"/>
      <c r="V72" s="1"/>
    </row>
    <row r="73" spans="1:22" ht="30" customHeight="1">
      <c r="A73" s="21" t="s">
        <v>3666</v>
      </c>
      <c r="B73" s="22">
        <f>PV_Canonical_Industry</f>
        <v>0</v>
      </c>
      <c r="C73" s="1"/>
      <c r="D73" s="15" t="s">
        <v>764</v>
      </c>
      <c r="E73" s="15" t="s">
        <v>3667</v>
      </c>
      <c r="F73" s="15" t="s">
        <v>3381</v>
      </c>
      <c r="G73" s="15" t="s">
        <v>777</v>
      </c>
      <c r="H73" s="15" t="s">
        <v>3393</v>
      </c>
      <c r="I73" s="1"/>
      <c r="J73" s="1"/>
      <c r="K73" s="1"/>
      <c r="L73" s="1"/>
      <c r="M73" s="1"/>
      <c r="N73" s="1"/>
      <c r="O73" s="1"/>
      <c r="P73" s="1"/>
      <c r="Q73" s="1"/>
      <c r="R73" s="1"/>
      <c r="S73" s="1"/>
      <c r="T73" s="1"/>
      <c r="U73" s="1"/>
      <c r="V73" s="1"/>
    </row>
    <row r="74" spans="1:22" ht="28.5" customHeight="1">
      <c r="A74" s="21" t="s">
        <v>3383</v>
      </c>
      <c r="B74" s="22">
        <f>_DATA_Dashboard_Facts!$Q$294</f>
        <v>0</v>
      </c>
      <c r="C74" s="1"/>
      <c r="D74" s="23" t="s">
        <v>815</v>
      </c>
      <c r="E74" s="23">
        <f>IFERROR(INDEX(_DATA_Dashboard_Facts!$C$300:$C$316,MATCH($D74,_DATA_Dashboard_Facts!$A$300:$A$316,0)),"")</f>
        <v>0</v>
      </c>
      <c r="F74" s="23">
        <f>IFERROR(INDEX(_DATA_Dashboard_Facts!$F$300:$F$316,MATCH($D74,_DATA_Dashboard_Facts!$A$300:$A$316,0)),"")</f>
        <v>0</v>
      </c>
      <c r="G74" s="23">
        <f>IFERROR(INDEX(_DATA_Dashboard_Facts!$G$300:$G$316,MATCH($D74,_DATA_Dashboard_Facts!$A$300:$A$316,0)),"")</f>
        <v>0</v>
      </c>
      <c r="H74" s="23" t="str">
        <f>IFERROR(INDEX(_DATA_Dashboard_Facts!$K$300:$K$316,MATCH($D74,_DATA_Dashboard_Facts!$A$300:$A$316,0)),"")</f>
        <v>OK</v>
      </c>
      <c r="I74" s="1"/>
      <c r="J74" s="1"/>
      <c r="K74" s="1"/>
      <c r="L74" s="1"/>
      <c r="M74" s="1"/>
      <c r="N74" s="1"/>
      <c r="O74" s="1"/>
      <c r="P74" s="1"/>
      <c r="Q74" s="1"/>
      <c r="R74" s="1"/>
      <c r="S74" s="1"/>
      <c r="T74" s="1"/>
      <c r="U74" s="1"/>
      <c r="V74" s="1"/>
    </row>
    <row r="75" spans="1:22" ht="15" customHeight="1">
      <c r="A75" s="21" t="s">
        <v>3385</v>
      </c>
      <c r="B75" s="22">
        <f>_DATA_Dashboard_Facts!$Q$295</f>
        <v>0</v>
      </c>
      <c r="C75" s="1"/>
      <c r="D75" s="14" t="s">
        <v>949</v>
      </c>
      <c r="E75" s="14">
        <f>IFERROR(INDEX(_DATA_Dashboard_Facts!$C$300:$C$316,MATCH($D75,_DATA_Dashboard_Facts!$A$300:$A$316,0)),"")</f>
        <v>0</v>
      </c>
      <c r="F75" s="14">
        <f>IFERROR(INDEX(_DATA_Dashboard_Facts!$F$300:$F$316,MATCH($D75,_DATA_Dashboard_Facts!$A$300:$A$316,0)),"")</f>
        <v>0</v>
      </c>
      <c r="G75" s="14">
        <f>IFERROR(INDEX(_DATA_Dashboard_Facts!$G$300:$G$316,MATCH($D75,_DATA_Dashboard_Facts!$A$300:$A$316,0)),"")</f>
        <v>0</v>
      </c>
      <c r="H75" s="14" t="str">
        <f>IFERROR(INDEX(_DATA_Dashboard_Facts!$K$300:$K$316,MATCH($D75,_DATA_Dashboard_Facts!$A$300:$A$316,0)),"")</f>
        <v>OK</v>
      </c>
      <c r="I75" s="1"/>
      <c r="J75" s="1"/>
      <c r="K75" s="1"/>
      <c r="L75" s="1"/>
      <c r="M75" s="1"/>
      <c r="N75" s="1"/>
      <c r="O75" s="1"/>
      <c r="P75" s="1"/>
      <c r="Q75" s="1"/>
      <c r="R75" s="1"/>
      <c r="S75" s="1"/>
      <c r="T75" s="1"/>
      <c r="U75" s="1"/>
      <c r="V75" s="1"/>
    </row>
    <row r="76" spans="1:22" ht="28.5" customHeight="1">
      <c r="A76" s="21" t="s">
        <v>3668</v>
      </c>
      <c r="B76" s="22">
        <f>_DATA_Dashboard_Facts!$Q$296</f>
        <v>0</v>
      </c>
      <c r="C76" s="1"/>
      <c r="D76" s="23" t="s">
        <v>1150</v>
      </c>
      <c r="E76" s="23">
        <f>IFERROR(INDEX(_DATA_Dashboard_Facts!$C$300:$C$316,MATCH($D76,_DATA_Dashboard_Facts!$A$300:$A$316,0)),"")</f>
        <v>0</v>
      </c>
      <c r="F76" s="23">
        <f>IFERROR(INDEX(_DATA_Dashboard_Facts!$F$300:$F$316,MATCH($D76,_DATA_Dashboard_Facts!$A$300:$A$316,0)),"")</f>
        <v>0</v>
      </c>
      <c r="G76" s="23">
        <f>IFERROR(INDEX(_DATA_Dashboard_Facts!$G$300:$G$316,MATCH($D76,_DATA_Dashboard_Facts!$A$300:$A$316,0)),"")</f>
        <v>0</v>
      </c>
      <c r="H76" s="23" t="str">
        <f>IFERROR(INDEX(_DATA_Dashboard_Facts!$K$300:$K$316,MATCH($D76,_DATA_Dashboard_Facts!$A$300:$A$316,0)),"")</f>
        <v>OK</v>
      </c>
      <c r="I76" s="1"/>
      <c r="J76" s="1"/>
      <c r="K76" s="1"/>
      <c r="L76" s="1"/>
      <c r="M76" s="1"/>
      <c r="N76" s="1"/>
      <c r="O76" s="1"/>
      <c r="P76" s="1"/>
      <c r="Q76" s="1"/>
      <c r="R76" s="1"/>
      <c r="S76" s="1"/>
      <c r="T76" s="1"/>
      <c r="U76" s="1"/>
      <c r="V76" s="1"/>
    </row>
    <row r="77" spans="1:22" ht="15" customHeight="1">
      <c r="A77" s="21" t="s">
        <v>3669</v>
      </c>
      <c r="B77" s="22" t="str">
        <f>_ENGINE_Strategy!$B$95</f>
        <v>Cloud and Infrastructure Resilience Strategy</v>
      </c>
      <c r="C77" s="1"/>
      <c r="D77" s="14" t="s">
        <v>1259</v>
      </c>
      <c r="E77" s="14">
        <f>IFERROR(INDEX(_DATA_Dashboard_Facts!$C$300:$C$316,MATCH($D77,_DATA_Dashboard_Facts!$A$300:$A$316,0)),"")</f>
        <v>0</v>
      </c>
      <c r="F77" s="14">
        <f>IFERROR(INDEX(_DATA_Dashboard_Facts!$F$300:$F$316,MATCH($D77,_DATA_Dashboard_Facts!$A$300:$A$316,0)),"")</f>
        <v>0</v>
      </c>
      <c r="G77" s="14">
        <f>IFERROR(INDEX(_DATA_Dashboard_Facts!$G$300:$G$316,MATCH($D77,_DATA_Dashboard_Facts!$A$300:$A$316,0)),"")</f>
        <v>0</v>
      </c>
      <c r="H77" s="14" t="str">
        <f>IFERROR(INDEX(_DATA_Dashboard_Facts!$K$300:$K$316,MATCH($D77,_DATA_Dashboard_Facts!$A$300:$A$316,0)),"")</f>
        <v>OK</v>
      </c>
      <c r="I77" s="1"/>
      <c r="J77" s="1"/>
      <c r="K77" s="1"/>
      <c r="L77" s="1"/>
      <c r="M77" s="1"/>
      <c r="N77" s="1"/>
      <c r="O77" s="1"/>
      <c r="P77" s="1"/>
      <c r="Q77" s="1"/>
      <c r="R77" s="1"/>
      <c r="S77" s="1"/>
      <c r="T77" s="1"/>
      <c r="U77" s="1"/>
      <c r="V77" s="1"/>
    </row>
    <row r="78" spans="1:22" ht="28.5" customHeight="1">
      <c r="A78" s="1"/>
      <c r="B78" s="1"/>
      <c r="C78" s="1"/>
      <c r="D78" s="23" t="s">
        <v>1401</v>
      </c>
      <c r="E78" s="23">
        <f>IFERROR(INDEX(_DATA_Dashboard_Facts!$C$300:$C$316,MATCH($D78,_DATA_Dashboard_Facts!$A$300:$A$316,0)),"")</f>
        <v>0</v>
      </c>
      <c r="F78" s="23">
        <f>IFERROR(INDEX(_DATA_Dashboard_Facts!$F$300:$F$316,MATCH($D78,_DATA_Dashboard_Facts!$A$300:$A$316,0)),"")</f>
        <v>0</v>
      </c>
      <c r="G78" s="23">
        <f>IFERROR(INDEX(_DATA_Dashboard_Facts!$G$300:$G$316,MATCH($D78,_DATA_Dashboard_Facts!$A$300:$A$316,0)),"")</f>
        <v>0</v>
      </c>
      <c r="H78" s="23" t="str">
        <f>IFERROR(INDEX(_DATA_Dashboard_Facts!$K$300:$K$316,MATCH($D78,_DATA_Dashboard_Facts!$A$300:$A$316,0)),"")</f>
        <v>OK</v>
      </c>
      <c r="I78" s="1"/>
      <c r="J78" s="1"/>
      <c r="K78" s="1"/>
      <c r="L78" s="1"/>
      <c r="M78" s="1"/>
      <c r="N78" s="1"/>
      <c r="O78" s="1"/>
      <c r="P78" s="1"/>
      <c r="Q78" s="1"/>
      <c r="R78" s="1"/>
      <c r="S78" s="1"/>
      <c r="T78" s="1"/>
      <c r="U78" s="1"/>
      <c r="V78" s="1"/>
    </row>
    <row r="79" spans="1:22">
      <c r="A79" s="1"/>
      <c r="B79" s="1"/>
      <c r="C79" s="1"/>
      <c r="D79" s="14" t="s">
        <v>1551</v>
      </c>
      <c r="E79" s="14">
        <f>IFERROR(INDEX(_DATA_Dashboard_Facts!$C$300:$C$316,MATCH($D79,_DATA_Dashboard_Facts!$A$300:$A$316,0)),"")</f>
        <v>0</v>
      </c>
      <c r="F79" s="14">
        <f>IFERROR(INDEX(_DATA_Dashboard_Facts!$F$300:$F$316,MATCH($D79,_DATA_Dashboard_Facts!$A$300:$A$316,0)),"")</f>
        <v>0</v>
      </c>
      <c r="G79" s="14">
        <f>IFERROR(INDEX(_DATA_Dashboard_Facts!$G$300:$G$316,MATCH($D79,_DATA_Dashboard_Facts!$A$300:$A$316,0)),"")</f>
        <v>0</v>
      </c>
      <c r="H79" s="14" t="str">
        <f>IFERROR(INDEX(_DATA_Dashboard_Facts!$K$300:$K$316,MATCH($D79,_DATA_Dashboard_Facts!$A$300:$A$316,0)),"")</f>
        <v>OK</v>
      </c>
      <c r="I79" s="1"/>
      <c r="J79" s="1"/>
      <c r="K79" s="1"/>
      <c r="L79" s="1"/>
      <c r="M79" s="1"/>
      <c r="N79" s="1"/>
      <c r="O79" s="1"/>
      <c r="P79" s="1"/>
      <c r="Q79" s="1"/>
      <c r="R79" s="1"/>
      <c r="S79" s="1"/>
      <c r="T79" s="1"/>
      <c r="U79" s="1"/>
      <c r="V79" s="1"/>
    </row>
    <row r="80" spans="1:22" ht="28.5" customHeight="1">
      <c r="A80" s="1"/>
      <c r="B80" s="1"/>
      <c r="C80" s="1"/>
      <c r="D80" s="23" t="s">
        <v>1666</v>
      </c>
      <c r="E80" s="23">
        <f>IFERROR(INDEX(_DATA_Dashboard_Facts!$C$300:$C$316,MATCH($D80,_DATA_Dashboard_Facts!$A$300:$A$316,0)),"")</f>
        <v>0</v>
      </c>
      <c r="F80" s="23">
        <f>IFERROR(INDEX(_DATA_Dashboard_Facts!$F$300:$F$316,MATCH($D80,_DATA_Dashboard_Facts!$A$300:$A$316,0)),"")</f>
        <v>0</v>
      </c>
      <c r="G80" s="23">
        <f>IFERROR(INDEX(_DATA_Dashboard_Facts!$G$300:$G$316,MATCH($D80,_DATA_Dashboard_Facts!$A$300:$A$316,0)),"")</f>
        <v>0</v>
      </c>
      <c r="H80" s="23" t="str">
        <f>IFERROR(INDEX(_DATA_Dashboard_Facts!$K$300:$K$316,MATCH($D80,_DATA_Dashboard_Facts!$A$300:$A$316,0)),"")</f>
        <v>OK</v>
      </c>
      <c r="I80" s="1"/>
      <c r="J80" s="1"/>
      <c r="K80" s="1"/>
      <c r="L80" s="1"/>
      <c r="M80" s="1"/>
      <c r="N80" s="1"/>
      <c r="O80" s="1"/>
      <c r="P80" s="1"/>
      <c r="Q80" s="1"/>
      <c r="R80" s="1"/>
      <c r="S80" s="1"/>
      <c r="T80" s="1"/>
      <c r="U80" s="1"/>
      <c r="V80" s="1"/>
    </row>
    <row r="81" spans="1:22">
      <c r="A81" s="1"/>
      <c r="B81" s="1"/>
      <c r="C81" s="1"/>
      <c r="D81" s="14" t="s">
        <v>1859</v>
      </c>
      <c r="E81" s="14">
        <f>IFERROR(INDEX(_DATA_Dashboard_Facts!$C$300:$C$316,MATCH($D81,_DATA_Dashboard_Facts!$A$300:$A$316,0)),"")</f>
        <v>0</v>
      </c>
      <c r="F81" s="14">
        <f>IFERROR(INDEX(_DATA_Dashboard_Facts!$F$300:$F$316,MATCH($D81,_DATA_Dashboard_Facts!$A$300:$A$316,0)),"")</f>
        <v>0</v>
      </c>
      <c r="G81" s="14">
        <f>IFERROR(INDEX(_DATA_Dashboard_Facts!$G$300:$G$316,MATCH($D81,_DATA_Dashboard_Facts!$A$300:$A$316,0)),"")</f>
        <v>0</v>
      </c>
      <c r="H81" s="14" t="str">
        <f>IFERROR(INDEX(_DATA_Dashboard_Facts!$K$300:$K$316,MATCH($D81,_DATA_Dashboard_Facts!$A$300:$A$316,0)),"")</f>
        <v>OK</v>
      </c>
      <c r="I81" s="1"/>
      <c r="J81" s="1"/>
      <c r="K81" s="1"/>
      <c r="L81" s="1"/>
      <c r="M81" s="1"/>
      <c r="N81" s="1"/>
      <c r="O81" s="1"/>
      <c r="P81" s="1"/>
      <c r="Q81" s="1"/>
      <c r="R81" s="1"/>
      <c r="S81" s="1"/>
      <c r="T81" s="1"/>
      <c r="U81" s="1"/>
      <c r="V81" s="1"/>
    </row>
    <row r="82" spans="1:22">
      <c r="A82" s="1"/>
      <c r="B82" s="1"/>
      <c r="C82" s="1"/>
      <c r="D82" s="23" t="s">
        <v>1987</v>
      </c>
      <c r="E82" s="23">
        <f>IFERROR(INDEX(_DATA_Dashboard_Facts!$C$300:$C$316,MATCH($D82,_DATA_Dashboard_Facts!$A$300:$A$316,0)),"")</f>
        <v>0</v>
      </c>
      <c r="F82" s="23">
        <f>IFERROR(INDEX(_DATA_Dashboard_Facts!$F$300:$F$316,MATCH($D82,_DATA_Dashboard_Facts!$A$300:$A$316,0)),"")</f>
        <v>0</v>
      </c>
      <c r="G82" s="23">
        <f>IFERROR(INDEX(_DATA_Dashboard_Facts!$G$300:$G$316,MATCH($D82,_DATA_Dashboard_Facts!$A$300:$A$316,0)),"")</f>
        <v>0</v>
      </c>
      <c r="H82" s="23" t="str">
        <f>IFERROR(INDEX(_DATA_Dashboard_Facts!$K$300:$K$316,MATCH($D82,_DATA_Dashboard_Facts!$A$300:$A$316,0)),"")</f>
        <v>OK</v>
      </c>
      <c r="I82" s="1"/>
      <c r="J82" s="1"/>
      <c r="K82" s="1"/>
      <c r="L82" s="1"/>
      <c r="M82" s="1"/>
      <c r="N82" s="1"/>
      <c r="O82" s="1"/>
      <c r="P82" s="1"/>
      <c r="Q82" s="1"/>
      <c r="R82" s="1"/>
      <c r="S82" s="1"/>
      <c r="T82" s="1"/>
      <c r="U82" s="1"/>
      <c r="V82" s="1"/>
    </row>
    <row r="83" spans="1:22" ht="28.5" customHeight="1">
      <c r="A83" s="1"/>
      <c r="B83" s="1"/>
      <c r="C83" s="1"/>
      <c r="D83" s="14" t="s">
        <v>2145</v>
      </c>
      <c r="E83" s="14">
        <f>IFERROR(INDEX(_DATA_Dashboard_Facts!$C$300:$C$316,MATCH($D83,_DATA_Dashboard_Facts!$A$300:$A$316,0)),"")</f>
        <v>0</v>
      </c>
      <c r="F83" s="14">
        <f>IFERROR(INDEX(_DATA_Dashboard_Facts!$F$300:$F$316,MATCH($D83,_DATA_Dashboard_Facts!$A$300:$A$316,0)),"")</f>
        <v>0</v>
      </c>
      <c r="G83" s="14">
        <f>IFERROR(INDEX(_DATA_Dashboard_Facts!$G$300:$G$316,MATCH($D83,_DATA_Dashboard_Facts!$A$300:$A$316,0)),"")</f>
        <v>0</v>
      </c>
      <c r="H83" s="14" t="str">
        <f>IFERROR(INDEX(_DATA_Dashboard_Facts!$K$300:$K$316,MATCH($D83,_DATA_Dashboard_Facts!$A$300:$A$316,0)),"")</f>
        <v>OK</v>
      </c>
      <c r="I83" s="1"/>
      <c r="J83" s="1"/>
      <c r="K83" s="1"/>
      <c r="L83" s="1"/>
      <c r="M83" s="1"/>
      <c r="N83" s="1"/>
      <c r="O83" s="1"/>
      <c r="P83" s="1"/>
      <c r="Q83" s="1"/>
      <c r="R83" s="1"/>
      <c r="S83" s="1"/>
      <c r="T83" s="1"/>
      <c r="U83" s="1"/>
      <c r="V83" s="1"/>
    </row>
    <row r="84" spans="1:22">
      <c r="A84" s="24" t="s">
        <v>3670</v>
      </c>
      <c r="B84" s="52"/>
      <c r="C84" s="1"/>
      <c r="D84" s="23" t="s">
        <v>2286</v>
      </c>
      <c r="E84" s="23">
        <f>IFERROR(INDEX(_DATA_Dashboard_Facts!$C$300:$C$316,MATCH($D84,_DATA_Dashboard_Facts!$A$300:$A$316,0)),"")</f>
        <v>0</v>
      </c>
      <c r="F84" s="23">
        <f>IFERROR(INDEX(_DATA_Dashboard_Facts!$F$300:$F$316,MATCH($D84,_DATA_Dashboard_Facts!$A$300:$A$316,0)),"")</f>
        <v>0</v>
      </c>
      <c r="G84" s="23">
        <f>IFERROR(INDEX(_DATA_Dashboard_Facts!$G$300:$G$316,MATCH($D84,_DATA_Dashboard_Facts!$A$300:$A$316,0)),"")</f>
        <v>0</v>
      </c>
      <c r="H84" s="23" t="str">
        <f>IFERROR(INDEX(_DATA_Dashboard_Facts!$K$300:$K$316,MATCH($D84,_DATA_Dashboard_Facts!$A$300:$A$316,0)),"")</f>
        <v>OK</v>
      </c>
      <c r="I84" s="1"/>
      <c r="J84" s="1"/>
      <c r="K84" s="1"/>
      <c r="L84" s="1"/>
      <c r="M84" s="1"/>
      <c r="N84" s="1"/>
      <c r="O84" s="1"/>
      <c r="P84" s="1"/>
      <c r="Q84" s="1"/>
      <c r="R84" s="1"/>
      <c r="S84" s="1"/>
      <c r="T84" s="1"/>
      <c r="U84" s="1"/>
      <c r="V84" s="1"/>
    </row>
    <row r="85" spans="1:22" ht="171" customHeight="1">
      <c r="A85" s="14" t="s">
        <v>455</v>
      </c>
      <c r="B85" s="14" t="s">
        <v>3671</v>
      </c>
      <c r="C85" s="1"/>
      <c r="D85" s="14" t="s">
        <v>2473</v>
      </c>
      <c r="E85" s="14">
        <f>IFERROR(INDEX(_DATA_Dashboard_Facts!$C$300:$C$316,MATCH($D85,_DATA_Dashboard_Facts!$A$300:$A$316,0)),"")</f>
        <v>0</v>
      </c>
      <c r="F85" s="14">
        <f>IFERROR(INDEX(_DATA_Dashboard_Facts!$F$300:$F$316,MATCH($D85,_DATA_Dashboard_Facts!$A$300:$A$316,0)),"")</f>
        <v>0</v>
      </c>
      <c r="G85" s="14">
        <f>IFERROR(INDEX(_DATA_Dashboard_Facts!$G$300:$G$316,MATCH($D85,_DATA_Dashboard_Facts!$A$300:$A$316,0)),"")</f>
        <v>0</v>
      </c>
      <c r="H85" s="14" t="str">
        <f>IFERROR(INDEX(_DATA_Dashboard_Facts!$K$300:$K$316,MATCH($D85,_DATA_Dashboard_Facts!$A$300:$A$316,0)),"")</f>
        <v>OK</v>
      </c>
      <c r="I85" s="1"/>
      <c r="J85" s="1"/>
      <c r="K85" s="1"/>
      <c r="L85" s="1"/>
      <c r="M85" s="1"/>
      <c r="N85" s="1"/>
      <c r="O85" s="1"/>
      <c r="P85" s="1"/>
      <c r="Q85" s="1"/>
      <c r="R85" s="1"/>
      <c r="S85" s="1"/>
      <c r="T85" s="1"/>
      <c r="U85" s="1"/>
      <c r="V85" s="1"/>
    </row>
    <row r="86" spans="1:22" ht="156.75" customHeight="1">
      <c r="A86" s="14" t="s">
        <v>3559</v>
      </c>
      <c r="B86" s="14" t="s">
        <v>3672</v>
      </c>
      <c r="C86" s="1"/>
      <c r="D86" s="23" t="s">
        <v>2588</v>
      </c>
      <c r="E86" s="23">
        <f>IFERROR(INDEX(_DATA_Dashboard_Facts!$C$300:$C$316,MATCH($D86,_DATA_Dashboard_Facts!$A$300:$A$316,0)),"")</f>
        <v>0</v>
      </c>
      <c r="F86" s="23">
        <f>IFERROR(INDEX(_DATA_Dashboard_Facts!$F$300:$F$316,MATCH($D86,_DATA_Dashboard_Facts!$A$300:$A$316,0)),"")</f>
        <v>0</v>
      </c>
      <c r="G86" s="23">
        <f>IFERROR(INDEX(_DATA_Dashboard_Facts!$G$300:$G$316,MATCH($D86,_DATA_Dashboard_Facts!$A$300:$A$316,0)),"")</f>
        <v>0</v>
      </c>
      <c r="H86" s="23" t="str">
        <f>IFERROR(INDEX(_DATA_Dashboard_Facts!$K$300:$K$316,MATCH($D86,_DATA_Dashboard_Facts!$A$300:$A$316,0)),"")</f>
        <v>OK</v>
      </c>
      <c r="I86" s="1"/>
      <c r="J86" s="1"/>
      <c r="K86" s="1"/>
      <c r="L86" s="1"/>
      <c r="M86" s="1"/>
      <c r="N86" s="1"/>
      <c r="O86" s="1"/>
      <c r="P86" s="1"/>
      <c r="Q86" s="1"/>
      <c r="R86" s="1"/>
      <c r="S86" s="1"/>
      <c r="T86" s="1"/>
      <c r="U86" s="1"/>
      <c r="V86" s="1"/>
    </row>
    <row r="87" spans="1:22" ht="28.5" customHeight="1">
      <c r="A87" s="1"/>
      <c r="B87" s="1"/>
      <c r="C87" s="1"/>
      <c r="D87" s="14" t="s">
        <v>2729</v>
      </c>
      <c r="E87" s="14">
        <f>IFERROR(INDEX(_DATA_Dashboard_Facts!$C$300:$C$316,MATCH($D87,_DATA_Dashboard_Facts!$A$300:$A$316,0)),"")</f>
        <v>0</v>
      </c>
      <c r="F87" s="14">
        <f>IFERROR(INDEX(_DATA_Dashboard_Facts!$F$300:$F$316,MATCH($D87,_DATA_Dashboard_Facts!$A$300:$A$316,0)),"")</f>
        <v>0</v>
      </c>
      <c r="G87" s="14">
        <f>IFERROR(INDEX(_DATA_Dashboard_Facts!$G$300:$G$316,MATCH($D87,_DATA_Dashboard_Facts!$A$300:$A$316,0)),"")</f>
        <v>0</v>
      </c>
      <c r="H87" s="14" t="str">
        <f>IFERROR(INDEX(_DATA_Dashboard_Facts!$K$300:$K$316,MATCH($D87,_DATA_Dashboard_Facts!$A$300:$A$316,0)),"")</f>
        <v>OK</v>
      </c>
      <c r="I87" s="1"/>
      <c r="J87" s="1"/>
      <c r="K87" s="1"/>
      <c r="L87" s="1"/>
      <c r="M87" s="1"/>
      <c r="N87" s="1"/>
      <c r="O87" s="1"/>
      <c r="P87" s="1"/>
      <c r="Q87" s="1"/>
      <c r="R87" s="1"/>
      <c r="S87" s="1"/>
      <c r="T87" s="1"/>
      <c r="U87" s="1"/>
      <c r="V87" s="1"/>
    </row>
    <row r="88" spans="1:22">
      <c r="A88" s="1"/>
      <c r="B88" s="1"/>
      <c r="C88" s="1"/>
      <c r="D88" s="23" t="s">
        <v>2824</v>
      </c>
      <c r="E88" s="23">
        <f>IFERROR(INDEX(_DATA_Dashboard_Facts!$C$300:$C$316,MATCH($D88,_DATA_Dashboard_Facts!$A$300:$A$316,0)),"")</f>
        <v>0</v>
      </c>
      <c r="F88" s="23">
        <f>IFERROR(INDEX(_DATA_Dashboard_Facts!$F$300:$F$316,MATCH($D88,_DATA_Dashboard_Facts!$A$300:$A$316,0)),"")</f>
        <v>0</v>
      </c>
      <c r="G88" s="23">
        <f>IFERROR(INDEX(_DATA_Dashboard_Facts!$G$300:$G$316,MATCH($D88,_DATA_Dashboard_Facts!$A$300:$A$316,0)),"")</f>
        <v>0</v>
      </c>
      <c r="H88" s="23" t="str">
        <f>IFERROR(INDEX(_DATA_Dashboard_Facts!$K$300:$K$316,MATCH($D88,_DATA_Dashboard_Facts!$A$300:$A$316,0)),"")</f>
        <v>OK</v>
      </c>
      <c r="I88" s="1"/>
      <c r="J88" s="1"/>
      <c r="K88" s="1"/>
      <c r="L88" s="1"/>
      <c r="M88" s="1"/>
      <c r="N88" s="1"/>
      <c r="O88" s="1"/>
      <c r="P88" s="1"/>
      <c r="Q88" s="1"/>
      <c r="R88" s="1"/>
      <c r="S88" s="1"/>
      <c r="T88" s="1"/>
      <c r="U88" s="1"/>
      <c r="V88" s="1"/>
    </row>
    <row r="89" spans="1:22">
      <c r="A89" s="1"/>
      <c r="B89" s="1"/>
      <c r="C89" s="1"/>
      <c r="D89" s="14" t="s">
        <v>2986</v>
      </c>
      <c r="E89" s="14">
        <f>IFERROR(INDEX(_DATA_Dashboard_Facts!$C$300:$C$316,MATCH($D89,_DATA_Dashboard_Facts!$A$300:$A$316,0)),"")</f>
        <v>0</v>
      </c>
      <c r="F89" s="14">
        <f>IFERROR(INDEX(_DATA_Dashboard_Facts!$F$300:$F$316,MATCH($D89,_DATA_Dashboard_Facts!$A$300:$A$316,0)),"")</f>
        <v>0</v>
      </c>
      <c r="G89" s="14">
        <f>IFERROR(INDEX(_DATA_Dashboard_Facts!$G$300:$G$316,MATCH($D89,_DATA_Dashboard_Facts!$A$300:$A$316,0)),"")</f>
        <v>0</v>
      </c>
      <c r="H89" s="14" t="str">
        <f>IFERROR(INDEX(_DATA_Dashboard_Facts!$K$300:$K$316,MATCH($D89,_DATA_Dashboard_Facts!$A$300:$A$316,0)),"")</f>
        <v>OK</v>
      </c>
      <c r="I89" s="1"/>
      <c r="J89" s="1"/>
      <c r="K89" s="1"/>
      <c r="L89" s="1"/>
      <c r="M89" s="1"/>
      <c r="N89" s="1"/>
      <c r="O89" s="1"/>
      <c r="P89" s="1"/>
      <c r="Q89" s="1"/>
      <c r="R89" s="1"/>
      <c r="S89" s="1"/>
      <c r="T89" s="1"/>
      <c r="U89" s="1"/>
      <c r="V89" s="1"/>
    </row>
    <row r="90" spans="1:22" ht="28.5" customHeight="1">
      <c r="A90" s="1"/>
      <c r="B90" s="1"/>
      <c r="C90" s="1"/>
      <c r="D90" s="23" t="s">
        <v>3204</v>
      </c>
      <c r="E90" s="23">
        <f>IFERROR(INDEX(_DATA_Dashboard_Facts!$C$300:$C$316,MATCH($D90,_DATA_Dashboard_Facts!$A$300:$A$316,0)),"")</f>
        <v>0</v>
      </c>
      <c r="F90" s="23">
        <f>IFERROR(INDEX(_DATA_Dashboard_Facts!$F$300:$F$316,MATCH($D90,_DATA_Dashboard_Facts!$A$300:$A$316,0)),"")</f>
        <v>0</v>
      </c>
      <c r="G90" s="23">
        <f>IFERROR(INDEX(_DATA_Dashboard_Facts!$G$300:$G$316,MATCH($D90,_DATA_Dashboard_Facts!$A$300:$A$316,0)),"")</f>
        <v>0</v>
      </c>
      <c r="H90" s="23" t="str">
        <f>IFERROR(INDEX(_DATA_Dashboard_Facts!$K$300:$K$316,MATCH($D90,_DATA_Dashboard_Facts!$A$300:$A$316,0)),"")</f>
        <v>OK</v>
      </c>
      <c r="I90" s="1"/>
      <c r="J90" s="1"/>
      <c r="K90" s="1"/>
      <c r="L90" s="1"/>
      <c r="M90" s="1"/>
      <c r="N90" s="1"/>
      <c r="O90" s="1"/>
      <c r="P90" s="1"/>
      <c r="Q90" s="1"/>
      <c r="R90" s="1"/>
      <c r="S90" s="1"/>
      <c r="T90" s="1"/>
      <c r="U90" s="1"/>
      <c r="V90" s="1"/>
    </row>
    <row r="110" spans="1:22" ht="24" customHeight="1">
      <c r="A110" s="57" t="s">
        <v>3673</v>
      </c>
      <c r="B110" s="55"/>
      <c r="C110" s="55"/>
      <c r="D110" s="55"/>
      <c r="E110" s="55"/>
      <c r="F110" s="55"/>
      <c r="G110" s="55"/>
      <c r="H110" s="52"/>
      <c r="I110" s="18"/>
      <c r="J110" s="18"/>
      <c r="K110" s="18"/>
      <c r="L110" s="18"/>
      <c r="M110" s="18"/>
      <c r="N110" s="18"/>
      <c r="O110" s="18"/>
      <c r="P110" s="18"/>
      <c r="Q110" s="18"/>
      <c r="R110" s="18"/>
      <c r="S110" s="18"/>
      <c r="T110" s="18"/>
      <c r="U110" s="18"/>
      <c r="V110" s="18"/>
    </row>
    <row r="111" spans="1:22" ht="33.9" customHeight="1">
      <c r="A111" s="56" t="s">
        <v>3674</v>
      </c>
      <c r="B111" s="55"/>
      <c r="C111" s="55"/>
      <c r="D111" s="55"/>
      <c r="E111" s="55"/>
      <c r="F111" s="55"/>
      <c r="G111" s="55"/>
      <c r="H111" s="52"/>
      <c r="I111" s="18"/>
      <c r="J111" s="18"/>
      <c r="K111" s="18"/>
      <c r="L111" s="18"/>
      <c r="M111" s="18"/>
      <c r="N111" s="18"/>
      <c r="O111" s="18"/>
      <c r="P111" s="18"/>
      <c r="Q111" s="18"/>
      <c r="R111" s="18"/>
      <c r="S111" s="18"/>
      <c r="T111" s="18"/>
      <c r="U111" s="18"/>
      <c r="V111" s="18"/>
    </row>
    <row r="112" spans="1:22">
      <c r="A112" s="18"/>
      <c r="B112" s="18"/>
      <c r="C112" s="18"/>
      <c r="D112" s="18"/>
      <c r="E112" s="18"/>
      <c r="F112" s="18"/>
      <c r="G112" s="18"/>
      <c r="H112" s="18"/>
      <c r="I112" s="18"/>
      <c r="J112" s="18"/>
      <c r="K112" s="18"/>
      <c r="L112" s="18"/>
      <c r="M112" s="18"/>
      <c r="N112" s="18"/>
      <c r="O112" s="18"/>
      <c r="P112" s="18"/>
      <c r="Q112" s="18"/>
      <c r="R112" s="18"/>
      <c r="S112" s="18"/>
      <c r="T112" s="18"/>
      <c r="U112" s="18"/>
      <c r="V112" s="18"/>
    </row>
    <row r="113" spans="1:22" ht="30" customHeight="1">
      <c r="A113" s="15" t="s">
        <v>3666</v>
      </c>
      <c r="B113" s="25">
        <f>PV_Canonical_Industry</f>
        <v>0</v>
      </c>
      <c r="C113" s="15" t="s">
        <v>3646</v>
      </c>
      <c r="D113" s="26">
        <f>'Resilience &amp; Risk Scenario'!$B$6</f>
        <v>0</v>
      </c>
      <c r="E113" s="15" t="s">
        <v>3412</v>
      </c>
      <c r="F113" s="26">
        <f>'Resilience &amp; Risk Scenario'!$B$7</f>
        <v>0</v>
      </c>
      <c r="G113" s="18"/>
      <c r="H113" s="18"/>
      <c r="I113" s="18"/>
      <c r="J113" s="18"/>
      <c r="K113" s="18"/>
      <c r="L113" s="18"/>
      <c r="M113" s="18"/>
      <c r="N113" s="18"/>
      <c r="O113" s="18"/>
      <c r="P113" s="18"/>
      <c r="Q113" s="18"/>
      <c r="R113" s="18"/>
      <c r="S113" s="18"/>
      <c r="T113" s="18"/>
      <c r="U113" s="18"/>
      <c r="V113" s="18"/>
    </row>
    <row r="114" spans="1:22" ht="45" customHeight="1">
      <c r="A114" s="15" t="s">
        <v>3486</v>
      </c>
      <c r="B114" s="26" t="str">
        <f>_ENGINE_Strategy!$B$95</f>
        <v>Cloud and Infrastructure Resilience Strategy</v>
      </c>
      <c r="C114" s="15" t="s">
        <v>3675</v>
      </c>
      <c r="D114" s="26">
        <f>_DATA_Dashboard_Facts!$B$31</f>
        <v>0</v>
      </c>
      <c r="E114" s="15" t="s">
        <v>3676</v>
      </c>
      <c r="F114" s="26">
        <f>_ENGINE_Risk!$A$494</f>
        <v>424</v>
      </c>
      <c r="G114" s="18"/>
      <c r="H114" s="18"/>
      <c r="I114" s="18"/>
      <c r="J114" s="18"/>
      <c r="K114" s="18"/>
      <c r="L114" s="18"/>
      <c r="M114" s="18"/>
      <c r="N114" s="18"/>
      <c r="O114" s="18"/>
      <c r="P114" s="18"/>
      <c r="Q114" s="18"/>
      <c r="R114" s="18"/>
      <c r="S114" s="18"/>
      <c r="T114" s="18"/>
      <c r="U114" s="18"/>
      <c r="V114" s="18"/>
    </row>
    <row r="115" spans="1:22">
      <c r="A115" s="18"/>
      <c r="B115" s="18"/>
      <c r="C115" s="18"/>
      <c r="D115" s="18"/>
      <c r="E115" s="18"/>
      <c r="F115" s="18"/>
      <c r="G115" s="18"/>
      <c r="H115" s="18"/>
      <c r="I115" s="18"/>
      <c r="J115" s="18"/>
      <c r="K115" s="18"/>
      <c r="L115" s="18"/>
      <c r="M115" s="18"/>
      <c r="N115" s="18"/>
      <c r="O115" s="18"/>
      <c r="P115" s="18"/>
      <c r="Q115" s="18"/>
      <c r="R115" s="18"/>
      <c r="S115" s="18"/>
      <c r="T115" s="18"/>
      <c r="U115" s="18"/>
      <c r="V115" s="18"/>
    </row>
    <row r="116" spans="1:22">
      <c r="A116" s="18"/>
      <c r="B116" s="18"/>
      <c r="C116" s="18"/>
      <c r="D116" s="18"/>
      <c r="E116" s="18"/>
      <c r="F116" s="18"/>
      <c r="G116" s="18"/>
      <c r="H116" s="18"/>
      <c r="I116" s="18"/>
      <c r="J116" s="18"/>
      <c r="K116" s="18"/>
      <c r="L116" s="18"/>
      <c r="M116" s="18"/>
      <c r="N116" s="18"/>
      <c r="O116" s="18"/>
      <c r="P116" s="18"/>
      <c r="Q116" s="18"/>
      <c r="R116" s="18"/>
      <c r="S116" s="18"/>
      <c r="T116" s="18"/>
      <c r="U116" s="18"/>
      <c r="V116" s="18"/>
    </row>
    <row r="117" spans="1:22" ht="15" customHeight="1">
      <c r="A117" s="54" t="s">
        <v>3677</v>
      </c>
      <c r="B117" s="55"/>
      <c r="C117" s="55"/>
      <c r="D117" s="55"/>
      <c r="E117" s="55"/>
      <c r="F117" s="55"/>
      <c r="G117" s="55"/>
      <c r="H117" s="55"/>
      <c r="I117" s="55"/>
      <c r="J117" s="55"/>
      <c r="K117" s="55"/>
      <c r="L117" s="52"/>
      <c r="M117" s="18"/>
      <c r="N117" s="18"/>
      <c r="O117" s="18"/>
      <c r="P117" s="18"/>
      <c r="Q117" s="18"/>
      <c r="R117" s="18"/>
      <c r="S117" s="18"/>
      <c r="T117" s="18"/>
      <c r="U117" s="18"/>
      <c r="V117" s="18"/>
    </row>
    <row r="118" spans="1:22" ht="44.15" customHeight="1">
      <c r="A118" s="15" t="s">
        <v>764</v>
      </c>
      <c r="B118" s="15" t="s">
        <v>642</v>
      </c>
      <c r="C118" s="15" t="s">
        <v>3610</v>
      </c>
      <c r="D118" s="15" t="s">
        <v>643</v>
      </c>
      <c r="E118" s="15" t="s">
        <v>3615</v>
      </c>
      <c r="F118" s="15" t="s">
        <v>644</v>
      </c>
      <c r="G118" s="15" t="s">
        <v>3620</v>
      </c>
      <c r="H118" s="15" t="s">
        <v>3623</v>
      </c>
      <c r="I118" s="15" t="s">
        <v>3626</v>
      </c>
      <c r="J118" s="15" t="s">
        <v>3629</v>
      </c>
      <c r="K118" s="15" t="s">
        <v>3632</v>
      </c>
      <c r="L118" s="15" t="s">
        <v>3635</v>
      </c>
      <c r="M118" s="27"/>
      <c r="N118" s="27"/>
      <c r="O118" s="27"/>
      <c r="P118" s="27"/>
      <c r="Q118" s="27"/>
      <c r="R118" s="27"/>
      <c r="S118" s="27"/>
      <c r="T118" s="27"/>
      <c r="U118" s="27"/>
      <c r="V118" s="27"/>
    </row>
    <row r="119" spans="1:22" ht="15" customHeight="1">
      <c r="A119" s="28" t="s">
        <v>815</v>
      </c>
      <c r="B119" s="29">
        <f>IFERROR(SUMIFS(_ENGINE_Crisis!$D$1:$D$700,_ENGINE_Crisis!$A$1:$A$700,B$9,_ENGINE_Crisis!$B$1:$B$700,$A10),"")</f>
        <v>0</v>
      </c>
      <c r="C119" s="29">
        <f>IFERROR(SUMIFS(_ENGINE_Crisis!$D$1:$D$700,_ENGINE_Crisis!$A$1:$A$700,C$9,_ENGINE_Crisis!$B$1:$B$700,$A10),"")</f>
        <v>0</v>
      </c>
      <c r="D119" s="29">
        <f>IFERROR(SUMIFS(_ENGINE_Crisis!$D$1:$D$700,_ENGINE_Crisis!$A$1:$A$700,D$9,_ENGINE_Crisis!$B$1:$B$700,$A10),"")</f>
        <v>0</v>
      </c>
      <c r="E119" s="29">
        <f>IFERROR(SUMIFS(_ENGINE_Crisis!$D$1:$D$700,_ENGINE_Crisis!$A$1:$A$700,E$9,_ENGINE_Crisis!$B$1:$B$700,$A10),"")</f>
        <v>0</v>
      </c>
      <c r="F119" s="29">
        <f>IFERROR(SUMIFS(_ENGINE_Crisis!$D$1:$D$700,_ENGINE_Crisis!$A$1:$A$700,F$9,_ENGINE_Crisis!$B$1:$B$700,$A10),"")</f>
        <v>0</v>
      </c>
      <c r="G119" s="29">
        <f>IFERROR(SUMIFS(_ENGINE_Crisis!$D$1:$D$700,_ENGINE_Crisis!$A$1:$A$700,G$9,_ENGINE_Crisis!$B$1:$B$700,$A10),"")</f>
        <v>0</v>
      </c>
      <c r="H119" s="29">
        <f>IFERROR(SUMIFS(_ENGINE_Crisis!$D$1:$D$700,_ENGINE_Crisis!$A$1:$A$700,H$9,_ENGINE_Crisis!$B$1:$B$700,$A10),"")</f>
        <v>0</v>
      </c>
      <c r="I119" s="29">
        <f>IFERROR(SUMIFS(_ENGINE_Crisis!$D$1:$D$700,_ENGINE_Crisis!$A$1:$A$700,I$9,_ENGINE_Crisis!$B$1:$B$700,$A10),"")</f>
        <v>0</v>
      </c>
      <c r="J119" s="29">
        <f>IFERROR(SUMIFS(_ENGINE_Crisis!$D$1:$D$700,_ENGINE_Crisis!$A$1:$A$700,J$9,_ENGINE_Crisis!$B$1:$B$700,$A10),"")</f>
        <v>0</v>
      </c>
      <c r="K119" s="29">
        <f>IFERROR(SUMIFS(_ENGINE_Crisis!$D$1:$D$700,_ENGINE_Crisis!$A$1:$A$700,K$9,_ENGINE_Crisis!$B$1:$B$700,$A10),"")</f>
        <v>0</v>
      </c>
      <c r="L119" s="29">
        <f>IFERROR(SUMIFS(_ENGINE_Crisis!$D$1:$D$700,_ENGINE_Crisis!$A$1:$A$700,L$9,_ENGINE_Crisis!$B$1:$B$700,$A10),"")</f>
        <v>0</v>
      </c>
      <c r="M119" s="18"/>
      <c r="N119" s="18"/>
      <c r="O119" s="18"/>
      <c r="P119" s="18"/>
      <c r="Q119" s="18"/>
      <c r="R119" s="18"/>
      <c r="S119" s="18"/>
      <c r="T119" s="18"/>
      <c r="U119" s="18"/>
      <c r="V119" s="18"/>
    </row>
    <row r="120" spans="1:22" ht="15" customHeight="1">
      <c r="A120" s="28" t="s">
        <v>949</v>
      </c>
      <c r="B120" s="29">
        <f>IFERROR(SUMIFS(_ENGINE_Crisis!$D$1:$D$700,_ENGINE_Crisis!$A$1:$A$700,B$9,_ENGINE_Crisis!$B$1:$B$700,$A11),"")</f>
        <v>0</v>
      </c>
      <c r="C120" s="29">
        <f>IFERROR(SUMIFS(_ENGINE_Crisis!$D$1:$D$700,_ENGINE_Crisis!$A$1:$A$700,C$9,_ENGINE_Crisis!$B$1:$B$700,$A11),"")</f>
        <v>0</v>
      </c>
      <c r="D120" s="29">
        <f>IFERROR(SUMIFS(_ENGINE_Crisis!$D$1:$D$700,_ENGINE_Crisis!$A$1:$A$700,D$9,_ENGINE_Crisis!$B$1:$B$700,$A11),"")</f>
        <v>0</v>
      </c>
      <c r="E120" s="29">
        <f>IFERROR(SUMIFS(_ENGINE_Crisis!$D$1:$D$700,_ENGINE_Crisis!$A$1:$A$700,E$9,_ENGINE_Crisis!$B$1:$B$700,$A11),"")</f>
        <v>0</v>
      </c>
      <c r="F120" s="29">
        <f>IFERROR(SUMIFS(_ENGINE_Crisis!$D$1:$D$700,_ENGINE_Crisis!$A$1:$A$700,F$9,_ENGINE_Crisis!$B$1:$B$700,$A11),"")</f>
        <v>0</v>
      </c>
      <c r="G120" s="29">
        <f>IFERROR(SUMIFS(_ENGINE_Crisis!$D$1:$D$700,_ENGINE_Crisis!$A$1:$A$700,G$9,_ENGINE_Crisis!$B$1:$B$700,$A11),"")</f>
        <v>0</v>
      </c>
      <c r="H120" s="29">
        <f>IFERROR(SUMIFS(_ENGINE_Crisis!$D$1:$D$700,_ENGINE_Crisis!$A$1:$A$700,H$9,_ENGINE_Crisis!$B$1:$B$700,$A11),"")</f>
        <v>0</v>
      </c>
      <c r="I120" s="29">
        <f>IFERROR(SUMIFS(_ENGINE_Crisis!$D$1:$D$700,_ENGINE_Crisis!$A$1:$A$700,I$9,_ENGINE_Crisis!$B$1:$B$700,$A11),"")</f>
        <v>0</v>
      </c>
      <c r="J120" s="29">
        <f>IFERROR(SUMIFS(_ENGINE_Crisis!$D$1:$D$700,_ENGINE_Crisis!$A$1:$A$700,J$9,_ENGINE_Crisis!$B$1:$B$700,$A11),"")</f>
        <v>0</v>
      </c>
      <c r="K120" s="29">
        <f>IFERROR(SUMIFS(_ENGINE_Crisis!$D$1:$D$700,_ENGINE_Crisis!$A$1:$A$700,K$9,_ENGINE_Crisis!$B$1:$B$700,$A11),"")</f>
        <v>0</v>
      </c>
      <c r="L120" s="29">
        <f>IFERROR(SUMIFS(_ENGINE_Crisis!$D$1:$D$700,_ENGINE_Crisis!$A$1:$A$700,L$9,_ENGINE_Crisis!$B$1:$B$700,$A11),"")</f>
        <v>0</v>
      </c>
      <c r="M120" s="18"/>
      <c r="N120" s="18"/>
      <c r="O120" s="18"/>
      <c r="P120" s="18"/>
      <c r="Q120" s="18"/>
      <c r="R120" s="18"/>
      <c r="S120" s="18"/>
      <c r="T120" s="18"/>
      <c r="U120" s="18"/>
      <c r="V120" s="18"/>
    </row>
    <row r="121" spans="1:22" ht="15" customHeight="1">
      <c r="A121" s="28" t="s">
        <v>1150</v>
      </c>
      <c r="B121" s="29">
        <f>IFERROR(SUMIFS(_ENGINE_Crisis!$D$1:$D$700,_ENGINE_Crisis!$A$1:$A$700,B$9,_ENGINE_Crisis!$B$1:$B$700,$A12),"")</f>
        <v>0</v>
      </c>
      <c r="C121" s="29">
        <f>IFERROR(SUMIFS(_ENGINE_Crisis!$D$1:$D$700,_ENGINE_Crisis!$A$1:$A$700,C$9,_ENGINE_Crisis!$B$1:$B$700,$A12),"")</f>
        <v>0</v>
      </c>
      <c r="D121" s="29">
        <f>IFERROR(SUMIFS(_ENGINE_Crisis!$D$1:$D$700,_ENGINE_Crisis!$A$1:$A$700,D$9,_ENGINE_Crisis!$B$1:$B$700,$A12),"")</f>
        <v>0</v>
      </c>
      <c r="E121" s="29">
        <f>IFERROR(SUMIFS(_ENGINE_Crisis!$D$1:$D$700,_ENGINE_Crisis!$A$1:$A$700,E$9,_ENGINE_Crisis!$B$1:$B$700,$A12),"")</f>
        <v>0</v>
      </c>
      <c r="F121" s="29">
        <f>IFERROR(SUMIFS(_ENGINE_Crisis!$D$1:$D$700,_ENGINE_Crisis!$A$1:$A$700,F$9,_ENGINE_Crisis!$B$1:$B$700,$A12),"")</f>
        <v>0</v>
      </c>
      <c r="G121" s="29">
        <f>IFERROR(SUMIFS(_ENGINE_Crisis!$D$1:$D$700,_ENGINE_Crisis!$A$1:$A$700,G$9,_ENGINE_Crisis!$B$1:$B$700,$A12),"")</f>
        <v>0</v>
      </c>
      <c r="H121" s="29">
        <f>IFERROR(SUMIFS(_ENGINE_Crisis!$D$1:$D$700,_ENGINE_Crisis!$A$1:$A$700,H$9,_ENGINE_Crisis!$B$1:$B$700,$A12),"")</f>
        <v>0</v>
      </c>
      <c r="I121" s="29">
        <f>IFERROR(SUMIFS(_ENGINE_Crisis!$D$1:$D$700,_ENGINE_Crisis!$A$1:$A$700,I$9,_ENGINE_Crisis!$B$1:$B$700,$A12),"")</f>
        <v>0</v>
      </c>
      <c r="J121" s="29">
        <f>IFERROR(SUMIFS(_ENGINE_Crisis!$D$1:$D$700,_ENGINE_Crisis!$A$1:$A$700,J$9,_ENGINE_Crisis!$B$1:$B$700,$A12),"")</f>
        <v>0</v>
      </c>
      <c r="K121" s="29">
        <f>IFERROR(SUMIFS(_ENGINE_Crisis!$D$1:$D$700,_ENGINE_Crisis!$A$1:$A$700,K$9,_ENGINE_Crisis!$B$1:$B$700,$A12),"")</f>
        <v>0</v>
      </c>
      <c r="L121" s="29">
        <f>IFERROR(SUMIFS(_ENGINE_Crisis!$D$1:$D$700,_ENGINE_Crisis!$A$1:$A$700,L$9,_ENGINE_Crisis!$B$1:$B$700,$A12),"")</f>
        <v>0</v>
      </c>
      <c r="M121" s="18"/>
      <c r="N121" s="18"/>
      <c r="O121" s="18"/>
      <c r="P121" s="18"/>
      <c r="Q121" s="18"/>
      <c r="R121" s="18"/>
      <c r="S121" s="18"/>
      <c r="T121" s="18"/>
      <c r="U121" s="18"/>
      <c r="V121" s="18"/>
    </row>
    <row r="122" spans="1:22" ht="15" customHeight="1">
      <c r="A122" s="28" t="s">
        <v>1259</v>
      </c>
      <c r="B122" s="29">
        <f>IFERROR(SUMIFS(_ENGINE_Crisis!$D$1:$D$700,_ENGINE_Crisis!$A$1:$A$700,B$9,_ENGINE_Crisis!$B$1:$B$700,$A13),"")</f>
        <v>0</v>
      </c>
      <c r="C122" s="29">
        <f>IFERROR(SUMIFS(_ENGINE_Crisis!$D$1:$D$700,_ENGINE_Crisis!$A$1:$A$700,C$9,_ENGINE_Crisis!$B$1:$B$700,$A13),"")</f>
        <v>0</v>
      </c>
      <c r="D122" s="29">
        <f>IFERROR(SUMIFS(_ENGINE_Crisis!$D$1:$D$700,_ENGINE_Crisis!$A$1:$A$700,D$9,_ENGINE_Crisis!$B$1:$B$700,$A13),"")</f>
        <v>0</v>
      </c>
      <c r="E122" s="29">
        <f>IFERROR(SUMIFS(_ENGINE_Crisis!$D$1:$D$700,_ENGINE_Crisis!$A$1:$A$700,E$9,_ENGINE_Crisis!$B$1:$B$700,$A13),"")</f>
        <v>0</v>
      </c>
      <c r="F122" s="29">
        <f>IFERROR(SUMIFS(_ENGINE_Crisis!$D$1:$D$700,_ENGINE_Crisis!$A$1:$A$700,F$9,_ENGINE_Crisis!$B$1:$B$700,$A13),"")</f>
        <v>0</v>
      </c>
      <c r="G122" s="29">
        <f>IFERROR(SUMIFS(_ENGINE_Crisis!$D$1:$D$700,_ENGINE_Crisis!$A$1:$A$700,G$9,_ENGINE_Crisis!$B$1:$B$700,$A13),"")</f>
        <v>0</v>
      </c>
      <c r="H122" s="29">
        <f>IFERROR(SUMIFS(_ENGINE_Crisis!$D$1:$D$700,_ENGINE_Crisis!$A$1:$A$700,H$9,_ENGINE_Crisis!$B$1:$B$700,$A13),"")</f>
        <v>0</v>
      </c>
      <c r="I122" s="29">
        <f>IFERROR(SUMIFS(_ENGINE_Crisis!$D$1:$D$700,_ENGINE_Crisis!$A$1:$A$700,I$9,_ENGINE_Crisis!$B$1:$B$700,$A13),"")</f>
        <v>0</v>
      </c>
      <c r="J122" s="29">
        <f>IFERROR(SUMIFS(_ENGINE_Crisis!$D$1:$D$700,_ENGINE_Crisis!$A$1:$A$700,J$9,_ENGINE_Crisis!$B$1:$B$700,$A13),"")</f>
        <v>0</v>
      </c>
      <c r="K122" s="29">
        <f>IFERROR(SUMIFS(_ENGINE_Crisis!$D$1:$D$700,_ENGINE_Crisis!$A$1:$A$700,K$9,_ENGINE_Crisis!$B$1:$B$700,$A13),"")</f>
        <v>0</v>
      </c>
      <c r="L122" s="29">
        <f>IFERROR(SUMIFS(_ENGINE_Crisis!$D$1:$D$700,_ENGINE_Crisis!$A$1:$A$700,L$9,_ENGINE_Crisis!$B$1:$B$700,$A13),"")</f>
        <v>0</v>
      </c>
      <c r="M122" s="18"/>
      <c r="N122" s="18"/>
      <c r="O122" s="18"/>
      <c r="P122" s="18"/>
      <c r="Q122" s="18"/>
      <c r="R122" s="18"/>
      <c r="S122" s="18"/>
      <c r="T122" s="18"/>
      <c r="U122" s="18"/>
      <c r="V122" s="18"/>
    </row>
    <row r="123" spans="1:22" ht="15" customHeight="1">
      <c r="A123" s="28" t="s">
        <v>1401</v>
      </c>
      <c r="B123" s="29">
        <f>IFERROR(SUMIFS(_ENGINE_Crisis!$D$1:$D$700,_ENGINE_Crisis!$A$1:$A$700,B$9,_ENGINE_Crisis!$B$1:$B$700,$A14),"")</f>
        <v>0</v>
      </c>
      <c r="C123" s="29">
        <f>IFERROR(SUMIFS(_ENGINE_Crisis!$D$1:$D$700,_ENGINE_Crisis!$A$1:$A$700,C$9,_ENGINE_Crisis!$B$1:$B$700,$A14),"")</f>
        <v>0</v>
      </c>
      <c r="D123" s="29">
        <f>IFERROR(SUMIFS(_ENGINE_Crisis!$D$1:$D$700,_ENGINE_Crisis!$A$1:$A$700,D$9,_ENGINE_Crisis!$B$1:$B$700,$A14),"")</f>
        <v>0</v>
      </c>
      <c r="E123" s="29">
        <f>IFERROR(SUMIFS(_ENGINE_Crisis!$D$1:$D$700,_ENGINE_Crisis!$A$1:$A$700,E$9,_ENGINE_Crisis!$B$1:$B$700,$A14),"")</f>
        <v>0</v>
      </c>
      <c r="F123" s="29">
        <f>IFERROR(SUMIFS(_ENGINE_Crisis!$D$1:$D$700,_ENGINE_Crisis!$A$1:$A$700,F$9,_ENGINE_Crisis!$B$1:$B$700,$A14),"")</f>
        <v>0</v>
      </c>
      <c r="G123" s="29">
        <f>IFERROR(SUMIFS(_ENGINE_Crisis!$D$1:$D$700,_ENGINE_Crisis!$A$1:$A$700,G$9,_ENGINE_Crisis!$B$1:$B$700,$A14),"")</f>
        <v>0</v>
      </c>
      <c r="H123" s="29">
        <f>IFERROR(SUMIFS(_ENGINE_Crisis!$D$1:$D$700,_ENGINE_Crisis!$A$1:$A$700,H$9,_ENGINE_Crisis!$B$1:$B$700,$A14),"")</f>
        <v>0</v>
      </c>
      <c r="I123" s="29">
        <f>IFERROR(SUMIFS(_ENGINE_Crisis!$D$1:$D$700,_ENGINE_Crisis!$A$1:$A$700,I$9,_ENGINE_Crisis!$B$1:$B$700,$A14),"")</f>
        <v>0</v>
      </c>
      <c r="J123" s="29">
        <f>IFERROR(SUMIFS(_ENGINE_Crisis!$D$1:$D$700,_ENGINE_Crisis!$A$1:$A$700,J$9,_ENGINE_Crisis!$B$1:$B$700,$A14),"")</f>
        <v>0</v>
      </c>
      <c r="K123" s="29">
        <f>IFERROR(SUMIFS(_ENGINE_Crisis!$D$1:$D$700,_ENGINE_Crisis!$A$1:$A$700,K$9,_ENGINE_Crisis!$B$1:$B$700,$A14),"")</f>
        <v>0</v>
      </c>
      <c r="L123" s="29">
        <f>IFERROR(SUMIFS(_ENGINE_Crisis!$D$1:$D$700,_ENGINE_Crisis!$A$1:$A$700,L$9,_ENGINE_Crisis!$B$1:$B$700,$A14),"")</f>
        <v>0</v>
      </c>
      <c r="M123" s="18"/>
      <c r="N123" s="18"/>
      <c r="O123" s="18"/>
      <c r="P123" s="18"/>
      <c r="Q123" s="18"/>
      <c r="R123" s="18"/>
      <c r="S123" s="18"/>
      <c r="T123" s="18"/>
      <c r="U123" s="18"/>
      <c r="V123" s="18"/>
    </row>
    <row r="124" spans="1:22" ht="15" customHeight="1">
      <c r="A124" s="28" t="s">
        <v>1551</v>
      </c>
      <c r="B124" s="29">
        <f>IFERROR(SUMIFS(_ENGINE_Crisis!$D$1:$D$700,_ENGINE_Crisis!$A$1:$A$700,B$9,_ENGINE_Crisis!$B$1:$B$700,$A15),"")</f>
        <v>0</v>
      </c>
      <c r="C124" s="29">
        <f>IFERROR(SUMIFS(_ENGINE_Crisis!$D$1:$D$700,_ENGINE_Crisis!$A$1:$A$700,C$9,_ENGINE_Crisis!$B$1:$B$700,$A15),"")</f>
        <v>0</v>
      </c>
      <c r="D124" s="29">
        <f>IFERROR(SUMIFS(_ENGINE_Crisis!$D$1:$D$700,_ENGINE_Crisis!$A$1:$A$700,D$9,_ENGINE_Crisis!$B$1:$B$700,$A15),"")</f>
        <v>0</v>
      </c>
      <c r="E124" s="29">
        <f>IFERROR(SUMIFS(_ENGINE_Crisis!$D$1:$D$700,_ENGINE_Crisis!$A$1:$A$700,E$9,_ENGINE_Crisis!$B$1:$B$700,$A15),"")</f>
        <v>0</v>
      </c>
      <c r="F124" s="29">
        <f>IFERROR(SUMIFS(_ENGINE_Crisis!$D$1:$D$700,_ENGINE_Crisis!$A$1:$A$700,F$9,_ENGINE_Crisis!$B$1:$B$700,$A15),"")</f>
        <v>0</v>
      </c>
      <c r="G124" s="29">
        <f>IFERROR(SUMIFS(_ENGINE_Crisis!$D$1:$D$700,_ENGINE_Crisis!$A$1:$A$700,G$9,_ENGINE_Crisis!$B$1:$B$700,$A15),"")</f>
        <v>0</v>
      </c>
      <c r="H124" s="29">
        <f>IFERROR(SUMIFS(_ENGINE_Crisis!$D$1:$D$700,_ENGINE_Crisis!$A$1:$A$700,H$9,_ENGINE_Crisis!$B$1:$B$700,$A15),"")</f>
        <v>0</v>
      </c>
      <c r="I124" s="29">
        <f>IFERROR(SUMIFS(_ENGINE_Crisis!$D$1:$D$700,_ENGINE_Crisis!$A$1:$A$700,I$9,_ENGINE_Crisis!$B$1:$B$700,$A15),"")</f>
        <v>0</v>
      </c>
      <c r="J124" s="29">
        <f>IFERROR(SUMIFS(_ENGINE_Crisis!$D$1:$D$700,_ENGINE_Crisis!$A$1:$A$700,J$9,_ENGINE_Crisis!$B$1:$B$700,$A15),"")</f>
        <v>0</v>
      </c>
      <c r="K124" s="29">
        <f>IFERROR(SUMIFS(_ENGINE_Crisis!$D$1:$D$700,_ENGINE_Crisis!$A$1:$A$700,K$9,_ENGINE_Crisis!$B$1:$B$700,$A15),"")</f>
        <v>0</v>
      </c>
      <c r="L124" s="29">
        <f>IFERROR(SUMIFS(_ENGINE_Crisis!$D$1:$D$700,_ENGINE_Crisis!$A$1:$A$700,L$9,_ENGINE_Crisis!$B$1:$B$700,$A15),"")</f>
        <v>0</v>
      </c>
      <c r="M124" s="18"/>
      <c r="N124" s="18"/>
      <c r="O124" s="18"/>
      <c r="P124" s="18"/>
      <c r="Q124" s="18"/>
      <c r="R124" s="18"/>
      <c r="S124" s="18"/>
      <c r="T124" s="18"/>
      <c r="U124" s="18"/>
      <c r="V124" s="18"/>
    </row>
    <row r="125" spans="1:22" ht="15" customHeight="1">
      <c r="A125" s="28" t="s">
        <v>1666</v>
      </c>
      <c r="B125" s="29">
        <f>IFERROR(SUMIFS(_ENGINE_Crisis!$D$1:$D$700,_ENGINE_Crisis!$A$1:$A$700,B$9,_ENGINE_Crisis!$B$1:$B$700,$A16),"")</f>
        <v>0</v>
      </c>
      <c r="C125" s="29">
        <f>IFERROR(SUMIFS(_ENGINE_Crisis!$D$1:$D$700,_ENGINE_Crisis!$A$1:$A$700,C$9,_ENGINE_Crisis!$B$1:$B$700,$A16),"")</f>
        <v>0</v>
      </c>
      <c r="D125" s="29">
        <f>IFERROR(SUMIFS(_ENGINE_Crisis!$D$1:$D$700,_ENGINE_Crisis!$A$1:$A$700,D$9,_ENGINE_Crisis!$B$1:$B$700,$A16),"")</f>
        <v>0</v>
      </c>
      <c r="E125" s="29">
        <f>IFERROR(SUMIFS(_ENGINE_Crisis!$D$1:$D$700,_ENGINE_Crisis!$A$1:$A$700,E$9,_ENGINE_Crisis!$B$1:$B$700,$A16),"")</f>
        <v>0</v>
      </c>
      <c r="F125" s="29">
        <f>IFERROR(SUMIFS(_ENGINE_Crisis!$D$1:$D$700,_ENGINE_Crisis!$A$1:$A$700,F$9,_ENGINE_Crisis!$B$1:$B$700,$A16),"")</f>
        <v>0</v>
      </c>
      <c r="G125" s="29">
        <f>IFERROR(SUMIFS(_ENGINE_Crisis!$D$1:$D$700,_ENGINE_Crisis!$A$1:$A$700,G$9,_ENGINE_Crisis!$B$1:$B$700,$A16),"")</f>
        <v>0</v>
      </c>
      <c r="H125" s="29">
        <f>IFERROR(SUMIFS(_ENGINE_Crisis!$D$1:$D$700,_ENGINE_Crisis!$A$1:$A$700,H$9,_ENGINE_Crisis!$B$1:$B$700,$A16),"")</f>
        <v>0</v>
      </c>
      <c r="I125" s="29">
        <f>IFERROR(SUMIFS(_ENGINE_Crisis!$D$1:$D$700,_ENGINE_Crisis!$A$1:$A$700,I$9,_ENGINE_Crisis!$B$1:$B$700,$A16),"")</f>
        <v>0</v>
      </c>
      <c r="J125" s="29">
        <f>IFERROR(SUMIFS(_ENGINE_Crisis!$D$1:$D$700,_ENGINE_Crisis!$A$1:$A$700,J$9,_ENGINE_Crisis!$B$1:$B$700,$A16),"")</f>
        <v>0</v>
      </c>
      <c r="K125" s="29">
        <f>IFERROR(SUMIFS(_ENGINE_Crisis!$D$1:$D$700,_ENGINE_Crisis!$A$1:$A$700,K$9,_ENGINE_Crisis!$B$1:$B$700,$A16),"")</f>
        <v>0</v>
      </c>
      <c r="L125" s="29">
        <f>IFERROR(SUMIFS(_ENGINE_Crisis!$D$1:$D$700,_ENGINE_Crisis!$A$1:$A$700,L$9,_ENGINE_Crisis!$B$1:$B$700,$A16),"")</f>
        <v>0</v>
      </c>
      <c r="M125" s="18"/>
      <c r="N125" s="18"/>
      <c r="O125" s="18"/>
      <c r="P125" s="18"/>
      <c r="Q125" s="18"/>
      <c r="R125" s="18"/>
      <c r="S125" s="18"/>
      <c r="T125" s="18"/>
      <c r="U125" s="18"/>
      <c r="V125" s="18"/>
    </row>
    <row r="126" spans="1:22" ht="15" customHeight="1">
      <c r="A126" s="28" t="s">
        <v>1859</v>
      </c>
      <c r="B126" s="29">
        <f>IFERROR(SUMIFS(_ENGINE_Crisis!$D$1:$D$700,_ENGINE_Crisis!$A$1:$A$700,B$9,_ENGINE_Crisis!$B$1:$B$700,$A17),"")</f>
        <v>0</v>
      </c>
      <c r="C126" s="29">
        <f>IFERROR(SUMIFS(_ENGINE_Crisis!$D$1:$D$700,_ENGINE_Crisis!$A$1:$A$700,C$9,_ENGINE_Crisis!$B$1:$B$700,$A17),"")</f>
        <v>0</v>
      </c>
      <c r="D126" s="29">
        <f>IFERROR(SUMIFS(_ENGINE_Crisis!$D$1:$D$700,_ENGINE_Crisis!$A$1:$A$700,D$9,_ENGINE_Crisis!$B$1:$B$700,$A17),"")</f>
        <v>0</v>
      </c>
      <c r="E126" s="29">
        <f>IFERROR(SUMIFS(_ENGINE_Crisis!$D$1:$D$700,_ENGINE_Crisis!$A$1:$A$700,E$9,_ENGINE_Crisis!$B$1:$B$700,$A17),"")</f>
        <v>0</v>
      </c>
      <c r="F126" s="29">
        <f>IFERROR(SUMIFS(_ENGINE_Crisis!$D$1:$D$700,_ENGINE_Crisis!$A$1:$A$700,F$9,_ENGINE_Crisis!$B$1:$B$700,$A17),"")</f>
        <v>0</v>
      </c>
      <c r="G126" s="29">
        <f>IFERROR(SUMIFS(_ENGINE_Crisis!$D$1:$D$700,_ENGINE_Crisis!$A$1:$A$700,G$9,_ENGINE_Crisis!$B$1:$B$700,$A17),"")</f>
        <v>0</v>
      </c>
      <c r="H126" s="29">
        <f>IFERROR(SUMIFS(_ENGINE_Crisis!$D$1:$D$700,_ENGINE_Crisis!$A$1:$A$700,H$9,_ENGINE_Crisis!$B$1:$B$700,$A17),"")</f>
        <v>0</v>
      </c>
      <c r="I126" s="29">
        <f>IFERROR(SUMIFS(_ENGINE_Crisis!$D$1:$D$700,_ENGINE_Crisis!$A$1:$A$700,I$9,_ENGINE_Crisis!$B$1:$B$700,$A17),"")</f>
        <v>0</v>
      </c>
      <c r="J126" s="29">
        <f>IFERROR(SUMIFS(_ENGINE_Crisis!$D$1:$D$700,_ENGINE_Crisis!$A$1:$A$700,J$9,_ENGINE_Crisis!$B$1:$B$700,$A17),"")</f>
        <v>0</v>
      </c>
      <c r="K126" s="29">
        <f>IFERROR(SUMIFS(_ENGINE_Crisis!$D$1:$D$700,_ENGINE_Crisis!$A$1:$A$700,K$9,_ENGINE_Crisis!$B$1:$B$700,$A17),"")</f>
        <v>0</v>
      </c>
      <c r="L126" s="29">
        <f>IFERROR(SUMIFS(_ENGINE_Crisis!$D$1:$D$700,_ENGINE_Crisis!$A$1:$A$700,L$9,_ENGINE_Crisis!$B$1:$B$700,$A17),"")</f>
        <v>0</v>
      </c>
      <c r="M126" s="18"/>
      <c r="N126" s="18"/>
      <c r="O126" s="18"/>
      <c r="P126" s="18"/>
      <c r="Q126" s="18"/>
      <c r="R126" s="18"/>
      <c r="S126" s="18"/>
      <c r="T126" s="18"/>
      <c r="U126" s="18"/>
      <c r="V126" s="18"/>
    </row>
    <row r="127" spans="1:22" ht="15" customHeight="1">
      <c r="A127" s="28" t="s">
        <v>1987</v>
      </c>
      <c r="B127" s="29">
        <f>IFERROR(SUMIFS(_ENGINE_Crisis!$D$1:$D$700,_ENGINE_Crisis!$A$1:$A$700,B$9,_ENGINE_Crisis!$B$1:$B$700,$A18),"")</f>
        <v>0</v>
      </c>
      <c r="C127" s="29">
        <f>IFERROR(SUMIFS(_ENGINE_Crisis!$D$1:$D$700,_ENGINE_Crisis!$A$1:$A$700,C$9,_ENGINE_Crisis!$B$1:$B$700,$A18),"")</f>
        <v>0</v>
      </c>
      <c r="D127" s="29">
        <f>IFERROR(SUMIFS(_ENGINE_Crisis!$D$1:$D$700,_ENGINE_Crisis!$A$1:$A$700,D$9,_ENGINE_Crisis!$B$1:$B$700,$A18),"")</f>
        <v>0</v>
      </c>
      <c r="E127" s="29">
        <f>IFERROR(SUMIFS(_ENGINE_Crisis!$D$1:$D$700,_ENGINE_Crisis!$A$1:$A$700,E$9,_ENGINE_Crisis!$B$1:$B$700,$A18),"")</f>
        <v>0</v>
      </c>
      <c r="F127" s="29">
        <f>IFERROR(SUMIFS(_ENGINE_Crisis!$D$1:$D$700,_ENGINE_Crisis!$A$1:$A$700,F$9,_ENGINE_Crisis!$B$1:$B$700,$A18),"")</f>
        <v>0</v>
      </c>
      <c r="G127" s="29">
        <f>IFERROR(SUMIFS(_ENGINE_Crisis!$D$1:$D$700,_ENGINE_Crisis!$A$1:$A$700,G$9,_ENGINE_Crisis!$B$1:$B$700,$A18),"")</f>
        <v>0</v>
      </c>
      <c r="H127" s="29">
        <f>IFERROR(SUMIFS(_ENGINE_Crisis!$D$1:$D$700,_ENGINE_Crisis!$A$1:$A$700,H$9,_ENGINE_Crisis!$B$1:$B$700,$A18),"")</f>
        <v>0</v>
      </c>
      <c r="I127" s="29">
        <f>IFERROR(SUMIFS(_ENGINE_Crisis!$D$1:$D$700,_ENGINE_Crisis!$A$1:$A$700,I$9,_ENGINE_Crisis!$B$1:$B$700,$A18),"")</f>
        <v>0</v>
      </c>
      <c r="J127" s="29">
        <f>IFERROR(SUMIFS(_ENGINE_Crisis!$D$1:$D$700,_ENGINE_Crisis!$A$1:$A$700,J$9,_ENGINE_Crisis!$B$1:$B$700,$A18),"")</f>
        <v>0</v>
      </c>
      <c r="K127" s="29">
        <f>IFERROR(SUMIFS(_ENGINE_Crisis!$D$1:$D$700,_ENGINE_Crisis!$A$1:$A$700,K$9,_ENGINE_Crisis!$B$1:$B$700,$A18),"")</f>
        <v>0</v>
      </c>
      <c r="L127" s="29">
        <f>IFERROR(SUMIFS(_ENGINE_Crisis!$D$1:$D$700,_ENGINE_Crisis!$A$1:$A$700,L$9,_ENGINE_Crisis!$B$1:$B$700,$A18),"")</f>
        <v>0</v>
      </c>
      <c r="M127" s="18"/>
      <c r="N127" s="18"/>
      <c r="O127" s="18"/>
      <c r="P127" s="18"/>
      <c r="Q127" s="18"/>
      <c r="R127" s="18"/>
      <c r="S127" s="18"/>
      <c r="T127" s="18"/>
      <c r="U127" s="18"/>
      <c r="V127" s="18"/>
    </row>
    <row r="128" spans="1:22" ht="15" customHeight="1">
      <c r="A128" s="28" t="s">
        <v>2145</v>
      </c>
      <c r="B128" s="29">
        <f>IFERROR(SUMIFS(_ENGINE_Crisis!$D$1:$D$700,_ENGINE_Crisis!$A$1:$A$700,B$9,_ENGINE_Crisis!$B$1:$B$700,$A19),"")</f>
        <v>0</v>
      </c>
      <c r="C128" s="29">
        <f>IFERROR(SUMIFS(_ENGINE_Crisis!$D$1:$D$700,_ENGINE_Crisis!$A$1:$A$700,C$9,_ENGINE_Crisis!$B$1:$B$700,$A19),"")</f>
        <v>0</v>
      </c>
      <c r="D128" s="29">
        <f>IFERROR(SUMIFS(_ENGINE_Crisis!$D$1:$D$700,_ENGINE_Crisis!$A$1:$A$700,D$9,_ENGINE_Crisis!$B$1:$B$700,$A19),"")</f>
        <v>0</v>
      </c>
      <c r="E128" s="29">
        <f>IFERROR(SUMIFS(_ENGINE_Crisis!$D$1:$D$700,_ENGINE_Crisis!$A$1:$A$700,E$9,_ENGINE_Crisis!$B$1:$B$700,$A19),"")</f>
        <v>0</v>
      </c>
      <c r="F128" s="29">
        <f>IFERROR(SUMIFS(_ENGINE_Crisis!$D$1:$D$700,_ENGINE_Crisis!$A$1:$A$700,F$9,_ENGINE_Crisis!$B$1:$B$700,$A19),"")</f>
        <v>0</v>
      </c>
      <c r="G128" s="29">
        <f>IFERROR(SUMIFS(_ENGINE_Crisis!$D$1:$D$700,_ENGINE_Crisis!$A$1:$A$700,G$9,_ENGINE_Crisis!$B$1:$B$700,$A19),"")</f>
        <v>0</v>
      </c>
      <c r="H128" s="29">
        <f>IFERROR(SUMIFS(_ENGINE_Crisis!$D$1:$D$700,_ENGINE_Crisis!$A$1:$A$700,H$9,_ENGINE_Crisis!$B$1:$B$700,$A19),"")</f>
        <v>0</v>
      </c>
      <c r="I128" s="29">
        <f>IFERROR(SUMIFS(_ENGINE_Crisis!$D$1:$D$700,_ENGINE_Crisis!$A$1:$A$700,I$9,_ENGINE_Crisis!$B$1:$B$700,$A19),"")</f>
        <v>0</v>
      </c>
      <c r="J128" s="29">
        <f>IFERROR(SUMIFS(_ENGINE_Crisis!$D$1:$D$700,_ENGINE_Crisis!$A$1:$A$700,J$9,_ENGINE_Crisis!$B$1:$B$700,$A19),"")</f>
        <v>0</v>
      </c>
      <c r="K128" s="29">
        <f>IFERROR(SUMIFS(_ENGINE_Crisis!$D$1:$D$700,_ENGINE_Crisis!$A$1:$A$700,K$9,_ENGINE_Crisis!$B$1:$B$700,$A19),"")</f>
        <v>0</v>
      </c>
      <c r="L128" s="29">
        <f>IFERROR(SUMIFS(_ENGINE_Crisis!$D$1:$D$700,_ENGINE_Crisis!$A$1:$A$700,L$9,_ENGINE_Crisis!$B$1:$B$700,$A19),"")</f>
        <v>0</v>
      </c>
      <c r="M128" s="18"/>
      <c r="N128" s="18"/>
      <c r="O128" s="18"/>
      <c r="P128" s="18"/>
      <c r="Q128" s="18"/>
      <c r="R128" s="18"/>
      <c r="S128" s="18"/>
      <c r="T128" s="18"/>
      <c r="U128" s="18"/>
      <c r="V128" s="18"/>
    </row>
    <row r="129" spans="1:22" ht="15" customHeight="1">
      <c r="A129" s="28" t="s">
        <v>2286</v>
      </c>
      <c r="B129" s="29">
        <f>IFERROR(SUMIFS(_ENGINE_Crisis!$D$1:$D$700,_ENGINE_Crisis!$A$1:$A$700,B$9,_ENGINE_Crisis!$B$1:$B$700,$A20),"")</f>
        <v>0</v>
      </c>
      <c r="C129" s="29">
        <f>IFERROR(SUMIFS(_ENGINE_Crisis!$D$1:$D$700,_ENGINE_Crisis!$A$1:$A$700,C$9,_ENGINE_Crisis!$B$1:$B$700,$A20),"")</f>
        <v>0</v>
      </c>
      <c r="D129" s="29">
        <f>IFERROR(SUMIFS(_ENGINE_Crisis!$D$1:$D$700,_ENGINE_Crisis!$A$1:$A$700,D$9,_ENGINE_Crisis!$B$1:$B$700,$A20),"")</f>
        <v>0</v>
      </c>
      <c r="E129" s="29">
        <f>IFERROR(SUMIFS(_ENGINE_Crisis!$D$1:$D$700,_ENGINE_Crisis!$A$1:$A$700,E$9,_ENGINE_Crisis!$B$1:$B$700,$A20),"")</f>
        <v>0</v>
      </c>
      <c r="F129" s="29">
        <f>IFERROR(SUMIFS(_ENGINE_Crisis!$D$1:$D$700,_ENGINE_Crisis!$A$1:$A$700,F$9,_ENGINE_Crisis!$B$1:$B$700,$A20),"")</f>
        <v>0</v>
      </c>
      <c r="G129" s="29">
        <f>IFERROR(SUMIFS(_ENGINE_Crisis!$D$1:$D$700,_ENGINE_Crisis!$A$1:$A$700,G$9,_ENGINE_Crisis!$B$1:$B$700,$A20),"")</f>
        <v>0</v>
      </c>
      <c r="H129" s="29">
        <f>IFERROR(SUMIFS(_ENGINE_Crisis!$D$1:$D$700,_ENGINE_Crisis!$A$1:$A$700,H$9,_ENGINE_Crisis!$B$1:$B$700,$A20),"")</f>
        <v>0</v>
      </c>
      <c r="I129" s="29">
        <f>IFERROR(SUMIFS(_ENGINE_Crisis!$D$1:$D$700,_ENGINE_Crisis!$A$1:$A$700,I$9,_ENGINE_Crisis!$B$1:$B$700,$A20),"")</f>
        <v>0</v>
      </c>
      <c r="J129" s="29">
        <f>IFERROR(SUMIFS(_ENGINE_Crisis!$D$1:$D$700,_ENGINE_Crisis!$A$1:$A$700,J$9,_ENGINE_Crisis!$B$1:$B$700,$A20),"")</f>
        <v>0</v>
      </c>
      <c r="K129" s="29">
        <f>IFERROR(SUMIFS(_ENGINE_Crisis!$D$1:$D$700,_ENGINE_Crisis!$A$1:$A$700,K$9,_ENGINE_Crisis!$B$1:$B$700,$A20),"")</f>
        <v>0</v>
      </c>
      <c r="L129" s="29">
        <f>IFERROR(SUMIFS(_ENGINE_Crisis!$D$1:$D$700,_ENGINE_Crisis!$A$1:$A$700,L$9,_ENGINE_Crisis!$B$1:$B$700,$A20),"")</f>
        <v>0</v>
      </c>
      <c r="M129" s="18"/>
      <c r="N129" s="18"/>
      <c r="O129" s="18"/>
      <c r="P129" s="18"/>
      <c r="Q129" s="18"/>
      <c r="R129" s="18"/>
      <c r="S129" s="18"/>
      <c r="T129" s="18"/>
      <c r="U129" s="18"/>
      <c r="V129" s="18"/>
    </row>
    <row r="130" spans="1:22" ht="15" customHeight="1">
      <c r="A130" s="28" t="s">
        <v>2473</v>
      </c>
      <c r="B130" s="29">
        <f>IFERROR(SUMIFS(_ENGINE_Crisis!$D$1:$D$700,_ENGINE_Crisis!$A$1:$A$700,B$9,_ENGINE_Crisis!$B$1:$B$700,$A21),"")</f>
        <v>0</v>
      </c>
      <c r="C130" s="29">
        <f>IFERROR(SUMIFS(_ENGINE_Crisis!$D$1:$D$700,_ENGINE_Crisis!$A$1:$A$700,C$9,_ENGINE_Crisis!$B$1:$B$700,$A21),"")</f>
        <v>0</v>
      </c>
      <c r="D130" s="29">
        <f>IFERROR(SUMIFS(_ENGINE_Crisis!$D$1:$D$700,_ENGINE_Crisis!$A$1:$A$700,D$9,_ENGINE_Crisis!$B$1:$B$700,$A21),"")</f>
        <v>0</v>
      </c>
      <c r="E130" s="29">
        <f>IFERROR(SUMIFS(_ENGINE_Crisis!$D$1:$D$700,_ENGINE_Crisis!$A$1:$A$700,E$9,_ENGINE_Crisis!$B$1:$B$700,$A21),"")</f>
        <v>0</v>
      </c>
      <c r="F130" s="29">
        <f>IFERROR(SUMIFS(_ENGINE_Crisis!$D$1:$D$700,_ENGINE_Crisis!$A$1:$A$700,F$9,_ENGINE_Crisis!$B$1:$B$700,$A21),"")</f>
        <v>0</v>
      </c>
      <c r="G130" s="29">
        <f>IFERROR(SUMIFS(_ENGINE_Crisis!$D$1:$D$700,_ENGINE_Crisis!$A$1:$A$700,G$9,_ENGINE_Crisis!$B$1:$B$700,$A21),"")</f>
        <v>0</v>
      </c>
      <c r="H130" s="29">
        <f>IFERROR(SUMIFS(_ENGINE_Crisis!$D$1:$D$700,_ENGINE_Crisis!$A$1:$A$700,H$9,_ENGINE_Crisis!$B$1:$B$700,$A21),"")</f>
        <v>0</v>
      </c>
      <c r="I130" s="29">
        <f>IFERROR(SUMIFS(_ENGINE_Crisis!$D$1:$D$700,_ENGINE_Crisis!$A$1:$A$700,I$9,_ENGINE_Crisis!$B$1:$B$700,$A21),"")</f>
        <v>0</v>
      </c>
      <c r="J130" s="29">
        <f>IFERROR(SUMIFS(_ENGINE_Crisis!$D$1:$D$700,_ENGINE_Crisis!$A$1:$A$700,J$9,_ENGINE_Crisis!$B$1:$B$700,$A21),"")</f>
        <v>0</v>
      </c>
      <c r="K130" s="29">
        <f>IFERROR(SUMIFS(_ENGINE_Crisis!$D$1:$D$700,_ENGINE_Crisis!$A$1:$A$700,K$9,_ENGINE_Crisis!$B$1:$B$700,$A21),"")</f>
        <v>0</v>
      </c>
      <c r="L130" s="29">
        <f>IFERROR(SUMIFS(_ENGINE_Crisis!$D$1:$D$700,_ENGINE_Crisis!$A$1:$A$700,L$9,_ENGINE_Crisis!$B$1:$B$700,$A21),"")</f>
        <v>0</v>
      </c>
      <c r="M130" s="18"/>
      <c r="N130" s="18"/>
      <c r="O130" s="18"/>
      <c r="P130" s="18"/>
      <c r="Q130" s="18"/>
      <c r="R130" s="18"/>
      <c r="S130" s="18"/>
      <c r="T130" s="18"/>
      <c r="U130" s="18"/>
      <c r="V130" s="18"/>
    </row>
    <row r="131" spans="1:22" ht="15" customHeight="1">
      <c r="A131" s="28" t="s">
        <v>2588</v>
      </c>
      <c r="B131" s="29">
        <f>IFERROR(SUMIFS(_ENGINE_Crisis!$D$1:$D$700,_ENGINE_Crisis!$A$1:$A$700,B$9,_ENGINE_Crisis!$B$1:$B$700,$A22),"")</f>
        <v>0</v>
      </c>
      <c r="C131" s="29">
        <f>IFERROR(SUMIFS(_ENGINE_Crisis!$D$1:$D$700,_ENGINE_Crisis!$A$1:$A$700,C$9,_ENGINE_Crisis!$B$1:$B$700,$A22),"")</f>
        <v>0</v>
      </c>
      <c r="D131" s="29">
        <f>IFERROR(SUMIFS(_ENGINE_Crisis!$D$1:$D$700,_ENGINE_Crisis!$A$1:$A$700,D$9,_ENGINE_Crisis!$B$1:$B$700,$A22),"")</f>
        <v>0</v>
      </c>
      <c r="E131" s="29">
        <f>IFERROR(SUMIFS(_ENGINE_Crisis!$D$1:$D$700,_ENGINE_Crisis!$A$1:$A$700,E$9,_ENGINE_Crisis!$B$1:$B$700,$A22),"")</f>
        <v>0</v>
      </c>
      <c r="F131" s="29">
        <f>IFERROR(SUMIFS(_ENGINE_Crisis!$D$1:$D$700,_ENGINE_Crisis!$A$1:$A$700,F$9,_ENGINE_Crisis!$B$1:$B$700,$A22),"")</f>
        <v>0</v>
      </c>
      <c r="G131" s="29">
        <f>IFERROR(SUMIFS(_ENGINE_Crisis!$D$1:$D$700,_ENGINE_Crisis!$A$1:$A$700,G$9,_ENGINE_Crisis!$B$1:$B$700,$A22),"")</f>
        <v>0</v>
      </c>
      <c r="H131" s="29">
        <f>IFERROR(SUMIFS(_ENGINE_Crisis!$D$1:$D$700,_ENGINE_Crisis!$A$1:$A$700,H$9,_ENGINE_Crisis!$B$1:$B$700,$A22),"")</f>
        <v>0</v>
      </c>
      <c r="I131" s="29">
        <f>IFERROR(SUMIFS(_ENGINE_Crisis!$D$1:$D$700,_ENGINE_Crisis!$A$1:$A$700,I$9,_ENGINE_Crisis!$B$1:$B$700,$A22),"")</f>
        <v>0</v>
      </c>
      <c r="J131" s="29">
        <f>IFERROR(SUMIFS(_ENGINE_Crisis!$D$1:$D$700,_ENGINE_Crisis!$A$1:$A$700,J$9,_ENGINE_Crisis!$B$1:$B$700,$A22),"")</f>
        <v>0</v>
      </c>
      <c r="K131" s="29">
        <f>IFERROR(SUMIFS(_ENGINE_Crisis!$D$1:$D$700,_ENGINE_Crisis!$A$1:$A$700,K$9,_ENGINE_Crisis!$B$1:$B$700,$A22),"")</f>
        <v>0</v>
      </c>
      <c r="L131" s="29">
        <f>IFERROR(SUMIFS(_ENGINE_Crisis!$D$1:$D$700,_ENGINE_Crisis!$A$1:$A$700,L$9,_ENGINE_Crisis!$B$1:$B$700,$A22),"")</f>
        <v>0</v>
      </c>
      <c r="M131" s="18"/>
      <c r="N131" s="18"/>
      <c r="O131" s="18"/>
      <c r="P131" s="18"/>
      <c r="Q131" s="18"/>
      <c r="R131" s="18"/>
      <c r="S131" s="18"/>
      <c r="T131" s="18"/>
      <c r="U131" s="18"/>
      <c r="V131" s="18"/>
    </row>
    <row r="132" spans="1:22" ht="15" customHeight="1">
      <c r="A132" s="28" t="s">
        <v>2729</v>
      </c>
      <c r="B132" s="29">
        <f>IFERROR(SUMIFS(_ENGINE_Crisis!$D$1:$D$700,_ENGINE_Crisis!$A$1:$A$700,B$9,_ENGINE_Crisis!$B$1:$B$700,$A23),"")</f>
        <v>0</v>
      </c>
      <c r="C132" s="29">
        <f>IFERROR(SUMIFS(_ENGINE_Crisis!$D$1:$D$700,_ENGINE_Crisis!$A$1:$A$700,C$9,_ENGINE_Crisis!$B$1:$B$700,$A23),"")</f>
        <v>0</v>
      </c>
      <c r="D132" s="29">
        <f>IFERROR(SUMIFS(_ENGINE_Crisis!$D$1:$D$700,_ENGINE_Crisis!$A$1:$A$700,D$9,_ENGINE_Crisis!$B$1:$B$700,$A23),"")</f>
        <v>0</v>
      </c>
      <c r="E132" s="29">
        <f>IFERROR(SUMIFS(_ENGINE_Crisis!$D$1:$D$700,_ENGINE_Crisis!$A$1:$A$700,E$9,_ENGINE_Crisis!$B$1:$B$700,$A23),"")</f>
        <v>0</v>
      </c>
      <c r="F132" s="29">
        <f>IFERROR(SUMIFS(_ENGINE_Crisis!$D$1:$D$700,_ENGINE_Crisis!$A$1:$A$700,F$9,_ENGINE_Crisis!$B$1:$B$700,$A23),"")</f>
        <v>0</v>
      </c>
      <c r="G132" s="29">
        <f>IFERROR(SUMIFS(_ENGINE_Crisis!$D$1:$D$700,_ENGINE_Crisis!$A$1:$A$700,G$9,_ENGINE_Crisis!$B$1:$B$700,$A23),"")</f>
        <v>0</v>
      </c>
      <c r="H132" s="29">
        <f>IFERROR(SUMIFS(_ENGINE_Crisis!$D$1:$D$700,_ENGINE_Crisis!$A$1:$A$700,H$9,_ENGINE_Crisis!$B$1:$B$700,$A23),"")</f>
        <v>0</v>
      </c>
      <c r="I132" s="29">
        <f>IFERROR(SUMIFS(_ENGINE_Crisis!$D$1:$D$700,_ENGINE_Crisis!$A$1:$A$700,I$9,_ENGINE_Crisis!$B$1:$B$700,$A23),"")</f>
        <v>0</v>
      </c>
      <c r="J132" s="29">
        <f>IFERROR(SUMIFS(_ENGINE_Crisis!$D$1:$D$700,_ENGINE_Crisis!$A$1:$A$700,J$9,_ENGINE_Crisis!$B$1:$B$700,$A23),"")</f>
        <v>0</v>
      </c>
      <c r="K132" s="29">
        <f>IFERROR(SUMIFS(_ENGINE_Crisis!$D$1:$D$700,_ENGINE_Crisis!$A$1:$A$700,K$9,_ENGINE_Crisis!$B$1:$B$700,$A23),"")</f>
        <v>0</v>
      </c>
      <c r="L132" s="29">
        <f>IFERROR(SUMIFS(_ENGINE_Crisis!$D$1:$D$700,_ENGINE_Crisis!$A$1:$A$700,L$9,_ENGINE_Crisis!$B$1:$B$700,$A23),"")</f>
        <v>0</v>
      </c>
      <c r="M132" s="18"/>
      <c r="N132" s="18"/>
      <c r="O132" s="18"/>
      <c r="P132" s="18"/>
      <c r="Q132" s="18"/>
      <c r="R132" s="18"/>
      <c r="S132" s="18"/>
      <c r="T132" s="18"/>
      <c r="U132" s="18"/>
      <c r="V132" s="18"/>
    </row>
    <row r="133" spans="1:22" ht="15" customHeight="1">
      <c r="A133" s="28" t="s">
        <v>2824</v>
      </c>
      <c r="B133" s="29">
        <f>IFERROR(SUMIFS(_ENGINE_Crisis!$D$1:$D$700,_ENGINE_Crisis!$A$1:$A$700,B$9,_ENGINE_Crisis!$B$1:$B$700,$A24),"")</f>
        <v>0</v>
      </c>
      <c r="C133" s="29">
        <f>IFERROR(SUMIFS(_ENGINE_Crisis!$D$1:$D$700,_ENGINE_Crisis!$A$1:$A$700,C$9,_ENGINE_Crisis!$B$1:$B$700,$A24),"")</f>
        <v>0</v>
      </c>
      <c r="D133" s="29">
        <f>IFERROR(SUMIFS(_ENGINE_Crisis!$D$1:$D$700,_ENGINE_Crisis!$A$1:$A$700,D$9,_ENGINE_Crisis!$B$1:$B$700,$A24),"")</f>
        <v>0</v>
      </c>
      <c r="E133" s="29">
        <f>IFERROR(SUMIFS(_ENGINE_Crisis!$D$1:$D$700,_ENGINE_Crisis!$A$1:$A$700,E$9,_ENGINE_Crisis!$B$1:$B$700,$A24),"")</f>
        <v>0</v>
      </c>
      <c r="F133" s="29">
        <f>IFERROR(SUMIFS(_ENGINE_Crisis!$D$1:$D$700,_ENGINE_Crisis!$A$1:$A$700,F$9,_ENGINE_Crisis!$B$1:$B$700,$A24),"")</f>
        <v>0</v>
      </c>
      <c r="G133" s="29">
        <f>IFERROR(SUMIFS(_ENGINE_Crisis!$D$1:$D$700,_ENGINE_Crisis!$A$1:$A$700,G$9,_ENGINE_Crisis!$B$1:$B$700,$A24),"")</f>
        <v>0</v>
      </c>
      <c r="H133" s="29">
        <f>IFERROR(SUMIFS(_ENGINE_Crisis!$D$1:$D$700,_ENGINE_Crisis!$A$1:$A$700,H$9,_ENGINE_Crisis!$B$1:$B$700,$A24),"")</f>
        <v>0</v>
      </c>
      <c r="I133" s="29">
        <f>IFERROR(SUMIFS(_ENGINE_Crisis!$D$1:$D$700,_ENGINE_Crisis!$A$1:$A$700,I$9,_ENGINE_Crisis!$B$1:$B$700,$A24),"")</f>
        <v>0</v>
      </c>
      <c r="J133" s="29">
        <f>IFERROR(SUMIFS(_ENGINE_Crisis!$D$1:$D$700,_ENGINE_Crisis!$A$1:$A$700,J$9,_ENGINE_Crisis!$B$1:$B$700,$A24),"")</f>
        <v>0</v>
      </c>
      <c r="K133" s="29">
        <f>IFERROR(SUMIFS(_ENGINE_Crisis!$D$1:$D$700,_ENGINE_Crisis!$A$1:$A$700,K$9,_ENGINE_Crisis!$B$1:$B$700,$A24),"")</f>
        <v>0</v>
      </c>
      <c r="L133" s="29">
        <f>IFERROR(SUMIFS(_ENGINE_Crisis!$D$1:$D$700,_ENGINE_Crisis!$A$1:$A$700,L$9,_ENGINE_Crisis!$B$1:$B$700,$A24),"")</f>
        <v>0</v>
      </c>
      <c r="M133" s="18"/>
      <c r="N133" s="18"/>
      <c r="O133" s="18"/>
      <c r="P133" s="18"/>
      <c r="Q133" s="18"/>
      <c r="R133" s="18"/>
      <c r="S133" s="18"/>
      <c r="T133" s="18"/>
      <c r="U133" s="18"/>
      <c r="V133" s="18"/>
    </row>
    <row r="134" spans="1:22" ht="15" customHeight="1">
      <c r="A134" s="28" t="s">
        <v>2986</v>
      </c>
      <c r="B134" s="29">
        <f>IFERROR(SUMIFS(_ENGINE_Crisis!$D$1:$D$700,_ENGINE_Crisis!$A$1:$A$700,B$9,_ENGINE_Crisis!$B$1:$B$700,$A25),"")</f>
        <v>0</v>
      </c>
      <c r="C134" s="29">
        <f>IFERROR(SUMIFS(_ENGINE_Crisis!$D$1:$D$700,_ENGINE_Crisis!$A$1:$A$700,C$9,_ENGINE_Crisis!$B$1:$B$700,$A25),"")</f>
        <v>0</v>
      </c>
      <c r="D134" s="29">
        <f>IFERROR(SUMIFS(_ENGINE_Crisis!$D$1:$D$700,_ENGINE_Crisis!$A$1:$A$700,D$9,_ENGINE_Crisis!$B$1:$B$700,$A25),"")</f>
        <v>0</v>
      </c>
      <c r="E134" s="29">
        <f>IFERROR(SUMIFS(_ENGINE_Crisis!$D$1:$D$700,_ENGINE_Crisis!$A$1:$A$700,E$9,_ENGINE_Crisis!$B$1:$B$700,$A25),"")</f>
        <v>0</v>
      </c>
      <c r="F134" s="29">
        <f>IFERROR(SUMIFS(_ENGINE_Crisis!$D$1:$D$700,_ENGINE_Crisis!$A$1:$A$700,F$9,_ENGINE_Crisis!$B$1:$B$700,$A25),"")</f>
        <v>0</v>
      </c>
      <c r="G134" s="29">
        <f>IFERROR(SUMIFS(_ENGINE_Crisis!$D$1:$D$700,_ENGINE_Crisis!$A$1:$A$700,G$9,_ENGINE_Crisis!$B$1:$B$700,$A25),"")</f>
        <v>0</v>
      </c>
      <c r="H134" s="29">
        <f>IFERROR(SUMIFS(_ENGINE_Crisis!$D$1:$D$700,_ENGINE_Crisis!$A$1:$A$700,H$9,_ENGINE_Crisis!$B$1:$B$700,$A25),"")</f>
        <v>0</v>
      </c>
      <c r="I134" s="29">
        <f>IFERROR(SUMIFS(_ENGINE_Crisis!$D$1:$D$700,_ENGINE_Crisis!$A$1:$A$700,I$9,_ENGINE_Crisis!$B$1:$B$700,$A25),"")</f>
        <v>0</v>
      </c>
      <c r="J134" s="29">
        <f>IFERROR(SUMIFS(_ENGINE_Crisis!$D$1:$D$700,_ENGINE_Crisis!$A$1:$A$700,J$9,_ENGINE_Crisis!$B$1:$B$700,$A25),"")</f>
        <v>0</v>
      </c>
      <c r="K134" s="29">
        <f>IFERROR(SUMIFS(_ENGINE_Crisis!$D$1:$D$700,_ENGINE_Crisis!$A$1:$A$700,K$9,_ENGINE_Crisis!$B$1:$B$700,$A25),"")</f>
        <v>0</v>
      </c>
      <c r="L134" s="29">
        <f>IFERROR(SUMIFS(_ENGINE_Crisis!$D$1:$D$700,_ENGINE_Crisis!$A$1:$A$700,L$9,_ENGINE_Crisis!$B$1:$B$700,$A25),"")</f>
        <v>0</v>
      </c>
      <c r="M134" s="18"/>
      <c r="N134" s="18"/>
      <c r="O134" s="18"/>
      <c r="P134" s="18"/>
      <c r="Q134" s="18"/>
      <c r="R134" s="18"/>
      <c r="S134" s="18"/>
      <c r="T134" s="18"/>
      <c r="U134" s="18"/>
      <c r="V134" s="18"/>
    </row>
    <row r="135" spans="1:22" ht="15" customHeight="1">
      <c r="A135" s="28" t="s">
        <v>3204</v>
      </c>
      <c r="B135" s="29">
        <f>IFERROR(SUMIFS(_ENGINE_Crisis!$D$1:$D$700,_ENGINE_Crisis!$A$1:$A$700,B$9,_ENGINE_Crisis!$B$1:$B$700,$A26),"")</f>
        <v>0</v>
      </c>
      <c r="C135" s="29">
        <f>IFERROR(SUMIFS(_ENGINE_Crisis!$D$1:$D$700,_ENGINE_Crisis!$A$1:$A$700,C$9,_ENGINE_Crisis!$B$1:$B$700,$A26),"")</f>
        <v>0</v>
      </c>
      <c r="D135" s="29">
        <f>IFERROR(SUMIFS(_ENGINE_Crisis!$D$1:$D$700,_ENGINE_Crisis!$A$1:$A$700,D$9,_ENGINE_Crisis!$B$1:$B$700,$A26),"")</f>
        <v>0</v>
      </c>
      <c r="E135" s="29">
        <f>IFERROR(SUMIFS(_ENGINE_Crisis!$D$1:$D$700,_ENGINE_Crisis!$A$1:$A$700,E$9,_ENGINE_Crisis!$B$1:$B$700,$A26),"")</f>
        <v>0</v>
      </c>
      <c r="F135" s="29">
        <f>IFERROR(SUMIFS(_ENGINE_Crisis!$D$1:$D$700,_ENGINE_Crisis!$A$1:$A$700,F$9,_ENGINE_Crisis!$B$1:$B$700,$A26),"")</f>
        <v>0</v>
      </c>
      <c r="G135" s="29">
        <f>IFERROR(SUMIFS(_ENGINE_Crisis!$D$1:$D$700,_ENGINE_Crisis!$A$1:$A$700,G$9,_ENGINE_Crisis!$B$1:$B$700,$A26),"")</f>
        <v>0</v>
      </c>
      <c r="H135" s="29">
        <f>IFERROR(SUMIFS(_ENGINE_Crisis!$D$1:$D$700,_ENGINE_Crisis!$A$1:$A$700,H$9,_ENGINE_Crisis!$B$1:$B$700,$A26),"")</f>
        <v>0</v>
      </c>
      <c r="I135" s="29">
        <f>IFERROR(SUMIFS(_ENGINE_Crisis!$D$1:$D$700,_ENGINE_Crisis!$A$1:$A$700,I$9,_ENGINE_Crisis!$B$1:$B$700,$A26),"")</f>
        <v>0</v>
      </c>
      <c r="J135" s="29">
        <f>IFERROR(SUMIFS(_ENGINE_Crisis!$D$1:$D$700,_ENGINE_Crisis!$A$1:$A$700,J$9,_ENGINE_Crisis!$B$1:$B$700,$A26),"")</f>
        <v>0</v>
      </c>
      <c r="K135" s="29">
        <f>IFERROR(SUMIFS(_ENGINE_Crisis!$D$1:$D$700,_ENGINE_Crisis!$A$1:$A$700,K$9,_ENGINE_Crisis!$B$1:$B$700,$A26),"")</f>
        <v>0</v>
      </c>
      <c r="L135" s="29">
        <f>IFERROR(SUMIFS(_ENGINE_Crisis!$D$1:$D$700,_ENGINE_Crisis!$A$1:$A$700,L$9,_ENGINE_Crisis!$B$1:$B$700,$A26),"")</f>
        <v>0</v>
      </c>
      <c r="M135" s="18"/>
      <c r="N135" s="18"/>
      <c r="O135" s="18"/>
      <c r="P135" s="18"/>
      <c r="Q135" s="18"/>
      <c r="R135" s="18"/>
      <c r="S135" s="18"/>
      <c r="T135" s="18"/>
      <c r="U135" s="18"/>
      <c r="V135" s="18"/>
    </row>
    <row r="136" spans="1:22">
      <c r="A136" s="18"/>
      <c r="B136" s="18"/>
      <c r="C136" s="18"/>
      <c r="D136" s="18"/>
      <c r="E136" s="18"/>
      <c r="F136" s="18"/>
      <c r="G136" s="18"/>
      <c r="H136" s="18"/>
      <c r="I136" s="18"/>
      <c r="J136" s="18"/>
      <c r="K136" s="18"/>
      <c r="L136" s="18"/>
      <c r="M136" s="18"/>
      <c r="N136" s="18"/>
      <c r="O136" s="18"/>
      <c r="P136" s="18"/>
      <c r="Q136" s="18"/>
      <c r="R136" s="18"/>
      <c r="S136" s="18"/>
      <c r="T136" s="18"/>
      <c r="U136" s="18"/>
      <c r="V136" s="18"/>
    </row>
    <row r="137" spans="1:22">
      <c r="A137" s="18"/>
      <c r="B137" s="18"/>
      <c r="C137" s="18"/>
      <c r="D137" s="18"/>
      <c r="E137" s="18"/>
      <c r="F137" s="18"/>
      <c r="G137" s="18"/>
      <c r="H137" s="18"/>
      <c r="I137" s="18"/>
      <c r="J137" s="18"/>
      <c r="K137" s="18"/>
      <c r="L137" s="18"/>
      <c r="M137" s="18"/>
      <c r="N137" s="18"/>
      <c r="O137" s="18"/>
      <c r="P137" s="18"/>
      <c r="Q137" s="18"/>
      <c r="R137" s="18"/>
      <c r="S137" s="18"/>
      <c r="T137" s="18"/>
      <c r="U137" s="18"/>
      <c r="V137" s="18"/>
    </row>
    <row r="138" spans="1:22">
      <c r="A138" s="18"/>
      <c r="B138" s="18"/>
      <c r="C138" s="18"/>
      <c r="D138" s="18"/>
      <c r="E138" s="18"/>
      <c r="F138" s="18"/>
      <c r="G138" s="18"/>
      <c r="H138" s="18"/>
      <c r="I138" s="18"/>
      <c r="J138" s="18"/>
      <c r="K138" s="18"/>
      <c r="L138" s="18"/>
      <c r="M138" s="18"/>
      <c r="N138" s="18"/>
      <c r="O138" s="18"/>
      <c r="P138" s="18"/>
      <c r="Q138" s="18"/>
      <c r="R138" s="18"/>
      <c r="S138" s="18"/>
      <c r="T138" s="18"/>
      <c r="U138" s="18"/>
      <c r="V138" s="18"/>
    </row>
    <row r="139" spans="1:22" ht="15" customHeight="1">
      <c r="A139" s="54" t="s">
        <v>3678</v>
      </c>
      <c r="B139" s="55"/>
      <c r="C139" s="55"/>
      <c r="D139" s="55"/>
      <c r="E139" s="55"/>
      <c r="F139" s="55"/>
      <c r="G139" s="55"/>
      <c r="H139" s="55"/>
      <c r="I139" s="55"/>
      <c r="J139" s="55"/>
      <c r="K139" s="55"/>
      <c r="L139" s="55"/>
      <c r="M139" s="52"/>
      <c r="N139" s="18"/>
      <c r="O139" s="18"/>
      <c r="P139" s="18"/>
      <c r="Q139" s="18"/>
      <c r="R139" s="18"/>
      <c r="S139" s="18"/>
      <c r="T139" s="18"/>
      <c r="U139" s="18"/>
      <c r="V139" s="18"/>
    </row>
    <row r="140" spans="1:22" ht="44.15" customHeight="1">
      <c r="A140" s="15" t="s">
        <v>764</v>
      </c>
      <c r="B140" s="15" t="s">
        <v>3679</v>
      </c>
      <c r="C140" s="15" t="s">
        <v>3680</v>
      </c>
      <c r="D140" s="15" t="s">
        <v>3681</v>
      </c>
      <c r="E140" s="15" t="s">
        <v>3682</v>
      </c>
      <c r="F140" s="15" t="s">
        <v>3683</v>
      </c>
      <c r="G140" s="15" t="s">
        <v>3684</v>
      </c>
      <c r="H140" s="15" t="s">
        <v>3685</v>
      </c>
      <c r="I140" s="15" t="s">
        <v>3686</v>
      </c>
      <c r="J140" s="15" t="s">
        <v>3687</v>
      </c>
      <c r="K140" s="15" t="s">
        <v>3688</v>
      </c>
      <c r="L140" s="15" t="s">
        <v>3689</v>
      </c>
      <c r="M140" s="15" t="s">
        <v>3690</v>
      </c>
      <c r="N140" s="27"/>
      <c r="O140" s="27"/>
      <c r="P140" s="27"/>
      <c r="Q140" s="27"/>
      <c r="R140" s="27"/>
      <c r="S140" s="27"/>
      <c r="T140" s="27"/>
      <c r="U140" s="27"/>
      <c r="V140" s="27"/>
    </row>
    <row r="141" spans="1:22" ht="15" customHeight="1">
      <c r="A141" s="28" t="s">
        <v>815</v>
      </c>
      <c r="B141" s="30" t="str">
        <f>IFERROR(ROUND(AVERAGEIFS(_ENGINE_Risk!$L$500:$L$923,_ENGINE_Risk!$B$500:$B$923,"Yes",_ENGINE_Risk!$C$500:$C$923,$A32,_ENGINE_Risk!$F$500:$F$923,B$31),1),"")</f>
        <v/>
      </c>
      <c r="C141" s="30" t="str">
        <f>IFERROR(ROUND(AVERAGEIFS(_ENGINE_Risk!$L$500:$L$923,_ENGINE_Risk!$B$500:$B$923,"Yes",_ENGINE_Risk!$C$500:$C$923,$A32,_ENGINE_Risk!$F$500:$F$923,C$31),1),"")</f>
        <v/>
      </c>
      <c r="D141" s="30" t="str">
        <f>IFERROR(ROUND(AVERAGEIFS(_ENGINE_Risk!$L$500:$L$923,_ENGINE_Risk!$B$500:$B$923,"Yes",_ENGINE_Risk!$C$500:$C$923,$A32,_ENGINE_Risk!$F$500:$F$923,D$31),1),"")</f>
        <v/>
      </c>
      <c r="E141" s="30" t="str">
        <f>IFERROR(ROUND(AVERAGEIFS(_ENGINE_Risk!$L$500:$L$923,_ENGINE_Risk!$B$500:$B$923,"Yes",_ENGINE_Risk!$C$500:$C$923,$A32,_ENGINE_Risk!$F$500:$F$923,E$31),1),"")</f>
        <v/>
      </c>
      <c r="F141" s="30" t="str">
        <f>IFERROR(ROUND(AVERAGEIFS(_ENGINE_Risk!$L$500:$L$923,_ENGINE_Risk!$B$500:$B$923,"Yes",_ENGINE_Risk!$C$500:$C$923,$A32,_ENGINE_Risk!$F$500:$F$923,F$31),1),"")</f>
        <v/>
      </c>
      <c r="G141" s="30" t="str">
        <f>IFERROR(ROUND(AVERAGEIFS(_ENGINE_Risk!$L$500:$L$923,_ENGINE_Risk!$B$500:$B$923,"Yes",_ENGINE_Risk!$C$500:$C$923,$A32,_ENGINE_Risk!$F$500:$F$923,G$31),1),"")</f>
        <v/>
      </c>
      <c r="H141" s="30" t="str">
        <f>IFERROR(ROUND(AVERAGEIFS(_ENGINE_Risk!$L$500:$L$923,_ENGINE_Risk!$B$500:$B$923,"Yes",_ENGINE_Risk!$C$500:$C$923,$A32,_ENGINE_Risk!$F$500:$F$923,H$31),1),"")</f>
        <v/>
      </c>
      <c r="I141" s="30" t="str">
        <f>IFERROR(ROUND(AVERAGEIFS(_ENGINE_Risk!$L$500:$L$923,_ENGINE_Risk!$B$500:$B$923,"Yes",_ENGINE_Risk!$C$500:$C$923,$A32,_ENGINE_Risk!$F$500:$F$923,I$31),1),"")</f>
        <v/>
      </c>
      <c r="J141" s="30" t="str">
        <f>IFERROR(ROUND(AVERAGEIFS(_ENGINE_Risk!$L$500:$L$923,_ENGINE_Risk!$B$500:$B$923,"Yes",_ENGINE_Risk!$C$500:$C$923,$A32,_ENGINE_Risk!$F$500:$F$923,J$31),1),"")</f>
        <v/>
      </c>
      <c r="K141" s="30" t="str">
        <f>IFERROR(ROUND(AVERAGEIFS(_ENGINE_Risk!$L$500:$L$923,_ENGINE_Risk!$B$500:$B$923,"Yes",_ENGINE_Risk!$C$500:$C$923,$A32,_ENGINE_Risk!$F$500:$F$923,K$31),1),"")</f>
        <v/>
      </c>
      <c r="L141" s="30" t="str">
        <f>IFERROR(ROUND(AVERAGEIFS(_ENGINE_Risk!$L$500:$L$923,_ENGINE_Risk!$B$500:$B$923,"Yes",_ENGINE_Risk!$C$500:$C$923,$A32,_ENGINE_Risk!$F$500:$F$923,L$31),1),"")</f>
        <v/>
      </c>
      <c r="M141" s="30" t="str">
        <f>IFERROR(ROUND(AVERAGEIFS(_ENGINE_Risk!$L$500:$L$923,_ENGINE_Risk!$B$500:$B$923,"Yes",_ENGINE_Risk!$C$500:$C$923,$A32,_ENGINE_Risk!$F$500:$F$923,M$31),1),"")</f>
        <v/>
      </c>
      <c r="N141" s="18"/>
      <c r="O141" s="18"/>
      <c r="P141" s="18"/>
      <c r="Q141" s="18"/>
      <c r="R141" s="18"/>
      <c r="S141" s="18"/>
      <c r="T141" s="18"/>
      <c r="U141" s="18"/>
      <c r="V141" s="18"/>
    </row>
    <row r="142" spans="1:22" ht="15" customHeight="1">
      <c r="A142" s="28" t="s">
        <v>949</v>
      </c>
      <c r="B142" s="30" t="str">
        <f>IFERROR(ROUND(AVERAGEIFS(_ENGINE_Risk!$L$500:$L$923,_ENGINE_Risk!$B$500:$B$923,"Yes",_ENGINE_Risk!$C$500:$C$923,$A33,_ENGINE_Risk!$F$500:$F$923,B$31),1),"")</f>
        <v/>
      </c>
      <c r="C142" s="30" t="str">
        <f>IFERROR(ROUND(AVERAGEIFS(_ENGINE_Risk!$L$500:$L$923,_ENGINE_Risk!$B$500:$B$923,"Yes",_ENGINE_Risk!$C$500:$C$923,$A33,_ENGINE_Risk!$F$500:$F$923,C$31),1),"")</f>
        <v/>
      </c>
      <c r="D142" s="30" t="str">
        <f>IFERROR(ROUND(AVERAGEIFS(_ENGINE_Risk!$L$500:$L$923,_ENGINE_Risk!$B$500:$B$923,"Yes",_ENGINE_Risk!$C$500:$C$923,$A33,_ENGINE_Risk!$F$500:$F$923,D$31),1),"")</f>
        <v/>
      </c>
      <c r="E142" s="30" t="str">
        <f>IFERROR(ROUND(AVERAGEIFS(_ENGINE_Risk!$L$500:$L$923,_ENGINE_Risk!$B$500:$B$923,"Yes",_ENGINE_Risk!$C$500:$C$923,$A33,_ENGINE_Risk!$F$500:$F$923,E$31),1),"")</f>
        <v/>
      </c>
      <c r="F142" s="30" t="str">
        <f>IFERROR(ROUND(AVERAGEIFS(_ENGINE_Risk!$L$500:$L$923,_ENGINE_Risk!$B$500:$B$923,"Yes",_ENGINE_Risk!$C$500:$C$923,$A33,_ENGINE_Risk!$F$500:$F$923,F$31),1),"")</f>
        <v/>
      </c>
      <c r="G142" s="30" t="str">
        <f>IFERROR(ROUND(AVERAGEIFS(_ENGINE_Risk!$L$500:$L$923,_ENGINE_Risk!$B$500:$B$923,"Yes",_ENGINE_Risk!$C$500:$C$923,$A33,_ENGINE_Risk!$F$500:$F$923,G$31),1),"")</f>
        <v/>
      </c>
      <c r="H142" s="30" t="str">
        <f>IFERROR(ROUND(AVERAGEIFS(_ENGINE_Risk!$L$500:$L$923,_ENGINE_Risk!$B$500:$B$923,"Yes",_ENGINE_Risk!$C$500:$C$923,$A33,_ENGINE_Risk!$F$500:$F$923,H$31),1),"")</f>
        <v/>
      </c>
      <c r="I142" s="30" t="str">
        <f>IFERROR(ROUND(AVERAGEIFS(_ENGINE_Risk!$L$500:$L$923,_ENGINE_Risk!$B$500:$B$923,"Yes",_ENGINE_Risk!$C$500:$C$923,$A33,_ENGINE_Risk!$F$500:$F$923,I$31),1),"")</f>
        <v/>
      </c>
      <c r="J142" s="30" t="str">
        <f>IFERROR(ROUND(AVERAGEIFS(_ENGINE_Risk!$L$500:$L$923,_ENGINE_Risk!$B$500:$B$923,"Yes",_ENGINE_Risk!$C$500:$C$923,$A33,_ENGINE_Risk!$F$500:$F$923,J$31),1),"")</f>
        <v/>
      </c>
      <c r="K142" s="30" t="str">
        <f>IFERROR(ROUND(AVERAGEIFS(_ENGINE_Risk!$L$500:$L$923,_ENGINE_Risk!$B$500:$B$923,"Yes",_ENGINE_Risk!$C$500:$C$923,$A33,_ENGINE_Risk!$F$500:$F$923,K$31),1),"")</f>
        <v/>
      </c>
      <c r="L142" s="30" t="str">
        <f>IFERROR(ROUND(AVERAGEIFS(_ENGINE_Risk!$L$500:$L$923,_ENGINE_Risk!$B$500:$B$923,"Yes",_ENGINE_Risk!$C$500:$C$923,$A33,_ENGINE_Risk!$F$500:$F$923,L$31),1),"")</f>
        <v/>
      </c>
      <c r="M142" s="30" t="str">
        <f>IFERROR(ROUND(AVERAGEIFS(_ENGINE_Risk!$L$500:$L$923,_ENGINE_Risk!$B$500:$B$923,"Yes",_ENGINE_Risk!$C$500:$C$923,$A33,_ENGINE_Risk!$F$500:$F$923,M$31),1),"")</f>
        <v/>
      </c>
      <c r="N142" s="18"/>
      <c r="O142" s="18"/>
      <c r="P142" s="18"/>
      <c r="Q142" s="18"/>
      <c r="R142" s="18"/>
      <c r="S142" s="18"/>
      <c r="T142" s="18"/>
      <c r="U142" s="18"/>
      <c r="V142" s="18"/>
    </row>
    <row r="143" spans="1:22" ht="15" customHeight="1">
      <c r="A143" s="28" t="s">
        <v>1150</v>
      </c>
      <c r="B143" s="30" t="str">
        <f>IFERROR(ROUND(AVERAGEIFS(_ENGINE_Risk!$L$500:$L$923,_ENGINE_Risk!$B$500:$B$923,"Yes",_ENGINE_Risk!$C$500:$C$923,$A34,_ENGINE_Risk!$F$500:$F$923,B$31),1),"")</f>
        <v/>
      </c>
      <c r="C143" s="30" t="str">
        <f>IFERROR(ROUND(AVERAGEIFS(_ENGINE_Risk!$L$500:$L$923,_ENGINE_Risk!$B$500:$B$923,"Yes",_ENGINE_Risk!$C$500:$C$923,$A34,_ENGINE_Risk!$F$500:$F$923,C$31),1),"")</f>
        <v/>
      </c>
      <c r="D143" s="30" t="str">
        <f>IFERROR(ROUND(AVERAGEIFS(_ENGINE_Risk!$L$500:$L$923,_ENGINE_Risk!$B$500:$B$923,"Yes",_ENGINE_Risk!$C$500:$C$923,$A34,_ENGINE_Risk!$F$500:$F$923,D$31),1),"")</f>
        <v/>
      </c>
      <c r="E143" s="30" t="str">
        <f>IFERROR(ROUND(AVERAGEIFS(_ENGINE_Risk!$L$500:$L$923,_ENGINE_Risk!$B$500:$B$923,"Yes",_ENGINE_Risk!$C$500:$C$923,$A34,_ENGINE_Risk!$F$500:$F$923,E$31),1),"")</f>
        <v/>
      </c>
      <c r="F143" s="30" t="str">
        <f>IFERROR(ROUND(AVERAGEIFS(_ENGINE_Risk!$L$500:$L$923,_ENGINE_Risk!$B$500:$B$923,"Yes",_ENGINE_Risk!$C$500:$C$923,$A34,_ENGINE_Risk!$F$500:$F$923,F$31),1),"")</f>
        <v/>
      </c>
      <c r="G143" s="30" t="str">
        <f>IFERROR(ROUND(AVERAGEIFS(_ENGINE_Risk!$L$500:$L$923,_ENGINE_Risk!$B$500:$B$923,"Yes",_ENGINE_Risk!$C$500:$C$923,$A34,_ENGINE_Risk!$F$500:$F$923,G$31),1),"")</f>
        <v/>
      </c>
      <c r="H143" s="30" t="str">
        <f>IFERROR(ROUND(AVERAGEIFS(_ENGINE_Risk!$L$500:$L$923,_ENGINE_Risk!$B$500:$B$923,"Yes",_ENGINE_Risk!$C$500:$C$923,$A34,_ENGINE_Risk!$F$500:$F$923,H$31),1),"")</f>
        <v/>
      </c>
      <c r="I143" s="30" t="str">
        <f>IFERROR(ROUND(AVERAGEIFS(_ENGINE_Risk!$L$500:$L$923,_ENGINE_Risk!$B$500:$B$923,"Yes",_ENGINE_Risk!$C$500:$C$923,$A34,_ENGINE_Risk!$F$500:$F$923,I$31),1),"")</f>
        <v/>
      </c>
      <c r="J143" s="30" t="str">
        <f>IFERROR(ROUND(AVERAGEIFS(_ENGINE_Risk!$L$500:$L$923,_ENGINE_Risk!$B$500:$B$923,"Yes",_ENGINE_Risk!$C$500:$C$923,$A34,_ENGINE_Risk!$F$500:$F$923,J$31),1),"")</f>
        <v/>
      </c>
      <c r="K143" s="30" t="str">
        <f>IFERROR(ROUND(AVERAGEIFS(_ENGINE_Risk!$L$500:$L$923,_ENGINE_Risk!$B$500:$B$923,"Yes",_ENGINE_Risk!$C$500:$C$923,$A34,_ENGINE_Risk!$F$500:$F$923,K$31),1),"")</f>
        <v/>
      </c>
      <c r="L143" s="30" t="str">
        <f>IFERROR(ROUND(AVERAGEIFS(_ENGINE_Risk!$L$500:$L$923,_ENGINE_Risk!$B$500:$B$923,"Yes",_ENGINE_Risk!$C$500:$C$923,$A34,_ENGINE_Risk!$F$500:$F$923,L$31),1),"")</f>
        <v/>
      </c>
      <c r="M143" s="30" t="str">
        <f>IFERROR(ROUND(AVERAGEIFS(_ENGINE_Risk!$L$500:$L$923,_ENGINE_Risk!$B$500:$B$923,"Yes",_ENGINE_Risk!$C$500:$C$923,$A34,_ENGINE_Risk!$F$500:$F$923,M$31),1),"")</f>
        <v/>
      </c>
      <c r="N143" s="18"/>
      <c r="O143" s="18"/>
      <c r="P143" s="18"/>
      <c r="Q143" s="18"/>
      <c r="R143" s="18"/>
      <c r="S143" s="18"/>
      <c r="T143" s="18"/>
      <c r="U143" s="18"/>
      <c r="V143" s="18"/>
    </row>
    <row r="144" spans="1:22" ht="15" customHeight="1">
      <c r="A144" s="28" t="s">
        <v>1259</v>
      </c>
      <c r="B144" s="30" t="str">
        <f>IFERROR(ROUND(AVERAGEIFS(_ENGINE_Risk!$L$500:$L$923,_ENGINE_Risk!$B$500:$B$923,"Yes",_ENGINE_Risk!$C$500:$C$923,$A35,_ENGINE_Risk!$F$500:$F$923,B$31),1),"")</f>
        <v/>
      </c>
      <c r="C144" s="30" t="str">
        <f>IFERROR(ROUND(AVERAGEIFS(_ENGINE_Risk!$L$500:$L$923,_ENGINE_Risk!$B$500:$B$923,"Yes",_ENGINE_Risk!$C$500:$C$923,$A35,_ENGINE_Risk!$F$500:$F$923,C$31),1),"")</f>
        <v/>
      </c>
      <c r="D144" s="30" t="str">
        <f>IFERROR(ROUND(AVERAGEIFS(_ENGINE_Risk!$L$500:$L$923,_ENGINE_Risk!$B$500:$B$923,"Yes",_ENGINE_Risk!$C$500:$C$923,$A35,_ENGINE_Risk!$F$500:$F$923,D$31),1),"")</f>
        <v/>
      </c>
      <c r="E144" s="30" t="str">
        <f>IFERROR(ROUND(AVERAGEIFS(_ENGINE_Risk!$L$500:$L$923,_ENGINE_Risk!$B$500:$B$923,"Yes",_ENGINE_Risk!$C$500:$C$923,$A35,_ENGINE_Risk!$F$500:$F$923,E$31),1),"")</f>
        <v/>
      </c>
      <c r="F144" s="30" t="str">
        <f>IFERROR(ROUND(AVERAGEIFS(_ENGINE_Risk!$L$500:$L$923,_ENGINE_Risk!$B$500:$B$923,"Yes",_ENGINE_Risk!$C$500:$C$923,$A35,_ENGINE_Risk!$F$500:$F$923,F$31),1),"")</f>
        <v/>
      </c>
      <c r="G144" s="30" t="str">
        <f>IFERROR(ROUND(AVERAGEIFS(_ENGINE_Risk!$L$500:$L$923,_ENGINE_Risk!$B$500:$B$923,"Yes",_ENGINE_Risk!$C$500:$C$923,$A35,_ENGINE_Risk!$F$500:$F$923,G$31),1),"")</f>
        <v/>
      </c>
      <c r="H144" s="30" t="str">
        <f>IFERROR(ROUND(AVERAGEIFS(_ENGINE_Risk!$L$500:$L$923,_ENGINE_Risk!$B$500:$B$923,"Yes",_ENGINE_Risk!$C$500:$C$923,$A35,_ENGINE_Risk!$F$500:$F$923,H$31),1),"")</f>
        <v/>
      </c>
      <c r="I144" s="30" t="str">
        <f>IFERROR(ROUND(AVERAGEIFS(_ENGINE_Risk!$L$500:$L$923,_ENGINE_Risk!$B$500:$B$923,"Yes",_ENGINE_Risk!$C$500:$C$923,$A35,_ENGINE_Risk!$F$500:$F$923,I$31),1),"")</f>
        <v/>
      </c>
      <c r="J144" s="30" t="str">
        <f>IFERROR(ROUND(AVERAGEIFS(_ENGINE_Risk!$L$500:$L$923,_ENGINE_Risk!$B$500:$B$923,"Yes",_ENGINE_Risk!$C$500:$C$923,$A35,_ENGINE_Risk!$F$500:$F$923,J$31),1),"")</f>
        <v/>
      </c>
      <c r="K144" s="30" t="str">
        <f>IFERROR(ROUND(AVERAGEIFS(_ENGINE_Risk!$L$500:$L$923,_ENGINE_Risk!$B$500:$B$923,"Yes",_ENGINE_Risk!$C$500:$C$923,$A35,_ENGINE_Risk!$F$500:$F$923,K$31),1),"")</f>
        <v/>
      </c>
      <c r="L144" s="30" t="str">
        <f>IFERROR(ROUND(AVERAGEIFS(_ENGINE_Risk!$L$500:$L$923,_ENGINE_Risk!$B$500:$B$923,"Yes",_ENGINE_Risk!$C$500:$C$923,$A35,_ENGINE_Risk!$F$500:$F$923,L$31),1),"")</f>
        <v/>
      </c>
      <c r="M144" s="30" t="str">
        <f>IFERROR(ROUND(AVERAGEIFS(_ENGINE_Risk!$L$500:$L$923,_ENGINE_Risk!$B$500:$B$923,"Yes",_ENGINE_Risk!$C$500:$C$923,$A35,_ENGINE_Risk!$F$500:$F$923,M$31),1),"")</f>
        <v/>
      </c>
      <c r="N144" s="18"/>
      <c r="O144" s="18"/>
      <c r="P144" s="18"/>
      <c r="Q144" s="18"/>
      <c r="R144" s="18"/>
      <c r="S144" s="18"/>
      <c r="T144" s="18"/>
      <c r="U144" s="18"/>
      <c r="V144" s="18"/>
    </row>
    <row r="145" spans="1:22" ht="15" customHeight="1">
      <c r="A145" s="28" t="s">
        <v>1401</v>
      </c>
      <c r="B145" s="30" t="str">
        <f>IFERROR(ROUND(AVERAGEIFS(_ENGINE_Risk!$L$500:$L$923,_ENGINE_Risk!$B$500:$B$923,"Yes",_ENGINE_Risk!$C$500:$C$923,$A36,_ENGINE_Risk!$F$500:$F$923,B$31),1),"")</f>
        <v/>
      </c>
      <c r="C145" s="30" t="str">
        <f>IFERROR(ROUND(AVERAGEIFS(_ENGINE_Risk!$L$500:$L$923,_ENGINE_Risk!$B$500:$B$923,"Yes",_ENGINE_Risk!$C$500:$C$923,$A36,_ENGINE_Risk!$F$500:$F$923,C$31),1),"")</f>
        <v/>
      </c>
      <c r="D145" s="30" t="str">
        <f>IFERROR(ROUND(AVERAGEIFS(_ENGINE_Risk!$L$500:$L$923,_ENGINE_Risk!$B$500:$B$923,"Yes",_ENGINE_Risk!$C$500:$C$923,$A36,_ENGINE_Risk!$F$500:$F$923,D$31),1),"")</f>
        <v/>
      </c>
      <c r="E145" s="30" t="str">
        <f>IFERROR(ROUND(AVERAGEIFS(_ENGINE_Risk!$L$500:$L$923,_ENGINE_Risk!$B$500:$B$923,"Yes",_ENGINE_Risk!$C$500:$C$923,$A36,_ENGINE_Risk!$F$500:$F$923,E$31),1),"")</f>
        <v/>
      </c>
      <c r="F145" s="30" t="str">
        <f>IFERROR(ROUND(AVERAGEIFS(_ENGINE_Risk!$L$500:$L$923,_ENGINE_Risk!$B$500:$B$923,"Yes",_ENGINE_Risk!$C$500:$C$923,$A36,_ENGINE_Risk!$F$500:$F$923,F$31),1),"")</f>
        <v/>
      </c>
      <c r="G145" s="30" t="str">
        <f>IFERROR(ROUND(AVERAGEIFS(_ENGINE_Risk!$L$500:$L$923,_ENGINE_Risk!$B$500:$B$923,"Yes",_ENGINE_Risk!$C$500:$C$923,$A36,_ENGINE_Risk!$F$500:$F$923,G$31),1),"")</f>
        <v/>
      </c>
      <c r="H145" s="30" t="str">
        <f>IFERROR(ROUND(AVERAGEIFS(_ENGINE_Risk!$L$500:$L$923,_ENGINE_Risk!$B$500:$B$923,"Yes",_ENGINE_Risk!$C$500:$C$923,$A36,_ENGINE_Risk!$F$500:$F$923,H$31),1),"")</f>
        <v/>
      </c>
      <c r="I145" s="30" t="str">
        <f>IFERROR(ROUND(AVERAGEIFS(_ENGINE_Risk!$L$500:$L$923,_ENGINE_Risk!$B$500:$B$923,"Yes",_ENGINE_Risk!$C$500:$C$923,$A36,_ENGINE_Risk!$F$500:$F$923,I$31),1),"")</f>
        <v/>
      </c>
      <c r="J145" s="30" t="str">
        <f>IFERROR(ROUND(AVERAGEIFS(_ENGINE_Risk!$L$500:$L$923,_ENGINE_Risk!$B$500:$B$923,"Yes",_ENGINE_Risk!$C$500:$C$923,$A36,_ENGINE_Risk!$F$500:$F$923,J$31),1),"")</f>
        <v/>
      </c>
      <c r="K145" s="30" t="str">
        <f>IFERROR(ROUND(AVERAGEIFS(_ENGINE_Risk!$L$500:$L$923,_ENGINE_Risk!$B$500:$B$923,"Yes",_ENGINE_Risk!$C$500:$C$923,$A36,_ENGINE_Risk!$F$500:$F$923,K$31),1),"")</f>
        <v/>
      </c>
      <c r="L145" s="30" t="str">
        <f>IFERROR(ROUND(AVERAGEIFS(_ENGINE_Risk!$L$500:$L$923,_ENGINE_Risk!$B$500:$B$923,"Yes",_ENGINE_Risk!$C$500:$C$923,$A36,_ENGINE_Risk!$F$500:$F$923,L$31),1),"")</f>
        <v/>
      </c>
      <c r="M145" s="30" t="str">
        <f>IFERROR(ROUND(AVERAGEIFS(_ENGINE_Risk!$L$500:$L$923,_ENGINE_Risk!$B$500:$B$923,"Yes",_ENGINE_Risk!$C$500:$C$923,$A36,_ENGINE_Risk!$F$500:$F$923,M$31),1),"")</f>
        <v/>
      </c>
      <c r="N145" s="18"/>
      <c r="O145" s="18"/>
      <c r="P145" s="18"/>
      <c r="Q145" s="18"/>
      <c r="R145" s="18"/>
      <c r="S145" s="18"/>
      <c r="T145" s="18"/>
      <c r="U145" s="18"/>
      <c r="V145" s="18"/>
    </row>
    <row r="146" spans="1:22" ht="15" customHeight="1">
      <c r="A146" s="28" t="s">
        <v>1551</v>
      </c>
      <c r="B146" s="30" t="str">
        <f>IFERROR(ROUND(AVERAGEIFS(_ENGINE_Risk!$L$500:$L$923,_ENGINE_Risk!$B$500:$B$923,"Yes",_ENGINE_Risk!$C$500:$C$923,$A37,_ENGINE_Risk!$F$500:$F$923,B$31),1),"")</f>
        <v/>
      </c>
      <c r="C146" s="30" t="str">
        <f>IFERROR(ROUND(AVERAGEIFS(_ENGINE_Risk!$L$500:$L$923,_ENGINE_Risk!$B$500:$B$923,"Yes",_ENGINE_Risk!$C$500:$C$923,$A37,_ENGINE_Risk!$F$500:$F$923,C$31),1),"")</f>
        <v/>
      </c>
      <c r="D146" s="30" t="str">
        <f>IFERROR(ROUND(AVERAGEIFS(_ENGINE_Risk!$L$500:$L$923,_ENGINE_Risk!$B$500:$B$923,"Yes",_ENGINE_Risk!$C$500:$C$923,$A37,_ENGINE_Risk!$F$500:$F$923,D$31),1),"")</f>
        <v/>
      </c>
      <c r="E146" s="30" t="str">
        <f>IFERROR(ROUND(AVERAGEIFS(_ENGINE_Risk!$L$500:$L$923,_ENGINE_Risk!$B$500:$B$923,"Yes",_ENGINE_Risk!$C$500:$C$923,$A37,_ENGINE_Risk!$F$500:$F$923,E$31),1),"")</f>
        <v/>
      </c>
      <c r="F146" s="30" t="str">
        <f>IFERROR(ROUND(AVERAGEIFS(_ENGINE_Risk!$L$500:$L$923,_ENGINE_Risk!$B$500:$B$923,"Yes",_ENGINE_Risk!$C$500:$C$923,$A37,_ENGINE_Risk!$F$500:$F$923,F$31),1),"")</f>
        <v/>
      </c>
      <c r="G146" s="30" t="str">
        <f>IFERROR(ROUND(AVERAGEIFS(_ENGINE_Risk!$L$500:$L$923,_ENGINE_Risk!$B$500:$B$923,"Yes",_ENGINE_Risk!$C$500:$C$923,$A37,_ENGINE_Risk!$F$500:$F$923,G$31),1),"")</f>
        <v/>
      </c>
      <c r="H146" s="30" t="str">
        <f>IFERROR(ROUND(AVERAGEIFS(_ENGINE_Risk!$L$500:$L$923,_ENGINE_Risk!$B$500:$B$923,"Yes",_ENGINE_Risk!$C$500:$C$923,$A37,_ENGINE_Risk!$F$500:$F$923,H$31),1),"")</f>
        <v/>
      </c>
      <c r="I146" s="30" t="str">
        <f>IFERROR(ROUND(AVERAGEIFS(_ENGINE_Risk!$L$500:$L$923,_ENGINE_Risk!$B$500:$B$923,"Yes",_ENGINE_Risk!$C$500:$C$923,$A37,_ENGINE_Risk!$F$500:$F$923,I$31),1),"")</f>
        <v/>
      </c>
      <c r="J146" s="30" t="str">
        <f>IFERROR(ROUND(AVERAGEIFS(_ENGINE_Risk!$L$500:$L$923,_ENGINE_Risk!$B$500:$B$923,"Yes",_ENGINE_Risk!$C$500:$C$923,$A37,_ENGINE_Risk!$F$500:$F$923,J$31),1),"")</f>
        <v/>
      </c>
      <c r="K146" s="30" t="str">
        <f>IFERROR(ROUND(AVERAGEIFS(_ENGINE_Risk!$L$500:$L$923,_ENGINE_Risk!$B$500:$B$923,"Yes",_ENGINE_Risk!$C$500:$C$923,$A37,_ENGINE_Risk!$F$500:$F$923,K$31),1),"")</f>
        <v/>
      </c>
      <c r="L146" s="30" t="str">
        <f>IFERROR(ROUND(AVERAGEIFS(_ENGINE_Risk!$L$500:$L$923,_ENGINE_Risk!$B$500:$B$923,"Yes",_ENGINE_Risk!$C$500:$C$923,$A37,_ENGINE_Risk!$F$500:$F$923,L$31),1),"")</f>
        <v/>
      </c>
      <c r="M146" s="30" t="str">
        <f>IFERROR(ROUND(AVERAGEIFS(_ENGINE_Risk!$L$500:$L$923,_ENGINE_Risk!$B$500:$B$923,"Yes",_ENGINE_Risk!$C$500:$C$923,$A37,_ENGINE_Risk!$F$500:$F$923,M$31),1),"")</f>
        <v/>
      </c>
      <c r="N146" s="18"/>
      <c r="O146" s="18"/>
      <c r="P146" s="18"/>
      <c r="Q146" s="18"/>
      <c r="R146" s="18"/>
      <c r="S146" s="18"/>
      <c r="T146" s="18"/>
      <c r="U146" s="18"/>
      <c r="V146" s="18"/>
    </row>
    <row r="147" spans="1:22" ht="15" customHeight="1">
      <c r="A147" s="28" t="s">
        <v>1666</v>
      </c>
      <c r="B147" s="30" t="str">
        <f>IFERROR(ROUND(AVERAGEIFS(_ENGINE_Risk!$L$500:$L$923,_ENGINE_Risk!$B$500:$B$923,"Yes",_ENGINE_Risk!$C$500:$C$923,$A38,_ENGINE_Risk!$F$500:$F$923,B$31),1),"")</f>
        <v/>
      </c>
      <c r="C147" s="30" t="str">
        <f>IFERROR(ROUND(AVERAGEIFS(_ENGINE_Risk!$L$500:$L$923,_ENGINE_Risk!$B$500:$B$923,"Yes",_ENGINE_Risk!$C$500:$C$923,$A38,_ENGINE_Risk!$F$500:$F$923,C$31),1),"")</f>
        <v/>
      </c>
      <c r="D147" s="30" t="str">
        <f>IFERROR(ROUND(AVERAGEIFS(_ENGINE_Risk!$L$500:$L$923,_ENGINE_Risk!$B$500:$B$923,"Yes",_ENGINE_Risk!$C$500:$C$923,$A38,_ENGINE_Risk!$F$500:$F$923,D$31),1),"")</f>
        <v/>
      </c>
      <c r="E147" s="30" t="str">
        <f>IFERROR(ROUND(AVERAGEIFS(_ENGINE_Risk!$L$500:$L$923,_ENGINE_Risk!$B$500:$B$923,"Yes",_ENGINE_Risk!$C$500:$C$923,$A38,_ENGINE_Risk!$F$500:$F$923,E$31),1),"")</f>
        <v/>
      </c>
      <c r="F147" s="30" t="str">
        <f>IFERROR(ROUND(AVERAGEIFS(_ENGINE_Risk!$L$500:$L$923,_ENGINE_Risk!$B$500:$B$923,"Yes",_ENGINE_Risk!$C$500:$C$923,$A38,_ENGINE_Risk!$F$500:$F$923,F$31),1),"")</f>
        <v/>
      </c>
      <c r="G147" s="30" t="str">
        <f>IFERROR(ROUND(AVERAGEIFS(_ENGINE_Risk!$L$500:$L$923,_ENGINE_Risk!$B$500:$B$923,"Yes",_ENGINE_Risk!$C$500:$C$923,$A38,_ENGINE_Risk!$F$500:$F$923,G$31),1),"")</f>
        <v/>
      </c>
      <c r="H147" s="30" t="str">
        <f>IFERROR(ROUND(AVERAGEIFS(_ENGINE_Risk!$L$500:$L$923,_ENGINE_Risk!$B$500:$B$923,"Yes",_ENGINE_Risk!$C$500:$C$923,$A38,_ENGINE_Risk!$F$500:$F$923,H$31),1),"")</f>
        <v/>
      </c>
      <c r="I147" s="30" t="str">
        <f>IFERROR(ROUND(AVERAGEIFS(_ENGINE_Risk!$L$500:$L$923,_ENGINE_Risk!$B$500:$B$923,"Yes",_ENGINE_Risk!$C$500:$C$923,$A38,_ENGINE_Risk!$F$500:$F$923,I$31),1),"")</f>
        <v/>
      </c>
      <c r="J147" s="30" t="str">
        <f>IFERROR(ROUND(AVERAGEIFS(_ENGINE_Risk!$L$500:$L$923,_ENGINE_Risk!$B$500:$B$923,"Yes",_ENGINE_Risk!$C$500:$C$923,$A38,_ENGINE_Risk!$F$500:$F$923,J$31),1),"")</f>
        <v/>
      </c>
      <c r="K147" s="30" t="str">
        <f>IFERROR(ROUND(AVERAGEIFS(_ENGINE_Risk!$L$500:$L$923,_ENGINE_Risk!$B$500:$B$923,"Yes",_ENGINE_Risk!$C$500:$C$923,$A38,_ENGINE_Risk!$F$500:$F$923,K$31),1),"")</f>
        <v/>
      </c>
      <c r="L147" s="30" t="str">
        <f>IFERROR(ROUND(AVERAGEIFS(_ENGINE_Risk!$L$500:$L$923,_ENGINE_Risk!$B$500:$B$923,"Yes",_ENGINE_Risk!$C$500:$C$923,$A38,_ENGINE_Risk!$F$500:$F$923,L$31),1),"")</f>
        <v/>
      </c>
      <c r="M147" s="30" t="str">
        <f>IFERROR(ROUND(AVERAGEIFS(_ENGINE_Risk!$L$500:$L$923,_ENGINE_Risk!$B$500:$B$923,"Yes",_ENGINE_Risk!$C$500:$C$923,$A38,_ENGINE_Risk!$F$500:$F$923,M$31),1),"")</f>
        <v/>
      </c>
      <c r="N147" s="18"/>
      <c r="O147" s="18"/>
      <c r="P147" s="18"/>
      <c r="Q147" s="18"/>
      <c r="R147" s="18"/>
      <c r="S147" s="18"/>
      <c r="T147" s="18"/>
      <c r="U147" s="18"/>
      <c r="V147" s="18"/>
    </row>
    <row r="148" spans="1:22" ht="15" customHeight="1">
      <c r="A148" s="28" t="s">
        <v>1859</v>
      </c>
      <c r="B148" s="30" t="str">
        <f>IFERROR(ROUND(AVERAGEIFS(_ENGINE_Risk!$L$500:$L$923,_ENGINE_Risk!$B$500:$B$923,"Yes",_ENGINE_Risk!$C$500:$C$923,$A39,_ENGINE_Risk!$F$500:$F$923,B$31),1),"")</f>
        <v/>
      </c>
      <c r="C148" s="30" t="str">
        <f>IFERROR(ROUND(AVERAGEIFS(_ENGINE_Risk!$L$500:$L$923,_ENGINE_Risk!$B$500:$B$923,"Yes",_ENGINE_Risk!$C$500:$C$923,$A39,_ENGINE_Risk!$F$500:$F$923,C$31),1),"")</f>
        <v/>
      </c>
      <c r="D148" s="30" t="str">
        <f>IFERROR(ROUND(AVERAGEIFS(_ENGINE_Risk!$L$500:$L$923,_ENGINE_Risk!$B$500:$B$923,"Yes",_ENGINE_Risk!$C$500:$C$923,$A39,_ENGINE_Risk!$F$500:$F$923,D$31),1),"")</f>
        <v/>
      </c>
      <c r="E148" s="30" t="str">
        <f>IFERROR(ROUND(AVERAGEIFS(_ENGINE_Risk!$L$500:$L$923,_ENGINE_Risk!$B$500:$B$923,"Yes",_ENGINE_Risk!$C$500:$C$923,$A39,_ENGINE_Risk!$F$500:$F$923,E$31),1),"")</f>
        <v/>
      </c>
      <c r="F148" s="30" t="str">
        <f>IFERROR(ROUND(AVERAGEIFS(_ENGINE_Risk!$L$500:$L$923,_ENGINE_Risk!$B$500:$B$923,"Yes",_ENGINE_Risk!$C$500:$C$923,$A39,_ENGINE_Risk!$F$500:$F$923,F$31),1),"")</f>
        <v/>
      </c>
      <c r="G148" s="30" t="str">
        <f>IFERROR(ROUND(AVERAGEIFS(_ENGINE_Risk!$L$500:$L$923,_ENGINE_Risk!$B$500:$B$923,"Yes",_ENGINE_Risk!$C$500:$C$923,$A39,_ENGINE_Risk!$F$500:$F$923,G$31),1),"")</f>
        <v/>
      </c>
      <c r="H148" s="30" t="str">
        <f>IFERROR(ROUND(AVERAGEIFS(_ENGINE_Risk!$L$500:$L$923,_ENGINE_Risk!$B$500:$B$923,"Yes",_ENGINE_Risk!$C$500:$C$923,$A39,_ENGINE_Risk!$F$500:$F$923,H$31),1),"")</f>
        <v/>
      </c>
      <c r="I148" s="30" t="str">
        <f>IFERROR(ROUND(AVERAGEIFS(_ENGINE_Risk!$L$500:$L$923,_ENGINE_Risk!$B$500:$B$923,"Yes",_ENGINE_Risk!$C$500:$C$923,$A39,_ENGINE_Risk!$F$500:$F$923,I$31),1),"")</f>
        <v/>
      </c>
      <c r="J148" s="30" t="str">
        <f>IFERROR(ROUND(AVERAGEIFS(_ENGINE_Risk!$L$500:$L$923,_ENGINE_Risk!$B$500:$B$923,"Yes",_ENGINE_Risk!$C$500:$C$923,$A39,_ENGINE_Risk!$F$500:$F$923,J$31),1),"")</f>
        <v/>
      </c>
      <c r="K148" s="30" t="str">
        <f>IFERROR(ROUND(AVERAGEIFS(_ENGINE_Risk!$L$500:$L$923,_ENGINE_Risk!$B$500:$B$923,"Yes",_ENGINE_Risk!$C$500:$C$923,$A39,_ENGINE_Risk!$F$500:$F$923,K$31),1),"")</f>
        <v/>
      </c>
      <c r="L148" s="30" t="str">
        <f>IFERROR(ROUND(AVERAGEIFS(_ENGINE_Risk!$L$500:$L$923,_ENGINE_Risk!$B$500:$B$923,"Yes",_ENGINE_Risk!$C$500:$C$923,$A39,_ENGINE_Risk!$F$500:$F$923,L$31),1),"")</f>
        <v/>
      </c>
      <c r="M148" s="30" t="str">
        <f>IFERROR(ROUND(AVERAGEIFS(_ENGINE_Risk!$L$500:$L$923,_ENGINE_Risk!$B$500:$B$923,"Yes",_ENGINE_Risk!$C$500:$C$923,$A39,_ENGINE_Risk!$F$500:$F$923,M$31),1),"")</f>
        <v/>
      </c>
      <c r="N148" s="18"/>
      <c r="O148" s="18"/>
      <c r="P148" s="18"/>
      <c r="Q148" s="18"/>
      <c r="R148" s="18"/>
      <c r="S148" s="18"/>
      <c r="T148" s="18"/>
      <c r="U148" s="18"/>
      <c r="V148" s="18"/>
    </row>
    <row r="149" spans="1:22" ht="15" customHeight="1">
      <c r="A149" s="28" t="s">
        <v>1987</v>
      </c>
      <c r="B149" s="30" t="str">
        <f>IFERROR(ROUND(AVERAGEIFS(_ENGINE_Risk!$L$500:$L$923,_ENGINE_Risk!$B$500:$B$923,"Yes",_ENGINE_Risk!$C$500:$C$923,$A40,_ENGINE_Risk!$F$500:$F$923,B$31),1),"")</f>
        <v/>
      </c>
      <c r="C149" s="30" t="str">
        <f>IFERROR(ROUND(AVERAGEIFS(_ENGINE_Risk!$L$500:$L$923,_ENGINE_Risk!$B$500:$B$923,"Yes",_ENGINE_Risk!$C$500:$C$923,$A40,_ENGINE_Risk!$F$500:$F$923,C$31),1),"")</f>
        <v/>
      </c>
      <c r="D149" s="30" t="str">
        <f>IFERROR(ROUND(AVERAGEIFS(_ENGINE_Risk!$L$500:$L$923,_ENGINE_Risk!$B$500:$B$923,"Yes",_ENGINE_Risk!$C$500:$C$923,$A40,_ENGINE_Risk!$F$500:$F$923,D$31),1),"")</f>
        <v/>
      </c>
      <c r="E149" s="30" t="str">
        <f>IFERROR(ROUND(AVERAGEIFS(_ENGINE_Risk!$L$500:$L$923,_ENGINE_Risk!$B$500:$B$923,"Yes",_ENGINE_Risk!$C$500:$C$923,$A40,_ENGINE_Risk!$F$500:$F$923,E$31),1),"")</f>
        <v/>
      </c>
      <c r="F149" s="30" t="str">
        <f>IFERROR(ROUND(AVERAGEIFS(_ENGINE_Risk!$L$500:$L$923,_ENGINE_Risk!$B$500:$B$923,"Yes",_ENGINE_Risk!$C$500:$C$923,$A40,_ENGINE_Risk!$F$500:$F$923,F$31),1),"")</f>
        <v/>
      </c>
      <c r="G149" s="30" t="str">
        <f>IFERROR(ROUND(AVERAGEIFS(_ENGINE_Risk!$L$500:$L$923,_ENGINE_Risk!$B$500:$B$923,"Yes",_ENGINE_Risk!$C$500:$C$923,$A40,_ENGINE_Risk!$F$500:$F$923,G$31),1),"")</f>
        <v/>
      </c>
      <c r="H149" s="30" t="str">
        <f>IFERROR(ROUND(AVERAGEIFS(_ENGINE_Risk!$L$500:$L$923,_ENGINE_Risk!$B$500:$B$923,"Yes",_ENGINE_Risk!$C$500:$C$923,$A40,_ENGINE_Risk!$F$500:$F$923,H$31),1),"")</f>
        <v/>
      </c>
      <c r="I149" s="30" t="str">
        <f>IFERROR(ROUND(AVERAGEIFS(_ENGINE_Risk!$L$500:$L$923,_ENGINE_Risk!$B$500:$B$923,"Yes",_ENGINE_Risk!$C$500:$C$923,$A40,_ENGINE_Risk!$F$500:$F$923,I$31),1),"")</f>
        <v/>
      </c>
      <c r="J149" s="30" t="str">
        <f>IFERROR(ROUND(AVERAGEIFS(_ENGINE_Risk!$L$500:$L$923,_ENGINE_Risk!$B$500:$B$923,"Yes",_ENGINE_Risk!$C$500:$C$923,$A40,_ENGINE_Risk!$F$500:$F$923,J$31),1),"")</f>
        <v/>
      </c>
      <c r="K149" s="30" t="str">
        <f>IFERROR(ROUND(AVERAGEIFS(_ENGINE_Risk!$L$500:$L$923,_ENGINE_Risk!$B$500:$B$923,"Yes",_ENGINE_Risk!$C$500:$C$923,$A40,_ENGINE_Risk!$F$500:$F$923,K$31),1),"")</f>
        <v/>
      </c>
      <c r="L149" s="30" t="str">
        <f>IFERROR(ROUND(AVERAGEIFS(_ENGINE_Risk!$L$500:$L$923,_ENGINE_Risk!$B$500:$B$923,"Yes",_ENGINE_Risk!$C$500:$C$923,$A40,_ENGINE_Risk!$F$500:$F$923,L$31),1),"")</f>
        <v/>
      </c>
      <c r="M149" s="30" t="str">
        <f>IFERROR(ROUND(AVERAGEIFS(_ENGINE_Risk!$L$500:$L$923,_ENGINE_Risk!$B$500:$B$923,"Yes",_ENGINE_Risk!$C$500:$C$923,$A40,_ENGINE_Risk!$F$500:$F$923,M$31),1),"")</f>
        <v/>
      </c>
      <c r="N149" s="18"/>
      <c r="O149" s="18"/>
      <c r="P149" s="18"/>
      <c r="Q149" s="18"/>
      <c r="R149" s="18"/>
      <c r="S149" s="18"/>
      <c r="T149" s="18"/>
      <c r="U149" s="18"/>
      <c r="V149" s="18"/>
    </row>
    <row r="150" spans="1:22" ht="15" customHeight="1">
      <c r="A150" s="28" t="s">
        <v>2145</v>
      </c>
      <c r="B150" s="30" t="str">
        <f>IFERROR(ROUND(AVERAGEIFS(_ENGINE_Risk!$L$500:$L$923,_ENGINE_Risk!$B$500:$B$923,"Yes",_ENGINE_Risk!$C$500:$C$923,$A41,_ENGINE_Risk!$F$500:$F$923,B$31),1),"")</f>
        <v/>
      </c>
      <c r="C150" s="30" t="str">
        <f>IFERROR(ROUND(AVERAGEIFS(_ENGINE_Risk!$L$500:$L$923,_ENGINE_Risk!$B$500:$B$923,"Yes",_ENGINE_Risk!$C$500:$C$923,$A41,_ENGINE_Risk!$F$500:$F$923,C$31),1),"")</f>
        <v/>
      </c>
      <c r="D150" s="30" t="str">
        <f>IFERROR(ROUND(AVERAGEIFS(_ENGINE_Risk!$L$500:$L$923,_ENGINE_Risk!$B$500:$B$923,"Yes",_ENGINE_Risk!$C$500:$C$923,$A41,_ENGINE_Risk!$F$500:$F$923,D$31),1),"")</f>
        <v/>
      </c>
      <c r="E150" s="30" t="str">
        <f>IFERROR(ROUND(AVERAGEIFS(_ENGINE_Risk!$L$500:$L$923,_ENGINE_Risk!$B$500:$B$923,"Yes",_ENGINE_Risk!$C$500:$C$923,$A41,_ENGINE_Risk!$F$500:$F$923,E$31),1),"")</f>
        <v/>
      </c>
      <c r="F150" s="30" t="str">
        <f>IFERROR(ROUND(AVERAGEIFS(_ENGINE_Risk!$L$500:$L$923,_ENGINE_Risk!$B$500:$B$923,"Yes",_ENGINE_Risk!$C$500:$C$923,$A41,_ENGINE_Risk!$F$500:$F$923,F$31),1),"")</f>
        <v/>
      </c>
      <c r="G150" s="30" t="str">
        <f>IFERROR(ROUND(AVERAGEIFS(_ENGINE_Risk!$L$500:$L$923,_ENGINE_Risk!$B$500:$B$923,"Yes",_ENGINE_Risk!$C$500:$C$923,$A41,_ENGINE_Risk!$F$500:$F$923,G$31),1),"")</f>
        <v/>
      </c>
      <c r="H150" s="30" t="str">
        <f>IFERROR(ROUND(AVERAGEIFS(_ENGINE_Risk!$L$500:$L$923,_ENGINE_Risk!$B$500:$B$923,"Yes",_ENGINE_Risk!$C$500:$C$923,$A41,_ENGINE_Risk!$F$500:$F$923,H$31),1),"")</f>
        <v/>
      </c>
      <c r="I150" s="30" t="str">
        <f>IFERROR(ROUND(AVERAGEIFS(_ENGINE_Risk!$L$500:$L$923,_ENGINE_Risk!$B$500:$B$923,"Yes",_ENGINE_Risk!$C$500:$C$923,$A41,_ENGINE_Risk!$F$500:$F$923,I$31),1),"")</f>
        <v/>
      </c>
      <c r="J150" s="30" t="str">
        <f>IFERROR(ROUND(AVERAGEIFS(_ENGINE_Risk!$L$500:$L$923,_ENGINE_Risk!$B$500:$B$923,"Yes",_ENGINE_Risk!$C$500:$C$923,$A41,_ENGINE_Risk!$F$500:$F$923,J$31),1),"")</f>
        <v/>
      </c>
      <c r="K150" s="30" t="str">
        <f>IFERROR(ROUND(AVERAGEIFS(_ENGINE_Risk!$L$500:$L$923,_ENGINE_Risk!$B$500:$B$923,"Yes",_ENGINE_Risk!$C$500:$C$923,$A41,_ENGINE_Risk!$F$500:$F$923,K$31),1),"")</f>
        <v/>
      </c>
      <c r="L150" s="30" t="str">
        <f>IFERROR(ROUND(AVERAGEIFS(_ENGINE_Risk!$L$500:$L$923,_ENGINE_Risk!$B$500:$B$923,"Yes",_ENGINE_Risk!$C$500:$C$923,$A41,_ENGINE_Risk!$F$500:$F$923,L$31),1),"")</f>
        <v/>
      </c>
      <c r="M150" s="30" t="str">
        <f>IFERROR(ROUND(AVERAGEIFS(_ENGINE_Risk!$L$500:$L$923,_ENGINE_Risk!$B$500:$B$923,"Yes",_ENGINE_Risk!$C$500:$C$923,$A41,_ENGINE_Risk!$F$500:$F$923,M$31),1),"")</f>
        <v/>
      </c>
      <c r="N150" s="18"/>
      <c r="O150" s="18"/>
      <c r="P150" s="18"/>
      <c r="Q150" s="18"/>
      <c r="R150" s="18"/>
      <c r="S150" s="18"/>
      <c r="T150" s="18"/>
      <c r="U150" s="18"/>
      <c r="V150" s="18"/>
    </row>
    <row r="151" spans="1:22" ht="15" customHeight="1">
      <c r="A151" s="28" t="s">
        <v>2286</v>
      </c>
      <c r="B151" s="30" t="str">
        <f>IFERROR(ROUND(AVERAGEIFS(_ENGINE_Risk!$L$500:$L$923,_ENGINE_Risk!$B$500:$B$923,"Yes",_ENGINE_Risk!$C$500:$C$923,$A42,_ENGINE_Risk!$F$500:$F$923,B$31),1),"")</f>
        <v/>
      </c>
      <c r="C151" s="30" t="str">
        <f>IFERROR(ROUND(AVERAGEIFS(_ENGINE_Risk!$L$500:$L$923,_ENGINE_Risk!$B$500:$B$923,"Yes",_ENGINE_Risk!$C$500:$C$923,$A42,_ENGINE_Risk!$F$500:$F$923,C$31),1),"")</f>
        <v/>
      </c>
      <c r="D151" s="30" t="str">
        <f>IFERROR(ROUND(AVERAGEIFS(_ENGINE_Risk!$L$500:$L$923,_ENGINE_Risk!$B$500:$B$923,"Yes",_ENGINE_Risk!$C$500:$C$923,$A42,_ENGINE_Risk!$F$500:$F$923,D$31),1),"")</f>
        <v/>
      </c>
      <c r="E151" s="30" t="str">
        <f>IFERROR(ROUND(AVERAGEIFS(_ENGINE_Risk!$L$500:$L$923,_ENGINE_Risk!$B$500:$B$923,"Yes",_ENGINE_Risk!$C$500:$C$923,$A42,_ENGINE_Risk!$F$500:$F$923,E$31),1),"")</f>
        <v/>
      </c>
      <c r="F151" s="30" t="str">
        <f>IFERROR(ROUND(AVERAGEIFS(_ENGINE_Risk!$L$500:$L$923,_ENGINE_Risk!$B$500:$B$923,"Yes",_ENGINE_Risk!$C$500:$C$923,$A42,_ENGINE_Risk!$F$500:$F$923,F$31),1),"")</f>
        <v/>
      </c>
      <c r="G151" s="30" t="str">
        <f>IFERROR(ROUND(AVERAGEIFS(_ENGINE_Risk!$L$500:$L$923,_ENGINE_Risk!$B$500:$B$923,"Yes",_ENGINE_Risk!$C$500:$C$923,$A42,_ENGINE_Risk!$F$500:$F$923,G$31),1),"")</f>
        <v/>
      </c>
      <c r="H151" s="30" t="str">
        <f>IFERROR(ROUND(AVERAGEIFS(_ENGINE_Risk!$L$500:$L$923,_ENGINE_Risk!$B$500:$B$923,"Yes",_ENGINE_Risk!$C$500:$C$923,$A42,_ENGINE_Risk!$F$500:$F$923,H$31),1),"")</f>
        <v/>
      </c>
      <c r="I151" s="30" t="str">
        <f>IFERROR(ROUND(AVERAGEIFS(_ENGINE_Risk!$L$500:$L$923,_ENGINE_Risk!$B$500:$B$923,"Yes",_ENGINE_Risk!$C$500:$C$923,$A42,_ENGINE_Risk!$F$500:$F$923,I$31),1),"")</f>
        <v/>
      </c>
      <c r="J151" s="30" t="str">
        <f>IFERROR(ROUND(AVERAGEIFS(_ENGINE_Risk!$L$500:$L$923,_ENGINE_Risk!$B$500:$B$923,"Yes",_ENGINE_Risk!$C$500:$C$923,$A42,_ENGINE_Risk!$F$500:$F$923,J$31),1),"")</f>
        <v/>
      </c>
      <c r="K151" s="30" t="str">
        <f>IFERROR(ROUND(AVERAGEIFS(_ENGINE_Risk!$L$500:$L$923,_ENGINE_Risk!$B$500:$B$923,"Yes",_ENGINE_Risk!$C$500:$C$923,$A42,_ENGINE_Risk!$F$500:$F$923,K$31),1),"")</f>
        <v/>
      </c>
      <c r="L151" s="30" t="str">
        <f>IFERROR(ROUND(AVERAGEIFS(_ENGINE_Risk!$L$500:$L$923,_ENGINE_Risk!$B$500:$B$923,"Yes",_ENGINE_Risk!$C$500:$C$923,$A42,_ENGINE_Risk!$F$500:$F$923,L$31),1),"")</f>
        <v/>
      </c>
      <c r="M151" s="30" t="str">
        <f>IFERROR(ROUND(AVERAGEIFS(_ENGINE_Risk!$L$500:$L$923,_ENGINE_Risk!$B$500:$B$923,"Yes",_ENGINE_Risk!$C$500:$C$923,$A42,_ENGINE_Risk!$F$500:$F$923,M$31),1),"")</f>
        <v/>
      </c>
      <c r="N151" s="18"/>
      <c r="O151" s="18"/>
      <c r="P151" s="18"/>
      <c r="Q151" s="18"/>
      <c r="R151" s="18"/>
      <c r="S151" s="18"/>
      <c r="T151" s="18"/>
      <c r="U151" s="18"/>
      <c r="V151" s="18"/>
    </row>
    <row r="152" spans="1:22" ht="15" customHeight="1">
      <c r="A152" s="28" t="s">
        <v>2473</v>
      </c>
      <c r="B152" s="30" t="str">
        <f>IFERROR(ROUND(AVERAGEIFS(_ENGINE_Risk!$L$500:$L$923,_ENGINE_Risk!$B$500:$B$923,"Yes",_ENGINE_Risk!$C$500:$C$923,$A43,_ENGINE_Risk!$F$500:$F$923,B$31),1),"")</f>
        <v/>
      </c>
      <c r="C152" s="30" t="str">
        <f>IFERROR(ROUND(AVERAGEIFS(_ENGINE_Risk!$L$500:$L$923,_ENGINE_Risk!$B$500:$B$923,"Yes",_ENGINE_Risk!$C$500:$C$923,$A43,_ENGINE_Risk!$F$500:$F$923,C$31),1),"")</f>
        <v/>
      </c>
      <c r="D152" s="30" t="str">
        <f>IFERROR(ROUND(AVERAGEIFS(_ENGINE_Risk!$L$500:$L$923,_ENGINE_Risk!$B$500:$B$923,"Yes",_ENGINE_Risk!$C$500:$C$923,$A43,_ENGINE_Risk!$F$500:$F$923,D$31),1),"")</f>
        <v/>
      </c>
      <c r="E152" s="30" t="str">
        <f>IFERROR(ROUND(AVERAGEIFS(_ENGINE_Risk!$L$500:$L$923,_ENGINE_Risk!$B$500:$B$923,"Yes",_ENGINE_Risk!$C$500:$C$923,$A43,_ENGINE_Risk!$F$500:$F$923,E$31),1),"")</f>
        <v/>
      </c>
      <c r="F152" s="30" t="str">
        <f>IFERROR(ROUND(AVERAGEIFS(_ENGINE_Risk!$L$500:$L$923,_ENGINE_Risk!$B$500:$B$923,"Yes",_ENGINE_Risk!$C$500:$C$923,$A43,_ENGINE_Risk!$F$500:$F$923,F$31),1),"")</f>
        <v/>
      </c>
      <c r="G152" s="30" t="str">
        <f>IFERROR(ROUND(AVERAGEIFS(_ENGINE_Risk!$L$500:$L$923,_ENGINE_Risk!$B$500:$B$923,"Yes",_ENGINE_Risk!$C$500:$C$923,$A43,_ENGINE_Risk!$F$500:$F$923,G$31),1),"")</f>
        <v/>
      </c>
      <c r="H152" s="30" t="str">
        <f>IFERROR(ROUND(AVERAGEIFS(_ENGINE_Risk!$L$500:$L$923,_ENGINE_Risk!$B$500:$B$923,"Yes",_ENGINE_Risk!$C$500:$C$923,$A43,_ENGINE_Risk!$F$500:$F$923,H$31),1),"")</f>
        <v/>
      </c>
      <c r="I152" s="30" t="str">
        <f>IFERROR(ROUND(AVERAGEIFS(_ENGINE_Risk!$L$500:$L$923,_ENGINE_Risk!$B$500:$B$923,"Yes",_ENGINE_Risk!$C$500:$C$923,$A43,_ENGINE_Risk!$F$500:$F$923,I$31),1),"")</f>
        <v/>
      </c>
      <c r="J152" s="30" t="str">
        <f>IFERROR(ROUND(AVERAGEIFS(_ENGINE_Risk!$L$500:$L$923,_ENGINE_Risk!$B$500:$B$923,"Yes",_ENGINE_Risk!$C$500:$C$923,$A43,_ENGINE_Risk!$F$500:$F$923,J$31),1),"")</f>
        <v/>
      </c>
      <c r="K152" s="30" t="str">
        <f>IFERROR(ROUND(AVERAGEIFS(_ENGINE_Risk!$L$500:$L$923,_ENGINE_Risk!$B$500:$B$923,"Yes",_ENGINE_Risk!$C$500:$C$923,$A43,_ENGINE_Risk!$F$500:$F$923,K$31),1),"")</f>
        <v/>
      </c>
      <c r="L152" s="30" t="str">
        <f>IFERROR(ROUND(AVERAGEIFS(_ENGINE_Risk!$L$500:$L$923,_ENGINE_Risk!$B$500:$B$923,"Yes",_ENGINE_Risk!$C$500:$C$923,$A43,_ENGINE_Risk!$F$500:$F$923,L$31),1),"")</f>
        <v/>
      </c>
      <c r="M152" s="30" t="str">
        <f>IFERROR(ROUND(AVERAGEIFS(_ENGINE_Risk!$L$500:$L$923,_ENGINE_Risk!$B$500:$B$923,"Yes",_ENGINE_Risk!$C$500:$C$923,$A43,_ENGINE_Risk!$F$500:$F$923,M$31),1),"")</f>
        <v/>
      </c>
      <c r="N152" s="18"/>
      <c r="O152" s="18"/>
      <c r="P152" s="18"/>
      <c r="Q152" s="18"/>
      <c r="R152" s="18"/>
      <c r="S152" s="18"/>
      <c r="T152" s="18"/>
      <c r="U152" s="18"/>
      <c r="V152" s="18"/>
    </row>
    <row r="153" spans="1:22" ht="15" customHeight="1">
      <c r="A153" s="28" t="s">
        <v>2588</v>
      </c>
      <c r="B153" s="30" t="str">
        <f>IFERROR(ROUND(AVERAGEIFS(_ENGINE_Risk!$L$500:$L$923,_ENGINE_Risk!$B$500:$B$923,"Yes",_ENGINE_Risk!$C$500:$C$923,$A44,_ENGINE_Risk!$F$500:$F$923,B$31),1),"")</f>
        <v/>
      </c>
      <c r="C153" s="30" t="str">
        <f>IFERROR(ROUND(AVERAGEIFS(_ENGINE_Risk!$L$500:$L$923,_ENGINE_Risk!$B$500:$B$923,"Yes",_ENGINE_Risk!$C$500:$C$923,$A44,_ENGINE_Risk!$F$500:$F$923,C$31),1),"")</f>
        <v/>
      </c>
      <c r="D153" s="30" t="str">
        <f>IFERROR(ROUND(AVERAGEIFS(_ENGINE_Risk!$L$500:$L$923,_ENGINE_Risk!$B$500:$B$923,"Yes",_ENGINE_Risk!$C$500:$C$923,$A44,_ENGINE_Risk!$F$500:$F$923,D$31),1),"")</f>
        <v/>
      </c>
      <c r="E153" s="30" t="str">
        <f>IFERROR(ROUND(AVERAGEIFS(_ENGINE_Risk!$L$500:$L$923,_ENGINE_Risk!$B$500:$B$923,"Yes",_ENGINE_Risk!$C$500:$C$923,$A44,_ENGINE_Risk!$F$500:$F$923,E$31),1),"")</f>
        <v/>
      </c>
      <c r="F153" s="30" t="str">
        <f>IFERROR(ROUND(AVERAGEIFS(_ENGINE_Risk!$L$500:$L$923,_ENGINE_Risk!$B$500:$B$923,"Yes",_ENGINE_Risk!$C$500:$C$923,$A44,_ENGINE_Risk!$F$500:$F$923,F$31),1),"")</f>
        <v/>
      </c>
      <c r="G153" s="30" t="str">
        <f>IFERROR(ROUND(AVERAGEIFS(_ENGINE_Risk!$L$500:$L$923,_ENGINE_Risk!$B$500:$B$923,"Yes",_ENGINE_Risk!$C$500:$C$923,$A44,_ENGINE_Risk!$F$500:$F$923,G$31),1),"")</f>
        <v/>
      </c>
      <c r="H153" s="30" t="str">
        <f>IFERROR(ROUND(AVERAGEIFS(_ENGINE_Risk!$L$500:$L$923,_ENGINE_Risk!$B$500:$B$923,"Yes",_ENGINE_Risk!$C$500:$C$923,$A44,_ENGINE_Risk!$F$500:$F$923,H$31),1),"")</f>
        <v/>
      </c>
      <c r="I153" s="30" t="str">
        <f>IFERROR(ROUND(AVERAGEIFS(_ENGINE_Risk!$L$500:$L$923,_ENGINE_Risk!$B$500:$B$923,"Yes",_ENGINE_Risk!$C$500:$C$923,$A44,_ENGINE_Risk!$F$500:$F$923,I$31),1),"")</f>
        <v/>
      </c>
      <c r="J153" s="30" t="str">
        <f>IFERROR(ROUND(AVERAGEIFS(_ENGINE_Risk!$L$500:$L$923,_ENGINE_Risk!$B$500:$B$923,"Yes",_ENGINE_Risk!$C$500:$C$923,$A44,_ENGINE_Risk!$F$500:$F$923,J$31),1),"")</f>
        <v/>
      </c>
      <c r="K153" s="30" t="str">
        <f>IFERROR(ROUND(AVERAGEIFS(_ENGINE_Risk!$L$500:$L$923,_ENGINE_Risk!$B$500:$B$923,"Yes",_ENGINE_Risk!$C$500:$C$923,$A44,_ENGINE_Risk!$F$500:$F$923,K$31),1),"")</f>
        <v/>
      </c>
      <c r="L153" s="30" t="str">
        <f>IFERROR(ROUND(AVERAGEIFS(_ENGINE_Risk!$L$500:$L$923,_ENGINE_Risk!$B$500:$B$923,"Yes",_ENGINE_Risk!$C$500:$C$923,$A44,_ENGINE_Risk!$F$500:$F$923,L$31),1),"")</f>
        <v/>
      </c>
      <c r="M153" s="30" t="str">
        <f>IFERROR(ROUND(AVERAGEIFS(_ENGINE_Risk!$L$500:$L$923,_ENGINE_Risk!$B$500:$B$923,"Yes",_ENGINE_Risk!$C$500:$C$923,$A44,_ENGINE_Risk!$F$500:$F$923,M$31),1),"")</f>
        <v/>
      </c>
      <c r="N153" s="18"/>
      <c r="O153" s="18"/>
      <c r="P153" s="18"/>
      <c r="Q153" s="18"/>
      <c r="R153" s="18"/>
      <c r="S153" s="18"/>
      <c r="T153" s="18"/>
      <c r="U153" s="18"/>
      <c r="V153" s="18"/>
    </row>
    <row r="154" spans="1:22" ht="15" customHeight="1">
      <c r="A154" s="28" t="s">
        <v>2729</v>
      </c>
      <c r="B154" s="30" t="str">
        <f>IFERROR(ROUND(AVERAGEIFS(_ENGINE_Risk!$L$500:$L$923,_ENGINE_Risk!$B$500:$B$923,"Yes",_ENGINE_Risk!$C$500:$C$923,$A45,_ENGINE_Risk!$F$500:$F$923,B$31),1),"")</f>
        <v/>
      </c>
      <c r="C154" s="30" t="str">
        <f>IFERROR(ROUND(AVERAGEIFS(_ENGINE_Risk!$L$500:$L$923,_ENGINE_Risk!$B$500:$B$923,"Yes",_ENGINE_Risk!$C$500:$C$923,$A45,_ENGINE_Risk!$F$500:$F$923,C$31),1),"")</f>
        <v/>
      </c>
      <c r="D154" s="30" t="str">
        <f>IFERROR(ROUND(AVERAGEIFS(_ENGINE_Risk!$L$500:$L$923,_ENGINE_Risk!$B$500:$B$923,"Yes",_ENGINE_Risk!$C$500:$C$923,$A45,_ENGINE_Risk!$F$500:$F$923,D$31),1),"")</f>
        <v/>
      </c>
      <c r="E154" s="30" t="str">
        <f>IFERROR(ROUND(AVERAGEIFS(_ENGINE_Risk!$L$500:$L$923,_ENGINE_Risk!$B$500:$B$923,"Yes",_ENGINE_Risk!$C$500:$C$923,$A45,_ENGINE_Risk!$F$500:$F$923,E$31),1),"")</f>
        <v/>
      </c>
      <c r="F154" s="30" t="str">
        <f>IFERROR(ROUND(AVERAGEIFS(_ENGINE_Risk!$L$500:$L$923,_ENGINE_Risk!$B$500:$B$923,"Yes",_ENGINE_Risk!$C$500:$C$923,$A45,_ENGINE_Risk!$F$500:$F$923,F$31),1),"")</f>
        <v/>
      </c>
      <c r="G154" s="30" t="str">
        <f>IFERROR(ROUND(AVERAGEIFS(_ENGINE_Risk!$L$500:$L$923,_ENGINE_Risk!$B$500:$B$923,"Yes",_ENGINE_Risk!$C$500:$C$923,$A45,_ENGINE_Risk!$F$500:$F$923,G$31),1),"")</f>
        <v/>
      </c>
      <c r="H154" s="30" t="str">
        <f>IFERROR(ROUND(AVERAGEIFS(_ENGINE_Risk!$L$500:$L$923,_ENGINE_Risk!$B$500:$B$923,"Yes",_ENGINE_Risk!$C$500:$C$923,$A45,_ENGINE_Risk!$F$500:$F$923,H$31),1),"")</f>
        <v/>
      </c>
      <c r="I154" s="30" t="str">
        <f>IFERROR(ROUND(AVERAGEIFS(_ENGINE_Risk!$L$500:$L$923,_ENGINE_Risk!$B$500:$B$923,"Yes",_ENGINE_Risk!$C$500:$C$923,$A45,_ENGINE_Risk!$F$500:$F$923,I$31),1),"")</f>
        <v/>
      </c>
      <c r="J154" s="30" t="str">
        <f>IFERROR(ROUND(AVERAGEIFS(_ENGINE_Risk!$L$500:$L$923,_ENGINE_Risk!$B$500:$B$923,"Yes",_ENGINE_Risk!$C$500:$C$923,$A45,_ENGINE_Risk!$F$500:$F$923,J$31),1),"")</f>
        <v/>
      </c>
      <c r="K154" s="30" t="str">
        <f>IFERROR(ROUND(AVERAGEIFS(_ENGINE_Risk!$L$500:$L$923,_ENGINE_Risk!$B$500:$B$923,"Yes",_ENGINE_Risk!$C$500:$C$923,$A45,_ENGINE_Risk!$F$500:$F$923,K$31),1),"")</f>
        <v/>
      </c>
      <c r="L154" s="30" t="str">
        <f>IFERROR(ROUND(AVERAGEIFS(_ENGINE_Risk!$L$500:$L$923,_ENGINE_Risk!$B$500:$B$923,"Yes",_ENGINE_Risk!$C$500:$C$923,$A45,_ENGINE_Risk!$F$500:$F$923,L$31),1),"")</f>
        <v/>
      </c>
      <c r="M154" s="30" t="str">
        <f>IFERROR(ROUND(AVERAGEIFS(_ENGINE_Risk!$L$500:$L$923,_ENGINE_Risk!$B$500:$B$923,"Yes",_ENGINE_Risk!$C$500:$C$923,$A45,_ENGINE_Risk!$F$500:$F$923,M$31),1),"")</f>
        <v/>
      </c>
      <c r="N154" s="18"/>
      <c r="O154" s="18"/>
      <c r="P154" s="18"/>
      <c r="Q154" s="18"/>
      <c r="R154" s="18"/>
      <c r="S154" s="18"/>
      <c r="T154" s="18"/>
      <c r="U154" s="18"/>
      <c r="V154" s="18"/>
    </row>
    <row r="155" spans="1:22" ht="15" customHeight="1">
      <c r="A155" s="28" t="s">
        <v>2824</v>
      </c>
      <c r="B155" s="30" t="str">
        <f>IFERROR(ROUND(AVERAGEIFS(_ENGINE_Risk!$L$500:$L$923,_ENGINE_Risk!$B$500:$B$923,"Yes",_ENGINE_Risk!$C$500:$C$923,$A46,_ENGINE_Risk!$F$500:$F$923,B$31),1),"")</f>
        <v/>
      </c>
      <c r="C155" s="30" t="str">
        <f>IFERROR(ROUND(AVERAGEIFS(_ENGINE_Risk!$L$500:$L$923,_ENGINE_Risk!$B$500:$B$923,"Yes",_ENGINE_Risk!$C$500:$C$923,$A46,_ENGINE_Risk!$F$500:$F$923,C$31),1),"")</f>
        <v/>
      </c>
      <c r="D155" s="30" t="str">
        <f>IFERROR(ROUND(AVERAGEIFS(_ENGINE_Risk!$L$500:$L$923,_ENGINE_Risk!$B$500:$B$923,"Yes",_ENGINE_Risk!$C$500:$C$923,$A46,_ENGINE_Risk!$F$500:$F$923,D$31),1),"")</f>
        <v/>
      </c>
      <c r="E155" s="30" t="str">
        <f>IFERROR(ROUND(AVERAGEIFS(_ENGINE_Risk!$L$500:$L$923,_ENGINE_Risk!$B$500:$B$923,"Yes",_ENGINE_Risk!$C$500:$C$923,$A46,_ENGINE_Risk!$F$500:$F$923,E$31),1),"")</f>
        <v/>
      </c>
      <c r="F155" s="30" t="str">
        <f>IFERROR(ROUND(AVERAGEIFS(_ENGINE_Risk!$L$500:$L$923,_ENGINE_Risk!$B$500:$B$923,"Yes",_ENGINE_Risk!$C$500:$C$923,$A46,_ENGINE_Risk!$F$500:$F$923,F$31),1),"")</f>
        <v/>
      </c>
      <c r="G155" s="30" t="str">
        <f>IFERROR(ROUND(AVERAGEIFS(_ENGINE_Risk!$L$500:$L$923,_ENGINE_Risk!$B$500:$B$923,"Yes",_ENGINE_Risk!$C$500:$C$923,$A46,_ENGINE_Risk!$F$500:$F$923,G$31),1),"")</f>
        <v/>
      </c>
      <c r="H155" s="30" t="str">
        <f>IFERROR(ROUND(AVERAGEIFS(_ENGINE_Risk!$L$500:$L$923,_ENGINE_Risk!$B$500:$B$923,"Yes",_ENGINE_Risk!$C$500:$C$923,$A46,_ENGINE_Risk!$F$500:$F$923,H$31),1),"")</f>
        <v/>
      </c>
      <c r="I155" s="30" t="str">
        <f>IFERROR(ROUND(AVERAGEIFS(_ENGINE_Risk!$L$500:$L$923,_ENGINE_Risk!$B$500:$B$923,"Yes",_ENGINE_Risk!$C$500:$C$923,$A46,_ENGINE_Risk!$F$500:$F$923,I$31),1),"")</f>
        <v/>
      </c>
      <c r="J155" s="30" t="str">
        <f>IFERROR(ROUND(AVERAGEIFS(_ENGINE_Risk!$L$500:$L$923,_ENGINE_Risk!$B$500:$B$923,"Yes",_ENGINE_Risk!$C$500:$C$923,$A46,_ENGINE_Risk!$F$500:$F$923,J$31),1),"")</f>
        <v/>
      </c>
      <c r="K155" s="30" t="str">
        <f>IFERROR(ROUND(AVERAGEIFS(_ENGINE_Risk!$L$500:$L$923,_ENGINE_Risk!$B$500:$B$923,"Yes",_ENGINE_Risk!$C$500:$C$923,$A46,_ENGINE_Risk!$F$500:$F$923,K$31),1),"")</f>
        <v/>
      </c>
      <c r="L155" s="30" t="str">
        <f>IFERROR(ROUND(AVERAGEIFS(_ENGINE_Risk!$L$500:$L$923,_ENGINE_Risk!$B$500:$B$923,"Yes",_ENGINE_Risk!$C$500:$C$923,$A46,_ENGINE_Risk!$F$500:$F$923,L$31),1),"")</f>
        <v/>
      </c>
      <c r="M155" s="30" t="str">
        <f>IFERROR(ROUND(AVERAGEIFS(_ENGINE_Risk!$L$500:$L$923,_ENGINE_Risk!$B$500:$B$923,"Yes",_ENGINE_Risk!$C$500:$C$923,$A46,_ENGINE_Risk!$F$500:$F$923,M$31),1),"")</f>
        <v/>
      </c>
      <c r="N155" s="18"/>
      <c r="O155" s="18"/>
      <c r="P155" s="18"/>
      <c r="Q155" s="18"/>
      <c r="R155" s="18"/>
      <c r="S155" s="18"/>
      <c r="T155" s="18"/>
      <c r="U155" s="18"/>
      <c r="V155" s="18"/>
    </row>
    <row r="156" spans="1:22" ht="15" customHeight="1">
      <c r="A156" s="28" t="s">
        <v>2986</v>
      </c>
      <c r="B156" s="30" t="str">
        <f>IFERROR(ROUND(AVERAGEIFS(_ENGINE_Risk!$L$500:$L$923,_ENGINE_Risk!$B$500:$B$923,"Yes",_ENGINE_Risk!$C$500:$C$923,$A47,_ENGINE_Risk!$F$500:$F$923,B$31),1),"")</f>
        <v/>
      </c>
      <c r="C156" s="30" t="str">
        <f>IFERROR(ROUND(AVERAGEIFS(_ENGINE_Risk!$L$500:$L$923,_ENGINE_Risk!$B$500:$B$923,"Yes",_ENGINE_Risk!$C$500:$C$923,$A47,_ENGINE_Risk!$F$500:$F$923,C$31),1),"")</f>
        <v/>
      </c>
      <c r="D156" s="30" t="str">
        <f>IFERROR(ROUND(AVERAGEIFS(_ENGINE_Risk!$L$500:$L$923,_ENGINE_Risk!$B$500:$B$923,"Yes",_ENGINE_Risk!$C$500:$C$923,$A47,_ENGINE_Risk!$F$500:$F$923,D$31),1),"")</f>
        <v/>
      </c>
      <c r="E156" s="30" t="str">
        <f>IFERROR(ROUND(AVERAGEIFS(_ENGINE_Risk!$L$500:$L$923,_ENGINE_Risk!$B$500:$B$923,"Yes",_ENGINE_Risk!$C$500:$C$923,$A47,_ENGINE_Risk!$F$500:$F$923,E$31),1),"")</f>
        <v/>
      </c>
      <c r="F156" s="30" t="str">
        <f>IFERROR(ROUND(AVERAGEIFS(_ENGINE_Risk!$L$500:$L$923,_ENGINE_Risk!$B$500:$B$923,"Yes",_ENGINE_Risk!$C$500:$C$923,$A47,_ENGINE_Risk!$F$500:$F$923,F$31),1),"")</f>
        <v/>
      </c>
      <c r="G156" s="30" t="str">
        <f>IFERROR(ROUND(AVERAGEIFS(_ENGINE_Risk!$L$500:$L$923,_ENGINE_Risk!$B$500:$B$923,"Yes",_ENGINE_Risk!$C$500:$C$923,$A47,_ENGINE_Risk!$F$500:$F$923,G$31),1),"")</f>
        <v/>
      </c>
      <c r="H156" s="30" t="str">
        <f>IFERROR(ROUND(AVERAGEIFS(_ENGINE_Risk!$L$500:$L$923,_ENGINE_Risk!$B$500:$B$923,"Yes",_ENGINE_Risk!$C$500:$C$923,$A47,_ENGINE_Risk!$F$500:$F$923,H$31),1),"")</f>
        <v/>
      </c>
      <c r="I156" s="30" t="str">
        <f>IFERROR(ROUND(AVERAGEIFS(_ENGINE_Risk!$L$500:$L$923,_ENGINE_Risk!$B$500:$B$923,"Yes",_ENGINE_Risk!$C$500:$C$923,$A47,_ENGINE_Risk!$F$500:$F$923,I$31),1),"")</f>
        <v/>
      </c>
      <c r="J156" s="30" t="str">
        <f>IFERROR(ROUND(AVERAGEIFS(_ENGINE_Risk!$L$500:$L$923,_ENGINE_Risk!$B$500:$B$923,"Yes",_ENGINE_Risk!$C$500:$C$923,$A47,_ENGINE_Risk!$F$500:$F$923,J$31),1),"")</f>
        <v/>
      </c>
      <c r="K156" s="30" t="str">
        <f>IFERROR(ROUND(AVERAGEIFS(_ENGINE_Risk!$L$500:$L$923,_ENGINE_Risk!$B$500:$B$923,"Yes",_ENGINE_Risk!$C$500:$C$923,$A47,_ENGINE_Risk!$F$500:$F$923,K$31),1),"")</f>
        <v/>
      </c>
      <c r="L156" s="30" t="str">
        <f>IFERROR(ROUND(AVERAGEIFS(_ENGINE_Risk!$L$500:$L$923,_ENGINE_Risk!$B$500:$B$923,"Yes",_ENGINE_Risk!$C$500:$C$923,$A47,_ENGINE_Risk!$F$500:$F$923,L$31),1),"")</f>
        <v/>
      </c>
      <c r="M156" s="30" t="str">
        <f>IFERROR(ROUND(AVERAGEIFS(_ENGINE_Risk!$L$500:$L$923,_ENGINE_Risk!$B$500:$B$923,"Yes",_ENGINE_Risk!$C$500:$C$923,$A47,_ENGINE_Risk!$F$500:$F$923,M$31),1),"")</f>
        <v/>
      </c>
      <c r="N156" s="18"/>
      <c r="O156" s="18"/>
      <c r="P156" s="18"/>
      <c r="Q156" s="18"/>
      <c r="R156" s="18"/>
      <c r="S156" s="18"/>
      <c r="T156" s="18"/>
      <c r="U156" s="18"/>
      <c r="V156" s="18"/>
    </row>
    <row r="157" spans="1:22" ht="15" customHeight="1">
      <c r="A157" s="28" t="s">
        <v>3204</v>
      </c>
      <c r="B157" s="30" t="str">
        <f>IFERROR(ROUND(AVERAGEIFS(_ENGINE_Risk!$L$500:$L$923,_ENGINE_Risk!$B$500:$B$923,"Yes",_ENGINE_Risk!$C$500:$C$923,$A48,_ENGINE_Risk!$F$500:$F$923,B$31),1),"")</f>
        <v/>
      </c>
      <c r="C157" s="30" t="str">
        <f>IFERROR(ROUND(AVERAGEIFS(_ENGINE_Risk!$L$500:$L$923,_ENGINE_Risk!$B$500:$B$923,"Yes",_ENGINE_Risk!$C$500:$C$923,$A48,_ENGINE_Risk!$F$500:$F$923,C$31),1),"")</f>
        <v/>
      </c>
      <c r="D157" s="30" t="str">
        <f>IFERROR(ROUND(AVERAGEIFS(_ENGINE_Risk!$L$500:$L$923,_ENGINE_Risk!$B$500:$B$923,"Yes",_ENGINE_Risk!$C$500:$C$923,$A48,_ENGINE_Risk!$F$500:$F$923,D$31),1),"")</f>
        <v/>
      </c>
      <c r="E157" s="30" t="str">
        <f>IFERROR(ROUND(AVERAGEIFS(_ENGINE_Risk!$L$500:$L$923,_ENGINE_Risk!$B$500:$B$923,"Yes",_ENGINE_Risk!$C$500:$C$923,$A48,_ENGINE_Risk!$F$500:$F$923,E$31),1),"")</f>
        <v/>
      </c>
      <c r="F157" s="30" t="str">
        <f>IFERROR(ROUND(AVERAGEIFS(_ENGINE_Risk!$L$500:$L$923,_ENGINE_Risk!$B$500:$B$923,"Yes",_ENGINE_Risk!$C$500:$C$923,$A48,_ENGINE_Risk!$F$500:$F$923,F$31),1),"")</f>
        <v/>
      </c>
      <c r="G157" s="30" t="str">
        <f>IFERROR(ROUND(AVERAGEIFS(_ENGINE_Risk!$L$500:$L$923,_ENGINE_Risk!$B$500:$B$923,"Yes",_ENGINE_Risk!$C$500:$C$923,$A48,_ENGINE_Risk!$F$500:$F$923,G$31),1),"")</f>
        <v/>
      </c>
      <c r="H157" s="30" t="str">
        <f>IFERROR(ROUND(AVERAGEIFS(_ENGINE_Risk!$L$500:$L$923,_ENGINE_Risk!$B$500:$B$923,"Yes",_ENGINE_Risk!$C$500:$C$923,$A48,_ENGINE_Risk!$F$500:$F$923,H$31),1),"")</f>
        <v/>
      </c>
      <c r="I157" s="30" t="str">
        <f>IFERROR(ROUND(AVERAGEIFS(_ENGINE_Risk!$L$500:$L$923,_ENGINE_Risk!$B$500:$B$923,"Yes",_ENGINE_Risk!$C$500:$C$923,$A48,_ENGINE_Risk!$F$500:$F$923,I$31),1),"")</f>
        <v/>
      </c>
      <c r="J157" s="30" t="str">
        <f>IFERROR(ROUND(AVERAGEIFS(_ENGINE_Risk!$L$500:$L$923,_ENGINE_Risk!$B$500:$B$923,"Yes",_ENGINE_Risk!$C$500:$C$923,$A48,_ENGINE_Risk!$F$500:$F$923,J$31),1),"")</f>
        <v/>
      </c>
      <c r="K157" s="30" t="str">
        <f>IFERROR(ROUND(AVERAGEIFS(_ENGINE_Risk!$L$500:$L$923,_ENGINE_Risk!$B$500:$B$923,"Yes",_ENGINE_Risk!$C$500:$C$923,$A48,_ENGINE_Risk!$F$500:$F$923,K$31),1),"")</f>
        <v/>
      </c>
      <c r="L157" s="30" t="str">
        <f>IFERROR(ROUND(AVERAGEIFS(_ENGINE_Risk!$L$500:$L$923,_ENGINE_Risk!$B$500:$B$923,"Yes",_ENGINE_Risk!$C$500:$C$923,$A48,_ENGINE_Risk!$F$500:$F$923,L$31),1),"")</f>
        <v/>
      </c>
      <c r="M157" s="30" t="str">
        <f>IFERROR(ROUND(AVERAGEIFS(_ENGINE_Risk!$L$500:$L$923,_ENGINE_Risk!$B$500:$B$923,"Yes",_ENGINE_Risk!$C$500:$C$923,$A48,_ENGINE_Risk!$F$500:$F$923,M$31),1),"")</f>
        <v/>
      </c>
      <c r="N157" s="18"/>
      <c r="O157" s="18"/>
      <c r="P157" s="18"/>
      <c r="Q157" s="18"/>
      <c r="R157" s="18"/>
      <c r="S157" s="18"/>
      <c r="T157" s="18"/>
      <c r="U157" s="18"/>
      <c r="V157" s="18"/>
    </row>
    <row r="158" spans="1:22">
      <c r="A158" s="18"/>
      <c r="B158" s="18"/>
      <c r="C158" s="18"/>
      <c r="D158" s="18"/>
      <c r="E158" s="18"/>
      <c r="F158" s="18"/>
      <c r="G158" s="18"/>
      <c r="H158" s="18"/>
      <c r="I158" s="18"/>
      <c r="J158" s="18"/>
      <c r="K158" s="18"/>
      <c r="L158" s="18"/>
      <c r="M158" s="18"/>
      <c r="N158" s="18"/>
      <c r="O158" s="18"/>
      <c r="P158" s="18"/>
      <c r="Q158" s="18"/>
      <c r="R158" s="18"/>
      <c r="S158" s="18"/>
      <c r="T158" s="18"/>
      <c r="U158" s="18"/>
      <c r="V158" s="18"/>
    </row>
    <row r="159" spans="1:22">
      <c r="A159" s="18"/>
      <c r="B159" s="18"/>
      <c r="C159" s="18"/>
      <c r="D159" s="18"/>
      <c r="E159" s="18"/>
      <c r="F159" s="18"/>
      <c r="G159" s="18"/>
      <c r="H159" s="18"/>
      <c r="I159" s="18"/>
      <c r="J159" s="18"/>
      <c r="K159" s="18"/>
      <c r="L159" s="18"/>
      <c r="M159" s="18"/>
      <c r="N159" s="18"/>
      <c r="O159" s="18"/>
      <c r="P159" s="18"/>
      <c r="Q159" s="18"/>
      <c r="R159" s="18"/>
      <c r="S159" s="18"/>
      <c r="T159" s="18"/>
      <c r="U159" s="18"/>
      <c r="V159" s="18"/>
    </row>
    <row r="160" spans="1:22">
      <c r="A160" s="18"/>
      <c r="B160" s="18"/>
      <c r="C160" s="18"/>
      <c r="D160" s="18"/>
      <c r="E160" s="18"/>
      <c r="F160" s="18"/>
      <c r="G160" s="18"/>
      <c r="H160" s="18"/>
      <c r="I160" s="18"/>
      <c r="J160" s="18"/>
      <c r="K160" s="18"/>
      <c r="L160" s="18"/>
      <c r="M160" s="18"/>
      <c r="N160" s="18"/>
      <c r="O160" s="18"/>
      <c r="P160" s="18"/>
      <c r="Q160" s="18"/>
      <c r="R160" s="18"/>
      <c r="S160" s="18"/>
      <c r="T160" s="18"/>
      <c r="U160" s="18"/>
      <c r="V160" s="18"/>
    </row>
    <row r="161" spans="1:22" ht="15" customHeight="1">
      <c r="A161" s="54" t="s">
        <v>3691</v>
      </c>
      <c r="B161" s="55"/>
      <c r="C161" s="55"/>
      <c r="D161" s="55"/>
      <c r="E161" s="55"/>
      <c r="F161" s="55"/>
      <c r="G161" s="55"/>
      <c r="H161" s="55"/>
      <c r="I161" s="55"/>
      <c r="J161" s="55"/>
      <c r="K161" s="55"/>
      <c r="L161" s="55"/>
      <c r="M161" s="55"/>
      <c r="N161" s="55"/>
      <c r="O161" s="55"/>
      <c r="P161" s="55"/>
      <c r="Q161" s="55"/>
      <c r="R161" s="55"/>
      <c r="S161" s="55"/>
      <c r="T161" s="55"/>
      <c r="U161" s="55"/>
      <c r="V161" s="52"/>
    </row>
    <row r="162" spans="1:22" ht="44.15" customHeight="1">
      <c r="A162" s="15" t="s">
        <v>3447</v>
      </c>
      <c r="B162" s="15" t="s">
        <v>3500</v>
      </c>
      <c r="C162" s="31">
        <f ca="1">EDATE('Company Profile'!$B$6,0)</f>
        <v>46197</v>
      </c>
      <c r="D162" s="31">
        <f ca="1">EDATE('Company Profile'!$B$6,1)</f>
        <v>46227</v>
      </c>
      <c r="E162" s="31">
        <f ca="1">EDATE('Company Profile'!$B$6,2)</f>
        <v>46258</v>
      </c>
      <c r="F162" s="31">
        <f ca="1">EDATE('Company Profile'!$B$6,3)</f>
        <v>46289</v>
      </c>
      <c r="G162" s="31">
        <f ca="1">EDATE('Company Profile'!$B$6,4)</f>
        <v>46319</v>
      </c>
      <c r="H162" s="31">
        <f ca="1">EDATE('Company Profile'!$B$6,5)</f>
        <v>46350</v>
      </c>
      <c r="I162" s="31">
        <f ca="1">EDATE('Company Profile'!$B$6,6)</f>
        <v>46380</v>
      </c>
      <c r="J162" s="31">
        <f ca="1">EDATE('Company Profile'!$B$6,7)</f>
        <v>46411</v>
      </c>
      <c r="K162" s="31">
        <f ca="1">EDATE('Company Profile'!$B$6,8)</f>
        <v>46442</v>
      </c>
      <c r="L162" s="31">
        <f ca="1">EDATE('Company Profile'!$B$6,9)</f>
        <v>46470</v>
      </c>
      <c r="M162" s="31">
        <f ca="1">EDATE('Company Profile'!$B$6,10)</f>
        <v>46501</v>
      </c>
      <c r="N162" s="31">
        <f ca="1">EDATE('Company Profile'!$B$6,11)</f>
        <v>46531</v>
      </c>
      <c r="O162" s="31">
        <f ca="1">EDATE('Company Profile'!$B$6,12)</f>
        <v>46562</v>
      </c>
      <c r="P162" s="31">
        <f ca="1">EDATE('Company Profile'!$B$6,13)</f>
        <v>46592</v>
      </c>
      <c r="Q162" s="31">
        <f ca="1">EDATE('Company Profile'!$B$6,14)</f>
        <v>46623</v>
      </c>
      <c r="R162" s="31">
        <f ca="1">EDATE('Company Profile'!$B$6,15)</f>
        <v>46654</v>
      </c>
      <c r="S162" s="31">
        <f ca="1">EDATE('Company Profile'!$B$6,16)</f>
        <v>46684</v>
      </c>
      <c r="T162" s="31">
        <f ca="1">EDATE('Company Profile'!$B$6,17)</f>
        <v>46715</v>
      </c>
      <c r="U162" s="27"/>
      <c r="V162" s="27"/>
    </row>
    <row r="163" spans="1:22" ht="15" customHeight="1">
      <c r="A163" s="28" t="s">
        <v>48</v>
      </c>
      <c r="B163" s="28" t="str">
        <f>IFERROR(INDEX(_ENGINE_Initiatives!$F$5:$F$76,MATCH($A163,_ENGINE_Initiatives!$BW$5:$BW$76,0)),"")</f>
        <v/>
      </c>
      <c r="C163" s="32" t="str">
        <f ca="1">IFERROR(IF(AND(C$162&gt;=IF(INDEX(_ENGINE_Initiatives!$BX$5:$BX$76,MATCH($A163,_ENGINE_Initiatives!$BW$5:$BW$76,0))="0-90 days",'Company Profile'!$B$6,IF(INDEX(_ENGINE_Initiatives!$BX$5:$BX$76,MATCH($A163,_ENGINE_Initiatives!$BW$5:$BW$76,0))="3-6 months",EDATE('Company Profile'!$B$6,3),IF(INDEX(_ENGINE_Initiatives!$BX$5:$BX$76,MATCH($A163,_ENGINE_Initiatives!$BW$5:$BW$76,0))="6-12 months",EDATE('Company Profile'!$B$6,6),EDATE('Company Profile'!$B$6,12)))),C$162&lt;=IF(INDEX(_ENGINE_Initiatives!$BX$5:$BX$76,MATCH($A163,_ENGINE_Initiatives!$BW$5:$BW$76,0))="0-90 days",'Company Profile'!$B$6,IF(INDEX(_ENGINE_Initiatives!$BX$5:$BX$76,MATCH($A163,_ENGINE_Initiatives!$BW$5:$BW$76,0))="3-6 months",EDATE('Company Profile'!$B$6,3),IF(INDEX(_ENGINE_Initiatives!$BX$5:$BX$76,MATCH($A163,_ENGINE_Initiatives!$BW$5:$BW$76,0))="6-12 months",EDATE('Company Profile'!$B$6,6),EDATE('Company Profile'!$B$6,12))))+(IF(INDEX(_ENGINE_Initiatives!$AB$5:$AB$76,MATCH($A163,_ENGINE_Initiatives!$BW$5:$BW$76,0))&lt;=2,6,IF(INDEX(_ENGINE_Initiatives!$AB$5:$AB$76,MATCH($A163,_ENGINE_Initiatives!$BW$5:$BW$76,0))=3,10,IF(INDEX(_ENGINE_Initiatives!$AB$5:$AB$76,MATCH($A163,_ENGINE_Initiatives!$BW$5:$BW$76,0))=4,16,24)))*7)),1,""),"")</f>
        <v/>
      </c>
      <c r="D163" s="32" t="str">
        <f ca="1">IFERROR(IF(AND(D$162&gt;=IF(INDEX(_ENGINE_Initiatives!$BX$5:$BX$76,MATCH($A163,_ENGINE_Initiatives!$BW$5:$BW$76,0))="0-90 days",'Company Profile'!$B$6,IF(INDEX(_ENGINE_Initiatives!$BX$5:$BX$76,MATCH($A163,_ENGINE_Initiatives!$BW$5:$BW$76,0))="3-6 months",EDATE('Company Profile'!$B$6,3),IF(INDEX(_ENGINE_Initiatives!$BX$5:$BX$76,MATCH($A163,_ENGINE_Initiatives!$BW$5:$BW$76,0))="6-12 months",EDATE('Company Profile'!$B$6,6),EDATE('Company Profile'!$B$6,12)))),D$162&lt;=IF(INDEX(_ENGINE_Initiatives!$BX$5:$BX$76,MATCH($A163,_ENGINE_Initiatives!$BW$5:$BW$76,0))="0-90 days",'Company Profile'!$B$6,IF(INDEX(_ENGINE_Initiatives!$BX$5:$BX$76,MATCH($A163,_ENGINE_Initiatives!$BW$5:$BW$76,0))="3-6 months",EDATE('Company Profile'!$B$6,3),IF(INDEX(_ENGINE_Initiatives!$BX$5:$BX$76,MATCH($A163,_ENGINE_Initiatives!$BW$5:$BW$76,0))="6-12 months",EDATE('Company Profile'!$B$6,6),EDATE('Company Profile'!$B$6,12))))+(IF(INDEX(_ENGINE_Initiatives!$AB$5:$AB$76,MATCH($A163,_ENGINE_Initiatives!$BW$5:$BW$76,0))&lt;=2,6,IF(INDEX(_ENGINE_Initiatives!$AB$5:$AB$76,MATCH($A163,_ENGINE_Initiatives!$BW$5:$BW$76,0))=3,10,IF(INDEX(_ENGINE_Initiatives!$AB$5:$AB$76,MATCH($A163,_ENGINE_Initiatives!$BW$5:$BW$76,0))=4,16,24)))*7)),1,""),"")</f>
        <v/>
      </c>
      <c r="E163" s="32" t="str">
        <f ca="1">IFERROR(IF(AND(E$162&gt;=IF(INDEX(_ENGINE_Initiatives!$BX$5:$BX$76,MATCH($A163,_ENGINE_Initiatives!$BW$5:$BW$76,0))="0-90 days",'Company Profile'!$B$6,IF(INDEX(_ENGINE_Initiatives!$BX$5:$BX$76,MATCH($A163,_ENGINE_Initiatives!$BW$5:$BW$76,0))="3-6 months",EDATE('Company Profile'!$B$6,3),IF(INDEX(_ENGINE_Initiatives!$BX$5:$BX$76,MATCH($A163,_ENGINE_Initiatives!$BW$5:$BW$76,0))="6-12 months",EDATE('Company Profile'!$B$6,6),EDATE('Company Profile'!$B$6,12)))),E$162&lt;=IF(INDEX(_ENGINE_Initiatives!$BX$5:$BX$76,MATCH($A163,_ENGINE_Initiatives!$BW$5:$BW$76,0))="0-90 days",'Company Profile'!$B$6,IF(INDEX(_ENGINE_Initiatives!$BX$5:$BX$76,MATCH($A163,_ENGINE_Initiatives!$BW$5:$BW$76,0))="3-6 months",EDATE('Company Profile'!$B$6,3),IF(INDEX(_ENGINE_Initiatives!$BX$5:$BX$76,MATCH($A163,_ENGINE_Initiatives!$BW$5:$BW$76,0))="6-12 months",EDATE('Company Profile'!$B$6,6),EDATE('Company Profile'!$B$6,12))))+(IF(INDEX(_ENGINE_Initiatives!$AB$5:$AB$76,MATCH($A163,_ENGINE_Initiatives!$BW$5:$BW$76,0))&lt;=2,6,IF(INDEX(_ENGINE_Initiatives!$AB$5:$AB$76,MATCH($A163,_ENGINE_Initiatives!$BW$5:$BW$76,0))=3,10,IF(INDEX(_ENGINE_Initiatives!$AB$5:$AB$76,MATCH($A163,_ENGINE_Initiatives!$BW$5:$BW$76,0))=4,16,24)))*7)),1,""),"")</f>
        <v/>
      </c>
      <c r="F163" s="32" t="str">
        <f ca="1">IFERROR(IF(AND(F$162&gt;=IF(INDEX(_ENGINE_Initiatives!$BX$5:$BX$76,MATCH($A163,_ENGINE_Initiatives!$BW$5:$BW$76,0))="0-90 days",'Company Profile'!$B$6,IF(INDEX(_ENGINE_Initiatives!$BX$5:$BX$76,MATCH($A163,_ENGINE_Initiatives!$BW$5:$BW$76,0))="3-6 months",EDATE('Company Profile'!$B$6,3),IF(INDEX(_ENGINE_Initiatives!$BX$5:$BX$76,MATCH($A163,_ENGINE_Initiatives!$BW$5:$BW$76,0))="6-12 months",EDATE('Company Profile'!$B$6,6),EDATE('Company Profile'!$B$6,12)))),F$162&lt;=IF(INDEX(_ENGINE_Initiatives!$BX$5:$BX$76,MATCH($A163,_ENGINE_Initiatives!$BW$5:$BW$76,0))="0-90 days",'Company Profile'!$B$6,IF(INDEX(_ENGINE_Initiatives!$BX$5:$BX$76,MATCH($A163,_ENGINE_Initiatives!$BW$5:$BW$76,0))="3-6 months",EDATE('Company Profile'!$B$6,3),IF(INDEX(_ENGINE_Initiatives!$BX$5:$BX$76,MATCH($A163,_ENGINE_Initiatives!$BW$5:$BW$76,0))="6-12 months",EDATE('Company Profile'!$B$6,6),EDATE('Company Profile'!$B$6,12))))+(IF(INDEX(_ENGINE_Initiatives!$AB$5:$AB$76,MATCH($A163,_ENGINE_Initiatives!$BW$5:$BW$76,0))&lt;=2,6,IF(INDEX(_ENGINE_Initiatives!$AB$5:$AB$76,MATCH($A163,_ENGINE_Initiatives!$BW$5:$BW$76,0))=3,10,IF(INDEX(_ENGINE_Initiatives!$AB$5:$AB$76,MATCH($A163,_ENGINE_Initiatives!$BW$5:$BW$76,0))=4,16,24)))*7)),1,""),"")</f>
        <v/>
      </c>
      <c r="G163" s="32" t="str">
        <f ca="1">IFERROR(IF(AND(G$162&gt;=IF(INDEX(_ENGINE_Initiatives!$BX$5:$BX$76,MATCH($A163,_ENGINE_Initiatives!$BW$5:$BW$76,0))="0-90 days",'Company Profile'!$B$6,IF(INDEX(_ENGINE_Initiatives!$BX$5:$BX$76,MATCH($A163,_ENGINE_Initiatives!$BW$5:$BW$76,0))="3-6 months",EDATE('Company Profile'!$B$6,3),IF(INDEX(_ENGINE_Initiatives!$BX$5:$BX$76,MATCH($A163,_ENGINE_Initiatives!$BW$5:$BW$76,0))="6-12 months",EDATE('Company Profile'!$B$6,6),EDATE('Company Profile'!$B$6,12)))),G$162&lt;=IF(INDEX(_ENGINE_Initiatives!$BX$5:$BX$76,MATCH($A163,_ENGINE_Initiatives!$BW$5:$BW$76,0))="0-90 days",'Company Profile'!$B$6,IF(INDEX(_ENGINE_Initiatives!$BX$5:$BX$76,MATCH($A163,_ENGINE_Initiatives!$BW$5:$BW$76,0))="3-6 months",EDATE('Company Profile'!$B$6,3),IF(INDEX(_ENGINE_Initiatives!$BX$5:$BX$76,MATCH($A163,_ENGINE_Initiatives!$BW$5:$BW$76,0))="6-12 months",EDATE('Company Profile'!$B$6,6),EDATE('Company Profile'!$B$6,12))))+(IF(INDEX(_ENGINE_Initiatives!$AB$5:$AB$76,MATCH($A163,_ENGINE_Initiatives!$BW$5:$BW$76,0))&lt;=2,6,IF(INDEX(_ENGINE_Initiatives!$AB$5:$AB$76,MATCH($A163,_ENGINE_Initiatives!$BW$5:$BW$76,0))=3,10,IF(INDEX(_ENGINE_Initiatives!$AB$5:$AB$76,MATCH($A163,_ENGINE_Initiatives!$BW$5:$BW$76,0))=4,16,24)))*7)),1,""),"")</f>
        <v/>
      </c>
      <c r="H163" s="32" t="str">
        <f ca="1">IFERROR(IF(AND(H$162&gt;=IF(INDEX(_ENGINE_Initiatives!$BX$5:$BX$76,MATCH($A163,_ENGINE_Initiatives!$BW$5:$BW$76,0))="0-90 days",'Company Profile'!$B$6,IF(INDEX(_ENGINE_Initiatives!$BX$5:$BX$76,MATCH($A163,_ENGINE_Initiatives!$BW$5:$BW$76,0))="3-6 months",EDATE('Company Profile'!$B$6,3),IF(INDEX(_ENGINE_Initiatives!$BX$5:$BX$76,MATCH($A163,_ENGINE_Initiatives!$BW$5:$BW$76,0))="6-12 months",EDATE('Company Profile'!$B$6,6),EDATE('Company Profile'!$B$6,12)))),H$162&lt;=IF(INDEX(_ENGINE_Initiatives!$BX$5:$BX$76,MATCH($A163,_ENGINE_Initiatives!$BW$5:$BW$76,0))="0-90 days",'Company Profile'!$B$6,IF(INDEX(_ENGINE_Initiatives!$BX$5:$BX$76,MATCH($A163,_ENGINE_Initiatives!$BW$5:$BW$76,0))="3-6 months",EDATE('Company Profile'!$B$6,3),IF(INDEX(_ENGINE_Initiatives!$BX$5:$BX$76,MATCH($A163,_ENGINE_Initiatives!$BW$5:$BW$76,0))="6-12 months",EDATE('Company Profile'!$B$6,6),EDATE('Company Profile'!$B$6,12))))+(IF(INDEX(_ENGINE_Initiatives!$AB$5:$AB$76,MATCH($A163,_ENGINE_Initiatives!$BW$5:$BW$76,0))&lt;=2,6,IF(INDEX(_ENGINE_Initiatives!$AB$5:$AB$76,MATCH($A163,_ENGINE_Initiatives!$BW$5:$BW$76,0))=3,10,IF(INDEX(_ENGINE_Initiatives!$AB$5:$AB$76,MATCH($A163,_ENGINE_Initiatives!$BW$5:$BW$76,0))=4,16,24)))*7)),1,""),"")</f>
        <v/>
      </c>
      <c r="I163" s="32" t="str">
        <f ca="1">IFERROR(IF(AND(I$162&gt;=IF(INDEX(_ENGINE_Initiatives!$BX$5:$BX$76,MATCH($A163,_ENGINE_Initiatives!$BW$5:$BW$76,0))="0-90 days",'Company Profile'!$B$6,IF(INDEX(_ENGINE_Initiatives!$BX$5:$BX$76,MATCH($A163,_ENGINE_Initiatives!$BW$5:$BW$76,0))="3-6 months",EDATE('Company Profile'!$B$6,3),IF(INDEX(_ENGINE_Initiatives!$BX$5:$BX$76,MATCH($A163,_ENGINE_Initiatives!$BW$5:$BW$76,0))="6-12 months",EDATE('Company Profile'!$B$6,6),EDATE('Company Profile'!$B$6,12)))),I$162&lt;=IF(INDEX(_ENGINE_Initiatives!$BX$5:$BX$76,MATCH($A163,_ENGINE_Initiatives!$BW$5:$BW$76,0))="0-90 days",'Company Profile'!$B$6,IF(INDEX(_ENGINE_Initiatives!$BX$5:$BX$76,MATCH($A163,_ENGINE_Initiatives!$BW$5:$BW$76,0))="3-6 months",EDATE('Company Profile'!$B$6,3),IF(INDEX(_ENGINE_Initiatives!$BX$5:$BX$76,MATCH($A163,_ENGINE_Initiatives!$BW$5:$BW$76,0))="6-12 months",EDATE('Company Profile'!$B$6,6),EDATE('Company Profile'!$B$6,12))))+(IF(INDEX(_ENGINE_Initiatives!$AB$5:$AB$76,MATCH($A163,_ENGINE_Initiatives!$BW$5:$BW$76,0))&lt;=2,6,IF(INDEX(_ENGINE_Initiatives!$AB$5:$AB$76,MATCH($A163,_ENGINE_Initiatives!$BW$5:$BW$76,0))=3,10,IF(INDEX(_ENGINE_Initiatives!$AB$5:$AB$76,MATCH($A163,_ENGINE_Initiatives!$BW$5:$BW$76,0))=4,16,24)))*7)),1,""),"")</f>
        <v/>
      </c>
      <c r="J163" s="32" t="str">
        <f ca="1">IFERROR(IF(AND(J$162&gt;=IF(INDEX(_ENGINE_Initiatives!$BX$5:$BX$76,MATCH($A163,_ENGINE_Initiatives!$BW$5:$BW$76,0))="0-90 days",'Company Profile'!$B$6,IF(INDEX(_ENGINE_Initiatives!$BX$5:$BX$76,MATCH($A163,_ENGINE_Initiatives!$BW$5:$BW$76,0))="3-6 months",EDATE('Company Profile'!$B$6,3),IF(INDEX(_ENGINE_Initiatives!$BX$5:$BX$76,MATCH($A163,_ENGINE_Initiatives!$BW$5:$BW$76,0))="6-12 months",EDATE('Company Profile'!$B$6,6),EDATE('Company Profile'!$B$6,12)))),J$162&lt;=IF(INDEX(_ENGINE_Initiatives!$BX$5:$BX$76,MATCH($A163,_ENGINE_Initiatives!$BW$5:$BW$76,0))="0-90 days",'Company Profile'!$B$6,IF(INDEX(_ENGINE_Initiatives!$BX$5:$BX$76,MATCH($A163,_ENGINE_Initiatives!$BW$5:$BW$76,0))="3-6 months",EDATE('Company Profile'!$B$6,3),IF(INDEX(_ENGINE_Initiatives!$BX$5:$BX$76,MATCH($A163,_ENGINE_Initiatives!$BW$5:$BW$76,0))="6-12 months",EDATE('Company Profile'!$B$6,6),EDATE('Company Profile'!$B$6,12))))+(IF(INDEX(_ENGINE_Initiatives!$AB$5:$AB$76,MATCH($A163,_ENGINE_Initiatives!$BW$5:$BW$76,0))&lt;=2,6,IF(INDEX(_ENGINE_Initiatives!$AB$5:$AB$76,MATCH($A163,_ENGINE_Initiatives!$BW$5:$BW$76,0))=3,10,IF(INDEX(_ENGINE_Initiatives!$AB$5:$AB$76,MATCH($A163,_ENGINE_Initiatives!$BW$5:$BW$76,0))=4,16,24)))*7)),1,""),"")</f>
        <v/>
      </c>
      <c r="K163" s="32" t="str">
        <f ca="1">IFERROR(IF(AND(K$162&gt;=IF(INDEX(_ENGINE_Initiatives!$BX$5:$BX$76,MATCH($A163,_ENGINE_Initiatives!$BW$5:$BW$76,0))="0-90 days",'Company Profile'!$B$6,IF(INDEX(_ENGINE_Initiatives!$BX$5:$BX$76,MATCH($A163,_ENGINE_Initiatives!$BW$5:$BW$76,0))="3-6 months",EDATE('Company Profile'!$B$6,3),IF(INDEX(_ENGINE_Initiatives!$BX$5:$BX$76,MATCH($A163,_ENGINE_Initiatives!$BW$5:$BW$76,0))="6-12 months",EDATE('Company Profile'!$B$6,6),EDATE('Company Profile'!$B$6,12)))),K$162&lt;=IF(INDEX(_ENGINE_Initiatives!$BX$5:$BX$76,MATCH($A163,_ENGINE_Initiatives!$BW$5:$BW$76,0))="0-90 days",'Company Profile'!$B$6,IF(INDEX(_ENGINE_Initiatives!$BX$5:$BX$76,MATCH($A163,_ENGINE_Initiatives!$BW$5:$BW$76,0))="3-6 months",EDATE('Company Profile'!$B$6,3),IF(INDEX(_ENGINE_Initiatives!$BX$5:$BX$76,MATCH($A163,_ENGINE_Initiatives!$BW$5:$BW$76,0))="6-12 months",EDATE('Company Profile'!$B$6,6),EDATE('Company Profile'!$B$6,12))))+(IF(INDEX(_ENGINE_Initiatives!$AB$5:$AB$76,MATCH($A163,_ENGINE_Initiatives!$BW$5:$BW$76,0))&lt;=2,6,IF(INDEX(_ENGINE_Initiatives!$AB$5:$AB$76,MATCH($A163,_ENGINE_Initiatives!$BW$5:$BW$76,0))=3,10,IF(INDEX(_ENGINE_Initiatives!$AB$5:$AB$76,MATCH($A163,_ENGINE_Initiatives!$BW$5:$BW$76,0))=4,16,24)))*7)),1,""),"")</f>
        <v/>
      </c>
      <c r="L163" s="32" t="str">
        <f ca="1">IFERROR(IF(AND(L$162&gt;=IF(INDEX(_ENGINE_Initiatives!$BX$5:$BX$76,MATCH($A163,_ENGINE_Initiatives!$BW$5:$BW$76,0))="0-90 days",'Company Profile'!$B$6,IF(INDEX(_ENGINE_Initiatives!$BX$5:$BX$76,MATCH($A163,_ENGINE_Initiatives!$BW$5:$BW$76,0))="3-6 months",EDATE('Company Profile'!$B$6,3),IF(INDEX(_ENGINE_Initiatives!$BX$5:$BX$76,MATCH($A163,_ENGINE_Initiatives!$BW$5:$BW$76,0))="6-12 months",EDATE('Company Profile'!$B$6,6),EDATE('Company Profile'!$B$6,12)))),L$162&lt;=IF(INDEX(_ENGINE_Initiatives!$BX$5:$BX$76,MATCH($A163,_ENGINE_Initiatives!$BW$5:$BW$76,0))="0-90 days",'Company Profile'!$B$6,IF(INDEX(_ENGINE_Initiatives!$BX$5:$BX$76,MATCH($A163,_ENGINE_Initiatives!$BW$5:$BW$76,0))="3-6 months",EDATE('Company Profile'!$B$6,3),IF(INDEX(_ENGINE_Initiatives!$BX$5:$BX$76,MATCH($A163,_ENGINE_Initiatives!$BW$5:$BW$76,0))="6-12 months",EDATE('Company Profile'!$B$6,6),EDATE('Company Profile'!$B$6,12))))+(IF(INDEX(_ENGINE_Initiatives!$AB$5:$AB$76,MATCH($A163,_ENGINE_Initiatives!$BW$5:$BW$76,0))&lt;=2,6,IF(INDEX(_ENGINE_Initiatives!$AB$5:$AB$76,MATCH($A163,_ENGINE_Initiatives!$BW$5:$BW$76,0))=3,10,IF(INDEX(_ENGINE_Initiatives!$AB$5:$AB$76,MATCH($A163,_ENGINE_Initiatives!$BW$5:$BW$76,0))=4,16,24)))*7)),1,""),"")</f>
        <v/>
      </c>
      <c r="M163" s="32" t="str">
        <f ca="1">IFERROR(IF(AND(M$162&gt;=IF(INDEX(_ENGINE_Initiatives!$BX$5:$BX$76,MATCH($A163,_ENGINE_Initiatives!$BW$5:$BW$76,0))="0-90 days",'Company Profile'!$B$6,IF(INDEX(_ENGINE_Initiatives!$BX$5:$BX$76,MATCH($A163,_ENGINE_Initiatives!$BW$5:$BW$76,0))="3-6 months",EDATE('Company Profile'!$B$6,3),IF(INDEX(_ENGINE_Initiatives!$BX$5:$BX$76,MATCH($A163,_ENGINE_Initiatives!$BW$5:$BW$76,0))="6-12 months",EDATE('Company Profile'!$B$6,6),EDATE('Company Profile'!$B$6,12)))),M$162&lt;=IF(INDEX(_ENGINE_Initiatives!$BX$5:$BX$76,MATCH($A163,_ENGINE_Initiatives!$BW$5:$BW$76,0))="0-90 days",'Company Profile'!$B$6,IF(INDEX(_ENGINE_Initiatives!$BX$5:$BX$76,MATCH($A163,_ENGINE_Initiatives!$BW$5:$BW$76,0))="3-6 months",EDATE('Company Profile'!$B$6,3),IF(INDEX(_ENGINE_Initiatives!$BX$5:$BX$76,MATCH($A163,_ENGINE_Initiatives!$BW$5:$BW$76,0))="6-12 months",EDATE('Company Profile'!$B$6,6),EDATE('Company Profile'!$B$6,12))))+(IF(INDEX(_ENGINE_Initiatives!$AB$5:$AB$76,MATCH($A163,_ENGINE_Initiatives!$BW$5:$BW$76,0))&lt;=2,6,IF(INDEX(_ENGINE_Initiatives!$AB$5:$AB$76,MATCH($A163,_ENGINE_Initiatives!$BW$5:$BW$76,0))=3,10,IF(INDEX(_ENGINE_Initiatives!$AB$5:$AB$76,MATCH($A163,_ENGINE_Initiatives!$BW$5:$BW$76,0))=4,16,24)))*7)),1,""),"")</f>
        <v/>
      </c>
      <c r="N163" s="32" t="str">
        <f ca="1">IFERROR(IF(AND(N$162&gt;=IF(INDEX(_ENGINE_Initiatives!$BX$5:$BX$76,MATCH($A163,_ENGINE_Initiatives!$BW$5:$BW$76,0))="0-90 days",'Company Profile'!$B$6,IF(INDEX(_ENGINE_Initiatives!$BX$5:$BX$76,MATCH($A163,_ENGINE_Initiatives!$BW$5:$BW$76,0))="3-6 months",EDATE('Company Profile'!$B$6,3),IF(INDEX(_ENGINE_Initiatives!$BX$5:$BX$76,MATCH($A163,_ENGINE_Initiatives!$BW$5:$BW$76,0))="6-12 months",EDATE('Company Profile'!$B$6,6),EDATE('Company Profile'!$B$6,12)))),N$162&lt;=IF(INDEX(_ENGINE_Initiatives!$BX$5:$BX$76,MATCH($A163,_ENGINE_Initiatives!$BW$5:$BW$76,0))="0-90 days",'Company Profile'!$B$6,IF(INDEX(_ENGINE_Initiatives!$BX$5:$BX$76,MATCH($A163,_ENGINE_Initiatives!$BW$5:$BW$76,0))="3-6 months",EDATE('Company Profile'!$B$6,3),IF(INDEX(_ENGINE_Initiatives!$BX$5:$BX$76,MATCH($A163,_ENGINE_Initiatives!$BW$5:$BW$76,0))="6-12 months",EDATE('Company Profile'!$B$6,6),EDATE('Company Profile'!$B$6,12))))+(IF(INDEX(_ENGINE_Initiatives!$AB$5:$AB$76,MATCH($A163,_ENGINE_Initiatives!$BW$5:$BW$76,0))&lt;=2,6,IF(INDEX(_ENGINE_Initiatives!$AB$5:$AB$76,MATCH($A163,_ENGINE_Initiatives!$BW$5:$BW$76,0))=3,10,IF(INDEX(_ENGINE_Initiatives!$AB$5:$AB$76,MATCH($A163,_ENGINE_Initiatives!$BW$5:$BW$76,0))=4,16,24)))*7)),1,""),"")</f>
        <v/>
      </c>
      <c r="O163" s="32" t="str">
        <f ca="1">IFERROR(IF(AND(O$162&gt;=IF(INDEX(_ENGINE_Initiatives!$BX$5:$BX$76,MATCH($A163,_ENGINE_Initiatives!$BW$5:$BW$76,0))="0-90 days",'Company Profile'!$B$6,IF(INDEX(_ENGINE_Initiatives!$BX$5:$BX$76,MATCH($A163,_ENGINE_Initiatives!$BW$5:$BW$76,0))="3-6 months",EDATE('Company Profile'!$B$6,3),IF(INDEX(_ENGINE_Initiatives!$BX$5:$BX$76,MATCH($A163,_ENGINE_Initiatives!$BW$5:$BW$76,0))="6-12 months",EDATE('Company Profile'!$B$6,6),EDATE('Company Profile'!$B$6,12)))),O$162&lt;=IF(INDEX(_ENGINE_Initiatives!$BX$5:$BX$76,MATCH($A163,_ENGINE_Initiatives!$BW$5:$BW$76,0))="0-90 days",'Company Profile'!$B$6,IF(INDEX(_ENGINE_Initiatives!$BX$5:$BX$76,MATCH($A163,_ENGINE_Initiatives!$BW$5:$BW$76,0))="3-6 months",EDATE('Company Profile'!$B$6,3),IF(INDEX(_ENGINE_Initiatives!$BX$5:$BX$76,MATCH($A163,_ENGINE_Initiatives!$BW$5:$BW$76,0))="6-12 months",EDATE('Company Profile'!$B$6,6),EDATE('Company Profile'!$B$6,12))))+(IF(INDEX(_ENGINE_Initiatives!$AB$5:$AB$76,MATCH($A163,_ENGINE_Initiatives!$BW$5:$BW$76,0))&lt;=2,6,IF(INDEX(_ENGINE_Initiatives!$AB$5:$AB$76,MATCH($A163,_ENGINE_Initiatives!$BW$5:$BW$76,0))=3,10,IF(INDEX(_ENGINE_Initiatives!$AB$5:$AB$76,MATCH($A163,_ENGINE_Initiatives!$BW$5:$BW$76,0))=4,16,24)))*7)),1,""),"")</f>
        <v/>
      </c>
      <c r="P163" s="32" t="str">
        <f ca="1">IFERROR(IF(AND(P$162&gt;=IF(INDEX(_ENGINE_Initiatives!$BX$5:$BX$76,MATCH($A163,_ENGINE_Initiatives!$BW$5:$BW$76,0))="0-90 days",'Company Profile'!$B$6,IF(INDEX(_ENGINE_Initiatives!$BX$5:$BX$76,MATCH($A163,_ENGINE_Initiatives!$BW$5:$BW$76,0))="3-6 months",EDATE('Company Profile'!$B$6,3),IF(INDEX(_ENGINE_Initiatives!$BX$5:$BX$76,MATCH($A163,_ENGINE_Initiatives!$BW$5:$BW$76,0))="6-12 months",EDATE('Company Profile'!$B$6,6),EDATE('Company Profile'!$B$6,12)))),P$162&lt;=IF(INDEX(_ENGINE_Initiatives!$BX$5:$BX$76,MATCH($A163,_ENGINE_Initiatives!$BW$5:$BW$76,0))="0-90 days",'Company Profile'!$B$6,IF(INDEX(_ENGINE_Initiatives!$BX$5:$BX$76,MATCH($A163,_ENGINE_Initiatives!$BW$5:$BW$76,0))="3-6 months",EDATE('Company Profile'!$B$6,3),IF(INDEX(_ENGINE_Initiatives!$BX$5:$BX$76,MATCH($A163,_ENGINE_Initiatives!$BW$5:$BW$76,0))="6-12 months",EDATE('Company Profile'!$B$6,6),EDATE('Company Profile'!$B$6,12))))+(IF(INDEX(_ENGINE_Initiatives!$AB$5:$AB$76,MATCH($A163,_ENGINE_Initiatives!$BW$5:$BW$76,0))&lt;=2,6,IF(INDEX(_ENGINE_Initiatives!$AB$5:$AB$76,MATCH($A163,_ENGINE_Initiatives!$BW$5:$BW$76,0))=3,10,IF(INDEX(_ENGINE_Initiatives!$AB$5:$AB$76,MATCH($A163,_ENGINE_Initiatives!$BW$5:$BW$76,0))=4,16,24)))*7)),1,""),"")</f>
        <v/>
      </c>
      <c r="Q163" s="32" t="str">
        <f ca="1">IFERROR(IF(AND(Q$162&gt;=IF(INDEX(_ENGINE_Initiatives!$BX$5:$BX$76,MATCH($A163,_ENGINE_Initiatives!$BW$5:$BW$76,0))="0-90 days",'Company Profile'!$B$6,IF(INDEX(_ENGINE_Initiatives!$BX$5:$BX$76,MATCH($A163,_ENGINE_Initiatives!$BW$5:$BW$76,0))="3-6 months",EDATE('Company Profile'!$B$6,3),IF(INDEX(_ENGINE_Initiatives!$BX$5:$BX$76,MATCH($A163,_ENGINE_Initiatives!$BW$5:$BW$76,0))="6-12 months",EDATE('Company Profile'!$B$6,6),EDATE('Company Profile'!$B$6,12)))),Q$162&lt;=IF(INDEX(_ENGINE_Initiatives!$BX$5:$BX$76,MATCH($A163,_ENGINE_Initiatives!$BW$5:$BW$76,0))="0-90 days",'Company Profile'!$B$6,IF(INDEX(_ENGINE_Initiatives!$BX$5:$BX$76,MATCH($A163,_ENGINE_Initiatives!$BW$5:$BW$76,0))="3-6 months",EDATE('Company Profile'!$B$6,3),IF(INDEX(_ENGINE_Initiatives!$BX$5:$BX$76,MATCH($A163,_ENGINE_Initiatives!$BW$5:$BW$76,0))="6-12 months",EDATE('Company Profile'!$B$6,6),EDATE('Company Profile'!$B$6,12))))+(IF(INDEX(_ENGINE_Initiatives!$AB$5:$AB$76,MATCH($A163,_ENGINE_Initiatives!$BW$5:$BW$76,0))&lt;=2,6,IF(INDEX(_ENGINE_Initiatives!$AB$5:$AB$76,MATCH($A163,_ENGINE_Initiatives!$BW$5:$BW$76,0))=3,10,IF(INDEX(_ENGINE_Initiatives!$AB$5:$AB$76,MATCH($A163,_ENGINE_Initiatives!$BW$5:$BW$76,0))=4,16,24)))*7)),1,""),"")</f>
        <v/>
      </c>
      <c r="R163" s="32" t="str">
        <f ca="1">IFERROR(IF(AND(R$162&gt;=IF(INDEX(_ENGINE_Initiatives!$BX$5:$BX$76,MATCH($A163,_ENGINE_Initiatives!$BW$5:$BW$76,0))="0-90 days",'Company Profile'!$B$6,IF(INDEX(_ENGINE_Initiatives!$BX$5:$BX$76,MATCH($A163,_ENGINE_Initiatives!$BW$5:$BW$76,0))="3-6 months",EDATE('Company Profile'!$B$6,3),IF(INDEX(_ENGINE_Initiatives!$BX$5:$BX$76,MATCH($A163,_ENGINE_Initiatives!$BW$5:$BW$76,0))="6-12 months",EDATE('Company Profile'!$B$6,6),EDATE('Company Profile'!$B$6,12)))),R$162&lt;=IF(INDEX(_ENGINE_Initiatives!$BX$5:$BX$76,MATCH($A163,_ENGINE_Initiatives!$BW$5:$BW$76,0))="0-90 days",'Company Profile'!$B$6,IF(INDEX(_ENGINE_Initiatives!$BX$5:$BX$76,MATCH($A163,_ENGINE_Initiatives!$BW$5:$BW$76,0))="3-6 months",EDATE('Company Profile'!$B$6,3),IF(INDEX(_ENGINE_Initiatives!$BX$5:$BX$76,MATCH($A163,_ENGINE_Initiatives!$BW$5:$BW$76,0))="6-12 months",EDATE('Company Profile'!$B$6,6),EDATE('Company Profile'!$B$6,12))))+(IF(INDEX(_ENGINE_Initiatives!$AB$5:$AB$76,MATCH($A163,_ENGINE_Initiatives!$BW$5:$BW$76,0))&lt;=2,6,IF(INDEX(_ENGINE_Initiatives!$AB$5:$AB$76,MATCH($A163,_ENGINE_Initiatives!$BW$5:$BW$76,0))=3,10,IF(INDEX(_ENGINE_Initiatives!$AB$5:$AB$76,MATCH($A163,_ENGINE_Initiatives!$BW$5:$BW$76,0))=4,16,24)))*7)),1,""),"")</f>
        <v/>
      </c>
      <c r="S163" s="32" t="str">
        <f ca="1">IFERROR(IF(AND(S$162&gt;=IF(INDEX(_ENGINE_Initiatives!$BX$5:$BX$76,MATCH($A163,_ENGINE_Initiatives!$BW$5:$BW$76,0))="0-90 days",'Company Profile'!$B$6,IF(INDEX(_ENGINE_Initiatives!$BX$5:$BX$76,MATCH($A163,_ENGINE_Initiatives!$BW$5:$BW$76,0))="3-6 months",EDATE('Company Profile'!$B$6,3),IF(INDEX(_ENGINE_Initiatives!$BX$5:$BX$76,MATCH($A163,_ENGINE_Initiatives!$BW$5:$BW$76,0))="6-12 months",EDATE('Company Profile'!$B$6,6),EDATE('Company Profile'!$B$6,12)))),S$162&lt;=IF(INDEX(_ENGINE_Initiatives!$BX$5:$BX$76,MATCH($A163,_ENGINE_Initiatives!$BW$5:$BW$76,0))="0-90 days",'Company Profile'!$B$6,IF(INDEX(_ENGINE_Initiatives!$BX$5:$BX$76,MATCH($A163,_ENGINE_Initiatives!$BW$5:$BW$76,0))="3-6 months",EDATE('Company Profile'!$B$6,3),IF(INDEX(_ENGINE_Initiatives!$BX$5:$BX$76,MATCH($A163,_ENGINE_Initiatives!$BW$5:$BW$76,0))="6-12 months",EDATE('Company Profile'!$B$6,6),EDATE('Company Profile'!$B$6,12))))+(IF(INDEX(_ENGINE_Initiatives!$AB$5:$AB$76,MATCH($A163,_ENGINE_Initiatives!$BW$5:$BW$76,0))&lt;=2,6,IF(INDEX(_ENGINE_Initiatives!$AB$5:$AB$76,MATCH($A163,_ENGINE_Initiatives!$BW$5:$BW$76,0))=3,10,IF(INDEX(_ENGINE_Initiatives!$AB$5:$AB$76,MATCH($A163,_ENGINE_Initiatives!$BW$5:$BW$76,0))=4,16,24)))*7)),1,""),"")</f>
        <v/>
      </c>
      <c r="T163" s="32" t="str">
        <f ca="1">IFERROR(IF(AND(T$162&gt;=IF(INDEX(_ENGINE_Initiatives!$BX$5:$BX$76,MATCH($A163,_ENGINE_Initiatives!$BW$5:$BW$76,0))="0-90 days",'Company Profile'!$B$6,IF(INDEX(_ENGINE_Initiatives!$BX$5:$BX$76,MATCH($A163,_ENGINE_Initiatives!$BW$5:$BW$76,0))="3-6 months",EDATE('Company Profile'!$B$6,3),IF(INDEX(_ENGINE_Initiatives!$BX$5:$BX$76,MATCH($A163,_ENGINE_Initiatives!$BW$5:$BW$76,0))="6-12 months",EDATE('Company Profile'!$B$6,6),EDATE('Company Profile'!$B$6,12)))),T$162&lt;=IF(INDEX(_ENGINE_Initiatives!$BX$5:$BX$76,MATCH($A163,_ENGINE_Initiatives!$BW$5:$BW$76,0))="0-90 days",'Company Profile'!$B$6,IF(INDEX(_ENGINE_Initiatives!$BX$5:$BX$76,MATCH($A163,_ENGINE_Initiatives!$BW$5:$BW$76,0))="3-6 months",EDATE('Company Profile'!$B$6,3),IF(INDEX(_ENGINE_Initiatives!$BX$5:$BX$76,MATCH($A163,_ENGINE_Initiatives!$BW$5:$BW$76,0))="6-12 months",EDATE('Company Profile'!$B$6,6),EDATE('Company Profile'!$B$6,12))))+(IF(INDEX(_ENGINE_Initiatives!$AB$5:$AB$76,MATCH($A163,_ENGINE_Initiatives!$BW$5:$BW$76,0))&lt;=2,6,IF(INDEX(_ENGINE_Initiatives!$AB$5:$AB$76,MATCH($A163,_ENGINE_Initiatives!$BW$5:$BW$76,0))=3,10,IF(INDEX(_ENGINE_Initiatives!$AB$5:$AB$76,MATCH($A163,_ENGINE_Initiatives!$BW$5:$BW$76,0))=4,16,24)))*7)),1,""),"")</f>
        <v/>
      </c>
      <c r="U163" s="18"/>
      <c r="V163" s="18"/>
    </row>
    <row r="164" spans="1:22" ht="15" customHeight="1">
      <c r="A164" s="28" t="s">
        <v>52</v>
      </c>
      <c r="B164" s="28" t="str">
        <f>IFERROR(INDEX(_ENGINE_Initiatives!$F$5:$F$76,MATCH($A164,_ENGINE_Initiatives!$BW$5:$BW$76,0)),"")</f>
        <v/>
      </c>
      <c r="C164" s="32" t="str">
        <f ca="1">IFERROR(IF(AND(C$162&gt;=IF(INDEX(_ENGINE_Initiatives!$BX$5:$BX$76,MATCH($A164,_ENGINE_Initiatives!$BW$5:$BW$76,0))="0-90 days",'Company Profile'!$B$6,IF(INDEX(_ENGINE_Initiatives!$BX$5:$BX$76,MATCH($A164,_ENGINE_Initiatives!$BW$5:$BW$76,0))="3-6 months",EDATE('Company Profile'!$B$6,3),IF(INDEX(_ENGINE_Initiatives!$BX$5:$BX$76,MATCH($A164,_ENGINE_Initiatives!$BW$5:$BW$76,0))="6-12 months",EDATE('Company Profile'!$B$6,6),EDATE('Company Profile'!$B$6,12)))),C$162&lt;=IF(INDEX(_ENGINE_Initiatives!$BX$5:$BX$76,MATCH($A164,_ENGINE_Initiatives!$BW$5:$BW$76,0))="0-90 days",'Company Profile'!$B$6,IF(INDEX(_ENGINE_Initiatives!$BX$5:$BX$76,MATCH($A164,_ENGINE_Initiatives!$BW$5:$BW$76,0))="3-6 months",EDATE('Company Profile'!$B$6,3),IF(INDEX(_ENGINE_Initiatives!$BX$5:$BX$76,MATCH($A164,_ENGINE_Initiatives!$BW$5:$BW$76,0))="6-12 months",EDATE('Company Profile'!$B$6,6),EDATE('Company Profile'!$B$6,12))))+(IF(INDEX(_ENGINE_Initiatives!$AB$5:$AB$76,MATCH($A164,_ENGINE_Initiatives!$BW$5:$BW$76,0))&lt;=2,6,IF(INDEX(_ENGINE_Initiatives!$AB$5:$AB$76,MATCH($A164,_ENGINE_Initiatives!$BW$5:$BW$76,0))=3,10,IF(INDEX(_ENGINE_Initiatives!$AB$5:$AB$76,MATCH($A164,_ENGINE_Initiatives!$BW$5:$BW$76,0))=4,16,24)))*7)),1,""),"")</f>
        <v/>
      </c>
      <c r="D164" s="32" t="str">
        <f ca="1">IFERROR(IF(AND(D$162&gt;=IF(INDEX(_ENGINE_Initiatives!$BX$5:$BX$76,MATCH($A164,_ENGINE_Initiatives!$BW$5:$BW$76,0))="0-90 days",'Company Profile'!$B$6,IF(INDEX(_ENGINE_Initiatives!$BX$5:$BX$76,MATCH($A164,_ENGINE_Initiatives!$BW$5:$BW$76,0))="3-6 months",EDATE('Company Profile'!$B$6,3),IF(INDEX(_ENGINE_Initiatives!$BX$5:$BX$76,MATCH($A164,_ENGINE_Initiatives!$BW$5:$BW$76,0))="6-12 months",EDATE('Company Profile'!$B$6,6),EDATE('Company Profile'!$B$6,12)))),D$162&lt;=IF(INDEX(_ENGINE_Initiatives!$BX$5:$BX$76,MATCH($A164,_ENGINE_Initiatives!$BW$5:$BW$76,0))="0-90 days",'Company Profile'!$B$6,IF(INDEX(_ENGINE_Initiatives!$BX$5:$BX$76,MATCH($A164,_ENGINE_Initiatives!$BW$5:$BW$76,0))="3-6 months",EDATE('Company Profile'!$B$6,3),IF(INDEX(_ENGINE_Initiatives!$BX$5:$BX$76,MATCH($A164,_ENGINE_Initiatives!$BW$5:$BW$76,0))="6-12 months",EDATE('Company Profile'!$B$6,6),EDATE('Company Profile'!$B$6,12))))+(IF(INDEX(_ENGINE_Initiatives!$AB$5:$AB$76,MATCH($A164,_ENGINE_Initiatives!$BW$5:$BW$76,0))&lt;=2,6,IF(INDEX(_ENGINE_Initiatives!$AB$5:$AB$76,MATCH($A164,_ENGINE_Initiatives!$BW$5:$BW$76,0))=3,10,IF(INDEX(_ENGINE_Initiatives!$AB$5:$AB$76,MATCH($A164,_ENGINE_Initiatives!$BW$5:$BW$76,0))=4,16,24)))*7)),1,""),"")</f>
        <v/>
      </c>
      <c r="E164" s="32" t="str">
        <f ca="1">IFERROR(IF(AND(E$162&gt;=IF(INDEX(_ENGINE_Initiatives!$BX$5:$BX$76,MATCH($A164,_ENGINE_Initiatives!$BW$5:$BW$76,0))="0-90 days",'Company Profile'!$B$6,IF(INDEX(_ENGINE_Initiatives!$BX$5:$BX$76,MATCH($A164,_ENGINE_Initiatives!$BW$5:$BW$76,0))="3-6 months",EDATE('Company Profile'!$B$6,3),IF(INDEX(_ENGINE_Initiatives!$BX$5:$BX$76,MATCH($A164,_ENGINE_Initiatives!$BW$5:$BW$76,0))="6-12 months",EDATE('Company Profile'!$B$6,6),EDATE('Company Profile'!$B$6,12)))),E$162&lt;=IF(INDEX(_ENGINE_Initiatives!$BX$5:$BX$76,MATCH($A164,_ENGINE_Initiatives!$BW$5:$BW$76,0))="0-90 days",'Company Profile'!$B$6,IF(INDEX(_ENGINE_Initiatives!$BX$5:$BX$76,MATCH($A164,_ENGINE_Initiatives!$BW$5:$BW$76,0))="3-6 months",EDATE('Company Profile'!$B$6,3),IF(INDEX(_ENGINE_Initiatives!$BX$5:$BX$76,MATCH($A164,_ENGINE_Initiatives!$BW$5:$BW$76,0))="6-12 months",EDATE('Company Profile'!$B$6,6),EDATE('Company Profile'!$B$6,12))))+(IF(INDEX(_ENGINE_Initiatives!$AB$5:$AB$76,MATCH($A164,_ENGINE_Initiatives!$BW$5:$BW$76,0))&lt;=2,6,IF(INDEX(_ENGINE_Initiatives!$AB$5:$AB$76,MATCH($A164,_ENGINE_Initiatives!$BW$5:$BW$76,0))=3,10,IF(INDEX(_ENGINE_Initiatives!$AB$5:$AB$76,MATCH($A164,_ENGINE_Initiatives!$BW$5:$BW$76,0))=4,16,24)))*7)),1,""),"")</f>
        <v/>
      </c>
      <c r="F164" s="32" t="str">
        <f ca="1">IFERROR(IF(AND(F$162&gt;=IF(INDEX(_ENGINE_Initiatives!$BX$5:$BX$76,MATCH($A164,_ENGINE_Initiatives!$BW$5:$BW$76,0))="0-90 days",'Company Profile'!$B$6,IF(INDEX(_ENGINE_Initiatives!$BX$5:$BX$76,MATCH($A164,_ENGINE_Initiatives!$BW$5:$BW$76,0))="3-6 months",EDATE('Company Profile'!$B$6,3),IF(INDEX(_ENGINE_Initiatives!$BX$5:$BX$76,MATCH($A164,_ENGINE_Initiatives!$BW$5:$BW$76,0))="6-12 months",EDATE('Company Profile'!$B$6,6),EDATE('Company Profile'!$B$6,12)))),F$162&lt;=IF(INDEX(_ENGINE_Initiatives!$BX$5:$BX$76,MATCH($A164,_ENGINE_Initiatives!$BW$5:$BW$76,0))="0-90 days",'Company Profile'!$B$6,IF(INDEX(_ENGINE_Initiatives!$BX$5:$BX$76,MATCH($A164,_ENGINE_Initiatives!$BW$5:$BW$76,0))="3-6 months",EDATE('Company Profile'!$B$6,3),IF(INDEX(_ENGINE_Initiatives!$BX$5:$BX$76,MATCH($A164,_ENGINE_Initiatives!$BW$5:$BW$76,0))="6-12 months",EDATE('Company Profile'!$B$6,6),EDATE('Company Profile'!$B$6,12))))+(IF(INDEX(_ENGINE_Initiatives!$AB$5:$AB$76,MATCH($A164,_ENGINE_Initiatives!$BW$5:$BW$76,0))&lt;=2,6,IF(INDEX(_ENGINE_Initiatives!$AB$5:$AB$76,MATCH($A164,_ENGINE_Initiatives!$BW$5:$BW$76,0))=3,10,IF(INDEX(_ENGINE_Initiatives!$AB$5:$AB$76,MATCH($A164,_ENGINE_Initiatives!$BW$5:$BW$76,0))=4,16,24)))*7)),1,""),"")</f>
        <v/>
      </c>
      <c r="G164" s="32" t="str">
        <f ca="1">IFERROR(IF(AND(G$162&gt;=IF(INDEX(_ENGINE_Initiatives!$BX$5:$BX$76,MATCH($A164,_ENGINE_Initiatives!$BW$5:$BW$76,0))="0-90 days",'Company Profile'!$B$6,IF(INDEX(_ENGINE_Initiatives!$BX$5:$BX$76,MATCH($A164,_ENGINE_Initiatives!$BW$5:$BW$76,0))="3-6 months",EDATE('Company Profile'!$B$6,3),IF(INDEX(_ENGINE_Initiatives!$BX$5:$BX$76,MATCH($A164,_ENGINE_Initiatives!$BW$5:$BW$76,0))="6-12 months",EDATE('Company Profile'!$B$6,6),EDATE('Company Profile'!$B$6,12)))),G$162&lt;=IF(INDEX(_ENGINE_Initiatives!$BX$5:$BX$76,MATCH($A164,_ENGINE_Initiatives!$BW$5:$BW$76,0))="0-90 days",'Company Profile'!$B$6,IF(INDEX(_ENGINE_Initiatives!$BX$5:$BX$76,MATCH($A164,_ENGINE_Initiatives!$BW$5:$BW$76,0))="3-6 months",EDATE('Company Profile'!$B$6,3),IF(INDEX(_ENGINE_Initiatives!$BX$5:$BX$76,MATCH($A164,_ENGINE_Initiatives!$BW$5:$BW$76,0))="6-12 months",EDATE('Company Profile'!$B$6,6),EDATE('Company Profile'!$B$6,12))))+(IF(INDEX(_ENGINE_Initiatives!$AB$5:$AB$76,MATCH($A164,_ENGINE_Initiatives!$BW$5:$BW$76,0))&lt;=2,6,IF(INDEX(_ENGINE_Initiatives!$AB$5:$AB$76,MATCH($A164,_ENGINE_Initiatives!$BW$5:$BW$76,0))=3,10,IF(INDEX(_ENGINE_Initiatives!$AB$5:$AB$76,MATCH($A164,_ENGINE_Initiatives!$BW$5:$BW$76,0))=4,16,24)))*7)),1,""),"")</f>
        <v/>
      </c>
      <c r="H164" s="32" t="str">
        <f ca="1">IFERROR(IF(AND(H$162&gt;=IF(INDEX(_ENGINE_Initiatives!$BX$5:$BX$76,MATCH($A164,_ENGINE_Initiatives!$BW$5:$BW$76,0))="0-90 days",'Company Profile'!$B$6,IF(INDEX(_ENGINE_Initiatives!$BX$5:$BX$76,MATCH($A164,_ENGINE_Initiatives!$BW$5:$BW$76,0))="3-6 months",EDATE('Company Profile'!$B$6,3),IF(INDEX(_ENGINE_Initiatives!$BX$5:$BX$76,MATCH($A164,_ENGINE_Initiatives!$BW$5:$BW$76,0))="6-12 months",EDATE('Company Profile'!$B$6,6),EDATE('Company Profile'!$B$6,12)))),H$162&lt;=IF(INDEX(_ENGINE_Initiatives!$BX$5:$BX$76,MATCH($A164,_ENGINE_Initiatives!$BW$5:$BW$76,0))="0-90 days",'Company Profile'!$B$6,IF(INDEX(_ENGINE_Initiatives!$BX$5:$BX$76,MATCH($A164,_ENGINE_Initiatives!$BW$5:$BW$76,0))="3-6 months",EDATE('Company Profile'!$B$6,3),IF(INDEX(_ENGINE_Initiatives!$BX$5:$BX$76,MATCH($A164,_ENGINE_Initiatives!$BW$5:$BW$76,0))="6-12 months",EDATE('Company Profile'!$B$6,6),EDATE('Company Profile'!$B$6,12))))+(IF(INDEX(_ENGINE_Initiatives!$AB$5:$AB$76,MATCH($A164,_ENGINE_Initiatives!$BW$5:$BW$76,0))&lt;=2,6,IF(INDEX(_ENGINE_Initiatives!$AB$5:$AB$76,MATCH($A164,_ENGINE_Initiatives!$BW$5:$BW$76,0))=3,10,IF(INDEX(_ENGINE_Initiatives!$AB$5:$AB$76,MATCH($A164,_ENGINE_Initiatives!$BW$5:$BW$76,0))=4,16,24)))*7)),1,""),"")</f>
        <v/>
      </c>
      <c r="I164" s="32" t="str">
        <f ca="1">IFERROR(IF(AND(I$162&gt;=IF(INDEX(_ENGINE_Initiatives!$BX$5:$BX$76,MATCH($A164,_ENGINE_Initiatives!$BW$5:$BW$76,0))="0-90 days",'Company Profile'!$B$6,IF(INDEX(_ENGINE_Initiatives!$BX$5:$BX$76,MATCH($A164,_ENGINE_Initiatives!$BW$5:$BW$76,0))="3-6 months",EDATE('Company Profile'!$B$6,3),IF(INDEX(_ENGINE_Initiatives!$BX$5:$BX$76,MATCH($A164,_ENGINE_Initiatives!$BW$5:$BW$76,0))="6-12 months",EDATE('Company Profile'!$B$6,6),EDATE('Company Profile'!$B$6,12)))),I$162&lt;=IF(INDEX(_ENGINE_Initiatives!$BX$5:$BX$76,MATCH($A164,_ENGINE_Initiatives!$BW$5:$BW$76,0))="0-90 days",'Company Profile'!$B$6,IF(INDEX(_ENGINE_Initiatives!$BX$5:$BX$76,MATCH($A164,_ENGINE_Initiatives!$BW$5:$BW$76,0))="3-6 months",EDATE('Company Profile'!$B$6,3),IF(INDEX(_ENGINE_Initiatives!$BX$5:$BX$76,MATCH($A164,_ENGINE_Initiatives!$BW$5:$BW$76,0))="6-12 months",EDATE('Company Profile'!$B$6,6),EDATE('Company Profile'!$B$6,12))))+(IF(INDEX(_ENGINE_Initiatives!$AB$5:$AB$76,MATCH($A164,_ENGINE_Initiatives!$BW$5:$BW$76,0))&lt;=2,6,IF(INDEX(_ENGINE_Initiatives!$AB$5:$AB$76,MATCH($A164,_ENGINE_Initiatives!$BW$5:$BW$76,0))=3,10,IF(INDEX(_ENGINE_Initiatives!$AB$5:$AB$76,MATCH($A164,_ENGINE_Initiatives!$BW$5:$BW$76,0))=4,16,24)))*7)),1,""),"")</f>
        <v/>
      </c>
      <c r="J164" s="32" t="str">
        <f ca="1">IFERROR(IF(AND(J$162&gt;=IF(INDEX(_ENGINE_Initiatives!$BX$5:$BX$76,MATCH($A164,_ENGINE_Initiatives!$BW$5:$BW$76,0))="0-90 days",'Company Profile'!$B$6,IF(INDEX(_ENGINE_Initiatives!$BX$5:$BX$76,MATCH($A164,_ENGINE_Initiatives!$BW$5:$BW$76,0))="3-6 months",EDATE('Company Profile'!$B$6,3),IF(INDEX(_ENGINE_Initiatives!$BX$5:$BX$76,MATCH($A164,_ENGINE_Initiatives!$BW$5:$BW$76,0))="6-12 months",EDATE('Company Profile'!$B$6,6),EDATE('Company Profile'!$B$6,12)))),J$162&lt;=IF(INDEX(_ENGINE_Initiatives!$BX$5:$BX$76,MATCH($A164,_ENGINE_Initiatives!$BW$5:$BW$76,0))="0-90 days",'Company Profile'!$B$6,IF(INDEX(_ENGINE_Initiatives!$BX$5:$BX$76,MATCH($A164,_ENGINE_Initiatives!$BW$5:$BW$76,0))="3-6 months",EDATE('Company Profile'!$B$6,3),IF(INDEX(_ENGINE_Initiatives!$BX$5:$BX$76,MATCH($A164,_ENGINE_Initiatives!$BW$5:$BW$76,0))="6-12 months",EDATE('Company Profile'!$B$6,6),EDATE('Company Profile'!$B$6,12))))+(IF(INDEX(_ENGINE_Initiatives!$AB$5:$AB$76,MATCH($A164,_ENGINE_Initiatives!$BW$5:$BW$76,0))&lt;=2,6,IF(INDEX(_ENGINE_Initiatives!$AB$5:$AB$76,MATCH($A164,_ENGINE_Initiatives!$BW$5:$BW$76,0))=3,10,IF(INDEX(_ENGINE_Initiatives!$AB$5:$AB$76,MATCH($A164,_ENGINE_Initiatives!$BW$5:$BW$76,0))=4,16,24)))*7)),1,""),"")</f>
        <v/>
      </c>
      <c r="K164" s="32" t="str">
        <f ca="1">IFERROR(IF(AND(K$162&gt;=IF(INDEX(_ENGINE_Initiatives!$BX$5:$BX$76,MATCH($A164,_ENGINE_Initiatives!$BW$5:$BW$76,0))="0-90 days",'Company Profile'!$B$6,IF(INDEX(_ENGINE_Initiatives!$BX$5:$BX$76,MATCH($A164,_ENGINE_Initiatives!$BW$5:$BW$76,0))="3-6 months",EDATE('Company Profile'!$B$6,3),IF(INDEX(_ENGINE_Initiatives!$BX$5:$BX$76,MATCH($A164,_ENGINE_Initiatives!$BW$5:$BW$76,0))="6-12 months",EDATE('Company Profile'!$B$6,6),EDATE('Company Profile'!$B$6,12)))),K$162&lt;=IF(INDEX(_ENGINE_Initiatives!$BX$5:$BX$76,MATCH($A164,_ENGINE_Initiatives!$BW$5:$BW$76,0))="0-90 days",'Company Profile'!$B$6,IF(INDEX(_ENGINE_Initiatives!$BX$5:$BX$76,MATCH($A164,_ENGINE_Initiatives!$BW$5:$BW$76,0))="3-6 months",EDATE('Company Profile'!$B$6,3),IF(INDEX(_ENGINE_Initiatives!$BX$5:$BX$76,MATCH($A164,_ENGINE_Initiatives!$BW$5:$BW$76,0))="6-12 months",EDATE('Company Profile'!$B$6,6),EDATE('Company Profile'!$B$6,12))))+(IF(INDEX(_ENGINE_Initiatives!$AB$5:$AB$76,MATCH($A164,_ENGINE_Initiatives!$BW$5:$BW$76,0))&lt;=2,6,IF(INDEX(_ENGINE_Initiatives!$AB$5:$AB$76,MATCH($A164,_ENGINE_Initiatives!$BW$5:$BW$76,0))=3,10,IF(INDEX(_ENGINE_Initiatives!$AB$5:$AB$76,MATCH($A164,_ENGINE_Initiatives!$BW$5:$BW$76,0))=4,16,24)))*7)),1,""),"")</f>
        <v/>
      </c>
      <c r="L164" s="32" t="str">
        <f ca="1">IFERROR(IF(AND(L$162&gt;=IF(INDEX(_ENGINE_Initiatives!$BX$5:$BX$76,MATCH($A164,_ENGINE_Initiatives!$BW$5:$BW$76,0))="0-90 days",'Company Profile'!$B$6,IF(INDEX(_ENGINE_Initiatives!$BX$5:$BX$76,MATCH($A164,_ENGINE_Initiatives!$BW$5:$BW$76,0))="3-6 months",EDATE('Company Profile'!$B$6,3),IF(INDEX(_ENGINE_Initiatives!$BX$5:$BX$76,MATCH($A164,_ENGINE_Initiatives!$BW$5:$BW$76,0))="6-12 months",EDATE('Company Profile'!$B$6,6),EDATE('Company Profile'!$B$6,12)))),L$162&lt;=IF(INDEX(_ENGINE_Initiatives!$BX$5:$BX$76,MATCH($A164,_ENGINE_Initiatives!$BW$5:$BW$76,0))="0-90 days",'Company Profile'!$B$6,IF(INDEX(_ENGINE_Initiatives!$BX$5:$BX$76,MATCH($A164,_ENGINE_Initiatives!$BW$5:$BW$76,0))="3-6 months",EDATE('Company Profile'!$B$6,3),IF(INDEX(_ENGINE_Initiatives!$BX$5:$BX$76,MATCH($A164,_ENGINE_Initiatives!$BW$5:$BW$76,0))="6-12 months",EDATE('Company Profile'!$B$6,6),EDATE('Company Profile'!$B$6,12))))+(IF(INDEX(_ENGINE_Initiatives!$AB$5:$AB$76,MATCH($A164,_ENGINE_Initiatives!$BW$5:$BW$76,0))&lt;=2,6,IF(INDEX(_ENGINE_Initiatives!$AB$5:$AB$76,MATCH($A164,_ENGINE_Initiatives!$BW$5:$BW$76,0))=3,10,IF(INDEX(_ENGINE_Initiatives!$AB$5:$AB$76,MATCH($A164,_ENGINE_Initiatives!$BW$5:$BW$76,0))=4,16,24)))*7)),1,""),"")</f>
        <v/>
      </c>
      <c r="M164" s="32" t="str">
        <f ca="1">IFERROR(IF(AND(M$162&gt;=IF(INDEX(_ENGINE_Initiatives!$BX$5:$BX$76,MATCH($A164,_ENGINE_Initiatives!$BW$5:$BW$76,0))="0-90 days",'Company Profile'!$B$6,IF(INDEX(_ENGINE_Initiatives!$BX$5:$BX$76,MATCH($A164,_ENGINE_Initiatives!$BW$5:$BW$76,0))="3-6 months",EDATE('Company Profile'!$B$6,3),IF(INDEX(_ENGINE_Initiatives!$BX$5:$BX$76,MATCH($A164,_ENGINE_Initiatives!$BW$5:$BW$76,0))="6-12 months",EDATE('Company Profile'!$B$6,6),EDATE('Company Profile'!$B$6,12)))),M$162&lt;=IF(INDEX(_ENGINE_Initiatives!$BX$5:$BX$76,MATCH($A164,_ENGINE_Initiatives!$BW$5:$BW$76,0))="0-90 days",'Company Profile'!$B$6,IF(INDEX(_ENGINE_Initiatives!$BX$5:$BX$76,MATCH($A164,_ENGINE_Initiatives!$BW$5:$BW$76,0))="3-6 months",EDATE('Company Profile'!$B$6,3),IF(INDEX(_ENGINE_Initiatives!$BX$5:$BX$76,MATCH($A164,_ENGINE_Initiatives!$BW$5:$BW$76,0))="6-12 months",EDATE('Company Profile'!$B$6,6),EDATE('Company Profile'!$B$6,12))))+(IF(INDEX(_ENGINE_Initiatives!$AB$5:$AB$76,MATCH($A164,_ENGINE_Initiatives!$BW$5:$BW$76,0))&lt;=2,6,IF(INDEX(_ENGINE_Initiatives!$AB$5:$AB$76,MATCH($A164,_ENGINE_Initiatives!$BW$5:$BW$76,0))=3,10,IF(INDEX(_ENGINE_Initiatives!$AB$5:$AB$76,MATCH($A164,_ENGINE_Initiatives!$BW$5:$BW$76,0))=4,16,24)))*7)),1,""),"")</f>
        <v/>
      </c>
      <c r="N164" s="32" t="str">
        <f ca="1">IFERROR(IF(AND(N$162&gt;=IF(INDEX(_ENGINE_Initiatives!$BX$5:$BX$76,MATCH($A164,_ENGINE_Initiatives!$BW$5:$BW$76,0))="0-90 days",'Company Profile'!$B$6,IF(INDEX(_ENGINE_Initiatives!$BX$5:$BX$76,MATCH($A164,_ENGINE_Initiatives!$BW$5:$BW$76,0))="3-6 months",EDATE('Company Profile'!$B$6,3),IF(INDEX(_ENGINE_Initiatives!$BX$5:$BX$76,MATCH($A164,_ENGINE_Initiatives!$BW$5:$BW$76,0))="6-12 months",EDATE('Company Profile'!$B$6,6),EDATE('Company Profile'!$B$6,12)))),N$162&lt;=IF(INDEX(_ENGINE_Initiatives!$BX$5:$BX$76,MATCH($A164,_ENGINE_Initiatives!$BW$5:$BW$76,0))="0-90 days",'Company Profile'!$B$6,IF(INDEX(_ENGINE_Initiatives!$BX$5:$BX$76,MATCH($A164,_ENGINE_Initiatives!$BW$5:$BW$76,0))="3-6 months",EDATE('Company Profile'!$B$6,3),IF(INDEX(_ENGINE_Initiatives!$BX$5:$BX$76,MATCH($A164,_ENGINE_Initiatives!$BW$5:$BW$76,0))="6-12 months",EDATE('Company Profile'!$B$6,6),EDATE('Company Profile'!$B$6,12))))+(IF(INDEX(_ENGINE_Initiatives!$AB$5:$AB$76,MATCH($A164,_ENGINE_Initiatives!$BW$5:$BW$76,0))&lt;=2,6,IF(INDEX(_ENGINE_Initiatives!$AB$5:$AB$76,MATCH($A164,_ENGINE_Initiatives!$BW$5:$BW$76,0))=3,10,IF(INDEX(_ENGINE_Initiatives!$AB$5:$AB$76,MATCH($A164,_ENGINE_Initiatives!$BW$5:$BW$76,0))=4,16,24)))*7)),1,""),"")</f>
        <v/>
      </c>
      <c r="O164" s="32" t="str">
        <f ca="1">IFERROR(IF(AND(O$162&gt;=IF(INDEX(_ENGINE_Initiatives!$BX$5:$BX$76,MATCH($A164,_ENGINE_Initiatives!$BW$5:$BW$76,0))="0-90 days",'Company Profile'!$B$6,IF(INDEX(_ENGINE_Initiatives!$BX$5:$BX$76,MATCH($A164,_ENGINE_Initiatives!$BW$5:$BW$76,0))="3-6 months",EDATE('Company Profile'!$B$6,3),IF(INDEX(_ENGINE_Initiatives!$BX$5:$BX$76,MATCH($A164,_ENGINE_Initiatives!$BW$5:$BW$76,0))="6-12 months",EDATE('Company Profile'!$B$6,6),EDATE('Company Profile'!$B$6,12)))),O$162&lt;=IF(INDEX(_ENGINE_Initiatives!$BX$5:$BX$76,MATCH($A164,_ENGINE_Initiatives!$BW$5:$BW$76,0))="0-90 days",'Company Profile'!$B$6,IF(INDEX(_ENGINE_Initiatives!$BX$5:$BX$76,MATCH($A164,_ENGINE_Initiatives!$BW$5:$BW$76,0))="3-6 months",EDATE('Company Profile'!$B$6,3),IF(INDEX(_ENGINE_Initiatives!$BX$5:$BX$76,MATCH($A164,_ENGINE_Initiatives!$BW$5:$BW$76,0))="6-12 months",EDATE('Company Profile'!$B$6,6),EDATE('Company Profile'!$B$6,12))))+(IF(INDEX(_ENGINE_Initiatives!$AB$5:$AB$76,MATCH($A164,_ENGINE_Initiatives!$BW$5:$BW$76,0))&lt;=2,6,IF(INDEX(_ENGINE_Initiatives!$AB$5:$AB$76,MATCH($A164,_ENGINE_Initiatives!$BW$5:$BW$76,0))=3,10,IF(INDEX(_ENGINE_Initiatives!$AB$5:$AB$76,MATCH($A164,_ENGINE_Initiatives!$BW$5:$BW$76,0))=4,16,24)))*7)),1,""),"")</f>
        <v/>
      </c>
      <c r="P164" s="32" t="str">
        <f ca="1">IFERROR(IF(AND(P$162&gt;=IF(INDEX(_ENGINE_Initiatives!$BX$5:$BX$76,MATCH($A164,_ENGINE_Initiatives!$BW$5:$BW$76,0))="0-90 days",'Company Profile'!$B$6,IF(INDEX(_ENGINE_Initiatives!$BX$5:$BX$76,MATCH($A164,_ENGINE_Initiatives!$BW$5:$BW$76,0))="3-6 months",EDATE('Company Profile'!$B$6,3),IF(INDEX(_ENGINE_Initiatives!$BX$5:$BX$76,MATCH($A164,_ENGINE_Initiatives!$BW$5:$BW$76,0))="6-12 months",EDATE('Company Profile'!$B$6,6),EDATE('Company Profile'!$B$6,12)))),P$162&lt;=IF(INDEX(_ENGINE_Initiatives!$BX$5:$BX$76,MATCH($A164,_ENGINE_Initiatives!$BW$5:$BW$76,0))="0-90 days",'Company Profile'!$B$6,IF(INDEX(_ENGINE_Initiatives!$BX$5:$BX$76,MATCH($A164,_ENGINE_Initiatives!$BW$5:$BW$76,0))="3-6 months",EDATE('Company Profile'!$B$6,3),IF(INDEX(_ENGINE_Initiatives!$BX$5:$BX$76,MATCH($A164,_ENGINE_Initiatives!$BW$5:$BW$76,0))="6-12 months",EDATE('Company Profile'!$B$6,6),EDATE('Company Profile'!$B$6,12))))+(IF(INDEX(_ENGINE_Initiatives!$AB$5:$AB$76,MATCH($A164,_ENGINE_Initiatives!$BW$5:$BW$76,0))&lt;=2,6,IF(INDEX(_ENGINE_Initiatives!$AB$5:$AB$76,MATCH($A164,_ENGINE_Initiatives!$BW$5:$BW$76,0))=3,10,IF(INDEX(_ENGINE_Initiatives!$AB$5:$AB$76,MATCH($A164,_ENGINE_Initiatives!$BW$5:$BW$76,0))=4,16,24)))*7)),1,""),"")</f>
        <v/>
      </c>
      <c r="Q164" s="32" t="str">
        <f ca="1">IFERROR(IF(AND(Q$162&gt;=IF(INDEX(_ENGINE_Initiatives!$BX$5:$BX$76,MATCH($A164,_ENGINE_Initiatives!$BW$5:$BW$76,0))="0-90 days",'Company Profile'!$B$6,IF(INDEX(_ENGINE_Initiatives!$BX$5:$BX$76,MATCH($A164,_ENGINE_Initiatives!$BW$5:$BW$76,0))="3-6 months",EDATE('Company Profile'!$B$6,3),IF(INDEX(_ENGINE_Initiatives!$BX$5:$BX$76,MATCH($A164,_ENGINE_Initiatives!$BW$5:$BW$76,0))="6-12 months",EDATE('Company Profile'!$B$6,6),EDATE('Company Profile'!$B$6,12)))),Q$162&lt;=IF(INDEX(_ENGINE_Initiatives!$BX$5:$BX$76,MATCH($A164,_ENGINE_Initiatives!$BW$5:$BW$76,0))="0-90 days",'Company Profile'!$B$6,IF(INDEX(_ENGINE_Initiatives!$BX$5:$BX$76,MATCH($A164,_ENGINE_Initiatives!$BW$5:$BW$76,0))="3-6 months",EDATE('Company Profile'!$B$6,3),IF(INDEX(_ENGINE_Initiatives!$BX$5:$BX$76,MATCH($A164,_ENGINE_Initiatives!$BW$5:$BW$76,0))="6-12 months",EDATE('Company Profile'!$B$6,6),EDATE('Company Profile'!$B$6,12))))+(IF(INDEX(_ENGINE_Initiatives!$AB$5:$AB$76,MATCH($A164,_ENGINE_Initiatives!$BW$5:$BW$76,0))&lt;=2,6,IF(INDEX(_ENGINE_Initiatives!$AB$5:$AB$76,MATCH($A164,_ENGINE_Initiatives!$BW$5:$BW$76,0))=3,10,IF(INDEX(_ENGINE_Initiatives!$AB$5:$AB$76,MATCH($A164,_ENGINE_Initiatives!$BW$5:$BW$76,0))=4,16,24)))*7)),1,""),"")</f>
        <v/>
      </c>
      <c r="R164" s="32" t="str">
        <f ca="1">IFERROR(IF(AND(R$162&gt;=IF(INDEX(_ENGINE_Initiatives!$BX$5:$BX$76,MATCH($A164,_ENGINE_Initiatives!$BW$5:$BW$76,0))="0-90 days",'Company Profile'!$B$6,IF(INDEX(_ENGINE_Initiatives!$BX$5:$BX$76,MATCH($A164,_ENGINE_Initiatives!$BW$5:$BW$76,0))="3-6 months",EDATE('Company Profile'!$B$6,3),IF(INDEX(_ENGINE_Initiatives!$BX$5:$BX$76,MATCH($A164,_ENGINE_Initiatives!$BW$5:$BW$76,0))="6-12 months",EDATE('Company Profile'!$B$6,6),EDATE('Company Profile'!$B$6,12)))),R$162&lt;=IF(INDEX(_ENGINE_Initiatives!$BX$5:$BX$76,MATCH($A164,_ENGINE_Initiatives!$BW$5:$BW$76,0))="0-90 days",'Company Profile'!$B$6,IF(INDEX(_ENGINE_Initiatives!$BX$5:$BX$76,MATCH($A164,_ENGINE_Initiatives!$BW$5:$BW$76,0))="3-6 months",EDATE('Company Profile'!$B$6,3),IF(INDEX(_ENGINE_Initiatives!$BX$5:$BX$76,MATCH($A164,_ENGINE_Initiatives!$BW$5:$BW$76,0))="6-12 months",EDATE('Company Profile'!$B$6,6),EDATE('Company Profile'!$B$6,12))))+(IF(INDEX(_ENGINE_Initiatives!$AB$5:$AB$76,MATCH($A164,_ENGINE_Initiatives!$BW$5:$BW$76,0))&lt;=2,6,IF(INDEX(_ENGINE_Initiatives!$AB$5:$AB$76,MATCH($A164,_ENGINE_Initiatives!$BW$5:$BW$76,0))=3,10,IF(INDEX(_ENGINE_Initiatives!$AB$5:$AB$76,MATCH($A164,_ENGINE_Initiatives!$BW$5:$BW$76,0))=4,16,24)))*7)),1,""),"")</f>
        <v/>
      </c>
      <c r="S164" s="32" t="str">
        <f ca="1">IFERROR(IF(AND(S$162&gt;=IF(INDEX(_ENGINE_Initiatives!$BX$5:$BX$76,MATCH($A164,_ENGINE_Initiatives!$BW$5:$BW$76,0))="0-90 days",'Company Profile'!$B$6,IF(INDEX(_ENGINE_Initiatives!$BX$5:$BX$76,MATCH($A164,_ENGINE_Initiatives!$BW$5:$BW$76,0))="3-6 months",EDATE('Company Profile'!$B$6,3),IF(INDEX(_ENGINE_Initiatives!$BX$5:$BX$76,MATCH($A164,_ENGINE_Initiatives!$BW$5:$BW$76,0))="6-12 months",EDATE('Company Profile'!$B$6,6),EDATE('Company Profile'!$B$6,12)))),S$162&lt;=IF(INDEX(_ENGINE_Initiatives!$BX$5:$BX$76,MATCH($A164,_ENGINE_Initiatives!$BW$5:$BW$76,0))="0-90 days",'Company Profile'!$B$6,IF(INDEX(_ENGINE_Initiatives!$BX$5:$BX$76,MATCH($A164,_ENGINE_Initiatives!$BW$5:$BW$76,0))="3-6 months",EDATE('Company Profile'!$B$6,3),IF(INDEX(_ENGINE_Initiatives!$BX$5:$BX$76,MATCH($A164,_ENGINE_Initiatives!$BW$5:$BW$76,0))="6-12 months",EDATE('Company Profile'!$B$6,6),EDATE('Company Profile'!$B$6,12))))+(IF(INDEX(_ENGINE_Initiatives!$AB$5:$AB$76,MATCH($A164,_ENGINE_Initiatives!$BW$5:$BW$76,0))&lt;=2,6,IF(INDEX(_ENGINE_Initiatives!$AB$5:$AB$76,MATCH($A164,_ENGINE_Initiatives!$BW$5:$BW$76,0))=3,10,IF(INDEX(_ENGINE_Initiatives!$AB$5:$AB$76,MATCH($A164,_ENGINE_Initiatives!$BW$5:$BW$76,0))=4,16,24)))*7)),1,""),"")</f>
        <v/>
      </c>
      <c r="T164" s="32" t="str">
        <f ca="1">IFERROR(IF(AND(T$162&gt;=IF(INDEX(_ENGINE_Initiatives!$BX$5:$BX$76,MATCH($A164,_ENGINE_Initiatives!$BW$5:$BW$76,0))="0-90 days",'Company Profile'!$B$6,IF(INDEX(_ENGINE_Initiatives!$BX$5:$BX$76,MATCH($A164,_ENGINE_Initiatives!$BW$5:$BW$76,0))="3-6 months",EDATE('Company Profile'!$B$6,3),IF(INDEX(_ENGINE_Initiatives!$BX$5:$BX$76,MATCH($A164,_ENGINE_Initiatives!$BW$5:$BW$76,0))="6-12 months",EDATE('Company Profile'!$B$6,6),EDATE('Company Profile'!$B$6,12)))),T$162&lt;=IF(INDEX(_ENGINE_Initiatives!$BX$5:$BX$76,MATCH($A164,_ENGINE_Initiatives!$BW$5:$BW$76,0))="0-90 days",'Company Profile'!$B$6,IF(INDEX(_ENGINE_Initiatives!$BX$5:$BX$76,MATCH($A164,_ENGINE_Initiatives!$BW$5:$BW$76,0))="3-6 months",EDATE('Company Profile'!$B$6,3),IF(INDEX(_ENGINE_Initiatives!$BX$5:$BX$76,MATCH($A164,_ENGINE_Initiatives!$BW$5:$BW$76,0))="6-12 months",EDATE('Company Profile'!$B$6,6),EDATE('Company Profile'!$B$6,12))))+(IF(INDEX(_ENGINE_Initiatives!$AB$5:$AB$76,MATCH($A164,_ENGINE_Initiatives!$BW$5:$BW$76,0))&lt;=2,6,IF(INDEX(_ENGINE_Initiatives!$AB$5:$AB$76,MATCH($A164,_ENGINE_Initiatives!$BW$5:$BW$76,0))=3,10,IF(INDEX(_ENGINE_Initiatives!$AB$5:$AB$76,MATCH($A164,_ENGINE_Initiatives!$BW$5:$BW$76,0))=4,16,24)))*7)),1,""),"")</f>
        <v/>
      </c>
      <c r="U164" s="18"/>
      <c r="V164" s="18"/>
    </row>
    <row r="165" spans="1:22" ht="15" customHeight="1">
      <c r="A165" s="28" t="s">
        <v>56</v>
      </c>
      <c r="B165" s="28" t="str">
        <f>IFERROR(INDEX(_ENGINE_Initiatives!$F$5:$F$76,MATCH($A165,_ENGINE_Initiatives!$BW$5:$BW$76,0)),"")</f>
        <v/>
      </c>
      <c r="C165" s="32" t="str">
        <f ca="1">IFERROR(IF(AND(C$162&gt;=IF(INDEX(_ENGINE_Initiatives!$BX$5:$BX$76,MATCH($A165,_ENGINE_Initiatives!$BW$5:$BW$76,0))="0-90 days",'Company Profile'!$B$6,IF(INDEX(_ENGINE_Initiatives!$BX$5:$BX$76,MATCH($A165,_ENGINE_Initiatives!$BW$5:$BW$76,0))="3-6 months",EDATE('Company Profile'!$B$6,3),IF(INDEX(_ENGINE_Initiatives!$BX$5:$BX$76,MATCH($A165,_ENGINE_Initiatives!$BW$5:$BW$76,0))="6-12 months",EDATE('Company Profile'!$B$6,6),EDATE('Company Profile'!$B$6,12)))),C$162&lt;=IF(INDEX(_ENGINE_Initiatives!$BX$5:$BX$76,MATCH($A165,_ENGINE_Initiatives!$BW$5:$BW$76,0))="0-90 days",'Company Profile'!$B$6,IF(INDEX(_ENGINE_Initiatives!$BX$5:$BX$76,MATCH($A165,_ENGINE_Initiatives!$BW$5:$BW$76,0))="3-6 months",EDATE('Company Profile'!$B$6,3),IF(INDEX(_ENGINE_Initiatives!$BX$5:$BX$76,MATCH($A165,_ENGINE_Initiatives!$BW$5:$BW$76,0))="6-12 months",EDATE('Company Profile'!$B$6,6),EDATE('Company Profile'!$B$6,12))))+(IF(INDEX(_ENGINE_Initiatives!$AB$5:$AB$76,MATCH($A165,_ENGINE_Initiatives!$BW$5:$BW$76,0))&lt;=2,6,IF(INDEX(_ENGINE_Initiatives!$AB$5:$AB$76,MATCH($A165,_ENGINE_Initiatives!$BW$5:$BW$76,0))=3,10,IF(INDEX(_ENGINE_Initiatives!$AB$5:$AB$76,MATCH($A165,_ENGINE_Initiatives!$BW$5:$BW$76,0))=4,16,24)))*7)),1,""),"")</f>
        <v/>
      </c>
      <c r="D165" s="32" t="str">
        <f ca="1">IFERROR(IF(AND(D$162&gt;=IF(INDEX(_ENGINE_Initiatives!$BX$5:$BX$76,MATCH($A165,_ENGINE_Initiatives!$BW$5:$BW$76,0))="0-90 days",'Company Profile'!$B$6,IF(INDEX(_ENGINE_Initiatives!$BX$5:$BX$76,MATCH($A165,_ENGINE_Initiatives!$BW$5:$BW$76,0))="3-6 months",EDATE('Company Profile'!$B$6,3),IF(INDEX(_ENGINE_Initiatives!$BX$5:$BX$76,MATCH($A165,_ENGINE_Initiatives!$BW$5:$BW$76,0))="6-12 months",EDATE('Company Profile'!$B$6,6),EDATE('Company Profile'!$B$6,12)))),D$162&lt;=IF(INDEX(_ENGINE_Initiatives!$BX$5:$BX$76,MATCH($A165,_ENGINE_Initiatives!$BW$5:$BW$76,0))="0-90 days",'Company Profile'!$B$6,IF(INDEX(_ENGINE_Initiatives!$BX$5:$BX$76,MATCH($A165,_ENGINE_Initiatives!$BW$5:$BW$76,0))="3-6 months",EDATE('Company Profile'!$B$6,3),IF(INDEX(_ENGINE_Initiatives!$BX$5:$BX$76,MATCH($A165,_ENGINE_Initiatives!$BW$5:$BW$76,0))="6-12 months",EDATE('Company Profile'!$B$6,6),EDATE('Company Profile'!$B$6,12))))+(IF(INDEX(_ENGINE_Initiatives!$AB$5:$AB$76,MATCH($A165,_ENGINE_Initiatives!$BW$5:$BW$76,0))&lt;=2,6,IF(INDEX(_ENGINE_Initiatives!$AB$5:$AB$76,MATCH($A165,_ENGINE_Initiatives!$BW$5:$BW$76,0))=3,10,IF(INDEX(_ENGINE_Initiatives!$AB$5:$AB$76,MATCH($A165,_ENGINE_Initiatives!$BW$5:$BW$76,0))=4,16,24)))*7)),1,""),"")</f>
        <v/>
      </c>
      <c r="E165" s="32" t="str">
        <f ca="1">IFERROR(IF(AND(E$162&gt;=IF(INDEX(_ENGINE_Initiatives!$BX$5:$BX$76,MATCH($A165,_ENGINE_Initiatives!$BW$5:$BW$76,0))="0-90 days",'Company Profile'!$B$6,IF(INDEX(_ENGINE_Initiatives!$BX$5:$BX$76,MATCH($A165,_ENGINE_Initiatives!$BW$5:$BW$76,0))="3-6 months",EDATE('Company Profile'!$B$6,3),IF(INDEX(_ENGINE_Initiatives!$BX$5:$BX$76,MATCH($A165,_ENGINE_Initiatives!$BW$5:$BW$76,0))="6-12 months",EDATE('Company Profile'!$B$6,6),EDATE('Company Profile'!$B$6,12)))),E$162&lt;=IF(INDEX(_ENGINE_Initiatives!$BX$5:$BX$76,MATCH($A165,_ENGINE_Initiatives!$BW$5:$BW$76,0))="0-90 days",'Company Profile'!$B$6,IF(INDEX(_ENGINE_Initiatives!$BX$5:$BX$76,MATCH($A165,_ENGINE_Initiatives!$BW$5:$BW$76,0))="3-6 months",EDATE('Company Profile'!$B$6,3),IF(INDEX(_ENGINE_Initiatives!$BX$5:$BX$76,MATCH($A165,_ENGINE_Initiatives!$BW$5:$BW$76,0))="6-12 months",EDATE('Company Profile'!$B$6,6),EDATE('Company Profile'!$B$6,12))))+(IF(INDEX(_ENGINE_Initiatives!$AB$5:$AB$76,MATCH($A165,_ENGINE_Initiatives!$BW$5:$BW$76,0))&lt;=2,6,IF(INDEX(_ENGINE_Initiatives!$AB$5:$AB$76,MATCH($A165,_ENGINE_Initiatives!$BW$5:$BW$76,0))=3,10,IF(INDEX(_ENGINE_Initiatives!$AB$5:$AB$76,MATCH($A165,_ENGINE_Initiatives!$BW$5:$BW$76,0))=4,16,24)))*7)),1,""),"")</f>
        <v/>
      </c>
      <c r="F165" s="32" t="str">
        <f ca="1">IFERROR(IF(AND(F$162&gt;=IF(INDEX(_ENGINE_Initiatives!$BX$5:$BX$76,MATCH($A165,_ENGINE_Initiatives!$BW$5:$BW$76,0))="0-90 days",'Company Profile'!$B$6,IF(INDEX(_ENGINE_Initiatives!$BX$5:$BX$76,MATCH($A165,_ENGINE_Initiatives!$BW$5:$BW$76,0))="3-6 months",EDATE('Company Profile'!$B$6,3),IF(INDEX(_ENGINE_Initiatives!$BX$5:$BX$76,MATCH($A165,_ENGINE_Initiatives!$BW$5:$BW$76,0))="6-12 months",EDATE('Company Profile'!$B$6,6),EDATE('Company Profile'!$B$6,12)))),F$162&lt;=IF(INDEX(_ENGINE_Initiatives!$BX$5:$BX$76,MATCH($A165,_ENGINE_Initiatives!$BW$5:$BW$76,0))="0-90 days",'Company Profile'!$B$6,IF(INDEX(_ENGINE_Initiatives!$BX$5:$BX$76,MATCH($A165,_ENGINE_Initiatives!$BW$5:$BW$76,0))="3-6 months",EDATE('Company Profile'!$B$6,3),IF(INDEX(_ENGINE_Initiatives!$BX$5:$BX$76,MATCH($A165,_ENGINE_Initiatives!$BW$5:$BW$76,0))="6-12 months",EDATE('Company Profile'!$B$6,6),EDATE('Company Profile'!$B$6,12))))+(IF(INDEX(_ENGINE_Initiatives!$AB$5:$AB$76,MATCH($A165,_ENGINE_Initiatives!$BW$5:$BW$76,0))&lt;=2,6,IF(INDEX(_ENGINE_Initiatives!$AB$5:$AB$76,MATCH($A165,_ENGINE_Initiatives!$BW$5:$BW$76,0))=3,10,IF(INDEX(_ENGINE_Initiatives!$AB$5:$AB$76,MATCH($A165,_ENGINE_Initiatives!$BW$5:$BW$76,0))=4,16,24)))*7)),1,""),"")</f>
        <v/>
      </c>
      <c r="G165" s="32" t="str">
        <f ca="1">IFERROR(IF(AND(G$162&gt;=IF(INDEX(_ENGINE_Initiatives!$BX$5:$BX$76,MATCH($A165,_ENGINE_Initiatives!$BW$5:$BW$76,0))="0-90 days",'Company Profile'!$B$6,IF(INDEX(_ENGINE_Initiatives!$BX$5:$BX$76,MATCH($A165,_ENGINE_Initiatives!$BW$5:$BW$76,0))="3-6 months",EDATE('Company Profile'!$B$6,3),IF(INDEX(_ENGINE_Initiatives!$BX$5:$BX$76,MATCH($A165,_ENGINE_Initiatives!$BW$5:$BW$76,0))="6-12 months",EDATE('Company Profile'!$B$6,6),EDATE('Company Profile'!$B$6,12)))),G$162&lt;=IF(INDEX(_ENGINE_Initiatives!$BX$5:$BX$76,MATCH($A165,_ENGINE_Initiatives!$BW$5:$BW$76,0))="0-90 days",'Company Profile'!$B$6,IF(INDEX(_ENGINE_Initiatives!$BX$5:$BX$76,MATCH($A165,_ENGINE_Initiatives!$BW$5:$BW$76,0))="3-6 months",EDATE('Company Profile'!$B$6,3),IF(INDEX(_ENGINE_Initiatives!$BX$5:$BX$76,MATCH($A165,_ENGINE_Initiatives!$BW$5:$BW$76,0))="6-12 months",EDATE('Company Profile'!$B$6,6),EDATE('Company Profile'!$B$6,12))))+(IF(INDEX(_ENGINE_Initiatives!$AB$5:$AB$76,MATCH($A165,_ENGINE_Initiatives!$BW$5:$BW$76,0))&lt;=2,6,IF(INDEX(_ENGINE_Initiatives!$AB$5:$AB$76,MATCH($A165,_ENGINE_Initiatives!$BW$5:$BW$76,0))=3,10,IF(INDEX(_ENGINE_Initiatives!$AB$5:$AB$76,MATCH($A165,_ENGINE_Initiatives!$BW$5:$BW$76,0))=4,16,24)))*7)),1,""),"")</f>
        <v/>
      </c>
      <c r="H165" s="32" t="str">
        <f ca="1">IFERROR(IF(AND(H$162&gt;=IF(INDEX(_ENGINE_Initiatives!$BX$5:$BX$76,MATCH($A165,_ENGINE_Initiatives!$BW$5:$BW$76,0))="0-90 days",'Company Profile'!$B$6,IF(INDEX(_ENGINE_Initiatives!$BX$5:$BX$76,MATCH($A165,_ENGINE_Initiatives!$BW$5:$BW$76,0))="3-6 months",EDATE('Company Profile'!$B$6,3),IF(INDEX(_ENGINE_Initiatives!$BX$5:$BX$76,MATCH($A165,_ENGINE_Initiatives!$BW$5:$BW$76,0))="6-12 months",EDATE('Company Profile'!$B$6,6),EDATE('Company Profile'!$B$6,12)))),H$162&lt;=IF(INDEX(_ENGINE_Initiatives!$BX$5:$BX$76,MATCH($A165,_ENGINE_Initiatives!$BW$5:$BW$76,0))="0-90 days",'Company Profile'!$B$6,IF(INDEX(_ENGINE_Initiatives!$BX$5:$BX$76,MATCH($A165,_ENGINE_Initiatives!$BW$5:$BW$76,0))="3-6 months",EDATE('Company Profile'!$B$6,3),IF(INDEX(_ENGINE_Initiatives!$BX$5:$BX$76,MATCH($A165,_ENGINE_Initiatives!$BW$5:$BW$76,0))="6-12 months",EDATE('Company Profile'!$B$6,6),EDATE('Company Profile'!$B$6,12))))+(IF(INDEX(_ENGINE_Initiatives!$AB$5:$AB$76,MATCH($A165,_ENGINE_Initiatives!$BW$5:$BW$76,0))&lt;=2,6,IF(INDEX(_ENGINE_Initiatives!$AB$5:$AB$76,MATCH($A165,_ENGINE_Initiatives!$BW$5:$BW$76,0))=3,10,IF(INDEX(_ENGINE_Initiatives!$AB$5:$AB$76,MATCH($A165,_ENGINE_Initiatives!$BW$5:$BW$76,0))=4,16,24)))*7)),1,""),"")</f>
        <v/>
      </c>
      <c r="I165" s="32" t="str">
        <f ca="1">IFERROR(IF(AND(I$162&gt;=IF(INDEX(_ENGINE_Initiatives!$BX$5:$BX$76,MATCH($A165,_ENGINE_Initiatives!$BW$5:$BW$76,0))="0-90 days",'Company Profile'!$B$6,IF(INDEX(_ENGINE_Initiatives!$BX$5:$BX$76,MATCH($A165,_ENGINE_Initiatives!$BW$5:$BW$76,0))="3-6 months",EDATE('Company Profile'!$B$6,3),IF(INDEX(_ENGINE_Initiatives!$BX$5:$BX$76,MATCH($A165,_ENGINE_Initiatives!$BW$5:$BW$76,0))="6-12 months",EDATE('Company Profile'!$B$6,6),EDATE('Company Profile'!$B$6,12)))),I$162&lt;=IF(INDEX(_ENGINE_Initiatives!$BX$5:$BX$76,MATCH($A165,_ENGINE_Initiatives!$BW$5:$BW$76,0))="0-90 days",'Company Profile'!$B$6,IF(INDEX(_ENGINE_Initiatives!$BX$5:$BX$76,MATCH($A165,_ENGINE_Initiatives!$BW$5:$BW$76,0))="3-6 months",EDATE('Company Profile'!$B$6,3),IF(INDEX(_ENGINE_Initiatives!$BX$5:$BX$76,MATCH($A165,_ENGINE_Initiatives!$BW$5:$BW$76,0))="6-12 months",EDATE('Company Profile'!$B$6,6),EDATE('Company Profile'!$B$6,12))))+(IF(INDEX(_ENGINE_Initiatives!$AB$5:$AB$76,MATCH($A165,_ENGINE_Initiatives!$BW$5:$BW$76,0))&lt;=2,6,IF(INDEX(_ENGINE_Initiatives!$AB$5:$AB$76,MATCH($A165,_ENGINE_Initiatives!$BW$5:$BW$76,0))=3,10,IF(INDEX(_ENGINE_Initiatives!$AB$5:$AB$76,MATCH($A165,_ENGINE_Initiatives!$BW$5:$BW$76,0))=4,16,24)))*7)),1,""),"")</f>
        <v/>
      </c>
      <c r="J165" s="32" t="str">
        <f ca="1">IFERROR(IF(AND(J$162&gt;=IF(INDEX(_ENGINE_Initiatives!$BX$5:$BX$76,MATCH($A165,_ENGINE_Initiatives!$BW$5:$BW$76,0))="0-90 days",'Company Profile'!$B$6,IF(INDEX(_ENGINE_Initiatives!$BX$5:$BX$76,MATCH($A165,_ENGINE_Initiatives!$BW$5:$BW$76,0))="3-6 months",EDATE('Company Profile'!$B$6,3),IF(INDEX(_ENGINE_Initiatives!$BX$5:$BX$76,MATCH($A165,_ENGINE_Initiatives!$BW$5:$BW$76,0))="6-12 months",EDATE('Company Profile'!$B$6,6),EDATE('Company Profile'!$B$6,12)))),J$162&lt;=IF(INDEX(_ENGINE_Initiatives!$BX$5:$BX$76,MATCH($A165,_ENGINE_Initiatives!$BW$5:$BW$76,0))="0-90 days",'Company Profile'!$B$6,IF(INDEX(_ENGINE_Initiatives!$BX$5:$BX$76,MATCH($A165,_ENGINE_Initiatives!$BW$5:$BW$76,0))="3-6 months",EDATE('Company Profile'!$B$6,3),IF(INDEX(_ENGINE_Initiatives!$BX$5:$BX$76,MATCH($A165,_ENGINE_Initiatives!$BW$5:$BW$76,0))="6-12 months",EDATE('Company Profile'!$B$6,6),EDATE('Company Profile'!$B$6,12))))+(IF(INDEX(_ENGINE_Initiatives!$AB$5:$AB$76,MATCH($A165,_ENGINE_Initiatives!$BW$5:$BW$76,0))&lt;=2,6,IF(INDEX(_ENGINE_Initiatives!$AB$5:$AB$76,MATCH($A165,_ENGINE_Initiatives!$BW$5:$BW$76,0))=3,10,IF(INDEX(_ENGINE_Initiatives!$AB$5:$AB$76,MATCH($A165,_ENGINE_Initiatives!$BW$5:$BW$76,0))=4,16,24)))*7)),1,""),"")</f>
        <v/>
      </c>
      <c r="K165" s="32" t="str">
        <f ca="1">IFERROR(IF(AND(K$162&gt;=IF(INDEX(_ENGINE_Initiatives!$BX$5:$BX$76,MATCH($A165,_ENGINE_Initiatives!$BW$5:$BW$76,0))="0-90 days",'Company Profile'!$B$6,IF(INDEX(_ENGINE_Initiatives!$BX$5:$BX$76,MATCH($A165,_ENGINE_Initiatives!$BW$5:$BW$76,0))="3-6 months",EDATE('Company Profile'!$B$6,3),IF(INDEX(_ENGINE_Initiatives!$BX$5:$BX$76,MATCH($A165,_ENGINE_Initiatives!$BW$5:$BW$76,0))="6-12 months",EDATE('Company Profile'!$B$6,6),EDATE('Company Profile'!$B$6,12)))),K$162&lt;=IF(INDEX(_ENGINE_Initiatives!$BX$5:$BX$76,MATCH($A165,_ENGINE_Initiatives!$BW$5:$BW$76,0))="0-90 days",'Company Profile'!$B$6,IF(INDEX(_ENGINE_Initiatives!$BX$5:$BX$76,MATCH($A165,_ENGINE_Initiatives!$BW$5:$BW$76,0))="3-6 months",EDATE('Company Profile'!$B$6,3),IF(INDEX(_ENGINE_Initiatives!$BX$5:$BX$76,MATCH($A165,_ENGINE_Initiatives!$BW$5:$BW$76,0))="6-12 months",EDATE('Company Profile'!$B$6,6),EDATE('Company Profile'!$B$6,12))))+(IF(INDEX(_ENGINE_Initiatives!$AB$5:$AB$76,MATCH($A165,_ENGINE_Initiatives!$BW$5:$BW$76,0))&lt;=2,6,IF(INDEX(_ENGINE_Initiatives!$AB$5:$AB$76,MATCH($A165,_ENGINE_Initiatives!$BW$5:$BW$76,0))=3,10,IF(INDEX(_ENGINE_Initiatives!$AB$5:$AB$76,MATCH($A165,_ENGINE_Initiatives!$BW$5:$BW$76,0))=4,16,24)))*7)),1,""),"")</f>
        <v/>
      </c>
      <c r="L165" s="32" t="str">
        <f ca="1">IFERROR(IF(AND(L$162&gt;=IF(INDEX(_ENGINE_Initiatives!$BX$5:$BX$76,MATCH($A165,_ENGINE_Initiatives!$BW$5:$BW$76,0))="0-90 days",'Company Profile'!$B$6,IF(INDEX(_ENGINE_Initiatives!$BX$5:$BX$76,MATCH($A165,_ENGINE_Initiatives!$BW$5:$BW$76,0))="3-6 months",EDATE('Company Profile'!$B$6,3),IF(INDEX(_ENGINE_Initiatives!$BX$5:$BX$76,MATCH($A165,_ENGINE_Initiatives!$BW$5:$BW$76,0))="6-12 months",EDATE('Company Profile'!$B$6,6),EDATE('Company Profile'!$B$6,12)))),L$162&lt;=IF(INDEX(_ENGINE_Initiatives!$BX$5:$BX$76,MATCH($A165,_ENGINE_Initiatives!$BW$5:$BW$76,0))="0-90 days",'Company Profile'!$B$6,IF(INDEX(_ENGINE_Initiatives!$BX$5:$BX$76,MATCH($A165,_ENGINE_Initiatives!$BW$5:$BW$76,0))="3-6 months",EDATE('Company Profile'!$B$6,3),IF(INDEX(_ENGINE_Initiatives!$BX$5:$BX$76,MATCH($A165,_ENGINE_Initiatives!$BW$5:$BW$76,0))="6-12 months",EDATE('Company Profile'!$B$6,6),EDATE('Company Profile'!$B$6,12))))+(IF(INDEX(_ENGINE_Initiatives!$AB$5:$AB$76,MATCH($A165,_ENGINE_Initiatives!$BW$5:$BW$76,0))&lt;=2,6,IF(INDEX(_ENGINE_Initiatives!$AB$5:$AB$76,MATCH($A165,_ENGINE_Initiatives!$BW$5:$BW$76,0))=3,10,IF(INDEX(_ENGINE_Initiatives!$AB$5:$AB$76,MATCH($A165,_ENGINE_Initiatives!$BW$5:$BW$76,0))=4,16,24)))*7)),1,""),"")</f>
        <v/>
      </c>
      <c r="M165" s="32" t="str">
        <f ca="1">IFERROR(IF(AND(M$162&gt;=IF(INDEX(_ENGINE_Initiatives!$BX$5:$BX$76,MATCH($A165,_ENGINE_Initiatives!$BW$5:$BW$76,0))="0-90 days",'Company Profile'!$B$6,IF(INDEX(_ENGINE_Initiatives!$BX$5:$BX$76,MATCH($A165,_ENGINE_Initiatives!$BW$5:$BW$76,0))="3-6 months",EDATE('Company Profile'!$B$6,3),IF(INDEX(_ENGINE_Initiatives!$BX$5:$BX$76,MATCH($A165,_ENGINE_Initiatives!$BW$5:$BW$76,0))="6-12 months",EDATE('Company Profile'!$B$6,6),EDATE('Company Profile'!$B$6,12)))),M$162&lt;=IF(INDEX(_ENGINE_Initiatives!$BX$5:$BX$76,MATCH($A165,_ENGINE_Initiatives!$BW$5:$BW$76,0))="0-90 days",'Company Profile'!$B$6,IF(INDEX(_ENGINE_Initiatives!$BX$5:$BX$76,MATCH($A165,_ENGINE_Initiatives!$BW$5:$BW$76,0))="3-6 months",EDATE('Company Profile'!$B$6,3),IF(INDEX(_ENGINE_Initiatives!$BX$5:$BX$76,MATCH($A165,_ENGINE_Initiatives!$BW$5:$BW$76,0))="6-12 months",EDATE('Company Profile'!$B$6,6),EDATE('Company Profile'!$B$6,12))))+(IF(INDEX(_ENGINE_Initiatives!$AB$5:$AB$76,MATCH($A165,_ENGINE_Initiatives!$BW$5:$BW$76,0))&lt;=2,6,IF(INDEX(_ENGINE_Initiatives!$AB$5:$AB$76,MATCH($A165,_ENGINE_Initiatives!$BW$5:$BW$76,0))=3,10,IF(INDEX(_ENGINE_Initiatives!$AB$5:$AB$76,MATCH($A165,_ENGINE_Initiatives!$BW$5:$BW$76,0))=4,16,24)))*7)),1,""),"")</f>
        <v/>
      </c>
      <c r="N165" s="32" t="str">
        <f ca="1">IFERROR(IF(AND(N$162&gt;=IF(INDEX(_ENGINE_Initiatives!$BX$5:$BX$76,MATCH($A165,_ENGINE_Initiatives!$BW$5:$BW$76,0))="0-90 days",'Company Profile'!$B$6,IF(INDEX(_ENGINE_Initiatives!$BX$5:$BX$76,MATCH($A165,_ENGINE_Initiatives!$BW$5:$BW$76,0))="3-6 months",EDATE('Company Profile'!$B$6,3),IF(INDEX(_ENGINE_Initiatives!$BX$5:$BX$76,MATCH($A165,_ENGINE_Initiatives!$BW$5:$BW$76,0))="6-12 months",EDATE('Company Profile'!$B$6,6),EDATE('Company Profile'!$B$6,12)))),N$162&lt;=IF(INDEX(_ENGINE_Initiatives!$BX$5:$BX$76,MATCH($A165,_ENGINE_Initiatives!$BW$5:$BW$76,0))="0-90 days",'Company Profile'!$B$6,IF(INDEX(_ENGINE_Initiatives!$BX$5:$BX$76,MATCH($A165,_ENGINE_Initiatives!$BW$5:$BW$76,0))="3-6 months",EDATE('Company Profile'!$B$6,3),IF(INDEX(_ENGINE_Initiatives!$BX$5:$BX$76,MATCH($A165,_ENGINE_Initiatives!$BW$5:$BW$76,0))="6-12 months",EDATE('Company Profile'!$B$6,6),EDATE('Company Profile'!$B$6,12))))+(IF(INDEX(_ENGINE_Initiatives!$AB$5:$AB$76,MATCH($A165,_ENGINE_Initiatives!$BW$5:$BW$76,0))&lt;=2,6,IF(INDEX(_ENGINE_Initiatives!$AB$5:$AB$76,MATCH($A165,_ENGINE_Initiatives!$BW$5:$BW$76,0))=3,10,IF(INDEX(_ENGINE_Initiatives!$AB$5:$AB$76,MATCH($A165,_ENGINE_Initiatives!$BW$5:$BW$76,0))=4,16,24)))*7)),1,""),"")</f>
        <v/>
      </c>
      <c r="O165" s="32" t="str">
        <f ca="1">IFERROR(IF(AND(O$162&gt;=IF(INDEX(_ENGINE_Initiatives!$BX$5:$BX$76,MATCH($A165,_ENGINE_Initiatives!$BW$5:$BW$76,0))="0-90 days",'Company Profile'!$B$6,IF(INDEX(_ENGINE_Initiatives!$BX$5:$BX$76,MATCH($A165,_ENGINE_Initiatives!$BW$5:$BW$76,0))="3-6 months",EDATE('Company Profile'!$B$6,3),IF(INDEX(_ENGINE_Initiatives!$BX$5:$BX$76,MATCH($A165,_ENGINE_Initiatives!$BW$5:$BW$76,0))="6-12 months",EDATE('Company Profile'!$B$6,6),EDATE('Company Profile'!$B$6,12)))),O$162&lt;=IF(INDEX(_ENGINE_Initiatives!$BX$5:$BX$76,MATCH($A165,_ENGINE_Initiatives!$BW$5:$BW$76,0))="0-90 days",'Company Profile'!$B$6,IF(INDEX(_ENGINE_Initiatives!$BX$5:$BX$76,MATCH($A165,_ENGINE_Initiatives!$BW$5:$BW$76,0))="3-6 months",EDATE('Company Profile'!$B$6,3),IF(INDEX(_ENGINE_Initiatives!$BX$5:$BX$76,MATCH($A165,_ENGINE_Initiatives!$BW$5:$BW$76,0))="6-12 months",EDATE('Company Profile'!$B$6,6),EDATE('Company Profile'!$B$6,12))))+(IF(INDEX(_ENGINE_Initiatives!$AB$5:$AB$76,MATCH($A165,_ENGINE_Initiatives!$BW$5:$BW$76,0))&lt;=2,6,IF(INDEX(_ENGINE_Initiatives!$AB$5:$AB$76,MATCH($A165,_ENGINE_Initiatives!$BW$5:$BW$76,0))=3,10,IF(INDEX(_ENGINE_Initiatives!$AB$5:$AB$76,MATCH($A165,_ENGINE_Initiatives!$BW$5:$BW$76,0))=4,16,24)))*7)),1,""),"")</f>
        <v/>
      </c>
      <c r="P165" s="32" t="str">
        <f ca="1">IFERROR(IF(AND(P$162&gt;=IF(INDEX(_ENGINE_Initiatives!$BX$5:$BX$76,MATCH($A165,_ENGINE_Initiatives!$BW$5:$BW$76,0))="0-90 days",'Company Profile'!$B$6,IF(INDEX(_ENGINE_Initiatives!$BX$5:$BX$76,MATCH($A165,_ENGINE_Initiatives!$BW$5:$BW$76,0))="3-6 months",EDATE('Company Profile'!$B$6,3),IF(INDEX(_ENGINE_Initiatives!$BX$5:$BX$76,MATCH($A165,_ENGINE_Initiatives!$BW$5:$BW$76,0))="6-12 months",EDATE('Company Profile'!$B$6,6),EDATE('Company Profile'!$B$6,12)))),P$162&lt;=IF(INDEX(_ENGINE_Initiatives!$BX$5:$BX$76,MATCH($A165,_ENGINE_Initiatives!$BW$5:$BW$76,0))="0-90 days",'Company Profile'!$B$6,IF(INDEX(_ENGINE_Initiatives!$BX$5:$BX$76,MATCH($A165,_ENGINE_Initiatives!$BW$5:$BW$76,0))="3-6 months",EDATE('Company Profile'!$B$6,3),IF(INDEX(_ENGINE_Initiatives!$BX$5:$BX$76,MATCH($A165,_ENGINE_Initiatives!$BW$5:$BW$76,0))="6-12 months",EDATE('Company Profile'!$B$6,6),EDATE('Company Profile'!$B$6,12))))+(IF(INDEX(_ENGINE_Initiatives!$AB$5:$AB$76,MATCH($A165,_ENGINE_Initiatives!$BW$5:$BW$76,0))&lt;=2,6,IF(INDEX(_ENGINE_Initiatives!$AB$5:$AB$76,MATCH($A165,_ENGINE_Initiatives!$BW$5:$BW$76,0))=3,10,IF(INDEX(_ENGINE_Initiatives!$AB$5:$AB$76,MATCH($A165,_ENGINE_Initiatives!$BW$5:$BW$76,0))=4,16,24)))*7)),1,""),"")</f>
        <v/>
      </c>
      <c r="Q165" s="32" t="str">
        <f ca="1">IFERROR(IF(AND(Q$162&gt;=IF(INDEX(_ENGINE_Initiatives!$BX$5:$BX$76,MATCH($A165,_ENGINE_Initiatives!$BW$5:$BW$76,0))="0-90 days",'Company Profile'!$B$6,IF(INDEX(_ENGINE_Initiatives!$BX$5:$BX$76,MATCH($A165,_ENGINE_Initiatives!$BW$5:$BW$76,0))="3-6 months",EDATE('Company Profile'!$B$6,3),IF(INDEX(_ENGINE_Initiatives!$BX$5:$BX$76,MATCH($A165,_ENGINE_Initiatives!$BW$5:$BW$76,0))="6-12 months",EDATE('Company Profile'!$B$6,6),EDATE('Company Profile'!$B$6,12)))),Q$162&lt;=IF(INDEX(_ENGINE_Initiatives!$BX$5:$BX$76,MATCH($A165,_ENGINE_Initiatives!$BW$5:$BW$76,0))="0-90 days",'Company Profile'!$B$6,IF(INDEX(_ENGINE_Initiatives!$BX$5:$BX$76,MATCH($A165,_ENGINE_Initiatives!$BW$5:$BW$76,0))="3-6 months",EDATE('Company Profile'!$B$6,3),IF(INDEX(_ENGINE_Initiatives!$BX$5:$BX$76,MATCH($A165,_ENGINE_Initiatives!$BW$5:$BW$76,0))="6-12 months",EDATE('Company Profile'!$B$6,6),EDATE('Company Profile'!$B$6,12))))+(IF(INDEX(_ENGINE_Initiatives!$AB$5:$AB$76,MATCH($A165,_ENGINE_Initiatives!$BW$5:$BW$76,0))&lt;=2,6,IF(INDEX(_ENGINE_Initiatives!$AB$5:$AB$76,MATCH($A165,_ENGINE_Initiatives!$BW$5:$BW$76,0))=3,10,IF(INDEX(_ENGINE_Initiatives!$AB$5:$AB$76,MATCH($A165,_ENGINE_Initiatives!$BW$5:$BW$76,0))=4,16,24)))*7)),1,""),"")</f>
        <v/>
      </c>
      <c r="R165" s="32" t="str">
        <f ca="1">IFERROR(IF(AND(R$162&gt;=IF(INDEX(_ENGINE_Initiatives!$BX$5:$BX$76,MATCH($A165,_ENGINE_Initiatives!$BW$5:$BW$76,0))="0-90 days",'Company Profile'!$B$6,IF(INDEX(_ENGINE_Initiatives!$BX$5:$BX$76,MATCH($A165,_ENGINE_Initiatives!$BW$5:$BW$76,0))="3-6 months",EDATE('Company Profile'!$B$6,3),IF(INDEX(_ENGINE_Initiatives!$BX$5:$BX$76,MATCH($A165,_ENGINE_Initiatives!$BW$5:$BW$76,0))="6-12 months",EDATE('Company Profile'!$B$6,6),EDATE('Company Profile'!$B$6,12)))),R$162&lt;=IF(INDEX(_ENGINE_Initiatives!$BX$5:$BX$76,MATCH($A165,_ENGINE_Initiatives!$BW$5:$BW$76,0))="0-90 days",'Company Profile'!$B$6,IF(INDEX(_ENGINE_Initiatives!$BX$5:$BX$76,MATCH($A165,_ENGINE_Initiatives!$BW$5:$BW$76,0))="3-6 months",EDATE('Company Profile'!$B$6,3),IF(INDEX(_ENGINE_Initiatives!$BX$5:$BX$76,MATCH($A165,_ENGINE_Initiatives!$BW$5:$BW$76,0))="6-12 months",EDATE('Company Profile'!$B$6,6),EDATE('Company Profile'!$B$6,12))))+(IF(INDEX(_ENGINE_Initiatives!$AB$5:$AB$76,MATCH($A165,_ENGINE_Initiatives!$BW$5:$BW$76,0))&lt;=2,6,IF(INDEX(_ENGINE_Initiatives!$AB$5:$AB$76,MATCH($A165,_ENGINE_Initiatives!$BW$5:$BW$76,0))=3,10,IF(INDEX(_ENGINE_Initiatives!$AB$5:$AB$76,MATCH($A165,_ENGINE_Initiatives!$BW$5:$BW$76,0))=4,16,24)))*7)),1,""),"")</f>
        <v/>
      </c>
      <c r="S165" s="32" t="str">
        <f ca="1">IFERROR(IF(AND(S$162&gt;=IF(INDEX(_ENGINE_Initiatives!$BX$5:$BX$76,MATCH($A165,_ENGINE_Initiatives!$BW$5:$BW$76,0))="0-90 days",'Company Profile'!$B$6,IF(INDEX(_ENGINE_Initiatives!$BX$5:$BX$76,MATCH($A165,_ENGINE_Initiatives!$BW$5:$BW$76,0))="3-6 months",EDATE('Company Profile'!$B$6,3),IF(INDEX(_ENGINE_Initiatives!$BX$5:$BX$76,MATCH($A165,_ENGINE_Initiatives!$BW$5:$BW$76,0))="6-12 months",EDATE('Company Profile'!$B$6,6),EDATE('Company Profile'!$B$6,12)))),S$162&lt;=IF(INDEX(_ENGINE_Initiatives!$BX$5:$BX$76,MATCH($A165,_ENGINE_Initiatives!$BW$5:$BW$76,0))="0-90 days",'Company Profile'!$B$6,IF(INDEX(_ENGINE_Initiatives!$BX$5:$BX$76,MATCH($A165,_ENGINE_Initiatives!$BW$5:$BW$76,0))="3-6 months",EDATE('Company Profile'!$B$6,3),IF(INDEX(_ENGINE_Initiatives!$BX$5:$BX$76,MATCH($A165,_ENGINE_Initiatives!$BW$5:$BW$76,0))="6-12 months",EDATE('Company Profile'!$B$6,6),EDATE('Company Profile'!$B$6,12))))+(IF(INDEX(_ENGINE_Initiatives!$AB$5:$AB$76,MATCH($A165,_ENGINE_Initiatives!$BW$5:$BW$76,0))&lt;=2,6,IF(INDEX(_ENGINE_Initiatives!$AB$5:$AB$76,MATCH($A165,_ENGINE_Initiatives!$BW$5:$BW$76,0))=3,10,IF(INDEX(_ENGINE_Initiatives!$AB$5:$AB$76,MATCH($A165,_ENGINE_Initiatives!$BW$5:$BW$76,0))=4,16,24)))*7)),1,""),"")</f>
        <v/>
      </c>
      <c r="T165" s="32" t="str">
        <f ca="1">IFERROR(IF(AND(T$162&gt;=IF(INDEX(_ENGINE_Initiatives!$BX$5:$BX$76,MATCH($A165,_ENGINE_Initiatives!$BW$5:$BW$76,0))="0-90 days",'Company Profile'!$B$6,IF(INDEX(_ENGINE_Initiatives!$BX$5:$BX$76,MATCH($A165,_ENGINE_Initiatives!$BW$5:$BW$76,0))="3-6 months",EDATE('Company Profile'!$B$6,3),IF(INDEX(_ENGINE_Initiatives!$BX$5:$BX$76,MATCH($A165,_ENGINE_Initiatives!$BW$5:$BW$76,0))="6-12 months",EDATE('Company Profile'!$B$6,6),EDATE('Company Profile'!$B$6,12)))),T$162&lt;=IF(INDEX(_ENGINE_Initiatives!$BX$5:$BX$76,MATCH($A165,_ENGINE_Initiatives!$BW$5:$BW$76,0))="0-90 days",'Company Profile'!$B$6,IF(INDEX(_ENGINE_Initiatives!$BX$5:$BX$76,MATCH($A165,_ENGINE_Initiatives!$BW$5:$BW$76,0))="3-6 months",EDATE('Company Profile'!$B$6,3),IF(INDEX(_ENGINE_Initiatives!$BX$5:$BX$76,MATCH($A165,_ENGINE_Initiatives!$BW$5:$BW$76,0))="6-12 months",EDATE('Company Profile'!$B$6,6),EDATE('Company Profile'!$B$6,12))))+(IF(INDEX(_ENGINE_Initiatives!$AB$5:$AB$76,MATCH($A165,_ENGINE_Initiatives!$BW$5:$BW$76,0))&lt;=2,6,IF(INDEX(_ENGINE_Initiatives!$AB$5:$AB$76,MATCH($A165,_ENGINE_Initiatives!$BW$5:$BW$76,0))=3,10,IF(INDEX(_ENGINE_Initiatives!$AB$5:$AB$76,MATCH($A165,_ENGINE_Initiatives!$BW$5:$BW$76,0))=4,16,24)))*7)),1,""),"")</f>
        <v/>
      </c>
      <c r="U165" s="18"/>
      <c r="V165" s="18"/>
    </row>
    <row r="166" spans="1:22" ht="15" customHeight="1">
      <c r="A166" s="28" t="s">
        <v>60</v>
      </c>
      <c r="B166" s="28" t="str">
        <f>IFERROR(INDEX(_ENGINE_Initiatives!$F$5:$F$76,MATCH($A166,_ENGINE_Initiatives!$BW$5:$BW$76,0)),"")</f>
        <v/>
      </c>
      <c r="C166" s="32" t="str">
        <f ca="1">IFERROR(IF(AND(C$162&gt;=IF(INDEX(_ENGINE_Initiatives!$BX$5:$BX$76,MATCH($A166,_ENGINE_Initiatives!$BW$5:$BW$76,0))="0-90 days",'Company Profile'!$B$6,IF(INDEX(_ENGINE_Initiatives!$BX$5:$BX$76,MATCH($A166,_ENGINE_Initiatives!$BW$5:$BW$76,0))="3-6 months",EDATE('Company Profile'!$B$6,3),IF(INDEX(_ENGINE_Initiatives!$BX$5:$BX$76,MATCH($A166,_ENGINE_Initiatives!$BW$5:$BW$76,0))="6-12 months",EDATE('Company Profile'!$B$6,6),EDATE('Company Profile'!$B$6,12)))),C$162&lt;=IF(INDEX(_ENGINE_Initiatives!$BX$5:$BX$76,MATCH($A166,_ENGINE_Initiatives!$BW$5:$BW$76,0))="0-90 days",'Company Profile'!$B$6,IF(INDEX(_ENGINE_Initiatives!$BX$5:$BX$76,MATCH($A166,_ENGINE_Initiatives!$BW$5:$BW$76,0))="3-6 months",EDATE('Company Profile'!$B$6,3),IF(INDEX(_ENGINE_Initiatives!$BX$5:$BX$76,MATCH($A166,_ENGINE_Initiatives!$BW$5:$BW$76,0))="6-12 months",EDATE('Company Profile'!$B$6,6),EDATE('Company Profile'!$B$6,12))))+(IF(INDEX(_ENGINE_Initiatives!$AB$5:$AB$76,MATCH($A166,_ENGINE_Initiatives!$BW$5:$BW$76,0))&lt;=2,6,IF(INDEX(_ENGINE_Initiatives!$AB$5:$AB$76,MATCH($A166,_ENGINE_Initiatives!$BW$5:$BW$76,0))=3,10,IF(INDEX(_ENGINE_Initiatives!$AB$5:$AB$76,MATCH($A166,_ENGINE_Initiatives!$BW$5:$BW$76,0))=4,16,24)))*7)),1,""),"")</f>
        <v/>
      </c>
      <c r="D166" s="32" t="str">
        <f ca="1">IFERROR(IF(AND(D$162&gt;=IF(INDEX(_ENGINE_Initiatives!$BX$5:$BX$76,MATCH($A166,_ENGINE_Initiatives!$BW$5:$BW$76,0))="0-90 days",'Company Profile'!$B$6,IF(INDEX(_ENGINE_Initiatives!$BX$5:$BX$76,MATCH($A166,_ENGINE_Initiatives!$BW$5:$BW$76,0))="3-6 months",EDATE('Company Profile'!$B$6,3),IF(INDEX(_ENGINE_Initiatives!$BX$5:$BX$76,MATCH($A166,_ENGINE_Initiatives!$BW$5:$BW$76,0))="6-12 months",EDATE('Company Profile'!$B$6,6),EDATE('Company Profile'!$B$6,12)))),D$162&lt;=IF(INDEX(_ENGINE_Initiatives!$BX$5:$BX$76,MATCH($A166,_ENGINE_Initiatives!$BW$5:$BW$76,0))="0-90 days",'Company Profile'!$B$6,IF(INDEX(_ENGINE_Initiatives!$BX$5:$BX$76,MATCH($A166,_ENGINE_Initiatives!$BW$5:$BW$76,0))="3-6 months",EDATE('Company Profile'!$B$6,3),IF(INDEX(_ENGINE_Initiatives!$BX$5:$BX$76,MATCH($A166,_ENGINE_Initiatives!$BW$5:$BW$76,0))="6-12 months",EDATE('Company Profile'!$B$6,6),EDATE('Company Profile'!$B$6,12))))+(IF(INDEX(_ENGINE_Initiatives!$AB$5:$AB$76,MATCH($A166,_ENGINE_Initiatives!$BW$5:$BW$76,0))&lt;=2,6,IF(INDEX(_ENGINE_Initiatives!$AB$5:$AB$76,MATCH($A166,_ENGINE_Initiatives!$BW$5:$BW$76,0))=3,10,IF(INDEX(_ENGINE_Initiatives!$AB$5:$AB$76,MATCH($A166,_ENGINE_Initiatives!$BW$5:$BW$76,0))=4,16,24)))*7)),1,""),"")</f>
        <v/>
      </c>
      <c r="E166" s="32" t="str">
        <f ca="1">IFERROR(IF(AND(E$162&gt;=IF(INDEX(_ENGINE_Initiatives!$BX$5:$BX$76,MATCH($A166,_ENGINE_Initiatives!$BW$5:$BW$76,0))="0-90 days",'Company Profile'!$B$6,IF(INDEX(_ENGINE_Initiatives!$BX$5:$BX$76,MATCH($A166,_ENGINE_Initiatives!$BW$5:$BW$76,0))="3-6 months",EDATE('Company Profile'!$B$6,3),IF(INDEX(_ENGINE_Initiatives!$BX$5:$BX$76,MATCH($A166,_ENGINE_Initiatives!$BW$5:$BW$76,0))="6-12 months",EDATE('Company Profile'!$B$6,6),EDATE('Company Profile'!$B$6,12)))),E$162&lt;=IF(INDEX(_ENGINE_Initiatives!$BX$5:$BX$76,MATCH($A166,_ENGINE_Initiatives!$BW$5:$BW$76,0))="0-90 days",'Company Profile'!$B$6,IF(INDEX(_ENGINE_Initiatives!$BX$5:$BX$76,MATCH($A166,_ENGINE_Initiatives!$BW$5:$BW$76,0))="3-6 months",EDATE('Company Profile'!$B$6,3),IF(INDEX(_ENGINE_Initiatives!$BX$5:$BX$76,MATCH($A166,_ENGINE_Initiatives!$BW$5:$BW$76,0))="6-12 months",EDATE('Company Profile'!$B$6,6),EDATE('Company Profile'!$B$6,12))))+(IF(INDEX(_ENGINE_Initiatives!$AB$5:$AB$76,MATCH($A166,_ENGINE_Initiatives!$BW$5:$BW$76,0))&lt;=2,6,IF(INDEX(_ENGINE_Initiatives!$AB$5:$AB$76,MATCH($A166,_ENGINE_Initiatives!$BW$5:$BW$76,0))=3,10,IF(INDEX(_ENGINE_Initiatives!$AB$5:$AB$76,MATCH($A166,_ENGINE_Initiatives!$BW$5:$BW$76,0))=4,16,24)))*7)),1,""),"")</f>
        <v/>
      </c>
      <c r="F166" s="32" t="str">
        <f ca="1">IFERROR(IF(AND(F$162&gt;=IF(INDEX(_ENGINE_Initiatives!$BX$5:$BX$76,MATCH($A166,_ENGINE_Initiatives!$BW$5:$BW$76,0))="0-90 days",'Company Profile'!$B$6,IF(INDEX(_ENGINE_Initiatives!$BX$5:$BX$76,MATCH($A166,_ENGINE_Initiatives!$BW$5:$BW$76,0))="3-6 months",EDATE('Company Profile'!$B$6,3),IF(INDEX(_ENGINE_Initiatives!$BX$5:$BX$76,MATCH($A166,_ENGINE_Initiatives!$BW$5:$BW$76,0))="6-12 months",EDATE('Company Profile'!$B$6,6),EDATE('Company Profile'!$B$6,12)))),F$162&lt;=IF(INDEX(_ENGINE_Initiatives!$BX$5:$BX$76,MATCH($A166,_ENGINE_Initiatives!$BW$5:$BW$76,0))="0-90 days",'Company Profile'!$B$6,IF(INDEX(_ENGINE_Initiatives!$BX$5:$BX$76,MATCH($A166,_ENGINE_Initiatives!$BW$5:$BW$76,0))="3-6 months",EDATE('Company Profile'!$B$6,3),IF(INDEX(_ENGINE_Initiatives!$BX$5:$BX$76,MATCH($A166,_ENGINE_Initiatives!$BW$5:$BW$76,0))="6-12 months",EDATE('Company Profile'!$B$6,6),EDATE('Company Profile'!$B$6,12))))+(IF(INDEX(_ENGINE_Initiatives!$AB$5:$AB$76,MATCH($A166,_ENGINE_Initiatives!$BW$5:$BW$76,0))&lt;=2,6,IF(INDEX(_ENGINE_Initiatives!$AB$5:$AB$76,MATCH($A166,_ENGINE_Initiatives!$BW$5:$BW$76,0))=3,10,IF(INDEX(_ENGINE_Initiatives!$AB$5:$AB$76,MATCH($A166,_ENGINE_Initiatives!$BW$5:$BW$76,0))=4,16,24)))*7)),1,""),"")</f>
        <v/>
      </c>
      <c r="G166" s="32" t="str">
        <f ca="1">IFERROR(IF(AND(G$162&gt;=IF(INDEX(_ENGINE_Initiatives!$BX$5:$BX$76,MATCH($A166,_ENGINE_Initiatives!$BW$5:$BW$76,0))="0-90 days",'Company Profile'!$B$6,IF(INDEX(_ENGINE_Initiatives!$BX$5:$BX$76,MATCH($A166,_ENGINE_Initiatives!$BW$5:$BW$76,0))="3-6 months",EDATE('Company Profile'!$B$6,3),IF(INDEX(_ENGINE_Initiatives!$BX$5:$BX$76,MATCH($A166,_ENGINE_Initiatives!$BW$5:$BW$76,0))="6-12 months",EDATE('Company Profile'!$B$6,6),EDATE('Company Profile'!$B$6,12)))),G$162&lt;=IF(INDEX(_ENGINE_Initiatives!$BX$5:$BX$76,MATCH($A166,_ENGINE_Initiatives!$BW$5:$BW$76,0))="0-90 days",'Company Profile'!$B$6,IF(INDEX(_ENGINE_Initiatives!$BX$5:$BX$76,MATCH($A166,_ENGINE_Initiatives!$BW$5:$BW$76,0))="3-6 months",EDATE('Company Profile'!$B$6,3),IF(INDEX(_ENGINE_Initiatives!$BX$5:$BX$76,MATCH($A166,_ENGINE_Initiatives!$BW$5:$BW$76,0))="6-12 months",EDATE('Company Profile'!$B$6,6),EDATE('Company Profile'!$B$6,12))))+(IF(INDEX(_ENGINE_Initiatives!$AB$5:$AB$76,MATCH($A166,_ENGINE_Initiatives!$BW$5:$BW$76,0))&lt;=2,6,IF(INDEX(_ENGINE_Initiatives!$AB$5:$AB$76,MATCH($A166,_ENGINE_Initiatives!$BW$5:$BW$76,0))=3,10,IF(INDEX(_ENGINE_Initiatives!$AB$5:$AB$76,MATCH($A166,_ENGINE_Initiatives!$BW$5:$BW$76,0))=4,16,24)))*7)),1,""),"")</f>
        <v/>
      </c>
      <c r="H166" s="32" t="str">
        <f ca="1">IFERROR(IF(AND(H$162&gt;=IF(INDEX(_ENGINE_Initiatives!$BX$5:$BX$76,MATCH($A166,_ENGINE_Initiatives!$BW$5:$BW$76,0))="0-90 days",'Company Profile'!$B$6,IF(INDEX(_ENGINE_Initiatives!$BX$5:$BX$76,MATCH($A166,_ENGINE_Initiatives!$BW$5:$BW$76,0))="3-6 months",EDATE('Company Profile'!$B$6,3),IF(INDEX(_ENGINE_Initiatives!$BX$5:$BX$76,MATCH($A166,_ENGINE_Initiatives!$BW$5:$BW$76,0))="6-12 months",EDATE('Company Profile'!$B$6,6),EDATE('Company Profile'!$B$6,12)))),H$162&lt;=IF(INDEX(_ENGINE_Initiatives!$BX$5:$BX$76,MATCH($A166,_ENGINE_Initiatives!$BW$5:$BW$76,0))="0-90 days",'Company Profile'!$B$6,IF(INDEX(_ENGINE_Initiatives!$BX$5:$BX$76,MATCH($A166,_ENGINE_Initiatives!$BW$5:$BW$76,0))="3-6 months",EDATE('Company Profile'!$B$6,3),IF(INDEX(_ENGINE_Initiatives!$BX$5:$BX$76,MATCH($A166,_ENGINE_Initiatives!$BW$5:$BW$76,0))="6-12 months",EDATE('Company Profile'!$B$6,6),EDATE('Company Profile'!$B$6,12))))+(IF(INDEX(_ENGINE_Initiatives!$AB$5:$AB$76,MATCH($A166,_ENGINE_Initiatives!$BW$5:$BW$76,0))&lt;=2,6,IF(INDEX(_ENGINE_Initiatives!$AB$5:$AB$76,MATCH($A166,_ENGINE_Initiatives!$BW$5:$BW$76,0))=3,10,IF(INDEX(_ENGINE_Initiatives!$AB$5:$AB$76,MATCH($A166,_ENGINE_Initiatives!$BW$5:$BW$76,0))=4,16,24)))*7)),1,""),"")</f>
        <v/>
      </c>
      <c r="I166" s="32" t="str">
        <f ca="1">IFERROR(IF(AND(I$162&gt;=IF(INDEX(_ENGINE_Initiatives!$BX$5:$BX$76,MATCH($A166,_ENGINE_Initiatives!$BW$5:$BW$76,0))="0-90 days",'Company Profile'!$B$6,IF(INDEX(_ENGINE_Initiatives!$BX$5:$BX$76,MATCH($A166,_ENGINE_Initiatives!$BW$5:$BW$76,0))="3-6 months",EDATE('Company Profile'!$B$6,3),IF(INDEX(_ENGINE_Initiatives!$BX$5:$BX$76,MATCH($A166,_ENGINE_Initiatives!$BW$5:$BW$76,0))="6-12 months",EDATE('Company Profile'!$B$6,6),EDATE('Company Profile'!$B$6,12)))),I$162&lt;=IF(INDEX(_ENGINE_Initiatives!$BX$5:$BX$76,MATCH($A166,_ENGINE_Initiatives!$BW$5:$BW$76,0))="0-90 days",'Company Profile'!$B$6,IF(INDEX(_ENGINE_Initiatives!$BX$5:$BX$76,MATCH($A166,_ENGINE_Initiatives!$BW$5:$BW$76,0))="3-6 months",EDATE('Company Profile'!$B$6,3),IF(INDEX(_ENGINE_Initiatives!$BX$5:$BX$76,MATCH($A166,_ENGINE_Initiatives!$BW$5:$BW$76,0))="6-12 months",EDATE('Company Profile'!$B$6,6),EDATE('Company Profile'!$B$6,12))))+(IF(INDEX(_ENGINE_Initiatives!$AB$5:$AB$76,MATCH($A166,_ENGINE_Initiatives!$BW$5:$BW$76,0))&lt;=2,6,IF(INDEX(_ENGINE_Initiatives!$AB$5:$AB$76,MATCH($A166,_ENGINE_Initiatives!$BW$5:$BW$76,0))=3,10,IF(INDEX(_ENGINE_Initiatives!$AB$5:$AB$76,MATCH($A166,_ENGINE_Initiatives!$BW$5:$BW$76,0))=4,16,24)))*7)),1,""),"")</f>
        <v/>
      </c>
      <c r="J166" s="32" t="str">
        <f ca="1">IFERROR(IF(AND(J$162&gt;=IF(INDEX(_ENGINE_Initiatives!$BX$5:$BX$76,MATCH($A166,_ENGINE_Initiatives!$BW$5:$BW$76,0))="0-90 days",'Company Profile'!$B$6,IF(INDEX(_ENGINE_Initiatives!$BX$5:$BX$76,MATCH($A166,_ENGINE_Initiatives!$BW$5:$BW$76,0))="3-6 months",EDATE('Company Profile'!$B$6,3),IF(INDEX(_ENGINE_Initiatives!$BX$5:$BX$76,MATCH($A166,_ENGINE_Initiatives!$BW$5:$BW$76,0))="6-12 months",EDATE('Company Profile'!$B$6,6),EDATE('Company Profile'!$B$6,12)))),J$162&lt;=IF(INDEX(_ENGINE_Initiatives!$BX$5:$BX$76,MATCH($A166,_ENGINE_Initiatives!$BW$5:$BW$76,0))="0-90 days",'Company Profile'!$B$6,IF(INDEX(_ENGINE_Initiatives!$BX$5:$BX$76,MATCH($A166,_ENGINE_Initiatives!$BW$5:$BW$76,0))="3-6 months",EDATE('Company Profile'!$B$6,3),IF(INDEX(_ENGINE_Initiatives!$BX$5:$BX$76,MATCH($A166,_ENGINE_Initiatives!$BW$5:$BW$76,0))="6-12 months",EDATE('Company Profile'!$B$6,6),EDATE('Company Profile'!$B$6,12))))+(IF(INDEX(_ENGINE_Initiatives!$AB$5:$AB$76,MATCH($A166,_ENGINE_Initiatives!$BW$5:$BW$76,0))&lt;=2,6,IF(INDEX(_ENGINE_Initiatives!$AB$5:$AB$76,MATCH($A166,_ENGINE_Initiatives!$BW$5:$BW$76,0))=3,10,IF(INDEX(_ENGINE_Initiatives!$AB$5:$AB$76,MATCH($A166,_ENGINE_Initiatives!$BW$5:$BW$76,0))=4,16,24)))*7)),1,""),"")</f>
        <v/>
      </c>
      <c r="K166" s="32" t="str">
        <f ca="1">IFERROR(IF(AND(K$162&gt;=IF(INDEX(_ENGINE_Initiatives!$BX$5:$BX$76,MATCH($A166,_ENGINE_Initiatives!$BW$5:$BW$76,0))="0-90 days",'Company Profile'!$B$6,IF(INDEX(_ENGINE_Initiatives!$BX$5:$BX$76,MATCH($A166,_ENGINE_Initiatives!$BW$5:$BW$76,0))="3-6 months",EDATE('Company Profile'!$B$6,3),IF(INDEX(_ENGINE_Initiatives!$BX$5:$BX$76,MATCH($A166,_ENGINE_Initiatives!$BW$5:$BW$76,0))="6-12 months",EDATE('Company Profile'!$B$6,6),EDATE('Company Profile'!$B$6,12)))),K$162&lt;=IF(INDEX(_ENGINE_Initiatives!$BX$5:$BX$76,MATCH($A166,_ENGINE_Initiatives!$BW$5:$BW$76,0))="0-90 days",'Company Profile'!$B$6,IF(INDEX(_ENGINE_Initiatives!$BX$5:$BX$76,MATCH($A166,_ENGINE_Initiatives!$BW$5:$BW$76,0))="3-6 months",EDATE('Company Profile'!$B$6,3),IF(INDEX(_ENGINE_Initiatives!$BX$5:$BX$76,MATCH($A166,_ENGINE_Initiatives!$BW$5:$BW$76,0))="6-12 months",EDATE('Company Profile'!$B$6,6),EDATE('Company Profile'!$B$6,12))))+(IF(INDEX(_ENGINE_Initiatives!$AB$5:$AB$76,MATCH($A166,_ENGINE_Initiatives!$BW$5:$BW$76,0))&lt;=2,6,IF(INDEX(_ENGINE_Initiatives!$AB$5:$AB$76,MATCH($A166,_ENGINE_Initiatives!$BW$5:$BW$76,0))=3,10,IF(INDEX(_ENGINE_Initiatives!$AB$5:$AB$76,MATCH($A166,_ENGINE_Initiatives!$BW$5:$BW$76,0))=4,16,24)))*7)),1,""),"")</f>
        <v/>
      </c>
      <c r="L166" s="32" t="str">
        <f ca="1">IFERROR(IF(AND(L$162&gt;=IF(INDEX(_ENGINE_Initiatives!$BX$5:$BX$76,MATCH($A166,_ENGINE_Initiatives!$BW$5:$BW$76,0))="0-90 days",'Company Profile'!$B$6,IF(INDEX(_ENGINE_Initiatives!$BX$5:$BX$76,MATCH($A166,_ENGINE_Initiatives!$BW$5:$BW$76,0))="3-6 months",EDATE('Company Profile'!$B$6,3),IF(INDEX(_ENGINE_Initiatives!$BX$5:$BX$76,MATCH($A166,_ENGINE_Initiatives!$BW$5:$BW$76,0))="6-12 months",EDATE('Company Profile'!$B$6,6),EDATE('Company Profile'!$B$6,12)))),L$162&lt;=IF(INDEX(_ENGINE_Initiatives!$BX$5:$BX$76,MATCH($A166,_ENGINE_Initiatives!$BW$5:$BW$76,0))="0-90 days",'Company Profile'!$B$6,IF(INDEX(_ENGINE_Initiatives!$BX$5:$BX$76,MATCH($A166,_ENGINE_Initiatives!$BW$5:$BW$76,0))="3-6 months",EDATE('Company Profile'!$B$6,3),IF(INDEX(_ENGINE_Initiatives!$BX$5:$BX$76,MATCH($A166,_ENGINE_Initiatives!$BW$5:$BW$76,0))="6-12 months",EDATE('Company Profile'!$B$6,6),EDATE('Company Profile'!$B$6,12))))+(IF(INDEX(_ENGINE_Initiatives!$AB$5:$AB$76,MATCH($A166,_ENGINE_Initiatives!$BW$5:$BW$76,0))&lt;=2,6,IF(INDEX(_ENGINE_Initiatives!$AB$5:$AB$76,MATCH($A166,_ENGINE_Initiatives!$BW$5:$BW$76,0))=3,10,IF(INDEX(_ENGINE_Initiatives!$AB$5:$AB$76,MATCH($A166,_ENGINE_Initiatives!$BW$5:$BW$76,0))=4,16,24)))*7)),1,""),"")</f>
        <v/>
      </c>
      <c r="M166" s="32" t="str">
        <f ca="1">IFERROR(IF(AND(M$162&gt;=IF(INDEX(_ENGINE_Initiatives!$BX$5:$BX$76,MATCH($A166,_ENGINE_Initiatives!$BW$5:$BW$76,0))="0-90 days",'Company Profile'!$B$6,IF(INDEX(_ENGINE_Initiatives!$BX$5:$BX$76,MATCH($A166,_ENGINE_Initiatives!$BW$5:$BW$76,0))="3-6 months",EDATE('Company Profile'!$B$6,3),IF(INDEX(_ENGINE_Initiatives!$BX$5:$BX$76,MATCH($A166,_ENGINE_Initiatives!$BW$5:$BW$76,0))="6-12 months",EDATE('Company Profile'!$B$6,6),EDATE('Company Profile'!$B$6,12)))),M$162&lt;=IF(INDEX(_ENGINE_Initiatives!$BX$5:$BX$76,MATCH($A166,_ENGINE_Initiatives!$BW$5:$BW$76,0))="0-90 days",'Company Profile'!$B$6,IF(INDEX(_ENGINE_Initiatives!$BX$5:$BX$76,MATCH($A166,_ENGINE_Initiatives!$BW$5:$BW$76,0))="3-6 months",EDATE('Company Profile'!$B$6,3),IF(INDEX(_ENGINE_Initiatives!$BX$5:$BX$76,MATCH($A166,_ENGINE_Initiatives!$BW$5:$BW$76,0))="6-12 months",EDATE('Company Profile'!$B$6,6),EDATE('Company Profile'!$B$6,12))))+(IF(INDEX(_ENGINE_Initiatives!$AB$5:$AB$76,MATCH($A166,_ENGINE_Initiatives!$BW$5:$BW$76,0))&lt;=2,6,IF(INDEX(_ENGINE_Initiatives!$AB$5:$AB$76,MATCH($A166,_ENGINE_Initiatives!$BW$5:$BW$76,0))=3,10,IF(INDEX(_ENGINE_Initiatives!$AB$5:$AB$76,MATCH($A166,_ENGINE_Initiatives!$BW$5:$BW$76,0))=4,16,24)))*7)),1,""),"")</f>
        <v/>
      </c>
      <c r="N166" s="32" t="str">
        <f ca="1">IFERROR(IF(AND(N$162&gt;=IF(INDEX(_ENGINE_Initiatives!$BX$5:$BX$76,MATCH($A166,_ENGINE_Initiatives!$BW$5:$BW$76,0))="0-90 days",'Company Profile'!$B$6,IF(INDEX(_ENGINE_Initiatives!$BX$5:$BX$76,MATCH($A166,_ENGINE_Initiatives!$BW$5:$BW$76,0))="3-6 months",EDATE('Company Profile'!$B$6,3),IF(INDEX(_ENGINE_Initiatives!$BX$5:$BX$76,MATCH($A166,_ENGINE_Initiatives!$BW$5:$BW$76,0))="6-12 months",EDATE('Company Profile'!$B$6,6),EDATE('Company Profile'!$B$6,12)))),N$162&lt;=IF(INDEX(_ENGINE_Initiatives!$BX$5:$BX$76,MATCH($A166,_ENGINE_Initiatives!$BW$5:$BW$76,0))="0-90 days",'Company Profile'!$B$6,IF(INDEX(_ENGINE_Initiatives!$BX$5:$BX$76,MATCH($A166,_ENGINE_Initiatives!$BW$5:$BW$76,0))="3-6 months",EDATE('Company Profile'!$B$6,3),IF(INDEX(_ENGINE_Initiatives!$BX$5:$BX$76,MATCH($A166,_ENGINE_Initiatives!$BW$5:$BW$76,0))="6-12 months",EDATE('Company Profile'!$B$6,6),EDATE('Company Profile'!$B$6,12))))+(IF(INDEX(_ENGINE_Initiatives!$AB$5:$AB$76,MATCH($A166,_ENGINE_Initiatives!$BW$5:$BW$76,0))&lt;=2,6,IF(INDEX(_ENGINE_Initiatives!$AB$5:$AB$76,MATCH($A166,_ENGINE_Initiatives!$BW$5:$BW$76,0))=3,10,IF(INDEX(_ENGINE_Initiatives!$AB$5:$AB$76,MATCH($A166,_ENGINE_Initiatives!$BW$5:$BW$76,0))=4,16,24)))*7)),1,""),"")</f>
        <v/>
      </c>
      <c r="O166" s="32" t="str">
        <f ca="1">IFERROR(IF(AND(O$162&gt;=IF(INDEX(_ENGINE_Initiatives!$BX$5:$BX$76,MATCH($A166,_ENGINE_Initiatives!$BW$5:$BW$76,0))="0-90 days",'Company Profile'!$B$6,IF(INDEX(_ENGINE_Initiatives!$BX$5:$BX$76,MATCH($A166,_ENGINE_Initiatives!$BW$5:$BW$76,0))="3-6 months",EDATE('Company Profile'!$B$6,3),IF(INDEX(_ENGINE_Initiatives!$BX$5:$BX$76,MATCH($A166,_ENGINE_Initiatives!$BW$5:$BW$76,0))="6-12 months",EDATE('Company Profile'!$B$6,6),EDATE('Company Profile'!$B$6,12)))),O$162&lt;=IF(INDEX(_ENGINE_Initiatives!$BX$5:$BX$76,MATCH($A166,_ENGINE_Initiatives!$BW$5:$BW$76,0))="0-90 days",'Company Profile'!$B$6,IF(INDEX(_ENGINE_Initiatives!$BX$5:$BX$76,MATCH($A166,_ENGINE_Initiatives!$BW$5:$BW$76,0))="3-6 months",EDATE('Company Profile'!$B$6,3),IF(INDEX(_ENGINE_Initiatives!$BX$5:$BX$76,MATCH($A166,_ENGINE_Initiatives!$BW$5:$BW$76,0))="6-12 months",EDATE('Company Profile'!$B$6,6),EDATE('Company Profile'!$B$6,12))))+(IF(INDEX(_ENGINE_Initiatives!$AB$5:$AB$76,MATCH($A166,_ENGINE_Initiatives!$BW$5:$BW$76,0))&lt;=2,6,IF(INDEX(_ENGINE_Initiatives!$AB$5:$AB$76,MATCH($A166,_ENGINE_Initiatives!$BW$5:$BW$76,0))=3,10,IF(INDEX(_ENGINE_Initiatives!$AB$5:$AB$76,MATCH($A166,_ENGINE_Initiatives!$BW$5:$BW$76,0))=4,16,24)))*7)),1,""),"")</f>
        <v/>
      </c>
      <c r="P166" s="32" t="str">
        <f ca="1">IFERROR(IF(AND(P$162&gt;=IF(INDEX(_ENGINE_Initiatives!$BX$5:$BX$76,MATCH($A166,_ENGINE_Initiatives!$BW$5:$BW$76,0))="0-90 days",'Company Profile'!$B$6,IF(INDEX(_ENGINE_Initiatives!$BX$5:$BX$76,MATCH($A166,_ENGINE_Initiatives!$BW$5:$BW$76,0))="3-6 months",EDATE('Company Profile'!$B$6,3),IF(INDEX(_ENGINE_Initiatives!$BX$5:$BX$76,MATCH($A166,_ENGINE_Initiatives!$BW$5:$BW$76,0))="6-12 months",EDATE('Company Profile'!$B$6,6),EDATE('Company Profile'!$B$6,12)))),P$162&lt;=IF(INDEX(_ENGINE_Initiatives!$BX$5:$BX$76,MATCH($A166,_ENGINE_Initiatives!$BW$5:$BW$76,0))="0-90 days",'Company Profile'!$B$6,IF(INDEX(_ENGINE_Initiatives!$BX$5:$BX$76,MATCH($A166,_ENGINE_Initiatives!$BW$5:$BW$76,0))="3-6 months",EDATE('Company Profile'!$B$6,3),IF(INDEX(_ENGINE_Initiatives!$BX$5:$BX$76,MATCH($A166,_ENGINE_Initiatives!$BW$5:$BW$76,0))="6-12 months",EDATE('Company Profile'!$B$6,6),EDATE('Company Profile'!$B$6,12))))+(IF(INDEX(_ENGINE_Initiatives!$AB$5:$AB$76,MATCH($A166,_ENGINE_Initiatives!$BW$5:$BW$76,0))&lt;=2,6,IF(INDEX(_ENGINE_Initiatives!$AB$5:$AB$76,MATCH($A166,_ENGINE_Initiatives!$BW$5:$BW$76,0))=3,10,IF(INDEX(_ENGINE_Initiatives!$AB$5:$AB$76,MATCH($A166,_ENGINE_Initiatives!$BW$5:$BW$76,0))=4,16,24)))*7)),1,""),"")</f>
        <v/>
      </c>
      <c r="Q166" s="32" t="str">
        <f ca="1">IFERROR(IF(AND(Q$162&gt;=IF(INDEX(_ENGINE_Initiatives!$BX$5:$BX$76,MATCH($A166,_ENGINE_Initiatives!$BW$5:$BW$76,0))="0-90 days",'Company Profile'!$B$6,IF(INDEX(_ENGINE_Initiatives!$BX$5:$BX$76,MATCH($A166,_ENGINE_Initiatives!$BW$5:$BW$76,0))="3-6 months",EDATE('Company Profile'!$B$6,3),IF(INDEX(_ENGINE_Initiatives!$BX$5:$BX$76,MATCH($A166,_ENGINE_Initiatives!$BW$5:$BW$76,0))="6-12 months",EDATE('Company Profile'!$B$6,6),EDATE('Company Profile'!$B$6,12)))),Q$162&lt;=IF(INDEX(_ENGINE_Initiatives!$BX$5:$BX$76,MATCH($A166,_ENGINE_Initiatives!$BW$5:$BW$76,0))="0-90 days",'Company Profile'!$B$6,IF(INDEX(_ENGINE_Initiatives!$BX$5:$BX$76,MATCH($A166,_ENGINE_Initiatives!$BW$5:$BW$76,0))="3-6 months",EDATE('Company Profile'!$B$6,3),IF(INDEX(_ENGINE_Initiatives!$BX$5:$BX$76,MATCH($A166,_ENGINE_Initiatives!$BW$5:$BW$76,0))="6-12 months",EDATE('Company Profile'!$B$6,6),EDATE('Company Profile'!$B$6,12))))+(IF(INDEX(_ENGINE_Initiatives!$AB$5:$AB$76,MATCH($A166,_ENGINE_Initiatives!$BW$5:$BW$76,0))&lt;=2,6,IF(INDEX(_ENGINE_Initiatives!$AB$5:$AB$76,MATCH($A166,_ENGINE_Initiatives!$BW$5:$BW$76,0))=3,10,IF(INDEX(_ENGINE_Initiatives!$AB$5:$AB$76,MATCH($A166,_ENGINE_Initiatives!$BW$5:$BW$76,0))=4,16,24)))*7)),1,""),"")</f>
        <v/>
      </c>
      <c r="R166" s="32" t="str">
        <f ca="1">IFERROR(IF(AND(R$162&gt;=IF(INDEX(_ENGINE_Initiatives!$BX$5:$BX$76,MATCH($A166,_ENGINE_Initiatives!$BW$5:$BW$76,0))="0-90 days",'Company Profile'!$B$6,IF(INDEX(_ENGINE_Initiatives!$BX$5:$BX$76,MATCH($A166,_ENGINE_Initiatives!$BW$5:$BW$76,0))="3-6 months",EDATE('Company Profile'!$B$6,3),IF(INDEX(_ENGINE_Initiatives!$BX$5:$BX$76,MATCH($A166,_ENGINE_Initiatives!$BW$5:$BW$76,0))="6-12 months",EDATE('Company Profile'!$B$6,6),EDATE('Company Profile'!$B$6,12)))),R$162&lt;=IF(INDEX(_ENGINE_Initiatives!$BX$5:$BX$76,MATCH($A166,_ENGINE_Initiatives!$BW$5:$BW$76,0))="0-90 days",'Company Profile'!$B$6,IF(INDEX(_ENGINE_Initiatives!$BX$5:$BX$76,MATCH($A166,_ENGINE_Initiatives!$BW$5:$BW$76,0))="3-6 months",EDATE('Company Profile'!$B$6,3),IF(INDEX(_ENGINE_Initiatives!$BX$5:$BX$76,MATCH($A166,_ENGINE_Initiatives!$BW$5:$BW$76,0))="6-12 months",EDATE('Company Profile'!$B$6,6),EDATE('Company Profile'!$B$6,12))))+(IF(INDEX(_ENGINE_Initiatives!$AB$5:$AB$76,MATCH($A166,_ENGINE_Initiatives!$BW$5:$BW$76,0))&lt;=2,6,IF(INDEX(_ENGINE_Initiatives!$AB$5:$AB$76,MATCH($A166,_ENGINE_Initiatives!$BW$5:$BW$76,0))=3,10,IF(INDEX(_ENGINE_Initiatives!$AB$5:$AB$76,MATCH($A166,_ENGINE_Initiatives!$BW$5:$BW$76,0))=4,16,24)))*7)),1,""),"")</f>
        <v/>
      </c>
      <c r="S166" s="32" t="str">
        <f ca="1">IFERROR(IF(AND(S$162&gt;=IF(INDEX(_ENGINE_Initiatives!$BX$5:$BX$76,MATCH($A166,_ENGINE_Initiatives!$BW$5:$BW$76,0))="0-90 days",'Company Profile'!$B$6,IF(INDEX(_ENGINE_Initiatives!$BX$5:$BX$76,MATCH($A166,_ENGINE_Initiatives!$BW$5:$BW$76,0))="3-6 months",EDATE('Company Profile'!$B$6,3),IF(INDEX(_ENGINE_Initiatives!$BX$5:$BX$76,MATCH($A166,_ENGINE_Initiatives!$BW$5:$BW$76,0))="6-12 months",EDATE('Company Profile'!$B$6,6),EDATE('Company Profile'!$B$6,12)))),S$162&lt;=IF(INDEX(_ENGINE_Initiatives!$BX$5:$BX$76,MATCH($A166,_ENGINE_Initiatives!$BW$5:$BW$76,0))="0-90 days",'Company Profile'!$B$6,IF(INDEX(_ENGINE_Initiatives!$BX$5:$BX$76,MATCH($A166,_ENGINE_Initiatives!$BW$5:$BW$76,0))="3-6 months",EDATE('Company Profile'!$B$6,3),IF(INDEX(_ENGINE_Initiatives!$BX$5:$BX$76,MATCH($A166,_ENGINE_Initiatives!$BW$5:$BW$76,0))="6-12 months",EDATE('Company Profile'!$B$6,6),EDATE('Company Profile'!$B$6,12))))+(IF(INDEX(_ENGINE_Initiatives!$AB$5:$AB$76,MATCH($A166,_ENGINE_Initiatives!$BW$5:$BW$76,0))&lt;=2,6,IF(INDEX(_ENGINE_Initiatives!$AB$5:$AB$76,MATCH($A166,_ENGINE_Initiatives!$BW$5:$BW$76,0))=3,10,IF(INDEX(_ENGINE_Initiatives!$AB$5:$AB$76,MATCH($A166,_ENGINE_Initiatives!$BW$5:$BW$76,0))=4,16,24)))*7)),1,""),"")</f>
        <v/>
      </c>
      <c r="T166" s="32" t="str">
        <f ca="1">IFERROR(IF(AND(T$162&gt;=IF(INDEX(_ENGINE_Initiatives!$BX$5:$BX$76,MATCH($A166,_ENGINE_Initiatives!$BW$5:$BW$76,0))="0-90 days",'Company Profile'!$B$6,IF(INDEX(_ENGINE_Initiatives!$BX$5:$BX$76,MATCH($A166,_ENGINE_Initiatives!$BW$5:$BW$76,0))="3-6 months",EDATE('Company Profile'!$B$6,3),IF(INDEX(_ENGINE_Initiatives!$BX$5:$BX$76,MATCH($A166,_ENGINE_Initiatives!$BW$5:$BW$76,0))="6-12 months",EDATE('Company Profile'!$B$6,6),EDATE('Company Profile'!$B$6,12)))),T$162&lt;=IF(INDEX(_ENGINE_Initiatives!$BX$5:$BX$76,MATCH($A166,_ENGINE_Initiatives!$BW$5:$BW$76,0))="0-90 days",'Company Profile'!$B$6,IF(INDEX(_ENGINE_Initiatives!$BX$5:$BX$76,MATCH($A166,_ENGINE_Initiatives!$BW$5:$BW$76,0))="3-6 months",EDATE('Company Profile'!$B$6,3),IF(INDEX(_ENGINE_Initiatives!$BX$5:$BX$76,MATCH($A166,_ENGINE_Initiatives!$BW$5:$BW$76,0))="6-12 months",EDATE('Company Profile'!$B$6,6),EDATE('Company Profile'!$B$6,12))))+(IF(INDEX(_ENGINE_Initiatives!$AB$5:$AB$76,MATCH($A166,_ENGINE_Initiatives!$BW$5:$BW$76,0))&lt;=2,6,IF(INDEX(_ENGINE_Initiatives!$AB$5:$AB$76,MATCH($A166,_ENGINE_Initiatives!$BW$5:$BW$76,0))=3,10,IF(INDEX(_ENGINE_Initiatives!$AB$5:$AB$76,MATCH($A166,_ENGINE_Initiatives!$BW$5:$BW$76,0))=4,16,24)))*7)),1,""),"")</f>
        <v/>
      </c>
      <c r="U166" s="18"/>
      <c r="V166" s="18"/>
    </row>
    <row r="167" spans="1:22" ht="15" customHeight="1">
      <c r="A167" s="28" t="s">
        <v>64</v>
      </c>
      <c r="B167" s="28" t="str">
        <f>IFERROR(INDEX(_ENGINE_Initiatives!$F$5:$F$76,MATCH($A167,_ENGINE_Initiatives!$BW$5:$BW$76,0)),"")</f>
        <v/>
      </c>
      <c r="C167" s="32" t="str">
        <f ca="1">IFERROR(IF(AND(C$162&gt;=IF(INDEX(_ENGINE_Initiatives!$BX$5:$BX$76,MATCH($A167,_ENGINE_Initiatives!$BW$5:$BW$76,0))="0-90 days",'Company Profile'!$B$6,IF(INDEX(_ENGINE_Initiatives!$BX$5:$BX$76,MATCH($A167,_ENGINE_Initiatives!$BW$5:$BW$76,0))="3-6 months",EDATE('Company Profile'!$B$6,3),IF(INDEX(_ENGINE_Initiatives!$BX$5:$BX$76,MATCH($A167,_ENGINE_Initiatives!$BW$5:$BW$76,0))="6-12 months",EDATE('Company Profile'!$B$6,6),EDATE('Company Profile'!$B$6,12)))),C$162&lt;=IF(INDEX(_ENGINE_Initiatives!$BX$5:$BX$76,MATCH($A167,_ENGINE_Initiatives!$BW$5:$BW$76,0))="0-90 days",'Company Profile'!$B$6,IF(INDEX(_ENGINE_Initiatives!$BX$5:$BX$76,MATCH($A167,_ENGINE_Initiatives!$BW$5:$BW$76,0))="3-6 months",EDATE('Company Profile'!$B$6,3),IF(INDEX(_ENGINE_Initiatives!$BX$5:$BX$76,MATCH($A167,_ENGINE_Initiatives!$BW$5:$BW$76,0))="6-12 months",EDATE('Company Profile'!$B$6,6),EDATE('Company Profile'!$B$6,12))))+(IF(INDEX(_ENGINE_Initiatives!$AB$5:$AB$76,MATCH($A167,_ENGINE_Initiatives!$BW$5:$BW$76,0))&lt;=2,6,IF(INDEX(_ENGINE_Initiatives!$AB$5:$AB$76,MATCH($A167,_ENGINE_Initiatives!$BW$5:$BW$76,0))=3,10,IF(INDEX(_ENGINE_Initiatives!$AB$5:$AB$76,MATCH($A167,_ENGINE_Initiatives!$BW$5:$BW$76,0))=4,16,24)))*7)),1,""),"")</f>
        <v/>
      </c>
      <c r="D167" s="32" t="str">
        <f ca="1">IFERROR(IF(AND(D$162&gt;=IF(INDEX(_ENGINE_Initiatives!$BX$5:$BX$76,MATCH($A167,_ENGINE_Initiatives!$BW$5:$BW$76,0))="0-90 days",'Company Profile'!$B$6,IF(INDEX(_ENGINE_Initiatives!$BX$5:$BX$76,MATCH($A167,_ENGINE_Initiatives!$BW$5:$BW$76,0))="3-6 months",EDATE('Company Profile'!$B$6,3),IF(INDEX(_ENGINE_Initiatives!$BX$5:$BX$76,MATCH($A167,_ENGINE_Initiatives!$BW$5:$BW$76,0))="6-12 months",EDATE('Company Profile'!$B$6,6),EDATE('Company Profile'!$B$6,12)))),D$162&lt;=IF(INDEX(_ENGINE_Initiatives!$BX$5:$BX$76,MATCH($A167,_ENGINE_Initiatives!$BW$5:$BW$76,0))="0-90 days",'Company Profile'!$B$6,IF(INDEX(_ENGINE_Initiatives!$BX$5:$BX$76,MATCH($A167,_ENGINE_Initiatives!$BW$5:$BW$76,0))="3-6 months",EDATE('Company Profile'!$B$6,3),IF(INDEX(_ENGINE_Initiatives!$BX$5:$BX$76,MATCH($A167,_ENGINE_Initiatives!$BW$5:$BW$76,0))="6-12 months",EDATE('Company Profile'!$B$6,6),EDATE('Company Profile'!$B$6,12))))+(IF(INDEX(_ENGINE_Initiatives!$AB$5:$AB$76,MATCH($A167,_ENGINE_Initiatives!$BW$5:$BW$76,0))&lt;=2,6,IF(INDEX(_ENGINE_Initiatives!$AB$5:$AB$76,MATCH($A167,_ENGINE_Initiatives!$BW$5:$BW$76,0))=3,10,IF(INDEX(_ENGINE_Initiatives!$AB$5:$AB$76,MATCH($A167,_ENGINE_Initiatives!$BW$5:$BW$76,0))=4,16,24)))*7)),1,""),"")</f>
        <v/>
      </c>
      <c r="E167" s="32" t="str">
        <f ca="1">IFERROR(IF(AND(E$162&gt;=IF(INDEX(_ENGINE_Initiatives!$BX$5:$BX$76,MATCH($A167,_ENGINE_Initiatives!$BW$5:$BW$76,0))="0-90 days",'Company Profile'!$B$6,IF(INDEX(_ENGINE_Initiatives!$BX$5:$BX$76,MATCH($A167,_ENGINE_Initiatives!$BW$5:$BW$76,0))="3-6 months",EDATE('Company Profile'!$B$6,3),IF(INDEX(_ENGINE_Initiatives!$BX$5:$BX$76,MATCH($A167,_ENGINE_Initiatives!$BW$5:$BW$76,0))="6-12 months",EDATE('Company Profile'!$B$6,6),EDATE('Company Profile'!$B$6,12)))),E$162&lt;=IF(INDEX(_ENGINE_Initiatives!$BX$5:$BX$76,MATCH($A167,_ENGINE_Initiatives!$BW$5:$BW$76,0))="0-90 days",'Company Profile'!$B$6,IF(INDEX(_ENGINE_Initiatives!$BX$5:$BX$76,MATCH($A167,_ENGINE_Initiatives!$BW$5:$BW$76,0))="3-6 months",EDATE('Company Profile'!$B$6,3),IF(INDEX(_ENGINE_Initiatives!$BX$5:$BX$76,MATCH($A167,_ENGINE_Initiatives!$BW$5:$BW$76,0))="6-12 months",EDATE('Company Profile'!$B$6,6),EDATE('Company Profile'!$B$6,12))))+(IF(INDEX(_ENGINE_Initiatives!$AB$5:$AB$76,MATCH($A167,_ENGINE_Initiatives!$BW$5:$BW$76,0))&lt;=2,6,IF(INDEX(_ENGINE_Initiatives!$AB$5:$AB$76,MATCH($A167,_ENGINE_Initiatives!$BW$5:$BW$76,0))=3,10,IF(INDEX(_ENGINE_Initiatives!$AB$5:$AB$76,MATCH($A167,_ENGINE_Initiatives!$BW$5:$BW$76,0))=4,16,24)))*7)),1,""),"")</f>
        <v/>
      </c>
      <c r="F167" s="32" t="str">
        <f ca="1">IFERROR(IF(AND(F$162&gt;=IF(INDEX(_ENGINE_Initiatives!$BX$5:$BX$76,MATCH($A167,_ENGINE_Initiatives!$BW$5:$BW$76,0))="0-90 days",'Company Profile'!$B$6,IF(INDEX(_ENGINE_Initiatives!$BX$5:$BX$76,MATCH($A167,_ENGINE_Initiatives!$BW$5:$BW$76,0))="3-6 months",EDATE('Company Profile'!$B$6,3),IF(INDEX(_ENGINE_Initiatives!$BX$5:$BX$76,MATCH($A167,_ENGINE_Initiatives!$BW$5:$BW$76,0))="6-12 months",EDATE('Company Profile'!$B$6,6),EDATE('Company Profile'!$B$6,12)))),F$162&lt;=IF(INDEX(_ENGINE_Initiatives!$BX$5:$BX$76,MATCH($A167,_ENGINE_Initiatives!$BW$5:$BW$76,0))="0-90 days",'Company Profile'!$B$6,IF(INDEX(_ENGINE_Initiatives!$BX$5:$BX$76,MATCH($A167,_ENGINE_Initiatives!$BW$5:$BW$76,0))="3-6 months",EDATE('Company Profile'!$B$6,3),IF(INDEX(_ENGINE_Initiatives!$BX$5:$BX$76,MATCH($A167,_ENGINE_Initiatives!$BW$5:$BW$76,0))="6-12 months",EDATE('Company Profile'!$B$6,6),EDATE('Company Profile'!$B$6,12))))+(IF(INDEX(_ENGINE_Initiatives!$AB$5:$AB$76,MATCH($A167,_ENGINE_Initiatives!$BW$5:$BW$76,0))&lt;=2,6,IF(INDEX(_ENGINE_Initiatives!$AB$5:$AB$76,MATCH($A167,_ENGINE_Initiatives!$BW$5:$BW$76,0))=3,10,IF(INDEX(_ENGINE_Initiatives!$AB$5:$AB$76,MATCH($A167,_ENGINE_Initiatives!$BW$5:$BW$76,0))=4,16,24)))*7)),1,""),"")</f>
        <v/>
      </c>
      <c r="G167" s="32" t="str">
        <f ca="1">IFERROR(IF(AND(G$162&gt;=IF(INDEX(_ENGINE_Initiatives!$BX$5:$BX$76,MATCH($A167,_ENGINE_Initiatives!$BW$5:$BW$76,0))="0-90 days",'Company Profile'!$B$6,IF(INDEX(_ENGINE_Initiatives!$BX$5:$BX$76,MATCH($A167,_ENGINE_Initiatives!$BW$5:$BW$76,0))="3-6 months",EDATE('Company Profile'!$B$6,3),IF(INDEX(_ENGINE_Initiatives!$BX$5:$BX$76,MATCH($A167,_ENGINE_Initiatives!$BW$5:$BW$76,0))="6-12 months",EDATE('Company Profile'!$B$6,6),EDATE('Company Profile'!$B$6,12)))),G$162&lt;=IF(INDEX(_ENGINE_Initiatives!$BX$5:$BX$76,MATCH($A167,_ENGINE_Initiatives!$BW$5:$BW$76,0))="0-90 days",'Company Profile'!$B$6,IF(INDEX(_ENGINE_Initiatives!$BX$5:$BX$76,MATCH($A167,_ENGINE_Initiatives!$BW$5:$BW$76,0))="3-6 months",EDATE('Company Profile'!$B$6,3),IF(INDEX(_ENGINE_Initiatives!$BX$5:$BX$76,MATCH($A167,_ENGINE_Initiatives!$BW$5:$BW$76,0))="6-12 months",EDATE('Company Profile'!$B$6,6),EDATE('Company Profile'!$B$6,12))))+(IF(INDEX(_ENGINE_Initiatives!$AB$5:$AB$76,MATCH($A167,_ENGINE_Initiatives!$BW$5:$BW$76,0))&lt;=2,6,IF(INDEX(_ENGINE_Initiatives!$AB$5:$AB$76,MATCH($A167,_ENGINE_Initiatives!$BW$5:$BW$76,0))=3,10,IF(INDEX(_ENGINE_Initiatives!$AB$5:$AB$76,MATCH($A167,_ENGINE_Initiatives!$BW$5:$BW$76,0))=4,16,24)))*7)),1,""),"")</f>
        <v/>
      </c>
      <c r="H167" s="32" t="str">
        <f ca="1">IFERROR(IF(AND(H$162&gt;=IF(INDEX(_ENGINE_Initiatives!$BX$5:$BX$76,MATCH($A167,_ENGINE_Initiatives!$BW$5:$BW$76,0))="0-90 days",'Company Profile'!$B$6,IF(INDEX(_ENGINE_Initiatives!$BX$5:$BX$76,MATCH($A167,_ENGINE_Initiatives!$BW$5:$BW$76,0))="3-6 months",EDATE('Company Profile'!$B$6,3),IF(INDEX(_ENGINE_Initiatives!$BX$5:$BX$76,MATCH($A167,_ENGINE_Initiatives!$BW$5:$BW$76,0))="6-12 months",EDATE('Company Profile'!$B$6,6),EDATE('Company Profile'!$B$6,12)))),H$162&lt;=IF(INDEX(_ENGINE_Initiatives!$BX$5:$BX$76,MATCH($A167,_ENGINE_Initiatives!$BW$5:$BW$76,0))="0-90 days",'Company Profile'!$B$6,IF(INDEX(_ENGINE_Initiatives!$BX$5:$BX$76,MATCH($A167,_ENGINE_Initiatives!$BW$5:$BW$76,0))="3-6 months",EDATE('Company Profile'!$B$6,3),IF(INDEX(_ENGINE_Initiatives!$BX$5:$BX$76,MATCH($A167,_ENGINE_Initiatives!$BW$5:$BW$76,0))="6-12 months",EDATE('Company Profile'!$B$6,6),EDATE('Company Profile'!$B$6,12))))+(IF(INDEX(_ENGINE_Initiatives!$AB$5:$AB$76,MATCH($A167,_ENGINE_Initiatives!$BW$5:$BW$76,0))&lt;=2,6,IF(INDEX(_ENGINE_Initiatives!$AB$5:$AB$76,MATCH($A167,_ENGINE_Initiatives!$BW$5:$BW$76,0))=3,10,IF(INDEX(_ENGINE_Initiatives!$AB$5:$AB$76,MATCH($A167,_ENGINE_Initiatives!$BW$5:$BW$76,0))=4,16,24)))*7)),1,""),"")</f>
        <v/>
      </c>
      <c r="I167" s="32" t="str">
        <f ca="1">IFERROR(IF(AND(I$162&gt;=IF(INDEX(_ENGINE_Initiatives!$BX$5:$BX$76,MATCH($A167,_ENGINE_Initiatives!$BW$5:$BW$76,0))="0-90 days",'Company Profile'!$B$6,IF(INDEX(_ENGINE_Initiatives!$BX$5:$BX$76,MATCH($A167,_ENGINE_Initiatives!$BW$5:$BW$76,0))="3-6 months",EDATE('Company Profile'!$B$6,3),IF(INDEX(_ENGINE_Initiatives!$BX$5:$BX$76,MATCH($A167,_ENGINE_Initiatives!$BW$5:$BW$76,0))="6-12 months",EDATE('Company Profile'!$B$6,6),EDATE('Company Profile'!$B$6,12)))),I$162&lt;=IF(INDEX(_ENGINE_Initiatives!$BX$5:$BX$76,MATCH($A167,_ENGINE_Initiatives!$BW$5:$BW$76,0))="0-90 days",'Company Profile'!$B$6,IF(INDEX(_ENGINE_Initiatives!$BX$5:$BX$76,MATCH($A167,_ENGINE_Initiatives!$BW$5:$BW$76,0))="3-6 months",EDATE('Company Profile'!$B$6,3),IF(INDEX(_ENGINE_Initiatives!$BX$5:$BX$76,MATCH($A167,_ENGINE_Initiatives!$BW$5:$BW$76,0))="6-12 months",EDATE('Company Profile'!$B$6,6),EDATE('Company Profile'!$B$6,12))))+(IF(INDEX(_ENGINE_Initiatives!$AB$5:$AB$76,MATCH($A167,_ENGINE_Initiatives!$BW$5:$BW$76,0))&lt;=2,6,IF(INDEX(_ENGINE_Initiatives!$AB$5:$AB$76,MATCH($A167,_ENGINE_Initiatives!$BW$5:$BW$76,0))=3,10,IF(INDEX(_ENGINE_Initiatives!$AB$5:$AB$76,MATCH($A167,_ENGINE_Initiatives!$BW$5:$BW$76,0))=4,16,24)))*7)),1,""),"")</f>
        <v/>
      </c>
      <c r="J167" s="32" t="str">
        <f ca="1">IFERROR(IF(AND(J$162&gt;=IF(INDEX(_ENGINE_Initiatives!$BX$5:$BX$76,MATCH($A167,_ENGINE_Initiatives!$BW$5:$BW$76,0))="0-90 days",'Company Profile'!$B$6,IF(INDEX(_ENGINE_Initiatives!$BX$5:$BX$76,MATCH($A167,_ENGINE_Initiatives!$BW$5:$BW$76,0))="3-6 months",EDATE('Company Profile'!$B$6,3),IF(INDEX(_ENGINE_Initiatives!$BX$5:$BX$76,MATCH($A167,_ENGINE_Initiatives!$BW$5:$BW$76,0))="6-12 months",EDATE('Company Profile'!$B$6,6),EDATE('Company Profile'!$B$6,12)))),J$162&lt;=IF(INDEX(_ENGINE_Initiatives!$BX$5:$BX$76,MATCH($A167,_ENGINE_Initiatives!$BW$5:$BW$76,0))="0-90 days",'Company Profile'!$B$6,IF(INDEX(_ENGINE_Initiatives!$BX$5:$BX$76,MATCH($A167,_ENGINE_Initiatives!$BW$5:$BW$76,0))="3-6 months",EDATE('Company Profile'!$B$6,3),IF(INDEX(_ENGINE_Initiatives!$BX$5:$BX$76,MATCH($A167,_ENGINE_Initiatives!$BW$5:$BW$76,0))="6-12 months",EDATE('Company Profile'!$B$6,6),EDATE('Company Profile'!$B$6,12))))+(IF(INDEX(_ENGINE_Initiatives!$AB$5:$AB$76,MATCH($A167,_ENGINE_Initiatives!$BW$5:$BW$76,0))&lt;=2,6,IF(INDEX(_ENGINE_Initiatives!$AB$5:$AB$76,MATCH($A167,_ENGINE_Initiatives!$BW$5:$BW$76,0))=3,10,IF(INDEX(_ENGINE_Initiatives!$AB$5:$AB$76,MATCH($A167,_ENGINE_Initiatives!$BW$5:$BW$76,0))=4,16,24)))*7)),1,""),"")</f>
        <v/>
      </c>
      <c r="K167" s="32" t="str">
        <f ca="1">IFERROR(IF(AND(K$162&gt;=IF(INDEX(_ENGINE_Initiatives!$BX$5:$BX$76,MATCH($A167,_ENGINE_Initiatives!$BW$5:$BW$76,0))="0-90 days",'Company Profile'!$B$6,IF(INDEX(_ENGINE_Initiatives!$BX$5:$BX$76,MATCH($A167,_ENGINE_Initiatives!$BW$5:$BW$76,0))="3-6 months",EDATE('Company Profile'!$B$6,3),IF(INDEX(_ENGINE_Initiatives!$BX$5:$BX$76,MATCH($A167,_ENGINE_Initiatives!$BW$5:$BW$76,0))="6-12 months",EDATE('Company Profile'!$B$6,6),EDATE('Company Profile'!$B$6,12)))),K$162&lt;=IF(INDEX(_ENGINE_Initiatives!$BX$5:$BX$76,MATCH($A167,_ENGINE_Initiatives!$BW$5:$BW$76,0))="0-90 days",'Company Profile'!$B$6,IF(INDEX(_ENGINE_Initiatives!$BX$5:$BX$76,MATCH($A167,_ENGINE_Initiatives!$BW$5:$BW$76,0))="3-6 months",EDATE('Company Profile'!$B$6,3),IF(INDEX(_ENGINE_Initiatives!$BX$5:$BX$76,MATCH($A167,_ENGINE_Initiatives!$BW$5:$BW$76,0))="6-12 months",EDATE('Company Profile'!$B$6,6),EDATE('Company Profile'!$B$6,12))))+(IF(INDEX(_ENGINE_Initiatives!$AB$5:$AB$76,MATCH($A167,_ENGINE_Initiatives!$BW$5:$BW$76,0))&lt;=2,6,IF(INDEX(_ENGINE_Initiatives!$AB$5:$AB$76,MATCH($A167,_ENGINE_Initiatives!$BW$5:$BW$76,0))=3,10,IF(INDEX(_ENGINE_Initiatives!$AB$5:$AB$76,MATCH($A167,_ENGINE_Initiatives!$BW$5:$BW$76,0))=4,16,24)))*7)),1,""),"")</f>
        <v/>
      </c>
      <c r="L167" s="32" t="str">
        <f ca="1">IFERROR(IF(AND(L$162&gt;=IF(INDEX(_ENGINE_Initiatives!$BX$5:$BX$76,MATCH($A167,_ENGINE_Initiatives!$BW$5:$BW$76,0))="0-90 days",'Company Profile'!$B$6,IF(INDEX(_ENGINE_Initiatives!$BX$5:$BX$76,MATCH($A167,_ENGINE_Initiatives!$BW$5:$BW$76,0))="3-6 months",EDATE('Company Profile'!$B$6,3),IF(INDEX(_ENGINE_Initiatives!$BX$5:$BX$76,MATCH($A167,_ENGINE_Initiatives!$BW$5:$BW$76,0))="6-12 months",EDATE('Company Profile'!$B$6,6),EDATE('Company Profile'!$B$6,12)))),L$162&lt;=IF(INDEX(_ENGINE_Initiatives!$BX$5:$BX$76,MATCH($A167,_ENGINE_Initiatives!$BW$5:$BW$76,0))="0-90 days",'Company Profile'!$B$6,IF(INDEX(_ENGINE_Initiatives!$BX$5:$BX$76,MATCH($A167,_ENGINE_Initiatives!$BW$5:$BW$76,0))="3-6 months",EDATE('Company Profile'!$B$6,3),IF(INDEX(_ENGINE_Initiatives!$BX$5:$BX$76,MATCH($A167,_ENGINE_Initiatives!$BW$5:$BW$76,0))="6-12 months",EDATE('Company Profile'!$B$6,6),EDATE('Company Profile'!$B$6,12))))+(IF(INDEX(_ENGINE_Initiatives!$AB$5:$AB$76,MATCH($A167,_ENGINE_Initiatives!$BW$5:$BW$76,0))&lt;=2,6,IF(INDEX(_ENGINE_Initiatives!$AB$5:$AB$76,MATCH($A167,_ENGINE_Initiatives!$BW$5:$BW$76,0))=3,10,IF(INDEX(_ENGINE_Initiatives!$AB$5:$AB$76,MATCH($A167,_ENGINE_Initiatives!$BW$5:$BW$76,0))=4,16,24)))*7)),1,""),"")</f>
        <v/>
      </c>
      <c r="M167" s="32" t="str">
        <f ca="1">IFERROR(IF(AND(M$162&gt;=IF(INDEX(_ENGINE_Initiatives!$BX$5:$BX$76,MATCH($A167,_ENGINE_Initiatives!$BW$5:$BW$76,0))="0-90 days",'Company Profile'!$B$6,IF(INDEX(_ENGINE_Initiatives!$BX$5:$BX$76,MATCH($A167,_ENGINE_Initiatives!$BW$5:$BW$76,0))="3-6 months",EDATE('Company Profile'!$B$6,3),IF(INDEX(_ENGINE_Initiatives!$BX$5:$BX$76,MATCH($A167,_ENGINE_Initiatives!$BW$5:$BW$76,0))="6-12 months",EDATE('Company Profile'!$B$6,6),EDATE('Company Profile'!$B$6,12)))),M$162&lt;=IF(INDEX(_ENGINE_Initiatives!$BX$5:$BX$76,MATCH($A167,_ENGINE_Initiatives!$BW$5:$BW$76,0))="0-90 days",'Company Profile'!$B$6,IF(INDEX(_ENGINE_Initiatives!$BX$5:$BX$76,MATCH($A167,_ENGINE_Initiatives!$BW$5:$BW$76,0))="3-6 months",EDATE('Company Profile'!$B$6,3),IF(INDEX(_ENGINE_Initiatives!$BX$5:$BX$76,MATCH($A167,_ENGINE_Initiatives!$BW$5:$BW$76,0))="6-12 months",EDATE('Company Profile'!$B$6,6),EDATE('Company Profile'!$B$6,12))))+(IF(INDEX(_ENGINE_Initiatives!$AB$5:$AB$76,MATCH($A167,_ENGINE_Initiatives!$BW$5:$BW$76,0))&lt;=2,6,IF(INDEX(_ENGINE_Initiatives!$AB$5:$AB$76,MATCH($A167,_ENGINE_Initiatives!$BW$5:$BW$76,0))=3,10,IF(INDEX(_ENGINE_Initiatives!$AB$5:$AB$76,MATCH($A167,_ENGINE_Initiatives!$BW$5:$BW$76,0))=4,16,24)))*7)),1,""),"")</f>
        <v/>
      </c>
      <c r="N167" s="32" t="str">
        <f ca="1">IFERROR(IF(AND(N$162&gt;=IF(INDEX(_ENGINE_Initiatives!$BX$5:$BX$76,MATCH($A167,_ENGINE_Initiatives!$BW$5:$BW$76,0))="0-90 days",'Company Profile'!$B$6,IF(INDEX(_ENGINE_Initiatives!$BX$5:$BX$76,MATCH($A167,_ENGINE_Initiatives!$BW$5:$BW$76,0))="3-6 months",EDATE('Company Profile'!$B$6,3),IF(INDEX(_ENGINE_Initiatives!$BX$5:$BX$76,MATCH($A167,_ENGINE_Initiatives!$BW$5:$BW$76,0))="6-12 months",EDATE('Company Profile'!$B$6,6),EDATE('Company Profile'!$B$6,12)))),N$162&lt;=IF(INDEX(_ENGINE_Initiatives!$BX$5:$BX$76,MATCH($A167,_ENGINE_Initiatives!$BW$5:$BW$76,0))="0-90 days",'Company Profile'!$B$6,IF(INDEX(_ENGINE_Initiatives!$BX$5:$BX$76,MATCH($A167,_ENGINE_Initiatives!$BW$5:$BW$76,0))="3-6 months",EDATE('Company Profile'!$B$6,3),IF(INDEX(_ENGINE_Initiatives!$BX$5:$BX$76,MATCH($A167,_ENGINE_Initiatives!$BW$5:$BW$76,0))="6-12 months",EDATE('Company Profile'!$B$6,6),EDATE('Company Profile'!$B$6,12))))+(IF(INDEX(_ENGINE_Initiatives!$AB$5:$AB$76,MATCH($A167,_ENGINE_Initiatives!$BW$5:$BW$76,0))&lt;=2,6,IF(INDEX(_ENGINE_Initiatives!$AB$5:$AB$76,MATCH($A167,_ENGINE_Initiatives!$BW$5:$BW$76,0))=3,10,IF(INDEX(_ENGINE_Initiatives!$AB$5:$AB$76,MATCH($A167,_ENGINE_Initiatives!$BW$5:$BW$76,0))=4,16,24)))*7)),1,""),"")</f>
        <v/>
      </c>
      <c r="O167" s="32" t="str">
        <f ca="1">IFERROR(IF(AND(O$162&gt;=IF(INDEX(_ENGINE_Initiatives!$BX$5:$BX$76,MATCH($A167,_ENGINE_Initiatives!$BW$5:$BW$76,0))="0-90 days",'Company Profile'!$B$6,IF(INDEX(_ENGINE_Initiatives!$BX$5:$BX$76,MATCH($A167,_ENGINE_Initiatives!$BW$5:$BW$76,0))="3-6 months",EDATE('Company Profile'!$B$6,3),IF(INDEX(_ENGINE_Initiatives!$BX$5:$BX$76,MATCH($A167,_ENGINE_Initiatives!$BW$5:$BW$76,0))="6-12 months",EDATE('Company Profile'!$B$6,6),EDATE('Company Profile'!$B$6,12)))),O$162&lt;=IF(INDEX(_ENGINE_Initiatives!$BX$5:$BX$76,MATCH($A167,_ENGINE_Initiatives!$BW$5:$BW$76,0))="0-90 days",'Company Profile'!$B$6,IF(INDEX(_ENGINE_Initiatives!$BX$5:$BX$76,MATCH($A167,_ENGINE_Initiatives!$BW$5:$BW$76,0))="3-6 months",EDATE('Company Profile'!$B$6,3),IF(INDEX(_ENGINE_Initiatives!$BX$5:$BX$76,MATCH($A167,_ENGINE_Initiatives!$BW$5:$BW$76,0))="6-12 months",EDATE('Company Profile'!$B$6,6),EDATE('Company Profile'!$B$6,12))))+(IF(INDEX(_ENGINE_Initiatives!$AB$5:$AB$76,MATCH($A167,_ENGINE_Initiatives!$BW$5:$BW$76,0))&lt;=2,6,IF(INDEX(_ENGINE_Initiatives!$AB$5:$AB$76,MATCH($A167,_ENGINE_Initiatives!$BW$5:$BW$76,0))=3,10,IF(INDEX(_ENGINE_Initiatives!$AB$5:$AB$76,MATCH($A167,_ENGINE_Initiatives!$BW$5:$BW$76,0))=4,16,24)))*7)),1,""),"")</f>
        <v/>
      </c>
      <c r="P167" s="32" t="str">
        <f ca="1">IFERROR(IF(AND(P$162&gt;=IF(INDEX(_ENGINE_Initiatives!$BX$5:$BX$76,MATCH($A167,_ENGINE_Initiatives!$BW$5:$BW$76,0))="0-90 days",'Company Profile'!$B$6,IF(INDEX(_ENGINE_Initiatives!$BX$5:$BX$76,MATCH($A167,_ENGINE_Initiatives!$BW$5:$BW$76,0))="3-6 months",EDATE('Company Profile'!$B$6,3),IF(INDEX(_ENGINE_Initiatives!$BX$5:$BX$76,MATCH($A167,_ENGINE_Initiatives!$BW$5:$BW$76,0))="6-12 months",EDATE('Company Profile'!$B$6,6),EDATE('Company Profile'!$B$6,12)))),P$162&lt;=IF(INDEX(_ENGINE_Initiatives!$BX$5:$BX$76,MATCH($A167,_ENGINE_Initiatives!$BW$5:$BW$76,0))="0-90 days",'Company Profile'!$B$6,IF(INDEX(_ENGINE_Initiatives!$BX$5:$BX$76,MATCH($A167,_ENGINE_Initiatives!$BW$5:$BW$76,0))="3-6 months",EDATE('Company Profile'!$B$6,3),IF(INDEX(_ENGINE_Initiatives!$BX$5:$BX$76,MATCH($A167,_ENGINE_Initiatives!$BW$5:$BW$76,0))="6-12 months",EDATE('Company Profile'!$B$6,6),EDATE('Company Profile'!$B$6,12))))+(IF(INDEX(_ENGINE_Initiatives!$AB$5:$AB$76,MATCH($A167,_ENGINE_Initiatives!$BW$5:$BW$76,0))&lt;=2,6,IF(INDEX(_ENGINE_Initiatives!$AB$5:$AB$76,MATCH($A167,_ENGINE_Initiatives!$BW$5:$BW$76,0))=3,10,IF(INDEX(_ENGINE_Initiatives!$AB$5:$AB$76,MATCH($A167,_ENGINE_Initiatives!$BW$5:$BW$76,0))=4,16,24)))*7)),1,""),"")</f>
        <v/>
      </c>
      <c r="Q167" s="32" t="str">
        <f ca="1">IFERROR(IF(AND(Q$162&gt;=IF(INDEX(_ENGINE_Initiatives!$BX$5:$BX$76,MATCH($A167,_ENGINE_Initiatives!$BW$5:$BW$76,0))="0-90 days",'Company Profile'!$B$6,IF(INDEX(_ENGINE_Initiatives!$BX$5:$BX$76,MATCH($A167,_ENGINE_Initiatives!$BW$5:$BW$76,0))="3-6 months",EDATE('Company Profile'!$B$6,3),IF(INDEX(_ENGINE_Initiatives!$BX$5:$BX$76,MATCH($A167,_ENGINE_Initiatives!$BW$5:$BW$76,0))="6-12 months",EDATE('Company Profile'!$B$6,6),EDATE('Company Profile'!$B$6,12)))),Q$162&lt;=IF(INDEX(_ENGINE_Initiatives!$BX$5:$BX$76,MATCH($A167,_ENGINE_Initiatives!$BW$5:$BW$76,0))="0-90 days",'Company Profile'!$B$6,IF(INDEX(_ENGINE_Initiatives!$BX$5:$BX$76,MATCH($A167,_ENGINE_Initiatives!$BW$5:$BW$76,0))="3-6 months",EDATE('Company Profile'!$B$6,3),IF(INDEX(_ENGINE_Initiatives!$BX$5:$BX$76,MATCH($A167,_ENGINE_Initiatives!$BW$5:$BW$76,0))="6-12 months",EDATE('Company Profile'!$B$6,6),EDATE('Company Profile'!$B$6,12))))+(IF(INDEX(_ENGINE_Initiatives!$AB$5:$AB$76,MATCH($A167,_ENGINE_Initiatives!$BW$5:$BW$76,0))&lt;=2,6,IF(INDEX(_ENGINE_Initiatives!$AB$5:$AB$76,MATCH($A167,_ENGINE_Initiatives!$BW$5:$BW$76,0))=3,10,IF(INDEX(_ENGINE_Initiatives!$AB$5:$AB$76,MATCH($A167,_ENGINE_Initiatives!$BW$5:$BW$76,0))=4,16,24)))*7)),1,""),"")</f>
        <v/>
      </c>
      <c r="R167" s="32" t="str">
        <f ca="1">IFERROR(IF(AND(R$162&gt;=IF(INDEX(_ENGINE_Initiatives!$BX$5:$BX$76,MATCH($A167,_ENGINE_Initiatives!$BW$5:$BW$76,0))="0-90 days",'Company Profile'!$B$6,IF(INDEX(_ENGINE_Initiatives!$BX$5:$BX$76,MATCH($A167,_ENGINE_Initiatives!$BW$5:$BW$76,0))="3-6 months",EDATE('Company Profile'!$B$6,3),IF(INDEX(_ENGINE_Initiatives!$BX$5:$BX$76,MATCH($A167,_ENGINE_Initiatives!$BW$5:$BW$76,0))="6-12 months",EDATE('Company Profile'!$B$6,6),EDATE('Company Profile'!$B$6,12)))),R$162&lt;=IF(INDEX(_ENGINE_Initiatives!$BX$5:$BX$76,MATCH($A167,_ENGINE_Initiatives!$BW$5:$BW$76,0))="0-90 days",'Company Profile'!$B$6,IF(INDEX(_ENGINE_Initiatives!$BX$5:$BX$76,MATCH($A167,_ENGINE_Initiatives!$BW$5:$BW$76,0))="3-6 months",EDATE('Company Profile'!$B$6,3),IF(INDEX(_ENGINE_Initiatives!$BX$5:$BX$76,MATCH($A167,_ENGINE_Initiatives!$BW$5:$BW$76,0))="6-12 months",EDATE('Company Profile'!$B$6,6),EDATE('Company Profile'!$B$6,12))))+(IF(INDEX(_ENGINE_Initiatives!$AB$5:$AB$76,MATCH($A167,_ENGINE_Initiatives!$BW$5:$BW$76,0))&lt;=2,6,IF(INDEX(_ENGINE_Initiatives!$AB$5:$AB$76,MATCH($A167,_ENGINE_Initiatives!$BW$5:$BW$76,0))=3,10,IF(INDEX(_ENGINE_Initiatives!$AB$5:$AB$76,MATCH($A167,_ENGINE_Initiatives!$BW$5:$BW$76,0))=4,16,24)))*7)),1,""),"")</f>
        <v/>
      </c>
      <c r="S167" s="32" t="str">
        <f ca="1">IFERROR(IF(AND(S$162&gt;=IF(INDEX(_ENGINE_Initiatives!$BX$5:$BX$76,MATCH($A167,_ENGINE_Initiatives!$BW$5:$BW$76,0))="0-90 days",'Company Profile'!$B$6,IF(INDEX(_ENGINE_Initiatives!$BX$5:$BX$76,MATCH($A167,_ENGINE_Initiatives!$BW$5:$BW$76,0))="3-6 months",EDATE('Company Profile'!$B$6,3),IF(INDEX(_ENGINE_Initiatives!$BX$5:$BX$76,MATCH($A167,_ENGINE_Initiatives!$BW$5:$BW$76,0))="6-12 months",EDATE('Company Profile'!$B$6,6),EDATE('Company Profile'!$B$6,12)))),S$162&lt;=IF(INDEX(_ENGINE_Initiatives!$BX$5:$BX$76,MATCH($A167,_ENGINE_Initiatives!$BW$5:$BW$76,0))="0-90 days",'Company Profile'!$B$6,IF(INDEX(_ENGINE_Initiatives!$BX$5:$BX$76,MATCH($A167,_ENGINE_Initiatives!$BW$5:$BW$76,0))="3-6 months",EDATE('Company Profile'!$B$6,3),IF(INDEX(_ENGINE_Initiatives!$BX$5:$BX$76,MATCH($A167,_ENGINE_Initiatives!$BW$5:$BW$76,0))="6-12 months",EDATE('Company Profile'!$B$6,6),EDATE('Company Profile'!$B$6,12))))+(IF(INDEX(_ENGINE_Initiatives!$AB$5:$AB$76,MATCH($A167,_ENGINE_Initiatives!$BW$5:$BW$76,0))&lt;=2,6,IF(INDEX(_ENGINE_Initiatives!$AB$5:$AB$76,MATCH($A167,_ENGINE_Initiatives!$BW$5:$BW$76,0))=3,10,IF(INDEX(_ENGINE_Initiatives!$AB$5:$AB$76,MATCH($A167,_ENGINE_Initiatives!$BW$5:$BW$76,0))=4,16,24)))*7)),1,""),"")</f>
        <v/>
      </c>
      <c r="T167" s="32" t="str">
        <f ca="1">IFERROR(IF(AND(T$162&gt;=IF(INDEX(_ENGINE_Initiatives!$BX$5:$BX$76,MATCH($A167,_ENGINE_Initiatives!$BW$5:$BW$76,0))="0-90 days",'Company Profile'!$B$6,IF(INDEX(_ENGINE_Initiatives!$BX$5:$BX$76,MATCH($A167,_ENGINE_Initiatives!$BW$5:$BW$76,0))="3-6 months",EDATE('Company Profile'!$B$6,3),IF(INDEX(_ENGINE_Initiatives!$BX$5:$BX$76,MATCH($A167,_ENGINE_Initiatives!$BW$5:$BW$76,0))="6-12 months",EDATE('Company Profile'!$B$6,6),EDATE('Company Profile'!$B$6,12)))),T$162&lt;=IF(INDEX(_ENGINE_Initiatives!$BX$5:$BX$76,MATCH($A167,_ENGINE_Initiatives!$BW$5:$BW$76,0))="0-90 days",'Company Profile'!$B$6,IF(INDEX(_ENGINE_Initiatives!$BX$5:$BX$76,MATCH($A167,_ENGINE_Initiatives!$BW$5:$BW$76,0))="3-6 months",EDATE('Company Profile'!$B$6,3),IF(INDEX(_ENGINE_Initiatives!$BX$5:$BX$76,MATCH($A167,_ENGINE_Initiatives!$BW$5:$BW$76,0))="6-12 months",EDATE('Company Profile'!$B$6,6),EDATE('Company Profile'!$B$6,12))))+(IF(INDEX(_ENGINE_Initiatives!$AB$5:$AB$76,MATCH($A167,_ENGINE_Initiatives!$BW$5:$BW$76,0))&lt;=2,6,IF(INDEX(_ENGINE_Initiatives!$AB$5:$AB$76,MATCH($A167,_ENGINE_Initiatives!$BW$5:$BW$76,0))=3,10,IF(INDEX(_ENGINE_Initiatives!$AB$5:$AB$76,MATCH($A167,_ENGINE_Initiatives!$BW$5:$BW$76,0))=4,16,24)))*7)),1,""),"")</f>
        <v/>
      </c>
      <c r="U167" s="18"/>
      <c r="V167" s="18"/>
    </row>
    <row r="168" spans="1:22" ht="15" customHeight="1">
      <c r="A168" s="28" t="s">
        <v>68</v>
      </c>
      <c r="B168" s="28" t="str">
        <f>IFERROR(INDEX(_ENGINE_Initiatives!$F$5:$F$76,MATCH($A168,_ENGINE_Initiatives!$BW$5:$BW$76,0)),"")</f>
        <v/>
      </c>
      <c r="C168" s="32" t="str">
        <f ca="1">IFERROR(IF(AND(C$162&gt;=IF(INDEX(_ENGINE_Initiatives!$BX$5:$BX$76,MATCH($A168,_ENGINE_Initiatives!$BW$5:$BW$76,0))="0-90 days",'Company Profile'!$B$6,IF(INDEX(_ENGINE_Initiatives!$BX$5:$BX$76,MATCH($A168,_ENGINE_Initiatives!$BW$5:$BW$76,0))="3-6 months",EDATE('Company Profile'!$B$6,3),IF(INDEX(_ENGINE_Initiatives!$BX$5:$BX$76,MATCH($A168,_ENGINE_Initiatives!$BW$5:$BW$76,0))="6-12 months",EDATE('Company Profile'!$B$6,6),EDATE('Company Profile'!$B$6,12)))),C$162&lt;=IF(INDEX(_ENGINE_Initiatives!$BX$5:$BX$76,MATCH($A168,_ENGINE_Initiatives!$BW$5:$BW$76,0))="0-90 days",'Company Profile'!$B$6,IF(INDEX(_ENGINE_Initiatives!$BX$5:$BX$76,MATCH($A168,_ENGINE_Initiatives!$BW$5:$BW$76,0))="3-6 months",EDATE('Company Profile'!$B$6,3),IF(INDEX(_ENGINE_Initiatives!$BX$5:$BX$76,MATCH($A168,_ENGINE_Initiatives!$BW$5:$BW$76,0))="6-12 months",EDATE('Company Profile'!$B$6,6),EDATE('Company Profile'!$B$6,12))))+(IF(INDEX(_ENGINE_Initiatives!$AB$5:$AB$76,MATCH($A168,_ENGINE_Initiatives!$BW$5:$BW$76,0))&lt;=2,6,IF(INDEX(_ENGINE_Initiatives!$AB$5:$AB$76,MATCH($A168,_ENGINE_Initiatives!$BW$5:$BW$76,0))=3,10,IF(INDEX(_ENGINE_Initiatives!$AB$5:$AB$76,MATCH($A168,_ENGINE_Initiatives!$BW$5:$BW$76,0))=4,16,24)))*7)),1,""),"")</f>
        <v/>
      </c>
      <c r="D168" s="32" t="str">
        <f ca="1">IFERROR(IF(AND(D$162&gt;=IF(INDEX(_ENGINE_Initiatives!$BX$5:$BX$76,MATCH($A168,_ENGINE_Initiatives!$BW$5:$BW$76,0))="0-90 days",'Company Profile'!$B$6,IF(INDEX(_ENGINE_Initiatives!$BX$5:$BX$76,MATCH($A168,_ENGINE_Initiatives!$BW$5:$BW$76,0))="3-6 months",EDATE('Company Profile'!$B$6,3),IF(INDEX(_ENGINE_Initiatives!$BX$5:$BX$76,MATCH($A168,_ENGINE_Initiatives!$BW$5:$BW$76,0))="6-12 months",EDATE('Company Profile'!$B$6,6),EDATE('Company Profile'!$B$6,12)))),D$162&lt;=IF(INDEX(_ENGINE_Initiatives!$BX$5:$BX$76,MATCH($A168,_ENGINE_Initiatives!$BW$5:$BW$76,0))="0-90 days",'Company Profile'!$B$6,IF(INDEX(_ENGINE_Initiatives!$BX$5:$BX$76,MATCH($A168,_ENGINE_Initiatives!$BW$5:$BW$76,0))="3-6 months",EDATE('Company Profile'!$B$6,3),IF(INDEX(_ENGINE_Initiatives!$BX$5:$BX$76,MATCH($A168,_ENGINE_Initiatives!$BW$5:$BW$76,0))="6-12 months",EDATE('Company Profile'!$B$6,6),EDATE('Company Profile'!$B$6,12))))+(IF(INDEX(_ENGINE_Initiatives!$AB$5:$AB$76,MATCH($A168,_ENGINE_Initiatives!$BW$5:$BW$76,0))&lt;=2,6,IF(INDEX(_ENGINE_Initiatives!$AB$5:$AB$76,MATCH($A168,_ENGINE_Initiatives!$BW$5:$BW$76,0))=3,10,IF(INDEX(_ENGINE_Initiatives!$AB$5:$AB$76,MATCH($A168,_ENGINE_Initiatives!$BW$5:$BW$76,0))=4,16,24)))*7)),1,""),"")</f>
        <v/>
      </c>
      <c r="E168" s="32" t="str">
        <f ca="1">IFERROR(IF(AND(E$162&gt;=IF(INDEX(_ENGINE_Initiatives!$BX$5:$BX$76,MATCH($A168,_ENGINE_Initiatives!$BW$5:$BW$76,0))="0-90 days",'Company Profile'!$B$6,IF(INDEX(_ENGINE_Initiatives!$BX$5:$BX$76,MATCH($A168,_ENGINE_Initiatives!$BW$5:$BW$76,0))="3-6 months",EDATE('Company Profile'!$B$6,3),IF(INDEX(_ENGINE_Initiatives!$BX$5:$BX$76,MATCH($A168,_ENGINE_Initiatives!$BW$5:$BW$76,0))="6-12 months",EDATE('Company Profile'!$B$6,6),EDATE('Company Profile'!$B$6,12)))),E$162&lt;=IF(INDEX(_ENGINE_Initiatives!$BX$5:$BX$76,MATCH($A168,_ENGINE_Initiatives!$BW$5:$BW$76,0))="0-90 days",'Company Profile'!$B$6,IF(INDEX(_ENGINE_Initiatives!$BX$5:$BX$76,MATCH($A168,_ENGINE_Initiatives!$BW$5:$BW$76,0))="3-6 months",EDATE('Company Profile'!$B$6,3),IF(INDEX(_ENGINE_Initiatives!$BX$5:$BX$76,MATCH($A168,_ENGINE_Initiatives!$BW$5:$BW$76,0))="6-12 months",EDATE('Company Profile'!$B$6,6),EDATE('Company Profile'!$B$6,12))))+(IF(INDEX(_ENGINE_Initiatives!$AB$5:$AB$76,MATCH($A168,_ENGINE_Initiatives!$BW$5:$BW$76,0))&lt;=2,6,IF(INDEX(_ENGINE_Initiatives!$AB$5:$AB$76,MATCH($A168,_ENGINE_Initiatives!$BW$5:$BW$76,0))=3,10,IF(INDEX(_ENGINE_Initiatives!$AB$5:$AB$76,MATCH($A168,_ENGINE_Initiatives!$BW$5:$BW$76,0))=4,16,24)))*7)),1,""),"")</f>
        <v/>
      </c>
      <c r="F168" s="32" t="str">
        <f ca="1">IFERROR(IF(AND(F$162&gt;=IF(INDEX(_ENGINE_Initiatives!$BX$5:$BX$76,MATCH($A168,_ENGINE_Initiatives!$BW$5:$BW$76,0))="0-90 days",'Company Profile'!$B$6,IF(INDEX(_ENGINE_Initiatives!$BX$5:$BX$76,MATCH($A168,_ENGINE_Initiatives!$BW$5:$BW$76,0))="3-6 months",EDATE('Company Profile'!$B$6,3),IF(INDEX(_ENGINE_Initiatives!$BX$5:$BX$76,MATCH($A168,_ENGINE_Initiatives!$BW$5:$BW$76,0))="6-12 months",EDATE('Company Profile'!$B$6,6),EDATE('Company Profile'!$B$6,12)))),F$162&lt;=IF(INDEX(_ENGINE_Initiatives!$BX$5:$BX$76,MATCH($A168,_ENGINE_Initiatives!$BW$5:$BW$76,0))="0-90 days",'Company Profile'!$B$6,IF(INDEX(_ENGINE_Initiatives!$BX$5:$BX$76,MATCH($A168,_ENGINE_Initiatives!$BW$5:$BW$76,0))="3-6 months",EDATE('Company Profile'!$B$6,3),IF(INDEX(_ENGINE_Initiatives!$BX$5:$BX$76,MATCH($A168,_ENGINE_Initiatives!$BW$5:$BW$76,0))="6-12 months",EDATE('Company Profile'!$B$6,6),EDATE('Company Profile'!$B$6,12))))+(IF(INDEX(_ENGINE_Initiatives!$AB$5:$AB$76,MATCH($A168,_ENGINE_Initiatives!$BW$5:$BW$76,0))&lt;=2,6,IF(INDEX(_ENGINE_Initiatives!$AB$5:$AB$76,MATCH($A168,_ENGINE_Initiatives!$BW$5:$BW$76,0))=3,10,IF(INDEX(_ENGINE_Initiatives!$AB$5:$AB$76,MATCH($A168,_ENGINE_Initiatives!$BW$5:$BW$76,0))=4,16,24)))*7)),1,""),"")</f>
        <v/>
      </c>
      <c r="G168" s="32" t="str">
        <f ca="1">IFERROR(IF(AND(G$162&gt;=IF(INDEX(_ENGINE_Initiatives!$BX$5:$BX$76,MATCH($A168,_ENGINE_Initiatives!$BW$5:$BW$76,0))="0-90 days",'Company Profile'!$B$6,IF(INDEX(_ENGINE_Initiatives!$BX$5:$BX$76,MATCH($A168,_ENGINE_Initiatives!$BW$5:$BW$76,0))="3-6 months",EDATE('Company Profile'!$B$6,3),IF(INDEX(_ENGINE_Initiatives!$BX$5:$BX$76,MATCH($A168,_ENGINE_Initiatives!$BW$5:$BW$76,0))="6-12 months",EDATE('Company Profile'!$B$6,6),EDATE('Company Profile'!$B$6,12)))),G$162&lt;=IF(INDEX(_ENGINE_Initiatives!$BX$5:$BX$76,MATCH($A168,_ENGINE_Initiatives!$BW$5:$BW$76,0))="0-90 days",'Company Profile'!$B$6,IF(INDEX(_ENGINE_Initiatives!$BX$5:$BX$76,MATCH($A168,_ENGINE_Initiatives!$BW$5:$BW$76,0))="3-6 months",EDATE('Company Profile'!$B$6,3),IF(INDEX(_ENGINE_Initiatives!$BX$5:$BX$76,MATCH($A168,_ENGINE_Initiatives!$BW$5:$BW$76,0))="6-12 months",EDATE('Company Profile'!$B$6,6),EDATE('Company Profile'!$B$6,12))))+(IF(INDEX(_ENGINE_Initiatives!$AB$5:$AB$76,MATCH($A168,_ENGINE_Initiatives!$BW$5:$BW$76,0))&lt;=2,6,IF(INDEX(_ENGINE_Initiatives!$AB$5:$AB$76,MATCH($A168,_ENGINE_Initiatives!$BW$5:$BW$76,0))=3,10,IF(INDEX(_ENGINE_Initiatives!$AB$5:$AB$76,MATCH($A168,_ENGINE_Initiatives!$BW$5:$BW$76,0))=4,16,24)))*7)),1,""),"")</f>
        <v/>
      </c>
      <c r="H168" s="32" t="str">
        <f ca="1">IFERROR(IF(AND(H$162&gt;=IF(INDEX(_ENGINE_Initiatives!$BX$5:$BX$76,MATCH($A168,_ENGINE_Initiatives!$BW$5:$BW$76,0))="0-90 days",'Company Profile'!$B$6,IF(INDEX(_ENGINE_Initiatives!$BX$5:$BX$76,MATCH($A168,_ENGINE_Initiatives!$BW$5:$BW$76,0))="3-6 months",EDATE('Company Profile'!$B$6,3),IF(INDEX(_ENGINE_Initiatives!$BX$5:$BX$76,MATCH($A168,_ENGINE_Initiatives!$BW$5:$BW$76,0))="6-12 months",EDATE('Company Profile'!$B$6,6),EDATE('Company Profile'!$B$6,12)))),H$162&lt;=IF(INDEX(_ENGINE_Initiatives!$BX$5:$BX$76,MATCH($A168,_ENGINE_Initiatives!$BW$5:$BW$76,0))="0-90 days",'Company Profile'!$B$6,IF(INDEX(_ENGINE_Initiatives!$BX$5:$BX$76,MATCH($A168,_ENGINE_Initiatives!$BW$5:$BW$76,0))="3-6 months",EDATE('Company Profile'!$B$6,3),IF(INDEX(_ENGINE_Initiatives!$BX$5:$BX$76,MATCH($A168,_ENGINE_Initiatives!$BW$5:$BW$76,0))="6-12 months",EDATE('Company Profile'!$B$6,6),EDATE('Company Profile'!$B$6,12))))+(IF(INDEX(_ENGINE_Initiatives!$AB$5:$AB$76,MATCH($A168,_ENGINE_Initiatives!$BW$5:$BW$76,0))&lt;=2,6,IF(INDEX(_ENGINE_Initiatives!$AB$5:$AB$76,MATCH($A168,_ENGINE_Initiatives!$BW$5:$BW$76,0))=3,10,IF(INDEX(_ENGINE_Initiatives!$AB$5:$AB$76,MATCH($A168,_ENGINE_Initiatives!$BW$5:$BW$76,0))=4,16,24)))*7)),1,""),"")</f>
        <v/>
      </c>
      <c r="I168" s="32" t="str">
        <f ca="1">IFERROR(IF(AND(I$162&gt;=IF(INDEX(_ENGINE_Initiatives!$BX$5:$BX$76,MATCH($A168,_ENGINE_Initiatives!$BW$5:$BW$76,0))="0-90 days",'Company Profile'!$B$6,IF(INDEX(_ENGINE_Initiatives!$BX$5:$BX$76,MATCH($A168,_ENGINE_Initiatives!$BW$5:$BW$76,0))="3-6 months",EDATE('Company Profile'!$B$6,3),IF(INDEX(_ENGINE_Initiatives!$BX$5:$BX$76,MATCH($A168,_ENGINE_Initiatives!$BW$5:$BW$76,0))="6-12 months",EDATE('Company Profile'!$B$6,6),EDATE('Company Profile'!$B$6,12)))),I$162&lt;=IF(INDEX(_ENGINE_Initiatives!$BX$5:$BX$76,MATCH($A168,_ENGINE_Initiatives!$BW$5:$BW$76,0))="0-90 days",'Company Profile'!$B$6,IF(INDEX(_ENGINE_Initiatives!$BX$5:$BX$76,MATCH($A168,_ENGINE_Initiatives!$BW$5:$BW$76,0))="3-6 months",EDATE('Company Profile'!$B$6,3),IF(INDEX(_ENGINE_Initiatives!$BX$5:$BX$76,MATCH($A168,_ENGINE_Initiatives!$BW$5:$BW$76,0))="6-12 months",EDATE('Company Profile'!$B$6,6),EDATE('Company Profile'!$B$6,12))))+(IF(INDEX(_ENGINE_Initiatives!$AB$5:$AB$76,MATCH($A168,_ENGINE_Initiatives!$BW$5:$BW$76,0))&lt;=2,6,IF(INDEX(_ENGINE_Initiatives!$AB$5:$AB$76,MATCH($A168,_ENGINE_Initiatives!$BW$5:$BW$76,0))=3,10,IF(INDEX(_ENGINE_Initiatives!$AB$5:$AB$76,MATCH($A168,_ENGINE_Initiatives!$BW$5:$BW$76,0))=4,16,24)))*7)),1,""),"")</f>
        <v/>
      </c>
      <c r="J168" s="32" t="str">
        <f ca="1">IFERROR(IF(AND(J$162&gt;=IF(INDEX(_ENGINE_Initiatives!$BX$5:$BX$76,MATCH($A168,_ENGINE_Initiatives!$BW$5:$BW$76,0))="0-90 days",'Company Profile'!$B$6,IF(INDEX(_ENGINE_Initiatives!$BX$5:$BX$76,MATCH($A168,_ENGINE_Initiatives!$BW$5:$BW$76,0))="3-6 months",EDATE('Company Profile'!$B$6,3),IF(INDEX(_ENGINE_Initiatives!$BX$5:$BX$76,MATCH($A168,_ENGINE_Initiatives!$BW$5:$BW$76,0))="6-12 months",EDATE('Company Profile'!$B$6,6),EDATE('Company Profile'!$B$6,12)))),J$162&lt;=IF(INDEX(_ENGINE_Initiatives!$BX$5:$BX$76,MATCH($A168,_ENGINE_Initiatives!$BW$5:$BW$76,0))="0-90 days",'Company Profile'!$B$6,IF(INDEX(_ENGINE_Initiatives!$BX$5:$BX$76,MATCH($A168,_ENGINE_Initiatives!$BW$5:$BW$76,0))="3-6 months",EDATE('Company Profile'!$B$6,3),IF(INDEX(_ENGINE_Initiatives!$BX$5:$BX$76,MATCH($A168,_ENGINE_Initiatives!$BW$5:$BW$76,0))="6-12 months",EDATE('Company Profile'!$B$6,6),EDATE('Company Profile'!$B$6,12))))+(IF(INDEX(_ENGINE_Initiatives!$AB$5:$AB$76,MATCH($A168,_ENGINE_Initiatives!$BW$5:$BW$76,0))&lt;=2,6,IF(INDEX(_ENGINE_Initiatives!$AB$5:$AB$76,MATCH($A168,_ENGINE_Initiatives!$BW$5:$BW$76,0))=3,10,IF(INDEX(_ENGINE_Initiatives!$AB$5:$AB$76,MATCH($A168,_ENGINE_Initiatives!$BW$5:$BW$76,0))=4,16,24)))*7)),1,""),"")</f>
        <v/>
      </c>
      <c r="K168" s="32" t="str">
        <f ca="1">IFERROR(IF(AND(K$162&gt;=IF(INDEX(_ENGINE_Initiatives!$BX$5:$BX$76,MATCH($A168,_ENGINE_Initiatives!$BW$5:$BW$76,0))="0-90 days",'Company Profile'!$B$6,IF(INDEX(_ENGINE_Initiatives!$BX$5:$BX$76,MATCH($A168,_ENGINE_Initiatives!$BW$5:$BW$76,0))="3-6 months",EDATE('Company Profile'!$B$6,3),IF(INDEX(_ENGINE_Initiatives!$BX$5:$BX$76,MATCH($A168,_ENGINE_Initiatives!$BW$5:$BW$76,0))="6-12 months",EDATE('Company Profile'!$B$6,6),EDATE('Company Profile'!$B$6,12)))),K$162&lt;=IF(INDEX(_ENGINE_Initiatives!$BX$5:$BX$76,MATCH($A168,_ENGINE_Initiatives!$BW$5:$BW$76,0))="0-90 days",'Company Profile'!$B$6,IF(INDEX(_ENGINE_Initiatives!$BX$5:$BX$76,MATCH($A168,_ENGINE_Initiatives!$BW$5:$BW$76,0))="3-6 months",EDATE('Company Profile'!$B$6,3),IF(INDEX(_ENGINE_Initiatives!$BX$5:$BX$76,MATCH($A168,_ENGINE_Initiatives!$BW$5:$BW$76,0))="6-12 months",EDATE('Company Profile'!$B$6,6),EDATE('Company Profile'!$B$6,12))))+(IF(INDEX(_ENGINE_Initiatives!$AB$5:$AB$76,MATCH($A168,_ENGINE_Initiatives!$BW$5:$BW$76,0))&lt;=2,6,IF(INDEX(_ENGINE_Initiatives!$AB$5:$AB$76,MATCH($A168,_ENGINE_Initiatives!$BW$5:$BW$76,0))=3,10,IF(INDEX(_ENGINE_Initiatives!$AB$5:$AB$76,MATCH($A168,_ENGINE_Initiatives!$BW$5:$BW$76,0))=4,16,24)))*7)),1,""),"")</f>
        <v/>
      </c>
      <c r="L168" s="32" t="str">
        <f ca="1">IFERROR(IF(AND(L$162&gt;=IF(INDEX(_ENGINE_Initiatives!$BX$5:$BX$76,MATCH($A168,_ENGINE_Initiatives!$BW$5:$BW$76,0))="0-90 days",'Company Profile'!$B$6,IF(INDEX(_ENGINE_Initiatives!$BX$5:$BX$76,MATCH($A168,_ENGINE_Initiatives!$BW$5:$BW$76,0))="3-6 months",EDATE('Company Profile'!$B$6,3),IF(INDEX(_ENGINE_Initiatives!$BX$5:$BX$76,MATCH($A168,_ENGINE_Initiatives!$BW$5:$BW$76,0))="6-12 months",EDATE('Company Profile'!$B$6,6),EDATE('Company Profile'!$B$6,12)))),L$162&lt;=IF(INDEX(_ENGINE_Initiatives!$BX$5:$BX$76,MATCH($A168,_ENGINE_Initiatives!$BW$5:$BW$76,0))="0-90 days",'Company Profile'!$B$6,IF(INDEX(_ENGINE_Initiatives!$BX$5:$BX$76,MATCH($A168,_ENGINE_Initiatives!$BW$5:$BW$76,0))="3-6 months",EDATE('Company Profile'!$B$6,3),IF(INDEX(_ENGINE_Initiatives!$BX$5:$BX$76,MATCH($A168,_ENGINE_Initiatives!$BW$5:$BW$76,0))="6-12 months",EDATE('Company Profile'!$B$6,6),EDATE('Company Profile'!$B$6,12))))+(IF(INDEX(_ENGINE_Initiatives!$AB$5:$AB$76,MATCH($A168,_ENGINE_Initiatives!$BW$5:$BW$76,0))&lt;=2,6,IF(INDEX(_ENGINE_Initiatives!$AB$5:$AB$76,MATCH($A168,_ENGINE_Initiatives!$BW$5:$BW$76,0))=3,10,IF(INDEX(_ENGINE_Initiatives!$AB$5:$AB$76,MATCH($A168,_ENGINE_Initiatives!$BW$5:$BW$76,0))=4,16,24)))*7)),1,""),"")</f>
        <v/>
      </c>
      <c r="M168" s="32" t="str">
        <f ca="1">IFERROR(IF(AND(M$162&gt;=IF(INDEX(_ENGINE_Initiatives!$BX$5:$BX$76,MATCH($A168,_ENGINE_Initiatives!$BW$5:$BW$76,0))="0-90 days",'Company Profile'!$B$6,IF(INDEX(_ENGINE_Initiatives!$BX$5:$BX$76,MATCH($A168,_ENGINE_Initiatives!$BW$5:$BW$76,0))="3-6 months",EDATE('Company Profile'!$B$6,3),IF(INDEX(_ENGINE_Initiatives!$BX$5:$BX$76,MATCH($A168,_ENGINE_Initiatives!$BW$5:$BW$76,0))="6-12 months",EDATE('Company Profile'!$B$6,6),EDATE('Company Profile'!$B$6,12)))),M$162&lt;=IF(INDEX(_ENGINE_Initiatives!$BX$5:$BX$76,MATCH($A168,_ENGINE_Initiatives!$BW$5:$BW$76,0))="0-90 days",'Company Profile'!$B$6,IF(INDEX(_ENGINE_Initiatives!$BX$5:$BX$76,MATCH($A168,_ENGINE_Initiatives!$BW$5:$BW$76,0))="3-6 months",EDATE('Company Profile'!$B$6,3),IF(INDEX(_ENGINE_Initiatives!$BX$5:$BX$76,MATCH($A168,_ENGINE_Initiatives!$BW$5:$BW$76,0))="6-12 months",EDATE('Company Profile'!$B$6,6),EDATE('Company Profile'!$B$6,12))))+(IF(INDEX(_ENGINE_Initiatives!$AB$5:$AB$76,MATCH($A168,_ENGINE_Initiatives!$BW$5:$BW$76,0))&lt;=2,6,IF(INDEX(_ENGINE_Initiatives!$AB$5:$AB$76,MATCH($A168,_ENGINE_Initiatives!$BW$5:$BW$76,0))=3,10,IF(INDEX(_ENGINE_Initiatives!$AB$5:$AB$76,MATCH($A168,_ENGINE_Initiatives!$BW$5:$BW$76,0))=4,16,24)))*7)),1,""),"")</f>
        <v/>
      </c>
      <c r="N168" s="32" t="str">
        <f ca="1">IFERROR(IF(AND(N$162&gt;=IF(INDEX(_ENGINE_Initiatives!$BX$5:$BX$76,MATCH($A168,_ENGINE_Initiatives!$BW$5:$BW$76,0))="0-90 days",'Company Profile'!$B$6,IF(INDEX(_ENGINE_Initiatives!$BX$5:$BX$76,MATCH($A168,_ENGINE_Initiatives!$BW$5:$BW$76,0))="3-6 months",EDATE('Company Profile'!$B$6,3),IF(INDEX(_ENGINE_Initiatives!$BX$5:$BX$76,MATCH($A168,_ENGINE_Initiatives!$BW$5:$BW$76,0))="6-12 months",EDATE('Company Profile'!$B$6,6),EDATE('Company Profile'!$B$6,12)))),N$162&lt;=IF(INDEX(_ENGINE_Initiatives!$BX$5:$BX$76,MATCH($A168,_ENGINE_Initiatives!$BW$5:$BW$76,0))="0-90 days",'Company Profile'!$B$6,IF(INDEX(_ENGINE_Initiatives!$BX$5:$BX$76,MATCH($A168,_ENGINE_Initiatives!$BW$5:$BW$76,0))="3-6 months",EDATE('Company Profile'!$B$6,3),IF(INDEX(_ENGINE_Initiatives!$BX$5:$BX$76,MATCH($A168,_ENGINE_Initiatives!$BW$5:$BW$76,0))="6-12 months",EDATE('Company Profile'!$B$6,6),EDATE('Company Profile'!$B$6,12))))+(IF(INDEX(_ENGINE_Initiatives!$AB$5:$AB$76,MATCH($A168,_ENGINE_Initiatives!$BW$5:$BW$76,0))&lt;=2,6,IF(INDEX(_ENGINE_Initiatives!$AB$5:$AB$76,MATCH($A168,_ENGINE_Initiatives!$BW$5:$BW$76,0))=3,10,IF(INDEX(_ENGINE_Initiatives!$AB$5:$AB$76,MATCH($A168,_ENGINE_Initiatives!$BW$5:$BW$76,0))=4,16,24)))*7)),1,""),"")</f>
        <v/>
      </c>
      <c r="O168" s="32" t="str">
        <f ca="1">IFERROR(IF(AND(O$162&gt;=IF(INDEX(_ENGINE_Initiatives!$BX$5:$BX$76,MATCH($A168,_ENGINE_Initiatives!$BW$5:$BW$76,0))="0-90 days",'Company Profile'!$B$6,IF(INDEX(_ENGINE_Initiatives!$BX$5:$BX$76,MATCH($A168,_ENGINE_Initiatives!$BW$5:$BW$76,0))="3-6 months",EDATE('Company Profile'!$B$6,3),IF(INDEX(_ENGINE_Initiatives!$BX$5:$BX$76,MATCH($A168,_ENGINE_Initiatives!$BW$5:$BW$76,0))="6-12 months",EDATE('Company Profile'!$B$6,6),EDATE('Company Profile'!$B$6,12)))),O$162&lt;=IF(INDEX(_ENGINE_Initiatives!$BX$5:$BX$76,MATCH($A168,_ENGINE_Initiatives!$BW$5:$BW$76,0))="0-90 days",'Company Profile'!$B$6,IF(INDEX(_ENGINE_Initiatives!$BX$5:$BX$76,MATCH($A168,_ENGINE_Initiatives!$BW$5:$BW$76,0))="3-6 months",EDATE('Company Profile'!$B$6,3),IF(INDEX(_ENGINE_Initiatives!$BX$5:$BX$76,MATCH($A168,_ENGINE_Initiatives!$BW$5:$BW$76,0))="6-12 months",EDATE('Company Profile'!$B$6,6),EDATE('Company Profile'!$B$6,12))))+(IF(INDEX(_ENGINE_Initiatives!$AB$5:$AB$76,MATCH($A168,_ENGINE_Initiatives!$BW$5:$BW$76,0))&lt;=2,6,IF(INDEX(_ENGINE_Initiatives!$AB$5:$AB$76,MATCH($A168,_ENGINE_Initiatives!$BW$5:$BW$76,0))=3,10,IF(INDEX(_ENGINE_Initiatives!$AB$5:$AB$76,MATCH($A168,_ENGINE_Initiatives!$BW$5:$BW$76,0))=4,16,24)))*7)),1,""),"")</f>
        <v/>
      </c>
      <c r="P168" s="32" t="str">
        <f ca="1">IFERROR(IF(AND(P$162&gt;=IF(INDEX(_ENGINE_Initiatives!$BX$5:$BX$76,MATCH($A168,_ENGINE_Initiatives!$BW$5:$BW$76,0))="0-90 days",'Company Profile'!$B$6,IF(INDEX(_ENGINE_Initiatives!$BX$5:$BX$76,MATCH($A168,_ENGINE_Initiatives!$BW$5:$BW$76,0))="3-6 months",EDATE('Company Profile'!$B$6,3),IF(INDEX(_ENGINE_Initiatives!$BX$5:$BX$76,MATCH($A168,_ENGINE_Initiatives!$BW$5:$BW$76,0))="6-12 months",EDATE('Company Profile'!$B$6,6),EDATE('Company Profile'!$B$6,12)))),P$162&lt;=IF(INDEX(_ENGINE_Initiatives!$BX$5:$BX$76,MATCH($A168,_ENGINE_Initiatives!$BW$5:$BW$76,0))="0-90 days",'Company Profile'!$B$6,IF(INDEX(_ENGINE_Initiatives!$BX$5:$BX$76,MATCH($A168,_ENGINE_Initiatives!$BW$5:$BW$76,0))="3-6 months",EDATE('Company Profile'!$B$6,3),IF(INDEX(_ENGINE_Initiatives!$BX$5:$BX$76,MATCH($A168,_ENGINE_Initiatives!$BW$5:$BW$76,0))="6-12 months",EDATE('Company Profile'!$B$6,6),EDATE('Company Profile'!$B$6,12))))+(IF(INDEX(_ENGINE_Initiatives!$AB$5:$AB$76,MATCH($A168,_ENGINE_Initiatives!$BW$5:$BW$76,0))&lt;=2,6,IF(INDEX(_ENGINE_Initiatives!$AB$5:$AB$76,MATCH($A168,_ENGINE_Initiatives!$BW$5:$BW$76,0))=3,10,IF(INDEX(_ENGINE_Initiatives!$AB$5:$AB$76,MATCH($A168,_ENGINE_Initiatives!$BW$5:$BW$76,0))=4,16,24)))*7)),1,""),"")</f>
        <v/>
      </c>
      <c r="Q168" s="32" t="str">
        <f ca="1">IFERROR(IF(AND(Q$162&gt;=IF(INDEX(_ENGINE_Initiatives!$BX$5:$BX$76,MATCH($A168,_ENGINE_Initiatives!$BW$5:$BW$76,0))="0-90 days",'Company Profile'!$B$6,IF(INDEX(_ENGINE_Initiatives!$BX$5:$BX$76,MATCH($A168,_ENGINE_Initiatives!$BW$5:$BW$76,0))="3-6 months",EDATE('Company Profile'!$B$6,3),IF(INDEX(_ENGINE_Initiatives!$BX$5:$BX$76,MATCH($A168,_ENGINE_Initiatives!$BW$5:$BW$76,0))="6-12 months",EDATE('Company Profile'!$B$6,6),EDATE('Company Profile'!$B$6,12)))),Q$162&lt;=IF(INDEX(_ENGINE_Initiatives!$BX$5:$BX$76,MATCH($A168,_ENGINE_Initiatives!$BW$5:$BW$76,0))="0-90 days",'Company Profile'!$B$6,IF(INDEX(_ENGINE_Initiatives!$BX$5:$BX$76,MATCH($A168,_ENGINE_Initiatives!$BW$5:$BW$76,0))="3-6 months",EDATE('Company Profile'!$B$6,3),IF(INDEX(_ENGINE_Initiatives!$BX$5:$BX$76,MATCH($A168,_ENGINE_Initiatives!$BW$5:$BW$76,0))="6-12 months",EDATE('Company Profile'!$B$6,6),EDATE('Company Profile'!$B$6,12))))+(IF(INDEX(_ENGINE_Initiatives!$AB$5:$AB$76,MATCH($A168,_ENGINE_Initiatives!$BW$5:$BW$76,0))&lt;=2,6,IF(INDEX(_ENGINE_Initiatives!$AB$5:$AB$76,MATCH($A168,_ENGINE_Initiatives!$BW$5:$BW$76,0))=3,10,IF(INDEX(_ENGINE_Initiatives!$AB$5:$AB$76,MATCH($A168,_ENGINE_Initiatives!$BW$5:$BW$76,0))=4,16,24)))*7)),1,""),"")</f>
        <v/>
      </c>
      <c r="R168" s="32" t="str">
        <f ca="1">IFERROR(IF(AND(R$162&gt;=IF(INDEX(_ENGINE_Initiatives!$BX$5:$BX$76,MATCH($A168,_ENGINE_Initiatives!$BW$5:$BW$76,0))="0-90 days",'Company Profile'!$B$6,IF(INDEX(_ENGINE_Initiatives!$BX$5:$BX$76,MATCH($A168,_ENGINE_Initiatives!$BW$5:$BW$76,0))="3-6 months",EDATE('Company Profile'!$B$6,3),IF(INDEX(_ENGINE_Initiatives!$BX$5:$BX$76,MATCH($A168,_ENGINE_Initiatives!$BW$5:$BW$76,0))="6-12 months",EDATE('Company Profile'!$B$6,6),EDATE('Company Profile'!$B$6,12)))),R$162&lt;=IF(INDEX(_ENGINE_Initiatives!$BX$5:$BX$76,MATCH($A168,_ENGINE_Initiatives!$BW$5:$BW$76,0))="0-90 days",'Company Profile'!$B$6,IF(INDEX(_ENGINE_Initiatives!$BX$5:$BX$76,MATCH($A168,_ENGINE_Initiatives!$BW$5:$BW$76,0))="3-6 months",EDATE('Company Profile'!$B$6,3),IF(INDEX(_ENGINE_Initiatives!$BX$5:$BX$76,MATCH($A168,_ENGINE_Initiatives!$BW$5:$BW$76,0))="6-12 months",EDATE('Company Profile'!$B$6,6),EDATE('Company Profile'!$B$6,12))))+(IF(INDEX(_ENGINE_Initiatives!$AB$5:$AB$76,MATCH($A168,_ENGINE_Initiatives!$BW$5:$BW$76,0))&lt;=2,6,IF(INDEX(_ENGINE_Initiatives!$AB$5:$AB$76,MATCH($A168,_ENGINE_Initiatives!$BW$5:$BW$76,0))=3,10,IF(INDEX(_ENGINE_Initiatives!$AB$5:$AB$76,MATCH($A168,_ENGINE_Initiatives!$BW$5:$BW$76,0))=4,16,24)))*7)),1,""),"")</f>
        <v/>
      </c>
      <c r="S168" s="32" t="str">
        <f ca="1">IFERROR(IF(AND(S$162&gt;=IF(INDEX(_ENGINE_Initiatives!$BX$5:$BX$76,MATCH($A168,_ENGINE_Initiatives!$BW$5:$BW$76,0))="0-90 days",'Company Profile'!$B$6,IF(INDEX(_ENGINE_Initiatives!$BX$5:$BX$76,MATCH($A168,_ENGINE_Initiatives!$BW$5:$BW$76,0))="3-6 months",EDATE('Company Profile'!$B$6,3),IF(INDEX(_ENGINE_Initiatives!$BX$5:$BX$76,MATCH($A168,_ENGINE_Initiatives!$BW$5:$BW$76,0))="6-12 months",EDATE('Company Profile'!$B$6,6),EDATE('Company Profile'!$B$6,12)))),S$162&lt;=IF(INDEX(_ENGINE_Initiatives!$BX$5:$BX$76,MATCH($A168,_ENGINE_Initiatives!$BW$5:$BW$76,0))="0-90 days",'Company Profile'!$B$6,IF(INDEX(_ENGINE_Initiatives!$BX$5:$BX$76,MATCH($A168,_ENGINE_Initiatives!$BW$5:$BW$76,0))="3-6 months",EDATE('Company Profile'!$B$6,3),IF(INDEX(_ENGINE_Initiatives!$BX$5:$BX$76,MATCH($A168,_ENGINE_Initiatives!$BW$5:$BW$76,0))="6-12 months",EDATE('Company Profile'!$B$6,6),EDATE('Company Profile'!$B$6,12))))+(IF(INDEX(_ENGINE_Initiatives!$AB$5:$AB$76,MATCH($A168,_ENGINE_Initiatives!$BW$5:$BW$76,0))&lt;=2,6,IF(INDEX(_ENGINE_Initiatives!$AB$5:$AB$76,MATCH($A168,_ENGINE_Initiatives!$BW$5:$BW$76,0))=3,10,IF(INDEX(_ENGINE_Initiatives!$AB$5:$AB$76,MATCH($A168,_ENGINE_Initiatives!$BW$5:$BW$76,0))=4,16,24)))*7)),1,""),"")</f>
        <v/>
      </c>
      <c r="T168" s="32" t="str">
        <f ca="1">IFERROR(IF(AND(T$162&gt;=IF(INDEX(_ENGINE_Initiatives!$BX$5:$BX$76,MATCH($A168,_ENGINE_Initiatives!$BW$5:$BW$76,0))="0-90 days",'Company Profile'!$B$6,IF(INDEX(_ENGINE_Initiatives!$BX$5:$BX$76,MATCH($A168,_ENGINE_Initiatives!$BW$5:$BW$76,0))="3-6 months",EDATE('Company Profile'!$B$6,3),IF(INDEX(_ENGINE_Initiatives!$BX$5:$BX$76,MATCH($A168,_ENGINE_Initiatives!$BW$5:$BW$76,0))="6-12 months",EDATE('Company Profile'!$B$6,6),EDATE('Company Profile'!$B$6,12)))),T$162&lt;=IF(INDEX(_ENGINE_Initiatives!$BX$5:$BX$76,MATCH($A168,_ENGINE_Initiatives!$BW$5:$BW$76,0))="0-90 days",'Company Profile'!$B$6,IF(INDEX(_ENGINE_Initiatives!$BX$5:$BX$76,MATCH($A168,_ENGINE_Initiatives!$BW$5:$BW$76,0))="3-6 months",EDATE('Company Profile'!$B$6,3),IF(INDEX(_ENGINE_Initiatives!$BX$5:$BX$76,MATCH($A168,_ENGINE_Initiatives!$BW$5:$BW$76,0))="6-12 months",EDATE('Company Profile'!$B$6,6),EDATE('Company Profile'!$B$6,12))))+(IF(INDEX(_ENGINE_Initiatives!$AB$5:$AB$76,MATCH($A168,_ENGINE_Initiatives!$BW$5:$BW$76,0))&lt;=2,6,IF(INDEX(_ENGINE_Initiatives!$AB$5:$AB$76,MATCH($A168,_ENGINE_Initiatives!$BW$5:$BW$76,0))=3,10,IF(INDEX(_ENGINE_Initiatives!$AB$5:$AB$76,MATCH($A168,_ENGINE_Initiatives!$BW$5:$BW$76,0))=4,16,24)))*7)),1,""),"")</f>
        <v/>
      </c>
      <c r="U168" s="18"/>
      <c r="V168" s="18"/>
    </row>
    <row r="169" spans="1:22" ht="15" customHeight="1">
      <c r="A169" s="28" t="s">
        <v>3692</v>
      </c>
      <c r="B169" s="28" t="str">
        <f>IFERROR(INDEX(_ENGINE_Initiatives!$F$5:$F$76,MATCH($A169,_ENGINE_Initiatives!$BW$5:$BW$76,0)),"")</f>
        <v/>
      </c>
      <c r="C169" s="32" t="str">
        <f ca="1">IFERROR(IF(AND(C$162&gt;=IF(INDEX(_ENGINE_Initiatives!$BX$5:$BX$76,MATCH($A169,_ENGINE_Initiatives!$BW$5:$BW$76,0))="0-90 days",'Company Profile'!$B$6,IF(INDEX(_ENGINE_Initiatives!$BX$5:$BX$76,MATCH($A169,_ENGINE_Initiatives!$BW$5:$BW$76,0))="3-6 months",EDATE('Company Profile'!$B$6,3),IF(INDEX(_ENGINE_Initiatives!$BX$5:$BX$76,MATCH($A169,_ENGINE_Initiatives!$BW$5:$BW$76,0))="6-12 months",EDATE('Company Profile'!$B$6,6),EDATE('Company Profile'!$B$6,12)))),C$162&lt;=IF(INDEX(_ENGINE_Initiatives!$BX$5:$BX$76,MATCH($A169,_ENGINE_Initiatives!$BW$5:$BW$76,0))="0-90 days",'Company Profile'!$B$6,IF(INDEX(_ENGINE_Initiatives!$BX$5:$BX$76,MATCH($A169,_ENGINE_Initiatives!$BW$5:$BW$76,0))="3-6 months",EDATE('Company Profile'!$B$6,3),IF(INDEX(_ENGINE_Initiatives!$BX$5:$BX$76,MATCH($A169,_ENGINE_Initiatives!$BW$5:$BW$76,0))="6-12 months",EDATE('Company Profile'!$B$6,6),EDATE('Company Profile'!$B$6,12))))+(IF(INDEX(_ENGINE_Initiatives!$AB$5:$AB$76,MATCH($A169,_ENGINE_Initiatives!$BW$5:$BW$76,0))&lt;=2,6,IF(INDEX(_ENGINE_Initiatives!$AB$5:$AB$76,MATCH($A169,_ENGINE_Initiatives!$BW$5:$BW$76,0))=3,10,IF(INDEX(_ENGINE_Initiatives!$AB$5:$AB$76,MATCH($A169,_ENGINE_Initiatives!$BW$5:$BW$76,0))=4,16,24)))*7)),1,""),"")</f>
        <v/>
      </c>
      <c r="D169" s="32" t="str">
        <f ca="1">IFERROR(IF(AND(D$162&gt;=IF(INDEX(_ENGINE_Initiatives!$BX$5:$BX$76,MATCH($A169,_ENGINE_Initiatives!$BW$5:$BW$76,0))="0-90 days",'Company Profile'!$B$6,IF(INDEX(_ENGINE_Initiatives!$BX$5:$BX$76,MATCH($A169,_ENGINE_Initiatives!$BW$5:$BW$76,0))="3-6 months",EDATE('Company Profile'!$B$6,3),IF(INDEX(_ENGINE_Initiatives!$BX$5:$BX$76,MATCH($A169,_ENGINE_Initiatives!$BW$5:$BW$76,0))="6-12 months",EDATE('Company Profile'!$B$6,6),EDATE('Company Profile'!$B$6,12)))),D$162&lt;=IF(INDEX(_ENGINE_Initiatives!$BX$5:$BX$76,MATCH($A169,_ENGINE_Initiatives!$BW$5:$BW$76,0))="0-90 days",'Company Profile'!$B$6,IF(INDEX(_ENGINE_Initiatives!$BX$5:$BX$76,MATCH($A169,_ENGINE_Initiatives!$BW$5:$BW$76,0))="3-6 months",EDATE('Company Profile'!$B$6,3),IF(INDEX(_ENGINE_Initiatives!$BX$5:$BX$76,MATCH($A169,_ENGINE_Initiatives!$BW$5:$BW$76,0))="6-12 months",EDATE('Company Profile'!$B$6,6),EDATE('Company Profile'!$B$6,12))))+(IF(INDEX(_ENGINE_Initiatives!$AB$5:$AB$76,MATCH($A169,_ENGINE_Initiatives!$BW$5:$BW$76,0))&lt;=2,6,IF(INDEX(_ENGINE_Initiatives!$AB$5:$AB$76,MATCH($A169,_ENGINE_Initiatives!$BW$5:$BW$76,0))=3,10,IF(INDEX(_ENGINE_Initiatives!$AB$5:$AB$76,MATCH($A169,_ENGINE_Initiatives!$BW$5:$BW$76,0))=4,16,24)))*7)),1,""),"")</f>
        <v/>
      </c>
      <c r="E169" s="32" t="str">
        <f ca="1">IFERROR(IF(AND(E$162&gt;=IF(INDEX(_ENGINE_Initiatives!$BX$5:$BX$76,MATCH($A169,_ENGINE_Initiatives!$BW$5:$BW$76,0))="0-90 days",'Company Profile'!$B$6,IF(INDEX(_ENGINE_Initiatives!$BX$5:$BX$76,MATCH($A169,_ENGINE_Initiatives!$BW$5:$BW$76,0))="3-6 months",EDATE('Company Profile'!$B$6,3),IF(INDEX(_ENGINE_Initiatives!$BX$5:$BX$76,MATCH($A169,_ENGINE_Initiatives!$BW$5:$BW$76,0))="6-12 months",EDATE('Company Profile'!$B$6,6),EDATE('Company Profile'!$B$6,12)))),E$162&lt;=IF(INDEX(_ENGINE_Initiatives!$BX$5:$BX$76,MATCH($A169,_ENGINE_Initiatives!$BW$5:$BW$76,0))="0-90 days",'Company Profile'!$B$6,IF(INDEX(_ENGINE_Initiatives!$BX$5:$BX$76,MATCH($A169,_ENGINE_Initiatives!$BW$5:$BW$76,0))="3-6 months",EDATE('Company Profile'!$B$6,3),IF(INDEX(_ENGINE_Initiatives!$BX$5:$BX$76,MATCH($A169,_ENGINE_Initiatives!$BW$5:$BW$76,0))="6-12 months",EDATE('Company Profile'!$B$6,6),EDATE('Company Profile'!$B$6,12))))+(IF(INDEX(_ENGINE_Initiatives!$AB$5:$AB$76,MATCH($A169,_ENGINE_Initiatives!$BW$5:$BW$76,0))&lt;=2,6,IF(INDEX(_ENGINE_Initiatives!$AB$5:$AB$76,MATCH($A169,_ENGINE_Initiatives!$BW$5:$BW$76,0))=3,10,IF(INDEX(_ENGINE_Initiatives!$AB$5:$AB$76,MATCH($A169,_ENGINE_Initiatives!$BW$5:$BW$76,0))=4,16,24)))*7)),1,""),"")</f>
        <v/>
      </c>
      <c r="F169" s="32" t="str">
        <f ca="1">IFERROR(IF(AND(F$162&gt;=IF(INDEX(_ENGINE_Initiatives!$BX$5:$BX$76,MATCH($A169,_ENGINE_Initiatives!$BW$5:$BW$76,0))="0-90 days",'Company Profile'!$B$6,IF(INDEX(_ENGINE_Initiatives!$BX$5:$BX$76,MATCH($A169,_ENGINE_Initiatives!$BW$5:$BW$76,0))="3-6 months",EDATE('Company Profile'!$B$6,3),IF(INDEX(_ENGINE_Initiatives!$BX$5:$BX$76,MATCH($A169,_ENGINE_Initiatives!$BW$5:$BW$76,0))="6-12 months",EDATE('Company Profile'!$B$6,6),EDATE('Company Profile'!$B$6,12)))),F$162&lt;=IF(INDEX(_ENGINE_Initiatives!$BX$5:$BX$76,MATCH($A169,_ENGINE_Initiatives!$BW$5:$BW$76,0))="0-90 days",'Company Profile'!$B$6,IF(INDEX(_ENGINE_Initiatives!$BX$5:$BX$76,MATCH($A169,_ENGINE_Initiatives!$BW$5:$BW$76,0))="3-6 months",EDATE('Company Profile'!$B$6,3),IF(INDEX(_ENGINE_Initiatives!$BX$5:$BX$76,MATCH($A169,_ENGINE_Initiatives!$BW$5:$BW$76,0))="6-12 months",EDATE('Company Profile'!$B$6,6),EDATE('Company Profile'!$B$6,12))))+(IF(INDEX(_ENGINE_Initiatives!$AB$5:$AB$76,MATCH($A169,_ENGINE_Initiatives!$BW$5:$BW$76,0))&lt;=2,6,IF(INDEX(_ENGINE_Initiatives!$AB$5:$AB$76,MATCH($A169,_ENGINE_Initiatives!$BW$5:$BW$76,0))=3,10,IF(INDEX(_ENGINE_Initiatives!$AB$5:$AB$76,MATCH($A169,_ENGINE_Initiatives!$BW$5:$BW$76,0))=4,16,24)))*7)),1,""),"")</f>
        <v/>
      </c>
      <c r="G169" s="32" t="str">
        <f ca="1">IFERROR(IF(AND(G$162&gt;=IF(INDEX(_ENGINE_Initiatives!$BX$5:$BX$76,MATCH($A169,_ENGINE_Initiatives!$BW$5:$BW$76,0))="0-90 days",'Company Profile'!$B$6,IF(INDEX(_ENGINE_Initiatives!$BX$5:$BX$76,MATCH($A169,_ENGINE_Initiatives!$BW$5:$BW$76,0))="3-6 months",EDATE('Company Profile'!$B$6,3),IF(INDEX(_ENGINE_Initiatives!$BX$5:$BX$76,MATCH($A169,_ENGINE_Initiatives!$BW$5:$BW$76,0))="6-12 months",EDATE('Company Profile'!$B$6,6),EDATE('Company Profile'!$B$6,12)))),G$162&lt;=IF(INDEX(_ENGINE_Initiatives!$BX$5:$BX$76,MATCH($A169,_ENGINE_Initiatives!$BW$5:$BW$76,0))="0-90 days",'Company Profile'!$B$6,IF(INDEX(_ENGINE_Initiatives!$BX$5:$BX$76,MATCH($A169,_ENGINE_Initiatives!$BW$5:$BW$76,0))="3-6 months",EDATE('Company Profile'!$B$6,3),IF(INDEX(_ENGINE_Initiatives!$BX$5:$BX$76,MATCH($A169,_ENGINE_Initiatives!$BW$5:$BW$76,0))="6-12 months",EDATE('Company Profile'!$B$6,6),EDATE('Company Profile'!$B$6,12))))+(IF(INDEX(_ENGINE_Initiatives!$AB$5:$AB$76,MATCH($A169,_ENGINE_Initiatives!$BW$5:$BW$76,0))&lt;=2,6,IF(INDEX(_ENGINE_Initiatives!$AB$5:$AB$76,MATCH($A169,_ENGINE_Initiatives!$BW$5:$BW$76,0))=3,10,IF(INDEX(_ENGINE_Initiatives!$AB$5:$AB$76,MATCH($A169,_ENGINE_Initiatives!$BW$5:$BW$76,0))=4,16,24)))*7)),1,""),"")</f>
        <v/>
      </c>
      <c r="H169" s="32" t="str">
        <f ca="1">IFERROR(IF(AND(H$162&gt;=IF(INDEX(_ENGINE_Initiatives!$BX$5:$BX$76,MATCH($A169,_ENGINE_Initiatives!$BW$5:$BW$76,0))="0-90 days",'Company Profile'!$B$6,IF(INDEX(_ENGINE_Initiatives!$BX$5:$BX$76,MATCH($A169,_ENGINE_Initiatives!$BW$5:$BW$76,0))="3-6 months",EDATE('Company Profile'!$B$6,3),IF(INDEX(_ENGINE_Initiatives!$BX$5:$BX$76,MATCH($A169,_ENGINE_Initiatives!$BW$5:$BW$76,0))="6-12 months",EDATE('Company Profile'!$B$6,6),EDATE('Company Profile'!$B$6,12)))),H$162&lt;=IF(INDEX(_ENGINE_Initiatives!$BX$5:$BX$76,MATCH($A169,_ENGINE_Initiatives!$BW$5:$BW$76,0))="0-90 days",'Company Profile'!$B$6,IF(INDEX(_ENGINE_Initiatives!$BX$5:$BX$76,MATCH($A169,_ENGINE_Initiatives!$BW$5:$BW$76,0))="3-6 months",EDATE('Company Profile'!$B$6,3),IF(INDEX(_ENGINE_Initiatives!$BX$5:$BX$76,MATCH($A169,_ENGINE_Initiatives!$BW$5:$BW$76,0))="6-12 months",EDATE('Company Profile'!$B$6,6),EDATE('Company Profile'!$B$6,12))))+(IF(INDEX(_ENGINE_Initiatives!$AB$5:$AB$76,MATCH($A169,_ENGINE_Initiatives!$BW$5:$BW$76,0))&lt;=2,6,IF(INDEX(_ENGINE_Initiatives!$AB$5:$AB$76,MATCH($A169,_ENGINE_Initiatives!$BW$5:$BW$76,0))=3,10,IF(INDEX(_ENGINE_Initiatives!$AB$5:$AB$76,MATCH($A169,_ENGINE_Initiatives!$BW$5:$BW$76,0))=4,16,24)))*7)),1,""),"")</f>
        <v/>
      </c>
      <c r="I169" s="32" t="str">
        <f ca="1">IFERROR(IF(AND(I$162&gt;=IF(INDEX(_ENGINE_Initiatives!$BX$5:$BX$76,MATCH($A169,_ENGINE_Initiatives!$BW$5:$BW$76,0))="0-90 days",'Company Profile'!$B$6,IF(INDEX(_ENGINE_Initiatives!$BX$5:$BX$76,MATCH($A169,_ENGINE_Initiatives!$BW$5:$BW$76,0))="3-6 months",EDATE('Company Profile'!$B$6,3),IF(INDEX(_ENGINE_Initiatives!$BX$5:$BX$76,MATCH($A169,_ENGINE_Initiatives!$BW$5:$BW$76,0))="6-12 months",EDATE('Company Profile'!$B$6,6),EDATE('Company Profile'!$B$6,12)))),I$162&lt;=IF(INDEX(_ENGINE_Initiatives!$BX$5:$BX$76,MATCH($A169,_ENGINE_Initiatives!$BW$5:$BW$76,0))="0-90 days",'Company Profile'!$B$6,IF(INDEX(_ENGINE_Initiatives!$BX$5:$BX$76,MATCH($A169,_ENGINE_Initiatives!$BW$5:$BW$76,0))="3-6 months",EDATE('Company Profile'!$B$6,3),IF(INDEX(_ENGINE_Initiatives!$BX$5:$BX$76,MATCH($A169,_ENGINE_Initiatives!$BW$5:$BW$76,0))="6-12 months",EDATE('Company Profile'!$B$6,6),EDATE('Company Profile'!$B$6,12))))+(IF(INDEX(_ENGINE_Initiatives!$AB$5:$AB$76,MATCH($A169,_ENGINE_Initiatives!$BW$5:$BW$76,0))&lt;=2,6,IF(INDEX(_ENGINE_Initiatives!$AB$5:$AB$76,MATCH($A169,_ENGINE_Initiatives!$BW$5:$BW$76,0))=3,10,IF(INDEX(_ENGINE_Initiatives!$AB$5:$AB$76,MATCH($A169,_ENGINE_Initiatives!$BW$5:$BW$76,0))=4,16,24)))*7)),1,""),"")</f>
        <v/>
      </c>
      <c r="J169" s="32" t="str">
        <f ca="1">IFERROR(IF(AND(J$162&gt;=IF(INDEX(_ENGINE_Initiatives!$BX$5:$BX$76,MATCH($A169,_ENGINE_Initiatives!$BW$5:$BW$76,0))="0-90 days",'Company Profile'!$B$6,IF(INDEX(_ENGINE_Initiatives!$BX$5:$BX$76,MATCH($A169,_ENGINE_Initiatives!$BW$5:$BW$76,0))="3-6 months",EDATE('Company Profile'!$B$6,3),IF(INDEX(_ENGINE_Initiatives!$BX$5:$BX$76,MATCH($A169,_ENGINE_Initiatives!$BW$5:$BW$76,0))="6-12 months",EDATE('Company Profile'!$B$6,6),EDATE('Company Profile'!$B$6,12)))),J$162&lt;=IF(INDEX(_ENGINE_Initiatives!$BX$5:$BX$76,MATCH($A169,_ENGINE_Initiatives!$BW$5:$BW$76,0))="0-90 days",'Company Profile'!$B$6,IF(INDEX(_ENGINE_Initiatives!$BX$5:$BX$76,MATCH($A169,_ENGINE_Initiatives!$BW$5:$BW$76,0))="3-6 months",EDATE('Company Profile'!$B$6,3),IF(INDEX(_ENGINE_Initiatives!$BX$5:$BX$76,MATCH($A169,_ENGINE_Initiatives!$BW$5:$BW$76,0))="6-12 months",EDATE('Company Profile'!$B$6,6),EDATE('Company Profile'!$B$6,12))))+(IF(INDEX(_ENGINE_Initiatives!$AB$5:$AB$76,MATCH($A169,_ENGINE_Initiatives!$BW$5:$BW$76,0))&lt;=2,6,IF(INDEX(_ENGINE_Initiatives!$AB$5:$AB$76,MATCH($A169,_ENGINE_Initiatives!$BW$5:$BW$76,0))=3,10,IF(INDEX(_ENGINE_Initiatives!$AB$5:$AB$76,MATCH($A169,_ENGINE_Initiatives!$BW$5:$BW$76,0))=4,16,24)))*7)),1,""),"")</f>
        <v/>
      </c>
      <c r="K169" s="32" t="str">
        <f ca="1">IFERROR(IF(AND(K$162&gt;=IF(INDEX(_ENGINE_Initiatives!$BX$5:$BX$76,MATCH($A169,_ENGINE_Initiatives!$BW$5:$BW$76,0))="0-90 days",'Company Profile'!$B$6,IF(INDEX(_ENGINE_Initiatives!$BX$5:$BX$76,MATCH($A169,_ENGINE_Initiatives!$BW$5:$BW$76,0))="3-6 months",EDATE('Company Profile'!$B$6,3),IF(INDEX(_ENGINE_Initiatives!$BX$5:$BX$76,MATCH($A169,_ENGINE_Initiatives!$BW$5:$BW$76,0))="6-12 months",EDATE('Company Profile'!$B$6,6),EDATE('Company Profile'!$B$6,12)))),K$162&lt;=IF(INDEX(_ENGINE_Initiatives!$BX$5:$BX$76,MATCH($A169,_ENGINE_Initiatives!$BW$5:$BW$76,0))="0-90 days",'Company Profile'!$B$6,IF(INDEX(_ENGINE_Initiatives!$BX$5:$BX$76,MATCH($A169,_ENGINE_Initiatives!$BW$5:$BW$76,0))="3-6 months",EDATE('Company Profile'!$B$6,3),IF(INDEX(_ENGINE_Initiatives!$BX$5:$BX$76,MATCH($A169,_ENGINE_Initiatives!$BW$5:$BW$76,0))="6-12 months",EDATE('Company Profile'!$B$6,6),EDATE('Company Profile'!$B$6,12))))+(IF(INDEX(_ENGINE_Initiatives!$AB$5:$AB$76,MATCH($A169,_ENGINE_Initiatives!$BW$5:$BW$76,0))&lt;=2,6,IF(INDEX(_ENGINE_Initiatives!$AB$5:$AB$76,MATCH($A169,_ENGINE_Initiatives!$BW$5:$BW$76,0))=3,10,IF(INDEX(_ENGINE_Initiatives!$AB$5:$AB$76,MATCH($A169,_ENGINE_Initiatives!$BW$5:$BW$76,0))=4,16,24)))*7)),1,""),"")</f>
        <v/>
      </c>
      <c r="L169" s="32" t="str">
        <f ca="1">IFERROR(IF(AND(L$162&gt;=IF(INDEX(_ENGINE_Initiatives!$BX$5:$BX$76,MATCH($A169,_ENGINE_Initiatives!$BW$5:$BW$76,0))="0-90 days",'Company Profile'!$B$6,IF(INDEX(_ENGINE_Initiatives!$BX$5:$BX$76,MATCH($A169,_ENGINE_Initiatives!$BW$5:$BW$76,0))="3-6 months",EDATE('Company Profile'!$B$6,3),IF(INDEX(_ENGINE_Initiatives!$BX$5:$BX$76,MATCH($A169,_ENGINE_Initiatives!$BW$5:$BW$76,0))="6-12 months",EDATE('Company Profile'!$B$6,6),EDATE('Company Profile'!$B$6,12)))),L$162&lt;=IF(INDEX(_ENGINE_Initiatives!$BX$5:$BX$76,MATCH($A169,_ENGINE_Initiatives!$BW$5:$BW$76,0))="0-90 days",'Company Profile'!$B$6,IF(INDEX(_ENGINE_Initiatives!$BX$5:$BX$76,MATCH($A169,_ENGINE_Initiatives!$BW$5:$BW$76,0))="3-6 months",EDATE('Company Profile'!$B$6,3),IF(INDEX(_ENGINE_Initiatives!$BX$5:$BX$76,MATCH($A169,_ENGINE_Initiatives!$BW$5:$BW$76,0))="6-12 months",EDATE('Company Profile'!$B$6,6),EDATE('Company Profile'!$B$6,12))))+(IF(INDEX(_ENGINE_Initiatives!$AB$5:$AB$76,MATCH($A169,_ENGINE_Initiatives!$BW$5:$BW$76,0))&lt;=2,6,IF(INDEX(_ENGINE_Initiatives!$AB$5:$AB$76,MATCH($A169,_ENGINE_Initiatives!$BW$5:$BW$76,0))=3,10,IF(INDEX(_ENGINE_Initiatives!$AB$5:$AB$76,MATCH($A169,_ENGINE_Initiatives!$BW$5:$BW$76,0))=4,16,24)))*7)),1,""),"")</f>
        <v/>
      </c>
      <c r="M169" s="32" t="str">
        <f ca="1">IFERROR(IF(AND(M$162&gt;=IF(INDEX(_ENGINE_Initiatives!$BX$5:$BX$76,MATCH($A169,_ENGINE_Initiatives!$BW$5:$BW$76,0))="0-90 days",'Company Profile'!$B$6,IF(INDEX(_ENGINE_Initiatives!$BX$5:$BX$76,MATCH($A169,_ENGINE_Initiatives!$BW$5:$BW$76,0))="3-6 months",EDATE('Company Profile'!$B$6,3),IF(INDEX(_ENGINE_Initiatives!$BX$5:$BX$76,MATCH($A169,_ENGINE_Initiatives!$BW$5:$BW$76,0))="6-12 months",EDATE('Company Profile'!$B$6,6),EDATE('Company Profile'!$B$6,12)))),M$162&lt;=IF(INDEX(_ENGINE_Initiatives!$BX$5:$BX$76,MATCH($A169,_ENGINE_Initiatives!$BW$5:$BW$76,0))="0-90 days",'Company Profile'!$B$6,IF(INDEX(_ENGINE_Initiatives!$BX$5:$BX$76,MATCH($A169,_ENGINE_Initiatives!$BW$5:$BW$76,0))="3-6 months",EDATE('Company Profile'!$B$6,3),IF(INDEX(_ENGINE_Initiatives!$BX$5:$BX$76,MATCH($A169,_ENGINE_Initiatives!$BW$5:$BW$76,0))="6-12 months",EDATE('Company Profile'!$B$6,6),EDATE('Company Profile'!$B$6,12))))+(IF(INDEX(_ENGINE_Initiatives!$AB$5:$AB$76,MATCH($A169,_ENGINE_Initiatives!$BW$5:$BW$76,0))&lt;=2,6,IF(INDEX(_ENGINE_Initiatives!$AB$5:$AB$76,MATCH($A169,_ENGINE_Initiatives!$BW$5:$BW$76,0))=3,10,IF(INDEX(_ENGINE_Initiatives!$AB$5:$AB$76,MATCH($A169,_ENGINE_Initiatives!$BW$5:$BW$76,0))=4,16,24)))*7)),1,""),"")</f>
        <v/>
      </c>
      <c r="N169" s="32" t="str">
        <f ca="1">IFERROR(IF(AND(N$162&gt;=IF(INDEX(_ENGINE_Initiatives!$BX$5:$BX$76,MATCH($A169,_ENGINE_Initiatives!$BW$5:$BW$76,0))="0-90 days",'Company Profile'!$B$6,IF(INDEX(_ENGINE_Initiatives!$BX$5:$BX$76,MATCH($A169,_ENGINE_Initiatives!$BW$5:$BW$76,0))="3-6 months",EDATE('Company Profile'!$B$6,3),IF(INDEX(_ENGINE_Initiatives!$BX$5:$BX$76,MATCH($A169,_ENGINE_Initiatives!$BW$5:$BW$76,0))="6-12 months",EDATE('Company Profile'!$B$6,6),EDATE('Company Profile'!$B$6,12)))),N$162&lt;=IF(INDEX(_ENGINE_Initiatives!$BX$5:$BX$76,MATCH($A169,_ENGINE_Initiatives!$BW$5:$BW$76,0))="0-90 days",'Company Profile'!$B$6,IF(INDEX(_ENGINE_Initiatives!$BX$5:$BX$76,MATCH($A169,_ENGINE_Initiatives!$BW$5:$BW$76,0))="3-6 months",EDATE('Company Profile'!$B$6,3),IF(INDEX(_ENGINE_Initiatives!$BX$5:$BX$76,MATCH($A169,_ENGINE_Initiatives!$BW$5:$BW$76,0))="6-12 months",EDATE('Company Profile'!$B$6,6),EDATE('Company Profile'!$B$6,12))))+(IF(INDEX(_ENGINE_Initiatives!$AB$5:$AB$76,MATCH($A169,_ENGINE_Initiatives!$BW$5:$BW$76,0))&lt;=2,6,IF(INDEX(_ENGINE_Initiatives!$AB$5:$AB$76,MATCH($A169,_ENGINE_Initiatives!$BW$5:$BW$76,0))=3,10,IF(INDEX(_ENGINE_Initiatives!$AB$5:$AB$76,MATCH($A169,_ENGINE_Initiatives!$BW$5:$BW$76,0))=4,16,24)))*7)),1,""),"")</f>
        <v/>
      </c>
      <c r="O169" s="32" t="str">
        <f ca="1">IFERROR(IF(AND(O$162&gt;=IF(INDEX(_ENGINE_Initiatives!$BX$5:$BX$76,MATCH($A169,_ENGINE_Initiatives!$BW$5:$BW$76,0))="0-90 days",'Company Profile'!$B$6,IF(INDEX(_ENGINE_Initiatives!$BX$5:$BX$76,MATCH($A169,_ENGINE_Initiatives!$BW$5:$BW$76,0))="3-6 months",EDATE('Company Profile'!$B$6,3),IF(INDEX(_ENGINE_Initiatives!$BX$5:$BX$76,MATCH($A169,_ENGINE_Initiatives!$BW$5:$BW$76,0))="6-12 months",EDATE('Company Profile'!$B$6,6),EDATE('Company Profile'!$B$6,12)))),O$162&lt;=IF(INDEX(_ENGINE_Initiatives!$BX$5:$BX$76,MATCH($A169,_ENGINE_Initiatives!$BW$5:$BW$76,0))="0-90 days",'Company Profile'!$B$6,IF(INDEX(_ENGINE_Initiatives!$BX$5:$BX$76,MATCH($A169,_ENGINE_Initiatives!$BW$5:$BW$76,0))="3-6 months",EDATE('Company Profile'!$B$6,3),IF(INDEX(_ENGINE_Initiatives!$BX$5:$BX$76,MATCH($A169,_ENGINE_Initiatives!$BW$5:$BW$76,0))="6-12 months",EDATE('Company Profile'!$B$6,6),EDATE('Company Profile'!$B$6,12))))+(IF(INDEX(_ENGINE_Initiatives!$AB$5:$AB$76,MATCH($A169,_ENGINE_Initiatives!$BW$5:$BW$76,0))&lt;=2,6,IF(INDEX(_ENGINE_Initiatives!$AB$5:$AB$76,MATCH($A169,_ENGINE_Initiatives!$BW$5:$BW$76,0))=3,10,IF(INDEX(_ENGINE_Initiatives!$AB$5:$AB$76,MATCH($A169,_ENGINE_Initiatives!$BW$5:$BW$76,0))=4,16,24)))*7)),1,""),"")</f>
        <v/>
      </c>
      <c r="P169" s="32" t="str">
        <f ca="1">IFERROR(IF(AND(P$162&gt;=IF(INDEX(_ENGINE_Initiatives!$BX$5:$BX$76,MATCH($A169,_ENGINE_Initiatives!$BW$5:$BW$76,0))="0-90 days",'Company Profile'!$B$6,IF(INDEX(_ENGINE_Initiatives!$BX$5:$BX$76,MATCH($A169,_ENGINE_Initiatives!$BW$5:$BW$76,0))="3-6 months",EDATE('Company Profile'!$B$6,3),IF(INDEX(_ENGINE_Initiatives!$BX$5:$BX$76,MATCH($A169,_ENGINE_Initiatives!$BW$5:$BW$76,0))="6-12 months",EDATE('Company Profile'!$B$6,6),EDATE('Company Profile'!$B$6,12)))),P$162&lt;=IF(INDEX(_ENGINE_Initiatives!$BX$5:$BX$76,MATCH($A169,_ENGINE_Initiatives!$BW$5:$BW$76,0))="0-90 days",'Company Profile'!$B$6,IF(INDEX(_ENGINE_Initiatives!$BX$5:$BX$76,MATCH($A169,_ENGINE_Initiatives!$BW$5:$BW$76,0))="3-6 months",EDATE('Company Profile'!$B$6,3),IF(INDEX(_ENGINE_Initiatives!$BX$5:$BX$76,MATCH($A169,_ENGINE_Initiatives!$BW$5:$BW$76,0))="6-12 months",EDATE('Company Profile'!$B$6,6),EDATE('Company Profile'!$B$6,12))))+(IF(INDEX(_ENGINE_Initiatives!$AB$5:$AB$76,MATCH($A169,_ENGINE_Initiatives!$BW$5:$BW$76,0))&lt;=2,6,IF(INDEX(_ENGINE_Initiatives!$AB$5:$AB$76,MATCH($A169,_ENGINE_Initiatives!$BW$5:$BW$76,0))=3,10,IF(INDEX(_ENGINE_Initiatives!$AB$5:$AB$76,MATCH($A169,_ENGINE_Initiatives!$BW$5:$BW$76,0))=4,16,24)))*7)),1,""),"")</f>
        <v/>
      </c>
      <c r="Q169" s="32" t="str">
        <f ca="1">IFERROR(IF(AND(Q$162&gt;=IF(INDEX(_ENGINE_Initiatives!$BX$5:$BX$76,MATCH($A169,_ENGINE_Initiatives!$BW$5:$BW$76,0))="0-90 days",'Company Profile'!$B$6,IF(INDEX(_ENGINE_Initiatives!$BX$5:$BX$76,MATCH($A169,_ENGINE_Initiatives!$BW$5:$BW$76,0))="3-6 months",EDATE('Company Profile'!$B$6,3),IF(INDEX(_ENGINE_Initiatives!$BX$5:$BX$76,MATCH($A169,_ENGINE_Initiatives!$BW$5:$BW$76,0))="6-12 months",EDATE('Company Profile'!$B$6,6),EDATE('Company Profile'!$B$6,12)))),Q$162&lt;=IF(INDEX(_ENGINE_Initiatives!$BX$5:$BX$76,MATCH($A169,_ENGINE_Initiatives!$BW$5:$BW$76,0))="0-90 days",'Company Profile'!$B$6,IF(INDEX(_ENGINE_Initiatives!$BX$5:$BX$76,MATCH($A169,_ENGINE_Initiatives!$BW$5:$BW$76,0))="3-6 months",EDATE('Company Profile'!$B$6,3),IF(INDEX(_ENGINE_Initiatives!$BX$5:$BX$76,MATCH($A169,_ENGINE_Initiatives!$BW$5:$BW$76,0))="6-12 months",EDATE('Company Profile'!$B$6,6),EDATE('Company Profile'!$B$6,12))))+(IF(INDEX(_ENGINE_Initiatives!$AB$5:$AB$76,MATCH($A169,_ENGINE_Initiatives!$BW$5:$BW$76,0))&lt;=2,6,IF(INDEX(_ENGINE_Initiatives!$AB$5:$AB$76,MATCH($A169,_ENGINE_Initiatives!$BW$5:$BW$76,0))=3,10,IF(INDEX(_ENGINE_Initiatives!$AB$5:$AB$76,MATCH($A169,_ENGINE_Initiatives!$BW$5:$BW$76,0))=4,16,24)))*7)),1,""),"")</f>
        <v/>
      </c>
      <c r="R169" s="32" t="str">
        <f ca="1">IFERROR(IF(AND(R$162&gt;=IF(INDEX(_ENGINE_Initiatives!$BX$5:$BX$76,MATCH($A169,_ENGINE_Initiatives!$BW$5:$BW$76,0))="0-90 days",'Company Profile'!$B$6,IF(INDEX(_ENGINE_Initiatives!$BX$5:$BX$76,MATCH($A169,_ENGINE_Initiatives!$BW$5:$BW$76,0))="3-6 months",EDATE('Company Profile'!$B$6,3),IF(INDEX(_ENGINE_Initiatives!$BX$5:$BX$76,MATCH($A169,_ENGINE_Initiatives!$BW$5:$BW$76,0))="6-12 months",EDATE('Company Profile'!$B$6,6),EDATE('Company Profile'!$B$6,12)))),R$162&lt;=IF(INDEX(_ENGINE_Initiatives!$BX$5:$BX$76,MATCH($A169,_ENGINE_Initiatives!$BW$5:$BW$76,0))="0-90 days",'Company Profile'!$B$6,IF(INDEX(_ENGINE_Initiatives!$BX$5:$BX$76,MATCH($A169,_ENGINE_Initiatives!$BW$5:$BW$76,0))="3-6 months",EDATE('Company Profile'!$B$6,3),IF(INDEX(_ENGINE_Initiatives!$BX$5:$BX$76,MATCH($A169,_ENGINE_Initiatives!$BW$5:$BW$76,0))="6-12 months",EDATE('Company Profile'!$B$6,6),EDATE('Company Profile'!$B$6,12))))+(IF(INDEX(_ENGINE_Initiatives!$AB$5:$AB$76,MATCH($A169,_ENGINE_Initiatives!$BW$5:$BW$76,0))&lt;=2,6,IF(INDEX(_ENGINE_Initiatives!$AB$5:$AB$76,MATCH($A169,_ENGINE_Initiatives!$BW$5:$BW$76,0))=3,10,IF(INDEX(_ENGINE_Initiatives!$AB$5:$AB$76,MATCH($A169,_ENGINE_Initiatives!$BW$5:$BW$76,0))=4,16,24)))*7)),1,""),"")</f>
        <v/>
      </c>
      <c r="S169" s="32" t="str">
        <f ca="1">IFERROR(IF(AND(S$162&gt;=IF(INDEX(_ENGINE_Initiatives!$BX$5:$BX$76,MATCH($A169,_ENGINE_Initiatives!$BW$5:$BW$76,0))="0-90 days",'Company Profile'!$B$6,IF(INDEX(_ENGINE_Initiatives!$BX$5:$BX$76,MATCH($A169,_ENGINE_Initiatives!$BW$5:$BW$76,0))="3-6 months",EDATE('Company Profile'!$B$6,3),IF(INDEX(_ENGINE_Initiatives!$BX$5:$BX$76,MATCH($A169,_ENGINE_Initiatives!$BW$5:$BW$76,0))="6-12 months",EDATE('Company Profile'!$B$6,6),EDATE('Company Profile'!$B$6,12)))),S$162&lt;=IF(INDEX(_ENGINE_Initiatives!$BX$5:$BX$76,MATCH($A169,_ENGINE_Initiatives!$BW$5:$BW$76,0))="0-90 days",'Company Profile'!$B$6,IF(INDEX(_ENGINE_Initiatives!$BX$5:$BX$76,MATCH($A169,_ENGINE_Initiatives!$BW$5:$BW$76,0))="3-6 months",EDATE('Company Profile'!$B$6,3),IF(INDEX(_ENGINE_Initiatives!$BX$5:$BX$76,MATCH($A169,_ENGINE_Initiatives!$BW$5:$BW$76,0))="6-12 months",EDATE('Company Profile'!$B$6,6),EDATE('Company Profile'!$B$6,12))))+(IF(INDEX(_ENGINE_Initiatives!$AB$5:$AB$76,MATCH($A169,_ENGINE_Initiatives!$BW$5:$BW$76,0))&lt;=2,6,IF(INDEX(_ENGINE_Initiatives!$AB$5:$AB$76,MATCH($A169,_ENGINE_Initiatives!$BW$5:$BW$76,0))=3,10,IF(INDEX(_ENGINE_Initiatives!$AB$5:$AB$76,MATCH($A169,_ENGINE_Initiatives!$BW$5:$BW$76,0))=4,16,24)))*7)),1,""),"")</f>
        <v/>
      </c>
      <c r="T169" s="32" t="str">
        <f ca="1">IFERROR(IF(AND(T$162&gt;=IF(INDEX(_ENGINE_Initiatives!$BX$5:$BX$76,MATCH($A169,_ENGINE_Initiatives!$BW$5:$BW$76,0))="0-90 days",'Company Profile'!$B$6,IF(INDEX(_ENGINE_Initiatives!$BX$5:$BX$76,MATCH($A169,_ENGINE_Initiatives!$BW$5:$BW$76,0))="3-6 months",EDATE('Company Profile'!$B$6,3),IF(INDEX(_ENGINE_Initiatives!$BX$5:$BX$76,MATCH($A169,_ENGINE_Initiatives!$BW$5:$BW$76,0))="6-12 months",EDATE('Company Profile'!$B$6,6),EDATE('Company Profile'!$B$6,12)))),T$162&lt;=IF(INDEX(_ENGINE_Initiatives!$BX$5:$BX$76,MATCH($A169,_ENGINE_Initiatives!$BW$5:$BW$76,0))="0-90 days",'Company Profile'!$B$6,IF(INDEX(_ENGINE_Initiatives!$BX$5:$BX$76,MATCH($A169,_ENGINE_Initiatives!$BW$5:$BW$76,0))="3-6 months",EDATE('Company Profile'!$B$6,3),IF(INDEX(_ENGINE_Initiatives!$BX$5:$BX$76,MATCH($A169,_ENGINE_Initiatives!$BW$5:$BW$76,0))="6-12 months",EDATE('Company Profile'!$B$6,6),EDATE('Company Profile'!$B$6,12))))+(IF(INDEX(_ENGINE_Initiatives!$AB$5:$AB$76,MATCH($A169,_ENGINE_Initiatives!$BW$5:$BW$76,0))&lt;=2,6,IF(INDEX(_ENGINE_Initiatives!$AB$5:$AB$76,MATCH($A169,_ENGINE_Initiatives!$BW$5:$BW$76,0))=3,10,IF(INDEX(_ENGINE_Initiatives!$AB$5:$AB$76,MATCH($A169,_ENGINE_Initiatives!$BW$5:$BW$76,0))=4,16,24)))*7)),1,""),"")</f>
        <v/>
      </c>
      <c r="U169" s="18"/>
      <c r="V169" s="18"/>
    </row>
    <row r="170" spans="1:22" ht="15" customHeight="1">
      <c r="A170" s="28" t="s">
        <v>3693</v>
      </c>
      <c r="B170" s="28" t="str">
        <f>IFERROR(INDEX(_ENGINE_Initiatives!$F$5:$F$76,MATCH($A170,_ENGINE_Initiatives!$BW$5:$BW$76,0)),"")</f>
        <v/>
      </c>
      <c r="C170" s="32" t="str">
        <f ca="1">IFERROR(IF(AND(C$162&gt;=IF(INDEX(_ENGINE_Initiatives!$BX$5:$BX$76,MATCH($A170,_ENGINE_Initiatives!$BW$5:$BW$76,0))="0-90 days",'Company Profile'!$B$6,IF(INDEX(_ENGINE_Initiatives!$BX$5:$BX$76,MATCH($A170,_ENGINE_Initiatives!$BW$5:$BW$76,0))="3-6 months",EDATE('Company Profile'!$B$6,3),IF(INDEX(_ENGINE_Initiatives!$BX$5:$BX$76,MATCH($A170,_ENGINE_Initiatives!$BW$5:$BW$76,0))="6-12 months",EDATE('Company Profile'!$B$6,6),EDATE('Company Profile'!$B$6,12)))),C$162&lt;=IF(INDEX(_ENGINE_Initiatives!$BX$5:$BX$76,MATCH($A170,_ENGINE_Initiatives!$BW$5:$BW$76,0))="0-90 days",'Company Profile'!$B$6,IF(INDEX(_ENGINE_Initiatives!$BX$5:$BX$76,MATCH($A170,_ENGINE_Initiatives!$BW$5:$BW$76,0))="3-6 months",EDATE('Company Profile'!$B$6,3),IF(INDEX(_ENGINE_Initiatives!$BX$5:$BX$76,MATCH($A170,_ENGINE_Initiatives!$BW$5:$BW$76,0))="6-12 months",EDATE('Company Profile'!$B$6,6),EDATE('Company Profile'!$B$6,12))))+(IF(INDEX(_ENGINE_Initiatives!$AB$5:$AB$76,MATCH($A170,_ENGINE_Initiatives!$BW$5:$BW$76,0))&lt;=2,6,IF(INDEX(_ENGINE_Initiatives!$AB$5:$AB$76,MATCH($A170,_ENGINE_Initiatives!$BW$5:$BW$76,0))=3,10,IF(INDEX(_ENGINE_Initiatives!$AB$5:$AB$76,MATCH($A170,_ENGINE_Initiatives!$BW$5:$BW$76,0))=4,16,24)))*7)),1,""),"")</f>
        <v/>
      </c>
      <c r="D170" s="32" t="str">
        <f ca="1">IFERROR(IF(AND(D$162&gt;=IF(INDEX(_ENGINE_Initiatives!$BX$5:$BX$76,MATCH($A170,_ENGINE_Initiatives!$BW$5:$BW$76,0))="0-90 days",'Company Profile'!$B$6,IF(INDEX(_ENGINE_Initiatives!$BX$5:$BX$76,MATCH($A170,_ENGINE_Initiatives!$BW$5:$BW$76,0))="3-6 months",EDATE('Company Profile'!$B$6,3),IF(INDEX(_ENGINE_Initiatives!$BX$5:$BX$76,MATCH($A170,_ENGINE_Initiatives!$BW$5:$BW$76,0))="6-12 months",EDATE('Company Profile'!$B$6,6),EDATE('Company Profile'!$B$6,12)))),D$162&lt;=IF(INDEX(_ENGINE_Initiatives!$BX$5:$BX$76,MATCH($A170,_ENGINE_Initiatives!$BW$5:$BW$76,0))="0-90 days",'Company Profile'!$B$6,IF(INDEX(_ENGINE_Initiatives!$BX$5:$BX$76,MATCH($A170,_ENGINE_Initiatives!$BW$5:$BW$76,0))="3-6 months",EDATE('Company Profile'!$B$6,3),IF(INDEX(_ENGINE_Initiatives!$BX$5:$BX$76,MATCH($A170,_ENGINE_Initiatives!$BW$5:$BW$76,0))="6-12 months",EDATE('Company Profile'!$B$6,6),EDATE('Company Profile'!$B$6,12))))+(IF(INDEX(_ENGINE_Initiatives!$AB$5:$AB$76,MATCH($A170,_ENGINE_Initiatives!$BW$5:$BW$76,0))&lt;=2,6,IF(INDEX(_ENGINE_Initiatives!$AB$5:$AB$76,MATCH($A170,_ENGINE_Initiatives!$BW$5:$BW$76,0))=3,10,IF(INDEX(_ENGINE_Initiatives!$AB$5:$AB$76,MATCH($A170,_ENGINE_Initiatives!$BW$5:$BW$76,0))=4,16,24)))*7)),1,""),"")</f>
        <v/>
      </c>
      <c r="E170" s="32" t="str">
        <f ca="1">IFERROR(IF(AND(E$162&gt;=IF(INDEX(_ENGINE_Initiatives!$BX$5:$BX$76,MATCH($A170,_ENGINE_Initiatives!$BW$5:$BW$76,0))="0-90 days",'Company Profile'!$B$6,IF(INDEX(_ENGINE_Initiatives!$BX$5:$BX$76,MATCH($A170,_ENGINE_Initiatives!$BW$5:$BW$76,0))="3-6 months",EDATE('Company Profile'!$B$6,3),IF(INDEX(_ENGINE_Initiatives!$BX$5:$BX$76,MATCH($A170,_ENGINE_Initiatives!$BW$5:$BW$76,0))="6-12 months",EDATE('Company Profile'!$B$6,6),EDATE('Company Profile'!$B$6,12)))),E$162&lt;=IF(INDEX(_ENGINE_Initiatives!$BX$5:$BX$76,MATCH($A170,_ENGINE_Initiatives!$BW$5:$BW$76,0))="0-90 days",'Company Profile'!$B$6,IF(INDEX(_ENGINE_Initiatives!$BX$5:$BX$76,MATCH($A170,_ENGINE_Initiatives!$BW$5:$BW$76,0))="3-6 months",EDATE('Company Profile'!$B$6,3),IF(INDEX(_ENGINE_Initiatives!$BX$5:$BX$76,MATCH($A170,_ENGINE_Initiatives!$BW$5:$BW$76,0))="6-12 months",EDATE('Company Profile'!$B$6,6),EDATE('Company Profile'!$B$6,12))))+(IF(INDEX(_ENGINE_Initiatives!$AB$5:$AB$76,MATCH($A170,_ENGINE_Initiatives!$BW$5:$BW$76,0))&lt;=2,6,IF(INDEX(_ENGINE_Initiatives!$AB$5:$AB$76,MATCH($A170,_ENGINE_Initiatives!$BW$5:$BW$76,0))=3,10,IF(INDEX(_ENGINE_Initiatives!$AB$5:$AB$76,MATCH($A170,_ENGINE_Initiatives!$BW$5:$BW$76,0))=4,16,24)))*7)),1,""),"")</f>
        <v/>
      </c>
      <c r="F170" s="32" t="str">
        <f ca="1">IFERROR(IF(AND(F$162&gt;=IF(INDEX(_ENGINE_Initiatives!$BX$5:$BX$76,MATCH($A170,_ENGINE_Initiatives!$BW$5:$BW$76,0))="0-90 days",'Company Profile'!$B$6,IF(INDEX(_ENGINE_Initiatives!$BX$5:$BX$76,MATCH($A170,_ENGINE_Initiatives!$BW$5:$BW$76,0))="3-6 months",EDATE('Company Profile'!$B$6,3),IF(INDEX(_ENGINE_Initiatives!$BX$5:$BX$76,MATCH($A170,_ENGINE_Initiatives!$BW$5:$BW$76,0))="6-12 months",EDATE('Company Profile'!$B$6,6),EDATE('Company Profile'!$B$6,12)))),F$162&lt;=IF(INDEX(_ENGINE_Initiatives!$BX$5:$BX$76,MATCH($A170,_ENGINE_Initiatives!$BW$5:$BW$76,0))="0-90 days",'Company Profile'!$B$6,IF(INDEX(_ENGINE_Initiatives!$BX$5:$BX$76,MATCH($A170,_ENGINE_Initiatives!$BW$5:$BW$76,0))="3-6 months",EDATE('Company Profile'!$B$6,3),IF(INDEX(_ENGINE_Initiatives!$BX$5:$BX$76,MATCH($A170,_ENGINE_Initiatives!$BW$5:$BW$76,0))="6-12 months",EDATE('Company Profile'!$B$6,6),EDATE('Company Profile'!$B$6,12))))+(IF(INDEX(_ENGINE_Initiatives!$AB$5:$AB$76,MATCH($A170,_ENGINE_Initiatives!$BW$5:$BW$76,0))&lt;=2,6,IF(INDEX(_ENGINE_Initiatives!$AB$5:$AB$76,MATCH($A170,_ENGINE_Initiatives!$BW$5:$BW$76,0))=3,10,IF(INDEX(_ENGINE_Initiatives!$AB$5:$AB$76,MATCH($A170,_ENGINE_Initiatives!$BW$5:$BW$76,0))=4,16,24)))*7)),1,""),"")</f>
        <v/>
      </c>
      <c r="G170" s="32" t="str">
        <f ca="1">IFERROR(IF(AND(G$162&gt;=IF(INDEX(_ENGINE_Initiatives!$BX$5:$BX$76,MATCH($A170,_ENGINE_Initiatives!$BW$5:$BW$76,0))="0-90 days",'Company Profile'!$B$6,IF(INDEX(_ENGINE_Initiatives!$BX$5:$BX$76,MATCH($A170,_ENGINE_Initiatives!$BW$5:$BW$76,0))="3-6 months",EDATE('Company Profile'!$B$6,3),IF(INDEX(_ENGINE_Initiatives!$BX$5:$BX$76,MATCH($A170,_ENGINE_Initiatives!$BW$5:$BW$76,0))="6-12 months",EDATE('Company Profile'!$B$6,6),EDATE('Company Profile'!$B$6,12)))),G$162&lt;=IF(INDEX(_ENGINE_Initiatives!$BX$5:$BX$76,MATCH($A170,_ENGINE_Initiatives!$BW$5:$BW$76,0))="0-90 days",'Company Profile'!$B$6,IF(INDEX(_ENGINE_Initiatives!$BX$5:$BX$76,MATCH($A170,_ENGINE_Initiatives!$BW$5:$BW$76,0))="3-6 months",EDATE('Company Profile'!$B$6,3),IF(INDEX(_ENGINE_Initiatives!$BX$5:$BX$76,MATCH($A170,_ENGINE_Initiatives!$BW$5:$BW$76,0))="6-12 months",EDATE('Company Profile'!$B$6,6),EDATE('Company Profile'!$B$6,12))))+(IF(INDEX(_ENGINE_Initiatives!$AB$5:$AB$76,MATCH($A170,_ENGINE_Initiatives!$BW$5:$BW$76,0))&lt;=2,6,IF(INDEX(_ENGINE_Initiatives!$AB$5:$AB$76,MATCH($A170,_ENGINE_Initiatives!$BW$5:$BW$76,0))=3,10,IF(INDEX(_ENGINE_Initiatives!$AB$5:$AB$76,MATCH($A170,_ENGINE_Initiatives!$BW$5:$BW$76,0))=4,16,24)))*7)),1,""),"")</f>
        <v/>
      </c>
      <c r="H170" s="32" t="str">
        <f ca="1">IFERROR(IF(AND(H$162&gt;=IF(INDEX(_ENGINE_Initiatives!$BX$5:$BX$76,MATCH($A170,_ENGINE_Initiatives!$BW$5:$BW$76,0))="0-90 days",'Company Profile'!$B$6,IF(INDEX(_ENGINE_Initiatives!$BX$5:$BX$76,MATCH($A170,_ENGINE_Initiatives!$BW$5:$BW$76,0))="3-6 months",EDATE('Company Profile'!$B$6,3),IF(INDEX(_ENGINE_Initiatives!$BX$5:$BX$76,MATCH($A170,_ENGINE_Initiatives!$BW$5:$BW$76,0))="6-12 months",EDATE('Company Profile'!$B$6,6),EDATE('Company Profile'!$B$6,12)))),H$162&lt;=IF(INDEX(_ENGINE_Initiatives!$BX$5:$BX$76,MATCH($A170,_ENGINE_Initiatives!$BW$5:$BW$76,0))="0-90 days",'Company Profile'!$B$6,IF(INDEX(_ENGINE_Initiatives!$BX$5:$BX$76,MATCH($A170,_ENGINE_Initiatives!$BW$5:$BW$76,0))="3-6 months",EDATE('Company Profile'!$B$6,3),IF(INDEX(_ENGINE_Initiatives!$BX$5:$BX$76,MATCH($A170,_ENGINE_Initiatives!$BW$5:$BW$76,0))="6-12 months",EDATE('Company Profile'!$B$6,6),EDATE('Company Profile'!$B$6,12))))+(IF(INDEX(_ENGINE_Initiatives!$AB$5:$AB$76,MATCH($A170,_ENGINE_Initiatives!$BW$5:$BW$76,0))&lt;=2,6,IF(INDEX(_ENGINE_Initiatives!$AB$5:$AB$76,MATCH($A170,_ENGINE_Initiatives!$BW$5:$BW$76,0))=3,10,IF(INDEX(_ENGINE_Initiatives!$AB$5:$AB$76,MATCH($A170,_ENGINE_Initiatives!$BW$5:$BW$76,0))=4,16,24)))*7)),1,""),"")</f>
        <v/>
      </c>
      <c r="I170" s="32" t="str">
        <f ca="1">IFERROR(IF(AND(I$162&gt;=IF(INDEX(_ENGINE_Initiatives!$BX$5:$BX$76,MATCH($A170,_ENGINE_Initiatives!$BW$5:$BW$76,0))="0-90 days",'Company Profile'!$B$6,IF(INDEX(_ENGINE_Initiatives!$BX$5:$BX$76,MATCH($A170,_ENGINE_Initiatives!$BW$5:$BW$76,0))="3-6 months",EDATE('Company Profile'!$B$6,3),IF(INDEX(_ENGINE_Initiatives!$BX$5:$BX$76,MATCH($A170,_ENGINE_Initiatives!$BW$5:$BW$76,0))="6-12 months",EDATE('Company Profile'!$B$6,6),EDATE('Company Profile'!$B$6,12)))),I$162&lt;=IF(INDEX(_ENGINE_Initiatives!$BX$5:$BX$76,MATCH($A170,_ENGINE_Initiatives!$BW$5:$BW$76,0))="0-90 days",'Company Profile'!$B$6,IF(INDEX(_ENGINE_Initiatives!$BX$5:$BX$76,MATCH($A170,_ENGINE_Initiatives!$BW$5:$BW$76,0))="3-6 months",EDATE('Company Profile'!$B$6,3),IF(INDEX(_ENGINE_Initiatives!$BX$5:$BX$76,MATCH($A170,_ENGINE_Initiatives!$BW$5:$BW$76,0))="6-12 months",EDATE('Company Profile'!$B$6,6),EDATE('Company Profile'!$B$6,12))))+(IF(INDEX(_ENGINE_Initiatives!$AB$5:$AB$76,MATCH($A170,_ENGINE_Initiatives!$BW$5:$BW$76,0))&lt;=2,6,IF(INDEX(_ENGINE_Initiatives!$AB$5:$AB$76,MATCH($A170,_ENGINE_Initiatives!$BW$5:$BW$76,0))=3,10,IF(INDEX(_ENGINE_Initiatives!$AB$5:$AB$76,MATCH($A170,_ENGINE_Initiatives!$BW$5:$BW$76,0))=4,16,24)))*7)),1,""),"")</f>
        <v/>
      </c>
      <c r="J170" s="32" t="str">
        <f ca="1">IFERROR(IF(AND(J$162&gt;=IF(INDEX(_ENGINE_Initiatives!$BX$5:$BX$76,MATCH($A170,_ENGINE_Initiatives!$BW$5:$BW$76,0))="0-90 days",'Company Profile'!$B$6,IF(INDEX(_ENGINE_Initiatives!$BX$5:$BX$76,MATCH($A170,_ENGINE_Initiatives!$BW$5:$BW$76,0))="3-6 months",EDATE('Company Profile'!$B$6,3),IF(INDEX(_ENGINE_Initiatives!$BX$5:$BX$76,MATCH($A170,_ENGINE_Initiatives!$BW$5:$BW$76,0))="6-12 months",EDATE('Company Profile'!$B$6,6),EDATE('Company Profile'!$B$6,12)))),J$162&lt;=IF(INDEX(_ENGINE_Initiatives!$BX$5:$BX$76,MATCH($A170,_ENGINE_Initiatives!$BW$5:$BW$76,0))="0-90 days",'Company Profile'!$B$6,IF(INDEX(_ENGINE_Initiatives!$BX$5:$BX$76,MATCH($A170,_ENGINE_Initiatives!$BW$5:$BW$76,0))="3-6 months",EDATE('Company Profile'!$B$6,3),IF(INDEX(_ENGINE_Initiatives!$BX$5:$BX$76,MATCH($A170,_ENGINE_Initiatives!$BW$5:$BW$76,0))="6-12 months",EDATE('Company Profile'!$B$6,6),EDATE('Company Profile'!$B$6,12))))+(IF(INDEX(_ENGINE_Initiatives!$AB$5:$AB$76,MATCH($A170,_ENGINE_Initiatives!$BW$5:$BW$76,0))&lt;=2,6,IF(INDEX(_ENGINE_Initiatives!$AB$5:$AB$76,MATCH($A170,_ENGINE_Initiatives!$BW$5:$BW$76,0))=3,10,IF(INDEX(_ENGINE_Initiatives!$AB$5:$AB$76,MATCH($A170,_ENGINE_Initiatives!$BW$5:$BW$76,0))=4,16,24)))*7)),1,""),"")</f>
        <v/>
      </c>
      <c r="K170" s="32" t="str">
        <f ca="1">IFERROR(IF(AND(K$162&gt;=IF(INDEX(_ENGINE_Initiatives!$BX$5:$BX$76,MATCH($A170,_ENGINE_Initiatives!$BW$5:$BW$76,0))="0-90 days",'Company Profile'!$B$6,IF(INDEX(_ENGINE_Initiatives!$BX$5:$BX$76,MATCH($A170,_ENGINE_Initiatives!$BW$5:$BW$76,0))="3-6 months",EDATE('Company Profile'!$B$6,3),IF(INDEX(_ENGINE_Initiatives!$BX$5:$BX$76,MATCH($A170,_ENGINE_Initiatives!$BW$5:$BW$76,0))="6-12 months",EDATE('Company Profile'!$B$6,6),EDATE('Company Profile'!$B$6,12)))),K$162&lt;=IF(INDEX(_ENGINE_Initiatives!$BX$5:$BX$76,MATCH($A170,_ENGINE_Initiatives!$BW$5:$BW$76,0))="0-90 days",'Company Profile'!$B$6,IF(INDEX(_ENGINE_Initiatives!$BX$5:$BX$76,MATCH($A170,_ENGINE_Initiatives!$BW$5:$BW$76,0))="3-6 months",EDATE('Company Profile'!$B$6,3),IF(INDEX(_ENGINE_Initiatives!$BX$5:$BX$76,MATCH($A170,_ENGINE_Initiatives!$BW$5:$BW$76,0))="6-12 months",EDATE('Company Profile'!$B$6,6),EDATE('Company Profile'!$B$6,12))))+(IF(INDEX(_ENGINE_Initiatives!$AB$5:$AB$76,MATCH($A170,_ENGINE_Initiatives!$BW$5:$BW$76,0))&lt;=2,6,IF(INDEX(_ENGINE_Initiatives!$AB$5:$AB$76,MATCH($A170,_ENGINE_Initiatives!$BW$5:$BW$76,0))=3,10,IF(INDEX(_ENGINE_Initiatives!$AB$5:$AB$76,MATCH($A170,_ENGINE_Initiatives!$BW$5:$BW$76,0))=4,16,24)))*7)),1,""),"")</f>
        <v/>
      </c>
      <c r="L170" s="32" t="str">
        <f ca="1">IFERROR(IF(AND(L$162&gt;=IF(INDEX(_ENGINE_Initiatives!$BX$5:$BX$76,MATCH($A170,_ENGINE_Initiatives!$BW$5:$BW$76,0))="0-90 days",'Company Profile'!$B$6,IF(INDEX(_ENGINE_Initiatives!$BX$5:$BX$76,MATCH($A170,_ENGINE_Initiatives!$BW$5:$BW$76,0))="3-6 months",EDATE('Company Profile'!$B$6,3),IF(INDEX(_ENGINE_Initiatives!$BX$5:$BX$76,MATCH($A170,_ENGINE_Initiatives!$BW$5:$BW$76,0))="6-12 months",EDATE('Company Profile'!$B$6,6),EDATE('Company Profile'!$B$6,12)))),L$162&lt;=IF(INDEX(_ENGINE_Initiatives!$BX$5:$BX$76,MATCH($A170,_ENGINE_Initiatives!$BW$5:$BW$76,0))="0-90 days",'Company Profile'!$B$6,IF(INDEX(_ENGINE_Initiatives!$BX$5:$BX$76,MATCH($A170,_ENGINE_Initiatives!$BW$5:$BW$76,0))="3-6 months",EDATE('Company Profile'!$B$6,3),IF(INDEX(_ENGINE_Initiatives!$BX$5:$BX$76,MATCH($A170,_ENGINE_Initiatives!$BW$5:$BW$76,0))="6-12 months",EDATE('Company Profile'!$B$6,6),EDATE('Company Profile'!$B$6,12))))+(IF(INDEX(_ENGINE_Initiatives!$AB$5:$AB$76,MATCH($A170,_ENGINE_Initiatives!$BW$5:$BW$76,0))&lt;=2,6,IF(INDEX(_ENGINE_Initiatives!$AB$5:$AB$76,MATCH($A170,_ENGINE_Initiatives!$BW$5:$BW$76,0))=3,10,IF(INDEX(_ENGINE_Initiatives!$AB$5:$AB$76,MATCH($A170,_ENGINE_Initiatives!$BW$5:$BW$76,0))=4,16,24)))*7)),1,""),"")</f>
        <v/>
      </c>
      <c r="M170" s="32" t="str">
        <f ca="1">IFERROR(IF(AND(M$162&gt;=IF(INDEX(_ENGINE_Initiatives!$BX$5:$BX$76,MATCH($A170,_ENGINE_Initiatives!$BW$5:$BW$76,0))="0-90 days",'Company Profile'!$B$6,IF(INDEX(_ENGINE_Initiatives!$BX$5:$BX$76,MATCH($A170,_ENGINE_Initiatives!$BW$5:$BW$76,0))="3-6 months",EDATE('Company Profile'!$B$6,3),IF(INDEX(_ENGINE_Initiatives!$BX$5:$BX$76,MATCH($A170,_ENGINE_Initiatives!$BW$5:$BW$76,0))="6-12 months",EDATE('Company Profile'!$B$6,6),EDATE('Company Profile'!$B$6,12)))),M$162&lt;=IF(INDEX(_ENGINE_Initiatives!$BX$5:$BX$76,MATCH($A170,_ENGINE_Initiatives!$BW$5:$BW$76,0))="0-90 days",'Company Profile'!$B$6,IF(INDEX(_ENGINE_Initiatives!$BX$5:$BX$76,MATCH($A170,_ENGINE_Initiatives!$BW$5:$BW$76,0))="3-6 months",EDATE('Company Profile'!$B$6,3),IF(INDEX(_ENGINE_Initiatives!$BX$5:$BX$76,MATCH($A170,_ENGINE_Initiatives!$BW$5:$BW$76,0))="6-12 months",EDATE('Company Profile'!$B$6,6),EDATE('Company Profile'!$B$6,12))))+(IF(INDEX(_ENGINE_Initiatives!$AB$5:$AB$76,MATCH($A170,_ENGINE_Initiatives!$BW$5:$BW$76,0))&lt;=2,6,IF(INDEX(_ENGINE_Initiatives!$AB$5:$AB$76,MATCH($A170,_ENGINE_Initiatives!$BW$5:$BW$76,0))=3,10,IF(INDEX(_ENGINE_Initiatives!$AB$5:$AB$76,MATCH($A170,_ENGINE_Initiatives!$BW$5:$BW$76,0))=4,16,24)))*7)),1,""),"")</f>
        <v/>
      </c>
      <c r="N170" s="32" t="str">
        <f ca="1">IFERROR(IF(AND(N$162&gt;=IF(INDEX(_ENGINE_Initiatives!$BX$5:$BX$76,MATCH($A170,_ENGINE_Initiatives!$BW$5:$BW$76,0))="0-90 days",'Company Profile'!$B$6,IF(INDEX(_ENGINE_Initiatives!$BX$5:$BX$76,MATCH($A170,_ENGINE_Initiatives!$BW$5:$BW$76,0))="3-6 months",EDATE('Company Profile'!$B$6,3),IF(INDEX(_ENGINE_Initiatives!$BX$5:$BX$76,MATCH($A170,_ENGINE_Initiatives!$BW$5:$BW$76,0))="6-12 months",EDATE('Company Profile'!$B$6,6),EDATE('Company Profile'!$B$6,12)))),N$162&lt;=IF(INDEX(_ENGINE_Initiatives!$BX$5:$BX$76,MATCH($A170,_ENGINE_Initiatives!$BW$5:$BW$76,0))="0-90 days",'Company Profile'!$B$6,IF(INDEX(_ENGINE_Initiatives!$BX$5:$BX$76,MATCH($A170,_ENGINE_Initiatives!$BW$5:$BW$76,0))="3-6 months",EDATE('Company Profile'!$B$6,3),IF(INDEX(_ENGINE_Initiatives!$BX$5:$BX$76,MATCH($A170,_ENGINE_Initiatives!$BW$5:$BW$76,0))="6-12 months",EDATE('Company Profile'!$B$6,6),EDATE('Company Profile'!$B$6,12))))+(IF(INDEX(_ENGINE_Initiatives!$AB$5:$AB$76,MATCH($A170,_ENGINE_Initiatives!$BW$5:$BW$76,0))&lt;=2,6,IF(INDEX(_ENGINE_Initiatives!$AB$5:$AB$76,MATCH($A170,_ENGINE_Initiatives!$BW$5:$BW$76,0))=3,10,IF(INDEX(_ENGINE_Initiatives!$AB$5:$AB$76,MATCH($A170,_ENGINE_Initiatives!$BW$5:$BW$76,0))=4,16,24)))*7)),1,""),"")</f>
        <v/>
      </c>
      <c r="O170" s="32" t="str">
        <f ca="1">IFERROR(IF(AND(O$162&gt;=IF(INDEX(_ENGINE_Initiatives!$BX$5:$BX$76,MATCH($A170,_ENGINE_Initiatives!$BW$5:$BW$76,0))="0-90 days",'Company Profile'!$B$6,IF(INDEX(_ENGINE_Initiatives!$BX$5:$BX$76,MATCH($A170,_ENGINE_Initiatives!$BW$5:$BW$76,0))="3-6 months",EDATE('Company Profile'!$B$6,3),IF(INDEX(_ENGINE_Initiatives!$BX$5:$BX$76,MATCH($A170,_ENGINE_Initiatives!$BW$5:$BW$76,0))="6-12 months",EDATE('Company Profile'!$B$6,6),EDATE('Company Profile'!$B$6,12)))),O$162&lt;=IF(INDEX(_ENGINE_Initiatives!$BX$5:$BX$76,MATCH($A170,_ENGINE_Initiatives!$BW$5:$BW$76,0))="0-90 days",'Company Profile'!$B$6,IF(INDEX(_ENGINE_Initiatives!$BX$5:$BX$76,MATCH($A170,_ENGINE_Initiatives!$BW$5:$BW$76,0))="3-6 months",EDATE('Company Profile'!$B$6,3),IF(INDEX(_ENGINE_Initiatives!$BX$5:$BX$76,MATCH($A170,_ENGINE_Initiatives!$BW$5:$BW$76,0))="6-12 months",EDATE('Company Profile'!$B$6,6),EDATE('Company Profile'!$B$6,12))))+(IF(INDEX(_ENGINE_Initiatives!$AB$5:$AB$76,MATCH($A170,_ENGINE_Initiatives!$BW$5:$BW$76,0))&lt;=2,6,IF(INDEX(_ENGINE_Initiatives!$AB$5:$AB$76,MATCH($A170,_ENGINE_Initiatives!$BW$5:$BW$76,0))=3,10,IF(INDEX(_ENGINE_Initiatives!$AB$5:$AB$76,MATCH($A170,_ENGINE_Initiatives!$BW$5:$BW$76,0))=4,16,24)))*7)),1,""),"")</f>
        <v/>
      </c>
      <c r="P170" s="32" t="str">
        <f ca="1">IFERROR(IF(AND(P$162&gt;=IF(INDEX(_ENGINE_Initiatives!$BX$5:$BX$76,MATCH($A170,_ENGINE_Initiatives!$BW$5:$BW$76,0))="0-90 days",'Company Profile'!$B$6,IF(INDEX(_ENGINE_Initiatives!$BX$5:$BX$76,MATCH($A170,_ENGINE_Initiatives!$BW$5:$BW$76,0))="3-6 months",EDATE('Company Profile'!$B$6,3),IF(INDEX(_ENGINE_Initiatives!$BX$5:$BX$76,MATCH($A170,_ENGINE_Initiatives!$BW$5:$BW$76,0))="6-12 months",EDATE('Company Profile'!$B$6,6),EDATE('Company Profile'!$B$6,12)))),P$162&lt;=IF(INDEX(_ENGINE_Initiatives!$BX$5:$BX$76,MATCH($A170,_ENGINE_Initiatives!$BW$5:$BW$76,0))="0-90 days",'Company Profile'!$B$6,IF(INDEX(_ENGINE_Initiatives!$BX$5:$BX$76,MATCH($A170,_ENGINE_Initiatives!$BW$5:$BW$76,0))="3-6 months",EDATE('Company Profile'!$B$6,3),IF(INDEX(_ENGINE_Initiatives!$BX$5:$BX$76,MATCH($A170,_ENGINE_Initiatives!$BW$5:$BW$76,0))="6-12 months",EDATE('Company Profile'!$B$6,6),EDATE('Company Profile'!$B$6,12))))+(IF(INDEX(_ENGINE_Initiatives!$AB$5:$AB$76,MATCH($A170,_ENGINE_Initiatives!$BW$5:$BW$76,0))&lt;=2,6,IF(INDEX(_ENGINE_Initiatives!$AB$5:$AB$76,MATCH($A170,_ENGINE_Initiatives!$BW$5:$BW$76,0))=3,10,IF(INDEX(_ENGINE_Initiatives!$AB$5:$AB$76,MATCH($A170,_ENGINE_Initiatives!$BW$5:$BW$76,0))=4,16,24)))*7)),1,""),"")</f>
        <v/>
      </c>
      <c r="Q170" s="32" t="str">
        <f ca="1">IFERROR(IF(AND(Q$162&gt;=IF(INDEX(_ENGINE_Initiatives!$BX$5:$BX$76,MATCH($A170,_ENGINE_Initiatives!$BW$5:$BW$76,0))="0-90 days",'Company Profile'!$B$6,IF(INDEX(_ENGINE_Initiatives!$BX$5:$BX$76,MATCH($A170,_ENGINE_Initiatives!$BW$5:$BW$76,0))="3-6 months",EDATE('Company Profile'!$B$6,3),IF(INDEX(_ENGINE_Initiatives!$BX$5:$BX$76,MATCH($A170,_ENGINE_Initiatives!$BW$5:$BW$76,0))="6-12 months",EDATE('Company Profile'!$B$6,6),EDATE('Company Profile'!$B$6,12)))),Q$162&lt;=IF(INDEX(_ENGINE_Initiatives!$BX$5:$BX$76,MATCH($A170,_ENGINE_Initiatives!$BW$5:$BW$76,0))="0-90 days",'Company Profile'!$B$6,IF(INDEX(_ENGINE_Initiatives!$BX$5:$BX$76,MATCH($A170,_ENGINE_Initiatives!$BW$5:$BW$76,0))="3-6 months",EDATE('Company Profile'!$B$6,3),IF(INDEX(_ENGINE_Initiatives!$BX$5:$BX$76,MATCH($A170,_ENGINE_Initiatives!$BW$5:$BW$76,0))="6-12 months",EDATE('Company Profile'!$B$6,6),EDATE('Company Profile'!$B$6,12))))+(IF(INDEX(_ENGINE_Initiatives!$AB$5:$AB$76,MATCH($A170,_ENGINE_Initiatives!$BW$5:$BW$76,0))&lt;=2,6,IF(INDEX(_ENGINE_Initiatives!$AB$5:$AB$76,MATCH($A170,_ENGINE_Initiatives!$BW$5:$BW$76,0))=3,10,IF(INDEX(_ENGINE_Initiatives!$AB$5:$AB$76,MATCH($A170,_ENGINE_Initiatives!$BW$5:$BW$76,0))=4,16,24)))*7)),1,""),"")</f>
        <v/>
      </c>
      <c r="R170" s="32" t="str">
        <f ca="1">IFERROR(IF(AND(R$162&gt;=IF(INDEX(_ENGINE_Initiatives!$BX$5:$BX$76,MATCH($A170,_ENGINE_Initiatives!$BW$5:$BW$76,0))="0-90 days",'Company Profile'!$B$6,IF(INDEX(_ENGINE_Initiatives!$BX$5:$BX$76,MATCH($A170,_ENGINE_Initiatives!$BW$5:$BW$76,0))="3-6 months",EDATE('Company Profile'!$B$6,3),IF(INDEX(_ENGINE_Initiatives!$BX$5:$BX$76,MATCH($A170,_ENGINE_Initiatives!$BW$5:$BW$76,0))="6-12 months",EDATE('Company Profile'!$B$6,6),EDATE('Company Profile'!$B$6,12)))),R$162&lt;=IF(INDEX(_ENGINE_Initiatives!$BX$5:$BX$76,MATCH($A170,_ENGINE_Initiatives!$BW$5:$BW$76,0))="0-90 days",'Company Profile'!$B$6,IF(INDEX(_ENGINE_Initiatives!$BX$5:$BX$76,MATCH($A170,_ENGINE_Initiatives!$BW$5:$BW$76,0))="3-6 months",EDATE('Company Profile'!$B$6,3),IF(INDEX(_ENGINE_Initiatives!$BX$5:$BX$76,MATCH($A170,_ENGINE_Initiatives!$BW$5:$BW$76,0))="6-12 months",EDATE('Company Profile'!$B$6,6),EDATE('Company Profile'!$B$6,12))))+(IF(INDEX(_ENGINE_Initiatives!$AB$5:$AB$76,MATCH($A170,_ENGINE_Initiatives!$BW$5:$BW$76,0))&lt;=2,6,IF(INDEX(_ENGINE_Initiatives!$AB$5:$AB$76,MATCH($A170,_ENGINE_Initiatives!$BW$5:$BW$76,0))=3,10,IF(INDEX(_ENGINE_Initiatives!$AB$5:$AB$76,MATCH($A170,_ENGINE_Initiatives!$BW$5:$BW$76,0))=4,16,24)))*7)),1,""),"")</f>
        <v/>
      </c>
      <c r="S170" s="32" t="str">
        <f ca="1">IFERROR(IF(AND(S$162&gt;=IF(INDEX(_ENGINE_Initiatives!$BX$5:$BX$76,MATCH($A170,_ENGINE_Initiatives!$BW$5:$BW$76,0))="0-90 days",'Company Profile'!$B$6,IF(INDEX(_ENGINE_Initiatives!$BX$5:$BX$76,MATCH($A170,_ENGINE_Initiatives!$BW$5:$BW$76,0))="3-6 months",EDATE('Company Profile'!$B$6,3),IF(INDEX(_ENGINE_Initiatives!$BX$5:$BX$76,MATCH($A170,_ENGINE_Initiatives!$BW$5:$BW$76,0))="6-12 months",EDATE('Company Profile'!$B$6,6),EDATE('Company Profile'!$B$6,12)))),S$162&lt;=IF(INDEX(_ENGINE_Initiatives!$BX$5:$BX$76,MATCH($A170,_ENGINE_Initiatives!$BW$5:$BW$76,0))="0-90 days",'Company Profile'!$B$6,IF(INDEX(_ENGINE_Initiatives!$BX$5:$BX$76,MATCH($A170,_ENGINE_Initiatives!$BW$5:$BW$76,0))="3-6 months",EDATE('Company Profile'!$B$6,3),IF(INDEX(_ENGINE_Initiatives!$BX$5:$BX$76,MATCH($A170,_ENGINE_Initiatives!$BW$5:$BW$76,0))="6-12 months",EDATE('Company Profile'!$B$6,6),EDATE('Company Profile'!$B$6,12))))+(IF(INDEX(_ENGINE_Initiatives!$AB$5:$AB$76,MATCH($A170,_ENGINE_Initiatives!$BW$5:$BW$76,0))&lt;=2,6,IF(INDEX(_ENGINE_Initiatives!$AB$5:$AB$76,MATCH($A170,_ENGINE_Initiatives!$BW$5:$BW$76,0))=3,10,IF(INDEX(_ENGINE_Initiatives!$AB$5:$AB$76,MATCH($A170,_ENGINE_Initiatives!$BW$5:$BW$76,0))=4,16,24)))*7)),1,""),"")</f>
        <v/>
      </c>
      <c r="T170" s="32" t="str">
        <f ca="1">IFERROR(IF(AND(T$162&gt;=IF(INDEX(_ENGINE_Initiatives!$BX$5:$BX$76,MATCH($A170,_ENGINE_Initiatives!$BW$5:$BW$76,0))="0-90 days",'Company Profile'!$B$6,IF(INDEX(_ENGINE_Initiatives!$BX$5:$BX$76,MATCH($A170,_ENGINE_Initiatives!$BW$5:$BW$76,0))="3-6 months",EDATE('Company Profile'!$B$6,3),IF(INDEX(_ENGINE_Initiatives!$BX$5:$BX$76,MATCH($A170,_ENGINE_Initiatives!$BW$5:$BW$76,0))="6-12 months",EDATE('Company Profile'!$B$6,6),EDATE('Company Profile'!$B$6,12)))),T$162&lt;=IF(INDEX(_ENGINE_Initiatives!$BX$5:$BX$76,MATCH($A170,_ENGINE_Initiatives!$BW$5:$BW$76,0))="0-90 days",'Company Profile'!$B$6,IF(INDEX(_ENGINE_Initiatives!$BX$5:$BX$76,MATCH($A170,_ENGINE_Initiatives!$BW$5:$BW$76,0))="3-6 months",EDATE('Company Profile'!$B$6,3),IF(INDEX(_ENGINE_Initiatives!$BX$5:$BX$76,MATCH($A170,_ENGINE_Initiatives!$BW$5:$BW$76,0))="6-12 months",EDATE('Company Profile'!$B$6,6),EDATE('Company Profile'!$B$6,12))))+(IF(INDEX(_ENGINE_Initiatives!$AB$5:$AB$76,MATCH($A170,_ENGINE_Initiatives!$BW$5:$BW$76,0))&lt;=2,6,IF(INDEX(_ENGINE_Initiatives!$AB$5:$AB$76,MATCH($A170,_ENGINE_Initiatives!$BW$5:$BW$76,0))=3,10,IF(INDEX(_ENGINE_Initiatives!$AB$5:$AB$76,MATCH($A170,_ENGINE_Initiatives!$BW$5:$BW$76,0))=4,16,24)))*7)),1,""),"")</f>
        <v/>
      </c>
      <c r="U170" s="18"/>
      <c r="V170" s="18"/>
    </row>
    <row r="171" spans="1:22" ht="15" customHeight="1">
      <c r="A171" s="28" t="s">
        <v>3694</v>
      </c>
      <c r="B171" s="28" t="str">
        <f>IFERROR(INDEX(_ENGINE_Initiatives!$F$5:$F$76,MATCH($A171,_ENGINE_Initiatives!$BW$5:$BW$76,0)),"")</f>
        <v/>
      </c>
      <c r="C171" s="32" t="str">
        <f ca="1">IFERROR(IF(AND(C$162&gt;=IF(INDEX(_ENGINE_Initiatives!$BX$5:$BX$76,MATCH($A171,_ENGINE_Initiatives!$BW$5:$BW$76,0))="0-90 days",'Company Profile'!$B$6,IF(INDEX(_ENGINE_Initiatives!$BX$5:$BX$76,MATCH($A171,_ENGINE_Initiatives!$BW$5:$BW$76,0))="3-6 months",EDATE('Company Profile'!$B$6,3),IF(INDEX(_ENGINE_Initiatives!$BX$5:$BX$76,MATCH($A171,_ENGINE_Initiatives!$BW$5:$BW$76,0))="6-12 months",EDATE('Company Profile'!$B$6,6),EDATE('Company Profile'!$B$6,12)))),C$162&lt;=IF(INDEX(_ENGINE_Initiatives!$BX$5:$BX$76,MATCH($A171,_ENGINE_Initiatives!$BW$5:$BW$76,0))="0-90 days",'Company Profile'!$B$6,IF(INDEX(_ENGINE_Initiatives!$BX$5:$BX$76,MATCH($A171,_ENGINE_Initiatives!$BW$5:$BW$76,0))="3-6 months",EDATE('Company Profile'!$B$6,3),IF(INDEX(_ENGINE_Initiatives!$BX$5:$BX$76,MATCH($A171,_ENGINE_Initiatives!$BW$5:$BW$76,0))="6-12 months",EDATE('Company Profile'!$B$6,6),EDATE('Company Profile'!$B$6,12))))+(IF(INDEX(_ENGINE_Initiatives!$AB$5:$AB$76,MATCH($A171,_ENGINE_Initiatives!$BW$5:$BW$76,0))&lt;=2,6,IF(INDEX(_ENGINE_Initiatives!$AB$5:$AB$76,MATCH($A171,_ENGINE_Initiatives!$BW$5:$BW$76,0))=3,10,IF(INDEX(_ENGINE_Initiatives!$AB$5:$AB$76,MATCH($A171,_ENGINE_Initiatives!$BW$5:$BW$76,0))=4,16,24)))*7)),1,""),"")</f>
        <v/>
      </c>
      <c r="D171" s="32" t="str">
        <f ca="1">IFERROR(IF(AND(D$162&gt;=IF(INDEX(_ENGINE_Initiatives!$BX$5:$BX$76,MATCH($A171,_ENGINE_Initiatives!$BW$5:$BW$76,0))="0-90 days",'Company Profile'!$B$6,IF(INDEX(_ENGINE_Initiatives!$BX$5:$BX$76,MATCH($A171,_ENGINE_Initiatives!$BW$5:$BW$76,0))="3-6 months",EDATE('Company Profile'!$B$6,3),IF(INDEX(_ENGINE_Initiatives!$BX$5:$BX$76,MATCH($A171,_ENGINE_Initiatives!$BW$5:$BW$76,0))="6-12 months",EDATE('Company Profile'!$B$6,6),EDATE('Company Profile'!$B$6,12)))),D$162&lt;=IF(INDEX(_ENGINE_Initiatives!$BX$5:$BX$76,MATCH($A171,_ENGINE_Initiatives!$BW$5:$BW$76,0))="0-90 days",'Company Profile'!$B$6,IF(INDEX(_ENGINE_Initiatives!$BX$5:$BX$76,MATCH($A171,_ENGINE_Initiatives!$BW$5:$BW$76,0))="3-6 months",EDATE('Company Profile'!$B$6,3),IF(INDEX(_ENGINE_Initiatives!$BX$5:$BX$76,MATCH($A171,_ENGINE_Initiatives!$BW$5:$BW$76,0))="6-12 months",EDATE('Company Profile'!$B$6,6),EDATE('Company Profile'!$B$6,12))))+(IF(INDEX(_ENGINE_Initiatives!$AB$5:$AB$76,MATCH($A171,_ENGINE_Initiatives!$BW$5:$BW$76,0))&lt;=2,6,IF(INDEX(_ENGINE_Initiatives!$AB$5:$AB$76,MATCH($A171,_ENGINE_Initiatives!$BW$5:$BW$76,0))=3,10,IF(INDEX(_ENGINE_Initiatives!$AB$5:$AB$76,MATCH($A171,_ENGINE_Initiatives!$BW$5:$BW$76,0))=4,16,24)))*7)),1,""),"")</f>
        <v/>
      </c>
      <c r="E171" s="32" t="str">
        <f ca="1">IFERROR(IF(AND(E$162&gt;=IF(INDEX(_ENGINE_Initiatives!$BX$5:$BX$76,MATCH($A171,_ENGINE_Initiatives!$BW$5:$BW$76,0))="0-90 days",'Company Profile'!$B$6,IF(INDEX(_ENGINE_Initiatives!$BX$5:$BX$76,MATCH($A171,_ENGINE_Initiatives!$BW$5:$BW$76,0))="3-6 months",EDATE('Company Profile'!$B$6,3),IF(INDEX(_ENGINE_Initiatives!$BX$5:$BX$76,MATCH($A171,_ENGINE_Initiatives!$BW$5:$BW$76,0))="6-12 months",EDATE('Company Profile'!$B$6,6),EDATE('Company Profile'!$B$6,12)))),E$162&lt;=IF(INDEX(_ENGINE_Initiatives!$BX$5:$BX$76,MATCH($A171,_ENGINE_Initiatives!$BW$5:$BW$76,0))="0-90 days",'Company Profile'!$B$6,IF(INDEX(_ENGINE_Initiatives!$BX$5:$BX$76,MATCH($A171,_ENGINE_Initiatives!$BW$5:$BW$76,0))="3-6 months",EDATE('Company Profile'!$B$6,3),IF(INDEX(_ENGINE_Initiatives!$BX$5:$BX$76,MATCH($A171,_ENGINE_Initiatives!$BW$5:$BW$76,0))="6-12 months",EDATE('Company Profile'!$B$6,6),EDATE('Company Profile'!$B$6,12))))+(IF(INDEX(_ENGINE_Initiatives!$AB$5:$AB$76,MATCH($A171,_ENGINE_Initiatives!$BW$5:$BW$76,0))&lt;=2,6,IF(INDEX(_ENGINE_Initiatives!$AB$5:$AB$76,MATCH($A171,_ENGINE_Initiatives!$BW$5:$BW$76,0))=3,10,IF(INDEX(_ENGINE_Initiatives!$AB$5:$AB$76,MATCH($A171,_ENGINE_Initiatives!$BW$5:$BW$76,0))=4,16,24)))*7)),1,""),"")</f>
        <v/>
      </c>
      <c r="F171" s="32" t="str">
        <f ca="1">IFERROR(IF(AND(F$162&gt;=IF(INDEX(_ENGINE_Initiatives!$BX$5:$BX$76,MATCH($A171,_ENGINE_Initiatives!$BW$5:$BW$76,0))="0-90 days",'Company Profile'!$B$6,IF(INDEX(_ENGINE_Initiatives!$BX$5:$BX$76,MATCH($A171,_ENGINE_Initiatives!$BW$5:$BW$76,0))="3-6 months",EDATE('Company Profile'!$B$6,3),IF(INDEX(_ENGINE_Initiatives!$BX$5:$BX$76,MATCH($A171,_ENGINE_Initiatives!$BW$5:$BW$76,0))="6-12 months",EDATE('Company Profile'!$B$6,6),EDATE('Company Profile'!$B$6,12)))),F$162&lt;=IF(INDEX(_ENGINE_Initiatives!$BX$5:$BX$76,MATCH($A171,_ENGINE_Initiatives!$BW$5:$BW$76,0))="0-90 days",'Company Profile'!$B$6,IF(INDEX(_ENGINE_Initiatives!$BX$5:$BX$76,MATCH($A171,_ENGINE_Initiatives!$BW$5:$BW$76,0))="3-6 months",EDATE('Company Profile'!$B$6,3),IF(INDEX(_ENGINE_Initiatives!$BX$5:$BX$76,MATCH($A171,_ENGINE_Initiatives!$BW$5:$BW$76,0))="6-12 months",EDATE('Company Profile'!$B$6,6),EDATE('Company Profile'!$B$6,12))))+(IF(INDEX(_ENGINE_Initiatives!$AB$5:$AB$76,MATCH($A171,_ENGINE_Initiatives!$BW$5:$BW$76,0))&lt;=2,6,IF(INDEX(_ENGINE_Initiatives!$AB$5:$AB$76,MATCH($A171,_ENGINE_Initiatives!$BW$5:$BW$76,0))=3,10,IF(INDEX(_ENGINE_Initiatives!$AB$5:$AB$76,MATCH($A171,_ENGINE_Initiatives!$BW$5:$BW$76,0))=4,16,24)))*7)),1,""),"")</f>
        <v/>
      </c>
      <c r="G171" s="32" t="str">
        <f ca="1">IFERROR(IF(AND(G$162&gt;=IF(INDEX(_ENGINE_Initiatives!$BX$5:$BX$76,MATCH($A171,_ENGINE_Initiatives!$BW$5:$BW$76,0))="0-90 days",'Company Profile'!$B$6,IF(INDEX(_ENGINE_Initiatives!$BX$5:$BX$76,MATCH($A171,_ENGINE_Initiatives!$BW$5:$BW$76,0))="3-6 months",EDATE('Company Profile'!$B$6,3),IF(INDEX(_ENGINE_Initiatives!$BX$5:$BX$76,MATCH($A171,_ENGINE_Initiatives!$BW$5:$BW$76,0))="6-12 months",EDATE('Company Profile'!$B$6,6),EDATE('Company Profile'!$B$6,12)))),G$162&lt;=IF(INDEX(_ENGINE_Initiatives!$BX$5:$BX$76,MATCH($A171,_ENGINE_Initiatives!$BW$5:$BW$76,0))="0-90 days",'Company Profile'!$B$6,IF(INDEX(_ENGINE_Initiatives!$BX$5:$BX$76,MATCH($A171,_ENGINE_Initiatives!$BW$5:$BW$76,0))="3-6 months",EDATE('Company Profile'!$B$6,3),IF(INDEX(_ENGINE_Initiatives!$BX$5:$BX$76,MATCH($A171,_ENGINE_Initiatives!$BW$5:$BW$76,0))="6-12 months",EDATE('Company Profile'!$B$6,6),EDATE('Company Profile'!$B$6,12))))+(IF(INDEX(_ENGINE_Initiatives!$AB$5:$AB$76,MATCH($A171,_ENGINE_Initiatives!$BW$5:$BW$76,0))&lt;=2,6,IF(INDEX(_ENGINE_Initiatives!$AB$5:$AB$76,MATCH($A171,_ENGINE_Initiatives!$BW$5:$BW$76,0))=3,10,IF(INDEX(_ENGINE_Initiatives!$AB$5:$AB$76,MATCH($A171,_ENGINE_Initiatives!$BW$5:$BW$76,0))=4,16,24)))*7)),1,""),"")</f>
        <v/>
      </c>
      <c r="H171" s="32" t="str">
        <f ca="1">IFERROR(IF(AND(H$162&gt;=IF(INDEX(_ENGINE_Initiatives!$BX$5:$BX$76,MATCH($A171,_ENGINE_Initiatives!$BW$5:$BW$76,0))="0-90 days",'Company Profile'!$B$6,IF(INDEX(_ENGINE_Initiatives!$BX$5:$BX$76,MATCH($A171,_ENGINE_Initiatives!$BW$5:$BW$76,0))="3-6 months",EDATE('Company Profile'!$B$6,3),IF(INDEX(_ENGINE_Initiatives!$BX$5:$BX$76,MATCH($A171,_ENGINE_Initiatives!$BW$5:$BW$76,0))="6-12 months",EDATE('Company Profile'!$B$6,6),EDATE('Company Profile'!$B$6,12)))),H$162&lt;=IF(INDEX(_ENGINE_Initiatives!$BX$5:$BX$76,MATCH($A171,_ENGINE_Initiatives!$BW$5:$BW$76,0))="0-90 days",'Company Profile'!$B$6,IF(INDEX(_ENGINE_Initiatives!$BX$5:$BX$76,MATCH($A171,_ENGINE_Initiatives!$BW$5:$BW$76,0))="3-6 months",EDATE('Company Profile'!$B$6,3),IF(INDEX(_ENGINE_Initiatives!$BX$5:$BX$76,MATCH($A171,_ENGINE_Initiatives!$BW$5:$BW$76,0))="6-12 months",EDATE('Company Profile'!$B$6,6),EDATE('Company Profile'!$B$6,12))))+(IF(INDEX(_ENGINE_Initiatives!$AB$5:$AB$76,MATCH($A171,_ENGINE_Initiatives!$BW$5:$BW$76,0))&lt;=2,6,IF(INDEX(_ENGINE_Initiatives!$AB$5:$AB$76,MATCH($A171,_ENGINE_Initiatives!$BW$5:$BW$76,0))=3,10,IF(INDEX(_ENGINE_Initiatives!$AB$5:$AB$76,MATCH($A171,_ENGINE_Initiatives!$BW$5:$BW$76,0))=4,16,24)))*7)),1,""),"")</f>
        <v/>
      </c>
      <c r="I171" s="32" t="str">
        <f ca="1">IFERROR(IF(AND(I$162&gt;=IF(INDEX(_ENGINE_Initiatives!$BX$5:$BX$76,MATCH($A171,_ENGINE_Initiatives!$BW$5:$BW$76,0))="0-90 days",'Company Profile'!$B$6,IF(INDEX(_ENGINE_Initiatives!$BX$5:$BX$76,MATCH($A171,_ENGINE_Initiatives!$BW$5:$BW$76,0))="3-6 months",EDATE('Company Profile'!$B$6,3),IF(INDEX(_ENGINE_Initiatives!$BX$5:$BX$76,MATCH($A171,_ENGINE_Initiatives!$BW$5:$BW$76,0))="6-12 months",EDATE('Company Profile'!$B$6,6),EDATE('Company Profile'!$B$6,12)))),I$162&lt;=IF(INDEX(_ENGINE_Initiatives!$BX$5:$BX$76,MATCH($A171,_ENGINE_Initiatives!$BW$5:$BW$76,0))="0-90 days",'Company Profile'!$B$6,IF(INDEX(_ENGINE_Initiatives!$BX$5:$BX$76,MATCH($A171,_ENGINE_Initiatives!$BW$5:$BW$76,0))="3-6 months",EDATE('Company Profile'!$B$6,3),IF(INDEX(_ENGINE_Initiatives!$BX$5:$BX$76,MATCH($A171,_ENGINE_Initiatives!$BW$5:$BW$76,0))="6-12 months",EDATE('Company Profile'!$B$6,6),EDATE('Company Profile'!$B$6,12))))+(IF(INDEX(_ENGINE_Initiatives!$AB$5:$AB$76,MATCH($A171,_ENGINE_Initiatives!$BW$5:$BW$76,0))&lt;=2,6,IF(INDEX(_ENGINE_Initiatives!$AB$5:$AB$76,MATCH($A171,_ENGINE_Initiatives!$BW$5:$BW$76,0))=3,10,IF(INDEX(_ENGINE_Initiatives!$AB$5:$AB$76,MATCH($A171,_ENGINE_Initiatives!$BW$5:$BW$76,0))=4,16,24)))*7)),1,""),"")</f>
        <v/>
      </c>
      <c r="J171" s="32" t="str">
        <f ca="1">IFERROR(IF(AND(J$162&gt;=IF(INDEX(_ENGINE_Initiatives!$BX$5:$BX$76,MATCH($A171,_ENGINE_Initiatives!$BW$5:$BW$76,0))="0-90 days",'Company Profile'!$B$6,IF(INDEX(_ENGINE_Initiatives!$BX$5:$BX$76,MATCH($A171,_ENGINE_Initiatives!$BW$5:$BW$76,0))="3-6 months",EDATE('Company Profile'!$B$6,3),IF(INDEX(_ENGINE_Initiatives!$BX$5:$BX$76,MATCH($A171,_ENGINE_Initiatives!$BW$5:$BW$76,0))="6-12 months",EDATE('Company Profile'!$B$6,6),EDATE('Company Profile'!$B$6,12)))),J$162&lt;=IF(INDEX(_ENGINE_Initiatives!$BX$5:$BX$76,MATCH($A171,_ENGINE_Initiatives!$BW$5:$BW$76,0))="0-90 days",'Company Profile'!$B$6,IF(INDEX(_ENGINE_Initiatives!$BX$5:$BX$76,MATCH($A171,_ENGINE_Initiatives!$BW$5:$BW$76,0))="3-6 months",EDATE('Company Profile'!$B$6,3),IF(INDEX(_ENGINE_Initiatives!$BX$5:$BX$76,MATCH($A171,_ENGINE_Initiatives!$BW$5:$BW$76,0))="6-12 months",EDATE('Company Profile'!$B$6,6),EDATE('Company Profile'!$B$6,12))))+(IF(INDEX(_ENGINE_Initiatives!$AB$5:$AB$76,MATCH($A171,_ENGINE_Initiatives!$BW$5:$BW$76,0))&lt;=2,6,IF(INDEX(_ENGINE_Initiatives!$AB$5:$AB$76,MATCH($A171,_ENGINE_Initiatives!$BW$5:$BW$76,0))=3,10,IF(INDEX(_ENGINE_Initiatives!$AB$5:$AB$76,MATCH($A171,_ENGINE_Initiatives!$BW$5:$BW$76,0))=4,16,24)))*7)),1,""),"")</f>
        <v/>
      </c>
      <c r="K171" s="32" t="str">
        <f ca="1">IFERROR(IF(AND(K$162&gt;=IF(INDEX(_ENGINE_Initiatives!$BX$5:$BX$76,MATCH($A171,_ENGINE_Initiatives!$BW$5:$BW$76,0))="0-90 days",'Company Profile'!$B$6,IF(INDEX(_ENGINE_Initiatives!$BX$5:$BX$76,MATCH($A171,_ENGINE_Initiatives!$BW$5:$BW$76,0))="3-6 months",EDATE('Company Profile'!$B$6,3),IF(INDEX(_ENGINE_Initiatives!$BX$5:$BX$76,MATCH($A171,_ENGINE_Initiatives!$BW$5:$BW$76,0))="6-12 months",EDATE('Company Profile'!$B$6,6),EDATE('Company Profile'!$B$6,12)))),K$162&lt;=IF(INDEX(_ENGINE_Initiatives!$BX$5:$BX$76,MATCH($A171,_ENGINE_Initiatives!$BW$5:$BW$76,0))="0-90 days",'Company Profile'!$B$6,IF(INDEX(_ENGINE_Initiatives!$BX$5:$BX$76,MATCH($A171,_ENGINE_Initiatives!$BW$5:$BW$76,0))="3-6 months",EDATE('Company Profile'!$B$6,3),IF(INDEX(_ENGINE_Initiatives!$BX$5:$BX$76,MATCH($A171,_ENGINE_Initiatives!$BW$5:$BW$76,0))="6-12 months",EDATE('Company Profile'!$B$6,6),EDATE('Company Profile'!$B$6,12))))+(IF(INDEX(_ENGINE_Initiatives!$AB$5:$AB$76,MATCH($A171,_ENGINE_Initiatives!$BW$5:$BW$76,0))&lt;=2,6,IF(INDEX(_ENGINE_Initiatives!$AB$5:$AB$76,MATCH($A171,_ENGINE_Initiatives!$BW$5:$BW$76,0))=3,10,IF(INDEX(_ENGINE_Initiatives!$AB$5:$AB$76,MATCH($A171,_ENGINE_Initiatives!$BW$5:$BW$76,0))=4,16,24)))*7)),1,""),"")</f>
        <v/>
      </c>
      <c r="L171" s="32" t="str">
        <f ca="1">IFERROR(IF(AND(L$162&gt;=IF(INDEX(_ENGINE_Initiatives!$BX$5:$BX$76,MATCH($A171,_ENGINE_Initiatives!$BW$5:$BW$76,0))="0-90 days",'Company Profile'!$B$6,IF(INDEX(_ENGINE_Initiatives!$BX$5:$BX$76,MATCH($A171,_ENGINE_Initiatives!$BW$5:$BW$76,0))="3-6 months",EDATE('Company Profile'!$B$6,3),IF(INDEX(_ENGINE_Initiatives!$BX$5:$BX$76,MATCH($A171,_ENGINE_Initiatives!$BW$5:$BW$76,0))="6-12 months",EDATE('Company Profile'!$B$6,6),EDATE('Company Profile'!$B$6,12)))),L$162&lt;=IF(INDEX(_ENGINE_Initiatives!$BX$5:$BX$76,MATCH($A171,_ENGINE_Initiatives!$BW$5:$BW$76,0))="0-90 days",'Company Profile'!$B$6,IF(INDEX(_ENGINE_Initiatives!$BX$5:$BX$76,MATCH($A171,_ENGINE_Initiatives!$BW$5:$BW$76,0))="3-6 months",EDATE('Company Profile'!$B$6,3),IF(INDEX(_ENGINE_Initiatives!$BX$5:$BX$76,MATCH($A171,_ENGINE_Initiatives!$BW$5:$BW$76,0))="6-12 months",EDATE('Company Profile'!$B$6,6),EDATE('Company Profile'!$B$6,12))))+(IF(INDEX(_ENGINE_Initiatives!$AB$5:$AB$76,MATCH($A171,_ENGINE_Initiatives!$BW$5:$BW$76,0))&lt;=2,6,IF(INDEX(_ENGINE_Initiatives!$AB$5:$AB$76,MATCH($A171,_ENGINE_Initiatives!$BW$5:$BW$76,0))=3,10,IF(INDEX(_ENGINE_Initiatives!$AB$5:$AB$76,MATCH($A171,_ENGINE_Initiatives!$BW$5:$BW$76,0))=4,16,24)))*7)),1,""),"")</f>
        <v/>
      </c>
      <c r="M171" s="32" t="str">
        <f ca="1">IFERROR(IF(AND(M$162&gt;=IF(INDEX(_ENGINE_Initiatives!$BX$5:$BX$76,MATCH($A171,_ENGINE_Initiatives!$BW$5:$BW$76,0))="0-90 days",'Company Profile'!$B$6,IF(INDEX(_ENGINE_Initiatives!$BX$5:$BX$76,MATCH($A171,_ENGINE_Initiatives!$BW$5:$BW$76,0))="3-6 months",EDATE('Company Profile'!$B$6,3),IF(INDEX(_ENGINE_Initiatives!$BX$5:$BX$76,MATCH($A171,_ENGINE_Initiatives!$BW$5:$BW$76,0))="6-12 months",EDATE('Company Profile'!$B$6,6),EDATE('Company Profile'!$B$6,12)))),M$162&lt;=IF(INDEX(_ENGINE_Initiatives!$BX$5:$BX$76,MATCH($A171,_ENGINE_Initiatives!$BW$5:$BW$76,0))="0-90 days",'Company Profile'!$B$6,IF(INDEX(_ENGINE_Initiatives!$BX$5:$BX$76,MATCH($A171,_ENGINE_Initiatives!$BW$5:$BW$76,0))="3-6 months",EDATE('Company Profile'!$B$6,3),IF(INDEX(_ENGINE_Initiatives!$BX$5:$BX$76,MATCH($A171,_ENGINE_Initiatives!$BW$5:$BW$76,0))="6-12 months",EDATE('Company Profile'!$B$6,6),EDATE('Company Profile'!$B$6,12))))+(IF(INDEX(_ENGINE_Initiatives!$AB$5:$AB$76,MATCH($A171,_ENGINE_Initiatives!$BW$5:$BW$76,0))&lt;=2,6,IF(INDEX(_ENGINE_Initiatives!$AB$5:$AB$76,MATCH($A171,_ENGINE_Initiatives!$BW$5:$BW$76,0))=3,10,IF(INDEX(_ENGINE_Initiatives!$AB$5:$AB$76,MATCH($A171,_ENGINE_Initiatives!$BW$5:$BW$76,0))=4,16,24)))*7)),1,""),"")</f>
        <v/>
      </c>
      <c r="N171" s="32" t="str">
        <f ca="1">IFERROR(IF(AND(N$162&gt;=IF(INDEX(_ENGINE_Initiatives!$BX$5:$BX$76,MATCH($A171,_ENGINE_Initiatives!$BW$5:$BW$76,0))="0-90 days",'Company Profile'!$B$6,IF(INDEX(_ENGINE_Initiatives!$BX$5:$BX$76,MATCH($A171,_ENGINE_Initiatives!$BW$5:$BW$76,0))="3-6 months",EDATE('Company Profile'!$B$6,3),IF(INDEX(_ENGINE_Initiatives!$BX$5:$BX$76,MATCH($A171,_ENGINE_Initiatives!$BW$5:$BW$76,0))="6-12 months",EDATE('Company Profile'!$B$6,6),EDATE('Company Profile'!$B$6,12)))),N$162&lt;=IF(INDEX(_ENGINE_Initiatives!$BX$5:$BX$76,MATCH($A171,_ENGINE_Initiatives!$BW$5:$BW$76,0))="0-90 days",'Company Profile'!$B$6,IF(INDEX(_ENGINE_Initiatives!$BX$5:$BX$76,MATCH($A171,_ENGINE_Initiatives!$BW$5:$BW$76,0))="3-6 months",EDATE('Company Profile'!$B$6,3),IF(INDEX(_ENGINE_Initiatives!$BX$5:$BX$76,MATCH($A171,_ENGINE_Initiatives!$BW$5:$BW$76,0))="6-12 months",EDATE('Company Profile'!$B$6,6),EDATE('Company Profile'!$B$6,12))))+(IF(INDEX(_ENGINE_Initiatives!$AB$5:$AB$76,MATCH($A171,_ENGINE_Initiatives!$BW$5:$BW$76,0))&lt;=2,6,IF(INDEX(_ENGINE_Initiatives!$AB$5:$AB$76,MATCH($A171,_ENGINE_Initiatives!$BW$5:$BW$76,0))=3,10,IF(INDEX(_ENGINE_Initiatives!$AB$5:$AB$76,MATCH($A171,_ENGINE_Initiatives!$BW$5:$BW$76,0))=4,16,24)))*7)),1,""),"")</f>
        <v/>
      </c>
      <c r="O171" s="32" t="str">
        <f ca="1">IFERROR(IF(AND(O$162&gt;=IF(INDEX(_ENGINE_Initiatives!$BX$5:$BX$76,MATCH($A171,_ENGINE_Initiatives!$BW$5:$BW$76,0))="0-90 days",'Company Profile'!$B$6,IF(INDEX(_ENGINE_Initiatives!$BX$5:$BX$76,MATCH($A171,_ENGINE_Initiatives!$BW$5:$BW$76,0))="3-6 months",EDATE('Company Profile'!$B$6,3),IF(INDEX(_ENGINE_Initiatives!$BX$5:$BX$76,MATCH($A171,_ENGINE_Initiatives!$BW$5:$BW$76,0))="6-12 months",EDATE('Company Profile'!$B$6,6),EDATE('Company Profile'!$B$6,12)))),O$162&lt;=IF(INDEX(_ENGINE_Initiatives!$BX$5:$BX$76,MATCH($A171,_ENGINE_Initiatives!$BW$5:$BW$76,0))="0-90 days",'Company Profile'!$B$6,IF(INDEX(_ENGINE_Initiatives!$BX$5:$BX$76,MATCH($A171,_ENGINE_Initiatives!$BW$5:$BW$76,0))="3-6 months",EDATE('Company Profile'!$B$6,3),IF(INDEX(_ENGINE_Initiatives!$BX$5:$BX$76,MATCH($A171,_ENGINE_Initiatives!$BW$5:$BW$76,0))="6-12 months",EDATE('Company Profile'!$B$6,6),EDATE('Company Profile'!$B$6,12))))+(IF(INDEX(_ENGINE_Initiatives!$AB$5:$AB$76,MATCH($A171,_ENGINE_Initiatives!$BW$5:$BW$76,0))&lt;=2,6,IF(INDEX(_ENGINE_Initiatives!$AB$5:$AB$76,MATCH($A171,_ENGINE_Initiatives!$BW$5:$BW$76,0))=3,10,IF(INDEX(_ENGINE_Initiatives!$AB$5:$AB$76,MATCH($A171,_ENGINE_Initiatives!$BW$5:$BW$76,0))=4,16,24)))*7)),1,""),"")</f>
        <v/>
      </c>
      <c r="P171" s="32" t="str">
        <f ca="1">IFERROR(IF(AND(P$162&gt;=IF(INDEX(_ENGINE_Initiatives!$BX$5:$BX$76,MATCH($A171,_ENGINE_Initiatives!$BW$5:$BW$76,0))="0-90 days",'Company Profile'!$B$6,IF(INDEX(_ENGINE_Initiatives!$BX$5:$BX$76,MATCH($A171,_ENGINE_Initiatives!$BW$5:$BW$76,0))="3-6 months",EDATE('Company Profile'!$B$6,3),IF(INDEX(_ENGINE_Initiatives!$BX$5:$BX$76,MATCH($A171,_ENGINE_Initiatives!$BW$5:$BW$76,0))="6-12 months",EDATE('Company Profile'!$B$6,6),EDATE('Company Profile'!$B$6,12)))),P$162&lt;=IF(INDEX(_ENGINE_Initiatives!$BX$5:$BX$76,MATCH($A171,_ENGINE_Initiatives!$BW$5:$BW$76,0))="0-90 days",'Company Profile'!$B$6,IF(INDEX(_ENGINE_Initiatives!$BX$5:$BX$76,MATCH($A171,_ENGINE_Initiatives!$BW$5:$BW$76,0))="3-6 months",EDATE('Company Profile'!$B$6,3),IF(INDEX(_ENGINE_Initiatives!$BX$5:$BX$76,MATCH($A171,_ENGINE_Initiatives!$BW$5:$BW$76,0))="6-12 months",EDATE('Company Profile'!$B$6,6),EDATE('Company Profile'!$B$6,12))))+(IF(INDEX(_ENGINE_Initiatives!$AB$5:$AB$76,MATCH($A171,_ENGINE_Initiatives!$BW$5:$BW$76,0))&lt;=2,6,IF(INDEX(_ENGINE_Initiatives!$AB$5:$AB$76,MATCH($A171,_ENGINE_Initiatives!$BW$5:$BW$76,0))=3,10,IF(INDEX(_ENGINE_Initiatives!$AB$5:$AB$76,MATCH($A171,_ENGINE_Initiatives!$BW$5:$BW$76,0))=4,16,24)))*7)),1,""),"")</f>
        <v/>
      </c>
      <c r="Q171" s="32" t="str">
        <f ca="1">IFERROR(IF(AND(Q$162&gt;=IF(INDEX(_ENGINE_Initiatives!$BX$5:$BX$76,MATCH($A171,_ENGINE_Initiatives!$BW$5:$BW$76,0))="0-90 days",'Company Profile'!$B$6,IF(INDEX(_ENGINE_Initiatives!$BX$5:$BX$76,MATCH($A171,_ENGINE_Initiatives!$BW$5:$BW$76,0))="3-6 months",EDATE('Company Profile'!$B$6,3),IF(INDEX(_ENGINE_Initiatives!$BX$5:$BX$76,MATCH($A171,_ENGINE_Initiatives!$BW$5:$BW$76,0))="6-12 months",EDATE('Company Profile'!$B$6,6),EDATE('Company Profile'!$B$6,12)))),Q$162&lt;=IF(INDEX(_ENGINE_Initiatives!$BX$5:$BX$76,MATCH($A171,_ENGINE_Initiatives!$BW$5:$BW$76,0))="0-90 days",'Company Profile'!$B$6,IF(INDEX(_ENGINE_Initiatives!$BX$5:$BX$76,MATCH($A171,_ENGINE_Initiatives!$BW$5:$BW$76,0))="3-6 months",EDATE('Company Profile'!$B$6,3),IF(INDEX(_ENGINE_Initiatives!$BX$5:$BX$76,MATCH($A171,_ENGINE_Initiatives!$BW$5:$BW$76,0))="6-12 months",EDATE('Company Profile'!$B$6,6),EDATE('Company Profile'!$B$6,12))))+(IF(INDEX(_ENGINE_Initiatives!$AB$5:$AB$76,MATCH($A171,_ENGINE_Initiatives!$BW$5:$BW$76,0))&lt;=2,6,IF(INDEX(_ENGINE_Initiatives!$AB$5:$AB$76,MATCH($A171,_ENGINE_Initiatives!$BW$5:$BW$76,0))=3,10,IF(INDEX(_ENGINE_Initiatives!$AB$5:$AB$76,MATCH($A171,_ENGINE_Initiatives!$BW$5:$BW$76,0))=4,16,24)))*7)),1,""),"")</f>
        <v/>
      </c>
      <c r="R171" s="32" t="str">
        <f ca="1">IFERROR(IF(AND(R$162&gt;=IF(INDEX(_ENGINE_Initiatives!$BX$5:$BX$76,MATCH($A171,_ENGINE_Initiatives!$BW$5:$BW$76,0))="0-90 days",'Company Profile'!$B$6,IF(INDEX(_ENGINE_Initiatives!$BX$5:$BX$76,MATCH($A171,_ENGINE_Initiatives!$BW$5:$BW$76,0))="3-6 months",EDATE('Company Profile'!$B$6,3),IF(INDEX(_ENGINE_Initiatives!$BX$5:$BX$76,MATCH($A171,_ENGINE_Initiatives!$BW$5:$BW$76,0))="6-12 months",EDATE('Company Profile'!$B$6,6),EDATE('Company Profile'!$B$6,12)))),R$162&lt;=IF(INDEX(_ENGINE_Initiatives!$BX$5:$BX$76,MATCH($A171,_ENGINE_Initiatives!$BW$5:$BW$76,0))="0-90 days",'Company Profile'!$B$6,IF(INDEX(_ENGINE_Initiatives!$BX$5:$BX$76,MATCH($A171,_ENGINE_Initiatives!$BW$5:$BW$76,0))="3-6 months",EDATE('Company Profile'!$B$6,3),IF(INDEX(_ENGINE_Initiatives!$BX$5:$BX$76,MATCH($A171,_ENGINE_Initiatives!$BW$5:$BW$76,0))="6-12 months",EDATE('Company Profile'!$B$6,6),EDATE('Company Profile'!$B$6,12))))+(IF(INDEX(_ENGINE_Initiatives!$AB$5:$AB$76,MATCH($A171,_ENGINE_Initiatives!$BW$5:$BW$76,0))&lt;=2,6,IF(INDEX(_ENGINE_Initiatives!$AB$5:$AB$76,MATCH($A171,_ENGINE_Initiatives!$BW$5:$BW$76,0))=3,10,IF(INDEX(_ENGINE_Initiatives!$AB$5:$AB$76,MATCH($A171,_ENGINE_Initiatives!$BW$5:$BW$76,0))=4,16,24)))*7)),1,""),"")</f>
        <v/>
      </c>
      <c r="S171" s="32" t="str">
        <f ca="1">IFERROR(IF(AND(S$162&gt;=IF(INDEX(_ENGINE_Initiatives!$BX$5:$BX$76,MATCH($A171,_ENGINE_Initiatives!$BW$5:$BW$76,0))="0-90 days",'Company Profile'!$B$6,IF(INDEX(_ENGINE_Initiatives!$BX$5:$BX$76,MATCH($A171,_ENGINE_Initiatives!$BW$5:$BW$76,0))="3-6 months",EDATE('Company Profile'!$B$6,3),IF(INDEX(_ENGINE_Initiatives!$BX$5:$BX$76,MATCH($A171,_ENGINE_Initiatives!$BW$5:$BW$76,0))="6-12 months",EDATE('Company Profile'!$B$6,6),EDATE('Company Profile'!$B$6,12)))),S$162&lt;=IF(INDEX(_ENGINE_Initiatives!$BX$5:$BX$76,MATCH($A171,_ENGINE_Initiatives!$BW$5:$BW$76,0))="0-90 days",'Company Profile'!$B$6,IF(INDEX(_ENGINE_Initiatives!$BX$5:$BX$76,MATCH($A171,_ENGINE_Initiatives!$BW$5:$BW$76,0))="3-6 months",EDATE('Company Profile'!$B$6,3),IF(INDEX(_ENGINE_Initiatives!$BX$5:$BX$76,MATCH($A171,_ENGINE_Initiatives!$BW$5:$BW$76,0))="6-12 months",EDATE('Company Profile'!$B$6,6),EDATE('Company Profile'!$B$6,12))))+(IF(INDEX(_ENGINE_Initiatives!$AB$5:$AB$76,MATCH($A171,_ENGINE_Initiatives!$BW$5:$BW$76,0))&lt;=2,6,IF(INDEX(_ENGINE_Initiatives!$AB$5:$AB$76,MATCH($A171,_ENGINE_Initiatives!$BW$5:$BW$76,0))=3,10,IF(INDEX(_ENGINE_Initiatives!$AB$5:$AB$76,MATCH($A171,_ENGINE_Initiatives!$BW$5:$BW$76,0))=4,16,24)))*7)),1,""),"")</f>
        <v/>
      </c>
      <c r="T171" s="32" t="str">
        <f ca="1">IFERROR(IF(AND(T$162&gt;=IF(INDEX(_ENGINE_Initiatives!$BX$5:$BX$76,MATCH($A171,_ENGINE_Initiatives!$BW$5:$BW$76,0))="0-90 days",'Company Profile'!$B$6,IF(INDEX(_ENGINE_Initiatives!$BX$5:$BX$76,MATCH($A171,_ENGINE_Initiatives!$BW$5:$BW$76,0))="3-6 months",EDATE('Company Profile'!$B$6,3),IF(INDEX(_ENGINE_Initiatives!$BX$5:$BX$76,MATCH($A171,_ENGINE_Initiatives!$BW$5:$BW$76,0))="6-12 months",EDATE('Company Profile'!$B$6,6),EDATE('Company Profile'!$B$6,12)))),T$162&lt;=IF(INDEX(_ENGINE_Initiatives!$BX$5:$BX$76,MATCH($A171,_ENGINE_Initiatives!$BW$5:$BW$76,0))="0-90 days",'Company Profile'!$B$6,IF(INDEX(_ENGINE_Initiatives!$BX$5:$BX$76,MATCH($A171,_ENGINE_Initiatives!$BW$5:$BW$76,0))="3-6 months",EDATE('Company Profile'!$B$6,3),IF(INDEX(_ENGINE_Initiatives!$BX$5:$BX$76,MATCH($A171,_ENGINE_Initiatives!$BW$5:$BW$76,0))="6-12 months",EDATE('Company Profile'!$B$6,6),EDATE('Company Profile'!$B$6,12))))+(IF(INDEX(_ENGINE_Initiatives!$AB$5:$AB$76,MATCH($A171,_ENGINE_Initiatives!$BW$5:$BW$76,0))&lt;=2,6,IF(INDEX(_ENGINE_Initiatives!$AB$5:$AB$76,MATCH($A171,_ENGINE_Initiatives!$BW$5:$BW$76,0))=3,10,IF(INDEX(_ENGINE_Initiatives!$AB$5:$AB$76,MATCH($A171,_ENGINE_Initiatives!$BW$5:$BW$76,0))=4,16,24)))*7)),1,""),"")</f>
        <v/>
      </c>
      <c r="U171" s="18"/>
      <c r="V171" s="18"/>
    </row>
    <row r="172" spans="1:22" ht="15" customHeight="1">
      <c r="A172" s="28" t="s">
        <v>3695</v>
      </c>
      <c r="B172" s="28" t="str">
        <f>IFERROR(INDEX(_ENGINE_Initiatives!$F$5:$F$76,MATCH($A172,_ENGINE_Initiatives!$BW$5:$BW$76,0)),"")</f>
        <v/>
      </c>
      <c r="C172" s="32" t="str">
        <f ca="1">IFERROR(IF(AND(C$162&gt;=IF(INDEX(_ENGINE_Initiatives!$BX$5:$BX$76,MATCH($A172,_ENGINE_Initiatives!$BW$5:$BW$76,0))="0-90 days",'Company Profile'!$B$6,IF(INDEX(_ENGINE_Initiatives!$BX$5:$BX$76,MATCH($A172,_ENGINE_Initiatives!$BW$5:$BW$76,0))="3-6 months",EDATE('Company Profile'!$B$6,3),IF(INDEX(_ENGINE_Initiatives!$BX$5:$BX$76,MATCH($A172,_ENGINE_Initiatives!$BW$5:$BW$76,0))="6-12 months",EDATE('Company Profile'!$B$6,6),EDATE('Company Profile'!$B$6,12)))),C$162&lt;=IF(INDEX(_ENGINE_Initiatives!$BX$5:$BX$76,MATCH($A172,_ENGINE_Initiatives!$BW$5:$BW$76,0))="0-90 days",'Company Profile'!$B$6,IF(INDEX(_ENGINE_Initiatives!$BX$5:$BX$76,MATCH($A172,_ENGINE_Initiatives!$BW$5:$BW$76,0))="3-6 months",EDATE('Company Profile'!$B$6,3),IF(INDEX(_ENGINE_Initiatives!$BX$5:$BX$76,MATCH($A172,_ENGINE_Initiatives!$BW$5:$BW$76,0))="6-12 months",EDATE('Company Profile'!$B$6,6),EDATE('Company Profile'!$B$6,12))))+(IF(INDEX(_ENGINE_Initiatives!$AB$5:$AB$76,MATCH($A172,_ENGINE_Initiatives!$BW$5:$BW$76,0))&lt;=2,6,IF(INDEX(_ENGINE_Initiatives!$AB$5:$AB$76,MATCH($A172,_ENGINE_Initiatives!$BW$5:$BW$76,0))=3,10,IF(INDEX(_ENGINE_Initiatives!$AB$5:$AB$76,MATCH($A172,_ENGINE_Initiatives!$BW$5:$BW$76,0))=4,16,24)))*7)),1,""),"")</f>
        <v/>
      </c>
      <c r="D172" s="32" t="str">
        <f ca="1">IFERROR(IF(AND(D$162&gt;=IF(INDEX(_ENGINE_Initiatives!$BX$5:$BX$76,MATCH($A172,_ENGINE_Initiatives!$BW$5:$BW$76,0))="0-90 days",'Company Profile'!$B$6,IF(INDEX(_ENGINE_Initiatives!$BX$5:$BX$76,MATCH($A172,_ENGINE_Initiatives!$BW$5:$BW$76,0))="3-6 months",EDATE('Company Profile'!$B$6,3),IF(INDEX(_ENGINE_Initiatives!$BX$5:$BX$76,MATCH($A172,_ENGINE_Initiatives!$BW$5:$BW$76,0))="6-12 months",EDATE('Company Profile'!$B$6,6),EDATE('Company Profile'!$B$6,12)))),D$162&lt;=IF(INDEX(_ENGINE_Initiatives!$BX$5:$BX$76,MATCH($A172,_ENGINE_Initiatives!$BW$5:$BW$76,0))="0-90 days",'Company Profile'!$B$6,IF(INDEX(_ENGINE_Initiatives!$BX$5:$BX$76,MATCH($A172,_ENGINE_Initiatives!$BW$5:$BW$76,0))="3-6 months",EDATE('Company Profile'!$B$6,3),IF(INDEX(_ENGINE_Initiatives!$BX$5:$BX$76,MATCH($A172,_ENGINE_Initiatives!$BW$5:$BW$76,0))="6-12 months",EDATE('Company Profile'!$B$6,6),EDATE('Company Profile'!$B$6,12))))+(IF(INDEX(_ENGINE_Initiatives!$AB$5:$AB$76,MATCH($A172,_ENGINE_Initiatives!$BW$5:$BW$76,0))&lt;=2,6,IF(INDEX(_ENGINE_Initiatives!$AB$5:$AB$76,MATCH($A172,_ENGINE_Initiatives!$BW$5:$BW$76,0))=3,10,IF(INDEX(_ENGINE_Initiatives!$AB$5:$AB$76,MATCH($A172,_ENGINE_Initiatives!$BW$5:$BW$76,0))=4,16,24)))*7)),1,""),"")</f>
        <v/>
      </c>
      <c r="E172" s="32" t="str">
        <f ca="1">IFERROR(IF(AND(E$162&gt;=IF(INDEX(_ENGINE_Initiatives!$BX$5:$BX$76,MATCH($A172,_ENGINE_Initiatives!$BW$5:$BW$76,0))="0-90 days",'Company Profile'!$B$6,IF(INDEX(_ENGINE_Initiatives!$BX$5:$BX$76,MATCH($A172,_ENGINE_Initiatives!$BW$5:$BW$76,0))="3-6 months",EDATE('Company Profile'!$B$6,3),IF(INDEX(_ENGINE_Initiatives!$BX$5:$BX$76,MATCH($A172,_ENGINE_Initiatives!$BW$5:$BW$76,0))="6-12 months",EDATE('Company Profile'!$B$6,6),EDATE('Company Profile'!$B$6,12)))),E$162&lt;=IF(INDEX(_ENGINE_Initiatives!$BX$5:$BX$76,MATCH($A172,_ENGINE_Initiatives!$BW$5:$BW$76,0))="0-90 days",'Company Profile'!$B$6,IF(INDEX(_ENGINE_Initiatives!$BX$5:$BX$76,MATCH($A172,_ENGINE_Initiatives!$BW$5:$BW$76,0))="3-6 months",EDATE('Company Profile'!$B$6,3),IF(INDEX(_ENGINE_Initiatives!$BX$5:$BX$76,MATCH($A172,_ENGINE_Initiatives!$BW$5:$BW$76,0))="6-12 months",EDATE('Company Profile'!$B$6,6),EDATE('Company Profile'!$B$6,12))))+(IF(INDEX(_ENGINE_Initiatives!$AB$5:$AB$76,MATCH($A172,_ENGINE_Initiatives!$BW$5:$BW$76,0))&lt;=2,6,IF(INDEX(_ENGINE_Initiatives!$AB$5:$AB$76,MATCH($A172,_ENGINE_Initiatives!$BW$5:$BW$76,0))=3,10,IF(INDEX(_ENGINE_Initiatives!$AB$5:$AB$76,MATCH($A172,_ENGINE_Initiatives!$BW$5:$BW$76,0))=4,16,24)))*7)),1,""),"")</f>
        <v/>
      </c>
      <c r="F172" s="32" t="str">
        <f ca="1">IFERROR(IF(AND(F$162&gt;=IF(INDEX(_ENGINE_Initiatives!$BX$5:$BX$76,MATCH($A172,_ENGINE_Initiatives!$BW$5:$BW$76,0))="0-90 days",'Company Profile'!$B$6,IF(INDEX(_ENGINE_Initiatives!$BX$5:$BX$76,MATCH($A172,_ENGINE_Initiatives!$BW$5:$BW$76,0))="3-6 months",EDATE('Company Profile'!$B$6,3),IF(INDEX(_ENGINE_Initiatives!$BX$5:$BX$76,MATCH($A172,_ENGINE_Initiatives!$BW$5:$BW$76,0))="6-12 months",EDATE('Company Profile'!$B$6,6),EDATE('Company Profile'!$B$6,12)))),F$162&lt;=IF(INDEX(_ENGINE_Initiatives!$BX$5:$BX$76,MATCH($A172,_ENGINE_Initiatives!$BW$5:$BW$76,0))="0-90 days",'Company Profile'!$B$6,IF(INDEX(_ENGINE_Initiatives!$BX$5:$BX$76,MATCH($A172,_ENGINE_Initiatives!$BW$5:$BW$76,0))="3-6 months",EDATE('Company Profile'!$B$6,3),IF(INDEX(_ENGINE_Initiatives!$BX$5:$BX$76,MATCH($A172,_ENGINE_Initiatives!$BW$5:$BW$76,0))="6-12 months",EDATE('Company Profile'!$B$6,6),EDATE('Company Profile'!$B$6,12))))+(IF(INDEX(_ENGINE_Initiatives!$AB$5:$AB$76,MATCH($A172,_ENGINE_Initiatives!$BW$5:$BW$76,0))&lt;=2,6,IF(INDEX(_ENGINE_Initiatives!$AB$5:$AB$76,MATCH($A172,_ENGINE_Initiatives!$BW$5:$BW$76,0))=3,10,IF(INDEX(_ENGINE_Initiatives!$AB$5:$AB$76,MATCH($A172,_ENGINE_Initiatives!$BW$5:$BW$76,0))=4,16,24)))*7)),1,""),"")</f>
        <v/>
      </c>
      <c r="G172" s="32" t="str">
        <f ca="1">IFERROR(IF(AND(G$162&gt;=IF(INDEX(_ENGINE_Initiatives!$BX$5:$BX$76,MATCH($A172,_ENGINE_Initiatives!$BW$5:$BW$76,0))="0-90 days",'Company Profile'!$B$6,IF(INDEX(_ENGINE_Initiatives!$BX$5:$BX$76,MATCH($A172,_ENGINE_Initiatives!$BW$5:$BW$76,0))="3-6 months",EDATE('Company Profile'!$B$6,3),IF(INDEX(_ENGINE_Initiatives!$BX$5:$BX$76,MATCH($A172,_ENGINE_Initiatives!$BW$5:$BW$76,0))="6-12 months",EDATE('Company Profile'!$B$6,6),EDATE('Company Profile'!$B$6,12)))),G$162&lt;=IF(INDEX(_ENGINE_Initiatives!$BX$5:$BX$76,MATCH($A172,_ENGINE_Initiatives!$BW$5:$BW$76,0))="0-90 days",'Company Profile'!$B$6,IF(INDEX(_ENGINE_Initiatives!$BX$5:$BX$76,MATCH($A172,_ENGINE_Initiatives!$BW$5:$BW$76,0))="3-6 months",EDATE('Company Profile'!$B$6,3),IF(INDEX(_ENGINE_Initiatives!$BX$5:$BX$76,MATCH($A172,_ENGINE_Initiatives!$BW$5:$BW$76,0))="6-12 months",EDATE('Company Profile'!$B$6,6),EDATE('Company Profile'!$B$6,12))))+(IF(INDEX(_ENGINE_Initiatives!$AB$5:$AB$76,MATCH($A172,_ENGINE_Initiatives!$BW$5:$BW$76,0))&lt;=2,6,IF(INDEX(_ENGINE_Initiatives!$AB$5:$AB$76,MATCH($A172,_ENGINE_Initiatives!$BW$5:$BW$76,0))=3,10,IF(INDEX(_ENGINE_Initiatives!$AB$5:$AB$76,MATCH($A172,_ENGINE_Initiatives!$BW$5:$BW$76,0))=4,16,24)))*7)),1,""),"")</f>
        <v/>
      </c>
      <c r="H172" s="32" t="str">
        <f ca="1">IFERROR(IF(AND(H$162&gt;=IF(INDEX(_ENGINE_Initiatives!$BX$5:$BX$76,MATCH($A172,_ENGINE_Initiatives!$BW$5:$BW$76,0))="0-90 days",'Company Profile'!$B$6,IF(INDEX(_ENGINE_Initiatives!$BX$5:$BX$76,MATCH($A172,_ENGINE_Initiatives!$BW$5:$BW$76,0))="3-6 months",EDATE('Company Profile'!$B$6,3),IF(INDEX(_ENGINE_Initiatives!$BX$5:$BX$76,MATCH($A172,_ENGINE_Initiatives!$BW$5:$BW$76,0))="6-12 months",EDATE('Company Profile'!$B$6,6),EDATE('Company Profile'!$B$6,12)))),H$162&lt;=IF(INDEX(_ENGINE_Initiatives!$BX$5:$BX$76,MATCH($A172,_ENGINE_Initiatives!$BW$5:$BW$76,0))="0-90 days",'Company Profile'!$B$6,IF(INDEX(_ENGINE_Initiatives!$BX$5:$BX$76,MATCH($A172,_ENGINE_Initiatives!$BW$5:$BW$76,0))="3-6 months",EDATE('Company Profile'!$B$6,3),IF(INDEX(_ENGINE_Initiatives!$BX$5:$BX$76,MATCH($A172,_ENGINE_Initiatives!$BW$5:$BW$76,0))="6-12 months",EDATE('Company Profile'!$B$6,6),EDATE('Company Profile'!$B$6,12))))+(IF(INDEX(_ENGINE_Initiatives!$AB$5:$AB$76,MATCH($A172,_ENGINE_Initiatives!$BW$5:$BW$76,0))&lt;=2,6,IF(INDEX(_ENGINE_Initiatives!$AB$5:$AB$76,MATCH($A172,_ENGINE_Initiatives!$BW$5:$BW$76,0))=3,10,IF(INDEX(_ENGINE_Initiatives!$AB$5:$AB$76,MATCH($A172,_ENGINE_Initiatives!$BW$5:$BW$76,0))=4,16,24)))*7)),1,""),"")</f>
        <v/>
      </c>
      <c r="I172" s="32" t="str">
        <f ca="1">IFERROR(IF(AND(I$162&gt;=IF(INDEX(_ENGINE_Initiatives!$BX$5:$BX$76,MATCH($A172,_ENGINE_Initiatives!$BW$5:$BW$76,0))="0-90 days",'Company Profile'!$B$6,IF(INDEX(_ENGINE_Initiatives!$BX$5:$BX$76,MATCH($A172,_ENGINE_Initiatives!$BW$5:$BW$76,0))="3-6 months",EDATE('Company Profile'!$B$6,3),IF(INDEX(_ENGINE_Initiatives!$BX$5:$BX$76,MATCH($A172,_ENGINE_Initiatives!$BW$5:$BW$76,0))="6-12 months",EDATE('Company Profile'!$B$6,6),EDATE('Company Profile'!$B$6,12)))),I$162&lt;=IF(INDEX(_ENGINE_Initiatives!$BX$5:$BX$76,MATCH($A172,_ENGINE_Initiatives!$BW$5:$BW$76,0))="0-90 days",'Company Profile'!$B$6,IF(INDEX(_ENGINE_Initiatives!$BX$5:$BX$76,MATCH($A172,_ENGINE_Initiatives!$BW$5:$BW$76,0))="3-6 months",EDATE('Company Profile'!$B$6,3),IF(INDEX(_ENGINE_Initiatives!$BX$5:$BX$76,MATCH($A172,_ENGINE_Initiatives!$BW$5:$BW$76,0))="6-12 months",EDATE('Company Profile'!$B$6,6),EDATE('Company Profile'!$B$6,12))))+(IF(INDEX(_ENGINE_Initiatives!$AB$5:$AB$76,MATCH($A172,_ENGINE_Initiatives!$BW$5:$BW$76,0))&lt;=2,6,IF(INDEX(_ENGINE_Initiatives!$AB$5:$AB$76,MATCH($A172,_ENGINE_Initiatives!$BW$5:$BW$76,0))=3,10,IF(INDEX(_ENGINE_Initiatives!$AB$5:$AB$76,MATCH($A172,_ENGINE_Initiatives!$BW$5:$BW$76,0))=4,16,24)))*7)),1,""),"")</f>
        <v/>
      </c>
      <c r="J172" s="32" t="str">
        <f ca="1">IFERROR(IF(AND(J$162&gt;=IF(INDEX(_ENGINE_Initiatives!$BX$5:$BX$76,MATCH($A172,_ENGINE_Initiatives!$BW$5:$BW$76,0))="0-90 days",'Company Profile'!$B$6,IF(INDEX(_ENGINE_Initiatives!$BX$5:$BX$76,MATCH($A172,_ENGINE_Initiatives!$BW$5:$BW$76,0))="3-6 months",EDATE('Company Profile'!$B$6,3),IF(INDEX(_ENGINE_Initiatives!$BX$5:$BX$76,MATCH($A172,_ENGINE_Initiatives!$BW$5:$BW$76,0))="6-12 months",EDATE('Company Profile'!$B$6,6),EDATE('Company Profile'!$B$6,12)))),J$162&lt;=IF(INDEX(_ENGINE_Initiatives!$BX$5:$BX$76,MATCH($A172,_ENGINE_Initiatives!$BW$5:$BW$76,0))="0-90 days",'Company Profile'!$B$6,IF(INDEX(_ENGINE_Initiatives!$BX$5:$BX$76,MATCH($A172,_ENGINE_Initiatives!$BW$5:$BW$76,0))="3-6 months",EDATE('Company Profile'!$B$6,3),IF(INDEX(_ENGINE_Initiatives!$BX$5:$BX$76,MATCH($A172,_ENGINE_Initiatives!$BW$5:$BW$76,0))="6-12 months",EDATE('Company Profile'!$B$6,6),EDATE('Company Profile'!$B$6,12))))+(IF(INDEX(_ENGINE_Initiatives!$AB$5:$AB$76,MATCH($A172,_ENGINE_Initiatives!$BW$5:$BW$76,0))&lt;=2,6,IF(INDEX(_ENGINE_Initiatives!$AB$5:$AB$76,MATCH($A172,_ENGINE_Initiatives!$BW$5:$BW$76,0))=3,10,IF(INDEX(_ENGINE_Initiatives!$AB$5:$AB$76,MATCH($A172,_ENGINE_Initiatives!$BW$5:$BW$76,0))=4,16,24)))*7)),1,""),"")</f>
        <v/>
      </c>
      <c r="K172" s="32" t="str">
        <f ca="1">IFERROR(IF(AND(K$162&gt;=IF(INDEX(_ENGINE_Initiatives!$BX$5:$BX$76,MATCH($A172,_ENGINE_Initiatives!$BW$5:$BW$76,0))="0-90 days",'Company Profile'!$B$6,IF(INDEX(_ENGINE_Initiatives!$BX$5:$BX$76,MATCH($A172,_ENGINE_Initiatives!$BW$5:$BW$76,0))="3-6 months",EDATE('Company Profile'!$B$6,3),IF(INDEX(_ENGINE_Initiatives!$BX$5:$BX$76,MATCH($A172,_ENGINE_Initiatives!$BW$5:$BW$76,0))="6-12 months",EDATE('Company Profile'!$B$6,6),EDATE('Company Profile'!$B$6,12)))),K$162&lt;=IF(INDEX(_ENGINE_Initiatives!$BX$5:$BX$76,MATCH($A172,_ENGINE_Initiatives!$BW$5:$BW$76,0))="0-90 days",'Company Profile'!$B$6,IF(INDEX(_ENGINE_Initiatives!$BX$5:$BX$76,MATCH($A172,_ENGINE_Initiatives!$BW$5:$BW$76,0))="3-6 months",EDATE('Company Profile'!$B$6,3),IF(INDEX(_ENGINE_Initiatives!$BX$5:$BX$76,MATCH($A172,_ENGINE_Initiatives!$BW$5:$BW$76,0))="6-12 months",EDATE('Company Profile'!$B$6,6),EDATE('Company Profile'!$B$6,12))))+(IF(INDEX(_ENGINE_Initiatives!$AB$5:$AB$76,MATCH($A172,_ENGINE_Initiatives!$BW$5:$BW$76,0))&lt;=2,6,IF(INDEX(_ENGINE_Initiatives!$AB$5:$AB$76,MATCH($A172,_ENGINE_Initiatives!$BW$5:$BW$76,0))=3,10,IF(INDEX(_ENGINE_Initiatives!$AB$5:$AB$76,MATCH($A172,_ENGINE_Initiatives!$BW$5:$BW$76,0))=4,16,24)))*7)),1,""),"")</f>
        <v/>
      </c>
      <c r="L172" s="32" t="str">
        <f ca="1">IFERROR(IF(AND(L$162&gt;=IF(INDEX(_ENGINE_Initiatives!$BX$5:$BX$76,MATCH($A172,_ENGINE_Initiatives!$BW$5:$BW$76,0))="0-90 days",'Company Profile'!$B$6,IF(INDEX(_ENGINE_Initiatives!$BX$5:$BX$76,MATCH($A172,_ENGINE_Initiatives!$BW$5:$BW$76,0))="3-6 months",EDATE('Company Profile'!$B$6,3),IF(INDEX(_ENGINE_Initiatives!$BX$5:$BX$76,MATCH($A172,_ENGINE_Initiatives!$BW$5:$BW$76,0))="6-12 months",EDATE('Company Profile'!$B$6,6),EDATE('Company Profile'!$B$6,12)))),L$162&lt;=IF(INDEX(_ENGINE_Initiatives!$BX$5:$BX$76,MATCH($A172,_ENGINE_Initiatives!$BW$5:$BW$76,0))="0-90 days",'Company Profile'!$B$6,IF(INDEX(_ENGINE_Initiatives!$BX$5:$BX$76,MATCH($A172,_ENGINE_Initiatives!$BW$5:$BW$76,0))="3-6 months",EDATE('Company Profile'!$B$6,3),IF(INDEX(_ENGINE_Initiatives!$BX$5:$BX$76,MATCH($A172,_ENGINE_Initiatives!$BW$5:$BW$76,0))="6-12 months",EDATE('Company Profile'!$B$6,6),EDATE('Company Profile'!$B$6,12))))+(IF(INDEX(_ENGINE_Initiatives!$AB$5:$AB$76,MATCH($A172,_ENGINE_Initiatives!$BW$5:$BW$76,0))&lt;=2,6,IF(INDEX(_ENGINE_Initiatives!$AB$5:$AB$76,MATCH($A172,_ENGINE_Initiatives!$BW$5:$BW$76,0))=3,10,IF(INDEX(_ENGINE_Initiatives!$AB$5:$AB$76,MATCH($A172,_ENGINE_Initiatives!$BW$5:$BW$76,0))=4,16,24)))*7)),1,""),"")</f>
        <v/>
      </c>
      <c r="M172" s="32" t="str">
        <f ca="1">IFERROR(IF(AND(M$162&gt;=IF(INDEX(_ENGINE_Initiatives!$BX$5:$BX$76,MATCH($A172,_ENGINE_Initiatives!$BW$5:$BW$76,0))="0-90 days",'Company Profile'!$B$6,IF(INDEX(_ENGINE_Initiatives!$BX$5:$BX$76,MATCH($A172,_ENGINE_Initiatives!$BW$5:$BW$76,0))="3-6 months",EDATE('Company Profile'!$B$6,3),IF(INDEX(_ENGINE_Initiatives!$BX$5:$BX$76,MATCH($A172,_ENGINE_Initiatives!$BW$5:$BW$76,0))="6-12 months",EDATE('Company Profile'!$B$6,6),EDATE('Company Profile'!$B$6,12)))),M$162&lt;=IF(INDEX(_ENGINE_Initiatives!$BX$5:$BX$76,MATCH($A172,_ENGINE_Initiatives!$BW$5:$BW$76,0))="0-90 days",'Company Profile'!$B$6,IF(INDEX(_ENGINE_Initiatives!$BX$5:$BX$76,MATCH($A172,_ENGINE_Initiatives!$BW$5:$BW$76,0))="3-6 months",EDATE('Company Profile'!$B$6,3),IF(INDEX(_ENGINE_Initiatives!$BX$5:$BX$76,MATCH($A172,_ENGINE_Initiatives!$BW$5:$BW$76,0))="6-12 months",EDATE('Company Profile'!$B$6,6),EDATE('Company Profile'!$B$6,12))))+(IF(INDEX(_ENGINE_Initiatives!$AB$5:$AB$76,MATCH($A172,_ENGINE_Initiatives!$BW$5:$BW$76,0))&lt;=2,6,IF(INDEX(_ENGINE_Initiatives!$AB$5:$AB$76,MATCH($A172,_ENGINE_Initiatives!$BW$5:$BW$76,0))=3,10,IF(INDEX(_ENGINE_Initiatives!$AB$5:$AB$76,MATCH($A172,_ENGINE_Initiatives!$BW$5:$BW$76,0))=4,16,24)))*7)),1,""),"")</f>
        <v/>
      </c>
      <c r="N172" s="32" t="str">
        <f ca="1">IFERROR(IF(AND(N$162&gt;=IF(INDEX(_ENGINE_Initiatives!$BX$5:$BX$76,MATCH($A172,_ENGINE_Initiatives!$BW$5:$BW$76,0))="0-90 days",'Company Profile'!$B$6,IF(INDEX(_ENGINE_Initiatives!$BX$5:$BX$76,MATCH($A172,_ENGINE_Initiatives!$BW$5:$BW$76,0))="3-6 months",EDATE('Company Profile'!$B$6,3),IF(INDEX(_ENGINE_Initiatives!$BX$5:$BX$76,MATCH($A172,_ENGINE_Initiatives!$BW$5:$BW$76,0))="6-12 months",EDATE('Company Profile'!$B$6,6),EDATE('Company Profile'!$B$6,12)))),N$162&lt;=IF(INDEX(_ENGINE_Initiatives!$BX$5:$BX$76,MATCH($A172,_ENGINE_Initiatives!$BW$5:$BW$76,0))="0-90 days",'Company Profile'!$B$6,IF(INDEX(_ENGINE_Initiatives!$BX$5:$BX$76,MATCH($A172,_ENGINE_Initiatives!$BW$5:$BW$76,0))="3-6 months",EDATE('Company Profile'!$B$6,3),IF(INDEX(_ENGINE_Initiatives!$BX$5:$BX$76,MATCH($A172,_ENGINE_Initiatives!$BW$5:$BW$76,0))="6-12 months",EDATE('Company Profile'!$B$6,6),EDATE('Company Profile'!$B$6,12))))+(IF(INDEX(_ENGINE_Initiatives!$AB$5:$AB$76,MATCH($A172,_ENGINE_Initiatives!$BW$5:$BW$76,0))&lt;=2,6,IF(INDEX(_ENGINE_Initiatives!$AB$5:$AB$76,MATCH($A172,_ENGINE_Initiatives!$BW$5:$BW$76,0))=3,10,IF(INDEX(_ENGINE_Initiatives!$AB$5:$AB$76,MATCH($A172,_ENGINE_Initiatives!$BW$5:$BW$76,0))=4,16,24)))*7)),1,""),"")</f>
        <v/>
      </c>
      <c r="O172" s="32" t="str">
        <f ca="1">IFERROR(IF(AND(O$162&gt;=IF(INDEX(_ENGINE_Initiatives!$BX$5:$BX$76,MATCH($A172,_ENGINE_Initiatives!$BW$5:$BW$76,0))="0-90 days",'Company Profile'!$B$6,IF(INDEX(_ENGINE_Initiatives!$BX$5:$BX$76,MATCH($A172,_ENGINE_Initiatives!$BW$5:$BW$76,0))="3-6 months",EDATE('Company Profile'!$B$6,3),IF(INDEX(_ENGINE_Initiatives!$BX$5:$BX$76,MATCH($A172,_ENGINE_Initiatives!$BW$5:$BW$76,0))="6-12 months",EDATE('Company Profile'!$B$6,6),EDATE('Company Profile'!$B$6,12)))),O$162&lt;=IF(INDEX(_ENGINE_Initiatives!$BX$5:$BX$76,MATCH($A172,_ENGINE_Initiatives!$BW$5:$BW$76,0))="0-90 days",'Company Profile'!$B$6,IF(INDEX(_ENGINE_Initiatives!$BX$5:$BX$76,MATCH($A172,_ENGINE_Initiatives!$BW$5:$BW$76,0))="3-6 months",EDATE('Company Profile'!$B$6,3),IF(INDEX(_ENGINE_Initiatives!$BX$5:$BX$76,MATCH($A172,_ENGINE_Initiatives!$BW$5:$BW$76,0))="6-12 months",EDATE('Company Profile'!$B$6,6),EDATE('Company Profile'!$B$6,12))))+(IF(INDEX(_ENGINE_Initiatives!$AB$5:$AB$76,MATCH($A172,_ENGINE_Initiatives!$BW$5:$BW$76,0))&lt;=2,6,IF(INDEX(_ENGINE_Initiatives!$AB$5:$AB$76,MATCH($A172,_ENGINE_Initiatives!$BW$5:$BW$76,0))=3,10,IF(INDEX(_ENGINE_Initiatives!$AB$5:$AB$76,MATCH($A172,_ENGINE_Initiatives!$BW$5:$BW$76,0))=4,16,24)))*7)),1,""),"")</f>
        <v/>
      </c>
      <c r="P172" s="32" t="str">
        <f ca="1">IFERROR(IF(AND(P$162&gt;=IF(INDEX(_ENGINE_Initiatives!$BX$5:$BX$76,MATCH($A172,_ENGINE_Initiatives!$BW$5:$BW$76,0))="0-90 days",'Company Profile'!$B$6,IF(INDEX(_ENGINE_Initiatives!$BX$5:$BX$76,MATCH($A172,_ENGINE_Initiatives!$BW$5:$BW$76,0))="3-6 months",EDATE('Company Profile'!$B$6,3),IF(INDEX(_ENGINE_Initiatives!$BX$5:$BX$76,MATCH($A172,_ENGINE_Initiatives!$BW$5:$BW$76,0))="6-12 months",EDATE('Company Profile'!$B$6,6),EDATE('Company Profile'!$B$6,12)))),P$162&lt;=IF(INDEX(_ENGINE_Initiatives!$BX$5:$BX$76,MATCH($A172,_ENGINE_Initiatives!$BW$5:$BW$76,0))="0-90 days",'Company Profile'!$B$6,IF(INDEX(_ENGINE_Initiatives!$BX$5:$BX$76,MATCH($A172,_ENGINE_Initiatives!$BW$5:$BW$76,0))="3-6 months",EDATE('Company Profile'!$B$6,3),IF(INDEX(_ENGINE_Initiatives!$BX$5:$BX$76,MATCH($A172,_ENGINE_Initiatives!$BW$5:$BW$76,0))="6-12 months",EDATE('Company Profile'!$B$6,6),EDATE('Company Profile'!$B$6,12))))+(IF(INDEX(_ENGINE_Initiatives!$AB$5:$AB$76,MATCH($A172,_ENGINE_Initiatives!$BW$5:$BW$76,0))&lt;=2,6,IF(INDEX(_ENGINE_Initiatives!$AB$5:$AB$76,MATCH($A172,_ENGINE_Initiatives!$BW$5:$BW$76,0))=3,10,IF(INDEX(_ENGINE_Initiatives!$AB$5:$AB$76,MATCH($A172,_ENGINE_Initiatives!$BW$5:$BW$76,0))=4,16,24)))*7)),1,""),"")</f>
        <v/>
      </c>
      <c r="Q172" s="32" t="str">
        <f ca="1">IFERROR(IF(AND(Q$162&gt;=IF(INDEX(_ENGINE_Initiatives!$BX$5:$BX$76,MATCH($A172,_ENGINE_Initiatives!$BW$5:$BW$76,0))="0-90 days",'Company Profile'!$B$6,IF(INDEX(_ENGINE_Initiatives!$BX$5:$BX$76,MATCH($A172,_ENGINE_Initiatives!$BW$5:$BW$76,0))="3-6 months",EDATE('Company Profile'!$B$6,3),IF(INDEX(_ENGINE_Initiatives!$BX$5:$BX$76,MATCH($A172,_ENGINE_Initiatives!$BW$5:$BW$76,0))="6-12 months",EDATE('Company Profile'!$B$6,6),EDATE('Company Profile'!$B$6,12)))),Q$162&lt;=IF(INDEX(_ENGINE_Initiatives!$BX$5:$BX$76,MATCH($A172,_ENGINE_Initiatives!$BW$5:$BW$76,0))="0-90 days",'Company Profile'!$B$6,IF(INDEX(_ENGINE_Initiatives!$BX$5:$BX$76,MATCH($A172,_ENGINE_Initiatives!$BW$5:$BW$76,0))="3-6 months",EDATE('Company Profile'!$B$6,3),IF(INDEX(_ENGINE_Initiatives!$BX$5:$BX$76,MATCH($A172,_ENGINE_Initiatives!$BW$5:$BW$76,0))="6-12 months",EDATE('Company Profile'!$B$6,6),EDATE('Company Profile'!$B$6,12))))+(IF(INDEX(_ENGINE_Initiatives!$AB$5:$AB$76,MATCH($A172,_ENGINE_Initiatives!$BW$5:$BW$76,0))&lt;=2,6,IF(INDEX(_ENGINE_Initiatives!$AB$5:$AB$76,MATCH($A172,_ENGINE_Initiatives!$BW$5:$BW$76,0))=3,10,IF(INDEX(_ENGINE_Initiatives!$AB$5:$AB$76,MATCH($A172,_ENGINE_Initiatives!$BW$5:$BW$76,0))=4,16,24)))*7)),1,""),"")</f>
        <v/>
      </c>
      <c r="R172" s="32" t="str">
        <f ca="1">IFERROR(IF(AND(R$162&gt;=IF(INDEX(_ENGINE_Initiatives!$BX$5:$BX$76,MATCH($A172,_ENGINE_Initiatives!$BW$5:$BW$76,0))="0-90 days",'Company Profile'!$B$6,IF(INDEX(_ENGINE_Initiatives!$BX$5:$BX$76,MATCH($A172,_ENGINE_Initiatives!$BW$5:$BW$76,0))="3-6 months",EDATE('Company Profile'!$B$6,3),IF(INDEX(_ENGINE_Initiatives!$BX$5:$BX$76,MATCH($A172,_ENGINE_Initiatives!$BW$5:$BW$76,0))="6-12 months",EDATE('Company Profile'!$B$6,6),EDATE('Company Profile'!$B$6,12)))),R$162&lt;=IF(INDEX(_ENGINE_Initiatives!$BX$5:$BX$76,MATCH($A172,_ENGINE_Initiatives!$BW$5:$BW$76,0))="0-90 days",'Company Profile'!$B$6,IF(INDEX(_ENGINE_Initiatives!$BX$5:$BX$76,MATCH($A172,_ENGINE_Initiatives!$BW$5:$BW$76,0))="3-6 months",EDATE('Company Profile'!$B$6,3),IF(INDEX(_ENGINE_Initiatives!$BX$5:$BX$76,MATCH($A172,_ENGINE_Initiatives!$BW$5:$BW$76,0))="6-12 months",EDATE('Company Profile'!$B$6,6),EDATE('Company Profile'!$B$6,12))))+(IF(INDEX(_ENGINE_Initiatives!$AB$5:$AB$76,MATCH($A172,_ENGINE_Initiatives!$BW$5:$BW$76,0))&lt;=2,6,IF(INDEX(_ENGINE_Initiatives!$AB$5:$AB$76,MATCH($A172,_ENGINE_Initiatives!$BW$5:$BW$76,0))=3,10,IF(INDEX(_ENGINE_Initiatives!$AB$5:$AB$76,MATCH($A172,_ENGINE_Initiatives!$BW$5:$BW$76,0))=4,16,24)))*7)),1,""),"")</f>
        <v/>
      </c>
      <c r="S172" s="32" t="str">
        <f ca="1">IFERROR(IF(AND(S$162&gt;=IF(INDEX(_ENGINE_Initiatives!$BX$5:$BX$76,MATCH($A172,_ENGINE_Initiatives!$BW$5:$BW$76,0))="0-90 days",'Company Profile'!$B$6,IF(INDEX(_ENGINE_Initiatives!$BX$5:$BX$76,MATCH($A172,_ENGINE_Initiatives!$BW$5:$BW$76,0))="3-6 months",EDATE('Company Profile'!$B$6,3),IF(INDEX(_ENGINE_Initiatives!$BX$5:$BX$76,MATCH($A172,_ENGINE_Initiatives!$BW$5:$BW$76,0))="6-12 months",EDATE('Company Profile'!$B$6,6),EDATE('Company Profile'!$B$6,12)))),S$162&lt;=IF(INDEX(_ENGINE_Initiatives!$BX$5:$BX$76,MATCH($A172,_ENGINE_Initiatives!$BW$5:$BW$76,0))="0-90 days",'Company Profile'!$B$6,IF(INDEX(_ENGINE_Initiatives!$BX$5:$BX$76,MATCH($A172,_ENGINE_Initiatives!$BW$5:$BW$76,0))="3-6 months",EDATE('Company Profile'!$B$6,3),IF(INDEX(_ENGINE_Initiatives!$BX$5:$BX$76,MATCH($A172,_ENGINE_Initiatives!$BW$5:$BW$76,0))="6-12 months",EDATE('Company Profile'!$B$6,6),EDATE('Company Profile'!$B$6,12))))+(IF(INDEX(_ENGINE_Initiatives!$AB$5:$AB$76,MATCH($A172,_ENGINE_Initiatives!$BW$5:$BW$76,0))&lt;=2,6,IF(INDEX(_ENGINE_Initiatives!$AB$5:$AB$76,MATCH($A172,_ENGINE_Initiatives!$BW$5:$BW$76,0))=3,10,IF(INDEX(_ENGINE_Initiatives!$AB$5:$AB$76,MATCH($A172,_ENGINE_Initiatives!$BW$5:$BW$76,0))=4,16,24)))*7)),1,""),"")</f>
        <v/>
      </c>
      <c r="T172" s="32" t="str">
        <f ca="1">IFERROR(IF(AND(T$162&gt;=IF(INDEX(_ENGINE_Initiatives!$BX$5:$BX$76,MATCH($A172,_ENGINE_Initiatives!$BW$5:$BW$76,0))="0-90 days",'Company Profile'!$B$6,IF(INDEX(_ENGINE_Initiatives!$BX$5:$BX$76,MATCH($A172,_ENGINE_Initiatives!$BW$5:$BW$76,0))="3-6 months",EDATE('Company Profile'!$B$6,3),IF(INDEX(_ENGINE_Initiatives!$BX$5:$BX$76,MATCH($A172,_ENGINE_Initiatives!$BW$5:$BW$76,0))="6-12 months",EDATE('Company Profile'!$B$6,6),EDATE('Company Profile'!$B$6,12)))),T$162&lt;=IF(INDEX(_ENGINE_Initiatives!$BX$5:$BX$76,MATCH($A172,_ENGINE_Initiatives!$BW$5:$BW$76,0))="0-90 days",'Company Profile'!$B$6,IF(INDEX(_ENGINE_Initiatives!$BX$5:$BX$76,MATCH($A172,_ENGINE_Initiatives!$BW$5:$BW$76,0))="3-6 months",EDATE('Company Profile'!$B$6,3),IF(INDEX(_ENGINE_Initiatives!$BX$5:$BX$76,MATCH($A172,_ENGINE_Initiatives!$BW$5:$BW$76,0))="6-12 months",EDATE('Company Profile'!$B$6,6),EDATE('Company Profile'!$B$6,12))))+(IF(INDEX(_ENGINE_Initiatives!$AB$5:$AB$76,MATCH($A172,_ENGINE_Initiatives!$BW$5:$BW$76,0))&lt;=2,6,IF(INDEX(_ENGINE_Initiatives!$AB$5:$AB$76,MATCH($A172,_ENGINE_Initiatives!$BW$5:$BW$76,0))=3,10,IF(INDEX(_ENGINE_Initiatives!$AB$5:$AB$76,MATCH($A172,_ENGINE_Initiatives!$BW$5:$BW$76,0))=4,16,24)))*7)),1,""),"")</f>
        <v/>
      </c>
      <c r="U172" s="18"/>
      <c r="V172" s="18"/>
    </row>
    <row r="173" spans="1:22" ht="15" customHeight="1">
      <c r="A173" s="28" t="s">
        <v>3696</v>
      </c>
      <c r="B173" s="28" t="str">
        <f>IFERROR(INDEX(_ENGINE_Initiatives!$F$5:$F$76,MATCH($A173,_ENGINE_Initiatives!$BW$5:$BW$76,0)),"")</f>
        <v/>
      </c>
      <c r="C173" s="32" t="str">
        <f ca="1">IFERROR(IF(AND(C$162&gt;=IF(INDEX(_ENGINE_Initiatives!$BX$5:$BX$76,MATCH($A173,_ENGINE_Initiatives!$BW$5:$BW$76,0))="0-90 days",'Company Profile'!$B$6,IF(INDEX(_ENGINE_Initiatives!$BX$5:$BX$76,MATCH($A173,_ENGINE_Initiatives!$BW$5:$BW$76,0))="3-6 months",EDATE('Company Profile'!$B$6,3),IF(INDEX(_ENGINE_Initiatives!$BX$5:$BX$76,MATCH($A173,_ENGINE_Initiatives!$BW$5:$BW$76,0))="6-12 months",EDATE('Company Profile'!$B$6,6),EDATE('Company Profile'!$B$6,12)))),C$162&lt;=IF(INDEX(_ENGINE_Initiatives!$BX$5:$BX$76,MATCH($A173,_ENGINE_Initiatives!$BW$5:$BW$76,0))="0-90 days",'Company Profile'!$B$6,IF(INDEX(_ENGINE_Initiatives!$BX$5:$BX$76,MATCH($A173,_ENGINE_Initiatives!$BW$5:$BW$76,0))="3-6 months",EDATE('Company Profile'!$B$6,3),IF(INDEX(_ENGINE_Initiatives!$BX$5:$BX$76,MATCH($A173,_ENGINE_Initiatives!$BW$5:$BW$76,0))="6-12 months",EDATE('Company Profile'!$B$6,6),EDATE('Company Profile'!$B$6,12))))+(IF(INDEX(_ENGINE_Initiatives!$AB$5:$AB$76,MATCH($A173,_ENGINE_Initiatives!$BW$5:$BW$76,0))&lt;=2,6,IF(INDEX(_ENGINE_Initiatives!$AB$5:$AB$76,MATCH($A173,_ENGINE_Initiatives!$BW$5:$BW$76,0))=3,10,IF(INDEX(_ENGINE_Initiatives!$AB$5:$AB$76,MATCH($A173,_ENGINE_Initiatives!$BW$5:$BW$76,0))=4,16,24)))*7)),1,""),"")</f>
        <v/>
      </c>
      <c r="D173" s="32" t="str">
        <f ca="1">IFERROR(IF(AND(D$162&gt;=IF(INDEX(_ENGINE_Initiatives!$BX$5:$BX$76,MATCH($A173,_ENGINE_Initiatives!$BW$5:$BW$76,0))="0-90 days",'Company Profile'!$B$6,IF(INDEX(_ENGINE_Initiatives!$BX$5:$BX$76,MATCH($A173,_ENGINE_Initiatives!$BW$5:$BW$76,0))="3-6 months",EDATE('Company Profile'!$B$6,3),IF(INDEX(_ENGINE_Initiatives!$BX$5:$BX$76,MATCH($A173,_ENGINE_Initiatives!$BW$5:$BW$76,0))="6-12 months",EDATE('Company Profile'!$B$6,6),EDATE('Company Profile'!$B$6,12)))),D$162&lt;=IF(INDEX(_ENGINE_Initiatives!$BX$5:$BX$76,MATCH($A173,_ENGINE_Initiatives!$BW$5:$BW$76,0))="0-90 days",'Company Profile'!$B$6,IF(INDEX(_ENGINE_Initiatives!$BX$5:$BX$76,MATCH($A173,_ENGINE_Initiatives!$BW$5:$BW$76,0))="3-6 months",EDATE('Company Profile'!$B$6,3),IF(INDEX(_ENGINE_Initiatives!$BX$5:$BX$76,MATCH($A173,_ENGINE_Initiatives!$BW$5:$BW$76,0))="6-12 months",EDATE('Company Profile'!$B$6,6),EDATE('Company Profile'!$B$6,12))))+(IF(INDEX(_ENGINE_Initiatives!$AB$5:$AB$76,MATCH($A173,_ENGINE_Initiatives!$BW$5:$BW$76,0))&lt;=2,6,IF(INDEX(_ENGINE_Initiatives!$AB$5:$AB$76,MATCH($A173,_ENGINE_Initiatives!$BW$5:$BW$76,0))=3,10,IF(INDEX(_ENGINE_Initiatives!$AB$5:$AB$76,MATCH($A173,_ENGINE_Initiatives!$BW$5:$BW$76,0))=4,16,24)))*7)),1,""),"")</f>
        <v/>
      </c>
      <c r="E173" s="32" t="str">
        <f ca="1">IFERROR(IF(AND(E$162&gt;=IF(INDEX(_ENGINE_Initiatives!$BX$5:$BX$76,MATCH($A173,_ENGINE_Initiatives!$BW$5:$BW$76,0))="0-90 days",'Company Profile'!$B$6,IF(INDEX(_ENGINE_Initiatives!$BX$5:$BX$76,MATCH($A173,_ENGINE_Initiatives!$BW$5:$BW$76,0))="3-6 months",EDATE('Company Profile'!$B$6,3),IF(INDEX(_ENGINE_Initiatives!$BX$5:$BX$76,MATCH($A173,_ENGINE_Initiatives!$BW$5:$BW$76,0))="6-12 months",EDATE('Company Profile'!$B$6,6),EDATE('Company Profile'!$B$6,12)))),E$162&lt;=IF(INDEX(_ENGINE_Initiatives!$BX$5:$BX$76,MATCH($A173,_ENGINE_Initiatives!$BW$5:$BW$76,0))="0-90 days",'Company Profile'!$B$6,IF(INDEX(_ENGINE_Initiatives!$BX$5:$BX$76,MATCH($A173,_ENGINE_Initiatives!$BW$5:$BW$76,0))="3-6 months",EDATE('Company Profile'!$B$6,3),IF(INDEX(_ENGINE_Initiatives!$BX$5:$BX$76,MATCH($A173,_ENGINE_Initiatives!$BW$5:$BW$76,0))="6-12 months",EDATE('Company Profile'!$B$6,6),EDATE('Company Profile'!$B$6,12))))+(IF(INDEX(_ENGINE_Initiatives!$AB$5:$AB$76,MATCH($A173,_ENGINE_Initiatives!$BW$5:$BW$76,0))&lt;=2,6,IF(INDEX(_ENGINE_Initiatives!$AB$5:$AB$76,MATCH($A173,_ENGINE_Initiatives!$BW$5:$BW$76,0))=3,10,IF(INDEX(_ENGINE_Initiatives!$AB$5:$AB$76,MATCH($A173,_ENGINE_Initiatives!$BW$5:$BW$76,0))=4,16,24)))*7)),1,""),"")</f>
        <v/>
      </c>
      <c r="F173" s="32" t="str">
        <f ca="1">IFERROR(IF(AND(F$162&gt;=IF(INDEX(_ENGINE_Initiatives!$BX$5:$BX$76,MATCH($A173,_ENGINE_Initiatives!$BW$5:$BW$76,0))="0-90 days",'Company Profile'!$B$6,IF(INDEX(_ENGINE_Initiatives!$BX$5:$BX$76,MATCH($A173,_ENGINE_Initiatives!$BW$5:$BW$76,0))="3-6 months",EDATE('Company Profile'!$B$6,3),IF(INDEX(_ENGINE_Initiatives!$BX$5:$BX$76,MATCH($A173,_ENGINE_Initiatives!$BW$5:$BW$76,0))="6-12 months",EDATE('Company Profile'!$B$6,6),EDATE('Company Profile'!$B$6,12)))),F$162&lt;=IF(INDEX(_ENGINE_Initiatives!$BX$5:$BX$76,MATCH($A173,_ENGINE_Initiatives!$BW$5:$BW$76,0))="0-90 days",'Company Profile'!$B$6,IF(INDEX(_ENGINE_Initiatives!$BX$5:$BX$76,MATCH($A173,_ENGINE_Initiatives!$BW$5:$BW$76,0))="3-6 months",EDATE('Company Profile'!$B$6,3),IF(INDEX(_ENGINE_Initiatives!$BX$5:$BX$76,MATCH($A173,_ENGINE_Initiatives!$BW$5:$BW$76,0))="6-12 months",EDATE('Company Profile'!$B$6,6),EDATE('Company Profile'!$B$6,12))))+(IF(INDEX(_ENGINE_Initiatives!$AB$5:$AB$76,MATCH($A173,_ENGINE_Initiatives!$BW$5:$BW$76,0))&lt;=2,6,IF(INDEX(_ENGINE_Initiatives!$AB$5:$AB$76,MATCH($A173,_ENGINE_Initiatives!$BW$5:$BW$76,0))=3,10,IF(INDEX(_ENGINE_Initiatives!$AB$5:$AB$76,MATCH($A173,_ENGINE_Initiatives!$BW$5:$BW$76,0))=4,16,24)))*7)),1,""),"")</f>
        <v/>
      </c>
      <c r="G173" s="32" t="str">
        <f ca="1">IFERROR(IF(AND(G$162&gt;=IF(INDEX(_ENGINE_Initiatives!$BX$5:$BX$76,MATCH($A173,_ENGINE_Initiatives!$BW$5:$BW$76,0))="0-90 days",'Company Profile'!$B$6,IF(INDEX(_ENGINE_Initiatives!$BX$5:$BX$76,MATCH($A173,_ENGINE_Initiatives!$BW$5:$BW$76,0))="3-6 months",EDATE('Company Profile'!$B$6,3),IF(INDEX(_ENGINE_Initiatives!$BX$5:$BX$76,MATCH($A173,_ENGINE_Initiatives!$BW$5:$BW$76,0))="6-12 months",EDATE('Company Profile'!$B$6,6),EDATE('Company Profile'!$B$6,12)))),G$162&lt;=IF(INDEX(_ENGINE_Initiatives!$BX$5:$BX$76,MATCH($A173,_ENGINE_Initiatives!$BW$5:$BW$76,0))="0-90 days",'Company Profile'!$B$6,IF(INDEX(_ENGINE_Initiatives!$BX$5:$BX$76,MATCH($A173,_ENGINE_Initiatives!$BW$5:$BW$76,0))="3-6 months",EDATE('Company Profile'!$B$6,3),IF(INDEX(_ENGINE_Initiatives!$BX$5:$BX$76,MATCH($A173,_ENGINE_Initiatives!$BW$5:$BW$76,0))="6-12 months",EDATE('Company Profile'!$B$6,6),EDATE('Company Profile'!$B$6,12))))+(IF(INDEX(_ENGINE_Initiatives!$AB$5:$AB$76,MATCH($A173,_ENGINE_Initiatives!$BW$5:$BW$76,0))&lt;=2,6,IF(INDEX(_ENGINE_Initiatives!$AB$5:$AB$76,MATCH($A173,_ENGINE_Initiatives!$BW$5:$BW$76,0))=3,10,IF(INDEX(_ENGINE_Initiatives!$AB$5:$AB$76,MATCH($A173,_ENGINE_Initiatives!$BW$5:$BW$76,0))=4,16,24)))*7)),1,""),"")</f>
        <v/>
      </c>
      <c r="H173" s="32" t="str">
        <f ca="1">IFERROR(IF(AND(H$162&gt;=IF(INDEX(_ENGINE_Initiatives!$BX$5:$BX$76,MATCH($A173,_ENGINE_Initiatives!$BW$5:$BW$76,0))="0-90 days",'Company Profile'!$B$6,IF(INDEX(_ENGINE_Initiatives!$BX$5:$BX$76,MATCH($A173,_ENGINE_Initiatives!$BW$5:$BW$76,0))="3-6 months",EDATE('Company Profile'!$B$6,3),IF(INDEX(_ENGINE_Initiatives!$BX$5:$BX$76,MATCH($A173,_ENGINE_Initiatives!$BW$5:$BW$76,0))="6-12 months",EDATE('Company Profile'!$B$6,6),EDATE('Company Profile'!$B$6,12)))),H$162&lt;=IF(INDEX(_ENGINE_Initiatives!$BX$5:$BX$76,MATCH($A173,_ENGINE_Initiatives!$BW$5:$BW$76,0))="0-90 days",'Company Profile'!$B$6,IF(INDEX(_ENGINE_Initiatives!$BX$5:$BX$76,MATCH($A173,_ENGINE_Initiatives!$BW$5:$BW$76,0))="3-6 months",EDATE('Company Profile'!$B$6,3),IF(INDEX(_ENGINE_Initiatives!$BX$5:$BX$76,MATCH($A173,_ENGINE_Initiatives!$BW$5:$BW$76,0))="6-12 months",EDATE('Company Profile'!$B$6,6),EDATE('Company Profile'!$B$6,12))))+(IF(INDEX(_ENGINE_Initiatives!$AB$5:$AB$76,MATCH($A173,_ENGINE_Initiatives!$BW$5:$BW$76,0))&lt;=2,6,IF(INDEX(_ENGINE_Initiatives!$AB$5:$AB$76,MATCH($A173,_ENGINE_Initiatives!$BW$5:$BW$76,0))=3,10,IF(INDEX(_ENGINE_Initiatives!$AB$5:$AB$76,MATCH($A173,_ENGINE_Initiatives!$BW$5:$BW$76,0))=4,16,24)))*7)),1,""),"")</f>
        <v/>
      </c>
      <c r="I173" s="32" t="str">
        <f ca="1">IFERROR(IF(AND(I$162&gt;=IF(INDEX(_ENGINE_Initiatives!$BX$5:$BX$76,MATCH($A173,_ENGINE_Initiatives!$BW$5:$BW$76,0))="0-90 days",'Company Profile'!$B$6,IF(INDEX(_ENGINE_Initiatives!$BX$5:$BX$76,MATCH($A173,_ENGINE_Initiatives!$BW$5:$BW$76,0))="3-6 months",EDATE('Company Profile'!$B$6,3),IF(INDEX(_ENGINE_Initiatives!$BX$5:$BX$76,MATCH($A173,_ENGINE_Initiatives!$BW$5:$BW$76,0))="6-12 months",EDATE('Company Profile'!$B$6,6),EDATE('Company Profile'!$B$6,12)))),I$162&lt;=IF(INDEX(_ENGINE_Initiatives!$BX$5:$BX$76,MATCH($A173,_ENGINE_Initiatives!$BW$5:$BW$76,0))="0-90 days",'Company Profile'!$B$6,IF(INDEX(_ENGINE_Initiatives!$BX$5:$BX$76,MATCH($A173,_ENGINE_Initiatives!$BW$5:$BW$76,0))="3-6 months",EDATE('Company Profile'!$B$6,3),IF(INDEX(_ENGINE_Initiatives!$BX$5:$BX$76,MATCH($A173,_ENGINE_Initiatives!$BW$5:$BW$76,0))="6-12 months",EDATE('Company Profile'!$B$6,6),EDATE('Company Profile'!$B$6,12))))+(IF(INDEX(_ENGINE_Initiatives!$AB$5:$AB$76,MATCH($A173,_ENGINE_Initiatives!$BW$5:$BW$76,0))&lt;=2,6,IF(INDEX(_ENGINE_Initiatives!$AB$5:$AB$76,MATCH($A173,_ENGINE_Initiatives!$BW$5:$BW$76,0))=3,10,IF(INDEX(_ENGINE_Initiatives!$AB$5:$AB$76,MATCH($A173,_ENGINE_Initiatives!$BW$5:$BW$76,0))=4,16,24)))*7)),1,""),"")</f>
        <v/>
      </c>
      <c r="J173" s="32" t="str">
        <f ca="1">IFERROR(IF(AND(J$162&gt;=IF(INDEX(_ENGINE_Initiatives!$BX$5:$BX$76,MATCH($A173,_ENGINE_Initiatives!$BW$5:$BW$76,0))="0-90 days",'Company Profile'!$B$6,IF(INDEX(_ENGINE_Initiatives!$BX$5:$BX$76,MATCH($A173,_ENGINE_Initiatives!$BW$5:$BW$76,0))="3-6 months",EDATE('Company Profile'!$B$6,3),IF(INDEX(_ENGINE_Initiatives!$BX$5:$BX$76,MATCH($A173,_ENGINE_Initiatives!$BW$5:$BW$76,0))="6-12 months",EDATE('Company Profile'!$B$6,6),EDATE('Company Profile'!$B$6,12)))),J$162&lt;=IF(INDEX(_ENGINE_Initiatives!$BX$5:$BX$76,MATCH($A173,_ENGINE_Initiatives!$BW$5:$BW$76,0))="0-90 days",'Company Profile'!$B$6,IF(INDEX(_ENGINE_Initiatives!$BX$5:$BX$76,MATCH($A173,_ENGINE_Initiatives!$BW$5:$BW$76,0))="3-6 months",EDATE('Company Profile'!$B$6,3),IF(INDEX(_ENGINE_Initiatives!$BX$5:$BX$76,MATCH($A173,_ENGINE_Initiatives!$BW$5:$BW$76,0))="6-12 months",EDATE('Company Profile'!$B$6,6),EDATE('Company Profile'!$B$6,12))))+(IF(INDEX(_ENGINE_Initiatives!$AB$5:$AB$76,MATCH($A173,_ENGINE_Initiatives!$BW$5:$BW$76,0))&lt;=2,6,IF(INDEX(_ENGINE_Initiatives!$AB$5:$AB$76,MATCH($A173,_ENGINE_Initiatives!$BW$5:$BW$76,0))=3,10,IF(INDEX(_ENGINE_Initiatives!$AB$5:$AB$76,MATCH($A173,_ENGINE_Initiatives!$BW$5:$BW$76,0))=4,16,24)))*7)),1,""),"")</f>
        <v/>
      </c>
      <c r="K173" s="32" t="str">
        <f ca="1">IFERROR(IF(AND(K$162&gt;=IF(INDEX(_ENGINE_Initiatives!$BX$5:$BX$76,MATCH($A173,_ENGINE_Initiatives!$BW$5:$BW$76,0))="0-90 days",'Company Profile'!$B$6,IF(INDEX(_ENGINE_Initiatives!$BX$5:$BX$76,MATCH($A173,_ENGINE_Initiatives!$BW$5:$BW$76,0))="3-6 months",EDATE('Company Profile'!$B$6,3),IF(INDEX(_ENGINE_Initiatives!$BX$5:$BX$76,MATCH($A173,_ENGINE_Initiatives!$BW$5:$BW$76,0))="6-12 months",EDATE('Company Profile'!$B$6,6),EDATE('Company Profile'!$B$6,12)))),K$162&lt;=IF(INDEX(_ENGINE_Initiatives!$BX$5:$BX$76,MATCH($A173,_ENGINE_Initiatives!$BW$5:$BW$76,0))="0-90 days",'Company Profile'!$B$6,IF(INDEX(_ENGINE_Initiatives!$BX$5:$BX$76,MATCH($A173,_ENGINE_Initiatives!$BW$5:$BW$76,0))="3-6 months",EDATE('Company Profile'!$B$6,3),IF(INDEX(_ENGINE_Initiatives!$BX$5:$BX$76,MATCH($A173,_ENGINE_Initiatives!$BW$5:$BW$76,0))="6-12 months",EDATE('Company Profile'!$B$6,6),EDATE('Company Profile'!$B$6,12))))+(IF(INDEX(_ENGINE_Initiatives!$AB$5:$AB$76,MATCH($A173,_ENGINE_Initiatives!$BW$5:$BW$76,0))&lt;=2,6,IF(INDEX(_ENGINE_Initiatives!$AB$5:$AB$76,MATCH($A173,_ENGINE_Initiatives!$BW$5:$BW$76,0))=3,10,IF(INDEX(_ENGINE_Initiatives!$AB$5:$AB$76,MATCH($A173,_ENGINE_Initiatives!$BW$5:$BW$76,0))=4,16,24)))*7)),1,""),"")</f>
        <v/>
      </c>
      <c r="L173" s="32" t="str">
        <f ca="1">IFERROR(IF(AND(L$162&gt;=IF(INDEX(_ENGINE_Initiatives!$BX$5:$BX$76,MATCH($A173,_ENGINE_Initiatives!$BW$5:$BW$76,0))="0-90 days",'Company Profile'!$B$6,IF(INDEX(_ENGINE_Initiatives!$BX$5:$BX$76,MATCH($A173,_ENGINE_Initiatives!$BW$5:$BW$76,0))="3-6 months",EDATE('Company Profile'!$B$6,3),IF(INDEX(_ENGINE_Initiatives!$BX$5:$BX$76,MATCH($A173,_ENGINE_Initiatives!$BW$5:$BW$76,0))="6-12 months",EDATE('Company Profile'!$B$6,6),EDATE('Company Profile'!$B$6,12)))),L$162&lt;=IF(INDEX(_ENGINE_Initiatives!$BX$5:$BX$76,MATCH($A173,_ENGINE_Initiatives!$BW$5:$BW$76,0))="0-90 days",'Company Profile'!$B$6,IF(INDEX(_ENGINE_Initiatives!$BX$5:$BX$76,MATCH($A173,_ENGINE_Initiatives!$BW$5:$BW$76,0))="3-6 months",EDATE('Company Profile'!$B$6,3),IF(INDEX(_ENGINE_Initiatives!$BX$5:$BX$76,MATCH($A173,_ENGINE_Initiatives!$BW$5:$BW$76,0))="6-12 months",EDATE('Company Profile'!$B$6,6),EDATE('Company Profile'!$B$6,12))))+(IF(INDEX(_ENGINE_Initiatives!$AB$5:$AB$76,MATCH($A173,_ENGINE_Initiatives!$BW$5:$BW$76,0))&lt;=2,6,IF(INDEX(_ENGINE_Initiatives!$AB$5:$AB$76,MATCH($A173,_ENGINE_Initiatives!$BW$5:$BW$76,0))=3,10,IF(INDEX(_ENGINE_Initiatives!$AB$5:$AB$76,MATCH($A173,_ENGINE_Initiatives!$BW$5:$BW$76,0))=4,16,24)))*7)),1,""),"")</f>
        <v/>
      </c>
      <c r="M173" s="32" t="str">
        <f ca="1">IFERROR(IF(AND(M$162&gt;=IF(INDEX(_ENGINE_Initiatives!$BX$5:$BX$76,MATCH($A173,_ENGINE_Initiatives!$BW$5:$BW$76,0))="0-90 days",'Company Profile'!$B$6,IF(INDEX(_ENGINE_Initiatives!$BX$5:$BX$76,MATCH($A173,_ENGINE_Initiatives!$BW$5:$BW$76,0))="3-6 months",EDATE('Company Profile'!$B$6,3),IF(INDEX(_ENGINE_Initiatives!$BX$5:$BX$76,MATCH($A173,_ENGINE_Initiatives!$BW$5:$BW$76,0))="6-12 months",EDATE('Company Profile'!$B$6,6),EDATE('Company Profile'!$B$6,12)))),M$162&lt;=IF(INDEX(_ENGINE_Initiatives!$BX$5:$BX$76,MATCH($A173,_ENGINE_Initiatives!$BW$5:$BW$76,0))="0-90 days",'Company Profile'!$B$6,IF(INDEX(_ENGINE_Initiatives!$BX$5:$BX$76,MATCH($A173,_ENGINE_Initiatives!$BW$5:$BW$76,0))="3-6 months",EDATE('Company Profile'!$B$6,3),IF(INDEX(_ENGINE_Initiatives!$BX$5:$BX$76,MATCH($A173,_ENGINE_Initiatives!$BW$5:$BW$76,0))="6-12 months",EDATE('Company Profile'!$B$6,6),EDATE('Company Profile'!$B$6,12))))+(IF(INDEX(_ENGINE_Initiatives!$AB$5:$AB$76,MATCH($A173,_ENGINE_Initiatives!$BW$5:$BW$76,0))&lt;=2,6,IF(INDEX(_ENGINE_Initiatives!$AB$5:$AB$76,MATCH($A173,_ENGINE_Initiatives!$BW$5:$BW$76,0))=3,10,IF(INDEX(_ENGINE_Initiatives!$AB$5:$AB$76,MATCH($A173,_ENGINE_Initiatives!$BW$5:$BW$76,0))=4,16,24)))*7)),1,""),"")</f>
        <v/>
      </c>
      <c r="N173" s="32" t="str">
        <f ca="1">IFERROR(IF(AND(N$162&gt;=IF(INDEX(_ENGINE_Initiatives!$BX$5:$BX$76,MATCH($A173,_ENGINE_Initiatives!$BW$5:$BW$76,0))="0-90 days",'Company Profile'!$B$6,IF(INDEX(_ENGINE_Initiatives!$BX$5:$BX$76,MATCH($A173,_ENGINE_Initiatives!$BW$5:$BW$76,0))="3-6 months",EDATE('Company Profile'!$B$6,3),IF(INDEX(_ENGINE_Initiatives!$BX$5:$BX$76,MATCH($A173,_ENGINE_Initiatives!$BW$5:$BW$76,0))="6-12 months",EDATE('Company Profile'!$B$6,6),EDATE('Company Profile'!$B$6,12)))),N$162&lt;=IF(INDEX(_ENGINE_Initiatives!$BX$5:$BX$76,MATCH($A173,_ENGINE_Initiatives!$BW$5:$BW$76,0))="0-90 days",'Company Profile'!$B$6,IF(INDEX(_ENGINE_Initiatives!$BX$5:$BX$76,MATCH($A173,_ENGINE_Initiatives!$BW$5:$BW$76,0))="3-6 months",EDATE('Company Profile'!$B$6,3),IF(INDEX(_ENGINE_Initiatives!$BX$5:$BX$76,MATCH($A173,_ENGINE_Initiatives!$BW$5:$BW$76,0))="6-12 months",EDATE('Company Profile'!$B$6,6),EDATE('Company Profile'!$B$6,12))))+(IF(INDEX(_ENGINE_Initiatives!$AB$5:$AB$76,MATCH($A173,_ENGINE_Initiatives!$BW$5:$BW$76,0))&lt;=2,6,IF(INDEX(_ENGINE_Initiatives!$AB$5:$AB$76,MATCH($A173,_ENGINE_Initiatives!$BW$5:$BW$76,0))=3,10,IF(INDEX(_ENGINE_Initiatives!$AB$5:$AB$76,MATCH($A173,_ENGINE_Initiatives!$BW$5:$BW$76,0))=4,16,24)))*7)),1,""),"")</f>
        <v/>
      </c>
      <c r="O173" s="32" t="str">
        <f ca="1">IFERROR(IF(AND(O$162&gt;=IF(INDEX(_ENGINE_Initiatives!$BX$5:$BX$76,MATCH($A173,_ENGINE_Initiatives!$BW$5:$BW$76,0))="0-90 days",'Company Profile'!$B$6,IF(INDEX(_ENGINE_Initiatives!$BX$5:$BX$76,MATCH($A173,_ENGINE_Initiatives!$BW$5:$BW$76,0))="3-6 months",EDATE('Company Profile'!$B$6,3),IF(INDEX(_ENGINE_Initiatives!$BX$5:$BX$76,MATCH($A173,_ENGINE_Initiatives!$BW$5:$BW$76,0))="6-12 months",EDATE('Company Profile'!$B$6,6),EDATE('Company Profile'!$B$6,12)))),O$162&lt;=IF(INDEX(_ENGINE_Initiatives!$BX$5:$BX$76,MATCH($A173,_ENGINE_Initiatives!$BW$5:$BW$76,0))="0-90 days",'Company Profile'!$B$6,IF(INDEX(_ENGINE_Initiatives!$BX$5:$BX$76,MATCH($A173,_ENGINE_Initiatives!$BW$5:$BW$76,0))="3-6 months",EDATE('Company Profile'!$B$6,3),IF(INDEX(_ENGINE_Initiatives!$BX$5:$BX$76,MATCH($A173,_ENGINE_Initiatives!$BW$5:$BW$76,0))="6-12 months",EDATE('Company Profile'!$B$6,6),EDATE('Company Profile'!$B$6,12))))+(IF(INDEX(_ENGINE_Initiatives!$AB$5:$AB$76,MATCH($A173,_ENGINE_Initiatives!$BW$5:$BW$76,0))&lt;=2,6,IF(INDEX(_ENGINE_Initiatives!$AB$5:$AB$76,MATCH($A173,_ENGINE_Initiatives!$BW$5:$BW$76,0))=3,10,IF(INDEX(_ENGINE_Initiatives!$AB$5:$AB$76,MATCH($A173,_ENGINE_Initiatives!$BW$5:$BW$76,0))=4,16,24)))*7)),1,""),"")</f>
        <v/>
      </c>
      <c r="P173" s="32" t="str">
        <f ca="1">IFERROR(IF(AND(P$162&gt;=IF(INDEX(_ENGINE_Initiatives!$BX$5:$BX$76,MATCH($A173,_ENGINE_Initiatives!$BW$5:$BW$76,0))="0-90 days",'Company Profile'!$B$6,IF(INDEX(_ENGINE_Initiatives!$BX$5:$BX$76,MATCH($A173,_ENGINE_Initiatives!$BW$5:$BW$76,0))="3-6 months",EDATE('Company Profile'!$B$6,3),IF(INDEX(_ENGINE_Initiatives!$BX$5:$BX$76,MATCH($A173,_ENGINE_Initiatives!$BW$5:$BW$76,0))="6-12 months",EDATE('Company Profile'!$B$6,6),EDATE('Company Profile'!$B$6,12)))),P$162&lt;=IF(INDEX(_ENGINE_Initiatives!$BX$5:$BX$76,MATCH($A173,_ENGINE_Initiatives!$BW$5:$BW$76,0))="0-90 days",'Company Profile'!$B$6,IF(INDEX(_ENGINE_Initiatives!$BX$5:$BX$76,MATCH($A173,_ENGINE_Initiatives!$BW$5:$BW$76,0))="3-6 months",EDATE('Company Profile'!$B$6,3),IF(INDEX(_ENGINE_Initiatives!$BX$5:$BX$76,MATCH($A173,_ENGINE_Initiatives!$BW$5:$BW$76,0))="6-12 months",EDATE('Company Profile'!$B$6,6),EDATE('Company Profile'!$B$6,12))))+(IF(INDEX(_ENGINE_Initiatives!$AB$5:$AB$76,MATCH($A173,_ENGINE_Initiatives!$BW$5:$BW$76,0))&lt;=2,6,IF(INDEX(_ENGINE_Initiatives!$AB$5:$AB$76,MATCH($A173,_ENGINE_Initiatives!$BW$5:$BW$76,0))=3,10,IF(INDEX(_ENGINE_Initiatives!$AB$5:$AB$76,MATCH($A173,_ENGINE_Initiatives!$BW$5:$BW$76,0))=4,16,24)))*7)),1,""),"")</f>
        <v/>
      </c>
      <c r="Q173" s="32" t="str">
        <f ca="1">IFERROR(IF(AND(Q$162&gt;=IF(INDEX(_ENGINE_Initiatives!$BX$5:$BX$76,MATCH($A173,_ENGINE_Initiatives!$BW$5:$BW$76,0))="0-90 days",'Company Profile'!$B$6,IF(INDEX(_ENGINE_Initiatives!$BX$5:$BX$76,MATCH($A173,_ENGINE_Initiatives!$BW$5:$BW$76,0))="3-6 months",EDATE('Company Profile'!$B$6,3),IF(INDEX(_ENGINE_Initiatives!$BX$5:$BX$76,MATCH($A173,_ENGINE_Initiatives!$BW$5:$BW$76,0))="6-12 months",EDATE('Company Profile'!$B$6,6),EDATE('Company Profile'!$B$6,12)))),Q$162&lt;=IF(INDEX(_ENGINE_Initiatives!$BX$5:$BX$76,MATCH($A173,_ENGINE_Initiatives!$BW$5:$BW$76,0))="0-90 days",'Company Profile'!$B$6,IF(INDEX(_ENGINE_Initiatives!$BX$5:$BX$76,MATCH($A173,_ENGINE_Initiatives!$BW$5:$BW$76,0))="3-6 months",EDATE('Company Profile'!$B$6,3),IF(INDEX(_ENGINE_Initiatives!$BX$5:$BX$76,MATCH($A173,_ENGINE_Initiatives!$BW$5:$BW$76,0))="6-12 months",EDATE('Company Profile'!$B$6,6),EDATE('Company Profile'!$B$6,12))))+(IF(INDEX(_ENGINE_Initiatives!$AB$5:$AB$76,MATCH($A173,_ENGINE_Initiatives!$BW$5:$BW$76,0))&lt;=2,6,IF(INDEX(_ENGINE_Initiatives!$AB$5:$AB$76,MATCH($A173,_ENGINE_Initiatives!$BW$5:$BW$76,0))=3,10,IF(INDEX(_ENGINE_Initiatives!$AB$5:$AB$76,MATCH($A173,_ENGINE_Initiatives!$BW$5:$BW$76,0))=4,16,24)))*7)),1,""),"")</f>
        <v/>
      </c>
      <c r="R173" s="32" t="str">
        <f ca="1">IFERROR(IF(AND(R$162&gt;=IF(INDEX(_ENGINE_Initiatives!$BX$5:$BX$76,MATCH($A173,_ENGINE_Initiatives!$BW$5:$BW$76,0))="0-90 days",'Company Profile'!$B$6,IF(INDEX(_ENGINE_Initiatives!$BX$5:$BX$76,MATCH($A173,_ENGINE_Initiatives!$BW$5:$BW$76,0))="3-6 months",EDATE('Company Profile'!$B$6,3),IF(INDEX(_ENGINE_Initiatives!$BX$5:$BX$76,MATCH($A173,_ENGINE_Initiatives!$BW$5:$BW$76,0))="6-12 months",EDATE('Company Profile'!$B$6,6),EDATE('Company Profile'!$B$6,12)))),R$162&lt;=IF(INDEX(_ENGINE_Initiatives!$BX$5:$BX$76,MATCH($A173,_ENGINE_Initiatives!$BW$5:$BW$76,0))="0-90 days",'Company Profile'!$B$6,IF(INDEX(_ENGINE_Initiatives!$BX$5:$BX$76,MATCH($A173,_ENGINE_Initiatives!$BW$5:$BW$76,0))="3-6 months",EDATE('Company Profile'!$B$6,3),IF(INDEX(_ENGINE_Initiatives!$BX$5:$BX$76,MATCH($A173,_ENGINE_Initiatives!$BW$5:$BW$76,0))="6-12 months",EDATE('Company Profile'!$B$6,6),EDATE('Company Profile'!$B$6,12))))+(IF(INDEX(_ENGINE_Initiatives!$AB$5:$AB$76,MATCH($A173,_ENGINE_Initiatives!$BW$5:$BW$76,0))&lt;=2,6,IF(INDEX(_ENGINE_Initiatives!$AB$5:$AB$76,MATCH($A173,_ENGINE_Initiatives!$BW$5:$BW$76,0))=3,10,IF(INDEX(_ENGINE_Initiatives!$AB$5:$AB$76,MATCH($A173,_ENGINE_Initiatives!$BW$5:$BW$76,0))=4,16,24)))*7)),1,""),"")</f>
        <v/>
      </c>
      <c r="S173" s="32" t="str">
        <f ca="1">IFERROR(IF(AND(S$162&gt;=IF(INDEX(_ENGINE_Initiatives!$BX$5:$BX$76,MATCH($A173,_ENGINE_Initiatives!$BW$5:$BW$76,0))="0-90 days",'Company Profile'!$B$6,IF(INDEX(_ENGINE_Initiatives!$BX$5:$BX$76,MATCH($A173,_ENGINE_Initiatives!$BW$5:$BW$76,0))="3-6 months",EDATE('Company Profile'!$B$6,3),IF(INDEX(_ENGINE_Initiatives!$BX$5:$BX$76,MATCH($A173,_ENGINE_Initiatives!$BW$5:$BW$76,0))="6-12 months",EDATE('Company Profile'!$B$6,6),EDATE('Company Profile'!$B$6,12)))),S$162&lt;=IF(INDEX(_ENGINE_Initiatives!$BX$5:$BX$76,MATCH($A173,_ENGINE_Initiatives!$BW$5:$BW$76,0))="0-90 days",'Company Profile'!$B$6,IF(INDEX(_ENGINE_Initiatives!$BX$5:$BX$76,MATCH($A173,_ENGINE_Initiatives!$BW$5:$BW$76,0))="3-6 months",EDATE('Company Profile'!$B$6,3),IF(INDEX(_ENGINE_Initiatives!$BX$5:$BX$76,MATCH($A173,_ENGINE_Initiatives!$BW$5:$BW$76,0))="6-12 months",EDATE('Company Profile'!$B$6,6),EDATE('Company Profile'!$B$6,12))))+(IF(INDEX(_ENGINE_Initiatives!$AB$5:$AB$76,MATCH($A173,_ENGINE_Initiatives!$BW$5:$BW$76,0))&lt;=2,6,IF(INDEX(_ENGINE_Initiatives!$AB$5:$AB$76,MATCH($A173,_ENGINE_Initiatives!$BW$5:$BW$76,0))=3,10,IF(INDEX(_ENGINE_Initiatives!$AB$5:$AB$76,MATCH($A173,_ENGINE_Initiatives!$BW$5:$BW$76,0))=4,16,24)))*7)),1,""),"")</f>
        <v/>
      </c>
      <c r="T173" s="32" t="str">
        <f ca="1">IFERROR(IF(AND(T$162&gt;=IF(INDEX(_ENGINE_Initiatives!$BX$5:$BX$76,MATCH($A173,_ENGINE_Initiatives!$BW$5:$BW$76,0))="0-90 days",'Company Profile'!$B$6,IF(INDEX(_ENGINE_Initiatives!$BX$5:$BX$76,MATCH($A173,_ENGINE_Initiatives!$BW$5:$BW$76,0))="3-6 months",EDATE('Company Profile'!$B$6,3),IF(INDEX(_ENGINE_Initiatives!$BX$5:$BX$76,MATCH($A173,_ENGINE_Initiatives!$BW$5:$BW$76,0))="6-12 months",EDATE('Company Profile'!$B$6,6),EDATE('Company Profile'!$B$6,12)))),T$162&lt;=IF(INDEX(_ENGINE_Initiatives!$BX$5:$BX$76,MATCH($A173,_ENGINE_Initiatives!$BW$5:$BW$76,0))="0-90 days",'Company Profile'!$B$6,IF(INDEX(_ENGINE_Initiatives!$BX$5:$BX$76,MATCH($A173,_ENGINE_Initiatives!$BW$5:$BW$76,0))="3-6 months",EDATE('Company Profile'!$B$6,3),IF(INDEX(_ENGINE_Initiatives!$BX$5:$BX$76,MATCH($A173,_ENGINE_Initiatives!$BW$5:$BW$76,0))="6-12 months",EDATE('Company Profile'!$B$6,6),EDATE('Company Profile'!$B$6,12))))+(IF(INDEX(_ENGINE_Initiatives!$AB$5:$AB$76,MATCH($A173,_ENGINE_Initiatives!$BW$5:$BW$76,0))&lt;=2,6,IF(INDEX(_ENGINE_Initiatives!$AB$5:$AB$76,MATCH($A173,_ENGINE_Initiatives!$BW$5:$BW$76,0))=3,10,IF(INDEX(_ENGINE_Initiatives!$AB$5:$AB$76,MATCH($A173,_ENGINE_Initiatives!$BW$5:$BW$76,0))=4,16,24)))*7)),1,""),"")</f>
        <v/>
      </c>
      <c r="U173" s="18"/>
      <c r="V173" s="18"/>
    </row>
    <row r="174" spans="1:22" ht="15" customHeight="1">
      <c r="A174" s="28" t="s">
        <v>3697</v>
      </c>
      <c r="B174" s="28" t="str">
        <f>IFERROR(INDEX(_ENGINE_Initiatives!$F$5:$F$76,MATCH($A174,_ENGINE_Initiatives!$BW$5:$BW$76,0)),"")</f>
        <v/>
      </c>
      <c r="C174" s="32" t="str">
        <f ca="1">IFERROR(IF(AND(C$162&gt;=IF(INDEX(_ENGINE_Initiatives!$BX$5:$BX$76,MATCH($A174,_ENGINE_Initiatives!$BW$5:$BW$76,0))="0-90 days",'Company Profile'!$B$6,IF(INDEX(_ENGINE_Initiatives!$BX$5:$BX$76,MATCH($A174,_ENGINE_Initiatives!$BW$5:$BW$76,0))="3-6 months",EDATE('Company Profile'!$B$6,3),IF(INDEX(_ENGINE_Initiatives!$BX$5:$BX$76,MATCH($A174,_ENGINE_Initiatives!$BW$5:$BW$76,0))="6-12 months",EDATE('Company Profile'!$B$6,6),EDATE('Company Profile'!$B$6,12)))),C$162&lt;=IF(INDEX(_ENGINE_Initiatives!$BX$5:$BX$76,MATCH($A174,_ENGINE_Initiatives!$BW$5:$BW$76,0))="0-90 days",'Company Profile'!$B$6,IF(INDEX(_ENGINE_Initiatives!$BX$5:$BX$76,MATCH($A174,_ENGINE_Initiatives!$BW$5:$BW$76,0))="3-6 months",EDATE('Company Profile'!$B$6,3),IF(INDEX(_ENGINE_Initiatives!$BX$5:$BX$76,MATCH($A174,_ENGINE_Initiatives!$BW$5:$BW$76,0))="6-12 months",EDATE('Company Profile'!$B$6,6),EDATE('Company Profile'!$B$6,12))))+(IF(INDEX(_ENGINE_Initiatives!$AB$5:$AB$76,MATCH($A174,_ENGINE_Initiatives!$BW$5:$BW$76,0))&lt;=2,6,IF(INDEX(_ENGINE_Initiatives!$AB$5:$AB$76,MATCH($A174,_ENGINE_Initiatives!$BW$5:$BW$76,0))=3,10,IF(INDEX(_ENGINE_Initiatives!$AB$5:$AB$76,MATCH($A174,_ENGINE_Initiatives!$BW$5:$BW$76,0))=4,16,24)))*7)),1,""),"")</f>
        <v/>
      </c>
      <c r="D174" s="32" t="str">
        <f ca="1">IFERROR(IF(AND(D$162&gt;=IF(INDEX(_ENGINE_Initiatives!$BX$5:$BX$76,MATCH($A174,_ENGINE_Initiatives!$BW$5:$BW$76,0))="0-90 days",'Company Profile'!$B$6,IF(INDEX(_ENGINE_Initiatives!$BX$5:$BX$76,MATCH($A174,_ENGINE_Initiatives!$BW$5:$BW$76,0))="3-6 months",EDATE('Company Profile'!$B$6,3),IF(INDEX(_ENGINE_Initiatives!$BX$5:$BX$76,MATCH($A174,_ENGINE_Initiatives!$BW$5:$BW$76,0))="6-12 months",EDATE('Company Profile'!$B$6,6),EDATE('Company Profile'!$B$6,12)))),D$162&lt;=IF(INDEX(_ENGINE_Initiatives!$BX$5:$BX$76,MATCH($A174,_ENGINE_Initiatives!$BW$5:$BW$76,0))="0-90 days",'Company Profile'!$B$6,IF(INDEX(_ENGINE_Initiatives!$BX$5:$BX$76,MATCH($A174,_ENGINE_Initiatives!$BW$5:$BW$76,0))="3-6 months",EDATE('Company Profile'!$B$6,3),IF(INDEX(_ENGINE_Initiatives!$BX$5:$BX$76,MATCH($A174,_ENGINE_Initiatives!$BW$5:$BW$76,0))="6-12 months",EDATE('Company Profile'!$B$6,6),EDATE('Company Profile'!$B$6,12))))+(IF(INDEX(_ENGINE_Initiatives!$AB$5:$AB$76,MATCH($A174,_ENGINE_Initiatives!$BW$5:$BW$76,0))&lt;=2,6,IF(INDEX(_ENGINE_Initiatives!$AB$5:$AB$76,MATCH($A174,_ENGINE_Initiatives!$BW$5:$BW$76,0))=3,10,IF(INDEX(_ENGINE_Initiatives!$AB$5:$AB$76,MATCH($A174,_ENGINE_Initiatives!$BW$5:$BW$76,0))=4,16,24)))*7)),1,""),"")</f>
        <v/>
      </c>
      <c r="E174" s="32" t="str">
        <f ca="1">IFERROR(IF(AND(E$162&gt;=IF(INDEX(_ENGINE_Initiatives!$BX$5:$BX$76,MATCH($A174,_ENGINE_Initiatives!$BW$5:$BW$76,0))="0-90 days",'Company Profile'!$B$6,IF(INDEX(_ENGINE_Initiatives!$BX$5:$BX$76,MATCH($A174,_ENGINE_Initiatives!$BW$5:$BW$76,0))="3-6 months",EDATE('Company Profile'!$B$6,3),IF(INDEX(_ENGINE_Initiatives!$BX$5:$BX$76,MATCH($A174,_ENGINE_Initiatives!$BW$5:$BW$76,0))="6-12 months",EDATE('Company Profile'!$B$6,6),EDATE('Company Profile'!$B$6,12)))),E$162&lt;=IF(INDEX(_ENGINE_Initiatives!$BX$5:$BX$76,MATCH($A174,_ENGINE_Initiatives!$BW$5:$BW$76,0))="0-90 days",'Company Profile'!$B$6,IF(INDEX(_ENGINE_Initiatives!$BX$5:$BX$76,MATCH($A174,_ENGINE_Initiatives!$BW$5:$BW$76,0))="3-6 months",EDATE('Company Profile'!$B$6,3),IF(INDEX(_ENGINE_Initiatives!$BX$5:$BX$76,MATCH($A174,_ENGINE_Initiatives!$BW$5:$BW$76,0))="6-12 months",EDATE('Company Profile'!$B$6,6),EDATE('Company Profile'!$B$6,12))))+(IF(INDEX(_ENGINE_Initiatives!$AB$5:$AB$76,MATCH($A174,_ENGINE_Initiatives!$BW$5:$BW$76,0))&lt;=2,6,IF(INDEX(_ENGINE_Initiatives!$AB$5:$AB$76,MATCH($A174,_ENGINE_Initiatives!$BW$5:$BW$76,0))=3,10,IF(INDEX(_ENGINE_Initiatives!$AB$5:$AB$76,MATCH($A174,_ENGINE_Initiatives!$BW$5:$BW$76,0))=4,16,24)))*7)),1,""),"")</f>
        <v/>
      </c>
      <c r="F174" s="32" t="str">
        <f ca="1">IFERROR(IF(AND(F$162&gt;=IF(INDEX(_ENGINE_Initiatives!$BX$5:$BX$76,MATCH($A174,_ENGINE_Initiatives!$BW$5:$BW$76,0))="0-90 days",'Company Profile'!$B$6,IF(INDEX(_ENGINE_Initiatives!$BX$5:$BX$76,MATCH($A174,_ENGINE_Initiatives!$BW$5:$BW$76,0))="3-6 months",EDATE('Company Profile'!$B$6,3),IF(INDEX(_ENGINE_Initiatives!$BX$5:$BX$76,MATCH($A174,_ENGINE_Initiatives!$BW$5:$BW$76,0))="6-12 months",EDATE('Company Profile'!$B$6,6),EDATE('Company Profile'!$B$6,12)))),F$162&lt;=IF(INDEX(_ENGINE_Initiatives!$BX$5:$BX$76,MATCH($A174,_ENGINE_Initiatives!$BW$5:$BW$76,0))="0-90 days",'Company Profile'!$B$6,IF(INDEX(_ENGINE_Initiatives!$BX$5:$BX$76,MATCH($A174,_ENGINE_Initiatives!$BW$5:$BW$76,0))="3-6 months",EDATE('Company Profile'!$B$6,3),IF(INDEX(_ENGINE_Initiatives!$BX$5:$BX$76,MATCH($A174,_ENGINE_Initiatives!$BW$5:$BW$76,0))="6-12 months",EDATE('Company Profile'!$B$6,6),EDATE('Company Profile'!$B$6,12))))+(IF(INDEX(_ENGINE_Initiatives!$AB$5:$AB$76,MATCH($A174,_ENGINE_Initiatives!$BW$5:$BW$76,0))&lt;=2,6,IF(INDEX(_ENGINE_Initiatives!$AB$5:$AB$76,MATCH($A174,_ENGINE_Initiatives!$BW$5:$BW$76,0))=3,10,IF(INDEX(_ENGINE_Initiatives!$AB$5:$AB$76,MATCH($A174,_ENGINE_Initiatives!$BW$5:$BW$76,0))=4,16,24)))*7)),1,""),"")</f>
        <v/>
      </c>
      <c r="G174" s="32" t="str">
        <f ca="1">IFERROR(IF(AND(G$162&gt;=IF(INDEX(_ENGINE_Initiatives!$BX$5:$BX$76,MATCH($A174,_ENGINE_Initiatives!$BW$5:$BW$76,0))="0-90 days",'Company Profile'!$B$6,IF(INDEX(_ENGINE_Initiatives!$BX$5:$BX$76,MATCH($A174,_ENGINE_Initiatives!$BW$5:$BW$76,0))="3-6 months",EDATE('Company Profile'!$B$6,3),IF(INDEX(_ENGINE_Initiatives!$BX$5:$BX$76,MATCH($A174,_ENGINE_Initiatives!$BW$5:$BW$76,0))="6-12 months",EDATE('Company Profile'!$B$6,6),EDATE('Company Profile'!$B$6,12)))),G$162&lt;=IF(INDEX(_ENGINE_Initiatives!$BX$5:$BX$76,MATCH($A174,_ENGINE_Initiatives!$BW$5:$BW$76,0))="0-90 days",'Company Profile'!$B$6,IF(INDEX(_ENGINE_Initiatives!$BX$5:$BX$76,MATCH($A174,_ENGINE_Initiatives!$BW$5:$BW$76,0))="3-6 months",EDATE('Company Profile'!$B$6,3),IF(INDEX(_ENGINE_Initiatives!$BX$5:$BX$76,MATCH($A174,_ENGINE_Initiatives!$BW$5:$BW$76,0))="6-12 months",EDATE('Company Profile'!$B$6,6),EDATE('Company Profile'!$B$6,12))))+(IF(INDEX(_ENGINE_Initiatives!$AB$5:$AB$76,MATCH($A174,_ENGINE_Initiatives!$BW$5:$BW$76,0))&lt;=2,6,IF(INDEX(_ENGINE_Initiatives!$AB$5:$AB$76,MATCH($A174,_ENGINE_Initiatives!$BW$5:$BW$76,0))=3,10,IF(INDEX(_ENGINE_Initiatives!$AB$5:$AB$76,MATCH($A174,_ENGINE_Initiatives!$BW$5:$BW$76,0))=4,16,24)))*7)),1,""),"")</f>
        <v/>
      </c>
      <c r="H174" s="32" t="str">
        <f ca="1">IFERROR(IF(AND(H$162&gt;=IF(INDEX(_ENGINE_Initiatives!$BX$5:$BX$76,MATCH($A174,_ENGINE_Initiatives!$BW$5:$BW$76,0))="0-90 days",'Company Profile'!$B$6,IF(INDEX(_ENGINE_Initiatives!$BX$5:$BX$76,MATCH($A174,_ENGINE_Initiatives!$BW$5:$BW$76,0))="3-6 months",EDATE('Company Profile'!$B$6,3),IF(INDEX(_ENGINE_Initiatives!$BX$5:$BX$76,MATCH($A174,_ENGINE_Initiatives!$BW$5:$BW$76,0))="6-12 months",EDATE('Company Profile'!$B$6,6),EDATE('Company Profile'!$B$6,12)))),H$162&lt;=IF(INDEX(_ENGINE_Initiatives!$BX$5:$BX$76,MATCH($A174,_ENGINE_Initiatives!$BW$5:$BW$76,0))="0-90 days",'Company Profile'!$B$6,IF(INDEX(_ENGINE_Initiatives!$BX$5:$BX$76,MATCH($A174,_ENGINE_Initiatives!$BW$5:$BW$76,0))="3-6 months",EDATE('Company Profile'!$B$6,3),IF(INDEX(_ENGINE_Initiatives!$BX$5:$BX$76,MATCH($A174,_ENGINE_Initiatives!$BW$5:$BW$76,0))="6-12 months",EDATE('Company Profile'!$B$6,6),EDATE('Company Profile'!$B$6,12))))+(IF(INDEX(_ENGINE_Initiatives!$AB$5:$AB$76,MATCH($A174,_ENGINE_Initiatives!$BW$5:$BW$76,0))&lt;=2,6,IF(INDEX(_ENGINE_Initiatives!$AB$5:$AB$76,MATCH($A174,_ENGINE_Initiatives!$BW$5:$BW$76,0))=3,10,IF(INDEX(_ENGINE_Initiatives!$AB$5:$AB$76,MATCH($A174,_ENGINE_Initiatives!$BW$5:$BW$76,0))=4,16,24)))*7)),1,""),"")</f>
        <v/>
      </c>
      <c r="I174" s="32" t="str">
        <f ca="1">IFERROR(IF(AND(I$162&gt;=IF(INDEX(_ENGINE_Initiatives!$BX$5:$BX$76,MATCH($A174,_ENGINE_Initiatives!$BW$5:$BW$76,0))="0-90 days",'Company Profile'!$B$6,IF(INDEX(_ENGINE_Initiatives!$BX$5:$BX$76,MATCH($A174,_ENGINE_Initiatives!$BW$5:$BW$76,0))="3-6 months",EDATE('Company Profile'!$B$6,3),IF(INDEX(_ENGINE_Initiatives!$BX$5:$BX$76,MATCH($A174,_ENGINE_Initiatives!$BW$5:$BW$76,0))="6-12 months",EDATE('Company Profile'!$B$6,6),EDATE('Company Profile'!$B$6,12)))),I$162&lt;=IF(INDEX(_ENGINE_Initiatives!$BX$5:$BX$76,MATCH($A174,_ENGINE_Initiatives!$BW$5:$BW$76,0))="0-90 days",'Company Profile'!$B$6,IF(INDEX(_ENGINE_Initiatives!$BX$5:$BX$76,MATCH($A174,_ENGINE_Initiatives!$BW$5:$BW$76,0))="3-6 months",EDATE('Company Profile'!$B$6,3),IF(INDEX(_ENGINE_Initiatives!$BX$5:$BX$76,MATCH($A174,_ENGINE_Initiatives!$BW$5:$BW$76,0))="6-12 months",EDATE('Company Profile'!$B$6,6),EDATE('Company Profile'!$B$6,12))))+(IF(INDEX(_ENGINE_Initiatives!$AB$5:$AB$76,MATCH($A174,_ENGINE_Initiatives!$BW$5:$BW$76,0))&lt;=2,6,IF(INDEX(_ENGINE_Initiatives!$AB$5:$AB$76,MATCH($A174,_ENGINE_Initiatives!$BW$5:$BW$76,0))=3,10,IF(INDEX(_ENGINE_Initiatives!$AB$5:$AB$76,MATCH($A174,_ENGINE_Initiatives!$BW$5:$BW$76,0))=4,16,24)))*7)),1,""),"")</f>
        <v/>
      </c>
      <c r="J174" s="32" t="str">
        <f ca="1">IFERROR(IF(AND(J$162&gt;=IF(INDEX(_ENGINE_Initiatives!$BX$5:$BX$76,MATCH($A174,_ENGINE_Initiatives!$BW$5:$BW$76,0))="0-90 days",'Company Profile'!$B$6,IF(INDEX(_ENGINE_Initiatives!$BX$5:$BX$76,MATCH($A174,_ENGINE_Initiatives!$BW$5:$BW$76,0))="3-6 months",EDATE('Company Profile'!$B$6,3),IF(INDEX(_ENGINE_Initiatives!$BX$5:$BX$76,MATCH($A174,_ENGINE_Initiatives!$BW$5:$BW$76,0))="6-12 months",EDATE('Company Profile'!$B$6,6),EDATE('Company Profile'!$B$6,12)))),J$162&lt;=IF(INDEX(_ENGINE_Initiatives!$BX$5:$BX$76,MATCH($A174,_ENGINE_Initiatives!$BW$5:$BW$76,0))="0-90 days",'Company Profile'!$B$6,IF(INDEX(_ENGINE_Initiatives!$BX$5:$BX$76,MATCH($A174,_ENGINE_Initiatives!$BW$5:$BW$76,0))="3-6 months",EDATE('Company Profile'!$B$6,3),IF(INDEX(_ENGINE_Initiatives!$BX$5:$BX$76,MATCH($A174,_ENGINE_Initiatives!$BW$5:$BW$76,0))="6-12 months",EDATE('Company Profile'!$B$6,6),EDATE('Company Profile'!$B$6,12))))+(IF(INDEX(_ENGINE_Initiatives!$AB$5:$AB$76,MATCH($A174,_ENGINE_Initiatives!$BW$5:$BW$76,0))&lt;=2,6,IF(INDEX(_ENGINE_Initiatives!$AB$5:$AB$76,MATCH($A174,_ENGINE_Initiatives!$BW$5:$BW$76,0))=3,10,IF(INDEX(_ENGINE_Initiatives!$AB$5:$AB$76,MATCH($A174,_ENGINE_Initiatives!$BW$5:$BW$76,0))=4,16,24)))*7)),1,""),"")</f>
        <v/>
      </c>
      <c r="K174" s="32" t="str">
        <f ca="1">IFERROR(IF(AND(K$162&gt;=IF(INDEX(_ENGINE_Initiatives!$BX$5:$BX$76,MATCH($A174,_ENGINE_Initiatives!$BW$5:$BW$76,0))="0-90 days",'Company Profile'!$B$6,IF(INDEX(_ENGINE_Initiatives!$BX$5:$BX$76,MATCH($A174,_ENGINE_Initiatives!$BW$5:$BW$76,0))="3-6 months",EDATE('Company Profile'!$B$6,3),IF(INDEX(_ENGINE_Initiatives!$BX$5:$BX$76,MATCH($A174,_ENGINE_Initiatives!$BW$5:$BW$76,0))="6-12 months",EDATE('Company Profile'!$B$6,6),EDATE('Company Profile'!$B$6,12)))),K$162&lt;=IF(INDEX(_ENGINE_Initiatives!$BX$5:$BX$76,MATCH($A174,_ENGINE_Initiatives!$BW$5:$BW$76,0))="0-90 days",'Company Profile'!$B$6,IF(INDEX(_ENGINE_Initiatives!$BX$5:$BX$76,MATCH($A174,_ENGINE_Initiatives!$BW$5:$BW$76,0))="3-6 months",EDATE('Company Profile'!$B$6,3),IF(INDEX(_ENGINE_Initiatives!$BX$5:$BX$76,MATCH($A174,_ENGINE_Initiatives!$BW$5:$BW$76,0))="6-12 months",EDATE('Company Profile'!$B$6,6),EDATE('Company Profile'!$B$6,12))))+(IF(INDEX(_ENGINE_Initiatives!$AB$5:$AB$76,MATCH($A174,_ENGINE_Initiatives!$BW$5:$BW$76,0))&lt;=2,6,IF(INDEX(_ENGINE_Initiatives!$AB$5:$AB$76,MATCH($A174,_ENGINE_Initiatives!$BW$5:$BW$76,0))=3,10,IF(INDEX(_ENGINE_Initiatives!$AB$5:$AB$76,MATCH($A174,_ENGINE_Initiatives!$BW$5:$BW$76,0))=4,16,24)))*7)),1,""),"")</f>
        <v/>
      </c>
      <c r="L174" s="32" t="str">
        <f ca="1">IFERROR(IF(AND(L$162&gt;=IF(INDEX(_ENGINE_Initiatives!$BX$5:$BX$76,MATCH($A174,_ENGINE_Initiatives!$BW$5:$BW$76,0))="0-90 days",'Company Profile'!$B$6,IF(INDEX(_ENGINE_Initiatives!$BX$5:$BX$76,MATCH($A174,_ENGINE_Initiatives!$BW$5:$BW$76,0))="3-6 months",EDATE('Company Profile'!$B$6,3),IF(INDEX(_ENGINE_Initiatives!$BX$5:$BX$76,MATCH($A174,_ENGINE_Initiatives!$BW$5:$BW$76,0))="6-12 months",EDATE('Company Profile'!$B$6,6),EDATE('Company Profile'!$B$6,12)))),L$162&lt;=IF(INDEX(_ENGINE_Initiatives!$BX$5:$BX$76,MATCH($A174,_ENGINE_Initiatives!$BW$5:$BW$76,0))="0-90 days",'Company Profile'!$B$6,IF(INDEX(_ENGINE_Initiatives!$BX$5:$BX$76,MATCH($A174,_ENGINE_Initiatives!$BW$5:$BW$76,0))="3-6 months",EDATE('Company Profile'!$B$6,3),IF(INDEX(_ENGINE_Initiatives!$BX$5:$BX$76,MATCH($A174,_ENGINE_Initiatives!$BW$5:$BW$76,0))="6-12 months",EDATE('Company Profile'!$B$6,6),EDATE('Company Profile'!$B$6,12))))+(IF(INDEX(_ENGINE_Initiatives!$AB$5:$AB$76,MATCH($A174,_ENGINE_Initiatives!$BW$5:$BW$76,0))&lt;=2,6,IF(INDEX(_ENGINE_Initiatives!$AB$5:$AB$76,MATCH($A174,_ENGINE_Initiatives!$BW$5:$BW$76,0))=3,10,IF(INDEX(_ENGINE_Initiatives!$AB$5:$AB$76,MATCH($A174,_ENGINE_Initiatives!$BW$5:$BW$76,0))=4,16,24)))*7)),1,""),"")</f>
        <v/>
      </c>
      <c r="M174" s="32" t="str">
        <f ca="1">IFERROR(IF(AND(M$162&gt;=IF(INDEX(_ENGINE_Initiatives!$BX$5:$BX$76,MATCH($A174,_ENGINE_Initiatives!$BW$5:$BW$76,0))="0-90 days",'Company Profile'!$B$6,IF(INDEX(_ENGINE_Initiatives!$BX$5:$BX$76,MATCH($A174,_ENGINE_Initiatives!$BW$5:$BW$76,0))="3-6 months",EDATE('Company Profile'!$B$6,3),IF(INDEX(_ENGINE_Initiatives!$BX$5:$BX$76,MATCH($A174,_ENGINE_Initiatives!$BW$5:$BW$76,0))="6-12 months",EDATE('Company Profile'!$B$6,6),EDATE('Company Profile'!$B$6,12)))),M$162&lt;=IF(INDEX(_ENGINE_Initiatives!$BX$5:$BX$76,MATCH($A174,_ENGINE_Initiatives!$BW$5:$BW$76,0))="0-90 days",'Company Profile'!$B$6,IF(INDEX(_ENGINE_Initiatives!$BX$5:$BX$76,MATCH($A174,_ENGINE_Initiatives!$BW$5:$BW$76,0))="3-6 months",EDATE('Company Profile'!$B$6,3),IF(INDEX(_ENGINE_Initiatives!$BX$5:$BX$76,MATCH($A174,_ENGINE_Initiatives!$BW$5:$BW$76,0))="6-12 months",EDATE('Company Profile'!$B$6,6),EDATE('Company Profile'!$B$6,12))))+(IF(INDEX(_ENGINE_Initiatives!$AB$5:$AB$76,MATCH($A174,_ENGINE_Initiatives!$BW$5:$BW$76,0))&lt;=2,6,IF(INDEX(_ENGINE_Initiatives!$AB$5:$AB$76,MATCH($A174,_ENGINE_Initiatives!$BW$5:$BW$76,0))=3,10,IF(INDEX(_ENGINE_Initiatives!$AB$5:$AB$76,MATCH($A174,_ENGINE_Initiatives!$BW$5:$BW$76,0))=4,16,24)))*7)),1,""),"")</f>
        <v/>
      </c>
      <c r="N174" s="32" t="str">
        <f ca="1">IFERROR(IF(AND(N$162&gt;=IF(INDEX(_ENGINE_Initiatives!$BX$5:$BX$76,MATCH($A174,_ENGINE_Initiatives!$BW$5:$BW$76,0))="0-90 days",'Company Profile'!$B$6,IF(INDEX(_ENGINE_Initiatives!$BX$5:$BX$76,MATCH($A174,_ENGINE_Initiatives!$BW$5:$BW$76,0))="3-6 months",EDATE('Company Profile'!$B$6,3),IF(INDEX(_ENGINE_Initiatives!$BX$5:$BX$76,MATCH($A174,_ENGINE_Initiatives!$BW$5:$BW$76,0))="6-12 months",EDATE('Company Profile'!$B$6,6),EDATE('Company Profile'!$B$6,12)))),N$162&lt;=IF(INDEX(_ENGINE_Initiatives!$BX$5:$BX$76,MATCH($A174,_ENGINE_Initiatives!$BW$5:$BW$76,0))="0-90 days",'Company Profile'!$B$6,IF(INDEX(_ENGINE_Initiatives!$BX$5:$BX$76,MATCH($A174,_ENGINE_Initiatives!$BW$5:$BW$76,0))="3-6 months",EDATE('Company Profile'!$B$6,3),IF(INDEX(_ENGINE_Initiatives!$BX$5:$BX$76,MATCH($A174,_ENGINE_Initiatives!$BW$5:$BW$76,0))="6-12 months",EDATE('Company Profile'!$B$6,6),EDATE('Company Profile'!$B$6,12))))+(IF(INDEX(_ENGINE_Initiatives!$AB$5:$AB$76,MATCH($A174,_ENGINE_Initiatives!$BW$5:$BW$76,0))&lt;=2,6,IF(INDEX(_ENGINE_Initiatives!$AB$5:$AB$76,MATCH($A174,_ENGINE_Initiatives!$BW$5:$BW$76,0))=3,10,IF(INDEX(_ENGINE_Initiatives!$AB$5:$AB$76,MATCH($A174,_ENGINE_Initiatives!$BW$5:$BW$76,0))=4,16,24)))*7)),1,""),"")</f>
        <v/>
      </c>
      <c r="O174" s="32" t="str">
        <f ca="1">IFERROR(IF(AND(O$162&gt;=IF(INDEX(_ENGINE_Initiatives!$BX$5:$BX$76,MATCH($A174,_ENGINE_Initiatives!$BW$5:$BW$76,0))="0-90 days",'Company Profile'!$B$6,IF(INDEX(_ENGINE_Initiatives!$BX$5:$BX$76,MATCH($A174,_ENGINE_Initiatives!$BW$5:$BW$76,0))="3-6 months",EDATE('Company Profile'!$B$6,3),IF(INDEX(_ENGINE_Initiatives!$BX$5:$BX$76,MATCH($A174,_ENGINE_Initiatives!$BW$5:$BW$76,0))="6-12 months",EDATE('Company Profile'!$B$6,6),EDATE('Company Profile'!$B$6,12)))),O$162&lt;=IF(INDEX(_ENGINE_Initiatives!$BX$5:$BX$76,MATCH($A174,_ENGINE_Initiatives!$BW$5:$BW$76,0))="0-90 days",'Company Profile'!$B$6,IF(INDEX(_ENGINE_Initiatives!$BX$5:$BX$76,MATCH($A174,_ENGINE_Initiatives!$BW$5:$BW$76,0))="3-6 months",EDATE('Company Profile'!$B$6,3),IF(INDEX(_ENGINE_Initiatives!$BX$5:$BX$76,MATCH($A174,_ENGINE_Initiatives!$BW$5:$BW$76,0))="6-12 months",EDATE('Company Profile'!$B$6,6),EDATE('Company Profile'!$B$6,12))))+(IF(INDEX(_ENGINE_Initiatives!$AB$5:$AB$76,MATCH($A174,_ENGINE_Initiatives!$BW$5:$BW$76,0))&lt;=2,6,IF(INDEX(_ENGINE_Initiatives!$AB$5:$AB$76,MATCH($A174,_ENGINE_Initiatives!$BW$5:$BW$76,0))=3,10,IF(INDEX(_ENGINE_Initiatives!$AB$5:$AB$76,MATCH($A174,_ENGINE_Initiatives!$BW$5:$BW$76,0))=4,16,24)))*7)),1,""),"")</f>
        <v/>
      </c>
      <c r="P174" s="32" t="str">
        <f ca="1">IFERROR(IF(AND(P$162&gt;=IF(INDEX(_ENGINE_Initiatives!$BX$5:$BX$76,MATCH($A174,_ENGINE_Initiatives!$BW$5:$BW$76,0))="0-90 days",'Company Profile'!$B$6,IF(INDEX(_ENGINE_Initiatives!$BX$5:$BX$76,MATCH($A174,_ENGINE_Initiatives!$BW$5:$BW$76,0))="3-6 months",EDATE('Company Profile'!$B$6,3),IF(INDEX(_ENGINE_Initiatives!$BX$5:$BX$76,MATCH($A174,_ENGINE_Initiatives!$BW$5:$BW$76,0))="6-12 months",EDATE('Company Profile'!$B$6,6),EDATE('Company Profile'!$B$6,12)))),P$162&lt;=IF(INDEX(_ENGINE_Initiatives!$BX$5:$BX$76,MATCH($A174,_ENGINE_Initiatives!$BW$5:$BW$76,0))="0-90 days",'Company Profile'!$B$6,IF(INDEX(_ENGINE_Initiatives!$BX$5:$BX$76,MATCH($A174,_ENGINE_Initiatives!$BW$5:$BW$76,0))="3-6 months",EDATE('Company Profile'!$B$6,3),IF(INDEX(_ENGINE_Initiatives!$BX$5:$BX$76,MATCH($A174,_ENGINE_Initiatives!$BW$5:$BW$76,0))="6-12 months",EDATE('Company Profile'!$B$6,6),EDATE('Company Profile'!$B$6,12))))+(IF(INDEX(_ENGINE_Initiatives!$AB$5:$AB$76,MATCH($A174,_ENGINE_Initiatives!$BW$5:$BW$76,0))&lt;=2,6,IF(INDEX(_ENGINE_Initiatives!$AB$5:$AB$76,MATCH($A174,_ENGINE_Initiatives!$BW$5:$BW$76,0))=3,10,IF(INDEX(_ENGINE_Initiatives!$AB$5:$AB$76,MATCH($A174,_ENGINE_Initiatives!$BW$5:$BW$76,0))=4,16,24)))*7)),1,""),"")</f>
        <v/>
      </c>
      <c r="Q174" s="32" t="str">
        <f ca="1">IFERROR(IF(AND(Q$162&gt;=IF(INDEX(_ENGINE_Initiatives!$BX$5:$BX$76,MATCH($A174,_ENGINE_Initiatives!$BW$5:$BW$76,0))="0-90 days",'Company Profile'!$B$6,IF(INDEX(_ENGINE_Initiatives!$BX$5:$BX$76,MATCH($A174,_ENGINE_Initiatives!$BW$5:$BW$76,0))="3-6 months",EDATE('Company Profile'!$B$6,3),IF(INDEX(_ENGINE_Initiatives!$BX$5:$BX$76,MATCH($A174,_ENGINE_Initiatives!$BW$5:$BW$76,0))="6-12 months",EDATE('Company Profile'!$B$6,6),EDATE('Company Profile'!$B$6,12)))),Q$162&lt;=IF(INDEX(_ENGINE_Initiatives!$BX$5:$BX$76,MATCH($A174,_ENGINE_Initiatives!$BW$5:$BW$76,0))="0-90 days",'Company Profile'!$B$6,IF(INDEX(_ENGINE_Initiatives!$BX$5:$BX$76,MATCH($A174,_ENGINE_Initiatives!$BW$5:$BW$76,0))="3-6 months",EDATE('Company Profile'!$B$6,3),IF(INDEX(_ENGINE_Initiatives!$BX$5:$BX$76,MATCH($A174,_ENGINE_Initiatives!$BW$5:$BW$76,0))="6-12 months",EDATE('Company Profile'!$B$6,6),EDATE('Company Profile'!$B$6,12))))+(IF(INDEX(_ENGINE_Initiatives!$AB$5:$AB$76,MATCH($A174,_ENGINE_Initiatives!$BW$5:$BW$76,0))&lt;=2,6,IF(INDEX(_ENGINE_Initiatives!$AB$5:$AB$76,MATCH($A174,_ENGINE_Initiatives!$BW$5:$BW$76,0))=3,10,IF(INDEX(_ENGINE_Initiatives!$AB$5:$AB$76,MATCH($A174,_ENGINE_Initiatives!$BW$5:$BW$76,0))=4,16,24)))*7)),1,""),"")</f>
        <v/>
      </c>
      <c r="R174" s="32" t="str">
        <f ca="1">IFERROR(IF(AND(R$162&gt;=IF(INDEX(_ENGINE_Initiatives!$BX$5:$BX$76,MATCH($A174,_ENGINE_Initiatives!$BW$5:$BW$76,0))="0-90 days",'Company Profile'!$B$6,IF(INDEX(_ENGINE_Initiatives!$BX$5:$BX$76,MATCH($A174,_ENGINE_Initiatives!$BW$5:$BW$76,0))="3-6 months",EDATE('Company Profile'!$B$6,3),IF(INDEX(_ENGINE_Initiatives!$BX$5:$BX$76,MATCH($A174,_ENGINE_Initiatives!$BW$5:$BW$76,0))="6-12 months",EDATE('Company Profile'!$B$6,6),EDATE('Company Profile'!$B$6,12)))),R$162&lt;=IF(INDEX(_ENGINE_Initiatives!$BX$5:$BX$76,MATCH($A174,_ENGINE_Initiatives!$BW$5:$BW$76,0))="0-90 days",'Company Profile'!$B$6,IF(INDEX(_ENGINE_Initiatives!$BX$5:$BX$76,MATCH($A174,_ENGINE_Initiatives!$BW$5:$BW$76,0))="3-6 months",EDATE('Company Profile'!$B$6,3),IF(INDEX(_ENGINE_Initiatives!$BX$5:$BX$76,MATCH($A174,_ENGINE_Initiatives!$BW$5:$BW$76,0))="6-12 months",EDATE('Company Profile'!$B$6,6),EDATE('Company Profile'!$B$6,12))))+(IF(INDEX(_ENGINE_Initiatives!$AB$5:$AB$76,MATCH($A174,_ENGINE_Initiatives!$BW$5:$BW$76,0))&lt;=2,6,IF(INDEX(_ENGINE_Initiatives!$AB$5:$AB$76,MATCH($A174,_ENGINE_Initiatives!$BW$5:$BW$76,0))=3,10,IF(INDEX(_ENGINE_Initiatives!$AB$5:$AB$76,MATCH($A174,_ENGINE_Initiatives!$BW$5:$BW$76,0))=4,16,24)))*7)),1,""),"")</f>
        <v/>
      </c>
      <c r="S174" s="32" t="str">
        <f ca="1">IFERROR(IF(AND(S$162&gt;=IF(INDEX(_ENGINE_Initiatives!$BX$5:$BX$76,MATCH($A174,_ENGINE_Initiatives!$BW$5:$BW$76,0))="0-90 days",'Company Profile'!$B$6,IF(INDEX(_ENGINE_Initiatives!$BX$5:$BX$76,MATCH($A174,_ENGINE_Initiatives!$BW$5:$BW$76,0))="3-6 months",EDATE('Company Profile'!$B$6,3),IF(INDEX(_ENGINE_Initiatives!$BX$5:$BX$76,MATCH($A174,_ENGINE_Initiatives!$BW$5:$BW$76,0))="6-12 months",EDATE('Company Profile'!$B$6,6),EDATE('Company Profile'!$B$6,12)))),S$162&lt;=IF(INDEX(_ENGINE_Initiatives!$BX$5:$BX$76,MATCH($A174,_ENGINE_Initiatives!$BW$5:$BW$76,0))="0-90 days",'Company Profile'!$B$6,IF(INDEX(_ENGINE_Initiatives!$BX$5:$BX$76,MATCH($A174,_ENGINE_Initiatives!$BW$5:$BW$76,0))="3-6 months",EDATE('Company Profile'!$B$6,3),IF(INDEX(_ENGINE_Initiatives!$BX$5:$BX$76,MATCH($A174,_ENGINE_Initiatives!$BW$5:$BW$76,0))="6-12 months",EDATE('Company Profile'!$B$6,6),EDATE('Company Profile'!$B$6,12))))+(IF(INDEX(_ENGINE_Initiatives!$AB$5:$AB$76,MATCH($A174,_ENGINE_Initiatives!$BW$5:$BW$76,0))&lt;=2,6,IF(INDEX(_ENGINE_Initiatives!$AB$5:$AB$76,MATCH($A174,_ENGINE_Initiatives!$BW$5:$BW$76,0))=3,10,IF(INDEX(_ENGINE_Initiatives!$AB$5:$AB$76,MATCH($A174,_ENGINE_Initiatives!$BW$5:$BW$76,0))=4,16,24)))*7)),1,""),"")</f>
        <v/>
      </c>
      <c r="T174" s="32" t="str">
        <f ca="1">IFERROR(IF(AND(T$162&gt;=IF(INDEX(_ENGINE_Initiatives!$BX$5:$BX$76,MATCH($A174,_ENGINE_Initiatives!$BW$5:$BW$76,0))="0-90 days",'Company Profile'!$B$6,IF(INDEX(_ENGINE_Initiatives!$BX$5:$BX$76,MATCH($A174,_ENGINE_Initiatives!$BW$5:$BW$76,0))="3-6 months",EDATE('Company Profile'!$B$6,3),IF(INDEX(_ENGINE_Initiatives!$BX$5:$BX$76,MATCH($A174,_ENGINE_Initiatives!$BW$5:$BW$76,0))="6-12 months",EDATE('Company Profile'!$B$6,6),EDATE('Company Profile'!$B$6,12)))),T$162&lt;=IF(INDEX(_ENGINE_Initiatives!$BX$5:$BX$76,MATCH($A174,_ENGINE_Initiatives!$BW$5:$BW$76,0))="0-90 days",'Company Profile'!$B$6,IF(INDEX(_ENGINE_Initiatives!$BX$5:$BX$76,MATCH($A174,_ENGINE_Initiatives!$BW$5:$BW$76,0))="3-6 months",EDATE('Company Profile'!$B$6,3),IF(INDEX(_ENGINE_Initiatives!$BX$5:$BX$76,MATCH($A174,_ENGINE_Initiatives!$BW$5:$BW$76,0))="6-12 months",EDATE('Company Profile'!$B$6,6),EDATE('Company Profile'!$B$6,12))))+(IF(INDEX(_ENGINE_Initiatives!$AB$5:$AB$76,MATCH($A174,_ENGINE_Initiatives!$BW$5:$BW$76,0))&lt;=2,6,IF(INDEX(_ENGINE_Initiatives!$AB$5:$AB$76,MATCH($A174,_ENGINE_Initiatives!$BW$5:$BW$76,0))=3,10,IF(INDEX(_ENGINE_Initiatives!$AB$5:$AB$76,MATCH($A174,_ENGINE_Initiatives!$BW$5:$BW$76,0))=4,16,24)))*7)),1,""),"")</f>
        <v/>
      </c>
      <c r="U174" s="18"/>
      <c r="V174" s="18"/>
    </row>
    <row r="175" spans="1:22" ht="15" customHeight="1">
      <c r="A175" s="28" t="s">
        <v>3698</v>
      </c>
      <c r="B175" s="28" t="str">
        <f>IFERROR(INDEX(_ENGINE_Initiatives!$F$5:$F$76,MATCH($A175,_ENGINE_Initiatives!$BW$5:$BW$76,0)),"")</f>
        <v/>
      </c>
      <c r="C175" s="32" t="str">
        <f ca="1">IFERROR(IF(AND(C$162&gt;=IF(INDEX(_ENGINE_Initiatives!$BX$5:$BX$76,MATCH($A175,_ENGINE_Initiatives!$BW$5:$BW$76,0))="0-90 days",'Company Profile'!$B$6,IF(INDEX(_ENGINE_Initiatives!$BX$5:$BX$76,MATCH($A175,_ENGINE_Initiatives!$BW$5:$BW$76,0))="3-6 months",EDATE('Company Profile'!$B$6,3),IF(INDEX(_ENGINE_Initiatives!$BX$5:$BX$76,MATCH($A175,_ENGINE_Initiatives!$BW$5:$BW$76,0))="6-12 months",EDATE('Company Profile'!$B$6,6),EDATE('Company Profile'!$B$6,12)))),C$162&lt;=IF(INDEX(_ENGINE_Initiatives!$BX$5:$BX$76,MATCH($A175,_ENGINE_Initiatives!$BW$5:$BW$76,0))="0-90 days",'Company Profile'!$B$6,IF(INDEX(_ENGINE_Initiatives!$BX$5:$BX$76,MATCH($A175,_ENGINE_Initiatives!$BW$5:$BW$76,0))="3-6 months",EDATE('Company Profile'!$B$6,3),IF(INDEX(_ENGINE_Initiatives!$BX$5:$BX$76,MATCH($A175,_ENGINE_Initiatives!$BW$5:$BW$76,0))="6-12 months",EDATE('Company Profile'!$B$6,6),EDATE('Company Profile'!$B$6,12))))+(IF(INDEX(_ENGINE_Initiatives!$AB$5:$AB$76,MATCH($A175,_ENGINE_Initiatives!$BW$5:$BW$76,0))&lt;=2,6,IF(INDEX(_ENGINE_Initiatives!$AB$5:$AB$76,MATCH($A175,_ENGINE_Initiatives!$BW$5:$BW$76,0))=3,10,IF(INDEX(_ENGINE_Initiatives!$AB$5:$AB$76,MATCH($A175,_ENGINE_Initiatives!$BW$5:$BW$76,0))=4,16,24)))*7)),1,""),"")</f>
        <v/>
      </c>
      <c r="D175" s="32" t="str">
        <f ca="1">IFERROR(IF(AND(D$162&gt;=IF(INDEX(_ENGINE_Initiatives!$BX$5:$BX$76,MATCH($A175,_ENGINE_Initiatives!$BW$5:$BW$76,0))="0-90 days",'Company Profile'!$B$6,IF(INDEX(_ENGINE_Initiatives!$BX$5:$BX$76,MATCH($A175,_ENGINE_Initiatives!$BW$5:$BW$76,0))="3-6 months",EDATE('Company Profile'!$B$6,3),IF(INDEX(_ENGINE_Initiatives!$BX$5:$BX$76,MATCH($A175,_ENGINE_Initiatives!$BW$5:$BW$76,0))="6-12 months",EDATE('Company Profile'!$B$6,6),EDATE('Company Profile'!$B$6,12)))),D$162&lt;=IF(INDEX(_ENGINE_Initiatives!$BX$5:$BX$76,MATCH($A175,_ENGINE_Initiatives!$BW$5:$BW$76,0))="0-90 days",'Company Profile'!$B$6,IF(INDEX(_ENGINE_Initiatives!$BX$5:$BX$76,MATCH($A175,_ENGINE_Initiatives!$BW$5:$BW$76,0))="3-6 months",EDATE('Company Profile'!$B$6,3),IF(INDEX(_ENGINE_Initiatives!$BX$5:$BX$76,MATCH($A175,_ENGINE_Initiatives!$BW$5:$BW$76,0))="6-12 months",EDATE('Company Profile'!$B$6,6),EDATE('Company Profile'!$B$6,12))))+(IF(INDEX(_ENGINE_Initiatives!$AB$5:$AB$76,MATCH($A175,_ENGINE_Initiatives!$BW$5:$BW$76,0))&lt;=2,6,IF(INDEX(_ENGINE_Initiatives!$AB$5:$AB$76,MATCH($A175,_ENGINE_Initiatives!$BW$5:$BW$76,0))=3,10,IF(INDEX(_ENGINE_Initiatives!$AB$5:$AB$76,MATCH($A175,_ENGINE_Initiatives!$BW$5:$BW$76,0))=4,16,24)))*7)),1,""),"")</f>
        <v/>
      </c>
      <c r="E175" s="32" t="str">
        <f ca="1">IFERROR(IF(AND(E$162&gt;=IF(INDEX(_ENGINE_Initiatives!$BX$5:$BX$76,MATCH($A175,_ENGINE_Initiatives!$BW$5:$BW$76,0))="0-90 days",'Company Profile'!$B$6,IF(INDEX(_ENGINE_Initiatives!$BX$5:$BX$76,MATCH($A175,_ENGINE_Initiatives!$BW$5:$BW$76,0))="3-6 months",EDATE('Company Profile'!$B$6,3),IF(INDEX(_ENGINE_Initiatives!$BX$5:$BX$76,MATCH($A175,_ENGINE_Initiatives!$BW$5:$BW$76,0))="6-12 months",EDATE('Company Profile'!$B$6,6),EDATE('Company Profile'!$B$6,12)))),E$162&lt;=IF(INDEX(_ENGINE_Initiatives!$BX$5:$BX$76,MATCH($A175,_ENGINE_Initiatives!$BW$5:$BW$76,0))="0-90 days",'Company Profile'!$B$6,IF(INDEX(_ENGINE_Initiatives!$BX$5:$BX$76,MATCH($A175,_ENGINE_Initiatives!$BW$5:$BW$76,0))="3-6 months",EDATE('Company Profile'!$B$6,3),IF(INDEX(_ENGINE_Initiatives!$BX$5:$BX$76,MATCH($A175,_ENGINE_Initiatives!$BW$5:$BW$76,0))="6-12 months",EDATE('Company Profile'!$B$6,6),EDATE('Company Profile'!$B$6,12))))+(IF(INDEX(_ENGINE_Initiatives!$AB$5:$AB$76,MATCH($A175,_ENGINE_Initiatives!$BW$5:$BW$76,0))&lt;=2,6,IF(INDEX(_ENGINE_Initiatives!$AB$5:$AB$76,MATCH($A175,_ENGINE_Initiatives!$BW$5:$BW$76,0))=3,10,IF(INDEX(_ENGINE_Initiatives!$AB$5:$AB$76,MATCH($A175,_ENGINE_Initiatives!$BW$5:$BW$76,0))=4,16,24)))*7)),1,""),"")</f>
        <v/>
      </c>
      <c r="F175" s="32" t="str">
        <f ca="1">IFERROR(IF(AND(F$162&gt;=IF(INDEX(_ENGINE_Initiatives!$BX$5:$BX$76,MATCH($A175,_ENGINE_Initiatives!$BW$5:$BW$76,0))="0-90 days",'Company Profile'!$B$6,IF(INDEX(_ENGINE_Initiatives!$BX$5:$BX$76,MATCH($A175,_ENGINE_Initiatives!$BW$5:$BW$76,0))="3-6 months",EDATE('Company Profile'!$B$6,3),IF(INDEX(_ENGINE_Initiatives!$BX$5:$BX$76,MATCH($A175,_ENGINE_Initiatives!$BW$5:$BW$76,0))="6-12 months",EDATE('Company Profile'!$B$6,6),EDATE('Company Profile'!$B$6,12)))),F$162&lt;=IF(INDEX(_ENGINE_Initiatives!$BX$5:$BX$76,MATCH($A175,_ENGINE_Initiatives!$BW$5:$BW$76,0))="0-90 days",'Company Profile'!$B$6,IF(INDEX(_ENGINE_Initiatives!$BX$5:$BX$76,MATCH($A175,_ENGINE_Initiatives!$BW$5:$BW$76,0))="3-6 months",EDATE('Company Profile'!$B$6,3),IF(INDEX(_ENGINE_Initiatives!$BX$5:$BX$76,MATCH($A175,_ENGINE_Initiatives!$BW$5:$BW$76,0))="6-12 months",EDATE('Company Profile'!$B$6,6),EDATE('Company Profile'!$B$6,12))))+(IF(INDEX(_ENGINE_Initiatives!$AB$5:$AB$76,MATCH($A175,_ENGINE_Initiatives!$BW$5:$BW$76,0))&lt;=2,6,IF(INDEX(_ENGINE_Initiatives!$AB$5:$AB$76,MATCH($A175,_ENGINE_Initiatives!$BW$5:$BW$76,0))=3,10,IF(INDEX(_ENGINE_Initiatives!$AB$5:$AB$76,MATCH($A175,_ENGINE_Initiatives!$BW$5:$BW$76,0))=4,16,24)))*7)),1,""),"")</f>
        <v/>
      </c>
      <c r="G175" s="32" t="str">
        <f ca="1">IFERROR(IF(AND(G$162&gt;=IF(INDEX(_ENGINE_Initiatives!$BX$5:$BX$76,MATCH($A175,_ENGINE_Initiatives!$BW$5:$BW$76,0))="0-90 days",'Company Profile'!$B$6,IF(INDEX(_ENGINE_Initiatives!$BX$5:$BX$76,MATCH($A175,_ENGINE_Initiatives!$BW$5:$BW$76,0))="3-6 months",EDATE('Company Profile'!$B$6,3),IF(INDEX(_ENGINE_Initiatives!$BX$5:$BX$76,MATCH($A175,_ENGINE_Initiatives!$BW$5:$BW$76,0))="6-12 months",EDATE('Company Profile'!$B$6,6),EDATE('Company Profile'!$B$6,12)))),G$162&lt;=IF(INDEX(_ENGINE_Initiatives!$BX$5:$BX$76,MATCH($A175,_ENGINE_Initiatives!$BW$5:$BW$76,0))="0-90 days",'Company Profile'!$B$6,IF(INDEX(_ENGINE_Initiatives!$BX$5:$BX$76,MATCH($A175,_ENGINE_Initiatives!$BW$5:$BW$76,0))="3-6 months",EDATE('Company Profile'!$B$6,3),IF(INDEX(_ENGINE_Initiatives!$BX$5:$BX$76,MATCH($A175,_ENGINE_Initiatives!$BW$5:$BW$76,0))="6-12 months",EDATE('Company Profile'!$B$6,6),EDATE('Company Profile'!$B$6,12))))+(IF(INDEX(_ENGINE_Initiatives!$AB$5:$AB$76,MATCH($A175,_ENGINE_Initiatives!$BW$5:$BW$76,0))&lt;=2,6,IF(INDEX(_ENGINE_Initiatives!$AB$5:$AB$76,MATCH($A175,_ENGINE_Initiatives!$BW$5:$BW$76,0))=3,10,IF(INDEX(_ENGINE_Initiatives!$AB$5:$AB$76,MATCH($A175,_ENGINE_Initiatives!$BW$5:$BW$76,0))=4,16,24)))*7)),1,""),"")</f>
        <v/>
      </c>
      <c r="H175" s="32" t="str">
        <f ca="1">IFERROR(IF(AND(H$162&gt;=IF(INDEX(_ENGINE_Initiatives!$BX$5:$BX$76,MATCH($A175,_ENGINE_Initiatives!$BW$5:$BW$76,0))="0-90 days",'Company Profile'!$B$6,IF(INDEX(_ENGINE_Initiatives!$BX$5:$BX$76,MATCH($A175,_ENGINE_Initiatives!$BW$5:$BW$76,0))="3-6 months",EDATE('Company Profile'!$B$6,3),IF(INDEX(_ENGINE_Initiatives!$BX$5:$BX$76,MATCH($A175,_ENGINE_Initiatives!$BW$5:$BW$76,0))="6-12 months",EDATE('Company Profile'!$B$6,6),EDATE('Company Profile'!$B$6,12)))),H$162&lt;=IF(INDEX(_ENGINE_Initiatives!$BX$5:$BX$76,MATCH($A175,_ENGINE_Initiatives!$BW$5:$BW$76,0))="0-90 days",'Company Profile'!$B$6,IF(INDEX(_ENGINE_Initiatives!$BX$5:$BX$76,MATCH($A175,_ENGINE_Initiatives!$BW$5:$BW$76,0))="3-6 months",EDATE('Company Profile'!$B$6,3),IF(INDEX(_ENGINE_Initiatives!$BX$5:$BX$76,MATCH($A175,_ENGINE_Initiatives!$BW$5:$BW$76,0))="6-12 months",EDATE('Company Profile'!$B$6,6),EDATE('Company Profile'!$B$6,12))))+(IF(INDEX(_ENGINE_Initiatives!$AB$5:$AB$76,MATCH($A175,_ENGINE_Initiatives!$BW$5:$BW$76,0))&lt;=2,6,IF(INDEX(_ENGINE_Initiatives!$AB$5:$AB$76,MATCH($A175,_ENGINE_Initiatives!$BW$5:$BW$76,0))=3,10,IF(INDEX(_ENGINE_Initiatives!$AB$5:$AB$76,MATCH($A175,_ENGINE_Initiatives!$BW$5:$BW$76,0))=4,16,24)))*7)),1,""),"")</f>
        <v/>
      </c>
      <c r="I175" s="32" t="str">
        <f ca="1">IFERROR(IF(AND(I$162&gt;=IF(INDEX(_ENGINE_Initiatives!$BX$5:$BX$76,MATCH($A175,_ENGINE_Initiatives!$BW$5:$BW$76,0))="0-90 days",'Company Profile'!$B$6,IF(INDEX(_ENGINE_Initiatives!$BX$5:$BX$76,MATCH($A175,_ENGINE_Initiatives!$BW$5:$BW$76,0))="3-6 months",EDATE('Company Profile'!$B$6,3),IF(INDEX(_ENGINE_Initiatives!$BX$5:$BX$76,MATCH($A175,_ENGINE_Initiatives!$BW$5:$BW$76,0))="6-12 months",EDATE('Company Profile'!$B$6,6),EDATE('Company Profile'!$B$6,12)))),I$162&lt;=IF(INDEX(_ENGINE_Initiatives!$BX$5:$BX$76,MATCH($A175,_ENGINE_Initiatives!$BW$5:$BW$76,0))="0-90 days",'Company Profile'!$B$6,IF(INDEX(_ENGINE_Initiatives!$BX$5:$BX$76,MATCH($A175,_ENGINE_Initiatives!$BW$5:$BW$76,0))="3-6 months",EDATE('Company Profile'!$B$6,3),IF(INDEX(_ENGINE_Initiatives!$BX$5:$BX$76,MATCH($A175,_ENGINE_Initiatives!$BW$5:$BW$76,0))="6-12 months",EDATE('Company Profile'!$B$6,6),EDATE('Company Profile'!$B$6,12))))+(IF(INDEX(_ENGINE_Initiatives!$AB$5:$AB$76,MATCH($A175,_ENGINE_Initiatives!$BW$5:$BW$76,0))&lt;=2,6,IF(INDEX(_ENGINE_Initiatives!$AB$5:$AB$76,MATCH($A175,_ENGINE_Initiatives!$BW$5:$BW$76,0))=3,10,IF(INDEX(_ENGINE_Initiatives!$AB$5:$AB$76,MATCH($A175,_ENGINE_Initiatives!$BW$5:$BW$76,0))=4,16,24)))*7)),1,""),"")</f>
        <v/>
      </c>
      <c r="J175" s="32" t="str">
        <f ca="1">IFERROR(IF(AND(J$162&gt;=IF(INDEX(_ENGINE_Initiatives!$BX$5:$BX$76,MATCH($A175,_ENGINE_Initiatives!$BW$5:$BW$76,0))="0-90 days",'Company Profile'!$B$6,IF(INDEX(_ENGINE_Initiatives!$BX$5:$BX$76,MATCH($A175,_ENGINE_Initiatives!$BW$5:$BW$76,0))="3-6 months",EDATE('Company Profile'!$B$6,3),IF(INDEX(_ENGINE_Initiatives!$BX$5:$BX$76,MATCH($A175,_ENGINE_Initiatives!$BW$5:$BW$76,0))="6-12 months",EDATE('Company Profile'!$B$6,6),EDATE('Company Profile'!$B$6,12)))),J$162&lt;=IF(INDEX(_ENGINE_Initiatives!$BX$5:$BX$76,MATCH($A175,_ENGINE_Initiatives!$BW$5:$BW$76,0))="0-90 days",'Company Profile'!$B$6,IF(INDEX(_ENGINE_Initiatives!$BX$5:$BX$76,MATCH($A175,_ENGINE_Initiatives!$BW$5:$BW$76,0))="3-6 months",EDATE('Company Profile'!$B$6,3),IF(INDEX(_ENGINE_Initiatives!$BX$5:$BX$76,MATCH($A175,_ENGINE_Initiatives!$BW$5:$BW$76,0))="6-12 months",EDATE('Company Profile'!$B$6,6),EDATE('Company Profile'!$B$6,12))))+(IF(INDEX(_ENGINE_Initiatives!$AB$5:$AB$76,MATCH($A175,_ENGINE_Initiatives!$BW$5:$BW$76,0))&lt;=2,6,IF(INDEX(_ENGINE_Initiatives!$AB$5:$AB$76,MATCH($A175,_ENGINE_Initiatives!$BW$5:$BW$76,0))=3,10,IF(INDEX(_ENGINE_Initiatives!$AB$5:$AB$76,MATCH($A175,_ENGINE_Initiatives!$BW$5:$BW$76,0))=4,16,24)))*7)),1,""),"")</f>
        <v/>
      </c>
      <c r="K175" s="32" t="str">
        <f ca="1">IFERROR(IF(AND(K$162&gt;=IF(INDEX(_ENGINE_Initiatives!$BX$5:$BX$76,MATCH($A175,_ENGINE_Initiatives!$BW$5:$BW$76,0))="0-90 days",'Company Profile'!$B$6,IF(INDEX(_ENGINE_Initiatives!$BX$5:$BX$76,MATCH($A175,_ENGINE_Initiatives!$BW$5:$BW$76,0))="3-6 months",EDATE('Company Profile'!$B$6,3),IF(INDEX(_ENGINE_Initiatives!$BX$5:$BX$76,MATCH($A175,_ENGINE_Initiatives!$BW$5:$BW$76,0))="6-12 months",EDATE('Company Profile'!$B$6,6),EDATE('Company Profile'!$B$6,12)))),K$162&lt;=IF(INDEX(_ENGINE_Initiatives!$BX$5:$BX$76,MATCH($A175,_ENGINE_Initiatives!$BW$5:$BW$76,0))="0-90 days",'Company Profile'!$B$6,IF(INDEX(_ENGINE_Initiatives!$BX$5:$BX$76,MATCH($A175,_ENGINE_Initiatives!$BW$5:$BW$76,0))="3-6 months",EDATE('Company Profile'!$B$6,3),IF(INDEX(_ENGINE_Initiatives!$BX$5:$BX$76,MATCH($A175,_ENGINE_Initiatives!$BW$5:$BW$76,0))="6-12 months",EDATE('Company Profile'!$B$6,6),EDATE('Company Profile'!$B$6,12))))+(IF(INDEX(_ENGINE_Initiatives!$AB$5:$AB$76,MATCH($A175,_ENGINE_Initiatives!$BW$5:$BW$76,0))&lt;=2,6,IF(INDEX(_ENGINE_Initiatives!$AB$5:$AB$76,MATCH($A175,_ENGINE_Initiatives!$BW$5:$BW$76,0))=3,10,IF(INDEX(_ENGINE_Initiatives!$AB$5:$AB$76,MATCH($A175,_ENGINE_Initiatives!$BW$5:$BW$76,0))=4,16,24)))*7)),1,""),"")</f>
        <v/>
      </c>
      <c r="L175" s="32" t="str">
        <f ca="1">IFERROR(IF(AND(L$162&gt;=IF(INDEX(_ENGINE_Initiatives!$BX$5:$BX$76,MATCH($A175,_ENGINE_Initiatives!$BW$5:$BW$76,0))="0-90 days",'Company Profile'!$B$6,IF(INDEX(_ENGINE_Initiatives!$BX$5:$BX$76,MATCH($A175,_ENGINE_Initiatives!$BW$5:$BW$76,0))="3-6 months",EDATE('Company Profile'!$B$6,3),IF(INDEX(_ENGINE_Initiatives!$BX$5:$BX$76,MATCH($A175,_ENGINE_Initiatives!$BW$5:$BW$76,0))="6-12 months",EDATE('Company Profile'!$B$6,6),EDATE('Company Profile'!$B$6,12)))),L$162&lt;=IF(INDEX(_ENGINE_Initiatives!$BX$5:$BX$76,MATCH($A175,_ENGINE_Initiatives!$BW$5:$BW$76,0))="0-90 days",'Company Profile'!$B$6,IF(INDEX(_ENGINE_Initiatives!$BX$5:$BX$76,MATCH($A175,_ENGINE_Initiatives!$BW$5:$BW$76,0))="3-6 months",EDATE('Company Profile'!$B$6,3),IF(INDEX(_ENGINE_Initiatives!$BX$5:$BX$76,MATCH($A175,_ENGINE_Initiatives!$BW$5:$BW$76,0))="6-12 months",EDATE('Company Profile'!$B$6,6),EDATE('Company Profile'!$B$6,12))))+(IF(INDEX(_ENGINE_Initiatives!$AB$5:$AB$76,MATCH($A175,_ENGINE_Initiatives!$BW$5:$BW$76,0))&lt;=2,6,IF(INDEX(_ENGINE_Initiatives!$AB$5:$AB$76,MATCH($A175,_ENGINE_Initiatives!$BW$5:$BW$76,0))=3,10,IF(INDEX(_ENGINE_Initiatives!$AB$5:$AB$76,MATCH($A175,_ENGINE_Initiatives!$BW$5:$BW$76,0))=4,16,24)))*7)),1,""),"")</f>
        <v/>
      </c>
      <c r="M175" s="32" t="str">
        <f ca="1">IFERROR(IF(AND(M$162&gt;=IF(INDEX(_ENGINE_Initiatives!$BX$5:$BX$76,MATCH($A175,_ENGINE_Initiatives!$BW$5:$BW$76,0))="0-90 days",'Company Profile'!$B$6,IF(INDEX(_ENGINE_Initiatives!$BX$5:$BX$76,MATCH($A175,_ENGINE_Initiatives!$BW$5:$BW$76,0))="3-6 months",EDATE('Company Profile'!$B$6,3),IF(INDEX(_ENGINE_Initiatives!$BX$5:$BX$76,MATCH($A175,_ENGINE_Initiatives!$BW$5:$BW$76,0))="6-12 months",EDATE('Company Profile'!$B$6,6),EDATE('Company Profile'!$B$6,12)))),M$162&lt;=IF(INDEX(_ENGINE_Initiatives!$BX$5:$BX$76,MATCH($A175,_ENGINE_Initiatives!$BW$5:$BW$76,0))="0-90 days",'Company Profile'!$B$6,IF(INDEX(_ENGINE_Initiatives!$BX$5:$BX$76,MATCH($A175,_ENGINE_Initiatives!$BW$5:$BW$76,0))="3-6 months",EDATE('Company Profile'!$B$6,3),IF(INDEX(_ENGINE_Initiatives!$BX$5:$BX$76,MATCH($A175,_ENGINE_Initiatives!$BW$5:$BW$76,0))="6-12 months",EDATE('Company Profile'!$B$6,6),EDATE('Company Profile'!$B$6,12))))+(IF(INDEX(_ENGINE_Initiatives!$AB$5:$AB$76,MATCH($A175,_ENGINE_Initiatives!$BW$5:$BW$76,0))&lt;=2,6,IF(INDEX(_ENGINE_Initiatives!$AB$5:$AB$76,MATCH($A175,_ENGINE_Initiatives!$BW$5:$BW$76,0))=3,10,IF(INDEX(_ENGINE_Initiatives!$AB$5:$AB$76,MATCH($A175,_ENGINE_Initiatives!$BW$5:$BW$76,0))=4,16,24)))*7)),1,""),"")</f>
        <v/>
      </c>
      <c r="N175" s="32" t="str">
        <f ca="1">IFERROR(IF(AND(N$162&gt;=IF(INDEX(_ENGINE_Initiatives!$BX$5:$BX$76,MATCH($A175,_ENGINE_Initiatives!$BW$5:$BW$76,0))="0-90 days",'Company Profile'!$B$6,IF(INDEX(_ENGINE_Initiatives!$BX$5:$BX$76,MATCH($A175,_ENGINE_Initiatives!$BW$5:$BW$76,0))="3-6 months",EDATE('Company Profile'!$B$6,3),IF(INDEX(_ENGINE_Initiatives!$BX$5:$BX$76,MATCH($A175,_ENGINE_Initiatives!$BW$5:$BW$76,0))="6-12 months",EDATE('Company Profile'!$B$6,6),EDATE('Company Profile'!$B$6,12)))),N$162&lt;=IF(INDEX(_ENGINE_Initiatives!$BX$5:$BX$76,MATCH($A175,_ENGINE_Initiatives!$BW$5:$BW$76,0))="0-90 days",'Company Profile'!$B$6,IF(INDEX(_ENGINE_Initiatives!$BX$5:$BX$76,MATCH($A175,_ENGINE_Initiatives!$BW$5:$BW$76,0))="3-6 months",EDATE('Company Profile'!$B$6,3),IF(INDEX(_ENGINE_Initiatives!$BX$5:$BX$76,MATCH($A175,_ENGINE_Initiatives!$BW$5:$BW$76,0))="6-12 months",EDATE('Company Profile'!$B$6,6),EDATE('Company Profile'!$B$6,12))))+(IF(INDEX(_ENGINE_Initiatives!$AB$5:$AB$76,MATCH($A175,_ENGINE_Initiatives!$BW$5:$BW$76,0))&lt;=2,6,IF(INDEX(_ENGINE_Initiatives!$AB$5:$AB$76,MATCH($A175,_ENGINE_Initiatives!$BW$5:$BW$76,0))=3,10,IF(INDEX(_ENGINE_Initiatives!$AB$5:$AB$76,MATCH($A175,_ENGINE_Initiatives!$BW$5:$BW$76,0))=4,16,24)))*7)),1,""),"")</f>
        <v/>
      </c>
      <c r="O175" s="32" t="str">
        <f ca="1">IFERROR(IF(AND(O$162&gt;=IF(INDEX(_ENGINE_Initiatives!$BX$5:$BX$76,MATCH($A175,_ENGINE_Initiatives!$BW$5:$BW$76,0))="0-90 days",'Company Profile'!$B$6,IF(INDEX(_ENGINE_Initiatives!$BX$5:$BX$76,MATCH($A175,_ENGINE_Initiatives!$BW$5:$BW$76,0))="3-6 months",EDATE('Company Profile'!$B$6,3),IF(INDEX(_ENGINE_Initiatives!$BX$5:$BX$76,MATCH($A175,_ENGINE_Initiatives!$BW$5:$BW$76,0))="6-12 months",EDATE('Company Profile'!$B$6,6),EDATE('Company Profile'!$B$6,12)))),O$162&lt;=IF(INDEX(_ENGINE_Initiatives!$BX$5:$BX$76,MATCH($A175,_ENGINE_Initiatives!$BW$5:$BW$76,0))="0-90 days",'Company Profile'!$B$6,IF(INDEX(_ENGINE_Initiatives!$BX$5:$BX$76,MATCH($A175,_ENGINE_Initiatives!$BW$5:$BW$76,0))="3-6 months",EDATE('Company Profile'!$B$6,3),IF(INDEX(_ENGINE_Initiatives!$BX$5:$BX$76,MATCH($A175,_ENGINE_Initiatives!$BW$5:$BW$76,0))="6-12 months",EDATE('Company Profile'!$B$6,6),EDATE('Company Profile'!$B$6,12))))+(IF(INDEX(_ENGINE_Initiatives!$AB$5:$AB$76,MATCH($A175,_ENGINE_Initiatives!$BW$5:$BW$76,0))&lt;=2,6,IF(INDEX(_ENGINE_Initiatives!$AB$5:$AB$76,MATCH($A175,_ENGINE_Initiatives!$BW$5:$BW$76,0))=3,10,IF(INDEX(_ENGINE_Initiatives!$AB$5:$AB$76,MATCH($A175,_ENGINE_Initiatives!$BW$5:$BW$76,0))=4,16,24)))*7)),1,""),"")</f>
        <v/>
      </c>
      <c r="P175" s="32" t="str">
        <f ca="1">IFERROR(IF(AND(P$162&gt;=IF(INDEX(_ENGINE_Initiatives!$BX$5:$BX$76,MATCH($A175,_ENGINE_Initiatives!$BW$5:$BW$76,0))="0-90 days",'Company Profile'!$B$6,IF(INDEX(_ENGINE_Initiatives!$BX$5:$BX$76,MATCH($A175,_ENGINE_Initiatives!$BW$5:$BW$76,0))="3-6 months",EDATE('Company Profile'!$B$6,3),IF(INDEX(_ENGINE_Initiatives!$BX$5:$BX$76,MATCH($A175,_ENGINE_Initiatives!$BW$5:$BW$76,0))="6-12 months",EDATE('Company Profile'!$B$6,6),EDATE('Company Profile'!$B$6,12)))),P$162&lt;=IF(INDEX(_ENGINE_Initiatives!$BX$5:$BX$76,MATCH($A175,_ENGINE_Initiatives!$BW$5:$BW$76,0))="0-90 days",'Company Profile'!$B$6,IF(INDEX(_ENGINE_Initiatives!$BX$5:$BX$76,MATCH($A175,_ENGINE_Initiatives!$BW$5:$BW$76,0))="3-6 months",EDATE('Company Profile'!$B$6,3),IF(INDEX(_ENGINE_Initiatives!$BX$5:$BX$76,MATCH($A175,_ENGINE_Initiatives!$BW$5:$BW$76,0))="6-12 months",EDATE('Company Profile'!$B$6,6),EDATE('Company Profile'!$B$6,12))))+(IF(INDEX(_ENGINE_Initiatives!$AB$5:$AB$76,MATCH($A175,_ENGINE_Initiatives!$BW$5:$BW$76,0))&lt;=2,6,IF(INDEX(_ENGINE_Initiatives!$AB$5:$AB$76,MATCH($A175,_ENGINE_Initiatives!$BW$5:$BW$76,0))=3,10,IF(INDEX(_ENGINE_Initiatives!$AB$5:$AB$76,MATCH($A175,_ENGINE_Initiatives!$BW$5:$BW$76,0))=4,16,24)))*7)),1,""),"")</f>
        <v/>
      </c>
      <c r="Q175" s="32" t="str">
        <f ca="1">IFERROR(IF(AND(Q$162&gt;=IF(INDEX(_ENGINE_Initiatives!$BX$5:$BX$76,MATCH($A175,_ENGINE_Initiatives!$BW$5:$BW$76,0))="0-90 days",'Company Profile'!$B$6,IF(INDEX(_ENGINE_Initiatives!$BX$5:$BX$76,MATCH($A175,_ENGINE_Initiatives!$BW$5:$BW$76,0))="3-6 months",EDATE('Company Profile'!$B$6,3),IF(INDEX(_ENGINE_Initiatives!$BX$5:$BX$76,MATCH($A175,_ENGINE_Initiatives!$BW$5:$BW$76,0))="6-12 months",EDATE('Company Profile'!$B$6,6),EDATE('Company Profile'!$B$6,12)))),Q$162&lt;=IF(INDEX(_ENGINE_Initiatives!$BX$5:$BX$76,MATCH($A175,_ENGINE_Initiatives!$BW$5:$BW$76,0))="0-90 days",'Company Profile'!$B$6,IF(INDEX(_ENGINE_Initiatives!$BX$5:$BX$76,MATCH($A175,_ENGINE_Initiatives!$BW$5:$BW$76,0))="3-6 months",EDATE('Company Profile'!$B$6,3),IF(INDEX(_ENGINE_Initiatives!$BX$5:$BX$76,MATCH($A175,_ENGINE_Initiatives!$BW$5:$BW$76,0))="6-12 months",EDATE('Company Profile'!$B$6,6),EDATE('Company Profile'!$B$6,12))))+(IF(INDEX(_ENGINE_Initiatives!$AB$5:$AB$76,MATCH($A175,_ENGINE_Initiatives!$BW$5:$BW$76,0))&lt;=2,6,IF(INDEX(_ENGINE_Initiatives!$AB$5:$AB$76,MATCH($A175,_ENGINE_Initiatives!$BW$5:$BW$76,0))=3,10,IF(INDEX(_ENGINE_Initiatives!$AB$5:$AB$76,MATCH($A175,_ENGINE_Initiatives!$BW$5:$BW$76,0))=4,16,24)))*7)),1,""),"")</f>
        <v/>
      </c>
      <c r="R175" s="32" t="str">
        <f ca="1">IFERROR(IF(AND(R$162&gt;=IF(INDEX(_ENGINE_Initiatives!$BX$5:$BX$76,MATCH($A175,_ENGINE_Initiatives!$BW$5:$BW$76,0))="0-90 days",'Company Profile'!$B$6,IF(INDEX(_ENGINE_Initiatives!$BX$5:$BX$76,MATCH($A175,_ENGINE_Initiatives!$BW$5:$BW$76,0))="3-6 months",EDATE('Company Profile'!$B$6,3),IF(INDEX(_ENGINE_Initiatives!$BX$5:$BX$76,MATCH($A175,_ENGINE_Initiatives!$BW$5:$BW$76,0))="6-12 months",EDATE('Company Profile'!$B$6,6),EDATE('Company Profile'!$B$6,12)))),R$162&lt;=IF(INDEX(_ENGINE_Initiatives!$BX$5:$BX$76,MATCH($A175,_ENGINE_Initiatives!$BW$5:$BW$76,0))="0-90 days",'Company Profile'!$B$6,IF(INDEX(_ENGINE_Initiatives!$BX$5:$BX$76,MATCH($A175,_ENGINE_Initiatives!$BW$5:$BW$76,0))="3-6 months",EDATE('Company Profile'!$B$6,3),IF(INDEX(_ENGINE_Initiatives!$BX$5:$BX$76,MATCH($A175,_ENGINE_Initiatives!$BW$5:$BW$76,0))="6-12 months",EDATE('Company Profile'!$B$6,6),EDATE('Company Profile'!$B$6,12))))+(IF(INDEX(_ENGINE_Initiatives!$AB$5:$AB$76,MATCH($A175,_ENGINE_Initiatives!$BW$5:$BW$76,0))&lt;=2,6,IF(INDEX(_ENGINE_Initiatives!$AB$5:$AB$76,MATCH($A175,_ENGINE_Initiatives!$BW$5:$BW$76,0))=3,10,IF(INDEX(_ENGINE_Initiatives!$AB$5:$AB$76,MATCH($A175,_ENGINE_Initiatives!$BW$5:$BW$76,0))=4,16,24)))*7)),1,""),"")</f>
        <v/>
      </c>
      <c r="S175" s="32" t="str">
        <f ca="1">IFERROR(IF(AND(S$162&gt;=IF(INDEX(_ENGINE_Initiatives!$BX$5:$BX$76,MATCH($A175,_ENGINE_Initiatives!$BW$5:$BW$76,0))="0-90 days",'Company Profile'!$B$6,IF(INDEX(_ENGINE_Initiatives!$BX$5:$BX$76,MATCH($A175,_ENGINE_Initiatives!$BW$5:$BW$76,0))="3-6 months",EDATE('Company Profile'!$B$6,3),IF(INDEX(_ENGINE_Initiatives!$BX$5:$BX$76,MATCH($A175,_ENGINE_Initiatives!$BW$5:$BW$76,0))="6-12 months",EDATE('Company Profile'!$B$6,6),EDATE('Company Profile'!$B$6,12)))),S$162&lt;=IF(INDEX(_ENGINE_Initiatives!$BX$5:$BX$76,MATCH($A175,_ENGINE_Initiatives!$BW$5:$BW$76,0))="0-90 days",'Company Profile'!$B$6,IF(INDEX(_ENGINE_Initiatives!$BX$5:$BX$76,MATCH($A175,_ENGINE_Initiatives!$BW$5:$BW$76,0))="3-6 months",EDATE('Company Profile'!$B$6,3),IF(INDEX(_ENGINE_Initiatives!$BX$5:$BX$76,MATCH($A175,_ENGINE_Initiatives!$BW$5:$BW$76,0))="6-12 months",EDATE('Company Profile'!$B$6,6),EDATE('Company Profile'!$B$6,12))))+(IF(INDEX(_ENGINE_Initiatives!$AB$5:$AB$76,MATCH($A175,_ENGINE_Initiatives!$BW$5:$BW$76,0))&lt;=2,6,IF(INDEX(_ENGINE_Initiatives!$AB$5:$AB$76,MATCH($A175,_ENGINE_Initiatives!$BW$5:$BW$76,0))=3,10,IF(INDEX(_ENGINE_Initiatives!$AB$5:$AB$76,MATCH($A175,_ENGINE_Initiatives!$BW$5:$BW$76,0))=4,16,24)))*7)),1,""),"")</f>
        <v/>
      </c>
      <c r="T175" s="32" t="str">
        <f ca="1">IFERROR(IF(AND(T$162&gt;=IF(INDEX(_ENGINE_Initiatives!$BX$5:$BX$76,MATCH($A175,_ENGINE_Initiatives!$BW$5:$BW$76,0))="0-90 days",'Company Profile'!$B$6,IF(INDEX(_ENGINE_Initiatives!$BX$5:$BX$76,MATCH($A175,_ENGINE_Initiatives!$BW$5:$BW$76,0))="3-6 months",EDATE('Company Profile'!$B$6,3),IF(INDEX(_ENGINE_Initiatives!$BX$5:$BX$76,MATCH($A175,_ENGINE_Initiatives!$BW$5:$BW$76,0))="6-12 months",EDATE('Company Profile'!$B$6,6),EDATE('Company Profile'!$B$6,12)))),T$162&lt;=IF(INDEX(_ENGINE_Initiatives!$BX$5:$BX$76,MATCH($A175,_ENGINE_Initiatives!$BW$5:$BW$76,0))="0-90 days",'Company Profile'!$B$6,IF(INDEX(_ENGINE_Initiatives!$BX$5:$BX$76,MATCH($A175,_ENGINE_Initiatives!$BW$5:$BW$76,0))="3-6 months",EDATE('Company Profile'!$B$6,3),IF(INDEX(_ENGINE_Initiatives!$BX$5:$BX$76,MATCH($A175,_ENGINE_Initiatives!$BW$5:$BW$76,0))="6-12 months",EDATE('Company Profile'!$B$6,6),EDATE('Company Profile'!$B$6,12))))+(IF(INDEX(_ENGINE_Initiatives!$AB$5:$AB$76,MATCH($A175,_ENGINE_Initiatives!$BW$5:$BW$76,0))&lt;=2,6,IF(INDEX(_ENGINE_Initiatives!$AB$5:$AB$76,MATCH($A175,_ENGINE_Initiatives!$BW$5:$BW$76,0))=3,10,IF(INDEX(_ENGINE_Initiatives!$AB$5:$AB$76,MATCH($A175,_ENGINE_Initiatives!$BW$5:$BW$76,0))=4,16,24)))*7)),1,""),"")</f>
        <v/>
      </c>
      <c r="U175" s="18"/>
      <c r="V175" s="18"/>
    </row>
    <row r="176" spans="1:22" ht="15" customHeight="1">
      <c r="A176" s="28" t="s">
        <v>3699</v>
      </c>
      <c r="B176" s="28" t="str">
        <f>IFERROR(INDEX(_ENGINE_Initiatives!$F$5:$F$76,MATCH($A176,_ENGINE_Initiatives!$BW$5:$BW$76,0)),"")</f>
        <v/>
      </c>
      <c r="C176" s="32" t="str">
        <f ca="1">IFERROR(IF(AND(C$162&gt;=IF(INDEX(_ENGINE_Initiatives!$BX$5:$BX$76,MATCH($A176,_ENGINE_Initiatives!$BW$5:$BW$76,0))="0-90 days",'Company Profile'!$B$6,IF(INDEX(_ENGINE_Initiatives!$BX$5:$BX$76,MATCH($A176,_ENGINE_Initiatives!$BW$5:$BW$76,0))="3-6 months",EDATE('Company Profile'!$B$6,3),IF(INDEX(_ENGINE_Initiatives!$BX$5:$BX$76,MATCH($A176,_ENGINE_Initiatives!$BW$5:$BW$76,0))="6-12 months",EDATE('Company Profile'!$B$6,6),EDATE('Company Profile'!$B$6,12)))),C$162&lt;=IF(INDEX(_ENGINE_Initiatives!$BX$5:$BX$76,MATCH($A176,_ENGINE_Initiatives!$BW$5:$BW$76,0))="0-90 days",'Company Profile'!$B$6,IF(INDEX(_ENGINE_Initiatives!$BX$5:$BX$76,MATCH($A176,_ENGINE_Initiatives!$BW$5:$BW$76,0))="3-6 months",EDATE('Company Profile'!$B$6,3),IF(INDEX(_ENGINE_Initiatives!$BX$5:$BX$76,MATCH($A176,_ENGINE_Initiatives!$BW$5:$BW$76,0))="6-12 months",EDATE('Company Profile'!$B$6,6),EDATE('Company Profile'!$B$6,12))))+(IF(INDEX(_ENGINE_Initiatives!$AB$5:$AB$76,MATCH($A176,_ENGINE_Initiatives!$BW$5:$BW$76,0))&lt;=2,6,IF(INDEX(_ENGINE_Initiatives!$AB$5:$AB$76,MATCH($A176,_ENGINE_Initiatives!$BW$5:$BW$76,0))=3,10,IF(INDEX(_ENGINE_Initiatives!$AB$5:$AB$76,MATCH($A176,_ENGINE_Initiatives!$BW$5:$BW$76,0))=4,16,24)))*7)),1,""),"")</f>
        <v/>
      </c>
      <c r="D176" s="32" t="str">
        <f ca="1">IFERROR(IF(AND(D$162&gt;=IF(INDEX(_ENGINE_Initiatives!$BX$5:$BX$76,MATCH($A176,_ENGINE_Initiatives!$BW$5:$BW$76,0))="0-90 days",'Company Profile'!$B$6,IF(INDEX(_ENGINE_Initiatives!$BX$5:$BX$76,MATCH($A176,_ENGINE_Initiatives!$BW$5:$BW$76,0))="3-6 months",EDATE('Company Profile'!$B$6,3),IF(INDEX(_ENGINE_Initiatives!$BX$5:$BX$76,MATCH($A176,_ENGINE_Initiatives!$BW$5:$BW$76,0))="6-12 months",EDATE('Company Profile'!$B$6,6),EDATE('Company Profile'!$B$6,12)))),D$162&lt;=IF(INDEX(_ENGINE_Initiatives!$BX$5:$BX$76,MATCH($A176,_ENGINE_Initiatives!$BW$5:$BW$76,0))="0-90 days",'Company Profile'!$B$6,IF(INDEX(_ENGINE_Initiatives!$BX$5:$BX$76,MATCH($A176,_ENGINE_Initiatives!$BW$5:$BW$76,0))="3-6 months",EDATE('Company Profile'!$B$6,3),IF(INDEX(_ENGINE_Initiatives!$BX$5:$BX$76,MATCH($A176,_ENGINE_Initiatives!$BW$5:$BW$76,0))="6-12 months",EDATE('Company Profile'!$B$6,6),EDATE('Company Profile'!$B$6,12))))+(IF(INDEX(_ENGINE_Initiatives!$AB$5:$AB$76,MATCH($A176,_ENGINE_Initiatives!$BW$5:$BW$76,0))&lt;=2,6,IF(INDEX(_ENGINE_Initiatives!$AB$5:$AB$76,MATCH($A176,_ENGINE_Initiatives!$BW$5:$BW$76,0))=3,10,IF(INDEX(_ENGINE_Initiatives!$AB$5:$AB$76,MATCH($A176,_ENGINE_Initiatives!$BW$5:$BW$76,0))=4,16,24)))*7)),1,""),"")</f>
        <v/>
      </c>
      <c r="E176" s="32" t="str">
        <f ca="1">IFERROR(IF(AND(E$162&gt;=IF(INDEX(_ENGINE_Initiatives!$BX$5:$BX$76,MATCH($A176,_ENGINE_Initiatives!$BW$5:$BW$76,0))="0-90 days",'Company Profile'!$B$6,IF(INDEX(_ENGINE_Initiatives!$BX$5:$BX$76,MATCH($A176,_ENGINE_Initiatives!$BW$5:$BW$76,0))="3-6 months",EDATE('Company Profile'!$B$6,3),IF(INDEX(_ENGINE_Initiatives!$BX$5:$BX$76,MATCH($A176,_ENGINE_Initiatives!$BW$5:$BW$76,0))="6-12 months",EDATE('Company Profile'!$B$6,6),EDATE('Company Profile'!$B$6,12)))),E$162&lt;=IF(INDEX(_ENGINE_Initiatives!$BX$5:$BX$76,MATCH($A176,_ENGINE_Initiatives!$BW$5:$BW$76,0))="0-90 days",'Company Profile'!$B$6,IF(INDEX(_ENGINE_Initiatives!$BX$5:$BX$76,MATCH($A176,_ENGINE_Initiatives!$BW$5:$BW$76,0))="3-6 months",EDATE('Company Profile'!$B$6,3),IF(INDEX(_ENGINE_Initiatives!$BX$5:$BX$76,MATCH($A176,_ENGINE_Initiatives!$BW$5:$BW$76,0))="6-12 months",EDATE('Company Profile'!$B$6,6),EDATE('Company Profile'!$B$6,12))))+(IF(INDEX(_ENGINE_Initiatives!$AB$5:$AB$76,MATCH($A176,_ENGINE_Initiatives!$BW$5:$BW$76,0))&lt;=2,6,IF(INDEX(_ENGINE_Initiatives!$AB$5:$AB$76,MATCH($A176,_ENGINE_Initiatives!$BW$5:$BW$76,0))=3,10,IF(INDEX(_ENGINE_Initiatives!$AB$5:$AB$76,MATCH($A176,_ENGINE_Initiatives!$BW$5:$BW$76,0))=4,16,24)))*7)),1,""),"")</f>
        <v/>
      </c>
      <c r="F176" s="32" t="str">
        <f ca="1">IFERROR(IF(AND(F$162&gt;=IF(INDEX(_ENGINE_Initiatives!$BX$5:$BX$76,MATCH($A176,_ENGINE_Initiatives!$BW$5:$BW$76,0))="0-90 days",'Company Profile'!$B$6,IF(INDEX(_ENGINE_Initiatives!$BX$5:$BX$76,MATCH($A176,_ENGINE_Initiatives!$BW$5:$BW$76,0))="3-6 months",EDATE('Company Profile'!$B$6,3),IF(INDEX(_ENGINE_Initiatives!$BX$5:$BX$76,MATCH($A176,_ENGINE_Initiatives!$BW$5:$BW$76,0))="6-12 months",EDATE('Company Profile'!$B$6,6),EDATE('Company Profile'!$B$6,12)))),F$162&lt;=IF(INDEX(_ENGINE_Initiatives!$BX$5:$BX$76,MATCH($A176,_ENGINE_Initiatives!$BW$5:$BW$76,0))="0-90 days",'Company Profile'!$B$6,IF(INDEX(_ENGINE_Initiatives!$BX$5:$BX$76,MATCH($A176,_ENGINE_Initiatives!$BW$5:$BW$76,0))="3-6 months",EDATE('Company Profile'!$B$6,3),IF(INDEX(_ENGINE_Initiatives!$BX$5:$BX$76,MATCH($A176,_ENGINE_Initiatives!$BW$5:$BW$76,0))="6-12 months",EDATE('Company Profile'!$B$6,6),EDATE('Company Profile'!$B$6,12))))+(IF(INDEX(_ENGINE_Initiatives!$AB$5:$AB$76,MATCH($A176,_ENGINE_Initiatives!$BW$5:$BW$76,0))&lt;=2,6,IF(INDEX(_ENGINE_Initiatives!$AB$5:$AB$76,MATCH($A176,_ENGINE_Initiatives!$BW$5:$BW$76,0))=3,10,IF(INDEX(_ENGINE_Initiatives!$AB$5:$AB$76,MATCH($A176,_ENGINE_Initiatives!$BW$5:$BW$76,0))=4,16,24)))*7)),1,""),"")</f>
        <v/>
      </c>
      <c r="G176" s="32" t="str">
        <f ca="1">IFERROR(IF(AND(G$162&gt;=IF(INDEX(_ENGINE_Initiatives!$BX$5:$BX$76,MATCH($A176,_ENGINE_Initiatives!$BW$5:$BW$76,0))="0-90 days",'Company Profile'!$B$6,IF(INDEX(_ENGINE_Initiatives!$BX$5:$BX$76,MATCH($A176,_ENGINE_Initiatives!$BW$5:$BW$76,0))="3-6 months",EDATE('Company Profile'!$B$6,3),IF(INDEX(_ENGINE_Initiatives!$BX$5:$BX$76,MATCH($A176,_ENGINE_Initiatives!$BW$5:$BW$76,0))="6-12 months",EDATE('Company Profile'!$B$6,6),EDATE('Company Profile'!$B$6,12)))),G$162&lt;=IF(INDEX(_ENGINE_Initiatives!$BX$5:$BX$76,MATCH($A176,_ENGINE_Initiatives!$BW$5:$BW$76,0))="0-90 days",'Company Profile'!$B$6,IF(INDEX(_ENGINE_Initiatives!$BX$5:$BX$76,MATCH($A176,_ENGINE_Initiatives!$BW$5:$BW$76,0))="3-6 months",EDATE('Company Profile'!$B$6,3),IF(INDEX(_ENGINE_Initiatives!$BX$5:$BX$76,MATCH($A176,_ENGINE_Initiatives!$BW$5:$BW$76,0))="6-12 months",EDATE('Company Profile'!$B$6,6),EDATE('Company Profile'!$B$6,12))))+(IF(INDEX(_ENGINE_Initiatives!$AB$5:$AB$76,MATCH($A176,_ENGINE_Initiatives!$BW$5:$BW$76,0))&lt;=2,6,IF(INDEX(_ENGINE_Initiatives!$AB$5:$AB$76,MATCH($A176,_ENGINE_Initiatives!$BW$5:$BW$76,0))=3,10,IF(INDEX(_ENGINE_Initiatives!$AB$5:$AB$76,MATCH($A176,_ENGINE_Initiatives!$BW$5:$BW$76,0))=4,16,24)))*7)),1,""),"")</f>
        <v/>
      </c>
      <c r="H176" s="32" t="str">
        <f ca="1">IFERROR(IF(AND(H$162&gt;=IF(INDEX(_ENGINE_Initiatives!$BX$5:$BX$76,MATCH($A176,_ENGINE_Initiatives!$BW$5:$BW$76,0))="0-90 days",'Company Profile'!$B$6,IF(INDEX(_ENGINE_Initiatives!$BX$5:$BX$76,MATCH($A176,_ENGINE_Initiatives!$BW$5:$BW$76,0))="3-6 months",EDATE('Company Profile'!$B$6,3),IF(INDEX(_ENGINE_Initiatives!$BX$5:$BX$76,MATCH($A176,_ENGINE_Initiatives!$BW$5:$BW$76,0))="6-12 months",EDATE('Company Profile'!$B$6,6),EDATE('Company Profile'!$B$6,12)))),H$162&lt;=IF(INDEX(_ENGINE_Initiatives!$BX$5:$BX$76,MATCH($A176,_ENGINE_Initiatives!$BW$5:$BW$76,0))="0-90 days",'Company Profile'!$B$6,IF(INDEX(_ENGINE_Initiatives!$BX$5:$BX$76,MATCH($A176,_ENGINE_Initiatives!$BW$5:$BW$76,0))="3-6 months",EDATE('Company Profile'!$B$6,3),IF(INDEX(_ENGINE_Initiatives!$BX$5:$BX$76,MATCH($A176,_ENGINE_Initiatives!$BW$5:$BW$76,0))="6-12 months",EDATE('Company Profile'!$B$6,6),EDATE('Company Profile'!$B$6,12))))+(IF(INDEX(_ENGINE_Initiatives!$AB$5:$AB$76,MATCH($A176,_ENGINE_Initiatives!$BW$5:$BW$76,0))&lt;=2,6,IF(INDEX(_ENGINE_Initiatives!$AB$5:$AB$76,MATCH($A176,_ENGINE_Initiatives!$BW$5:$BW$76,0))=3,10,IF(INDEX(_ENGINE_Initiatives!$AB$5:$AB$76,MATCH($A176,_ENGINE_Initiatives!$BW$5:$BW$76,0))=4,16,24)))*7)),1,""),"")</f>
        <v/>
      </c>
      <c r="I176" s="32" t="str">
        <f ca="1">IFERROR(IF(AND(I$162&gt;=IF(INDEX(_ENGINE_Initiatives!$BX$5:$BX$76,MATCH($A176,_ENGINE_Initiatives!$BW$5:$BW$76,0))="0-90 days",'Company Profile'!$B$6,IF(INDEX(_ENGINE_Initiatives!$BX$5:$BX$76,MATCH($A176,_ENGINE_Initiatives!$BW$5:$BW$76,0))="3-6 months",EDATE('Company Profile'!$B$6,3),IF(INDEX(_ENGINE_Initiatives!$BX$5:$BX$76,MATCH($A176,_ENGINE_Initiatives!$BW$5:$BW$76,0))="6-12 months",EDATE('Company Profile'!$B$6,6),EDATE('Company Profile'!$B$6,12)))),I$162&lt;=IF(INDEX(_ENGINE_Initiatives!$BX$5:$BX$76,MATCH($A176,_ENGINE_Initiatives!$BW$5:$BW$76,0))="0-90 days",'Company Profile'!$B$6,IF(INDEX(_ENGINE_Initiatives!$BX$5:$BX$76,MATCH($A176,_ENGINE_Initiatives!$BW$5:$BW$76,0))="3-6 months",EDATE('Company Profile'!$B$6,3),IF(INDEX(_ENGINE_Initiatives!$BX$5:$BX$76,MATCH($A176,_ENGINE_Initiatives!$BW$5:$BW$76,0))="6-12 months",EDATE('Company Profile'!$B$6,6),EDATE('Company Profile'!$B$6,12))))+(IF(INDEX(_ENGINE_Initiatives!$AB$5:$AB$76,MATCH($A176,_ENGINE_Initiatives!$BW$5:$BW$76,0))&lt;=2,6,IF(INDEX(_ENGINE_Initiatives!$AB$5:$AB$76,MATCH($A176,_ENGINE_Initiatives!$BW$5:$BW$76,0))=3,10,IF(INDEX(_ENGINE_Initiatives!$AB$5:$AB$76,MATCH($A176,_ENGINE_Initiatives!$BW$5:$BW$76,0))=4,16,24)))*7)),1,""),"")</f>
        <v/>
      </c>
      <c r="J176" s="32" t="str">
        <f ca="1">IFERROR(IF(AND(J$162&gt;=IF(INDEX(_ENGINE_Initiatives!$BX$5:$BX$76,MATCH($A176,_ENGINE_Initiatives!$BW$5:$BW$76,0))="0-90 days",'Company Profile'!$B$6,IF(INDEX(_ENGINE_Initiatives!$BX$5:$BX$76,MATCH($A176,_ENGINE_Initiatives!$BW$5:$BW$76,0))="3-6 months",EDATE('Company Profile'!$B$6,3),IF(INDEX(_ENGINE_Initiatives!$BX$5:$BX$76,MATCH($A176,_ENGINE_Initiatives!$BW$5:$BW$76,0))="6-12 months",EDATE('Company Profile'!$B$6,6),EDATE('Company Profile'!$B$6,12)))),J$162&lt;=IF(INDEX(_ENGINE_Initiatives!$BX$5:$BX$76,MATCH($A176,_ENGINE_Initiatives!$BW$5:$BW$76,0))="0-90 days",'Company Profile'!$B$6,IF(INDEX(_ENGINE_Initiatives!$BX$5:$BX$76,MATCH($A176,_ENGINE_Initiatives!$BW$5:$BW$76,0))="3-6 months",EDATE('Company Profile'!$B$6,3),IF(INDEX(_ENGINE_Initiatives!$BX$5:$BX$76,MATCH($A176,_ENGINE_Initiatives!$BW$5:$BW$76,0))="6-12 months",EDATE('Company Profile'!$B$6,6),EDATE('Company Profile'!$B$6,12))))+(IF(INDEX(_ENGINE_Initiatives!$AB$5:$AB$76,MATCH($A176,_ENGINE_Initiatives!$BW$5:$BW$76,0))&lt;=2,6,IF(INDEX(_ENGINE_Initiatives!$AB$5:$AB$76,MATCH($A176,_ENGINE_Initiatives!$BW$5:$BW$76,0))=3,10,IF(INDEX(_ENGINE_Initiatives!$AB$5:$AB$76,MATCH($A176,_ENGINE_Initiatives!$BW$5:$BW$76,0))=4,16,24)))*7)),1,""),"")</f>
        <v/>
      </c>
      <c r="K176" s="32" t="str">
        <f ca="1">IFERROR(IF(AND(K$162&gt;=IF(INDEX(_ENGINE_Initiatives!$BX$5:$BX$76,MATCH($A176,_ENGINE_Initiatives!$BW$5:$BW$76,0))="0-90 days",'Company Profile'!$B$6,IF(INDEX(_ENGINE_Initiatives!$BX$5:$BX$76,MATCH($A176,_ENGINE_Initiatives!$BW$5:$BW$76,0))="3-6 months",EDATE('Company Profile'!$B$6,3),IF(INDEX(_ENGINE_Initiatives!$BX$5:$BX$76,MATCH($A176,_ENGINE_Initiatives!$BW$5:$BW$76,0))="6-12 months",EDATE('Company Profile'!$B$6,6),EDATE('Company Profile'!$B$6,12)))),K$162&lt;=IF(INDEX(_ENGINE_Initiatives!$BX$5:$BX$76,MATCH($A176,_ENGINE_Initiatives!$BW$5:$BW$76,0))="0-90 days",'Company Profile'!$B$6,IF(INDEX(_ENGINE_Initiatives!$BX$5:$BX$76,MATCH($A176,_ENGINE_Initiatives!$BW$5:$BW$76,0))="3-6 months",EDATE('Company Profile'!$B$6,3),IF(INDEX(_ENGINE_Initiatives!$BX$5:$BX$76,MATCH($A176,_ENGINE_Initiatives!$BW$5:$BW$76,0))="6-12 months",EDATE('Company Profile'!$B$6,6),EDATE('Company Profile'!$B$6,12))))+(IF(INDEX(_ENGINE_Initiatives!$AB$5:$AB$76,MATCH($A176,_ENGINE_Initiatives!$BW$5:$BW$76,0))&lt;=2,6,IF(INDEX(_ENGINE_Initiatives!$AB$5:$AB$76,MATCH($A176,_ENGINE_Initiatives!$BW$5:$BW$76,0))=3,10,IF(INDEX(_ENGINE_Initiatives!$AB$5:$AB$76,MATCH($A176,_ENGINE_Initiatives!$BW$5:$BW$76,0))=4,16,24)))*7)),1,""),"")</f>
        <v/>
      </c>
      <c r="L176" s="32" t="str">
        <f ca="1">IFERROR(IF(AND(L$162&gt;=IF(INDEX(_ENGINE_Initiatives!$BX$5:$BX$76,MATCH($A176,_ENGINE_Initiatives!$BW$5:$BW$76,0))="0-90 days",'Company Profile'!$B$6,IF(INDEX(_ENGINE_Initiatives!$BX$5:$BX$76,MATCH($A176,_ENGINE_Initiatives!$BW$5:$BW$76,0))="3-6 months",EDATE('Company Profile'!$B$6,3),IF(INDEX(_ENGINE_Initiatives!$BX$5:$BX$76,MATCH($A176,_ENGINE_Initiatives!$BW$5:$BW$76,0))="6-12 months",EDATE('Company Profile'!$B$6,6),EDATE('Company Profile'!$B$6,12)))),L$162&lt;=IF(INDEX(_ENGINE_Initiatives!$BX$5:$BX$76,MATCH($A176,_ENGINE_Initiatives!$BW$5:$BW$76,0))="0-90 days",'Company Profile'!$B$6,IF(INDEX(_ENGINE_Initiatives!$BX$5:$BX$76,MATCH($A176,_ENGINE_Initiatives!$BW$5:$BW$76,0))="3-6 months",EDATE('Company Profile'!$B$6,3),IF(INDEX(_ENGINE_Initiatives!$BX$5:$BX$76,MATCH($A176,_ENGINE_Initiatives!$BW$5:$BW$76,0))="6-12 months",EDATE('Company Profile'!$B$6,6),EDATE('Company Profile'!$B$6,12))))+(IF(INDEX(_ENGINE_Initiatives!$AB$5:$AB$76,MATCH($A176,_ENGINE_Initiatives!$BW$5:$BW$76,0))&lt;=2,6,IF(INDEX(_ENGINE_Initiatives!$AB$5:$AB$76,MATCH($A176,_ENGINE_Initiatives!$BW$5:$BW$76,0))=3,10,IF(INDEX(_ENGINE_Initiatives!$AB$5:$AB$76,MATCH($A176,_ENGINE_Initiatives!$BW$5:$BW$76,0))=4,16,24)))*7)),1,""),"")</f>
        <v/>
      </c>
      <c r="M176" s="32" t="str">
        <f ca="1">IFERROR(IF(AND(M$162&gt;=IF(INDEX(_ENGINE_Initiatives!$BX$5:$BX$76,MATCH($A176,_ENGINE_Initiatives!$BW$5:$BW$76,0))="0-90 days",'Company Profile'!$B$6,IF(INDEX(_ENGINE_Initiatives!$BX$5:$BX$76,MATCH($A176,_ENGINE_Initiatives!$BW$5:$BW$76,0))="3-6 months",EDATE('Company Profile'!$B$6,3),IF(INDEX(_ENGINE_Initiatives!$BX$5:$BX$76,MATCH($A176,_ENGINE_Initiatives!$BW$5:$BW$76,0))="6-12 months",EDATE('Company Profile'!$B$6,6),EDATE('Company Profile'!$B$6,12)))),M$162&lt;=IF(INDEX(_ENGINE_Initiatives!$BX$5:$BX$76,MATCH($A176,_ENGINE_Initiatives!$BW$5:$BW$76,0))="0-90 days",'Company Profile'!$B$6,IF(INDEX(_ENGINE_Initiatives!$BX$5:$BX$76,MATCH($A176,_ENGINE_Initiatives!$BW$5:$BW$76,0))="3-6 months",EDATE('Company Profile'!$B$6,3),IF(INDEX(_ENGINE_Initiatives!$BX$5:$BX$76,MATCH($A176,_ENGINE_Initiatives!$BW$5:$BW$76,0))="6-12 months",EDATE('Company Profile'!$B$6,6),EDATE('Company Profile'!$B$6,12))))+(IF(INDEX(_ENGINE_Initiatives!$AB$5:$AB$76,MATCH($A176,_ENGINE_Initiatives!$BW$5:$BW$76,0))&lt;=2,6,IF(INDEX(_ENGINE_Initiatives!$AB$5:$AB$76,MATCH($A176,_ENGINE_Initiatives!$BW$5:$BW$76,0))=3,10,IF(INDEX(_ENGINE_Initiatives!$AB$5:$AB$76,MATCH($A176,_ENGINE_Initiatives!$BW$5:$BW$76,0))=4,16,24)))*7)),1,""),"")</f>
        <v/>
      </c>
      <c r="N176" s="32" t="str">
        <f ca="1">IFERROR(IF(AND(N$162&gt;=IF(INDEX(_ENGINE_Initiatives!$BX$5:$BX$76,MATCH($A176,_ENGINE_Initiatives!$BW$5:$BW$76,0))="0-90 days",'Company Profile'!$B$6,IF(INDEX(_ENGINE_Initiatives!$BX$5:$BX$76,MATCH($A176,_ENGINE_Initiatives!$BW$5:$BW$76,0))="3-6 months",EDATE('Company Profile'!$B$6,3),IF(INDEX(_ENGINE_Initiatives!$BX$5:$BX$76,MATCH($A176,_ENGINE_Initiatives!$BW$5:$BW$76,0))="6-12 months",EDATE('Company Profile'!$B$6,6),EDATE('Company Profile'!$B$6,12)))),N$162&lt;=IF(INDEX(_ENGINE_Initiatives!$BX$5:$BX$76,MATCH($A176,_ENGINE_Initiatives!$BW$5:$BW$76,0))="0-90 days",'Company Profile'!$B$6,IF(INDEX(_ENGINE_Initiatives!$BX$5:$BX$76,MATCH($A176,_ENGINE_Initiatives!$BW$5:$BW$76,0))="3-6 months",EDATE('Company Profile'!$B$6,3),IF(INDEX(_ENGINE_Initiatives!$BX$5:$BX$76,MATCH($A176,_ENGINE_Initiatives!$BW$5:$BW$76,0))="6-12 months",EDATE('Company Profile'!$B$6,6),EDATE('Company Profile'!$B$6,12))))+(IF(INDEX(_ENGINE_Initiatives!$AB$5:$AB$76,MATCH($A176,_ENGINE_Initiatives!$BW$5:$BW$76,0))&lt;=2,6,IF(INDEX(_ENGINE_Initiatives!$AB$5:$AB$76,MATCH($A176,_ENGINE_Initiatives!$BW$5:$BW$76,0))=3,10,IF(INDEX(_ENGINE_Initiatives!$AB$5:$AB$76,MATCH($A176,_ENGINE_Initiatives!$BW$5:$BW$76,0))=4,16,24)))*7)),1,""),"")</f>
        <v/>
      </c>
      <c r="O176" s="32" t="str">
        <f ca="1">IFERROR(IF(AND(O$162&gt;=IF(INDEX(_ENGINE_Initiatives!$BX$5:$BX$76,MATCH($A176,_ENGINE_Initiatives!$BW$5:$BW$76,0))="0-90 days",'Company Profile'!$B$6,IF(INDEX(_ENGINE_Initiatives!$BX$5:$BX$76,MATCH($A176,_ENGINE_Initiatives!$BW$5:$BW$76,0))="3-6 months",EDATE('Company Profile'!$B$6,3),IF(INDEX(_ENGINE_Initiatives!$BX$5:$BX$76,MATCH($A176,_ENGINE_Initiatives!$BW$5:$BW$76,0))="6-12 months",EDATE('Company Profile'!$B$6,6),EDATE('Company Profile'!$B$6,12)))),O$162&lt;=IF(INDEX(_ENGINE_Initiatives!$BX$5:$BX$76,MATCH($A176,_ENGINE_Initiatives!$BW$5:$BW$76,0))="0-90 days",'Company Profile'!$B$6,IF(INDEX(_ENGINE_Initiatives!$BX$5:$BX$76,MATCH($A176,_ENGINE_Initiatives!$BW$5:$BW$76,0))="3-6 months",EDATE('Company Profile'!$B$6,3),IF(INDEX(_ENGINE_Initiatives!$BX$5:$BX$76,MATCH($A176,_ENGINE_Initiatives!$BW$5:$BW$76,0))="6-12 months",EDATE('Company Profile'!$B$6,6),EDATE('Company Profile'!$B$6,12))))+(IF(INDEX(_ENGINE_Initiatives!$AB$5:$AB$76,MATCH($A176,_ENGINE_Initiatives!$BW$5:$BW$76,0))&lt;=2,6,IF(INDEX(_ENGINE_Initiatives!$AB$5:$AB$76,MATCH($A176,_ENGINE_Initiatives!$BW$5:$BW$76,0))=3,10,IF(INDEX(_ENGINE_Initiatives!$AB$5:$AB$76,MATCH($A176,_ENGINE_Initiatives!$BW$5:$BW$76,0))=4,16,24)))*7)),1,""),"")</f>
        <v/>
      </c>
      <c r="P176" s="32" t="str">
        <f ca="1">IFERROR(IF(AND(P$162&gt;=IF(INDEX(_ENGINE_Initiatives!$BX$5:$BX$76,MATCH($A176,_ENGINE_Initiatives!$BW$5:$BW$76,0))="0-90 days",'Company Profile'!$B$6,IF(INDEX(_ENGINE_Initiatives!$BX$5:$BX$76,MATCH($A176,_ENGINE_Initiatives!$BW$5:$BW$76,0))="3-6 months",EDATE('Company Profile'!$B$6,3),IF(INDEX(_ENGINE_Initiatives!$BX$5:$BX$76,MATCH($A176,_ENGINE_Initiatives!$BW$5:$BW$76,0))="6-12 months",EDATE('Company Profile'!$B$6,6),EDATE('Company Profile'!$B$6,12)))),P$162&lt;=IF(INDEX(_ENGINE_Initiatives!$BX$5:$BX$76,MATCH($A176,_ENGINE_Initiatives!$BW$5:$BW$76,0))="0-90 days",'Company Profile'!$B$6,IF(INDEX(_ENGINE_Initiatives!$BX$5:$BX$76,MATCH($A176,_ENGINE_Initiatives!$BW$5:$BW$76,0))="3-6 months",EDATE('Company Profile'!$B$6,3),IF(INDEX(_ENGINE_Initiatives!$BX$5:$BX$76,MATCH($A176,_ENGINE_Initiatives!$BW$5:$BW$76,0))="6-12 months",EDATE('Company Profile'!$B$6,6),EDATE('Company Profile'!$B$6,12))))+(IF(INDEX(_ENGINE_Initiatives!$AB$5:$AB$76,MATCH($A176,_ENGINE_Initiatives!$BW$5:$BW$76,0))&lt;=2,6,IF(INDEX(_ENGINE_Initiatives!$AB$5:$AB$76,MATCH($A176,_ENGINE_Initiatives!$BW$5:$BW$76,0))=3,10,IF(INDEX(_ENGINE_Initiatives!$AB$5:$AB$76,MATCH($A176,_ENGINE_Initiatives!$BW$5:$BW$76,0))=4,16,24)))*7)),1,""),"")</f>
        <v/>
      </c>
      <c r="Q176" s="32" t="str">
        <f ca="1">IFERROR(IF(AND(Q$162&gt;=IF(INDEX(_ENGINE_Initiatives!$BX$5:$BX$76,MATCH($A176,_ENGINE_Initiatives!$BW$5:$BW$76,0))="0-90 days",'Company Profile'!$B$6,IF(INDEX(_ENGINE_Initiatives!$BX$5:$BX$76,MATCH($A176,_ENGINE_Initiatives!$BW$5:$BW$76,0))="3-6 months",EDATE('Company Profile'!$B$6,3),IF(INDEX(_ENGINE_Initiatives!$BX$5:$BX$76,MATCH($A176,_ENGINE_Initiatives!$BW$5:$BW$76,0))="6-12 months",EDATE('Company Profile'!$B$6,6),EDATE('Company Profile'!$B$6,12)))),Q$162&lt;=IF(INDEX(_ENGINE_Initiatives!$BX$5:$BX$76,MATCH($A176,_ENGINE_Initiatives!$BW$5:$BW$76,0))="0-90 days",'Company Profile'!$B$6,IF(INDEX(_ENGINE_Initiatives!$BX$5:$BX$76,MATCH($A176,_ENGINE_Initiatives!$BW$5:$BW$76,0))="3-6 months",EDATE('Company Profile'!$B$6,3),IF(INDEX(_ENGINE_Initiatives!$BX$5:$BX$76,MATCH($A176,_ENGINE_Initiatives!$BW$5:$BW$76,0))="6-12 months",EDATE('Company Profile'!$B$6,6),EDATE('Company Profile'!$B$6,12))))+(IF(INDEX(_ENGINE_Initiatives!$AB$5:$AB$76,MATCH($A176,_ENGINE_Initiatives!$BW$5:$BW$76,0))&lt;=2,6,IF(INDEX(_ENGINE_Initiatives!$AB$5:$AB$76,MATCH($A176,_ENGINE_Initiatives!$BW$5:$BW$76,0))=3,10,IF(INDEX(_ENGINE_Initiatives!$AB$5:$AB$76,MATCH($A176,_ENGINE_Initiatives!$BW$5:$BW$76,0))=4,16,24)))*7)),1,""),"")</f>
        <v/>
      </c>
      <c r="R176" s="32" t="str">
        <f ca="1">IFERROR(IF(AND(R$162&gt;=IF(INDEX(_ENGINE_Initiatives!$BX$5:$BX$76,MATCH($A176,_ENGINE_Initiatives!$BW$5:$BW$76,0))="0-90 days",'Company Profile'!$B$6,IF(INDEX(_ENGINE_Initiatives!$BX$5:$BX$76,MATCH($A176,_ENGINE_Initiatives!$BW$5:$BW$76,0))="3-6 months",EDATE('Company Profile'!$B$6,3),IF(INDEX(_ENGINE_Initiatives!$BX$5:$BX$76,MATCH($A176,_ENGINE_Initiatives!$BW$5:$BW$76,0))="6-12 months",EDATE('Company Profile'!$B$6,6),EDATE('Company Profile'!$B$6,12)))),R$162&lt;=IF(INDEX(_ENGINE_Initiatives!$BX$5:$BX$76,MATCH($A176,_ENGINE_Initiatives!$BW$5:$BW$76,0))="0-90 days",'Company Profile'!$B$6,IF(INDEX(_ENGINE_Initiatives!$BX$5:$BX$76,MATCH($A176,_ENGINE_Initiatives!$BW$5:$BW$76,0))="3-6 months",EDATE('Company Profile'!$B$6,3),IF(INDEX(_ENGINE_Initiatives!$BX$5:$BX$76,MATCH($A176,_ENGINE_Initiatives!$BW$5:$BW$76,0))="6-12 months",EDATE('Company Profile'!$B$6,6),EDATE('Company Profile'!$B$6,12))))+(IF(INDEX(_ENGINE_Initiatives!$AB$5:$AB$76,MATCH($A176,_ENGINE_Initiatives!$BW$5:$BW$76,0))&lt;=2,6,IF(INDEX(_ENGINE_Initiatives!$AB$5:$AB$76,MATCH($A176,_ENGINE_Initiatives!$BW$5:$BW$76,0))=3,10,IF(INDEX(_ENGINE_Initiatives!$AB$5:$AB$76,MATCH($A176,_ENGINE_Initiatives!$BW$5:$BW$76,0))=4,16,24)))*7)),1,""),"")</f>
        <v/>
      </c>
      <c r="S176" s="32" t="str">
        <f ca="1">IFERROR(IF(AND(S$162&gt;=IF(INDEX(_ENGINE_Initiatives!$BX$5:$BX$76,MATCH($A176,_ENGINE_Initiatives!$BW$5:$BW$76,0))="0-90 days",'Company Profile'!$B$6,IF(INDEX(_ENGINE_Initiatives!$BX$5:$BX$76,MATCH($A176,_ENGINE_Initiatives!$BW$5:$BW$76,0))="3-6 months",EDATE('Company Profile'!$B$6,3),IF(INDEX(_ENGINE_Initiatives!$BX$5:$BX$76,MATCH($A176,_ENGINE_Initiatives!$BW$5:$BW$76,0))="6-12 months",EDATE('Company Profile'!$B$6,6),EDATE('Company Profile'!$B$6,12)))),S$162&lt;=IF(INDEX(_ENGINE_Initiatives!$BX$5:$BX$76,MATCH($A176,_ENGINE_Initiatives!$BW$5:$BW$76,0))="0-90 days",'Company Profile'!$B$6,IF(INDEX(_ENGINE_Initiatives!$BX$5:$BX$76,MATCH($A176,_ENGINE_Initiatives!$BW$5:$BW$76,0))="3-6 months",EDATE('Company Profile'!$B$6,3),IF(INDEX(_ENGINE_Initiatives!$BX$5:$BX$76,MATCH($A176,_ENGINE_Initiatives!$BW$5:$BW$76,0))="6-12 months",EDATE('Company Profile'!$B$6,6),EDATE('Company Profile'!$B$6,12))))+(IF(INDEX(_ENGINE_Initiatives!$AB$5:$AB$76,MATCH($A176,_ENGINE_Initiatives!$BW$5:$BW$76,0))&lt;=2,6,IF(INDEX(_ENGINE_Initiatives!$AB$5:$AB$76,MATCH($A176,_ENGINE_Initiatives!$BW$5:$BW$76,0))=3,10,IF(INDEX(_ENGINE_Initiatives!$AB$5:$AB$76,MATCH($A176,_ENGINE_Initiatives!$BW$5:$BW$76,0))=4,16,24)))*7)),1,""),"")</f>
        <v/>
      </c>
      <c r="T176" s="32" t="str">
        <f ca="1">IFERROR(IF(AND(T$162&gt;=IF(INDEX(_ENGINE_Initiatives!$BX$5:$BX$76,MATCH($A176,_ENGINE_Initiatives!$BW$5:$BW$76,0))="0-90 days",'Company Profile'!$B$6,IF(INDEX(_ENGINE_Initiatives!$BX$5:$BX$76,MATCH($A176,_ENGINE_Initiatives!$BW$5:$BW$76,0))="3-6 months",EDATE('Company Profile'!$B$6,3),IF(INDEX(_ENGINE_Initiatives!$BX$5:$BX$76,MATCH($A176,_ENGINE_Initiatives!$BW$5:$BW$76,0))="6-12 months",EDATE('Company Profile'!$B$6,6),EDATE('Company Profile'!$B$6,12)))),T$162&lt;=IF(INDEX(_ENGINE_Initiatives!$BX$5:$BX$76,MATCH($A176,_ENGINE_Initiatives!$BW$5:$BW$76,0))="0-90 days",'Company Profile'!$B$6,IF(INDEX(_ENGINE_Initiatives!$BX$5:$BX$76,MATCH($A176,_ENGINE_Initiatives!$BW$5:$BW$76,0))="3-6 months",EDATE('Company Profile'!$B$6,3),IF(INDEX(_ENGINE_Initiatives!$BX$5:$BX$76,MATCH($A176,_ENGINE_Initiatives!$BW$5:$BW$76,0))="6-12 months",EDATE('Company Profile'!$B$6,6),EDATE('Company Profile'!$B$6,12))))+(IF(INDEX(_ENGINE_Initiatives!$AB$5:$AB$76,MATCH($A176,_ENGINE_Initiatives!$BW$5:$BW$76,0))&lt;=2,6,IF(INDEX(_ENGINE_Initiatives!$AB$5:$AB$76,MATCH($A176,_ENGINE_Initiatives!$BW$5:$BW$76,0))=3,10,IF(INDEX(_ENGINE_Initiatives!$AB$5:$AB$76,MATCH($A176,_ENGINE_Initiatives!$BW$5:$BW$76,0))=4,16,24)))*7)),1,""),"")</f>
        <v/>
      </c>
      <c r="U176" s="18"/>
      <c r="V176" s="18"/>
    </row>
    <row r="177" spans="1:22" ht="15" customHeight="1">
      <c r="A177" s="28" t="s">
        <v>3700</v>
      </c>
      <c r="B177" s="28" t="str">
        <f>IFERROR(INDEX(_ENGINE_Initiatives!$F$5:$F$76,MATCH($A177,_ENGINE_Initiatives!$BW$5:$BW$76,0)),"")</f>
        <v/>
      </c>
      <c r="C177" s="32" t="str">
        <f ca="1">IFERROR(IF(AND(C$162&gt;=IF(INDEX(_ENGINE_Initiatives!$BX$5:$BX$76,MATCH($A177,_ENGINE_Initiatives!$BW$5:$BW$76,0))="0-90 days",'Company Profile'!$B$6,IF(INDEX(_ENGINE_Initiatives!$BX$5:$BX$76,MATCH($A177,_ENGINE_Initiatives!$BW$5:$BW$76,0))="3-6 months",EDATE('Company Profile'!$B$6,3),IF(INDEX(_ENGINE_Initiatives!$BX$5:$BX$76,MATCH($A177,_ENGINE_Initiatives!$BW$5:$BW$76,0))="6-12 months",EDATE('Company Profile'!$B$6,6),EDATE('Company Profile'!$B$6,12)))),C$162&lt;=IF(INDEX(_ENGINE_Initiatives!$BX$5:$BX$76,MATCH($A177,_ENGINE_Initiatives!$BW$5:$BW$76,0))="0-90 days",'Company Profile'!$B$6,IF(INDEX(_ENGINE_Initiatives!$BX$5:$BX$76,MATCH($A177,_ENGINE_Initiatives!$BW$5:$BW$76,0))="3-6 months",EDATE('Company Profile'!$B$6,3),IF(INDEX(_ENGINE_Initiatives!$BX$5:$BX$76,MATCH($A177,_ENGINE_Initiatives!$BW$5:$BW$76,0))="6-12 months",EDATE('Company Profile'!$B$6,6),EDATE('Company Profile'!$B$6,12))))+(IF(INDEX(_ENGINE_Initiatives!$AB$5:$AB$76,MATCH($A177,_ENGINE_Initiatives!$BW$5:$BW$76,0))&lt;=2,6,IF(INDEX(_ENGINE_Initiatives!$AB$5:$AB$76,MATCH($A177,_ENGINE_Initiatives!$BW$5:$BW$76,0))=3,10,IF(INDEX(_ENGINE_Initiatives!$AB$5:$AB$76,MATCH($A177,_ENGINE_Initiatives!$BW$5:$BW$76,0))=4,16,24)))*7)),1,""),"")</f>
        <v/>
      </c>
      <c r="D177" s="32" t="str">
        <f ca="1">IFERROR(IF(AND(D$162&gt;=IF(INDEX(_ENGINE_Initiatives!$BX$5:$BX$76,MATCH($A177,_ENGINE_Initiatives!$BW$5:$BW$76,0))="0-90 days",'Company Profile'!$B$6,IF(INDEX(_ENGINE_Initiatives!$BX$5:$BX$76,MATCH($A177,_ENGINE_Initiatives!$BW$5:$BW$76,0))="3-6 months",EDATE('Company Profile'!$B$6,3),IF(INDEX(_ENGINE_Initiatives!$BX$5:$BX$76,MATCH($A177,_ENGINE_Initiatives!$BW$5:$BW$76,0))="6-12 months",EDATE('Company Profile'!$B$6,6),EDATE('Company Profile'!$B$6,12)))),D$162&lt;=IF(INDEX(_ENGINE_Initiatives!$BX$5:$BX$76,MATCH($A177,_ENGINE_Initiatives!$BW$5:$BW$76,0))="0-90 days",'Company Profile'!$B$6,IF(INDEX(_ENGINE_Initiatives!$BX$5:$BX$76,MATCH($A177,_ENGINE_Initiatives!$BW$5:$BW$76,0))="3-6 months",EDATE('Company Profile'!$B$6,3),IF(INDEX(_ENGINE_Initiatives!$BX$5:$BX$76,MATCH($A177,_ENGINE_Initiatives!$BW$5:$BW$76,0))="6-12 months",EDATE('Company Profile'!$B$6,6),EDATE('Company Profile'!$B$6,12))))+(IF(INDEX(_ENGINE_Initiatives!$AB$5:$AB$76,MATCH($A177,_ENGINE_Initiatives!$BW$5:$BW$76,0))&lt;=2,6,IF(INDEX(_ENGINE_Initiatives!$AB$5:$AB$76,MATCH($A177,_ENGINE_Initiatives!$BW$5:$BW$76,0))=3,10,IF(INDEX(_ENGINE_Initiatives!$AB$5:$AB$76,MATCH($A177,_ENGINE_Initiatives!$BW$5:$BW$76,0))=4,16,24)))*7)),1,""),"")</f>
        <v/>
      </c>
      <c r="E177" s="32" t="str">
        <f ca="1">IFERROR(IF(AND(E$162&gt;=IF(INDEX(_ENGINE_Initiatives!$BX$5:$BX$76,MATCH($A177,_ENGINE_Initiatives!$BW$5:$BW$76,0))="0-90 days",'Company Profile'!$B$6,IF(INDEX(_ENGINE_Initiatives!$BX$5:$BX$76,MATCH($A177,_ENGINE_Initiatives!$BW$5:$BW$76,0))="3-6 months",EDATE('Company Profile'!$B$6,3),IF(INDEX(_ENGINE_Initiatives!$BX$5:$BX$76,MATCH($A177,_ENGINE_Initiatives!$BW$5:$BW$76,0))="6-12 months",EDATE('Company Profile'!$B$6,6),EDATE('Company Profile'!$B$6,12)))),E$162&lt;=IF(INDEX(_ENGINE_Initiatives!$BX$5:$BX$76,MATCH($A177,_ENGINE_Initiatives!$BW$5:$BW$76,0))="0-90 days",'Company Profile'!$B$6,IF(INDEX(_ENGINE_Initiatives!$BX$5:$BX$76,MATCH($A177,_ENGINE_Initiatives!$BW$5:$BW$76,0))="3-6 months",EDATE('Company Profile'!$B$6,3),IF(INDEX(_ENGINE_Initiatives!$BX$5:$BX$76,MATCH($A177,_ENGINE_Initiatives!$BW$5:$BW$76,0))="6-12 months",EDATE('Company Profile'!$B$6,6),EDATE('Company Profile'!$B$6,12))))+(IF(INDEX(_ENGINE_Initiatives!$AB$5:$AB$76,MATCH($A177,_ENGINE_Initiatives!$BW$5:$BW$76,0))&lt;=2,6,IF(INDEX(_ENGINE_Initiatives!$AB$5:$AB$76,MATCH($A177,_ENGINE_Initiatives!$BW$5:$BW$76,0))=3,10,IF(INDEX(_ENGINE_Initiatives!$AB$5:$AB$76,MATCH($A177,_ENGINE_Initiatives!$BW$5:$BW$76,0))=4,16,24)))*7)),1,""),"")</f>
        <v/>
      </c>
      <c r="F177" s="32" t="str">
        <f ca="1">IFERROR(IF(AND(F$162&gt;=IF(INDEX(_ENGINE_Initiatives!$BX$5:$BX$76,MATCH($A177,_ENGINE_Initiatives!$BW$5:$BW$76,0))="0-90 days",'Company Profile'!$B$6,IF(INDEX(_ENGINE_Initiatives!$BX$5:$BX$76,MATCH($A177,_ENGINE_Initiatives!$BW$5:$BW$76,0))="3-6 months",EDATE('Company Profile'!$B$6,3),IF(INDEX(_ENGINE_Initiatives!$BX$5:$BX$76,MATCH($A177,_ENGINE_Initiatives!$BW$5:$BW$76,0))="6-12 months",EDATE('Company Profile'!$B$6,6),EDATE('Company Profile'!$B$6,12)))),F$162&lt;=IF(INDEX(_ENGINE_Initiatives!$BX$5:$BX$76,MATCH($A177,_ENGINE_Initiatives!$BW$5:$BW$76,0))="0-90 days",'Company Profile'!$B$6,IF(INDEX(_ENGINE_Initiatives!$BX$5:$BX$76,MATCH($A177,_ENGINE_Initiatives!$BW$5:$BW$76,0))="3-6 months",EDATE('Company Profile'!$B$6,3),IF(INDEX(_ENGINE_Initiatives!$BX$5:$BX$76,MATCH($A177,_ENGINE_Initiatives!$BW$5:$BW$76,0))="6-12 months",EDATE('Company Profile'!$B$6,6),EDATE('Company Profile'!$B$6,12))))+(IF(INDEX(_ENGINE_Initiatives!$AB$5:$AB$76,MATCH($A177,_ENGINE_Initiatives!$BW$5:$BW$76,0))&lt;=2,6,IF(INDEX(_ENGINE_Initiatives!$AB$5:$AB$76,MATCH($A177,_ENGINE_Initiatives!$BW$5:$BW$76,0))=3,10,IF(INDEX(_ENGINE_Initiatives!$AB$5:$AB$76,MATCH($A177,_ENGINE_Initiatives!$BW$5:$BW$76,0))=4,16,24)))*7)),1,""),"")</f>
        <v/>
      </c>
      <c r="G177" s="32" t="str">
        <f ca="1">IFERROR(IF(AND(G$162&gt;=IF(INDEX(_ENGINE_Initiatives!$BX$5:$BX$76,MATCH($A177,_ENGINE_Initiatives!$BW$5:$BW$76,0))="0-90 days",'Company Profile'!$B$6,IF(INDEX(_ENGINE_Initiatives!$BX$5:$BX$76,MATCH($A177,_ENGINE_Initiatives!$BW$5:$BW$76,0))="3-6 months",EDATE('Company Profile'!$B$6,3),IF(INDEX(_ENGINE_Initiatives!$BX$5:$BX$76,MATCH($A177,_ENGINE_Initiatives!$BW$5:$BW$76,0))="6-12 months",EDATE('Company Profile'!$B$6,6),EDATE('Company Profile'!$B$6,12)))),G$162&lt;=IF(INDEX(_ENGINE_Initiatives!$BX$5:$BX$76,MATCH($A177,_ENGINE_Initiatives!$BW$5:$BW$76,0))="0-90 days",'Company Profile'!$B$6,IF(INDEX(_ENGINE_Initiatives!$BX$5:$BX$76,MATCH($A177,_ENGINE_Initiatives!$BW$5:$BW$76,0))="3-6 months",EDATE('Company Profile'!$B$6,3),IF(INDEX(_ENGINE_Initiatives!$BX$5:$BX$76,MATCH($A177,_ENGINE_Initiatives!$BW$5:$BW$76,0))="6-12 months",EDATE('Company Profile'!$B$6,6),EDATE('Company Profile'!$B$6,12))))+(IF(INDEX(_ENGINE_Initiatives!$AB$5:$AB$76,MATCH($A177,_ENGINE_Initiatives!$BW$5:$BW$76,0))&lt;=2,6,IF(INDEX(_ENGINE_Initiatives!$AB$5:$AB$76,MATCH($A177,_ENGINE_Initiatives!$BW$5:$BW$76,0))=3,10,IF(INDEX(_ENGINE_Initiatives!$AB$5:$AB$76,MATCH($A177,_ENGINE_Initiatives!$BW$5:$BW$76,0))=4,16,24)))*7)),1,""),"")</f>
        <v/>
      </c>
      <c r="H177" s="32" t="str">
        <f ca="1">IFERROR(IF(AND(H$162&gt;=IF(INDEX(_ENGINE_Initiatives!$BX$5:$BX$76,MATCH($A177,_ENGINE_Initiatives!$BW$5:$BW$76,0))="0-90 days",'Company Profile'!$B$6,IF(INDEX(_ENGINE_Initiatives!$BX$5:$BX$76,MATCH($A177,_ENGINE_Initiatives!$BW$5:$BW$76,0))="3-6 months",EDATE('Company Profile'!$B$6,3),IF(INDEX(_ENGINE_Initiatives!$BX$5:$BX$76,MATCH($A177,_ENGINE_Initiatives!$BW$5:$BW$76,0))="6-12 months",EDATE('Company Profile'!$B$6,6),EDATE('Company Profile'!$B$6,12)))),H$162&lt;=IF(INDEX(_ENGINE_Initiatives!$BX$5:$BX$76,MATCH($A177,_ENGINE_Initiatives!$BW$5:$BW$76,0))="0-90 days",'Company Profile'!$B$6,IF(INDEX(_ENGINE_Initiatives!$BX$5:$BX$76,MATCH($A177,_ENGINE_Initiatives!$BW$5:$BW$76,0))="3-6 months",EDATE('Company Profile'!$B$6,3),IF(INDEX(_ENGINE_Initiatives!$BX$5:$BX$76,MATCH($A177,_ENGINE_Initiatives!$BW$5:$BW$76,0))="6-12 months",EDATE('Company Profile'!$B$6,6),EDATE('Company Profile'!$B$6,12))))+(IF(INDEX(_ENGINE_Initiatives!$AB$5:$AB$76,MATCH($A177,_ENGINE_Initiatives!$BW$5:$BW$76,0))&lt;=2,6,IF(INDEX(_ENGINE_Initiatives!$AB$5:$AB$76,MATCH($A177,_ENGINE_Initiatives!$BW$5:$BW$76,0))=3,10,IF(INDEX(_ENGINE_Initiatives!$AB$5:$AB$76,MATCH($A177,_ENGINE_Initiatives!$BW$5:$BW$76,0))=4,16,24)))*7)),1,""),"")</f>
        <v/>
      </c>
      <c r="I177" s="32" t="str">
        <f ca="1">IFERROR(IF(AND(I$162&gt;=IF(INDEX(_ENGINE_Initiatives!$BX$5:$BX$76,MATCH($A177,_ENGINE_Initiatives!$BW$5:$BW$76,0))="0-90 days",'Company Profile'!$B$6,IF(INDEX(_ENGINE_Initiatives!$BX$5:$BX$76,MATCH($A177,_ENGINE_Initiatives!$BW$5:$BW$76,0))="3-6 months",EDATE('Company Profile'!$B$6,3),IF(INDEX(_ENGINE_Initiatives!$BX$5:$BX$76,MATCH($A177,_ENGINE_Initiatives!$BW$5:$BW$76,0))="6-12 months",EDATE('Company Profile'!$B$6,6),EDATE('Company Profile'!$B$6,12)))),I$162&lt;=IF(INDEX(_ENGINE_Initiatives!$BX$5:$BX$76,MATCH($A177,_ENGINE_Initiatives!$BW$5:$BW$76,0))="0-90 days",'Company Profile'!$B$6,IF(INDEX(_ENGINE_Initiatives!$BX$5:$BX$76,MATCH($A177,_ENGINE_Initiatives!$BW$5:$BW$76,0))="3-6 months",EDATE('Company Profile'!$B$6,3),IF(INDEX(_ENGINE_Initiatives!$BX$5:$BX$76,MATCH($A177,_ENGINE_Initiatives!$BW$5:$BW$76,0))="6-12 months",EDATE('Company Profile'!$B$6,6),EDATE('Company Profile'!$B$6,12))))+(IF(INDEX(_ENGINE_Initiatives!$AB$5:$AB$76,MATCH($A177,_ENGINE_Initiatives!$BW$5:$BW$76,0))&lt;=2,6,IF(INDEX(_ENGINE_Initiatives!$AB$5:$AB$76,MATCH($A177,_ENGINE_Initiatives!$BW$5:$BW$76,0))=3,10,IF(INDEX(_ENGINE_Initiatives!$AB$5:$AB$76,MATCH($A177,_ENGINE_Initiatives!$BW$5:$BW$76,0))=4,16,24)))*7)),1,""),"")</f>
        <v/>
      </c>
      <c r="J177" s="32" t="str">
        <f ca="1">IFERROR(IF(AND(J$162&gt;=IF(INDEX(_ENGINE_Initiatives!$BX$5:$BX$76,MATCH($A177,_ENGINE_Initiatives!$BW$5:$BW$76,0))="0-90 days",'Company Profile'!$B$6,IF(INDEX(_ENGINE_Initiatives!$BX$5:$BX$76,MATCH($A177,_ENGINE_Initiatives!$BW$5:$BW$76,0))="3-6 months",EDATE('Company Profile'!$B$6,3),IF(INDEX(_ENGINE_Initiatives!$BX$5:$BX$76,MATCH($A177,_ENGINE_Initiatives!$BW$5:$BW$76,0))="6-12 months",EDATE('Company Profile'!$B$6,6),EDATE('Company Profile'!$B$6,12)))),J$162&lt;=IF(INDEX(_ENGINE_Initiatives!$BX$5:$BX$76,MATCH($A177,_ENGINE_Initiatives!$BW$5:$BW$76,0))="0-90 days",'Company Profile'!$B$6,IF(INDEX(_ENGINE_Initiatives!$BX$5:$BX$76,MATCH($A177,_ENGINE_Initiatives!$BW$5:$BW$76,0))="3-6 months",EDATE('Company Profile'!$B$6,3),IF(INDEX(_ENGINE_Initiatives!$BX$5:$BX$76,MATCH($A177,_ENGINE_Initiatives!$BW$5:$BW$76,0))="6-12 months",EDATE('Company Profile'!$B$6,6),EDATE('Company Profile'!$B$6,12))))+(IF(INDEX(_ENGINE_Initiatives!$AB$5:$AB$76,MATCH($A177,_ENGINE_Initiatives!$BW$5:$BW$76,0))&lt;=2,6,IF(INDEX(_ENGINE_Initiatives!$AB$5:$AB$76,MATCH($A177,_ENGINE_Initiatives!$BW$5:$BW$76,0))=3,10,IF(INDEX(_ENGINE_Initiatives!$AB$5:$AB$76,MATCH($A177,_ENGINE_Initiatives!$BW$5:$BW$76,0))=4,16,24)))*7)),1,""),"")</f>
        <v/>
      </c>
      <c r="K177" s="32" t="str">
        <f ca="1">IFERROR(IF(AND(K$162&gt;=IF(INDEX(_ENGINE_Initiatives!$BX$5:$BX$76,MATCH($A177,_ENGINE_Initiatives!$BW$5:$BW$76,0))="0-90 days",'Company Profile'!$B$6,IF(INDEX(_ENGINE_Initiatives!$BX$5:$BX$76,MATCH($A177,_ENGINE_Initiatives!$BW$5:$BW$76,0))="3-6 months",EDATE('Company Profile'!$B$6,3),IF(INDEX(_ENGINE_Initiatives!$BX$5:$BX$76,MATCH($A177,_ENGINE_Initiatives!$BW$5:$BW$76,0))="6-12 months",EDATE('Company Profile'!$B$6,6),EDATE('Company Profile'!$B$6,12)))),K$162&lt;=IF(INDEX(_ENGINE_Initiatives!$BX$5:$BX$76,MATCH($A177,_ENGINE_Initiatives!$BW$5:$BW$76,0))="0-90 days",'Company Profile'!$B$6,IF(INDEX(_ENGINE_Initiatives!$BX$5:$BX$76,MATCH($A177,_ENGINE_Initiatives!$BW$5:$BW$76,0))="3-6 months",EDATE('Company Profile'!$B$6,3),IF(INDEX(_ENGINE_Initiatives!$BX$5:$BX$76,MATCH($A177,_ENGINE_Initiatives!$BW$5:$BW$76,0))="6-12 months",EDATE('Company Profile'!$B$6,6),EDATE('Company Profile'!$B$6,12))))+(IF(INDEX(_ENGINE_Initiatives!$AB$5:$AB$76,MATCH($A177,_ENGINE_Initiatives!$BW$5:$BW$76,0))&lt;=2,6,IF(INDEX(_ENGINE_Initiatives!$AB$5:$AB$76,MATCH($A177,_ENGINE_Initiatives!$BW$5:$BW$76,0))=3,10,IF(INDEX(_ENGINE_Initiatives!$AB$5:$AB$76,MATCH($A177,_ENGINE_Initiatives!$BW$5:$BW$76,0))=4,16,24)))*7)),1,""),"")</f>
        <v/>
      </c>
      <c r="L177" s="32" t="str">
        <f ca="1">IFERROR(IF(AND(L$162&gt;=IF(INDEX(_ENGINE_Initiatives!$BX$5:$BX$76,MATCH($A177,_ENGINE_Initiatives!$BW$5:$BW$76,0))="0-90 days",'Company Profile'!$B$6,IF(INDEX(_ENGINE_Initiatives!$BX$5:$BX$76,MATCH($A177,_ENGINE_Initiatives!$BW$5:$BW$76,0))="3-6 months",EDATE('Company Profile'!$B$6,3),IF(INDEX(_ENGINE_Initiatives!$BX$5:$BX$76,MATCH($A177,_ENGINE_Initiatives!$BW$5:$BW$76,0))="6-12 months",EDATE('Company Profile'!$B$6,6),EDATE('Company Profile'!$B$6,12)))),L$162&lt;=IF(INDEX(_ENGINE_Initiatives!$BX$5:$BX$76,MATCH($A177,_ENGINE_Initiatives!$BW$5:$BW$76,0))="0-90 days",'Company Profile'!$B$6,IF(INDEX(_ENGINE_Initiatives!$BX$5:$BX$76,MATCH($A177,_ENGINE_Initiatives!$BW$5:$BW$76,0))="3-6 months",EDATE('Company Profile'!$B$6,3),IF(INDEX(_ENGINE_Initiatives!$BX$5:$BX$76,MATCH($A177,_ENGINE_Initiatives!$BW$5:$BW$76,0))="6-12 months",EDATE('Company Profile'!$B$6,6),EDATE('Company Profile'!$B$6,12))))+(IF(INDEX(_ENGINE_Initiatives!$AB$5:$AB$76,MATCH($A177,_ENGINE_Initiatives!$BW$5:$BW$76,0))&lt;=2,6,IF(INDEX(_ENGINE_Initiatives!$AB$5:$AB$76,MATCH($A177,_ENGINE_Initiatives!$BW$5:$BW$76,0))=3,10,IF(INDEX(_ENGINE_Initiatives!$AB$5:$AB$76,MATCH($A177,_ENGINE_Initiatives!$BW$5:$BW$76,0))=4,16,24)))*7)),1,""),"")</f>
        <v/>
      </c>
      <c r="M177" s="32" t="str">
        <f ca="1">IFERROR(IF(AND(M$162&gt;=IF(INDEX(_ENGINE_Initiatives!$BX$5:$BX$76,MATCH($A177,_ENGINE_Initiatives!$BW$5:$BW$76,0))="0-90 days",'Company Profile'!$B$6,IF(INDEX(_ENGINE_Initiatives!$BX$5:$BX$76,MATCH($A177,_ENGINE_Initiatives!$BW$5:$BW$76,0))="3-6 months",EDATE('Company Profile'!$B$6,3),IF(INDEX(_ENGINE_Initiatives!$BX$5:$BX$76,MATCH($A177,_ENGINE_Initiatives!$BW$5:$BW$76,0))="6-12 months",EDATE('Company Profile'!$B$6,6),EDATE('Company Profile'!$B$6,12)))),M$162&lt;=IF(INDEX(_ENGINE_Initiatives!$BX$5:$BX$76,MATCH($A177,_ENGINE_Initiatives!$BW$5:$BW$76,0))="0-90 days",'Company Profile'!$B$6,IF(INDEX(_ENGINE_Initiatives!$BX$5:$BX$76,MATCH($A177,_ENGINE_Initiatives!$BW$5:$BW$76,0))="3-6 months",EDATE('Company Profile'!$B$6,3),IF(INDEX(_ENGINE_Initiatives!$BX$5:$BX$76,MATCH($A177,_ENGINE_Initiatives!$BW$5:$BW$76,0))="6-12 months",EDATE('Company Profile'!$B$6,6),EDATE('Company Profile'!$B$6,12))))+(IF(INDEX(_ENGINE_Initiatives!$AB$5:$AB$76,MATCH($A177,_ENGINE_Initiatives!$BW$5:$BW$76,0))&lt;=2,6,IF(INDEX(_ENGINE_Initiatives!$AB$5:$AB$76,MATCH($A177,_ENGINE_Initiatives!$BW$5:$BW$76,0))=3,10,IF(INDEX(_ENGINE_Initiatives!$AB$5:$AB$76,MATCH($A177,_ENGINE_Initiatives!$BW$5:$BW$76,0))=4,16,24)))*7)),1,""),"")</f>
        <v/>
      </c>
      <c r="N177" s="32" t="str">
        <f ca="1">IFERROR(IF(AND(N$162&gt;=IF(INDEX(_ENGINE_Initiatives!$BX$5:$BX$76,MATCH($A177,_ENGINE_Initiatives!$BW$5:$BW$76,0))="0-90 days",'Company Profile'!$B$6,IF(INDEX(_ENGINE_Initiatives!$BX$5:$BX$76,MATCH($A177,_ENGINE_Initiatives!$BW$5:$BW$76,0))="3-6 months",EDATE('Company Profile'!$B$6,3),IF(INDEX(_ENGINE_Initiatives!$BX$5:$BX$76,MATCH($A177,_ENGINE_Initiatives!$BW$5:$BW$76,0))="6-12 months",EDATE('Company Profile'!$B$6,6),EDATE('Company Profile'!$B$6,12)))),N$162&lt;=IF(INDEX(_ENGINE_Initiatives!$BX$5:$BX$76,MATCH($A177,_ENGINE_Initiatives!$BW$5:$BW$76,0))="0-90 days",'Company Profile'!$B$6,IF(INDEX(_ENGINE_Initiatives!$BX$5:$BX$76,MATCH($A177,_ENGINE_Initiatives!$BW$5:$BW$76,0))="3-6 months",EDATE('Company Profile'!$B$6,3),IF(INDEX(_ENGINE_Initiatives!$BX$5:$BX$76,MATCH($A177,_ENGINE_Initiatives!$BW$5:$BW$76,0))="6-12 months",EDATE('Company Profile'!$B$6,6),EDATE('Company Profile'!$B$6,12))))+(IF(INDEX(_ENGINE_Initiatives!$AB$5:$AB$76,MATCH($A177,_ENGINE_Initiatives!$BW$5:$BW$76,0))&lt;=2,6,IF(INDEX(_ENGINE_Initiatives!$AB$5:$AB$76,MATCH($A177,_ENGINE_Initiatives!$BW$5:$BW$76,0))=3,10,IF(INDEX(_ENGINE_Initiatives!$AB$5:$AB$76,MATCH($A177,_ENGINE_Initiatives!$BW$5:$BW$76,0))=4,16,24)))*7)),1,""),"")</f>
        <v/>
      </c>
      <c r="O177" s="32" t="str">
        <f ca="1">IFERROR(IF(AND(O$162&gt;=IF(INDEX(_ENGINE_Initiatives!$BX$5:$BX$76,MATCH($A177,_ENGINE_Initiatives!$BW$5:$BW$76,0))="0-90 days",'Company Profile'!$B$6,IF(INDEX(_ENGINE_Initiatives!$BX$5:$BX$76,MATCH($A177,_ENGINE_Initiatives!$BW$5:$BW$76,0))="3-6 months",EDATE('Company Profile'!$B$6,3),IF(INDEX(_ENGINE_Initiatives!$BX$5:$BX$76,MATCH($A177,_ENGINE_Initiatives!$BW$5:$BW$76,0))="6-12 months",EDATE('Company Profile'!$B$6,6),EDATE('Company Profile'!$B$6,12)))),O$162&lt;=IF(INDEX(_ENGINE_Initiatives!$BX$5:$BX$76,MATCH($A177,_ENGINE_Initiatives!$BW$5:$BW$76,0))="0-90 days",'Company Profile'!$B$6,IF(INDEX(_ENGINE_Initiatives!$BX$5:$BX$76,MATCH($A177,_ENGINE_Initiatives!$BW$5:$BW$76,0))="3-6 months",EDATE('Company Profile'!$B$6,3),IF(INDEX(_ENGINE_Initiatives!$BX$5:$BX$76,MATCH($A177,_ENGINE_Initiatives!$BW$5:$BW$76,0))="6-12 months",EDATE('Company Profile'!$B$6,6),EDATE('Company Profile'!$B$6,12))))+(IF(INDEX(_ENGINE_Initiatives!$AB$5:$AB$76,MATCH($A177,_ENGINE_Initiatives!$BW$5:$BW$76,0))&lt;=2,6,IF(INDEX(_ENGINE_Initiatives!$AB$5:$AB$76,MATCH($A177,_ENGINE_Initiatives!$BW$5:$BW$76,0))=3,10,IF(INDEX(_ENGINE_Initiatives!$AB$5:$AB$76,MATCH($A177,_ENGINE_Initiatives!$BW$5:$BW$76,0))=4,16,24)))*7)),1,""),"")</f>
        <v/>
      </c>
      <c r="P177" s="32" t="str">
        <f ca="1">IFERROR(IF(AND(P$162&gt;=IF(INDEX(_ENGINE_Initiatives!$BX$5:$BX$76,MATCH($A177,_ENGINE_Initiatives!$BW$5:$BW$76,0))="0-90 days",'Company Profile'!$B$6,IF(INDEX(_ENGINE_Initiatives!$BX$5:$BX$76,MATCH($A177,_ENGINE_Initiatives!$BW$5:$BW$76,0))="3-6 months",EDATE('Company Profile'!$B$6,3),IF(INDEX(_ENGINE_Initiatives!$BX$5:$BX$76,MATCH($A177,_ENGINE_Initiatives!$BW$5:$BW$76,0))="6-12 months",EDATE('Company Profile'!$B$6,6),EDATE('Company Profile'!$B$6,12)))),P$162&lt;=IF(INDEX(_ENGINE_Initiatives!$BX$5:$BX$76,MATCH($A177,_ENGINE_Initiatives!$BW$5:$BW$76,0))="0-90 days",'Company Profile'!$B$6,IF(INDEX(_ENGINE_Initiatives!$BX$5:$BX$76,MATCH($A177,_ENGINE_Initiatives!$BW$5:$BW$76,0))="3-6 months",EDATE('Company Profile'!$B$6,3),IF(INDEX(_ENGINE_Initiatives!$BX$5:$BX$76,MATCH($A177,_ENGINE_Initiatives!$BW$5:$BW$76,0))="6-12 months",EDATE('Company Profile'!$B$6,6),EDATE('Company Profile'!$B$6,12))))+(IF(INDEX(_ENGINE_Initiatives!$AB$5:$AB$76,MATCH($A177,_ENGINE_Initiatives!$BW$5:$BW$76,0))&lt;=2,6,IF(INDEX(_ENGINE_Initiatives!$AB$5:$AB$76,MATCH($A177,_ENGINE_Initiatives!$BW$5:$BW$76,0))=3,10,IF(INDEX(_ENGINE_Initiatives!$AB$5:$AB$76,MATCH($A177,_ENGINE_Initiatives!$BW$5:$BW$76,0))=4,16,24)))*7)),1,""),"")</f>
        <v/>
      </c>
      <c r="Q177" s="32" t="str">
        <f ca="1">IFERROR(IF(AND(Q$162&gt;=IF(INDEX(_ENGINE_Initiatives!$BX$5:$BX$76,MATCH($A177,_ENGINE_Initiatives!$BW$5:$BW$76,0))="0-90 days",'Company Profile'!$B$6,IF(INDEX(_ENGINE_Initiatives!$BX$5:$BX$76,MATCH($A177,_ENGINE_Initiatives!$BW$5:$BW$76,0))="3-6 months",EDATE('Company Profile'!$B$6,3),IF(INDEX(_ENGINE_Initiatives!$BX$5:$BX$76,MATCH($A177,_ENGINE_Initiatives!$BW$5:$BW$76,0))="6-12 months",EDATE('Company Profile'!$B$6,6),EDATE('Company Profile'!$B$6,12)))),Q$162&lt;=IF(INDEX(_ENGINE_Initiatives!$BX$5:$BX$76,MATCH($A177,_ENGINE_Initiatives!$BW$5:$BW$76,0))="0-90 days",'Company Profile'!$B$6,IF(INDEX(_ENGINE_Initiatives!$BX$5:$BX$76,MATCH($A177,_ENGINE_Initiatives!$BW$5:$BW$76,0))="3-6 months",EDATE('Company Profile'!$B$6,3),IF(INDEX(_ENGINE_Initiatives!$BX$5:$BX$76,MATCH($A177,_ENGINE_Initiatives!$BW$5:$BW$76,0))="6-12 months",EDATE('Company Profile'!$B$6,6),EDATE('Company Profile'!$B$6,12))))+(IF(INDEX(_ENGINE_Initiatives!$AB$5:$AB$76,MATCH($A177,_ENGINE_Initiatives!$BW$5:$BW$76,0))&lt;=2,6,IF(INDEX(_ENGINE_Initiatives!$AB$5:$AB$76,MATCH($A177,_ENGINE_Initiatives!$BW$5:$BW$76,0))=3,10,IF(INDEX(_ENGINE_Initiatives!$AB$5:$AB$76,MATCH($A177,_ENGINE_Initiatives!$BW$5:$BW$76,0))=4,16,24)))*7)),1,""),"")</f>
        <v/>
      </c>
      <c r="R177" s="32" t="str">
        <f ca="1">IFERROR(IF(AND(R$162&gt;=IF(INDEX(_ENGINE_Initiatives!$BX$5:$BX$76,MATCH($A177,_ENGINE_Initiatives!$BW$5:$BW$76,0))="0-90 days",'Company Profile'!$B$6,IF(INDEX(_ENGINE_Initiatives!$BX$5:$BX$76,MATCH($A177,_ENGINE_Initiatives!$BW$5:$BW$76,0))="3-6 months",EDATE('Company Profile'!$B$6,3),IF(INDEX(_ENGINE_Initiatives!$BX$5:$BX$76,MATCH($A177,_ENGINE_Initiatives!$BW$5:$BW$76,0))="6-12 months",EDATE('Company Profile'!$B$6,6),EDATE('Company Profile'!$B$6,12)))),R$162&lt;=IF(INDEX(_ENGINE_Initiatives!$BX$5:$BX$76,MATCH($A177,_ENGINE_Initiatives!$BW$5:$BW$76,0))="0-90 days",'Company Profile'!$B$6,IF(INDEX(_ENGINE_Initiatives!$BX$5:$BX$76,MATCH($A177,_ENGINE_Initiatives!$BW$5:$BW$76,0))="3-6 months",EDATE('Company Profile'!$B$6,3),IF(INDEX(_ENGINE_Initiatives!$BX$5:$BX$76,MATCH($A177,_ENGINE_Initiatives!$BW$5:$BW$76,0))="6-12 months",EDATE('Company Profile'!$B$6,6),EDATE('Company Profile'!$B$6,12))))+(IF(INDEX(_ENGINE_Initiatives!$AB$5:$AB$76,MATCH($A177,_ENGINE_Initiatives!$BW$5:$BW$76,0))&lt;=2,6,IF(INDEX(_ENGINE_Initiatives!$AB$5:$AB$76,MATCH($A177,_ENGINE_Initiatives!$BW$5:$BW$76,0))=3,10,IF(INDEX(_ENGINE_Initiatives!$AB$5:$AB$76,MATCH($A177,_ENGINE_Initiatives!$BW$5:$BW$76,0))=4,16,24)))*7)),1,""),"")</f>
        <v/>
      </c>
      <c r="S177" s="32" t="str">
        <f ca="1">IFERROR(IF(AND(S$162&gt;=IF(INDEX(_ENGINE_Initiatives!$BX$5:$BX$76,MATCH($A177,_ENGINE_Initiatives!$BW$5:$BW$76,0))="0-90 days",'Company Profile'!$B$6,IF(INDEX(_ENGINE_Initiatives!$BX$5:$BX$76,MATCH($A177,_ENGINE_Initiatives!$BW$5:$BW$76,0))="3-6 months",EDATE('Company Profile'!$B$6,3),IF(INDEX(_ENGINE_Initiatives!$BX$5:$BX$76,MATCH($A177,_ENGINE_Initiatives!$BW$5:$BW$76,0))="6-12 months",EDATE('Company Profile'!$B$6,6),EDATE('Company Profile'!$B$6,12)))),S$162&lt;=IF(INDEX(_ENGINE_Initiatives!$BX$5:$BX$76,MATCH($A177,_ENGINE_Initiatives!$BW$5:$BW$76,0))="0-90 days",'Company Profile'!$B$6,IF(INDEX(_ENGINE_Initiatives!$BX$5:$BX$76,MATCH($A177,_ENGINE_Initiatives!$BW$5:$BW$76,0))="3-6 months",EDATE('Company Profile'!$B$6,3),IF(INDEX(_ENGINE_Initiatives!$BX$5:$BX$76,MATCH($A177,_ENGINE_Initiatives!$BW$5:$BW$76,0))="6-12 months",EDATE('Company Profile'!$B$6,6),EDATE('Company Profile'!$B$6,12))))+(IF(INDEX(_ENGINE_Initiatives!$AB$5:$AB$76,MATCH($A177,_ENGINE_Initiatives!$BW$5:$BW$76,0))&lt;=2,6,IF(INDEX(_ENGINE_Initiatives!$AB$5:$AB$76,MATCH($A177,_ENGINE_Initiatives!$BW$5:$BW$76,0))=3,10,IF(INDEX(_ENGINE_Initiatives!$AB$5:$AB$76,MATCH($A177,_ENGINE_Initiatives!$BW$5:$BW$76,0))=4,16,24)))*7)),1,""),"")</f>
        <v/>
      </c>
      <c r="T177" s="32" t="str">
        <f ca="1">IFERROR(IF(AND(T$162&gt;=IF(INDEX(_ENGINE_Initiatives!$BX$5:$BX$76,MATCH($A177,_ENGINE_Initiatives!$BW$5:$BW$76,0))="0-90 days",'Company Profile'!$B$6,IF(INDEX(_ENGINE_Initiatives!$BX$5:$BX$76,MATCH($A177,_ENGINE_Initiatives!$BW$5:$BW$76,0))="3-6 months",EDATE('Company Profile'!$B$6,3),IF(INDEX(_ENGINE_Initiatives!$BX$5:$BX$76,MATCH($A177,_ENGINE_Initiatives!$BW$5:$BW$76,0))="6-12 months",EDATE('Company Profile'!$B$6,6),EDATE('Company Profile'!$B$6,12)))),T$162&lt;=IF(INDEX(_ENGINE_Initiatives!$BX$5:$BX$76,MATCH($A177,_ENGINE_Initiatives!$BW$5:$BW$76,0))="0-90 days",'Company Profile'!$B$6,IF(INDEX(_ENGINE_Initiatives!$BX$5:$BX$76,MATCH($A177,_ENGINE_Initiatives!$BW$5:$BW$76,0))="3-6 months",EDATE('Company Profile'!$B$6,3),IF(INDEX(_ENGINE_Initiatives!$BX$5:$BX$76,MATCH($A177,_ENGINE_Initiatives!$BW$5:$BW$76,0))="6-12 months",EDATE('Company Profile'!$B$6,6),EDATE('Company Profile'!$B$6,12))))+(IF(INDEX(_ENGINE_Initiatives!$AB$5:$AB$76,MATCH($A177,_ENGINE_Initiatives!$BW$5:$BW$76,0))&lt;=2,6,IF(INDEX(_ENGINE_Initiatives!$AB$5:$AB$76,MATCH($A177,_ENGINE_Initiatives!$BW$5:$BW$76,0))=3,10,IF(INDEX(_ENGINE_Initiatives!$AB$5:$AB$76,MATCH($A177,_ENGINE_Initiatives!$BW$5:$BW$76,0))=4,16,24)))*7)),1,""),"")</f>
        <v/>
      </c>
      <c r="U177" s="18"/>
      <c r="V177" s="18"/>
    </row>
    <row r="178" spans="1:22" ht="15" customHeight="1">
      <c r="A178" s="28" t="s">
        <v>3701</v>
      </c>
      <c r="B178" s="28" t="str">
        <f>IFERROR(INDEX(_ENGINE_Initiatives!$F$5:$F$76,MATCH($A178,_ENGINE_Initiatives!$BW$5:$BW$76,0)),"")</f>
        <v/>
      </c>
      <c r="C178" s="32" t="str">
        <f ca="1">IFERROR(IF(AND(C$162&gt;=IF(INDEX(_ENGINE_Initiatives!$BX$5:$BX$76,MATCH($A178,_ENGINE_Initiatives!$BW$5:$BW$76,0))="0-90 days",'Company Profile'!$B$6,IF(INDEX(_ENGINE_Initiatives!$BX$5:$BX$76,MATCH($A178,_ENGINE_Initiatives!$BW$5:$BW$76,0))="3-6 months",EDATE('Company Profile'!$B$6,3),IF(INDEX(_ENGINE_Initiatives!$BX$5:$BX$76,MATCH($A178,_ENGINE_Initiatives!$BW$5:$BW$76,0))="6-12 months",EDATE('Company Profile'!$B$6,6),EDATE('Company Profile'!$B$6,12)))),C$162&lt;=IF(INDEX(_ENGINE_Initiatives!$BX$5:$BX$76,MATCH($A178,_ENGINE_Initiatives!$BW$5:$BW$76,0))="0-90 days",'Company Profile'!$B$6,IF(INDEX(_ENGINE_Initiatives!$BX$5:$BX$76,MATCH($A178,_ENGINE_Initiatives!$BW$5:$BW$76,0))="3-6 months",EDATE('Company Profile'!$B$6,3),IF(INDEX(_ENGINE_Initiatives!$BX$5:$BX$76,MATCH($A178,_ENGINE_Initiatives!$BW$5:$BW$76,0))="6-12 months",EDATE('Company Profile'!$B$6,6),EDATE('Company Profile'!$B$6,12))))+(IF(INDEX(_ENGINE_Initiatives!$AB$5:$AB$76,MATCH($A178,_ENGINE_Initiatives!$BW$5:$BW$76,0))&lt;=2,6,IF(INDEX(_ENGINE_Initiatives!$AB$5:$AB$76,MATCH($A178,_ENGINE_Initiatives!$BW$5:$BW$76,0))=3,10,IF(INDEX(_ENGINE_Initiatives!$AB$5:$AB$76,MATCH($A178,_ENGINE_Initiatives!$BW$5:$BW$76,0))=4,16,24)))*7)),1,""),"")</f>
        <v/>
      </c>
      <c r="D178" s="32" t="str">
        <f ca="1">IFERROR(IF(AND(D$162&gt;=IF(INDEX(_ENGINE_Initiatives!$BX$5:$BX$76,MATCH($A178,_ENGINE_Initiatives!$BW$5:$BW$76,0))="0-90 days",'Company Profile'!$B$6,IF(INDEX(_ENGINE_Initiatives!$BX$5:$BX$76,MATCH($A178,_ENGINE_Initiatives!$BW$5:$BW$76,0))="3-6 months",EDATE('Company Profile'!$B$6,3),IF(INDEX(_ENGINE_Initiatives!$BX$5:$BX$76,MATCH($A178,_ENGINE_Initiatives!$BW$5:$BW$76,0))="6-12 months",EDATE('Company Profile'!$B$6,6),EDATE('Company Profile'!$B$6,12)))),D$162&lt;=IF(INDEX(_ENGINE_Initiatives!$BX$5:$BX$76,MATCH($A178,_ENGINE_Initiatives!$BW$5:$BW$76,0))="0-90 days",'Company Profile'!$B$6,IF(INDEX(_ENGINE_Initiatives!$BX$5:$BX$76,MATCH($A178,_ENGINE_Initiatives!$BW$5:$BW$76,0))="3-6 months",EDATE('Company Profile'!$B$6,3),IF(INDEX(_ENGINE_Initiatives!$BX$5:$BX$76,MATCH($A178,_ENGINE_Initiatives!$BW$5:$BW$76,0))="6-12 months",EDATE('Company Profile'!$B$6,6),EDATE('Company Profile'!$B$6,12))))+(IF(INDEX(_ENGINE_Initiatives!$AB$5:$AB$76,MATCH($A178,_ENGINE_Initiatives!$BW$5:$BW$76,0))&lt;=2,6,IF(INDEX(_ENGINE_Initiatives!$AB$5:$AB$76,MATCH($A178,_ENGINE_Initiatives!$BW$5:$BW$76,0))=3,10,IF(INDEX(_ENGINE_Initiatives!$AB$5:$AB$76,MATCH($A178,_ENGINE_Initiatives!$BW$5:$BW$76,0))=4,16,24)))*7)),1,""),"")</f>
        <v/>
      </c>
      <c r="E178" s="32" t="str">
        <f ca="1">IFERROR(IF(AND(E$162&gt;=IF(INDEX(_ENGINE_Initiatives!$BX$5:$BX$76,MATCH($A178,_ENGINE_Initiatives!$BW$5:$BW$76,0))="0-90 days",'Company Profile'!$B$6,IF(INDEX(_ENGINE_Initiatives!$BX$5:$BX$76,MATCH($A178,_ENGINE_Initiatives!$BW$5:$BW$76,0))="3-6 months",EDATE('Company Profile'!$B$6,3),IF(INDEX(_ENGINE_Initiatives!$BX$5:$BX$76,MATCH($A178,_ENGINE_Initiatives!$BW$5:$BW$76,0))="6-12 months",EDATE('Company Profile'!$B$6,6),EDATE('Company Profile'!$B$6,12)))),E$162&lt;=IF(INDEX(_ENGINE_Initiatives!$BX$5:$BX$76,MATCH($A178,_ENGINE_Initiatives!$BW$5:$BW$76,0))="0-90 days",'Company Profile'!$B$6,IF(INDEX(_ENGINE_Initiatives!$BX$5:$BX$76,MATCH($A178,_ENGINE_Initiatives!$BW$5:$BW$76,0))="3-6 months",EDATE('Company Profile'!$B$6,3),IF(INDEX(_ENGINE_Initiatives!$BX$5:$BX$76,MATCH($A178,_ENGINE_Initiatives!$BW$5:$BW$76,0))="6-12 months",EDATE('Company Profile'!$B$6,6),EDATE('Company Profile'!$B$6,12))))+(IF(INDEX(_ENGINE_Initiatives!$AB$5:$AB$76,MATCH($A178,_ENGINE_Initiatives!$BW$5:$BW$76,0))&lt;=2,6,IF(INDEX(_ENGINE_Initiatives!$AB$5:$AB$76,MATCH($A178,_ENGINE_Initiatives!$BW$5:$BW$76,0))=3,10,IF(INDEX(_ENGINE_Initiatives!$AB$5:$AB$76,MATCH($A178,_ENGINE_Initiatives!$BW$5:$BW$76,0))=4,16,24)))*7)),1,""),"")</f>
        <v/>
      </c>
      <c r="F178" s="32" t="str">
        <f ca="1">IFERROR(IF(AND(F$162&gt;=IF(INDEX(_ENGINE_Initiatives!$BX$5:$BX$76,MATCH($A178,_ENGINE_Initiatives!$BW$5:$BW$76,0))="0-90 days",'Company Profile'!$B$6,IF(INDEX(_ENGINE_Initiatives!$BX$5:$BX$76,MATCH($A178,_ENGINE_Initiatives!$BW$5:$BW$76,0))="3-6 months",EDATE('Company Profile'!$B$6,3),IF(INDEX(_ENGINE_Initiatives!$BX$5:$BX$76,MATCH($A178,_ENGINE_Initiatives!$BW$5:$BW$76,0))="6-12 months",EDATE('Company Profile'!$B$6,6),EDATE('Company Profile'!$B$6,12)))),F$162&lt;=IF(INDEX(_ENGINE_Initiatives!$BX$5:$BX$76,MATCH($A178,_ENGINE_Initiatives!$BW$5:$BW$76,0))="0-90 days",'Company Profile'!$B$6,IF(INDEX(_ENGINE_Initiatives!$BX$5:$BX$76,MATCH($A178,_ENGINE_Initiatives!$BW$5:$BW$76,0))="3-6 months",EDATE('Company Profile'!$B$6,3),IF(INDEX(_ENGINE_Initiatives!$BX$5:$BX$76,MATCH($A178,_ENGINE_Initiatives!$BW$5:$BW$76,0))="6-12 months",EDATE('Company Profile'!$B$6,6),EDATE('Company Profile'!$B$6,12))))+(IF(INDEX(_ENGINE_Initiatives!$AB$5:$AB$76,MATCH($A178,_ENGINE_Initiatives!$BW$5:$BW$76,0))&lt;=2,6,IF(INDEX(_ENGINE_Initiatives!$AB$5:$AB$76,MATCH($A178,_ENGINE_Initiatives!$BW$5:$BW$76,0))=3,10,IF(INDEX(_ENGINE_Initiatives!$AB$5:$AB$76,MATCH($A178,_ENGINE_Initiatives!$BW$5:$BW$76,0))=4,16,24)))*7)),1,""),"")</f>
        <v/>
      </c>
      <c r="G178" s="32" t="str">
        <f ca="1">IFERROR(IF(AND(G$162&gt;=IF(INDEX(_ENGINE_Initiatives!$BX$5:$BX$76,MATCH($A178,_ENGINE_Initiatives!$BW$5:$BW$76,0))="0-90 days",'Company Profile'!$B$6,IF(INDEX(_ENGINE_Initiatives!$BX$5:$BX$76,MATCH($A178,_ENGINE_Initiatives!$BW$5:$BW$76,0))="3-6 months",EDATE('Company Profile'!$B$6,3),IF(INDEX(_ENGINE_Initiatives!$BX$5:$BX$76,MATCH($A178,_ENGINE_Initiatives!$BW$5:$BW$76,0))="6-12 months",EDATE('Company Profile'!$B$6,6),EDATE('Company Profile'!$B$6,12)))),G$162&lt;=IF(INDEX(_ENGINE_Initiatives!$BX$5:$BX$76,MATCH($A178,_ENGINE_Initiatives!$BW$5:$BW$76,0))="0-90 days",'Company Profile'!$B$6,IF(INDEX(_ENGINE_Initiatives!$BX$5:$BX$76,MATCH($A178,_ENGINE_Initiatives!$BW$5:$BW$76,0))="3-6 months",EDATE('Company Profile'!$B$6,3),IF(INDEX(_ENGINE_Initiatives!$BX$5:$BX$76,MATCH($A178,_ENGINE_Initiatives!$BW$5:$BW$76,0))="6-12 months",EDATE('Company Profile'!$B$6,6),EDATE('Company Profile'!$B$6,12))))+(IF(INDEX(_ENGINE_Initiatives!$AB$5:$AB$76,MATCH($A178,_ENGINE_Initiatives!$BW$5:$BW$76,0))&lt;=2,6,IF(INDEX(_ENGINE_Initiatives!$AB$5:$AB$76,MATCH($A178,_ENGINE_Initiatives!$BW$5:$BW$76,0))=3,10,IF(INDEX(_ENGINE_Initiatives!$AB$5:$AB$76,MATCH($A178,_ENGINE_Initiatives!$BW$5:$BW$76,0))=4,16,24)))*7)),1,""),"")</f>
        <v/>
      </c>
      <c r="H178" s="32" t="str">
        <f ca="1">IFERROR(IF(AND(H$162&gt;=IF(INDEX(_ENGINE_Initiatives!$BX$5:$BX$76,MATCH($A178,_ENGINE_Initiatives!$BW$5:$BW$76,0))="0-90 days",'Company Profile'!$B$6,IF(INDEX(_ENGINE_Initiatives!$BX$5:$BX$76,MATCH($A178,_ENGINE_Initiatives!$BW$5:$BW$76,0))="3-6 months",EDATE('Company Profile'!$B$6,3),IF(INDEX(_ENGINE_Initiatives!$BX$5:$BX$76,MATCH($A178,_ENGINE_Initiatives!$BW$5:$BW$76,0))="6-12 months",EDATE('Company Profile'!$B$6,6),EDATE('Company Profile'!$B$6,12)))),H$162&lt;=IF(INDEX(_ENGINE_Initiatives!$BX$5:$BX$76,MATCH($A178,_ENGINE_Initiatives!$BW$5:$BW$76,0))="0-90 days",'Company Profile'!$B$6,IF(INDEX(_ENGINE_Initiatives!$BX$5:$BX$76,MATCH($A178,_ENGINE_Initiatives!$BW$5:$BW$76,0))="3-6 months",EDATE('Company Profile'!$B$6,3),IF(INDEX(_ENGINE_Initiatives!$BX$5:$BX$76,MATCH($A178,_ENGINE_Initiatives!$BW$5:$BW$76,0))="6-12 months",EDATE('Company Profile'!$B$6,6),EDATE('Company Profile'!$B$6,12))))+(IF(INDEX(_ENGINE_Initiatives!$AB$5:$AB$76,MATCH($A178,_ENGINE_Initiatives!$BW$5:$BW$76,0))&lt;=2,6,IF(INDEX(_ENGINE_Initiatives!$AB$5:$AB$76,MATCH($A178,_ENGINE_Initiatives!$BW$5:$BW$76,0))=3,10,IF(INDEX(_ENGINE_Initiatives!$AB$5:$AB$76,MATCH($A178,_ENGINE_Initiatives!$BW$5:$BW$76,0))=4,16,24)))*7)),1,""),"")</f>
        <v/>
      </c>
      <c r="I178" s="32" t="str">
        <f ca="1">IFERROR(IF(AND(I$162&gt;=IF(INDEX(_ENGINE_Initiatives!$BX$5:$BX$76,MATCH($A178,_ENGINE_Initiatives!$BW$5:$BW$76,0))="0-90 days",'Company Profile'!$B$6,IF(INDEX(_ENGINE_Initiatives!$BX$5:$BX$76,MATCH($A178,_ENGINE_Initiatives!$BW$5:$BW$76,0))="3-6 months",EDATE('Company Profile'!$B$6,3),IF(INDEX(_ENGINE_Initiatives!$BX$5:$BX$76,MATCH($A178,_ENGINE_Initiatives!$BW$5:$BW$76,0))="6-12 months",EDATE('Company Profile'!$B$6,6),EDATE('Company Profile'!$B$6,12)))),I$162&lt;=IF(INDEX(_ENGINE_Initiatives!$BX$5:$BX$76,MATCH($A178,_ENGINE_Initiatives!$BW$5:$BW$76,0))="0-90 days",'Company Profile'!$B$6,IF(INDEX(_ENGINE_Initiatives!$BX$5:$BX$76,MATCH($A178,_ENGINE_Initiatives!$BW$5:$BW$76,0))="3-6 months",EDATE('Company Profile'!$B$6,3),IF(INDEX(_ENGINE_Initiatives!$BX$5:$BX$76,MATCH($A178,_ENGINE_Initiatives!$BW$5:$BW$76,0))="6-12 months",EDATE('Company Profile'!$B$6,6),EDATE('Company Profile'!$B$6,12))))+(IF(INDEX(_ENGINE_Initiatives!$AB$5:$AB$76,MATCH($A178,_ENGINE_Initiatives!$BW$5:$BW$76,0))&lt;=2,6,IF(INDEX(_ENGINE_Initiatives!$AB$5:$AB$76,MATCH($A178,_ENGINE_Initiatives!$BW$5:$BW$76,0))=3,10,IF(INDEX(_ENGINE_Initiatives!$AB$5:$AB$76,MATCH($A178,_ENGINE_Initiatives!$BW$5:$BW$76,0))=4,16,24)))*7)),1,""),"")</f>
        <v/>
      </c>
      <c r="J178" s="32" t="str">
        <f ca="1">IFERROR(IF(AND(J$162&gt;=IF(INDEX(_ENGINE_Initiatives!$BX$5:$BX$76,MATCH($A178,_ENGINE_Initiatives!$BW$5:$BW$76,0))="0-90 days",'Company Profile'!$B$6,IF(INDEX(_ENGINE_Initiatives!$BX$5:$BX$76,MATCH($A178,_ENGINE_Initiatives!$BW$5:$BW$76,0))="3-6 months",EDATE('Company Profile'!$B$6,3),IF(INDEX(_ENGINE_Initiatives!$BX$5:$BX$76,MATCH($A178,_ENGINE_Initiatives!$BW$5:$BW$76,0))="6-12 months",EDATE('Company Profile'!$B$6,6),EDATE('Company Profile'!$B$6,12)))),J$162&lt;=IF(INDEX(_ENGINE_Initiatives!$BX$5:$BX$76,MATCH($A178,_ENGINE_Initiatives!$BW$5:$BW$76,0))="0-90 days",'Company Profile'!$B$6,IF(INDEX(_ENGINE_Initiatives!$BX$5:$BX$76,MATCH($A178,_ENGINE_Initiatives!$BW$5:$BW$76,0))="3-6 months",EDATE('Company Profile'!$B$6,3),IF(INDEX(_ENGINE_Initiatives!$BX$5:$BX$76,MATCH($A178,_ENGINE_Initiatives!$BW$5:$BW$76,0))="6-12 months",EDATE('Company Profile'!$B$6,6),EDATE('Company Profile'!$B$6,12))))+(IF(INDEX(_ENGINE_Initiatives!$AB$5:$AB$76,MATCH($A178,_ENGINE_Initiatives!$BW$5:$BW$76,0))&lt;=2,6,IF(INDEX(_ENGINE_Initiatives!$AB$5:$AB$76,MATCH($A178,_ENGINE_Initiatives!$BW$5:$BW$76,0))=3,10,IF(INDEX(_ENGINE_Initiatives!$AB$5:$AB$76,MATCH($A178,_ENGINE_Initiatives!$BW$5:$BW$76,0))=4,16,24)))*7)),1,""),"")</f>
        <v/>
      </c>
      <c r="K178" s="32" t="str">
        <f ca="1">IFERROR(IF(AND(K$162&gt;=IF(INDEX(_ENGINE_Initiatives!$BX$5:$BX$76,MATCH($A178,_ENGINE_Initiatives!$BW$5:$BW$76,0))="0-90 days",'Company Profile'!$B$6,IF(INDEX(_ENGINE_Initiatives!$BX$5:$BX$76,MATCH($A178,_ENGINE_Initiatives!$BW$5:$BW$76,0))="3-6 months",EDATE('Company Profile'!$B$6,3),IF(INDEX(_ENGINE_Initiatives!$BX$5:$BX$76,MATCH($A178,_ENGINE_Initiatives!$BW$5:$BW$76,0))="6-12 months",EDATE('Company Profile'!$B$6,6),EDATE('Company Profile'!$B$6,12)))),K$162&lt;=IF(INDEX(_ENGINE_Initiatives!$BX$5:$BX$76,MATCH($A178,_ENGINE_Initiatives!$BW$5:$BW$76,0))="0-90 days",'Company Profile'!$B$6,IF(INDEX(_ENGINE_Initiatives!$BX$5:$BX$76,MATCH($A178,_ENGINE_Initiatives!$BW$5:$BW$76,0))="3-6 months",EDATE('Company Profile'!$B$6,3),IF(INDEX(_ENGINE_Initiatives!$BX$5:$BX$76,MATCH($A178,_ENGINE_Initiatives!$BW$5:$BW$76,0))="6-12 months",EDATE('Company Profile'!$B$6,6),EDATE('Company Profile'!$B$6,12))))+(IF(INDEX(_ENGINE_Initiatives!$AB$5:$AB$76,MATCH($A178,_ENGINE_Initiatives!$BW$5:$BW$76,0))&lt;=2,6,IF(INDEX(_ENGINE_Initiatives!$AB$5:$AB$76,MATCH($A178,_ENGINE_Initiatives!$BW$5:$BW$76,0))=3,10,IF(INDEX(_ENGINE_Initiatives!$AB$5:$AB$76,MATCH($A178,_ENGINE_Initiatives!$BW$5:$BW$76,0))=4,16,24)))*7)),1,""),"")</f>
        <v/>
      </c>
      <c r="L178" s="32" t="str">
        <f ca="1">IFERROR(IF(AND(L$162&gt;=IF(INDEX(_ENGINE_Initiatives!$BX$5:$BX$76,MATCH($A178,_ENGINE_Initiatives!$BW$5:$BW$76,0))="0-90 days",'Company Profile'!$B$6,IF(INDEX(_ENGINE_Initiatives!$BX$5:$BX$76,MATCH($A178,_ENGINE_Initiatives!$BW$5:$BW$76,0))="3-6 months",EDATE('Company Profile'!$B$6,3),IF(INDEX(_ENGINE_Initiatives!$BX$5:$BX$76,MATCH($A178,_ENGINE_Initiatives!$BW$5:$BW$76,0))="6-12 months",EDATE('Company Profile'!$B$6,6),EDATE('Company Profile'!$B$6,12)))),L$162&lt;=IF(INDEX(_ENGINE_Initiatives!$BX$5:$BX$76,MATCH($A178,_ENGINE_Initiatives!$BW$5:$BW$76,0))="0-90 days",'Company Profile'!$B$6,IF(INDEX(_ENGINE_Initiatives!$BX$5:$BX$76,MATCH($A178,_ENGINE_Initiatives!$BW$5:$BW$76,0))="3-6 months",EDATE('Company Profile'!$B$6,3),IF(INDEX(_ENGINE_Initiatives!$BX$5:$BX$76,MATCH($A178,_ENGINE_Initiatives!$BW$5:$BW$76,0))="6-12 months",EDATE('Company Profile'!$B$6,6),EDATE('Company Profile'!$B$6,12))))+(IF(INDEX(_ENGINE_Initiatives!$AB$5:$AB$76,MATCH($A178,_ENGINE_Initiatives!$BW$5:$BW$76,0))&lt;=2,6,IF(INDEX(_ENGINE_Initiatives!$AB$5:$AB$76,MATCH($A178,_ENGINE_Initiatives!$BW$5:$BW$76,0))=3,10,IF(INDEX(_ENGINE_Initiatives!$AB$5:$AB$76,MATCH($A178,_ENGINE_Initiatives!$BW$5:$BW$76,0))=4,16,24)))*7)),1,""),"")</f>
        <v/>
      </c>
      <c r="M178" s="32" t="str">
        <f ca="1">IFERROR(IF(AND(M$162&gt;=IF(INDEX(_ENGINE_Initiatives!$BX$5:$BX$76,MATCH($A178,_ENGINE_Initiatives!$BW$5:$BW$76,0))="0-90 days",'Company Profile'!$B$6,IF(INDEX(_ENGINE_Initiatives!$BX$5:$BX$76,MATCH($A178,_ENGINE_Initiatives!$BW$5:$BW$76,0))="3-6 months",EDATE('Company Profile'!$B$6,3),IF(INDEX(_ENGINE_Initiatives!$BX$5:$BX$76,MATCH($A178,_ENGINE_Initiatives!$BW$5:$BW$76,0))="6-12 months",EDATE('Company Profile'!$B$6,6),EDATE('Company Profile'!$B$6,12)))),M$162&lt;=IF(INDEX(_ENGINE_Initiatives!$BX$5:$BX$76,MATCH($A178,_ENGINE_Initiatives!$BW$5:$BW$76,0))="0-90 days",'Company Profile'!$B$6,IF(INDEX(_ENGINE_Initiatives!$BX$5:$BX$76,MATCH($A178,_ENGINE_Initiatives!$BW$5:$BW$76,0))="3-6 months",EDATE('Company Profile'!$B$6,3),IF(INDEX(_ENGINE_Initiatives!$BX$5:$BX$76,MATCH($A178,_ENGINE_Initiatives!$BW$5:$BW$76,0))="6-12 months",EDATE('Company Profile'!$B$6,6),EDATE('Company Profile'!$B$6,12))))+(IF(INDEX(_ENGINE_Initiatives!$AB$5:$AB$76,MATCH($A178,_ENGINE_Initiatives!$BW$5:$BW$76,0))&lt;=2,6,IF(INDEX(_ENGINE_Initiatives!$AB$5:$AB$76,MATCH($A178,_ENGINE_Initiatives!$BW$5:$BW$76,0))=3,10,IF(INDEX(_ENGINE_Initiatives!$AB$5:$AB$76,MATCH($A178,_ENGINE_Initiatives!$BW$5:$BW$76,0))=4,16,24)))*7)),1,""),"")</f>
        <v/>
      </c>
      <c r="N178" s="32" t="str">
        <f ca="1">IFERROR(IF(AND(N$162&gt;=IF(INDEX(_ENGINE_Initiatives!$BX$5:$BX$76,MATCH($A178,_ENGINE_Initiatives!$BW$5:$BW$76,0))="0-90 days",'Company Profile'!$B$6,IF(INDEX(_ENGINE_Initiatives!$BX$5:$BX$76,MATCH($A178,_ENGINE_Initiatives!$BW$5:$BW$76,0))="3-6 months",EDATE('Company Profile'!$B$6,3),IF(INDEX(_ENGINE_Initiatives!$BX$5:$BX$76,MATCH($A178,_ENGINE_Initiatives!$BW$5:$BW$76,0))="6-12 months",EDATE('Company Profile'!$B$6,6),EDATE('Company Profile'!$B$6,12)))),N$162&lt;=IF(INDEX(_ENGINE_Initiatives!$BX$5:$BX$76,MATCH($A178,_ENGINE_Initiatives!$BW$5:$BW$76,0))="0-90 days",'Company Profile'!$B$6,IF(INDEX(_ENGINE_Initiatives!$BX$5:$BX$76,MATCH($A178,_ENGINE_Initiatives!$BW$5:$BW$76,0))="3-6 months",EDATE('Company Profile'!$B$6,3),IF(INDEX(_ENGINE_Initiatives!$BX$5:$BX$76,MATCH($A178,_ENGINE_Initiatives!$BW$5:$BW$76,0))="6-12 months",EDATE('Company Profile'!$B$6,6),EDATE('Company Profile'!$B$6,12))))+(IF(INDEX(_ENGINE_Initiatives!$AB$5:$AB$76,MATCH($A178,_ENGINE_Initiatives!$BW$5:$BW$76,0))&lt;=2,6,IF(INDEX(_ENGINE_Initiatives!$AB$5:$AB$76,MATCH($A178,_ENGINE_Initiatives!$BW$5:$BW$76,0))=3,10,IF(INDEX(_ENGINE_Initiatives!$AB$5:$AB$76,MATCH($A178,_ENGINE_Initiatives!$BW$5:$BW$76,0))=4,16,24)))*7)),1,""),"")</f>
        <v/>
      </c>
      <c r="O178" s="32" t="str">
        <f ca="1">IFERROR(IF(AND(O$162&gt;=IF(INDEX(_ENGINE_Initiatives!$BX$5:$BX$76,MATCH($A178,_ENGINE_Initiatives!$BW$5:$BW$76,0))="0-90 days",'Company Profile'!$B$6,IF(INDEX(_ENGINE_Initiatives!$BX$5:$BX$76,MATCH($A178,_ENGINE_Initiatives!$BW$5:$BW$76,0))="3-6 months",EDATE('Company Profile'!$B$6,3),IF(INDEX(_ENGINE_Initiatives!$BX$5:$BX$76,MATCH($A178,_ENGINE_Initiatives!$BW$5:$BW$76,0))="6-12 months",EDATE('Company Profile'!$B$6,6),EDATE('Company Profile'!$B$6,12)))),O$162&lt;=IF(INDEX(_ENGINE_Initiatives!$BX$5:$BX$76,MATCH($A178,_ENGINE_Initiatives!$BW$5:$BW$76,0))="0-90 days",'Company Profile'!$B$6,IF(INDEX(_ENGINE_Initiatives!$BX$5:$BX$76,MATCH($A178,_ENGINE_Initiatives!$BW$5:$BW$76,0))="3-6 months",EDATE('Company Profile'!$B$6,3),IF(INDEX(_ENGINE_Initiatives!$BX$5:$BX$76,MATCH($A178,_ENGINE_Initiatives!$BW$5:$BW$76,0))="6-12 months",EDATE('Company Profile'!$B$6,6),EDATE('Company Profile'!$B$6,12))))+(IF(INDEX(_ENGINE_Initiatives!$AB$5:$AB$76,MATCH($A178,_ENGINE_Initiatives!$BW$5:$BW$76,0))&lt;=2,6,IF(INDEX(_ENGINE_Initiatives!$AB$5:$AB$76,MATCH($A178,_ENGINE_Initiatives!$BW$5:$BW$76,0))=3,10,IF(INDEX(_ENGINE_Initiatives!$AB$5:$AB$76,MATCH($A178,_ENGINE_Initiatives!$BW$5:$BW$76,0))=4,16,24)))*7)),1,""),"")</f>
        <v/>
      </c>
      <c r="P178" s="32" t="str">
        <f ca="1">IFERROR(IF(AND(P$162&gt;=IF(INDEX(_ENGINE_Initiatives!$BX$5:$BX$76,MATCH($A178,_ENGINE_Initiatives!$BW$5:$BW$76,0))="0-90 days",'Company Profile'!$B$6,IF(INDEX(_ENGINE_Initiatives!$BX$5:$BX$76,MATCH($A178,_ENGINE_Initiatives!$BW$5:$BW$76,0))="3-6 months",EDATE('Company Profile'!$B$6,3),IF(INDEX(_ENGINE_Initiatives!$BX$5:$BX$76,MATCH($A178,_ENGINE_Initiatives!$BW$5:$BW$76,0))="6-12 months",EDATE('Company Profile'!$B$6,6),EDATE('Company Profile'!$B$6,12)))),P$162&lt;=IF(INDEX(_ENGINE_Initiatives!$BX$5:$BX$76,MATCH($A178,_ENGINE_Initiatives!$BW$5:$BW$76,0))="0-90 days",'Company Profile'!$B$6,IF(INDEX(_ENGINE_Initiatives!$BX$5:$BX$76,MATCH($A178,_ENGINE_Initiatives!$BW$5:$BW$76,0))="3-6 months",EDATE('Company Profile'!$B$6,3),IF(INDEX(_ENGINE_Initiatives!$BX$5:$BX$76,MATCH($A178,_ENGINE_Initiatives!$BW$5:$BW$76,0))="6-12 months",EDATE('Company Profile'!$B$6,6),EDATE('Company Profile'!$B$6,12))))+(IF(INDEX(_ENGINE_Initiatives!$AB$5:$AB$76,MATCH($A178,_ENGINE_Initiatives!$BW$5:$BW$76,0))&lt;=2,6,IF(INDEX(_ENGINE_Initiatives!$AB$5:$AB$76,MATCH($A178,_ENGINE_Initiatives!$BW$5:$BW$76,0))=3,10,IF(INDEX(_ENGINE_Initiatives!$AB$5:$AB$76,MATCH($A178,_ENGINE_Initiatives!$BW$5:$BW$76,0))=4,16,24)))*7)),1,""),"")</f>
        <v/>
      </c>
      <c r="Q178" s="32" t="str">
        <f ca="1">IFERROR(IF(AND(Q$162&gt;=IF(INDEX(_ENGINE_Initiatives!$BX$5:$BX$76,MATCH($A178,_ENGINE_Initiatives!$BW$5:$BW$76,0))="0-90 days",'Company Profile'!$B$6,IF(INDEX(_ENGINE_Initiatives!$BX$5:$BX$76,MATCH($A178,_ENGINE_Initiatives!$BW$5:$BW$76,0))="3-6 months",EDATE('Company Profile'!$B$6,3),IF(INDEX(_ENGINE_Initiatives!$BX$5:$BX$76,MATCH($A178,_ENGINE_Initiatives!$BW$5:$BW$76,0))="6-12 months",EDATE('Company Profile'!$B$6,6),EDATE('Company Profile'!$B$6,12)))),Q$162&lt;=IF(INDEX(_ENGINE_Initiatives!$BX$5:$BX$76,MATCH($A178,_ENGINE_Initiatives!$BW$5:$BW$76,0))="0-90 days",'Company Profile'!$B$6,IF(INDEX(_ENGINE_Initiatives!$BX$5:$BX$76,MATCH($A178,_ENGINE_Initiatives!$BW$5:$BW$76,0))="3-6 months",EDATE('Company Profile'!$B$6,3),IF(INDEX(_ENGINE_Initiatives!$BX$5:$BX$76,MATCH($A178,_ENGINE_Initiatives!$BW$5:$BW$76,0))="6-12 months",EDATE('Company Profile'!$B$6,6),EDATE('Company Profile'!$B$6,12))))+(IF(INDEX(_ENGINE_Initiatives!$AB$5:$AB$76,MATCH($A178,_ENGINE_Initiatives!$BW$5:$BW$76,0))&lt;=2,6,IF(INDEX(_ENGINE_Initiatives!$AB$5:$AB$76,MATCH($A178,_ENGINE_Initiatives!$BW$5:$BW$76,0))=3,10,IF(INDEX(_ENGINE_Initiatives!$AB$5:$AB$76,MATCH($A178,_ENGINE_Initiatives!$BW$5:$BW$76,0))=4,16,24)))*7)),1,""),"")</f>
        <v/>
      </c>
      <c r="R178" s="32" t="str">
        <f ca="1">IFERROR(IF(AND(R$162&gt;=IF(INDEX(_ENGINE_Initiatives!$BX$5:$BX$76,MATCH($A178,_ENGINE_Initiatives!$BW$5:$BW$76,0))="0-90 days",'Company Profile'!$B$6,IF(INDEX(_ENGINE_Initiatives!$BX$5:$BX$76,MATCH($A178,_ENGINE_Initiatives!$BW$5:$BW$76,0))="3-6 months",EDATE('Company Profile'!$B$6,3),IF(INDEX(_ENGINE_Initiatives!$BX$5:$BX$76,MATCH($A178,_ENGINE_Initiatives!$BW$5:$BW$76,0))="6-12 months",EDATE('Company Profile'!$B$6,6),EDATE('Company Profile'!$B$6,12)))),R$162&lt;=IF(INDEX(_ENGINE_Initiatives!$BX$5:$BX$76,MATCH($A178,_ENGINE_Initiatives!$BW$5:$BW$76,0))="0-90 days",'Company Profile'!$B$6,IF(INDEX(_ENGINE_Initiatives!$BX$5:$BX$76,MATCH($A178,_ENGINE_Initiatives!$BW$5:$BW$76,0))="3-6 months",EDATE('Company Profile'!$B$6,3),IF(INDEX(_ENGINE_Initiatives!$BX$5:$BX$76,MATCH($A178,_ENGINE_Initiatives!$BW$5:$BW$76,0))="6-12 months",EDATE('Company Profile'!$B$6,6),EDATE('Company Profile'!$B$6,12))))+(IF(INDEX(_ENGINE_Initiatives!$AB$5:$AB$76,MATCH($A178,_ENGINE_Initiatives!$BW$5:$BW$76,0))&lt;=2,6,IF(INDEX(_ENGINE_Initiatives!$AB$5:$AB$76,MATCH($A178,_ENGINE_Initiatives!$BW$5:$BW$76,0))=3,10,IF(INDEX(_ENGINE_Initiatives!$AB$5:$AB$76,MATCH($A178,_ENGINE_Initiatives!$BW$5:$BW$76,0))=4,16,24)))*7)),1,""),"")</f>
        <v/>
      </c>
      <c r="S178" s="32" t="str">
        <f ca="1">IFERROR(IF(AND(S$162&gt;=IF(INDEX(_ENGINE_Initiatives!$BX$5:$BX$76,MATCH($A178,_ENGINE_Initiatives!$BW$5:$BW$76,0))="0-90 days",'Company Profile'!$B$6,IF(INDEX(_ENGINE_Initiatives!$BX$5:$BX$76,MATCH($A178,_ENGINE_Initiatives!$BW$5:$BW$76,0))="3-6 months",EDATE('Company Profile'!$B$6,3),IF(INDEX(_ENGINE_Initiatives!$BX$5:$BX$76,MATCH($A178,_ENGINE_Initiatives!$BW$5:$BW$76,0))="6-12 months",EDATE('Company Profile'!$B$6,6),EDATE('Company Profile'!$B$6,12)))),S$162&lt;=IF(INDEX(_ENGINE_Initiatives!$BX$5:$BX$76,MATCH($A178,_ENGINE_Initiatives!$BW$5:$BW$76,0))="0-90 days",'Company Profile'!$B$6,IF(INDEX(_ENGINE_Initiatives!$BX$5:$BX$76,MATCH($A178,_ENGINE_Initiatives!$BW$5:$BW$76,0))="3-6 months",EDATE('Company Profile'!$B$6,3),IF(INDEX(_ENGINE_Initiatives!$BX$5:$BX$76,MATCH($A178,_ENGINE_Initiatives!$BW$5:$BW$76,0))="6-12 months",EDATE('Company Profile'!$B$6,6),EDATE('Company Profile'!$B$6,12))))+(IF(INDEX(_ENGINE_Initiatives!$AB$5:$AB$76,MATCH($A178,_ENGINE_Initiatives!$BW$5:$BW$76,0))&lt;=2,6,IF(INDEX(_ENGINE_Initiatives!$AB$5:$AB$76,MATCH($A178,_ENGINE_Initiatives!$BW$5:$BW$76,0))=3,10,IF(INDEX(_ENGINE_Initiatives!$AB$5:$AB$76,MATCH($A178,_ENGINE_Initiatives!$BW$5:$BW$76,0))=4,16,24)))*7)),1,""),"")</f>
        <v/>
      </c>
      <c r="T178" s="32" t="str">
        <f ca="1">IFERROR(IF(AND(T$162&gt;=IF(INDEX(_ENGINE_Initiatives!$BX$5:$BX$76,MATCH($A178,_ENGINE_Initiatives!$BW$5:$BW$76,0))="0-90 days",'Company Profile'!$B$6,IF(INDEX(_ENGINE_Initiatives!$BX$5:$BX$76,MATCH($A178,_ENGINE_Initiatives!$BW$5:$BW$76,0))="3-6 months",EDATE('Company Profile'!$B$6,3),IF(INDEX(_ENGINE_Initiatives!$BX$5:$BX$76,MATCH($A178,_ENGINE_Initiatives!$BW$5:$BW$76,0))="6-12 months",EDATE('Company Profile'!$B$6,6),EDATE('Company Profile'!$B$6,12)))),T$162&lt;=IF(INDEX(_ENGINE_Initiatives!$BX$5:$BX$76,MATCH($A178,_ENGINE_Initiatives!$BW$5:$BW$76,0))="0-90 days",'Company Profile'!$B$6,IF(INDEX(_ENGINE_Initiatives!$BX$5:$BX$76,MATCH($A178,_ENGINE_Initiatives!$BW$5:$BW$76,0))="3-6 months",EDATE('Company Profile'!$B$6,3),IF(INDEX(_ENGINE_Initiatives!$BX$5:$BX$76,MATCH($A178,_ENGINE_Initiatives!$BW$5:$BW$76,0))="6-12 months",EDATE('Company Profile'!$B$6,6),EDATE('Company Profile'!$B$6,12))))+(IF(INDEX(_ENGINE_Initiatives!$AB$5:$AB$76,MATCH($A178,_ENGINE_Initiatives!$BW$5:$BW$76,0))&lt;=2,6,IF(INDEX(_ENGINE_Initiatives!$AB$5:$AB$76,MATCH($A178,_ENGINE_Initiatives!$BW$5:$BW$76,0))=3,10,IF(INDEX(_ENGINE_Initiatives!$AB$5:$AB$76,MATCH($A178,_ENGINE_Initiatives!$BW$5:$BW$76,0))=4,16,24)))*7)),1,""),"")</f>
        <v/>
      </c>
      <c r="U178" s="18"/>
      <c r="V178" s="18"/>
    </row>
    <row r="179" spans="1:22" ht="15" customHeight="1">
      <c r="A179" s="28" t="s">
        <v>3702</v>
      </c>
      <c r="B179" s="28" t="str">
        <f>IFERROR(INDEX(_ENGINE_Initiatives!$F$5:$F$76,MATCH($A179,_ENGINE_Initiatives!$BW$5:$BW$76,0)),"")</f>
        <v/>
      </c>
      <c r="C179" s="32" t="str">
        <f ca="1">IFERROR(IF(AND(C$162&gt;=IF(INDEX(_ENGINE_Initiatives!$BX$5:$BX$76,MATCH($A179,_ENGINE_Initiatives!$BW$5:$BW$76,0))="0-90 days",'Company Profile'!$B$6,IF(INDEX(_ENGINE_Initiatives!$BX$5:$BX$76,MATCH($A179,_ENGINE_Initiatives!$BW$5:$BW$76,0))="3-6 months",EDATE('Company Profile'!$B$6,3),IF(INDEX(_ENGINE_Initiatives!$BX$5:$BX$76,MATCH($A179,_ENGINE_Initiatives!$BW$5:$BW$76,0))="6-12 months",EDATE('Company Profile'!$B$6,6),EDATE('Company Profile'!$B$6,12)))),C$162&lt;=IF(INDEX(_ENGINE_Initiatives!$BX$5:$BX$76,MATCH($A179,_ENGINE_Initiatives!$BW$5:$BW$76,0))="0-90 days",'Company Profile'!$B$6,IF(INDEX(_ENGINE_Initiatives!$BX$5:$BX$76,MATCH($A179,_ENGINE_Initiatives!$BW$5:$BW$76,0))="3-6 months",EDATE('Company Profile'!$B$6,3),IF(INDEX(_ENGINE_Initiatives!$BX$5:$BX$76,MATCH($A179,_ENGINE_Initiatives!$BW$5:$BW$76,0))="6-12 months",EDATE('Company Profile'!$B$6,6),EDATE('Company Profile'!$B$6,12))))+(IF(INDEX(_ENGINE_Initiatives!$AB$5:$AB$76,MATCH($A179,_ENGINE_Initiatives!$BW$5:$BW$76,0))&lt;=2,6,IF(INDEX(_ENGINE_Initiatives!$AB$5:$AB$76,MATCH($A179,_ENGINE_Initiatives!$BW$5:$BW$76,0))=3,10,IF(INDEX(_ENGINE_Initiatives!$AB$5:$AB$76,MATCH($A179,_ENGINE_Initiatives!$BW$5:$BW$76,0))=4,16,24)))*7)),1,""),"")</f>
        <v/>
      </c>
      <c r="D179" s="32" t="str">
        <f ca="1">IFERROR(IF(AND(D$162&gt;=IF(INDEX(_ENGINE_Initiatives!$BX$5:$BX$76,MATCH($A179,_ENGINE_Initiatives!$BW$5:$BW$76,0))="0-90 days",'Company Profile'!$B$6,IF(INDEX(_ENGINE_Initiatives!$BX$5:$BX$76,MATCH($A179,_ENGINE_Initiatives!$BW$5:$BW$76,0))="3-6 months",EDATE('Company Profile'!$B$6,3),IF(INDEX(_ENGINE_Initiatives!$BX$5:$BX$76,MATCH($A179,_ENGINE_Initiatives!$BW$5:$BW$76,0))="6-12 months",EDATE('Company Profile'!$B$6,6),EDATE('Company Profile'!$B$6,12)))),D$162&lt;=IF(INDEX(_ENGINE_Initiatives!$BX$5:$BX$76,MATCH($A179,_ENGINE_Initiatives!$BW$5:$BW$76,0))="0-90 days",'Company Profile'!$B$6,IF(INDEX(_ENGINE_Initiatives!$BX$5:$BX$76,MATCH($A179,_ENGINE_Initiatives!$BW$5:$BW$76,0))="3-6 months",EDATE('Company Profile'!$B$6,3),IF(INDEX(_ENGINE_Initiatives!$BX$5:$BX$76,MATCH($A179,_ENGINE_Initiatives!$BW$5:$BW$76,0))="6-12 months",EDATE('Company Profile'!$B$6,6),EDATE('Company Profile'!$B$6,12))))+(IF(INDEX(_ENGINE_Initiatives!$AB$5:$AB$76,MATCH($A179,_ENGINE_Initiatives!$BW$5:$BW$76,0))&lt;=2,6,IF(INDEX(_ENGINE_Initiatives!$AB$5:$AB$76,MATCH($A179,_ENGINE_Initiatives!$BW$5:$BW$76,0))=3,10,IF(INDEX(_ENGINE_Initiatives!$AB$5:$AB$76,MATCH($A179,_ENGINE_Initiatives!$BW$5:$BW$76,0))=4,16,24)))*7)),1,""),"")</f>
        <v/>
      </c>
      <c r="E179" s="32" t="str">
        <f ca="1">IFERROR(IF(AND(E$162&gt;=IF(INDEX(_ENGINE_Initiatives!$BX$5:$BX$76,MATCH($A179,_ENGINE_Initiatives!$BW$5:$BW$76,0))="0-90 days",'Company Profile'!$B$6,IF(INDEX(_ENGINE_Initiatives!$BX$5:$BX$76,MATCH($A179,_ENGINE_Initiatives!$BW$5:$BW$76,0))="3-6 months",EDATE('Company Profile'!$B$6,3),IF(INDEX(_ENGINE_Initiatives!$BX$5:$BX$76,MATCH($A179,_ENGINE_Initiatives!$BW$5:$BW$76,0))="6-12 months",EDATE('Company Profile'!$B$6,6),EDATE('Company Profile'!$B$6,12)))),E$162&lt;=IF(INDEX(_ENGINE_Initiatives!$BX$5:$BX$76,MATCH($A179,_ENGINE_Initiatives!$BW$5:$BW$76,0))="0-90 days",'Company Profile'!$B$6,IF(INDEX(_ENGINE_Initiatives!$BX$5:$BX$76,MATCH($A179,_ENGINE_Initiatives!$BW$5:$BW$76,0))="3-6 months",EDATE('Company Profile'!$B$6,3),IF(INDEX(_ENGINE_Initiatives!$BX$5:$BX$76,MATCH($A179,_ENGINE_Initiatives!$BW$5:$BW$76,0))="6-12 months",EDATE('Company Profile'!$B$6,6),EDATE('Company Profile'!$B$6,12))))+(IF(INDEX(_ENGINE_Initiatives!$AB$5:$AB$76,MATCH($A179,_ENGINE_Initiatives!$BW$5:$BW$76,0))&lt;=2,6,IF(INDEX(_ENGINE_Initiatives!$AB$5:$AB$76,MATCH($A179,_ENGINE_Initiatives!$BW$5:$BW$76,0))=3,10,IF(INDEX(_ENGINE_Initiatives!$AB$5:$AB$76,MATCH($A179,_ENGINE_Initiatives!$BW$5:$BW$76,0))=4,16,24)))*7)),1,""),"")</f>
        <v/>
      </c>
      <c r="F179" s="32" t="str">
        <f ca="1">IFERROR(IF(AND(F$162&gt;=IF(INDEX(_ENGINE_Initiatives!$BX$5:$BX$76,MATCH($A179,_ENGINE_Initiatives!$BW$5:$BW$76,0))="0-90 days",'Company Profile'!$B$6,IF(INDEX(_ENGINE_Initiatives!$BX$5:$BX$76,MATCH($A179,_ENGINE_Initiatives!$BW$5:$BW$76,0))="3-6 months",EDATE('Company Profile'!$B$6,3),IF(INDEX(_ENGINE_Initiatives!$BX$5:$BX$76,MATCH($A179,_ENGINE_Initiatives!$BW$5:$BW$76,0))="6-12 months",EDATE('Company Profile'!$B$6,6),EDATE('Company Profile'!$B$6,12)))),F$162&lt;=IF(INDEX(_ENGINE_Initiatives!$BX$5:$BX$76,MATCH($A179,_ENGINE_Initiatives!$BW$5:$BW$76,0))="0-90 days",'Company Profile'!$B$6,IF(INDEX(_ENGINE_Initiatives!$BX$5:$BX$76,MATCH($A179,_ENGINE_Initiatives!$BW$5:$BW$76,0))="3-6 months",EDATE('Company Profile'!$B$6,3),IF(INDEX(_ENGINE_Initiatives!$BX$5:$BX$76,MATCH($A179,_ENGINE_Initiatives!$BW$5:$BW$76,0))="6-12 months",EDATE('Company Profile'!$B$6,6),EDATE('Company Profile'!$B$6,12))))+(IF(INDEX(_ENGINE_Initiatives!$AB$5:$AB$76,MATCH($A179,_ENGINE_Initiatives!$BW$5:$BW$76,0))&lt;=2,6,IF(INDEX(_ENGINE_Initiatives!$AB$5:$AB$76,MATCH($A179,_ENGINE_Initiatives!$BW$5:$BW$76,0))=3,10,IF(INDEX(_ENGINE_Initiatives!$AB$5:$AB$76,MATCH($A179,_ENGINE_Initiatives!$BW$5:$BW$76,0))=4,16,24)))*7)),1,""),"")</f>
        <v/>
      </c>
      <c r="G179" s="32" t="str">
        <f ca="1">IFERROR(IF(AND(G$162&gt;=IF(INDEX(_ENGINE_Initiatives!$BX$5:$BX$76,MATCH($A179,_ENGINE_Initiatives!$BW$5:$BW$76,0))="0-90 days",'Company Profile'!$B$6,IF(INDEX(_ENGINE_Initiatives!$BX$5:$BX$76,MATCH($A179,_ENGINE_Initiatives!$BW$5:$BW$76,0))="3-6 months",EDATE('Company Profile'!$B$6,3),IF(INDEX(_ENGINE_Initiatives!$BX$5:$BX$76,MATCH($A179,_ENGINE_Initiatives!$BW$5:$BW$76,0))="6-12 months",EDATE('Company Profile'!$B$6,6),EDATE('Company Profile'!$B$6,12)))),G$162&lt;=IF(INDEX(_ENGINE_Initiatives!$BX$5:$BX$76,MATCH($A179,_ENGINE_Initiatives!$BW$5:$BW$76,0))="0-90 days",'Company Profile'!$B$6,IF(INDEX(_ENGINE_Initiatives!$BX$5:$BX$76,MATCH($A179,_ENGINE_Initiatives!$BW$5:$BW$76,0))="3-6 months",EDATE('Company Profile'!$B$6,3),IF(INDEX(_ENGINE_Initiatives!$BX$5:$BX$76,MATCH($A179,_ENGINE_Initiatives!$BW$5:$BW$76,0))="6-12 months",EDATE('Company Profile'!$B$6,6),EDATE('Company Profile'!$B$6,12))))+(IF(INDEX(_ENGINE_Initiatives!$AB$5:$AB$76,MATCH($A179,_ENGINE_Initiatives!$BW$5:$BW$76,0))&lt;=2,6,IF(INDEX(_ENGINE_Initiatives!$AB$5:$AB$76,MATCH($A179,_ENGINE_Initiatives!$BW$5:$BW$76,0))=3,10,IF(INDEX(_ENGINE_Initiatives!$AB$5:$AB$76,MATCH($A179,_ENGINE_Initiatives!$BW$5:$BW$76,0))=4,16,24)))*7)),1,""),"")</f>
        <v/>
      </c>
      <c r="H179" s="32" t="str">
        <f ca="1">IFERROR(IF(AND(H$162&gt;=IF(INDEX(_ENGINE_Initiatives!$BX$5:$BX$76,MATCH($A179,_ENGINE_Initiatives!$BW$5:$BW$76,0))="0-90 days",'Company Profile'!$B$6,IF(INDEX(_ENGINE_Initiatives!$BX$5:$BX$76,MATCH($A179,_ENGINE_Initiatives!$BW$5:$BW$76,0))="3-6 months",EDATE('Company Profile'!$B$6,3),IF(INDEX(_ENGINE_Initiatives!$BX$5:$BX$76,MATCH($A179,_ENGINE_Initiatives!$BW$5:$BW$76,0))="6-12 months",EDATE('Company Profile'!$B$6,6),EDATE('Company Profile'!$B$6,12)))),H$162&lt;=IF(INDEX(_ENGINE_Initiatives!$BX$5:$BX$76,MATCH($A179,_ENGINE_Initiatives!$BW$5:$BW$76,0))="0-90 days",'Company Profile'!$B$6,IF(INDEX(_ENGINE_Initiatives!$BX$5:$BX$76,MATCH($A179,_ENGINE_Initiatives!$BW$5:$BW$76,0))="3-6 months",EDATE('Company Profile'!$B$6,3),IF(INDEX(_ENGINE_Initiatives!$BX$5:$BX$76,MATCH($A179,_ENGINE_Initiatives!$BW$5:$BW$76,0))="6-12 months",EDATE('Company Profile'!$B$6,6),EDATE('Company Profile'!$B$6,12))))+(IF(INDEX(_ENGINE_Initiatives!$AB$5:$AB$76,MATCH($A179,_ENGINE_Initiatives!$BW$5:$BW$76,0))&lt;=2,6,IF(INDEX(_ENGINE_Initiatives!$AB$5:$AB$76,MATCH($A179,_ENGINE_Initiatives!$BW$5:$BW$76,0))=3,10,IF(INDEX(_ENGINE_Initiatives!$AB$5:$AB$76,MATCH($A179,_ENGINE_Initiatives!$BW$5:$BW$76,0))=4,16,24)))*7)),1,""),"")</f>
        <v/>
      </c>
      <c r="I179" s="32" t="str">
        <f ca="1">IFERROR(IF(AND(I$162&gt;=IF(INDEX(_ENGINE_Initiatives!$BX$5:$BX$76,MATCH($A179,_ENGINE_Initiatives!$BW$5:$BW$76,0))="0-90 days",'Company Profile'!$B$6,IF(INDEX(_ENGINE_Initiatives!$BX$5:$BX$76,MATCH($A179,_ENGINE_Initiatives!$BW$5:$BW$76,0))="3-6 months",EDATE('Company Profile'!$B$6,3),IF(INDEX(_ENGINE_Initiatives!$BX$5:$BX$76,MATCH($A179,_ENGINE_Initiatives!$BW$5:$BW$76,0))="6-12 months",EDATE('Company Profile'!$B$6,6),EDATE('Company Profile'!$B$6,12)))),I$162&lt;=IF(INDEX(_ENGINE_Initiatives!$BX$5:$BX$76,MATCH($A179,_ENGINE_Initiatives!$BW$5:$BW$76,0))="0-90 days",'Company Profile'!$B$6,IF(INDEX(_ENGINE_Initiatives!$BX$5:$BX$76,MATCH($A179,_ENGINE_Initiatives!$BW$5:$BW$76,0))="3-6 months",EDATE('Company Profile'!$B$6,3),IF(INDEX(_ENGINE_Initiatives!$BX$5:$BX$76,MATCH($A179,_ENGINE_Initiatives!$BW$5:$BW$76,0))="6-12 months",EDATE('Company Profile'!$B$6,6),EDATE('Company Profile'!$B$6,12))))+(IF(INDEX(_ENGINE_Initiatives!$AB$5:$AB$76,MATCH($A179,_ENGINE_Initiatives!$BW$5:$BW$76,0))&lt;=2,6,IF(INDEX(_ENGINE_Initiatives!$AB$5:$AB$76,MATCH($A179,_ENGINE_Initiatives!$BW$5:$BW$76,0))=3,10,IF(INDEX(_ENGINE_Initiatives!$AB$5:$AB$76,MATCH($A179,_ENGINE_Initiatives!$BW$5:$BW$76,0))=4,16,24)))*7)),1,""),"")</f>
        <v/>
      </c>
      <c r="J179" s="32" t="str">
        <f ca="1">IFERROR(IF(AND(J$162&gt;=IF(INDEX(_ENGINE_Initiatives!$BX$5:$BX$76,MATCH($A179,_ENGINE_Initiatives!$BW$5:$BW$76,0))="0-90 days",'Company Profile'!$B$6,IF(INDEX(_ENGINE_Initiatives!$BX$5:$BX$76,MATCH($A179,_ENGINE_Initiatives!$BW$5:$BW$76,0))="3-6 months",EDATE('Company Profile'!$B$6,3),IF(INDEX(_ENGINE_Initiatives!$BX$5:$BX$76,MATCH($A179,_ENGINE_Initiatives!$BW$5:$BW$76,0))="6-12 months",EDATE('Company Profile'!$B$6,6),EDATE('Company Profile'!$B$6,12)))),J$162&lt;=IF(INDEX(_ENGINE_Initiatives!$BX$5:$BX$76,MATCH($A179,_ENGINE_Initiatives!$BW$5:$BW$76,0))="0-90 days",'Company Profile'!$B$6,IF(INDEX(_ENGINE_Initiatives!$BX$5:$BX$76,MATCH($A179,_ENGINE_Initiatives!$BW$5:$BW$76,0))="3-6 months",EDATE('Company Profile'!$B$6,3),IF(INDEX(_ENGINE_Initiatives!$BX$5:$BX$76,MATCH($A179,_ENGINE_Initiatives!$BW$5:$BW$76,0))="6-12 months",EDATE('Company Profile'!$B$6,6),EDATE('Company Profile'!$B$6,12))))+(IF(INDEX(_ENGINE_Initiatives!$AB$5:$AB$76,MATCH($A179,_ENGINE_Initiatives!$BW$5:$BW$76,0))&lt;=2,6,IF(INDEX(_ENGINE_Initiatives!$AB$5:$AB$76,MATCH($A179,_ENGINE_Initiatives!$BW$5:$BW$76,0))=3,10,IF(INDEX(_ENGINE_Initiatives!$AB$5:$AB$76,MATCH($A179,_ENGINE_Initiatives!$BW$5:$BW$76,0))=4,16,24)))*7)),1,""),"")</f>
        <v/>
      </c>
      <c r="K179" s="32" t="str">
        <f ca="1">IFERROR(IF(AND(K$162&gt;=IF(INDEX(_ENGINE_Initiatives!$BX$5:$BX$76,MATCH($A179,_ENGINE_Initiatives!$BW$5:$BW$76,0))="0-90 days",'Company Profile'!$B$6,IF(INDEX(_ENGINE_Initiatives!$BX$5:$BX$76,MATCH($A179,_ENGINE_Initiatives!$BW$5:$BW$76,0))="3-6 months",EDATE('Company Profile'!$B$6,3),IF(INDEX(_ENGINE_Initiatives!$BX$5:$BX$76,MATCH($A179,_ENGINE_Initiatives!$BW$5:$BW$76,0))="6-12 months",EDATE('Company Profile'!$B$6,6),EDATE('Company Profile'!$B$6,12)))),K$162&lt;=IF(INDEX(_ENGINE_Initiatives!$BX$5:$BX$76,MATCH($A179,_ENGINE_Initiatives!$BW$5:$BW$76,0))="0-90 days",'Company Profile'!$B$6,IF(INDEX(_ENGINE_Initiatives!$BX$5:$BX$76,MATCH($A179,_ENGINE_Initiatives!$BW$5:$BW$76,0))="3-6 months",EDATE('Company Profile'!$B$6,3),IF(INDEX(_ENGINE_Initiatives!$BX$5:$BX$76,MATCH($A179,_ENGINE_Initiatives!$BW$5:$BW$76,0))="6-12 months",EDATE('Company Profile'!$B$6,6),EDATE('Company Profile'!$B$6,12))))+(IF(INDEX(_ENGINE_Initiatives!$AB$5:$AB$76,MATCH($A179,_ENGINE_Initiatives!$BW$5:$BW$76,0))&lt;=2,6,IF(INDEX(_ENGINE_Initiatives!$AB$5:$AB$76,MATCH($A179,_ENGINE_Initiatives!$BW$5:$BW$76,0))=3,10,IF(INDEX(_ENGINE_Initiatives!$AB$5:$AB$76,MATCH($A179,_ENGINE_Initiatives!$BW$5:$BW$76,0))=4,16,24)))*7)),1,""),"")</f>
        <v/>
      </c>
      <c r="L179" s="32" t="str">
        <f ca="1">IFERROR(IF(AND(L$162&gt;=IF(INDEX(_ENGINE_Initiatives!$BX$5:$BX$76,MATCH($A179,_ENGINE_Initiatives!$BW$5:$BW$76,0))="0-90 days",'Company Profile'!$B$6,IF(INDEX(_ENGINE_Initiatives!$BX$5:$BX$76,MATCH($A179,_ENGINE_Initiatives!$BW$5:$BW$76,0))="3-6 months",EDATE('Company Profile'!$B$6,3),IF(INDEX(_ENGINE_Initiatives!$BX$5:$BX$76,MATCH($A179,_ENGINE_Initiatives!$BW$5:$BW$76,0))="6-12 months",EDATE('Company Profile'!$B$6,6),EDATE('Company Profile'!$B$6,12)))),L$162&lt;=IF(INDEX(_ENGINE_Initiatives!$BX$5:$BX$76,MATCH($A179,_ENGINE_Initiatives!$BW$5:$BW$76,0))="0-90 days",'Company Profile'!$B$6,IF(INDEX(_ENGINE_Initiatives!$BX$5:$BX$76,MATCH($A179,_ENGINE_Initiatives!$BW$5:$BW$76,0))="3-6 months",EDATE('Company Profile'!$B$6,3),IF(INDEX(_ENGINE_Initiatives!$BX$5:$BX$76,MATCH($A179,_ENGINE_Initiatives!$BW$5:$BW$76,0))="6-12 months",EDATE('Company Profile'!$B$6,6),EDATE('Company Profile'!$B$6,12))))+(IF(INDEX(_ENGINE_Initiatives!$AB$5:$AB$76,MATCH($A179,_ENGINE_Initiatives!$BW$5:$BW$76,0))&lt;=2,6,IF(INDEX(_ENGINE_Initiatives!$AB$5:$AB$76,MATCH($A179,_ENGINE_Initiatives!$BW$5:$BW$76,0))=3,10,IF(INDEX(_ENGINE_Initiatives!$AB$5:$AB$76,MATCH($A179,_ENGINE_Initiatives!$BW$5:$BW$76,0))=4,16,24)))*7)),1,""),"")</f>
        <v/>
      </c>
      <c r="M179" s="32" t="str">
        <f ca="1">IFERROR(IF(AND(M$162&gt;=IF(INDEX(_ENGINE_Initiatives!$BX$5:$BX$76,MATCH($A179,_ENGINE_Initiatives!$BW$5:$BW$76,0))="0-90 days",'Company Profile'!$B$6,IF(INDEX(_ENGINE_Initiatives!$BX$5:$BX$76,MATCH($A179,_ENGINE_Initiatives!$BW$5:$BW$76,0))="3-6 months",EDATE('Company Profile'!$B$6,3),IF(INDEX(_ENGINE_Initiatives!$BX$5:$BX$76,MATCH($A179,_ENGINE_Initiatives!$BW$5:$BW$76,0))="6-12 months",EDATE('Company Profile'!$B$6,6),EDATE('Company Profile'!$B$6,12)))),M$162&lt;=IF(INDEX(_ENGINE_Initiatives!$BX$5:$BX$76,MATCH($A179,_ENGINE_Initiatives!$BW$5:$BW$76,0))="0-90 days",'Company Profile'!$B$6,IF(INDEX(_ENGINE_Initiatives!$BX$5:$BX$76,MATCH($A179,_ENGINE_Initiatives!$BW$5:$BW$76,0))="3-6 months",EDATE('Company Profile'!$B$6,3),IF(INDEX(_ENGINE_Initiatives!$BX$5:$BX$76,MATCH($A179,_ENGINE_Initiatives!$BW$5:$BW$76,0))="6-12 months",EDATE('Company Profile'!$B$6,6),EDATE('Company Profile'!$B$6,12))))+(IF(INDEX(_ENGINE_Initiatives!$AB$5:$AB$76,MATCH($A179,_ENGINE_Initiatives!$BW$5:$BW$76,0))&lt;=2,6,IF(INDEX(_ENGINE_Initiatives!$AB$5:$AB$76,MATCH($A179,_ENGINE_Initiatives!$BW$5:$BW$76,0))=3,10,IF(INDEX(_ENGINE_Initiatives!$AB$5:$AB$76,MATCH($A179,_ENGINE_Initiatives!$BW$5:$BW$76,0))=4,16,24)))*7)),1,""),"")</f>
        <v/>
      </c>
      <c r="N179" s="32" t="str">
        <f ca="1">IFERROR(IF(AND(N$162&gt;=IF(INDEX(_ENGINE_Initiatives!$BX$5:$BX$76,MATCH($A179,_ENGINE_Initiatives!$BW$5:$BW$76,0))="0-90 days",'Company Profile'!$B$6,IF(INDEX(_ENGINE_Initiatives!$BX$5:$BX$76,MATCH($A179,_ENGINE_Initiatives!$BW$5:$BW$76,0))="3-6 months",EDATE('Company Profile'!$B$6,3),IF(INDEX(_ENGINE_Initiatives!$BX$5:$BX$76,MATCH($A179,_ENGINE_Initiatives!$BW$5:$BW$76,0))="6-12 months",EDATE('Company Profile'!$B$6,6),EDATE('Company Profile'!$B$6,12)))),N$162&lt;=IF(INDEX(_ENGINE_Initiatives!$BX$5:$BX$76,MATCH($A179,_ENGINE_Initiatives!$BW$5:$BW$76,0))="0-90 days",'Company Profile'!$B$6,IF(INDEX(_ENGINE_Initiatives!$BX$5:$BX$76,MATCH($A179,_ENGINE_Initiatives!$BW$5:$BW$76,0))="3-6 months",EDATE('Company Profile'!$B$6,3),IF(INDEX(_ENGINE_Initiatives!$BX$5:$BX$76,MATCH($A179,_ENGINE_Initiatives!$BW$5:$BW$76,0))="6-12 months",EDATE('Company Profile'!$B$6,6),EDATE('Company Profile'!$B$6,12))))+(IF(INDEX(_ENGINE_Initiatives!$AB$5:$AB$76,MATCH($A179,_ENGINE_Initiatives!$BW$5:$BW$76,0))&lt;=2,6,IF(INDEX(_ENGINE_Initiatives!$AB$5:$AB$76,MATCH($A179,_ENGINE_Initiatives!$BW$5:$BW$76,0))=3,10,IF(INDEX(_ENGINE_Initiatives!$AB$5:$AB$76,MATCH($A179,_ENGINE_Initiatives!$BW$5:$BW$76,0))=4,16,24)))*7)),1,""),"")</f>
        <v/>
      </c>
      <c r="O179" s="32" t="str">
        <f ca="1">IFERROR(IF(AND(O$162&gt;=IF(INDEX(_ENGINE_Initiatives!$BX$5:$BX$76,MATCH($A179,_ENGINE_Initiatives!$BW$5:$BW$76,0))="0-90 days",'Company Profile'!$B$6,IF(INDEX(_ENGINE_Initiatives!$BX$5:$BX$76,MATCH($A179,_ENGINE_Initiatives!$BW$5:$BW$76,0))="3-6 months",EDATE('Company Profile'!$B$6,3),IF(INDEX(_ENGINE_Initiatives!$BX$5:$BX$76,MATCH($A179,_ENGINE_Initiatives!$BW$5:$BW$76,0))="6-12 months",EDATE('Company Profile'!$B$6,6),EDATE('Company Profile'!$B$6,12)))),O$162&lt;=IF(INDEX(_ENGINE_Initiatives!$BX$5:$BX$76,MATCH($A179,_ENGINE_Initiatives!$BW$5:$BW$76,0))="0-90 days",'Company Profile'!$B$6,IF(INDEX(_ENGINE_Initiatives!$BX$5:$BX$76,MATCH($A179,_ENGINE_Initiatives!$BW$5:$BW$76,0))="3-6 months",EDATE('Company Profile'!$B$6,3),IF(INDEX(_ENGINE_Initiatives!$BX$5:$BX$76,MATCH($A179,_ENGINE_Initiatives!$BW$5:$BW$76,0))="6-12 months",EDATE('Company Profile'!$B$6,6),EDATE('Company Profile'!$B$6,12))))+(IF(INDEX(_ENGINE_Initiatives!$AB$5:$AB$76,MATCH($A179,_ENGINE_Initiatives!$BW$5:$BW$76,0))&lt;=2,6,IF(INDEX(_ENGINE_Initiatives!$AB$5:$AB$76,MATCH($A179,_ENGINE_Initiatives!$BW$5:$BW$76,0))=3,10,IF(INDEX(_ENGINE_Initiatives!$AB$5:$AB$76,MATCH($A179,_ENGINE_Initiatives!$BW$5:$BW$76,0))=4,16,24)))*7)),1,""),"")</f>
        <v/>
      </c>
      <c r="P179" s="32" t="str">
        <f ca="1">IFERROR(IF(AND(P$162&gt;=IF(INDEX(_ENGINE_Initiatives!$BX$5:$BX$76,MATCH($A179,_ENGINE_Initiatives!$BW$5:$BW$76,0))="0-90 days",'Company Profile'!$B$6,IF(INDEX(_ENGINE_Initiatives!$BX$5:$BX$76,MATCH($A179,_ENGINE_Initiatives!$BW$5:$BW$76,0))="3-6 months",EDATE('Company Profile'!$B$6,3),IF(INDEX(_ENGINE_Initiatives!$BX$5:$BX$76,MATCH($A179,_ENGINE_Initiatives!$BW$5:$BW$76,0))="6-12 months",EDATE('Company Profile'!$B$6,6),EDATE('Company Profile'!$B$6,12)))),P$162&lt;=IF(INDEX(_ENGINE_Initiatives!$BX$5:$BX$76,MATCH($A179,_ENGINE_Initiatives!$BW$5:$BW$76,0))="0-90 days",'Company Profile'!$B$6,IF(INDEX(_ENGINE_Initiatives!$BX$5:$BX$76,MATCH($A179,_ENGINE_Initiatives!$BW$5:$BW$76,0))="3-6 months",EDATE('Company Profile'!$B$6,3),IF(INDEX(_ENGINE_Initiatives!$BX$5:$BX$76,MATCH($A179,_ENGINE_Initiatives!$BW$5:$BW$76,0))="6-12 months",EDATE('Company Profile'!$B$6,6),EDATE('Company Profile'!$B$6,12))))+(IF(INDEX(_ENGINE_Initiatives!$AB$5:$AB$76,MATCH($A179,_ENGINE_Initiatives!$BW$5:$BW$76,0))&lt;=2,6,IF(INDEX(_ENGINE_Initiatives!$AB$5:$AB$76,MATCH($A179,_ENGINE_Initiatives!$BW$5:$BW$76,0))=3,10,IF(INDEX(_ENGINE_Initiatives!$AB$5:$AB$76,MATCH($A179,_ENGINE_Initiatives!$BW$5:$BW$76,0))=4,16,24)))*7)),1,""),"")</f>
        <v/>
      </c>
      <c r="Q179" s="32" t="str">
        <f ca="1">IFERROR(IF(AND(Q$162&gt;=IF(INDEX(_ENGINE_Initiatives!$BX$5:$BX$76,MATCH($A179,_ENGINE_Initiatives!$BW$5:$BW$76,0))="0-90 days",'Company Profile'!$B$6,IF(INDEX(_ENGINE_Initiatives!$BX$5:$BX$76,MATCH($A179,_ENGINE_Initiatives!$BW$5:$BW$76,0))="3-6 months",EDATE('Company Profile'!$B$6,3),IF(INDEX(_ENGINE_Initiatives!$BX$5:$BX$76,MATCH($A179,_ENGINE_Initiatives!$BW$5:$BW$76,0))="6-12 months",EDATE('Company Profile'!$B$6,6),EDATE('Company Profile'!$B$6,12)))),Q$162&lt;=IF(INDEX(_ENGINE_Initiatives!$BX$5:$BX$76,MATCH($A179,_ENGINE_Initiatives!$BW$5:$BW$76,0))="0-90 days",'Company Profile'!$B$6,IF(INDEX(_ENGINE_Initiatives!$BX$5:$BX$76,MATCH($A179,_ENGINE_Initiatives!$BW$5:$BW$76,0))="3-6 months",EDATE('Company Profile'!$B$6,3),IF(INDEX(_ENGINE_Initiatives!$BX$5:$BX$76,MATCH($A179,_ENGINE_Initiatives!$BW$5:$BW$76,0))="6-12 months",EDATE('Company Profile'!$B$6,6),EDATE('Company Profile'!$B$6,12))))+(IF(INDEX(_ENGINE_Initiatives!$AB$5:$AB$76,MATCH($A179,_ENGINE_Initiatives!$BW$5:$BW$76,0))&lt;=2,6,IF(INDEX(_ENGINE_Initiatives!$AB$5:$AB$76,MATCH($A179,_ENGINE_Initiatives!$BW$5:$BW$76,0))=3,10,IF(INDEX(_ENGINE_Initiatives!$AB$5:$AB$76,MATCH($A179,_ENGINE_Initiatives!$BW$5:$BW$76,0))=4,16,24)))*7)),1,""),"")</f>
        <v/>
      </c>
      <c r="R179" s="32" t="str">
        <f ca="1">IFERROR(IF(AND(R$162&gt;=IF(INDEX(_ENGINE_Initiatives!$BX$5:$BX$76,MATCH($A179,_ENGINE_Initiatives!$BW$5:$BW$76,0))="0-90 days",'Company Profile'!$B$6,IF(INDEX(_ENGINE_Initiatives!$BX$5:$BX$76,MATCH($A179,_ENGINE_Initiatives!$BW$5:$BW$76,0))="3-6 months",EDATE('Company Profile'!$B$6,3),IF(INDEX(_ENGINE_Initiatives!$BX$5:$BX$76,MATCH($A179,_ENGINE_Initiatives!$BW$5:$BW$76,0))="6-12 months",EDATE('Company Profile'!$B$6,6),EDATE('Company Profile'!$B$6,12)))),R$162&lt;=IF(INDEX(_ENGINE_Initiatives!$BX$5:$BX$76,MATCH($A179,_ENGINE_Initiatives!$BW$5:$BW$76,0))="0-90 days",'Company Profile'!$B$6,IF(INDEX(_ENGINE_Initiatives!$BX$5:$BX$76,MATCH($A179,_ENGINE_Initiatives!$BW$5:$BW$76,0))="3-6 months",EDATE('Company Profile'!$B$6,3),IF(INDEX(_ENGINE_Initiatives!$BX$5:$BX$76,MATCH($A179,_ENGINE_Initiatives!$BW$5:$BW$76,0))="6-12 months",EDATE('Company Profile'!$B$6,6),EDATE('Company Profile'!$B$6,12))))+(IF(INDEX(_ENGINE_Initiatives!$AB$5:$AB$76,MATCH($A179,_ENGINE_Initiatives!$BW$5:$BW$76,0))&lt;=2,6,IF(INDEX(_ENGINE_Initiatives!$AB$5:$AB$76,MATCH($A179,_ENGINE_Initiatives!$BW$5:$BW$76,0))=3,10,IF(INDEX(_ENGINE_Initiatives!$AB$5:$AB$76,MATCH($A179,_ENGINE_Initiatives!$BW$5:$BW$76,0))=4,16,24)))*7)),1,""),"")</f>
        <v/>
      </c>
      <c r="S179" s="32" t="str">
        <f ca="1">IFERROR(IF(AND(S$162&gt;=IF(INDEX(_ENGINE_Initiatives!$BX$5:$BX$76,MATCH($A179,_ENGINE_Initiatives!$BW$5:$BW$76,0))="0-90 days",'Company Profile'!$B$6,IF(INDEX(_ENGINE_Initiatives!$BX$5:$BX$76,MATCH($A179,_ENGINE_Initiatives!$BW$5:$BW$76,0))="3-6 months",EDATE('Company Profile'!$B$6,3),IF(INDEX(_ENGINE_Initiatives!$BX$5:$BX$76,MATCH($A179,_ENGINE_Initiatives!$BW$5:$BW$76,0))="6-12 months",EDATE('Company Profile'!$B$6,6),EDATE('Company Profile'!$B$6,12)))),S$162&lt;=IF(INDEX(_ENGINE_Initiatives!$BX$5:$BX$76,MATCH($A179,_ENGINE_Initiatives!$BW$5:$BW$76,0))="0-90 days",'Company Profile'!$B$6,IF(INDEX(_ENGINE_Initiatives!$BX$5:$BX$76,MATCH($A179,_ENGINE_Initiatives!$BW$5:$BW$76,0))="3-6 months",EDATE('Company Profile'!$B$6,3),IF(INDEX(_ENGINE_Initiatives!$BX$5:$BX$76,MATCH($A179,_ENGINE_Initiatives!$BW$5:$BW$76,0))="6-12 months",EDATE('Company Profile'!$B$6,6),EDATE('Company Profile'!$B$6,12))))+(IF(INDEX(_ENGINE_Initiatives!$AB$5:$AB$76,MATCH($A179,_ENGINE_Initiatives!$BW$5:$BW$76,0))&lt;=2,6,IF(INDEX(_ENGINE_Initiatives!$AB$5:$AB$76,MATCH($A179,_ENGINE_Initiatives!$BW$5:$BW$76,0))=3,10,IF(INDEX(_ENGINE_Initiatives!$AB$5:$AB$76,MATCH($A179,_ENGINE_Initiatives!$BW$5:$BW$76,0))=4,16,24)))*7)),1,""),"")</f>
        <v/>
      </c>
      <c r="T179" s="32" t="str">
        <f ca="1">IFERROR(IF(AND(T$162&gt;=IF(INDEX(_ENGINE_Initiatives!$BX$5:$BX$76,MATCH($A179,_ENGINE_Initiatives!$BW$5:$BW$76,0))="0-90 days",'Company Profile'!$B$6,IF(INDEX(_ENGINE_Initiatives!$BX$5:$BX$76,MATCH($A179,_ENGINE_Initiatives!$BW$5:$BW$76,0))="3-6 months",EDATE('Company Profile'!$B$6,3),IF(INDEX(_ENGINE_Initiatives!$BX$5:$BX$76,MATCH($A179,_ENGINE_Initiatives!$BW$5:$BW$76,0))="6-12 months",EDATE('Company Profile'!$B$6,6),EDATE('Company Profile'!$B$6,12)))),T$162&lt;=IF(INDEX(_ENGINE_Initiatives!$BX$5:$BX$76,MATCH($A179,_ENGINE_Initiatives!$BW$5:$BW$76,0))="0-90 days",'Company Profile'!$B$6,IF(INDEX(_ENGINE_Initiatives!$BX$5:$BX$76,MATCH($A179,_ENGINE_Initiatives!$BW$5:$BW$76,0))="3-6 months",EDATE('Company Profile'!$B$6,3),IF(INDEX(_ENGINE_Initiatives!$BX$5:$BX$76,MATCH($A179,_ENGINE_Initiatives!$BW$5:$BW$76,0))="6-12 months",EDATE('Company Profile'!$B$6,6),EDATE('Company Profile'!$B$6,12))))+(IF(INDEX(_ENGINE_Initiatives!$AB$5:$AB$76,MATCH($A179,_ENGINE_Initiatives!$BW$5:$BW$76,0))&lt;=2,6,IF(INDEX(_ENGINE_Initiatives!$AB$5:$AB$76,MATCH($A179,_ENGINE_Initiatives!$BW$5:$BW$76,0))=3,10,IF(INDEX(_ENGINE_Initiatives!$AB$5:$AB$76,MATCH($A179,_ENGINE_Initiatives!$BW$5:$BW$76,0))=4,16,24)))*7)),1,""),"")</f>
        <v/>
      </c>
      <c r="U179" s="18"/>
      <c r="V179" s="18"/>
    </row>
    <row r="180" spans="1:22" ht="15" customHeight="1">
      <c r="A180" s="28" t="s">
        <v>3703</v>
      </c>
      <c r="B180" s="28" t="str">
        <f>IFERROR(INDEX(_ENGINE_Initiatives!$F$5:$F$76,MATCH($A180,_ENGINE_Initiatives!$BW$5:$BW$76,0)),"")</f>
        <v/>
      </c>
      <c r="C180" s="32" t="str">
        <f ca="1">IFERROR(IF(AND(C$162&gt;=IF(INDEX(_ENGINE_Initiatives!$BX$5:$BX$76,MATCH($A180,_ENGINE_Initiatives!$BW$5:$BW$76,0))="0-90 days",'Company Profile'!$B$6,IF(INDEX(_ENGINE_Initiatives!$BX$5:$BX$76,MATCH($A180,_ENGINE_Initiatives!$BW$5:$BW$76,0))="3-6 months",EDATE('Company Profile'!$B$6,3),IF(INDEX(_ENGINE_Initiatives!$BX$5:$BX$76,MATCH($A180,_ENGINE_Initiatives!$BW$5:$BW$76,0))="6-12 months",EDATE('Company Profile'!$B$6,6),EDATE('Company Profile'!$B$6,12)))),C$162&lt;=IF(INDEX(_ENGINE_Initiatives!$BX$5:$BX$76,MATCH($A180,_ENGINE_Initiatives!$BW$5:$BW$76,0))="0-90 days",'Company Profile'!$B$6,IF(INDEX(_ENGINE_Initiatives!$BX$5:$BX$76,MATCH($A180,_ENGINE_Initiatives!$BW$5:$BW$76,0))="3-6 months",EDATE('Company Profile'!$B$6,3),IF(INDEX(_ENGINE_Initiatives!$BX$5:$BX$76,MATCH($A180,_ENGINE_Initiatives!$BW$5:$BW$76,0))="6-12 months",EDATE('Company Profile'!$B$6,6),EDATE('Company Profile'!$B$6,12))))+(IF(INDEX(_ENGINE_Initiatives!$AB$5:$AB$76,MATCH($A180,_ENGINE_Initiatives!$BW$5:$BW$76,0))&lt;=2,6,IF(INDEX(_ENGINE_Initiatives!$AB$5:$AB$76,MATCH($A180,_ENGINE_Initiatives!$BW$5:$BW$76,0))=3,10,IF(INDEX(_ENGINE_Initiatives!$AB$5:$AB$76,MATCH($A180,_ENGINE_Initiatives!$BW$5:$BW$76,0))=4,16,24)))*7)),1,""),"")</f>
        <v/>
      </c>
      <c r="D180" s="32" t="str">
        <f ca="1">IFERROR(IF(AND(D$162&gt;=IF(INDEX(_ENGINE_Initiatives!$BX$5:$BX$76,MATCH($A180,_ENGINE_Initiatives!$BW$5:$BW$76,0))="0-90 days",'Company Profile'!$B$6,IF(INDEX(_ENGINE_Initiatives!$BX$5:$BX$76,MATCH($A180,_ENGINE_Initiatives!$BW$5:$BW$76,0))="3-6 months",EDATE('Company Profile'!$B$6,3),IF(INDEX(_ENGINE_Initiatives!$BX$5:$BX$76,MATCH($A180,_ENGINE_Initiatives!$BW$5:$BW$76,0))="6-12 months",EDATE('Company Profile'!$B$6,6),EDATE('Company Profile'!$B$6,12)))),D$162&lt;=IF(INDEX(_ENGINE_Initiatives!$BX$5:$BX$76,MATCH($A180,_ENGINE_Initiatives!$BW$5:$BW$76,0))="0-90 days",'Company Profile'!$B$6,IF(INDEX(_ENGINE_Initiatives!$BX$5:$BX$76,MATCH($A180,_ENGINE_Initiatives!$BW$5:$BW$76,0))="3-6 months",EDATE('Company Profile'!$B$6,3),IF(INDEX(_ENGINE_Initiatives!$BX$5:$BX$76,MATCH($A180,_ENGINE_Initiatives!$BW$5:$BW$76,0))="6-12 months",EDATE('Company Profile'!$B$6,6),EDATE('Company Profile'!$B$6,12))))+(IF(INDEX(_ENGINE_Initiatives!$AB$5:$AB$76,MATCH($A180,_ENGINE_Initiatives!$BW$5:$BW$76,0))&lt;=2,6,IF(INDEX(_ENGINE_Initiatives!$AB$5:$AB$76,MATCH($A180,_ENGINE_Initiatives!$BW$5:$BW$76,0))=3,10,IF(INDEX(_ENGINE_Initiatives!$AB$5:$AB$76,MATCH($A180,_ENGINE_Initiatives!$BW$5:$BW$76,0))=4,16,24)))*7)),1,""),"")</f>
        <v/>
      </c>
      <c r="E180" s="32" t="str">
        <f ca="1">IFERROR(IF(AND(E$162&gt;=IF(INDEX(_ENGINE_Initiatives!$BX$5:$BX$76,MATCH($A180,_ENGINE_Initiatives!$BW$5:$BW$76,0))="0-90 days",'Company Profile'!$B$6,IF(INDEX(_ENGINE_Initiatives!$BX$5:$BX$76,MATCH($A180,_ENGINE_Initiatives!$BW$5:$BW$76,0))="3-6 months",EDATE('Company Profile'!$B$6,3),IF(INDEX(_ENGINE_Initiatives!$BX$5:$BX$76,MATCH($A180,_ENGINE_Initiatives!$BW$5:$BW$76,0))="6-12 months",EDATE('Company Profile'!$B$6,6),EDATE('Company Profile'!$B$6,12)))),E$162&lt;=IF(INDEX(_ENGINE_Initiatives!$BX$5:$BX$76,MATCH($A180,_ENGINE_Initiatives!$BW$5:$BW$76,0))="0-90 days",'Company Profile'!$B$6,IF(INDEX(_ENGINE_Initiatives!$BX$5:$BX$76,MATCH($A180,_ENGINE_Initiatives!$BW$5:$BW$76,0))="3-6 months",EDATE('Company Profile'!$B$6,3),IF(INDEX(_ENGINE_Initiatives!$BX$5:$BX$76,MATCH($A180,_ENGINE_Initiatives!$BW$5:$BW$76,0))="6-12 months",EDATE('Company Profile'!$B$6,6),EDATE('Company Profile'!$B$6,12))))+(IF(INDEX(_ENGINE_Initiatives!$AB$5:$AB$76,MATCH($A180,_ENGINE_Initiatives!$BW$5:$BW$76,0))&lt;=2,6,IF(INDEX(_ENGINE_Initiatives!$AB$5:$AB$76,MATCH($A180,_ENGINE_Initiatives!$BW$5:$BW$76,0))=3,10,IF(INDEX(_ENGINE_Initiatives!$AB$5:$AB$76,MATCH($A180,_ENGINE_Initiatives!$BW$5:$BW$76,0))=4,16,24)))*7)),1,""),"")</f>
        <v/>
      </c>
      <c r="F180" s="32" t="str">
        <f ca="1">IFERROR(IF(AND(F$162&gt;=IF(INDEX(_ENGINE_Initiatives!$BX$5:$BX$76,MATCH($A180,_ENGINE_Initiatives!$BW$5:$BW$76,0))="0-90 days",'Company Profile'!$B$6,IF(INDEX(_ENGINE_Initiatives!$BX$5:$BX$76,MATCH($A180,_ENGINE_Initiatives!$BW$5:$BW$76,0))="3-6 months",EDATE('Company Profile'!$B$6,3),IF(INDEX(_ENGINE_Initiatives!$BX$5:$BX$76,MATCH($A180,_ENGINE_Initiatives!$BW$5:$BW$76,0))="6-12 months",EDATE('Company Profile'!$B$6,6),EDATE('Company Profile'!$B$6,12)))),F$162&lt;=IF(INDEX(_ENGINE_Initiatives!$BX$5:$BX$76,MATCH($A180,_ENGINE_Initiatives!$BW$5:$BW$76,0))="0-90 days",'Company Profile'!$B$6,IF(INDEX(_ENGINE_Initiatives!$BX$5:$BX$76,MATCH($A180,_ENGINE_Initiatives!$BW$5:$BW$76,0))="3-6 months",EDATE('Company Profile'!$B$6,3),IF(INDEX(_ENGINE_Initiatives!$BX$5:$BX$76,MATCH($A180,_ENGINE_Initiatives!$BW$5:$BW$76,0))="6-12 months",EDATE('Company Profile'!$B$6,6),EDATE('Company Profile'!$B$6,12))))+(IF(INDEX(_ENGINE_Initiatives!$AB$5:$AB$76,MATCH($A180,_ENGINE_Initiatives!$BW$5:$BW$76,0))&lt;=2,6,IF(INDEX(_ENGINE_Initiatives!$AB$5:$AB$76,MATCH($A180,_ENGINE_Initiatives!$BW$5:$BW$76,0))=3,10,IF(INDEX(_ENGINE_Initiatives!$AB$5:$AB$76,MATCH($A180,_ENGINE_Initiatives!$BW$5:$BW$76,0))=4,16,24)))*7)),1,""),"")</f>
        <v/>
      </c>
      <c r="G180" s="32" t="str">
        <f ca="1">IFERROR(IF(AND(G$162&gt;=IF(INDEX(_ENGINE_Initiatives!$BX$5:$BX$76,MATCH($A180,_ENGINE_Initiatives!$BW$5:$BW$76,0))="0-90 days",'Company Profile'!$B$6,IF(INDEX(_ENGINE_Initiatives!$BX$5:$BX$76,MATCH($A180,_ENGINE_Initiatives!$BW$5:$BW$76,0))="3-6 months",EDATE('Company Profile'!$B$6,3),IF(INDEX(_ENGINE_Initiatives!$BX$5:$BX$76,MATCH($A180,_ENGINE_Initiatives!$BW$5:$BW$76,0))="6-12 months",EDATE('Company Profile'!$B$6,6),EDATE('Company Profile'!$B$6,12)))),G$162&lt;=IF(INDEX(_ENGINE_Initiatives!$BX$5:$BX$76,MATCH($A180,_ENGINE_Initiatives!$BW$5:$BW$76,0))="0-90 days",'Company Profile'!$B$6,IF(INDEX(_ENGINE_Initiatives!$BX$5:$BX$76,MATCH($A180,_ENGINE_Initiatives!$BW$5:$BW$76,0))="3-6 months",EDATE('Company Profile'!$B$6,3),IF(INDEX(_ENGINE_Initiatives!$BX$5:$BX$76,MATCH($A180,_ENGINE_Initiatives!$BW$5:$BW$76,0))="6-12 months",EDATE('Company Profile'!$B$6,6),EDATE('Company Profile'!$B$6,12))))+(IF(INDEX(_ENGINE_Initiatives!$AB$5:$AB$76,MATCH($A180,_ENGINE_Initiatives!$BW$5:$BW$76,0))&lt;=2,6,IF(INDEX(_ENGINE_Initiatives!$AB$5:$AB$76,MATCH($A180,_ENGINE_Initiatives!$BW$5:$BW$76,0))=3,10,IF(INDEX(_ENGINE_Initiatives!$AB$5:$AB$76,MATCH($A180,_ENGINE_Initiatives!$BW$5:$BW$76,0))=4,16,24)))*7)),1,""),"")</f>
        <v/>
      </c>
      <c r="H180" s="32" t="str">
        <f ca="1">IFERROR(IF(AND(H$162&gt;=IF(INDEX(_ENGINE_Initiatives!$BX$5:$BX$76,MATCH($A180,_ENGINE_Initiatives!$BW$5:$BW$76,0))="0-90 days",'Company Profile'!$B$6,IF(INDEX(_ENGINE_Initiatives!$BX$5:$BX$76,MATCH($A180,_ENGINE_Initiatives!$BW$5:$BW$76,0))="3-6 months",EDATE('Company Profile'!$B$6,3),IF(INDEX(_ENGINE_Initiatives!$BX$5:$BX$76,MATCH($A180,_ENGINE_Initiatives!$BW$5:$BW$76,0))="6-12 months",EDATE('Company Profile'!$B$6,6),EDATE('Company Profile'!$B$6,12)))),H$162&lt;=IF(INDEX(_ENGINE_Initiatives!$BX$5:$BX$76,MATCH($A180,_ENGINE_Initiatives!$BW$5:$BW$76,0))="0-90 days",'Company Profile'!$B$6,IF(INDEX(_ENGINE_Initiatives!$BX$5:$BX$76,MATCH($A180,_ENGINE_Initiatives!$BW$5:$BW$76,0))="3-6 months",EDATE('Company Profile'!$B$6,3),IF(INDEX(_ENGINE_Initiatives!$BX$5:$BX$76,MATCH($A180,_ENGINE_Initiatives!$BW$5:$BW$76,0))="6-12 months",EDATE('Company Profile'!$B$6,6),EDATE('Company Profile'!$B$6,12))))+(IF(INDEX(_ENGINE_Initiatives!$AB$5:$AB$76,MATCH($A180,_ENGINE_Initiatives!$BW$5:$BW$76,0))&lt;=2,6,IF(INDEX(_ENGINE_Initiatives!$AB$5:$AB$76,MATCH($A180,_ENGINE_Initiatives!$BW$5:$BW$76,0))=3,10,IF(INDEX(_ENGINE_Initiatives!$AB$5:$AB$76,MATCH($A180,_ENGINE_Initiatives!$BW$5:$BW$76,0))=4,16,24)))*7)),1,""),"")</f>
        <v/>
      </c>
      <c r="I180" s="32" t="str">
        <f ca="1">IFERROR(IF(AND(I$162&gt;=IF(INDEX(_ENGINE_Initiatives!$BX$5:$BX$76,MATCH($A180,_ENGINE_Initiatives!$BW$5:$BW$76,0))="0-90 days",'Company Profile'!$B$6,IF(INDEX(_ENGINE_Initiatives!$BX$5:$BX$76,MATCH($A180,_ENGINE_Initiatives!$BW$5:$BW$76,0))="3-6 months",EDATE('Company Profile'!$B$6,3),IF(INDEX(_ENGINE_Initiatives!$BX$5:$BX$76,MATCH($A180,_ENGINE_Initiatives!$BW$5:$BW$76,0))="6-12 months",EDATE('Company Profile'!$B$6,6),EDATE('Company Profile'!$B$6,12)))),I$162&lt;=IF(INDEX(_ENGINE_Initiatives!$BX$5:$BX$76,MATCH($A180,_ENGINE_Initiatives!$BW$5:$BW$76,0))="0-90 days",'Company Profile'!$B$6,IF(INDEX(_ENGINE_Initiatives!$BX$5:$BX$76,MATCH($A180,_ENGINE_Initiatives!$BW$5:$BW$76,0))="3-6 months",EDATE('Company Profile'!$B$6,3),IF(INDEX(_ENGINE_Initiatives!$BX$5:$BX$76,MATCH($A180,_ENGINE_Initiatives!$BW$5:$BW$76,0))="6-12 months",EDATE('Company Profile'!$B$6,6),EDATE('Company Profile'!$B$6,12))))+(IF(INDEX(_ENGINE_Initiatives!$AB$5:$AB$76,MATCH($A180,_ENGINE_Initiatives!$BW$5:$BW$76,0))&lt;=2,6,IF(INDEX(_ENGINE_Initiatives!$AB$5:$AB$76,MATCH($A180,_ENGINE_Initiatives!$BW$5:$BW$76,0))=3,10,IF(INDEX(_ENGINE_Initiatives!$AB$5:$AB$76,MATCH($A180,_ENGINE_Initiatives!$BW$5:$BW$76,0))=4,16,24)))*7)),1,""),"")</f>
        <v/>
      </c>
      <c r="J180" s="32" t="str">
        <f ca="1">IFERROR(IF(AND(J$162&gt;=IF(INDEX(_ENGINE_Initiatives!$BX$5:$BX$76,MATCH($A180,_ENGINE_Initiatives!$BW$5:$BW$76,0))="0-90 days",'Company Profile'!$B$6,IF(INDEX(_ENGINE_Initiatives!$BX$5:$BX$76,MATCH($A180,_ENGINE_Initiatives!$BW$5:$BW$76,0))="3-6 months",EDATE('Company Profile'!$B$6,3),IF(INDEX(_ENGINE_Initiatives!$BX$5:$BX$76,MATCH($A180,_ENGINE_Initiatives!$BW$5:$BW$76,0))="6-12 months",EDATE('Company Profile'!$B$6,6),EDATE('Company Profile'!$B$6,12)))),J$162&lt;=IF(INDEX(_ENGINE_Initiatives!$BX$5:$BX$76,MATCH($A180,_ENGINE_Initiatives!$BW$5:$BW$76,0))="0-90 days",'Company Profile'!$B$6,IF(INDEX(_ENGINE_Initiatives!$BX$5:$BX$76,MATCH($A180,_ENGINE_Initiatives!$BW$5:$BW$76,0))="3-6 months",EDATE('Company Profile'!$B$6,3),IF(INDEX(_ENGINE_Initiatives!$BX$5:$BX$76,MATCH($A180,_ENGINE_Initiatives!$BW$5:$BW$76,0))="6-12 months",EDATE('Company Profile'!$B$6,6),EDATE('Company Profile'!$B$6,12))))+(IF(INDEX(_ENGINE_Initiatives!$AB$5:$AB$76,MATCH($A180,_ENGINE_Initiatives!$BW$5:$BW$76,0))&lt;=2,6,IF(INDEX(_ENGINE_Initiatives!$AB$5:$AB$76,MATCH($A180,_ENGINE_Initiatives!$BW$5:$BW$76,0))=3,10,IF(INDEX(_ENGINE_Initiatives!$AB$5:$AB$76,MATCH($A180,_ENGINE_Initiatives!$BW$5:$BW$76,0))=4,16,24)))*7)),1,""),"")</f>
        <v/>
      </c>
      <c r="K180" s="32" t="str">
        <f ca="1">IFERROR(IF(AND(K$162&gt;=IF(INDEX(_ENGINE_Initiatives!$BX$5:$BX$76,MATCH($A180,_ENGINE_Initiatives!$BW$5:$BW$76,0))="0-90 days",'Company Profile'!$B$6,IF(INDEX(_ENGINE_Initiatives!$BX$5:$BX$76,MATCH($A180,_ENGINE_Initiatives!$BW$5:$BW$76,0))="3-6 months",EDATE('Company Profile'!$B$6,3),IF(INDEX(_ENGINE_Initiatives!$BX$5:$BX$76,MATCH($A180,_ENGINE_Initiatives!$BW$5:$BW$76,0))="6-12 months",EDATE('Company Profile'!$B$6,6),EDATE('Company Profile'!$B$6,12)))),K$162&lt;=IF(INDEX(_ENGINE_Initiatives!$BX$5:$BX$76,MATCH($A180,_ENGINE_Initiatives!$BW$5:$BW$76,0))="0-90 days",'Company Profile'!$B$6,IF(INDEX(_ENGINE_Initiatives!$BX$5:$BX$76,MATCH($A180,_ENGINE_Initiatives!$BW$5:$BW$76,0))="3-6 months",EDATE('Company Profile'!$B$6,3),IF(INDEX(_ENGINE_Initiatives!$BX$5:$BX$76,MATCH($A180,_ENGINE_Initiatives!$BW$5:$BW$76,0))="6-12 months",EDATE('Company Profile'!$B$6,6),EDATE('Company Profile'!$B$6,12))))+(IF(INDEX(_ENGINE_Initiatives!$AB$5:$AB$76,MATCH($A180,_ENGINE_Initiatives!$BW$5:$BW$76,0))&lt;=2,6,IF(INDEX(_ENGINE_Initiatives!$AB$5:$AB$76,MATCH($A180,_ENGINE_Initiatives!$BW$5:$BW$76,0))=3,10,IF(INDEX(_ENGINE_Initiatives!$AB$5:$AB$76,MATCH($A180,_ENGINE_Initiatives!$BW$5:$BW$76,0))=4,16,24)))*7)),1,""),"")</f>
        <v/>
      </c>
      <c r="L180" s="32" t="str">
        <f ca="1">IFERROR(IF(AND(L$162&gt;=IF(INDEX(_ENGINE_Initiatives!$BX$5:$BX$76,MATCH($A180,_ENGINE_Initiatives!$BW$5:$BW$76,0))="0-90 days",'Company Profile'!$B$6,IF(INDEX(_ENGINE_Initiatives!$BX$5:$BX$76,MATCH($A180,_ENGINE_Initiatives!$BW$5:$BW$76,0))="3-6 months",EDATE('Company Profile'!$B$6,3),IF(INDEX(_ENGINE_Initiatives!$BX$5:$BX$76,MATCH($A180,_ENGINE_Initiatives!$BW$5:$BW$76,0))="6-12 months",EDATE('Company Profile'!$B$6,6),EDATE('Company Profile'!$B$6,12)))),L$162&lt;=IF(INDEX(_ENGINE_Initiatives!$BX$5:$BX$76,MATCH($A180,_ENGINE_Initiatives!$BW$5:$BW$76,0))="0-90 days",'Company Profile'!$B$6,IF(INDEX(_ENGINE_Initiatives!$BX$5:$BX$76,MATCH($A180,_ENGINE_Initiatives!$BW$5:$BW$76,0))="3-6 months",EDATE('Company Profile'!$B$6,3),IF(INDEX(_ENGINE_Initiatives!$BX$5:$BX$76,MATCH($A180,_ENGINE_Initiatives!$BW$5:$BW$76,0))="6-12 months",EDATE('Company Profile'!$B$6,6),EDATE('Company Profile'!$B$6,12))))+(IF(INDEX(_ENGINE_Initiatives!$AB$5:$AB$76,MATCH($A180,_ENGINE_Initiatives!$BW$5:$BW$76,0))&lt;=2,6,IF(INDEX(_ENGINE_Initiatives!$AB$5:$AB$76,MATCH($A180,_ENGINE_Initiatives!$BW$5:$BW$76,0))=3,10,IF(INDEX(_ENGINE_Initiatives!$AB$5:$AB$76,MATCH($A180,_ENGINE_Initiatives!$BW$5:$BW$76,0))=4,16,24)))*7)),1,""),"")</f>
        <v/>
      </c>
      <c r="M180" s="32" t="str">
        <f ca="1">IFERROR(IF(AND(M$162&gt;=IF(INDEX(_ENGINE_Initiatives!$BX$5:$BX$76,MATCH($A180,_ENGINE_Initiatives!$BW$5:$BW$76,0))="0-90 days",'Company Profile'!$B$6,IF(INDEX(_ENGINE_Initiatives!$BX$5:$BX$76,MATCH($A180,_ENGINE_Initiatives!$BW$5:$BW$76,0))="3-6 months",EDATE('Company Profile'!$B$6,3),IF(INDEX(_ENGINE_Initiatives!$BX$5:$BX$76,MATCH($A180,_ENGINE_Initiatives!$BW$5:$BW$76,0))="6-12 months",EDATE('Company Profile'!$B$6,6),EDATE('Company Profile'!$B$6,12)))),M$162&lt;=IF(INDEX(_ENGINE_Initiatives!$BX$5:$BX$76,MATCH($A180,_ENGINE_Initiatives!$BW$5:$BW$76,0))="0-90 days",'Company Profile'!$B$6,IF(INDEX(_ENGINE_Initiatives!$BX$5:$BX$76,MATCH($A180,_ENGINE_Initiatives!$BW$5:$BW$76,0))="3-6 months",EDATE('Company Profile'!$B$6,3),IF(INDEX(_ENGINE_Initiatives!$BX$5:$BX$76,MATCH($A180,_ENGINE_Initiatives!$BW$5:$BW$76,0))="6-12 months",EDATE('Company Profile'!$B$6,6),EDATE('Company Profile'!$B$6,12))))+(IF(INDEX(_ENGINE_Initiatives!$AB$5:$AB$76,MATCH($A180,_ENGINE_Initiatives!$BW$5:$BW$76,0))&lt;=2,6,IF(INDEX(_ENGINE_Initiatives!$AB$5:$AB$76,MATCH($A180,_ENGINE_Initiatives!$BW$5:$BW$76,0))=3,10,IF(INDEX(_ENGINE_Initiatives!$AB$5:$AB$76,MATCH($A180,_ENGINE_Initiatives!$BW$5:$BW$76,0))=4,16,24)))*7)),1,""),"")</f>
        <v/>
      </c>
      <c r="N180" s="32" t="str">
        <f ca="1">IFERROR(IF(AND(N$162&gt;=IF(INDEX(_ENGINE_Initiatives!$BX$5:$BX$76,MATCH($A180,_ENGINE_Initiatives!$BW$5:$BW$76,0))="0-90 days",'Company Profile'!$B$6,IF(INDEX(_ENGINE_Initiatives!$BX$5:$BX$76,MATCH($A180,_ENGINE_Initiatives!$BW$5:$BW$76,0))="3-6 months",EDATE('Company Profile'!$B$6,3),IF(INDEX(_ENGINE_Initiatives!$BX$5:$BX$76,MATCH($A180,_ENGINE_Initiatives!$BW$5:$BW$76,0))="6-12 months",EDATE('Company Profile'!$B$6,6),EDATE('Company Profile'!$B$6,12)))),N$162&lt;=IF(INDEX(_ENGINE_Initiatives!$BX$5:$BX$76,MATCH($A180,_ENGINE_Initiatives!$BW$5:$BW$76,0))="0-90 days",'Company Profile'!$B$6,IF(INDEX(_ENGINE_Initiatives!$BX$5:$BX$76,MATCH($A180,_ENGINE_Initiatives!$BW$5:$BW$76,0))="3-6 months",EDATE('Company Profile'!$B$6,3),IF(INDEX(_ENGINE_Initiatives!$BX$5:$BX$76,MATCH($A180,_ENGINE_Initiatives!$BW$5:$BW$76,0))="6-12 months",EDATE('Company Profile'!$B$6,6),EDATE('Company Profile'!$B$6,12))))+(IF(INDEX(_ENGINE_Initiatives!$AB$5:$AB$76,MATCH($A180,_ENGINE_Initiatives!$BW$5:$BW$76,0))&lt;=2,6,IF(INDEX(_ENGINE_Initiatives!$AB$5:$AB$76,MATCH($A180,_ENGINE_Initiatives!$BW$5:$BW$76,0))=3,10,IF(INDEX(_ENGINE_Initiatives!$AB$5:$AB$76,MATCH($A180,_ENGINE_Initiatives!$BW$5:$BW$76,0))=4,16,24)))*7)),1,""),"")</f>
        <v/>
      </c>
      <c r="O180" s="32" t="str">
        <f ca="1">IFERROR(IF(AND(O$162&gt;=IF(INDEX(_ENGINE_Initiatives!$BX$5:$BX$76,MATCH($A180,_ENGINE_Initiatives!$BW$5:$BW$76,0))="0-90 days",'Company Profile'!$B$6,IF(INDEX(_ENGINE_Initiatives!$BX$5:$BX$76,MATCH($A180,_ENGINE_Initiatives!$BW$5:$BW$76,0))="3-6 months",EDATE('Company Profile'!$B$6,3),IF(INDEX(_ENGINE_Initiatives!$BX$5:$BX$76,MATCH($A180,_ENGINE_Initiatives!$BW$5:$BW$76,0))="6-12 months",EDATE('Company Profile'!$B$6,6),EDATE('Company Profile'!$B$6,12)))),O$162&lt;=IF(INDEX(_ENGINE_Initiatives!$BX$5:$BX$76,MATCH($A180,_ENGINE_Initiatives!$BW$5:$BW$76,0))="0-90 days",'Company Profile'!$B$6,IF(INDEX(_ENGINE_Initiatives!$BX$5:$BX$76,MATCH($A180,_ENGINE_Initiatives!$BW$5:$BW$76,0))="3-6 months",EDATE('Company Profile'!$B$6,3),IF(INDEX(_ENGINE_Initiatives!$BX$5:$BX$76,MATCH($A180,_ENGINE_Initiatives!$BW$5:$BW$76,0))="6-12 months",EDATE('Company Profile'!$B$6,6),EDATE('Company Profile'!$B$6,12))))+(IF(INDEX(_ENGINE_Initiatives!$AB$5:$AB$76,MATCH($A180,_ENGINE_Initiatives!$BW$5:$BW$76,0))&lt;=2,6,IF(INDEX(_ENGINE_Initiatives!$AB$5:$AB$76,MATCH($A180,_ENGINE_Initiatives!$BW$5:$BW$76,0))=3,10,IF(INDEX(_ENGINE_Initiatives!$AB$5:$AB$76,MATCH($A180,_ENGINE_Initiatives!$BW$5:$BW$76,0))=4,16,24)))*7)),1,""),"")</f>
        <v/>
      </c>
      <c r="P180" s="32" t="str">
        <f ca="1">IFERROR(IF(AND(P$162&gt;=IF(INDEX(_ENGINE_Initiatives!$BX$5:$BX$76,MATCH($A180,_ENGINE_Initiatives!$BW$5:$BW$76,0))="0-90 days",'Company Profile'!$B$6,IF(INDEX(_ENGINE_Initiatives!$BX$5:$BX$76,MATCH($A180,_ENGINE_Initiatives!$BW$5:$BW$76,0))="3-6 months",EDATE('Company Profile'!$B$6,3),IF(INDEX(_ENGINE_Initiatives!$BX$5:$BX$76,MATCH($A180,_ENGINE_Initiatives!$BW$5:$BW$76,0))="6-12 months",EDATE('Company Profile'!$B$6,6),EDATE('Company Profile'!$B$6,12)))),P$162&lt;=IF(INDEX(_ENGINE_Initiatives!$BX$5:$BX$76,MATCH($A180,_ENGINE_Initiatives!$BW$5:$BW$76,0))="0-90 days",'Company Profile'!$B$6,IF(INDEX(_ENGINE_Initiatives!$BX$5:$BX$76,MATCH($A180,_ENGINE_Initiatives!$BW$5:$BW$76,0))="3-6 months",EDATE('Company Profile'!$B$6,3),IF(INDEX(_ENGINE_Initiatives!$BX$5:$BX$76,MATCH($A180,_ENGINE_Initiatives!$BW$5:$BW$76,0))="6-12 months",EDATE('Company Profile'!$B$6,6),EDATE('Company Profile'!$B$6,12))))+(IF(INDEX(_ENGINE_Initiatives!$AB$5:$AB$76,MATCH($A180,_ENGINE_Initiatives!$BW$5:$BW$76,0))&lt;=2,6,IF(INDEX(_ENGINE_Initiatives!$AB$5:$AB$76,MATCH($A180,_ENGINE_Initiatives!$BW$5:$BW$76,0))=3,10,IF(INDEX(_ENGINE_Initiatives!$AB$5:$AB$76,MATCH($A180,_ENGINE_Initiatives!$BW$5:$BW$76,0))=4,16,24)))*7)),1,""),"")</f>
        <v/>
      </c>
      <c r="Q180" s="32" t="str">
        <f ca="1">IFERROR(IF(AND(Q$162&gt;=IF(INDEX(_ENGINE_Initiatives!$BX$5:$BX$76,MATCH($A180,_ENGINE_Initiatives!$BW$5:$BW$76,0))="0-90 days",'Company Profile'!$B$6,IF(INDEX(_ENGINE_Initiatives!$BX$5:$BX$76,MATCH($A180,_ENGINE_Initiatives!$BW$5:$BW$76,0))="3-6 months",EDATE('Company Profile'!$B$6,3),IF(INDEX(_ENGINE_Initiatives!$BX$5:$BX$76,MATCH($A180,_ENGINE_Initiatives!$BW$5:$BW$76,0))="6-12 months",EDATE('Company Profile'!$B$6,6),EDATE('Company Profile'!$B$6,12)))),Q$162&lt;=IF(INDEX(_ENGINE_Initiatives!$BX$5:$BX$76,MATCH($A180,_ENGINE_Initiatives!$BW$5:$BW$76,0))="0-90 days",'Company Profile'!$B$6,IF(INDEX(_ENGINE_Initiatives!$BX$5:$BX$76,MATCH($A180,_ENGINE_Initiatives!$BW$5:$BW$76,0))="3-6 months",EDATE('Company Profile'!$B$6,3),IF(INDEX(_ENGINE_Initiatives!$BX$5:$BX$76,MATCH($A180,_ENGINE_Initiatives!$BW$5:$BW$76,0))="6-12 months",EDATE('Company Profile'!$B$6,6),EDATE('Company Profile'!$B$6,12))))+(IF(INDEX(_ENGINE_Initiatives!$AB$5:$AB$76,MATCH($A180,_ENGINE_Initiatives!$BW$5:$BW$76,0))&lt;=2,6,IF(INDEX(_ENGINE_Initiatives!$AB$5:$AB$76,MATCH($A180,_ENGINE_Initiatives!$BW$5:$BW$76,0))=3,10,IF(INDEX(_ENGINE_Initiatives!$AB$5:$AB$76,MATCH($A180,_ENGINE_Initiatives!$BW$5:$BW$76,0))=4,16,24)))*7)),1,""),"")</f>
        <v/>
      </c>
      <c r="R180" s="32" t="str">
        <f ca="1">IFERROR(IF(AND(R$162&gt;=IF(INDEX(_ENGINE_Initiatives!$BX$5:$BX$76,MATCH($A180,_ENGINE_Initiatives!$BW$5:$BW$76,0))="0-90 days",'Company Profile'!$B$6,IF(INDEX(_ENGINE_Initiatives!$BX$5:$BX$76,MATCH($A180,_ENGINE_Initiatives!$BW$5:$BW$76,0))="3-6 months",EDATE('Company Profile'!$B$6,3),IF(INDEX(_ENGINE_Initiatives!$BX$5:$BX$76,MATCH($A180,_ENGINE_Initiatives!$BW$5:$BW$76,0))="6-12 months",EDATE('Company Profile'!$B$6,6),EDATE('Company Profile'!$B$6,12)))),R$162&lt;=IF(INDEX(_ENGINE_Initiatives!$BX$5:$BX$76,MATCH($A180,_ENGINE_Initiatives!$BW$5:$BW$76,0))="0-90 days",'Company Profile'!$B$6,IF(INDEX(_ENGINE_Initiatives!$BX$5:$BX$76,MATCH($A180,_ENGINE_Initiatives!$BW$5:$BW$76,0))="3-6 months",EDATE('Company Profile'!$B$6,3),IF(INDEX(_ENGINE_Initiatives!$BX$5:$BX$76,MATCH($A180,_ENGINE_Initiatives!$BW$5:$BW$76,0))="6-12 months",EDATE('Company Profile'!$B$6,6),EDATE('Company Profile'!$B$6,12))))+(IF(INDEX(_ENGINE_Initiatives!$AB$5:$AB$76,MATCH($A180,_ENGINE_Initiatives!$BW$5:$BW$76,0))&lt;=2,6,IF(INDEX(_ENGINE_Initiatives!$AB$5:$AB$76,MATCH($A180,_ENGINE_Initiatives!$BW$5:$BW$76,0))=3,10,IF(INDEX(_ENGINE_Initiatives!$AB$5:$AB$76,MATCH($A180,_ENGINE_Initiatives!$BW$5:$BW$76,0))=4,16,24)))*7)),1,""),"")</f>
        <v/>
      </c>
      <c r="S180" s="32" t="str">
        <f ca="1">IFERROR(IF(AND(S$162&gt;=IF(INDEX(_ENGINE_Initiatives!$BX$5:$BX$76,MATCH($A180,_ENGINE_Initiatives!$BW$5:$BW$76,0))="0-90 days",'Company Profile'!$B$6,IF(INDEX(_ENGINE_Initiatives!$BX$5:$BX$76,MATCH($A180,_ENGINE_Initiatives!$BW$5:$BW$76,0))="3-6 months",EDATE('Company Profile'!$B$6,3),IF(INDEX(_ENGINE_Initiatives!$BX$5:$BX$76,MATCH($A180,_ENGINE_Initiatives!$BW$5:$BW$76,0))="6-12 months",EDATE('Company Profile'!$B$6,6),EDATE('Company Profile'!$B$6,12)))),S$162&lt;=IF(INDEX(_ENGINE_Initiatives!$BX$5:$BX$76,MATCH($A180,_ENGINE_Initiatives!$BW$5:$BW$76,0))="0-90 days",'Company Profile'!$B$6,IF(INDEX(_ENGINE_Initiatives!$BX$5:$BX$76,MATCH($A180,_ENGINE_Initiatives!$BW$5:$BW$76,0))="3-6 months",EDATE('Company Profile'!$B$6,3),IF(INDEX(_ENGINE_Initiatives!$BX$5:$BX$76,MATCH($A180,_ENGINE_Initiatives!$BW$5:$BW$76,0))="6-12 months",EDATE('Company Profile'!$B$6,6),EDATE('Company Profile'!$B$6,12))))+(IF(INDEX(_ENGINE_Initiatives!$AB$5:$AB$76,MATCH($A180,_ENGINE_Initiatives!$BW$5:$BW$76,0))&lt;=2,6,IF(INDEX(_ENGINE_Initiatives!$AB$5:$AB$76,MATCH($A180,_ENGINE_Initiatives!$BW$5:$BW$76,0))=3,10,IF(INDEX(_ENGINE_Initiatives!$AB$5:$AB$76,MATCH($A180,_ENGINE_Initiatives!$BW$5:$BW$76,0))=4,16,24)))*7)),1,""),"")</f>
        <v/>
      </c>
      <c r="T180" s="32" t="str">
        <f ca="1">IFERROR(IF(AND(T$162&gt;=IF(INDEX(_ENGINE_Initiatives!$BX$5:$BX$76,MATCH($A180,_ENGINE_Initiatives!$BW$5:$BW$76,0))="0-90 days",'Company Profile'!$B$6,IF(INDEX(_ENGINE_Initiatives!$BX$5:$BX$76,MATCH($A180,_ENGINE_Initiatives!$BW$5:$BW$76,0))="3-6 months",EDATE('Company Profile'!$B$6,3),IF(INDEX(_ENGINE_Initiatives!$BX$5:$BX$76,MATCH($A180,_ENGINE_Initiatives!$BW$5:$BW$76,0))="6-12 months",EDATE('Company Profile'!$B$6,6),EDATE('Company Profile'!$B$6,12)))),T$162&lt;=IF(INDEX(_ENGINE_Initiatives!$BX$5:$BX$76,MATCH($A180,_ENGINE_Initiatives!$BW$5:$BW$76,0))="0-90 days",'Company Profile'!$B$6,IF(INDEX(_ENGINE_Initiatives!$BX$5:$BX$76,MATCH($A180,_ENGINE_Initiatives!$BW$5:$BW$76,0))="3-6 months",EDATE('Company Profile'!$B$6,3),IF(INDEX(_ENGINE_Initiatives!$BX$5:$BX$76,MATCH($A180,_ENGINE_Initiatives!$BW$5:$BW$76,0))="6-12 months",EDATE('Company Profile'!$B$6,6),EDATE('Company Profile'!$B$6,12))))+(IF(INDEX(_ENGINE_Initiatives!$AB$5:$AB$76,MATCH($A180,_ENGINE_Initiatives!$BW$5:$BW$76,0))&lt;=2,6,IF(INDEX(_ENGINE_Initiatives!$AB$5:$AB$76,MATCH($A180,_ENGINE_Initiatives!$BW$5:$BW$76,0))=3,10,IF(INDEX(_ENGINE_Initiatives!$AB$5:$AB$76,MATCH($A180,_ENGINE_Initiatives!$BW$5:$BW$76,0))=4,16,24)))*7)),1,""),"")</f>
        <v/>
      </c>
      <c r="U180" s="18"/>
      <c r="V180" s="18"/>
    </row>
    <row r="181" spans="1:22" ht="15" customHeight="1">
      <c r="A181" s="28" t="s">
        <v>3704</v>
      </c>
      <c r="B181" s="28" t="str">
        <f>IFERROR(INDEX(_ENGINE_Initiatives!$F$5:$F$76,MATCH($A181,_ENGINE_Initiatives!$BW$5:$BW$76,0)),"")</f>
        <v/>
      </c>
      <c r="C181" s="32" t="str">
        <f ca="1">IFERROR(IF(AND(C$162&gt;=IF(INDEX(_ENGINE_Initiatives!$BX$5:$BX$76,MATCH($A181,_ENGINE_Initiatives!$BW$5:$BW$76,0))="0-90 days",'Company Profile'!$B$6,IF(INDEX(_ENGINE_Initiatives!$BX$5:$BX$76,MATCH($A181,_ENGINE_Initiatives!$BW$5:$BW$76,0))="3-6 months",EDATE('Company Profile'!$B$6,3),IF(INDEX(_ENGINE_Initiatives!$BX$5:$BX$76,MATCH($A181,_ENGINE_Initiatives!$BW$5:$BW$76,0))="6-12 months",EDATE('Company Profile'!$B$6,6),EDATE('Company Profile'!$B$6,12)))),C$162&lt;=IF(INDEX(_ENGINE_Initiatives!$BX$5:$BX$76,MATCH($A181,_ENGINE_Initiatives!$BW$5:$BW$76,0))="0-90 days",'Company Profile'!$B$6,IF(INDEX(_ENGINE_Initiatives!$BX$5:$BX$76,MATCH($A181,_ENGINE_Initiatives!$BW$5:$BW$76,0))="3-6 months",EDATE('Company Profile'!$B$6,3),IF(INDEX(_ENGINE_Initiatives!$BX$5:$BX$76,MATCH($A181,_ENGINE_Initiatives!$BW$5:$BW$76,0))="6-12 months",EDATE('Company Profile'!$B$6,6),EDATE('Company Profile'!$B$6,12))))+(IF(INDEX(_ENGINE_Initiatives!$AB$5:$AB$76,MATCH($A181,_ENGINE_Initiatives!$BW$5:$BW$76,0))&lt;=2,6,IF(INDEX(_ENGINE_Initiatives!$AB$5:$AB$76,MATCH($A181,_ENGINE_Initiatives!$BW$5:$BW$76,0))=3,10,IF(INDEX(_ENGINE_Initiatives!$AB$5:$AB$76,MATCH($A181,_ENGINE_Initiatives!$BW$5:$BW$76,0))=4,16,24)))*7)),1,""),"")</f>
        <v/>
      </c>
      <c r="D181" s="32" t="str">
        <f ca="1">IFERROR(IF(AND(D$162&gt;=IF(INDEX(_ENGINE_Initiatives!$BX$5:$BX$76,MATCH($A181,_ENGINE_Initiatives!$BW$5:$BW$76,0))="0-90 days",'Company Profile'!$B$6,IF(INDEX(_ENGINE_Initiatives!$BX$5:$BX$76,MATCH($A181,_ENGINE_Initiatives!$BW$5:$BW$76,0))="3-6 months",EDATE('Company Profile'!$B$6,3),IF(INDEX(_ENGINE_Initiatives!$BX$5:$BX$76,MATCH($A181,_ENGINE_Initiatives!$BW$5:$BW$76,0))="6-12 months",EDATE('Company Profile'!$B$6,6),EDATE('Company Profile'!$B$6,12)))),D$162&lt;=IF(INDEX(_ENGINE_Initiatives!$BX$5:$BX$76,MATCH($A181,_ENGINE_Initiatives!$BW$5:$BW$76,0))="0-90 days",'Company Profile'!$B$6,IF(INDEX(_ENGINE_Initiatives!$BX$5:$BX$76,MATCH($A181,_ENGINE_Initiatives!$BW$5:$BW$76,0))="3-6 months",EDATE('Company Profile'!$B$6,3),IF(INDEX(_ENGINE_Initiatives!$BX$5:$BX$76,MATCH($A181,_ENGINE_Initiatives!$BW$5:$BW$76,0))="6-12 months",EDATE('Company Profile'!$B$6,6),EDATE('Company Profile'!$B$6,12))))+(IF(INDEX(_ENGINE_Initiatives!$AB$5:$AB$76,MATCH($A181,_ENGINE_Initiatives!$BW$5:$BW$76,0))&lt;=2,6,IF(INDEX(_ENGINE_Initiatives!$AB$5:$AB$76,MATCH($A181,_ENGINE_Initiatives!$BW$5:$BW$76,0))=3,10,IF(INDEX(_ENGINE_Initiatives!$AB$5:$AB$76,MATCH($A181,_ENGINE_Initiatives!$BW$5:$BW$76,0))=4,16,24)))*7)),1,""),"")</f>
        <v/>
      </c>
      <c r="E181" s="32" t="str">
        <f ca="1">IFERROR(IF(AND(E$162&gt;=IF(INDEX(_ENGINE_Initiatives!$BX$5:$BX$76,MATCH($A181,_ENGINE_Initiatives!$BW$5:$BW$76,0))="0-90 days",'Company Profile'!$B$6,IF(INDEX(_ENGINE_Initiatives!$BX$5:$BX$76,MATCH($A181,_ENGINE_Initiatives!$BW$5:$BW$76,0))="3-6 months",EDATE('Company Profile'!$B$6,3),IF(INDEX(_ENGINE_Initiatives!$BX$5:$BX$76,MATCH($A181,_ENGINE_Initiatives!$BW$5:$BW$76,0))="6-12 months",EDATE('Company Profile'!$B$6,6),EDATE('Company Profile'!$B$6,12)))),E$162&lt;=IF(INDEX(_ENGINE_Initiatives!$BX$5:$BX$76,MATCH($A181,_ENGINE_Initiatives!$BW$5:$BW$76,0))="0-90 days",'Company Profile'!$B$6,IF(INDEX(_ENGINE_Initiatives!$BX$5:$BX$76,MATCH($A181,_ENGINE_Initiatives!$BW$5:$BW$76,0))="3-6 months",EDATE('Company Profile'!$B$6,3),IF(INDEX(_ENGINE_Initiatives!$BX$5:$BX$76,MATCH($A181,_ENGINE_Initiatives!$BW$5:$BW$76,0))="6-12 months",EDATE('Company Profile'!$B$6,6),EDATE('Company Profile'!$B$6,12))))+(IF(INDEX(_ENGINE_Initiatives!$AB$5:$AB$76,MATCH($A181,_ENGINE_Initiatives!$BW$5:$BW$76,0))&lt;=2,6,IF(INDEX(_ENGINE_Initiatives!$AB$5:$AB$76,MATCH($A181,_ENGINE_Initiatives!$BW$5:$BW$76,0))=3,10,IF(INDEX(_ENGINE_Initiatives!$AB$5:$AB$76,MATCH($A181,_ENGINE_Initiatives!$BW$5:$BW$76,0))=4,16,24)))*7)),1,""),"")</f>
        <v/>
      </c>
      <c r="F181" s="32" t="str">
        <f ca="1">IFERROR(IF(AND(F$162&gt;=IF(INDEX(_ENGINE_Initiatives!$BX$5:$BX$76,MATCH($A181,_ENGINE_Initiatives!$BW$5:$BW$76,0))="0-90 days",'Company Profile'!$B$6,IF(INDEX(_ENGINE_Initiatives!$BX$5:$BX$76,MATCH($A181,_ENGINE_Initiatives!$BW$5:$BW$76,0))="3-6 months",EDATE('Company Profile'!$B$6,3),IF(INDEX(_ENGINE_Initiatives!$BX$5:$BX$76,MATCH($A181,_ENGINE_Initiatives!$BW$5:$BW$76,0))="6-12 months",EDATE('Company Profile'!$B$6,6),EDATE('Company Profile'!$B$6,12)))),F$162&lt;=IF(INDEX(_ENGINE_Initiatives!$BX$5:$BX$76,MATCH($A181,_ENGINE_Initiatives!$BW$5:$BW$76,0))="0-90 days",'Company Profile'!$B$6,IF(INDEX(_ENGINE_Initiatives!$BX$5:$BX$76,MATCH($A181,_ENGINE_Initiatives!$BW$5:$BW$76,0))="3-6 months",EDATE('Company Profile'!$B$6,3),IF(INDEX(_ENGINE_Initiatives!$BX$5:$BX$76,MATCH($A181,_ENGINE_Initiatives!$BW$5:$BW$76,0))="6-12 months",EDATE('Company Profile'!$B$6,6),EDATE('Company Profile'!$B$6,12))))+(IF(INDEX(_ENGINE_Initiatives!$AB$5:$AB$76,MATCH($A181,_ENGINE_Initiatives!$BW$5:$BW$76,0))&lt;=2,6,IF(INDEX(_ENGINE_Initiatives!$AB$5:$AB$76,MATCH($A181,_ENGINE_Initiatives!$BW$5:$BW$76,0))=3,10,IF(INDEX(_ENGINE_Initiatives!$AB$5:$AB$76,MATCH($A181,_ENGINE_Initiatives!$BW$5:$BW$76,0))=4,16,24)))*7)),1,""),"")</f>
        <v/>
      </c>
      <c r="G181" s="32" t="str">
        <f ca="1">IFERROR(IF(AND(G$162&gt;=IF(INDEX(_ENGINE_Initiatives!$BX$5:$BX$76,MATCH($A181,_ENGINE_Initiatives!$BW$5:$BW$76,0))="0-90 days",'Company Profile'!$B$6,IF(INDEX(_ENGINE_Initiatives!$BX$5:$BX$76,MATCH($A181,_ENGINE_Initiatives!$BW$5:$BW$76,0))="3-6 months",EDATE('Company Profile'!$B$6,3),IF(INDEX(_ENGINE_Initiatives!$BX$5:$BX$76,MATCH($A181,_ENGINE_Initiatives!$BW$5:$BW$76,0))="6-12 months",EDATE('Company Profile'!$B$6,6),EDATE('Company Profile'!$B$6,12)))),G$162&lt;=IF(INDEX(_ENGINE_Initiatives!$BX$5:$BX$76,MATCH($A181,_ENGINE_Initiatives!$BW$5:$BW$76,0))="0-90 days",'Company Profile'!$B$6,IF(INDEX(_ENGINE_Initiatives!$BX$5:$BX$76,MATCH($A181,_ENGINE_Initiatives!$BW$5:$BW$76,0))="3-6 months",EDATE('Company Profile'!$B$6,3),IF(INDEX(_ENGINE_Initiatives!$BX$5:$BX$76,MATCH($A181,_ENGINE_Initiatives!$BW$5:$BW$76,0))="6-12 months",EDATE('Company Profile'!$B$6,6),EDATE('Company Profile'!$B$6,12))))+(IF(INDEX(_ENGINE_Initiatives!$AB$5:$AB$76,MATCH($A181,_ENGINE_Initiatives!$BW$5:$BW$76,0))&lt;=2,6,IF(INDEX(_ENGINE_Initiatives!$AB$5:$AB$76,MATCH($A181,_ENGINE_Initiatives!$BW$5:$BW$76,0))=3,10,IF(INDEX(_ENGINE_Initiatives!$AB$5:$AB$76,MATCH($A181,_ENGINE_Initiatives!$BW$5:$BW$76,0))=4,16,24)))*7)),1,""),"")</f>
        <v/>
      </c>
      <c r="H181" s="32" t="str">
        <f ca="1">IFERROR(IF(AND(H$162&gt;=IF(INDEX(_ENGINE_Initiatives!$BX$5:$BX$76,MATCH($A181,_ENGINE_Initiatives!$BW$5:$BW$76,0))="0-90 days",'Company Profile'!$B$6,IF(INDEX(_ENGINE_Initiatives!$BX$5:$BX$76,MATCH($A181,_ENGINE_Initiatives!$BW$5:$BW$76,0))="3-6 months",EDATE('Company Profile'!$B$6,3),IF(INDEX(_ENGINE_Initiatives!$BX$5:$BX$76,MATCH($A181,_ENGINE_Initiatives!$BW$5:$BW$76,0))="6-12 months",EDATE('Company Profile'!$B$6,6),EDATE('Company Profile'!$B$6,12)))),H$162&lt;=IF(INDEX(_ENGINE_Initiatives!$BX$5:$BX$76,MATCH($A181,_ENGINE_Initiatives!$BW$5:$BW$76,0))="0-90 days",'Company Profile'!$B$6,IF(INDEX(_ENGINE_Initiatives!$BX$5:$BX$76,MATCH($A181,_ENGINE_Initiatives!$BW$5:$BW$76,0))="3-6 months",EDATE('Company Profile'!$B$6,3),IF(INDEX(_ENGINE_Initiatives!$BX$5:$BX$76,MATCH($A181,_ENGINE_Initiatives!$BW$5:$BW$76,0))="6-12 months",EDATE('Company Profile'!$B$6,6),EDATE('Company Profile'!$B$6,12))))+(IF(INDEX(_ENGINE_Initiatives!$AB$5:$AB$76,MATCH($A181,_ENGINE_Initiatives!$BW$5:$BW$76,0))&lt;=2,6,IF(INDEX(_ENGINE_Initiatives!$AB$5:$AB$76,MATCH($A181,_ENGINE_Initiatives!$BW$5:$BW$76,0))=3,10,IF(INDEX(_ENGINE_Initiatives!$AB$5:$AB$76,MATCH($A181,_ENGINE_Initiatives!$BW$5:$BW$76,0))=4,16,24)))*7)),1,""),"")</f>
        <v/>
      </c>
      <c r="I181" s="32" t="str">
        <f ca="1">IFERROR(IF(AND(I$162&gt;=IF(INDEX(_ENGINE_Initiatives!$BX$5:$BX$76,MATCH($A181,_ENGINE_Initiatives!$BW$5:$BW$76,0))="0-90 days",'Company Profile'!$B$6,IF(INDEX(_ENGINE_Initiatives!$BX$5:$BX$76,MATCH($A181,_ENGINE_Initiatives!$BW$5:$BW$76,0))="3-6 months",EDATE('Company Profile'!$B$6,3),IF(INDEX(_ENGINE_Initiatives!$BX$5:$BX$76,MATCH($A181,_ENGINE_Initiatives!$BW$5:$BW$76,0))="6-12 months",EDATE('Company Profile'!$B$6,6),EDATE('Company Profile'!$B$6,12)))),I$162&lt;=IF(INDEX(_ENGINE_Initiatives!$BX$5:$BX$76,MATCH($A181,_ENGINE_Initiatives!$BW$5:$BW$76,0))="0-90 days",'Company Profile'!$B$6,IF(INDEX(_ENGINE_Initiatives!$BX$5:$BX$76,MATCH($A181,_ENGINE_Initiatives!$BW$5:$BW$76,0))="3-6 months",EDATE('Company Profile'!$B$6,3),IF(INDEX(_ENGINE_Initiatives!$BX$5:$BX$76,MATCH($A181,_ENGINE_Initiatives!$BW$5:$BW$76,0))="6-12 months",EDATE('Company Profile'!$B$6,6),EDATE('Company Profile'!$B$6,12))))+(IF(INDEX(_ENGINE_Initiatives!$AB$5:$AB$76,MATCH($A181,_ENGINE_Initiatives!$BW$5:$BW$76,0))&lt;=2,6,IF(INDEX(_ENGINE_Initiatives!$AB$5:$AB$76,MATCH($A181,_ENGINE_Initiatives!$BW$5:$BW$76,0))=3,10,IF(INDEX(_ENGINE_Initiatives!$AB$5:$AB$76,MATCH($A181,_ENGINE_Initiatives!$BW$5:$BW$76,0))=4,16,24)))*7)),1,""),"")</f>
        <v/>
      </c>
      <c r="J181" s="32" t="str">
        <f ca="1">IFERROR(IF(AND(J$162&gt;=IF(INDEX(_ENGINE_Initiatives!$BX$5:$BX$76,MATCH($A181,_ENGINE_Initiatives!$BW$5:$BW$76,0))="0-90 days",'Company Profile'!$B$6,IF(INDEX(_ENGINE_Initiatives!$BX$5:$BX$76,MATCH($A181,_ENGINE_Initiatives!$BW$5:$BW$76,0))="3-6 months",EDATE('Company Profile'!$B$6,3),IF(INDEX(_ENGINE_Initiatives!$BX$5:$BX$76,MATCH($A181,_ENGINE_Initiatives!$BW$5:$BW$76,0))="6-12 months",EDATE('Company Profile'!$B$6,6),EDATE('Company Profile'!$B$6,12)))),J$162&lt;=IF(INDEX(_ENGINE_Initiatives!$BX$5:$BX$76,MATCH($A181,_ENGINE_Initiatives!$BW$5:$BW$76,0))="0-90 days",'Company Profile'!$B$6,IF(INDEX(_ENGINE_Initiatives!$BX$5:$BX$76,MATCH($A181,_ENGINE_Initiatives!$BW$5:$BW$76,0))="3-6 months",EDATE('Company Profile'!$B$6,3),IF(INDEX(_ENGINE_Initiatives!$BX$5:$BX$76,MATCH($A181,_ENGINE_Initiatives!$BW$5:$BW$76,0))="6-12 months",EDATE('Company Profile'!$B$6,6),EDATE('Company Profile'!$B$6,12))))+(IF(INDEX(_ENGINE_Initiatives!$AB$5:$AB$76,MATCH($A181,_ENGINE_Initiatives!$BW$5:$BW$76,0))&lt;=2,6,IF(INDEX(_ENGINE_Initiatives!$AB$5:$AB$76,MATCH($A181,_ENGINE_Initiatives!$BW$5:$BW$76,0))=3,10,IF(INDEX(_ENGINE_Initiatives!$AB$5:$AB$76,MATCH($A181,_ENGINE_Initiatives!$BW$5:$BW$76,0))=4,16,24)))*7)),1,""),"")</f>
        <v/>
      </c>
      <c r="K181" s="32" t="str">
        <f ca="1">IFERROR(IF(AND(K$162&gt;=IF(INDEX(_ENGINE_Initiatives!$BX$5:$BX$76,MATCH($A181,_ENGINE_Initiatives!$BW$5:$BW$76,0))="0-90 days",'Company Profile'!$B$6,IF(INDEX(_ENGINE_Initiatives!$BX$5:$BX$76,MATCH($A181,_ENGINE_Initiatives!$BW$5:$BW$76,0))="3-6 months",EDATE('Company Profile'!$B$6,3),IF(INDEX(_ENGINE_Initiatives!$BX$5:$BX$76,MATCH($A181,_ENGINE_Initiatives!$BW$5:$BW$76,0))="6-12 months",EDATE('Company Profile'!$B$6,6),EDATE('Company Profile'!$B$6,12)))),K$162&lt;=IF(INDEX(_ENGINE_Initiatives!$BX$5:$BX$76,MATCH($A181,_ENGINE_Initiatives!$BW$5:$BW$76,0))="0-90 days",'Company Profile'!$B$6,IF(INDEX(_ENGINE_Initiatives!$BX$5:$BX$76,MATCH($A181,_ENGINE_Initiatives!$BW$5:$BW$76,0))="3-6 months",EDATE('Company Profile'!$B$6,3),IF(INDEX(_ENGINE_Initiatives!$BX$5:$BX$76,MATCH($A181,_ENGINE_Initiatives!$BW$5:$BW$76,0))="6-12 months",EDATE('Company Profile'!$B$6,6),EDATE('Company Profile'!$B$6,12))))+(IF(INDEX(_ENGINE_Initiatives!$AB$5:$AB$76,MATCH($A181,_ENGINE_Initiatives!$BW$5:$BW$76,0))&lt;=2,6,IF(INDEX(_ENGINE_Initiatives!$AB$5:$AB$76,MATCH($A181,_ENGINE_Initiatives!$BW$5:$BW$76,0))=3,10,IF(INDEX(_ENGINE_Initiatives!$AB$5:$AB$76,MATCH($A181,_ENGINE_Initiatives!$BW$5:$BW$76,0))=4,16,24)))*7)),1,""),"")</f>
        <v/>
      </c>
      <c r="L181" s="32" t="str">
        <f ca="1">IFERROR(IF(AND(L$162&gt;=IF(INDEX(_ENGINE_Initiatives!$BX$5:$BX$76,MATCH($A181,_ENGINE_Initiatives!$BW$5:$BW$76,0))="0-90 days",'Company Profile'!$B$6,IF(INDEX(_ENGINE_Initiatives!$BX$5:$BX$76,MATCH($A181,_ENGINE_Initiatives!$BW$5:$BW$76,0))="3-6 months",EDATE('Company Profile'!$B$6,3),IF(INDEX(_ENGINE_Initiatives!$BX$5:$BX$76,MATCH($A181,_ENGINE_Initiatives!$BW$5:$BW$76,0))="6-12 months",EDATE('Company Profile'!$B$6,6),EDATE('Company Profile'!$B$6,12)))),L$162&lt;=IF(INDEX(_ENGINE_Initiatives!$BX$5:$BX$76,MATCH($A181,_ENGINE_Initiatives!$BW$5:$BW$76,0))="0-90 days",'Company Profile'!$B$6,IF(INDEX(_ENGINE_Initiatives!$BX$5:$BX$76,MATCH($A181,_ENGINE_Initiatives!$BW$5:$BW$76,0))="3-6 months",EDATE('Company Profile'!$B$6,3),IF(INDEX(_ENGINE_Initiatives!$BX$5:$BX$76,MATCH($A181,_ENGINE_Initiatives!$BW$5:$BW$76,0))="6-12 months",EDATE('Company Profile'!$B$6,6),EDATE('Company Profile'!$B$6,12))))+(IF(INDEX(_ENGINE_Initiatives!$AB$5:$AB$76,MATCH($A181,_ENGINE_Initiatives!$BW$5:$BW$76,0))&lt;=2,6,IF(INDEX(_ENGINE_Initiatives!$AB$5:$AB$76,MATCH($A181,_ENGINE_Initiatives!$BW$5:$BW$76,0))=3,10,IF(INDEX(_ENGINE_Initiatives!$AB$5:$AB$76,MATCH($A181,_ENGINE_Initiatives!$BW$5:$BW$76,0))=4,16,24)))*7)),1,""),"")</f>
        <v/>
      </c>
      <c r="M181" s="32" t="str">
        <f ca="1">IFERROR(IF(AND(M$162&gt;=IF(INDEX(_ENGINE_Initiatives!$BX$5:$BX$76,MATCH($A181,_ENGINE_Initiatives!$BW$5:$BW$76,0))="0-90 days",'Company Profile'!$B$6,IF(INDEX(_ENGINE_Initiatives!$BX$5:$BX$76,MATCH($A181,_ENGINE_Initiatives!$BW$5:$BW$76,0))="3-6 months",EDATE('Company Profile'!$B$6,3),IF(INDEX(_ENGINE_Initiatives!$BX$5:$BX$76,MATCH($A181,_ENGINE_Initiatives!$BW$5:$BW$76,0))="6-12 months",EDATE('Company Profile'!$B$6,6),EDATE('Company Profile'!$B$6,12)))),M$162&lt;=IF(INDEX(_ENGINE_Initiatives!$BX$5:$BX$76,MATCH($A181,_ENGINE_Initiatives!$BW$5:$BW$76,0))="0-90 days",'Company Profile'!$B$6,IF(INDEX(_ENGINE_Initiatives!$BX$5:$BX$76,MATCH($A181,_ENGINE_Initiatives!$BW$5:$BW$76,0))="3-6 months",EDATE('Company Profile'!$B$6,3),IF(INDEX(_ENGINE_Initiatives!$BX$5:$BX$76,MATCH($A181,_ENGINE_Initiatives!$BW$5:$BW$76,0))="6-12 months",EDATE('Company Profile'!$B$6,6),EDATE('Company Profile'!$B$6,12))))+(IF(INDEX(_ENGINE_Initiatives!$AB$5:$AB$76,MATCH($A181,_ENGINE_Initiatives!$BW$5:$BW$76,0))&lt;=2,6,IF(INDEX(_ENGINE_Initiatives!$AB$5:$AB$76,MATCH($A181,_ENGINE_Initiatives!$BW$5:$BW$76,0))=3,10,IF(INDEX(_ENGINE_Initiatives!$AB$5:$AB$76,MATCH($A181,_ENGINE_Initiatives!$BW$5:$BW$76,0))=4,16,24)))*7)),1,""),"")</f>
        <v/>
      </c>
      <c r="N181" s="32" t="str">
        <f ca="1">IFERROR(IF(AND(N$162&gt;=IF(INDEX(_ENGINE_Initiatives!$BX$5:$BX$76,MATCH($A181,_ENGINE_Initiatives!$BW$5:$BW$76,0))="0-90 days",'Company Profile'!$B$6,IF(INDEX(_ENGINE_Initiatives!$BX$5:$BX$76,MATCH($A181,_ENGINE_Initiatives!$BW$5:$BW$76,0))="3-6 months",EDATE('Company Profile'!$B$6,3),IF(INDEX(_ENGINE_Initiatives!$BX$5:$BX$76,MATCH($A181,_ENGINE_Initiatives!$BW$5:$BW$76,0))="6-12 months",EDATE('Company Profile'!$B$6,6),EDATE('Company Profile'!$B$6,12)))),N$162&lt;=IF(INDEX(_ENGINE_Initiatives!$BX$5:$BX$76,MATCH($A181,_ENGINE_Initiatives!$BW$5:$BW$76,0))="0-90 days",'Company Profile'!$B$6,IF(INDEX(_ENGINE_Initiatives!$BX$5:$BX$76,MATCH($A181,_ENGINE_Initiatives!$BW$5:$BW$76,0))="3-6 months",EDATE('Company Profile'!$B$6,3),IF(INDEX(_ENGINE_Initiatives!$BX$5:$BX$76,MATCH($A181,_ENGINE_Initiatives!$BW$5:$BW$76,0))="6-12 months",EDATE('Company Profile'!$B$6,6),EDATE('Company Profile'!$B$6,12))))+(IF(INDEX(_ENGINE_Initiatives!$AB$5:$AB$76,MATCH($A181,_ENGINE_Initiatives!$BW$5:$BW$76,0))&lt;=2,6,IF(INDEX(_ENGINE_Initiatives!$AB$5:$AB$76,MATCH($A181,_ENGINE_Initiatives!$BW$5:$BW$76,0))=3,10,IF(INDEX(_ENGINE_Initiatives!$AB$5:$AB$76,MATCH($A181,_ENGINE_Initiatives!$BW$5:$BW$76,0))=4,16,24)))*7)),1,""),"")</f>
        <v/>
      </c>
      <c r="O181" s="32" t="str">
        <f ca="1">IFERROR(IF(AND(O$162&gt;=IF(INDEX(_ENGINE_Initiatives!$BX$5:$BX$76,MATCH($A181,_ENGINE_Initiatives!$BW$5:$BW$76,0))="0-90 days",'Company Profile'!$B$6,IF(INDEX(_ENGINE_Initiatives!$BX$5:$BX$76,MATCH($A181,_ENGINE_Initiatives!$BW$5:$BW$76,0))="3-6 months",EDATE('Company Profile'!$B$6,3),IF(INDEX(_ENGINE_Initiatives!$BX$5:$BX$76,MATCH($A181,_ENGINE_Initiatives!$BW$5:$BW$76,0))="6-12 months",EDATE('Company Profile'!$B$6,6),EDATE('Company Profile'!$B$6,12)))),O$162&lt;=IF(INDEX(_ENGINE_Initiatives!$BX$5:$BX$76,MATCH($A181,_ENGINE_Initiatives!$BW$5:$BW$76,0))="0-90 days",'Company Profile'!$B$6,IF(INDEX(_ENGINE_Initiatives!$BX$5:$BX$76,MATCH($A181,_ENGINE_Initiatives!$BW$5:$BW$76,0))="3-6 months",EDATE('Company Profile'!$B$6,3),IF(INDEX(_ENGINE_Initiatives!$BX$5:$BX$76,MATCH($A181,_ENGINE_Initiatives!$BW$5:$BW$76,0))="6-12 months",EDATE('Company Profile'!$B$6,6),EDATE('Company Profile'!$B$6,12))))+(IF(INDEX(_ENGINE_Initiatives!$AB$5:$AB$76,MATCH($A181,_ENGINE_Initiatives!$BW$5:$BW$76,0))&lt;=2,6,IF(INDEX(_ENGINE_Initiatives!$AB$5:$AB$76,MATCH($A181,_ENGINE_Initiatives!$BW$5:$BW$76,0))=3,10,IF(INDEX(_ENGINE_Initiatives!$AB$5:$AB$76,MATCH($A181,_ENGINE_Initiatives!$BW$5:$BW$76,0))=4,16,24)))*7)),1,""),"")</f>
        <v/>
      </c>
      <c r="P181" s="32" t="str">
        <f ca="1">IFERROR(IF(AND(P$162&gt;=IF(INDEX(_ENGINE_Initiatives!$BX$5:$BX$76,MATCH($A181,_ENGINE_Initiatives!$BW$5:$BW$76,0))="0-90 days",'Company Profile'!$B$6,IF(INDEX(_ENGINE_Initiatives!$BX$5:$BX$76,MATCH($A181,_ENGINE_Initiatives!$BW$5:$BW$76,0))="3-6 months",EDATE('Company Profile'!$B$6,3),IF(INDEX(_ENGINE_Initiatives!$BX$5:$BX$76,MATCH($A181,_ENGINE_Initiatives!$BW$5:$BW$76,0))="6-12 months",EDATE('Company Profile'!$B$6,6),EDATE('Company Profile'!$B$6,12)))),P$162&lt;=IF(INDEX(_ENGINE_Initiatives!$BX$5:$BX$76,MATCH($A181,_ENGINE_Initiatives!$BW$5:$BW$76,0))="0-90 days",'Company Profile'!$B$6,IF(INDEX(_ENGINE_Initiatives!$BX$5:$BX$76,MATCH($A181,_ENGINE_Initiatives!$BW$5:$BW$76,0))="3-6 months",EDATE('Company Profile'!$B$6,3),IF(INDEX(_ENGINE_Initiatives!$BX$5:$BX$76,MATCH($A181,_ENGINE_Initiatives!$BW$5:$BW$76,0))="6-12 months",EDATE('Company Profile'!$B$6,6),EDATE('Company Profile'!$B$6,12))))+(IF(INDEX(_ENGINE_Initiatives!$AB$5:$AB$76,MATCH($A181,_ENGINE_Initiatives!$BW$5:$BW$76,0))&lt;=2,6,IF(INDEX(_ENGINE_Initiatives!$AB$5:$AB$76,MATCH($A181,_ENGINE_Initiatives!$BW$5:$BW$76,0))=3,10,IF(INDEX(_ENGINE_Initiatives!$AB$5:$AB$76,MATCH($A181,_ENGINE_Initiatives!$BW$5:$BW$76,0))=4,16,24)))*7)),1,""),"")</f>
        <v/>
      </c>
      <c r="Q181" s="32" t="str">
        <f ca="1">IFERROR(IF(AND(Q$162&gt;=IF(INDEX(_ENGINE_Initiatives!$BX$5:$BX$76,MATCH($A181,_ENGINE_Initiatives!$BW$5:$BW$76,0))="0-90 days",'Company Profile'!$B$6,IF(INDEX(_ENGINE_Initiatives!$BX$5:$BX$76,MATCH($A181,_ENGINE_Initiatives!$BW$5:$BW$76,0))="3-6 months",EDATE('Company Profile'!$B$6,3),IF(INDEX(_ENGINE_Initiatives!$BX$5:$BX$76,MATCH($A181,_ENGINE_Initiatives!$BW$5:$BW$76,0))="6-12 months",EDATE('Company Profile'!$B$6,6),EDATE('Company Profile'!$B$6,12)))),Q$162&lt;=IF(INDEX(_ENGINE_Initiatives!$BX$5:$BX$76,MATCH($A181,_ENGINE_Initiatives!$BW$5:$BW$76,0))="0-90 days",'Company Profile'!$B$6,IF(INDEX(_ENGINE_Initiatives!$BX$5:$BX$76,MATCH($A181,_ENGINE_Initiatives!$BW$5:$BW$76,0))="3-6 months",EDATE('Company Profile'!$B$6,3),IF(INDEX(_ENGINE_Initiatives!$BX$5:$BX$76,MATCH($A181,_ENGINE_Initiatives!$BW$5:$BW$76,0))="6-12 months",EDATE('Company Profile'!$B$6,6),EDATE('Company Profile'!$B$6,12))))+(IF(INDEX(_ENGINE_Initiatives!$AB$5:$AB$76,MATCH($A181,_ENGINE_Initiatives!$BW$5:$BW$76,0))&lt;=2,6,IF(INDEX(_ENGINE_Initiatives!$AB$5:$AB$76,MATCH($A181,_ENGINE_Initiatives!$BW$5:$BW$76,0))=3,10,IF(INDEX(_ENGINE_Initiatives!$AB$5:$AB$76,MATCH($A181,_ENGINE_Initiatives!$BW$5:$BW$76,0))=4,16,24)))*7)),1,""),"")</f>
        <v/>
      </c>
      <c r="R181" s="32" t="str">
        <f ca="1">IFERROR(IF(AND(R$162&gt;=IF(INDEX(_ENGINE_Initiatives!$BX$5:$BX$76,MATCH($A181,_ENGINE_Initiatives!$BW$5:$BW$76,0))="0-90 days",'Company Profile'!$B$6,IF(INDEX(_ENGINE_Initiatives!$BX$5:$BX$76,MATCH($A181,_ENGINE_Initiatives!$BW$5:$BW$76,0))="3-6 months",EDATE('Company Profile'!$B$6,3),IF(INDEX(_ENGINE_Initiatives!$BX$5:$BX$76,MATCH($A181,_ENGINE_Initiatives!$BW$5:$BW$76,0))="6-12 months",EDATE('Company Profile'!$B$6,6),EDATE('Company Profile'!$B$6,12)))),R$162&lt;=IF(INDEX(_ENGINE_Initiatives!$BX$5:$BX$76,MATCH($A181,_ENGINE_Initiatives!$BW$5:$BW$76,0))="0-90 days",'Company Profile'!$B$6,IF(INDEX(_ENGINE_Initiatives!$BX$5:$BX$76,MATCH($A181,_ENGINE_Initiatives!$BW$5:$BW$76,0))="3-6 months",EDATE('Company Profile'!$B$6,3),IF(INDEX(_ENGINE_Initiatives!$BX$5:$BX$76,MATCH($A181,_ENGINE_Initiatives!$BW$5:$BW$76,0))="6-12 months",EDATE('Company Profile'!$B$6,6),EDATE('Company Profile'!$B$6,12))))+(IF(INDEX(_ENGINE_Initiatives!$AB$5:$AB$76,MATCH($A181,_ENGINE_Initiatives!$BW$5:$BW$76,0))&lt;=2,6,IF(INDEX(_ENGINE_Initiatives!$AB$5:$AB$76,MATCH($A181,_ENGINE_Initiatives!$BW$5:$BW$76,0))=3,10,IF(INDEX(_ENGINE_Initiatives!$AB$5:$AB$76,MATCH($A181,_ENGINE_Initiatives!$BW$5:$BW$76,0))=4,16,24)))*7)),1,""),"")</f>
        <v/>
      </c>
      <c r="S181" s="32" t="str">
        <f ca="1">IFERROR(IF(AND(S$162&gt;=IF(INDEX(_ENGINE_Initiatives!$BX$5:$BX$76,MATCH($A181,_ENGINE_Initiatives!$BW$5:$BW$76,0))="0-90 days",'Company Profile'!$B$6,IF(INDEX(_ENGINE_Initiatives!$BX$5:$BX$76,MATCH($A181,_ENGINE_Initiatives!$BW$5:$BW$76,0))="3-6 months",EDATE('Company Profile'!$B$6,3),IF(INDEX(_ENGINE_Initiatives!$BX$5:$BX$76,MATCH($A181,_ENGINE_Initiatives!$BW$5:$BW$76,0))="6-12 months",EDATE('Company Profile'!$B$6,6),EDATE('Company Profile'!$B$6,12)))),S$162&lt;=IF(INDEX(_ENGINE_Initiatives!$BX$5:$BX$76,MATCH($A181,_ENGINE_Initiatives!$BW$5:$BW$76,0))="0-90 days",'Company Profile'!$B$6,IF(INDEX(_ENGINE_Initiatives!$BX$5:$BX$76,MATCH($A181,_ENGINE_Initiatives!$BW$5:$BW$76,0))="3-6 months",EDATE('Company Profile'!$B$6,3),IF(INDEX(_ENGINE_Initiatives!$BX$5:$BX$76,MATCH($A181,_ENGINE_Initiatives!$BW$5:$BW$76,0))="6-12 months",EDATE('Company Profile'!$B$6,6),EDATE('Company Profile'!$B$6,12))))+(IF(INDEX(_ENGINE_Initiatives!$AB$5:$AB$76,MATCH($A181,_ENGINE_Initiatives!$BW$5:$BW$76,0))&lt;=2,6,IF(INDEX(_ENGINE_Initiatives!$AB$5:$AB$76,MATCH($A181,_ENGINE_Initiatives!$BW$5:$BW$76,0))=3,10,IF(INDEX(_ENGINE_Initiatives!$AB$5:$AB$76,MATCH($A181,_ENGINE_Initiatives!$BW$5:$BW$76,0))=4,16,24)))*7)),1,""),"")</f>
        <v/>
      </c>
      <c r="T181" s="32" t="str">
        <f ca="1">IFERROR(IF(AND(T$162&gt;=IF(INDEX(_ENGINE_Initiatives!$BX$5:$BX$76,MATCH($A181,_ENGINE_Initiatives!$BW$5:$BW$76,0))="0-90 days",'Company Profile'!$B$6,IF(INDEX(_ENGINE_Initiatives!$BX$5:$BX$76,MATCH($A181,_ENGINE_Initiatives!$BW$5:$BW$76,0))="3-6 months",EDATE('Company Profile'!$B$6,3),IF(INDEX(_ENGINE_Initiatives!$BX$5:$BX$76,MATCH($A181,_ENGINE_Initiatives!$BW$5:$BW$76,0))="6-12 months",EDATE('Company Profile'!$B$6,6),EDATE('Company Profile'!$B$6,12)))),T$162&lt;=IF(INDEX(_ENGINE_Initiatives!$BX$5:$BX$76,MATCH($A181,_ENGINE_Initiatives!$BW$5:$BW$76,0))="0-90 days",'Company Profile'!$B$6,IF(INDEX(_ENGINE_Initiatives!$BX$5:$BX$76,MATCH($A181,_ENGINE_Initiatives!$BW$5:$BW$76,0))="3-6 months",EDATE('Company Profile'!$B$6,3),IF(INDEX(_ENGINE_Initiatives!$BX$5:$BX$76,MATCH($A181,_ENGINE_Initiatives!$BW$5:$BW$76,0))="6-12 months",EDATE('Company Profile'!$B$6,6),EDATE('Company Profile'!$B$6,12))))+(IF(INDEX(_ENGINE_Initiatives!$AB$5:$AB$76,MATCH($A181,_ENGINE_Initiatives!$BW$5:$BW$76,0))&lt;=2,6,IF(INDEX(_ENGINE_Initiatives!$AB$5:$AB$76,MATCH($A181,_ENGINE_Initiatives!$BW$5:$BW$76,0))=3,10,IF(INDEX(_ENGINE_Initiatives!$AB$5:$AB$76,MATCH($A181,_ENGINE_Initiatives!$BW$5:$BW$76,0))=4,16,24)))*7)),1,""),"")</f>
        <v/>
      </c>
      <c r="U181" s="18"/>
      <c r="V181" s="18"/>
    </row>
    <row r="182" spans="1:22" ht="15" customHeight="1">
      <c r="A182" s="28" t="s">
        <v>3705</v>
      </c>
      <c r="B182" s="28" t="str">
        <f>IFERROR(INDEX(_ENGINE_Initiatives!$F$5:$F$76,MATCH($A182,_ENGINE_Initiatives!$BW$5:$BW$76,0)),"")</f>
        <v/>
      </c>
      <c r="C182" s="32" t="str">
        <f ca="1">IFERROR(IF(AND(C$162&gt;=IF(INDEX(_ENGINE_Initiatives!$BX$5:$BX$76,MATCH($A182,_ENGINE_Initiatives!$BW$5:$BW$76,0))="0-90 days",'Company Profile'!$B$6,IF(INDEX(_ENGINE_Initiatives!$BX$5:$BX$76,MATCH($A182,_ENGINE_Initiatives!$BW$5:$BW$76,0))="3-6 months",EDATE('Company Profile'!$B$6,3),IF(INDEX(_ENGINE_Initiatives!$BX$5:$BX$76,MATCH($A182,_ENGINE_Initiatives!$BW$5:$BW$76,0))="6-12 months",EDATE('Company Profile'!$B$6,6),EDATE('Company Profile'!$B$6,12)))),C$162&lt;=IF(INDEX(_ENGINE_Initiatives!$BX$5:$BX$76,MATCH($A182,_ENGINE_Initiatives!$BW$5:$BW$76,0))="0-90 days",'Company Profile'!$B$6,IF(INDEX(_ENGINE_Initiatives!$BX$5:$BX$76,MATCH($A182,_ENGINE_Initiatives!$BW$5:$BW$76,0))="3-6 months",EDATE('Company Profile'!$B$6,3),IF(INDEX(_ENGINE_Initiatives!$BX$5:$BX$76,MATCH($A182,_ENGINE_Initiatives!$BW$5:$BW$76,0))="6-12 months",EDATE('Company Profile'!$B$6,6),EDATE('Company Profile'!$B$6,12))))+(IF(INDEX(_ENGINE_Initiatives!$AB$5:$AB$76,MATCH($A182,_ENGINE_Initiatives!$BW$5:$BW$76,0))&lt;=2,6,IF(INDEX(_ENGINE_Initiatives!$AB$5:$AB$76,MATCH($A182,_ENGINE_Initiatives!$BW$5:$BW$76,0))=3,10,IF(INDEX(_ENGINE_Initiatives!$AB$5:$AB$76,MATCH($A182,_ENGINE_Initiatives!$BW$5:$BW$76,0))=4,16,24)))*7)),1,""),"")</f>
        <v/>
      </c>
      <c r="D182" s="32" t="str">
        <f ca="1">IFERROR(IF(AND(D$162&gt;=IF(INDEX(_ENGINE_Initiatives!$BX$5:$BX$76,MATCH($A182,_ENGINE_Initiatives!$BW$5:$BW$76,0))="0-90 days",'Company Profile'!$B$6,IF(INDEX(_ENGINE_Initiatives!$BX$5:$BX$76,MATCH($A182,_ENGINE_Initiatives!$BW$5:$BW$76,0))="3-6 months",EDATE('Company Profile'!$B$6,3),IF(INDEX(_ENGINE_Initiatives!$BX$5:$BX$76,MATCH($A182,_ENGINE_Initiatives!$BW$5:$BW$76,0))="6-12 months",EDATE('Company Profile'!$B$6,6),EDATE('Company Profile'!$B$6,12)))),D$162&lt;=IF(INDEX(_ENGINE_Initiatives!$BX$5:$BX$76,MATCH($A182,_ENGINE_Initiatives!$BW$5:$BW$76,0))="0-90 days",'Company Profile'!$B$6,IF(INDEX(_ENGINE_Initiatives!$BX$5:$BX$76,MATCH($A182,_ENGINE_Initiatives!$BW$5:$BW$76,0))="3-6 months",EDATE('Company Profile'!$B$6,3),IF(INDEX(_ENGINE_Initiatives!$BX$5:$BX$76,MATCH($A182,_ENGINE_Initiatives!$BW$5:$BW$76,0))="6-12 months",EDATE('Company Profile'!$B$6,6),EDATE('Company Profile'!$B$6,12))))+(IF(INDEX(_ENGINE_Initiatives!$AB$5:$AB$76,MATCH($A182,_ENGINE_Initiatives!$BW$5:$BW$76,0))&lt;=2,6,IF(INDEX(_ENGINE_Initiatives!$AB$5:$AB$76,MATCH($A182,_ENGINE_Initiatives!$BW$5:$BW$76,0))=3,10,IF(INDEX(_ENGINE_Initiatives!$AB$5:$AB$76,MATCH($A182,_ENGINE_Initiatives!$BW$5:$BW$76,0))=4,16,24)))*7)),1,""),"")</f>
        <v/>
      </c>
      <c r="E182" s="32" t="str">
        <f ca="1">IFERROR(IF(AND(E$162&gt;=IF(INDEX(_ENGINE_Initiatives!$BX$5:$BX$76,MATCH($A182,_ENGINE_Initiatives!$BW$5:$BW$76,0))="0-90 days",'Company Profile'!$B$6,IF(INDEX(_ENGINE_Initiatives!$BX$5:$BX$76,MATCH($A182,_ENGINE_Initiatives!$BW$5:$BW$76,0))="3-6 months",EDATE('Company Profile'!$B$6,3),IF(INDEX(_ENGINE_Initiatives!$BX$5:$BX$76,MATCH($A182,_ENGINE_Initiatives!$BW$5:$BW$76,0))="6-12 months",EDATE('Company Profile'!$B$6,6),EDATE('Company Profile'!$B$6,12)))),E$162&lt;=IF(INDEX(_ENGINE_Initiatives!$BX$5:$BX$76,MATCH($A182,_ENGINE_Initiatives!$BW$5:$BW$76,0))="0-90 days",'Company Profile'!$B$6,IF(INDEX(_ENGINE_Initiatives!$BX$5:$BX$76,MATCH($A182,_ENGINE_Initiatives!$BW$5:$BW$76,0))="3-6 months",EDATE('Company Profile'!$B$6,3),IF(INDEX(_ENGINE_Initiatives!$BX$5:$BX$76,MATCH($A182,_ENGINE_Initiatives!$BW$5:$BW$76,0))="6-12 months",EDATE('Company Profile'!$B$6,6),EDATE('Company Profile'!$B$6,12))))+(IF(INDEX(_ENGINE_Initiatives!$AB$5:$AB$76,MATCH($A182,_ENGINE_Initiatives!$BW$5:$BW$76,0))&lt;=2,6,IF(INDEX(_ENGINE_Initiatives!$AB$5:$AB$76,MATCH($A182,_ENGINE_Initiatives!$BW$5:$BW$76,0))=3,10,IF(INDEX(_ENGINE_Initiatives!$AB$5:$AB$76,MATCH($A182,_ENGINE_Initiatives!$BW$5:$BW$76,0))=4,16,24)))*7)),1,""),"")</f>
        <v/>
      </c>
      <c r="F182" s="32" t="str">
        <f ca="1">IFERROR(IF(AND(F$162&gt;=IF(INDEX(_ENGINE_Initiatives!$BX$5:$BX$76,MATCH($A182,_ENGINE_Initiatives!$BW$5:$BW$76,0))="0-90 days",'Company Profile'!$B$6,IF(INDEX(_ENGINE_Initiatives!$BX$5:$BX$76,MATCH($A182,_ENGINE_Initiatives!$BW$5:$BW$76,0))="3-6 months",EDATE('Company Profile'!$B$6,3),IF(INDEX(_ENGINE_Initiatives!$BX$5:$BX$76,MATCH($A182,_ENGINE_Initiatives!$BW$5:$BW$76,0))="6-12 months",EDATE('Company Profile'!$B$6,6),EDATE('Company Profile'!$B$6,12)))),F$162&lt;=IF(INDEX(_ENGINE_Initiatives!$BX$5:$BX$76,MATCH($A182,_ENGINE_Initiatives!$BW$5:$BW$76,0))="0-90 days",'Company Profile'!$B$6,IF(INDEX(_ENGINE_Initiatives!$BX$5:$BX$76,MATCH($A182,_ENGINE_Initiatives!$BW$5:$BW$76,0))="3-6 months",EDATE('Company Profile'!$B$6,3),IF(INDEX(_ENGINE_Initiatives!$BX$5:$BX$76,MATCH($A182,_ENGINE_Initiatives!$BW$5:$BW$76,0))="6-12 months",EDATE('Company Profile'!$B$6,6),EDATE('Company Profile'!$B$6,12))))+(IF(INDEX(_ENGINE_Initiatives!$AB$5:$AB$76,MATCH($A182,_ENGINE_Initiatives!$BW$5:$BW$76,0))&lt;=2,6,IF(INDEX(_ENGINE_Initiatives!$AB$5:$AB$76,MATCH($A182,_ENGINE_Initiatives!$BW$5:$BW$76,0))=3,10,IF(INDEX(_ENGINE_Initiatives!$AB$5:$AB$76,MATCH($A182,_ENGINE_Initiatives!$BW$5:$BW$76,0))=4,16,24)))*7)),1,""),"")</f>
        <v/>
      </c>
      <c r="G182" s="32" t="str">
        <f ca="1">IFERROR(IF(AND(G$162&gt;=IF(INDEX(_ENGINE_Initiatives!$BX$5:$BX$76,MATCH($A182,_ENGINE_Initiatives!$BW$5:$BW$76,0))="0-90 days",'Company Profile'!$B$6,IF(INDEX(_ENGINE_Initiatives!$BX$5:$BX$76,MATCH($A182,_ENGINE_Initiatives!$BW$5:$BW$76,0))="3-6 months",EDATE('Company Profile'!$B$6,3),IF(INDEX(_ENGINE_Initiatives!$BX$5:$BX$76,MATCH($A182,_ENGINE_Initiatives!$BW$5:$BW$76,0))="6-12 months",EDATE('Company Profile'!$B$6,6),EDATE('Company Profile'!$B$6,12)))),G$162&lt;=IF(INDEX(_ENGINE_Initiatives!$BX$5:$BX$76,MATCH($A182,_ENGINE_Initiatives!$BW$5:$BW$76,0))="0-90 days",'Company Profile'!$B$6,IF(INDEX(_ENGINE_Initiatives!$BX$5:$BX$76,MATCH($A182,_ENGINE_Initiatives!$BW$5:$BW$76,0))="3-6 months",EDATE('Company Profile'!$B$6,3),IF(INDEX(_ENGINE_Initiatives!$BX$5:$BX$76,MATCH($A182,_ENGINE_Initiatives!$BW$5:$BW$76,0))="6-12 months",EDATE('Company Profile'!$B$6,6),EDATE('Company Profile'!$B$6,12))))+(IF(INDEX(_ENGINE_Initiatives!$AB$5:$AB$76,MATCH($A182,_ENGINE_Initiatives!$BW$5:$BW$76,0))&lt;=2,6,IF(INDEX(_ENGINE_Initiatives!$AB$5:$AB$76,MATCH($A182,_ENGINE_Initiatives!$BW$5:$BW$76,0))=3,10,IF(INDEX(_ENGINE_Initiatives!$AB$5:$AB$76,MATCH($A182,_ENGINE_Initiatives!$BW$5:$BW$76,0))=4,16,24)))*7)),1,""),"")</f>
        <v/>
      </c>
      <c r="H182" s="32" t="str">
        <f ca="1">IFERROR(IF(AND(H$162&gt;=IF(INDEX(_ENGINE_Initiatives!$BX$5:$BX$76,MATCH($A182,_ENGINE_Initiatives!$BW$5:$BW$76,0))="0-90 days",'Company Profile'!$B$6,IF(INDEX(_ENGINE_Initiatives!$BX$5:$BX$76,MATCH($A182,_ENGINE_Initiatives!$BW$5:$BW$76,0))="3-6 months",EDATE('Company Profile'!$B$6,3),IF(INDEX(_ENGINE_Initiatives!$BX$5:$BX$76,MATCH($A182,_ENGINE_Initiatives!$BW$5:$BW$76,0))="6-12 months",EDATE('Company Profile'!$B$6,6),EDATE('Company Profile'!$B$6,12)))),H$162&lt;=IF(INDEX(_ENGINE_Initiatives!$BX$5:$BX$76,MATCH($A182,_ENGINE_Initiatives!$BW$5:$BW$76,0))="0-90 days",'Company Profile'!$B$6,IF(INDEX(_ENGINE_Initiatives!$BX$5:$BX$76,MATCH($A182,_ENGINE_Initiatives!$BW$5:$BW$76,0))="3-6 months",EDATE('Company Profile'!$B$6,3),IF(INDEX(_ENGINE_Initiatives!$BX$5:$BX$76,MATCH($A182,_ENGINE_Initiatives!$BW$5:$BW$76,0))="6-12 months",EDATE('Company Profile'!$B$6,6),EDATE('Company Profile'!$B$6,12))))+(IF(INDEX(_ENGINE_Initiatives!$AB$5:$AB$76,MATCH($A182,_ENGINE_Initiatives!$BW$5:$BW$76,0))&lt;=2,6,IF(INDEX(_ENGINE_Initiatives!$AB$5:$AB$76,MATCH($A182,_ENGINE_Initiatives!$BW$5:$BW$76,0))=3,10,IF(INDEX(_ENGINE_Initiatives!$AB$5:$AB$76,MATCH($A182,_ENGINE_Initiatives!$BW$5:$BW$76,0))=4,16,24)))*7)),1,""),"")</f>
        <v/>
      </c>
      <c r="I182" s="32" t="str">
        <f ca="1">IFERROR(IF(AND(I$162&gt;=IF(INDEX(_ENGINE_Initiatives!$BX$5:$BX$76,MATCH($A182,_ENGINE_Initiatives!$BW$5:$BW$76,0))="0-90 days",'Company Profile'!$B$6,IF(INDEX(_ENGINE_Initiatives!$BX$5:$BX$76,MATCH($A182,_ENGINE_Initiatives!$BW$5:$BW$76,0))="3-6 months",EDATE('Company Profile'!$B$6,3),IF(INDEX(_ENGINE_Initiatives!$BX$5:$BX$76,MATCH($A182,_ENGINE_Initiatives!$BW$5:$BW$76,0))="6-12 months",EDATE('Company Profile'!$B$6,6),EDATE('Company Profile'!$B$6,12)))),I$162&lt;=IF(INDEX(_ENGINE_Initiatives!$BX$5:$BX$76,MATCH($A182,_ENGINE_Initiatives!$BW$5:$BW$76,0))="0-90 days",'Company Profile'!$B$6,IF(INDEX(_ENGINE_Initiatives!$BX$5:$BX$76,MATCH($A182,_ENGINE_Initiatives!$BW$5:$BW$76,0))="3-6 months",EDATE('Company Profile'!$B$6,3),IF(INDEX(_ENGINE_Initiatives!$BX$5:$BX$76,MATCH($A182,_ENGINE_Initiatives!$BW$5:$BW$76,0))="6-12 months",EDATE('Company Profile'!$B$6,6),EDATE('Company Profile'!$B$6,12))))+(IF(INDEX(_ENGINE_Initiatives!$AB$5:$AB$76,MATCH($A182,_ENGINE_Initiatives!$BW$5:$BW$76,0))&lt;=2,6,IF(INDEX(_ENGINE_Initiatives!$AB$5:$AB$76,MATCH($A182,_ENGINE_Initiatives!$BW$5:$BW$76,0))=3,10,IF(INDEX(_ENGINE_Initiatives!$AB$5:$AB$76,MATCH($A182,_ENGINE_Initiatives!$BW$5:$BW$76,0))=4,16,24)))*7)),1,""),"")</f>
        <v/>
      </c>
      <c r="J182" s="32" t="str">
        <f ca="1">IFERROR(IF(AND(J$162&gt;=IF(INDEX(_ENGINE_Initiatives!$BX$5:$BX$76,MATCH($A182,_ENGINE_Initiatives!$BW$5:$BW$76,0))="0-90 days",'Company Profile'!$B$6,IF(INDEX(_ENGINE_Initiatives!$BX$5:$BX$76,MATCH($A182,_ENGINE_Initiatives!$BW$5:$BW$76,0))="3-6 months",EDATE('Company Profile'!$B$6,3),IF(INDEX(_ENGINE_Initiatives!$BX$5:$BX$76,MATCH($A182,_ENGINE_Initiatives!$BW$5:$BW$76,0))="6-12 months",EDATE('Company Profile'!$B$6,6),EDATE('Company Profile'!$B$6,12)))),J$162&lt;=IF(INDEX(_ENGINE_Initiatives!$BX$5:$BX$76,MATCH($A182,_ENGINE_Initiatives!$BW$5:$BW$76,0))="0-90 days",'Company Profile'!$B$6,IF(INDEX(_ENGINE_Initiatives!$BX$5:$BX$76,MATCH($A182,_ENGINE_Initiatives!$BW$5:$BW$76,0))="3-6 months",EDATE('Company Profile'!$B$6,3),IF(INDEX(_ENGINE_Initiatives!$BX$5:$BX$76,MATCH($A182,_ENGINE_Initiatives!$BW$5:$BW$76,0))="6-12 months",EDATE('Company Profile'!$B$6,6),EDATE('Company Profile'!$B$6,12))))+(IF(INDEX(_ENGINE_Initiatives!$AB$5:$AB$76,MATCH($A182,_ENGINE_Initiatives!$BW$5:$BW$76,0))&lt;=2,6,IF(INDEX(_ENGINE_Initiatives!$AB$5:$AB$76,MATCH($A182,_ENGINE_Initiatives!$BW$5:$BW$76,0))=3,10,IF(INDEX(_ENGINE_Initiatives!$AB$5:$AB$76,MATCH($A182,_ENGINE_Initiatives!$BW$5:$BW$76,0))=4,16,24)))*7)),1,""),"")</f>
        <v/>
      </c>
      <c r="K182" s="32" t="str">
        <f ca="1">IFERROR(IF(AND(K$162&gt;=IF(INDEX(_ENGINE_Initiatives!$BX$5:$BX$76,MATCH($A182,_ENGINE_Initiatives!$BW$5:$BW$76,0))="0-90 days",'Company Profile'!$B$6,IF(INDEX(_ENGINE_Initiatives!$BX$5:$BX$76,MATCH($A182,_ENGINE_Initiatives!$BW$5:$BW$76,0))="3-6 months",EDATE('Company Profile'!$B$6,3),IF(INDEX(_ENGINE_Initiatives!$BX$5:$BX$76,MATCH($A182,_ENGINE_Initiatives!$BW$5:$BW$76,0))="6-12 months",EDATE('Company Profile'!$B$6,6),EDATE('Company Profile'!$B$6,12)))),K$162&lt;=IF(INDEX(_ENGINE_Initiatives!$BX$5:$BX$76,MATCH($A182,_ENGINE_Initiatives!$BW$5:$BW$76,0))="0-90 days",'Company Profile'!$B$6,IF(INDEX(_ENGINE_Initiatives!$BX$5:$BX$76,MATCH($A182,_ENGINE_Initiatives!$BW$5:$BW$76,0))="3-6 months",EDATE('Company Profile'!$B$6,3),IF(INDEX(_ENGINE_Initiatives!$BX$5:$BX$76,MATCH($A182,_ENGINE_Initiatives!$BW$5:$BW$76,0))="6-12 months",EDATE('Company Profile'!$B$6,6),EDATE('Company Profile'!$B$6,12))))+(IF(INDEX(_ENGINE_Initiatives!$AB$5:$AB$76,MATCH($A182,_ENGINE_Initiatives!$BW$5:$BW$76,0))&lt;=2,6,IF(INDEX(_ENGINE_Initiatives!$AB$5:$AB$76,MATCH($A182,_ENGINE_Initiatives!$BW$5:$BW$76,0))=3,10,IF(INDEX(_ENGINE_Initiatives!$AB$5:$AB$76,MATCH($A182,_ENGINE_Initiatives!$BW$5:$BW$76,0))=4,16,24)))*7)),1,""),"")</f>
        <v/>
      </c>
      <c r="L182" s="32" t="str">
        <f ca="1">IFERROR(IF(AND(L$162&gt;=IF(INDEX(_ENGINE_Initiatives!$BX$5:$BX$76,MATCH($A182,_ENGINE_Initiatives!$BW$5:$BW$76,0))="0-90 days",'Company Profile'!$B$6,IF(INDEX(_ENGINE_Initiatives!$BX$5:$BX$76,MATCH($A182,_ENGINE_Initiatives!$BW$5:$BW$76,0))="3-6 months",EDATE('Company Profile'!$B$6,3),IF(INDEX(_ENGINE_Initiatives!$BX$5:$BX$76,MATCH($A182,_ENGINE_Initiatives!$BW$5:$BW$76,0))="6-12 months",EDATE('Company Profile'!$B$6,6),EDATE('Company Profile'!$B$6,12)))),L$162&lt;=IF(INDEX(_ENGINE_Initiatives!$BX$5:$BX$76,MATCH($A182,_ENGINE_Initiatives!$BW$5:$BW$76,0))="0-90 days",'Company Profile'!$B$6,IF(INDEX(_ENGINE_Initiatives!$BX$5:$BX$76,MATCH($A182,_ENGINE_Initiatives!$BW$5:$BW$76,0))="3-6 months",EDATE('Company Profile'!$B$6,3),IF(INDEX(_ENGINE_Initiatives!$BX$5:$BX$76,MATCH($A182,_ENGINE_Initiatives!$BW$5:$BW$76,0))="6-12 months",EDATE('Company Profile'!$B$6,6),EDATE('Company Profile'!$B$6,12))))+(IF(INDEX(_ENGINE_Initiatives!$AB$5:$AB$76,MATCH($A182,_ENGINE_Initiatives!$BW$5:$BW$76,0))&lt;=2,6,IF(INDEX(_ENGINE_Initiatives!$AB$5:$AB$76,MATCH($A182,_ENGINE_Initiatives!$BW$5:$BW$76,0))=3,10,IF(INDEX(_ENGINE_Initiatives!$AB$5:$AB$76,MATCH($A182,_ENGINE_Initiatives!$BW$5:$BW$76,0))=4,16,24)))*7)),1,""),"")</f>
        <v/>
      </c>
      <c r="M182" s="32" t="str">
        <f ca="1">IFERROR(IF(AND(M$162&gt;=IF(INDEX(_ENGINE_Initiatives!$BX$5:$BX$76,MATCH($A182,_ENGINE_Initiatives!$BW$5:$BW$76,0))="0-90 days",'Company Profile'!$B$6,IF(INDEX(_ENGINE_Initiatives!$BX$5:$BX$76,MATCH($A182,_ENGINE_Initiatives!$BW$5:$BW$76,0))="3-6 months",EDATE('Company Profile'!$B$6,3),IF(INDEX(_ENGINE_Initiatives!$BX$5:$BX$76,MATCH($A182,_ENGINE_Initiatives!$BW$5:$BW$76,0))="6-12 months",EDATE('Company Profile'!$B$6,6),EDATE('Company Profile'!$B$6,12)))),M$162&lt;=IF(INDEX(_ENGINE_Initiatives!$BX$5:$BX$76,MATCH($A182,_ENGINE_Initiatives!$BW$5:$BW$76,0))="0-90 days",'Company Profile'!$B$6,IF(INDEX(_ENGINE_Initiatives!$BX$5:$BX$76,MATCH($A182,_ENGINE_Initiatives!$BW$5:$BW$76,0))="3-6 months",EDATE('Company Profile'!$B$6,3),IF(INDEX(_ENGINE_Initiatives!$BX$5:$BX$76,MATCH($A182,_ENGINE_Initiatives!$BW$5:$BW$76,0))="6-12 months",EDATE('Company Profile'!$B$6,6),EDATE('Company Profile'!$B$6,12))))+(IF(INDEX(_ENGINE_Initiatives!$AB$5:$AB$76,MATCH($A182,_ENGINE_Initiatives!$BW$5:$BW$76,0))&lt;=2,6,IF(INDEX(_ENGINE_Initiatives!$AB$5:$AB$76,MATCH($A182,_ENGINE_Initiatives!$BW$5:$BW$76,0))=3,10,IF(INDEX(_ENGINE_Initiatives!$AB$5:$AB$76,MATCH($A182,_ENGINE_Initiatives!$BW$5:$BW$76,0))=4,16,24)))*7)),1,""),"")</f>
        <v/>
      </c>
      <c r="N182" s="32" t="str">
        <f ca="1">IFERROR(IF(AND(N$162&gt;=IF(INDEX(_ENGINE_Initiatives!$BX$5:$BX$76,MATCH($A182,_ENGINE_Initiatives!$BW$5:$BW$76,0))="0-90 days",'Company Profile'!$B$6,IF(INDEX(_ENGINE_Initiatives!$BX$5:$BX$76,MATCH($A182,_ENGINE_Initiatives!$BW$5:$BW$76,0))="3-6 months",EDATE('Company Profile'!$B$6,3),IF(INDEX(_ENGINE_Initiatives!$BX$5:$BX$76,MATCH($A182,_ENGINE_Initiatives!$BW$5:$BW$76,0))="6-12 months",EDATE('Company Profile'!$B$6,6),EDATE('Company Profile'!$B$6,12)))),N$162&lt;=IF(INDEX(_ENGINE_Initiatives!$BX$5:$BX$76,MATCH($A182,_ENGINE_Initiatives!$BW$5:$BW$76,0))="0-90 days",'Company Profile'!$B$6,IF(INDEX(_ENGINE_Initiatives!$BX$5:$BX$76,MATCH($A182,_ENGINE_Initiatives!$BW$5:$BW$76,0))="3-6 months",EDATE('Company Profile'!$B$6,3),IF(INDEX(_ENGINE_Initiatives!$BX$5:$BX$76,MATCH($A182,_ENGINE_Initiatives!$BW$5:$BW$76,0))="6-12 months",EDATE('Company Profile'!$B$6,6),EDATE('Company Profile'!$B$6,12))))+(IF(INDEX(_ENGINE_Initiatives!$AB$5:$AB$76,MATCH($A182,_ENGINE_Initiatives!$BW$5:$BW$76,0))&lt;=2,6,IF(INDEX(_ENGINE_Initiatives!$AB$5:$AB$76,MATCH($A182,_ENGINE_Initiatives!$BW$5:$BW$76,0))=3,10,IF(INDEX(_ENGINE_Initiatives!$AB$5:$AB$76,MATCH($A182,_ENGINE_Initiatives!$BW$5:$BW$76,0))=4,16,24)))*7)),1,""),"")</f>
        <v/>
      </c>
      <c r="O182" s="32" t="str">
        <f ca="1">IFERROR(IF(AND(O$162&gt;=IF(INDEX(_ENGINE_Initiatives!$BX$5:$BX$76,MATCH($A182,_ENGINE_Initiatives!$BW$5:$BW$76,0))="0-90 days",'Company Profile'!$B$6,IF(INDEX(_ENGINE_Initiatives!$BX$5:$BX$76,MATCH($A182,_ENGINE_Initiatives!$BW$5:$BW$76,0))="3-6 months",EDATE('Company Profile'!$B$6,3),IF(INDEX(_ENGINE_Initiatives!$BX$5:$BX$76,MATCH($A182,_ENGINE_Initiatives!$BW$5:$BW$76,0))="6-12 months",EDATE('Company Profile'!$B$6,6),EDATE('Company Profile'!$B$6,12)))),O$162&lt;=IF(INDEX(_ENGINE_Initiatives!$BX$5:$BX$76,MATCH($A182,_ENGINE_Initiatives!$BW$5:$BW$76,0))="0-90 days",'Company Profile'!$B$6,IF(INDEX(_ENGINE_Initiatives!$BX$5:$BX$76,MATCH($A182,_ENGINE_Initiatives!$BW$5:$BW$76,0))="3-6 months",EDATE('Company Profile'!$B$6,3),IF(INDEX(_ENGINE_Initiatives!$BX$5:$BX$76,MATCH($A182,_ENGINE_Initiatives!$BW$5:$BW$76,0))="6-12 months",EDATE('Company Profile'!$B$6,6),EDATE('Company Profile'!$B$6,12))))+(IF(INDEX(_ENGINE_Initiatives!$AB$5:$AB$76,MATCH($A182,_ENGINE_Initiatives!$BW$5:$BW$76,0))&lt;=2,6,IF(INDEX(_ENGINE_Initiatives!$AB$5:$AB$76,MATCH($A182,_ENGINE_Initiatives!$BW$5:$BW$76,0))=3,10,IF(INDEX(_ENGINE_Initiatives!$AB$5:$AB$76,MATCH($A182,_ENGINE_Initiatives!$BW$5:$BW$76,0))=4,16,24)))*7)),1,""),"")</f>
        <v/>
      </c>
      <c r="P182" s="32" t="str">
        <f ca="1">IFERROR(IF(AND(P$162&gt;=IF(INDEX(_ENGINE_Initiatives!$BX$5:$BX$76,MATCH($A182,_ENGINE_Initiatives!$BW$5:$BW$76,0))="0-90 days",'Company Profile'!$B$6,IF(INDEX(_ENGINE_Initiatives!$BX$5:$BX$76,MATCH($A182,_ENGINE_Initiatives!$BW$5:$BW$76,0))="3-6 months",EDATE('Company Profile'!$B$6,3),IF(INDEX(_ENGINE_Initiatives!$BX$5:$BX$76,MATCH($A182,_ENGINE_Initiatives!$BW$5:$BW$76,0))="6-12 months",EDATE('Company Profile'!$B$6,6),EDATE('Company Profile'!$B$6,12)))),P$162&lt;=IF(INDEX(_ENGINE_Initiatives!$BX$5:$BX$76,MATCH($A182,_ENGINE_Initiatives!$BW$5:$BW$76,0))="0-90 days",'Company Profile'!$B$6,IF(INDEX(_ENGINE_Initiatives!$BX$5:$BX$76,MATCH($A182,_ENGINE_Initiatives!$BW$5:$BW$76,0))="3-6 months",EDATE('Company Profile'!$B$6,3),IF(INDEX(_ENGINE_Initiatives!$BX$5:$BX$76,MATCH($A182,_ENGINE_Initiatives!$BW$5:$BW$76,0))="6-12 months",EDATE('Company Profile'!$B$6,6),EDATE('Company Profile'!$B$6,12))))+(IF(INDEX(_ENGINE_Initiatives!$AB$5:$AB$76,MATCH($A182,_ENGINE_Initiatives!$BW$5:$BW$76,0))&lt;=2,6,IF(INDEX(_ENGINE_Initiatives!$AB$5:$AB$76,MATCH($A182,_ENGINE_Initiatives!$BW$5:$BW$76,0))=3,10,IF(INDEX(_ENGINE_Initiatives!$AB$5:$AB$76,MATCH($A182,_ENGINE_Initiatives!$BW$5:$BW$76,0))=4,16,24)))*7)),1,""),"")</f>
        <v/>
      </c>
      <c r="Q182" s="32" t="str">
        <f ca="1">IFERROR(IF(AND(Q$162&gt;=IF(INDEX(_ENGINE_Initiatives!$BX$5:$BX$76,MATCH($A182,_ENGINE_Initiatives!$BW$5:$BW$76,0))="0-90 days",'Company Profile'!$B$6,IF(INDEX(_ENGINE_Initiatives!$BX$5:$BX$76,MATCH($A182,_ENGINE_Initiatives!$BW$5:$BW$76,0))="3-6 months",EDATE('Company Profile'!$B$6,3),IF(INDEX(_ENGINE_Initiatives!$BX$5:$BX$76,MATCH($A182,_ENGINE_Initiatives!$BW$5:$BW$76,0))="6-12 months",EDATE('Company Profile'!$B$6,6),EDATE('Company Profile'!$B$6,12)))),Q$162&lt;=IF(INDEX(_ENGINE_Initiatives!$BX$5:$BX$76,MATCH($A182,_ENGINE_Initiatives!$BW$5:$BW$76,0))="0-90 days",'Company Profile'!$B$6,IF(INDEX(_ENGINE_Initiatives!$BX$5:$BX$76,MATCH($A182,_ENGINE_Initiatives!$BW$5:$BW$76,0))="3-6 months",EDATE('Company Profile'!$B$6,3),IF(INDEX(_ENGINE_Initiatives!$BX$5:$BX$76,MATCH($A182,_ENGINE_Initiatives!$BW$5:$BW$76,0))="6-12 months",EDATE('Company Profile'!$B$6,6),EDATE('Company Profile'!$B$6,12))))+(IF(INDEX(_ENGINE_Initiatives!$AB$5:$AB$76,MATCH($A182,_ENGINE_Initiatives!$BW$5:$BW$76,0))&lt;=2,6,IF(INDEX(_ENGINE_Initiatives!$AB$5:$AB$76,MATCH($A182,_ENGINE_Initiatives!$BW$5:$BW$76,0))=3,10,IF(INDEX(_ENGINE_Initiatives!$AB$5:$AB$76,MATCH($A182,_ENGINE_Initiatives!$BW$5:$BW$76,0))=4,16,24)))*7)),1,""),"")</f>
        <v/>
      </c>
      <c r="R182" s="32" t="str">
        <f ca="1">IFERROR(IF(AND(R$162&gt;=IF(INDEX(_ENGINE_Initiatives!$BX$5:$BX$76,MATCH($A182,_ENGINE_Initiatives!$BW$5:$BW$76,0))="0-90 days",'Company Profile'!$B$6,IF(INDEX(_ENGINE_Initiatives!$BX$5:$BX$76,MATCH($A182,_ENGINE_Initiatives!$BW$5:$BW$76,0))="3-6 months",EDATE('Company Profile'!$B$6,3),IF(INDEX(_ENGINE_Initiatives!$BX$5:$BX$76,MATCH($A182,_ENGINE_Initiatives!$BW$5:$BW$76,0))="6-12 months",EDATE('Company Profile'!$B$6,6),EDATE('Company Profile'!$B$6,12)))),R$162&lt;=IF(INDEX(_ENGINE_Initiatives!$BX$5:$BX$76,MATCH($A182,_ENGINE_Initiatives!$BW$5:$BW$76,0))="0-90 days",'Company Profile'!$B$6,IF(INDEX(_ENGINE_Initiatives!$BX$5:$BX$76,MATCH($A182,_ENGINE_Initiatives!$BW$5:$BW$76,0))="3-6 months",EDATE('Company Profile'!$B$6,3),IF(INDEX(_ENGINE_Initiatives!$BX$5:$BX$76,MATCH($A182,_ENGINE_Initiatives!$BW$5:$BW$76,0))="6-12 months",EDATE('Company Profile'!$B$6,6),EDATE('Company Profile'!$B$6,12))))+(IF(INDEX(_ENGINE_Initiatives!$AB$5:$AB$76,MATCH($A182,_ENGINE_Initiatives!$BW$5:$BW$76,0))&lt;=2,6,IF(INDEX(_ENGINE_Initiatives!$AB$5:$AB$76,MATCH($A182,_ENGINE_Initiatives!$BW$5:$BW$76,0))=3,10,IF(INDEX(_ENGINE_Initiatives!$AB$5:$AB$76,MATCH($A182,_ENGINE_Initiatives!$BW$5:$BW$76,0))=4,16,24)))*7)),1,""),"")</f>
        <v/>
      </c>
      <c r="S182" s="32" t="str">
        <f ca="1">IFERROR(IF(AND(S$162&gt;=IF(INDEX(_ENGINE_Initiatives!$BX$5:$BX$76,MATCH($A182,_ENGINE_Initiatives!$BW$5:$BW$76,0))="0-90 days",'Company Profile'!$B$6,IF(INDEX(_ENGINE_Initiatives!$BX$5:$BX$76,MATCH($A182,_ENGINE_Initiatives!$BW$5:$BW$76,0))="3-6 months",EDATE('Company Profile'!$B$6,3),IF(INDEX(_ENGINE_Initiatives!$BX$5:$BX$76,MATCH($A182,_ENGINE_Initiatives!$BW$5:$BW$76,0))="6-12 months",EDATE('Company Profile'!$B$6,6),EDATE('Company Profile'!$B$6,12)))),S$162&lt;=IF(INDEX(_ENGINE_Initiatives!$BX$5:$BX$76,MATCH($A182,_ENGINE_Initiatives!$BW$5:$BW$76,0))="0-90 days",'Company Profile'!$B$6,IF(INDEX(_ENGINE_Initiatives!$BX$5:$BX$76,MATCH($A182,_ENGINE_Initiatives!$BW$5:$BW$76,0))="3-6 months",EDATE('Company Profile'!$B$6,3),IF(INDEX(_ENGINE_Initiatives!$BX$5:$BX$76,MATCH($A182,_ENGINE_Initiatives!$BW$5:$BW$76,0))="6-12 months",EDATE('Company Profile'!$B$6,6),EDATE('Company Profile'!$B$6,12))))+(IF(INDEX(_ENGINE_Initiatives!$AB$5:$AB$76,MATCH($A182,_ENGINE_Initiatives!$BW$5:$BW$76,0))&lt;=2,6,IF(INDEX(_ENGINE_Initiatives!$AB$5:$AB$76,MATCH($A182,_ENGINE_Initiatives!$BW$5:$BW$76,0))=3,10,IF(INDEX(_ENGINE_Initiatives!$AB$5:$AB$76,MATCH($A182,_ENGINE_Initiatives!$BW$5:$BW$76,0))=4,16,24)))*7)),1,""),"")</f>
        <v/>
      </c>
      <c r="T182" s="32" t="str">
        <f ca="1">IFERROR(IF(AND(T$162&gt;=IF(INDEX(_ENGINE_Initiatives!$BX$5:$BX$76,MATCH($A182,_ENGINE_Initiatives!$BW$5:$BW$76,0))="0-90 days",'Company Profile'!$B$6,IF(INDEX(_ENGINE_Initiatives!$BX$5:$BX$76,MATCH($A182,_ENGINE_Initiatives!$BW$5:$BW$76,0))="3-6 months",EDATE('Company Profile'!$B$6,3),IF(INDEX(_ENGINE_Initiatives!$BX$5:$BX$76,MATCH($A182,_ENGINE_Initiatives!$BW$5:$BW$76,0))="6-12 months",EDATE('Company Profile'!$B$6,6),EDATE('Company Profile'!$B$6,12)))),T$162&lt;=IF(INDEX(_ENGINE_Initiatives!$BX$5:$BX$76,MATCH($A182,_ENGINE_Initiatives!$BW$5:$BW$76,0))="0-90 days",'Company Profile'!$B$6,IF(INDEX(_ENGINE_Initiatives!$BX$5:$BX$76,MATCH($A182,_ENGINE_Initiatives!$BW$5:$BW$76,0))="3-6 months",EDATE('Company Profile'!$B$6,3),IF(INDEX(_ENGINE_Initiatives!$BX$5:$BX$76,MATCH($A182,_ENGINE_Initiatives!$BW$5:$BW$76,0))="6-12 months",EDATE('Company Profile'!$B$6,6),EDATE('Company Profile'!$B$6,12))))+(IF(INDEX(_ENGINE_Initiatives!$AB$5:$AB$76,MATCH($A182,_ENGINE_Initiatives!$BW$5:$BW$76,0))&lt;=2,6,IF(INDEX(_ENGINE_Initiatives!$AB$5:$AB$76,MATCH($A182,_ENGINE_Initiatives!$BW$5:$BW$76,0))=3,10,IF(INDEX(_ENGINE_Initiatives!$AB$5:$AB$76,MATCH($A182,_ENGINE_Initiatives!$BW$5:$BW$76,0))=4,16,24)))*7)),1,""),"")</f>
        <v/>
      </c>
      <c r="U182" s="18"/>
      <c r="V182" s="18"/>
    </row>
    <row r="183" spans="1:22">
      <c r="A183" s="18"/>
      <c r="B183" s="18"/>
      <c r="C183" s="18"/>
      <c r="D183" s="18"/>
      <c r="E183" s="18"/>
      <c r="F183" s="18"/>
      <c r="G183" s="18"/>
      <c r="H183" s="18"/>
      <c r="I183" s="18"/>
      <c r="J183" s="18"/>
      <c r="K183" s="18"/>
      <c r="L183" s="18"/>
      <c r="M183" s="18"/>
      <c r="N183" s="18"/>
      <c r="O183" s="18"/>
      <c r="P183" s="18"/>
      <c r="Q183" s="18"/>
      <c r="R183" s="18"/>
      <c r="S183" s="18"/>
      <c r="T183" s="18"/>
      <c r="U183" s="18"/>
      <c r="V183" s="18"/>
    </row>
    <row r="184" spans="1:22">
      <c r="A184" s="18"/>
      <c r="B184" s="18"/>
      <c r="C184" s="18"/>
      <c r="D184" s="18"/>
      <c r="E184" s="18"/>
      <c r="F184" s="18"/>
      <c r="G184" s="18"/>
      <c r="H184" s="18"/>
      <c r="I184" s="18"/>
      <c r="J184" s="18"/>
      <c r="K184" s="18"/>
      <c r="L184" s="18"/>
      <c r="M184" s="18"/>
      <c r="N184" s="18"/>
      <c r="O184" s="18"/>
      <c r="P184" s="18"/>
      <c r="Q184" s="18"/>
      <c r="R184" s="18"/>
      <c r="S184" s="18"/>
      <c r="T184" s="18"/>
      <c r="U184" s="18"/>
      <c r="V184" s="18"/>
    </row>
    <row r="185" spans="1:22">
      <c r="A185" s="18"/>
      <c r="B185" s="18"/>
      <c r="C185" s="18"/>
      <c r="D185" s="18"/>
      <c r="E185" s="18"/>
      <c r="F185" s="18"/>
      <c r="G185" s="18"/>
      <c r="H185" s="18"/>
      <c r="I185" s="18"/>
      <c r="J185" s="18"/>
      <c r="K185" s="18"/>
      <c r="L185" s="18"/>
      <c r="M185" s="18"/>
      <c r="N185" s="18"/>
      <c r="O185" s="18"/>
      <c r="P185" s="18"/>
      <c r="Q185" s="18"/>
      <c r="R185" s="18"/>
      <c r="S185" s="18"/>
      <c r="T185" s="18"/>
      <c r="U185" s="18"/>
      <c r="V185" s="18"/>
    </row>
    <row r="186" spans="1:22" ht="15" customHeight="1">
      <c r="A186" s="54" t="s">
        <v>3706</v>
      </c>
      <c r="B186" s="55"/>
      <c r="C186" s="55"/>
      <c r="D186" s="55"/>
      <c r="E186" s="55"/>
      <c r="F186" s="55"/>
      <c r="G186" s="55"/>
      <c r="H186" s="55"/>
      <c r="I186" s="55"/>
      <c r="J186" s="55"/>
      <c r="K186" s="55"/>
      <c r="L186" s="55"/>
      <c r="M186" s="55"/>
      <c r="N186" s="55"/>
      <c r="O186" s="55"/>
      <c r="P186" s="55"/>
      <c r="Q186" s="55"/>
      <c r="R186" s="55"/>
      <c r="S186" s="52"/>
      <c r="T186" s="18"/>
      <c r="U186" s="18"/>
      <c r="V186" s="18"/>
    </row>
    <row r="187" spans="1:22" ht="44.15" customHeight="1">
      <c r="A187" s="15" t="s">
        <v>3642</v>
      </c>
      <c r="B187" s="31">
        <f t="shared" ref="B187:S187" ca="1" si="4">C$162</f>
        <v>46197</v>
      </c>
      <c r="C187" s="31">
        <f t="shared" ca="1" si="4"/>
        <v>46227</v>
      </c>
      <c r="D187" s="31">
        <f t="shared" ca="1" si="4"/>
        <v>46258</v>
      </c>
      <c r="E187" s="31">
        <f t="shared" ca="1" si="4"/>
        <v>46289</v>
      </c>
      <c r="F187" s="31">
        <f t="shared" ca="1" si="4"/>
        <v>46319</v>
      </c>
      <c r="G187" s="31">
        <f t="shared" ca="1" si="4"/>
        <v>46350</v>
      </c>
      <c r="H187" s="31">
        <f t="shared" ca="1" si="4"/>
        <v>46380</v>
      </c>
      <c r="I187" s="31">
        <f t="shared" ca="1" si="4"/>
        <v>46411</v>
      </c>
      <c r="J187" s="31">
        <f t="shared" ca="1" si="4"/>
        <v>46442</v>
      </c>
      <c r="K187" s="31">
        <f t="shared" ca="1" si="4"/>
        <v>46470</v>
      </c>
      <c r="L187" s="31">
        <f t="shared" ca="1" si="4"/>
        <v>46501</v>
      </c>
      <c r="M187" s="31">
        <f t="shared" ca="1" si="4"/>
        <v>46531</v>
      </c>
      <c r="N187" s="31">
        <f t="shared" ca="1" si="4"/>
        <v>46562</v>
      </c>
      <c r="O187" s="31">
        <f t="shared" ca="1" si="4"/>
        <v>46592</v>
      </c>
      <c r="P187" s="31">
        <f t="shared" ca="1" si="4"/>
        <v>46623</v>
      </c>
      <c r="Q187" s="31">
        <f t="shared" ca="1" si="4"/>
        <v>46654</v>
      </c>
      <c r="R187" s="31">
        <f t="shared" ca="1" si="4"/>
        <v>46684</v>
      </c>
      <c r="S187" s="31">
        <f t="shared" ca="1" si="4"/>
        <v>46715</v>
      </c>
      <c r="T187" s="27"/>
      <c r="U187" s="27"/>
      <c r="V187" s="27"/>
    </row>
    <row r="188" spans="1:22" ht="15" customHeight="1">
      <c r="A188" s="28" t="s">
        <v>3707</v>
      </c>
      <c r="B188" s="32">
        <f t="shared" ref="B188:S188" ca="1" si="5">SUM(C$163:C$182)</f>
        <v>0</v>
      </c>
      <c r="C188" s="32">
        <f t="shared" ca="1" si="5"/>
        <v>0</v>
      </c>
      <c r="D188" s="32">
        <f t="shared" ca="1" si="5"/>
        <v>0</v>
      </c>
      <c r="E188" s="32">
        <f t="shared" ca="1" si="5"/>
        <v>0</v>
      </c>
      <c r="F188" s="32">
        <f t="shared" ca="1" si="5"/>
        <v>0</v>
      </c>
      <c r="G188" s="32">
        <f t="shared" ca="1" si="5"/>
        <v>0</v>
      </c>
      <c r="H188" s="32">
        <f t="shared" ca="1" si="5"/>
        <v>0</v>
      </c>
      <c r="I188" s="32">
        <f t="shared" ca="1" si="5"/>
        <v>0</v>
      </c>
      <c r="J188" s="32">
        <f t="shared" ca="1" si="5"/>
        <v>0</v>
      </c>
      <c r="K188" s="32">
        <f t="shared" ca="1" si="5"/>
        <v>0</v>
      </c>
      <c r="L188" s="32">
        <f t="shared" ca="1" si="5"/>
        <v>0</v>
      </c>
      <c r="M188" s="32">
        <f t="shared" ca="1" si="5"/>
        <v>0</v>
      </c>
      <c r="N188" s="32">
        <f t="shared" ca="1" si="5"/>
        <v>0</v>
      </c>
      <c r="O188" s="32">
        <f t="shared" ca="1" si="5"/>
        <v>0</v>
      </c>
      <c r="P188" s="32">
        <f t="shared" ca="1" si="5"/>
        <v>0</v>
      </c>
      <c r="Q188" s="32">
        <f t="shared" ca="1" si="5"/>
        <v>0</v>
      </c>
      <c r="R188" s="32">
        <f t="shared" ca="1" si="5"/>
        <v>0</v>
      </c>
      <c r="S188" s="32">
        <f t="shared" ca="1" si="5"/>
        <v>0</v>
      </c>
      <c r="T188" s="18"/>
      <c r="U188" s="18"/>
      <c r="V188" s="18"/>
    </row>
    <row r="189" spans="1:22" ht="15" customHeight="1">
      <c r="A189" s="28" t="s">
        <v>3708</v>
      </c>
      <c r="B189" s="32">
        <f t="shared" ref="B189:S189" ca="1" si="6">COUNT(C$163:C$182)</f>
        <v>0</v>
      </c>
      <c r="C189" s="32">
        <f t="shared" ca="1" si="6"/>
        <v>0</v>
      </c>
      <c r="D189" s="32">
        <f t="shared" ca="1" si="6"/>
        <v>0</v>
      </c>
      <c r="E189" s="32">
        <f t="shared" ca="1" si="6"/>
        <v>0</v>
      </c>
      <c r="F189" s="32">
        <f t="shared" ca="1" si="6"/>
        <v>0</v>
      </c>
      <c r="G189" s="32">
        <f t="shared" ca="1" si="6"/>
        <v>0</v>
      </c>
      <c r="H189" s="32">
        <f t="shared" ca="1" si="6"/>
        <v>0</v>
      </c>
      <c r="I189" s="32">
        <f t="shared" ca="1" si="6"/>
        <v>0</v>
      </c>
      <c r="J189" s="32">
        <f t="shared" ca="1" si="6"/>
        <v>0</v>
      </c>
      <c r="K189" s="32">
        <f t="shared" ca="1" si="6"/>
        <v>0</v>
      </c>
      <c r="L189" s="32">
        <f t="shared" ca="1" si="6"/>
        <v>0</v>
      </c>
      <c r="M189" s="32">
        <f t="shared" ca="1" si="6"/>
        <v>0</v>
      </c>
      <c r="N189" s="32">
        <f t="shared" ca="1" si="6"/>
        <v>0</v>
      </c>
      <c r="O189" s="32">
        <f t="shared" ca="1" si="6"/>
        <v>0</v>
      </c>
      <c r="P189" s="32">
        <f t="shared" ca="1" si="6"/>
        <v>0</v>
      </c>
      <c r="Q189" s="32">
        <f t="shared" ca="1" si="6"/>
        <v>0</v>
      </c>
      <c r="R189" s="32">
        <f t="shared" ca="1" si="6"/>
        <v>0</v>
      </c>
      <c r="S189" s="32">
        <f t="shared" ca="1" si="6"/>
        <v>0</v>
      </c>
      <c r="T189" s="18"/>
      <c r="U189" s="18"/>
      <c r="V189" s="18"/>
    </row>
    <row r="190" spans="1:22" ht="15" customHeight="1">
      <c r="A190" s="28" t="s">
        <v>3709</v>
      </c>
      <c r="B190" s="33" t="str">
        <f ca="1">IF(B$188&gt;IF('Company Profile'!$B$102="",18,'Company Profile'!$B$102),"Overloaded","OK")</f>
        <v>OK</v>
      </c>
      <c r="C190" s="33" t="str">
        <f ca="1">IF(C$188&gt;IF('Company Profile'!$B$102="",18,'Company Profile'!$B$102),"Overloaded","OK")</f>
        <v>OK</v>
      </c>
      <c r="D190" s="33" t="str">
        <f ca="1">IF(D$188&gt;IF('Company Profile'!$B$102="",18,'Company Profile'!$B$102),"Overloaded","OK")</f>
        <v>OK</v>
      </c>
      <c r="E190" s="33" t="str">
        <f ca="1">IF(E$188&gt;IF('Company Profile'!$B$102="",18,'Company Profile'!$B$102),"Overloaded","OK")</f>
        <v>OK</v>
      </c>
      <c r="F190" s="33" t="str">
        <f ca="1">IF(F$188&gt;IF('Company Profile'!$B$102="",18,'Company Profile'!$B$102),"Overloaded","OK")</f>
        <v>OK</v>
      </c>
      <c r="G190" s="33" t="str">
        <f ca="1">IF(G$188&gt;IF('Company Profile'!$B$102="",18,'Company Profile'!$B$102),"Overloaded","OK")</f>
        <v>OK</v>
      </c>
      <c r="H190" s="33" t="str">
        <f ca="1">IF(H$188&gt;IF('Company Profile'!$B$102="",18,'Company Profile'!$B$102),"Overloaded","OK")</f>
        <v>OK</v>
      </c>
      <c r="I190" s="33" t="str">
        <f ca="1">IF(I$188&gt;IF('Company Profile'!$B$102="",18,'Company Profile'!$B$102),"Overloaded","OK")</f>
        <v>OK</v>
      </c>
      <c r="J190" s="33" t="str">
        <f ca="1">IF(J$188&gt;IF('Company Profile'!$B$102="",18,'Company Profile'!$B$102),"Overloaded","OK")</f>
        <v>OK</v>
      </c>
      <c r="K190" s="33" t="str">
        <f ca="1">IF(K$188&gt;IF('Company Profile'!$B$102="",18,'Company Profile'!$B$102),"Overloaded","OK")</f>
        <v>OK</v>
      </c>
      <c r="L190" s="33" t="str">
        <f ca="1">IF(L$188&gt;IF('Company Profile'!$B$102="",18,'Company Profile'!$B$102),"Overloaded","OK")</f>
        <v>OK</v>
      </c>
      <c r="M190" s="33" t="str">
        <f ca="1">IF(M$188&gt;IF('Company Profile'!$B$102="",18,'Company Profile'!$B$102),"Overloaded","OK")</f>
        <v>OK</v>
      </c>
      <c r="N190" s="33" t="str">
        <f ca="1">IF(N$188&gt;IF('Company Profile'!$B$102="",18,'Company Profile'!$B$102),"Overloaded","OK")</f>
        <v>OK</v>
      </c>
      <c r="O190" s="33" t="str">
        <f ca="1">IF(O$188&gt;IF('Company Profile'!$B$102="",18,'Company Profile'!$B$102),"Overloaded","OK")</f>
        <v>OK</v>
      </c>
      <c r="P190" s="33" t="str">
        <f ca="1">IF(P$188&gt;IF('Company Profile'!$B$102="",18,'Company Profile'!$B$102),"Overloaded","OK")</f>
        <v>OK</v>
      </c>
      <c r="Q190" s="33" t="str">
        <f ca="1">IF(Q$188&gt;IF('Company Profile'!$B$102="",18,'Company Profile'!$B$102),"Overloaded","OK")</f>
        <v>OK</v>
      </c>
      <c r="R190" s="33" t="str">
        <f ca="1">IF(R$188&gt;IF('Company Profile'!$B$102="",18,'Company Profile'!$B$102),"Overloaded","OK")</f>
        <v>OK</v>
      </c>
      <c r="S190" s="33" t="str">
        <f ca="1">IF(S$188&gt;IF('Company Profile'!$B$102="",18,'Company Profile'!$B$102),"Overloaded","OK")</f>
        <v>OK</v>
      </c>
      <c r="T190" s="18"/>
      <c r="U190" s="18"/>
      <c r="V190" s="18"/>
    </row>
    <row r="210" spans="1:11">
      <c r="A210" s="1" t="s">
        <v>3710</v>
      </c>
      <c r="B210" s="1"/>
      <c r="C210" s="1"/>
      <c r="D210" s="1"/>
      <c r="E210" s="1"/>
      <c r="F210" s="1"/>
      <c r="G210" s="1"/>
      <c r="H210" s="1"/>
      <c r="I210" s="1"/>
      <c r="J210" s="1"/>
      <c r="K210" s="1"/>
    </row>
    <row r="211" spans="1:11">
      <c r="A211" s="1" t="s">
        <v>3711</v>
      </c>
      <c r="B211" s="1"/>
      <c r="C211" s="1"/>
      <c r="D211" s="1"/>
      <c r="E211" s="1"/>
      <c r="F211" s="1"/>
      <c r="G211" s="1"/>
      <c r="H211" s="1"/>
      <c r="I211" s="1"/>
      <c r="J211" s="1"/>
      <c r="K211" s="1"/>
    </row>
    <row r="212" spans="1:11">
      <c r="A212" s="1"/>
      <c r="B212" s="1"/>
      <c r="C212" s="1"/>
      <c r="D212" s="1"/>
      <c r="E212" s="1"/>
      <c r="F212" s="1"/>
      <c r="G212" s="1"/>
      <c r="H212" s="1"/>
      <c r="I212" s="1"/>
      <c r="J212" s="1"/>
      <c r="K212" s="1"/>
    </row>
    <row r="213" spans="1:11">
      <c r="A213" s="1" t="s">
        <v>654</v>
      </c>
      <c r="B213" s="1">
        <f>'Company Profile'!$B$105</f>
        <v>0</v>
      </c>
      <c r="C213" s="1" t="s">
        <v>462</v>
      </c>
      <c r="D213" s="1">
        <f>PV_Canonical_Industry</f>
        <v>0</v>
      </c>
      <c r="E213" s="1" t="s">
        <v>3596</v>
      </c>
      <c r="F213" s="1">
        <f>'Company Profile'!$B$35</f>
        <v>0</v>
      </c>
      <c r="G213" s="1"/>
      <c r="H213" s="1"/>
      <c r="I213" s="1"/>
      <c r="J213" s="1"/>
      <c r="K213" s="1"/>
    </row>
    <row r="214" spans="1:11">
      <c r="A214" s="1"/>
      <c r="B214" s="1"/>
      <c r="C214" s="1"/>
      <c r="D214" s="1"/>
      <c r="E214" s="1"/>
      <c r="F214" s="1"/>
      <c r="G214" s="1"/>
      <c r="H214" s="1"/>
      <c r="I214" s="1"/>
      <c r="J214" s="1"/>
      <c r="K214" s="1"/>
    </row>
    <row r="215" spans="1:11">
      <c r="A215" s="1"/>
      <c r="B215" s="1"/>
      <c r="C215" s="1"/>
      <c r="D215" s="1"/>
      <c r="E215" s="1"/>
      <c r="F215" s="1"/>
      <c r="G215" s="1"/>
      <c r="H215" s="1"/>
      <c r="I215" s="1"/>
      <c r="J215" s="1"/>
      <c r="K215" s="1"/>
    </row>
    <row r="216" spans="1:11">
      <c r="A216" s="1" t="s">
        <v>764</v>
      </c>
      <c r="B216" s="1" t="s">
        <v>3712</v>
      </c>
      <c r="C216" s="1" t="s">
        <v>3713</v>
      </c>
      <c r="D216" s="1" t="s">
        <v>3714</v>
      </c>
      <c r="E216" s="1" t="s">
        <v>3715</v>
      </c>
      <c r="F216" s="1" t="s">
        <v>3716</v>
      </c>
      <c r="G216" s="1" t="s">
        <v>3717</v>
      </c>
      <c r="H216" s="1" t="s">
        <v>3391</v>
      </c>
      <c r="I216" s="1" t="s">
        <v>3718</v>
      </c>
      <c r="J216" s="1" t="s">
        <v>3719</v>
      </c>
      <c r="K216" s="1" t="s">
        <v>742</v>
      </c>
    </row>
    <row r="217" spans="1:11">
      <c r="A217" s="1" t="str">
        <f>_DATA_Dashboard_Facts!$A$300</f>
        <v>Company Geography</v>
      </c>
      <c r="B217" s="1">
        <f>IFERROR(INDEX(_DATA_Dashboard_Facts!$H$5:$H$21,MATCH($A217,_DATA_Dashboard_Facts!$A$5:$A$21,0)),"")</f>
        <v>0</v>
      </c>
      <c r="C217" s="1">
        <f>IFERROR(ROUND(MAX(0.2,$D217-_REF_Model_Content!$B$731),2),"")</f>
        <v>1.1000000000000001</v>
      </c>
      <c r="D217" s="1">
        <f>IFERROR(INDEX(_REF_Model_Content!$B$704:$B$720,MATCH($A217,_REF_Model_Content!$A$704:$A$720,0)),"")</f>
        <v>1.8</v>
      </c>
      <c r="E217" s="1">
        <f>IFERROR(ROUND(MIN(5,$D217+_REF_Model_Content!$B$731),2),"")</f>
        <v>2.5</v>
      </c>
      <c r="F217" s="1">
        <f t="shared" ref="F217:F233" si="7">IF($B217="","",ROUND(IF($B217&lt;=$C217,25*$B217/MAX($C217,0.1),IF($B217&lt;=$D217,25+25*($B217-$C217)/MAX($D217-$C217,0.1),IF($B217&lt;=$E217,50+25*($B217-$D217)/MAX($E217-$D217,0.1),MIN(99,75+25*($B217-$E217)/MAX(5-$E217,0.1))))),0))</f>
        <v>0</v>
      </c>
      <c r="G217" s="1" t="str">
        <f t="shared" ref="G217:G233" si="8">IF($B8="","",IF($B8&lt;$C8,"Bottom quartile",IF($B8&lt;$D8,"Below median",IF($B8&lt;=$E8,"Above median","Top quartile"))))</f>
        <v>Top quartile</v>
      </c>
      <c r="H217" s="1">
        <f>IFERROR(_DATA_Dashboard_Facts!$F$300,"")</f>
        <v>0</v>
      </c>
      <c r="I217" s="1" t="str">
        <f>IFERROR(ROUND(MAX(0,MIN(5,MIN(MIN(5,$E8+0.5),MAX(IFERROR(_DATA_Dashboard_Facts!$R$300,2),$D8+_REF_Model_Content!$B$33+_REF_Model_Content!$B$34*(IFERROR(_DATA_Dashboard_Facts!$H$300,1)-1)))+IFERROR(VLOOKUP('Company Profile'!$B$35,_CONFIG_Model_Settings!$A$11:$B$13,2,0),0))),2),"")</f>
        <v/>
      </c>
      <c r="J217" s="1">
        <f t="shared" ref="J217:J233" si="9">IF(OR($B8="",$I8=""),"",MAX(0,ROUND(N($I8)-N($B8),2)))</f>
        <v>89</v>
      </c>
      <c r="K217" s="1" t="str">
        <f>IFERROR(IF($B8="","",IF($B8&lt;$C8,"Under-invested vs peers",IF($B8&gt;$I8+_REF_Model_Content!$B$35,IF(IFERROR(_DATA_Dashboard_Facts!$H$300,1)&lt;cfg_AboveOptimumRatio,"Above optimum - check cost","Strength"),IF($B8&lt;$I8,"Below optimum","On target")))),"")</f>
        <v/>
      </c>
    </row>
    <row r="218" spans="1:11">
      <c r="A218" s="1" t="str">
        <f>_DATA_Dashboard_Facts!$A$301</f>
        <v>Strategy GTM</v>
      </c>
      <c r="B218" s="1">
        <f>IFERROR(INDEX(_DATA_Dashboard_Facts!$H$5:$H$21,MATCH($A218,_DATA_Dashboard_Facts!$A$5:$A$21,0)),"")</f>
        <v>0</v>
      </c>
      <c r="C218" s="1">
        <f>IFERROR(ROUND(MAX(0.2,$D218-_REF_Model_Content!$B$731),2),"")</f>
        <v>1.7</v>
      </c>
      <c r="D218" s="1">
        <f>IFERROR(INDEX(_REF_Model_Content!$B$704:$B$720,MATCH($A218,_REF_Model_Content!$A$704:$A$720,0)),"")</f>
        <v>2.4</v>
      </c>
      <c r="E218" s="1">
        <f>IFERROR(ROUND(MIN(5,$D218+_REF_Model_Content!$B$731),2),"")</f>
        <v>3.1</v>
      </c>
      <c r="F218" s="1">
        <f t="shared" si="7"/>
        <v>0</v>
      </c>
      <c r="G218" s="1" t="str">
        <f t="shared" si="8"/>
        <v>Top quartile</v>
      </c>
      <c r="H218" s="1">
        <f>IFERROR(_DATA_Dashboard_Facts!$F$301,"")</f>
        <v>0</v>
      </c>
      <c r="I218" s="1" t="str">
        <f>IFERROR(ROUND(MAX(0,MIN(5,MIN(MIN(5,$E9+0.5),MAX(IFERROR(_DATA_Dashboard_Facts!$R$301,2),$D9+_REF_Model_Content!$B$33+_REF_Model_Content!$B$34*(IFERROR(_DATA_Dashboard_Facts!$H$301,1)-1)))+IFERROR(VLOOKUP('Company Profile'!$B$35,_CONFIG_Model_Settings!$A$11:$B$13,2,0),0))),2),"")</f>
        <v/>
      </c>
      <c r="J218" s="1">
        <f t="shared" si="9"/>
        <v>88</v>
      </c>
      <c r="K218" s="1" t="str">
        <f>IFERROR(IF($B9="","",IF($B9&lt;$C9,"Under-invested vs peers",IF($B9&gt;$I9+_REF_Model_Content!$B$35,IF(IFERROR(_DATA_Dashboard_Facts!$H$301,1)&lt;cfg_AboveOptimumRatio,"Above optimum - check cost","Strength"),IF($B9&lt;$I9,"Below optimum","On target")))),"")</f>
        <v/>
      </c>
    </row>
    <row r="219" spans="1:11">
      <c r="A219" s="1" t="str">
        <f>_DATA_Dashboard_Facts!$A$302</f>
        <v>Governance Crisis</v>
      </c>
      <c r="B219" s="1">
        <f>IFERROR(INDEX(_DATA_Dashboard_Facts!$H$5:$H$21,MATCH($A219,_DATA_Dashboard_Facts!$A$5:$A$21,0)),"")</f>
        <v>0</v>
      </c>
      <c r="C219" s="1">
        <f>IFERROR(ROUND(MAX(0.2,$D219-_REF_Model_Content!$B$731),2),"")</f>
        <v>1.1000000000000001</v>
      </c>
      <c r="D219" s="1">
        <f>IFERROR(INDEX(_REF_Model_Content!$B$704:$B$720,MATCH($A219,_REF_Model_Content!$A$704:$A$720,0)),"")</f>
        <v>1.8</v>
      </c>
      <c r="E219" s="1">
        <f>IFERROR(ROUND(MIN(5,$D219+_REF_Model_Content!$B$731),2),"")</f>
        <v>2.5</v>
      </c>
      <c r="F219" s="1">
        <f t="shared" si="7"/>
        <v>0</v>
      </c>
      <c r="G219" s="1" t="str">
        <f t="shared" si="8"/>
        <v>Top quartile</v>
      </c>
      <c r="H219" s="1">
        <f>IFERROR(_DATA_Dashboard_Facts!$F$302,"")</f>
        <v>0</v>
      </c>
      <c r="I219" s="1" t="str">
        <f>IFERROR(ROUND(MAX(0,MIN(5,MIN(MIN(5,$E10+0.5),MAX(IFERROR(_DATA_Dashboard_Facts!$R$302,2),$D10+_REF_Model_Content!$B$33+_REF_Model_Content!$B$34*(IFERROR(_DATA_Dashboard_Facts!$H$302,1)-1)))+IFERROR(VLOOKUP('Company Profile'!$B$35,_CONFIG_Model_Settings!$A$11:$B$13,2,0),0))),2),"")</f>
        <v/>
      </c>
      <c r="J219" s="1">
        <f t="shared" si="9"/>
        <v>73</v>
      </c>
      <c r="K219" s="1" t="str">
        <f>IFERROR(IF($B10="","",IF($B10&lt;$C10,"Under-invested vs peers",IF($B10&gt;$I10+_REF_Model_Content!$B$35,IF(IFERROR(_DATA_Dashboard_Facts!$H$302,1)&lt;cfg_AboveOptimumRatio,"Above optimum - check cost","Strength"),IF($B10&lt;$I10,"Below optimum","On target")))),"")</f>
        <v/>
      </c>
    </row>
    <row r="220" spans="1:11">
      <c r="A220" s="1" t="str">
        <f>_DATA_Dashboard_Facts!$A$303</f>
        <v>HR Workforce</v>
      </c>
      <c r="B220" s="1">
        <f>IFERROR(INDEX(_DATA_Dashboard_Facts!$H$5:$H$21,MATCH($A220,_DATA_Dashboard_Facts!$A$5:$A$21,0)),"")</f>
        <v>0</v>
      </c>
      <c r="C220" s="1">
        <f>IFERROR(ROUND(MAX(0.2,$D220-_REF_Model_Content!$B$731),2),"")</f>
        <v>1.7</v>
      </c>
      <c r="D220" s="1">
        <f>IFERROR(INDEX(_REF_Model_Content!$B$704:$B$720,MATCH($A220,_REF_Model_Content!$A$704:$A$720,0)),"")</f>
        <v>2.4</v>
      </c>
      <c r="E220" s="1">
        <f>IFERROR(ROUND(MIN(5,$D220+_REF_Model_Content!$B$731),2),"")</f>
        <v>3.1</v>
      </c>
      <c r="F220" s="1">
        <f t="shared" si="7"/>
        <v>0</v>
      </c>
      <c r="G220" s="1" t="str">
        <f t="shared" si="8"/>
        <v>Top quartile</v>
      </c>
      <c r="H220" s="1">
        <f>IFERROR(_DATA_Dashboard_Facts!$F$303,"")</f>
        <v>0</v>
      </c>
      <c r="I220" s="1" t="str">
        <f>IFERROR(ROUND(MAX(0,MIN(5,MIN(MIN(5,$E11+0.5),MAX(IFERROR(_DATA_Dashboard_Facts!$R$303,2),$D11+_REF_Model_Content!$B$33+_REF_Model_Content!$B$34*(IFERROR(_DATA_Dashboard_Facts!$H$303,1)-1)))+IFERROR(VLOOKUP('Company Profile'!$B$35,_CONFIG_Model_Settings!$A$11:$B$13,2,0),0))),2),"")</f>
        <v/>
      </c>
      <c r="J220" s="1">
        <f t="shared" si="9"/>
        <v>102</v>
      </c>
      <c r="K220" s="1" t="str">
        <f>IFERROR(IF($B11="","",IF($B11&lt;$C11,"Under-invested vs peers",IF($B11&gt;$I11+_REF_Model_Content!$B$35,IF(IFERROR(_DATA_Dashboard_Facts!$H$303,1)&lt;cfg_AboveOptimumRatio,"Above optimum - check cost","Strength"),IF($B11&lt;$I11,"Below optimum","On target")))),"")</f>
        <v/>
      </c>
    </row>
    <row r="221" spans="1:11">
      <c r="A221" s="1" t="str">
        <f>_DATA_Dashboard_Facts!$A$304</f>
        <v>Finance Procurement</v>
      </c>
      <c r="B221" s="1">
        <f>IFERROR(INDEX(_DATA_Dashboard_Facts!$H$5:$H$21,MATCH($A221,_DATA_Dashboard_Facts!$A$5:$A$21,0)),"")</f>
        <v>0</v>
      </c>
      <c r="C221" s="1">
        <f>IFERROR(ROUND(MAX(0.2,$D221-_REF_Model_Content!$B$731),2),"")</f>
        <v>2.2000000000000002</v>
      </c>
      <c r="D221" s="1">
        <f>IFERROR(INDEX(_REF_Model_Content!$B$704:$B$720,MATCH($A221,_REF_Model_Content!$A$704:$A$720,0)),"")</f>
        <v>2.9</v>
      </c>
      <c r="E221" s="1">
        <f>IFERROR(ROUND(MIN(5,$D221+_REF_Model_Content!$B$731),2),"")</f>
        <v>3.6</v>
      </c>
      <c r="F221" s="1">
        <f t="shared" si="7"/>
        <v>0</v>
      </c>
      <c r="G221" s="1" t="str">
        <f t="shared" si="8"/>
        <v>Top quartile</v>
      </c>
      <c r="H221" s="1">
        <f>IFERROR(_DATA_Dashboard_Facts!$F$304,"")</f>
        <v>0</v>
      </c>
      <c r="I221" s="1" t="str">
        <f>IFERROR(ROUND(MAX(0,MIN(5,MIN(MIN(5,$E12+0.5),MAX(IFERROR(_DATA_Dashboard_Facts!$R$304,2),$D12+_REF_Model_Content!$B$33+_REF_Model_Content!$B$34*(IFERROR(_DATA_Dashboard_Facts!$H$304,1)-1)))+IFERROR(VLOOKUP('Company Profile'!$B$35,_CONFIG_Model_Settings!$A$11:$B$13,2,0),0))),2),"")</f>
        <v/>
      </c>
      <c r="J221" s="1">
        <f t="shared" si="9"/>
        <v>85</v>
      </c>
      <c r="K221" s="1" t="str">
        <f>IFERROR(IF($B12="","",IF($B12&lt;$C12,"Under-invested vs peers",IF($B12&gt;$I12+_REF_Model_Content!$B$35,IF(IFERROR(_DATA_Dashboard_Facts!$H$304,1)&lt;cfg_AboveOptimumRatio,"Above optimum - check cost","Strength"),IF($B12&lt;$I12,"Below optimum","On target")))),"")</f>
        <v/>
      </c>
    </row>
    <row r="222" spans="1:11">
      <c r="A222" s="1" t="str">
        <f>_DATA_Dashboard_Facts!$A$305</f>
        <v>Legal Risk</v>
      </c>
      <c r="B222" s="1">
        <f>IFERROR(INDEX(_DATA_Dashboard_Facts!$H$5:$H$21,MATCH($A222,_DATA_Dashboard_Facts!$A$5:$A$21,0)),"")</f>
        <v>0</v>
      </c>
      <c r="C222" s="1">
        <f>IFERROR(ROUND(MAX(0.2,$D222-_REF_Model_Content!$B$731),2),"")</f>
        <v>1.8</v>
      </c>
      <c r="D222" s="1">
        <f>IFERROR(INDEX(_REF_Model_Content!$B$704:$B$720,MATCH($A222,_REF_Model_Content!$A$704:$A$720,0)),"")</f>
        <v>2.5</v>
      </c>
      <c r="E222" s="1">
        <f>IFERROR(ROUND(MIN(5,$D222+_REF_Model_Content!$B$731),2),"")</f>
        <v>3.2</v>
      </c>
      <c r="F222" s="1">
        <f t="shared" si="7"/>
        <v>0</v>
      </c>
      <c r="G222" s="1" t="str">
        <f t="shared" si="8"/>
        <v>Top quartile</v>
      </c>
      <c r="H222" s="1">
        <f>IFERROR(_DATA_Dashboard_Facts!$F$305,"")</f>
        <v>0</v>
      </c>
      <c r="I222" s="1" t="str">
        <f>IFERROR(ROUND(MAX(0,MIN(5,MIN(MIN(5,$E13+0.5),MAX(IFERROR(_DATA_Dashboard_Facts!$R$305,2),$D13+_REF_Model_Content!$B$33+_REF_Model_Content!$B$34*(IFERROR(_DATA_Dashboard_Facts!$H$305,1)-1)))+IFERROR(VLOOKUP('Company Profile'!$B$35,_CONFIG_Model_Settings!$A$11:$B$13,2,0),0))),2),"")</f>
        <v/>
      </c>
      <c r="J222" s="1">
        <f t="shared" si="9"/>
        <v>101</v>
      </c>
      <c r="K222" s="1" t="str">
        <f>IFERROR(IF($B13="","",IF($B13&lt;$C13,"Under-invested vs peers",IF($B13&gt;$I13+_REF_Model_Content!$B$35,IF(IFERROR(_DATA_Dashboard_Facts!$H$305,1)&lt;cfg_AboveOptimumRatio,"Above optimum - check cost","Strength"),IF($B13&lt;$I13,"Below optimum","On target")))),"")</f>
        <v/>
      </c>
    </row>
    <row r="223" spans="1:11">
      <c r="A223" s="1" t="str">
        <f>_DATA_Dashboard_Facts!$A$306</f>
        <v>Physical Safety</v>
      </c>
      <c r="B223" s="1">
        <f>IFERROR(INDEX(_DATA_Dashboard_Facts!$H$5:$H$21,MATCH($A223,_DATA_Dashboard_Facts!$A$5:$A$21,0)),"")</f>
        <v>0</v>
      </c>
      <c r="C223" s="1">
        <f>IFERROR(ROUND(MAX(0.2,$D223-_REF_Model_Content!$B$731),2),"")</f>
        <v>2.1</v>
      </c>
      <c r="D223" s="1">
        <f>IFERROR(INDEX(_REF_Model_Content!$B$704:$B$720,MATCH($A223,_REF_Model_Content!$A$704:$A$720,0)),"")</f>
        <v>2.8</v>
      </c>
      <c r="E223" s="1">
        <f>IFERROR(ROUND(MIN(5,$D223+_REF_Model_Content!$B$731),2),"")</f>
        <v>3.5</v>
      </c>
      <c r="F223" s="1">
        <f t="shared" si="7"/>
        <v>0</v>
      </c>
      <c r="G223" s="1" t="str">
        <f t="shared" si="8"/>
        <v>Top quartile</v>
      </c>
      <c r="H223" s="1">
        <f>IFERROR(_DATA_Dashboard_Facts!$F$306,"")</f>
        <v>0</v>
      </c>
      <c r="I223" s="1" t="str">
        <f>IFERROR(ROUND(MAX(0,MIN(5,MIN(MIN(5,$E14+0.5),MAX(IFERROR(_DATA_Dashboard_Facts!$R$306,2),$D14+_REF_Model_Content!$B$33+_REF_Model_Content!$B$34*(IFERROR(_DATA_Dashboard_Facts!$H$306,1)-1)))+IFERROR(VLOOKUP('Company Profile'!$B$35,_CONFIG_Model_Settings!$A$11:$B$13,2,0),0))),2),"")</f>
        <v/>
      </c>
      <c r="J223" s="1">
        <f t="shared" si="9"/>
        <v>99</v>
      </c>
      <c r="K223" s="1" t="str">
        <f>IFERROR(IF($B14="","",IF($B14&lt;$C14,"Under-invested vs peers",IF($B14&gt;$I14+_REF_Model_Content!$B$35,IF(IFERROR(_DATA_Dashboard_Facts!$H$306,1)&lt;cfg_AboveOptimumRatio,"Above optimum - check cost","Strength"),IF($B14&lt;$I14,"Below optimum","On target")))),"")</f>
        <v/>
      </c>
    </row>
    <row r="224" spans="1:11">
      <c r="A224" s="1" t="str">
        <f>_DATA_Dashboard_Facts!$A$307</f>
        <v>Delivery Ops</v>
      </c>
      <c r="B224" s="1">
        <f>IFERROR(INDEX(_DATA_Dashboard_Facts!$H$5:$H$21,MATCH($A224,_DATA_Dashboard_Facts!$A$5:$A$21,0)),"")</f>
        <v>0</v>
      </c>
      <c r="C224" s="1">
        <f>IFERROR(ROUND(MAX(0.2,$D224-_REF_Model_Content!$B$731),2),"")</f>
        <v>2</v>
      </c>
      <c r="D224" s="1">
        <f>IFERROR(INDEX(_REF_Model_Content!$B$704:$B$720,MATCH($A224,_REF_Model_Content!$A$704:$A$720,0)),"")</f>
        <v>2.7</v>
      </c>
      <c r="E224" s="1">
        <f>IFERROR(ROUND(MIN(5,$D224+_REF_Model_Content!$B$731),2),"")</f>
        <v>3.4</v>
      </c>
      <c r="F224" s="1">
        <f t="shared" si="7"/>
        <v>0</v>
      </c>
      <c r="G224" s="1" t="str">
        <f t="shared" si="8"/>
        <v>Top quartile</v>
      </c>
      <c r="H224" s="1">
        <f>IFERROR(_DATA_Dashboard_Facts!$F$307,"")</f>
        <v>0</v>
      </c>
      <c r="I224" s="1" t="str">
        <f>IFERROR(ROUND(MAX(0,MIN(5,MIN(MIN(5,$E15+0.5),MAX(IFERROR(_DATA_Dashboard_Facts!$R$307,2),$D15+_REF_Model_Content!$B$33+_REF_Model_Content!$B$34*(IFERROR(_DATA_Dashboard_Facts!$H$307,1)-1)))+IFERROR(VLOOKUP('Company Profile'!$B$35,_CONFIG_Model_Settings!$A$11:$B$13,2,0),0))),2),"")</f>
        <v/>
      </c>
      <c r="J224" s="1">
        <f t="shared" si="9"/>
        <v>75</v>
      </c>
      <c r="K224" s="1" t="str">
        <f>IFERROR(IF($B15="","",IF($B15&lt;$C15,"Under-invested vs peers",IF($B15&gt;$I15+_REF_Model_Content!$B$35,IF(IFERROR(_DATA_Dashboard_Facts!$H$307,1)&lt;cfg_AboveOptimumRatio,"Above optimum - check cost","Strength"),IF($B15&lt;$I15,"Below optimum","On target")))),"")</f>
        <v/>
      </c>
    </row>
    <row r="225" spans="1:11">
      <c r="A225" s="1" t="str">
        <f>_DATA_Dashboard_Facts!$A$308</f>
        <v>Supply Chain</v>
      </c>
      <c r="B225" s="1">
        <f>IFERROR(INDEX(_DATA_Dashboard_Facts!$H$5:$H$21,MATCH($A225,_DATA_Dashboard_Facts!$A$5:$A$21,0)),"")</f>
        <v>0</v>
      </c>
      <c r="C225" s="1">
        <f>IFERROR(ROUND(MAX(0.2,$D225-_REF_Model_Content!$B$731),2),"")</f>
        <v>1.5</v>
      </c>
      <c r="D225" s="1">
        <f>IFERROR(INDEX(_REF_Model_Content!$B$704:$B$720,MATCH($A225,_REF_Model_Content!$A$704:$A$720,0)),"")</f>
        <v>2.2000000000000002</v>
      </c>
      <c r="E225" s="1">
        <f>IFERROR(ROUND(MIN(5,$D225+_REF_Model_Content!$B$731),2),"")</f>
        <v>2.9</v>
      </c>
      <c r="F225" s="1">
        <f t="shared" si="7"/>
        <v>0</v>
      </c>
      <c r="G225" s="1" t="str">
        <f t="shared" si="8"/>
        <v>Top quartile</v>
      </c>
      <c r="H225" s="1">
        <f>IFERROR(_DATA_Dashboard_Facts!$F$308,"")</f>
        <v>0</v>
      </c>
      <c r="I225" s="1" t="str">
        <f>IFERROR(ROUND(MAX(0,MIN(5,MIN(MIN(5,$E16+0.5),MAX(IFERROR(_DATA_Dashboard_Facts!$R$308,2),$D16+_REF_Model_Content!$B$33+_REF_Model_Content!$B$34*(IFERROR(_DATA_Dashboard_Facts!$H$308,1)-1)))+IFERROR(VLOOKUP('Company Profile'!$B$35,_CONFIG_Model_Settings!$A$11:$B$13,2,0),0))),2),"")</f>
        <v/>
      </c>
      <c r="J225" s="1">
        <f t="shared" si="9"/>
        <v>47</v>
      </c>
      <c r="K225" s="1" t="str">
        <f>IFERROR(IF($B16="","",IF($B16&lt;$C16,"Under-invested vs peers",IF($B16&gt;$I16+_REF_Model_Content!$B$35,IF(IFERROR(_DATA_Dashboard_Facts!$H$308,1)&lt;cfg_AboveOptimumRatio,"Above optimum - check cost","Strength"),IF($B16&lt;$I16,"Below optimum","On target")))),"")</f>
        <v/>
      </c>
    </row>
    <row r="226" spans="1:11">
      <c r="A226" s="1" t="str">
        <f>_DATA_Dashboard_Facts!$A$309</f>
        <v>Manufacturing MES</v>
      </c>
      <c r="B226" s="1">
        <f>IFERROR(INDEX(_DATA_Dashboard_Facts!$H$5:$H$21,MATCH($A226,_DATA_Dashboard_Facts!$A$5:$A$21,0)),"")</f>
        <v>0</v>
      </c>
      <c r="C226" s="1">
        <f>IFERROR(ROUND(MAX(0.2,$D226-_REF_Model_Content!$B$731),2),"")</f>
        <v>1.8</v>
      </c>
      <c r="D226" s="1">
        <f>IFERROR(INDEX(_REF_Model_Content!$B$704:$B$720,MATCH($A226,_REF_Model_Content!$A$704:$A$720,0)),"")</f>
        <v>2.5</v>
      </c>
      <c r="E226" s="1">
        <f>IFERROR(ROUND(MIN(5,$D226+_REF_Model_Content!$B$731),2),"")</f>
        <v>3.2</v>
      </c>
      <c r="F226" s="1">
        <f t="shared" si="7"/>
        <v>0</v>
      </c>
      <c r="G226" s="1" t="str">
        <f t="shared" si="8"/>
        <v>Top quartile</v>
      </c>
      <c r="H226" s="1">
        <f>IFERROR(_DATA_Dashboard_Facts!$F$309,"")</f>
        <v>0</v>
      </c>
      <c r="I226" s="1" t="str">
        <f>IFERROR(ROUND(MAX(0,MIN(5,MIN(MIN(5,$E17+0.5),MAX(IFERROR(_DATA_Dashboard_Facts!$R$309,2),$D17+_REF_Model_Content!$B$33+_REF_Model_Content!$B$34*(IFERROR(_DATA_Dashboard_Facts!$H$309,1)-1)))+IFERROR(VLOOKUP('Company Profile'!$B$35,_CONFIG_Model_Settings!$A$11:$B$13,2,0),0))),2),"")</f>
        <v/>
      </c>
      <c r="J226" s="1">
        <f t="shared" si="9"/>
        <v>99</v>
      </c>
      <c r="K226" s="1" t="str">
        <f>IFERROR(IF($B17="","",IF($B17&lt;$C17,"Under-invested vs peers",IF($B17&gt;$I17+_REF_Model_Content!$B$35,IF(IFERROR(_DATA_Dashboard_Facts!$H$309,1)&lt;cfg_AboveOptimumRatio,"Above optimum - check cost","Strength"),IF($B17&lt;$I17,"Below optimum","On target")))),"")</f>
        <v/>
      </c>
    </row>
    <row r="227" spans="1:11">
      <c r="A227" s="1" t="str">
        <f>_DATA_Dashboard_Facts!$A$310</f>
        <v>Sales CRM</v>
      </c>
      <c r="B227" s="1">
        <f>IFERROR(INDEX(_DATA_Dashboard_Facts!$H$5:$H$21,MATCH($A227,_DATA_Dashboard_Facts!$A$5:$A$21,0)),"")</f>
        <v>0</v>
      </c>
      <c r="C227" s="1">
        <f>IFERROR(ROUND(MAX(0.2,$D227-_REF_Model_Content!$B$731),2),"")</f>
        <v>1.8</v>
      </c>
      <c r="D227" s="1">
        <f>IFERROR(INDEX(_REF_Model_Content!$B$704:$B$720,MATCH($A227,_REF_Model_Content!$A$704:$A$720,0)),"")</f>
        <v>2.5</v>
      </c>
      <c r="E227" s="1">
        <f>IFERROR(ROUND(MIN(5,$D227+_REF_Model_Content!$B$731),2),"")</f>
        <v>3.2</v>
      </c>
      <c r="F227" s="1">
        <f t="shared" si="7"/>
        <v>0</v>
      </c>
      <c r="G227" s="1" t="str">
        <f t="shared" si="8"/>
        <v>Top quartile</v>
      </c>
      <c r="H227" s="1">
        <f>IFERROR(_DATA_Dashboard_Facts!$F$310,"")</f>
        <v>0</v>
      </c>
      <c r="I227" s="1" t="str">
        <f>IFERROR(ROUND(MAX(0,MIN(5,MIN(MIN(5,$E18+0.5),MAX(IFERROR(_DATA_Dashboard_Facts!$R$310,2),$D18+_REF_Model_Content!$B$33+_REF_Model_Content!$B$34*(IFERROR(_DATA_Dashboard_Facts!$H$310,1)-1)))+IFERROR(VLOOKUP('Company Profile'!$B$35,_CONFIG_Model_Settings!$A$11:$B$13,2,0),0))),2),"")</f>
        <v/>
      </c>
      <c r="J227" s="1">
        <f t="shared" si="9"/>
        <v>79</v>
      </c>
      <c r="K227" s="1" t="str">
        <f>IFERROR(IF($B18="","",IF($B18&lt;$C18,"Under-invested vs peers",IF($B18&gt;$I18+_REF_Model_Content!$B$35,IF(IFERROR(_DATA_Dashboard_Facts!$H$310,1)&lt;cfg_AboveOptimumRatio,"Above optimum - check cost","Strength"),IF($B18&lt;$I18,"Below optimum","On target")))),"")</f>
        <v/>
      </c>
    </row>
    <row r="228" spans="1:11">
      <c r="A228" s="1" t="str">
        <f>_DATA_Dashboard_Facts!$A$311</f>
        <v>Marketing Comms</v>
      </c>
      <c r="B228" s="1">
        <f>IFERROR(INDEX(_DATA_Dashboard_Facts!$H$5:$H$21,MATCH($A228,_DATA_Dashboard_Facts!$A$5:$A$21,0)),"")</f>
        <v>0</v>
      </c>
      <c r="C228" s="1">
        <f>IFERROR(ROUND(MAX(0.2,$D228-_REF_Model_Content!$B$731),2),"")</f>
        <v>1.6</v>
      </c>
      <c r="D228" s="1">
        <f>IFERROR(INDEX(_REF_Model_Content!$B$704:$B$720,MATCH($A228,_REF_Model_Content!$A$704:$A$720,0)),"")</f>
        <v>2.2999999999999998</v>
      </c>
      <c r="E228" s="1">
        <f>IFERROR(ROUND(MIN(5,$D228+_REF_Model_Content!$B$731),2),"")</f>
        <v>3</v>
      </c>
      <c r="F228" s="1">
        <f t="shared" si="7"/>
        <v>0</v>
      </c>
      <c r="G228" s="1" t="str">
        <f t="shared" si="8"/>
        <v>Top quartile</v>
      </c>
      <c r="H228" s="1">
        <f>IFERROR(_DATA_Dashboard_Facts!$F$311,"")</f>
        <v>0</v>
      </c>
      <c r="I228" s="1" t="str">
        <f>IFERROR(ROUND(MAX(0,MIN(5,MIN(MIN(5,$E19+0.5),MAX(IFERROR(_DATA_Dashboard_Facts!$R$311,2),$D19+_REF_Model_Content!$B$33+_REF_Model_Content!$B$34*(IFERROR(_DATA_Dashboard_Facts!$H$311,1)-1)))+IFERROR(VLOOKUP('Company Profile'!$B$35,_CONFIG_Model_Settings!$A$11:$B$13,2,0),0))),2),"")</f>
        <v/>
      </c>
      <c r="J228" s="1">
        <f t="shared" si="9"/>
        <v>93</v>
      </c>
      <c r="K228" s="1" t="str">
        <f>IFERROR(IF($B19="","",IF($B19&lt;$C19,"Under-invested vs peers",IF($B19&gt;$I19+_REF_Model_Content!$B$35,IF(IFERROR(_DATA_Dashboard_Facts!$H$311,1)&lt;cfg_AboveOptimumRatio,"Above optimum - check cost","Strength"),IF($B19&lt;$I19,"Below optimum","On target")))),"")</f>
        <v/>
      </c>
    </row>
    <row r="229" spans="1:11">
      <c r="A229" s="1" t="str">
        <f>_DATA_Dashboard_Facts!$A$312</f>
        <v>IT Cloud DR</v>
      </c>
      <c r="B229" s="1">
        <f>IFERROR(INDEX(_DATA_Dashboard_Facts!$H$5:$H$21,MATCH($A229,_DATA_Dashboard_Facts!$A$5:$A$21,0)),"")</f>
        <v>0</v>
      </c>
      <c r="C229" s="1">
        <f>IFERROR(ROUND(MAX(0.2,$D229-_REF_Model_Content!$B$731),2),"")</f>
        <v>1.7</v>
      </c>
      <c r="D229" s="1">
        <f>IFERROR(INDEX(_REF_Model_Content!$B$704:$B$720,MATCH($A229,_REF_Model_Content!$A$704:$A$720,0)),"")</f>
        <v>2.4</v>
      </c>
      <c r="E229" s="1">
        <f>IFERROR(ROUND(MIN(5,$D229+_REF_Model_Content!$B$731),2),"")</f>
        <v>3.1</v>
      </c>
      <c r="F229" s="1">
        <f t="shared" si="7"/>
        <v>0</v>
      </c>
      <c r="G229" s="1" t="str">
        <f t="shared" si="8"/>
        <v>Top quartile</v>
      </c>
      <c r="H229" s="1">
        <f>IFERROR(_DATA_Dashboard_Facts!$F$312,"")</f>
        <v>0</v>
      </c>
      <c r="I229" s="1" t="str">
        <f>IFERROR(ROUND(MAX(0,MIN(5,MIN(MIN(5,$E20+0.5),MAX(IFERROR(_DATA_Dashboard_Facts!$R$312,2),$D20+_REF_Model_Content!$B$33+_REF_Model_Content!$B$34*(IFERROR(_DATA_Dashboard_Facts!$H$312,1)-1)))+IFERROR(VLOOKUP('Company Profile'!$B$35,_CONFIG_Model_Settings!$A$11:$B$13,2,0),0))),2),"")</f>
        <v/>
      </c>
      <c r="J229" s="1">
        <f t="shared" si="9"/>
        <v>109</v>
      </c>
      <c r="K229" s="1" t="str">
        <f>IFERROR(IF($B20="","",IF($B20&lt;$C20,"Under-invested vs peers",IF($B20&gt;$I20+_REF_Model_Content!$B$35,IF(IFERROR(_DATA_Dashboard_Facts!$H$312,1)&lt;cfg_AboveOptimumRatio,"Above optimum - check cost","Strength"),IF($B20&lt;$I20,"Below optimum","On target")))),"")</f>
        <v/>
      </c>
    </row>
    <row r="230" spans="1:11">
      <c r="A230" s="1" t="str">
        <f>_DATA_Dashboard_Facts!$A$313</f>
        <v>Business Systems</v>
      </c>
      <c r="B230" s="1">
        <f>IFERROR(INDEX(_DATA_Dashboard_Facts!$H$5:$H$21,MATCH($A230,_DATA_Dashboard_Facts!$A$5:$A$21,0)),"")</f>
        <v>0</v>
      </c>
      <c r="C230" s="1">
        <f>IFERROR(ROUND(MAX(0.2,$D230-_REF_Model_Content!$B$731),2),"")</f>
        <v>2</v>
      </c>
      <c r="D230" s="1">
        <f>IFERROR(INDEX(_REF_Model_Content!$B$704:$B$720,MATCH($A230,_REF_Model_Content!$A$704:$A$720,0)),"")</f>
        <v>2.7</v>
      </c>
      <c r="E230" s="1">
        <f>IFERROR(ROUND(MIN(5,$D230+_REF_Model_Content!$B$731),2),"")</f>
        <v>3.4</v>
      </c>
      <c r="F230" s="1">
        <f t="shared" si="7"/>
        <v>0</v>
      </c>
      <c r="G230" s="1" t="str">
        <f t="shared" si="8"/>
        <v>Top quartile</v>
      </c>
      <c r="H230" s="1">
        <f>IFERROR(_DATA_Dashboard_Facts!$F$313,"")</f>
        <v>0</v>
      </c>
      <c r="I230" s="1" t="str">
        <f>IFERROR(ROUND(MAX(0,MIN(5,MIN(MIN(5,$E21+0.5),MAX(IFERROR(_DATA_Dashboard_Facts!$R$313,2),$D21+_REF_Model_Content!$B$33+_REF_Model_Content!$B$34*(IFERROR(_DATA_Dashboard_Facts!$H$313,1)-1)))+IFERROR(VLOOKUP('Company Profile'!$B$35,_CONFIG_Model_Settings!$A$11:$B$13,2,0),0))),2),"")</f>
        <v/>
      </c>
      <c r="J230" s="1">
        <f t="shared" si="9"/>
        <v>63</v>
      </c>
      <c r="K230" s="1" t="str">
        <f>IFERROR(IF($B21="","",IF($B21&lt;$C21,"Under-invested vs peers",IF($B21&gt;$I21+_REF_Model_Content!$B$35,IF(IFERROR(_DATA_Dashboard_Facts!$H$313,1)&lt;cfg_AboveOptimumRatio,"Above optimum - check cost","Strength"),IF($B21&lt;$I21,"Below optimum","On target")))),"")</f>
        <v/>
      </c>
    </row>
    <row r="231" spans="1:11">
      <c r="A231" s="1" t="str">
        <f>_DATA_Dashboard_Facts!$A$314</f>
        <v>Data BI AI</v>
      </c>
      <c r="B231" s="1">
        <f>IFERROR(INDEX(_DATA_Dashboard_Facts!$H$5:$H$21,MATCH($A231,_DATA_Dashboard_Facts!$A$5:$A$21,0)),"")</f>
        <v>0</v>
      </c>
      <c r="C231" s="1">
        <f>IFERROR(ROUND(MAX(0.2,$D231-_REF_Model_Content!$B$731),2),"")</f>
        <v>1.5</v>
      </c>
      <c r="D231" s="1">
        <f>IFERROR(INDEX(_REF_Model_Content!$B$704:$B$720,MATCH($A231,_REF_Model_Content!$A$704:$A$720,0)),"")</f>
        <v>2.2000000000000002</v>
      </c>
      <c r="E231" s="1">
        <f>IFERROR(ROUND(MIN(5,$D231+_REF_Model_Content!$B$731),2),"")</f>
        <v>2.9</v>
      </c>
      <c r="F231" s="1">
        <f t="shared" si="7"/>
        <v>0</v>
      </c>
      <c r="G231" s="1" t="str">
        <f t="shared" si="8"/>
        <v/>
      </c>
      <c r="H231" s="1">
        <f>IFERROR(_DATA_Dashboard_Facts!$F$314,"")</f>
        <v>0</v>
      </c>
      <c r="I231" s="1" t="str">
        <f>IFERROR(ROUND(MAX(0,MIN(5,MIN(MIN(5,$E22+0.5),MAX(IFERROR(_DATA_Dashboard_Facts!$R$314,2),$D22+_REF_Model_Content!$B$33+_REF_Model_Content!$B$34*(IFERROR(_DATA_Dashboard_Facts!$H$314,1)-1)))+IFERROR(VLOOKUP('Company Profile'!$B$35,_CONFIG_Model_Settings!$A$11:$B$13,2,0),0))),2),"")</f>
        <v/>
      </c>
      <c r="J231" s="1" t="str">
        <f t="shared" si="9"/>
        <v/>
      </c>
      <c r="K231" s="1" t="str">
        <f>IF($B22="","",IF($B22&lt;$C22,"Under-invested vs peers",IF($B22&gt;$I22+_REF_Model_Content!$B$35,IF(IFERROR(_DATA_Dashboard_Facts!$H$314,1)&lt;cfg_AboveOptimumRatio,"Above optimum - check cost","Strength"),IF($B22&lt;$I22,"Below optimum","On target"))))</f>
        <v/>
      </c>
    </row>
    <row r="232" spans="1:11">
      <c r="A232" s="1" t="str">
        <f>_DATA_Dashboard_Facts!$A$315</f>
        <v>Cyber Privacy</v>
      </c>
      <c r="B232" s="1">
        <f>IFERROR(INDEX(_DATA_Dashboard_Facts!$H$5:$H$21,MATCH($A232,_DATA_Dashboard_Facts!$A$5:$A$21,0)),"")</f>
        <v>0</v>
      </c>
      <c r="C232" s="1">
        <f>IFERROR(ROUND(MAX(0.2,$D232-_REF_Model_Content!$B$731),2),"")</f>
        <v>1.3</v>
      </c>
      <c r="D232" s="1">
        <f>IFERROR(INDEX(_REF_Model_Content!$B$704:$B$720,MATCH($A232,_REF_Model_Content!$A$704:$A$720,0)),"")</f>
        <v>2</v>
      </c>
      <c r="E232" s="1">
        <f>IFERROR(ROUND(MIN(5,$D232+_REF_Model_Content!$B$731),2),"")</f>
        <v>2.7</v>
      </c>
      <c r="F232" s="1">
        <f t="shared" si="7"/>
        <v>0</v>
      </c>
      <c r="G232" s="1" t="str">
        <f t="shared" si="8"/>
        <v/>
      </c>
      <c r="H232" s="1">
        <f>IFERROR(_DATA_Dashboard_Facts!$F$315,"")</f>
        <v>0</v>
      </c>
      <c r="I232" s="1" t="str">
        <f>IFERROR(ROUND(MAX(0,MIN(5,MIN(MIN(5,$E23+0.5),MAX(IFERROR(_DATA_Dashboard_Facts!$R$315,2),$D23+_REF_Model_Content!$B$33+_REF_Model_Content!$B$34*(IFERROR(_DATA_Dashboard_Facts!$H$315,1)-1)))+IFERROR(VLOOKUP('Company Profile'!$B$35,_CONFIG_Model_Settings!$A$11:$B$13,2,0),0))),2),"")</f>
        <v/>
      </c>
      <c r="J232" s="1" t="str">
        <f t="shared" si="9"/>
        <v/>
      </c>
      <c r="K232" s="1" t="str">
        <f>IF($B23="","",IF($B23&lt;$C23,"Under-invested vs peers",IF($B23&gt;$I23+_REF_Model_Content!$B$35,IF(IFERROR(_DATA_Dashboard_Facts!$H$315,1)&lt;cfg_AboveOptimumRatio,"Above optimum - check cost","Strength"),IF($B23&lt;$I23,"Below optimum","On target"))))</f>
        <v/>
      </c>
    </row>
    <row r="233" spans="1:11">
      <c r="A233" s="1" t="str">
        <f>_DATA_Dashboard_Facts!$A$316</f>
        <v>Quality Portfolio</v>
      </c>
      <c r="B233" s="1">
        <f>IFERROR(INDEX(_DATA_Dashboard_Facts!$H$5:$H$21,MATCH($A233,_DATA_Dashboard_Facts!$A$5:$A$21,0)),"")</f>
        <v>0</v>
      </c>
      <c r="C233" s="1">
        <f>IFERROR(ROUND(MAX(0.2,$D233-_REF_Model_Content!$B$731),2),"")</f>
        <v>1.4</v>
      </c>
      <c r="D233" s="1">
        <f>IFERROR(INDEX(_REF_Model_Content!$B$704:$B$720,MATCH($A233,_REF_Model_Content!$A$704:$A$720,0)),"")</f>
        <v>2.1</v>
      </c>
      <c r="E233" s="1">
        <f>IFERROR(ROUND(MIN(5,$D233+_REF_Model_Content!$B$731),2),"")</f>
        <v>2.8</v>
      </c>
      <c r="F233" s="1">
        <f t="shared" si="7"/>
        <v>0</v>
      </c>
      <c r="G233" s="1" t="str">
        <f t="shared" si="8"/>
        <v/>
      </c>
      <c r="H233" s="1">
        <f>IFERROR(_DATA_Dashboard_Facts!$F$316,"")</f>
        <v>0</v>
      </c>
      <c r="I233" s="1" t="str">
        <f>IFERROR(ROUND(MAX(0,MIN(5,MIN(MIN(5,$E24+0.5),MAX(IFERROR(_DATA_Dashboard_Facts!$R$316,2),$D24+_REF_Model_Content!$B$33+_REF_Model_Content!$B$34*(IFERROR(_DATA_Dashboard_Facts!$H$316,1)-1)))+IFERROR(VLOOKUP('Company Profile'!$B$35,_CONFIG_Model_Settings!$A$11:$B$13,2,0),0))),2),"")</f>
        <v/>
      </c>
      <c r="J233" s="1" t="str">
        <f t="shared" si="9"/>
        <v/>
      </c>
      <c r="K233" s="1" t="str">
        <f>IF($B24="","",IF($B24&lt;$C24,"Under-invested vs peers",IF($B24&gt;$I24+_REF_Model_Content!$B$35,IF(IFERROR(_DATA_Dashboard_Facts!$H$316,1)&lt;cfg_AboveOptimumRatio,"Above optimum - check cost","Strength"),IF($B24&lt;$I24,"Below optimum","On target"))))</f>
        <v/>
      </c>
    </row>
    <row r="234" spans="1:11">
      <c r="A234" s="1"/>
      <c r="B234" s="1"/>
      <c r="C234" s="1"/>
      <c r="D234" s="1"/>
      <c r="E234" s="1"/>
      <c r="F234" s="1"/>
      <c r="G234" s="1"/>
      <c r="H234" s="1"/>
      <c r="I234" s="1"/>
      <c r="J234" s="1"/>
      <c r="K234" s="1"/>
    </row>
    <row r="235" spans="1:11">
      <c r="A235" s="1"/>
      <c r="B235" s="1"/>
      <c r="C235" s="1"/>
      <c r="D235" s="1"/>
      <c r="E235" s="1"/>
      <c r="F235" s="1"/>
      <c r="G235" s="1"/>
      <c r="H235" s="1"/>
      <c r="I235" s="1"/>
      <c r="J235" s="1"/>
      <c r="K235" s="1"/>
    </row>
    <row r="236" spans="1:11">
      <c r="A236" s="1" t="s">
        <v>3720</v>
      </c>
      <c r="B236" s="1"/>
      <c r="C236" s="1"/>
      <c r="D236" s="1"/>
      <c r="E236" s="1"/>
      <c r="F236" s="1"/>
      <c r="G236" s="1"/>
      <c r="H236" s="1"/>
      <c r="I236" s="1"/>
      <c r="J236" s="1"/>
      <c r="K236" s="1"/>
    </row>
    <row r="237" spans="1:11">
      <c r="A237" s="1" t="s">
        <v>3721</v>
      </c>
      <c r="B237" s="1">
        <f>COUNTIF($K$8:$K$24,"Under-invested vs peers")</f>
        <v>0</v>
      </c>
      <c r="C237" s="1"/>
      <c r="D237" s="1"/>
      <c r="E237" s="1"/>
      <c r="F237" s="1"/>
      <c r="G237" s="1"/>
      <c r="H237" s="1"/>
      <c r="I237" s="1"/>
      <c r="J237" s="1"/>
      <c r="K237" s="1"/>
    </row>
    <row r="238" spans="1:11">
      <c r="A238" s="1" t="s">
        <v>3722</v>
      </c>
      <c r="B238" s="1">
        <f>COUNTIF($K$8:$K$24,"Below optimum")+COUNTIF($K$8:$K$24,"Under-invested vs peers")</f>
        <v>0</v>
      </c>
      <c r="C238" s="1"/>
      <c r="D238" s="1"/>
      <c r="E238" s="1"/>
      <c r="F238" s="1"/>
      <c r="G238" s="1"/>
      <c r="H238" s="1"/>
      <c r="I238" s="1"/>
      <c r="J238" s="1"/>
      <c r="K238" s="1"/>
    </row>
    <row r="239" spans="1:11">
      <c r="A239" s="1" t="s">
        <v>3723</v>
      </c>
      <c r="B239" s="1">
        <f>COUNTIF($K$8:$K$24,"Above optimum - check cost")</f>
        <v>0</v>
      </c>
      <c r="C239" s="1"/>
      <c r="D239" s="1"/>
      <c r="E239" s="1"/>
      <c r="F239" s="1"/>
      <c r="G239" s="1"/>
      <c r="H239" s="1"/>
      <c r="I239" s="1"/>
      <c r="J239" s="1"/>
      <c r="K239" s="1"/>
    </row>
    <row r="240" spans="1:11">
      <c r="A240" s="1" t="s">
        <v>3724</v>
      </c>
      <c r="B240" s="1">
        <f>IFERROR(ROUND(AVERAGE($F$8:$F$24),0),"")</f>
        <v>111</v>
      </c>
      <c r="C240" s="1"/>
      <c r="D240" s="1"/>
      <c r="E240" s="1"/>
      <c r="F240" s="1"/>
      <c r="G240" s="1"/>
      <c r="H240" s="1"/>
      <c r="I240" s="1"/>
      <c r="J240" s="1"/>
      <c r="K240" s="1"/>
    </row>
    <row r="241" spans="1:11">
      <c r="A241" s="1"/>
      <c r="B241" s="1"/>
      <c r="C241" s="1"/>
      <c r="D241" s="1"/>
      <c r="E241" s="1"/>
      <c r="F241" s="1"/>
      <c r="G241" s="1"/>
      <c r="H241" s="1"/>
      <c r="I241" s="1"/>
      <c r="J241" s="1"/>
      <c r="K241" s="1"/>
    </row>
    <row r="242" spans="1:11">
      <c r="A242" s="1" t="s">
        <v>3725</v>
      </c>
      <c r="B242" s="1"/>
      <c r="C242" s="1"/>
      <c r="D242" s="1"/>
      <c r="E242" s="1"/>
      <c r="F242" s="1"/>
      <c r="G242" s="1"/>
      <c r="H242" s="1"/>
      <c r="I242" s="1"/>
      <c r="J242" s="1"/>
      <c r="K242" s="1"/>
    </row>
    <row r="243" spans="1:11">
      <c r="A243" s="1" t="s">
        <v>3726</v>
      </c>
      <c r="B243" s="1"/>
      <c r="C243" s="1"/>
      <c r="D243" s="1"/>
      <c r="E243" s="1"/>
      <c r="F243" s="1"/>
      <c r="G243" s="1"/>
      <c r="H243" s="1"/>
      <c r="I243" s="1"/>
      <c r="J243" s="1"/>
      <c r="K243" s="1"/>
    </row>
    <row r="244" spans="1:11">
      <c r="A244" s="1"/>
      <c r="B244" s="1"/>
      <c r="C244" s="1"/>
      <c r="D244" s="1"/>
      <c r="E244" s="1"/>
      <c r="F244" s="1"/>
      <c r="G244" s="1"/>
      <c r="H244" s="1"/>
      <c r="I244" s="1"/>
      <c r="J244" s="1"/>
      <c r="K244" s="1"/>
    </row>
    <row r="245" spans="1:11">
      <c r="A245" s="1" t="s">
        <v>3727</v>
      </c>
      <c r="B245" s="1"/>
      <c r="C245" s="1"/>
      <c r="D245" s="1"/>
      <c r="E245" s="1"/>
      <c r="F245" s="1"/>
      <c r="G245" s="1"/>
      <c r="H245" s="1"/>
      <c r="I245" s="1"/>
      <c r="J245" s="1"/>
      <c r="K245" s="1"/>
    </row>
    <row r="246" spans="1:11">
      <c r="A246" s="1" t="s">
        <v>3728</v>
      </c>
      <c r="B246" s="1"/>
      <c r="C246" s="1"/>
      <c r="D246" s="1"/>
      <c r="E246" s="1"/>
      <c r="F246" s="1"/>
      <c r="G246" s="1"/>
      <c r="H246" s="1"/>
      <c r="I246" s="1"/>
      <c r="J246" s="1"/>
      <c r="K246" s="1"/>
    </row>
    <row r="270" spans="1:18" ht="34.85" customHeight="1">
      <c r="A270" s="60" t="s">
        <v>3729</v>
      </c>
      <c r="B270" s="1"/>
      <c r="C270" s="1"/>
      <c r="D270" s="1"/>
      <c r="E270" s="1"/>
      <c r="F270" s="1"/>
      <c r="G270" s="1"/>
      <c r="H270" s="1"/>
      <c r="I270" s="1"/>
      <c r="J270" s="1"/>
      <c r="K270" s="1"/>
      <c r="L270" s="1"/>
      <c r="M270" s="1"/>
      <c r="N270" s="1"/>
      <c r="O270" s="1"/>
      <c r="P270" s="1"/>
      <c r="Q270" s="1"/>
      <c r="R270" s="1"/>
    </row>
    <row r="271" spans="1:18" ht="82.85" customHeight="1">
      <c r="A271" s="58" t="s">
        <v>3730</v>
      </c>
      <c r="B271" s="1"/>
      <c r="C271" s="1"/>
      <c r="D271" s="1"/>
      <c r="E271" s="1"/>
      <c r="F271" s="1"/>
      <c r="G271" s="1"/>
      <c r="H271" s="1"/>
      <c r="I271" s="1"/>
      <c r="J271" s="1"/>
      <c r="K271" s="1"/>
      <c r="L271" s="1"/>
      <c r="M271" s="1"/>
      <c r="N271" s="1"/>
      <c r="O271" s="1"/>
      <c r="P271" s="1"/>
      <c r="Q271" s="1"/>
      <c r="R271" s="1"/>
    </row>
    <row r="272" spans="1:18">
      <c r="A272" s="1"/>
      <c r="B272" s="1"/>
      <c r="C272" s="1"/>
      <c r="D272" s="1"/>
      <c r="E272" s="1"/>
      <c r="F272" s="1"/>
      <c r="G272" s="1"/>
      <c r="H272" s="1"/>
      <c r="I272" s="1"/>
      <c r="J272" s="1"/>
      <c r="K272" s="1"/>
      <c r="L272" s="1"/>
      <c r="M272" s="1"/>
      <c r="N272" s="1"/>
      <c r="O272" s="1"/>
      <c r="P272" s="1"/>
      <c r="Q272" s="1"/>
      <c r="R272" s="1"/>
    </row>
    <row r="273" spans="1:18" ht="33.9" customHeight="1">
      <c r="A273" s="66" t="s">
        <v>764</v>
      </c>
      <c r="B273" s="66" t="s">
        <v>3555</v>
      </c>
      <c r="C273" s="66" t="s">
        <v>796</v>
      </c>
      <c r="D273" s="66" t="s">
        <v>3554</v>
      </c>
      <c r="E273" s="66" t="s">
        <v>3731</v>
      </c>
      <c r="F273" s="1"/>
      <c r="G273" s="66" t="s">
        <v>3732</v>
      </c>
      <c r="H273" s="66" t="s">
        <v>3733</v>
      </c>
      <c r="I273" s="66" t="s">
        <v>796</v>
      </c>
      <c r="J273" s="66" t="s">
        <v>3734</v>
      </c>
      <c r="K273" s="1"/>
      <c r="L273" s="66" t="s">
        <v>764</v>
      </c>
      <c r="M273" s="66" t="s">
        <v>3735</v>
      </c>
      <c r="N273" s="66" t="s">
        <v>3736</v>
      </c>
      <c r="O273" s="66" t="s">
        <v>3737</v>
      </c>
      <c r="P273" s="66" t="s">
        <v>3738</v>
      </c>
      <c r="Q273" s="66" t="s">
        <v>3739</v>
      </c>
      <c r="R273" s="66" t="s">
        <v>3740</v>
      </c>
    </row>
    <row r="274" spans="1:18" ht="42.75" customHeight="1">
      <c r="A274" s="67" t="s">
        <v>815</v>
      </c>
      <c r="B274" s="68">
        <f>_DATA_Dashboard_Facts!$H$5</f>
        <v>0</v>
      </c>
      <c r="C274" s="69">
        <f>_DATA_Dashboard_Facts!$G$5</f>
        <v>0</v>
      </c>
      <c r="D274" s="69">
        <f>_DATA_Dashboard_Facts!$D$5</f>
        <v>1</v>
      </c>
      <c r="E274" s="70">
        <f>_DATA_Dashboard_Facts!$J$5+_DATA_Dashboard_Facts!$K$5</f>
        <v>19</v>
      </c>
      <c r="F274" s="67"/>
      <c r="G274" s="71" t="s">
        <v>3741</v>
      </c>
      <c r="H274" s="72">
        <f>IFERROR(SUMPRODUCT($M$5:$M$21,$N$5:$N$21)/SUM($N$5:$N$21),0)</f>
        <v>0</v>
      </c>
      <c r="I274" s="73">
        <f>IFERROR(H274/5,0)</f>
        <v>0</v>
      </c>
      <c r="J274" s="71" t="s">
        <v>3742</v>
      </c>
      <c r="K274" s="67"/>
      <c r="L274" s="67" t="s">
        <v>815</v>
      </c>
      <c r="M274" s="74">
        <f>IFERROR(SUMPRODUCT((_DATA_Assessment_Model!$H$5:$H$23&lt;&gt;"")*(_DATA_Assessment_Model!$H$5:$H$23&lt;&gt;"N/A"),IFERROR(VALUE(_DATA_Assessment_Model!$H$5:$H$23),0),_DATA_Assessment_Model!$G$5:$G$23,_DATA_Assessment_Model!$W$5:$W$23)/SUMPRODUCT((_DATA_Assessment_Model!$H$5:$H$23&lt;&gt;"")*(_DATA_Assessment_Model!$H$5:$H$23&lt;&gt;"N/A"),_DATA_Assessment_Model!$G$5:$G$23,_DATA_Assessment_Model!$W$5:$W$23),0)</f>
        <v>0</v>
      </c>
      <c r="N274" s="74">
        <f>SUMPRODUCT((_DATA_Assessment_Model!$H$5:$H$23&lt;&gt;"")*(_DATA_Assessment_Model!$H$5:$H$23&lt;&gt;"N/A"),_DATA_Assessment_Model!$G$5:$G$23,_DATA_Assessment_Model!$W$5:$W$23)</f>
        <v>345</v>
      </c>
      <c r="O274" s="74">
        <f>IFERROR(SUMPRODUCT((_DATA_Assessment_Model!$H$5:$H$23&lt;&gt;"")*(_DATA_Assessment_Model!$H$5:$H$23&lt;&gt;"N/A"),IFERROR(VALUE(_DATA_Assessment_Model!$H$5:$H$23),0),_DATA_Assessment_Model!$G$5:$G$23,_DATA_Assessment_Model!$X$5:$X$23)/SUMPRODUCT((_DATA_Assessment_Model!$H$5:$H$23&lt;&gt;"")*(_DATA_Assessment_Model!$H$5:$H$23&lt;&gt;"N/A"),_DATA_Assessment_Model!$G$5:$G$23,_DATA_Assessment_Model!$X$5:$X$23),0)</f>
        <v>0</v>
      </c>
      <c r="P274" s="74">
        <f>SUMPRODUCT((_DATA_Assessment_Model!$H$5:$H$23&lt;&gt;"")*(_DATA_Assessment_Model!$H$5:$H$23&lt;&gt;"N/A"),_DATA_Assessment_Model!$G$5:$G$23,_DATA_Assessment_Model!$X$5:$X$23)</f>
        <v>412</v>
      </c>
      <c r="Q274" s="74">
        <f>IFERROR(SUMPRODUCT((_DATA_Assessment_Model!$H$5:$H$23&lt;&gt;"")*(_DATA_Assessment_Model!$H$5:$H$23&lt;&gt;"N/A"),IFERROR(VALUE(_DATA_Assessment_Model!$H$5:$H$23),0),_DATA_Assessment_Model!$G$5:$G$23,_DATA_Assessment_Model!$Y$5:$Y$23)/SUMPRODUCT((_DATA_Assessment_Model!$H$5:$H$23&lt;&gt;"")*(_DATA_Assessment_Model!$H$5:$H$23&lt;&gt;"N/A"),_DATA_Assessment_Model!$G$5:$G$23,_DATA_Assessment_Model!$Y$5:$Y$23),0)</f>
        <v>0</v>
      </c>
      <c r="R274" s="74">
        <f>SUMPRODUCT((_DATA_Assessment_Model!$H$5:$H$23&lt;&gt;"")*(_DATA_Assessment_Model!$H$5:$H$23&lt;&gt;"N/A"),_DATA_Assessment_Model!$G$5:$G$23,_DATA_Assessment_Model!$Y$5:$Y$23)</f>
        <v>412</v>
      </c>
    </row>
    <row r="275" spans="1:18" ht="28.5" customHeight="1">
      <c r="A275" s="67" t="s">
        <v>949</v>
      </c>
      <c r="B275" s="68">
        <f>_DATA_Dashboard_Facts!$H$6</f>
        <v>0</v>
      </c>
      <c r="C275" s="69">
        <f>_DATA_Dashboard_Facts!$G$6</f>
        <v>0</v>
      </c>
      <c r="D275" s="69">
        <f>_DATA_Dashboard_Facts!$D$6</f>
        <v>1</v>
      </c>
      <c r="E275" s="70">
        <f>_DATA_Dashboard_Facts!$J$6+_DATA_Dashboard_Facts!$K$6</f>
        <v>26</v>
      </c>
      <c r="F275" s="67"/>
      <c r="G275" s="71" t="s">
        <v>3743</v>
      </c>
      <c r="H275" s="72">
        <f>IFERROR(SUMPRODUCT($O$5:$O$21,$P$5:$P$21)/SUM($P$5:$P$21),0)</f>
        <v>0</v>
      </c>
      <c r="I275" s="73">
        <f>IFERROR(H275/5,0)</f>
        <v>0</v>
      </c>
      <c r="J275" s="71" t="s">
        <v>3744</v>
      </c>
      <c r="K275" s="67"/>
      <c r="L275" s="67" t="s">
        <v>949</v>
      </c>
      <c r="M275" s="74">
        <f>IFERROR(SUMPRODUCT((_DATA_Assessment_Model!$H$24:$H$49&lt;&gt;"")*(_DATA_Assessment_Model!$H$24:$H$49&lt;&gt;"N/A"),IFERROR(VALUE(_DATA_Assessment_Model!$H$24:$H$49),0),_DATA_Assessment_Model!$G$24:$G$49,_DATA_Assessment_Model!$W$24:$W$49)/SUMPRODUCT((_DATA_Assessment_Model!$H$24:$H$49&lt;&gt;"")*(_DATA_Assessment_Model!$H$24:$H$49&lt;&gt;"N/A"),_DATA_Assessment_Model!$G$24:$G$49,_DATA_Assessment_Model!$W$24:$W$49),0)</f>
        <v>0</v>
      </c>
      <c r="N275" s="74">
        <f>SUMPRODUCT((_DATA_Assessment_Model!$H$24:$H$49&lt;&gt;"")*(_DATA_Assessment_Model!$H$24:$H$49&lt;&gt;"N/A"),_DATA_Assessment_Model!$G$24:$G$49,_DATA_Assessment_Model!$W$24:$W$49)</f>
        <v>422</v>
      </c>
      <c r="O275" s="74">
        <f>IFERROR(SUMPRODUCT((_DATA_Assessment_Model!$H$24:$H$49&lt;&gt;"")*(_DATA_Assessment_Model!$H$24:$H$49&lt;&gt;"N/A"),IFERROR(VALUE(_DATA_Assessment_Model!$H$24:$H$49),0),_DATA_Assessment_Model!$G$24:$G$49,_DATA_Assessment_Model!$X$24:$X$49)/SUMPRODUCT((_DATA_Assessment_Model!$H$24:$H$49&lt;&gt;"")*(_DATA_Assessment_Model!$H$24:$H$49&lt;&gt;"N/A"),_DATA_Assessment_Model!$G$24:$G$49,_DATA_Assessment_Model!$X$24:$X$49),0)</f>
        <v>0</v>
      </c>
      <c r="P275" s="74">
        <f>SUMPRODUCT((_DATA_Assessment_Model!$H$24:$H$49&lt;&gt;"")*(_DATA_Assessment_Model!$H$24:$H$49&lt;&gt;"N/A"),_DATA_Assessment_Model!$G$24:$G$49,_DATA_Assessment_Model!$X$24:$X$49)</f>
        <v>534</v>
      </c>
      <c r="Q275" s="74">
        <f>IFERROR(SUMPRODUCT((_DATA_Assessment_Model!$H$24:$H$49&lt;&gt;"")*(_DATA_Assessment_Model!$H$24:$H$49&lt;&gt;"N/A"),IFERROR(VALUE(_DATA_Assessment_Model!$H$24:$H$49),0),_DATA_Assessment_Model!$G$24:$G$49,_DATA_Assessment_Model!$Y$24:$Y$49)/SUMPRODUCT((_DATA_Assessment_Model!$H$24:$H$49&lt;&gt;"")*(_DATA_Assessment_Model!$H$24:$H$49&lt;&gt;"N/A"),_DATA_Assessment_Model!$G$24:$G$49,_DATA_Assessment_Model!$Y$24:$Y$49),0)</f>
        <v>0</v>
      </c>
      <c r="R275" s="74">
        <f>SUMPRODUCT((_DATA_Assessment_Model!$H$24:$H$49&lt;&gt;"")*(_DATA_Assessment_Model!$H$24:$H$49&lt;&gt;"N/A"),_DATA_Assessment_Model!$G$24:$G$49,_DATA_Assessment_Model!$Y$24:$Y$49)</f>
        <v>531</v>
      </c>
    </row>
    <row r="276" spans="1:18" ht="28.5" customHeight="1">
      <c r="A276" s="67" t="s">
        <v>1150</v>
      </c>
      <c r="B276" s="68">
        <f>_DATA_Dashboard_Facts!$H$7</f>
        <v>0</v>
      </c>
      <c r="C276" s="69">
        <f>_DATA_Dashboard_Facts!$G$7</f>
        <v>0</v>
      </c>
      <c r="D276" s="69">
        <f>_DATA_Dashboard_Facts!$D$7</f>
        <v>1</v>
      </c>
      <c r="E276" s="70">
        <f>_DATA_Dashboard_Facts!$J$7+_DATA_Dashboard_Facts!$K$7</f>
        <v>22</v>
      </c>
      <c r="F276" s="67"/>
      <c r="G276" s="71" t="s">
        <v>3745</v>
      </c>
      <c r="H276" s="72">
        <f>IFERROR(SUMPRODUCT($Q$5:$Q$21,$R$5:$R$21)/SUM($R$5:$R$21),0)</f>
        <v>0</v>
      </c>
      <c r="I276" s="73">
        <f>IFERROR(H276/5,0)</f>
        <v>0</v>
      </c>
      <c r="J276" s="71" t="s">
        <v>3746</v>
      </c>
      <c r="K276" s="67"/>
      <c r="L276" s="67" t="s">
        <v>1150</v>
      </c>
      <c r="M276" s="74">
        <f>IFERROR(SUMPRODUCT((_DATA_Assessment_Model!$H$50:$H$71&lt;&gt;"")*(_DATA_Assessment_Model!$H$50:$H$71&lt;&gt;"N/A"),IFERROR(VALUE(_DATA_Assessment_Model!$H$50:$H$71),0),_DATA_Assessment_Model!$G$50:$G$71,_DATA_Assessment_Model!$W$50:$W$71)/SUMPRODUCT((_DATA_Assessment_Model!$H$50:$H$71&lt;&gt;"")*(_DATA_Assessment_Model!$H$50:$H$71&lt;&gt;"N/A"),_DATA_Assessment_Model!$G$50:$G$71,_DATA_Assessment_Model!$W$50:$W$71),0)</f>
        <v>0</v>
      </c>
      <c r="N276" s="74">
        <f>SUMPRODUCT((_DATA_Assessment_Model!$H$50:$H$71&lt;&gt;"")*(_DATA_Assessment_Model!$H$50:$H$71&lt;&gt;"N/A"),_DATA_Assessment_Model!$G$50:$G$71,_DATA_Assessment_Model!$W$50:$W$71)</f>
        <v>400</v>
      </c>
      <c r="O276" s="74">
        <f>IFERROR(SUMPRODUCT((_DATA_Assessment_Model!$H$50:$H$71&lt;&gt;"")*(_DATA_Assessment_Model!$H$50:$H$71&lt;&gt;"N/A"),IFERROR(VALUE(_DATA_Assessment_Model!$H$50:$H$71),0),_DATA_Assessment_Model!$G$50:$G$71,_DATA_Assessment_Model!$X$50:$X$71)/SUMPRODUCT((_DATA_Assessment_Model!$H$50:$H$71&lt;&gt;"")*(_DATA_Assessment_Model!$H$50:$H$71&lt;&gt;"N/A"),_DATA_Assessment_Model!$G$50:$G$71,_DATA_Assessment_Model!$X$50:$X$71),0)</f>
        <v>0</v>
      </c>
      <c r="P276" s="74">
        <f>SUMPRODUCT((_DATA_Assessment_Model!$H$50:$H$71&lt;&gt;"")*(_DATA_Assessment_Model!$H$50:$H$71&lt;&gt;"N/A"),_DATA_Assessment_Model!$G$50:$G$71,_DATA_Assessment_Model!$X$50:$X$71)</f>
        <v>510</v>
      </c>
      <c r="Q276" s="74">
        <f>IFERROR(SUMPRODUCT((_DATA_Assessment_Model!$H$50:$H$71&lt;&gt;"")*(_DATA_Assessment_Model!$H$50:$H$71&lt;&gt;"N/A"),IFERROR(VALUE(_DATA_Assessment_Model!$H$50:$H$71),0),_DATA_Assessment_Model!$G$50:$G$71,_DATA_Assessment_Model!$Y$50:$Y$71)/SUMPRODUCT((_DATA_Assessment_Model!$H$50:$H$71&lt;&gt;"")*(_DATA_Assessment_Model!$H$50:$H$71&lt;&gt;"N/A"),_DATA_Assessment_Model!$G$50:$G$71,_DATA_Assessment_Model!$Y$50:$Y$71),0)</f>
        <v>0</v>
      </c>
      <c r="R276" s="74">
        <f>SUMPRODUCT((_DATA_Assessment_Model!$H$50:$H$71&lt;&gt;"")*(_DATA_Assessment_Model!$H$50:$H$71&lt;&gt;"N/A"),_DATA_Assessment_Model!$G$50:$G$71,_DATA_Assessment_Model!$Y$50:$Y$71)</f>
        <v>496</v>
      </c>
    </row>
    <row r="277" spans="1:18">
      <c r="A277" s="67" t="s">
        <v>1259</v>
      </c>
      <c r="B277" s="68">
        <f>_DATA_Dashboard_Facts!$H$8</f>
        <v>0</v>
      </c>
      <c r="C277" s="69">
        <f>_DATA_Dashboard_Facts!$G$8</f>
        <v>0</v>
      </c>
      <c r="D277" s="69">
        <f>_DATA_Dashboard_Facts!$D$8</f>
        <v>1</v>
      </c>
      <c r="E277" s="70">
        <f>_DATA_Dashboard_Facts!$J$8+_DATA_Dashboard_Facts!$K$8</f>
        <v>26</v>
      </c>
      <c r="F277" s="67"/>
      <c r="G277" s="67"/>
      <c r="H277" s="67"/>
      <c r="I277" s="67"/>
      <c r="J277" s="67"/>
      <c r="K277" s="67"/>
      <c r="L277" s="67" t="s">
        <v>1259</v>
      </c>
      <c r="M277" s="74">
        <f>IFERROR(SUMPRODUCT((_DATA_Assessment_Model!$H$72:$H$97&lt;&gt;"")*(_DATA_Assessment_Model!$H$72:$H$97&lt;&gt;"N/A"),IFERROR(VALUE(_DATA_Assessment_Model!$H$72:$H$97),0),_DATA_Assessment_Model!$G$72:$G$97,_DATA_Assessment_Model!$W$72:$W$97)/SUMPRODUCT((_DATA_Assessment_Model!$H$72:$H$97&lt;&gt;"")*(_DATA_Assessment_Model!$H$72:$H$97&lt;&gt;"N/A"),_DATA_Assessment_Model!$G$72:$G$97,_DATA_Assessment_Model!$W$72:$W$97),0)</f>
        <v>0</v>
      </c>
      <c r="N277" s="74">
        <f>SUMPRODUCT((_DATA_Assessment_Model!$H$72:$H$97&lt;&gt;"")*(_DATA_Assessment_Model!$H$72:$H$97&lt;&gt;"N/A"),_DATA_Assessment_Model!$G$72:$G$97,_DATA_Assessment_Model!$W$72:$W$97)</f>
        <v>453</v>
      </c>
      <c r="O277" s="74">
        <f>IFERROR(SUMPRODUCT((_DATA_Assessment_Model!$H$72:$H$97&lt;&gt;"")*(_DATA_Assessment_Model!$H$72:$H$97&lt;&gt;"N/A"),IFERROR(VALUE(_DATA_Assessment_Model!$H$72:$H$97),0),_DATA_Assessment_Model!$G$72:$G$97,_DATA_Assessment_Model!$X$72:$X$97)/SUMPRODUCT((_DATA_Assessment_Model!$H$72:$H$97&lt;&gt;"")*(_DATA_Assessment_Model!$H$72:$H$97&lt;&gt;"N/A"),_DATA_Assessment_Model!$G$72:$G$97,_DATA_Assessment_Model!$X$72:$X$97),0)</f>
        <v>0</v>
      </c>
      <c r="P277" s="74">
        <f>SUMPRODUCT((_DATA_Assessment_Model!$H$72:$H$97&lt;&gt;"")*(_DATA_Assessment_Model!$H$72:$H$97&lt;&gt;"N/A"),_DATA_Assessment_Model!$G$72:$G$97,_DATA_Assessment_Model!$X$72:$X$97)</f>
        <v>562</v>
      </c>
      <c r="Q277" s="74">
        <f>IFERROR(SUMPRODUCT((_DATA_Assessment_Model!$H$72:$H$97&lt;&gt;"")*(_DATA_Assessment_Model!$H$72:$H$97&lt;&gt;"N/A"),IFERROR(VALUE(_DATA_Assessment_Model!$H$72:$H$97),0),_DATA_Assessment_Model!$G$72:$G$97,_DATA_Assessment_Model!$Y$72:$Y$97)/SUMPRODUCT((_DATA_Assessment_Model!$H$72:$H$97&lt;&gt;"")*(_DATA_Assessment_Model!$H$72:$H$97&lt;&gt;"N/A"),_DATA_Assessment_Model!$G$72:$G$97,_DATA_Assessment_Model!$Y$72:$Y$97),0)</f>
        <v>0</v>
      </c>
      <c r="R277" s="74">
        <f>SUMPRODUCT((_DATA_Assessment_Model!$H$72:$H$97&lt;&gt;"")*(_DATA_Assessment_Model!$H$72:$H$97&lt;&gt;"N/A"),_DATA_Assessment_Model!$G$72:$G$97,_DATA_Assessment_Model!$Y$72:$Y$97)</f>
        <v>561</v>
      </c>
    </row>
    <row r="278" spans="1:18">
      <c r="A278" s="67" t="s">
        <v>1401</v>
      </c>
      <c r="B278" s="68">
        <f>_DATA_Dashboard_Facts!$H$9</f>
        <v>0</v>
      </c>
      <c r="C278" s="69">
        <f>_DATA_Dashboard_Facts!$G$9</f>
        <v>0</v>
      </c>
      <c r="D278" s="69">
        <f>_DATA_Dashboard_Facts!$D$9</f>
        <v>1</v>
      </c>
      <c r="E278" s="70">
        <f>_DATA_Dashboard_Facts!$J$9+_DATA_Dashboard_Facts!$K$9</f>
        <v>26</v>
      </c>
      <c r="F278" s="67"/>
      <c r="G278" s="67"/>
      <c r="H278" s="67"/>
      <c r="I278" s="67"/>
      <c r="J278" s="67"/>
      <c r="K278" s="67"/>
      <c r="L278" s="67" t="s">
        <v>1401</v>
      </c>
      <c r="M278" s="74">
        <f>IFERROR(SUMPRODUCT((_DATA_Assessment_Model!$H$98:$H$123&lt;&gt;"")*(_DATA_Assessment_Model!$H$98:$H$123&lt;&gt;"N/A"),IFERROR(VALUE(_DATA_Assessment_Model!$H$98:$H$123),0),_DATA_Assessment_Model!$G$98:$G$123,_DATA_Assessment_Model!$W$98:$W$123)/SUMPRODUCT((_DATA_Assessment_Model!$H$98:$H$123&lt;&gt;"")*(_DATA_Assessment_Model!$H$98:$H$123&lt;&gt;"N/A"),_DATA_Assessment_Model!$G$98:$G$123,_DATA_Assessment_Model!$W$98:$W$123),0)</f>
        <v>0</v>
      </c>
      <c r="N278" s="74">
        <f>SUMPRODUCT((_DATA_Assessment_Model!$H$98:$H$123&lt;&gt;"")*(_DATA_Assessment_Model!$H$98:$H$123&lt;&gt;"N/A"),_DATA_Assessment_Model!$G$98:$G$123,_DATA_Assessment_Model!$W$98:$W$123)</f>
        <v>459</v>
      </c>
      <c r="O278" s="74">
        <f>IFERROR(SUMPRODUCT((_DATA_Assessment_Model!$H$98:$H$123&lt;&gt;"")*(_DATA_Assessment_Model!$H$98:$H$123&lt;&gt;"N/A"),IFERROR(VALUE(_DATA_Assessment_Model!$H$98:$H$123),0),_DATA_Assessment_Model!$G$98:$G$123,_DATA_Assessment_Model!$X$98:$X$123)/SUMPRODUCT((_DATA_Assessment_Model!$H$98:$H$123&lt;&gt;"")*(_DATA_Assessment_Model!$H$98:$H$123&lt;&gt;"N/A"),_DATA_Assessment_Model!$G$98:$G$123,_DATA_Assessment_Model!$X$98:$X$123),0)</f>
        <v>0</v>
      </c>
      <c r="P278" s="74">
        <f>SUMPRODUCT((_DATA_Assessment_Model!$H$98:$H$123&lt;&gt;"")*(_DATA_Assessment_Model!$H$98:$H$123&lt;&gt;"N/A"),_DATA_Assessment_Model!$G$98:$G$123,_DATA_Assessment_Model!$X$98:$X$123)</f>
        <v>556</v>
      </c>
      <c r="Q278" s="74">
        <f>IFERROR(SUMPRODUCT((_DATA_Assessment_Model!$H$98:$H$123&lt;&gt;"")*(_DATA_Assessment_Model!$H$98:$H$123&lt;&gt;"N/A"),IFERROR(VALUE(_DATA_Assessment_Model!$H$98:$H$123),0),_DATA_Assessment_Model!$G$98:$G$123,_DATA_Assessment_Model!$Y$98:$Y$123)/SUMPRODUCT((_DATA_Assessment_Model!$H$98:$H$123&lt;&gt;"")*(_DATA_Assessment_Model!$H$98:$H$123&lt;&gt;"N/A"),_DATA_Assessment_Model!$G$98:$G$123,_DATA_Assessment_Model!$Y$98:$Y$123),0)</f>
        <v>0</v>
      </c>
      <c r="R278" s="74">
        <f>SUMPRODUCT((_DATA_Assessment_Model!$H$98:$H$123&lt;&gt;"")*(_DATA_Assessment_Model!$H$98:$H$123&lt;&gt;"N/A"),_DATA_Assessment_Model!$G$98:$G$123,_DATA_Assessment_Model!$Y$98:$Y$123)</f>
        <v>559</v>
      </c>
    </row>
    <row r="279" spans="1:18">
      <c r="A279" s="67" t="s">
        <v>1551</v>
      </c>
      <c r="B279" s="68">
        <f>_DATA_Dashboard_Facts!$H$10</f>
        <v>0</v>
      </c>
      <c r="C279" s="69">
        <f>_DATA_Dashboard_Facts!$G$10</f>
        <v>0</v>
      </c>
      <c r="D279" s="69">
        <f>_DATA_Dashboard_Facts!$D$10</f>
        <v>1</v>
      </c>
      <c r="E279" s="70">
        <f>_DATA_Dashboard_Facts!$J$10+_DATA_Dashboard_Facts!$K$10</f>
        <v>21</v>
      </c>
      <c r="F279" s="67"/>
      <c r="G279" s="67"/>
      <c r="H279" s="67"/>
      <c r="I279" s="67"/>
      <c r="J279" s="67"/>
      <c r="K279" s="67"/>
      <c r="L279" s="67" t="s">
        <v>1551</v>
      </c>
      <c r="M279" s="74">
        <f>IFERROR(SUMPRODUCT((_DATA_Assessment_Model!$H$124:$H$144&lt;&gt;"")*(_DATA_Assessment_Model!$H$124:$H$144&lt;&gt;"N/A"),IFERROR(VALUE(_DATA_Assessment_Model!$H$124:$H$144),0),_DATA_Assessment_Model!$G$124:$G$144,_DATA_Assessment_Model!$W$124:$W$144)/SUMPRODUCT((_DATA_Assessment_Model!$H$124:$H$144&lt;&gt;"")*(_DATA_Assessment_Model!$H$124:$H$144&lt;&gt;"N/A"),_DATA_Assessment_Model!$G$124:$G$144,_DATA_Assessment_Model!$W$124:$W$144),0)</f>
        <v>0</v>
      </c>
      <c r="N279" s="74">
        <f>SUMPRODUCT((_DATA_Assessment_Model!$H$124:$H$144&lt;&gt;"")*(_DATA_Assessment_Model!$H$124:$H$144&lt;&gt;"N/A"),_DATA_Assessment_Model!$G$124:$G$144,_DATA_Assessment_Model!$W$124:$W$144)</f>
        <v>464</v>
      </c>
      <c r="O279" s="74">
        <f>IFERROR(SUMPRODUCT((_DATA_Assessment_Model!$H$124:$H$144&lt;&gt;"")*(_DATA_Assessment_Model!$H$124:$H$144&lt;&gt;"N/A"),IFERROR(VALUE(_DATA_Assessment_Model!$H$124:$H$144),0),_DATA_Assessment_Model!$G$124:$G$144,_DATA_Assessment_Model!$X$124:$X$144)/SUMPRODUCT((_DATA_Assessment_Model!$H$124:$H$144&lt;&gt;"")*(_DATA_Assessment_Model!$H$124:$H$144&lt;&gt;"N/A"),_DATA_Assessment_Model!$G$124:$G$144,_DATA_Assessment_Model!$X$124:$X$144),0)</f>
        <v>0</v>
      </c>
      <c r="P279" s="74">
        <f>SUMPRODUCT((_DATA_Assessment_Model!$H$124:$H$144&lt;&gt;"")*(_DATA_Assessment_Model!$H$124:$H$144&lt;&gt;"N/A"),_DATA_Assessment_Model!$G$124:$G$144,_DATA_Assessment_Model!$X$124:$X$144)</f>
        <v>464</v>
      </c>
      <c r="Q279" s="74">
        <f>IFERROR(SUMPRODUCT((_DATA_Assessment_Model!$H$124:$H$144&lt;&gt;"")*(_DATA_Assessment_Model!$H$124:$H$144&lt;&gt;"N/A"),IFERROR(VALUE(_DATA_Assessment_Model!$H$124:$H$144),0),_DATA_Assessment_Model!$G$124:$G$144,_DATA_Assessment_Model!$Y$124:$Y$144)/SUMPRODUCT((_DATA_Assessment_Model!$H$124:$H$144&lt;&gt;"")*(_DATA_Assessment_Model!$H$124:$H$144&lt;&gt;"N/A"),_DATA_Assessment_Model!$G$124:$G$144,_DATA_Assessment_Model!$Y$124:$Y$144),0)</f>
        <v>0</v>
      </c>
      <c r="R279" s="74">
        <f>SUMPRODUCT((_DATA_Assessment_Model!$H$124:$H$144&lt;&gt;"")*(_DATA_Assessment_Model!$H$124:$H$144&lt;&gt;"N/A"),_DATA_Assessment_Model!$G$124:$G$144,_DATA_Assessment_Model!$Y$124:$Y$144)</f>
        <v>467</v>
      </c>
    </row>
    <row r="280" spans="1:18">
      <c r="A280" s="67" t="s">
        <v>1666</v>
      </c>
      <c r="B280" s="68">
        <f>_DATA_Dashboard_Facts!$H$11</f>
        <v>0</v>
      </c>
      <c r="C280" s="69">
        <f>_DATA_Dashboard_Facts!$G$11</f>
        <v>0</v>
      </c>
      <c r="D280" s="69">
        <f>_DATA_Dashboard_Facts!$D$11</f>
        <v>1</v>
      </c>
      <c r="E280" s="70">
        <f>_DATA_Dashboard_Facts!$J$11+_DATA_Dashboard_Facts!$K$11</f>
        <v>31</v>
      </c>
      <c r="F280" s="67"/>
      <c r="G280" s="67"/>
      <c r="H280" s="67"/>
      <c r="I280" s="67"/>
      <c r="J280" s="67"/>
      <c r="K280" s="67"/>
      <c r="L280" s="67" t="s">
        <v>1666</v>
      </c>
      <c r="M280" s="74">
        <f>IFERROR(SUMPRODUCT((_DATA_Assessment_Model!$H$145:$H$175&lt;&gt;"")*(_DATA_Assessment_Model!$H$145:$H$175&lt;&gt;"N/A"),IFERROR(VALUE(_DATA_Assessment_Model!$H$145:$H$175),0),_DATA_Assessment_Model!$G$145:$G$175,_DATA_Assessment_Model!$W$145:$W$175)/SUMPRODUCT((_DATA_Assessment_Model!$H$145:$H$175&lt;&gt;"")*(_DATA_Assessment_Model!$H$145:$H$175&lt;&gt;"N/A"),_DATA_Assessment_Model!$G$145:$G$175,_DATA_Assessment_Model!$W$145:$W$175),0)</f>
        <v>0</v>
      </c>
      <c r="N280" s="74">
        <f>SUMPRODUCT((_DATA_Assessment_Model!$H$145:$H$175&lt;&gt;"")*(_DATA_Assessment_Model!$H$145:$H$175&lt;&gt;"N/A"),_DATA_Assessment_Model!$G$145:$G$175,_DATA_Assessment_Model!$W$145:$W$175)</f>
        <v>541</v>
      </c>
      <c r="O280" s="74">
        <f>IFERROR(SUMPRODUCT((_DATA_Assessment_Model!$H$145:$H$175&lt;&gt;"")*(_DATA_Assessment_Model!$H$145:$H$175&lt;&gt;"N/A"),IFERROR(VALUE(_DATA_Assessment_Model!$H$145:$H$175),0),_DATA_Assessment_Model!$G$145:$G$175,_DATA_Assessment_Model!$X$145:$X$175)/SUMPRODUCT((_DATA_Assessment_Model!$H$145:$H$175&lt;&gt;"")*(_DATA_Assessment_Model!$H$145:$H$175&lt;&gt;"N/A"),_DATA_Assessment_Model!$G$145:$G$175,_DATA_Assessment_Model!$X$145:$X$175),0)</f>
        <v>0</v>
      </c>
      <c r="P280" s="74">
        <f>SUMPRODUCT((_DATA_Assessment_Model!$H$145:$H$175&lt;&gt;"")*(_DATA_Assessment_Model!$H$145:$H$175&lt;&gt;"N/A"),_DATA_Assessment_Model!$G$145:$G$175,_DATA_Assessment_Model!$X$145:$X$175)</f>
        <v>652</v>
      </c>
      <c r="Q280" s="74">
        <f>IFERROR(SUMPRODUCT((_DATA_Assessment_Model!$H$145:$H$175&lt;&gt;"")*(_DATA_Assessment_Model!$H$145:$H$175&lt;&gt;"N/A"),IFERROR(VALUE(_DATA_Assessment_Model!$H$145:$H$175),0),_DATA_Assessment_Model!$G$145:$G$175,_DATA_Assessment_Model!$Y$145:$Y$175)/SUMPRODUCT((_DATA_Assessment_Model!$H$145:$H$175&lt;&gt;"")*(_DATA_Assessment_Model!$H$145:$H$175&lt;&gt;"N/A"),_DATA_Assessment_Model!$G$145:$G$175,_DATA_Assessment_Model!$Y$145:$Y$175),0)</f>
        <v>0</v>
      </c>
      <c r="R280" s="74">
        <f>SUMPRODUCT((_DATA_Assessment_Model!$H$145:$H$175&lt;&gt;"")*(_DATA_Assessment_Model!$H$145:$H$175&lt;&gt;"N/A"),_DATA_Assessment_Model!$G$145:$G$175,_DATA_Assessment_Model!$Y$145:$Y$175)</f>
        <v>659</v>
      </c>
    </row>
    <row r="281" spans="1:18">
      <c r="A281" s="67" t="s">
        <v>1859</v>
      </c>
      <c r="B281" s="68">
        <f>_DATA_Dashboard_Facts!$H$12</f>
        <v>0</v>
      </c>
      <c r="C281" s="69">
        <f>_DATA_Dashboard_Facts!$G$12</f>
        <v>0</v>
      </c>
      <c r="D281" s="69">
        <f>_DATA_Dashboard_Facts!$D$12</f>
        <v>1</v>
      </c>
      <c r="E281" s="70">
        <f>_DATA_Dashboard_Facts!$J$12+_DATA_Dashboard_Facts!$K$12</f>
        <v>24</v>
      </c>
      <c r="F281" s="67"/>
      <c r="G281" s="67"/>
      <c r="H281" s="67"/>
      <c r="I281" s="67"/>
      <c r="J281" s="67"/>
      <c r="K281" s="67"/>
      <c r="L281" s="67" t="s">
        <v>1859</v>
      </c>
      <c r="M281" s="74">
        <f>IFERROR(SUMPRODUCT((_DATA_Assessment_Model!$H$176:$H$199&lt;&gt;"")*(_DATA_Assessment_Model!$H$176:$H$199&lt;&gt;"N/A"),IFERROR(VALUE(_DATA_Assessment_Model!$H$176:$H$199),0),_DATA_Assessment_Model!$G$176:$G$199,_DATA_Assessment_Model!$W$176:$W$199)/SUMPRODUCT((_DATA_Assessment_Model!$H$176:$H$199&lt;&gt;"")*(_DATA_Assessment_Model!$H$176:$H$199&lt;&gt;"N/A"),_DATA_Assessment_Model!$G$176:$G$199,_DATA_Assessment_Model!$W$176:$W$199),0)</f>
        <v>0</v>
      </c>
      <c r="N281" s="74">
        <f>SUMPRODUCT((_DATA_Assessment_Model!$H$176:$H$199&lt;&gt;"")*(_DATA_Assessment_Model!$H$176:$H$199&lt;&gt;"N/A"),_DATA_Assessment_Model!$G$176:$G$199,_DATA_Assessment_Model!$W$176:$W$199)</f>
        <v>441</v>
      </c>
      <c r="O281" s="74">
        <f>IFERROR(SUMPRODUCT((_DATA_Assessment_Model!$H$176:$H$199&lt;&gt;"")*(_DATA_Assessment_Model!$H$176:$H$199&lt;&gt;"N/A"),IFERROR(VALUE(_DATA_Assessment_Model!$H$176:$H$199),0),_DATA_Assessment_Model!$G$176:$G$199,_DATA_Assessment_Model!$X$176:$X$199)/SUMPRODUCT((_DATA_Assessment_Model!$H$176:$H$199&lt;&gt;"")*(_DATA_Assessment_Model!$H$176:$H$199&lt;&gt;"N/A"),_DATA_Assessment_Model!$G$176:$G$199,_DATA_Assessment_Model!$X$176:$X$199),0)</f>
        <v>0</v>
      </c>
      <c r="P281" s="74">
        <f>SUMPRODUCT((_DATA_Assessment_Model!$H$176:$H$199&lt;&gt;"")*(_DATA_Assessment_Model!$H$176:$H$199&lt;&gt;"N/A"),_DATA_Assessment_Model!$G$176:$G$199,_DATA_Assessment_Model!$X$176:$X$199)</f>
        <v>545</v>
      </c>
      <c r="Q281" s="74">
        <f>IFERROR(SUMPRODUCT((_DATA_Assessment_Model!$H$176:$H$199&lt;&gt;"")*(_DATA_Assessment_Model!$H$176:$H$199&lt;&gt;"N/A"),IFERROR(VALUE(_DATA_Assessment_Model!$H$176:$H$199),0),_DATA_Assessment_Model!$G$176:$G$199,_DATA_Assessment_Model!$Y$176:$Y$199)/SUMPRODUCT((_DATA_Assessment_Model!$H$176:$H$199&lt;&gt;"")*(_DATA_Assessment_Model!$H$176:$H$199&lt;&gt;"N/A"),_DATA_Assessment_Model!$G$176:$G$199,_DATA_Assessment_Model!$Y$176:$Y$199),0)</f>
        <v>0</v>
      </c>
      <c r="R281" s="74">
        <f>SUMPRODUCT((_DATA_Assessment_Model!$H$176:$H$199&lt;&gt;"")*(_DATA_Assessment_Model!$H$176:$H$199&lt;&gt;"N/A"),_DATA_Assessment_Model!$G$176:$G$199,_DATA_Assessment_Model!$Y$176:$Y$199)</f>
        <v>545</v>
      </c>
    </row>
    <row r="282" spans="1:18">
      <c r="A282" s="67" t="s">
        <v>1987</v>
      </c>
      <c r="B282" s="68">
        <f>_DATA_Dashboard_Facts!$H$13</f>
        <v>0</v>
      </c>
      <c r="C282" s="69">
        <f>_DATA_Dashboard_Facts!$G$13</f>
        <v>0</v>
      </c>
      <c r="D282" s="69">
        <f>_DATA_Dashboard_Facts!$D$13</f>
        <v>1</v>
      </c>
      <c r="E282" s="70">
        <f>_DATA_Dashboard_Facts!$J$13+_DATA_Dashboard_Facts!$K$13</f>
        <v>29</v>
      </c>
      <c r="F282" s="67"/>
      <c r="G282" s="67"/>
      <c r="H282" s="67"/>
      <c r="I282" s="67"/>
      <c r="J282" s="67"/>
      <c r="K282" s="67"/>
      <c r="L282" s="67" t="s">
        <v>1987</v>
      </c>
      <c r="M282" s="74">
        <f>IFERROR(SUMPRODUCT((_DATA_Assessment_Model!$H$200:$H$228&lt;&gt;"")*(_DATA_Assessment_Model!$H$200:$H$228&lt;&gt;"N/A"),IFERROR(VALUE(_DATA_Assessment_Model!$H$200:$H$228),0),_DATA_Assessment_Model!$G$200:$G$228,_DATA_Assessment_Model!$W$200:$W$228)/SUMPRODUCT((_DATA_Assessment_Model!$H$200:$H$228&lt;&gt;"")*(_DATA_Assessment_Model!$H$200:$H$228&lt;&gt;"N/A"),_DATA_Assessment_Model!$G$200:$G$228,_DATA_Assessment_Model!$W$200:$W$228),0)</f>
        <v>0</v>
      </c>
      <c r="N282" s="74">
        <f>SUMPRODUCT((_DATA_Assessment_Model!$H$200:$H$228&lt;&gt;"")*(_DATA_Assessment_Model!$H$200:$H$228&lt;&gt;"N/A"),_DATA_Assessment_Model!$G$200:$G$228,_DATA_Assessment_Model!$W$200:$W$228)</f>
        <v>527</v>
      </c>
      <c r="O282" s="74">
        <f>IFERROR(SUMPRODUCT((_DATA_Assessment_Model!$H$200:$H$228&lt;&gt;"")*(_DATA_Assessment_Model!$H$200:$H$228&lt;&gt;"N/A"),IFERROR(VALUE(_DATA_Assessment_Model!$H$200:$H$228),0),_DATA_Assessment_Model!$G$200:$G$228,_DATA_Assessment_Model!$X$200:$X$228)/SUMPRODUCT((_DATA_Assessment_Model!$H$200:$H$228&lt;&gt;"")*(_DATA_Assessment_Model!$H$200:$H$228&lt;&gt;"N/A"),_DATA_Assessment_Model!$G$200:$G$228,_DATA_Assessment_Model!$X$200:$X$228),0)</f>
        <v>0</v>
      </c>
      <c r="P282" s="74">
        <f>SUMPRODUCT((_DATA_Assessment_Model!$H$200:$H$228&lt;&gt;"")*(_DATA_Assessment_Model!$H$200:$H$228&lt;&gt;"N/A"),_DATA_Assessment_Model!$G$200:$G$228,_DATA_Assessment_Model!$X$200:$X$228)</f>
        <v>643</v>
      </c>
      <c r="Q282" s="74">
        <f>IFERROR(SUMPRODUCT((_DATA_Assessment_Model!$H$200:$H$228&lt;&gt;"")*(_DATA_Assessment_Model!$H$200:$H$228&lt;&gt;"N/A"),IFERROR(VALUE(_DATA_Assessment_Model!$H$200:$H$228),0),_DATA_Assessment_Model!$G$200:$G$228,_DATA_Assessment_Model!$Y$200:$Y$228)/SUMPRODUCT((_DATA_Assessment_Model!$H$200:$H$228&lt;&gt;"")*(_DATA_Assessment_Model!$H$200:$H$228&lt;&gt;"N/A"),_DATA_Assessment_Model!$G$200:$G$228,_DATA_Assessment_Model!$Y$200:$Y$228),0)</f>
        <v>0</v>
      </c>
      <c r="R282" s="74">
        <f>SUMPRODUCT((_DATA_Assessment_Model!$H$200:$H$228&lt;&gt;"")*(_DATA_Assessment_Model!$H$200:$H$228&lt;&gt;"N/A"),_DATA_Assessment_Model!$G$200:$G$228,_DATA_Assessment_Model!$Y$200:$Y$228)</f>
        <v>638</v>
      </c>
    </row>
    <row r="283" spans="1:18">
      <c r="A283" s="67" t="s">
        <v>2145</v>
      </c>
      <c r="B283" s="68">
        <f>_DATA_Dashboard_Facts!$H$14</f>
        <v>0</v>
      </c>
      <c r="C283" s="69">
        <f>_DATA_Dashboard_Facts!$G$14</f>
        <v>0</v>
      </c>
      <c r="D283" s="69">
        <f>_DATA_Dashboard_Facts!$D$14</f>
        <v>1</v>
      </c>
      <c r="E283" s="70">
        <f>_DATA_Dashboard_Facts!$J$14+_DATA_Dashboard_Facts!$K$14</f>
        <v>28</v>
      </c>
      <c r="F283" s="67"/>
      <c r="G283" s="67"/>
      <c r="H283" s="67"/>
      <c r="I283" s="67"/>
      <c r="J283" s="67"/>
      <c r="K283" s="67"/>
      <c r="L283" s="67" t="s">
        <v>2145</v>
      </c>
      <c r="M283" s="74">
        <f>IFERROR(SUMPRODUCT((_DATA_Assessment_Model!$H$229:$H$256&lt;&gt;"")*(_DATA_Assessment_Model!$H$229:$H$256&lt;&gt;"N/A"),IFERROR(VALUE(_DATA_Assessment_Model!$H$229:$H$256),0),_DATA_Assessment_Model!$G$229:$G$256,_DATA_Assessment_Model!$W$229:$W$256)/SUMPRODUCT((_DATA_Assessment_Model!$H$229:$H$256&lt;&gt;"")*(_DATA_Assessment_Model!$H$229:$H$256&lt;&gt;"N/A"),_DATA_Assessment_Model!$G$229:$G$256,_DATA_Assessment_Model!$W$229:$W$256),0)</f>
        <v>0</v>
      </c>
      <c r="N283" s="74">
        <f>SUMPRODUCT((_DATA_Assessment_Model!$H$229:$H$256&lt;&gt;"")*(_DATA_Assessment_Model!$H$229:$H$256&lt;&gt;"N/A"),_DATA_Assessment_Model!$G$229:$G$256,_DATA_Assessment_Model!$W$229:$W$256)</f>
        <v>635</v>
      </c>
      <c r="O283" s="74">
        <f>IFERROR(SUMPRODUCT((_DATA_Assessment_Model!$H$229:$H$256&lt;&gt;"")*(_DATA_Assessment_Model!$H$229:$H$256&lt;&gt;"N/A"),IFERROR(VALUE(_DATA_Assessment_Model!$H$229:$H$256),0),_DATA_Assessment_Model!$G$229:$G$256,_DATA_Assessment_Model!$X$229:$X$256)/SUMPRODUCT((_DATA_Assessment_Model!$H$229:$H$256&lt;&gt;"")*(_DATA_Assessment_Model!$H$229:$H$256&lt;&gt;"N/A"),_DATA_Assessment_Model!$G$229:$G$256,_DATA_Assessment_Model!$X$229:$X$256),0)</f>
        <v>0</v>
      </c>
      <c r="P283" s="74">
        <f>SUMPRODUCT((_DATA_Assessment_Model!$H$229:$H$256&lt;&gt;"")*(_DATA_Assessment_Model!$H$229:$H$256&lt;&gt;"N/A"),_DATA_Assessment_Model!$G$229:$G$256,_DATA_Assessment_Model!$X$229:$X$256)</f>
        <v>635</v>
      </c>
      <c r="Q283" s="74">
        <f>IFERROR(SUMPRODUCT((_DATA_Assessment_Model!$H$229:$H$256&lt;&gt;"")*(_DATA_Assessment_Model!$H$229:$H$256&lt;&gt;"N/A"),IFERROR(VALUE(_DATA_Assessment_Model!$H$229:$H$256),0),_DATA_Assessment_Model!$G$229:$G$256,_DATA_Assessment_Model!$Y$229:$Y$256)/SUMPRODUCT((_DATA_Assessment_Model!$H$229:$H$256&lt;&gt;"")*(_DATA_Assessment_Model!$H$229:$H$256&lt;&gt;"N/A"),_DATA_Assessment_Model!$G$229:$G$256,_DATA_Assessment_Model!$Y$229:$Y$256),0)</f>
        <v>0</v>
      </c>
      <c r="R283" s="74">
        <f>SUMPRODUCT((_DATA_Assessment_Model!$H$229:$H$256&lt;&gt;"")*(_DATA_Assessment_Model!$H$229:$H$256&lt;&gt;"N/A"),_DATA_Assessment_Model!$G$229:$G$256,_DATA_Assessment_Model!$Y$229:$Y$256)</f>
        <v>635</v>
      </c>
    </row>
    <row r="284" spans="1:18">
      <c r="A284" s="67" t="s">
        <v>2286</v>
      </c>
      <c r="B284" s="68">
        <f>_DATA_Dashboard_Facts!$H$15</f>
        <v>0</v>
      </c>
      <c r="C284" s="69">
        <f>_DATA_Dashboard_Facts!$G$15</f>
        <v>0</v>
      </c>
      <c r="D284" s="69">
        <f>_DATA_Dashboard_Facts!$D$15</f>
        <v>1</v>
      </c>
      <c r="E284" s="70">
        <f>_DATA_Dashboard_Facts!$J$15+_DATA_Dashboard_Facts!$K$15</f>
        <v>24</v>
      </c>
      <c r="F284" s="67"/>
      <c r="G284" s="67"/>
      <c r="H284" s="67"/>
      <c r="I284" s="67"/>
      <c r="J284" s="67"/>
      <c r="K284" s="67"/>
      <c r="L284" s="67" t="s">
        <v>2286</v>
      </c>
      <c r="M284" s="74">
        <f>IFERROR(SUMPRODUCT((_DATA_Assessment_Model!$H$257:$H$280&lt;&gt;"")*(_DATA_Assessment_Model!$H$257:$H$280&lt;&gt;"N/A"),IFERROR(VALUE(_DATA_Assessment_Model!$H$257:$H$280),0),_DATA_Assessment_Model!$G$257:$G$280,_DATA_Assessment_Model!$W$257:$W$280)/SUMPRODUCT((_DATA_Assessment_Model!$H$257:$H$280&lt;&gt;"")*(_DATA_Assessment_Model!$H$257:$H$280&lt;&gt;"N/A"),_DATA_Assessment_Model!$G$257:$G$280,_DATA_Assessment_Model!$W$257:$W$280),0)</f>
        <v>0</v>
      </c>
      <c r="N284" s="74">
        <f>SUMPRODUCT((_DATA_Assessment_Model!$H$257:$H$280&lt;&gt;"")*(_DATA_Assessment_Model!$H$257:$H$280&lt;&gt;"N/A"),_DATA_Assessment_Model!$G$257:$G$280,_DATA_Assessment_Model!$W$257:$W$280)</f>
        <v>421</v>
      </c>
      <c r="O284" s="74">
        <f>IFERROR(SUMPRODUCT((_DATA_Assessment_Model!$H$257:$H$280&lt;&gt;"")*(_DATA_Assessment_Model!$H$257:$H$280&lt;&gt;"N/A"),IFERROR(VALUE(_DATA_Assessment_Model!$H$257:$H$280),0),_DATA_Assessment_Model!$G$257:$G$280,_DATA_Assessment_Model!$X$257:$X$280)/SUMPRODUCT((_DATA_Assessment_Model!$H$257:$H$280&lt;&gt;"")*(_DATA_Assessment_Model!$H$257:$H$280&lt;&gt;"N/A"),_DATA_Assessment_Model!$G$257:$G$280,_DATA_Assessment_Model!$X$257:$X$280),0)</f>
        <v>0</v>
      </c>
      <c r="P284" s="74">
        <f>SUMPRODUCT((_DATA_Assessment_Model!$H$257:$H$280&lt;&gt;"")*(_DATA_Assessment_Model!$H$257:$H$280&lt;&gt;"N/A"),_DATA_Assessment_Model!$G$257:$G$280,_DATA_Assessment_Model!$X$257:$X$280)</f>
        <v>473</v>
      </c>
      <c r="Q284" s="74">
        <f>IFERROR(SUMPRODUCT((_DATA_Assessment_Model!$H$257:$H$280&lt;&gt;"")*(_DATA_Assessment_Model!$H$257:$H$280&lt;&gt;"N/A"),IFERROR(VALUE(_DATA_Assessment_Model!$H$257:$H$280),0),_DATA_Assessment_Model!$G$257:$G$280,_DATA_Assessment_Model!$Y$257:$Y$280)/SUMPRODUCT((_DATA_Assessment_Model!$H$257:$H$280&lt;&gt;"")*(_DATA_Assessment_Model!$H$257:$H$280&lt;&gt;"N/A"),_DATA_Assessment_Model!$G$257:$G$280,_DATA_Assessment_Model!$Y$257:$Y$280),0)</f>
        <v>0</v>
      </c>
      <c r="R284" s="74">
        <f>SUMPRODUCT((_DATA_Assessment_Model!$H$257:$H$280&lt;&gt;"")*(_DATA_Assessment_Model!$H$257:$H$280&lt;&gt;"N/A"),_DATA_Assessment_Model!$G$257:$G$280,_DATA_Assessment_Model!$Y$257:$Y$280)</f>
        <v>486</v>
      </c>
    </row>
    <row r="285" spans="1:18">
      <c r="A285" s="67" t="s">
        <v>2473</v>
      </c>
      <c r="B285" s="68">
        <f>_DATA_Dashboard_Facts!$H$16</f>
        <v>0</v>
      </c>
      <c r="C285" s="69">
        <f>_DATA_Dashboard_Facts!$G$16</f>
        <v>0</v>
      </c>
      <c r="D285" s="69">
        <f>_DATA_Dashboard_Facts!$D$16</f>
        <v>1</v>
      </c>
      <c r="E285" s="70">
        <f>_DATA_Dashboard_Facts!$J$16+_DATA_Dashboard_Facts!$K$16</f>
        <v>16</v>
      </c>
      <c r="F285" s="67"/>
      <c r="G285" s="67"/>
      <c r="H285" s="67"/>
      <c r="I285" s="67"/>
      <c r="J285" s="67"/>
      <c r="K285" s="67"/>
      <c r="L285" s="67" t="s">
        <v>2473</v>
      </c>
      <c r="M285" s="74">
        <f>IFERROR(SUMPRODUCT((_DATA_Assessment_Model!$H$281:$H$296&lt;&gt;"")*(_DATA_Assessment_Model!$H$281:$H$296&lt;&gt;"N/A"),IFERROR(VALUE(_DATA_Assessment_Model!$H$281:$H$296),0),_DATA_Assessment_Model!$G$281:$G$296,_DATA_Assessment_Model!$W$281:$W$296)/SUMPRODUCT((_DATA_Assessment_Model!$H$281:$H$296&lt;&gt;"")*(_DATA_Assessment_Model!$H$281:$H$296&lt;&gt;"N/A"),_DATA_Assessment_Model!$G$281:$G$296,_DATA_Assessment_Model!$W$281:$W$296),0)</f>
        <v>0</v>
      </c>
      <c r="N285" s="74">
        <f>SUMPRODUCT((_DATA_Assessment_Model!$H$281:$H$296&lt;&gt;"")*(_DATA_Assessment_Model!$H$281:$H$296&lt;&gt;"N/A"),_DATA_Assessment_Model!$G$281:$G$296,_DATA_Assessment_Model!$W$281:$W$296)</f>
        <v>265</v>
      </c>
      <c r="O285" s="74">
        <f>IFERROR(SUMPRODUCT((_DATA_Assessment_Model!$H$281:$H$296&lt;&gt;"")*(_DATA_Assessment_Model!$H$281:$H$296&lt;&gt;"N/A"),IFERROR(VALUE(_DATA_Assessment_Model!$H$281:$H$296),0),_DATA_Assessment_Model!$G$281:$G$296,_DATA_Assessment_Model!$X$281:$X$296)/SUMPRODUCT((_DATA_Assessment_Model!$H$281:$H$296&lt;&gt;"")*(_DATA_Assessment_Model!$H$281:$H$296&lt;&gt;"N/A"),_DATA_Assessment_Model!$G$281:$G$296,_DATA_Assessment_Model!$X$281:$X$296),0)</f>
        <v>0</v>
      </c>
      <c r="P285" s="74">
        <f>SUMPRODUCT((_DATA_Assessment_Model!$H$281:$H$296&lt;&gt;"")*(_DATA_Assessment_Model!$H$281:$H$296&lt;&gt;"N/A"),_DATA_Assessment_Model!$G$281:$G$296,_DATA_Assessment_Model!$X$281:$X$296)</f>
        <v>315</v>
      </c>
      <c r="Q285" s="74">
        <f>IFERROR(SUMPRODUCT((_DATA_Assessment_Model!$H$281:$H$296&lt;&gt;"")*(_DATA_Assessment_Model!$H$281:$H$296&lt;&gt;"N/A"),IFERROR(VALUE(_DATA_Assessment_Model!$H$281:$H$296),0),_DATA_Assessment_Model!$G$281:$G$296,_DATA_Assessment_Model!$Y$281:$Y$296)/SUMPRODUCT((_DATA_Assessment_Model!$H$281:$H$296&lt;&gt;"")*(_DATA_Assessment_Model!$H$281:$H$296&lt;&gt;"N/A"),_DATA_Assessment_Model!$G$281:$G$296,_DATA_Assessment_Model!$Y$281:$Y$296),0)</f>
        <v>0</v>
      </c>
      <c r="R285" s="74">
        <f>SUMPRODUCT((_DATA_Assessment_Model!$H$281:$H$296&lt;&gt;"")*(_DATA_Assessment_Model!$H$281:$H$296&lt;&gt;"N/A"),_DATA_Assessment_Model!$G$281:$G$296,_DATA_Assessment_Model!$Y$281:$Y$296)</f>
        <v>315</v>
      </c>
    </row>
    <row r="286" spans="1:18">
      <c r="A286" s="67" t="s">
        <v>2588</v>
      </c>
      <c r="B286" s="68">
        <f>_DATA_Dashboard_Facts!$H$17</f>
        <v>0</v>
      </c>
      <c r="C286" s="69">
        <f>_DATA_Dashboard_Facts!$G$17</f>
        <v>0</v>
      </c>
      <c r="D286" s="69">
        <f>_DATA_Dashboard_Facts!$D$17</f>
        <v>1</v>
      </c>
      <c r="E286" s="70">
        <f>_DATA_Dashboard_Facts!$J$17+_DATA_Dashboard_Facts!$K$17</f>
        <v>28</v>
      </c>
      <c r="F286" s="67"/>
      <c r="G286" s="67"/>
      <c r="H286" s="67"/>
      <c r="I286" s="67"/>
      <c r="J286" s="67"/>
      <c r="K286" s="67"/>
      <c r="L286" s="67" t="s">
        <v>2588</v>
      </c>
      <c r="M286" s="74">
        <f>IFERROR(SUMPRODUCT((_DATA_Assessment_Model!$H$297:$H$324&lt;&gt;"")*(_DATA_Assessment_Model!$H$297:$H$324&lt;&gt;"N/A"),IFERROR(VALUE(_DATA_Assessment_Model!$H$297:$H$324),0),_DATA_Assessment_Model!$G$297:$G$324,_DATA_Assessment_Model!$W$297:$W$324)/SUMPRODUCT((_DATA_Assessment_Model!$H$297:$H$324&lt;&gt;"")*(_DATA_Assessment_Model!$H$297:$H$324&lt;&gt;"N/A"),_DATA_Assessment_Model!$G$297:$G$324,_DATA_Assessment_Model!$W$297:$W$324),0)</f>
        <v>0</v>
      </c>
      <c r="N286" s="74">
        <f>SUMPRODUCT((_DATA_Assessment_Model!$H$297:$H$324&lt;&gt;"")*(_DATA_Assessment_Model!$H$297:$H$324&lt;&gt;"N/A"),_DATA_Assessment_Model!$G$297:$G$324,_DATA_Assessment_Model!$W$297:$W$324)</f>
        <v>635</v>
      </c>
      <c r="O286" s="74">
        <f>IFERROR(SUMPRODUCT((_DATA_Assessment_Model!$H$297:$H$324&lt;&gt;"")*(_DATA_Assessment_Model!$H$297:$H$324&lt;&gt;"N/A"),IFERROR(VALUE(_DATA_Assessment_Model!$H$297:$H$324),0),_DATA_Assessment_Model!$G$297:$G$324,_DATA_Assessment_Model!$X$297:$X$324)/SUMPRODUCT((_DATA_Assessment_Model!$H$297:$H$324&lt;&gt;"")*(_DATA_Assessment_Model!$H$297:$H$324&lt;&gt;"N/A"),_DATA_Assessment_Model!$G$297:$G$324,_DATA_Assessment_Model!$X$297:$X$324),0)</f>
        <v>0</v>
      </c>
      <c r="P286" s="74">
        <f>SUMPRODUCT((_DATA_Assessment_Model!$H$297:$H$324&lt;&gt;"")*(_DATA_Assessment_Model!$H$297:$H$324&lt;&gt;"N/A"),_DATA_Assessment_Model!$G$297:$G$324,_DATA_Assessment_Model!$X$297:$X$324)</f>
        <v>635</v>
      </c>
      <c r="Q286" s="74">
        <f>IFERROR(SUMPRODUCT((_DATA_Assessment_Model!$H$297:$H$324&lt;&gt;"")*(_DATA_Assessment_Model!$H$297:$H$324&lt;&gt;"N/A"),IFERROR(VALUE(_DATA_Assessment_Model!$H$297:$H$324),0),_DATA_Assessment_Model!$G$297:$G$324,_DATA_Assessment_Model!$Y$297:$Y$324)/SUMPRODUCT((_DATA_Assessment_Model!$H$297:$H$324&lt;&gt;"")*(_DATA_Assessment_Model!$H$297:$H$324&lt;&gt;"N/A"),_DATA_Assessment_Model!$G$297:$G$324,_DATA_Assessment_Model!$Y$297:$Y$324),0)</f>
        <v>0</v>
      </c>
      <c r="R286" s="74">
        <f>SUMPRODUCT((_DATA_Assessment_Model!$H$297:$H$324&lt;&gt;"")*(_DATA_Assessment_Model!$H$297:$H$324&lt;&gt;"N/A"),_DATA_Assessment_Model!$G$297:$G$324,_DATA_Assessment_Model!$Y$297:$Y$324)</f>
        <v>635</v>
      </c>
    </row>
    <row r="287" spans="1:18">
      <c r="A287" s="67" t="s">
        <v>2729</v>
      </c>
      <c r="B287" s="68">
        <f>_DATA_Dashboard_Facts!$H$18</f>
        <v>0</v>
      </c>
      <c r="C287" s="69">
        <f>_DATA_Dashboard_Facts!$G$18</f>
        <v>0</v>
      </c>
      <c r="D287" s="69">
        <f>_DATA_Dashboard_Facts!$D$18</f>
        <v>1</v>
      </c>
      <c r="E287" s="70">
        <f>_DATA_Dashboard_Facts!$J$18+_DATA_Dashboard_Facts!$K$18</f>
        <v>21</v>
      </c>
      <c r="F287" s="67"/>
      <c r="G287" s="67"/>
      <c r="H287" s="67"/>
      <c r="I287" s="67"/>
      <c r="J287" s="67"/>
      <c r="K287" s="67"/>
      <c r="L287" s="67" t="s">
        <v>2729</v>
      </c>
      <c r="M287" s="74">
        <f>IFERROR(SUMPRODUCT((_DATA_Assessment_Model!$H$325:$H$345&lt;&gt;"")*(_DATA_Assessment_Model!$H$325:$H$345&lt;&gt;"N/A"),IFERROR(VALUE(_DATA_Assessment_Model!$H$325:$H$345),0),_DATA_Assessment_Model!$G$325:$G$345,_DATA_Assessment_Model!$W$325:$W$345)/SUMPRODUCT((_DATA_Assessment_Model!$H$325:$H$345&lt;&gt;"")*(_DATA_Assessment_Model!$H$325:$H$345&lt;&gt;"N/A"),_DATA_Assessment_Model!$G$325:$G$345,_DATA_Assessment_Model!$W$325:$W$345),0)</f>
        <v>0</v>
      </c>
      <c r="N287" s="74">
        <f>SUMPRODUCT((_DATA_Assessment_Model!$H$325:$H$345&lt;&gt;"")*(_DATA_Assessment_Model!$H$325:$H$345&lt;&gt;"N/A"),_DATA_Assessment_Model!$G$325:$G$345,_DATA_Assessment_Model!$W$325:$W$345)</f>
        <v>500</v>
      </c>
      <c r="O287" s="74">
        <f>IFERROR(SUMPRODUCT((_DATA_Assessment_Model!$H$325:$H$345&lt;&gt;"")*(_DATA_Assessment_Model!$H$325:$H$345&lt;&gt;"N/A"),IFERROR(VALUE(_DATA_Assessment_Model!$H$325:$H$345),0),_DATA_Assessment_Model!$G$325:$G$345,_DATA_Assessment_Model!$X$325:$X$345)/SUMPRODUCT((_DATA_Assessment_Model!$H$325:$H$345&lt;&gt;"")*(_DATA_Assessment_Model!$H$325:$H$345&lt;&gt;"N/A"),_DATA_Assessment_Model!$G$325:$G$345,_DATA_Assessment_Model!$X$325:$X$345),0)</f>
        <v>0</v>
      </c>
      <c r="P287" s="74">
        <f>SUMPRODUCT((_DATA_Assessment_Model!$H$325:$H$345&lt;&gt;"")*(_DATA_Assessment_Model!$H$325:$H$345&lt;&gt;"N/A"),_DATA_Assessment_Model!$G$325:$G$345,_DATA_Assessment_Model!$X$325:$X$345)</f>
        <v>500</v>
      </c>
      <c r="Q287" s="74">
        <f>IFERROR(SUMPRODUCT((_DATA_Assessment_Model!$H$325:$H$345&lt;&gt;"")*(_DATA_Assessment_Model!$H$325:$H$345&lt;&gt;"N/A"),IFERROR(VALUE(_DATA_Assessment_Model!$H$325:$H$345),0),_DATA_Assessment_Model!$G$325:$G$345,_DATA_Assessment_Model!$Y$325:$Y$345)/SUMPRODUCT((_DATA_Assessment_Model!$H$325:$H$345&lt;&gt;"")*(_DATA_Assessment_Model!$H$325:$H$345&lt;&gt;"N/A"),_DATA_Assessment_Model!$G$325:$G$345,_DATA_Assessment_Model!$Y$325:$Y$345),0)</f>
        <v>0</v>
      </c>
      <c r="R287" s="74">
        <f>SUMPRODUCT((_DATA_Assessment_Model!$H$325:$H$345&lt;&gt;"")*(_DATA_Assessment_Model!$H$325:$H$345&lt;&gt;"N/A"),_DATA_Assessment_Model!$G$325:$G$345,_DATA_Assessment_Model!$Y$325:$Y$345)</f>
        <v>500</v>
      </c>
    </row>
    <row r="288" spans="1:18">
      <c r="A288" s="67" t="s">
        <v>2824</v>
      </c>
      <c r="B288" s="68">
        <f>_DATA_Dashboard_Facts!$H$19</f>
        <v>0</v>
      </c>
      <c r="C288" s="69">
        <f>_DATA_Dashboard_Facts!$G$19</f>
        <v>0</v>
      </c>
      <c r="D288" s="69">
        <f>_DATA_Dashboard_Facts!$D$19</f>
        <v>1</v>
      </c>
      <c r="E288" s="70">
        <f>_DATA_Dashboard_Facts!$J$19+_DATA_Dashboard_Facts!$K$19</f>
        <v>27</v>
      </c>
      <c r="F288" s="67"/>
      <c r="G288" s="67"/>
      <c r="H288" s="67"/>
      <c r="I288" s="67"/>
      <c r="J288" s="67"/>
      <c r="K288" s="67"/>
      <c r="L288" s="67" t="s">
        <v>2824</v>
      </c>
      <c r="M288" s="74">
        <f>IFERROR(SUMPRODUCT((_DATA_Assessment_Model!$H$346:$H$372&lt;&gt;"")*(_DATA_Assessment_Model!$H$346:$H$372&lt;&gt;"N/A"),IFERROR(VALUE(_DATA_Assessment_Model!$H$346:$H$372),0),_DATA_Assessment_Model!$G$346:$G$372,_DATA_Assessment_Model!$W$346:$W$372)/SUMPRODUCT((_DATA_Assessment_Model!$H$346:$H$372&lt;&gt;"")*(_DATA_Assessment_Model!$H$346:$H$372&lt;&gt;"N/A"),_DATA_Assessment_Model!$G$346:$G$372,_DATA_Assessment_Model!$W$346:$W$372),0)</f>
        <v>0</v>
      </c>
      <c r="N288" s="74">
        <f>SUMPRODUCT((_DATA_Assessment_Model!$H$346:$H$372&lt;&gt;"")*(_DATA_Assessment_Model!$H$346:$H$372&lt;&gt;"N/A"),_DATA_Assessment_Model!$G$346:$G$372,_DATA_Assessment_Model!$W$346:$W$372)</f>
        <v>600</v>
      </c>
      <c r="O288" s="74">
        <f>IFERROR(SUMPRODUCT((_DATA_Assessment_Model!$H$346:$H$372&lt;&gt;"")*(_DATA_Assessment_Model!$H$346:$H$372&lt;&gt;"N/A"),IFERROR(VALUE(_DATA_Assessment_Model!$H$346:$H$372),0),_DATA_Assessment_Model!$G$346:$G$372,_DATA_Assessment_Model!$X$346:$X$372)/SUMPRODUCT((_DATA_Assessment_Model!$H$346:$H$372&lt;&gt;"")*(_DATA_Assessment_Model!$H$346:$H$372&lt;&gt;"N/A"),_DATA_Assessment_Model!$G$346:$G$372,_DATA_Assessment_Model!$X$346:$X$372),0)</f>
        <v>0</v>
      </c>
      <c r="P288" s="74">
        <f>SUMPRODUCT((_DATA_Assessment_Model!$H$346:$H$372&lt;&gt;"")*(_DATA_Assessment_Model!$H$346:$H$372&lt;&gt;"N/A"),_DATA_Assessment_Model!$G$346:$G$372,_DATA_Assessment_Model!$X$346:$X$372)</f>
        <v>600</v>
      </c>
      <c r="Q288" s="74">
        <f>IFERROR(SUMPRODUCT((_DATA_Assessment_Model!$H$346:$H$372&lt;&gt;"")*(_DATA_Assessment_Model!$H$346:$H$372&lt;&gt;"N/A"),IFERROR(VALUE(_DATA_Assessment_Model!$H$346:$H$372),0),_DATA_Assessment_Model!$G$346:$G$372,_DATA_Assessment_Model!$Y$346:$Y$372)/SUMPRODUCT((_DATA_Assessment_Model!$H$346:$H$372&lt;&gt;"")*(_DATA_Assessment_Model!$H$346:$H$372&lt;&gt;"N/A"),_DATA_Assessment_Model!$G$346:$G$372,_DATA_Assessment_Model!$Y$346:$Y$372),0)</f>
        <v>0</v>
      </c>
      <c r="R288" s="74">
        <f>SUMPRODUCT((_DATA_Assessment_Model!$H$346:$H$372&lt;&gt;"")*(_DATA_Assessment_Model!$H$346:$H$372&lt;&gt;"N/A"),_DATA_Assessment_Model!$G$346:$G$372,_DATA_Assessment_Model!$Y$346:$Y$372)</f>
        <v>600</v>
      </c>
    </row>
    <row r="289" spans="1:18">
      <c r="A289" s="67" t="s">
        <v>2986</v>
      </c>
      <c r="B289" s="68">
        <f>_DATA_Dashboard_Facts!$H$20</f>
        <v>0</v>
      </c>
      <c r="C289" s="69">
        <f>_DATA_Dashboard_Facts!$G$20</f>
        <v>0</v>
      </c>
      <c r="D289" s="69">
        <f>_DATA_Dashboard_Facts!$D$20</f>
        <v>1</v>
      </c>
      <c r="E289" s="70">
        <f>_DATA_Dashboard_Facts!$J$20+_DATA_Dashboard_Facts!$K$20</f>
        <v>34</v>
      </c>
      <c r="F289" s="67"/>
      <c r="G289" s="67"/>
      <c r="H289" s="67"/>
      <c r="I289" s="67"/>
      <c r="J289" s="67"/>
      <c r="K289" s="67"/>
      <c r="L289" s="67" t="s">
        <v>2986</v>
      </c>
      <c r="M289" s="74">
        <f>IFERROR(SUMPRODUCT((_DATA_Assessment_Model!$H$373:$H$406&lt;&gt;"")*(_DATA_Assessment_Model!$H$373:$H$406&lt;&gt;"N/A"),IFERROR(VALUE(_DATA_Assessment_Model!$H$373:$H$406),0),_DATA_Assessment_Model!$G$373:$G$406,_DATA_Assessment_Model!$W$373:$W$406)/SUMPRODUCT((_DATA_Assessment_Model!$H$373:$H$406&lt;&gt;"")*(_DATA_Assessment_Model!$H$373:$H$406&lt;&gt;"N/A"),_DATA_Assessment_Model!$G$373:$G$406,_DATA_Assessment_Model!$W$373:$W$406),0)</f>
        <v>0</v>
      </c>
      <c r="N289" s="74">
        <f>SUMPRODUCT((_DATA_Assessment_Model!$H$373:$H$406&lt;&gt;"")*(_DATA_Assessment_Model!$H$373:$H$406&lt;&gt;"N/A"),_DATA_Assessment_Model!$G$373:$G$406,_DATA_Assessment_Model!$W$373:$W$406)</f>
        <v>694</v>
      </c>
      <c r="O289" s="74">
        <f>IFERROR(SUMPRODUCT((_DATA_Assessment_Model!$H$373:$H$406&lt;&gt;"")*(_DATA_Assessment_Model!$H$373:$H$406&lt;&gt;"N/A"),IFERROR(VALUE(_DATA_Assessment_Model!$H$373:$H$406),0),_DATA_Assessment_Model!$G$373:$G$406,_DATA_Assessment_Model!$X$373:$X$406)/SUMPRODUCT((_DATA_Assessment_Model!$H$373:$H$406&lt;&gt;"")*(_DATA_Assessment_Model!$H$373:$H$406&lt;&gt;"N/A"),_DATA_Assessment_Model!$G$373:$G$406,_DATA_Assessment_Model!$X$373:$X$406),0)</f>
        <v>0</v>
      </c>
      <c r="P289" s="74">
        <f>SUMPRODUCT((_DATA_Assessment_Model!$H$373:$H$406&lt;&gt;"")*(_DATA_Assessment_Model!$H$373:$H$406&lt;&gt;"N/A"),_DATA_Assessment_Model!$G$373:$G$406,_DATA_Assessment_Model!$X$373:$X$406)</f>
        <v>705</v>
      </c>
      <c r="Q289" s="74">
        <f>IFERROR(SUMPRODUCT((_DATA_Assessment_Model!$H$373:$H$406&lt;&gt;"")*(_DATA_Assessment_Model!$H$373:$H$406&lt;&gt;"N/A"),IFERROR(VALUE(_DATA_Assessment_Model!$H$373:$H$406),0),_DATA_Assessment_Model!$G$373:$G$406,_DATA_Assessment_Model!$Y$373:$Y$406)/SUMPRODUCT((_DATA_Assessment_Model!$H$373:$H$406&lt;&gt;"")*(_DATA_Assessment_Model!$H$373:$H$406&lt;&gt;"N/A"),_DATA_Assessment_Model!$G$373:$G$406,_DATA_Assessment_Model!$Y$373:$Y$406),0)</f>
        <v>0</v>
      </c>
      <c r="R289" s="74">
        <f>SUMPRODUCT((_DATA_Assessment_Model!$H$373:$H$406&lt;&gt;"")*(_DATA_Assessment_Model!$H$373:$H$406&lt;&gt;"N/A"),_DATA_Assessment_Model!$G$373:$G$406,_DATA_Assessment_Model!$Y$373:$Y$406)</f>
        <v>698</v>
      </c>
    </row>
    <row r="290" spans="1:18">
      <c r="A290" s="67" t="s">
        <v>3204</v>
      </c>
      <c r="B290" s="68">
        <f>_DATA_Dashboard_Facts!$H$21</f>
        <v>0</v>
      </c>
      <c r="C290" s="69">
        <f>_DATA_Dashboard_Facts!$G$21</f>
        <v>0</v>
      </c>
      <c r="D290" s="69">
        <f>_DATA_Dashboard_Facts!$D$21</f>
        <v>1</v>
      </c>
      <c r="E290" s="70">
        <f>_DATA_Dashboard_Facts!$J$21+_DATA_Dashboard_Facts!$K$21</f>
        <v>22</v>
      </c>
      <c r="F290" s="67"/>
      <c r="G290" s="67"/>
      <c r="H290" s="67"/>
      <c r="I290" s="67"/>
      <c r="J290" s="67"/>
      <c r="K290" s="67"/>
      <c r="L290" s="67" t="s">
        <v>3204</v>
      </c>
      <c r="M290" s="74">
        <f>IFERROR(SUMPRODUCT((_DATA_Assessment_Model!$H$407:$H$428&lt;&gt;"")*(_DATA_Assessment_Model!$H$407:$H$428&lt;&gt;"N/A"),IFERROR(VALUE(_DATA_Assessment_Model!$H$407:$H$428),0),_DATA_Assessment_Model!$G$407:$G$428,_DATA_Assessment_Model!$W$407:$W$428)/SUMPRODUCT((_DATA_Assessment_Model!$H$407:$H$428&lt;&gt;"")*(_DATA_Assessment_Model!$H$407:$H$428&lt;&gt;"N/A"),_DATA_Assessment_Model!$G$407:$G$428,_DATA_Assessment_Model!$W$407:$W$428),0)</f>
        <v>0</v>
      </c>
      <c r="N290" s="74">
        <f>SUMPRODUCT((_DATA_Assessment_Model!$H$407:$H$428&lt;&gt;"")*(_DATA_Assessment_Model!$H$407:$H$428&lt;&gt;"N/A"),_DATA_Assessment_Model!$G$407:$G$428,_DATA_Assessment_Model!$W$407:$W$428)</f>
        <v>327</v>
      </c>
      <c r="O290" s="74">
        <f>IFERROR(SUMPRODUCT((_DATA_Assessment_Model!$H$407:$H$428&lt;&gt;"")*(_DATA_Assessment_Model!$H$407:$H$428&lt;&gt;"N/A"),IFERROR(VALUE(_DATA_Assessment_Model!$H$407:$H$428),0),_DATA_Assessment_Model!$G$407:$G$428,_DATA_Assessment_Model!$X$407:$X$428)/SUMPRODUCT((_DATA_Assessment_Model!$H$407:$H$428&lt;&gt;"")*(_DATA_Assessment_Model!$H$407:$H$428&lt;&gt;"N/A"),_DATA_Assessment_Model!$G$407:$G$428,_DATA_Assessment_Model!$X$407:$X$428),0)</f>
        <v>0</v>
      </c>
      <c r="P290" s="74">
        <f>SUMPRODUCT((_DATA_Assessment_Model!$H$407:$H$428&lt;&gt;"")*(_DATA_Assessment_Model!$H$407:$H$428&lt;&gt;"N/A"),_DATA_Assessment_Model!$G$407:$G$428,_DATA_Assessment_Model!$X$407:$X$428)</f>
        <v>399</v>
      </c>
      <c r="Q290" s="74">
        <f>IFERROR(SUMPRODUCT((_DATA_Assessment_Model!$H$407:$H$428&lt;&gt;"")*(_DATA_Assessment_Model!$H$407:$H$428&lt;&gt;"N/A"),IFERROR(VALUE(_DATA_Assessment_Model!$H$407:$H$428),0),_DATA_Assessment_Model!$G$407:$G$428,_DATA_Assessment_Model!$Y$407:$Y$428)/SUMPRODUCT((_DATA_Assessment_Model!$H$407:$H$428&lt;&gt;"")*(_DATA_Assessment_Model!$H$407:$H$428&lt;&gt;"N/A"),_DATA_Assessment_Model!$G$407:$G$428,_DATA_Assessment_Model!$Y$407:$Y$428),0)</f>
        <v>0</v>
      </c>
      <c r="R290" s="74">
        <f>SUMPRODUCT((_DATA_Assessment_Model!$H$407:$H$428&lt;&gt;"")*(_DATA_Assessment_Model!$H$407:$H$428&lt;&gt;"N/A"),_DATA_Assessment_Model!$G$407:$G$428,_DATA_Assessment_Model!$Y$407:$Y$428)</f>
        <v>419</v>
      </c>
    </row>
    <row r="291" spans="1:18">
      <c r="A291" s="1"/>
      <c r="B291" s="1"/>
      <c r="C291" s="1"/>
      <c r="D291" s="1"/>
      <c r="E291" s="1"/>
      <c r="F291" s="1"/>
      <c r="G291" s="1"/>
      <c r="H291" s="1"/>
      <c r="I291" s="1"/>
      <c r="J291" s="1"/>
      <c r="K291" s="1"/>
      <c r="L291" s="1"/>
      <c r="M291" s="1"/>
      <c r="N291" s="1"/>
      <c r="O291" s="1"/>
      <c r="P291" s="1"/>
      <c r="Q291" s="1"/>
      <c r="R291" s="1"/>
    </row>
    <row r="292" spans="1:18">
      <c r="A292" s="1" t="s">
        <v>3747</v>
      </c>
      <c r="B292" s="1"/>
      <c r="C292" s="1"/>
      <c r="D292" s="1"/>
      <c r="E292" s="1"/>
      <c r="F292" s="1"/>
      <c r="G292" s="1"/>
      <c r="H292" s="1"/>
      <c r="I292" s="1"/>
      <c r="J292" s="1"/>
      <c r="K292" s="1"/>
      <c r="L292" s="1"/>
      <c r="M292" s="1"/>
      <c r="N292" s="1"/>
      <c r="O292" s="1"/>
      <c r="P292" s="1"/>
      <c r="Q292" s="1"/>
      <c r="R292" s="1"/>
    </row>
    <row r="293" spans="1:18" ht="18" customHeight="1">
      <c r="A293" s="60" t="s">
        <v>3748</v>
      </c>
      <c r="B293" s="1"/>
      <c r="C293" s="1"/>
      <c r="D293" s="1"/>
      <c r="E293" s="1"/>
      <c r="F293" s="1"/>
      <c r="G293" s="1"/>
      <c r="H293" s="1"/>
      <c r="I293" s="1"/>
      <c r="J293" s="1"/>
      <c r="K293" s="1"/>
      <c r="L293" s="1"/>
      <c r="M293" s="1"/>
      <c r="N293" s="1"/>
      <c r="O293" s="1"/>
      <c r="P293" s="1"/>
      <c r="Q293" s="1"/>
      <c r="R293" s="1"/>
    </row>
    <row r="294" spans="1:18" ht="15" customHeight="1">
      <c r="A294" s="61"/>
      <c r="B294" s="58"/>
      <c r="C294" s="1"/>
      <c r="D294" s="1"/>
      <c r="E294" s="1"/>
      <c r="F294" s="1"/>
      <c r="G294" s="1"/>
      <c r="H294" s="1"/>
      <c r="I294" s="1"/>
      <c r="J294" s="1"/>
      <c r="K294" s="1"/>
      <c r="L294" s="1"/>
      <c r="M294" s="1"/>
      <c r="N294" s="1"/>
      <c r="O294" s="1"/>
      <c r="P294" s="1"/>
      <c r="Q294" s="1">
        <f>IFERROR(ROUND(SUMPRODUCT($C$300:$C$316,$I$300:$I$316)/SUMPRODUCT(--($C$300:$C$316&lt;&gt;""),$I$300:$I$316),2),"")</f>
        <v>0</v>
      </c>
      <c r="R294" s="1"/>
    </row>
    <row r="295" spans="1:18" ht="15" customHeight="1">
      <c r="A295" s="61"/>
      <c r="B295" s="58"/>
      <c r="C295" s="1"/>
      <c r="D295" s="1"/>
      <c r="E295" s="1"/>
      <c r="F295" s="1"/>
      <c r="G295" s="1"/>
      <c r="H295" s="1"/>
      <c r="I295" s="1"/>
      <c r="J295" s="1"/>
      <c r="K295" s="1"/>
      <c r="L295" s="1"/>
      <c r="M295" s="1"/>
      <c r="N295" s="1"/>
      <c r="O295" s="1"/>
      <c r="P295" s="1"/>
      <c r="Q295" s="1">
        <f>IFERROR(ROUND(AVERAGEIF($G$300:$G$316,"&gt;=0"),2),"")</f>
        <v>0</v>
      </c>
      <c r="R295" s="1"/>
    </row>
    <row r="296" spans="1:18" ht="15" customHeight="1">
      <c r="A296" s="61"/>
      <c r="B296" s="58"/>
      <c r="C296" s="1"/>
      <c r="D296" s="1"/>
      <c r="E296" s="1"/>
      <c r="F296" s="1"/>
      <c r="G296" s="1"/>
      <c r="H296" s="1"/>
      <c r="I296" s="1"/>
      <c r="J296" s="1"/>
      <c r="K296" s="1"/>
      <c r="L296" s="1"/>
      <c r="M296" s="1"/>
      <c r="N296" s="1"/>
      <c r="O296" s="1"/>
      <c r="P296" s="1"/>
      <c r="Q296" s="1">
        <f>COUNTIF($K$300:$K$316,"Breach")</f>
        <v>0</v>
      </c>
      <c r="R296" s="1"/>
    </row>
    <row r="297" spans="1:18" ht="15" customHeight="1">
      <c r="A297" s="61"/>
      <c r="B297" s="58"/>
      <c r="C297" s="1"/>
      <c r="D297" s="1"/>
      <c r="E297" s="1"/>
      <c r="F297" s="1"/>
      <c r="G297" s="1"/>
      <c r="H297" s="1"/>
      <c r="I297" s="1"/>
      <c r="J297" s="1"/>
      <c r="K297" s="1"/>
      <c r="L297" s="1"/>
      <c r="M297" s="1"/>
      <c r="N297" s="1"/>
      <c r="O297" s="1"/>
      <c r="P297" s="1"/>
      <c r="Q297" s="1"/>
      <c r="R297" s="1"/>
    </row>
    <row r="298" spans="1:18">
      <c r="A298" s="1"/>
      <c r="B298" s="1"/>
      <c r="C298" s="1"/>
      <c r="D298" s="1"/>
      <c r="E298" s="1"/>
      <c r="F298" s="1"/>
      <c r="G298" s="1"/>
      <c r="H298" s="1"/>
      <c r="I298" s="1"/>
      <c r="J298" s="1"/>
      <c r="K298" s="1"/>
      <c r="L298" s="1"/>
      <c r="M298" s="1"/>
      <c r="N298" s="1"/>
      <c r="O298" s="1"/>
      <c r="P298" s="1"/>
      <c r="Q298" s="1"/>
      <c r="R298" s="1"/>
    </row>
    <row r="299" spans="1:18">
      <c r="A299" s="1" t="s">
        <v>764</v>
      </c>
      <c r="B299" s="1" t="s">
        <v>3429</v>
      </c>
      <c r="C299" s="1" t="s">
        <v>3749</v>
      </c>
      <c r="D299" s="1" t="s">
        <v>3750</v>
      </c>
      <c r="E299" s="1" t="s">
        <v>3751</v>
      </c>
      <c r="F299" s="1" t="s">
        <v>3381</v>
      </c>
      <c r="G299" s="1" t="s">
        <v>777</v>
      </c>
      <c r="H299" s="1" t="s">
        <v>3752</v>
      </c>
      <c r="I299" s="1" t="s">
        <v>3753</v>
      </c>
      <c r="J299" s="1" t="s">
        <v>3754</v>
      </c>
      <c r="K299" s="1" t="s">
        <v>3398</v>
      </c>
      <c r="L299" s="1" t="s">
        <v>3755</v>
      </c>
      <c r="M299" s="1" t="s">
        <v>3756</v>
      </c>
      <c r="N299" s="1" t="s">
        <v>3757</v>
      </c>
      <c r="O299" s="1" t="s">
        <v>3758</v>
      </c>
      <c r="P299" s="1"/>
      <c r="Q299" s="1"/>
      <c r="R299" s="1" t="s">
        <v>3759</v>
      </c>
    </row>
    <row r="300" spans="1:18">
      <c r="A300" s="1" t="str">
        <f>_DATA_Dashboard_Facts!$A$5</f>
        <v>Company Geography</v>
      </c>
      <c r="B300" s="1">
        <f>IF(SUMPRODUCT((_DATA_Assessment_Model!$H$5:$H$23&lt;&gt;"")*(_DATA_Assessment_Model!$H$5:$H$23&lt;&gt;"N/A")*_DATA_Assessment_Model!$G$5:$G$23)=0,"",_DATA_Dashboard_Facts!$H$5)</f>
        <v>0</v>
      </c>
      <c r="C300" s="1">
        <f>IF(SUMPRODUCT((_DATA_Assessment_Model!$H$5:$H$23&lt;&gt;"")*(_DATA_Assessment_Model!$H$5:$H$23&lt;&gt;"N/A")*_DATA_Assessment_Model!$G$5:$G$23)=0,"",ROUND(SUMPRODUCT((_DATA_Assessment_Model!$H$5:$H$23&lt;&gt;"")*(_DATA_Assessment_Model!$H$5:$H$23&lt;&gt;"N/A")*_DATA_Assessment_Model!$G$5:$G$23*_DATA_Assessment_Model!$AS$5:$AS$23)/SUMPRODUCT((_DATA_Assessment_Model!$H$5:$H$23&lt;&gt;"")*(_DATA_Assessment_Model!$H$5:$H$23&lt;&gt;"N/A")*_DATA_Assessment_Model!$G$5:$G$23),2))</f>
        <v>0</v>
      </c>
      <c r="D300" s="1">
        <f>IF(SUMPRODUCT((_DATA_Assessment_Model!$H$5:$H$23&lt;&gt;"")*(_DATA_Assessment_Model!$H$5:$H$23&lt;&gt;"N/A")*_DATA_Assessment_Model!$G$5:$G$23)=0,"",ROUND(SUMPRODUCT((_DATA_Assessment_Model!$H$5:$H$23&lt;&gt;"")*(_DATA_Assessment_Model!$H$5:$H$23&lt;&gt;"N/A")*_DATA_Assessment_Model!$G$5:$G$23*_DATA_Assessment_Model!$AT$5:$AT$23)/SUMPRODUCT((_DATA_Assessment_Model!$H$5:$H$23&lt;&gt;"")*(_DATA_Assessment_Model!$H$5:$H$23&lt;&gt;"N/A")*_DATA_Assessment_Model!$G$5:$G$23)*100,0))</f>
        <v>90</v>
      </c>
      <c r="E300" s="1" t="str">
        <f t="shared" ref="E300:E316" si="10">IF($B300="","",IF(AND($B300&gt;=4,$D300&lt;=80),"Validate",""))</f>
        <v/>
      </c>
      <c r="F300" s="1">
        <f>IFERROR(MIN(5,MAX(0,(SUMIFS(_REF_Model_Content!$D$1:$D$174,_REF_Model_Content!$A$1:$A$174,PV_Canonical_Industry,_REF_Model_Content!$B$1:$B$174,$A300))+IFERROR(VLOOKUP('Company Profile'!$B$35,_CONFIG_Model_Settings!$A$11:$B$13,2,0),0))),"")</f>
        <v>0</v>
      </c>
      <c r="G300" s="1">
        <f t="shared" ref="G300:G316" si="11">IF(OR($C300="",$F300=""),"",MAX(0,ROUND($F300-$C300,2)))</f>
        <v>0</v>
      </c>
      <c r="H300" s="1">
        <f>IFERROR(SUMIFS(_REF_Model_Content!$E$1:$E$174,_REF_Model_Content!$A$1:$A$174,PV_Canonical_Industry,_REF_Model_Content!$B$1:$B$174,$A300),1)</f>
        <v>0</v>
      </c>
      <c r="I300" s="1">
        <f>IFERROR(INDEX(_CONFIG_Model_Settings!$H$1:$H$181,MATCH($A300,_CONFIG_Model_Settings!$A$1:$A$181,0)),0)</f>
        <v>5.4378431372549031E-2</v>
      </c>
      <c r="J300" s="1">
        <f t="shared" ref="J300:J316" si="12">IF($G300="","",ROUND($G300*$H300*$I300*100,2))</f>
        <v>0</v>
      </c>
      <c r="K300" s="1" t="str">
        <f t="shared" ref="K300:K316" si="13">IF($C300="","",IF($C300&lt;$F300,"Breach","OK"))</f>
        <v>OK</v>
      </c>
      <c r="L300" s="1">
        <f t="shared" ref="L300:L316" si="14">IF($C300="",0,$C300/5)</f>
        <v>0</v>
      </c>
      <c r="M300" s="1">
        <f t="shared" ref="M300:M316" si="15">IF($C300="",0,1)</f>
        <v>1</v>
      </c>
      <c r="N300" s="1">
        <f t="shared" ref="N300:N316" si="16">IF($G300="",0,$G300)</f>
        <v>0</v>
      </c>
      <c r="O300" s="1">
        <f t="shared" ref="O300:O316" si="17">IF($D300="",0,$D300)</f>
        <v>90</v>
      </c>
      <c r="P300" s="1"/>
      <c r="Q300" s="1"/>
      <c r="R300" s="1">
        <f>IFERROR(SUMIFS(_REF_Model_Content!$F$1:$F$174,_REF_Model_Content!$A$1:$A$174,PV_Canonical_Industry,_REF_Model_Content!$B$1:$B$174,$A300),0)</f>
        <v>0</v>
      </c>
    </row>
    <row r="301" spans="1:18">
      <c r="A301" s="1" t="str">
        <f>_DATA_Dashboard_Facts!$A$6</f>
        <v>Strategy GTM</v>
      </c>
      <c r="B301" s="1">
        <f>IF(SUMPRODUCT((_DATA_Assessment_Model!$H$24:$H$49&lt;&gt;"")*(_DATA_Assessment_Model!$H$24:$H$49&lt;&gt;"N/A")*_DATA_Assessment_Model!$G$24:$G$49)=0,"",_DATA_Dashboard_Facts!$H$6)</f>
        <v>0</v>
      </c>
      <c r="C301" s="1">
        <f>IF(SUMPRODUCT((_DATA_Assessment_Model!$H$24:$H$49&lt;&gt;"")*(_DATA_Assessment_Model!$H$24:$H$49&lt;&gt;"N/A")*_DATA_Assessment_Model!$G$24:$G$49)=0,"",ROUND(SUMPRODUCT((_DATA_Assessment_Model!$H$24:$H$49&lt;&gt;"")*(_DATA_Assessment_Model!$H$24:$H$49&lt;&gt;"N/A")*_DATA_Assessment_Model!$G$24:$G$49*_DATA_Assessment_Model!$AS$24:$AS$49)/SUMPRODUCT((_DATA_Assessment_Model!$H$24:$H$49&lt;&gt;"")*(_DATA_Assessment_Model!$H$24:$H$49&lt;&gt;"N/A")*_DATA_Assessment_Model!$G$24:$G$49),2))</f>
        <v>0</v>
      </c>
      <c r="D301" s="1">
        <f>IF(SUMPRODUCT((_DATA_Assessment_Model!$H$24:$H$49&lt;&gt;"")*(_DATA_Assessment_Model!$H$24:$H$49&lt;&gt;"N/A")*_DATA_Assessment_Model!$G$24:$G$49)=0,"",ROUND(SUMPRODUCT((_DATA_Assessment_Model!$H$24:$H$49&lt;&gt;"")*(_DATA_Assessment_Model!$H$24:$H$49&lt;&gt;"N/A")*_DATA_Assessment_Model!$G$24:$G$49*_DATA_Assessment_Model!$AT$24:$AT$49)/SUMPRODUCT((_DATA_Assessment_Model!$H$24:$H$49&lt;&gt;"")*(_DATA_Assessment_Model!$H$24:$H$49&lt;&gt;"N/A")*_DATA_Assessment_Model!$G$24:$G$49)*100,0))</f>
        <v>90</v>
      </c>
      <c r="E301" s="1" t="str">
        <f t="shared" si="10"/>
        <v/>
      </c>
      <c r="F301" s="1">
        <f>IFERROR(MIN(5,MAX(0,(SUMIFS(_REF_Model_Content!$D$1:$D$174,_REF_Model_Content!$A$1:$A$174,PV_Canonical_Industry,_REF_Model_Content!$B$1:$B$174,$A301))+IFERROR(VLOOKUP('Company Profile'!$B$35,_CONFIG_Model_Settings!$A$11:$B$13,2,0),0))),"")</f>
        <v>0</v>
      </c>
      <c r="G301" s="1">
        <f t="shared" si="11"/>
        <v>0</v>
      </c>
      <c r="H301" s="1">
        <f>IFERROR(SUMIFS(_REF_Model_Content!$E$1:$E$174,_REF_Model_Content!$A$1:$A$174,PV_Canonical_Industry,_REF_Model_Content!$B$1:$B$174,$A301),1)</f>
        <v>0</v>
      </c>
      <c r="I301" s="1">
        <f>IFERROR(INDEX(_CONFIG_Model_Settings!$H$1:$H$181,MATCH($A301,_CONFIG_Model_Settings!$A$1:$A$181,0)),0)</f>
        <v>4.9411764705882363E-2</v>
      </c>
      <c r="J301" s="1">
        <f t="shared" si="12"/>
        <v>0</v>
      </c>
      <c r="K301" s="1" t="str">
        <f t="shared" si="13"/>
        <v>OK</v>
      </c>
      <c r="L301" s="1">
        <f t="shared" si="14"/>
        <v>0</v>
      </c>
      <c r="M301" s="1">
        <f t="shared" si="15"/>
        <v>1</v>
      </c>
      <c r="N301" s="1">
        <f t="shared" si="16"/>
        <v>0</v>
      </c>
      <c r="O301" s="1">
        <f t="shared" si="17"/>
        <v>90</v>
      </c>
      <c r="P301" s="1"/>
      <c r="Q301" s="1"/>
      <c r="R301" s="1">
        <f>IFERROR(SUMIFS(_REF_Model_Content!$F$1:$F$174,_REF_Model_Content!$A$1:$A$174,PV_Canonical_Industry,_REF_Model_Content!$B$1:$B$174,$A301),0)</f>
        <v>0</v>
      </c>
    </row>
    <row r="302" spans="1:18">
      <c r="A302" s="1" t="str">
        <f>_DATA_Dashboard_Facts!$A$7</f>
        <v>Governance Crisis</v>
      </c>
      <c r="B302" s="1">
        <f>IF(SUMPRODUCT((_DATA_Assessment_Model!$H$50:$H$71&lt;&gt;"")*(_DATA_Assessment_Model!$H$50:$H$71&lt;&gt;"N/A")*_DATA_Assessment_Model!$G$50:$G$71)=0,"",_DATA_Dashboard_Facts!$H$7)</f>
        <v>0</v>
      </c>
      <c r="C302" s="1">
        <f>IF(SUMPRODUCT((_DATA_Assessment_Model!$H$50:$H$71&lt;&gt;"")*(_DATA_Assessment_Model!$H$50:$H$71&lt;&gt;"N/A")*_DATA_Assessment_Model!$G$50:$G$71)=0,"",ROUND(SUMPRODUCT((_DATA_Assessment_Model!$H$50:$H$71&lt;&gt;"")*(_DATA_Assessment_Model!$H$50:$H$71&lt;&gt;"N/A")*_DATA_Assessment_Model!$G$50:$G$71*_DATA_Assessment_Model!$AS$50:$AS$71)/SUMPRODUCT((_DATA_Assessment_Model!$H$50:$H$71&lt;&gt;"")*(_DATA_Assessment_Model!$H$50:$H$71&lt;&gt;"N/A")*_DATA_Assessment_Model!$G$50:$G$71),2))</f>
        <v>0</v>
      </c>
      <c r="D302" s="1">
        <f>IF(SUMPRODUCT((_DATA_Assessment_Model!$H$50:$H$71&lt;&gt;"")*(_DATA_Assessment_Model!$H$50:$H$71&lt;&gt;"N/A")*_DATA_Assessment_Model!$G$50:$G$71)=0,"",ROUND(SUMPRODUCT((_DATA_Assessment_Model!$H$50:$H$71&lt;&gt;"")*(_DATA_Assessment_Model!$H$50:$H$71&lt;&gt;"N/A")*_DATA_Assessment_Model!$G$50:$G$71*_DATA_Assessment_Model!$AT$50:$AT$71)/SUMPRODUCT((_DATA_Assessment_Model!$H$50:$H$71&lt;&gt;"")*(_DATA_Assessment_Model!$H$50:$H$71&lt;&gt;"N/A")*_DATA_Assessment_Model!$G$50:$G$71)*100,0))</f>
        <v>90</v>
      </c>
      <c r="E302" s="1" t="str">
        <f t="shared" si="10"/>
        <v/>
      </c>
      <c r="F302" s="1">
        <f>IFERROR(MIN(5,MAX(0,(SUMIFS(_REF_Model_Content!$D$1:$D$174,_REF_Model_Content!$A$1:$A$174,PV_Canonical_Industry,_REF_Model_Content!$B$1:$B$174,$A302))+IFERROR(VLOOKUP('Company Profile'!$B$35,_CONFIG_Model_Settings!$A$11:$B$13,2,0),0))),"")</f>
        <v>0</v>
      </c>
      <c r="G302" s="1">
        <f t="shared" si="11"/>
        <v>0</v>
      </c>
      <c r="H302" s="1">
        <f>IFERROR(SUMIFS(_REF_Model_Content!$E$1:$E$174,_REF_Model_Content!$A$1:$A$174,PV_Canonical_Industry,_REF_Model_Content!$B$1:$B$174,$A302),1)</f>
        <v>0</v>
      </c>
      <c r="I302" s="1">
        <f>IFERROR(INDEX(_CONFIG_Model_Settings!$H$1:$H$181,MATCH($A302,_CONFIG_Model_Settings!$A$1:$A$181,0)),0)</f>
        <v>5.6095098039215696E-2</v>
      </c>
      <c r="J302" s="1">
        <f t="shared" si="12"/>
        <v>0</v>
      </c>
      <c r="K302" s="1" t="str">
        <f t="shared" si="13"/>
        <v>OK</v>
      </c>
      <c r="L302" s="1">
        <f t="shared" si="14"/>
        <v>0</v>
      </c>
      <c r="M302" s="1">
        <f t="shared" si="15"/>
        <v>1</v>
      </c>
      <c r="N302" s="1">
        <f t="shared" si="16"/>
        <v>0</v>
      </c>
      <c r="O302" s="1">
        <f t="shared" si="17"/>
        <v>90</v>
      </c>
      <c r="P302" s="1"/>
      <c r="Q302" s="1"/>
      <c r="R302" s="1">
        <f>IFERROR(SUMIFS(_REF_Model_Content!$F$1:$F$174,_REF_Model_Content!$A$1:$A$174,PV_Canonical_Industry,_REF_Model_Content!$B$1:$B$174,$A302),0)</f>
        <v>0</v>
      </c>
    </row>
    <row r="303" spans="1:18">
      <c r="A303" s="1" t="str">
        <f>_DATA_Dashboard_Facts!$A$8</f>
        <v>HR Workforce</v>
      </c>
      <c r="B303" s="1">
        <f>IF(SUMPRODUCT((_DATA_Assessment_Model!$H$72:$H$97&lt;&gt;"")*(_DATA_Assessment_Model!$H$72:$H$97&lt;&gt;"N/A")*_DATA_Assessment_Model!$G$72:$G$97)=0,"",_DATA_Dashboard_Facts!$H$8)</f>
        <v>0</v>
      </c>
      <c r="C303" s="1">
        <f>IF(SUMPRODUCT((_DATA_Assessment_Model!$H$72:$H$97&lt;&gt;"")*(_DATA_Assessment_Model!$H$72:$H$97&lt;&gt;"N/A")*_DATA_Assessment_Model!$G$72:$G$97)=0,"",ROUND(SUMPRODUCT((_DATA_Assessment_Model!$H$72:$H$97&lt;&gt;"")*(_DATA_Assessment_Model!$H$72:$H$97&lt;&gt;"N/A")*_DATA_Assessment_Model!$G$72:$G$97*_DATA_Assessment_Model!$AS$72:$AS$97)/SUMPRODUCT((_DATA_Assessment_Model!$H$72:$H$97&lt;&gt;"")*(_DATA_Assessment_Model!$H$72:$H$97&lt;&gt;"N/A")*_DATA_Assessment_Model!$G$72:$G$97),2))</f>
        <v>0</v>
      </c>
      <c r="D303" s="1">
        <f>IF(SUMPRODUCT((_DATA_Assessment_Model!$H$72:$H$97&lt;&gt;"")*(_DATA_Assessment_Model!$H$72:$H$97&lt;&gt;"N/A")*_DATA_Assessment_Model!$G$72:$G$97)=0,"",ROUND(SUMPRODUCT((_DATA_Assessment_Model!$H$72:$H$97&lt;&gt;"")*(_DATA_Assessment_Model!$H$72:$H$97&lt;&gt;"N/A")*_DATA_Assessment_Model!$G$72:$G$97*_DATA_Assessment_Model!$AT$72:$AT$97)/SUMPRODUCT((_DATA_Assessment_Model!$H$72:$H$97&lt;&gt;"")*(_DATA_Assessment_Model!$H$72:$H$97&lt;&gt;"N/A")*_DATA_Assessment_Model!$G$72:$G$97)*100,0))</f>
        <v>90</v>
      </c>
      <c r="E303" s="1" t="str">
        <f t="shared" si="10"/>
        <v/>
      </c>
      <c r="F303" s="1">
        <f>IFERROR(MIN(5,MAX(0,(SUMIFS(_REF_Model_Content!$D$1:$D$174,_REF_Model_Content!$A$1:$A$174,PV_Canonical_Industry,_REF_Model_Content!$B$1:$B$174,$A303))+IFERROR(VLOOKUP('Company Profile'!$B$35,_CONFIG_Model_Settings!$A$11:$B$13,2,0),0))),"")</f>
        <v>0</v>
      </c>
      <c r="G303" s="1">
        <f t="shared" si="11"/>
        <v>0</v>
      </c>
      <c r="H303" s="1">
        <f>IFERROR(SUMIFS(_REF_Model_Content!$E$1:$E$174,_REF_Model_Content!$A$1:$A$174,PV_Canonical_Industry,_REF_Model_Content!$B$1:$B$174,$A303),1)</f>
        <v>0</v>
      </c>
      <c r="I303" s="1">
        <f>IFERROR(INDEX(_CONFIG_Model_Settings!$H$1:$H$181,MATCH($A303,_CONFIG_Model_Settings!$A$1:$A$181,0)),0)</f>
        <v>5.4378431372549031E-2</v>
      </c>
      <c r="J303" s="1">
        <f t="shared" si="12"/>
        <v>0</v>
      </c>
      <c r="K303" s="1" t="str">
        <f t="shared" si="13"/>
        <v>OK</v>
      </c>
      <c r="L303" s="1">
        <f t="shared" si="14"/>
        <v>0</v>
      </c>
      <c r="M303" s="1">
        <f t="shared" si="15"/>
        <v>1</v>
      </c>
      <c r="N303" s="1">
        <f t="shared" si="16"/>
        <v>0</v>
      </c>
      <c r="O303" s="1">
        <f t="shared" si="17"/>
        <v>90</v>
      </c>
      <c r="P303" s="1"/>
      <c r="Q303" s="1"/>
      <c r="R303" s="1">
        <f>IFERROR(SUMIFS(_REF_Model_Content!$F$1:$F$174,_REF_Model_Content!$A$1:$A$174,PV_Canonical_Industry,_REF_Model_Content!$B$1:$B$174,$A303),0)</f>
        <v>0</v>
      </c>
    </row>
    <row r="304" spans="1:18">
      <c r="A304" s="1" t="str">
        <f>_DATA_Dashboard_Facts!$A$9</f>
        <v>Finance Procurement</v>
      </c>
      <c r="B304" s="1">
        <f>IF(SUMPRODUCT((_DATA_Assessment_Model!$H$98:$H$123&lt;&gt;"")*(_DATA_Assessment_Model!$H$98:$H$123&lt;&gt;"N/A")*_DATA_Assessment_Model!$G$98:$G$123)=0,"",_DATA_Dashboard_Facts!$H$9)</f>
        <v>0</v>
      </c>
      <c r="C304" s="1">
        <f>IF(SUMPRODUCT((_DATA_Assessment_Model!$H$98:$H$123&lt;&gt;"")*(_DATA_Assessment_Model!$H$98:$H$123&lt;&gt;"N/A")*_DATA_Assessment_Model!$G$98:$G$123)=0,"",ROUND(SUMPRODUCT((_DATA_Assessment_Model!$H$98:$H$123&lt;&gt;"")*(_DATA_Assessment_Model!$H$98:$H$123&lt;&gt;"N/A")*_DATA_Assessment_Model!$G$98:$G$123*_DATA_Assessment_Model!$AS$98:$AS$123)/SUMPRODUCT((_DATA_Assessment_Model!$H$98:$H$123&lt;&gt;"")*(_DATA_Assessment_Model!$H$98:$H$123&lt;&gt;"N/A")*_DATA_Assessment_Model!$G$98:$G$123),2))</f>
        <v>0</v>
      </c>
      <c r="D304" s="1">
        <f>IF(SUMPRODUCT((_DATA_Assessment_Model!$H$98:$H$123&lt;&gt;"")*(_DATA_Assessment_Model!$H$98:$H$123&lt;&gt;"N/A")*_DATA_Assessment_Model!$G$98:$G$123)=0,"",ROUND(SUMPRODUCT((_DATA_Assessment_Model!$H$98:$H$123&lt;&gt;"")*(_DATA_Assessment_Model!$H$98:$H$123&lt;&gt;"N/A")*_DATA_Assessment_Model!$G$98:$G$123*_DATA_Assessment_Model!$AT$98:$AT$123)/SUMPRODUCT((_DATA_Assessment_Model!$H$98:$H$123&lt;&gt;"")*(_DATA_Assessment_Model!$H$98:$H$123&lt;&gt;"N/A")*_DATA_Assessment_Model!$G$98:$G$123)*100,0))</f>
        <v>90</v>
      </c>
      <c r="E304" s="1" t="str">
        <f t="shared" si="10"/>
        <v/>
      </c>
      <c r="F304" s="1">
        <f>IFERROR(MIN(5,MAX(0,(SUMIFS(_REF_Model_Content!$D$1:$D$174,_REF_Model_Content!$A$1:$A$174,PV_Canonical_Industry,_REF_Model_Content!$B$1:$B$174,$A304))+IFERROR(VLOOKUP('Company Profile'!$B$35,_CONFIG_Model_Settings!$A$11:$B$13,2,0),0))),"")</f>
        <v>0</v>
      </c>
      <c r="G304" s="1">
        <f t="shared" si="11"/>
        <v>0</v>
      </c>
      <c r="H304" s="1">
        <f>IFERROR(SUMIFS(_REF_Model_Content!$E$1:$E$174,_REF_Model_Content!$A$1:$A$174,PV_Canonical_Industry,_REF_Model_Content!$B$1:$B$174,$A304),1)</f>
        <v>0</v>
      </c>
      <c r="I304" s="1">
        <f>IFERROR(INDEX(_CONFIG_Model_Settings!$H$1:$H$181,MATCH($A304,_CONFIG_Model_Settings!$A$1:$A$181,0)),0)</f>
        <v>7.9411764705882362E-2</v>
      </c>
      <c r="J304" s="1">
        <f t="shared" si="12"/>
        <v>0</v>
      </c>
      <c r="K304" s="1" t="str">
        <f t="shared" si="13"/>
        <v>OK</v>
      </c>
      <c r="L304" s="1">
        <f t="shared" si="14"/>
        <v>0</v>
      </c>
      <c r="M304" s="1">
        <f t="shared" si="15"/>
        <v>1</v>
      </c>
      <c r="N304" s="1">
        <f t="shared" si="16"/>
        <v>0</v>
      </c>
      <c r="O304" s="1">
        <f t="shared" si="17"/>
        <v>90</v>
      </c>
      <c r="P304" s="1"/>
      <c r="Q304" s="1"/>
      <c r="R304" s="1">
        <f>IFERROR(SUMIFS(_REF_Model_Content!$F$1:$F$174,_REF_Model_Content!$A$1:$A$174,PV_Canonical_Industry,_REF_Model_Content!$B$1:$B$174,$A304),0)</f>
        <v>0</v>
      </c>
    </row>
    <row r="305" spans="1:18">
      <c r="A305" s="1" t="str">
        <f>_DATA_Dashboard_Facts!$A$10</f>
        <v>Legal Risk</v>
      </c>
      <c r="B305" s="1">
        <f>IF(SUMPRODUCT((_DATA_Assessment_Model!$H$124:$H$144&lt;&gt;"")*(_DATA_Assessment_Model!$H$124:$H$144&lt;&gt;"N/A")*_DATA_Assessment_Model!$G$124:$G$144)=0,"",_DATA_Dashboard_Facts!$H$10)</f>
        <v>0</v>
      </c>
      <c r="C305" s="1">
        <f>IF(SUMPRODUCT((_DATA_Assessment_Model!$H$124:$H$144&lt;&gt;"")*(_DATA_Assessment_Model!$H$124:$H$144&lt;&gt;"N/A")*_DATA_Assessment_Model!$G$124:$G$144)=0,"",ROUND(SUMPRODUCT((_DATA_Assessment_Model!$H$124:$H$144&lt;&gt;"")*(_DATA_Assessment_Model!$H$124:$H$144&lt;&gt;"N/A")*_DATA_Assessment_Model!$G$124:$G$144*_DATA_Assessment_Model!$AS$124:$AS$144)/SUMPRODUCT((_DATA_Assessment_Model!$H$124:$H$144&lt;&gt;"")*(_DATA_Assessment_Model!$H$124:$H$144&lt;&gt;"N/A")*_DATA_Assessment_Model!$G$124:$G$144),2))</f>
        <v>0</v>
      </c>
      <c r="D305" s="1">
        <f>IF(SUMPRODUCT((_DATA_Assessment_Model!$H$124:$H$144&lt;&gt;"")*(_DATA_Assessment_Model!$H$124:$H$144&lt;&gt;"N/A")*_DATA_Assessment_Model!$G$124:$G$144)=0,"",ROUND(SUMPRODUCT((_DATA_Assessment_Model!$H$124:$H$144&lt;&gt;"")*(_DATA_Assessment_Model!$H$124:$H$144&lt;&gt;"N/A")*_DATA_Assessment_Model!$G$124:$G$144*_DATA_Assessment_Model!$AT$124:$AT$144)/SUMPRODUCT((_DATA_Assessment_Model!$H$124:$H$144&lt;&gt;"")*(_DATA_Assessment_Model!$H$124:$H$144&lt;&gt;"N/A")*_DATA_Assessment_Model!$G$124:$G$144)*100,0))</f>
        <v>90</v>
      </c>
      <c r="E305" s="1" t="str">
        <f t="shared" si="10"/>
        <v/>
      </c>
      <c r="F305" s="1">
        <f>IFERROR(MIN(5,MAX(0,(SUMIFS(_REF_Model_Content!$D$1:$D$174,_REF_Model_Content!$A$1:$A$174,PV_Canonical_Industry,_REF_Model_Content!$B$1:$B$174,$A305))+IFERROR(VLOOKUP('Company Profile'!$B$35,_CONFIG_Model_Settings!$A$11:$B$13,2,0),0))),"")</f>
        <v>0</v>
      </c>
      <c r="G305" s="1">
        <f t="shared" si="11"/>
        <v>0</v>
      </c>
      <c r="H305" s="1">
        <f>IFERROR(SUMIFS(_REF_Model_Content!$E$1:$E$174,_REF_Model_Content!$A$1:$A$174,PV_Canonical_Industry,_REF_Model_Content!$B$1:$B$174,$A305),1)</f>
        <v>0</v>
      </c>
      <c r="I305" s="1">
        <f>IFERROR(INDEX(_CONFIG_Model_Settings!$H$1:$H$181,MATCH($A305,_CONFIG_Model_Settings!$A$1:$A$181,0)),0)</f>
        <v>5.6095098039215696E-2</v>
      </c>
      <c r="J305" s="1">
        <f t="shared" si="12"/>
        <v>0</v>
      </c>
      <c r="K305" s="1" t="str">
        <f t="shared" si="13"/>
        <v>OK</v>
      </c>
      <c r="L305" s="1">
        <f t="shared" si="14"/>
        <v>0</v>
      </c>
      <c r="M305" s="1">
        <f t="shared" si="15"/>
        <v>1</v>
      </c>
      <c r="N305" s="1">
        <f t="shared" si="16"/>
        <v>0</v>
      </c>
      <c r="O305" s="1">
        <f t="shared" si="17"/>
        <v>90</v>
      </c>
      <c r="P305" s="1"/>
      <c r="Q305" s="1"/>
      <c r="R305" s="1">
        <f>IFERROR(SUMIFS(_REF_Model_Content!$F$1:$F$174,_REF_Model_Content!$A$1:$A$174,PV_Canonical_Industry,_REF_Model_Content!$B$1:$B$174,$A305),0)</f>
        <v>0</v>
      </c>
    </row>
    <row r="306" spans="1:18">
      <c r="A306" s="1" t="str">
        <f>_DATA_Dashboard_Facts!$A$11</f>
        <v>Physical Safety</v>
      </c>
      <c r="B306" s="1">
        <f>IF(SUMPRODUCT((_DATA_Assessment_Model!$H$145:$H$175&lt;&gt;"")*(_DATA_Assessment_Model!$H$145:$H$175&lt;&gt;"N/A")*_DATA_Assessment_Model!$G$145:$G$175)=0,"",_DATA_Dashboard_Facts!$H$11)</f>
        <v>0</v>
      </c>
      <c r="C306" s="1">
        <f>IF(SUMPRODUCT((_DATA_Assessment_Model!$H$145:$H$175&lt;&gt;"")*(_DATA_Assessment_Model!$H$145:$H$175&lt;&gt;"N/A")*_DATA_Assessment_Model!$G$145:$G$175)=0,"",ROUND(SUMPRODUCT((_DATA_Assessment_Model!$H$145:$H$175&lt;&gt;"")*(_DATA_Assessment_Model!$H$145:$H$175&lt;&gt;"N/A")*_DATA_Assessment_Model!$G$145:$G$175*_DATA_Assessment_Model!$AS$145:$AS$175)/SUMPRODUCT((_DATA_Assessment_Model!$H$145:$H$175&lt;&gt;"")*(_DATA_Assessment_Model!$H$145:$H$175&lt;&gt;"N/A")*_DATA_Assessment_Model!$G$145:$G$175),2))</f>
        <v>0</v>
      </c>
      <c r="D306" s="1">
        <f>IF(SUMPRODUCT((_DATA_Assessment_Model!$H$145:$H$175&lt;&gt;"")*(_DATA_Assessment_Model!$H$145:$H$175&lt;&gt;"N/A")*_DATA_Assessment_Model!$G$145:$G$175)=0,"",ROUND(SUMPRODUCT((_DATA_Assessment_Model!$H$145:$H$175&lt;&gt;"")*(_DATA_Assessment_Model!$H$145:$H$175&lt;&gt;"N/A")*_DATA_Assessment_Model!$G$145:$G$175*_DATA_Assessment_Model!$AT$145:$AT$175)/SUMPRODUCT((_DATA_Assessment_Model!$H$145:$H$175&lt;&gt;"")*(_DATA_Assessment_Model!$H$145:$H$175&lt;&gt;"N/A")*_DATA_Assessment_Model!$G$145:$G$175)*100,0))</f>
        <v>90</v>
      </c>
      <c r="E306" s="1" t="str">
        <f t="shared" si="10"/>
        <v/>
      </c>
      <c r="F306" s="1">
        <f>IFERROR(MIN(5,MAX(0,(SUMIFS(_REF_Model_Content!$D$1:$D$174,_REF_Model_Content!$A$1:$A$174,PV_Canonical_Industry,_REF_Model_Content!$B$1:$B$174,$A306))+IFERROR(VLOOKUP('Company Profile'!$B$35,_CONFIG_Model_Settings!$A$11:$B$13,2,0),0))),"")</f>
        <v>0</v>
      </c>
      <c r="G306" s="1">
        <f t="shared" si="11"/>
        <v>0</v>
      </c>
      <c r="H306" s="1">
        <f>IFERROR(SUMIFS(_REF_Model_Content!$E$1:$E$174,_REF_Model_Content!$A$1:$A$174,PV_Canonical_Industry,_REF_Model_Content!$B$1:$B$174,$A306),1)</f>
        <v>0</v>
      </c>
      <c r="I306" s="1">
        <f>IFERROR(INDEX(_CONFIG_Model_Settings!$H$1:$H$181,MATCH($A306,_CONFIG_Model_Settings!$A$1:$A$181,0)),0)</f>
        <v>5.4378431372549031E-2</v>
      </c>
      <c r="J306" s="1">
        <f t="shared" si="12"/>
        <v>0</v>
      </c>
      <c r="K306" s="1" t="str">
        <f t="shared" si="13"/>
        <v>OK</v>
      </c>
      <c r="L306" s="1">
        <f t="shared" si="14"/>
        <v>0</v>
      </c>
      <c r="M306" s="1">
        <f t="shared" si="15"/>
        <v>1</v>
      </c>
      <c r="N306" s="1">
        <f t="shared" si="16"/>
        <v>0</v>
      </c>
      <c r="O306" s="1">
        <f t="shared" si="17"/>
        <v>90</v>
      </c>
      <c r="P306" s="1"/>
      <c r="Q306" s="1"/>
      <c r="R306" s="1">
        <f>IFERROR(SUMIFS(_REF_Model_Content!$F$1:$F$174,_REF_Model_Content!$A$1:$A$174,PV_Canonical_Industry,_REF_Model_Content!$B$1:$B$174,$A306),0)</f>
        <v>0</v>
      </c>
    </row>
    <row r="307" spans="1:18">
      <c r="A307" s="1" t="str">
        <f>_DATA_Dashboard_Facts!$A$12</f>
        <v>Delivery Ops</v>
      </c>
      <c r="B307" s="1">
        <f>IF(SUMPRODUCT((_DATA_Assessment_Model!$H$176:$H$199&lt;&gt;"")*(_DATA_Assessment_Model!$H$176:$H$199&lt;&gt;"N/A")*_DATA_Assessment_Model!$G$176:$G$199)=0,"",_DATA_Dashboard_Facts!$H$12)</f>
        <v>0</v>
      </c>
      <c r="C307" s="1">
        <f>IF(SUMPRODUCT((_DATA_Assessment_Model!$H$176:$H$199&lt;&gt;"")*(_DATA_Assessment_Model!$H$176:$H$199&lt;&gt;"N/A")*_DATA_Assessment_Model!$G$176:$G$199)=0,"",ROUND(SUMPRODUCT((_DATA_Assessment_Model!$H$176:$H$199&lt;&gt;"")*(_DATA_Assessment_Model!$H$176:$H$199&lt;&gt;"N/A")*_DATA_Assessment_Model!$G$176:$G$199*_DATA_Assessment_Model!$AS$176:$AS$199)/SUMPRODUCT((_DATA_Assessment_Model!$H$176:$H$199&lt;&gt;"")*(_DATA_Assessment_Model!$H$176:$H$199&lt;&gt;"N/A")*_DATA_Assessment_Model!$G$176:$G$199),2))</f>
        <v>0</v>
      </c>
      <c r="D307" s="1">
        <f>IF(SUMPRODUCT((_DATA_Assessment_Model!$H$176:$H$199&lt;&gt;"")*(_DATA_Assessment_Model!$H$176:$H$199&lt;&gt;"N/A")*_DATA_Assessment_Model!$G$176:$G$199)=0,"",ROUND(SUMPRODUCT((_DATA_Assessment_Model!$H$176:$H$199&lt;&gt;"")*(_DATA_Assessment_Model!$H$176:$H$199&lt;&gt;"N/A")*_DATA_Assessment_Model!$G$176:$G$199*_DATA_Assessment_Model!$AT$176:$AT$199)/SUMPRODUCT((_DATA_Assessment_Model!$H$176:$H$199&lt;&gt;"")*(_DATA_Assessment_Model!$H$176:$H$199&lt;&gt;"N/A")*_DATA_Assessment_Model!$G$176:$G$199)*100,0))</f>
        <v>90</v>
      </c>
      <c r="E307" s="1" t="str">
        <f t="shared" si="10"/>
        <v/>
      </c>
      <c r="F307" s="1">
        <f>IFERROR(MIN(5,MAX(0,(SUMIFS(_REF_Model_Content!$D$1:$D$174,_REF_Model_Content!$A$1:$A$174,PV_Canonical_Industry,_REF_Model_Content!$B$1:$B$174,$A307))+IFERROR(VLOOKUP('Company Profile'!$B$35,_CONFIG_Model_Settings!$A$11:$B$13,2,0),0))),"")</f>
        <v>0</v>
      </c>
      <c r="G307" s="1">
        <f t="shared" si="11"/>
        <v>0</v>
      </c>
      <c r="H307" s="1">
        <f>IFERROR(SUMIFS(_REF_Model_Content!$E$1:$E$174,_REF_Model_Content!$A$1:$A$174,PV_Canonical_Industry,_REF_Model_Content!$B$1:$B$174,$A307),1)</f>
        <v>0</v>
      </c>
      <c r="I307" s="1">
        <f>IFERROR(INDEX(_CONFIG_Model_Settings!$H$1:$H$181,MATCH($A307,_CONFIG_Model_Settings!$A$1:$A$181,0)),0)</f>
        <v>6.6078431372549026E-2</v>
      </c>
      <c r="J307" s="1">
        <f t="shared" si="12"/>
        <v>0</v>
      </c>
      <c r="K307" s="1" t="str">
        <f t="shared" si="13"/>
        <v>OK</v>
      </c>
      <c r="L307" s="1">
        <f t="shared" si="14"/>
        <v>0</v>
      </c>
      <c r="M307" s="1">
        <f t="shared" si="15"/>
        <v>1</v>
      </c>
      <c r="N307" s="1">
        <f t="shared" si="16"/>
        <v>0</v>
      </c>
      <c r="O307" s="1">
        <f t="shared" si="17"/>
        <v>90</v>
      </c>
      <c r="P307" s="1"/>
      <c r="Q307" s="1"/>
      <c r="R307" s="1">
        <f>IFERROR(SUMIFS(_REF_Model_Content!$F$1:$F$174,_REF_Model_Content!$A$1:$A$174,PV_Canonical_Industry,_REF_Model_Content!$B$1:$B$174,$A307),0)</f>
        <v>0</v>
      </c>
    </row>
    <row r="308" spans="1:18">
      <c r="A308" s="1" t="str">
        <f>_DATA_Dashboard_Facts!$A$13</f>
        <v>Supply Chain</v>
      </c>
      <c r="B308" s="1">
        <f>IF(SUMPRODUCT((_DATA_Assessment_Model!$H$200:$H$228&lt;&gt;"")*(_DATA_Assessment_Model!$H$200:$H$228&lt;&gt;"N/A")*_DATA_Assessment_Model!$G$200:$G$228)=0,"",_DATA_Dashboard_Facts!$H$13)</f>
        <v>0</v>
      </c>
      <c r="C308" s="1">
        <f>IF(SUMPRODUCT((_DATA_Assessment_Model!$H$200:$H$228&lt;&gt;"")*(_DATA_Assessment_Model!$H$200:$H$228&lt;&gt;"N/A")*_DATA_Assessment_Model!$G$200:$G$228)=0,"",ROUND(SUMPRODUCT((_DATA_Assessment_Model!$H$200:$H$228&lt;&gt;"")*(_DATA_Assessment_Model!$H$200:$H$228&lt;&gt;"N/A")*_DATA_Assessment_Model!$G$200:$G$228*_DATA_Assessment_Model!$AS$200:$AS$228)/SUMPRODUCT((_DATA_Assessment_Model!$H$200:$H$228&lt;&gt;"")*(_DATA_Assessment_Model!$H$200:$H$228&lt;&gt;"N/A")*_DATA_Assessment_Model!$G$200:$G$228),2))</f>
        <v>0</v>
      </c>
      <c r="D308" s="1">
        <f>IF(SUMPRODUCT((_DATA_Assessment_Model!$H$200:$H$228&lt;&gt;"")*(_DATA_Assessment_Model!$H$200:$H$228&lt;&gt;"N/A")*_DATA_Assessment_Model!$G$200:$G$228)=0,"",ROUND(SUMPRODUCT((_DATA_Assessment_Model!$H$200:$H$228&lt;&gt;"")*(_DATA_Assessment_Model!$H$200:$H$228&lt;&gt;"N/A")*_DATA_Assessment_Model!$G$200:$G$228*_DATA_Assessment_Model!$AT$200:$AT$228)/SUMPRODUCT((_DATA_Assessment_Model!$H$200:$H$228&lt;&gt;"")*(_DATA_Assessment_Model!$H$200:$H$228&lt;&gt;"N/A")*_DATA_Assessment_Model!$G$200:$G$228)*100,0))</f>
        <v>90</v>
      </c>
      <c r="E308" s="1" t="str">
        <f t="shared" si="10"/>
        <v/>
      </c>
      <c r="F308" s="1">
        <f>IFERROR(MIN(5,MAX(0,(SUMIFS(_REF_Model_Content!$D$1:$D$174,_REF_Model_Content!$A$1:$A$174,PV_Canonical_Industry,_REF_Model_Content!$B$1:$B$174,$A308))+IFERROR(VLOOKUP('Company Profile'!$B$35,_CONFIG_Model_Settings!$A$11:$B$13,2,0),0))),"")</f>
        <v>0</v>
      </c>
      <c r="G308" s="1">
        <f t="shared" si="11"/>
        <v>0</v>
      </c>
      <c r="H308" s="1">
        <f>IFERROR(SUMIFS(_REF_Model_Content!$E$1:$E$174,_REF_Model_Content!$A$1:$A$174,PV_Canonical_Industry,_REF_Model_Content!$B$1:$B$174,$A308),1)</f>
        <v>0</v>
      </c>
      <c r="I308" s="1">
        <f>IFERROR(INDEX(_CONFIG_Model_Settings!$H$1:$H$181,MATCH($A308,_CONFIG_Model_Settings!$A$1:$A$181,0)),0)</f>
        <v>6.6078431372549026E-2</v>
      </c>
      <c r="J308" s="1">
        <f t="shared" si="12"/>
        <v>0</v>
      </c>
      <c r="K308" s="1" t="str">
        <f t="shared" si="13"/>
        <v>OK</v>
      </c>
      <c r="L308" s="1">
        <f t="shared" si="14"/>
        <v>0</v>
      </c>
      <c r="M308" s="1">
        <f t="shared" si="15"/>
        <v>1</v>
      </c>
      <c r="N308" s="1">
        <f t="shared" si="16"/>
        <v>0</v>
      </c>
      <c r="O308" s="1">
        <f t="shared" si="17"/>
        <v>90</v>
      </c>
      <c r="P308" s="1"/>
      <c r="Q308" s="1"/>
      <c r="R308" s="1">
        <f>IFERROR(SUMIFS(_REF_Model_Content!$F$1:$F$174,_REF_Model_Content!$A$1:$A$174,PV_Canonical_Industry,_REF_Model_Content!$B$1:$B$174,$A308),0)</f>
        <v>0</v>
      </c>
    </row>
    <row r="309" spans="1:18">
      <c r="A309" s="1" t="str">
        <f>_DATA_Dashboard_Facts!$A$14</f>
        <v>Manufacturing MES</v>
      </c>
      <c r="B309" s="1">
        <f>IF(SUMPRODUCT((_DATA_Assessment_Model!$H$229:$H$256&lt;&gt;"")*(_DATA_Assessment_Model!$H$229:$H$256&lt;&gt;"N/A")*_DATA_Assessment_Model!$G$229:$G$256)=0,"",_DATA_Dashboard_Facts!$H$14)</f>
        <v>0</v>
      </c>
      <c r="C309" s="1">
        <f>IF(SUMPRODUCT((_DATA_Assessment_Model!$H$229:$H$256&lt;&gt;"")*(_DATA_Assessment_Model!$H$229:$H$256&lt;&gt;"N/A")*_DATA_Assessment_Model!$G$229:$G$256)=0,"",ROUND(SUMPRODUCT((_DATA_Assessment_Model!$H$229:$H$256&lt;&gt;"")*(_DATA_Assessment_Model!$H$229:$H$256&lt;&gt;"N/A")*_DATA_Assessment_Model!$G$229:$G$256*_DATA_Assessment_Model!$AS$229:$AS$256)/SUMPRODUCT((_DATA_Assessment_Model!$H$229:$H$256&lt;&gt;"")*(_DATA_Assessment_Model!$H$229:$H$256&lt;&gt;"N/A")*_DATA_Assessment_Model!$G$229:$G$256),2))</f>
        <v>0</v>
      </c>
      <c r="D309" s="1">
        <f>IF(SUMPRODUCT((_DATA_Assessment_Model!$H$229:$H$256&lt;&gt;"")*(_DATA_Assessment_Model!$H$229:$H$256&lt;&gt;"N/A")*_DATA_Assessment_Model!$G$229:$G$256)=0,"",ROUND(SUMPRODUCT((_DATA_Assessment_Model!$H$229:$H$256&lt;&gt;"")*(_DATA_Assessment_Model!$H$229:$H$256&lt;&gt;"N/A")*_DATA_Assessment_Model!$G$229:$G$256*_DATA_Assessment_Model!$AT$229:$AT$256)/SUMPRODUCT((_DATA_Assessment_Model!$H$229:$H$256&lt;&gt;"")*(_DATA_Assessment_Model!$H$229:$H$256&lt;&gt;"N/A")*_DATA_Assessment_Model!$G$229:$G$256)*100,0))</f>
        <v>90</v>
      </c>
      <c r="E309" s="1" t="str">
        <f t="shared" si="10"/>
        <v/>
      </c>
      <c r="F309" s="1">
        <f>IFERROR(MIN(5,MAX(0,(SUMIFS(_REF_Model_Content!$D$1:$D$174,_REF_Model_Content!$A$1:$A$174,PV_Canonical_Industry,_REF_Model_Content!$B$1:$B$174,$A309))+IFERROR(VLOOKUP('Company Profile'!$B$35,_CONFIG_Model_Settings!$A$11:$B$13,2,0),0))),"")</f>
        <v>0</v>
      </c>
      <c r="G309" s="1">
        <f t="shared" si="11"/>
        <v>0</v>
      </c>
      <c r="H309" s="1">
        <f>IFERROR(SUMIFS(_REF_Model_Content!$E$1:$E$174,_REF_Model_Content!$A$1:$A$174,PV_Canonical_Industry,_REF_Model_Content!$B$1:$B$174,$A309),1)</f>
        <v>0</v>
      </c>
      <c r="I309" s="1">
        <f>IFERROR(INDEX(_CONFIG_Model_Settings!$H$1:$H$181,MATCH($A309,_CONFIG_Model_Settings!$A$1:$A$181,0)),0)</f>
        <v>6.6078431372549026E-2</v>
      </c>
      <c r="J309" s="1">
        <f t="shared" si="12"/>
        <v>0</v>
      </c>
      <c r="K309" s="1" t="str">
        <f t="shared" si="13"/>
        <v>OK</v>
      </c>
      <c r="L309" s="1">
        <f t="shared" si="14"/>
        <v>0</v>
      </c>
      <c r="M309" s="1">
        <f t="shared" si="15"/>
        <v>1</v>
      </c>
      <c r="N309" s="1">
        <f t="shared" si="16"/>
        <v>0</v>
      </c>
      <c r="O309" s="1">
        <f t="shared" si="17"/>
        <v>90</v>
      </c>
      <c r="P309" s="1"/>
      <c r="Q309" s="1"/>
      <c r="R309" s="1">
        <f>IFERROR(SUMIFS(_REF_Model_Content!$F$1:$F$174,_REF_Model_Content!$A$1:$A$174,PV_Canonical_Industry,_REF_Model_Content!$B$1:$B$174,$A309),0)</f>
        <v>0</v>
      </c>
    </row>
    <row r="310" spans="1:18">
      <c r="A310" s="1" t="str">
        <f>_DATA_Dashboard_Facts!$A$15</f>
        <v>Sales CRM</v>
      </c>
      <c r="B310" s="1">
        <f>IF(SUMPRODUCT((_DATA_Assessment_Model!$H$257:$H$280&lt;&gt;"")*(_DATA_Assessment_Model!$H$257:$H$280&lt;&gt;"N/A")*_DATA_Assessment_Model!$G$257:$G$280)=0,"",_DATA_Dashboard_Facts!$H$15)</f>
        <v>0</v>
      </c>
      <c r="C310" s="1">
        <f>IF(SUMPRODUCT((_DATA_Assessment_Model!$H$257:$H$280&lt;&gt;"")*(_DATA_Assessment_Model!$H$257:$H$280&lt;&gt;"N/A")*_DATA_Assessment_Model!$G$257:$G$280)=0,"",ROUND(SUMPRODUCT((_DATA_Assessment_Model!$H$257:$H$280&lt;&gt;"")*(_DATA_Assessment_Model!$H$257:$H$280&lt;&gt;"N/A")*_DATA_Assessment_Model!$G$257:$G$280*_DATA_Assessment_Model!$AS$257:$AS$280)/SUMPRODUCT((_DATA_Assessment_Model!$H$257:$H$280&lt;&gt;"")*(_DATA_Assessment_Model!$H$257:$H$280&lt;&gt;"N/A")*_DATA_Assessment_Model!$G$257:$G$280),2))</f>
        <v>0</v>
      </c>
      <c r="D310" s="1">
        <f>IF(SUMPRODUCT((_DATA_Assessment_Model!$H$257:$H$280&lt;&gt;"")*(_DATA_Assessment_Model!$H$257:$H$280&lt;&gt;"N/A")*_DATA_Assessment_Model!$G$257:$G$280)=0,"",ROUND(SUMPRODUCT((_DATA_Assessment_Model!$H$257:$H$280&lt;&gt;"")*(_DATA_Assessment_Model!$H$257:$H$280&lt;&gt;"N/A")*_DATA_Assessment_Model!$G$257:$G$280*_DATA_Assessment_Model!$AT$257:$AT$280)/SUMPRODUCT((_DATA_Assessment_Model!$H$257:$H$280&lt;&gt;"")*(_DATA_Assessment_Model!$H$257:$H$280&lt;&gt;"N/A")*_DATA_Assessment_Model!$G$257:$G$280)*100,0))</f>
        <v>90</v>
      </c>
      <c r="E310" s="1" t="str">
        <f t="shared" si="10"/>
        <v/>
      </c>
      <c r="F310" s="1">
        <f>IFERROR(MIN(5,MAX(0,(SUMIFS(_REF_Model_Content!$D$1:$D$174,_REF_Model_Content!$A$1:$A$174,PV_Canonical_Industry,_REF_Model_Content!$B$1:$B$174,$A310))+IFERROR(VLOOKUP('Company Profile'!$B$35,_CONFIG_Model_Settings!$A$11:$B$13,2,0),0))),"")</f>
        <v>0</v>
      </c>
      <c r="G310" s="1">
        <f t="shared" si="11"/>
        <v>0</v>
      </c>
      <c r="H310" s="1">
        <f>IFERROR(SUMIFS(_REF_Model_Content!$E$1:$E$174,_REF_Model_Content!$A$1:$A$174,PV_Canonical_Industry,_REF_Model_Content!$B$1:$B$174,$A310),1)</f>
        <v>0</v>
      </c>
      <c r="I310" s="1">
        <f>IFERROR(INDEX(_CONFIG_Model_Settings!$H$1:$H$181,MATCH($A310,_CONFIG_Model_Settings!$A$1:$A$181,0)),0)</f>
        <v>4.9411764705882363E-2</v>
      </c>
      <c r="J310" s="1">
        <f t="shared" si="12"/>
        <v>0</v>
      </c>
      <c r="K310" s="1" t="str">
        <f t="shared" si="13"/>
        <v>OK</v>
      </c>
      <c r="L310" s="1">
        <f t="shared" si="14"/>
        <v>0</v>
      </c>
      <c r="M310" s="1">
        <f t="shared" si="15"/>
        <v>1</v>
      </c>
      <c r="N310" s="1">
        <f t="shared" si="16"/>
        <v>0</v>
      </c>
      <c r="O310" s="1">
        <f t="shared" si="17"/>
        <v>90</v>
      </c>
      <c r="P310" s="1"/>
      <c r="Q310" s="1"/>
      <c r="R310" s="1">
        <f>IFERROR(SUMIFS(_REF_Model_Content!$F$1:$F$174,_REF_Model_Content!$A$1:$A$174,PV_Canonical_Industry,_REF_Model_Content!$B$1:$B$174,$A310),0)</f>
        <v>0</v>
      </c>
    </row>
    <row r="311" spans="1:18">
      <c r="A311" s="1" t="str">
        <f>_DATA_Dashboard_Facts!$A$16</f>
        <v>Marketing Comms</v>
      </c>
      <c r="B311" s="1">
        <f>IF(SUMPRODUCT((_DATA_Assessment_Model!$H$281:$H$296&lt;&gt;"")*(_DATA_Assessment_Model!$H$281:$H$296&lt;&gt;"N/A")*_DATA_Assessment_Model!$G$281:$G$296)=0,"",_DATA_Dashboard_Facts!$H$16)</f>
        <v>0</v>
      </c>
      <c r="C311" s="1">
        <f>IF(SUMPRODUCT((_DATA_Assessment_Model!$H$281:$H$296&lt;&gt;"")*(_DATA_Assessment_Model!$H$281:$H$296&lt;&gt;"N/A")*_DATA_Assessment_Model!$G$281:$G$296)=0,"",ROUND(SUMPRODUCT((_DATA_Assessment_Model!$H$281:$H$296&lt;&gt;"")*(_DATA_Assessment_Model!$H$281:$H$296&lt;&gt;"N/A")*_DATA_Assessment_Model!$G$281:$G$296*_DATA_Assessment_Model!$AS$281:$AS$296)/SUMPRODUCT((_DATA_Assessment_Model!$H$281:$H$296&lt;&gt;"")*(_DATA_Assessment_Model!$H$281:$H$296&lt;&gt;"N/A")*_DATA_Assessment_Model!$G$281:$G$296),2))</f>
        <v>0</v>
      </c>
      <c r="D311" s="1">
        <f>IF(SUMPRODUCT((_DATA_Assessment_Model!$H$281:$H$296&lt;&gt;"")*(_DATA_Assessment_Model!$H$281:$H$296&lt;&gt;"N/A")*_DATA_Assessment_Model!$G$281:$G$296)=0,"",ROUND(SUMPRODUCT((_DATA_Assessment_Model!$H$281:$H$296&lt;&gt;"")*(_DATA_Assessment_Model!$H$281:$H$296&lt;&gt;"N/A")*_DATA_Assessment_Model!$G$281:$G$296*_DATA_Assessment_Model!$AT$281:$AT$296)/SUMPRODUCT((_DATA_Assessment_Model!$H$281:$H$296&lt;&gt;"")*(_DATA_Assessment_Model!$H$281:$H$296&lt;&gt;"N/A")*_DATA_Assessment_Model!$G$281:$G$296)*100,0))</f>
        <v>90</v>
      </c>
      <c r="E311" s="1" t="str">
        <f t="shared" si="10"/>
        <v/>
      </c>
      <c r="F311" s="1">
        <f>IFERROR(MIN(5,MAX(0,(SUMIFS(_REF_Model_Content!$D$1:$D$174,_REF_Model_Content!$A$1:$A$174,PV_Canonical_Industry,_REF_Model_Content!$B$1:$B$174,$A311))+IFERROR(VLOOKUP('Company Profile'!$B$35,_CONFIG_Model_Settings!$A$11:$B$13,2,0),0))),"")</f>
        <v>0</v>
      </c>
      <c r="G311" s="1">
        <f t="shared" si="11"/>
        <v>0</v>
      </c>
      <c r="H311" s="1">
        <f>IFERROR(SUMIFS(_REF_Model_Content!$E$1:$E$174,_REF_Model_Content!$A$1:$A$174,PV_Canonical_Industry,_REF_Model_Content!$B$1:$B$174,$A311),1)</f>
        <v>0</v>
      </c>
      <c r="I311" s="1">
        <f>IFERROR(INDEX(_CONFIG_Model_Settings!$H$1:$H$181,MATCH($A311,_CONFIG_Model_Settings!$A$1:$A$181,0)),0)</f>
        <v>4.9411764705882363E-2</v>
      </c>
      <c r="J311" s="1">
        <f t="shared" si="12"/>
        <v>0</v>
      </c>
      <c r="K311" s="1" t="str">
        <f t="shared" si="13"/>
        <v>OK</v>
      </c>
      <c r="L311" s="1">
        <f t="shared" si="14"/>
        <v>0</v>
      </c>
      <c r="M311" s="1">
        <f t="shared" si="15"/>
        <v>1</v>
      </c>
      <c r="N311" s="1">
        <f t="shared" si="16"/>
        <v>0</v>
      </c>
      <c r="O311" s="1">
        <f t="shared" si="17"/>
        <v>90</v>
      </c>
      <c r="P311" s="1"/>
      <c r="Q311" s="1"/>
      <c r="R311" s="1">
        <f>IFERROR(SUMIFS(_REF_Model_Content!$F$1:$F$174,_REF_Model_Content!$A$1:$A$174,PV_Canonical_Industry,_REF_Model_Content!$B$1:$B$174,$A311),0)</f>
        <v>0</v>
      </c>
    </row>
    <row r="312" spans="1:18">
      <c r="A312" s="1" t="str">
        <f>_DATA_Dashboard_Facts!$A$17</f>
        <v>IT Cloud DR</v>
      </c>
      <c r="B312" s="1">
        <f>IF(SUMPRODUCT((_DATA_Assessment_Model!$H$297:$H$324&lt;&gt;"")*(_DATA_Assessment_Model!$H$297:$H$324&lt;&gt;"N/A")*_DATA_Assessment_Model!$G$297:$G$324)=0,"",_DATA_Dashboard_Facts!$H$17)</f>
        <v>0</v>
      </c>
      <c r="C312" s="1">
        <f>IF(SUMPRODUCT((_DATA_Assessment_Model!$H$297:$H$324&lt;&gt;"")*(_DATA_Assessment_Model!$H$297:$H$324&lt;&gt;"N/A")*_DATA_Assessment_Model!$G$297:$G$324)=0,"",ROUND(SUMPRODUCT((_DATA_Assessment_Model!$H$297:$H$324&lt;&gt;"")*(_DATA_Assessment_Model!$H$297:$H$324&lt;&gt;"N/A")*_DATA_Assessment_Model!$G$297:$G$324*_DATA_Assessment_Model!$AS$297:$AS$324)/SUMPRODUCT((_DATA_Assessment_Model!$H$297:$H$324&lt;&gt;"")*(_DATA_Assessment_Model!$H$297:$H$324&lt;&gt;"N/A")*_DATA_Assessment_Model!$G$297:$G$324),2))</f>
        <v>0</v>
      </c>
      <c r="D312" s="1">
        <f>IF(SUMPRODUCT((_DATA_Assessment_Model!$H$297:$H$324&lt;&gt;"")*(_DATA_Assessment_Model!$H$297:$H$324&lt;&gt;"N/A")*_DATA_Assessment_Model!$G$297:$G$324)=0,"",ROUND(SUMPRODUCT((_DATA_Assessment_Model!$H$297:$H$324&lt;&gt;"")*(_DATA_Assessment_Model!$H$297:$H$324&lt;&gt;"N/A")*_DATA_Assessment_Model!$G$297:$G$324*_DATA_Assessment_Model!$AT$297:$AT$324)/SUMPRODUCT((_DATA_Assessment_Model!$H$297:$H$324&lt;&gt;"")*(_DATA_Assessment_Model!$H$297:$H$324&lt;&gt;"N/A")*_DATA_Assessment_Model!$G$297:$G$324)*100,0))</f>
        <v>90</v>
      </c>
      <c r="E312" s="1" t="str">
        <f t="shared" si="10"/>
        <v/>
      </c>
      <c r="F312" s="1">
        <f>IFERROR(MIN(5,MAX(0,(SUMIFS(_REF_Model_Content!$D$1:$D$174,_REF_Model_Content!$A$1:$A$174,PV_Canonical_Industry,_REF_Model_Content!$B$1:$B$174,$A312))+IFERROR(VLOOKUP('Company Profile'!$B$35,_CONFIG_Model_Settings!$A$11:$B$13,2,0),0))),"")</f>
        <v>0</v>
      </c>
      <c r="G312" s="1">
        <f t="shared" si="11"/>
        <v>0</v>
      </c>
      <c r="H312" s="1">
        <f>IFERROR(SUMIFS(_REF_Model_Content!$E$1:$E$174,_REF_Model_Content!$A$1:$A$174,PV_Canonical_Industry,_REF_Model_Content!$B$1:$B$174,$A312),1)</f>
        <v>0</v>
      </c>
      <c r="I312" s="1">
        <f>IFERROR(INDEX(_CONFIG_Model_Settings!$H$1:$H$181,MATCH($A312,_CONFIG_Model_Settings!$A$1:$A$181,0)),0)</f>
        <v>6.0674264705882365E-2</v>
      </c>
      <c r="J312" s="1">
        <f t="shared" si="12"/>
        <v>0</v>
      </c>
      <c r="K312" s="1" t="str">
        <f t="shared" si="13"/>
        <v>OK</v>
      </c>
      <c r="L312" s="1">
        <f t="shared" si="14"/>
        <v>0</v>
      </c>
      <c r="M312" s="1">
        <f t="shared" si="15"/>
        <v>1</v>
      </c>
      <c r="N312" s="1">
        <f t="shared" si="16"/>
        <v>0</v>
      </c>
      <c r="O312" s="1">
        <f t="shared" si="17"/>
        <v>90</v>
      </c>
      <c r="P312" s="1"/>
      <c r="Q312" s="1"/>
      <c r="R312" s="1">
        <f>IFERROR(SUMIFS(_REF_Model_Content!$F$1:$F$174,_REF_Model_Content!$A$1:$A$174,PV_Canonical_Industry,_REF_Model_Content!$B$1:$B$174,$A312),0)</f>
        <v>0</v>
      </c>
    </row>
    <row r="313" spans="1:18">
      <c r="A313" s="1" t="str">
        <f>_DATA_Dashboard_Facts!$A$18</f>
        <v>Business Systems</v>
      </c>
      <c r="B313" s="1">
        <f>IF(SUMPRODUCT((_DATA_Assessment_Model!$H$325:$H$345&lt;&gt;"")*(_DATA_Assessment_Model!$H$325:$H$345&lt;&gt;"N/A")*_DATA_Assessment_Model!$G$325:$G$345)=0,"",_DATA_Dashboard_Facts!$H$18)</f>
        <v>0</v>
      </c>
      <c r="C313" s="1">
        <f>IF(SUMPRODUCT((_DATA_Assessment_Model!$H$325:$H$345&lt;&gt;"")*(_DATA_Assessment_Model!$H$325:$H$345&lt;&gt;"N/A")*_DATA_Assessment_Model!$G$325:$G$345)=0,"",ROUND(SUMPRODUCT((_DATA_Assessment_Model!$H$325:$H$345&lt;&gt;"")*(_DATA_Assessment_Model!$H$325:$H$345&lt;&gt;"N/A")*_DATA_Assessment_Model!$G$325:$G$345*_DATA_Assessment_Model!$AS$325:$AS$345)/SUMPRODUCT((_DATA_Assessment_Model!$H$325:$H$345&lt;&gt;"")*(_DATA_Assessment_Model!$H$325:$H$345&lt;&gt;"N/A")*_DATA_Assessment_Model!$G$325:$G$345),2))</f>
        <v>0</v>
      </c>
      <c r="D313" s="1">
        <f>IF(SUMPRODUCT((_DATA_Assessment_Model!$H$325:$H$345&lt;&gt;"")*(_DATA_Assessment_Model!$H$325:$H$345&lt;&gt;"N/A")*_DATA_Assessment_Model!$G$325:$G$345)=0,"",ROUND(SUMPRODUCT((_DATA_Assessment_Model!$H$325:$H$345&lt;&gt;"")*(_DATA_Assessment_Model!$H$325:$H$345&lt;&gt;"N/A")*_DATA_Assessment_Model!$G$325:$G$345*_DATA_Assessment_Model!$AT$325:$AT$345)/SUMPRODUCT((_DATA_Assessment_Model!$H$325:$H$345&lt;&gt;"")*(_DATA_Assessment_Model!$H$325:$H$345&lt;&gt;"N/A")*_DATA_Assessment_Model!$G$325:$G$345)*100,0))</f>
        <v>90</v>
      </c>
      <c r="E313" s="1" t="str">
        <f t="shared" si="10"/>
        <v/>
      </c>
      <c r="F313" s="1">
        <f>IFERROR(MIN(5,MAX(0,(SUMIFS(_REF_Model_Content!$D$1:$D$174,_REF_Model_Content!$A$1:$A$174,PV_Canonical_Industry,_REF_Model_Content!$B$1:$B$174,$A313))+IFERROR(VLOOKUP('Company Profile'!$B$35,_CONFIG_Model_Settings!$A$11:$B$13,2,0),0))),"")</f>
        <v>0</v>
      </c>
      <c r="G313" s="1">
        <f t="shared" si="11"/>
        <v>0</v>
      </c>
      <c r="H313" s="1">
        <f>IFERROR(SUMIFS(_REF_Model_Content!$E$1:$E$174,_REF_Model_Content!$A$1:$A$174,PV_Canonical_Industry,_REF_Model_Content!$B$1:$B$174,$A313),1)</f>
        <v>0</v>
      </c>
      <c r="I313" s="1">
        <f>IFERROR(INDEX(_CONFIG_Model_Settings!$H$1:$H$181,MATCH($A313,_CONFIG_Model_Settings!$A$1:$A$181,0)),0)</f>
        <v>6.0674264705882365E-2</v>
      </c>
      <c r="J313" s="1">
        <f t="shared" si="12"/>
        <v>0</v>
      </c>
      <c r="K313" s="1" t="str">
        <f t="shared" si="13"/>
        <v>OK</v>
      </c>
      <c r="L313" s="1">
        <f t="shared" si="14"/>
        <v>0</v>
      </c>
      <c r="M313" s="1">
        <f t="shared" si="15"/>
        <v>1</v>
      </c>
      <c r="N313" s="1">
        <f t="shared" si="16"/>
        <v>0</v>
      </c>
      <c r="O313" s="1">
        <f t="shared" si="17"/>
        <v>90</v>
      </c>
      <c r="P313" s="1"/>
      <c r="Q313" s="1"/>
      <c r="R313" s="1">
        <f>IFERROR(SUMIFS(_REF_Model_Content!$F$1:$F$174,_REF_Model_Content!$A$1:$A$174,PV_Canonical_Industry,_REF_Model_Content!$B$1:$B$174,$A313),0)</f>
        <v>0</v>
      </c>
    </row>
    <row r="314" spans="1:18">
      <c r="A314" s="1" t="str">
        <f>_DATA_Dashboard_Facts!$A$19</f>
        <v>Data BI AI</v>
      </c>
      <c r="B314" s="1">
        <f>IF(SUMPRODUCT((_DATA_Assessment_Model!$H$346:$H$372&lt;&gt;"")*(_DATA_Assessment_Model!$H$346:$H$372&lt;&gt;"N/A")*_DATA_Assessment_Model!$G$346:$G$372)=0,"",_DATA_Dashboard_Facts!$H$19)</f>
        <v>0</v>
      </c>
      <c r="C314" s="1">
        <f>IF(SUMPRODUCT((_DATA_Assessment_Model!$H$346:$H$372&lt;&gt;"")*(_DATA_Assessment_Model!$H$346:$H$372&lt;&gt;"N/A")*_DATA_Assessment_Model!$G$346:$G$372)=0,"",ROUND(SUMPRODUCT((_DATA_Assessment_Model!$H$346:$H$372&lt;&gt;"")*(_DATA_Assessment_Model!$H$346:$H$372&lt;&gt;"N/A")*_DATA_Assessment_Model!$G$346:$G$372*_DATA_Assessment_Model!$AS$346:$AS$372)/SUMPRODUCT((_DATA_Assessment_Model!$H$346:$H$372&lt;&gt;"")*(_DATA_Assessment_Model!$H$346:$H$372&lt;&gt;"N/A")*_DATA_Assessment_Model!$G$346:$G$372),2))</f>
        <v>0</v>
      </c>
      <c r="D314" s="1">
        <f>IF(SUMPRODUCT((_DATA_Assessment_Model!$H$346:$H$372&lt;&gt;"")*(_DATA_Assessment_Model!$H$346:$H$372&lt;&gt;"N/A")*_DATA_Assessment_Model!$G$346:$G$372)=0,"",ROUND(SUMPRODUCT((_DATA_Assessment_Model!$H$346:$H$372&lt;&gt;"")*(_DATA_Assessment_Model!$H$346:$H$372&lt;&gt;"N/A")*_DATA_Assessment_Model!$G$346:$G$372*_DATA_Assessment_Model!$AT$346:$AT$372)/SUMPRODUCT((_DATA_Assessment_Model!$H$346:$H$372&lt;&gt;"")*(_DATA_Assessment_Model!$H$346:$H$372&lt;&gt;"N/A")*_DATA_Assessment_Model!$G$346:$G$372)*100,0))</f>
        <v>90</v>
      </c>
      <c r="E314" s="1" t="str">
        <f t="shared" si="10"/>
        <v/>
      </c>
      <c r="F314" s="1">
        <f>IFERROR(MIN(5,MAX(0,(SUMIFS(_REF_Model_Content!$D$1:$D$174,_REF_Model_Content!$A$1:$A$174,PV_Canonical_Industry,_REF_Model_Content!$B$1:$B$174,$A314))+IFERROR(VLOOKUP('Company Profile'!$B$35,_CONFIG_Model_Settings!$A$11:$B$13,2,0),0))),"")</f>
        <v>0</v>
      </c>
      <c r="G314" s="1">
        <f t="shared" si="11"/>
        <v>0</v>
      </c>
      <c r="H314" s="1">
        <f>IFERROR(SUMIFS(_REF_Model_Content!$E$1:$E$174,_REF_Model_Content!$A$1:$A$174,PV_Canonical_Industry,_REF_Model_Content!$B$1:$B$174,$A314),1)</f>
        <v>0</v>
      </c>
      <c r="I314" s="1">
        <f>IFERROR(INDEX(_CONFIG_Model_Settings!$H$1:$H$181,MATCH($A314,_CONFIG_Model_Settings!$A$1:$A$181,0)),0)</f>
        <v>6.0674264705882365E-2</v>
      </c>
      <c r="J314" s="1">
        <f t="shared" si="12"/>
        <v>0</v>
      </c>
      <c r="K314" s="1" t="str">
        <f t="shared" si="13"/>
        <v>OK</v>
      </c>
      <c r="L314" s="1">
        <f t="shared" si="14"/>
        <v>0</v>
      </c>
      <c r="M314" s="1">
        <f t="shared" si="15"/>
        <v>1</v>
      </c>
      <c r="N314" s="1">
        <f t="shared" si="16"/>
        <v>0</v>
      </c>
      <c r="O314" s="1">
        <f t="shared" si="17"/>
        <v>90</v>
      </c>
      <c r="P314" s="1"/>
      <c r="Q314" s="1"/>
      <c r="R314" s="1">
        <f>IFERROR(SUMIFS(_REF_Model_Content!$F$1:$F$174,_REF_Model_Content!$A$1:$A$174,PV_Canonical_Industry,_REF_Model_Content!$B$1:$B$174,$A314),0)</f>
        <v>0</v>
      </c>
    </row>
    <row r="315" spans="1:18">
      <c r="A315" s="1" t="str">
        <f>_DATA_Dashboard_Facts!$A$20</f>
        <v>Cyber Privacy</v>
      </c>
      <c r="B315" s="1">
        <f>IF(SUMPRODUCT((_DATA_Assessment_Model!$H$373:$H$406&lt;&gt;"")*(_DATA_Assessment_Model!$H$373:$H$406&lt;&gt;"N/A")*_DATA_Assessment_Model!$G$373:$G$406)=0,"",_DATA_Dashboard_Facts!$H$20)</f>
        <v>0</v>
      </c>
      <c r="C315" s="1">
        <f>IF(SUMPRODUCT((_DATA_Assessment_Model!$H$373:$H$406&lt;&gt;"")*(_DATA_Assessment_Model!$H$373:$H$406&lt;&gt;"N/A")*_DATA_Assessment_Model!$G$373:$G$406)=0,"",ROUND(SUMPRODUCT((_DATA_Assessment_Model!$H$373:$H$406&lt;&gt;"")*(_DATA_Assessment_Model!$H$373:$H$406&lt;&gt;"N/A")*_DATA_Assessment_Model!$G$373:$G$406*_DATA_Assessment_Model!$AS$373:$AS$406)/SUMPRODUCT((_DATA_Assessment_Model!$H$373:$H$406&lt;&gt;"")*(_DATA_Assessment_Model!$H$373:$H$406&lt;&gt;"N/A")*_DATA_Assessment_Model!$G$373:$G$406),2))</f>
        <v>0</v>
      </c>
      <c r="D315" s="1">
        <f>IF(SUMPRODUCT((_DATA_Assessment_Model!$H$373:$H$406&lt;&gt;"")*(_DATA_Assessment_Model!$H$373:$H$406&lt;&gt;"N/A")*_DATA_Assessment_Model!$G$373:$G$406)=0,"",ROUND(SUMPRODUCT((_DATA_Assessment_Model!$H$373:$H$406&lt;&gt;"")*(_DATA_Assessment_Model!$H$373:$H$406&lt;&gt;"N/A")*_DATA_Assessment_Model!$G$373:$G$406*_DATA_Assessment_Model!$AT$373:$AT$406)/SUMPRODUCT((_DATA_Assessment_Model!$H$373:$H$406&lt;&gt;"")*(_DATA_Assessment_Model!$H$373:$H$406&lt;&gt;"N/A")*_DATA_Assessment_Model!$G$373:$G$406)*100,0))</f>
        <v>90</v>
      </c>
      <c r="E315" s="1" t="str">
        <f t="shared" si="10"/>
        <v/>
      </c>
      <c r="F315" s="1">
        <f>IFERROR(MIN(5,MAX(0,(SUMIFS(_REF_Model_Content!$D$1:$D$174,_REF_Model_Content!$A$1:$A$174,PV_Canonical_Industry,_REF_Model_Content!$B$1:$B$174,$A315))+IFERROR(VLOOKUP('Company Profile'!$B$35,_CONFIG_Model_Settings!$A$11:$B$13,2,0),0))),"")</f>
        <v>0</v>
      </c>
      <c r="G315" s="1">
        <f t="shared" si="11"/>
        <v>0</v>
      </c>
      <c r="H315" s="1">
        <f>IFERROR(SUMIFS(_REF_Model_Content!$E$1:$E$174,_REF_Model_Content!$A$1:$A$174,PV_Canonical_Industry,_REF_Model_Content!$B$1:$B$174,$A315),1)</f>
        <v>0</v>
      </c>
      <c r="I315" s="1">
        <f>IFERROR(INDEX(_CONFIG_Model_Settings!$H$1:$H$181,MATCH($A315,_CONFIG_Model_Settings!$A$1:$A$181,0)),0)</f>
        <v>6.0674264705882365E-2</v>
      </c>
      <c r="J315" s="1">
        <f t="shared" si="12"/>
        <v>0</v>
      </c>
      <c r="K315" s="1" t="str">
        <f t="shared" si="13"/>
        <v>OK</v>
      </c>
      <c r="L315" s="1">
        <f t="shared" si="14"/>
        <v>0</v>
      </c>
      <c r="M315" s="1">
        <f t="shared" si="15"/>
        <v>1</v>
      </c>
      <c r="N315" s="1">
        <f t="shared" si="16"/>
        <v>0</v>
      </c>
      <c r="O315" s="1">
        <f t="shared" si="17"/>
        <v>90</v>
      </c>
      <c r="P315" s="1"/>
      <c r="Q315" s="1"/>
      <c r="R315" s="1">
        <f>IFERROR(SUMIFS(_REF_Model_Content!$F$1:$F$174,_REF_Model_Content!$A$1:$A$174,PV_Canonical_Industry,_REF_Model_Content!$B$1:$B$174,$A315),0)</f>
        <v>0</v>
      </c>
    </row>
    <row r="316" spans="1:18" ht="34.85" customHeight="1">
      <c r="A316" s="60" t="str">
        <f>_DATA_Dashboard_Facts!$A$21</f>
        <v>Quality Portfolio</v>
      </c>
      <c r="B316" s="1">
        <f>IF(SUMPRODUCT((_DATA_Assessment_Model!$H$407:$H$428&lt;&gt;"")*(_DATA_Assessment_Model!$H$407:$H$428&lt;&gt;"N/A")*_DATA_Assessment_Model!$G$407:$G$428)=0,"",_DATA_Dashboard_Facts!$H$21)</f>
        <v>0</v>
      </c>
      <c r="C316" s="1">
        <f>IF(SUMPRODUCT((_DATA_Assessment_Model!$H$407:$H$428&lt;&gt;"")*(_DATA_Assessment_Model!$H$407:$H$428&lt;&gt;"N/A")*_DATA_Assessment_Model!$G$407:$G$428)=0,"",ROUND(SUMPRODUCT((_DATA_Assessment_Model!$H$407:$H$428&lt;&gt;"")*(_DATA_Assessment_Model!$H$407:$H$428&lt;&gt;"N/A")*_DATA_Assessment_Model!$G$407:$G$428*_DATA_Assessment_Model!$AS$407:$AS$428)/SUMPRODUCT((_DATA_Assessment_Model!$H$407:$H$428&lt;&gt;"")*(_DATA_Assessment_Model!$H$407:$H$428&lt;&gt;"N/A")*_DATA_Assessment_Model!$G$407:$G$428),2))</f>
        <v>0</v>
      </c>
      <c r="D316" s="1">
        <f>IF(SUMPRODUCT((_DATA_Assessment_Model!$H$407:$H$428&lt;&gt;"")*(_DATA_Assessment_Model!$H$407:$H$428&lt;&gt;"N/A")*_DATA_Assessment_Model!$G$407:$G$428)=0,"",ROUND(SUMPRODUCT((_DATA_Assessment_Model!$H$407:$H$428&lt;&gt;"")*(_DATA_Assessment_Model!$H$407:$H$428&lt;&gt;"N/A")*_DATA_Assessment_Model!$G$407:$G$428*_DATA_Assessment_Model!$AT$407:$AT$428)/SUMPRODUCT((_DATA_Assessment_Model!$H$407:$H$428&lt;&gt;"")*(_DATA_Assessment_Model!$H$407:$H$428&lt;&gt;"N/A")*_DATA_Assessment_Model!$G$407:$G$428)*100,0))</f>
        <v>90</v>
      </c>
      <c r="E316" s="1" t="str">
        <f t="shared" si="10"/>
        <v/>
      </c>
      <c r="F316" s="1">
        <f>IFERROR(MIN(5,MAX(0,(SUMIFS(_REF_Model_Content!$D$1:$D$174,_REF_Model_Content!$A$1:$A$174,PV_Canonical_Industry,_REF_Model_Content!$B$1:$B$174,$A316))+IFERROR(VLOOKUP('Company Profile'!$B$35,_CONFIG_Model_Settings!$A$11:$B$13,2,0),0))),"")</f>
        <v>0</v>
      </c>
      <c r="G316" s="1">
        <f t="shared" si="11"/>
        <v>0</v>
      </c>
      <c r="H316" s="1">
        <f>IFERROR(SUMIFS(_REF_Model_Content!$E$1:$E$174,_REF_Model_Content!$A$1:$A$174,PV_Canonical_Industry,_REF_Model_Content!$B$1:$B$174,$A316),1)</f>
        <v>0</v>
      </c>
      <c r="I316" s="1">
        <f>IFERROR(INDEX(_CONFIG_Model_Settings!$H$1:$H$181,MATCH($A316,_CONFIG_Model_Settings!$A$1:$A$181,0)),0)</f>
        <v>5.6095098039215696E-2</v>
      </c>
      <c r="J316" s="1">
        <f t="shared" si="12"/>
        <v>0</v>
      </c>
      <c r="K316" s="1" t="str">
        <f t="shared" si="13"/>
        <v>OK</v>
      </c>
      <c r="L316" s="1">
        <f t="shared" si="14"/>
        <v>0</v>
      </c>
      <c r="M316" s="1">
        <f t="shared" si="15"/>
        <v>1</v>
      </c>
      <c r="N316" s="1">
        <f t="shared" si="16"/>
        <v>0</v>
      </c>
      <c r="O316" s="1">
        <f t="shared" si="17"/>
        <v>90</v>
      </c>
      <c r="P316" s="1"/>
      <c r="Q316" s="1"/>
      <c r="R316" s="1">
        <f>IFERROR(SUMIFS(_REF_Model_Content!$F$1:$F$174,_REF_Model_Content!$A$1:$A$174,PV_Canonical_Industry,_REF_Model_Content!$B$1:$B$174,$A316),0)</f>
        <v>0</v>
      </c>
    </row>
    <row r="317" spans="1:18" ht="36" customHeight="1">
      <c r="A317" s="61" t="s">
        <v>3760</v>
      </c>
      <c r="B317" s="58" t="s">
        <v>3761</v>
      </c>
      <c r="C317" s="1"/>
      <c r="D317" s="1"/>
      <c r="E317" s="1"/>
      <c r="F317" s="1"/>
      <c r="G317" s="1"/>
      <c r="H317" s="1"/>
      <c r="I317" s="1"/>
      <c r="J317" s="1"/>
      <c r="K317" s="1"/>
      <c r="L317" s="1"/>
      <c r="M317" s="1"/>
      <c r="N317" s="1"/>
      <c r="O317" s="1"/>
      <c r="P317" s="1"/>
      <c r="Q317" s="1"/>
      <c r="R317" s="1"/>
    </row>
    <row r="318" spans="1:18" ht="36" customHeight="1">
      <c r="A318" s="61" t="s">
        <v>3762</v>
      </c>
      <c r="B318" s="58" t="s">
        <v>3763</v>
      </c>
      <c r="C318" s="1"/>
      <c r="D318" s="1"/>
      <c r="E318" s="1"/>
      <c r="F318" s="1"/>
      <c r="G318" s="1"/>
      <c r="H318" s="1"/>
      <c r="I318" s="1"/>
      <c r="J318" s="1"/>
      <c r="K318" s="1"/>
      <c r="L318" s="1"/>
      <c r="M318" s="1"/>
      <c r="N318" s="1"/>
      <c r="O318" s="1"/>
      <c r="P318" s="1"/>
      <c r="Q318" s="1"/>
      <c r="R318" s="1"/>
    </row>
    <row r="319" spans="1:18" ht="36" customHeight="1">
      <c r="A319" s="61" t="s">
        <v>3764</v>
      </c>
      <c r="B319" s="58" t="s">
        <v>3765</v>
      </c>
      <c r="C319" s="1"/>
      <c r="D319" s="1"/>
      <c r="E319" s="1"/>
      <c r="F319" s="1"/>
      <c r="G319" s="1"/>
      <c r="H319" s="1"/>
      <c r="I319" s="1"/>
      <c r="J319" s="1"/>
      <c r="K319" s="1"/>
      <c r="L319" s="1"/>
      <c r="M319" s="1"/>
      <c r="N319" s="1"/>
      <c r="O319" s="1"/>
      <c r="P319" s="1"/>
      <c r="Q319" s="1"/>
      <c r="R319" s="1"/>
    </row>
    <row r="320" spans="1:18" ht="36" customHeight="1">
      <c r="A320" s="61" t="s">
        <v>3766</v>
      </c>
      <c r="B320" s="58" t="s">
        <v>3767</v>
      </c>
      <c r="C320" s="1"/>
      <c r="D320" s="1"/>
      <c r="E320" s="1"/>
      <c r="F320" s="1"/>
      <c r="G320" s="1"/>
      <c r="H320" s="1"/>
      <c r="I320" s="1"/>
      <c r="J320" s="1"/>
      <c r="K320" s="1"/>
      <c r="L320" s="1"/>
      <c r="M320" s="1"/>
      <c r="N320" s="1"/>
      <c r="O320" s="1"/>
      <c r="P320" s="1"/>
      <c r="Q320" s="1"/>
      <c r="R320" s="1"/>
    </row>
    <row r="323" spans="1:2">
      <c r="A323" t="s">
        <v>3768</v>
      </c>
    </row>
    <row r="325" spans="1:2">
      <c r="B325" t="str">
        <f>IFERROR(ROUND(SUMPRODUCT($M$300:$M$316*$I$300:$I$316*$L$300:$L$316)/SUMPRODUCT($M$300:$M$316*$I$300:$I$316)*(1-0.5*SQRT(SUMPRODUCT($M$300:$M$316*($L$300:$L$316-(SUMPRODUCT($M$300:$M$316*$L$300:$L$316)/SUM($M$300:$M$316)))^2)/SUM($M$300:$M$316))/(SUMPRODUCT($M$300:$M$316*$L$300:$L$316)/SUM($M$300:$M$316)))*5,2),"")</f>
        <v/>
      </c>
    </row>
    <row r="328" spans="1:2">
      <c r="B328">
        <f>COUNTIF($K$300:$K$316,"BREACH")</f>
        <v>0</v>
      </c>
    </row>
    <row r="340" spans="1:16" ht="21" customHeight="1">
      <c r="A340" s="1" t="s">
        <v>3769</v>
      </c>
      <c r="B340" s="1"/>
      <c r="C340" s="1"/>
      <c r="D340" s="1"/>
    </row>
    <row r="341" spans="1:16">
      <c r="A341" s="1" t="s">
        <v>3770</v>
      </c>
      <c r="B341" s="1"/>
      <c r="C341" s="1"/>
      <c r="D341" s="1"/>
    </row>
    <row r="342" spans="1:16">
      <c r="A342" s="1"/>
      <c r="B342" s="1"/>
      <c r="C342" s="1"/>
      <c r="D342" s="1"/>
    </row>
    <row r="343" spans="1:16">
      <c r="A343" s="1" t="s">
        <v>3771</v>
      </c>
      <c r="B343" s="1"/>
      <c r="C343" s="1"/>
      <c r="D343" s="1"/>
    </row>
    <row r="344" spans="1:16">
      <c r="A344" s="1" t="s">
        <v>3772</v>
      </c>
      <c r="B344" s="1">
        <f>IFERROR('Company Profile'!$B$5,"")</f>
        <v>0</v>
      </c>
      <c r="C344" s="1"/>
      <c r="D344" s="1"/>
    </row>
    <row r="345" spans="1:16">
      <c r="A345" s="1" t="s">
        <v>462</v>
      </c>
      <c r="B345" s="1">
        <f>IFERROR(PV_Canonical_Industry,"")</f>
        <v>0</v>
      </c>
      <c r="C345" s="1"/>
      <c r="D345" s="1"/>
    </row>
    <row r="346" spans="1:16">
      <c r="A346" s="1" t="s">
        <v>654</v>
      </c>
      <c r="B346" s="1">
        <f>IFERROR('Company Profile'!$B$105,"")</f>
        <v>0</v>
      </c>
      <c r="C346" s="1"/>
      <c r="D346" s="1"/>
    </row>
    <row r="347" spans="1:16">
      <c r="A347" s="1" t="s">
        <v>3596</v>
      </c>
      <c r="B347" s="1">
        <f>IFERROR('Company Profile'!$B$35,"")</f>
        <v>0</v>
      </c>
      <c r="C347" s="1"/>
      <c r="D347" s="1"/>
    </row>
    <row r="348" spans="1:16">
      <c r="A348" s="1"/>
      <c r="B348" s="1"/>
      <c r="C348" s="1"/>
      <c r="D348" s="1"/>
    </row>
    <row r="349" spans="1:16">
      <c r="A349" s="1" t="s">
        <v>3773</v>
      </c>
      <c r="B349" s="1" t="s">
        <v>348</v>
      </c>
      <c r="C349" s="1" t="s">
        <v>3774</v>
      </c>
      <c r="D349" s="1"/>
    </row>
    <row r="350" spans="1:16">
      <c r="A350" s="1" t="s">
        <v>3423</v>
      </c>
      <c r="B350" s="1">
        <f>IFERROR(ROUND(AVERAGE(_DATA_Dashboard_Facts!$H$5:$H$21),2),"")</f>
        <v>0</v>
      </c>
      <c r="C350" s="1" t="s">
        <v>3775</v>
      </c>
      <c r="D350" s="1"/>
      <c r="P350">
        <f t="shared" ref="P350:P366" si="18">IF(OR($J300="",$G300=""),"",ABS(RANK($J300,$J$300:$J$316,0)-RANK($G300,$G$300:$G$316,0)))</f>
        <v>0</v>
      </c>
    </row>
    <row r="351" spans="1:16">
      <c r="A351" s="1" t="s">
        <v>3776</v>
      </c>
      <c r="B351" s="1">
        <f>IFERROR(ROUND(AVERAGE(_DATA_Dashboard_Facts!$F$217:$F$233),0),"")</f>
        <v>0</v>
      </c>
      <c r="C351" s="1" t="s">
        <v>3777</v>
      </c>
      <c r="D351" s="1"/>
      <c r="P351">
        <f t="shared" si="18"/>
        <v>0</v>
      </c>
    </row>
    <row r="352" spans="1:16">
      <c r="A352" s="1" t="s">
        <v>3778</v>
      </c>
      <c r="B352" s="1">
        <f>IFERROR(_DATA_Dashboard_Facts!$B$388,"")</f>
        <v>0</v>
      </c>
      <c r="C352" s="1" t="s">
        <v>3779</v>
      </c>
      <c r="D352" s="1"/>
      <c r="P352">
        <f t="shared" si="18"/>
        <v>0</v>
      </c>
    </row>
    <row r="353" spans="1:16">
      <c r="A353" s="1" t="s">
        <v>3780</v>
      </c>
      <c r="B353" s="1" t="str">
        <f>IFERROR(_DATA_Dashboard_Facts!$B$389,"")</f>
        <v>Critical</v>
      </c>
      <c r="C353" s="1" t="s">
        <v>3781</v>
      </c>
      <c r="D353" s="1"/>
      <c r="P353">
        <f t="shared" si="18"/>
        <v>0</v>
      </c>
    </row>
    <row r="354" spans="1:16">
      <c r="A354" s="1" t="s">
        <v>3782</v>
      </c>
      <c r="B354" s="1">
        <f>IFERROR(_ENGINE_Risk!$B$494,"")</f>
        <v>424</v>
      </c>
      <c r="C354" s="1" t="s">
        <v>3783</v>
      </c>
      <c r="D354" s="1"/>
      <c r="P354">
        <f t="shared" si="18"/>
        <v>0</v>
      </c>
    </row>
    <row r="355" spans="1:16">
      <c r="A355" s="1" t="s">
        <v>3784</v>
      </c>
      <c r="B355" s="1">
        <f>IFERROR(_ENGINE_Risk!$A$495,"")</f>
        <v>424</v>
      </c>
      <c r="C355" s="1" t="s">
        <v>3785</v>
      </c>
      <c r="D355" s="1"/>
      <c r="P355">
        <f t="shared" si="18"/>
        <v>0</v>
      </c>
    </row>
    <row r="356" spans="1:16">
      <c r="A356" s="1"/>
      <c r="B356" s="1"/>
      <c r="C356" s="1"/>
      <c r="D356" s="1"/>
      <c r="P356">
        <f t="shared" si="18"/>
        <v>0</v>
      </c>
    </row>
    <row r="357" spans="1:16">
      <c r="A357" s="1" t="s">
        <v>3786</v>
      </c>
      <c r="B357" s="1"/>
      <c r="C357" s="1"/>
      <c r="D357" s="1"/>
      <c r="P357">
        <f t="shared" si="18"/>
        <v>0</v>
      </c>
    </row>
    <row r="358" spans="1:16">
      <c r="A358" s="1" t="s">
        <v>3787</v>
      </c>
      <c r="B358" s="1" t="s">
        <v>3788</v>
      </c>
      <c r="C358" s="1"/>
      <c r="D358" s="1"/>
      <c r="P358">
        <f t="shared" si="18"/>
        <v>0</v>
      </c>
    </row>
    <row r="359" spans="1:16">
      <c r="A359" s="1" t="s">
        <v>3789</v>
      </c>
      <c r="B359" s="1" t="s">
        <v>3790</v>
      </c>
      <c r="C359" s="1"/>
      <c r="D359" s="1"/>
      <c r="P359">
        <f t="shared" si="18"/>
        <v>0</v>
      </c>
    </row>
    <row r="360" spans="1:16">
      <c r="A360" s="1" t="s">
        <v>3791</v>
      </c>
      <c r="B360" s="1" t="s">
        <v>3792</v>
      </c>
      <c r="C360" s="1"/>
      <c r="D360" s="1"/>
      <c r="P360">
        <f t="shared" si="18"/>
        <v>0</v>
      </c>
    </row>
    <row r="361" spans="1:16">
      <c r="A361" s="1" t="s">
        <v>3793</v>
      </c>
      <c r="B361" s="1">
        <f>IFERROR(ROUND(100*(1-AVERAGE($P$350:$P$366)/16),0),"")</f>
        <v>100</v>
      </c>
      <c r="C361" s="1"/>
      <c r="D361" s="1"/>
      <c r="P361">
        <f t="shared" si="18"/>
        <v>0</v>
      </c>
    </row>
    <row r="362" spans="1:16">
      <c r="A362" s="1" t="s">
        <v>3794</v>
      </c>
      <c r="B362" s="1" t="s">
        <v>3795</v>
      </c>
      <c r="C362" s="1"/>
      <c r="D362" s="1"/>
      <c r="P362">
        <f t="shared" si="18"/>
        <v>0</v>
      </c>
    </row>
    <row r="363" spans="1:16">
      <c r="A363" s="1"/>
      <c r="B363" s="1"/>
      <c r="C363" s="1"/>
      <c r="D363" s="1"/>
      <c r="P363">
        <f t="shared" si="18"/>
        <v>0</v>
      </c>
    </row>
    <row r="364" spans="1:16">
      <c r="A364" s="1" t="s">
        <v>3796</v>
      </c>
      <c r="B364" s="1"/>
      <c r="C364" s="1"/>
      <c r="D364" s="1"/>
      <c r="P364">
        <f t="shared" si="18"/>
        <v>0</v>
      </c>
    </row>
    <row r="365" spans="1:16">
      <c r="A365" s="1" t="s">
        <v>3797</v>
      </c>
      <c r="B365" s="1"/>
      <c r="C365" s="1"/>
      <c r="D365" s="1"/>
      <c r="P365">
        <f t="shared" si="18"/>
        <v>0</v>
      </c>
    </row>
    <row r="366" spans="1:16">
      <c r="P366">
        <f t="shared" si="18"/>
        <v>0</v>
      </c>
    </row>
    <row r="370" spans="1:5" ht="24" customHeight="1">
      <c r="A370" s="75" t="s">
        <v>3798</v>
      </c>
    </row>
    <row r="372" spans="1:5">
      <c r="A372" t="s">
        <v>3799</v>
      </c>
    </row>
    <row r="373" spans="1:5">
      <c r="A373" t="s">
        <v>3800</v>
      </c>
    </row>
    <row r="375" spans="1:5">
      <c r="A375" t="s">
        <v>3801</v>
      </c>
      <c r="B375">
        <f>'Company Profile'!$B$113</f>
        <v>12500</v>
      </c>
      <c r="C375" t="s">
        <v>3802</v>
      </c>
      <c r="D375">
        <f>'Company Profile'!$B$109</f>
        <v>0</v>
      </c>
    </row>
    <row r="378" spans="1:5">
      <c r="A378" t="s">
        <v>3530</v>
      </c>
      <c r="B378" t="s">
        <v>3803</v>
      </c>
      <c r="C378" t="s">
        <v>3804</v>
      </c>
      <c r="D378" t="s">
        <v>3805</v>
      </c>
      <c r="E378" t="s">
        <v>3806</v>
      </c>
    </row>
    <row r="379" spans="1:5">
      <c r="A379" t="s">
        <v>3807</v>
      </c>
      <c r="B379">
        <f>'Company Profile'!$B$110</f>
        <v>0</v>
      </c>
      <c r="C379" t="str">
        <f>IF($B379="","",IFERROR(VLOOKUP($B379,_CONFIG_Model_Settings!$J$154:$K$158,2,0),""))</f>
        <v/>
      </c>
      <c r="D379">
        <v>0.25</v>
      </c>
      <c r="E379" t="s">
        <v>3808</v>
      </c>
    </row>
    <row r="380" spans="1:5">
      <c r="A380" t="s">
        <v>3809</v>
      </c>
      <c r="B380">
        <f>'Company Profile'!$B$54</f>
        <v>0</v>
      </c>
      <c r="C380" t="str">
        <f>IF($B380="","",IFERROR(VLOOKUP($B380,_CONFIG_Model_Settings!$M$154:$N$160,2,0),""))</f>
        <v/>
      </c>
      <c r="D380">
        <v>0.15</v>
      </c>
      <c r="E380" t="s">
        <v>3810</v>
      </c>
    </row>
    <row r="381" spans="1:5">
      <c r="A381" t="s">
        <v>3811</v>
      </c>
      <c r="B381">
        <f>'Company Profile'!$B$55</f>
        <v>0</v>
      </c>
      <c r="C381" t="str">
        <f>IF($B381="","",IFERROR(VLOOKUP($B381,_CONFIG_Model_Settings!$M$154:$N$160,2,0),""))</f>
        <v/>
      </c>
      <c r="D381">
        <v>0.1</v>
      </c>
      <c r="E381" t="s">
        <v>3812</v>
      </c>
    </row>
    <row r="382" spans="1:5">
      <c r="A382" t="s">
        <v>3813</v>
      </c>
      <c r="B382">
        <f>'Company Profile'!$B$57</f>
        <v>0</v>
      </c>
      <c r="C382" t="str">
        <f>IF($B382="","",IFERROR(VLOOKUP($B382,_CONFIG_Model_Settings!$M$154:$N$160,2,0),""))</f>
        <v/>
      </c>
      <c r="D382">
        <v>0.1</v>
      </c>
      <c r="E382" t="s">
        <v>3814</v>
      </c>
    </row>
    <row r="383" spans="1:5">
      <c r="A383" t="s">
        <v>3815</v>
      </c>
      <c r="B383">
        <f>'Company Profile'!$B$59</f>
        <v>0</v>
      </c>
      <c r="C383" t="str">
        <f>IF($B383="","",IFERROR(VLOOKUP($B383,_CONFIG_Model_Settings!$W$154:$X$160,2,0),""))</f>
        <v/>
      </c>
      <c r="D383">
        <v>0.05</v>
      </c>
      <c r="E383" t="s">
        <v>3816</v>
      </c>
    </row>
    <row r="384" spans="1:5">
      <c r="A384" t="s">
        <v>3817</v>
      </c>
      <c r="B384">
        <f>'Company Profile'!$B$109</f>
        <v>0</v>
      </c>
      <c r="C384">
        <f>IF($B384="","",IF($B384&gt;=0.5,5,IF($B384&gt;=0.35,4,IF($B384&gt;=0.2,3,IF($B384&gt;=0.1,2,1)))))</f>
        <v>1</v>
      </c>
      <c r="D384">
        <v>0.15</v>
      </c>
      <c r="E384" t="s">
        <v>3818</v>
      </c>
    </row>
    <row r="385" spans="1:5">
      <c r="A385" t="s">
        <v>665</v>
      </c>
      <c r="B385">
        <f>'Company Profile'!$B$111</f>
        <v>0</v>
      </c>
      <c r="C385" t="str">
        <f>IF($B385="","",IFERROR(VLOOKUP($B385,_CONFIG_Model_Settings!$Q$154:$R$158,2,0),""))</f>
        <v/>
      </c>
      <c r="D385">
        <v>0.1</v>
      </c>
      <c r="E385" t="s">
        <v>3819</v>
      </c>
    </row>
    <row r="386" spans="1:5">
      <c r="A386" t="s">
        <v>3820</v>
      </c>
      <c r="B386">
        <f>'Company Profile'!$B$112</f>
        <v>0</v>
      </c>
      <c r="C386" t="str">
        <f>IF($B386="","",IFERROR(VLOOKUP($B386,_CONFIG_Model_Settings!$T$154:$U$158,2,0),""))</f>
        <v/>
      </c>
      <c r="D386">
        <v>0.1</v>
      </c>
      <c r="E386" t="s">
        <v>3821</v>
      </c>
    </row>
    <row r="388" spans="1:5">
      <c r="A388" t="s">
        <v>3600</v>
      </c>
      <c r="B388">
        <f>IFERROR(ROUND(SUMPRODUCT(ISNUMBER($C$379:$C$386)*IFERROR($C$379:$C$386+0,0)*$D$379:$D$386)/MAX(0.0001,SUMPRODUCT(ISNUMBER($C$379:$C$386)*$D$379:$D$386)),2),"")</f>
        <v>0</v>
      </c>
    </row>
    <row r="389" spans="1:5">
      <c r="A389" t="s">
        <v>3822</v>
      </c>
      <c r="B389" t="str">
        <f>IF($B$388="","",IF($B$388&gt;=4,"Resilient",IF($B$388&gt;=3,"Adequate",IF($B$388&gt;=2,"Fragile","Critical"))))</f>
        <v>Critical</v>
      </c>
    </row>
    <row r="392" spans="1:5">
      <c r="A392" t="s">
        <v>3823</v>
      </c>
    </row>
    <row r="393" spans="1:5">
      <c r="A393" t="s">
        <v>3824</v>
      </c>
      <c r="B393" t="s">
        <v>3825</v>
      </c>
      <c r="C393" t="s">
        <v>3826</v>
      </c>
      <c r="D393" t="s">
        <v>3827</v>
      </c>
    </row>
    <row r="394" spans="1:5">
      <c r="A394" t="s">
        <v>3828</v>
      </c>
      <c r="B394" t="s">
        <v>3829</v>
      </c>
      <c r="C394">
        <f>ROUND(IFERROR(VLOOKUP('Company Profile'!$B$54,_CONFIG_Model_Settings!$M$154:$O$160,3,0),0)*$B$375,0)</f>
        <v>0</v>
      </c>
      <c r="D394">
        <f>IF($C394="","",ROUND($C394*$D$375,0))</f>
        <v>0</v>
      </c>
    </row>
    <row r="395" spans="1:5">
      <c r="A395" t="s">
        <v>3830</v>
      </c>
      <c r="B395" t="s">
        <v>3831</v>
      </c>
      <c r="C395">
        <f>ROUND(IFERROR(VLOOKUP('Company Profile'!$B$55,_CONFIG_Model_Settings!$M$154:$O$160,3,0),0)*0.3*$B$375,0)</f>
        <v>0</v>
      </c>
      <c r="D395">
        <f>IF($C395="","",ROUND($C395*$D$375,0))</f>
        <v>0</v>
      </c>
    </row>
    <row r="396" spans="1:5">
      <c r="A396" t="s">
        <v>3832</v>
      </c>
      <c r="B396" t="s">
        <v>3833</v>
      </c>
      <c r="C396">
        <f>ROUND(IFERROR(VLOOKUP('Company Profile'!$B$57,_CONFIG_Model_Settings!$M$154:$O$160,3,0),0)*0.25*$B$375,0)</f>
        <v>0</v>
      </c>
      <c r="D396">
        <f>IF($C396="","",ROUND($C396*$D$375,0))</f>
        <v>0</v>
      </c>
    </row>
    <row r="398" spans="1:5">
      <c r="A398" t="s">
        <v>3834</v>
      </c>
    </row>
    <row r="399" spans="1:5">
      <c r="A399" t="str">
        <f>IF(AND(OR('Company Profile'!$B$55="30-60%",'Company Profile'!$B$55="&gt;60%"),IFERROR(INDEX(_DATA_Dashboard_Facts!$H$5:$H$21,MATCH("Sales CRM",_DATA_Dashboard_Facts!$A$5:$A$21,0))&gt;=4,FALSE)),"CHECK: Sales CRM rated &gt;=4 while top-5 customers exceed 30% of revenue - validate retention/diversification evidence","OK")</f>
        <v>OK</v>
      </c>
    </row>
    <row r="400" spans="1:5">
      <c r="A400" t="str">
        <f>IF(AND('Company Profile'!$B$110="&lt;3",IFERROR(INDEX(_DATA_Dashboard_Facts!$H$5:$H$21,MATCH("Finance Procurement",_DATA_Dashboard_Facts!$A$5:$A$21,0))&gt;=4,FALSE)),"CHECK: Finance rated &gt;=4 while cash runway is under 3 months - validate forecasting/scenario evidence","OK")</f>
        <v>OK</v>
      </c>
    </row>
    <row r="401" spans="1:1">
      <c r="A401" t="str">
        <f>IF(AND(OR('Company Profile'!$B$59="Single-source / hard to replace",'Company Profile'!$B$59="Regulated / certified supplier only"),IFERROR(INDEX(_DATA_Dashboard_Facts!$H$5:$H$21,MATCH("Supply Chain",_DATA_Dashboard_Facts!$A$5:$A$21,0))&gt;=4,FALSE)),"CHECK: Supply Chain rated &gt;=4 while critical suppliers are hard to replace - validate diversification evidence","OK")</f>
        <v>OK</v>
      </c>
    </row>
    <row r="403" spans="1:1">
      <c r="A403" t="s">
        <v>3835</v>
      </c>
    </row>
    <row r="404" spans="1:1">
      <c r="A404" t="s">
        <v>3836</v>
      </c>
    </row>
  </sheetData>
  <pageMargins left="0.75" right="0.75" top="1" bottom="1" header="0.5" footer="0.5"/>
  <pageSetup fitToHeight="0" orientation="landscape"/>
  <headerFooter>
    <oddFooter>&amp;R© Roman Reznikov / RR-framework — CC BY-NC-SA 4.0 — For authorized use only</oddFooter>
    <evenFooter>&amp;R© Roman Reznikov / RR-framework — CC BY-NC-SA 4.0 — For authorized use only</evenFooter>
    <firstFooter>&amp;R© Roman Reznikov / RR-framework — CC BY-NC-SA 4.0 — For authorized use only</first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111827"/>
    <pageSetUpPr fitToPage="1"/>
  </sheetPr>
  <dimension ref="A1:CX76"/>
  <sheetViews>
    <sheetView showGridLines="0" workbookViewId="0">
      <pane ySplit="3" topLeftCell="A4" activePane="bottomLeft" state="frozen"/>
      <selection pane="bottomLeft"/>
    </sheetView>
  </sheetViews>
  <sheetFormatPr defaultRowHeight="14.15"/>
  <cols>
    <col min="1" max="5" width="22" customWidth="1"/>
    <col min="6" max="10" width="36" customWidth="1"/>
    <col min="11" max="31" width="18" customWidth="1"/>
    <col min="32" max="33" width="22" customWidth="1"/>
    <col min="34" max="40" width="36" customWidth="1"/>
    <col min="41" max="42" width="22" customWidth="1"/>
    <col min="43" max="43" width="18" customWidth="1"/>
    <col min="44" max="44" width="36" customWidth="1"/>
    <col min="45" max="45" width="22" customWidth="1"/>
    <col min="46" max="46" width="20" customWidth="1"/>
    <col min="47" max="48" width="18" customWidth="1"/>
    <col min="49" max="49" width="35" customWidth="1"/>
    <col min="53" max="60" width="18" customWidth="1"/>
    <col min="82" max="88" width="24" customWidth="1"/>
    <col min="89" max="95" width="28" customWidth="1"/>
  </cols>
  <sheetData>
    <row r="1" spans="1:102" ht="25.95" customHeight="1">
      <c r="A1" s="303" t="s">
        <v>3837</v>
      </c>
      <c r="B1" s="304"/>
      <c r="C1" s="304"/>
      <c r="D1" s="304"/>
      <c r="E1" s="304"/>
      <c r="F1" s="304"/>
      <c r="G1" s="304"/>
      <c r="H1" s="304"/>
      <c r="I1" s="304"/>
      <c r="J1" s="304"/>
      <c r="K1" s="304"/>
      <c r="L1" s="304"/>
      <c r="M1" s="304"/>
      <c r="N1" s="304"/>
      <c r="O1" s="304"/>
      <c r="P1" s="304"/>
      <c r="Q1" s="304"/>
      <c r="R1" s="304"/>
      <c r="S1" s="304"/>
      <c r="T1" s="304"/>
      <c r="U1" s="304"/>
      <c r="V1" s="304"/>
      <c r="W1" s="304"/>
      <c r="X1" s="304"/>
      <c r="Y1" s="304"/>
      <c r="Z1" s="304"/>
      <c r="AA1" s="304"/>
      <c r="AB1" s="304"/>
      <c r="AC1" s="304"/>
      <c r="AD1" s="304"/>
      <c r="AE1" s="304"/>
      <c r="AF1" s="304"/>
      <c r="AG1" s="304"/>
      <c r="AH1" s="304"/>
      <c r="AI1" s="304"/>
      <c r="AJ1" s="304"/>
      <c r="AK1" s="304"/>
      <c r="AL1" s="304"/>
      <c r="AM1" s="304"/>
      <c r="AN1" s="304"/>
      <c r="AO1" s="304"/>
      <c r="AP1" s="304"/>
      <c r="AQ1" s="304"/>
      <c r="AR1" s="305"/>
    </row>
    <row r="2" spans="1:102" ht="34.1" customHeight="1">
      <c r="A2" s="306" t="s">
        <v>3838</v>
      </c>
      <c r="B2" s="267"/>
      <c r="C2" s="267"/>
      <c r="D2" s="267"/>
      <c r="E2" s="267"/>
      <c r="F2" s="267"/>
      <c r="G2" s="267"/>
      <c r="H2" s="267"/>
      <c r="I2" s="267"/>
      <c r="J2" s="267"/>
      <c r="K2" s="267"/>
      <c r="L2" s="267"/>
      <c r="M2" s="267"/>
      <c r="N2" s="267"/>
      <c r="O2" s="267"/>
      <c r="P2" s="267"/>
      <c r="Q2" s="267"/>
      <c r="R2" s="267"/>
      <c r="S2" s="267"/>
      <c r="T2" s="267"/>
      <c r="U2" s="267"/>
      <c r="V2" s="267"/>
      <c r="W2" s="267"/>
      <c r="X2" s="267"/>
      <c r="Y2" s="267"/>
      <c r="Z2" s="267"/>
      <c r="AA2" s="267"/>
      <c r="AB2" s="267"/>
      <c r="AC2" s="267"/>
      <c r="AD2" s="267"/>
      <c r="AE2" s="267"/>
      <c r="AF2" s="267"/>
      <c r="AG2" s="267"/>
      <c r="AH2" s="267"/>
      <c r="AI2" s="267"/>
      <c r="AJ2" s="267"/>
      <c r="AK2" s="267"/>
      <c r="AL2" s="267"/>
      <c r="AM2" s="267"/>
      <c r="AN2" s="267"/>
      <c r="AO2" s="267"/>
      <c r="AP2" s="267"/>
      <c r="AQ2" s="267"/>
      <c r="AR2" s="267"/>
    </row>
    <row r="4" spans="1:102" ht="30" customHeight="1">
      <c r="A4" s="16" t="s">
        <v>3512</v>
      </c>
      <c r="B4" s="16" t="s">
        <v>764</v>
      </c>
      <c r="C4" s="16" t="s">
        <v>768</v>
      </c>
      <c r="D4" s="16" t="s">
        <v>3510</v>
      </c>
      <c r="E4" s="16" t="s">
        <v>3839</v>
      </c>
      <c r="F4" s="16" t="s">
        <v>3536</v>
      </c>
      <c r="G4" s="16" t="s">
        <v>3840</v>
      </c>
      <c r="H4" s="16" t="s">
        <v>3841</v>
      </c>
      <c r="I4" s="16" t="s">
        <v>3842</v>
      </c>
      <c r="J4" s="16" t="s">
        <v>3843</v>
      </c>
      <c r="K4" s="16" t="s">
        <v>3844</v>
      </c>
      <c r="L4" s="16" t="s">
        <v>3845</v>
      </c>
      <c r="M4" s="16" t="s">
        <v>3676</v>
      </c>
      <c r="N4" s="16" t="s">
        <v>3846</v>
      </c>
      <c r="O4" s="16" t="s">
        <v>3847</v>
      </c>
      <c r="P4" s="16" t="s">
        <v>3848</v>
      </c>
      <c r="Q4" s="16" t="s">
        <v>3849</v>
      </c>
      <c r="R4" s="16" t="s">
        <v>3448</v>
      </c>
      <c r="S4" s="16" t="s">
        <v>3850</v>
      </c>
      <c r="T4" s="16" t="s">
        <v>3851</v>
      </c>
      <c r="U4" s="16" t="s">
        <v>3852</v>
      </c>
      <c r="V4" s="16" t="s">
        <v>3853</v>
      </c>
      <c r="W4" s="16" t="s">
        <v>3854</v>
      </c>
      <c r="X4" s="16" t="s">
        <v>3515</v>
      </c>
      <c r="Y4" s="16" t="s">
        <v>3516</v>
      </c>
      <c r="Z4" s="16" t="s">
        <v>3517</v>
      </c>
      <c r="AA4" s="16" t="s">
        <v>3855</v>
      </c>
      <c r="AB4" s="16" t="s">
        <v>3856</v>
      </c>
      <c r="AC4" s="16" t="s">
        <v>3505</v>
      </c>
      <c r="AD4" s="16" t="s">
        <v>3447</v>
      </c>
      <c r="AE4" s="16" t="s">
        <v>3857</v>
      </c>
      <c r="AF4" s="16" t="s">
        <v>3858</v>
      </c>
      <c r="AG4" s="16" t="s">
        <v>3859</v>
      </c>
      <c r="AH4" s="16" t="s">
        <v>3860</v>
      </c>
      <c r="AI4" s="16" t="s">
        <v>3861</v>
      </c>
      <c r="AJ4" s="16" t="s">
        <v>3862</v>
      </c>
      <c r="AK4" s="16" t="s">
        <v>3863</v>
      </c>
      <c r="AL4" s="16" t="s">
        <v>3864</v>
      </c>
      <c r="AM4" s="16" t="s">
        <v>3865</v>
      </c>
      <c r="AN4" s="16" t="s">
        <v>3866</v>
      </c>
      <c r="AO4" s="16" t="s">
        <v>3867</v>
      </c>
      <c r="AP4" s="16" t="s">
        <v>3868</v>
      </c>
      <c r="AQ4" s="16" t="s">
        <v>3869</v>
      </c>
      <c r="AR4" s="16" t="s">
        <v>744</v>
      </c>
      <c r="AS4" s="15" t="s">
        <v>3870</v>
      </c>
      <c r="AT4" s="15" t="s">
        <v>3871</v>
      </c>
      <c r="AU4" s="15" t="s">
        <v>3872</v>
      </c>
      <c r="AV4" s="15" t="s">
        <v>3873</v>
      </c>
      <c r="AW4" s="15" t="s">
        <v>3874</v>
      </c>
      <c r="AX4" t="s">
        <v>3875</v>
      </c>
      <c r="AY4" t="s">
        <v>3876</v>
      </c>
      <c r="AZ4" t="s">
        <v>3877</v>
      </c>
      <c r="BA4" t="s">
        <v>3878</v>
      </c>
      <c r="BB4" t="s">
        <v>3879</v>
      </c>
      <c r="BC4" t="s">
        <v>3880</v>
      </c>
      <c r="BD4" t="s">
        <v>3881</v>
      </c>
      <c r="BE4" t="s">
        <v>3882</v>
      </c>
      <c r="BF4" t="s">
        <v>3882</v>
      </c>
      <c r="BG4" t="s">
        <v>3882</v>
      </c>
      <c r="BH4" t="s">
        <v>3882</v>
      </c>
      <c r="BI4" s="16" t="s">
        <v>3883</v>
      </c>
      <c r="BJ4" s="16" t="s">
        <v>3884</v>
      </c>
      <c r="BK4" s="16" t="s">
        <v>3885</v>
      </c>
      <c r="BL4" s="16" t="s">
        <v>3886</v>
      </c>
      <c r="BM4" s="16" t="s">
        <v>3887</v>
      </c>
      <c r="BN4" s="16" t="s">
        <v>3888</v>
      </c>
      <c r="BO4" s="16" t="s">
        <v>3889</v>
      </c>
      <c r="BP4" s="16" t="s">
        <v>3890</v>
      </c>
      <c r="BQ4" s="16" t="s">
        <v>3891</v>
      </c>
      <c r="BR4" s="16" t="s">
        <v>3892</v>
      </c>
      <c r="BS4" s="16" t="s">
        <v>3893</v>
      </c>
      <c r="BT4" s="16" t="s">
        <v>3894</v>
      </c>
      <c r="BU4" s="16" t="s">
        <v>3895</v>
      </c>
      <c r="BV4" s="16" t="s">
        <v>3896</v>
      </c>
      <c r="BW4" s="16" t="s">
        <v>3447</v>
      </c>
      <c r="BX4" s="16" t="s">
        <v>3857</v>
      </c>
      <c r="BY4" s="16" t="s">
        <v>3897</v>
      </c>
      <c r="BZ4" t="s">
        <v>3898</v>
      </c>
      <c r="CA4" t="s">
        <v>3899</v>
      </c>
      <c r="CB4" t="s">
        <v>3900</v>
      </c>
      <c r="CC4" t="s">
        <v>3901</v>
      </c>
      <c r="CD4" t="s">
        <v>3902</v>
      </c>
      <c r="CE4" t="s">
        <v>3903</v>
      </c>
      <c r="CF4" t="s">
        <v>3904</v>
      </c>
      <c r="CG4" t="s">
        <v>3905</v>
      </c>
      <c r="CH4" t="s">
        <v>3906</v>
      </c>
      <c r="CI4" t="s">
        <v>3861</v>
      </c>
      <c r="CJ4" t="s">
        <v>3907</v>
      </c>
      <c r="CK4" t="s">
        <v>3908</v>
      </c>
      <c r="CL4" t="s">
        <v>3909</v>
      </c>
      <c r="CM4" t="s">
        <v>3910</v>
      </c>
      <c r="CN4" t="s">
        <v>3911</v>
      </c>
      <c r="CO4" t="s">
        <v>3912</v>
      </c>
      <c r="CP4" t="s">
        <v>3913</v>
      </c>
      <c r="CQ4" t="s">
        <v>3914</v>
      </c>
      <c r="CR4" s="180" t="s">
        <v>3915</v>
      </c>
      <c r="CS4" s="180" t="s">
        <v>3916</v>
      </c>
      <c r="CT4" s="180" t="s">
        <v>3917</v>
      </c>
      <c r="CU4" s="180" t="s">
        <v>3918</v>
      </c>
      <c r="CV4" s="180" t="s">
        <v>3919</v>
      </c>
      <c r="CW4" s="180" t="s">
        <v>3920</v>
      </c>
      <c r="CX4" s="180" t="s">
        <v>3921</v>
      </c>
    </row>
    <row r="5" spans="1:102" ht="42" customHeight="1">
      <c r="A5" s="17" t="s">
        <v>3922</v>
      </c>
      <c r="B5" s="17" t="s">
        <v>815</v>
      </c>
      <c r="C5" s="17" t="s">
        <v>817</v>
      </c>
      <c r="D5" s="17" t="s">
        <v>3923</v>
      </c>
      <c r="E5" s="17" t="s">
        <v>3924</v>
      </c>
      <c r="F5" s="17" t="s">
        <v>3925</v>
      </c>
      <c r="G5" s="17" t="s">
        <v>3926</v>
      </c>
      <c r="H5" s="17" t="s">
        <v>3679</v>
      </c>
      <c r="I5" s="17" t="s">
        <v>3927</v>
      </c>
      <c r="J5" s="17" t="s">
        <v>3928</v>
      </c>
      <c r="K5" s="17">
        <v>7</v>
      </c>
      <c r="L5" s="17">
        <f>IF($A5="","",COUNTIFS(_DATA_RiskInitiativeMap!$A$444:$A$867,$A5,_DATA_RiskInitiativeMap!$G$444:$G$867,"&gt;0"))</f>
        <v>7</v>
      </c>
      <c r="M5" s="17">
        <f>IF($A5="","",COUNTIFS(_DATA_RiskInitiativeMap!$A$444:$A$867,$A5,_DATA_RiskInitiativeMap!$G$444:$G$867,"&gt;0"))</f>
        <v>7</v>
      </c>
      <c r="N5" s="17">
        <f>IFERROR(AVERAGEIFS(_DATA_Assessment_Model!$H$5:$H$428,_DATA_Assessment_Model!$AW$5:$AW$428,$B5,_DATA_Assessment_Model!$B$5:$B$428,$C5),"")</f>
        <v>0</v>
      </c>
      <c r="O5" s="17">
        <f t="shared" ref="O5:O36" si="0">IF($N5="","",MAX(0,5-$N5))</f>
        <v>5</v>
      </c>
      <c r="P5" s="17">
        <f>IFERROR(INDEX(_DATA_Dashboard_Facts!$H$5:$H$21,MATCH($B5,_DATA_Dashboard_Facts!$A$5:$A$21,0)),"")</f>
        <v>0</v>
      </c>
      <c r="Q5" s="17">
        <f t="shared" ref="Q5:Q36" si="1">IF($P5="","",MAX(0,5-$P5))</f>
        <v>5</v>
      </c>
      <c r="R5" s="17">
        <f>IF(OR('Resilience &amp; Risk Scenario'!$B$6="",'Resilience &amp; Risk Scenario'!$B$7&lt;=0),1,IFERROR(IF(SUMIFS(_ENGINE_Crisis!$D$5:$D$208,_ENGINE_Crisis!$A$5:$A$208,'Resilience &amp; Risk Scenario'!$B$6,_ENGINE_Crisis!$B$5:$B$208,$B5)=0,1,SUMIFS(_ENGINE_Crisis!$D$5:$D$208,_ENGINE_Crisis!$A$5:$A$208,'Resilience &amp; Risk Scenario'!$B$6,_ENGINE_Crisis!$B$5:$B$208,$B5)),1))</f>
        <v>1</v>
      </c>
      <c r="S5" s="17">
        <f>IFERROR(INDEX(_ENGINE_Strategy!$A$100:$A$113,MATCH($D5,_ENGINE_Strategy!$B$100:$B$113,0)),99)</f>
        <v>8</v>
      </c>
      <c r="T5" s="17">
        <f>IFERROR(INDEX(_ENGINE_Strategy!$J$100:$J$113,MATCH($D5,_ENGINE_Strategy!$B$100:$B$113,0)),0)</f>
        <v>67</v>
      </c>
      <c r="U5" s="17">
        <v>2</v>
      </c>
      <c r="V5" s="17">
        <v>5</v>
      </c>
      <c r="W5" s="17">
        <v>4</v>
      </c>
      <c r="X5" s="17">
        <f t="shared" ref="X5:X36" si="2">IF($P5="","",MAX(1,MIN(5,(N($O5)*0.5)+(N($Q5)*0.25)+((N($T5)/20)*0.25))))</f>
        <v>4.5875000000000004</v>
      </c>
      <c r="Y5" s="17">
        <f>IF($P5="","",MAX(1,MIN(5,1+N($O5)*0.45+MIN(2,N($M5)*0.3)+($R5-1)*1.2+IF('Resilience &amp; Risk Scenario'!$B$7="",1,'Resilience &amp; Risk Scenario'!$B$7)*0.25)))</f>
        <v>5</v>
      </c>
      <c r="Z5" s="17">
        <f t="shared" ref="Z5:Z36" si="3">IF($P5="","",MAX(1,MIN(5,(N($O5)*0.45)+(MIN(5,5*N($M5)/MAX(1,N($K5)))*0.35)+(N($V5)*0.2))))</f>
        <v>5</v>
      </c>
      <c r="AA5" s="17">
        <f t="shared" ref="AA5:AA36" si="4">IF($P5="","",MAX(1,MIN(5,($U5*0.4)+($W5*0.3)+(($T5/20)*0.3))))</f>
        <v>3.0049999999999999</v>
      </c>
      <c r="AB5" s="17">
        <v>2</v>
      </c>
      <c r="AC5" s="17">
        <f t="shared" ref="AC5:AC36" si="5">IF($A5="","",$BV5)</f>
        <v>2.59</v>
      </c>
      <c r="AD5" s="17">
        <f t="shared" ref="AD5:AD36" si="6">IF($A5="","",$BW5)</f>
        <v>8</v>
      </c>
      <c r="AE5" s="17" t="str">
        <f t="shared" ref="AE5:AE36" si="7">IF($A5="","",$BX5)</f>
        <v>0-90 days</v>
      </c>
      <c r="AF5" s="17" t="s">
        <v>3929</v>
      </c>
      <c r="AG5" s="17" t="s">
        <v>3930</v>
      </c>
      <c r="AH5" s="17" t="s">
        <v>3931</v>
      </c>
      <c r="AI5" s="17" t="s">
        <v>3932</v>
      </c>
      <c r="AJ5" s="17" t="s">
        <v>3933</v>
      </c>
      <c r="AK5" s="17" t="s">
        <v>3934</v>
      </c>
      <c r="AL5" s="17" t="s">
        <v>3935</v>
      </c>
      <c r="AM5" s="17" t="s">
        <v>3936</v>
      </c>
      <c r="AN5" s="17" t="s">
        <v>3937</v>
      </c>
      <c r="AO5" s="17" t="s">
        <v>3938</v>
      </c>
      <c r="AP5" s="17" t="s">
        <v>3939</v>
      </c>
      <c r="AQ5" s="17"/>
      <c r="AR5" s="17"/>
      <c r="AS5" s="14">
        <f>IFERROR((IF(SUMIFS(_REF_Model_Content!$J$1:$J$157,_REF_Model_Content!$A$1:$A$174,PV_Canonical_Industry,_REF_Model_Content!$B$1:$B$174,$B5)=0,1,SUMIFS(_REF_Model_Content!$J$1:$J$157,_REF_Model_Content!$A$1:$A$174,PV_Canonical_Industry,_REF_Model_Content!$B$1:$B$174,$B5))*IFERROR($CA5,1)),1)</f>
        <v>1</v>
      </c>
      <c r="AT5" s="14">
        <f t="shared" ref="AT5:AT36" si="8">IF(OR($P5="",$AY5="Done",$AY5="Not applicable"),"",IF($AC5="","",ROUND(N($AC5)*N($AS5),2)))</f>
        <v>2.59</v>
      </c>
      <c r="AU5" s="14">
        <f>IF($AT5="","",RANK($AT5,$AT$5:$AT$76,0)+COUNTIF($AT$5:AT5,$AT5)-1)</f>
        <v>8</v>
      </c>
      <c r="AV5" s="14">
        <f>IFERROR(INDEX(_DATA_Dashboard_Facts!$G$300:$G$316,MATCH($B5,_DATA_Dashboard_Facts!$A$300:$A$316,0)),"")</f>
        <v>0</v>
      </c>
      <c r="AW5" s="14" t="str">
        <f t="shared" ref="AW5:AW36" si="9">IF($AS5=0,"Hard excluded by Relevance Engine",IF($AS5&gt;cfg_IndPriorityHigh,"Relevance/industry increases priority",IF($AS5&lt;cfg_IndPriorityLow,"Relevance/industry lowers priority","Relevance-neutral priority")))</f>
        <v>Relevance-neutral priority</v>
      </c>
      <c r="AX5">
        <f>IFERROR(INDEX('Action Plan &amp; Roadmap'!$D$59:$D$130,MATCH($A5,'Action Plan &amp; Roadmap'!$A$59:$A$130,0)),"")</f>
        <v>0</v>
      </c>
      <c r="AY5">
        <f t="shared" ref="AY5:AY36" si="10">IF($AX5&lt;&gt;"",$AX5,IF($AO5="","Not started",$AO5))</f>
        <v>0</v>
      </c>
      <c r="AZ5" t="s">
        <v>3940</v>
      </c>
      <c r="BA5">
        <f>IF($A5="","",COUNTIF(_DATA_RiskInitiativeMap!$A$1:$A$867,$A5))</f>
        <v>7</v>
      </c>
      <c r="BB5">
        <f>IF($A5="","",IFERROR(AVERAGEIF(_DATA_RiskInitiativeMap!$A$1:$A$867,$A5,_DATA_RiskInitiativeMap!$G$1:$G$867),0))</f>
        <v>15.402857142857144</v>
      </c>
      <c r="BC5">
        <f t="shared" ref="BC5:BC36" si="11">IF($A5="","",MAX(0,MIN(5,(N($O5)*0.5)+(N($V5)*0.3)+(N($W5)*0.2))))</f>
        <v>4.8</v>
      </c>
      <c r="BD5">
        <f t="shared" ref="BD5:BD36" si="12">IF($A5="","",MAX(1,MIN(5,(N($Z5)*0.45)+(MIN(5,N($BB5)/5)*0.35)+(N($BC5)*0.2))))</f>
        <v>4.2881999999999998</v>
      </c>
      <c r="BI5" s="17" t="str">
        <f>IFERROR(_CONFIG_Model_Settings!$B$103,"Adaptive")</f>
        <v>Fragile</v>
      </c>
      <c r="BJ5" s="17">
        <f>IFERROR(INDEX(_CONFIG_Model_Settings!$B$109:$B$113,MATCH($BI5,_CONFIG_Model_Settings!$A$109:$A$113,0)),0.3)</f>
        <v>0.2</v>
      </c>
      <c r="BK5" s="17">
        <f>IFERROR(INDEX(_CONFIG_Model_Settings!$C$109:$C$113,MATCH($BI5,_CONFIG_Model_Settings!$A$109:$A$113,0)),0.2)</f>
        <v>0.3</v>
      </c>
      <c r="BL5" s="17">
        <f>IFERROR(INDEX(_CONFIG_Model_Settings!$D$109:$D$113,MATCH($BI5,_CONFIG_Model_Settings!$A$109:$A$113,0)),0.25)</f>
        <v>0.4</v>
      </c>
      <c r="BM5" s="17">
        <f>IFERROR(INDEX(_CONFIG_Model_Settings!$E$109:$E$113,MATCH($BI5,_CONFIG_Model_Settings!$A$109:$A$113,0)),0.25)</f>
        <v>0.1</v>
      </c>
      <c r="BN5" s="17">
        <f>IFERROR(INDEX(_CONFIG_Model_Settings!$B$117:$B$123,MATCH(_CONFIG_Model_Settings!$B$104,_CONFIG_Model_Settings!$A$117:$A$123,0)),1)</f>
        <v>1</v>
      </c>
      <c r="BO5" s="17">
        <f>IFERROR(INDEX(_CONFIG_Model_Settings!$C$117:$C$123,MATCH(_CONFIG_Model_Settings!$B$104,_CONFIG_Model_Settings!$A$117:$A$123,0)),1)</f>
        <v>1</v>
      </c>
      <c r="BP5" s="17">
        <f>IFERROR(INDEX(_CONFIG_Model_Settings!$D$117:$D$123,MATCH(_CONFIG_Model_Settings!$B$104,_CONFIG_Model_Settings!$A$117:$A$123,0)),1)</f>
        <v>1</v>
      </c>
      <c r="BQ5" s="17">
        <f>IFERROR(INDEX(_CONFIG_Model_Settings!$E$117:$E$123,MATCH(_CONFIG_Model_Settings!$B$104,_CONFIG_Model_Settings!$A$117:$A$123,0)),1)</f>
        <v>1</v>
      </c>
      <c r="BR5" s="17">
        <f>IF(OR($A5="",$P5=""),"",MIN(5,IFERROR(SUMIF(_DATA_RiskInitiativeMap!$A$1:$A$867,$A5,_DATA_RiskInitiativeMap!$K$1:$K$867)/MAX(1,_CONFIG_Model_Settings!$B$166),0)))</f>
        <v>5</v>
      </c>
      <c r="BS5" s="17">
        <f t="shared" ref="BS5:BS36" si="13">IF(OR($A5="",$P5=""),"",ROUND((N($X5)*N($BJ5)*N($BN5)+N($Y5)*N($BK5)*N($BO5)+N($BD5)*N($BL5)*N($BP5)+N($AA5)*N($BM5)*N($BQ5)+N($BR5)*0.15),2))</f>
        <v>5.18</v>
      </c>
      <c r="BT5" s="17">
        <f t="shared" ref="BT5:BT36" si="14">IF($A5="","",MAX(1,N($AB5)))</f>
        <v>2</v>
      </c>
      <c r="BU5" s="17">
        <f t="shared" ref="BU5:BU36" si="15">IF(OR($P5="",$BS5="",$BT5=0),"",ROUND($BS5/$BT5,2))</f>
        <v>2.59</v>
      </c>
      <c r="BV5" s="17">
        <f>IF(OR($P5="",$BU5="",$AY5="Done",$AY5="Not applicable"),"",ROUND($BU5*N($AS5)*IF(OR('Resilience &amp; Risk Scenario'!$B$6="",'Resilience &amp; Risk Scenario'!$B$7&lt;=0),1,IFERROR(1+MIN(0.75,INDEX('Resilience &amp; Risk Scenario'!$E$21:$E$37,MATCH($B5,'Resilience &amp; Risk Scenario'!$B$21:$B$37,0))/10),1)),2))</f>
        <v>2.59</v>
      </c>
      <c r="BW5" s="17">
        <f>IF($BV5="","",RANK($BV5,$BV$5:$BV$76,0)+COUNTIF($BV$5:$BV5,$BV5)-1)</f>
        <v>8</v>
      </c>
      <c r="BX5" s="17" t="str">
        <f t="shared" ref="BX5:BX36" si="16">IF($BW5="","",IF($BW5&lt;=cfg_TimelineBucket1,"0-90 days",IF($BW5&lt;=cfg_TimelineBucket2,"3-6 months",IF($BW5&lt;=cfg_TimelineBucket3,"6-12 months","12+ months"))))</f>
        <v>0-90 days</v>
      </c>
      <c r="BY5" t="str">
        <f>IFERROR(IF($A5="","","P2: "&amp;$BI5&amp;" posture; objective="&amp;IF(_CONFIG_Model_Settings!$B$104="","Neutral/default",_CONFIG_Model_Settings!$B$104)&amp;"; relevance="&amp;ROUND(N($AS5),2)&amp;"; scenario/domain boost="&amp;ROUND(IF(OR('Resilience &amp; Risk Scenario'!$B$6="",'Resilience &amp; Risk Scenario'!$B$7&lt;=0),1,IFERROR(1+MIN(0.75,INDEX('Resilience &amp; Risk Scenario'!$E$21:$E$37,MATCH($B5,'Resilience &amp; Risk Scenario'!$B$21:$B$37,0))/10),1)),2)&amp;"; financial score="&amp;ROUND(N($BR5),1)&amp;"; CoD="&amp;$BS5&amp;IF($CL5&lt;&gt;"","; wording="&amp;$CL5,"")),"")</f>
        <v>P2: Fragile posture; objective=Neutral/default; relevance=1; scenario/domain boost=1; financial score=5; CoD=5.18; wording=Strengthen Vendor concentration</v>
      </c>
      <c r="BZ5" t="str">
        <f>IFERROR(INDEX(_REF_Capability_Bridge!$D:$D,MATCH($B5&amp;"|"&amp;$C5,_REF_Capability_Bridge!$J:$J,0)),IFERROR(INDEX(_REF_Capability_Bridge!$D:$D,MATCH($B5&amp;"|",_REF_Capability_Bridge!$J:$J,0)),"CAP_GENERIC"))</f>
        <v>CAP_VENDOR_CONCENTRATION</v>
      </c>
      <c r="CA5">
        <f>IFERROR(IFERROR(INDEX(_ENGINE_Relevance!$L:$L,MATCH($BZ5,_ENGINE_Relevance!$B:$B,0)),1),1)</f>
        <v>1</v>
      </c>
      <c r="CB5" t="str">
        <f>IFERROR(INDEX(_REF_Capability_Bridge!$A:$A,MATCH($B5&amp;"|"&amp;$C5,_REF_Capability_Bridge!$J:$J,0)),IFERROR(INDEX(_REF_Capability_Bridge!$A:$A,MATCH($B5&amp;"|",_REF_Capability_Bridge!$J:$J,0)),"No bridge"))</f>
        <v>BRG-008</v>
      </c>
      <c r="CC5" t="str">
        <f t="shared" ref="CC5:CC36" si="17">IF($CA5=0,"Hard-excluded at capability level",IF($CA5&gt;1,"Capability relevance increases priority",IF($CA5&lt;1,"Capability relevance lowers priority","Capability relevance neutral")))</f>
        <v>Capability relevance neutral</v>
      </c>
      <c r="CD5" t="str">
        <f t="shared" ref="CD5:CD36" si="18">IF($A5="","",IF(N($N5)&lt;1.5,"Initial / absent",IF(N($N5)&lt;2.5,"Basic",IF(N($N5)&lt;3.5,"Defined",IF(N($N5)&lt;4.3,"Managed","Optimized")))))</f>
        <v>Initial / absent</v>
      </c>
      <c r="CE5" t="str">
        <f>IF($A5="","",IFERROR(INDEX(_REF_Treatment_Library!$A$2:$A$296,MATCH(1,INDEX((_REF_Treatment_Library!$B$2:$B$296=$BZ5)*(_REF_Treatment_Library!$C$2:$C$296=PV_Canonical_Industry)*(_REF_Treatment_Library!$E$2:$E$296&lt;=N($N5))*(_REF_Treatment_Library!$F$2:$F$296&gt;=N($N5))*(_REF_Treatment_Library!$O$2:$O$296="Yes"),0),0)),IFERROR(INDEX(_REF_Treatment_Library!$A$2:$A$296,MATCH(1,INDEX((_REF_Treatment_Library!$B$2:$B$296=$BZ5)*(_REF_Treatment_Library!$C$2:$C$296="All")*(_REF_Treatment_Library!$E$2:$E$296&lt;=N($N5))*(_REF_Treatment_Library!$F$2:$F$296&gt;=N($N5))*(_REF_Treatment_Library!$O$2:$O$296="Yes"),0),0)),"")))</f>
        <v>TRT-VENDOR_CONCENTRATION-INITIAL</v>
      </c>
      <c r="CF5" t="str">
        <f>IF($CE5="","",IFERROR(INDEX(_REF_Treatment_Library!$H$2:$H$296,MATCH($CE5,_REF_Treatment_Library!$A$2:$A$296,0)),""))</f>
        <v>Establish</v>
      </c>
      <c r="CG5" t="str">
        <f>IF($CE5="","",IFERROR(INDEX(_REF_Treatment_Library!$I$2:$I$296,MATCH($CE5,_REF_Treatment_Library!$A$2:$A$296,0)),""))</f>
        <v>Establish baseline controls for Vendor concentration</v>
      </c>
      <c r="CH5" t="str">
        <f>IF($CE5="","",IFERROR(INDEX(_REF_Treatment_Library!$K$2:$K$296,MATCH($CE5,_REF_Treatment_Library!$A$2:$A$296,0)),""))</f>
        <v>Named owner, baseline process, minimum control checklist, first evidence package</v>
      </c>
      <c r="CI5" t="str">
        <f>IF($CE5="","",IFERROR(INDEX(_REF_Treatment_Library!$L$2:$L$296,MATCH($CE5,_REF_Treatment_Library!$A$2:$A$296,0)),""))</f>
        <v>Owner assigned; baseline evidence coverage; open critical gaps</v>
      </c>
      <c r="CJ5" t="str">
        <f t="shared" ref="CJ5:CJ36" si="19">IF($A5="","","Treatment by capability="&amp;$BZ5&amp;"; band="&amp;$CD5&amp;"; score="&amp;TEXT(N($N5),"0.0")&amp;"; treatment="&amp;$CF5)</f>
        <v>Treatment by capability=CAP_VENDOR_CONCENTRATION; band=Initial / absent; score=0.0; treatment=Establish</v>
      </c>
      <c r="CK5" t="str">
        <f>IF($A5="","",IFERROR(INDEX(_REF_Industry_Wording!$A$2:$A$70,MATCH(1,INDEX((_REF_Industry_Wording!$B$2:$B$70=$BZ5)*(_REF_Industry_Wording!$C$2:$C$70=PV_Canonical_Industry)*(_REF_Industry_Wording!$K$2:$K$70="Yes"),0),0)),IFERROR(INDEX(_REF_Industry_Wording!$A$2:$A$70,MATCH(1,INDEX((_REF_Industry_Wording!$B$2:$B$70=$BZ5)*(_REF_Industry_Wording!$C$2:$C$70="All")*(_REF_Industry_Wording!$K$2:$K$70="Yes"),0),0)),"")))</f>
        <v>IW-ALL-VENDOR_CONCENTRATION</v>
      </c>
      <c r="CL5" t="str">
        <f>IF($CK5="","",IFERROR(INDEX(_REF_Industry_Wording!$F$2:$F$70,MATCH($CK5,_REF_Industry_Wording!$A$2:$A$70,0)),""))</f>
        <v>Strengthen Vendor concentration</v>
      </c>
      <c r="CM5" t="str">
        <f>IF($CK5="","",IFERROR(INDEX(_REF_Industry_Wording!$G$2:$G$70,MATCH($CK5,_REF_Industry_Wording!$A$2:$A$70,0)),""))</f>
        <v>Strengthen Vendor concentration using the selected maturity treatment, crisis scenario and evidence requirements.</v>
      </c>
      <c r="CN5" t="str">
        <f>IF($CK5="","",IFERROR(INDEX(_REF_Industry_Wording!$H$2:$H$70,MATCH($CK5,_REF_Industry_Wording!$A$2:$A$70,0)),""))</f>
        <v>Vendor concentration</v>
      </c>
      <c r="CO5">
        <f>IF($CK5="","",IFERROR(INDEX(_REF_Industry_Wording!$I$2:$I$70,MATCH($CK5,_REF_Industry_Wording!$A$2:$A$70,0)),""))</f>
        <v>0</v>
      </c>
      <c r="CP5" t="str">
        <f>IF($CK5="","",IFERROR(INDEX(_REF_Industry_Wording!$J$2:$J$70,MATCH($CK5,_REF_Industry_Wording!$A$2:$A$70,0)),""))</f>
        <v>Vendor concentration</v>
      </c>
      <c r="CQ5" t="str">
        <f t="shared" ref="CQ5:CQ36" si="20">IF($A5="","","Wording by industry="&amp;PV_Canonical_Industry&amp;"; capability="&amp;$BZ5&amp;"; title="&amp;$CL5)</f>
        <v>Wording by industry=0; capability=CAP_VENDOR_CONCENTRATION; title=Strengthen Vendor concentration</v>
      </c>
      <c r="CR5" t="str">
        <f t="shared" ref="CR5:CR36" si="21">IF($A5="","","INIT-ONT-"&amp;TEXT(ROW()-4,"0000"))</f>
        <v>INIT-ONT-0001</v>
      </c>
      <c r="CS5">
        <f t="shared" ref="CS5:CS36" si="22">IF($A5="","",ROW())</f>
        <v>5</v>
      </c>
      <c r="CT5" t="str">
        <f t="shared" ref="CT5:CT36" si="23">IF($A5="","",$BZ5)</f>
        <v>CAP_VENDOR_CONCENTRATION</v>
      </c>
      <c r="CU5" t="str">
        <f t="shared" ref="CU5:CU36" si="24">IF($A5="","",$A5&amp;"|"&amp;$B5&amp;"|"&amp;$C5&amp;"|"&amp;$BZ5)</f>
        <v>INI-001|Company Geography|Company profile|CAP_VENDOR_CONCENTRATION</v>
      </c>
      <c r="CV5" t="str">
        <f t="shared" ref="CV5:CV36" si="25">IF($A5="","",IF(OR($BZ5="",$BZ5="CAP_GENERIC"),"CHECK","Active"))</f>
        <v>Active</v>
      </c>
      <c r="CW5" t="str">
        <f t="shared" ref="CW5:CW36" si="26">IF($A5="","",IF($BZ5="CAP_GENERIC","CHECK: generic capability fallback","OK: capability-driven"))</f>
        <v>OK: capability-driven</v>
      </c>
      <c r="CX5" t="str">
        <f t="shared" ref="CX5:CX36" si="27">IF($A5="","","Initiative ontology uses capability="&amp;$BZ5&amp;"; bridge="&amp;$CB5&amp;"; treatment="&amp;$CE5&amp;"; wording="&amp;$CK5)</f>
        <v>Initiative ontology uses capability=CAP_VENDOR_CONCENTRATION; bridge=BRG-008; treatment=TRT-VENDOR_CONCENTRATION-INITIAL; wording=IW-ALL-VENDOR_CONCENTRATION</v>
      </c>
    </row>
    <row r="6" spans="1:102" ht="42" customHeight="1">
      <c r="A6" s="17" t="s">
        <v>3941</v>
      </c>
      <c r="B6" s="17" t="s">
        <v>815</v>
      </c>
      <c r="C6" s="17" t="s">
        <v>839</v>
      </c>
      <c r="D6" s="17" t="s">
        <v>3923</v>
      </c>
      <c r="E6" s="17" t="s">
        <v>3924</v>
      </c>
      <c r="F6" s="17" t="s">
        <v>3942</v>
      </c>
      <c r="G6" s="17" t="s">
        <v>3943</v>
      </c>
      <c r="H6" s="17" t="s">
        <v>3679</v>
      </c>
      <c r="I6" s="17" t="s">
        <v>3927</v>
      </c>
      <c r="J6" s="17" t="s">
        <v>3944</v>
      </c>
      <c r="K6" s="17">
        <v>7</v>
      </c>
      <c r="L6" s="17">
        <f>IF($A6="","",COUNTIFS(_DATA_RiskInitiativeMap!$A$444:$A$867,$A6,_DATA_RiskInitiativeMap!$G$444:$G$867,"&gt;0"))</f>
        <v>7</v>
      </c>
      <c r="M6" s="17">
        <f>IF($A6="","",COUNTIFS(_DATA_RiskInitiativeMap!$A$444:$A$867,$A6,_DATA_RiskInitiativeMap!$G$444:$G$867,"&gt;0"))</f>
        <v>7</v>
      </c>
      <c r="N6" s="17">
        <f>IFERROR(AVERAGEIFS(_DATA_Assessment_Model!$H$5:$H$428,_DATA_Assessment_Model!$AW$5:$AW$428,$B6,_DATA_Assessment_Model!$B$5:$B$428,$C6),"")</f>
        <v>0</v>
      </c>
      <c r="O6" s="17">
        <f t="shared" si="0"/>
        <v>5</v>
      </c>
      <c r="P6" s="17">
        <f>IFERROR(INDEX(_DATA_Dashboard_Facts!$H$5:$H$21,MATCH($B6,_DATA_Dashboard_Facts!$A$5:$A$21,0)),"")</f>
        <v>0</v>
      </c>
      <c r="Q6" s="17">
        <f t="shared" si="1"/>
        <v>5</v>
      </c>
      <c r="R6" s="17">
        <f>IF(OR('Resilience &amp; Risk Scenario'!$B$6="",'Resilience &amp; Risk Scenario'!$B$7&lt;=0),1,IFERROR(IF(SUMIFS(_ENGINE_Crisis!$D$5:$D$208,_ENGINE_Crisis!$A$5:$A$208,'Resilience &amp; Risk Scenario'!$B$6,_ENGINE_Crisis!$B$5:$B$208,$B6)=0,1,SUMIFS(_ENGINE_Crisis!$D$5:$D$208,_ENGINE_Crisis!$A$5:$A$208,'Resilience &amp; Risk Scenario'!$B$6,_ENGINE_Crisis!$B$5:$B$208,$B6)),1))</f>
        <v>1</v>
      </c>
      <c r="S6" s="17">
        <f>IFERROR(INDEX(_ENGINE_Strategy!$A$100:$A$113,MATCH($D6,_ENGINE_Strategy!$B$100:$B$113,0)),99)</f>
        <v>8</v>
      </c>
      <c r="T6" s="17">
        <f>IFERROR(INDEX(_ENGINE_Strategy!$J$100:$J$113,MATCH($D6,_ENGINE_Strategy!$B$100:$B$113,0)),0)</f>
        <v>67</v>
      </c>
      <c r="U6" s="17">
        <v>2</v>
      </c>
      <c r="V6" s="17">
        <v>5</v>
      </c>
      <c r="W6" s="17">
        <v>4</v>
      </c>
      <c r="X6" s="17">
        <f t="shared" si="2"/>
        <v>4.5875000000000004</v>
      </c>
      <c r="Y6" s="17">
        <f>IF($P6="","",MAX(1,MIN(5,1+N($O6)*0.45+MIN(2,N($M6)*0.3)+($R6-1)*1.2+IF('Resilience &amp; Risk Scenario'!$B$7="",1,'Resilience &amp; Risk Scenario'!$B$7)*0.25)))</f>
        <v>5</v>
      </c>
      <c r="Z6" s="17">
        <f t="shared" si="3"/>
        <v>5</v>
      </c>
      <c r="AA6" s="17">
        <f t="shared" si="4"/>
        <v>3.0049999999999999</v>
      </c>
      <c r="AB6" s="17">
        <v>2</v>
      </c>
      <c r="AC6" s="17">
        <f t="shared" si="5"/>
        <v>2.64</v>
      </c>
      <c r="AD6" s="17">
        <f t="shared" si="6"/>
        <v>1</v>
      </c>
      <c r="AE6" s="17" t="str">
        <f t="shared" si="7"/>
        <v>0-90 days</v>
      </c>
      <c r="AF6" s="17" t="s">
        <v>3929</v>
      </c>
      <c r="AG6" s="17" t="s">
        <v>3930</v>
      </c>
      <c r="AH6" s="17" t="s">
        <v>3931</v>
      </c>
      <c r="AI6" s="17" t="s">
        <v>3932</v>
      </c>
      <c r="AJ6" s="17" t="s">
        <v>3945</v>
      </c>
      <c r="AK6" s="17" t="s">
        <v>3946</v>
      </c>
      <c r="AL6" s="17" t="s">
        <v>3947</v>
      </c>
      <c r="AM6" s="17" t="s">
        <v>3936</v>
      </c>
      <c r="AN6" s="17" t="s">
        <v>3937</v>
      </c>
      <c r="AO6" s="17" t="s">
        <v>3938</v>
      </c>
      <c r="AP6" s="17" t="s">
        <v>3939</v>
      </c>
      <c r="AQ6" s="17"/>
      <c r="AR6" s="17"/>
      <c r="AS6" s="14">
        <f>IFERROR((IF(SUMIFS(_REF_Model_Content!$J$1:$J$157,_REF_Model_Content!$A$1:$A$174,PV_Canonical_Industry,_REF_Model_Content!$B$1:$B$174,$B6)=0,1,SUMIFS(_REF_Model_Content!$J$1:$J$157,_REF_Model_Content!$A$1:$A$174,PV_Canonical_Industry,_REF_Model_Content!$B$1:$B$174,$B6))*IFERROR($CA6,1)),1)</f>
        <v>1</v>
      </c>
      <c r="AT6" s="14">
        <f t="shared" si="8"/>
        <v>2.64</v>
      </c>
      <c r="AU6" s="14">
        <f>IF($AT6="","",RANK($AT6,$AT$5:$AT$76,0)+COUNTIF($AT$5:AT6,$AT6)-1)</f>
        <v>1</v>
      </c>
      <c r="AV6" s="14">
        <f>IFERROR(INDEX(_DATA_Dashboard_Facts!$G$300:$G$316,MATCH($B6,_DATA_Dashboard_Facts!$A$300:$A$316,0)),"")</f>
        <v>0</v>
      </c>
      <c r="AW6" s="14" t="str">
        <f t="shared" si="9"/>
        <v>Relevance-neutral priority</v>
      </c>
      <c r="AX6">
        <f>IFERROR(INDEX('Action Plan &amp; Roadmap'!$D$59:$D$130,MATCH($A6,'Action Plan &amp; Roadmap'!$A$59:$A$130,0)),"")</f>
        <v>0</v>
      </c>
      <c r="AY6">
        <f t="shared" si="10"/>
        <v>0</v>
      </c>
      <c r="AZ6" t="s">
        <v>3940</v>
      </c>
      <c r="BA6">
        <f>IF($A6="","",COUNTIF(_DATA_RiskInitiativeMap!$A$1:$A$867,$A6))</f>
        <v>7</v>
      </c>
      <c r="BB6">
        <f>IF($A6="","",IFERROR(AVERAGEIF(_DATA_RiskInitiativeMap!$A$1:$A$867,$A6,_DATA_RiskInitiativeMap!$G$1:$G$867),0))</f>
        <v>18.637142857142859</v>
      </c>
      <c r="BC6">
        <f t="shared" si="11"/>
        <v>4.8</v>
      </c>
      <c r="BD6">
        <f t="shared" si="12"/>
        <v>4.5145999999999997</v>
      </c>
      <c r="BI6" s="17" t="str">
        <f>IFERROR(_CONFIG_Model_Settings!$B$103,"Adaptive")</f>
        <v>Fragile</v>
      </c>
      <c r="BJ6" s="17">
        <f>IFERROR(INDEX(_CONFIG_Model_Settings!$B$109:$B$113,MATCH($BI6,_CONFIG_Model_Settings!$A$109:$A$113,0)),0.3)</f>
        <v>0.2</v>
      </c>
      <c r="BK6" s="17">
        <f>IFERROR(INDEX(_CONFIG_Model_Settings!$C$109:$C$113,MATCH($BI6,_CONFIG_Model_Settings!$A$109:$A$113,0)),0.2)</f>
        <v>0.3</v>
      </c>
      <c r="BL6" s="17">
        <f>IFERROR(INDEX(_CONFIG_Model_Settings!$D$109:$D$113,MATCH($BI6,_CONFIG_Model_Settings!$A$109:$A$113,0)),0.25)</f>
        <v>0.4</v>
      </c>
      <c r="BM6" s="17">
        <f>IFERROR(INDEX(_CONFIG_Model_Settings!$E$109:$E$113,MATCH($BI6,_CONFIG_Model_Settings!$A$109:$A$113,0)),0.25)</f>
        <v>0.1</v>
      </c>
      <c r="BN6" s="17">
        <f>IFERROR(INDEX(_CONFIG_Model_Settings!$B$117:$B$123,MATCH(_CONFIG_Model_Settings!$B$104,_CONFIG_Model_Settings!$A$117:$A$123,0)),1)</f>
        <v>1</v>
      </c>
      <c r="BO6" s="17">
        <f>IFERROR(INDEX(_CONFIG_Model_Settings!$C$117:$C$123,MATCH(_CONFIG_Model_Settings!$B$104,_CONFIG_Model_Settings!$A$117:$A$123,0)),1)</f>
        <v>1</v>
      </c>
      <c r="BP6" s="17">
        <f>IFERROR(INDEX(_CONFIG_Model_Settings!$D$117:$D$123,MATCH(_CONFIG_Model_Settings!$B$104,_CONFIG_Model_Settings!$A$117:$A$123,0)),1)</f>
        <v>1</v>
      </c>
      <c r="BQ6" s="17">
        <f>IFERROR(INDEX(_CONFIG_Model_Settings!$E$117:$E$123,MATCH(_CONFIG_Model_Settings!$B$104,_CONFIG_Model_Settings!$A$117:$A$123,0)),1)</f>
        <v>1</v>
      </c>
      <c r="BR6" s="17">
        <f>IF(OR($A6="",$P6=""),"",MIN(5,IFERROR(SUMIF(_DATA_RiskInitiativeMap!$A$1:$A$867,$A6,_DATA_RiskInitiativeMap!$K$1:$K$867)/MAX(1,_CONFIG_Model_Settings!$B$166),0)))</f>
        <v>5</v>
      </c>
      <c r="BS6" s="17">
        <f t="shared" si="13"/>
        <v>5.27</v>
      </c>
      <c r="BT6" s="17">
        <f t="shared" si="14"/>
        <v>2</v>
      </c>
      <c r="BU6" s="17">
        <f t="shared" si="15"/>
        <v>2.64</v>
      </c>
      <c r="BV6" s="17">
        <f>IF(OR($P6="",$BU6="",$AY6="Done",$AY6="Not applicable"),"",ROUND($BU6*N($AS6)*IF(OR('Resilience &amp; Risk Scenario'!$B$6="",'Resilience &amp; Risk Scenario'!$B$7&lt;=0),1,IFERROR(1+MIN(0.75,INDEX('Resilience &amp; Risk Scenario'!$E$21:$E$37,MATCH($B6,'Resilience &amp; Risk Scenario'!$B$21:$B$37,0))/10),1)),2))</f>
        <v>2.64</v>
      </c>
      <c r="BW6" s="17">
        <f>IF($BV6="","",RANK($BV6,$BV$5:$BV$76,0)+COUNTIF($BV$5:$BV6,$BV6)-1)</f>
        <v>1</v>
      </c>
      <c r="BX6" s="17" t="str">
        <f t="shared" si="16"/>
        <v>0-90 days</v>
      </c>
      <c r="BY6" t="str">
        <f>IFERROR(IF($A6="","","P2: "&amp;$BI6&amp;" posture; objective="&amp;IF(_CONFIG_Model_Settings!$B$104="","Neutral/default",_CONFIG_Model_Settings!$B$104)&amp;"; relevance="&amp;ROUND(N($AS6),2)&amp;"; scenario/domain boost="&amp;ROUND(IF(OR('Resilience &amp; Risk Scenario'!$B$6="",'Resilience &amp; Risk Scenario'!$B$7&lt;=0),1,IFERROR(1+MIN(0.75,INDEX('Resilience &amp; Risk Scenario'!$E$21:$E$37,MATCH($B6,'Resilience &amp; Risk Scenario'!$B$21:$B$37,0))/10),1)),2)&amp;"; financial score="&amp;ROUND(N($BR6),1)&amp;"; CoD="&amp;$BS6&amp;IF($CL6&lt;&gt;"","; wording="&amp;$CL6,"")),"")</f>
        <v>P2: Fragile posture; objective=Neutral/default; relevance=1; scenario/domain boost=1; financial score=5; CoD=5.27; wording=Strengthen Remote work</v>
      </c>
      <c r="BZ6" t="str">
        <f>IFERROR(INDEX(_REF_Capability_Bridge!$D:$D,MATCH($B6&amp;"|"&amp;$C6,_REF_Capability_Bridge!$J:$J,0)),IFERROR(INDEX(_REF_Capability_Bridge!$D:$D,MATCH($B6&amp;"|",_REF_Capability_Bridge!$J:$J,0)),"CAP_GENERIC"))</f>
        <v>CAP_REMOTE_WORK</v>
      </c>
      <c r="CA6">
        <f>IFERROR(IFERROR(INDEX(_ENGINE_Relevance!$L:$L,MATCH($BZ6,_ENGINE_Relevance!$B:$B,0)),1),1)</f>
        <v>1.2</v>
      </c>
      <c r="CB6" t="str">
        <f>IFERROR(INDEX(_REF_Capability_Bridge!$A:$A,MATCH($B6&amp;"|"&amp;$C6,_REF_Capability_Bridge!$J:$J,0)),IFERROR(INDEX(_REF_Capability_Bridge!$A:$A,MATCH($B6&amp;"|",_REF_Capability_Bridge!$J:$J,0)),"No bridge"))</f>
        <v>BRG-010</v>
      </c>
      <c r="CC6" t="str">
        <f t="shared" si="17"/>
        <v>Capability relevance increases priority</v>
      </c>
      <c r="CD6" t="str">
        <f t="shared" si="18"/>
        <v>Initial / absent</v>
      </c>
      <c r="CE6" t="str">
        <f>IF($A6="","",IFERROR(INDEX(_REF_Treatment_Library!$A$2:$A$296,MATCH(1,INDEX((_REF_Treatment_Library!$B$2:$B$296=$BZ6)*(_REF_Treatment_Library!$C$2:$C$296=PV_Canonical_Industry)*(_REF_Treatment_Library!$E$2:$E$296&lt;=N($N6))*(_REF_Treatment_Library!$F$2:$F$296&gt;=N($N6))*(_REF_Treatment_Library!$O$2:$O$296="Yes"),0),0)),IFERROR(INDEX(_REF_Treatment_Library!$A$2:$A$296,MATCH(1,INDEX((_REF_Treatment_Library!$B$2:$B$296=$BZ6)*(_REF_Treatment_Library!$C$2:$C$296="All")*(_REF_Treatment_Library!$E$2:$E$296&lt;=N($N6))*(_REF_Treatment_Library!$F$2:$F$296&gt;=N($N6))*(_REF_Treatment_Library!$O$2:$O$296="Yes"),0),0)),"")))</f>
        <v>TRT-REMOTE_WORK-INITIAL</v>
      </c>
      <c r="CF6" t="str">
        <f>IF($CE6="","",IFERROR(INDEX(_REF_Treatment_Library!$H$2:$H$296,MATCH($CE6,_REF_Treatment_Library!$A$2:$A$296,0)),""))</f>
        <v>Establish</v>
      </c>
      <c r="CG6" t="str">
        <f>IF($CE6="","",IFERROR(INDEX(_REF_Treatment_Library!$I$2:$I$296,MATCH($CE6,_REF_Treatment_Library!$A$2:$A$296,0)),""))</f>
        <v>Establish baseline controls for Remote work</v>
      </c>
      <c r="CH6" t="str">
        <f>IF($CE6="","",IFERROR(INDEX(_REF_Treatment_Library!$K$2:$K$296,MATCH($CE6,_REF_Treatment_Library!$A$2:$A$296,0)),""))</f>
        <v>Named owner, baseline process, minimum control checklist, first evidence package</v>
      </c>
      <c r="CI6" t="str">
        <f>IF($CE6="","",IFERROR(INDEX(_REF_Treatment_Library!$L$2:$L$296,MATCH($CE6,_REF_Treatment_Library!$A$2:$A$296,0)),""))</f>
        <v>Owner assigned; baseline evidence coverage; open critical gaps</v>
      </c>
      <c r="CJ6" t="str">
        <f t="shared" si="19"/>
        <v>Treatment by capability=CAP_REMOTE_WORK; band=Initial / absent; score=0.0; treatment=Establish</v>
      </c>
      <c r="CK6" t="str">
        <f>IF($A6="","",IFERROR(INDEX(_REF_Industry_Wording!$A$2:$A$70,MATCH(1,INDEX((_REF_Industry_Wording!$B$2:$B$70=$BZ6)*(_REF_Industry_Wording!$C$2:$C$70=PV_Canonical_Industry)*(_REF_Industry_Wording!$K$2:$K$70="Yes"),0),0)),IFERROR(INDEX(_REF_Industry_Wording!$A$2:$A$70,MATCH(1,INDEX((_REF_Industry_Wording!$B$2:$B$70=$BZ6)*(_REF_Industry_Wording!$C$2:$C$70="All")*(_REF_Industry_Wording!$K$2:$K$70="Yes"),0),0)),"")))</f>
        <v>IW-ALL-REMOTE_WORK</v>
      </c>
      <c r="CL6" t="str">
        <f>IF($CK6="","",IFERROR(INDEX(_REF_Industry_Wording!$F$2:$F$70,MATCH($CK6,_REF_Industry_Wording!$A$2:$A$70,0)),""))</f>
        <v>Strengthen Remote work</v>
      </c>
      <c r="CM6" t="str">
        <f>IF($CK6="","",IFERROR(INDEX(_REF_Industry_Wording!$G$2:$G$70,MATCH($CK6,_REF_Industry_Wording!$A$2:$A$70,0)),""))</f>
        <v>Strengthen Remote work using the selected maturity treatment, crisis scenario and evidence requirements.</v>
      </c>
      <c r="CN6" t="str">
        <f>IF($CK6="","",IFERROR(INDEX(_REF_Industry_Wording!$H$2:$H$70,MATCH($CK6,_REF_Industry_Wording!$A$2:$A$70,0)),""))</f>
        <v>Remote work</v>
      </c>
      <c r="CO6">
        <f>IF($CK6="","",IFERROR(INDEX(_REF_Industry_Wording!$I$2:$I$70,MATCH($CK6,_REF_Industry_Wording!$A$2:$A$70,0)),""))</f>
        <v>0</v>
      </c>
      <c r="CP6" t="str">
        <f>IF($CK6="","",IFERROR(INDEX(_REF_Industry_Wording!$J$2:$J$70,MATCH($CK6,_REF_Industry_Wording!$A$2:$A$70,0)),""))</f>
        <v>Remote work</v>
      </c>
      <c r="CQ6" t="str">
        <f t="shared" si="20"/>
        <v>Wording by industry=0; capability=CAP_REMOTE_WORK; title=Strengthen Remote work</v>
      </c>
      <c r="CR6" t="str">
        <f t="shared" si="21"/>
        <v>INIT-ONT-0002</v>
      </c>
      <c r="CS6">
        <f t="shared" si="22"/>
        <v>6</v>
      </c>
      <c r="CT6" t="str">
        <f t="shared" si="23"/>
        <v>CAP_REMOTE_WORK</v>
      </c>
      <c r="CU6" t="str">
        <f t="shared" si="24"/>
        <v>INI-002|Company Geography|Geographical distribution|CAP_REMOTE_WORK</v>
      </c>
      <c r="CV6" t="str">
        <f t="shared" si="25"/>
        <v>Active</v>
      </c>
      <c r="CW6" t="str">
        <f t="shared" si="26"/>
        <v>OK: capability-driven</v>
      </c>
      <c r="CX6" t="str">
        <f t="shared" si="27"/>
        <v>Initiative ontology uses capability=CAP_REMOTE_WORK; bridge=BRG-010; treatment=TRT-REMOTE_WORK-INITIAL; wording=IW-ALL-REMOTE_WORK</v>
      </c>
    </row>
    <row r="7" spans="1:102" ht="42" customHeight="1">
      <c r="A7" s="17" t="s">
        <v>3948</v>
      </c>
      <c r="B7" s="17" t="s">
        <v>815</v>
      </c>
      <c r="C7" s="17" t="s">
        <v>843</v>
      </c>
      <c r="D7" s="17" t="s">
        <v>3923</v>
      </c>
      <c r="E7" s="17" t="s">
        <v>3924</v>
      </c>
      <c r="F7" s="17" t="s">
        <v>3949</v>
      </c>
      <c r="G7" s="17" t="s">
        <v>3950</v>
      </c>
      <c r="H7" s="17" t="s">
        <v>3679</v>
      </c>
      <c r="I7" s="17" t="s">
        <v>3927</v>
      </c>
      <c r="J7" s="17" t="s">
        <v>3951</v>
      </c>
      <c r="K7" s="17">
        <v>4</v>
      </c>
      <c r="L7" s="17">
        <f>IF($A7="","",COUNTIFS(_DATA_RiskInitiativeMap!$A$444:$A$867,$A7,_DATA_RiskInitiativeMap!$G$444:$G$867,"&gt;0"))</f>
        <v>5</v>
      </c>
      <c r="M7" s="17">
        <f>IF($A7="","",COUNTIFS(_DATA_RiskInitiativeMap!$A$444:$A$867,$A7,_DATA_RiskInitiativeMap!$G$444:$G$867,"&gt;0"))</f>
        <v>5</v>
      </c>
      <c r="N7" s="17">
        <f>IFERROR(AVERAGEIFS(_DATA_Assessment_Model!$H$5:$H$428,_DATA_Assessment_Model!$AW$5:$AW$428,$B7,_DATA_Assessment_Model!$B$5:$B$428,$C7),"")</f>
        <v>0</v>
      </c>
      <c r="O7" s="17">
        <f t="shared" si="0"/>
        <v>5</v>
      </c>
      <c r="P7" s="17">
        <f>IFERROR(INDEX(_DATA_Dashboard_Facts!$H$5:$H$21,MATCH($B7,_DATA_Dashboard_Facts!$A$5:$A$21,0)),"")</f>
        <v>0</v>
      </c>
      <c r="Q7" s="17">
        <f t="shared" si="1"/>
        <v>5</v>
      </c>
      <c r="R7" s="17">
        <f>IF(OR('Resilience &amp; Risk Scenario'!$B$6="",'Resilience &amp; Risk Scenario'!$B$7&lt;=0),1,IFERROR(IF(SUMIFS(_ENGINE_Crisis!$D$5:$D$208,_ENGINE_Crisis!$A$5:$A$208,'Resilience &amp; Risk Scenario'!$B$6,_ENGINE_Crisis!$B$5:$B$208,$B7)=0,1,SUMIFS(_ENGINE_Crisis!$D$5:$D$208,_ENGINE_Crisis!$A$5:$A$208,'Resilience &amp; Risk Scenario'!$B$6,_ENGINE_Crisis!$B$5:$B$208,$B7)),1))</f>
        <v>1</v>
      </c>
      <c r="S7" s="17">
        <f>IFERROR(INDEX(_ENGINE_Strategy!$A$100:$A$113,MATCH($D7,_ENGINE_Strategy!$B$100:$B$113,0)),99)</f>
        <v>8</v>
      </c>
      <c r="T7" s="17">
        <f>IFERROR(INDEX(_ENGINE_Strategy!$J$100:$J$113,MATCH($D7,_ENGINE_Strategy!$B$100:$B$113,0)),0)</f>
        <v>67</v>
      </c>
      <c r="U7" s="17">
        <v>2</v>
      </c>
      <c r="V7" s="17">
        <v>5</v>
      </c>
      <c r="W7" s="17">
        <v>4</v>
      </c>
      <c r="X7" s="17">
        <f t="shared" si="2"/>
        <v>4.5875000000000004</v>
      </c>
      <c r="Y7" s="17">
        <f>IF($P7="","",MAX(1,MIN(5,1+N($O7)*0.45+MIN(2,N($M7)*0.3)+($R7-1)*1.2+IF('Resilience &amp; Risk Scenario'!$B$7="",1,'Resilience &amp; Risk Scenario'!$B$7)*0.25)))</f>
        <v>5</v>
      </c>
      <c r="Z7" s="17">
        <f t="shared" si="3"/>
        <v>5</v>
      </c>
      <c r="AA7" s="17">
        <f t="shared" si="4"/>
        <v>3.0049999999999999</v>
      </c>
      <c r="AB7" s="17">
        <v>2</v>
      </c>
      <c r="AC7" s="17">
        <f t="shared" si="5"/>
        <v>2.58</v>
      </c>
      <c r="AD7" s="17">
        <f t="shared" si="6"/>
        <v>10</v>
      </c>
      <c r="AE7" s="17" t="str">
        <f t="shared" si="7"/>
        <v>0-90 days</v>
      </c>
      <c r="AF7" s="17" t="s">
        <v>3929</v>
      </c>
      <c r="AG7" s="17" t="s">
        <v>3930</v>
      </c>
      <c r="AH7" s="17" t="s">
        <v>3931</v>
      </c>
      <c r="AI7" s="17" t="s">
        <v>3932</v>
      </c>
      <c r="AJ7" s="17" t="s">
        <v>3952</v>
      </c>
      <c r="AK7" s="17" t="s">
        <v>3953</v>
      </c>
      <c r="AL7" s="17" t="s">
        <v>3954</v>
      </c>
      <c r="AM7" s="17" t="s">
        <v>3936</v>
      </c>
      <c r="AN7" s="17" t="s">
        <v>3937</v>
      </c>
      <c r="AO7" s="17" t="s">
        <v>3938</v>
      </c>
      <c r="AP7" s="17" t="s">
        <v>3939</v>
      </c>
      <c r="AQ7" s="17"/>
      <c r="AR7" s="17"/>
      <c r="AS7" s="14">
        <f>IFERROR((IF(SUMIFS(_REF_Model_Content!$J$1:$J$157,_REF_Model_Content!$A$1:$A$174,PV_Canonical_Industry,_REF_Model_Content!$B$1:$B$174,$B7)=0,1,SUMIFS(_REF_Model_Content!$J$1:$J$157,_REF_Model_Content!$A$1:$A$174,PV_Canonical_Industry,_REF_Model_Content!$B$1:$B$174,$B7))*IFERROR($CA7,1)),1)</f>
        <v>1</v>
      </c>
      <c r="AT7" s="14">
        <f t="shared" si="8"/>
        <v>2.58</v>
      </c>
      <c r="AU7" s="14">
        <f>IF($AT7="","",RANK($AT7,$AT$5:$AT$76,0)+COUNTIF($AT$5:AT7,$AT7)-1)</f>
        <v>10</v>
      </c>
      <c r="AV7" s="14">
        <f>IFERROR(INDEX(_DATA_Dashboard_Facts!$G$300:$G$316,MATCH($B7,_DATA_Dashboard_Facts!$A$300:$A$316,0)),"")</f>
        <v>0</v>
      </c>
      <c r="AW7" s="14" t="str">
        <f t="shared" si="9"/>
        <v>Relevance-neutral priority</v>
      </c>
      <c r="AX7">
        <f>IFERROR(INDEX('Action Plan &amp; Roadmap'!$D$59:$D$130,MATCH($A7,'Action Plan &amp; Roadmap'!$A$59:$A$130,0)),"")</f>
        <v>0</v>
      </c>
      <c r="AY7">
        <f t="shared" si="10"/>
        <v>0</v>
      </c>
      <c r="AZ7" t="s">
        <v>3940</v>
      </c>
      <c r="BA7">
        <f>IF($A7="","",COUNTIF(_DATA_RiskInitiativeMap!$A$1:$A$867,$A7))</f>
        <v>5</v>
      </c>
      <c r="BB7">
        <f>IF($A7="","",IFERROR(AVERAGEIF(_DATA_RiskInitiativeMap!$A$1:$A$867,$A7,_DATA_RiskInitiativeMap!$G$1:$G$867),0))</f>
        <v>14.4</v>
      </c>
      <c r="BC7">
        <f t="shared" si="11"/>
        <v>4.8</v>
      </c>
      <c r="BD7">
        <f t="shared" si="12"/>
        <v>4.218</v>
      </c>
      <c r="BI7" s="17" t="str">
        <f>IFERROR(_CONFIG_Model_Settings!$B$103,"Adaptive")</f>
        <v>Fragile</v>
      </c>
      <c r="BJ7" s="17">
        <f>IFERROR(INDEX(_CONFIG_Model_Settings!$B$109:$B$113,MATCH($BI7,_CONFIG_Model_Settings!$A$109:$A$113,0)),0.3)</f>
        <v>0.2</v>
      </c>
      <c r="BK7" s="17">
        <f>IFERROR(INDEX(_CONFIG_Model_Settings!$C$109:$C$113,MATCH($BI7,_CONFIG_Model_Settings!$A$109:$A$113,0)),0.2)</f>
        <v>0.3</v>
      </c>
      <c r="BL7" s="17">
        <f>IFERROR(INDEX(_CONFIG_Model_Settings!$D$109:$D$113,MATCH($BI7,_CONFIG_Model_Settings!$A$109:$A$113,0)),0.25)</f>
        <v>0.4</v>
      </c>
      <c r="BM7" s="17">
        <f>IFERROR(INDEX(_CONFIG_Model_Settings!$E$109:$E$113,MATCH($BI7,_CONFIG_Model_Settings!$A$109:$A$113,0)),0.25)</f>
        <v>0.1</v>
      </c>
      <c r="BN7" s="17">
        <f>IFERROR(INDEX(_CONFIG_Model_Settings!$B$117:$B$123,MATCH(_CONFIG_Model_Settings!$B$104,_CONFIG_Model_Settings!$A$117:$A$123,0)),1)</f>
        <v>1</v>
      </c>
      <c r="BO7" s="17">
        <f>IFERROR(INDEX(_CONFIG_Model_Settings!$C$117:$C$123,MATCH(_CONFIG_Model_Settings!$B$104,_CONFIG_Model_Settings!$A$117:$A$123,0)),1)</f>
        <v>1</v>
      </c>
      <c r="BP7" s="17">
        <f>IFERROR(INDEX(_CONFIG_Model_Settings!$D$117:$D$123,MATCH(_CONFIG_Model_Settings!$B$104,_CONFIG_Model_Settings!$A$117:$A$123,0)),1)</f>
        <v>1</v>
      </c>
      <c r="BQ7" s="17">
        <f>IFERROR(INDEX(_CONFIG_Model_Settings!$E$117:$E$123,MATCH(_CONFIG_Model_Settings!$B$104,_CONFIG_Model_Settings!$A$117:$A$123,0)),1)</f>
        <v>1</v>
      </c>
      <c r="BR7" s="17">
        <f>IF(OR($A7="",$P7=""),"",MIN(5,IFERROR(SUMIF(_DATA_RiskInitiativeMap!$A$1:$A$867,$A7,_DATA_RiskInitiativeMap!$K$1:$K$867)/MAX(1,_CONFIG_Model_Settings!$B$166),0)))</f>
        <v>5</v>
      </c>
      <c r="BS7" s="17">
        <f t="shared" si="13"/>
        <v>5.16</v>
      </c>
      <c r="BT7" s="17">
        <f t="shared" si="14"/>
        <v>2</v>
      </c>
      <c r="BU7" s="17">
        <f t="shared" si="15"/>
        <v>2.58</v>
      </c>
      <c r="BV7" s="17">
        <f>IF(OR($P7="",$BU7="",$AY7="Done",$AY7="Not applicable"),"",ROUND($BU7*N($AS7)*IF(OR('Resilience &amp; Risk Scenario'!$B$6="",'Resilience &amp; Risk Scenario'!$B$7&lt;=0),1,IFERROR(1+MIN(0.75,INDEX('Resilience &amp; Risk Scenario'!$E$21:$E$37,MATCH($B7,'Resilience &amp; Risk Scenario'!$B$21:$B$37,0))/10),1)),2))</f>
        <v>2.58</v>
      </c>
      <c r="BW7" s="17">
        <f>IF($BV7="","",RANK($BV7,$BV$5:$BV$76,0)+COUNTIF($BV$5:$BV7,$BV7)-1)</f>
        <v>10</v>
      </c>
      <c r="BX7" s="17" t="str">
        <f t="shared" si="16"/>
        <v>0-90 days</v>
      </c>
      <c r="BY7" t="str">
        <f>IFERROR(IF($A7="","","P2: "&amp;$BI7&amp;" posture; objective="&amp;IF(_CONFIG_Model_Settings!$B$104="","Neutral/default",_CONFIG_Model_Settings!$B$104)&amp;"; relevance="&amp;ROUND(N($AS7),2)&amp;"; scenario/domain boost="&amp;ROUND(IF(OR('Resilience &amp; Risk Scenario'!$B$6="",'Resilience &amp; Risk Scenario'!$B$7&lt;=0),1,IFERROR(1+MIN(0.75,INDEX('Resilience &amp; Risk Scenario'!$E$21:$E$37,MATCH($B7,'Resilience &amp; Risk Scenario'!$B$21:$B$37,0))/10),1)),2)&amp;"; financial score="&amp;ROUND(N($BR7),1)&amp;"; CoD="&amp;$BS7&amp;IF($CL7&lt;&gt;"","; wording="&amp;$CL7,"")),"")</f>
        <v>P2: Fragile posture; objective=Neutral/default; relevance=1; scenario/domain boost=1; financial score=5; CoD=5.16; wording=Strengthen Vendor concentration</v>
      </c>
      <c r="BZ7" t="str">
        <f>IFERROR(INDEX(_REF_Capability_Bridge!$D:$D,MATCH($B7&amp;"|"&amp;$C7,_REF_Capability_Bridge!$J:$J,0)),IFERROR(INDEX(_REF_Capability_Bridge!$D:$D,MATCH($B7&amp;"|",_REF_Capability_Bridge!$J:$J,0)),"CAP_GENERIC"))</f>
        <v>CAP_VENDOR_CONCENTRATION</v>
      </c>
      <c r="CA7">
        <f>IFERROR(IFERROR(INDEX(_ENGINE_Relevance!$L:$L,MATCH($BZ7,_ENGINE_Relevance!$B:$B,0)),1),1)</f>
        <v>1</v>
      </c>
      <c r="CB7" t="str">
        <f>IFERROR(INDEX(_REF_Capability_Bridge!$A:$A,MATCH($B7&amp;"|"&amp;$C7,_REF_Capability_Bridge!$J:$J,0)),IFERROR(INDEX(_REF_Capability_Bridge!$A:$A,MATCH($B7&amp;"|",_REF_Capability_Bridge!$J:$J,0)),"No bridge"))</f>
        <v>BRG-009</v>
      </c>
      <c r="CC7" t="str">
        <f t="shared" si="17"/>
        <v>Capability relevance neutral</v>
      </c>
      <c r="CD7" t="str">
        <f t="shared" si="18"/>
        <v>Initial / absent</v>
      </c>
      <c r="CE7" t="str">
        <f>IF($A7="","",IFERROR(INDEX(_REF_Treatment_Library!$A$2:$A$296,MATCH(1,INDEX((_REF_Treatment_Library!$B$2:$B$296=$BZ7)*(_REF_Treatment_Library!$C$2:$C$296=PV_Canonical_Industry)*(_REF_Treatment_Library!$E$2:$E$296&lt;=N($N7))*(_REF_Treatment_Library!$F$2:$F$296&gt;=N($N7))*(_REF_Treatment_Library!$O$2:$O$296="Yes"),0),0)),IFERROR(INDEX(_REF_Treatment_Library!$A$2:$A$296,MATCH(1,INDEX((_REF_Treatment_Library!$B$2:$B$296=$BZ7)*(_REF_Treatment_Library!$C$2:$C$296="All")*(_REF_Treatment_Library!$E$2:$E$296&lt;=N($N7))*(_REF_Treatment_Library!$F$2:$F$296&gt;=N($N7))*(_REF_Treatment_Library!$O$2:$O$296="Yes"),0),0)),"")))</f>
        <v>TRT-VENDOR_CONCENTRATION-INITIAL</v>
      </c>
      <c r="CF7" t="str">
        <f>IF($CE7="","",IFERROR(INDEX(_REF_Treatment_Library!$H$2:$H$296,MATCH($CE7,_REF_Treatment_Library!$A$2:$A$296,0)),""))</f>
        <v>Establish</v>
      </c>
      <c r="CG7" t="str">
        <f>IF($CE7="","",IFERROR(INDEX(_REF_Treatment_Library!$I$2:$I$296,MATCH($CE7,_REF_Treatment_Library!$A$2:$A$296,0)),""))</f>
        <v>Establish baseline controls for Vendor concentration</v>
      </c>
      <c r="CH7" t="str">
        <f>IF($CE7="","",IFERROR(INDEX(_REF_Treatment_Library!$K$2:$K$296,MATCH($CE7,_REF_Treatment_Library!$A$2:$A$296,0)),""))</f>
        <v>Named owner, baseline process, minimum control checklist, first evidence package</v>
      </c>
      <c r="CI7" t="str">
        <f>IF($CE7="","",IFERROR(INDEX(_REF_Treatment_Library!$L$2:$L$296,MATCH($CE7,_REF_Treatment_Library!$A$2:$A$296,0)),""))</f>
        <v>Owner assigned; baseline evidence coverage; open critical gaps</v>
      </c>
      <c r="CJ7" t="str">
        <f t="shared" si="19"/>
        <v>Treatment by capability=CAP_VENDOR_CONCENTRATION; band=Initial / absent; score=0.0; treatment=Establish</v>
      </c>
      <c r="CK7" t="str">
        <f>IF($A7="","",IFERROR(INDEX(_REF_Industry_Wording!$A$2:$A$70,MATCH(1,INDEX((_REF_Industry_Wording!$B$2:$B$70=$BZ7)*(_REF_Industry_Wording!$C$2:$C$70=PV_Canonical_Industry)*(_REF_Industry_Wording!$K$2:$K$70="Yes"),0),0)),IFERROR(INDEX(_REF_Industry_Wording!$A$2:$A$70,MATCH(1,INDEX((_REF_Industry_Wording!$B$2:$B$70=$BZ7)*(_REF_Industry_Wording!$C$2:$C$70="All")*(_REF_Industry_Wording!$K$2:$K$70="Yes"),0),0)),"")))</f>
        <v>IW-ALL-VENDOR_CONCENTRATION</v>
      </c>
      <c r="CL7" t="str">
        <f>IF($CK7="","",IFERROR(INDEX(_REF_Industry_Wording!$F$2:$F$70,MATCH($CK7,_REF_Industry_Wording!$A$2:$A$70,0)),""))</f>
        <v>Strengthen Vendor concentration</v>
      </c>
      <c r="CM7" t="str">
        <f>IF($CK7="","",IFERROR(INDEX(_REF_Industry_Wording!$G$2:$G$70,MATCH($CK7,_REF_Industry_Wording!$A$2:$A$70,0)),""))</f>
        <v>Strengthen Vendor concentration using the selected maturity treatment, crisis scenario and evidence requirements.</v>
      </c>
      <c r="CN7" t="str">
        <f>IF($CK7="","",IFERROR(INDEX(_REF_Industry_Wording!$H$2:$H$70,MATCH($CK7,_REF_Industry_Wording!$A$2:$A$70,0)),""))</f>
        <v>Vendor concentration</v>
      </c>
      <c r="CO7">
        <f>IF($CK7="","",IFERROR(INDEX(_REF_Industry_Wording!$I$2:$I$70,MATCH($CK7,_REF_Industry_Wording!$A$2:$A$70,0)),""))</f>
        <v>0</v>
      </c>
      <c r="CP7" t="str">
        <f>IF($CK7="","",IFERROR(INDEX(_REF_Industry_Wording!$J$2:$J$70,MATCH($CK7,_REF_Industry_Wording!$A$2:$A$70,0)),""))</f>
        <v>Vendor concentration</v>
      </c>
      <c r="CQ7" t="str">
        <f t="shared" si="20"/>
        <v>Wording by industry=0; capability=CAP_VENDOR_CONCENTRATION; title=Strengthen Vendor concentration</v>
      </c>
      <c r="CR7" t="str">
        <f t="shared" si="21"/>
        <v>INIT-ONT-0003</v>
      </c>
      <c r="CS7">
        <f t="shared" si="22"/>
        <v>7</v>
      </c>
      <c r="CT7" t="str">
        <f t="shared" si="23"/>
        <v>CAP_VENDOR_CONCENTRATION</v>
      </c>
      <c r="CU7" t="str">
        <f t="shared" si="24"/>
        <v>INI-003|Company Geography|Context and dependencies|CAP_VENDOR_CONCENTRATION</v>
      </c>
      <c r="CV7" t="str">
        <f t="shared" si="25"/>
        <v>Active</v>
      </c>
      <c r="CW7" t="str">
        <f t="shared" si="26"/>
        <v>OK: capability-driven</v>
      </c>
      <c r="CX7" t="str">
        <f t="shared" si="27"/>
        <v>Initiative ontology uses capability=CAP_VENDOR_CONCENTRATION; bridge=BRG-009; treatment=TRT-VENDOR_CONCENTRATION-INITIAL; wording=IW-ALL-VENDOR_CONCENTRATION</v>
      </c>
    </row>
    <row r="8" spans="1:102" ht="42" customHeight="1">
      <c r="A8" s="17" t="s">
        <v>3955</v>
      </c>
      <c r="B8" s="17" t="s">
        <v>949</v>
      </c>
      <c r="C8" s="17" t="s">
        <v>951</v>
      </c>
      <c r="D8" s="17" t="s">
        <v>3956</v>
      </c>
      <c r="E8" s="17" t="s">
        <v>3957</v>
      </c>
      <c r="F8" s="17" t="s">
        <v>3958</v>
      </c>
      <c r="G8" s="17" t="s">
        <v>3959</v>
      </c>
      <c r="H8" s="17" t="s">
        <v>3680</v>
      </c>
      <c r="I8" s="17" t="s">
        <v>3960</v>
      </c>
      <c r="J8" s="17" t="s">
        <v>3961</v>
      </c>
      <c r="K8" s="17">
        <v>9</v>
      </c>
      <c r="L8" s="17">
        <f>IF($A8="","",COUNTIFS(_DATA_RiskInitiativeMap!$A$444:$A$867,$A8,_DATA_RiskInitiativeMap!$G$444:$G$867,"&gt;0"))</f>
        <v>9</v>
      </c>
      <c r="M8" s="17">
        <f>IF($A8="","",COUNTIFS(_DATA_RiskInitiativeMap!$A$444:$A$867,$A8,_DATA_RiskInitiativeMap!$G$444:$G$867,"&gt;0"))</f>
        <v>9</v>
      </c>
      <c r="N8" s="17">
        <f>IFERROR(AVERAGEIFS(_DATA_Assessment_Model!$H$5:$H$428,_DATA_Assessment_Model!$AW$5:$AW$428,$B8,_DATA_Assessment_Model!$B$5:$B$428,$C8),"")</f>
        <v>0</v>
      </c>
      <c r="O8" s="17">
        <f t="shared" si="0"/>
        <v>5</v>
      </c>
      <c r="P8" s="17">
        <f>IFERROR(INDEX(_DATA_Dashboard_Facts!$H$5:$H$21,MATCH($B8,_DATA_Dashboard_Facts!$A$5:$A$21,0)),"")</f>
        <v>0</v>
      </c>
      <c r="Q8" s="17">
        <f t="shared" si="1"/>
        <v>5</v>
      </c>
      <c r="R8" s="17">
        <f>IF(OR('Resilience &amp; Risk Scenario'!$B$6="",'Resilience &amp; Risk Scenario'!$B$7&lt;=0),1,IFERROR(IF(SUMIFS(_ENGINE_Crisis!$D$5:$D$208,_ENGINE_Crisis!$A$5:$A$208,'Resilience &amp; Risk Scenario'!$B$6,_ENGINE_Crisis!$B$5:$B$208,$B8)=0,1,SUMIFS(_ENGINE_Crisis!$D$5:$D$208,_ENGINE_Crisis!$A$5:$A$208,'Resilience &amp; Risk Scenario'!$B$6,_ENGINE_Crisis!$B$5:$B$208,$B8)),1))</f>
        <v>1</v>
      </c>
      <c r="S8" s="17">
        <f>IFERROR(INDEX(_ENGINE_Strategy!$A$100:$A$113,MATCH($D8,_ENGINE_Strategy!$B$100:$B$113,0)),99)</f>
        <v>14</v>
      </c>
      <c r="T8" s="17">
        <f>IFERROR(INDEX(_ENGINE_Strategy!$J$100:$J$113,MATCH($D8,_ENGINE_Strategy!$B$100:$B$113,0)),0)</f>
        <v>65.3</v>
      </c>
      <c r="U8" s="17">
        <v>2</v>
      </c>
      <c r="V8" s="17">
        <v>4</v>
      </c>
      <c r="W8" s="17">
        <v>5</v>
      </c>
      <c r="X8" s="17">
        <f t="shared" si="2"/>
        <v>4.5662500000000001</v>
      </c>
      <c r="Y8" s="17">
        <f>IF($P8="","",MAX(1,MIN(5,1+N($O8)*0.45+MIN(2,N($M8)*0.3)+($R8-1)*1.2+IF('Resilience &amp; Risk Scenario'!$B$7="",1,'Resilience &amp; Risk Scenario'!$B$7)*0.25)))</f>
        <v>5</v>
      </c>
      <c r="Z8" s="17">
        <f t="shared" si="3"/>
        <v>4.8</v>
      </c>
      <c r="AA8" s="17">
        <f t="shared" si="4"/>
        <v>3.2794999999999996</v>
      </c>
      <c r="AB8" s="17">
        <v>3</v>
      </c>
      <c r="AC8" s="17">
        <f t="shared" si="5"/>
        <v>1.71</v>
      </c>
      <c r="AD8" s="17">
        <f t="shared" si="6"/>
        <v>39</v>
      </c>
      <c r="AE8" s="17" t="str">
        <f t="shared" si="7"/>
        <v>6-12 months</v>
      </c>
      <c r="AF8" s="17" t="s">
        <v>3962</v>
      </c>
      <c r="AG8" s="17" t="s">
        <v>3963</v>
      </c>
      <c r="AH8" s="17" t="s">
        <v>3964</v>
      </c>
      <c r="AI8" s="17" t="s">
        <v>3965</v>
      </c>
      <c r="AJ8" s="17" t="s">
        <v>3966</v>
      </c>
      <c r="AK8" s="17" t="s">
        <v>3967</v>
      </c>
      <c r="AL8" s="17" t="s">
        <v>3968</v>
      </c>
      <c r="AM8" s="17" t="s">
        <v>3969</v>
      </c>
      <c r="AN8" s="17" t="s">
        <v>3937</v>
      </c>
      <c r="AO8" s="17" t="s">
        <v>3938</v>
      </c>
      <c r="AP8" s="17" t="s">
        <v>546</v>
      </c>
      <c r="AQ8" s="17"/>
      <c r="AR8" s="17"/>
      <c r="AS8" s="14">
        <f>IFERROR((IF(SUMIFS(_REF_Model_Content!$J$1:$J$157,_REF_Model_Content!$A$1:$A$174,PV_Canonical_Industry,_REF_Model_Content!$B$1:$B$174,$B8)=0,1,SUMIFS(_REF_Model_Content!$J$1:$J$157,_REF_Model_Content!$A$1:$A$174,PV_Canonical_Industry,_REF_Model_Content!$B$1:$B$174,$B8))*IFERROR($CA8,1)),1)</f>
        <v>1</v>
      </c>
      <c r="AT8" s="14">
        <f t="shared" si="8"/>
        <v>1.71</v>
      </c>
      <c r="AU8" s="14">
        <f>IF($AT8="","",RANK($AT8,$AT$5:$AT$76,0)+COUNTIF($AT$5:AT8,$AT8)-1)</f>
        <v>39</v>
      </c>
      <c r="AV8" s="14">
        <f>IFERROR(INDEX(_DATA_Dashboard_Facts!$G$300:$G$316,MATCH($B8,_DATA_Dashboard_Facts!$A$300:$A$316,0)),"")</f>
        <v>0</v>
      </c>
      <c r="AW8" s="14" t="str">
        <f t="shared" si="9"/>
        <v>Relevance-neutral priority</v>
      </c>
      <c r="AX8">
        <f>IFERROR(INDEX('Action Plan &amp; Roadmap'!$D$59:$D$130,MATCH($A8,'Action Plan &amp; Roadmap'!$A$59:$A$130,0)),"")</f>
        <v>0</v>
      </c>
      <c r="AY8">
        <f t="shared" si="10"/>
        <v>0</v>
      </c>
      <c r="AZ8" t="s">
        <v>3940</v>
      </c>
      <c r="BA8">
        <f>IF($A8="","",COUNTIF(_DATA_RiskInitiativeMap!$A$1:$A$867,$A8))</f>
        <v>9</v>
      </c>
      <c r="BB8">
        <f>IF($A8="","",IFERROR(AVERAGEIF(_DATA_RiskInitiativeMap!$A$1:$A$867,$A8,_DATA_RiskInitiativeMap!$G$1:$G$867),0))</f>
        <v>14.1</v>
      </c>
      <c r="BC8">
        <f t="shared" si="11"/>
        <v>4.7</v>
      </c>
      <c r="BD8">
        <f t="shared" si="12"/>
        <v>4.0870000000000006</v>
      </c>
      <c r="BI8" s="17" t="str">
        <f>IFERROR(_CONFIG_Model_Settings!$B$103,"Adaptive")</f>
        <v>Fragile</v>
      </c>
      <c r="BJ8" s="17">
        <f>IFERROR(INDEX(_CONFIG_Model_Settings!$B$109:$B$113,MATCH($BI8,_CONFIG_Model_Settings!$A$109:$A$113,0)),0.3)</f>
        <v>0.2</v>
      </c>
      <c r="BK8" s="17">
        <f>IFERROR(INDEX(_CONFIG_Model_Settings!$C$109:$C$113,MATCH($BI8,_CONFIG_Model_Settings!$A$109:$A$113,0)),0.2)</f>
        <v>0.3</v>
      </c>
      <c r="BL8" s="17">
        <f>IFERROR(INDEX(_CONFIG_Model_Settings!$D$109:$D$113,MATCH($BI8,_CONFIG_Model_Settings!$A$109:$A$113,0)),0.25)</f>
        <v>0.4</v>
      </c>
      <c r="BM8" s="17">
        <f>IFERROR(INDEX(_CONFIG_Model_Settings!$E$109:$E$113,MATCH($BI8,_CONFIG_Model_Settings!$A$109:$A$113,0)),0.25)</f>
        <v>0.1</v>
      </c>
      <c r="BN8" s="17">
        <f>IFERROR(INDEX(_CONFIG_Model_Settings!$B$117:$B$123,MATCH(_CONFIG_Model_Settings!$B$104,_CONFIG_Model_Settings!$A$117:$A$123,0)),1)</f>
        <v>1</v>
      </c>
      <c r="BO8" s="17">
        <f>IFERROR(INDEX(_CONFIG_Model_Settings!$C$117:$C$123,MATCH(_CONFIG_Model_Settings!$B$104,_CONFIG_Model_Settings!$A$117:$A$123,0)),1)</f>
        <v>1</v>
      </c>
      <c r="BP8" s="17">
        <f>IFERROR(INDEX(_CONFIG_Model_Settings!$D$117:$D$123,MATCH(_CONFIG_Model_Settings!$B$104,_CONFIG_Model_Settings!$A$117:$A$123,0)),1)</f>
        <v>1</v>
      </c>
      <c r="BQ8" s="17">
        <f>IFERROR(INDEX(_CONFIG_Model_Settings!$E$117:$E$123,MATCH(_CONFIG_Model_Settings!$B$104,_CONFIG_Model_Settings!$A$117:$A$123,0)),1)</f>
        <v>1</v>
      </c>
      <c r="BR8" s="17">
        <f>IF(OR($A8="",$P8=""),"",MIN(5,IFERROR(SUMIF(_DATA_RiskInitiativeMap!$A$1:$A$867,$A8,_DATA_RiskInitiativeMap!$K$1:$K$867)/MAX(1,_CONFIG_Model_Settings!$B$166),0)))</f>
        <v>5</v>
      </c>
      <c r="BS8" s="17">
        <f t="shared" si="13"/>
        <v>5.13</v>
      </c>
      <c r="BT8" s="17">
        <f t="shared" si="14"/>
        <v>3</v>
      </c>
      <c r="BU8" s="17">
        <f t="shared" si="15"/>
        <v>1.71</v>
      </c>
      <c r="BV8" s="17">
        <f>IF(OR($P8="",$BU8="",$AY8="Done",$AY8="Not applicable"),"",ROUND($BU8*N($AS8)*IF(OR('Resilience &amp; Risk Scenario'!$B$6="",'Resilience &amp; Risk Scenario'!$B$7&lt;=0),1,IFERROR(1+MIN(0.75,INDEX('Resilience &amp; Risk Scenario'!$E$21:$E$37,MATCH($B8,'Resilience &amp; Risk Scenario'!$B$21:$B$37,0))/10),1)),2))</f>
        <v>1.71</v>
      </c>
      <c r="BW8" s="17">
        <f>IF($BV8="","",RANK($BV8,$BV$5:$BV$76,0)+COUNTIF($BV$5:$BV8,$BV8)-1)</f>
        <v>39</v>
      </c>
      <c r="BX8" s="17" t="str">
        <f t="shared" si="16"/>
        <v>6-12 months</v>
      </c>
      <c r="BY8" t="str">
        <f>IFERROR(IF($A8="","","P2: "&amp;$BI8&amp;" posture; objective="&amp;IF(_CONFIG_Model_Settings!$B$104="","Neutral/default",_CONFIG_Model_Settings!$B$104)&amp;"; relevance="&amp;ROUND(N($AS8),2)&amp;"; scenario/domain boost="&amp;ROUND(IF(OR('Resilience &amp; Risk Scenario'!$B$6="",'Resilience &amp; Risk Scenario'!$B$7&lt;=0),1,IFERROR(1+MIN(0.75,INDEX('Resilience &amp; Risk Scenario'!$E$21:$E$37,MATCH($B8,'Resilience &amp; Risk Scenario'!$B$21:$B$37,0))/10),1)),2)&amp;"; financial score="&amp;ROUND(N($BR8),1)&amp;"; CoD="&amp;$BS8&amp;IF($CL8&lt;&gt;"","; wording="&amp;$CL8,"")),"")</f>
        <v>P2: Fragile posture; objective=Neutral/default; relevance=1; scenario/domain boost=1; financial score=5; CoD=5.13; wording=Strengthen Backup / recovery</v>
      </c>
      <c r="BZ8" t="str">
        <f>IFERROR(INDEX(_REF_Capability_Bridge!$D:$D,MATCH($B8&amp;"|"&amp;$C8,_REF_Capability_Bridge!$J:$J,0)),IFERROR(INDEX(_REF_Capability_Bridge!$D:$D,MATCH($B8&amp;"|",_REF_Capability_Bridge!$J:$J,0)),"CAP_GENERIC"))</f>
        <v>CAP_BACKUP_RECOVERY</v>
      </c>
      <c r="CA8">
        <f>IFERROR(IFERROR(INDEX(_ENGINE_Relevance!$L:$L,MATCH($BZ8,_ENGINE_Relevance!$B:$B,0)),1),1)</f>
        <v>1</v>
      </c>
      <c r="CB8" t="str">
        <f>IFERROR(INDEX(_REF_Capability_Bridge!$A:$A,MATCH($B8&amp;"|"&amp;$C8,_REF_Capability_Bridge!$J:$J,0)),IFERROR(INDEX(_REF_Capability_Bridge!$A:$A,MATCH($B8&amp;"|",_REF_Capability_Bridge!$J:$J,0)),"No bridge"))</f>
        <v>BRG-083</v>
      </c>
      <c r="CC8" t="str">
        <f t="shared" si="17"/>
        <v>Capability relevance neutral</v>
      </c>
      <c r="CD8" t="str">
        <f t="shared" si="18"/>
        <v>Initial / absent</v>
      </c>
      <c r="CE8" t="str">
        <f>IF($A8="","",IFERROR(INDEX(_REF_Treatment_Library!$A$2:$A$296,MATCH(1,INDEX((_REF_Treatment_Library!$B$2:$B$296=$BZ8)*(_REF_Treatment_Library!$C$2:$C$296=PV_Canonical_Industry)*(_REF_Treatment_Library!$E$2:$E$296&lt;=N($N8))*(_REF_Treatment_Library!$F$2:$F$296&gt;=N($N8))*(_REF_Treatment_Library!$O$2:$O$296="Yes"),0),0)),IFERROR(INDEX(_REF_Treatment_Library!$A$2:$A$296,MATCH(1,INDEX((_REF_Treatment_Library!$B$2:$B$296=$BZ8)*(_REF_Treatment_Library!$C$2:$C$296="All")*(_REF_Treatment_Library!$E$2:$E$296&lt;=N($N8))*(_REF_Treatment_Library!$F$2:$F$296&gt;=N($N8))*(_REF_Treatment_Library!$O$2:$O$296="Yes"),0),0)),"")))</f>
        <v>TRT-BACKUP_RECOVERY-INITIAL</v>
      </c>
      <c r="CF8" t="str">
        <f>IF($CE8="","",IFERROR(INDEX(_REF_Treatment_Library!$H$2:$H$296,MATCH($CE8,_REF_Treatment_Library!$A$2:$A$296,0)),""))</f>
        <v>Establish</v>
      </c>
      <c r="CG8" t="str">
        <f>IF($CE8="","",IFERROR(INDEX(_REF_Treatment_Library!$I$2:$I$296,MATCH($CE8,_REF_Treatment_Library!$A$2:$A$296,0)),""))</f>
        <v>Establish baseline controls for Backup / recovery</v>
      </c>
      <c r="CH8" t="str">
        <f>IF($CE8="","",IFERROR(INDEX(_REF_Treatment_Library!$K$2:$K$296,MATCH($CE8,_REF_Treatment_Library!$A$2:$A$296,0)),""))</f>
        <v>Named owner, baseline process, minimum control checklist, first evidence package</v>
      </c>
      <c r="CI8" t="str">
        <f>IF($CE8="","",IFERROR(INDEX(_REF_Treatment_Library!$L$2:$L$296,MATCH($CE8,_REF_Treatment_Library!$A$2:$A$296,0)),""))</f>
        <v>Owner assigned; baseline evidence coverage; open critical gaps</v>
      </c>
      <c r="CJ8" t="str">
        <f t="shared" si="19"/>
        <v>Treatment by capability=CAP_BACKUP_RECOVERY; band=Initial / absent; score=0.0; treatment=Establish</v>
      </c>
      <c r="CK8" t="str">
        <f>IF($A8="","",IFERROR(INDEX(_REF_Industry_Wording!$A$2:$A$70,MATCH(1,INDEX((_REF_Industry_Wording!$B$2:$B$70=$BZ8)*(_REF_Industry_Wording!$C$2:$C$70=PV_Canonical_Industry)*(_REF_Industry_Wording!$K$2:$K$70="Yes"),0),0)),IFERROR(INDEX(_REF_Industry_Wording!$A$2:$A$70,MATCH(1,INDEX((_REF_Industry_Wording!$B$2:$B$70=$BZ8)*(_REF_Industry_Wording!$C$2:$C$70="All")*(_REF_Industry_Wording!$K$2:$K$70="Yes"),0),0)),"")))</f>
        <v>IW-ALL-BACKUP_RECOVERY</v>
      </c>
      <c r="CL8" t="str">
        <f>IF($CK8="","",IFERROR(INDEX(_REF_Industry_Wording!$F$2:$F$70,MATCH($CK8,_REF_Industry_Wording!$A$2:$A$70,0)),""))</f>
        <v>Strengthen Backup / recovery</v>
      </c>
      <c r="CM8" t="str">
        <f>IF($CK8="","",IFERROR(INDEX(_REF_Industry_Wording!$G$2:$G$70,MATCH($CK8,_REF_Industry_Wording!$A$2:$A$70,0)),""))</f>
        <v>Strengthen Backup / recovery using the selected maturity treatment, crisis scenario and evidence requirements.</v>
      </c>
      <c r="CN8" t="str">
        <f>IF($CK8="","",IFERROR(INDEX(_REF_Industry_Wording!$H$2:$H$70,MATCH($CK8,_REF_Industry_Wording!$A$2:$A$70,0)),""))</f>
        <v>Backup / recovery</v>
      </c>
      <c r="CO8">
        <f>IF($CK8="","",IFERROR(INDEX(_REF_Industry_Wording!$I$2:$I$70,MATCH($CK8,_REF_Industry_Wording!$A$2:$A$70,0)),""))</f>
        <v>0</v>
      </c>
      <c r="CP8" t="str">
        <f>IF($CK8="","",IFERROR(INDEX(_REF_Industry_Wording!$J$2:$J$70,MATCH($CK8,_REF_Industry_Wording!$A$2:$A$70,0)),""))</f>
        <v>Backup / recovery</v>
      </c>
      <c r="CQ8" t="str">
        <f t="shared" si="20"/>
        <v>Wording by industry=0; capability=CAP_BACKUP_RECOVERY; title=Strengthen Backup / recovery</v>
      </c>
      <c r="CR8" t="str">
        <f t="shared" si="21"/>
        <v>INIT-ONT-0004</v>
      </c>
      <c r="CS8">
        <f t="shared" si="22"/>
        <v>8</v>
      </c>
      <c r="CT8" t="str">
        <f t="shared" si="23"/>
        <v>CAP_BACKUP_RECOVERY</v>
      </c>
      <c r="CU8" t="str">
        <f t="shared" si="24"/>
        <v>INI-004|Strategy GTM|Corporate strategy|CAP_BACKUP_RECOVERY</v>
      </c>
      <c r="CV8" t="str">
        <f t="shared" si="25"/>
        <v>Active</v>
      </c>
      <c r="CW8" t="str">
        <f t="shared" si="26"/>
        <v>OK: capability-driven</v>
      </c>
      <c r="CX8" t="str">
        <f t="shared" si="27"/>
        <v>Initiative ontology uses capability=CAP_BACKUP_RECOVERY; bridge=BRG-083; treatment=TRT-BACKUP_RECOVERY-INITIAL; wording=IW-ALL-BACKUP_RECOVERY</v>
      </c>
    </row>
    <row r="9" spans="1:102" ht="42" customHeight="1">
      <c r="A9" s="17" t="s">
        <v>3970</v>
      </c>
      <c r="B9" s="17" t="s">
        <v>949</v>
      </c>
      <c r="C9" s="17" t="s">
        <v>972</v>
      </c>
      <c r="D9" s="17" t="s">
        <v>3971</v>
      </c>
      <c r="E9" s="17" t="s">
        <v>3972</v>
      </c>
      <c r="F9" s="17" t="s">
        <v>3973</v>
      </c>
      <c r="G9" s="17" t="s">
        <v>3974</v>
      </c>
      <c r="H9" s="17" t="s">
        <v>3680</v>
      </c>
      <c r="I9" s="17" t="s">
        <v>3960</v>
      </c>
      <c r="J9" s="17" t="s">
        <v>3975</v>
      </c>
      <c r="K9" s="17">
        <v>6</v>
      </c>
      <c r="L9" s="17">
        <f>IF($A9="","",COUNTIFS(_DATA_RiskInitiativeMap!$A$444:$A$867,$A9,_DATA_RiskInitiativeMap!$G$444:$G$867,"&gt;0"))</f>
        <v>6</v>
      </c>
      <c r="M9" s="17">
        <f>IF($A9="","",COUNTIFS(_DATA_RiskInitiativeMap!$A$444:$A$867,$A9,_DATA_RiskInitiativeMap!$G$444:$G$867,"&gt;0"))</f>
        <v>6</v>
      </c>
      <c r="N9" s="17">
        <f>IFERROR(AVERAGEIFS(_DATA_Assessment_Model!$H$5:$H$428,_DATA_Assessment_Model!$AW$5:$AW$428,$B9,_DATA_Assessment_Model!$B$5:$B$428,$C9),"")</f>
        <v>0</v>
      </c>
      <c r="O9" s="17">
        <f t="shared" si="0"/>
        <v>5</v>
      </c>
      <c r="P9" s="17">
        <f>IFERROR(INDEX(_DATA_Dashboard_Facts!$H$5:$H$21,MATCH($B9,_DATA_Dashboard_Facts!$A$5:$A$21,0)),"")</f>
        <v>0</v>
      </c>
      <c r="Q9" s="17">
        <f t="shared" si="1"/>
        <v>5</v>
      </c>
      <c r="R9" s="17">
        <f>IF(OR('Resilience &amp; Risk Scenario'!$B$6="",'Resilience &amp; Risk Scenario'!$B$7&lt;=0),1,IFERROR(IF(SUMIFS(_ENGINE_Crisis!$D$5:$D$208,_ENGINE_Crisis!$A$5:$A$208,'Resilience &amp; Risk Scenario'!$B$6,_ENGINE_Crisis!$B$5:$B$208,$B9)=0,1,SUMIFS(_ENGINE_Crisis!$D$5:$D$208,_ENGINE_Crisis!$A$5:$A$208,'Resilience &amp; Risk Scenario'!$B$6,_ENGINE_Crisis!$B$5:$B$208,$B9)),1))</f>
        <v>1</v>
      </c>
      <c r="S9" s="17">
        <f>IFERROR(INDEX(_ENGINE_Strategy!$A$100:$A$113,MATCH($D9,_ENGINE_Strategy!$B$100:$B$113,0)),99)</f>
        <v>13</v>
      </c>
      <c r="T9" s="17">
        <f>IFERROR(INDEX(_ENGINE_Strategy!$J$100:$J$113,MATCH($D9,_ENGINE_Strategy!$B$100:$B$113,0)),0)</f>
        <v>65.5</v>
      </c>
      <c r="U9" s="17">
        <v>4</v>
      </c>
      <c r="V9" s="17">
        <v>4</v>
      </c>
      <c r="W9" s="17">
        <v>3</v>
      </c>
      <c r="X9" s="17">
        <f t="shared" si="2"/>
        <v>4.5687499999999996</v>
      </c>
      <c r="Y9" s="17">
        <f>IF($P9="","",MAX(1,MIN(5,1+N($O9)*0.45+MIN(2,N($M9)*0.3)+($R9-1)*1.2+IF('Resilience &amp; Risk Scenario'!$B$7="",1,'Resilience &amp; Risk Scenario'!$B$7)*0.25)))</f>
        <v>5</v>
      </c>
      <c r="Z9" s="17">
        <f t="shared" si="3"/>
        <v>4.8</v>
      </c>
      <c r="AA9" s="17">
        <f t="shared" si="4"/>
        <v>3.4824999999999999</v>
      </c>
      <c r="AB9" s="17">
        <v>3</v>
      </c>
      <c r="AC9" s="17">
        <f t="shared" si="5"/>
        <v>1.71</v>
      </c>
      <c r="AD9" s="17">
        <f t="shared" si="6"/>
        <v>40</v>
      </c>
      <c r="AE9" s="17" t="str">
        <f t="shared" si="7"/>
        <v>6-12 months</v>
      </c>
      <c r="AF9" s="17" t="s">
        <v>3962</v>
      </c>
      <c r="AG9" s="17" t="s">
        <v>3963</v>
      </c>
      <c r="AH9" s="17" t="s">
        <v>3964</v>
      </c>
      <c r="AI9" s="17" t="s">
        <v>3965</v>
      </c>
      <c r="AJ9" s="17" t="s">
        <v>3976</v>
      </c>
      <c r="AK9" s="17" t="s">
        <v>3977</v>
      </c>
      <c r="AL9" s="17" t="s">
        <v>3978</v>
      </c>
      <c r="AM9" s="17" t="s">
        <v>3979</v>
      </c>
      <c r="AN9" s="17" t="s">
        <v>3937</v>
      </c>
      <c r="AO9" s="17" t="s">
        <v>3938</v>
      </c>
      <c r="AP9" s="17" t="s">
        <v>546</v>
      </c>
      <c r="AQ9" s="17"/>
      <c r="AR9" s="17"/>
      <c r="AS9" s="14">
        <f>IFERROR((IF(SUMIFS(_REF_Model_Content!$J$1:$J$157,_REF_Model_Content!$A$1:$A$174,PV_Canonical_Industry,_REF_Model_Content!$B$1:$B$174,$B9)=0,1,SUMIFS(_REF_Model_Content!$J$1:$J$157,_REF_Model_Content!$A$1:$A$174,PV_Canonical_Industry,_REF_Model_Content!$B$1:$B$174,$B9))*IFERROR($CA9,1)),1)</f>
        <v>1</v>
      </c>
      <c r="AT9" s="14">
        <f t="shared" si="8"/>
        <v>1.71</v>
      </c>
      <c r="AU9" s="14">
        <f>IF($AT9="","",RANK($AT9,$AT$5:$AT$76,0)+COUNTIF($AT$5:AT9,$AT9)-1)</f>
        <v>40</v>
      </c>
      <c r="AV9" s="14">
        <f>IFERROR(INDEX(_DATA_Dashboard_Facts!$G$300:$G$316,MATCH($B9,_DATA_Dashboard_Facts!$A$300:$A$316,0)),"")</f>
        <v>0</v>
      </c>
      <c r="AW9" s="14" t="str">
        <f t="shared" si="9"/>
        <v>Relevance-neutral priority</v>
      </c>
      <c r="AX9">
        <f>IFERROR(INDEX('Action Plan &amp; Roadmap'!$D$59:$D$130,MATCH($A9,'Action Plan &amp; Roadmap'!$A$59:$A$130,0)),"")</f>
        <v>0</v>
      </c>
      <c r="AY9">
        <f t="shared" si="10"/>
        <v>0</v>
      </c>
      <c r="AZ9" t="s">
        <v>3980</v>
      </c>
      <c r="BA9">
        <f>IF($A9="","",COUNTIF(_DATA_RiskInitiativeMap!$A$1:$A$867,$A9))</f>
        <v>6</v>
      </c>
      <c r="BB9">
        <f>IF($A9="","",IFERROR(AVERAGEIF(_DATA_RiskInitiativeMap!$A$1:$A$867,$A9,_DATA_RiskInitiativeMap!$G$1:$G$867),0))</f>
        <v>14.82</v>
      </c>
      <c r="BC9">
        <f t="shared" si="11"/>
        <v>4.3000000000000007</v>
      </c>
      <c r="BD9">
        <f t="shared" si="12"/>
        <v>4.0574000000000003</v>
      </c>
      <c r="BI9" s="17" t="str">
        <f>IFERROR(_CONFIG_Model_Settings!$B$103,"Adaptive")</f>
        <v>Fragile</v>
      </c>
      <c r="BJ9" s="17">
        <f>IFERROR(INDEX(_CONFIG_Model_Settings!$B$109:$B$113,MATCH($BI9,_CONFIG_Model_Settings!$A$109:$A$113,0)),0.3)</f>
        <v>0.2</v>
      </c>
      <c r="BK9" s="17">
        <f>IFERROR(INDEX(_CONFIG_Model_Settings!$C$109:$C$113,MATCH($BI9,_CONFIG_Model_Settings!$A$109:$A$113,0)),0.2)</f>
        <v>0.3</v>
      </c>
      <c r="BL9" s="17">
        <f>IFERROR(INDEX(_CONFIG_Model_Settings!$D$109:$D$113,MATCH($BI9,_CONFIG_Model_Settings!$A$109:$A$113,0)),0.25)</f>
        <v>0.4</v>
      </c>
      <c r="BM9" s="17">
        <f>IFERROR(INDEX(_CONFIG_Model_Settings!$E$109:$E$113,MATCH($BI9,_CONFIG_Model_Settings!$A$109:$A$113,0)),0.25)</f>
        <v>0.1</v>
      </c>
      <c r="BN9" s="17">
        <f>IFERROR(INDEX(_CONFIG_Model_Settings!$B$117:$B$123,MATCH(_CONFIG_Model_Settings!$B$104,_CONFIG_Model_Settings!$A$117:$A$123,0)),1)</f>
        <v>1</v>
      </c>
      <c r="BO9" s="17">
        <f>IFERROR(INDEX(_CONFIG_Model_Settings!$C$117:$C$123,MATCH(_CONFIG_Model_Settings!$B$104,_CONFIG_Model_Settings!$A$117:$A$123,0)),1)</f>
        <v>1</v>
      </c>
      <c r="BP9" s="17">
        <f>IFERROR(INDEX(_CONFIG_Model_Settings!$D$117:$D$123,MATCH(_CONFIG_Model_Settings!$B$104,_CONFIG_Model_Settings!$A$117:$A$123,0)),1)</f>
        <v>1</v>
      </c>
      <c r="BQ9" s="17">
        <f>IFERROR(INDEX(_CONFIG_Model_Settings!$E$117:$E$123,MATCH(_CONFIG_Model_Settings!$B$104,_CONFIG_Model_Settings!$A$117:$A$123,0)),1)</f>
        <v>1</v>
      </c>
      <c r="BR9" s="17">
        <f>IF(OR($A9="",$P9=""),"",MIN(5,IFERROR(SUMIF(_DATA_RiskInitiativeMap!$A$1:$A$867,$A9,_DATA_RiskInitiativeMap!$K$1:$K$867)/MAX(1,_CONFIG_Model_Settings!$B$166),0)))</f>
        <v>5</v>
      </c>
      <c r="BS9" s="17">
        <f t="shared" si="13"/>
        <v>5.13</v>
      </c>
      <c r="BT9" s="17">
        <f t="shared" si="14"/>
        <v>3</v>
      </c>
      <c r="BU9" s="17">
        <f t="shared" si="15"/>
        <v>1.71</v>
      </c>
      <c r="BV9" s="17">
        <f>IF(OR($P9="",$BU9="",$AY9="Done",$AY9="Not applicable"),"",ROUND($BU9*N($AS9)*IF(OR('Resilience &amp; Risk Scenario'!$B$6="",'Resilience &amp; Risk Scenario'!$B$7&lt;=0),1,IFERROR(1+MIN(0.75,INDEX('Resilience &amp; Risk Scenario'!$E$21:$E$37,MATCH($B9,'Resilience &amp; Risk Scenario'!$B$21:$B$37,0))/10),1)),2))</f>
        <v>1.71</v>
      </c>
      <c r="BW9" s="17">
        <f>IF($BV9="","",RANK($BV9,$BV$5:$BV$76,0)+COUNTIF($BV$5:$BV9,$BV9)-1)</f>
        <v>40</v>
      </c>
      <c r="BX9" s="17" t="str">
        <f t="shared" si="16"/>
        <v>6-12 months</v>
      </c>
      <c r="BY9" t="str">
        <f>IFERROR(IF($A9="","","P2: "&amp;$BI9&amp;" posture; objective="&amp;IF(_CONFIG_Model_Settings!$B$104="","Neutral/default",_CONFIG_Model_Settings!$B$104)&amp;"; relevance="&amp;ROUND(N($AS9),2)&amp;"; scenario/domain boost="&amp;ROUND(IF(OR('Resilience &amp; Risk Scenario'!$B$6="",'Resilience &amp; Risk Scenario'!$B$7&lt;=0),1,IFERROR(1+MIN(0.75,INDEX('Resilience &amp; Risk Scenario'!$E$21:$E$37,MATCH($B9,'Resilience &amp; Risk Scenario'!$B$21:$B$37,0))/10),1)),2)&amp;"; financial score="&amp;ROUND(N($BR9),1)&amp;"; CoD="&amp;$BS9&amp;IF($CL9&lt;&gt;"","; wording="&amp;$CL9,"")),"")</f>
        <v>P2: Fragile posture; objective=Neutral/default; relevance=1; scenario/domain boost=1; financial score=5; CoD=5.13; wording=Strengthen POS / ecommerce</v>
      </c>
      <c r="BZ9" t="str">
        <f>IFERROR(INDEX(_REF_Capability_Bridge!$D:$D,MATCH($B9&amp;"|"&amp;$C9,_REF_Capability_Bridge!$J:$J,0)),IFERROR(INDEX(_REF_Capability_Bridge!$D:$D,MATCH($B9&amp;"|",_REF_Capability_Bridge!$J:$J,0)),"CAP_GENERIC"))</f>
        <v>CAP_POS_ECOMMERCE</v>
      </c>
      <c r="CA9">
        <f>IFERROR(IFERROR(INDEX(_ENGINE_Relevance!$L:$L,MATCH($BZ9,_ENGINE_Relevance!$B:$B,0)),1),1)</f>
        <v>1</v>
      </c>
      <c r="CB9" t="str">
        <f>IFERROR(INDEX(_REF_Capability_Bridge!$A:$A,MATCH($B9&amp;"|"&amp;$C9,_REF_Capability_Bridge!$J:$J,0)),IFERROR(INDEX(_REF_Capability_Bridge!$A:$A,MATCH($B9&amp;"|",_REF_Capability_Bridge!$J:$J,0)),"No bridge"))</f>
        <v>BRG-086</v>
      </c>
      <c r="CC9" t="str">
        <f t="shared" si="17"/>
        <v>Capability relevance neutral</v>
      </c>
      <c r="CD9" t="str">
        <f t="shared" si="18"/>
        <v>Initial / absent</v>
      </c>
      <c r="CE9" t="str">
        <f>IF($A9="","",IFERROR(INDEX(_REF_Treatment_Library!$A$2:$A$296,MATCH(1,INDEX((_REF_Treatment_Library!$B$2:$B$296=$BZ9)*(_REF_Treatment_Library!$C$2:$C$296=PV_Canonical_Industry)*(_REF_Treatment_Library!$E$2:$E$296&lt;=N($N9))*(_REF_Treatment_Library!$F$2:$F$296&gt;=N($N9))*(_REF_Treatment_Library!$O$2:$O$296="Yes"),0),0)),IFERROR(INDEX(_REF_Treatment_Library!$A$2:$A$296,MATCH(1,INDEX((_REF_Treatment_Library!$B$2:$B$296=$BZ9)*(_REF_Treatment_Library!$C$2:$C$296="All")*(_REF_Treatment_Library!$E$2:$E$296&lt;=N($N9))*(_REF_Treatment_Library!$F$2:$F$296&gt;=N($N9))*(_REF_Treatment_Library!$O$2:$O$296="Yes"),0),0)),"")))</f>
        <v>TRT-POS_ECOMMERCE-INITIAL</v>
      </c>
      <c r="CF9" t="str">
        <f>IF($CE9="","",IFERROR(INDEX(_REF_Treatment_Library!$H$2:$H$296,MATCH($CE9,_REF_Treatment_Library!$A$2:$A$296,0)),""))</f>
        <v>Establish</v>
      </c>
      <c r="CG9" t="str">
        <f>IF($CE9="","",IFERROR(INDEX(_REF_Treatment_Library!$I$2:$I$296,MATCH($CE9,_REF_Treatment_Library!$A$2:$A$296,0)),""))</f>
        <v>Establish baseline controls for POS / ecommerce</v>
      </c>
      <c r="CH9" t="str">
        <f>IF($CE9="","",IFERROR(INDEX(_REF_Treatment_Library!$K$2:$K$296,MATCH($CE9,_REF_Treatment_Library!$A$2:$A$296,0)),""))</f>
        <v>Named owner, baseline process, minimum control checklist, first evidence package</v>
      </c>
      <c r="CI9" t="str">
        <f>IF($CE9="","",IFERROR(INDEX(_REF_Treatment_Library!$L$2:$L$296,MATCH($CE9,_REF_Treatment_Library!$A$2:$A$296,0)),""))</f>
        <v>Owner assigned; baseline evidence coverage; open critical gaps</v>
      </c>
      <c r="CJ9" t="str">
        <f t="shared" si="19"/>
        <v>Treatment by capability=CAP_POS_ECOMMERCE; band=Initial / absent; score=0.0; treatment=Establish</v>
      </c>
      <c r="CK9" t="str">
        <f>IF($A9="","",IFERROR(INDEX(_REF_Industry_Wording!$A$2:$A$70,MATCH(1,INDEX((_REF_Industry_Wording!$B$2:$B$70=$BZ9)*(_REF_Industry_Wording!$C$2:$C$70=PV_Canonical_Industry)*(_REF_Industry_Wording!$K$2:$K$70="Yes"),0),0)),IFERROR(INDEX(_REF_Industry_Wording!$A$2:$A$70,MATCH(1,INDEX((_REF_Industry_Wording!$B$2:$B$70=$BZ9)*(_REF_Industry_Wording!$C$2:$C$70="All")*(_REF_Industry_Wording!$K$2:$K$70="Yes"),0),0)),"")))</f>
        <v>IW-ALL-POS_ECOMMERCE</v>
      </c>
      <c r="CL9" t="str">
        <f>IF($CK9="","",IFERROR(INDEX(_REF_Industry_Wording!$F$2:$F$70,MATCH($CK9,_REF_Industry_Wording!$A$2:$A$70,0)),""))</f>
        <v>Strengthen POS / ecommerce</v>
      </c>
      <c r="CM9" t="str">
        <f>IF($CK9="","",IFERROR(INDEX(_REF_Industry_Wording!$G$2:$G$70,MATCH($CK9,_REF_Industry_Wording!$A$2:$A$70,0)),""))</f>
        <v>Strengthen POS / ecommerce using the selected maturity treatment, crisis scenario and evidence requirements.</v>
      </c>
      <c r="CN9" t="str">
        <f>IF($CK9="","",IFERROR(INDEX(_REF_Industry_Wording!$H$2:$H$70,MATCH($CK9,_REF_Industry_Wording!$A$2:$A$70,0)),""))</f>
        <v>POS / ecommerce</v>
      </c>
      <c r="CO9">
        <f>IF($CK9="","",IFERROR(INDEX(_REF_Industry_Wording!$I$2:$I$70,MATCH($CK9,_REF_Industry_Wording!$A$2:$A$70,0)),""))</f>
        <v>0</v>
      </c>
      <c r="CP9" t="str">
        <f>IF($CK9="","",IFERROR(INDEX(_REF_Industry_Wording!$J$2:$J$70,MATCH($CK9,_REF_Industry_Wording!$A$2:$A$70,0)),""))</f>
        <v>POS / ecommerce</v>
      </c>
      <c r="CQ9" t="str">
        <f t="shared" si="20"/>
        <v>Wording by industry=0; capability=CAP_POS_ECOMMERCE; title=Strengthen POS / ecommerce</v>
      </c>
      <c r="CR9" t="str">
        <f t="shared" si="21"/>
        <v>INIT-ONT-0005</v>
      </c>
      <c r="CS9">
        <f t="shared" si="22"/>
        <v>9</v>
      </c>
      <c r="CT9" t="str">
        <f t="shared" si="23"/>
        <v>CAP_POS_ECOMMERCE</v>
      </c>
      <c r="CU9" t="str">
        <f t="shared" si="24"/>
        <v>INI-005|Strategy GTM|Market and ICP|CAP_POS_ECOMMERCE</v>
      </c>
      <c r="CV9" t="str">
        <f t="shared" si="25"/>
        <v>Active</v>
      </c>
      <c r="CW9" t="str">
        <f t="shared" si="26"/>
        <v>OK: capability-driven</v>
      </c>
      <c r="CX9" t="str">
        <f t="shared" si="27"/>
        <v>Initiative ontology uses capability=CAP_POS_ECOMMERCE; bridge=BRG-086; treatment=TRT-POS_ECOMMERCE-INITIAL; wording=IW-ALL-POS_ECOMMERCE</v>
      </c>
    </row>
    <row r="10" spans="1:102" ht="42" customHeight="1">
      <c r="A10" s="17" t="s">
        <v>3981</v>
      </c>
      <c r="B10" s="17" t="s">
        <v>949</v>
      </c>
      <c r="C10" s="17" t="s">
        <v>976</v>
      </c>
      <c r="D10" s="17" t="s">
        <v>3971</v>
      </c>
      <c r="E10" s="17" t="s">
        <v>3972</v>
      </c>
      <c r="F10" s="17" t="s">
        <v>3982</v>
      </c>
      <c r="G10" s="17" t="s">
        <v>3983</v>
      </c>
      <c r="H10" s="17" t="s">
        <v>3680</v>
      </c>
      <c r="I10" s="17" t="s">
        <v>3960</v>
      </c>
      <c r="J10" s="17" t="s">
        <v>3984</v>
      </c>
      <c r="K10" s="17">
        <v>6</v>
      </c>
      <c r="L10" s="17">
        <f>IF($A10="","",COUNTIFS(_DATA_RiskInitiativeMap!$A$444:$A$867,$A10,_DATA_RiskInitiativeMap!$G$444:$G$867,"&gt;0"))</f>
        <v>6</v>
      </c>
      <c r="M10" s="17">
        <f>IF($A10="","",COUNTIFS(_DATA_RiskInitiativeMap!$A$444:$A$867,$A10,_DATA_RiskInitiativeMap!$G$444:$G$867,"&gt;0"))</f>
        <v>6</v>
      </c>
      <c r="N10" s="17">
        <f>IFERROR(AVERAGEIFS(_DATA_Assessment_Model!$H$5:$H$428,_DATA_Assessment_Model!$AW$5:$AW$428,$B10,_DATA_Assessment_Model!$B$5:$B$428,$C10),"")</f>
        <v>0</v>
      </c>
      <c r="O10" s="17">
        <f t="shared" si="0"/>
        <v>5</v>
      </c>
      <c r="P10" s="17">
        <f>IFERROR(INDEX(_DATA_Dashboard_Facts!$H$5:$H$21,MATCH($B10,_DATA_Dashboard_Facts!$A$5:$A$21,0)),"")</f>
        <v>0</v>
      </c>
      <c r="Q10" s="17">
        <f t="shared" si="1"/>
        <v>5</v>
      </c>
      <c r="R10" s="17">
        <f>IF(OR('Resilience &amp; Risk Scenario'!$B$6="",'Resilience &amp; Risk Scenario'!$B$7&lt;=0),1,IFERROR(IF(SUMIFS(_ENGINE_Crisis!$D$5:$D$208,_ENGINE_Crisis!$A$5:$A$208,'Resilience &amp; Risk Scenario'!$B$6,_ENGINE_Crisis!$B$5:$B$208,$B10)=0,1,SUMIFS(_ENGINE_Crisis!$D$5:$D$208,_ENGINE_Crisis!$A$5:$A$208,'Resilience &amp; Risk Scenario'!$B$6,_ENGINE_Crisis!$B$5:$B$208,$B10)),1))</f>
        <v>1</v>
      </c>
      <c r="S10" s="17">
        <f>IFERROR(INDEX(_ENGINE_Strategy!$A$100:$A$113,MATCH($D10,_ENGINE_Strategy!$B$100:$B$113,0)),99)</f>
        <v>13</v>
      </c>
      <c r="T10" s="17">
        <f>IFERROR(INDEX(_ENGINE_Strategy!$J$100:$J$113,MATCH($D10,_ENGINE_Strategy!$B$100:$B$113,0)),0)</f>
        <v>65.5</v>
      </c>
      <c r="U10" s="17">
        <v>4</v>
      </c>
      <c r="V10" s="17">
        <v>4</v>
      </c>
      <c r="W10" s="17">
        <v>3</v>
      </c>
      <c r="X10" s="17">
        <f t="shared" si="2"/>
        <v>4.5687499999999996</v>
      </c>
      <c r="Y10" s="17">
        <f>IF($P10="","",MAX(1,MIN(5,1+N($O10)*0.45+MIN(2,N($M10)*0.3)+($R10-1)*1.2+IF('Resilience &amp; Risk Scenario'!$B$7="",1,'Resilience &amp; Risk Scenario'!$B$7)*0.25)))</f>
        <v>5</v>
      </c>
      <c r="Z10" s="17">
        <f t="shared" si="3"/>
        <v>4.8</v>
      </c>
      <c r="AA10" s="17">
        <f t="shared" si="4"/>
        <v>3.4824999999999999</v>
      </c>
      <c r="AB10" s="17">
        <v>3</v>
      </c>
      <c r="AC10" s="17">
        <f t="shared" si="5"/>
        <v>1.72</v>
      </c>
      <c r="AD10" s="17">
        <f t="shared" si="6"/>
        <v>37</v>
      </c>
      <c r="AE10" s="17" t="str">
        <f t="shared" si="7"/>
        <v>6-12 months</v>
      </c>
      <c r="AF10" s="17" t="s">
        <v>3962</v>
      </c>
      <c r="AG10" s="17" t="s">
        <v>3963</v>
      </c>
      <c r="AH10" s="17" t="s">
        <v>3964</v>
      </c>
      <c r="AI10" s="17" t="s">
        <v>3965</v>
      </c>
      <c r="AJ10" s="17" t="s">
        <v>3985</v>
      </c>
      <c r="AK10" s="17" t="s">
        <v>3986</v>
      </c>
      <c r="AL10" s="17" t="s">
        <v>3987</v>
      </c>
      <c r="AM10" s="17" t="s">
        <v>3979</v>
      </c>
      <c r="AN10" s="17" t="s">
        <v>3937</v>
      </c>
      <c r="AO10" s="17" t="s">
        <v>3938</v>
      </c>
      <c r="AP10" s="17" t="s">
        <v>546</v>
      </c>
      <c r="AQ10" s="17"/>
      <c r="AR10" s="17"/>
      <c r="AS10" s="14">
        <f>IFERROR((IF(SUMIFS(_REF_Model_Content!$J$1:$J$157,_REF_Model_Content!$A$1:$A$174,PV_Canonical_Industry,_REF_Model_Content!$B$1:$B$174,$B10)=0,1,SUMIFS(_REF_Model_Content!$J$1:$J$157,_REF_Model_Content!$A$1:$A$174,PV_Canonical_Industry,_REF_Model_Content!$B$1:$B$174,$B10))*IFERROR($CA10,1)),1)</f>
        <v>1</v>
      </c>
      <c r="AT10" s="14">
        <f t="shared" si="8"/>
        <v>1.72</v>
      </c>
      <c r="AU10" s="14">
        <f>IF($AT10="","",RANK($AT10,$AT$5:$AT$76,0)+COUNTIF($AT$5:AT10,$AT10)-1)</f>
        <v>37</v>
      </c>
      <c r="AV10" s="14">
        <f>IFERROR(INDEX(_DATA_Dashboard_Facts!$G$300:$G$316,MATCH($B10,_DATA_Dashboard_Facts!$A$300:$A$316,0)),"")</f>
        <v>0</v>
      </c>
      <c r="AW10" s="14" t="str">
        <f t="shared" si="9"/>
        <v>Relevance-neutral priority</v>
      </c>
      <c r="AX10">
        <f>IFERROR(INDEX('Action Plan &amp; Roadmap'!$D$59:$D$130,MATCH($A10,'Action Plan &amp; Roadmap'!$A$59:$A$130,0)),"")</f>
        <v>0</v>
      </c>
      <c r="AY10">
        <f t="shared" si="10"/>
        <v>0</v>
      </c>
      <c r="AZ10" t="s">
        <v>3988</v>
      </c>
      <c r="BA10">
        <f>IF($A10="","",COUNTIF(_DATA_RiskInitiativeMap!$A$1:$A$867,$A10))</f>
        <v>6</v>
      </c>
      <c r="BB10">
        <f>IF($A10="","",IFERROR(AVERAGEIF(_DATA_RiskInitiativeMap!$A$1:$A$867,$A10,_DATA_RiskInitiativeMap!$G$1:$G$867),0))</f>
        <v>15.42</v>
      </c>
      <c r="BC10">
        <f t="shared" si="11"/>
        <v>4.3000000000000007</v>
      </c>
      <c r="BD10">
        <f t="shared" si="12"/>
        <v>4.0994000000000002</v>
      </c>
      <c r="BI10" s="17" t="str">
        <f>IFERROR(_CONFIG_Model_Settings!$B$103,"Adaptive")</f>
        <v>Fragile</v>
      </c>
      <c r="BJ10" s="17">
        <f>IFERROR(INDEX(_CONFIG_Model_Settings!$B$109:$B$113,MATCH($BI10,_CONFIG_Model_Settings!$A$109:$A$113,0)),0.3)</f>
        <v>0.2</v>
      </c>
      <c r="BK10" s="17">
        <f>IFERROR(INDEX(_CONFIG_Model_Settings!$C$109:$C$113,MATCH($BI10,_CONFIG_Model_Settings!$A$109:$A$113,0)),0.2)</f>
        <v>0.3</v>
      </c>
      <c r="BL10" s="17">
        <f>IFERROR(INDEX(_CONFIG_Model_Settings!$D$109:$D$113,MATCH($BI10,_CONFIG_Model_Settings!$A$109:$A$113,0)),0.25)</f>
        <v>0.4</v>
      </c>
      <c r="BM10" s="17">
        <f>IFERROR(INDEX(_CONFIG_Model_Settings!$E$109:$E$113,MATCH($BI10,_CONFIG_Model_Settings!$A$109:$A$113,0)),0.25)</f>
        <v>0.1</v>
      </c>
      <c r="BN10" s="17">
        <f>IFERROR(INDEX(_CONFIG_Model_Settings!$B$117:$B$123,MATCH(_CONFIG_Model_Settings!$B$104,_CONFIG_Model_Settings!$A$117:$A$123,0)),1)</f>
        <v>1</v>
      </c>
      <c r="BO10" s="17">
        <f>IFERROR(INDEX(_CONFIG_Model_Settings!$C$117:$C$123,MATCH(_CONFIG_Model_Settings!$B$104,_CONFIG_Model_Settings!$A$117:$A$123,0)),1)</f>
        <v>1</v>
      </c>
      <c r="BP10" s="17">
        <f>IFERROR(INDEX(_CONFIG_Model_Settings!$D$117:$D$123,MATCH(_CONFIG_Model_Settings!$B$104,_CONFIG_Model_Settings!$A$117:$A$123,0)),1)</f>
        <v>1</v>
      </c>
      <c r="BQ10" s="17">
        <f>IFERROR(INDEX(_CONFIG_Model_Settings!$E$117:$E$123,MATCH(_CONFIG_Model_Settings!$B$104,_CONFIG_Model_Settings!$A$117:$A$123,0)),1)</f>
        <v>1</v>
      </c>
      <c r="BR10" s="17">
        <f>IF(OR($A10="",$P10=""),"",MIN(5,IFERROR(SUMIF(_DATA_RiskInitiativeMap!$A$1:$A$867,$A10,_DATA_RiskInitiativeMap!$K$1:$K$867)/MAX(1,_CONFIG_Model_Settings!$B$166),0)))</f>
        <v>5</v>
      </c>
      <c r="BS10" s="17">
        <f t="shared" si="13"/>
        <v>5.15</v>
      </c>
      <c r="BT10" s="17">
        <f t="shared" si="14"/>
        <v>3</v>
      </c>
      <c r="BU10" s="17">
        <f t="shared" si="15"/>
        <v>1.72</v>
      </c>
      <c r="BV10" s="17">
        <f>IF(OR($P10="",$BU10="",$AY10="Done",$AY10="Not applicable"),"",ROUND($BU10*N($AS10)*IF(OR('Resilience &amp; Risk Scenario'!$B$6="",'Resilience &amp; Risk Scenario'!$B$7&lt;=0),1,IFERROR(1+MIN(0.75,INDEX('Resilience &amp; Risk Scenario'!$E$21:$E$37,MATCH($B10,'Resilience &amp; Risk Scenario'!$B$21:$B$37,0))/10),1)),2))</f>
        <v>1.72</v>
      </c>
      <c r="BW10" s="17">
        <f>IF($BV10="","",RANK($BV10,$BV$5:$BV$76,0)+COUNTIF($BV$5:$BV10,$BV10)-1)</f>
        <v>37</v>
      </c>
      <c r="BX10" s="17" t="str">
        <f t="shared" si="16"/>
        <v>6-12 months</v>
      </c>
      <c r="BY10" t="str">
        <f>IFERROR(IF($A10="","","P2: "&amp;$BI10&amp;" posture; objective="&amp;IF(_CONFIG_Model_Settings!$B$104="","Neutral/default",_CONFIG_Model_Settings!$B$104)&amp;"; relevance="&amp;ROUND(N($AS10),2)&amp;"; scenario/domain boost="&amp;ROUND(IF(OR('Resilience &amp; Risk Scenario'!$B$6="",'Resilience &amp; Risk Scenario'!$B$7&lt;=0),1,IFERROR(1+MIN(0.75,INDEX('Resilience &amp; Risk Scenario'!$E$21:$E$37,MATCH($B10,'Resilience &amp; Risk Scenario'!$B$21:$B$37,0))/10),1)),2)&amp;"; financial score="&amp;ROUND(N($BR10),1)&amp;"; CoD="&amp;$BS10&amp;IF($CL10&lt;&gt;"","; wording="&amp;$CL10,"")),"")</f>
        <v>P2: Fragile posture; objective=Neutral/default; relevance=1; scenario/domain boost=1; financial score=5; CoD=5.15; wording=Strengthen POS / ecommerce</v>
      </c>
      <c r="BZ10" t="str">
        <f>IFERROR(INDEX(_REF_Capability_Bridge!$D:$D,MATCH($B10&amp;"|"&amp;$C10,_REF_Capability_Bridge!$J:$J,0)),IFERROR(INDEX(_REF_Capability_Bridge!$D:$D,MATCH($B10&amp;"|",_REF_Capability_Bridge!$J:$J,0)),"CAP_GENERIC"))</f>
        <v>CAP_POS_ECOMMERCE</v>
      </c>
      <c r="CA10">
        <f>IFERROR(IFERROR(INDEX(_ENGINE_Relevance!$L:$L,MATCH($BZ10,_ENGINE_Relevance!$B:$B,0)),1),1)</f>
        <v>1</v>
      </c>
      <c r="CB10" t="str">
        <f>IFERROR(INDEX(_REF_Capability_Bridge!$A:$A,MATCH($B10&amp;"|"&amp;$C10,_REF_Capability_Bridge!$J:$J,0)),IFERROR(INDEX(_REF_Capability_Bridge!$A:$A,MATCH($B10&amp;"|",_REF_Capability_Bridge!$J:$J,0)),"No bridge"))</f>
        <v>BRG-087</v>
      </c>
      <c r="CC10" t="str">
        <f t="shared" si="17"/>
        <v>Capability relevance neutral</v>
      </c>
      <c r="CD10" t="str">
        <f t="shared" si="18"/>
        <v>Initial / absent</v>
      </c>
      <c r="CE10" t="str">
        <f>IF($A10="","",IFERROR(INDEX(_REF_Treatment_Library!$A$2:$A$296,MATCH(1,INDEX((_REF_Treatment_Library!$B$2:$B$296=$BZ10)*(_REF_Treatment_Library!$C$2:$C$296=PV_Canonical_Industry)*(_REF_Treatment_Library!$E$2:$E$296&lt;=N($N10))*(_REF_Treatment_Library!$F$2:$F$296&gt;=N($N10))*(_REF_Treatment_Library!$O$2:$O$296="Yes"),0),0)),IFERROR(INDEX(_REF_Treatment_Library!$A$2:$A$296,MATCH(1,INDEX((_REF_Treatment_Library!$B$2:$B$296=$BZ10)*(_REF_Treatment_Library!$C$2:$C$296="All")*(_REF_Treatment_Library!$E$2:$E$296&lt;=N($N10))*(_REF_Treatment_Library!$F$2:$F$296&gt;=N($N10))*(_REF_Treatment_Library!$O$2:$O$296="Yes"),0),0)),"")))</f>
        <v>TRT-POS_ECOMMERCE-INITIAL</v>
      </c>
      <c r="CF10" t="str">
        <f>IF($CE10="","",IFERROR(INDEX(_REF_Treatment_Library!$H$2:$H$296,MATCH($CE10,_REF_Treatment_Library!$A$2:$A$296,0)),""))</f>
        <v>Establish</v>
      </c>
      <c r="CG10" t="str">
        <f>IF($CE10="","",IFERROR(INDEX(_REF_Treatment_Library!$I$2:$I$296,MATCH($CE10,_REF_Treatment_Library!$A$2:$A$296,0)),""))</f>
        <v>Establish baseline controls for POS / ecommerce</v>
      </c>
      <c r="CH10" t="str">
        <f>IF($CE10="","",IFERROR(INDEX(_REF_Treatment_Library!$K$2:$K$296,MATCH($CE10,_REF_Treatment_Library!$A$2:$A$296,0)),""))</f>
        <v>Named owner, baseline process, minimum control checklist, first evidence package</v>
      </c>
      <c r="CI10" t="str">
        <f>IF($CE10="","",IFERROR(INDEX(_REF_Treatment_Library!$L$2:$L$296,MATCH($CE10,_REF_Treatment_Library!$A$2:$A$296,0)),""))</f>
        <v>Owner assigned; baseline evidence coverage; open critical gaps</v>
      </c>
      <c r="CJ10" t="str">
        <f t="shared" si="19"/>
        <v>Treatment by capability=CAP_POS_ECOMMERCE; band=Initial / absent; score=0.0; treatment=Establish</v>
      </c>
      <c r="CK10" t="str">
        <f>IF($A10="","",IFERROR(INDEX(_REF_Industry_Wording!$A$2:$A$70,MATCH(1,INDEX((_REF_Industry_Wording!$B$2:$B$70=$BZ10)*(_REF_Industry_Wording!$C$2:$C$70=PV_Canonical_Industry)*(_REF_Industry_Wording!$K$2:$K$70="Yes"),0),0)),IFERROR(INDEX(_REF_Industry_Wording!$A$2:$A$70,MATCH(1,INDEX((_REF_Industry_Wording!$B$2:$B$70=$BZ10)*(_REF_Industry_Wording!$C$2:$C$70="All")*(_REF_Industry_Wording!$K$2:$K$70="Yes"),0),0)),"")))</f>
        <v>IW-ALL-POS_ECOMMERCE</v>
      </c>
      <c r="CL10" t="str">
        <f>IF($CK10="","",IFERROR(INDEX(_REF_Industry_Wording!$F$2:$F$70,MATCH($CK10,_REF_Industry_Wording!$A$2:$A$70,0)),""))</f>
        <v>Strengthen POS / ecommerce</v>
      </c>
      <c r="CM10" t="str">
        <f>IF($CK10="","",IFERROR(INDEX(_REF_Industry_Wording!$G$2:$G$70,MATCH($CK10,_REF_Industry_Wording!$A$2:$A$70,0)),""))</f>
        <v>Strengthen POS / ecommerce using the selected maturity treatment, crisis scenario and evidence requirements.</v>
      </c>
      <c r="CN10" t="str">
        <f>IF($CK10="","",IFERROR(INDEX(_REF_Industry_Wording!$H$2:$H$70,MATCH($CK10,_REF_Industry_Wording!$A$2:$A$70,0)),""))</f>
        <v>POS / ecommerce</v>
      </c>
      <c r="CO10">
        <f>IF($CK10="","",IFERROR(INDEX(_REF_Industry_Wording!$I$2:$I$70,MATCH($CK10,_REF_Industry_Wording!$A$2:$A$70,0)),""))</f>
        <v>0</v>
      </c>
      <c r="CP10" t="str">
        <f>IF($CK10="","",IFERROR(INDEX(_REF_Industry_Wording!$J$2:$J$70,MATCH($CK10,_REF_Industry_Wording!$A$2:$A$70,0)),""))</f>
        <v>POS / ecommerce</v>
      </c>
      <c r="CQ10" t="str">
        <f t="shared" si="20"/>
        <v>Wording by industry=0; capability=CAP_POS_ECOMMERCE; title=Strengthen POS / ecommerce</v>
      </c>
      <c r="CR10" t="str">
        <f t="shared" si="21"/>
        <v>INIT-ONT-0006</v>
      </c>
      <c r="CS10">
        <f t="shared" si="22"/>
        <v>10</v>
      </c>
      <c r="CT10" t="str">
        <f t="shared" si="23"/>
        <v>CAP_POS_ECOMMERCE</v>
      </c>
      <c r="CU10" t="str">
        <f t="shared" si="24"/>
        <v>INI-006|Strategy GTM|Offering and positioning|CAP_POS_ECOMMERCE</v>
      </c>
      <c r="CV10" t="str">
        <f t="shared" si="25"/>
        <v>Active</v>
      </c>
      <c r="CW10" t="str">
        <f t="shared" si="26"/>
        <v>OK: capability-driven</v>
      </c>
      <c r="CX10" t="str">
        <f t="shared" si="27"/>
        <v>Initiative ontology uses capability=CAP_POS_ECOMMERCE; bridge=BRG-087; treatment=TRT-POS_ECOMMERCE-INITIAL; wording=IW-ALL-POS_ECOMMERCE</v>
      </c>
    </row>
    <row r="11" spans="1:102" ht="42" customHeight="1">
      <c r="A11" s="17" t="s">
        <v>3989</v>
      </c>
      <c r="B11" s="17" t="s">
        <v>949</v>
      </c>
      <c r="C11" s="17" t="s">
        <v>986</v>
      </c>
      <c r="D11" s="17" t="s">
        <v>3971</v>
      </c>
      <c r="E11" s="17" t="s">
        <v>3972</v>
      </c>
      <c r="F11" s="17" t="s">
        <v>3990</v>
      </c>
      <c r="G11" s="17" t="s">
        <v>3991</v>
      </c>
      <c r="H11" s="17" t="s">
        <v>3680</v>
      </c>
      <c r="I11" s="17" t="s">
        <v>3960</v>
      </c>
      <c r="J11" s="17" t="s">
        <v>3992</v>
      </c>
      <c r="K11" s="17">
        <v>5</v>
      </c>
      <c r="L11" s="17">
        <f>IF($A11="","",COUNTIFS(_DATA_RiskInitiativeMap!$A$444:$A$867,$A11,_DATA_RiskInitiativeMap!$G$444:$G$867,"&gt;0"))</f>
        <v>5</v>
      </c>
      <c r="M11" s="17">
        <f>IF($A11="","",COUNTIFS(_DATA_RiskInitiativeMap!$A$444:$A$867,$A11,_DATA_RiskInitiativeMap!$G$444:$G$867,"&gt;0"))</f>
        <v>5</v>
      </c>
      <c r="N11" s="17">
        <f>IFERROR(AVERAGEIFS(_DATA_Assessment_Model!$H$5:$H$428,_DATA_Assessment_Model!$AW$5:$AW$428,$B11,_DATA_Assessment_Model!$B$5:$B$428,$C11),"")</f>
        <v>0</v>
      </c>
      <c r="O11" s="17">
        <f t="shared" si="0"/>
        <v>5</v>
      </c>
      <c r="P11" s="17">
        <f>IFERROR(INDEX(_DATA_Dashboard_Facts!$H$5:$H$21,MATCH($B11,_DATA_Dashboard_Facts!$A$5:$A$21,0)),"")</f>
        <v>0</v>
      </c>
      <c r="Q11" s="17">
        <f t="shared" si="1"/>
        <v>5</v>
      </c>
      <c r="R11" s="17">
        <f>IF(OR('Resilience &amp; Risk Scenario'!$B$6="",'Resilience &amp; Risk Scenario'!$B$7&lt;=0),1,IFERROR(IF(SUMIFS(_ENGINE_Crisis!$D$5:$D$208,_ENGINE_Crisis!$A$5:$A$208,'Resilience &amp; Risk Scenario'!$B$6,_ENGINE_Crisis!$B$5:$B$208,$B11)=0,1,SUMIFS(_ENGINE_Crisis!$D$5:$D$208,_ENGINE_Crisis!$A$5:$A$208,'Resilience &amp; Risk Scenario'!$B$6,_ENGINE_Crisis!$B$5:$B$208,$B11)),1))</f>
        <v>1</v>
      </c>
      <c r="S11" s="17">
        <f>IFERROR(INDEX(_ENGINE_Strategy!$A$100:$A$113,MATCH($D11,_ENGINE_Strategy!$B$100:$B$113,0)),99)</f>
        <v>13</v>
      </c>
      <c r="T11" s="17">
        <f>IFERROR(INDEX(_ENGINE_Strategy!$J$100:$J$113,MATCH($D11,_ENGINE_Strategy!$B$100:$B$113,0)),0)</f>
        <v>65.5</v>
      </c>
      <c r="U11" s="17">
        <v>4</v>
      </c>
      <c r="V11" s="17">
        <v>4</v>
      </c>
      <c r="W11" s="17">
        <v>3</v>
      </c>
      <c r="X11" s="17">
        <f t="shared" si="2"/>
        <v>4.5687499999999996</v>
      </c>
      <c r="Y11" s="17">
        <f>IF($P11="","",MAX(1,MIN(5,1+N($O11)*0.45+MIN(2,N($M11)*0.3)+($R11-1)*1.2+IF('Resilience &amp; Risk Scenario'!$B$7="",1,'Resilience &amp; Risk Scenario'!$B$7)*0.25)))</f>
        <v>5</v>
      </c>
      <c r="Z11" s="17">
        <f t="shared" si="3"/>
        <v>4.8</v>
      </c>
      <c r="AA11" s="17">
        <f t="shared" si="4"/>
        <v>3.4824999999999999</v>
      </c>
      <c r="AB11" s="17">
        <v>3</v>
      </c>
      <c r="AC11" s="17">
        <f t="shared" si="5"/>
        <v>1.72</v>
      </c>
      <c r="AD11" s="17">
        <f t="shared" si="6"/>
        <v>38</v>
      </c>
      <c r="AE11" s="17" t="str">
        <f t="shared" si="7"/>
        <v>6-12 months</v>
      </c>
      <c r="AF11" s="17" t="s">
        <v>3962</v>
      </c>
      <c r="AG11" s="17" t="s">
        <v>3963</v>
      </c>
      <c r="AH11" s="17" t="s">
        <v>3964</v>
      </c>
      <c r="AI11" s="17" t="s">
        <v>3965</v>
      </c>
      <c r="AJ11" s="17" t="s">
        <v>3993</v>
      </c>
      <c r="AK11" s="17" t="s">
        <v>3994</v>
      </c>
      <c r="AL11" s="17" t="s">
        <v>3995</v>
      </c>
      <c r="AM11" s="17" t="s">
        <v>3979</v>
      </c>
      <c r="AN11" s="17" t="s">
        <v>3937</v>
      </c>
      <c r="AO11" s="17" t="s">
        <v>3938</v>
      </c>
      <c r="AP11" s="17" t="s">
        <v>546</v>
      </c>
      <c r="AQ11" s="17"/>
      <c r="AR11" s="17"/>
      <c r="AS11" s="14">
        <f>IFERROR((IF(SUMIFS(_REF_Model_Content!$J$1:$J$157,_REF_Model_Content!$A$1:$A$174,PV_Canonical_Industry,_REF_Model_Content!$B$1:$B$174,$B11)=0,1,SUMIFS(_REF_Model_Content!$J$1:$J$157,_REF_Model_Content!$A$1:$A$174,PV_Canonical_Industry,_REF_Model_Content!$B$1:$B$174,$B11))*IFERROR($CA11,1)),1)</f>
        <v>1</v>
      </c>
      <c r="AT11" s="14">
        <f t="shared" si="8"/>
        <v>1.72</v>
      </c>
      <c r="AU11" s="14">
        <f>IF($AT11="","",RANK($AT11,$AT$5:$AT$76,0)+COUNTIF($AT$5:AT11,$AT11)-1)</f>
        <v>38</v>
      </c>
      <c r="AV11" s="14">
        <f>IFERROR(INDEX(_DATA_Dashboard_Facts!$G$300:$G$316,MATCH($B11,_DATA_Dashboard_Facts!$A$300:$A$316,0)),"")</f>
        <v>0</v>
      </c>
      <c r="AW11" s="14" t="str">
        <f t="shared" si="9"/>
        <v>Relevance-neutral priority</v>
      </c>
      <c r="AX11">
        <f>IFERROR(INDEX('Action Plan &amp; Roadmap'!$D$59:$D$130,MATCH($A11,'Action Plan &amp; Roadmap'!$A$59:$A$130,0)),"")</f>
        <v>0</v>
      </c>
      <c r="AY11">
        <f t="shared" si="10"/>
        <v>0</v>
      </c>
      <c r="AZ11" t="s">
        <v>3980</v>
      </c>
      <c r="BA11">
        <f>IF($A11="","",COUNTIF(_DATA_RiskInitiativeMap!$A$1:$A$867,$A11))</f>
        <v>5</v>
      </c>
      <c r="BB11">
        <f>IF($A11="","",IFERROR(AVERAGEIF(_DATA_RiskInitiativeMap!$A$1:$A$867,$A11,_DATA_RiskInitiativeMap!$G$1:$G$867),0))</f>
        <v>15.335999999999999</v>
      </c>
      <c r="BC11">
        <f t="shared" si="11"/>
        <v>4.3000000000000007</v>
      </c>
      <c r="BD11">
        <f t="shared" si="12"/>
        <v>4.0935199999999998</v>
      </c>
      <c r="BI11" s="17" t="str">
        <f>IFERROR(_CONFIG_Model_Settings!$B$103,"Adaptive")</f>
        <v>Fragile</v>
      </c>
      <c r="BJ11" s="17">
        <f>IFERROR(INDEX(_CONFIG_Model_Settings!$B$109:$B$113,MATCH($BI11,_CONFIG_Model_Settings!$A$109:$A$113,0)),0.3)</f>
        <v>0.2</v>
      </c>
      <c r="BK11" s="17">
        <f>IFERROR(INDEX(_CONFIG_Model_Settings!$C$109:$C$113,MATCH($BI11,_CONFIG_Model_Settings!$A$109:$A$113,0)),0.2)</f>
        <v>0.3</v>
      </c>
      <c r="BL11" s="17">
        <f>IFERROR(INDEX(_CONFIG_Model_Settings!$D$109:$D$113,MATCH($BI11,_CONFIG_Model_Settings!$A$109:$A$113,0)),0.25)</f>
        <v>0.4</v>
      </c>
      <c r="BM11" s="17">
        <f>IFERROR(INDEX(_CONFIG_Model_Settings!$E$109:$E$113,MATCH($BI11,_CONFIG_Model_Settings!$A$109:$A$113,0)),0.25)</f>
        <v>0.1</v>
      </c>
      <c r="BN11" s="17">
        <f>IFERROR(INDEX(_CONFIG_Model_Settings!$B$117:$B$123,MATCH(_CONFIG_Model_Settings!$B$104,_CONFIG_Model_Settings!$A$117:$A$123,0)),1)</f>
        <v>1</v>
      </c>
      <c r="BO11" s="17">
        <f>IFERROR(INDEX(_CONFIG_Model_Settings!$C$117:$C$123,MATCH(_CONFIG_Model_Settings!$B$104,_CONFIG_Model_Settings!$A$117:$A$123,0)),1)</f>
        <v>1</v>
      </c>
      <c r="BP11" s="17">
        <f>IFERROR(INDEX(_CONFIG_Model_Settings!$D$117:$D$123,MATCH(_CONFIG_Model_Settings!$B$104,_CONFIG_Model_Settings!$A$117:$A$123,0)),1)</f>
        <v>1</v>
      </c>
      <c r="BQ11" s="17">
        <f>IFERROR(INDEX(_CONFIG_Model_Settings!$E$117:$E$123,MATCH(_CONFIG_Model_Settings!$B$104,_CONFIG_Model_Settings!$A$117:$A$123,0)),1)</f>
        <v>1</v>
      </c>
      <c r="BR11" s="17">
        <f>IF(OR($A11="",$P11=""),"",MIN(5,IFERROR(SUMIF(_DATA_RiskInitiativeMap!$A$1:$A$867,$A11,_DATA_RiskInitiativeMap!$K$1:$K$867)/MAX(1,_CONFIG_Model_Settings!$B$166),0)))</f>
        <v>5</v>
      </c>
      <c r="BS11" s="17">
        <f t="shared" si="13"/>
        <v>5.15</v>
      </c>
      <c r="BT11" s="17">
        <f t="shared" si="14"/>
        <v>3</v>
      </c>
      <c r="BU11" s="17">
        <f t="shared" si="15"/>
        <v>1.72</v>
      </c>
      <c r="BV11" s="17">
        <f>IF(OR($P11="",$BU11="",$AY11="Done",$AY11="Not applicable"),"",ROUND($BU11*N($AS11)*IF(OR('Resilience &amp; Risk Scenario'!$B$6="",'Resilience &amp; Risk Scenario'!$B$7&lt;=0),1,IFERROR(1+MIN(0.75,INDEX('Resilience &amp; Risk Scenario'!$E$21:$E$37,MATCH($B11,'Resilience &amp; Risk Scenario'!$B$21:$B$37,0))/10),1)),2))</f>
        <v>1.72</v>
      </c>
      <c r="BW11" s="17">
        <f>IF($BV11="","",RANK($BV11,$BV$5:$BV$76,0)+COUNTIF($BV$5:$BV11,$BV11)-1)</f>
        <v>38</v>
      </c>
      <c r="BX11" s="17" t="str">
        <f t="shared" si="16"/>
        <v>6-12 months</v>
      </c>
      <c r="BY11" t="str">
        <f>IFERROR(IF($A11="","","P2: "&amp;$BI11&amp;" posture; objective="&amp;IF(_CONFIG_Model_Settings!$B$104="","Neutral/default",_CONFIG_Model_Settings!$B$104)&amp;"; relevance="&amp;ROUND(N($AS11),2)&amp;"; scenario/domain boost="&amp;ROUND(IF(OR('Resilience &amp; Risk Scenario'!$B$6="",'Resilience &amp; Risk Scenario'!$B$7&lt;=0),1,IFERROR(1+MIN(0.75,INDEX('Resilience &amp; Risk Scenario'!$E$21:$E$37,MATCH($B11,'Resilience &amp; Risk Scenario'!$B$21:$B$37,0))/10),1)),2)&amp;"; financial score="&amp;ROUND(N($BR11),1)&amp;"; CoD="&amp;$BS11&amp;IF($CL11&lt;&gt;"","; wording="&amp;$CL11,"")),"")</f>
        <v>P2: Fragile posture; objective=Neutral/default; relevance=1; scenario/domain boost=1; financial score=5; CoD=5.15; wording=Strengthen POS / ecommerce</v>
      </c>
      <c r="BZ11" t="str">
        <f>IFERROR(INDEX(_REF_Capability_Bridge!$D:$D,MATCH($B11&amp;"|"&amp;$C11,_REF_Capability_Bridge!$J:$J,0)),IFERROR(INDEX(_REF_Capability_Bridge!$D:$D,MATCH($B11&amp;"|",_REF_Capability_Bridge!$J:$J,0)),"CAP_GENERIC"))</f>
        <v>CAP_POS_ECOMMERCE</v>
      </c>
      <c r="CA11">
        <f>IFERROR(IFERROR(INDEX(_ENGINE_Relevance!$L:$L,MATCH($BZ11,_ENGINE_Relevance!$B:$B,0)),1),1)</f>
        <v>1</v>
      </c>
      <c r="CB11" t="str">
        <f>IFERROR(INDEX(_REF_Capability_Bridge!$A:$A,MATCH($B11&amp;"|"&amp;$C11,_REF_Capability_Bridge!$J:$J,0)),IFERROR(INDEX(_REF_Capability_Bridge!$A:$A,MATCH($B11&amp;"|",_REF_Capability_Bridge!$J:$J,0)),"No bridge"))</f>
        <v>BRG-085</v>
      </c>
      <c r="CC11" t="str">
        <f t="shared" si="17"/>
        <v>Capability relevance neutral</v>
      </c>
      <c r="CD11" t="str">
        <f t="shared" si="18"/>
        <v>Initial / absent</v>
      </c>
      <c r="CE11" t="str">
        <f>IF($A11="","",IFERROR(INDEX(_REF_Treatment_Library!$A$2:$A$296,MATCH(1,INDEX((_REF_Treatment_Library!$B$2:$B$296=$BZ11)*(_REF_Treatment_Library!$C$2:$C$296=PV_Canonical_Industry)*(_REF_Treatment_Library!$E$2:$E$296&lt;=N($N11))*(_REF_Treatment_Library!$F$2:$F$296&gt;=N($N11))*(_REF_Treatment_Library!$O$2:$O$296="Yes"),0),0)),IFERROR(INDEX(_REF_Treatment_Library!$A$2:$A$296,MATCH(1,INDEX((_REF_Treatment_Library!$B$2:$B$296=$BZ11)*(_REF_Treatment_Library!$C$2:$C$296="All")*(_REF_Treatment_Library!$E$2:$E$296&lt;=N($N11))*(_REF_Treatment_Library!$F$2:$F$296&gt;=N($N11))*(_REF_Treatment_Library!$O$2:$O$296="Yes"),0),0)),"")))</f>
        <v>TRT-POS_ECOMMERCE-INITIAL</v>
      </c>
      <c r="CF11" t="str">
        <f>IF($CE11="","",IFERROR(INDEX(_REF_Treatment_Library!$H$2:$H$296,MATCH($CE11,_REF_Treatment_Library!$A$2:$A$296,0)),""))</f>
        <v>Establish</v>
      </c>
      <c r="CG11" t="str">
        <f>IF($CE11="","",IFERROR(INDEX(_REF_Treatment_Library!$I$2:$I$296,MATCH($CE11,_REF_Treatment_Library!$A$2:$A$296,0)),""))</f>
        <v>Establish baseline controls for POS / ecommerce</v>
      </c>
      <c r="CH11" t="str">
        <f>IF($CE11="","",IFERROR(INDEX(_REF_Treatment_Library!$K$2:$K$296,MATCH($CE11,_REF_Treatment_Library!$A$2:$A$296,0)),""))</f>
        <v>Named owner, baseline process, minimum control checklist, first evidence package</v>
      </c>
      <c r="CI11" t="str">
        <f>IF($CE11="","",IFERROR(INDEX(_REF_Treatment_Library!$L$2:$L$296,MATCH($CE11,_REF_Treatment_Library!$A$2:$A$296,0)),""))</f>
        <v>Owner assigned; baseline evidence coverage; open critical gaps</v>
      </c>
      <c r="CJ11" t="str">
        <f t="shared" si="19"/>
        <v>Treatment by capability=CAP_POS_ECOMMERCE; band=Initial / absent; score=0.0; treatment=Establish</v>
      </c>
      <c r="CK11" t="str">
        <f>IF($A11="","",IFERROR(INDEX(_REF_Industry_Wording!$A$2:$A$70,MATCH(1,INDEX((_REF_Industry_Wording!$B$2:$B$70=$BZ11)*(_REF_Industry_Wording!$C$2:$C$70=PV_Canonical_Industry)*(_REF_Industry_Wording!$K$2:$K$70="Yes"),0),0)),IFERROR(INDEX(_REF_Industry_Wording!$A$2:$A$70,MATCH(1,INDEX((_REF_Industry_Wording!$B$2:$B$70=$BZ11)*(_REF_Industry_Wording!$C$2:$C$70="All")*(_REF_Industry_Wording!$K$2:$K$70="Yes"),0),0)),"")))</f>
        <v>IW-ALL-POS_ECOMMERCE</v>
      </c>
      <c r="CL11" t="str">
        <f>IF($CK11="","",IFERROR(INDEX(_REF_Industry_Wording!$F$2:$F$70,MATCH($CK11,_REF_Industry_Wording!$A$2:$A$70,0)),""))</f>
        <v>Strengthen POS / ecommerce</v>
      </c>
      <c r="CM11" t="str">
        <f>IF($CK11="","",IFERROR(INDEX(_REF_Industry_Wording!$G$2:$G$70,MATCH($CK11,_REF_Industry_Wording!$A$2:$A$70,0)),""))</f>
        <v>Strengthen POS / ecommerce using the selected maturity treatment, crisis scenario and evidence requirements.</v>
      </c>
      <c r="CN11" t="str">
        <f>IF($CK11="","",IFERROR(INDEX(_REF_Industry_Wording!$H$2:$H$70,MATCH($CK11,_REF_Industry_Wording!$A$2:$A$70,0)),""))</f>
        <v>POS / ecommerce</v>
      </c>
      <c r="CO11">
        <f>IF($CK11="","",IFERROR(INDEX(_REF_Industry_Wording!$I$2:$I$70,MATCH($CK11,_REF_Industry_Wording!$A$2:$A$70,0)),""))</f>
        <v>0</v>
      </c>
      <c r="CP11" t="str">
        <f>IF($CK11="","",IFERROR(INDEX(_REF_Industry_Wording!$J$2:$J$70,MATCH($CK11,_REF_Industry_Wording!$A$2:$A$70,0)),""))</f>
        <v>POS / ecommerce</v>
      </c>
      <c r="CQ11" t="str">
        <f t="shared" si="20"/>
        <v>Wording by industry=0; capability=CAP_POS_ECOMMERCE; title=Strengthen POS / ecommerce</v>
      </c>
      <c r="CR11" t="str">
        <f t="shared" si="21"/>
        <v>INIT-ONT-0007</v>
      </c>
      <c r="CS11">
        <f t="shared" si="22"/>
        <v>11</v>
      </c>
      <c r="CT11" t="str">
        <f t="shared" si="23"/>
        <v>CAP_POS_ECOMMERCE</v>
      </c>
      <c r="CU11" t="str">
        <f t="shared" si="24"/>
        <v>INI-007|Strategy GTM|GTM execution|CAP_POS_ECOMMERCE</v>
      </c>
      <c r="CV11" t="str">
        <f t="shared" si="25"/>
        <v>Active</v>
      </c>
      <c r="CW11" t="str">
        <f t="shared" si="26"/>
        <v>OK: capability-driven</v>
      </c>
      <c r="CX11" t="str">
        <f t="shared" si="27"/>
        <v>Initiative ontology uses capability=CAP_POS_ECOMMERCE; bridge=BRG-085; treatment=TRT-POS_ECOMMERCE-INITIAL; wording=IW-ALL-POS_ECOMMERCE</v>
      </c>
    </row>
    <row r="12" spans="1:102" ht="42" customHeight="1">
      <c r="A12" s="17" t="s">
        <v>3996</v>
      </c>
      <c r="B12" s="17" t="s">
        <v>1150</v>
      </c>
      <c r="C12" s="17" t="s">
        <v>1152</v>
      </c>
      <c r="D12" s="17" t="s">
        <v>3956</v>
      </c>
      <c r="E12" s="17" t="s">
        <v>3957</v>
      </c>
      <c r="F12" s="17" t="s">
        <v>3997</v>
      </c>
      <c r="G12" s="17" t="s">
        <v>3998</v>
      </c>
      <c r="H12" s="17" t="s">
        <v>3681</v>
      </c>
      <c r="I12" s="17" t="s">
        <v>3999</v>
      </c>
      <c r="J12" s="17" t="s">
        <v>4000</v>
      </c>
      <c r="K12" s="17">
        <v>6</v>
      </c>
      <c r="L12" s="17">
        <f>IF($A12="","",COUNTIFS(_DATA_RiskInitiativeMap!$A$444:$A$867,$A12,_DATA_RiskInitiativeMap!$G$444:$G$867,"&gt;0"))</f>
        <v>7</v>
      </c>
      <c r="M12" s="17">
        <f>IF($A12="","",COUNTIFS(_DATA_RiskInitiativeMap!$A$444:$A$867,$A12,_DATA_RiskInitiativeMap!$G$444:$G$867,"&gt;0"))</f>
        <v>7</v>
      </c>
      <c r="N12" s="17">
        <f>IFERROR(AVERAGEIFS(_DATA_Assessment_Model!$H$5:$H$428,_DATA_Assessment_Model!$AW$5:$AW$428,$B12,_DATA_Assessment_Model!$B$5:$B$428,$C12),"")</f>
        <v>0</v>
      </c>
      <c r="O12" s="17">
        <f t="shared" si="0"/>
        <v>5</v>
      </c>
      <c r="P12" s="17">
        <f>IFERROR(INDEX(_DATA_Dashboard_Facts!$H$5:$H$21,MATCH($B12,_DATA_Dashboard_Facts!$A$5:$A$21,0)),"")</f>
        <v>0</v>
      </c>
      <c r="Q12" s="17">
        <f t="shared" si="1"/>
        <v>5</v>
      </c>
      <c r="R12" s="17">
        <f>IF(OR('Resilience &amp; Risk Scenario'!$B$6="",'Resilience &amp; Risk Scenario'!$B$7&lt;=0),1,IFERROR(IF(SUMIFS(_ENGINE_Crisis!$D$5:$D$208,_ENGINE_Crisis!$A$5:$A$208,'Resilience &amp; Risk Scenario'!$B$6,_ENGINE_Crisis!$B$5:$B$208,$B12)=0,1,SUMIFS(_ENGINE_Crisis!$D$5:$D$208,_ENGINE_Crisis!$A$5:$A$208,'Resilience &amp; Risk Scenario'!$B$6,_ENGINE_Crisis!$B$5:$B$208,$B12)),1))</f>
        <v>1</v>
      </c>
      <c r="S12" s="17">
        <f>IFERROR(INDEX(_ENGINE_Strategy!$A$100:$A$113,MATCH($D12,_ENGINE_Strategy!$B$100:$B$113,0)),99)</f>
        <v>14</v>
      </c>
      <c r="T12" s="17">
        <f>IFERROR(INDEX(_ENGINE_Strategy!$J$100:$J$113,MATCH($D12,_ENGINE_Strategy!$B$100:$B$113,0)),0)</f>
        <v>65.3</v>
      </c>
      <c r="U12" s="17">
        <v>2</v>
      </c>
      <c r="V12" s="17">
        <v>4</v>
      </c>
      <c r="W12" s="17">
        <v>5</v>
      </c>
      <c r="X12" s="17">
        <f t="shared" si="2"/>
        <v>4.5662500000000001</v>
      </c>
      <c r="Y12" s="17">
        <f>IF($P12="","",MAX(1,MIN(5,1+N($O12)*0.45+MIN(2,N($M12)*0.3)+($R12-1)*1.2+IF('Resilience &amp; Risk Scenario'!$B$7="",1,'Resilience &amp; Risk Scenario'!$B$7)*0.25)))</f>
        <v>5</v>
      </c>
      <c r="Z12" s="17">
        <f t="shared" si="3"/>
        <v>4.8</v>
      </c>
      <c r="AA12" s="17">
        <f t="shared" si="4"/>
        <v>3.2794999999999996</v>
      </c>
      <c r="AB12" s="17">
        <v>2</v>
      </c>
      <c r="AC12" s="17">
        <f t="shared" si="5"/>
        <v>2.62</v>
      </c>
      <c r="AD12" s="17">
        <f t="shared" si="6"/>
        <v>3</v>
      </c>
      <c r="AE12" s="17" t="str">
        <f t="shared" si="7"/>
        <v>0-90 days</v>
      </c>
      <c r="AF12" s="17" t="s">
        <v>3929</v>
      </c>
      <c r="AG12" s="17" t="s">
        <v>3930</v>
      </c>
      <c r="AH12" s="17" t="s">
        <v>3931</v>
      </c>
      <c r="AI12" s="17" t="s">
        <v>3932</v>
      </c>
      <c r="AJ12" s="17" t="s">
        <v>4001</v>
      </c>
      <c r="AK12" s="17" t="s">
        <v>4002</v>
      </c>
      <c r="AL12" s="17" t="s">
        <v>4003</v>
      </c>
      <c r="AM12" s="17" t="s">
        <v>3969</v>
      </c>
      <c r="AN12" s="17" t="s">
        <v>3937</v>
      </c>
      <c r="AO12" s="17" t="s">
        <v>3938</v>
      </c>
      <c r="AP12" s="17" t="s">
        <v>3939</v>
      </c>
      <c r="AQ12" s="17"/>
      <c r="AR12" s="17"/>
      <c r="AS12" s="14">
        <f>IFERROR((IF(SUMIFS(_REF_Model_Content!$J$1:$J$157,_REF_Model_Content!$A$1:$A$174,PV_Canonical_Industry,_REF_Model_Content!$B$1:$B$174,$B12)=0,1,SUMIFS(_REF_Model_Content!$J$1:$J$157,_REF_Model_Content!$A$1:$A$174,PV_Canonical_Industry,_REF_Model_Content!$B$1:$B$174,$B12))*IFERROR($CA12,1)),1)</f>
        <v>1</v>
      </c>
      <c r="AT12" s="14">
        <f t="shared" si="8"/>
        <v>2.62</v>
      </c>
      <c r="AU12" s="14">
        <f>IF($AT12="","",RANK($AT12,$AT$5:$AT$76,0)+COUNTIF($AT$5:AT12,$AT12)-1)</f>
        <v>3</v>
      </c>
      <c r="AV12" s="14">
        <f>IFERROR(INDEX(_DATA_Dashboard_Facts!$G$300:$G$316,MATCH($B12,_DATA_Dashboard_Facts!$A$300:$A$316,0)),"")</f>
        <v>0</v>
      </c>
      <c r="AW12" s="14" t="str">
        <f t="shared" si="9"/>
        <v>Relevance-neutral priority</v>
      </c>
      <c r="AX12">
        <f>IFERROR(INDEX('Action Plan &amp; Roadmap'!$D$59:$D$130,MATCH($A12,'Action Plan &amp; Roadmap'!$A$59:$A$130,0)),"")</f>
        <v>0</v>
      </c>
      <c r="AY12">
        <f t="shared" si="10"/>
        <v>0</v>
      </c>
      <c r="AZ12" t="s">
        <v>4004</v>
      </c>
      <c r="BA12">
        <f>IF($A12="","",COUNTIF(_DATA_RiskInitiativeMap!$A$1:$A$867,$A12))</f>
        <v>7</v>
      </c>
      <c r="BB12">
        <f>IF($A12="","",IFERROR(AVERAGEIF(_DATA_RiskInitiativeMap!$A$1:$A$867,$A12,_DATA_RiskInitiativeMap!$G$1:$G$867),0))</f>
        <v>17.955714285714286</v>
      </c>
      <c r="BC12">
        <f t="shared" si="11"/>
        <v>4.7</v>
      </c>
      <c r="BD12">
        <f t="shared" si="12"/>
        <v>4.3569000000000004</v>
      </c>
      <c r="BI12" s="17" t="str">
        <f>IFERROR(_CONFIG_Model_Settings!$B$103,"Adaptive")</f>
        <v>Fragile</v>
      </c>
      <c r="BJ12" s="17">
        <f>IFERROR(INDEX(_CONFIG_Model_Settings!$B$109:$B$113,MATCH($BI12,_CONFIG_Model_Settings!$A$109:$A$113,0)),0.3)</f>
        <v>0.2</v>
      </c>
      <c r="BK12" s="17">
        <f>IFERROR(INDEX(_CONFIG_Model_Settings!$C$109:$C$113,MATCH($BI12,_CONFIG_Model_Settings!$A$109:$A$113,0)),0.2)</f>
        <v>0.3</v>
      </c>
      <c r="BL12" s="17">
        <f>IFERROR(INDEX(_CONFIG_Model_Settings!$D$109:$D$113,MATCH($BI12,_CONFIG_Model_Settings!$A$109:$A$113,0)),0.25)</f>
        <v>0.4</v>
      </c>
      <c r="BM12" s="17">
        <f>IFERROR(INDEX(_CONFIG_Model_Settings!$E$109:$E$113,MATCH($BI12,_CONFIG_Model_Settings!$A$109:$A$113,0)),0.25)</f>
        <v>0.1</v>
      </c>
      <c r="BN12" s="17">
        <f>IFERROR(INDEX(_CONFIG_Model_Settings!$B$117:$B$123,MATCH(_CONFIG_Model_Settings!$B$104,_CONFIG_Model_Settings!$A$117:$A$123,0)),1)</f>
        <v>1</v>
      </c>
      <c r="BO12" s="17">
        <f>IFERROR(INDEX(_CONFIG_Model_Settings!$C$117:$C$123,MATCH(_CONFIG_Model_Settings!$B$104,_CONFIG_Model_Settings!$A$117:$A$123,0)),1)</f>
        <v>1</v>
      </c>
      <c r="BP12" s="17">
        <f>IFERROR(INDEX(_CONFIG_Model_Settings!$D$117:$D$123,MATCH(_CONFIG_Model_Settings!$B$104,_CONFIG_Model_Settings!$A$117:$A$123,0)),1)</f>
        <v>1</v>
      </c>
      <c r="BQ12" s="17">
        <f>IFERROR(INDEX(_CONFIG_Model_Settings!$E$117:$E$123,MATCH(_CONFIG_Model_Settings!$B$104,_CONFIG_Model_Settings!$A$117:$A$123,0)),1)</f>
        <v>1</v>
      </c>
      <c r="BR12" s="17">
        <f>IF(OR($A12="",$P12=""),"",MIN(5,IFERROR(SUMIF(_DATA_RiskInitiativeMap!$A$1:$A$867,$A12,_DATA_RiskInitiativeMap!$K$1:$K$867)/MAX(1,_CONFIG_Model_Settings!$B$166),0)))</f>
        <v>5</v>
      </c>
      <c r="BS12" s="17">
        <f t="shared" si="13"/>
        <v>5.23</v>
      </c>
      <c r="BT12" s="17">
        <f t="shared" si="14"/>
        <v>2</v>
      </c>
      <c r="BU12" s="17">
        <f t="shared" si="15"/>
        <v>2.62</v>
      </c>
      <c r="BV12" s="17">
        <f>IF(OR($P12="",$BU12="",$AY12="Done",$AY12="Not applicable"),"",ROUND($BU12*N($AS12)*IF(OR('Resilience &amp; Risk Scenario'!$B$6="",'Resilience &amp; Risk Scenario'!$B$7&lt;=0),1,IFERROR(1+MIN(0.75,INDEX('Resilience &amp; Risk Scenario'!$E$21:$E$37,MATCH($B12,'Resilience &amp; Risk Scenario'!$B$21:$B$37,0))/10),1)),2))</f>
        <v>2.62</v>
      </c>
      <c r="BW12" s="17">
        <f>IF($BV12="","",RANK($BV12,$BV$5:$BV$76,0)+COUNTIF($BV$5:$BV12,$BV12)-1)</f>
        <v>3</v>
      </c>
      <c r="BX12" s="17" t="str">
        <f t="shared" si="16"/>
        <v>0-90 days</v>
      </c>
      <c r="BY12" t="str">
        <f>IFERROR(IF($A12="","","P2: "&amp;$BI12&amp;" posture; objective="&amp;IF(_CONFIG_Model_Settings!$B$104="","Neutral/default",_CONFIG_Model_Settings!$B$104)&amp;"; relevance="&amp;ROUND(N($AS12),2)&amp;"; scenario/domain boost="&amp;ROUND(IF(OR('Resilience &amp; Risk Scenario'!$B$6="",'Resilience &amp; Risk Scenario'!$B$7&lt;=0),1,IFERROR(1+MIN(0.75,INDEX('Resilience &amp; Risk Scenario'!$E$21:$E$37,MATCH($B12,'Resilience &amp; Risk Scenario'!$B$21:$B$37,0))/10),1)),2)&amp;"; financial score="&amp;ROUND(N($BR12),1)&amp;"; CoD="&amp;$BS12&amp;IF($CL12&lt;&gt;"","; wording="&amp;$CL12,"")),"")</f>
        <v>P2: Fragile posture; objective=Neutral/default; relevance=1; scenario/domain boost=1; financial score=5; CoD=5.23; wording=Strengthen Incident response</v>
      </c>
      <c r="BZ12" t="str">
        <f>IFERROR(INDEX(_REF_Capability_Bridge!$D:$D,MATCH($B12&amp;"|"&amp;$C12,_REF_Capability_Bridge!$J:$J,0)),IFERROR(INDEX(_REF_Capability_Bridge!$D:$D,MATCH($B12&amp;"|",_REF_Capability_Bridge!$J:$J,0)),"CAP_GENERIC"))</f>
        <v>CAP_INCIDENT_RESPONSE</v>
      </c>
      <c r="CA12">
        <f>IFERROR(IFERROR(INDEX(_ENGINE_Relevance!$L:$L,MATCH($BZ12,_ENGINE_Relevance!$B:$B,0)),1),1)</f>
        <v>1</v>
      </c>
      <c r="CB12" t="str">
        <f>IFERROR(INDEX(_REF_Capability_Bridge!$A:$A,MATCH($B12&amp;"|"&amp;$C12,_REF_Capability_Bridge!$J:$J,0)),IFERROR(INDEX(_REF_Capability_Bridge!$A:$A,MATCH($B12&amp;"|",_REF_Capability_Bridge!$J:$J,0)),"No bridge"))</f>
        <v>BRG-035</v>
      </c>
      <c r="CC12" t="str">
        <f t="shared" si="17"/>
        <v>Capability relevance neutral</v>
      </c>
      <c r="CD12" t="str">
        <f t="shared" si="18"/>
        <v>Initial / absent</v>
      </c>
      <c r="CE12" t="str">
        <f>IF($A12="","",IFERROR(INDEX(_REF_Treatment_Library!$A$2:$A$296,MATCH(1,INDEX((_REF_Treatment_Library!$B$2:$B$296=$BZ12)*(_REF_Treatment_Library!$C$2:$C$296=PV_Canonical_Industry)*(_REF_Treatment_Library!$E$2:$E$296&lt;=N($N12))*(_REF_Treatment_Library!$F$2:$F$296&gt;=N($N12))*(_REF_Treatment_Library!$O$2:$O$296="Yes"),0),0)),IFERROR(INDEX(_REF_Treatment_Library!$A$2:$A$296,MATCH(1,INDEX((_REF_Treatment_Library!$B$2:$B$296=$BZ12)*(_REF_Treatment_Library!$C$2:$C$296="All")*(_REF_Treatment_Library!$E$2:$E$296&lt;=N($N12))*(_REF_Treatment_Library!$F$2:$F$296&gt;=N($N12))*(_REF_Treatment_Library!$O$2:$O$296="Yes"),0),0)),"")))</f>
        <v>TRT-INCIDENT_RESPONSE-INITIAL</v>
      </c>
      <c r="CF12" t="str">
        <f>IF($CE12="","",IFERROR(INDEX(_REF_Treatment_Library!$H$2:$H$296,MATCH($CE12,_REF_Treatment_Library!$A$2:$A$296,0)),""))</f>
        <v>Establish</v>
      </c>
      <c r="CG12" t="str">
        <f>IF($CE12="","",IFERROR(INDEX(_REF_Treatment_Library!$I$2:$I$296,MATCH($CE12,_REF_Treatment_Library!$A$2:$A$296,0)),""))</f>
        <v>Establish baseline controls for Incident response</v>
      </c>
      <c r="CH12" t="str">
        <f>IF($CE12="","",IFERROR(INDEX(_REF_Treatment_Library!$K$2:$K$296,MATCH($CE12,_REF_Treatment_Library!$A$2:$A$296,0)),""))</f>
        <v>Named owner, baseline process, minimum control checklist, first evidence package</v>
      </c>
      <c r="CI12" t="str">
        <f>IF($CE12="","",IFERROR(INDEX(_REF_Treatment_Library!$L$2:$L$296,MATCH($CE12,_REF_Treatment_Library!$A$2:$A$296,0)),""))</f>
        <v>Owner assigned; baseline evidence coverage; open critical gaps</v>
      </c>
      <c r="CJ12" t="str">
        <f t="shared" si="19"/>
        <v>Treatment by capability=CAP_INCIDENT_RESPONSE; band=Initial / absent; score=0.0; treatment=Establish</v>
      </c>
      <c r="CK12" t="str">
        <f>IF($A12="","",IFERROR(INDEX(_REF_Industry_Wording!$A$2:$A$70,MATCH(1,INDEX((_REF_Industry_Wording!$B$2:$B$70=$BZ12)*(_REF_Industry_Wording!$C$2:$C$70=PV_Canonical_Industry)*(_REF_Industry_Wording!$K$2:$K$70="Yes"),0),0)),IFERROR(INDEX(_REF_Industry_Wording!$A$2:$A$70,MATCH(1,INDEX((_REF_Industry_Wording!$B$2:$B$70=$BZ12)*(_REF_Industry_Wording!$C$2:$C$70="All")*(_REF_Industry_Wording!$K$2:$K$70="Yes"),0),0)),"")))</f>
        <v>IW-ALL-INCIDENT_RESPONSE</v>
      </c>
      <c r="CL12" t="str">
        <f>IF($CK12="","",IFERROR(INDEX(_REF_Industry_Wording!$F$2:$F$70,MATCH($CK12,_REF_Industry_Wording!$A$2:$A$70,0)),""))</f>
        <v>Strengthen Incident response</v>
      </c>
      <c r="CM12" t="str">
        <f>IF($CK12="","",IFERROR(INDEX(_REF_Industry_Wording!$G$2:$G$70,MATCH($CK12,_REF_Industry_Wording!$A$2:$A$70,0)),""))</f>
        <v>Strengthen Incident response using the selected maturity treatment, crisis scenario and evidence requirements.</v>
      </c>
      <c r="CN12" t="str">
        <f>IF($CK12="","",IFERROR(INDEX(_REF_Industry_Wording!$H$2:$H$70,MATCH($CK12,_REF_Industry_Wording!$A$2:$A$70,0)),""))</f>
        <v>Incident response</v>
      </c>
      <c r="CO12">
        <f>IF($CK12="","",IFERROR(INDEX(_REF_Industry_Wording!$I$2:$I$70,MATCH($CK12,_REF_Industry_Wording!$A$2:$A$70,0)),""))</f>
        <v>0</v>
      </c>
      <c r="CP12" t="str">
        <f>IF($CK12="","",IFERROR(INDEX(_REF_Industry_Wording!$J$2:$J$70,MATCH($CK12,_REF_Industry_Wording!$A$2:$A$70,0)),""))</f>
        <v>Incident response</v>
      </c>
      <c r="CQ12" t="str">
        <f t="shared" si="20"/>
        <v>Wording by industry=0; capability=CAP_INCIDENT_RESPONSE; title=Strengthen Incident response</v>
      </c>
      <c r="CR12" t="str">
        <f t="shared" si="21"/>
        <v>INIT-ONT-0008</v>
      </c>
      <c r="CS12">
        <f t="shared" si="22"/>
        <v>12</v>
      </c>
      <c r="CT12" t="str">
        <f t="shared" si="23"/>
        <v>CAP_INCIDENT_RESPONSE</v>
      </c>
      <c r="CU12" t="str">
        <f t="shared" si="24"/>
        <v>INI-008|Governance Crisis|Crisis governance|CAP_INCIDENT_RESPONSE</v>
      </c>
      <c r="CV12" t="str">
        <f t="shared" si="25"/>
        <v>Active</v>
      </c>
      <c r="CW12" t="str">
        <f t="shared" si="26"/>
        <v>OK: capability-driven</v>
      </c>
      <c r="CX12" t="str">
        <f t="shared" si="27"/>
        <v>Initiative ontology uses capability=CAP_INCIDENT_RESPONSE; bridge=BRG-035; treatment=TRT-INCIDENT_RESPONSE-INITIAL; wording=IW-ALL-INCIDENT_RESPONSE</v>
      </c>
    </row>
    <row r="13" spans="1:102" ht="42" customHeight="1">
      <c r="A13" s="17" t="s">
        <v>4005</v>
      </c>
      <c r="B13" s="17" t="s">
        <v>1150</v>
      </c>
      <c r="C13" s="17" t="s">
        <v>1161</v>
      </c>
      <c r="D13" s="17" t="s">
        <v>3956</v>
      </c>
      <c r="E13" s="17" t="s">
        <v>3957</v>
      </c>
      <c r="F13" s="17" t="s">
        <v>4006</v>
      </c>
      <c r="G13" s="17" t="s">
        <v>4007</v>
      </c>
      <c r="H13" s="17" t="s">
        <v>3681</v>
      </c>
      <c r="I13" s="17" t="s">
        <v>3999</v>
      </c>
      <c r="J13" s="17" t="s">
        <v>4008</v>
      </c>
      <c r="K13" s="17">
        <v>7</v>
      </c>
      <c r="L13" s="17">
        <f>IF($A13="","",COUNTIFS(_DATA_RiskInitiativeMap!$A$444:$A$867,$A13,_DATA_RiskInitiativeMap!$G$444:$G$867,"&gt;0"))</f>
        <v>9</v>
      </c>
      <c r="M13" s="17">
        <f>IF($A13="","",COUNTIFS(_DATA_RiskInitiativeMap!$A$444:$A$867,$A13,_DATA_RiskInitiativeMap!$G$444:$G$867,"&gt;0"))</f>
        <v>9</v>
      </c>
      <c r="N13" s="17">
        <f>IFERROR(AVERAGEIFS(_DATA_Assessment_Model!$H$5:$H$428,_DATA_Assessment_Model!$AW$5:$AW$428,$B13,_DATA_Assessment_Model!$B$5:$B$428,$C13),"")</f>
        <v>0</v>
      </c>
      <c r="O13" s="17">
        <f t="shared" si="0"/>
        <v>5</v>
      </c>
      <c r="P13" s="17">
        <f>IFERROR(INDEX(_DATA_Dashboard_Facts!$H$5:$H$21,MATCH($B13,_DATA_Dashboard_Facts!$A$5:$A$21,0)),"")</f>
        <v>0</v>
      </c>
      <c r="Q13" s="17">
        <f t="shared" si="1"/>
        <v>5</v>
      </c>
      <c r="R13" s="17">
        <f>IF(OR('Resilience &amp; Risk Scenario'!$B$6="",'Resilience &amp; Risk Scenario'!$B$7&lt;=0),1,IFERROR(IF(SUMIFS(_ENGINE_Crisis!$D$5:$D$208,_ENGINE_Crisis!$A$5:$A$208,'Resilience &amp; Risk Scenario'!$B$6,_ENGINE_Crisis!$B$5:$B$208,$B13)=0,1,SUMIFS(_ENGINE_Crisis!$D$5:$D$208,_ENGINE_Crisis!$A$5:$A$208,'Resilience &amp; Risk Scenario'!$B$6,_ENGINE_Crisis!$B$5:$B$208,$B13)),1))</f>
        <v>1</v>
      </c>
      <c r="S13" s="17">
        <f>IFERROR(INDEX(_ENGINE_Strategy!$A$100:$A$113,MATCH($D13,_ENGINE_Strategy!$B$100:$B$113,0)),99)</f>
        <v>14</v>
      </c>
      <c r="T13" s="17">
        <f>IFERROR(INDEX(_ENGINE_Strategy!$J$100:$J$113,MATCH($D13,_ENGINE_Strategy!$B$100:$B$113,0)),0)</f>
        <v>65.3</v>
      </c>
      <c r="U13" s="17">
        <v>2</v>
      </c>
      <c r="V13" s="17">
        <v>4</v>
      </c>
      <c r="W13" s="17">
        <v>5</v>
      </c>
      <c r="X13" s="17">
        <f t="shared" si="2"/>
        <v>4.5662500000000001</v>
      </c>
      <c r="Y13" s="17">
        <f>IF($P13="","",MAX(1,MIN(5,1+N($O13)*0.45+MIN(2,N($M13)*0.3)+($R13-1)*1.2+IF('Resilience &amp; Risk Scenario'!$B$7="",1,'Resilience &amp; Risk Scenario'!$B$7)*0.25)))</f>
        <v>5</v>
      </c>
      <c r="Z13" s="17">
        <f t="shared" si="3"/>
        <v>4.8</v>
      </c>
      <c r="AA13" s="17">
        <f t="shared" si="4"/>
        <v>3.2794999999999996</v>
      </c>
      <c r="AB13" s="17">
        <v>2</v>
      </c>
      <c r="AC13" s="17">
        <f t="shared" si="5"/>
        <v>2.63</v>
      </c>
      <c r="AD13" s="17">
        <f t="shared" si="6"/>
        <v>2</v>
      </c>
      <c r="AE13" s="17" t="str">
        <f t="shared" si="7"/>
        <v>0-90 days</v>
      </c>
      <c r="AF13" s="17" t="s">
        <v>3929</v>
      </c>
      <c r="AG13" s="17" t="s">
        <v>3930</v>
      </c>
      <c r="AH13" s="17" t="s">
        <v>3931</v>
      </c>
      <c r="AI13" s="17" t="s">
        <v>3932</v>
      </c>
      <c r="AJ13" s="17" t="s">
        <v>4009</v>
      </c>
      <c r="AK13" s="17" t="s">
        <v>4010</v>
      </c>
      <c r="AL13" s="17" t="s">
        <v>4011</v>
      </c>
      <c r="AM13" s="17" t="s">
        <v>3969</v>
      </c>
      <c r="AN13" s="17" t="s">
        <v>3937</v>
      </c>
      <c r="AO13" s="17" t="s">
        <v>3938</v>
      </c>
      <c r="AP13" s="17" t="s">
        <v>3939</v>
      </c>
      <c r="AQ13" s="17"/>
      <c r="AR13" s="17"/>
      <c r="AS13" s="14">
        <f>IFERROR((IF(SUMIFS(_REF_Model_Content!$J$1:$J$157,_REF_Model_Content!$A$1:$A$174,PV_Canonical_Industry,_REF_Model_Content!$B$1:$B$174,$B13)=0,1,SUMIFS(_REF_Model_Content!$J$1:$J$157,_REF_Model_Content!$A$1:$A$174,PV_Canonical_Industry,_REF_Model_Content!$B$1:$B$174,$B13))*IFERROR($CA13,1)),1)</f>
        <v>1</v>
      </c>
      <c r="AT13" s="14">
        <f t="shared" si="8"/>
        <v>2.63</v>
      </c>
      <c r="AU13" s="14">
        <f>IF($AT13="","",RANK($AT13,$AT$5:$AT$76,0)+COUNTIF($AT$5:AT13,$AT13)-1)</f>
        <v>2</v>
      </c>
      <c r="AV13" s="14">
        <f>IFERROR(INDEX(_DATA_Dashboard_Facts!$G$300:$G$316,MATCH($B13,_DATA_Dashboard_Facts!$A$300:$A$316,0)),"")</f>
        <v>0</v>
      </c>
      <c r="AW13" s="14" t="str">
        <f t="shared" si="9"/>
        <v>Relevance-neutral priority</v>
      </c>
      <c r="AX13">
        <f>IFERROR(INDEX('Action Plan &amp; Roadmap'!$D$59:$D$130,MATCH($A13,'Action Plan &amp; Roadmap'!$A$59:$A$130,0)),"")</f>
        <v>0</v>
      </c>
      <c r="AY13">
        <f t="shared" si="10"/>
        <v>0</v>
      </c>
      <c r="AZ13" t="s">
        <v>4004</v>
      </c>
      <c r="BA13">
        <f>IF($A13="","",COUNTIF(_DATA_RiskInitiativeMap!$A$1:$A$867,$A13))</f>
        <v>9</v>
      </c>
      <c r="BB13">
        <f>IF($A13="","",IFERROR(AVERAGEIF(_DATA_RiskInitiativeMap!$A$1:$A$867,$A13,_DATA_RiskInitiativeMap!$G$1:$G$867),0))</f>
        <v>18.513333333333332</v>
      </c>
      <c r="BC13">
        <f t="shared" si="11"/>
        <v>4.7</v>
      </c>
      <c r="BD13">
        <f t="shared" si="12"/>
        <v>4.3959333333333337</v>
      </c>
      <c r="BI13" s="17" t="str">
        <f>IFERROR(_CONFIG_Model_Settings!$B$103,"Adaptive")</f>
        <v>Fragile</v>
      </c>
      <c r="BJ13" s="17">
        <f>IFERROR(INDEX(_CONFIG_Model_Settings!$B$109:$B$113,MATCH($BI13,_CONFIG_Model_Settings!$A$109:$A$113,0)),0.3)</f>
        <v>0.2</v>
      </c>
      <c r="BK13" s="17">
        <f>IFERROR(INDEX(_CONFIG_Model_Settings!$C$109:$C$113,MATCH($BI13,_CONFIG_Model_Settings!$A$109:$A$113,0)),0.2)</f>
        <v>0.3</v>
      </c>
      <c r="BL13" s="17">
        <f>IFERROR(INDEX(_CONFIG_Model_Settings!$D$109:$D$113,MATCH($BI13,_CONFIG_Model_Settings!$A$109:$A$113,0)),0.25)</f>
        <v>0.4</v>
      </c>
      <c r="BM13" s="17">
        <f>IFERROR(INDEX(_CONFIG_Model_Settings!$E$109:$E$113,MATCH($BI13,_CONFIG_Model_Settings!$A$109:$A$113,0)),0.25)</f>
        <v>0.1</v>
      </c>
      <c r="BN13" s="17">
        <f>IFERROR(INDEX(_CONFIG_Model_Settings!$B$117:$B$123,MATCH(_CONFIG_Model_Settings!$B$104,_CONFIG_Model_Settings!$A$117:$A$123,0)),1)</f>
        <v>1</v>
      </c>
      <c r="BO13" s="17">
        <f>IFERROR(INDEX(_CONFIG_Model_Settings!$C$117:$C$123,MATCH(_CONFIG_Model_Settings!$B$104,_CONFIG_Model_Settings!$A$117:$A$123,0)),1)</f>
        <v>1</v>
      </c>
      <c r="BP13" s="17">
        <f>IFERROR(INDEX(_CONFIG_Model_Settings!$D$117:$D$123,MATCH(_CONFIG_Model_Settings!$B$104,_CONFIG_Model_Settings!$A$117:$A$123,0)),1)</f>
        <v>1</v>
      </c>
      <c r="BQ13" s="17">
        <f>IFERROR(INDEX(_CONFIG_Model_Settings!$E$117:$E$123,MATCH(_CONFIG_Model_Settings!$B$104,_CONFIG_Model_Settings!$A$117:$A$123,0)),1)</f>
        <v>1</v>
      </c>
      <c r="BR13" s="17">
        <f>IF(OR($A13="",$P13=""),"",MIN(5,IFERROR(SUMIF(_DATA_RiskInitiativeMap!$A$1:$A$867,$A13,_DATA_RiskInitiativeMap!$K$1:$K$867)/MAX(1,_CONFIG_Model_Settings!$B$166),0)))</f>
        <v>5</v>
      </c>
      <c r="BS13" s="17">
        <f t="shared" si="13"/>
        <v>5.25</v>
      </c>
      <c r="BT13" s="17">
        <f t="shared" si="14"/>
        <v>2</v>
      </c>
      <c r="BU13" s="17">
        <f t="shared" si="15"/>
        <v>2.63</v>
      </c>
      <c r="BV13" s="17">
        <f>IF(OR($P13="",$BU13="",$AY13="Done",$AY13="Not applicable"),"",ROUND($BU13*N($AS13)*IF(OR('Resilience &amp; Risk Scenario'!$B$6="",'Resilience &amp; Risk Scenario'!$B$7&lt;=0),1,IFERROR(1+MIN(0.75,INDEX('Resilience &amp; Risk Scenario'!$E$21:$E$37,MATCH($B13,'Resilience &amp; Risk Scenario'!$B$21:$B$37,0))/10),1)),2))</f>
        <v>2.63</v>
      </c>
      <c r="BW13" s="17">
        <f>IF($BV13="","",RANK($BV13,$BV$5:$BV$76,0)+COUNTIF($BV$5:$BV13,$BV13)-1)</f>
        <v>2</v>
      </c>
      <c r="BX13" s="17" t="str">
        <f t="shared" si="16"/>
        <v>0-90 days</v>
      </c>
      <c r="BY13" t="str">
        <f>IFERROR(IF($A13="","","P2: "&amp;$BI13&amp;" posture; objective="&amp;IF(_CONFIG_Model_Settings!$B$104="","Neutral/default",_CONFIG_Model_Settings!$B$104)&amp;"; relevance="&amp;ROUND(N($AS13),2)&amp;"; scenario/domain boost="&amp;ROUND(IF(OR('Resilience &amp; Risk Scenario'!$B$6="",'Resilience &amp; Risk Scenario'!$B$7&lt;=0),1,IFERROR(1+MIN(0.75,INDEX('Resilience &amp; Risk Scenario'!$E$21:$E$37,MATCH($B13,'Resilience &amp; Risk Scenario'!$B$21:$B$37,0))/10),1)),2)&amp;"; financial score="&amp;ROUND(N($BR13),1)&amp;"; CoD="&amp;$BS13&amp;IF($CL13&lt;&gt;"","; wording="&amp;$CL13,"")),"")</f>
        <v>P2: Fragile posture; objective=Neutral/default; relevance=1; scenario/domain boost=1; financial score=5; CoD=5.25; wording=Strengthen Backup / recovery</v>
      </c>
      <c r="BZ13" t="str">
        <f>IFERROR(INDEX(_REF_Capability_Bridge!$D:$D,MATCH($B13&amp;"|"&amp;$C13,_REF_Capability_Bridge!$J:$J,0)),IFERROR(INDEX(_REF_Capability_Bridge!$D:$D,MATCH($B13&amp;"|",_REF_Capability_Bridge!$J:$J,0)),"CAP_GENERIC"))</f>
        <v>CAP_BACKUP_RECOVERY</v>
      </c>
      <c r="CA13">
        <f>IFERROR(IFERROR(INDEX(_ENGINE_Relevance!$L:$L,MATCH($BZ13,_ENGINE_Relevance!$B:$B,0)),1),1)</f>
        <v>1</v>
      </c>
      <c r="CB13" t="str">
        <f>IFERROR(INDEX(_REF_Capability_Bridge!$A:$A,MATCH($B13&amp;"|"&amp;$C13,_REF_Capability_Bridge!$J:$J,0)),IFERROR(INDEX(_REF_Capability_Bridge!$A:$A,MATCH($B13&amp;"|",_REF_Capability_Bridge!$J:$J,0)),"No bridge"))</f>
        <v>BRG-037</v>
      </c>
      <c r="CC13" t="str">
        <f t="shared" si="17"/>
        <v>Capability relevance neutral</v>
      </c>
      <c r="CD13" t="str">
        <f t="shared" si="18"/>
        <v>Initial / absent</v>
      </c>
      <c r="CE13" t="str">
        <f>IF($A13="","",IFERROR(INDEX(_REF_Treatment_Library!$A$2:$A$296,MATCH(1,INDEX((_REF_Treatment_Library!$B$2:$B$296=$BZ13)*(_REF_Treatment_Library!$C$2:$C$296=PV_Canonical_Industry)*(_REF_Treatment_Library!$E$2:$E$296&lt;=N($N13))*(_REF_Treatment_Library!$F$2:$F$296&gt;=N($N13))*(_REF_Treatment_Library!$O$2:$O$296="Yes"),0),0)),IFERROR(INDEX(_REF_Treatment_Library!$A$2:$A$296,MATCH(1,INDEX((_REF_Treatment_Library!$B$2:$B$296=$BZ13)*(_REF_Treatment_Library!$C$2:$C$296="All")*(_REF_Treatment_Library!$E$2:$E$296&lt;=N($N13))*(_REF_Treatment_Library!$F$2:$F$296&gt;=N($N13))*(_REF_Treatment_Library!$O$2:$O$296="Yes"),0),0)),"")))</f>
        <v>TRT-BACKUP_RECOVERY-INITIAL</v>
      </c>
      <c r="CF13" t="str">
        <f>IF($CE13="","",IFERROR(INDEX(_REF_Treatment_Library!$H$2:$H$296,MATCH($CE13,_REF_Treatment_Library!$A$2:$A$296,0)),""))</f>
        <v>Establish</v>
      </c>
      <c r="CG13" t="str">
        <f>IF($CE13="","",IFERROR(INDEX(_REF_Treatment_Library!$I$2:$I$296,MATCH($CE13,_REF_Treatment_Library!$A$2:$A$296,0)),""))</f>
        <v>Establish baseline controls for Backup / recovery</v>
      </c>
      <c r="CH13" t="str">
        <f>IF($CE13="","",IFERROR(INDEX(_REF_Treatment_Library!$K$2:$K$296,MATCH($CE13,_REF_Treatment_Library!$A$2:$A$296,0)),""))</f>
        <v>Named owner, baseline process, minimum control checklist, first evidence package</v>
      </c>
      <c r="CI13" t="str">
        <f>IF($CE13="","",IFERROR(INDEX(_REF_Treatment_Library!$L$2:$L$296,MATCH($CE13,_REF_Treatment_Library!$A$2:$A$296,0)),""))</f>
        <v>Owner assigned; baseline evidence coverage; open critical gaps</v>
      </c>
      <c r="CJ13" t="str">
        <f t="shared" si="19"/>
        <v>Treatment by capability=CAP_BACKUP_RECOVERY; band=Initial / absent; score=0.0; treatment=Establish</v>
      </c>
      <c r="CK13" t="str">
        <f>IF($A13="","",IFERROR(INDEX(_REF_Industry_Wording!$A$2:$A$70,MATCH(1,INDEX((_REF_Industry_Wording!$B$2:$B$70=$BZ13)*(_REF_Industry_Wording!$C$2:$C$70=PV_Canonical_Industry)*(_REF_Industry_Wording!$K$2:$K$70="Yes"),0),0)),IFERROR(INDEX(_REF_Industry_Wording!$A$2:$A$70,MATCH(1,INDEX((_REF_Industry_Wording!$B$2:$B$70=$BZ13)*(_REF_Industry_Wording!$C$2:$C$70="All")*(_REF_Industry_Wording!$K$2:$K$70="Yes"),0),0)),"")))</f>
        <v>IW-ALL-BACKUP_RECOVERY</v>
      </c>
      <c r="CL13" t="str">
        <f>IF($CK13="","",IFERROR(INDEX(_REF_Industry_Wording!$F$2:$F$70,MATCH($CK13,_REF_Industry_Wording!$A$2:$A$70,0)),""))</f>
        <v>Strengthen Backup / recovery</v>
      </c>
      <c r="CM13" t="str">
        <f>IF($CK13="","",IFERROR(INDEX(_REF_Industry_Wording!$G$2:$G$70,MATCH($CK13,_REF_Industry_Wording!$A$2:$A$70,0)),""))</f>
        <v>Strengthen Backup / recovery using the selected maturity treatment, crisis scenario and evidence requirements.</v>
      </c>
      <c r="CN13" t="str">
        <f>IF($CK13="","",IFERROR(INDEX(_REF_Industry_Wording!$H$2:$H$70,MATCH($CK13,_REF_Industry_Wording!$A$2:$A$70,0)),""))</f>
        <v>Backup / recovery</v>
      </c>
      <c r="CO13">
        <f>IF($CK13="","",IFERROR(INDEX(_REF_Industry_Wording!$I$2:$I$70,MATCH($CK13,_REF_Industry_Wording!$A$2:$A$70,0)),""))</f>
        <v>0</v>
      </c>
      <c r="CP13" t="str">
        <f>IF($CK13="","",IFERROR(INDEX(_REF_Industry_Wording!$J$2:$J$70,MATCH($CK13,_REF_Industry_Wording!$A$2:$A$70,0)),""))</f>
        <v>Backup / recovery</v>
      </c>
      <c r="CQ13" t="str">
        <f t="shared" si="20"/>
        <v>Wording by industry=0; capability=CAP_BACKUP_RECOVERY; title=Strengthen Backup / recovery</v>
      </c>
      <c r="CR13" t="str">
        <f t="shared" si="21"/>
        <v>INIT-ONT-0009</v>
      </c>
      <c r="CS13">
        <f t="shared" si="22"/>
        <v>13</v>
      </c>
      <c r="CT13" t="str">
        <f t="shared" si="23"/>
        <v>CAP_BACKUP_RECOVERY</v>
      </c>
      <c r="CU13" t="str">
        <f t="shared" si="24"/>
        <v>INI-009|Governance Crisis|Risk and continuity|CAP_BACKUP_RECOVERY</v>
      </c>
      <c r="CV13" t="str">
        <f t="shared" si="25"/>
        <v>Active</v>
      </c>
      <c r="CW13" t="str">
        <f t="shared" si="26"/>
        <v>OK: capability-driven</v>
      </c>
      <c r="CX13" t="str">
        <f t="shared" si="27"/>
        <v>Initiative ontology uses capability=CAP_BACKUP_RECOVERY; bridge=BRG-037; treatment=TRT-BACKUP_RECOVERY-INITIAL; wording=IW-ALL-BACKUP_RECOVERY</v>
      </c>
    </row>
    <row r="14" spans="1:102" ht="42" customHeight="1">
      <c r="A14" s="17" t="s">
        <v>4012</v>
      </c>
      <c r="B14" s="17" t="s">
        <v>1150</v>
      </c>
      <c r="C14" s="17" t="s">
        <v>1165</v>
      </c>
      <c r="D14" s="17" t="s">
        <v>3956</v>
      </c>
      <c r="E14" s="17" t="s">
        <v>3957</v>
      </c>
      <c r="F14" s="17" t="s">
        <v>4013</v>
      </c>
      <c r="G14" s="17" t="s">
        <v>4014</v>
      </c>
      <c r="H14" s="17" t="s">
        <v>3681</v>
      </c>
      <c r="I14" s="17" t="s">
        <v>3999</v>
      </c>
      <c r="J14" s="17" t="s">
        <v>4015</v>
      </c>
      <c r="K14" s="17">
        <v>6</v>
      </c>
      <c r="L14" s="17">
        <f>IF($A14="","",COUNTIFS(_DATA_RiskInitiativeMap!$A$444:$A$867,$A14,_DATA_RiskInitiativeMap!$G$444:$G$867,"&gt;0"))</f>
        <v>6</v>
      </c>
      <c r="M14" s="17">
        <f>IF($A14="","",COUNTIFS(_DATA_RiskInitiativeMap!$A$444:$A$867,$A14,_DATA_RiskInitiativeMap!$G$444:$G$867,"&gt;0"))</f>
        <v>6</v>
      </c>
      <c r="N14" s="17">
        <f>IFERROR(AVERAGEIFS(_DATA_Assessment_Model!$H$5:$H$428,_DATA_Assessment_Model!$AW$5:$AW$428,$B14,_DATA_Assessment_Model!$B$5:$B$428,$C14),"")</f>
        <v>0</v>
      </c>
      <c r="O14" s="17">
        <f t="shared" si="0"/>
        <v>5</v>
      </c>
      <c r="P14" s="17">
        <f>IFERROR(INDEX(_DATA_Dashboard_Facts!$H$5:$H$21,MATCH($B14,_DATA_Dashboard_Facts!$A$5:$A$21,0)),"")</f>
        <v>0</v>
      </c>
      <c r="Q14" s="17">
        <f t="shared" si="1"/>
        <v>5</v>
      </c>
      <c r="R14" s="17">
        <f>IF(OR('Resilience &amp; Risk Scenario'!$B$6="",'Resilience &amp; Risk Scenario'!$B$7&lt;=0),1,IFERROR(IF(SUMIFS(_ENGINE_Crisis!$D$5:$D$208,_ENGINE_Crisis!$A$5:$A$208,'Resilience &amp; Risk Scenario'!$B$6,_ENGINE_Crisis!$B$5:$B$208,$B14)=0,1,SUMIFS(_ENGINE_Crisis!$D$5:$D$208,_ENGINE_Crisis!$A$5:$A$208,'Resilience &amp; Risk Scenario'!$B$6,_ENGINE_Crisis!$B$5:$B$208,$B14)),1))</f>
        <v>1</v>
      </c>
      <c r="S14" s="17">
        <f>IFERROR(INDEX(_ENGINE_Strategy!$A$100:$A$113,MATCH($D14,_ENGINE_Strategy!$B$100:$B$113,0)),99)</f>
        <v>14</v>
      </c>
      <c r="T14" s="17">
        <f>IFERROR(INDEX(_ENGINE_Strategy!$J$100:$J$113,MATCH($D14,_ENGINE_Strategy!$B$100:$B$113,0)),0)</f>
        <v>65.3</v>
      </c>
      <c r="U14" s="17">
        <v>2</v>
      </c>
      <c r="V14" s="17">
        <v>4</v>
      </c>
      <c r="W14" s="17">
        <v>5</v>
      </c>
      <c r="X14" s="17">
        <f t="shared" si="2"/>
        <v>4.5662500000000001</v>
      </c>
      <c r="Y14" s="17">
        <f>IF($P14="","",MAX(1,MIN(5,1+N($O14)*0.45+MIN(2,N($M14)*0.3)+($R14-1)*1.2+IF('Resilience &amp; Risk Scenario'!$B$7="",1,'Resilience &amp; Risk Scenario'!$B$7)*0.25)))</f>
        <v>5</v>
      </c>
      <c r="Z14" s="17">
        <f t="shared" si="3"/>
        <v>4.8</v>
      </c>
      <c r="AA14" s="17">
        <f t="shared" si="4"/>
        <v>3.2794999999999996</v>
      </c>
      <c r="AB14" s="17">
        <v>2</v>
      </c>
      <c r="AC14" s="17">
        <f t="shared" si="5"/>
        <v>2.61</v>
      </c>
      <c r="AD14" s="17">
        <f t="shared" si="6"/>
        <v>4</v>
      </c>
      <c r="AE14" s="17" t="str">
        <f t="shared" si="7"/>
        <v>0-90 days</v>
      </c>
      <c r="AF14" s="17" t="s">
        <v>3929</v>
      </c>
      <c r="AG14" s="17" t="s">
        <v>3930</v>
      </c>
      <c r="AH14" s="17" t="s">
        <v>3931</v>
      </c>
      <c r="AI14" s="17" t="s">
        <v>3932</v>
      </c>
      <c r="AJ14" s="17" t="s">
        <v>4016</v>
      </c>
      <c r="AK14" s="17" t="s">
        <v>4017</v>
      </c>
      <c r="AL14" s="17" t="s">
        <v>4018</v>
      </c>
      <c r="AM14" s="17" t="s">
        <v>3969</v>
      </c>
      <c r="AN14" s="17" t="s">
        <v>3937</v>
      </c>
      <c r="AO14" s="17" t="s">
        <v>3938</v>
      </c>
      <c r="AP14" s="17" t="s">
        <v>3939</v>
      </c>
      <c r="AQ14" s="17"/>
      <c r="AR14" s="17"/>
      <c r="AS14" s="14">
        <f>IFERROR((IF(SUMIFS(_REF_Model_Content!$J$1:$J$157,_REF_Model_Content!$A$1:$A$174,PV_Canonical_Industry,_REF_Model_Content!$B$1:$B$174,$B14)=0,1,SUMIFS(_REF_Model_Content!$J$1:$J$157,_REF_Model_Content!$A$1:$A$174,PV_Canonical_Industry,_REF_Model_Content!$B$1:$B$174,$B14))*IFERROR($CA14,1)),1)</f>
        <v>1</v>
      </c>
      <c r="AT14" s="14">
        <f t="shared" si="8"/>
        <v>2.61</v>
      </c>
      <c r="AU14" s="14">
        <f>IF($AT14="","",RANK($AT14,$AT$5:$AT$76,0)+COUNTIF($AT$5:AT14,$AT14)-1)</f>
        <v>4</v>
      </c>
      <c r="AV14" s="14">
        <f>IFERROR(INDEX(_DATA_Dashboard_Facts!$G$300:$G$316,MATCH($B14,_DATA_Dashboard_Facts!$A$300:$A$316,0)),"")</f>
        <v>0</v>
      </c>
      <c r="AW14" s="14" t="str">
        <f t="shared" si="9"/>
        <v>Relevance-neutral priority</v>
      </c>
      <c r="AX14">
        <f>IFERROR(INDEX('Action Plan &amp; Roadmap'!$D$59:$D$130,MATCH($A14,'Action Plan &amp; Roadmap'!$A$59:$A$130,0)),"")</f>
        <v>0</v>
      </c>
      <c r="AY14">
        <f t="shared" si="10"/>
        <v>0</v>
      </c>
      <c r="AZ14" t="s">
        <v>4004</v>
      </c>
      <c r="BA14">
        <f>IF($A14="","",COUNTIF(_DATA_RiskInitiativeMap!$A$1:$A$867,$A14))</f>
        <v>6</v>
      </c>
      <c r="BB14">
        <f>IF($A14="","",IFERROR(AVERAGEIF(_DATA_RiskInitiativeMap!$A$1:$A$867,$A14,_DATA_RiskInitiativeMap!$G$1:$G$867),0))</f>
        <v>17.556666666666668</v>
      </c>
      <c r="BC14">
        <f t="shared" si="11"/>
        <v>4.7</v>
      </c>
      <c r="BD14">
        <f t="shared" si="12"/>
        <v>4.3289666666666671</v>
      </c>
      <c r="BI14" s="17" t="str">
        <f>IFERROR(_CONFIG_Model_Settings!$B$103,"Adaptive")</f>
        <v>Fragile</v>
      </c>
      <c r="BJ14" s="17">
        <f>IFERROR(INDEX(_CONFIG_Model_Settings!$B$109:$B$113,MATCH($BI14,_CONFIG_Model_Settings!$A$109:$A$113,0)),0.3)</f>
        <v>0.2</v>
      </c>
      <c r="BK14" s="17">
        <f>IFERROR(INDEX(_CONFIG_Model_Settings!$C$109:$C$113,MATCH($BI14,_CONFIG_Model_Settings!$A$109:$A$113,0)),0.2)</f>
        <v>0.3</v>
      </c>
      <c r="BL14" s="17">
        <f>IFERROR(INDEX(_CONFIG_Model_Settings!$D$109:$D$113,MATCH($BI14,_CONFIG_Model_Settings!$A$109:$A$113,0)),0.25)</f>
        <v>0.4</v>
      </c>
      <c r="BM14" s="17">
        <f>IFERROR(INDEX(_CONFIG_Model_Settings!$E$109:$E$113,MATCH($BI14,_CONFIG_Model_Settings!$A$109:$A$113,0)),0.25)</f>
        <v>0.1</v>
      </c>
      <c r="BN14" s="17">
        <f>IFERROR(INDEX(_CONFIG_Model_Settings!$B$117:$B$123,MATCH(_CONFIG_Model_Settings!$B$104,_CONFIG_Model_Settings!$A$117:$A$123,0)),1)</f>
        <v>1</v>
      </c>
      <c r="BO14" s="17">
        <f>IFERROR(INDEX(_CONFIG_Model_Settings!$C$117:$C$123,MATCH(_CONFIG_Model_Settings!$B$104,_CONFIG_Model_Settings!$A$117:$A$123,0)),1)</f>
        <v>1</v>
      </c>
      <c r="BP14" s="17">
        <f>IFERROR(INDEX(_CONFIG_Model_Settings!$D$117:$D$123,MATCH(_CONFIG_Model_Settings!$B$104,_CONFIG_Model_Settings!$A$117:$A$123,0)),1)</f>
        <v>1</v>
      </c>
      <c r="BQ14" s="17">
        <f>IFERROR(INDEX(_CONFIG_Model_Settings!$E$117:$E$123,MATCH(_CONFIG_Model_Settings!$B$104,_CONFIG_Model_Settings!$A$117:$A$123,0)),1)</f>
        <v>1</v>
      </c>
      <c r="BR14" s="17">
        <f>IF(OR($A14="",$P14=""),"",MIN(5,IFERROR(SUMIF(_DATA_RiskInitiativeMap!$A$1:$A$867,$A14,_DATA_RiskInitiativeMap!$K$1:$K$867)/MAX(1,_CONFIG_Model_Settings!$B$166),0)))</f>
        <v>5</v>
      </c>
      <c r="BS14" s="17">
        <f t="shared" si="13"/>
        <v>5.22</v>
      </c>
      <c r="BT14" s="17">
        <f t="shared" si="14"/>
        <v>2</v>
      </c>
      <c r="BU14" s="17">
        <f t="shared" si="15"/>
        <v>2.61</v>
      </c>
      <c r="BV14" s="17">
        <f>IF(OR($P14="",$BU14="",$AY14="Done",$AY14="Not applicable"),"",ROUND($BU14*N($AS14)*IF(OR('Resilience &amp; Risk Scenario'!$B$6="",'Resilience &amp; Risk Scenario'!$B$7&lt;=0),1,IFERROR(1+MIN(0.75,INDEX('Resilience &amp; Risk Scenario'!$E$21:$E$37,MATCH($B14,'Resilience &amp; Risk Scenario'!$B$21:$B$37,0))/10),1)),2))</f>
        <v>2.61</v>
      </c>
      <c r="BW14" s="17">
        <f>IF($BV14="","",RANK($BV14,$BV$5:$BV$76,0)+COUNTIF($BV$5:$BV14,$BV14)-1)</f>
        <v>4</v>
      </c>
      <c r="BX14" s="17" t="str">
        <f t="shared" si="16"/>
        <v>0-90 days</v>
      </c>
      <c r="BY14" t="str">
        <f>IFERROR(IF($A14="","","P2: "&amp;$BI14&amp;" posture; objective="&amp;IF(_CONFIG_Model_Settings!$B$104="","Neutral/default",_CONFIG_Model_Settings!$B$104)&amp;"; relevance="&amp;ROUND(N($AS14),2)&amp;"; scenario/domain boost="&amp;ROUND(IF(OR('Resilience &amp; Risk Scenario'!$B$6="",'Resilience &amp; Risk Scenario'!$B$7&lt;=0),1,IFERROR(1+MIN(0.75,INDEX('Resilience &amp; Risk Scenario'!$E$21:$E$37,MATCH($B14,'Resilience &amp; Risk Scenario'!$B$21:$B$37,0))/10),1)),2)&amp;"; financial score="&amp;ROUND(N($BR14),1)&amp;"; CoD="&amp;$BS14&amp;IF($CL14&lt;&gt;"","; wording="&amp;$CL14,"")),"")</f>
        <v>P2: Fragile posture; objective=Neutral/default; relevance=1; scenario/domain boost=1; financial score=5; CoD=5.22; wording=Strengthen Incident response</v>
      </c>
      <c r="BZ14" t="str">
        <f>IFERROR(INDEX(_REF_Capability_Bridge!$D:$D,MATCH($B14&amp;"|"&amp;$C14,_REF_Capability_Bridge!$J:$J,0)),IFERROR(INDEX(_REF_Capability_Bridge!$D:$D,MATCH($B14&amp;"|",_REF_Capability_Bridge!$J:$J,0)),"CAP_GENERIC"))</f>
        <v>CAP_INCIDENT_RESPONSE</v>
      </c>
      <c r="CA14">
        <f>IFERROR(IFERROR(INDEX(_ENGINE_Relevance!$L:$L,MATCH($BZ14,_ENGINE_Relevance!$B:$B,0)),1),1)</f>
        <v>1</v>
      </c>
      <c r="CB14" t="str">
        <f>IFERROR(INDEX(_REF_Capability_Bridge!$A:$A,MATCH($B14&amp;"|"&amp;$C14,_REF_Capability_Bridge!$J:$J,0)),IFERROR(INDEX(_REF_Capability_Bridge!$A:$A,MATCH($B14&amp;"|",_REF_Capability_Bridge!$J:$J,0)),"No bridge"))</f>
        <v>BRG-036</v>
      </c>
      <c r="CC14" t="str">
        <f t="shared" si="17"/>
        <v>Capability relevance neutral</v>
      </c>
      <c r="CD14" t="str">
        <f t="shared" si="18"/>
        <v>Initial / absent</v>
      </c>
      <c r="CE14" t="str">
        <f>IF($A14="","",IFERROR(INDEX(_REF_Treatment_Library!$A$2:$A$296,MATCH(1,INDEX((_REF_Treatment_Library!$B$2:$B$296=$BZ14)*(_REF_Treatment_Library!$C$2:$C$296=PV_Canonical_Industry)*(_REF_Treatment_Library!$E$2:$E$296&lt;=N($N14))*(_REF_Treatment_Library!$F$2:$F$296&gt;=N($N14))*(_REF_Treatment_Library!$O$2:$O$296="Yes"),0),0)),IFERROR(INDEX(_REF_Treatment_Library!$A$2:$A$296,MATCH(1,INDEX((_REF_Treatment_Library!$B$2:$B$296=$BZ14)*(_REF_Treatment_Library!$C$2:$C$296="All")*(_REF_Treatment_Library!$E$2:$E$296&lt;=N($N14))*(_REF_Treatment_Library!$F$2:$F$296&gt;=N($N14))*(_REF_Treatment_Library!$O$2:$O$296="Yes"),0),0)),"")))</f>
        <v>TRT-INCIDENT_RESPONSE-INITIAL</v>
      </c>
      <c r="CF14" t="str">
        <f>IF($CE14="","",IFERROR(INDEX(_REF_Treatment_Library!$H$2:$H$296,MATCH($CE14,_REF_Treatment_Library!$A$2:$A$296,0)),""))</f>
        <v>Establish</v>
      </c>
      <c r="CG14" t="str">
        <f>IF($CE14="","",IFERROR(INDEX(_REF_Treatment_Library!$I$2:$I$296,MATCH($CE14,_REF_Treatment_Library!$A$2:$A$296,0)),""))</f>
        <v>Establish baseline controls for Incident response</v>
      </c>
      <c r="CH14" t="str">
        <f>IF($CE14="","",IFERROR(INDEX(_REF_Treatment_Library!$K$2:$K$296,MATCH($CE14,_REF_Treatment_Library!$A$2:$A$296,0)),""))</f>
        <v>Named owner, baseline process, minimum control checklist, first evidence package</v>
      </c>
      <c r="CI14" t="str">
        <f>IF($CE14="","",IFERROR(INDEX(_REF_Treatment_Library!$L$2:$L$296,MATCH($CE14,_REF_Treatment_Library!$A$2:$A$296,0)),""))</f>
        <v>Owner assigned; baseline evidence coverage; open critical gaps</v>
      </c>
      <c r="CJ14" t="str">
        <f t="shared" si="19"/>
        <v>Treatment by capability=CAP_INCIDENT_RESPONSE; band=Initial / absent; score=0.0; treatment=Establish</v>
      </c>
      <c r="CK14" t="str">
        <f>IF($A14="","",IFERROR(INDEX(_REF_Industry_Wording!$A$2:$A$70,MATCH(1,INDEX((_REF_Industry_Wording!$B$2:$B$70=$BZ14)*(_REF_Industry_Wording!$C$2:$C$70=PV_Canonical_Industry)*(_REF_Industry_Wording!$K$2:$K$70="Yes"),0),0)),IFERROR(INDEX(_REF_Industry_Wording!$A$2:$A$70,MATCH(1,INDEX((_REF_Industry_Wording!$B$2:$B$70=$BZ14)*(_REF_Industry_Wording!$C$2:$C$70="All")*(_REF_Industry_Wording!$K$2:$K$70="Yes"),0),0)),"")))</f>
        <v>IW-ALL-INCIDENT_RESPONSE</v>
      </c>
      <c r="CL14" t="str">
        <f>IF($CK14="","",IFERROR(INDEX(_REF_Industry_Wording!$F$2:$F$70,MATCH($CK14,_REF_Industry_Wording!$A$2:$A$70,0)),""))</f>
        <v>Strengthen Incident response</v>
      </c>
      <c r="CM14" t="str">
        <f>IF($CK14="","",IFERROR(INDEX(_REF_Industry_Wording!$G$2:$G$70,MATCH($CK14,_REF_Industry_Wording!$A$2:$A$70,0)),""))</f>
        <v>Strengthen Incident response using the selected maturity treatment, crisis scenario and evidence requirements.</v>
      </c>
      <c r="CN14" t="str">
        <f>IF($CK14="","",IFERROR(INDEX(_REF_Industry_Wording!$H$2:$H$70,MATCH($CK14,_REF_Industry_Wording!$A$2:$A$70,0)),""))</f>
        <v>Incident response</v>
      </c>
      <c r="CO14">
        <f>IF($CK14="","",IFERROR(INDEX(_REF_Industry_Wording!$I$2:$I$70,MATCH($CK14,_REF_Industry_Wording!$A$2:$A$70,0)),""))</f>
        <v>0</v>
      </c>
      <c r="CP14" t="str">
        <f>IF($CK14="","",IFERROR(INDEX(_REF_Industry_Wording!$J$2:$J$70,MATCH($CK14,_REF_Industry_Wording!$A$2:$A$70,0)),""))</f>
        <v>Incident response</v>
      </c>
      <c r="CQ14" t="str">
        <f t="shared" si="20"/>
        <v>Wording by industry=0; capability=CAP_INCIDENT_RESPONSE; title=Strengthen Incident response</v>
      </c>
      <c r="CR14" t="str">
        <f t="shared" si="21"/>
        <v>INIT-ONT-0010</v>
      </c>
      <c r="CS14">
        <f t="shared" si="22"/>
        <v>14</v>
      </c>
      <c r="CT14" t="str">
        <f t="shared" si="23"/>
        <v>CAP_INCIDENT_RESPONSE</v>
      </c>
      <c r="CU14" t="str">
        <f t="shared" si="24"/>
        <v>INI-010|Governance Crisis|Incident management|CAP_INCIDENT_RESPONSE</v>
      </c>
      <c r="CV14" t="str">
        <f t="shared" si="25"/>
        <v>Active</v>
      </c>
      <c r="CW14" t="str">
        <f t="shared" si="26"/>
        <v>OK: capability-driven</v>
      </c>
      <c r="CX14" t="str">
        <f t="shared" si="27"/>
        <v>Initiative ontology uses capability=CAP_INCIDENT_RESPONSE; bridge=BRG-036; treatment=TRT-INCIDENT_RESPONSE-INITIAL; wording=IW-ALL-INCIDENT_RESPONSE</v>
      </c>
    </row>
    <row r="15" spans="1:102" ht="42" customHeight="1">
      <c r="A15" s="17" t="s">
        <v>4019</v>
      </c>
      <c r="B15" s="17" t="s">
        <v>1259</v>
      </c>
      <c r="C15" s="17" t="s">
        <v>1261</v>
      </c>
      <c r="D15" s="17" t="s">
        <v>4020</v>
      </c>
      <c r="E15" s="17" t="s">
        <v>4021</v>
      </c>
      <c r="F15" s="17" t="s">
        <v>4022</v>
      </c>
      <c r="G15" s="17" t="s">
        <v>4023</v>
      </c>
      <c r="H15" s="17" t="s">
        <v>3682</v>
      </c>
      <c r="I15" s="17" t="s">
        <v>4024</v>
      </c>
      <c r="J15" s="17" t="s">
        <v>4025</v>
      </c>
      <c r="K15" s="17">
        <v>6</v>
      </c>
      <c r="L15" s="17">
        <f>IF($A15="","",COUNTIFS(_DATA_RiskInitiativeMap!$A$444:$A$867,$A15,_DATA_RiskInitiativeMap!$G$444:$G$867,"&gt;0"))</f>
        <v>7</v>
      </c>
      <c r="M15" s="17">
        <f>IF($A15="","",COUNTIFS(_DATA_RiskInitiativeMap!$A$444:$A$867,$A15,_DATA_RiskInitiativeMap!$G$444:$G$867,"&gt;0"))</f>
        <v>7</v>
      </c>
      <c r="N15" s="17">
        <f>IFERROR(AVERAGEIFS(_DATA_Assessment_Model!$H$5:$H$428,_DATA_Assessment_Model!$AW$5:$AW$428,$B15,_DATA_Assessment_Model!$B$5:$B$428,$C15),"")</f>
        <v>0</v>
      </c>
      <c r="O15" s="17">
        <f t="shared" si="0"/>
        <v>5</v>
      </c>
      <c r="P15" s="17">
        <f>IFERROR(INDEX(_DATA_Dashboard_Facts!$H$5:$H$21,MATCH($B15,_DATA_Dashboard_Facts!$A$5:$A$21,0)),"")</f>
        <v>0</v>
      </c>
      <c r="Q15" s="17">
        <f t="shared" si="1"/>
        <v>5</v>
      </c>
      <c r="R15" s="17">
        <f>IF(OR('Resilience &amp; Risk Scenario'!$B$6="",'Resilience &amp; Risk Scenario'!$B$7&lt;=0),1,IFERROR(IF(SUMIFS(_ENGINE_Crisis!$D$5:$D$208,_ENGINE_Crisis!$A$5:$A$208,'Resilience &amp; Risk Scenario'!$B$6,_ENGINE_Crisis!$B$5:$B$208,$B15)=0,1,SUMIFS(_ENGINE_Crisis!$D$5:$D$208,_ENGINE_Crisis!$A$5:$A$208,'Resilience &amp; Risk Scenario'!$B$6,_ENGINE_Crisis!$B$5:$B$208,$B15)),1))</f>
        <v>1</v>
      </c>
      <c r="S15" s="17">
        <f>IFERROR(INDEX(_ENGINE_Strategy!$A$100:$A$113,MATCH($D15,_ENGINE_Strategy!$B$100:$B$113,0)),99)</f>
        <v>11</v>
      </c>
      <c r="T15" s="17">
        <f>IFERROR(INDEX(_ENGINE_Strategy!$J$100:$J$113,MATCH($D15,_ENGINE_Strategy!$B$100:$B$113,0)),0)</f>
        <v>66.900000000000006</v>
      </c>
      <c r="U15" s="17">
        <v>3</v>
      </c>
      <c r="V15" s="17">
        <v>5</v>
      </c>
      <c r="W15" s="17">
        <v>4</v>
      </c>
      <c r="X15" s="17">
        <f t="shared" si="2"/>
        <v>4.5862499999999997</v>
      </c>
      <c r="Y15" s="17">
        <f>IF($P15="","",MAX(1,MIN(5,1+N($O15)*0.45+MIN(2,N($M15)*0.3)+($R15-1)*1.2+IF('Resilience &amp; Risk Scenario'!$B$7="",1,'Resilience &amp; Risk Scenario'!$B$7)*0.25)))</f>
        <v>5</v>
      </c>
      <c r="Z15" s="17">
        <f t="shared" si="3"/>
        <v>5</v>
      </c>
      <c r="AA15" s="17">
        <f t="shared" si="4"/>
        <v>3.4035000000000002</v>
      </c>
      <c r="AB15" s="17">
        <v>3</v>
      </c>
      <c r="AC15" s="17">
        <f t="shared" si="5"/>
        <v>1.77</v>
      </c>
      <c r="AD15" s="17">
        <f t="shared" si="6"/>
        <v>27</v>
      </c>
      <c r="AE15" s="17" t="str">
        <f t="shared" si="7"/>
        <v>3-6 months</v>
      </c>
      <c r="AF15" s="17" t="s">
        <v>4026</v>
      </c>
      <c r="AG15" s="17" t="s">
        <v>3963</v>
      </c>
      <c r="AH15" s="17" t="s">
        <v>3931</v>
      </c>
      <c r="AI15" s="17" t="s">
        <v>3932</v>
      </c>
      <c r="AJ15" s="17" t="s">
        <v>4027</v>
      </c>
      <c r="AK15" s="17" t="s">
        <v>4028</v>
      </c>
      <c r="AL15" s="17" t="s">
        <v>4029</v>
      </c>
      <c r="AM15" s="17" t="s">
        <v>4030</v>
      </c>
      <c r="AN15" s="17" t="s">
        <v>3937</v>
      </c>
      <c r="AO15" s="17" t="s">
        <v>3938</v>
      </c>
      <c r="AP15" s="17" t="s">
        <v>546</v>
      </c>
      <c r="AQ15" s="17"/>
      <c r="AR15" s="17"/>
      <c r="AS15" s="14">
        <f>IFERROR((IF(SUMIFS(_REF_Model_Content!$J$1:$J$157,_REF_Model_Content!$A$1:$A$174,PV_Canonical_Industry,_REF_Model_Content!$B$1:$B$174,$B15)=0,1,SUMIFS(_REF_Model_Content!$J$1:$J$157,_REF_Model_Content!$A$1:$A$174,PV_Canonical_Industry,_REF_Model_Content!$B$1:$B$174,$B15))*IFERROR($CA15,1)),1)</f>
        <v>1</v>
      </c>
      <c r="AT15" s="14">
        <f t="shared" si="8"/>
        <v>1.77</v>
      </c>
      <c r="AU15" s="14">
        <f>IF($AT15="","",RANK($AT15,$AT$5:$AT$76,0)+COUNTIF($AT$5:AT15,$AT15)-1)</f>
        <v>27</v>
      </c>
      <c r="AV15" s="14">
        <f>IFERROR(INDEX(_DATA_Dashboard_Facts!$G$300:$G$316,MATCH($B15,_DATA_Dashboard_Facts!$A$300:$A$316,0)),"")</f>
        <v>0</v>
      </c>
      <c r="AW15" s="14" t="str">
        <f t="shared" si="9"/>
        <v>Relevance-neutral priority</v>
      </c>
      <c r="AX15">
        <f>IFERROR(INDEX('Action Plan &amp; Roadmap'!$D$59:$D$130,MATCH($A15,'Action Plan &amp; Roadmap'!$A$59:$A$130,0)),"")</f>
        <v>0</v>
      </c>
      <c r="AY15">
        <f t="shared" si="10"/>
        <v>0</v>
      </c>
      <c r="AZ15" t="s">
        <v>4031</v>
      </c>
      <c r="BA15">
        <f>IF($A15="","",COUNTIF(_DATA_RiskInitiativeMap!$A$1:$A$867,$A15))</f>
        <v>7</v>
      </c>
      <c r="BB15">
        <f>IF($A15="","",IFERROR(AVERAGEIF(_DATA_RiskInitiativeMap!$A$1:$A$867,$A15,_DATA_RiskInitiativeMap!$G$1:$G$867),0))</f>
        <v>18.990000000000002</v>
      </c>
      <c r="BC15">
        <f t="shared" si="11"/>
        <v>4.8</v>
      </c>
      <c r="BD15">
        <f t="shared" si="12"/>
        <v>4.5392999999999999</v>
      </c>
      <c r="BI15" s="17" t="str">
        <f>IFERROR(_CONFIG_Model_Settings!$B$103,"Adaptive")</f>
        <v>Fragile</v>
      </c>
      <c r="BJ15" s="17">
        <f>IFERROR(INDEX(_CONFIG_Model_Settings!$B$109:$B$113,MATCH($BI15,_CONFIG_Model_Settings!$A$109:$A$113,0)),0.3)</f>
        <v>0.2</v>
      </c>
      <c r="BK15" s="17">
        <f>IFERROR(INDEX(_CONFIG_Model_Settings!$C$109:$C$113,MATCH($BI15,_CONFIG_Model_Settings!$A$109:$A$113,0)),0.2)</f>
        <v>0.3</v>
      </c>
      <c r="BL15" s="17">
        <f>IFERROR(INDEX(_CONFIG_Model_Settings!$D$109:$D$113,MATCH($BI15,_CONFIG_Model_Settings!$A$109:$A$113,0)),0.25)</f>
        <v>0.4</v>
      </c>
      <c r="BM15" s="17">
        <f>IFERROR(INDEX(_CONFIG_Model_Settings!$E$109:$E$113,MATCH($BI15,_CONFIG_Model_Settings!$A$109:$A$113,0)),0.25)</f>
        <v>0.1</v>
      </c>
      <c r="BN15" s="17">
        <f>IFERROR(INDEX(_CONFIG_Model_Settings!$B$117:$B$123,MATCH(_CONFIG_Model_Settings!$B$104,_CONFIG_Model_Settings!$A$117:$A$123,0)),1)</f>
        <v>1</v>
      </c>
      <c r="BO15" s="17">
        <f>IFERROR(INDEX(_CONFIG_Model_Settings!$C$117:$C$123,MATCH(_CONFIG_Model_Settings!$B$104,_CONFIG_Model_Settings!$A$117:$A$123,0)),1)</f>
        <v>1</v>
      </c>
      <c r="BP15" s="17">
        <f>IFERROR(INDEX(_CONFIG_Model_Settings!$D$117:$D$123,MATCH(_CONFIG_Model_Settings!$B$104,_CONFIG_Model_Settings!$A$117:$A$123,0)),1)</f>
        <v>1</v>
      </c>
      <c r="BQ15" s="17">
        <f>IFERROR(INDEX(_CONFIG_Model_Settings!$E$117:$E$123,MATCH(_CONFIG_Model_Settings!$B$104,_CONFIG_Model_Settings!$A$117:$A$123,0)),1)</f>
        <v>1</v>
      </c>
      <c r="BR15" s="17">
        <f>IF(OR($A15="",$P15=""),"",MIN(5,IFERROR(SUMIF(_DATA_RiskInitiativeMap!$A$1:$A$867,$A15,_DATA_RiskInitiativeMap!$K$1:$K$867)/MAX(1,_CONFIG_Model_Settings!$B$166),0)))</f>
        <v>5</v>
      </c>
      <c r="BS15" s="17">
        <f t="shared" si="13"/>
        <v>5.32</v>
      </c>
      <c r="BT15" s="17">
        <f t="shared" si="14"/>
        <v>3</v>
      </c>
      <c r="BU15" s="17">
        <f t="shared" si="15"/>
        <v>1.77</v>
      </c>
      <c r="BV15" s="17">
        <f>IF(OR($P15="",$BU15="",$AY15="Done",$AY15="Not applicable"),"",ROUND($BU15*N($AS15)*IF(OR('Resilience &amp; Risk Scenario'!$B$6="",'Resilience &amp; Risk Scenario'!$B$7&lt;=0),1,IFERROR(1+MIN(0.75,INDEX('Resilience &amp; Risk Scenario'!$E$21:$E$37,MATCH($B15,'Resilience &amp; Risk Scenario'!$B$21:$B$37,0))/10),1)),2))</f>
        <v>1.77</v>
      </c>
      <c r="BW15" s="17">
        <f>IF($BV15="","",RANK($BV15,$BV$5:$BV$76,0)+COUNTIF($BV$5:$BV15,$BV15)-1)</f>
        <v>27</v>
      </c>
      <c r="BX15" s="17" t="str">
        <f t="shared" si="16"/>
        <v>3-6 months</v>
      </c>
      <c r="BY15" t="str">
        <f>IFERROR(IF($A15="","","P2: "&amp;$BI15&amp;" posture; objective="&amp;IF(_CONFIG_Model_Settings!$B$104="","Neutral/default",_CONFIG_Model_Settings!$B$104)&amp;"; relevance="&amp;ROUND(N($AS15),2)&amp;"; scenario/domain boost="&amp;ROUND(IF(OR('Resilience &amp; Risk Scenario'!$B$6="",'Resilience &amp; Risk Scenario'!$B$7&lt;=0),1,IFERROR(1+MIN(0.75,INDEX('Resilience &amp; Risk Scenario'!$E$21:$E$37,MATCH($B15,'Resilience &amp; Risk Scenario'!$B$21:$B$37,0))/10),1)),2)&amp;"; financial score="&amp;ROUND(N($BR15),1)&amp;"; CoD="&amp;$BS15&amp;IF($CL15&lt;&gt;"","; wording="&amp;$CL15,"")),"")</f>
        <v>P2: Fragile posture; objective=Neutral/default; relevance=1; scenario/domain boost=1; financial score=5; CoD=5.32; wording=Strengthen Backup / recovery</v>
      </c>
      <c r="BZ15" t="str">
        <f>IFERROR(INDEX(_REF_Capability_Bridge!$D:$D,MATCH($B15&amp;"|"&amp;$C15,_REF_Capability_Bridge!$J:$J,0)),IFERROR(INDEX(_REF_Capability_Bridge!$D:$D,MATCH($B15&amp;"|",_REF_Capability_Bridge!$J:$J,0)),"CAP_GENERIC"))</f>
        <v>CAP_BACKUP_RECOVERY</v>
      </c>
      <c r="CA15">
        <f>IFERROR(IFERROR(INDEX(_ENGINE_Relevance!$L:$L,MATCH($BZ15,_ENGINE_Relevance!$B:$B,0)),1),1)</f>
        <v>1</v>
      </c>
      <c r="CB15" t="str">
        <f>IFERROR(INDEX(_REF_Capability_Bridge!$A:$A,MATCH($B15&amp;"|"&amp;$C15,_REF_Capability_Bridge!$J:$J,0)),IFERROR(INDEX(_REF_Capability_Bridge!$A:$A,MATCH($B15&amp;"|",_REF_Capability_Bridge!$J:$J,0)),"No bridge"))</f>
        <v>BRG-042</v>
      </c>
      <c r="CC15" t="str">
        <f t="shared" si="17"/>
        <v>Capability relevance neutral</v>
      </c>
      <c r="CD15" t="str">
        <f t="shared" si="18"/>
        <v>Initial / absent</v>
      </c>
      <c r="CE15" t="str">
        <f>IF($A15="","",IFERROR(INDEX(_REF_Treatment_Library!$A$2:$A$296,MATCH(1,INDEX((_REF_Treatment_Library!$B$2:$B$296=$BZ15)*(_REF_Treatment_Library!$C$2:$C$296=PV_Canonical_Industry)*(_REF_Treatment_Library!$E$2:$E$296&lt;=N($N15))*(_REF_Treatment_Library!$F$2:$F$296&gt;=N($N15))*(_REF_Treatment_Library!$O$2:$O$296="Yes"),0),0)),IFERROR(INDEX(_REF_Treatment_Library!$A$2:$A$296,MATCH(1,INDEX((_REF_Treatment_Library!$B$2:$B$296=$BZ15)*(_REF_Treatment_Library!$C$2:$C$296="All")*(_REF_Treatment_Library!$E$2:$E$296&lt;=N($N15))*(_REF_Treatment_Library!$F$2:$F$296&gt;=N($N15))*(_REF_Treatment_Library!$O$2:$O$296="Yes"),0),0)),"")))</f>
        <v>TRT-BACKUP_RECOVERY-INITIAL</v>
      </c>
      <c r="CF15" t="str">
        <f>IF($CE15="","",IFERROR(INDEX(_REF_Treatment_Library!$H$2:$H$296,MATCH($CE15,_REF_Treatment_Library!$A$2:$A$296,0)),""))</f>
        <v>Establish</v>
      </c>
      <c r="CG15" t="str">
        <f>IF($CE15="","",IFERROR(INDEX(_REF_Treatment_Library!$I$2:$I$296,MATCH($CE15,_REF_Treatment_Library!$A$2:$A$296,0)),""))</f>
        <v>Establish baseline controls for Backup / recovery</v>
      </c>
      <c r="CH15" t="str">
        <f>IF($CE15="","",IFERROR(INDEX(_REF_Treatment_Library!$K$2:$K$296,MATCH($CE15,_REF_Treatment_Library!$A$2:$A$296,0)),""))</f>
        <v>Named owner, baseline process, minimum control checklist, first evidence package</v>
      </c>
      <c r="CI15" t="str">
        <f>IF($CE15="","",IFERROR(INDEX(_REF_Treatment_Library!$L$2:$L$296,MATCH($CE15,_REF_Treatment_Library!$A$2:$A$296,0)),""))</f>
        <v>Owner assigned; baseline evidence coverage; open critical gaps</v>
      </c>
      <c r="CJ15" t="str">
        <f t="shared" si="19"/>
        <v>Treatment by capability=CAP_BACKUP_RECOVERY; band=Initial / absent; score=0.0; treatment=Establish</v>
      </c>
      <c r="CK15" t="str">
        <f>IF($A15="","",IFERROR(INDEX(_REF_Industry_Wording!$A$2:$A$70,MATCH(1,INDEX((_REF_Industry_Wording!$B$2:$B$70=$BZ15)*(_REF_Industry_Wording!$C$2:$C$70=PV_Canonical_Industry)*(_REF_Industry_Wording!$K$2:$K$70="Yes"),0),0)),IFERROR(INDEX(_REF_Industry_Wording!$A$2:$A$70,MATCH(1,INDEX((_REF_Industry_Wording!$B$2:$B$70=$BZ15)*(_REF_Industry_Wording!$C$2:$C$70="All")*(_REF_Industry_Wording!$K$2:$K$70="Yes"),0),0)),"")))</f>
        <v>IW-ALL-BACKUP_RECOVERY</v>
      </c>
      <c r="CL15" t="str">
        <f>IF($CK15="","",IFERROR(INDEX(_REF_Industry_Wording!$F$2:$F$70,MATCH($CK15,_REF_Industry_Wording!$A$2:$A$70,0)),""))</f>
        <v>Strengthen Backup / recovery</v>
      </c>
      <c r="CM15" t="str">
        <f>IF($CK15="","",IFERROR(INDEX(_REF_Industry_Wording!$G$2:$G$70,MATCH($CK15,_REF_Industry_Wording!$A$2:$A$70,0)),""))</f>
        <v>Strengthen Backup / recovery using the selected maturity treatment, crisis scenario and evidence requirements.</v>
      </c>
      <c r="CN15" t="str">
        <f>IF($CK15="","",IFERROR(INDEX(_REF_Industry_Wording!$H$2:$H$70,MATCH($CK15,_REF_Industry_Wording!$A$2:$A$70,0)),""))</f>
        <v>Backup / recovery</v>
      </c>
      <c r="CO15">
        <f>IF($CK15="","",IFERROR(INDEX(_REF_Industry_Wording!$I$2:$I$70,MATCH($CK15,_REF_Industry_Wording!$A$2:$A$70,0)),""))</f>
        <v>0</v>
      </c>
      <c r="CP15" t="str">
        <f>IF($CK15="","",IFERROR(INDEX(_REF_Industry_Wording!$J$2:$J$70,MATCH($CK15,_REF_Industry_Wording!$A$2:$A$70,0)),""))</f>
        <v>Backup / recovery</v>
      </c>
      <c r="CQ15" t="str">
        <f t="shared" si="20"/>
        <v>Wording by industry=0; capability=CAP_BACKUP_RECOVERY; title=Strengthen Backup / recovery</v>
      </c>
      <c r="CR15" t="str">
        <f t="shared" si="21"/>
        <v>INIT-ONT-0011</v>
      </c>
      <c r="CS15">
        <f t="shared" si="22"/>
        <v>15</v>
      </c>
      <c r="CT15" t="str">
        <f t="shared" si="23"/>
        <v>CAP_BACKUP_RECOVERY</v>
      </c>
      <c r="CU15" t="str">
        <f t="shared" si="24"/>
        <v>INI-011|HR Workforce|Workforce visibility|CAP_BACKUP_RECOVERY</v>
      </c>
      <c r="CV15" t="str">
        <f t="shared" si="25"/>
        <v>Active</v>
      </c>
      <c r="CW15" t="str">
        <f t="shared" si="26"/>
        <v>OK: capability-driven</v>
      </c>
      <c r="CX15" t="str">
        <f t="shared" si="27"/>
        <v>Initiative ontology uses capability=CAP_BACKUP_RECOVERY; bridge=BRG-042; treatment=TRT-BACKUP_RECOVERY-INITIAL; wording=IW-ALL-BACKUP_RECOVERY</v>
      </c>
    </row>
    <row r="16" spans="1:102" ht="42" customHeight="1">
      <c r="A16" s="17" t="s">
        <v>4032</v>
      </c>
      <c r="B16" s="17" t="s">
        <v>1259</v>
      </c>
      <c r="C16" s="17" t="s">
        <v>1270</v>
      </c>
      <c r="D16" s="17" t="s">
        <v>4020</v>
      </c>
      <c r="E16" s="17" t="s">
        <v>4021</v>
      </c>
      <c r="F16" s="17" t="s">
        <v>4033</v>
      </c>
      <c r="G16" s="17" t="s">
        <v>4034</v>
      </c>
      <c r="H16" s="17" t="s">
        <v>3682</v>
      </c>
      <c r="I16" s="17" t="s">
        <v>4024</v>
      </c>
      <c r="J16" s="17" t="s">
        <v>4035</v>
      </c>
      <c r="K16" s="17">
        <v>6</v>
      </c>
      <c r="L16" s="17">
        <f>IF($A16="","",COUNTIFS(_DATA_RiskInitiativeMap!$A$444:$A$867,$A16,_DATA_RiskInitiativeMap!$G$444:$G$867,"&gt;0"))</f>
        <v>6</v>
      </c>
      <c r="M16" s="17">
        <f>IF($A16="","",COUNTIFS(_DATA_RiskInitiativeMap!$A$444:$A$867,$A16,_DATA_RiskInitiativeMap!$G$444:$G$867,"&gt;0"))</f>
        <v>6</v>
      </c>
      <c r="N16" s="17">
        <f>IFERROR(AVERAGEIFS(_DATA_Assessment_Model!$H$5:$H$428,_DATA_Assessment_Model!$AW$5:$AW$428,$B16,_DATA_Assessment_Model!$B$5:$B$428,$C16),"")</f>
        <v>0</v>
      </c>
      <c r="O16" s="17">
        <f t="shared" si="0"/>
        <v>5</v>
      </c>
      <c r="P16" s="17">
        <f>IFERROR(INDEX(_DATA_Dashboard_Facts!$H$5:$H$21,MATCH($B16,_DATA_Dashboard_Facts!$A$5:$A$21,0)),"")</f>
        <v>0</v>
      </c>
      <c r="Q16" s="17">
        <f t="shared" si="1"/>
        <v>5</v>
      </c>
      <c r="R16" s="17">
        <f>IF(OR('Resilience &amp; Risk Scenario'!$B$6="",'Resilience &amp; Risk Scenario'!$B$7&lt;=0),1,IFERROR(IF(SUMIFS(_ENGINE_Crisis!$D$5:$D$208,_ENGINE_Crisis!$A$5:$A$208,'Resilience &amp; Risk Scenario'!$B$6,_ENGINE_Crisis!$B$5:$B$208,$B16)=0,1,SUMIFS(_ENGINE_Crisis!$D$5:$D$208,_ENGINE_Crisis!$A$5:$A$208,'Resilience &amp; Risk Scenario'!$B$6,_ENGINE_Crisis!$B$5:$B$208,$B16)),1))</f>
        <v>1</v>
      </c>
      <c r="S16" s="17">
        <f>IFERROR(INDEX(_ENGINE_Strategy!$A$100:$A$113,MATCH($D16,_ENGINE_Strategy!$B$100:$B$113,0)),99)</f>
        <v>11</v>
      </c>
      <c r="T16" s="17">
        <f>IFERROR(INDEX(_ENGINE_Strategy!$J$100:$J$113,MATCH($D16,_ENGINE_Strategy!$B$100:$B$113,0)),0)</f>
        <v>66.900000000000006</v>
      </c>
      <c r="U16" s="17">
        <v>3</v>
      </c>
      <c r="V16" s="17">
        <v>5</v>
      </c>
      <c r="W16" s="17">
        <v>4</v>
      </c>
      <c r="X16" s="17">
        <f t="shared" si="2"/>
        <v>4.5862499999999997</v>
      </c>
      <c r="Y16" s="17">
        <f>IF($P16="","",MAX(1,MIN(5,1+N($O16)*0.45+MIN(2,N($M16)*0.3)+($R16-1)*1.2+IF('Resilience &amp; Risk Scenario'!$B$7="",1,'Resilience &amp; Risk Scenario'!$B$7)*0.25)))</f>
        <v>5</v>
      </c>
      <c r="Z16" s="17">
        <f t="shared" si="3"/>
        <v>5</v>
      </c>
      <c r="AA16" s="17">
        <f t="shared" si="4"/>
        <v>3.4035000000000002</v>
      </c>
      <c r="AB16" s="17">
        <v>3</v>
      </c>
      <c r="AC16" s="17">
        <f t="shared" si="5"/>
        <v>1.79</v>
      </c>
      <c r="AD16" s="17">
        <f t="shared" si="6"/>
        <v>20</v>
      </c>
      <c r="AE16" s="17" t="str">
        <f t="shared" si="7"/>
        <v>3-6 months</v>
      </c>
      <c r="AF16" s="17" t="s">
        <v>4026</v>
      </c>
      <c r="AG16" s="17" t="s">
        <v>3963</v>
      </c>
      <c r="AH16" s="17" t="s">
        <v>3931</v>
      </c>
      <c r="AI16" s="17" t="s">
        <v>3932</v>
      </c>
      <c r="AJ16" s="17" t="s">
        <v>4036</v>
      </c>
      <c r="AK16" s="17" t="s">
        <v>4037</v>
      </c>
      <c r="AL16" s="17" t="s">
        <v>4038</v>
      </c>
      <c r="AM16" s="17" t="s">
        <v>4030</v>
      </c>
      <c r="AN16" s="17" t="s">
        <v>3937</v>
      </c>
      <c r="AO16" s="17" t="s">
        <v>3938</v>
      </c>
      <c r="AP16" s="17" t="s">
        <v>546</v>
      </c>
      <c r="AQ16" s="17"/>
      <c r="AR16" s="17"/>
      <c r="AS16" s="14">
        <f>IFERROR((IF(SUMIFS(_REF_Model_Content!$J$1:$J$157,_REF_Model_Content!$A$1:$A$174,PV_Canonical_Industry,_REF_Model_Content!$B$1:$B$174,$B16)=0,1,SUMIFS(_REF_Model_Content!$J$1:$J$157,_REF_Model_Content!$A$1:$A$174,PV_Canonical_Industry,_REF_Model_Content!$B$1:$B$174,$B16))*IFERROR($CA16,1)),1)</f>
        <v>1</v>
      </c>
      <c r="AT16" s="14">
        <f t="shared" si="8"/>
        <v>1.79</v>
      </c>
      <c r="AU16" s="14">
        <f>IF($AT16="","",RANK($AT16,$AT$5:$AT$76,0)+COUNTIF($AT$5:AT16,$AT16)-1)</f>
        <v>20</v>
      </c>
      <c r="AV16" s="14">
        <f>IFERROR(INDEX(_DATA_Dashboard_Facts!$G$300:$G$316,MATCH($B16,_DATA_Dashboard_Facts!$A$300:$A$316,0)),"")</f>
        <v>0</v>
      </c>
      <c r="AW16" s="14" t="str">
        <f t="shared" si="9"/>
        <v>Relevance-neutral priority</v>
      </c>
      <c r="AX16">
        <f>IFERROR(INDEX('Action Plan &amp; Roadmap'!$D$59:$D$130,MATCH($A16,'Action Plan &amp; Roadmap'!$A$59:$A$130,0)),"")</f>
        <v>0</v>
      </c>
      <c r="AY16">
        <f t="shared" si="10"/>
        <v>0</v>
      </c>
      <c r="AZ16" t="s">
        <v>4031</v>
      </c>
      <c r="BA16">
        <f>IF($A16="","",COUNTIF(_DATA_RiskInitiativeMap!$A$1:$A$867,$A16))</f>
        <v>6</v>
      </c>
      <c r="BB16">
        <f>IF($A16="","",IFERROR(AVERAGEIF(_DATA_RiskInitiativeMap!$A$1:$A$867,$A16,_DATA_RiskInitiativeMap!$G$1:$G$867),0))</f>
        <v>20.13</v>
      </c>
      <c r="BC16">
        <f t="shared" si="11"/>
        <v>4.8</v>
      </c>
      <c r="BD16">
        <f t="shared" si="12"/>
        <v>4.6190999999999995</v>
      </c>
      <c r="BI16" s="17" t="str">
        <f>IFERROR(_CONFIG_Model_Settings!$B$103,"Adaptive")</f>
        <v>Fragile</v>
      </c>
      <c r="BJ16" s="17">
        <f>IFERROR(INDEX(_CONFIG_Model_Settings!$B$109:$B$113,MATCH($BI16,_CONFIG_Model_Settings!$A$109:$A$113,0)),0.3)</f>
        <v>0.2</v>
      </c>
      <c r="BK16" s="17">
        <f>IFERROR(INDEX(_CONFIG_Model_Settings!$C$109:$C$113,MATCH($BI16,_CONFIG_Model_Settings!$A$109:$A$113,0)),0.2)</f>
        <v>0.3</v>
      </c>
      <c r="BL16" s="17">
        <f>IFERROR(INDEX(_CONFIG_Model_Settings!$D$109:$D$113,MATCH($BI16,_CONFIG_Model_Settings!$A$109:$A$113,0)),0.25)</f>
        <v>0.4</v>
      </c>
      <c r="BM16" s="17">
        <f>IFERROR(INDEX(_CONFIG_Model_Settings!$E$109:$E$113,MATCH($BI16,_CONFIG_Model_Settings!$A$109:$A$113,0)),0.25)</f>
        <v>0.1</v>
      </c>
      <c r="BN16" s="17">
        <f>IFERROR(INDEX(_CONFIG_Model_Settings!$B$117:$B$123,MATCH(_CONFIG_Model_Settings!$B$104,_CONFIG_Model_Settings!$A$117:$A$123,0)),1)</f>
        <v>1</v>
      </c>
      <c r="BO16" s="17">
        <f>IFERROR(INDEX(_CONFIG_Model_Settings!$C$117:$C$123,MATCH(_CONFIG_Model_Settings!$B$104,_CONFIG_Model_Settings!$A$117:$A$123,0)),1)</f>
        <v>1</v>
      </c>
      <c r="BP16" s="17">
        <f>IFERROR(INDEX(_CONFIG_Model_Settings!$D$117:$D$123,MATCH(_CONFIG_Model_Settings!$B$104,_CONFIG_Model_Settings!$A$117:$A$123,0)),1)</f>
        <v>1</v>
      </c>
      <c r="BQ16" s="17">
        <f>IFERROR(INDEX(_CONFIG_Model_Settings!$E$117:$E$123,MATCH(_CONFIG_Model_Settings!$B$104,_CONFIG_Model_Settings!$A$117:$A$123,0)),1)</f>
        <v>1</v>
      </c>
      <c r="BR16" s="17">
        <f>IF(OR($A16="",$P16=""),"",MIN(5,IFERROR(SUMIF(_DATA_RiskInitiativeMap!$A$1:$A$867,$A16,_DATA_RiskInitiativeMap!$K$1:$K$867)/MAX(1,_CONFIG_Model_Settings!$B$166),0)))</f>
        <v>5</v>
      </c>
      <c r="BS16" s="17">
        <f t="shared" si="13"/>
        <v>5.36</v>
      </c>
      <c r="BT16" s="17">
        <f t="shared" si="14"/>
        <v>3</v>
      </c>
      <c r="BU16" s="17">
        <f t="shared" si="15"/>
        <v>1.79</v>
      </c>
      <c r="BV16" s="17">
        <f>IF(OR($P16="",$BU16="",$AY16="Done",$AY16="Not applicable"),"",ROUND($BU16*N($AS16)*IF(OR('Resilience &amp; Risk Scenario'!$B$6="",'Resilience &amp; Risk Scenario'!$B$7&lt;=0),1,IFERROR(1+MIN(0.75,INDEX('Resilience &amp; Risk Scenario'!$E$21:$E$37,MATCH($B16,'Resilience &amp; Risk Scenario'!$B$21:$B$37,0))/10),1)),2))</f>
        <v>1.79</v>
      </c>
      <c r="BW16" s="17">
        <f>IF($BV16="","",RANK($BV16,$BV$5:$BV$76,0)+COUNTIF($BV$5:$BV16,$BV16)-1)</f>
        <v>20</v>
      </c>
      <c r="BX16" s="17" t="str">
        <f t="shared" si="16"/>
        <v>3-6 months</v>
      </c>
      <c r="BY16" t="str">
        <f>IFERROR(IF($A16="","","P2: "&amp;$BI16&amp;" posture; objective="&amp;IF(_CONFIG_Model_Settings!$B$104="","Neutral/default",_CONFIG_Model_Settings!$B$104)&amp;"; relevance="&amp;ROUND(N($AS16),2)&amp;"; scenario/domain boost="&amp;ROUND(IF(OR('Resilience &amp; Risk Scenario'!$B$6="",'Resilience &amp; Risk Scenario'!$B$7&lt;=0),1,IFERROR(1+MIN(0.75,INDEX('Resilience &amp; Risk Scenario'!$E$21:$E$37,MATCH($B16,'Resilience &amp; Risk Scenario'!$B$21:$B$37,0))/10),1)),2)&amp;"; financial score="&amp;ROUND(N($BR16),1)&amp;"; CoD="&amp;$BS16&amp;IF($CL16&lt;&gt;"","; wording="&amp;$CL16,"")),"")</f>
        <v>P2: Fragile posture; objective=Neutral/default; relevance=1; scenario/domain boost=1; financial score=5; CoD=5.36; wording=Strengthen SRE / Observability</v>
      </c>
      <c r="BZ16" t="str">
        <f>IFERROR(INDEX(_REF_Capability_Bridge!$D:$D,MATCH($B16&amp;"|"&amp;$C16,_REF_Capability_Bridge!$J:$J,0)),IFERROR(INDEX(_REF_Capability_Bridge!$D:$D,MATCH($B16&amp;"|",_REF_Capability_Bridge!$J:$J,0)),"CAP_GENERIC"))</f>
        <v>CAP_SRE_OBSERVABILITY</v>
      </c>
      <c r="CA16">
        <f>IFERROR(IFERROR(INDEX(_ENGINE_Relevance!$L:$L,MATCH($BZ16,_ENGINE_Relevance!$B:$B,0)),1),1)</f>
        <v>1</v>
      </c>
      <c r="CB16" t="str">
        <f>IFERROR(INDEX(_REF_Capability_Bridge!$A:$A,MATCH($B16&amp;"|"&amp;$C16,_REF_Capability_Bridge!$J:$J,0)),IFERROR(INDEX(_REF_Capability_Bridge!$A:$A,MATCH($B16&amp;"|",_REF_Capability_Bridge!$J:$J,0)),"No bridge"))</f>
        <v>BRG-041</v>
      </c>
      <c r="CC16" t="str">
        <f t="shared" si="17"/>
        <v>Capability relevance neutral</v>
      </c>
      <c r="CD16" t="str">
        <f t="shared" si="18"/>
        <v>Initial / absent</v>
      </c>
      <c r="CE16" t="str">
        <f>IF($A16="","",IFERROR(INDEX(_REF_Treatment_Library!$A$2:$A$296,MATCH(1,INDEX((_REF_Treatment_Library!$B$2:$B$296=$BZ16)*(_REF_Treatment_Library!$C$2:$C$296=PV_Canonical_Industry)*(_REF_Treatment_Library!$E$2:$E$296&lt;=N($N16))*(_REF_Treatment_Library!$F$2:$F$296&gt;=N($N16))*(_REF_Treatment_Library!$O$2:$O$296="Yes"),0),0)),IFERROR(INDEX(_REF_Treatment_Library!$A$2:$A$296,MATCH(1,INDEX((_REF_Treatment_Library!$B$2:$B$296=$BZ16)*(_REF_Treatment_Library!$C$2:$C$296="All")*(_REF_Treatment_Library!$E$2:$E$296&lt;=N($N16))*(_REF_Treatment_Library!$F$2:$F$296&gt;=N($N16))*(_REF_Treatment_Library!$O$2:$O$296="Yes"),0),0)),"")))</f>
        <v>TRT-SRE_OBSERVABILITY-INITIAL</v>
      </c>
      <c r="CF16" t="str">
        <f>IF($CE16="","",IFERROR(INDEX(_REF_Treatment_Library!$H$2:$H$296,MATCH($CE16,_REF_Treatment_Library!$A$2:$A$296,0)),""))</f>
        <v>Establish</v>
      </c>
      <c r="CG16" t="str">
        <f>IF($CE16="","",IFERROR(INDEX(_REF_Treatment_Library!$I$2:$I$296,MATCH($CE16,_REF_Treatment_Library!$A$2:$A$296,0)),""))</f>
        <v>Establish baseline controls for SRE / Observability</v>
      </c>
      <c r="CH16" t="str">
        <f>IF($CE16="","",IFERROR(INDEX(_REF_Treatment_Library!$K$2:$K$296,MATCH($CE16,_REF_Treatment_Library!$A$2:$A$296,0)),""))</f>
        <v>Named owner, baseline process, minimum control checklist, first evidence package</v>
      </c>
      <c r="CI16" t="str">
        <f>IF($CE16="","",IFERROR(INDEX(_REF_Treatment_Library!$L$2:$L$296,MATCH($CE16,_REF_Treatment_Library!$A$2:$A$296,0)),""))</f>
        <v>Owner assigned; baseline evidence coverage; open critical gaps</v>
      </c>
      <c r="CJ16" t="str">
        <f t="shared" si="19"/>
        <v>Treatment by capability=CAP_SRE_OBSERVABILITY; band=Initial / absent; score=0.0; treatment=Establish</v>
      </c>
      <c r="CK16" t="str">
        <f>IF($A16="","",IFERROR(INDEX(_REF_Industry_Wording!$A$2:$A$70,MATCH(1,INDEX((_REF_Industry_Wording!$B$2:$B$70=$BZ16)*(_REF_Industry_Wording!$C$2:$C$70=PV_Canonical_Industry)*(_REF_Industry_Wording!$K$2:$K$70="Yes"),0),0)),IFERROR(INDEX(_REF_Industry_Wording!$A$2:$A$70,MATCH(1,INDEX((_REF_Industry_Wording!$B$2:$B$70=$BZ16)*(_REF_Industry_Wording!$C$2:$C$70="All")*(_REF_Industry_Wording!$K$2:$K$70="Yes"),0),0)),"")))</f>
        <v>IW-ALL-SRE_OBSERVABILITY</v>
      </c>
      <c r="CL16" t="str">
        <f>IF($CK16="","",IFERROR(INDEX(_REF_Industry_Wording!$F$2:$F$70,MATCH($CK16,_REF_Industry_Wording!$A$2:$A$70,0)),""))</f>
        <v>Strengthen SRE / Observability</v>
      </c>
      <c r="CM16" t="str">
        <f>IF($CK16="","",IFERROR(INDEX(_REF_Industry_Wording!$G$2:$G$70,MATCH($CK16,_REF_Industry_Wording!$A$2:$A$70,0)),""))</f>
        <v>Strengthen SRE / Observability using the selected maturity treatment, crisis scenario and evidence requirements.</v>
      </c>
      <c r="CN16" t="str">
        <f>IF($CK16="","",IFERROR(INDEX(_REF_Industry_Wording!$H$2:$H$70,MATCH($CK16,_REF_Industry_Wording!$A$2:$A$70,0)),""))</f>
        <v>SRE / Observability</v>
      </c>
      <c r="CO16">
        <f>IF($CK16="","",IFERROR(INDEX(_REF_Industry_Wording!$I$2:$I$70,MATCH($CK16,_REF_Industry_Wording!$A$2:$A$70,0)),""))</f>
        <v>0</v>
      </c>
      <c r="CP16" t="str">
        <f>IF($CK16="","",IFERROR(INDEX(_REF_Industry_Wording!$J$2:$J$70,MATCH($CK16,_REF_Industry_Wording!$A$2:$A$70,0)),""))</f>
        <v>SRE / Observability</v>
      </c>
      <c r="CQ16" t="str">
        <f t="shared" si="20"/>
        <v>Wording by industry=0; capability=CAP_SRE_OBSERVABILITY; title=Strengthen SRE / Observability</v>
      </c>
      <c r="CR16" t="str">
        <f t="shared" si="21"/>
        <v>INIT-ONT-0012</v>
      </c>
      <c r="CS16">
        <f t="shared" si="22"/>
        <v>16</v>
      </c>
      <c r="CT16" t="str">
        <f t="shared" si="23"/>
        <v>CAP_SRE_OBSERVABILITY</v>
      </c>
      <c r="CU16" t="str">
        <f t="shared" si="24"/>
        <v>INI-012|HR Workforce|Recruitment and retention|CAP_SRE_OBSERVABILITY</v>
      </c>
      <c r="CV16" t="str">
        <f t="shared" si="25"/>
        <v>Active</v>
      </c>
      <c r="CW16" t="str">
        <f t="shared" si="26"/>
        <v>OK: capability-driven</v>
      </c>
      <c r="CX16" t="str">
        <f t="shared" si="27"/>
        <v>Initiative ontology uses capability=CAP_SRE_OBSERVABILITY; bridge=BRG-041; treatment=TRT-SRE_OBSERVABILITY-INITIAL; wording=IW-ALL-SRE_OBSERVABILITY</v>
      </c>
    </row>
    <row r="17" spans="1:102" ht="42" customHeight="1">
      <c r="A17" s="17" t="s">
        <v>4039</v>
      </c>
      <c r="B17" s="17" t="s">
        <v>1259</v>
      </c>
      <c r="C17" s="17" t="s">
        <v>1274</v>
      </c>
      <c r="D17" s="17" t="s">
        <v>4020</v>
      </c>
      <c r="E17" s="17" t="s">
        <v>4021</v>
      </c>
      <c r="F17" s="17" t="s">
        <v>4040</v>
      </c>
      <c r="G17" s="17" t="s">
        <v>4041</v>
      </c>
      <c r="H17" s="17" t="s">
        <v>3682</v>
      </c>
      <c r="I17" s="17" t="s">
        <v>4024</v>
      </c>
      <c r="J17" s="17" t="s">
        <v>4042</v>
      </c>
      <c r="K17" s="17">
        <v>7</v>
      </c>
      <c r="L17" s="17">
        <f>IF($A17="","",COUNTIFS(_DATA_RiskInitiativeMap!$A$444:$A$867,$A17,_DATA_RiskInitiativeMap!$G$444:$G$867,"&gt;0"))</f>
        <v>8</v>
      </c>
      <c r="M17" s="17">
        <f>IF($A17="","",COUNTIFS(_DATA_RiskInitiativeMap!$A$444:$A$867,$A17,_DATA_RiskInitiativeMap!$G$444:$G$867,"&gt;0"))</f>
        <v>8</v>
      </c>
      <c r="N17" s="17">
        <f>IFERROR(AVERAGEIFS(_DATA_Assessment_Model!$H$5:$H$428,_DATA_Assessment_Model!$AW$5:$AW$428,$B17,_DATA_Assessment_Model!$B$5:$B$428,$C17),"")</f>
        <v>0</v>
      </c>
      <c r="O17" s="17">
        <f t="shared" si="0"/>
        <v>5</v>
      </c>
      <c r="P17" s="17">
        <f>IFERROR(INDEX(_DATA_Dashboard_Facts!$H$5:$H$21,MATCH($B17,_DATA_Dashboard_Facts!$A$5:$A$21,0)),"")</f>
        <v>0</v>
      </c>
      <c r="Q17" s="17">
        <f t="shared" si="1"/>
        <v>5</v>
      </c>
      <c r="R17" s="17">
        <f>IF(OR('Resilience &amp; Risk Scenario'!$B$6="",'Resilience &amp; Risk Scenario'!$B$7&lt;=0),1,IFERROR(IF(SUMIFS(_ENGINE_Crisis!$D$5:$D$208,_ENGINE_Crisis!$A$5:$A$208,'Resilience &amp; Risk Scenario'!$B$6,_ENGINE_Crisis!$B$5:$B$208,$B17)=0,1,SUMIFS(_ENGINE_Crisis!$D$5:$D$208,_ENGINE_Crisis!$A$5:$A$208,'Resilience &amp; Risk Scenario'!$B$6,_ENGINE_Crisis!$B$5:$B$208,$B17)),1))</f>
        <v>1</v>
      </c>
      <c r="S17" s="17">
        <f>IFERROR(INDEX(_ENGINE_Strategy!$A$100:$A$113,MATCH($D17,_ENGINE_Strategy!$B$100:$B$113,0)),99)</f>
        <v>11</v>
      </c>
      <c r="T17" s="17">
        <f>IFERROR(INDEX(_ENGINE_Strategy!$J$100:$J$113,MATCH($D17,_ENGINE_Strategy!$B$100:$B$113,0)),0)</f>
        <v>66.900000000000006</v>
      </c>
      <c r="U17" s="17">
        <v>3</v>
      </c>
      <c r="V17" s="17">
        <v>5</v>
      </c>
      <c r="W17" s="17">
        <v>4</v>
      </c>
      <c r="X17" s="17">
        <f t="shared" si="2"/>
        <v>4.5862499999999997</v>
      </c>
      <c r="Y17" s="17">
        <f>IF($P17="","",MAX(1,MIN(5,1+N($O17)*0.45+MIN(2,N($M17)*0.3)+($R17-1)*1.2+IF('Resilience &amp; Risk Scenario'!$B$7="",1,'Resilience &amp; Risk Scenario'!$B$7)*0.25)))</f>
        <v>5</v>
      </c>
      <c r="Z17" s="17">
        <f t="shared" si="3"/>
        <v>5</v>
      </c>
      <c r="AA17" s="17">
        <f t="shared" si="4"/>
        <v>3.4035000000000002</v>
      </c>
      <c r="AB17" s="17">
        <v>3</v>
      </c>
      <c r="AC17" s="17">
        <f t="shared" si="5"/>
        <v>1.78</v>
      </c>
      <c r="AD17" s="17">
        <f t="shared" si="6"/>
        <v>26</v>
      </c>
      <c r="AE17" s="17" t="str">
        <f t="shared" si="7"/>
        <v>3-6 months</v>
      </c>
      <c r="AF17" s="17" t="s">
        <v>4026</v>
      </c>
      <c r="AG17" s="17" t="s">
        <v>3963</v>
      </c>
      <c r="AH17" s="17" t="s">
        <v>3931</v>
      </c>
      <c r="AI17" s="17" t="s">
        <v>3932</v>
      </c>
      <c r="AJ17" s="17" t="s">
        <v>4043</v>
      </c>
      <c r="AK17" s="17" t="s">
        <v>4044</v>
      </c>
      <c r="AL17" s="17" t="s">
        <v>4045</v>
      </c>
      <c r="AM17" s="17" t="s">
        <v>4030</v>
      </c>
      <c r="AN17" s="17" t="s">
        <v>3937</v>
      </c>
      <c r="AO17" s="17" t="s">
        <v>3938</v>
      </c>
      <c r="AP17" s="17" t="s">
        <v>546</v>
      </c>
      <c r="AQ17" s="17"/>
      <c r="AR17" s="17"/>
      <c r="AS17" s="14">
        <f>IFERROR((IF(SUMIFS(_REF_Model_Content!$J$1:$J$157,_REF_Model_Content!$A$1:$A$174,PV_Canonical_Industry,_REF_Model_Content!$B$1:$B$174,$B17)=0,1,SUMIFS(_REF_Model_Content!$J$1:$J$157,_REF_Model_Content!$A$1:$A$174,PV_Canonical_Industry,_REF_Model_Content!$B$1:$B$174,$B17))*IFERROR($CA17,1)),1)</f>
        <v>1</v>
      </c>
      <c r="AT17" s="14">
        <f t="shared" si="8"/>
        <v>1.78</v>
      </c>
      <c r="AU17" s="14">
        <f>IF($AT17="","",RANK($AT17,$AT$5:$AT$76,0)+COUNTIF($AT$5:AT17,$AT17)-1)</f>
        <v>26</v>
      </c>
      <c r="AV17" s="14">
        <f>IFERROR(INDEX(_DATA_Dashboard_Facts!$G$300:$G$316,MATCH($B17,_DATA_Dashboard_Facts!$A$300:$A$316,0)),"")</f>
        <v>0</v>
      </c>
      <c r="AW17" s="14" t="str">
        <f t="shared" si="9"/>
        <v>Relevance-neutral priority</v>
      </c>
      <c r="AX17">
        <f>IFERROR(INDEX('Action Plan &amp; Roadmap'!$D$59:$D$130,MATCH($A17,'Action Plan &amp; Roadmap'!$A$59:$A$130,0)),"")</f>
        <v>0</v>
      </c>
      <c r="AY17">
        <f t="shared" si="10"/>
        <v>0</v>
      </c>
      <c r="AZ17" t="s">
        <v>4031</v>
      </c>
      <c r="BA17">
        <f>IF($A17="","",COUNTIF(_DATA_RiskInitiativeMap!$A$1:$A$867,$A17))</f>
        <v>8</v>
      </c>
      <c r="BB17">
        <f>IF($A17="","",IFERROR(AVERAGEIF(_DATA_RiskInitiativeMap!$A$1:$A$867,$A17,_DATA_RiskInitiativeMap!$G$1:$G$867),0))</f>
        <v>19.057500000000001</v>
      </c>
      <c r="BC17">
        <f t="shared" si="11"/>
        <v>4.8</v>
      </c>
      <c r="BD17">
        <f t="shared" si="12"/>
        <v>4.5440249999999995</v>
      </c>
      <c r="BI17" s="17" t="str">
        <f>IFERROR(_CONFIG_Model_Settings!$B$103,"Adaptive")</f>
        <v>Fragile</v>
      </c>
      <c r="BJ17" s="17">
        <f>IFERROR(INDEX(_CONFIG_Model_Settings!$B$109:$B$113,MATCH($BI17,_CONFIG_Model_Settings!$A$109:$A$113,0)),0.3)</f>
        <v>0.2</v>
      </c>
      <c r="BK17" s="17">
        <f>IFERROR(INDEX(_CONFIG_Model_Settings!$C$109:$C$113,MATCH($BI17,_CONFIG_Model_Settings!$A$109:$A$113,0)),0.2)</f>
        <v>0.3</v>
      </c>
      <c r="BL17" s="17">
        <f>IFERROR(INDEX(_CONFIG_Model_Settings!$D$109:$D$113,MATCH($BI17,_CONFIG_Model_Settings!$A$109:$A$113,0)),0.25)</f>
        <v>0.4</v>
      </c>
      <c r="BM17" s="17">
        <f>IFERROR(INDEX(_CONFIG_Model_Settings!$E$109:$E$113,MATCH($BI17,_CONFIG_Model_Settings!$A$109:$A$113,0)),0.25)</f>
        <v>0.1</v>
      </c>
      <c r="BN17" s="17">
        <f>IFERROR(INDEX(_CONFIG_Model_Settings!$B$117:$B$123,MATCH(_CONFIG_Model_Settings!$B$104,_CONFIG_Model_Settings!$A$117:$A$123,0)),1)</f>
        <v>1</v>
      </c>
      <c r="BO17" s="17">
        <f>IFERROR(INDEX(_CONFIG_Model_Settings!$C$117:$C$123,MATCH(_CONFIG_Model_Settings!$B$104,_CONFIG_Model_Settings!$A$117:$A$123,0)),1)</f>
        <v>1</v>
      </c>
      <c r="BP17" s="17">
        <f>IFERROR(INDEX(_CONFIG_Model_Settings!$D$117:$D$123,MATCH(_CONFIG_Model_Settings!$B$104,_CONFIG_Model_Settings!$A$117:$A$123,0)),1)</f>
        <v>1</v>
      </c>
      <c r="BQ17" s="17">
        <f>IFERROR(INDEX(_CONFIG_Model_Settings!$E$117:$E$123,MATCH(_CONFIG_Model_Settings!$B$104,_CONFIG_Model_Settings!$A$117:$A$123,0)),1)</f>
        <v>1</v>
      </c>
      <c r="BR17" s="17">
        <f>IF(OR($A17="",$P17=""),"",MIN(5,IFERROR(SUMIF(_DATA_RiskInitiativeMap!$A$1:$A$867,$A17,_DATA_RiskInitiativeMap!$K$1:$K$867)/MAX(1,_CONFIG_Model_Settings!$B$166),0)))</f>
        <v>5</v>
      </c>
      <c r="BS17" s="17">
        <f t="shared" si="13"/>
        <v>5.33</v>
      </c>
      <c r="BT17" s="17">
        <f t="shared" si="14"/>
        <v>3</v>
      </c>
      <c r="BU17" s="17">
        <f t="shared" si="15"/>
        <v>1.78</v>
      </c>
      <c r="BV17" s="17">
        <f>IF(OR($P17="",$BU17="",$AY17="Done",$AY17="Not applicable"),"",ROUND($BU17*N($AS17)*IF(OR('Resilience &amp; Risk Scenario'!$B$6="",'Resilience &amp; Risk Scenario'!$B$7&lt;=0),1,IFERROR(1+MIN(0.75,INDEX('Resilience &amp; Risk Scenario'!$E$21:$E$37,MATCH($B17,'Resilience &amp; Risk Scenario'!$B$21:$B$37,0))/10),1)),2))</f>
        <v>1.78</v>
      </c>
      <c r="BW17" s="17">
        <f>IF($BV17="","",RANK($BV17,$BV$5:$BV$76,0)+COUNTIF($BV$5:$BV17,$BV17)-1)</f>
        <v>26</v>
      </c>
      <c r="BX17" s="17" t="str">
        <f t="shared" si="16"/>
        <v>3-6 months</v>
      </c>
      <c r="BY17" t="str">
        <f>IFERROR(IF($A17="","","P2: "&amp;$BI17&amp;" posture; objective="&amp;IF(_CONFIG_Model_Settings!$B$104="","Neutral/default",_CONFIG_Model_Settings!$B$104)&amp;"; relevance="&amp;ROUND(N($AS17),2)&amp;"; scenario/domain boost="&amp;ROUND(IF(OR('Resilience &amp; Risk Scenario'!$B$6="",'Resilience &amp; Risk Scenario'!$B$7&lt;=0),1,IFERROR(1+MIN(0.75,INDEX('Resilience &amp; Risk Scenario'!$E$21:$E$37,MATCH($B17,'Resilience &amp; Risk Scenario'!$B$21:$B$37,0))/10),1)),2)&amp;"; financial score="&amp;ROUND(N($BR17),1)&amp;"; CoD="&amp;$BS17&amp;IF($CL17&lt;&gt;"","; wording="&amp;$CL17,"")),"")</f>
        <v>P2: Fragile posture; objective=Neutral/default; relevance=1; scenario/domain boost=1; financial score=5; CoD=5.33; wording=Strengthen Backup / recovery</v>
      </c>
      <c r="BZ17" t="str">
        <f>IFERROR(INDEX(_REF_Capability_Bridge!$D:$D,MATCH($B17&amp;"|"&amp;$C17,_REF_Capability_Bridge!$J:$J,0)),IFERROR(INDEX(_REF_Capability_Bridge!$D:$D,MATCH($B17&amp;"|",_REF_Capability_Bridge!$J:$J,0)),"CAP_GENERIC"))</f>
        <v>CAP_BACKUP_RECOVERY</v>
      </c>
      <c r="CA17">
        <f>IFERROR(IFERROR(INDEX(_ENGINE_Relevance!$L:$L,MATCH($BZ17,_ENGINE_Relevance!$B:$B,0)),1),1)</f>
        <v>1</v>
      </c>
      <c r="CB17" t="str">
        <f>IFERROR(INDEX(_REF_Capability_Bridge!$A:$A,MATCH($B17&amp;"|"&amp;$C17,_REF_Capability_Bridge!$J:$J,0)),IFERROR(INDEX(_REF_Capability_Bridge!$A:$A,MATCH($B17&amp;"|",_REF_Capability_Bridge!$J:$J,0)),"No bridge"))</f>
        <v>BRG-039</v>
      </c>
      <c r="CC17" t="str">
        <f t="shared" si="17"/>
        <v>Capability relevance neutral</v>
      </c>
      <c r="CD17" t="str">
        <f t="shared" si="18"/>
        <v>Initial / absent</v>
      </c>
      <c r="CE17" t="str">
        <f>IF($A17="","",IFERROR(INDEX(_REF_Treatment_Library!$A$2:$A$296,MATCH(1,INDEX((_REF_Treatment_Library!$B$2:$B$296=$BZ17)*(_REF_Treatment_Library!$C$2:$C$296=PV_Canonical_Industry)*(_REF_Treatment_Library!$E$2:$E$296&lt;=N($N17))*(_REF_Treatment_Library!$F$2:$F$296&gt;=N($N17))*(_REF_Treatment_Library!$O$2:$O$296="Yes"),0),0)),IFERROR(INDEX(_REF_Treatment_Library!$A$2:$A$296,MATCH(1,INDEX((_REF_Treatment_Library!$B$2:$B$296=$BZ17)*(_REF_Treatment_Library!$C$2:$C$296="All")*(_REF_Treatment_Library!$E$2:$E$296&lt;=N($N17))*(_REF_Treatment_Library!$F$2:$F$296&gt;=N($N17))*(_REF_Treatment_Library!$O$2:$O$296="Yes"),0),0)),"")))</f>
        <v>TRT-BACKUP_RECOVERY-INITIAL</v>
      </c>
      <c r="CF17" t="str">
        <f>IF($CE17="","",IFERROR(INDEX(_REF_Treatment_Library!$H$2:$H$296,MATCH($CE17,_REF_Treatment_Library!$A$2:$A$296,0)),""))</f>
        <v>Establish</v>
      </c>
      <c r="CG17" t="str">
        <f>IF($CE17="","",IFERROR(INDEX(_REF_Treatment_Library!$I$2:$I$296,MATCH($CE17,_REF_Treatment_Library!$A$2:$A$296,0)),""))</f>
        <v>Establish baseline controls for Backup / recovery</v>
      </c>
      <c r="CH17" t="str">
        <f>IF($CE17="","",IFERROR(INDEX(_REF_Treatment_Library!$K$2:$K$296,MATCH($CE17,_REF_Treatment_Library!$A$2:$A$296,0)),""))</f>
        <v>Named owner, baseline process, minimum control checklist, first evidence package</v>
      </c>
      <c r="CI17" t="str">
        <f>IF($CE17="","",IFERROR(INDEX(_REF_Treatment_Library!$L$2:$L$296,MATCH($CE17,_REF_Treatment_Library!$A$2:$A$296,0)),""))</f>
        <v>Owner assigned; baseline evidence coverage; open critical gaps</v>
      </c>
      <c r="CJ17" t="str">
        <f t="shared" si="19"/>
        <v>Treatment by capability=CAP_BACKUP_RECOVERY; band=Initial / absent; score=0.0; treatment=Establish</v>
      </c>
      <c r="CK17" t="str">
        <f>IF($A17="","",IFERROR(INDEX(_REF_Industry_Wording!$A$2:$A$70,MATCH(1,INDEX((_REF_Industry_Wording!$B$2:$B$70=$BZ17)*(_REF_Industry_Wording!$C$2:$C$70=PV_Canonical_Industry)*(_REF_Industry_Wording!$K$2:$K$70="Yes"),0),0)),IFERROR(INDEX(_REF_Industry_Wording!$A$2:$A$70,MATCH(1,INDEX((_REF_Industry_Wording!$B$2:$B$70=$BZ17)*(_REF_Industry_Wording!$C$2:$C$70="All")*(_REF_Industry_Wording!$K$2:$K$70="Yes"),0),0)),"")))</f>
        <v>IW-ALL-BACKUP_RECOVERY</v>
      </c>
      <c r="CL17" t="str">
        <f>IF($CK17="","",IFERROR(INDEX(_REF_Industry_Wording!$F$2:$F$70,MATCH($CK17,_REF_Industry_Wording!$A$2:$A$70,0)),""))</f>
        <v>Strengthen Backup / recovery</v>
      </c>
      <c r="CM17" t="str">
        <f>IF($CK17="","",IFERROR(INDEX(_REF_Industry_Wording!$G$2:$G$70,MATCH($CK17,_REF_Industry_Wording!$A$2:$A$70,0)),""))</f>
        <v>Strengthen Backup / recovery using the selected maturity treatment, crisis scenario and evidence requirements.</v>
      </c>
      <c r="CN17" t="str">
        <f>IF($CK17="","",IFERROR(INDEX(_REF_Industry_Wording!$H$2:$H$70,MATCH($CK17,_REF_Industry_Wording!$A$2:$A$70,0)),""))</f>
        <v>Backup / recovery</v>
      </c>
      <c r="CO17">
        <f>IF($CK17="","",IFERROR(INDEX(_REF_Industry_Wording!$I$2:$I$70,MATCH($CK17,_REF_Industry_Wording!$A$2:$A$70,0)),""))</f>
        <v>0</v>
      </c>
      <c r="CP17" t="str">
        <f>IF($CK17="","",IFERROR(INDEX(_REF_Industry_Wording!$J$2:$J$70,MATCH($CK17,_REF_Industry_Wording!$A$2:$A$70,0)),""))</f>
        <v>Backup / recovery</v>
      </c>
      <c r="CQ17" t="str">
        <f t="shared" si="20"/>
        <v>Wording by industry=0; capability=CAP_BACKUP_RECOVERY; title=Strengthen Backup / recovery</v>
      </c>
      <c r="CR17" t="str">
        <f t="shared" si="21"/>
        <v>INIT-ONT-0013</v>
      </c>
      <c r="CS17">
        <f t="shared" si="22"/>
        <v>17</v>
      </c>
      <c r="CT17" t="str">
        <f t="shared" si="23"/>
        <v>CAP_BACKUP_RECOVERY</v>
      </c>
      <c r="CU17" t="str">
        <f t="shared" si="24"/>
        <v>INI-013|HR Workforce|Continuity and wellbeing|CAP_BACKUP_RECOVERY</v>
      </c>
      <c r="CV17" t="str">
        <f t="shared" si="25"/>
        <v>Active</v>
      </c>
      <c r="CW17" t="str">
        <f t="shared" si="26"/>
        <v>OK: capability-driven</v>
      </c>
      <c r="CX17" t="str">
        <f t="shared" si="27"/>
        <v>Initiative ontology uses capability=CAP_BACKUP_RECOVERY; bridge=BRG-039; treatment=TRT-BACKUP_RECOVERY-INITIAL; wording=IW-ALL-BACKUP_RECOVERY</v>
      </c>
    </row>
    <row r="18" spans="1:102" ht="42" customHeight="1">
      <c r="A18" s="17" t="s">
        <v>4046</v>
      </c>
      <c r="B18" s="17" t="s">
        <v>1259</v>
      </c>
      <c r="C18" s="17" t="s">
        <v>1278</v>
      </c>
      <c r="D18" s="17" t="s">
        <v>4020</v>
      </c>
      <c r="E18" s="17" t="s">
        <v>4021</v>
      </c>
      <c r="F18" s="17" t="s">
        <v>4047</v>
      </c>
      <c r="G18" s="17" t="s">
        <v>4048</v>
      </c>
      <c r="H18" s="17" t="s">
        <v>3682</v>
      </c>
      <c r="I18" s="17" t="s">
        <v>4024</v>
      </c>
      <c r="J18" s="17" t="s">
        <v>4049</v>
      </c>
      <c r="K18" s="17">
        <v>3</v>
      </c>
      <c r="L18" s="17">
        <f>IF($A18="","",COUNTIFS(_DATA_RiskInitiativeMap!$A$444:$A$867,$A18,_DATA_RiskInitiativeMap!$G$444:$G$867,"&gt;0"))</f>
        <v>5</v>
      </c>
      <c r="M18" s="17">
        <f>IF($A18="","",COUNTIFS(_DATA_RiskInitiativeMap!$A$444:$A$867,$A18,_DATA_RiskInitiativeMap!$G$444:$G$867,"&gt;0"))</f>
        <v>5</v>
      </c>
      <c r="N18" s="17">
        <f>IFERROR(AVERAGEIFS(_DATA_Assessment_Model!$H$5:$H$428,_DATA_Assessment_Model!$AW$5:$AW$428,$B18,_DATA_Assessment_Model!$B$5:$B$428,$C18),"")</f>
        <v>0</v>
      </c>
      <c r="O18" s="17">
        <f t="shared" si="0"/>
        <v>5</v>
      </c>
      <c r="P18" s="17">
        <f>IFERROR(INDEX(_DATA_Dashboard_Facts!$H$5:$H$21,MATCH($B18,_DATA_Dashboard_Facts!$A$5:$A$21,0)),"")</f>
        <v>0</v>
      </c>
      <c r="Q18" s="17">
        <f t="shared" si="1"/>
        <v>5</v>
      </c>
      <c r="R18" s="17">
        <f>IF(OR('Resilience &amp; Risk Scenario'!$B$6="",'Resilience &amp; Risk Scenario'!$B$7&lt;=0),1,IFERROR(IF(SUMIFS(_ENGINE_Crisis!$D$5:$D$208,_ENGINE_Crisis!$A$5:$A$208,'Resilience &amp; Risk Scenario'!$B$6,_ENGINE_Crisis!$B$5:$B$208,$B18)=0,1,SUMIFS(_ENGINE_Crisis!$D$5:$D$208,_ENGINE_Crisis!$A$5:$A$208,'Resilience &amp; Risk Scenario'!$B$6,_ENGINE_Crisis!$B$5:$B$208,$B18)),1))</f>
        <v>1</v>
      </c>
      <c r="S18" s="17">
        <f>IFERROR(INDEX(_ENGINE_Strategy!$A$100:$A$113,MATCH($D18,_ENGINE_Strategy!$B$100:$B$113,0)),99)</f>
        <v>11</v>
      </c>
      <c r="T18" s="17">
        <f>IFERROR(INDEX(_ENGINE_Strategy!$J$100:$J$113,MATCH($D18,_ENGINE_Strategy!$B$100:$B$113,0)),0)</f>
        <v>66.900000000000006</v>
      </c>
      <c r="U18" s="17">
        <v>3</v>
      </c>
      <c r="V18" s="17">
        <v>5</v>
      </c>
      <c r="W18" s="17">
        <v>4</v>
      </c>
      <c r="X18" s="17">
        <f t="shared" si="2"/>
        <v>4.5862499999999997</v>
      </c>
      <c r="Y18" s="17">
        <f>IF($P18="","",MAX(1,MIN(5,1+N($O18)*0.45+MIN(2,N($M18)*0.3)+($R18-1)*1.2+IF('Resilience &amp; Risk Scenario'!$B$7="",1,'Resilience &amp; Risk Scenario'!$B$7)*0.25)))</f>
        <v>5</v>
      </c>
      <c r="Z18" s="17">
        <f t="shared" si="3"/>
        <v>5</v>
      </c>
      <c r="AA18" s="17">
        <f t="shared" si="4"/>
        <v>3.4035000000000002</v>
      </c>
      <c r="AB18" s="17">
        <v>3</v>
      </c>
      <c r="AC18" s="17">
        <f t="shared" si="5"/>
        <v>1.77</v>
      </c>
      <c r="AD18" s="17">
        <f t="shared" si="6"/>
        <v>28</v>
      </c>
      <c r="AE18" s="17" t="str">
        <f t="shared" si="7"/>
        <v>3-6 months</v>
      </c>
      <c r="AF18" s="17" t="s">
        <v>4026</v>
      </c>
      <c r="AG18" s="17" t="s">
        <v>3963</v>
      </c>
      <c r="AH18" s="17" t="s">
        <v>3931</v>
      </c>
      <c r="AI18" s="17" t="s">
        <v>3932</v>
      </c>
      <c r="AJ18" s="17" t="s">
        <v>4050</v>
      </c>
      <c r="AK18" s="17" t="s">
        <v>4051</v>
      </c>
      <c r="AL18" s="17" t="s">
        <v>4052</v>
      </c>
      <c r="AM18" s="17" t="s">
        <v>4030</v>
      </c>
      <c r="AN18" s="17" t="s">
        <v>3937</v>
      </c>
      <c r="AO18" s="17" t="s">
        <v>3938</v>
      </c>
      <c r="AP18" s="17" t="s">
        <v>546</v>
      </c>
      <c r="AQ18" s="17"/>
      <c r="AR18" s="17"/>
      <c r="AS18" s="14">
        <f>IFERROR((IF(SUMIFS(_REF_Model_Content!$J$1:$J$157,_REF_Model_Content!$A$1:$A$174,PV_Canonical_Industry,_REF_Model_Content!$B$1:$B$174,$B18)=0,1,SUMIFS(_REF_Model_Content!$J$1:$J$157,_REF_Model_Content!$A$1:$A$174,PV_Canonical_Industry,_REF_Model_Content!$B$1:$B$174,$B18))*IFERROR($CA18,1)),1)</f>
        <v>1</v>
      </c>
      <c r="AT18" s="14">
        <f t="shared" si="8"/>
        <v>1.77</v>
      </c>
      <c r="AU18" s="14">
        <f>IF($AT18="","",RANK($AT18,$AT$5:$AT$76,0)+COUNTIF($AT$5:AT18,$AT18)-1)</f>
        <v>28</v>
      </c>
      <c r="AV18" s="14">
        <f>IFERROR(INDEX(_DATA_Dashboard_Facts!$G$300:$G$316,MATCH($B18,_DATA_Dashboard_Facts!$A$300:$A$316,0)),"")</f>
        <v>0</v>
      </c>
      <c r="AW18" s="14" t="str">
        <f t="shared" si="9"/>
        <v>Relevance-neutral priority</v>
      </c>
      <c r="AX18">
        <f>IFERROR(INDEX('Action Plan &amp; Roadmap'!$D$59:$D$130,MATCH($A18,'Action Plan &amp; Roadmap'!$A$59:$A$130,0)),"")</f>
        <v>0</v>
      </c>
      <c r="AY18">
        <f t="shared" si="10"/>
        <v>0</v>
      </c>
      <c r="AZ18" t="s">
        <v>4031</v>
      </c>
      <c r="BA18">
        <f>IF($A18="","",COUNTIF(_DATA_RiskInitiativeMap!$A$1:$A$867,$A18))</f>
        <v>5</v>
      </c>
      <c r="BB18">
        <f>IF($A18="","",IFERROR(AVERAGEIF(_DATA_RiskInitiativeMap!$A$1:$A$867,$A18,_DATA_RiskInitiativeMap!$G$1:$G$867),0))</f>
        <v>17.996000000000002</v>
      </c>
      <c r="BC18">
        <f t="shared" si="11"/>
        <v>4.8</v>
      </c>
      <c r="BD18">
        <f t="shared" si="12"/>
        <v>4.4697200000000006</v>
      </c>
      <c r="BI18" s="17" t="str">
        <f>IFERROR(_CONFIG_Model_Settings!$B$103,"Adaptive")</f>
        <v>Fragile</v>
      </c>
      <c r="BJ18" s="17">
        <f>IFERROR(INDEX(_CONFIG_Model_Settings!$B$109:$B$113,MATCH($BI18,_CONFIG_Model_Settings!$A$109:$A$113,0)),0.3)</f>
        <v>0.2</v>
      </c>
      <c r="BK18" s="17">
        <f>IFERROR(INDEX(_CONFIG_Model_Settings!$C$109:$C$113,MATCH($BI18,_CONFIG_Model_Settings!$A$109:$A$113,0)),0.2)</f>
        <v>0.3</v>
      </c>
      <c r="BL18" s="17">
        <f>IFERROR(INDEX(_CONFIG_Model_Settings!$D$109:$D$113,MATCH($BI18,_CONFIG_Model_Settings!$A$109:$A$113,0)),0.25)</f>
        <v>0.4</v>
      </c>
      <c r="BM18" s="17">
        <f>IFERROR(INDEX(_CONFIG_Model_Settings!$E$109:$E$113,MATCH($BI18,_CONFIG_Model_Settings!$A$109:$A$113,0)),0.25)</f>
        <v>0.1</v>
      </c>
      <c r="BN18" s="17">
        <f>IFERROR(INDEX(_CONFIG_Model_Settings!$B$117:$B$123,MATCH(_CONFIG_Model_Settings!$B$104,_CONFIG_Model_Settings!$A$117:$A$123,0)),1)</f>
        <v>1</v>
      </c>
      <c r="BO18" s="17">
        <f>IFERROR(INDEX(_CONFIG_Model_Settings!$C$117:$C$123,MATCH(_CONFIG_Model_Settings!$B$104,_CONFIG_Model_Settings!$A$117:$A$123,0)),1)</f>
        <v>1</v>
      </c>
      <c r="BP18" s="17">
        <f>IFERROR(INDEX(_CONFIG_Model_Settings!$D$117:$D$123,MATCH(_CONFIG_Model_Settings!$B$104,_CONFIG_Model_Settings!$A$117:$A$123,0)),1)</f>
        <v>1</v>
      </c>
      <c r="BQ18" s="17">
        <f>IFERROR(INDEX(_CONFIG_Model_Settings!$E$117:$E$123,MATCH(_CONFIG_Model_Settings!$B$104,_CONFIG_Model_Settings!$A$117:$A$123,0)),1)</f>
        <v>1</v>
      </c>
      <c r="BR18" s="17">
        <f>IF(OR($A18="",$P18=""),"",MIN(5,IFERROR(SUMIF(_DATA_RiskInitiativeMap!$A$1:$A$867,$A18,_DATA_RiskInitiativeMap!$K$1:$K$867)/MAX(1,_CONFIG_Model_Settings!$B$166),0)))</f>
        <v>5</v>
      </c>
      <c r="BS18" s="17">
        <f t="shared" si="13"/>
        <v>5.3</v>
      </c>
      <c r="BT18" s="17">
        <f t="shared" si="14"/>
        <v>3</v>
      </c>
      <c r="BU18" s="17">
        <f t="shared" si="15"/>
        <v>1.77</v>
      </c>
      <c r="BV18" s="17">
        <f>IF(OR($P18="",$BU18="",$AY18="Done",$AY18="Not applicable"),"",ROUND($BU18*N($AS18)*IF(OR('Resilience &amp; Risk Scenario'!$B$6="",'Resilience &amp; Risk Scenario'!$B$7&lt;=0),1,IFERROR(1+MIN(0.75,INDEX('Resilience &amp; Risk Scenario'!$E$21:$E$37,MATCH($B18,'Resilience &amp; Risk Scenario'!$B$21:$B$37,0))/10),1)),2))</f>
        <v>1.77</v>
      </c>
      <c r="BW18" s="17">
        <f>IF($BV18="","",RANK($BV18,$BV$5:$BV$76,0)+COUNTIF($BV$5:$BV18,$BV18)-1)</f>
        <v>28</v>
      </c>
      <c r="BX18" s="17" t="str">
        <f t="shared" si="16"/>
        <v>3-6 months</v>
      </c>
      <c r="BY18" t="str">
        <f>IFERROR(IF($A18="","","P2: "&amp;$BI18&amp;" posture; objective="&amp;IF(_CONFIG_Model_Settings!$B$104="","Neutral/default",_CONFIG_Model_Settings!$B$104)&amp;"; relevance="&amp;ROUND(N($AS18),2)&amp;"; scenario/domain boost="&amp;ROUND(IF(OR('Resilience &amp; Risk Scenario'!$B$6="",'Resilience &amp; Risk Scenario'!$B$7&lt;=0),1,IFERROR(1+MIN(0.75,INDEX('Resilience &amp; Risk Scenario'!$E$21:$E$37,MATCH($B18,'Resilience &amp; Risk Scenario'!$B$21:$B$37,0))/10),1)),2)&amp;"; financial score="&amp;ROUND(N($BR18),1)&amp;"; CoD="&amp;$BS18&amp;IF($CL18&lt;&gt;"","; wording="&amp;$CL18,"")),"")</f>
        <v>P2: Fragile posture; objective=Neutral/default; relevance=1; scenario/domain boost=1; financial score=5; CoD=5.3; wording=Strengthen Workforce continuity</v>
      </c>
      <c r="BZ18" t="str">
        <f>IFERROR(INDEX(_REF_Capability_Bridge!$D:$D,MATCH($B18&amp;"|"&amp;$C18,_REF_Capability_Bridge!$J:$J,0)),IFERROR(INDEX(_REF_Capability_Bridge!$D:$D,MATCH($B18&amp;"|",_REF_Capability_Bridge!$J:$J,0)),"CAP_GENERIC"))</f>
        <v>CAP_WORKFORCE_CONTINUITY</v>
      </c>
      <c r="CA18">
        <f>IFERROR(IFERROR(INDEX(_ENGINE_Relevance!$L:$L,MATCH($BZ18,_ENGINE_Relevance!$B:$B,0)),1),1)</f>
        <v>1</v>
      </c>
      <c r="CB18" t="str">
        <f>IFERROR(INDEX(_REF_Capability_Bridge!$A:$A,MATCH($B18&amp;"|"&amp;$C18,_REF_Capability_Bridge!$J:$J,0)),IFERROR(INDEX(_REF_Capability_Bridge!$A:$A,MATCH($B18&amp;"|",_REF_Capability_Bridge!$J:$J,0)),"No bridge"))</f>
        <v>BRG-040</v>
      </c>
      <c r="CC18" t="str">
        <f t="shared" si="17"/>
        <v>Capability relevance neutral</v>
      </c>
      <c r="CD18" t="str">
        <f t="shared" si="18"/>
        <v>Initial / absent</v>
      </c>
      <c r="CE18" t="str">
        <f>IF($A18="","",IFERROR(INDEX(_REF_Treatment_Library!$A$2:$A$296,MATCH(1,INDEX((_REF_Treatment_Library!$B$2:$B$296=$BZ18)*(_REF_Treatment_Library!$C$2:$C$296=PV_Canonical_Industry)*(_REF_Treatment_Library!$E$2:$E$296&lt;=N($N18))*(_REF_Treatment_Library!$F$2:$F$296&gt;=N($N18))*(_REF_Treatment_Library!$O$2:$O$296="Yes"),0),0)),IFERROR(INDEX(_REF_Treatment_Library!$A$2:$A$296,MATCH(1,INDEX((_REF_Treatment_Library!$B$2:$B$296=$BZ18)*(_REF_Treatment_Library!$C$2:$C$296="All")*(_REF_Treatment_Library!$E$2:$E$296&lt;=N($N18))*(_REF_Treatment_Library!$F$2:$F$296&gt;=N($N18))*(_REF_Treatment_Library!$O$2:$O$296="Yes"),0),0)),"")))</f>
        <v>TRT-WORKFORCE_CONTINUITY-INITIAL</v>
      </c>
      <c r="CF18" t="str">
        <f>IF($CE18="","",IFERROR(INDEX(_REF_Treatment_Library!$H$2:$H$296,MATCH($CE18,_REF_Treatment_Library!$A$2:$A$296,0)),""))</f>
        <v>Establish</v>
      </c>
      <c r="CG18" t="str">
        <f>IF($CE18="","",IFERROR(INDEX(_REF_Treatment_Library!$I$2:$I$296,MATCH($CE18,_REF_Treatment_Library!$A$2:$A$296,0)),""))</f>
        <v>Establish baseline controls for Workforce continuity</v>
      </c>
      <c r="CH18" t="str">
        <f>IF($CE18="","",IFERROR(INDEX(_REF_Treatment_Library!$K$2:$K$296,MATCH($CE18,_REF_Treatment_Library!$A$2:$A$296,0)),""))</f>
        <v>Named owner, baseline process, minimum control checklist, first evidence package</v>
      </c>
      <c r="CI18" t="str">
        <f>IF($CE18="","",IFERROR(INDEX(_REF_Treatment_Library!$L$2:$L$296,MATCH($CE18,_REF_Treatment_Library!$A$2:$A$296,0)),""))</f>
        <v>Owner assigned; baseline evidence coverage; open critical gaps</v>
      </c>
      <c r="CJ18" t="str">
        <f t="shared" si="19"/>
        <v>Treatment by capability=CAP_WORKFORCE_CONTINUITY; band=Initial / absent; score=0.0; treatment=Establish</v>
      </c>
      <c r="CK18" t="str">
        <f>IF($A18="","",IFERROR(INDEX(_REF_Industry_Wording!$A$2:$A$70,MATCH(1,INDEX((_REF_Industry_Wording!$B$2:$B$70=$BZ18)*(_REF_Industry_Wording!$C$2:$C$70=PV_Canonical_Industry)*(_REF_Industry_Wording!$K$2:$K$70="Yes"),0),0)),IFERROR(INDEX(_REF_Industry_Wording!$A$2:$A$70,MATCH(1,INDEX((_REF_Industry_Wording!$B$2:$B$70=$BZ18)*(_REF_Industry_Wording!$C$2:$C$70="All")*(_REF_Industry_Wording!$K$2:$K$70="Yes"),0),0)),"")))</f>
        <v>IW-ALL-WORKFORCE_CONTINUITY</v>
      </c>
      <c r="CL18" t="str">
        <f>IF($CK18="","",IFERROR(INDEX(_REF_Industry_Wording!$F$2:$F$70,MATCH($CK18,_REF_Industry_Wording!$A$2:$A$70,0)),""))</f>
        <v>Strengthen Workforce continuity</v>
      </c>
      <c r="CM18" t="str">
        <f>IF($CK18="","",IFERROR(INDEX(_REF_Industry_Wording!$G$2:$G$70,MATCH($CK18,_REF_Industry_Wording!$A$2:$A$70,0)),""))</f>
        <v>Strengthen Workforce continuity using the selected maturity treatment, crisis scenario and evidence requirements.</v>
      </c>
      <c r="CN18" t="str">
        <f>IF($CK18="","",IFERROR(INDEX(_REF_Industry_Wording!$H$2:$H$70,MATCH($CK18,_REF_Industry_Wording!$A$2:$A$70,0)),""))</f>
        <v>Workforce continuity</v>
      </c>
      <c r="CO18">
        <f>IF($CK18="","",IFERROR(INDEX(_REF_Industry_Wording!$I$2:$I$70,MATCH($CK18,_REF_Industry_Wording!$A$2:$A$70,0)),""))</f>
        <v>0</v>
      </c>
      <c r="CP18" t="str">
        <f>IF($CK18="","",IFERROR(INDEX(_REF_Industry_Wording!$J$2:$J$70,MATCH($CK18,_REF_Industry_Wording!$A$2:$A$70,0)),""))</f>
        <v>Workforce continuity</v>
      </c>
      <c r="CQ18" t="str">
        <f t="shared" si="20"/>
        <v>Wording by industry=0; capability=CAP_WORKFORCE_CONTINUITY; title=Strengthen Workforce continuity</v>
      </c>
      <c r="CR18" t="str">
        <f t="shared" si="21"/>
        <v>INIT-ONT-0014</v>
      </c>
      <c r="CS18">
        <f t="shared" si="22"/>
        <v>18</v>
      </c>
      <c r="CT18" t="str">
        <f t="shared" si="23"/>
        <v>CAP_WORKFORCE_CONTINUITY</v>
      </c>
      <c r="CU18" t="str">
        <f t="shared" si="24"/>
        <v>INI-014|HR Workforce|HR systems and compliance|CAP_WORKFORCE_CONTINUITY</v>
      </c>
      <c r="CV18" t="str">
        <f t="shared" si="25"/>
        <v>Active</v>
      </c>
      <c r="CW18" t="str">
        <f t="shared" si="26"/>
        <v>OK: capability-driven</v>
      </c>
      <c r="CX18" t="str">
        <f t="shared" si="27"/>
        <v>Initiative ontology uses capability=CAP_WORKFORCE_CONTINUITY; bridge=BRG-040; treatment=TRT-WORKFORCE_CONTINUITY-INITIAL; wording=IW-ALL-WORKFORCE_CONTINUITY</v>
      </c>
    </row>
    <row r="19" spans="1:102" ht="42" customHeight="1">
      <c r="A19" s="17" t="s">
        <v>4053</v>
      </c>
      <c r="B19" s="17" t="s">
        <v>1401</v>
      </c>
      <c r="C19" s="17" t="s">
        <v>1403</v>
      </c>
      <c r="D19" s="17" t="s">
        <v>3923</v>
      </c>
      <c r="E19" s="17" t="s">
        <v>3924</v>
      </c>
      <c r="F19" s="17" t="s">
        <v>4054</v>
      </c>
      <c r="G19" s="17" t="s">
        <v>4055</v>
      </c>
      <c r="H19" s="17" t="s">
        <v>3683</v>
      </c>
      <c r="I19" s="17" t="s">
        <v>4056</v>
      </c>
      <c r="J19" s="17" t="s">
        <v>4057</v>
      </c>
      <c r="K19" s="17">
        <v>6</v>
      </c>
      <c r="L19" s="17">
        <f>IF($A19="","",COUNTIFS(_DATA_RiskInitiativeMap!$A$444:$A$867,$A19,_DATA_RiskInitiativeMap!$G$444:$G$867,"&gt;0"))</f>
        <v>8</v>
      </c>
      <c r="M19" s="17">
        <f>IF($A19="","",COUNTIFS(_DATA_RiskInitiativeMap!$A$444:$A$867,$A19,_DATA_RiskInitiativeMap!$G$444:$G$867,"&gt;0"))</f>
        <v>8</v>
      </c>
      <c r="N19" s="17">
        <f>IFERROR(AVERAGEIFS(_DATA_Assessment_Model!$H$5:$H$428,_DATA_Assessment_Model!$AW$5:$AW$428,$B19,_DATA_Assessment_Model!$B$5:$B$428,$C19),"")</f>
        <v>0</v>
      </c>
      <c r="O19" s="17">
        <f t="shared" si="0"/>
        <v>5</v>
      </c>
      <c r="P19" s="17">
        <f>IFERROR(INDEX(_DATA_Dashboard_Facts!$H$5:$H$21,MATCH($B19,_DATA_Dashboard_Facts!$A$5:$A$21,0)),"")</f>
        <v>0</v>
      </c>
      <c r="Q19" s="17">
        <f t="shared" si="1"/>
        <v>5</v>
      </c>
      <c r="R19" s="17">
        <f>IF(OR('Resilience &amp; Risk Scenario'!$B$6="",'Resilience &amp; Risk Scenario'!$B$7&lt;=0),1,IFERROR(IF(SUMIFS(_ENGINE_Crisis!$D$5:$D$208,_ENGINE_Crisis!$A$5:$A$208,'Resilience &amp; Risk Scenario'!$B$6,_ENGINE_Crisis!$B$5:$B$208,$B19)=0,1,SUMIFS(_ENGINE_Crisis!$D$5:$D$208,_ENGINE_Crisis!$A$5:$A$208,'Resilience &amp; Risk Scenario'!$B$6,_ENGINE_Crisis!$B$5:$B$208,$B19)),1))</f>
        <v>1</v>
      </c>
      <c r="S19" s="17">
        <f>IFERROR(INDEX(_ENGINE_Strategy!$A$100:$A$113,MATCH($D19,_ENGINE_Strategy!$B$100:$B$113,0)),99)</f>
        <v>8</v>
      </c>
      <c r="T19" s="17">
        <f>IFERROR(INDEX(_ENGINE_Strategy!$J$100:$J$113,MATCH($D19,_ENGINE_Strategy!$B$100:$B$113,0)),0)</f>
        <v>67</v>
      </c>
      <c r="U19" s="17">
        <v>2</v>
      </c>
      <c r="V19" s="17">
        <v>5</v>
      </c>
      <c r="W19" s="17">
        <v>4</v>
      </c>
      <c r="X19" s="17">
        <f t="shared" si="2"/>
        <v>4.5875000000000004</v>
      </c>
      <c r="Y19" s="17">
        <f>IF($P19="","",MAX(1,MIN(5,1+N($O19)*0.45+MIN(2,N($M19)*0.3)+($R19-1)*1.2+IF('Resilience &amp; Risk Scenario'!$B$7="",1,'Resilience &amp; Risk Scenario'!$B$7)*0.25)))</f>
        <v>5</v>
      </c>
      <c r="Z19" s="17">
        <f t="shared" si="3"/>
        <v>5</v>
      </c>
      <c r="AA19" s="17">
        <f t="shared" si="4"/>
        <v>3.0049999999999999</v>
      </c>
      <c r="AB19" s="17">
        <v>3</v>
      </c>
      <c r="AC19" s="17">
        <f t="shared" si="5"/>
        <v>1.74</v>
      </c>
      <c r="AD19" s="17">
        <f t="shared" si="6"/>
        <v>34</v>
      </c>
      <c r="AE19" s="17" t="str">
        <f t="shared" si="7"/>
        <v>6-12 months</v>
      </c>
      <c r="AF19" s="17" t="s">
        <v>4058</v>
      </c>
      <c r="AG19" s="17" t="s">
        <v>3963</v>
      </c>
      <c r="AH19" s="17" t="s">
        <v>3931</v>
      </c>
      <c r="AI19" s="17" t="s">
        <v>3932</v>
      </c>
      <c r="AJ19" s="17" t="s">
        <v>4059</v>
      </c>
      <c r="AK19" s="17" t="s">
        <v>4060</v>
      </c>
      <c r="AL19" s="17" t="s">
        <v>4061</v>
      </c>
      <c r="AM19" s="17" t="s">
        <v>3936</v>
      </c>
      <c r="AN19" s="17" t="s">
        <v>3937</v>
      </c>
      <c r="AO19" s="17" t="s">
        <v>3938</v>
      </c>
      <c r="AP19" s="17" t="s">
        <v>546</v>
      </c>
      <c r="AQ19" s="17"/>
      <c r="AR19" s="17"/>
      <c r="AS19" s="14">
        <f>IFERROR((IF(SUMIFS(_REF_Model_Content!$J$1:$J$157,_REF_Model_Content!$A$1:$A$174,PV_Canonical_Industry,_REF_Model_Content!$B$1:$B$174,$B19)=0,1,SUMIFS(_REF_Model_Content!$J$1:$J$157,_REF_Model_Content!$A$1:$A$174,PV_Canonical_Industry,_REF_Model_Content!$B$1:$B$174,$B19))*IFERROR($CA19,1)),1)</f>
        <v>1</v>
      </c>
      <c r="AT19" s="14">
        <f t="shared" si="8"/>
        <v>1.74</v>
      </c>
      <c r="AU19" s="14">
        <f>IF($AT19="","",RANK($AT19,$AT$5:$AT$76,0)+COUNTIF($AT$5:AT19,$AT19)-1)</f>
        <v>34</v>
      </c>
      <c r="AV19" s="14">
        <f>IFERROR(INDEX(_DATA_Dashboard_Facts!$G$300:$G$316,MATCH($B19,_DATA_Dashboard_Facts!$A$300:$A$316,0)),"")</f>
        <v>0</v>
      </c>
      <c r="AW19" s="14" t="str">
        <f t="shared" si="9"/>
        <v>Relevance-neutral priority</v>
      </c>
      <c r="AX19">
        <f>IFERROR(INDEX('Action Plan &amp; Roadmap'!$D$59:$D$130,MATCH($A19,'Action Plan &amp; Roadmap'!$A$59:$A$130,0)),"")</f>
        <v>0</v>
      </c>
      <c r="AY19">
        <f t="shared" si="10"/>
        <v>0</v>
      </c>
      <c r="AZ19" t="s">
        <v>4062</v>
      </c>
      <c r="BA19">
        <f>IF($A19="","",COUNTIF(_DATA_RiskInitiativeMap!$A$1:$A$867,$A19))</f>
        <v>8</v>
      </c>
      <c r="BB19">
        <f>IF($A19="","",IFERROR(AVERAGEIF(_DATA_RiskInitiativeMap!$A$1:$A$867,$A19,_DATA_RiskInitiativeMap!$G$1:$G$867),0))</f>
        <v>16.93</v>
      </c>
      <c r="BC19">
        <f t="shared" si="11"/>
        <v>4.8</v>
      </c>
      <c r="BD19">
        <f t="shared" si="12"/>
        <v>4.3951000000000002</v>
      </c>
      <c r="BI19" s="17" t="str">
        <f>IFERROR(_CONFIG_Model_Settings!$B$103,"Adaptive")</f>
        <v>Fragile</v>
      </c>
      <c r="BJ19" s="17">
        <f>IFERROR(INDEX(_CONFIG_Model_Settings!$B$109:$B$113,MATCH($BI19,_CONFIG_Model_Settings!$A$109:$A$113,0)),0.3)</f>
        <v>0.2</v>
      </c>
      <c r="BK19" s="17">
        <f>IFERROR(INDEX(_CONFIG_Model_Settings!$C$109:$C$113,MATCH($BI19,_CONFIG_Model_Settings!$A$109:$A$113,0)),0.2)</f>
        <v>0.3</v>
      </c>
      <c r="BL19" s="17">
        <f>IFERROR(INDEX(_CONFIG_Model_Settings!$D$109:$D$113,MATCH($BI19,_CONFIG_Model_Settings!$A$109:$A$113,0)),0.25)</f>
        <v>0.4</v>
      </c>
      <c r="BM19" s="17">
        <f>IFERROR(INDEX(_CONFIG_Model_Settings!$E$109:$E$113,MATCH($BI19,_CONFIG_Model_Settings!$A$109:$A$113,0)),0.25)</f>
        <v>0.1</v>
      </c>
      <c r="BN19" s="17">
        <f>IFERROR(INDEX(_CONFIG_Model_Settings!$B$117:$B$123,MATCH(_CONFIG_Model_Settings!$B$104,_CONFIG_Model_Settings!$A$117:$A$123,0)),1)</f>
        <v>1</v>
      </c>
      <c r="BO19" s="17">
        <f>IFERROR(INDEX(_CONFIG_Model_Settings!$C$117:$C$123,MATCH(_CONFIG_Model_Settings!$B$104,_CONFIG_Model_Settings!$A$117:$A$123,0)),1)</f>
        <v>1</v>
      </c>
      <c r="BP19" s="17">
        <f>IFERROR(INDEX(_CONFIG_Model_Settings!$D$117:$D$123,MATCH(_CONFIG_Model_Settings!$B$104,_CONFIG_Model_Settings!$A$117:$A$123,0)),1)</f>
        <v>1</v>
      </c>
      <c r="BQ19" s="17">
        <f>IFERROR(INDEX(_CONFIG_Model_Settings!$E$117:$E$123,MATCH(_CONFIG_Model_Settings!$B$104,_CONFIG_Model_Settings!$A$117:$A$123,0)),1)</f>
        <v>1</v>
      </c>
      <c r="BR19" s="17">
        <f>IF(OR($A19="",$P19=""),"",MIN(5,IFERROR(SUMIF(_DATA_RiskInitiativeMap!$A$1:$A$867,$A19,_DATA_RiskInitiativeMap!$K$1:$K$867)/MAX(1,_CONFIG_Model_Settings!$B$166),0)))</f>
        <v>5</v>
      </c>
      <c r="BS19" s="17">
        <f t="shared" si="13"/>
        <v>5.23</v>
      </c>
      <c r="BT19" s="17">
        <f t="shared" si="14"/>
        <v>3</v>
      </c>
      <c r="BU19" s="17">
        <f t="shared" si="15"/>
        <v>1.74</v>
      </c>
      <c r="BV19" s="17">
        <f>IF(OR($P19="",$BU19="",$AY19="Done",$AY19="Not applicable"),"",ROUND($BU19*N($AS19)*IF(OR('Resilience &amp; Risk Scenario'!$B$6="",'Resilience &amp; Risk Scenario'!$B$7&lt;=0),1,IFERROR(1+MIN(0.75,INDEX('Resilience &amp; Risk Scenario'!$E$21:$E$37,MATCH($B19,'Resilience &amp; Risk Scenario'!$B$21:$B$37,0))/10),1)),2))</f>
        <v>1.74</v>
      </c>
      <c r="BW19" s="17">
        <f>IF($BV19="","",RANK($BV19,$BV$5:$BV$76,0)+COUNTIF($BV$5:$BV19,$BV19)-1)</f>
        <v>34</v>
      </c>
      <c r="BX19" s="17" t="str">
        <f t="shared" si="16"/>
        <v>6-12 months</v>
      </c>
      <c r="BY19" t="str">
        <f>IFERROR(IF($A19="","","P2: "&amp;$BI19&amp;" posture; objective="&amp;IF(_CONFIG_Model_Settings!$B$104="","Neutral/default",_CONFIG_Model_Settings!$B$104)&amp;"; relevance="&amp;ROUND(N($AS19),2)&amp;"; scenario/domain boost="&amp;ROUND(IF(OR('Resilience &amp; Risk Scenario'!$B$6="",'Resilience &amp; Risk Scenario'!$B$7&lt;=0),1,IFERROR(1+MIN(0.75,INDEX('Resilience &amp; Risk Scenario'!$E$21:$E$37,MATCH($B19,'Resilience &amp; Risk Scenario'!$B$21:$B$37,0))/10),1)),2)&amp;"; financial score="&amp;ROUND(N($BR19),1)&amp;"; CoD="&amp;$BS19&amp;IF($CL19&lt;&gt;"","; wording="&amp;$CL19,"")),"")</f>
        <v>P2: Fragile posture; objective=Neutral/default; relevance=1; scenario/domain boost=1; financial score=5; CoD=5.23; wording=Strengthen Fraud monitoring</v>
      </c>
      <c r="BZ19" t="str">
        <f>IFERROR(INDEX(_REF_Capability_Bridge!$D:$D,MATCH($B19&amp;"|"&amp;$C19,_REF_Capability_Bridge!$J:$J,0)),IFERROR(INDEX(_REF_Capability_Bridge!$D:$D,MATCH($B19&amp;"|",_REF_Capability_Bridge!$J:$J,0)),"CAP_GENERIC"))</f>
        <v>CAP_FRAUD_MONITORING</v>
      </c>
      <c r="CA19">
        <f>IFERROR(IFERROR(INDEX(_ENGINE_Relevance!$L:$L,MATCH($BZ19,_ENGINE_Relevance!$B:$B,0)),1),1)</f>
        <v>1</v>
      </c>
      <c r="CB19" t="str">
        <f>IFERROR(INDEX(_REF_Capability_Bridge!$A:$A,MATCH($B19&amp;"|"&amp;$C19,_REF_Capability_Bridge!$J:$J,0)),IFERROR(INDEX(_REF_Capability_Bridge!$A:$A,MATCH($B19&amp;"|",_REF_Capability_Bridge!$J:$J,0)),"No bridge"))</f>
        <v>BRG-031</v>
      </c>
      <c r="CC19" t="str">
        <f t="shared" si="17"/>
        <v>Capability relevance neutral</v>
      </c>
      <c r="CD19" t="str">
        <f t="shared" si="18"/>
        <v>Initial / absent</v>
      </c>
      <c r="CE19" t="str">
        <f>IF($A19="","",IFERROR(INDEX(_REF_Treatment_Library!$A$2:$A$296,MATCH(1,INDEX((_REF_Treatment_Library!$B$2:$B$296=$BZ19)*(_REF_Treatment_Library!$C$2:$C$296=PV_Canonical_Industry)*(_REF_Treatment_Library!$E$2:$E$296&lt;=N($N19))*(_REF_Treatment_Library!$F$2:$F$296&gt;=N($N19))*(_REF_Treatment_Library!$O$2:$O$296="Yes"),0),0)),IFERROR(INDEX(_REF_Treatment_Library!$A$2:$A$296,MATCH(1,INDEX((_REF_Treatment_Library!$B$2:$B$296=$BZ19)*(_REF_Treatment_Library!$C$2:$C$296="All")*(_REF_Treatment_Library!$E$2:$E$296&lt;=N($N19))*(_REF_Treatment_Library!$F$2:$F$296&gt;=N($N19))*(_REF_Treatment_Library!$O$2:$O$296="Yes"),0),0)),"")))</f>
        <v>TRT-FRAUD_MONITORING-INITIAL</v>
      </c>
      <c r="CF19" t="str">
        <f>IF($CE19="","",IFERROR(INDEX(_REF_Treatment_Library!$H$2:$H$296,MATCH($CE19,_REF_Treatment_Library!$A$2:$A$296,0)),""))</f>
        <v>Establish</v>
      </c>
      <c r="CG19" t="str">
        <f>IF($CE19="","",IFERROR(INDEX(_REF_Treatment_Library!$I$2:$I$296,MATCH($CE19,_REF_Treatment_Library!$A$2:$A$296,0)),""))</f>
        <v>Establish baseline controls for Fraud monitoring</v>
      </c>
      <c r="CH19" t="str">
        <f>IF($CE19="","",IFERROR(INDEX(_REF_Treatment_Library!$K$2:$K$296,MATCH($CE19,_REF_Treatment_Library!$A$2:$A$296,0)),""))</f>
        <v>Named owner, baseline process, minimum control checklist, first evidence package</v>
      </c>
      <c r="CI19" t="str">
        <f>IF($CE19="","",IFERROR(INDEX(_REF_Treatment_Library!$L$2:$L$296,MATCH($CE19,_REF_Treatment_Library!$A$2:$A$296,0)),""))</f>
        <v>Owner assigned; baseline evidence coverage; open critical gaps</v>
      </c>
      <c r="CJ19" t="str">
        <f t="shared" si="19"/>
        <v>Treatment by capability=CAP_FRAUD_MONITORING; band=Initial / absent; score=0.0; treatment=Establish</v>
      </c>
      <c r="CK19" t="str">
        <f>IF($A19="","",IFERROR(INDEX(_REF_Industry_Wording!$A$2:$A$70,MATCH(1,INDEX((_REF_Industry_Wording!$B$2:$B$70=$BZ19)*(_REF_Industry_Wording!$C$2:$C$70=PV_Canonical_Industry)*(_REF_Industry_Wording!$K$2:$K$70="Yes"),0),0)),IFERROR(INDEX(_REF_Industry_Wording!$A$2:$A$70,MATCH(1,INDEX((_REF_Industry_Wording!$B$2:$B$70=$BZ19)*(_REF_Industry_Wording!$C$2:$C$70="All")*(_REF_Industry_Wording!$K$2:$K$70="Yes"),0),0)),"")))</f>
        <v>IW-ALL-FRAUD_MONITORING</v>
      </c>
      <c r="CL19" t="str">
        <f>IF($CK19="","",IFERROR(INDEX(_REF_Industry_Wording!$F$2:$F$70,MATCH($CK19,_REF_Industry_Wording!$A$2:$A$70,0)),""))</f>
        <v>Strengthen Fraud monitoring</v>
      </c>
      <c r="CM19" t="str">
        <f>IF($CK19="","",IFERROR(INDEX(_REF_Industry_Wording!$G$2:$G$70,MATCH($CK19,_REF_Industry_Wording!$A$2:$A$70,0)),""))</f>
        <v>Strengthen Fraud monitoring using the selected maturity treatment, crisis scenario and evidence requirements.</v>
      </c>
      <c r="CN19" t="str">
        <f>IF($CK19="","",IFERROR(INDEX(_REF_Industry_Wording!$H$2:$H$70,MATCH($CK19,_REF_Industry_Wording!$A$2:$A$70,0)),""))</f>
        <v>Fraud monitoring</v>
      </c>
      <c r="CO19">
        <f>IF($CK19="","",IFERROR(INDEX(_REF_Industry_Wording!$I$2:$I$70,MATCH($CK19,_REF_Industry_Wording!$A$2:$A$70,0)),""))</f>
        <v>0</v>
      </c>
      <c r="CP19" t="str">
        <f>IF($CK19="","",IFERROR(INDEX(_REF_Industry_Wording!$J$2:$J$70,MATCH($CK19,_REF_Industry_Wording!$A$2:$A$70,0)),""))</f>
        <v>Fraud monitoring</v>
      </c>
      <c r="CQ19" t="str">
        <f t="shared" si="20"/>
        <v>Wording by industry=0; capability=CAP_FRAUD_MONITORING; title=Strengthen Fraud monitoring</v>
      </c>
      <c r="CR19" t="str">
        <f t="shared" si="21"/>
        <v>INIT-ONT-0015</v>
      </c>
      <c r="CS19">
        <f t="shared" si="22"/>
        <v>19</v>
      </c>
      <c r="CT19" t="str">
        <f t="shared" si="23"/>
        <v>CAP_FRAUD_MONITORING</v>
      </c>
      <c r="CU19" t="str">
        <f t="shared" si="24"/>
        <v>INI-015|Finance Procurement|Financial resilience|CAP_FRAUD_MONITORING</v>
      </c>
      <c r="CV19" t="str">
        <f t="shared" si="25"/>
        <v>Active</v>
      </c>
      <c r="CW19" t="str">
        <f t="shared" si="26"/>
        <v>OK: capability-driven</v>
      </c>
      <c r="CX19" t="str">
        <f t="shared" si="27"/>
        <v>Initiative ontology uses capability=CAP_FRAUD_MONITORING; bridge=BRG-031; treatment=TRT-FRAUD_MONITORING-INITIAL; wording=IW-ALL-FRAUD_MONITORING</v>
      </c>
    </row>
    <row r="20" spans="1:102" ht="42" customHeight="1">
      <c r="A20" s="17" t="s">
        <v>4063</v>
      </c>
      <c r="B20" s="17" t="s">
        <v>1401</v>
      </c>
      <c r="C20" s="17" t="s">
        <v>1412</v>
      </c>
      <c r="D20" s="17" t="s">
        <v>4064</v>
      </c>
      <c r="E20" s="17" t="s">
        <v>4065</v>
      </c>
      <c r="F20" s="17" t="s">
        <v>4066</v>
      </c>
      <c r="G20" s="17" t="s">
        <v>4067</v>
      </c>
      <c r="H20" s="17" t="s">
        <v>3683</v>
      </c>
      <c r="I20" s="17" t="s">
        <v>4056</v>
      </c>
      <c r="J20" s="17" t="s">
        <v>4068</v>
      </c>
      <c r="K20" s="17">
        <v>6</v>
      </c>
      <c r="L20" s="17">
        <f>IF($A20="","",COUNTIFS(_DATA_RiskInitiativeMap!$A$444:$A$867,$A20,_DATA_RiskInitiativeMap!$G$444:$G$867,"&gt;0"))</f>
        <v>6</v>
      </c>
      <c r="M20" s="17">
        <f>IF($A20="","",COUNTIFS(_DATA_RiskInitiativeMap!$A$444:$A$867,$A20,_DATA_RiskInitiativeMap!$G$444:$G$867,"&gt;0"))</f>
        <v>6</v>
      </c>
      <c r="N20" s="17">
        <f>IFERROR(AVERAGEIFS(_DATA_Assessment_Model!$H$5:$H$428,_DATA_Assessment_Model!$AW$5:$AW$428,$B20,_DATA_Assessment_Model!$B$5:$B$428,$C20),"")</f>
        <v>0</v>
      </c>
      <c r="O20" s="17">
        <f t="shared" si="0"/>
        <v>5</v>
      </c>
      <c r="P20" s="17">
        <f>IFERROR(INDEX(_DATA_Dashboard_Facts!$H$5:$H$21,MATCH($B20,_DATA_Dashboard_Facts!$A$5:$A$21,0)),"")</f>
        <v>0</v>
      </c>
      <c r="Q20" s="17">
        <f t="shared" si="1"/>
        <v>5</v>
      </c>
      <c r="R20" s="17">
        <f>IF(OR('Resilience &amp; Risk Scenario'!$B$6="",'Resilience &amp; Risk Scenario'!$B$7&lt;=0),1,IFERROR(IF(SUMIFS(_ENGINE_Crisis!$D$5:$D$208,_ENGINE_Crisis!$A$5:$A$208,'Resilience &amp; Risk Scenario'!$B$6,_ENGINE_Crisis!$B$5:$B$208,$B20)=0,1,SUMIFS(_ENGINE_Crisis!$D$5:$D$208,_ENGINE_Crisis!$A$5:$A$208,'Resilience &amp; Risk Scenario'!$B$6,_ENGINE_Crisis!$B$5:$B$208,$B20)),1))</f>
        <v>1</v>
      </c>
      <c r="S20" s="17">
        <f>IFERROR(INDEX(_ENGINE_Strategy!$A$100:$A$113,MATCH($D20,_ENGINE_Strategy!$B$100:$B$113,0)),99)</f>
        <v>4</v>
      </c>
      <c r="T20" s="17">
        <f>IFERROR(INDEX(_ENGINE_Strategy!$J$100:$J$113,MATCH($D20,_ENGINE_Strategy!$B$100:$B$113,0)),0)</f>
        <v>69</v>
      </c>
      <c r="U20" s="17">
        <v>2</v>
      </c>
      <c r="V20" s="17">
        <v>4</v>
      </c>
      <c r="W20" s="17">
        <v>5</v>
      </c>
      <c r="X20" s="17">
        <f t="shared" si="2"/>
        <v>4.6124999999999998</v>
      </c>
      <c r="Y20" s="17">
        <f>IF($P20="","",MAX(1,MIN(5,1+N($O20)*0.45+MIN(2,N($M20)*0.3)+($R20-1)*1.2+IF('Resilience &amp; Risk Scenario'!$B$7="",1,'Resilience &amp; Risk Scenario'!$B$7)*0.25)))</f>
        <v>5</v>
      </c>
      <c r="Z20" s="17">
        <f t="shared" si="3"/>
        <v>4.8</v>
      </c>
      <c r="AA20" s="17">
        <f t="shared" si="4"/>
        <v>3.335</v>
      </c>
      <c r="AB20" s="17">
        <v>3</v>
      </c>
      <c r="AC20" s="17">
        <f t="shared" si="5"/>
        <v>1.75</v>
      </c>
      <c r="AD20" s="17">
        <f t="shared" si="6"/>
        <v>32</v>
      </c>
      <c r="AE20" s="17" t="str">
        <f t="shared" si="7"/>
        <v>3-6 months</v>
      </c>
      <c r="AF20" s="17" t="s">
        <v>4058</v>
      </c>
      <c r="AG20" s="17" t="s">
        <v>3963</v>
      </c>
      <c r="AH20" s="17" t="s">
        <v>3931</v>
      </c>
      <c r="AI20" s="17" t="s">
        <v>3932</v>
      </c>
      <c r="AJ20" s="17" t="s">
        <v>4069</v>
      </c>
      <c r="AK20" s="17" t="s">
        <v>4070</v>
      </c>
      <c r="AL20" s="17" t="s">
        <v>4071</v>
      </c>
      <c r="AM20" s="17" t="s">
        <v>4072</v>
      </c>
      <c r="AN20" s="17" t="s">
        <v>3937</v>
      </c>
      <c r="AO20" s="17" t="s">
        <v>3938</v>
      </c>
      <c r="AP20" s="17" t="s">
        <v>546</v>
      </c>
      <c r="AQ20" s="17"/>
      <c r="AR20" s="17"/>
      <c r="AS20" s="14">
        <f>IFERROR((IF(SUMIFS(_REF_Model_Content!$J$1:$J$157,_REF_Model_Content!$A$1:$A$174,PV_Canonical_Industry,_REF_Model_Content!$B$1:$B$174,$B20)=0,1,SUMIFS(_REF_Model_Content!$J$1:$J$157,_REF_Model_Content!$A$1:$A$174,PV_Canonical_Industry,_REF_Model_Content!$B$1:$B$174,$B20))*IFERROR($CA20,1)),1)</f>
        <v>1</v>
      </c>
      <c r="AT20" s="14">
        <f t="shared" si="8"/>
        <v>1.75</v>
      </c>
      <c r="AU20" s="14">
        <f>IF($AT20="","",RANK($AT20,$AT$5:$AT$76,0)+COUNTIF($AT$5:AT20,$AT20)-1)</f>
        <v>32</v>
      </c>
      <c r="AV20" s="14">
        <f>IFERROR(INDEX(_DATA_Dashboard_Facts!$G$300:$G$316,MATCH($B20,_DATA_Dashboard_Facts!$A$300:$A$316,0)),"")</f>
        <v>0</v>
      </c>
      <c r="AW20" s="14" t="str">
        <f t="shared" si="9"/>
        <v>Relevance-neutral priority</v>
      </c>
      <c r="AX20">
        <f>IFERROR(INDEX('Action Plan &amp; Roadmap'!$D$59:$D$130,MATCH($A20,'Action Plan &amp; Roadmap'!$A$59:$A$130,0)),"")</f>
        <v>0</v>
      </c>
      <c r="AY20">
        <f t="shared" si="10"/>
        <v>0</v>
      </c>
      <c r="AZ20" t="s">
        <v>4062</v>
      </c>
      <c r="BA20">
        <f>IF($A20="","",COUNTIF(_DATA_RiskInitiativeMap!$A$1:$A$867,$A20))</f>
        <v>6</v>
      </c>
      <c r="BB20">
        <f>IF($A20="","",IFERROR(AVERAGEIF(_DATA_RiskInitiativeMap!$A$1:$A$867,$A20,_DATA_RiskInitiativeMap!$G$1:$G$867),0))</f>
        <v>17.621666666666666</v>
      </c>
      <c r="BC20">
        <f t="shared" si="11"/>
        <v>4.7</v>
      </c>
      <c r="BD20">
        <f t="shared" si="12"/>
        <v>4.3335166666666671</v>
      </c>
      <c r="BI20" s="17" t="str">
        <f>IFERROR(_CONFIG_Model_Settings!$B$103,"Adaptive")</f>
        <v>Fragile</v>
      </c>
      <c r="BJ20" s="17">
        <f>IFERROR(INDEX(_CONFIG_Model_Settings!$B$109:$B$113,MATCH($BI20,_CONFIG_Model_Settings!$A$109:$A$113,0)),0.3)</f>
        <v>0.2</v>
      </c>
      <c r="BK20" s="17">
        <f>IFERROR(INDEX(_CONFIG_Model_Settings!$C$109:$C$113,MATCH($BI20,_CONFIG_Model_Settings!$A$109:$A$113,0)),0.2)</f>
        <v>0.3</v>
      </c>
      <c r="BL20" s="17">
        <f>IFERROR(INDEX(_CONFIG_Model_Settings!$D$109:$D$113,MATCH($BI20,_CONFIG_Model_Settings!$A$109:$A$113,0)),0.25)</f>
        <v>0.4</v>
      </c>
      <c r="BM20" s="17">
        <f>IFERROR(INDEX(_CONFIG_Model_Settings!$E$109:$E$113,MATCH($BI20,_CONFIG_Model_Settings!$A$109:$A$113,0)),0.25)</f>
        <v>0.1</v>
      </c>
      <c r="BN20" s="17">
        <f>IFERROR(INDEX(_CONFIG_Model_Settings!$B$117:$B$123,MATCH(_CONFIG_Model_Settings!$B$104,_CONFIG_Model_Settings!$A$117:$A$123,0)),1)</f>
        <v>1</v>
      </c>
      <c r="BO20" s="17">
        <f>IFERROR(INDEX(_CONFIG_Model_Settings!$C$117:$C$123,MATCH(_CONFIG_Model_Settings!$B$104,_CONFIG_Model_Settings!$A$117:$A$123,0)),1)</f>
        <v>1</v>
      </c>
      <c r="BP20" s="17">
        <f>IFERROR(INDEX(_CONFIG_Model_Settings!$D$117:$D$123,MATCH(_CONFIG_Model_Settings!$B$104,_CONFIG_Model_Settings!$A$117:$A$123,0)),1)</f>
        <v>1</v>
      </c>
      <c r="BQ20" s="17">
        <f>IFERROR(INDEX(_CONFIG_Model_Settings!$E$117:$E$123,MATCH(_CONFIG_Model_Settings!$B$104,_CONFIG_Model_Settings!$A$117:$A$123,0)),1)</f>
        <v>1</v>
      </c>
      <c r="BR20" s="17">
        <f>IF(OR($A20="",$P20=""),"",MIN(5,IFERROR(SUMIF(_DATA_RiskInitiativeMap!$A$1:$A$867,$A20,_DATA_RiskInitiativeMap!$K$1:$K$867)/MAX(1,_CONFIG_Model_Settings!$B$166),0)))</f>
        <v>5</v>
      </c>
      <c r="BS20" s="17">
        <f t="shared" si="13"/>
        <v>5.24</v>
      </c>
      <c r="BT20" s="17">
        <f t="shared" si="14"/>
        <v>3</v>
      </c>
      <c r="BU20" s="17">
        <f t="shared" si="15"/>
        <v>1.75</v>
      </c>
      <c r="BV20" s="17">
        <f>IF(OR($P20="",$BU20="",$AY20="Done",$AY20="Not applicable"),"",ROUND($BU20*N($AS20)*IF(OR('Resilience &amp; Risk Scenario'!$B$6="",'Resilience &amp; Risk Scenario'!$B$7&lt;=0),1,IFERROR(1+MIN(0.75,INDEX('Resilience &amp; Risk Scenario'!$E$21:$E$37,MATCH($B20,'Resilience &amp; Risk Scenario'!$B$21:$B$37,0))/10),1)),2))</f>
        <v>1.75</v>
      </c>
      <c r="BW20" s="17">
        <f>IF($BV20="","",RANK($BV20,$BV$5:$BV$76,0)+COUNTIF($BV$5:$BV20,$BV20)-1)</f>
        <v>32</v>
      </c>
      <c r="BX20" s="17" t="str">
        <f t="shared" si="16"/>
        <v>3-6 months</v>
      </c>
      <c r="BY20" t="str">
        <f>IFERROR(IF($A20="","","P2: "&amp;$BI20&amp;" posture; objective="&amp;IF(_CONFIG_Model_Settings!$B$104="","Neutral/default",_CONFIG_Model_Settings!$B$104)&amp;"; relevance="&amp;ROUND(N($AS20),2)&amp;"; scenario/domain boost="&amp;ROUND(IF(OR('Resilience &amp; Risk Scenario'!$B$6="",'Resilience &amp; Risk Scenario'!$B$7&lt;=0),1,IFERROR(1+MIN(0.75,INDEX('Resilience &amp; Risk Scenario'!$E$21:$E$37,MATCH($B20,'Resilience &amp; Risk Scenario'!$B$21:$B$37,0))/10),1)),2)&amp;"; financial score="&amp;ROUND(N($BR20),1)&amp;"; CoD="&amp;$BS20&amp;IF($CL20&lt;&gt;"","; wording="&amp;$CL20,"")),"")</f>
        <v>P2: Fragile posture; objective=Neutral/default; relevance=1; scenario/domain boost=1; financial score=5; CoD=5.24; wording=Strengthen Payment continuity</v>
      </c>
      <c r="BZ20" t="str">
        <f>IFERROR(INDEX(_REF_Capability_Bridge!$D:$D,MATCH($B20&amp;"|"&amp;$C20,_REF_Capability_Bridge!$J:$J,0)),IFERROR(INDEX(_REF_Capability_Bridge!$D:$D,MATCH($B20&amp;"|",_REF_Capability_Bridge!$J:$J,0)),"CAP_GENERIC"))</f>
        <v>CAP_PAYMENT_CONTINUITY</v>
      </c>
      <c r="CA20">
        <f>IFERROR(IFERROR(INDEX(_ENGINE_Relevance!$L:$L,MATCH($BZ20,_ENGINE_Relevance!$B:$B,0)),1),1)</f>
        <v>1</v>
      </c>
      <c r="CB20" t="str">
        <f>IFERROR(INDEX(_REF_Capability_Bridge!$A:$A,MATCH($B20&amp;"|"&amp;$C20,_REF_Capability_Bridge!$J:$J,0)),IFERROR(INDEX(_REF_Capability_Bridge!$A:$A,MATCH($B20&amp;"|",_REF_Capability_Bridge!$J:$J,0)),"No bridge"))</f>
        <v>BRG-030</v>
      </c>
      <c r="CC20" t="str">
        <f t="shared" si="17"/>
        <v>Capability relevance neutral</v>
      </c>
      <c r="CD20" t="str">
        <f t="shared" si="18"/>
        <v>Initial / absent</v>
      </c>
      <c r="CE20" t="str">
        <f>IF($A20="","",IFERROR(INDEX(_REF_Treatment_Library!$A$2:$A$296,MATCH(1,INDEX((_REF_Treatment_Library!$B$2:$B$296=$BZ20)*(_REF_Treatment_Library!$C$2:$C$296=PV_Canonical_Industry)*(_REF_Treatment_Library!$E$2:$E$296&lt;=N($N20))*(_REF_Treatment_Library!$F$2:$F$296&gt;=N($N20))*(_REF_Treatment_Library!$O$2:$O$296="Yes"),0),0)),IFERROR(INDEX(_REF_Treatment_Library!$A$2:$A$296,MATCH(1,INDEX((_REF_Treatment_Library!$B$2:$B$296=$BZ20)*(_REF_Treatment_Library!$C$2:$C$296="All")*(_REF_Treatment_Library!$E$2:$E$296&lt;=N($N20))*(_REF_Treatment_Library!$F$2:$F$296&gt;=N($N20))*(_REF_Treatment_Library!$O$2:$O$296="Yes"),0),0)),"")))</f>
        <v>TRT-PAYMENT_CONTINUITY-INITIAL</v>
      </c>
      <c r="CF20" t="str">
        <f>IF($CE20="","",IFERROR(INDEX(_REF_Treatment_Library!$H$2:$H$296,MATCH($CE20,_REF_Treatment_Library!$A$2:$A$296,0)),""))</f>
        <v>Establish</v>
      </c>
      <c r="CG20" t="str">
        <f>IF($CE20="","",IFERROR(INDEX(_REF_Treatment_Library!$I$2:$I$296,MATCH($CE20,_REF_Treatment_Library!$A$2:$A$296,0)),""))</f>
        <v>Establish baseline controls for Payment continuity</v>
      </c>
      <c r="CH20" t="str">
        <f>IF($CE20="","",IFERROR(INDEX(_REF_Treatment_Library!$K$2:$K$296,MATCH($CE20,_REF_Treatment_Library!$A$2:$A$296,0)),""))</f>
        <v>Named owner, baseline process, minimum control checklist, first evidence package</v>
      </c>
      <c r="CI20" t="str">
        <f>IF($CE20="","",IFERROR(INDEX(_REF_Treatment_Library!$L$2:$L$296,MATCH($CE20,_REF_Treatment_Library!$A$2:$A$296,0)),""))</f>
        <v>Owner assigned; baseline evidence coverage; open critical gaps</v>
      </c>
      <c r="CJ20" t="str">
        <f t="shared" si="19"/>
        <v>Treatment by capability=CAP_PAYMENT_CONTINUITY; band=Initial / absent; score=0.0; treatment=Establish</v>
      </c>
      <c r="CK20" t="str">
        <f>IF($A20="","",IFERROR(INDEX(_REF_Industry_Wording!$A$2:$A$70,MATCH(1,INDEX((_REF_Industry_Wording!$B$2:$B$70=$BZ20)*(_REF_Industry_Wording!$C$2:$C$70=PV_Canonical_Industry)*(_REF_Industry_Wording!$K$2:$K$70="Yes"),0),0)),IFERROR(INDEX(_REF_Industry_Wording!$A$2:$A$70,MATCH(1,INDEX((_REF_Industry_Wording!$B$2:$B$70=$BZ20)*(_REF_Industry_Wording!$C$2:$C$70="All")*(_REF_Industry_Wording!$K$2:$K$70="Yes"),0),0)),"")))</f>
        <v>IW-ALL-PAYMENT_CONTINUITY</v>
      </c>
      <c r="CL20" t="str">
        <f>IF($CK20="","",IFERROR(INDEX(_REF_Industry_Wording!$F$2:$F$70,MATCH($CK20,_REF_Industry_Wording!$A$2:$A$70,0)),""))</f>
        <v>Strengthen Payment continuity</v>
      </c>
      <c r="CM20" t="str">
        <f>IF($CK20="","",IFERROR(INDEX(_REF_Industry_Wording!$G$2:$G$70,MATCH($CK20,_REF_Industry_Wording!$A$2:$A$70,0)),""))</f>
        <v>Strengthen Payment continuity using the selected maturity treatment, crisis scenario and evidence requirements.</v>
      </c>
      <c r="CN20" t="str">
        <f>IF($CK20="","",IFERROR(INDEX(_REF_Industry_Wording!$H$2:$H$70,MATCH($CK20,_REF_Industry_Wording!$A$2:$A$70,0)),""))</f>
        <v>Payment continuity</v>
      </c>
      <c r="CO20">
        <f>IF($CK20="","",IFERROR(INDEX(_REF_Industry_Wording!$I$2:$I$70,MATCH($CK20,_REF_Industry_Wording!$A$2:$A$70,0)),""))</f>
        <v>0</v>
      </c>
      <c r="CP20" t="str">
        <f>IF($CK20="","",IFERROR(INDEX(_REF_Industry_Wording!$J$2:$J$70,MATCH($CK20,_REF_Industry_Wording!$A$2:$A$70,0)),""))</f>
        <v>Payment continuity</v>
      </c>
      <c r="CQ20" t="str">
        <f t="shared" si="20"/>
        <v>Wording by industry=0; capability=CAP_PAYMENT_CONTINUITY; title=Strengthen Payment continuity</v>
      </c>
      <c r="CR20" t="str">
        <f t="shared" si="21"/>
        <v>INIT-ONT-0016</v>
      </c>
      <c r="CS20">
        <f t="shared" si="22"/>
        <v>20</v>
      </c>
      <c r="CT20" t="str">
        <f t="shared" si="23"/>
        <v>CAP_PAYMENT_CONTINUITY</v>
      </c>
      <c r="CU20" t="str">
        <f t="shared" si="24"/>
        <v>INI-016|Finance Procurement|Controls and accounting|CAP_PAYMENT_CONTINUITY</v>
      </c>
      <c r="CV20" t="str">
        <f t="shared" si="25"/>
        <v>Active</v>
      </c>
      <c r="CW20" t="str">
        <f t="shared" si="26"/>
        <v>OK: capability-driven</v>
      </c>
      <c r="CX20" t="str">
        <f t="shared" si="27"/>
        <v>Initiative ontology uses capability=CAP_PAYMENT_CONTINUITY; bridge=BRG-030; treatment=TRT-PAYMENT_CONTINUITY-INITIAL; wording=IW-ALL-PAYMENT_CONTINUITY</v>
      </c>
    </row>
    <row r="21" spans="1:102" ht="42" customHeight="1">
      <c r="A21" s="17" t="s">
        <v>4073</v>
      </c>
      <c r="B21" s="17" t="s">
        <v>1401</v>
      </c>
      <c r="C21" s="17" t="s">
        <v>1422</v>
      </c>
      <c r="D21" s="17" t="s">
        <v>4074</v>
      </c>
      <c r="E21" s="17" t="s">
        <v>4075</v>
      </c>
      <c r="F21" s="17" t="s">
        <v>4076</v>
      </c>
      <c r="G21" s="17" t="s">
        <v>4077</v>
      </c>
      <c r="H21" s="17" t="s">
        <v>3683</v>
      </c>
      <c r="I21" s="17" t="s">
        <v>4056</v>
      </c>
      <c r="J21" s="17" t="s">
        <v>4078</v>
      </c>
      <c r="K21" s="17">
        <v>6</v>
      </c>
      <c r="L21" s="17">
        <f>IF($A21="","",COUNTIFS(_DATA_RiskInitiativeMap!$A$444:$A$867,$A21,_DATA_RiskInitiativeMap!$G$444:$G$867,"&gt;0"))</f>
        <v>6</v>
      </c>
      <c r="M21" s="17">
        <f>IF($A21="","",COUNTIFS(_DATA_RiskInitiativeMap!$A$444:$A$867,$A21,_DATA_RiskInitiativeMap!$G$444:$G$867,"&gt;0"))</f>
        <v>6</v>
      </c>
      <c r="N21" s="17">
        <f>IFERROR(AVERAGEIFS(_DATA_Assessment_Model!$H$5:$H$428,_DATA_Assessment_Model!$AW$5:$AW$428,$B21,_DATA_Assessment_Model!$B$5:$B$428,$C21),"")</f>
        <v>0</v>
      </c>
      <c r="O21" s="17">
        <f t="shared" si="0"/>
        <v>5</v>
      </c>
      <c r="P21" s="17">
        <f>IFERROR(INDEX(_DATA_Dashboard_Facts!$H$5:$H$21,MATCH($B21,_DATA_Dashboard_Facts!$A$5:$A$21,0)),"")</f>
        <v>0</v>
      </c>
      <c r="Q21" s="17">
        <f t="shared" si="1"/>
        <v>5</v>
      </c>
      <c r="R21" s="17">
        <f>IF(OR('Resilience &amp; Risk Scenario'!$B$6="",'Resilience &amp; Risk Scenario'!$B$7&lt;=0),1,IFERROR(IF(SUMIFS(_ENGINE_Crisis!$D$5:$D$208,_ENGINE_Crisis!$A$5:$A$208,'Resilience &amp; Risk Scenario'!$B$6,_ENGINE_Crisis!$B$5:$B$208,$B21)=0,1,SUMIFS(_ENGINE_Crisis!$D$5:$D$208,_ENGINE_Crisis!$A$5:$A$208,'Resilience &amp; Risk Scenario'!$B$6,_ENGINE_Crisis!$B$5:$B$208,$B21)),1))</f>
        <v>1</v>
      </c>
      <c r="S21" s="17">
        <f>IFERROR(INDEX(_ENGINE_Strategy!$A$100:$A$113,MATCH($D21,_ENGINE_Strategy!$B$100:$B$113,0)),99)</f>
        <v>4</v>
      </c>
      <c r="T21" s="17">
        <f>IFERROR(INDEX(_ENGINE_Strategy!$J$100:$J$113,MATCH($D21,_ENGINE_Strategy!$B$100:$B$113,0)),0)</f>
        <v>69</v>
      </c>
      <c r="U21" s="17">
        <v>3</v>
      </c>
      <c r="V21" s="17">
        <v>5</v>
      </c>
      <c r="W21" s="17">
        <v>4</v>
      </c>
      <c r="X21" s="17">
        <f t="shared" si="2"/>
        <v>4.6124999999999998</v>
      </c>
      <c r="Y21" s="17">
        <f>IF($P21="","",MAX(1,MIN(5,1+N($O21)*0.45+MIN(2,N($M21)*0.3)+($R21-1)*1.2+IF('Resilience &amp; Risk Scenario'!$B$7="",1,'Resilience &amp; Risk Scenario'!$B$7)*0.25)))</f>
        <v>5</v>
      </c>
      <c r="Z21" s="17">
        <f t="shared" si="3"/>
        <v>5</v>
      </c>
      <c r="AA21" s="17">
        <f t="shared" si="4"/>
        <v>3.4350000000000005</v>
      </c>
      <c r="AB21" s="17">
        <v>3</v>
      </c>
      <c r="AC21" s="17">
        <f t="shared" si="5"/>
        <v>1.76</v>
      </c>
      <c r="AD21" s="17">
        <f t="shared" si="6"/>
        <v>30</v>
      </c>
      <c r="AE21" s="17" t="str">
        <f t="shared" si="7"/>
        <v>3-6 months</v>
      </c>
      <c r="AF21" s="17" t="s">
        <v>4058</v>
      </c>
      <c r="AG21" s="17" t="s">
        <v>3963</v>
      </c>
      <c r="AH21" s="17" t="s">
        <v>3931</v>
      </c>
      <c r="AI21" s="17" t="s">
        <v>3932</v>
      </c>
      <c r="AJ21" s="17" t="s">
        <v>4079</v>
      </c>
      <c r="AK21" s="17" t="s">
        <v>4080</v>
      </c>
      <c r="AL21" s="17" t="s">
        <v>4081</v>
      </c>
      <c r="AM21" s="17" t="s">
        <v>4082</v>
      </c>
      <c r="AN21" s="17" t="s">
        <v>3937</v>
      </c>
      <c r="AO21" s="17" t="s">
        <v>3938</v>
      </c>
      <c r="AP21" s="17" t="s">
        <v>546</v>
      </c>
      <c r="AQ21" s="17"/>
      <c r="AR21" s="17"/>
      <c r="AS21" s="14">
        <f>IFERROR((IF(SUMIFS(_REF_Model_Content!$J$1:$J$157,_REF_Model_Content!$A$1:$A$174,PV_Canonical_Industry,_REF_Model_Content!$B$1:$B$174,$B21)=0,1,SUMIFS(_REF_Model_Content!$J$1:$J$157,_REF_Model_Content!$A$1:$A$174,PV_Canonical_Industry,_REF_Model_Content!$B$1:$B$174,$B21))*IFERROR($CA21,1)),1)</f>
        <v>1</v>
      </c>
      <c r="AT21" s="14">
        <f t="shared" si="8"/>
        <v>1.76</v>
      </c>
      <c r="AU21" s="14">
        <f>IF($AT21="","",RANK($AT21,$AT$5:$AT$76,0)+COUNTIF($AT$5:AT21,$AT21)-1)</f>
        <v>30</v>
      </c>
      <c r="AV21" s="14">
        <f>IFERROR(INDEX(_DATA_Dashboard_Facts!$G$300:$G$316,MATCH($B21,_DATA_Dashboard_Facts!$A$300:$A$316,0)),"")</f>
        <v>0</v>
      </c>
      <c r="AW21" s="14" t="str">
        <f t="shared" si="9"/>
        <v>Relevance-neutral priority</v>
      </c>
      <c r="AX21">
        <f>IFERROR(INDEX('Action Plan &amp; Roadmap'!$D$59:$D$130,MATCH($A21,'Action Plan &amp; Roadmap'!$A$59:$A$130,0)),"")</f>
        <v>0</v>
      </c>
      <c r="AY21">
        <f t="shared" si="10"/>
        <v>0</v>
      </c>
      <c r="AZ21" t="s">
        <v>4083</v>
      </c>
      <c r="BA21">
        <f>IF($A21="","",COUNTIF(_DATA_RiskInitiativeMap!$A$1:$A$867,$A21))</f>
        <v>6</v>
      </c>
      <c r="BB21">
        <f>IF($A21="","",IFERROR(AVERAGEIF(_DATA_RiskInitiativeMap!$A$1:$A$867,$A21,_DATA_RiskInitiativeMap!$G$1:$G$867),0))</f>
        <v>17.293333333333333</v>
      </c>
      <c r="BC21">
        <f t="shared" si="11"/>
        <v>4.8</v>
      </c>
      <c r="BD21">
        <f t="shared" si="12"/>
        <v>4.4205333333333332</v>
      </c>
      <c r="BI21" s="17" t="str">
        <f>IFERROR(_CONFIG_Model_Settings!$B$103,"Adaptive")</f>
        <v>Fragile</v>
      </c>
      <c r="BJ21" s="17">
        <f>IFERROR(INDEX(_CONFIG_Model_Settings!$B$109:$B$113,MATCH($BI21,_CONFIG_Model_Settings!$A$109:$A$113,0)),0.3)</f>
        <v>0.2</v>
      </c>
      <c r="BK21" s="17">
        <f>IFERROR(INDEX(_CONFIG_Model_Settings!$C$109:$C$113,MATCH($BI21,_CONFIG_Model_Settings!$A$109:$A$113,0)),0.2)</f>
        <v>0.3</v>
      </c>
      <c r="BL21" s="17">
        <f>IFERROR(INDEX(_CONFIG_Model_Settings!$D$109:$D$113,MATCH($BI21,_CONFIG_Model_Settings!$A$109:$A$113,0)),0.25)</f>
        <v>0.4</v>
      </c>
      <c r="BM21" s="17">
        <f>IFERROR(INDEX(_CONFIG_Model_Settings!$E$109:$E$113,MATCH($BI21,_CONFIG_Model_Settings!$A$109:$A$113,0)),0.25)</f>
        <v>0.1</v>
      </c>
      <c r="BN21" s="17">
        <f>IFERROR(INDEX(_CONFIG_Model_Settings!$B$117:$B$123,MATCH(_CONFIG_Model_Settings!$B$104,_CONFIG_Model_Settings!$A$117:$A$123,0)),1)</f>
        <v>1</v>
      </c>
      <c r="BO21" s="17">
        <f>IFERROR(INDEX(_CONFIG_Model_Settings!$C$117:$C$123,MATCH(_CONFIG_Model_Settings!$B$104,_CONFIG_Model_Settings!$A$117:$A$123,0)),1)</f>
        <v>1</v>
      </c>
      <c r="BP21" s="17">
        <f>IFERROR(INDEX(_CONFIG_Model_Settings!$D$117:$D$123,MATCH(_CONFIG_Model_Settings!$B$104,_CONFIG_Model_Settings!$A$117:$A$123,0)),1)</f>
        <v>1</v>
      </c>
      <c r="BQ21" s="17">
        <f>IFERROR(INDEX(_CONFIG_Model_Settings!$E$117:$E$123,MATCH(_CONFIG_Model_Settings!$B$104,_CONFIG_Model_Settings!$A$117:$A$123,0)),1)</f>
        <v>1</v>
      </c>
      <c r="BR21" s="17">
        <f>IF(OR($A21="",$P21=""),"",MIN(5,IFERROR(SUMIF(_DATA_RiskInitiativeMap!$A$1:$A$867,$A21,_DATA_RiskInitiativeMap!$K$1:$K$867)/MAX(1,_CONFIG_Model_Settings!$B$166),0)))</f>
        <v>5</v>
      </c>
      <c r="BS21" s="17">
        <f t="shared" si="13"/>
        <v>5.28</v>
      </c>
      <c r="BT21" s="17">
        <f t="shared" si="14"/>
        <v>3</v>
      </c>
      <c r="BU21" s="17">
        <f t="shared" si="15"/>
        <v>1.76</v>
      </c>
      <c r="BV21" s="17">
        <f>IF(OR($P21="",$BU21="",$AY21="Done",$AY21="Not applicable"),"",ROUND($BU21*N($AS21)*IF(OR('Resilience &amp; Risk Scenario'!$B$6="",'Resilience &amp; Risk Scenario'!$B$7&lt;=0),1,IFERROR(1+MIN(0.75,INDEX('Resilience &amp; Risk Scenario'!$E$21:$E$37,MATCH($B21,'Resilience &amp; Risk Scenario'!$B$21:$B$37,0))/10),1)),2))</f>
        <v>1.76</v>
      </c>
      <c r="BW21" s="17">
        <f>IF($BV21="","",RANK($BV21,$BV$5:$BV$76,0)+COUNTIF($BV$5:$BV21,$BV21)-1)</f>
        <v>30</v>
      </c>
      <c r="BX21" s="17" t="str">
        <f t="shared" si="16"/>
        <v>3-6 months</v>
      </c>
      <c r="BY21" t="str">
        <f>IFERROR(IF($A21="","","P2: "&amp;$BI21&amp;" posture; objective="&amp;IF(_CONFIG_Model_Settings!$B$104="","Neutral/default",_CONFIG_Model_Settings!$B$104)&amp;"; relevance="&amp;ROUND(N($AS21),2)&amp;"; scenario/domain boost="&amp;ROUND(IF(OR('Resilience &amp; Risk Scenario'!$B$6="",'Resilience &amp; Risk Scenario'!$B$7&lt;=0),1,IFERROR(1+MIN(0.75,INDEX('Resilience &amp; Risk Scenario'!$E$21:$E$37,MATCH($B21,'Resilience &amp; Risk Scenario'!$B$21:$B$37,0))/10),1)),2)&amp;"; financial score="&amp;ROUND(N($BR21),1)&amp;"; CoD="&amp;$BS21&amp;IF($CL21&lt;&gt;"","; wording="&amp;$CL21,"")),"")</f>
        <v>P2: Fragile posture; objective=Neutral/default; relevance=1; scenario/domain boost=1; financial score=5; CoD=5.28; wording=Strengthen Fraud monitoring</v>
      </c>
      <c r="BZ21" t="str">
        <f>IFERROR(INDEX(_REF_Capability_Bridge!$D:$D,MATCH($B21&amp;"|"&amp;$C21,_REF_Capability_Bridge!$J:$J,0)),IFERROR(INDEX(_REF_Capability_Bridge!$D:$D,MATCH($B21&amp;"|",_REF_Capability_Bridge!$J:$J,0)),"CAP_GENERIC"))</f>
        <v>CAP_FRAUD_MONITORING</v>
      </c>
      <c r="CA21">
        <f>IFERROR(IFERROR(INDEX(_ENGINE_Relevance!$L:$L,MATCH($BZ21,_ENGINE_Relevance!$B:$B,0)),1),1)</f>
        <v>1</v>
      </c>
      <c r="CB21" t="str">
        <f>IFERROR(INDEX(_REF_Capability_Bridge!$A:$A,MATCH($B21&amp;"|"&amp;$C21,_REF_Capability_Bridge!$J:$J,0)),IFERROR(INDEX(_REF_Capability_Bridge!$A:$A,MATCH($B21&amp;"|",_REF_Capability_Bridge!$J:$J,0)),"No bridge"))</f>
        <v>BRG-032</v>
      </c>
      <c r="CC21" t="str">
        <f t="shared" si="17"/>
        <v>Capability relevance neutral</v>
      </c>
      <c r="CD21" t="str">
        <f t="shared" si="18"/>
        <v>Initial / absent</v>
      </c>
      <c r="CE21" t="str">
        <f>IF($A21="","",IFERROR(INDEX(_REF_Treatment_Library!$A$2:$A$296,MATCH(1,INDEX((_REF_Treatment_Library!$B$2:$B$296=$BZ21)*(_REF_Treatment_Library!$C$2:$C$296=PV_Canonical_Industry)*(_REF_Treatment_Library!$E$2:$E$296&lt;=N($N21))*(_REF_Treatment_Library!$F$2:$F$296&gt;=N($N21))*(_REF_Treatment_Library!$O$2:$O$296="Yes"),0),0)),IFERROR(INDEX(_REF_Treatment_Library!$A$2:$A$296,MATCH(1,INDEX((_REF_Treatment_Library!$B$2:$B$296=$BZ21)*(_REF_Treatment_Library!$C$2:$C$296="All")*(_REF_Treatment_Library!$E$2:$E$296&lt;=N($N21))*(_REF_Treatment_Library!$F$2:$F$296&gt;=N($N21))*(_REF_Treatment_Library!$O$2:$O$296="Yes"),0),0)),"")))</f>
        <v>TRT-FRAUD_MONITORING-INITIAL</v>
      </c>
      <c r="CF21" t="str">
        <f>IF($CE21="","",IFERROR(INDEX(_REF_Treatment_Library!$H$2:$H$296,MATCH($CE21,_REF_Treatment_Library!$A$2:$A$296,0)),""))</f>
        <v>Establish</v>
      </c>
      <c r="CG21" t="str">
        <f>IF($CE21="","",IFERROR(INDEX(_REF_Treatment_Library!$I$2:$I$296,MATCH($CE21,_REF_Treatment_Library!$A$2:$A$296,0)),""))</f>
        <v>Establish baseline controls for Fraud monitoring</v>
      </c>
      <c r="CH21" t="str">
        <f>IF($CE21="","",IFERROR(INDEX(_REF_Treatment_Library!$K$2:$K$296,MATCH($CE21,_REF_Treatment_Library!$A$2:$A$296,0)),""))</f>
        <v>Named owner, baseline process, minimum control checklist, first evidence package</v>
      </c>
      <c r="CI21" t="str">
        <f>IF($CE21="","",IFERROR(INDEX(_REF_Treatment_Library!$L$2:$L$296,MATCH($CE21,_REF_Treatment_Library!$A$2:$A$296,0)),""))</f>
        <v>Owner assigned; baseline evidence coverage; open critical gaps</v>
      </c>
      <c r="CJ21" t="str">
        <f t="shared" si="19"/>
        <v>Treatment by capability=CAP_FRAUD_MONITORING; band=Initial / absent; score=0.0; treatment=Establish</v>
      </c>
      <c r="CK21" t="str">
        <f>IF($A21="","",IFERROR(INDEX(_REF_Industry_Wording!$A$2:$A$70,MATCH(1,INDEX((_REF_Industry_Wording!$B$2:$B$70=$BZ21)*(_REF_Industry_Wording!$C$2:$C$70=PV_Canonical_Industry)*(_REF_Industry_Wording!$K$2:$K$70="Yes"),0),0)),IFERROR(INDEX(_REF_Industry_Wording!$A$2:$A$70,MATCH(1,INDEX((_REF_Industry_Wording!$B$2:$B$70=$BZ21)*(_REF_Industry_Wording!$C$2:$C$70="All")*(_REF_Industry_Wording!$K$2:$K$70="Yes"),0),0)),"")))</f>
        <v>IW-ALL-FRAUD_MONITORING</v>
      </c>
      <c r="CL21" t="str">
        <f>IF($CK21="","",IFERROR(INDEX(_REF_Industry_Wording!$F$2:$F$70,MATCH($CK21,_REF_Industry_Wording!$A$2:$A$70,0)),""))</f>
        <v>Strengthen Fraud monitoring</v>
      </c>
      <c r="CM21" t="str">
        <f>IF($CK21="","",IFERROR(INDEX(_REF_Industry_Wording!$G$2:$G$70,MATCH($CK21,_REF_Industry_Wording!$A$2:$A$70,0)),""))</f>
        <v>Strengthen Fraud monitoring using the selected maturity treatment, crisis scenario and evidence requirements.</v>
      </c>
      <c r="CN21" t="str">
        <f>IF($CK21="","",IFERROR(INDEX(_REF_Industry_Wording!$H$2:$H$70,MATCH($CK21,_REF_Industry_Wording!$A$2:$A$70,0)),""))</f>
        <v>Fraud monitoring</v>
      </c>
      <c r="CO21">
        <f>IF($CK21="","",IFERROR(INDEX(_REF_Industry_Wording!$I$2:$I$70,MATCH($CK21,_REF_Industry_Wording!$A$2:$A$70,0)),""))</f>
        <v>0</v>
      </c>
      <c r="CP21" t="str">
        <f>IF($CK21="","",IFERROR(INDEX(_REF_Industry_Wording!$J$2:$J$70,MATCH($CK21,_REF_Industry_Wording!$A$2:$A$70,0)),""))</f>
        <v>Fraud monitoring</v>
      </c>
      <c r="CQ21" t="str">
        <f t="shared" si="20"/>
        <v>Wording by industry=0; capability=CAP_FRAUD_MONITORING; title=Strengthen Fraud monitoring</v>
      </c>
      <c r="CR21" t="str">
        <f t="shared" si="21"/>
        <v>INIT-ONT-0017</v>
      </c>
      <c r="CS21">
        <f t="shared" si="22"/>
        <v>21</v>
      </c>
      <c r="CT21" t="str">
        <f t="shared" si="23"/>
        <v>CAP_FRAUD_MONITORING</v>
      </c>
      <c r="CU21" t="str">
        <f t="shared" si="24"/>
        <v>INI-017|Finance Procurement|Procurement and suppliers|CAP_FRAUD_MONITORING</v>
      </c>
      <c r="CV21" t="str">
        <f t="shared" si="25"/>
        <v>Active</v>
      </c>
      <c r="CW21" t="str">
        <f t="shared" si="26"/>
        <v>OK: capability-driven</v>
      </c>
      <c r="CX21" t="str">
        <f t="shared" si="27"/>
        <v>Initiative ontology uses capability=CAP_FRAUD_MONITORING; bridge=BRG-032; treatment=TRT-FRAUD_MONITORING-INITIAL; wording=IW-ALL-FRAUD_MONITORING</v>
      </c>
    </row>
    <row r="22" spans="1:102" ht="42" customHeight="1">
      <c r="A22" s="17" t="s">
        <v>4084</v>
      </c>
      <c r="B22" s="17" t="s">
        <v>1401</v>
      </c>
      <c r="C22" s="17" t="s">
        <v>1426</v>
      </c>
      <c r="D22" s="17" t="s">
        <v>3923</v>
      </c>
      <c r="E22" s="17" t="s">
        <v>3924</v>
      </c>
      <c r="F22" s="17" t="s">
        <v>4085</v>
      </c>
      <c r="G22" s="17" t="s">
        <v>4086</v>
      </c>
      <c r="H22" s="17" t="s">
        <v>3683</v>
      </c>
      <c r="I22" s="17" t="s">
        <v>4056</v>
      </c>
      <c r="J22" s="17" t="s">
        <v>4087</v>
      </c>
      <c r="K22" s="17">
        <v>5</v>
      </c>
      <c r="L22" s="17">
        <f>IF($A22="","",COUNTIFS(_DATA_RiskInitiativeMap!$A$444:$A$867,$A22,_DATA_RiskInitiativeMap!$G$444:$G$867,"&gt;0"))</f>
        <v>6</v>
      </c>
      <c r="M22" s="17">
        <f>IF($A22="","",COUNTIFS(_DATA_RiskInitiativeMap!$A$444:$A$867,$A22,_DATA_RiskInitiativeMap!$G$444:$G$867,"&gt;0"))</f>
        <v>6</v>
      </c>
      <c r="N22" s="17">
        <f>IFERROR(AVERAGEIFS(_DATA_Assessment_Model!$H$5:$H$428,_DATA_Assessment_Model!$AW$5:$AW$428,$B22,_DATA_Assessment_Model!$B$5:$B$428,$C22),"")</f>
        <v>0</v>
      </c>
      <c r="O22" s="17">
        <f t="shared" si="0"/>
        <v>5</v>
      </c>
      <c r="P22" s="17">
        <f>IFERROR(INDEX(_DATA_Dashboard_Facts!$H$5:$H$21,MATCH($B22,_DATA_Dashboard_Facts!$A$5:$A$21,0)),"")</f>
        <v>0</v>
      </c>
      <c r="Q22" s="17">
        <f t="shared" si="1"/>
        <v>5</v>
      </c>
      <c r="R22" s="17">
        <f>IF(OR('Resilience &amp; Risk Scenario'!$B$6="",'Resilience &amp; Risk Scenario'!$B$7&lt;=0),1,IFERROR(IF(SUMIFS(_ENGINE_Crisis!$D$5:$D$208,_ENGINE_Crisis!$A$5:$A$208,'Resilience &amp; Risk Scenario'!$B$6,_ENGINE_Crisis!$B$5:$B$208,$B22)=0,1,SUMIFS(_ENGINE_Crisis!$D$5:$D$208,_ENGINE_Crisis!$A$5:$A$208,'Resilience &amp; Risk Scenario'!$B$6,_ENGINE_Crisis!$B$5:$B$208,$B22)),1))</f>
        <v>1</v>
      </c>
      <c r="S22" s="17">
        <f>IFERROR(INDEX(_ENGINE_Strategy!$A$100:$A$113,MATCH($D22,_ENGINE_Strategy!$B$100:$B$113,0)),99)</f>
        <v>8</v>
      </c>
      <c r="T22" s="17">
        <f>IFERROR(INDEX(_ENGINE_Strategy!$J$100:$J$113,MATCH($D22,_ENGINE_Strategy!$B$100:$B$113,0)),0)</f>
        <v>67</v>
      </c>
      <c r="U22" s="17">
        <v>2</v>
      </c>
      <c r="V22" s="17">
        <v>5</v>
      </c>
      <c r="W22" s="17">
        <v>4</v>
      </c>
      <c r="X22" s="17">
        <f t="shared" si="2"/>
        <v>4.5875000000000004</v>
      </c>
      <c r="Y22" s="17">
        <f>IF($P22="","",MAX(1,MIN(5,1+N($O22)*0.45+MIN(2,N($M22)*0.3)+($R22-1)*1.2+IF('Resilience &amp; Risk Scenario'!$B$7="",1,'Resilience &amp; Risk Scenario'!$B$7)*0.25)))</f>
        <v>5</v>
      </c>
      <c r="Z22" s="17">
        <f t="shared" si="3"/>
        <v>5</v>
      </c>
      <c r="AA22" s="17">
        <f t="shared" si="4"/>
        <v>3.0049999999999999</v>
      </c>
      <c r="AB22" s="17">
        <v>3</v>
      </c>
      <c r="AC22" s="17">
        <f t="shared" si="5"/>
        <v>1.75</v>
      </c>
      <c r="AD22" s="17">
        <f t="shared" si="6"/>
        <v>33</v>
      </c>
      <c r="AE22" s="17" t="str">
        <f t="shared" si="7"/>
        <v>6-12 months</v>
      </c>
      <c r="AF22" s="17" t="s">
        <v>4058</v>
      </c>
      <c r="AG22" s="17" t="s">
        <v>3963</v>
      </c>
      <c r="AH22" s="17" t="s">
        <v>3931</v>
      </c>
      <c r="AI22" s="17" t="s">
        <v>3932</v>
      </c>
      <c r="AJ22" s="17" t="s">
        <v>4088</v>
      </c>
      <c r="AK22" s="17" t="s">
        <v>4089</v>
      </c>
      <c r="AL22" s="17" t="s">
        <v>4090</v>
      </c>
      <c r="AM22" s="17" t="s">
        <v>3936</v>
      </c>
      <c r="AN22" s="17" t="s">
        <v>3937</v>
      </c>
      <c r="AO22" s="17" t="s">
        <v>3938</v>
      </c>
      <c r="AP22" s="17" t="s">
        <v>546</v>
      </c>
      <c r="AQ22" s="17"/>
      <c r="AR22" s="17"/>
      <c r="AS22" s="14">
        <f>IFERROR((IF(SUMIFS(_REF_Model_Content!$J$1:$J$157,_REF_Model_Content!$A$1:$A$174,PV_Canonical_Industry,_REF_Model_Content!$B$1:$B$174,$B22)=0,1,SUMIFS(_REF_Model_Content!$J$1:$J$157,_REF_Model_Content!$A$1:$A$174,PV_Canonical_Industry,_REF_Model_Content!$B$1:$B$174,$B22))*IFERROR($CA22,1)),1)</f>
        <v>1</v>
      </c>
      <c r="AT22" s="14">
        <f t="shared" si="8"/>
        <v>1.75</v>
      </c>
      <c r="AU22" s="14">
        <f>IF($AT22="","",RANK($AT22,$AT$5:$AT$76,0)+COUNTIF($AT$5:AT22,$AT22)-1)</f>
        <v>33</v>
      </c>
      <c r="AV22" s="14">
        <f>IFERROR(INDEX(_DATA_Dashboard_Facts!$G$300:$G$316,MATCH($B22,_DATA_Dashboard_Facts!$A$300:$A$316,0)),"")</f>
        <v>0</v>
      </c>
      <c r="AW22" s="14" t="str">
        <f t="shared" si="9"/>
        <v>Relevance-neutral priority</v>
      </c>
      <c r="AX22">
        <f>IFERROR(INDEX('Action Plan &amp; Roadmap'!$D$59:$D$130,MATCH($A22,'Action Plan &amp; Roadmap'!$A$59:$A$130,0)),"")</f>
        <v>0</v>
      </c>
      <c r="AY22">
        <f t="shared" si="10"/>
        <v>0</v>
      </c>
      <c r="AZ22" t="s">
        <v>4062</v>
      </c>
      <c r="BA22">
        <f>IF($A22="","",COUNTIF(_DATA_RiskInitiativeMap!$A$1:$A$867,$A22))</f>
        <v>6</v>
      </c>
      <c r="BB22">
        <f>IF($A22="","",IFERROR(AVERAGEIF(_DATA_RiskInitiativeMap!$A$1:$A$867,$A22,_DATA_RiskInitiativeMap!$G$1:$G$867),0))</f>
        <v>17.456666666666667</v>
      </c>
      <c r="BC22">
        <f t="shared" si="11"/>
        <v>4.8</v>
      </c>
      <c r="BD22">
        <f t="shared" si="12"/>
        <v>4.4319666666666668</v>
      </c>
      <c r="BI22" s="17" t="str">
        <f>IFERROR(_CONFIG_Model_Settings!$B$103,"Adaptive")</f>
        <v>Fragile</v>
      </c>
      <c r="BJ22" s="17">
        <f>IFERROR(INDEX(_CONFIG_Model_Settings!$B$109:$B$113,MATCH($BI22,_CONFIG_Model_Settings!$A$109:$A$113,0)),0.3)</f>
        <v>0.2</v>
      </c>
      <c r="BK22" s="17">
        <f>IFERROR(INDEX(_CONFIG_Model_Settings!$C$109:$C$113,MATCH($BI22,_CONFIG_Model_Settings!$A$109:$A$113,0)),0.2)</f>
        <v>0.3</v>
      </c>
      <c r="BL22" s="17">
        <f>IFERROR(INDEX(_CONFIG_Model_Settings!$D$109:$D$113,MATCH($BI22,_CONFIG_Model_Settings!$A$109:$A$113,0)),0.25)</f>
        <v>0.4</v>
      </c>
      <c r="BM22" s="17">
        <f>IFERROR(INDEX(_CONFIG_Model_Settings!$E$109:$E$113,MATCH($BI22,_CONFIG_Model_Settings!$A$109:$A$113,0)),0.25)</f>
        <v>0.1</v>
      </c>
      <c r="BN22" s="17">
        <f>IFERROR(INDEX(_CONFIG_Model_Settings!$B$117:$B$123,MATCH(_CONFIG_Model_Settings!$B$104,_CONFIG_Model_Settings!$A$117:$A$123,0)),1)</f>
        <v>1</v>
      </c>
      <c r="BO22" s="17">
        <f>IFERROR(INDEX(_CONFIG_Model_Settings!$C$117:$C$123,MATCH(_CONFIG_Model_Settings!$B$104,_CONFIG_Model_Settings!$A$117:$A$123,0)),1)</f>
        <v>1</v>
      </c>
      <c r="BP22" s="17">
        <f>IFERROR(INDEX(_CONFIG_Model_Settings!$D$117:$D$123,MATCH(_CONFIG_Model_Settings!$B$104,_CONFIG_Model_Settings!$A$117:$A$123,0)),1)</f>
        <v>1</v>
      </c>
      <c r="BQ22" s="17">
        <f>IFERROR(INDEX(_CONFIG_Model_Settings!$E$117:$E$123,MATCH(_CONFIG_Model_Settings!$B$104,_CONFIG_Model_Settings!$A$117:$A$123,0)),1)</f>
        <v>1</v>
      </c>
      <c r="BR22" s="17">
        <f>IF(OR($A22="",$P22=""),"",MIN(5,IFERROR(SUMIF(_DATA_RiskInitiativeMap!$A$1:$A$867,$A22,_DATA_RiskInitiativeMap!$K$1:$K$867)/MAX(1,_CONFIG_Model_Settings!$B$166),0)))</f>
        <v>5</v>
      </c>
      <c r="BS22" s="17">
        <f t="shared" si="13"/>
        <v>5.24</v>
      </c>
      <c r="BT22" s="17">
        <f t="shared" si="14"/>
        <v>3</v>
      </c>
      <c r="BU22" s="17">
        <f t="shared" si="15"/>
        <v>1.75</v>
      </c>
      <c r="BV22" s="17">
        <f>IF(OR($P22="",$BU22="",$AY22="Done",$AY22="Not applicable"),"",ROUND($BU22*N($AS22)*IF(OR('Resilience &amp; Risk Scenario'!$B$6="",'Resilience &amp; Risk Scenario'!$B$7&lt;=0),1,IFERROR(1+MIN(0.75,INDEX('Resilience &amp; Risk Scenario'!$E$21:$E$37,MATCH($B22,'Resilience &amp; Risk Scenario'!$B$21:$B$37,0))/10),1)),2))</f>
        <v>1.75</v>
      </c>
      <c r="BW22" s="17">
        <f>IF($BV22="","",RANK($BV22,$BV$5:$BV$76,0)+COUNTIF($BV$5:$BV22,$BV22)-1)</f>
        <v>33</v>
      </c>
      <c r="BX22" s="17" t="str">
        <f t="shared" si="16"/>
        <v>6-12 months</v>
      </c>
      <c r="BY22" t="str">
        <f>IFERROR(IF($A22="","","P2: "&amp;$BI22&amp;" posture; objective="&amp;IF(_CONFIG_Model_Settings!$B$104="","Neutral/default",_CONFIG_Model_Settings!$B$104)&amp;"; relevance="&amp;ROUND(N($AS22),2)&amp;"; scenario/domain boost="&amp;ROUND(IF(OR('Resilience &amp; Risk Scenario'!$B$6="",'Resilience &amp; Risk Scenario'!$B$7&lt;=0),1,IFERROR(1+MIN(0.75,INDEX('Resilience &amp; Risk Scenario'!$E$21:$E$37,MATCH($B22,'Resilience &amp; Risk Scenario'!$B$21:$B$37,0))/10),1)),2)&amp;"; financial score="&amp;ROUND(N($BR22),1)&amp;"; CoD="&amp;$BS22&amp;IF($CL22&lt;&gt;"","; wording="&amp;$CL22,"")),"")</f>
        <v>P2: Fragile posture; objective=Neutral/default; relevance=1; scenario/domain boost=1; financial score=5; CoD=5.24; wording=Strengthen Payment continuity</v>
      </c>
      <c r="BZ22" t="str">
        <f>IFERROR(INDEX(_REF_Capability_Bridge!$D:$D,MATCH($B22&amp;"|"&amp;$C22,_REF_Capability_Bridge!$J:$J,0)),IFERROR(INDEX(_REF_Capability_Bridge!$D:$D,MATCH($B22&amp;"|",_REF_Capability_Bridge!$J:$J,0)),"CAP_GENERIC"))</f>
        <v>CAP_PAYMENT_CONTINUITY</v>
      </c>
      <c r="CA22">
        <f>IFERROR(IFERROR(INDEX(_ENGINE_Relevance!$L:$L,MATCH($BZ22,_ENGINE_Relevance!$B:$B,0)),1),1)</f>
        <v>1</v>
      </c>
      <c r="CB22" t="str">
        <f>IFERROR(INDEX(_REF_Capability_Bridge!$A:$A,MATCH($B22&amp;"|"&amp;$C22,_REF_Capability_Bridge!$J:$J,0)),IFERROR(INDEX(_REF_Capability_Bridge!$A:$A,MATCH($B22&amp;"|",_REF_Capability_Bridge!$J:$J,0)),"No bridge"))</f>
        <v>BRG-033</v>
      </c>
      <c r="CC22" t="str">
        <f t="shared" si="17"/>
        <v>Capability relevance neutral</v>
      </c>
      <c r="CD22" t="str">
        <f t="shared" si="18"/>
        <v>Initial / absent</v>
      </c>
      <c r="CE22" t="str">
        <f>IF($A22="","",IFERROR(INDEX(_REF_Treatment_Library!$A$2:$A$296,MATCH(1,INDEX((_REF_Treatment_Library!$B$2:$B$296=$BZ22)*(_REF_Treatment_Library!$C$2:$C$296=PV_Canonical_Industry)*(_REF_Treatment_Library!$E$2:$E$296&lt;=N($N22))*(_REF_Treatment_Library!$F$2:$F$296&gt;=N($N22))*(_REF_Treatment_Library!$O$2:$O$296="Yes"),0),0)),IFERROR(INDEX(_REF_Treatment_Library!$A$2:$A$296,MATCH(1,INDEX((_REF_Treatment_Library!$B$2:$B$296=$BZ22)*(_REF_Treatment_Library!$C$2:$C$296="All")*(_REF_Treatment_Library!$E$2:$E$296&lt;=N($N22))*(_REF_Treatment_Library!$F$2:$F$296&gt;=N($N22))*(_REF_Treatment_Library!$O$2:$O$296="Yes"),0),0)),"")))</f>
        <v>TRT-PAYMENT_CONTINUITY-INITIAL</v>
      </c>
      <c r="CF22" t="str">
        <f>IF($CE22="","",IFERROR(INDEX(_REF_Treatment_Library!$H$2:$H$296,MATCH($CE22,_REF_Treatment_Library!$A$2:$A$296,0)),""))</f>
        <v>Establish</v>
      </c>
      <c r="CG22" t="str">
        <f>IF($CE22="","",IFERROR(INDEX(_REF_Treatment_Library!$I$2:$I$296,MATCH($CE22,_REF_Treatment_Library!$A$2:$A$296,0)),""))</f>
        <v>Establish baseline controls for Payment continuity</v>
      </c>
      <c r="CH22" t="str">
        <f>IF($CE22="","",IFERROR(INDEX(_REF_Treatment_Library!$K$2:$K$296,MATCH($CE22,_REF_Treatment_Library!$A$2:$A$296,0)),""))</f>
        <v>Named owner, baseline process, minimum control checklist, first evidence package</v>
      </c>
      <c r="CI22" t="str">
        <f>IF($CE22="","",IFERROR(INDEX(_REF_Treatment_Library!$L$2:$L$296,MATCH($CE22,_REF_Treatment_Library!$A$2:$A$296,0)),""))</f>
        <v>Owner assigned; baseline evidence coverage; open critical gaps</v>
      </c>
      <c r="CJ22" t="str">
        <f t="shared" si="19"/>
        <v>Treatment by capability=CAP_PAYMENT_CONTINUITY; band=Initial / absent; score=0.0; treatment=Establish</v>
      </c>
      <c r="CK22" t="str">
        <f>IF($A22="","",IFERROR(INDEX(_REF_Industry_Wording!$A$2:$A$70,MATCH(1,INDEX((_REF_Industry_Wording!$B$2:$B$70=$BZ22)*(_REF_Industry_Wording!$C$2:$C$70=PV_Canonical_Industry)*(_REF_Industry_Wording!$K$2:$K$70="Yes"),0),0)),IFERROR(INDEX(_REF_Industry_Wording!$A$2:$A$70,MATCH(1,INDEX((_REF_Industry_Wording!$B$2:$B$70=$BZ22)*(_REF_Industry_Wording!$C$2:$C$70="All")*(_REF_Industry_Wording!$K$2:$K$70="Yes"),0),0)),"")))</f>
        <v>IW-ALL-PAYMENT_CONTINUITY</v>
      </c>
      <c r="CL22" t="str">
        <f>IF($CK22="","",IFERROR(INDEX(_REF_Industry_Wording!$F$2:$F$70,MATCH($CK22,_REF_Industry_Wording!$A$2:$A$70,0)),""))</f>
        <v>Strengthen Payment continuity</v>
      </c>
      <c r="CM22" t="str">
        <f>IF($CK22="","",IFERROR(INDEX(_REF_Industry_Wording!$G$2:$G$70,MATCH($CK22,_REF_Industry_Wording!$A$2:$A$70,0)),""))</f>
        <v>Strengthen Payment continuity using the selected maturity treatment, crisis scenario and evidence requirements.</v>
      </c>
      <c r="CN22" t="str">
        <f>IF($CK22="","",IFERROR(INDEX(_REF_Industry_Wording!$H$2:$H$70,MATCH($CK22,_REF_Industry_Wording!$A$2:$A$70,0)),""))</f>
        <v>Payment continuity</v>
      </c>
      <c r="CO22">
        <f>IF($CK22="","",IFERROR(INDEX(_REF_Industry_Wording!$I$2:$I$70,MATCH($CK22,_REF_Industry_Wording!$A$2:$A$70,0)),""))</f>
        <v>0</v>
      </c>
      <c r="CP22" t="str">
        <f>IF($CK22="","",IFERROR(INDEX(_REF_Industry_Wording!$J$2:$J$70,MATCH($CK22,_REF_Industry_Wording!$A$2:$A$70,0)),""))</f>
        <v>Payment continuity</v>
      </c>
      <c r="CQ22" t="str">
        <f t="shared" si="20"/>
        <v>Wording by industry=0; capability=CAP_PAYMENT_CONTINUITY; title=Strengthen Payment continuity</v>
      </c>
      <c r="CR22" t="str">
        <f t="shared" si="21"/>
        <v>INIT-ONT-0018</v>
      </c>
      <c r="CS22">
        <f t="shared" si="22"/>
        <v>22</v>
      </c>
      <c r="CT22" t="str">
        <f t="shared" si="23"/>
        <v>CAP_PAYMENT_CONTINUITY</v>
      </c>
      <c r="CU22" t="str">
        <f t="shared" si="24"/>
        <v>INI-018|Finance Procurement|Working capital|CAP_PAYMENT_CONTINUITY</v>
      </c>
      <c r="CV22" t="str">
        <f t="shared" si="25"/>
        <v>Active</v>
      </c>
      <c r="CW22" t="str">
        <f t="shared" si="26"/>
        <v>OK: capability-driven</v>
      </c>
      <c r="CX22" t="str">
        <f t="shared" si="27"/>
        <v>Initiative ontology uses capability=CAP_PAYMENT_CONTINUITY; bridge=BRG-033; treatment=TRT-PAYMENT_CONTINUITY-INITIAL; wording=IW-ALL-PAYMENT_CONTINUITY</v>
      </c>
    </row>
    <row r="23" spans="1:102" ht="42" customHeight="1">
      <c r="A23" s="17" t="s">
        <v>4091</v>
      </c>
      <c r="B23" s="17" t="s">
        <v>1551</v>
      </c>
      <c r="C23" s="17" t="s">
        <v>1553</v>
      </c>
      <c r="D23" s="17" t="s">
        <v>4064</v>
      </c>
      <c r="E23" s="17" t="s">
        <v>4065</v>
      </c>
      <c r="F23" s="17" t="s">
        <v>4092</v>
      </c>
      <c r="G23" s="17" t="s">
        <v>4093</v>
      </c>
      <c r="H23" s="17" t="s">
        <v>3684</v>
      </c>
      <c r="I23" s="17" t="s">
        <v>4094</v>
      </c>
      <c r="J23" s="17" t="s">
        <v>4095</v>
      </c>
      <c r="K23" s="17">
        <v>6</v>
      </c>
      <c r="L23" s="17">
        <f>IF($A23="","",COUNTIFS(_DATA_RiskInitiativeMap!$A$444:$A$867,$A23,_DATA_RiskInitiativeMap!$G$444:$G$867,"&gt;0"))</f>
        <v>7</v>
      </c>
      <c r="M23" s="17">
        <f>IF($A23="","",COUNTIFS(_DATA_RiskInitiativeMap!$A$444:$A$867,$A23,_DATA_RiskInitiativeMap!$G$444:$G$867,"&gt;0"))</f>
        <v>7</v>
      </c>
      <c r="N23" s="17">
        <f>IFERROR(AVERAGEIFS(_DATA_Assessment_Model!$H$5:$H$428,_DATA_Assessment_Model!$AW$5:$AW$428,$B23,_DATA_Assessment_Model!$B$5:$B$428,$C23),"")</f>
        <v>0</v>
      </c>
      <c r="O23" s="17">
        <f t="shared" si="0"/>
        <v>5</v>
      </c>
      <c r="P23" s="17">
        <f>IFERROR(INDEX(_DATA_Dashboard_Facts!$H$5:$H$21,MATCH($B23,_DATA_Dashboard_Facts!$A$5:$A$21,0)),"")</f>
        <v>0</v>
      </c>
      <c r="Q23" s="17">
        <f t="shared" si="1"/>
        <v>5</v>
      </c>
      <c r="R23" s="17">
        <f>IF(OR('Resilience &amp; Risk Scenario'!$B$6="",'Resilience &amp; Risk Scenario'!$B$7&lt;=0),1,IFERROR(IF(SUMIFS(_ENGINE_Crisis!$D$5:$D$208,_ENGINE_Crisis!$A$5:$A$208,'Resilience &amp; Risk Scenario'!$B$6,_ENGINE_Crisis!$B$5:$B$208,$B23)=0,1,SUMIFS(_ENGINE_Crisis!$D$5:$D$208,_ENGINE_Crisis!$A$5:$A$208,'Resilience &amp; Risk Scenario'!$B$6,_ENGINE_Crisis!$B$5:$B$208,$B23)),1))</f>
        <v>1</v>
      </c>
      <c r="S23" s="17">
        <f>IFERROR(INDEX(_ENGINE_Strategy!$A$100:$A$113,MATCH($D23,_ENGINE_Strategy!$B$100:$B$113,0)),99)</f>
        <v>4</v>
      </c>
      <c r="T23" s="17">
        <f>IFERROR(INDEX(_ENGINE_Strategy!$J$100:$J$113,MATCH($D23,_ENGINE_Strategy!$B$100:$B$113,0)),0)</f>
        <v>69</v>
      </c>
      <c r="U23" s="17">
        <v>2</v>
      </c>
      <c r="V23" s="17">
        <v>4</v>
      </c>
      <c r="W23" s="17">
        <v>5</v>
      </c>
      <c r="X23" s="17">
        <f t="shared" si="2"/>
        <v>4.6124999999999998</v>
      </c>
      <c r="Y23" s="17">
        <f>IF($P23="","",MAX(1,MIN(5,1+N($O23)*0.45+MIN(2,N($M23)*0.3)+($R23-1)*1.2+IF('Resilience &amp; Risk Scenario'!$B$7="",1,'Resilience &amp; Risk Scenario'!$B$7)*0.25)))</f>
        <v>5</v>
      </c>
      <c r="Z23" s="17">
        <f t="shared" si="3"/>
        <v>4.8</v>
      </c>
      <c r="AA23" s="17">
        <f t="shared" si="4"/>
        <v>3.335</v>
      </c>
      <c r="AB23" s="17">
        <v>2</v>
      </c>
      <c r="AC23" s="17">
        <f t="shared" si="5"/>
        <v>2.61</v>
      </c>
      <c r="AD23" s="17">
        <f t="shared" si="6"/>
        <v>5</v>
      </c>
      <c r="AE23" s="17" t="str">
        <f t="shared" si="7"/>
        <v>0-90 days</v>
      </c>
      <c r="AF23" s="17" t="s">
        <v>4096</v>
      </c>
      <c r="AG23" s="17" t="s">
        <v>3930</v>
      </c>
      <c r="AH23" s="17" t="s">
        <v>3931</v>
      </c>
      <c r="AI23" s="17" t="s">
        <v>3932</v>
      </c>
      <c r="AJ23" s="17" t="s">
        <v>4097</v>
      </c>
      <c r="AK23" s="17" t="s">
        <v>4098</v>
      </c>
      <c r="AL23" s="17" t="s">
        <v>4099</v>
      </c>
      <c r="AM23" s="17" t="s">
        <v>4072</v>
      </c>
      <c r="AN23" s="17" t="s">
        <v>3937</v>
      </c>
      <c r="AO23" s="17" t="s">
        <v>3938</v>
      </c>
      <c r="AP23" s="17" t="s">
        <v>3939</v>
      </c>
      <c r="AQ23" s="17"/>
      <c r="AR23" s="17"/>
      <c r="AS23" s="14">
        <f>IFERROR((IF(SUMIFS(_REF_Model_Content!$J$1:$J$157,_REF_Model_Content!$A$1:$A$174,PV_Canonical_Industry,_REF_Model_Content!$B$1:$B$174,$B23)=0,1,SUMIFS(_REF_Model_Content!$J$1:$J$157,_REF_Model_Content!$A$1:$A$174,PV_Canonical_Industry,_REF_Model_Content!$B$1:$B$174,$B23))*IFERROR($CA23,1)),1)</f>
        <v>1</v>
      </c>
      <c r="AT23" s="14">
        <f t="shared" si="8"/>
        <v>2.61</v>
      </c>
      <c r="AU23" s="14">
        <f>IF($AT23="","",RANK($AT23,$AT$5:$AT$76,0)+COUNTIF($AT$5:AT23,$AT23)-1)</f>
        <v>5</v>
      </c>
      <c r="AV23" s="14">
        <f>IFERROR(INDEX(_DATA_Dashboard_Facts!$G$300:$G$316,MATCH($B23,_DATA_Dashboard_Facts!$A$300:$A$316,0)),"")</f>
        <v>0</v>
      </c>
      <c r="AW23" s="14" t="str">
        <f t="shared" si="9"/>
        <v>Relevance-neutral priority</v>
      </c>
      <c r="AX23">
        <f>IFERROR(INDEX('Action Plan &amp; Roadmap'!$D$59:$D$130,MATCH($A23,'Action Plan &amp; Roadmap'!$A$59:$A$130,0)),"")</f>
        <v>0</v>
      </c>
      <c r="AY23">
        <f t="shared" si="10"/>
        <v>0</v>
      </c>
      <c r="AZ23" t="s">
        <v>4004</v>
      </c>
      <c r="BA23">
        <f>IF($A23="","",COUNTIF(_DATA_RiskInitiativeMap!$A$1:$A$867,$A23))</f>
        <v>7</v>
      </c>
      <c r="BB23">
        <f>IF($A23="","",IFERROR(AVERAGEIF(_DATA_RiskInitiativeMap!$A$1:$A$867,$A23,_DATA_RiskInitiativeMap!$G$1:$G$867),0))</f>
        <v>16.851428571428571</v>
      </c>
      <c r="BC23">
        <f t="shared" si="11"/>
        <v>4.7</v>
      </c>
      <c r="BD23">
        <f t="shared" si="12"/>
        <v>4.2796000000000003</v>
      </c>
      <c r="BI23" s="17" t="str">
        <f>IFERROR(_CONFIG_Model_Settings!$B$103,"Adaptive")</f>
        <v>Fragile</v>
      </c>
      <c r="BJ23" s="17">
        <f>IFERROR(INDEX(_CONFIG_Model_Settings!$B$109:$B$113,MATCH($BI23,_CONFIG_Model_Settings!$A$109:$A$113,0)),0.3)</f>
        <v>0.2</v>
      </c>
      <c r="BK23" s="17">
        <f>IFERROR(INDEX(_CONFIG_Model_Settings!$C$109:$C$113,MATCH($BI23,_CONFIG_Model_Settings!$A$109:$A$113,0)),0.2)</f>
        <v>0.3</v>
      </c>
      <c r="BL23" s="17">
        <f>IFERROR(INDEX(_CONFIG_Model_Settings!$D$109:$D$113,MATCH($BI23,_CONFIG_Model_Settings!$A$109:$A$113,0)),0.25)</f>
        <v>0.4</v>
      </c>
      <c r="BM23" s="17">
        <f>IFERROR(INDEX(_CONFIG_Model_Settings!$E$109:$E$113,MATCH($BI23,_CONFIG_Model_Settings!$A$109:$A$113,0)),0.25)</f>
        <v>0.1</v>
      </c>
      <c r="BN23" s="17">
        <f>IFERROR(INDEX(_CONFIG_Model_Settings!$B$117:$B$123,MATCH(_CONFIG_Model_Settings!$B$104,_CONFIG_Model_Settings!$A$117:$A$123,0)),1)</f>
        <v>1</v>
      </c>
      <c r="BO23" s="17">
        <f>IFERROR(INDEX(_CONFIG_Model_Settings!$C$117:$C$123,MATCH(_CONFIG_Model_Settings!$B$104,_CONFIG_Model_Settings!$A$117:$A$123,0)),1)</f>
        <v>1</v>
      </c>
      <c r="BP23" s="17">
        <f>IFERROR(INDEX(_CONFIG_Model_Settings!$D$117:$D$123,MATCH(_CONFIG_Model_Settings!$B$104,_CONFIG_Model_Settings!$A$117:$A$123,0)),1)</f>
        <v>1</v>
      </c>
      <c r="BQ23" s="17">
        <f>IFERROR(INDEX(_CONFIG_Model_Settings!$E$117:$E$123,MATCH(_CONFIG_Model_Settings!$B$104,_CONFIG_Model_Settings!$A$117:$A$123,0)),1)</f>
        <v>1</v>
      </c>
      <c r="BR23" s="17">
        <f>IF(OR($A23="",$P23=""),"",MIN(5,IFERROR(SUMIF(_DATA_RiskInitiativeMap!$A$1:$A$867,$A23,_DATA_RiskInitiativeMap!$K$1:$K$867)/MAX(1,_CONFIG_Model_Settings!$B$166),0)))</f>
        <v>5</v>
      </c>
      <c r="BS23" s="17">
        <f t="shared" si="13"/>
        <v>5.22</v>
      </c>
      <c r="BT23" s="17">
        <f t="shared" si="14"/>
        <v>2</v>
      </c>
      <c r="BU23" s="17">
        <f t="shared" si="15"/>
        <v>2.61</v>
      </c>
      <c r="BV23" s="17">
        <f>IF(OR($P23="",$BU23="",$AY23="Done",$AY23="Not applicable"),"",ROUND($BU23*N($AS23)*IF(OR('Resilience &amp; Risk Scenario'!$B$6="",'Resilience &amp; Risk Scenario'!$B$7&lt;=0),1,IFERROR(1+MIN(0.75,INDEX('Resilience &amp; Risk Scenario'!$E$21:$E$37,MATCH($B23,'Resilience &amp; Risk Scenario'!$B$21:$B$37,0))/10),1)),2))</f>
        <v>2.61</v>
      </c>
      <c r="BW23" s="17">
        <f>IF($BV23="","",RANK($BV23,$BV$5:$BV$76,0)+COUNTIF($BV$5:$BV23,$BV23)-1)</f>
        <v>5</v>
      </c>
      <c r="BX23" s="17" t="str">
        <f t="shared" si="16"/>
        <v>0-90 days</v>
      </c>
      <c r="BY23" t="str">
        <f>IFERROR(IF($A23="","","P2: "&amp;$BI23&amp;" posture; objective="&amp;IF(_CONFIG_Model_Settings!$B$104="","Neutral/default",_CONFIG_Model_Settings!$B$104)&amp;"; relevance="&amp;ROUND(N($AS23),2)&amp;"; scenario/domain boost="&amp;ROUND(IF(OR('Resilience &amp; Risk Scenario'!$B$6="",'Resilience &amp; Risk Scenario'!$B$7&lt;=0),1,IFERROR(1+MIN(0.75,INDEX('Resilience &amp; Risk Scenario'!$E$21:$E$37,MATCH($B23,'Resilience &amp; Risk Scenario'!$B$21:$B$37,0))/10),1)),2)&amp;"; financial score="&amp;ROUND(N($BR23),1)&amp;"; CoD="&amp;$BS23&amp;IF($CL23&lt;&gt;"","; wording="&amp;$CL23,"")),"")</f>
        <v>P2: Fragile posture; objective=Neutral/default; relevance=1; scenario/domain boost=1; financial score=5; CoD=5.22; wording=Strengthen Payment continuity</v>
      </c>
      <c r="BZ23" t="str">
        <f>IFERROR(INDEX(_REF_Capability_Bridge!$D:$D,MATCH($B23&amp;"|"&amp;$C23,_REF_Capability_Bridge!$J:$J,0)),IFERROR(INDEX(_REF_Capability_Bridge!$D:$D,MATCH($B23&amp;"|",_REF_Capability_Bridge!$J:$J,0)),"CAP_GENERIC"))</f>
        <v>CAP_PAYMENT_CONTINUITY</v>
      </c>
      <c r="CA23">
        <f>IFERROR(IFERROR(INDEX(_ENGINE_Relevance!$L:$L,MATCH($BZ23,_ENGINE_Relevance!$B:$B,0)),1),1)</f>
        <v>1</v>
      </c>
      <c r="CB23" t="str">
        <f>IFERROR(INDEX(_REF_Capability_Bridge!$A:$A,MATCH($B23&amp;"|"&amp;$C23,_REF_Capability_Bridge!$J:$J,0)),IFERROR(INDEX(_REF_Capability_Bridge!$A:$A,MATCH($B23&amp;"|",_REF_Capability_Bridge!$J:$J,0)),"No bridge"))</f>
        <v>BRG-050</v>
      </c>
      <c r="CC23" t="str">
        <f t="shared" si="17"/>
        <v>Capability relevance neutral</v>
      </c>
      <c r="CD23" t="str">
        <f t="shared" si="18"/>
        <v>Initial / absent</v>
      </c>
      <c r="CE23" t="str">
        <f>IF($A23="","",IFERROR(INDEX(_REF_Treatment_Library!$A$2:$A$296,MATCH(1,INDEX((_REF_Treatment_Library!$B$2:$B$296=$BZ23)*(_REF_Treatment_Library!$C$2:$C$296=PV_Canonical_Industry)*(_REF_Treatment_Library!$E$2:$E$296&lt;=N($N23))*(_REF_Treatment_Library!$F$2:$F$296&gt;=N($N23))*(_REF_Treatment_Library!$O$2:$O$296="Yes"),0),0)),IFERROR(INDEX(_REF_Treatment_Library!$A$2:$A$296,MATCH(1,INDEX((_REF_Treatment_Library!$B$2:$B$296=$BZ23)*(_REF_Treatment_Library!$C$2:$C$296="All")*(_REF_Treatment_Library!$E$2:$E$296&lt;=N($N23))*(_REF_Treatment_Library!$F$2:$F$296&gt;=N($N23))*(_REF_Treatment_Library!$O$2:$O$296="Yes"),0),0)),"")))</f>
        <v>TRT-PAYMENT_CONTINUITY-INITIAL</v>
      </c>
      <c r="CF23" t="str">
        <f>IF($CE23="","",IFERROR(INDEX(_REF_Treatment_Library!$H$2:$H$296,MATCH($CE23,_REF_Treatment_Library!$A$2:$A$296,0)),""))</f>
        <v>Establish</v>
      </c>
      <c r="CG23" t="str">
        <f>IF($CE23="","",IFERROR(INDEX(_REF_Treatment_Library!$I$2:$I$296,MATCH($CE23,_REF_Treatment_Library!$A$2:$A$296,0)),""))</f>
        <v>Establish baseline controls for Payment continuity</v>
      </c>
      <c r="CH23" t="str">
        <f>IF($CE23="","",IFERROR(INDEX(_REF_Treatment_Library!$K$2:$K$296,MATCH($CE23,_REF_Treatment_Library!$A$2:$A$296,0)),""))</f>
        <v>Named owner, baseline process, minimum control checklist, first evidence package</v>
      </c>
      <c r="CI23" t="str">
        <f>IF($CE23="","",IFERROR(INDEX(_REF_Treatment_Library!$L$2:$L$296,MATCH($CE23,_REF_Treatment_Library!$A$2:$A$296,0)),""))</f>
        <v>Owner assigned; baseline evidence coverage; open critical gaps</v>
      </c>
      <c r="CJ23" t="str">
        <f t="shared" si="19"/>
        <v>Treatment by capability=CAP_PAYMENT_CONTINUITY; band=Initial / absent; score=0.0; treatment=Establish</v>
      </c>
      <c r="CK23" t="str">
        <f>IF($A23="","",IFERROR(INDEX(_REF_Industry_Wording!$A$2:$A$70,MATCH(1,INDEX((_REF_Industry_Wording!$B$2:$B$70=$BZ23)*(_REF_Industry_Wording!$C$2:$C$70=PV_Canonical_Industry)*(_REF_Industry_Wording!$K$2:$K$70="Yes"),0),0)),IFERROR(INDEX(_REF_Industry_Wording!$A$2:$A$70,MATCH(1,INDEX((_REF_Industry_Wording!$B$2:$B$70=$BZ23)*(_REF_Industry_Wording!$C$2:$C$70="All")*(_REF_Industry_Wording!$K$2:$K$70="Yes"),0),0)),"")))</f>
        <v>IW-ALL-PAYMENT_CONTINUITY</v>
      </c>
      <c r="CL23" t="str">
        <f>IF($CK23="","",IFERROR(INDEX(_REF_Industry_Wording!$F$2:$F$70,MATCH($CK23,_REF_Industry_Wording!$A$2:$A$70,0)),""))</f>
        <v>Strengthen Payment continuity</v>
      </c>
      <c r="CM23" t="str">
        <f>IF($CK23="","",IFERROR(INDEX(_REF_Industry_Wording!$G$2:$G$70,MATCH($CK23,_REF_Industry_Wording!$A$2:$A$70,0)),""))</f>
        <v>Strengthen Payment continuity using the selected maturity treatment, crisis scenario and evidence requirements.</v>
      </c>
      <c r="CN23" t="str">
        <f>IF($CK23="","",IFERROR(INDEX(_REF_Industry_Wording!$H$2:$H$70,MATCH($CK23,_REF_Industry_Wording!$A$2:$A$70,0)),""))</f>
        <v>Payment continuity</v>
      </c>
      <c r="CO23">
        <f>IF($CK23="","",IFERROR(INDEX(_REF_Industry_Wording!$I$2:$I$70,MATCH($CK23,_REF_Industry_Wording!$A$2:$A$70,0)),""))</f>
        <v>0</v>
      </c>
      <c r="CP23" t="str">
        <f>IF($CK23="","",IFERROR(INDEX(_REF_Industry_Wording!$J$2:$J$70,MATCH($CK23,_REF_Industry_Wording!$A$2:$A$70,0)),""))</f>
        <v>Payment continuity</v>
      </c>
      <c r="CQ23" t="str">
        <f t="shared" si="20"/>
        <v>Wording by industry=0; capability=CAP_PAYMENT_CONTINUITY; title=Strengthen Payment continuity</v>
      </c>
      <c r="CR23" t="str">
        <f t="shared" si="21"/>
        <v>INIT-ONT-0019</v>
      </c>
      <c r="CS23">
        <f t="shared" si="22"/>
        <v>23</v>
      </c>
      <c r="CT23" t="str">
        <f t="shared" si="23"/>
        <v>CAP_PAYMENT_CONTINUITY</v>
      </c>
      <c r="CU23" t="str">
        <f t="shared" si="24"/>
        <v>INI-019|Legal Risk|Compliance|CAP_PAYMENT_CONTINUITY</v>
      </c>
      <c r="CV23" t="str">
        <f t="shared" si="25"/>
        <v>Active</v>
      </c>
      <c r="CW23" t="str">
        <f t="shared" si="26"/>
        <v>OK: capability-driven</v>
      </c>
      <c r="CX23" t="str">
        <f t="shared" si="27"/>
        <v>Initiative ontology uses capability=CAP_PAYMENT_CONTINUITY; bridge=BRG-050; treatment=TRT-PAYMENT_CONTINUITY-INITIAL; wording=IW-ALL-PAYMENT_CONTINUITY</v>
      </c>
    </row>
    <row r="24" spans="1:102" ht="42" customHeight="1">
      <c r="A24" s="17" t="s">
        <v>4100</v>
      </c>
      <c r="B24" s="17" t="s">
        <v>1551</v>
      </c>
      <c r="C24" s="17" t="s">
        <v>1568</v>
      </c>
      <c r="D24" s="17" t="s">
        <v>4064</v>
      </c>
      <c r="E24" s="17" t="s">
        <v>4065</v>
      </c>
      <c r="F24" s="17" t="s">
        <v>4101</v>
      </c>
      <c r="G24" s="17" t="s">
        <v>4102</v>
      </c>
      <c r="H24" s="17" t="s">
        <v>3684</v>
      </c>
      <c r="I24" s="17" t="s">
        <v>4094</v>
      </c>
      <c r="J24" s="17" t="s">
        <v>4103</v>
      </c>
      <c r="K24" s="17">
        <v>6</v>
      </c>
      <c r="L24" s="17">
        <f>IF($A24="","",COUNTIFS(_DATA_RiskInitiativeMap!$A$444:$A$867,$A24,_DATA_RiskInitiativeMap!$G$444:$G$867,"&gt;0"))</f>
        <v>6</v>
      </c>
      <c r="M24" s="17">
        <f>IF($A24="","",COUNTIFS(_DATA_RiskInitiativeMap!$A$444:$A$867,$A24,_DATA_RiskInitiativeMap!$G$444:$G$867,"&gt;0"))</f>
        <v>6</v>
      </c>
      <c r="N24" s="17">
        <f>IFERROR(AVERAGEIFS(_DATA_Assessment_Model!$H$5:$H$428,_DATA_Assessment_Model!$AW$5:$AW$428,$B24,_DATA_Assessment_Model!$B$5:$B$428,$C24),"")</f>
        <v>0</v>
      </c>
      <c r="O24" s="17">
        <f t="shared" si="0"/>
        <v>5</v>
      </c>
      <c r="P24" s="17">
        <f>IFERROR(INDEX(_DATA_Dashboard_Facts!$H$5:$H$21,MATCH($B24,_DATA_Dashboard_Facts!$A$5:$A$21,0)),"")</f>
        <v>0</v>
      </c>
      <c r="Q24" s="17">
        <f t="shared" si="1"/>
        <v>5</v>
      </c>
      <c r="R24" s="17">
        <f>IF(OR('Resilience &amp; Risk Scenario'!$B$6="",'Resilience &amp; Risk Scenario'!$B$7&lt;=0),1,IFERROR(IF(SUMIFS(_ENGINE_Crisis!$D$5:$D$208,_ENGINE_Crisis!$A$5:$A$208,'Resilience &amp; Risk Scenario'!$B$6,_ENGINE_Crisis!$B$5:$B$208,$B24)=0,1,SUMIFS(_ENGINE_Crisis!$D$5:$D$208,_ENGINE_Crisis!$A$5:$A$208,'Resilience &amp; Risk Scenario'!$B$6,_ENGINE_Crisis!$B$5:$B$208,$B24)),1))</f>
        <v>1</v>
      </c>
      <c r="S24" s="17">
        <f>IFERROR(INDEX(_ENGINE_Strategy!$A$100:$A$113,MATCH($D24,_ENGINE_Strategy!$B$100:$B$113,0)),99)</f>
        <v>4</v>
      </c>
      <c r="T24" s="17">
        <f>IFERROR(INDEX(_ENGINE_Strategy!$J$100:$J$113,MATCH($D24,_ENGINE_Strategy!$B$100:$B$113,0)),0)</f>
        <v>69</v>
      </c>
      <c r="U24" s="17">
        <v>2</v>
      </c>
      <c r="V24" s="17">
        <v>4</v>
      </c>
      <c r="W24" s="17">
        <v>5</v>
      </c>
      <c r="X24" s="17">
        <f t="shared" si="2"/>
        <v>4.6124999999999998</v>
      </c>
      <c r="Y24" s="17">
        <f>IF($P24="","",MAX(1,MIN(5,1+N($O24)*0.45+MIN(2,N($M24)*0.3)+($R24-1)*1.2+IF('Resilience &amp; Risk Scenario'!$B$7="",1,'Resilience &amp; Risk Scenario'!$B$7)*0.25)))</f>
        <v>5</v>
      </c>
      <c r="Z24" s="17">
        <f t="shared" si="3"/>
        <v>4.8</v>
      </c>
      <c r="AA24" s="17">
        <f t="shared" si="4"/>
        <v>3.335</v>
      </c>
      <c r="AB24" s="17">
        <v>2</v>
      </c>
      <c r="AC24" s="17">
        <f t="shared" si="5"/>
        <v>2.6</v>
      </c>
      <c r="AD24" s="17">
        <f t="shared" si="6"/>
        <v>6</v>
      </c>
      <c r="AE24" s="17" t="str">
        <f t="shared" si="7"/>
        <v>0-90 days</v>
      </c>
      <c r="AF24" s="17" t="s">
        <v>4096</v>
      </c>
      <c r="AG24" s="17" t="s">
        <v>3930</v>
      </c>
      <c r="AH24" s="17" t="s">
        <v>3931</v>
      </c>
      <c r="AI24" s="17" t="s">
        <v>3932</v>
      </c>
      <c r="AJ24" s="17" t="s">
        <v>4104</v>
      </c>
      <c r="AK24" s="17" t="s">
        <v>4105</v>
      </c>
      <c r="AL24" s="17" t="s">
        <v>4106</v>
      </c>
      <c r="AM24" s="17" t="s">
        <v>4072</v>
      </c>
      <c r="AN24" s="17" t="s">
        <v>3937</v>
      </c>
      <c r="AO24" s="17" t="s">
        <v>3938</v>
      </c>
      <c r="AP24" s="17" t="s">
        <v>3939</v>
      </c>
      <c r="AQ24" s="17"/>
      <c r="AR24" s="17"/>
      <c r="AS24" s="14">
        <f>IFERROR((IF(SUMIFS(_REF_Model_Content!$J$1:$J$157,_REF_Model_Content!$A$1:$A$174,PV_Canonical_Industry,_REF_Model_Content!$B$1:$B$174,$B24)=0,1,SUMIFS(_REF_Model_Content!$J$1:$J$157,_REF_Model_Content!$A$1:$A$174,PV_Canonical_Industry,_REF_Model_Content!$B$1:$B$174,$B24))*IFERROR($CA24,1)),1)</f>
        <v>1</v>
      </c>
      <c r="AT24" s="14">
        <f t="shared" si="8"/>
        <v>2.6</v>
      </c>
      <c r="AU24" s="14">
        <f>IF($AT24="","",RANK($AT24,$AT$5:$AT$76,0)+COUNTIF($AT$5:AT24,$AT24)-1)</f>
        <v>6</v>
      </c>
      <c r="AV24" s="14">
        <f>IFERROR(INDEX(_DATA_Dashboard_Facts!$G$300:$G$316,MATCH($B24,_DATA_Dashboard_Facts!$A$300:$A$316,0)),"")</f>
        <v>0</v>
      </c>
      <c r="AW24" s="14" t="str">
        <f t="shared" si="9"/>
        <v>Relevance-neutral priority</v>
      </c>
      <c r="AX24">
        <f>IFERROR(INDEX('Action Plan &amp; Roadmap'!$D$59:$D$130,MATCH($A24,'Action Plan &amp; Roadmap'!$A$59:$A$130,0)),"")</f>
        <v>0</v>
      </c>
      <c r="AY24">
        <f t="shared" si="10"/>
        <v>0</v>
      </c>
      <c r="AZ24" t="s">
        <v>4004</v>
      </c>
      <c r="BA24">
        <f>IF($A24="","",COUNTIF(_DATA_RiskInitiativeMap!$A$1:$A$867,$A24))</f>
        <v>6</v>
      </c>
      <c r="BB24">
        <f>IF($A24="","",IFERROR(AVERAGEIF(_DATA_RiskInitiativeMap!$A$1:$A$867,$A24,_DATA_RiskInitiativeMap!$G$1:$G$867),0))</f>
        <v>16.36</v>
      </c>
      <c r="BC24">
        <f t="shared" si="11"/>
        <v>4.7</v>
      </c>
      <c r="BD24">
        <f t="shared" si="12"/>
        <v>4.2452000000000005</v>
      </c>
      <c r="BI24" s="17" t="str">
        <f>IFERROR(_CONFIG_Model_Settings!$B$103,"Adaptive")</f>
        <v>Fragile</v>
      </c>
      <c r="BJ24" s="17">
        <f>IFERROR(INDEX(_CONFIG_Model_Settings!$B$109:$B$113,MATCH($BI24,_CONFIG_Model_Settings!$A$109:$A$113,0)),0.3)</f>
        <v>0.2</v>
      </c>
      <c r="BK24" s="17">
        <f>IFERROR(INDEX(_CONFIG_Model_Settings!$C$109:$C$113,MATCH($BI24,_CONFIG_Model_Settings!$A$109:$A$113,0)),0.2)</f>
        <v>0.3</v>
      </c>
      <c r="BL24" s="17">
        <f>IFERROR(INDEX(_CONFIG_Model_Settings!$D$109:$D$113,MATCH($BI24,_CONFIG_Model_Settings!$A$109:$A$113,0)),0.25)</f>
        <v>0.4</v>
      </c>
      <c r="BM24" s="17">
        <f>IFERROR(INDEX(_CONFIG_Model_Settings!$E$109:$E$113,MATCH($BI24,_CONFIG_Model_Settings!$A$109:$A$113,0)),0.25)</f>
        <v>0.1</v>
      </c>
      <c r="BN24" s="17">
        <f>IFERROR(INDEX(_CONFIG_Model_Settings!$B$117:$B$123,MATCH(_CONFIG_Model_Settings!$B$104,_CONFIG_Model_Settings!$A$117:$A$123,0)),1)</f>
        <v>1</v>
      </c>
      <c r="BO24" s="17">
        <f>IFERROR(INDEX(_CONFIG_Model_Settings!$C$117:$C$123,MATCH(_CONFIG_Model_Settings!$B$104,_CONFIG_Model_Settings!$A$117:$A$123,0)),1)</f>
        <v>1</v>
      </c>
      <c r="BP24" s="17">
        <f>IFERROR(INDEX(_CONFIG_Model_Settings!$D$117:$D$123,MATCH(_CONFIG_Model_Settings!$B$104,_CONFIG_Model_Settings!$A$117:$A$123,0)),1)</f>
        <v>1</v>
      </c>
      <c r="BQ24" s="17">
        <f>IFERROR(INDEX(_CONFIG_Model_Settings!$E$117:$E$123,MATCH(_CONFIG_Model_Settings!$B$104,_CONFIG_Model_Settings!$A$117:$A$123,0)),1)</f>
        <v>1</v>
      </c>
      <c r="BR24" s="17">
        <f>IF(OR($A24="",$P24=""),"",MIN(5,IFERROR(SUMIF(_DATA_RiskInitiativeMap!$A$1:$A$867,$A24,_DATA_RiskInitiativeMap!$K$1:$K$867)/MAX(1,_CONFIG_Model_Settings!$B$166),0)))</f>
        <v>5</v>
      </c>
      <c r="BS24" s="17">
        <f t="shared" si="13"/>
        <v>5.2</v>
      </c>
      <c r="BT24" s="17">
        <f t="shared" si="14"/>
        <v>2</v>
      </c>
      <c r="BU24" s="17">
        <f t="shared" si="15"/>
        <v>2.6</v>
      </c>
      <c r="BV24" s="17">
        <f>IF(OR($P24="",$BU24="",$AY24="Done",$AY24="Not applicable"),"",ROUND($BU24*N($AS24)*IF(OR('Resilience &amp; Risk Scenario'!$B$6="",'Resilience &amp; Risk Scenario'!$B$7&lt;=0),1,IFERROR(1+MIN(0.75,INDEX('Resilience &amp; Risk Scenario'!$E$21:$E$37,MATCH($B24,'Resilience &amp; Risk Scenario'!$B$21:$B$37,0))/10),1)),2))</f>
        <v>2.6</v>
      </c>
      <c r="BW24" s="17">
        <f>IF($BV24="","",RANK($BV24,$BV$5:$BV$76,0)+COUNTIF($BV$5:$BV24,$BV24)-1)</f>
        <v>6</v>
      </c>
      <c r="BX24" s="17" t="str">
        <f t="shared" si="16"/>
        <v>0-90 days</v>
      </c>
      <c r="BY24" t="str">
        <f>IFERROR(IF($A24="","","P2: "&amp;$BI24&amp;" posture; objective="&amp;IF(_CONFIG_Model_Settings!$B$104="","Neutral/default",_CONFIG_Model_Settings!$B$104)&amp;"; relevance="&amp;ROUND(N($AS24),2)&amp;"; scenario/domain boost="&amp;ROUND(IF(OR('Resilience &amp; Risk Scenario'!$B$6="",'Resilience &amp; Risk Scenario'!$B$7&lt;=0),1,IFERROR(1+MIN(0.75,INDEX('Resilience &amp; Risk Scenario'!$E$21:$E$37,MATCH($B24,'Resilience &amp; Risk Scenario'!$B$21:$B$37,0))/10),1)),2)&amp;"; financial score="&amp;ROUND(N($BR24),1)&amp;"; CoD="&amp;$BS24&amp;IF($CL24&lt;&gt;"","; wording="&amp;$CL24,"")),"")</f>
        <v>P2: Fragile posture; objective=Neutral/default; relevance=1; scenario/domain boost=1; financial score=5; CoD=5.2; wording=Strengthen Regulatory continuity</v>
      </c>
      <c r="BZ24" t="str">
        <f>IFERROR(INDEX(_REF_Capability_Bridge!$D:$D,MATCH($B24&amp;"|"&amp;$C24,_REF_Capability_Bridge!$J:$J,0)),IFERROR(INDEX(_REF_Capability_Bridge!$D:$D,MATCH($B24&amp;"|",_REF_Capability_Bridge!$J:$J,0)),"CAP_GENERIC"))</f>
        <v>CAP_REGULATORY_CONTINUITY</v>
      </c>
      <c r="CA24">
        <f>IFERROR(IFERROR(INDEX(_ENGINE_Relevance!$L:$L,MATCH($BZ24,_ENGINE_Relevance!$B:$B,0)),1),1)</f>
        <v>1</v>
      </c>
      <c r="CB24" t="str">
        <f>IFERROR(INDEX(_REF_Capability_Bridge!$A:$A,MATCH($B24&amp;"|"&amp;$C24,_REF_Capability_Bridge!$J:$J,0)),IFERROR(INDEX(_REF_Capability_Bridge!$A:$A,MATCH($B24&amp;"|",_REF_Capability_Bridge!$J:$J,0)),"No bridge"))</f>
        <v>BRG-051</v>
      </c>
      <c r="CC24" t="str">
        <f t="shared" si="17"/>
        <v>Capability relevance neutral</v>
      </c>
      <c r="CD24" t="str">
        <f t="shared" si="18"/>
        <v>Initial / absent</v>
      </c>
      <c r="CE24" t="str">
        <f>IF($A24="","",IFERROR(INDEX(_REF_Treatment_Library!$A$2:$A$296,MATCH(1,INDEX((_REF_Treatment_Library!$B$2:$B$296=$BZ24)*(_REF_Treatment_Library!$C$2:$C$296=PV_Canonical_Industry)*(_REF_Treatment_Library!$E$2:$E$296&lt;=N($N24))*(_REF_Treatment_Library!$F$2:$F$296&gt;=N($N24))*(_REF_Treatment_Library!$O$2:$O$296="Yes"),0),0)),IFERROR(INDEX(_REF_Treatment_Library!$A$2:$A$296,MATCH(1,INDEX((_REF_Treatment_Library!$B$2:$B$296=$BZ24)*(_REF_Treatment_Library!$C$2:$C$296="All")*(_REF_Treatment_Library!$E$2:$E$296&lt;=N($N24))*(_REF_Treatment_Library!$F$2:$F$296&gt;=N($N24))*(_REF_Treatment_Library!$O$2:$O$296="Yes"),0),0)),"")))</f>
        <v>TRT-REGULATORY_CONTINUITY-INITIAL</v>
      </c>
      <c r="CF24" t="str">
        <f>IF($CE24="","",IFERROR(INDEX(_REF_Treatment_Library!$H$2:$H$296,MATCH($CE24,_REF_Treatment_Library!$A$2:$A$296,0)),""))</f>
        <v>Establish</v>
      </c>
      <c r="CG24" t="str">
        <f>IF($CE24="","",IFERROR(INDEX(_REF_Treatment_Library!$I$2:$I$296,MATCH($CE24,_REF_Treatment_Library!$A$2:$A$296,0)),""))</f>
        <v>Establish baseline controls for Regulatory continuity</v>
      </c>
      <c r="CH24" t="str">
        <f>IF($CE24="","",IFERROR(INDEX(_REF_Treatment_Library!$K$2:$K$296,MATCH($CE24,_REF_Treatment_Library!$A$2:$A$296,0)),""))</f>
        <v>Named owner, baseline process, minimum control checklist, first evidence package</v>
      </c>
      <c r="CI24" t="str">
        <f>IF($CE24="","",IFERROR(INDEX(_REF_Treatment_Library!$L$2:$L$296,MATCH($CE24,_REF_Treatment_Library!$A$2:$A$296,0)),""))</f>
        <v>Owner assigned; baseline evidence coverage; open critical gaps</v>
      </c>
      <c r="CJ24" t="str">
        <f t="shared" si="19"/>
        <v>Treatment by capability=CAP_REGULATORY_CONTINUITY; band=Initial / absent; score=0.0; treatment=Establish</v>
      </c>
      <c r="CK24" t="str">
        <f>IF($A24="","",IFERROR(INDEX(_REF_Industry_Wording!$A$2:$A$70,MATCH(1,INDEX((_REF_Industry_Wording!$B$2:$B$70=$BZ24)*(_REF_Industry_Wording!$C$2:$C$70=PV_Canonical_Industry)*(_REF_Industry_Wording!$K$2:$K$70="Yes"),0),0)),IFERROR(INDEX(_REF_Industry_Wording!$A$2:$A$70,MATCH(1,INDEX((_REF_Industry_Wording!$B$2:$B$70=$BZ24)*(_REF_Industry_Wording!$C$2:$C$70="All")*(_REF_Industry_Wording!$K$2:$K$70="Yes"),0),0)),"")))</f>
        <v>IW-ALL-REGULATORY_CONTINUITY</v>
      </c>
      <c r="CL24" t="str">
        <f>IF($CK24="","",IFERROR(INDEX(_REF_Industry_Wording!$F$2:$F$70,MATCH($CK24,_REF_Industry_Wording!$A$2:$A$70,0)),""))</f>
        <v>Strengthen Regulatory continuity</v>
      </c>
      <c r="CM24" t="str">
        <f>IF($CK24="","",IFERROR(INDEX(_REF_Industry_Wording!$G$2:$G$70,MATCH($CK24,_REF_Industry_Wording!$A$2:$A$70,0)),""))</f>
        <v>Strengthen Regulatory continuity using the selected maturity treatment, crisis scenario and evidence requirements.</v>
      </c>
      <c r="CN24" t="str">
        <f>IF($CK24="","",IFERROR(INDEX(_REF_Industry_Wording!$H$2:$H$70,MATCH($CK24,_REF_Industry_Wording!$A$2:$A$70,0)),""))</f>
        <v>Regulatory continuity</v>
      </c>
      <c r="CO24">
        <f>IF($CK24="","",IFERROR(INDEX(_REF_Industry_Wording!$I$2:$I$70,MATCH($CK24,_REF_Industry_Wording!$A$2:$A$70,0)),""))</f>
        <v>0</v>
      </c>
      <c r="CP24" t="str">
        <f>IF($CK24="","",IFERROR(INDEX(_REF_Industry_Wording!$J$2:$J$70,MATCH($CK24,_REF_Industry_Wording!$A$2:$A$70,0)),""))</f>
        <v>Regulatory continuity</v>
      </c>
      <c r="CQ24" t="str">
        <f t="shared" si="20"/>
        <v>Wording by industry=0; capability=CAP_REGULATORY_CONTINUITY; title=Strengthen Regulatory continuity</v>
      </c>
      <c r="CR24" t="str">
        <f t="shared" si="21"/>
        <v>INIT-ONT-0020</v>
      </c>
      <c r="CS24">
        <f t="shared" si="22"/>
        <v>24</v>
      </c>
      <c r="CT24" t="str">
        <f t="shared" si="23"/>
        <v>CAP_REGULATORY_CONTINUITY</v>
      </c>
      <c r="CU24" t="str">
        <f t="shared" si="24"/>
        <v>INI-020|Legal Risk|Contracts|CAP_REGULATORY_CONTINUITY</v>
      </c>
      <c r="CV24" t="str">
        <f t="shared" si="25"/>
        <v>Active</v>
      </c>
      <c r="CW24" t="str">
        <f t="shared" si="26"/>
        <v>OK: capability-driven</v>
      </c>
      <c r="CX24" t="str">
        <f t="shared" si="27"/>
        <v>Initiative ontology uses capability=CAP_REGULATORY_CONTINUITY; bridge=BRG-051; treatment=TRT-REGULATORY_CONTINUITY-INITIAL; wording=IW-ALL-REGULATORY_CONTINUITY</v>
      </c>
    </row>
    <row r="25" spans="1:102" ht="42" customHeight="1">
      <c r="A25" s="17" t="s">
        <v>4107</v>
      </c>
      <c r="B25" s="17" t="s">
        <v>1551</v>
      </c>
      <c r="C25" s="17" t="s">
        <v>1572</v>
      </c>
      <c r="D25" s="17" t="s">
        <v>4064</v>
      </c>
      <c r="E25" s="17" t="s">
        <v>4065</v>
      </c>
      <c r="F25" s="17" t="s">
        <v>4108</v>
      </c>
      <c r="G25" s="17" t="s">
        <v>4109</v>
      </c>
      <c r="H25" s="17" t="s">
        <v>3684</v>
      </c>
      <c r="I25" s="17" t="s">
        <v>4094</v>
      </c>
      <c r="J25" s="17" t="s">
        <v>4110</v>
      </c>
      <c r="K25" s="17">
        <v>6</v>
      </c>
      <c r="L25" s="17">
        <f>IF($A25="","",COUNTIFS(_DATA_RiskInitiativeMap!$A$444:$A$867,$A25,_DATA_RiskInitiativeMap!$G$444:$G$867,"&gt;0"))</f>
        <v>6</v>
      </c>
      <c r="M25" s="17">
        <f>IF($A25="","",COUNTIFS(_DATA_RiskInitiativeMap!$A$444:$A$867,$A25,_DATA_RiskInitiativeMap!$G$444:$G$867,"&gt;0"))</f>
        <v>6</v>
      </c>
      <c r="N25" s="17">
        <f>IFERROR(AVERAGEIFS(_DATA_Assessment_Model!$H$5:$H$428,_DATA_Assessment_Model!$AW$5:$AW$428,$B25,_DATA_Assessment_Model!$B$5:$B$428,$C25),"")</f>
        <v>0</v>
      </c>
      <c r="O25" s="17">
        <f t="shared" si="0"/>
        <v>5</v>
      </c>
      <c r="P25" s="17">
        <f>IFERROR(INDEX(_DATA_Dashboard_Facts!$H$5:$H$21,MATCH($B25,_DATA_Dashboard_Facts!$A$5:$A$21,0)),"")</f>
        <v>0</v>
      </c>
      <c r="Q25" s="17">
        <f t="shared" si="1"/>
        <v>5</v>
      </c>
      <c r="R25" s="17">
        <f>IF(OR('Resilience &amp; Risk Scenario'!$B$6="",'Resilience &amp; Risk Scenario'!$B$7&lt;=0),1,IFERROR(IF(SUMIFS(_ENGINE_Crisis!$D$5:$D$208,_ENGINE_Crisis!$A$5:$A$208,'Resilience &amp; Risk Scenario'!$B$6,_ENGINE_Crisis!$B$5:$B$208,$B25)=0,1,SUMIFS(_ENGINE_Crisis!$D$5:$D$208,_ENGINE_Crisis!$A$5:$A$208,'Resilience &amp; Risk Scenario'!$B$6,_ENGINE_Crisis!$B$5:$B$208,$B25)),1))</f>
        <v>1</v>
      </c>
      <c r="S25" s="17">
        <f>IFERROR(INDEX(_ENGINE_Strategy!$A$100:$A$113,MATCH($D25,_ENGINE_Strategy!$B$100:$B$113,0)),99)</f>
        <v>4</v>
      </c>
      <c r="T25" s="17">
        <f>IFERROR(INDEX(_ENGINE_Strategy!$J$100:$J$113,MATCH($D25,_ENGINE_Strategy!$B$100:$B$113,0)),0)</f>
        <v>69</v>
      </c>
      <c r="U25" s="17">
        <v>2</v>
      </c>
      <c r="V25" s="17">
        <v>4</v>
      </c>
      <c r="W25" s="17">
        <v>5</v>
      </c>
      <c r="X25" s="17">
        <f t="shared" si="2"/>
        <v>4.6124999999999998</v>
      </c>
      <c r="Y25" s="17">
        <f>IF($P25="","",MAX(1,MIN(5,1+N($O25)*0.45+MIN(2,N($M25)*0.3)+($R25-1)*1.2+IF('Resilience &amp; Risk Scenario'!$B$7="",1,'Resilience &amp; Risk Scenario'!$B$7)*0.25)))</f>
        <v>5</v>
      </c>
      <c r="Z25" s="17">
        <f t="shared" si="3"/>
        <v>4.8</v>
      </c>
      <c r="AA25" s="17">
        <f t="shared" si="4"/>
        <v>3.335</v>
      </c>
      <c r="AB25" s="17">
        <v>2</v>
      </c>
      <c r="AC25" s="17">
        <f t="shared" si="5"/>
        <v>2.6</v>
      </c>
      <c r="AD25" s="17">
        <f t="shared" si="6"/>
        <v>7</v>
      </c>
      <c r="AE25" s="17" t="str">
        <f t="shared" si="7"/>
        <v>0-90 days</v>
      </c>
      <c r="AF25" s="17" t="s">
        <v>4096</v>
      </c>
      <c r="AG25" s="17" t="s">
        <v>3930</v>
      </c>
      <c r="AH25" s="17" t="s">
        <v>3931</v>
      </c>
      <c r="AI25" s="17" t="s">
        <v>3932</v>
      </c>
      <c r="AJ25" s="17" t="s">
        <v>4111</v>
      </c>
      <c r="AK25" s="17" t="s">
        <v>4112</v>
      </c>
      <c r="AL25" s="17" t="s">
        <v>4113</v>
      </c>
      <c r="AM25" s="17" t="s">
        <v>4072</v>
      </c>
      <c r="AN25" s="17" t="s">
        <v>3937</v>
      </c>
      <c r="AO25" s="17" t="s">
        <v>3938</v>
      </c>
      <c r="AP25" s="17" t="s">
        <v>3939</v>
      </c>
      <c r="AQ25" s="17"/>
      <c r="AR25" s="17"/>
      <c r="AS25" s="14">
        <f>IFERROR((IF(SUMIFS(_REF_Model_Content!$J$1:$J$157,_REF_Model_Content!$A$1:$A$174,PV_Canonical_Industry,_REF_Model_Content!$B$1:$B$174,$B25)=0,1,SUMIFS(_REF_Model_Content!$J$1:$J$157,_REF_Model_Content!$A$1:$A$174,PV_Canonical_Industry,_REF_Model_Content!$B$1:$B$174,$B25))*IFERROR($CA25,1)),1)</f>
        <v>1</v>
      </c>
      <c r="AT25" s="14">
        <f t="shared" si="8"/>
        <v>2.6</v>
      </c>
      <c r="AU25" s="14">
        <f>IF($AT25="","",RANK($AT25,$AT$5:$AT$76,0)+COUNTIF($AT$5:AT25,$AT25)-1)</f>
        <v>7</v>
      </c>
      <c r="AV25" s="14">
        <f>IFERROR(INDEX(_DATA_Dashboard_Facts!$G$300:$G$316,MATCH($B25,_DATA_Dashboard_Facts!$A$300:$A$316,0)),"")</f>
        <v>0</v>
      </c>
      <c r="AW25" s="14" t="str">
        <f t="shared" si="9"/>
        <v>Relevance-neutral priority</v>
      </c>
      <c r="AX25">
        <f>IFERROR(INDEX('Action Plan &amp; Roadmap'!$D$59:$D$130,MATCH($A25,'Action Plan &amp; Roadmap'!$A$59:$A$130,0)),"")</f>
        <v>0</v>
      </c>
      <c r="AY25">
        <f t="shared" si="10"/>
        <v>0</v>
      </c>
      <c r="AZ25" t="s">
        <v>4004</v>
      </c>
      <c r="BA25">
        <f>IF($A25="","",COUNTIF(_DATA_RiskInitiativeMap!$A$1:$A$867,$A25))</f>
        <v>6</v>
      </c>
      <c r="BB25">
        <f>IF($A25="","",IFERROR(AVERAGEIF(_DATA_RiskInitiativeMap!$A$1:$A$867,$A25,_DATA_RiskInitiativeMap!$G$1:$G$867),0))</f>
        <v>16.36</v>
      </c>
      <c r="BC25">
        <f t="shared" si="11"/>
        <v>4.7</v>
      </c>
      <c r="BD25">
        <f t="shared" si="12"/>
        <v>4.2452000000000005</v>
      </c>
      <c r="BI25" s="17" t="str">
        <f>IFERROR(_CONFIG_Model_Settings!$B$103,"Adaptive")</f>
        <v>Fragile</v>
      </c>
      <c r="BJ25" s="17">
        <f>IFERROR(INDEX(_CONFIG_Model_Settings!$B$109:$B$113,MATCH($BI25,_CONFIG_Model_Settings!$A$109:$A$113,0)),0.3)</f>
        <v>0.2</v>
      </c>
      <c r="BK25" s="17">
        <f>IFERROR(INDEX(_CONFIG_Model_Settings!$C$109:$C$113,MATCH($BI25,_CONFIG_Model_Settings!$A$109:$A$113,0)),0.2)</f>
        <v>0.3</v>
      </c>
      <c r="BL25" s="17">
        <f>IFERROR(INDEX(_CONFIG_Model_Settings!$D$109:$D$113,MATCH($BI25,_CONFIG_Model_Settings!$A$109:$A$113,0)),0.25)</f>
        <v>0.4</v>
      </c>
      <c r="BM25" s="17">
        <f>IFERROR(INDEX(_CONFIG_Model_Settings!$E$109:$E$113,MATCH($BI25,_CONFIG_Model_Settings!$A$109:$A$113,0)),0.25)</f>
        <v>0.1</v>
      </c>
      <c r="BN25" s="17">
        <f>IFERROR(INDEX(_CONFIG_Model_Settings!$B$117:$B$123,MATCH(_CONFIG_Model_Settings!$B$104,_CONFIG_Model_Settings!$A$117:$A$123,0)),1)</f>
        <v>1</v>
      </c>
      <c r="BO25" s="17">
        <f>IFERROR(INDEX(_CONFIG_Model_Settings!$C$117:$C$123,MATCH(_CONFIG_Model_Settings!$B$104,_CONFIG_Model_Settings!$A$117:$A$123,0)),1)</f>
        <v>1</v>
      </c>
      <c r="BP25" s="17">
        <f>IFERROR(INDEX(_CONFIG_Model_Settings!$D$117:$D$123,MATCH(_CONFIG_Model_Settings!$B$104,_CONFIG_Model_Settings!$A$117:$A$123,0)),1)</f>
        <v>1</v>
      </c>
      <c r="BQ25" s="17">
        <f>IFERROR(INDEX(_CONFIG_Model_Settings!$E$117:$E$123,MATCH(_CONFIG_Model_Settings!$B$104,_CONFIG_Model_Settings!$A$117:$A$123,0)),1)</f>
        <v>1</v>
      </c>
      <c r="BR25" s="17">
        <f>IF(OR($A25="",$P25=""),"",MIN(5,IFERROR(SUMIF(_DATA_RiskInitiativeMap!$A$1:$A$867,$A25,_DATA_RiskInitiativeMap!$K$1:$K$867)/MAX(1,_CONFIG_Model_Settings!$B$166),0)))</f>
        <v>5</v>
      </c>
      <c r="BS25" s="17">
        <f t="shared" si="13"/>
        <v>5.2</v>
      </c>
      <c r="BT25" s="17">
        <f t="shared" si="14"/>
        <v>2</v>
      </c>
      <c r="BU25" s="17">
        <f t="shared" si="15"/>
        <v>2.6</v>
      </c>
      <c r="BV25" s="17">
        <f>IF(OR($P25="",$BU25="",$AY25="Done",$AY25="Not applicable"),"",ROUND($BU25*N($AS25)*IF(OR('Resilience &amp; Risk Scenario'!$B$6="",'Resilience &amp; Risk Scenario'!$B$7&lt;=0),1,IFERROR(1+MIN(0.75,INDEX('Resilience &amp; Risk Scenario'!$E$21:$E$37,MATCH($B25,'Resilience &amp; Risk Scenario'!$B$21:$B$37,0))/10),1)),2))</f>
        <v>2.6</v>
      </c>
      <c r="BW25" s="17">
        <f>IF($BV25="","",RANK($BV25,$BV$5:$BV$76,0)+COUNTIF($BV$5:$BV25,$BV25)-1)</f>
        <v>7</v>
      </c>
      <c r="BX25" s="17" t="str">
        <f t="shared" si="16"/>
        <v>0-90 days</v>
      </c>
      <c r="BY25" t="str">
        <f>IFERROR(IF($A25="","","P2: "&amp;$BI25&amp;" posture; objective="&amp;IF(_CONFIG_Model_Settings!$B$104="","Neutral/default",_CONFIG_Model_Settings!$B$104)&amp;"; relevance="&amp;ROUND(N($AS25),2)&amp;"; scenario/domain boost="&amp;ROUND(IF(OR('Resilience &amp; Risk Scenario'!$B$6="",'Resilience &amp; Risk Scenario'!$B$7&lt;=0),1,IFERROR(1+MIN(0.75,INDEX('Resilience &amp; Risk Scenario'!$E$21:$E$37,MATCH($B25,'Resilience &amp; Risk Scenario'!$B$21:$B$37,0))/10),1)),2)&amp;"; financial score="&amp;ROUND(N($BR25),1)&amp;"; CoD="&amp;$BS25&amp;IF($CL25&lt;&gt;"","; wording="&amp;$CL25,"")),"")</f>
        <v>P2: Fragile posture; objective=Neutral/default; relevance=1; scenario/domain boost=1; financial score=5; CoD=5.2; wording=Strengthen Regulatory continuity</v>
      </c>
      <c r="BZ25" t="str">
        <f>IFERROR(INDEX(_REF_Capability_Bridge!$D:$D,MATCH($B25&amp;"|"&amp;$C25,_REF_Capability_Bridge!$J:$J,0)),IFERROR(INDEX(_REF_Capability_Bridge!$D:$D,MATCH($B25&amp;"|",_REF_Capability_Bridge!$J:$J,0)),"CAP_GENERIC"))</f>
        <v>CAP_REGULATORY_CONTINUITY</v>
      </c>
      <c r="CA25">
        <f>IFERROR(IFERROR(INDEX(_ENGINE_Relevance!$L:$L,MATCH($BZ25,_ENGINE_Relevance!$B:$B,0)),1),1)</f>
        <v>1</v>
      </c>
      <c r="CB25" t="str">
        <f>IFERROR(INDEX(_REF_Capability_Bridge!$A:$A,MATCH($B25&amp;"|"&amp;$C25,_REF_Capability_Bridge!$J:$J,0)),IFERROR(INDEX(_REF_Capability_Bridge!$A:$A,MATCH($B25&amp;"|",_REF_Capability_Bridge!$J:$J,0)),"No bridge"))</f>
        <v>BRG-052</v>
      </c>
      <c r="CC25" t="str">
        <f t="shared" si="17"/>
        <v>Capability relevance neutral</v>
      </c>
      <c r="CD25" t="str">
        <f t="shared" si="18"/>
        <v>Initial / absent</v>
      </c>
      <c r="CE25" t="str">
        <f>IF($A25="","",IFERROR(INDEX(_REF_Treatment_Library!$A$2:$A$296,MATCH(1,INDEX((_REF_Treatment_Library!$B$2:$B$296=$BZ25)*(_REF_Treatment_Library!$C$2:$C$296=PV_Canonical_Industry)*(_REF_Treatment_Library!$E$2:$E$296&lt;=N($N25))*(_REF_Treatment_Library!$F$2:$F$296&gt;=N($N25))*(_REF_Treatment_Library!$O$2:$O$296="Yes"),0),0)),IFERROR(INDEX(_REF_Treatment_Library!$A$2:$A$296,MATCH(1,INDEX((_REF_Treatment_Library!$B$2:$B$296=$BZ25)*(_REF_Treatment_Library!$C$2:$C$296="All")*(_REF_Treatment_Library!$E$2:$E$296&lt;=N($N25))*(_REF_Treatment_Library!$F$2:$F$296&gt;=N($N25))*(_REF_Treatment_Library!$O$2:$O$296="Yes"),0),0)),"")))</f>
        <v>TRT-REGULATORY_CONTINUITY-INITIAL</v>
      </c>
      <c r="CF25" t="str">
        <f>IF($CE25="","",IFERROR(INDEX(_REF_Treatment_Library!$H$2:$H$296,MATCH($CE25,_REF_Treatment_Library!$A$2:$A$296,0)),""))</f>
        <v>Establish</v>
      </c>
      <c r="CG25" t="str">
        <f>IF($CE25="","",IFERROR(INDEX(_REF_Treatment_Library!$I$2:$I$296,MATCH($CE25,_REF_Treatment_Library!$A$2:$A$296,0)),""))</f>
        <v>Establish baseline controls for Regulatory continuity</v>
      </c>
      <c r="CH25" t="str">
        <f>IF($CE25="","",IFERROR(INDEX(_REF_Treatment_Library!$K$2:$K$296,MATCH($CE25,_REF_Treatment_Library!$A$2:$A$296,0)),""))</f>
        <v>Named owner, baseline process, minimum control checklist, first evidence package</v>
      </c>
      <c r="CI25" t="str">
        <f>IF($CE25="","",IFERROR(INDEX(_REF_Treatment_Library!$L$2:$L$296,MATCH($CE25,_REF_Treatment_Library!$A$2:$A$296,0)),""))</f>
        <v>Owner assigned; baseline evidence coverage; open critical gaps</v>
      </c>
      <c r="CJ25" t="str">
        <f t="shared" si="19"/>
        <v>Treatment by capability=CAP_REGULATORY_CONTINUITY; band=Initial / absent; score=0.0; treatment=Establish</v>
      </c>
      <c r="CK25" t="str">
        <f>IF($A25="","",IFERROR(INDEX(_REF_Industry_Wording!$A$2:$A$70,MATCH(1,INDEX((_REF_Industry_Wording!$B$2:$B$70=$BZ25)*(_REF_Industry_Wording!$C$2:$C$70=PV_Canonical_Industry)*(_REF_Industry_Wording!$K$2:$K$70="Yes"),0),0)),IFERROR(INDEX(_REF_Industry_Wording!$A$2:$A$70,MATCH(1,INDEX((_REF_Industry_Wording!$B$2:$B$70=$BZ25)*(_REF_Industry_Wording!$C$2:$C$70="All")*(_REF_Industry_Wording!$K$2:$K$70="Yes"),0),0)),"")))</f>
        <v>IW-ALL-REGULATORY_CONTINUITY</v>
      </c>
      <c r="CL25" t="str">
        <f>IF($CK25="","",IFERROR(INDEX(_REF_Industry_Wording!$F$2:$F$70,MATCH($CK25,_REF_Industry_Wording!$A$2:$A$70,0)),""))</f>
        <v>Strengthen Regulatory continuity</v>
      </c>
      <c r="CM25" t="str">
        <f>IF($CK25="","",IFERROR(INDEX(_REF_Industry_Wording!$G$2:$G$70,MATCH($CK25,_REF_Industry_Wording!$A$2:$A$70,0)),""))</f>
        <v>Strengthen Regulatory continuity using the selected maturity treatment, crisis scenario and evidence requirements.</v>
      </c>
      <c r="CN25" t="str">
        <f>IF($CK25="","",IFERROR(INDEX(_REF_Industry_Wording!$H$2:$H$70,MATCH($CK25,_REF_Industry_Wording!$A$2:$A$70,0)),""))</f>
        <v>Regulatory continuity</v>
      </c>
      <c r="CO25">
        <f>IF($CK25="","",IFERROR(INDEX(_REF_Industry_Wording!$I$2:$I$70,MATCH($CK25,_REF_Industry_Wording!$A$2:$A$70,0)),""))</f>
        <v>0</v>
      </c>
      <c r="CP25" t="str">
        <f>IF($CK25="","",IFERROR(INDEX(_REF_Industry_Wording!$J$2:$J$70,MATCH($CK25,_REF_Industry_Wording!$A$2:$A$70,0)),""))</f>
        <v>Regulatory continuity</v>
      </c>
      <c r="CQ25" t="str">
        <f t="shared" si="20"/>
        <v>Wording by industry=0; capability=CAP_REGULATORY_CONTINUITY; title=Strengthen Regulatory continuity</v>
      </c>
      <c r="CR25" t="str">
        <f t="shared" si="21"/>
        <v>INIT-ONT-0021</v>
      </c>
      <c r="CS25">
        <f t="shared" si="22"/>
        <v>25</v>
      </c>
      <c r="CT25" t="str">
        <f t="shared" si="23"/>
        <v>CAP_REGULATORY_CONTINUITY</v>
      </c>
      <c r="CU25" t="str">
        <f t="shared" si="24"/>
        <v>INI-021|Legal Risk|Data and IP|CAP_REGULATORY_CONTINUITY</v>
      </c>
      <c r="CV25" t="str">
        <f t="shared" si="25"/>
        <v>Active</v>
      </c>
      <c r="CW25" t="str">
        <f t="shared" si="26"/>
        <v>OK: capability-driven</v>
      </c>
      <c r="CX25" t="str">
        <f t="shared" si="27"/>
        <v>Initiative ontology uses capability=CAP_REGULATORY_CONTINUITY; bridge=BRG-052; treatment=TRT-REGULATORY_CONTINUITY-INITIAL; wording=IW-ALL-REGULATORY_CONTINUITY</v>
      </c>
    </row>
    <row r="26" spans="1:102" ht="42" customHeight="1">
      <c r="A26" s="17" t="s">
        <v>4114</v>
      </c>
      <c r="B26" s="17" t="s">
        <v>1551</v>
      </c>
      <c r="C26" s="17" t="s">
        <v>1582</v>
      </c>
      <c r="D26" s="17" t="s">
        <v>4064</v>
      </c>
      <c r="E26" s="17" t="s">
        <v>4065</v>
      </c>
      <c r="F26" s="17" t="s">
        <v>4115</v>
      </c>
      <c r="G26" s="17" t="s">
        <v>4116</v>
      </c>
      <c r="H26" s="17" t="s">
        <v>3684</v>
      </c>
      <c r="I26" s="17" t="s">
        <v>4094</v>
      </c>
      <c r="J26" s="17" t="s">
        <v>4117</v>
      </c>
      <c r="K26" s="17">
        <v>2</v>
      </c>
      <c r="L26" s="17">
        <f>IF($A26="","",COUNTIFS(_DATA_RiskInitiativeMap!$A$444:$A$867,$A26,_DATA_RiskInitiativeMap!$G$444:$G$867,"&gt;0"))</f>
        <v>2</v>
      </c>
      <c r="M26" s="17">
        <f>IF($A26="","",COUNTIFS(_DATA_RiskInitiativeMap!$A$444:$A$867,$A26,_DATA_RiskInitiativeMap!$G$444:$G$867,"&gt;0"))</f>
        <v>2</v>
      </c>
      <c r="N26" s="17">
        <f>IFERROR(AVERAGEIFS(_DATA_Assessment_Model!$H$5:$H$428,_DATA_Assessment_Model!$AW$5:$AW$428,$B26,_DATA_Assessment_Model!$B$5:$B$428,$C26),"")</f>
        <v>0</v>
      </c>
      <c r="O26" s="17">
        <f t="shared" si="0"/>
        <v>5</v>
      </c>
      <c r="P26" s="17">
        <f>IFERROR(INDEX(_DATA_Dashboard_Facts!$H$5:$H$21,MATCH($B26,_DATA_Dashboard_Facts!$A$5:$A$21,0)),"")</f>
        <v>0</v>
      </c>
      <c r="Q26" s="17">
        <f t="shared" si="1"/>
        <v>5</v>
      </c>
      <c r="R26" s="17">
        <f>IF(OR('Resilience &amp; Risk Scenario'!$B$6="",'Resilience &amp; Risk Scenario'!$B$7&lt;=0),1,IFERROR(IF(SUMIFS(_ENGINE_Crisis!$D$5:$D$208,_ENGINE_Crisis!$A$5:$A$208,'Resilience &amp; Risk Scenario'!$B$6,_ENGINE_Crisis!$B$5:$B$208,$B26)=0,1,SUMIFS(_ENGINE_Crisis!$D$5:$D$208,_ENGINE_Crisis!$A$5:$A$208,'Resilience &amp; Risk Scenario'!$B$6,_ENGINE_Crisis!$B$5:$B$208,$B26)),1))</f>
        <v>1</v>
      </c>
      <c r="S26" s="17">
        <f>IFERROR(INDEX(_ENGINE_Strategy!$A$100:$A$113,MATCH($D26,_ENGINE_Strategy!$B$100:$B$113,0)),99)</f>
        <v>4</v>
      </c>
      <c r="T26" s="17">
        <f>IFERROR(INDEX(_ENGINE_Strategy!$J$100:$J$113,MATCH($D26,_ENGINE_Strategy!$B$100:$B$113,0)),0)</f>
        <v>69</v>
      </c>
      <c r="U26" s="17">
        <v>2</v>
      </c>
      <c r="V26" s="17">
        <v>4</v>
      </c>
      <c r="W26" s="17">
        <v>5</v>
      </c>
      <c r="X26" s="17">
        <f t="shared" si="2"/>
        <v>4.6124999999999998</v>
      </c>
      <c r="Y26" s="17">
        <f>IF($P26="","",MAX(1,MIN(5,1+N($O26)*0.45+MIN(2,N($M26)*0.3)+($R26-1)*1.2+IF('Resilience &amp; Risk Scenario'!$B$7="",1,'Resilience &amp; Risk Scenario'!$B$7)*0.25)))</f>
        <v>4.0999999999999996</v>
      </c>
      <c r="Z26" s="17">
        <f t="shared" si="3"/>
        <v>4.8</v>
      </c>
      <c r="AA26" s="17">
        <f t="shared" si="4"/>
        <v>3.335</v>
      </c>
      <c r="AB26" s="17">
        <v>2</v>
      </c>
      <c r="AC26" s="17">
        <f t="shared" si="5"/>
        <v>2.4700000000000002</v>
      </c>
      <c r="AD26" s="17">
        <f t="shared" si="6"/>
        <v>14</v>
      </c>
      <c r="AE26" s="17" t="str">
        <f t="shared" si="7"/>
        <v>3-6 months</v>
      </c>
      <c r="AF26" s="17" t="s">
        <v>4096</v>
      </c>
      <c r="AG26" s="17" t="s">
        <v>3930</v>
      </c>
      <c r="AH26" s="17" t="s">
        <v>3931</v>
      </c>
      <c r="AI26" s="17" t="s">
        <v>3932</v>
      </c>
      <c r="AJ26" s="17" t="s">
        <v>4118</v>
      </c>
      <c r="AK26" s="17" t="s">
        <v>4119</v>
      </c>
      <c r="AL26" s="17" t="s">
        <v>4120</v>
      </c>
      <c r="AM26" s="17" t="s">
        <v>4072</v>
      </c>
      <c r="AN26" s="17" t="s">
        <v>3937</v>
      </c>
      <c r="AO26" s="17" t="s">
        <v>3938</v>
      </c>
      <c r="AP26" s="17" t="s">
        <v>3939</v>
      </c>
      <c r="AQ26" s="17"/>
      <c r="AR26" s="17"/>
      <c r="AS26" s="14">
        <f>IFERROR((IF(SUMIFS(_REF_Model_Content!$J$1:$J$157,_REF_Model_Content!$A$1:$A$174,PV_Canonical_Industry,_REF_Model_Content!$B$1:$B$174,$B26)=0,1,SUMIFS(_REF_Model_Content!$J$1:$J$157,_REF_Model_Content!$A$1:$A$174,PV_Canonical_Industry,_REF_Model_Content!$B$1:$B$174,$B26))*IFERROR($CA26,1)),1)</f>
        <v>1</v>
      </c>
      <c r="AT26" s="14">
        <f t="shared" si="8"/>
        <v>2.4700000000000002</v>
      </c>
      <c r="AU26" s="14">
        <f>IF($AT26="","",RANK($AT26,$AT$5:$AT$76,0)+COUNTIF($AT$5:AT26,$AT26)-1)</f>
        <v>14</v>
      </c>
      <c r="AV26" s="14">
        <f>IFERROR(INDEX(_DATA_Dashboard_Facts!$G$300:$G$316,MATCH($B26,_DATA_Dashboard_Facts!$A$300:$A$316,0)),"")</f>
        <v>0</v>
      </c>
      <c r="AW26" s="14" t="str">
        <f t="shared" si="9"/>
        <v>Relevance-neutral priority</v>
      </c>
      <c r="AX26">
        <f>IFERROR(INDEX('Action Plan &amp; Roadmap'!$D$59:$D$130,MATCH($A26,'Action Plan &amp; Roadmap'!$A$59:$A$130,0)),"")</f>
        <v>0</v>
      </c>
      <c r="AY26">
        <f t="shared" si="10"/>
        <v>0</v>
      </c>
      <c r="AZ26" t="s">
        <v>4004</v>
      </c>
      <c r="BA26">
        <f>IF($A26="","",COUNTIF(_DATA_RiskInitiativeMap!$A$1:$A$867,$A26))</f>
        <v>2</v>
      </c>
      <c r="BB26">
        <f>IF($A26="","",IFERROR(AVERAGEIF(_DATA_RiskInitiativeMap!$A$1:$A$867,$A26,_DATA_RiskInitiativeMap!$G$1:$G$867),0))</f>
        <v>16.36</v>
      </c>
      <c r="BC26">
        <f t="shared" si="11"/>
        <v>4.7</v>
      </c>
      <c r="BD26">
        <f t="shared" si="12"/>
        <v>4.2452000000000005</v>
      </c>
      <c r="BI26" s="17" t="str">
        <f>IFERROR(_CONFIG_Model_Settings!$B$103,"Adaptive")</f>
        <v>Fragile</v>
      </c>
      <c r="BJ26" s="17">
        <f>IFERROR(INDEX(_CONFIG_Model_Settings!$B$109:$B$113,MATCH($BI26,_CONFIG_Model_Settings!$A$109:$A$113,0)),0.3)</f>
        <v>0.2</v>
      </c>
      <c r="BK26" s="17">
        <f>IFERROR(INDEX(_CONFIG_Model_Settings!$C$109:$C$113,MATCH($BI26,_CONFIG_Model_Settings!$A$109:$A$113,0)),0.2)</f>
        <v>0.3</v>
      </c>
      <c r="BL26" s="17">
        <f>IFERROR(INDEX(_CONFIG_Model_Settings!$D$109:$D$113,MATCH($BI26,_CONFIG_Model_Settings!$A$109:$A$113,0)),0.25)</f>
        <v>0.4</v>
      </c>
      <c r="BM26" s="17">
        <f>IFERROR(INDEX(_CONFIG_Model_Settings!$E$109:$E$113,MATCH($BI26,_CONFIG_Model_Settings!$A$109:$A$113,0)),0.25)</f>
        <v>0.1</v>
      </c>
      <c r="BN26" s="17">
        <f>IFERROR(INDEX(_CONFIG_Model_Settings!$B$117:$B$123,MATCH(_CONFIG_Model_Settings!$B$104,_CONFIG_Model_Settings!$A$117:$A$123,0)),1)</f>
        <v>1</v>
      </c>
      <c r="BO26" s="17">
        <f>IFERROR(INDEX(_CONFIG_Model_Settings!$C$117:$C$123,MATCH(_CONFIG_Model_Settings!$B$104,_CONFIG_Model_Settings!$A$117:$A$123,0)),1)</f>
        <v>1</v>
      </c>
      <c r="BP26" s="17">
        <f>IFERROR(INDEX(_CONFIG_Model_Settings!$D$117:$D$123,MATCH(_CONFIG_Model_Settings!$B$104,_CONFIG_Model_Settings!$A$117:$A$123,0)),1)</f>
        <v>1</v>
      </c>
      <c r="BQ26" s="17">
        <f>IFERROR(INDEX(_CONFIG_Model_Settings!$E$117:$E$123,MATCH(_CONFIG_Model_Settings!$B$104,_CONFIG_Model_Settings!$A$117:$A$123,0)),1)</f>
        <v>1</v>
      </c>
      <c r="BR26" s="17">
        <f>IF(OR($A26="",$P26=""),"",MIN(5,IFERROR(SUMIF(_DATA_RiskInitiativeMap!$A$1:$A$867,$A26,_DATA_RiskInitiativeMap!$K$1:$K$867)/MAX(1,_CONFIG_Model_Settings!$B$166),0)))</f>
        <v>5</v>
      </c>
      <c r="BS26" s="17">
        <f t="shared" si="13"/>
        <v>4.93</v>
      </c>
      <c r="BT26" s="17">
        <f t="shared" si="14"/>
        <v>2</v>
      </c>
      <c r="BU26" s="17">
        <f t="shared" si="15"/>
        <v>2.4700000000000002</v>
      </c>
      <c r="BV26" s="17">
        <f>IF(OR($P26="",$BU26="",$AY26="Done",$AY26="Not applicable"),"",ROUND($BU26*N($AS26)*IF(OR('Resilience &amp; Risk Scenario'!$B$6="",'Resilience &amp; Risk Scenario'!$B$7&lt;=0),1,IFERROR(1+MIN(0.75,INDEX('Resilience &amp; Risk Scenario'!$E$21:$E$37,MATCH($B26,'Resilience &amp; Risk Scenario'!$B$21:$B$37,0))/10),1)),2))</f>
        <v>2.4700000000000002</v>
      </c>
      <c r="BW26" s="17">
        <f>IF($BV26="","",RANK($BV26,$BV$5:$BV$76,0)+COUNTIF($BV$5:$BV26,$BV26)-1)</f>
        <v>14</v>
      </c>
      <c r="BX26" s="17" t="str">
        <f t="shared" si="16"/>
        <v>3-6 months</v>
      </c>
      <c r="BY26" t="str">
        <f>IFERROR(IF($A26="","","P2: "&amp;$BI26&amp;" posture; objective="&amp;IF(_CONFIG_Model_Settings!$B$104="","Neutral/default",_CONFIG_Model_Settings!$B$104)&amp;"; relevance="&amp;ROUND(N($AS26),2)&amp;"; scenario/domain boost="&amp;ROUND(IF(OR('Resilience &amp; Risk Scenario'!$B$6="",'Resilience &amp; Risk Scenario'!$B$7&lt;=0),1,IFERROR(1+MIN(0.75,INDEX('Resilience &amp; Risk Scenario'!$E$21:$E$37,MATCH($B26,'Resilience &amp; Risk Scenario'!$B$21:$B$37,0))/10),1)),2)&amp;"; financial score="&amp;ROUND(N($BR26),1)&amp;"; CoD="&amp;$BS26&amp;IF($CL26&lt;&gt;"","; wording="&amp;$CL26,"")),"")</f>
        <v>P2: Fragile posture; objective=Neutral/default; relevance=1; scenario/domain boost=1; financial score=5; CoD=4.93; wording=Strengthen Regulatory continuity</v>
      </c>
      <c r="BZ26" t="str">
        <f>IFERROR(INDEX(_REF_Capability_Bridge!$D:$D,MATCH($B26&amp;"|"&amp;$C26,_REF_Capability_Bridge!$J:$J,0)),IFERROR(INDEX(_REF_Capability_Bridge!$D:$D,MATCH($B26&amp;"|",_REF_Capability_Bridge!$J:$J,0)),"CAP_GENERIC"))</f>
        <v>CAP_REGULATORY_CONTINUITY</v>
      </c>
      <c r="CA26">
        <f>IFERROR(IFERROR(INDEX(_ENGINE_Relevance!$L:$L,MATCH($BZ26,_ENGINE_Relevance!$B:$B,0)),1),1)</f>
        <v>1</v>
      </c>
      <c r="CB26" t="str">
        <f>IFERROR(INDEX(_REF_Capability_Bridge!$A:$A,MATCH($B26&amp;"|"&amp;$C26,_REF_Capability_Bridge!$J:$J,0)),IFERROR(INDEX(_REF_Capability_Bridge!$A:$A,MATCH($B26&amp;"|",_REF_Capability_Bridge!$J:$J,0)),"No bridge"))</f>
        <v>BRG-053</v>
      </c>
      <c r="CC26" t="str">
        <f t="shared" si="17"/>
        <v>Capability relevance neutral</v>
      </c>
      <c r="CD26" t="str">
        <f t="shared" si="18"/>
        <v>Initial / absent</v>
      </c>
      <c r="CE26" t="str">
        <f>IF($A26="","",IFERROR(INDEX(_REF_Treatment_Library!$A$2:$A$296,MATCH(1,INDEX((_REF_Treatment_Library!$B$2:$B$296=$BZ26)*(_REF_Treatment_Library!$C$2:$C$296=PV_Canonical_Industry)*(_REF_Treatment_Library!$E$2:$E$296&lt;=N($N26))*(_REF_Treatment_Library!$F$2:$F$296&gt;=N($N26))*(_REF_Treatment_Library!$O$2:$O$296="Yes"),0),0)),IFERROR(INDEX(_REF_Treatment_Library!$A$2:$A$296,MATCH(1,INDEX((_REF_Treatment_Library!$B$2:$B$296=$BZ26)*(_REF_Treatment_Library!$C$2:$C$296="All")*(_REF_Treatment_Library!$E$2:$E$296&lt;=N($N26))*(_REF_Treatment_Library!$F$2:$F$296&gt;=N($N26))*(_REF_Treatment_Library!$O$2:$O$296="Yes"),0),0)),"")))</f>
        <v>TRT-REGULATORY_CONTINUITY-INITIAL</v>
      </c>
      <c r="CF26" t="str">
        <f>IF($CE26="","",IFERROR(INDEX(_REF_Treatment_Library!$H$2:$H$296,MATCH($CE26,_REF_Treatment_Library!$A$2:$A$296,0)),""))</f>
        <v>Establish</v>
      </c>
      <c r="CG26" t="str">
        <f>IF($CE26="","",IFERROR(INDEX(_REF_Treatment_Library!$I$2:$I$296,MATCH($CE26,_REF_Treatment_Library!$A$2:$A$296,0)),""))</f>
        <v>Establish baseline controls for Regulatory continuity</v>
      </c>
      <c r="CH26" t="str">
        <f>IF($CE26="","",IFERROR(INDEX(_REF_Treatment_Library!$K$2:$K$296,MATCH($CE26,_REF_Treatment_Library!$A$2:$A$296,0)),""))</f>
        <v>Named owner, baseline process, minimum control checklist, first evidence package</v>
      </c>
      <c r="CI26" t="str">
        <f>IF($CE26="","",IFERROR(INDEX(_REF_Treatment_Library!$L$2:$L$296,MATCH($CE26,_REF_Treatment_Library!$A$2:$A$296,0)),""))</f>
        <v>Owner assigned; baseline evidence coverage; open critical gaps</v>
      </c>
      <c r="CJ26" t="str">
        <f t="shared" si="19"/>
        <v>Treatment by capability=CAP_REGULATORY_CONTINUITY; band=Initial / absent; score=0.0; treatment=Establish</v>
      </c>
      <c r="CK26" t="str">
        <f>IF($A26="","",IFERROR(INDEX(_REF_Industry_Wording!$A$2:$A$70,MATCH(1,INDEX((_REF_Industry_Wording!$B$2:$B$70=$BZ26)*(_REF_Industry_Wording!$C$2:$C$70=PV_Canonical_Industry)*(_REF_Industry_Wording!$K$2:$K$70="Yes"),0),0)),IFERROR(INDEX(_REF_Industry_Wording!$A$2:$A$70,MATCH(1,INDEX((_REF_Industry_Wording!$B$2:$B$70=$BZ26)*(_REF_Industry_Wording!$C$2:$C$70="All")*(_REF_Industry_Wording!$K$2:$K$70="Yes"),0),0)),"")))</f>
        <v>IW-ALL-REGULATORY_CONTINUITY</v>
      </c>
      <c r="CL26" t="str">
        <f>IF($CK26="","",IFERROR(INDEX(_REF_Industry_Wording!$F$2:$F$70,MATCH($CK26,_REF_Industry_Wording!$A$2:$A$70,0)),""))</f>
        <v>Strengthen Regulatory continuity</v>
      </c>
      <c r="CM26" t="str">
        <f>IF($CK26="","",IFERROR(INDEX(_REF_Industry_Wording!$G$2:$G$70,MATCH($CK26,_REF_Industry_Wording!$A$2:$A$70,0)),""))</f>
        <v>Strengthen Regulatory continuity using the selected maturity treatment, crisis scenario and evidence requirements.</v>
      </c>
      <c r="CN26" t="str">
        <f>IF($CK26="","",IFERROR(INDEX(_REF_Industry_Wording!$H$2:$H$70,MATCH($CK26,_REF_Industry_Wording!$A$2:$A$70,0)),""))</f>
        <v>Regulatory continuity</v>
      </c>
      <c r="CO26">
        <f>IF($CK26="","",IFERROR(INDEX(_REF_Industry_Wording!$I$2:$I$70,MATCH($CK26,_REF_Industry_Wording!$A$2:$A$70,0)),""))</f>
        <v>0</v>
      </c>
      <c r="CP26" t="str">
        <f>IF($CK26="","",IFERROR(INDEX(_REF_Industry_Wording!$J$2:$J$70,MATCH($CK26,_REF_Industry_Wording!$A$2:$A$70,0)),""))</f>
        <v>Regulatory continuity</v>
      </c>
      <c r="CQ26" t="str">
        <f t="shared" si="20"/>
        <v>Wording by industry=0; capability=CAP_REGULATORY_CONTINUITY; title=Strengthen Regulatory continuity</v>
      </c>
      <c r="CR26" t="str">
        <f t="shared" si="21"/>
        <v>INIT-ONT-0022</v>
      </c>
      <c r="CS26">
        <f t="shared" si="22"/>
        <v>26</v>
      </c>
      <c r="CT26" t="str">
        <f t="shared" si="23"/>
        <v>CAP_REGULATORY_CONTINUITY</v>
      </c>
      <c r="CU26" t="str">
        <f t="shared" si="24"/>
        <v>INI-022|Legal Risk|Employment law|CAP_REGULATORY_CONTINUITY</v>
      </c>
      <c r="CV26" t="str">
        <f t="shared" si="25"/>
        <v>Active</v>
      </c>
      <c r="CW26" t="str">
        <f t="shared" si="26"/>
        <v>OK: capability-driven</v>
      </c>
      <c r="CX26" t="str">
        <f t="shared" si="27"/>
        <v>Initiative ontology uses capability=CAP_REGULATORY_CONTINUITY; bridge=BRG-053; treatment=TRT-REGULATORY_CONTINUITY-INITIAL; wording=IW-ALL-REGULATORY_CONTINUITY</v>
      </c>
    </row>
    <row r="27" spans="1:102" ht="42" customHeight="1">
      <c r="A27" s="17" t="s">
        <v>4121</v>
      </c>
      <c r="B27" s="17" t="s">
        <v>1666</v>
      </c>
      <c r="C27" s="17" t="s">
        <v>1668</v>
      </c>
      <c r="D27" s="17" t="s">
        <v>4122</v>
      </c>
      <c r="E27" s="17" t="s">
        <v>4123</v>
      </c>
      <c r="F27" s="17" t="s">
        <v>4124</v>
      </c>
      <c r="G27" s="17" t="s">
        <v>4125</v>
      </c>
      <c r="H27" s="17" t="s">
        <v>3685</v>
      </c>
      <c r="I27" s="17" t="s">
        <v>4126</v>
      </c>
      <c r="J27" s="17" t="s">
        <v>4127</v>
      </c>
      <c r="K27" s="17">
        <v>9</v>
      </c>
      <c r="L27" s="17">
        <f>IF($A27="","",COUNTIFS(_DATA_RiskInitiativeMap!$A$444:$A$867,$A27,_DATA_RiskInitiativeMap!$G$444:$G$867,"&gt;0"))</f>
        <v>9</v>
      </c>
      <c r="M27" s="17">
        <f>IF($A27="","",COUNTIFS(_DATA_RiskInitiativeMap!$A$444:$A$867,$A27,_DATA_RiskInitiativeMap!$G$444:$G$867,"&gt;0"))</f>
        <v>9</v>
      </c>
      <c r="N27" s="17">
        <f>IFERROR(AVERAGEIFS(_DATA_Assessment_Model!$H$5:$H$428,_DATA_Assessment_Model!$AW$5:$AW$428,$B27,_DATA_Assessment_Model!$B$5:$B$428,$C27),"")</f>
        <v>0</v>
      </c>
      <c r="O27" s="17">
        <f t="shared" si="0"/>
        <v>5</v>
      </c>
      <c r="P27" s="17">
        <f>IFERROR(INDEX(_DATA_Dashboard_Facts!$H$5:$H$21,MATCH($B27,_DATA_Dashboard_Facts!$A$5:$A$21,0)),"")</f>
        <v>0</v>
      </c>
      <c r="Q27" s="17">
        <f t="shared" si="1"/>
        <v>5</v>
      </c>
      <c r="R27" s="17">
        <f>IF(OR('Resilience &amp; Risk Scenario'!$B$6="",'Resilience &amp; Risk Scenario'!$B$7&lt;=0),1,IFERROR(IF(SUMIFS(_ENGINE_Crisis!$D$5:$D$208,_ENGINE_Crisis!$A$5:$A$208,'Resilience &amp; Risk Scenario'!$B$6,_ENGINE_Crisis!$B$5:$B$208,$B27)=0,1,SUMIFS(_ENGINE_Crisis!$D$5:$D$208,_ENGINE_Crisis!$A$5:$A$208,'Resilience &amp; Risk Scenario'!$B$6,_ENGINE_Crisis!$B$5:$B$208,$B27)),1))</f>
        <v>1</v>
      </c>
      <c r="S27" s="17">
        <f>IFERROR(INDEX(_ENGINE_Strategy!$A$100:$A$113,MATCH($D27,_ENGINE_Strategy!$B$100:$B$113,0)),99)</f>
        <v>8</v>
      </c>
      <c r="T27" s="17">
        <f>IFERROR(INDEX(_ENGINE_Strategy!$J$100:$J$113,MATCH($D27,_ENGINE_Strategy!$B$100:$B$113,0)),0)</f>
        <v>67</v>
      </c>
      <c r="U27" s="17">
        <v>2</v>
      </c>
      <c r="V27" s="17">
        <v>5</v>
      </c>
      <c r="W27" s="17">
        <v>4</v>
      </c>
      <c r="X27" s="17">
        <f t="shared" si="2"/>
        <v>4.5875000000000004</v>
      </c>
      <c r="Y27" s="17">
        <f>IF($P27="","",MAX(1,MIN(5,1+N($O27)*0.45+MIN(2,N($M27)*0.3)+($R27-1)*1.2+IF('Resilience &amp; Risk Scenario'!$B$7="",1,'Resilience &amp; Risk Scenario'!$B$7)*0.25)))</f>
        <v>5</v>
      </c>
      <c r="Z27" s="17">
        <f t="shared" si="3"/>
        <v>5</v>
      </c>
      <c r="AA27" s="17">
        <f t="shared" si="4"/>
        <v>3.0049999999999999</v>
      </c>
      <c r="AB27" s="17">
        <v>3</v>
      </c>
      <c r="AC27" s="17">
        <f t="shared" si="5"/>
        <v>1.71</v>
      </c>
      <c r="AD27" s="17">
        <f t="shared" si="6"/>
        <v>41</v>
      </c>
      <c r="AE27" s="17" t="str">
        <f t="shared" si="7"/>
        <v>6-12 months</v>
      </c>
      <c r="AF27" s="17" t="s">
        <v>4128</v>
      </c>
      <c r="AG27" s="17" t="s">
        <v>3963</v>
      </c>
      <c r="AH27" s="17" t="s">
        <v>4129</v>
      </c>
      <c r="AI27" s="17" t="s">
        <v>4130</v>
      </c>
      <c r="AJ27" s="17" t="s">
        <v>4131</v>
      </c>
      <c r="AK27" s="17" t="s">
        <v>4132</v>
      </c>
      <c r="AL27" s="17" t="s">
        <v>4133</v>
      </c>
      <c r="AM27" s="17" t="s">
        <v>4134</v>
      </c>
      <c r="AN27" s="17" t="s">
        <v>3937</v>
      </c>
      <c r="AO27" s="17" t="s">
        <v>3938</v>
      </c>
      <c r="AP27" s="17" t="s">
        <v>546</v>
      </c>
      <c r="AQ27" s="17"/>
      <c r="AR27" s="17"/>
      <c r="AS27" s="14">
        <f>IFERROR((IF(SUMIFS(_REF_Model_Content!$J$1:$J$157,_REF_Model_Content!$A$1:$A$174,PV_Canonical_Industry,_REF_Model_Content!$B$1:$B$174,$B27)=0,1,SUMIFS(_REF_Model_Content!$J$1:$J$157,_REF_Model_Content!$A$1:$A$174,PV_Canonical_Industry,_REF_Model_Content!$B$1:$B$174,$B27))*IFERROR($CA27,1)),1)</f>
        <v>1</v>
      </c>
      <c r="AT27" s="14">
        <f t="shared" si="8"/>
        <v>1.71</v>
      </c>
      <c r="AU27" s="14">
        <f>IF($AT27="","",RANK($AT27,$AT$5:$AT$76,0)+COUNTIF($AT$5:AT27,$AT27)-1)</f>
        <v>41</v>
      </c>
      <c r="AV27" s="14">
        <f>IFERROR(INDEX(_DATA_Dashboard_Facts!$G$300:$G$316,MATCH($B27,_DATA_Dashboard_Facts!$A$300:$A$316,0)),"")</f>
        <v>0</v>
      </c>
      <c r="AW27" s="14" t="str">
        <f t="shared" si="9"/>
        <v>Relevance-neutral priority</v>
      </c>
      <c r="AX27">
        <f>IFERROR(INDEX('Action Plan &amp; Roadmap'!$D$59:$D$130,MATCH($A27,'Action Plan &amp; Roadmap'!$A$59:$A$130,0)),"")</f>
        <v>0</v>
      </c>
      <c r="AY27">
        <f t="shared" si="10"/>
        <v>0</v>
      </c>
      <c r="AZ27" t="s">
        <v>4004</v>
      </c>
      <c r="BA27">
        <f>IF($A27="","",COUNTIF(_DATA_RiskInitiativeMap!$A$1:$A$867,$A27))</f>
        <v>9</v>
      </c>
      <c r="BB27">
        <f>IF($A27="","",IFERROR(AVERAGEIF(_DATA_RiskInitiativeMap!$A$1:$A$867,$A27,_DATA_RiskInitiativeMap!$G$1:$G$867),0))</f>
        <v>13.386666666666665</v>
      </c>
      <c r="BC27">
        <f t="shared" si="11"/>
        <v>4.8</v>
      </c>
      <c r="BD27">
        <f t="shared" si="12"/>
        <v>4.1470666666666665</v>
      </c>
      <c r="BI27" s="17" t="str">
        <f>IFERROR(_CONFIG_Model_Settings!$B$103,"Adaptive")</f>
        <v>Fragile</v>
      </c>
      <c r="BJ27" s="17">
        <f>IFERROR(INDEX(_CONFIG_Model_Settings!$B$109:$B$113,MATCH($BI27,_CONFIG_Model_Settings!$A$109:$A$113,0)),0.3)</f>
        <v>0.2</v>
      </c>
      <c r="BK27" s="17">
        <f>IFERROR(INDEX(_CONFIG_Model_Settings!$C$109:$C$113,MATCH($BI27,_CONFIG_Model_Settings!$A$109:$A$113,0)),0.2)</f>
        <v>0.3</v>
      </c>
      <c r="BL27" s="17">
        <f>IFERROR(INDEX(_CONFIG_Model_Settings!$D$109:$D$113,MATCH($BI27,_CONFIG_Model_Settings!$A$109:$A$113,0)),0.25)</f>
        <v>0.4</v>
      </c>
      <c r="BM27" s="17">
        <f>IFERROR(INDEX(_CONFIG_Model_Settings!$E$109:$E$113,MATCH($BI27,_CONFIG_Model_Settings!$A$109:$A$113,0)),0.25)</f>
        <v>0.1</v>
      </c>
      <c r="BN27" s="17">
        <f>IFERROR(INDEX(_CONFIG_Model_Settings!$B$117:$B$123,MATCH(_CONFIG_Model_Settings!$B$104,_CONFIG_Model_Settings!$A$117:$A$123,0)),1)</f>
        <v>1</v>
      </c>
      <c r="BO27" s="17">
        <f>IFERROR(INDEX(_CONFIG_Model_Settings!$C$117:$C$123,MATCH(_CONFIG_Model_Settings!$B$104,_CONFIG_Model_Settings!$A$117:$A$123,0)),1)</f>
        <v>1</v>
      </c>
      <c r="BP27" s="17">
        <f>IFERROR(INDEX(_CONFIG_Model_Settings!$D$117:$D$123,MATCH(_CONFIG_Model_Settings!$B$104,_CONFIG_Model_Settings!$A$117:$A$123,0)),1)</f>
        <v>1</v>
      </c>
      <c r="BQ27" s="17">
        <f>IFERROR(INDEX(_CONFIG_Model_Settings!$E$117:$E$123,MATCH(_CONFIG_Model_Settings!$B$104,_CONFIG_Model_Settings!$A$117:$A$123,0)),1)</f>
        <v>1</v>
      </c>
      <c r="BR27" s="17">
        <f>IF(OR($A27="",$P27=""),"",MIN(5,IFERROR(SUMIF(_DATA_RiskInitiativeMap!$A$1:$A$867,$A27,_DATA_RiskInitiativeMap!$K$1:$K$867)/MAX(1,_CONFIG_Model_Settings!$B$166),0)))</f>
        <v>5</v>
      </c>
      <c r="BS27" s="17">
        <f t="shared" si="13"/>
        <v>5.13</v>
      </c>
      <c r="BT27" s="17">
        <f t="shared" si="14"/>
        <v>3</v>
      </c>
      <c r="BU27" s="17">
        <f t="shared" si="15"/>
        <v>1.71</v>
      </c>
      <c r="BV27" s="17">
        <f>IF(OR($P27="",$BU27="",$AY27="Done",$AY27="Not applicable"),"",ROUND($BU27*N($AS27)*IF(OR('Resilience &amp; Risk Scenario'!$B$6="",'Resilience &amp; Risk Scenario'!$B$7&lt;=0),1,IFERROR(1+MIN(0.75,INDEX('Resilience &amp; Risk Scenario'!$E$21:$E$37,MATCH($B27,'Resilience &amp; Risk Scenario'!$B$21:$B$37,0))/10),1)),2))</f>
        <v>1.71</v>
      </c>
      <c r="BW27" s="17">
        <f>IF($BV27="","",RANK($BV27,$BV$5:$BV$76,0)+COUNTIF($BV$5:$BV27,$BV27)-1)</f>
        <v>41</v>
      </c>
      <c r="BX27" s="17" t="str">
        <f t="shared" si="16"/>
        <v>6-12 months</v>
      </c>
      <c r="BY27" t="str">
        <f>IFERROR(IF($A27="","","P2: "&amp;$BI27&amp;" posture; objective="&amp;IF(_CONFIG_Model_Settings!$B$104="","Neutral/default",_CONFIG_Model_Settings!$B$104)&amp;"; relevance="&amp;ROUND(N($AS27),2)&amp;"; scenario/domain boost="&amp;ROUND(IF(OR('Resilience &amp; Risk Scenario'!$B$6="",'Resilience &amp; Risk Scenario'!$B$7&lt;=0),1,IFERROR(1+MIN(0.75,INDEX('Resilience &amp; Risk Scenario'!$E$21:$E$37,MATCH($B27,'Resilience &amp; Risk Scenario'!$B$21:$B$37,0))/10),1)),2)&amp;"; financial score="&amp;ROUND(N($BR27),1)&amp;"; CoD="&amp;$BS27&amp;IF($CL27&lt;&gt;"","; wording="&amp;$CL27,"")),"")</f>
        <v>P2: Fragile posture; objective=Neutral/default; relevance=1; scenario/domain boost=1; financial score=5; CoD=5.13; wording=Strengthen Physical site safety</v>
      </c>
      <c r="BZ27" t="str">
        <f>IFERROR(INDEX(_REF_Capability_Bridge!$D:$D,MATCH($B27&amp;"|"&amp;$C27,_REF_Capability_Bridge!$J:$J,0)),IFERROR(INDEX(_REF_Capability_Bridge!$D:$D,MATCH($B27&amp;"|",_REF_Capability_Bridge!$J:$J,0)),"CAP_GENERIC"))</f>
        <v>CAP_PHYSICAL_SITE_SAFETY</v>
      </c>
      <c r="CA27">
        <f>IFERROR(IFERROR(INDEX(_ENGINE_Relevance!$L:$L,MATCH($BZ27,_ENGINE_Relevance!$B:$B,0)),1),1)</f>
        <v>0.4</v>
      </c>
      <c r="CB27" t="str">
        <f>IFERROR(INDEX(_REF_Capability_Bridge!$A:$A,MATCH($B27&amp;"|"&amp;$C27,_REF_Capability_Bridge!$J:$J,0)),IFERROR(INDEX(_REF_Capability_Bridge!$A:$A,MATCH($B27&amp;"|",_REF_Capability_Bridge!$J:$J,0)),"No bridge"))</f>
        <v>BRG-068</v>
      </c>
      <c r="CC27" t="str">
        <f t="shared" si="17"/>
        <v>Capability relevance lowers priority</v>
      </c>
      <c r="CD27" t="str">
        <f t="shared" si="18"/>
        <v>Initial / absent</v>
      </c>
      <c r="CE27" t="str">
        <f>IF($A27="","",IFERROR(INDEX(_REF_Treatment_Library!$A$2:$A$296,MATCH(1,INDEX((_REF_Treatment_Library!$B$2:$B$296=$BZ27)*(_REF_Treatment_Library!$C$2:$C$296=PV_Canonical_Industry)*(_REF_Treatment_Library!$E$2:$E$296&lt;=N($N27))*(_REF_Treatment_Library!$F$2:$F$296&gt;=N($N27))*(_REF_Treatment_Library!$O$2:$O$296="Yes"),0),0)),IFERROR(INDEX(_REF_Treatment_Library!$A$2:$A$296,MATCH(1,INDEX((_REF_Treatment_Library!$B$2:$B$296=$BZ27)*(_REF_Treatment_Library!$C$2:$C$296="All")*(_REF_Treatment_Library!$E$2:$E$296&lt;=N($N27))*(_REF_Treatment_Library!$F$2:$F$296&gt;=N($N27))*(_REF_Treatment_Library!$O$2:$O$296="Yes"),0),0)),"")))</f>
        <v>TRT-PHYSICAL_SITE_SAFETY-INITIAL</v>
      </c>
      <c r="CF27" t="str">
        <f>IF($CE27="","",IFERROR(INDEX(_REF_Treatment_Library!$H$2:$H$296,MATCH($CE27,_REF_Treatment_Library!$A$2:$A$296,0)),""))</f>
        <v>Establish</v>
      </c>
      <c r="CG27" t="str">
        <f>IF($CE27="","",IFERROR(INDEX(_REF_Treatment_Library!$I$2:$I$296,MATCH($CE27,_REF_Treatment_Library!$A$2:$A$296,0)),""))</f>
        <v>Establish baseline controls for Physical site safety</v>
      </c>
      <c r="CH27" t="str">
        <f>IF($CE27="","",IFERROR(INDEX(_REF_Treatment_Library!$K$2:$K$296,MATCH($CE27,_REF_Treatment_Library!$A$2:$A$296,0)),""))</f>
        <v>Named owner, baseline process, minimum control checklist, first evidence package</v>
      </c>
      <c r="CI27" t="str">
        <f>IF($CE27="","",IFERROR(INDEX(_REF_Treatment_Library!$L$2:$L$296,MATCH($CE27,_REF_Treatment_Library!$A$2:$A$296,0)),""))</f>
        <v>Owner assigned; baseline evidence coverage; open critical gaps</v>
      </c>
      <c r="CJ27" t="str">
        <f t="shared" si="19"/>
        <v>Treatment by capability=CAP_PHYSICAL_SITE_SAFETY; band=Initial / absent; score=0.0; treatment=Establish</v>
      </c>
      <c r="CK27" t="str">
        <f>IF($A27="","",IFERROR(INDEX(_REF_Industry_Wording!$A$2:$A$70,MATCH(1,INDEX((_REF_Industry_Wording!$B$2:$B$70=$BZ27)*(_REF_Industry_Wording!$C$2:$C$70=PV_Canonical_Industry)*(_REF_Industry_Wording!$K$2:$K$70="Yes"),0),0)),IFERROR(INDEX(_REF_Industry_Wording!$A$2:$A$70,MATCH(1,INDEX((_REF_Industry_Wording!$B$2:$B$70=$BZ27)*(_REF_Industry_Wording!$C$2:$C$70="All")*(_REF_Industry_Wording!$K$2:$K$70="Yes"),0),0)),"")))</f>
        <v>IW-ALL-PHYSICAL_SITE_SAFETY</v>
      </c>
      <c r="CL27" t="str">
        <f>IF($CK27="","",IFERROR(INDEX(_REF_Industry_Wording!$F$2:$F$70,MATCH($CK27,_REF_Industry_Wording!$A$2:$A$70,0)),""))</f>
        <v>Strengthen Physical site safety</v>
      </c>
      <c r="CM27" t="str">
        <f>IF($CK27="","",IFERROR(INDEX(_REF_Industry_Wording!$G$2:$G$70,MATCH($CK27,_REF_Industry_Wording!$A$2:$A$70,0)),""))</f>
        <v>Strengthen Physical site safety using the selected maturity treatment, crisis scenario and evidence requirements.</v>
      </c>
      <c r="CN27" t="str">
        <f>IF($CK27="","",IFERROR(INDEX(_REF_Industry_Wording!$H$2:$H$70,MATCH($CK27,_REF_Industry_Wording!$A$2:$A$70,0)),""))</f>
        <v>Physical site safety</v>
      </c>
      <c r="CO27">
        <f>IF($CK27="","",IFERROR(INDEX(_REF_Industry_Wording!$I$2:$I$70,MATCH($CK27,_REF_Industry_Wording!$A$2:$A$70,0)),""))</f>
        <v>0</v>
      </c>
      <c r="CP27" t="str">
        <f>IF($CK27="","",IFERROR(INDEX(_REF_Industry_Wording!$J$2:$J$70,MATCH($CK27,_REF_Industry_Wording!$A$2:$A$70,0)),""))</f>
        <v>Physical site safety</v>
      </c>
      <c r="CQ27" t="str">
        <f t="shared" si="20"/>
        <v>Wording by industry=0; capability=CAP_PHYSICAL_SITE_SAFETY; title=Strengthen Physical site safety</v>
      </c>
      <c r="CR27" t="str">
        <f t="shared" si="21"/>
        <v>INIT-ONT-0023</v>
      </c>
      <c r="CS27">
        <f t="shared" si="22"/>
        <v>27</v>
      </c>
      <c r="CT27" t="str">
        <f t="shared" si="23"/>
        <v>CAP_PHYSICAL_SITE_SAFETY</v>
      </c>
      <c r="CU27" t="str">
        <f t="shared" si="24"/>
        <v>INI-023|Physical Safety|OH&amp;S governance|CAP_PHYSICAL_SITE_SAFETY</v>
      </c>
      <c r="CV27" t="str">
        <f t="shared" si="25"/>
        <v>Active</v>
      </c>
      <c r="CW27" t="str">
        <f t="shared" si="26"/>
        <v>OK: capability-driven</v>
      </c>
      <c r="CX27" t="str">
        <f t="shared" si="27"/>
        <v>Initiative ontology uses capability=CAP_PHYSICAL_SITE_SAFETY; bridge=BRG-068; treatment=TRT-PHYSICAL_SITE_SAFETY-INITIAL; wording=IW-ALL-PHYSICAL_SITE_SAFETY</v>
      </c>
    </row>
    <row r="28" spans="1:102" ht="42" customHeight="1">
      <c r="A28" s="17" t="s">
        <v>4135</v>
      </c>
      <c r="B28" s="17" t="s">
        <v>1666</v>
      </c>
      <c r="C28" s="17" t="s">
        <v>1677</v>
      </c>
      <c r="D28" s="17" t="s">
        <v>4122</v>
      </c>
      <c r="E28" s="17" t="s">
        <v>4123</v>
      </c>
      <c r="F28" s="17" t="s">
        <v>4136</v>
      </c>
      <c r="G28" s="17" t="s">
        <v>4137</v>
      </c>
      <c r="H28" s="17" t="s">
        <v>3685</v>
      </c>
      <c r="I28" s="17" t="s">
        <v>4126</v>
      </c>
      <c r="J28" s="17" t="s">
        <v>4138</v>
      </c>
      <c r="K28" s="17">
        <v>6</v>
      </c>
      <c r="L28" s="17">
        <f>IF($A28="","",COUNTIFS(_DATA_RiskInitiativeMap!$A$444:$A$867,$A28,_DATA_RiskInitiativeMap!$G$444:$G$867,"&gt;0"))</f>
        <v>6</v>
      </c>
      <c r="M28" s="17">
        <f>IF($A28="","",COUNTIFS(_DATA_RiskInitiativeMap!$A$444:$A$867,$A28,_DATA_RiskInitiativeMap!$G$444:$G$867,"&gt;0"))</f>
        <v>6</v>
      </c>
      <c r="N28" s="17">
        <f>IFERROR(AVERAGEIFS(_DATA_Assessment_Model!$H$5:$H$428,_DATA_Assessment_Model!$AW$5:$AW$428,$B28,_DATA_Assessment_Model!$B$5:$B$428,$C28),"")</f>
        <v>0</v>
      </c>
      <c r="O28" s="17">
        <f t="shared" si="0"/>
        <v>5</v>
      </c>
      <c r="P28" s="17">
        <f>IFERROR(INDEX(_DATA_Dashboard_Facts!$H$5:$H$21,MATCH($B28,_DATA_Dashboard_Facts!$A$5:$A$21,0)),"")</f>
        <v>0</v>
      </c>
      <c r="Q28" s="17">
        <f t="shared" si="1"/>
        <v>5</v>
      </c>
      <c r="R28" s="17">
        <f>IF(OR('Resilience &amp; Risk Scenario'!$B$6="",'Resilience &amp; Risk Scenario'!$B$7&lt;=0),1,IFERROR(IF(SUMIFS(_ENGINE_Crisis!$D$5:$D$208,_ENGINE_Crisis!$A$5:$A$208,'Resilience &amp; Risk Scenario'!$B$6,_ENGINE_Crisis!$B$5:$B$208,$B28)=0,1,SUMIFS(_ENGINE_Crisis!$D$5:$D$208,_ENGINE_Crisis!$A$5:$A$208,'Resilience &amp; Risk Scenario'!$B$6,_ENGINE_Crisis!$B$5:$B$208,$B28)),1))</f>
        <v>1</v>
      </c>
      <c r="S28" s="17">
        <f>IFERROR(INDEX(_ENGINE_Strategy!$A$100:$A$113,MATCH($D28,_ENGINE_Strategy!$B$100:$B$113,0)),99)</f>
        <v>8</v>
      </c>
      <c r="T28" s="17">
        <f>IFERROR(INDEX(_ENGINE_Strategy!$J$100:$J$113,MATCH($D28,_ENGINE_Strategy!$B$100:$B$113,0)),0)</f>
        <v>67</v>
      </c>
      <c r="U28" s="17">
        <v>2</v>
      </c>
      <c r="V28" s="17">
        <v>5</v>
      </c>
      <c r="W28" s="17">
        <v>4</v>
      </c>
      <c r="X28" s="17">
        <f t="shared" si="2"/>
        <v>4.5875000000000004</v>
      </c>
      <c r="Y28" s="17">
        <f>IF($P28="","",MAX(1,MIN(5,1+N($O28)*0.45+MIN(2,N($M28)*0.3)+($R28-1)*1.2+IF('Resilience &amp; Risk Scenario'!$B$7="",1,'Resilience &amp; Risk Scenario'!$B$7)*0.25)))</f>
        <v>5</v>
      </c>
      <c r="Z28" s="17">
        <f t="shared" si="3"/>
        <v>5</v>
      </c>
      <c r="AA28" s="17">
        <f t="shared" si="4"/>
        <v>3.0049999999999999</v>
      </c>
      <c r="AB28" s="17">
        <v>3</v>
      </c>
      <c r="AC28" s="17">
        <f t="shared" si="5"/>
        <v>1.82</v>
      </c>
      <c r="AD28" s="17">
        <f t="shared" si="6"/>
        <v>15</v>
      </c>
      <c r="AE28" s="17" t="str">
        <f t="shared" si="7"/>
        <v>3-6 months</v>
      </c>
      <c r="AF28" s="17" t="s">
        <v>4128</v>
      </c>
      <c r="AG28" s="17" t="s">
        <v>3963</v>
      </c>
      <c r="AH28" s="17" t="s">
        <v>4129</v>
      </c>
      <c r="AI28" s="17" t="s">
        <v>4130</v>
      </c>
      <c r="AJ28" s="17" t="s">
        <v>4139</v>
      </c>
      <c r="AK28" s="17" t="s">
        <v>4140</v>
      </c>
      <c r="AL28" s="17" t="s">
        <v>4141</v>
      </c>
      <c r="AM28" s="17" t="s">
        <v>4134</v>
      </c>
      <c r="AN28" s="17" t="s">
        <v>3937</v>
      </c>
      <c r="AO28" s="17" t="s">
        <v>3938</v>
      </c>
      <c r="AP28" s="17" t="s">
        <v>546</v>
      </c>
      <c r="AQ28" s="17"/>
      <c r="AR28" s="17"/>
      <c r="AS28" s="14">
        <f>IFERROR((IF(SUMIFS(_REF_Model_Content!$J$1:$J$157,_REF_Model_Content!$A$1:$A$174,PV_Canonical_Industry,_REF_Model_Content!$B$1:$B$174,$B28)=0,1,SUMIFS(_REF_Model_Content!$J$1:$J$157,_REF_Model_Content!$A$1:$A$174,PV_Canonical_Industry,_REF_Model_Content!$B$1:$B$174,$B28))*IFERROR($CA28,1)),1)</f>
        <v>1</v>
      </c>
      <c r="AT28" s="14">
        <f t="shared" si="8"/>
        <v>1.82</v>
      </c>
      <c r="AU28" s="14">
        <f>IF($AT28="","",RANK($AT28,$AT$5:$AT$76,0)+COUNTIF($AT$5:AT28,$AT28)-1)</f>
        <v>15</v>
      </c>
      <c r="AV28" s="14">
        <f>IFERROR(INDEX(_DATA_Dashboard_Facts!$G$300:$G$316,MATCH($B28,_DATA_Dashboard_Facts!$A$300:$A$316,0)),"")</f>
        <v>0</v>
      </c>
      <c r="AW28" s="14" t="str">
        <f t="shared" si="9"/>
        <v>Relevance-neutral priority</v>
      </c>
      <c r="AX28">
        <f>IFERROR(INDEX('Action Plan &amp; Roadmap'!$D$59:$D$130,MATCH($A28,'Action Plan &amp; Roadmap'!$A$59:$A$130,0)),"")</f>
        <v>0</v>
      </c>
      <c r="AY28">
        <f t="shared" si="10"/>
        <v>0</v>
      </c>
      <c r="AZ28" t="s">
        <v>4004</v>
      </c>
      <c r="BA28">
        <f>IF($A28="","",COUNTIF(_DATA_RiskInitiativeMap!$A$1:$A$867,$A28))</f>
        <v>6</v>
      </c>
      <c r="BB28">
        <f>IF($A28="","",IFERROR(AVERAGEIF(_DATA_RiskInitiativeMap!$A$1:$A$867,$A28,_DATA_RiskInitiativeMap!$G$1:$G$867),0))</f>
        <v>25.44</v>
      </c>
      <c r="BC28">
        <f t="shared" si="11"/>
        <v>4.8</v>
      </c>
      <c r="BD28">
        <f t="shared" si="12"/>
        <v>4.96</v>
      </c>
      <c r="BI28" s="17" t="str">
        <f>IFERROR(_CONFIG_Model_Settings!$B$103,"Adaptive")</f>
        <v>Fragile</v>
      </c>
      <c r="BJ28" s="17">
        <f>IFERROR(INDEX(_CONFIG_Model_Settings!$B$109:$B$113,MATCH($BI28,_CONFIG_Model_Settings!$A$109:$A$113,0)),0.3)</f>
        <v>0.2</v>
      </c>
      <c r="BK28" s="17">
        <f>IFERROR(INDEX(_CONFIG_Model_Settings!$C$109:$C$113,MATCH($BI28,_CONFIG_Model_Settings!$A$109:$A$113,0)),0.2)</f>
        <v>0.3</v>
      </c>
      <c r="BL28" s="17">
        <f>IFERROR(INDEX(_CONFIG_Model_Settings!$D$109:$D$113,MATCH($BI28,_CONFIG_Model_Settings!$A$109:$A$113,0)),0.25)</f>
        <v>0.4</v>
      </c>
      <c r="BM28" s="17">
        <f>IFERROR(INDEX(_CONFIG_Model_Settings!$E$109:$E$113,MATCH($BI28,_CONFIG_Model_Settings!$A$109:$A$113,0)),0.25)</f>
        <v>0.1</v>
      </c>
      <c r="BN28" s="17">
        <f>IFERROR(INDEX(_CONFIG_Model_Settings!$B$117:$B$123,MATCH(_CONFIG_Model_Settings!$B$104,_CONFIG_Model_Settings!$A$117:$A$123,0)),1)</f>
        <v>1</v>
      </c>
      <c r="BO28" s="17">
        <f>IFERROR(INDEX(_CONFIG_Model_Settings!$C$117:$C$123,MATCH(_CONFIG_Model_Settings!$B$104,_CONFIG_Model_Settings!$A$117:$A$123,0)),1)</f>
        <v>1</v>
      </c>
      <c r="BP28" s="17">
        <f>IFERROR(INDEX(_CONFIG_Model_Settings!$D$117:$D$123,MATCH(_CONFIG_Model_Settings!$B$104,_CONFIG_Model_Settings!$A$117:$A$123,0)),1)</f>
        <v>1</v>
      </c>
      <c r="BQ28" s="17">
        <f>IFERROR(INDEX(_CONFIG_Model_Settings!$E$117:$E$123,MATCH(_CONFIG_Model_Settings!$B$104,_CONFIG_Model_Settings!$A$117:$A$123,0)),1)</f>
        <v>1</v>
      </c>
      <c r="BR28" s="17">
        <f>IF(OR($A28="",$P28=""),"",MIN(5,IFERROR(SUMIF(_DATA_RiskInitiativeMap!$A$1:$A$867,$A28,_DATA_RiskInitiativeMap!$K$1:$K$867)/MAX(1,_CONFIG_Model_Settings!$B$166),0)))</f>
        <v>5</v>
      </c>
      <c r="BS28" s="17">
        <f t="shared" si="13"/>
        <v>5.45</v>
      </c>
      <c r="BT28" s="17">
        <f t="shared" si="14"/>
        <v>3</v>
      </c>
      <c r="BU28" s="17">
        <f t="shared" si="15"/>
        <v>1.82</v>
      </c>
      <c r="BV28" s="17">
        <f>IF(OR($P28="",$BU28="",$AY28="Done",$AY28="Not applicable"),"",ROUND($BU28*N($AS28)*IF(OR('Resilience &amp; Risk Scenario'!$B$6="",'Resilience &amp; Risk Scenario'!$B$7&lt;=0),1,IFERROR(1+MIN(0.75,INDEX('Resilience &amp; Risk Scenario'!$E$21:$E$37,MATCH($B28,'Resilience &amp; Risk Scenario'!$B$21:$B$37,0))/10),1)),2))</f>
        <v>1.82</v>
      </c>
      <c r="BW28" s="17">
        <f>IF($BV28="","",RANK($BV28,$BV$5:$BV$76,0)+COUNTIF($BV$5:$BV28,$BV28)-1)</f>
        <v>15</v>
      </c>
      <c r="BX28" s="17" t="str">
        <f t="shared" si="16"/>
        <v>3-6 months</v>
      </c>
      <c r="BY28" t="str">
        <f>IFERROR(IF($A28="","","P2: "&amp;$BI28&amp;" posture; objective="&amp;IF(_CONFIG_Model_Settings!$B$104="","Neutral/default",_CONFIG_Model_Settings!$B$104)&amp;"; relevance="&amp;ROUND(N($AS28),2)&amp;"; scenario/domain boost="&amp;ROUND(IF(OR('Resilience &amp; Risk Scenario'!$B$6="",'Resilience &amp; Risk Scenario'!$B$7&lt;=0),1,IFERROR(1+MIN(0.75,INDEX('Resilience &amp; Risk Scenario'!$E$21:$E$37,MATCH($B28,'Resilience &amp; Risk Scenario'!$B$21:$B$37,0))/10),1)),2)&amp;"; financial score="&amp;ROUND(N($BR28),1)&amp;"; CoD="&amp;$BS28&amp;IF($CL28&lt;&gt;"","; wording="&amp;$CL28,"")),"")</f>
        <v>P2: Fragile posture; objective=Neutral/default; relevance=1; scenario/domain boost=1; financial score=5; CoD=5.45; wording=Strengthen Identity / PAM</v>
      </c>
      <c r="BZ28" t="str">
        <f>IFERROR(INDEX(_REF_Capability_Bridge!$D:$D,MATCH($B28&amp;"|"&amp;$C28,_REF_Capability_Bridge!$J:$J,0)),IFERROR(INDEX(_REF_Capability_Bridge!$D:$D,MATCH($B28&amp;"|",_REF_Capability_Bridge!$J:$J,0)),"CAP_GENERIC"))</f>
        <v>CAP_IAM_PAM</v>
      </c>
      <c r="CA28">
        <f>IFERROR(IFERROR(INDEX(_ENGINE_Relevance!$L:$L,MATCH($BZ28,_ENGINE_Relevance!$B:$B,0)),1),1)</f>
        <v>1</v>
      </c>
      <c r="CB28" t="str">
        <f>IFERROR(INDEX(_REF_Capability_Bridge!$A:$A,MATCH($B28&amp;"|"&amp;$C28,_REF_Capability_Bridge!$J:$J,0)),IFERROR(INDEX(_REF_Capability_Bridge!$A:$A,MATCH($B28&amp;"|",_REF_Capability_Bridge!$J:$J,0)),"No bridge"))</f>
        <v>BRG-067</v>
      </c>
      <c r="CC28" t="str">
        <f t="shared" si="17"/>
        <v>Capability relevance neutral</v>
      </c>
      <c r="CD28" t="str">
        <f t="shared" si="18"/>
        <v>Initial / absent</v>
      </c>
      <c r="CE28" t="str">
        <f>IF($A28="","",IFERROR(INDEX(_REF_Treatment_Library!$A$2:$A$296,MATCH(1,INDEX((_REF_Treatment_Library!$B$2:$B$296=$BZ28)*(_REF_Treatment_Library!$C$2:$C$296=PV_Canonical_Industry)*(_REF_Treatment_Library!$E$2:$E$296&lt;=N($N28))*(_REF_Treatment_Library!$F$2:$F$296&gt;=N($N28))*(_REF_Treatment_Library!$O$2:$O$296="Yes"),0),0)),IFERROR(INDEX(_REF_Treatment_Library!$A$2:$A$296,MATCH(1,INDEX((_REF_Treatment_Library!$B$2:$B$296=$BZ28)*(_REF_Treatment_Library!$C$2:$C$296="All")*(_REF_Treatment_Library!$E$2:$E$296&lt;=N($N28))*(_REF_Treatment_Library!$F$2:$F$296&gt;=N($N28))*(_REF_Treatment_Library!$O$2:$O$296="Yes"),0),0)),"")))</f>
        <v>TRT-IAM_PAM-INITIAL</v>
      </c>
      <c r="CF28" t="str">
        <f>IF($CE28="","",IFERROR(INDEX(_REF_Treatment_Library!$H$2:$H$296,MATCH($CE28,_REF_Treatment_Library!$A$2:$A$296,0)),""))</f>
        <v>Establish</v>
      </c>
      <c r="CG28" t="str">
        <f>IF($CE28="","",IFERROR(INDEX(_REF_Treatment_Library!$I$2:$I$296,MATCH($CE28,_REF_Treatment_Library!$A$2:$A$296,0)),""))</f>
        <v>Establish baseline controls for Identity / PAM</v>
      </c>
      <c r="CH28" t="str">
        <f>IF($CE28="","",IFERROR(INDEX(_REF_Treatment_Library!$K$2:$K$296,MATCH($CE28,_REF_Treatment_Library!$A$2:$A$296,0)),""))</f>
        <v>Named owner, baseline process, minimum control checklist, first evidence package</v>
      </c>
      <c r="CI28" t="str">
        <f>IF($CE28="","",IFERROR(INDEX(_REF_Treatment_Library!$L$2:$L$296,MATCH($CE28,_REF_Treatment_Library!$A$2:$A$296,0)),""))</f>
        <v>Owner assigned; baseline evidence coverage; open critical gaps</v>
      </c>
      <c r="CJ28" t="str">
        <f t="shared" si="19"/>
        <v>Treatment by capability=CAP_IAM_PAM; band=Initial / absent; score=0.0; treatment=Establish</v>
      </c>
      <c r="CK28" t="str">
        <f>IF($A28="","",IFERROR(INDEX(_REF_Industry_Wording!$A$2:$A$70,MATCH(1,INDEX((_REF_Industry_Wording!$B$2:$B$70=$BZ28)*(_REF_Industry_Wording!$C$2:$C$70=PV_Canonical_Industry)*(_REF_Industry_Wording!$K$2:$K$70="Yes"),0),0)),IFERROR(INDEX(_REF_Industry_Wording!$A$2:$A$70,MATCH(1,INDEX((_REF_Industry_Wording!$B$2:$B$70=$BZ28)*(_REF_Industry_Wording!$C$2:$C$70="All")*(_REF_Industry_Wording!$K$2:$K$70="Yes"),0),0)),"")))</f>
        <v>IW-ALL-IAM_PAM</v>
      </c>
      <c r="CL28" t="str">
        <f>IF($CK28="","",IFERROR(INDEX(_REF_Industry_Wording!$F$2:$F$70,MATCH($CK28,_REF_Industry_Wording!$A$2:$A$70,0)),""))</f>
        <v>Strengthen Identity / PAM</v>
      </c>
      <c r="CM28" t="str">
        <f>IF($CK28="","",IFERROR(INDEX(_REF_Industry_Wording!$G$2:$G$70,MATCH($CK28,_REF_Industry_Wording!$A$2:$A$70,0)),""))</f>
        <v>Strengthen Identity / PAM using the selected maturity treatment, crisis scenario and evidence requirements.</v>
      </c>
      <c r="CN28" t="str">
        <f>IF($CK28="","",IFERROR(INDEX(_REF_Industry_Wording!$H$2:$H$70,MATCH($CK28,_REF_Industry_Wording!$A$2:$A$70,0)),""))</f>
        <v>Identity / PAM</v>
      </c>
      <c r="CO28">
        <f>IF($CK28="","",IFERROR(INDEX(_REF_Industry_Wording!$I$2:$I$70,MATCH($CK28,_REF_Industry_Wording!$A$2:$A$70,0)),""))</f>
        <v>0</v>
      </c>
      <c r="CP28" t="str">
        <f>IF($CK28="","",IFERROR(INDEX(_REF_Industry_Wording!$J$2:$J$70,MATCH($CK28,_REF_Industry_Wording!$A$2:$A$70,0)),""))</f>
        <v>Identity / PAM</v>
      </c>
      <c r="CQ28" t="str">
        <f t="shared" si="20"/>
        <v>Wording by industry=0; capability=CAP_IAM_PAM; title=Strengthen Identity / PAM</v>
      </c>
      <c r="CR28" t="str">
        <f t="shared" si="21"/>
        <v>INIT-ONT-0024</v>
      </c>
      <c r="CS28">
        <f t="shared" si="22"/>
        <v>28</v>
      </c>
      <c r="CT28" t="str">
        <f t="shared" si="23"/>
        <v>CAP_IAM_PAM</v>
      </c>
      <c r="CU28" t="str">
        <f t="shared" si="24"/>
        <v>INI-024|Physical Safety|Facilities and access|CAP_IAM_PAM</v>
      </c>
      <c r="CV28" t="str">
        <f t="shared" si="25"/>
        <v>Active</v>
      </c>
      <c r="CW28" t="str">
        <f t="shared" si="26"/>
        <v>OK: capability-driven</v>
      </c>
      <c r="CX28" t="str">
        <f t="shared" si="27"/>
        <v>Initiative ontology uses capability=CAP_IAM_PAM; bridge=BRG-067; treatment=TRT-IAM_PAM-INITIAL; wording=IW-ALL-IAM_PAM</v>
      </c>
    </row>
    <row r="29" spans="1:102" ht="42" customHeight="1">
      <c r="A29" s="17" t="s">
        <v>4142</v>
      </c>
      <c r="B29" s="17" t="s">
        <v>1666</v>
      </c>
      <c r="C29" s="17" t="s">
        <v>1681</v>
      </c>
      <c r="D29" s="17" t="s">
        <v>4122</v>
      </c>
      <c r="E29" s="17" t="s">
        <v>4123</v>
      </c>
      <c r="F29" s="17" t="s">
        <v>4143</v>
      </c>
      <c r="G29" s="17" t="s">
        <v>4144</v>
      </c>
      <c r="H29" s="17" t="s">
        <v>3685</v>
      </c>
      <c r="I29" s="17" t="s">
        <v>4126</v>
      </c>
      <c r="J29" s="17" t="s">
        <v>4145</v>
      </c>
      <c r="K29" s="17">
        <v>6</v>
      </c>
      <c r="L29" s="17">
        <f>IF($A29="","",COUNTIFS(_DATA_RiskInitiativeMap!$A$444:$A$867,$A29,_DATA_RiskInitiativeMap!$G$444:$G$867,"&gt;0"))</f>
        <v>6</v>
      </c>
      <c r="M29" s="17">
        <f>IF($A29="","",COUNTIFS(_DATA_RiskInitiativeMap!$A$444:$A$867,$A29,_DATA_RiskInitiativeMap!$G$444:$G$867,"&gt;0"))</f>
        <v>6</v>
      </c>
      <c r="N29" s="17">
        <f>IFERROR(AVERAGEIFS(_DATA_Assessment_Model!$H$5:$H$428,_DATA_Assessment_Model!$AW$5:$AW$428,$B29,_DATA_Assessment_Model!$B$5:$B$428,$C29),"")</f>
        <v>0</v>
      </c>
      <c r="O29" s="17">
        <f t="shared" si="0"/>
        <v>5</v>
      </c>
      <c r="P29" s="17">
        <f>IFERROR(INDEX(_DATA_Dashboard_Facts!$H$5:$H$21,MATCH($B29,_DATA_Dashboard_Facts!$A$5:$A$21,0)),"")</f>
        <v>0</v>
      </c>
      <c r="Q29" s="17">
        <f t="shared" si="1"/>
        <v>5</v>
      </c>
      <c r="R29" s="17">
        <f>IF(OR('Resilience &amp; Risk Scenario'!$B$6="",'Resilience &amp; Risk Scenario'!$B$7&lt;=0),1,IFERROR(IF(SUMIFS(_ENGINE_Crisis!$D$5:$D$208,_ENGINE_Crisis!$A$5:$A$208,'Resilience &amp; Risk Scenario'!$B$6,_ENGINE_Crisis!$B$5:$B$208,$B29)=0,1,SUMIFS(_ENGINE_Crisis!$D$5:$D$208,_ENGINE_Crisis!$A$5:$A$208,'Resilience &amp; Risk Scenario'!$B$6,_ENGINE_Crisis!$B$5:$B$208,$B29)),1))</f>
        <v>1</v>
      </c>
      <c r="S29" s="17">
        <f>IFERROR(INDEX(_ENGINE_Strategy!$A$100:$A$113,MATCH($D29,_ENGINE_Strategy!$B$100:$B$113,0)),99)</f>
        <v>8</v>
      </c>
      <c r="T29" s="17">
        <f>IFERROR(INDEX(_ENGINE_Strategy!$J$100:$J$113,MATCH($D29,_ENGINE_Strategy!$B$100:$B$113,0)),0)</f>
        <v>67</v>
      </c>
      <c r="U29" s="17">
        <v>2</v>
      </c>
      <c r="V29" s="17">
        <v>5</v>
      </c>
      <c r="W29" s="17">
        <v>4</v>
      </c>
      <c r="X29" s="17">
        <f t="shared" si="2"/>
        <v>4.5875000000000004</v>
      </c>
      <c r="Y29" s="17">
        <f>IF($P29="","",MAX(1,MIN(5,1+N($O29)*0.45+MIN(2,N($M29)*0.3)+($R29-1)*1.2+IF('Resilience &amp; Risk Scenario'!$B$7="",1,'Resilience &amp; Risk Scenario'!$B$7)*0.25)))</f>
        <v>5</v>
      </c>
      <c r="Z29" s="17">
        <f t="shared" si="3"/>
        <v>5</v>
      </c>
      <c r="AA29" s="17">
        <f t="shared" si="4"/>
        <v>3.0049999999999999</v>
      </c>
      <c r="AB29" s="17">
        <v>3</v>
      </c>
      <c r="AC29" s="17">
        <f t="shared" si="5"/>
        <v>1.68</v>
      </c>
      <c r="AD29" s="17">
        <f t="shared" si="6"/>
        <v>45</v>
      </c>
      <c r="AE29" s="17" t="str">
        <f t="shared" si="7"/>
        <v>6-12 months</v>
      </c>
      <c r="AF29" s="17" t="s">
        <v>4128</v>
      </c>
      <c r="AG29" s="17" t="s">
        <v>3963</v>
      </c>
      <c r="AH29" s="17" t="s">
        <v>4129</v>
      </c>
      <c r="AI29" s="17" t="s">
        <v>4130</v>
      </c>
      <c r="AJ29" s="17" t="s">
        <v>4146</v>
      </c>
      <c r="AK29" s="17" t="s">
        <v>4147</v>
      </c>
      <c r="AL29" s="17" t="s">
        <v>4148</v>
      </c>
      <c r="AM29" s="17" t="s">
        <v>4134</v>
      </c>
      <c r="AN29" s="17" t="s">
        <v>3937</v>
      </c>
      <c r="AO29" s="17" t="s">
        <v>3938</v>
      </c>
      <c r="AP29" s="17" t="s">
        <v>546</v>
      </c>
      <c r="AQ29" s="17"/>
      <c r="AR29" s="17"/>
      <c r="AS29" s="14">
        <f>IFERROR((IF(SUMIFS(_REF_Model_Content!$J$1:$J$157,_REF_Model_Content!$A$1:$A$174,PV_Canonical_Industry,_REF_Model_Content!$B$1:$B$174,$B29)=0,1,SUMIFS(_REF_Model_Content!$J$1:$J$157,_REF_Model_Content!$A$1:$A$174,PV_Canonical_Industry,_REF_Model_Content!$B$1:$B$174,$B29))*IFERROR($CA29,1)),1)</f>
        <v>1</v>
      </c>
      <c r="AT29" s="14">
        <f t="shared" si="8"/>
        <v>1.68</v>
      </c>
      <c r="AU29" s="14">
        <f>IF($AT29="","",RANK($AT29,$AT$5:$AT$76,0)+COUNTIF($AT$5:AT29,$AT29)-1)</f>
        <v>45</v>
      </c>
      <c r="AV29" s="14">
        <f>IFERROR(INDEX(_DATA_Dashboard_Facts!$G$300:$G$316,MATCH($B29,_DATA_Dashboard_Facts!$A$300:$A$316,0)),"")</f>
        <v>0</v>
      </c>
      <c r="AW29" s="14" t="str">
        <f t="shared" si="9"/>
        <v>Relevance-neutral priority</v>
      </c>
      <c r="AX29">
        <f>IFERROR(INDEX('Action Plan &amp; Roadmap'!$D$59:$D$130,MATCH($A29,'Action Plan &amp; Roadmap'!$A$59:$A$130,0)),"")</f>
        <v>0</v>
      </c>
      <c r="AY29">
        <f t="shared" si="10"/>
        <v>0</v>
      </c>
      <c r="AZ29" t="s">
        <v>4004</v>
      </c>
      <c r="BA29">
        <f>IF($A29="","",COUNTIF(_DATA_RiskInitiativeMap!$A$1:$A$867,$A29))</f>
        <v>6</v>
      </c>
      <c r="BB29">
        <f>IF($A29="","",IFERROR(AVERAGEIF(_DATA_RiskInitiativeMap!$A$1:$A$867,$A29,_DATA_RiskInitiativeMap!$G$1:$G$867),0))</f>
        <v>10.18</v>
      </c>
      <c r="BC29">
        <f t="shared" si="11"/>
        <v>4.8</v>
      </c>
      <c r="BD29">
        <f t="shared" si="12"/>
        <v>3.9226000000000001</v>
      </c>
      <c r="BI29" s="17" t="str">
        <f>IFERROR(_CONFIG_Model_Settings!$B$103,"Adaptive")</f>
        <v>Fragile</v>
      </c>
      <c r="BJ29" s="17">
        <f>IFERROR(INDEX(_CONFIG_Model_Settings!$B$109:$B$113,MATCH($BI29,_CONFIG_Model_Settings!$A$109:$A$113,0)),0.3)</f>
        <v>0.2</v>
      </c>
      <c r="BK29" s="17">
        <f>IFERROR(INDEX(_CONFIG_Model_Settings!$C$109:$C$113,MATCH($BI29,_CONFIG_Model_Settings!$A$109:$A$113,0)),0.2)</f>
        <v>0.3</v>
      </c>
      <c r="BL29" s="17">
        <f>IFERROR(INDEX(_CONFIG_Model_Settings!$D$109:$D$113,MATCH($BI29,_CONFIG_Model_Settings!$A$109:$A$113,0)),0.25)</f>
        <v>0.4</v>
      </c>
      <c r="BM29" s="17">
        <f>IFERROR(INDEX(_CONFIG_Model_Settings!$E$109:$E$113,MATCH($BI29,_CONFIG_Model_Settings!$A$109:$A$113,0)),0.25)</f>
        <v>0.1</v>
      </c>
      <c r="BN29" s="17">
        <f>IFERROR(INDEX(_CONFIG_Model_Settings!$B$117:$B$123,MATCH(_CONFIG_Model_Settings!$B$104,_CONFIG_Model_Settings!$A$117:$A$123,0)),1)</f>
        <v>1</v>
      </c>
      <c r="BO29" s="17">
        <f>IFERROR(INDEX(_CONFIG_Model_Settings!$C$117:$C$123,MATCH(_CONFIG_Model_Settings!$B$104,_CONFIG_Model_Settings!$A$117:$A$123,0)),1)</f>
        <v>1</v>
      </c>
      <c r="BP29" s="17">
        <f>IFERROR(INDEX(_CONFIG_Model_Settings!$D$117:$D$123,MATCH(_CONFIG_Model_Settings!$B$104,_CONFIG_Model_Settings!$A$117:$A$123,0)),1)</f>
        <v>1</v>
      </c>
      <c r="BQ29" s="17">
        <f>IFERROR(INDEX(_CONFIG_Model_Settings!$E$117:$E$123,MATCH(_CONFIG_Model_Settings!$B$104,_CONFIG_Model_Settings!$A$117:$A$123,0)),1)</f>
        <v>1</v>
      </c>
      <c r="BR29" s="17">
        <f>IF(OR($A29="",$P29=""),"",MIN(5,IFERROR(SUMIF(_DATA_RiskInitiativeMap!$A$1:$A$867,$A29,_DATA_RiskInitiativeMap!$K$1:$K$867)/MAX(1,_CONFIG_Model_Settings!$B$166),0)))</f>
        <v>5</v>
      </c>
      <c r="BS29" s="17">
        <f t="shared" si="13"/>
        <v>5.04</v>
      </c>
      <c r="BT29" s="17">
        <f t="shared" si="14"/>
        <v>3</v>
      </c>
      <c r="BU29" s="17">
        <f t="shared" si="15"/>
        <v>1.68</v>
      </c>
      <c r="BV29" s="17">
        <f>IF(OR($P29="",$BU29="",$AY29="Done",$AY29="Not applicable"),"",ROUND($BU29*N($AS29)*IF(OR('Resilience &amp; Risk Scenario'!$B$6="",'Resilience &amp; Risk Scenario'!$B$7&lt;=0),1,IFERROR(1+MIN(0.75,INDEX('Resilience &amp; Risk Scenario'!$E$21:$E$37,MATCH($B29,'Resilience &amp; Risk Scenario'!$B$21:$B$37,0))/10),1)),2))</f>
        <v>1.68</v>
      </c>
      <c r="BW29" s="17">
        <f>IF($BV29="","",RANK($BV29,$BV$5:$BV$76,0)+COUNTIF($BV$5:$BV29,$BV29)-1)</f>
        <v>45</v>
      </c>
      <c r="BX29" s="17" t="str">
        <f t="shared" si="16"/>
        <v>6-12 months</v>
      </c>
      <c r="BY29" t="str">
        <f>IFERROR(IF($A29="","","P2: "&amp;$BI29&amp;" posture; objective="&amp;IF(_CONFIG_Model_Settings!$B$104="","Neutral/default",_CONFIG_Model_Settings!$B$104)&amp;"; relevance="&amp;ROUND(N($AS29),2)&amp;"; scenario/domain boost="&amp;ROUND(IF(OR('Resilience &amp; Risk Scenario'!$B$6="",'Resilience &amp; Risk Scenario'!$B$7&lt;=0),1,IFERROR(1+MIN(0.75,INDEX('Resilience &amp; Risk Scenario'!$E$21:$E$37,MATCH($B29,'Resilience &amp; Risk Scenario'!$B$21:$B$37,0))/10),1)),2)&amp;"; financial score="&amp;ROUND(N($BR29),1)&amp;"; CoD="&amp;$BS29&amp;IF($CL29&lt;&gt;"","; wording="&amp;$CL29,"")),"")</f>
        <v>P2: Fragile posture; objective=Neutral/default; relevance=1; scenario/domain boost=1; financial score=5; CoD=5.04; wording=Strengthen MES / shop-floor</v>
      </c>
      <c r="BZ29" t="str">
        <f>IFERROR(INDEX(_REF_Capability_Bridge!$D:$D,MATCH($B29&amp;"|"&amp;$C29,_REF_Capability_Bridge!$J:$J,0)),IFERROR(INDEX(_REF_Capability_Bridge!$D:$D,MATCH($B29&amp;"|",_REF_Capability_Bridge!$J:$J,0)),"CAP_GENERIC"))</f>
        <v>CAP_MES_SHOPFLOOR</v>
      </c>
      <c r="CA29">
        <f>IFERROR(IFERROR(INDEX(_ENGINE_Relevance!$L:$L,MATCH($BZ29,_ENGINE_Relevance!$B:$B,0)),1),1)</f>
        <v>0.4</v>
      </c>
      <c r="CB29" t="str">
        <f>IFERROR(INDEX(_REF_Capability_Bridge!$A:$A,MATCH($B29&amp;"|"&amp;$C29,_REF_Capability_Bridge!$J:$J,0)),IFERROR(INDEX(_REF_Capability_Bridge!$A:$A,MATCH($B29&amp;"|",_REF_Capability_Bridge!$J:$J,0)),"No bridge"))</f>
        <v>BRG-066</v>
      </c>
      <c r="CC29" t="str">
        <f t="shared" si="17"/>
        <v>Capability relevance lowers priority</v>
      </c>
      <c r="CD29" t="str">
        <f t="shared" si="18"/>
        <v>Initial / absent</v>
      </c>
      <c r="CE29" t="str">
        <f>IF($A29="","",IFERROR(INDEX(_REF_Treatment_Library!$A$2:$A$296,MATCH(1,INDEX((_REF_Treatment_Library!$B$2:$B$296=$BZ29)*(_REF_Treatment_Library!$C$2:$C$296=PV_Canonical_Industry)*(_REF_Treatment_Library!$E$2:$E$296&lt;=N($N29))*(_REF_Treatment_Library!$F$2:$F$296&gt;=N($N29))*(_REF_Treatment_Library!$O$2:$O$296="Yes"),0),0)),IFERROR(INDEX(_REF_Treatment_Library!$A$2:$A$296,MATCH(1,INDEX((_REF_Treatment_Library!$B$2:$B$296=$BZ29)*(_REF_Treatment_Library!$C$2:$C$296="All")*(_REF_Treatment_Library!$E$2:$E$296&lt;=N($N29))*(_REF_Treatment_Library!$F$2:$F$296&gt;=N($N29))*(_REF_Treatment_Library!$O$2:$O$296="Yes"),0),0)),"")))</f>
        <v>TRT-MES_SHOPFLOOR-INITIAL</v>
      </c>
      <c r="CF29" t="str">
        <f>IF($CE29="","",IFERROR(INDEX(_REF_Treatment_Library!$H$2:$H$296,MATCH($CE29,_REF_Treatment_Library!$A$2:$A$296,0)),""))</f>
        <v>Establish</v>
      </c>
      <c r="CG29" t="str">
        <f>IF($CE29="","",IFERROR(INDEX(_REF_Treatment_Library!$I$2:$I$296,MATCH($CE29,_REF_Treatment_Library!$A$2:$A$296,0)),""))</f>
        <v>Establish baseline controls for MES / shop-floor</v>
      </c>
      <c r="CH29" t="str">
        <f>IF($CE29="","",IFERROR(INDEX(_REF_Treatment_Library!$K$2:$K$296,MATCH($CE29,_REF_Treatment_Library!$A$2:$A$296,0)),""))</f>
        <v>Named owner, baseline process, minimum control checklist, first evidence package</v>
      </c>
      <c r="CI29" t="str">
        <f>IF($CE29="","",IFERROR(INDEX(_REF_Treatment_Library!$L$2:$L$296,MATCH($CE29,_REF_Treatment_Library!$A$2:$A$296,0)),""))</f>
        <v>Owner assigned; baseline evidence coverage; open critical gaps</v>
      </c>
      <c r="CJ29" t="str">
        <f t="shared" si="19"/>
        <v>Treatment by capability=CAP_MES_SHOPFLOOR; band=Initial / absent; score=0.0; treatment=Establish</v>
      </c>
      <c r="CK29" t="str">
        <f>IF($A29="","",IFERROR(INDEX(_REF_Industry_Wording!$A$2:$A$70,MATCH(1,INDEX((_REF_Industry_Wording!$B$2:$B$70=$BZ29)*(_REF_Industry_Wording!$C$2:$C$70=PV_Canonical_Industry)*(_REF_Industry_Wording!$K$2:$K$70="Yes"),0),0)),IFERROR(INDEX(_REF_Industry_Wording!$A$2:$A$70,MATCH(1,INDEX((_REF_Industry_Wording!$B$2:$B$70=$BZ29)*(_REF_Industry_Wording!$C$2:$C$70="All")*(_REF_Industry_Wording!$K$2:$K$70="Yes"),0),0)),"")))</f>
        <v>IW-ALL-MES_SHOPFLOOR</v>
      </c>
      <c r="CL29" t="str">
        <f>IF($CK29="","",IFERROR(INDEX(_REF_Industry_Wording!$F$2:$F$70,MATCH($CK29,_REF_Industry_Wording!$A$2:$A$70,0)),""))</f>
        <v>Strengthen MES / shop-floor</v>
      </c>
      <c r="CM29" t="str">
        <f>IF($CK29="","",IFERROR(INDEX(_REF_Industry_Wording!$G$2:$G$70,MATCH($CK29,_REF_Industry_Wording!$A$2:$A$70,0)),""))</f>
        <v>Strengthen MES / shop-floor using the selected maturity treatment, crisis scenario and evidence requirements.</v>
      </c>
      <c r="CN29" t="str">
        <f>IF($CK29="","",IFERROR(INDEX(_REF_Industry_Wording!$H$2:$H$70,MATCH($CK29,_REF_Industry_Wording!$A$2:$A$70,0)),""))</f>
        <v>MES / shop-floor</v>
      </c>
      <c r="CO29">
        <f>IF($CK29="","",IFERROR(INDEX(_REF_Industry_Wording!$I$2:$I$70,MATCH($CK29,_REF_Industry_Wording!$A$2:$A$70,0)),""))</f>
        <v>0</v>
      </c>
      <c r="CP29" t="str">
        <f>IF($CK29="","",IFERROR(INDEX(_REF_Industry_Wording!$J$2:$J$70,MATCH($CK29,_REF_Industry_Wording!$A$2:$A$70,0)),""))</f>
        <v>MES / shop-floor</v>
      </c>
      <c r="CQ29" t="str">
        <f t="shared" si="20"/>
        <v>Wording by industry=0; capability=CAP_MES_SHOPFLOOR; title=Strengthen MES / shop-floor</v>
      </c>
      <c r="CR29" t="str">
        <f t="shared" si="21"/>
        <v>INIT-ONT-0025</v>
      </c>
      <c r="CS29">
        <f t="shared" si="22"/>
        <v>29</v>
      </c>
      <c r="CT29" t="str">
        <f t="shared" si="23"/>
        <v>CAP_MES_SHOPFLOOR</v>
      </c>
      <c r="CU29" t="str">
        <f t="shared" si="24"/>
        <v>INI-025|Physical Safety|Emergency response|CAP_MES_SHOPFLOOR</v>
      </c>
      <c r="CV29" t="str">
        <f t="shared" si="25"/>
        <v>Active</v>
      </c>
      <c r="CW29" t="str">
        <f t="shared" si="26"/>
        <v>OK: capability-driven</v>
      </c>
      <c r="CX29" t="str">
        <f t="shared" si="27"/>
        <v>Initiative ontology uses capability=CAP_MES_SHOPFLOOR; bridge=BRG-066; treatment=TRT-MES_SHOPFLOOR-INITIAL; wording=IW-ALL-MES_SHOPFLOOR</v>
      </c>
    </row>
    <row r="30" spans="1:102" ht="42" customHeight="1">
      <c r="A30" s="17" t="s">
        <v>4149</v>
      </c>
      <c r="B30" s="17" t="s">
        <v>1666</v>
      </c>
      <c r="C30" s="17" t="s">
        <v>1685</v>
      </c>
      <c r="D30" s="17" t="s">
        <v>4122</v>
      </c>
      <c r="E30" s="17" t="s">
        <v>4123</v>
      </c>
      <c r="F30" s="17" t="s">
        <v>4150</v>
      </c>
      <c r="G30" s="17" t="s">
        <v>4151</v>
      </c>
      <c r="H30" s="17" t="s">
        <v>3685</v>
      </c>
      <c r="I30" s="17" t="s">
        <v>4126</v>
      </c>
      <c r="J30" s="17" t="s">
        <v>4152</v>
      </c>
      <c r="K30" s="17">
        <v>5</v>
      </c>
      <c r="L30" s="17">
        <f>IF($A30="","",COUNTIFS(_DATA_RiskInitiativeMap!$A$444:$A$867,$A30,_DATA_RiskInitiativeMap!$G$444:$G$867,"&gt;0"))</f>
        <v>5</v>
      </c>
      <c r="M30" s="17">
        <f>IF($A30="","",COUNTIFS(_DATA_RiskInitiativeMap!$A$444:$A$867,$A30,_DATA_RiskInitiativeMap!$G$444:$G$867,"&gt;0"))</f>
        <v>5</v>
      </c>
      <c r="N30" s="17">
        <f>IFERROR(AVERAGEIFS(_DATA_Assessment_Model!$H$5:$H$428,_DATA_Assessment_Model!$AW$5:$AW$428,$B30,_DATA_Assessment_Model!$B$5:$B$428,$C30),"")</f>
        <v>0</v>
      </c>
      <c r="O30" s="17">
        <f t="shared" si="0"/>
        <v>5</v>
      </c>
      <c r="P30" s="17">
        <f>IFERROR(INDEX(_DATA_Dashboard_Facts!$H$5:$H$21,MATCH($B30,_DATA_Dashboard_Facts!$A$5:$A$21,0)),"")</f>
        <v>0</v>
      </c>
      <c r="Q30" s="17">
        <f t="shared" si="1"/>
        <v>5</v>
      </c>
      <c r="R30" s="17">
        <f>IF(OR('Resilience &amp; Risk Scenario'!$B$6="",'Resilience &amp; Risk Scenario'!$B$7&lt;=0),1,IFERROR(IF(SUMIFS(_ENGINE_Crisis!$D$5:$D$208,_ENGINE_Crisis!$A$5:$A$208,'Resilience &amp; Risk Scenario'!$B$6,_ENGINE_Crisis!$B$5:$B$208,$B30)=0,1,SUMIFS(_ENGINE_Crisis!$D$5:$D$208,_ENGINE_Crisis!$A$5:$A$208,'Resilience &amp; Risk Scenario'!$B$6,_ENGINE_Crisis!$B$5:$B$208,$B30)),1))</f>
        <v>1</v>
      </c>
      <c r="S30" s="17">
        <f>IFERROR(INDEX(_ENGINE_Strategy!$A$100:$A$113,MATCH($D30,_ENGINE_Strategy!$B$100:$B$113,0)),99)</f>
        <v>8</v>
      </c>
      <c r="T30" s="17">
        <f>IFERROR(INDEX(_ENGINE_Strategy!$J$100:$J$113,MATCH($D30,_ENGINE_Strategy!$B$100:$B$113,0)),0)</f>
        <v>67</v>
      </c>
      <c r="U30" s="17">
        <v>2</v>
      </c>
      <c r="V30" s="17">
        <v>5</v>
      </c>
      <c r="W30" s="17">
        <v>4</v>
      </c>
      <c r="X30" s="17">
        <f t="shared" si="2"/>
        <v>4.5875000000000004</v>
      </c>
      <c r="Y30" s="17">
        <f>IF($P30="","",MAX(1,MIN(5,1+N($O30)*0.45+MIN(2,N($M30)*0.3)+($R30-1)*1.2+IF('Resilience &amp; Risk Scenario'!$B$7="",1,'Resilience &amp; Risk Scenario'!$B$7)*0.25)))</f>
        <v>5</v>
      </c>
      <c r="Z30" s="17">
        <f t="shared" si="3"/>
        <v>5</v>
      </c>
      <c r="AA30" s="17">
        <f t="shared" si="4"/>
        <v>3.0049999999999999</v>
      </c>
      <c r="AB30" s="17">
        <v>3</v>
      </c>
      <c r="AC30" s="17">
        <f t="shared" si="5"/>
        <v>1.82</v>
      </c>
      <c r="AD30" s="17">
        <f t="shared" si="6"/>
        <v>16</v>
      </c>
      <c r="AE30" s="17" t="str">
        <f t="shared" si="7"/>
        <v>3-6 months</v>
      </c>
      <c r="AF30" s="17" t="s">
        <v>4128</v>
      </c>
      <c r="AG30" s="17" t="s">
        <v>3963</v>
      </c>
      <c r="AH30" s="17" t="s">
        <v>4129</v>
      </c>
      <c r="AI30" s="17" t="s">
        <v>4130</v>
      </c>
      <c r="AJ30" s="17" t="s">
        <v>4153</v>
      </c>
      <c r="AK30" s="17" t="s">
        <v>4154</v>
      </c>
      <c r="AL30" s="17" t="s">
        <v>4155</v>
      </c>
      <c r="AM30" s="17" t="s">
        <v>4134</v>
      </c>
      <c r="AN30" s="17" t="s">
        <v>3937</v>
      </c>
      <c r="AO30" s="17" t="s">
        <v>3938</v>
      </c>
      <c r="AP30" s="17" t="s">
        <v>546</v>
      </c>
      <c r="AQ30" s="17"/>
      <c r="AR30" s="17"/>
      <c r="AS30" s="14">
        <f>IFERROR((IF(SUMIFS(_REF_Model_Content!$J$1:$J$157,_REF_Model_Content!$A$1:$A$174,PV_Canonical_Industry,_REF_Model_Content!$B$1:$B$174,$B30)=0,1,SUMIFS(_REF_Model_Content!$J$1:$J$157,_REF_Model_Content!$A$1:$A$174,PV_Canonical_Industry,_REF_Model_Content!$B$1:$B$174,$B30))*IFERROR($CA30,1)),1)</f>
        <v>1</v>
      </c>
      <c r="AT30" s="14">
        <f t="shared" si="8"/>
        <v>1.82</v>
      </c>
      <c r="AU30" s="14">
        <f>IF($AT30="","",RANK($AT30,$AT$5:$AT$76,0)+COUNTIF($AT$5:AT30,$AT30)-1)</f>
        <v>16</v>
      </c>
      <c r="AV30" s="14">
        <f>IFERROR(INDEX(_DATA_Dashboard_Facts!$G$300:$G$316,MATCH($B30,_DATA_Dashboard_Facts!$A$300:$A$316,0)),"")</f>
        <v>0</v>
      </c>
      <c r="AW30" s="14" t="str">
        <f t="shared" si="9"/>
        <v>Relevance-neutral priority</v>
      </c>
      <c r="AX30">
        <f>IFERROR(INDEX('Action Plan &amp; Roadmap'!$D$59:$D$130,MATCH($A30,'Action Plan &amp; Roadmap'!$A$59:$A$130,0)),"")</f>
        <v>0</v>
      </c>
      <c r="AY30">
        <f t="shared" si="10"/>
        <v>0</v>
      </c>
      <c r="AZ30" t="s">
        <v>4004</v>
      </c>
      <c r="BA30">
        <f>IF($A30="","",COUNTIF(_DATA_RiskInitiativeMap!$A$1:$A$867,$A30))</f>
        <v>5</v>
      </c>
      <c r="BB30">
        <f>IF($A30="","",IFERROR(AVERAGEIF(_DATA_RiskInitiativeMap!$A$1:$A$867,$A30,_DATA_RiskInitiativeMap!$G$1:$G$867),0))</f>
        <v>25.44</v>
      </c>
      <c r="BC30">
        <f t="shared" si="11"/>
        <v>4.8</v>
      </c>
      <c r="BD30">
        <f t="shared" si="12"/>
        <v>4.96</v>
      </c>
      <c r="BI30" s="17" t="str">
        <f>IFERROR(_CONFIG_Model_Settings!$B$103,"Adaptive")</f>
        <v>Fragile</v>
      </c>
      <c r="BJ30" s="17">
        <f>IFERROR(INDEX(_CONFIG_Model_Settings!$B$109:$B$113,MATCH($BI30,_CONFIG_Model_Settings!$A$109:$A$113,0)),0.3)</f>
        <v>0.2</v>
      </c>
      <c r="BK30" s="17">
        <f>IFERROR(INDEX(_CONFIG_Model_Settings!$C$109:$C$113,MATCH($BI30,_CONFIG_Model_Settings!$A$109:$A$113,0)),0.2)</f>
        <v>0.3</v>
      </c>
      <c r="BL30" s="17">
        <f>IFERROR(INDEX(_CONFIG_Model_Settings!$D$109:$D$113,MATCH($BI30,_CONFIG_Model_Settings!$A$109:$A$113,0)),0.25)</f>
        <v>0.4</v>
      </c>
      <c r="BM30" s="17">
        <f>IFERROR(INDEX(_CONFIG_Model_Settings!$E$109:$E$113,MATCH($BI30,_CONFIG_Model_Settings!$A$109:$A$113,0)),0.25)</f>
        <v>0.1</v>
      </c>
      <c r="BN30" s="17">
        <f>IFERROR(INDEX(_CONFIG_Model_Settings!$B$117:$B$123,MATCH(_CONFIG_Model_Settings!$B$104,_CONFIG_Model_Settings!$A$117:$A$123,0)),1)</f>
        <v>1</v>
      </c>
      <c r="BO30" s="17">
        <f>IFERROR(INDEX(_CONFIG_Model_Settings!$C$117:$C$123,MATCH(_CONFIG_Model_Settings!$B$104,_CONFIG_Model_Settings!$A$117:$A$123,0)),1)</f>
        <v>1</v>
      </c>
      <c r="BP30" s="17">
        <f>IFERROR(INDEX(_CONFIG_Model_Settings!$D$117:$D$123,MATCH(_CONFIG_Model_Settings!$B$104,_CONFIG_Model_Settings!$A$117:$A$123,0)),1)</f>
        <v>1</v>
      </c>
      <c r="BQ30" s="17">
        <f>IFERROR(INDEX(_CONFIG_Model_Settings!$E$117:$E$123,MATCH(_CONFIG_Model_Settings!$B$104,_CONFIG_Model_Settings!$A$117:$A$123,0)),1)</f>
        <v>1</v>
      </c>
      <c r="BR30" s="17">
        <f>IF(OR($A30="",$P30=""),"",MIN(5,IFERROR(SUMIF(_DATA_RiskInitiativeMap!$A$1:$A$867,$A30,_DATA_RiskInitiativeMap!$K$1:$K$867)/MAX(1,_CONFIG_Model_Settings!$B$166),0)))</f>
        <v>5</v>
      </c>
      <c r="BS30" s="17">
        <f t="shared" si="13"/>
        <v>5.45</v>
      </c>
      <c r="BT30" s="17">
        <f t="shared" si="14"/>
        <v>3</v>
      </c>
      <c r="BU30" s="17">
        <f t="shared" si="15"/>
        <v>1.82</v>
      </c>
      <c r="BV30" s="17">
        <f>IF(OR($P30="",$BU30="",$AY30="Done",$AY30="Not applicable"),"",ROUND($BU30*N($AS30)*IF(OR('Resilience &amp; Risk Scenario'!$B$6="",'Resilience &amp; Risk Scenario'!$B$7&lt;=0),1,IFERROR(1+MIN(0.75,INDEX('Resilience &amp; Risk Scenario'!$E$21:$E$37,MATCH($B30,'Resilience &amp; Risk Scenario'!$B$21:$B$37,0))/10),1)),2))</f>
        <v>1.82</v>
      </c>
      <c r="BW30" s="17">
        <f>IF($BV30="","",RANK($BV30,$BV$5:$BV$76,0)+COUNTIF($BV$5:$BV30,$BV30)-1)</f>
        <v>16</v>
      </c>
      <c r="BX30" s="17" t="str">
        <f t="shared" si="16"/>
        <v>3-6 months</v>
      </c>
      <c r="BY30" t="str">
        <f>IFERROR(IF($A30="","","P2: "&amp;$BI30&amp;" posture; objective="&amp;IF(_CONFIG_Model_Settings!$B$104="","Neutral/default",_CONFIG_Model_Settings!$B$104)&amp;"; relevance="&amp;ROUND(N($AS30),2)&amp;"; scenario/domain boost="&amp;ROUND(IF(OR('Resilience &amp; Risk Scenario'!$B$6="",'Resilience &amp; Risk Scenario'!$B$7&lt;=0),1,IFERROR(1+MIN(0.75,INDEX('Resilience &amp; Risk Scenario'!$E$21:$E$37,MATCH($B30,'Resilience &amp; Risk Scenario'!$B$21:$B$37,0))/10),1)),2)&amp;"; financial score="&amp;ROUND(N($BR30),1)&amp;"; CoD="&amp;$BS30&amp;IF($CL30&lt;&gt;"","; wording="&amp;$CL30,"")),"")</f>
        <v>P2: Fragile posture; objective=Neutral/default; relevance=1; scenario/domain boost=1; financial score=5; CoD=5.45; wording=Strengthen Backup / recovery</v>
      </c>
      <c r="BZ30" t="str">
        <f>IFERROR(INDEX(_REF_Capability_Bridge!$D:$D,MATCH($B30&amp;"|"&amp;$C30,_REF_Capability_Bridge!$J:$J,0)),IFERROR(INDEX(_REF_Capability_Bridge!$D:$D,MATCH($B30&amp;"|",_REF_Capability_Bridge!$J:$J,0)),"CAP_GENERIC"))</f>
        <v>CAP_BACKUP_RECOVERY</v>
      </c>
      <c r="CA30">
        <f>IFERROR(IFERROR(INDEX(_ENGINE_Relevance!$L:$L,MATCH($BZ30,_ENGINE_Relevance!$B:$B,0)),1),1)</f>
        <v>1</v>
      </c>
      <c r="CB30" t="str">
        <f>IFERROR(INDEX(_REF_Capability_Bridge!$A:$A,MATCH($B30&amp;"|"&amp;$C30,_REF_Capability_Bridge!$J:$J,0)),IFERROR(INDEX(_REF_Capability_Bridge!$A:$A,MATCH($B30&amp;"|",_REF_Capability_Bridge!$J:$J,0)),"No bridge"))</f>
        <v>BRG-069</v>
      </c>
      <c r="CC30" t="str">
        <f t="shared" si="17"/>
        <v>Capability relevance neutral</v>
      </c>
      <c r="CD30" t="str">
        <f t="shared" si="18"/>
        <v>Initial / absent</v>
      </c>
      <c r="CE30" t="str">
        <f>IF($A30="","",IFERROR(INDEX(_REF_Treatment_Library!$A$2:$A$296,MATCH(1,INDEX((_REF_Treatment_Library!$B$2:$B$296=$BZ30)*(_REF_Treatment_Library!$C$2:$C$296=PV_Canonical_Industry)*(_REF_Treatment_Library!$E$2:$E$296&lt;=N($N30))*(_REF_Treatment_Library!$F$2:$F$296&gt;=N($N30))*(_REF_Treatment_Library!$O$2:$O$296="Yes"),0),0)),IFERROR(INDEX(_REF_Treatment_Library!$A$2:$A$296,MATCH(1,INDEX((_REF_Treatment_Library!$B$2:$B$296=$BZ30)*(_REF_Treatment_Library!$C$2:$C$296="All")*(_REF_Treatment_Library!$E$2:$E$296&lt;=N($N30))*(_REF_Treatment_Library!$F$2:$F$296&gt;=N($N30))*(_REF_Treatment_Library!$O$2:$O$296="Yes"),0),0)),"")))</f>
        <v>TRT-BACKUP_RECOVERY-INITIAL</v>
      </c>
      <c r="CF30" t="str">
        <f>IF($CE30="","",IFERROR(INDEX(_REF_Treatment_Library!$H$2:$H$296,MATCH($CE30,_REF_Treatment_Library!$A$2:$A$296,0)),""))</f>
        <v>Establish</v>
      </c>
      <c r="CG30" t="str">
        <f>IF($CE30="","",IFERROR(INDEX(_REF_Treatment_Library!$I$2:$I$296,MATCH($CE30,_REF_Treatment_Library!$A$2:$A$296,0)),""))</f>
        <v>Establish baseline controls for Backup / recovery</v>
      </c>
      <c r="CH30" t="str">
        <f>IF($CE30="","",IFERROR(INDEX(_REF_Treatment_Library!$K$2:$K$296,MATCH($CE30,_REF_Treatment_Library!$A$2:$A$296,0)),""))</f>
        <v>Named owner, baseline process, minimum control checklist, first evidence package</v>
      </c>
      <c r="CI30" t="str">
        <f>IF($CE30="","",IFERROR(INDEX(_REF_Treatment_Library!$L$2:$L$296,MATCH($CE30,_REF_Treatment_Library!$A$2:$A$296,0)),""))</f>
        <v>Owner assigned; baseline evidence coverage; open critical gaps</v>
      </c>
      <c r="CJ30" t="str">
        <f t="shared" si="19"/>
        <v>Treatment by capability=CAP_BACKUP_RECOVERY; band=Initial / absent; score=0.0; treatment=Establish</v>
      </c>
      <c r="CK30" t="str">
        <f>IF($A30="","",IFERROR(INDEX(_REF_Industry_Wording!$A$2:$A$70,MATCH(1,INDEX((_REF_Industry_Wording!$B$2:$B$70=$BZ30)*(_REF_Industry_Wording!$C$2:$C$70=PV_Canonical_Industry)*(_REF_Industry_Wording!$K$2:$K$70="Yes"),0),0)),IFERROR(INDEX(_REF_Industry_Wording!$A$2:$A$70,MATCH(1,INDEX((_REF_Industry_Wording!$B$2:$B$70=$BZ30)*(_REF_Industry_Wording!$C$2:$C$70="All")*(_REF_Industry_Wording!$K$2:$K$70="Yes"),0),0)),"")))</f>
        <v>IW-ALL-BACKUP_RECOVERY</v>
      </c>
      <c r="CL30" t="str">
        <f>IF($CK30="","",IFERROR(INDEX(_REF_Industry_Wording!$F$2:$F$70,MATCH($CK30,_REF_Industry_Wording!$A$2:$A$70,0)),""))</f>
        <v>Strengthen Backup / recovery</v>
      </c>
      <c r="CM30" t="str">
        <f>IF($CK30="","",IFERROR(INDEX(_REF_Industry_Wording!$G$2:$G$70,MATCH($CK30,_REF_Industry_Wording!$A$2:$A$70,0)),""))</f>
        <v>Strengthen Backup / recovery using the selected maturity treatment, crisis scenario and evidence requirements.</v>
      </c>
      <c r="CN30" t="str">
        <f>IF($CK30="","",IFERROR(INDEX(_REF_Industry_Wording!$H$2:$H$70,MATCH($CK30,_REF_Industry_Wording!$A$2:$A$70,0)),""))</f>
        <v>Backup / recovery</v>
      </c>
      <c r="CO30">
        <f>IF($CK30="","",IFERROR(INDEX(_REF_Industry_Wording!$I$2:$I$70,MATCH($CK30,_REF_Industry_Wording!$A$2:$A$70,0)),""))</f>
        <v>0</v>
      </c>
      <c r="CP30" t="str">
        <f>IF($CK30="","",IFERROR(INDEX(_REF_Industry_Wording!$J$2:$J$70,MATCH($CK30,_REF_Industry_Wording!$A$2:$A$70,0)),""))</f>
        <v>Backup / recovery</v>
      </c>
      <c r="CQ30" t="str">
        <f t="shared" si="20"/>
        <v>Wording by industry=0; capability=CAP_BACKUP_RECOVERY; title=Strengthen Backup / recovery</v>
      </c>
      <c r="CR30" t="str">
        <f t="shared" si="21"/>
        <v>INIT-ONT-0026</v>
      </c>
      <c r="CS30">
        <f t="shared" si="22"/>
        <v>30</v>
      </c>
      <c r="CT30" t="str">
        <f t="shared" si="23"/>
        <v>CAP_BACKUP_RECOVERY</v>
      </c>
      <c r="CU30" t="str">
        <f t="shared" si="24"/>
        <v>INI-026|Physical Safety|Security and travel|CAP_BACKUP_RECOVERY</v>
      </c>
      <c r="CV30" t="str">
        <f t="shared" si="25"/>
        <v>Active</v>
      </c>
      <c r="CW30" t="str">
        <f t="shared" si="26"/>
        <v>OK: capability-driven</v>
      </c>
      <c r="CX30" t="str">
        <f t="shared" si="27"/>
        <v>Initiative ontology uses capability=CAP_BACKUP_RECOVERY; bridge=BRG-069; treatment=TRT-BACKUP_RECOVERY-INITIAL; wording=IW-ALL-BACKUP_RECOVERY</v>
      </c>
    </row>
    <row r="31" spans="1:102" ht="42" customHeight="1">
      <c r="A31" s="17" t="s">
        <v>4156</v>
      </c>
      <c r="B31" s="17" t="s">
        <v>1666</v>
      </c>
      <c r="C31" s="17" t="s">
        <v>1689</v>
      </c>
      <c r="D31" s="17" t="s">
        <v>4122</v>
      </c>
      <c r="E31" s="17" t="s">
        <v>4123</v>
      </c>
      <c r="F31" s="17" t="s">
        <v>4157</v>
      </c>
      <c r="G31" s="17" t="s">
        <v>4158</v>
      </c>
      <c r="H31" s="17" t="s">
        <v>3685</v>
      </c>
      <c r="I31" s="17" t="s">
        <v>4126</v>
      </c>
      <c r="J31" s="17" t="s">
        <v>4159</v>
      </c>
      <c r="K31" s="17">
        <v>5</v>
      </c>
      <c r="L31" s="17">
        <f>IF($A31="","",COUNTIFS(_DATA_RiskInitiativeMap!$A$444:$A$867,$A31,_DATA_RiskInitiativeMap!$G$444:$G$867,"&gt;0"))</f>
        <v>5</v>
      </c>
      <c r="M31" s="17">
        <f>IF($A31="","",COUNTIFS(_DATA_RiskInitiativeMap!$A$444:$A$867,$A31,_DATA_RiskInitiativeMap!$G$444:$G$867,"&gt;0"))</f>
        <v>5</v>
      </c>
      <c r="N31" s="17">
        <f>IFERROR(AVERAGEIFS(_DATA_Assessment_Model!$H$5:$H$428,_DATA_Assessment_Model!$AW$5:$AW$428,$B31,_DATA_Assessment_Model!$B$5:$B$428,$C31),"")</f>
        <v>0</v>
      </c>
      <c r="O31" s="17">
        <f t="shared" si="0"/>
        <v>5</v>
      </c>
      <c r="P31" s="17">
        <f>IFERROR(INDEX(_DATA_Dashboard_Facts!$H$5:$H$21,MATCH($B31,_DATA_Dashboard_Facts!$A$5:$A$21,0)),"")</f>
        <v>0</v>
      </c>
      <c r="Q31" s="17">
        <f t="shared" si="1"/>
        <v>5</v>
      </c>
      <c r="R31" s="17">
        <f>IF(OR('Resilience &amp; Risk Scenario'!$B$6="",'Resilience &amp; Risk Scenario'!$B$7&lt;=0),1,IFERROR(IF(SUMIFS(_ENGINE_Crisis!$D$5:$D$208,_ENGINE_Crisis!$A$5:$A$208,'Resilience &amp; Risk Scenario'!$B$6,_ENGINE_Crisis!$B$5:$B$208,$B31)=0,1,SUMIFS(_ENGINE_Crisis!$D$5:$D$208,_ENGINE_Crisis!$A$5:$A$208,'Resilience &amp; Risk Scenario'!$B$6,_ENGINE_Crisis!$B$5:$B$208,$B31)),1))</f>
        <v>1</v>
      </c>
      <c r="S31" s="17">
        <f>IFERROR(INDEX(_ENGINE_Strategy!$A$100:$A$113,MATCH($D31,_ENGINE_Strategy!$B$100:$B$113,0)),99)</f>
        <v>8</v>
      </c>
      <c r="T31" s="17">
        <f>IFERROR(INDEX(_ENGINE_Strategy!$J$100:$J$113,MATCH($D31,_ENGINE_Strategy!$B$100:$B$113,0)),0)</f>
        <v>67</v>
      </c>
      <c r="U31" s="17">
        <v>2</v>
      </c>
      <c r="V31" s="17">
        <v>5</v>
      </c>
      <c r="W31" s="17">
        <v>4</v>
      </c>
      <c r="X31" s="17">
        <f t="shared" si="2"/>
        <v>4.5875000000000004</v>
      </c>
      <c r="Y31" s="17">
        <f>IF($P31="","",MAX(1,MIN(5,1+N($O31)*0.45+MIN(2,N($M31)*0.3)+($R31-1)*1.2+IF('Resilience &amp; Risk Scenario'!$B$7="",1,'Resilience &amp; Risk Scenario'!$B$7)*0.25)))</f>
        <v>5</v>
      </c>
      <c r="Z31" s="17">
        <f t="shared" si="3"/>
        <v>5</v>
      </c>
      <c r="AA31" s="17">
        <f t="shared" si="4"/>
        <v>3.0049999999999999</v>
      </c>
      <c r="AB31" s="17">
        <v>3</v>
      </c>
      <c r="AC31" s="17">
        <f t="shared" si="5"/>
        <v>1.82</v>
      </c>
      <c r="AD31" s="17">
        <f t="shared" si="6"/>
        <v>17</v>
      </c>
      <c r="AE31" s="17" t="str">
        <f t="shared" si="7"/>
        <v>3-6 months</v>
      </c>
      <c r="AF31" s="17" t="s">
        <v>4128</v>
      </c>
      <c r="AG31" s="17" t="s">
        <v>3963</v>
      </c>
      <c r="AH31" s="17" t="s">
        <v>4129</v>
      </c>
      <c r="AI31" s="17" t="s">
        <v>4130</v>
      </c>
      <c r="AJ31" s="17" t="s">
        <v>4160</v>
      </c>
      <c r="AK31" s="17" t="s">
        <v>4161</v>
      </c>
      <c r="AL31" s="17" t="s">
        <v>4162</v>
      </c>
      <c r="AM31" s="17" t="s">
        <v>4134</v>
      </c>
      <c r="AN31" s="17" t="s">
        <v>3937</v>
      </c>
      <c r="AO31" s="17" t="s">
        <v>3938</v>
      </c>
      <c r="AP31" s="17" t="s">
        <v>546</v>
      </c>
      <c r="AQ31" s="17"/>
      <c r="AR31" s="17"/>
      <c r="AS31" s="14">
        <f>IFERROR((IF(SUMIFS(_REF_Model_Content!$J$1:$J$157,_REF_Model_Content!$A$1:$A$174,PV_Canonical_Industry,_REF_Model_Content!$B$1:$B$174,$B31)=0,1,SUMIFS(_REF_Model_Content!$J$1:$J$157,_REF_Model_Content!$A$1:$A$174,PV_Canonical_Industry,_REF_Model_Content!$B$1:$B$174,$B31))*IFERROR($CA31,1)),1)</f>
        <v>1</v>
      </c>
      <c r="AT31" s="14">
        <f t="shared" si="8"/>
        <v>1.82</v>
      </c>
      <c r="AU31" s="14">
        <f>IF($AT31="","",RANK($AT31,$AT$5:$AT$76,0)+COUNTIF($AT$5:AT31,$AT31)-1)</f>
        <v>17</v>
      </c>
      <c r="AV31" s="14">
        <f>IFERROR(INDEX(_DATA_Dashboard_Facts!$G$300:$G$316,MATCH($B31,_DATA_Dashboard_Facts!$A$300:$A$316,0)),"")</f>
        <v>0</v>
      </c>
      <c r="AW31" s="14" t="str">
        <f t="shared" si="9"/>
        <v>Relevance-neutral priority</v>
      </c>
      <c r="AX31">
        <f>IFERROR(INDEX('Action Plan &amp; Roadmap'!$D$59:$D$130,MATCH($A31,'Action Plan &amp; Roadmap'!$A$59:$A$130,0)),"")</f>
        <v>0</v>
      </c>
      <c r="AY31">
        <f t="shared" si="10"/>
        <v>0</v>
      </c>
      <c r="AZ31" t="s">
        <v>4004</v>
      </c>
      <c r="BA31">
        <f>IF($A31="","",COUNTIF(_DATA_RiskInitiativeMap!$A$1:$A$867,$A31))</f>
        <v>5</v>
      </c>
      <c r="BB31">
        <f>IF($A31="","",IFERROR(AVERAGEIF(_DATA_RiskInitiativeMap!$A$1:$A$867,$A31,_DATA_RiskInitiativeMap!$G$1:$G$867),0))</f>
        <v>25.44</v>
      </c>
      <c r="BC31">
        <f t="shared" si="11"/>
        <v>4.8</v>
      </c>
      <c r="BD31">
        <f t="shared" si="12"/>
        <v>4.96</v>
      </c>
      <c r="BI31" s="17" t="str">
        <f>IFERROR(_CONFIG_Model_Settings!$B$103,"Adaptive")</f>
        <v>Fragile</v>
      </c>
      <c r="BJ31" s="17">
        <f>IFERROR(INDEX(_CONFIG_Model_Settings!$B$109:$B$113,MATCH($BI31,_CONFIG_Model_Settings!$A$109:$A$113,0)),0.3)</f>
        <v>0.2</v>
      </c>
      <c r="BK31" s="17">
        <f>IFERROR(INDEX(_CONFIG_Model_Settings!$C$109:$C$113,MATCH($BI31,_CONFIG_Model_Settings!$A$109:$A$113,0)),0.2)</f>
        <v>0.3</v>
      </c>
      <c r="BL31" s="17">
        <f>IFERROR(INDEX(_CONFIG_Model_Settings!$D$109:$D$113,MATCH($BI31,_CONFIG_Model_Settings!$A$109:$A$113,0)),0.25)</f>
        <v>0.4</v>
      </c>
      <c r="BM31" s="17">
        <f>IFERROR(INDEX(_CONFIG_Model_Settings!$E$109:$E$113,MATCH($BI31,_CONFIG_Model_Settings!$A$109:$A$113,0)),0.25)</f>
        <v>0.1</v>
      </c>
      <c r="BN31" s="17">
        <f>IFERROR(INDEX(_CONFIG_Model_Settings!$B$117:$B$123,MATCH(_CONFIG_Model_Settings!$B$104,_CONFIG_Model_Settings!$A$117:$A$123,0)),1)</f>
        <v>1</v>
      </c>
      <c r="BO31" s="17">
        <f>IFERROR(INDEX(_CONFIG_Model_Settings!$C$117:$C$123,MATCH(_CONFIG_Model_Settings!$B$104,_CONFIG_Model_Settings!$A$117:$A$123,0)),1)</f>
        <v>1</v>
      </c>
      <c r="BP31" s="17">
        <f>IFERROR(INDEX(_CONFIG_Model_Settings!$D$117:$D$123,MATCH(_CONFIG_Model_Settings!$B$104,_CONFIG_Model_Settings!$A$117:$A$123,0)),1)</f>
        <v>1</v>
      </c>
      <c r="BQ31" s="17">
        <f>IFERROR(INDEX(_CONFIG_Model_Settings!$E$117:$E$123,MATCH(_CONFIG_Model_Settings!$B$104,_CONFIG_Model_Settings!$A$117:$A$123,0)),1)</f>
        <v>1</v>
      </c>
      <c r="BR31" s="17">
        <f>IF(OR($A31="",$P31=""),"",MIN(5,IFERROR(SUMIF(_DATA_RiskInitiativeMap!$A$1:$A$867,$A31,_DATA_RiskInitiativeMap!$K$1:$K$867)/MAX(1,_CONFIG_Model_Settings!$B$166),0)))</f>
        <v>5</v>
      </c>
      <c r="BS31" s="17">
        <f t="shared" si="13"/>
        <v>5.45</v>
      </c>
      <c r="BT31" s="17">
        <f t="shared" si="14"/>
        <v>3</v>
      </c>
      <c r="BU31" s="17">
        <f t="shared" si="15"/>
        <v>1.82</v>
      </c>
      <c r="BV31" s="17">
        <f>IF(OR($P31="",$BU31="",$AY31="Done",$AY31="Not applicable"),"",ROUND($BU31*N($AS31)*IF(OR('Resilience &amp; Risk Scenario'!$B$6="",'Resilience &amp; Risk Scenario'!$B$7&lt;=0),1,IFERROR(1+MIN(0.75,INDEX('Resilience &amp; Risk Scenario'!$E$21:$E$37,MATCH($B31,'Resilience &amp; Risk Scenario'!$B$21:$B$37,0))/10),1)),2))</f>
        <v>1.82</v>
      </c>
      <c r="BW31" s="17">
        <f>IF($BV31="","",RANK($BV31,$BV$5:$BV$76,0)+COUNTIF($BV$5:$BV31,$BV31)-1)</f>
        <v>17</v>
      </c>
      <c r="BX31" s="17" t="str">
        <f t="shared" si="16"/>
        <v>3-6 months</v>
      </c>
      <c r="BY31" t="str">
        <f>IFERROR(IF($A31="","","P2: "&amp;$BI31&amp;" posture; objective="&amp;IF(_CONFIG_Model_Settings!$B$104="","Neutral/default",_CONFIG_Model_Settings!$B$104)&amp;"; relevance="&amp;ROUND(N($AS31),2)&amp;"; scenario/domain boost="&amp;ROUND(IF(OR('Resilience &amp; Risk Scenario'!$B$6="",'Resilience &amp; Risk Scenario'!$B$7&lt;=0),1,IFERROR(1+MIN(0.75,INDEX('Resilience &amp; Risk Scenario'!$E$21:$E$37,MATCH($B31,'Resilience &amp; Risk Scenario'!$B$21:$B$37,0))/10),1)),2)&amp;"; financial score="&amp;ROUND(N($BR31),1)&amp;"; CoD="&amp;$BS31&amp;IF($CL31&lt;&gt;"","; wording="&amp;$CL31,"")),"")</f>
        <v>P2: Fragile posture; objective=Neutral/default; relevance=1; scenario/domain boost=1; financial score=5; CoD=5.45; wording=Strengthen Backup / recovery</v>
      </c>
      <c r="BZ31" t="str">
        <f>IFERROR(INDEX(_REF_Capability_Bridge!$D:$D,MATCH($B31&amp;"|"&amp;$C31,_REF_Capability_Bridge!$J:$J,0)),IFERROR(INDEX(_REF_Capability_Bridge!$D:$D,MATCH($B31&amp;"|",_REF_Capability_Bridge!$J:$J,0)),"CAP_GENERIC"))</f>
        <v>CAP_BACKUP_RECOVERY</v>
      </c>
      <c r="CA31">
        <f>IFERROR(IFERROR(INDEX(_ENGINE_Relevance!$L:$L,MATCH($BZ31,_ENGINE_Relevance!$B:$B,0)),1),1)</f>
        <v>1</v>
      </c>
      <c r="CB31" t="str">
        <f>IFERROR(INDEX(_REF_Capability_Bridge!$A:$A,MATCH($B31&amp;"|"&amp;$C31,_REF_Capability_Bridge!$J:$J,0)),IFERROR(INDEX(_REF_Capability_Bridge!$A:$A,MATCH($B31&amp;"|",_REF_Capability_Bridge!$J:$J,0)),"No bridge"))</f>
        <v>BRG-070</v>
      </c>
      <c r="CC31" t="str">
        <f t="shared" si="17"/>
        <v>Capability relevance neutral</v>
      </c>
      <c r="CD31" t="str">
        <f t="shared" si="18"/>
        <v>Initial / absent</v>
      </c>
      <c r="CE31" t="str">
        <f>IF($A31="","",IFERROR(INDEX(_REF_Treatment_Library!$A$2:$A$296,MATCH(1,INDEX((_REF_Treatment_Library!$B$2:$B$296=$BZ31)*(_REF_Treatment_Library!$C$2:$C$296=PV_Canonical_Industry)*(_REF_Treatment_Library!$E$2:$E$296&lt;=N($N31))*(_REF_Treatment_Library!$F$2:$F$296&gt;=N($N31))*(_REF_Treatment_Library!$O$2:$O$296="Yes"),0),0)),IFERROR(INDEX(_REF_Treatment_Library!$A$2:$A$296,MATCH(1,INDEX((_REF_Treatment_Library!$B$2:$B$296=$BZ31)*(_REF_Treatment_Library!$C$2:$C$296="All")*(_REF_Treatment_Library!$E$2:$E$296&lt;=N($N31))*(_REF_Treatment_Library!$F$2:$F$296&gt;=N($N31))*(_REF_Treatment_Library!$O$2:$O$296="Yes"),0),0)),"")))</f>
        <v>TRT-BACKUP_RECOVERY-INITIAL</v>
      </c>
      <c r="CF31" t="str">
        <f>IF($CE31="","",IFERROR(INDEX(_REF_Treatment_Library!$H$2:$H$296,MATCH($CE31,_REF_Treatment_Library!$A$2:$A$296,0)),""))</f>
        <v>Establish</v>
      </c>
      <c r="CG31" t="str">
        <f>IF($CE31="","",IFERROR(INDEX(_REF_Treatment_Library!$I$2:$I$296,MATCH($CE31,_REF_Treatment_Library!$A$2:$A$296,0)),""))</f>
        <v>Establish baseline controls for Backup / recovery</v>
      </c>
      <c r="CH31" t="str">
        <f>IF($CE31="","",IFERROR(INDEX(_REF_Treatment_Library!$K$2:$K$296,MATCH($CE31,_REF_Treatment_Library!$A$2:$A$296,0)),""))</f>
        <v>Named owner, baseline process, minimum control checklist, first evidence package</v>
      </c>
      <c r="CI31" t="str">
        <f>IF($CE31="","",IFERROR(INDEX(_REF_Treatment_Library!$L$2:$L$296,MATCH($CE31,_REF_Treatment_Library!$A$2:$A$296,0)),""))</f>
        <v>Owner assigned; baseline evidence coverage; open critical gaps</v>
      </c>
      <c r="CJ31" t="str">
        <f t="shared" si="19"/>
        <v>Treatment by capability=CAP_BACKUP_RECOVERY; band=Initial / absent; score=0.0; treatment=Establish</v>
      </c>
      <c r="CK31" t="str">
        <f>IF($A31="","",IFERROR(INDEX(_REF_Industry_Wording!$A$2:$A$70,MATCH(1,INDEX((_REF_Industry_Wording!$B$2:$B$70=$BZ31)*(_REF_Industry_Wording!$C$2:$C$70=PV_Canonical_Industry)*(_REF_Industry_Wording!$K$2:$K$70="Yes"),0),0)),IFERROR(INDEX(_REF_Industry_Wording!$A$2:$A$70,MATCH(1,INDEX((_REF_Industry_Wording!$B$2:$B$70=$BZ31)*(_REF_Industry_Wording!$C$2:$C$70="All")*(_REF_Industry_Wording!$K$2:$K$70="Yes"),0),0)),"")))</f>
        <v>IW-ALL-BACKUP_RECOVERY</v>
      </c>
      <c r="CL31" t="str">
        <f>IF($CK31="","",IFERROR(INDEX(_REF_Industry_Wording!$F$2:$F$70,MATCH($CK31,_REF_Industry_Wording!$A$2:$A$70,0)),""))</f>
        <v>Strengthen Backup / recovery</v>
      </c>
      <c r="CM31" t="str">
        <f>IF($CK31="","",IFERROR(INDEX(_REF_Industry_Wording!$G$2:$G$70,MATCH($CK31,_REF_Industry_Wording!$A$2:$A$70,0)),""))</f>
        <v>Strengthen Backup / recovery using the selected maturity treatment, crisis scenario and evidence requirements.</v>
      </c>
      <c r="CN31" t="str">
        <f>IF($CK31="","",IFERROR(INDEX(_REF_Industry_Wording!$H$2:$H$70,MATCH($CK31,_REF_Industry_Wording!$A$2:$A$70,0)),""))</f>
        <v>Backup / recovery</v>
      </c>
      <c r="CO31">
        <f>IF($CK31="","",IFERROR(INDEX(_REF_Industry_Wording!$I$2:$I$70,MATCH($CK31,_REF_Industry_Wording!$A$2:$A$70,0)),""))</f>
        <v>0</v>
      </c>
      <c r="CP31" t="str">
        <f>IF($CK31="","",IFERROR(INDEX(_REF_Industry_Wording!$J$2:$J$70,MATCH($CK31,_REF_Industry_Wording!$A$2:$A$70,0)),""))</f>
        <v>Backup / recovery</v>
      </c>
      <c r="CQ31" t="str">
        <f t="shared" si="20"/>
        <v>Wording by industry=0; capability=CAP_BACKUP_RECOVERY; title=Strengthen Backup / recovery</v>
      </c>
      <c r="CR31" t="str">
        <f t="shared" si="21"/>
        <v>INIT-ONT-0027</v>
      </c>
      <c r="CS31">
        <f t="shared" si="22"/>
        <v>31</v>
      </c>
      <c r="CT31" t="str">
        <f t="shared" si="23"/>
        <v>CAP_BACKUP_RECOVERY</v>
      </c>
      <c r="CU31" t="str">
        <f t="shared" si="24"/>
        <v>INI-027|Physical Safety|Utilities and resilience|CAP_BACKUP_RECOVERY</v>
      </c>
      <c r="CV31" t="str">
        <f t="shared" si="25"/>
        <v>Active</v>
      </c>
      <c r="CW31" t="str">
        <f t="shared" si="26"/>
        <v>OK: capability-driven</v>
      </c>
      <c r="CX31" t="str">
        <f t="shared" si="27"/>
        <v>Initiative ontology uses capability=CAP_BACKUP_RECOVERY; bridge=BRG-070; treatment=TRT-BACKUP_RECOVERY-INITIAL; wording=IW-ALL-BACKUP_RECOVERY</v>
      </c>
    </row>
    <row r="32" spans="1:102" ht="42" customHeight="1">
      <c r="A32" s="17" t="s">
        <v>4163</v>
      </c>
      <c r="B32" s="17" t="s">
        <v>1859</v>
      </c>
      <c r="C32" s="17" t="s">
        <v>1861</v>
      </c>
      <c r="D32" s="17" t="s">
        <v>4164</v>
      </c>
      <c r="E32" s="17" t="s">
        <v>4165</v>
      </c>
      <c r="F32" s="17" t="s">
        <v>4166</v>
      </c>
      <c r="G32" s="17" t="s">
        <v>4167</v>
      </c>
      <c r="H32" s="17" t="s">
        <v>3686</v>
      </c>
      <c r="I32" s="17" t="s">
        <v>4168</v>
      </c>
      <c r="J32" s="17" t="s">
        <v>4169</v>
      </c>
      <c r="K32" s="17">
        <v>6</v>
      </c>
      <c r="L32" s="17">
        <f>IF($A32="","",COUNTIFS(_DATA_RiskInitiativeMap!$A$444:$A$867,$A32,_DATA_RiskInitiativeMap!$G$444:$G$867,"&gt;0"))</f>
        <v>6</v>
      </c>
      <c r="M32" s="17">
        <f>IF($A32="","",COUNTIFS(_DATA_RiskInitiativeMap!$A$444:$A$867,$A32,_DATA_RiskInitiativeMap!$G$444:$G$867,"&gt;0"))</f>
        <v>6</v>
      </c>
      <c r="N32" s="17">
        <f>IFERROR(AVERAGEIFS(_DATA_Assessment_Model!$H$5:$H$428,_DATA_Assessment_Model!$AW$5:$AW$428,$B32,_DATA_Assessment_Model!$B$5:$B$428,$C32),"")</f>
        <v>0</v>
      </c>
      <c r="O32" s="17">
        <f t="shared" si="0"/>
        <v>5</v>
      </c>
      <c r="P32" s="17">
        <f>IFERROR(INDEX(_DATA_Dashboard_Facts!$H$5:$H$21,MATCH($B32,_DATA_Dashboard_Facts!$A$5:$A$21,0)),"")</f>
        <v>0</v>
      </c>
      <c r="Q32" s="17">
        <f t="shared" si="1"/>
        <v>5</v>
      </c>
      <c r="R32" s="17">
        <f>IF(OR('Resilience &amp; Risk Scenario'!$B$6="",'Resilience &amp; Risk Scenario'!$B$7&lt;=0),1,IFERROR(IF(SUMIFS(_ENGINE_Crisis!$D$5:$D$208,_ENGINE_Crisis!$A$5:$A$208,'Resilience &amp; Risk Scenario'!$B$6,_ENGINE_Crisis!$B$5:$B$208,$B32)=0,1,SUMIFS(_ENGINE_Crisis!$D$5:$D$208,_ENGINE_Crisis!$A$5:$A$208,'Resilience &amp; Risk Scenario'!$B$6,_ENGINE_Crisis!$B$5:$B$208,$B32)),1))</f>
        <v>1</v>
      </c>
      <c r="S32" s="17">
        <f>IFERROR(INDEX(_ENGINE_Strategy!$A$100:$A$113,MATCH($D32,_ENGINE_Strategy!$B$100:$B$113,0)),99)</f>
        <v>6</v>
      </c>
      <c r="T32" s="17">
        <f>IFERROR(INDEX(_ENGINE_Strategy!$J$100:$J$113,MATCH($D32,_ENGINE_Strategy!$B$100:$B$113,0)),0)</f>
        <v>68.900000000000006</v>
      </c>
      <c r="U32" s="17">
        <v>4</v>
      </c>
      <c r="V32" s="17">
        <v>4</v>
      </c>
      <c r="W32" s="17">
        <v>5</v>
      </c>
      <c r="X32" s="17">
        <f t="shared" si="2"/>
        <v>4.6112500000000001</v>
      </c>
      <c r="Y32" s="17">
        <f>IF($P32="","",MAX(1,MIN(5,1+N($O32)*0.45+MIN(2,N($M32)*0.3)+($R32-1)*1.2+IF('Resilience &amp; Risk Scenario'!$B$7="",1,'Resilience &amp; Risk Scenario'!$B$7)*0.25)))</f>
        <v>5</v>
      </c>
      <c r="Z32" s="17">
        <f t="shared" si="3"/>
        <v>4.8</v>
      </c>
      <c r="AA32" s="17">
        <f t="shared" si="4"/>
        <v>4.1334999999999997</v>
      </c>
      <c r="AB32" s="17">
        <v>3</v>
      </c>
      <c r="AC32" s="17">
        <f t="shared" si="5"/>
        <v>1.79</v>
      </c>
      <c r="AD32" s="17">
        <f t="shared" si="6"/>
        <v>21</v>
      </c>
      <c r="AE32" s="17" t="str">
        <f t="shared" si="7"/>
        <v>3-6 months</v>
      </c>
      <c r="AF32" s="17" t="s">
        <v>4170</v>
      </c>
      <c r="AG32" s="17" t="s">
        <v>3963</v>
      </c>
      <c r="AH32" s="17" t="s">
        <v>4171</v>
      </c>
      <c r="AI32" s="17" t="s">
        <v>3932</v>
      </c>
      <c r="AJ32" s="17" t="s">
        <v>4172</v>
      </c>
      <c r="AK32" s="17" t="s">
        <v>4173</v>
      </c>
      <c r="AL32" s="17" t="s">
        <v>4174</v>
      </c>
      <c r="AM32" s="17" t="s">
        <v>4175</v>
      </c>
      <c r="AN32" s="17" t="s">
        <v>3937</v>
      </c>
      <c r="AO32" s="17" t="s">
        <v>3938</v>
      </c>
      <c r="AP32" s="17" t="s">
        <v>546</v>
      </c>
      <c r="AQ32" s="17"/>
      <c r="AR32" s="17"/>
      <c r="AS32" s="14">
        <f>IFERROR((IF(SUMIFS(_REF_Model_Content!$J$1:$J$157,_REF_Model_Content!$A$1:$A$174,PV_Canonical_Industry,_REF_Model_Content!$B$1:$B$174,$B32)=0,1,SUMIFS(_REF_Model_Content!$J$1:$J$157,_REF_Model_Content!$A$1:$A$174,PV_Canonical_Industry,_REF_Model_Content!$B$1:$B$174,$B32))*IFERROR($CA32,1)),1)</f>
        <v>1</v>
      </c>
      <c r="AT32" s="14">
        <f t="shared" si="8"/>
        <v>1.79</v>
      </c>
      <c r="AU32" s="14">
        <f>IF($AT32="","",RANK($AT32,$AT$5:$AT$76,0)+COUNTIF($AT$5:AT32,$AT32)-1)</f>
        <v>21</v>
      </c>
      <c r="AV32" s="14">
        <f>IFERROR(INDEX(_DATA_Dashboard_Facts!$G$300:$G$316,MATCH($B32,_DATA_Dashboard_Facts!$A$300:$A$316,0)),"")</f>
        <v>0</v>
      </c>
      <c r="AW32" s="14" t="str">
        <f t="shared" si="9"/>
        <v>Relevance-neutral priority</v>
      </c>
      <c r="AX32">
        <f>IFERROR(INDEX('Action Plan &amp; Roadmap'!$D$59:$D$130,MATCH($A32,'Action Plan &amp; Roadmap'!$A$59:$A$130,0)),"")</f>
        <v>0</v>
      </c>
      <c r="AY32">
        <f t="shared" si="10"/>
        <v>0</v>
      </c>
      <c r="AZ32" t="s">
        <v>4176</v>
      </c>
      <c r="BA32">
        <f>IF($A32="","",COUNTIF(_DATA_RiskInitiativeMap!$A$1:$A$867,$A32))</f>
        <v>6</v>
      </c>
      <c r="BB32">
        <f>IF($A32="","",IFERROR(AVERAGEIF(_DATA_RiskInitiativeMap!$A$1:$A$867,$A32,_DATA_RiskInitiativeMap!$G$1:$G$867),0))</f>
        <v>19.819999999999997</v>
      </c>
      <c r="BC32">
        <f t="shared" si="11"/>
        <v>4.7</v>
      </c>
      <c r="BD32">
        <f t="shared" si="12"/>
        <v>4.4874000000000001</v>
      </c>
      <c r="BI32" s="17" t="str">
        <f>IFERROR(_CONFIG_Model_Settings!$B$103,"Adaptive")</f>
        <v>Fragile</v>
      </c>
      <c r="BJ32" s="17">
        <f>IFERROR(INDEX(_CONFIG_Model_Settings!$B$109:$B$113,MATCH($BI32,_CONFIG_Model_Settings!$A$109:$A$113,0)),0.3)</f>
        <v>0.2</v>
      </c>
      <c r="BK32" s="17">
        <f>IFERROR(INDEX(_CONFIG_Model_Settings!$C$109:$C$113,MATCH($BI32,_CONFIG_Model_Settings!$A$109:$A$113,0)),0.2)</f>
        <v>0.3</v>
      </c>
      <c r="BL32" s="17">
        <f>IFERROR(INDEX(_CONFIG_Model_Settings!$D$109:$D$113,MATCH($BI32,_CONFIG_Model_Settings!$A$109:$A$113,0)),0.25)</f>
        <v>0.4</v>
      </c>
      <c r="BM32" s="17">
        <f>IFERROR(INDEX(_CONFIG_Model_Settings!$E$109:$E$113,MATCH($BI32,_CONFIG_Model_Settings!$A$109:$A$113,0)),0.25)</f>
        <v>0.1</v>
      </c>
      <c r="BN32" s="17">
        <f>IFERROR(INDEX(_CONFIG_Model_Settings!$B$117:$B$123,MATCH(_CONFIG_Model_Settings!$B$104,_CONFIG_Model_Settings!$A$117:$A$123,0)),1)</f>
        <v>1</v>
      </c>
      <c r="BO32" s="17">
        <f>IFERROR(INDEX(_CONFIG_Model_Settings!$C$117:$C$123,MATCH(_CONFIG_Model_Settings!$B$104,_CONFIG_Model_Settings!$A$117:$A$123,0)),1)</f>
        <v>1</v>
      </c>
      <c r="BP32" s="17">
        <f>IFERROR(INDEX(_CONFIG_Model_Settings!$D$117:$D$123,MATCH(_CONFIG_Model_Settings!$B$104,_CONFIG_Model_Settings!$A$117:$A$123,0)),1)</f>
        <v>1</v>
      </c>
      <c r="BQ32" s="17">
        <f>IFERROR(INDEX(_CONFIG_Model_Settings!$E$117:$E$123,MATCH(_CONFIG_Model_Settings!$B$104,_CONFIG_Model_Settings!$A$117:$A$123,0)),1)</f>
        <v>1</v>
      </c>
      <c r="BR32" s="17">
        <f>IF(OR($A32="",$P32=""),"",MIN(5,IFERROR(SUMIF(_DATA_RiskInitiativeMap!$A$1:$A$867,$A32,_DATA_RiskInitiativeMap!$K$1:$K$867)/MAX(1,_CONFIG_Model_Settings!$B$166),0)))</f>
        <v>5</v>
      </c>
      <c r="BS32" s="17">
        <f t="shared" si="13"/>
        <v>5.38</v>
      </c>
      <c r="BT32" s="17">
        <f t="shared" si="14"/>
        <v>3</v>
      </c>
      <c r="BU32" s="17">
        <f t="shared" si="15"/>
        <v>1.79</v>
      </c>
      <c r="BV32" s="17">
        <f>IF(OR($P32="",$BU32="",$AY32="Done",$AY32="Not applicable"),"",ROUND($BU32*N($AS32)*IF(OR('Resilience &amp; Risk Scenario'!$B$6="",'Resilience &amp; Risk Scenario'!$B$7&lt;=0),1,IFERROR(1+MIN(0.75,INDEX('Resilience &amp; Risk Scenario'!$E$21:$E$37,MATCH($B32,'Resilience &amp; Risk Scenario'!$B$21:$B$37,0))/10),1)),2))</f>
        <v>1.79</v>
      </c>
      <c r="BW32" s="17">
        <f>IF($BV32="","",RANK($BV32,$BV$5:$BV$76,0)+COUNTIF($BV$5:$BV32,$BV32)-1)</f>
        <v>21</v>
      </c>
      <c r="BX32" s="17" t="str">
        <f t="shared" si="16"/>
        <v>3-6 months</v>
      </c>
      <c r="BY32" t="str">
        <f>IFERROR(IF($A32="","","P2: "&amp;$BI32&amp;" posture; objective="&amp;IF(_CONFIG_Model_Settings!$B$104="","Neutral/default",_CONFIG_Model_Settings!$B$104)&amp;"; relevance="&amp;ROUND(N($AS32),2)&amp;"; scenario/domain boost="&amp;ROUND(IF(OR('Resilience &amp; Risk Scenario'!$B$6="",'Resilience &amp; Risk Scenario'!$B$7&lt;=0),1,IFERROR(1+MIN(0.75,INDEX('Resilience &amp; Risk Scenario'!$E$21:$E$37,MATCH($B32,'Resilience &amp; Risk Scenario'!$B$21:$B$37,0))/10),1)),2)&amp;"; financial score="&amp;ROUND(N($BR32),1)&amp;"; CoD="&amp;$BS32&amp;IF($CL32&lt;&gt;"","; wording="&amp;$CL32,"")),"")</f>
        <v>P2: Fragile posture; objective=Neutral/default; relevance=1; scenario/domain boost=1; financial score=5; CoD=5.38; wording=Strengthen SRE / Observability</v>
      </c>
      <c r="BZ32" t="str">
        <f>IFERROR(INDEX(_REF_Capability_Bridge!$D:$D,MATCH($B32&amp;"|"&amp;$C32,_REF_Capability_Bridge!$J:$J,0)),IFERROR(INDEX(_REF_Capability_Bridge!$D:$D,MATCH($B32&amp;"|",_REF_Capability_Bridge!$J:$J,0)),"CAP_GENERIC"))</f>
        <v>CAP_SRE_OBSERVABILITY</v>
      </c>
      <c r="CA32">
        <f>IFERROR(IFERROR(INDEX(_ENGINE_Relevance!$L:$L,MATCH($BZ32,_ENGINE_Relevance!$B:$B,0)),1),1)</f>
        <v>1</v>
      </c>
      <c r="CB32" t="str">
        <f>IFERROR(INDEX(_REF_Capability_Bridge!$A:$A,MATCH($B32&amp;"|"&amp;$C32,_REF_Capability_Bridge!$J:$J,0)),IFERROR(INDEX(_REF_Capability_Bridge!$A:$A,MATCH($B32&amp;"|",_REF_Capability_Bridge!$J:$J,0)),"No bridge"))</f>
        <v>BRG-026</v>
      </c>
      <c r="CC32" t="str">
        <f t="shared" si="17"/>
        <v>Capability relevance neutral</v>
      </c>
      <c r="CD32" t="str">
        <f t="shared" si="18"/>
        <v>Initial / absent</v>
      </c>
      <c r="CE32" t="str">
        <f>IF($A32="","",IFERROR(INDEX(_REF_Treatment_Library!$A$2:$A$296,MATCH(1,INDEX((_REF_Treatment_Library!$B$2:$B$296=$BZ32)*(_REF_Treatment_Library!$C$2:$C$296=PV_Canonical_Industry)*(_REF_Treatment_Library!$E$2:$E$296&lt;=N($N32))*(_REF_Treatment_Library!$F$2:$F$296&gt;=N($N32))*(_REF_Treatment_Library!$O$2:$O$296="Yes"),0),0)),IFERROR(INDEX(_REF_Treatment_Library!$A$2:$A$296,MATCH(1,INDEX((_REF_Treatment_Library!$B$2:$B$296=$BZ32)*(_REF_Treatment_Library!$C$2:$C$296="All")*(_REF_Treatment_Library!$E$2:$E$296&lt;=N($N32))*(_REF_Treatment_Library!$F$2:$F$296&gt;=N($N32))*(_REF_Treatment_Library!$O$2:$O$296="Yes"),0),0)),"")))</f>
        <v>TRT-SRE_OBSERVABILITY-INITIAL</v>
      </c>
      <c r="CF32" t="str">
        <f>IF($CE32="","",IFERROR(INDEX(_REF_Treatment_Library!$H$2:$H$296,MATCH($CE32,_REF_Treatment_Library!$A$2:$A$296,0)),""))</f>
        <v>Establish</v>
      </c>
      <c r="CG32" t="str">
        <f>IF($CE32="","",IFERROR(INDEX(_REF_Treatment_Library!$I$2:$I$296,MATCH($CE32,_REF_Treatment_Library!$A$2:$A$296,0)),""))</f>
        <v>Establish baseline controls for SRE / Observability</v>
      </c>
      <c r="CH32" t="str">
        <f>IF($CE32="","",IFERROR(INDEX(_REF_Treatment_Library!$K$2:$K$296,MATCH($CE32,_REF_Treatment_Library!$A$2:$A$296,0)),""))</f>
        <v>Named owner, baseline process, minimum control checklist, first evidence package</v>
      </c>
      <c r="CI32" t="str">
        <f>IF($CE32="","",IFERROR(INDEX(_REF_Treatment_Library!$L$2:$L$296,MATCH($CE32,_REF_Treatment_Library!$A$2:$A$296,0)),""))</f>
        <v>Owner assigned; baseline evidence coverage; open critical gaps</v>
      </c>
      <c r="CJ32" t="str">
        <f t="shared" si="19"/>
        <v>Treatment by capability=CAP_SRE_OBSERVABILITY; band=Initial / absent; score=0.0; treatment=Establish</v>
      </c>
      <c r="CK32" t="str">
        <f>IF($A32="","",IFERROR(INDEX(_REF_Industry_Wording!$A$2:$A$70,MATCH(1,INDEX((_REF_Industry_Wording!$B$2:$B$70=$BZ32)*(_REF_Industry_Wording!$C$2:$C$70=PV_Canonical_Industry)*(_REF_Industry_Wording!$K$2:$K$70="Yes"),0),0)),IFERROR(INDEX(_REF_Industry_Wording!$A$2:$A$70,MATCH(1,INDEX((_REF_Industry_Wording!$B$2:$B$70=$BZ32)*(_REF_Industry_Wording!$C$2:$C$70="All")*(_REF_Industry_Wording!$K$2:$K$70="Yes"),0),0)),"")))</f>
        <v>IW-ALL-SRE_OBSERVABILITY</v>
      </c>
      <c r="CL32" t="str">
        <f>IF($CK32="","",IFERROR(INDEX(_REF_Industry_Wording!$F$2:$F$70,MATCH($CK32,_REF_Industry_Wording!$A$2:$A$70,0)),""))</f>
        <v>Strengthen SRE / Observability</v>
      </c>
      <c r="CM32" t="str">
        <f>IF($CK32="","",IFERROR(INDEX(_REF_Industry_Wording!$G$2:$G$70,MATCH($CK32,_REF_Industry_Wording!$A$2:$A$70,0)),""))</f>
        <v>Strengthen SRE / Observability using the selected maturity treatment, crisis scenario and evidence requirements.</v>
      </c>
      <c r="CN32" t="str">
        <f>IF($CK32="","",IFERROR(INDEX(_REF_Industry_Wording!$H$2:$H$70,MATCH($CK32,_REF_Industry_Wording!$A$2:$A$70,0)),""))</f>
        <v>SRE / Observability</v>
      </c>
      <c r="CO32">
        <f>IF($CK32="","",IFERROR(INDEX(_REF_Industry_Wording!$I$2:$I$70,MATCH($CK32,_REF_Industry_Wording!$A$2:$A$70,0)),""))</f>
        <v>0</v>
      </c>
      <c r="CP32" t="str">
        <f>IF($CK32="","",IFERROR(INDEX(_REF_Industry_Wording!$J$2:$J$70,MATCH($CK32,_REF_Industry_Wording!$A$2:$A$70,0)),""))</f>
        <v>SRE / Observability</v>
      </c>
      <c r="CQ32" t="str">
        <f t="shared" si="20"/>
        <v>Wording by industry=0; capability=CAP_SRE_OBSERVABILITY; title=Strengthen SRE / Observability</v>
      </c>
      <c r="CR32" t="str">
        <f t="shared" si="21"/>
        <v>INIT-ONT-0028</v>
      </c>
      <c r="CS32">
        <f t="shared" si="22"/>
        <v>32</v>
      </c>
      <c r="CT32" t="str">
        <f t="shared" si="23"/>
        <v>CAP_SRE_OBSERVABILITY</v>
      </c>
      <c r="CU32" t="str">
        <f t="shared" si="24"/>
        <v>INI-028|Delivery Ops|Delivery governance|CAP_SRE_OBSERVABILITY</v>
      </c>
      <c r="CV32" t="str">
        <f t="shared" si="25"/>
        <v>Active</v>
      </c>
      <c r="CW32" t="str">
        <f t="shared" si="26"/>
        <v>OK: capability-driven</v>
      </c>
      <c r="CX32" t="str">
        <f t="shared" si="27"/>
        <v>Initiative ontology uses capability=CAP_SRE_OBSERVABILITY; bridge=BRG-026; treatment=TRT-SRE_OBSERVABILITY-INITIAL; wording=IW-ALL-SRE_OBSERVABILITY</v>
      </c>
    </row>
    <row r="33" spans="1:102" ht="42" customHeight="1">
      <c r="A33" s="17" t="s">
        <v>4177</v>
      </c>
      <c r="B33" s="17" t="s">
        <v>1859</v>
      </c>
      <c r="C33" s="17" t="s">
        <v>1870</v>
      </c>
      <c r="D33" s="17" t="s">
        <v>4164</v>
      </c>
      <c r="E33" s="17" t="s">
        <v>4165</v>
      </c>
      <c r="F33" s="17" t="s">
        <v>4178</v>
      </c>
      <c r="G33" s="17" t="s">
        <v>4179</v>
      </c>
      <c r="H33" s="17" t="s">
        <v>3686</v>
      </c>
      <c r="I33" s="17" t="s">
        <v>4168</v>
      </c>
      <c r="J33" s="17" t="s">
        <v>4180</v>
      </c>
      <c r="K33" s="17">
        <v>6</v>
      </c>
      <c r="L33" s="17">
        <f>IF($A33="","",COUNTIFS(_DATA_RiskInitiativeMap!$A$444:$A$867,$A33,_DATA_RiskInitiativeMap!$G$444:$G$867,"&gt;0"))</f>
        <v>6</v>
      </c>
      <c r="M33" s="17">
        <f>IF($A33="","",COUNTIFS(_DATA_RiskInitiativeMap!$A$444:$A$867,$A33,_DATA_RiskInitiativeMap!$G$444:$G$867,"&gt;0"))</f>
        <v>6</v>
      </c>
      <c r="N33" s="17">
        <f>IFERROR(AVERAGEIFS(_DATA_Assessment_Model!$H$5:$H$428,_DATA_Assessment_Model!$AW$5:$AW$428,$B33,_DATA_Assessment_Model!$B$5:$B$428,$C33),"")</f>
        <v>0</v>
      </c>
      <c r="O33" s="17">
        <f t="shared" si="0"/>
        <v>5</v>
      </c>
      <c r="P33" s="17">
        <f>IFERROR(INDEX(_DATA_Dashboard_Facts!$H$5:$H$21,MATCH($B33,_DATA_Dashboard_Facts!$A$5:$A$21,0)),"")</f>
        <v>0</v>
      </c>
      <c r="Q33" s="17">
        <f t="shared" si="1"/>
        <v>5</v>
      </c>
      <c r="R33" s="17">
        <f>IF(OR('Resilience &amp; Risk Scenario'!$B$6="",'Resilience &amp; Risk Scenario'!$B$7&lt;=0),1,IFERROR(IF(SUMIFS(_ENGINE_Crisis!$D$5:$D$208,_ENGINE_Crisis!$A$5:$A$208,'Resilience &amp; Risk Scenario'!$B$6,_ENGINE_Crisis!$B$5:$B$208,$B33)=0,1,SUMIFS(_ENGINE_Crisis!$D$5:$D$208,_ENGINE_Crisis!$A$5:$A$208,'Resilience &amp; Risk Scenario'!$B$6,_ENGINE_Crisis!$B$5:$B$208,$B33)),1))</f>
        <v>1</v>
      </c>
      <c r="S33" s="17">
        <f>IFERROR(INDEX(_ENGINE_Strategy!$A$100:$A$113,MATCH($D33,_ENGINE_Strategy!$B$100:$B$113,0)),99)</f>
        <v>6</v>
      </c>
      <c r="T33" s="17">
        <f>IFERROR(INDEX(_ENGINE_Strategy!$J$100:$J$113,MATCH($D33,_ENGINE_Strategy!$B$100:$B$113,0)),0)</f>
        <v>68.900000000000006</v>
      </c>
      <c r="U33" s="17">
        <v>4</v>
      </c>
      <c r="V33" s="17">
        <v>4</v>
      </c>
      <c r="W33" s="17">
        <v>5</v>
      </c>
      <c r="X33" s="17">
        <f t="shared" si="2"/>
        <v>4.6112500000000001</v>
      </c>
      <c r="Y33" s="17">
        <f>IF($P33="","",MAX(1,MIN(5,1+N($O33)*0.45+MIN(2,N($M33)*0.3)+($R33-1)*1.2+IF('Resilience &amp; Risk Scenario'!$B$7="",1,'Resilience &amp; Risk Scenario'!$B$7)*0.25)))</f>
        <v>5</v>
      </c>
      <c r="Z33" s="17">
        <f t="shared" si="3"/>
        <v>4.8</v>
      </c>
      <c r="AA33" s="17">
        <f t="shared" si="4"/>
        <v>4.1334999999999997</v>
      </c>
      <c r="AB33" s="17">
        <v>3</v>
      </c>
      <c r="AC33" s="17">
        <f t="shared" si="5"/>
        <v>1.79</v>
      </c>
      <c r="AD33" s="17">
        <f t="shared" si="6"/>
        <v>22</v>
      </c>
      <c r="AE33" s="17" t="str">
        <f t="shared" si="7"/>
        <v>3-6 months</v>
      </c>
      <c r="AF33" s="17" t="s">
        <v>4170</v>
      </c>
      <c r="AG33" s="17" t="s">
        <v>3963</v>
      </c>
      <c r="AH33" s="17" t="s">
        <v>4171</v>
      </c>
      <c r="AI33" s="17" t="s">
        <v>3932</v>
      </c>
      <c r="AJ33" s="17" t="s">
        <v>4181</v>
      </c>
      <c r="AK33" s="17" t="s">
        <v>4182</v>
      </c>
      <c r="AL33" s="17" t="s">
        <v>4183</v>
      </c>
      <c r="AM33" s="17" t="s">
        <v>4175</v>
      </c>
      <c r="AN33" s="17" t="s">
        <v>3937</v>
      </c>
      <c r="AO33" s="17" t="s">
        <v>3938</v>
      </c>
      <c r="AP33" s="17" t="s">
        <v>546</v>
      </c>
      <c r="AQ33" s="17"/>
      <c r="AR33" s="17"/>
      <c r="AS33" s="14">
        <f>IFERROR((IF(SUMIFS(_REF_Model_Content!$J$1:$J$157,_REF_Model_Content!$A$1:$A$174,PV_Canonical_Industry,_REF_Model_Content!$B$1:$B$174,$B33)=0,1,SUMIFS(_REF_Model_Content!$J$1:$J$157,_REF_Model_Content!$A$1:$A$174,PV_Canonical_Industry,_REF_Model_Content!$B$1:$B$174,$B33))*IFERROR($CA33,1)),1)</f>
        <v>1</v>
      </c>
      <c r="AT33" s="14">
        <f t="shared" si="8"/>
        <v>1.79</v>
      </c>
      <c r="AU33" s="14">
        <f>IF($AT33="","",RANK($AT33,$AT$5:$AT$76,0)+COUNTIF($AT$5:AT33,$AT33)-1)</f>
        <v>22</v>
      </c>
      <c r="AV33" s="14">
        <f>IFERROR(INDEX(_DATA_Dashboard_Facts!$G$300:$G$316,MATCH($B33,_DATA_Dashboard_Facts!$A$300:$A$316,0)),"")</f>
        <v>0</v>
      </c>
      <c r="AW33" s="14" t="str">
        <f t="shared" si="9"/>
        <v>Relevance-neutral priority</v>
      </c>
      <c r="AX33">
        <f>IFERROR(INDEX('Action Plan &amp; Roadmap'!$D$59:$D$130,MATCH($A33,'Action Plan &amp; Roadmap'!$A$59:$A$130,0)),"")</f>
        <v>0</v>
      </c>
      <c r="AY33">
        <f t="shared" si="10"/>
        <v>0</v>
      </c>
      <c r="AZ33" t="s">
        <v>4176</v>
      </c>
      <c r="BA33">
        <f>IF($A33="","",COUNTIF(_DATA_RiskInitiativeMap!$A$1:$A$867,$A33))</f>
        <v>6</v>
      </c>
      <c r="BB33">
        <f>IF($A33="","",IFERROR(AVERAGEIF(_DATA_RiskInitiativeMap!$A$1:$A$867,$A33,_DATA_RiskInitiativeMap!$G$1:$G$867),0))</f>
        <v>19.934999999999999</v>
      </c>
      <c r="BC33">
        <f t="shared" si="11"/>
        <v>4.7</v>
      </c>
      <c r="BD33">
        <f t="shared" si="12"/>
        <v>4.4954499999999999</v>
      </c>
      <c r="BI33" s="17" t="str">
        <f>IFERROR(_CONFIG_Model_Settings!$B$103,"Adaptive")</f>
        <v>Fragile</v>
      </c>
      <c r="BJ33" s="17">
        <f>IFERROR(INDEX(_CONFIG_Model_Settings!$B$109:$B$113,MATCH($BI33,_CONFIG_Model_Settings!$A$109:$A$113,0)),0.3)</f>
        <v>0.2</v>
      </c>
      <c r="BK33" s="17">
        <f>IFERROR(INDEX(_CONFIG_Model_Settings!$C$109:$C$113,MATCH($BI33,_CONFIG_Model_Settings!$A$109:$A$113,0)),0.2)</f>
        <v>0.3</v>
      </c>
      <c r="BL33" s="17">
        <f>IFERROR(INDEX(_CONFIG_Model_Settings!$D$109:$D$113,MATCH($BI33,_CONFIG_Model_Settings!$A$109:$A$113,0)),0.25)</f>
        <v>0.4</v>
      </c>
      <c r="BM33" s="17">
        <f>IFERROR(INDEX(_CONFIG_Model_Settings!$E$109:$E$113,MATCH($BI33,_CONFIG_Model_Settings!$A$109:$A$113,0)),0.25)</f>
        <v>0.1</v>
      </c>
      <c r="BN33" s="17">
        <f>IFERROR(INDEX(_CONFIG_Model_Settings!$B$117:$B$123,MATCH(_CONFIG_Model_Settings!$B$104,_CONFIG_Model_Settings!$A$117:$A$123,0)),1)</f>
        <v>1</v>
      </c>
      <c r="BO33" s="17">
        <f>IFERROR(INDEX(_CONFIG_Model_Settings!$C$117:$C$123,MATCH(_CONFIG_Model_Settings!$B$104,_CONFIG_Model_Settings!$A$117:$A$123,0)),1)</f>
        <v>1</v>
      </c>
      <c r="BP33" s="17">
        <f>IFERROR(INDEX(_CONFIG_Model_Settings!$D$117:$D$123,MATCH(_CONFIG_Model_Settings!$B$104,_CONFIG_Model_Settings!$A$117:$A$123,0)),1)</f>
        <v>1</v>
      </c>
      <c r="BQ33" s="17">
        <f>IFERROR(INDEX(_CONFIG_Model_Settings!$E$117:$E$123,MATCH(_CONFIG_Model_Settings!$B$104,_CONFIG_Model_Settings!$A$117:$A$123,0)),1)</f>
        <v>1</v>
      </c>
      <c r="BR33" s="17">
        <f>IF(OR($A33="",$P33=""),"",MIN(5,IFERROR(SUMIF(_DATA_RiskInitiativeMap!$A$1:$A$867,$A33,_DATA_RiskInitiativeMap!$K$1:$K$867)/MAX(1,_CONFIG_Model_Settings!$B$166),0)))</f>
        <v>5</v>
      </c>
      <c r="BS33" s="17">
        <f t="shared" si="13"/>
        <v>5.38</v>
      </c>
      <c r="BT33" s="17">
        <f t="shared" si="14"/>
        <v>3</v>
      </c>
      <c r="BU33" s="17">
        <f t="shared" si="15"/>
        <v>1.79</v>
      </c>
      <c r="BV33" s="17">
        <f>IF(OR($P33="",$BU33="",$AY33="Done",$AY33="Not applicable"),"",ROUND($BU33*N($AS33)*IF(OR('Resilience &amp; Risk Scenario'!$B$6="",'Resilience &amp; Risk Scenario'!$B$7&lt;=0),1,IFERROR(1+MIN(0.75,INDEX('Resilience &amp; Risk Scenario'!$E$21:$E$37,MATCH($B33,'Resilience &amp; Risk Scenario'!$B$21:$B$37,0))/10),1)),2))</f>
        <v>1.79</v>
      </c>
      <c r="BW33" s="17">
        <f>IF($BV33="","",RANK($BV33,$BV$5:$BV$76,0)+COUNTIF($BV$5:$BV33,$BV33)-1)</f>
        <v>22</v>
      </c>
      <c r="BX33" s="17" t="str">
        <f t="shared" si="16"/>
        <v>3-6 months</v>
      </c>
      <c r="BY33" t="str">
        <f>IFERROR(IF($A33="","","P2: "&amp;$BI33&amp;" posture; objective="&amp;IF(_CONFIG_Model_Settings!$B$104="","Neutral/default",_CONFIG_Model_Settings!$B$104)&amp;"; relevance="&amp;ROUND(N($AS33),2)&amp;"; scenario/domain boost="&amp;ROUND(IF(OR('Resilience &amp; Risk Scenario'!$B$6="",'Resilience &amp; Risk Scenario'!$B$7&lt;=0),1,IFERROR(1+MIN(0.75,INDEX('Resilience &amp; Risk Scenario'!$E$21:$E$37,MATCH($B33,'Resilience &amp; Risk Scenario'!$B$21:$B$37,0))/10),1)),2)&amp;"; financial score="&amp;ROUND(N($BR33),1)&amp;"; CoD="&amp;$BS33&amp;IF($CL33&lt;&gt;"","; wording="&amp;$CL33,"")),"")</f>
        <v>P2: Fragile posture; objective=Neutral/default; relevance=1; scenario/domain boost=1; financial score=5; CoD=5.38; wording=Strengthen Backup / recovery</v>
      </c>
      <c r="BZ33" t="str">
        <f>IFERROR(INDEX(_REF_Capability_Bridge!$D:$D,MATCH($B33&amp;"|"&amp;$C33,_REF_Capability_Bridge!$J:$J,0)),IFERROR(INDEX(_REF_Capability_Bridge!$D:$D,MATCH($B33&amp;"|",_REF_Capability_Bridge!$J:$J,0)),"CAP_GENERIC"))</f>
        <v>CAP_BACKUP_RECOVERY</v>
      </c>
      <c r="CA33">
        <f>IFERROR(IFERROR(INDEX(_ENGINE_Relevance!$L:$L,MATCH($BZ33,_ENGINE_Relevance!$B:$B,0)),1),1)</f>
        <v>1</v>
      </c>
      <c r="CB33" t="str">
        <f>IFERROR(INDEX(_REF_Capability_Bridge!$A:$A,MATCH($B33&amp;"|"&amp;$C33,_REF_Capability_Bridge!$J:$J,0)),IFERROR(INDEX(_REF_Capability_Bridge!$A:$A,MATCH($B33&amp;"|",_REF_Capability_Bridge!$J:$J,0)),"No bridge"))</f>
        <v>BRG-025</v>
      </c>
      <c r="CC33" t="str">
        <f t="shared" si="17"/>
        <v>Capability relevance neutral</v>
      </c>
      <c r="CD33" t="str">
        <f t="shared" si="18"/>
        <v>Initial / absent</v>
      </c>
      <c r="CE33" t="str">
        <f>IF($A33="","",IFERROR(INDEX(_REF_Treatment_Library!$A$2:$A$296,MATCH(1,INDEX((_REF_Treatment_Library!$B$2:$B$296=$BZ33)*(_REF_Treatment_Library!$C$2:$C$296=PV_Canonical_Industry)*(_REF_Treatment_Library!$E$2:$E$296&lt;=N($N33))*(_REF_Treatment_Library!$F$2:$F$296&gt;=N($N33))*(_REF_Treatment_Library!$O$2:$O$296="Yes"),0),0)),IFERROR(INDEX(_REF_Treatment_Library!$A$2:$A$296,MATCH(1,INDEX((_REF_Treatment_Library!$B$2:$B$296=$BZ33)*(_REF_Treatment_Library!$C$2:$C$296="All")*(_REF_Treatment_Library!$E$2:$E$296&lt;=N($N33))*(_REF_Treatment_Library!$F$2:$F$296&gt;=N($N33))*(_REF_Treatment_Library!$O$2:$O$296="Yes"),0),0)),"")))</f>
        <v>TRT-BACKUP_RECOVERY-INITIAL</v>
      </c>
      <c r="CF33" t="str">
        <f>IF($CE33="","",IFERROR(INDEX(_REF_Treatment_Library!$H$2:$H$296,MATCH($CE33,_REF_Treatment_Library!$A$2:$A$296,0)),""))</f>
        <v>Establish</v>
      </c>
      <c r="CG33" t="str">
        <f>IF($CE33="","",IFERROR(INDEX(_REF_Treatment_Library!$I$2:$I$296,MATCH($CE33,_REF_Treatment_Library!$A$2:$A$296,0)),""))</f>
        <v>Establish baseline controls for Backup / recovery</v>
      </c>
      <c r="CH33" t="str">
        <f>IF($CE33="","",IFERROR(INDEX(_REF_Treatment_Library!$K$2:$K$296,MATCH($CE33,_REF_Treatment_Library!$A$2:$A$296,0)),""))</f>
        <v>Named owner, baseline process, minimum control checklist, first evidence package</v>
      </c>
      <c r="CI33" t="str">
        <f>IF($CE33="","",IFERROR(INDEX(_REF_Treatment_Library!$L$2:$L$296,MATCH($CE33,_REF_Treatment_Library!$A$2:$A$296,0)),""))</f>
        <v>Owner assigned; baseline evidence coverage; open critical gaps</v>
      </c>
      <c r="CJ33" t="str">
        <f t="shared" si="19"/>
        <v>Treatment by capability=CAP_BACKUP_RECOVERY; band=Initial / absent; score=0.0; treatment=Establish</v>
      </c>
      <c r="CK33" t="str">
        <f>IF($A33="","",IFERROR(INDEX(_REF_Industry_Wording!$A$2:$A$70,MATCH(1,INDEX((_REF_Industry_Wording!$B$2:$B$70=$BZ33)*(_REF_Industry_Wording!$C$2:$C$70=PV_Canonical_Industry)*(_REF_Industry_Wording!$K$2:$K$70="Yes"),0),0)),IFERROR(INDEX(_REF_Industry_Wording!$A$2:$A$70,MATCH(1,INDEX((_REF_Industry_Wording!$B$2:$B$70=$BZ33)*(_REF_Industry_Wording!$C$2:$C$70="All")*(_REF_Industry_Wording!$K$2:$K$70="Yes"),0),0)),"")))</f>
        <v>IW-ALL-BACKUP_RECOVERY</v>
      </c>
      <c r="CL33" t="str">
        <f>IF($CK33="","",IFERROR(INDEX(_REF_Industry_Wording!$F$2:$F$70,MATCH($CK33,_REF_Industry_Wording!$A$2:$A$70,0)),""))</f>
        <v>Strengthen Backup / recovery</v>
      </c>
      <c r="CM33" t="str">
        <f>IF($CK33="","",IFERROR(INDEX(_REF_Industry_Wording!$G$2:$G$70,MATCH($CK33,_REF_Industry_Wording!$A$2:$A$70,0)),""))</f>
        <v>Strengthen Backup / recovery using the selected maturity treatment, crisis scenario and evidence requirements.</v>
      </c>
      <c r="CN33" t="str">
        <f>IF($CK33="","",IFERROR(INDEX(_REF_Industry_Wording!$H$2:$H$70,MATCH($CK33,_REF_Industry_Wording!$A$2:$A$70,0)),""))</f>
        <v>Backup / recovery</v>
      </c>
      <c r="CO33">
        <f>IF($CK33="","",IFERROR(INDEX(_REF_Industry_Wording!$I$2:$I$70,MATCH($CK33,_REF_Industry_Wording!$A$2:$A$70,0)),""))</f>
        <v>0</v>
      </c>
      <c r="CP33" t="str">
        <f>IF($CK33="","",IFERROR(INDEX(_REF_Industry_Wording!$J$2:$J$70,MATCH($CK33,_REF_Industry_Wording!$A$2:$A$70,0)),""))</f>
        <v>Backup / recovery</v>
      </c>
      <c r="CQ33" t="str">
        <f t="shared" si="20"/>
        <v>Wording by industry=0; capability=CAP_BACKUP_RECOVERY; title=Strengthen Backup / recovery</v>
      </c>
      <c r="CR33" t="str">
        <f t="shared" si="21"/>
        <v>INIT-ONT-0029</v>
      </c>
      <c r="CS33">
        <f t="shared" si="22"/>
        <v>33</v>
      </c>
      <c r="CT33" t="str">
        <f t="shared" si="23"/>
        <v>CAP_BACKUP_RECOVERY</v>
      </c>
      <c r="CU33" t="str">
        <f t="shared" si="24"/>
        <v>INI-029|Delivery Ops|Capacity and continuity|CAP_BACKUP_RECOVERY</v>
      </c>
      <c r="CV33" t="str">
        <f t="shared" si="25"/>
        <v>Active</v>
      </c>
      <c r="CW33" t="str">
        <f t="shared" si="26"/>
        <v>OK: capability-driven</v>
      </c>
      <c r="CX33" t="str">
        <f t="shared" si="27"/>
        <v>Initiative ontology uses capability=CAP_BACKUP_RECOVERY; bridge=BRG-025; treatment=TRT-BACKUP_RECOVERY-INITIAL; wording=IW-ALL-BACKUP_RECOVERY</v>
      </c>
    </row>
    <row r="34" spans="1:102" ht="42" customHeight="1">
      <c r="A34" s="17" t="s">
        <v>4184</v>
      </c>
      <c r="B34" s="17" t="s">
        <v>1859</v>
      </c>
      <c r="C34" s="17" t="s">
        <v>1880</v>
      </c>
      <c r="D34" s="17" t="s">
        <v>4164</v>
      </c>
      <c r="E34" s="17" t="s">
        <v>4165</v>
      </c>
      <c r="F34" s="17" t="s">
        <v>4185</v>
      </c>
      <c r="G34" s="17" t="s">
        <v>4186</v>
      </c>
      <c r="H34" s="17" t="s">
        <v>3686</v>
      </c>
      <c r="I34" s="17" t="s">
        <v>4168</v>
      </c>
      <c r="J34" s="17" t="s">
        <v>4187</v>
      </c>
      <c r="K34" s="17">
        <v>6</v>
      </c>
      <c r="L34" s="17">
        <f>IF($A34="","",COUNTIFS(_DATA_RiskInitiativeMap!$A$444:$A$867,$A34,_DATA_RiskInitiativeMap!$G$444:$G$867,"&gt;0"))</f>
        <v>6</v>
      </c>
      <c r="M34" s="17">
        <f>IF($A34="","",COUNTIFS(_DATA_RiskInitiativeMap!$A$444:$A$867,$A34,_DATA_RiskInitiativeMap!$G$444:$G$867,"&gt;0"))</f>
        <v>6</v>
      </c>
      <c r="N34" s="17">
        <f>IFERROR(AVERAGEIFS(_DATA_Assessment_Model!$H$5:$H$428,_DATA_Assessment_Model!$AW$5:$AW$428,$B34,_DATA_Assessment_Model!$B$5:$B$428,$C34),"")</f>
        <v>0</v>
      </c>
      <c r="O34" s="17">
        <f t="shared" si="0"/>
        <v>5</v>
      </c>
      <c r="P34" s="17">
        <f>IFERROR(INDEX(_DATA_Dashboard_Facts!$H$5:$H$21,MATCH($B34,_DATA_Dashboard_Facts!$A$5:$A$21,0)),"")</f>
        <v>0</v>
      </c>
      <c r="Q34" s="17">
        <f t="shared" si="1"/>
        <v>5</v>
      </c>
      <c r="R34" s="17">
        <f>IF(OR('Resilience &amp; Risk Scenario'!$B$6="",'Resilience &amp; Risk Scenario'!$B$7&lt;=0),1,IFERROR(IF(SUMIFS(_ENGINE_Crisis!$D$5:$D$208,_ENGINE_Crisis!$A$5:$A$208,'Resilience &amp; Risk Scenario'!$B$6,_ENGINE_Crisis!$B$5:$B$208,$B34)=0,1,SUMIFS(_ENGINE_Crisis!$D$5:$D$208,_ENGINE_Crisis!$A$5:$A$208,'Resilience &amp; Risk Scenario'!$B$6,_ENGINE_Crisis!$B$5:$B$208,$B34)),1))</f>
        <v>1</v>
      </c>
      <c r="S34" s="17">
        <f>IFERROR(INDEX(_ENGINE_Strategy!$A$100:$A$113,MATCH($D34,_ENGINE_Strategy!$B$100:$B$113,0)),99)</f>
        <v>6</v>
      </c>
      <c r="T34" s="17">
        <f>IFERROR(INDEX(_ENGINE_Strategy!$J$100:$J$113,MATCH($D34,_ENGINE_Strategy!$B$100:$B$113,0)),0)</f>
        <v>68.900000000000006</v>
      </c>
      <c r="U34" s="17">
        <v>4</v>
      </c>
      <c r="V34" s="17">
        <v>4</v>
      </c>
      <c r="W34" s="17">
        <v>5</v>
      </c>
      <c r="X34" s="17">
        <f t="shared" si="2"/>
        <v>4.6112500000000001</v>
      </c>
      <c r="Y34" s="17">
        <f>IF($P34="","",MAX(1,MIN(5,1+N($O34)*0.45+MIN(2,N($M34)*0.3)+($R34-1)*1.2+IF('Resilience &amp; Risk Scenario'!$B$7="",1,'Resilience &amp; Risk Scenario'!$B$7)*0.25)))</f>
        <v>5</v>
      </c>
      <c r="Z34" s="17">
        <f t="shared" si="3"/>
        <v>4.8</v>
      </c>
      <c r="AA34" s="17">
        <f t="shared" si="4"/>
        <v>4.1334999999999997</v>
      </c>
      <c r="AB34" s="17">
        <v>3</v>
      </c>
      <c r="AC34" s="17">
        <f t="shared" si="5"/>
        <v>1.79</v>
      </c>
      <c r="AD34" s="17">
        <f t="shared" si="6"/>
        <v>23</v>
      </c>
      <c r="AE34" s="17" t="str">
        <f t="shared" si="7"/>
        <v>3-6 months</v>
      </c>
      <c r="AF34" s="17" t="s">
        <v>4170</v>
      </c>
      <c r="AG34" s="17" t="s">
        <v>3963</v>
      </c>
      <c r="AH34" s="17" t="s">
        <v>4171</v>
      </c>
      <c r="AI34" s="17" t="s">
        <v>3932</v>
      </c>
      <c r="AJ34" s="17" t="s">
        <v>4188</v>
      </c>
      <c r="AK34" s="17" t="s">
        <v>4189</v>
      </c>
      <c r="AL34" s="17" t="s">
        <v>4190</v>
      </c>
      <c r="AM34" s="17" t="s">
        <v>4175</v>
      </c>
      <c r="AN34" s="17" t="s">
        <v>3937</v>
      </c>
      <c r="AO34" s="17" t="s">
        <v>3938</v>
      </c>
      <c r="AP34" s="17" t="s">
        <v>546</v>
      </c>
      <c r="AQ34" s="17"/>
      <c r="AR34" s="17"/>
      <c r="AS34" s="14">
        <f>IFERROR((IF(SUMIFS(_REF_Model_Content!$J$1:$J$157,_REF_Model_Content!$A$1:$A$174,PV_Canonical_Industry,_REF_Model_Content!$B$1:$B$174,$B34)=0,1,SUMIFS(_REF_Model_Content!$J$1:$J$157,_REF_Model_Content!$A$1:$A$174,PV_Canonical_Industry,_REF_Model_Content!$B$1:$B$174,$B34))*IFERROR($CA34,1)),1)</f>
        <v>1</v>
      </c>
      <c r="AT34" s="14">
        <f t="shared" si="8"/>
        <v>1.79</v>
      </c>
      <c r="AU34" s="14">
        <f>IF($AT34="","",RANK($AT34,$AT$5:$AT$76,0)+COUNTIF($AT$5:AT34,$AT34)-1)</f>
        <v>23</v>
      </c>
      <c r="AV34" s="14">
        <f>IFERROR(INDEX(_DATA_Dashboard_Facts!$G$300:$G$316,MATCH($B34,_DATA_Dashboard_Facts!$A$300:$A$316,0)),"")</f>
        <v>0</v>
      </c>
      <c r="AW34" s="14" t="str">
        <f t="shared" si="9"/>
        <v>Relevance-neutral priority</v>
      </c>
      <c r="AX34">
        <f>IFERROR(INDEX('Action Plan &amp; Roadmap'!$D$59:$D$130,MATCH($A34,'Action Plan &amp; Roadmap'!$A$59:$A$130,0)),"")</f>
        <v>0</v>
      </c>
      <c r="AY34">
        <f t="shared" si="10"/>
        <v>0</v>
      </c>
      <c r="AZ34" t="s">
        <v>4176</v>
      </c>
      <c r="BA34">
        <f>IF($A34="","",COUNTIF(_DATA_RiskInitiativeMap!$A$1:$A$867,$A34))</f>
        <v>6</v>
      </c>
      <c r="BB34">
        <f>IF($A34="","",IFERROR(AVERAGEIF(_DATA_RiskInitiativeMap!$A$1:$A$867,$A34,_DATA_RiskInitiativeMap!$G$1:$G$867),0))</f>
        <v>19.203333333333333</v>
      </c>
      <c r="BC34">
        <f t="shared" si="11"/>
        <v>4.7</v>
      </c>
      <c r="BD34">
        <f t="shared" si="12"/>
        <v>4.4442333333333339</v>
      </c>
      <c r="BI34" s="17" t="str">
        <f>IFERROR(_CONFIG_Model_Settings!$B$103,"Adaptive")</f>
        <v>Fragile</v>
      </c>
      <c r="BJ34" s="17">
        <f>IFERROR(INDEX(_CONFIG_Model_Settings!$B$109:$B$113,MATCH($BI34,_CONFIG_Model_Settings!$A$109:$A$113,0)),0.3)</f>
        <v>0.2</v>
      </c>
      <c r="BK34" s="17">
        <f>IFERROR(INDEX(_CONFIG_Model_Settings!$C$109:$C$113,MATCH($BI34,_CONFIG_Model_Settings!$A$109:$A$113,0)),0.2)</f>
        <v>0.3</v>
      </c>
      <c r="BL34" s="17">
        <f>IFERROR(INDEX(_CONFIG_Model_Settings!$D$109:$D$113,MATCH($BI34,_CONFIG_Model_Settings!$A$109:$A$113,0)),0.25)</f>
        <v>0.4</v>
      </c>
      <c r="BM34" s="17">
        <f>IFERROR(INDEX(_CONFIG_Model_Settings!$E$109:$E$113,MATCH($BI34,_CONFIG_Model_Settings!$A$109:$A$113,0)),0.25)</f>
        <v>0.1</v>
      </c>
      <c r="BN34" s="17">
        <f>IFERROR(INDEX(_CONFIG_Model_Settings!$B$117:$B$123,MATCH(_CONFIG_Model_Settings!$B$104,_CONFIG_Model_Settings!$A$117:$A$123,0)),1)</f>
        <v>1</v>
      </c>
      <c r="BO34" s="17">
        <f>IFERROR(INDEX(_CONFIG_Model_Settings!$C$117:$C$123,MATCH(_CONFIG_Model_Settings!$B$104,_CONFIG_Model_Settings!$A$117:$A$123,0)),1)</f>
        <v>1</v>
      </c>
      <c r="BP34" s="17">
        <f>IFERROR(INDEX(_CONFIG_Model_Settings!$D$117:$D$123,MATCH(_CONFIG_Model_Settings!$B$104,_CONFIG_Model_Settings!$A$117:$A$123,0)),1)</f>
        <v>1</v>
      </c>
      <c r="BQ34" s="17">
        <f>IFERROR(INDEX(_CONFIG_Model_Settings!$E$117:$E$123,MATCH(_CONFIG_Model_Settings!$B$104,_CONFIG_Model_Settings!$A$117:$A$123,0)),1)</f>
        <v>1</v>
      </c>
      <c r="BR34" s="17">
        <f>IF(OR($A34="",$P34=""),"",MIN(5,IFERROR(SUMIF(_DATA_RiskInitiativeMap!$A$1:$A$867,$A34,_DATA_RiskInitiativeMap!$K$1:$K$867)/MAX(1,_CONFIG_Model_Settings!$B$166),0)))</f>
        <v>5</v>
      </c>
      <c r="BS34" s="17">
        <f t="shared" si="13"/>
        <v>5.36</v>
      </c>
      <c r="BT34" s="17">
        <f t="shared" si="14"/>
        <v>3</v>
      </c>
      <c r="BU34" s="17">
        <f t="shared" si="15"/>
        <v>1.79</v>
      </c>
      <c r="BV34" s="17">
        <f>IF(OR($P34="",$BU34="",$AY34="Done",$AY34="Not applicable"),"",ROUND($BU34*N($AS34)*IF(OR('Resilience &amp; Risk Scenario'!$B$6="",'Resilience &amp; Risk Scenario'!$B$7&lt;=0),1,IFERROR(1+MIN(0.75,INDEX('Resilience &amp; Risk Scenario'!$E$21:$E$37,MATCH($B34,'Resilience &amp; Risk Scenario'!$B$21:$B$37,0))/10),1)),2))</f>
        <v>1.79</v>
      </c>
      <c r="BW34" s="17">
        <f>IF($BV34="","",RANK($BV34,$BV$5:$BV$76,0)+COUNTIF($BV$5:$BV34,$BV34)-1)</f>
        <v>23</v>
      </c>
      <c r="BX34" s="17" t="str">
        <f t="shared" si="16"/>
        <v>3-6 months</v>
      </c>
      <c r="BY34" t="str">
        <f>IFERROR(IF($A34="","","P2: "&amp;$BI34&amp;" posture; objective="&amp;IF(_CONFIG_Model_Settings!$B$104="","Neutral/default",_CONFIG_Model_Settings!$B$104)&amp;"; relevance="&amp;ROUND(N($AS34),2)&amp;"; scenario/domain boost="&amp;ROUND(IF(OR('Resilience &amp; Risk Scenario'!$B$6="",'Resilience &amp; Risk Scenario'!$B$7&lt;=0),1,IFERROR(1+MIN(0.75,INDEX('Resilience &amp; Risk Scenario'!$E$21:$E$37,MATCH($B34,'Resilience &amp; Risk Scenario'!$B$21:$B$37,0))/10),1)),2)&amp;"; financial score="&amp;ROUND(N($BR34),1)&amp;"; CoD="&amp;$BS34&amp;IF($CL34&lt;&gt;"","; wording="&amp;$CL34,"")),"")</f>
        <v>P2: Fragile posture; objective=Neutral/default; relevance=1; scenario/domain boost=1; financial score=5; CoD=5.36; wording=Strengthen Inventory planning</v>
      </c>
      <c r="BZ34" t="str">
        <f>IFERROR(INDEX(_REF_Capability_Bridge!$D:$D,MATCH($B34&amp;"|"&amp;$C34,_REF_Capability_Bridge!$J:$J,0)),IFERROR(INDEX(_REF_Capability_Bridge!$D:$D,MATCH($B34&amp;"|",_REF_Capability_Bridge!$J:$J,0)),"CAP_GENERIC"))</f>
        <v>CAP_INVENTORY_PLANNING</v>
      </c>
      <c r="CA34">
        <f>IFERROR(IFERROR(INDEX(_ENGINE_Relevance!$L:$L,MATCH($BZ34,_ENGINE_Relevance!$B:$B,0)),1),1)</f>
        <v>1</v>
      </c>
      <c r="CB34" t="str">
        <f>IFERROR(INDEX(_REF_Capability_Bridge!$A:$A,MATCH($B34&amp;"|"&amp;$C34,_REF_Capability_Bridge!$J:$J,0)),IFERROR(INDEX(_REF_Capability_Bridge!$A:$A,MATCH($B34&amp;"|",_REF_Capability_Bridge!$J:$J,0)),"No bridge"))</f>
        <v>BRG-028</v>
      </c>
      <c r="CC34" t="str">
        <f t="shared" si="17"/>
        <v>Capability relevance neutral</v>
      </c>
      <c r="CD34" t="str">
        <f t="shared" si="18"/>
        <v>Initial / absent</v>
      </c>
      <c r="CE34" t="str">
        <f>IF($A34="","",IFERROR(INDEX(_REF_Treatment_Library!$A$2:$A$296,MATCH(1,INDEX((_REF_Treatment_Library!$B$2:$B$296=$BZ34)*(_REF_Treatment_Library!$C$2:$C$296=PV_Canonical_Industry)*(_REF_Treatment_Library!$E$2:$E$296&lt;=N($N34))*(_REF_Treatment_Library!$F$2:$F$296&gt;=N($N34))*(_REF_Treatment_Library!$O$2:$O$296="Yes"),0),0)),IFERROR(INDEX(_REF_Treatment_Library!$A$2:$A$296,MATCH(1,INDEX((_REF_Treatment_Library!$B$2:$B$296=$BZ34)*(_REF_Treatment_Library!$C$2:$C$296="All")*(_REF_Treatment_Library!$E$2:$E$296&lt;=N($N34))*(_REF_Treatment_Library!$F$2:$F$296&gt;=N($N34))*(_REF_Treatment_Library!$O$2:$O$296="Yes"),0),0)),"")))</f>
        <v>TRT-INVENTORY_PLANNING-INITIAL</v>
      </c>
      <c r="CF34" t="str">
        <f>IF($CE34="","",IFERROR(INDEX(_REF_Treatment_Library!$H$2:$H$296,MATCH($CE34,_REF_Treatment_Library!$A$2:$A$296,0)),""))</f>
        <v>Establish</v>
      </c>
      <c r="CG34" t="str">
        <f>IF($CE34="","",IFERROR(INDEX(_REF_Treatment_Library!$I$2:$I$296,MATCH($CE34,_REF_Treatment_Library!$A$2:$A$296,0)),""))</f>
        <v>Establish baseline controls for Inventory planning</v>
      </c>
      <c r="CH34" t="str">
        <f>IF($CE34="","",IFERROR(INDEX(_REF_Treatment_Library!$K$2:$K$296,MATCH($CE34,_REF_Treatment_Library!$A$2:$A$296,0)),""))</f>
        <v>Named owner, baseline process, minimum control checklist, first evidence package</v>
      </c>
      <c r="CI34" t="str">
        <f>IF($CE34="","",IFERROR(INDEX(_REF_Treatment_Library!$L$2:$L$296,MATCH($CE34,_REF_Treatment_Library!$A$2:$A$296,0)),""))</f>
        <v>Owner assigned; baseline evidence coverage; open critical gaps</v>
      </c>
      <c r="CJ34" t="str">
        <f t="shared" si="19"/>
        <v>Treatment by capability=CAP_INVENTORY_PLANNING; band=Initial / absent; score=0.0; treatment=Establish</v>
      </c>
      <c r="CK34" t="str">
        <f>IF($A34="","",IFERROR(INDEX(_REF_Industry_Wording!$A$2:$A$70,MATCH(1,INDEX((_REF_Industry_Wording!$B$2:$B$70=$BZ34)*(_REF_Industry_Wording!$C$2:$C$70=PV_Canonical_Industry)*(_REF_Industry_Wording!$K$2:$K$70="Yes"),0),0)),IFERROR(INDEX(_REF_Industry_Wording!$A$2:$A$70,MATCH(1,INDEX((_REF_Industry_Wording!$B$2:$B$70=$BZ34)*(_REF_Industry_Wording!$C$2:$C$70="All")*(_REF_Industry_Wording!$K$2:$K$70="Yes"),0),0)),"")))</f>
        <v>IW-ALL-INVENTORY_PLANNING</v>
      </c>
      <c r="CL34" t="str">
        <f>IF($CK34="","",IFERROR(INDEX(_REF_Industry_Wording!$F$2:$F$70,MATCH($CK34,_REF_Industry_Wording!$A$2:$A$70,0)),""))</f>
        <v>Strengthen Inventory planning</v>
      </c>
      <c r="CM34" t="str">
        <f>IF($CK34="","",IFERROR(INDEX(_REF_Industry_Wording!$G$2:$G$70,MATCH($CK34,_REF_Industry_Wording!$A$2:$A$70,0)),""))</f>
        <v>Strengthen Inventory planning using the selected maturity treatment, crisis scenario and evidence requirements.</v>
      </c>
      <c r="CN34" t="str">
        <f>IF($CK34="","",IFERROR(INDEX(_REF_Industry_Wording!$H$2:$H$70,MATCH($CK34,_REF_Industry_Wording!$A$2:$A$70,0)),""))</f>
        <v>Inventory planning</v>
      </c>
      <c r="CO34">
        <f>IF($CK34="","",IFERROR(INDEX(_REF_Industry_Wording!$I$2:$I$70,MATCH($CK34,_REF_Industry_Wording!$A$2:$A$70,0)),""))</f>
        <v>0</v>
      </c>
      <c r="CP34" t="str">
        <f>IF($CK34="","",IFERROR(INDEX(_REF_Industry_Wording!$J$2:$J$70,MATCH($CK34,_REF_Industry_Wording!$A$2:$A$70,0)),""))</f>
        <v>Inventory planning</v>
      </c>
      <c r="CQ34" t="str">
        <f t="shared" si="20"/>
        <v>Wording by industry=0; capability=CAP_INVENTORY_PLANNING; title=Strengthen Inventory planning</v>
      </c>
      <c r="CR34" t="str">
        <f t="shared" si="21"/>
        <v>INIT-ONT-0030</v>
      </c>
      <c r="CS34">
        <f t="shared" si="22"/>
        <v>34</v>
      </c>
      <c r="CT34" t="str">
        <f t="shared" si="23"/>
        <v>CAP_INVENTORY_PLANNING</v>
      </c>
      <c r="CU34" t="str">
        <f t="shared" si="24"/>
        <v>INI-030|Delivery Ops|Process control|CAP_INVENTORY_PLANNING</v>
      </c>
      <c r="CV34" t="str">
        <f t="shared" si="25"/>
        <v>Active</v>
      </c>
      <c r="CW34" t="str">
        <f t="shared" si="26"/>
        <v>OK: capability-driven</v>
      </c>
      <c r="CX34" t="str">
        <f t="shared" si="27"/>
        <v>Initiative ontology uses capability=CAP_INVENTORY_PLANNING; bridge=BRG-028; treatment=TRT-INVENTORY_PLANNING-INITIAL; wording=IW-ALL-INVENTORY_PLANNING</v>
      </c>
    </row>
    <row r="35" spans="1:102" ht="42" customHeight="1">
      <c r="A35" s="17" t="s">
        <v>4191</v>
      </c>
      <c r="B35" s="17" t="s">
        <v>1859</v>
      </c>
      <c r="C35" s="17" t="s">
        <v>1884</v>
      </c>
      <c r="D35" s="17" t="s">
        <v>4164</v>
      </c>
      <c r="E35" s="17" t="s">
        <v>4165</v>
      </c>
      <c r="F35" s="17" t="s">
        <v>4192</v>
      </c>
      <c r="G35" s="17" t="s">
        <v>4193</v>
      </c>
      <c r="H35" s="17" t="s">
        <v>3686</v>
      </c>
      <c r="I35" s="17" t="s">
        <v>4168</v>
      </c>
      <c r="J35" s="17" t="s">
        <v>4194</v>
      </c>
      <c r="K35" s="17">
        <v>6</v>
      </c>
      <c r="L35" s="17">
        <f>IF($A35="","",COUNTIFS(_DATA_RiskInitiativeMap!$A$444:$A$867,$A35,_DATA_RiskInitiativeMap!$G$444:$G$867,"&gt;0"))</f>
        <v>6</v>
      </c>
      <c r="M35" s="17">
        <f>IF($A35="","",COUNTIFS(_DATA_RiskInitiativeMap!$A$444:$A$867,$A35,_DATA_RiskInitiativeMap!$G$444:$G$867,"&gt;0"))</f>
        <v>6</v>
      </c>
      <c r="N35" s="17">
        <f>IFERROR(AVERAGEIFS(_DATA_Assessment_Model!$H$5:$H$428,_DATA_Assessment_Model!$AW$5:$AW$428,$B35,_DATA_Assessment_Model!$B$5:$B$428,$C35),"")</f>
        <v>0</v>
      </c>
      <c r="O35" s="17">
        <f t="shared" si="0"/>
        <v>5</v>
      </c>
      <c r="P35" s="17">
        <f>IFERROR(INDEX(_DATA_Dashboard_Facts!$H$5:$H$21,MATCH($B35,_DATA_Dashboard_Facts!$A$5:$A$21,0)),"")</f>
        <v>0</v>
      </c>
      <c r="Q35" s="17">
        <f t="shared" si="1"/>
        <v>5</v>
      </c>
      <c r="R35" s="17">
        <f>IF(OR('Resilience &amp; Risk Scenario'!$B$6="",'Resilience &amp; Risk Scenario'!$B$7&lt;=0),1,IFERROR(IF(SUMIFS(_ENGINE_Crisis!$D$5:$D$208,_ENGINE_Crisis!$A$5:$A$208,'Resilience &amp; Risk Scenario'!$B$6,_ENGINE_Crisis!$B$5:$B$208,$B35)=0,1,SUMIFS(_ENGINE_Crisis!$D$5:$D$208,_ENGINE_Crisis!$A$5:$A$208,'Resilience &amp; Risk Scenario'!$B$6,_ENGINE_Crisis!$B$5:$B$208,$B35)),1))</f>
        <v>1</v>
      </c>
      <c r="S35" s="17">
        <f>IFERROR(INDEX(_ENGINE_Strategy!$A$100:$A$113,MATCH($D35,_ENGINE_Strategy!$B$100:$B$113,0)),99)</f>
        <v>6</v>
      </c>
      <c r="T35" s="17">
        <f>IFERROR(INDEX(_ENGINE_Strategy!$J$100:$J$113,MATCH($D35,_ENGINE_Strategy!$B$100:$B$113,0)),0)</f>
        <v>68.900000000000006</v>
      </c>
      <c r="U35" s="17">
        <v>4</v>
      </c>
      <c r="V35" s="17">
        <v>4</v>
      </c>
      <c r="W35" s="17">
        <v>5</v>
      </c>
      <c r="X35" s="17">
        <f t="shared" si="2"/>
        <v>4.6112500000000001</v>
      </c>
      <c r="Y35" s="17">
        <f>IF($P35="","",MAX(1,MIN(5,1+N($O35)*0.45+MIN(2,N($M35)*0.3)+($R35-1)*1.2+IF('Resilience &amp; Risk Scenario'!$B$7="",1,'Resilience &amp; Risk Scenario'!$B$7)*0.25)))</f>
        <v>5</v>
      </c>
      <c r="Z35" s="17">
        <f t="shared" si="3"/>
        <v>4.8</v>
      </c>
      <c r="AA35" s="17">
        <f t="shared" si="4"/>
        <v>4.1334999999999997</v>
      </c>
      <c r="AB35" s="17">
        <v>3</v>
      </c>
      <c r="AC35" s="17">
        <f t="shared" si="5"/>
        <v>1.79</v>
      </c>
      <c r="AD35" s="17">
        <f t="shared" si="6"/>
        <v>24</v>
      </c>
      <c r="AE35" s="17" t="str">
        <f t="shared" si="7"/>
        <v>3-6 months</v>
      </c>
      <c r="AF35" s="17" t="s">
        <v>4170</v>
      </c>
      <c r="AG35" s="17" t="s">
        <v>3963</v>
      </c>
      <c r="AH35" s="17" t="s">
        <v>4171</v>
      </c>
      <c r="AI35" s="17" t="s">
        <v>3932</v>
      </c>
      <c r="AJ35" s="17" t="s">
        <v>4195</v>
      </c>
      <c r="AK35" s="17" t="s">
        <v>4196</v>
      </c>
      <c r="AL35" s="17" t="s">
        <v>4197</v>
      </c>
      <c r="AM35" s="17" t="s">
        <v>4175</v>
      </c>
      <c r="AN35" s="17" t="s">
        <v>3937</v>
      </c>
      <c r="AO35" s="17" t="s">
        <v>3938</v>
      </c>
      <c r="AP35" s="17" t="s">
        <v>546</v>
      </c>
      <c r="AQ35" s="17"/>
      <c r="AR35" s="17"/>
      <c r="AS35" s="14">
        <f>IFERROR((IF(SUMIFS(_REF_Model_Content!$J$1:$J$157,_REF_Model_Content!$A$1:$A$174,PV_Canonical_Industry,_REF_Model_Content!$B$1:$B$174,$B35)=0,1,SUMIFS(_REF_Model_Content!$J$1:$J$157,_REF_Model_Content!$A$1:$A$174,PV_Canonical_Industry,_REF_Model_Content!$B$1:$B$174,$B35))*IFERROR($CA35,1)),1)</f>
        <v>1</v>
      </c>
      <c r="AT35" s="14">
        <f t="shared" si="8"/>
        <v>1.79</v>
      </c>
      <c r="AU35" s="14">
        <f>IF($AT35="","",RANK($AT35,$AT$5:$AT$76,0)+COUNTIF($AT$5:AT35,$AT35)-1)</f>
        <v>24</v>
      </c>
      <c r="AV35" s="14">
        <f>IFERROR(INDEX(_DATA_Dashboard_Facts!$G$300:$G$316,MATCH($B35,_DATA_Dashboard_Facts!$A$300:$A$316,0)),"")</f>
        <v>0</v>
      </c>
      <c r="AW35" s="14" t="str">
        <f t="shared" si="9"/>
        <v>Relevance-neutral priority</v>
      </c>
      <c r="AX35">
        <f>IFERROR(INDEX('Action Plan &amp; Roadmap'!$D$59:$D$130,MATCH($A35,'Action Plan &amp; Roadmap'!$A$59:$A$130,0)),"")</f>
        <v>0</v>
      </c>
      <c r="AY35">
        <f t="shared" si="10"/>
        <v>0</v>
      </c>
      <c r="AZ35" t="s">
        <v>4176</v>
      </c>
      <c r="BA35">
        <f>IF($A35="","",COUNTIF(_DATA_RiskInitiativeMap!$A$1:$A$867,$A35))</f>
        <v>6</v>
      </c>
      <c r="BB35">
        <f>IF($A35="","",IFERROR(AVERAGEIF(_DATA_RiskInitiativeMap!$A$1:$A$867,$A35,_DATA_RiskInitiativeMap!$G$1:$G$867),0))</f>
        <v>19.974999999999998</v>
      </c>
      <c r="BC35">
        <f t="shared" si="11"/>
        <v>4.7</v>
      </c>
      <c r="BD35">
        <f t="shared" si="12"/>
        <v>4.4982500000000005</v>
      </c>
      <c r="BI35" s="17" t="str">
        <f>IFERROR(_CONFIG_Model_Settings!$B$103,"Adaptive")</f>
        <v>Fragile</v>
      </c>
      <c r="BJ35" s="17">
        <f>IFERROR(INDEX(_CONFIG_Model_Settings!$B$109:$B$113,MATCH($BI35,_CONFIG_Model_Settings!$A$109:$A$113,0)),0.3)</f>
        <v>0.2</v>
      </c>
      <c r="BK35" s="17">
        <f>IFERROR(INDEX(_CONFIG_Model_Settings!$C$109:$C$113,MATCH($BI35,_CONFIG_Model_Settings!$A$109:$A$113,0)),0.2)</f>
        <v>0.3</v>
      </c>
      <c r="BL35" s="17">
        <f>IFERROR(INDEX(_CONFIG_Model_Settings!$D$109:$D$113,MATCH($BI35,_CONFIG_Model_Settings!$A$109:$A$113,0)),0.25)</f>
        <v>0.4</v>
      </c>
      <c r="BM35" s="17">
        <f>IFERROR(INDEX(_CONFIG_Model_Settings!$E$109:$E$113,MATCH($BI35,_CONFIG_Model_Settings!$A$109:$A$113,0)),0.25)</f>
        <v>0.1</v>
      </c>
      <c r="BN35" s="17">
        <f>IFERROR(INDEX(_CONFIG_Model_Settings!$B$117:$B$123,MATCH(_CONFIG_Model_Settings!$B$104,_CONFIG_Model_Settings!$A$117:$A$123,0)),1)</f>
        <v>1</v>
      </c>
      <c r="BO35" s="17">
        <f>IFERROR(INDEX(_CONFIG_Model_Settings!$C$117:$C$123,MATCH(_CONFIG_Model_Settings!$B$104,_CONFIG_Model_Settings!$A$117:$A$123,0)),1)</f>
        <v>1</v>
      </c>
      <c r="BP35" s="17">
        <f>IFERROR(INDEX(_CONFIG_Model_Settings!$D$117:$D$123,MATCH(_CONFIG_Model_Settings!$B$104,_CONFIG_Model_Settings!$A$117:$A$123,0)),1)</f>
        <v>1</v>
      </c>
      <c r="BQ35" s="17">
        <f>IFERROR(INDEX(_CONFIG_Model_Settings!$E$117:$E$123,MATCH(_CONFIG_Model_Settings!$B$104,_CONFIG_Model_Settings!$A$117:$A$123,0)),1)</f>
        <v>1</v>
      </c>
      <c r="BR35" s="17">
        <f>IF(OR($A35="",$P35=""),"",MIN(5,IFERROR(SUMIF(_DATA_RiskInitiativeMap!$A$1:$A$867,$A35,_DATA_RiskInitiativeMap!$K$1:$K$867)/MAX(1,_CONFIG_Model_Settings!$B$166),0)))</f>
        <v>5</v>
      </c>
      <c r="BS35" s="17">
        <f t="shared" si="13"/>
        <v>5.38</v>
      </c>
      <c r="BT35" s="17">
        <f t="shared" si="14"/>
        <v>3</v>
      </c>
      <c r="BU35" s="17">
        <f t="shared" si="15"/>
        <v>1.79</v>
      </c>
      <c r="BV35" s="17">
        <f>IF(OR($P35="",$BU35="",$AY35="Done",$AY35="Not applicable"),"",ROUND($BU35*N($AS35)*IF(OR('Resilience &amp; Risk Scenario'!$B$6="",'Resilience &amp; Risk Scenario'!$B$7&lt;=0),1,IFERROR(1+MIN(0.75,INDEX('Resilience &amp; Risk Scenario'!$E$21:$E$37,MATCH($B35,'Resilience &amp; Risk Scenario'!$B$21:$B$37,0))/10),1)),2))</f>
        <v>1.79</v>
      </c>
      <c r="BW35" s="17">
        <f>IF($BV35="","",RANK($BV35,$BV$5:$BV$76,0)+COUNTIF($BV$5:$BV35,$BV35)-1)</f>
        <v>24</v>
      </c>
      <c r="BX35" s="17" t="str">
        <f t="shared" si="16"/>
        <v>3-6 months</v>
      </c>
      <c r="BY35" t="str">
        <f>IFERROR(IF($A35="","","P2: "&amp;$BI35&amp;" posture; objective="&amp;IF(_CONFIG_Model_Settings!$B$104="","Neutral/default",_CONFIG_Model_Settings!$B$104)&amp;"; relevance="&amp;ROUND(N($AS35),2)&amp;"; scenario/domain boost="&amp;ROUND(IF(OR('Resilience &amp; Risk Scenario'!$B$6="",'Resilience &amp; Risk Scenario'!$B$7&lt;=0),1,IFERROR(1+MIN(0.75,INDEX('Resilience &amp; Risk Scenario'!$E$21:$E$37,MATCH($B35,'Resilience &amp; Risk Scenario'!$B$21:$B$37,0))/10),1)),2)&amp;"; financial score="&amp;ROUND(N($BR35),1)&amp;"; CoD="&amp;$BS35&amp;IF($CL35&lt;&gt;"","; wording="&amp;$CL35,"")),"")</f>
        <v>P2: Fragile posture; objective=Neutral/default; relevance=1; scenario/domain boost=1; financial score=5; CoD=5.38; wording=Strengthen POS / ecommerce</v>
      </c>
      <c r="BZ35" t="str">
        <f>IFERROR(INDEX(_REF_Capability_Bridge!$D:$D,MATCH($B35&amp;"|"&amp;$C35,_REF_Capability_Bridge!$J:$J,0)),IFERROR(INDEX(_REF_Capability_Bridge!$D:$D,MATCH($B35&amp;"|",_REF_Capability_Bridge!$J:$J,0)),"CAP_GENERIC"))</f>
        <v>CAP_POS_ECOMMERCE</v>
      </c>
      <c r="CA35">
        <f>IFERROR(IFERROR(INDEX(_ENGINE_Relevance!$L:$L,MATCH($BZ35,_ENGINE_Relevance!$B:$B,0)),1),1)</f>
        <v>1</v>
      </c>
      <c r="CB35" t="str">
        <f>IFERROR(INDEX(_REF_Capability_Bridge!$A:$A,MATCH($B35&amp;"|"&amp;$C35,_REF_Capability_Bridge!$J:$J,0)),IFERROR(INDEX(_REF_Capability_Bridge!$A:$A,MATCH($B35&amp;"|",_REF_Capability_Bridge!$J:$J,0)),"No bridge"))</f>
        <v>BRG-027</v>
      </c>
      <c r="CC35" t="str">
        <f t="shared" si="17"/>
        <v>Capability relevance neutral</v>
      </c>
      <c r="CD35" t="str">
        <f t="shared" si="18"/>
        <v>Initial / absent</v>
      </c>
      <c r="CE35" t="str">
        <f>IF($A35="","",IFERROR(INDEX(_REF_Treatment_Library!$A$2:$A$296,MATCH(1,INDEX((_REF_Treatment_Library!$B$2:$B$296=$BZ35)*(_REF_Treatment_Library!$C$2:$C$296=PV_Canonical_Industry)*(_REF_Treatment_Library!$E$2:$E$296&lt;=N($N35))*(_REF_Treatment_Library!$F$2:$F$296&gt;=N($N35))*(_REF_Treatment_Library!$O$2:$O$296="Yes"),0),0)),IFERROR(INDEX(_REF_Treatment_Library!$A$2:$A$296,MATCH(1,INDEX((_REF_Treatment_Library!$B$2:$B$296=$BZ35)*(_REF_Treatment_Library!$C$2:$C$296="All")*(_REF_Treatment_Library!$E$2:$E$296&lt;=N($N35))*(_REF_Treatment_Library!$F$2:$F$296&gt;=N($N35))*(_REF_Treatment_Library!$O$2:$O$296="Yes"),0),0)),"")))</f>
        <v>TRT-POS_ECOMMERCE-INITIAL</v>
      </c>
      <c r="CF35" t="str">
        <f>IF($CE35="","",IFERROR(INDEX(_REF_Treatment_Library!$H$2:$H$296,MATCH($CE35,_REF_Treatment_Library!$A$2:$A$296,0)),""))</f>
        <v>Establish</v>
      </c>
      <c r="CG35" t="str">
        <f>IF($CE35="","",IFERROR(INDEX(_REF_Treatment_Library!$I$2:$I$296,MATCH($CE35,_REF_Treatment_Library!$A$2:$A$296,0)),""))</f>
        <v>Establish baseline controls for POS / ecommerce</v>
      </c>
      <c r="CH35" t="str">
        <f>IF($CE35="","",IFERROR(INDEX(_REF_Treatment_Library!$K$2:$K$296,MATCH($CE35,_REF_Treatment_Library!$A$2:$A$296,0)),""))</f>
        <v>Named owner, baseline process, minimum control checklist, first evidence package</v>
      </c>
      <c r="CI35" t="str">
        <f>IF($CE35="","",IFERROR(INDEX(_REF_Treatment_Library!$L$2:$L$296,MATCH($CE35,_REF_Treatment_Library!$A$2:$A$296,0)),""))</f>
        <v>Owner assigned; baseline evidence coverage; open critical gaps</v>
      </c>
      <c r="CJ35" t="str">
        <f t="shared" si="19"/>
        <v>Treatment by capability=CAP_POS_ECOMMERCE; band=Initial / absent; score=0.0; treatment=Establish</v>
      </c>
      <c r="CK35" t="str">
        <f>IF($A35="","",IFERROR(INDEX(_REF_Industry_Wording!$A$2:$A$70,MATCH(1,INDEX((_REF_Industry_Wording!$B$2:$B$70=$BZ35)*(_REF_Industry_Wording!$C$2:$C$70=PV_Canonical_Industry)*(_REF_Industry_Wording!$K$2:$K$70="Yes"),0),0)),IFERROR(INDEX(_REF_Industry_Wording!$A$2:$A$70,MATCH(1,INDEX((_REF_Industry_Wording!$B$2:$B$70=$BZ35)*(_REF_Industry_Wording!$C$2:$C$70="All")*(_REF_Industry_Wording!$K$2:$K$70="Yes"),0),0)),"")))</f>
        <v>IW-ALL-POS_ECOMMERCE</v>
      </c>
      <c r="CL35" t="str">
        <f>IF($CK35="","",IFERROR(INDEX(_REF_Industry_Wording!$F$2:$F$70,MATCH($CK35,_REF_Industry_Wording!$A$2:$A$70,0)),""))</f>
        <v>Strengthen POS / ecommerce</v>
      </c>
      <c r="CM35" t="str">
        <f>IF($CK35="","",IFERROR(INDEX(_REF_Industry_Wording!$G$2:$G$70,MATCH($CK35,_REF_Industry_Wording!$A$2:$A$70,0)),""))</f>
        <v>Strengthen POS / ecommerce using the selected maturity treatment, crisis scenario and evidence requirements.</v>
      </c>
      <c r="CN35" t="str">
        <f>IF($CK35="","",IFERROR(INDEX(_REF_Industry_Wording!$H$2:$H$70,MATCH($CK35,_REF_Industry_Wording!$A$2:$A$70,0)),""))</f>
        <v>POS / ecommerce</v>
      </c>
      <c r="CO35">
        <f>IF($CK35="","",IFERROR(INDEX(_REF_Industry_Wording!$I$2:$I$70,MATCH($CK35,_REF_Industry_Wording!$A$2:$A$70,0)),""))</f>
        <v>0</v>
      </c>
      <c r="CP35" t="str">
        <f>IF($CK35="","",IFERROR(INDEX(_REF_Industry_Wording!$J$2:$J$70,MATCH($CK35,_REF_Industry_Wording!$A$2:$A$70,0)),""))</f>
        <v>POS / ecommerce</v>
      </c>
      <c r="CQ35" t="str">
        <f t="shared" si="20"/>
        <v>Wording by industry=0; capability=CAP_POS_ECOMMERCE; title=Strengthen POS / ecommerce</v>
      </c>
      <c r="CR35" t="str">
        <f t="shared" si="21"/>
        <v>INIT-ONT-0031</v>
      </c>
      <c r="CS35">
        <f t="shared" si="22"/>
        <v>35</v>
      </c>
      <c r="CT35" t="str">
        <f t="shared" si="23"/>
        <v>CAP_POS_ECOMMERCE</v>
      </c>
      <c r="CU35" t="str">
        <f t="shared" si="24"/>
        <v>INI-031|Delivery Ops|Operational visibility|CAP_POS_ECOMMERCE</v>
      </c>
      <c r="CV35" t="str">
        <f t="shared" si="25"/>
        <v>Active</v>
      </c>
      <c r="CW35" t="str">
        <f t="shared" si="26"/>
        <v>OK: capability-driven</v>
      </c>
      <c r="CX35" t="str">
        <f t="shared" si="27"/>
        <v>Initiative ontology uses capability=CAP_POS_ECOMMERCE; bridge=BRG-027; treatment=TRT-POS_ECOMMERCE-INITIAL; wording=IW-ALL-POS_ECOMMERCE</v>
      </c>
    </row>
    <row r="36" spans="1:102" ht="42" customHeight="1">
      <c r="A36" s="17" t="s">
        <v>4198</v>
      </c>
      <c r="B36" s="17" t="s">
        <v>1987</v>
      </c>
      <c r="C36" s="17" t="s">
        <v>1989</v>
      </c>
      <c r="D36" s="17" t="s">
        <v>4074</v>
      </c>
      <c r="E36" s="17" t="s">
        <v>4075</v>
      </c>
      <c r="F36" s="17" t="s">
        <v>4199</v>
      </c>
      <c r="G36" s="17" t="s">
        <v>4200</v>
      </c>
      <c r="H36" s="17" t="s">
        <v>3687</v>
      </c>
      <c r="I36" s="17" t="s">
        <v>4201</v>
      </c>
      <c r="J36" s="17" t="s">
        <v>4202</v>
      </c>
      <c r="K36" s="17">
        <v>6</v>
      </c>
      <c r="L36" s="17">
        <f>IF($A36="","",COUNTIFS(_DATA_RiskInitiativeMap!$A$444:$A$867,$A36,_DATA_RiskInitiativeMap!$G$444:$G$867,"&gt;0"))</f>
        <v>6</v>
      </c>
      <c r="M36" s="17">
        <f>IF($A36="","",COUNTIFS(_DATA_RiskInitiativeMap!$A$444:$A$867,$A36,_DATA_RiskInitiativeMap!$G$444:$G$867,"&gt;0"))</f>
        <v>6</v>
      </c>
      <c r="N36" s="17">
        <f>IFERROR(AVERAGEIFS(_DATA_Assessment_Model!$H$5:$H$428,_DATA_Assessment_Model!$AW$5:$AW$428,$B36,_DATA_Assessment_Model!$B$5:$B$428,$C36),"")</f>
        <v>0</v>
      </c>
      <c r="O36" s="17">
        <f t="shared" si="0"/>
        <v>5</v>
      </c>
      <c r="P36" s="17">
        <f>IFERROR(INDEX(_DATA_Dashboard_Facts!$H$5:$H$21,MATCH($B36,_DATA_Dashboard_Facts!$A$5:$A$21,0)),"")</f>
        <v>0</v>
      </c>
      <c r="Q36" s="17">
        <f t="shared" si="1"/>
        <v>5</v>
      </c>
      <c r="R36" s="17">
        <f>IF(OR('Resilience &amp; Risk Scenario'!$B$6="",'Resilience &amp; Risk Scenario'!$B$7&lt;=0),1,IFERROR(IF(SUMIFS(_ENGINE_Crisis!$D$5:$D$208,_ENGINE_Crisis!$A$5:$A$208,'Resilience &amp; Risk Scenario'!$B$6,_ENGINE_Crisis!$B$5:$B$208,$B36)=0,1,SUMIFS(_ENGINE_Crisis!$D$5:$D$208,_ENGINE_Crisis!$A$5:$A$208,'Resilience &amp; Risk Scenario'!$B$6,_ENGINE_Crisis!$B$5:$B$208,$B36)),1))</f>
        <v>1</v>
      </c>
      <c r="S36" s="17">
        <f>IFERROR(INDEX(_ENGINE_Strategy!$A$100:$A$113,MATCH($D36,_ENGINE_Strategy!$B$100:$B$113,0)),99)</f>
        <v>4</v>
      </c>
      <c r="T36" s="17">
        <f>IFERROR(INDEX(_ENGINE_Strategy!$J$100:$J$113,MATCH($D36,_ENGINE_Strategy!$B$100:$B$113,0)),0)</f>
        <v>69</v>
      </c>
      <c r="U36" s="17">
        <v>3</v>
      </c>
      <c r="V36" s="17">
        <v>5</v>
      </c>
      <c r="W36" s="17">
        <v>4</v>
      </c>
      <c r="X36" s="17">
        <f t="shared" si="2"/>
        <v>4.6124999999999998</v>
      </c>
      <c r="Y36" s="17">
        <f>IF($P36="","",MAX(1,MIN(5,1+N($O36)*0.45+MIN(2,N($M36)*0.3)+($R36-1)*1.2+IF('Resilience &amp; Risk Scenario'!$B$7="",1,'Resilience &amp; Risk Scenario'!$B$7)*0.25)))</f>
        <v>5</v>
      </c>
      <c r="Z36" s="17">
        <f t="shared" si="3"/>
        <v>5</v>
      </c>
      <c r="AA36" s="17">
        <f t="shared" si="4"/>
        <v>3.4350000000000005</v>
      </c>
      <c r="AB36" s="17">
        <v>3</v>
      </c>
      <c r="AC36" s="17">
        <f t="shared" si="5"/>
        <v>1.81</v>
      </c>
      <c r="AD36" s="17">
        <f t="shared" si="6"/>
        <v>18</v>
      </c>
      <c r="AE36" s="17" t="str">
        <f t="shared" si="7"/>
        <v>3-6 months</v>
      </c>
      <c r="AF36" s="17" t="s">
        <v>4203</v>
      </c>
      <c r="AG36" s="17" t="s">
        <v>3963</v>
      </c>
      <c r="AH36" s="17" t="s">
        <v>4171</v>
      </c>
      <c r="AI36" s="17" t="s">
        <v>4204</v>
      </c>
      <c r="AJ36" s="17" t="s">
        <v>4205</v>
      </c>
      <c r="AK36" s="17" t="s">
        <v>4206</v>
      </c>
      <c r="AL36" s="17" t="s">
        <v>4207</v>
      </c>
      <c r="AM36" s="17" t="s">
        <v>4082</v>
      </c>
      <c r="AN36" s="17" t="s">
        <v>3937</v>
      </c>
      <c r="AO36" s="17" t="s">
        <v>3938</v>
      </c>
      <c r="AP36" s="17" t="s">
        <v>546</v>
      </c>
      <c r="AQ36" s="17"/>
      <c r="AR36" s="17"/>
      <c r="AS36" s="14">
        <f>IFERROR((IF(SUMIFS(_REF_Model_Content!$J$1:$J$157,_REF_Model_Content!$A$1:$A$174,PV_Canonical_Industry,_REF_Model_Content!$B$1:$B$174,$B36)=0,1,SUMIFS(_REF_Model_Content!$J$1:$J$157,_REF_Model_Content!$A$1:$A$174,PV_Canonical_Industry,_REF_Model_Content!$B$1:$B$174,$B36))*IFERROR($CA36,1)),1)</f>
        <v>1</v>
      </c>
      <c r="AT36" s="14">
        <f t="shared" si="8"/>
        <v>1.81</v>
      </c>
      <c r="AU36" s="14">
        <f>IF($AT36="","",RANK($AT36,$AT$5:$AT$76,0)+COUNTIF($AT$5:AT36,$AT36)-1)</f>
        <v>18</v>
      </c>
      <c r="AV36" s="14">
        <f>IFERROR(INDEX(_DATA_Dashboard_Facts!$G$300:$G$316,MATCH($B36,_DATA_Dashboard_Facts!$A$300:$A$316,0)),"")</f>
        <v>0</v>
      </c>
      <c r="AW36" s="14" t="str">
        <f t="shared" si="9"/>
        <v>Relevance-neutral priority</v>
      </c>
      <c r="AX36">
        <f>IFERROR(INDEX('Action Plan &amp; Roadmap'!$D$59:$D$130,MATCH($A36,'Action Plan &amp; Roadmap'!$A$59:$A$130,0)),"")</f>
        <v>0</v>
      </c>
      <c r="AY36">
        <f t="shared" si="10"/>
        <v>0</v>
      </c>
      <c r="AZ36" t="s">
        <v>4083</v>
      </c>
      <c r="BA36">
        <f>IF($A36="","",COUNTIF(_DATA_RiskInitiativeMap!$A$1:$A$867,$A36))</f>
        <v>6</v>
      </c>
      <c r="BB36">
        <f>IF($A36="","",IFERROR(AVERAGEIF(_DATA_RiskInitiativeMap!$A$1:$A$867,$A36,_DATA_RiskInitiativeMap!$G$1:$G$867),0))</f>
        <v>22.89</v>
      </c>
      <c r="BC36">
        <f t="shared" si="11"/>
        <v>4.8</v>
      </c>
      <c r="BD36">
        <f t="shared" si="12"/>
        <v>4.8123000000000005</v>
      </c>
      <c r="BI36" s="17" t="str">
        <f>IFERROR(_CONFIG_Model_Settings!$B$103,"Adaptive")</f>
        <v>Fragile</v>
      </c>
      <c r="BJ36" s="17">
        <f>IFERROR(INDEX(_CONFIG_Model_Settings!$B$109:$B$113,MATCH($BI36,_CONFIG_Model_Settings!$A$109:$A$113,0)),0.3)</f>
        <v>0.2</v>
      </c>
      <c r="BK36" s="17">
        <f>IFERROR(INDEX(_CONFIG_Model_Settings!$C$109:$C$113,MATCH($BI36,_CONFIG_Model_Settings!$A$109:$A$113,0)),0.2)</f>
        <v>0.3</v>
      </c>
      <c r="BL36" s="17">
        <f>IFERROR(INDEX(_CONFIG_Model_Settings!$D$109:$D$113,MATCH($BI36,_CONFIG_Model_Settings!$A$109:$A$113,0)),0.25)</f>
        <v>0.4</v>
      </c>
      <c r="BM36" s="17">
        <f>IFERROR(INDEX(_CONFIG_Model_Settings!$E$109:$E$113,MATCH($BI36,_CONFIG_Model_Settings!$A$109:$A$113,0)),0.25)</f>
        <v>0.1</v>
      </c>
      <c r="BN36" s="17">
        <f>IFERROR(INDEX(_CONFIG_Model_Settings!$B$117:$B$123,MATCH(_CONFIG_Model_Settings!$B$104,_CONFIG_Model_Settings!$A$117:$A$123,0)),1)</f>
        <v>1</v>
      </c>
      <c r="BO36" s="17">
        <f>IFERROR(INDEX(_CONFIG_Model_Settings!$C$117:$C$123,MATCH(_CONFIG_Model_Settings!$B$104,_CONFIG_Model_Settings!$A$117:$A$123,0)),1)</f>
        <v>1</v>
      </c>
      <c r="BP36" s="17">
        <f>IFERROR(INDEX(_CONFIG_Model_Settings!$D$117:$D$123,MATCH(_CONFIG_Model_Settings!$B$104,_CONFIG_Model_Settings!$A$117:$A$123,0)),1)</f>
        <v>1</v>
      </c>
      <c r="BQ36" s="17">
        <f>IFERROR(INDEX(_CONFIG_Model_Settings!$E$117:$E$123,MATCH(_CONFIG_Model_Settings!$B$104,_CONFIG_Model_Settings!$A$117:$A$123,0)),1)</f>
        <v>1</v>
      </c>
      <c r="BR36" s="17">
        <f>IF(OR($A36="",$P36=""),"",MIN(5,IFERROR(SUMIF(_DATA_RiskInitiativeMap!$A$1:$A$867,$A36,_DATA_RiskInitiativeMap!$K$1:$K$867)/MAX(1,_CONFIG_Model_Settings!$B$166),0)))</f>
        <v>5</v>
      </c>
      <c r="BS36" s="17">
        <f t="shared" si="13"/>
        <v>5.44</v>
      </c>
      <c r="BT36" s="17">
        <f t="shared" si="14"/>
        <v>3</v>
      </c>
      <c r="BU36" s="17">
        <f t="shared" si="15"/>
        <v>1.81</v>
      </c>
      <c r="BV36" s="17">
        <f>IF(OR($P36="",$BU36="",$AY36="Done",$AY36="Not applicable"),"",ROUND($BU36*N($AS36)*IF(OR('Resilience &amp; Risk Scenario'!$B$6="",'Resilience &amp; Risk Scenario'!$B$7&lt;=0),1,IFERROR(1+MIN(0.75,INDEX('Resilience &amp; Risk Scenario'!$E$21:$E$37,MATCH($B36,'Resilience &amp; Risk Scenario'!$B$21:$B$37,0))/10),1)),2))</f>
        <v>1.81</v>
      </c>
      <c r="BW36" s="17">
        <f>IF($BV36="","",RANK($BV36,$BV$5:$BV$76,0)+COUNTIF($BV$5:$BV36,$BV36)-1)</f>
        <v>18</v>
      </c>
      <c r="BX36" s="17" t="str">
        <f t="shared" si="16"/>
        <v>3-6 months</v>
      </c>
      <c r="BY36" t="str">
        <f>IFERROR(IF($A36="","","P2: "&amp;$BI36&amp;" posture; objective="&amp;IF(_CONFIG_Model_Settings!$B$104="","Neutral/default",_CONFIG_Model_Settings!$B$104)&amp;"; relevance="&amp;ROUND(N($AS36),2)&amp;"; scenario/domain boost="&amp;ROUND(IF(OR('Resilience &amp; Risk Scenario'!$B$6="",'Resilience &amp; Risk Scenario'!$B$7&lt;=0),1,IFERROR(1+MIN(0.75,INDEX('Resilience &amp; Risk Scenario'!$E$21:$E$37,MATCH($B36,'Resilience &amp; Risk Scenario'!$B$21:$B$37,0))/10),1)),2)&amp;"; financial score="&amp;ROUND(N($BR36),1)&amp;"; CoD="&amp;$BS36&amp;IF($CL36&lt;&gt;"","; wording="&amp;$CL36,"")),"")</f>
        <v>P2: Fragile posture; objective=Neutral/default; relevance=1; scenario/domain boost=1; financial score=5; CoD=5.44; wording=Strengthen Backup / recovery</v>
      </c>
      <c r="BZ36" t="str">
        <f>IFERROR(INDEX(_REF_Capability_Bridge!$D:$D,MATCH($B36&amp;"|"&amp;$C36,_REF_Capability_Bridge!$J:$J,0)),IFERROR(INDEX(_REF_Capability_Bridge!$D:$D,MATCH($B36&amp;"|",_REF_Capability_Bridge!$J:$J,0)),"CAP_GENERIC"))</f>
        <v>CAP_BACKUP_RECOVERY</v>
      </c>
      <c r="CA36">
        <f>IFERROR(IFERROR(INDEX(_ENGINE_Relevance!$L:$L,MATCH($BZ36,_ENGINE_Relevance!$B:$B,0)),1),1)</f>
        <v>1</v>
      </c>
      <c r="CB36" t="str">
        <f>IFERROR(INDEX(_REF_Capability_Bridge!$A:$A,MATCH($B36&amp;"|"&amp;$C36,_REF_Capability_Bridge!$J:$J,0)),IFERROR(INDEX(_REF_Capability_Bridge!$A:$A,MATCH($B36&amp;"|",_REF_Capability_Bridge!$J:$J,0)),"No bridge"))</f>
        <v>BRG-092</v>
      </c>
      <c r="CC36" t="str">
        <f t="shared" si="17"/>
        <v>Capability relevance neutral</v>
      </c>
      <c r="CD36" t="str">
        <f t="shared" si="18"/>
        <v>Initial / absent</v>
      </c>
      <c r="CE36" t="str">
        <f>IF($A36="","",IFERROR(INDEX(_REF_Treatment_Library!$A$2:$A$296,MATCH(1,INDEX((_REF_Treatment_Library!$B$2:$B$296=$BZ36)*(_REF_Treatment_Library!$C$2:$C$296=PV_Canonical_Industry)*(_REF_Treatment_Library!$E$2:$E$296&lt;=N($N36))*(_REF_Treatment_Library!$F$2:$F$296&gt;=N($N36))*(_REF_Treatment_Library!$O$2:$O$296="Yes"),0),0)),IFERROR(INDEX(_REF_Treatment_Library!$A$2:$A$296,MATCH(1,INDEX((_REF_Treatment_Library!$B$2:$B$296=$BZ36)*(_REF_Treatment_Library!$C$2:$C$296="All")*(_REF_Treatment_Library!$E$2:$E$296&lt;=N($N36))*(_REF_Treatment_Library!$F$2:$F$296&gt;=N($N36))*(_REF_Treatment_Library!$O$2:$O$296="Yes"),0),0)),"")))</f>
        <v>TRT-BACKUP_RECOVERY-INITIAL</v>
      </c>
      <c r="CF36" t="str">
        <f>IF($CE36="","",IFERROR(INDEX(_REF_Treatment_Library!$H$2:$H$296,MATCH($CE36,_REF_Treatment_Library!$A$2:$A$296,0)),""))</f>
        <v>Establish</v>
      </c>
      <c r="CG36" t="str">
        <f>IF($CE36="","",IFERROR(INDEX(_REF_Treatment_Library!$I$2:$I$296,MATCH($CE36,_REF_Treatment_Library!$A$2:$A$296,0)),""))</f>
        <v>Establish baseline controls for Backup / recovery</v>
      </c>
      <c r="CH36" t="str">
        <f>IF($CE36="","",IFERROR(INDEX(_REF_Treatment_Library!$K$2:$K$296,MATCH($CE36,_REF_Treatment_Library!$A$2:$A$296,0)),""))</f>
        <v>Named owner, baseline process, minimum control checklist, first evidence package</v>
      </c>
      <c r="CI36" t="str">
        <f>IF($CE36="","",IFERROR(INDEX(_REF_Treatment_Library!$L$2:$L$296,MATCH($CE36,_REF_Treatment_Library!$A$2:$A$296,0)),""))</f>
        <v>Owner assigned; baseline evidence coverage; open critical gaps</v>
      </c>
      <c r="CJ36" t="str">
        <f t="shared" si="19"/>
        <v>Treatment by capability=CAP_BACKUP_RECOVERY; band=Initial / absent; score=0.0; treatment=Establish</v>
      </c>
      <c r="CK36" t="str">
        <f>IF($A36="","",IFERROR(INDEX(_REF_Industry_Wording!$A$2:$A$70,MATCH(1,INDEX((_REF_Industry_Wording!$B$2:$B$70=$BZ36)*(_REF_Industry_Wording!$C$2:$C$70=PV_Canonical_Industry)*(_REF_Industry_Wording!$K$2:$K$70="Yes"),0),0)),IFERROR(INDEX(_REF_Industry_Wording!$A$2:$A$70,MATCH(1,INDEX((_REF_Industry_Wording!$B$2:$B$70=$BZ36)*(_REF_Industry_Wording!$C$2:$C$70="All")*(_REF_Industry_Wording!$K$2:$K$70="Yes"),0),0)),"")))</f>
        <v>IW-ALL-BACKUP_RECOVERY</v>
      </c>
      <c r="CL36" t="str">
        <f>IF($CK36="","",IFERROR(INDEX(_REF_Industry_Wording!$F$2:$F$70,MATCH($CK36,_REF_Industry_Wording!$A$2:$A$70,0)),""))</f>
        <v>Strengthen Backup / recovery</v>
      </c>
      <c r="CM36" t="str">
        <f>IF($CK36="","",IFERROR(INDEX(_REF_Industry_Wording!$G$2:$G$70,MATCH($CK36,_REF_Industry_Wording!$A$2:$A$70,0)),""))</f>
        <v>Strengthen Backup / recovery using the selected maturity treatment, crisis scenario and evidence requirements.</v>
      </c>
      <c r="CN36" t="str">
        <f>IF($CK36="","",IFERROR(INDEX(_REF_Industry_Wording!$H$2:$H$70,MATCH($CK36,_REF_Industry_Wording!$A$2:$A$70,0)),""))</f>
        <v>Backup / recovery</v>
      </c>
      <c r="CO36">
        <f>IF($CK36="","",IFERROR(INDEX(_REF_Industry_Wording!$I$2:$I$70,MATCH($CK36,_REF_Industry_Wording!$A$2:$A$70,0)),""))</f>
        <v>0</v>
      </c>
      <c r="CP36" t="str">
        <f>IF($CK36="","",IFERROR(INDEX(_REF_Industry_Wording!$J$2:$J$70,MATCH($CK36,_REF_Industry_Wording!$A$2:$A$70,0)),""))</f>
        <v>Backup / recovery</v>
      </c>
      <c r="CQ36" t="str">
        <f t="shared" si="20"/>
        <v>Wording by industry=0; capability=CAP_BACKUP_RECOVERY; title=Strengthen Backup / recovery</v>
      </c>
      <c r="CR36" t="str">
        <f t="shared" si="21"/>
        <v>INIT-ONT-0032</v>
      </c>
      <c r="CS36">
        <f t="shared" si="22"/>
        <v>36</v>
      </c>
      <c r="CT36" t="str">
        <f t="shared" si="23"/>
        <v>CAP_BACKUP_RECOVERY</v>
      </c>
      <c r="CU36" t="str">
        <f t="shared" si="24"/>
        <v>INI-032|Supply Chain|Supply chain design|CAP_BACKUP_RECOVERY</v>
      </c>
      <c r="CV36" t="str">
        <f t="shared" si="25"/>
        <v>Active</v>
      </c>
      <c r="CW36" t="str">
        <f t="shared" si="26"/>
        <v>OK: capability-driven</v>
      </c>
      <c r="CX36" t="str">
        <f t="shared" si="27"/>
        <v>Initiative ontology uses capability=CAP_BACKUP_RECOVERY; bridge=BRG-092; treatment=TRT-BACKUP_RECOVERY-INITIAL; wording=IW-ALL-BACKUP_RECOVERY</v>
      </c>
    </row>
    <row r="37" spans="1:102" ht="42" customHeight="1">
      <c r="A37" s="17" t="s">
        <v>4208</v>
      </c>
      <c r="B37" s="17" t="s">
        <v>1987</v>
      </c>
      <c r="C37" s="17" t="s">
        <v>1998</v>
      </c>
      <c r="D37" s="17" t="s">
        <v>4074</v>
      </c>
      <c r="E37" s="17" t="s">
        <v>4075</v>
      </c>
      <c r="F37" s="17" t="s">
        <v>4209</v>
      </c>
      <c r="G37" s="17" t="s">
        <v>4210</v>
      </c>
      <c r="H37" s="17" t="s">
        <v>3687</v>
      </c>
      <c r="I37" s="17" t="s">
        <v>4201</v>
      </c>
      <c r="J37" s="17" t="s">
        <v>4211</v>
      </c>
      <c r="K37" s="17">
        <v>6</v>
      </c>
      <c r="L37" s="17">
        <f>IF($A37="","",COUNTIFS(_DATA_RiskInitiativeMap!$A$444:$A$867,$A37,_DATA_RiskInitiativeMap!$G$444:$G$867,"&gt;0"))</f>
        <v>6</v>
      </c>
      <c r="M37" s="17">
        <f>IF($A37="","",COUNTIFS(_DATA_RiskInitiativeMap!$A$444:$A$867,$A37,_DATA_RiskInitiativeMap!$G$444:$G$867,"&gt;0"))</f>
        <v>6</v>
      </c>
      <c r="N37" s="17">
        <f>IFERROR(AVERAGEIFS(_DATA_Assessment_Model!$H$5:$H$428,_DATA_Assessment_Model!$AW$5:$AW$428,$B37,_DATA_Assessment_Model!$B$5:$B$428,$C37),"")</f>
        <v>0</v>
      </c>
      <c r="O37" s="17">
        <f t="shared" ref="O37:O68" si="28">IF($N37="","",MAX(0,5-$N37))</f>
        <v>5</v>
      </c>
      <c r="P37" s="17">
        <f>IFERROR(INDEX(_DATA_Dashboard_Facts!$H$5:$H$21,MATCH($B37,_DATA_Dashboard_Facts!$A$5:$A$21,0)),"")</f>
        <v>0</v>
      </c>
      <c r="Q37" s="17">
        <f t="shared" ref="Q37:Q68" si="29">IF($P37="","",MAX(0,5-$P37))</f>
        <v>5</v>
      </c>
      <c r="R37" s="17">
        <f>IF(OR('Resilience &amp; Risk Scenario'!$B$6="",'Resilience &amp; Risk Scenario'!$B$7&lt;=0),1,IFERROR(IF(SUMIFS(_ENGINE_Crisis!$D$5:$D$208,_ENGINE_Crisis!$A$5:$A$208,'Resilience &amp; Risk Scenario'!$B$6,_ENGINE_Crisis!$B$5:$B$208,$B37)=0,1,SUMIFS(_ENGINE_Crisis!$D$5:$D$208,_ENGINE_Crisis!$A$5:$A$208,'Resilience &amp; Risk Scenario'!$B$6,_ENGINE_Crisis!$B$5:$B$208,$B37)),1))</f>
        <v>1</v>
      </c>
      <c r="S37" s="17">
        <f>IFERROR(INDEX(_ENGINE_Strategy!$A$100:$A$113,MATCH($D37,_ENGINE_Strategy!$B$100:$B$113,0)),99)</f>
        <v>4</v>
      </c>
      <c r="T37" s="17">
        <f>IFERROR(INDEX(_ENGINE_Strategy!$J$100:$J$113,MATCH($D37,_ENGINE_Strategy!$B$100:$B$113,0)),0)</f>
        <v>69</v>
      </c>
      <c r="U37" s="17">
        <v>3</v>
      </c>
      <c r="V37" s="17">
        <v>5</v>
      </c>
      <c r="W37" s="17">
        <v>4</v>
      </c>
      <c r="X37" s="17">
        <f t="shared" ref="X37:X68" si="30">IF($P37="","",MAX(1,MIN(5,(N($O37)*0.5)+(N($Q37)*0.25)+((N($T37)/20)*0.25))))</f>
        <v>4.6124999999999998</v>
      </c>
      <c r="Y37" s="17">
        <f>IF($P37="","",MAX(1,MIN(5,1+N($O37)*0.45+MIN(2,N($M37)*0.3)+($R37-1)*1.2+IF('Resilience &amp; Risk Scenario'!$B$7="",1,'Resilience &amp; Risk Scenario'!$B$7)*0.25)))</f>
        <v>5</v>
      </c>
      <c r="Z37" s="17">
        <f t="shared" ref="Z37:Z68" si="31">IF($P37="","",MAX(1,MIN(5,(N($O37)*0.45)+(MIN(5,5*N($M37)/MAX(1,N($K37)))*0.35)+(N($V37)*0.2))))</f>
        <v>5</v>
      </c>
      <c r="AA37" s="17">
        <f t="shared" ref="AA37:AA68" si="32">IF($P37="","",MAX(1,MIN(5,($U37*0.4)+($W37*0.3)+(($T37/20)*0.3))))</f>
        <v>3.4350000000000005</v>
      </c>
      <c r="AB37" s="17">
        <v>3</v>
      </c>
      <c r="AC37" s="17">
        <f t="shared" ref="AC37:AC68" si="33">IF($A37="","",$BV37)</f>
        <v>1.68</v>
      </c>
      <c r="AD37" s="17">
        <f t="shared" ref="AD37:AD68" si="34">IF($A37="","",$BW37)</f>
        <v>46</v>
      </c>
      <c r="AE37" s="17" t="str">
        <f t="shared" ref="AE37:AE68" si="35">IF($A37="","",$BX37)</f>
        <v>6-12 months</v>
      </c>
      <c r="AF37" s="17" t="s">
        <v>4203</v>
      </c>
      <c r="AG37" s="17" t="s">
        <v>3963</v>
      </c>
      <c r="AH37" s="17" t="s">
        <v>4171</v>
      </c>
      <c r="AI37" s="17" t="s">
        <v>4204</v>
      </c>
      <c r="AJ37" s="17" t="s">
        <v>4212</v>
      </c>
      <c r="AK37" s="17" t="s">
        <v>4213</v>
      </c>
      <c r="AL37" s="17" t="s">
        <v>4214</v>
      </c>
      <c r="AM37" s="17" t="s">
        <v>4082</v>
      </c>
      <c r="AN37" s="17" t="s">
        <v>3937</v>
      </c>
      <c r="AO37" s="17" t="s">
        <v>3938</v>
      </c>
      <c r="AP37" s="17" t="s">
        <v>546</v>
      </c>
      <c r="AQ37" s="17"/>
      <c r="AR37" s="17"/>
      <c r="AS37" s="14">
        <f>IFERROR((IF(SUMIFS(_REF_Model_Content!$J$1:$J$157,_REF_Model_Content!$A$1:$A$174,PV_Canonical_Industry,_REF_Model_Content!$B$1:$B$174,$B37)=0,1,SUMIFS(_REF_Model_Content!$J$1:$J$157,_REF_Model_Content!$A$1:$A$174,PV_Canonical_Industry,_REF_Model_Content!$B$1:$B$174,$B37))*IFERROR($CA37,1)),1)</f>
        <v>1</v>
      </c>
      <c r="AT37" s="14">
        <f t="shared" ref="AT37:AT68" si="36">IF(OR($P37="",$AY37="Done",$AY37="Not applicable"),"",IF($AC37="","",ROUND(N($AC37)*N($AS37),2)))</f>
        <v>1.68</v>
      </c>
      <c r="AU37" s="14">
        <f>IF($AT37="","",RANK($AT37,$AT$5:$AT$76,0)+COUNTIF($AT$5:AT37,$AT37)-1)</f>
        <v>46</v>
      </c>
      <c r="AV37" s="14">
        <f>IFERROR(INDEX(_DATA_Dashboard_Facts!$G$300:$G$316,MATCH($B37,_DATA_Dashboard_Facts!$A$300:$A$316,0)),"")</f>
        <v>0</v>
      </c>
      <c r="AW37" s="14" t="str">
        <f t="shared" ref="AW37:AW68" si="37">IF($AS37=0,"Hard excluded by Relevance Engine",IF($AS37&gt;cfg_IndPriorityHigh,"Relevance/industry increases priority",IF($AS37&lt;cfg_IndPriorityLow,"Relevance/industry lowers priority","Relevance-neutral priority")))</f>
        <v>Relevance-neutral priority</v>
      </c>
      <c r="AX37">
        <f>IFERROR(INDEX('Action Plan &amp; Roadmap'!$D$59:$D$130,MATCH($A37,'Action Plan &amp; Roadmap'!$A$59:$A$130,0)),"")</f>
        <v>0</v>
      </c>
      <c r="AY37">
        <f t="shared" ref="AY37:AY68" si="38">IF($AX37&lt;&gt;"",$AX37,IF($AO37="","Not started",$AO37))</f>
        <v>0</v>
      </c>
      <c r="AZ37" t="s">
        <v>4083</v>
      </c>
      <c r="BA37">
        <f>IF($A37="","",COUNTIF(_DATA_RiskInitiativeMap!$A$1:$A$867,$A37))</f>
        <v>6</v>
      </c>
      <c r="BB37">
        <f>IF($A37="","",IFERROR(AVERAGEIF(_DATA_RiskInitiativeMap!$A$1:$A$867,$A37,_DATA_RiskInitiativeMap!$G$1:$G$867),0))</f>
        <v>8.75</v>
      </c>
      <c r="BC37">
        <f t="shared" ref="BC37:BC68" si="39">IF($A37="","",MAX(0,MIN(5,(N($O37)*0.5)+(N($V37)*0.3)+(N($W37)*0.2))))</f>
        <v>4.8</v>
      </c>
      <c r="BD37">
        <f t="shared" ref="BD37:BD68" si="40">IF($A37="","",MAX(1,MIN(5,(N($Z37)*0.45)+(MIN(5,N($BB37)/5)*0.35)+(N($BC37)*0.2))))</f>
        <v>3.8224999999999998</v>
      </c>
      <c r="BI37" s="17" t="str">
        <f>IFERROR(_CONFIG_Model_Settings!$B$103,"Adaptive")</f>
        <v>Fragile</v>
      </c>
      <c r="BJ37" s="17">
        <f>IFERROR(INDEX(_CONFIG_Model_Settings!$B$109:$B$113,MATCH($BI37,_CONFIG_Model_Settings!$A$109:$A$113,0)),0.3)</f>
        <v>0.2</v>
      </c>
      <c r="BK37" s="17">
        <f>IFERROR(INDEX(_CONFIG_Model_Settings!$C$109:$C$113,MATCH($BI37,_CONFIG_Model_Settings!$A$109:$A$113,0)),0.2)</f>
        <v>0.3</v>
      </c>
      <c r="BL37" s="17">
        <f>IFERROR(INDEX(_CONFIG_Model_Settings!$D$109:$D$113,MATCH($BI37,_CONFIG_Model_Settings!$A$109:$A$113,0)),0.25)</f>
        <v>0.4</v>
      </c>
      <c r="BM37" s="17">
        <f>IFERROR(INDEX(_CONFIG_Model_Settings!$E$109:$E$113,MATCH($BI37,_CONFIG_Model_Settings!$A$109:$A$113,0)),0.25)</f>
        <v>0.1</v>
      </c>
      <c r="BN37" s="17">
        <f>IFERROR(INDEX(_CONFIG_Model_Settings!$B$117:$B$123,MATCH(_CONFIG_Model_Settings!$B$104,_CONFIG_Model_Settings!$A$117:$A$123,0)),1)</f>
        <v>1</v>
      </c>
      <c r="BO37" s="17">
        <f>IFERROR(INDEX(_CONFIG_Model_Settings!$C$117:$C$123,MATCH(_CONFIG_Model_Settings!$B$104,_CONFIG_Model_Settings!$A$117:$A$123,0)),1)</f>
        <v>1</v>
      </c>
      <c r="BP37" s="17">
        <f>IFERROR(INDEX(_CONFIG_Model_Settings!$D$117:$D$123,MATCH(_CONFIG_Model_Settings!$B$104,_CONFIG_Model_Settings!$A$117:$A$123,0)),1)</f>
        <v>1</v>
      </c>
      <c r="BQ37" s="17">
        <f>IFERROR(INDEX(_CONFIG_Model_Settings!$E$117:$E$123,MATCH(_CONFIG_Model_Settings!$B$104,_CONFIG_Model_Settings!$A$117:$A$123,0)),1)</f>
        <v>1</v>
      </c>
      <c r="BR37" s="17">
        <f>IF(OR($A37="",$P37=""),"",MIN(5,IFERROR(SUMIF(_DATA_RiskInitiativeMap!$A$1:$A$867,$A37,_DATA_RiskInitiativeMap!$K$1:$K$867)/MAX(1,_CONFIG_Model_Settings!$B$166),0)))</f>
        <v>5</v>
      </c>
      <c r="BS37" s="17">
        <f t="shared" ref="BS37:BS68" si="41">IF(OR($A37="",$P37=""),"",ROUND((N($X37)*N($BJ37)*N($BN37)+N($Y37)*N($BK37)*N($BO37)+N($BD37)*N($BL37)*N($BP37)+N($AA37)*N($BM37)*N($BQ37)+N($BR37)*0.15),2))</f>
        <v>5.05</v>
      </c>
      <c r="BT37" s="17">
        <f t="shared" ref="BT37:BT68" si="42">IF($A37="","",MAX(1,N($AB37)))</f>
        <v>3</v>
      </c>
      <c r="BU37" s="17">
        <f t="shared" ref="BU37:BU68" si="43">IF(OR($P37="",$BS37="",$BT37=0),"",ROUND($BS37/$BT37,2))</f>
        <v>1.68</v>
      </c>
      <c r="BV37" s="17">
        <f>IF(OR($P37="",$BU37="",$AY37="Done",$AY37="Not applicable"),"",ROUND($BU37*N($AS37)*IF(OR('Resilience &amp; Risk Scenario'!$B$6="",'Resilience &amp; Risk Scenario'!$B$7&lt;=0),1,IFERROR(1+MIN(0.75,INDEX('Resilience &amp; Risk Scenario'!$E$21:$E$37,MATCH($B37,'Resilience &amp; Risk Scenario'!$B$21:$B$37,0))/10),1)),2))</f>
        <v>1.68</v>
      </c>
      <c r="BW37" s="17">
        <f>IF($BV37="","",RANK($BV37,$BV$5:$BV$76,0)+COUNTIF($BV$5:$BV37,$BV37)-1)</f>
        <v>46</v>
      </c>
      <c r="BX37" s="17" t="str">
        <f t="shared" ref="BX37:BX68" si="44">IF($BW37="","",IF($BW37&lt;=cfg_TimelineBucket1,"0-90 days",IF($BW37&lt;=cfg_TimelineBucket2,"3-6 months",IF($BW37&lt;=cfg_TimelineBucket3,"6-12 months","12+ months"))))</f>
        <v>6-12 months</v>
      </c>
      <c r="BY37" t="str">
        <f>IFERROR(IF($A37="","","P2: "&amp;$BI37&amp;" posture; objective="&amp;IF(_CONFIG_Model_Settings!$B$104="","Neutral/default",_CONFIG_Model_Settings!$B$104)&amp;"; relevance="&amp;ROUND(N($AS37),2)&amp;"; scenario/domain boost="&amp;ROUND(IF(OR('Resilience &amp; Risk Scenario'!$B$6="",'Resilience &amp; Risk Scenario'!$B$7&lt;=0),1,IFERROR(1+MIN(0.75,INDEX('Resilience &amp; Risk Scenario'!$E$21:$E$37,MATCH($B37,'Resilience &amp; Risk Scenario'!$B$21:$B$37,0))/10),1)),2)&amp;"; financial score="&amp;ROUND(N($BR37),1)&amp;"; CoD="&amp;$BS37&amp;IF($CL37&lt;&gt;"","; wording="&amp;$CL37,"")),"")</f>
        <v>P2: Fragile posture; objective=Neutral/default; relevance=1; scenario/domain boost=1; financial score=5; CoD=5.05; wording=Strengthen Warehouse / WMS</v>
      </c>
      <c r="BZ37" t="str">
        <f>IFERROR(INDEX(_REF_Capability_Bridge!$D:$D,MATCH($B37&amp;"|"&amp;$C37,_REF_Capability_Bridge!$J:$J,0)),IFERROR(INDEX(_REF_Capability_Bridge!$D:$D,MATCH($B37&amp;"|",_REF_Capability_Bridge!$J:$J,0)),"CAP_GENERIC"))</f>
        <v>CAP_WMS_WAREHOUSE</v>
      </c>
      <c r="CA37">
        <f>IFERROR(IFERROR(INDEX(_ENGINE_Relevance!$L:$L,MATCH($BZ37,_ENGINE_Relevance!$B:$B,0)),1),1)</f>
        <v>0.4</v>
      </c>
      <c r="CB37" t="str">
        <f>IFERROR(INDEX(_REF_Capability_Bridge!$A:$A,MATCH($B37&amp;"|"&amp;$C37,_REF_Capability_Bridge!$J:$J,0)),IFERROR(INDEX(_REF_Capability_Bridge!$A:$A,MATCH($B37&amp;"|",_REF_Capability_Bridge!$J:$J,0)),"No bridge"))</f>
        <v>BRG-090</v>
      </c>
      <c r="CC37" t="str">
        <f t="shared" ref="CC37:CC68" si="45">IF($CA37=0,"Hard-excluded at capability level",IF($CA37&gt;1,"Capability relevance increases priority",IF($CA37&lt;1,"Capability relevance lowers priority","Capability relevance neutral")))</f>
        <v>Capability relevance lowers priority</v>
      </c>
      <c r="CD37" t="str">
        <f t="shared" ref="CD37:CD68" si="46">IF($A37="","",IF(N($N37)&lt;1.5,"Initial / absent",IF(N($N37)&lt;2.5,"Basic",IF(N($N37)&lt;3.5,"Defined",IF(N($N37)&lt;4.3,"Managed","Optimized")))))</f>
        <v>Initial / absent</v>
      </c>
      <c r="CE37" t="str">
        <f>IF($A37="","",IFERROR(INDEX(_REF_Treatment_Library!$A$2:$A$296,MATCH(1,INDEX((_REF_Treatment_Library!$B$2:$B$296=$BZ37)*(_REF_Treatment_Library!$C$2:$C$296=PV_Canonical_Industry)*(_REF_Treatment_Library!$E$2:$E$296&lt;=N($N37))*(_REF_Treatment_Library!$F$2:$F$296&gt;=N($N37))*(_REF_Treatment_Library!$O$2:$O$296="Yes"),0),0)),IFERROR(INDEX(_REF_Treatment_Library!$A$2:$A$296,MATCH(1,INDEX((_REF_Treatment_Library!$B$2:$B$296=$BZ37)*(_REF_Treatment_Library!$C$2:$C$296="All")*(_REF_Treatment_Library!$E$2:$E$296&lt;=N($N37))*(_REF_Treatment_Library!$F$2:$F$296&gt;=N($N37))*(_REF_Treatment_Library!$O$2:$O$296="Yes"),0),0)),"")))</f>
        <v>TRT-WMS_WAREHOUSE-INITIAL</v>
      </c>
      <c r="CF37" t="str">
        <f>IF($CE37="","",IFERROR(INDEX(_REF_Treatment_Library!$H$2:$H$296,MATCH($CE37,_REF_Treatment_Library!$A$2:$A$296,0)),""))</f>
        <v>Establish</v>
      </c>
      <c r="CG37" t="str">
        <f>IF($CE37="","",IFERROR(INDEX(_REF_Treatment_Library!$I$2:$I$296,MATCH($CE37,_REF_Treatment_Library!$A$2:$A$296,0)),""))</f>
        <v>Establish baseline controls for Warehouse / WMS</v>
      </c>
      <c r="CH37" t="str">
        <f>IF($CE37="","",IFERROR(INDEX(_REF_Treatment_Library!$K$2:$K$296,MATCH($CE37,_REF_Treatment_Library!$A$2:$A$296,0)),""))</f>
        <v>Named owner, baseline process, minimum control checklist, first evidence package</v>
      </c>
      <c r="CI37" t="str">
        <f>IF($CE37="","",IFERROR(INDEX(_REF_Treatment_Library!$L$2:$L$296,MATCH($CE37,_REF_Treatment_Library!$A$2:$A$296,0)),""))</f>
        <v>Owner assigned; baseline evidence coverage; open critical gaps</v>
      </c>
      <c r="CJ37" t="str">
        <f t="shared" ref="CJ37:CJ68" si="47">IF($A37="","","Treatment by capability="&amp;$BZ37&amp;"; band="&amp;$CD37&amp;"; score="&amp;TEXT(N($N37),"0.0")&amp;"; treatment="&amp;$CF37)</f>
        <v>Treatment by capability=CAP_WMS_WAREHOUSE; band=Initial / absent; score=0.0; treatment=Establish</v>
      </c>
      <c r="CK37" t="str">
        <f>IF($A37="","",IFERROR(INDEX(_REF_Industry_Wording!$A$2:$A$70,MATCH(1,INDEX((_REF_Industry_Wording!$B$2:$B$70=$BZ37)*(_REF_Industry_Wording!$C$2:$C$70=PV_Canonical_Industry)*(_REF_Industry_Wording!$K$2:$K$70="Yes"),0),0)),IFERROR(INDEX(_REF_Industry_Wording!$A$2:$A$70,MATCH(1,INDEX((_REF_Industry_Wording!$B$2:$B$70=$BZ37)*(_REF_Industry_Wording!$C$2:$C$70="All")*(_REF_Industry_Wording!$K$2:$K$70="Yes"),0),0)),"")))</f>
        <v>IW-ALL-WMS_WAREHOUSE</v>
      </c>
      <c r="CL37" t="str">
        <f>IF($CK37="","",IFERROR(INDEX(_REF_Industry_Wording!$F$2:$F$70,MATCH($CK37,_REF_Industry_Wording!$A$2:$A$70,0)),""))</f>
        <v>Strengthen Warehouse / WMS</v>
      </c>
      <c r="CM37" t="str">
        <f>IF($CK37="","",IFERROR(INDEX(_REF_Industry_Wording!$G$2:$G$70,MATCH($CK37,_REF_Industry_Wording!$A$2:$A$70,0)),""))</f>
        <v>Strengthen Warehouse / WMS using the selected maturity treatment, crisis scenario and evidence requirements.</v>
      </c>
      <c r="CN37" t="str">
        <f>IF($CK37="","",IFERROR(INDEX(_REF_Industry_Wording!$H$2:$H$70,MATCH($CK37,_REF_Industry_Wording!$A$2:$A$70,0)),""))</f>
        <v>Warehouse / WMS</v>
      </c>
      <c r="CO37">
        <f>IF($CK37="","",IFERROR(INDEX(_REF_Industry_Wording!$I$2:$I$70,MATCH($CK37,_REF_Industry_Wording!$A$2:$A$70,0)),""))</f>
        <v>0</v>
      </c>
      <c r="CP37" t="str">
        <f>IF($CK37="","",IFERROR(INDEX(_REF_Industry_Wording!$J$2:$J$70,MATCH($CK37,_REF_Industry_Wording!$A$2:$A$70,0)),""))</f>
        <v>Warehouse / WMS</v>
      </c>
      <c r="CQ37" t="str">
        <f t="shared" ref="CQ37:CQ68" si="48">IF($A37="","","Wording by industry="&amp;PV_Canonical_Industry&amp;"; capability="&amp;$BZ37&amp;"; title="&amp;$CL37)</f>
        <v>Wording by industry=0; capability=CAP_WMS_WAREHOUSE; title=Strengthen Warehouse / WMS</v>
      </c>
      <c r="CR37" t="str">
        <f t="shared" ref="CR37:CR68" si="49">IF($A37="","","INIT-ONT-"&amp;TEXT(ROW()-4,"0000"))</f>
        <v>INIT-ONT-0033</v>
      </c>
      <c r="CS37">
        <f t="shared" ref="CS37:CS68" si="50">IF($A37="","",ROW())</f>
        <v>37</v>
      </c>
      <c r="CT37" t="str">
        <f t="shared" ref="CT37:CT68" si="51">IF($A37="","",$BZ37)</f>
        <v>CAP_WMS_WAREHOUSE</v>
      </c>
      <c r="CU37" t="str">
        <f t="shared" ref="CU37:CU68" si="52">IF($A37="","",$A37&amp;"|"&amp;$B37&amp;"|"&amp;$C37&amp;"|"&amp;$BZ37)</f>
        <v>INI-033|Supply Chain|Logistics|CAP_WMS_WAREHOUSE</v>
      </c>
      <c r="CV37" t="str">
        <f t="shared" ref="CV37:CV68" si="53">IF($A37="","",IF(OR($BZ37="",$BZ37="CAP_GENERIC"),"CHECK","Active"))</f>
        <v>Active</v>
      </c>
      <c r="CW37" t="str">
        <f t="shared" ref="CW37:CW68" si="54">IF($A37="","",IF($BZ37="CAP_GENERIC","CHECK: generic capability fallback","OK: capability-driven"))</f>
        <v>OK: capability-driven</v>
      </c>
      <c r="CX37" t="str">
        <f t="shared" ref="CX37:CX68" si="55">IF($A37="","","Initiative ontology uses capability="&amp;$BZ37&amp;"; bridge="&amp;$CB37&amp;"; treatment="&amp;$CE37&amp;"; wording="&amp;$CK37)</f>
        <v>Initiative ontology uses capability=CAP_WMS_WAREHOUSE; bridge=BRG-090; treatment=TRT-WMS_WAREHOUSE-INITIAL; wording=IW-ALL-WMS_WAREHOUSE</v>
      </c>
    </row>
    <row r="38" spans="1:102" ht="42" customHeight="1">
      <c r="A38" s="17" t="s">
        <v>4215</v>
      </c>
      <c r="B38" s="17" t="s">
        <v>1987</v>
      </c>
      <c r="C38" s="17" t="s">
        <v>2002</v>
      </c>
      <c r="D38" s="17" t="s">
        <v>4074</v>
      </c>
      <c r="E38" s="17" t="s">
        <v>4075</v>
      </c>
      <c r="F38" s="17" t="s">
        <v>4216</v>
      </c>
      <c r="G38" s="17" t="s">
        <v>4217</v>
      </c>
      <c r="H38" s="17" t="s">
        <v>3687</v>
      </c>
      <c r="I38" s="17" t="s">
        <v>4201</v>
      </c>
      <c r="J38" s="17" t="s">
        <v>4218</v>
      </c>
      <c r="K38" s="17">
        <v>11</v>
      </c>
      <c r="L38" s="17">
        <f>IF($A38="","",COUNTIFS(_DATA_RiskInitiativeMap!$A$444:$A$867,$A38,_DATA_RiskInitiativeMap!$G$444:$G$867,"&gt;0"))</f>
        <v>11</v>
      </c>
      <c r="M38" s="17">
        <f>IF($A38="","",COUNTIFS(_DATA_RiskInitiativeMap!$A$444:$A$867,$A38,_DATA_RiskInitiativeMap!$G$444:$G$867,"&gt;0"))</f>
        <v>11</v>
      </c>
      <c r="N38" s="17">
        <f>IFERROR(AVERAGEIFS(_DATA_Assessment_Model!$H$5:$H$428,_DATA_Assessment_Model!$AW$5:$AW$428,$B38,_DATA_Assessment_Model!$B$5:$B$428,$C38),"")</f>
        <v>0</v>
      </c>
      <c r="O38" s="17">
        <f t="shared" si="28"/>
        <v>5</v>
      </c>
      <c r="P38" s="17">
        <f>IFERROR(INDEX(_DATA_Dashboard_Facts!$H$5:$H$21,MATCH($B38,_DATA_Dashboard_Facts!$A$5:$A$21,0)),"")</f>
        <v>0</v>
      </c>
      <c r="Q38" s="17">
        <f t="shared" si="29"/>
        <v>5</v>
      </c>
      <c r="R38" s="17">
        <f>IF(OR('Resilience &amp; Risk Scenario'!$B$6="",'Resilience &amp; Risk Scenario'!$B$7&lt;=0),1,IFERROR(IF(SUMIFS(_ENGINE_Crisis!$D$5:$D$208,_ENGINE_Crisis!$A$5:$A$208,'Resilience &amp; Risk Scenario'!$B$6,_ENGINE_Crisis!$B$5:$B$208,$B38)=0,1,SUMIFS(_ENGINE_Crisis!$D$5:$D$208,_ENGINE_Crisis!$A$5:$A$208,'Resilience &amp; Risk Scenario'!$B$6,_ENGINE_Crisis!$B$5:$B$208,$B38)),1))</f>
        <v>1</v>
      </c>
      <c r="S38" s="17">
        <f>IFERROR(INDEX(_ENGINE_Strategy!$A$100:$A$113,MATCH($D38,_ENGINE_Strategy!$B$100:$B$113,0)),99)</f>
        <v>4</v>
      </c>
      <c r="T38" s="17">
        <f>IFERROR(INDEX(_ENGINE_Strategy!$J$100:$J$113,MATCH($D38,_ENGINE_Strategy!$B$100:$B$113,0)),0)</f>
        <v>69</v>
      </c>
      <c r="U38" s="17">
        <v>3</v>
      </c>
      <c r="V38" s="17">
        <v>5</v>
      </c>
      <c r="W38" s="17">
        <v>4</v>
      </c>
      <c r="X38" s="17">
        <f t="shared" si="30"/>
        <v>4.6124999999999998</v>
      </c>
      <c r="Y38" s="17">
        <f>IF($P38="","",MAX(1,MIN(5,1+N($O38)*0.45+MIN(2,N($M38)*0.3)+($R38-1)*1.2+IF('Resilience &amp; Risk Scenario'!$B$7="",1,'Resilience &amp; Risk Scenario'!$B$7)*0.25)))</f>
        <v>5</v>
      </c>
      <c r="Z38" s="17">
        <f t="shared" si="31"/>
        <v>5</v>
      </c>
      <c r="AA38" s="17">
        <f t="shared" si="32"/>
        <v>3.4350000000000005</v>
      </c>
      <c r="AB38" s="17">
        <v>3</v>
      </c>
      <c r="AC38" s="17">
        <f t="shared" si="33"/>
        <v>1.79</v>
      </c>
      <c r="AD38" s="17">
        <f t="shared" si="34"/>
        <v>25</v>
      </c>
      <c r="AE38" s="17" t="str">
        <f t="shared" si="35"/>
        <v>3-6 months</v>
      </c>
      <c r="AF38" s="17" t="s">
        <v>4203</v>
      </c>
      <c r="AG38" s="17" t="s">
        <v>3963</v>
      </c>
      <c r="AH38" s="17" t="s">
        <v>4171</v>
      </c>
      <c r="AI38" s="17" t="s">
        <v>4204</v>
      </c>
      <c r="AJ38" s="17" t="s">
        <v>4219</v>
      </c>
      <c r="AK38" s="17" t="s">
        <v>4220</v>
      </c>
      <c r="AL38" s="17" t="s">
        <v>4221</v>
      </c>
      <c r="AM38" s="17" t="s">
        <v>4082</v>
      </c>
      <c r="AN38" s="17" t="s">
        <v>3937</v>
      </c>
      <c r="AO38" s="17" t="s">
        <v>3938</v>
      </c>
      <c r="AP38" s="17" t="s">
        <v>546</v>
      </c>
      <c r="AQ38" s="17"/>
      <c r="AR38" s="17"/>
      <c r="AS38" s="14">
        <f>IFERROR((IF(SUMIFS(_REF_Model_Content!$J$1:$J$157,_REF_Model_Content!$A$1:$A$174,PV_Canonical_Industry,_REF_Model_Content!$B$1:$B$174,$B38)=0,1,SUMIFS(_REF_Model_Content!$J$1:$J$157,_REF_Model_Content!$A$1:$A$174,PV_Canonical_Industry,_REF_Model_Content!$B$1:$B$174,$B38))*IFERROR($CA38,1)),1)</f>
        <v>1</v>
      </c>
      <c r="AT38" s="14">
        <f t="shared" si="36"/>
        <v>1.79</v>
      </c>
      <c r="AU38" s="14">
        <f>IF($AT38="","",RANK($AT38,$AT$5:$AT$76,0)+COUNTIF($AT$5:AT38,$AT38)-1)</f>
        <v>25</v>
      </c>
      <c r="AV38" s="14">
        <f>IFERROR(INDEX(_DATA_Dashboard_Facts!$G$300:$G$316,MATCH($B38,_DATA_Dashboard_Facts!$A$300:$A$316,0)),"")</f>
        <v>0</v>
      </c>
      <c r="AW38" s="14" t="str">
        <f t="shared" si="37"/>
        <v>Relevance-neutral priority</v>
      </c>
      <c r="AX38">
        <f>IFERROR(INDEX('Action Plan &amp; Roadmap'!$D$59:$D$130,MATCH($A38,'Action Plan &amp; Roadmap'!$A$59:$A$130,0)),"")</f>
        <v>0</v>
      </c>
      <c r="AY38">
        <f t="shared" si="38"/>
        <v>0</v>
      </c>
      <c r="AZ38" t="s">
        <v>4083</v>
      </c>
      <c r="BA38">
        <f>IF($A38="","",COUNTIF(_DATA_RiskInitiativeMap!$A$1:$A$867,$A38))</f>
        <v>11</v>
      </c>
      <c r="BB38">
        <f>IF($A38="","",IFERROR(AVERAGEIF(_DATA_RiskInitiativeMap!$A$1:$A$867,$A38,_DATA_RiskInitiativeMap!$G$1:$G$867),0))</f>
        <v>20.194545454545452</v>
      </c>
      <c r="BC38">
        <f t="shared" si="39"/>
        <v>4.8</v>
      </c>
      <c r="BD38">
        <f t="shared" si="40"/>
        <v>4.6236181818181814</v>
      </c>
      <c r="BI38" s="17" t="str">
        <f>IFERROR(_CONFIG_Model_Settings!$B$103,"Adaptive")</f>
        <v>Fragile</v>
      </c>
      <c r="BJ38" s="17">
        <f>IFERROR(INDEX(_CONFIG_Model_Settings!$B$109:$B$113,MATCH($BI38,_CONFIG_Model_Settings!$A$109:$A$113,0)),0.3)</f>
        <v>0.2</v>
      </c>
      <c r="BK38" s="17">
        <f>IFERROR(INDEX(_CONFIG_Model_Settings!$C$109:$C$113,MATCH($BI38,_CONFIG_Model_Settings!$A$109:$A$113,0)),0.2)</f>
        <v>0.3</v>
      </c>
      <c r="BL38" s="17">
        <f>IFERROR(INDEX(_CONFIG_Model_Settings!$D$109:$D$113,MATCH($BI38,_CONFIG_Model_Settings!$A$109:$A$113,0)),0.25)</f>
        <v>0.4</v>
      </c>
      <c r="BM38" s="17">
        <f>IFERROR(INDEX(_CONFIG_Model_Settings!$E$109:$E$113,MATCH($BI38,_CONFIG_Model_Settings!$A$109:$A$113,0)),0.25)</f>
        <v>0.1</v>
      </c>
      <c r="BN38" s="17">
        <f>IFERROR(INDEX(_CONFIG_Model_Settings!$B$117:$B$123,MATCH(_CONFIG_Model_Settings!$B$104,_CONFIG_Model_Settings!$A$117:$A$123,0)),1)</f>
        <v>1</v>
      </c>
      <c r="BO38" s="17">
        <f>IFERROR(INDEX(_CONFIG_Model_Settings!$C$117:$C$123,MATCH(_CONFIG_Model_Settings!$B$104,_CONFIG_Model_Settings!$A$117:$A$123,0)),1)</f>
        <v>1</v>
      </c>
      <c r="BP38" s="17">
        <f>IFERROR(INDEX(_CONFIG_Model_Settings!$D$117:$D$123,MATCH(_CONFIG_Model_Settings!$B$104,_CONFIG_Model_Settings!$A$117:$A$123,0)),1)</f>
        <v>1</v>
      </c>
      <c r="BQ38" s="17">
        <f>IFERROR(INDEX(_CONFIG_Model_Settings!$E$117:$E$123,MATCH(_CONFIG_Model_Settings!$B$104,_CONFIG_Model_Settings!$A$117:$A$123,0)),1)</f>
        <v>1</v>
      </c>
      <c r="BR38" s="17">
        <f>IF(OR($A38="",$P38=""),"",MIN(5,IFERROR(SUMIF(_DATA_RiskInitiativeMap!$A$1:$A$867,$A38,_DATA_RiskInitiativeMap!$K$1:$K$867)/MAX(1,_CONFIG_Model_Settings!$B$166),0)))</f>
        <v>5</v>
      </c>
      <c r="BS38" s="17">
        <f t="shared" si="41"/>
        <v>5.37</v>
      </c>
      <c r="BT38" s="17">
        <f t="shared" si="42"/>
        <v>3</v>
      </c>
      <c r="BU38" s="17">
        <f t="shared" si="43"/>
        <v>1.79</v>
      </c>
      <c r="BV38" s="17">
        <f>IF(OR($P38="",$BU38="",$AY38="Done",$AY38="Not applicable"),"",ROUND($BU38*N($AS38)*IF(OR('Resilience &amp; Risk Scenario'!$B$6="",'Resilience &amp; Risk Scenario'!$B$7&lt;=0),1,IFERROR(1+MIN(0.75,INDEX('Resilience &amp; Risk Scenario'!$E$21:$E$37,MATCH($B38,'Resilience &amp; Risk Scenario'!$B$21:$B$37,0))/10),1)),2))</f>
        <v>1.79</v>
      </c>
      <c r="BW38" s="17">
        <f>IF($BV38="","",RANK($BV38,$BV$5:$BV$76,0)+COUNTIF($BV$5:$BV38,$BV38)-1)</f>
        <v>25</v>
      </c>
      <c r="BX38" s="17" t="str">
        <f t="shared" si="44"/>
        <v>3-6 months</v>
      </c>
      <c r="BY38" t="str">
        <f>IFERROR(IF($A38="","","P2: "&amp;$BI38&amp;" posture; objective="&amp;IF(_CONFIG_Model_Settings!$B$104="","Neutral/default",_CONFIG_Model_Settings!$B$104)&amp;"; relevance="&amp;ROUND(N($AS38),2)&amp;"; scenario/domain boost="&amp;ROUND(IF(OR('Resilience &amp; Risk Scenario'!$B$6="",'Resilience &amp; Risk Scenario'!$B$7&lt;=0),1,IFERROR(1+MIN(0.75,INDEX('Resilience &amp; Risk Scenario'!$E$21:$E$37,MATCH($B38,'Resilience &amp; Risk Scenario'!$B$21:$B$37,0))/10),1)),2)&amp;"; financial score="&amp;ROUND(N($BR38),1)&amp;"; CoD="&amp;$BS38&amp;IF($CL38&lt;&gt;"","; wording="&amp;$CL38,"")),"")</f>
        <v>P2: Fragile posture; objective=Neutral/default; relevance=1; scenario/domain boost=1; financial score=5; CoD=5.37; wording=Strengthen Inventory planning</v>
      </c>
      <c r="BZ38" t="str">
        <f>IFERROR(INDEX(_REF_Capability_Bridge!$D:$D,MATCH($B38&amp;"|"&amp;$C38,_REF_Capability_Bridge!$J:$J,0)),IFERROR(INDEX(_REF_Capability_Bridge!$D:$D,MATCH($B38&amp;"|",_REF_Capability_Bridge!$J:$J,0)),"CAP_GENERIC"))</f>
        <v>CAP_INVENTORY_PLANNING</v>
      </c>
      <c r="CA38">
        <f>IFERROR(IFERROR(INDEX(_ENGINE_Relevance!$L:$L,MATCH($BZ38,_ENGINE_Relevance!$B:$B,0)),1),1)</f>
        <v>1</v>
      </c>
      <c r="CB38" t="str">
        <f>IFERROR(INDEX(_REF_Capability_Bridge!$A:$A,MATCH($B38&amp;"|"&amp;$C38,_REF_Capability_Bridge!$J:$J,0)),IFERROR(INDEX(_REF_Capability_Bridge!$A:$A,MATCH($B38&amp;"|",_REF_Capability_Bridge!$J:$J,0)),"No bridge"))</f>
        <v>BRG-089</v>
      </c>
      <c r="CC38" t="str">
        <f t="shared" si="45"/>
        <v>Capability relevance neutral</v>
      </c>
      <c r="CD38" t="str">
        <f t="shared" si="46"/>
        <v>Initial / absent</v>
      </c>
      <c r="CE38" t="str">
        <f>IF($A38="","",IFERROR(INDEX(_REF_Treatment_Library!$A$2:$A$296,MATCH(1,INDEX((_REF_Treatment_Library!$B$2:$B$296=$BZ38)*(_REF_Treatment_Library!$C$2:$C$296=PV_Canonical_Industry)*(_REF_Treatment_Library!$E$2:$E$296&lt;=N($N38))*(_REF_Treatment_Library!$F$2:$F$296&gt;=N($N38))*(_REF_Treatment_Library!$O$2:$O$296="Yes"),0),0)),IFERROR(INDEX(_REF_Treatment_Library!$A$2:$A$296,MATCH(1,INDEX((_REF_Treatment_Library!$B$2:$B$296=$BZ38)*(_REF_Treatment_Library!$C$2:$C$296="All")*(_REF_Treatment_Library!$E$2:$E$296&lt;=N($N38))*(_REF_Treatment_Library!$F$2:$F$296&gt;=N($N38))*(_REF_Treatment_Library!$O$2:$O$296="Yes"),0),0)),"")))</f>
        <v>TRT-INVENTORY_PLANNING-INITIAL</v>
      </c>
      <c r="CF38" t="str">
        <f>IF($CE38="","",IFERROR(INDEX(_REF_Treatment_Library!$H$2:$H$296,MATCH($CE38,_REF_Treatment_Library!$A$2:$A$296,0)),""))</f>
        <v>Establish</v>
      </c>
      <c r="CG38" t="str">
        <f>IF($CE38="","",IFERROR(INDEX(_REF_Treatment_Library!$I$2:$I$296,MATCH($CE38,_REF_Treatment_Library!$A$2:$A$296,0)),""))</f>
        <v>Establish baseline controls for Inventory planning</v>
      </c>
      <c r="CH38" t="str">
        <f>IF($CE38="","",IFERROR(INDEX(_REF_Treatment_Library!$K$2:$K$296,MATCH($CE38,_REF_Treatment_Library!$A$2:$A$296,0)),""))</f>
        <v>Named owner, baseline process, minimum control checklist, first evidence package</v>
      </c>
      <c r="CI38" t="str">
        <f>IF($CE38="","",IFERROR(INDEX(_REF_Treatment_Library!$L$2:$L$296,MATCH($CE38,_REF_Treatment_Library!$A$2:$A$296,0)),""))</f>
        <v>Owner assigned; baseline evidence coverage; open critical gaps</v>
      </c>
      <c r="CJ38" t="str">
        <f t="shared" si="47"/>
        <v>Treatment by capability=CAP_INVENTORY_PLANNING; band=Initial / absent; score=0.0; treatment=Establish</v>
      </c>
      <c r="CK38" t="str">
        <f>IF($A38="","",IFERROR(INDEX(_REF_Industry_Wording!$A$2:$A$70,MATCH(1,INDEX((_REF_Industry_Wording!$B$2:$B$70=$BZ38)*(_REF_Industry_Wording!$C$2:$C$70=PV_Canonical_Industry)*(_REF_Industry_Wording!$K$2:$K$70="Yes"),0),0)),IFERROR(INDEX(_REF_Industry_Wording!$A$2:$A$70,MATCH(1,INDEX((_REF_Industry_Wording!$B$2:$B$70=$BZ38)*(_REF_Industry_Wording!$C$2:$C$70="All")*(_REF_Industry_Wording!$K$2:$K$70="Yes"),0),0)),"")))</f>
        <v>IW-ALL-INVENTORY_PLANNING</v>
      </c>
      <c r="CL38" t="str">
        <f>IF($CK38="","",IFERROR(INDEX(_REF_Industry_Wording!$F$2:$F$70,MATCH($CK38,_REF_Industry_Wording!$A$2:$A$70,0)),""))</f>
        <v>Strengthen Inventory planning</v>
      </c>
      <c r="CM38" t="str">
        <f>IF($CK38="","",IFERROR(INDEX(_REF_Industry_Wording!$G$2:$G$70,MATCH($CK38,_REF_Industry_Wording!$A$2:$A$70,0)),""))</f>
        <v>Strengthen Inventory planning using the selected maturity treatment, crisis scenario and evidence requirements.</v>
      </c>
      <c r="CN38" t="str">
        <f>IF($CK38="","",IFERROR(INDEX(_REF_Industry_Wording!$H$2:$H$70,MATCH($CK38,_REF_Industry_Wording!$A$2:$A$70,0)),""))</f>
        <v>Inventory planning</v>
      </c>
      <c r="CO38">
        <f>IF($CK38="","",IFERROR(INDEX(_REF_Industry_Wording!$I$2:$I$70,MATCH($CK38,_REF_Industry_Wording!$A$2:$A$70,0)),""))</f>
        <v>0</v>
      </c>
      <c r="CP38" t="str">
        <f>IF($CK38="","",IFERROR(INDEX(_REF_Industry_Wording!$J$2:$J$70,MATCH($CK38,_REF_Industry_Wording!$A$2:$A$70,0)),""))</f>
        <v>Inventory planning</v>
      </c>
      <c r="CQ38" t="str">
        <f t="shared" si="48"/>
        <v>Wording by industry=0; capability=CAP_INVENTORY_PLANNING; title=Strengthen Inventory planning</v>
      </c>
      <c r="CR38" t="str">
        <f t="shared" si="49"/>
        <v>INIT-ONT-0034</v>
      </c>
      <c r="CS38">
        <f t="shared" si="50"/>
        <v>38</v>
      </c>
      <c r="CT38" t="str">
        <f t="shared" si="51"/>
        <v>CAP_INVENTORY_PLANNING</v>
      </c>
      <c r="CU38" t="str">
        <f t="shared" si="52"/>
        <v>INI-034|Supply Chain|Inventory and planning|CAP_INVENTORY_PLANNING</v>
      </c>
      <c r="CV38" t="str">
        <f t="shared" si="53"/>
        <v>Active</v>
      </c>
      <c r="CW38" t="str">
        <f t="shared" si="54"/>
        <v>OK: capability-driven</v>
      </c>
      <c r="CX38" t="str">
        <f t="shared" si="55"/>
        <v>Initiative ontology uses capability=CAP_INVENTORY_PLANNING; bridge=BRG-089; treatment=TRT-INVENTORY_PLANNING-INITIAL; wording=IW-ALL-INVENTORY_PLANNING</v>
      </c>
    </row>
    <row r="39" spans="1:102" ht="42" customHeight="1">
      <c r="A39" s="17" t="s">
        <v>4222</v>
      </c>
      <c r="B39" s="17" t="s">
        <v>1987</v>
      </c>
      <c r="C39" s="17" t="s">
        <v>2006</v>
      </c>
      <c r="D39" s="17" t="s">
        <v>4074</v>
      </c>
      <c r="E39" s="17" t="s">
        <v>4075</v>
      </c>
      <c r="F39" s="17" t="s">
        <v>4223</v>
      </c>
      <c r="G39" s="17" t="s">
        <v>4224</v>
      </c>
      <c r="H39" s="17" t="s">
        <v>3687</v>
      </c>
      <c r="I39" s="17" t="s">
        <v>4201</v>
      </c>
      <c r="J39" s="17" t="s">
        <v>4225</v>
      </c>
      <c r="K39" s="17">
        <v>6</v>
      </c>
      <c r="L39" s="17">
        <f>IF($A39="","",COUNTIFS(_DATA_RiskInitiativeMap!$A$444:$A$867,$A39,_DATA_RiskInitiativeMap!$G$444:$G$867,"&gt;0"))</f>
        <v>6</v>
      </c>
      <c r="M39" s="17">
        <f>IF($A39="","",COUNTIFS(_DATA_RiskInitiativeMap!$A$444:$A$867,$A39,_DATA_RiskInitiativeMap!$G$444:$G$867,"&gt;0"))</f>
        <v>6</v>
      </c>
      <c r="N39" s="17">
        <f>IFERROR(AVERAGEIFS(_DATA_Assessment_Model!$H$5:$H$428,_DATA_Assessment_Model!$AW$5:$AW$428,$B39,_DATA_Assessment_Model!$B$5:$B$428,$C39),"")</f>
        <v>0</v>
      </c>
      <c r="O39" s="17">
        <f t="shared" si="28"/>
        <v>5</v>
      </c>
      <c r="P39" s="17">
        <f>IFERROR(INDEX(_DATA_Dashboard_Facts!$H$5:$H$21,MATCH($B39,_DATA_Dashboard_Facts!$A$5:$A$21,0)),"")</f>
        <v>0</v>
      </c>
      <c r="Q39" s="17">
        <f t="shared" si="29"/>
        <v>5</v>
      </c>
      <c r="R39" s="17">
        <f>IF(OR('Resilience &amp; Risk Scenario'!$B$6="",'Resilience &amp; Risk Scenario'!$B$7&lt;=0),1,IFERROR(IF(SUMIFS(_ENGINE_Crisis!$D$5:$D$208,_ENGINE_Crisis!$A$5:$A$208,'Resilience &amp; Risk Scenario'!$B$6,_ENGINE_Crisis!$B$5:$B$208,$B39)=0,1,SUMIFS(_ENGINE_Crisis!$D$5:$D$208,_ENGINE_Crisis!$A$5:$A$208,'Resilience &amp; Risk Scenario'!$B$6,_ENGINE_Crisis!$B$5:$B$208,$B39)),1))</f>
        <v>1</v>
      </c>
      <c r="S39" s="17">
        <f>IFERROR(INDEX(_ENGINE_Strategy!$A$100:$A$113,MATCH($D39,_ENGINE_Strategy!$B$100:$B$113,0)),99)</f>
        <v>4</v>
      </c>
      <c r="T39" s="17">
        <f>IFERROR(INDEX(_ENGINE_Strategy!$J$100:$J$113,MATCH($D39,_ENGINE_Strategy!$B$100:$B$113,0)),0)</f>
        <v>69</v>
      </c>
      <c r="U39" s="17">
        <v>3</v>
      </c>
      <c r="V39" s="17">
        <v>5</v>
      </c>
      <c r="W39" s="17">
        <v>4</v>
      </c>
      <c r="X39" s="17">
        <f t="shared" si="30"/>
        <v>4.6124999999999998</v>
      </c>
      <c r="Y39" s="17">
        <f>IF($P39="","",MAX(1,MIN(5,1+N($O39)*0.45+MIN(2,N($M39)*0.3)+($R39-1)*1.2+IF('Resilience &amp; Risk Scenario'!$B$7="",1,'Resilience &amp; Risk Scenario'!$B$7)*0.25)))</f>
        <v>5</v>
      </c>
      <c r="Z39" s="17">
        <f t="shared" si="31"/>
        <v>5</v>
      </c>
      <c r="AA39" s="17">
        <f t="shared" si="32"/>
        <v>3.4350000000000005</v>
      </c>
      <c r="AB39" s="17">
        <v>3</v>
      </c>
      <c r="AC39" s="17">
        <f t="shared" si="33"/>
        <v>1.81</v>
      </c>
      <c r="AD39" s="17">
        <f t="shared" si="34"/>
        <v>19</v>
      </c>
      <c r="AE39" s="17" t="str">
        <f t="shared" si="35"/>
        <v>3-6 months</v>
      </c>
      <c r="AF39" s="17" t="s">
        <v>4203</v>
      </c>
      <c r="AG39" s="17" t="s">
        <v>3963</v>
      </c>
      <c r="AH39" s="17" t="s">
        <v>4171</v>
      </c>
      <c r="AI39" s="17" t="s">
        <v>4204</v>
      </c>
      <c r="AJ39" s="17" t="s">
        <v>4226</v>
      </c>
      <c r="AK39" s="17" t="s">
        <v>4227</v>
      </c>
      <c r="AL39" s="17" t="s">
        <v>4228</v>
      </c>
      <c r="AM39" s="17" t="s">
        <v>4082</v>
      </c>
      <c r="AN39" s="17" t="s">
        <v>3937</v>
      </c>
      <c r="AO39" s="17" t="s">
        <v>3938</v>
      </c>
      <c r="AP39" s="17" t="s">
        <v>546</v>
      </c>
      <c r="AQ39" s="17"/>
      <c r="AR39" s="17"/>
      <c r="AS39" s="14">
        <f>IFERROR((IF(SUMIFS(_REF_Model_Content!$J$1:$J$157,_REF_Model_Content!$A$1:$A$174,PV_Canonical_Industry,_REF_Model_Content!$B$1:$B$174,$B39)=0,1,SUMIFS(_REF_Model_Content!$J$1:$J$157,_REF_Model_Content!$A$1:$A$174,PV_Canonical_Industry,_REF_Model_Content!$B$1:$B$174,$B39))*IFERROR($CA39,1)),1)</f>
        <v>1</v>
      </c>
      <c r="AT39" s="14">
        <f t="shared" si="36"/>
        <v>1.81</v>
      </c>
      <c r="AU39" s="14">
        <f>IF($AT39="","",RANK($AT39,$AT$5:$AT$76,0)+COUNTIF($AT$5:AT39,$AT39)-1)</f>
        <v>19</v>
      </c>
      <c r="AV39" s="14">
        <f>IFERROR(INDEX(_DATA_Dashboard_Facts!$G$300:$G$316,MATCH($B39,_DATA_Dashboard_Facts!$A$300:$A$316,0)),"")</f>
        <v>0</v>
      </c>
      <c r="AW39" s="14" t="str">
        <f t="shared" si="37"/>
        <v>Relevance-neutral priority</v>
      </c>
      <c r="AX39">
        <f>IFERROR(INDEX('Action Plan &amp; Roadmap'!$D$59:$D$130,MATCH($A39,'Action Plan &amp; Roadmap'!$A$59:$A$130,0)),"")</f>
        <v>0</v>
      </c>
      <c r="AY39">
        <f t="shared" si="38"/>
        <v>0</v>
      </c>
      <c r="AZ39" t="s">
        <v>4083</v>
      </c>
      <c r="BA39">
        <f>IF($A39="","",COUNTIF(_DATA_RiskInitiativeMap!$A$1:$A$867,$A39))</f>
        <v>6</v>
      </c>
      <c r="BB39">
        <f>IF($A39="","",IFERROR(AVERAGEIF(_DATA_RiskInitiativeMap!$A$1:$A$867,$A39,_DATA_RiskInitiativeMap!$G$1:$G$867),0))</f>
        <v>22.639999999999997</v>
      </c>
      <c r="BC39">
        <f t="shared" si="39"/>
        <v>4.8</v>
      </c>
      <c r="BD39">
        <f t="shared" si="40"/>
        <v>4.7947999999999995</v>
      </c>
      <c r="BI39" s="17" t="str">
        <f>IFERROR(_CONFIG_Model_Settings!$B$103,"Adaptive")</f>
        <v>Fragile</v>
      </c>
      <c r="BJ39" s="17">
        <f>IFERROR(INDEX(_CONFIG_Model_Settings!$B$109:$B$113,MATCH($BI39,_CONFIG_Model_Settings!$A$109:$A$113,0)),0.3)</f>
        <v>0.2</v>
      </c>
      <c r="BK39" s="17">
        <f>IFERROR(INDEX(_CONFIG_Model_Settings!$C$109:$C$113,MATCH($BI39,_CONFIG_Model_Settings!$A$109:$A$113,0)),0.2)</f>
        <v>0.3</v>
      </c>
      <c r="BL39" s="17">
        <f>IFERROR(INDEX(_CONFIG_Model_Settings!$D$109:$D$113,MATCH($BI39,_CONFIG_Model_Settings!$A$109:$A$113,0)),0.25)</f>
        <v>0.4</v>
      </c>
      <c r="BM39" s="17">
        <f>IFERROR(INDEX(_CONFIG_Model_Settings!$E$109:$E$113,MATCH($BI39,_CONFIG_Model_Settings!$A$109:$A$113,0)),0.25)</f>
        <v>0.1</v>
      </c>
      <c r="BN39" s="17">
        <f>IFERROR(INDEX(_CONFIG_Model_Settings!$B$117:$B$123,MATCH(_CONFIG_Model_Settings!$B$104,_CONFIG_Model_Settings!$A$117:$A$123,0)),1)</f>
        <v>1</v>
      </c>
      <c r="BO39" s="17">
        <f>IFERROR(INDEX(_CONFIG_Model_Settings!$C$117:$C$123,MATCH(_CONFIG_Model_Settings!$B$104,_CONFIG_Model_Settings!$A$117:$A$123,0)),1)</f>
        <v>1</v>
      </c>
      <c r="BP39" s="17">
        <f>IFERROR(INDEX(_CONFIG_Model_Settings!$D$117:$D$123,MATCH(_CONFIG_Model_Settings!$B$104,_CONFIG_Model_Settings!$A$117:$A$123,0)),1)</f>
        <v>1</v>
      </c>
      <c r="BQ39" s="17">
        <f>IFERROR(INDEX(_CONFIG_Model_Settings!$E$117:$E$123,MATCH(_CONFIG_Model_Settings!$B$104,_CONFIG_Model_Settings!$A$117:$A$123,0)),1)</f>
        <v>1</v>
      </c>
      <c r="BR39" s="17">
        <f>IF(OR($A39="",$P39=""),"",MIN(5,IFERROR(SUMIF(_DATA_RiskInitiativeMap!$A$1:$A$867,$A39,_DATA_RiskInitiativeMap!$K$1:$K$867)/MAX(1,_CONFIG_Model_Settings!$B$166),0)))</f>
        <v>5</v>
      </c>
      <c r="BS39" s="17">
        <f t="shared" si="41"/>
        <v>5.43</v>
      </c>
      <c r="BT39" s="17">
        <f t="shared" si="42"/>
        <v>3</v>
      </c>
      <c r="BU39" s="17">
        <f t="shared" si="43"/>
        <v>1.81</v>
      </c>
      <c r="BV39" s="17">
        <f>IF(OR($P39="",$BU39="",$AY39="Done",$AY39="Not applicable"),"",ROUND($BU39*N($AS39)*IF(OR('Resilience &amp; Risk Scenario'!$B$6="",'Resilience &amp; Risk Scenario'!$B$7&lt;=0),1,IFERROR(1+MIN(0.75,INDEX('Resilience &amp; Risk Scenario'!$E$21:$E$37,MATCH($B39,'Resilience &amp; Risk Scenario'!$B$21:$B$37,0))/10),1)),2))</f>
        <v>1.81</v>
      </c>
      <c r="BW39" s="17">
        <f>IF($BV39="","",RANK($BV39,$BV$5:$BV$76,0)+COUNTIF($BV$5:$BV39,$BV39)-1)</f>
        <v>19</v>
      </c>
      <c r="BX39" s="17" t="str">
        <f t="shared" si="44"/>
        <v>3-6 months</v>
      </c>
      <c r="BY39" t="str">
        <f>IFERROR(IF($A39="","","P2: "&amp;$BI39&amp;" posture; objective="&amp;IF(_CONFIG_Model_Settings!$B$104="","Neutral/default",_CONFIG_Model_Settings!$B$104)&amp;"; relevance="&amp;ROUND(N($AS39),2)&amp;"; scenario/domain boost="&amp;ROUND(IF(OR('Resilience &amp; Risk Scenario'!$B$6="",'Resilience &amp; Risk Scenario'!$B$7&lt;=0),1,IFERROR(1+MIN(0.75,INDEX('Resilience &amp; Risk Scenario'!$E$21:$E$37,MATCH($B39,'Resilience &amp; Risk Scenario'!$B$21:$B$37,0))/10),1)),2)&amp;"; financial score="&amp;ROUND(N($BR39),1)&amp;"; CoD="&amp;$BS39&amp;IF($CL39&lt;&gt;"","; wording="&amp;$CL39,"")),"")</f>
        <v>P2: Fragile posture; objective=Neutral/default; relevance=1; scenario/domain boost=1; financial score=5; CoD=5.43; wording=Strengthen SRE / Observability</v>
      </c>
      <c r="BZ39" t="str">
        <f>IFERROR(INDEX(_REF_Capability_Bridge!$D:$D,MATCH($B39&amp;"|"&amp;$C39,_REF_Capability_Bridge!$J:$J,0)),IFERROR(INDEX(_REF_Capability_Bridge!$D:$D,MATCH($B39&amp;"|",_REF_Capability_Bridge!$J:$J,0)),"CAP_GENERIC"))</f>
        <v>CAP_SRE_OBSERVABILITY</v>
      </c>
      <c r="CA39">
        <f>IFERROR(IFERROR(INDEX(_ENGINE_Relevance!$L:$L,MATCH($BZ39,_ENGINE_Relevance!$B:$B,0)),1),1)</f>
        <v>1</v>
      </c>
      <c r="CB39" t="str">
        <f>IFERROR(INDEX(_REF_Capability_Bridge!$A:$A,MATCH($B39&amp;"|"&amp;$C39,_REF_Capability_Bridge!$J:$J,0)),IFERROR(INDEX(_REF_Capability_Bridge!$A:$A,MATCH($B39&amp;"|",_REF_Capability_Bridge!$J:$J,0)),"No bridge"))</f>
        <v>BRG-093</v>
      </c>
      <c r="CC39" t="str">
        <f t="shared" si="45"/>
        <v>Capability relevance neutral</v>
      </c>
      <c r="CD39" t="str">
        <f t="shared" si="46"/>
        <v>Initial / absent</v>
      </c>
      <c r="CE39" t="str">
        <f>IF($A39="","",IFERROR(INDEX(_REF_Treatment_Library!$A$2:$A$296,MATCH(1,INDEX((_REF_Treatment_Library!$B$2:$B$296=$BZ39)*(_REF_Treatment_Library!$C$2:$C$296=PV_Canonical_Industry)*(_REF_Treatment_Library!$E$2:$E$296&lt;=N($N39))*(_REF_Treatment_Library!$F$2:$F$296&gt;=N($N39))*(_REF_Treatment_Library!$O$2:$O$296="Yes"),0),0)),IFERROR(INDEX(_REF_Treatment_Library!$A$2:$A$296,MATCH(1,INDEX((_REF_Treatment_Library!$B$2:$B$296=$BZ39)*(_REF_Treatment_Library!$C$2:$C$296="All")*(_REF_Treatment_Library!$E$2:$E$296&lt;=N($N39))*(_REF_Treatment_Library!$F$2:$F$296&gt;=N($N39))*(_REF_Treatment_Library!$O$2:$O$296="Yes"),0),0)),"")))</f>
        <v>TRT-SRE_OBSERVABILITY-INITIAL</v>
      </c>
      <c r="CF39" t="str">
        <f>IF($CE39="","",IFERROR(INDEX(_REF_Treatment_Library!$H$2:$H$296,MATCH($CE39,_REF_Treatment_Library!$A$2:$A$296,0)),""))</f>
        <v>Establish</v>
      </c>
      <c r="CG39" t="str">
        <f>IF($CE39="","",IFERROR(INDEX(_REF_Treatment_Library!$I$2:$I$296,MATCH($CE39,_REF_Treatment_Library!$A$2:$A$296,0)),""))</f>
        <v>Establish baseline controls for SRE / Observability</v>
      </c>
      <c r="CH39" t="str">
        <f>IF($CE39="","",IFERROR(INDEX(_REF_Treatment_Library!$K$2:$K$296,MATCH($CE39,_REF_Treatment_Library!$A$2:$A$296,0)),""))</f>
        <v>Named owner, baseline process, minimum control checklist, first evidence package</v>
      </c>
      <c r="CI39" t="str">
        <f>IF($CE39="","",IFERROR(INDEX(_REF_Treatment_Library!$L$2:$L$296,MATCH($CE39,_REF_Treatment_Library!$A$2:$A$296,0)),""))</f>
        <v>Owner assigned; baseline evidence coverage; open critical gaps</v>
      </c>
      <c r="CJ39" t="str">
        <f t="shared" si="47"/>
        <v>Treatment by capability=CAP_SRE_OBSERVABILITY; band=Initial / absent; score=0.0; treatment=Establish</v>
      </c>
      <c r="CK39" t="str">
        <f>IF($A39="","",IFERROR(INDEX(_REF_Industry_Wording!$A$2:$A$70,MATCH(1,INDEX((_REF_Industry_Wording!$B$2:$B$70=$BZ39)*(_REF_Industry_Wording!$C$2:$C$70=PV_Canonical_Industry)*(_REF_Industry_Wording!$K$2:$K$70="Yes"),0),0)),IFERROR(INDEX(_REF_Industry_Wording!$A$2:$A$70,MATCH(1,INDEX((_REF_Industry_Wording!$B$2:$B$70=$BZ39)*(_REF_Industry_Wording!$C$2:$C$70="All")*(_REF_Industry_Wording!$K$2:$K$70="Yes"),0),0)),"")))</f>
        <v>IW-ALL-SRE_OBSERVABILITY</v>
      </c>
      <c r="CL39" t="str">
        <f>IF($CK39="","",IFERROR(INDEX(_REF_Industry_Wording!$F$2:$F$70,MATCH($CK39,_REF_Industry_Wording!$A$2:$A$70,0)),""))</f>
        <v>Strengthen SRE / Observability</v>
      </c>
      <c r="CM39" t="str">
        <f>IF($CK39="","",IFERROR(INDEX(_REF_Industry_Wording!$G$2:$G$70,MATCH($CK39,_REF_Industry_Wording!$A$2:$A$70,0)),""))</f>
        <v>Strengthen SRE / Observability using the selected maturity treatment, crisis scenario and evidence requirements.</v>
      </c>
      <c r="CN39" t="str">
        <f>IF($CK39="","",IFERROR(INDEX(_REF_Industry_Wording!$H$2:$H$70,MATCH($CK39,_REF_Industry_Wording!$A$2:$A$70,0)),""))</f>
        <v>SRE / Observability</v>
      </c>
      <c r="CO39">
        <f>IF($CK39="","",IFERROR(INDEX(_REF_Industry_Wording!$I$2:$I$70,MATCH($CK39,_REF_Industry_Wording!$A$2:$A$70,0)),""))</f>
        <v>0</v>
      </c>
      <c r="CP39" t="str">
        <f>IF($CK39="","",IFERROR(INDEX(_REF_Industry_Wording!$J$2:$J$70,MATCH($CK39,_REF_Industry_Wording!$A$2:$A$70,0)),""))</f>
        <v>SRE / Observability</v>
      </c>
      <c r="CQ39" t="str">
        <f t="shared" si="48"/>
        <v>Wording by industry=0; capability=CAP_SRE_OBSERVABILITY; title=Strengthen SRE / Observability</v>
      </c>
      <c r="CR39" t="str">
        <f t="shared" si="49"/>
        <v>INIT-ONT-0035</v>
      </c>
      <c r="CS39">
        <f t="shared" si="50"/>
        <v>39</v>
      </c>
      <c r="CT39" t="str">
        <f t="shared" si="51"/>
        <v>CAP_SRE_OBSERVABILITY</v>
      </c>
      <c r="CU39" t="str">
        <f t="shared" si="52"/>
        <v>INI-035|Supply Chain|Technology and risk|CAP_SRE_OBSERVABILITY</v>
      </c>
      <c r="CV39" t="str">
        <f t="shared" si="53"/>
        <v>Active</v>
      </c>
      <c r="CW39" t="str">
        <f t="shared" si="54"/>
        <v>OK: capability-driven</v>
      </c>
      <c r="CX39" t="str">
        <f t="shared" si="55"/>
        <v>Initiative ontology uses capability=CAP_SRE_OBSERVABILITY; bridge=BRG-093; treatment=TRT-SRE_OBSERVABILITY-INITIAL; wording=IW-ALL-SRE_OBSERVABILITY</v>
      </c>
    </row>
    <row r="40" spans="1:102" ht="42" customHeight="1">
      <c r="A40" s="17" t="s">
        <v>4229</v>
      </c>
      <c r="B40" s="17" t="s">
        <v>2145</v>
      </c>
      <c r="C40" s="17" t="s">
        <v>2147</v>
      </c>
      <c r="D40" s="17" t="s">
        <v>4230</v>
      </c>
      <c r="E40" s="17" t="s">
        <v>4231</v>
      </c>
      <c r="F40" s="17" t="s">
        <v>4232</v>
      </c>
      <c r="G40" s="17" t="s">
        <v>4233</v>
      </c>
      <c r="H40" s="17" t="s">
        <v>3688</v>
      </c>
      <c r="I40" s="17" t="s">
        <v>4234</v>
      </c>
      <c r="J40" s="17" t="s">
        <v>4235</v>
      </c>
      <c r="K40" s="17">
        <v>6</v>
      </c>
      <c r="L40" s="17">
        <f>IF($A40="","",COUNTIFS(_DATA_RiskInitiativeMap!$A$444:$A$867,$A40,_DATA_RiskInitiativeMap!$G$444:$G$867,"&gt;0"))</f>
        <v>6</v>
      </c>
      <c r="M40" s="17">
        <f>IF($A40="","",COUNTIFS(_DATA_RiskInitiativeMap!$A$444:$A$867,$A40,_DATA_RiskInitiativeMap!$G$444:$G$867,"&gt;0"))</f>
        <v>6</v>
      </c>
      <c r="N40" s="17">
        <f>IFERROR(AVERAGEIFS(_DATA_Assessment_Model!$H$5:$H$428,_DATA_Assessment_Model!$AW$5:$AW$428,$B40,_DATA_Assessment_Model!$B$5:$B$428,$C40),"")</f>
        <v>0</v>
      </c>
      <c r="O40" s="17">
        <f t="shared" si="28"/>
        <v>5</v>
      </c>
      <c r="P40" s="17">
        <f>IFERROR(INDEX(_DATA_Dashboard_Facts!$H$5:$H$21,MATCH($B40,_DATA_Dashboard_Facts!$A$5:$A$21,0)),"")</f>
        <v>0</v>
      </c>
      <c r="Q40" s="17">
        <f t="shared" si="29"/>
        <v>5</v>
      </c>
      <c r="R40" s="17">
        <f>IF(OR('Resilience &amp; Risk Scenario'!$B$6="",'Resilience &amp; Risk Scenario'!$B$7&lt;=0),1,IFERROR(IF(SUMIFS(_ENGINE_Crisis!$D$5:$D$208,_ENGINE_Crisis!$A$5:$A$208,'Resilience &amp; Risk Scenario'!$B$6,_ENGINE_Crisis!$B$5:$B$208,$B40)=0,1,SUMIFS(_ENGINE_Crisis!$D$5:$D$208,_ENGINE_Crisis!$A$5:$A$208,'Resilience &amp; Risk Scenario'!$B$6,_ENGINE_Crisis!$B$5:$B$208,$B40)),1))</f>
        <v>1</v>
      </c>
      <c r="S40" s="17">
        <f>IFERROR(INDEX(_ENGINE_Strategy!$A$100:$A$113,MATCH($D40,_ENGINE_Strategy!$B$100:$B$113,0)),99)</f>
        <v>1</v>
      </c>
      <c r="T40" s="17">
        <f>IFERROR(INDEX(_ENGINE_Strategy!$J$100:$J$113,MATCH($D40,_ENGINE_Strategy!$B$100:$B$113,0)),0)</f>
        <v>71</v>
      </c>
      <c r="U40" s="17">
        <v>5</v>
      </c>
      <c r="V40" s="17">
        <v>5</v>
      </c>
      <c r="W40" s="17">
        <v>4</v>
      </c>
      <c r="X40" s="17">
        <f t="shared" si="30"/>
        <v>4.6375000000000002</v>
      </c>
      <c r="Y40" s="17">
        <f>IF($P40="","",MAX(1,MIN(5,1+N($O40)*0.45+MIN(2,N($M40)*0.3)+($R40-1)*1.2+IF('Resilience &amp; Risk Scenario'!$B$7="",1,'Resilience &amp; Risk Scenario'!$B$7)*0.25)))</f>
        <v>5</v>
      </c>
      <c r="Z40" s="17">
        <f t="shared" si="31"/>
        <v>5</v>
      </c>
      <c r="AA40" s="17">
        <f t="shared" si="32"/>
        <v>4.2650000000000006</v>
      </c>
      <c r="AB40" s="17">
        <v>4</v>
      </c>
      <c r="AC40" s="17">
        <f t="shared" si="33"/>
        <v>1.29</v>
      </c>
      <c r="AD40" s="17">
        <f t="shared" si="34"/>
        <v>70</v>
      </c>
      <c r="AE40" s="17" t="str">
        <f t="shared" si="35"/>
        <v>12+ months</v>
      </c>
      <c r="AF40" s="17" t="s">
        <v>4236</v>
      </c>
      <c r="AG40" s="17" t="s">
        <v>3502</v>
      </c>
      <c r="AH40" s="17" t="s">
        <v>4171</v>
      </c>
      <c r="AI40" s="17" t="s">
        <v>4237</v>
      </c>
      <c r="AJ40" s="17" t="s">
        <v>4238</v>
      </c>
      <c r="AK40" s="17" t="s">
        <v>4239</v>
      </c>
      <c r="AL40" s="17" t="s">
        <v>4240</v>
      </c>
      <c r="AM40" s="17" t="s">
        <v>4241</v>
      </c>
      <c r="AN40" s="17" t="s">
        <v>3937</v>
      </c>
      <c r="AO40" s="17" t="s">
        <v>3938</v>
      </c>
      <c r="AP40" s="17" t="s">
        <v>4242</v>
      </c>
      <c r="AQ40" s="17"/>
      <c r="AR40" s="17"/>
      <c r="AS40" s="14">
        <f>IFERROR((IF(SUMIFS(_REF_Model_Content!$J$1:$J$157,_REF_Model_Content!$A$1:$A$174,PV_Canonical_Industry,_REF_Model_Content!$B$1:$B$174,$B40)=0,1,SUMIFS(_REF_Model_Content!$J$1:$J$157,_REF_Model_Content!$A$1:$A$174,PV_Canonical_Industry,_REF_Model_Content!$B$1:$B$174,$B40))*IFERROR($CA40,1)),1)</f>
        <v>1</v>
      </c>
      <c r="AT40" s="14">
        <f t="shared" si="36"/>
        <v>1.29</v>
      </c>
      <c r="AU40" s="14">
        <f>IF($AT40="","",RANK($AT40,$AT$5:$AT$76,0)+COUNTIF($AT$5:AT40,$AT40)-1)</f>
        <v>70</v>
      </c>
      <c r="AV40" s="14">
        <f>IFERROR(INDEX(_DATA_Dashboard_Facts!$G$300:$G$316,MATCH($B40,_DATA_Dashboard_Facts!$A$300:$A$316,0)),"")</f>
        <v>0</v>
      </c>
      <c r="AW40" s="14" t="str">
        <f t="shared" si="37"/>
        <v>Relevance-neutral priority</v>
      </c>
      <c r="AX40">
        <f>IFERROR(INDEX('Action Plan &amp; Roadmap'!$D$59:$D$130,MATCH($A40,'Action Plan &amp; Roadmap'!$A$59:$A$130,0)),"")</f>
        <v>0</v>
      </c>
      <c r="AY40">
        <f t="shared" si="38"/>
        <v>0</v>
      </c>
      <c r="AZ40" t="s">
        <v>4083</v>
      </c>
      <c r="BA40">
        <f>IF($A40="","",COUNTIF(_DATA_RiskInitiativeMap!$A$1:$A$867,$A40))</f>
        <v>6</v>
      </c>
      <c r="BB40">
        <f>IF($A40="","",IFERROR(AVERAGEIF(_DATA_RiskInitiativeMap!$A$1:$A$867,$A40,_DATA_RiskInitiativeMap!$G$1:$G$867),0))</f>
        <v>9.3333333333333339</v>
      </c>
      <c r="BC40">
        <f t="shared" si="39"/>
        <v>4.8</v>
      </c>
      <c r="BD40">
        <f t="shared" si="40"/>
        <v>3.8633333333333333</v>
      </c>
      <c r="BI40" s="17" t="str">
        <f>IFERROR(_CONFIG_Model_Settings!$B$103,"Adaptive")</f>
        <v>Fragile</v>
      </c>
      <c r="BJ40" s="17">
        <f>IFERROR(INDEX(_CONFIG_Model_Settings!$B$109:$B$113,MATCH($BI40,_CONFIG_Model_Settings!$A$109:$A$113,0)),0.3)</f>
        <v>0.2</v>
      </c>
      <c r="BK40" s="17">
        <f>IFERROR(INDEX(_CONFIG_Model_Settings!$C$109:$C$113,MATCH($BI40,_CONFIG_Model_Settings!$A$109:$A$113,0)),0.2)</f>
        <v>0.3</v>
      </c>
      <c r="BL40" s="17">
        <f>IFERROR(INDEX(_CONFIG_Model_Settings!$D$109:$D$113,MATCH($BI40,_CONFIG_Model_Settings!$A$109:$A$113,0)),0.25)</f>
        <v>0.4</v>
      </c>
      <c r="BM40" s="17">
        <f>IFERROR(INDEX(_CONFIG_Model_Settings!$E$109:$E$113,MATCH($BI40,_CONFIG_Model_Settings!$A$109:$A$113,0)),0.25)</f>
        <v>0.1</v>
      </c>
      <c r="BN40" s="17">
        <f>IFERROR(INDEX(_CONFIG_Model_Settings!$B$117:$B$123,MATCH(_CONFIG_Model_Settings!$B$104,_CONFIG_Model_Settings!$A$117:$A$123,0)),1)</f>
        <v>1</v>
      </c>
      <c r="BO40" s="17">
        <f>IFERROR(INDEX(_CONFIG_Model_Settings!$C$117:$C$123,MATCH(_CONFIG_Model_Settings!$B$104,_CONFIG_Model_Settings!$A$117:$A$123,0)),1)</f>
        <v>1</v>
      </c>
      <c r="BP40" s="17">
        <f>IFERROR(INDEX(_CONFIG_Model_Settings!$D$117:$D$123,MATCH(_CONFIG_Model_Settings!$B$104,_CONFIG_Model_Settings!$A$117:$A$123,0)),1)</f>
        <v>1</v>
      </c>
      <c r="BQ40" s="17">
        <f>IFERROR(INDEX(_CONFIG_Model_Settings!$E$117:$E$123,MATCH(_CONFIG_Model_Settings!$B$104,_CONFIG_Model_Settings!$A$117:$A$123,0)),1)</f>
        <v>1</v>
      </c>
      <c r="BR40" s="17">
        <f>IF(OR($A40="",$P40=""),"",MIN(5,IFERROR(SUMIF(_DATA_RiskInitiativeMap!$A$1:$A$867,$A40,_DATA_RiskInitiativeMap!$K$1:$K$867)/MAX(1,_CONFIG_Model_Settings!$B$166),0)))</f>
        <v>5</v>
      </c>
      <c r="BS40" s="17">
        <f t="shared" si="41"/>
        <v>5.15</v>
      </c>
      <c r="BT40" s="17">
        <f t="shared" si="42"/>
        <v>4</v>
      </c>
      <c r="BU40" s="17">
        <f t="shared" si="43"/>
        <v>1.29</v>
      </c>
      <c r="BV40" s="17">
        <f>IF(OR($P40="",$BU40="",$AY40="Done",$AY40="Not applicable"),"",ROUND($BU40*N($AS40)*IF(OR('Resilience &amp; Risk Scenario'!$B$6="",'Resilience &amp; Risk Scenario'!$B$7&lt;=0),1,IFERROR(1+MIN(0.75,INDEX('Resilience &amp; Risk Scenario'!$E$21:$E$37,MATCH($B40,'Resilience &amp; Risk Scenario'!$B$21:$B$37,0))/10),1)),2))</f>
        <v>1.29</v>
      </c>
      <c r="BW40" s="17">
        <f>IF($BV40="","",RANK($BV40,$BV$5:$BV$76,0)+COUNTIF($BV$5:$BV40,$BV40)-1)</f>
        <v>70</v>
      </c>
      <c r="BX40" s="17" t="str">
        <f t="shared" si="44"/>
        <v>12+ months</v>
      </c>
      <c r="BY40" t="str">
        <f>IFERROR(IF($A40="","","P2: "&amp;$BI40&amp;" posture; objective="&amp;IF(_CONFIG_Model_Settings!$B$104="","Neutral/default",_CONFIG_Model_Settings!$B$104)&amp;"; relevance="&amp;ROUND(N($AS40),2)&amp;"; scenario/domain boost="&amp;ROUND(IF(OR('Resilience &amp; Risk Scenario'!$B$6="",'Resilience &amp; Risk Scenario'!$B$7&lt;=0),1,IFERROR(1+MIN(0.75,INDEX('Resilience &amp; Risk Scenario'!$E$21:$E$37,MATCH($B40,'Resilience &amp; Risk Scenario'!$B$21:$B$37,0))/10),1)),2)&amp;"; financial score="&amp;ROUND(N($BR40),1)&amp;"; CoD="&amp;$BS40&amp;IF($CL40&lt;&gt;"","; wording="&amp;$CL40,"")),"")</f>
        <v>P2: Fragile posture; objective=Neutral/default; relevance=1; scenario/domain boost=1; financial score=5; CoD=5.15; wording=Strengthen Production capacity</v>
      </c>
      <c r="BZ40" t="str">
        <f>IFERROR(INDEX(_REF_Capability_Bridge!$D:$D,MATCH($B40&amp;"|"&amp;$C40,_REF_Capability_Bridge!$J:$J,0)),IFERROR(INDEX(_REF_Capability_Bridge!$D:$D,MATCH($B40&amp;"|",_REF_Capability_Bridge!$J:$J,0)),"CAP_GENERIC"))</f>
        <v>CAP_PRODUCTION_CAPACITY</v>
      </c>
      <c r="CA40">
        <f>IFERROR(IFERROR(INDEX(_ENGINE_Relevance!$L:$L,MATCH($BZ40,_ENGINE_Relevance!$B:$B,0)),1),1)</f>
        <v>0.4</v>
      </c>
      <c r="CB40" t="str">
        <f>IFERROR(INDEX(_REF_Capability_Bridge!$A:$A,MATCH($B40&amp;"|"&amp;$C40,_REF_Capability_Bridge!$J:$J,0)),IFERROR(INDEX(_REF_Capability_Bridge!$A:$A,MATCH($B40&amp;"|",_REF_Capability_Bridge!$J:$J,0)),"No bridge"))</f>
        <v>BRG-058</v>
      </c>
      <c r="CC40" t="str">
        <f t="shared" si="45"/>
        <v>Capability relevance lowers priority</v>
      </c>
      <c r="CD40" t="str">
        <f t="shared" si="46"/>
        <v>Initial / absent</v>
      </c>
      <c r="CE40" t="str">
        <f>IF($A40="","",IFERROR(INDEX(_REF_Treatment_Library!$A$2:$A$296,MATCH(1,INDEX((_REF_Treatment_Library!$B$2:$B$296=$BZ40)*(_REF_Treatment_Library!$C$2:$C$296=PV_Canonical_Industry)*(_REF_Treatment_Library!$E$2:$E$296&lt;=N($N40))*(_REF_Treatment_Library!$F$2:$F$296&gt;=N($N40))*(_REF_Treatment_Library!$O$2:$O$296="Yes"),0),0)),IFERROR(INDEX(_REF_Treatment_Library!$A$2:$A$296,MATCH(1,INDEX((_REF_Treatment_Library!$B$2:$B$296=$BZ40)*(_REF_Treatment_Library!$C$2:$C$296="All")*(_REF_Treatment_Library!$E$2:$E$296&lt;=N($N40))*(_REF_Treatment_Library!$F$2:$F$296&gt;=N($N40))*(_REF_Treatment_Library!$O$2:$O$296="Yes"),0),0)),"")))</f>
        <v>TRT-PRODUCTION_CAPACITY-INITIAL</v>
      </c>
      <c r="CF40" t="str">
        <f>IF($CE40="","",IFERROR(INDEX(_REF_Treatment_Library!$H$2:$H$296,MATCH($CE40,_REF_Treatment_Library!$A$2:$A$296,0)),""))</f>
        <v>Establish</v>
      </c>
      <c r="CG40" t="str">
        <f>IF($CE40="","",IFERROR(INDEX(_REF_Treatment_Library!$I$2:$I$296,MATCH($CE40,_REF_Treatment_Library!$A$2:$A$296,0)),""))</f>
        <v>Establish baseline controls for Production capacity</v>
      </c>
      <c r="CH40" t="str">
        <f>IF($CE40="","",IFERROR(INDEX(_REF_Treatment_Library!$K$2:$K$296,MATCH($CE40,_REF_Treatment_Library!$A$2:$A$296,0)),""))</f>
        <v>Named owner, baseline process, minimum control checklist, first evidence package</v>
      </c>
      <c r="CI40" t="str">
        <f>IF($CE40="","",IFERROR(INDEX(_REF_Treatment_Library!$L$2:$L$296,MATCH($CE40,_REF_Treatment_Library!$A$2:$A$296,0)),""))</f>
        <v>Owner assigned; baseline evidence coverage; open critical gaps</v>
      </c>
      <c r="CJ40" t="str">
        <f t="shared" si="47"/>
        <v>Treatment by capability=CAP_PRODUCTION_CAPACITY; band=Initial / absent; score=0.0; treatment=Establish</v>
      </c>
      <c r="CK40" t="str">
        <f>IF($A40="","",IFERROR(INDEX(_REF_Industry_Wording!$A$2:$A$70,MATCH(1,INDEX((_REF_Industry_Wording!$B$2:$B$70=$BZ40)*(_REF_Industry_Wording!$C$2:$C$70=PV_Canonical_Industry)*(_REF_Industry_Wording!$K$2:$K$70="Yes"),0),0)),IFERROR(INDEX(_REF_Industry_Wording!$A$2:$A$70,MATCH(1,INDEX((_REF_Industry_Wording!$B$2:$B$70=$BZ40)*(_REF_Industry_Wording!$C$2:$C$70="All")*(_REF_Industry_Wording!$K$2:$K$70="Yes"),0),0)),"")))</f>
        <v>IW-ALL-PRODUCTION_CAPACITY</v>
      </c>
      <c r="CL40" t="str">
        <f>IF($CK40="","",IFERROR(INDEX(_REF_Industry_Wording!$F$2:$F$70,MATCH($CK40,_REF_Industry_Wording!$A$2:$A$70,0)),""))</f>
        <v>Strengthen Production capacity</v>
      </c>
      <c r="CM40" t="str">
        <f>IF($CK40="","",IFERROR(INDEX(_REF_Industry_Wording!$G$2:$G$70,MATCH($CK40,_REF_Industry_Wording!$A$2:$A$70,0)),""))</f>
        <v>Strengthen Production capacity using the selected maturity treatment, crisis scenario and evidence requirements.</v>
      </c>
      <c r="CN40" t="str">
        <f>IF($CK40="","",IFERROR(INDEX(_REF_Industry_Wording!$H$2:$H$70,MATCH($CK40,_REF_Industry_Wording!$A$2:$A$70,0)),""))</f>
        <v>Production capacity</v>
      </c>
      <c r="CO40">
        <f>IF($CK40="","",IFERROR(INDEX(_REF_Industry_Wording!$I$2:$I$70,MATCH($CK40,_REF_Industry_Wording!$A$2:$A$70,0)),""))</f>
        <v>0</v>
      </c>
      <c r="CP40" t="str">
        <f>IF($CK40="","",IFERROR(INDEX(_REF_Industry_Wording!$J$2:$J$70,MATCH($CK40,_REF_Industry_Wording!$A$2:$A$70,0)),""))</f>
        <v>Production capacity</v>
      </c>
      <c r="CQ40" t="str">
        <f t="shared" si="48"/>
        <v>Wording by industry=0; capability=CAP_PRODUCTION_CAPACITY; title=Strengthen Production capacity</v>
      </c>
      <c r="CR40" t="str">
        <f t="shared" si="49"/>
        <v>INIT-ONT-0036</v>
      </c>
      <c r="CS40">
        <f t="shared" si="50"/>
        <v>40</v>
      </c>
      <c r="CT40" t="str">
        <f t="shared" si="51"/>
        <v>CAP_PRODUCTION_CAPACITY</v>
      </c>
      <c r="CU40" t="str">
        <f t="shared" si="52"/>
        <v>INI-036|Manufacturing MES|Production footprint|CAP_PRODUCTION_CAPACITY</v>
      </c>
      <c r="CV40" t="str">
        <f t="shared" si="53"/>
        <v>Active</v>
      </c>
      <c r="CW40" t="str">
        <f t="shared" si="54"/>
        <v>OK: capability-driven</v>
      </c>
      <c r="CX40" t="str">
        <f t="shared" si="55"/>
        <v>Initiative ontology uses capability=CAP_PRODUCTION_CAPACITY; bridge=BRG-058; treatment=TRT-PRODUCTION_CAPACITY-INITIAL; wording=IW-ALL-PRODUCTION_CAPACITY</v>
      </c>
    </row>
    <row r="41" spans="1:102" ht="42" customHeight="1">
      <c r="A41" s="17" t="s">
        <v>4243</v>
      </c>
      <c r="B41" s="17" t="s">
        <v>2145</v>
      </c>
      <c r="C41" s="17" t="s">
        <v>2156</v>
      </c>
      <c r="D41" s="17" t="s">
        <v>4230</v>
      </c>
      <c r="E41" s="17" t="s">
        <v>4231</v>
      </c>
      <c r="F41" s="17" t="s">
        <v>4244</v>
      </c>
      <c r="G41" s="17" t="s">
        <v>4245</v>
      </c>
      <c r="H41" s="17" t="s">
        <v>3688</v>
      </c>
      <c r="I41" s="17" t="s">
        <v>4234</v>
      </c>
      <c r="J41" s="17" t="s">
        <v>4246</v>
      </c>
      <c r="K41" s="17">
        <v>6</v>
      </c>
      <c r="L41" s="17">
        <f>IF($A41="","",COUNTIFS(_DATA_RiskInitiativeMap!$A$444:$A$867,$A41,_DATA_RiskInitiativeMap!$G$444:$G$867,"&gt;0"))</f>
        <v>6</v>
      </c>
      <c r="M41" s="17">
        <f>IF($A41="","",COUNTIFS(_DATA_RiskInitiativeMap!$A$444:$A$867,$A41,_DATA_RiskInitiativeMap!$G$444:$G$867,"&gt;0"))</f>
        <v>6</v>
      </c>
      <c r="N41" s="17">
        <f>IFERROR(AVERAGEIFS(_DATA_Assessment_Model!$H$5:$H$428,_DATA_Assessment_Model!$AW$5:$AW$428,$B41,_DATA_Assessment_Model!$B$5:$B$428,$C41),"")</f>
        <v>0</v>
      </c>
      <c r="O41" s="17">
        <f t="shared" si="28"/>
        <v>5</v>
      </c>
      <c r="P41" s="17">
        <f>IFERROR(INDEX(_DATA_Dashboard_Facts!$H$5:$H$21,MATCH($B41,_DATA_Dashboard_Facts!$A$5:$A$21,0)),"")</f>
        <v>0</v>
      </c>
      <c r="Q41" s="17">
        <f t="shared" si="29"/>
        <v>5</v>
      </c>
      <c r="R41" s="17">
        <f>IF(OR('Resilience &amp; Risk Scenario'!$B$6="",'Resilience &amp; Risk Scenario'!$B$7&lt;=0),1,IFERROR(IF(SUMIFS(_ENGINE_Crisis!$D$5:$D$208,_ENGINE_Crisis!$A$5:$A$208,'Resilience &amp; Risk Scenario'!$B$6,_ENGINE_Crisis!$B$5:$B$208,$B41)=0,1,SUMIFS(_ENGINE_Crisis!$D$5:$D$208,_ENGINE_Crisis!$A$5:$A$208,'Resilience &amp; Risk Scenario'!$B$6,_ENGINE_Crisis!$B$5:$B$208,$B41)),1))</f>
        <v>1</v>
      </c>
      <c r="S41" s="17">
        <f>IFERROR(INDEX(_ENGINE_Strategy!$A$100:$A$113,MATCH($D41,_ENGINE_Strategy!$B$100:$B$113,0)),99)</f>
        <v>1</v>
      </c>
      <c r="T41" s="17">
        <f>IFERROR(INDEX(_ENGINE_Strategy!$J$100:$J$113,MATCH($D41,_ENGINE_Strategy!$B$100:$B$113,0)),0)</f>
        <v>71</v>
      </c>
      <c r="U41" s="17">
        <v>5</v>
      </c>
      <c r="V41" s="17">
        <v>5</v>
      </c>
      <c r="W41" s="17">
        <v>4</v>
      </c>
      <c r="X41" s="17">
        <f t="shared" si="30"/>
        <v>4.6375000000000002</v>
      </c>
      <c r="Y41" s="17">
        <f>IF($P41="","",MAX(1,MIN(5,1+N($O41)*0.45+MIN(2,N($M41)*0.3)+($R41-1)*1.2+IF('Resilience &amp; Risk Scenario'!$B$7="",1,'Resilience &amp; Risk Scenario'!$B$7)*0.25)))</f>
        <v>5</v>
      </c>
      <c r="Z41" s="17">
        <f t="shared" si="31"/>
        <v>5</v>
      </c>
      <c r="AA41" s="17">
        <f t="shared" si="32"/>
        <v>4.2650000000000006</v>
      </c>
      <c r="AB41" s="17">
        <v>4</v>
      </c>
      <c r="AC41" s="17">
        <f t="shared" si="33"/>
        <v>1.29</v>
      </c>
      <c r="AD41" s="17">
        <f t="shared" si="34"/>
        <v>71</v>
      </c>
      <c r="AE41" s="17" t="str">
        <f t="shared" si="35"/>
        <v>12+ months</v>
      </c>
      <c r="AF41" s="17" t="s">
        <v>4236</v>
      </c>
      <c r="AG41" s="17" t="s">
        <v>3502</v>
      </c>
      <c r="AH41" s="17" t="s">
        <v>4171</v>
      </c>
      <c r="AI41" s="17" t="s">
        <v>4237</v>
      </c>
      <c r="AJ41" s="17" t="s">
        <v>4247</v>
      </c>
      <c r="AK41" s="17" t="s">
        <v>4248</v>
      </c>
      <c r="AL41" s="17" t="s">
        <v>4249</v>
      </c>
      <c r="AM41" s="17" t="s">
        <v>4241</v>
      </c>
      <c r="AN41" s="17" t="s">
        <v>3937</v>
      </c>
      <c r="AO41" s="17" t="s">
        <v>3938</v>
      </c>
      <c r="AP41" s="17" t="s">
        <v>4242</v>
      </c>
      <c r="AQ41" s="17"/>
      <c r="AR41" s="17"/>
      <c r="AS41" s="14">
        <f>IFERROR((IF(SUMIFS(_REF_Model_Content!$J$1:$J$157,_REF_Model_Content!$A$1:$A$174,PV_Canonical_Industry,_REF_Model_Content!$B$1:$B$174,$B41)=0,1,SUMIFS(_REF_Model_Content!$J$1:$J$157,_REF_Model_Content!$A$1:$A$174,PV_Canonical_Industry,_REF_Model_Content!$B$1:$B$174,$B41))*IFERROR($CA41,1)),1)</f>
        <v>1</v>
      </c>
      <c r="AT41" s="14">
        <f t="shared" si="36"/>
        <v>1.29</v>
      </c>
      <c r="AU41" s="14">
        <f>IF($AT41="","",RANK($AT41,$AT$5:$AT$76,0)+COUNTIF($AT$5:AT41,$AT41)-1)</f>
        <v>71</v>
      </c>
      <c r="AV41" s="14">
        <f>IFERROR(INDEX(_DATA_Dashboard_Facts!$G$300:$G$316,MATCH($B41,_DATA_Dashboard_Facts!$A$300:$A$316,0)),"")</f>
        <v>0</v>
      </c>
      <c r="AW41" s="14" t="str">
        <f t="shared" si="37"/>
        <v>Relevance-neutral priority</v>
      </c>
      <c r="AX41">
        <f>IFERROR(INDEX('Action Plan &amp; Roadmap'!$D$59:$D$130,MATCH($A41,'Action Plan &amp; Roadmap'!$A$59:$A$130,0)),"")</f>
        <v>0</v>
      </c>
      <c r="AY41">
        <f t="shared" si="38"/>
        <v>0</v>
      </c>
      <c r="AZ41" t="s">
        <v>4083</v>
      </c>
      <c r="BA41">
        <f>IF($A41="","",COUNTIF(_DATA_RiskInitiativeMap!$A$1:$A$867,$A41))</f>
        <v>6</v>
      </c>
      <c r="BB41">
        <f>IF($A41="","",IFERROR(AVERAGEIF(_DATA_RiskInitiativeMap!$A$1:$A$867,$A41,_DATA_RiskInitiativeMap!$G$1:$G$867),0))</f>
        <v>9.2650000000000006</v>
      </c>
      <c r="BC41">
        <f t="shared" si="39"/>
        <v>4.8</v>
      </c>
      <c r="BD41">
        <f t="shared" si="40"/>
        <v>3.8585500000000001</v>
      </c>
      <c r="BI41" s="17" t="str">
        <f>IFERROR(_CONFIG_Model_Settings!$B$103,"Adaptive")</f>
        <v>Fragile</v>
      </c>
      <c r="BJ41" s="17">
        <f>IFERROR(INDEX(_CONFIG_Model_Settings!$B$109:$B$113,MATCH($BI41,_CONFIG_Model_Settings!$A$109:$A$113,0)),0.3)</f>
        <v>0.2</v>
      </c>
      <c r="BK41" s="17">
        <f>IFERROR(INDEX(_CONFIG_Model_Settings!$C$109:$C$113,MATCH($BI41,_CONFIG_Model_Settings!$A$109:$A$113,0)),0.2)</f>
        <v>0.3</v>
      </c>
      <c r="BL41" s="17">
        <f>IFERROR(INDEX(_CONFIG_Model_Settings!$D$109:$D$113,MATCH($BI41,_CONFIG_Model_Settings!$A$109:$A$113,0)),0.25)</f>
        <v>0.4</v>
      </c>
      <c r="BM41" s="17">
        <f>IFERROR(INDEX(_CONFIG_Model_Settings!$E$109:$E$113,MATCH($BI41,_CONFIG_Model_Settings!$A$109:$A$113,0)),0.25)</f>
        <v>0.1</v>
      </c>
      <c r="BN41" s="17">
        <f>IFERROR(INDEX(_CONFIG_Model_Settings!$B$117:$B$123,MATCH(_CONFIG_Model_Settings!$B$104,_CONFIG_Model_Settings!$A$117:$A$123,0)),1)</f>
        <v>1</v>
      </c>
      <c r="BO41" s="17">
        <f>IFERROR(INDEX(_CONFIG_Model_Settings!$C$117:$C$123,MATCH(_CONFIG_Model_Settings!$B$104,_CONFIG_Model_Settings!$A$117:$A$123,0)),1)</f>
        <v>1</v>
      </c>
      <c r="BP41" s="17">
        <f>IFERROR(INDEX(_CONFIG_Model_Settings!$D$117:$D$123,MATCH(_CONFIG_Model_Settings!$B$104,_CONFIG_Model_Settings!$A$117:$A$123,0)),1)</f>
        <v>1</v>
      </c>
      <c r="BQ41" s="17">
        <f>IFERROR(INDEX(_CONFIG_Model_Settings!$E$117:$E$123,MATCH(_CONFIG_Model_Settings!$B$104,_CONFIG_Model_Settings!$A$117:$A$123,0)),1)</f>
        <v>1</v>
      </c>
      <c r="BR41" s="17">
        <f>IF(OR($A41="",$P41=""),"",MIN(5,IFERROR(SUMIF(_DATA_RiskInitiativeMap!$A$1:$A$867,$A41,_DATA_RiskInitiativeMap!$K$1:$K$867)/MAX(1,_CONFIG_Model_Settings!$B$166),0)))</f>
        <v>5</v>
      </c>
      <c r="BS41" s="17">
        <f t="shared" si="41"/>
        <v>5.15</v>
      </c>
      <c r="BT41" s="17">
        <f t="shared" si="42"/>
        <v>4</v>
      </c>
      <c r="BU41" s="17">
        <f t="shared" si="43"/>
        <v>1.29</v>
      </c>
      <c r="BV41" s="17">
        <f>IF(OR($P41="",$BU41="",$AY41="Done",$AY41="Not applicable"),"",ROUND($BU41*N($AS41)*IF(OR('Resilience &amp; Risk Scenario'!$B$6="",'Resilience &amp; Risk Scenario'!$B$7&lt;=0),1,IFERROR(1+MIN(0.75,INDEX('Resilience &amp; Risk Scenario'!$E$21:$E$37,MATCH($B41,'Resilience &amp; Risk Scenario'!$B$21:$B$37,0))/10),1)),2))</f>
        <v>1.29</v>
      </c>
      <c r="BW41" s="17">
        <f>IF($BV41="","",RANK($BV41,$BV$5:$BV$76,0)+COUNTIF($BV$5:$BV41,$BV41)-1)</f>
        <v>71</v>
      </c>
      <c r="BX41" s="17" t="str">
        <f t="shared" si="44"/>
        <v>12+ months</v>
      </c>
      <c r="BY41" t="str">
        <f>IFERROR(IF($A41="","","P2: "&amp;$BI41&amp;" posture; objective="&amp;IF(_CONFIG_Model_Settings!$B$104="","Neutral/default",_CONFIG_Model_Settings!$B$104)&amp;"; relevance="&amp;ROUND(N($AS41),2)&amp;"; scenario/domain boost="&amp;ROUND(IF(OR('Resilience &amp; Risk Scenario'!$B$6="",'Resilience &amp; Risk Scenario'!$B$7&lt;=0),1,IFERROR(1+MIN(0.75,INDEX('Resilience &amp; Risk Scenario'!$E$21:$E$37,MATCH($B41,'Resilience &amp; Risk Scenario'!$B$21:$B$37,0))/10),1)),2)&amp;"; financial score="&amp;ROUND(N($BR41),1)&amp;"; CoD="&amp;$BS41&amp;IF($CL41&lt;&gt;"","; wording="&amp;$CL41,"")),"")</f>
        <v>P2: Fragile posture; objective=Neutral/default; relevance=1; scenario/domain boost=1; financial score=5; CoD=5.15; wording=Strengthen Warehouse / WMS</v>
      </c>
      <c r="BZ41" t="str">
        <f>IFERROR(INDEX(_REF_Capability_Bridge!$D:$D,MATCH($B41&amp;"|"&amp;$C41,_REF_Capability_Bridge!$J:$J,0)),IFERROR(INDEX(_REF_Capability_Bridge!$D:$D,MATCH($B41&amp;"|",_REF_Capability_Bridge!$J:$J,0)),"CAP_GENERIC"))</f>
        <v>CAP_WMS_WAREHOUSE</v>
      </c>
      <c r="CA41">
        <f>IFERROR(IFERROR(INDEX(_ENGINE_Relevance!$L:$L,MATCH($BZ41,_ENGINE_Relevance!$B:$B,0)),1),1)</f>
        <v>0.4</v>
      </c>
      <c r="CB41" t="str">
        <f>IFERROR(INDEX(_REF_Capability_Bridge!$A:$A,MATCH($B41&amp;"|"&amp;$C41,_REF_Capability_Bridge!$J:$J,0)),IFERROR(INDEX(_REF_Capability_Bridge!$A:$A,MATCH($B41&amp;"|",_REF_Capability_Bridge!$J:$J,0)),"No bridge"))</f>
        <v>BRG-055</v>
      </c>
      <c r="CC41" t="str">
        <f t="shared" si="45"/>
        <v>Capability relevance lowers priority</v>
      </c>
      <c r="CD41" t="str">
        <f t="shared" si="46"/>
        <v>Initial / absent</v>
      </c>
      <c r="CE41" t="str">
        <f>IF($A41="","",IFERROR(INDEX(_REF_Treatment_Library!$A$2:$A$296,MATCH(1,INDEX((_REF_Treatment_Library!$B$2:$B$296=$BZ41)*(_REF_Treatment_Library!$C$2:$C$296=PV_Canonical_Industry)*(_REF_Treatment_Library!$E$2:$E$296&lt;=N($N41))*(_REF_Treatment_Library!$F$2:$F$296&gt;=N($N41))*(_REF_Treatment_Library!$O$2:$O$296="Yes"),0),0)),IFERROR(INDEX(_REF_Treatment_Library!$A$2:$A$296,MATCH(1,INDEX((_REF_Treatment_Library!$B$2:$B$296=$BZ41)*(_REF_Treatment_Library!$C$2:$C$296="All")*(_REF_Treatment_Library!$E$2:$E$296&lt;=N($N41))*(_REF_Treatment_Library!$F$2:$F$296&gt;=N($N41))*(_REF_Treatment_Library!$O$2:$O$296="Yes"),0),0)),"")))</f>
        <v>TRT-WMS_WAREHOUSE-INITIAL</v>
      </c>
      <c r="CF41" t="str">
        <f>IF($CE41="","",IFERROR(INDEX(_REF_Treatment_Library!$H$2:$H$296,MATCH($CE41,_REF_Treatment_Library!$A$2:$A$296,0)),""))</f>
        <v>Establish</v>
      </c>
      <c r="CG41" t="str">
        <f>IF($CE41="","",IFERROR(INDEX(_REF_Treatment_Library!$I$2:$I$296,MATCH($CE41,_REF_Treatment_Library!$A$2:$A$296,0)),""))</f>
        <v>Establish baseline controls for Warehouse / WMS</v>
      </c>
      <c r="CH41" t="str">
        <f>IF($CE41="","",IFERROR(INDEX(_REF_Treatment_Library!$K$2:$K$296,MATCH($CE41,_REF_Treatment_Library!$A$2:$A$296,0)),""))</f>
        <v>Named owner, baseline process, minimum control checklist, first evidence package</v>
      </c>
      <c r="CI41" t="str">
        <f>IF($CE41="","",IFERROR(INDEX(_REF_Treatment_Library!$L$2:$L$296,MATCH($CE41,_REF_Treatment_Library!$A$2:$A$296,0)),""))</f>
        <v>Owner assigned; baseline evidence coverage; open critical gaps</v>
      </c>
      <c r="CJ41" t="str">
        <f t="shared" si="47"/>
        <v>Treatment by capability=CAP_WMS_WAREHOUSE; band=Initial / absent; score=0.0; treatment=Establish</v>
      </c>
      <c r="CK41" t="str">
        <f>IF($A41="","",IFERROR(INDEX(_REF_Industry_Wording!$A$2:$A$70,MATCH(1,INDEX((_REF_Industry_Wording!$B$2:$B$70=$BZ41)*(_REF_Industry_Wording!$C$2:$C$70=PV_Canonical_Industry)*(_REF_Industry_Wording!$K$2:$K$70="Yes"),0),0)),IFERROR(INDEX(_REF_Industry_Wording!$A$2:$A$70,MATCH(1,INDEX((_REF_Industry_Wording!$B$2:$B$70=$BZ41)*(_REF_Industry_Wording!$C$2:$C$70="All")*(_REF_Industry_Wording!$K$2:$K$70="Yes"),0),0)),"")))</f>
        <v>IW-ALL-WMS_WAREHOUSE</v>
      </c>
      <c r="CL41" t="str">
        <f>IF($CK41="","",IFERROR(INDEX(_REF_Industry_Wording!$F$2:$F$70,MATCH($CK41,_REF_Industry_Wording!$A$2:$A$70,0)),""))</f>
        <v>Strengthen Warehouse / WMS</v>
      </c>
      <c r="CM41" t="str">
        <f>IF($CK41="","",IFERROR(INDEX(_REF_Industry_Wording!$G$2:$G$70,MATCH($CK41,_REF_Industry_Wording!$A$2:$A$70,0)),""))</f>
        <v>Strengthen Warehouse / WMS using the selected maturity treatment, crisis scenario and evidence requirements.</v>
      </c>
      <c r="CN41" t="str">
        <f>IF($CK41="","",IFERROR(INDEX(_REF_Industry_Wording!$H$2:$H$70,MATCH($CK41,_REF_Industry_Wording!$A$2:$A$70,0)),""))</f>
        <v>Warehouse / WMS</v>
      </c>
      <c r="CO41">
        <f>IF($CK41="","",IFERROR(INDEX(_REF_Industry_Wording!$I$2:$I$70,MATCH($CK41,_REF_Industry_Wording!$A$2:$A$70,0)),""))</f>
        <v>0</v>
      </c>
      <c r="CP41" t="str">
        <f>IF($CK41="","",IFERROR(INDEX(_REF_Industry_Wording!$J$2:$J$70,MATCH($CK41,_REF_Industry_Wording!$A$2:$A$70,0)),""))</f>
        <v>Warehouse / WMS</v>
      </c>
      <c r="CQ41" t="str">
        <f t="shared" si="48"/>
        <v>Wording by industry=0; capability=CAP_WMS_WAREHOUSE; title=Strengthen Warehouse / WMS</v>
      </c>
      <c r="CR41" t="str">
        <f t="shared" si="49"/>
        <v>INIT-ONT-0037</v>
      </c>
      <c r="CS41">
        <f t="shared" si="50"/>
        <v>41</v>
      </c>
      <c r="CT41" t="str">
        <f t="shared" si="51"/>
        <v>CAP_WMS_WAREHOUSE</v>
      </c>
      <c r="CU41" t="str">
        <f t="shared" si="52"/>
        <v>INI-037|Manufacturing MES|MES and shop floor|CAP_WMS_WAREHOUSE</v>
      </c>
      <c r="CV41" t="str">
        <f t="shared" si="53"/>
        <v>Active</v>
      </c>
      <c r="CW41" t="str">
        <f t="shared" si="54"/>
        <v>OK: capability-driven</v>
      </c>
      <c r="CX41" t="str">
        <f t="shared" si="55"/>
        <v>Initiative ontology uses capability=CAP_WMS_WAREHOUSE; bridge=BRG-055; treatment=TRT-WMS_WAREHOUSE-INITIAL; wording=IW-ALL-WMS_WAREHOUSE</v>
      </c>
    </row>
    <row r="42" spans="1:102" ht="42" customHeight="1">
      <c r="A42" s="17" t="s">
        <v>4250</v>
      </c>
      <c r="B42" s="17" t="s">
        <v>2145</v>
      </c>
      <c r="C42" s="17" t="s">
        <v>2166</v>
      </c>
      <c r="D42" s="17" t="s">
        <v>4230</v>
      </c>
      <c r="E42" s="17" t="s">
        <v>4231</v>
      </c>
      <c r="F42" s="17" t="s">
        <v>4251</v>
      </c>
      <c r="G42" s="17" t="s">
        <v>4252</v>
      </c>
      <c r="H42" s="17" t="s">
        <v>3688</v>
      </c>
      <c r="I42" s="17" t="s">
        <v>4234</v>
      </c>
      <c r="J42" s="17" t="s">
        <v>4253</v>
      </c>
      <c r="K42" s="17">
        <v>6</v>
      </c>
      <c r="L42" s="17">
        <f>IF($A42="","",COUNTIFS(_DATA_RiskInitiativeMap!$A$444:$A$867,$A42,_DATA_RiskInitiativeMap!$G$444:$G$867,"&gt;0"))</f>
        <v>6</v>
      </c>
      <c r="M42" s="17">
        <f>IF($A42="","",COUNTIFS(_DATA_RiskInitiativeMap!$A$444:$A$867,$A42,_DATA_RiskInitiativeMap!$G$444:$G$867,"&gt;0"))</f>
        <v>6</v>
      </c>
      <c r="N42" s="17">
        <f>IFERROR(AVERAGEIFS(_DATA_Assessment_Model!$H$5:$H$428,_DATA_Assessment_Model!$AW$5:$AW$428,$B42,_DATA_Assessment_Model!$B$5:$B$428,$C42),"")</f>
        <v>0</v>
      </c>
      <c r="O42" s="17">
        <f t="shared" si="28"/>
        <v>5</v>
      </c>
      <c r="P42" s="17">
        <f>IFERROR(INDEX(_DATA_Dashboard_Facts!$H$5:$H$21,MATCH($B42,_DATA_Dashboard_Facts!$A$5:$A$21,0)),"")</f>
        <v>0</v>
      </c>
      <c r="Q42" s="17">
        <f t="shared" si="29"/>
        <v>5</v>
      </c>
      <c r="R42" s="17">
        <f>IF(OR('Resilience &amp; Risk Scenario'!$B$6="",'Resilience &amp; Risk Scenario'!$B$7&lt;=0),1,IFERROR(IF(SUMIFS(_ENGINE_Crisis!$D$5:$D$208,_ENGINE_Crisis!$A$5:$A$208,'Resilience &amp; Risk Scenario'!$B$6,_ENGINE_Crisis!$B$5:$B$208,$B42)=0,1,SUMIFS(_ENGINE_Crisis!$D$5:$D$208,_ENGINE_Crisis!$A$5:$A$208,'Resilience &amp; Risk Scenario'!$B$6,_ENGINE_Crisis!$B$5:$B$208,$B42)),1))</f>
        <v>1</v>
      </c>
      <c r="S42" s="17">
        <f>IFERROR(INDEX(_ENGINE_Strategy!$A$100:$A$113,MATCH($D42,_ENGINE_Strategy!$B$100:$B$113,0)),99)</f>
        <v>1</v>
      </c>
      <c r="T42" s="17">
        <f>IFERROR(INDEX(_ENGINE_Strategy!$J$100:$J$113,MATCH($D42,_ENGINE_Strategy!$B$100:$B$113,0)),0)</f>
        <v>71</v>
      </c>
      <c r="U42" s="17">
        <v>5</v>
      </c>
      <c r="V42" s="17">
        <v>5</v>
      </c>
      <c r="W42" s="17">
        <v>4</v>
      </c>
      <c r="X42" s="17">
        <f t="shared" si="30"/>
        <v>4.6375000000000002</v>
      </c>
      <c r="Y42" s="17">
        <f>IF($P42="","",MAX(1,MIN(5,1+N($O42)*0.45+MIN(2,N($M42)*0.3)+($R42-1)*1.2+IF('Resilience &amp; Risk Scenario'!$B$7="",1,'Resilience &amp; Risk Scenario'!$B$7)*0.25)))</f>
        <v>5</v>
      </c>
      <c r="Z42" s="17">
        <f t="shared" si="31"/>
        <v>5</v>
      </c>
      <c r="AA42" s="17">
        <f t="shared" si="32"/>
        <v>4.2650000000000006</v>
      </c>
      <c r="AB42" s="17">
        <v>4</v>
      </c>
      <c r="AC42" s="17">
        <f t="shared" si="33"/>
        <v>1.39</v>
      </c>
      <c r="AD42" s="17">
        <f t="shared" si="34"/>
        <v>47</v>
      </c>
      <c r="AE42" s="17" t="str">
        <f t="shared" si="35"/>
        <v>6-12 months</v>
      </c>
      <c r="AF42" s="17" t="s">
        <v>4236</v>
      </c>
      <c r="AG42" s="17" t="s">
        <v>3502</v>
      </c>
      <c r="AH42" s="17" t="s">
        <v>4171</v>
      </c>
      <c r="AI42" s="17" t="s">
        <v>4237</v>
      </c>
      <c r="AJ42" s="17" t="s">
        <v>4254</v>
      </c>
      <c r="AK42" s="17" t="s">
        <v>4255</v>
      </c>
      <c r="AL42" s="17" t="s">
        <v>4256</v>
      </c>
      <c r="AM42" s="17" t="s">
        <v>4241</v>
      </c>
      <c r="AN42" s="17" t="s">
        <v>3937</v>
      </c>
      <c r="AO42" s="17" t="s">
        <v>3938</v>
      </c>
      <c r="AP42" s="17" t="s">
        <v>4242</v>
      </c>
      <c r="AQ42" s="17"/>
      <c r="AR42" s="17"/>
      <c r="AS42" s="14">
        <f>IFERROR((IF(SUMIFS(_REF_Model_Content!$J$1:$J$157,_REF_Model_Content!$A$1:$A$174,PV_Canonical_Industry,_REF_Model_Content!$B$1:$B$174,$B42)=0,1,SUMIFS(_REF_Model_Content!$J$1:$J$157,_REF_Model_Content!$A$1:$A$174,PV_Canonical_Industry,_REF_Model_Content!$B$1:$B$174,$B42))*IFERROR($CA42,1)),1)</f>
        <v>1</v>
      </c>
      <c r="AT42" s="14">
        <f t="shared" si="36"/>
        <v>1.39</v>
      </c>
      <c r="AU42" s="14">
        <f>IF($AT42="","",RANK($AT42,$AT$5:$AT$76,0)+COUNTIF($AT$5:AT42,$AT42)-1)</f>
        <v>47</v>
      </c>
      <c r="AV42" s="14">
        <f>IFERROR(INDEX(_DATA_Dashboard_Facts!$G$300:$G$316,MATCH($B42,_DATA_Dashboard_Facts!$A$300:$A$316,0)),"")</f>
        <v>0</v>
      </c>
      <c r="AW42" s="14" t="str">
        <f t="shared" si="37"/>
        <v>Relevance-neutral priority</v>
      </c>
      <c r="AX42">
        <f>IFERROR(INDEX('Action Plan &amp; Roadmap'!$D$59:$D$130,MATCH($A42,'Action Plan &amp; Roadmap'!$A$59:$A$130,0)),"")</f>
        <v>0</v>
      </c>
      <c r="AY42">
        <f t="shared" si="38"/>
        <v>0</v>
      </c>
      <c r="AZ42" t="s">
        <v>4083</v>
      </c>
      <c r="BA42">
        <f>IF($A42="","",COUNTIF(_DATA_RiskInitiativeMap!$A$1:$A$867,$A42))</f>
        <v>6</v>
      </c>
      <c r="BB42">
        <f>IF($A42="","",IFERROR(AVERAGEIF(_DATA_RiskInitiativeMap!$A$1:$A$867,$A42,_DATA_RiskInitiativeMap!$G$1:$G$867),0))</f>
        <v>23.321666666666669</v>
      </c>
      <c r="BC42">
        <f t="shared" si="39"/>
        <v>4.8</v>
      </c>
      <c r="BD42">
        <f t="shared" si="40"/>
        <v>4.8425166666666666</v>
      </c>
      <c r="BI42" s="17" t="str">
        <f>IFERROR(_CONFIG_Model_Settings!$B$103,"Adaptive")</f>
        <v>Fragile</v>
      </c>
      <c r="BJ42" s="17">
        <f>IFERROR(INDEX(_CONFIG_Model_Settings!$B$109:$B$113,MATCH($BI42,_CONFIG_Model_Settings!$A$109:$A$113,0)),0.3)</f>
        <v>0.2</v>
      </c>
      <c r="BK42" s="17">
        <f>IFERROR(INDEX(_CONFIG_Model_Settings!$C$109:$C$113,MATCH($BI42,_CONFIG_Model_Settings!$A$109:$A$113,0)),0.2)</f>
        <v>0.3</v>
      </c>
      <c r="BL42" s="17">
        <f>IFERROR(INDEX(_CONFIG_Model_Settings!$D$109:$D$113,MATCH($BI42,_CONFIG_Model_Settings!$A$109:$A$113,0)),0.25)</f>
        <v>0.4</v>
      </c>
      <c r="BM42" s="17">
        <f>IFERROR(INDEX(_CONFIG_Model_Settings!$E$109:$E$113,MATCH($BI42,_CONFIG_Model_Settings!$A$109:$A$113,0)),0.25)</f>
        <v>0.1</v>
      </c>
      <c r="BN42" s="17">
        <f>IFERROR(INDEX(_CONFIG_Model_Settings!$B$117:$B$123,MATCH(_CONFIG_Model_Settings!$B$104,_CONFIG_Model_Settings!$A$117:$A$123,0)),1)</f>
        <v>1</v>
      </c>
      <c r="BO42" s="17">
        <f>IFERROR(INDEX(_CONFIG_Model_Settings!$C$117:$C$123,MATCH(_CONFIG_Model_Settings!$B$104,_CONFIG_Model_Settings!$A$117:$A$123,0)),1)</f>
        <v>1</v>
      </c>
      <c r="BP42" s="17">
        <f>IFERROR(INDEX(_CONFIG_Model_Settings!$D$117:$D$123,MATCH(_CONFIG_Model_Settings!$B$104,_CONFIG_Model_Settings!$A$117:$A$123,0)),1)</f>
        <v>1</v>
      </c>
      <c r="BQ42" s="17">
        <f>IFERROR(INDEX(_CONFIG_Model_Settings!$E$117:$E$123,MATCH(_CONFIG_Model_Settings!$B$104,_CONFIG_Model_Settings!$A$117:$A$123,0)),1)</f>
        <v>1</v>
      </c>
      <c r="BR42" s="17">
        <f>IF(OR($A42="",$P42=""),"",MIN(5,IFERROR(SUMIF(_DATA_RiskInitiativeMap!$A$1:$A$867,$A42,_DATA_RiskInitiativeMap!$K$1:$K$867)/MAX(1,_CONFIG_Model_Settings!$B$166),0)))</f>
        <v>5</v>
      </c>
      <c r="BS42" s="17">
        <f t="shared" si="41"/>
        <v>5.54</v>
      </c>
      <c r="BT42" s="17">
        <f t="shared" si="42"/>
        <v>4</v>
      </c>
      <c r="BU42" s="17">
        <f t="shared" si="43"/>
        <v>1.39</v>
      </c>
      <c r="BV42" s="17">
        <f>IF(OR($P42="",$BU42="",$AY42="Done",$AY42="Not applicable"),"",ROUND($BU42*N($AS42)*IF(OR('Resilience &amp; Risk Scenario'!$B$6="",'Resilience &amp; Risk Scenario'!$B$7&lt;=0),1,IFERROR(1+MIN(0.75,INDEX('Resilience &amp; Risk Scenario'!$E$21:$E$37,MATCH($B42,'Resilience &amp; Risk Scenario'!$B$21:$B$37,0))/10),1)),2))</f>
        <v>1.39</v>
      </c>
      <c r="BW42" s="17">
        <f>IF($BV42="","",RANK($BV42,$BV$5:$BV$76,0)+COUNTIF($BV$5:$BV42,$BV42)-1)</f>
        <v>47</v>
      </c>
      <c r="BX42" s="17" t="str">
        <f t="shared" si="44"/>
        <v>6-12 months</v>
      </c>
      <c r="BY42" t="str">
        <f>IFERROR(IF($A42="","","P2: "&amp;$BI42&amp;" posture; objective="&amp;IF(_CONFIG_Model_Settings!$B$104="","Neutral/default",_CONFIG_Model_Settings!$B$104)&amp;"; relevance="&amp;ROUND(N($AS42),2)&amp;"; scenario/domain boost="&amp;ROUND(IF(OR('Resilience &amp; Risk Scenario'!$B$6="",'Resilience &amp; Risk Scenario'!$B$7&lt;=0),1,IFERROR(1+MIN(0.75,INDEX('Resilience &amp; Risk Scenario'!$E$21:$E$37,MATCH($B42,'Resilience &amp; Risk Scenario'!$B$21:$B$37,0))/10),1)),2)&amp;"; financial score="&amp;ROUND(N($BR42),1)&amp;"; CoD="&amp;$BS42&amp;IF($CL42&lt;&gt;"","; wording="&amp;$CL42,"")),"")</f>
        <v>P2: Fragile posture; objective=Neutral/default; relevance=1; scenario/domain boost=1; financial score=5; CoD=5.54; wording=Strengthen Backup / recovery</v>
      </c>
      <c r="BZ42" t="str">
        <f>IFERROR(INDEX(_REF_Capability_Bridge!$D:$D,MATCH($B42&amp;"|"&amp;$C42,_REF_Capability_Bridge!$J:$J,0)),IFERROR(INDEX(_REF_Capability_Bridge!$D:$D,MATCH($B42&amp;"|",_REF_Capability_Bridge!$J:$J,0)),"CAP_GENERIC"))</f>
        <v>CAP_BACKUP_RECOVERY</v>
      </c>
      <c r="CA42">
        <f>IFERROR(IFERROR(INDEX(_ENGINE_Relevance!$L:$L,MATCH($BZ42,_ENGINE_Relevance!$B:$B,0)),1),1)</f>
        <v>1</v>
      </c>
      <c r="CB42" t="str">
        <f>IFERROR(INDEX(_REF_Capability_Bridge!$A:$A,MATCH($B42&amp;"|"&amp;$C42,_REF_Capability_Bridge!$J:$J,0)),IFERROR(INDEX(_REF_Capability_Bridge!$A:$A,MATCH($B42&amp;"|",_REF_Capability_Bridge!$J:$J,0)),"No bridge"))</f>
        <v>BRG-056</v>
      </c>
      <c r="CC42" t="str">
        <f t="shared" si="45"/>
        <v>Capability relevance neutral</v>
      </c>
      <c r="CD42" t="str">
        <f t="shared" si="46"/>
        <v>Initial / absent</v>
      </c>
      <c r="CE42" t="str">
        <f>IF($A42="","",IFERROR(INDEX(_REF_Treatment_Library!$A$2:$A$296,MATCH(1,INDEX((_REF_Treatment_Library!$B$2:$B$296=$BZ42)*(_REF_Treatment_Library!$C$2:$C$296=PV_Canonical_Industry)*(_REF_Treatment_Library!$E$2:$E$296&lt;=N($N42))*(_REF_Treatment_Library!$F$2:$F$296&gt;=N($N42))*(_REF_Treatment_Library!$O$2:$O$296="Yes"),0),0)),IFERROR(INDEX(_REF_Treatment_Library!$A$2:$A$296,MATCH(1,INDEX((_REF_Treatment_Library!$B$2:$B$296=$BZ42)*(_REF_Treatment_Library!$C$2:$C$296="All")*(_REF_Treatment_Library!$E$2:$E$296&lt;=N($N42))*(_REF_Treatment_Library!$F$2:$F$296&gt;=N($N42))*(_REF_Treatment_Library!$O$2:$O$296="Yes"),0),0)),"")))</f>
        <v>TRT-BACKUP_RECOVERY-INITIAL</v>
      </c>
      <c r="CF42" t="str">
        <f>IF($CE42="","",IFERROR(INDEX(_REF_Treatment_Library!$H$2:$H$296,MATCH($CE42,_REF_Treatment_Library!$A$2:$A$296,0)),""))</f>
        <v>Establish</v>
      </c>
      <c r="CG42" t="str">
        <f>IF($CE42="","",IFERROR(INDEX(_REF_Treatment_Library!$I$2:$I$296,MATCH($CE42,_REF_Treatment_Library!$A$2:$A$296,0)),""))</f>
        <v>Establish baseline controls for Backup / recovery</v>
      </c>
      <c r="CH42" t="str">
        <f>IF($CE42="","",IFERROR(INDEX(_REF_Treatment_Library!$K$2:$K$296,MATCH($CE42,_REF_Treatment_Library!$A$2:$A$296,0)),""))</f>
        <v>Named owner, baseline process, minimum control checklist, first evidence package</v>
      </c>
      <c r="CI42" t="str">
        <f>IF($CE42="","",IFERROR(INDEX(_REF_Treatment_Library!$L$2:$L$296,MATCH($CE42,_REF_Treatment_Library!$A$2:$A$296,0)),""))</f>
        <v>Owner assigned; baseline evidence coverage; open critical gaps</v>
      </c>
      <c r="CJ42" t="str">
        <f t="shared" si="47"/>
        <v>Treatment by capability=CAP_BACKUP_RECOVERY; band=Initial / absent; score=0.0; treatment=Establish</v>
      </c>
      <c r="CK42" t="str">
        <f>IF($A42="","",IFERROR(INDEX(_REF_Industry_Wording!$A$2:$A$70,MATCH(1,INDEX((_REF_Industry_Wording!$B$2:$B$70=$BZ42)*(_REF_Industry_Wording!$C$2:$C$70=PV_Canonical_Industry)*(_REF_Industry_Wording!$K$2:$K$70="Yes"),0),0)),IFERROR(INDEX(_REF_Industry_Wording!$A$2:$A$70,MATCH(1,INDEX((_REF_Industry_Wording!$B$2:$B$70=$BZ42)*(_REF_Industry_Wording!$C$2:$C$70="All")*(_REF_Industry_Wording!$K$2:$K$70="Yes"),0),0)),"")))</f>
        <v>IW-ALL-BACKUP_RECOVERY</v>
      </c>
      <c r="CL42" t="str">
        <f>IF($CK42="","",IFERROR(INDEX(_REF_Industry_Wording!$F$2:$F$70,MATCH($CK42,_REF_Industry_Wording!$A$2:$A$70,0)),""))</f>
        <v>Strengthen Backup / recovery</v>
      </c>
      <c r="CM42" t="str">
        <f>IF($CK42="","",IFERROR(INDEX(_REF_Industry_Wording!$G$2:$G$70,MATCH($CK42,_REF_Industry_Wording!$A$2:$A$70,0)),""))</f>
        <v>Strengthen Backup / recovery using the selected maturity treatment, crisis scenario and evidence requirements.</v>
      </c>
      <c r="CN42" t="str">
        <f>IF($CK42="","",IFERROR(INDEX(_REF_Industry_Wording!$H$2:$H$70,MATCH($CK42,_REF_Industry_Wording!$A$2:$A$70,0)),""))</f>
        <v>Backup / recovery</v>
      </c>
      <c r="CO42">
        <f>IF($CK42="","",IFERROR(INDEX(_REF_Industry_Wording!$I$2:$I$70,MATCH($CK42,_REF_Industry_Wording!$A$2:$A$70,0)),""))</f>
        <v>0</v>
      </c>
      <c r="CP42" t="str">
        <f>IF($CK42="","",IFERROR(INDEX(_REF_Industry_Wording!$J$2:$J$70,MATCH($CK42,_REF_Industry_Wording!$A$2:$A$70,0)),""))</f>
        <v>Backup / recovery</v>
      </c>
      <c r="CQ42" t="str">
        <f t="shared" si="48"/>
        <v>Wording by industry=0; capability=CAP_BACKUP_RECOVERY; title=Strengthen Backup / recovery</v>
      </c>
      <c r="CR42" t="str">
        <f t="shared" si="49"/>
        <v>INIT-ONT-0038</v>
      </c>
      <c r="CS42">
        <f t="shared" si="50"/>
        <v>42</v>
      </c>
      <c r="CT42" t="str">
        <f t="shared" si="51"/>
        <v>CAP_BACKUP_RECOVERY</v>
      </c>
      <c r="CU42" t="str">
        <f t="shared" si="52"/>
        <v>INI-038|Manufacturing MES|Maintenance and assets|CAP_BACKUP_RECOVERY</v>
      </c>
      <c r="CV42" t="str">
        <f t="shared" si="53"/>
        <v>Active</v>
      </c>
      <c r="CW42" t="str">
        <f t="shared" si="54"/>
        <v>OK: capability-driven</v>
      </c>
      <c r="CX42" t="str">
        <f t="shared" si="55"/>
        <v>Initiative ontology uses capability=CAP_BACKUP_RECOVERY; bridge=BRG-056; treatment=TRT-BACKUP_RECOVERY-INITIAL; wording=IW-ALL-BACKUP_RECOVERY</v>
      </c>
    </row>
    <row r="43" spans="1:102" ht="42" customHeight="1">
      <c r="A43" s="17" t="s">
        <v>4257</v>
      </c>
      <c r="B43" s="17" t="s">
        <v>2145</v>
      </c>
      <c r="C43" s="17" t="s">
        <v>2170</v>
      </c>
      <c r="D43" s="17" t="s">
        <v>4230</v>
      </c>
      <c r="E43" s="17" t="s">
        <v>4231</v>
      </c>
      <c r="F43" s="17" t="s">
        <v>4258</v>
      </c>
      <c r="G43" s="17" t="s">
        <v>4259</v>
      </c>
      <c r="H43" s="17" t="s">
        <v>3688</v>
      </c>
      <c r="I43" s="17" t="s">
        <v>4234</v>
      </c>
      <c r="J43" s="17" t="s">
        <v>4260</v>
      </c>
      <c r="K43" s="17">
        <v>6</v>
      </c>
      <c r="L43" s="17">
        <f>IF($A43="","",COUNTIFS(_DATA_RiskInitiativeMap!$A$444:$A$867,$A43,_DATA_RiskInitiativeMap!$G$444:$G$867,"&gt;0"))</f>
        <v>6</v>
      </c>
      <c r="M43" s="17">
        <f>IF($A43="","",COUNTIFS(_DATA_RiskInitiativeMap!$A$444:$A$867,$A43,_DATA_RiskInitiativeMap!$G$444:$G$867,"&gt;0"))</f>
        <v>6</v>
      </c>
      <c r="N43" s="17">
        <f>IFERROR(AVERAGEIFS(_DATA_Assessment_Model!$H$5:$H$428,_DATA_Assessment_Model!$AW$5:$AW$428,$B43,_DATA_Assessment_Model!$B$5:$B$428,$C43),"")</f>
        <v>0</v>
      </c>
      <c r="O43" s="17">
        <f t="shared" si="28"/>
        <v>5</v>
      </c>
      <c r="P43" s="17">
        <f>IFERROR(INDEX(_DATA_Dashboard_Facts!$H$5:$H$21,MATCH($B43,_DATA_Dashboard_Facts!$A$5:$A$21,0)),"")</f>
        <v>0</v>
      </c>
      <c r="Q43" s="17">
        <f t="shared" si="29"/>
        <v>5</v>
      </c>
      <c r="R43" s="17">
        <f>IF(OR('Resilience &amp; Risk Scenario'!$B$6="",'Resilience &amp; Risk Scenario'!$B$7&lt;=0),1,IFERROR(IF(SUMIFS(_ENGINE_Crisis!$D$5:$D$208,_ENGINE_Crisis!$A$5:$A$208,'Resilience &amp; Risk Scenario'!$B$6,_ENGINE_Crisis!$B$5:$B$208,$B43)=0,1,SUMIFS(_ENGINE_Crisis!$D$5:$D$208,_ENGINE_Crisis!$A$5:$A$208,'Resilience &amp; Risk Scenario'!$B$6,_ENGINE_Crisis!$B$5:$B$208,$B43)),1))</f>
        <v>1</v>
      </c>
      <c r="S43" s="17">
        <f>IFERROR(INDEX(_ENGINE_Strategy!$A$100:$A$113,MATCH($D43,_ENGINE_Strategy!$B$100:$B$113,0)),99)</f>
        <v>1</v>
      </c>
      <c r="T43" s="17">
        <f>IFERROR(INDEX(_ENGINE_Strategy!$J$100:$J$113,MATCH($D43,_ENGINE_Strategy!$B$100:$B$113,0)),0)</f>
        <v>71</v>
      </c>
      <c r="U43" s="17">
        <v>5</v>
      </c>
      <c r="V43" s="17">
        <v>5</v>
      </c>
      <c r="W43" s="17">
        <v>4</v>
      </c>
      <c r="X43" s="17">
        <f t="shared" si="30"/>
        <v>4.6375000000000002</v>
      </c>
      <c r="Y43" s="17">
        <f>IF($P43="","",MAX(1,MIN(5,1+N($O43)*0.45+MIN(2,N($M43)*0.3)+($R43-1)*1.2+IF('Resilience &amp; Risk Scenario'!$B$7="",1,'Resilience &amp; Risk Scenario'!$B$7)*0.25)))</f>
        <v>5</v>
      </c>
      <c r="Z43" s="17">
        <f t="shared" si="31"/>
        <v>5</v>
      </c>
      <c r="AA43" s="17">
        <f t="shared" si="32"/>
        <v>4.2650000000000006</v>
      </c>
      <c r="AB43" s="17">
        <v>4</v>
      </c>
      <c r="AC43" s="17">
        <f t="shared" si="33"/>
        <v>1.38</v>
      </c>
      <c r="AD43" s="17">
        <f t="shared" si="34"/>
        <v>51</v>
      </c>
      <c r="AE43" s="17" t="str">
        <f t="shared" si="35"/>
        <v>6-12 months</v>
      </c>
      <c r="AF43" s="17" t="s">
        <v>4236</v>
      </c>
      <c r="AG43" s="17" t="s">
        <v>3502</v>
      </c>
      <c r="AH43" s="17" t="s">
        <v>4171</v>
      </c>
      <c r="AI43" s="17" t="s">
        <v>4237</v>
      </c>
      <c r="AJ43" s="17" t="s">
        <v>4261</v>
      </c>
      <c r="AK43" s="17" t="s">
        <v>4262</v>
      </c>
      <c r="AL43" s="17" t="s">
        <v>4263</v>
      </c>
      <c r="AM43" s="17" t="s">
        <v>4241</v>
      </c>
      <c r="AN43" s="17" t="s">
        <v>3937</v>
      </c>
      <c r="AO43" s="17" t="s">
        <v>3938</v>
      </c>
      <c r="AP43" s="17" t="s">
        <v>4242</v>
      </c>
      <c r="AQ43" s="17"/>
      <c r="AR43" s="17"/>
      <c r="AS43" s="14">
        <f>IFERROR((IF(SUMIFS(_REF_Model_Content!$J$1:$J$157,_REF_Model_Content!$A$1:$A$174,PV_Canonical_Industry,_REF_Model_Content!$B$1:$B$174,$B43)=0,1,SUMIFS(_REF_Model_Content!$J$1:$J$157,_REF_Model_Content!$A$1:$A$174,PV_Canonical_Industry,_REF_Model_Content!$B$1:$B$174,$B43))*IFERROR($CA43,1)),1)</f>
        <v>1</v>
      </c>
      <c r="AT43" s="14">
        <f t="shared" si="36"/>
        <v>1.38</v>
      </c>
      <c r="AU43" s="14">
        <f>IF($AT43="","",RANK($AT43,$AT$5:$AT$76,0)+COUNTIF($AT$5:AT43,$AT43)-1)</f>
        <v>51</v>
      </c>
      <c r="AV43" s="14">
        <f>IFERROR(INDEX(_DATA_Dashboard_Facts!$G$300:$G$316,MATCH($B43,_DATA_Dashboard_Facts!$A$300:$A$316,0)),"")</f>
        <v>0</v>
      </c>
      <c r="AW43" s="14" t="str">
        <f t="shared" si="37"/>
        <v>Relevance-neutral priority</v>
      </c>
      <c r="AX43">
        <f>IFERROR(INDEX('Action Plan &amp; Roadmap'!$D$59:$D$130,MATCH($A43,'Action Plan &amp; Roadmap'!$A$59:$A$130,0)),"")</f>
        <v>0</v>
      </c>
      <c r="AY43">
        <f t="shared" si="38"/>
        <v>0</v>
      </c>
      <c r="AZ43" t="s">
        <v>4083</v>
      </c>
      <c r="BA43">
        <f>IF($A43="","",COUNTIF(_DATA_RiskInitiativeMap!$A$1:$A$867,$A43))</f>
        <v>6</v>
      </c>
      <c r="BB43">
        <f>IF($A43="","",IFERROR(AVERAGEIF(_DATA_RiskInitiativeMap!$A$1:$A$867,$A43,_DATA_RiskInitiativeMap!$G$1:$G$867),0))</f>
        <v>22.983333333333334</v>
      </c>
      <c r="BC43">
        <f t="shared" si="39"/>
        <v>4.8</v>
      </c>
      <c r="BD43">
        <f t="shared" si="40"/>
        <v>4.8188333333333331</v>
      </c>
      <c r="BI43" s="17" t="str">
        <f>IFERROR(_CONFIG_Model_Settings!$B$103,"Adaptive")</f>
        <v>Fragile</v>
      </c>
      <c r="BJ43" s="17">
        <f>IFERROR(INDEX(_CONFIG_Model_Settings!$B$109:$B$113,MATCH($BI43,_CONFIG_Model_Settings!$A$109:$A$113,0)),0.3)</f>
        <v>0.2</v>
      </c>
      <c r="BK43" s="17">
        <f>IFERROR(INDEX(_CONFIG_Model_Settings!$C$109:$C$113,MATCH($BI43,_CONFIG_Model_Settings!$A$109:$A$113,0)),0.2)</f>
        <v>0.3</v>
      </c>
      <c r="BL43" s="17">
        <f>IFERROR(INDEX(_CONFIG_Model_Settings!$D$109:$D$113,MATCH($BI43,_CONFIG_Model_Settings!$A$109:$A$113,0)),0.25)</f>
        <v>0.4</v>
      </c>
      <c r="BM43" s="17">
        <f>IFERROR(INDEX(_CONFIG_Model_Settings!$E$109:$E$113,MATCH($BI43,_CONFIG_Model_Settings!$A$109:$A$113,0)),0.25)</f>
        <v>0.1</v>
      </c>
      <c r="BN43" s="17">
        <f>IFERROR(INDEX(_CONFIG_Model_Settings!$B$117:$B$123,MATCH(_CONFIG_Model_Settings!$B$104,_CONFIG_Model_Settings!$A$117:$A$123,0)),1)</f>
        <v>1</v>
      </c>
      <c r="BO43" s="17">
        <f>IFERROR(INDEX(_CONFIG_Model_Settings!$C$117:$C$123,MATCH(_CONFIG_Model_Settings!$B$104,_CONFIG_Model_Settings!$A$117:$A$123,0)),1)</f>
        <v>1</v>
      </c>
      <c r="BP43" s="17">
        <f>IFERROR(INDEX(_CONFIG_Model_Settings!$D$117:$D$123,MATCH(_CONFIG_Model_Settings!$B$104,_CONFIG_Model_Settings!$A$117:$A$123,0)),1)</f>
        <v>1</v>
      </c>
      <c r="BQ43" s="17">
        <f>IFERROR(INDEX(_CONFIG_Model_Settings!$E$117:$E$123,MATCH(_CONFIG_Model_Settings!$B$104,_CONFIG_Model_Settings!$A$117:$A$123,0)),1)</f>
        <v>1</v>
      </c>
      <c r="BR43" s="17">
        <f>IF(OR($A43="",$P43=""),"",MIN(5,IFERROR(SUMIF(_DATA_RiskInitiativeMap!$A$1:$A$867,$A43,_DATA_RiskInitiativeMap!$K$1:$K$867)/MAX(1,_CONFIG_Model_Settings!$B$166),0)))</f>
        <v>5</v>
      </c>
      <c r="BS43" s="17">
        <f t="shared" si="41"/>
        <v>5.53</v>
      </c>
      <c r="BT43" s="17">
        <f t="shared" si="42"/>
        <v>4</v>
      </c>
      <c r="BU43" s="17">
        <f t="shared" si="43"/>
        <v>1.38</v>
      </c>
      <c r="BV43" s="17">
        <f>IF(OR($P43="",$BU43="",$AY43="Done",$AY43="Not applicable"),"",ROUND($BU43*N($AS43)*IF(OR('Resilience &amp; Risk Scenario'!$B$6="",'Resilience &amp; Risk Scenario'!$B$7&lt;=0),1,IFERROR(1+MIN(0.75,INDEX('Resilience &amp; Risk Scenario'!$E$21:$E$37,MATCH($B43,'Resilience &amp; Risk Scenario'!$B$21:$B$37,0))/10),1)),2))</f>
        <v>1.38</v>
      </c>
      <c r="BW43" s="17">
        <f>IF($BV43="","",RANK($BV43,$BV$5:$BV$76,0)+COUNTIF($BV$5:$BV43,$BV43)-1)</f>
        <v>51</v>
      </c>
      <c r="BX43" s="17" t="str">
        <f t="shared" si="44"/>
        <v>6-12 months</v>
      </c>
      <c r="BY43" t="str">
        <f>IFERROR(IF($A43="","","P2: "&amp;$BI43&amp;" posture; objective="&amp;IF(_CONFIG_Model_Settings!$B$104="","Neutral/default",_CONFIG_Model_Settings!$B$104)&amp;"; relevance="&amp;ROUND(N($AS43),2)&amp;"; scenario/domain boost="&amp;ROUND(IF(OR('Resilience &amp; Risk Scenario'!$B$6="",'Resilience &amp; Risk Scenario'!$B$7&lt;=0),1,IFERROR(1+MIN(0.75,INDEX('Resilience &amp; Risk Scenario'!$E$21:$E$37,MATCH($B43,'Resilience &amp; Risk Scenario'!$B$21:$B$37,0))/10),1)),2)&amp;"; financial score="&amp;ROUND(N($BR43),1)&amp;"; CoD="&amp;$BS43&amp;IF($CL43&lt;&gt;"","; wording="&amp;$CL43,"")),"")</f>
        <v>P2: Fragile posture; objective=Neutral/default; relevance=1; scenario/domain boost=1; financial score=5; CoD=5.53; wording=Strengthen Supplier resilience</v>
      </c>
      <c r="BZ43" t="str">
        <f>IFERROR(INDEX(_REF_Capability_Bridge!$D:$D,MATCH($B43&amp;"|"&amp;$C43,_REF_Capability_Bridge!$J:$J,0)),IFERROR(INDEX(_REF_Capability_Bridge!$D:$D,MATCH($B43&amp;"|",_REF_Capability_Bridge!$J:$J,0)),"CAP_GENERIC"))</f>
        <v>CAP_SUPPLIER_RESILIENCE</v>
      </c>
      <c r="CA43">
        <f>IFERROR(IFERROR(INDEX(_ENGINE_Relevance!$L:$L,MATCH($BZ43,_ENGINE_Relevance!$B:$B,0)),1),1)</f>
        <v>1</v>
      </c>
      <c r="CB43" t="str">
        <f>IFERROR(INDEX(_REF_Capability_Bridge!$A:$A,MATCH($B43&amp;"|"&amp;$C43,_REF_Capability_Bridge!$J:$J,0)),IFERROR(INDEX(_REF_Capability_Bridge!$A:$A,MATCH($B43&amp;"|",_REF_Capability_Bridge!$J:$J,0)),"No bridge"))</f>
        <v>BRG-059</v>
      </c>
      <c r="CC43" t="str">
        <f t="shared" si="45"/>
        <v>Capability relevance neutral</v>
      </c>
      <c r="CD43" t="str">
        <f t="shared" si="46"/>
        <v>Initial / absent</v>
      </c>
      <c r="CE43" t="str">
        <f>IF($A43="","",IFERROR(INDEX(_REF_Treatment_Library!$A$2:$A$296,MATCH(1,INDEX((_REF_Treatment_Library!$B$2:$B$296=$BZ43)*(_REF_Treatment_Library!$C$2:$C$296=PV_Canonical_Industry)*(_REF_Treatment_Library!$E$2:$E$296&lt;=N($N43))*(_REF_Treatment_Library!$F$2:$F$296&gt;=N($N43))*(_REF_Treatment_Library!$O$2:$O$296="Yes"),0),0)),IFERROR(INDEX(_REF_Treatment_Library!$A$2:$A$296,MATCH(1,INDEX((_REF_Treatment_Library!$B$2:$B$296=$BZ43)*(_REF_Treatment_Library!$C$2:$C$296="All")*(_REF_Treatment_Library!$E$2:$E$296&lt;=N($N43))*(_REF_Treatment_Library!$F$2:$F$296&gt;=N($N43))*(_REF_Treatment_Library!$O$2:$O$296="Yes"),0),0)),"")))</f>
        <v>TRT-SUPPLIER_RESILIENCE-INITIAL</v>
      </c>
      <c r="CF43" t="str">
        <f>IF($CE43="","",IFERROR(INDEX(_REF_Treatment_Library!$H$2:$H$296,MATCH($CE43,_REF_Treatment_Library!$A$2:$A$296,0)),""))</f>
        <v>Establish</v>
      </c>
      <c r="CG43" t="str">
        <f>IF($CE43="","",IFERROR(INDEX(_REF_Treatment_Library!$I$2:$I$296,MATCH($CE43,_REF_Treatment_Library!$A$2:$A$296,0)),""))</f>
        <v>Establish baseline controls for Supplier resilience</v>
      </c>
      <c r="CH43" t="str">
        <f>IF($CE43="","",IFERROR(INDEX(_REF_Treatment_Library!$K$2:$K$296,MATCH($CE43,_REF_Treatment_Library!$A$2:$A$296,0)),""))</f>
        <v>Named owner, baseline process, minimum control checklist, first evidence package</v>
      </c>
      <c r="CI43" t="str">
        <f>IF($CE43="","",IFERROR(INDEX(_REF_Treatment_Library!$L$2:$L$296,MATCH($CE43,_REF_Treatment_Library!$A$2:$A$296,0)),""))</f>
        <v>Owner assigned; baseline evidence coverage; open critical gaps</v>
      </c>
      <c r="CJ43" t="str">
        <f t="shared" si="47"/>
        <v>Treatment by capability=CAP_SUPPLIER_RESILIENCE; band=Initial / absent; score=0.0; treatment=Establish</v>
      </c>
      <c r="CK43" t="str">
        <f>IF($A43="","",IFERROR(INDEX(_REF_Industry_Wording!$A$2:$A$70,MATCH(1,INDEX((_REF_Industry_Wording!$B$2:$B$70=$BZ43)*(_REF_Industry_Wording!$C$2:$C$70=PV_Canonical_Industry)*(_REF_Industry_Wording!$K$2:$K$70="Yes"),0),0)),IFERROR(INDEX(_REF_Industry_Wording!$A$2:$A$70,MATCH(1,INDEX((_REF_Industry_Wording!$B$2:$B$70=$BZ43)*(_REF_Industry_Wording!$C$2:$C$70="All")*(_REF_Industry_Wording!$K$2:$K$70="Yes"),0),0)),"")))</f>
        <v>IW-ALL-SUPPLIER_RESILIENCE</v>
      </c>
      <c r="CL43" t="str">
        <f>IF($CK43="","",IFERROR(INDEX(_REF_Industry_Wording!$F$2:$F$70,MATCH($CK43,_REF_Industry_Wording!$A$2:$A$70,0)),""))</f>
        <v>Strengthen Supplier resilience</v>
      </c>
      <c r="CM43" t="str">
        <f>IF($CK43="","",IFERROR(INDEX(_REF_Industry_Wording!$G$2:$G$70,MATCH($CK43,_REF_Industry_Wording!$A$2:$A$70,0)),""))</f>
        <v>Strengthen Supplier resilience using the selected maturity treatment, crisis scenario and evidence requirements.</v>
      </c>
      <c r="CN43" t="str">
        <f>IF($CK43="","",IFERROR(INDEX(_REF_Industry_Wording!$H$2:$H$70,MATCH($CK43,_REF_Industry_Wording!$A$2:$A$70,0)),""))</f>
        <v>Supplier resilience</v>
      </c>
      <c r="CO43">
        <f>IF($CK43="","",IFERROR(INDEX(_REF_Industry_Wording!$I$2:$I$70,MATCH($CK43,_REF_Industry_Wording!$A$2:$A$70,0)),""))</f>
        <v>0</v>
      </c>
      <c r="CP43" t="str">
        <f>IF($CK43="","",IFERROR(INDEX(_REF_Industry_Wording!$J$2:$J$70,MATCH($CK43,_REF_Industry_Wording!$A$2:$A$70,0)),""))</f>
        <v>Supplier resilience</v>
      </c>
      <c r="CQ43" t="str">
        <f t="shared" si="48"/>
        <v>Wording by industry=0; capability=CAP_SUPPLIER_RESILIENCE; title=Strengthen Supplier resilience</v>
      </c>
      <c r="CR43" t="str">
        <f t="shared" si="49"/>
        <v>INIT-ONT-0039</v>
      </c>
      <c r="CS43">
        <f t="shared" si="50"/>
        <v>43</v>
      </c>
      <c r="CT43" t="str">
        <f t="shared" si="51"/>
        <v>CAP_SUPPLIER_RESILIENCE</v>
      </c>
      <c r="CU43" t="str">
        <f t="shared" si="52"/>
        <v>INI-039|Manufacturing MES|Quality and safety|CAP_SUPPLIER_RESILIENCE</v>
      </c>
      <c r="CV43" t="str">
        <f t="shared" si="53"/>
        <v>Active</v>
      </c>
      <c r="CW43" t="str">
        <f t="shared" si="54"/>
        <v>OK: capability-driven</v>
      </c>
      <c r="CX43" t="str">
        <f t="shared" si="55"/>
        <v>Initiative ontology uses capability=CAP_SUPPLIER_RESILIENCE; bridge=BRG-059; treatment=TRT-SUPPLIER_RESILIENCE-INITIAL; wording=IW-ALL-SUPPLIER_RESILIENCE</v>
      </c>
    </row>
    <row r="44" spans="1:102" ht="42" customHeight="1">
      <c r="A44" s="17" t="s">
        <v>4264</v>
      </c>
      <c r="B44" s="17" t="s">
        <v>2145</v>
      </c>
      <c r="C44" s="17" t="s">
        <v>2174</v>
      </c>
      <c r="D44" s="17" t="s">
        <v>4230</v>
      </c>
      <c r="E44" s="17" t="s">
        <v>4231</v>
      </c>
      <c r="F44" s="17" t="s">
        <v>4265</v>
      </c>
      <c r="G44" s="17" t="s">
        <v>4266</v>
      </c>
      <c r="H44" s="17" t="s">
        <v>3688</v>
      </c>
      <c r="I44" s="17" t="s">
        <v>4234</v>
      </c>
      <c r="J44" s="17" t="s">
        <v>4267</v>
      </c>
      <c r="K44" s="17">
        <v>4</v>
      </c>
      <c r="L44" s="17">
        <f>IF($A44="","",COUNTIFS(_DATA_RiskInitiativeMap!$A$444:$A$867,$A44,_DATA_RiskInitiativeMap!$G$444:$G$867,"&gt;0"))</f>
        <v>4</v>
      </c>
      <c r="M44" s="17">
        <f>IF($A44="","",COUNTIFS(_DATA_RiskInitiativeMap!$A$444:$A$867,$A44,_DATA_RiskInitiativeMap!$G$444:$G$867,"&gt;0"))</f>
        <v>4</v>
      </c>
      <c r="N44" s="17">
        <f>IFERROR(AVERAGEIFS(_DATA_Assessment_Model!$H$5:$H$428,_DATA_Assessment_Model!$AW$5:$AW$428,$B44,_DATA_Assessment_Model!$B$5:$B$428,$C44),"")</f>
        <v>0</v>
      </c>
      <c r="O44" s="17">
        <f t="shared" si="28"/>
        <v>5</v>
      </c>
      <c r="P44" s="17">
        <f>IFERROR(INDEX(_DATA_Dashboard_Facts!$H$5:$H$21,MATCH($B44,_DATA_Dashboard_Facts!$A$5:$A$21,0)),"")</f>
        <v>0</v>
      </c>
      <c r="Q44" s="17">
        <f t="shared" si="29"/>
        <v>5</v>
      </c>
      <c r="R44" s="17">
        <f>IF(OR('Resilience &amp; Risk Scenario'!$B$6="",'Resilience &amp; Risk Scenario'!$B$7&lt;=0),1,IFERROR(IF(SUMIFS(_ENGINE_Crisis!$D$5:$D$208,_ENGINE_Crisis!$A$5:$A$208,'Resilience &amp; Risk Scenario'!$B$6,_ENGINE_Crisis!$B$5:$B$208,$B44)=0,1,SUMIFS(_ENGINE_Crisis!$D$5:$D$208,_ENGINE_Crisis!$A$5:$A$208,'Resilience &amp; Risk Scenario'!$B$6,_ENGINE_Crisis!$B$5:$B$208,$B44)),1))</f>
        <v>1</v>
      </c>
      <c r="S44" s="17">
        <f>IFERROR(INDEX(_ENGINE_Strategy!$A$100:$A$113,MATCH($D44,_ENGINE_Strategy!$B$100:$B$113,0)),99)</f>
        <v>1</v>
      </c>
      <c r="T44" s="17">
        <f>IFERROR(INDEX(_ENGINE_Strategy!$J$100:$J$113,MATCH($D44,_ENGINE_Strategy!$B$100:$B$113,0)),0)</f>
        <v>71</v>
      </c>
      <c r="U44" s="17">
        <v>5</v>
      </c>
      <c r="V44" s="17">
        <v>5</v>
      </c>
      <c r="W44" s="17">
        <v>4</v>
      </c>
      <c r="X44" s="17">
        <f t="shared" si="30"/>
        <v>4.6375000000000002</v>
      </c>
      <c r="Y44" s="17">
        <f>IF($P44="","",MAX(1,MIN(5,1+N($O44)*0.45+MIN(2,N($M44)*0.3)+($R44-1)*1.2+IF('Resilience &amp; Risk Scenario'!$B$7="",1,'Resilience &amp; Risk Scenario'!$B$7)*0.25)))</f>
        <v>4.7</v>
      </c>
      <c r="Z44" s="17">
        <f t="shared" si="31"/>
        <v>5</v>
      </c>
      <c r="AA44" s="17">
        <f t="shared" si="32"/>
        <v>4.2650000000000006</v>
      </c>
      <c r="AB44" s="17">
        <v>4</v>
      </c>
      <c r="AC44" s="17">
        <f t="shared" si="33"/>
        <v>1.36</v>
      </c>
      <c r="AD44" s="17">
        <f t="shared" si="34"/>
        <v>53</v>
      </c>
      <c r="AE44" s="17" t="str">
        <f t="shared" si="35"/>
        <v>6-12 months</v>
      </c>
      <c r="AF44" s="17" t="s">
        <v>4236</v>
      </c>
      <c r="AG44" s="17" t="s">
        <v>3502</v>
      </c>
      <c r="AH44" s="17" t="s">
        <v>4171</v>
      </c>
      <c r="AI44" s="17" t="s">
        <v>4237</v>
      </c>
      <c r="AJ44" s="17" t="s">
        <v>4268</v>
      </c>
      <c r="AK44" s="17" t="s">
        <v>4269</v>
      </c>
      <c r="AL44" s="17" t="s">
        <v>4270</v>
      </c>
      <c r="AM44" s="17" t="s">
        <v>4241</v>
      </c>
      <c r="AN44" s="17" t="s">
        <v>3937</v>
      </c>
      <c r="AO44" s="17" t="s">
        <v>3938</v>
      </c>
      <c r="AP44" s="17" t="s">
        <v>4242</v>
      </c>
      <c r="AQ44" s="17"/>
      <c r="AR44" s="17"/>
      <c r="AS44" s="14">
        <f>IFERROR((IF(SUMIFS(_REF_Model_Content!$J$1:$J$157,_REF_Model_Content!$A$1:$A$174,PV_Canonical_Industry,_REF_Model_Content!$B$1:$B$174,$B44)=0,1,SUMIFS(_REF_Model_Content!$J$1:$J$157,_REF_Model_Content!$A$1:$A$174,PV_Canonical_Industry,_REF_Model_Content!$B$1:$B$174,$B44))*IFERROR($CA44,1)),1)</f>
        <v>1</v>
      </c>
      <c r="AT44" s="14">
        <f t="shared" si="36"/>
        <v>1.36</v>
      </c>
      <c r="AU44" s="14">
        <f>IF($AT44="","",RANK($AT44,$AT$5:$AT$76,0)+COUNTIF($AT$5:AT44,$AT44)-1)</f>
        <v>53</v>
      </c>
      <c r="AV44" s="14">
        <f>IFERROR(INDEX(_DATA_Dashboard_Facts!$G$300:$G$316,MATCH($B44,_DATA_Dashboard_Facts!$A$300:$A$316,0)),"")</f>
        <v>0</v>
      </c>
      <c r="AW44" s="14" t="str">
        <f t="shared" si="37"/>
        <v>Relevance-neutral priority</v>
      </c>
      <c r="AX44">
        <f>IFERROR(INDEX('Action Plan &amp; Roadmap'!$D$59:$D$130,MATCH($A44,'Action Plan &amp; Roadmap'!$A$59:$A$130,0)),"")</f>
        <v>0</v>
      </c>
      <c r="AY44">
        <f t="shared" si="38"/>
        <v>0</v>
      </c>
      <c r="AZ44" t="s">
        <v>4083</v>
      </c>
      <c r="BA44">
        <f>IF($A44="","",COUNTIF(_DATA_RiskInitiativeMap!$A$1:$A$867,$A44))</f>
        <v>4</v>
      </c>
      <c r="BB44">
        <f>IF($A44="","",IFERROR(AVERAGEIF(_DATA_RiskInitiativeMap!$A$1:$A$867,$A44,_DATA_RiskInitiativeMap!$G$1:$G$867),0))</f>
        <v>23.154999999999998</v>
      </c>
      <c r="BC44">
        <f t="shared" si="39"/>
        <v>4.8</v>
      </c>
      <c r="BD44">
        <f t="shared" si="40"/>
        <v>4.8308499999999999</v>
      </c>
      <c r="BI44" s="17" t="str">
        <f>IFERROR(_CONFIG_Model_Settings!$B$103,"Adaptive")</f>
        <v>Fragile</v>
      </c>
      <c r="BJ44" s="17">
        <f>IFERROR(INDEX(_CONFIG_Model_Settings!$B$109:$B$113,MATCH($BI44,_CONFIG_Model_Settings!$A$109:$A$113,0)),0.3)</f>
        <v>0.2</v>
      </c>
      <c r="BK44" s="17">
        <f>IFERROR(INDEX(_CONFIG_Model_Settings!$C$109:$C$113,MATCH($BI44,_CONFIG_Model_Settings!$A$109:$A$113,0)),0.2)</f>
        <v>0.3</v>
      </c>
      <c r="BL44" s="17">
        <f>IFERROR(INDEX(_CONFIG_Model_Settings!$D$109:$D$113,MATCH($BI44,_CONFIG_Model_Settings!$A$109:$A$113,0)),0.25)</f>
        <v>0.4</v>
      </c>
      <c r="BM44" s="17">
        <f>IFERROR(INDEX(_CONFIG_Model_Settings!$E$109:$E$113,MATCH($BI44,_CONFIG_Model_Settings!$A$109:$A$113,0)),0.25)</f>
        <v>0.1</v>
      </c>
      <c r="BN44" s="17">
        <f>IFERROR(INDEX(_CONFIG_Model_Settings!$B$117:$B$123,MATCH(_CONFIG_Model_Settings!$B$104,_CONFIG_Model_Settings!$A$117:$A$123,0)),1)</f>
        <v>1</v>
      </c>
      <c r="BO44" s="17">
        <f>IFERROR(INDEX(_CONFIG_Model_Settings!$C$117:$C$123,MATCH(_CONFIG_Model_Settings!$B$104,_CONFIG_Model_Settings!$A$117:$A$123,0)),1)</f>
        <v>1</v>
      </c>
      <c r="BP44" s="17">
        <f>IFERROR(INDEX(_CONFIG_Model_Settings!$D$117:$D$123,MATCH(_CONFIG_Model_Settings!$B$104,_CONFIG_Model_Settings!$A$117:$A$123,0)),1)</f>
        <v>1</v>
      </c>
      <c r="BQ44" s="17">
        <f>IFERROR(INDEX(_CONFIG_Model_Settings!$E$117:$E$123,MATCH(_CONFIG_Model_Settings!$B$104,_CONFIG_Model_Settings!$A$117:$A$123,0)),1)</f>
        <v>1</v>
      </c>
      <c r="BR44" s="17">
        <f>IF(OR($A44="",$P44=""),"",MIN(5,IFERROR(SUMIF(_DATA_RiskInitiativeMap!$A$1:$A$867,$A44,_DATA_RiskInitiativeMap!$K$1:$K$867)/MAX(1,_CONFIG_Model_Settings!$B$166),0)))</f>
        <v>5</v>
      </c>
      <c r="BS44" s="17">
        <f t="shared" si="41"/>
        <v>5.45</v>
      </c>
      <c r="BT44" s="17">
        <f t="shared" si="42"/>
        <v>4</v>
      </c>
      <c r="BU44" s="17">
        <f t="shared" si="43"/>
        <v>1.36</v>
      </c>
      <c r="BV44" s="17">
        <f>IF(OR($P44="",$BU44="",$AY44="Done",$AY44="Not applicable"),"",ROUND($BU44*N($AS44)*IF(OR('Resilience &amp; Risk Scenario'!$B$6="",'Resilience &amp; Risk Scenario'!$B$7&lt;=0),1,IFERROR(1+MIN(0.75,INDEX('Resilience &amp; Risk Scenario'!$E$21:$E$37,MATCH($B44,'Resilience &amp; Risk Scenario'!$B$21:$B$37,0))/10),1)),2))</f>
        <v>1.36</v>
      </c>
      <c r="BW44" s="17">
        <f>IF($BV44="","",RANK($BV44,$BV$5:$BV$76,0)+COUNTIF($BV$5:$BV44,$BV44)-1)</f>
        <v>53</v>
      </c>
      <c r="BX44" s="17" t="str">
        <f t="shared" si="44"/>
        <v>6-12 months</v>
      </c>
      <c r="BY44" t="str">
        <f>IFERROR(IF($A44="","","P2: "&amp;$BI44&amp;" posture; objective="&amp;IF(_CONFIG_Model_Settings!$B$104="","Neutral/default",_CONFIG_Model_Settings!$B$104)&amp;"; relevance="&amp;ROUND(N($AS44),2)&amp;"; scenario/domain boost="&amp;ROUND(IF(OR('Resilience &amp; Risk Scenario'!$B$6="",'Resilience &amp; Risk Scenario'!$B$7&lt;=0),1,IFERROR(1+MIN(0.75,INDEX('Resilience &amp; Risk Scenario'!$E$21:$E$37,MATCH($B44,'Resilience &amp; Risk Scenario'!$B$21:$B$37,0))/10),1)),2)&amp;"; financial score="&amp;ROUND(N($BR44),1)&amp;"; CoD="&amp;$BS44&amp;IF($CL44&lt;&gt;"","; wording="&amp;$CL44,"")),"")</f>
        <v>P2: Fragile posture; objective=Neutral/default; relevance=1; scenario/domain boost=1; financial score=5; CoD=5.45; wording=Strengthen Incident response</v>
      </c>
      <c r="BZ44" t="str">
        <f>IFERROR(INDEX(_REF_Capability_Bridge!$D:$D,MATCH($B44&amp;"|"&amp;$C44,_REF_Capability_Bridge!$J:$J,0)),IFERROR(INDEX(_REF_Capability_Bridge!$D:$D,MATCH($B44&amp;"|",_REF_Capability_Bridge!$J:$J,0)),"CAP_GENERIC"))</f>
        <v>CAP_INCIDENT_RESPONSE</v>
      </c>
      <c r="CA44">
        <f>IFERROR(IFERROR(INDEX(_ENGINE_Relevance!$L:$L,MATCH($BZ44,_ENGINE_Relevance!$B:$B,0)),1),1)</f>
        <v>1</v>
      </c>
      <c r="CB44" t="str">
        <f>IFERROR(INDEX(_REF_Capability_Bridge!$A:$A,MATCH($B44&amp;"|"&amp;$C44,_REF_Capability_Bridge!$J:$J,0)),IFERROR(INDEX(_REF_Capability_Bridge!$A:$A,MATCH($B44&amp;"|",_REF_Capability_Bridge!$J:$J,0)),"No bridge"))</f>
        <v>BRG-057</v>
      </c>
      <c r="CC44" t="str">
        <f t="shared" si="45"/>
        <v>Capability relevance neutral</v>
      </c>
      <c r="CD44" t="str">
        <f t="shared" si="46"/>
        <v>Initial / absent</v>
      </c>
      <c r="CE44" t="str">
        <f>IF($A44="","",IFERROR(INDEX(_REF_Treatment_Library!$A$2:$A$296,MATCH(1,INDEX((_REF_Treatment_Library!$B$2:$B$296=$BZ44)*(_REF_Treatment_Library!$C$2:$C$296=PV_Canonical_Industry)*(_REF_Treatment_Library!$E$2:$E$296&lt;=N($N44))*(_REF_Treatment_Library!$F$2:$F$296&gt;=N($N44))*(_REF_Treatment_Library!$O$2:$O$296="Yes"),0),0)),IFERROR(INDEX(_REF_Treatment_Library!$A$2:$A$296,MATCH(1,INDEX((_REF_Treatment_Library!$B$2:$B$296=$BZ44)*(_REF_Treatment_Library!$C$2:$C$296="All")*(_REF_Treatment_Library!$E$2:$E$296&lt;=N($N44))*(_REF_Treatment_Library!$F$2:$F$296&gt;=N($N44))*(_REF_Treatment_Library!$O$2:$O$296="Yes"),0),0)),"")))</f>
        <v>TRT-INCIDENT_RESPONSE-INITIAL</v>
      </c>
      <c r="CF44" t="str">
        <f>IF($CE44="","",IFERROR(INDEX(_REF_Treatment_Library!$H$2:$H$296,MATCH($CE44,_REF_Treatment_Library!$A$2:$A$296,0)),""))</f>
        <v>Establish</v>
      </c>
      <c r="CG44" t="str">
        <f>IF($CE44="","",IFERROR(INDEX(_REF_Treatment_Library!$I$2:$I$296,MATCH($CE44,_REF_Treatment_Library!$A$2:$A$296,0)),""))</f>
        <v>Establish baseline controls for Incident response</v>
      </c>
      <c r="CH44" t="str">
        <f>IF($CE44="","",IFERROR(INDEX(_REF_Treatment_Library!$K$2:$K$296,MATCH($CE44,_REF_Treatment_Library!$A$2:$A$296,0)),""))</f>
        <v>Named owner, baseline process, minimum control checklist, first evidence package</v>
      </c>
      <c r="CI44" t="str">
        <f>IF($CE44="","",IFERROR(INDEX(_REF_Treatment_Library!$L$2:$L$296,MATCH($CE44,_REF_Treatment_Library!$A$2:$A$296,0)),""))</f>
        <v>Owner assigned; baseline evidence coverage; open critical gaps</v>
      </c>
      <c r="CJ44" t="str">
        <f t="shared" si="47"/>
        <v>Treatment by capability=CAP_INCIDENT_RESPONSE; band=Initial / absent; score=0.0; treatment=Establish</v>
      </c>
      <c r="CK44" t="str">
        <f>IF($A44="","",IFERROR(INDEX(_REF_Industry_Wording!$A$2:$A$70,MATCH(1,INDEX((_REF_Industry_Wording!$B$2:$B$70=$BZ44)*(_REF_Industry_Wording!$C$2:$C$70=PV_Canonical_Industry)*(_REF_Industry_Wording!$K$2:$K$70="Yes"),0),0)),IFERROR(INDEX(_REF_Industry_Wording!$A$2:$A$70,MATCH(1,INDEX((_REF_Industry_Wording!$B$2:$B$70=$BZ44)*(_REF_Industry_Wording!$C$2:$C$70="All")*(_REF_Industry_Wording!$K$2:$K$70="Yes"),0),0)),"")))</f>
        <v>IW-ALL-INCIDENT_RESPONSE</v>
      </c>
      <c r="CL44" t="str">
        <f>IF($CK44="","",IFERROR(INDEX(_REF_Industry_Wording!$F$2:$F$70,MATCH($CK44,_REF_Industry_Wording!$A$2:$A$70,0)),""))</f>
        <v>Strengthen Incident response</v>
      </c>
      <c r="CM44" t="str">
        <f>IF($CK44="","",IFERROR(INDEX(_REF_Industry_Wording!$G$2:$G$70,MATCH($CK44,_REF_Industry_Wording!$A$2:$A$70,0)),""))</f>
        <v>Strengthen Incident response using the selected maturity treatment, crisis scenario and evidence requirements.</v>
      </c>
      <c r="CN44" t="str">
        <f>IF($CK44="","",IFERROR(INDEX(_REF_Industry_Wording!$H$2:$H$70,MATCH($CK44,_REF_Industry_Wording!$A$2:$A$70,0)),""))</f>
        <v>Incident response</v>
      </c>
      <c r="CO44">
        <f>IF($CK44="","",IFERROR(INDEX(_REF_Industry_Wording!$I$2:$I$70,MATCH($CK44,_REF_Industry_Wording!$A$2:$A$70,0)),""))</f>
        <v>0</v>
      </c>
      <c r="CP44" t="str">
        <f>IF($CK44="","",IFERROR(INDEX(_REF_Industry_Wording!$J$2:$J$70,MATCH($CK44,_REF_Industry_Wording!$A$2:$A$70,0)),""))</f>
        <v>Incident response</v>
      </c>
      <c r="CQ44" t="str">
        <f t="shared" si="48"/>
        <v>Wording by industry=0; capability=CAP_INCIDENT_RESPONSE; title=Strengthen Incident response</v>
      </c>
      <c r="CR44" t="str">
        <f t="shared" si="49"/>
        <v>INIT-ONT-0040</v>
      </c>
      <c r="CS44">
        <f t="shared" si="50"/>
        <v>44</v>
      </c>
      <c r="CT44" t="str">
        <f t="shared" si="51"/>
        <v>CAP_INCIDENT_RESPONSE</v>
      </c>
      <c r="CU44" t="str">
        <f t="shared" si="52"/>
        <v>INI-040|Manufacturing MES|OT security|CAP_INCIDENT_RESPONSE</v>
      </c>
      <c r="CV44" t="str">
        <f t="shared" si="53"/>
        <v>Active</v>
      </c>
      <c r="CW44" t="str">
        <f t="shared" si="54"/>
        <v>OK: capability-driven</v>
      </c>
      <c r="CX44" t="str">
        <f t="shared" si="55"/>
        <v>Initiative ontology uses capability=CAP_INCIDENT_RESPONSE; bridge=BRG-057; treatment=TRT-INCIDENT_RESPONSE-INITIAL; wording=IW-ALL-INCIDENT_RESPONSE</v>
      </c>
    </row>
    <row r="45" spans="1:102" ht="42" customHeight="1">
      <c r="A45" s="17" t="s">
        <v>4271</v>
      </c>
      <c r="B45" s="17" t="s">
        <v>2286</v>
      </c>
      <c r="C45" s="17" t="s">
        <v>2288</v>
      </c>
      <c r="D45" s="17" t="s">
        <v>4272</v>
      </c>
      <c r="E45" s="17" t="s">
        <v>4273</v>
      </c>
      <c r="F45" s="17" t="s">
        <v>4274</v>
      </c>
      <c r="G45" s="17" t="s">
        <v>4275</v>
      </c>
      <c r="H45" s="17" t="s">
        <v>3689</v>
      </c>
      <c r="I45" s="17" t="s">
        <v>4276</v>
      </c>
      <c r="J45" s="17" t="s">
        <v>4277</v>
      </c>
      <c r="K45" s="17">
        <v>4</v>
      </c>
      <c r="L45" s="17">
        <f>IF($A45="","",COUNTIFS(_DATA_RiskInitiativeMap!$A$444:$A$867,$A45,_DATA_RiskInitiativeMap!$G$444:$G$867,"&gt;0"))</f>
        <v>4</v>
      </c>
      <c r="M45" s="17">
        <f>IF($A45="","",COUNTIFS(_DATA_RiskInitiativeMap!$A$444:$A$867,$A45,_DATA_RiskInitiativeMap!$G$444:$G$867,"&gt;0"))</f>
        <v>4</v>
      </c>
      <c r="N45" s="17">
        <f>IFERROR(AVERAGEIFS(_DATA_Assessment_Model!$H$5:$H$428,_DATA_Assessment_Model!$AW$5:$AW$428,$B45,_DATA_Assessment_Model!$B$5:$B$428,$C45),"")</f>
        <v>0</v>
      </c>
      <c r="O45" s="17">
        <f t="shared" si="28"/>
        <v>5</v>
      </c>
      <c r="P45" s="17">
        <f>IFERROR(INDEX(_DATA_Dashboard_Facts!$H$5:$H$21,MATCH($B45,_DATA_Dashboard_Facts!$A$5:$A$21,0)),"")</f>
        <v>0</v>
      </c>
      <c r="Q45" s="17">
        <f t="shared" si="29"/>
        <v>5</v>
      </c>
      <c r="R45" s="17">
        <f>IF(OR('Resilience &amp; Risk Scenario'!$B$6="",'Resilience &amp; Risk Scenario'!$B$7&lt;=0),1,IFERROR(IF(SUMIFS(_ENGINE_Crisis!$D$5:$D$208,_ENGINE_Crisis!$A$5:$A$208,'Resilience &amp; Risk Scenario'!$B$6,_ENGINE_Crisis!$B$5:$B$208,$B45)=0,1,SUMIFS(_ENGINE_Crisis!$D$5:$D$208,_ENGINE_Crisis!$A$5:$A$208,'Resilience &amp; Risk Scenario'!$B$6,_ENGINE_Crisis!$B$5:$B$208,$B45)),1))</f>
        <v>1</v>
      </c>
      <c r="S45" s="17">
        <f>IFERROR(INDEX(_ENGINE_Strategy!$A$100:$A$113,MATCH($D45,_ENGINE_Strategy!$B$100:$B$113,0)),99)</f>
        <v>12</v>
      </c>
      <c r="T45" s="17">
        <f>IFERROR(INDEX(_ENGINE_Strategy!$J$100:$J$113,MATCH($D45,_ENGINE_Strategy!$B$100:$B$113,0)),0)</f>
        <v>65.8</v>
      </c>
      <c r="U45" s="17">
        <v>4</v>
      </c>
      <c r="V45" s="17">
        <v>4</v>
      </c>
      <c r="W45" s="17">
        <v>4</v>
      </c>
      <c r="X45" s="17">
        <f t="shared" si="30"/>
        <v>4.5724999999999998</v>
      </c>
      <c r="Y45" s="17">
        <f>IF($P45="","",MAX(1,MIN(5,1+N($O45)*0.45+MIN(2,N($M45)*0.3)+($R45-1)*1.2+IF('Resilience &amp; Risk Scenario'!$B$7="",1,'Resilience &amp; Risk Scenario'!$B$7)*0.25)))</f>
        <v>4.7</v>
      </c>
      <c r="Z45" s="17">
        <f t="shared" si="31"/>
        <v>4.8</v>
      </c>
      <c r="AA45" s="17">
        <f t="shared" si="32"/>
        <v>3.7869999999999999</v>
      </c>
      <c r="AB45" s="17">
        <v>3</v>
      </c>
      <c r="AC45" s="17">
        <f t="shared" si="33"/>
        <v>1.74</v>
      </c>
      <c r="AD45" s="17">
        <f t="shared" si="34"/>
        <v>35</v>
      </c>
      <c r="AE45" s="17" t="str">
        <f t="shared" si="35"/>
        <v>6-12 months</v>
      </c>
      <c r="AF45" s="17" t="s">
        <v>4278</v>
      </c>
      <c r="AG45" s="17" t="s">
        <v>3963</v>
      </c>
      <c r="AH45" s="17" t="s">
        <v>3964</v>
      </c>
      <c r="AI45" s="17" t="s">
        <v>3965</v>
      </c>
      <c r="AJ45" s="17" t="s">
        <v>4279</v>
      </c>
      <c r="AK45" s="17" t="s">
        <v>4280</v>
      </c>
      <c r="AL45" s="17" t="s">
        <v>4281</v>
      </c>
      <c r="AM45" s="17" t="s">
        <v>4282</v>
      </c>
      <c r="AN45" s="17" t="s">
        <v>3937</v>
      </c>
      <c r="AO45" s="17" t="s">
        <v>3938</v>
      </c>
      <c r="AP45" s="17" t="s">
        <v>546</v>
      </c>
      <c r="AQ45" s="17"/>
      <c r="AR45" s="17"/>
      <c r="AS45" s="14">
        <f>IFERROR((IF(SUMIFS(_REF_Model_Content!$J$1:$J$157,_REF_Model_Content!$A$1:$A$174,PV_Canonical_Industry,_REF_Model_Content!$B$1:$B$174,$B45)=0,1,SUMIFS(_REF_Model_Content!$J$1:$J$157,_REF_Model_Content!$A$1:$A$174,PV_Canonical_Industry,_REF_Model_Content!$B$1:$B$174,$B45))*IFERROR($CA45,1)),1)</f>
        <v>1</v>
      </c>
      <c r="AT45" s="14">
        <f t="shared" si="36"/>
        <v>1.74</v>
      </c>
      <c r="AU45" s="14">
        <f>IF($AT45="","",RANK($AT45,$AT$5:$AT$76,0)+COUNTIF($AT$5:AT45,$AT45)-1)</f>
        <v>35</v>
      </c>
      <c r="AV45" s="14">
        <f>IFERROR(INDEX(_DATA_Dashboard_Facts!$G$300:$G$316,MATCH($B45,_DATA_Dashboard_Facts!$A$300:$A$316,0)),"")</f>
        <v>0</v>
      </c>
      <c r="AW45" s="14" t="str">
        <f t="shared" si="37"/>
        <v>Relevance-neutral priority</v>
      </c>
      <c r="AX45">
        <f>IFERROR(INDEX('Action Plan &amp; Roadmap'!$D$59:$D$130,MATCH($A45,'Action Plan &amp; Roadmap'!$A$59:$A$130,0)),"")</f>
        <v>0</v>
      </c>
      <c r="AY45">
        <f t="shared" si="38"/>
        <v>0</v>
      </c>
      <c r="AZ45" t="s">
        <v>3980</v>
      </c>
      <c r="BA45">
        <f>IF($A45="","",COUNTIF(_DATA_RiskInitiativeMap!$A$1:$A$867,$A45))</f>
        <v>4</v>
      </c>
      <c r="BB45">
        <f>IF($A45="","",IFERROR(AVERAGEIF(_DATA_RiskInitiativeMap!$A$1:$A$867,$A45,_DATA_RiskInitiativeMap!$G$1:$G$867),0))</f>
        <v>19.89</v>
      </c>
      <c r="BC45">
        <f t="shared" si="39"/>
        <v>4.5</v>
      </c>
      <c r="BD45">
        <f t="shared" si="40"/>
        <v>4.4523000000000001</v>
      </c>
      <c r="BI45" s="17" t="str">
        <f>IFERROR(_CONFIG_Model_Settings!$B$103,"Adaptive")</f>
        <v>Fragile</v>
      </c>
      <c r="BJ45" s="17">
        <f>IFERROR(INDEX(_CONFIG_Model_Settings!$B$109:$B$113,MATCH($BI45,_CONFIG_Model_Settings!$A$109:$A$113,0)),0.3)</f>
        <v>0.2</v>
      </c>
      <c r="BK45" s="17">
        <f>IFERROR(INDEX(_CONFIG_Model_Settings!$C$109:$C$113,MATCH($BI45,_CONFIG_Model_Settings!$A$109:$A$113,0)),0.2)</f>
        <v>0.3</v>
      </c>
      <c r="BL45" s="17">
        <f>IFERROR(INDEX(_CONFIG_Model_Settings!$D$109:$D$113,MATCH($BI45,_CONFIG_Model_Settings!$A$109:$A$113,0)),0.25)</f>
        <v>0.4</v>
      </c>
      <c r="BM45" s="17">
        <f>IFERROR(INDEX(_CONFIG_Model_Settings!$E$109:$E$113,MATCH($BI45,_CONFIG_Model_Settings!$A$109:$A$113,0)),0.25)</f>
        <v>0.1</v>
      </c>
      <c r="BN45" s="17">
        <f>IFERROR(INDEX(_CONFIG_Model_Settings!$B$117:$B$123,MATCH(_CONFIG_Model_Settings!$B$104,_CONFIG_Model_Settings!$A$117:$A$123,0)),1)</f>
        <v>1</v>
      </c>
      <c r="BO45" s="17">
        <f>IFERROR(INDEX(_CONFIG_Model_Settings!$C$117:$C$123,MATCH(_CONFIG_Model_Settings!$B$104,_CONFIG_Model_Settings!$A$117:$A$123,0)),1)</f>
        <v>1</v>
      </c>
      <c r="BP45" s="17">
        <f>IFERROR(INDEX(_CONFIG_Model_Settings!$D$117:$D$123,MATCH(_CONFIG_Model_Settings!$B$104,_CONFIG_Model_Settings!$A$117:$A$123,0)),1)</f>
        <v>1</v>
      </c>
      <c r="BQ45" s="17">
        <f>IFERROR(INDEX(_CONFIG_Model_Settings!$E$117:$E$123,MATCH(_CONFIG_Model_Settings!$B$104,_CONFIG_Model_Settings!$A$117:$A$123,0)),1)</f>
        <v>1</v>
      </c>
      <c r="BR45" s="17">
        <f>IF(OR($A45="",$P45=""),"",MIN(5,IFERROR(SUMIF(_DATA_RiskInitiativeMap!$A$1:$A$867,$A45,_DATA_RiskInitiativeMap!$K$1:$K$867)/MAX(1,_CONFIG_Model_Settings!$B$166),0)))</f>
        <v>5</v>
      </c>
      <c r="BS45" s="17">
        <f t="shared" si="41"/>
        <v>5.23</v>
      </c>
      <c r="BT45" s="17">
        <f t="shared" si="42"/>
        <v>3</v>
      </c>
      <c r="BU45" s="17">
        <f t="shared" si="43"/>
        <v>1.74</v>
      </c>
      <c r="BV45" s="17">
        <f>IF(OR($P45="",$BU45="",$AY45="Done",$AY45="Not applicable"),"",ROUND($BU45*N($AS45)*IF(OR('Resilience &amp; Risk Scenario'!$B$6="",'Resilience &amp; Risk Scenario'!$B$7&lt;=0),1,IFERROR(1+MIN(0.75,INDEX('Resilience &amp; Risk Scenario'!$E$21:$E$37,MATCH($B45,'Resilience &amp; Risk Scenario'!$B$21:$B$37,0))/10),1)),2))</f>
        <v>1.74</v>
      </c>
      <c r="BW45" s="17">
        <f>IF($BV45="","",RANK($BV45,$BV$5:$BV$76,0)+COUNTIF($BV$5:$BV45,$BV45)-1)</f>
        <v>35</v>
      </c>
      <c r="BX45" s="17" t="str">
        <f t="shared" si="44"/>
        <v>6-12 months</v>
      </c>
      <c r="BY45" t="str">
        <f>IFERROR(IF($A45="","","P2: "&amp;$BI45&amp;" posture; objective="&amp;IF(_CONFIG_Model_Settings!$B$104="","Neutral/default",_CONFIG_Model_Settings!$B$104)&amp;"; relevance="&amp;ROUND(N($AS45),2)&amp;"; scenario/domain boost="&amp;ROUND(IF(OR('Resilience &amp; Risk Scenario'!$B$6="",'Resilience &amp; Risk Scenario'!$B$7&lt;=0),1,IFERROR(1+MIN(0.75,INDEX('Resilience &amp; Risk Scenario'!$E$21:$E$37,MATCH($B45,'Resilience &amp; Risk Scenario'!$B$21:$B$37,0))/10),1)),2)&amp;"; financial score="&amp;ROUND(N($BR45),1)&amp;"; CoD="&amp;$BS45&amp;IF($CL45&lt;&gt;"","; wording="&amp;$CL45,"")),"")</f>
        <v>P2: Fragile posture; objective=Neutral/default; relevance=1; scenario/domain boost=1; financial score=5; CoD=5.23; wording=Strengthen SRE / Observability</v>
      </c>
      <c r="BZ45" t="str">
        <f>IFERROR(INDEX(_REF_Capability_Bridge!$D:$D,MATCH($B45&amp;"|"&amp;$C45,_REF_Capability_Bridge!$J:$J,0)),IFERROR(INDEX(_REF_Capability_Bridge!$D:$D,MATCH($B45&amp;"|",_REF_Capability_Bridge!$J:$J,0)),"CAP_GENERIC"))</f>
        <v>CAP_SRE_OBSERVABILITY</v>
      </c>
      <c r="CA45">
        <f>IFERROR(IFERROR(INDEX(_ENGINE_Relevance!$L:$L,MATCH($BZ45,_ENGINE_Relevance!$B:$B,0)),1),1)</f>
        <v>1</v>
      </c>
      <c r="CB45" t="str">
        <f>IFERROR(INDEX(_REF_Capability_Bridge!$A:$A,MATCH($B45&amp;"|"&amp;$C45,_REF_Capability_Bridge!$J:$J,0)),IFERROR(INDEX(_REF_Capability_Bridge!$A:$A,MATCH($B45&amp;"|",_REF_Capability_Bridge!$J:$J,0)),"No bridge"))</f>
        <v>BRG-077</v>
      </c>
      <c r="CC45" t="str">
        <f t="shared" si="45"/>
        <v>Capability relevance neutral</v>
      </c>
      <c r="CD45" t="str">
        <f t="shared" si="46"/>
        <v>Initial / absent</v>
      </c>
      <c r="CE45" t="str">
        <f>IF($A45="","",IFERROR(INDEX(_REF_Treatment_Library!$A$2:$A$296,MATCH(1,INDEX((_REF_Treatment_Library!$B$2:$B$296=$BZ45)*(_REF_Treatment_Library!$C$2:$C$296=PV_Canonical_Industry)*(_REF_Treatment_Library!$E$2:$E$296&lt;=N($N45))*(_REF_Treatment_Library!$F$2:$F$296&gt;=N($N45))*(_REF_Treatment_Library!$O$2:$O$296="Yes"),0),0)),IFERROR(INDEX(_REF_Treatment_Library!$A$2:$A$296,MATCH(1,INDEX((_REF_Treatment_Library!$B$2:$B$296=$BZ45)*(_REF_Treatment_Library!$C$2:$C$296="All")*(_REF_Treatment_Library!$E$2:$E$296&lt;=N($N45))*(_REF_Treatment_Library!$F$2:$F$296&gt;=N($N45))*(_REF_Treatment_Library!$O$2:$O$296="Yes"),0),0)),"")))</f>
        <v>TRT-SRE_OBSERVABILITY-INITIAL</v>
      </c>
      <c r="CF45" t="str">
        <f>IF($CE45="","",IFERROR(INDEX(_REF_Treatment_Library!$H$2:$H$296,MATCH($CE45,_REF_Treatment_Library!$A$2:$A$296,0)),""))</f>
        <v>Establish</v>
      </c>
      <c r="CG45" t="str">
        <f>IF($CE45="","",IFERROR(INDEX(_REF_Treatment_Library!$I$2:$I$296,MATCH($CE45,_REF_Treatment_Library!$A$2:$A$296,0)),""))</f>
        <v>Establish baseline controls for SRE / Observability</v>
      </c>
      <c r="CH45" t="str">
        <f>IF($CE45="","",IFERROR(INDEX(_REF_Treatment_Library!$K$2:$K$296,MATCH($CE45,_REF_Treatment_Library!$A$2:$A$296,0)),""))</f>
        <v>Named owner, baseline process, minimum control checklist, first evidence package</v>
      </c>
      <c r="CI45" t="str">
        <f>IF($CE45="","",IFERROR(INDEX(_REF_Treatment_Library!$L$2:$L$296,MATCH($CE45,_REF_Treatment_Library!$A$2:$A$296,0)),""))</f>
        <v>Owner assigned; baseline evidence coverage; open critical gaps</v>
      </c>
      <c r="CJ45" t="str">
        <f t="shared" si="47"/>
        <v>Treatment by capability=CAP_SRE_OBSERVABILITY; band=Initial / absent; score=0.0; treatment=Establish</v>
      </c>
      <c r="CK45" t="str">
        <f>IF($A45="","",IFERROR(INDEX(_REF_Industry_Wording!$A$2:$A$70,MATCH(1,INDEX((_REF_Industry_Wording!$B$2:$B$70=$BZ45)*(_REF_Industry_Wording!$C$2:$C$70=PV_Canonical_Industry)*(_REF_Industry_Wording!$K$2:$K$70="Yes"),0),0)),IFERROR(INDEX(_REF_Industry_Wording!$A$2:$A$70,MATCH(1,INDEX((_REF_Industry_Wording!$B$2:$B$70=$BZ45)*(_REF_Industry_Wording!$C$2:$C$70="All")*(_REF_Industry_Wording!$K$2:$K$70="Yes"),0),0)),"")))</f>
        <v>IW-ALL-SRE_OBSERVABILITY</v>
      </c>
      <c r="CL45" t="str">
        <f>IF($CK45="","",IFERROR(INDEX(_REF_Industry_Wording!$F$2:$F$70,MATCH($CK45,_REF_Industry_Wording!$A$2:$A$70,0)),""))</f>
        <v>Strengthen SRE / Observability</v>
      </c>
      <c r="CM45" t="str">
        <f>IF($CK45="","",IFERROR(INDEX(_REF_Industry_Wording!$G$2:$G$70,MATCH($CK45,_REF_Industry_Wording!$A$2:$A$70,0)),""))</f>
        <v>Strengthen SRE / Observability using the selected maturity treatment, crisis scenario and evidence requirements.</v>
      </c>
      <c r="CN45" t="str">
        <f>IF($CK45="","",IFERROR(INDEX(_REF_Industry_Wording!$H$2:$H$70,MATCH($CK45,_REF_Industry_Wording!$A$2:$A$70,0)),""))</f>
        <v>SRE / Observability</v>
      </c>
      <c r="CO45">
        <f>IF($CK45="","",IFERROR(INDEX(_REF_Industry_Wording!$I$2:$I$70,MATCH($CK45,_REF_Industry_Wording!$A$2:$A$70,0)),""))</f>
        <v>0</v>
      </c>
      <c r="CP45" t="str">
        <f>IF($CK45="","",IFERROR(INDEX(_REF_Industry_Wording!$J$2:$J$70,MATCH($CK45,_REF_Industry_Wording!$A$2:$A$70,0)),""))</f>
        <v>SRE / Observability</v>
      </c>
      <c r="CQ45" t="str">
        <f t="shared" si="48"/>
        <v>Wording by industry=0; capability=CAP_SRE_OBSERVABILITY; title=Strengthen SRE / Observability</v>
      </c>
      <c r="CR45" t="str">
        <f t="shared" si="49"/>
        <v>INIT-ONT-0041</v>
      </c>
      <c r="CS45">
        <f t="shared" si="50"/>
        <v>45</v>
      </c>
      <c r="CT45" t="str">
        <f t="shared" si="51"/>
        <v>CAP_SRE_OBSERVABILITY</v>
      </c>
      <c r="CU45" t="str">
        <f t="shared" si="52"/>
        <v>INI-041|Sales CRM|CRM foundation|CAP_SRE_OBSERVABILITY</v>
      </c>
      <c r="CV45" t="str">
        <f t="shared" si="53"/>
        <v>Active</v>
      </c>
      <c r="CW45" t="str">
        <f t="shared" si="54"/>
        <v>OK: capability-driven</v>
      </c>
      <c r="CX45" t="str">
        <f t="shared" si="55"/>
        <v>Initiative ontology uses capability=CAP_SRE_OBSERVABILITY; bridge=BRG-077; treatment=TRT-SRE_OBSERVABILITY-INITIAL; wording=IW-ALL-SRE_OBSERVABILITY</v>
      </c>
    </row>
    <row r="46" spans="1:102" ht="42" customHeight="1">
      <c r="A46" s="17" t="s">
        <v>4283</v>
      </c>
      <c r="B46" s="17" t="s">
        <v>2286</v>
      </c>
      <c r="C46" s="17" t="s">
        <v>2309</v>
      </c>
      <c r="D46" s="17" t="s">
        <v>4272</v>
      </c>
      <c r="E46" s="17" t="s">
        <v>4273</v>
      </c>
      <c r="F46" s="17" t="s">
        <v>4284</v>
      </c>
      <c r="G46" s="17" t="s">
        <v>4285</v>
      </c>
      <c r="H46" s="17" t="s">
        <v>3689</v>
      </c>
      <c r="I46" s="17" t="s">
        <v>4276</v>
      </c>
      <c r="J46" s="17" t="s">
        <v>4286</v>
      </c>
      <c r="K46" s="17">
        <v>5</v>
      </c>
      <c r="L46" s="17">
        <f>IF($A46="","",COUNTIFS(_DATA_RiskInitiativeMap!$A$444:$A$867,$A46,_DATA_RiskInitiativeMap!$G$444:$G$867,"&gt;0"))</f>
        <v>5</v>
      </c>
      <c r="M46" s="17">
        <f>IF($A46="","",COUNTIFS(_DATA_RiskInitiativeMap!$A$444:$A$867,$A46,_DATA_RiskInitiativeMap!$G$444:$G$867,"&gt;0"))</f>
        <v>5</v>
      </c>
      <c r="N46" s="17">
        <f>IFERROR(AVERAGEIFS(_DATA_Assessment_Model!$H$5:$H$428,_DATA_Assessment_Model!$AW$5:$AW$428,$B46,_DATA_Assessment_Model!$B$5:$B$428,$C46),"")</f>
        <v>0</v>
      </c>
      <c r="O46" s="17">
        <f t="shared" si="28"/>
        <v>5</v>
      </c>
      <c r="P46" s="17">
        <f>IFERROR(INDEX(_DATA_Dashboard_Facts!$H$5:$H$21,MATCH($B46,_DATA_Dashboard_Facts!$A$5:$A$21,0)),"")</f>
        <v>0</v>
      </c>
      <c r="Q46" s="17">
        <f t="shared" si="29"/>
        <v>5</v>
      </c>
      <c r="R46" s="17">
        <f>IF(OR('Resilience &amp; Risk Scenario'!$B$6="",'Resilience &amp; Risk Scenario'!$B$7&lt;=0),1,IFERROR(IF(SUMIFS(_ENGINE_Crisis!$D$5:$D$208,_ENGINE_Crisis!$A$5:$A$208,'Resilience &amp; Risk Scenario'!$B$6,_ENGINE_Crisis!$B$5:$B$208,$B46)=0,1,SUMIFS(_ENGINE_Crisis!$D$5:$D$208,_ENGINE_Crisis!$A$5:$A$208,'Resilience &amp; Risk Scenario'!$B$6,_ENGINE_Crisis!$B$5:$B$208,$B46)),1))</f>
        <v>1</v>
      </c>
      <c r="S46" s="17">
        <f>IFERROR(INDEX(_ENGINE_Strategy!$A$100:$A$113,MATCH($D46,_ENGINE_Strategy!$B$100:$B$113,0)),99)</f>
        <v>12</v>
      </c>
      <c r="T46" s="17">
        <f>IFERROR(INDEX(_ENGINE_Strategy!$J$100:$J$113,MATCH($D46,_ENGINE_Strategy!$B$100:$B$113,0)),0)</f>
        <v>65.8</v>
      </c>
      <c r="U46" s="17">
        <v>4</v>
      </c>
      <c r="V46" s="17">
        <v>4</v>
      </c>
      <c r="W46" s="17">
        <v>4</v>
      </c>
      <c r="X46" s="17">
        <f t="shared" si="30"/>
        <v>4.5724999999999998</v>
      </c>
      <c r="Y46" s="17">
        <f>IF($P46="","",MAX(1,MIN(5,1+N($O46)*0.45+MIN(2,N($M46)*0.3)+($R46-1)*1.2+IF('Resilience &amp; Risk Scenario'!$B$7="",1,'Resilience &amp; Risk Scenario'!$B$7)*0.25)))</f>
        <v>5</v>
      </c>
      <c r="Z46" s="17">
        <f t="shared" si="31"/>
        <v>4.8</v>
      </c>
      <c r="AA46" s="17">
        <f t="shared" si="32"/>
        <v>3.7869999999999999</v>
      </c>
      <c r="AB46" s="17">
        <v>3</v>
      </c>
      <c r="AC46" s="17">
        <f t="shared" si="33"/>
        <v>1.77</v>
      </c>
      <c r="AD46" s="17">
        <f t="shared" si="34"/>
        <v>29</v>
      </c>
      <c r="AE46" s="17" t="str">
        <f t="shared" si="35"/>
        <v>3-6 months</v>
      </c>
      <c r="AF46" s="17" t="s">
        <v>4278</v>
      </c>
      <c r="AG46" s="17" t="s">
        <v>3963</v>
      </c>
      <c r="AH46" s="17" t="s">
        <v>3964</v>
      </c>
      <c r="AI46" s="17" t="s">
        <v>3965</v>
      </c>
      <c r="AJ46" s="17" t="s">
        <v>4287</v>
      </c>
      <c r="AK46" s="17" t="s">
        <v>4288</v>
      </c>
      <c r="AL46" s="17" t="s">
        <v>4289</v>
      </c>
      <c r="AM46" s="17" t="s">
        <v>4282</v>
      </c>
      <c r="AN46" s="17" t="s">
        <v>3937</v>
      </c>
      <c r="AO46" s="17" t="s">
        <v>3938</v>
      </c>
      <c r="AP46" s="17" t="s">
        <v>546</v>
      </c>
      <c r="AQ46" s="17"/>
      <c r="AR46" s="17"/>
      <c r="AS46" s="14">
        <f>IFERROR((IF(SUMIFS(_REF_Model_Content!$J$1:$J$157,_REF_Model_Content!$A$1:$A$174,PV_Canonical_Industry,_REF_Model_Content!$B$1:$B$174,$B46)=0,1,SUMIFS(_REF_Model_Content!$J$1:$J$157,_REF_Model_Content!$A$1:$A$174,PV_Canonical_Industry,_REF_Model_Content!$B$1:$B$174,$B46))*IFERROR($CA46,1)),1)</f>
        <v>1</v>
      </c>
      <c r="AT46" s="14">
        <f t="shared" si="36"/>
        <v>1.77</v>
      </c>
      <c r="AU46" s="14">
        <f>IF($AT46="","",RANK($AT46,$AT$5:$AT$76,0)+COUNTIF($AT$5:AT46,$AT46)-1)</f>
        <v>29</v>
      </c>
      <c r="AV46" s="14">
        <f>IFERROR(INDEX(_DATA_Dashboard_Facts!$G$300:$G$316,MATCH($B46,_DATA_Dashboard_Facts!$A$300:$A$316,0)),"")</f>
        <v>0</v>
      </c>
      <c r="AW46" s="14" t="str">
        <f t="shared" si="37"/>
        <v>Relevance-neutral priority</v>
      </c>
      <c r="AX46">
        <f>IFERROR(INDEX('Action Plan &amp; Roadmap'!$D$59:$D$130,MATCH($A46,'Action Plan &amp; Roadmap'!$A$59:$A$130,0)),"")</f>
        <v>0</v>
      </c>
      <c r="AY46">
        <f t="shared" si="38"/>
        <v>0</v>
      </c>
      <c r="AZ46" t="s">
        <v>3980</v>
      </c>
      <c r="BA46">
        <f>IF($A46="","",COUNTIF(_DATA_RiskInitiativeMap!$A$1:$A$867,$A46))</f>
        <v>5</v>
      </c>
      <c r="BB46">
        <f>IF($A46="","",IFERROR(AVERAGEIF(_DATA_RiskInitiativeMap!$A$1:$A$867,$A46,_DATA_RiskInitiativeMap!$G$1:$G$867),0))</f>
        <v>19.338000000000001</v>
      </c>
      <c r="BC46">
        <f t="shared" si="39"/>
        <v>4.5</v>
      </c>
      <c r="BD46">
        <f t="shared" si="40"/>
        <v>4.4136600000000001</v>
      </c>
      <c r="BI46" s="17" t="str">
        <f>IFERROR(_CONFIG_Model_Settings!$B$103,"Adaptive")</f>
        <v>Fragile</v>
      </c>
      <c r="BJ46" s="17">
        <f>IFERROR(INDEX(_CONFIG_Model_Settings!$B$109:$B$113,MATCH($BI46,_CONFIG_Model_Settings!$A$109:$A$113,0)),0.3)</f>
        <v>0.2</v>
      </c>
      <c r="BK46" s="17">
        <f>IFERROR(INDEX(_CONFIG_Model_Settings!$C$109:$C$113,MATCH($BI46,_CONFIG_Model_Settings!$A$109:$A$113,0)),0.2)</f>
        <v>0.3</v>
      </c>
      <c r="BL46" s="17">
        <f>IFERROR(INDEX(_CONFIG_Model_Settings!$D$109:$D$113,MATCH($BI46,_CONFIG_Model_Settings!$A$109:$A$113,0)),0.25)</f>
        <v>0.4</v>
      </c>
      <c r="BM46" s="17">
        <f>IFERROR(INDEX(_CONFIG_Model_Settings!$E$109:$E$113,MATCH($BI46,_CONFIG_Model_Settings!$A$109:$A$113,0)),0.25)</f>
        <v>0.1</v>
      </c>
      <c r="BN46" s="17">
        <f>IFERROR(INDEX(_CONFIG_Model_Settings!$B$117:$B$123,MATCH(_CONFIG_Model_Settings!$B$104,_CONFIG_Model_Settings!$A$117:$A$123,0)),1)</f>
        <v>1</v>
      </c>
      <c r="BO46" s="17">
        <f>IFERROR(INDEX(_CONFIG_Model_Settings!$C$117:$C$123,MATCH(_CONFIG_Model_Settings!$B$104,_CONFIG_Model_Settings!$A$117:$A$123,0)),1)</f>
        <v>1</v>
      </c>
      <c r="BP46" s="17">
        <f>IFERROR(INDEX(_CONFIG_Model_Settings!$D$117:$D$123,MATCH(_CONFIG_Model_Settings!$B$104,_CONFIG_Model_Settings!$A$117:$A$123,0)),1)</f>
        <v>1</v>
      </c>
      <c r="BQ46" s="17">
        <f>IFERROR(INDEX(_CONFIG_Model_Settings!$E$117:$E$123,MATCH(_CONFIG_Model_Settings!$B$104,_CONFIG_Model_Settings!$A$117:$A$123,0)),1)</f>
        <v>1</v>
      </c>
      <c r="BR46" s="17">
        <f>IF(OR($A46="",$P46=""),"",MIN(5,IFERROR(SUMIF(_DATA_RiskInitiativeMap!$A$1:$A$867,$A46,_DATA_RiskInitiativeMap!$K$1:$K$867)/MAX(1,_CONFIG_Model_Settings!$B$166),0)))</f>
        <v>5</v>
      </c>
      <c r="BS46" s="17">
        <f t="shared" si="41"/>
        <v>5.31</v>
      </c>
      <c r="BT46" s="17">
        <f t="shared" si="42"/>
        <v>3</v>
      </c>
      <c r="BU46" s="17">
        <f t="shared" si="43"/>
        <v>1.77</v>
      </c>
      <c r="BV46" s="17">
        <f>IF(OR($P46="",$BU46="",$AY46="Done",$AY46="Not applicable"),"",ROUND($BU46*N($AS46)*IF(OR('Resilience &amp; Risk Scenario'!$B$6="",'Resilience &amp; Risk Scenario'!$B$7&lt;=0),1,IFERROR(1+MIN(0.75,INDEX('Resilience &amp; Risk Scenario'!$E$21:$E$37,MATCH($B46,'Resilience &amp; Risk Scenario'!$B$21:$B$37,0))/10),1)),2))</f>
        <v>1.77</v>
      </c>
      <c r="BW46" s="17">
        <f>IF($BV46="","",RANK($BV46,$BV$5:$BV$76,0)+COUNTIF($BV$5:$BV46,$BV46)-1)</f>
        <v>29</v>
      </c>
      <c r="BX46" s="17" t="str">
        <f t="shared" si="44"/>
        <v>3-6 months</v>
      </c>
      <c r="BY46" t="str">
        <f>IFERROR(IF($A46="","","P2: "&amp;$BI46&amp;" posture; objective="&amp;IF(_CONFIG_Model_Settings!$B$104="","Neutral/default",_CONFIG_Model_Settings!$B$104)&amp;"; relevance="&amp;ROUND(N($AS46),2)&amp;"; scenario/domain boost="&amp;ROUND(IF(OR('Resilience &amp; Risk Scenario'!$B$6="",'Resilience &amp; Risk Scenario'!$B$7&lt;=0),1,IFERROR(1+MIN(0.75,INDEX('Resilience &amp; Risk Scenario'!$E$21:$E$37,MATCH($B46,'Resilience &amp; Risk Scenario'!$B$21:$B$37,0))/10),1)),2)&amp;"; financial score="&amp;ROUND(N($BR46),1)&amp;"; CoD="&amp;$BS46&amp;IF($CL46&lt;&gt;"","; wording="&amp;$CL46,"")),"")</f>
        <v>P2: Fragile posture; objective=Neutral/default; relevance=1; scenario/domain boost=1; financial score=5; CoD=5.31; wording=Strengthen Platform continuity</v>
      </c>
      <c r="BZ46" t="str">
        <f>IFERROR(INDEX(_REF_Capability_Bridge!$D:$D,MATCH($B46&amp;"|"&amp;$C46,_REF_Capability_Bridge!$J:$J,0)),IFERROR(INDEX(_REF_Capability_Bridge!$D:$D,MATCH($B46&amp;"|",_REF_Capability_Bridge!$J:$J,0)),"CAP_GENERIC"))</f>
        <v>CAP_PLATFORM_CONTINUITY</v>
      </c>
      <c r="CA46">
        <f>IFERROR(IFERROR(INDEX(_ENGINE_Relevance!$L:$L,MATCH($BZ46,_ENGINE_Relevance!$B:$B,0)),1),1)</f>
        <v>1</v>
      </c>
      <c r="CB46" t="str">
        <f>IFERROR(INDEX(_REF_Capability_Bridge!$A:$A,MATCH($B46&amp;"|"&amp;$C46,_REF_Capability_Bridge!$J:$J,0)),IFERROR(INDEX(_REF_Capability_Bridge!$A:$A,MATCH($B46&amp;"|",_REF_Capability_Bridge!$J:$J,0)),"No bridge"))</f>
        <v>BRG-080</v>
      </c>
      <c r="CC46" t="str">
        <f t="shared" si="45"/>
        <v>Capability relevance neutral</v>
      </c>
      <c r="CD46" t="str">
        <f t="shared" si="46"/>
        <v>Initial / absent</v>
      </c>
      <c r="CE46" t="str">
        <f>IF($A46="","",IFERROR(INDEX(_REF_Treatment_Library!$A$2:$A$296,MATCH(1,INDEX((_REF_Treatment_Library!$B$2:$B$296=$BZ46)*(_REF_Treatment_Library!$C$2:$C$296=PV_Canonical_Industry)*(_REF_Treatment_Library!$E$2:$E$296&lt;=N($N46))*(_REF_Treatment_Library!$F$2:$F$296&gt;=N($N46))*(_REF_Treatment_Library!$O$2:$O$296="Yes"),0),0)),IFERROR(INDEX(_REF_Treatment_Library!$A$2:$A$296,MATCH(1,INDEX((_REF_Treatment_Library!$B$2:$B$296=$BZ46)*(_REF_Treatment_Library!$C$2:$C$296="All")*(_REF_Treatment_Library!$E$2:$E$296&lt;=N($N46))*(_REF_Treatment_Library!$F$2:$F$296&gt;=N($N46))*(_REF_Treatment_Library!$O$2:$O$296="Yes"),0),0)),"")))</f>
        <v>TRT-PLATFORM_CONTINUITY-INITIAL</v>
      </c>
      <c r="CF46" t="str">
        <f>IF($CE46="","",IFERROR(INDEX(_REF_Treatment_Library!$H$2:$H$296,MATCH($CE46,_REF_Treatment_Library!$A$2:$A$296,0)),""))</f>
        <v>Establish</v>
      </c>
      <c r="CG46" t="str">
        <f>IF($CE46="","",IFERROR(INDEX(_REF_Treatment_Library!$I$2:$I$296,MATCH($CE46,_REF_Treatment_Library!$A$2:$A$296,0)),""))</f>
        <v>Establish baseline controls for Platform continuity</v>
      </c>
      <c r="CH46" t="str">
        <f>IF($CE46="","",IFERROR(INDEX(_REF_Treatment_Library!$K$2:$K$296,MATCH($CE46,_REF_Treatment_Library!$A$2:$A$296,0)),""))</f>
        <v>Named owner, baseline process, minimum control checklist, first evidence package</v>
      </c>
      <c r="CI46" t="str">
        <f>IF($CE46="","",IFERROR(INDEX(_REF_Treatment_Library!$L$2:$L$296,MATCH($CE46,_REF_Treatment_Library!$A$2:$A$296,0)),""))</f>
        <v>Owner assigned; baseline evidence coverage; open critical gaps</v>
      </c>
      <c r="CJ46" t="str">
        <f t="shared" si="47"/>
        <v>Treatment by capability=CAP_PLATFORM_CONTINUITY; band=Initial / absent; score=0.0; treatment=Establish</v>
      </c>
      <c r="CK46" t="str">
        <f>IF($A46="","",IFERROR(INDEX(_REF_Industry_Wording!$A$2:$A$70,MATCH(1,INDEX((_REF_Industry_Wording!$B$2:$B$70=$BZ46)*(_REF_Industry_Wording!$C$2:$C$70=PV_Canonical_Industry)*(_REF_Industry_Wording!$K$2:$K$70="Yes"),0),0)),IFERROR(INDEX(_REF_Industry_Wording!$A$2:$A$70,MATCH(1,INDEX((_REF_Industry_Wording!$B$2:$B$70=$BZ46)*(_REF_Industry_Wording!$C$2:$C$70="All")*(_REF_Industry_Wording!$K$2:$K$70="Yes"),0),0)),"")))</f>
        <v>IW-ALL-PLATFORM_CONTINUITY</v>
      </c>
      <c r="CL46" t="str">
        <f>IF($CK46="","",IFERROR(INDEX(_REF_Industry_Wording!$F$2:$F$70,MATCH($CK46,_REF_Industry_Wording!$A$2:$A$70,0)),""))</f>
        <v>Strengthen Platform continuity</v>
      </c>
      <c r="CM46" t="str">
        <f>IF($CK46="","",IFERROR(INDEX(_REF_Industry_Wording!$G$2:$G$70,MATCH($CK46,_REF_Industry_Wording!$A$2:$A$70,0)),""))</f>
        <v>Strengthen Platform continuity using the selected maturity treatment, crisis scenario and evidence requirements.</v>
      </c>
      <c r="CN46" t="str">
        <f>IF($CK46="","",IFERROR(INDEX(_REF_Industry_Wording!$H$2:$H$70,MATCH($CK46,_REF_Industry_Wording!$A$2:$A$70,0)),""))</f>
        <v>Platform continuity</v>
      </c>
      <c r="CO46">
        <f>IF($CK46="","",IFERROR(INDEX(_REF_Industry_Wording!$I$2:$I$70,MATCH($CK46,_REF_Industry_Wording!$A$2:$A$70,0)),""))</f>
        <v>0</v>
      </c>
      <c r="CP46" t="str">
        <f>IF($CK46="","",IFERROR(INDEX(_REF_Industry_Wording!$J$2:$J$70,MATCH($CK46,_REF_Industry_Wording!$A$2:$A$70,0)),""))</f>
        <v>Platform continuity</v>
      </c>
      <c r="CQ46" t="str">
        <f t="shared" si="48"/>
        <v>Wording by industry=0; capability=CAP_PLATFORM_CONTINUITY; title=Strengthen Platform continuity</v>
      </c>
      <c r="CR46" t="str">
        <f t="shared" si="49"/>
        <v>INIT-ONT-0042</v>
      </c>
      <c r="CS46">
        <f t="shared" si="50"/>
        <v>46</v>
      </c>
      <c r="CT46" t="str">
        <f t="shared" si="51"/>
        <v>CAP_PLATFORM_CONTINUITY</v>
      </c>
      <c r="CU46" t="str">
        <f t="shared" si="52"/>
        <v>INI-042|Sales CRM|Pipeline and forecast|CAP_PLATFORM_CONTINUITY</v>
      </c>
      <c r="CV46" t="str">
        <f t="shared" si="53"/>
        <v>Active</v>
      </c>
      <c r="CW46" t="str">
        <f t="shared" si="54"/>
        <v>OK: capability-driven</v>
      </c>
      <c r="CX46" t="str">
        <f t="shared" si="55"/>
        <v>Initiative ontology uses capability=CAP_PLATFORM_CONTINUITY; bridge=BRG-080; treatment=TRT-PLATFORM_CONTINUITY-INITIAL; wording=IW-ALL-PLATFORM_CONTINUITY</v>
      </c>
    </row>
    <row r="47" spans="1:102" ht="42" customHeight="1">
      <c r="A47" s="17" t="s">
        <v>4290</v>
      </c>
      <c r="B47" s="17" t="s">
        <v>2286</v>
      </c>
      <c r="C47" s="17" t="s">
        <v>2319</v>
      </c>
      <c r="D47" s="17" t="s">
        <v>4272</v>
      </c>
      <c r="E47" s="17" t="s">
        <v>4273</v>
      </c>
      <c r="F47" s="17" t="s">
        <v>4291</v>
      </c>
      <c r="G47" s="17" t="s">
        <v>4292</v>
      </c>
      <c r="H47" s="17" t="s">
        <v>3689</v>
      </c>
      <c r="I47" s="17" t="s">
        <v>4276</v>
      </c>
      <c r="J47" s="17" t="s">
        <v>4293</v>
      </c>
      <c r="K47" s="17">
        <v>11</v>
      </c>
      <c r="L47" s="17">
        <f>IF($A47="","",COUNTIFS(_DATA_RiskInitiativeMap!$A$444:$A$867,$A47,_DATA_RiskInitiativeMap!$G$444:$G$867,"&gt;0"))</f>
        <v>11</v>
      </c>
      <c r="M47" s="17">
        <f>IF($A47="","",COUNTIFS(_DATA_RiskInitiativeMap!$A$444:$A$867,$A47,_DATA_RiskInitiativeMap!$G$444:$G$867,"&gt;0"))</f>
        <v>11</v>
      </c>
      <c r="N47" s="17">
        <f>IFERROR(AVERAGEIFS(_DATA_Assessment_Model!$H$5:$H$428,_DATA_Assessment_Model!$AW$5:$AW$428,$B47,_DATA_Assessment_Model!$B$5:$B$428,$C47),"")</f>
        <v>0</v>
      </c>
      <c r="O47" s="17">
        <f t="shared" si="28"/>
        <v>5</v>
      </c>
      <c r="P47" s="17">
        <f>IFERROR(INDEX(_DATA_Dashboard_Facts!$H$5:$H$21,MATCH($B47,_DATA_Dashboard_Facts!$A$5:$A$21,0)),"")</f>
        <v>0</v>
      </c>
      <c r="Q47" s="17">
        <f t="shared" si="29"/>
        <v>5</v>
      </c>
      <c r="R47" s="17">
        <f>IF(OR('Resilience &amp; Risk Scenario'!$B$6="",'Resilience &amp; Risk Scenario'!$B$7&lt;=0),1,IFERROR(IF(SUMIFS(_ENGINE_Crisis!$D$5:$D$208,_ENGINE_Crisis!$A$5:$A$208,'Resilience &amp; Risk Scenario'!$B$6,_ENGINE_Crisis!$B$5:$B$208,$B47)=0,1,SUMIFS(_ENGINE_Crisis!$D$5:$D$208,_ENGINE_Crisis!$A$5:$A$208,'Resilience &amp; Risk Scenario'!$B$6,_ENGINE_Crisis!$B$5:$B$208,$B47)),1))</f>
        <v>1</v>
      </c>
      <c r="S47" s="17">
        <f>IFERROR(INDEX(_ENGINE_Strategy!$A$100:$A$113,MATCH($D47,_ENGINE_Strategy!$B$100:$B$113,0)),99)</f>
        <v>12</v>
      </c>
      <c r="T47" s="17">
        <f>IFERROR(INDEX(_ENGINE_Strategy!$J$100:$J$113,MATCH($D47,_ENGINE_Strategy!$B$100:$B$113,0)),0)</f>
        <v>65.8</v>
      </c>
      <c r="U47" s="17">
        <v>4</v>
      </c>
      <c r="V47" s="17">
        <v>4</v>
      </c>
      <c r="W47" s="17">
        <v>4</v>
      </c>
      <c r="X47" s="17">
        <f t="shared" si="30"/>
        <v>4.5724999999999998</v>
      </c>
      <c r="Y47" s="17">
        <f>IF($P47="","",MAX(1,MIN(5,1+N($O47)*0.45+MIN(2,N($M47)*0.3)+($R47-1)*1.2+IF('Resilience &amp; Risk Scenario'!$B$7="",1,'Resilience &amp; Risk Scenario'!$B$7)*0.25)))</f>
        <v>5</v>
      </c>
      <c r="Z47" s="17">
        <f t="shared" si="31"/>
        <v>4.8</v>
      </c>
      <c r="AA47" s="17">
        <f t="shared" si="32"/>
        <v>3.7869999999999999</v>
      </c>
      <c r="AB47" s="17">
        <v>3</v>
      </c>
      <c r="AC47" s="17">
        <f t="shared" si="33"/>
        <v>1.76</v>
      </c>
      <c r="AD47" s="17">
        <f t="shared" si="34"/>
        <v>31</v>
      </c>
      <c r="AE47" s="17" t="str">
        <f t="shared" si="35"/>
        <v>3-6 months</v>
      </c>
      <c r="AF47" s="17" t="s">
        <v>4278</v>
      </c>
      <c r="AG47" s="17" t="s">
        <v>3963</v>
      </c>
      <c r="AH47" s="17" t="s">
        <v>3964</v>
      </c>
      <c r="AI47" s="17" t="s">
        <v>3965</v>
      </c>
      <c r="AJ47" s="17" t="s">
        <v>4294</v>
      </c>
      <c r="AK47" s="17" t="s">
        <v>4295</v>
      </c>
      <c r="AL47" s="17" t="s">
        <v>4296</v>
      </c>
      <c r="AM47" s="17" t="s">
        <v>4282</v>
      </c>
      <c r="AN47" s="17" t="s">
        <v>3937</v>
      </c>
      <c r="AO47" s="17" t="s">
        <v>3938</v>
      </c>
      <c r="AP47" s="17" t="s">
        <v>546</v>
      </c>
      <c r="AQ47" s="17"/>
      <c r="AR47" s="17"/>
      <c r="AS47" s="14">
        <f>IFERROR((IF(SUMIFS(_REF_Model_Content!$J$1:$J$157,_REF_Model_Content!$A$1:$A$174,PV_Canonical_Industry,_REF_Model_Content!$B$1:$B$174,$B47)=0,1,SUMIFS(_REF_Model_Content!$J$1:$J$157,_REF_Model_Content!$A$1:$A$174,PV_Canonical_Industry,_REF_Model_Content!$B$1:$B$174,$B47))*IFERROR($CA47,1)),1)</f>
        <v>1</v>
      </c>
      <c r="AT47" s="14">
        <f t="shared" si="36"/>
        <v>1.76</v>
      </c>
      <c r="AU47" s="14">
        <f>IF($AT47="","",RANK($AT47,$AT$5:$AT$76,0)+COUNTIF($AT$5:AT47,$AT47)-1)</f>
        <v>31</v>
      </c>
      <c r="AV47" s="14">
        <f>IFERROR(INDEX(_DATA_Dashboard_Facts!$G$300:$G$316,MATCH($B47,_DATA_Dashboard_Facts!$A$300:$A$316,0)),"")</f>
        <v>0</v>
      </c>
      <c r="AW47" s="14" t="str">
        <f t="shared" si="37"/>
        <v>Relevance-neutral priority</v>
      </c>
      <c r="AX47">
        <f>IFERROR(INDEX('Action Plan &amp; Roadmap'!$D$59:$D$130,MATCH($A47,'Action Plan &amp; Roadmap'!$A$59:$A$130,0)),"")</f>
        <v>0</v>
      </c>
      <c r="AY47">
        <f t="shared" si="38"/>
        <v>0</v>
      </c>
      <c r="AZ47" t="s">
        <v>3980</v>
      </c>
      <c r="BA47">
        <f>IF($A47="","",COUNTIF(_DATA_RiskInitiativeMap!$A$1:$A$867,$A47))</f>
        <v>11</v>
      </c>
      <c r="BB47">
        <f>IF($A47="","",IFERROR(AVERAGEIF(_DATA_RiskInitiativeMap!$A$1:$A$867,$A47,_DATA_RiskInitiativeMap!$G$1:$G$867),0))</f>
        <v>18.505454545454544</v>
      </c>
      <c r="BC47">
        <f t="shared" si="39"/>
        <v>4.5</v>
      </c>
      <c r="BD47">
        <f t="shared" si="40"/>
        <v>4.3553818181818187</v>
      </c>
      <c r="BI47" s="17" t="str">
        <f>IFERROR(_CONFIG_Model_Settings!$B$103,"Adaptive")</f>
        <v>Fragile</v>
      </c>
      <c r="BJ47" s="17">
        <f>IFERROR(INDEX(_CONFIG_Model_Settings!$B$109:$B$113,MATCH($BI47,_CONFIG_Model_Settings!$A$109:$A$113,0)),0.3)</f>
        <v>0.2</v>
      </c>
      <c r="BK47" s="17">
        <f>IFERROR(INDEX(_CONFIG_Model_Settings!$C$109:$C$113,MATCH($BI47,_CONFIG_Model_Settings!$A$109:$A$113,0)),0.2)</f>
        <v>0.3</v>
      </c>
      <c r="BL47" s="17">
        <f>IFERROR(INDEX(_CONFIG_Model_Settings!$D$109:$D$113,MATCH($BI47,_CONFIG_Model_Settings!$A$109:$A$113,0)),0.25)</f>
        <v>0.4</v>
      </c>
      <c r="BM47" s="17">
        <f>IFERROR(INDEX(_CONFIG_Model_Settings!$E$109:$E$113,MATCH($BI47,_CONFIG_Model_Settings!$A$109:$A$113,0)),0.25)</f>
        <v>0.1</v>
      </c>
      <c r="BN47" s="17">
        <f>IFERROR(INDEX(_CONFIG_Model_Settings!$B$117:$B$123,MATCH(_CONFIG_Model_Settings!$B$104,_CONFIG_Model_Settings!$A$117:$A$123,0)),1)</f>
        <v>1</v>
      </c>
      <c r="BO47" s="17">
        <f>IFERROR(INDEX(_CONFIG_Model_Settings!$C$117:$C$123,MATCH(_CONFIG_Model_Settings!$B$104,_CONFIG_Model_Settings!$A$117:$A$123,0)),1)</f>
        <v>1</v>
      </c>
      <c r="BP47" s="17">
        <f>IFERROR(INDEX(_CONFIG_Model_Settings!$D$117:$D$123,MATCH(_CONFIG_Model_Settings!$B$104,_CONFIG_Model_Settings!$A$117:$A$123,0)),1)</f>
        <v>1</v>
      </c>
      <c r="BQ47" s="17">
        <f>IFERROR(INDEX(_CONFIG_Model_Settings!$E$117:$E$123,MATCH(_CONFIG_Model_Settings!$B$104,_CONFIG_Model_Settings!$A$117:$A$123,0)),1)</f>
        <v>1</v>
      </c>
      <c r="BR47" s="17">
        <f>IF(OR($A47="",$P47=""),"",MIN(5,IFERROR(SUMIF(_DATA_RiskInitiativeMap!$A$1:$A$867,$A47,_DATA_RiskInitiativeMap!$K$1:$K$867)/MAX(1,_CONFIG_Model_Settings!$B$166),0)))</f>
        <v>5</v>
      </c>
      <c r="BS47" s="17">
        <f t="shared" si="41"/>
        <v>5.29</v>
      </c>
      <c r="BT47" s="17">
        <f t="shared" si="42"/>
        <v>3</v>
      </c>
      <c r="BU47" s="17">
        <f t="shared" si="43"/>
        <v>1.76</v>
      </c>
      <c r="BV47" s="17">
        <f>IF(OR($P47="",$BU47="",$AY47="Done",$AY47="Not applicable"),"",ROUND($BU47*N($AS47)*IF(OR('Resilience &amp; Risk Scenario'!$B$6="",'Resilience &amp; Risk Scenario'!$B$7&lt;=0),1,IFERROR(1+MIN(0.75,INDEX('Resilience &amp; Risk Scenario'!$E$21:$E$37,MATCH($B47,'Resilience &amp; Risk Scenario'!$B$21:$B$37,0))/10),1)),2))</f>
        <v>1.76</v>
      </c>
      <c r="BW47" s="17">
        <f>IF($BV47="","",RANK($BV47,$BV$5:$BV$76,0)+COUNTIF($BV$5:$BV47,$BV47)-1)</f>
        <v>31</v>
      </c>
      <c r="BX47" s="17" t="str">
        <f t="shared" si="44"/>
        <v>3-6 months</v>
      </c>
      <c r="BY47" t="str">
        <f>IFERROR(IF($A47="","","P2: "&amp;$BI47&amp;" posture; objective="&amp;IF(_CONFIG_Model_Settings!$B$104="","Neutral/default",_CONFIG_Model_Settings!$B$104)&amp;"; relevance="&amp;ROUND(N($AS47),2)&amp;"; scenario/domain boost="&amp;ROUND(IF(OR('Resilience &amp; Risk Scenario'!$B$6="",'Resilience &amp; Risk Scenario'!$B$7&lt;=0),1,IFERROR(1+MIN(0.75,INDEX('Resilience &amp; Risk Scenario'!$E$21:$E$37,MATCH($B47,'Resilience &amp; Risk Scenario'!$B$21:$B$37,0))/10),1)),2)&amp;"; financial score="&amp;ROUND(N($BR47),1)&amp;"; CoD="&amp;$BS47&amp;IF($CL47&lt;&gt;"","; wording="&amp;$CL47,"")),"")</f>
        <v>P2: Fragile posture; objective=Neutral/default; relevance=1; scenario/domain boost=1; financial score=5; CoD=5.29; wording=Strengthen Payment continuity</v>
      </c>
      <c r="BZ47" t="str">
        <f>IFERROR(INDEX(_REF_Capability_Bridge!$D:$D,MATCH($B47&amp;"|"&amp;$C47,_REF_Capability_Bridge!$J:$J,0)),IFERROR(INDEX(_REF_Capability_Bridge!$D:$D,MATCH($B47&amp;"|",_REF_Capability_Bridge!$J:$J,0)),"CAP_GENERIC"))</f>
        <v>CAP_PAYMENT_CONTINUITY</v>
      </c>
      <c r="CA47">
        <f>IFERROR(IFERROR(INDEX(_ENGINE_Relevance!$L:$L,MATCH($BZ47,_ENGINE_Relevance!$B:$B,0)),1),1)</f>
        <v>1</v>
      </c>
      <c r="CB47" t="str">
        <f>IFERROR(INDEX(_REF_Capability_Bridge!$A:$A,MATCH($B47&amp;"|"&amp;$C47,_REF_Capability_Bridge!$J:$J,0)),IFERROR(INDEX(_REF_Capability_Bridge!$A:$A,MATCH($B47&amp;"|",_REF_Capability_Bridge!$J:$J,0)),"No bridge"))</f>
        <v>BRG-078</v>
      </c>
      <c r="CC47" t="str">
        <f t="shared" si="45"/>
        <v>Capability relevance neutral</v>
      </c>
      <c r="CD47" t="str">
        <f t="shared" si="46"/>
        <v>Initial / absent</v>
      </c>
      <c r="CE47" t="str">
        <f>IF($A47="","",IFERROR(INDEX(_REF_Treatment_Library!$A$2:$A$296,MATCH(1,INDEX((_REF_Treatment_Library!$B$2:$B$296=$BZ47)*(_REF_Treatment_Library!$C$2:$C$296=PV_Canonical_Industry)*(_REF_Treatment_Library!$E$2:$E$296&lt;=N($N47))*(_REF_Treatment_Library!$F$2:$F$296&gt;=N($N47))*(_REF_Treatment_Library!$O$2:$O$296="Yes"),0),0)),IFERROR(INDEX(_REF_Treatment_Library!$A$2:$A$296,MATCH(1,INDEX((_REF_Treatment_Library!$B$2:$B$296=$BZ47)*(_REF_Treatment_Library!$C$2:$C$296="All")*(_REF_Treatment_Library!$E$2:$E$296&lt;=N($N47))*(_REF_Treatment_Library!$F$2:$F$296&gt;=N($N47))*(_REF_Treatment_Library!$O$2:$O$296="Yes"),0),0)),"")))</f>
        <v>TRT-PAYMENT_CONTINUITY-INITIAL</v>
      </c>
      <c r="CF47" t="str">
        <f>IF($CE47="","",IFERROR(INDEX(_REF_Treatment_Library!$H$2:$H$296,MATCH($CE47,_REF_Treatment_Library!$A$2:$A$296,0)),""))</f>
        <v>Establish</v>
      </c>
      <c r="CG47" t="str">
        <f>IF($CE47="","",IFERROR(INDEX(_REF_Treatment_Library!$I$2:$I$296,MATCH($CE47,_REF_Treatment_Library!$A$2:$A$296,0)),""))</f>
        <v>Establish baseline controls for Payment continuity</v>
      </c>
      <c r="CH47" t="str">
        <f>IF($CE47="","",IFERROR(INDEX(_REF_Treatment_Library!$K$2:$K$296,MATCH($CE47,_REF_Treatment_Library!$A$2:$A$296,0)),""))</f>
        <v>Named owner, baseline process, minimum control checklist, first evidence package</v>
      </c>
      <c r="CI47" t="str">
        <f>IF($CE47="","",IFERROR(INDEX(_REF_Treatment_Library!$L$2:$L$296,MATCH($CE47,_REF_Treatment_Library!$A$2:$A$296,0)),""))</f>
        <v>Owner assigned; baseline evidence coverage; open critical gaps</v>
      </c>
      <c r="CJ47" t="str">
        <f t="shared" si="47"/>
        <v>Treatment by capability=CAP_PAYMENT_CONTINUITY; band=Initial / absent; score=0.0; treatment=Establish</v>
      </c>
      <c r="CK47" t="str">
        <f>IF($A47="","",IFERROR(INDEX(_REF_Industry_Wording!$A$2:$A$70,MATCH(1,INDEX((_REF_Industry_Wording!$B$2:$B$70=$BZ47)*(_REF_Industry_Wording!$C$2:$C$70=PV_Canonical_Industry)*(_REF_Industry_Wording!$K$2:$K$70="Yes"),0),0)),IFERROR(INDEX(_REF_Industry_Wording!$A$2:$A$70,MATCH(1,INDEX((_REF_Industry_Wording!$B$2:$B$70=$BZ47)*(_REF_Industry_Wording!$C$2:$C$70="All")*(_REF_Industry_Wording!$K$2:$K$70="Yes"),0),0)),"")))</f>
        <v>IW-ALL-PAYMENT_CONTINUITY</v>
      </c>
      <c r="CL47" t="str">
        <f>IF($CK47="","",IFERROR(INDEX(_REF_Industry_Wording!$F$2:$F$70,MATCH($CK47,_REF_Industry_Wording!$A$2:$A$70,0)),""))</f>
        <v>Strengthen Payment continuity</v>
      </c>
      <c r="CM47" t="str">
        <f>IF($CK47="","",IFERROR(INDEX(_REF_Industry_Wording!$G$2:$G$70,MATCH($CK47,_REF_Industry_Wording!$A$2:$A$70,0)),""))</f>
        <v>Strengthen Payment continuity using the selected maturity treatment, crisis scenario and evidence requirements.</v>
      </c>
      <c r="CN47" t="str">
        <f>IF($CK47="","",IFERROR(INDEX(_REF_Industry_Wording!$H$2:$H$70,MATCH($CK47,_REF_Industry_Wording!$A$2:$A$70,0)),""))</f>
        <v>Payment continuity</v>
      </c>
      <c r="CO47">
        <f>IF($CK47="","",IFERROR(INDEX(_REF_Industry_Wording!$I$2:$I$70,MATCH($CK47,_REF_Industry_Wording!$A$2:$A$70,0)),""))</f>
        <v>0</v>
      </c>
      <c r="CP47" t="str">
        <f>IF($CK47="","",IFERROR(INDEX(_REF_Industry_Wording!$J$2:$J$70,MATCH($CK47,_REF_Industry_Wording!$A$2:$A$70,0)),""))</f>
        <v>Payment continuity</v>
      </c>
      <c r="CQ47" t="str">
        <f t="shared" si="48"/>
        <v>Wording by industry=0; capability=CAP_PAYMENT_CONTINUITY; title=Strengthen Payment continuity</v>
      </c>
      <c r="CR47" t="str">
        <f t="shared" si="49"/>
        <v>INIT-ONT-0043</v>
      </c>
      <c r="CS47">
        <f t="shared" si="50"/>
        <v>47</v>
      </c>
      <c r="CT47" t="str">
        <f t="shared" si="51"/>
        <v>CAP_PAYMENT_CONTINUITY</v>
      </c>
      <c r="CU47" t="str">
        <f t="shared" si="52"/>
        <v>INI-043|Sales CRM|Customer continuity|CAP_PAYMENT_CONTINUITY</v>
      </c>
      <c r="CV47" t="str">
        <f t="shared" si="53"/>
        <v>Active</v>
      </c>
      <c r="CW47" t="str">
        <f t="shared" si="54"/>
        <v>OK: capability-driven</v>
      </c>
      <c r="CX47" t="str">
        <f t="shared" si="55"/>
        <v>Initiative ontology uses capability=CAP_PAYMENT_CONTINUITY; bridge=BRG-078; treatment=TRT-PAYMENT_CONTINUITY-INITIAL; wording=IW-ALL-PAYMENT_CONTINUITY</v>
      </c>
    </row>
    <row r="48" spans="1:102" ht="42" customHeight="1">
      <c r="A48" s="17" t="s">
        <v>4297</v>
      </c>
      <c r="B48" s="17" t="s">
        <v>2286</v>
      </c>
      <c r="C48" s="17" t="s">
        <v>2329</v>
      </c>
      <c r="D48" s="17" t="s">
        <v>4272</v>
      </c>
      <c r="E48" s="17" t="s">
        <v>4273</v>
      </c>
      <c r="F48" s="17" t="s">
        <v>4298</v>
      </c>
      <c r="G48" s="17" t="s">
        <v>4299</v>
      </c>
      <c r="H48" s="17" t="s">
        <v>3689</v>
      </c>
      <c r="I48" s="17" t="s">
        <v>4276</v>
      </c>
      <c r="J48" s="17" t="s">
        <v>4300</v>
      </c>
      <c r="K48" s="17">
        <v>4</v>
      </c>
      <c r="L48" s="17">
        <f>IF($A48="","",COUNTIFS(_DATA_RiskInitiativeMap!$A$444:$A$867,$A48,_DATA_RiskInitiativeMap!$G$444:$G$867,"&gt;0"))</f>
        <v>4</v>
      </c>
      <c r="M48" s="17">
        <f>IF($A48="","",COUNTIFS(_DATA_RiskInitiativeMap!$A$444:$A$867,$A48,_DATA_RiskInitiativeMap!$G$444:$G$867,"&gt;0"))</f>
        <v>4</v>
      </c>
      <c r="N48" s="17">
        <f>IFERROR(AVERAGEIFS(_DATA_Assessment_Model!$H$5:$H$428,_DATA_Assessment_Model!$AW$5:$AW$428,$B48,_DATA_Assessment_Model!$B$5:$B$428,$C48),"")</f>
        <v>0</v>
      </c>
      <c r="O48" s="17">
        <f t="shared" si="28"/>
        <v>5</v>
      </c>
      <c r="P48" s="17">
        <f>IFERROR(INDEX(_DATA_Dashboard_Facts!$H$5:$H$21,MATCH($B48,_DATA_Dashboard_Facts!$A$5:$A$21,0)),"")</f>
        <v>0</v>
      </c>
      <c r="Q48" s="17">
        <f t="shared" si="29"/>
        <v>5</v>
      </c>
      <c r="R48" s="17">
        <f>IF(OR('Resilience &amp; Risk Scenario'!$B$6="",'Resilience &amp; Risk Scenario'!$B$7&lt;=0),1,IFERROR(IF(SUMIFS(_ENGINE_Crisis!$D$5:$D$208,_ENGINE_Crisis!$A$5:$A$208,'Resilience &amp; Risk Scenario'!$B$6,_ENGINE_Crisis!$B$5:$B$208,$B48)=0,1,SUMIFS(_ENGINE_Crisis!$D$5:$D$208,_ENGINE_Crisis!$A$5:$A$208,'Resilience &amp; Risk Scenario'!$B$6,_ENGINE_Crisis!$B$5:$B$208,$B48)),1))</f>
        <v>1</v>
      </c>
      <c r="S48" s="17">
        <f>IFERROR(INDEX(_ENGINE_Strategy!$A$100:$A$113,MATCH($D48,_ENGINE_Strategy!$B$100:$B$113,0)),99)</f>
        <v>12</v>
      </c>
      <c r="T48" s="17">
        <f>IFERROR(INDEX(_ENGINE_Strategy!$J$100:$J$113,MATCH($D48,_ENGINE_Strategy!$B$100:$B$113,0)),0)</f>
        <v>65.8</v>
      </c>
      <c r="U48" s="17">
        <v>4</v>
      </c>
      <c r="V48" s="17">
        <v>4</v>
      </c>
      <c r="W48" s="17">
        <v>4</v>
      </c>
      <c r="X48" s="17">
        <f t="shared" si="30"/>
        <v>4.5724999999999998</v>
      </c>
      <c r="Y48" s="17">
        <f>IF($P48="","",MAX(1,MIN(5,1+N($O48)*0.45+MIN(2,N($M48)*0.3)+($R48-1)*1.2+IF('Resilience &amp; Risk Scenario'!$B$7="",1,'Resilience &amp; Risk Scenario'!$B$7)*0.25)))</f>
        <v>4.7</v>
      </c>
      <c r="Z48" s="17">
        <f t="shared" si="31"/>
        <v>4.8</v>
      </c>
      <c r="AA48" s="17">
        <f t="shared" si="32"/>
        <v>3.7869999999999999</v>
      </c>
      <c r="AB48" s="17">
        <v>3</v>
      </c>
      <c r="AC48" s="17">
        <f t="shared" si="33"/>
        <v>1.74</v>
      </c>
      <c r="AD48" s="17">
        <f t="shared" si="34"/>
        <v>36</v>
      </c>
      <c r="AE48" s="17" t="str">
        <f t="shared" si="35"/>
        <v>6-12 months</v>
      </c>
      <c r="AF48" s="17" t="s">
        <v>4278</v>
      </c>
      <c r="AG48" s="17" t="s">
        <v>3963</v>
      </c>
      <c r="AH48" s="17" t="s">
        <v>3964</v>
      </c>
      <c r="AI48" s="17" t="s">
        <v>3965</v>
      </c>
      <c r="AJ48" s="17" t="s">
        <v>4301</v>
      </c>
      <c r="AK48" s="17" t="s">
        <v>4302</v>
      </c>
      <c r="AL48" s="17" t="s">
        <v>4303</v>
      </c>
      <c r="AM48" s="17" t="s">
        <v>4282</v>
      </c>
      <c r="AN48" s="17" t="s">
        <v>3937</v>
      </c>
      <c r="AO48" s="17" t="s">
        <v>3938</v>
      </c>
      <c r="AP48" s="17" t="s">
        <v>546</v>
      </c>
      <c r="AQ48" s="17"/>
      <c r="AR48" s="17"/>
      <c r="AS48" s="14">
        <f>IFERROR((IF(SUMIFS(_REF_Model_Content!$J$1:$J$157,_REF_Model_Content!$A$1:$A$174,PV_Canonical_Industry,_REF_Model_Content!$B$1:$B$174,$B48)=0,1,SUMIFS(_REF_Model_Content!$J$1:$J$157,_REF_Model_Content!$A$1:$A$174,PV_Canonical_Industry,_REF_Model_Content!$B$1:$B$174,$B48))*IFERROR($CA48,1)),1)</f>
        <v>1</v>
      </c>
      <c r="AT48" s="14">
        <f t="shared" si="36"/>
        <v>1.74</v>
      </c>
      <c r="AU48" s="14">
        <f>IF($AT48="","",RANK($AT48,$AT$5:$AT$76,0)+COUNTIF($AT$5:AT48,$AT48)-1)</f>
        <v>36</v>
      </c>
      <c r="AV48" s="14">
        <f>IFERROR(INDEX(_DATA_Dashboard_Facts!$G$300:$G$316,MATCH($B48,_DATA_Dashboard_Facts!$A$300:$A$316,0)),"")</f>
        <v>0</v>
      </c>
      <c r="AW48" s="14" t="str">
        <f t="shared" si="37"/>
        <v>Relevance-neutral priority</v>
      </c>
      <c r="AX48">
        <f>IFERROR(INDEX('Action Plan &amp; Roadmap'!$D$59:$D$130,MATCH($A48,'Action Plan &amp; Roadmap'!$A$59:$A$130,0)),"")</f>
        <v>0</v>
      </c>
      <c r="AY48">
        <f t="shared" si="38"/>
        <v>0</v>
      </c>
      <c r="AZ48" t="s">
        <v>3980</v>
      </c>
      <c r="BA48">
        <f>IF($A48="","",COUNTIF(_DATA_RiskInitiativeMap!$A$1:$A$867,$A48))</f>
        <v>4</v>
      </c>
      <c r="BB48">
        <f>IF($A48="","",IFERROR(AVERAGEIF(_DATA_RiskInitiativeMap!$A$1:$A$867,$A48,_DATA_RiskInitiativeMap!$G$1:$G$867),0))</f>
        <v>19.897499999999997</v>
      </c>
      <c r="BC48">
        <f t="shared" si="39"/>
        <v>4.5</v>
      </c>
      <c r="BD48">
        <f t="shared" si="40"/>
        <v>4.4528249999999998</v>
      </c>
      <c r="BI48" s="17" t="str">
        <f>IFERROR(_CONFIG_Model_Settings!$B$103,"Adaptive")</f>
        <v>Fragile</v>
      </c>
      <c r="BJ48" s="17">
        <f>IFERROR(INDEX(_CONFIG_Model_Settings!$B$109:$B$113,MATCH($BI48,_CONFIG_Model_Settings!$A$109:$A$113,0)),0.3)</f>
        <v>0.2</v>
      </c>
      <c r="BK48" s="17">
        <f>IFERROR(INDEX(_CONFIG_Model_Settings!$C$109:$C$113,MATCH($BI48,_CONFIG_Model_Settings!$A$109:$A$113,0)),0.2)</f>
        <v>0.3</v>
      </c>
      <c r="BL48" s="17">
        <f>IFERROR(INDEX(_CONFIG_Model_Settings!$D$109:$D$113,MATCH($BI48,_CONFIG_Model_Settings!$A$109:$A$113,0)),0.25)</f>
        <v>0.4</v>
      </c>
      <c r="BM48" s="17">
        <f>IFERROR(INDEX(_CONFIG_Model_Settings!$E$109:$E$113,MATCH($BI48,_CONFIG_Model_Settings!$A$109:$A$113,0)),0.25)</f>
        <v>0.1</v>
      </c>
      <c r="BN48" s="17">
        <f>IFERROR(INDEX(_CONFIG_Model_Settings!$B$117:$B$123,MATCH(_CONFIG_Model_Settings!$B$104,_CONFIG_Model_Settings!$A$117:$A$123,0)),1)</f>
        <v>1</v>
      </c>
      <c r="BO48" s="17">
        <f>IFERROR(INDEX(_CONFIG_Model_Settings!$C$117:$C$123,MATCH(_CONFIG_Model_Settings!$B$104,_CONFIG_Model_Settings!$A$117:$A$123,0)),1)</f>
        <v>1</v>
      </c>
      <c r="BP48" s="17">
        <f>IFERROR(INDEX(_CONFIG_Model_Settings!$D$117:$D$123,MATCH(_CONFIG_Model_Settings!$B$104,_CONFIG_Model_Settings!$A$117:$A$123,0)),1)</f>
        <v>1</v>
      </c>
      <c r="BQ48" s="17">
        <f>IFERROR(INDEX(_CONFIG_Model_Settings!$E$117:$E$123,MATCH(_CONFIG_Model_Settings!$B$104,_CONFIG_Model_Settings!$A$117:$A$123,0)),1)</f>
        <v>1</v>
      </c>
      <c r="BR48" s="17">
        <f>IF(OR($A48="",$P48=""),"",MIN(5,IFERROR(SUMIF(_DATA_RiskInitiativeMap!$A$1:$A$867,$A48,_DATA_RiskInitiativeMap!$K$1:$K$867)/MAX(1,_CONFIG_Model_Settings!$B$166),0)))</f>
        <v>5</v>
      </c>
      <c r="BS48" s="17">
        <f t="shared" si="41"/>
        <v>5.23</v>
      </c>
      <c r="BT48" s="17">
        <f t="shared" si="42"/>
        <v>3</v>
      </c>
      <c r="BU48" s="17">
        <f t="shared" si="43"/>
        <v>1.74</v>
      </c>
      <c r="BV48" s="17">
        <f>IF(OR($P48="",$BU48="",$AY48="Done",$AY48="Not applicable"),"",ROUND($BU48*N($AS48)*IF(OR('Resilience &amp; Risk Scenario'!$B$6="",'Resilience &amp; Risk Scenario'!$B$7&lt;=0),1,IFERROR(1+MIN(0.75,INDEX('Resilience &amp; Risk Scenario'!$E$21:$E$37,MATCH($B48,'Resilience &amp; Risk Scenario'!$B$21:$B$37,0))/10),1)),2))</f>
        <v>1.74</v>
      </c>
      <c r="BW48" s="17">
        <f>IF($BV48="","",RANK($BV48,$BV$5:$BV$76,0)+COUNTIF($BV$5:$BV48,$BV48)-1)</f>
        <v>36</v>
      </c>
      <c r="BX48" s="17" t="str">
        <f t="shared" si="44"/>
        <v>6-12 months</v>
      </c>
      <c r="BY48" t="str">
        <f>IFERROR(IF($A48="","","P2: "&amp;$BI48&amp;" posture; objective="&amp;IF(_CONFIG_Model_Settings!$B$104="","Neutral/default",_CONFIG_Model_Settings!$B$104)&amp;"; relevance="&amp;ROUND(N($AS48),2)&amp;"; scenario/domain boost="&amp;ROUND(IF(OR('Resilience &amp; Risk Scenario'!$B$6="",'Resilience &amp; Risk Scenario'!$B$7&lt;=0),1,IFERROR(1+MIN(0.75,INDEX('Resilience &amp; Risk Scenario'!$E$21:$E$37,MATCH($B48,'Resilience &amp; Risk Scenario'!$B$21:$B$37,0))/10),1)),2)&amp;"; financial score="&amp;ROUND(N($BR48),1)&amp;"; CoD="&amp;$BS48&amp;IF($CL48&lt;&gt;"","; wording="&amp;$CL48,"")),"")</f>
        <v>P2: Fragile posture; objective=Neutral/default; relevance=1; scenario/domain boost=1; financial score=5; CoD=5.23; wording=Strengthen Payment continuity</v>
      </c>
      <c r="BZ48" t="str">
        <f>IFERROR(INDEX(_REF_Capability_Bridge!$D:$D,MATCH($B48&amp;"|"&amp;$C48,_REF_Capability_Bridge!$J:$J,0)),IFERROR(INDEX(_REF_Capability_Bridge!$D:$D,MATCH($B48&amp;"|",_REF_Capability_Bridge!$J:$J,0)),"CAP_GENERIC"))</f>
        <v>CAP_PAYMENT_CONTINUITY</v>
      </c>
      <c r="CA48">
        <f>IFERROR(IFERROR(INDEX(_ENGINE_Relevance!$L:$L,MATCH($BZ48,_ENGINE_Relevance!$B:$B,0)),1),1)</f>
        <v>1</v>
      </c>
      <c r="CB48" t="str">
        <f>IFERROR(INDEX(_REF_Capability_Bridge!$A:$A,MATCH($B48&amp;"|"&amp;$C48,_REF_Capability_Bridge!$J:$J,0)),IFERROR(INDEX(_REF_Capability_Bridge!$A:$A,MATCH($B48&amp;"|",_REF_Capability_Bridge!$J:$J,0)),"No bridge"))</f>
        <v>BRG-081</v>
      </c>
      <c r="CC48" t="str">
        <f t="shared" si="45"/>
        <v>Capability relevance neutral</v>
      </c>
      <c r="CD48" t="str">
        <f t="shared" si="46"/>
        <v>Initial / absent</v>
      </c>
      <c r="CE48" t="str">
        <f>IF($A48="","",IFERROR(INDEX(_REF_Treatment_Library!$A$2:$A$296,MATCH(1,INDEX((_REF_Treatment_Library!$B$2:$B$296=$BZ48)*(_REF_Treatment_Library!$C$2:$C$296=PV_Canonical_Industry)*(_REF_Treatment_Library!$E$2:$E$296&lt;=N($N48))*(_REF_Treatment_Library!$F$2:$F$296&gt;=N($N48))*(_REF_Treatment_Library!$O$2:$O$296="Yes"),0),0)),IFERROR(INDEX(_REF_Treatment_Library!$A$2:$A$296,MATCH(1,INDEX((_REF_Treatment_Library!$B$2:$B$296=$BZ48)*(_REF_Treatment_Library!$C$2:$C$296="All")*(_REF_Treatment_Library!$E$2:$E$296&lt;=N($N48))*(_REF_Treatment_Library!$F$2:$F$296&gt;=N($N48))*(_REF_Treatment_Library!$O$2:$O$296="Yes"),0),0)),"")))</f>
        <v>TRT-PAYMENT_CONTINUITY-INITIAL</v>
      </c>
      <c r="CF48" t="str">
        <f>IF($CE48="","",IFERROR(INDEX(_REF_Treatment_Library!$H$2:$H$296,MATCH($CE48,_REF_Treatment_Library!$A$2:$A$296,0)),""))</f>
        <v>Establish</v>
      </c>
      <c r="CG48" t="str">
        <f>IF($CE48="","",IFERROR(INDEX(_REF_Treatment_Library!$I$2:$I$296,MATCH($CE48,_REF_Treatment_Library!$A$2:$A$296,0)),""))</f>
        <v>Establish baseline controls for Payment continuity</v>
      </c>
      <c r="CH48" t="str">
        <f>IF($CE48="","",IFERROR(INDEX(_REF_Treatment_Library!$K$2:$K$296,MATCH($CE48,_REF_Treatment_Library!$A$2:$A$296,0)),""))</f>
        <v>Named owner, baseline process, minimum control checklist, first evidence package</v>
      </c>
      <c r="CI48" t="str">
        <f>IF($CE48="","",IFERROR(INDEX(_REF_Treatment_Library!$L$2:$L$296,MATCH($CE48,_REF_Treatment_Library!$A$2:$A$296,0)),""))</f>
        <v>Owner assigned; baseline evidence coverage; open critical gaps</v>
      </c>
      <c r="CJ48" t="str">
        <f t="shared" si="47"/>
        <v>Treatment by capability=CAP_PAYMENT_CONTINUITY; band=Initial / absent; score=0.0; treatment=Establish</v>
      </c>
      <c r="CK48" t="str">
        <f>IF($A48="","",IFERROR(INDEX(_REF_Industry_Wording!$A$2:$A$70,MATCH(1,INDEX((_REF_Industry_Wording!$B$2:$B$70=$BZ48)*(_REF_Industry_Wording!$C$2:$C$70=PV_Canonical_Industry)*(_REF_Industry_Wording!$K$2:$K$70="Yes"),0),0)),IFERROR(INDEX(_REF_Industry_Wording!$A$2:$A$70,MATCH(1,INDEX((_REF_Industry_Wording!$B$2:$B$70=$BZ48)*(_REF_Industry_Wording!$C$2:$C$70="All")*(_REF_Industry_Wording!$K$2:$K$70="Yes"),0),0)),"")))</f>
        <v>IW-ALL-PAYMENT_CONTINUITY</v>
      </c>
      <c r="CL48" t="str">
        <f>IF($CK48="","",IFERROR(INDEX(_REF_Industry_Wording!$F$2:$F$70,MATCH($CK48,_REF_Industry_Wording!$A$2:$A$70,0)),""))</f>
        <v>Strengthen Payment continuity</v>
      </c>
      <c r="CM48" t="str">
        <f>IF($CK48="","",IFERROR(INDEX(_REF_Industry_Wording!$G$2:$G$70,MATCH($CK48,_REF_Industry_Wording!$A$2:$A$70,0)),""))</f>
        <v>Strengthen Payment continuity using the selected maturity treatment, crisis scenario and evidence requirements.</v>
      </c>
      <c r="CN48" t="str">
        <f>IF($CK48="","",IFERROR(INDEX(_REF_Industry_Wording!$H$2:$H$70,MATCH($CK48,_REF_Industry_Wording!$A$2:$A$70,0)),""))</f>
        <v>Payment continuity</v>
      </c>
      <c r="CO48">
        <f>IF($CK48="","",IFERROR(INDEX(_REF_Industry_Wording!$I$2:$I$70,MATCH($CK48,_REF_Industry_Wording!$A$2:$A$70,0)),""))</f>
        <v>0</v>
      </c>
      <c r="CP48" t="str">
        <f>IF($CK48="","",IFERROR(INDEX(_REF_Industry_Wording!$J$2:$J$70,MATCH($CK48,_REF_Industry_Wording!$A$2:$A$70,0)),""))</f>
        <v>Payment continuity</v>
      </c>
      <c r="CQ48" t="str">
        <f t="shared" si="48"/>
        <v>Wording by industry=0; capability=CAP_PAYMENT_CONTINUITY; title=Strengthen Payment continuity</v>
      </c>
      <c r="CR48" t="str">
        <f t="shared" si="49"/>
        <v>INIT-ONT-0044</v>
      </c>
      <c r="CS48">
        <f t="shared" si="50"/>
        <v>48</v>
      </c>
      <c r="CT48" t="str">
        <f t="shared" si="51"/>
        <v>CAP_PAYMENT_CONTINUITY</v>
      </c>
      <c r="CU48" t="str">
        <f t="shared" si="52"/>
        <v>INI-044|Sales CRM|Revenue controls|CAP_PAYMENT_CONTINUITY</v>
      </c>
      <c r="CV48" t="str">
        <f t="shared" si="53"/>
        <v>Active</v>
      </c>
      <c r="CW48" t="str">
        <f t="shared" si="54"/>
        <v>OK: capability-driven</v>
      </c>
      <c r="CX48" t="str">
        <f t="shared" si="55"/>
        <v>Initiative ontology uses capability=CAP_PAYMENT_CONTINUITY; bridge=BRG-081; treatment=TRT-PAYMENT_CONTINUITY-INITIAL; wording=IW-ALL-PAYMENT_CONTINUITY</v>
      </c>
    </row>
    <row r="49" spans="1:102" ht="42" customHeight="1">
      <c r="A49" s="17" t="s">
        <v>4304</v>
      </c>
      <c r="B49" s="17" t="s">
        <v>2473</v>
      </c>
      <c r="C49" s="17" t="s">
        <v>2475</v>
      </c>
      <c r="D49" s="17" t="s">
        <v>4272</v>
      </c>
      <c r="E49" s="17" t="s">
        <v>4273</v>
      </c>
      <c r="F49" s="17" t="s">
        <v>4305</v>
      </c>
      <c r="G49" s="17" t="s">
        <v>4306</v>
      </c>
      <c r="H49" s="17" t="s">
        <v>3690</v>
      </c>
      <c r="I49" s="17" t="s">
        <v>4307</v>
      </c>
      <c r="J49" s="17" t="s">
        <v>4308</v>
      </c>
      <c r="K49" s="17">
        <v>5</v>
      </c>
      <c r="L49" s="17">
        <f>IF($A49="","",COUNTIFS(_DATA_RiskInitiativeMap!$A$444:$A$867,$A49,_DATA_RiskInitiativeMap!$G$444:$G$867,"&gt;0"))</f>
        <v>5</v>
      </c>
      <c r="M49" s="17">
        <f>IF($A49="","",COUNTIFS(_DATA_RiskInitiativeMap!$A$444:$A$867,$A49,_DATA_RiskInitiativeMap!$G$444:$G$867,"&gt;0"))</f>
        <v>5</v>
      </c>
      <c r="N49" s="17">
        <f>IFERROR(AVERAGEIFS(_DATA_Assessment_Model!$H$5:$H$428,_DATA_Assessment_Model!$AW$5:$AW$428,$B49,_DATA_Assessment_Model!$B$5:$B$428,$C49),"")</f>
        <v>0</v>
      </c>
      <c r="O49" s="17">
        <f t="shared" si="28"/>
        <v>5</v>
      </c>
      <c r="P49" s="17">
        <f>IFERROR(INDEX(_DATA_Dashboard_Facts!$H$5:$H$21,MATCH($B49,_DATA_Dashboard_Facts!$A$5:$A$21,0)),"")</f>
        <v>0</v>
      </c>
      <c r="Q49" s="17">
        <f t="shared" si="29"/>
        <v>5</v>
      </c>
      <c r="R49" s="17">
        <f>IF(OR('Resilience &amp; Risk Scenario'!$B$6="",'Resilience &amp; Risk Scenario'!$B$7&lt;=0),1,IFERROR(IF(SUMIFS(_ENGINE_Crisis!$D$5:$D$208,_ENGINE_Crisis!$A$5:$A$208,'Resilience &amp; Risk Scenario'!$B$6,_ENGINE_Crisis!$B$5:$B$208,$B49)=0,1,SUMIFS(_ENGINE_Crisis!$D$5:$D$208,_ENGINE_Crisis!$A$5:$A$208,'Resilience &amp; Risk Scenario'!$B$6,_ENGINE_Crisis!$B$5:$B$208,$B49)),1))</f>
        <v>1</v>
      </c>
      <c r="S49" s="17">
        <f>IFERROR(INDEX(_ENGINE_Strategy!$A$100:$A$113,MATCH($D49,_ENGINE_Strategy!$B$100:$B$113,0)),99)</f>
        <v>12</v>
      </c>
      <c r="T49" s="17">
        <f>IFERROR(INDEX(_ENGINE_Strategy!$J$100:$J$113,MATCH($D49,_ENGINE_Strategy!$B$100:$B$113,0)),0)</f>
        <v>65.8</v>
      </c>
      <c r="U49" s="17">
        <v>4</v>
      </c>
      <c r="V49" s="17">
        <v>4</v>
      </c>
      <c r="W49" s="17">
        <v>4</v>
      </c>
      <c r="X49" s="17">
        <f t="shared" si="30"/>
        <v>4.5724999999999998</v>
      </c>
      <c r="Y49" s="17">
        <f>IF($P49="","",MAX(1,MIN(5,1+N($O49)*0.45+MIN(2,N($M49)*0.3)+($R49-1)*1.2+IF('Resilience &amp; Risk Scenario'!$B$7="",1,'Resilience &amp; Risk Scenario'!$B$7)*0.25)))</f>
        <v>5</v>
      </c>
      <c r="Z49" s="17">
        <f t="shared" si="31"/>
        <v>4.8</v>
      </c>
      <c r="AA49" s="17">
        <f t="shared" si="32"/>
        <v>3.7869999999999999</v>
      </c>
      <c r="AB49" s="17">
        <v>3</v>
      </c>
      <c r="AC49" s="17">
        <f t="shared" si="33"/>
        <v>1.71</v>
      </c>
      <c r="AD49" s="17">
        <f t="shared" si="34"/>
        <v>42</v>
      </c>
      <c r="AE49" s="17" t="str">
        <f t="shared" si="35"/>
        <v>6-12 months</v>
      </c>
      <c r="AF49" s="17" t="s">
        <v>4309</v>
      </c>
      <c r="AG49" s="17" t="s">
        <v>3963</v>
      </c>
      <c r="AH49" s="17" t="s">
        <v>3964</v>
      </c>
      <c r="AI49" s="17" t="s">
        <v>3932</v>
      </c>
      <c r="AJ49" s="17" t="s">
        <v>4310</v>
      </c>
      <c r="AK49" s="17" t="s">
        <v>4311</v>
      </c>
      <c r="AL49" s="17" t="s">
        <v>4312</v>
      </c>
      <c r="AM49" s="17" t="s">
        <v>4282</v>
      </c>
      <c r="AN49" s="17" t="s">
        <v>3937</v>
      </c>
      <c r="AO49" s="17" t="s">
        <v>3938</v>
      </c>
      <c r="AP49" s="17" t="s">
        <v>546</v>
      </c>
      <c r="AQ49" s="17"/>
      <c r="AR49" s="17"/>
      <c r="AS49" s="14">
        <f>IFERROR((IF(SUMIFS(_REF_Model_Content!$J$1:$J$157,_REF_Model_Content!$A$1:$A$174,PV_Canonical_Industry,_REF_Model_Content!$B$1:$B$174,$B49)=0,1,SUMIFS(_REF_Model_Content!$J$1:$J$157,_REF_Model_Content!$A$1:$A$174,PV_Canonical_Industry,_REF_Model_Content!$B$1:$B$174,$B49))*IFERROR($CA49,1)),1)</f>
        <v>1</v>
      </c>
      <c r="AT49" s="14">
        <f t="shared" si="36"/>
        <v>1.71</v>
      </c>
      <c r="AU49" s="14">
        <f>IF($AT49="","",RANK($AT49,$AT$5:$AT$76,0)+COUNTIF($AT$5:AT49,$AT49)-1)</f>
        <v>42</v>
      </c>
      <c r="AV49" s="14">
        <f>IFERROR(INDEX(_DATA_Dashboard_Facts!$G$300:$G$316,MATCH($B49,_DATA_Dashboard_Facts!$A$300:$A$316,0)),"")</f>
        <v>0</v>
      </c>
      <c r="AW49" s="14" t="str">
        <f t="shared" si="37"/>
        <v>Relevance-neutral priority</v>
      </c>
      <c r="AX49">
        <f>IFERROR(INDEX('Action Plan &amp; Roadmap'!$D$59:$D$130,MATCH($A49,'Action Plan &amp; Roadmap'!$A$59:$A$130,0)),"")</f>
        <v>0</v>
      </c>
      <c r="AY49">
        <f t="shared" si="38"/>
        <v>0</v>
      </c>
      <c r="AZ49" t="s">
        <v>3980</v>
      </c>
      <c r="BA49">
        <f>IF($A49="","",COUNTIF(_DATA_RiskInitiativeMap!$A$1:$A$867,$A49))</f>
        <v>5</v>
      </c>
      <c r="BB49">
        <f>IF($A49="","",IFERROR(AVERAGEIF(_DATA_RiskInitiativeMap!$A$1:$A$867,$A49,_DATA_RiskInitiativeMap!$G$1:$G$867),0))</f>
        <v>12.830000000000002</v>
      </c>
      <c r="BC49">
        <f t="shared" si="39"/>
        <v>4.5</v>
      </c>
      <c r="BD49">
        <f t="shared" si="40"/>
        <v>3.9581</v>
      </c>
      <c r="BI49" s="17" t="str">
        <f>IFERROR(_CONFIG_Model_Settings!$B$103,"Adaptive")</f>
        <v>Fragile</v>
      </c>
      <c r="BJ49" s="17">
        <f>IFERROR(INDEX(_CONFIG_Model_Settings!$B$109:$B$113,MATCH($BI49,_CONFIG_Model_Settings!$A$109:$A$113,0)),0.3)</f>
        <v>0.2</v>
      </c>
      <c r="BK49" s="17">
        <f>IFERROR(INDEX(_CONFIG_Model_Settings!$C$109:$C$113,MATCH($BI49,_CONFIG_Model_Settings!$A$109:$A$113,0)),0.2)</f>
        <v>0.3</v>
      </c>
      <c r="BL49" s="17">
        <f>IFERROR(INDEX(_CONFIG_Model_Settings!$D$109:$D$113,MATCH($BI49,_CONFIG_Model_Settings!$A$109:$A$113,0)),0.25)</f>
        <v>0.4</v>
      </c>
      <c r="BM49" s="17">
        <f>IFERROR(INDEX(_CONFIG_Model_Settings!$E$109:$E$113,MATCH($BI49,_CONFIG_Model_Settings!$A$109:$A$113,0)),0.25)</f>
        <v>0.1</v>
      </c>
      <c r="BN49" s="17">
        <f>IFERROR(INDEX(_CONFIG_Model_Settings!$B$117:$B$123,MATCH(_CONFIG_Model_Settings!$B$104,_CONFIG_Model_Settings!$A$117:$A$123,0)),1)</f>
        <v>1</v>
      </c>
      <c r="BO49" s="17">
        <f>IFERROR(INDEX(_CONFIG_Model_Settings!$C$117:$C$123,MATCH(_CONFIG_Model_Settings!$B$104,_CONFIG_Model_Settings!$A$117:$A$123,0)),1)</f>
        <v>1</v>
      </c>
      <c r="BP49" s="17">
        <f>IFERROR(INDEX(_CONFIG_Model_Settings!$D$117:$D$123,MATCH(_CONFIG_Model_Settings!$B$104,_CONFIG_Model_Settings!$A$117:$A$123,0)),1)</f>
        <v>1</v>
      </c>
      <c r="BQ49" s="17">
        <f>IFERROR(INDEX(_CONFIG_Model_Settings!$E$117:$E$123,MATCH(_CONFIG_Model_Settings!$B$104,_CONFIG_Model_Settings!$A$117:$A$123,0)),1)</f>
        <v>1</v>
      </c>
      <c r="BR49" s="17">
        <f>IF(OR($A49="",$P49=""),"",MIN(5,IFERROR(SUMIF(_DATA_RiskInitiativeMap!$A$1:$A$867,$A49,_DATA_RiskInitiativeMap!$K$1:$K$867)/MAX(1,_CONFIG_Model_Settings!$B$166),0)))</f>
        <v>5</v>
      </c>
      <c r="BS49" s="17">
        <f t="shared" si="41"/>
        <v>5.13</v>
      </c>
      <c r="BT49" s="17">
        <f t="shared" si="42"/>
        <v>3</v>
      </c>
      <c r="BU49" s="17">
        <f t="shared" si="43"/>
        <v>1.71</v>
      </c>
      <c r="BV49" s="17">
        <f>IF(OR($P49="",$BU49="",$AY49="Done",$AY49="Not applicable"),"",ROUND($BU49*N($AS49)*IF(OR('Resilience &amp; Risk Scenario'!$B$6="",'Resilience &amp; Risk Scenario'!$B$7&lt;=0),1,IFERROR(1+MIN(0.75,INDEX('Resilience &amp; Risk Scenario'!$E$21:$E$37,MATCH($B49,'Resilience &amp; Risk Scenario'!$B$21:$B$37,0))/10),1)),2))</f>
        <v>1.71</v>
      </c>
      <c r="BW49" s="17">
        <f>IF($BV49="","",RANK($BV49,$BV$5:$BV$76,0)+COUNTIF($BV$5:$BV49,$BV49)-1)</f>
        <v>42</v>
      </c>
      <c r="BX49" s="17" t="str">
        <f t="shared" si="44"/>
        <v>6-12 months</v>
      </c>
      <c r="BY49" t="str">
        <f>IFERROR(IF($A49="","","P2: "&amp;$BI49&amp;" posture; objective="&amp;IF(_CONFIG_Model_Settings!$B$104="","Neutral/default",_CONFIG_Model_Settings!$B$104)&amp;"; relevance="&amp;ROUND(N($AS49),2)&amp;"; scenario/domain boost="&amp;ROUND(IF(OR('Resilience &amp; Risk Scenario'!$B$6="",'Resilience &amp; Risk Scenario'!$B$7&lt;=0),1,IFERROR(1+MIN(0.75,INDEX('Resilience &amp; Risk Scenario'!$E$21:$E$37,MATCH($B49,'Resilience &amp; Risk Scenario'!$B$21:$B$37,0))/10),1)),2)&amp;"; financial score="&amp;ROUND(N($BR49),1)&amp;"; CoD="&amp;$BS49&amp;IF($CL49&lt;&gt;"","; wording="&amp;$CL49,"")),"")</f>
        <v>P2: Fragile posture; objective=Neutral/default; relevance=1; scenario/domain boost=1; financial score=5; CoD=5.13; wording=Strengthen Customer communication</v>
      </c>
      <c r="BZ49" t="str">
        <f>IFERROR(INDEX(_REF_Capability_Bridge!$D:$D,MATCH($B49&amp;"|"&amp;$C49,_REF_Capability_Bridge!$J:$J,0)),IFERROR(INDEX(_REF_Capability_Bridge!$D:$D,MATCH($B49&amp;"|",_REF_Capability_Bridge!$J:$J,0)),"CAP_GENERIC"))</f>
        <v>CAP_CUSTOMER_COMMUNICATION</v>
      </c>
      <c r="CA49">
        <f>IFERROR(IFERROR(INDEX(_ENGINE_Relevance!$L:$L,MATCH($BZ49,_ENGINE_Relevance!$B:$B,0)),1),1)</f>
        <v>1</v>
      </c>
      <c r="CB49" t="str">
        <f>IFERROR(INDEX(_REF_Capability_Bridge!$A:$A,MATCH($B49&amp;"|"&amp;$C49,_REF_Capability_Bridge!$J:$J,0)),IFERROR(INDEX(_REF_Capability_Bridge!$A:$A,MATCH($B49&amp;"|",_REF_Capability_Bridge!$J:$J,0)),"No bridge"))</f>
        <v>BRG-061</v>
      </c>
      <c r="CC49" t="str">
        <f t="shared" si="45"/>
        <v>Capability relevance neutral</v>
      </c>
      <c r="CD49" t="str">
        <f t="shared" si="46"/>
        <v>Initial / absent</v>
      </c>
      <c r="CE49" t="str">
        <f>IF($A49="","",IFERROR(INDEX(_REF_Treatment_Library!$A$2:$A$296,MATCH(1,INDEX((_REF_Treatment_Library!$B$2:$B$296=$BZ49)*(_REF_Treatment_Library!$C$2:$C$296=PV_Canonical_Industry)*(_REF_Treatment_Library!$E$2:$E$296&lt;=N($N49))*(_REF_Treatment_Library!$F$2:$F$296&gt;=N($N49))*(_REF_Treatment_Library!$O$2:$O$296="Yes"),0),0)),IFERROR(INDEX(_REF_Treatment_Library!$A$2:$A$296,MATCH(1,INDEX((_REF_Treatment_Library!$B$2:$B$296=$BZ49)*(_REF_Treatment_Library!$C$2:$C$296="All")*(_REF_Treatment_Library!$E$2:$E$296&lt;=N($N49))*(_REF_Treatment_Library!$F$2:$F$296&gt;=N($N49))*(_REF_Treatment_Library!$O$2:$O$296="Yes"),0),0)),"")))</f>
        <v>TRT-CUSTOMER_COMMUNICATION-INITIAL</v>
      </c>
      <c r="CF49" t="str">
        <f>IF($CE49="","",IFERROR(INDEX(_REF_Treatment_Library!$H$2:$H$296,MATCH($CE49,_REF_Treatment_Library!$A$2:$A$296,0)),""))</f>
        <v>Establish</v>
      </c>
      <c r="CG49" t="str">
        <f>IF($CE49="","",IFERROR(INDEX(_REF_Treatment_Library!$I$2:$I$296,MATCH($CE49,_REF_Treatment_Library!$A$2:$A$296,0)),""))</f>
        <v>Establish baseline controls for Customer communication</v>
      </c>
      <c r="CH49" t="str">
        <f>IF($CE49="","",IFERROR(INDEX(_REF_Treatment_Library!$K$2:$K$296,MATCH($CE49,_REF_Treatment_Library!$A$2:$A$296,0)),""))</f>
        <v>Named owner, baseline process, minimum control checklist, first evidence package</v>
      </c>
      <c r="CI49" t="str">
        <f>IF($CE49="","",IFERROR(INDEX(_REF_Treatment_Library!$L$2:$L$296,MATCH($CE49,_REF_Treatment_Library!$A$2:$A$296,0)),""))</f>
        <v>Owner assigned; baseline evidence coverage; open critical gaps</v>
      </c>
      <c r="CJ49" t="str">
        <f t="shared" si="47"/>
        <v>Treatment by capability=CAP_CUSTOMER_COMMUNICATION; band=Initial / absent; score=0.0; treatment=Establish</v>
      </c>
      <c r="CK49" t="str">
        <f>IF($A49="","",IFERROR(INDEX(_REF_Industry_Wording!$A$2:$A$70,MATCH(1,INDEX((_REF_Industry_Wording!$B$2:$B$70=$BZ49)*(_REF_Industry_Wording!$C$2:$C$70=PV_Canonical_Industry)*(_REF_Industry_Wording!$K$2:$K$70="Yes"),0),0)),IFERROR(INDEX(_REF_Industry_Wording!$A$2:$A$70,MATCH(1,INDEX((_REF_Industry_Wording!$B$2:$B$70=$BZ49)*(_REF_Industry_Wording!$C$2:$C$70="All")*(_REF_Industry_Wording!$K$2:$K$70="Yes"),0),0)),"")))</f>
        <v>IW-ALL-CUSTOMER_COMMUNICATION</v>
      </c>
      <c r="CL49" t="str">
        <f>IF($CK49="","",IFERROR(INDEX(_REF_Industry_Wording!$F$2:$F$70,MATCH($CK49,_REF_Industry_Wording!$A$2:$A$70,0)),""))</f>
        <v>Strengthen Customer communication</v>
      </c>
      <c r="CM49" t="str">
        <f>IF($CK49="","",IFERROR(INDEX(_REF_Industry_Wording!$G$2:$G$70,MATCH($CK49,_REF_Industry_Wording!$A$2:$A$70,0)),""))</f>
        <v>Strengthen Customer communication using the selected maturity treatment, crisis scenario and evidence requirements.</v>
      </c>
      <c r="CN49" t="str">
        <f>IF($CK49="","",IFERROR(INDEX(_REF_Industry_Wording!$H$2:$H$70,MATCH($CK49,_REF_Industry_Wording!$A$2:$A$70,0)),""))</f>
        <v>Customer communication</v>
      </c>
      <c r="CO49">
        <f>IF($CK49="","",IFERROR(INDEX(_REF_Industry_Wording!$I$2:$I$70,MATCH($CK49,_REF_Industry_Wording!$A$2:$A$70,0)),""))</f>
        <v>0</v>
      </c>
      <c r="CP49" t="str">
        <f>IF($CK49="","",IFERROR(INDEX(_REF_Industry_Wording!$J$2:$J$70,MATCH($CK49,_REF_Industry_Wording!$A$2:$A$70,0)),""))</f>
        <v>Customer communication</v>
      </c>
      <c r="CQ49" t="str">
        <f t="shared" si="48"/>
        <v>Wording by industry=0; capability=CAP_CUSTOMER_COMMUNICATION; title=Strengthen Customer communication</v>
      </c>
      <c r="CR49" t="str">
        <f t="shared" si="49"/>
        <v>INIT-ONT-0045</v>
      </c>
      <c r="CS49">
        <f t="shared" si="50"/>
        <v>49</v>
      </c>
      <c r="CT49" t="str">
        <f t="shared" si="51"/>
        <v>CAP_CUSTOMER_COMMUNICATION</v>
      </c>
      <c r="CU49" t="str">
        <f t="shared" si="52"/>
        <v>INI-045|Marketing Comms|Brand and market presence|CAP_CUSTOMER_COMMUNICATION</v>
      </c>
      <c r="CV49" t="str">
        <f t="shared" si="53"/>
        <v>Active</v>
      </c>
      <c r="CW49" t="str">
        <f t="shared" si="54"/>
        <v>OK: capability-driven</v>
      </c>
      <c r="CX49" t="str">
        <f t="shared" si="55"/>
        <v>Initiative ontology uses capability=CAP_CUSTOMER_COMMUNICATION; bridge=BRG-061; treatment=TRT-CUSTOMER_COMMUNICATION-INITIAL; wording=IW-ALL-CUSTOMER_COMMUNICATION</v>
      </c>
    </row>
    <row r="50" spans="1:102" ht="42" customHeight="1">
      <c r="A50" s="17" t="s">
        <v>4313</v>
      </c>
      <c r="B50" s="17" t="s">
        <v>2473</v>
      </c>
      <c r="C50" s="17" t="s">
        <v>2490</v>
      </c>
      <c r="D50" s="17" t="s">
        <v>3923</v>
      </c>
      <c r="E50" s="17" t="s">
        <v>3924</v>
      </c>
      <c r="F50" s="17" t="s">
        <v>4314</v>
      </c>
      <c r="G50" s="17" t="s">
        <v>4315</v>
      </c>
      <c r="H50" s="17" t="s">
        <v>3690</v>
      </c>
      <c r="I50" s="17" t="s">
        <v>4307</v>
      </c>
      <c r="J50" s="17" t="s">
        <v>4316</v>
      </c>
      <c r="K50" s="17">
        <v>6</v>
      </c>
      <c r="L50" s="17">
        <f>IF($A50="","",COUNTIFS(_DATA_RiskInitiativeMap!$A$444:$A$867,$A50,_DATA_RiskInitiativeMap!$G$444:$G$867,"&gt;0"))</f>
        <v>6</v>
      </c>
      <c r="M50" s="17">
        <f>IF($A50="","",COUNTIFS(_DATA_RiskInitiativeMap!$A$444:$A$867,$A50,_DATA_RiskInitiativeMap!$G$444:$G$867,"&gt;0"))</f>
        <v>6</v>
      </c>
      <c r="N50" s="17">
        <f>IFERROR(AVERAGEIFS(_DATA_Assessment_Model!$H$5:$H$428,_DATA_Assessment_Model!$AW$5:$AW$428,$B50,_DATA_Assessment_Model!$B$5:$B$428,$C50),"")</f>
        <v>0</v>
      </c>
      <c r="O50" s="17">
        <f t="shared" si="28"/>
        <v>5</v>
      </c>
      <c r="P50" s="17">
        <f>IFERROR(INDEX(_DATA_Dashboard_Facts!$H$5:$H$21,MATCH($B50,_DATA_Dashboard_Facts!$A$5:$A$21,0)),"")</f>
        <v>0</v>
      </c>
      <c r="Q50" s="17">
        <f t="shared" si="29"/>
        <v>5</v>
      </c>
      <c r="R50" s="17">
        <f>IF(OR('Resilience &amp; Risk Scenario'!$B$6="",'Resilience &amp; Risk Scenario'!$B$7&lt;=0),1,IFERROR(IF(SUMIFS(_ENGINE_Crisis!$D$5:$D$208,_ENGINE_Crisis!$A$5:$A$208,'Resilience &amp; Risk Scenario'!$B$6,_ENGINE_Crisis!$B$5:$B$208,$B50)=0,1,SUMIFS(_ENGINE_Crisis!$D$5:$D$208,_ENGINE_Crisis!$A$5:$A$208,'Resilience &amp; Risk Scenario'!$B$6,_ENGINE_Crisis!$B$5:$B$208,$B50)),1))</f>
        <v>1</v>
      </c>
      <c r="S50" s="17">
        <f>IFERROR(INDEX(_ENGINE_Strategy!$A$100:$A$113,MATCH($D50,_ENGINE_Strategy!$B$100:$B$113,0)),99)</f>
        <v>8</v>
      </c>
      <c r="T50" s="17">
        <f>IFERROR(INDEX(_ENGINE_Strategy!$J$100:$J$113,MATCH($D50,_ENGINE_Strategy!$B$100:$B$113,0)),0)</f>
        <v>67</v>
      </c>
      <c r="U50" s="17">
        <v>2</v>
      </c>
      <c r="V50" s="17">
        <v>5</v>
      </c>
      <c r="W50" s="17">
        <v>4</v>
      </c>
      <c r="X50" s="17">
        <f t="shared" si="30"/>
        <v>4.5875000000000004</v>
      </c>
      <c r="Y50" s="17">
        <f>IF($P50="","",MAX(1,MIN(5,1+N($O50)*0.45+MIN(2,N($M50)*0.3)+($R50-1)*1.2+IF('Resilience &amp; Risk Scenario'!$B$7="",1,'Resilience &amp; Risk Scenario'!$B$7)*0.25)))</f>
        <v>5</v>
      </c>
      <c r="Z50" s="17">
        <f t="shared" si="31"/>
        <v>5</v>
      </c>
      <c r="AA50" s="17">
        <f t="shared" si="32"/>
        <v>3.0049999999999999</v>
      </c>
      <c r="AB50" s="17">
        <v>3</v>
      </c>
      <c r="AC50" s="17">
        <f t="shared" si="33"/>
        <v>1.71</v>
      </c>
      <c r="AD50" s="17">
        <f t="shared" si="34"/>
        <v>43</v>
      </c>
      <c r="AE50" s="17" t="str">
        <f t="shared" si="35"/>
        <v>6-12 months</v>
      </c>
      <c r="AF50" s="17" t="s">
        <v>4309</v>
      </c>
      <c r="AG50" s="17" t="s">
        <v>3963</v>
      </c>
      <c r="AH50" s="17" t="s">
        <v>3964</v>
      </c>
      <c r="AI50" s="17" t="s">
        <v>3932</v>
      </c>
      <c r="AJ50" s="17" t="s">
        <v>4317</v>
      </c>
      <c r="AK50" s="17" t="s">
        <v>4318</v>
      </c>
      <c r="AL50" s="17" t="s">
        <v>4319</v>
      </c>
      <c r="AM50" s="17" t="s">
        <v>3936</v>
      </c>
      <c r="AN50" s="17" t="s">
        <v>3937</v>
      </c>
      <c r="AO50" s="17" t="s">
        <v>3938</v>
      </c>
      <c r="AP50" s="17" t="s">
        <v>546</v>
      </c>
      <c r="AQ50" s="17"/>
      <c r="AR50" s="17"/>
      <c r="AS50" s="14">
        <f>IFERROR((IF(SUMIFS(_REF_Model_Content!$J$1:$J$157,_REF_Model_Content!$A$1:$A$174,PV_Canonical_Industry,_REF_Model_Content!$B$1:$B$174,$B50)=0,1,SUMIFS(_REF_Model_Content!$J$1:$J$157,_REF_Model_Content!$A$1:$A$174,PV_Canonical_Industry,_REF_Model_Content!$B$1:$B$174,$B50))*IFERROR($CA50,1)),1)</f>
        <v>1</v>
      </c>
      <c r="AT50" s="14">
        <f t="shared" si="36"/>
        <v>1.71</v>
      </c>
      <c r="AU50" s="14">
        <f>IF($AT50="","",RANK($AT50,$AT$5:$AT$76,0)+COUNTIF($AT$5:AT50,$AT50)-1)</f>
        <v>43</v>
      </c>
      <c r="AV50" s="14">
        <f>IFERROR(INDEX(_DATA_Dashboard_Facts!$G$300:$G$316,MATCH($B50,_DATA_Dashboard_Facts!$A$300:$A$316,0)),"")</f>
        <v>0</v>
      </c>
      <c r="AW50" s="14" t="str">
        <f t="shared" si="37"/>
        <v>Relevance-neutral priority</v>
      </c>
      <c r="AX50">
        <f>IFERROR(INDEX('Action Plan &amp; Roadmap'!$D$59:$D$130,MATCH($A50,'Action Plan &amp; Roadmap'!$A$59:$A$130,0)),"")</f>
        <v>0</v>
      </c>
      <c r="AY50">
        <f t="shared" si="38"/>
        <v>0</v>
      </c>
      <c r="AZ50" t="s">
        <v>4320</v>
      </c>
      <c r="BA50">
        <f>IF($A50="","",COUNTIF(_DATA_RiskInitiativeMap!$A$1:$A$867,$A50))</f>
        <v>6</v>
      </c>
      <c r="BB50">
        <f>IF($A50="","",IFERROR(AVERAGEIF(_DATA_RiskInitiativeMap!$A$1:$A$867,$A50,_DATA_RiskInitiativeMap!$G$1:$G$867),0))</f>
        <v>13.040000000000001</v>
      </c>
      <c r="BC50">
        <f t="shared" si="39"/>
        <v>4.8</v>
      </c>
      <c r="BD50">
        <f t="shared" si="40"/>
        <v>4.1227999999999998</v>
      </c>
      <c r="BI50" s="17" t="str">
        <f>IFERROR(_CONFIG_Model_Settings!$B$103,"Adaptive")</f>
        <v>Fragile</v>
      </c>
      <c r="BJ50" s="17">
        <f>IFERROR(INDEX(_CONFIG_Model_Settings!$B$109:$B$113,MATCH($BI50,_CONFIG_Model_Settings!$A$109:$A$113,0)),0.3)</f>
        <v>0.2</v>
      </c>
      <c r="BK50" s="17">
        <f>IFERROR(INDEX(_CONFIG_Model_Settings!$C$109:$C$113,MATCH($BI50,_CONFIG_Model_Settings!$A$109:$A$113,0)),0.2)</f>
        <v>0.3</v>
      </c>
      <c r="BL50" s="17">
        <f>IFERROR(INDEX(_CONFIG_Model_Settings!$D$109:$D$113,MATCH($BI50,_CONFIG_Model_Settings!$A$109:$A$113,0)),0.25)</f>
        <v>0.4</v>
      </c>
      <c r="BM50" s="17">
        <f>IFERROR(INDEX(_CONFIG_Model_Settings!$E$109:$E$113,MATCH($BI50,_CONFIG_Model_Settings!$A$109:$A$113,0)),0.25)</f>
        <v>0.1</v>
      </c>
      <c r="BN50" s="17">
        <f>IFERROR(INDEX(_CONFIG_Model_Settings!$B$117:$B$123,MATCH(_CONFIG_Model_Settings!$B$104,_CONFIG_Model_Settings!$A$117:$A$123,0)),1)</f>
        <v>1</v>
      </c>
      <c r="BO50" s="17">
        <f>IFERROR(INDEX(_CONFIG_Model_Settings!$C$117:$C$123,MATCH(_CONFIG_Model_Settings!$B$104,_CONFIG_Model_Settings!$A$117:$A$123,0)),1)</f>
        <v>1</v>
      </c>
      <c r="BP50" s="17">
        <f>IFERROR(INDEX(_CONFIG_Model_Settings!$D$117:$D$123,MATCH(_CONFIG_Model_Settings!$B$104,_CONFIG_Model_Settings!$A$117:$A$123,0)),1)</f>
        <v>1</v>
      </c>
      <c r="BQ50" s="17">
        <f>IFERROR(INDEX(_CONFIG_Model_Settings!$E$117:$E$123,MATCH(_CONFIG_Model_Settings!$B$104,_CONFIG_Model_Settings!$A$117:$A$123,0)),1)</f>
        <v>1</v>
      </c>
      <c r="BR50" s="17">
        <f>IF(OR($A50="",$P50=""),"",MIN(5,IFERROR(SUMIF(_DATA_RiskInitiativeMap!$A$1:$A$867,$A50,_DATA_RiskInitiativeMap!$K$1:$K$867)/MAX(1,_CONFIG_Model_Settings!$B$166),0)))</f>
        <v>5</v>
      </c>
      <c r="BS50" s="17">
        <f t="shared" si="41"/>
        <v>5.12</v>
      </c>
      <c r="BT50" s="17">
        <f t="shared" si="42"/>
        <v>3</v>
      </c>
      <c r="BU50" s="17">
        <f t="shared" si="43"/>
        <v>1.71</v>
      </c>
      <c r="BV50" s="17">
        <f>IF(OR($P50="",$BU50="",$AY50="Done",$AY50="Not applicable"),"",ROUND($BU50*N($AS50)*IF(OR('Resilience &amp; Risk Scenario'!$B$6="",'Resilience &amp; Risk Scenario'!$B$7&lt;=0),1,IFERROR(1+MIN(0.75,INDEX('Resilience &amp; Risk Scenario'!$E$21:$E$37,MATCH($B50,'Resilience &amp; Risk Scenario'!$B$21:$B$37,0))/10),1)),2))</f>
        <v>1.71</v>
      </c>
      <c r="BW50" s="17">
        <f>IF($BV50="","",RANK($BV50,$BV$5:$BV$76,0)+COUNTIF($BV$5:$BV50,$BV50)-1)</f>
        <v>43</v>
      </c>
      <c r="BX50" s="17" t="str">
        <f t="shared" si="44"/>
        <v>6-12 months</v>
      </c>
      <c r="BY50" t="str">
        <f>IFERROR(IF($A50="","","P2: "&amp;$BI50&amp;" posture; objective="&amp;IF(_CONFIG_Model_Settings!$B$104="","Neutral/default",_CONFIG_Model_Settings!$B$104)&amp;"; relevance="&amp;ROUND(N($AS50),2)&amp;"; scenario/domain boost="&amp;ROUND(IF(OR('Resilience &amp; Risk Scenario'!$B$6="",'Resilience &amp; Risk Scenario'!$B$7&lt;=0),1,IFERROR(1+MIN(0.75,INDEX('Resilience &amp; Risk Scenario'!$E$21:$E$37,MATCH($B50,'Resilience &amp; Risk Scenario'!$B$21:$B$37,0))/10),1)),2)&amp;"; financial score="&amp;ROUND(N($BR50),1)&amp;"; CoD="&amp;$BS50&amp;IF($CL50&lt;&gt;"","; wording="&amp;$CL50,"")),"")</f>
        <v>P2: Fragile posture; objective=Neutral/default; relevance=1; scenario/domain boost=1; financial score=5; CoD=5.12; wording=Strengthen Customer communication</v>
      </c>
      <c r="BZ50" t="str">
        <f>IFERROR(INDEX(_REF_Capability_Bridge!$D:$D,MATCH($B50&amp;"|"&amp;$C50,_REF_Capability_Bridge!$J:$J,0)),IFERROR(INDEX(_REF_Capability_Bridge!$D:$D,MATCH($B50&amp;"|",_REF_Capability_Bridge!$J:$J,0)),"CAP_GENERIC"))</f>
        <v>CAP_CUSTOMER_COMMUNICATION</v>
      </c>
      <c r="CA50">
        <f>IFERROR(IFERROR(INDEX(_ENGINE_Relevance!$L:$L,MATCH($BZ50,_ENGINE_Relevance!$B:$B,0)),1),1)</f>
        <v>1</v>
      </c>
      <c r="CB50" t="str">
        <f>IFERROR(INDEX(_REF_Capability_Bridge!$A:$A,MATCH($B50&amp;"|"&amp;$C50,_REF_Capability_Bridge!$J:$J,0)),IFERROR(INDEX(_REF_Capability_Bridge!$A:$A,MATCH($B50&amp;"|",_REF_Capability_Bridge!$J:$J,0)),"No bridge"))</f>
        <v>BRG-062</v>
      </c>
      <c r="CC50" t="str">
        <f t="shared" si="45"/>
        <v>Capability relevance neutral</v>
      </c>
      <c r="CD50" t="str">
        <f t="shared" si="46"/>
        <v>Initial / absent</v>
      </c>
      <c r="CE50" t="str">
        <f>IF($A50="","",IFERROR(INDEX(_REF_Treatment_Library!$A$2:$A$296,MATCH(1,INDEX((_REF_Treatment_Library!$B$2:$B$296=$BZ50)*(_REF_Treatment_Library!$C$2:$C$296=PV_Canonical_Industry)*(_REF_Treatment_Library!$E$2:$E$296&lt;=N($N50))*(_REF_Treatment_Library!$F$2:$F$296&gt;=N($N50))*(_REF_Treatment_Library!$O$2:$O$296="Yes"),0),0)),IFERROR(INDEX(_REF_Treatment_Library!$A$2:$A$296,MATCH(1,INDEX((_REF_Treatment_Library!$B$2:$B$296=$BZ50)*(_REF_Treatment_Library!$C$2:$C$296="All")*(_REF_Treatment_Library!$E$2:$E$296&lt;=N($N50))*(_REF_Treatment_Library!$F$2:$F$296&gt;=N($N50))*(_REF_Treatment_Library!$O$2:$O$296="Yes"),0),0)),"")))</f>
        <v>TRT-CUSTOMER_COMMUNICATION-INITIAL</v>
      </c>
      <c r="CF50" t="str">
        <f>IF($CE50="","",IFERROR(INDEX(_REF_Treatment_Library!$H$2:$H$296,MATCH($CE50,_REF_Treatment_Library!$A$2:$A$296,0)),""))</f>
        <v>Establish</v>
      </c>
      <c r="CG50" t="str">
        <f>IF($CE50="","",IFERROR(INDEX(_REF_Treatment_Library!$I$2:$I$296,MATCH($CE50,_REF_Treatment_Library!$A$2:$A$296,0)),""))</f>
        <v>Establish baseline controls for Customer communication</v>
      </c>
      <c r="CH50" t="str">
        <f>IF($CE50="","",IFERROR(INDEX(_REF_Treatment_Library!$K$2:$K$296,MATCH($CE50,_REF_Treatment_Library!$A$2:$A$296,0)),""))</f>
        <v>Named owner, baseline process, minimum control checklist, first evidence package</v>
      </c>
      <c r="CI50" t="str">
        <f>IF($CE50="","",IFERROR(INDEX(_REF_Treatment_Library!$L$2:$L$296,MATCH($CE50,_REF_Treatment_Library!$A$2:$A$296,0)),""))</f>
        <v>Owner assigned; baseline evidence coverage; open critical gaps</v>
      </c>
      <c r="CJ50" t="str">
        <f t="shared" si="47"/>
        <v>Treatment by capability=CAP_CUSTOMER_COMMUNICATION; band=Initial / absent; score=0.0; treatment=Establish</v>
      </c>
      <c r="CK50" t="str">
        <f>IF($A50="","",IFERROR(INDEX(_REF_Industry_Wording!$A$2:$A$70,MATCH(1,INDEX((_REF_Industry_Wording!$B$2:$B$70=$BZ50)*(_REF_Industry_Wording!$C$2:$C$70=PV_Canonical_Industry)*(_REF_Industry_Wording!$K$2:$K$70="Yes"),0),0)),IFERROR(INDEX(_REF_Industry_Wording!$A$2:$A$70,MATCH(1,INDEX((_REF_Industry_Wording!$B$2:$B$70=$BZ50)*(_REF_Industry_Wording!$C$2:$C$70="All")*(_REF_Industry_Wording!$K$2:$K$70="Yes"),0),0)),"")))</f>
        <v>IW-ALL-CUSTOMER_COMMUNICATION</v>
      </c>
      <c r="CL50" t="str">
        <f>IF($CK50="","",IFERROR(INDEX(_REF_Industry_Wording!$F$2:$F$70,MATCH($CK50,_REF_Industry_Wording!$A$2:$A$70,0)),""))</f>
        <v>Strengthen Customer communication</v>
      </c>
      <c r="CM50" t="str">
        <f>IF($CK50="","",IFERROR(INDEX(_REF_Industry_Wording!$G$2:$G$70,MATCH($CK50,_REF_Industry_Wording!$A$2:$A$70,0)),""))</f>
        <v>Strengthen Customer communication using the selected maturity treatment, crisis scenario and evidence requirements.</v>
      </c>
      <c r="CN50" t="str">
        <f>IF($CK50="","",IFERROR(INDEX(_REF_Industry_Wording!$H$2:$H$70,MATCH($CK50,_REF_Industry_Wording!$A$2:$A$70,0)),""))</f>
        <v>Customer communication</v>
      </c>
      <c r="CO50">
        <f>IF($CK50="","",IFERROR(INDEX(_REF_Industry_Wording!$I$2:$I$70,MATCH($CK50,_REF_Industry_Wording!$A$2:$A$70,0)),""))</f>
        <v>0</v>
      </c>
      <c r="CP50" t="str">
        <f>IF($CK50="","",IFERROR(INDEX(_REF_Industry_Wording!$J$2:$J$70,MATCH($CK50,_REF_Industry_Wording!$A$2:$A$70,0)),""))</f>
        <v>Customer communication</v>
      </c>
      <c r="CQ50" t="str">
        <f t="shared" si="48"/>
        <v>Wording by industry=0; capability=CAP_CUSTOMER_COMMUNICATION; title=Strengthen Customer communication</v>
      </c>
      <c r="CR50" t="str">
        <f t="shared" si="49"/>
        <v>INIT-ONT-0046</v>
      </c>
      <c r="CS50">
        <f t="shared" si="50"/>
        <v>50</v>
      </c>
      <c r="CT50" t="str">
        <f t="shared" si="51"/>
        <v>CAP_CUSTOMER_COMMUNICATION</v>
      </c>
      <c r="CU50" t="str">
        <f t="shared" si="52"/>
        <v>INI-046|Marketing Comms|Crisis communication|CAP_CUSTOMER_COMMUNICATION</v>
      </c>
      <c r="CV50" t="str">
        <f t="shared" si="53"/>
        <v>Active</v>
      </c>
      <c r="CW50" t="str">
        <f t="shared" si="54"/>
        <v>OK: capability-driven</v>
      </c>
      <c r="CX50" t="str">
        <f t="shared" si="55"/>
        <v>Initiative ontology uses capability=CAP_CUSTOMER_COMMUNICATION; bridge=BRG-062; treatment=TRT-CUSTOMER_COMMUNICATION-INITIAL; wording=IW-ALL-CUSTOMER_COMMUNICATION</v>
      </c>
    </row>
    <row r="51" spans="1:102" ht="42" customHeight="1">
      <c r="A51" s="17" t="s">
        <v>4321</v>
      </c>
      <c r="B51" s="17" t="s">
        <v>2473</v>
      </c>
      <c r="C51" s="17" t="s">
        <v>2494</v>
      </c>
      <c r="D51" s="17" t="s">
        <v>4272</v>
      </c>
      <c r="E51" s="17" t="s">
        <v>4273</v>
      </c>
      <c r="F51" s="17" t="s">
        <v>4322</v>
      </c>
      <c r="G51" s="17" t="s">
        <v>4323</v>
      </c>
      <c r="H51" s="17" t="s">
        <v>3690</v>
      </c>
      <c r="I51" s="17" t="s">
        <v>4307</v>
      </c>
      <c r="J51" s="17" t="s">
        <v>4324</v>
      </c>
      <c r="K51" s="17">
        <v>5</v>
      </c>
      <c r="L51" s="17">
        <f>IF($A51="","",COUNTIFS(_DATA_RiskInitiativeMap!$A$444:$A$867,$A51,_DATA_RiskInitiativeMap!$G$444:$G$867,"&gt;0"))</f>
        <v>5</v>
      </c>
      <c r="M51" s="17">
        <f>IF($A51="","",COUNTIFS(_DATA_RiskInitiativeMap!$A$444:$A$867,$A51,_DATA_RiskInitiativeMap!$G$444:$G$867,"&gt;0"))</f>
        <v>5</v>
      </c>
      <c r="N51" s="17">
        <f>IFERROR(AVERAGEIFS(_DATA_Assessment_Model!$H$5:$H$428,_DATA_Assessment_Model!$AW$5:$AW$428,$B51,_DATA_Assessment_Model!$B$5:$B$428,$C51),"")</f>
        <v>0</v>
      </c>
      <c r="O51" s="17">
        <f t="shared" si="28"/>
        <v>5</v>
      </c>
      <c r="P51" s="17">
        <f>IFERROR(INDEX(_DATA_Dashboard_Facts!$H$5:$H$21,MATCH($B51,_DATA_Dashboard_Facts!$A$5:$A$21,0)),"")</f>
        <v>0</v>
      </c>
      <c r="Q51" s="17">
        <f t="shared" si="29"/>
        <v>5</v>
      </c>
      <c r="R51" s="17">
        <f>IF(OR('Resilience &amp; Risk Scenario'!$B$6="",'Resilience &amp; Risk Scenario'!$B$7&lt;=0),1,IFERROR(IF(SUMIFS(_ENGINE_Crisis!$D$5:$D$208,_ENGINE_Crisis!$A$5:$A$208,'Resilience &amp; Risk Scenario'!$B$6,_ENGINE_Crisis!$B$5:$B$208,$B51)=0,1,SUMIFS(_ENGINE_Crisis!$D$5:$D$208,_ENGINE_Crisis!$A$5:$A$208,'Resilience &amp; Risk Scenario'!$B$6,_ENGINE_Crisis!$B$5:$B$208,$B51)),1))</f>
        <v>1</v>
      </c>
      <c r="S51" s="17">
        <f>IFERROR(INDEX(_ENGINE_Strategy!$A$100:$A$113,MATCH($D51,_ENGINE_Strategy!$B$100:$B$113,0)),99)</f>
        <v>12</v>
      </c>
      <c r="T51" s="17">
        <f>IFERROR(INDEX(_ENGINE_Strategy!$J$100:$J$113,MATCH($D51,_ENGINE_Strategy!$B$100:$B$113,0)),0)</f>
        <v>65.8</v>
      </c>
      <c r="U51" s="17">
        <v>4</v>
      </c>
      <c r="V51" s="17">
        <v>4</v>
      </c>
      <c r="W51" s="17">
        <v>4</v>
      </c>
      <c r="X51" s="17">
        <f t="shared" si="30"/>
        <v>4.5724999999999998</v>
      </c>
      <c r="Y51" s="17">
        <f>IF($P51="","",MAX(1,MIN(5,1+N($O51)*0.45+MIN(2,N($M51)*0.3)+($R51-1)*1.2+IF('Resilience &amp; Risk Scenario'!$B$7="",1,'Resilience &amp; Risk Scenario'!$B$7)*0.25)))</f>
        <v>5</v>
      </c>
      <c r="Z51" s="17">
        <f t="shared" si="31"/>
        <v>4.8</v>
      </c>
      <c r="AA51" s="17">
        <f t="shared" si="32"/>
        <v>3.7869999999999999</v>
      </c>
      <c r="AB51" s="17">
        <v>3</v>
      </c>
      <c r="AC51" s="17">
        <f t="shared" si="33"/>
        <v>1.71</v>
      </c>
      <c r="AD51" s="17">
        <f t="shared" si="34"/>
        <v>44</v>
      </c>
      <c r="AE51" s="17" t="str">
        <f t="shared" si="35"/>
        <v>6-12 months</v>
      </c>
      <c r="AF51" s="17" t="s">
        <v>4309</v>
      </c>
      <c r="AG51" s="17" t="s">
        <v>3963</v>
      </c>
      <c r="AH51" s="17" t="s">
        <v>3964</v>
      </c>
      <c r="AI51" s="17" t="s">
        <v>3932</v>
      </c>
      <c r="AJ51" s="17" t="s">
        <v>4325</v>
      </c>
      <c r="AK51" s="17" t="s">
        <v>4326</v>
      </c>
      <c r="AL51" s="17" t="s">
        <v>4327</v>
      </c>
      <c r="AM51" s="17" t="s">
        <v>4282</v>
      </c>
      <c r="AN51" s="17" t="s">
        <v>3937</v>
      </c>
      <c r="AO51" s="17" t="s">
        <v>3938</v>
      </c>
      <c r="AP51" s="17" t="s">
        <v>546</v>
      </c>
      <c r="AQ51" s="17"/>
      <c r="AR51" s="17"/>
      <c r="AS51" s="14">
        <f>IFERROR((IF(SUMIFS(_REF_Model_Content!$J$1:$J$157,_REF_Model_Content!$A$1:$A$174,PV_Canonical_Industry,_REF_Model_Content!$B$1:$B$174,$B51)=0,1,SUMIFS(_REF_Model_Content!$J$1:$J$157,_REF_Model_Content!$A$1:$A$174,PV_Canonical_Industry,_REF_Model_Content!$B$1:$B$174,$B51))*IFERROR($CA51,1)),1)</f>
        <v>1</v>
      </c>
      <c r="AT51" s="14">
        <f t="shared" si="36"/>
        <v>1.71</v>
      </c>
      <c r="AU51" s="14">
        <f>IF($AT51="","",RANK($AT51,$AT$5:$AT$76,0)+COUNTIF($AT$5:AT51,$AT51)-1)</f>
        <v>44</v>
      </c>
      <c r="AV51" s="14">
        <f>IFERROR(INDEX(_DATA_Dashboard_Facts!$G$300:$G$316,MATCH($B51,_DATA_Dashboard_Facts!$A$300:$A$316,0)),"")</f>
        <v>0</v>
      </c>
      <c r="AW51" s="14" t="str">
        <f t="shared" si="37"/>
        <v>Relevance-neutral priority</v>
      </c>
      <c r="AX51">
        <f>IFERROR(INDEX('Action Plan &amp; Roadmap'!$D$59:$D$130,MATCH($A51,'Action Plan &amp; Roadmap'!$A$59:$A$130,0)),"")</f>
        <v>0</v>
      </c>
      <c r="AY51">
        <f t="shared" si="38"/>
        <v>0</v>
      </c>
      <c r="AZ51" t="s">
        <v>3980</v>
      </c>
      <c r="BA51">
        <f>IF($A51="","",COUNTIF(_DATA_RiskInitiativeMap!$A$1:$A$867,$A51))</f>
        <v>5</v>
      </c>
      <c r="BB51">
        <f>IF($A51="","",IFERROR(AVERAGEIF(_DATA_RiskInitiativeMap!$A$1:$A$867,$A51,_DATA_RiskInitiativeMap!$G$1:$G$867),0))</f>
        <v>13.154000000000002</v>
      </c>
      <c r="BC51">
        <f t="shared" si="39"/>
        <v>4.5</v>
      </c>
      <c r="BD51">
        <f t="shared" si="40"/>
        <v>3.9807800000000002</v>
      </c>
      <c r="BI51" s="17" t="str">
        <f>IFERROR(_CONFIG_Model_Settings!$B$103,"Adaptive")</f>
        <v>Fragile</v>
      </c>
      <c r="BJ51" s="17">
        <f>IFERROR(INDEX(_CONFIG_Model_Settings!$B$109:$B$113,MATCH($BI51,_CONFIG_Model_Settings!$A$109:$A$113,0)),0.3)</f>
        <v>0.2</v>
      </c>
      <c r="BK51" s="17">
        <f>IFERROR(INDEX(_CONFIG_Model_Settings!$C$109:$C$113,MATCH($BI51,_CONFIG_Model_Settings!$A$109:$A$113,0)),0.2)</f>
        <v>0.3</v>
      </c>
      <c r="BL51" s="17">
        <f>IFERROR(INDEX(_CONFIG_Model_Settings!$D$109:$D$113,MATCH($BI51,_CONFIG_Model_Settings!$A$109:$A$113,0)),0.25)</f>
        <v>0.4</v>
      </c>
      <c r="BM51" s="17">
        <f>IFERROR(INDEX(_CONFIG_Model_Settings!$E$109:$E$113,MATCH($BI51,_CONFIG_Model_Settings!$A$109:$A$113,0)),0.25)</f>
        <v>0.1</v>
      </c>
      <c r="BN51" s="17">
        <f>IFERROR(INDEX(_CONFIG_Model_Settings!$B$117:$B$123,MATCH(_CONFIG_Model_Settings!$B$104,_CONFIG_Model_Settings!$A$117:$A$123,0)),1)</f>
        <v>1</v>
      </c>
      <c r="BO51" s="17">
        <f>IFERROR(INDEX(_CONFIG_Model_Settings!$C$117:$C$123,MATCH(_CONFIG_Model_Settings!$B$104,_CONFIG_Model_Settings!$A$117:$A$123,0)),1)</f>
        <v>1</v>
      </c>
      <c r="BP51" s="17">
        <f>IFERROR(INDEX(_CONFIG_Model_Settings!$D$117:$D$123,MATCH(_CONFIG_Model_Settings!$B$104,_CONFIG_Model_Settings!$A$117:$A$123,0)),1)</f>
        <v>1</v>
      </c>
      <c r="BQ51" s="17">
        <f>IFERROR(INDEX(_CONFIG_Model_Settings!$E$117:$E$123,MATCH(_CONFIG_Model_Settings!$B$104,_CONFIG_Model_Settings!$A$117:$A$123,0)),1)</f>
        <v>1</v>
      </c>
      <c r="BR51" s="17">
        <f>IF(OR($A51="",$P51=""),"",MIN(5,IFERROR(SUMIF(_DATA_RiskInitiativeMap!$A$1:$A$867,$A51,_DATA_RiskInitiativeMap!$K$1:$K$867)/MAX(1,_CONFIG_Model_Settings!$B$166),0)))</f>
        <v>5</v>
      </c>
      <c r="BS51" s="17">
        <f t="shared" si="41"/>
        <v>5.14</v>
      </c>
      <c r="BT51" s="17">
        <f t="shared" si="42"/>
        <v>3</v>
      </c>
      <c r="BU51" s="17">
        <f t="shared" si="43"/>
        <v>1.71</v>
      </c>
      <c r="BV51" s="17">
        <f>IF(OR($P51="",$BU51="",$AY51="Done",$AY51="Not applicable"),"",ROUND($BU51*N($AS51)*IF(OR('Resilience &amp; Risk Scenario'!$B$6="",'Resilience &amp; Risk Scenario'!$B$7&lt;=0),1,IFERROR(1+MIN(0.75,INDEX('Resilience &amp; Risk Scenario'!$E$21:$E$37,MATCH($B51,'Resilience &amp; Risk Scenario'!$B$21:$B$37,0))/10),1)),2))</f>
        <v>1.71</v>
      </c>
      <c r="BW51" s="17">
        <f>IF($BV51="","",RANK($BV51,$BV$5:$BV$76,0)+COUNTIF($BV$5:$BV51,$BV51)-1)</f>
        <v>44</v>
      </c>
      <c r="BX51" s="17" t="str">
        <f t="shared" si="44"/>
        <v>6-12 months</v>
      </c>
      <c r="BY51" t="str">
        <f>IFERROR(IF($A51="","","P2: "&amp;$BI51&amp;" posture; objective="&amp;IF(_CONFIG_Model_Settings!$B$104="","Neutral/default",_CONFIG_Model_Settings!$B$104)&amp;"; relevance="&amp;ROUND(N($AS51),2)&amp;"; scenario/domain boost="&amp;ROUND(IF(OR('Resilience &amp; Risk Scenario'!$B$6="",'Resilience &amp; Risk Scenario'!$B$7&lt;=0),1,IFERROR(1+MIN(0.75,INDEX('Resilience &amp; Risk Scenario'!$E$21:$E$37,MATCH($B51,'Resilience &amp; Risk Scenario'!$B$21:$B$37,0))/10),1)),2)&amp;"; financial score="&amp;ROUND(N($BR51),1)&amp;"; CoD="&amp;$BS51&amp;IF($CL51&lt;&gt;"","; wording="&amp;$CL51,"")),"")</f>
        <v>P2: Fragile posture; objective=Neutral/default; relevance=1; scenario/domain boost=1; financial score=5; CoD=5.14; wording=Strengthen CRM / service</v>
      </c>
      <c r="BZ51" t="str">
        <f>IFERROR(INDEX(_REF_Capability_Bridge!$D:$D,MATCH($B51&amp;"|"&amp;$C51,_REF_Capability_Bridge!$J:$J,0)),IFERROR(INDEX(_REF_Capability_Bridge!$D:$D,MATCH($B51&amp;"|",_REF_Capability_Bridge!$J:$J,0)),"CAP_GENERIC"))</f>
        <v>CAP_CRM_CUSTOMER_SERVICE</v>
      </c>
      <c r="CA51">
        <f>IFERROR(IFERROR(INDEX(_ENGINE_Relevance!$L:$L,MATCH($BZ51,_ENGINE_Relevance!$B:$B,0)),1),1)</f>
        <v>1</v>
      </c>
      <c r="CB51" t="str">
        <f>IFERROR(INDEX(_REF_Capability_Bridge!$A:$A,MATCH($B51&amp;"|"&amp;$C51,_REF_Capability_Bridge!$J:$J,0)),IFERROR(INDEX(_REF_Capability_Bridge!$A:$A,MATCH($B51&amp;"|",_REF_Capability_Bridge!$J:$J,0)),"No bridge"))</f>
        <v>BRG-063</v>
      </c>
      <c r="CC51" t="str">
        <f t="shared" si="45"/>
        <v>Capability relevance neutral</v>
      </c>
      <c r="CD51" t="str">
        <f t="shared" si="46"/>
        <v>Initial / absent</v>
      </c>
      <c r="CE51" t="str">
        <f>IF($A51="","",IFERROR(INDEX(_REF_Treatment_Library!$A$2:$A$296,MATCH(1,INDEX((_REF_Treatment_Library!$B$2:$B$296=$BZ51)*(_REF_Treatment_Library!$C$2:$C$296=PV_Canonical_Industry)*(_REF_Treatment_Library!$E$2:$E$296&lt;=N($N51))*(_REF_Treatment_Library!$F$2:$F$296&gt;=N($N51))*(_REF_Treatment_Library!$O$2:$O$296="Yes"),0),0)),IFERROR(INDEX(_REF_Treatment_Library!$A$2:$A$296,MATCH(1,INDEX((_REF_Treatment_Library!$B$2:$B$296=$BZ51)*(_REF_Treatment_Library!$C$2:$C$296="All")*(_REF_Treatment_Library!$E$2:$E$296&lt;=N($N51))*(_REF_Treatment_Library!$F$2:$F$296&gt;=N($N51))*(_REF_Treatment_Library!$O$2:$O$296="Yes"),0),0)),"")))</f>
        <v>TRT-CRM_CUSTOMER_SERVICE-INITIAL</v>
      </c>
      <c r="CF51" t="str">
        <f>IF($CE51="","",IFERROR(INDEX(_REF_Treatment_Library!$H$2:$H$296,MATCH($CE51,_REF_Treatment_Library!$A$2:$A$296,0)),""))</f>
        <v>Establish</v>
      </c>
      <c r="CG51" t="str">
        <f>IF($CE51="","",IFERROR(INDEX(_REF_Treatment_Library!$I$2:$I$296,MATCH($CE51,_REF_Treatment_Library!$A$2:$A$296,0)),""))</f>
        <v>Establish baseline controls for CRM / service</v>
      </c>
      <c r="CH51" t="str">
        <f>IF($CE51="","",IFERROR(INDEX(_REF_Treatment_Library!$K$2:$K$296,MATCH($CE51,_REF_Treatment_Library!$A$2:$A$296,0)),""))</f>
        <v>Named owner, baseline process, minimum control checklist, first evidence package</v>
      </c>
      <c r="CI51" t="str">
        <f>IF($CE51="","",IFERROR(INDEX(_REF_Treatment_Library!$L$2:$L$296,MATCH($CE51,_REF_Treatment_Library!$A$2:$A$296,0)),""))</f>
        <v>Owner assigned; baseline evidence coverage; open critical gaps</v>
      </c>
      <c r="CJ51" t="str">
        <f t="shared" si="47"/>
        <v>Treatment by capability=CAP_CRM_CUSTOMER_SERVICE; band=Initial / absent; score=0.0; treatment=Establish</v>
      </c>
      <c r="CK51" t="str">
        <f>IF($A51="","",IFERROR(INDEX(_REF_Industry_Wording!$A$2:$A$70,MATCH(1,INDEX((_REF_Industry_Wording!$B$2:$B$70=$BZ51)*(_REF_Industry_Wording!$C$2:$C$70=PV_Canonical_Industry)*(_REF_Industry_Wording!$K$2:$K$70="Yes"),0),0)),IFERROR(INDEX(_REF_Industry_Wording!$A$2:$A$70,MATCH(1,INDEX((_REF_Industry_Wording!$B$2:$B$70=$BZ51)*(_REF_Industry_Wording!$C$2:$C$70="All")*(_REF_Industry_Wording!$K$2:$K$70="Yes"),0),0)),"")))</f>
        <v>IW-ALL-CRM_CUSTOMER_SERVICE</v>
      </c>
      <c r="CL51" t="str">
        <f>IF($CK51="","",IFERROR(INDEX(_REF_Industry_Wording!$F$2:$F$70,MATCH($CK51,_REF_Industry_Wording!$A$2:$A$70,0)),""))</f>
        <v>Strengthen CRM / service</v>
      </c>
      <c r="CM51" t="str">
        <f>IF($CK51="","",IFERROR(INDEX(_REF_Industry_Wording!$G$2:$G$70,MATCH($CK51,_REF_Industry_Wording!$A$2:$A$70,0)),""))</f>
        <v>Strengthen CRM / service using the selected maturity treatment, crisis scenario and evidence requirements.</v>
      </c>
      <c r="CN51" t="str">
        <f>IF($CK51="","",IFERROR(INDEX(_REF_Industry_Wording!$H$2:$H$70,MATCH($CK51,_REF_Industry_Wording!$A$2:$A$70,0)),""))</f>
        <v>CRM / service</v>
      </c>
      <c r="CO51">
        <f>IF($CK51="","",IFERROR(INDEX(_REF_Industry_Wording!$I$2:$I$70,MATCH($CK51,_REF_Industry_Wording!$A$2:$A$70,0)),""))</f>
        <v>0</v>
      </c>
      <c r="CP51" t="str">
        <f>IF($CK51="","",IFERROR(INDEX(_REF_Industry_Wording!$J$2:$J$70,MATCH($CK51,_REF_Industry_Wording!$A$2:$A$70,0)),""))</f>
        <v>CRM / service</v>
      </c>
      <c r="CQ51" t="str">
        <f t="shared" si="48"/>
        <v>Wording by industry=0; capability=CAP_CRM_CUSTOMER_SERVICE; title=Strengthen CRM / service</v>
      </c>
      <c r="CR51" t="str">
        <f t="shared" si="49"/>
        <v>INIT-ONT-0047</v>
      </c>
      <c r="CS51">
        <f t="shared" si="50"/>
        <v>51</v>
      </c>
      <c r="CT51" t="str">
        <f t="shared" si="51"/>
        <v>CAP_CRM_CUSTOMER_SERVICE</v>
      </c>
      <c r="CU51" t="str">
        <f t="shared" si="52"/>
        <v>INI-047|Marketing Comms|Marketing operations|CAP_CRM_CUSTOMER_SERVICE</v>
      </c>
      <c r="CV51" t="str">
        <f t="shared" si="53"/>
        <v>Active</v>
      </c>
      <c r="CW51" t="str">
        <f t="shared" si="54"/>
        <v>OK: capability-driven</v>
      </c>
      <c r="CX51" t="str">
        <f t="shared" si="55"/>
        <v>Initiative ontology uses capability=CAP_CRM_CUSTOMER_SERVICE; bridge=BRG-063; treatment=TRT-CRM_CUSTOMER_SERVICE-INITIAL; wording=IW-ALL-CRM_CUSTOMER_SERVICE</v>
      </c>
    </row>
    <row r="52" spans="1:102" ht="42" customHeight="1">
      <c r="A52" s="17" t="s">
        <v>4328</v>
      </c>
      <c r="B52" s="17" t="s">
        <v>2588</v>
      </c>
      <c r="C52" s="17" t="s">
        <v>2590</v>
      </c>
      <c r="D52" s="17" t="s">
        <v>4329</v>
      </c>
      <c r="E52" s="17" t="s">
        <v>4330</v>
      </c>
      <c r="F52" s="17" t="s">
        <v>4331</v>
      </c>
      <c r="G52" s="17" t="s">
        <v>4332</v>
      </c>
      <c r="H52" s="17" t="s">
        <v>4333</v>
      </c>
      <c r="I52" s="17" t="s">
        <v>4334</v>
      </c>
      <c r="J52" s="17" t="s">
        <v>4335</v>
      </c>
      <c r="K52" s="17">
        <v>6</v>
      </c>
      <c r="L52" s="17">
        <f>IF($A52="","",COUNTIFS(_DATA_RiskInitiativeMap!$A$444:$A$867,$A52,_DATA_RiskInitiativeMap!$G$444:$G$867,"&gt;0"))</f>
        <v>6</v>
      </c>
      <c r="M52" s="17">
        <f>IF($A52="","",COUNTIFS(_DATA_RiskInitiativeMap!$A$444:$A$867,$A52,_DATA_RiskInitiativeMap!$G$444:$G$867,"&gt;0"))</f>
        <v>6</v>
      </c>
      <c r="N52" s="17">
        <f>IFERROR(AVERAGEIFS(_DATA_Assessment_Model!$H$5:$H$428,_DATA_Assessment_Model!$AW$5:$AW$428,$B52,_DATA_Assessment_Model!$B$5:$B$428,$C52),"")</f>
        <v>0</v>
      </c>
      <c r="O52" s="17">
        <f t="shared" si="28"/>
        <v>5</v>
      </c>
      <c r="P52" s="17">
        <f>IFERROR(INDEX(_DATA_Dashboard_Facts!$H$5:$H$21,MATCH($B52,_DATA_Dashboard_Facts!$A$5:$A$21,0)),"")</f>
        <v>0</v>
      </c>
      <c r="Q52" s="17">
        <f t="shared" si="29"/>
        <v>5</v>
      </c>
      <c r="R52" s="17">
        <f>IF(OR('Resilience &amp; Risk Scenario'!$B$6="",'Resilience &amp; Risk Scenario'!$B$7&lt;=0),1,IFERROR(IF(SUMIFS(_ENGINE_Crisis!$D$5:$D$208,_ENGINE_Crisis!$A$5:$A$208,'Resilience &amp; Risk Scenario'!$B$6,_ENGINE_Crisis!$B$5:$B$208,$B52)=0,1,SUMIFS(_ENGINE_Crisis!$D$5:$D$208,_ENGINE_Crisis!$A$5:$A$208,'Resilience &amp; Risk Scenario'!$B$6,_ENGINE_Crisis!$B$5:$B$208,$B52)),1))</f>
        <v>1</v>
      </c>
      <c r="S52" s="17">
        <f>IFERROR(INDEX(_ENGINE_Strategy!$A$100:$A$113,MATCH($D52,_ENGINE_Strategy!$B$100:$B$113,0)),99)</f>
        <v>1</v>
      </c>
      <c r="T52" s="17">
        <f>IFERROR(INDEX(_ENGINE_Strategy!$J$100:$J$113,MATCH($D52,_ENGINE_Strategy!$B$100:$B$113,0)),0)</f>
        <v>71</v>
      </c>
      <c r="U52" s="17">
        <v>5</v>
      </c>
      <c r="V52" s="17">
        <v>5</v>
      </c>
      <c r="W52" s="17">
        <v>3</v>
      </c>
      <c r="X52" s="17">
        <f t="shared" si="30"/>
        <v>4.6375000000000002</v>
      </c>
      <c r="Y52" s="17">
        <f>IF($P52="","",MAX(1,MIN(5,1+N($O52)*0.45+MIN(2,N($M52)*0.3)+($R52-1)*1.2+IF('Resilience &amp; Risk Scenario'!$B$7="",1,'Resilience &amp; Risk Scenario'!$B$7)*0.25)))</f>
        <v>5</v>
      </c>
      <c r="Z52" s="17">
        <f t="shared" si="31"/>
        <v>5</v>
      </c>
      <c r="AA52" s="17">
        <f t="shared" si="32"/>
        <v>3.9649999999999999</v>
      </c>
      <c r="AB52" s="17">
        <v>4</v>
      </c>
      <c r="AC52" s="17">
        <f t="shared" si="33"/>
        <v>1.34</v>
      </c>
      <c r="AD52" s="17">
        <f t="shared" si="34"/>
        <v>57</v>
      </c>
      <c r="AE52" s="17" t="str">
        <f t="shared" si="35"/>
        <v>12+ months</v>
      </c>
      <c r="AF52" s="17" t="s">
        <v>4336</v>
      </c>
      <c r="AG52" s="17" t="s">
        <v>3502</v>
      </c>
      <c r="AH52" s="17" t="s">
        <v>4337</v>
      </c>
      <c r="AI52" s="17" t="s">
        <v>4338</v>
      </c>
      <c r="AJ52" s="17" t="s">
        <v>4339</v>
      </c>
      <c r="AK52" s="17" t="s">
        <v>4340</v>
      </c>
      <c r="AL52" s="17" t="s">
        <v>4341</v>
      </c>
      <c r="AM52" s="17" t="s">
        <v>4342</v>
      </c>
      <c r="AN52" s="17" t="s">
        <v>3937</v>
      </c>
      <c r="AO52" s="17" t="s">
        <v>3938</v>
      </c>
      <c r="AP52" s="17" t="s">
        <v>4242</v>
      </c>
      <c r="AQ52" s="17"/>
      <c r="AR52" s="17"/>
      <c r="AS52" s="14">
        <f>IFERROR((IF(SUMIFS(_REF_Model_Content!$J$1:$J$157,_REF_Model_Content!$A$1:$A$174,PV_Canonical_Industry,_REF_Model_Content!$B$1:$B$174,$B52)=0,1,SUMIFS(_REF_Model_Content!$J$1:$J$157,_REF_Model_Content!$A$1:$A$174,PV_Canonical_Industry,_REF_Model_Content!$B$1:$B$174,$B52))*IFERROR($CA52,1)),1)</f>
        <v>1</v>
      </c>
      <c r="AT52" s="14">
        <f t="shared" si="36"/>
        <v>1.34</v>
      </c>
      <c r="AU52" s="14">
        <f>IF($AT52="","",RANK($AT52,$AT$5:$AT$76,0)+COUNTIF($AT$5:AT52,$AT52)-1)</f>
        <v>57</v>
      </c>
      <c r="AV52" s="14">
        <f>IFERROR(INDEX(_DATA_Dashboard_Facts!$G$300:$G$316,MATCH($B52,_DATA_Dashboard_Facts!$A$300:$A$316,0)),"")</f>
        <v>0</v>
      </c>
      <c r="AW52" s="14" t="str">
        <f t="shared" si="37"/>
        <v>Relevance-neutral priority</v>
      </c>
      <c r="AX52">
        <f>IFERROR(INDEX('Action Plan &amp; Roadmap'!$D$59:$D$130,MATCH($A52,'Action Plan &amp; Roadmap'!$A$59:$A$130,0)),"")</f>
        <v>0</v>
      </c>
      <c r="AY52">
        <f t="shared" si="38"/>
        <v>0</v>
      </c>
      <c r="AZ52" t="s">
        <v>4343</v>
      </c>
      <c r="BA52">
        <f>IF($A52="","",COUNTIF(_DATA_RiskInitiativeMap!$A$1:$A$867,$A52))</f>
        <v>6</v>
      </c>
      <c r="BB52">
        <f>IF($A52="","",IFERROR(AVERAGEIF(_DATA_RiskInitiativeMap!$A$1:$A$867,$A52,_DATA_RiskInitiativeMap!$G$1:$G$867),0))</f>
        <v>17.751666666666669</v>
      </c>
      <c r="BC52">
        <f t="shared" si="39"/>
        <v>4.5999999999999996</v>
      </c>
      <c r="BD52">
        <f t="shared" si="40"/>
        <v>4.4126166666666666</v>
      </c>
      <c r="BI52" s="17" t="str">
        <f>IFERROR(_CONFIG_Model_Settings!$B$103,"Adaptive")</f>
        <v>Fragile</v>
      </c>
      <c r="BJ52" s="17">
        <f>IFERROR(INDEX(_CONFIG_Model_Settings!$B$109:$B$113,MATCH($BI52,_CONFIG_Model_Settings!$A$109:$A$113,0)),0.3)</f>
        <v>0.2</v>
      </c>
      <c r="BK52" s="17">
        <f>IFERROR(INDEX(_CONFIG_Model_Settings!$C$109:$C$113,MATCH($BI52,_CONFIG_Model_Settings!$A$109:$A$113,0)),0.2)</f>
        <v>0.3</v>
      </c>
      <c r="BL52" s="17">
        <f>IFERROR(INDEX(_CONFIG_Model_Settings!$D$109:$D$113,MATCH($BI52,_CONFIG_Model_Settings!$A$109:$A$113,0)),0.25)</f>
        <v>0.4</v>
      </c>
      <c r="BM52" s="17">
        <f>IFERROR(INDEX(_CONFIG_Model_Settings!$E$109:$E$113,MATCH($BI52,_CONFIG_Model_Settings!$A$109:$A$113,0)),0.25)</f>
        <v>0.1</v>
      </c>
      <c r="BN52" s="17">
        <f>IFERROR(INDEX(_CONFIG_Model_Settings!$B$117:$B$123,MATCH(_CONFIG_Model_Settings!$B$104,_CONFIG_Model_Settings!$A$117:$A$123,0)),1)</f>
        <v>1</v>
      </c>
      <c r="BO52" s="17">
        <f>IFERROR(INDEX(_CONFIG_Model_Settings!$C$117:$C$123,MATCH(_CONFIG_Model_Settings!$B$104,_CONFIG_Model_Settings!$A$117:$A$123,0)),1)</f>
        <v>1</v>
      </c>
      <c r="BP52" s="17">
        <f>IFERROR(INDEX(_CONFIG_Model_Settings!$D$117:$D$123,MATCH(_CONFIG_Model_Settings!$B$104,_CONFIG_Model_Settings!$A$117:$A$123,0)),1)</f>
        <v>1</v>
      </c>
      <c r="BQ52" s="17">
        <f>IFERROR(INDEX(_CONFIG_Model_Settings!$E$117:$E$123,MATCH(_CONFIG_Model_Settings!$B$104,_CONFIG_Model_Settings!$A$117:$A$123,0)),1)</f>
        <v>1</v>
      </c>
      <c r="BR52" s="17">
        <f>IF(OR($A52="",$P52=""),"",MIN(5,IFERROR(SUMIF(_DATA_RiskInitiativeMap!$A$1:$A$867,$A52,_DATA_RiskInitiativeMap!$K$1:$K$867)/MAX(1,_CONFIG_Model_Settings!$B$166),0)))</f>
        <v>5</v>
      </c>
      <c r="BS52" s="17">
        <f t="shared" si="41"/>
        <v>5.34</v>
      </c>
      <c r="BT52" s="17">
        <f t="shared" si="42"/>
        <v>4</v>
      </c>
      <c r="BU52" s="17">
        <f t="shared" si="43"/>
        <v>1.34</v>
      </c>
      <c r="BV52" s="17">
        <f>IF(OR($P52="",$BU52="",$AY52="Done",$AY52="Not applicable"),"",ROUND($BU52*N($AS52)*IF(OR('Resilience &amp; Risk Scenario'!$B$6="",'Resilience &amp; Risk Scenario'!$B$7&lt;=0),1,IFERROR(1+MIN(0.75,INDEX('Resilience &amp; Risk Scenario'!$E$21:$E$37,MATCH($B52,'Resilience &amp; Risk Scenario'!$B$21:$B$37,0))/10),1)),2))</f>
        <v>1.34</v>
      </c>
      <c r="BW52" s="17">
        <f>IF($BV52="","",RANK($BV52,$BV$5:$BV$76,0)+COUNTIF($BV$5:$BV52,$BV52)-1)</f>
        <v>57</v>
      </c>
      <c r="BX52" s="17" t="str">
        <f t="shared" si="44"/>
        <v>12+ months</v>
      </c>
      <c r="BY52" t="str">
        <f>IFERROR(IF($A52="","","P2: "&amp;$BI52&amp;" posture; objective="&amp;IF(_CONFIG_Model_Settings!$B$104="","Neutral/default",_CONFIG_Model_Settings!$B$104)&amp;"; relevance="&amp;ROUND(N($AS52),2)&amp;"; scenario/domain boost="&amp;ROUND(IF(OR('Resilience &amp; Risk Scenario'!$B$6="",'Resilience &amp; Risk Scenario'!$B$7&lt;=0),1,IFERROR(1+MIN(0.75,INDEX('Resilience &amp; Risk Scenario'!$E$21:$E$37,MATCH($B52,'Resilience &amp; Risk Scenario'!$B$21:$B$37,0))/10),1)),2)&amp;"; financial score="&amp;ROUND(N($BR52),1)&amp;"; CoD="&amp;$BS52&amp;IF($CL52&lt;&gt;"","; wording="&amp;$CL52,"")),"")</f>
        <v>P2: Fragile posture; objective=Neutral/default; relevance=1; scenario/domain boost=1; financial score=5; CoD=5.34; wording=Strengthen Identity / PAM</v>
      </c>
      <c r="BZ52" t="str">
        <f>IFERROR(INDEX(_REF_Capability_Bridge!$D:$D,MATCH($B52&amp;"|"&amp;$C52,_REF_Capability_Bridge!$J:$J,0)),IFERROR(INDEX(_REF_Capability_Bridge!$D:$D,MATCH($B52&amp;"|",_REF_Capability_Bridge!$J:$J,0)),"CAP_GENERIC"))</f>
        <v>CAP_IAM_PAM</v>
      </c>
      <c r="CA52">
        <f>IFERROR(IFERROR(INDEX(_ENGINE_Relevance!$L:$L,MATCH($BZ52,_ENGINE_Relevance!$B:$B,0)),1),1)</f>
        <v>1</v>
      </c>
      <c r="CB52" t="str">
        <f>IFERROR(INDEX(_REF_Capability_Bridge!$A:$A,MATCH($B52&amp;"|"&amp;$C52,_REF_Capability_Bridge!$J:$J,0)),IFERROR(INDEX(_REF_Capability_Bridge!$A:$A,MATCH($B52&amp;"|",_REF_Capability_Bridge!$J:$J,0)),"No bridge"))</f>
        <v>BRG-045</v>
      </c>
      <c r="CC52" t="str">
        <f t="shared" si="45"/>
        <v>Capability relevance neutral</v>
      </c>
      <c r="CD52" t="str">
        <f t="shared" si="46"/>
        <v>Initial / absent</v>
      </c>
      <c r="CE52" t="str">
        <f>IF($A52="","",IFERROR(INDEX(_REF_Treatment_Library!$A$2:$A$296,MATCH(1,INDEX((_REF_Treatment_Library!$B$2:$B$296=$BZ52)*(_REF_Treatment_Library!$C$2:$C$296=PV_Canonical_Industry)*(_REF_Treatment_Library!$E$2:$E$296&lt;=N($N52))*(_REF_Treatment_Library!$F$2:$F$296&gt;=N($N52))*(_REF_Treatment_Library!$O$2:$O$296="Yes"),0),0)),IFERROR(INDEX(_REF_Treatment_Library!$A$2:$A$296,MATCH(1,INDEX((_REF_Treatment_Library!$B$2:$B$296=$BZ52)*(_REF_Treatment_Library!$C$2:$C$296="All")*(_REF_Treatment_Library!$E$2:$E$296&lt;=N($N52))*(_REF_Treatment_Library!$F$2:$F$296&gt;=N($N52))*(_REF_Treatment_Library!$O$2:$O$296="Yes"),0),0)),"")))</f>
        <v>TRT-IAM_PAM-INITIAL</v>
      </c>
      <c r="CF52" t="str">
        <f>IF($CE52="","",IFERROR(INDEX(_REF_Treatment_Library!$H$2:$H$296,MATCH($CE52,_REF_Treatment_Library!$A$2:$A$296,0)),""))</f>
        <v>Establish</v>
      </c>
      <c r="CG52" t="str">
        <f>IF($CE52="","",IFERROR(INDEX(_REF_Treatment_Library!$I$2:$I$296,MATCH($CE52,_REF_Treatment_Library!$A$2:$A$296,0)),""))</f>
        <v>Establish baseline controls for Identity / PAM</v>
      </c>
      <c r="CH52" t="str">
        <f>IF($CE52="","",IFERROR(INDEX(_REF_Treatment_Library!$K$2:$K$296,MATCH($CE52,_REF_Treatment_Library!$A$2:$A$296,0)),""))</f>
        <v>Named owner, baseline process, minimum control checklist, first evidence package</v>
      </c>
      <c r="CI52" t="str">
        <f>IF($CE52="","",IFERROR(INDEX(_REF_Treatment_Library!$L$2:$L$296,MATCH($CE52,_REF_Treatment_Library!$A$2:$A$296,0)),""))</f>
        <v>Owner assigned; baseline evidence coverage; open critical gaps</v>
      </c>
      <c r="CJ52" t="str">
        <f t="shared" si="47"/>
        <v>Treatment by capability=CAP_IAM_PAM; band=Initial / absent; score=0.0; treatment=Establish</v>
      </c>
      <c r="CK52" t="str">
        <f>IF($A52="","",IFERROR(INDEX(_REF_Industry_Wording!$A$2:$A$70,MATCH(1,INDEX((_REF_Industry_Wording!$B$2:$B$70=$BZ52)*(_REF_Industry_Wording!$C$2:$C$70=PV_Canonical_Industry)*(_REF_Industry_Wording!$K$2:$K$70="Yes"),0),0)),IFERROR(INDEX(_REF_Industry_Wording!$A$2:$A$70,MATCH(1,INDEX((_REF_Industry_Wording!$B$2:$B$70=$BZ52)*(_REF_Industry_Wording!$C$2:$C$70="All")*(_REF_Industry_Wording!$K$2:$K$70="Yes"),0),0)),"")))</f>
        <v>IW-ALL-IAM_PAM</v>
      </c>
      <c r="CL52" t="str">
        <f>IF($CK52="","",IFERROR(INDEX(_REF_Industry_Wording!$F$2:$F$70,MATCH($CK52,_REF_Industry_Wording!$A$2:$A$70,0)),""))</f>
        <v>Strengthen Identity / PAM</v>
      </c>
      <c r="CM52" t="str">
        <f>IF($CK52="","",IFERROR(INDEX(_REF_Industry_Wording!$G$2:$G$70,MATCH($CK52,_REF_Industry_Wording!$A$2:$A$70,0)),""))</f>
        <v>Strengthen Identity / PAM using the selected maturity treatment, crisis scenario and evidence requirements.</v>
      </c>
      <c r="CN52" t="str">
        <f>IF($CK52="","",IFERROR(INDEX(_REF_Industry_Wording!$H$2:$H$70,MATCH($CK52,_REF_Industry_Wording!$A$2:$A$70,0)),""))</f>
        <v>Identity / PAM</v>
      </c>
      <c r="CO52">
        <f>IF($CK52="","",IFERROR(INDEX(_REF_Industry_Wording!$I$2:$I$70,MATCH($CK52,_REF_Industry_Wording!$A$2:$A$70,0)),""))</f>
        <v>0</v>
      </c>
      <c r="CP52" t="str">
        <f>IF($CK52="","",IFERROR(INDEX(_REF_Industry_Wording!$J$2:$J$70,MATCH($CK52,_REF_Industry_Wording!$A$2:$A$70,0)),""))</f>
        <v>Identity / PAM</v>
      </c>
      <c r="CQ52" t="str">
        <f t="shared" si="48"/>
        <v>Wording by industry=0; capability=CAP_IAM_PAM; title=Strengthen Identity / PAM</v>
      </c>
      <c r="CR52" t="str">
        <f t="shared" si="49"/>
        <v>INIT-ONT-0048</v>
      </c>
      <c r="CS52">
        <f t="shared" si="50"/>
        <v>52</v>
      </c>
      <c r="CT52" t="str">
        <f t="shared" si="51"/>
        <v>CAP_IAM_PAM</v>
      </c>
      <c r="CU52" t="str">
        <f t="shared" si="52"/>
        <v>INI-048|IT Cloud DR|IT inventory and architecture|CAP_IAM_PAM</v>
      </c>
      <c r="CV52" t="str">
        <f t="shared" si="53"/>
        <v>Active</v>
      </c>
      <c r="CW52" t="str">
        <f t="shared" si="54"/>
        <v>OK: capability-driven</v>
      </c>
      <c r="CX52" t="str">
        <f t="shared" si="55"/>
        <v>Initiative ontology uses capability=CAP_IAM_PAM; bridge=BRG-045; treatment=TRT-IAM_PAM-INITIAL; wording=IW-ALL-IAM_PAM</v>
      </c>
    </row>
    <row r="53" spans="1:102" ht="42" customHeight="1">
      <c r="A53" s="17" t="s">
        <v>4344</v>
      </c>
      <c r="B53" s="17" t="s">
        <v>2588</v>
      </c>
      <c r="C53" s="17" t="s">
        <v>2599</v>
      </c>
      <c r="D53" s="17" t="s">
        <v>4329</v>
      </c>
      <c r="E53" s="17" t="s">
        <v>4330</v>
      </c>
      <c r="F53" s="17" t="s">
        <v>4345</v>
      </c>
      <c r="G53" s="17" t="s">
        <v>4346</v>
      </c>
      <c r="H53" s="17" t="s">
        <v>4333</v>
      </c>
      <c r="I53" s="17" t="s">
        <v>4334</v>
      </c>
      <c r="J53" s="17" t="s">
        <v>4347</v>
      </c>
      <c r="K53" s="17">
        <v>5</v>
      </c>
      <c r="L53" s="17">
        <f>IF($A53="","",COUNTIFS(_DATA_RiskInitiativeMap!$A$444:$A$867,$A53,_DATA_RiskInitiativeMap!$G$444:$G$867,"&gt;0"))</f>
        <v>5</v>
      </c>
      <c r="M53" s="17">
        <f>IF($A53="","",COUNTIFS(_DATA_RiskInitiativeMap!$A$444:$A$867,$A53,_DATA_RiskInitiativeMap!$G$444:$G$867,"&gt;0"))</f>
        <v>5</v>
      </c>
      <c r="N53" s="17">
        <f>IFERROR(AVERAGEIFS(_DATA_Assessment_Model!$H$5:$H$428,_DATA_Assessment_Model!$AW$5:$AW$428,$B53,_DATA_Assessment_Model!$B$5:$B$428,$C53),"")</f>
        <v>0</v>
      </c>
      <c r="O53" s="17">
        <f t="shared" si="28"/>
        <v>5</v>
      </c>
      <c r="P53" s="17">
        <f>IFERROR(INDEX(_DATA_Dashboard_Facts!$H$5:$H$21,MATCH($B53,_DATA_Dashboard_Facts!$A$5:$A$21,0)),"")</f>
        <v>0</v>
      </c>
      <c r="Q53" s="17">
        <f t="shared" si="29"/>
        <v>5</v>
      </c>
      <c r="R53" s="17">
        <f>IF(OR('Resilience &amp; Risk Scenario'!$B$6="",'Resilience &amp; Risk Scenario'!$B$7&lt;=0),1,IFERROR(IF(SUMIFS(_ENGINE_Crisis!$D$5:$D$208,_ENGINE_Crisis!$A$5:$A$208,'Resilience &amp; Risk Scenario'!$B$6,_ENGINE_Crisis!$B$5:$B$208,$B53)=0,1,SUMIFS(_ENGINE_Crisis!$D$5:$D$208,_ENGINE_Crisis!$A$5:$A$208,'Resilience &amp; Risk Scenario'!$B$6,_ENGINE_Crisis!$B$5:$B$208,$B53)),1))</f>
        <v>1</v>
      </c>
      <c r="S53" s="17">
        <f>IFERROR(INDEX(_ENGINE_Strategy!$A$100:$A$113,MATCH($D53,_ENGINE_Strategy!$B$100:$B$113,0)),99)</f>
        <v>1</v>
      </c>
      <c r="T53" s="17">
        <f>IFERROR(INDEX(_ENGINE_Strategy!$J$100:$J$113,MATCH($D53,_ENGINE_Strategy!$B$100:$B$113,0)),0)</f>
        <v>71</v>
      </c>
      <c r="U53" s="17">
        <v>5</v>
      </c>
      <c r="V53" s="17">
        <v>5</v>
      </c>
      <c r="W53" s="17">
        <v>3</v>
      </c>
      <c r="X53" s="17">
        <f t="shared" si="30"/>
        <v>4.6375000000000002</v>
      </c>
      <c r="Y53" s="17">
        <f>IF($P53="","",MAX(1,MIN(5,1+N($O53)*0.45+MIN(2,N($M53)*0.3)+($R53-1)*1.2+IF('Resilience &amp; Risk Scenario'!$B$7="",1,'Resilience &amp; Risk Scenario'!$B$7)*0.25)))</f>
        <v>5</v>
      </c>
      <c r="Z53" s="17">
        <f t="shared" si="31"/>
        <v>5</v>
      </c>
      <c r="AA53" s="17">
        <f t="shared" si="32"/>
        <v>3.9649999999999999</v>
      </c>
      <c r="AB53" s="17">
        <v>4</v>
      </c>
      <c r="AC53" s="17">
        <f t="shared" si="33"/>
        <v>1.34</v>
      </c>
      <c r="AD53" s="17">
        <f t="shared" si="34"/>
        <v>58</v>
      </c>
      <c r="AE53" s="17" t="str">
        <f t="shared" si="35"/>
        <v>12+ months</v>
      </c>
      <c r="AF53" s="17" t="s">
        <v>4336</v>
      </c>
      <c r="AG53" s="17" t="s">
        <v>3502</v>
      </c>
      <c r="AH53" s="17" t="s">
        <v>4337</v>
      </c>
      <c r="AI53" s="17" t="s">
        <v>4338</v>
      </c>
      <c r="AJ53" s="17" t="s">
        <v>4348</v>
      </c>
      <c r="AK53" s="17" t="s">
        <v>4349</v>
      </c>
      <c r="AL53" s="17" t="s">
        <v>4350</v>
      </c>
      <c r="AM53" s="17" t="s">
        <v>4342</v>
      </c>
      <c r="AN53" s="17" t="s">
        <v>3937</v>
      </c>
      <c r="AO53" s="17" t="s">
        <v>3938</v>
      </c>
      <c r="AP53" s="17" t="s">
        <v>4242</v>
      </c>
      <c r="AQ53" s="17"/>
      <c r="AR53" s="17"/>
      <c r="AS53" s="14">
        <f>IFERROR((IF(SUMIFS(_REF_Model_Content!$J$1:$J$157,_REF_Model_Content!$A$1:$A$174,PV_Canonical_Industry,_REF_Model_Content!$B$1:$B$174,$B53)=0,1,SUMIFS(_REF_Model_Content!$J$1:$J$157,_REF_Model_Content!$A$1:$A$174,PV_Canonical_Industry,_REF_Model_Content!$B$1:$B$174,$B53))*IFERROR($CA53,1)),1)</f>
        <v>1</v>
      </c>
      <c r="AT53" s="14">
        <f t="shared" si="36"/>
        <v>1.34</v>
      </c>
      <c r="AU53" s="14">
        <f>IF($AT53="","",RANK($AT53,$AT$5:$AT$76,0)+COUNTIF($AT$5:AT53,$AT53)-1)</f>
        <v>58</v>
      </c>
      <c r="AV53" s="14">
        <f>IFERROR(INDEX(_DATA_Dashboard_Facts!$G$300:$G$316,MATCH($B53,_DATA_Dashboard_Facts!$A$300:$A$316,0)),"")</f>
        <v>0</v>
      </c>
      <c r="AW53" s="14" t="str">
        <f t="shared" si="37"/>
        <v>Relevance-neutral priority</v>
      </c>
      <c r="AX53">
        <f>IFERROR(INDEX('Action Plan &amp; Roadmap'!$D$59:$D$130,MATCH($A53,'Action Plan &amp; Roadmap'!$A$59:$A$130,0)),"")</f>
        <v>0</v>
      </c>
      <c r="AY53">
        <f t="shared" si="38"/>
        <v>0</v>
      </c>
      <c r="AZ53" t="s">
        <v>4343</v>
      </c>
      <c r="BA53">
        <f>IF($A53="","",COUNTIF(_DATA_RiskInitiativeMap!$A$1:$A$867,$A53))</f>
        <v>5</v>
      </c>
      <c r="BB53">
        <f>IF($A53="","",IFERROR(AVERAGEIF(_DATA_RiskInitiativeMap!$A$1:$A$867,$A53,_DATA_RiskInitiativeMap!$G$1:$G$867),0))</f>
        <v>18.41</v>
      </c>
      <c r="BC53">
        <f t="shared" si="39"/>
        <v>4.5999999999999996</v>
      </c>
      <c r="BD53">
        <f t="shared" si="40"/>
        <v>4.4587000000000003</v>
      </c>
      <c r="BI53" s="17" t="str">
        <f>IFERROR(_CONFIG_Model_Settings!$B$103,"Adaptive")</f>
        <v>Fragile</v>
      </c>
      <c r="BJ53" s="17">
        <f>IFERROR(INDEX(_CONFIG_Model_Settings!$B$109:$B$113,MATCH($BI53,_CONFIG_Model_Settings!$A$109:$A$113,0)),0.3)</f>
        <v>0.2</v>
      </c>
      <c r="BK53" s="17">
        <f>IFERROR(INDEX(_CONFIG_Model_Settings!$C$109:$C$113,MATCH($BI53,_CONFIG_Model_Settings!$A$109:$A$113,0)),0.2)</f>
        <v>0.3</v>
      </c>
      <c r="BL53" s="17">
        <f>IFERROR(INDEX(_CONFIG_Model_Settings!$D$109:$D$113,MATCH($BI53,_CONFIG_Model_Settings!$A$109:$A$113,0)),0.25)</f>
        <v>0.4</v>
      </c>
      <c r="BM53" s="17">
        <f>IFERROR(INDEX(_CONFIG_Model_Settings!$E$109:$E$113,MATCH($BI53,_CONFIG_Model_Settings!$A$109:$A$113,0)),0.25)</f>
        <v>0.1</v>
      </c>
      <c r="BN53" s="17">
        <f>IFERROR(INDEX(_CONFIG_Model_Settings!$B$117:$B$123,MATCH(_CONFIG_Model_Settings!$B$104,_CONFIG_Model_Settings!$A$117:$A$123,0)),1)</f>
        <v>1</v>
      </c>
      <c r="BO53" s="17">
        <f>IFERROR(INDEX(_CONFIG_Model_Settings!$C$117:$C$123,MATCH(_CONFIG_Model_Settings!$B$104,_CONFIG_Model_Settings!$A$117:$A$123,0)),1)</f>
        <v>1</v>
      </c>
      <c r="BP53" s="17">
        <f>IFERROR(INDEX(_CONFIG_Model_Settings!$D$117:$D$123,MATCH(_CONFIG_Model_Settings!$B$104,_CONFIG_Model_Settings!$A$117:$A$123,0)),1)</f>
        <v>1</v>
      </c>
      <c r="BQ53" s="17">
        <f>IFERROR(INDEX(_CONFIG_Model_Settings!$E$117:$E$123,MATCH(_CONFIG_Model_Settings!$B$104,_CONFIG_Model_Settings!$A$117:$A$123,0)),1)</f>
        <v>1</v>
      </c>
      <c r="BR53" s="17">
        <f>IF(OR($A53="",$P53=""),"",MIN(5,IFERROR(SUMIF(_DATA_RiskInitiativeMap!$A$1:$A$867,$A53,_DATA_RiskInitiativeMap!$K$1:$K$867)/MAX(1,_CONFIG_Model_Settings!$B$166),0)))</f>
        <v>5</v>
      </c>
      <c r="BS53" s="17">
        <f t="shared" si="41"/>
        <v>5.36</v>
      </c>
      <c r="BT53" s="17">
        <f t="shared" si="42"/>
        <v>4</v>
      </c>
      <c r="BU53" s="17">
        <f t="shared" si="43"/>
        <v>1.34</v>
      </c>
      <c r="BV53" s="17">
        <f>IF(OR($P53="",$BU53="",$AY53="Done",$AY53="Not applicable"),"",ROUND($BU53*N($AS53)*IF(OR('Resilience &amp; Risk Scenario'!$B$6="",'Resilience &amp; Risk Scenario'!$B$7&lt;=0),1,IFERROR(1+MIN(0.75,INDEX('Resilience &amp; Risk Scenario'!$E$21:$E$37,MATCH($B53,'Resilience &amp; Risk Scenario'!$B$21:$B$37,0))/10),1)),2))</f>
        <v>1.34</v>
      </c>
      <c r="BW53" s="17">
        <f>IF($BV53="","",RANK($BV53,$BV$5:$BV$76,0)+COUNTIF($BV$5:$BV53,$BV53)-1)</f>
        <v>58</v>
      </c>
      <c r="BX53" s="17" t="str">
        <f t="shared" si="44"/>
        <v>12+ months</v>
      </c>
      <c r="BY53" t="str">
        <f>IFERROR(IF($A53="","","P2: "&amp;$BI53&amp;" posture; objective="&amp;IF(_CONFIG_Model_Settings!$B$104="","Neutral/default",_CONFIG_Model_Settings!$B$104)&amp;"; relevance="&amp;ROUND(N($AS53),2)&amp;"; scenario/domain boost="&amp;ROUND(IF(OR('Resilience &amp; Risk Scenario'!$B$6="",'Resilience &amp; Risk Scenario'!$B$7&lt;=0),1,IFERROR(1+MIN(0.75,INDEX('Resilience &amp; Risk Scenario'!$E$21:$E$37,MATCH($B53,'Resilience &amp; Risk Scenario'!$B$21:$B$37,0))/10),1)),2)&amp;"; financial score="&amp;ROUND(N($BR53),1)&amp;"; CoD="&amp;$BS53&amp;IF($CL53&lt;&gt;"","; wording="&amp;$CL53,"")),"")</f>
        <v>P2: Fragile posture; objective=Neutral/default; relevance=1; scenario/domain boost=1; financial score=5; CoD=5.36; wording=Strengthen Identity / PAM</v>
      </c>
      <c r="BZ53" t="str">
        <f>IFERROR(INDEX(_REF_Capability_Bridge!$D:$D,MATCH($B53&amp;"|"&amp;$C53,_REF_Capability_Bridge!$J:$J,0)),IFERROR(INDEX(_REF_Capability_Bridge!$D:$D,MATCH($B53&amp;"|",_REF_Capability_Bridge!$J:$J,0)),"CAP_GENERIC"))</f>
        <v>CAP_IAM_PAM</v>
      </c>
      <c r="CA53">
        <f>IFERROR(IFERROR(INDEX(_ENGINE_Relevance!$L:$L,MATCH($BZ53,_ENGINE_Relevance!$B:$B,0)),1),1)</f>
        <v>1</v>
      </c>
      <c r="CB53" t="str">
        <f>IFERROR(INDEX(_REF_Capability_Bridge!$A:$A,MATCH($B53&amp;"|"&amp;$C53,_REF_Capability_Bridge!$J:$J,0)),IFERROR(INDEX(_REF_Capability_Bridge!$A:$A,MATCH($B53&amp;"|",_REF_Capability_Bridge!$J:$J,0)),"No bridge"))</f>
        <v>BRG-044</v>
      </c>
      <c r="CC53" t="str">
        <f t="shared" si="45"/>
        <v>Capability relevance neutral</v>
      </c>
      <c r="CD53" t="str">
        <f t="shared" si="46"/>
        <v>Initial / absent</v>
      </c>
      <c r="CE53" t="str">
        <f>IF($A53="","",IFERROR(INDEX(_REF_Treatment_Library!$A$2:$A$296,MATCH(1,INDEX((_REF_Treatment_Library!$B$2:$B$296=$BZ53)*(_REF_Treatment_Library!$C$2:$C$296=PV_Canonical_Industry)*(_REF_Treatment_Library!$E$2:$E$296&lt;=N($N53))*(_REF_Treatment_Library!$F$2:$F$296&gt;=N($N53))*(_REF_Treatment_Library!$O$2:$O$296="Yes"),0),0)),IFERROR(INDEX(_REF_Treatment_Library!$A$2:$A$296,MATCH(1,INDEX((_REF_Treatment_Library!$B$2:$B$296=$BZ53)*(_REF_Treatment_Library!$C$2:$C$296="All")*(_REF_Treatment_Library!$E$2:$E$296&lt;=N($N53))*(_REF_Treatment_Library!$F$2:$F$296&gt;=N($N53))*(_REF_Treatment_Library!$O$2:$O$296="Yes"),0),0)),"")))</f>
        <v>TRT-IAM_PAM-INITIAL</v>
      </c>
      <c r="CF53" t="str">
        <f>IF($CE53="","",IFERROR(INDEX(_REF_Treatment_Library!$H$2:$H$296,MATCH($CE53,_REF_Treatment_Library!$A$2:$A$296,0)),""))</f>
        <v>Establish</v>
      </c>
      <c r="CG53" t="str">
        <f>IF($CE53="","",IFERROR(INDEX(_REF_Treatment_Library!$I$2:$I$296,MATCH($CE53,_REF_Treatment_Library!$A$2:$A$296,0)),""))</f>
        <v>Establish baseline controls for Identity / PAM</v>
      </c>
      <c r="CH53" t="str">
        <f>IF($CE53="","",IFERROR(INDEX(_REF_Treatment_Library!$K$2:$K$296,MATCH($CE53,_REF_Treatment_Library!$A$2:$A$296,0)),""))</f>
        <v>Named owner, baseline process, minimum control checklist, first evidence package</v>
      </c>
      <c r="CI53" t="str">
        <f>IF($CE53="","",IFERROR(INDEX(_REF_Treatment_Library!$L$2:$L$296,MATCH($CE53,_REF_Treatment_Library!$A$2:$A$296,0)),""))</f>
        <v>Owner assigned; baseline evidence coverage; open critical gaps</v>
      </c>
      <c r="CJ53" t="str">
        <f t="shared" si="47"/>
        <v>Treatment by capability=CAP_IAM_PAM; band=Initial / absent; score=0.0; treatment=Establish</v>
      </c>
      <c r="CK53" t="str">
        <f>IF($A53="","",IFERROR(INDEX(_REF_Industry_Wording!$A$2:$A$70,MATCH(1,INDEX((_REF_Industry_Wording!$B$2:$B$70=$BZ53)*(_REF_Industry_Wording!$C$2:$C$70=PV_Canonical_Industry)*(_REF_Industry_Wording!$K$2:$K$70="Yes"),0),0)),IFERROR(INDEX(_REF_Industry_Wording!$A$2:$A$70,MATCH(1,INDEX((_REF_Industry_Wording!$B$2:$B$70=$BZ53)*(_REF_Industry_Wording!$C$2:$C$70="All")*(_REF_Industry_Wording!$K$2:$K$70="Yes"),0),0)),"")))</f>
        <v>IW-ALL-IAM_PAM</v>
      </c>
      <c r="CL53" t="str">
        <f>IF($CK53="","",IFERROR(INDEX(_REF_Industry_Wording!$F$2:$F$70,MATCH($CK53,_REF_Industry_Wording!$A$2:$A$70,0)),""))</f>
        <v>Strengthen Identity / PAM</v>
      </c>
      <c r="CM53" t="str">
        <f>IF($CK53="","",IFERROR(INDEX(_REF_Industry_Wording!$G$2:$G$70,MATCH($CK53,_REF_Industry_Wording!$A$2:$A$70,0)),""))</f>
        <v>Strengthen Identity / PAM using the selected maturity treatment, crisis scenario and evidence requirements.</v>
      </c>
      <c r="CN53" t="str">
        <f>IF($CK53="","",IFERROR(INDEX(_REF_Industry_Wording!$H$2:$H$70,MATCH($CK53,_REF_Industry_Wording!$A$2:$A$70,0)),""))</f>
        <v>Identity / PAM</v>
      </c>
      <c r="CO53">
        <f>IF($CK53="","",IFERROR(INDEX(_REF_Industry_Wording!$I$2:$I$70,MATCH($CK53,_REF_Industry_Wording!$A$2:$A$70,0)),""))</f>
        <v>0</v>
      </c>
      <c r="CP53" t="str">
        <f>IF($CK53="","",IFERROR(INDEX(_REF_Industry_Wording!$J$2:$J$70,MATCH($CK53,_REF_Industry_Wording!$A$2:$A$70,0)),""))</f>
        <v>Identity / PAM</v>
      </c>
      <c r="CQ53" t="str">
        <f t="shared" si="48"/>
        <v>Wording by industry=0; capability=CAP_IAM_PAM; title=Strengthen Identity / PAM</v>
      </c>
      <c r="CR53" t="str">
        <f t="shared" si="49"/>
        <v>INIT-ONT-0049</v>
      </c>
      <c r="CS53">
        <f t="shared" si="50"/>
        <v>53</v>
      </c>
      <c r="CT53" t="str">
        <f t="shared" si="51"/>
        <v>CAP_IAM_PAM</v>
      </c>
      <c r="CU53" t="str">
        <f t="shared" si="52"/>
        <v>INI-049|IT Cloud DR|Cloud usage|CAP_IAM_PAM</v>
      </c>
      <c r="CV53" t="str">
        <f t="shared" si="53"/>
        <v>Active</v>
      </c>
      <c r="CW53" t="str">
        <f t="shared" si="54"/>
        <v>OK: capability-driven</v>
      </c>
      <c r="CX53" t="str">
        <f t="shared" si="55"/>
        <v>Initiative ontology uses capability=CAP_IAM_PAM; bridge=BRG-044; treatment=TRT-IAM_PAM-INITIAL; wording=IW-ALL-IAM_PAM</v>
      </c>
    </row>
    <row r="54" spans="1:102" ht="42" customHeight="1">
      <c r="A54" s="17" t="s">
        <v>4351</v>
      </c>
      <c r="B54" s="17" t="s">
        <v>2588</v>
      </c>
      <c r="C54" s="17" t="s">
        <v>2609</v>
      </c>
      <c r="D54" s="17" t="s">
        <v>4329</v>
      </c>
      <c r="E54" s="17" t="s">
        <v>4330</v>
      </c>
      <c r="F54" s="17" t="s">
        <v>4352</v>
      </c>
      <c r="G54" s="17" t="s">
        <v>4353</v>
      </c>
      <c r="H54" s="17" t="s">
        <v>4333</v>
      </c>
      <c r="I54" s="17" t="s">
        <v>4334</v>
      </c>
      <c r="J54" s="17" t="s">
        <v>4354</v>
      </c>
      <c r="K54" s="17">
        <v>6</v>
      </c>
      <c r="L54" s="17">
        <f>IF($A54="","",COUNTIFS(_DATA_RiskInitiativeMap!$A$444:$A$867,$A54,_DATA_RiskInitiativeMap!$G$444:$G$867,"&gt;0"))</f>
        <v>6</v>
      </c>
      <c r="M54" s="17">
        <f>IF($A54="","",COUNTIFS(_DATA_RiskInitiativeMap!$A$444:$A$867,$A54,_DATA_RiskInitiativeMap!$G$444:$G$867,"&gt;0"))</f>
        <v>6</v>
      </c>
      <c r="N54" s="17">
        <f>IFERROR(AVERAGEIFS(_DATA_Assessment_Model!$H$5:$H$428,_DATA_Assessment_Model!$AW$5:$AW$428,$B54,_DATA_Assessment_Model!$B$5:$B$428,$C54),"")</f>
        <v>0</v>
      </c>
      <c r="O54" s="17">
        <f t="shared" si="28"/>
        <v>5</v>
      </c>
      <c r="P54" s="17">
        <f>IFERROR(INDEX(_DATA_Dashboard_Facts!$H$5:$H$21,MATCH($B54,_DATA_Dashboard_Facts!$A$5:$A$21,0)),"")</f>
        <v>0</v>
      </c>
      <c r="Q54" s="17">
        <f t="shared" si="29"/>
        <v>5</v>
      </c>
      <c r="R54" s="17">
        <f>IF(OR('Resilience &amp; Risk Scenario'!$B$6="",'Resilience &amp; Risk Scenario'!$B$7&lt;=0),1,IFERROR(IF(SUMIFS(_ENGINE_Crisis!$D$5:$D$208,_ENGINE_Crisis!$A$5:$A$208,'Resilience &amp; Risk Scenario'!$B$6,_ENGINE_Crisis!$B$5:$B$208,$B54)=0,1,SUMIFS(_ENGINE_Crisis!$D$5:$D$208,_ENGINE_Crisis!$A$5:$A$208,'Resilience &amp; Risk Scenario'!$B$6,_ENGINE_Crisis!$B$5:$B$208,$B54)),1))</f>
        <v>1</v>
      </c>
      <c r="S54" s="17">
        <f>IFERROR(INDEX(_ENGINE_Strategy!$A$100:$A$113,MATCH($D54,_ENGINE_Strategy!$B$100:$B$113,0)),99)</f>
        <v>1</v>
      </c>
      <c r="T54" s="17">
        <f>IFERROR(INDEX(_ENGINE_Strategy!$J$100:$J$113,MATCH($D54,_ENGINE_Strategy!$B$100:$B$113,0)),0)</f>
        <v>71</v>
      </c>
      <c r="U54" s="17">
        <v>5</v>
      </c>
      <c r="V54" s="17">
        <v>5</v>
      </c>
      <c r="W54" s="17">
        <v>3</v>
      </c>
      <c r="X54" s="17">
        <f t="shared" si="30"/>
        <v>4.6375000000000002</v>
      </c>
      <c r="Y54" s="17">
        <f>IF($P54="","",MAX(1,MIN(5,1+N($O54)*0.45+MIN(2,N($M54)*0.3)+($R54-1)*1.2+IF('Resilience &amp; Risk Scenario'!$B$7="",1,'Resilience &amp; Risk Scenario'!$B$7)*0.25)))</f>
        <v>5</v>
      </c>
      <c r="Z54" s="17">
        <f t="shared" si="31"/>
        <v>5</v>
      </c>
      <c r="AA54" s="17">
        <f t="shared" si="32"/>
        <v>3.9649999999999999</v>
      </c>
      <c r="AB54" s="17">
        <v>4</v>
      </c>
      <c r="AC54" s="17">
        <f t="shared" si="33"/>
        <v>1.34</v>
      </c>
      <c r="AD54" s="17">
        <f t="shared" si="34"/>
        <v>59</v>
      </c>
      <c r="AE54" s="17" t="str">
        <f t="shared" si="35"/>
        <v>12+ months</v>
      </c>
      <c r="AF54" s="17" t="s">
        <v>4336</v>
      </c>
      <c r="AG54" s="17" t="s">
        <v>3502</v>
      </c>
      <c r="AH54" s="17" t="s">
        <v>4337</v>
      </c>
      <c r="AI54" s="17" t="s">
        <v>4338</v>
      </c>
      <c r="AJ54" s="17" t="s">
        <v>4355</v>
      </c>
      <c r="AK54" s="17" t="s">
        <v>4356</v>
      </c>
      <c r="AL54" s="17" t="s">
        <v>4357</v>
      </c>
      <c r="AM54" s="17" t="s">
        <v>4342</v>
      </c>
      <c r="AN54" s="17" t="s">
        <v>3937</v>
      </c>
      <c r="AO54" s="17" t="s">
        <v>3938</v>
      </c>
      <c r="AP54" s="17" t="s">
        <v>4242</v>
      </c>
      <c r="AQ54" s="17"/>
      <c r="AR54" s="17"/>
      <c r="AS54" s="14">
        <f>IFERROR((IF(SUMIFS(_REF_Model_Content!$J$1:$J$157,_REF_Model_Content!$A$1:$A$174,PV_Canonical_Industry,_REF_Model_Content!$B$1:$B$174,$B54)=0,1,SUMIFS(_REF_Model_Content!$J$1:$J$157,_REF_Model_Content!$A$1:$A$174,PV_Canonical_Industry,_REF_Model_Content!$B$1:$B$174,$B54))*IFERROR($CA54,1)),1)</f>
        <v>1</v>
      </c>
      <c r="AT54" s="14">
        <f t="shared" si="36"/>
        <v>1.34</v>
      </c>
      <c r="AU54" s="14">
        <f>IF($AT54="","",RANK($AT54,$AT$5:$AT$76,0)+COUNTIF($AT$5:AT54,$AT54)-1)</f>
        <v>59</v>
      </c>
      <c r="AV54" s="14">
        <f>IFERROR(INDEX(_DATA_Dashboard_Facts!$G$300:$G$316,MATCH($B54,_DATA_Dashboard_Facts!$A$300:$A$316,0)),"")</f>
        <v>0</v>
      </c>
      <c r="AW54" s="14" t="str">
        <f t="shared" si="37"/>
        <v>Relevance-neutral priority</v>
      </c>
      <c r="AX54">
        <f>IFERROR(INDEX('Action Plan &amp; Roadmap'!$D$59:$D$130,MATCH($A54,'Action Plan &amp; Roadmap'!$A$59:$A$130,0)),"")</f>
        <v>0</v>
      </c>
      <c r="AY54">
        <f t="shared" si="38"/>
        <v>0</v>
      </c>
      <c r="AZ54" t="s">
        <v>4343</v>
      </c>
      <c r="BA54">
        <f>IF($A54="","",COUNTIF(_DATA_RiskInitiativeMap!$A$1:$A$867,$A54))</f>
        <v>6</v>
      </c>
      <c r="BB54">
        <f>IF($A54="","",IFERROR(AVERAGEIF(_DATA_RiskInitiativeMap!$A$1:$A$867,$A54,_DATA_RiskInitiativeMap!$G$1:$G$867),0))</f>
        <v>18.41</v>
      </c>
      <c r="BC54">
        <f t="shared" si="39"/>
        <v>4.5999999999999996</v>
      </c>
      <c r="BD54">
        <f t="shared" si="40"/>
        <v>4.4587000000000003</v>
      </c>
      <c r="BI54" s="17" t="str">
        <f>IFERROR(_CONFIG_Model_Settings!$B$103,"Adaptive")</f>
        <v>Fragile</v>
      </c>
      <c r="BJ54" s="17">
        <f>IFERROR(INDEX(_CONFIG_Model_Settings!$B$109:$B$113,MATCH($BI54,_CONFIG_Model_Settings!$A$109:$A$113,0)),0.3)</f>
        <v>0.2</v>
      </c>
      <c r="BK54" s="17">
        <f>IFERROR(INDEX(_CONFIG_Model_Settings!$C$109:$C$113,MATCH($BI54,_CONFIG_Model_Settings!$A$109:$A$113,0)),0.2)</f>
        <v>0.3</v>
      </c>
      <c r="BL54" s="17">
        <f>IFERROR(INDEX(_CONFIG_Model_Settings!$D$109:$D$113,MATCH($BI54,_CONFIG_Model_Settings!$A$109:$A$113,0)),0.25)</f>
        <v>0.4</v>
      </c>
      <c r="BM54" s="17">
        <f>IFERROR(INDEX(_CONFIG_Model_Settings!$E$109:$E$113,MATCH($BI54,_CONFIG_Model_Settings!$A$109:$A$113,0)),0.25)</f>
        <v>0.1</v>
      </c>
      <c r="BN54" s="17">
        <f>IFERROR(INDEX(_CONFIG_Model_Settings!$B$117:$B$123,MATCH(_CONFIG_Model_Settings!$B$104,_CONFIG_Model_Settings!$A$117:$A$123,0)),1)</f>
        <v>1</v>
      </c>
      <c r="BO54" s="17">
        <f>IFERROR(INDEX(_CONFIG_Model_Settings!$C$117:$C$123,MATCH(_CONFIG_Model_Settings!$B$104,_CONFIG_Model_Settings!$A$117:$A$123,0)),1)</f>
        <v>1</v>
      </c>
      <c r="BP54" s="17">
        <f>IFERROR(INDEX(_CONFIG_Model_Settings!$D$117:$D$123,MATCH(_CONFIG_Model_Settings!$B$104,_CONFIG_Model_Settings!$A$117:$A$123,0)),1)</f>
        <v>1</v>
      </c>
      <c r="BQ54" s="17">
        <f>IFERROR(INDEX(_CONFIG_Model_Settings!$E$117:$E$123,MATCH(_CONFIG_Model_Settings!$B$104,_CONFIG_Model_Settings!$A$117:$A$123,0)),1)</f>
        <v>1</v>
      </c>
      <c r="BR54" s="17">
        <f>IF(OR($A54="",$P54=""),"",MIN(5,IFERROR(SUMIF(_DATA_RiskInitiativeMap!$A$1:$A$867,$A54,_DATA_RiskInitiativeMap!$K$1:$K$867)/MAX(1,_CONFIG_Model_Settings!$B$166),0)))</f>
        <v>5</v>
      </c>
      <c r="BS54" s="17">
        <f t="shared" si="41"/>
        <v>5.36</v>
      </c>
      <c r="BT54" s="17">
        <f t="shared" si="42"/>
        <v>4</v>
      </c>
      <c r="BU54" s="17">
        <f t="shared" si="43"/>
        <v>1.34</v>
      </c>
      <c r="BV54" s="17">
        <f>IF(OR($P54="",$BU54="",$AY54="Done",$AY54="Not applicable"),"",ROUND($BU54*N($AS54)*IF(OR('Resilience &amp; Risk Scenario'!$B$6="",'Resilience &amp; Risk Scenario'!$B$7&lt;=0),1,IFERROR(1+MIN(0.75,INDEX('Resilience &amp; Risk Scenario'!$E$21:$E$37,MATCH($B54,'Resilience &amp; Risk Scenario'!$B$21:$B$37,0))/10),1)),2))</f>
        <v>1.34</v>
      </c>
      <c r="BW54" s="17">
        <f>IF($BV54="","",RANK($BV54,$BV$5:$BV$76,0)+COUNTIF($BV$5:$BV54,$BV54)-1)</f>
        <v>59</v>
      </c>
      <c r="BX54" s="17" t="str">
        <f t="shared" si="44"/>
        <v>12+ months</v>
      </c>
      <c r="BY54" t="str">
        <f>IFERROR(IF($A54="","","P2: "&amp;$BI54&amp;" posture; objective="&amp;IF(_CONFIG_Model_Settings!$B$104="","Neutral/default",_CONFIG_Model_Settings!$B$104)&amp;"; relevance="&amp;ROUND(N($AS54),2)&amp;"; scenario/domain boost="&amp;ROUND(IF(OR('Resilience &amp; Risk Scenario'!$B$6="",'Resilience &amp; Risk Scenario'!$B$7&lt;=0),1,IFERROR(1+MIN(0.75,INDEX('Resilience &amp; Risk Scenario'!$E$21:$E$37,MATCH($B54,'Resilience &amp; Risk Scenario'!$B$21:$B$37,0))/10),1)),2)&amp;"; financial score="&amp;ROUND(N($BR54),1)&amp;"; CoD="&amp;$BS54&amp;IF($CL54&lt;&gt;"","; wording="&amp;$CL54,"")),"")</f>
        <v>P2: Fragile posture; objective=Neutral/default; relevance=1; scenario/domain boost=1; financial score=5; CoD=5.36; wording=Strengthen Identity / PAM</v>
      </c>
      <c r="BZ54" t="str">
        <f>IFERROR(INDEX(_REF_Capability_Bridge!$D:$D,MATCH($B54&amp;"|"&amp;$C54,_REF_Capability_Bridge!$J:$J,0)),IFERROR(INDEX(_REF_Capability_Bridge!$D:$D,MATCH($B54&amp;"|",_REF_Capability_Bridge!$J:$J,0)),"CAP_GENERIC"))</f>
        <v>CAP_IAM_PAM</v>
      </c>
      <c r="CA54">
        <f>IFERROR(IFERROR(INDEX(_ENGINE_Relevance!$L:$L,MATCH($BZ54,_ENGINE_Relevance!$B:$B,0)),1),1)</f>
        <v>1</v>
      </c>
      <c r="CB54" t="str">
        <f>IFERROR(INDEX(_REF_Capability_Bridge!$A:$A,MATCH($B54&amp;"|"&amp;$C54,_REF_Capability_Bridge!$J:$J,0)),IFERROR(INDEX(_REF_Capability_Bridge!$A:$A,MATCH($B54&amp;"|",_REF_Capability_Bridge!$J:$J,0)),"No bridge"))</f>
        <v>BRG-047</v>
      </c>
      <c r="CC54" t="str">
        <f t="shared" si="45"/>
        <v>Capability relevance neutral</v>
      </c>
      <c r="CD54" t="str">
        <f t="shared" si="46"/>
        <v>Initial / absent</v>
      </c>
      <c r="CE54" t="str">
        <f>IF($A54="","",IFERROR(INDEX(_REF_Treatment_Library!$A$2:$A$296,MATCH(1,INDEX((_REF_Treatment_Library!$B$2:$B$296=$BZ54)*(_REF_Treatment_Library!$C$2:$C$296=PV_Canonical_Industry)*(_REF_Treatment_Library!$E$2:$E$296&lt;=N($N54))*(_REF_Treatment_Library!$F$2:$F$296&gt;=N($N54))*(_REF_Treatment_Library!$O$2:$O$296="Yes"),0),0)),IFERROR(INDEX(_REF_Treatment_Library!$A$2:$A$296,MATCH(1,INDEX((_REF_Treatment_Library!$B$2:$B$296=$BZ54)*(_REF_Treatment_Library!$C$2:$C$296="All")*(_REF_Treatment_Library!$E$2:$E$296&lt;=N($N54))*(_REF_Treatment_Library!$F$2:$F$296&gt;=N($N54))*(_REF_Treatment_Library!$O$2:$O$296="Yes"),0),0)),"")))</f>
        <v>TRT-IAM_PAM-INITIAL</v>
      </c>
      <c r="CF54" t="str">
        <f>IF($CE54="","",IFERROR(INDEX(_REF_Treatment_Library!$H$2:$H$296,MATCH($CE54,_REF_Treatment_Library!$A$2:$A$296,0)),""))</f>
        <v>Establish</v>
      </c>
      <c r="CG54" t="str">
        <f>IF($CE54="","",IFERROR(INDEX(_REF_Treatment_Library!$I$2:$I$296,MATCH($CE54,_REF_Treatment_Library!$A$2:$A$296,0)),""))</f>
        <v>Establish baseline controls for Identity / PAM</v>
      </c>
      <c r="CH54" t="str">
        <f>IF($CE54="","",IFERROR(INDEX(_REF_Treatment_Library!$K$2:$K$296,MATCH($CE54,_REF_Treatment_Library!$A$2:$A$296,0)),""))</f>
        <v>Named owner, baseline process, minimum control checklist, first evidence package</v>
      </c>
      <c r="CI54" t="str">
        <f>IF($CE54="","",IFERROR(INDEX(_REF_Treatment_Library!$L$2:$L$296,MATCH($CE54,_REF_Treatment_Library!$A$2:$A$296,0)),""))</f>
        <v>Owner assigned; baseline evidence coverage; open critical gaps</v>
      </c>
      <c r="CJ54" t="str">
        <f t="shared" si="47"/>
        <v>Treatment by capability=CAP_IAM_PAM; band=Initial / absent; score=0.0; treatment=Establish</v>
      </c>
      <c r="CK54" t="str">
        <f>IF($A54="","",IFERROR(INDEX(_REF_Industry_Wording!$A$2:$A$70,MATCH(1,INDEX((_REF_Industry_Wording!$B$2:$B$70=$BZ54)*(_REF_Industry_Wording!$C$2:$C$70=PV_Canonical_Industry)*(_REF_Industry_Wording!$K$2:$K$70="Yes"),0),0)),IFERROR(INDEX(_REF_Industry_Wording!$A$2:$A$70,MATCH(1,INDEX((_REF_Industry_Wording!$B$2:$B$70=$BZ54)*(_REF_Industry_Wording!$C$2:$C$70="All")*(_REF_Industry_Wording!$K$2:$K$70="Yes"),0),0)),"")))</f>
        <v>IW-ALL-IAM_PAM</v>
      </c>
      <c r="CL54" t="str">
        <f>IF($CK54="","",IFERROR(INDEX(_REF_Industry_Wording!$F$2:$F$70,MATCH($CK54,_REF_Industry_Wording!$A$2:$A$70,0)),""))</f>
        <v>Strengthen Identity / PAM</v>
      </c>
      <c r="CM54" t="str">
        <f>IF($CK54="","",IFERROR(INDEX(_REF_Industry_Wording!$G$2:$G$70,MATCH($CK54,_REF_Industry_Wording!$A$2:$A$70,0)),""))</f>
        <v>Strengthen Identity / PAM using the selected maturity treatment, crisis scenario and evidence requirements.</v>
      </c>
      <c r="CN54" t="str">
        <f>IF($CK54="","",IFERROR(INDEX(_REF_Industry_Wording!$H$2:$H$70,MATCH($CK54,_REF_Industry_Wording!$A$2:$A$70,0)),""))</f>
        <v>Identity / PAM</v>
      </c>
      <c r="CO54">
        <f>IF($CK54="","",IFERROR(INDEX(_REF_Industry_Wording!$I$2:$I$70,MATCH($CK54,_REF_Industry_Wording!$A$2:$A$70,0)),""))</f>
        <v>0</v>
      </c>
      <c r="CP54" t="str">
        <f>IF($CK54="","",IFERROR(INDEX(_REF_Industry_Wording!$J$2:$J$70,MATCH($CK54,_REF_Industry_Wording!$A$2:$A$70,0)),""))</f>
        <v>Identity / PAM</v>
      </c>
      <c r="CQ54" t="str">
        <f t="shared" si="48"/>
        <v>Wording by industry=0; capability=CAP_IAM_PAM; title=Strengthen Identity / PAM</v>
      </c>
      <c r="CR54" t="str">
        <f t="shared" si="49"/>
        <v>INIT-ONT-0050</v>
      </c>
      <c r="CS54">
        <f t="shared" si="50"/>
        <v>54</v>
      </c>
      <c r="CT54" t="str">
        <f t="shared" si="51"/>
        <v>CAP_IAM_PAM</v>
      </c>
      <c r="CU54" t="str">
        <f t="shared" si="52"/>
        <v>INI-050|IT Cloud DR|Resilience and DR|CAP_IAM_PAM</v>
      </c>
      <c r="CV54" t="str">
        <f t="shared" si="53"/>
        <v>Active</v>
      </c>
      <c r="CW54" t="str">
        <f t="shared" si="54"/>
        <v>OK: capability-driven</v>
      </c>
      <c r="CX54" t="str">
        <f t="shared" si="55"/>
        <v>Initiative ontology uses capability=CAP_IAM_PAM; bridge=BRG-047; treatment=TRT-IAM_PAM-INITIAL; wording=IW-ALL-IAM_PAM</v>
      </c>
    </row>
    <row r="55" spans="1:102" ht="42" customHeight="1">
      <c r="A55" s="17" t="s">
        <v>4358</v>
      </c>
      <c r="B55" s="17" t="s">
        <v>2588</v>
      </c>
      <c r="C55" s="17" t="s">
        <v>2613</v>
      </c>
      <c r="D55" s="17" t="s">
        <v>4329</v>
      </c>
      <c r="E55" s="17" t="s">
        <v>4330</v>
      </c>
      <c r="F55" s="17" t="s">
        <v>4359</v>
      </c>
      <c r="G55" s="17" t="s">
        <v>4360</v>
      </c>
      <c r="H55" s="17" t="s">
        <v>4333</v>
      </c>
      <c r="I55" s="17" t="s">
        <v>4334</v>
      </c>
      <c r="J55" s="17" t="s">
        <v>4361</v>
      </c>
      <c r="K55" s="17">
        <v>6</v>
      </c>
      <c r="L55" s="17">
        <f>IF($A55="","",COUNTIFS(_DATA_RiskInitiativeMap!$A$444:$A$867,$A55,_DATA_RiskInitiativeMap!$G$444:$G$867,"&gt;0"))</f>
        <v>6</v>
      </c>
      <c r="M55" s="17">
        <f>IF($A55="","",COUNTIFS(_DATA_RiskInitiativeMap!$A$444:$A$867,$A55,_DATA_RiskInitiativeMap!$G$444:$G$867,"&gt;0"))</f>
        <v>6</v>
      </c>
      <c r="N55" s="17">
        <f>IFERROR(AVERAGEIFS(_DATA_Assessment_Model!$H$5:$H$428,_DATA_Assessment_Model!$AW$5:$AW$428,$B55,_DATA_Assessment_Model!$B$5:$B$428,$C55),"")</f>
        <v>0</v>
      </c>
      <c r="O55" s="17">
        <f t="shared" si="28"/>
        <v>5</v>
      </c>
      <c r="P55" s="17">
        <f>IFERROR(INDEX(_DATA_Dashboard_Facts!$H$5:$H$21,MATCH($B55,_DATA_Dashboard_Facts!$A$5:$A$21,0)),"")</f>
        <v>0</v>
      </c>
      <c r="Q55" s="17">
        <f t="shared" si="29"/>
        <v>5</v>
      </c>
      <c r="R55" s="17">
        <f>IF(OR('Resilience &amp; Risk Scenario'!$B$6="",'Resilience &amp; Risk Scenario'!$B$7&lt;=0),1,IFERROR(IF(SUMIFS(_ENGINE_Crisis!$D$5:$D$208,_ENGINE_Crisis!$A$5:$A$208,'Resilience &amp; Risk Scenario'!$B$6,_ENGINE_Crisis!$B$5:$B$208,$B55)=0,1,SUMIFS(_ENGINE_Crisis!$D$5:$D$208,_ENGINE_Crisis!$A$5:$A$208,'Resilience &amp; Risk Scenario'!$B$6,_ENGINE_Crisis!$B$5:$B$208,$B55)),1))</f>
        <v>1</v>
      </c>
      <c r="S55" s="17">
        <f>IFERROR(INDEX(_ENGINE_Strategy!$A$100:$A$113,MATCH($D55,_ENGINE_Strategy!$B$100:$B$113,0)),99)</f>
        <v>1</v>
      </c>
      <c r="T55" s="17">
        <f>IFERROR(INDEX(_ENGINE_Strategy!$J$100:$J$113,MATCH($D55,_ENGINE_Strategy!$B$100:$B$113,0)),0)</f>
        <v>71</v>
      </c>
      <c r="U55" s="17">
        <v>5</v>
      </c>
      <c r="V55" s="17">
        <v>5</v>
      </c>
      <c r="W55" s="17">
        <v>3</v>
      </c>
      <c r="X55" s="17">
        <f t="shared" si="30"/>
        <v>4.6375000000000002</v>
      </c>
      <c r="Y55" s="17">
        <f>IF($P55="","",MAX(1,MIN(5,1+N($O55)*0.45+MIN(2,N($M55)*0.3)+($R55-1)*1.2+IF('Resilience &amp; Risk Scenario'!$B$7="",1,'Resilience &amp; Risk Scenario'!$B$7)*0.25)))</f>
        <v>5</v>
      </c>
      <c r="Z55" s="17">
        <f t="shared" si="31"/>
        <v>5</v>
      </c>
      <c r="AA55" s="17">
        <f t="shared" si="32"/>
        <v>3.9649999999999999</v>
      </c>
      <c r="AB55" s="17">
        <v>4</v>
      </c>
      <c r="AC55" s="17">
        <f t="shared" si="33"/>
        <v>1.34</v>
      </c>
      <c r="AD55" s="17">
        <f t="shared" si="34"/>
        <v>60</v>
      </c>
      <c r="AE55" s="17" t="str">
        <f t="shared" si="35"/>
        <v>12+ months</v>
      </c>
      <c r="AF55" s="17" t="s">
        <v>4336</v>
      </c>
      <c r="AG55" s="17" t="s">
        <v>3502</v>
      </c>
      <c r="AH55" s="17" t="s">
        <v>4337</v>
      </c>
      <c r="AI55" s="17" t="s">
        <v>4338</v>
      </c>
      <c r="AJ55" s="17" t="s">
        <v>4362</v>
      </c>
      <c r="AK55" s="17" t="s">
        <v>4363</v>
      </c>
      <c r="AL55" s="17" t="s">
        <v>4364</v>
      </c>
      <c r="AM55" s="17" t="s">
        <v>4342</v>
      </c>
      <c r="AN55" s="17" t="s">
        <v>3937</v>
      </c>
      <c r="AO55" s="17" t="s">
        <v>3938</v>
      </c>
      <c r="AP55" s="17" t="s">
        <v>4242</v>
      </c>
      <c r="AQ55" s="17"/>
      <c r="AR55" s="17"/>
      <c r="AS55" s="14">
        <f>IFERROR((IF(SUMIFS(_REF_Model_Content!$J$1:$J$157,_REF_Model_Content!$A$1:$A$174,PV_Canonical_Industry,_REF_Model_Content!$B$1:$B$174,$B55)=0,1,SUMIFS(_REF_Model_Content!$J$1:$J$157,_REF_Model_Content!$A$1:$A$174,PV_Canonical_Industry,_REF_Model_Content!$B$1:$B$174,$B55))*IFERROR($CA55,1)),1)</f>
        <v>1</v>
      </c>
      <c r="AT55" s="14">
        <f t="shared" si="36"/>
        <v>1.34</v>
      </c>
      <c r="AU55" s="14">
        <f>IF($AT55="","",RANK($AT55,$AT$5:$AT$76,0)+COUNTIF($AT$5:AT55,$AT55)-1)</f>
        <v>60</v>
      </c>
      <c r="AV55" s="14">
        <f>IFERROR(INDEX(_DATA_Dashboard_Facts!$G$300:$G$316,MATCH($B55,_DATA_Dashboard_Facts!$A$300:$A$316,0)),"")</f>
        <v>0</v>
      </c>
      <c r="AW55" s="14" t="str">
        <f t="shared" si="37"/>
        <v>Relevance-neutral priority</v>
      </c>
      <c r="AX55">
        <f>IFERROR(INDEX('Action Plan &amp; Roadmap'!$D$59:$D$130,MATCH($A55,'Action Plan &amp; Roadmap'!$A$59:$A$130,0)),"")</f>
        <v>0</v>
      </c>
      <c r="AY55">
        <f t="shared" si="38"/>
        <v>0</v>
      </c>
      <c r="AZ55" t="s">
        <v>4343</v>
      </c>
      <c r="BA55">
        <f>IF($A55="","",COUNTIF(_DATA_RiskInitiativeMap!$A$1:$A$867,$A55))</f>
        <v>6</v>
      </c>
      <c r="BB55">
        <f>IF($A55="","",IFERROR(AVERAGEIF(_DATA_RiskInitiativeMap!$A$1:$A$867,$A55,_DATA_RiskInitiativeMap!$G$1:$G$867),0))</f>
        <v>17.883333333333329</v>
      </c>
      <c r="BC55">
        <f t="shared" si="39"/>
        <v>4.5999999999999996</v>
      </c>
      <c r="BD55">
        <f t="shared" si="40"/>
        <v>4.4218333333333328</v>
      </c>
      <c r="BI55" s="17" t="str">
        <f>IFERROR(_CONFIG_Model_Settings!$B$103,"Adaptive")</f>
        <v>Fragile</v>
      </c>
      <c r="BJ55" s="17">
        <f>IFERROR(INDEX(_CONFIG_Model_Settings!$B$109:$B$113,MATCH($BI55,_CONFIG_Model_Settings!$A$109:$A$113,0)),0.3)</f>
        <v>0.2</v>
      </c>
      <c r="BK55" s="17">
        <f>IFERROR(INDEX(_CONFIG_Model_Settings!$C$109:$C$113,MATCH($BI55,_CONFIG_Model_Settings!$A$109:$A$113,0)),0.2)</f>
        <v>0.3</v>
      </c>
      <c r="BL55" s="17">
        <f>IFERROR(INDEX(_CONFIG_Model_Settings!$D$109:$D$113,MATCH($BI55,_CONFIG_Model_Settings!$A$109:$A$113,0)),0.25)</f>
        <v>0.4</v>
      </c>
      <c r="BM55" s="17">
        <f>IFERROR(INDEX(_CONFIG_Model_Settings!$E$109:$E$113,MATCH($BI55,_CONFIG_Model_Settings!$A$109:$A$113,0)),0.25)</f>
        <v>0.1</v>
      </c>
      <c r="BN55" s="17">
        <f>IFERROR(INDEX(_CONFIG_Model_Settings!$B$117:$B$123,MATCH(_CONFIG_Model_Settings!$B$104,_CONFIG_Model_Settings!$A$117:$A$123,0)),1)</f>
        <v>1</v>
      </c>
      <c r="BO55" s="17">
        <f>IFERROR(INDEX(_CONFIG_Model_Settings!$C$117:$C$123,MATCH(_CONFIG_Model_Settings!$B$104,_CONFIG_Model_Settings!$A$117:$A$123,0)),1)</f>
        <v>1</v>
      </c>
      <c r="BP55" s="17">
        <f>IFERROR(INDEX(_CONFIG_Model_Settings!$D$117:$D$123,MATCH(_CONFIG_Model_Settings!$B$104,_CONFIG_Model_Settings!$A$117:$A$123,0)),1)</f>
        <v>1</v>
      </c>
      <c r="BQ55" s="17">
        <f>IFERROR(INDEX(_CONFIG_Model_Settings!$E$117:$E$123,MATCH(_CONFIG_Model_Settings!$B$104,_CONFIG_Model_Settings!$A$117:$A$123,0)),1)</f>
        <v>1</v>
      </c>
      <c r="BR55" s="17">
        <f>IF(OR($A55="",$P55=""),"",MIN(5,IFERROR(SUMIF(_DATA_RiskInitiativeMap!$A$1:$A$867,$A55,_DATA_RiskInitiativeMap!$K$1:$K$867)/MAX(1,_CONFIG_Model_Settings!$B$166),0)))</f>
        <v>5</v>
      </c>
      <c r="BS55" s="17">
        <f t="shared" si="41"/>
        <v>5.34</v>
      </c>
      <c r="BT55" s="17">
        <f t="shared" si="42"/>
        <v>4</v>
      </c>
      <c r="BU55" s="17">
        <f t="shared" si="43"/>
        <v>1.34</v>
      </c>
      <c r="BV55" s="17">
        <f>IF(OR($P55="",$BU55="",$AY55="Done",$AY55="Not applicable"),"",ROUND($BU55*N($AS55)*IF(OR('Resilience &amp; Risk Scenario'!$B$6="",'Resilience &amp; Risk Scenario'!$B$7&lt;=0),1,IFERROR(1+MIN(0.75,INDEX('Resilience &amp; Risk Scenario'!$E$21:$E$37,MATCH($B55,'Resilience &amp; Risk Scenario'!$B$21:$B$37,0))/10),1)),2))</f>
        <v>1.34</v>
      </c>
      <c r="BW55" s="17">
        <f>IF($BV55="","",RANK($BV55,$BV$5:$BV$76,0)+COUNTIF($BV$5:$BV55,$BV55)-1)</f>
        <v>60</v>
      </c>
      <c r="BX55" s="17" t="str">
        <f t="shared" si="44"/>
        <v>12+ months</v>
      </c>
      <c r="BY55" t="str">
        <f>IFERROR(IF($A55="","","P2: "&amp;$BI55&amp;" posture; objective="&amp;IF(_CONFIG_Model_Settings!$B$104="","Neutral/default",_CONFIG_Model_Settings!$B$104)&amp;"; relevance="&amp;ROUND(N($AS55),2)&amp;"; scenario/domain boost="&amp;ROUND(IF(OR('Resilience &amp; Risk Scenario'!$B$6="",'Resilience &amp; Risk Scenario'!$B$7&lt;=0),1,IFERROR(1+MIN(0.75,INDEX('Resilience &amp; Risk Scenario'!$E$21:$E$37,MATCH($B55,'Resilience &amp; Risk Scenario'!$B$21:$B$37,0))/10),1)),2)&amp;"; financial score="&amp;ROUND(N($BR55),1)&amp;"; CoD="&amp;$BS55&amp;IF($CL55&lt;&gt;"","; wording="&amp;$CL55,"")),"")</f>
        <v>P2: Fragile posture; objective=Neutral/default; relevance=1; scenario/domain boost=1; financial score=5; CoD=5.34; wording=Strengthen Backup / recovery</v>
      </c>
      <c r="BZ55" t="str">
        <f>IFERROR(INDEX(_REF_Capability_Bridge!$D:$D,MATCH($B55&amp;"|"&amp;$C55,_REF_Capability_Bridge!$J:$J,0)),IFERROR(INDEX(_REF_Capability_Bridge!$D:$D,MATCH($B55&amp;"|",_REF_Capability_Bridge!$J:$J,0)),"CAP_GENERIC"))</f>
        <v>CAP_BACKUP_RECOVERY</v>
      </c>
      <c r="CA55">
        <f>IFERROR(IFERROR(INDEX(_ENGINE_Relevance!$L:$L,MATCH($BZ55,_ENGINE_Relevance!$B:$B,0)),1),1)</f>
        <v>1</v>
      </c>
      <c r="CB55" t="str">
        <f>IFERROR(INDEX(_REF_Capability_Bridge!$A:$A,MATCH($B55&amp;"|"&amp;$C55,_REF_Capability_Bridge!$J:$J,0)),IFERROR(INDEX(_REF_Capability_Bridge!$A:$A,MATCH($B55&amp;"|",_REF_Capability_Bridge!$J:$J,0)),"No bridge"))</f>
        <v>BRG-046</v>
      </c>
      <c r="CC55" t="str">
        <f t="shared" si="45"/>
        <v>Capability relevance neutral</v>
      </c>
      <c r="CD55" t="str">
        <f t="shared" si="46"/>
        <v>Initial / absent</v>
      </c>
      <c r="CE55" t="str">
        <f>IF($A55="","",IFERROR(INDEX(_REF_Treatment_Library!$A$2:$A$296,MATCH(1,INDEX((_REF_Treatment_Library!$B$2:$B$296=$BZ55)*(_REF_Treatment_Library!$C$2:$C$296=PV_Canonical_Industry)*(_REF_Treatment_Library!$E$2:$E$296&lt;=N($N55))*(_REF_Treatment_Library!$F$2:$F$296&gt;=N($N55))*(_REF_Treatment_Library!$O$2:$O$296="Yes"),0),0)),IFERROR(INDEX(_REF_Treatment_Library!$A$2:$A$296,MATCH(1,INDEX((_REF_Treatment_Library!$B$2:$B$296=$BZ55)*(_REF_Treatment_Library!$C$2:$C$296="All")*(_REF_Treatment_Library!$E$2:$E$296&lt;=N($N55))*(_REF_Treatment_Library!$F$2:$F$296&gt;=N($N55))*(_REF_Treatment_Library!$O$2:$O$296="Yes"),0),0)),"")))</f>
        <v>TRT-BACKUP_RECOVERY-INITIAL</v>
      </c>
      <c r="CF55" t="str">
        <f>IF($CE55="","",IFERROR(INDEX(_REF_Treatment_Library!$H$2:$H$296,MATCH($CE55,_REF_Treatment_Library!$A$2:$A$296,0)),""))</f>
        <v>Establish</v>
      </c>
      <c r="CG55" t="str">
        <f>IF($CE55="","",IFERROR(INDEX(_REF_Treatment_Library!$I$2:$I$296,MATCH($CE55,_REF_Treatment_Library!$A$2:$A$296,0)),""))</f>
        <v>Establish baseline controls for Backup / recovery</v>
      </c>
      <c r="CH55" t="str">
        <f>IF($CE55="","",IFERROR(INDEX(_REF_Treatment_Library!$K$2:$K$296,MATCH($CE55,_REF_Treatment_Library!$A$2:$A$296,0)),""))</f>
        <v>Named owner, baseline process, minimum control checklist, first evidence package</v>
      </c>
      <c r="CI55" t="str">
        <f>IF($CE55="","",IFERROR(INDEX(_REF_Treatment_Library!$L$2:$L$296,MATCH($CE55,_REF_Treatment_Library!$A$2:$A$296,0)),""))</f>
        <v>Owner assigned; baseline evidence coverage; open critical gaps</v>
      </c>
      <c r="CJ55" t="str">
        <f t="shared" si="47"/>
        <v>Treatment by capability=CAP_BACKUP_RECOVERY; band=Initial / absent; score=0.0; treatment=Establish</v>
      </c>
      <c r="CK55" t="str">
        <f>IF($A55="","",IFERROR(INDEX(_REF_Industry_Wording!$A$2:$A$70,MATCH(1,INDEX((_REF_Industry_Wording!$B$2:$B$70=$BZ55)*(_REF_Industry_Wording!$C$2:$C$70=PV_Canonical_Industry)*(_REF_Industry_Wording!$K$2:$K$70="Yes"),0),0)),IFERROR(INDEX(_REF_Industry_Wording!$A$2:$A$70,MATCH(1,INDEX((_REF_Industry_Wording!$B$2:$B$70=$BZ55)*(_REF_Industry_Wording!$C$2:$C$70="All")*(_REF_Industry_Wording!$K$2:$K$70="Yes"),0),0)),"")))</f>
        <v>IW-ALL-BACKUP_RECOVERY</v>
      </c>
      <c r="CL55" t="str">
        <f>IF($CK55="","",IFERROR(INDEX(_REF_Industry_Wording!$F$2:$F$70,MATCH($CK55,_REF_Industry_Wording!$A$2:$A$70,0)),""))</f>
        <v>Strengthen Backup / recovery</v>
      </c>
      <c r="CM55" t="str">
        <f>IF($CK55="","",IFERROR(INDEX(_REF_Industry_Wording!$G$2:$G$70,MATCH($CK55,_REF_Industry_Wording!$A$2:$A$70,0)),""))</f>
        <v>Strengthen Backup / recovery using the selected maturity treatment, crisis scenario and evidence requirements.</v>
      </c>
      <c r="CN55" t="str">
        <f>IF($CK55="","",IFERROR(INDEX(_REF_Industry_Wording!$H$2:$H$70,MATCH($CK55,_REF_Industry_Wording!$A$2:$A$70,0)),""))</f>
        <v>Backup / recovery</v>
      </c>
      <c r="CO55">
        <f>IF($CK55="","",IFERROR(INDEX(_REF_Industry_Wording!$I$2:$I$70,MATCH($CK55,_REF_Industry_Wording!$A$2:$A$70,0)),""))</f>
        <v>0</v>
      </c>
      <c r="CP55" t="str">
        <f>IF($CK55="","",IFERROR(INDEX(_REF_Industry_Wording!$J$2:$J$70,MATCH($CK55,_REF_Industry_Wording!$A$2:$A$70,0)),""))</f>
        <v>Backup / recovery</v>
      </c>
      <c r="CQ55" t="str">
        <f t="shared" si="48"/>
        <v>Wording by industry=0; capability=CAP_BACKUP_RECOVERY; title=Strengthen Backup / recovery</v>
      </c>
      <c r="CR55" t="str">
        <f t="shared" si="49"/>
        <v>INIT-ONT-0051</v>
      </c>
      <c r="CS55">
        <f t="shared" si="50"/>
        <v>55</v>
      </c>
      <c r="CT55" t="str">
        <f t="shared" si="51"/>
        <v>CAP_BACKUP_RECOVERY</v>
      </c>
      <c r="CU55" t="str">
        <f t="shared" si="52"/>
        <v>INI-051|IT Cloud DR|Operations|CAP_BACKUP_RECOVERY</v>
      </c>
      <c r="CV55" t="str">
        <f t="shared" si="53"/>
        <v>Active</v>
      </c>
      <c r="CW55" t="str">
        <f t="shared" si="54"/>
        <v>OK: capability-driven</v>
      </c>
      <c r="CX55" t="str">
        <f t="shared" si="55"/>
        <v>Initiative ontology uses capability=CAP_BACKUP_RECOVERY; bridge=BRG-046; treatment=TRT-BACKUP_RECOVERY-INITIAL; wording=IW-ALL-BACKUP_RECOVERY</v>
      </c>
    </row>
    <row r="56" spans="1:102" ht="42" customHeight="1">
      <c r="A56" s="17" t="s">
        <v>4365</v>
      </c>
      <c r="B56" s="17" t="s">
        <v>2588</v>
      </c>
      <c r="C56" s="17" t="s">
        <v>2623</v>
      </c>
      <c r="D56" s="17" t="s">
        <v>4329</v>
      </c>
      <c r="E56" s="17" t="s">
        <v>4330</v>
      </c>
      <c r="F56" s="17" t="s">
        <v>4366</v>
      </c>
      <c r="G56" s="17" t="s">
        <v>4367</v>
      </c>
      <c r="H56" s="17" t="s">
        <v>4333</v>
      </c>
      <c r="I56" s="17" t="s">
        <v>4334</v>
      </c>
      <c r="J56" s="17" t="s">
        <v>4368</v>
      </c>
      <c r="K56" s="17">
        <v>5</v>
      </c>
      <c r="L56" s="17">
        <f>IF($A56="","",COUNTIFS(_DATA_RiskInitiativeMap!$A$444:$A$867,$A56,_DATA_RiskInitiativeMap!$G$444:$G$867,"&gt;0"))</f>
        <v>5</v>
      </c>
      <c r="M56" s="17">
        <f>IF($A56="","",COUNTIFS(_DATA_RiskInitiativeMap!$A$444:$A$867,$A56,_DATA_RiskInitiativeMap!$G$444:$G$867,"&gt;0"))</f>
        <v>5</v>
      </c>
      <c r="N56" s="17">
        <f>IFERROR(AVERAGEIFS(_DATA_Assessment_Model!$H$5:$H$428,_DATA_Assessment_Model!$AW$5:$AW$428,$B56,_DATA_Assessment_Model!$B$5:$B$428,$C56),"")</f>
        <v>0</v>
      </c>
      <c r="O56" s="17">
        <f t="shared" si="28"/>
        <v>5</v>
      </c>
      <c r="P56" s="17">
        <f>IFERROR(INDEX(_DATA_Dashboard_Facts!$H$5:$H$21,MATCH($B56,_DATA_Dashboard_Facts!$A$5:$A$21,0)),"")</f>
        <v>0</v>
      </c>
      <c r="Q56" s="17">
        <f t="shared" si="29"/>
        <v>5</v>
      </c>
      <c r="R56" s="17">
        <f>IF(OR('Resilience &amp; Risk Scenario'!$B$6="",'Resilience &amp; Risk Scenario'!$B$7&lt;=0),1,IFERROR(IF(SUMIFS(_ENGINE_Crisis!$D$5:$D$208,_ENGINE_Crisis!$A$5:$A$208,'Resilience &amp; Risk Scenario'!$B$6,_ENGINE_Crisis!$B$5:$B$208,$B56)=0,1,SUMIFS(_ENGINE_Crisis!$D$5:$D$208,_ENGINE_Crisis!$A$5:$A$208,'Resilience &amp; Risk Scenario'!$B$6,_ENGINE_Crisis!$B$5:$B$208,$B56)),1))</f>
        <v>1</v>
      </c>
      <c r="S56" s="17">
        <f>IFERROR(INDEX(_ENGINE_Strategy!$A$100:$A$113,MATCH($D56,_ENGINE_Strategy!$B$100:$B$113,0)),99)</f>
        <v>1</v>
      </c>
      <c r="T56" s="17">
        <f>IFERROR(INDEX(_ENGINE_Strategy!$J$100:$J$113,MATCH($D56,_ENGINE_Strategy!$B$100:$B$113,0)),0)</f>
        <v>71</v>
      </c>
      <c r="U56" s="17">
        <v>5</v>
      </c>
      <c r="V56" s="17">
        <v>5</v>
      </c>
      <c r="W56" s="17">
        <v>3</v>
      </c>
      <c r="X56" s="17">
        <f t="shared" si="30"/>
        <v>4.6375000000000002</v>
      </c>
      <c r="Y56" s="17">
        <f>IF($P56="","",MAX(1,MIN(5,1+N($O56)*0.45+MIN(2,N($M56)*0.3)+($R56-1)*1.2+IF('Resilience &amp; Risk Scenario'!$B$7="",1,'Resilience &amp; Risk Scenario'!$B$7)*0.25)))</f>
        <v>5</v>
      </c>
      <c r="Z56" s="17">
        <f t="shared" si="31"/>
        <v>5</v>
      </c>
      <c r="AA56" s="17">
        <f t="shared" si="32"/>
        <v>3.9649999999999999</v>
      </c>
      <c r="AB56" s="17">
        <v>4</v>
      </c>
      <c r="AC56" s="17">
        <f t="shared" si="33"/>
        <v>1.34</v>
      </c>
      <c r="AD56" s="17">
        <f t="shared" si="34"/>
        <v>61</v>
      </c>
      <c r="AE56" s="17" t="str">
        <f t="shared" si="35"/>
        <v>12+ months</v>
      </c>
      <c r="AF56" s="17" t="s">
        <v>4336</v>
      </c>
      <c r="AG56" s="17" t="s">
        <v>3502</v>
      </c>
      <c r="AH56" s="17" t="s">
        <v>4337</v>
      </c>
      <c r="AI56" s="17" t="s">
        <v>4338</v>
      </c>
      <c r="AJ56" s="17" t="s">
        <v>4369</v>
      </c>
      <c r="AK56" s="17" t="s">
        <v>4370</v>
      </c>
      <c r="AL56" s="17" t="s">
        <v>4371</v>
      </c>
      <c r="AM56" s="17" t="s">
        <v>4342</v>
      </c>
      <c r="AN56" s="17" t="s">
        <v>3937</v>
      </c>
      <c r="AO56" s="17" t="s">
        <v>3938</v>
      </c>
      <c r="AP56" s="17" t="s">
        <v>4242</v>
      </c>
      <c r="AQ56" s="17"/>
      <c r="AR56" s="17"/>
      <c r="AS56" s="14">
        <f>IFERROR((IF(SUMIFS(_REF_Model_Content!$J$1:$J$157,_REF_Model_Content!$A$1:$A$174,PV_Canonical_Industry,_REF_Model_Content!$B$1:$B$174,$B56)=0,1,SUMIFS(_REF_Model_Content!$J$1:$J$157,_REF_Model_Content!$A$1:$A$174,PV_Canonical_Industry,_REF_Model_Content!$B$1:$B$174,$B56))*IFERROR($CA56,1)),1)</f>
        <v>1</v>
      </c>
      <c r="AT56" s="14">
        <f t="shared" si="36"/>
        <v>1.34</v>
      </c>
      <c r="AU56" s="14">
        <f>IF($AT56="","",RANK($AT56,$AT$5:$AT$76,0)+COUNTIF($AT$5:AT56,$AT56)-1)</f>
        <v>61</v>
      </c>
      <c r="AV56" s="14">
        <f>IFERROR(INDEX(_DATA_Dashboard_Facts!$G$300:$G$316,MATCH($B56,_DATA_Dashboard_Facts!$A$300:$A$316,0)),"")</f>
        <v>0</v>
      </c>
      <c r="AW56" s="14" t="str">
        <f t="shared" si="37"/>
        <v>Relevance-neutral priority</v>
      </c>
      <c r="AX56">
        <f>IFERROR(INDEX('Action Plan &amp; Roadmap'!$D$59:$D$130,MATCH($A56,'Action Plan &amp; Roadmap'!$A$59:$A$130,0)),"")</f>
        <v>0</v>
      </c>
      <c r="AY56">
        <f t="shared" si="38"/>
        <v>0</v>
      </c>
      <c r="AZ56" t="s">
        <v>4343</v>
      </c>
      <c r="BA56">
        <f>IF($A56="","",COUNTIF(_DATA_RiskInitiativeMap!$A$1:$A$867,$A56))</f>
        <v>5</v>
      </c>
      <c r="BB56">
        <f>IF($A56="","",IFERROR(AVERAGEIF(_DATA_RiskInitiativeMap!$A$1:$A$867,$A56,_DATA_RiskInitiativeMap!$G$1:$G$867),0))</f>
        <v>17.777999999999999</v>
      </c>
      <c r="BC56">
        <f t="shared" si="39"/>
        <v>4.5999999999999996</v>
      </c>
      <c r="BD56">
        <f t="shared" si="40"/>
        <v>4.4144600000000001</v>
      </c>
      <c r="BI56" s="17" t="str">
        <f>IFERROR(_CONFIG_Model_Settings!$B$103,"Adaptive")</f>
        <v>Fragile</v>
      </c>
      <c r="BJ56" s="17">
        <f>IFERROR(INDEX(_CONFIG_Model_Settings!$B$109:$B$113,MATCH($BI56,_CONFIG_Model_Settings!$A$109:$A$113,0)),0.3)</f>
        <v>0.2</v>
      </c>
      <c r="BK56" s="17">
        <f>IFERROR(INDEX(_CONFIG_Model_Settings!$C$109:$C$113,MATCH($BI56,_CONFIG_Model_Settings!$A$109:$A$113,0)),0.2)</f>
        <v>0.3</v>
      </c>
      <c r="BL56" s="17">
        <f>IFERROR(INDEX(_CONFIG_Model_Settings!$D$109:$D$113,MATCH($BI56,_CONFIG_Model_Settings!$A$109:$A$113,0)),0.25)</f>
        <v>0.4</v>
      </c>
      <c r="BM56" s="17">
        <f>IFERROR(INDEX(_CONFIG_Model_Settings!$E$109:$E$113,MATCH($BI56,_CONFIG_Model_Settings!$A$109:$A$113,0)),0.25)</f>
        <v>0.1</v>
      </c>
      <c r="BN56" s="17">
        <f>IFERROR(INDEX(_CONFIG_Model_Settings!$B$117:$B$123,MATCH(_CONFIG_Model_Settings!$B$104,_CONFIG_Model_Settings!$A$117:$A$123,0)),1)</f>
        <v>1</v>
      </c>
      <c r="BO56" s="17">
        <f>IFERROR(INDEX(_CONFIG_Model_Settings!$C$117:$C$123,MATCH(_CONFIG_Model_Settings!$B$104,_CONFIG_Model_Settings!$A$117:$A$123,0)),1)</f>
        <v>1</v>
      </c>
      <c r="BP56" s="17">
        <f>IFERROR(INDEX(_CONFIG_Model_Settings!$D$117:$D$123,MATCH(_CONFIG_Model_Settings!$B$104,_CONFIG_Model_Settings!$A$117:$A$123,0)),1)</f>
        <v>1</v>
      </c>
      <c r="BQ56" s="17">
        <f>IFERROR(INDEX(_CONFIG_Model_Settings!$E$117:$E$123,MATCH(_CONFIG_Model_Settings!$B$104,_CONFIG_Model_Settings!$A$117:$A$123,0)),1)</f>
        <v>1</v>
      </c>
      <c r="BR56" s="17">
        <f>IF(OR($A56="",$P56=""),"",MIN(5,IFERROR(SUMIF(_DATA_RiskInitiativeMap!$A$1:$A$867,$A56,_DATA_RiskInitiativeMap!$K$1:$K$867)/MAX(1,_CONFIG_Model_Settings!$B$166),0)))</f>
        <v>5</v>
      </c>
      <c r="BS56" s="17">
        <f t="shared" si="41"/>
        <v>5.34</v>
      </c>
      <c r="BT56" s="17">
        <f t="shared" si="42"/>
        <v>4</v>
      </c>
      <c r="BU56" s="17">
        <f t="shared" si="43"/>
        <v>1.34</v>
      </c>
      <c r="BV56" s="17">
        <f>IF(OR($P56="",$BU56="",$AY56="Done",$AY56="Not applicable"),"",ROUND($BU56*N($AS56)*IF(OR('Resilience &amp; Risk Scenario'!$B$6="",'Resilience &amp; Risk Scenario'!$B$7&lt;=0),1,IFERROR(1+MIN(0.75,INDEX('Resilience &amp; Risk Scenario'!$E$21:$E$37,MATCH($B56,'Resilience &amp; Risk Scenario'!$B$21:$B$37,0))/10),1)),2))</f>
        <v>1.34</v>
      </c>
      <c r="BW56" s="17">
        <f>IF($BV56="","",RANK($BV56,$BV$5:$BV$76,0)+COUNTIF($BV$5:$BV56,$BV56)-1)</f>
        <v>61</v>
      </c>
      <c r="BX56" s="17" t="str">
        <f t="shared" si="44"/>
        <v>12+ months</v>
      </c>
      <c r="BY56" t="str">
        <f>IFERROR(IF($A56="","","P2: "&amp;$BI56&amp;" posture; objective="&amp;IF(_CONFIG_Model_Settings!$B$104="","Neutral/default",_CONFIG_Model_Settings!$B$104)&amp;"; relevance="&amp;ROUND(N($AS56),2)&amp;"; scenario/domain boost="&amp;ROUND(IF(OR('Resilience &amp; Risk Scenario'!$B$6="",'Resilience &amp; Risk Scenario'!$B$7&lt;=0),1,IFERROR(1+MIN(0.75,INDEX('Resilience &amp; Risk Scenario'!$E$21:$E$37,MATCH($B56,'Resilience &amp; Risk Scenario'!$B$21:$B$37,0))/10),1)),2)&amp;"; financial score="&amp;ROUND(N($BR56),1)&amp;"; CoD="&amp;$BS56&amp;IF($CL56&lt;&gt;"","; wording="&amp;$CL56,"")),"")</f>
        <v>P2: Fragile posture; objective=Neutral/default; relevance=1; scenario/domain boost=1; financial score=5; CoD=5.34; wording=Strengthen Backup / recovery</v>
      </c>
      <c r="BZ56" t="str">
        <f>IFERROR(INDEX(_REF_Capability_Bridge!$D:$D,MATCH($B56&amp;"|"&amp;$C56,_REF_Capability_Bridge!$J:$J,0)),IFERROR(INDEX(_REF_Capability_Bridge!$D:$D,MATCH($B56&amp;"|",_REF_Capability_Bridge!$J:$J,0)),"CAP_GENERIC"))</f>
        <v>CAP_BACKUP_RECOVERY</v>
      </c>
      <c r="CA56">
        <f>IFERROR(IFERROR(INDEX(_ENGINE_Relevance!$L:$L,MATCH($BZ56,_ENGINE_Relevance!$B:$B,0)),1),1)</f>
        <v>1</v>
      </c>
      <c r="CB56" t="str">
        <f>IFERROR(INDEX(_REF_Capability_Bridge!$A:$A,MATCH($B56&amp;"|"&amp;$C56,_REF_Capability_Bridge!$J:$J,0)),IFERROR(INDEX(_REF_Capability_Bridge!$A:$A,MATCH($B56&amp;"|",_REF_Capability_Bridge!$J:$J,0)),"No bridge"))</f>
        <v>BRG-048</v>
      </c>
      <c r="CC56" t="str">
        <f t="shared" si="45"/>
        <v>Capability relevance neutral</v>
      </c>
      <c r="CD56" t="str">
        <f t="shared" si="46"/>
        <v>Initial / absent</v>
      </c>
      <c r="CE56" t="str">
        <f>IF($A56="","",IFERROR(INDEX(_REF_Treatment_Library!$A$2:$A$296,MATCH(1,INDEX((_REF_Treatment_Library!$B$2:$B$296=$BZ56)*(_REF_Treatment_Library!$C$2:$C$296=PV_Canonical_Industry)*(_REF_Treatment_Library!$E$2:$E$296&lt;=N($N56))*(_REF_Treatment_Library!$F$2:$F$296&gt;=N($N56))*(_REF_Treatment_Library!$O$2:$O$296="Yes"),0),0)),IFERROR(INDEX(_REF_Treatment_Library!$A$2:$A$296,MATCH(1,INDEX((_REF_Treatment_Library!$B$2:$B$296=$BZ56)*(_REF_Treatment_Library!$C$2:$C$296="All")*(_REF_Treatment_Library!$E$2:$E$296&lt;=N($N56))*(_REF_Treatment_Library!$F$2:$F$296&gt;=N($N56))*(_REF_Treatment_Library!$O$2:$O$296="Yes"),0),0)),"")))</f>
        <v>TRT-BACKUP_RECOVERY-INITIAL</v>
      </c>
      <c r="CF56" t="str">
        <f>IF($CE56="","",IFERROR(INDEX(_REF_Treatment_Library!$H$2:$H$296,MATCH($CE56,_REF_Treatment_Library!$A$2:$A$296,0)),""))</f>
        <v>Establish</v>
      </c>
      <c r="CG56" t="str">
        <f>IF($CE56="","",IFERROR(INDEX(_REF_Treatment_Library!$I$2:$I$296,MATCH($CE56,_REF_Treatment_Library!$A$2:$A$296,0)),""))</f>
        <v>Establish baseline controls for Backup / recovery</v>
      </c>
      <c r="CH56" t="str">
        <f>IF($CE56="","",IFERROR(INDEX(_REF_Treatment_Library!$K$2:$K$296,MATCH($CE56,_REF_Treatment_Library!$A$2:$A$296,0)),""))</f>
        <v>Named owner, baseline process, minimum control checklist, first evidence package</v>
      </c>
      <c r="CI56" t="str">
        <f>IF($CE56="","",IFERROR(INDEX(_REF_Treatment_Library!$L$2:$L$296,MATCH($CE56,_REF_Treatment_Library!$A$2:$A$296,0)),""))</f>
        <v>Owner assigned; baseline evidence coverage; open critical gaps</v>
      </c>
      <c r="CJ56" t="str">
        <f t="shared" si="47"/>
        <v>Treatment by capability=CAP_BACKUP_RECOVERY; band=Initial / absent; score=0.0; treatment=Establish</v>
      </c>
      <c r="CK56" t="str">
        <f>IF($A56="","",IFERROR(INDEX(_REF_Industry_Wording!$A$2:$A$70,MATCH(1,INDEX((_REF_Industry_Wording!$B$2:$B$70=$BZ56)*(_REF_Industry_Wording!$C$2:$C$70=PV_Canonical_Industry)*(_REF_Industry_Wording!$K$2:$K$70="Yes"),0),0)),IFERROR(INDEX(_REF_Industry_Wording!$A$2:$A$70,MATCH(1,INDEX((_REF_Industry_Wording!$B$2:$B$70=$BZ56)*(_REF_Industry_Wording!$C$2:$C$70="All")*(_REF_Industry_Wording!$K$2:$K$70="Yes"),0),0)),"")))</f>
        <v>IW-ALL-BACKUP_RECOVERY</v>
      </c>
      <c r="CL56" t="str">
        <f>IF($CK56="","",IFERROR(INDEX(_REF_Industry_Wording!$F$2:$F$70,MATCH($CK56,_REF_Industry_Wording!$A$2:$A$70,0)),""))</f>
        <v>Strengthen Backup / recovery</v>
      </c>
      <c r="CM56" t="str">
        <f>IF($CK56="","",IFERROR(INDEX(_REF_Industry_Wording!$G$2:$G$70,MATCH($CK56,_REF_Industry_Wording!$A$2:$A$70,0)),""))</f>
        <v>Strengthen Backup / recovery using the selected maturity treatment, crisis scenario and evidence requirements.</v>
      </c>
      <c r="CN56" t="str">
        <f>IF($CK56="","",IFERROR(INDEX(_REF_Industry_Wording!$H$2:$H$70,MATCH($CK56,_REF_Industry_Wording!$A$2:$A$70,0)),""))</f>
        <v>Backup / recovery</v>
      </c>
      <c r="CO56">
        <f>IF($CK56="","",IFERROR(INDEX(_REF_Industry_Wording!$I$2:$I$70,MATCH($CK56,_REF_Industry_Wording!$A$2:$A$70,0)),""))</f>
        <v>0</v>
      </c>
      <c r="CP56" t="str">
        <f>IF($CK56="","",IFERROR(INDEX(_REF_Industry_Wording!$J$2:$J$70,MATCH($CK56,_REF_Industry_Wording!$A$2:$A$70,0)),""))</f>
        <v>Backup / recovery</v>
      </c>
      <c r="CQ56" t="str">
        <f t="shared" si="48"/>
        <v>Wording by industry=0; capability=CAP_BACKUP_RECOVERY; title=Strengthen Backup / recovery</v>
      </c>
      <c r="CR56" t="str">
        <f t="shared" si="49"/>
        <v>INIT-ONT-0052</v>
      </c>
      <c r="CS56">
        <f t="shared" si="50"/>
        <v>56</v>
      </c>
      <c r="CT56" t="str">
        <f t="shared" si="51"/>
        <v>CAP_BACKUP_RECOVERY</v>
      </c>
      <c r="CU56" t="str">
        <f t="shared" si="52"/>
        <v>INI-052|IT Cloud DR|SaaS and integrations|CAP_BACKUP_RECOVERY</v>
      </c>
      <c r="CV56" t="str">
        <f t="shared" si="53"/>
        <v>Active</v>
      </c>
      <c r="CW56" t="str">
        <f t="shared" si="54"/>
        <v>OK: capability-driven</v>
      </c>
      <c r="CX56" t="str">
        <f t="shared" si="55"/>
        <v>Initiative ontology uses capability=CAP_BACKUP_RECOVERY; bridge=BRG-048; treatment=TRT-BACKUP_RECOVERY-INITIAL; wording=IW-ALL-BACKUP_RECOVERY</v>
      </c>
    </row>
    <row r="57" spans="1:102" ht="42" customHeight="1">
      <c r="A57" s="17" t="s">
        <v>4372</v>
      </c>
      <c r="B57" s="17" t="s">
        <v>2729</v>
      </c>
      <c r="C57" s="17" t="s">
        <v>677</v>
      </c>
      <c r="D57" s="17" t="s">
        <v>4373</v>
      </c>
      <c r="E57" s="17" t="s">
        <v>4374</v>
      </c>
      <c r="F57" s="17" t="s">
        <v>4375</v>
      </c>
      <c r="G57" s="17" t="s">
        <v>4376</v>
      </c>
      <c r="H57" s="17" t="s">
        <v>4377</v>
      </c>
      <c r="I57" s="17" t="s">
        <v>4378</v>
      </c>
      <c r="J57" s="17" t="s">
        <v>4379</v>
      </c>
      <c r="K57" s="17">
        <v>5</v>
      </c>
      <c r="L57" s="17">
        <f>IF($A57="","",COUNTIFS(_DATA_RiskInitiativeMap!$A$444:$A$867,$A57,_DATA_RiskInitiativeMap!$G$444:$G$867,"&gt;0"))</f>
        <v>5</v>
      </c>
      <c r="M57" s="17">
        <f>IF($A57="","",COUNTIFS(_DATA_RiskInitiativeMap!$A$444:$A$867,$A57,_DATA_RiskInitiativeMap!$G$444:$G$867,"&gt;0"))</f>
        <v>5</v>
      </c>
      <c r="N57" s="17">
        <f>IFERROR(AVERAGEIFS(_DATA_Assessment_Model!$H$5:$H$428,_DATA_Assessment_Model!$AW$5:$AW$428,$B57,_DATA_Assessment_Model!$B$5:$B$428,$C57),"")</f>
        <v>0</v>
      </c>
      <c r="O57" s="17">
        <f t="shared" si="28"/>
        <v>5</v>
      </c>
      <c r="P57" s="17">
        <f>IFERROR(INDEX(_DATA_Dashboard_Facts!$H$5:$H$21,MATCH($B57,_DATA_Dashboard_Facts!$A$5:$A$21,0)),"")</f>
        <v>0</v>
      </c>
      <c r="Q57" s="17">
        <f t="shared" si="29"/>
        <v>5</v>
      </c>
      <c r="R57" s="17">
        <f>IF(OR('Resilience &amp; Risk Scenario'!$B$6="",'Resilience &amp; Risk Scenario'!$B$7&lt;=0),1,IFERROR(IF(SUMIFS(_ENGINE_Crisis!$D$5:$D$208,_ENGINE_Crisis!$A$5:$A$208,'Resilience &amp; Risk Scenario'!$B$6,_ENGINE_Crisis!$B$5:$B$208,$B57)=0,1,SUMIFS(_ENGINE_Crisis!$D$5:$D$208,_ENGINE_Crisis!$A$5:$A$208,'Resilience &amp; Risk Scenario'!$B$6,_ENGINE_Crisis!$B$5:$B$208,$B57)),1))</f>
        <v>1</v>
      </c>
      <c r="S57" s="17">
        <f>IFERROR(INDEX(_ENGINE_Strategy!$A$100:$A$113,MATCH($D57,_ENGINE_Strategy!$B$100:$B$113,0)),99)</f>
        <v>7</v>
      </c>
      <c r="T57" s="17">
        <f>IFERROR(INDEX(_ENGINE_Strategy!$J$100:$J$113,MATCH($D57,_ENGINE_Strategy!$B$100:$B$113,0)),0)</f>
        <v>68.400000000000006</v>
      </c>
      <c r="U57" s="17">
        <v>5</v>
      </c>
      <c r="V57" s="17">
        <v>3</v>
      </c>
      <c r="W57" s="17">
        <v>4</v>
      </c>
      <c r="X57" s="17">
        <f t="shared" si="30"/>
        <v>4.6050000000000004</v>
      </c>
      <c r="Y57" s="17">
        <f>IF($P57="","",MAX(1,MIN(5,1+N($O57)*0.45+MIN(2,N($M57)*0.3)+($R57-1)*1.2+IF('Resilience &amp; Risk Scenario'!$B$7="",1,'Resilience &amp; Risk Scenario'!$B$7)*0.25)))</f>
        <v>5</v>
      </c>
      <c r="Z57" s="17">
        <f t="shared" si="31"/>
        <v>4.5999999999999996</v>
      </c>
      <c r="AA57" s="17">
        <f t="shared" si="32"/>
        <v>4.226</v>
      </c>
      <c r="AB57" s="17">
        <v>4</v>
      </c>
      <c r="AC57" s="17">
        <f t="shared" si="33"/>
        <v>1.36</v>
      </c>
      <c r="AD57" s="17">
        <f t="shared" si="34"/>
        <v>54</v>
      </c>
      <c r="AE57" s="17" t="str">
        <f t="shared" si="35"/>
        <v>6-12 months</v>
      </c>
      <c r="AF57" s="17" t="s">
        <v>4380</v>
      </c>
      <c r="AG57" s="17" t="s">
        <v>3502</v>
      </c>
      <c r="AH57" s="17" t="s">
        <v>4337</v>
      </c>
      <c r="AI57" s="17" t="s">
        <v>3932</v>
      </c>
      <c r="AJ57" s="17" t="s">
        <v>4381</v>
      </c>
      <c r="AK57" s="17" t="s">
        <v>4382</v>
      </c>
      <c r="AL57" s="17" t="s">
        <v>4383</v>
      </c>
      <c r="AM57" s="17" t="s">
        <v>4384</v>
      </c>
      <c r="AN57" s="17" t="s">
        <v>3937</v>
      </c>
      <c r="AO57" s="17" t="s">
        <v>3938</v>
      </c>
      <c r="AP57" s="17" t="s">
        <v>4242</v>
      </c>
      <c r="AQ57" s="17"/>
      <c r="AR57" s="17"/>
      <c r="AS57" s="14">
        <f>IFERROR((IF(SUMIFS(_REF_Model_Content!$J$1:$J$157,_REF_Model_Content!$A$1:$A$174,PV_Canonical_Industry,_REF_Model_Content!$B$1:$B$174,$B57)=0,1,SUMIFS(_REF_Model_Content!$J$1:$J$157,_REF_Model_Content!$A$1:$A$174,PV_Canonical_Industry,_REF_Model_Content!$B$1:$B$174,$B57))*IFERROR($CA57,1)),1)</f>
        <v>1</v>
      </c>
      <c r="AT57" s="14">
        <f t="shared" si="36"/>
        <v>1.36</v>
      </c>
      <c r="AU57" s="14">
        <f>IF($AT57="","",RANK($AT57,$AT$5:$AT$76,0)+COUNTIF($AT$5:AT57,$AT57)-1)</f>
        <v>54</v>
      </c>
      <c r="AV57" s="14">
        <f>IFERROR(INDEX(_DATA_Dashboard_Facts!$G$300:$G$316,MATCH($B57,_DATA_Dashboard_Facts!$A$300:$A$316,0)),"")</f>
        <v>0</v>
      </c>
      <c r="AW57" s="14" t="str">
        <f t="shared" si="37"/>
        <v>Relevance-neutral priority</v>
      </c>
      <c r="AX57">
        <f>IFERROR(INDEX('Action Plan &amp; Roadmap'!$D$59:$D$130,MATCH($A57,'Action Plan &amp; Roadmap'!$A$59:$A$130,0)),"")</f>
        <v>0</v>
      </c>
      <c r="AY57">
        <f t="shared" si="38"/>
        <v>0</v>
      </c>
      <c r="AZ57" t="s">
        <v>4343</v>
      </c>
      <c r="BA57">
        <f>IF($A57="","",COUNTIF(_DATA_RiskInitiativeMap!$A$1:$A$867,$A57))</f>
        <v>5</v>
      </c>
      <c r="BB57">
        <f>IF($A57="","",IFERROR(AVERAGEIF(_DATA_RiskInitiativeMap!$A$1:$A$867,$A57,_DATA_RiskInitiativeMap!$G$1:$G$867),0))</f>
        <v>23.66</v>
      </c>
      <c r="BC57">
        <f t="shared" si="39"/>
        <v>4.2</v>
      </c>
      <c r="BD57">
        <f t="shared" si="40"/>
        <v>4.5661999999999994</v>
      </c>
      <c r="BI57" s="17" t="str">
        <f>IFERROR(_CONFIG_Model_Settings!$B$103,"Adaptive")</f>
        <v>Fragile</v>
      </c>
      <c r="BJ57" s="17">
        <f>IFERROR(INDEX(_CONFIG_Model_Settings!$B$109:$B$113,MATCH($BI57,_CONFIG_Model_Settings!$A$109:$A$113,0)),0.3)</f>
        <v>0.2</v>
      </c>
      <c r="BK57" s="17">
        <f>IFERROR(INDEX(_CONFIG_Model_Settings!$C$109:$C$113,MATCH($BI57,_CONFIG_Model_Settings!$A$109:$A$113,0)),0.2)</f>
        <v>0.3</v>
      </c>
      <c r="BL57" s="17">
        <f>IFERROR(INDEX(_CONFIG_Model_Settings!$D$109:$D$113,MATCH($BI57,_CONFIG_Model_Settings!$A$109:$A$113,0)),0.25)</f>
        <v>0.4</v>
      </c>
      <c r="BM57" s="17">
        <f>IFERROR(INDEX(_CONFIG_Model_Settings!$E$109:$E$113,MATCH($BI57,_CONFIG_Model_Settings!$A$109:$A$113,0)),0.25)</f>
        <v>0.1</v>
      </c>
      <c r="BN57" s="17">
        <f>IFERROR(INDEX(_CONFIG_Model_Settings!$B$117:$B$123,MATCH(_CONFIG_Model_Settings!$B$104,_CONFIG_Model_Settings!$A$117:$A$123,0)),1)</f>
        <v>1</v>
      </c>
      <c r="BO57" s="17">
        <f>IFERROR(INDEX(_CONFIG_Model_Settings!$C$117:$C$123,MATCH(_CONFIG_Model_Settings!$B$104,_CONFIG_Model_Settings!$A$117:$A$123,0)),1)</f>
        <v>1</v>
      </c>
      <c r="BP57" s="17">
        <f>IFERROR(INDEX(_CONFIG_Model_Settings!$D$117:$D$123,MATCH(_CONFIG_Model_Settings!$B$104,_CONFIG_Model_Settings!$A$117:$A$123,0)),1)</f>
        <v>1</v>
      </c>
      <c r="BQ57" s="17">
        <f>IFERROR(INDEX(_CONFIG_Model_Settings!$E$117:$E$123,MATCH(_CONFIG_Model_Settings!$B$104,_CONFIG_Model_Settings!$A$117:$A$123,0)),1)</f>
        <v>1</v>
      </c>
      <c r="BR57" s="17">
        <f>IF(OR($A57="",$P57=""),"",MIN(5,IFERROR(SUMIF(_DATA_RiskInitiativeMap!$A$1:$A$867,$A57,_DATA_RiskInitiativeMap!$K$1:$K$867)/MAX(1,_CONFIG_Model_Settings!$B$166),0)))</f>
        <v>5</v>
      </c>
      <c r="BS57" s="17">
        <f t="shared" si="41"/>
        <v>5.42</v>
      </c>
      <c r="BT57" s="17">
        <f t="shared" si="42"/>
        <v>4</v>
      </c>
      <c r="BU57" s="17">
        <f t="shared" si="43"/>
        <v>1.36</v>
      </c>
      <c r="BV57" s="17">
        <f>IF(OR($P57="",$BU57="",$AY57="Done",$AY57="Not applicable"),"",ROUND($BU57*N($AS57)*IF(OR('Resilience &amp; Risk Scenario'!$B$6="",'Resilience &amp; Risk Scenario'!$B$7&lt;=0),1,IFERROR(1+MIN(0.75,INDEX('Resilience &amp; Risk Scenario'!$E$21:$E$37,MATCH($B57,'Resilience &amp; Risk Scenario'!$B$21:$B$37,0))/10),1)),2))</f>
        <v>1.36</v>
      </c>
      <c r="BW57" s="17">
        <f>IF($BV57="","",RANK($BV57,$BV$5:$BV$76,0)+COUNTIF($BV$5:$BV57,$BV57)-1)</f>
        <v>54</v>
      </c>
      <c r="BX57" s="17" t="str">
        <f t="shared" si="44"/>
        <v>6-12 months</v>
      </c>
      <c r="BY57" t="str">
        <f>IFERROR(IF($A57="","","P2: "&amp;$BI57&amp;" posture; objective="&amp;IF(_CONFIG_Model_Settings!$B$104="","Neutral/default",_CONFIG_Model_Settings!$B$104)&amp;"; relevance="&amp;ROUND(N($AS57),2)&amp;"; scenario/domain boost="&amp;ROUND(IF(OR('Resilience &amp; Risk Scenario'!$B$6="",'Resilience &amp; Risk Scenario'!$B$7&lt;=0),1,IFERROR(1+MIN(0.75,INDEX('Resilience &amp; Risk Scenario'!$E$21:$E$37,MATCH($B57,'Resilience &amp; Risk Scenario'!$B$21:$B$37,0))/10),1)),2)&amp;"; financial score="&amp;ROUND(N($BR57),1)&amp;"; CoD="&amp;$BS57&amp;IF($CL57&lt;&gt;"","; wording="&amp;$CL57,"")),"")</f>
        <v>P2: Fragile posture; objective=Neutral/default; relevance=1; scenario/domain boost=1; financial score=5; CoD=5.42; wording=Strengthen Identity / PAM</v>
      </c>
      <c r="BZ57" t="str">
        <f>IFERROR(INDEX(_REF_Capability_Bridge!$D:$D,MATCH($B57&amp;"|"&amp;$C57,_REF_Capability_Bridge!$J:$J,0)),IFERROR(INDEX(_REF_Capability_Bridge!$D:$D,MATCH($B57&amp;"|",_REF_Capability_Bridge!$J:$J,0)),"CAP_GENERIC"))</f>
        <v>CAP_IAM_PAM</v>
      </c>
      <c r="CA57">
        <f>IFERROR(IFERROR(INDEX(_ENGINE_Relevance!$L:$L,MATCH($BZ57,_ENGINE_Relevance!$B:$B,0)),1),1)</f>
        <v>1</v>
      </c>
      <c r="CB57" t="str">
        <f>IFERROR(INDEX(_REF_Capability_Bridge!$A:$A,MATCH($B57&amp;"|"&amp;$C57,_REF_Capability_Bridge!$J:$J,0)),IFERROR(INDEX(_REF_Capability_Bridge!$A:$A,MATCH($B57&amp;"|",_REF_Capability_Bridge!$J:$J,0)),"No bridge"))</f>
        <v>BRG-003</v>
      </c>
      <c r="CC57" t="str">
        <f t="shared" si="45"/>
        <v>Capability relevance neutral</v>
      </c>
      <c r="CD57" t="str">
        <f t="shared" si="46"/>
        <v>Initial / absent</v>
      </c>
      <c r="CE57" t="str">
        <f>IF($A57="","",IFERROR(INDEX(_REF_Treatment_Library!$A$2:$A$296,MATCH(1,INDEX((_REF_Treatment_Library!$B$2:$B$296=$BZ57)*(_REF_Treatment_Library!$C$2:$C$296=PV_Canonical_Industry)*(_REF_Treatment_Library!$E$2:$E$296&lt;=N($N57))*(_REF_Treatment_Library!$F$2:$F$296&gt;=N($N57))*(_REF_Treatment_Library!$O$2:$O$296="Yes"),0),0)),IFERROR(INDEX(_REF_Treatment_Library!$A$2:$A$296,MATCH(1,INDEX((_REF_Treatment_Library!$B$2:$B$296=$BZ57)*(_REF_Treatment_Library!$C$2:$C$296="All")*(_REF_Treatment_Library!$E$2:$E$296&lt;=N($N57))*(_REF_Treatment_Library!$F$2:$F$296&gt;=N($N57))*(_REF_Treatment_Library!$O$2:$O$296="Yes"),0),0)),"")))</f>
        <v>TRT-IAM_PAM-INITIAL</v>
      </c>
      <c r="CF57" t="str">
        <f>IF($CE57="","",IFERROR(INDEX(_REF_Treatment_Library!$H$2:$H$296,MATCH($CE57,_REF_Treatment_Library!$A$2:$A$296,0)),""))</f>
        <v>Establish</v>
      </c>
      <c r="CG57" t="str">
        <f>IF($CE57="","",IFERROR(INDEX(_REF_Treatment_Library!$I$2:$I$296,MATCH($CE57,_REF_Treatment_Library!$A$2:$A$296,0)),""))</f>
        <v>Establish baseline controls for Identity / PAM</v>
      </c>
      <c r="CH57" t="str">
        <f>IF($CE57="","",IFERROR(INDEX(_REF_Treatment_Library!$K$2:$K$296,MATCH($CE57,_REF_Treatment_Library!$A$2:$A$296,0)),""))</f>
        <v>Named owner, baseline process, minimum control checklist, first evidence package</v>
      </c>
      <c r="CI57" t="str">
        <f>IF($CE57="","",IFERROR(INDEX(_REF_Treatment_Library!$L$2:$L$296,MATCH($CE57,_REF_Treatment_Library!$A$2:$A$296,0)),""))</f>
        <v>Owner assigned; baseline evidence coverage; open critical gaps</v>
      </c>
      <c r="CJ57" t="str">
        <f t="shared" si="47"/>
        <v>Treatment by capability=CAP_IAM_PAM; band=Initial / absent; score=0.0; treatment=Establish</v>
      </c>
      <c r="CK57" t="str">
        <f>IF($A57="","",IFERROR(INDEX(_REF_Industry_Wording!$A$2:$A$70,MATCH(1,INDEX((_REF_Industry_Wording!$B$2:$B$70=$BZ57)*(_REF_Industry_Wording!$C$2:$C$70=PV_Canonical_Industry)*(_REF_Industry_Wording!$K$2:$K$70="Yes"),0),0)),IFERROR(INDEX(_REF_Industry_Wording!$A$2:$A$70,MATCH(1,INDEX((_REF_Industry_Wording!$B$2:$B$70=$BZ57)*(_REF_Industry_Wording!$C$2:$C$70="All")*(_REF_Industry_Wording!$K$2:$K$70="Yes"),0),0)),"")))</f>
        <v>IW-ALL-IAM_PAM</v>
      </c>
      <c r="CL57" t="str">
        <f>IF($CK57="","",IFERROR(INDEX(_REF_Industry_Wording!$F$2:$F$70,MATCH($CK57,_REF_Industry_Wording!$A$2:$A$70,0)),""))</f>
        <v>Strengthen Identity / PAM</v>
      </c>
      <c r="CM57" t="str">
        <f>IF($CK57="","",IFERROR(INDEX(_REF_Industry_Wording!$G$2:$G$70,MATCH($CK57,_REF_Industry_Wording!$A$2:$A$70,0)),""))</f>
        <v>Strengthen Identity / PAM using the selected maturity treatment, crisis scenario and evidence requirements.</v>
      </c>
      <c r="CN57" t="str">
        <f>IF($CK57="","",IFERROR(INDEX(_REF_Industry_Wording!$H$2:$H$70,MATCH($CK57,_REF_Industry_Wording!$A$2:$A$70,0)),""))</f>
        <v>Identity / PAM</v>
      </c>
      <c r="CO57">
        <f>IF($CK57="","",IFERROR(INDEX(_REF_Industry_Wording!$I$2:$I$70,MATCH($CK57,_REF_Industry_Wording!$A$2:$A$70,0)),""))</f>
        <v>0</v>
      </c>
      <c r="CP57" t="str">
        <f>IF($CK57="","",IFERROR(INDEX(_REF_Industry_Wording!$J$2:$J$70,MATCH($CK57,_REF_Industry_Wording!$A$2:$A$70,0)),""))</f>
        <v>Identity / PAM</v>
      </c>
      <c r="CQ57" t="str">
        <f t="shared" si="48"/>
        <v>Wording by industry=0; capability=CAP_IAM_PAM; title=Strengthen Identity / PAM</v>
      </c>
      <c r="CR57" t="str">
        <f t="shared" si="49"/>
        <v>INIT-ONT-0053</v>
      </c>
      <c r="CS57">
        <f t="shared" si="50"/>
        <v>57</v>
      </c>
      <c r="CT57" t="str">
        <f t="shared" si="51"/>
        <v>CAP_IAM_PAM</v>
      </c>
      <c r="CU57" t="str">
        <f t="shared" si="52"/>
        <v>INI-053|Business Systems|ERP|CAP_IAM_PAM</v>
      </c>
      <c r="CV57" t="str">
        <f t="shared" si="53"/>
        <v>Active</v>
      </c>
      <c r="CW57" t="str">
        <f t="shared" si="54"/>
        <v>OK: capability-driven</v>
      </c>
      <c r="CX57" t="str">
        <f t="shared" si="55"/>
        <v>Initiative ontology uses capability=CAP_IAM_PAM; bridge=BRG-003; treatment=TRT-IAM_PAM-INITIAL; wording=IW-ALL-IAM_PAM</v>
      </c>
    </row>
    <row r="58" spans="1:102" ht="42" customHeight="1">
      <c r="A58" s="17" t="s">
        <v>4385</v>
      </c>
      <c r="B58" s="17" t="s">
        <v>2729</v>
      </c>
      <c r="C58" s="17" t="s">
        <v>2739</v>
      </c>
      <c r="D58" s="17" t="s">
        <v>4272</v>
      </c>
      <c r="E58" s="17" t="s">
        <v>4273</v>
      </c>
      <c r="F58" s="17" t="s">
        <v>4386</v>
      </c>
      <c r="G58" s="17" t="s">
        <v>4387</v>
      </c>
      <c r="H58" s="17" t="s">
        <v>4377</v>
      </c>
      <c r="I58" s="17" t="s">
        <v>4378</v>
      </c>
      <c r="J58" s="17" t="s">
        <v>4388</v>
      </c>
      <c r="K58" s="17">
        <v>3</v>
      </c>
      <c r="L58" s="17">
        <f>IF($A58="","",COUNTIFS(_DATA_RiskInitiativeMap!$A$444:$A$867,$A58,_DATA_RiskInitiativeMap!$G$444:$G$867,"&gt;0"))</f>
        <v>3</v>
      </c>
      <c r="M58" s="17">
        <f>IF($A58="","",COUNTIFS(_DATA_RiskInitiativeMap!$A$444:$A$867,$A58,_DATA_RiskInitiativeMap!$G$444:$G$867,"&gt;0"))</f>
        <v>3</v>
      </c>
      <c r="N58" s="17">
        <f>IFERROR(AVERAGEIFS(_DATA_Assessment_Model!$H$5:$H$428,_DATA_Assessment_Model!$AW$5:$AW$428,$B58,_DATA_Assessment_Model!$B$5:$B$428,$C58),"")</f>
        <v>0</v>
      </c>
      <c r="O58" s="17">
        <f t="shared" si="28"/>
        <v>5</v>
      </c>
      <c r="P58" s="17">
        <f>IFERROR(INDEX(_DATA_Dashboard_Facts!$H$5:$H$21,MATCH($B58,_DATA_Dashboard_Facts!$A$5:$A$21,0)),"")</f>
        <v>0</v>
      </c>
      <c r="Q58" s="17">
        <f t="shared" si="29"/>
        <v>5</v>
      </c>
      <c r="R58" s="17">
        <f>IF(OR('Resilience &amp; Risk Scenario'!$B$6="",'Resilience &amp; Risk Scenario'!$B$7&lt;=0),1,IFERROR(IF(SUMIFS(_ENGINE_Crisis!$D$5:$D$208,_ENGINE_Crisis!$A$5:$A$208,'Resilience &amp; Risk Scenario'!$B$6,_ENGINE_Crisis!$B$5:$B$208,$B58)=0,1,SUMIFS(_ENGINE_Crisis!$D$5:$D$208,_ENGINE_Crisis!$A$5:$A$208,'Resilience &amp; Risk Scenario'!$B$6,_ENGINE_Crisis!$B$5:$B$208,$B58)),1))</f>
        <v>1</v>
      </c>
      <c r="S58" s="17">
        <f>IFERROR(INDEX(_ENGINE_Strategy!$A$100:$A$113,MATCH($D58,_ENGINE_Strategy!$B$100:$B$113,0)),99)</f>
        <v>12</v>
      </c>
      <c r="T58" s="17">
        <f>IFERROR(INDEX(_ENGINE_Strategy!$J$100:$J$113,MATCH($D58,_ENGINE_Strategy!$B$100:$B$113,0)),0)</f>
        <v>65.8</v>
      </c>
      <c r="U58" s="17">
        <v>4</v>
      </c>
      <c r="V58" s="17">
        <v>4</v>
      </c>
      <c r="W58" s="17">
        <v>4</v>
      </c>
      <c r="X58" s="17">
        <f t="shared" si="30"/>
        <v>4.5724999999999998</v>
      </c>
      <c r="Y58" s="17">
        <f>IF($P58="","",MAX(1,MIN(5,1+N($O58)*0.45+MIN(2,N($M58)*0.3)+($R58-1)*1.2+IF('Resilience &amp; Risk Scenario'!$B$7="",1,'Resilience &amp; Risk Scenario'!$B$7)*0.25)))</f>
        <v>4.4000000000000004</v>
      </c>
      <c r="Z58" s="17">
        <f t="shared" si="31"/>
        <v>4.8</v>
      </c>
      <c r="AA58" s="17">
        <f t="shared" si="32"/>
        <v>3.7869999999999999</v>
      </c>
      <c r="AB58" s="17">
        <v>4</v>
      </c>
      <c r="AC58" s="17">
        <f t="shared" si="33"/>
        <v>1.31</v>
      </c>
      <c r="AD58" s="17">
        <f t="shared" si="34"/>
        <v>64</v>
      </c>
      <c r="AE58" s="17" t="str">
        <f t="shared" si="35"/>
        <v>12+ months</v>
      </c>
      <c r="AF58" s="17" t="s">
        <v>4380</v>
      </c>
      <c r="AG58" s="17" t="s">
        <v>3502</v>
      </c>
      <c r="AH58" s="17" t="s">
        <v>4337</v>
      </c>
      <c r="AI58" s="17" t="s">
        <v>3932</v>
      </c>
      <c r="AJ58" s="17" t="s">
        <v>4389</v>
      </c>
      <c r="AK58" s="17" t="s">
        <v>4390</v>
      </c>
      <c r="AL58" s="17" t="s">
        <v>4391</v>
      </c>
      <c r="AM58" s="17" t="s">
        <v>4282</v>
      </c>
      <c r="AN58" s="17" t="s">
        <v>3937</v>
      </c>
      <c r="AO58" s="17" t="s">
        <v>3938</v>
      </c>
      <c r="AP58" s="17" t="s">
        <v>4242</v>
      </c>
      <c r="AQ58" s="17"/>
      <c r="AR58" s="17"/>
      <c r="AS58" s="14">
        <f>IFERROR((IF(SUMIFS(_REF_Model_Content!$J$1:$J$157,_REF_Model_Content!$A$1:$A$174,PV_Canonical_Industry,_REF_Model_Content!$B$1:$B$174,$B58)=0,1,SUMIFS(_REF_Model_Content!$J$1:$J$157,_REF_Model_Content!$A$1:$A$174,PV_Canonical_Industry,_REF_Model_Content!$B$1:$B$174,$B58))*IFERROR($CA58,1)),1)</f>
        <v>1</v>
      </c>
      <c r="AT58" s="14">
        <f t="shared" si="36"/>
        <v>1.31</v>
      </c>
      <c r="AU58" s="14">
        <f>IF($AT58="","",RANK($AT58,$AT$5:$AT$76,0)+COUNTIF($AT$5:AT58,$AT58)-1)</f>
        <v>64</v>
      </c>
      <c r="AV58" s="14">
        <f>IFERROR(INDEX(_DATA_Dashboard_Facts!$G$300:$G$316,MATCH($B58,_DATA_Dashboard_Facts!$A$300:$A$316,0)),"")</f>
        <v>0</v>
      </c>
      <c r="AW58" s="14" t="str">
        <f t="shared" si="37"/>
        <v>Relevance-neutral priority</v>
      </c>
      <c r="AX58">
        <f>IFERROR(INDEX('Action Plan &amp; Roadmap'!$D$59:$D$130,MATCH($A58,'Action Plan &amp; Roadmap'!$A$59:$A$130,0)),"")</f>
        <v>0</v>
      </c>
      <c r="AY58">
        <f t="shared" si="38"/>
        <v>0</v>
      </c>
      <c r="AZ58" t="s">
        <v>4343</v>
      </c>
      <c r="BA58">
        <f>IF($A58="","",COUNTIF(_DATA_RiskInitiativeMap!$A$1:$A$867,$A58))</f>
        <v>3</v>
      </c>
      <c r="BB58">
        <f>IF($A58="","",IFERROR(AVERAGEIF(_DATA_RiskInitiativeMap!$A$1:$A$867,$A58,_DATA_RiskInitiativeMap!$G$1:$G$867),0))</f>
        <v>23.323333333333334</v>
      </c>
      <c r="BC58">
        <f t="shared" si="39"/>
        <v>4.5</v>
      </c>
      <c r="BD58">
        <f t="shared" si="40"/>
        <v>4.6926333333333341</v>
      </c>
      <c r="BI58" s="17" t="str">
        <f>IFERROR(_CONFIG_Model_Settings!$B$103,"Adaptive")</f>
        <v>Fragile</v>
      </c>
      <c r="BJ58" s="17">
        <f>IFERROR(INDEX(_CONFIG_Model_Settings!$B$109:$B$113,MATCH($BI58,_CONFIG_Model_Settings!$A$109:$A$113,0)),0.3)</f>
        <v>0.2</v>
      </c>
      <c r="BK58" s="17">
        <f>IFERROR(INDEX(_CONFIG_Model_Settings!$C$109:$C$113,MATCH($BI58,_CONFIG_Model_Settings!$A$109:$A$113,0)),0.2)</f>
        <v>0.3</v>
      </c>
      <c r="BL58" s="17">
        <f>IFERROR(INDEX(_CONFIG_Model_Settings!$D$109:$D$113,MATCH($BI58,_CONFIG_Model_Settings!$A$109:$A$113,0)),0.25)</f>
        <v>0.4</v>
      </c>
      <c r="BM58" s="17">
        <f>IFERROR(INDEX(_CONFIG_Model_Settings!$E$109:$E$113,MATCH($BI58,_CONFIG_Model_Settings!$A$109:$A$113,0)),0.25)</f>
        <v>0.1</v>
      </c>
      <c r="BN58" s="17">
        <f>IFERROR(INDEX(_CONFIG_Model_Settings!$B$117:$B$123,MATCH(_CONFIG_Model_Settings!$B$104,_CONFIG_Model_Settings!$A$117:$A$123,0)),1)</f>
        <v>1</v>
      </c>
      <c r="BO58" s="17">
        <f>IFERROR(INDEX(_CONFIG_Model_Settings!$C$117:$C$123,MATCH(_CONFIG_Model_Settings!$B$104,_CONFIG_Model_Settings!$A$117:$A$123,0)),1)</f>
        <v>1</v>
      </c>
      <c r="BP58" s="17">
        <f>IFERROR(INDEX(_CONFIG_Model_Settings!$D$117:$D$123,MATCH(_CONFIG_Model_Settings!$B$104,_CONFIG_Model_Settings!$A$117:$A$123,0)),1)</f>
        <v>1</v>
      </c>
      <c r="BQ58" s="17">
        <f>IFERROR(INDEX(_CONFIG_Model_Settings!$E$117:$E$123,MATCH(_CONFIG_Model_Settings!$B$104,_CONFIG_Model_Settings!$A$117:$A$123,0)),1)</f>
        <v>1</v>
      </c>
      <c r="BR58" s="17">
        <f>IF(OR($A58="",$P58=""),"",MIN(5,IFERROR(SUMIF(_DATA_RiskInitiativeMap!$A$1:$A$867,$A58,_DATA_RiskInitiativeMap!$K$1:$K$867)/MAX(1,_CONFIG_Model_Settings!$B$166),0)))</f>
        <v>5</v>
      </c>
      <c r="BS58" s="17">
        <f t="shared" si="41"/>
        <v>5.24</v>
      </c>
      <c r="BT58" s="17">
        <f t="shared" si="42"/>
        <v>4</v>
      </c>
      <c r="BU58" s="17">
        <f t="shared" si="43"/>
        <v>1.31</v>
      </c>
      <c r="BV58" s="17">
        <f>IF(OR($P58="",$BU58="",$AY58="Done",$AY58="Not applicable"),"",ROUND($BU58*N($AS58)*IF(OR('Resilience &amp; Risk Scenario'!$B$6="",'Resilience &amp; Risk Scenario'!$B$7&lt;=0),1,IFERROR(1+MIN(0.75,INDEX('Resilience &amp; Risk Scenario'!$E$21:$E$37,MATCH($B58,'Resilience &amp; Risk Scenario'!$B$21:$B$37,0))/10),1)),2))</f>
        <v>1.31</v>
      </c>
      <c r="BW58" s="17">
        <f>IF($BV58="","",RANK($BV58,$BV$5:$BV$76,0)+COUNTIF($BV$5:$BV58,$BV58)-1)</f>
        <v>64</v>
      </c>
      <c r="BX58" s="17" t="str">
        <f t="shared" si="44"/>
        <v>12+ months</v>
      </c>
      <c r="BY58" t="str">
        <f>IFERROR(IF($A58="","","P2: "&amp;$BI58&amp;" posture; objective="&amp;IF(_CONFIG_Model_Settings!$B$104="","Neutral/default",_CONFIG_Model_Settings!$B$104)&amp;"; relevance="&amp;ROUND(N($AS58),2)&amp;"; scenario/domain boost="&amp;ROUND(IF(OR('Resilience &amp; Risk Scenario'!$B$6="",'Resilience &amp; Risk Scenario'!$B$7&lt;=0),1,IFERROR(1+MIN(0.75,INDEX('Resilience &amp; Risk Scenario'!$E$21:$E$37,MATCH($B58,'Resilience &amp; Risk Scenario'!$B$21:$B$37,0))/10),1)),2)&amp;"; financial score="&amp;ROUND(N($BR58),1)&amp;"; CoD="&amp;$BS58&amp;IF($CL58&lt;&gt;"","; wording="&amp;$CL58,"")),"")</f>
        <v>P2: Fragile posture; objective=Neutral/default; relevance=1; scenario/domain boost=1; financial score=5; CoD=5.24; wording=Strengthen Billing / subscription</v>
      </c>
      <c r="BZ58" t="str">
        <f>IFERROR(INDEX(_REF_Capability_Bridge!$D:$D,MATCH($B58&amp;"|"&amp;$C58,_REF_Capability_Bridge!$J:$J,0)),IFERROR(INDEX(_REF_Capability_Bridge!$D:$D,MATCH($B58&amp;"|",_REF_Capability_Bridge!$J:$J,0)),"CAP_GENERIC"))</f>
        <v>CAP_BILLING_SUBSCRIPTION</v>
      </c>
      <c r="CA58">
        <f>IFERROR(IFERROR(INDEX(_ENGINE_Relevance!$L:$L,MATCH($BZ58,_ENGINE_Relevance!$B:$B,0)),1),1)</f>
        <v>1</v>
      </c>
      <c r="CB58" t="str">
        <f>IFERROR(INDEX(_REF_Capability_Bridge!$A:$A,MATCH($B58&amp;"|"&amp;$C58,_REF_Capability_Bridge!$J:$J,0)),IFERROR(INDEX(_REF_Capability_Bridge!$A:$A,MATCH($B58&amp;"|",_REF_Capability_Bridge!$J:$J,0)),"No bridge"))</f>
        <v>BRG-002</v>
      </c>
      <c r="CC58" t="str">
        <f t="shared" si="45"/>
        <v>Capability relevance neutral</v>
      </c>
      <c r="CD58" t="str">
        <f t="shared" si="46"/>
        <v>Initial / absent</v>
      </c>
      <c r="CE58" t="str">
        <f>IF($A58="","",IFERROR(INDEX(_REF_Treatment_Library!$A$2:$A$296,MATCH(1,INDEX((_REF_Treatment_Library!$B$2:$B$296=$BZ58)*(_REF_Treatment_Library!$C$2:$C$296=PV_Canonical_Industry)*(_REF_Treatment_Library!$E$2:$E$296&lt;=N($N58))*(_REF_Treatment_Library!$F$2:$F$296&gt;=N($N58))*(_REF_Treatment_Library!$O$2:$O$296="Yes"),0),0)),IFERROR(INDEX(_REF_Treatment_Library!$A$2:$A$296,MATCH(1,INDEX((_REF_Treatment_Library!$B$2:$B$296=$BZ58)*(_REF_Treatment_Library!$C$2:$C$296="All")*(_REF_Treatment_Library!$E$2:$E$296&lt;=N($N58))*(_REF_Treatment_Library!$F$2:$F$296&gt;=N($N58))*(_REF_Treatment_Library!$O$2:$O$296="Yes"),0),0)),"")))</f>
        <v>TRT-BILLING_SUBSCRIPTION-INITIAL</v>
      </c>
      <c r="CF58" t="str">
        <f>IF($CE58="","",IFERROR(INDEX(_REF_Treatment_Library!$H$2:$H$296,MATCH($CE58,_REF_Treatment_Library!$A$2:$A$296,0)),""))</f>
        <v>Establish</v>
      </c>
      <c r="CG58" t="str">
        <f>IF($CE58="","",IFERROR(INDEX(_REF_Treatment_Library!$I$2:$I$296,MATCH($CE58,_REF_Treatment_Library!$A$2:$A$296,0)),""))</f>
        <v>Establish baseline controls for Billing / subscription</v>
      </c>
      <c r="CH58" t="str">
        <f>IF($CE58="","",IFERROR(INDEX(_REF_Treatment_Library!$K$2:$K$296,MATCH($CE58,_REF_Treatment_Library!$A$2:$A$296,0)),""))</f>
        <v>Named owner, baseline process, minimum control checklist, first evidence package</v>
      </c>
      <c r="CI58" t="str">
        <f>IF($CE58="","",IFERROR(INDEX(_REF_Treatment_Library!$L$2:$L$296,MATCH($CE58,_REF_Treatment_Library!$A$2:$A$296,0)),""))</f>
        <v>Owner assigned; baseline evidence coverage; open critical gaps</v>
      </c>
      <c r="CJ58" t="str">
        <f t="shared" si="47"/>
        <v>Treatment by capability=CAP_BILLING_SUBSCRIPTION; band=Initial / absent; score=0.0; treatment=Establish</v>
      </c>
      <c r="CK58" t="str">
        <f>IF($A58="","",IFERROR(INDEX(_REF_Industry_Wording!$A$2:$A$70,MATCH(1,INDEX((_REF_Industry_Wording!$B$2:$B$70=$BZ58)*(_REF_Industry_Wording!$C$2:$C$70=PV_Canonical_Industry)*(_REF_Industry_Wording!$K$2:$K$70="Yes"),0),0)),IFERROR(INDEX(_REF_Industry_Wording!$A$2:$A$70,MATCH(1,INDEX((_REF_Industry_Wording!$B$2:$B$70=$BZ58)*(_REF_Industry_Wording!$C$2:$C$70="All")*(_REF_Industry_Wording!$K$2:$K$70="Yes"),0),0)),"")))</f>
        <v>IW-ALL-BILLING_SUBSCRIPTION</v>
      </c>
      <c r="CL58" t="str">
        <f>IF($CK58="","",IFERROR(INDEX(_REF_Industry_Wording!$F$2:$F$70,MATCH($CK58,_REF_Industry_Wording!$A$2:$A$70,0)),""))</f>
        <v>Strengthen Billing / subscription</v>
      </c>
      <c r="CM58" t="str">
        <f>IF($CK58="","",IFERROR(INDEX(_REF_Industry_Wording!$G$2:$G$70,MATCH($CK58,_REF_Industry_Wording!$A$2:$A$70,0)),""))</f>
        <v>Strengthen Billing / subscription using the selected maturity treatment, crisis scenario and evidence requirements.</v>
      </c>
      <c r="CN58" t="str">
        <f>IF($CK58="","",IFERROR(INDEX(_REF_Industry_Wording!$H$2:$H$70,MATCH($CK58,_REF_Industry_Wording!$A$2:$A$70,0)),""))</f>
        <v>Billing / subscription</v>
      </c>
      <c r="CO58">
        <f>IF($CK58="","",IFERROR(INDEX(_REF_Industry_Wording!$I$2:$I$70,MATCH($CK58,_REF_Industry_Wording!$A$2:$A$70,0)),""))</f>
        <v>0</v>
      </c>
      <c r="CP58" t="str">
        <f>IF($CK58="","",IFERROR(INDEX(_REF_Industry_Wording!$J$2:$J$70,MATCH($CK58,_REF_Industry_Wording!$A$2:$A$70,0)),""))</f>
        <v>Billing / subscription</v>
      </c>
      <c r="CQ58" t="str">
        <f t="shared" si="48"/>
        <v>Wording by industry=0; capability=CAP_BILLING_SUBSCRIPTION; title=Strengthen Billing / subscription</v>
      </c>
      <c r="CR58" t="str">
        <f t="shared" si="49"/>
        <v>INIT-ONT-0054</v>
      </c>
      <c r="CS58">
        <f t="shared" si="50"/>
        <v>58</v>
      </c>
      <c r="CT58" t="str">
        <f t="shared" si="51"/>
        <v>CAP_BILLING_SUBSCRIPTION</v>
      </c>
      <c r="CU58" t="str">
        <f t="shared" si="52"/>
        <v>INI-054|Business Systems|CRM and commerce|CAP_BILLING_SUBSCRIPTION</v>
      </c>
      <c r="CV58" t="str">
        <f t="shared" si="53"/>
        <v>Active</v>
      </c>
      <c r="CW58" t="str">
        <f t="shared" si="54"/>
        <v>OK: capability-driven</v>
      </c>
      <c r="CX58" t="str">
        <f t="shared" si="55"/>
        <v>Initiative ontology uses capability=CAP_BILLING_SUBSCRIPTION; bridge=BRG-002; treatment=TRT-BILLING_SUBSCRIPTION-INITIAL; wording=IW-ALL-BILLING_SUBSCRIPTION</v>
      </c>
    </row>
    <row r="59" spans="1:102" ht="42" customHeight="1">
      <c r="A59" s="17" t="s">
        <v>4392</v>
      </c>
      <c r="B59" s="17" t="s">
        <v>2729</v>
      </c>
      <c r="C59" s="17" t="s">
        <v>2743</v>
      </c>
      <c r="D59" s="17" t="s">
        <v>4230</v>
      </c>
      <c r="E59" s="17" t="s">
        <v>4231</v>
      </c>
      <c r="F59" s="17" t="s">
        <v>4393</v>
      </c>
      <c r="G59" s="17" t="s">
        <v>4394</v>
      </c>
      <c r="H59" s="17" t="s">
        <v>4377</v>
      </c>
      <c r="I59" s="17" t="s">
        <v>4378</v>
      </c>
      <c r="J59" s="17" t="s">
        <v>4395</v>
      </c>
      <c r="K59" s="17">
        <v>4</v>
      </c>
      <c r="L59" s="17">
        <f>IF($A59="","",COUNTIFS(_DATA_RiskInitiativeMap!$A$444:$A$867,$A59,_DATA_RiskInitiativeMap!$G$444:$G$867,"&gt;0"))</f>
        <v>4</v>
      </c>
      <c r="M59" s="17">
        <f>IF($A59="","",COUNTIFS(_DATA_RiskInitiativeMap!$A$444:$A$867,$A59,_DATA_RiskInitiativeMap!$G$444:$G$867,"&gt;0"))</f>
        <v>4</v>
      </c>
      <c r="N59" s="17">
        <f>IFERROR(AVERAGEIFS(_DATA_Assessment_Model!$H$5:$H$428,_DATA_Assessment_Model!$AW$5:$AW$428,$B59,_DATA_Assessment_Model!$B$5:$B$428,$C59),"")</f>
        <v>0</v>
      </c>
      <c r="O59" s="17">
        <f t="shared" si="28"/>
        <v>5</v>
      </c>
      <c r="P59" s="17">
        <f>IFERROR(INDEX(_DATA_Dashboard_Facts!$H$5:$H$21,MATCH($B59,_DATA_Dashboard_Facts!$A$5:$A$21,0)),"")</f>
        <v>0</v>
      </c>
      <c r="Q59" s="17">
        <f t="shared" si="29"/>
        <v>5</v>
      </c>
      <c r="R59" s="17">
        <f>IF(OR('Resilience &amp; Risk Scenario'!$B$6="",'Resilience &amp; Risk Scenario'!$B$7&lt;=0),1,IFERROR(IF(SUMIFS(_ENGINE_Crisis!$D$5:$D$208,_ENGINE_Crisis!$A$5:$A$208,'Resilience &amp; Risk Scenario'!$B$6,_ENGINE_Crisis!$B$5:$B$208,$B59)=0,1,SUMIFS(_ENGINE_Crisis!$D$5:$D$208,_ENGINE_Crisis!$A$5:$A$208,'Resilience &amp; Risk Scenario'!$B$6,_ENGINE_Crisis!$B$5:$B$208,$B59)),1))</f>
        <v>1</v>
      </c>
      <c r="S59" s="17">
        <f>IFERROR(INDEX(_ENGINE_Strategy!$A$100:$A$113,MATCH($D59,_ENGINE_Strategy!$B$100:$B$113,0)),99)</f>
        <v>1</v>
      </c>
      <c r="T59" s="17">
        <f>IFERROR(INDEX(_ENGINE_Strategy!$J$100:$J$113,MATCH($D59,_ENGINE_Strategy!$B$100:$B$113,0)),0)</f>
        <v>71</v>
      </c>
      <c r="U59" s="17">
        <v>5</v>
      </c>
      <c r="V59" s="17">
        <v>5</v>
      </c>
      <c r="W59" s="17">
        <v>4</v>
      </c>
      <c r="X59" s="17">
        <f t="shared" si="30"/>
        <v>4.6375000000000002</v>
      </c>
      <c r="Y59" s="17">
        <f>IF($P59="","",MAX(1,MIN(5,1+N($O59)*0.45+MIN(2,N($M59)*0.3)+($R59-1)*1.2+IF('Resilience &amp; Risk Scenario'!$B$7="",1,'Resilience &amp; Risk Scenario'!$B$7)*0.25)))</f>
        <v>4.7</v>
      </c>
      <c r="Z59" s="17">
        <f t="shared" si="31"/>
        <v>5</v>
      </c>
      <c r="AA59" s="17">
        <f t="shared" si="32"/>
        <v>4.2650000000000006</v>
      </c>
      <c r="AB59" s="17">
        <v>4</v>
      </c>
      <c r="AC59" s="17">
        <f t="shared" si="33"/>
        <v>1.36</v>
      </c>
      <c r="AD59" s="17">
        <f t="shared" si="34"/>
        <v>55</v>
      </c>
      <c r="AE59" s="17" t="str">
        <f t="shared" si="35"/>
        <v>6-12 months</v>
      </c>
      <c r="AF59" s="17" t="s">
        <v>4380</v>
      </c>
      <c r="AG59" s="17" t="s">
        <v>3502</v>
      </c>
      <c r="AH59" s="17" t="s">
        <v>4337</v>
      </c>
      <c r="AI59" s="17" t="s">
        <v>3932</v>
      </c>
      <c r="AJ59" s="17" t="s">
        <v>4396</v>
      </c>
      <c r="AK59" s="17" t="s">
        <v>4397</v>
      </c>
      <c r="AL59" s="17" t="s">
        <v>4398</v>
      </c>
      <c r="AM59" s="17" t="s">
        <v>4241</v>
      </c>
      <c r="AN59" s="17" t="s">
        <v>3937</v>
      </c>
      <c r="AO59" s="17" t="s">
        <v>3938</v>
      </c>
      <c r="AP59" s="17" t="s">
        <v>4242</v>
      </c>
      <c r="AQ59" s="17"/>
      <c r="AR59" s="17"/>
      <c r="AS59" s="14">
        <f>IFERROR((IF(SUMIFS(_REF_Model_Content!$J$1:$J$157,_REF_Model_Content!$A$1:$A$174,PV_Canonical_Industry,_REF_Model_Content!$B$1:$B$174,$B59)=0,1,SUMIFS(_REF_Model_Content!$J$1:$J$157,_REF_Model_Content!$A$1:$A$174,PV_Canonical_Industry,_REF_Model_Content!$B$1:$B$174,$B59))*IFERROR($CA59,1)),1)</f>
        <v>1</v>
      </c>
      <c r="AT59" s="14">
        <f t="shared" si="36"/>
        <v>1.36</v>
      </c>
      <c r="AU59" s="14">
        <f>IF($AT59="","",RANK($AT59,$AT$5:$AT$76,0)+COUNTIF($AT$5:AT59,$AT59)-1)</f>
        <v>55</v>
      </c>
      <c r="AV59" s="14">
        <f>IFERROR(INDEX(_DATA_Dashboard_Facts!$G$300:$G$316,MATCH($B59,_DATA_Dashboard_Facts!$A$300:$A$316,0)),"")</f>
        <v>0</v>
      </c>
      <c r="AW59" s="14" t="str">
        <f t="shared" si="37"/>
        <v>Relevance-neutral priority</v>
      </c>
      <c r="AX59">
        <f>IFERROR(INDEX('Action Plan &amp; Roadmap'!$D$59:$D$130,MATCH($A59,'Action Plan &amp; Roadmap'!$A$59:$A$130,0)),"")</f>
        <v>0</v>
      </c>
      <c r="AY59">
        <f t="shared" si="38"/>
        <v>0</v>
      </c>
      <c r="AZ59" t="s">
        <v>4343</v>
      </c>
      <c r="BA59">
        <f>IF($A59="","",COUNTIF(_DATA_RiskInitiativeMap!$A$1:$A$867,$A59))</f>
        <v>4</v>
      </c>
      <c r="BB59">
        <f>IF($A59="","",IFERROR(AVERAGEIF(_DATA_RiskInitiativeMap!$A$1:$A$867,$A59,_DATA_RiskInitiativeMap!$G$1:$G$867),0))</f>
        <v>22.9</v>
      </c>
      <c r="BC59">
        <f t="shared" si="39"/>
        <v>4.8</v>
      </c>
      <c r="BD59">
        <f t="shared" si="40"/>
        <v>4.8129999999999997</v>
      </c>
      <c r="BI59" s="17" t="str">
        <f>IFERROR(_CONFIG_Model_Settings!$B$103,"Adaptive")</f>
        <v>Fragile</v>
      </c>
      <c r="BJ59" s="17">
        <f>IFERROR(INDEX(_CONFIG_Model_Settings!$B$109:$B$113,MATCH($BI59,_CONFIG_Model_Settings!$A$109:$A$113,0)),0.3)</f>
        <v>0.2</v>
      </c>
      <c r="BK59" s="17">
        <f>IFERROR(INDEX(_CONFIG_Model_Settings!$C$109:$C$113,MATCH($BI59,_CONFIG_Model_Settings!$A$109:$A$113,0)),0.2)</f>
        <v>0.3</v>
      </c>
      <c r="BL59" s="17">
        <f>IFERROR(INDEX(_CONFIG_Model_Settings!$D$109:$D$113,MATCH($BI59,_CONFIG_Model_Settings!$A$109:$A$113,0)),0.25)</f>
        <v>0.4</v>
      </c>
      <c r="BM59" s="17">
        <f>IFERROR(INDEX(_CONFIG_Model_Settings!$E$109:$E$113,MATCH($BI59,_CONFIG_Model_Settings!$A$109:$A$113,0)),0.25)</f>
        <v>0.1</v>
      </c>
      <c r="BN59" s="17">
        <f>IFERROR(INDEX(_CONFIG_Model_Settings!$B$117:$B$123,MATCH(_CONFIG_Model_Settings!$B$104,_CONFIG_Model_Settings!$A$117:$A$123,0)),1)</f>
        <v>1</v>
      </c>
      <c r="BO59" s="17">
        <f>IFERROR(INDEX(_CONFIG_Model_Settings!$C$117:$C$123,MATCH(_CONFIG_Model_Settings!$B$104,_CONFIG_Model_Settings!$A$117:$A$123,0)),1)</f>
        <v>1</v>
      </c>
      <c r="BP59" s="17">
        <f>IFERROR(INDEX(_CONFIG_Model_Settings!$D$117:$D$123,MATCH(_CONFIG_Model_Settings!$B$104,_CONFIG_Model_Settings!$A$117:$A$123,0)),1)</f>
        <v>1</v>
      </c>
      <c r="BQ59" s="17">
        <f>IFERROR(INDEX(_CONFIG_Model_Settings!$E$117:$E$123,MATCH(_CONFIG_Model_Settings!$B$104,_CONFIG_Model_Settings!$A$117:$A$123,0)),1)</f>
        <v>1</v>
      </c>
      <c r="BR59" s="17">
        <f>IF(OR($A59="",$P59=""),"",MIN(5,IFERROR(SUMIF(_DATA_RiskInitiativeMap!$A$1:$A$867,$A59,_DATA_RiskInitiativeMap!$K$1:$K$867)/MAX(1,_CONFIG_Model_Settings!$B$166),0)))</f>
        <v>5</v>
      </c>
      <c r="BS59" s="17">
        <f t="shared" si="41"/>
        <v>5.44</v>
      </c>
      <c r="BT59" s="17">
        <f t="shared" si="42"/>
        <v>4</v>
      </c>
      <c r="BU59" s="17">
        <f t="shared" si="43"/>
        <v>1.36</v>
      </c>
      <c r="BV59" s="17">
        <f>IF(OR($P59="",$BU59="",$AY59="Done",$AY59="Not applicable"),"",ROUND($BU59*N($AS59)*IF(OR('Resilience &amp; Risk Scenario'!$B$6="",'Resilience &amp; Risk Scenario'!$B$7&lt;=0),1,IFERROR(1+MIN(0.75,INDEX('Resilience &amp; Risk Scenario'!$E$21:$E$37,MATCH($B59,'Resilience &amp; Risk Scenario'!$B$21:$B$37,0))/10),1)),2))</f>
        <v>1.36</v>
      </c>
      <c r="BW59" s="17">
        <f>IF($BV59="","",RANK($BV59,$BV$5:$BV$76,0)+COUNTIF($BV$5:$BV59,$BV59)-1)</f>
        <v>55</v>
      </c>
      <c r="BX59" s="17" t="str">
        <f t="shared" si="44"/>
        <v>6-12 months</v>
      </c>
      <c r="BY59" t="str">
        <f>IFERROR(IF($A59="","","P2: "&amp;$BI59&amp;" posture; objective="&amp;IF(_CONFIG_Model_Settings!$B$104="","Neutral/default",_CONFIG_Model_Settings!$B$104)&amp;"; relevance="&amp;ROUND(N($AS59),2)&amp;"; scenario/domain boost="&amp;ROUND(IF(OR('Resilience &amp; Risk Scenario'!$B$6="",'Resilience &amp; Risk Scenario'!$B$7&lt;=0),1,IFERROR(1+MIN(0.75,INDEX('Resilience &amp; Risk Scenario'!$E$21:$E$37,MATCH($B59,'Resilience &amp; Risk Scenario'!$B$21:$B$37,0))/10),1)),2)&amp;"; financial score="&amp;ROUND(N($BR59),1)&amp;"; CoD="&amp;$BS59&amp;IF($CL59&lt;&gt;"","; wording="&amp;$CL59,"")),"")</f>
        <v>P2: Fragile posture; objective=Neutral/default; relevance=1; scenario/domain boost=1; financial score=5; CoD=5.44; wording=Strengthen Platform continuity</v>
      </c>
      <c r="BZ59" t="str">
        <f>IFERROR(INDEX(_REF_Capability_Bridge!$D:$D,MATCH($B59&amp;"|"&amp;$C59,_REF_Capability_Bridge!$J:$J,0)),IFERROR(INDEX(_REF_Capability_Bridge!$D:$D,MATCH($B59&amp;"|",_REF_Capability_Bridge!$J:$J,0)),"CAP_GENERIC"))</f>
        <v>CAP_PLATFORM_CONTINUITY</v>
      </c>
      <c r="CA59">
        <f>IFERROR(IFERROR(INDEX(_ENGINE_Relevance!$L:$L,MATCH($BZ59,_ENGINE_Relevance!$B:$B,0)),1),1)</f>
        <v>1</v>
      </c>
      <c r="CB59" t="str">
        <f>IFERROR(INDEX(_REF_Capability_Bridge!$A:$A,MATCH($B59&amp;"|"&amp;$C59,_REF_Capability_Bridge!$J:$J,0)),IFERROR(INDEX(_REF_Capability_Bridge!$A:$A,MATCH($B59&amp;"|",_REF_Capability_Bridge!$J:$J,0)),"No bridge"))</f>
        <v>BRG-006</v>
      </c>
      <c r="CC59" t="str">
        <f t="shared" si="45"/>
        <v>Capability relevance neutral</v>
      </c>
      <c r="CD59" t="str">
        <f t="shared" si="46"/>
        <v>Initial / absent</v>
      </c>
      <c r="CE59" t="str">
        <f>IF($A59="","",IFERROR(INDEX(_REF_Treatment_Library!$A$2:$A$296,MATCH(1,INDEX((_REF_Treatment_Library!$B$2:$B$296=$BZ59)*(_REF_Treatment_Library!$C$2:$C$296=PV_Canonical_Industry)*(_REF_Treatment_Library!$E$2:$E$296&lt;=N($N59))*(_REF_Treatment_Library!$F$2:$F$296&gt;=N($N59))*(_REF_Treatment_Library!$O$2:$O$296="Yes"),0),0)),IFERROR(INDEX(_REF_Treatment_Library!$A$2:$A$296,MATCH(1,INDEX((_REF_Treatment_Library!$B$2:$B$296=$BZ59)*(_REF_Treatment_Library!$C$2:$C$296="All")*(_REF_Treatment_Library!$E$2:$E$296&lt;=N($N59))*(_REF_Treatment_Library!$F$2:$F$296&gt;=N($N59))*(_REF_Treatment_Library!$O$2:$O$296="Yes"),0),0)),"")))</f>
        <v>TRT-PLATFORM_CONTINUITY-INITIAL</v>
      </c>
      <c r="CF59" t="str">
        <f>IF($CE59="","",IFERROR(INDEX(_REF_Treatment_Library!$H$2:$H$296,MATCH($CE59,_REF_Treatment_Library!$A$2:$A$296,0)),""))</f>
        <v>Establish</v>
      </c>
      <c r="CG59" t="str">
        <f>IF($CE59="","",IFERROR(INDEX(_REF_Treatment_Library!$I$2:$I$296,MATCH($CE59,_REF_Treatment_Library!$A$2:$A$296,0)),""))</f>
        <v>Establish baseline controls for Platform continuity</v>
      </c>
      <c r="CH59" t="str">
        <f>IF($CE59="","",IFERROR(INDEX(_REF_Treatment_Library!$K$2:$K$296,MATCH($CE59,_REF_Treatment_Library!$A$2:$A$296,0)),""))</f>
        <v>Named owner, baseline process, minimum control checklist, first evidence package</v>
      </c>
      <c r="CI59" t="str">
        <f>IF($CE59="","",IFERROR(INDEX(_REF_Treatment_Library!$L$2:$L$296,MATCH($CE59,_REF_Treatment_Library!$A$2:$A$296,0)),""))</f>
        <v>Owner assigned; baseline evidence coverage; open critical gaps</v>
      </c>
      <c r="CJ59" t="str">
        <f t="shared" si="47"/>
        <v>Treatment by capability=CAP_PLATFORM_CONTINUITY; band=Initial / absent; score=0.0; treatment=Establish</v>
      </c>
      <c r="CK59" t="str">
        <f>IF($A59="","",IFERROR(INDEX(_REF_Industry_Wording!$A$2:$A$70,MATCH(1,INDEX((_REF_Industry_Wording!$B$2:$B$70=$BZ59)*(_REF_Industry_Wording!$C$2:$C$70=PV_Canonical_Industry)*(_REF_Industry_Wording!$K$2:$K$70="Yes"),0),0)),IFERROR(INDEX(_REF_Industry_Wording!$A$2:$A$70,MATCH(1,INDEX((_REF_Industry_Wording!$B$2:$B$70=$BZ59)*(_REF_Industry_Wording!$C$2:$C$70="All")*(_REF_Industry_Wording!$K$2:$K$70="Yes"),0),0)),"")))</f>
        <v>IW-ALL-PLATFORM_CONTINUITY</v>
      </c>
      <c r="CL59" t="str">
        <f>IF($CK59="","",IFERROR(INDEX(_REF_Industry_Wording!$F$2:$F$70,MATCH($CK59,_REF_Industry_Wording!$A$2:$A$70,0)),""))</f>
        <v>Strengthen Platform continuity</v>
      </c>
      <c r="CM59" t="str">
        <f>IF($CK59="","",IFERROR(INDEX(_REF_Industry_Wording!$G$2:$G$70,MATCH($CK59,_REF_Industry_Wording!$A$2:$A$70,0)),""))</f>
        <v>Strengthen Platform continuity using the selected maturity treatment, crisis scenario and evidence requirements.</v>
      </c>
      <c r="CN59" t="str">
        <f>IF($CK59="","",IFERROR(INDEX(_REF_Industry_Wording!$H$2:$H$70,MATCH($CK59,_REF_Industry_Wording!$A$2:$A$70,0)),""))</f>
        <v>Platform continuity</v>
      </c>
      <c r="CO59">
        <f>IF($CK59="","",IFERROR(INDEX(_REF_Industry_Wording!$I$2:$I$70,MATCH($CK59,_REF_Industry_Wording!$A$2:$A$70,0)),""))</f>
        <v>0</v>
      </c>
      <c r="CP59" t="str">
        <f>IF($CK59="","",IFERROR(INDEX(_REF_Industry_Wording!$J$2:$J$70,MATCH($CK59,_REF_Industry_Wording!$A$2:$A$70,0)),""))</f>
        <v>Platform continuity</v>
      </c>
      <c r="CQ59" t="str">
        <f t="shared" si="48"/>
        <v>Wording by industry=0; capability=CAP_PLATFORM_CONTINUITY; title=Strengthen Platform continuity</v>
      </c>
      <c r="CR59" t="str">
        <f t="shared" si="49"/>
        <v>INIT-ONT-0055</v>
      </c>
      <c r="CS59">
        <f t="shared" si="50"/>
        <v>59</v>
      </c>
      <c r="CT59" t="str">
        <f t="shared" si="51"/>
        <v>CAP_PLATFORM_CONTINUITY</v>
      </c>
      <c r="CU59" t="str">
        <f t="shared" si="52"/>
        <v>INI-055|Business Systems|MES WMS TMS|CAP_PLATFORM_CONTINUITY</v>
      </c>
      <c r="CV59" t="str">
        <f t="shared" si="53"/>
        <v>Active</v>
      </c>
      <c r="CW59" t="str">
        <f t="shared" si="54"/>
        <v>OK: capability-driven</v>
      </c>
      <c r="CX59" t="str">
        <f t="shared" si="55"/>
        <v>Initiative ontology uses capability=CAP_PLATFORM_CONTINUITY; bridge=BRG-006; treatment=TRT-PLATFORM_CONTINUITY-INITIAL; wording=IW-ALL-PLATFORM_CONTINUITY</v>
      </c>
    </row>
    <row r="60" spans="1:102" ht="42" customHeight="1">
      <c r="A60" s="17" t="s">
        <v>4399</v>
      </c>
      <c r="B60" s="17" t="s">
        <v>2729</v>
      </c>
      <c r="C60" s="17" t="s">
        <v>2747</v>
      </c>
      <c r="D60" s="17" t="s">
        <v>4373</v>
      </c>
      <c r="E60" s="17" t="s">
        <v>4374</v>
      </c>
      <c r="F60" s="17" t="s">
        <v>4400</v>
      </c>
      <c r="G60" s="17" t="s">
        <v>4401</v>
      </c>
      <c r="H60" s="17" t="s">
        <v>4377</v>
      </c>
      <c r="I60" s="17" t="s">
        <v>4378</v>
      </c>
      <c r="J60" s="17" t="s">
        <v>4402</v>
      </c>
      <c r="K60" s="17">
        <v>3</v>
      </c>
      <c r="L60" s="17">
        <f>IF($A60="","",COUNTIFS(_DATA_RiskInitiativeMap!$A$444:$A$867,$A60,_DATA_RiskInitiativeMap!$G$444:$G$867,"&gt;0"))</f>
        <v>3</v>
      </c>
      <c r="M60" s="17">
        <f>IF($A60="","",COUNTIFS(_DATA_RiskInitiativeMap!$A$444:$A$867,$A60,_DATA_RiskInitiativeMap!$G$444:$G$867,"&gt;0"))</f>
        <v>3</v>
      </c>
      <c r="N60" s="17">
        <f>IFERROR(AVERAGEIFS(_DATA_Assessment_Model!$H$5:$H$428,_DATA_Assessment_Model!$AW$5:$AW$428,$B60,_DATA_Assessment_Model!$B$5:$B$428,$C60),"")</f>
        <v>0</v>
      </c>
      <c r="O60" s="17">
        <f t="shared" si="28"/>
        <v>5</v>
      </c>
      <c r="P60" s="17">
        <f>IFERROR(INDEX(_DATA_Dashboard_Facts!$H$5:$H$21,MATCH($B60,_DATA_Dashboard_Facts!$A$5:$A$21,0)),"")</f>
        <v>0</v>
      </c>
      <c r="Q60" s="17">
        <f t="shared" si="29"/>
        <v>5</v>
      </c>
      <c r="R60" s="17">
        <f>IF(OR('Resilience &amp; Risk Scenario'!$B$6="",'Resilience &amp; Risk Scenario'!$B$7&lt;=0),1,IFERROR(IF(SUMIFS(_ENGINE_Crisis!$D$5:$D$208,_ENGINE_Crisis!$A$5:$A$208,'Resilience &amp; Risk Scenario'!$B$6,_ENGINE_Crisis!$B$5:$B$208,$B60)=0,1,SUMIFS(_ENGINE_Crisis!$D$5:$D$208,_ENGINE_Crisis!$A$5:$A$208,'Resilience &amp; Risk Scenario'!$B$6,_ENGINE_Crisis!$B$5:$B$208,$B60)),1))</f>
        <v>1</v>
      </c>
      <c r="S60" s="17">
        <f>IFERROR(INDEX(_ENGINE_Strategy!$A$100:$A$113,MATCH($D60,_ENGINE_Strategy!$B$100:$B$113,0)),99)</f>
        <v>7</v>
      </c>
      <c r="T60" s="17">
        <f>IFERROR(INDEX(_ENGINE_Strategy!$J$100:$J$113,MATCH($D60,_ENGINE_Strategy!$B$100:$B$113,0)),0)</f>
        <v>68.400000000000006</v>
      </c>
      <c r="U60" s="17">
        <v>5</v>
      </c>
      <c r="V60" s="17">
        <v>3</v>
      </c>
      <c r="W60" s="17">
        <v>4</v>
      </c>
      <c r="X60" s="17">
        <f t="shared" si="30"/>
        <v>4.6050000000000004</v>
      </c>
      <c r="Y60" s="17">
        <f>IF($P60="","",MAX(1,MIN(5,1+N($O60)*0.45+MIN(2,N($M60)*0.3)+($R60-1)*1.2+IF('Resilience &amp; Risk Scenario'!$B$7="",1,'Resilience &amp; Risk Scenario'!$B$7)*0.25)))</f>
        <v>4.4000000000000004</v>
      </c>
      <c r="Z60" s="17">
        <f t="shared" si="31"/>
        <v>4.5999999999999996</v>
      </c>
      <c r="AA60" s="17">
        <f t="shared" si="32"/>
        <v>4.226</v>
      </c>
      <c r="AB60" s="17">
        <v>4</v>
      </c>
      <c r="AC60" s="17">
        <f t="shared" si="33"/>
        <v>1.31</v>
      </c>
      <c r="AD60" s="17">
        <f t="shared" si="34"/>
        <v>65</v>
      </c>
      <c r="AE60" s="17" t="str">
        <f t="shared" si="35"/>
        <v>12+ months</v>
      </c>
      <c r="AF60" s="17" t="s">
        <v>4380</v>
      </c>
      <c r="AG60" s="17" t="s">
        <v>3502</v>
      </c>
      <c r="AH60" s="17" t="s">
        <v>4337</v>
      </c>
      <c r="AI60" s="17" t="s">
        <v>3932</v>
      </c>
      <c r="AJ60" s="17" t="s">
        <v>4403</v>
      </c>
      <c r="AK60" s="17" t="s">
        <v>4404</v>
      </c>
      <c r="AL60" s="17" t="s">
        <v>4405</v>
      </c>
      <c r="AM60" s="17" t="s">
        <v>4384</v>
      </c>
      <c r="AN60" s="17" t="s">
        <v>3937</v>
      </c>
      <c r="AO60" s="17" t="s">
        <v>3938</v>
      </c>
      <c r="AP60" s="17" t="s">
        <v>4242</v>
      </c>
      <c r="AQ60" s="17"/>
      <c r="AR60" s="17"/>
      <c r="AS60" s="14">
        <f>IFERROR((IF(SUMIFS(_REF_Model_Content!$J$1:$J$157,_REF_Model_Content!$A$1:$A$174,PV_Canonical_Industry,_REF_Model_Content!$B$1:$B$174,$B60)=0,1,SUMIFS(_REF_Model_Content!$J$1:$J$157,_REF_Model_Content!$A$1:$A$174,PV_Canonical_Industry,_REF_Model_Content!$B$1:$B$174,$B60))*IFERROR($CA60,1)),1)</f>
        <v>1</v>
      </c>
      <c r="AT60" s="14">
        <f t="shared" si="36"/>
        <v>1.31</v>
      </c>
      <c r="AU60" s="14">
        <f>IF($AT60="","",RANK($AT60,$AT$5:$AT$76,0)+COUNTIF($AT$5:AT60,$AT60)-1)</f>
        <v>65</v>
      </c>
      <c r="AV60" s="14">
        <f>IFERROR(INDEX(_DATA_Dashboard_Facts!$G$300:$G$316,MATCH($B60,_DATA_Dashboard_Facts!$A$300:$A$316,0)),"")</f>
        <v>0</v>
      </c>
      <c r="AW60" s="14" t="str">
        <f t="shared" si="37"/>
        <v>Relevance-neutral priority</v>
      </c>
      <c r="AX60">
        <f>IFERROR(INDEX('Action Plan &amp; Roadmap'!$D$59:$D$130,MATCH($A60,'Action Plan &amp; Roadmap'!$A$59:$A$130,0)),"")</f>
        <v>0</v>
      </c>
      <c r="AY60">
        <f t="shared" si="38"/>
        <v>0</v>
      </c>
      <c r="AZ60" t="s">
        <v>4343</v>
      </c>
      <c r="BA60">
        <f>IF($A60="","",COUNTIF(_DATA_RiskInitiativeMap!$A$1:$A$867,$A60))</f>
        <v>3</v>
      </c>
      <c r="BB60">
        <f>IF($A60="","",IFERROR(AVERAGEIF(_DATA_RiskInitiativeMap!$A$1:$A$867,$A60,_DATA_RiskInitiativeMap!$G$1:$G$867),0))</f>
        <v>23.66</v>
      </c>
      <c r="BC60">
        <f t="shared" si="39"/>
        <v>4.2</v>
      </c>
      <c r="BD60">
        <f t="shared" si="40"/>
        <v>4.5661999999999994</v>
      </c>
      <c r="BI60" s="17" t="str">
        <f>IFERROR(_CONFIG_Model_Settings!$B$103,"Adaptive")</f>
        <v>Fragile</v>
      </c>
      <c r="BJ60" s="17">
        <f>IFERROR(INDEX(_CONFIG_Model_Settings!$B$109:$B$113,MATCH($BI60,_CONFIG_Model_Settings!$A$109:$A$113,0)),0.3)</f>
        <v>0.2</v>
      </c>
      <c r="BK60" s="17">
        <f>IFERROR(INDEX(_CONFIG_Model_Settings!$C$109:$C$113,MATCH($BI60,_CONFIG_Model_Settings!$A$109:$A$113,0)),0.2)</f>
        <v>0.3</v>
      </c>
      <c r="BL60" s="17">
        <f>IFERROR(INDEX(_CONFIG_Model_Settings!$D$109:$D$113,MATCH($BI60,_CONFIG_Model_Settings!$A$109:$A$113,0)),0.25)</f>
        <v>0.4</v>
      </c>
      <c r="BM60" s="17">
        <f>IFERROR(INDEX(_CONFIG_Model_Settings!$E$109:$E$113,MATCH($BI60,_CONFIG_Model_Settings!$A$109:$A$113,0)),0.25)</f>
        <v>0.1</v>
      </c>
      <c r="BN60" s="17">
        <f>IFERROR(INDEX(_CONFIG_Model_Settings!$B$117:$B$123,MATCH(_CONFIG_Model_Settings!$B$104,_CONFIG_Model_Settings!$A$117:$A$123,0)),1)</f>
        <v>1</v>
      </c>
      <c r="BO60" s="17">
        <f>IFERROR(INDEX(_CONFIG_Model_Settings!$C$117:$C$123,MATCH(_CONFIG_Model_Settings!$B$104,_CONFIG_Model_Settings!$A$117:$A$123,0)),1)</f>
        <v>1</v>
      </c>
      <c r="BP60" s="17">
        <f>IFERROR(INDEX(_CONFIG_Model_Settings!$D$117:$D$123,MATCH(_CONFIG_Model_Settings!$B$104,_CONFIG_Model_Settings!$A$117:$A$123,0)),1)</f>
        <v>1</v>
      </c>
      <c r="BQ60" s="17">
        <f>IFERROR(INDEX(_CONFIG_Model_Settings!$E$117:$E$123,MATCH(_CONFIG_Model_Settings!$B$104,_CONFIG_Model_Settings!$A$117:$A$123,0)),1)</f>
        <v>1</v>
      </c>
      <c r="BR60" s="17">
        <f>IF(OR($A60="",$P60=""),"",MIN(5,IFERROR(SUMIF(_DATA_RiskInitiativeMap!$A$1:$A$867,$A60,_DATA_RiskInitiativeMap!$K$1:$K$867)/MAX(1,_CONFIG_Model_Settings!$B$166),0)))</f>
        <v>5</v>
      </c>
      <c r="BS60" s="17">
        <f t="shared" si="41"/>
        <v>5.24</v>
      </c>
      <c r="BT60" s="17">
        <f t="shared" si="42"/>
        <v>4</v>
      </c>
      <c r="BU60" s="17">
        <f t="shared" si="43"/>
        <v>1.31</v>
      </c>
      <c r="BV60" s="17">
        <f>IF(OR($P60="",$BU60="",$AY60="Done",$AY60="Not applicable"),"",ROUND($BU60*N($AS60)*IF(OR('Resilience &amp; Risk Scenario'!$B$6="",'Resilience &amp; Risk Scenario'!$B$7&lt;=0),1,IFERROR(1+MIN(0.75,INDEX('Resilience &amp; Risk Scenario'!$E$21:$E$37,MATCH($B60,'Resilience &amp; Risk Scenario'!$B$21:$B$37,0))/10),1)),2))</f>
        <v>1.31</v>
      </c>
      <c r="BW60" s="17">
        <f>IF($BV60="","",RANK($BV60,$BV$5:$BV$76,0)+COUNTIF($BV$5:$BV60,$BV60)-1)</f>
        <v>65</v>
      </c>
      <c r="BX60" s="17" t="str">
        <f t="shared" si="44"/>
        <v>12+ months</v>
      </c>
      <c r="BY60" t="str">
        <f>IFERROR(IF($A60="","","P2: "&amp;$BI60&amp;" posture; objective="&amp;IF(_CONFIG_Model_Settings!$B$104="","Neutral/default",_CONFIG_Model_Settings!$B$104)&amp;"; relevance="&amp;ROUND(N($AS60),2)&amp;"; scenario/domain boost="&amp;ROUND(IF(OR('Resilience &amp; Risk Scenario'!$B$6="",'Resilience &amp; Risk Scenario'!$B$7&lt;=0),1,IFERROR(1+MIN(0.75,INDEX('Resilience &amp; Risk Scenario'!$E$21:$E$37,MATCH($B60,'Resilience &amp; Risk Scenario'!$B$21:$B$37,0))/10),1)),2)&amp;"; financial score="&amp;ROUND(N($BR60),1)&amp;"; CoD="&amp;$BS60&amp;IF($CL60&lt;&gt;"","; wording="&amp;$CL60,"")),"")</f>
        <v>P2: Fragile posture; objective=Neutral/default; relevance=1; scenario/domain boost=1; financial score=5; CoD=5.24; wording=Strengthen Platform continuity</v>
      </c>
      <c r="BZ60" t="str">
        <f>IFERROR(INDEX(_REF_Capability_Bridge!$D:$D,MATCH($B60&amp;"|"&amp;$C60,_REF_Capability_Bridge!$J:$J,0)),IFERROR(INDEX(_REF_Capability_Bridge!$D:$D,MATCH($B60&amp;"|",_REF_Capability_Bridge!$J:$J,0)),"CAP_GENERIC"))</f>
        <v>CAP_PLATFORM_CONTINUITY</v>
      </c>
      <c r="CA60">
        <f>IFERROR(IFERROR(INDEX(_ENGINE_Relevance!$L:$L,MATCH($BZ60,_ENGINE_Relevance!$B:$B,0)),1),1)</f>
        <v>1</v>
      </c>
      <c r="CB60" t="str">
        <f>IFERROR(INDEX(_REF_Capability_Bridge!$A:$A,MATCH($B60&amp;"|"&amp;$C60,_REF_Capability_Bridge!$J:$J,0)),IFERROR(INDEX(_REF_Capability_Bridge!$A:$A,MATCH($B60&amp;"|",_REF_Capability_Bridge!$J:$J,0)),"No bridge"))</f>
        <v>BRG-005</v>
      </c>
      <c r="CC60" t="str">
        <f t="shared" si="45"/>
        <v>Capability relevance neutral</v>
      </c>
      <c r="CD60" t="str">
        <f t="shared" si="46"/>
        <v>Initial / absent</v>
      </c>
      <c r="CE60" t="str">
        <f>IF($A60="","",IFERROR(INDEX(_REF_Treatment_Library!$A$2:$A$296,MATCH(1,INDEX((_REF_Treatment_Library!$B$2:$B$296=$BZ60)*(_REF_Treatment_Library!$C$2:$C$296=PV_Canonical_Industry)*(_REF_Treatment_Library!$E$2:$E$296&lt;=N($N60))*(_REF_Treatment_Library!$F$2:$F$296&gt;=N($N60))*(_REF_Treatment_Library!$O$2:$O$296="Yes"),0),0)),IFERROR(INDEX(_REF_Treatment_Library!$A$2:$A$296,MATCH(1,INDEX((_REF_Treatment_Library!$B$2:$B$296=$BZ60)*(_REF_Treatment_Library!$C$2:$C$296="All")*(_REF_Treatment_Library!$E$2:$E$296&lt;=N($N60))*(_REF_Treatment_Library!$F$2:$F$296&gt;=N($N60))*(_REF_Treatment_Library!$O$2:$O$296="Yes"),0),0)),"")))</f>
        <v>TRT-PLATFORM_CONTINUITY-INITIAL</v>
      </c>
      <c r="CF60" t="str">
        <f>IF($CE60="","",IFERROR(INDEX(_REF_Treatment_Library!$H$2:$H$296,MATCH($CE60,_REF_Treatment_Library!$A$2:$A$296,0)),""))</f>
        <v>Establish</v>
      </c>
      <c r="CG60" t="str">
        <f>IF($CE60="","",IFERROR(INDEX(_REF_Treatment_Library!$I$2:$I$296,MATCH($CE60,_REF_Treatment_Library!$A$2:$A$296,0)),""))</f>
        <v>Establish baseline controls for Platform continuity</v>
      </c>
      <c r="CH60" t="str">
        <f>IF($CE60="","",IFERROR(INDEX(_REF_Treatment_Library!$K$2:$K$296,MATCH($CE60,_REF_Treatment_Library!$A$2:$A$296,0)),""))</f>
        <v>Named owner, baseline process, minimum control checklist, first evidence package</v>
      </c>
      <c r="CI60" t="str">
        <f>IF($CE60="","",IFERROR(INDEX(_REF_Treatment_Library!$L$2:$L$296,MATCH($CE60,_REF_Treatment_Library!$A$2:$A$296,0)),""))</f>
        <v>Owner assigned; baseline evidence coverage; open critical gaps</v>
      </c>
      <c r="CJ60" t="str">
        <f t="shared" si="47"/>
        <v>Treatment by capability=CAP_PLATFORM_CONTINUITY; band=Initial / absent; score=0.0; treatment=Establish</v>
      </c>
      <c r="CK60" t="str">
        <f>IF($A60="","",IFERROR(INDEX(_REF_Industry_Wording!$A$2:$A$70,MATCH(1,INDEX((_REF_Industry_Wording!$B$2:$B$70=$BZ60)*(_REF_Industry_Wording!$C$2:$C$70=PV_Canonical_Industry)*(_REF_Industry_Wording!$K$2:$K$70="Yes"),0),0)),IFERROR(INDEX(_REF_Industry_Wording!$A$2:$A$70,MATCH(1,INDEX((_REF_Industry_Wording!$B$2:$B$70=$BZ60)*(_REF_Industry_Wording!$C$2:$C$70="All")*(_REF_Industry_Wording!$K$2:$K$70="Yes"),0),0)),"")))</f>
        <v>IW-ALL-PLATFORM_CONTINUITY</v>
      </c>
      <c r="CL60" t="str">
        <f>IF($CK60="","",IFERROR(INDEX(_REF_Industry_Wording!$F$2:$F$70,MATCH($CK60,_REF_Industry_Wording!$A$2:$A$70,0)),""))</f>
        <v>Strengthen Platform continuity</v>
      </c>
      <c r="CM60" t="str">
        <f>IF($CK60="","",IFERROR(INDEX(_REF_Industry_Wording!$G$2:$G$70,MATCH($CK60,_REF_Industry_Wording!$A$2:$A$70,0)),""))</f>
        <v>Strengthen Platform continuity using the selected maturity treatment, crisis scenario and evidence requirements.</v>
      </c>
      <c r="CN60" t="str">
        <f>IF($CK60="","",IFERROR(INDEX(_REF_Industry_Wording!$H$2:$H$70,MATCH($CK60,_REF_Industry_Wording!$A$2:$A$70,0)),""))</f>
        <v>Platform continuity</v>
      </c>
      <c r="CO60">
        <f>IF($CK60="","",IFERROR(INDEX(_REF_Industry_Wording!$I$2:$I$70,MATCH($CK60,_REF_Industry_Wording!$A$2:$A$70,0)),""))</f>
        <v>0</v>
      </c>
      <c r="CP60" t="str">
        <f>IF($CK60="","",IFERROR(INDEX(_REF_Industry_Wording!$J$2:$J$70,MATCH($CK60,_REF_Industry_Wording!$A$2:$A$70,0)),""))</f>
        <v>Platform continuity</v>
      </c>
      <c r="CQ60" t="str">
        <f t="shared" si="48"/>
        <v>Wording by industry=0; capability=CAP_PLATFORM_CONTINUITY; title=Strengthen Platform continuity</v>
      </c>
      <c r="CR60" t="str">
        <f t="shared" si="49"/>
        <v>INIT-ONT-0056</v>
      </c>
      <c r="CS60">
        <f t="shared" si="50"/>
        <v>60</v>
      </c>
      <c r="CT60" t="str">
        <f t="shared" si="51"/>
        <v>CAP_PLATFORM_CONTINUITY</v>
      </c>
      <c r="CU60" t="str">
        <f t="shared" si="52"/>
        <v>INI-056|Business Systems|HRMS and finance systems|CAP_PLATFORM_CONTINUITY</v>
      </c>
      <c r="CV60" t="str">
        <f t="shared" si="53"/>
        <v>Active</v>
      </c>
      <c r="CW60" t="str">
        <f t="shared" si="54"/>
        <v>OK: capability-driven</v>
      </c>
      <c r="CX60" t="str">
        <f t="shared" si="55"/>
        <v>Initiative ontology uses capability=CAP_PLATFORM_CONTINUITY; bridge=BRG-005; treatment=TRT-PLATFORM_CONTINUITY-INITIAL; wording=IW-ALL-PLATFORM_CONTINUITY</v>
      </c>
    </row>
    <row r="61" spans="1:102" ht="42" customHeight="1">
      <c r="A61" s="17" t="s">
        <v>4406</v>
      </c>
      <c r="B61" s="17" t="s">
        <v>2729</v>
      </c>
      <c r="C61" s="17" t="s">
        <v>2751</v>
      </c>
      <c r="D61" s="17" t="s">
        <v>4373</v>
      </c>
      <c r="E61" s="17" t="s">
        <v>4374</v>
      </c>
      <c r="F61" s="17" t="s">
        <v>4407</v>
      </c>
      <c r="G61" s="17" t="s">
        <v>4408</v>
      </c>
      <c r="H61" s="17" t="s">
        <v>4377</v>
      </c>
      <c r="I61" s="17" t="s">
        <v>4378</v>
      </c>
      <c r="J61" s="17" t="s">
        <v>4409</v>
      </c>
      <c r="K61" s="17">
        <v>6</v>
      </c>
      <c r="L61" s="17">
        <f>IF($A61="","",COUNTIFS(_DATA_RiskInitiativeMap!$A$444:$A$867,$A61,_DATA_RiskInitiativeMap!$G$444:$G$867,"&gt;0"))</f>
        <v>6</v>
      </c>
      <c r="M61" s="17">
        <f>IF($A61="","",COUNTIFS(_DATA_RiskInitiativeMap!$A$444:$A$867,$A61,_DATA_RiskInitiativeMap!$G$444:$G$867,"&gt;0"))</f>
        <v>6</v>
      </c>
      <c r="N61" s="17">
        <f>IFERROR(AVERAGEIFS(_DATA_Assessment_Model!$H$5:$H$428,_DATA_Assessment_Model!$AW$5:$AW$428,$B61,_DATA_Assessment_Model!$B$5:$B$428,$C61),"")</f>
        <v>0</v>
      </c>
      <c r="O61" s="17">
        <f t="shared" si="28"/>
        <v>5</v>
      </c>
      <c r="P61" s="17">
        <f>IFERROR(INDEX(_DATA_Dashboard_Facts!$H$5:$H$21,MATCH($B61,_DATA_Dashboard_Facts!$A$5:$A$21,0)),"")</f>
        <v>0</v>
      </c>
      <c r="Q61" s="17">
        <f t="shared" si="29"/>
        <v>5</v>
      </c>
      <c r="R61" s="17">
        <f>IF(OR('Resilience &amp; Risk Scenario'!$B$6="",'Resilience &amp; Risk Scenario'!$B$7&lt;=0),1,IFERROR(IF(SUMIFS(_ENGINE_Crisis!$D$5:$D$208,_ENGINE_Crisis!$A$5:$A$208,'Resilience &amp; Risk Scenario'!$B$6,_ENGINE_Crisis!$B$5:$B$208,$B61)=0,1,SUMIFS(_ENGINE_Crisis!$D$5:$D$208,_ENGINE_Crisis!$A$5:$A$208,'Resilience &amp; Risk Scenario'!$B$6,_ENGINE_Crisis!$B$5:$B$208,$B61)),1))</f>
        <v>1</v>
      </c>
      <c r="S61" s="17">
        <f>IFERROR(INDEX(_ENGINE_Strategy!$A$100:$A$113,MATCH($D61,_ENGINE_Strategy!$B$100:$B$113,0)),99)</f>
        <v>7</v>
      </c>
      <c r="T61" s="17">
        <f>IFERROR(INDEX(_ENGINE_Strategy!$J$100:$J$113,MATCH($D61,_ENGINE_Strategy!$B$100:$B$113,0)),0)</f>
        <v>68.400000000000006</v>
      </c>
      <c r="U61" s="17">
        <v>5</v>
      </c>
      <c r="V61" s="17">
        <v>3</v>
      </c>
      <c r="W61" s="17">
        <v>4</v>
      </c>
      <c r="X61" s="17">
        <f t="shared" si="30"/>
        <v>4.6050000000000004</v>
      </c>
      <c r="Y61" s="17">
        <f>IF($P61="","",MAX(1,MIN(5,1+N($O61)*0.45+MIN(2,N($M61)*0.3)+($R61-1)*1.2+IF('Resilience &amp; Risk Scenario'!$B$7="",1,'Resilience &amp; Risk Scenario'!$B$7)*0.25)))</f>
        <v>5</v>
      </c>
      <c r="Z61" s="17">
        <f t="shared" si="31"/>
        <v>4.5999999999999996</v>
      </c>
      <c r="AA61" s="17">
        <f t="shared" si="32"/>
        <v>4.226</v>
      </c>
      <c r="AB61" s="17">
        <v>4</v>
      </c>
      <c r="AC61" s="17">
        <f t="shared" si="33"/>
        <v>1.36</v>
      </c>
      <c r="AD61" s="17">
        <f t="shared" si="34"/>
        <v>56</v>
      </c>
      <c r="AE61" s="17" t="str">
        <f t="shared" si="35"/>
        <v>12+ months</v>
      </c>
      <c r="AF61" s="17" t="s">
        <v>4380</v>
      </c>
      <c r="AG61" s="17" t="s">
        <v>3502</v>
      </c>
      <c r="AH61" s="17" t="s">
        <v>4337</v>
      </c>
      <c r="AI61" s="17" t="s">
        <v>3932</v>
      </c>
      <c r="AJ61" s="17" t="s">
        <v>4410</v>
      </c>
      <c r="AK61" s="17" t="s">
        <v>4411</v>
      </c>
      <c r="AL61" s="17" t="s">
        <v>4412</v>
      </c>
      <c r="AM61" s="17" t="s">
        <v>4384</v>
      </c>
      <c r="AN61" s="17" t="s">
        <v>3937</v>
      </c>
      <c r="AO61" s="17" t="s">
        <v>3938</v>
      </c>
      <c r="AP61" s="17" t="s">
        <v>4242</v>
      </c>
      <c r="AQ61" s="17"/>
      <c r="AR61" s="17"/>
      <c r="AS61" s="14">
        <f>IFERROR((IF(SUMIFS(_REF_Model_Content!$J$1:$J$157,_REF_Model_Content!$A$1:$A$174,PV_Canonical_Industry,_REF_Model_Content!$B$1:$B$174,$B61)=0,1,SUMIFS(_REF_Model_Content!$J$1:$J$157,_REF_Model_Content!$A$1:$A$174,PV_Canonical_Industry,_REF_Model_Content!$B$1:$B$174,$B61))*IFERROR($CA61,1)),1)</f>
        <v>1</v>
      </c>
      <c r="AT61" s="14">
        <f t="shared" si="36"/>
        <v>1.36</v>
      </c>
      <c r="AU61" s="14">
        <f>IF($AT61="","",RANK($AT61,$AT$5:$AT$76,0)+COUNTIF($AT$5:AT61,$AT61)-1)</f>
        <v>56</v>
      </c>
      <c r="AV61" s="14">
        <f>IFERROR(INDEX(_DATA_Dashboard_Facts!$G$300:$G$316,MATCH($B61,_DATA_Dashboard_Facts!$A$300:$A$316,0)),"")</f>
        <v>0</v>
      </c>
      <c r="AW61" s="14" t="str">
        <f t="shared" si="37"/>
        <v>Relevance-neutral priority</v>
      </c>
      <c r="AX61">
        <f>IFERROR(INDEX('Action Plan &amp; Roadmap'!$D$59:$D$130,MATCH($A61,'Action Plan &amp; Roadmap'!$A$59:$A$130,0)),"")</f>
        <v>0</v>
      </c>
      <c r="AY61">
        <f t="shared" si="38"/>
        <v>0</v>
      </c>
      <c r="AZ61" t="s">
        <v>4343</v>
      </c>
      <c r="BA61">
        <f>IF($A61="","",COUNTIF(_DATA_RiskInitiativeMap!$A$1:$A$867,$A61))</f>
        <v>6</v>
      </c>
      <c r="BB61">
        <f>IF($A61="","",IFERROR(AVERAGEIF(_DATA_RiskInitiativeMap!$A$1:$A$867,$A61,_DATA_RiskInitiativeMap!$G$1:$G$867),0))</f>
        <v>23.491666666666664</v>
      </c>
      <c r="BC61">
        <f t="shared" si="39"/>
        <v>4.2</v>
      </c>
      <c r="BD61">
        <f t="shared" si="40"/>
        <v>4.5544166666666657</v>
      </c>
      <c r="BI61" s="17" t="str">
        <f>IFERROR(_CONFIG_Model_Settings!$B$103,"Adaptive")</f>
        <v>Fragile</v>
      </c>
      <c r="BJ61" s="17">
        <f>IFERROR(INDEX(_CONFIG_Model_Settings!$B$109:$B$113,MATCH($BI61,_CONFIG_Model_Settings!$A$109:$A$113,0)),0.3)</f>
        <v>0.2</v>
      </c>
      <c r="BK61" s="17">
        <f>IFERROR(INDEX(_CONFIG_Model_Settings!$C$109:$C$113,MATCH($BI61,_CONFIG_Model_Settings!$A$109:$A$113,0)),0.2)</f>
        <v>0.3</v>
      </c>
      <c r="BL61" s="17">
        <f>IFERROR(INDEX(_CONFIG_Model_Settings!$D$109:$D$113,MATCH($BI61,_CONFIG_Model_Settings!$A$109:$A$113,0)),0.25)</f>
        <v>0.4</v>
      </c>
      <c r="BM61" s="17">
        <f>IFERROR(INDEX(_CONFIG_Model_Settings!$E$109:$E$113,MATCH($BI61,_CONFIG_Model_Settings!$A$109:$A$113,0)),0.25)</f>
        <v>0.1</v>
      </c>
      <c r="BN61" s="17">
        <f>IFERROR(INDEX(_CONFIG_Model_Settings!$B$117:$B$123,MATCH(_CONFIG_Model_Settings!$B$104,_CONFIG_Model_Settings!$A$117:$A$123,0)),1)</f>
        <v>1</v>
      </c>
      <c r="BO61" s="17">
        <f>IFERROR(INDEX(_CONFIG_Model_Settings!$C$117:$C$123,MATCH(_CONFIG_Model_Settings!$B$104,_CONFIG_Model_Settings!$A$117:$A$123,0)),1)</f>
        <v>1</v>
      </c>
      <c r="BP61" s="17">
        <f>IFERROR(INDEX(_CONFIG_Model_Settings!$D$117:$D$123,MATCH(_CONFIG_Model_Settings!$B$104,_CONFIG_Model_Settings!$A$117:$A$123,0)),1)</f>
        <v>1</v>
      </c>
      <c r="BQ61" s="17">
        <f>IFERROR(INDEX(_CONFIG_Model_Settings!$E$117:$E$123,MATCH(_CONFIG_Model_Settings!$B$104,_CONFIG_Model_Settings!$A$117:$A$123,0)),1)</f>
        <v>1</v>
      </c>
      <c r="BR61" s="17">
        <f>IF(OR($A61="",$P61=""),"",MIN(5,IFERROR(SUMIF(_DATA_RiskInitiativeMap!$A$1:$A$867,$A61,_DATA_RiskInitiativeMap!$K$1:$K$867)/MAX(1,_CONFIG_Model_Settings!$B$166),0)))</f>
        <v>5</v>
      </c>
      <c r="BS61" s="17">
        <f t="shared" si="41"/>
        <v>5.42</v>
      </c>
      <c r="BT61" s="17">
        <f t="shared" si="42"/>
        <v>4</v>
      </c>
      <c r="BU61" s="17">
        <f t="shared" si="43"/>
        <v>1.36</v>
      </c>
      <c r="BV61" s="17">
        <f>IF(OR($P61="",$BU61="",$AY61="Done",$AY61="Not applicable"),"",ROUND($BU61*N($AS61)*IF(OR('Resilience &amp; Risk Scenario'!$B$6="",'Resilience &amp; Risk Scenario'!$B$7&lt;=0),1,IFERROR(1+MIN(0.75,INDEX('Resilience &amp; Risk Scenario'!$E$21:$E$37,MATCH($B61,'Resilience &amp; Risk Scenario'!$B$21:$B$37,0))/10),1)),2))</f>
        <v>1.36</v>
      </c>
      <c r="BW61" s="17">
        <f>IF($BV61="","",RANK($BV61,$BV$5:$BV$76,0)+COUNTIF($BV$5:$BV61,$BV61)-1)</f>
        <v>56</v>
      </c>
      <c r="BX61" s="17" t="str">
        <f t="shared" si="44"/>
        <v>12+ months</v>
      </c>
      <c r="BY61" t="str">
        <f>IFERROR(IF($A61="","","P2: "&amp;$BI61&amp;" posture; objective="&amp;IF(_CONFIG_Model_Settings!$B$104="","Neutral/default",_CONFIG_Model_Settings!$B$104)&amp;"; relevance="&amp;ROUND(N($AS61),2)&amp;"; scenario/domain boost="&amp;ROUND(IF(OR('Resilience &amp; Risk Scenario'!$B$6="",'Resilience &amp; Risk Scenario'!$B$7&lt;=0),1,IFERROR(1+MIN(0.75,INDEX('Resilience &amp; Risk Scenario'!$E$21:$E$37,MATCH($B61,'Resilience &amp; Risk Scenario'!$B$21:$B$37,0))/10),1)),2)&amp;"; financial score="&amp;ROUND(N($BR61),1)&amp;"; CoD="&amp;$BS61&amp;IF($CL61&lt;&gt;"","; wording="&amp;$CL61,"")),"")</f>
        <v>P2: Fragile posture; objective=Neutral/default; relevance=1; scenario/domain boost=1; financial score=5; CoD=5.42; wording=Strengthen Platform continuity</v>
      </c>
      <c r="BZ61" t="str">
        <f>IFERROR(INDEX(_REF_Capability_Bridge!$D:$D,MATCH($B61&amp;"|"&amp;$C61,_REF_Capability_Bridge!$J:$J,0)),IFERROR(INDEX(_REF_Capability_Bridge!$D:$D,MATCH($B61&amp;"|",_REF_Capability_Bridge!$J:$J,0)),"CAP_GENERIC"))</f>
        <v>CAP_PLATFORM_CONTINUITY</v>
      </c>
      <c r="CA61">
        <f>IFERROR(IFERROR(INDEX(_ENGINE_Relevance!$L:$L,MATCH($BZ61,_ENGINE_Relevance!$B:$B,0)),1),1)</f>
        <v>1</v>
      </c>
      <c r="CB61" t="str">
        <f>IFERROR(INDEX(_REF_Capability_Bridge!$A:$A,MATCH($B61&amp;"|"&amp;$C61,_REF_Capability_Bridge!$J:$J,0)),IFERROR(INDEX(_REF_Capability_Bridge!$A:$A,MATCH($B61&amp;"|",_REF_Capability_Bridge!$J:$J,0)),"No bridge"))</f>
        <v>BRG-004</v>
      </c>
      <c r="CC61" t="str">
        <f t="shared" si="45"/>
        <v>Capability relevance neutral</v>
      </c>
      <c r="CD61" t="str">
        <f t="shared" si="46"/>
        <v>Initial / absent</v>
      </c>
      <c r="CE61" t="str">
        <f>IF($A61="","",IFERROR(INDEX(_REF_Treatment_Library!$A$2:$A$296,MATCH(1,INDEX((_REF_Treatment_Library!$B$2:$B$296=$BZ61)*(_REF_Treatment_Library!$C$2:$C$296=PV_Canonical_Industry)*(_REF_Treatment_Library!$E$2:$E$296&lt;=N($N61))*(_REF_Treatment_Library!$F$2:$F$296&gt;=N($N61))*(_REF_Treatment_Library!$O$2:$O$296="Yes"),0),0)),IFERROR(INDEX(_REF_Treatment_Library!$A$2:$A$296,MATCH(1,INDEX((_REF_Treatment_Library!$B$2:$B$296=$BZ61)*(_REF_Treatment_Library!$C$2:$C$296="All")*(_REF_Treatment_Library!$E$2:$E$296&lt;=N($N61))*(_REF_Treatment_Library!$F$2:$F$296&gt;=N($N61))*(_REF_Treatment_Library!$O$2:$O$296="Yes"),0),0)),"")))</f>
        <v>TRT-PLATFORM_CONTINUITY-INITIAL</v>
      </c>
      <c r="CF61" t="str">
        <f>IF($CE61="","",IFERROR(INDEX(_REF_Treatment_Library!$H$2:$H$296,MATCH($CE61,_REF_Treatment_Library!$A$2:$A$296,0)),""))</f>
        <v>Establish</v>
      </c>
      <c r="CG61" t="str">
        <f>IF($CE61="","",IFERROR(INDEX(_REF_Treatment_Library!$I$2:$I$296,MATCH($CE61,_REF_Treatment_Library!$A$2:$A$296,0)),""))</f>
        <v>Establish baseline controls for Platform continuity</v>
      </c>
      <c r="CH61" t="str">
        <f>IF($CE61="","",IFERROR(INDEX(_REF_Treatment_Library!$K$2:$K$296,MATCH($CE61,_REF_Treatment_Library!$A$2:$A$296,0)),""))</f>
        <v>Named owner, baseline process, minimum control checklist, first evidence package</v>
      </c>
      <c r="CI61" t="str">
        <f>IF($CE61="","",IFERROR(INDEX(_REF_Treatment_Library!$L$2:$L$296,MATCH($CE61,_REF_Treatment_Library!$A$2:$A$296,0)),""))</f>
        <v>Owner assigned; baseline evidence coverage; open critical gaps</v>
      </c>
      <c r="CJ61" t="str">
        <f t="shared" si="47"/>
        <v>Treatment by capability=CAP_PLATFORM_CONTINUITY; band=Initial / absent; score=0.0; treatment=Establish</v>
      </c>
      <c r="CK61" t="str">
        <f>IF($A61="","",IFERROR(INDEX(_REF_Industry_Wording!$A$2:$A$70,MATCH(1,INDEX((_REF_Industry_Wording!$B$2:$B$70=$BZ61)*(_REF_Industry_Wording!$C$2:$C$70=PV_Canonical_Industry)*(_REF_Industry_Wording!$K$2:$K$70="Yes"),0),0)),IFERROR(INDEX(_REF_Industry_Wording!$A$2:$A$70,MATCH(1,INDEX((_REF_Industry_Wording!$B$2:$B$70=$BZ61)*(_REF_Industry_Wording!$C$2:$C$70="All")*(_REF_Industry_Wording!$K$2:$K$70="Yes"),0),0)),"")))</f>
        <v>IW-ALL-PLATFORM_CONTINUITY</v>
      </c>
      <c r="CL61" t="str">
        <f>IF($CK61="","",IFERROR(INDEX(_REF_Industry_Wording!$F$2:$F$70,MATCH($CK61,_REF_Industry_Wording!$A$2:$A$70,0)),""))</f>
        <v>Strengthen Platform continuity</v>
      </c>
      <c r="CM61" t="str">
        <f>IF($CK61="","",IFERROR(INDEX(_REF_Industry_Wording!$G$2:$G$70,MATCH($CK61,_REF_Industry_Wording!$A$2:$A$70,0)),""))</f>
        <v>Strengthen Platform continuity using the selected maturity treatment, crisis scenario and evidence requirements.</v>
      </c>
      <c r="CN61" t="str">
        <f>IF($CK61="","",IFERROR(INDEX(_REF_Industry_Wording!$H$2:$H$70,MATCH($CK61,_REF_Industry_Wording!$A$2:$A$70,0)),""))</f>
        <v>Platform continuity</v>
      </c>
      <c r="CO61">
        <f>IF($CK61="","",IFERROR(INDEX(_REF_Industry_Wording!$I$2:$I$70,MATCH($CK61,_REF_Industry_Wording!$A$2:$A$70,0)),""))</f>
        <v>0</v>
      </c>
      <c r="CP61" t="str">
        <f>IF($CK61="","",IFERROR(INDEX(_REF_Industry_Wording!$J$2:$J$70,MATCH($CK61,_REF_Industry_Wording!$A$2:$A$70,0)),""))</f>
        <v>Platform continuity</v>
      </c>
      <c r="CQ61" t="str">
        <f t="shared" si="48"/>
        <v>Wording by industry=0; capability=CAP_PLATFORM_CONTINUITY; title=Strengthen Platform continuity</v>
      </c>
      <c r="CR61" t="str">
        <f t="shared" si="49"/>
        <v>INIT-ONT-0057</v>
      </c>
      <c r="CS61">
        <f t="shared" si="50"/>
        <v>61</v>
      </c>
      <c r="CT61" t="str">
        <f t="shared" si="51"/>
        <v>CAP_PLATFORM_CONTINUITY</v>
      </c>
      <c r="CU61" t="str">
        <f t="shared" si="52"/>
        <v>INI-057|Business Systems|Governance and lifecycle|CAP_PLATFORM_CONTINUITY</v>
      </c>
      <c r="CV61" t="str">
        <f t="shared" si="53"/>
        <v>Active</v>
      </c>
      <c r="CW61" t="str">
        <f t="shared" si="54"/>
        <v>OK: capability-driven</v>
      </c>
      <c r="CX61" t="str">
        <f t="shared" si="55"/>
        <v>Initiative ontology uses capability=CAP_PLATFORM_CONTINUITY; bridge=BRG-004; treatment=TRT-PLATFORM_CONTINUITY-INITIAL; wording=IW-ALL-PLATFORM_CONTINUITY</v>
      </c>
    </row>
    <row r="62" spans="1:102" ht="42" customHeight="1">
      <c r="A62" s="17" t="s">
        <v>4413</v>
      </c>
      <c r="B62" s="17" t="s">
        <v>2824</v>
      </c>
      <c r="C62" s="17" t="s">
        <v>2826</v>
      </c>
      <c r="D62" s="17" t="s">
        <v>4414</v>
      </c>
      <c r="E62" s="17" t="s">
        <v>4415</v>
      </c>
      <c r="F62" s="17" t="s">
        <v>4416</v>
      </c>
      <c r="G62" s="17" t="s">
        <v>4417</v>
      </c>
      <c r="H62" s="17" t="s">
        <v>4418</v>
      </c>
      <c r="I62" s="17" t="s">
        <v>4419</v>
      </c>
      <c r="J62" s="17" t="s">
        <v>4420</v>
      </c>
      <c r="K62" s="17">
        <v>6</v>
      </c>
      <c r="L62" s="17">
        <f>IF($A62="","",COUNTIFS(_DATA_RiskInitiativeMap!$A$444:$A$867,$A62,_DATA_RiskInitiativeMap!$G$444:$G$867,"&gt;0"))</f>
        <v>6</v>
      </c>
      <c r="M62" s="17">
        <f>IF($A62="","",COUNTIFS(_DATA_RiskInitiativeMap!$A$444:$A$867,$A62,_DATA_RiskInitiativeMap!$G$444:$G$867,"&gt;0"))</f>
        <v>6</v>
      </c>
      <c r="N62" s="17">
        <f>IFERROR(AVERAGEIFS(_DATA_Assessment_Model!$H$5:$H$428,_DATA_Assessment_Model!$AW$5:$AW$428,$B62,_DATA_Assessment_Model!$B$5:$B$428,$C62),"")</f>
        <v>0</v>
      </c>
      <c r="O62" s="17">
        <f t="shared" si="28"/>
        <v>5</v>
      </c>
      <c r="P62" s="17">
        <f>IFERROR(INDEX(_DATA_Dashboard_Facts!$H$5:$H$21,MATCH($B62,_DATA_Dashboard_Facts!$A$5:$A$21,0)),"")</f>
        <v>0</v>
      </c>
      <c r="Q62" s="17">
        <f t="shared" si="29"/>
        <v>5</v>
      </c>
      <c r="R62" s="17">
        <f>IF(OR('Resilience &amp; Risk Scenario'!$B$6="",'Resilience &amp; Risk Scenario'!$B$7&lt;=0),1,IFERROR(IF(SUMIFS(_ENGINE_Crisis!$D$5:$D$208,_ENGINE_Crisis!$A$5:$A$208,'Resilience &amp; Risk Scenario'!$B$6,_ENGINE_Crisis!$B$5:$B$208,$B62)=0,1,SUMIFS(_ENGINE_Crisis!$D$5:$D$208,_ENGINE_Crisis!$A$5:$A$208,'Resilience &amp; Risk Scenario'!$B$6,_ENGINE_Crisis!$B$5:$B$208,$B62)),1))</f>
        <v>1</v>
      </c>
      <c r="S62" s="17">
        <f>IFERROR(INDEX(_ENGINE_Strategy!$A$100:$A$113,MATCH($D62,_ENGINE_Strategy!$B$100:$B$113,0)),99)</f>
        <v>8</v>
      </c>
      <c r="T62" s="17">
        <f>IFERROR(INDEX(_ENGINE_Strategy!$J$100:$J$113,MATCH($D62,_ENGINE_Strategy!$B$100:$B$113,0)),0)</f>
        <v>67</v>
      </c>
      <c r="U62" s="17">
        <v>5</v>
      </c>
      <c r="V62" s="17">
        <v>3</v>
      </c>
      <c r="W62" s="17">
        <v>4</v>
      </c>
      <c r="X62" s="17">
        <f t="shared" si="30"/>
        <v>4.5875000000000004</v>
      </c>
      <c r="Y62" s="17">
        <f>IF($P62="","",MAX(1,MIN(5,1+N($O62)*0.45+MIN(2,N($M62)*0.3)+($R62-1)*1.2+IF('Resilience &amp; Risk Scenario'!$B$7="",1,'Resilience &amp; Risk Scenario'!$B$7)*0.25)))</f>
        <v>5</v>
      </c>
      <c r="Z62" s="17">
        <f t="shared" si="31"/>
        <v>4.5999999999999996</v>
      </c>
      <c r="AA62" s="17">
        <f t="shared" si="32"/>
        <v>4.2050000000000001</v>
      </c>
      <c r="AB62" s="17">
        <v>4</v>
      </c>
      <c r="AC62" s="17">
        <f t="shared" si="33"/>
        <v>1.3</v>
      </c>
      <c r="AD62" s="17">
        <f t="shared" si="34"/>
        <v>67</v>
      </c>
      <c r="AE62" s="17" t="str">
        <f t="shared" si="35"/>
        <v>12+ months</v>
      </c>
      <c r="AF62" s="17" t="s">
        <v>4421</v>
      </c>
      <c r="AG62" s="17" t="s">
        <v>3502</v>
      </c>
      <c r="AH62" s="17" t="s">
        <v>4337</v>
      </c>
      <c r="AI62" s="17" t="s">
        <v>3932</v>
      </c>
      <c r="AJ62" s="17" t="s">
        <v>4422</v>
      </c>
      <c r="AK62" s="17" t="s">
        <v>4423</v>
      </c>
      <c r="AL62" s="17" t="s">
        <v>4424</v>
      </c>
      <c r="AM62" s="17" t="s">
        <v>4425</v>
      </c>
      <c r="AN62" s="17" t="s">
        <v>3937</v>
      </c>
      <c r="AO62" s="17" t="s">
        <v>3938</v>
      </c>
      <c r="AP62" s="17" t="s">
        <v>4242</v>
      </c>
      <c r="AQ62" s="17"/>
      <c r="AR62" s="17"/>
      <c r="AS62" s="14">
        <f>IFERROR((IF(SUMIFS(_REF_Model_Content!$J$1:$J$157,_REF_Model_Content!$A$1:$A$174,PV_Canonical_Industry,_REF_Model_Content!$B$1:$B$174,$B62)=0,1,SUMIFS(_REF_Model_Content!$J$1:$J$157,_REF_Model_Content!$A$1:$A$174,PV_Canonical_Industry,_REF_Model_Content!$B$1:$B$174,$B62))*IFERROR($CA62,1)),1)</f>
        <v>1</v>
      </c>
      <c r="AT62" s="14">
        <f t="shared" si="36"/>
        <v>1.3</v>
      </c>
      <c r="AU62" s="14">
        <f>IF($AT62="","",RANK($AT62,$AT$5:$AT$76,0)+COUNTIF($AT$5:AT62,$AT62)-1)</f>
        <v>67</v>
      </c>
      <c r="AV62" s="14">
        <f>IFERROR(INDEX(_DATA_Dashboard_Facts!$G$300:$G$316,MATCH($B62,_DATA_Dashboard_Facts!$A$300:$A$316,0)),"")</f>
        <v>0</v>
      </c>
      <c r="AW62" s="14" t="str">
        <f t="shared" si="37"/>
        <v>Relevance-neutral priority</v>
      </c>
      <c r="AX62">
        <f>IFERROR(INDEX('Action Plan &amp; Roadmap'!$D$59:$D$130,MATCH($A62,'Action Plan &amp; Roadmap'!$A$59:$A$130,0)),"")</f>
        <v>0</v>
      </c>
      <c r="AY62">
        <f t="shared" si="38"/>
        <v>0</v>
      </c>
      <c r="AZ62" t="s">
        <v>4426</v>
      </c>
      <c r="BA62">
        <f>IF($A62="","",COUNTIF(_DATA_RiskInitiativeMap!$A$1:$A$867,$A62))</f>
        <v>6</v>
      </c>
      <c r="BB62">
        <f>IF($A62="","",IFERROR(AVERAGEIF(_DATA_RiskInitiativeMap!$A$1:$A$867,$A62,_DATA_RiskInitiativeMap!$G$1:$G$867),0))</f>
        <v>16.236666666666668</v>
      </c>
      <c r="BC62">
        <f t="shared" si="39"/>
        <v>4.2</v>
      </c>
      <c r="BD62">
        <f t="shared" si="40"/>
        <v>4.0465666666666662</v>
      </c>
      <c r="BI62" s="17" t="str">
        <f>IFERROR(_CONFIG_Model_Settings!$B$103,"Adaptive")</f>
        <v>Fragile</v>
      </c>
      <c r="BJ62" s="17">
        <f>IFERROR(INDEX(_CONFIG_Model_Settings!$B$109:$B$113,MATCH($BI62,_CONFIG_Model_Settings!$A$109:$A$113,0)),0.3)</f>
        <v>0.2</v>
      </c>
      <c r="BK62" s="17">
        <f>IFERROR(INDEX(_CONFIG_Model_Settings!$C$109:$C$113,MATCH($BI62,_CONFIG_Model_Settings!$A$109:$A$113,0)),0.2)</f>
        <v>0.3</v>
      </c>
      <c r="BL62" s="17">
        <f>IFERROR(INDEX(_CONFIG_Model_Settings!$D$109:$D$113,MATCH($BI62,_CONFIG_Model_Settings!$A$109:$A$113,0)),0.25)</f>
        <v>0.4</v>
      </c>
      <c r="BM62" s="17">
        <f>IFERROR(INDEX(_CONFIG_Model_Settings!$E$109:$E$113,MATCH($BI62,_CONFIG_Model_Settings!$A$109:$A$113,0)),0.25)</f>
        <v>0.1</v>
      </c>
      <c r="BN62" s="17">
        <f>IFERROR(INDEX(_CONFIG_Model_Settings!$B$117:$B$123,MATCH(_CONFIG_Model_Settings!$B$104,_CONFIG_Model_Settings!$A$117:$A$123,0)),1)</f>
        <v>1</v>
      </c>
      <c r="BO62" s="17">
        <f>IFERROR(INDEX(_CONFIG_Model_Settings!$C$117:$C$123,MATCH(_CONFIG_Model_Settings!$B$104,_CONFIG_Model_Settings!$A$117:$A$123,0)),1)</f>
        <v>1</v>
      </c>
      <c r="BP62" s="17">
        <f>IFERROR(INDEX(_CONFIG_Model_Settings!$D$117:$D$123,MATCH(_CONFIG_Model_Settings!$B$104,_CONFIG_Model_Settings!$A$117:$A$123,0)),1)</f>
        <v>1</v>
      </c>
      <c r="BQ62" s="17">
        <f>IFERROR(INDEX(_CONFIG_Model_Settings!$E$117:$E$123,MATCH(_CONFIG_Model_Settings!$B$104,_CONFIG_Model_Settings!$A$117:$A$123,0)),1)</f>
        <v>1</v>
      </c>
      <c r="BR62" s="17">
        <f>IF(OR($A62="",$P62=""),"",MIN(5,IFERROR(SUMIF(_DATA_RiskInitiativeMap!$A$1:$A$867,$A62,_DATA_RiskInitiativeMap!$K$1:$K$867)/MAX(1,_CONFIG_Model_Settings!$B$166),0)))</f>
        <v>5</v>
      </c>
      <c r="BS62" s="17">
        <f t="shared" si="41"/>
        <v>5.21</v>
      </c>
      <c r="BT62" s="17">
        <f t="shared" si="42"/>
        <v>4</v>
      </c>
      <c r="BU62" s="17">
        <f t="shared" si="43"/>
        <v>1.3</v>
      </c>
      <c r="BV62" s="17">
        <f>IF(OR($P62="",$BU62="",$AY62="Done",$AY62="Not applicable"),"",ROUND($BU62*N($AS62)*IF(OR('Resilience &amp; Risk Scenario'!$B$6="",'Resilience &amp; Risk Scenario'!$B$7&lt;=0),1,IFERROR(1+MIN(0.75,INDEX('Resilience &amp; Risk Scenario'!$E$21:$E$37,MATCH($B62,'Resilience &amp; Risk Scenario'!$B$21:$B$37,0))/10),1)),2))</f>
        <v>1.3</v>
      </c>
      <c r="BW62" s="17">
        <f>IF($BV62="","",RANK($BV62,$BV$5:$BV$76,0)+COUNTIF($BV$5:$BV62,$BV62)-1)</f>
        <v>67</v>
      </c>
      <c r="BX62" s="17" t="str">
        <f t="shared" si="44"/>
        <v>12+ months</v>
      </c>
      <c r="BY62" t="str">
        <f>IFERROR(IF($A62="","","P2: "&amp;$BI62&amp;" posture; objective="&amp;IF(_CONFIG_Model_Settings!$B$104="","Neutral/default",_CONFIG_Model_Settings!$B$104)&amp;"; relevance="&amp;ROUND(N($AS62),2)&amp;"; scenario/domain boost="&amp;ROUND(IF(OR('Resilience &amp; Risk Scenario'!$B$6="",'Resilience &amp; Risk Scenario'!$B$7&lt;=0),1,IFERROR(1+MIN(0.75,INDEX('Resilience &amp; Risk Scenario'!$E$21:$E$37,MATCH($B62,'Resilience &amp; Risk Scenario'!$B$21:$B$37,0))/10),1)),2)&amp;"; financial score="&amp;ROUND(N($BR62),1)&amp;"; CoD="&amp;$BS62&amp;IF($CL62&lt;&gt;"","; wording="&amp;$CL62,"")),"")</f>
        <v>P2: Fragile posture; objective=Neutral/default; relevance=1; scenario/domain boost=1; financial score=5; CoD=5.21; wording=Strengthen Data governance</v>
      </c>
      <c r="BZ62" t="str">
        <f>IFERROR(INDEX(_REF_Capability_Bridge!$D:$D,MATCH($B62&amp;"|"&amp;$C62,_REF_Capability_Bridge!$J:$J,0)),IFERROR(INDEX(_REF_Capability_Bridge!$D:$D,MATCH($B62&amp;"|",_REF_Capability_Bridge!$J:$J,0)),"CAP_GENERIC"))</f>
        <v>CAP_DATA_GOVERNANCE</v>
      </c>
      <c r="CA62">
        <f>IFERROR(IFERROR(INDEX(_ENGINE_Relevance!$L:$L,MATCH($BZ62,_ENGINE_Relevance!$B:$B,0)),1),1)</f>
        <v>1.25</v>
      </c>
      <c r="CB62" t="str">
        <f>IFERROR(INDEX(_REF_Capability_Bridge!$A:$A,MATCH($B62&amp;"|"&amp;$C62,_REF_Capability_Bridge!$J:$J,0)),IFERROR(INDEX(_REF_Capability_Bridge!$A:$A,MATCH($B62&amp;"|",_REF_Capability_Bridge!$J:$J,0)),"No bridge"))</f>
        <v>BRG-022</v>
      </c>
      <c r="CC62" t="str">
        <f t="shared" si="45"/>
        <v>Capability relevance increases priority</v>
      </c>
      <c r="CD62" t="str">
        <f t="shared" si="46"/>
        <v>Initial / absent</v>
      </c>
      <c r="CE62" t="str">
        <f>IF($A62="","",IFERROR(INDEX(_REF_Treatment_Library!$A$2:$A$296,MATCH(1,INDEX((_REF_Treatment_Library!$B$2:$B$296=$BZ62)*(_REF_Treatment_Library!$C$2:$C$296=PV_Canonical_Industry)*(_REF_Treatment_Library!$E$2:$E$296&lt;=N($N62))*(_REF_Treatment_Library!$F$2:$F$296&gt;=N($N62))*(_REF_Treatment_Library!$O$2:$O$296="Yes"),0),0)),IFERROR(INDEX(_REF_Treatment_Library!$A$2:$A$296,MATCH(1,INDEX((_REF_Treatment_Library!$B$2:$B$296=$BZ62)*(_REF_Treatment_Library!$C$2:$C$296="All")*(_REF_Treatment_Library!$E$2:$E$296&lt;=N($N62))*(_REF_Treatment_Library!$F$2:$F$296&gt;=N($N62))*(_REF_Treatment_Library!$O$2:$O$296="Yes"),0),0)),"")))</f>
        <v>TRT-DATA_GOVERNANCE-INITIAL</v>
      </c>
      <c r="CF62" t="str">
        <f>IF($CE62="","",IFERROR(INDEX(_REF_Treatment_Library!$H$2:$H$296,MATCH($CE62,_REF_Treatment_Library!$A$2:$A$296,0)),""))</f>
        <v>Establish</v>
      </c>
      <c r="CG62" t="str">
        <f>IF($CE62="","",IFERROR(INDEX(_REF_Treatment_Library!$I$2:$I$296,MATCH($CE62,_REF_Treatment_Library!$A$2:$A$296,0)),""))</f>
        <v>Establish baseline controls for Data governance</v>
      </c>
      <c r="CH62" t="str">
        <f>IF($CE62="","",IFERROR(INDEX(_REF_Treatment_Library!$K$2:$K$296,MATCH($CE62,_REF_Treatment_Library!$A$2:$A$296,0)),""))</f>
        <v>Named owner, baseline process, minimum control checklist, first evidence package</v>
      </c>
      <c r="CI62" t="str">
        <f>IF($CE62="","",IFERROR(INDEX(_REF_Treatment_Library!$L$2:$L$296,MATCH($CE62,_REF_Treatment_Library!$A$2:$A$296,0)),""))</f>
        <v>Owner assigned; baseline evidence coverage; open critical gaps</v>
      </c>
      <c r="CJ62" t="str">
        <f t="shared" si="47"/>
        <v>Treatment by capability=CAP_DATA_GOVERNANCE; band=Initial / absent; score=0.0; treatment=Establish</v>
      </c>
      <c r="CK62" t="str">
        <f>IF($A62="","",IFERROR(INDEX(_REF_Industry_Wording!$A$2:$A$70,MATCH(1,INDEX((_REF_Industry_Wording!$B$2:$B$70=$BZ62)*(_REF_Industry_Wording!$C$2:$C$70=PV_Canonical_Industry)*(_REF_Industry_Wording!$K$2:$K$70="Yes"),0),0)),IFERROR(INDEX(_REF_Industry_Wording!$A$2:$A$70,MATCH(1,INDEX((_REF_Industry_Wording!$B$2:$B$70=$BZ62)*(_REF_Industry_Wording!$C$2:$C$70="All")*(_REF_Industry_Wording!$K$2:$K$70="Yes"),0),0)),"")))</f>
        <v>IW-ALL-DATA_GOVERNANCE</v>
      </c>
      <c r="CL62" t="str">
        <f>IF($CK62="","",IFERROR(INDEX(_REF_Industry_Wording!$F$2:$F$70,MATCH($CK62,_REF_Industry_Wording!$A$2:$A$70,0)),""))</f>
        <v>Strengthen Data governance</v>
      </c>
      <c r="CM62" t="str">
        <f>IF($CK62="","",IFERROR(INDEX(_REF_Industry_Wording!$G$2:$G$70,MATCH($CK62,_REF_Industry_Wording!$A$2:$A$70,0)),""))</f>
        <v>Strengthen Data governance using the selected maturity treatment, crisis scenario and evidence requirements.</v>
      </c>
      <c r="CN62" t="str">
        <f>IF($CK62="","",IFERROR(INDEX(_REF_Industry_Wording!$H$2:$H$70,MATCH($CK62,_REF_Industry_Wording!$A$2:$A$70,0)),""))</f>
        <v>Data governance</v>
      </c>
      <c r="CO62">
        <f>IF($CK62="","",IFERROR(INDEX(_REF_Industry_Wording!$I$2:$I$70,MATCH($CK62,_REF_Industry_Wording!$A$2:$A$70,0)),""))</f>
        <v>0</v>
      </c>
      <c r="CP62" t="str">
        <f>IF($CK62="","",IFERROR(INDEX(_REF_Industry_Wording!$J$2:$J$70,MATCH($CK62,_REF_Industry_Wording!$A$2:$A$70,0)),""))</f>
        <v>Data governance</v>
      </c>
      <c r="CQ62" t="str">
        <f t="shared" si="48"/>
        <v>Wording by industry=0; capability=CAP_DATA_GOVERNANCE; title=Strengthen Data governance</v>
      </c>
      <c r="CR62" t="str">
        <f t="shared" si="49"/>
        <v>INIT-ONT-0058</v>
      </c>
      <c r="CS62">
        <f t="shared" si="50"/>
        <v>62</v>
      </c>
      <c r="CT62" t="str">
        <f t="shared" si="51"/>
        <v>CAP_DATA_GOVERNANCE</v>
      </c>
      <c r="CU62" t="str">
        <f t="shared" si="52"/>
        <v>INI-058|Data BI AI|Data governance|CAP_DATA_GOVERNANCE</v>
      </c>
      <c r="CV62" t="str">
        <f t="shared" si="53"/>
        <v>Active</v>
      </c>
      <c r="CW62" t="str">
        <f t="shared" si="54"/>
        <v>OK: capability-driven</v>
      </c>
      <c r="CX62" t="str">
        <f t="shared" si="55"/>
        <v>Initiative ontology uses capability=CAP_DATA_GOVERNANCE; bridge=BRG-022; treatment=TRT-DATA_GOVERNANCE-INITIAL; wording=IW-ALL-DATA_GOVERNANCE</v>
      </c>
    </row>
    <row r="63" spans="1:102" ht="42" customHeight="1">
      <c r="A63" s="17" t="s">
        <v>4427</v>
      </c>
      <c r="B63" s="17" t="s">
        <v>2824</v>
      </c>
      <c r="C63" s="17" t="s">
        <v>2835</v>
      </c>
      <c r="D63" s="17" t="s">
        <v>4414</v>
      </c>
      <c r="E63" s="17" t="s">
        <v>4415</v>
      </c>
      <c r="F63" s="17" t="s">
        <v>4428</v>
      </c>
      <c r="G63" s="17" t="s">
        <v>4429</v>
      </c>
      <c r="H63" s="17" t="s">
        <v>4418</v>
      </c>
      <c r="I63" s="17" t="s">
        <v>4419</v>
      </c>
      <c r="J63" s="17" t="s">
        <v>4430</v>
      </c>
      <c r="K63" s="17">
        <v>6</v>
      </c>
      <c r="L63" s="17">
        <f>IF($A63="","",COUNTIFS(_DATA_RiskInitiativeMap!$A$444:$A$867,$A63,_DATA_RiskInitiativeMap!$G$444:$G$867,"&gt;0"))</f>
        <v>6</v>
      </c>
      <c r="M63" s="17">
        <f>IF($A63="","",COUNTIFS(_DATA_RiskInitiativeMap!$A$444:$A$867,$A63,_DATA_RiskInitiativeMap!$G$444:$G$867,"&gt;0"))</f>
        <v>6</v>
      </c>
      <c r="N63" s="17">
        <f>IFERROR(AVERAGEIFS(_DATA_Assessment_Model!$H$5:$H$428,_DATA_Assessment_Model!$AW$5:$AW$428,$B63,_DATA_Assessment_Model!$B$5:$B$428,$C63),"")</f>
        <v>0</v>
      </c>
      <c r="O63" s="17">
        <f t="shared" si="28"/>
        <v>5</v>
      </c>
      <c r="P63" s="17">
        <f>IFERROR(INDEX(_DATA_Dashboard_Facts!$H$5:$H$21,MATCH($B63,_DATA_Dashboard_Facts!$A$5:$A$21,0)),"")</f>
        <v>0</v>
      </c>
      <c r="Q63" s="17">
        <f t="shared" si="29"/>
        <v>5</v>
      </c>
      <c r="R63" s="17">
        <f>IF(OR('Resilience &amp; Risk Scenario'!$B$6="",'Resilience &amp; Risk Scenario'!$B$7&lt;=0),1,IFERROR(IF(SUMIFS(_ENGINE_Crisis!$D$5:$D$208,_ENGINE_Crisis!$A$5:$A$208,'Resilience &amp; Risk Scenario'!$B$6,_ENGINE_Crisis!$B$5:$B$208,$B63)=0,1,SUMIFS(_ENGINE_Crisis!$D$5:$D$208,_ENGINE_Crisis!$A$5:$A$208,'Resilience &amp; Risk Scenario'!$B$6,_ENGINE_Crisis!$B$5:$B$208,$B63)),1))</f>
        <v>1</v>
      </c>
      <c r="S63" s="17">
        <f>IFERROR(INDEX(_ENGINE_Strategy!$A$100:$A$113,MATCH($D63,_ENGINE_Strategy!$B$100:$B$113,0)),99)</f>
        <v>8</v>
      </c>
      <c r="T63" s="17">
        <f>IFERROR(INDEX(_ENGINE_Strategy!$J$100:$J$113,MATCH($D63,_ENGINE_Strategy!$B$100:$B$113,0)),0)</f>
        <v>67</v>
      </c>
      <c r="U63" s="17">
        <v>5</v>
      </c>
      <c r="V63" s="17">
        <v>3</v>
      </c>
      <c r="W63" s="17">
        <v>4</v>
      </c>
      <c r="X63" s="17">
        <f t="shared" si="30"/>
        <v>4.5875000000000004</v>
      </c>
      <c r="Y63" s="17">
        <f>IF($P63="","",MAX(1,MIN(5,1+N($O63)*0.45+MIN(2,N($M63)*0.3)+($R63-1)*1.2+IF('Resilience &amp; Risk Scenario'!$B$7="",1,'Resilience &amp; Risk Scenario'!$B$7)*0.25)))</f>
        <v>5</v>
      </c>
      <c r="Z63" s="17">
        <f t="shared" si="31"/>
        <v>4.5999999999999996</v>
      </c>
      <c r="AA63" s="17">
        <f t="shared" si="32"/>
        <v>4.2050000000000001</v>
      </c>
      <c r="AB63" s="17">
        <v>4</v>
      </c>
      <c r="AC63" s="17">
        <f t="shared" si="33"/>
        <v>1.3</v>
      </c>
      <c r="AD63" s="17">
        <f t="shared" si="34"/>
        <v>68</v>
      </c>
      <c r="AE63" s="17" t="str">
        <f t="shared" si="35"/>
        <v>12+ months</v>
      </c>
      <c r="AF63" s="17" t="s">
        <v>4421</v>
      </c>
      <c r="AG63" s="17" t="s">
        <v>3502</v>
      </c>
      <c r="AH63" s="17" t="s">
        <v>4337</v>
      </c>
      <c r="AI63" s="17" t="s">
        <v>3932</v>
      </c>
      <c r="AJ63" s="17" t="s">
        <v>4431</v>
      </c>
      <c r="AK63" s="17" t="s">
        <v>4432</v>
      </c>
      <c r="AL63" s="17" t="s">
        <v>4433</v>
      </c>
      <c r="AM63" s="17" t="s">
        <v>4425</v>
      </c>
      <c r="AN63" s="17" t="s">
        <v>3937</v>
      </c>
      <c r="AO63" s="17" t="s">
        <v>3938</v>
      </c>
      <c r="AP63" s="17" t="s">
        <v>4242</v>
      </c>
      <c r="AQ63" s="17"/>
      <c r="AR63" s="17"/>
      <c r="AS63" s="14">
        <f>IFERROR((IF(SUMIFS(_REF_Model_Content!$J$1:$J$157,_REF_Model_Content!$A$1:$A$174,PV_Canonical_Industry,_REF_Model_Content!$B$1:$B$174,$B63)=0,1,SUMIFS(_REF_Model_Content!$J$1:$J$157,_REF_Model_Content!$A$1:$A$174,PV_Canonical_Industry,_REF_Model_Content!$B$1:$B$174,$B63))*IFERROR($CA63,1)),1)</f>
        <v>1</v>
      </c>
      <c r="AT63" s="14">
        <f t="shared" si="36"/>
        <v>1.3</v>
      </c>
      <c r="AU63" s="14">
        <f>IF($AT63="","",RANK($AT63,$AT$5:$AT$76,0)+COUNTIF($AT$5:AT63,$AT63)-1)</f>
        <v>68</v>
      </c>
      <c r="AV63" s="14">
        <f>IFERROR(INDEX(_DATA_Dashboard_Facts!$G$300:$G$316,MATCH($B63,_DATA_Dashboard_Facts!$A$300:$A$316,0)),"")</f>
        <v>0</v>
      </c>
      <c r="AW63" s="14" t="str">
        <f t="shared" si="37"/>
        <v>Relevance-neutral priority</v>
      </c>
      <c r="AX63">
        <f>IFERROR(INDEX('Action Plan &amp; Roadmap'!$D$59:$D$130,MATCH($A63,'Action Plan &amp; Roadmap'!$A$59:$A$130,0)),"")</f>
        <v>0</v>
      </c>
      <c r="AY63">
        <f t="shared" si="38"/>
        <v>0</v>
      </c>
      <c r="AZ63" t="s">
        <v>4426</v>
      </c>
      <c r="BA63">
        <f>IF($A63="","",COUNTIF(_DATA_RiskInitiativeMap!$A$1:$A$867,$A63))</f>
        <v>6</v>
      </c>
      <c r="BB63">
        <f>IF($A63="","",IFERROR(AVERAGEIF(_DATA_RiskInitiativeMap!$A$1:$A$867,$A63,_DATA_RiskInitiativeMap!$G$1:$G$867),0))</f>
        <v>16.236666666666668</v>
      </c>
      <c r="BC63">
        <f t="shared" si="39"/>
        <v>4.2</v>
      </c>
      <c r="BD63">
        <f t="shared" si="40"/>
        <v>4.0465666666666662</v>
      </c>
      <c r="BI63" s="17" t="str">
        <f>IFERROR(_CONFIG_Model_Settings!$B$103,"Adaptive")</f>
        <v>Fragile</v>
      </c>
      <c r="BJ63" s="17">
        <f>IFERROR(INDEX(_CONFIG_Model_Settings!$B$109:$B$113,MATCH($BI63,_CONFIG_Model_Settings!$A$109:$A$113,0)),0.3)</f>
        <v>0.2</v>
      </c>
      <c r="BK63" s="17">
        <f>IFERROR(INDEX(_CONFIG_Model_Settings!$C$109:$C$113,MATCH($BI63,_CONFIG_Model_Settings!$A$109:$A$113,0)),0.2)</f>
        <v>0.3</v>
      </c>
      <c r="BL63" s="17">
        <f>IFERROR(INDEX(_CONFIG_Model_Settings!$D$109:$D$113,MATCH($BI63,_CONFIG_Model_Settings!$A$109:$A$113,0)),0.25)</f>
        <v>0.4</v>
      </c>
      <c r="BM63" s="17">
        <f>IFERROR(INDEX(_CONFIG_Model_Settings!$E$109:$E$113,MATCH($BI63,_CONFIG_Model_Settings!$A$109:$A$113,0)),0.25)</f>
        <v>0.1</v>
      </c>
      <c r="BN63" s="17">
        <f>IFERROR(INDEX(_CONFIG_Model_Settings!$B$117:$B$123,MATCH(_CONFIG_Model_Settings!$B$104,_CONFIG_Model_Settings!$A$117:$A$123,0)),1)</f>
        <v>1</v>
      </c>
      <c r="BO63" s="17">
        <f>IFERROR(INDEX(_CONFIG_Model_Settings!$C$117:$C$123,MATCH(_CONFIG_Model_Settings!$B$104,_CONFIG_Model_Settings!$A$117:$A$123,0)),1)</f>
        <v>1</v>
      </c>
      <c r="BP63" s="17">
        <f>IFERROR(INDEX(_CONFIG_Model_Settings!$D$117:$D$123,MATCH(_CONFIG_Model_Settings!$B$104,_CONFIG_Model_Settings!$A$117:$A$123,0)),1)</f>
        <v>1</v>
      </c>
      <c r="BQ63" s="17">
        <f>IFERROR(INDEX(_CONFIG_Model_Settings!$E$117:$E$123,MATCH(_CONFIG_Model_Settings!$B$104,_CONFIG_Model_Settings!$A$117:$A$123,0)),1)</f>
        <v>1</v>
      </c>
      <c r="BR63" s="17">
        <f>IF(OR($A63="",$P63=""),"",MIN(5,IFERROR(SUMIF(_DATA_RiskInitiativeMap!$A$1:$A$867,$A63,_DATA_RiskInitiativeMap!$K$1:$K$867)/MAX(1,_CONFIG_Model_Settings!$B$166),0)))</f>
        <v>5</v>
      </c>
      <c r="BS63" s="17">
        <f t="shared" si="41"/>
        <v>5.21</v>
      </c>
      <c r="BT63" s="17">
        <f t="shared" si="42"/>
        <v>4</v>
      </c>
      <c r="BU63" s="17">
        <f t="shared" si="43"/>
        <v>1.3</v>
      </c>
      <c r="BV63" s="17">
        <f>IF(OR($P63="",$BU63="",$AY63="Done",$AY63="Not applicable"),"",ROUND($BU63*N($AS63)*IF(OR('Resilience &amp; Risk Scenario'!$B$6="",'Resilience &amp; Risk Scenario'!$B$7&lt;=0),1,IFERROR(1+MIN(0.75,INDEX('Resilience &amp; Risk Scenario'!$E$21:$E$37,MATCH($B63,'Resilience &amp; Risk Scenario'!$B$21:$B$37,0))/10),1)),2))</f>
        <v>1.3</v>
      </c>
      <c r="BW63" s="17">
        <f>IF($BV63="","",RANK($BV63,$BV$5:$BV$76,0)+COUNTIF($BV$5:$BV63,$BV63)-1)</f>
        <v>68</v>
      </c>
      <c r="BX63" s="17" t="str">
        <f t="shared" si="44"/>
        <v>12+ months</v>
      </c>
      <c r="BY63" t="str">
        <f>IFERROR(IF($A63="","","P2: "&amp;$BI63&amp;" posture; objective="&amp;IF(_CONFIG_Model_Settings!$B$104="","Neutral/default",_CONFIG_Model_Settings!$B$104)&amp;"; relevance="&amp;ROUND(N($AS63),2)&amp;"; scenario/domain boost="&amp;ROUND(IF(OR('Resilience &amp; Risk Scenario'!$B$6="",'Resilience &amp; Risk Scenario'!$B$7&lt;=0),1,IFERROR(1+MIN(0.75,INDEX('Resilience &amp; Risk Scenario'!$E$21:$E$37,MATCH($B63,'Resilience &amp; Risk Scenario'!$B$21:$B$37,0))/10),1)),2)&amp;"; financial score="&amp;ROUND(N($BR63),1)&amp;"; CoD="&amp;$BS63&amp;IF($CL63&lt;&gt;"","; wording="&amp;$CL63,"")),"")</f>
        <v>P2: Fragile posture; objective=Neutral/default; relevance=1; scenario/domain boost=1; financial score=5; CoD=5.21; wording=Strengthen Data governance</v>
      </c>
      <c r="BZ63" t="str">
        <f>IFERROR(INDEX(_REF_Capability_Bridge!$D:$D,MATCH($B63&amp;"|"&amp;$C63,_REF_Capability_Bridge!$J:$J,0)),IFERROR(INDEX(_REF_Capability_Bridge!$D:$D,MATCH($B63&amp;"|",_REF_Capability_Bridge!$J:$J,0)),"CAP_GENERIC"))</f>
        <v>CAP_DATA_GOVERNANCE</v>
      </c>
      <c r="CA63">
        <f>IFERROR(IFERROR(INDEX(_ENGINE_Relevance!$L:$L,MATCH($BZ63,_ENGINE_Relevance!$B:$B,0)),1),1)</f>
        <v>1.25</v>
      </c>
      <c r="CB63" t="str">
        <f>IFERROR(INDEX(_REF_Capability_Bridge!$A:$A,MATCH($B63&amp;"|"&amp;$C63,_REF_Capability_Bridge!$J:$J,0)),IFERROR(INDEX(_REF_Capability_Bridge!$A:$A,MATCH($B63&amp;"|",_REF_Capability_Bridge!$J:$J,0)),"No bridge"))</f>
        <v>BRG-021</v>
      </c>
      <c r="CC63" t="str">
        <f t="shared" si="45"/>
        <v>Capability relevance increases priority</v>
      </c>
      <c r="CD63" t="str">
        <f t="shared" si="46"/>
        <v>Initial / absent</v>
      </c>
      <c r="CE63" t="str">
        <f>IF($A63="","",IFERROR(INDEX(_REF_Treatment_Library!$A$2:$A$296,MATCH(1,INDEX((_REF_Treatment_Library!$B$2:$B$296=$BZ63)*(_REF_Treatment_Library!$C$2:$C$296=PV_Canonical_Industry)*(_REF_Treatment_Library!$E$2:$E$296&lt;=N($N63))*(_REF_Treatment_Library!$F$2:$F$296&gt;=N($N63))*(_REF_Treatment_Library!$O$2:$O$296="Yes"),0),0)),IFERROR(INDEX(_REF_Treatment_Library!$A$2:$A$296,MATCH(1,INDEX((_REF_Treatment_Library!$B$2:$B$296=$BZ63)*(_REF_Treatment_Library!$C$2:$C$296="All")*(_REF_Treatment_Library!$E$2:$E$296&lt;=N($N63))*(_REF_Treatment_Library!$F$2:$F$296&gt;=N($N63))*(_REF_Treatment_Library!$O$2:$O$296="Yes"),0),0)),"")))</f>
        <v>TRT-DATA_GOVERNANCE-INITIAL</v>
      </c>
      <c r="CF63" t="str">
        <f>IF($CE63="","",IFERROR(INDEX(_REF_Treatment_Library!$H$2:$H$296,MATCH($CE63,_REF_Treatment_Library!$A$2:$A$296,0)),""))</f>
        <v>Establish</v>
      </c>
      <c r="CG63" t="str">
        <f>IF($CE63="","",IFERROR(INDEX(_REF_Treatment_Library!$I$2:$I$296,MATCH($CE63,_REF_Treatment_Library!$A$2:$A$296,0)),""))</f>
        <v>Establish baseline controls for Data governance</v>
      </c>
      <c r="CH63" t="str">
        <f>IF($CE63="","",IFERROR(INDEX(_REF_Treatment_Library!$K$2:$K$296,MATCH($CE63,_REF_Treatment_Library!$A$2:$A$296,0)),""))</f>
        <v>Named owner, baseline process, minimum control checklist, first evidence package</v>
      </c>
      <c r="CI63" t="str">
        <f>IF($CE63="","",IFERROR(INDEX(_REF_Treatment_Library!$L$2:$L$296,MATCH($CE63,_REF_Treatment_Library!$A$2:$A$296,0)),""))</f>
        <v>Owner assigned; baseline evidence coverage; open critical gaps</v>
      </c>
      <c r="CJ63" t="str">
        <f t="shared" si="47"/>
        <v>Treatment by capability=CAP_DATA_GOVERNANCE; band=Initial / absent; score=0.0; treatment=Establish</v>
      </c>
      <c r="CK63" t="str">
        <f>IF($A63="","",IFERROR(INDEX(_REF_Industry_Wording!$A$2:$A$70,MATCH(1,INDEX((_REF_Industry_Wording!$B$2:$B$70=$BZ63)*(_REF_Industry_Wording!$C$2:$C$70=PV_Canonical_Industry)*(_REF_Industry_Wording!$K$2:$K$70="Yes"),0),0)),IFERROR(INDEX(_REF_Industry_Wording!$A$2:$A$70,MATCH(1,INDEX((_REF_Industry_Wording!$B$2:$B$70=$BZ63)*(_REF_Industry_Wording!$C$2:$C$70="All")*(_REF_Industry_Wording!$K$2:$K$70="Yes"),0),0)),"")))</f>
        <v>IW-ALL-DATA_GOVERNANCE</v>
      </c>
      <c r="CL63" t="str">
        <f>IF($CK63="","",IFERROR(INDEX(_REF_Industry_Wording!$F$2:$F$70,MATCH($CK63,_REF_Industry_Wording!$A$2:$A$70,0)),""))</f>
        <v>Strengthen Data governance</v>
      </c>
      <c r="CM63" t="str">
        <f>IF($CK63="","",IFERROR(INDEX(_REF_Industry_Wording!$G$2:$G$70,MATCH($CK63,_REF_Industry_Wording!$A$2:$A$70,0)),""))</f>
        <v>Strengthen Data governance using the selected maturity treatment, crisis scenario and evidence requirements.</v>
      </c>
      <c r="CN63" t="str">
        <f>IF($CK63="","",IFERROR(INDEX(_REF_Industry_Wording!$H$2:$H$70,MATCH($CK63,_REF_Industry_Wording!$A$2:$A$70,0)),""))</f>
        <v>Data governance</v>
      </c>
      <c r="CO63">
        <f>IF($CK63="","",IFERROR(INDEX(_REF_Industry_Wording!$I$2:$I$70,MATCH($CK63,_REF_Industry_Wording!$A$2:$A$70,0)),""))</f>
        <v>0</v>
      </c>
      <c r="CP63" t="str">
        <f>IF($CK63="","",IFERROR(INDEX(_REF_Industry_Wording!$J$2:$J$70,MATCH($CK63,_REF_Industry_Wording!$A$2:$A$70,0)),""))</f>
        <v>Data governance</v>
      </c>
      <c r="CQ63" t="str">
        <f t="shared" si="48"/>
        <v>Wording by industry=0; capability=CAP_DATA_GOVERNANCE; title=Strengthen Data governance</v>
      </c>
      <c r="CR63" t="str">
        <f t="shared" si="49"/>
        <v>INIT-ONT-0059</v>
      </c>
      <c r="CS63">
        <f t="shared" si="50"/>
        <v>63</v>
      </c>
      <c r="CT63" t="str">
        <f t="shared" si="51"/>
        <v>CAP_DATA_GOVERNANCE</v>
      </c>
      <c r="CU63" t="str">
        <f t="shared" si="52"/>
        <v>INI-059|Data BI AI|Data architecture|CAP_DATA_GOVERNANCE</v>
      </c>
      <c r="CV63" t="str">
        <f t="shared" si="53"/>
        <v>Active</v>
      </c>
      <c r="CW63" t="str">
        <f t="shared" si="54"/>
        <v>OK: capability-driven</v>
      </c>
      <c r="CX63" t="str">
        <f t="shared" si="55"/>
        <v>Initiative ontology uses capability=CAP_DATA_GOVERNANCE; bridge=BRG-021; treatment=TRT-DATA_GOVERNANCE-INITIAL; wording=IW-ALL-DATA_GOVERNANCE</v>
      </c>
    </row>
    <row r="64" spans="1:102" ht="42" customHeight="1">
      <c r="A64" s="17" t="s">
        <v>4434</v>
      </c>
      <c r="B64" s="17" t="s">
        <v>2824</v>
      </c>
      <c r="C64" s="17" t="s">
        <v>2845</v>
      </c>
      <c r="D64" s="17" t="s">
        <v>4414</v>
      </c>
      <c r="E64" s="17" t="s">
        <v>4415</v>
      </c>
      <c r="F64" s="17" t="s">
        <v>4435</v>
      </c>
      <c r="G64" s="17" t="s">
        <v>4436</v>
      </c>
      <c r="H64" s="17" t="s">
        <v>4418</v>
      </c>
      <c r="I64" s="17" t="s">
        <v>4419</v>
      </c>
      <c r="J64" s="17" t="s">
        <v>4437</v>
      </c>
      <c r="K64" s="17">
        <v>6</v>
      </c>
      <c r="L64" s="17">
        <f>IF($A64="","",COUNTIFS(_DATA_RiskInitiativeMap!$A$444:$A$867,$A64,_DATA_RiskInitiativeMap!$G$444:$G$867,"&gt;0"))</f>
        <v>6</v>
      </c>
      <c r="M64" s="17">
        <f>IF($A64="","",COUNTIFS(_DATA_RiskInitiativeMap!$A$444:$A$867,$A64,_DATA_RiskInitiativeMap!$G$444:$G$867,"&gt;0"))</f>
        <v>6</v>
      </c>
      <c r="N64" s="17">
        <f>IFERROR(AVERAGEIFS(_DATA_Assessment_Model!$H$5:$H$428,_DATA_Assessment_Model!$AW$5:$AW$428,$B64,_DATA_Assessment_Model!$B$5:$B$428,$C64),"")</f>
        <v>0</v>
      </c>
      <c r="O64" s="17">
        <f t="shared" si="28"/>
        <v>5</v>
      </c>
      <c r="P64" s="17">
        <f>IFERROR(INDEX(_DATA_Dashboard_Facts!$H$5:$H$21,MATCH($B64,_DATA_Dashboard_Facts!$A$5:$A$21,0)),"")</f>
        <v>0</v>
      </c>
      <c r="Q64" s="17">
        <f t="shared" si="29"/>
        <v>5</v>
      </c>
      <c r="R64" s="17">
        <f>IF(OR('Resilience &amp; Risk Scenario'!$B$6="",'Resilience &amp; Risk Scenario'!$B$7&lt;=0),1,IFERROR(IF(SUMIFS(_ENGINE_Crisis!$D$5:$D$208,_ENGINE_Crisis!$A$5:$A$208,'Resilience &amp; Risk Scenario'!$B$6,_ENGINE_Crisis!$B$5:$B$208,$B64)=0,1,SUMIFS(_ENGINE_Crisis!$D$5:$D$208,_ENGINE_Crisis!$A$5:$A$208,'Resilience &amp; Risk Scenario'!$B$6,_ENGINE_Crisis!$B$5:$B$208,$B64)),1))</f>
        <v>1</v>
      </c>
      <c r="S64" s="17">
        <f>IFERROR(INDEX(_ENGINE_Strategy!$A$100:$A$113,MATCH($D64,_ENGINE_Strategy!$B$100:$B$113,0)),99)</f>
        <v>8</v>
      </c>
      <c r="T64" s="17">
        <f>IFERROR(INDEX(_ENGINE_Strategy!$J$100:$J$113,MATCH($D64,_ENGINE_Strategy!$B$100:$B$113,0)),0)</f>
        <v>67</v>
      </c>
      <c r="U64" s="17">
        <v>5</v>
      </c>
      <c r="V64" s="17">
        <v>3</v>
      </c>
      <c r="W64" s="17">
        <v>4</v>
      </c>
      <c r="X64" s="17">
        <f t="shared" si="30"/>
        <v>4.5875000000000004</v>
      </c>
      <c r="Y64" s="17">
        <f>IF($P64="","",MAX(1,MIN(5,1+N($O64)*0.45+MIN(2,N($M64)*0.3)+($R64-1)*1.2+IF('Resilience &amp; Risk Scenario'!$B$7="",1,'Resilience &amp; Risk Scenario'!$B$7)*0.25)))</f>
        <v>5</v>
      </c>
      <c r="Z64" s="17">
        <f t="shared" si="31"/>
        <v>4.5999999999999996</v>
      </c>
      <c r="AA64" s="17">
        <f t="shared" si="32"/>
        <v>4.2050000000000001</v>
      </c>
      <c r="AB64" s="17">
        <v>4</v>
      </c>
      <c r="AC64" s="17">
        <f t="shared" si="33"/>
        <v>1.31</v>
      </c>
      <c r="AD64" s="17">
        <f t="shared" si="34"/>
        <v>66</v>
      </c>
      <c r="AE64" s="17" t="str">
        <f t="shared" si="35"/>
        <v>12+ months</v>
      </c>
      <c r="AF64" s="17" t="s">
        <v>4421</v>
      </c>
      <c r="AG64" s="17" t="s">
        <v>3502</v>
      </c>
      <c r="AH64" s="17" t="s">
        <v>4337</v>
      </c>
      <c r="AI64" s="17" t="s">
        <v>3932</v>
      </c>
      <c r="AJ64" s="17" t="s">
        <v>4438</v>
      </c>
      <c r="AK64" s="17" t="s">
        <v>4439</v>
      </c>
      <c r="AL64" s="17" t="s">
        <v>4440</v>
      </c>
      <c r="AM64" s="17" t="s">
        <v>4425</v>
      </c>
      <c r="AN64" s="17" t="s">
        <v>3937</v>
      </c>
      <c r="AO64" s="17" t="s">
        <v>3938</v>
      </c>
      <c r="AP64" s="17" t="s">
        <v>4242</v>
      </c>
      <c r="AQ64" s="17"/>
      <c r="AR64" s="17"/>
      <c r="AS64" s="14">
        <f>IFERROR((IF(SUMIFS(_REF_Model_Content!$J$1:$J$157,_REF_Model_Content!$A$1:$A$174,PV_Canonical_Industry,_REF_Model_Content!$B$1:$B$174,$B64)=0,1,SUMIFS(_REF_Model_Content!$J$1:$J$157,_REF_Model_Content!$A$1:$A$174,PV_Canonical_Industry,_REF_Model_Content!$B$1:$B$174,$B64))*IFERROR($CA64,1)),1)</f>
        <v>1</v>
      </c>
      <c r="AT64" s="14">
        <f t="shared" si="36"/>
        <v>1.31</v>
      </c>
      <c r="AU64" s="14">
        <f>IF($AT64="","",RANK($AT64,$AT$5:$AT$76,0)+COUNTIF($AT$5:AT64,$AT64)-1)</f>
        <v>66</v>
      </c>
      <c r="AV64" s="14">
        <f>IFERROR(INDEX(_DATA_Dashboard_Facts!$G$300:$G$316,MATCH($B64,_DATA_Dashboard_Facts!$A$300:$A$316,0)),"")</f>
        <v>0</v>
      </c>
      <c r="AW64" s="14" t="str">
        <f t="shared" si="37"/>
        <v>Relevance-neutral priority</v>
      </c>
      <c r="AX64">
        <f>IFERROR(INDEX('Action Plan &amp; Roadmap'!$D$59:$D$130,MATCH($A64,'Action Plan &amp; Roadmap'!$A$59:$A$130,0)),"")</f>
        <v>0</v>
      </c>
      <c r="AY64">
        <f t="shared" si="38"/>
        <v>0</v>
      </c>
      <c r="AZ64" t="s">
        <v>4426</v>
      </c>
      <c r="BA64">
        <f>IF($A64="","",COUNTIF(_DATA_RiskInitiativeMap!$A$1:$A$867,$A64))</f>
        <v>6</v>
      </c>
      <c r="BB64">
        <f>IF($A64="","",IFERROR(AVERAGEIF(_DATA_RiskInitiativeMap!$A$1:$A$867,$A64,_DATA_RiskInitiativeMap!$G$1:$G$867),0))</f>
        <v>16.606666666666666</v>
      </c>
      <c r="BC64">
        <f t="shared" si="39"/>
        <v>4.2</v>
      </c>
      <c r="BD64">
        <f t="shared" si="40"/>
        <v>4.0724666666666662</v>
      </c>
      <c r="BI64" s="17" t="str">
        <f>IFERROR(_CONFIG_Model_Settings!$B$103,"Adaptive")</f>
        <v>Fragile</v>
      </c>
      <c r="BJ64" s="17">
        <f>IFERROR(INDEX(_CONFIG_Model_Settings!$B$109:$B$113,MATCH($BI64,_CONFIG_Model_Settings!$A$109:$A$113,0)),0.3)</f>
        <v>0.2</v>
      </c>
      <c r="BK64" s="17">
        <f>IFERROR(INDEX(_CONFIG_Model_Settings!$C$109:$C$113,MATCH($BI64,_CONFIG_Model_Settings!$A$109:$A$113,0)),0.2)</f>
        <v>0.3</v>
      </c>
      <c r="BL64" s="17">
        <f>IFERROR(INDEX(_CONFIG_Model_Settings!$D$109:$D$113,MATCH($BI64,_CONFIG_Model_Settings!$A$109:$A$113,0)),0.25)</f>
        <v>0.4</v>
      </c>
      <c r="BM64" s="17">
        <f>IFERROR(INDEX(_CONFIG_Model_Settings!$E$109:$E$113,MATCH($BI64,_CONFIG_Model_Settings!$A$109:$A$113,0)),0.25)</f>
        <v>0.1</v>
      </c>
      <c r="BN64" s="17">
        <f>IFERROR(INDEX(_CONFIG_Model_Settings!$B$117:$B$123,MATCH(_CONFIG_Model_Settings!$B$104,_CONFIG_Model_Settings!$A$117:$A$123,0)),1)</f>
        <v>1</v>
      </c>
      <c r="BO64" s="17">
        <f>IFERROR(INDEX(_CONFIG_Model_Settings!$C$117:$C$123,MATCH(_CONFIG_Model_Settings!$B$104,_CONFIG_Model_Settings!$A$117:$A$123,0)),1)</f>
        <v>1</v>
      </c>
      <c r="BP64" s="17">
        <f>IFERROR(INDEX(_CONFIG_Model_Settings!$D$117:$D$123,MATCH(_CONFIG_Model_Settings!$B$104,_CONFIG_Model_Settings!$A$117:$A$123,0)),1)</f>
        <v>1</v>
      </c>
      <c r="BQ64" s="17">
        <f>IFERROR(INDEX(_CONFIG_Model_Settings!$E$117:$E$123,MATCH(_CONFIG_Model_Settings!$B$104,_CONFIG_Model_Settings!$A$117:$A$123,0)),1)</f>
        <v>1</v>
      </c>
      <c r="BR64" s="17">
        <f>IF(OR($A64="",$P64=""),"",MIN(5,IFERROR(SUMIF(_DATA_RiskInitiativeMap!$A$1:$A$867,$A64,_DATA_RiskInitiativeMap!$K$1:$K$867)/MAX(1,_CONFIG_Model_Settings!$B$166),0)))</f>
        <v>5</v>
      </c>
      <c r="BS64" s="17">
        <f t="shared" si="41"/>
        <v>5.22</v>
      </c>
      <c r="BT64" s="17">
        <f t="shared" si="42"/>
        <v>4</v>
      </c>
      <c r="BU64" s="17">
        <f t="shared" si="43"/>
        <v>1.31</v>
      </c>
      <c r="BV64" s="17">
        <f>IF(OR($P64="",$BU64="",$AY64="Done",$AY64="Not applicable"),"",ROUND($BU64*N($AS64)*IF(OR('Resilience &amp; Risk Scenario'!$B$6="",'Resilience &amp; Risk Scenario'!$B$7&lt;=0),1,IFERROR(1+MIN(0.75,INDEX('Resilience &amp; Risk Scenario'!$E$21:$E$37,MATCH($B64,'Resilience &amp; Risk Scenario'!$B$21:$B$37,0))/10),1)),2))</f>
        <v>1.31</v>
      </c>
      <c r="BW64" s="17">
        <f>IF($BV64="","",RANK($BV64,$BV$5:$BV$76,0)+COUNTIF($BV$5:$BV64,$BV64)-1)</f>
        <v>66</v>
      </c>
      <c r="BX64" s="17" t="str">
        <f t="shared" si="44"/>
        <v>12+ months</v>
      </c>
      <c r="BY64" t="str">
        <f>IFERROR(IF($A64="","","P2: "&amp;$BI64&amp;" posture; objective="&amp;IF(_CONFIG_Model_Settings!$B$104="","Neutral/default",_CONFIG_Model_Settings!$B$104)&amp;"; relevance="&amp;ROUND(N($AS64),2)&amp;"; scenario/domain boost="&amp;ROUND(IF(OR('Resilience &amp; Risk Scenario'!$B$6="",'Resilience &amp; Risk Scenario'!$B$7&lt;=0),1,IFERROR(1+MIN(0.75,INDEX('Resilience &amp; Risk Scenario'!$E$21:$E$37,MATCH($B64,'Resilience &amp; Risk Scenario'!$B$21:$B$37,0))/10),1)),2)&amp;"; financial score="&amp;ROUND(N($BR64),1)&amp;"; CoD="&amp;$BS64&amp;IF($CL64&lt;&gt;"","; wording="&amp;$CL64,"")),"")</f>
        <v>P2: Fragile posture; objective=Neutral/default; relevance=1; scenario/domain boost=1; financial score=5; CoD=5.22; wording=Strengthen Data governance</v>
      </c>
      <c r="BZ64" t="str">
        <f>IFERROR(INDEX(_REF_Capability_Bridge!$D:$D,MATCH($B64&amp;"|"&amp;$C64,_REF_Capability_Bridge!$J:$J,0)),IFERROR(INDEX(_REF_Capability_Bridge!$D:$D,MATCH($B64&amp;"|",_REF_Capability_Bridge!$J:$J,0)),"CAP_GENERIC"))</f>
        <v>CAP_DATA_GOVERNANCE</v>
      </c>
      <c r="CA64">
        <f>IFERROR(IFERROR(INDEX(_ENGINE_Relevance!$L:$L,MATCH($BZ64,_ENGINE_Relevance!$B:$B,0)),1),1)</f>
        <v>1.25</v>
      </c>
      <c r="CB64" t="str">
        <f>IFERROR(INDEX(_REF_Capability_Bridge!$A:$A,MATCH($B64&amp;"|"&amp;$C64,_REF_Capability_Bridge!$J:$J,0)),IFERROR(INDEX(_REF_Capability_Bridge!$A:$A,MATCH($B64&amp;"|",_REF_Capability_Bridge!$J:$J,0)),"No bridge"))</f>
        <v>BRG-020</v>
      </c>
      <c r="CC64" t="str">
        <f t="shared" si="45"/>
        <v>Capability relevance increases priority</v>
      </c>
      <c r="CD64" t="str">
        <f t="shared" si="46"/>
        <v>Initial / absent</v>
      </c>
      <c r="CE64" t="str">
        <f>IF($A64="","",IFERROR(INDEX(_REF_Treatment_Library!$A$2:$A$296,MATCH(1,INDEX((_REF_Treatment_Library!$B$2:$B$296=$BZ64)*(_REF_Treatment_Library!$C$2:$C$296=PV_Canonical_Industry)*(_REF_Treatment_Library!$E$2:$E$296&lt;=N($N64))*(_REF_Treatment_Library!$F$2:$F$296&gt;=N($N64))*(_REF_Treatment_Library!$O$2:$O$296="Yes"),0),0)),IFERROR(INDEX(_REF_Treatment_Library!$A$2:$A$296,MATCH(1,INDEX((_REF_Treatment_Library!$B$2:$B$296=$BZ64)*(_REF_Treatment_Library!$C$2:$C$296="All")*(_REF_Treatment_Library!$E$2:$E$296&lt;=N($N64))*(_REF_Treatment_Library!$F$2:$F$296&gt;=N($N64))*(_REF_Treatment_Library!$O$2:$O$296="Yes"),0),0)),"")))</f>
        <v>TRT-DATA_GOVERNANCE-INITIAL</v>
      </c>
      <c r="CF64" t="str">
        <f>IF($CE64="","",IFERROR(INDEX(_REF_Treatment_Library!$H$2:$H$296,MATCH($CE64,_REF_Treatment_Library!$A$2:$A$296,0)),""))</f>
        <v>Establish</v>
      </c>
      <c r="CG64" t="str">
        <f>IF($CE64="","",IFERROR(INDEX(_REF_Treatment_Library!$I$2:$I$296,MATCH($CE64,_REF_Treatment_Library!$A$2:$A$296,0)),""))</f>
        <v>Establish baseline controls for Data governance</v>
      </c>
      <c r="CH64" t="str">
        <f>IF($CE64="","",IFERROR(INDEX(_REF_Treatment_Library!$K$2:$K$296,MATCH($CE64,_REF_Treatment_Library!$A$2:$A$296,0)),""))</f>
        <v>Named owner, baseline process, minimum control checklist, first evidence package</v>
      </c>
      <c r="CI64" t="str">
        <f>IF($CE64="","",IFERROR(INDEX(_REF_Treatment_Library!$L$2:$L$296,MATCH($CE64,_REF_Treatment_Library!$A$2:$A$296,0)),""))</f>
        <v>Owner assigned; baseline evidence coverage; open critical gaps</v>
      </c>
      <c r="CJ64" t="str">
        <f t="shared" si="47"/>
        <v>Treatment by capability=CAP_DATA_GOVERNANCE; band=Initial / absent; score=0.0; treatment=Establish</v>
      </c>
      <c r="CK64" t="str">
        <f>IF($A64="","",IFERROR(INDEX(_REF_Industry_Wording!$A$2:$A$70,MATCH(1,INDEX((_REF_Industry_Wording!$B$2:$B$70=$BZ64)*(_REF_Industry_Wording!$C$2:$C$70=PV_Canonical_Industry)*(_REF_Industry_Wording!$K$2:$K$70="Yes"),0),0)),IFERROR(INDEX(_REF_Industry_Wording!$A$2:$A$70,MATCH(1,INDEX((_REF_Industry_Wording!$B$2:$B$70=$BZ64)*(_REF_Industry_Wording!$C$2:$C$70="All")*(_REF_Industry_Wording!$K$2:$K$70="Yes"),0),0)),"")))</f>
        <v>IW-ALL-DATA_GOVERNANCE</v>
      </c>
      <c r="CL64" t="str">
        <f>IF($CK64="","",IFERROR(INDEX(_REF_Industry_Wording!$F$2:$F$70,MATCH($CK64,_REF_Industry_Wording!$A$2:$A$70,0)),""))</f>
        <v>Strengthen Data governance</v>
      </c>
      <c r="CM64" t="str">
        <f>IF($CK64="","",IFERROR(INDEX(_REF_Industry_Wording!$G$2:$G$70,MATCH($CK64,_REF_Industry_Wording!$A$2:$A$70,0)),""))</f>
        <v>Strengthen Data governance using the selected maturity treatment, crisis scenario and evidence requirements.</v>
      </c>
      <c r="CN64" t="str">
        <f>IF($CK64="","",IFERROR(INDEX(_REF_Industry_Wording!$H$2:$H$70,MATCH($CK64,_REF_Industry_Wording!$A$2:$A$70,0)),""))</f>
        <v>Data governance</v>
      </c>
      <c r="CO64">
        <f>IF($CK64="","",IFERROR(INDEX(_REF_Industry_Wording!$I$2:$I$70,MATCH($CK64,_REF_Industry_Wording!$A$2:$A$70,0)),""))</f>
        <v>0</v>
      </c>
      <c r="CP64" t="str">
        <f>IF($CK64="","",IFERROR(INDEX(_REF_Industry_Wording!$J$2:$J$70,MATCH($CK64,_REF_Industry_Wording!$A$2:$A$70,0)),""))</f>
        <v>Data governance</v>
      </c>
      <c r="CQ64" t="str">
        <f t="shared" si="48"/>
        <v>Wording by industry=0; capability=CAP_DATA_GOVERNANCE; title=Strengthen Data governance</v>
      </c>
      <c r="CR64" t="str">
        <f t="shared" si="49"/>
        <v>INIT-ONT-0060</v>
      </c>
      <c r="CS64">
        <f t="shared" si="50"/>
        <v>64</v>
      </c>
      <c r="CT64" t="str">
        <f t="shared" si="51"/>
        <v>CAP_DATA_GOVERNANCE</v>
      </c>
      <c r="CU64" t="str">
        <f t="shared" si="52"/>
        <v>INI-060|Data BI AI|BI and analytics|CAP_DATA_GOVERNANCE</v>
      </c>
      <c r="CV64" t="str">
        <f t="shared" si="53"/>
        <v>Active</v>
      </c>
      <c r="CW64" t="str">
        <f t="shared" si="54"/>
        <v>OK: capability-driven</v>
      </c>
      <c r="CX64" t="str">
        <f t="shared" si="55"/>
        <v>Initiative ontology uses capability=CAP_DATA_GOVERNANCE; bridge=BRG-020; treatment=TRT-DATA_GOVERNANCE-INITIAL; wording=IW-ALL-DATA_GOVERNANCE</v>
      </c>
    </row>
    <row r="65" spans="1:102" ht="42" customHeight="1">
      <c r="A65" s="17" t="s">
        <v>4441</v>
      </c>
      <c r="B65" s="17" t="s">
        <v>2824</v>
      </c>
      <c r="C65" s="17" t="s">
        <v>2855</v>
      </c>
      <c r="D65" s="17" t="s">
        <v>4414</v>
      </c>
      <c r="E65" s="17" t="s">
        <v>4415</v>
      </c>
      <c r="F65" s="17" t="s">
        <v>4442</v>
      </c>
      <c r="G65" s="17" t="s">
        <v>4443</v>
      </c>
      <c r="H65" s="17" t="s">
        <v>4418</v>
      </c>
      <c r="I65" s="17" t="s">
        <v>4419</v>
      </c>
      <c r="J65" s="17" t="s">
        <v>4444</v>
      </c>
      <c r="K65" s="17">
        <v>4</v>
      </c>
      <c r="L65" s="17">
        <f>IF($A65="","",COUNTIFS(_DATA_RiskInitiativeMap!$A$444:$A$867,$A65,_DATA_RiskInitiativeMap!$G$444:$G$867,"&gt;0"))</f>
        <v>4</v>
      </c>
      <c r="M65" s="17">
        <f>IF($A65="","",COUNTIFS(_DATA_RiskInitiativeMap!$A$444:$A$867,$A65,_DATA_RiskInitiativeMap!$G$444:$G$867,"&gt;0"))</f>
        <v>4</v>
      </c>
      <c r="N65" s="17">
        <f>IFERROR(AVERAGEIFS(_DATA_Assessment_Model!$H$5:$H$428,_DATA_Assessment_Model!$AW$5:$AW$428,$B65,_DATA_Assessment_Model!$B$5:$B$428,$C65),"")</f>
        <v>0</v>
      </c>
      <c r="O65" s="17">
        <f t="shared" si="28"/>
        <v>5</v>
      </c>
      <c r="P65" s="17">
        <f>IFERROR(INDEX(_DATA_Dashboard_Facts!$H$5:$H$21,MATCH($B65,_DATA_Dashboard_Facts!$A$5:$A$21,0)),"")</f>
        <v>0</v>
      </c>
      <c r="Q65" s="17">
        <f t="shared" si="29"/>
        <v>5</v>
      </c>
      <c r="R65" s="17">
        <f>IF(OR('Resilience &amp; Risk Scenario'!$B$6="",'Resilience &amp; Risk Scenario'!$B$7&lt;=0),1,IFERROR(IF(SUMIFS(_ENGINE_Crisis!$D$5:$D$208,_ENGINE_Crisis!$A$5:$A$208,'Resilience &amp; Risk Scenario'!$B$6,_ENGINE_Crisis!$B$5:$B$208,$B65)=0,1,SUMIFS(_ENGINE_Crisis!$D$5:$D$208,_ENGINE_Crisis!$A$5:$A$208,'Resilience &amp; Risk Scenario'!$B$6,_ENGINE_Crisis!$B$5:$B$208,$B65)),1))</f>
        <v>1</v>
      </c>
      <c r="S65" s="17">
        <f>IFERROR(INDEX(_ENGINE_Strategy!$A$100:$A$113,MATCH($D65,_ENGINE_Strategy!$B$100:$B$113,0)),99)</f>
        <v>8</v>
      </c>
      <c r="T65" s="17">
        <f>IFERROR(INDEX(_ENGINE_Strategy!$J$100:$J$113,MATCH($D65,_ENGINE_Strategy!$B$100:$B$113,0)),0)</f>
        <v>67</v>
      </c>
      <c r="U65" s="17">
        <v>5</v>
      </c>
      <c r="V65" s="17">
        <v>3</v>
      </c>
      <c r="W65" s="17">
        <v>4</v>
      </c>
      <c r="X65" s="17">
        <f t="shared" si="30"/>
        <v>4.5875000000000004</v>
      </c>
      <c r="Y65" s="17">
        <f>IF($P65="","",MAX(1,MIN(5,1+N($O65)*0.45+MIN(2,N($M65)*0.3)+($R65-1)*1.2+IF('Resilience &amp; Risk Scenario'!$B$7="",1,'Resilience &amp; Risk Scenario'!$B$7)*0.25)))</f>
        <v>4.7</v>
      </c>
      <c r="Z65" s="17">
        <f t="shared" si="31"/>
        <v>4.5999999999999996</v>
      </c>
      <c r="AA65" s="17">
        <f t="shared" si="32"/>
        <v>4.2050000000000001</v>
      </c>
      <c r="AB65" s="17">
        <v>4</v>
      </c>
      <c r="AC65" s="17">
        <f t="shared" si="33"/>
        <v>1.28</v>
      </c>
      <c r="AD65" s="17">
        <f t="shared" si="34"/>
        <v>72</v>
      </c>
      <c r="AE65" s="17" t="str">
        <f t="shared" si="35"/>
        <v>12+ months</v>
      </c>
      <c r="AF65" s="17" t="s">
        <v>4421</v>
      </c>
      <c r="AG65" s="17" t="s">
        <v>3502</v>
      </c>
      <c r="AH65" s="17" t="s">
        <v>4337</v>
      </c>
      <c r="AI65" s="17" t="s">
        <v>3932</v>
      </c>
      <c r="AJ65" s="17" t="s">
        <v>4445</v>
      </c>
      <c r="AK65" s="17" t="s">
        <v>4446</v>
      </c>
      <c r="AL65" s="17" t="s">
        <v>4447</v>
      </c>
      <c r="AM65" s="17" t="s">
        <v>4425</v>
      </c>
      <c r="AN65" s="17" t="s">
        <v>3937</v>
      </c>
      <c r="AO65" s="17" t="s">
        <v>3938</v>
      </c>
      <c r="AP65" s="17" t="s">
        <v>4242</v>
      </c>
      <c r="AQ65" s="17"/>
      <c r="AR65" s="17"/>
      <c r="AS65" s="14">
        <f>IFERROR((IF(SUMIFS(_REF_Model_Content!$J$1:$J$157,_REF_Model_Content!$A$1:$A$174,PV_Canonical_Industry,_REF_Model_Content!$B$1:$B$174,$B65)=0,1,SUMIFS(_REF_Model_Content!$J$1:$J$157,_REF_Model_Content!$A$1:$A$174,PV_Canonical_Industry,_REF_Model_Content!$B$1:$B$174,$B65))*IFERROR($CA65,1)),1)</f>
        <v>1</v>
      </c>
      <c r="AT65" s="14">
        <f t="shared" si="36"/>
        <v>1.28</v>
      </c>
      <c r="AU65" s="14">
        <f>IF($AT65="","",RANK($AT65,$AT$5:$AT$76,0)+COUNTIF($AT$5:AT65,$AT65)-1)</f>
        <v>72</v>
      </c>
      <c r="AV65" s="14">
        <f>IFERROR(INDEX(_DATA_Dashboard_Facts!$G$300:$G$316,MATCH($B65,_DATA_Dashboard_Facts!$A$300:$A$316,0)),"")</f>
        <v>0</v>
      </c>
      <c r="AW65" s="14" t="str">
        <f t="shared" si="37"/>
        <v>Relevance-neutral priority</v>
      </c>
      <c r="AX65">
        <f>IFERROR(INDEX('Action Plan &amp; Roadmap'!$D$59:$D$130,MATCH($A65,'Action Plan &amp; Roadmap'!$A$59:$A$130,0)),"")</f>
        <v>0</v>
      </c>
      <c r="AY65">
        <f t="shared" si="38"/>
        <v>0</v>
      </c>
      <c r="AZ65" t="s">
        <v>4426</v>
      </c>
      <c r="BA65">
        <f>IF($A65="","",COUNTIF(_DATA_RiskInitiativeMap!$A$1:$A$867,$A65))</f>
        <v>4</v>
      </c>
      <c r="BB65">
        <f>IF($A65="","",IFERROR(AVERAGEIF(_DATA_RiskInitiativeMap!$A$1:$A$867,$A65,_DATA_RiskInitiativeMap!$G$1:$G$867),0))</f>
        <v>16.36</v>
      </c>
      <c r="BC65">
        <f t="shared" si="39"/>
        <v>4.2</v>
      </c>
      <c r="BD65">
        <f t="shared" si="40"/>
        <v>4.0551999999999992</v>
      </c>
      <c r="BI65" s="17" t="str">
        <f>IFERROR(_CONFIG_Model_Settings!$B$103,"Adaptive")</f>
        <v>Fragile</v>
      </c>
      <c r="BJ65" s="17">
        <f>IFERROR(INDEX(_CONFIG_Model_Settings!$B$109:$B$113,MATCH($BI65,_CONFIG_Model_Settings!$A$109:$A$113,0)),0.3)</f>
        <v>0.2</v>
      </c>
      <c r="BK65" s="17">
        <f>IFERROR(INDEX(_CONFIG_Model_Settings!$C$109:$C$113,MATCH($BI65,_CONFIG_Model_Settings!$A$109:$A$113,0)),0.2)</f>
        <v>0.3</v>
      </c>
      <c r="BL65" s="17">
        <f>IFERROR(INDEX(_CONFIG_Model_Settings!$D$109:$D$113,MATCH($BI65,_CONFIG_Model_Settings!$A$109:$A$113,0)),0.25)</f>
        <v>0.4</v>
      </c>
      <c r="BM65" s="17">
        <f>IFERROR(INDEX(_CONFIG_Model_Settings!$E$109:$E$113,MATCH($BI65,_CONFIG_Model_Settings!$A$109:$A$113,0)),0.25)</f>
        <v>0.1</v>
      </c>
      <c r="BN65" s="17">
        <f>IFERROR(INDEX(_CONFIG_Model_Settings!$B$117:$B$123,MATCH(_CONFIG_Model_Settings!$B$104,_CONFIG_Model_Settings!$A$117:$A$123,0)),1)</f>
        <v>1</v>
      </c>
      <c r="BO65" s="17">
        <f>IFERROR(INDEX(_CONFIG_Model_Settings!$C$117:$C$123,MATCH(_CONFIG_Model_Settings!$B$104,_CONFIG_Model_Settings!$A$117:$A$123,0)),1)</f>
        <v>1</v>
      </c>
      <c r="BP65" s="17">
        <f>IFERROR(INDEX(_CONFIG_Model_Settings!$D$117:$D$123,MATCH(_CONFIG_Model_Settings!$B$104,_CONFIG_Model_Settings!$A$117:$A$123,0)),1)</f>
        <v>1</v>
      </c>
      <c r="BQ65" s="17">
        <f>IFERROR(INDEX(_CONFIG_Model_Settings!$E$117:$E$123,MATCH(_CONFIG_Model_Settings!$B$104,_CONFIG_Model_Settings!$A$117:$A$123,0)),1)</f>
        <v>1</v>
      </c>
      <c r="BR65" s="17">
        <f>IF(OR($A65="",$P65=""),"",MIN(5,IFERROR(SUMIF(_DATA_RiskInitiativeMap!$A$1:$A$867,$A65,_DATA_RiskInitiativeMap!$K$1:$K$867)/MAX(1,_CONFIG_Model_Settings!$B$166),0)))</f>
        <v>5</v>
      </c>
      <c r="BS65" s="17">
        <f t="shared" si="41"/>
        <v>5.12</v>
      </c>
      <c r="BT65" s="17">
        <f t="shared" si="42"/>
        <v>4</v>
      </c>
      <c r="BU65" s="17">
        <f t="shared" si="43"/>
        <v>1.28</v>
      </c>
      <c r="BV65" s="17">
        <f>IF(OR($P65="",$BU65="",$AY65="Done",$AY65="Not applicable"),"",ROUND($BU65*N($AS65)*IF(OR('Resilience &amp; Risk Scenario'!$B$6="",'Resilience &amp; Risk Scenario'!$B$7&lt;=0),1,IFERROR(1+MIN(0.75,INDEX('Resilience &amp; Risk Scenario'!$E$21:$E$37,MATCH($B65,'Resilience &amp; Risk Scenario'!$B$21:$B$37,0))/10),1)),2))</f>
        <v>1.28</v>
      </c>
      <c r="BW65" s="17">
        <f>IF($BV65="","",RANK($BV65,$BV$5:$BV$76,0)+COUNTIF($BV$5:$BV65,$BV65)-1)</f>
        <v>72</v>
      </c>
      <c r="BX65" s="17" t="str">
        <f t="shared" si="44"/>
        <v>12+ months</v>
      </c>
      <c r="BY65" t="str">
        <f>IFERROR(IF($A65="","","P2: "&amp;$BI65&amp;" posture; objective="&amp;IF(_CONFIG_Model_Settings!$B$104="","Neutral/default",_CONFIG_Model_Settings!$B$104)&amp;"; relevance="&amp;ROUND(N($AS65),2)&amp;"; scenario/domain boost="&amp;ROUND(IF(OR('Resilience &amp; Risk Scenario'!$B$6="",'Resilience &amp; Risk Scenario'!$B$7&lt;=0),1,IFERROR(1+MIN(0.75,INDEX('Resilience &amp; Risk Scenario'!$E$21:$E$37,MATCH($B65,'Resilience &amp; Risk Scenario'!$B$21:$B$37,0))/10),1)),2)&amp;"; financial score="&amp;ROUND(N($BR65),1)&amp;"; CoD="&amp;$BS65&amp;IF($CL65&lt;&gt;"","; wording="&amp;$CL65,"")),"")</f>
        <v>P2: Fragile posture; objective=Neutral/default; relevance=1; scenario/domain boost=1; financial score=5; CoD=5.12; wording=Strengthen Data governance</v>
      </c>
      <c r="BZ65" t="str">
        <f>IFERROR(INDEX(_REF_Capability_Bridge!$D:$D,MATCH($B65&amp;"|"&amp;$C65,_REF_Capability_Bridge!$J:$J,0)),IFERROR(INDEX(_REF_Capability_Bridge!$D:$D,MATCH($B65&amp;"|",_REF_Capability_Bridge!$J:$J,0)),"CAP_GENERIC"))</f>
        <v>CAP_DATA_GOVERNANCE</v>
      </c>
      <c r="CA65">
        <f>IFERROR(IFERROR(INDEX(_ENGINE_Relevance!$L:$L,MATCH($BZ65,_ENGINE_Relevance!$B:$B,0)),1),1)</f>
        <v>1.25</v>
      </c>
      <c r="CB65" t="str">
        <f>IFERROR(INDEX(_REF_Capability_Bridge!$A:$A,MATCH($B65&amp;"|"&amp;$C65,_REF_Capability_Bridge!$J:$J,0)),IFERROR(INDEX(_REF_Capability_Bridge!$A:$A,MATCH($B65&amp;"|",_REF_Capability_Bridge!$J:$J,0)),"No bridge"))</f>
        <v>BRG-023</v>
      </c>
      <c r="CC65" t="str">
        <f t="shared" si="45"/>
        <v>Capability relevance increases priority</v>
      </c>
      <c r="CD65" t="str">
        <f t="shared" si="46"/>
        <v>Initial / absent</v>
      </c>
      <c r="CE65" t="str">
        <f>IF($A65="","",IFERROR(INDEX(_REF_Treatment_Library!$A$2:$A$296,MATCH(1,INDEX((_REF_Treatment_Library!$B$2:$B$296=$BZ65)*(_REF_Treatment_Library!$C$2:$C$296=PV_Canonical_Industry)*(_REF_Treatment_Library!$E$2:$E$296&lt;=N($N65))*(_REF_Treatment_Library!$F$2:$F$296&gt;=N($N65))*(_REF_Treatment_Library!$O$2:$O$296="Yes"),0),0)),IFERROR(INDEX(_REF_Treatment_Library!$A$2:$A$296,MATCH(1,INDEX((_REF_Treatment_Library!$B$2:$B$296=$BZ65)*(_REF_Treatment_Library!$C$2:$C$296="All")*(_REF_Treatment_Library!$E$2:$E$296&lt;=N($N65))*(_REF_Treatment_Library!$F$2:$F$296&gt;=N($N65))*(_REF_Treatment_Library!$O$2:$O$296="Yes"),0),0)),"")))</f>
        <v>TRT-DATA_GOVERNANCE-INITIAL</v>
      </c>
      <c r="CF65" t="str">
        <f>IF($CE65="","",IFERROR(INDEX(_REF_Treatment_Library!$H$2:$H$296,MATCH($CE65,_REF_Treatment_Library!$A$2:$A$296,0)),""))</f>
        <v>Establish</v>
      </c>
      <c r="CG65" t="str">
        <f>IF($CE65="","",IFERROR(INDEX(_REF_Treatment_Library!$I$2:$I$296,MATCH($CE65,_REF_Treatment_Library!$A$2:$A$296,0)),""))</f>
        <v>Establish baseline controls for Data governance</v>
      </c>
      <c r="CH65" t="str">
        <f>IF($CE65="","",IFERROR(INDEX(_REF_Treatment_Library!$K$2:$K$296,MATCH($CE65,_REF_Treatment_Library!$A$2:$A$296,0)),""))</f>
        <v>Named owner, baseline process, minimum control checklist, first evidence package</v>
      </c>
      <c r="CI65" t="str">
        <f>IF($CE65="","",IFERROR(INDEX(_REF_Treatment_Library!$L$2:$L$296,MATCH($CE65,_REF_Treatment_Library!$A$2:$A$296,0)),""))</f>
        <v>Owner assigned; baseline evidence coverage; open critical gaps</v>
      </c>
      <c r="CJ65" t="str">
        <f t="shared" si="47"/>
        <v>Treatment by capability=CAP_DATA_GOVERNANCE; band=Initial / absent; score=0.0; treatment=Establish</v>
      </c>
      <c r="CK65" t="str">
        <f>IF($A65="","",IFERROR(INDEX(_REF_Industry_Wording!$A$2:$A$70,MATCH(1,INDEX((_REF_Industry_Wording!$B$2:$B$70=$BZ65)*(_REF_Industry_Wording!$C$2:$C$70=PV_Canonical_Industry)*(_REF_Industry_Wording!$K$2:$K$70="Yes"),0),0)),IFERROR(INDEX(_REF_Industry_Wording!$A$2:$A$70,MATCH(1,INDEX((_REF_Industry_Wording!$B$2:$B$70=$BZ65)*(_REF_Industry_Wording!$C$2:$C$70="All")*(_REF_Industry_Wording!$K$2:$K$70="Yes"),0),0)),"")))</f>
        <v>IW-ALL-DATA_GOVERNANCE</v>
      </c>
      <c r="CL65" t="str">
        <f>IF($CK65="","",IFERROR(INDEX(_REF_Industry_Wording!$F$2:$F$70,MATCH($CK65,_REF_Industry_Wording!$A$2:$A$70,0)),""))</f>
        <v>Strengthen Data governance</v>
      </c>
      <c r="CM65" t="str">
        <f>IF($CK65="","",IFERROR(INDEX(_REF_Industry_Wording!$G$2:$G$70,MATCH($CK65,_REF_Industry_Wording!$A$2:$A$70,0)),""))</f>
        <v>Strengthen Data governance using the selected maturity treatment, crisis scenario and evidence requirements.</v>
      </c>
      <c r="CN65" t="str">
        <f>IF($CK65="","",IFERROR(INDEX(_REF_Industry_Wording!$H$2:$H$70,MATCH($CK65,_REF_Industry_Wording!$A$2:$A$70,0)),""))</f>
        <v>Data governance</v>
      </c>
      <c r="CO65">
        <f>IF($CK65="","",IFERROR(INDEX(_REF_Industry_Wording!$I$2:$I$70,MATCH($CK65,_REF_Industry_Wording!$A$2:$A$70,0)),""))</f>
        <v>0</v>
      </c>
      <c r="CP65" t="str">
        <f>IF($CK65="","",IFERROR(INDEX(_REF_Industry_Wording!$J$2:$J$70,MATCH($CK65,_REF_Industry_Wording!$A$2:$A$70,0)),""))</f>
        <v>Data governance</v>
      </c>
      <c r="CQ65" t="str">
        <f t="shared" si="48"/>
        <v>Wording by industry=0; capability=CAP_DATA_GOVERNANCE; title=Strengthen Data governance</v>
      </c>
      <c r="CR65" t="str">
        <f t="shared" si="49"/>
        <v>INIT-ONT-0061</v>
      </c>
      <c r="CS65">
        <f t="shared" si="50"/>
        <v>65</v>
      </c>
      <c r="CT65" t="str">
        <f t="shared" si="51"/>
        <v>CAP_DATA_GOVERNANCE</v>
      </c>
      <c r="CU65" t="str">
        <f t="shared" si="52"/>
        <v>INI-061|Data BI AI|Forecasting and scenarios|CAP_DATA_GOVERNANCE</v>
      </c>
      <c r="CV65" t="str">
        <f t="shared" si="53"/>
        <v>Active</v>
      </c>
      <c r="CW65" t="str">
        <f t="shared" si="54"/>
        <v>OK: capability-driven</v>
      </c>
      <c r="CX65" t="str">
        <f t="shared" si="55"/>
        <v>Initiative ontology uses capability=CAP_DATA_GOVERNANCE; bridge=BRG-023; treatment=TRT-DATA_GOVERNANCE-INITIAL; wording=IW-ALL-DATA_GOVERNANCE</v>
      </c>
    </row>
    <row r="66" spans="1:102" ht="42" customHeight="1">
      <c r="A66" s="17" t="s">
        <v>4448</v>
      </c>
      <c r="B66" s="17" t="s">
        <v>2824</v>
      </c>
      <c r="C66" s="17" t="s">
        <v>2859</v>
      </c>
      <c r="D66" s="17" t="s">
        <v>4414</v>
      </c>
      <c r="E66" s="17" t="s">
        <v>4415</v>
      </c>
      <c r="F66" s="17" t="s">
        <v>4449</v>
      </c>
      <c r="G66" s="17" t="s">
        <v>4450</v>
      </c>
      <c r="H66" s="17" t="s">
        <v>4418</v>
      </c>
      <c r="I66" s="17" t="s">
        <v>4419</v>
      </c>
      <c r="J66" s="17" t="s">
        <v>4451</v>
      </c>
      <c r="K66" s="17">
        <v>5</v>
      </c>
      <c r="L66" s="17">
        <f>IF($A66="","",COUNTIFS(_DATA_RiskInitiativeMap!$A$444:$A$867,$A66,_DATA_RiskInitiativeMap!$G$444:$G$867,"&gt;0"))</f>
        <v>5</v>
      </c>
      <c r="M66" s="17">
        <f>IF($A66="","",COUNTIFS(_DATA_RiskInitiativeMap!$A$444:$A$867,$A66,_DATA_RiskInitiativeMap!$G$444:$G$867,"&gt;0"))</f>
        <v>5</v>
      </c>
      <c r="N66" s="17">
        <f>IFERROR(AVERAGEIFS(_DATA_Assessment_Model!$H$5:$H$428,_DATA_Assessment_Model!$AW$5:$AW$428,$B66,_DATA_Assessment_Model!$B$5:$B$428,$C66),"")</f>
        <v>0</v>
      </c>
      <c r="O66" s="17">
        <f t="shared" si="28"/>
        <v>5</v>
      </c>
      <c r="P66" s="17">
        <f>IFERROR(INDEX(_DATA_Dashboard_Facts!$H$5:$H$21,MATCH($B66,_DATA_Dashboard_Facts!$A$5:$A$21,0)),"")</f>
        <v>0</v>
      </c>
      <c r="Q66" s="17">
        <f t="shared" si="29"/>
        <v>5</v>
      </c>
      <c r="R66" s="17">
        <f>IF(OR('Resilience &amp; Risk Scenario'!$B$6="",'Resilience &amp; Risk Scenario'!$B$7&lt;=0),1,IFERROR(IF(SUMIFS(_ENGINE_Crisis!$D$5:$D$208,_ENGINE_Crisis!$A$5:$A$208,'Resilience &amp; Risk Scenario'!$B$6,_ENGINE_Crisis!$B$5:$B$208,$B66)=0,1,SUMIFS(_ENGINE_Crisis!$D$5:$D$208,_ENGINE_Crisis!$A$5:$A$208,'Resilience &amp; Risk Scenario'!$B$6,_ENGINE_Crisis!$B$5:$B$208,$B66)),1))</f>
        <v>1</v>
      </c>
      <c r="S66" s="17">
        <f>IFERROR(INDEX(_ENGINE_Strategy!$A$100:$A$113,MATCH($D66,_ENGINE_Strategy!$B$100:$B$113,0)),99)</f>
        <v>8</v>
      </c>
      <c r="T66" s="17">
        <f>IFERROR(INDEX(_ENGINE_Strategy!$J$100:$J$113,MATCH($D66,_ENGINE_Strategy!$B$100:$B$113,0)),0)</f>
        <v>67</v>
      </c>
      <c r="U66" s="17">
        <v>5</v>
      </c>
      <c r="V66" s="17">
        <v>3</v>
      </c>
      <c r="W66" s="17">
        <v>4</v>
      </c>
      <c r="X66" s="17">
        <f t="shared" si="30"/>
        <v>4.5875000000000004</v>
      </c>
      <c r="Y66" s="17">
        <f>IF($P66="","",MAX(1,MIN(5,1+N($O66)*0.45+MIN(2,N($M66)*0.3)+($R66-1)*1.2+IF('Resilience &amp; Risk Scenario'!$B$7="",1,'Resilience &amp; Risk Scenario'!$B$7)*0.25)))</f>
        <v>5</v>
      </c>
      <c r="Z66" s="17">
        <f t="shared" si="31"/>
        <v>4.5999999999999996</v>
      </c>
      <c r="AA66" s="17">
        <f t="shared" si="32"/>
        <v>4.2050000000000001</v>
      </c>
      <c r="AB66" s="17">
        <v>4</v>
      </c>
      <c r="AC66" s="17">
        <f t="shared" si="33"/>
        <v>1.3</v>
      </c>
      <c r="AD66" s="17">
        <f t="shared" si="34"/>
        <v>69</v>
      </c>
      <c r="AE66" s="17" t="str">
        <f t="shared" si="35"/>
        <v>12+ months</v>
      </c>
      <c r="AF66" s="17" t="s">
        <v>4421</v>
      </c>
      <c r="AG66" s="17" t="s">
        <v>3502</v>
      </c>
      <c r="AH66" s="17" t="s">
        <v>4337</v>
      </c>
      <c r="AI66" s="17" t="s">
        <v>3932</v>
      </c>
      <c r="AJ66" s="17" t="s">
        <v>4452</v>
      </c>
      <c r="AK66" s="17" t="s">
        <v>4453</v>
      </c>
      <c r="AL66" s="17" t="s">
        <v>4454</v>
      </c>
      <c r="AM66" s="17" t="s">
        <v>4425</v>
      </c>
      <c r="AN66" s="17" t="s">
        <v>3937</v>
      </c>
      <c r="AO66" s="17" t="s">
        <v>3938</v>
      </c>
      <c r="AP66" s="17" t="s">
        <v>4242</v>
      </c>
      <c r="AQ66" s="17"/>
      <c r="AR66" s="17"/>
      <c r="AS66" s="14">
        <f>IFERROR((IF(SUMIFS(_REF_Model_Content!$J$1:$J$157,_REF_Model_Content!$A$1:$A$174,PV_Canonical_Industry,_REF_Model_Content!$B$1:$B$174,$B66)=0,1,SUMIFS(_REF_Model_Content!$J$1:$J$157,_REF_Model_Content!$A$1:$A$174,PV_Canonical_Industry,_REF_Model_Content!$B$1:$B$174,$B66))*IFERROR($CA66,1)),1)</f>
        <v>1</v>
      </c>
      <c r="AT66" s="14">
        <f t="shared" si="36"/>
        <v>1.3</v>
      </c>
      <c r="AU66" s="14">
        <f>IF($AT66="","",RANK($AT66,$AT$5:$AT$76,0)+COUNTIF($AT$5:AT66,$AT66)-1)</f>
        <v>69</v>
      </c>
      <c r="AV66" s="14">
        <f>IFERROR(INDEX(_DATA_Dashboard_Facts!$G$300:$G$316,MATCH($B66,_DATA_Dashboard_Facts!$A$300:$A$316,0)),"")</f>
        <v>0</v>
      </c>
      <c r="AW66" s="14" t="str">
        <f t="shared" si="37"/>
        <v>Relevance-neutral priority</v>
      </c>
      <c r="AX66">
        <f>IFERROR(INDEX('Action Plan &amp; Roadmap'!$D$59:$D$130,MATCH($A66,'Action Plan &amp; Roadmap'!$A$59:$A$130,0)),"")</f>
        <v>0</v>
      </c>
      <c r="AY66">
        <f t="shared" si="38"/>
        <v>0</v>
      </c>
      <c r="AZ66" t="s">
        <v>4426</v>
      </c>
      <c r="BA66">
        <f>IF($A66="","",COUNTIF(_DATA_RiskInitiativeMap!$A$1:$A$867,$A66))</f>
        <v>5</v>
      </c>
      <c r="BB66">
        <f>IF($A66="","",IFERROR(AVERAGEIF(_DATA_RiskInitiativeMap!$A$1:$A$867,$A66,_DATA_RiskInitiativeMap!$G$1:$G$867),0))</f>
        <v>16.137999999999998</v>
      </c>
      <c r="BC66">
        <f t="shared" si="39"/>
        <v>4.2</v>
      </c>
      <c r="BD66">
        <f t="shared" si="40"/>
        <v>4.0396599999999996</v>
      </c>
      <c r="BI66" s="17" t="str">
        <f>IFERROR(_CONFIG_Model_Settings!$B$103,"Adaptive")</f>
        <v>Fragile</v>
      </c>
      <c r="BJ66" s="17">
        <f>IFERROR(INDEX(_CONFIG_Model_Settings!$B$109:$B$113,MATCH($BI66,_CONFIG_Model_Settings!$A$109:$A$113,0)),0.3)</f>
        <v>0.2</v>
      </c>
      <c r="BK66" s="17">
        <f>IFERROR(INDEX(_CONFIG_Model_Settings!$C$109:$C$113,MATCH($BI66,_CONFIG_Model_Settings!$A$109:$A$113,0)),0.2)</f>
        <v>0.3</v>
      </c>
      <c r="BL66" s="17">
        <f>IFERROR(INDEX(_CONFIG_Model_Settings!$D$109:$D$113,MATCH($BI66,_CONFIG_Model_Settings!$A$109:$A$113,0)),0.25)</f>
        <v>0.4</v>
      </c>
      <c r="BM66" s="17">
        <f>IFERROR(INDEX(_CONFIG_Model_Settings!$E$109:$E$113,MATCH($BI66,_CONFIG_Model_Settings!$A$109:$A$113,0)),0.25)</f>
        <v>0.1</v>
      </c>
      <c r="BN66" s="17">
        <f>IFERROR(INDEX(_CONFIG_Model_Settings!$B$117:$B$123,MATCH(_CONFIG_Model_Settings!$B$104,_CONFIG_Model_Settings!$A$117:$A$123,0)),1)</f>
        <v>1</v>
      </c>
      <c r="BO66" s="17">
        <f>IFERROR(INDEX(_CONFIG_Model_Settings!$C$117:$C$123,MATCH(_CONFIG_Model_Settings!$B$104,_CONFIG_Model_Settings!$A$117:$A$123,0)),1)</f>
        <v>1</v>
      </c>
      <c r="BP66" s="17">
        <f>IFERROR(INDEX(_CONFIG_Model_Settings!$D$117:$D$123,MATCH(_CONFIG_Model_Settings!$B$104,_CONFIG_Model_Settings!$A$117:$A$123,0)),1)</f>
        <v>1</v>
      </c>
      <c r="BQ66" s="17">
        <f>IFERROR(INDEX(_CONFIG_Model_Settings!$E$117:$E$123,MATCH(_CONFIG_Model_Settings!$B$104,_CONFIG_Model_Settings!$A$117:$A$123,0)),1)</f>
        <v>1</v>
      </c>
      <c r="BR66" s="17">
        <f>IF(OR($A66="",$P66=""),"",MIN(5,IFERROR(SUMIF(_DATA_RiskInitiativeMap!$A$1:$A$867,$A66,_DATA_RiskInitiativeMap!$K$1:$K$867)/MAX(1,_CONFIG_Model_Settings!$B$166),0)))</f>
        <v>5</v>
      </c>
      <c r="BS66" s="17">
        <f t="shared" si="41"/>
        <v>5.2</v>
      </c>
      <c r="BT66" s="17">
        <f t="shared" si="42"/>
        <v>4</v>
      </c>
      <c r="BU66" s="17">
        <f t="shared" si="43"/>
        <v>1.3</v>
      </c>
      <c r="BV66" s="17">
        <f>IF(OR($P66="",$BU66="",$AY66="Done",$AY66="Not applicable"),"",ROUND($BU66*N($AS66)*IF(OR('Resilience &amp; Risk Scenario'!$B$6="",'Resilience &amp; Risk Scenario'!$B$7&lt;=0),1,IFERROR(1+MIN(0.75,INDEX('Resilience &amp; Risk Scenario'!$E$21:$E$37,MATCH($B66,'Resilience &amp; Risk Scenario'!$B$21:$B$37,0))/10),1)),2))</f>
        <v>1.3</v>
      </c>
      <c r="BW66" s="17">
        <f>IF($BV66="","",RANK($BV66,$BV$5:$BV$76,0)+COUNTIF($BV$5:$BV66,$BV66)-1)</f>
        <v>69</v>
      </c>
      <c r="BX66" s="17" t="str">
        <f t="shared" si="44"/>
        <v>12+ months</v>
      </c>
      <c r="BY66" t="str">
        <f>IFERROR(IF($A66="","","P2: "&amp;$BI66&amp;" posture; objective="&amp;IF(_CONFIG_Model_Settings!$B$104="","Neutral/default",_CONFIG_Model_Settings!$B$104)&amp;"; relevance="&amp;ROUND(N($AS66),2)&amp;"; scenario/domain boost="&amp;ROUND(IF(OR('Resilience &amp; Risk Scenario'!$B$6="",'Resilience &amp; Risk Scenario'!$B$7&lt;=0),1,IFERROR(1+MIN(0.75,INDEX('Resilience &amp; Risk Scenario'!$E$21:$E$37,MATCH($B66,'Resilience &amp; Risk Scenario'!$B$21:$B$37,0))/10),1)),2)&amp;"; financial score="&amp;ROUND(N($BR66),1)&amp;"; CoD="&amp;$BS66&amp;IF($CL66&lt;&gt;"","; wording="&amp;$CL66,"")),"")</f>
        <v>P2: Fragile posture; objective=Neutral/default; relevance=1; scenario/domain boost=1; financial score=5; CoD=5.2; wording=Strengthen AI governance</v>
      </c>
      <c r="BZ66" t="str">
        <f>IFERROR(INDEX(_REF_Capability_Bridge!$D:$D,MATCH($B66&amp;"|"&amp;$C66,_REF_Capability_Bridge!$J:$J,0)),IFERROR(INDEX(_REF_Capability_Bridge!$D:$D,MATCH($B66&amp;"|",_REF_Capability_Bridge!$J:$J,0)),"CAP_GENERIC"))</f>
        <v>CAP_AI_GOVERNANCE</v>
      </c>
      <c r="CA66">
        <f>IFERROR(IFERROR(INDEX(_ENGINE_Relevance!$L:$L,MATCH($BZ66,_ENGINE_Relevance!$B:$B,0)),1),1)</f>
        <v>1.25</v>
      </c>
      <c r="CB66" t="str">
        <f>IFERROR(INDEX(_REF_Capability_Bridge!$A:$A,MATCH($B66&amp;"|"&amp;$C66,_REF_Capability_Bridge!$J:$J,0)),IFERROR(INDEX(_REF_Capability_Bridge!$A:$A,MATCH($B66&amp;"|",_REF_Capability_Bridge!$J:$J,0)),"No bridge"))</f>
        <v>BRG-019</v>
      </c>
      <c r="CC66" t="str">
        <f t="shared" si="45"/>
        <v>Capability relevance increases priority</v>
      </c>
      <c r="CD66" t="str">
        <f t="shared" si="46"/>
        <v>Initial / absent</v>
      </c>
      <c r="CE66" t="str">
        <f>IF($A66="","",IFERROR(INDEX(_REF_Treatment_Library!$A$2:$A$296,MATCH(1,INDEX((_REF_Treatment_Library!$B$2:$B$296=$BZ66)*(_REF_Treatment_Library!$C$2:$C$296=PV_Canonical_Industry)*(_REF_Treatment_Library!$E$2:$E$296&lt;=N($N66))*(_REF_Treatment_Library!$F$2:$F$296&gt;=N($N66))*(_REF_Treatment_Library!$O$2:$O$296="Yes"),0),0)),IFERROR(INDEX(_REF_Treatment_Library!$A$2:$A$296,MATCH(1,INDEX((_REF_Treatment_Library!$B$2:$B$296=$BZ66)*(_REF_Treatment_Library!$C$2:$C$296="All")*(_REF_Treatment_Library!$E$2:$E$296&lt;=N($N66))*(_REF_Treatment_Library!$F$2:$F$296&gt;=N($N66))*(_REF_Treatment_Library!$O$2:$O$296="Yes"),0),0)),"")))</f>
        <v>TRT-AI_GOVERNANCE-INITIAL</v>
      </c>
      <c r="CF66" t="str">
        <f>IF($CE66="","",IFERROR(INDEX(_REF_Treatment_Library!$H$2:$H$296,MATCH($CE66,_REF_Treatment_Library!$A$2:$A$296,0)),""))</f>
        <v>Establish</v>
      </c>
      <c r="CG66" t="str">
        <f>IF($CE66="","",IFERROR(INDEX(_REF_Treatment_Library!$I$2:$I$296,MATCH($CE66,_REF_Treatment_Library!$A$2:$A$296,0)),""))</f>
        <v>Establish baseline controls for AI governance</v>
      </c>
      <c r="CH66" t="str">
        <f>IF($CE66="","",IFERROR(INDEX(_REF_Treatment_Library!$K$2:$K$296,MATCH($CE66,_REF_Treatment_Library!$A$2:$A$296,0)),""))</f>
        <v>Named owner, baseline process, minimum control checklist, first evidence package</v>
      </c>
      <c r="CI66" t="str">
        <f>IF($CE66="","",IFERROR(INDEX(_REF_Treatment_Library!$L$2:$L$296,MATCH($CE66,_REF_Treatment_Library!$A$2:$A$296,0)),""))</f>
        <v>Owner assigned; baseline evidence coverage; open critical gaps</v>
      </c>
      <c r="CJ66" t="str">
        <f t="shared" si="47"/>
        <v>Treatment by capability=CAP_AI_GOVERNANCE; band=Initial / absent; score=0.0; treatment=Establish</v>
      </c>
      <c r="CK66" t="str">
        <f>IF($A66="","",IFERROR(INDEX(_REF_Industry_Wording!$A$2:$A$70,MATCH(1,INDEX((_REF_Industry_Wording!$B$2:$B$70=$BZ66)*(_REF_Industry_Wording!$C$2:$C$70=PV_Canonical_Industry)*(_REF_Industry_Wording!$K$2:$K$70="Yes"),0),0)),IFERROR(INDEX(_REF_Industry_Wording!$A$2:$A$70,MATCH(1,INDEX((_REF_Industry_Wording!$B$2:$B$70=$BZ66)*(_REF_Industry_Wording!$C$2:$C$70="All")*(_REF_Industry_Wording!$K$2:$K$70="Yes"),0),0)),"")))</f>
        <v>IW-ALL-AI_GOVERNANCE</v>
      </c>
      <c r="CL66" t="str">
        <f>IF($CK66="","",IFERROR(INDEX(_REF_Industry_Wording!$F$2:$F$70,MATCH($CK66,_REF_Industry_Wording!$A$2:$A$70,0)),""))</f>
        <v>Strengthen AI governance</v>
      </c>
      <c r="CM66" t="str">
        <f>IF($CK66="","",IFERROR(INDEX(_REF_Industry_Wording!$G$2:$G$70,MATCH($CK66,_REF_Industry_Wording!$A$2:$A$70,0)),""))</f>
        <v>Strengthen AI governance using the selected maturity treatment, crisis scenario and evidence requirements.</v>
      </c>
      <c r="CN66" t="str">
        <f>IF($CK66="","",IFERROR(INDEX(_REF_Industry_Wording!$H$2:$H$70,MATCH($CK66,_REF_Industry_Wording!$A$2:$A$70,0)),""))</f>
        <v>AI governance</v>
      </c>
      <c r="CO66">
        <f>IF($CK66="","",IFERROR(INDEX(_REF_Industry_Wording!$I$2:$I$70,MATCH($CK66,_REF_Industry_Wording!$A$2:$A$70,0)),""))</f>
        <v>0</v>
      </c>
      <c r="CP66" t="str">
        <f>IF($CK66="","",IFERROR(INDEX(_REF_Industry_Wording!$J$2:$J$70,MATCH($CK66,_REF_Industry_Wording!$A$2:$A$70,0)),""))</f>
        <v>AI governance</v>
      </c>
      <c r="CQ66" t="str">
        <f t="shared" si="48"/>
        <v>Wording by industry=0; capability=CAP_AI_GOVERNANCE; title=Strengthen AI governance</v>
      </c>
      <c r="CR66" t="str">
        <f t="shared" si="49"/>
        <v>INIT-ONT-0062</v>
      </c>
      <c r="CS66">
        <f t="shared" si="50"/>
        <v>66</v>
      </c>
      <c r="CT66" t="str">
        <f t="shared" si="51"/>
        <v>CAP_AI_GOVERNANCE</v>
      </c>
      <c r="CU66" t="str">
        <f t="shared" si="52"/>
        <v>INI-062|Data BI AI|AI readiness|CAP_AI_GOVERNANCE</v>
      </c>
      <c r="CV66" t="str">
        <f t="shared" si="53"/>
        <v>Active</v>
      </c>
      <c r="CW66" t="str">
        <f t="shared" si="54"/>
        <v>OK: capability-driven</v>
      </c>
      <c r="CX66" t="str">
        <f t="shared" si="55"/>
        <v>Initiative ontology uses capability=CAP_AI_GOVERNANCE; bridge=BRG-019; treatment=TRT-AI_GOVERNANCE-INITIAL; wording=IW-ALL-AI_GOVERNANCE</v>
      </c>
    </row>
    <row r="67" spans="1:102" ht="42" customHeight="1">
      <c r="A67" s="17" t="s">
        <v>4455</v>
      </c>
      <c r="B67" s="17" t="s">
        <v>2986</v>
      </c>
      <c r="C67" s="17" t="s">
        <v>2988</v>
      </c>
      <c r="D67" s="17" t="s">
        <v>4456</v>
      </c>
      <c r="E67" s="17" t="s">
        <v>4457</v>
      </c>
      <c r="F67" s="17" t="s">
        <v>4458</v>
      </c>
      <c r="G67" s="17" t="s">
        <v>4459</v>
      </c>
      <c r="H67" s="17" t="s">
        <v>4460</v>
      </c>
      <c r="I67" s="17" t="s">
        <v>4461</v>
      </c>
      <c r="J67" s="17" t="s">
        <v>4462</v>
      </c>
      <c r="K67" s="17">
        <v>6</v>
      </c>
      <c r="L67" s="17">
        <f>IF($A67="","",COUNTIFS(_DATA_RiskInitiativeMap!$A$444:$A$867,$A67,_DATA_RiskInitiativeMap!$G$444:$G$867,"&gt;0"))</f>
        <v>8</v>
      </c>
      <c r="M67" s="17">
        <f>IF($A67="","",COUNTIFS(_DATA_RiskInitiativeMap!$A$444:$A$867,$A67,_DATA_RiskInitiativeMap!$G$444:$G$867,"&gt;0"))</f>
        <v>8</v>
      </c>
      <c r="N67" s="17">
        <f>IFERROR(AVERAGEIFS(_DATA_Assessment_Model!$H$5:$H$428,_DATA_Assessment_Model!$AW$5:$AW$428,$B67,_DATA_Assessment_Model!$B$5:$B$428,$C67),"")</f>
        <v>0</v>
      </c>
      <c r="O67" s="17">
        <f t="shared" si="28"/>
        <v>5</v>
      </c>
      <c r="P67" s="17">
        <f>IFERROR(INDEX(_DATA_Dashboard_Facts!$H$5:$H$21,MATCH($B67,_DATA_Dashboard_Facts!$A$5:$A$21,0)),"")</f>
        <v>0</v>
      </c>
      <c r="Q67" s="17">
        <f t="shared" si="29"/>
        <v>5</v>
      </c>
      <c r="R67" s="17">
        <f>IF(OR('Resilience &amp; Risk Scenario'!$B$6="",'Resilience &amp; Risk Scenario'!$B$7&lt;=0),1,IFERROR(IF(SUMIFS(_ENGINE_Crisis!$D$5:$D$208,_ENGINE_Crisis!$A$5:$A$208,'Resilience &amp; Risk Scenario'!$B$6,_ENGINE_Crisis!$B$5:$B$208,$B67)=0,1,SUMIFS(_ENGINE_Crisis!$D$5:$D$208,_ENGINE_Crisis!$A$5:$A$208,'Resilience &amp; Risk Scenario'!$B$6,_ENGINE_Crisis!$B$5:$B$208,$B67)),1))</f>
        <v>1</v>
      </c>
      <c r="S67" s="17">
        <f>IFERROR(INDEX(_ENGINE_Strategy!$A$100:$A$113,MATCH($D67,_ENGINE_Strategy!$B$100:$B$113,0)),99)</f>
        <v>1</v>
      </c>
      <c r="T67" s="17">
        <f>IFERROR(INDEX(_ENGINE_Strategy!$J$100:$J$113,MATCH($D67,_ENGINE_Strategy!$B$100:$B$113,0)),0)</f>
        <v>71</v>
      </c>
      <c r="U67" s="17">
        <v>4</v>
      </c>
      <c r="V67" s="17">
        <v>5</v>
      </c>
      <c r="W67" s="17">
        <v>4</v>
      </c>
      <c r="X67" s="17">
        <f t="shared" si="30"/>
        <v>4.6375000000000002</v>
      </c>
      <c r="Y67" s="17">
        <f>IF($P67="","",MAX(1,MIN(5,1+N($O67)*0.45+MIN(2,N($M67)*0.3)+($R67-1)*1.2+IF('Resilience &amp; Risk Scenario'!$B$7="",1,'Resilience &amp; Risk Scenario'!$B$7)*0.25)))</f>
        <v>5</v>
      </c>
      <c r="Z67" s="17">
        <f t="shared" si="31"/>
        <v>5</v>
      </c>
      <c r="AA67" s="17">
        <f t="shared" si="32"/>
        <v>3.8649999999999998</v>
      </c>
      <c r="AB67" s="17">
        <v>4</v>
      </c>
      <c r="AC67" s="17">
        <f t="shared" si="33"/>
        <v>1.39</v>
      </c>
      <c r="AD67" s="17">
        <f t="shared" si="34"/>
        <v>48</v>
      </c>
      <c r="AE67" s="17" t="str">
        <f t="shared" si="35"/>
        <v>6-12 months</v>
      </c>
      <c r="AF67" s="17" t="s">
        <v>4463</v>
      </c>
      <c r="AG67" s="17" t="s">
        <v>3502</v>
      </c>
      <c r="AH67" s="17" t="s">
        <v>4337</v>
      </c>
      <c r="AI67" s="17" t="s">
        <v>4464</v>
      </c>
      <c r="AJ67" s="17" t="s">
        <v>4465</v>
      </c>
      <c r="AK67" s="17" t="s">
        <v>4466</v>
      </c>
      <c r="AL67" s="17" t="s">
        <v>4467</v>
      </c>
      <c r="AM67" s="17" t="s">
        <v>4468</v>
      </c>
      <c r="AN67" s="17" t="s">
        <v>3937</v>
      </c>
      <c r="AO67" s="17" t="s">
        <v>3938</v>
      </c>
      <c r="AP67" s="17" t="s">
        <v>4242</v>
      </c>
      <c r="AQ67" s="17"/>
      <c r="AR67" s="17"/>
      <c r="AS67" s="14">
        <f>IFERROR((IF(SUMIFS(_REF_Model_Content!$J$1:$J$157,_REF_Model_Content!$A$1:$A$174,PV_Canonical_Industry,_REF_Model_Content!$B$1:$B$174,$B67)=0,1,SUMIFS(_REF_Model_Content!$J$1:$J$157,_REF_Model_Content!$A$1:$A$174,PV_Canonical_Industry,_REF_Model_Content!$B$1:$B$174,$B67))*IFERROR($CA67,1)),1)</f>
        <v>1</v>
      </c>
      <c r="AT67" s="14">
        <f t="shared" si="36"/>
        <v>1.39</v>
      </c>
      <c r="AU67" s="14">
        <f>IF($AT67="","",RANK($AT67,$AT$5:$AT$76,0)+COUNTIF($AT$5:AT67,$AT67)-1)</f>
        <v>48</v>
      </c>
      <c r="AV67" s="14">
        <f>IFERROR(INDEX(_DATA_Dashboard_Facts!$G$300:$G$316,MATCH($B67,_DATA_Dashboard_Facts!$A$300:$A$316,0)),"")</f>
        <v>0</v>
      </c>
      <c r="AW67" s="14" t="str">
        <f t="shared" si="37"/>
        <v>Relevance-neutral priority</v>
      </c>
      <c r="AX67">
        <f>IFERROR(INDEX('Action Plan &amp; Roadmap'!$D$59:$D$130,MATCH($A67,'Action Plan &amp; Roadmap'!$A$59:$A$130,0)),"")</f>
        <v>0</v>
      </c>
      <c r="AY67">
        <f t="shared" si="38"/>
        <v>0</v>
      </c>
      <c r="AZ67" t="s">
        <v>4343</v>
      </c>
      <c r="BA67">
        <f>IF($A67="","",COUNTIF(_DATA_RiskInitiativeMap!$A$1:$A$867,$A67))</f>
        <v>8</v>
      </c>
      <c r="BB67">
        <f>IF($A67="","",IFERROR(AVERAGEIF(_DATA_RiskInitiativeMap!$A$1:$A$867,$A67,_DATA_RiskInitiativeMap!$G$1:$G$867),0))</f>
        <v>25.44</v>
      </c>
      <c r="BC67">
        <f t="shared" si="39"/>
        <v>4.8</v>
      </c>
      <c r="BD67">
        <f t="shared" si="40"/>
        <v>4.96</v>
      </c>
      <c r="BI67" s="17" t="str">
        <f>IFERROR(_CONFIG_Model_Settings!$B$103,"Adaptive")</f>
        <v>Fragile</v>
      </c>
      <c r="BJ67" s="17">
        <f>IFERROR(INDEX(_CONFIG_Model_Settings!$B$109:$B$113,MATCH($BI67,_CONFIG_Model_Settings!$A$109:$A$113,0)),0.3)</f>
        <v>0.2</v>
      </c>
      <c r="BK67" s="17">
        <f>IFERROR(INDEX(_CONFIG_Model_Settings!$C$109:$C$113,MATCH($BI67,_CONFIG_Model_Settings!$A$109:$A$113,0)),0.2)</f>
        <v>0.3</v>
      </c>
      <c r="BL67" s="17">
        <f>IFERROR(INDEX(_CONFIG_Model_Settings!$D$109:$D$113,MATCH($BI67,_CONFIG_Model_Settings!$A$109:$A$113,0)),0.25)</f>
        <v>0.4</v>
      </c>
      <c r="BM67" s="17">
        <f>IFERROR(INDEX(_CONFIG_Model_Settings!$E$109:$E$113,MATCH($BI67,_CONFIG_Model_Settings!$A$109:$A$113,0)),0.25)</f>
        <v>0.1</v>
      </c>
      <c r="BN67" s="17">
        <f>IFERROR(INDEX(_CONFIG_Model_Settings!$B$117:$B$123,MATCH(_CONFIG_Model_Settings!$B$104,_CONFIG_Model_Settings!$A$117:$A$123,0)),1)</f>
        <v>1</v>
      </c>
      <c r="BO67" s="17">
        <f>IFERROR(INDEX(_CONFIG_Model_Settings!$C$117:$C$123,MATCH(_CONFIG_Model_Settings!$B$104,_CONFIG_Model_Settings!$A$117:$A$123,0)),1)</f>
        <v>1</v>
      </c>
      <c r="BP67" s="17">
        <f>IFERROR(INDEX(_CONFIG_Model_Settings!$D$117:$D$123,MATCH(_CONFIG_Model_Settings!$B$104,_CONFIG_Model_Settings!$A$117:$A$123,0)),1)</f>
        <v>1</v>
      </c>
      <c r="BQ67" s="17">
        <f>IFERROR(INDEX(_CONFIG_Model_Settings!$E$117:$E$123,MATCH(_CONFIG_Model_Settings!$B$104,_CONFIG_Model_Settings!$A$117:$A$123,0)),1)</f>
        <v>1</v>
      </c>
      <c r="BR67" s="17">
        <f>IF(OR($A67="",$P67=""),"",MIN(5,IFERROR(SUMIF(_DATA_RiskInitiativeMap!$A$1:$A$867,$A67,_DATA_RiskInitiativeMap!$K$1:$K$867)/MAX(1,_CONFIG_Model_Settings!$B$166),0)))</f>
        <v>5</v>
      </c>
      <c r="BS67" s="17">
        <f t="shared" si="41"/>
        <v>5.55</v>
      </c>
      <c r="BT67" s="17">
        <f t="shared" si="42"/>
        <v>4</v>
      </c>
      <c r="BU67" s="17">
        <f t="shared" si="43"/>
        <v>1.39</v>
      </c>
      <c r="BV67" s="17">
        <f>IF(OR($P67="",$BU67="",$AY67="Done",$AY67="Not applicable"),"",ROUND($BU67*N($AS67)*IF(OR('Resilience &amp; Risk Scenario'!$B$6="",'Resilience &amp; Risk Scenario'!$B$7&lt;=0),1,IFERROR(1+MIN(0.75,INDEX('Resilience &amp; Risk Scenario'!$E$21:$E$37,MATCH($B67,'Resilience &amp; Risk Scenario'!$B$21:$B$37,0))/10),1)),2))</f>
        <v>1.39</v>
      </c>
      <c r="BW67" s="17">
        <f>IF($BV67="","",RANK($BV67,$BV$5:$BV$76,0)+COUNTIF($BV$5:$BV67,$BV67)-1)</f>
        <v>48</v>
      </c>
      <c r="BX67" s="17" t="str">
        <f t="shared" si="44"/>
        <v>6-12 months</v>
      </c>
      <c r="BY67" t="str">
        <f>IFERROR(IF($A67="","","P2: "&amp;$BI67&amp;" posture; objective="&amp;IF(_CONFIG_Model_Settings!$B$104="","Neutral/default",_CONFIG_Model_Settings!$B$104)&amp;"; relevance="&amp;ROUND(N($AS67),2)&amp;"; scenario/domain boost="&amp;ROUND(IF(OR('Resilience &amp; Risk Scenario'!$B$6="",'Resilience &amp; Risk Scenario'!$B$7&lt;=0),1,IFERROR(1+MIN(0.75,INDEX('Resilience &amp; Risk Scenario'!$E$21:$E$37,MATCH($B67,'Resilience &amp; Risk Scenario'!$B$21:$B$37,0))/10),1)),2)&amp;"; financial score="&amp;ROUND(N($BR67),1)&amp;"; CoD="&amp;$BS67&amp;IF($CL67&lt;&gt;"","; wording="&amp;$CL67,"")),"")</f>
        <v>P2: Fragile posture; objective=Neutral/default; relevance=1; scenario/domain boost=1; financial score=5; CoD=5.55; wording=Strengthen Security governance</v>
      </c>
      <c r="BZ67" t="str">
        <f>IFERROR(INDEX(_REF_Capability_Bridge!$D:$D,MATCH($B67&amp;"|"&amp;$C67,_REF_Capability_Bridge!$J:$J,0)),IFERROR(INDEX(_REF_Capability_Bridge!$D:$D,MATCH($B67&amp;"|",_REF_Capability_Bridge!$J:$J,0)),"CAP_GENERIC"))</f>
        <v>CAP_CYBER_GOVERNANCE</v>
      </c>
      <c r="CA67">
        <f>IFERROR(IFERROR(INDEX(_ENGINE_Relevance!$L:$L,MATCH($BZ67,_ENGINE_Relevance!$B:$B,0)),1),1)</f>
        <v>1</v>
      </c>
      <c r="CB67" t="str">
        <f>IFERROR(INDEX(_REF_Capability_Bridge!$A:$A,MATCH($B67&amp;"|"&amp;$C67,_REF_Capability_Bridge!$J:$J,0)),IFERROR(INDEX(_REF_Capability_Bridge!$A:$A,MATCH($B67&amp;"|",_REF_Capability_Bridge!$J:$J,0)),"No bridge"))</f>
        <v>BRG-017</v>
      </c>
      <c r="CC67" t="str">
        <f t="shared" si="45"/>
        <v>Capability relevance neutral</v>
      </c>
      <c r="CD67" t="str">
        <f t="shared" si="46"/>
        <v>Initial / absent</v>
      </c>
      <c r="CE67" t="str">
        <f>IF($A67="","",IFERROR(INDEX(_REF_Treatment_Library!$A$2:$A$296,MATCH(1,INDEX((_REF_Treatment_Library!$B$2:$B$296=$BZ67)*(_REF_Treatment_Library!$C$2:$C$296=PV_Canonical_Industry)*(_REF_Treatment_Library!$E$2:$E$296&lt;=N($N67))*(_REF_Treatment_Library!$F$2:$F$296&gt;=N($N67))*(_REF_Treatment_Library!$O$2:$O$296="Yes"),0),0)),IFERROR(INDEX(_REF_Treatment_Library!$A$2:$A$296,MATCH(1,INDEX((_REF_Treatment_Library!$B$2:$B$296=$BZ67)*(_REF_Treatment_Library!$C$2:$C$296="All")*(_REF_Treatment_Library!$E$2:$E$296&lt;=N($N67))*(_REF_Treatment_Library!$F$2:$F$296&gt;=N($N67))*(_REF_Treatment_Library!$O$2:$O$296="Yes"),0),0)),"")))</f>
        <v>TRT-CYBER_GOVERNANCE-INITIAL</v>
      </c>
      <c r="CF67" t="str">
        <f>IF($CE67="","",IFERROR(INDEX(_REF_Treatment_Library!$H$2:$H$296,MATCH($CE67,_REF_Treatment_Library!$A$2:$A$296,0)),""))</f>
        <v>Establish</v>
      </c>
      <c r="CG67" t="str">
        <f>IF($CE67="","",IFERROR(INDEX(_REF_Treatment_Library!$I$2:$I$296,MATCH($CE67,_REF_Treatment_Library!$A$2:$A$296,0)),""))</f>
        <v>Establish baseline controls for Security governance</v>
      </c>
      <c r="CH67" t="str">
        <f>IF($CE67="","",IFERROR(INDEX(_REF_Treatment_Library!$K$2:$K$296,MATCH($CE67,_REF_Treatment_Library!$A$2:$A$296,0)),""))</f>
        <v>Named owner, baseline process, minimum control checklist, first evidence package</v>
      </c>
      <c r="CI67" t="str">
        <f>IF($CE67="","",IFERROR(INDEX(_REF_Treatment_Library!$L$2:$L$296,MATCH($CE67,_REF_Treatment_Library!$A$2:$A$296,0)),""))</f>
        <v>Owner assigned; baseline evidence coverage; open critical gaps</v>
      </c>
      <c r="CJ67" t="str">
        <f t="shared" si="47"/>
        <v>Treatment by capability=CAP_CYBER_GOVERNANCE; band=Initial / absent; score=0.0; treatment=Establish</v>
      </c>
      <c r="CK67" t="str">
        <f>IF($A67="","",IFERROR(INDEX(_REF_Industry_Wording!$A$2:$A$70,MATCH(1,INDEX((_REF_Industry_Wording!$B$2:$B$70=$BZ67)*(_REF_Industry_Wording!$C$2:$C$70=PV_Canonical_Industry)*(_REF_Industry_Wording!$K$2:$K$70="Yes"),0),0)),IFERROR(INDEX(_REF_Industry_Wording!$A$2:$A$70,MATCH(1,INDEX((_REF_Industry_Wording!$B$2:$B$70=$BZ67)*(_REF_Industry_Wording!$C$2:$C$70="All")*(_REF_Industry_Wording!$K$2:$K$70="Yes"),0),0)),"")))</f>
        <v>IW-ALL-CYBER_GOVERNANCE</v>
      </c>
      <c r="CL67" t="str">
        <f>IF($CK67="","",IFERROR(INDEX(_REF_Industry_Wording!$F$2:$F$70,MATCH($CK67,_REF_Industry_Wording!$A$2:$A$70,0)),""))</f>
        <v>Strengthen Security governance</v>
      </c>
      <c r="CM67" t="str">
        <f>IF($CK67="","",IFERROR(INDEX(_REF_Industry_Wording!$G$2:$G$70,MATCH($CK67,_REF_Industry_Wording!$A$2:$A$70,0)),""))</f>
        <v>Strengthen Security governance using the selected maturity treatment, crisis scenario and evidence requirements.</v>
      </c>
      <c r="CN67" t="str">
        <f>IF($CK67="","",IFERROR(INDEX(_REF_Industry_Wording!$H$2:$H$70,MATCH($CK67,_REF_Industry_Wording!$A$2:$A$70,0)),""))</f>
        <v>Security governance</v>
      </c>
      <c r="CO67">
        <f>IF($CK67="","",IFERROR(INDEX(_REF_Industry_Wording!$I$2:$I$70,MATCH($CK67,_REF_Industry_Wording!$A$2:$A$70,0)),""))</f>
        <v>0</v>
      </c>
      <c r="CP67" t="str">
        <f>IF($CK67="","",IFERROR(INDEX(_REF_Industry_Wording!$J$2:$J$70,MATCH($CK67,_REF_Industry_Wording!$A$2:$A$70,0)),""))</f>
        <v>Security governance</v>
      </c>
      <c r="CQ67" t="str">
        <f t="shared" si="48"/>
        <v>Wording by industry=0; capability=CAP_CYBER_GOVERNANCE; title=Strengthen Security governance</v>
      </c>
      <c r="CR67" t="str">
        <f t="shared" si="49"/>
        <v>INIT-ONT-0063</v>
      </c>
      <c r="CS67">
        <f t="shared" si="50"/>
        <v>67</v>
      </c>
      <c r="CT67" t="str">
        <f t="shared" si="51"/>
        <v>CAP_CYBER_GOVERNANCE</v>
      </c>
      <c r="CU67" t="str">
        <f t="shared" si="52"/>
        <v>INI-063|Cyber Privacy|Security governance|CAP_CYBER_GOVERNANCE</v>
      </c>
      <c r="CV67" t="str">
        <f t="shared" si="53"/>
        <v>Active</v>
      </c>
      <c r="CW67" t="str">
        <f t="shared" si="54"/>
        <v>OK: capability-driven</v>
      </c>
      <c r="CX67" t="str">
        <f t="shared" si="55"/>
        <v>Initiative ontology uses capability=CAP_CYBER_GOVERNANCE; bridge=BRG-017; treatment=TRT-CYBER_GOVERNANCE-INITIAL; wording=IW-ALL-CYBER_GOVERNANCE</v>
      </c>
    </row>
    <row r="68" spans="1:102" ht="42" customHeight="1">
      <c r="A68" s="17" t="s">
        <v>4469</v>
      </c>
      <c r="B68" s="17" t="s">
        <v>2986</v>
      </c>
      <c r="C68" s="17" t="s">
        <v>3003</v>
      </c>
      <c r="D68" s="17" t="s">
        <v>4456</v>
      </c>
      <c r="E68" s="17" t="s">
        <v>4457</v>
      </c>
      <c r="F68" s="17" t="s">
        <v>4470</v>
      </c>
      <c r="G68" s="17" t="s">
        <v>4471</v>
      </c>
      <c r="H68" s="17" t="s">
        <v>4460</v>
      </c>
      <c r="I68" s="17" t="s">
        <v>4461</v>
      </c>
      <c r="J68" s="17" t="s">
        <v>4472</v>
      </c>
      <c r="K68" s="17">
        <v>6</v>
      </c>
      <c r="L68" s="17">
        <f>IF($A68="","",COUNTIFS(_DATA_RiskInitiativeMap!$A$444:$A$867,$A68,_DATA_RiskInitiativeMap!$G$444:$G$867,"&gt;0"))</f>
        <v>6</v>
      </c>
      <c r="M68" s="17">
        <f>IF($A68="","",COUNTIFS(_DATA_RiskInitiativeMap!$A$444:$A$867,$A68,_DATA_RiskInitiativeMap!$G$444:$G$867,"&gt;0"))</f>
        <v>6</v>
      </c>
      <c r="N68" s="17">
        <f>IFERROR(AVERAGEIFS(_DATA_Assessment_Model!$H$5:$H$428,_DATA_Assessment_Model!$AW$5:$AW$428,$B68,_DATA_Assessment_Model!$B$5:$B$428,$C68),"")</f>
        <v>0</v>
      </c>
      <c r="O68" s="17">
        <f t="shared" si="28"/>
        <v>5</v>
      </c>
      <c r="P68" s="17">
        <f>IFERROR(INDEX(_DATA_Dashboard_Facts!$H$5:$H$21,MATCH($B68,_DATA_Dashboard_Facts!$A$5:$A$21,0)),"")</f>
        <v>0</v>
      </c>
      <c r="Q68" s="17">
        <f t="shared" si="29"/>
        <v>5</v>
      </c>
      <c r="R68" s="17">
        <f>IF(OR('Resilience &amp; Risk Scenario'!$B$6="",'Resilience &amp; Risk Scenario'!$B$7&lt;=0),1,IFERROR(IF(SUMIFS(_ENGINE_Crisis!$D$5:$D$208,_ENGINE_Crisis!$A$5:$A$208,'Resilience &amp; Risk Scenario'!$B$6,_ENGINE_Crisis!$B$5:$B$208,$B68)=0,1,SUMIFS(_ENGINE_Crisis!$D$5:$D$208,_ENGINE_Crisis!$A$5:$A$208,'Resilience &amp; Risk Scenario'!$B$6,_ENGINE_Crisis!$B$5:$B$208,$B68)),1))</f>
        <v>1</v>
      </c>
      <c r="S68" s="17">
        <f>IFERROR(INDEX(_ENGINE_Strategy!$A$100:$A$113,MATCH($D68,_ENGINE_Strategy!$B$100:$B$113,0)),99)</f>
        <v>1</v>
      </c>
      <c r="T68" s="17">
        <f>IFERROR(INDEX(_ENGINE_Strategy!$J$100:$J$113,MATCH($D68,_ENGINE_Strategy!$B$100:$B$113,0)),0)</f>
        <v>71</v>
      </c>
      <c r="U68" s="17">
        <v>4</v>
      </c>
      <c r="V68" s="17">
        <v>5</v>
      </c>
      <c r="W68" s="17">
        <v>4</v>
      </c>
      <c r="X68" s="17">
        <f t="shared" si="30"/>
        <v>4.6375000000000002</v>
      </c>
      <c r="Y68" s="17">
        <f>IF($P68="","",MAX(1,MIN(5,1+N($O68)*0.45+MIN(2,N($M68)*0.3)+($R68-1)*1.2+IF('Resilience &amp; Risk Scenario'!$B$7="",1,'Resilience &amp; Risk Scenario'!$B$7)*0.25)))</f>
        <v>5</v>
      </c>
      <c r="Z68" s="17">
        <f t="shared" si="31"/>
        <v>5</v>
      </c>
      <c r="AA68" s="17">
        <f t="shared" si="32"/>
        <v>3.8649999999999998</v>
      </c>
      <c r="AB68" s="17">
        <v>4</v>
      </c>
      <c r="AC68" s="17">
        <f t="shared" si="33"/>
        <v>1.39</v>
      </c>
      <c r="AD68" s="17">
        <f t="shared" si="34"/>
        <v>49</v>
      </c>
      <c r="AE68" s="17" t="str">
        <f t="shared" si="35"/>
        <v>6-12 months</v>
      </c>
      <c r="AF68" s="17" t="s">
        <v>4463</v>
      </c>
      <c r="AG68" s="17" t="s">
        <v>3502</v>
      </c>
      <c r="AH68" s="17" t="s">
        <v>4337</v>
      </c>
      <c r="AI68" s="17" t="s">
        <v>4464</v>
      </c>
      <c r="AJ68" s="17" t="s">
        <v>4473</v>
      </c>
      <c r="AK68" s="17" t="s">
        <v>4474</v>
      </c>
      <c r="AL68" s="17" t="s">
        <v>4475</v>
      </c>
      <c r="AM68" s="17" t="s">
        <v>4468</v>
      </c>
      <c r="AN68" s="17" t="s">
        <v>3937</v>
      </c>
      <c r="AO68" s="17" t="s">
        <v>3938</v>
      </c>
      <c r="AP68" s="17" t="s">
        <v>4242</v>
      </c>
      <c r="AQ68" s="17"/>
      <c r="AR68" s="17"/>
      <c r="AS68" s="14">
        <f>IFERROR((IF(SUMIFS(_REF_Model_Content!$J$1:$J$157,_REF_Model_Content!$A$1:$A$174,PV_Canonical_Industry,_REF_Model_Content!$B$1:$B$174,$B68)=0,1,SUMIFS(_REF_Model_Content!$J$1:$J$157,_REF_Model_Content!$A$1:$A$174,PV_Canonical_Industry,_REF_Model_Content!$B$1:$B$174,$B68))*IFERROR($CA68,1)),1)</f>
        <v>1</v>
      </c>
      <c r="AT68" s="14">
        <f t="shared" si="36"/>
        <v>1.39</v>
      </c>
      <c r="AU68" s="14">
        <f>IF($AT68="","",RANK($AT68,$AT$5:$AT$76,0)+COUNTIF($AT$5:AT68,$AT68)-1)</f>
        <v>49</v>
      </c>
      <c r="AV68" s="14">
        <f>IFERROR(INDEX(_DATA_Dashboard_Facts!$G$300:$G$316,MATCH($B68,_DATA_Dashboard_Facts!$A$300:$A$316,0)),"")</f>
        <v>0</v>
      </c>
      <c r="AW68" s="14" t="str">
        <f t="shared" si="37"/>
        <v>Relevance-neutral priority</v>
      </c>
      <c r="AX68">
        <f>IFERROR(INDEX('Action Plan &amp; Roadmap'!$D$59:$D$130,MATCH($A68,'Action Plan &amp; Roadmap'!$A$59:$A$130,0)),"")</f>
        <v>0</v>
      </c>
      <c r="AY68">
        <f t="shared" si="38"/>
        <v>0</v>
      </c>
      <c r="AZ68" t="s">
        <v>4343</v>
      </c>
      <c r="BA68">
        <f>IF($A68="","",COUNTIF(_DATA_RiskInitiativeMap!$A$1:$A$867,$A68))</f>
        <v>6</v>
      </c>
      <c r="BB68">
        <f>IF($A68="","",IFERROR(AVERAGEIF(_DATA_RiskInitiativeMap!$A$1:$A$867,$A68,_DATA_RiskInitiativeMap!$G$1:$G$867),0))</f>
        <v>25.44</v>
      </c>
      <c r="BC68">
        <f t="shared" si="39"/>
        <v>4.8</v>
      </c>
      <c r="BD68">
        <f t="shared" si="40"/>
        <v>4.96</v>
      </c>
      <c r="BI68" s="17" t="str">
        <f>IFERROR(_CONFIG_Model_Settings!$B$103,"Adaptive")</f>
        <v>Fragile</v>
      </c>
      <c r="BJ68" s="17">
        <f>IFERROR(INDEX(_CONFIG_Model_Settings!$B$109:$B$113,MATCH($BI68,_CONFIG_Model_Settings!$A$109:$A$113,0)),0.3)</f>
        <v>0.2</v>
      </c>
      <c r="BK68" s="17">
        <f>IFERROR(INDEX(_CONFIG_Model_Settings!$C$109:$C$113,MATCH($BI68,_CONFIG_Model_Settings!$A$109:$A$113,0)),0.2)</f>
        <v>0.3</v>
      </c>
      <c r="BL68" s="17">
        <f>IFERROR(INDEX(_CONFIG_Model_Settings!$D$109:$D$113,MATCH($BI68,_CONFIG_Model_Settings!$A$109:$A$113,0)),0.25)</f>
        <v>0.4</v>
      </c>
      <c r="BM68" s="17">
        <f>IFERROR(INDEX(_CONFIG_Model_Settings!$E$109:$E$113,MATCH($BI68,_CONFIG_Model_Settings!$A$109:$A$113,0)),0.25)</f>
        <v>0.1</v>
      </c>
      <c r="BN68" s="17">
        <f>IFERROR(INDEX(_CONFIG_Model_Settings!$B$117:$B$123,MATCH(_CONFIG_Model_Settings!$B$104,_CONFIG_Model_Settings!$A$117:$A$123,0)),1)</f>
        <v>1</v>
      </c>
      <c r="BO68" s="17">
        <f>IFERROR(INDEX(_CONFIG_Model_Settings!$C$117:$C$123,MATCH(_CONFIG_Model_Settings!$B$104,_CONFIG_Model_Settings!$A$117:$A$123,0)),1)</f>
        <v>1</v>
      </c>
      <c r="BP68" s="17">
        <f>IFERROR(INDEX(_CONFIG_Model_Settings!$D$117:$D$123,MATCH(_CONFIG_Model_Settings!$B$104,_CONFIG_Model_Settings!$A$117:$A$123,0)),1)</f>
        <v>1</v>
      </c>
      <c r="BQ68" s="17">
        <f>IFERROR(INDEX(_CONFIG_Model_Settings!$E$117:$E$123,MATCH(_CONFIG_Model_Settings!$B$104,_CONFIG_Model_Settings!$A$117:$A$123,0)),1)</f>
        <v>1</v>
      </c>
      <c r="BR68" s="17">
        <f>IF(OR($A68="",$P68=""),"",MIN(5,IFERROR(SUMIF(_DATA_RiskInitiativeMap!$A$1:$A$867,$A68,_DATA_RiskInitiativeMap!$K$1:$K$867)/MAX(1,_CONFIG_Model_Settings!$B$166),0)))</f>
        <v>5</v>
      </c>
      <c r="BS68" s="17">
        <f t="shared" si="41"/>
        <v>5.55</v>
      </c>
      <c r="BT68" s="17">
        <f t="shared" si="42"/>
        <v>4</v>
      </c>
      <c r="BU68" s="17">
        <f t="shared" si="43"/>
        <v>1.39</v>
      </c>
      <c r="BV68" s="17">
        <f>IF(OR($P68="",$BU68="",$AY68="Done",$AY68="Not applicable"),"",ROUND($BU68*N($AS68)*IF(OR('Resilience &amp; Risk Scenario'!$B$6="",'Resilience &amp; Risk Scenario'!$B$7&lt;=0),1,IFERROR(1+MIN(0.75,INDEX('Resilience &amp; Risk Scenario'!$E$21:$E$37,MATCH($B68,'Resilience &amp; Risk Scenario'!$B$21:$B$37,0))/10),1)),2))</f>
        <v>1.39</v>
      </c>
      <c r="BW68" s="17">
        <f>IF($BV68="","",RANK($BV68,$BV$5:$BV$76,0)+COUNTIF($BV$5:$BV68,$BV68)-1)</f>
        <v>49</v>
      </c>
      <c r="BX68" s="17" t="str">
        <f t="shared" si="44"/>
        <v>6-12 months</v>
      </c>
      <c r="BY68" t="str">
        <f>IFERROR(IF($A68="","","P2: "&amp;$BI68&amp;" posture; objective="&amp;IF(_CONFIG_Model_Settings!$B$104="","Neutral/default",_CONFIG_Model_Settings!$B$104)&amp;"; relevance="&amp;ROUND(N($AS68),2)&amp;"; scenario/domain boost="&amp;ROUND(IF(OR('Resilience &amp; Risk Scenario'!$B$6="",'Resilience &amp; Risk Scenario'!$B$7&lt;=0),1,IFERROR(1+MIN(0.75,INDEX('Resilience &amp; Risk Scenario'!$E$21:$E$37,MATCH($B68,'Resilience &amp; Risk Scenario'!$B$21:$B$37,0))/10),1)),2)&amp;"; financial score="&amp;ROUND(N($BR68),1)&amp;"; CoD="&amp;$BS68&amp;IF($CL68&lt;&gt;"","; wording="&amp;$CL68,"")),"")</f>
        <v>P2: Fragile posture; objective=Neutral/default; relevance=1; scenario/domain boost=1; financial score=5; CoD=5.55; wording=Strengthen Identity / PAM</v>
      </c>
      <c r="BZ68" t="str">
        <f>IFERROR(INDEX(_REF_Capability_Bridge!$D:$D,MATCH($B68&amp;"|"&amp;$C68,_REF_Capability_Bridge!$J:$J,0)),IFERROR(INDEX(_REF_Capability_Bridge!$D:$D,MATCH($B68&amp;"|",_REF_Capability_Bridge!$J:$J,0)),"CAP_GENERIC"))</f>
        <v>CAP_IAM_PAM</v>
      </c>
      <c r="CA68">
        <f>IFERROR(IFERROR(INDEX(_ENGINE_Relevance!$L:$L,MATCH($BZ68,_ENGINE_Relevance!$B:$B,0)),1),1)</f>
        <v>1</v>
      </c>
      <c r="CB68" t="str">
        <f>IFERROR(INDEX(_REF_Capability_Bridge!$A:$A,MATCH($B68&amp;"|"&amp;$C68,_REF_Capability_Bridge!$J:$J,0)),IFERROR(INDEX(_REF_Capability_Bridge!$A:$A,MATCH($B68&amp;"|",_REF_Capability_Bridge!$J:$J,0)),"No bridge"))</f>
        <v>BRG-014</v>
      </c>
      <c r="CC68" t="str">
        <f t="shared" si="45"/>
        <v>Capability relevance neutral</v>
      </c>
      <c r="CD68" t="str">
        <f t="shared" si="46"/>
        <v>Initial / absent</v>
      </c>
      <c r="CE68" t="str">
        <f>IF($A68="","",IFERROR(INDEX(_REF_Treatment_Library!$A$2:$A$296,MATCH(1,INDEX((_REF_Treatment_Library!$B$2:$B$296=$BZ68)*(_REF_Treatment_Library!$C$2:$C$296=PV_Canonical_Industry)*(_REF_Treatment_Library!$E$2:$E$296&lt;=N($N68))*(_REF_Treatment_Library!$F$2:$F$296&gt;=N($N68))*(_REF_Treatment_Library!$O$2:$O$296="Yes"),0),0)),IFERROR(INDEX(_REF_Treatment_Library!$A$2:$A$296,MATCH(1,INDEX((_REF_Treatment_Library!$B$2:$B$296=$BZ68)*(_REF_Treatment_Library!$C$2:$C$296="All")*(_REF_Treatment_Library!$E$2:$E$296&lt;=N($N68))*(_REF_Treatment_Library!$F$2:$F$296&gt;=N($N68))*(_REF_Treatment_Library!$O$2:$O$296="Yes"),0),0)),"")))</f>
        <v>TRT-IAM_PAM-INITIAL</v>
      </c>
      <c r="CF68" t="str">
        <f>IF($CE68="","",IFERROR(INDEX(_REF_Treatment_Library!$H$2:$H$296,MATCH($CE68,_REF_Treatment_Library!$A$2:$A$296,0)),""))</f>
        <v>Establish</v>
      </c>
      <c r="CG68" t="str">
        <f>IF($CE68="","",IFERROR(INDEX(_REF_Treatment_Library!$I$2:$I$296,MATCH($CE68,_REF_Treatment_Library!$A$2:$A$296,0)),""))</f>
        <v>Establish baseline controls for Identity / PAM</v>
      </c>
      <c r="CH68" t="str">
        <f>IF($CE68="","",IFERROR(INDEX(_REF_Treatment_Library!$K$2:$K$296,MATCH($CE68,_REF_Treatment_Library!$A$2:$A$296,0)),""))</f>
        <v>Named owner, baseline process, minimum control checklist, first evidence package</v>
      </c>
      <c r="CI68" t="str">
        <f>IF($CE68="","",IFERROR(INDEX(_REF_Treatment_Library!$L$2:$L$296,MATCH($CE68,_REF_Treatment_Library!$A$2:$A$296,0)),""))</f>
        <v>Owner assigned; baseline evidence coverage; open critical gaps</v>
      </c>
      <c r="CJ68" t="str">
        <f t="shared" si="47"/>
        <v>Treatment by capability=CAP_IAM_PAM; band=Initial / absent; score=0.0; treatment=Establish</v>
      </c>
      <c r="CK68" t="str">
        <f>IF($A68="","",IFERROR(INDEX(_REF_Industry_Wording!$A$2:$A$70,MATCH(1,INDEX((_REF_Industry_Wording!$B$2:$B$70=$BZ68)*(_REF_Industry_Wording!$C$2:$C$70=PV_Canonical_Industry)*(_REF_Industry_Wording!$K$2:$K$70="Yes"),0),0)),IFERROR(INDEX(_REF_Industry_Wording!$A$2:$A$70,MATCH(1,INDEX((_REF_Industry_Wording!$B$2:$B$70=$BZ68)*(_REF_Industry_Wording!$C$2:$C$70="All")*(_REF_Industry_Wording!$K$2:$K$70="Yes"),0),0)),"")))</f>
        <v>IW-ALL-IAM_PAM</v>
      </c>
      <c r="CL68" t="str">
        <f>IF($CK68="","",IFERROR(INDEX(_REF_Industry_Wording!$F$2:$F$70,MATCH($CK68,_REF_Industry_Wording!$A$2:$A$70,0)),""))</f>
        <v>Strengthen Identity / PAM</v>
      </c>
      <c r="CM68" t="str">
        <f>IF($CK68="","",IFERROR(INDEX(_REF_Industry_Wording!$G$2:$G$70,MATCH($CK68,_REF_Industry_Wording!$A$2:$A$70,0)),""))</f>
        <v>Strengthen Identity / PAM using the selected maturity treatment, crisis scenario and evidence requirements.</v>
      </c>
      <c r="CN68" t="str">
        <f>IF($CK68="","",IFERROR(INDEX(_REF_Industry_Wording!$H$2:$H$70,MATCH($CK68,_REF_Industry_Wording!$A$2:$A$70,0)),""))</f>
        <v>Identity / PAM</v>
      </c>
      <c r="CO68">
        <f>IF($CK68="","",IFERROR(INDEX(_REF_Industry_Wording!$I$2:$I$70,MATCH($CK68,_REF_Industry_Wording!$A$2:$A$70,0)),""))</f>
        <v>0</v>
      </c>
      <c r="CP68" t="str">
        <f>IF($CK68="","",IFERROR(INDEX(_REF_Industry_Wording!$J$2:$J$70,MATCH($CK68,_REF_Industry_Wording!$A$2:$A$70,0)),""))</f>
        <v>Identity / PAM</v>
      </c>
      <c r="CQ68" t="str">
        <f t="shared" si="48"/>
        <v>Wording by industry=0; capability=CAP_IAM_PAM; title=Strengthen Identity / PAM</v>
      </c>
      <c r="CR68" t="str">
        <f t="shared" si="49"/>
        <v>INIT-ONT-0064</v>
      </c>
      <c r="CS68">
        <f t="shared" si="50"/>
        <v>68</v>
      </c>
      <c r="CT68" t="str">
        <f t="shared" si="51"/>
        <v>CAP_IAM_PAM</v>
      </c>
      <c r="CU68" t="str">
        <f t="shared" si="52"/>
        <v>INI-064|Cyber Privacy|Identity and access|CAP_IAM_PAM</v>
      </c>
      <c r="CV68" t="str">
        <f t="shared" si="53"/>
        <v>Active</v>
      </c>
      <c r="CW68" t="str">
        <f t="shared" si="54"/>
        <v>OK: capability-driven</v>
      </c>
      <c r="CX68" t="str">
        <f t="shared" si="55"/>
        <v>Initiative ontology uses capability=CAP_IAM_PAM; bridge=BRG-014; treatment=TRT-IAM_PAM-INITIAL; wording=IW-ALL-IAM_PAM</v>
      </c>
    </row>
    <row r="69" spans="1:102" ht="42" customHeight="1">
      <c r="A69" s="17" t="s">
        <v>4476</v>
      </c>
      <c r="B69" s="17" t="s">
        <v>2986</v>
      </c>
      <c r="C69" s="17" t="s">
        <v>3013</v>
      </c>
      <c r="D69" s="17" t="s">
        <v>4456</v>
      </c>
      <c r="E69" s="17" t="s">
        <v>4457</v>
      </c>
      <c r="F69" s="17" t="s">
        <v>4477</v>
      </c>
      <c r="G69" s="17" t="s">
        <v>4478</v>
      </c>
      <c r="H69" s="17" t="s">
        <v>4460</v>
      </c>
      <c r="I69" s="17" t="s">
        <v>4461</v>
      </c>
      <c r="J69" s="17" t="s">
        <v>4479</v>
      </c>
      <c r="K69" s="17">
        <v>8</v>
      </c>
      <c r="L69" s="17">
        <f>IF($A69="","",COUNTIFS(_DATA_RiskInitiativeMap!$A$444:$A$867,$A69,_DATA_RiskInitiativeMap!$G$444:$G$867,"&gt;0"))</f>
        <v>8</v>
      </c>
      <c r="M69" s="17">
        <f>IF($A69="","",COUNTIFS(_DATA_RiskInitiativeMap!$A$444:$A$867,$A69,_DATA_RiskInitiativeMap!$G$444:$G$867,"&gt;0"))</f>
        <v>8</v>
      </c>
      <c r="N69" s="17">
        <f>IFERROR(AVERAGEIFS(_DATA_Assessment_Model!$H$5:$H$428,_DATA_Assessment_Model!$AW$5:$AW$428,$B69,_DATA_Assessment_Model!$B$5:$B$428,$C69),"")</f>
        <v>0</v>
      </c>
      <c r="O69" s="17">
        <f t="shared" ref="O69:O76" si="56">IF($N69="","",MAX(0,5-$N69))</f>
        <v>5</v>
      </c>
      <c r="P69" s="17">
        <f>IFERROR(INDEX(_DATA_Dashboard_Facts!$H$5:$H$21,MATCH($B69,_DATA_Dashboard_Facts!$A$5:$A$21,0)),"")</f>
        <v>0</v>
      </c>
      <c r="Q69" s="17">
        <f t="shared" ref="Q69:Q76" si="57">IF($P69="","",MAX(0,5-$P69))</f>
        <v>5</v>
      </c>
      <c r="R69" s="17">
        <f>IF(OR('Resilience &amp; Risk Scenario'!$B$6="",'Resilience &amp; Risk Scenario'!$B$7&lt;=0),1,IFERROR(IF(SUMIFS(_ENGINE_Crisis!$D$5:$D$208,_ENGINE_Crisis!$A$5:$A$208,'Resilience &amp; Risk Scenario'!$B$6,_ENGINE_Crisis!$B$5:$B$208,$B69)=0,1,SUMIFS(_ENGINE_Crisis!$D$5:$D$208,_ENGINE_Crisis!$A$5:$A$208,'Resilience &amp; Risk Scenario'!$B$6,_ENGINE_Crisis!$B$5:$B$208,$B69)),1))</f>
        <v>1</v>
      </c>
      <c r="S69" s="17">
        <f>IFERROR(INDEX(_ENGINE_Strategy!$A$100:$A$113,MATCH($D69,_ENGINE_Strategy!$B$100:$B$113,0)),99)</f>
        <v>1</v>
      </c>
      <c r="T69" s="17">
        <f>IFERROR(INDEX(_ENGINE_Strategy!$J$100:$J$113,MATCH($D69,_ENGINE_Strategy!$B$100:$B$113,0)),0)</f>
        <v>71</v>
      </c>
      <c r="U69" s="17">
        <v>4</v>
      </c>
      <c r="V69" s="17">
        <v>5</v>
      </c>
      <c r="W69" s="17">
        <v>4</v>
      </c>
      <c r="X69" s="17">
        <f t="shared" ref="X69:X76" si="58">IF($P69="","",MAX(1,MIN(5,(N($O69)*0.5)+(N($Q69)*0.25)+((N($T69)/20)*0.25))))</f>
        <v>4.6375000000000002</v>
      </c>
      <c r="Y69" s="17">
        <f>IF($P69="","",MAX(1,MIN(5,1+N($O69)*0.45+MIN(2,N($M69)*0.3)+($R69-1)*1.2+IF('Resilience &amp; Risk Scenario'!$B$7="",1,'Resilience &amp; Risk Scenario'!$B$7)*0.25)))</f>
        <v>5</v>
      </c>
      <c r="Z69" s="17">
        <f t="shared" ref="Z69:Z76" si="59">IF($P69="","",MAX(1,MIN(5,(N($O69)*0.45)+(MIN(5,5*N($M69)/MAX(1,N($K69)))*0.35)+(N($V69)*0.2))))</f>
        <v>5</v>
      </c>
      <c r="AA69" s="17">
        <f t="shared" ref="AA69:AA76" si="60">IF($P69="","",MAX(1,MIN(5,($U69*0.4)+($W69*0.3)+(($T69/20)*0.3))))</f>
        <v>3.8649999999999998</v>
      </c>
      <c r="AB69" s="17">
        <v>4</v>
      </c>
      <c r="AC69" s="17">
        <f t="shared" ref="AC69:AC76" si="61">IF($A69="","",$BV69)</f>
        <v>1.39</v>
      </c>
      <c r="AD69" s="17">
        <f t="shared" ref="AD69:AD76" si="62">IF($A69="","",$BW69)</f>
        <v>50</v>
      </c>
      <c r="AE69" s="17" t="str">
        <f t="shared" ref="AE69:AE76" si="63">IF($A69="","",$BX69)</f>
        <v>6-12 months</v>
      </c>
      <c r="AF69" s="17" t="s">
        <v>4463</v>
      </c>
      <c r="AG69" s="17" t="s">
        <v>3502</v>
      </c>
      <c r="AH69" s="17" t="s">
        <v>4337</v>
      </c>
      <c r="AI69" s="17" t="s">
        <v>4464</v>
      </c>
      <c r="AJ69" s="17" t="s">
        <v>4480</v>
      </c>
      <c r="AK69" s="17" t="s">
        <v>4481</v>
      </c>
      <c r="AL69" s="17" t="s">
        <v>4482</v>
      </c>
      <c r="AM69" s="17" t="s">
        <v>4468</v>
      </c>
      <c r="AN69" s="17" t="s">
        <v>3937</v>
      </c>
      <c r="AO69" s="17" t="s">
        <v>3938</v>
      </c>
      <c r="AP69" s="17" t="s">
        <v>4242</v>
      </c>
      <c r="AQ69" s="17"/>
      <c r="AR69" s="17"/>
      <c r="AS69" s="14">
        <f>IFERROR((IF(SUMIFS(_REF_Model_Content!$J$1:$J$157,_REF_Model_Content!$A$1:$A$174,PV_Canonical_Industry,_REF_Model_Content!$B$1:$B$174,$B69)=0,1,SUMIFS(_REF_Model_Content!$J$1:$J$157,_REF_Model_Content!$A$1:$A$174,PV_Canonical_Industry,_REF_Model_Content!$B$1:$B$174,$B69))*IFERROR($CA69,1)),1)</f>
        <v>1</v>
      </c>
      <c r="AT69" s="14">
        <f t="shared" ref="AT69:AT76" si="64">IF(OR($P69="",$AY69="Done",$AY69="Not applicable"),"",IF($AC69="","",ROUND(N($AC69)*N($AS69),2)))</f>
        <v>1.39</v>
      </c>
      <c r="AU69" s="14">
        <f>IF($AT69="","",RANK($AT69,$AT$5:$AT$76,0)+COUNTIF($AT$5:AT69,$AT69)-1)</f>
        <v>50</v>
      </c>
      <c r="AV69" s="14">
        <f>IFERROR(INDEX(_DATA_Dashboard_Facts!$G$300:$G$316,MATCH($B69,_DATA_Dashboard_Facts!$A$300:$A$316,0)),"")</f>
        <v>0</v>
      </c>
      <c r="AW69" s="14" t="str">
        <f t="shared" ref="AW69:AW76" si="65">IF($AS69=0,"Hard excluded by Relevance Engine",IF($AS69&gt;cfg_IndPriorityHigh,"Relevance/industry increases priority",IF($AS69&lt;cfg_IndPriorityLow,"Relevance/industry lowers priority","Relevance-neutral priority")))</f>
        <v>Relevance-neutral priority</v>
      </c>
      <c r="AX69">
        <f>IFERROR(INDEX('Action Plan &amp; Roadmap'!$D$59:$D$130,MATCH($A69,'Action Plan &amp; Roadmap'!$A$59:$A$130,0)),"")</f>
        <v>0</v>
      </c>
      <c r="AY69">
        <f t="shared" ref="AY69:AY76" si="66">IF($AX69&lt;&gt;"",$AX69,IF($AO69="","Not started",$AO69))</f>
        <v>0</v>
      </c>
      <c r="AZ69" t="s">
        <v>4343</v>
      </c>
      <c r="BA69">
        <f>IF($A69="","",COUNTIF(_DATA_RiskInitiativeMap!$A$1:$A$867,$A69))</f>
        <v>8</v>
      </c>
      <c r="BB69">
        <f>IF($A69="","",IFERROR(AVERAGEIF(_DATA_RiskInitiativeMap!$A$1:$A$867,$A69,_DATA_RiskInitiativeMap!$G$1:$G$867),0))</f>
        <v>25.44</v>
      </c>
      <c r="BC69">
        <f t="shared" ref="BC69:BC76" si="67">IF($A69="","",MAX(0,MIN(5,(N($O69)*0.5)+(N($V69)*0.3)+(N($W69)*0.2))))</f>
        <v>4.8</v>
      </c>
      <c r="BD69">
        <f t="shared" ref="BD69:BD76" si="68">IF($A69="","",MAX(1,MIN(5,(N($Z69)*0.45)+(MIN(5,N($BB69)/5)*0.35)+(N($BC69)*0.2))))</f>
        <v>4.96</v>
      </c>
      <c r="BI69" s="17" t="str">
        <f>IFERROR(_CONFIG_Model_Settings!$B$103,"Adaptive")</f>
        <v>Fragile</v>
      </c>
      <c r="BJ69" s="17">
        <f>IFERROR(INDEX(_CONFIG_Model_Settings!$B$109:$B$113,MATCH($BI69,_CONFIG_Model_Settings!$A$109:$A$113,0)),0.3)</f>
        <v>0.2</v>
      </c>
      <c r="BK69" s="17">
        <f>IFERROR(INDEX(_CONFIG_Model_Settings!$C$109:$C$113,MATCH($BI69,_CONFIG_Model_Settings!$A$109:$A$113,0)),0.2)</f>
        <v>0.3</v>
      </c>
      <c r="BL69" s="17">
        <f>IFERROR(INDEX(_CONFIG_Model_Settings!$D$109:$D$113,MATCH($BI69,_CONFIG_Model_Settings!$A$109:$A$113,0)),0.25)</f>
        <v>0.4</v>
      </c>
      <c r="BM69" s="17">
        <f>IFERROR(INDEX(_CONFIG_Model_Settings!$E$109:$E$113,MATCH($BI69,_CONFIG_Model_Settings!$A$109:$A$113,0)),0.25)</f>
        <v>0.1</v>
      </c>
      <c r="BN69" s="17">
        <f>IFERROR(INDEX(_CONFIG_Model_Settings!$B$117:$B$123,MATCH(_CONFIG_Model_Settings!$B$104,_CONFIG_Model_Settings!$A$117:$A$123,0)),1)</f>
        <v>1</v>
      </c>
      <c r="BO69" s="17">
        <f>IFERROR(INDEX(_CONFIG_Model_Settings!$C$117:$C$123,MATCH(_CONFIG_Model_Settings!$B$104,_CONFIG_Model_Settings!$A$117:$A$123,0)),1)</f>
        <v>1</v>
      </c>
      <c r="BP69" s="17">
        <f>IFERROR(INDEX(_CONFIG_Model_Settings!$D$117:$D$123,MATCH(_CONFIG_Model_Settings!$B$104,_CONFIG_Model_Settings!$A$117:$A$123,0)),1)</f>
        <v>1</v>
      </c>
      <c r="BQ69" s="17">
        <f>IFERROR(INDEX(_CONFIG_Model_Settings!$E$117:$E$123,MATCH(_CONFIG_Model_Settings!$B$104,_CONFIG_Model_Settings!$A$117:$A$123,0)),1)</f>
        <v>1</v>
      </c>
      <c r="BR69" s="17">
        <f>IF(OR($A69="",$P69=""),"",MIN(5,IFERROR(SUMIF(_DATA_RiskInitiativeMap!$A$1:$A$867,$A69,_DATA_RiskInitiativeMap!$K$1:$K$867)/MAX(1,_CONFIG_Model_Settings!$B$166),0)))</f>
        <v>5</v>
      </c>
      <c r="BS69" s="17">
        <f t="shared" ref="BS69:BS76" si="69">IF(OR($A69="",$P69=""),"",ROUND((N($X69)*N($BJ69)*N($BN69)+N($Y69)*N($BK69)*N($BO69)+N($BD69)*N($BL69)*N($BP69)+N($AA69)*N($BM69)*N($BQ69)+N($BR69)*0.15),2))</f>
        <v>5.55</v>
      </c>
      <c r="BT69" s="17">
        <f t="shared" ref="BT69:BT76" si="70">IF($A69="","",MAX(1,N($AB69)))</f>
        <v>4</v>
      </c>
      <c r="BU69" s="17">
        <f t="shared" ref="BU69:BU76" si="71">IF(OR($P69="",$BS69="",$BT69=0),"",ROUND($BS69/$BT69,2))</f>
        <v>1.39</v>
      </c>
      <c r="BV69" s="17">
        <f>IF(OR($P69="",$BU69="",$AY69="Done",$AY69="Not applicable"),"",ROUND($BU69*N($AS69)*IF(OR('Resilience &amp; Risk Scenario'!$B$6="",'Resilience &amp; Risk Scenario'!$B$7&lt;=0),1,IFERROR(1+MIN(0.75,INDEX('Resilience &amp; Risk Scenario'!$E$21:$E$37,MATCH($B69,'Resilience &amp; Risk Scenario'!$B$21:$B$37,0))/10),1)),2))</f>
        <v>1.39</v>
      </c>
      <c r="BW69" s="17">
        <f>IF($BV69="","",RANK($BV69,$BV$5:$BV$76,0)+COUNTIF($BV$5:$BV69,$BV69)-1)</f>
        <v>50</v>
      </c>
      <c r="BX69" s="17" t="str">
        <f t="shared" ref="BX69:BX76" si="72">IF($BW69="","",IF($BW69&lt;=cfg_TimelineBucket1,"0-90 days",IF($BW69&lt;=cfg_TimelineBucket2,"3-6 months",IF($BW69&lt;=cfg_TimelineBucket3,"6-12 months","12+ months"))))</f>
        <v>6-12 months</v>
      </c>
      <c r="BY69" t="str">
        <f>IFERROR(IF($A69="","","P2: "&amp;$BI69&amp;" posture; objective="&amp;IF(_CONFIG_Model_Settings!$B$104="","Neutral/default",_CONFIG_Model_Settings!$B$104)&amp;"; relevance="&amp;ROUND(N($AS69),2)&amp;"; scenario/domain boost="&amp;ROUND(IF(OR('Resilience &amp; Risk Scenario'!$B$6="",'Resilience &amp; Risk Scenario'!$B$7&lt;=0),1,IFERROR(1+MIN(0.75,INDEX('Resilience &amp; Risk Scenario'!$E$21:$E$37,MATCH($B69,'Resilience &amp; Risk Scenario'!$B$21:$B$37,0))/10),1)),2)&amp;"; financial score="&amp;ROUND(N($BR69),1)&amp;"; CoD="&amp;$BS69&amp;IF($CL69&lt;&gt;"","; wording="&amp;$CL69,"")),"")</f>
        <v>P2: Fragile posture; objective=Neutral/default; relevance=1; scenario/domain boost=1; financial score=5; CoD=5.55; wording=Strengthen Backup / recovery</v>
      </c>
      <c r="BZ69" t="str">
        <f>IFERROR(INDEX(_REF_Capability_Bridge!$D:$D,MATCH($B69&amp;"|"&amp;$C69,_REF_Capability_Bridge!$J:$J,0)),IFERROR(INDEX(_REF_Capability_Bridge!$D:$D,MATCH($B69&amp;"|",_REF_Capability_Bridge!$J:$J,0)),"CAP_GENERIC"))</f>
        <v>CAP_BACKUP_RECOVERY</v>
      </c>
      <c r="CA69">
        <f>IFERROR(IFERROR(INDEX(_ENGINE_Relevance!$L:$L,MATCH($BZ69,_ENGINE_Relevance!$B:$B,0)),1),1)</f>
        <v>1</v>
      </c>
      <c r="CB69" t="str">
        <f>IFERROR(INDEX(_REF_Capability_Bridge!$A:$A,MATCH($B69&amp;"|"&amp;$C69,_REF_Capability_Bridge!$J:$J,0)),IFERROR(INDEX(_REF_Capability_Bridge!$A:$A,MATCH($B69&amp;"|",_REF_Capability_Bridge!$J:$J,0)),"No bridge"))</f>
        <v>BRG-016</v>
      </c>
      <c r="CC69" t="str">
        <f t="shared" ref="CC69:CC76" si="73">IF($CA69=0,"Hard-excluded at capability level",IF($CA69&gt;1,"Capability relevance increases priority",IF($CA69&lt;1,"Capability relevance lowers priority","Capability relevance neutral")))</f>
        <v>Capability relevance neutral</v>
      </c>
      <c r="CD69" t="str">
        <f t="shared" ref="CD69:CD76" si="74">IF($A69="","",IF(N($N69)&lt;1.5,"Initial / absent",IF(N($N69)&lt;2.5,"Basic",IF(N($N69)&lt;3.5,"Defined",IF(N($N69)&lt;4.3,"Managed","Optimized")))))</f>
        <v>Initial / absent</v>
      </c>
      <c r="CE69" t="str">
        <f>IF($A69="","",IFERROR(INDEX(_REF_Treatment_Library!$A$2:$A$296,MATCH(1,INDEX((_REF_Treatment_Library!$B$2:$B$296=$BZ69)*(_REF_Treatment_Library!$C$2:$C$296=PV_Canonical_Industry)*(_REF_Treatment_Library!$E$2:$E$296&lt;=N($N69))*(_REF_Treatment_Library!$F$2:$F$296&gt;=N($N69))*(_REF_Treatment_Library!$O$2:$O$296="Yes"),0),0)),IFERROR(INDEX(_REF_Treatment_Library!$A$2:$A$296,MATCH(1,INDEX((_REF_Treatment_Library!$B$2:$B$296=$BZ69)*(_REF_Treatment_Library!$C$2:$C$296="All")*(_REF_Treatment_Library!$E$2:$E$296&lt;=N($N69))*(_REF_Treatment_Library!$F$2:$F$296&gt;=N($N69))*(_REF_Treatment_Library!$O$2:$O$296="Yes"),0),0)),"")))</f>
        <v>TRT-BACKUP_RECOVERY-INITIAL</v>
      </c>
      <c r="CF69" t="str">
        <f>IF($CE69="","",IFERROR(INDEX(_REF_Treatment_Library!$H$2:$H$296,MATCH($CE69,_REF_Treatment_Library!$A$2:$A$296,0)),""))</f>
        <v>Establish</v>
      </c>
      <c r="CG69" t="str">
        <f>IF($CE69="","",IFERROR(INDEX(_REF_Treatment_Library!$I$2:$I$296,MATCH($CE69,_REF_Treatment_Library!$A$2:$A$296,0)),""))</f>
        <v>Establish baseline controls for Backup / recovery</v>
      </c>
      <c r="CH69" t="str">
        <f>IF($CE69="","",IFERROR(INDEX(_REF_Treatment_Library!$K$2:$K$296,MATCH($CE69,_REF_Treatment_Library!$A$2:$A$296,0)),""))</f>
        <v>Named owner, baseline process, minimum control checklist, first evidence package</v>
      </c>
      <c r="CI69" t="str">
        <f>IF($CE69="","",IFERROR(INDEX(_REF_Treatment_Library!$L$2:$L$296,MATCH($CE69,_REF_Treatment_Library!$A$2:$A$296,0)),""))</f>
        <v>Owner assigned; baseline evidence coverage; open critical gaps</v>
      </c>
      <c r="CJ69" t="str">
        <f t="shared" ref="CJ69:CJ76" si="75">IF($A69="","","Treatment by capability="&amp;$BZ69&amp;"; band="&amp;$CD69&amp;"; score="&amp;TEXT(N($N69),"0.0")&amp;"; treatment="&amp;$CF69)</f>
        <v>Treatment by capability=CAP_BACKUP_RECOVERY; band=Initial / absent; score=0.0; treatment=Establish</v>
      </c>
      <c r="CK69" t="str">
        <f>IF($A69="","",IFERROR(INDEX(_REF_Industry_Wording!$A$2:$A$70,MATCH(1,INDEX((_REF_Industry_Wording!$B$2:$B$70=$BZ69)*(_REF_Industry_Wording!$C$2:$C$70=PV_Canonical_Industry)*(_REF_Industry_Wording!$K$2:$K$70="Yes"),0),0)),IFERROR(INDEX(_REF_Industry_Wording!$A$2:$A$70,MATCH(1,INDEX((_REF_Industry_Wording!$B$2:$B$70=$BZ69)*(_REF_Industry_Wording!$C$2:$C$70="All")*(_REF_Industry_Wording!$K$2:$K$70="Yes"),0),0)),"")))</f>
        <v>IW-ALL-BACKUP_RECOVERY</v>
      </c>
      <c r="CL69" t="str">
        <f>IF($CK69="","",IFERROR(INDEX(_REF_Industry_Wording!$F$2:$F$70,MATCH($CK69,_REF_Industry_Wording!$A$2:$A$70,0)),""))</f>
        <v>Strengthen Backup / recovery</v>
      </c>
      <c r="CM69" t="str">
        <f>IF($CK69="","",IFERROR(INDEX(_REF_Industry_Wording!$G$2:$G$70,MATCH($CK69,_REF_Industry_Wording!$A$2:$A$70,0)),""))</f>
        <v>Strengthen Backup / recovery using the selected maturity treatment, crisis scenario and evidence requirements.</v>
      </c>
      <c r="CN69" t="str">
        <f>IF($CK69="","",IFERROR(INDEX(_REF_Industry_Wording!$H$2:$H$70,MATCH($CK69,_REF_Industry_Wording!$A$2:$A$70,0)),""))</f>
        <v>Backup / recovery</v>
      </c>
      <c r="CO69">
        <f>IF($CK69="","",IFERROR(INDEX(_REF_Industry_Wording!$I$2:$I$70,MATCH($CK69,_REF_Industry_Wording!$A$2:$A$70,0)),""))</f>
        <v>0</v>
      </c>
      <c r="CP69" t="str">
        <f>IF($CK69="","",IFERROR(INDEX(_REF_Industry_Wording!$J$2:$J$70,MATCH($CK69,_REF_Industry_Wording!$A$2:$A$70,0)),""))</f>
        <v>Backup / recovery</v>
      </c>
      <c r="CQ69" t="str">
        <f t="shared" ref="CQ69:CQ76" si="76">IF($A69="","","Wording by industry="&amp;PV_Canonical_Industry&amp;"; capability="&amp;$BZ69&amp;"; title="&amp;$CL69)</f>
        <v>Wording by industry=0; capability=CAP_BACKUP_RECOVERY; title=Strengthen Backup / recovery</v>
      </c>
      <c r="CR69" t="str">
        <f t="shared" ref="CR69:CR76" si="77">IF($A69="","","INIT-ONT-"&amp;TEXT(ROW()-4,"0000"))</f>
        <v>INIT-ONT-0065</v>
      </c>
      <c r="CS69">
        <f t="shared" ref="CS69:CS76" si="78">IF($A69="","",ROW())</f>
        <v>69</v>
      </c>
      <c r="CT69" t="str">
        <f t="shared" ref="CT69:CT76" si="79">IF($A69="","",$BZ69)</f>
        <v>CAP_BACKUP_RECOVERY</v>
      </c>
      <c r="CU69" t="str">
        <f t="shared" ref="CU69:CU76" si="80">IF($A69="","",$A69&amp;"|"&amp;$B69&amp;"|"&amp;$C69&amp;"|"&amp;$BZ69)</f>
        <v>INI-065|Cyber Privacy|Protection|CAP_BACKUP_RECOVERY</v>
      </c>
      <c r="CV69" t="str">
        <f t="shared" ref="CV69:CV76" si="81">IF($A69="","",IF(OR($BZ69="",$BZ69="CAP_GENERIC"),"CHECK","Active"))</f>
        <v>Active</v>
      </c>
      <c r="CW69" t="str">
        <f t="shared" ref="CW69:CW76" si="82">IF($A69="","",IF($BZ69="CAP_GENERIC","CHECK: generic capability fallback","OK: capability-driven"))</f>
        <v>OK: capability-driven</v>
      </c>
      <c r="CX69" t="str">
        <f t="shared" ref="CX69:CX76" si="83">IF($A69="","","Initiative ontology uses capability="&amp;$BZ69&amp;"; bridge="&amp;$CB69&amp;"; treatment="&amp;$CE69&amp;"; wording="&amp;$CK69)</f>
        <v>Initiative ontology uses capability=CAP_BACKUP_RECOVERY; bridge=BRG-016; treatment=TRT-BACKUP_RECOVERY-INITIAL; wording=IW-ALL-BACKUP_RECOVERY</v>
      </c>
    </row>
    <row r="70" spans="1:102" ht="42" customHeight="1">
      <c r="A70" s="17" t="s">
        <v>4483</v>
      </c>
      <c r="B70" s="17" t="s">
        <v>2986</v>
      </c>
      <c r="C70" s="17" t="s">
        <v>3023</v>
      </c>
      <c r="D70" s="17" t="s">
        <v>4456</v>
      </c>
      <c r="E70" s="17" t="s">
        <v>4457</v>
      </c>
      <c r="F70" s="17" t="s">
        <v>4484</v>
      </c>
      <c r="G70" s="17" t="s">
        <v>4485</v>
      </c>
      <c r="H70" s="17" t="s">
        <v>4460</v>
      </c>
      <c r="I70" s="17" t="s">
        <v>4461</v>
      </c>
      <c r="J70" s="17" t="s">
        <v>4486</v>
      </c>
      <c r="K70" s="17">
        <v>6</v>
      </c>
      <c r="L70" s="17">
        <f>IF($A70="","",COUNTIFS(_DATA_RiskInitiativeMap!$A$444:$A$867,$A70,_DATA_RiskInitiativeMap!$G$444:$G$867,"&gt;0"))</f>
        <v>8</v>
      </c>
      <c r="M70" s="17">
        <f>IF($A70="","",COUNTIFS(_DATA_RiskInitiativeMap!$A$444:$A$867,$A70,_DATA_RiskInitiativeMap!$G$444:$G$867,"&gt;0"))</f>
        <v>8</v>
      </c>
      <c r="N70" s="17">
        <f>IFERROR(AVERAGEIFS(_DATA_Assessment_Model!$H$5:$H$428,_DATA_Assessment_Model!$AW$5:$AW$428,$B70,_DATA_Assessment_Model!$B$5:$B$428,$C70),"")</f>
        <v>0</v>
      </c>
      <c r="O70" s="17">
        <f t="shared" si="56"/>
        <v>5</v>
      </c>
      <c r="P70" s="17">
        <f>IFERROR(INDEX(_DATA_Dashboard_Facts!$H$5:$H$21,MATCH($B70,_DATA_Dashboard_Facts!$A$5:$A$21,0)),"")</f>
        <v>0</v>
      </c>
      <c r="Q70" s="17">
        <f t="shared" si="57"/>
        <v>5</v>
      </c>
      <c r="R70" s="17">
        <f>IF(OR('Resilience &amp; Risk Scenario'!$B$6="",'Resilience &amp; Risk Scenario'!$B$7&lt;=0),1,IFERROR(IF(SUMIFS(_ENGINE_Crisis!$D$5:$D$208,_ENGINE_Crisis!$A$5:$A$208,'Resilience &amp; Risk Scenario'!$B$6,_ENGINE_Crisis!$B$5:$B$208,$B70)=0,1,SUMIFS(_ENGINE_Crisis!$D$5:$D$208,_ENGINE_Crisis!$A$5:$A$208,'Resilience &amp; Risk Scenario'!$B$6,_ENGINE_Crisis!$B$5:$B$208,$B70)),1))</f>
        <v>1</v>
      </c>
      <c r="S70" s="17">
        <f>IFERROR(INDEX(_ENGINE_Strategy!$A$100:$A$113,MATCH($D70,_ENGINE_Strategy!$B$100:$B$113,0)),99)</f>
        <v>1</v>
      </c>
      <c r="T70" s="17">
        <f>IFERROR(INDEX(_ENGINE_Strategy!$J$100:$J$113,MATCH($D70,_ENGINE_Strategy!$B$100:$B$113,0)),0)</f>
        <v>71</v>
      </c>
      <c r="U70" s="17">
        <v>4</v>
      </c>
      <c r="V70" s="17">
        <v>5</v>
      </c>
      <c r="W70" s="17">
        <v>4</v>
      </c>
      <c r="X70" s="17">
        <f t="shared" si="58"/>
        <v>4.6375000000000002</v>
      </c>
      <c r="Y70" s="17">
        <f>IF($P70="","",MAX(1,MIN(5,1+N($O70)*0.45+MIN(2,N($M70)*0.3)+($R70-1)*1.2+IF('Resilience &amp; Risk Scenario'!$B$7="",1,'Resilience &amp; Risk Scenario'!$B$7)*0.25)))</f>
        <v>5</v>
      </c>
      <c r="Z70" s="17">
        <f t="shared" si="59"/>
        <v>5</v>
      </c>
      <c r="AA70" s="17">
        <f t="shared" si="60"/>
        <v>3.8649999999999998</v>
      </c>
      <c r="AB70" s="17">
        <v>4</v>
      </c>
      <c r="AC70" s="17">
        <f t="shared" si="61"/>
        <v>1.38</v>
      </c>
      <c r="AD70" s="17">
        <f t="shared" si="62"/>
        <v>52</v>
      </c>
      <c r="AE70" s="17" t="str">
        <f t="shared" si="63"/>
        <v>6-12 months</v>
      </c>
      <c r="AF70" s="17" t="s">
        <v>4463</v>
      </c>
      <c r="AG70" s="17" t="s">
        <v>3502</v>
      </c>
      <c r="AH70" s="17" t="s">
        <v>4337</v>
      </c>
      <c r="AI70" s="17" t="s">
        <v>4464</v>
      </c>
      <c r="AJ70" s="17" t="s">
        <v>4487</v>
      </c>
      <c r="AK70" s="17" t="s">
        <v>4488</v>
      </c>
      <c r="AL70" s="17" t="s">
        <v>4489</v>
      </c>
      <c r="AM70" s="17" t="s">
        <v>4468</v>
      </c>
      <c r="AN70" s="17" t="s">
        <v>3937</v>
      </c>
      <c r="AO70" s="17" t="s">
        <v>3938</v>
      </c>
      <c r="AP70" s="17" t="s">
        <v>4242</v>
      </c>
      <c r="AQ70" s="17"/>
      <c r="AR70" s="17"/>
      <c r="AS70" s="14">
        <f>IFERROR((IF(SUMIFS(_REF_Model_Content!$J$1:$J$157,_REF_Model_Content!$A$1:$A$174,PV_Canonical_Industry,_REF_Model_Content!$B$1:$B$174,$B70)=0,1,SUMIFS(_REF_Model_Content!$J$1:$J$157,_REF_Model_Content!$A$1:$A$174,PV_Canonical_Industry,_REF_Model_Content!$B$1:$B$174,$B70))*IFERROR($CA70,1)),1)</f>
        <v>1</v>
      </c>
      <c r="AT70" s="14">
        <f t="shared" si="64"/>
        <v>1.38</v>
      </c>
      <c r="AU70" s="14">
        <f>IF($AT70="","",RANK($AT70,$AT$5:$AT$76,0)+COUNTIF($AT$5:AT70,$AT70)-1)</f>
        <v>52</v>
      </c>
      <c r="AV70" s="14">
        <f>IFERROR(INDEX(_DATA_Dashboard_Facts!$G$300:$G$316,MATCH($B70,_DATA_Dashboard_Facts!$A$300:$A$316,0)),"")</f>
        <v>0</v>
      </c>
      <c r="AW70" s="14" t="str">
        <f t="shared" si="65"/>
        <v>Relevance-neutral priority</v>
      </c>
      <c r="AX70">
        <f>IFERROR(INDEX('Action Plan &amp; Roadmap'!$D$59:$D$130,MATCH($A70,'Action Plan &amp; Roadmap'!$A$59:$A$130,0)),"")</f>
        <v>0</v>
      </c>
      <c r="AY70">
        <f t="shared" si="66"/>
        <v>0</v>
      </c>
      <c r="AZ70" t="s">
        <v>4343</v>
      </c>
      <c r="BA70">
        <f>IF($A70="","",COUNTIF(_DATA_RiskInitiativeMap!$A$1:$A$867,$A70))</f>
        <v>8</v>
      </c>
      <c r="BB70">
        <f>IF($A70="","",IFERROR(AVERAGEIF(_DATA_RiskInitiativeMap!$A$1:$A$867,$A70,_DATA_RiskInitiativeMap!$G$1:$G$867),0))</f>
        <v>24.030000000000005</v>
      </c>
      <c r="BC70">
        <f t="shared" si="67"/>
        <v>4.8</v>
      </c>
      <c r="BD70">
        <f t="shared" si="68"/>
        <v>4.8921000000000001</v>
      </c>
      <c r="BI70" s="17" t="str">
        <f>IFERROR(_CONFIG_Model_Settings!$B$103,"Adaptive")</f>
        <v>Fragile</v>
      </c>
      <c r="BJ70" s="17">
        <f>IFERROR(INDEX(_CONFIG_Model_Settings!$B$109:$B$113,MATCH($BI70,_CONFIG_Model_Settings!$A$109:$A$113,0)),0.3)</f>
        <v>0.2</v>
      </c>
      <c r="BK70" s="17">
        <f>IFERROR(INDEX(_CONFIG_Model_Settings!$C$109:$C$113,MATCH($BI70,_CONFIG_Model_Settings!$A$109:$A$113,0)),0.2)</f>
        <v>0.3</v>
      </c>
      <c r="BL70" s="17">
        <f>IFERROR(INDEX(_CONFIG_Model_Settings!$D$109:$D$113,MATCH($BI70,_CONFIG_Model_Settings!$A$109:$A$113,0)),0.25)</f>
        <v>0.4</v>
      </c>
      <c r="BM70" s="17">
        <f>IFERROR(INDEX(_CONFIG_Model_Settings!$E$109:$E$113,MATCH($BI70,_CONFIG_Model_Settings!$A$109:$A$113,0)),0.25)</f>
        <v>0.1</v>
      </c>
      <c r="BN70" s="17">
        <f>IFERROR(INDEX(_CONFIG_Model_Settings!$B$117:$B$123,MATCH(_CONFIG_Model_Settings!$B$104,_CONFIG_Model_Settings!$A$117:$A$123,0)),1)</f>
        <v>1</v>
      </c>
      <c r="BO70" s="17">
        <f>IFERROR(INDEX(_CONFIG_Model_Settings!$C$117:$C$123,MATCH(_CONFIG_Model_Settings!$B$104,_CONFIG_Model_Settings!$A$117:$A$123,0)),1)</f>
        <v>1</v>
      </c>
      <c r="BP70" s="17">
        <f>IFERROR(INDEX(_CONFIG_Model_Settings!$D$117:$D$123,MATCH(_CONFIG_Model_Settings!$B$104,_CONFIG_Model_Settings!$A$117:$A$123,0)),1)</f>
        <v>1</v>
      </c>
      <c r="BQ70" s="17">
        <f>IFERROR(INDEX(_CONFIG_Model_Settings!$E$117:$E$123,MATCH(_CONFIG_Model_Settings!$B$104,_CONFIG_Model_Settings!$A$117:$A$123,0)),1)</f>
        <v>1</v>
      </c>
      <c r="BR70" s="17">
        <f>IF(OR($A70="",$P70=""),"",MIN(5,IFERROR(SUMIF(_DATA_RiskInitiativeMap!$A$1:$A$867,$A70,_DATA_RiskInitiativeMap!$K$1:$K$867)/MAX(1,_CONFIG_Model_Settings!$B$166),0)))</f>
        <v>5</v>
      </c>
      <c r="BS70" s="17">
        <f t="shared" si="69"/>
        <v>5.52</v>
      </c>
      <c r="BT70" s="17">
        <f t="shared" si="70"/>
        <v>4</v>
      </c>
      <c r="BU70" s="17">
        <f t="shared" si="71"/>
        <v>1.38</v>
      </c>
      <c r="BV70" s="17">
        <f>IF(OR($P70="",$BU70="",$AY70="Done",$AY70="Not applicable"),"",ROUND($BU70*N($AS70)*IF(OR('Resilience &amp; Risk Scenario'!$B$6="",'Resilience &amp; Risk Scenario'!$B$7&lt;=0),1,IFERROR(1+MIN(0.75,INDEX('Resilience &amp; Risk Scenario'!$E$21:$E$37,MATCH($B70,'Resilience &amp; Risk Scenario'!$B$21:$B$37,0))/10),1)),2))</f>
        <v>1.38</v>
      </c>
      <c r="BW70" s="17">
        <f>IF($BV70="","",RANK($BV70,$BV$5:$BV$76,0)+COUNTIF($BV$5:$BV70,$BV70)-1)</f>
        <v>52</v>
      </c>
      <c r="BX70" s="17" t="str">
        <f t="shared" si="72"/>
        <v>6-12 months</v>
      </c>
      <c r="BY70" t="str">
        <f>IFERROR(IF($A70="","","P2: "&amp;$BI70&amp;" posture; objective="&amp;IF(_CONFIG_Model_Settings!$B$104="","Neutral/default",_CONFIG_Model_Settings!$B$104)&amp;"; relevance="&amp;ROUND(N($AS70),2)&amp;"; scenario/domain boost="&amp;ROUND(IF(OR('Resilience &amp; Risk Scenario'!$B$6="",'Resilience &amp; Risk Scenario'!$B$7&lt;=0),1,IFERROR(1+MIN(0.75,INDEX('Resilience &amp; Risk Scenario'!$E$21:$E$37,MATCH($B70,'Resilience &amp; Risk Scenario'!$B$21:$B$37,0))/10),1)),2)&amp;"; financial score="&amp;ROUND(N($BR70),1)&amp;"; CoD="&amp;$BS70&amp;IF($CL70&lt;&gt;"","; wording="&amp;$CL70,"")),"")</f>
        <v>P2: Fragile posture; objective=Neutral/default; relevance=1; scenario/domain boost=1; financial score=5; CoD=5.52; wording=Strengthen Incident response</v>
      </c>
      <c r="BZ70" t="str">
        <f>IFERROR(INDEX(_REF_Capability_Bridge!$D:$D,MATCH($B70&amp;"|"&amp;$C70,_REF_Capability_Bridge!$J:$J,0)),IFERROR(INDEX(_REF_Capability_Bridge!$D:$D,MATCH($B70&amp;"|",_REF_Capability_Bridge!$J:$J,0)),"CAP_GENERIC"))</f>
        <v>CAP_INCIDENT_RESPONSE</v>
      </c>
      <c r="CA70">
        <f>IFERROR(IFERROR(INDEX(_ENGINE_Relevance!$L:$L,MATCH($BZ70,_ENGINE_Relevance!$B:$B,0)),1),1)</f>
        <v>1</v>
      </c>
      <c r="CB70" t="str">
        <f>IFERROR(INDEX(_REF_Capability_Bridge!$A:$A,MATCH($B70&amp;"|"&amp;$C70,_REF_Capability_Bridge!$J:$J,0)),IFERROR(INDEX(_REF_Capability_Bridge!$A:$A,MATCH($B70&amp;"|",_REF_Capability_Bridge!$J:$J,0)),"No bridge"))</f>
        <v>BRG-013</v>
      </c>
      <c r="CC70" t="str">
        <f t="shared" si="73"/>
        <v>Capability relevance neutral</v>
      </c>
      <c r="CD70" t="str">
        <f t="shared" si="74"/>
        <v>Initial / absent</v>
      </c>
      <c r="CE70" t="str">
        <f>IF($A70="","",IFERROR(INDEX(_REF_Treatment_Library!$A$2:$A$296,MATCH(1,INDEX((_REF_Treatment_Library!$B$2:$B$296=$BZ70)*(_REF_Treatment_Library!$C$2:$C$296=PV_Canonical_Industry)*(_REF_Treatment_Library!$E$2:$E$296&lt;=N($N70))*(_REF_Treatment_Library!$F$2:$F$296&gt;=N($N70))*(_REF_Treatment_Library!$O$2:$O$296="Yes"),0),0)),IFERROR(INDEX(_REF_Treatment_Library!$A$2:$A$296,MATCH(1,INDEX((_REF_Treatment_Library!$B$2:$B$296=$BZ70)*(_REF_Treatment_Library!$C$2:$C$296="All")*(_REF_Treatment_Library!$E$2:$E$296&lt;=N($N70))*(_REF_Treatment_Library!$F$2:$F$296&gt;=N($N70))*(_REF_Treatment_Library!$O$2:$O$296="Yes"),0),0)),"")))</f>
        <v>TRT-INCIDENT_RESPONSE-INITIAL</v>
      </c>
      <c r="CF70" t="str">
        <f>IF($CE70="","",IFERROR(INDEX(_REF_Treatment_Library!$H$2:$H$296,MATCH($CE70,_REF_Treatment_Library!$A$2:$A$296,0)),""))</f>
        <v>Establish</v>
      </c>
      <c r="CG70" t="str">
        <f>IF($CE70="","",IFERROR(INDEX(_REF_Treatment_Library!$I$2:$I$296,MATCH($CE70,_REF_Treatment_Library!$A$2:$A$296,0)),""))</f>
        <v>Establish baseline controls for Incident response</v>
      </c>
      <c r="CH70" t="str">
        <f>IF($CE70="","",IFERROR(INDEX(_REF_Treatment_Library!$K$2:$K$296,MATCH($CE70,_REF_Treatment_Library!$A$2:$A$296,0)),""))</f>
        <v>Named owner, baseline process, minimum control checklist, first evidence package</v>
      </c>
      <c r="CI70" t="str">
        <f>IF($CE70="","",IFERROR(INDEX(_REF_Treatment_Library!$L$2:$L$296,MATCH($CE70,_REF_Treatment_Library!$A$2:$A$296,0)),""))</f>
        <v>Owner assigned; baseline evidence coverage; open critical gaps</v>
      </c>
      <c r="CJ70" t="str">
        <f t="shared" si="75"/>
        <v>Treatment by capability=CAP_INCIDENT_RESPONSE; band=Initial / absent; score=0.0; treatment=Establish</v>
      </c>
      <c r="CK70" t="str">
        <f>IF($A70="","",IFERROR(INDEX(_REF_Industry_Wording!$A$2:$A$70,MATCH(1,INDEX((_REF_Industry_Wording!$B$2:$B$70=$BZ70)*(_REF_Industry_Wording!$C$2:$C$70=PV_Canonical_Industry)*(_REF_Industry_Wording!$K$2:$K$70="Yes"),0),0)),IFERROR(INDEX(_REF_Industry_Wording!$A$2:$A$70,MATCH(1,INDEX((_REF_Industry_Wording!$B$2:$B$70=$BZ70)*(_REF_Industry_Wording!$C$2:$C$70="All")*(_REF_Industry_Wording!$K$2:$K$70="Yes"),0),0)),"")))</f>
        <v>IW-ALL-INCIDENT_RESPONSE</v>
      </c>
      <c r="CL70" t="str">
        <f>IF($CK70="","",IFERROR(INDEX(_REF_Industry_Wording!$F$2:$F$70,MATCH($CK70,_REF_Industry_Wording!$A$2:$A$70,0)),""))</f>
        <v>Strengthen Incident response</v>
      </c>
      <c r="CM70" t="str">
        <f>IF($CK70="","",IFERROR(INDEX(_REF_Industry_Wording!$G$2:$G$70,MATCH($CK70,_REF_Industry_Wording!$A$2:$A$70,0)),""))</f>
        <v>Strengthen Incident response using the selected maturity treatment, crisis scenario and evidence requirements.</v>
      </c>
      <c r="CN70" t="str">
        <f>IF($CK70="","",IFERROR(INDEX(_REF_Industry_Wording!$H$2:$H$70,MATCH($CK70,_REF_Industry_Wording!$A$2:$A$70,0)),""))</f>
        <v>Incident response</v>
      </c>
      <c r="CO70">
        <f>IF($CK70="","",IFERROR(INDEX(_REF_Industry_Wording!$I$2:$I$70,MATCH($CK70,_REF_Industry_Wording!$A$2:$A$70,0)),""))</f>
        <v>0</v>
      </c>
      <c r="CP70" t="str">
        <f>IF($CK70="","",IFERROR(INDEX(_REF_Industry_Wording!$J$2:$J$70,MATCH($CK70,_REF_Industry_Wording!$A$2:$A$70,0)),""))</f>
        <v>Incident response</v>
      </c>
      <c r="CQ70" t="str">
        <f t="shared" si="76"/>
        <v>Wording by industry=0; capability=CAP_INCIDENT_RESPONSE; title=Strengthen Incident response</v>
      </c>
      <c r="CR70" t="str">
        <f t="shared" si="77"/>
        <v>INIT-ONT-0066</v>
      </c>
      <c r="CS70">
        <f t="shared" si="78"/>
        <v>70</v>
      </c>
      <c r="CT70" t="str">
        <f t="shared" si="79"/>
        <v>CAP_INCIDENT_RESPONSE</v>
      </c>
      <c r="CU70" t="str">
        <f t="shared" si="80"/>
        <v>INI-066|Cyber Privacy|Detection and response|CAP_INCIDENT_RESPONSE</v>
      </c>
      <c r="CV70" t="str">
        <f t="shared" si="81"/>
        <v>Active</v>
      </c>
      <c r="CW70" t="str">
        <f t="shared" si="82"/>
        <v>OK: capability-driven</v>
      </c>
      <c r="CX70" t="str">
        <f t="shared" si="83"/>
        <v>Initiative ontology uses capability=CAP_INCIDENT_RESPONSE; bridge=BRG-013; treatment=TRT-INCIDENT_RESPONSE-INITIAL; wording=IW-ALL-INCIDENT_RESPONSE</v>
      </c>
    </row>
    <row r="71" spans="1:102" ht="42" customHeight="1">
      <c r="A71" s="17" t="s">
        <v>4490</v>
      </c>
      <c r="B71" s="17" t="s">
        <v>2986</v>
      </c>
      <c r="C71" s="17" t="s">
        <v>3027</v>
      </c>
      <c r="D71" s="17" t="s">
        <v>4456</v>
      </c>
      <c r="E71" s="17" t="s">
        <v>4457</v>
      </c>
      <c r="F71" s="17" t="s">
        <v>4491</v>
      </c>
      <c r="G71" s="17" t="s">
        <v>4492</v>
      </c>
      <c r="H71" s="17" t="s">
        <v>4460</v>
      </c>
      <c r="I71" s="17" t="s">
        <v>4461</v>
      </c>
      <c r="J71" s="17" t="s">
        <v>4493</v>
      </c>
      <c r="K71" s="17">
        <v>2</v>
      </c>
      <c r="L71" s="17">
        <f>IF($A71="","",COUNTIFS(_DATA_RiskInitiativeMap!$A$444:$A$867,$A71,_DATA_RiskInitiativeMap!$G$444:$G$867,"&gt;0"))</f>
        <v>2</v>
      </c>
      <c r="M71" s="17">
        <f>IF($A71="","",COUNTIFS(_DATA_RiskInitiativeMap!$A$444:$A$867,$A71,_DATA_RiskInitiativeMap!$G$444:$G$867,"&gt;0"))</f>
        <v>2</v>
      </c>
      <c r="N71" s="17">
        <f>IFERROR(AVERAGEIFS(_DATA_Assessment_Model!$H$5:$H$428,_DATA_Assessment_Model!$AW$5:$AW$428,$B71,_DATA_Assessment_Model!$B$5:$B$428,$C71),"")</f>
        <v>0</v>
      </c>
      <c r="O71" s="17">
        <f t="shared" si="56"/>
        <v>5</v>
      </c>
      <c r="P71" s="17">
        <f>IFERROR(INDEX(_DATA_Dashboard_Facts!$H$5:$H$21,MATCH($B71,_DATA_Dashboard_Facts!$A$5:$A$21,0)),"")</f>
        <v>0</v>
      </c>
      <c r="Q71" s="17">
        <f t="shared" si="57"/>
        <v>5</v>
      </c>
      <c r="R71" s="17">
        <f>IF(OR('Resilience &amp; Risk Scenario'!$B$6="",'Resilience &amp; Risk Scenario'!$B$7&lt;=0),1,IFERROR(IF(SUMIFS(_ENGINE_Crisis!$D$5:$D$208,_ENGINE_Crisis!$A$5:$A$208,'Resilience &amp; Risk Scenario'!$B$6,_ENGINE_Crisis!$B$5:$B$208,$B71)=0,1,SUMIFS(_ENGINE_Crisis!$D$5:$D$208,_ENGINE_Crisis!$A$5:$A$208,'Resilience &amp; Risk Scenario'!$B$6,_ENGINE_Crisis!$B$5:$B$208,$B71)),1))</f>
        <v>1</v>
      </c>
      <c r="S71" s="17">
        <f>IFERROR(INDEX(_ENGINE_Strategy!$A$100:$A$113,MATCH($D71,_ENGINE_Strategy!$B$100:$B$113,0)),99)</f>
        <v>1</v>
      </c>
      <c r="T71" s="17">
        <f>IFERROR(INDEX(_ENGINE_Strategy!$J$100:$J$113,MATCH($D71,_ENGINE_Strategy!$B$100:$B$113,0)),0)</f>
        <v>71</v>
      </c>
      <c r="U71" s="17">
        <v>4</v>
      </c>
      <c r="V71" s="17">
        <v>5</v>
      </c>
      <c r="W71" s="17">
        <v>4</v>
      </c>
      <c r="X71" s="17">
        <f t="shared" si="58"/>
        <v>4.6375000000000002</v>
      </c>
      <c r="Y71" s="17">
        <f>IF($P71="","",MAX(1,MIN(5,1+N($O71)*0.45+MIN(2,N($M71)*0.3)+($R71-1)*1.2+IF('Resilience &amp; Risk Scenario'!$B$7="",1,'Resilience &amp; Risk Scenario'!$B$7)*0.25)))</f>
        <v>4.0999999999999996</v>
      </c>
      <c r="Z71" s="17">
        <f t="shared" si="59"/>
        <v>5</v>
      </c>
      <c r="AA71" s="17">
        <f t="shared" si="60"/>
        <v>3.8649999999999998</v>
      </c>
      <c r="AB71" s="17">
        <v>4</v>
      </c>
      <c r="AC71" s="17">
        <f t="shared" si="61"/>
        <v>1.32</v>
      </c>
      <c r="AD71" s="17">
        <f t="shared" si="62"/>
        <v>62</v>
      </c>
      <c r="AE71" s="17" t="str">
        <f t="shared" si="63"/>
        <v>12+ months</v>
      </c>
      <c r="AF71" s="17" t="s">
        <v>4463</v>
      </c>
      <c r="AG71" s="17" t="s">
        <v>3502</v>
      </c>
      <c r="AH71" s="17" t="s">
        <v>4337</v>
      </c>
      <c r="AI71" s="17" t="s">
        <v>4464</v>
      </c>
      <c r="AJ71" s="17" t="s">
        <v>4494</v>
      </c>
      <c r="AK71" s="17" t="s">
        <v>4495</v>
      </c>
      <c r="AL71" s="17" t="s">
        <v>4496</v>
      </c>
      <c r="AM71" s="17" t="s">
        <v>4468</v>
      </c>
      <c r="AN71" s="17" t="s">
        <v>3937</v>
      </c>
      <c r="AO71" s="17" t="s">
        <v>3938</v>
      </c>
      <c r="AP71" s="17" t="s">
        <v>4242</v>
      </c>
      <c r="AQ71" s="17"/>
      <c r="AR71" s="17"/>
      <c r="AS71" s="14">
        <f>IFERROR((IF(SUMIFS(_REF_Model_Content!$J$1:$J$157,_REF_Model_Content!$A$1:$A$174,PV_Canonical_Industry,_REF_Model_Content!$B$1:$B$174,$B71)=0,1,SUMIFS(_REF_Model_Content!$J$1:$J$157,_REF_Model_Content!$A$1:$A$174,PV_Canonical_Industry,_REF_Model_Content!$B$1:$B$174,$B71))*IFERROR($CA71,1)),1)</f>
        <v>1</v>
      </c>
      <c r="AT71" s="14">
        <f t="shared" si="64"/>
        <v>1.32</v>
      </c>
      <c r="AU71" s="14">
        <f>IF($AT71="","",RANK($AT71,$AT$5:$AT$76,0)+COUNTIF($AT$5:AT71,$AT71)-1)</f>
        <v>62</v>
      </c>
      <c r="AV71" s="14">
        <f>IFERROR(INDEX(_DATA_Dashboard_Facts!$G$300:$G$316,MATCH($B71,_DATA_Dashboard_Facts!$A$300:$A$316,0)),"")</f>
        <v>0</v>
      </c>
      <c r="AW71" s="14" t="str">
        <f t="shared" si="65"/>
        <v>Relevance-neutral priority</v>
      </c>
      <c r="AX71">
        <f>IFERROR(INDEX('Action Plan &amp; Roadmap'!$D$59:$D$130,MATCH($A71,'Action Plan &amp; Roadmap'!$A$59:$A$130,0)),"")</f>
        <v>0</v>
      </c>
      <c r="AY71">
        <f t="shared" si="66"/>
        <v>0</v>
      </c>
      <c r="AZ71" t="s">
        <v>4343</v>
      </c>
      <c r="BA71">
        <f>IF($A71="","",COUNTIF(_DATA_RiskInitiativeMap!$A$1:$A$867,$A71))</f>
        <v>2</v>
      </c>
      <c r="BB71">
        <f>IF($A71="","",IFERROR(AVERAGEIF(_DATA_RiskInitiativeMap!$A$1:$A$867,$A71,_DATA_RiskInitiativeMap!$G$1:$G$867),0))</f>
        <v>25.44</v>
      </c>
      <c r="BC71">
        <f t="shared" si="67"/>
        <v>4.8</v>
      </c>
      <c r="BD71">
        <f t="shared" si="68"/>
        <v>4.96</v>
      </c>
      <c r="BI71" s="17" t="str">
        <f>IFERROR(_CONFIG_Model_Settings!$B$103,"Adaptive")</f>
        <v>Fragile</v>
      </c>
      <c r="BJ71" s="17">
        <f>IFERROR(INDEX(_CONFIG_Model_Settings!$B$109:$B$113,MATCH($BI71,_CONFIG_Model_Settings!$A$109:$A$113,0)),0.3)</f>
        <v>0.2</v>
      </c>
      <c r="BK71" s="17">
        <f>IFERROR(INDEX(_CONFIG_Model_Settings!$C$109:$C$113,MATCH($BI71,_CONFIG_Model_Settings!$A$109:$A$113,0)),0.2)</f>
        <v>0.3</v>
      </c>
      <c r="BL71" s="17">
        <f>IFERROR(INDEX(_CONFIG_Model_Settings!$D$109:$D$113,MATCH($BI71,_CONFIG_Model_Settings!$A$109:$A$113,0)),0.25)</f>
        <v>0.4</v>
      </c>
      <c r="BM71" s="17">
        <f>IFERROR(INDEX(_CONFIG_Model_Settings!$E$109:$E$113,MATCH($BI71,_CONFIG_Model_Settings!$A$109:$A$113,0)),0.25)</f>
        <v>0.1</v>
      </c>
      <c r="BN71" s="17">
        <f>IFERROR(INDEX(_CONFIG_Model_Settings!$B$117:$B$123,MATCH(_CONFIG_Model_Settings!$B$104,_CONFIG_Model_Settings!$A$117:$A$123,0)),1)</f>
        <v>1</v>
      </c>
      <c r="BO71" s="17">
        <f>IFERROR(INDEX(_CONFIG_Model_Settings!$C$117:$C$123,MATCH(_CONFIG_Model_Settings!$B$104,_CONFIG_Model_Settings!$A$117:$A$123,0)),1)</f>
        <v>1</v>
      </c>
      <c r="BP71" s="17">
        <f>IFERROR(INDEX(_CONFIG_Model_Settings!$D$117:$D$123,MATCH(_CONFIG_Model_Settings!$B$104,_CONFIG_Model_Settings!$A$117:$A$123,0)),1)</f>
        <v>1</v>
      </c>
      <c r="BQ71" s="17">
        <f>IFERROR(INDEX(_CONFIG_Model_Settings!$E$117:$E$123,MATCH(_CONFIG_Model_Settings!$B$104,_CONFIG_Model_Settings!$A$117:$A$123,0)),1)</f>
        <v>1</v>
      </c>
      <c r="BR71" s="17">
        <f>IF(OR($A71="",$P71=""),"",MIN(5,IFERROR(SUMIF(_DATA_RiskInitiativeMap!$A$1:$A$867,$A71,_DATA_RiskInitiativeMap!$K$1:$K$867)/MAX(1,_CONFIG_Model_Settings!$B$166),0)))</f>
        <v>5</v>
      </c>
      <c r="BS71" s="17">
        <f t="shared" si="69"/>
        <v>5.28</v>
      </c>
      <c r="BT71" s="17">
        <f t="shared" si="70"/>
        <v>4</v>
      </c>
      <c r="BU71" s="17">
        <f t="shared" si="71"/>
        <v>1.32</v>
      </c>
      <c r="BV71" s="17">
        <f>IF(OR($P71="",$BU71="",$AY71="Done",$AY71="Not applicable"),"",ROUND($BU71*N($AS71)*IF(OR('Resilience &amp; Risk Scenario'!$B$6="",'Resilience &amp; Risk Scenario'!$B$7&lt;=0),1,IFERROR(1+MIN(0.75,INDEX('Resilience &amp; Risk Scenario'!$E$21:$E$37,MATCH($B71,'Resilience &amp; Risk Scenario'!$B$21:$B$37,0))/10),1)),2))</f>
        <v>1.32</v>
      </c>
      <c r="BW71" s="17">
        <f>IF($BV71="","",RANK($BV71,$BV$5:$BV$76,0)+COUNTIF($BV$5:$BV71,$BV71)-1)</f>
        <v>62</v>
      </c>
      <c r="BX71" s="17" t="str">
        <f t="shared" si="72"/>
        <v>12+ months</v>
      </c>
      <c r="BY71" t="str">
        <f>IFERROR(IF($A71="","","P2: "&amp;$BI71&amp;" posture; objective="&amp;IF(_CONFIG_Model_Settings!$B$104="","Neutral/default",_CONFIG_Model_Settings!$B$104)&amp;"; relevance="&amp;ROUND(N($AS71),2)&amp;"; scenario/domain boost="&amp;ROUND(IF(OR('Resilience &amp; Risk Scenario'!$B$6="",'Resilience &amp; Risk Scenario'!$B$7&lt;=0),1,IFERROR(1+MIN(0.75,INDEX('Resilience &amp; Risk Scenario'!$E$21:$E$37,MATCH($B71,'Resilience &amp; Risk Scenario'!$B$21:$B$37,0))/10),1)),2)&amp;"; financial score="&amp;ROUND(N($BR71),1)&amp;"; CoD="&amp;$BS71&amp;IF($CL71&lt;&gt;"","; wording="&amp;$CL71,"")),"")</f>
        <v>P2: Fragile posture; objective=Neutral/default; relevance=1; scenario/domain boost=1; financial score=5; CoD=5.28; wording=Strengthen Product security</v>
      </c>
      <c r="BZ71" t="str">
        <f>IFERROR(INDEX(_REF_Capability_Bridge!$D:$D,MATCH($B71&amp;"|"&amp;$C71,_REF_Capability_Bridge!$J:$J,0)),IFERROR(INDEX(_REF_Capability_Bridge!$D:$D,MATCH($B71&amp;"|",_REF_Capability_Bridge!$J:$J,0)),"CAP_GENERIC"))</f>
        <v>CAP_PRODUCT_SECURITY</v>
      </c>
      <c r="CA71">
        <f>IFERROR(IFERROR(INDEX(_ENGINE_Relevance!$L:$L,MATCH($BZ71,_ENGINE_Relevance!$B:$B,0)),1),1)</f>
        <v>1</v>
      </c>
      <c r="CB71" t="str">
        <f>IFERROR(INDEX(_REF_Capability_Bridge!$A:$A,MATCH($B71&amp;"|"&amp;$C71,_REF_Capability_Bridge!$J:$J,0)),IFERROR(INDEX(_REF_Capability_Bridge!$A:$A,MATCH($B71&amp;"|",_REF_Capability_Bridge!$J:$J,0)),"No bridge"))</f>
        <v>BRG-012</v>
      </c>
      <c r="CC71" t="str">
        <f t="shared" si="73"/>
        <v>Capability relevance neutral</v>
      </c>
      <c r="CD71" t="str">
        <f t="shared" si="74"/>
        <v>Initial / absent</v>
      </c>
      <c r="CE71" t="str">
        <f>IF($A71="","",IFERROR(INDEX(_REF_Treatment_Library!$A$2:$A$296,MATCH(1,INDEX((_REF_Treatment_Library!$B$2:$B$296=$BZ71)*(_REF_Treatment_Library!$C$2:$C$296=PV_Canonical_Industry)*(_REF_Treatment_Library!$E$2:$E$296&lt;=N($N71))*(_REF_Treatment_Library!$F$2:$F$296&gt;=N($N71))*(_REF_Treatment_Library!$O$2:$O$296="Yes"),0),0)),IFERROR(INDEX(_REF_Treatment_Library!$A$2:$A$296,MATCH(1,INDEX((_REF_Treatment_Library!$B$2:$B$296=$BZ71)*(_REF_Treatment_Library!$C$2:$C$296="All")*(_REF_Treatment_Library!$E$2:$E$296&lt;=N($N71))*(_REF_Treatment_Library!$F$2:$F$296&gt;=N($N71))*(_REF_Treatment_Library!$O$2:$O$296="Yes"),0),0)),"")))</f>
        <v>TRT-PRODUCT_SECURITY-INITIAL</v>
      </c>
      <c r="CF71" t="str">
        <f>IF($CE71="","",IFERROR(INDEX(_REF_Treatment_Library!$H$2:$H$296,MATCH($CE71,_REF_Treatment_Library!$A$2:$A$296,0)),""))</f>
        <v>Establish</v>
      </c>
      <c r="CG71" t="str">
        <f>IF($CE71="","",IFERROR(INDEX(_REF_Treatment_Library!$I$2:$I$296,MATCH($CE71,_REF_Treatment_Library!$A$2:$A$296,0)),""))</f>
        <v>Establish baseline controls for Product security</v>
      </c>
      <c r="CH71" t="str">
        <f>IF($CE71="","",IFERROR(INDEX(_REF_Treatment_Library!$K$2:$K$296,MATCH($CE71,_REF_Treatment_Library!$A$2:$A$296,0)),""))</f>
        <v>Named owner, baseline process, minimum control checklist, first evidence package</v>
      </c>
      <c r="CI71" t="str">
        <f>IF($CE71="","",IFERROR(INDEX(_REF_Treatment_Library!$L$2:$L$296,MATCH($CE71,_REF_Treatment_Library!$A$2:$A$296,0)),""))</f>
        <v>Owner assigned; baseline evidence coverage; open critical gaps</v>
      </c>
      <c r="CJ71" t="str">
        <f t="shared" si="75"/>
        <v>Treatment by capability=CAP_PRODUCT_SECURITY; band=Initial / absent; score=0.0; treatment=Establish</v>
      </c>
      <c r="CK71" t="str">
        <f>IF($A71="","",IFERROR(INDEX(_REF_Industry_Wording!$A$2:$A$70,MATCH(1,INDEX((_REF_Industry_Wording!$B$2:$B$70=$BZ71)*(_REF_Industry_Wording!$C$2:$C$70=PV_Canonical_Industry)*(_REF_Industry_Wording!$K$2:$K$70="Yes"),0),0)),IFERROR(INDEX(_REF_Industry_Wording!$A$2:$A$70,MATCH(1,INDEX((_REF_Industry_Wording!$B$2:$B$70=$BZ71)*(_REF_Industry_Wording!$C$2:$C$70="All")*(_REF_Industry_Wording!$K$2:$K$70="Yes"),0),0)),"")))</f>
        <v>IW-ALL-PRODUCT_SECURITY</v>
      </c>
      <c r="CL71" t="str">
        <f>IF($CK71="","",IFERROR(INDEX(_REF_Industry_Wording!$F$2:$F$70,MATCH($CK71,_REF_Industry_Wording!$A$2:$A$70,0)),""))</f>
        <v>Strengthen Product security</v>
      </c>
      <c r="CM71" t="str">
        <f>IF($CK71="","",IFERROR(INDEX(_REF_Industry_Wording!$G$2:$G$70,MATCH($CK71,_REF_Industry_Wording!$A$2:$A$70,0)),""))</f>
        <v>Strengthen Product security using the selected maturity treatment, crisis scenario and evidence requirements.</v>
      </c>
      <c r="CN71" t="str">
        <f>IF($CK71="","",IFERROR(INDEX(_REF_Industry_Wording!$H$2:$H$70,MATCH($CK71,_REF_Industry_Wording!$A$2:$A$70,0)),""))</f>
        <v>Product security</v>
      </c>
      <c r="CO71">
        <f>IF($CK71="","",IFERROR(INDEX(_REF_Industry_Wording!$I$2:$I$70,MATCH($CK71,_REF_Industry_Wording!$A$2:$A$70,0)),""))</f>
        <v>0</v>
      </c>
      <c r="CP71" t="str">
        <f>IF($CK71="","",IFERROR(INDEX(_REF_Industry_Wording!$J$2:$J$70,MATCH($CK71,_REF_Industry_Wording!$A$2:$A$70,0)),""))</f>
        <v>Product security</v>
      </c>
      <c r="CQ71" t="str">
        <f t="shared" si="76"/>
        <v>Wording by industry=0; capability=CAP_PRODUCT_SECURITY; title=Strengthen Product security</v>
      </c>
      <c r="CR71" t="str">
        <f t="shared" si="77"/>
        <v>INIT-ONT-0067</v>
      </c>
      <c r="CS71">
        <f t="shared" si="78"/>
        <v>71</v>
      </c>
      <c r="CT71" t="str">
        <f t="shared" si="79"/>
        <v>CAP_PRODUCT_SECURITY</v>
      </c>
      <c r="CU71" t="str">
        <f t="shared" si="80"/>
        <v>INI-067|Cyber Privacy|Application and OT security|CAP_PRODUCT_SECURITY</v>
      </c>
      <c r="CV71" t="str">
        <f t="shared" si="81"/>
        <v>Active</v>
      </c>
      <c r="CW71" t="str">
        <f t="shared" si="82"/>
        <v>OK: capability-driven</v>
      </c>
      <c r="CX71" t="str">
        <f t="shared" si="83"/>
        <v>Initiative ontology uses capability=CAP_PRODUCT_SECURITY; bridge=BRG-012; treatment=TRT-PRODUCT_SECURITY-INITIAL; wording=IW-ALL-PRODUCT_SECURITY</v>
      </c>
    </row>
    <row r="72" spans="1:102" ht="42" customHeight="1">
      <c r="A72" s="17" t="s">
        <v>4497</v>
      </c>
      <c r="B72" s="17" t="s">
        <v>2986</v>
      </c>
      <c r="C72" s="17" t="s">
        <v>3031</v>
      </c>
      <c r="D72" s="17" t="s">
        <v>4456</v>
      </c>
      <c r="E72" s="17" t="s">
        <v>4457</v>
      </c>
      <c r="F72" s="17" t="s">
        <v>4498</v>
      </c>
      <c r="G72" s="17" t="s">
        <v>4499</v>
      </c>
      <c r="H72" s="17" t="s">
        <v>4460</v>
      </c>
      <c r="I72" s="17" t="s">
        <v>4461</v>
      </c>
      <c r="J72" s="17" t="s">
        <v>4500</v>
      </c>
      <c r="K72" s="17">
        <v>2</v>
      </c>
      <c r="L72" s="17">
        <f>IF($A72="","",COUNTIFS(_DATA_RiskInitiativeMap!$A$444:$A$867,$A72,_DATA_RiskInitiativeMap!$G$444:$G$867,"&gt;0"))</f>
        <v>2</v>
      </c>
      <c r="M72" s="17">
        <f>IF($A72="","",COUNTIFS(_DATA_RiskInitiativeMap!$A$444:$A$867,$A72,_DATA_RiskInitiativeMap!$G$444:$G$867,"&gt;0"))</f>
        <v>2</v>
      </c>
      <c r="N72" s="17">
        <f>IFERROR(AVERAGEIFS(_DATA_Assessment_Model!$H$5:$H$428,_DATA_Assessment_Model!$AW$5:$AW$428,$B72,_DATA_Assessment_Model!$B$5:$B$428,$C72),"")</f>
        <v>0</v>
      </c>
      <c r="O72" s="17">
        <f t="shared" si="56"/>
        <v>5</v>
      </c>
      <c r="P72" s="17">
        <f>IFERROR(INDEX(_DATA_Dashboard_Facts!$H$5:$H$21,MATCH($B72,_DATA_Dashboard_Facts!$A$5:$A$21,0)),"")</f>
        <v>0</v>
      </c>
      <c r="Q72" s="17">
        <f t="shared" si="57"/>
        <v>5</v>
      </c>
      <c r="R72" s="17">
        <f>IF(OR('Resilience &amp; Risk Scenario'!$B$6="",'Resilience &amp; Risk Scenario'!$B$7&lt;=0),1,IFERROR(IF(SUMIFS(_ENGINE_Crisis!$D$5:$D$208,_ENGINE_Crisis!$A$5:$A$208,'Resilience &amp; Risk Scenario'!$B$6,_ENGINE_Crisis!$B$5:$B$208,$B72)=0,1,SUMIFS(_ENGINE_Crisis!$D$5:$D$208,_ENGINE_Crisis!$A$5:$A$208,'Resilience &amp; Risk Scenario'!$B$6,_ENGINE_Crisis!$B$5:$B$208,$B72)),1))</f>
        <v>1</v>
      </c>
      <c r="S72" s="17">
        <f>IFERROR(INDEX(_ENGINE_Strategy!$A$100:$A$113,MATCH($D72,_ENGINE_Strategy!$B$100:$B$113,0)),99)</f>
        <v>1</v>
      </c>
      <c r="T72" s="17">
        <f>IFERROR(INDEX(_ENGINE_Strategy!$J$100:$J$113,MATCH($D72,_ENGINE_Strategy!$B$100:$B$113,0)),0)</f>
        <v>71</v>
      </c>
      <c r="U72" s="17">
        <v>4</v>
      </c>
      <c r="V72" s="17">
        <v>5</v>
      </c>
      <c r="W72" s="17">
        <v>4</v>
      </c>
      <c r="X72" s="17">
        <f t="shared" si="58"/>
        <v>4.6375000000000002</v>
      </c>
      <c r="Y72" s="17">
        <f>IF($P72="","",MAX(1,MIN(5,1+N($O72)*0.45+MIN(2,N($M72)*0.3)+($R72-1)*1.2+IF('Resilience &amp; Risk Scenario'!$B$7="",1,'Resilience &amp; Risk Scenario'!$B$7)*0.25)))</f>
        <v>4.0999999999999996</v>
      </c>
      <c r="Z72" s="17">
        <f t="shared" si="59"/>
        <v>5</v>
      </c>
      <c r="AA72" s="17">
        <f t="shared" si="60"/>
        <v>3.8649999999999998</v>
      </c>
      <c r="AB72" s="17">
        <v>4</v>
      </c>
      <c r="AC72" s="17">
        <f t="shared" si="61"/>
        <v>1.32</v>
      </c>
      <c r="AD72" s="17">
        <f t="shared" si="62"/>
        <v>63</v>
      </c>
      <c r="AE72" s="17" t="str">
        <f t="shared" si="63"/>
        <v>12+ months</v>
      </c>
      <c r="AF72" s="17" t="s">
        <v>4463</v>
      </c>
      <c r="AG72" s="17" t="s">
        <v>3502</v>
      </c>
      <c r="AH72" s="17" t="s">
        <v>4337</v>
      </c>
      <c r="AI72" s="17" t="s">
        <v>4464</v>
      </c>
      <c r="AJ72" s="17" t="s">
        <v>4501</v>
      </c>
      <c r="AK72" s="17" t="s">
        <v>4502</v>
      </c>
      <c r="AL72" s="17" t="s">
        <v>4503</v>
      </c>
      <c r="AM72" s="17" t="s">
        <v>4468</v>
      </c>
      <c r="AN72" s="17" t="s">
        <v>3937</v>
      </c>
      <c r="AO72" s="17" t="s">
        <v>3938</v>
      </c>
      <c r="AP72" s="17" t="s">
        <v>4242</v>
      </c>
      <c r="AQ72" s="17"/>
      <c r="AR72" s="17"/>
      <c r="AS72" s="14">
        <f>IFERROR((IF(SUMIFS(_REF_Model_Content!$J$1:$J$157,_REF_Model_Content!$A$1:$A$174,PV_Canonical_Industry,_REF_Model_Content!$B$1:$B$174,$B72)=0,1,SUMIFS(_REF_Model_Content!$J$1:$J$157,_REF_Model_Content!$A$1:$A$174,PV_Canonical_Industry,_REF_Model_Content!$B$1:$B$174,$B72))*IFERROR($CA72,1)),1)</f>
        <v>1</v>
      </c>
      <c r="AT72" s="14">
        <f t="shared" si="64"/>
        <v>1.32</v>
      </c>
      <c r="AU72" s="14">
        <f>IF($AT72="","",RANK($AT72,$AT$5:$AT$76,0)+COUNTIF($AT$5:AT72,$AT72)-1)</f>
        <v>63</v>
      </c>
      <c r="AV72" s="14">
        <f>IFERROR(INDEX(_DATA_Dashboard_Facts!$G$300:$G$316,MATCH($B72,_DATA_Dashboard_Facts!$A$300:$A$316,0)),"")</f>
        <v>0</v>
      </c>
      <c r="AW72" s="14" t="str">
        <f t="shared" si="65"/>
        <v>Relevance-neutral priority</v>
      </c>
      <c r="AX72">
        <f>IFERROR(INDEX('Action Plan &amp; Roadmap'!$D$59:$D$130,MATCH($A72,'Action Plan &amp; Roadmap'!$A$59:$A$130,0)),"")</f>
        <v>0</v>
      </c>
      <c r="AY72">
        <f t="shared" si="66"/>
        <v>0</v>
      </c>
      <c r="AZ72" t="s">
        <v>4004</v>
      </c>
      <c r="BA72">
        <f>IF($A72="","",COUNTIF(_DATA_RiskInitiativeMap!$A$1:$A$867,$A72))</f>
        <v>2</v>
      </c>
      <c r="BB72">
        <f>IF($A72="","",IFERROR(AVERAGEIF(_DATA_RiskInitiativeMap!$A$1:$A$867,$A72,_DATA_RiskInitiativeMap!$G$1:$G$867),0))</f>
        <v>25.44</v>
      </c>
      <c r="BC72">
        <f t="shared" si="67"/>
        <v>4.8</v>
      </c>
      <c r="BD72">
        <f t="shared" si="68"/>
        <v>4.96</v>
      </c>
      <c r="BI72" s="17" t="str">
        <f>IFERROR(_CONFIG_Model_Settings!$B$103,"Adaptive")</f>
        <v>Fragile</v>
      </c>
      <c r="BJ72" s="17">
        <f>IFERROR(INDEX(_CONFIG_Model_Settings!$B$109:$B$113,MATCH($BI72,_CONFIG_Model_Settings!$A$109:$A$113,0)),0.3)</f>
        <v>0.2</v>
      </c>
      <c r="BK72" s="17">
        <f>IFERROR(INDEX(_CONFIG_Model_Settings!$C$109:$C$113,MATCH($BI72,_CONFIG_Model_Settings!$A$109:$A$113,0)),0.2)</f>
        <v>0.3</v>
      </c>
      <c r="BL72" s="17">
        <f>IFERROR(INDEX(_CONFIG_Model_Settings!$D$109:$D$113,MATCH($BI72,_CONFIG_Model_Settings!$A$109:$A$113,0)),0.25)</f>
        <v>0.4</v>
      </c>
      <c r="BM72" s="17">
        <f>IFERROR(INDEX(_CONFIG_Model_Settings!$E$109:$E$113,MATCH($BI72,_CONFIG_Model_Settings!$A$109:$A$113,0)),0.25)</f>
        <v>0.1</v>
      </c>
      <c r="BN72" s="17">
        <f>IFERROR(INDEX(_CONFIG_Model_Settings!$B$117:$B$123,MATCH(_CONFIG_Model_Settings!$B$104,_CONFIG_Model_Settings!$A$117:$A$123,0)),1)</f>
        <v>1</v>
      </c>
      <c r="BO72" s="17">
        <f>IFERROR(INDEX(_CONFIG_Model_Settings!$C$117:$C$123,MATCH(_CONFIG_Model_Settings!$B$104,_CONFIG_Model_Settings!$A$117:$A$123,0)),1)</f>
        <v>1</v>
      </c>
      <c r="BP72" s="17">
        <f>IFERROR(INDEX(_CONFIG_Model_Settings!$D$117:$D$123,MATCH(_CONFIG_Model_Settings!$B$104,_CONFIG_Model_Settings!$A$117:$A$123,0)),1)</f>
        <v>1</v>
      </c>
      <c r="BQ72" s="17">
        <f>IFERROR(INDEX(_CONFIG_Model_Settings!$E$117:$E$123,MATCH(_CONFIG_Model_Settings!$B$104,_CONFIG_Model_Settings!$A$117:$A$123,0)),1)</f>
        <v>1</v>
      </c>
      <c r="BR72" s="17">
        <f>IF(OR($A72="",$P72=""),"",MIN(5,IFERROR(SUMIF(_DATA_RiskInitiativeMap!$A$1:$A$867,$A72,_DATA_RiskInitiativeMap!$K$1:$K$867)/MAX(1,_CONFIG_Model_Settings!$B$166),0)))</f>
        <v>5</v>
      </c>
      <c r="BS72" s="17">
        <f t="shared" si="69"/>
        <v>5.28</v>
      </c>
      <c r="BT72" s="17">
        <f t="shared" si="70"/>
        <v>4</v>
      </c>
      <c r="BU72" s="17">
        <f t="shared" si="71"/>
        <v>1.32</v>
      </c>
      <c r="BV72" s="17">
        <f>IF(OR($P72="",$BU72="",$AY72="Done",$AY72="Not applicable"),"",ROUND($BU72*N($AS72)*IF(OR('Resilience &amp; Risk Scenario'!$B$6="",'Resilience &amp; Risk Scenario'!$B$7&lt;=0),1,IFERROR(1+MIN(0.75,INDEX('Resilience &amp; Risk Scenario'!$E$21:$E$37,MATCH($B72,'Resilience &amp; Risk Scenario'!$B$21:$B$37,0))/10),1)),2))</f>
        <v>1.32</v>
      </c>
      <c r="BW72" s="17">
        <f>IF($BV72="","",RANK($BV72,$BV$5:$BV$76,0)+COUNTIF($BV$5:$BV72,$BV72)-1)</f>
        <v>63</v>
      </c>
      <c r="BX72" s="17" t="str">
        <f t="shared" si="72"/>
        <v>12+ months</v>
      </c>
      <c r="BY72" t="str">
        <f>IFERROR(IF($A72="","","P2: "&amp;$BI72&amp;" posture; objective="&amp;IF(_CONFIG_Model_Settings!$B$104="","Neutral/default",_CONFIG_Model_Settings!$B$104)&amp;"; relevance="&amp;ROUND(N($AS72),2)&amp;"; scenario/domain boost="&amp;ROUND(IF(OR('Resilience &amp; Risk Scenario'!$B$6="",'Resilience &amp; Risk Scenario'!$B$7&lt;=0),1,IFERROR(1+MIN(0.75,INDEX('Resilience &amp; Risk Scenario'!$E$21:$E$37,MATCH($B72,'Resilience &amp; Risk Scenario'!$B$21:$B$37,0))/10),1)),2)&amp;"; financial score="&amp;ROUND(N($BR72),1)&amp;"; CoD="&amp;$BS72&amp;IF($CL72&lt;&gt;"","; wording="&amp;$CL72,"")),"")</f>
        <v>P2: Fragile posture; objective=Neutral/default; relevance=1; scenario/domain boost=1; financial score=5; CoD=5.28; wording=Strengthen Breach / notification</v>
      </c>
      <c r="BZ72" t="str">
        <f>IFERROR(INDEX(_REF_Capability_Bridge!$D:$D,MATCH($B72&amp;"|"&amp;$C72,_REF_Capability_Bridge!$J:$J,0)),IFERROR(INDEX(_REF_Capability_Bridge!$D:$D,MATCH($B72&amp;"|",_REF_Capability_Bridge!$J:$J,0)),"CAP_GENERIC"))</f>
        <v>CAP_LEGAL_BREACH_RESPONSE</v>
      </c>
      <c r="CA72">
        <f>IFERROR(IFERROR(INDEX(_ENGINE_Relevance!$L:$L,MATCH($BZ72,_ENGINE_Relevance!$B:$B,0)),1),1)</f>
        <v>1</v>
      </c>
      <c r="CB72" t="str">
        <f>IFERROR(INDEX(_REF_Capability_Bridge!$A:$A,MATCH($B72&amp;"|"&amp;$C72,_REF_Capability_Bridge!$J:$J,0)),IFERROR(INDEX(_REF_Capability_Bridge!$A:$A,MATCH($B72&amp;"|",_REF_Capability_Bridge!$J:$J,0)),"No bridge"))</f>
        <v>BRG-015</v>
      </c>
      <c r="CC72" t="str">
        <f t="shared" si="73"/>
        <v>Capability relevance neutral</v>
      </c>
      <c r="CD72" t="str">
        <f t="shared" si="74"/>
        <v>Initial / absent</v>
      </c>
      <c r="CE72" t="str">
        <f>IF($A72="","",IFERROR(INDEX(_REF_Treatment_Library!$A$2:$A$296,MATCH(1,INDEX((_REF_Treatment_Library!$B$2:$B$296=$BZ72)*(_REF_Treatment_Library!$C$2:$C$296=PV_Canonical_Industry)*(_REF_Treatment_Library!$E$2:$E$296&lt;=N($N72))*(_REF_Treatment_Library!$F$2:$F$296&gt;=N($N72))*(_REF_Treatment_Library!$O$2:$O$296="Yes"),0),0)),IFERROR(INDEX(_REF_Treatment_Library!$A$2:$A$296,MATCH(1,INDEX((_REF_Treatment_Library!$B$2:$B$296=$BZ72)*(_REF_Treatment_Library!$C$2:$C$296="All")*(_REF_Treatment_Library!$E$2:$E$296&lt;=N($N72))*(_REF_Treatment_Library!$F$2:$F$296&gt;=N($N72))*(_REF_Treatment_Library!$O$2:$O$296="Yes"),0),0)),"")))</f>
        <v>TRT-LEGAL_BREACH_RESPONSE-INITIAL</v>
      </c>
      <c r="CF72" t="str">
        <f>IF($CE72="","",IFERROR(INDEX(_REF_Treatment_Library!$H$2:$H$296,MATCH($CE72,_REF_Treatment_Library!$A$2:$A$296,0)),""))</f>
        <v>Establish</v>
      </c>
      <c r="CG72" t="str">
        <f>IF($CE72="","",IFERROR(INDEX(_REF_Treatment_Library!$I$2:$I$296,MATCH($CE72,_REF_Treatment_Library!$A$2:$A$296,0)),""))</f>
        <v>Establish baseline controls for Breach / notification</v>
      </c>
      <c r="CH72" t="str">
        <f>IF($CE72="","",IFERROR(INDEX(_REF_Treatment_Library!$K$2:$K$296,MATCH($CE72,_REF_Treatment_Library!$A$2:$A$296,0)),""))</f>
        <v>Named owner, baseline process, minimum control checklist, first evidence package</v>
      </c>
      <c r="CI72" t="str">
        <f>IF($CE72="","",IFERROR(INDEX(_REF_Treatment_Library!$L$2:$L$296,MATCH($CE72,_REF_Treatment_Library!$A$2:$A$296,0)),""))</f>
        <v>Owner assigned; baseline evidence coverage; open critical gaps</v>
      </c>
      <c r="CJ72" t="str">
        <f t="shared" si="75"/>
        <v>Treatment by capability=CAP_LEGAL_BREACH_RESPONSE; band=Initial / absent; score=0.0; treatment=Establish</v>
      </c>
      <c r="CK72" t="str">
        <f>IF($A72="","",IFERROR(INDEX(_REF_Industry_Wording!$A$2:$A$70,MATCH(1,INDEX((_REF_Industry_Wording!$B$2:$B$70=$BZ72)*(_REF_Industry_Wording!$C$2:$C$70=PV_Canonical_Industry)*(_REF_Industry_Wording!$K$2:$K$70="Yes"),0),0)),IFERROR(INDEX(_REF_Industry_Wording!$A$2:$A$70,MATCH(1,INDEX((_REF_Industry_Wording!$B$2:$B$70=$BZ72)*(_REF_Industry_Wording!$C$2:$C$70="All")*(_REF_Industry_Wording!$K$2:$K$70="Yes"),0),0)),"")))</f>
        <v>IW-ALL-LEGAL_BREACH_RESPONSE</v>
      </c>
      <c r="CL72" t="str">
        <f>IF($CK72="","",IFERROR(INDEX(_REF_Industry_Wording!$F$2:$F$70,MATCH($CK72,_REF_Industry_Wording!$A$2:$A$70,0)),""))</f>
        <v>Strengthen Breach / notification</v>
      </c>
      <c r="CM72" t="str">
        <f>IF($CK72="","",IFERROR(INDEX(_REF_Industry_Wording!$G$2:$G$70,MATCH($CK72,_REF_Industry_Wording!$A$2:$A$70,0)),""))</f>
        <v>Strengthen Breach / notification using the selected maturity treatment, crisis scenario and evidence requirements.</v>
      </c>
      <c r="CN72" t="str">
        <f>IF($CK72="","",IFERROR(INDEX(_REF_Industry_Wording!$H$2:$H$70,MATCH($CK72,_REF_Industry_Wording!$A$2:$A$70,0)),""))</f>
        <v>Breach / notification</v>
      </c>
      <c r="CO72">
        <f>IF($CK72="","",IFERROR(INDEX(_REF_Industry_Wording!$I$2:$I$70,MATCH($CK72,_REF_Industry_Wording!$A$2:$A$70,0)),""))</f>
        <v>0</v>
      </c>
      <c r="CP72" t="str">
        <f>IF($CK72="","",IFERROR(INDEX(_REF_Industry_Wording!$J$2:$J$70,MATCH($CK72,_REF_Industry_Wording!$A$2:$A$70,0)),""))</f>
        <v>Breach / notification</v>
      </c>
      <c r="CQ72" t="str">
        <f t="shared" si="76"/>
        <v>Wording by industry=0; capability=CAP_LEGAL_BREACH_RESPONSE; title=Strengthen Breach / notification</v>
      </c>
      <c r="CR72" t="str">
        <f t="shared" si="77"/>
        <v>INIT-ONT-0068</v>
      </c>
      <c r="CS72">
        <f t="shared" si="78"/>
        <v>72</v>
      </c>
      <c r="CT72" t="str">
        <f t="shared" si="79"/>
        <v>CAP_LEGAL_BREACH_RESPONSE</v>
      </c>
      <c r="CU72" t="str">
        <f t="shared" si="80"/>
        <v>INI-068|Cyber Privacy|Privacy|CAP_LEGAL_BREACH_RESPONSE</v>
      </c>
      <c r="CV72" t="str">
        <f t="shared" si="81"/>
        <v>Active</v>
      </c>
      <c r="CW72" t="str">
        <f t="shared" si="82"/>
        <v>OK: capability-driven</v>
      </c>
      <c r="CX72" t="str">
        <f t="shared" si="83"/>
        <v>Initiative ontology uses capability=CAP_LEGAL_BREACH_RESPONSE; bridge=BRG-015; treatment=TRT-LEGAL_BREACH_RESPONSE-INITIAL; wording=IW-ALL-LEGAL_BREACH_RESPONSE</v>
      </c>
    </row>
    <row r="73" spans="1:102" ht="42" customHeight="1">
      <c r="A73" s="17" t="s">
        <v>4504</v>
      </c>
      <c r="B73" s="17" t="s">
        <v>3204</v>
      </c>
      <c r="C73" s="17" t="s">
        <v>3206</v>
      </c>
      <c r="D73" s="17" t="s">
        <v>4164</v>
      </c>
      <c r="E73" s="17" t="s">
        <v>4165</v>
      </c>
      <c r="F73" s="17" t="s">
        <v>4505</v>
      </c>
      <c r="G73" s="17" t="s">
        <v>4506</v>
      </c>
      <c r="H73" s="17" t="s">
        <v>4507</v>
      </c>
      <c r="I73" s="17" t="s">
        <v>4508</v>
      </c>
      <c r="J73" s="17" t="s">
        <v>4509</v>
      </c>
      <c r="K73" s="17">
        <v>4</v>
      </c>
      <c r="L73" s="17">
        <f>IF($A73="","",COUNTIFS(_DATA_RiskInitiativeMap!$A$444:$A$867,$A73,_DATA_RiskInitiativeMap!$G$444:$G$867,"&gt;0"))</f>
        <v>4</v>
      </c>
      <c r="M73" s="17">
        <f>IF($A73="","",COUNTIFS(_DATA_RiskInitiativeMap!$A$444:$A$867,$A73,_DATA_RiskInitiativeMap!$G$444:$G$867,"&gt;0"))</f>
        <v>4</v>
      </c>
      <c r="N73" s="17">
        <f>IFERROR(AVERAGEIFS(_DATA_Assessment_Model!$H$5:$H$428,_DATA_Assessment_Model!$AW$5:$AW$428,$B73,_DATA_Assessment_Model!$B$5:$B$428,$C73),"")</f>
        <v>0</v>
      </c>
      <c r="O73" s="17">
        <f t="shared" si="56"/>
        <v>5</v>
      </c>
      <c r="P73" s="17">
        <f>IFERROR(INDEX(_DATA_Dashboard_Facts!$H$5:$H$21,MATCH($B73,_DATA_Dashboard_Facts!$A$5:$A$21,0)),"")</f>
        <v>0</v>
      </c>
      <c r="Q73" s="17">
        <f t="shared" si="57"/>
        <v>5</v>
      </c>
      <c r="R73" s="17">
        <f>IF(OR('Resilience &amp; Risk Scenario'!$B$6="",'Resilience &amp; Risk Scenario'!$B$7&lt;=0),1,IFERROR(IF(SUMIFS(_ENGINE_Crisis!$D$5:$D$208,_ENGINE_Crisis!$A$5:$A$208,'Resilience &amp; Risk Scenario'!$B$6,_ENGINE_Crisis!$B$5:$B$208,$B73)=0,1,SUMIFS(_ENGINE_Crisis!$D$5:$D$208,_ENGINE_Crisis!$A$5:$A$208,'Resilience &amp; Risk Scenario'!$B$6,_ENGINE_Crisis!$B$5:$B$208,$B73)),1))</f>
        <v>1</v>
      </c>
      <c r="S73" s="17">
        <f>IFERROR(INDEX(_ENGINE_Strategy!$A$100:$A$113,MATCH($D73,_ENGINE_Strategy!$B$100:$B$113,0)),99)</f>
        <v>6</v>
      </c>
      <c r="T73" s="17">
        <f>IFERROR(INDEX(_ENGINE_Strategy!$J$100:$J$113,MATCH($D73,_ENGINE_Strategy!$B$100:$B$113,0)),0)</f>
        <v>68.900000000000006</v>
      </c>
      <c r="U73" s="17">
        <v>4</v>
      </c>
      <c r="V73" s="17">
        <v>4</v>
      </c>
      <c r="W73" s="17">
        <v>5</v>
      </c>
      <c r="X73" s="17">
        <f t="shared" si="58"/>
        <v>4.6112500000000001</v>
      </c>
      <c r="Y73" s="17">
        <f>IF($P73="","",MAX(1,MIN(5,1+N($O73)*0.45+MIN(2,N($M73)*0.3)+($R73-1)*1.2+IF('Resilience &amp; Risk Scenario'!$B$7="",1,'Resilience &amp; Risk Scenario'!$B$7)*0.25)))</f>
        <v>4.7</v>
      </c>
      <c r="Z73" s="17">
        <f t="shared" si="59"/>
        <v>4.8</v>
      </c>
      <c r="AA73" s="17">
        <f t="shared" si="60"/>
        <v>4.1334999999999997</v>
      </c>
      <c r="AB73" s="17">
        <v>2</v>
      </c>
      <c r="AC73" s="17">
        <f t="shared" si="61"/>
        <v>2.54</v>
      </c>
      <c r="AD73" s="17">
        <f t="shared" si="62"/>
        <v>11</v>
      </c>
      <c r="AE73" s="17" t="str">
        <f t="shared" si="63"/>
        <v>0-90 days</v>
      </c>
      <c r="AF73" s="17" t="s">
        <v>4510</v>
      </c>
      <c r="AG73" s="17" t="s">
        <v>3930</v>
      </c>
      <c r="AH73" s="17" t="s">
        <v>3931</v>
      </c>
      <c r="AI73" s="17" t="s">
        <v>3932</v>
      </c>
      <c r="AJ73" s="17" t="s">
        <v>4511</v>
      </c>
      <c r="AK73" s="17" t="s">
        <v>4512</v>
      </c>
      <c r="AL73" s="17" t="s">
        <v>4513</v>
      </c>
      <c r="AM73" s="17" t="s">
        <v>4175</v>
      </c>
      <c r="AN73" s="17" t="s">
        <v>3937</v>
      </c>
      <c r="AO73" s="17" t="s">
        <v>3938</v>
      </c>
      <c r="AP73" s="17" t="s">
        <v>3939</v>
      </c>
      <c r="AQ73" s="17"/>
      <c r="AR73" s="17"/>
      <c r="AS73" s="14">
        <f>IFERROR((IF(SUMIFS(_REF_Model_Content!$J$1:$J$157,_REF_Model_Content!$A$1:$A$174,PV_Canonical_Industry,_REF_Model_Content!$B$1:$B$174,$B73)=0,1,SUMIFS(_REF_Model_Content!$J$1:$J$157,_REF_Model_Content!$A$1:$A$174,PV_Canonical_Industry,_REF_Model_Content!$B$1:$B$174,$B73))*IFERROR($CA73,1)),1)</f>
        <v>1</v>
      </c>
      <c r="AT73" s="14">
        <f t="shared" si="64"/>
        <v>2.54</v>
      </c>
      <c r="AU73" s="14">
        <f>IF($AT73="","",RANK($AT73,$AT$5:$AT$76,0)+COUNTIF($AT$5:AT73,$AT73)-1)</f>
        <v>11</v>
      </c>
      <c r="AV73" s="14">
        <f>IFERROR(INDEX(_DATA_Dashboard_Facts!$G$300:$G$316,MATCH($B73,_DATA_Dashboard_Facts!$A$300:$A$316,0)),"")</f>
        <v>0</v>
      </c>
      <c r="AW73" s="14" t="str">
        <f t="shared" si="65"/>
        <v>Relevance-neutral priority</v>
      </c>
      <c r="AX73">
        <f>IFERROR(INDEX('Action Plan &amp; Roadmap'!$D$59:$D$130,MATCH($A73,'Action Plan &amp; Roadmap'!$A$59:$A$130,0)),"")</f>
        <v>0</v>
      </c>
      <c r="AY73">
        <f t="shared" si="66"/>
        <v>0</v>
      </c>
      <c r="AZ73" t="s">
        <v>4426</v>
      </c>
      <c r="BA73">
        <f>IF($A73="","",COUNTIF(_DATA_RiskInitiativeMap!$A$1:$A$867,$A73))</f>
        <v>4</v>
      </c>
      <c r="BB73">
        <f>IF($A73="","",IFERROR(AVERAGEIF(_DATA_RiskInitiativeMap!$A$1:$A$867,$A73,_DATA_RiskInitiativeMap!$G$1:$G$867),0))</f>
        <v>12.1625</v>
      </c>
      <c r="BC73">
        <f t="shared" si="67"/>
        <v>4.7</v>
      </c>
      <c r="BD73">
        <f t="shared" si="68"/>
        <v>3.9513750000000001</v>
      </c>
      <c r="BI73" s="17" t="str">
        <f>IFERROR(_CONFIG_Model_Settings!$B$103,"Adaptive")</f>
        <v>Fragile</v>
      </c>
      <c r="BJ73" s="17">
        <f>IFERROR(INDEX(_CONFIG_Model_Settings!$B$109:$B$113,MATCH($BI73,_CONFIG_Model_Settings!$A$109:$A$113,0)),0.3)</f>
        <v>0.2</v>
      </c>
      <c r="BK73" s="17">
        <f>IFERROR(INDEX(_CONFIG_Model_Settings!$C$109:$C$113,MATCH($BI73,_CONFIG_Model_Settings!$A$109:$A$113,0)),0.2)</f>
        <v>0.3</v>
      </c>
      <c r="BL73" s="17">
        <f>IFERROR(INDEX(_CONFIG_Model_Settings!$D$109:$D$113,MATCH($BI73,_CONFIG_Model_Settings!$A$109:$A$113,0)),0.25)</f>
        <v>0.4</v>
      </c>
      <c r="BM73" s="17">
        <f>IFERROR(INDEX(_CONFIG_Model_Settings!$E$109:$E$113,MATCH($BI73,_CONFIG_Model_Settings!$A$109:$A$113,0)),0.25)</f>
        <v>0.1</v>
      </c>
      <c r="BN73" s="17">
        <f>IFERROR(INDEX(_CONFIG_Model_Settings!$B$117:$B$123,MATCH(_CONFIG_Model_Settings!$B$104,_CONFIG_Model_Settings!$A$117:$A$123,0)),1)</f>
        <v>1</v>
      </c>
      <c r="BO73" s="17">
        <f>IFERROR(INDEX(_CONFIG_Model_Settings!$C$117:$C$123,MATCH(_CONFIG_Model_Settings!$B$104,_CONFIG_Model_Settings!$A$117:$A$123,0)),1)</f>
        <v>1</v>
      </c>
      <c r="BP73" s="17">
        <f>IFERROR(INDEX(_CONFIG_Model_Settings!$D$117:$D$123,MATCH(_CONFIG_Model_Settings!$B$104,_CONFIG_Model_Settings!$A$117:$A$123,0)),1)</f>
        <v>1</v>
      </c>
      <c r="BQ73" s="17">
        <f>IFERROR(INDEX(_CONFIG_Model_Settings!$E$117:$E$123,MATCH(_CONFIG_Model_Settings!$B$104,_CONFIG_Model_Settings!$A$117:$A$123,0)),1)</f>
        <v>1</v>
      </c>
      <c r="BR73" s="17">
        <f>IF(OR($A73="",$P73=""),"",MIN(5,IFERROR(SUMIF(_DATA_RiskInitiativeMap!$A$1:$A$867,$A73,_DATA_RiskInitiativeMap!$K$1:$K$867)/MAX(1,_CONFIG_Model_Settings!$B$166),0)))</f>
        <v>5</v>
      </c>
      <c r="BS73" s="17">
        <f t="shared" si="69"/>
        <v>5.08</v>
      </c>
      <c r="BT73" s="17">
        <f t="shared" si="70"/>
        <v>2</v>
      </c>
      <c r="BU73" s="17">
        <f t="shared" si="71"/>
        <v>2.54</v>
      </c>
      <c r="BV73" s="17">
        <f>IF(OR($P73="",$BU73="",$AY73="Done",$AY73="Not applicable"),"",ROUND($BU73*N($AS73)*IF(OR('Resilience &amp; Risk Scenario'!$B$6="",'Resilience &amp; Risk Scenario'!$B$7&lt;=0),1,IFERROR(1+MIN(0.75,INDEX('Resilience &amp; Risk Scenario'!$E$21:$E$37,MATCH($B73,'Resilience &amp; Risk Scenario'!$B$21:$B$37,0))/10),1)),2))</f>
        <v>2.54</v>
      </c>
      <c r="BW73" s="17">
        <f>IF($BV73="","",RANK($BV73,$BV$5:$BV$76,0)+COUNTIF($BV$5:$BV73,$BV73)-1)</f>
        <v>11</v>
      </c>
      <c r="BX73" s="17" t="str">
        <f t="shared" si="72"/>
        <v>0-90 days</v>
      </c>
      <c r="BY73" t="str">
        <f>IFERROR(IF($A73="","","P2: "&amp;$BI73&amp;" posture; objective="&amp;IF(_CONFIG_Model_Settings!$B$104="","Neutral/default",_CONFIG_Model_Settings!$B$104)&amp;"; relevance="&amp;ROUND(N($AS73),2)&amp;"; scenario/domain boost="&amp;ROUND(IF(OR('Resilience &amp; Risk Scenario'!$B$6="",'Resilience &amp; Risk Scenario'!$B$7&lt;=0),1,IFERROR(1+MIN(0.75,INDEX('Resilience &amp; Risk Scenario'!$E$21:$E$37,MATCH($B73,'Resilience &amp; Risk Scenario'!$B$21:$B$37,0))/10),1)),2)&amp;"; financial score="&amp;ROUND(N($BR73),1)&amp;"; CoD="&amp;$BS73&amp;IF($CL73&lt;&gt;"","; wording="&amp;$CL73,"")),"")</f>
        <v>P2: Fragile posture; objective=Neutral/default; relevance=1; scenario/domain boost=1; financial score=5; CoD=5.08; wording=Strengthen Delivery continuity</v>
      </c>
      <c r="BZ73" t="str">
        <f>IFERROR(INDEX(_REF_Capability_Bridge!$D:$D,MATCH($B73&amp;"|"&amp;$C73,_REF_Capability_Bridge!$J:$J,0)),IFERROR(INDEX(_REF_Capability_Bridge!$D:$D,MATCH($B73&amp;"|",_REF_Capability_Bridge!$J:$J,0)),"CAP_GENERIC"))</f>
        <v>CAP_DELIVERY_CONTINUITY</v>
      </c>
      <c r="CA73">
        <f>IFERROR(IFERROR(INDEX(_ENGINE_Relevance!$L:$L,MATCH($BZ73,_ENGINE_Relevance!$B:$B,0)),1),1)</f>
        <v>1</v>
      </c>
      <c r="CB73" t="str">
        <f>IFERROR(INDEX(_REF_Capability_Bridge!$A:$A,MATCH($B73&amp;"|"&amp;$C73,_REF_Capability_Bridge!$J:$J,0)),IFERROR(INDEX(_REF_Capability_Bridge!$A:$A,MATCH($B73&amp;"|",_REF_Capability_Bridge!$J:$J,0)),"No bridge"))</f>
        <v>BRG-074</v>
      </c>
      <c r="CC73" t="str">
        <f t="shared" si="73"/>
        <v>Capability relevance neutral</v>
      </c>
      <c r="CD73" t="str">
        <f t="shared" si="74"/>
        <v>Initial / absent</v>
      </c>
      <c r="CE73" t="str">
        <f>IF($A73="","",IFERROR(INDEX(_REF_Treatment_Library!$A$2:$A$296,MATCH(1,INDEX((_REF_Treatment_Library!$B$2:$B$296=$BZ73)*(_REF_Treatment_Library!$C$2:$C$296=PV_Canonical_Industry)*(_REF_Treatment_Library!$E$2:$E$296&lt;=N($N73))*(_REF_Treatment_Library!$F$2:$F$296&gt;=N($N73))*(_REF_Treatment_Library!$O$2:$O$296="Yes"),0),0)),IFERROR(INDEX(_REF_Treatment_Library!$A$2:$A$296,MATCH(1,INDEX((_REF_Treatment_Library!$B$2:$B$296=$BZ73)*(_REF_Treatment_Library!$C$2:$C$296="All")*(_REF_Treatment_Library!$E$2:$E$296&lt;=N($N73))*(_REF_Treatment_Library!$F$2:$F$296&gt;=N($N73))*(_REF_Treatment_Library!$O$2:$O$296="Yes"),0),0)),"")))</f>
        <v>TRT-DELIVERY_CONTINUITY-INITIAL</v>
      </c>
      <c r="CF73" t="str">
        <f>IF($CE73="","",IFERROR(INDEX(_REF_Treatment_Library!$H$2:$H$296,MATCH($CE73,_REF_Treatment_Library!$A$2:$A$296,0)),""))</f>
        <v>Establish</v>
      </c>
      <c r="CG73" t="str">
        <f>IF($CE73="","",IFERROR(INDEX(_REF_Treatment_Library!$I$2:$I$296,MATCH($CE73,_REF_Treatment_Library!$A$2:$A$296,0)),""))</f>
        <v>Establish baseline controls for Delivery continuity</v>
      </c>
      <c r="CH73" t="str">
        <f>IF($CE73="","",IFERROR(INDEX(_REF_Treatment_Library!$K$2:$K$296,MATCH($CE73,_REF_Treatment_Library!$A$2:$A$296,0)),""))</f>
        <v>Named owner, baseline process, minimum control checklist, first evidence package</v>
      </c>
      <c r="CI73" t="str">
        <f>IF($CE73="","",IFERROR(INDEX(_REF_Treatment_Library!$L$2:$L$296,MATCH($CE73,_REF_Treatment_Library!$A$2:$A$296,0)),""))</f>
        <v>Owner assigned; baseline evidence coverage; open critical gaps</v>
      </c>
      <c r="CJ73" t="str">
        <f t="shared" si="75"/>
        <v>Treatment by capability=CAP_DELIVERY_CONTINUITY; band=Initial / absent; score=0.0; treatment=Establish</v>
      </c>
      <c r="CK73" t="str">
        <f>IF($A73="","",IFERROR(INDEX(_REF_Industry_Wording!$A$2:$A$70,MATCH(1,INDEX((_REF_Industry_Wording!$B$2:$B$70=$BZ73)*(_REF_Industry_Wording!$C$2:$C$70=PV_Canonical_Industry)*(_REF_Industry_Wording!$K$2:$K$70="Yes"),0),0)),IFERROR(INDEX(_REF_Industry_Wording!$A$2:$A$70,MATCH(1,INDEX((_REF_Industry_Wording!$B$2:$B$70=$BZ73)*(_REF_Industry_Wording!$C$2:$C$70="All")*(_REF_Industry_Wording!$K$2:$K$70="Yes"),0),0)),"")))</f>
        <v>IW-ALL-DELIVERY_CONTINUITY</v>
      </c>
      <c r="CL73" t="str">
        <f>IF($CK73="","",IFERROR(INDEX(_REF_Industry_Wording!$F$2:$F$70,MATCH($CK73,_REF_Industry_Wording!$A$2:$A$70,0)),""))</f>
        <v>Strengthen Delivery continuity</v>
      </c>
      <c r="CM73" t="str">
        <f>IF($CK73="","",IFERROR(INDEX(_REF_Industry_Wording!$G$2:$G$70,MATCH($CK73,_REF_Industry_Wording!$A$2:$A$70,0)),""))</f>
        <v>Strengthen Delivery continuity using the selected maturity treatment, crisis scenario and evidence requirements.</v>
      </c>
      <c r="CN73" t="str">
        <f>IF($CK73="","",IFERROR(INDEX(_REF_Industry_Wording!$H$2:$H$70,MATCH($CK73,_REF_Industry_Wording!$A$2:$A$70,0)),""))</f>
        <v>Delivery continuity</v>
      </c>
      <c r="CO73">
        <f>IF($CK73="","",IFERROR(INDEX(_REF_Industry_Wording!$I$2:$I$70,MATCH($CK73,_REF_Industry_Wording!$A$2:$A$70,0)),""))</f>
        <v>0</v>
      </c>
      <c r="CP73" t="str">
        <f>IF($CK73="","",IFERROR(INDEX(_REF_Industry_Wording!$J$2:$J$70,MATCH($CK73,_REF_Industry_Wording!$A$2:$A$70,0)),""))</f>
        <v>Delivery continuity</v>
      </c>
      <c r="CQ73" t="str">
        <f t="shared" si="76"/>
        <v>Wording by industry=0; capability=CAP_DELIVERY_CONTINUITY; title=Strengthen Delivery continuity</v>
      </c>
      <c r="CR73" t="str">
        <f t="shared" si="77"/>
        <v>INIT-ONT-0069</v>
      </c>
      <c r="CS73">
        <f t="shared" si="78"/>
        <v>73</v>
      </c>
      <c r="CT73" t="str">
        <f t="shared" si="79"/>
        <v>CAP_DELIVERY_CONTINUITY</v>
      </c>
      <c r="CU73" t="str">
        <f t="shared" si="80"/>
        <v>INI-069|Quality Portfolio|Process management|CAP_DELIVERY_CONTINUITY</v>
      </c>
      <c r="CV73" t="str">
        <f t="shared" si="81"/>
        <v>Active</v>
      </c>
      <c r="CW73" t="str">
        <f t="shared" si="82"/>
        <v>OK: capability-driven</v>
      </c>
      <c r="CX73" t="str">
        <f t="shared" si="83"/>
        <v>Initiative ontology uses capability=CAP_DELIVERY_CONTINUITY; bridge=BRG-074; treatment=TRT-DELIVERY_CONTINUITY-INITIAL; wording=IW-ALL-DELIVERY_CONTINUITY</v>
      </c>
    </row>
    <row r="74" spans="1:102" ht="42" customHeight="1">
      <c r="A74" s="17" t="s">
        <v>4514</v>
      </c>
      <c r="B74" s="17" t="s">
        <v>3204</v>
      </c>
      <c r="C74" s="17" t="s">
        <v>3221</v>
      </c>
      <c r="D74" s="17" t="s">
        <v>4164</v>
      </c>
      <c r="E74" s="17" t="s">
        <v>4165</v>
      </c>
      <c r="F74" s="17" t="s">
        <v>4515</v>
      </c>
      <c r="G74" s="17" t="s">
        <v>4516</v>
      </c>
      <c r="H74" s="17" t="s">
        <v>4507</v>
      </c>
      <c r="I74" s="17" t="s">
        <v>4508</v>
      </c>
      <c r="J74" s="17" t="s">
        <v>4517</v>
      </c>
      <c r="K74" s="17">
        <v>5</v>
      </c>
      <c r="L74" s="17">
        <f>IF($A74="","",COUNTIFS(_DATA_RiskInitiativeMap!$A$444:$A$867,$A74,_DATA_RiskInitiativeMap!$G$444:$G$867,"&gt;0"))</f>
        <v>5</v>
      </c>
      <c r="M74" s="17">
        <f>IF($A74="","",COUNTIFS(_DATA_RiskInitiativeMap!$A$444:$A$867,$A74,_DATA_RiskInitiativeMap!$G$444:$G$867,"&gt;0"))</f>
        <v>5</v>
      </c>
      <c r="N74" s="17">
        <f>IFERROR(AVERAGEIFS(_DATA_Assessment_Model!$H$5:$H$428,_DATA_Assessment_Model!$AW$5:$AW$428,$B74,_DATA_Assessment_Model!$B$5:$B$428,$C74),"")</f>
        <v>0</v>
      </c>
      <c r="O74" s="17">
        <f t="shared" si="56"/>
        <v>5</v>
      </c>
      <c r="P74" s="17">
        <f>IFERROR(INDEX(_DATA_Dashboard_Facts!$H$5:$H$21,MATCH($B74,_DATA_Dashboard_Facts!$A$5:$A$21,0)),"")</f>
        <v>0</v>
      </c>
      <c r="Q74" s="17">
        <f t="shared" si="57"/>
        <v>5</v>
      </c>
      <c r="R74" s="17">
        <f>IF(OR('Resilience &amp; Risk Scenario'!$B$6="",'Resilience &amp; Risk Scenario'!$B$7&lt;=0),1,IFERROR(IF(SUMIFS(_ENGINE_Crisis!$D$5:$D$208,_ENGINE_Crisis!$A$5:$A$208,'Resilience &amp; Risk Scenario'!$B$6,_ENGINE_Crisis!$B$5:$B$208,$B74)=0,1,SUMIFS(_ENGINE_Crisis!$D$5:$D$208,_ENGINE_Crisis!$A$5:$A$208,'Resilience &amp; Risk Scenario'!$B$6,_ENGINE_Crisis!$B$5:$B$208,$B74)),1))</f>
        <v>1</v>
      </c>
      <c r="S74" s="17">
        <f>IFERROR(INDEX(_ENGINE_Strategy!$A$100:$A$113,MATCH($D74,_ENGINE_Strategy!$B$100:$B$113,0)),99)</f>
        <v>6</v>
      </c>
      <c r="T74" s="17">
        <f>IFERROR(INDEX(_ENGINE_Strategy!$J$100:$J$113,MATCH($D74,_ENGINE_Strategy!$B$100:$B$113,0)),0)</f>
        <v>68.900000000000006</v>
      </c>
      <c r="U74" s="17">
        <v>4</v>
      </c>
      <c r="V74" s="17">
        <v>4</v>
      </c>
      <c r="W74" s="17">
        <v>5</v>
      </c>
      <c r="X74" s="17">
        <f t="shared" si="58"/>
        <v>4.6112500000000001</v>
      </c>
      <c r="Y74" s="17">
        <f>IF($P74="","",MAX(1,MIN(5,1+N($O74)*0.45+MIN(2,N($M74)*0.3)+($R74-1)*1.2+IF('Resilience &amp; Risk Scenario'!$B$7="",1,'Resilience &amp; Risk Scenario'!$B$7)*0.25)))</f>
        <v>5</v>
      </c>
      <c r="Z74" s="17">
        <f t="shared" si="59"/>
        <v>4.8</v>
      </c>
      <c r="AA74" s="17">
        <f t="shared" si="60"/>
        <v>4.1334999999999997</v>
      </c>
      <c r="AB74" s="17">
        <v>2</v>
      </c>
      <c r="AC74" s="17">
        <f t="shared" si="61"/>
        <v>2.59</v>
      </c>
      <c r="AD74" s="17">
        <f t="shared" si="62"/>
        <v>9</v>
      </c>
      <c r="AE74" s="17" t="str">
        <f t="shared" si="63"/>
        <v>0-90 days</v>
      </c>
      <c r="AF74" s="17" t="s">
        <v>4510</v>
      </c>
      <c r="AG74" s="17" t="s">
        <v>3930</v>
      </c>
      <c r="AH74" s="17" t="s">
        <v>3931</v>
      </c>
      <c r="AI74" s="17" t="s">
        <v>3932</v>
      </c>
      <c r="AJ74" s="17" t="s">
        <v>4518</v>
      </c>
      <c r="AK74" s="17" t="s">
        <v>4519</v>
      </c>
      <c r="AL74" s="17" t="s">
        <v>4520</v>
      </c>
      <c r="AM74" s="17" t="s">
        <v>4175</v>
      </c>
      <c r="AN74" s="17" t="s">
        <v>3937</v>
      </c>
      <c r="AO74" s="17" t="s">
        <v>3938</v>
      </c>
      <c r="AP74" s="17" t="s">
        <v>3939</v>
      </c>
      <c r="AQ74" s="17"/>
      <c r="AR74" s="17"/>
      <c r="AS74" s="14">
        <f>IFERROR((IF(SUMIFS(_REF_Model_Content!$J$1:$J$157,_REF_Model_Content!$A$1:$A$174,PV_Canonical_Industry,_REF_Model_Content!$B$1:$B$174,$B74)=0,1,SUMIFS(_REF_Model_Content!$J$1:$J$157,_REF_Model_Content!$A$1:$A$174,PV_Canonical_Industry,_REF_Model_Content!$B$1:$B$174,$B74))*IFERROR($CA74,1)),1)</f>
        <v>1</v>
      </c>
      <c r="AT74" s="14">
        <f t="shared" si="64"/>
        <v>2.59</v>
      </c>
      <c r="AU74" s="14">
        <f>IF($AT74="","",RANK($AT74,$AT$5:$AT$76,0)+COUNTIF($AT$5:AT74,$AT74)-1)</f>
        <v>9</v>
      </c>
      <c r="AV74" s="14">
        <f>IFERROR(INDEX(_DATA_Dashboard_Facts!$G$300:$G$316,MATCH($B74,_DATA_Dashboard_Facts!$A$300:$A$316,0)),"")</f>
        <v>0</v>
      </c>
      <c r="AW74" s="14" t="str">
        <f t="shared" si="65"/>
        <v>Relevance-neutral priority</v>
      </c>
      <c r="AX74">
        <f>IFERROR(INDEX('Action Plan &amp; Roadmap'!$D$59:$D$130,MATCH($A74,'Action Plan &amp; Roadmap'!$A$59:$A$130,0)),"")</f>
        <v>0</v>
      </c>
      <c r="AY74">
        <f t="shared" si="66"/>
        <v>0</v>
      </c>
      <c r="AZ74" t="s">
        <v>4426</v>
      </c>
      <c r="BA74">
        <f>IF($A74="","",COUNTIF(_DATA_RiskInitiativeMap!$A$1:$A$867,$A74))</f>
        <v>5</v>
      </c>
      <c r="BB74">
        <f>IF($A74="","",IFERROR(AVERAGEIF(_DATA_RiskInitiativeMap!$A$1:$A$867,$A74,_DATA_RiskInitiativeMap!$G$1:$G$867),0))</f>
        <v>12.290000000000001</v>
      </c>
      <c r="BC74">
        <f t="shared" si="67"/>
        <v>4.7</v>
      </c>
      <c r="BD74">
        <f t="shared" si="68"/>
        <v>3.9603000000000002</v>
      </c>
      <c r="BI74" s="17" t="str">
        <f>IFERROR(_CONFIG_Model_Settings!$B$103,"Adaptive")</f>
        <v>Fragile</v>
      </c>
      <c r="BJ74" s="17">
        <f>IFERROR(INDEX(_CONFIG_Model_Settings!$B$109:$B$113,MATCH($BI74,_CONFIG_Model_Settings!$A$109:$A$113,0)),0.3)</f>
        <v>0.2</v>
      </c>
      <c r="BK74" s="17">
        <f>IFERROR(INDEX(_CONFIG_Model_Settings!$C$109:$C$113,MATCH($BI74,_CONFIG_Model_Settings!$A$109:$A$113,0)),0.2)</f>
        <v>0.3</v>
      </c>
      <c r="BL74" s="17">
        <f>IFERROR(INDEX(_CONFIG_Model_Settings!$D$109:$D$113,MATCH($BI74,_CONFIG_Model_Settings!$A$109:$A$113,0)),0.25)</f>
        <v>0.4</v>
      </c>
      <c r="BM74" s="17">
        <f>IFERROR(INDEX(_CONFIG_Model_Settings!$E$109:$E$113,MATCH($BI74,_CONFIG_Model_Settings!$A$109:$A$113,0)),0.25)</f>
        <v>0.1</v>
      </c>
      <c r="BN74" s="17">
        <f>IFERROR(INDEX(_CONFIG_Model_Settings!$B$117:$B$123,MATCH(_CONFIG_Model_Settings!$B$104,_CONFIG_Model_Settings!$A$117:$A$123,0)),1)</f>
        <v>1</v>
      </c>
      <c r="BO74" s="17">
        <f>IFERROR(INDEX(_CONFIG_Model_Settings!$C$117:$C$123,MATCH(_CONFIG_Model_Settings!$B$104,_CONFIG_Model_Settings!$A$117:$A$123,0)),1)</f>
        <v>1</v>
      </c>
      <c r="BP74" s="17">
        <f>IFERROR(INDEX(_CONFIG_Model_Settings!$D$117:$D$123,MATCH(_CONFIG_Model_Settings!$B$104,_CONFIG_Model_Settings!$A$117:$A$123,0)),1)</f>
        <v>1</v>
      </c>
      <c r="BQ74" s="17">
        <f>IFERROR(INDEX(_CONFIG_Model_Settings!$E$117:$E$123,MATCH(_CONFIG_Model_Settings!$B$104,_CONFIG_Model_Settings!$A$117:$A$123,0)),1)</f>
        <v>1</v>
      </c>
      <c r="BR74" s="17">
        <f>IF(OR($A74="",$P74=""),"",MIN(5,IFERROR(SUMIF(_DATA_RiskInitiativeMap!$A$1:$A$867,$A74,_DATA_RiskInitiativeMap!$K$1:$K$867)/MAX(1,_CONFIG_Model_Settings!$B$166),0)))</f>
        <v>5</v>
      </c>
      <c r="BS74" s="17">
        <f t="shared" si="69"/>
        <v>5.17</v>
      </c>
      <c r="BT74" s="17">
        <f t="shared" si="70"/>
        <v>2</v>
      </c>
      <c r="BU74" s="17">
        <f t="shared" si="71"/>
        <v>2.59</v>
      </c>
      <c r="BV74" s="17">
        <f>IF(OR($P74="",$BU74="",$AY74="Done",$AY74="Not applicable"),"",ROUND($BU74*N($AS74)*IF(OR('Resilience &amp; Risk Scenario'!$B$6="",'Resilience &amp; Risk Scenario'!$B$7&lt;=0),1,IFERROR(1+MIN(0.75,INDEX('Resilience &amp; Risk Scenario'!$E$21:$E$37,MATCH($B74,'Resilience &amp; Risk Scenario'!$B$21:$B$37,0))/10),1)),2))</f>
        <v>2.59</v>
      </c>
      <c r="BW74" s="17">
        <f>IF($BV74="","",RANK($BV74,$BV$5:$BV$76,0)+COUNTIF($BV$5:$BV74,$BV74)-1)</f>
        <v>9</v>
      </c>
      <c r="BX74" s="17" t="str">
        <f t="shared" si="72"/>
        <v>0-90 days</v>
      </c>
      <c r="BY74" t="str">
        <f>IFERROR(IF($A74="","","P2: "&amp;$BI74&amp;" posture; objective="&amp;IF(_CONFIG_Model_Settings!$B$104="","Neutral/default",_CONFIG_Model_Settings!$B$104)&amp;"; relevance="&amp;ROUND(N($AS74),2)&amp;"; scenario/domain boost="&amp;ROUND(IF(OR('Resilience &amp; Risk Scenario'!$B$6="",'Resilience &amp; Risk Scenario'!$B$7&lt;=0),1,IFERROR(1+MIN(0.75,INDEX('Resilience &amp; Risk Scenario'!$E$21:$E$37,MATCH($B74,'Resilience &amp; Risk Scenario'!$B$21:$B$37,0))/10),1)),2)&amp;"; financial score="&amp;ROUND(N($BR74),1)&amp;"; CoD="&amp;$BS74&amp;IF($CL74&lt;&gt;"","; wording="&amp;$CL74,"")),"")</f>
        <v>P2: Fragile posture; objective=Neutral/default; relevance=1; scenario/domain boost=1; financial score=5; CoD=5.17; wording=Strengthen Delivery continuity</v>
      </c>
      <c r="BZ74" t="str">
        <f>IFERROR(INDEX(_REF_Capability_Bridge!$D:$D,MATCH($B74&amp;"|"&amp;$C74,_REF_Capability_Bridge!$J:$J,0)),IFERROR(INDEX(_REF_Capability_Bridge!$D:$D,MATCH($B74&amp;"|",_REF_Capability_Bridge!$J:$J,0)),"CAP_GENERIC"))</f>
        <v>CAP_DELIVERY_CONTINUITY</v>
      </c>
      <c r="CA74">
        <f>IFERROR(IFERROR(INDEX(_ENGINE_Relevance!$L:$L,MATCH($BZ74,_ENGINE_Relevance!$B:$B,0)),1),1)</f>
        <v>1</v>
      </c>
      <c r="CB74" t="str">
        <f>IFERROR(INDEX(_REF_Capability_Bridge!$A:$A,MATCH($B74&amp;"|"&amp;$C74,_REF_Capability_Bridge!$J:$J,0)),IFERROR(INDEX(_REF_Capability_Bridge!$A:$A,MATCH($B74&amp;"|",_REF_Capability_Bridge!$J:$J,0)),"No bridge"))</f>
        <v>BRG-075</v>
      </c>
      <c r="CC74" t="str">
        <f t="shared" si="73"/>
        <v>Capability relevance neutral</v>
      </c>
      <c r="CD74" t="str">
        <f t="shared" si="74"/>
        <v>Initial / absent</v>
      </c>
      <c r="CE74" t="str">
        <f>IF($A74="","",IFERROR(INDEX(_REF_Treatment_Library!$A$2:$A$296,MATCH(1,INDEX((_REF_Treatment_Library!$B$2:$B$296=$BZ74)*(_REF_Treatment_Library!$C$2:$C$296=PV_Canonical_Industry)*(_REF_Treatment_Library!$E$2:$E$296&lt;=N($N74))*(_REF_Treatment_Library!$F$2:$F$296&gt;=N($N74))*(_REF_Treatment_Library!$O$2:$O$296="Yes"),0),0)),IFERROR(INDEX(_REF_Treatment_Library!$A$2:$A$296,MATCH(1,INDEX((_REF_Treatment_Library!$B$2:$B$296=$BZ74)*(_REF_Treatment_Library!$C$2:$C$296="All")*(_REF_Treatment_Library!$E$2:$E$296&lt;=N($N74))*(_REF_Treatment_Library!$F$2:$F$296&gt;=N($N74))*(_REF_Treatment_Library!$O$2:$O$296="Yes"),0),0)),"")))</f>
        <v>TRT-DELIVERY_CONTINUITY-INITIAL</v>
      </c>
      <c r="CF74" t="str">
        <f>IF($CE74="","",IFERROR(INDEX(_REF_Treatment_Library!$H$2:$H$296,MATCH($CE74,_REF_Treatment_Library!$A$2:$A$296,0)),""))</f>
        <v>Establish</v>
      </c>
      <c r="CG74" t="str">
        <f>IF($CE74="","",IFERROR(INDEX(_REF_Treatment_Library!$I$2:$I$296,MATCH($CE74,_REF_Treatment_Library!$A$2:$A$296,0)),""))</f>
        <v>Establish baseline controls for Delivery continuity</v>
      </c>
      <c r="CH74" t="str">
        <f>IF($CE74="","",IFERROR(INDEX(_REF_Treatment_Library!$K$2:$K$296,MATCH($CE74,_REF_Treatment_Library!$A$2:$A$296,0)),""))</f>
        <v>Named owner, baseline process, minimum control checklist, first evidence package</v>
      </c>
      <c r="CI74" t="str">
        <f>IF($CE74="","",IFERROR(INDEX(_REF_Treatment_Library!$L$2:$L$296,MATCH($CE74,_REF_Treatment_Library!$A$2:$A$296,0)),""))</f>
        <v>Owner assigned; baseline evidence coverage; open critical gaps</v>
      </c>
      <c r="CJ74" t="str">
        <f t="shared" si="75"/>
        <v>Treatment by capability=CAP_DELIVERY_CONTINUITY; band=Initial / absent; score=0.0; treatment=Establish</v>
      </c>
      <c r="CK74" t="str">
        <f>IF($A74="","",IFERROR(INDEX(_REF_Industry_Wording!$A$2:$A$70,MATCH(1,INDEX((_REF_Industry_Wording!$B$2:$B$70=$BZ74)*(_REF_Industry_Wording!$C$2:$C$70=PV_Canonical_Industry)*(_REF_Industry_Wording!$K$2:$K$70="Yes"),0),0)),IFERROR(INDEX(_REF_Industry_Wording!$A$2:$A$70,MATCH(1,INDEX((_REF_Industry_Wording!$B$2:$B$70=$BZ74)*(_REF_Industry_Wording!$C$2:$C$70="All")*(_REF_Industry_Wording!$K$2:$K$70="Yes"),0),0)),"")))</f>
        <v>IW-ALL-DELIVERY_CONTINUITY</v>
      </c>
      <c r="CL74" t="str">
        <f>IF($CK74="","",IFERROR(INDEX(_REF_Industry_Wording!$F$2:$F$70,MATCH($CK74,_REF_Industry_Wording!$A$2:$A$70,0)),""))</f>
        <v>Strengthen Delivery continuity</v>
      </c>
      <c r="CM74" t="str">
        <f>IF($CK74="","",IFERROR(INDEX(_REF_Industry_Wording!$G$2:$G$70,MATCH($CK74,_REF_Industry_Wording!$A$2:$A$70,0)),""))</f>
        <v>Strengthen Delivery continuity using the selected maturity treatment, crisis scenario and evidence requirements.</v>
      </c>
      <c r="CN74" t="str">
        <f>IF($CK74="","",IFERROR(INDEX(_REF_Industry_Wording!$H$2:$H$70,MATCH($CK74,_REF_Industry_Wording!$A$2:$A$70,0)),""))</f>
        <v>Delivery continuity</v>
      </c>
      <c r="CO74">
        <f>IF($CK74="","",IFERROR(INDEX(_REF_Industry_Wording!$I$2:$I$70,MATCH($CK74,_REF_Industry_Wording!$A$2:$A$70,0)),""))</f>
        <v>0</v>
      </c>
      <c r="CP74" t="str">
        <f>IF($CK74="","",IFERROR(INDEX(_REF_Industry_Wording!$J$2:$J$70,MATCH($CK74,_REF_Industry_Wording!$A$2:$A$70,0)),""))</f>
        <v>Delivery continuity</v>
      </c>
      <c r="CQ74" t="str">
        <f t="shared" si="76"/>
        <v>Wording by industry=0; capability=CAP_DELIVERY_CONTINUITY; title=Strengthen Delivery continuity</v>
      </c>
      <c r="CR74" t="str">
        <f t="shared" si="77"/>
        <v>INIT-ONT-0070</v>
      </c>
      <c r="CS74">
        <f t="shared" si="78"/>
        <v>74</v>
      </c>
      <c r="CT74" t="str">
        <f t="shared" si="79"/>
        <v>CAP_DELIVERY_CONTINUITY</v>
      </c>
      <c r="CU74" t="str">
        <f t="shared" si="80"/>
        <v>INI-070|Quality Portfolio|Quality management|CAP_DELIVERY_CONTINUITY</v>
      </c>
      <c r="CV74" t="str">
        <f t="shared" si="81"/>
        <v>Active</v>
      </c>
      <c r="CW74" t="str">
        <f t="shared" si="82"/>
        <v>OK: capability-driven</v>
      </c>
      <c r="CX74" t="str">
        <f t="shared" si="83"/>
        <v>Initiative ontology uses capability=CAP_DELIVERY_CONTINUITY; bridge=BRG-075; treatment=TRT-DELIVERY_CONTINUITY-INITIAL; wording=IW-ALL-DELIVERY_CONTINUITY</v>
      </c>
    </row>
    <row r="75" spans="1:102" ht="42" customHeight="1">
      <c r="A75" s="17" t="s">
        <v>4521</v>
      </c>
      <c r="B75" s="17" t="s">
        <v>3204</v>
      </c>
      <c r="C75" s="17" t="s">
        <v>3225</v>
      </c>
      <c r="D75" s="17" t="s">
        <v>3956</v>
      </c>
      <c r="E75" s="17" t="s">
        <v>3957</v>
      </c>
      <c r="F75" s="17" t="s">
        <v>4522</v>
      </c>
      <c r="G75" s="17" t="s">
        <v>4523</v>
      </c>
      <c r="H75" s="17" t="s">
        <v>4507</v>
      </c>
      <c r="I75" s="17" t="s">
        <v>4508</v>
      </c>
      <c r="J75" s="17" t="s">
        <v>4524</v>
      </c>
      <c r="K75" s="17">
        <v>5</v>
      </c>
      <c r="L75" s="17">
        <f>IF($A75="","",COUNTIFS(_DATA_RiskInitiativeMap!$A$444:$A$867,$A75,_DATA_RiskInitiativeMap!$G$444:$G$867,"&gt;0"))</f>
        <v>9</v>
      </c>
      <c r="M75" s="17">
        <f>IF($A75="","",COUNTIFS(_DATA_RiskInitiativeMap!$A$444:$A$867,$A75,_DATA_RiskInitiativeMap!$G$444:$G$867,"&gt;0"))</f>
        <v>9</v>
      </c>
      <c r="N75" s="17">
        <f>IFERROR(AVERAGEIFS(_DATA_Assessment_Model!$H$5:$H$428,_DATA_Assessment_Model!$AW$5:$AW$428,$B75,_DATA_Assessment_Model!$B$5:$B$428,$C75),"")</f>
        <v>0</v>
      </c>
      <c r="O75" s="17">
        <f t="shared" si="56"/>
        <v>5</v>
      </c>
      <c r="P75" s="17">
        <f>IFERROR(INDEX(_DATA_Dashboard_Facts!$H$5:$H$21,MATCH($B75,_DATA_Dashboard_Facts!$A$5:$A$21,0)),"")</f>
        <v>0</v>
      </c>
      <c r="Q75" s="17">
        <f t="shared" si="57"/>
        <v>5</v>
      </c>
      <c r="R75" s="17">
        <f>IF(OR('Resilience &amp; Risk Scenario'!$B$6="",'Resilience &amp; Risk Scenario'!$B$7&lt;=0),1,IFERROR(IF(SUMIFS(_ENGINE_Crisis!$D$5:$D$208,_ENGINE_Crisis!$A$5:$A$208,'Resilience &amp; Risk Scenario'!$B$6,_ENGINE_Crisis!$B$5:$B$208,$B75)=0,1,SUMIFS(_ENGINE_Crisis!$D$5:$D$208,_ENGINE_Crisis!$A$5:$A$208,'Resilience &amp; Risk Scenario'!$B$6,_ENGINE_Crisis!$B$5:$B$208,$B75)),1))</f>
        <v>1</v>
      </c>
      <c r="S75" s="17">
        <f>IFERROR(INDEX(_ENGINE_Strategy!$A$100:$A$113,MATCH($D75,_ENGINE_Strategy!$B$100:$B$113,0)),99)</f>
        <v>14</v>
      </c>
      <c r="T75" s="17">
        <f>IFERROR(INDEX(_ENGINE_Strategy!$J$100:$J$113,MATCH($D75,_ENGINE_Strategy!$B$100:$B$113,0)),0)</f>
        <v>65.3</v>
      </c>
      <c r="U75" s="17">
        <v>2</v>
      </c>
      <c r="V75" s="17">
        <v>4</v>
      </c>
      <c r="W75" s="17">
        <v>5</v>
      </c>
      <c r="X75" s="17">
        <f t="shared" si="58"/>
        <v>4.5662500000000001</v>
      </c>
      <c r="Y75" s="17">
        <f>IF($P75="","",MAX(1,MIN(5,1+N($O75)*0.45+MIN(2,N($M75)*0.3)+($R75-1)*1.2+IF('Resilience &amp; Risk Scenario'!$B$7="",1,'Resilience &amp; Risk Scenario'!$B$7)*0.25)))</f>
        <v>5</v>
      </c>
      <c r="Z75" s="17">
        <f t="shared" si="59"/>
        <v>4.8</v>
      </c>
      <c r="AA75" s="17">
        <f t="shared" si="60"/>
        <v>3.2794999999999996</v>
      </c>
      <c r="AB75" s="17">
        <v>2</v>
      </c>
      <c r="AC75" s="17">
        <f t="shared" si="61"/>
        <v>2.54</v>
      </c>
      <c r="AD75" s="17">
        <f t="shared" si="62"/>
        <v>12</v>
      </c>
      <c r="AE75" s="17" t="str">
        <f t="shared" si="63"/>
        <v>0-90 days</v>
      </c>
      <c r="AF75" s="17" t="s">
        <v>4510</v>
      </c>
      <c r="AG75" s="17" t="s">
        <v>3930</v>
      </c>
      <c r="AH75" s="17" t="s">
        <v>3931</v>
      </c>
      <c r="AI75" s="17" t="s">
        <v>3932</v>
      </c>
      <c r="AJ75" s="17" t="s">
        <v>4525</v>
      </c>
      <c r="AK75" s="17" t="s">
        <v>4526</v>
      </c>
      <c r="AL75" s="17" t="s">
        <v>4527</v>
      </c>
      <c r="AM75" s="17" t="s">
        <v>3969</v>
      </c>
      <c r="AN75" s="17" t="s">
        <v>3937</v>
      </c>
      <c r="AO75" s="17" t="s">
        <v>3938</v>
      </c>
      <c r="AP75" s="17" t="s">
        <v>3939</v>
      </c>
      <c r="AQ75" s="17"/>
      <c r="AR75" s="17"/>
      <c r="AS75" s="14">
        <f>IFERROR((IF(SUMIFS(_REF_Model_Content!$J$1:$J$157,_REF_Model_Content!$A$1:$A$174,PV_Canonical_Industry,_REF_Model_Content!$B$1:$B$174,$B75)=0,1,SUMIFS(_REF_Model_Content!$J$1:$J$157,_REF_Model_Content!$A$1:$A$174,PV_Canonical_Industry,_REF_Model_Content!$B$1:$B$174,$B75))*IFERROR($CA75,1)),1)</f>
        <v>1</v>
      </c>
      <c r="AT75" s="14">
        <f t="shared" si="64"/>
        <v>2.54</v>
      </c>
      <c r="AU75" s="14">
        <f>IF($AT75="","",RANK($AT75,$AT$5:$AT$76,0)+COUNTIF($AT$5:AT75,$AT75)-1)</f>
        <v>12</v>
      </c>
      <c r="AV75" s="14">
        <f>IFERROR(INDEX(_DATA_Dashboard_Facts!$G$300:$G$316,MATCH($B75,_DATA_Dashboard_Facts!$A$300:$A$316,0)),"")</f>
        <v>0</v>
      </c>
      <c r="AW75" s="14" t="str">
        <f t="shared" si="65"/>
        <v>Relevance-neutral priority</v>
      </c>
      <c r="AX75">
        <f>IFERROR(INDEX('Action Plan &amp; Roadmap'!$D$59:$D$130,MATCH($A75,'Action Plan &amp; Roadmap'!$A$59:$A$130,0)),"")</f>
        <v>0</v>
      </c>
      <c r="AY75">
        <f t="shared" si="66"/>
        <v>0</v>
      </c>
      <c r="AZ75" t="s">
        <v>4426</v>
      </c>
      <c r="BA75">
        <f>IF($A75="","",COUNTIF(_DATA_RiskInitiativeMap!$A$1:$A$867,$A75))</f>
        <v>9</v>
      </c>
      <c r="BB75">
        <f>IF($A75="","",IFERROR(AVERAGEIF(_DATA_RiskInitiativeMap!$A$1:$A$867,$A75,_DATA_RiskInitiativeMap!$G$1:$G$867),0))</f>
        <v>12.183333333333335</v>
      </c>
      <c r="BC75">
        <f t="shared" si="67"/>
        <v>4.7</v>
      </c>
      <c r="BD75">
        <f t="shared" si="68"/>
        <v>3.9528333333333334</v>
      </c>
      <c r="BI75" s="17" t="str">
        <f>IFERROR(_CONFIG_Model_Settings!$B$103,"Adaptive")</f>
        <v>Fragile</v>
      </c>
      <c r="BJ75" s="17">
        <f>IFERROR(INDEX(_CONFIG_Model_Settings!$B$109:$B$113,MATCH($BI75,_CONFIG_Model_Settings!$A$109:$A$113,0)),0.3)</f>
        <v>0.2</v>
      </c>
      <c r="BK75" s="17">
        <f>IFERROR(INDEX(_CONFIG_Model_Settings!$C$109:$C$113,MATCH($BI75,_CONFIG_Model_Settings!$A$109:$A$113,0)),0.2)</f>
        <v>0.3</v>
      </c>
      <c r="BL75" s="17">
        <f>IFERROR(INDEX(_CONFIG_Model_Settings!$D$109:$D$113,MATCH($BI75,_CONFIG_Model_Settings!$A$109:$A$113,0)),0.25)</f>
        <v>0.4</v>
      </c>
      <c r="BM75" s="17">
        <f>IFERROR(INDEX(_CONFIG_Model_Settings!$E$109:$E$113,MATCH($BI75,_CONFIG_Model_Settings!$A$109:$A$113,0)),0.25)</f>
        <v>0.1</v>
      </c>
      <c r="BN75" s="17">
        <f>IFERROR(INDEX(_CONFIG_Model_Settings!$B$117:$B$123,MATCH(_CONFIG_Model_Settings!$B$104,_CONFIG_Model_Settings!$A$117:$A$123,0)),1)</f>
        <v>1</v>
      </c>
      <c r="BO75" s="17">
        <f>IFERROR(INDEX(_CONFIG_Model_Settings!$C$117:$C$123,MATCH(_CONFIG_Model_Settings!$B$104,_CONFIG_Model_Settings!$A$117:$A$123,0)),1)</f>
        <v>1</v>
      </c>
      <c r="BP75" s="17">
        <f>IFERROR(INDEX(_CONFIG_Model_Settings!$D$117:$D$123,MATCH(_CONFIG_Model_Settings!$B$104,_CONFIG_Model_Settings!$A$117:$A$123,0)),1)</f>
        <v>1</v>
      </c>
      <c r="BQ75" s="17">
        <f>IFERROR(INDEX(_CONFIG_Model_Settings!$E$117:$E$123,MATCH(_CONFIG_Model_Settings!$B$104,_CONFIG_Model_Settings!$A$117:$A$123,0)),1)</f>
        <v>1</v>
      </c>
      <c r="BR75" s="17">
        <f>IF(OR($A75="",$P75=""),"",MIN(5,IFERROR(SUMIF(_DATA_RiskInitiativeMap!$A$1:$A$867,$A75,_DATA_RiskInitiativeMap!$K$1:$K$867)/MAX(1,_CONFIG_Model_Settings!$B$166),0)))</f>
        <v>5</v>
      </c>
      <c r="BS75" s="17">
        <f t="shared" si="69"/>
        <v>5.07</v>
      </c>
      <c r="BT75" s="17">
        <f t="shared" si="70"/>
        <v>2</v>
      </c>
      <c r="BU75" s="17">
        <f t="shared" si="71"/>
        <v>2.54</v>
      </c>
      <c r="BV75" s="17">
        <f>IF(OR($P75="",$BU75="",$AY75="Done",$AY75="Not applicable"),"",ROUND($BU75*N($AS75)*IF(OR('Resilience &amp; Risk Scenario'!$B$6="",'Resilience &amp; Risk Scenario'!$B$7&lt;=0),1,IFERROR(1+MIN(0.75,INDEX('Resilience &amp; Risk Scenario'!$E$21:$E$37,MATCH($B75,'Resilience &amp; Risk Scenario'!$B$21:$B$37,0))/10),1)),2))</f>
        <v>2.54</v>
      </c>
      <c r="BW75" s="17">
        <f>IF($BV75="","",RANK($BV75,$BV$5:$BV$76,0)+COUNTIF($BV$5:$BV75,$BV75)-1)</f>
        <v>12</v>
      </c>
      <c r="BX75" s="17" t="str">
        <f t="shared" si="72"/>
        <v>0-90 days</v>
      </c>
      <c r="BY75" t="str">
        <f>IFERROR(IF($A75="","","P2: "&amp;$BI75&amp;" posture; objective="&amp;IF(_CONFIG_Model_Settings!$B$104="","Neutral/default",_CONFIG_Model_Settings!$B$104)&amp;"; relevance="&amp;ROUND(N($AS75),2)&amp;"; scenario/domain boost="&amp;ROUND(IF(OR('Resilience &amp; Risk Scenario'!$B$6="",'Resilience &amp; Risk Scenario'!$B$7&lt;=0),1,IFERROR(1+MIN(0.75,INDEX('Resilience &amp; Risk Scenario'!$E$21:$E$37,MATCH($B75,'Resilience &amp; Risk Scenario'!$B$21:$B$37,0))/10),1)),2)&amp;"; financial score="&amp;ROUND(N($BR75),1)&amp;"; CoD="&amp;$BS75&amp;IF($CL75&lt;&gt;"","; wording="&amp;$CL75,"")),"")</f>
        <v>P2: Fragile posture; objective=Neutral/default; relevance=1; scenario/domain boost=1; financial score=5; CoD=5.07; wording=Strengthen Delivery continuity</v>
      </c>
      <c r="BZ75" t="str">
        <f>IFERROR(INDEX(_REF_Capability_Bridge!$D:$D,MATCH($B75&amp;"|"&amp;$C75,_REF_Capability_Bridge!$J:$J,0)),IFERROR(INDEX(_REF_Capability_Bridge!$D:$D,MATCH($B75&amp;"|",_REF_Capability_Bridge!$J:$J,0)),"CAP_GENERIC"))</f>
        <v>CAP_DELIVERY_CONTINUITY</v>
      </c>
      <c r="CA75">
        <f>IFERROR(IFERROR(INDEX(_ENGINE_Relevance!$L:$L,MATCH($BZ75,_ENGINE_Relevance!$B:$B,0)),1),1)</f>
        <v>1</v>
      </c>
      <c r="CB75" t="str">
        <f>IFERROR(INDEX(_REF_Capability_Bridge!$A:$A,MATCH($B75&amp;"|"&amp;$C75,_REF_Capability_Bridge!$J:$J,0)),IFERROR(INDEX(_REF_Capability_Bridge!$A:$A,MATCH($B75&amp;"|",_REF_Capability_Bridge!$J:$J,0)),"No bridge"))</f>
        <v>BRG-073</v>
      </c>
      <c r="CC75" t="str">
        <f t="shared" si="73"/>
        <v>Capability relevance neutral</v>
      </c>
      <c r="CD75" t="str">
        <f t="shared" si="74"/>
        <v>Initial / absent</v>
      </c>
      <c r="CE75" t="str">
        <f>IF($A75="","",IFERROR(INDEX(_REF_Treatment_Library!$A$2:$A$296,MATCH(1,INDEX((_REF_Treatment_Library!$B$2:$B$296=$BZ75)*(_REF_Treatment_Library!$C$2:$C$296=PV_Canonical_Industry)*(_REF_Treatment_Library!$E$2:$E$296&lt;=N($N75))*(_REF_Treatment_Library!$F$2:$F$296&gt;=N($N75))*(_REF_Treatment_Library!$O$2:$O$296="Yes"),0),0)),IFERROR(INDEX(_REF_Treatment_Library!$A$2:$A$296,MATCH(1,INDEX((_REF_Treatment_Library!$B$2:$B$296=$BZ75)*(_REF_Treatment_Library!$C$2:$C$296="All")*(_REF_Treatment_Library!$E$2:$E$296&lt;=N($N75))*(_REF_Treatment_Library!$F$2:$F$296&gt;=N($N75))*(_REF_Treatment_Library!$O$2:$O$296="Yes"),0),0)),"")))</f>
        <v>TRT-DELIVERY_CONTINUITY-INITIAL</v>
      </c>
      <c r="CF75" t="str">
        <f>IF($CE75="","",IFERROR(INDEX(_REF_Treatment_Library!$H$2:$H$296,MATCH($CE75,_REF_Treatment_Library!$A$2:$A$296,0)),""))</f>
        <v>Establish</v>
      </c>
      <c r="CG75" t="str">
        <f>IF($CE75="","",IFERROR(INDEX(_REF_Treatment_Library!$I$2:$I$296,MATCH($CE75,_REF_Treatment_Library!$A$2:$A$296,0)),""))</f>
        <v>Establish baseline controls for Delivery continuity</v>
      </c>
      <c r="CH75" t="str">
        <f>IF($CE75="","",IFERROR(INDEX(_REF_Treatment_Library!$K$2:$K$296,MATCH($CE75,_REF_Treatment_Library!$A$2:$A$296,0)),""))</f>
        <v>Named owner, baseline process, minimum control checklist, first evidence package</v>
      </c>
      <c r="CI75" t="str">
        <f>IF($CE75="","",IFERROR(INDEX(_REF_Treatment_Library!$L$2:$L$296,MATCH($CE75,_REF_Treatment_Library!$A$2:$A$296,0)),""))</f>
        <v>Owner assigned; baseline evidence coverage; open critical gaps</v>
      </c>
      <c r="CJ75" t="str">
        <f t="shared" si="75"/>
        <v>Treatment by capability=CAP_DELIVERY_CONTINUITY; band=Initial / absent; score=0.0; treatment=Establish</v>
      </c>
      <c r="CK75" t="str">
        <f>IF($A75="","",IFERROR(INDEX(_REF_Industry_Wording!$A$2:$A$70,MATCH(1,INDEX((_REF_Industry_Wording!$B$2:$B$70=$BZ75)*(_REF_Industry_Wording!$C$2:$C$70=PV_Canonical_Industry)*(_REF_Industry_Wording!$K$2:$K$70="Yes"),0),0)),IFERROR(INDEX(_REF_Industry_Wording!$A$2:$A$70,MATCH(1,INDEX((_REF_Industry_Wording!$B$2:$B$70=$BZ75)*(_REF_Industry_Wording!$C$2:$C$70="All")*(_REF_Industry_Wording!$K$2:$K$70="Yes"),0),0)),"")))</f>
        <v>IW-ALL-DELIVERY_CONTINUITY</v>
      </c>
      <c r="CL75" t="str">
        <f>IF($CK75="","",IFERROR(INDEX(_REF_Industry_Wording!$F$2:$F$70,MATCH($CK75,_REF_Industry_Wording!$A$2:$A$70,0)),""))</f>
        <v>Strengthen Delivery continuity</v>
      </c>
      <c r="CM75" t="str">
        <f>IF($CK75="","",IFERROR(INDEX(_REF_Industry_Wording!$G$2:$G$70,MATCH($CK75,_REF_Industry_Wording!$A$2:$A$70,0)),""))</f>
        <v>Strengthen Delivery continuity using the selected maturity treatment, crisis scenario and evidence requirements.</v>
      </c>
      <c r="CN75" t="str">
        <f>IF($CK75="","",IFERROR(INDEX(_REF_Industry_Wording!$H$2:$H$70,MATCH($CK75,_REF_Industry_Wording!$A$2:$A$70,0)),""))</f>
        <v>Delivery continuity</v>
      </c>
      <c r="CO75">
        <f>IF($CK75="","",IFERROR(INDEX(_REF_Industry_Wording!$I$2:$I$70,MATCH($CK75,_REF_Industry_Wording!$A$2:$A$70,0)),""))</f>
        <v>0</v>
      </c>
      <c r="CP75" t="str">
        <f>IF($CK75="","",IFERROR(INDEX(_REF_Industry_Wording!$J$2:$J$70,MATCH($CK75,_REF_Industry_Wording!$A$2:$A$70,0)),""))</f>
        <v>Delivery continuity</v>
      </c>
      <c r="CQ75" t="str">
        <f t="shared" si="76"/>
        <v>Wording by industry=0; capability=CAP_DELIVERY_CONTINUITY; title=Strengthen Delivery continuity</v>
      </c>
      <c r="CR75" t="str">
        <f t="shared" si="77"/>
        <v>INIT-ONT-0071</v>
      </c>
      <c r="CS75">
        <f t="shared" si="78"/>
        <v>75</v>
      </c>
      <c r="CT75" t="str">
        <f t="shared" si="79"/>
        <v>CAP_DELIVERY_CONTINUITY</v>
      </c>
      <c r="CU75" t="str">
        <f t="shared" si="80"/>
        <v>INI-071|Quality Portfolio|Portfolio and change|CAP_DELIVERY_CONTINUITY</v>
      </c>
      <c r="CV75" t="str">
        <f t="shared" si="81"/>
        <v>Active</v>
      </c>
      <c r="CW75" t="str">
        <f t="shared" si="82"/>
        <v>OK: capability-driven</v>
      </c>
      <c r="CX75" t="str">
        <f t="shared" si="83"/>
        <v>Initiative ontology uses capability=CAP_DELIVERY_CONTINUITY; bridge=BRG-073; treatment=TRT-DELIVERY_CONTINUITY-INITIAL; wording=IW-ALL-DELIVERY_CONTINUITY</v>
      </c>
    </row>
    <row r="76" spans="1:102" ht="42" customHeight="1">
      <c r="A76" s="17" t="s">
        <v>4528</v>
      </c>
      <c r="B76" s="17" t="s">
        <v>3204</v>
      </c>
      <c r="C76" s="17" t="s">
        <v>3235</v>
      </c>
      <c r="D76" s="17" t="s">
        <v>4064</v>
      </c>
      <c r="E76" s="17" t="s">
        <v>4065</v>
      </c>
      <c r="F76" s="17" t="s">
        <v>4529</v>
      </c>
      <c r="G76" s="17" t="s">
        <v>4530</v>
      </c>
      <c r="H76" s="17" t="s">
        <v>4507</v>
      </c>
      <c r="I76" s="17" t="s">
        <v>4508</v>
      </c>
      <c r="J76" s="17" t="s">
        <v>4531</v>
      </c>
      <c r="K76" s="17">
        <v>4</v>
      </c>
      <c r="L76" s="17">
        <f>IF($A76="","",COUNTIFS(_DATA_RiskInitiativeMap!$A$444:$A$867,$A76,_DATA_RiskInitiativeMap!$G$444:$G$867,"&gt;0"))</f>
        <v>4</v>
      </c>
      <c r="M76" s="17">
        <f>IF($A76="","",COUNTIFS(_DATA_RiskInitiativeMap!$A$444:$A$867,$A76,_DATA_RiskInitiativeMap!$G$444:$G$867,"&gt;0"))</f>
        <v>4</v>
      </c>
      <c r="N76" s="17">
        <f>IFERROR(AVERAGEIFS(_DATA_Assessment_Model!$H$5:$H$428,_DATA_Assessment_Model!$AW$5:$AW$428,$B76,_DATA_Assessment_Model!$B$5:$B$428,$C76),"")</f>
        <v>0</v>
      </c>
      <c r="O76" s="17">
        <f t="shared" si="56"/>
        <v>5</v>
      </c>
      <c r="P76" s="17">
        <f>IFERROR(INDEX(_DATA_Dashboard_Facts!$H$5:$H$21,MATCH($B76,_DATA_Dashboard_Facts!$A$5:$A$21,0)),"")</f>
        <v>0</v>
      </c>
      <c r="Q76" s="17">
        <f t="shared" si="57"/>
        <v>5</v>
      </c>
      <c r="R76" s="17">
        <f>IF(OR('Resilience &amp; Risk Scenario'!$B$6="",'Resilience &amp; Risk Scenario'!$B$7&lt;=0),1,IFERROR(IF(SUMIFS(_ENGINE_Crisis!$D$5:$D$208,_ENGINE_Crisis!$A$5:$A$208,'Resilience &amp; Risk Scenario'!$B$6,_ENGINE_Crisis!$B$5:$B$208,$B76)=0,1,SUMIFS(_ENGINE_Crisis!$D$5:$D$208,_ENGINE_Crisis!$A$5:$A$208,'Resilience &amp; Risk Scenario'!$B$6,_ENGINE_Crisis!$B$5:$B$208,$B76)),1))</f>
        <v>1</v>
      </c>
      <c r="S76" s="17">
        <f>IFERROR(INDEX(_ENGINE_Strategy!$A$100:$A$113,MATCH($D76,_ENGINE_Strategy!$B$100:$B$113,0)),99)</f>
        <v>4</v>
      </c>
      <c r="T76" s="17">
        <f>IFERROR(INDEX(_ENGINE_Strategy!$J$100:$J$113,MATCH($D76,_ENGINE_Strategy!$B$100:$B$113,0)),0)</f>
        <v>69</v>
      </c>
      <c r="U76" s="17">
        <v>2</v>
      </c>
      <c r="V76" s="17">
        <v>4</v>
      </c>
      <c r="W76" s="17">
        <v>5</v>
      </c>
      <c r="X76" s="17">
        <f t="shared" si="58"/>
        <v>4.6124999999999998</v>
      </c>
      <c r="Y76" s="17">
        <f>IF($P76="","",MAX(1,MIN(5,1+N($O76)*0.45+MIN(2,N($M76)*0.3)+($R76-1)*1.2+IF('Resilience &amp; Risk Scenario'!$B$7="",1,'Resilience &amp; Risk Scenario'!$B$7)*0.25)))</f>
        <v>4.7</v>
      </c>
      <c r="Z76" s="17">
        <f t="shared" si="59"/>
        <v>4.8</v>
      </c>
      <c r="AA76" s="17">
        <f t="shared" si="60"/>
        <v>3.335</v>
      </c>
      <c r="AB76" s="17">
        <v>2</v>
      </c>
      <c r="AC76" s="17">
        <f t="shared" si="61"/>
        <v>2.5099999999999998</v>
      </c>
      <c r="AD76" s="17">
        <f t="shared" si="62"/>
        <v>13</v>
      </c>
      <c r="AE76" s="17" t="str">
        <f t="shared" si="63"/>
        <v>3-6 months</v>
      </c>
      <c r="AF76" s="17" t="s">
        <v>4510</v>
      </c>
      <c r="AG76" s="17" t="s">
        <v>3930</v>
      </c>
      <c r="AH76" s="17" t="s">
        <v>3931</v>
      </c>
      <c r="AI76" s="17" t="s">
        <v>3932</v>
      </c>
      <c r="AJ76" s="17" t="s">
        <v>4532</v>
      </c>
      <c r="AK76" s="17" t="s">
        <v>4533</v>
      </c>
      <c r="AL76" s="17" t="s">
        <v>4534</v>
      </c>
      <c r="AM76" s="17" t="s">
        <v>4072</v>
      </c>
      <c r="AN76" s="17" t="s">
        <v>3937</v>
      </c>
      <c r="AO76" s="17" t="s">
        <v>3938</v>
      </c>
      <c r="AP76" s="17" t="s">
        <v>3939</v>
      </c>
      <c r="AQ76" s="17"/>
      <c r="AR76" s="17"/>
      <c r="AS76" s="14">
        <f>IFERROR((IF(SUMIFS(_REF_Model_Content!$J$1:$J$157,_REF_Model_Content!$A$1:$A$174,PV_Canonical_Industry,_REF_Model_Content!$B$1:$B$174,$B76)=0,1,SUMIFS(_REF_Model_Content!$J$1:$J$157,_REF_Model_Content!$A$1:$A$174,PV_Canonical_Industry,_REF_Model_Content!$B$1:$B$174,$B76))*IFERROR($CA76,1)),1)</f>
        <v>1</v>
      </c>
      <c r="AT76" s="14">
        <f t="shared" si="64"/>
        <v>2.5099999999999998</v>
      </c>
      <c r="AU76" s="14">
        <f>IF($AT76="","",RANK($AT76,$AT$5:$AT$76,0)+COUNTIF($AT$5:AT76,$AT76)-1)</f>
        <v>13</v>
      </c>
      <c r="AV76" s="14">
        <f>IFERROR(INDEX(_DATA_Dashboard_Facts!$G$300:$G$316,MATCH($B76,_DATA_Dashboard_Facts!$A$300:$A$316,0)),"")</f>
        <v>0</v>
      </c>
      <c r="AW76" s="14" t="str">
        <f t="shared" si="65"/>
        <v>Relevance-neutral priority</v>
      </c>
      <c r="AX76">
        <f>IFERROR(INDEX('Action Plan &amp; Roadmap'!$D$59:$D$130,MATCH($A76,'Action Plan &amp; Roadmap'!$A$59:$A$130,0)),"")</f>
        <v>0</v>
      </c>
      <c r="AY76">
        <f t="shared" si="66"/>
        <v>0</v>
      </c>
      <c r="AZ76" t="s">
        <v>4426</v>
      </c>
      <c r="BA76">
        <f>IF($A76="","",COUNTIF(_DATA_RiskInitiativeMap!$A$1:$A$867,$A76))</f>
        <v>4</v>
      </c>
      <c r="BB76">
        <f>IF($A76="","",IFERROR(AVERAGEIF(_DATA_RiskInitiativeMap!$A$1:$A$867,$A76,_DATA_RiskInitiativeMap!$G$1:$G$867),0))</f>
        <v>12.8</v>
      </c>
      <c r="BC76">
        <f t="shared" si="67"/>
        <v>4.7</v>
      </c>
      <c r="BD76">
        <f t="shared" si="68"/>
        <v>3.996</v>
      </c>
      <c r="BI76" s="17" t="str">
        <f>IFERROR(_CONFIG_Model_Settings!$B$103,"Adaptive")</f>
        <v>Fragile</v>
      </c>
      <c r="BJ76" s="17">
        <f>IFERROR(INDEX(_CONFIG_Model_Settings!$B$109:$B$113,MATCH($BI76,_CONFIG_Model_Settings!$A$109:$A$113,0)),0.3)</f>
        <v>0.2</v>
      </c>
      <c r="BK76" s="17">
        <f>IFERROR(INDEX(_CONFIG_Model_Settings!$C$109:$C$113,MATCH($BI76,_CONFIG_Model_Settings!$A$109:$A$113,0)),0.2)</f>
        <v>0.3</v>
      </c>
      <c r="BL76" s="17">
        <f>IFERROR(INDEX(_CONFIG_Model_Settings!$D$109:$D$113,MATCH($BI76,_CONFIG_Model_Settings!$A$109:$A$113,0)),0.25)</f>
        <v>0.4</v>
      </c>
      <c r="BM76" s="17">
        <f>IFERROR(INDEX(_CONFIG_Model_Settings!$E$109:$E$113,MATCH($BI76,_CONFIG_Model_Settings!$A$109:$A$113,0)),0.25)</f>
        <v>0.1</v>
      </c>
      <c r="BN76" s="17">
        <f>IFERROR(INDEX(_CONFIG_Model_Settings!$B$117:$B$123,MATCH(_CONFIG_Model_Settings!$B$104,_CONFIG_Model_Settings!$A$117:$A$123,0)),1)</f>
        <v>1</v>
      </c>
      <c r="BO76" s="17">
        <f>IFERROR(INDEX(_CONFIG_Model_Settings!$C$117:$C$123,MATCH(_CONFIG_Model_Settings!$B$104,_CONFIG_Model_Settings!$A$117:$A$123,0)),1)</f>
        <v>1</v>
      </c>
      <c r="BP76" s="17">
        <f>IFERROR(INDEX(_CONFIG_Model_Settings!$D$117:$D$123,MATCH(_CONFIG_Model_Settings!$B$104,_CONFIG_Model_Settings!$A$117:$A$123,0)),1)</f>
        <v>1</v>
      </c>
      <c r="BQ76" s="17">
        <f>IFERROR(INDEX(_CONFIG_Model_Settings!$E$117:$E$123,MATCH(_CONFIG_Model_Settings!$B$104,_CONFIG_Model_Settings!$A$117:$A$123,0)),1)</f>
        <v>1</v>
      </c>
      <c r="BR76" s="17">
        <f>IF(OR($A76="",$P76=""),"",MIN(5,IFERROR(SUMIF(_DATA_RiskInitiativeMap!$A$1:$A$867,$A76,_DATA_RiskInitiativeMap!$K$1:$K$867)/MAX(1,_CONFIG_Model_Settings!$B$166),0)))</f>
        <v>5</v>
      </c>
      <c r="BS76" s="17">
        <f t="shared" si="69"/>
        <v>5.01</v>
      </c>
      <c r="BT76" s="17">
        <f t="shared" si="70"/>
        <v>2</v>
      </c>
      <c r="BU76" s="17">
        <f t="shared" si="71"/>
        <v>2.5099999999999998</v>
      </c>
      <c r="BV76" s="17">
        <f>IF(OR($P76="",$BU76="",$AY76="Done",$AY76="Not applicable"),"",ROUND($BU76*N($AS76)*IF(OR('Resilience &amp; Risk Scenario'!$B$6="",'Resilience &amp; Risk Scenario'!$B$7&lt;=0),1,IFERROR(1+MIN(0.75,INDEX('Resilience &amp; Risk Scenario'!$E$21:$E$37,MATCH($B76,'Resilience &amp; Risk Scenario'!$B$21:$B$37,0))/10),1)),2))</f>
        <v>2.5099999999999998</v>
      </c>
      <c r="BW76" s="17">
        <f>IF($BV76="","",RANK($BV76,$BV$5:$BV$76,0)+COUNTIF($BV$5:$BV76,$BV76)-1)</f>
        <v>13</v>
      </c>
      <c r="BX76" s="17" t="str">
        <f t="shared" si="72"/>
        <v>3-6 months</v>
      </c>
      <c r="BY76" t="str">
        <f>IFERROR(IF($A76="","","P2: "&amp;$BI76&amp;" posture; objective="&amp;IF(_CONFIG_Model_Settings!$B$104="","Neutral/default",_CONFIG_Model_Settings!$B$104)&amp;"; relevance="&amp;ROUND(N($AS76),2)&amp;"; scenario/domain boost="&amp;ROUND(IF(OR('Resilience &amp; Risk Scenario'!$B$6="",'Resilience &amp; Risk Scenario'!$B$7&lt;=0),1,IFERROR(1+MIN(0.75,INDEX('Resilience &amp; Risk Scenario'!$E$21:$E$37,MATCH($B76,'Resilience &amp; Risk Scenario'!$B$21:$B$37,0))/10),1)),2)&amp;"; financial score="&amp;ROUND(N($BR76),1)&amp;"; CoD="&amp;$BS76&amp;IF($CL76&lt;&gt;"","; wording="&amp;$CL76,"")),"")</f>
        <v>P2: Fragile posture; objective=Neutral/default; relevance=1; scenario/domain boost=1; financial score=5; CoD=5.01; wording=Strengthen Generic business systems</v>
      </c>
      <c r="BZ76" t="str">
        <f>IFERROR(INDEX(_REF_Capability_Bridge!$D:$D,MATCH($B76&amp;"|"&amp;$C76,_REF_Capability_Bridge!$J:$J,0)),IFERROR(INDEX(_REF_Capability_Bridge!$D:$D,MATCH($B76&amp;"|",_REF_Capability_Bridge!$J:$J,0)),"CAP_GENERIC"))</f>
        <v>CAP_BUSINESS_SYSTEMS</v>
      </c>
      <c r="CA76">
        <f>IFERROR(IFERROR(INDEX(_ENGINE_Relevance!$L:$L,MATCH($BZ76,_ENGINE_Relevance!$B:$B,0)),1),1)</f>
        <v>1</v>
      </c>
      <c r="CB76" t="str">
        <f>IFERROR(INDEX(_REF_Capability_Bridge!$A:$A,MATCH($B76&amp;"|"&amp;$C76,_REF_Capability_Bridge!$J:$J,0)),IFERROR(INDEX(_REF_Capability_Bridge!$A:$A,MATCH($B76&amp;"|",_REF_Capability_Bridge!$J:$J,0)),"No bridge"))</f>
        <v>BRG-072</v>
      </c>
      <c r="CC76" t="str">
        <f t="shared" si="73"/>
        <v>Capability relevance neutral</v>
      </c>
      <c r="CD76" t="str">
        <f t="shared" si="74"/>
        <v>Initial / absent</v>
      </c>
      <c r="CE76" t="str">
        <f>IF($A76="","",IFERROR(INDEX(_REF_Treatment_Library!$A$2:$A$296,MATCH(1,INDEX((_REF_Treatment_Library!$B$2:$B$296=$BZ76)*(_REF_Treatment_Library!$C$2:$C$296=PV_Canonical_Industry)*(_REF_Treatment_Library!$E$2:$E$296&lt;=N($N76))*(_REF_Treatment_Library!$F$2:$F$296&gt;=N($N76))*(_REF_Treatment_Library!$O$2:$O$296="Yes"),0),0)),IFERROR(INDEX(_REF_Treatment_Library!$A$2:$A$296,MATCH(1,INDEX((_REF_Treatment_Library!$B$2:$B$296=$BZ76)*(_REF_Treatment_Library!$C$2:$C$296="All")*(_REF_Treatment_Library!$E$2:$E$296&lt;=N($N76))*(_REF_Treatment_Library!$F$2:$F$296&gt;=N($N76))*(_REF_Treatment_Library!$O$2:$O$296="Yes"),0),0)),"")))</f>
        <v>TRT-BUSINESS_SYSTEMS-INITIAL</v>
      </c>
      <c r="CF76" t="str">
        <f>IF($CE76="","",IFERROR(INDEX(_REF_Treatment_Library!$H$2:$H$296,MATCH($CE76,_REF_Treatment_Library!$A$2:$A$296,0)),""))</f>
        <v>Establish</v>
      </c>
      <c r="CG76" t="str">
        <f>IF($CE76="","",IFERROR(INDEX(_REF_Treatment_Library!$I$2:$I$296,MATCH($CE76,_REF_Treatment_Library!$A$2:$A$296,0)),""))</f>
        <v>Establish baseline controls for Generic business systems</v>
      </c>
      <c r="CH76" t="str">
        <f>IF($CE76="","",IFERROR(INDEX(_REF_Treatment_Library!$K$2:$K$296,MATCH($CE76,_REF_Treatment_Library!$A$2:$A$296,0)),""))</f>
        <v>Named owner, baseline process, minimum control checklist, first evidence package</v>
      </c>
      <c r="CI76" t="str">
        <f>IF($CE76="","",IFERROR(INDEX(_REF_Treatment_Library!$L$2:$L$296,MATCH($CE76,_REF_Treatment_Library!$A$2:$A$296,0)),""))</f>
        <v>Owner assigned; baseline evidence coverage; open critical gaps</v>
      </c>
      <c r="CJ76" t="str">
        <f t="shared" si="75"/>
        <v>Treatment by capability=CAP_BUSINESS_SYSTEMS; band=Initial / absent; score=0.0; treatment=Establish</v>
      </c>
      <c r="CK76" t="str">
        <f>IF($A76="","",IFERROR(INDEX(_REF_Industry_Wording!$A$2:$A$70,MATCH(1,INDEX((_REF_Industry_Wording!$B$2:$B$70=$BZ76)*(_REF_Industry_Wording!$C$2:$C$70=PV_Canonical_Industry)*(_REF_Industry_Wording!$K$2:$K$70="Yes"),0),0)),IFERROR(INDEX(_REF_Industry_Wording!$A$2:$A$70,MATCH(1,INDEX((_REF_Industry_Wording!$B$2:$B$70=$BZ76)*(_REF_Industry_Wording!$C$2:$C$70="All")*(_REF_Industry_Wording!$K$2:$K$70="Yes"),0),0)),"")))</f>
        <v>IW-ALL-BUSINESS_SYSTEMS</v>
      </c>
      <c r="CL76" t="str">
        <f>IF($CK76="","",IFERROR(INDEX(_REF_Industry_Wording!$F$2:$F$70,MATCH($CK76,_REF_Industry_Wording!$A$2:$A$70,0)),""))</f>
        <v>Strengthen Generic business systems</v>
      </c>
      <c r="CM76" t="str">
        <f>IF($CK76="","",IFERROR(INDEX(_REF_Industry_Wording!$G$2:$G$70,MATCH($CK76,_REF_Industry_Wording!$A$2:$A$70,0)),""))</f>
        <v>Strengthen Generic business systems using the selected maturity treatment, crisis scenario and evidence requirements.</v>
      </c>
      <c r="CN76" t="str">
        <f>IF($CK76="","",IFERROR(INDEX(_REF_Industry_Wording!$H$2:$H$70,MATCH($CK76,_REF_Industry_Wording!$A$2:$A$70,0)),""))</f>
        <v>Generic business systems</v>
      </c>
      <c r="CO76">
        <f>IF($CK76="","",IFERROR(INDEX(_REF_Industry_Wording!$I$2:$I$70,MATCH($CK76,_REF_Industry_Wording!$A$2:$A$70,0)),""))</f>
        <v>0</v>
      </c>
      <c r="CP76" t="str">
        <f>IF($CK76="","",IFERROR(INDEX(_REF_Industry_Wording!$J$2:$J$70,MATCH($CK76,_REF_Industry_Wording!$A$2:$A$70,0)),""))</f>
        <v>Generic business systems</v>
      </c>
      <c r="CQ76" t="str">
        <f t="shared" si="76"/>
        <v>Wording by industry=0; capability=CAP_BUSINESS_SYSTEMS; title=Strengthen Generic business systems</v>
      </c>
      <c r="CR76" t="str">
        <f t="shared" si="77"/>
        <v>INIT-ONT-0072</v>
      </c>
      <c r="CS76">
        <f t="shared" si="78"/>
        <v>76</v>
      </c>
      <c r="CT76" t="str">
        <f t="shared" si="79"/>
        <v>CAP_BUSINESS_SYSTEMS</v>
      </c>
      <c r="CU76" t="str">
        <f t="shared" si="80"/>
        <v>INI-072|Quality Portfolio|Management system|CAP_BUSINESS_SYSTEMS</v>
      </c>
      <c r="CV76" t="str">
        <f t="shared" si="81"/>
        <v>Active</v>
      </c>
      <c r="CW76" t="str">
        <f t="shared" si="82"/>
        <v>OK: capability-driven</v>
      </c>
      <c r="CX76" t="str">
        <f t="shared" si="83"/>
        <v>Initiative ontology uses capability=CAP_BUSINESS_SYSTEMS; bridge=BRG-072; treatment=TRT-BUSINESS_SYSTEMS-INITIAL; wording=IW-ALL-BUSINESS_SYSTEMS</v>
      </c>
    </row>
  </sheetData>
  <mergeCells count="2">
    <mergeCell ref="A1:AR1"/>
    <mergeCell ref="A2:AR2"/>
  </mergeCells>
  <conditionalFormatting sqref="AC5:AC76">
    <cfRule type="colorScale" priority="1">
      <colorScale>
        <cfvo type="min"/>
        <cfvo type="percentile" val="50"/>
        <cfvo type="max"/>
        <color rgb="FFFCE4D6"/>
        <color rgb="FFFFF2CC"/>
        <color rgb="FFE2F0D9"/>
      </colorScale>
    </cfRule>
  </conditionalFormatting>
  <dataValidations count="1">
    <dataValidation type="list" allowBlank="1" sqref="AO5:AO76" xr:uid="{00000000-0002-0000-0800-000000000000}">
      <formula1>"Not started,In progress,Blocked,Done,Deferred"</formula1>
    </dataValidation>
  </dataValidations>
  <pageMargins left="0.75" right="0.75" top="1" bottom="1" header="0.5" footer="0.5"/>
  <pageSetup fitToHeight="0" orientation="landscape"/>
  <headerFooter>
    <oddFooter>&amp;R© Roman Reznikov / RR-framework — CC BY-NC-SA 4.0 — For authorized use only</oddFooter>
    <evenFooter>&amp;R© Roman Reznikov / RR-framework — CC BY-NC-SA 4.0 — For authorized use only</evenFooter>
    <firstFooter>&amp;R© Roman Reznikov / RR-framework — CC BY-NC-SA 4.0 — For authorized use only</first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111827"/>
    <pageSetUpPr fitToPage="1"/>
  </sheetPr>
  <dimension ref="A1:CS923"/>
  <sheetViews>
    <sheetView showGridLines="0" workbookViewId="0">
      <pane ySplit="3" topLeftCell="A4" activePane="bottomLeft" state="frozen"/>
      <selection pane="bottomLeft"/>
    </sheetView>
  </sheetViews>
  <sheetFormatPr defaultRowHeight="14.15"/>
  <cols>
    <col min="1" max="1" width="13" customWidth="1"/>
    <col min="2" max="2" width="20" customWidth="1"/>
    <col min="3" max="3" width="24" customWidth="1"/>
    <col min="4" max="4" width="28" customWidth="1"/>
    <col min="5" max="6" width="55" customWidth="1"/>
    <col min="7" max="7" width="45" customWidth="1"/>
    <col min="8" max="13" width="46" customWidth="1"/>
    <col min="14" max="19" width="48" customWidth="1"/>
    <col min="20" max="25" width="14" customWidth="1"/>
    <col min="26" max="26" width="32" customWidth="1"/>
    <col min="27" max="27" width="42" customWidth="1"/>
    <col min="28" max="28" width="28" customWidth="1"/>
    <col min="29" max="29" width="24" customWidth="1"/>
    <col min="30" max="30" width="18" customWidth="1"/>
    <col min="32" max="38" width="20" customWidth="1"/>
    <col min="76" max="82" width="24" customWidth="1"/>
    <col min="83" max="90" width="28" customWidth="1"/>
  </cols>
  <sheetData>
    <row r="1" spans="1:90" ht="25.95" customHeight="1">
      <c r="A1" s="303" t="s">
        <v>4535</v>
      </c>
      <c r="B1" s="304"/>
      <c r="C1" s="304"/>
      <c r="D1" s="304"/>
      <c r="E1" s="304"/>
      <c r="F1" s="304"/>
      <c r="G1" s="304"/>
      <c r="H1" s="304"/>
      <c r="I1" s="304"/>
      <c r="J1" s="304"/>
      <c r="K1" s="304"/>
      <c r="L1" s="304"/>
      <c r="M1" s="304"/>
      <c r="N1" s="304"/>
      <c r="O1" s="304"/>
      <c r="P1" s="304"/>
      <c r="Q1" s="304"/>
      <c r="R1" s="304"/>
      <c r="S1" s="304"/>
      <c r="T1" s="304"/>
      <c r="U1" s="304"/>
      <c r="V1" s="304"/>
      <c r="W1" s="304"/>
      <c r="X1" s="304"/>
      <c r="Y1" s="304"/>
      <c r="Z1" s="304"/>
      <c r="AA1" s="304"/>
      <c r="AB1" s="304"/>
      <c r="AC1" s="304"/>
      <c r="AD1" s="305"/>
    </row>
    <row r="2" spans="1:90" ht="34.1" customHeight="1">
      <c r="A2" s="306" t="s">
        <v>4536</v>
      </c>
      <c r="B2" s="267"/>
      <c r="C2" s="267"/>
      <c r="D2" s="267"/>
      <c r="E2" s="267"/>
      <c r="F2" s="267"/>
      <c r="G2" s="267"/>
      <c r="H2" s="267"/>
      <c r="I2" s="267"/>
      <c r="J2" s="267"/>
      <c r="K2" s="267"/>
      <c r="L2" s="267"/>
      <c r="M2" s="267"/>
      <c r="N2" s="267"/>
      <c r="O2" s="267"/>
      <c r="P2" s="267"/>
      <c r="Q2" s="267"/>
      <c r="R2" s="267"/>
      <c r="S2" s="267"/>
      <c r="T2" s="267"/>
      <c r="U2" s="267"/>
      <c r="V2" s="267"/>
      <c r="W2" s="267"/>
      <c r="X2" s="267"/>
      <c r="Y2" s="267"/>
      <c r="Z2" s="267"/>
      <c r="AA2" s="267"/>
      <c r="AB2" s="267"/>
      <c r="AC2" s="267"/>
      <c r="AD2" s="267"/>
    </row>
    <row r="4" spans="1:90" ht="24" customHeight="1">
      <c r="A4" s="10" t="s">
        <v>4537</v>
      </c>
      <c r="B4" s="10" t="s">
        <v>764</v>
      </c>
      <c r="C4" s="10" t="s">
        <v>768</v>
      </c>
      <c r="D4" s="10" t="s">
        <v>4538</v>
      </c>
      <c r="E4" s="10" t="s">
        <v>769</v>
      </c>
      <c r="F4" s="10" t="s">
        <v>4539</v>
      </c>
      <c r="G4" s="10" t="s">
        <v>4540</v>
      </c>
      <c r="H4" s="10" t="s">
        <v>4541</v>
      </c>
      <c r="I4" s="10" t="s">
        <v>4542</v>
      </c>
      <c r="J4" s="10" t="s">
        <v>4543</v>
      </c>
      <c r="K4" s="10" t="s">
        <v>4544</v>
      </c>
      <c r="L4" s="10" t="s">
        <v>4545</v>
      </c>
      <c r="M4" s="10" t="s">
        <v>4546</v>
      </c>
      <c r="N4" s="10" t="s">
        <v>4547</v>
      </c>
      <c r="O4" s="10" t="s">
        <v>4548</v>
      </c>
      <c r="P4" s="10" t="s">
        <v>4549</v>
      </c>
      <c r="Q4" s="10" t="s">
        <v>4550</v>
      </c>
      <c r="R4" s="10" t="s">
        <v>4551</v>
      </c>
      <c r="S4" s="10" t="s">
        <v>4552</v>
      </c>
      <c r="T4" s="10" t="s">
        <v>4553</v>
      </c>
      <c r="U4" s="10" t="s">
        <v>4554</v>
      </c>
      <c r="V4" s="10" t="s">
        <v>4555</v>
      </c>
      <c r="W4" s="10" t="s">
        <v>4556</v>
      </c>
      <c r="X4" s="10" t="s">
        <v>4557</v>
      </c>
      <c r="Y4" s="10" t="s">
        <v>4558</v>
      </c>
      <c r="Z4" s="10" t="s">
        <v>771</v>
      </c>
      <c r="AA4" s="10" t="s">
        <v>772</v>
      </c>
      <c r="AB4" s="10" t="s">
        <v>4559</v>
      </c>
      <c r="AC4" s="10" t="s">
        <v>786</v>
      </c>
      <c r="AD4" s="10" t="s">
        <v>4560</v>
      </c>
      <c r="AE4" t="s">
        <v>4561</v>
      </c>
      <c r="AF4" t="s">
        <v>4562</v>
      </c>
      <c r="AG4" t="s">
        <v>4563</v>
      </c>
      <c r="AH4" t="s">
        <v>4564</v>
      </c>
      <c r="AI4" t="s">
        <v>4565</v>
      </c>
      <c r="AJ4" t="s">
        <v>4566</v>
      </c>
      <c r="AK4" t="s">
        <v>4567</v>
      </c>
      <c r="AL4" t="s">
        <v>4568</v>
      </c>
      <c r="AM4" s="10" t="s">
        <v>4569</v>
      </c>
      <c r="AN4" s="10" t="s">
        <v>4570</v>
      </c>
      <c r="AO4" s="10" t="s">
        <v>4571</v>
      </c>
      <c r="AP4" s="10" t="s">
        <v>4572</v>
      </c>
      <c r="AQ4" s="10" t="s">
        <v>4573</v>
      </c>
      <c r="AR4" s="10" t="s">
        <v>4574</v>
      </c>
      <c r="BT4" t="s">
        <v>3898</v>
      </c>
      <c r="BU4" t="s">
        <v>3899</v>
      </c>
      <c r="BV4" t="s">
        <v>3900</v>
      </c>
      <c r="BW4" t="s">
        <v>3901</v>
      </c>
      <c r="BX4" t="s">
        <v>3902</v>
      </c>
      <c r="BY4" t="s">
        <v>3903</v>
      </c>
      <c r="BZ4" t="s">
        <v>3904</v>
      </c>
      <c r="CA4" t="s">
        <v>3905</v>
      </c>
      <c r="CB4" t="s">
        <v>3906</v>
      </c>
      <c r="CC4" t="s">
        <v>3861</v>
      </c>
      <c r="CD4" t="s">
        <v>3907</v>
      </c>
      <c r="CE4" t="s">
        <v>3908</v>
      </c>
      <c r="CF4" t="s">
        <v>4575</v>
      </c>
      <c r="CG4" t="s">
        <v>4576</v>
      </c>
      <c r="CH4" t="s">
        <v>3910</v>
      </c>
      <c r="CI4" t="s">
        <v>3911</v>
      </c>
      <c r="CJ4" t="s">
        <v>3912</v>
      </c>
      <c r="CK4" t="s">
        <v>3913</v>
      </c>
      <c r="CL4" t="s">
        <v>3914</v>
      </c>
    </row>
    <row r="5" spans="1:90" ht="72" customHeight="1">
      <c r="A5" s="9" t="s">
        <v>816</v>
      </c>
      <c r="B5" s="9" t="s">
        <v>815</v>
      </c>
      <c r="C5" s="9" t="s">
        <v>817</v>
      </c>
      <c r="D5" s="9" t="s">
        <v>3679</v>
      </c>
      <c r="E5" s="9" t="s">
        <v>818</v>
      </c>
      <c r="F5" s="9" t="s">
        <v>4577</v>
      </c>
      <c r="G5" s="9" t="s">
        <v>4578</v>
      </c>
      <c r="H5" s="9" t="s">
        <v>4579</v>
      </c>
      <c r="I5" s="9" t="s">
        <v>4580</v>
      </c>
      <c r="J5" s="9" t="s">
        <v>4581</v>
      </c>
      <c r="K5" s="9" t="s">
        <v>4582</v>
      </c>
      <c r="L5" s="9" t="s">
        <v>4583</v>
      </c>
      <c r="M5" s="9" t="s">
        <v>4584</v>
      </c>
      <c r="N5" s="9" t="s">
        <v>4585</v>
      </c>
      <c r="O5" s="9" t="s">
        <v>4586</v>
      </c>
      <c r="P5" s="9" t="s">
        <v>4587</v>
      </c>
      <c r="Q5" s="9" t="s">
        <v>4588</v>
      </c>
      <c r="R5" s="9" t="s">
        <v>4589</v>
      </c>
      <c r="S5" s="9" t="s">
        <v>4590</v>
      </c>
      <c r="T5" s="9">
        <v>3</v>
      </c>
      <c r="U5" s="9">
        <v>3</v>
      </c>
      <c r="V5" s="9">
        <v>2</v>
      </c>
      <c r="W5" s="9">
        <v>2</v>
      </c>
      <c r="X5" s="9">
        <v>1</v>
      </c>
      <c r="Y5" s="9">
        <v>1</v>
      </c>
      <c r="Z5" s="9" t="s">
        <v>820</v>
      </c>
      <c r="AA5" s="9" t="s">
        <v>821</v>
      </c>
      <c r="AB5" s="9" t="s">
        <v>828</v>
      </c>
      <c r="AC5" s="9" t="s">
        <v>4591</v>
      </c>
      <c r="AD5" s="9" t="s">
        <v>4592</v>
      </c>
      <c r="AE5" t="str">
        <f t="shared" ref="AE5:AE68" si="0">IF($A5="","",IF(OR(ISNUMBER(SEARCH("cyber",$D5)),ISNUMBER(SEARCH("security",$D5)),ISNUMBER(SEARCH("safety",$D5)),ISNUMBER(SEARCH("liquidity",$D5)),ISNUMBER(SEARCH("cash",$D5)),ISNUMBER(SEARCH("continuity",$D5)),ISNUMBER(SEARCH("infrastructure",$D5)),ISNUMBER(SEARCH("outage",$D5))),"Fast",IF(OR(ISNUMBER(SEARCH("compliance",$D5)),ISNUMBER(SEARCH("regulat",$D5)),ISNUMBER(SEARCH("data",$D5)),ISNUMBER(SEARCH("talent",$D5)),ISNUMBER(SEARCH("knowledge",$D5)),ISNUMBER(SEARCH("portfolio",$D5)),ISNUMBER(SEARCH("quality",$D5))),"Slow","Medium")))</f>
        <v>Medium</v>
      </c>
      <c r="AF5">
        <f>IF($A5="","",IFERROR(VLOOKUP($B5,_CONFIG_Risk_Calibration!$A$5:$H$21,2,FALSE),3))</f>
        <v>3</v>
      </c>
      <c r="AG5">
        <f>IF($A5="","",IFERROR(VLOOKUP($B5,_CONFIG_Risk_Calibration!$A$5:$H$21,3,FALSE),0))</f>
        <v>0</v>
      </c>
      <c r="AH5">
        <f>IF($A5="","",IFERROR(VLOOKUP($B5,_CONFIG_Risk_Calibration!$A$5:$H$21,4,FALSE),3))</f>
        <v>3</v>
      </c>
      <c r="AI5">
        <f>IF($A5="","",IFERROR(VLOOKUP($B5,_CONFIG_Risk_Calibration!$A$5:$H$21,5,FALSE),3))</f>
        <v>3</v>
      </c>
      <c r="AJ5" t="str">
        <f>IF($A5="","",IFERROR(VLOOKUP($B5,_CONFIG_Risk_Calibration!$A$5:$H$21,6,FALSE),"No"))</f>
        <v>No</v>
      </c>
      <c r="AK5">
        <f>IF($A5="","",IFERROR(VLOOKUP($B5,_CONFIG_Risk_Calibration!$A$5:$H$21,7,FALSE),1))</f>
        <v>1</v>
      </c>
      <c r="AL5" t="str">
        <f>IF($A5="","",IFERROR(VLOOKUP($B5,_CONFIG_Risk_Calibration!$A$5:$H$21,8,FALSE),""))</f>
        <v>Clean template default. Calibrate with real exposure, incident history, evidence quality and domain-owner validation.</v>
      </c>
      <c r="AM5">
        <f>IF($A5="","",IFERROR(INDEX(_DATA_Assessment_Model!$AL$1:$AL$428,MATCH($A5,_DATA_Assessment_Model!$A$1:$A$428,0)),""))</f>
        <v>0</v>
      </c>
      <c r="AN5">
        <f t="shared" ref="AN5:AN68" si="1">IF($AM5="","",MAX(0,(5-$AM5)/5))</f>
        <v>1</v>
      </c>
      <c r="AO5">
        <f>IF($A5="","",_CONFIG_Model_Settings!$B$172*MAX(N($AK5),(N($AF5)+N($AI5))/2))</f>
        <v>60</v>
      </c>
      <c r="AP5">
        <f t="shared" ref="AP5:AP68" si="2">IF(OR($A5="",$AN5=""),"",$AN5*$AO5)</f>
        <v>60</v>
      </c>
      <c r="AQ5">
        <f>IF($AP5="","",MAX(0,$AP5*(1-(_CONFIG_Model_Settings!$B$173+_CONFIG_Model_Settings!$B$174*(N($AH5)-1)))))</f>
        <v>39</v>
      </c>
      <c r="AR5">
        <f>IF($AP5="","",MIN(100,$AP5*(1+(_CONFIG_Model_Settings!$B$173+_CONFIG_Model_Settings!$B$174*(N($AH5)-1)))))</f>
        <v>81</v>
      </c>
    </row>
    <row r="6" spans="1:90" ht="72" customHeight="1">
      <c r="A6" s="9" t="s">
        <v>830</v>
      </c>
      <c r="B6" s="9" t="s">
        <v>815</v>
      </c>
      <c r="C6" s="9" t="s">
        <v>817</v>
      </c>
      <c r="D6" s="9" t="s">
        <v>3679</v>
      </c>
      <c r="E6" s="9" t="s">
        <v>831</v>
      </c>
      <c r="F6" s="9" t="s">
        <v>4593</v>
      </c>
      <c r="G6" s="9" t="s">
        <v>4594</v>
      </c>
      <c r="H6" s="9" t="s">
        <v>4595</v>
      </c>
      <c r="I6" s="9" t="s">
        <v>4596</v>
      </c>
      <c r="J6" s="9" t="s">
        <v>4597</v>
      </c>
      <c r="K6" s="9" t="s">
        <v>4598</v>
      </c>
      <c r="L6" s="9" t="s">
        <v>4599</v>
      </c>
      <c r="M6" s="9" t="s">
        <v>4600</v>
      </c>
      <c r="N6" s="9" t="s">
        <v>4601</v>
      </c>
      <c r="O6" s="9" t="s">
        <v>4602</v>
      </c>
      <c r="P6" s="9" t="s">
        <v>4603</v>
      </c>
      <c r="Q6" s="9" t="s">
        <v>4604</v>
      </c>
      <c r="R6" s="9" t="s">
        <v>4589</v>
      </c>
      <c r="S6" s="9" t="s">
        <v>4605</v>
      </c>
      <c r="T6" s="9">
        <v>3</v>
      </c>
      <c r="U6" s="9">
        <v>3</v>
      </c>
      <c r="V6" s="9">
        <v>2</v>
      </c>
      <c r="W6" s="9">
        <v>2</v>
      </c>
      <c r="X6" s="9">
        <v>1</v>
      </c>
      <c r="Y6" s="9">
        <v>1</v>
      </c>
      <c r="Z6" s="9" t="s">
        <v>820</v>
      </c>
      <c r="AA6" s="9" t="s">
        <v>832</v>
      </c>
      <c r="AB6" s="9" t="s">
        <v>828</v>
      </c>
      <c r="AC6" s="9" t="s">
        <v>4591</v>
      </c>
      <c r="AD6" s="9" t="s">
        <v>4606</v>
      </c>
      <c r="AE6" t="str">
        <f t="shared" si="0"/>
        <v>Medium</v>
      </c>
      <c r="AF6">
        <f>IF($A6="","",IFERROR(VLOOKUP($B6,_CONFIG_Risk_Calibration!$A$5:$H$21,2,FALSE),3))</f>
        <v>3</v>
      </c>
      <c r="AG6">
        <f>IF($A6="","",IFERROR(VLOOKUP($B6,_CONFIG_Risk_Calibration!$A$5:$H$21,3,FALSE),0))</f>
        <v>0</v>
      </c>
      <c r="AH6">
        <f>IF($A6="","",IFERROR(VLOOKUP($B6,_CONFIG_Risk_Calibration!$A$5:$H$21,4,FALSE),3))</f>
        <v>3</v>
      </c>
      <c r="AI6">
        <f>IF($A6="","",IFERROR(VLOOKUP($B6,_CONFIG_Risk_Calibration!$A$5:$H$21,5,FALSE),3))</f>
        <v>3</v>
      </c>
      <c r="AJ6" t="str">
        <f>IF($A6="","",IFERROR(VLOOKUP($B6,_CONFIG_Risk_Calibration!$A$5:$H$21,6,FALSE),"No"))</f>
        <v>No</v>
      </c>
      <c r="AK6">
        <f>IF($A6="","",IFERROR(VLOOKUP($B6,_CONFIG_Risk_Calibration!$A$5:$H$21,7,FALSE),1))</f>
        <v>1</v>
      </c>
      <c r="AL6" t="str">
        <f>IF($A6="","",IFERROR(VLOOKUP($B6,_CONFIG_Risk_Calibration!$A$5:$H$21,8,FALSE),""))</f>
        <v>Clean template default. Calibrate with real exposure, incident history, evidence quality and domain-owner validation.</v>
      </c>
      <c r="AM6">
        <f>IF($A6="","",IFERROR(INDEX(_DATA_Assessment_Model!$AL$1:$AL$428,MATCH($A6,_DATA_Assessment_Model!$A$1:$A$428,0)),""))</f>
        <v>0</v>
      </c>
      <c r="AN6">
        <f t="shared" si="1"/>
        <v>1</v>
      </c>
      <c r="AO6">
        <f>IF($A6="","",_CONFIG_Model_Settings!$B$172*MAX(N($AK6),(N($AF6)+N($AI6))/2))</f>
        <v>60</v>
      </c>
      <c r="AP6">
        <f t="shared" si="2"/>
        <v>60</v>
      </c>
      <c r="AQ6">
        <f>IF($AP6="","",MAX(0,$AP6*(1-(_CONFIG_Model_Settings!$B$173+_CONFIG_Model_Settings!$B$174*(N($AH6)-1)))))</f>
        <v>39</v>
      </c>
      <c r="AR6">
        <f>IF($AP6="","",MIN(100,$AP6*(1+(_CONFIG_Model_Settings!$B$173+_CONFIG_Model_Settings!$B$174*(N($AH6)-1)))))</f>
        <v>81</v>
      </c>
    </row>
    <row r="7" spans="1:90" ht="72" customHeight="1">
      <c r="A7" s="9" t="s">
        <v>840</v>
      </c>
      <c r="B7" s="9" t="s">
        <v>815</v>
      </c>
      <c r="C7" s="9" t="s">
        <v>817</v>
      </c>
      <c r="D7" s="9" t="s">
        <v>3679</v>
      </c>
      <c r="E7" s="9" t="s">
        <v>841</v>
      </c>
      <c r="F7" s="9" t="s">
        <v>4607</v>
      </c>
      <c r="G7" s="9" t="s">
        <v>4608</v>
      </c>
      <c r="H7" s="9" t="s">
        <v>4609</v>
      </c>
      <c r="I7" s="9" t="s">
        <v>4610</v>
      </c>
      <c r="J7" s="9" t="s">
        <v>4611</v>
      </c>
      <c r="K7" s="9" t="s">
        <v>4612</v>
      </c>
      <c r="L7" s="9" t="s">
        <v>4613</v>
      </c>
      <c r="M7" s="9" t="s">
        <v>4614</v>
      </c>
      <c r="N7" s="9" t="s">
        <v>4615</v>
      </c>
      <c r="O7" s="9" t="s">
        <v>4616</v>
      </c>
      <c r="P7" s="9" t="s">
        <v>4617</v>
      </c>
      <c r="Q7" s="9" t="s">
        <v>4618</v>
      </c>
      <c r="R7" s="9" t="s">
        <v>4589</v>
      </c>
      <c r="S7" s="9" t="s">
        <v>4619</v>
      </c>
      <c r="T7" s="9">
        <v>3</v>
      </c>
      <c r="U7" s="9">
        <v>3</v>
      </c>
      <c r="V7" s="9">
        <v>2</v>
      </c>
      <c r="W7" s="9">
        <v>2</v>
      </c>
      <c r="X7" s="9">
        <v>1</v>
      </c>
      <c r="Y7" s="9">
        <v>1</v>
      </c>
      <c r="Z7" s="9" t="s">
        <v>820</v>
      </c>
      <c r="AA7" s="9" t="s">
        <v>842</v>
      </c>
      <c r="AB7" s="9" t="s">
        <v>828</v>
      </c>
      <c r="AC7" s="9" t="s">
        <v>4591</v>
      </c>
      <c r="AD7" s="9" t="s">
        <v>4620</v>
      </c>
      <c r="AE7" t="str">
        <f t="shared" si="0"/>
        <v>Medium</v>
      </c>
      <c r="AF7">
        <f>IF($A7="","",IFERROR(VLOOKUP($B7,_CONFIG_Risk_Calibration!$A$5:$H$21,2,FALSE),3))</f>
        <v>3</v>
      </c>
      <c r="AG7">
        <f>IF($A7="","",IFERROR(VLOOKUP($B7,_CONFIG_Risk_Calibration!$A$5:$H$21,3,FALSE),0))</f>
        <v>0</v>
      </c>
      <c r="AH7">
        <f>IF($A7="","",IFERROR(VLOOKUP($B7,_CONFIG_Risk_Calibration!$A$5:$H$21,4,FALSE),3))</f>
        <v>3</v>
      </c>
      <c r="AI7">
        <f>IF($A7="","",IFERROR(VLOOKUP($B7,_CONFIG_Risk_Calibration!$A$5:$H$21,5,FALSE),3))</f>
        <v>3</v>
      </c>
      <c r="AJ7" t="str">
        <f>IF($A7="","",IFERROR(VLOOKUP($B7,_CONFIG_Risk_Calibration!$A$5:$H$21,6,FALSE),"No"))</f>
        <v>No</v>
      </c>
      <c r="AK7">
        <f>IF($A7="","",IFERROR(VLOOKUP($B7,_CONFIG_Risk_Calibration!$A$5:$H$21,7,FALSE),1))</f>
        <v>1</v>
      </c>
      <c r="AL7" t="str">
        <f>IF($A7="","",IFERROR(VLOOKUP($B7,_CONFIG_Risk_Calibration!$A$5:$H$21,8,FALSE),""))</f>
        <v>Clean template default. Calibrate with real exposure, incident history, evidence quality and domain-owner validation.</v>
      </c>
      <c r="AM7">
        <f>IF($A7="","",IFERROR(INDEX(_DATA_Assessment_Model!$AL$1:$AL$428,MATCH($A7,_DATA_Assessment_Model!$A$1:$A$428,0)),""))</f>
        <v>0</v>
      </c>
      <c r="AN7">
        <f t="shared" si="1"/>
        <v>1</v>
      </c>
      <c r="AO7">
        <f>IF($A7="","",_CONFIG_Model_Settings!$B$172*MAX(N($AK7),(N($AF7)+N($AI7))/2))</f>
        <v>60</v>
      </c>
      <c r="AP7">
        <f t="shared" si="2"/>
        <v>60</v>
      </c>
      <c r="AQ7">
        <f>IF($AP7="","",MAX(0,$AP7*(1-(_CONFIG_Model_Settings!$B$173+_CONFIG_Model_Settings!$B$174*(N($AH7)-1)))))</f>
        <v>39</v>
      </c>
      <c r="AR7">
        <f>IF($AP7="","",MIN(100,$AP7*(1+(_CONFIG_Model_Settings!$B$173+_CONFIG_Model_Settings!$B$174*(N($AH7)-1)))))</f>
        <v>81</v>
      </c>
    </row>
    <row r="8" spans="1:90" ht="72" customHeight="1">
      <c r="A8" s="9" t="s">
        <v>844</v>
      </c>
      <c r="B8" s="9" t="s">
        <v>815</v>
      </c>
      <c r="C8" s="9" t="s">
        <v>817</v>
      </c>
      <c r="D8" s="9" t="s">
        <v>3679</v>
      </c>
      <c r="E8" s="9" t="s">
        <v>845</v>
      </c>
      <c r="F8" s="9" t="s">
        <v>4621</v>
      </c>
      <c r="G8" s="9" t="s">
        <v>4622</v>
      </c>
      <c r="H8" s="9" t="s">
        <v>4623</v>
      </c>
      <c r="I8" s="9" t="s">
        <v>4624</v>
      </c>
      <c r="J8" s="9" t="s">
        <v>4625</v>
      </c>
      <c r="K8" s="9" t="s">
        <v>4626</v>
      </c>
      <c r="L8" s="9" t="s">
        <v>4627</v>
      </c>
      <c r="M8" s="9" t="s">
        <v>4628</v>
      </c>
      <c r="N8" s="9" t="s">
        <v>4629</v>
      </c>
      <c r="O8" s="9" t="s">
        <v>4630</v>
      </c>
      <c r="P8" s="9" t="s">
        <v>4631</v>
      </c>
      <c r="Q8" s="9" t="s">
        <v>4632</v>
      </c>
      <c r="R8" s="9" t="s">
        <v>4589</v>
      </c>
      <c r="S8" s="9" t="s">
        <v>4633</v>
      </c>
      <c r="T8" s="9">
        <v>3</v>
      </c>
      <c r="U8" s="9">
        <v>3</v>
      </c>
      <c r="V8" s="9">
        <v>2</v>
      </c>
      <c r="W8" s="9">
        <v>2</v>
      </c>
      <c r="X8" s="9">
        <v>1</v>
      </c>
      <c r="Y8" s="9">
        <v>1</v>
      </c>
      <c r="Z8" s="9" t="s">
        <v>820</v>
      </c>
      <c r="AA8" s="9" t="s">
        <v>846</v>
      </c>
      <c r="AB8" s="9" t="s">
        <v>828</v>
      </c>
      <c r="AC8" s="9" t="s">
        <v>4591</v>
      </c>
      <c r="AD8" s="9" t="s">
        <v>4634</v>
      </c>
      <c r="AE8" t="str">
        <f t="shared" si="0"/>
        <v>Medium</v>
      </c>
      <c r="AF8">
        <f>IF($A8="","",IFERROR(VLOOKUP($B8,_CONFIG_Risk_Calibration!$A$5:$H$21,2,FALSE),3))</f>
        <v>3</v>
      </c>
      <c r="AG8">
        <f>IF($A8="","",IFERROR(VLOOKUP($B8,_CONFIG_Risk_Calibration!$A$5:$H$21,3,FALSE),0))</f>
        <v>0</v>
      </c>
      <c r="AH8">
        <f>IF($A8="","",IFERROR(VLOOKUP($B8,_CONFIG_Risk_Calibration!$A$5:$H$21,4,FALSE),3))</f>
        <v>3</v>
      </c>
      <c r="AI8">
        <f>IF($A8="","",IFERROR(VLOOKUP($B8,_CONFIG_Risk_Calibration!$A$5:$H$21,5,FALSE),3))</f>
        <v>3</v>
      </c>
      <c r="AJ8" t="str">
        <f>IF($A8="","",IFERROR(VLOOKUP($B8,_CONFIG_Risk_Calibration!$A$5:$H$21,6,FALSE),"No"))</f>
        <v>No</v>
      </c>
      <c r="AK8">
        <f>IF($A8="","",IFERROR(VLOOKUP($B8,_CONFIG_Risk_Calibration!$A$5:$H$21,7,FALSE),1))</f>
        <v>1</v>
      </c>
      <c r="AL8" t="str">
        <f>IF($A8="","",IFERROR(VLOOKUP($B8,_CONFIG_Risk_Calibration!$A$5:$H$21,8,FALSE),""))</f>
        <v>Clean template default. Calibrate with real exposure, incident history, evidence quality and domain-owner validation.</v>
      </c>
      <c r="AM8">
        <f>IF($A8="","",IFERROR(INDEX(_DATA_Assessment_Model!$AL$1:$AL$428,MATCH($A8,_DATA_Assessment_Model!$A$1:$A$428,0)),""))</f>
        <v>0</v>
      </c>
      <c r="AN8">
        <f t="shared" si="1"/>
        <v>1</v>
      </c>
      <c r="AO8">
        <f>IF($A8="","",_CONFIG_Model_Settings!$B$172*MAX(N($AK8),(N($AF8)+N($AI8))/2))</f>
        <v>60</v>
      </c>
      <c r="AP8">
        <f t="shared" si="2"/>
        <v>60</v>
      </c>
      <c r="AQ8">
        <f>IF($AP8="","",MAX(0,$AP8*(1-(_CONFIG_Model_Settings!$B$173+_CONFIG_Model_Settings!$B$174*(N($AH8)-1)))))</f>
        <v>39</v>
      </c>
      <c r="AR8">
        <f>IF($AP8="","",MIN(100,$AP8*(1+(_CONFIG_Model_Settings!$B$173+_CONFIG_Model_Settings!$B$174*(N($AH8)-1)))))</f>
        <v>81</v>
      </c>
    </row>
    <row r="9" spans="1:90" ht="84" customHeight="1">
      <c r="A9" s="9" t="s">
        <v>853</v>
      </c>
      <c r="B9" s="9" t="s">
        <v>815</v>
      </c>
      <c r="C9" s="9" t="s">
        <v>817</v>
      </c>
      <c r="D9" s="9" t="s">
        <v>3679</v>
      </c>
      <c r="E9" s="9" t="s">
        <v>854</v>
      </c>
      <c r="F9" s="9" t="s">
        <v>4635</v>
      </c>
      <c r="G9" s="9" t="s">
        <v>4636</v>
      </c>
      <c r="H9" s="9" t="s">
        <v>4637</v>
      </c>
      <c r="I9" s="9" t="s">
        <v>4638</v>
      </c>
      <c r="J9" s="9" t="s">
        <v>4639</v>
      </c>
      <c r="K9" s="9" t="s">
        <v>4640</v>
      </c>
      <c r="L9" s="9" t="s">
        <v>4641</v>
      </c>
      <c r="M9" s="9" t="s">
        <v>4642</v>
      </c>
      <c r="N9" s="9" t="s">
        <v>4643</v>
      </c>
      <c r="O9" s="9" t="s">
        <v>4644</v>
      </c>
      <c r="P9" s="9" t="s">
        <v>4645</v>
      </c>
      <c r="Q9" s="9" t="s">
        <v>4646</v>
      </c>
      <c r="R9" s="9" t="s">
        <v>4589</v>
      </c>
      <c r="S9" s="9" t="s">
        <v>4647</v>
      </c>
      <c r="T9" s="9">
        <v>3</v>
      </c>
      <c r="U9" s="9">
        <v>3</v>
      </c>
      <c r="V9" s="9">
        <v>2</v>
      </c>
      <c r="W9" s="9">
        <v>2</v>
      </c>
      <c r="X9" s="9">
        <v>1</v>
      </c>
      <c r="Y9" s="9">
        <v>1</v>
      </c>
      <c r="Z9" s="9" t="s">
        <v>820</v>
      </c>
      <c r="AA9" s="9" t="s">
        <v>855</v>
      </c>
      <c r="AB9" s="9" t="s">
        <v>828</v>
      </c>
      <c r="AC9" s="9" t="s">
        <v>4591</v>
      </c>
      <c r="AD9" s="9" t="s">
        <v>4648</v>
      </c>
      <c r="AE9" t="str">
        <f t="shared" si="0"/>
        <v>Medium</v>
      </c>
      <c r="AF9">
        <f>IF($A9="","",IFERROR(VLOOKUP($B9,_CONFIG_Risk_Calibration!$A$5:$H$21,2,FALSE),3))</f>
        <v>3</v>
      </c>
      <c r="AG9">
        <f>IF($A9="","",IFERROR(VLOOKUP($B9,_CONFIG_Risk_Calibration!$A$5:$H$21,3,FALSE),0))</f>
        <v>0</v>
      </c>
      <c r="AH9">
        <f>IF($A9="","",IFERROR(VLOOKUP($B9,_CONFIG_Risk_Calibration!$A$5:$H$21,4,FALSE),3))</f>
        <v>3</v>
      </c>
      <c r="AI9">
        <f>IF($A9="","",IFERROR(VLOOKUP($B9,_CONFIG_Risk_Calibration!$A$5:$H$21,5,FALSE),3))</f>
        <v>3</v>
      </c>
      <c r="AJ9" t="str">
        <f>IF($A9="","",IFERROR(VLOOKUP($B9,_CONFIG_Risk_Calibration!$A$5:$H$21,6,FALSE),"No"))</f>
        <v>No</v>
      </c>
      <c r="AK9">
        <f>IF($A9="","",IFERROR(VLOOKUP($B9,_CONFIG_Risk_Calibration!$A$5:$H$21,7,FALSE),1))</f>
        <v>1</v>
      </c>
      <c r="AL9" t="str">
        <f>IF($A9="","",IFERROR(VLOOKUP($B9,_CONFIG_Risk_Calibration!$A$5:$H$21,8,FALSE),""))</f>
        <v>Clean template default. Calibrate with real exposure, incident history, evidence quality and domain-owner validation.</v>
      </c>
      <c r="AM9">
        <f>IF($A9="","",IFERROR(INDEX(_DATA_Assessment_Model!$AL$1:$AL$428,MATCH($A9,_DATA_Assessment_Model!$A$1:$A$428,0)),""))</f>
        <v>0</v>
      </c>
      <c r="AN9">
        <f t="shared" si="1"/>
        <v>1</v>
      </c>
      <c r="AO9">
        <f>IF($A9="","",_CONFIG_Model_Settings!$B$172*MAX(N($AK9),(N($AF9)+N($AI9))/2))</f>
        <v>60</v>
      </c>
      <c r="AP9">
        <f t="shared" si="2"/>
        <v>60</v>
      </c>
      <c r="AQ9">
        <f>IF($AP9="","",MAX(0,$AP9*(1-(_CONFIG_Model_Settings!$B$173+_CONFIG_Model_Settings!$B$174*(N($AH9)-1)))))</f>
        <v>39</v>
      </c>
      <c r="AR9">
        <f>IF($AP9="","",MIN(100,$AP9*(1+(_CONFIG_Model_Settings!$B$173+_CONFIG_Model_Settings!$B$174*(N($AH9)-1)))))</f>
        <v>81</v>
      </c>
    </row>
    <row r="10" spans="1:90" ht="72" customHeight="1">
      <c r="A10" s="9" t="s">
        <v>856</v>
      </c>
      <c r="B10" s="9" t="s">
        <v>815</v>
      </c>
      <c r="C10" s="9" t="s">
        <v>817</v>
      </c>
      <c r="D10" s="9" t="s">
        <v>3679</v>
      </c>
      <c r="E10" s="9" t="s">
        <v>857</v>
      </c>
      <c r="F10" s="9" t="s">
        <v>4649</v>
      </c>
      <c r="G10" s="9" t="s">
        <v>4650</v>
      </c>
      <c r="H10" s="9" t="s">
        <v>4651</v>
      </c>
      <c r="I10" s="9" t="s">
        <v>4652</v>
      </c>
      <c r="J10" s="9" t="s">
        <v>4653</v>
      </c>
      <c r="K10" s="9" t="s">
        <v>4654</v>
      </c>
      <c r="L10" s="9" t="s">
        <v>4655</v>
      </c>
      <c r="M10" s="9" t="s">
        <v>4656</v>
      </c>
      <c r="N10" s="9" t="s">
        <v>4657</v>
      </c>
      <c r="O10" s="9" t="s">
        <v>4658</v>
      </c>
      <c r="P10" s="9" t="s">
        <v>4659</v>
      </c>
      <c r="Q10" s="9" t="s">
        <v>4660</v>
      </c>
      <c r="R10" s="9" t="s">
        <v>4589</v>
      </c>
      <c r="S10" s="9" t="s">
        <v>4661</v>
      </c>
      <c r="T10" s="9">
        <v>3</v>
      </c>
      <c r="U10" s="9">
        <v>3</v>
      </c>
      <c r="V10" s="9">
        <v>2</v>
      </c>
      <c r="W10" s="9">
        <v>2</v>
      </c>
      <c r="X10" s="9">
        <v>1</v>
      </c>
      <c r="Y10" s="9">
        <v>1</v>
      </c>
      <c r="Z10" s="9" t="s">
        <v>820</v>
      </c>
      <c r="AA10" s="9" t="s">
        <v>858</v>
      </c>
      <c r="AB10" s="9" t="s">
        <v>828</v>
      </c>
      <c r="AC10" s="9" t="s">
        <v>4591</v>
      </c>
      <c r="AD10" s="9" t="s">
        <v>4662</v>
      </c>
      <c r="AE10" t="str">
        <f t="shared" si="0"/>
        <v>Medium</v>
      </c>
      <c r="AF10">
        <f>IF($A10="","",IFERROR(VLOOKUP($B10,_CONFIG_Risk_Calibration!$A$5:$H$21,2,FALSE),3))</f>
        <v>3</v>
      </c>
      <c r="AG10">
        <f>IF($A10="","",IFERROR(VLOOKUP($B10,_CONFIG_Risk_Calibration!$A$5:$H$21,3,FALSE),0))</f>
        <v>0</v>
      </c>
      <c r="AH10">
        <f>IF($A10="","",IFERROR(VLOOKUP($B10,_CONFIG_Risk_Calibration!$A$5:$H$21,4,FALSE),3))</f>
        <v>3</v>
      </c>
      <c r="AI10">
        <f>IF($A10="","",IFERROR(VLOOKUP($B10,_CONFIG_Risk_Calibration!$A$5:$H$21,5,FALSE),3))</f>
        <v>3</v>
      </c>
      <c r="AJ10" t="str">
        <f>IF($A10="","",IFERROR(VLOOKUP($B10,_CONFIG_Risk_Calibration!$A$5:$H$21,6,FALSE),"No"))</f>
        <v>No</v>
      </c>
      <c r="AK10">
        <f>IF($A10="","",IFERROR(VLOOKUP($B10,_CONFIG_Risk_Calibration!$A$5:$H$21,7,FALSE),1))</f>
        <v>1</v>
      </c>
      <c r="AL10" t="str">
        <f>IF($A10="","",IFERROR(VLOOKUP($B10,_CONFIG_Risk_Calibration!$A$5:$H$21,8,FALSE),""))</f>
        <v>Clean template default. Calibrate with real exposure, incident history, evidence quality and domain-owner validation.</v>
      </c>
      <c r="AM10">
        <f>IF($A10="","",IFERROR(INDEX(_DATA_Assessment_Model!$AL$1:$AL$428,MATCH($A10,_DATA_Assessment_Model!$A$1:$A$428,0)),""))</f>
        <v>0</v>
      </c>
      <c r="AN10">
        <f t="shared" si="1"/>
        <v>1</v>
      </c>
      <c r="AO10">
        <f>IF($A10="","",_CONFIG_Model_Settings!$B$172*MAX(N($AK10),(N($AF10)+N($AI10))/2))</f>
        <v>60</v>
      </c>
      <c r="AP10">
        <f t="shared" si="2"/>
        <v>60</v>
      </c>
      <c r="AQ10">
        <f>IF($AP10="","",MAX(0,$AP10*(1-(_CONFIG_Model_Settings!$B$173+_CONFIG_Model_Settings!$B$174*(N($AH10)-1)))))</f>
        <v>39</v>
      </c>
      <c r="AR10">
        <f>IF($AP10="","",MIN(100,$AP10*(1+(_CONFIG_Model_Settings!$B$173+_CONFIG_Model_Settings!$B$174*(N($AH10)-1)))))</f>
        <v>81</v>
      </c>
    </row>
    <row r="11" spans="1:90" ht="72" customHeight="1">
      <c r="A11" s="9" t="s">
        <v>865</v>
      </c>
      <c r="B11" s="9" t="s">
        <v>815</v>
      </c>
      <c r="C11" s="9" t="s">
        <v>817</v>
      </c>
      <c r="D11" s="9" t="s">
        <v>3679</v>
      </c>
      <c r="E11" s="9" t="s">
        <v>866</v>
      </c>
      <c r="F11" s="9" t="s">
        <v>4663</v>
      </c>
      <c r="G11" s="9" t="s">
        <v>4664</v>
      </c>
      <c r="H11" s="9" t="s">
        <v>4665</v>
      </c>
      <c r="I11" s="9" t="s">
        <v>4666</v>
      </c>
      <c r="J11" s="9" t="s">
        <v>4667</v>
      </c>
      <c r="K11" s="9" t="s">
        <v>4668</v>
      </c>
      <c r="L11" s="9" t="s">
        <v>4669</v>
      </c>
      <c r="M11" s="9" t="s">
        <v>4670</v>
      </c>
      <c r="N11" s="9" t="s">
        <v>4671</v>
      </c>
      <c r="O11" s="9" t="s">
        <v>4672</v>
      </c>
      <c r="P11" s="9" t="s">
        <v>4673</v>
      </c>
      <c r="Q11" s="9" t="s">
        <v>4674</v>
      </c>
      <c r="R11" s="9" t="s">
        <v>4589</v>
      </c>
      <c r="S11" s="9" t="s">
        <v>4675</v>
      </c>
      <c r="T11" s="9">
        <v>3</v>
      </c>
      <c r="U11" s="9">
        <v>3</v>
      </c>
      <c r="V11" s="9">
        <v>2</v>
      </c>
      <c r="W11" s="9">
        <v>2</v>
      </c>
      <c r="X11" s="9">
        <v>1</v>
      </c>
      <c r="Y11" s="9">
        <v>1</v>
      </c>
      <c r="Z11" s="9" t="s">
        <v>820</v>
      </c>
      <c r="AA11" s="9" t="s">
        <v>867</v>
      </c>
      <c r="AB11" s="9" t="s">
        <v>828</v>
      </c>
      <c r="AC11" s="9" t="s">
        <v>4591</v>
      </c>
      <c r="AD11" s="9" t="s">
        <v>4676</v>
      </c>
      <c r="AE11" t="str">
        <f t="shared" si="0"/>
        <v>Medium</v>
      </c>
      <c r="AF11">
        <f>IF($A11="","",IFERROR(VLOOKUP($B11,_CONFIG_Risk_Calibration!$A$5:$H$21,2,FALSE),3))</f>
        <v>3</v>
      </c>
      <c r="AG11">
        <f>IF($A11="","",IFERROR(VLOOKUP($B11,_CONFIG_Risk_Calibration!$A$5:$H$21,3,FALSE),0))</f>
        <v>0</v>
      </c>
      <c r="AH11">
        <f>IF($A11="","",IFERROR(VLOOKUP($B11,_CONFIG_Risk_Calibration!$A$5:$H$21,4,FALSE),3))</f>
        <v>3</v>
      </c>
      <c r="AI11">
        <f>IF($A11="","",IFERROR(VLOOKUP($B11,_CONFIG_Risk_Calibration!$A$5:$H$21,5,FALSE),3))</f>
        <v>3</v>
      </c>
      <c r="AJ11" t="str">
        <f>IF($A11="","",IFERROR(VLOOKUP($B11,_CONFIG_Risk_Calibration!$A$5:$H$21,6,FALSE),"No"))</f>
        <v>No</v>
      </c>
      <c r="AK11">
        <f>IF($A11="","",IFERROR(VLOOKUP($B11,_CONFIG_Risk_Calibration!$A$5:$H$21,7,FALSE),1))</f>
        <v>1</v>
      </c>
      <c r="AL11" t="str">
        <f>IF($A11="","",IFERROR(VLOOKUP($B11,_CONFIG_Risk_Calibration!$A$5:$H$21,8,FALSE),""))</f>
        <v>Clean template default. Calibrate with real exposure, incident history, evidence quality and domain-owner validation.</v>
      </c>
      <c r="AM11">
        <f>IF($A11="","",IFERROR(INDEX(_DATA_Assessment_Model!$AL$1:$AL$428,MATCH($A11,_DATA_Assessment_Model!$A$1:$A$428,0)),""))</f>
        <v>0</v>
      </c>
      <c r="AN11">
        <f t="shared" si="1"/>
        <v>1</v>
      </c>
      <c r="AO11">
        <f>IF($A11="","",_CONFIG_Model_Settings!$B$172*MAX(N($AK11),(N($AF11)+N($AI11))/2))</f>
        <v>60</v>
      </c>
      <c r="AP11">
        <f t="shared" si="2"/>
        <v>60</v>
      </c>
      <c r="AQ11">
        <f>IF($AP11="","",MAX(0,$AP11*(1-(_CONFIG_Model_Settings!$B$173+_CONFIG_Model_Settings!$B$174*(N($AH11)-1)))))</f>
        <v>39</v>
      </c>
      <c r="AR11">
        <f>IF($AP11="","",MIN(100,$AP11*(1+(_CONFIG_Model_Settings!$B$173+_CONFIG_Model_Settings!$B$174*(N($AH11)-1)))))</f>
        <v>81</v>
      </c>
    </row>
    <row r="12" spans="1:90" ht="72" customHeight="1">
      <c r="A12" s="9" t="s">
        <v>868</v>
      </c>
      <c r="B12" s="9" t="s">
        <v>815</v>
      </c>
      <c r="C12" s="9" t="s">
        <v>839</v>
      </c>
      <c r="D12" s="9" t="s">
        <v>3679</v>
      </c>
      <c r="E12" s="9" t="s">
        <v>869</v>
      </c>
      <c r="F12" s="9" t="s">
        <v>4677</v>
      </c>
      <c r="G12" s="9" t="s">
        <v>4678</v>
      </c>
      <c r="H12" s="9" t="s">
        <v>4679</v>
      </c>
      <c r="I12" s="9" t="s">
        <v>4680</v>
      </c>
      <c r="J12" s="9" t="s">
        <v>4681</v>
      </c>
      <c r="K12" s="9" t="s">
        <v>4682</v>
      </c>
      <c r="L12" s="9" t="s">
        <v>4683</v>
      </c>
      <c r="M12" s="9" t="s">
        <v>4684</v>
      </c>
      <c r="N12" s="9" t="s">
        <v>4685</v>
      </c>
      <c r="O12" s="9" t="s">
        <v>4686</v>
      </c>
      <c r="P12" s="9" t="s">
        <v>4687</v>
      </c>
      <c r="Q12" s="9" t="s">
        <v>4688</v>
      </c>
      <c r="R12" s="9" t="s">
        <v>4589</v>
      </c>
      <c r="S12" s="9" t="s">
        <v>4689</v>
      </c>
      <c r="T12" s="9">
        <v>3</v>
      </c>
      <c r="U12" s="9">
        <v>3</v>
      </c>
      <c r="V12" s="9">
        <v>2</v>
      </c>
      <c r="W12" s="9">
        <v>2</v>
      </c>
      <c r="X12" s="9">
        <v>1</v>
      </c>
      <c r="Y12" s="9">
        <v>1</v>
      </c>
      <c r="Z12" s="9" t="s">
        <v>820</v>
      </c>
      <c r="AA12" s="9" t="s">
        <v>870</v>
      </c>
      <c r="AB12" s="9" t="s">
        <v>828</v>
      </c>
      <c r="AC12" s="9" t="s">
        <v>4591</v>
      </c>
      <c r="AD12" s="9" t="s">
        <v>4690</v>
      </c>
      <c r="AE12" t="str">
        <f t="shared" si="0"/>
        <v>Medium</v>
      </c>
      <c r="AF12">
        <f>IF($A12="","",IFERROR(VLOOKUP($B12,_CONFIG_Risk_Calibration!$A$5:$H$21,2,FALSE),3))</f>
        <v>3</v>
      </c>
      <c r="AG12">
        <f>IF($A12="","",IFERROR(VLOOKUP($B12,_CONFIG_Risk_Calibration!$A$5:$H$21,3,FALSE),0))</f>
        <v>0</v>
      </c>
      <c r="AH12">
        <f>IF($A12="","",IFERROR(VLOOKUP($B12,_CONFIG_Risk_Calibration!$A$5:$H$21,4,FALSE),3))</f>
        <v>3</v>
      </c>
      <c r="AI12">
        <f>IF($A12="","",IFERROR(VLOOKUP($B12,_CONFIG_Risk_Calibration!$A$5:$H$21,5,FALSE),3))</f>
        <v>3</v>
      </c>
      <c r="AJ12" t="str">
        <f>IF($A12="","",IFERROR(VLOOKUP($B12,_CONFIG_Risk_Calibration!$A$5:$H$21,6,FALSE),"No"))</f>
        <v>No</v>
      </c>
      <c r="AK12">
        <f>IF($A12="","",IFERROR(VLOOKUP($B12,_CONFIG_Risk_Calibration!$A$5:$H$21,7,FALSE),1))</f>
        <v>1</v>
      </c>
      <c r="AL12" t="str">
        <f>IF($A12="","",IFERROR(VLOOKUP($B12,_CONFIG_Risk_Calibration!$A$5:$H$21,8,FALSE),""))</f>
        <v>Clean template default. Calibrate with real exposure, incident history, evidence quality and domain-owner validation.</v>
      </c>
      <c r="AM12">
        <f>IF($A12="","",IFERROR(INDEX(_DATA_Assessment_Model!$AL$1:$AL$428,MATCH($A12,_DATA_Assessment_Model!$A$1:$A$428,0)),""))</f>
        <v>0</v>
      </c>
      <c r="AN12">
        <f t="shared" si="1"/>
        <v>1</v>
      </c>
      <c r="AO12">
        <f>IF($A12="","",_CONFIG_Model_Settings!$B$172*MAX(N($AK12),(N($AF12)+N($AI12))/2))</f>
        <v>60</v>
      </c>
      <c r="AP12">
        <f t="shared" si="2"/>
        <v>60</v>
      </c>
      <c r="AQ12">
        <f>IF($AP12="","",MAX(0,$AP12*(1-(_CONFIG_Model_Settings!$B$173+_CONFIG_Model_Settings!$B$174*(N($AH12)-1)))))</f>
        <v>39</v>
      </c>
      <c r="AR12">
        <f>IF($AP12="","",MIN(100,$AP12*(1+(_CONFIG_Model_Settings!$B$173+_CONFIG_Model_Settings!$B$174*(N($AH12)-1)))))</f>
        <v>81</v>
      </c>
    </row>
    <row r="13" spans="1:90" ht="72" customHeight="1">
      <c r="A13" s="9" t="s">
        <v>871</v>
      </c>
      <c r="B13" s="9" t="s">
        <v>815</v>
      </c>
      <c r="C13" s="9" t="s">
        <v>839</v>
      </c>
      <c r="D13" s="9" t="s">
        <v>3679</v>
      </c>
      <c r="E13" s="9" t="s">
        <v>872</v>
      </c>
      <c r="F13" s="9" t="s">
        <v>4691</v>
      </c>
      <c r="G13" s="9" t="s">
        <v>4692</v>
      </c>
      <c r="H13" s="9" t="s">
        <v>4693</v>
      </c>
      <c r="I13" s="9" t="s">
        <v>4694</v>
      </c>
      <c r="J13" s="9" t="s">
        <v>4695</v>
      </c>
      <c r="K13" s="9" t="s">
        <v>4696</v>
      </c>
      <c r="L13" s="9" t="s">
        <v>4697</v>
      </c>
      <c r="M13" s="9" t="s">
        <v>4698</v>
      </c>
      <c r="N13" s="9" t="s">
        <v>4699</v>
      </c>
      <c r="O13" s="9" t="s">
        <v>4700</v>
      </c>
      <c r="P13" s="9" t="s">
        <v>4701</v>
      </c>
      <c r="Q13" s="9" t="s">
        <v>4702</v>
      </c>
      <c r="R13" s="9" t="s">
        <v>4589</v>
      </c>
      <c r="S13" s="9" t="s">
        <v>4703</v>
      </c>
      <c r="T13" s="9">
        <v>3</v>
      </c>
      <c r="U13" s="9">
        <v>3</v>
      </c>
      <c r="V13" s="9">
        <v>2</v>
      </c>
      <c r="W13" s="9">
        <v>2</v>
      </c>
      <c r="X13" s="9">
        <v>1</v>
      </c>
      <c r="Y13" s="9">
        <v>1</v>
      </c>
      <c r="Z13" s="9" t="s">
        <v>820</v>
      </c>
      <c r="AA13" s="9" t="s">
        <v>873</v>
      </c>
      <c r="AB13" s="9" t="s">
        <v>828</v>
      </c>
      <c r="AC13" s="9" t="s">
        <v>4591</v>
      </c>
      <c r="AD13" s="9" t="s">
        <v>4704</v>
      </c>
      <c r="AE13" t="str">
        <f t="shared" si="0"/>
        <v>Medium</v>
      </c>
      <c r="AF13">
        <f>IF($A13="","",IFERROR(VLOOKUP($B13,_CONFIG_Risk_Calibration!$A$5:$H$21,2,FALSE),3))</f>
        <v>3</v>
      </c>
      <c r="AG13">
        <f>IF($A13="","",IFERROR(VLOOKUP($B13,_CONFIG_Risk_Calibration!$A$5:$H$21,3,FALSE),0))</f>
        <v>0</v>
      </c>
      <c r="AH13">
        <f>IF($A13="","",IFERROR(VLOOKUP($B13,_CONFIG_Risk_Calibration!$A$5:$H$21,4,FALSE),3))</f>
        <v>3</v>
      </c>
      <c r="AI13">
        <f>IF($A13="","",IFERROR(VLOOKUP($B13,_CONFIG_Risk_Calibration!$A$5:$H$21,5,FALSE),3))</f>
        <v>3</v>
      </c>
      <c r="AJ13" t="str">
        <f>IF($A13="","",IFERROR(VLOOKUP($B13,_CONFIG_Risk_Calibration!$A$5:$H$21,6,FALSE),"No"))</f>
        <v>No</v>
      </c>
      <c r="AK13">
        <f>IF($A13="","",IFERROR(VLOOKUP($B13,_CONFIG_Risk_Calibration!$A$5:$H$21,7,FALSE),1))</f>
        <v>1</v>
      </c>
      <c r="AL13" t="str">
        <f>IF($A13="","",IFERROR(VLOOKUP($B13,_CONFIG_Risk_Calibration!$A$5:$H$21,8,FALSE),""))</f>
        <v>Clean template default. Calibrate with real exposure, incident history, evidence quality and domain-owner validation.</v>
      </c>
      <c r="AM13">
        <f>IF($A13="","",IFERROR(INDEX(_DATA_Assessment_Model!$AL$1:$AL$428,MATCH($A13,_DATA_Assessment_Model!$A$1:$A$428,0)),""))</f>
        <v>0</v>
      </c>
      <c r="AN13">
        <f t="shared" si="1"/>
        <v>1</v>
      </c>
      <c r="AO13">
        <f>IF($A13="","",_CONFIG_Model_Settings!$B$172*MAX(N($AK13),(N($AF13)+N($AI13))/2))</f>
        <v>60</v>
      </c>
      <c r="AP13">
        <f t="shared" si="2"/>
        <v>60</v>
      </c>
      <c r="AQ13">
        <f>IF($AP13="","",MAX(0,$AP13*(1-(_CONFIG_Model_Settings!$B$173+_CONFIG_Model_Settings!$B$174*(N($AH13)-1)))))</f>
        <v>39</v>
      </c>
      <c r="AR13">
        <f>IF($AP13="","",MIN(100,$AP13*(1+(_CONFIG_Model_Settings!$B$173+_CONFIG_Model_Settings!$B$174*(N($AH13)-1)))))</f>
        <v>81</v>
      </c>
    </row>
    <row r="14" spans="1:90" ht="72" customHeight="1">
      <c r="A14" s="9" t="s">
        <v>880</v>
      </c>
      <c r="B14" s="9" t="s">
        <v>815</v>
      </c>
      <c r="C14" s="9" t="s">
        <v>839</v>
      </c>
      <c r="D14" s="9" t="s">
        <v>3679</v>
      </c>
      <c r="E14" s="9" t="s">
        <v>881</v>
      </c>
      <c r="F14" s="9" t="s">
        <v>4705</v>
      </c>
      <c r="G14" s="9" t="s">
        <v>4706</v>
      </c>
      <c r="H14" s="9" t="s">
        <v>4707</v>
      </c>
      <c r="I14" s="9" t="s">
        <v>4708</v>
      </c>
      <c r="J14" s="9" t="s">
        <v>4709</v>
      </c>
      <c r="K14" s="9" t="s">
        <v>4710</v>
      </c>
      <c r="L14" s="9" t="s">
        <v>4711</v>
      </c>
      <c r="M14" s="9" t="s">
        <v>4712</v>
      </c>
      <c r="N14" s="9" t="s">
        <v>4713</v>
      </c>
      <c r="O14" s="9" t="s">
        <v>4714</v>
      </c>
      <c r="P14" s="9" t="s">
        <v>4715</v>
      </c>
      <c r="Q14" s="9" t="s">
        <v>4716</v>
      </c>
      <c r="R14" s="9" t="s">
        <v>4589</v>
      </c>
      <c r="S14" s="9" t="s">
        <v>4717</v>
      </c>
      <c r="T14" s="9">
        <v>3</v>
      </c>
      <c r="U14" s="9">
        <v>3</v>
      </c>
      <c r="V14" s="9">
        <v>2</v>
      </c>
      <c r="W14" s="9">
        <v>2</v>
      </c>
      <c r="X14" s="9">
        <v>1</v>
      </c>
      <c r="Y14" s="9">
        <v>1</v>
      </c>
      <c r="Z14" s="9" t="s">
        <v>820</v>
      </c>
      <c r="AA14" s="9" t="s">
        <v>882</v>
      </c>
      <c r="AB14" s="9" t="s">
        <v>828</v>
      </c>
      <c r="AC14" s="9" t="s">
        <v>4591</v>
      </c>
      <c r="AD14" s="9" t="s">
        <v>4718</v>
      </c>
      <c r="AE14" t="str">
        <f t="shared" si="0"/>
        <v>Medium</v>
      </c>
      <c r="AF14">
        <f>IF($A14="","",IFERROR(VLOOKUP($B14,_CONFIG_Risk_Calibration!$A$5:$H$21,2,FALSE),3))</f>
        <v>3</v>
      </c>
      <c r="AG14">
        <f>IF($A14="","",IFERROR(VLOOKUP($B14,_CONFIG_Risk_Calibration!$A$5:$H$21,3,FALSE),0))</f>
        <v>0</v>
      </c>
      <c r="AH14">
        <f>IF($A14="","",IFERROR(VLOOKUP($B14,_CONFIG_Risk_Calibration!$A$5:$H$21,4,FALSE),3))</f>
        <v>3</v>
      </c>
      <c r="AI14">
        <f>IF($A14="","",IFERROR(VLOOKUP($B14,_CONFIG_Risk_Calibration!$A$5:$H$21,5,FALSE),3))</f>
        <v>3</v>
      </c>
      <c r="AJ14" t="str">
        <f>IF($A14="","",IFERROR(VLOOKUP($B14,_CONFIG_Risk_Calibration!$A$5:$H$21,6,FALSE),"No"))</f>
        <v>No</v>
      </c>
      <c r="AK14">
        <f>IF($A14="","",IFERROR(VLOOKUP($B14,_CONFIG_Risk_Calibration!$A$5:$H$21,7,FALSE),1))</f>
        <v>1</v>
      </c>
      <c r="AL14" t="str">
        <f>IF($A14="","",IFERROR(VLOOKUP($B14,_CONFIG_Risk_Calibration!$A$5:$H$21,8,FALSE),""))</f>
        <v>Clean template default. Calibrate with real exposure, incident history, evidence quality and domain-owner validation.</v>
      </c>
      <c r="AM14">
        <f>IF($A14="","",IFERROR(INDEX(_DATA_Assessment_Model!$AL$1:$AL$428,MATCH($A14,_DATA_Assessment_Model!$A$1:$A$428,0)),""))</f>
        <v>0</v>
      </c>
      <c r="AN14">
        <f t="shared" si="1"/>
        <v>1</v>
      </c>
      <c r="AO14">
        <f>IF($A14="","",_CONFIG_Model_Settings!$B$172*MAX(N($AK14),(N($AF14)+N($AI14))/2))</f>
        <v>60</v>
      </c>
      <c r="AP14">
        <f t="shared" si="2"/>
        <v>60</v>
      </c>
      <c r="AQ14">
        <f>IF($AP14="","",MAX(0,$AP14*(1-(_CONFIG_Model_Settings!$B$173+_CONFIG_Model_Settings!$B$174*(N($AH14)-1)))))</f>
        <v>39</v>
      </c>
      <c r="AR14">
        <f>IF($AP14="","",MIN(100,$AP14*(1+(_CONFIG_Model_Settings!$B$173+_CONFIG_Model_Settings!$B$174*(N($AH14)-1)))))</f>
        <v>81</v>
      </c>
    </row>
    <row r="15" spans="1:90" ht="72" customHeight="1">
      <c r="A15" s="9" t="s">
        <v>889</v>
      </c>
      <c r="B15" s="9" t="s">
        <v>815</v>
      </c>
      <c r="C15" s="9" t="s">
        <v>839</v>
      </c>
      <c r="D15" s="9" t="s">
        <v>3679</v>
      </c>
      <c r="E15" s="9" t="s">
        <v>890</v>
      </c>
      <c r="F15" s="9" t="s">
        <v>4719</v>
      </c>
      <c r="G15" s="9" t="s">
        <v>4720</v>
      </c>
      <c r="H15" s="9" t="s">
        <v>4721</v>
      </c>
      <c r="I15" s="9" t="s">
        <v>4722</v>
      </c>
      <c r="J15" s="9" t="s">
        <v>4723</v>
      </c>
      <c r="K15" s="9" t="s">
        <v>4724</v>
      </c>
      <c r="L15" s="9" t="s">
        <v>4725</v>
      </c>
      <c r="M15" s="9" t="s">
        <v>4726</v>
      </c>
      <c r="N15" s="9" t="s">
        <v>4727</v>
      </c>
      <c r="O15" s="9" t="s">
        <v>4728</v>
      </c>
      <c r="P15" s="9" t="s">
        <v>4729</v>
      </c>
      <c r="Q15" s="9" t="s">
        <v>4730</v>
      </c>
      <c r="R15" s="9" t="s">
        <v>4589</v>
      </c>
      <c r="S15" s="9" t="s">
        <v>4731</v>
      </c>
      <c r="T15" s="9">
        <v>3</v>
      </c>
      <c r="U15" s="9">
        <v>3</v>
      </c>
      <c r="V15" s="9">
        <v>2</v>
      </c>
      <c r="W15" s="9">
        <v>2</v>
      </c>
      <c r="X15" s="9">
        <v>1</v>
      </c>
      <c r="Y15" s="9">
        <v>1</v>
      </c>
      <c r="Z15" s="9" t="s">
        <v>820</v>
      </c>
      <c r="AA15" s="9" t="s">
        <v>891</v>
      </c>
      <c r="AB15" s="9" t="s">
        <v>828</v>
      </c>
      <c r="AC15" s="9" t="s">
        <v>4591</v>
      </c>
      <c r="AD15" s="9" t="s">
        <v>4732</v>
      </c>
      <c r="AE15" t="str">
        <f t="shared" si="0"/>
        <v>Medium</v>
      </c>
      <c r="AF15">
        <f>IF($A15="","",IFERROR(VLOOKUP($B15,_CONFIG_Risk_Calibration!$A$5:$H$21,2,FALSE),3))</f>
        <v>3</v>
      </c>
      <c r="AG15">
        <f>IF($A15="","",IFERROR(VLOOKUP($B15,_CONFIG_Risk_Calibration!$A$5:$H$21,3,FALSE),0))</f>
        <v>0</v>
      </c>
      <c r="AH15">
        <f>IF($A15="","",IFERROR(VLOOKUP($B15,_CONFIG_Risk_Calibration!$A$5:$H$21,4,FALSE),3))</f>
        <v>3</v>
      </c>
      <c r="AI15">
        <f>IF($A15="","",IFERROR(VLOOKUP($B15,_CONFIG_Risk_Calibration!$A$5:$H$21,5,FALSE),3))</f>
        <v>3</v>
      </c>
      <c r="AJ15" t="str">
        <f>IF($A15="","",IFERROR(VLOOKUP($B15,_CONFIG_Risk_Calibration!$A$5:$H$21,6,FALSE),"No"))</f>
        <v>No</v>
      </c>
      <c r="AK15">
        <f>IF($A15="","",IFERROR(VLOOKUP($B15,_CONFIG_Risk_Calibration!$A$5:$H$21,7,FALSE),1))</f>
        <v>1</v>
      </c>
      <c r="AL15" t="str">
        <f>IF($A15="","",IFERROR(VLOOKUP($B15,_CONFIG_Risk_Calibration!$A$5:$H$21,8,FALSE),""))</f>
        <v>Clean template default. Calibrate with real exposure, incident history, evidence quality and domain-owner validation.</v>
      </c>
      <c r="AM15">
        <f>IF($A15="","",IFERROR(INDEX(_DATA_Assessment_Model!$AL$1:$AL$428,MATCH($A15,_DATA_Assessment_Model!$A$1:$A$428,0)),""))</f>
        <v>0</v>
      </c>
      <c r="AN15">
        <f t="shared" si="1"/>
        <v>1</v>
      </c>
      <c r="AO15">
        <f>IF($A15="","",_CONFIG_Model_Settings!$B$172*MAX(N($AK15),(N($AF15)+N($AI15))/2))</f>
        <v>60</v>
      </c>
      <c r="AP15">
        <f t="shared" si="2"/>
        <v>60</v>
      </c>
      <c r="AQ15">
        <f>IF($AP15="","",MAX(0,$AP15*(1-(_CONFIG_Model_Settings!$B$173+_CONFIG_Model_Settings!$B$174*(N($AH15)-1)))))</f>
        <v>39</v>
      </c>
      <c r="AR15">
        <f>IF($AP15="","",MIN(100,$AP15*(1+(_CONFIG_Model_Settings!$B$173+_CONFIG_Model_Settings!$B$174*(N($AH15)-1)))))</f>
        <v>81</v>
      </c>
    </row>
    <row r="16" spans="1:90" ht="72" customHeight="1">
      <c r="A16" s="9" t="s">
        <v>892</v>
      </c>
      <c r="B16" s="9" t="s">
        <v>815</v>
      </c>
      <c r="C16" s="9" t="s">
        <v>839</v>
      </c>
      <c r="D16" s="9" t="s">
        <v>3679</v>
      </c>
      <c r="E16" s="9" t="s">
        <v>893</v>
      </c>
      <c r="F16" s="9" t="s">
        <v>4733</v>
      </c>
      <c r="G16" s="9" t="s">
        <v>4734</v>
      </c>
      <c r="H16" s="9" t="s">
        <v>4735</v>
      </c>
      <c r="I16" s="9" t="s">
        <v>4736</v>
      </c>
      <c r="J16" s="9" t="s">
        <v>4737</v>
      </c>
      <c r="K16" s="9" t="s">
        <v>4738</v>
      </c>
      <c r="L16" s="9" t="s">
        <v>4739</v>
      </c>
      <c r="M16" s="9" t="s">
        <v>4740</v>
      </c>
      <c r="N16" s="9" t="s">
        <v>4741</v>
      </c>
      <c r="O16" s="9" t="s">
        <v>4742</v>
      </c>
      <c r="P16" s="9" t="s">
        <v>4743</v>
      </c>
      <c r="Q16" s="9" t="s">
        <v>4744</v>
      </c>
      <c r="R16" s="9" t="s">
        <v>4589</v>
      </c>
      <c r="S16" s="9" t="s">
        <v>4745</v>
      </c>
      <c r="T16" s="9">
        <v>3</v>
      </c>
      <c r="U16" s="9">
        <v>3</v>
      </c>
      <c r="V16" s="9">
        <v>2</v>
      </c>
      <c r="W16" s="9">
        <v>2</v>
      </c>
      <c r="X16" s="9">
        <v>1</v>
      </c>
      <c r="Y16" s="9">
        <v>1</v>
      </c>
      <c r="Z16" s="9" t="s">
        <v>820</v>
      </c>
      <c r="AA16" s="9" t="s">
        <v>894</v>
      </c>
      <c r="AB16" s="9" t="s">
        <v>828</v>
      </c>
      <c r="AC16" s="9" t="s">
        <v>4591</v>
      </c>
      <c r="AD16" s="9" t="s">
        <v>4746</v>
      </c>
      <c r="AE16" t="str">
        <f t="shared" si="0"/>
        <v>Medium</v>
      </c>
      <c r="AF16">
        <f>IF($A16="","",IFERROR(VLOOKUP($B16,_CONFIG_Risk_Calibration!$A$5:$H$21,2,FALSE),3))</f>
        <v>3</v>
      </c>
      <c r="AG16">
        <f>IF($A16="","",IFERROR(VLOOKUP($B16,_CONFIG_Risk_Calibration!$A$5:$H$21,3,FALSE),0))</f>
        <v>0</v>
      </c>
      <c r="AH16">
        <f>IF($A16="","",IFERROR(VLOOKUP($B16,_CONFIG_Risk_Calibration!$A$5:$H$21,4,FALSE),3))</f>
        <v>3</v>
      </c>
      <c r="AI16">
        <f>IF($A16="","",IFERROR(VLOOKUP($B16,_CONFIG_Risk_Calibration!$A$5:$H$21,5,FALSE),3))</f>
        <v>3</v>
      </c>
      <c r="AJ16" t="str">
        <f>IF($A16="","",IFERROR(VLOOKUP($B16,_CONFIG_Risk_Calibration!$A$5:$H$21,6,FALSE),"No"))</f>
        <v>No</v>
      </c>
      <c r="AK16">
        <f>IF($A16="","",IFERROR(VLOOKUP($B16,_CONFIG_Risk_Calibration!$A$5:$H$21,7,FALSE),1))</f>
        <v>1</v>
      </c>
      <c r="AL16" t="str">
        <f>IF($A16="","",IFERROR(VLOOKUP($B16,_CONFIG_Risk_Calibration!$A$5:$H$21,8,FALSE),""))</f>
        <v>Clean template default. Calibrate with real exposure, incident history, evidence quality and domain-owner validation.</v>
      </c>
      <c r="AM16">
        <f>IF($A16="","",IFERROR(INDEX(_DATA_Assessment_Model!$AL$1:$AL$428,MATCH($A16,_DATA_Assessment_Model!$A$1:$A$428,0)),""))</f>
        <v>0</v>
      </c>
      <c r="AN16">
        <f t="shared" si="1"/>
        <v>1</v>
      </c>
      <c r="AO16">
        <f>IF($A16="","",_CONFIG_Model_Settings!$B$172*MAX(N($AK16),(N($AF16)+N($AI16))/2))</f>
        <v>60</v>
      </c>
      <c r="AP16">
        <f t="shared" si="2"/>
        <v>60</v>
      </c>
      <c r="AQ16">
        <f>IF($AP16="","",MAX(0,$AP16*(1-(_CONFIG_Model_Settings!$B$173+_CONFIG_Model_Settings!$B$174*(N($AH16)-1)))))</f>
        <v>39</v>
      </c>
      <c r="AR16">
        <f>IF($AP16="","",MIN(100,$AP16*(1+(_CONFIG_Model_Settings!$B$173+_CONFIG_Model_Settings!$B$174*(N($AH16)-1)))))</f>
        <v>81</v>
      </c>
    </row>
    <row r="17" spans="1:44" ht="84" customHeight="1">
      <c r="A17" s="9" t="s">
        <v>895</v>
      </c>
      <c r="B17" s="9" t="s">
        <v>815</v>
      </c>
      <c r="C17" s="9" t="s">
        <v>839</v>
      </c>
      <c r="D17" s="9" t="s">
        <v>3679</v>
      </c>
      <c r="E17" s="9" t="s">
        <v>896</v>
      </c>
      <c r="F17" s="9" t="s">
        <v>4747</v>
      </c>
      <c r="G17" s="9" t="s">
        <v>4748</v>
      </c>
      <c r="H17" s="9" t="s">
        <v>4749</v>
      </c>
      <c r="I17" s="9" t="s">
        <v>4750</v>
      </c>
      <c r="J17" s="9" t="s">
        <v>4751</v>
      </c>
      <c r="K17" s="9" t="s">
        <v>4752</v>
      </c>
      <c r="L17" s="9" t="s">
        <v>4753</v>
      </c>
      <c r="M17" s="9" t="s">
        <v>4754</v>
      </c>
      <c r="N17" s="9" t="s">
        <v>4755</v>
      </c>
      <c r="O17" s="9" t="s">
        <v>4756</v>
      </c>
      <c r="P17" s="9" t="s">
        <v>4757</v>
      </c>
      <c r="Q17" s="9" t="s">
        <v>4758</v>
      </c>
      <c r="R17" s="9" t="s">
        <v>4589</v>
      </c>
      <c r="S17" s="9" t="s">
        <v>4759</v>
      </c>
      <c r="T17" s="9">
        <v>3</v>
      </c>
      <c r="U17" s="9">
        <v>3</v>
      </c>
      <c r="V17" s="9">
        <v>2</v>
      </c>
      <c r="W17" s="9">
        <v>2</v>
      </c>
      <c r="X17" s="9">
        <v>1</v>
      </c>
      <c r="Y17" s="9">
        <v>1</v>
      </c>
      <c r="Z17" s="9" t="s">
        <v>820</v>
      </c>
      <c r="AA17" s="9" t="s">
        <v>897</v>
      </c>
      <c r="AB17" s="9" t="s">
        <v>828</v>
      </c>
      <c r="AC17" s="9" t="s">
        <v>4591</v>
      </c>
      <c r="AD17" s="9" t="s">
        <v>4760</v>
      </c>
      <c r="AE17" t="str">
        <f t="shared" si="0"/>
        <v>Medium</v>
      </c>
      <c r="AF17">
        <f>IF($A17="","",IFERROR(VLOOKUP($B17,_CONFIG_Risk_Calibration!$A$5:$H$21,2,FALSE),3))</f>
        <v>3</v>
      </c>
      <c r="AG17">
        <f>IF($A17="","",IFERROR(VLOOKUP($B17,_CONFIG_Risk_Calibration!$A$5:$H$21,3,FALSE),0))</f>
        <v>0</v>
      </c>
      <c r="AH17">
        <f>IF($A17="","",IFERROR(VLOOKUP($B17,_CONFIG_Risk_Calibration!$A$5:$H$21,4,FALSE),3))</f>
        <v>3</v>
      </c>
      <c r="AI17">
        <f>IF($A17="","",IFERROR(VLOOKUP($B17,_CONFIG_Risk_Calibration!$A$5:$H$21,5,FALSE),3))</f>
        <v>3</v>
      </c>
      <c r="AJ17" t="str">
        <f>IF($A17="","",IFERROR(VLOOKUP($B17,_CONFIG_Risk_Calibration!$A$5:$H$21,6,FALSE),"No"))</f>
        <v>No</v>
      </c>
      <c r="AK17">
        <f>IF($A17="","",IFERROR(VLOOKUP($B17,_CONFIG_Risk_Calibration!$A$5:$H$21,7,FALSE),1))</f>
        <v>1</v>
      </c>
      <c r="AL17" t="str">
        <f>IF($A17="","",IFERROR(VLOOKUP($B17,_CONFIG_Risk_Calibration!$A$5:$H$21,8,FALSE),""))</f>
        <v>Clean template default. Calibrate with real exposure, incident history, evidence quality and domain-owner validation.</v>
      </c>
      <c r="AM17">
        <f>IF($A17="","",IFERROR(INDEX(_DATA_Assessment_Model!$AL$1:$AL$428,MATCH($A17,_DATA_Assessment_Model!$A$1:$A$428,0)),""))</f>
        <v>0</v>
      </c>
      <c r="AN17">
        <f t="shared" si="1"/>
        <v>1</v>
      </c>
      <c r="AO17">
        <f>IF($A17="","",_CONFIG_Model_Settings!$B$172*MAX(N($AK17),(N($AF17)+N($AI17))/2))</f>
        <v>60</v>
      </c>
      <c r="AP17">
        <f t="shared" si="2"/>
        <v>60</v>
      </c>
      <c r="AQ17">
        <f>IF($AP17="","",MAX(0,$AP17*(1-(_CONFIG_Model_Settings!$B$173+_CONFIG_Model_Settings!$B$174*(N($AH17)-1)))))</f>
        <v>39</v>
      </c>
      <c r="AR17">
        <f>IF($AP17="","",MIN(100,$AP17*(1+(_CONFIG_Model_Settings!$B$173+_CONFIG_Model_Settings!$B$174*(N($AH17)-1)))))</f>
        <v>81</v>
      </c>
    </row>
    <row r="18" spans="1:44" ht="72" customHeight="1">
      <c r="A18" s="9" t="s">
        <v>904</v>
      </c>
      <c r="B18" s="9" t="s">
        <v>815</v>
      </c>
      <c r="C18" s="9" t="s">
        <v>839</v>
      </c>
      <c r="D18" s="9" t="s">
        <v>3679</v>
      </c>
      <c r="E18" s="9" t="s">
        <v>905</v>
      </c>
      <c r="F18" s="9" t="s">
        <v>4761</v>
      </c>
      <c r="G18" s="9" t="s">
        <v>4762</v>
      </c>
      <c r="H18" s="9" t="s">
        <v>4763</v>
      </c>
      <c r="I18" s="9" t="s">
        <v>4764</v>
      </c>
      <c r="J18" s="9" t="s">
        <v>4765</v>
      </c>
      <c r="K18" s="9" t="s">
        <v>4766</v>
      </c>
      <c r="L18" s="9" t="s">
        <v>4767</v>
      </c>
      <c r="M18" s="9" t="s">
        <v>4768</v>
      </c>
      <c r="N18" s="9" t="s">
        <v>4769</v>
      </c>
      <c r="O18" s="9" t="s">
        <v>4770</v>
      </c>
      <c r="P18" s="9" t="s">
        <v>4771</v>
      </c>
      <c r="Q18" s="9" t="s">
        <v>4772</v>
      </c>
      <c r="R18" s="9" t="s">
        <v>4589</v>
      </c>
      <c r="S18" s="9" t="s">
        <v>4773</v>
      </c>
      <c r="T18" s="9">
        <v>3</v>
      </c>
      <c r="U18" s="9">
        <v>3</v>
      </c>
      <c r="V18" s="9">
        <v>2</v>
      </c>
      <c r="W18" s="9">
        <v>2</v>
      </c>
      <c r="X18" s="9">
        <v>1</v>
      </c>
      <c r="Y18" s="9">
        <v>1</v>
      </c>
      <c r="Z18" s="9" t="s">
        <v>820</v>
      </c>
      <c r="AA18" s="9" t="s">
        <v>906</v>
      </c>
      <c r="AB18" s="9" t="s">
        <v>828</v>
      </c>
      <c r="AC18" s="9" t="s">
        <v>4591</v>
      </c>
      <c r="AD18" s="9" t="s">
        <v>4774</v>
      </c>
      <c r="AE18" t="str">
        <f t="shared" si="0"/>
        <v>Medium</v>
      </c>
      <c r="AF18">
        <f>IF($A18="","",IFERROR(VLOOKUP($B18,_CONFIG_Risk_Calibration!$A$5:$H$21,2,FALSE),3))</f>
        <v>3</v>
      </c>
      <c r="AG18">
        <f>IF($A18="","",IFERROR(VLOOKUP($B18,_CONFIG_Risk_Calibration!$A$5:$H$21,3,FALSE),0))</f>
        <v>0</v>
      </c>
      <c r="AH18">
        <f>IF($A18="","",IFERROR(VLOOKUP($B18,_CONFIG_Risk_Calibration!$A$5:$H$21,4,FALSE),3))</f>
        <v>3</v>
      </c>
      <c r="AI18">
        <f>IF($A18="","",IFERROR(VLOOKUP($B18,_CONFIG_Risk_Calibration!$A$5:$H$21,5,FALSE),3))</f>
        <v>3</v>
      </c>
      <c r="AJ18" t="str">
        <f>IF($A18="","",IFERROR(VLOOKUP($B18,_CONFIG_Risk_Calibration!$A$5:$H$21,6,FALSE),"No"))</f>
        <v>No</v>
      </c>
      <c r="AK18">
        <f>IF($A18="","",IFERROR(VLOOKUP($B18,_CONFIG_Risk_Calibration!$A$5:$H$21,7,FALSE),1))</f>
        <v>1</v>
      </c>
      <c r="AL18" t="str">
        <f>IF($A18="","",IFERROR(VLOOKUP($B18,_CONFIG_Risk_Calibration!$A$5:$H$21,8,FALSE),""))</f>
        <v>Clean template default. Calibrate with real exposure, incident history, evidence quality and domain-owner validation.</v>
      </c>
      <c r="AM18">
        <f>IF($A18="","",IFERROR(INDEX(_DATA_Assessment_Model!$AL$1:$AL$428,MATCH($A18,_DATA_Assessment_Model!$A$1:$A$428,0)),""))</f>
        <v>0</v>
      </c>
      <c r="AN18">
        <f t="shared" si="1"/>
        <v>1</v>
      </c>
      <c r="AO18">
        <f>IF($A18="","",_CONFIG_Model_Settings!$B$172*MAX(N($AK18),(N($AF18)+N($AI18))/2))</f>
        <v>60</v>
      </c>
      <c r="AP18">
        <f t="shared" si="2"/>
        <v>60</v>
      </c>
      <c r="AQ18">
        <f>IF($AP18="","",MAX(0,$AP18*(1-(_CONFIG_Model_Settings!$B$173+_CONFIG_Model_Settings!$B$174*(N($AH18)-1)))))</f>
        <v>39</v>
      </c>
      <c r="AR18">
        <f>IF($AP18="","",MIN(100,$AP18*(1+(_CONFIG_Model_Settings!$B$173+_CONFIG_Model_Settings!$B$174*(N($AH18)-1)))))</f>
        <v>81</v>
      </c>
    </row>
    <row r="19" spans="1:44" ht="72" customHeight="1">
      <c r="A19" s="9" t="s">
        <v>907</v>
      </c>
      <c r="B19" s="9" t="s">
        <v>815</v>
      </c>
      <c r="C19" s="9" t="s">
        <v>843</v>
      </c>
      <c r="D19" s="9" t="s">
        <v>3679</v>
      </c>
      <c r="E19" s="9" t="s">
        <v>908</v>
      </c>
      <c r="F19" s="9" t="s">
        <v>4775</v>
      </c>
      <c r="G19" s="9" t="s">
        <v>4776</v>
      </c>
      <c r="H19" s="9" t="s">
        <v>4777</v>
      </c>
      <c r="I19" s="9" t="s">
        <v>4778</v>
      </c>
      <c r="J19" s="9" t="s">
        <v>4779</v>
      </c>
      <c r="K19" s="9" t="s">
        <v>4780</v>
      </c>
      <c r="L19" s="9" t="s">
        <v>4781</v>
      </c>
      <c r="M19" s="9" t="s">
        <v>4782</v>
      </c>
      <c r="N19" s="9" t="s">
        <v>4783</v>
      </c>
      <c r="O19" s="9" t="s">
        <v>4784</v>
      </c>
      <c r="P19" s="9" t="s">
        <v>4785</v>
      </c>
      <c r="Q19" s="9" t="s">
        <v>4786</v>
      </c>
      <c r="R19" s="9" t="s">
        <v>4589</v>
      </c>
      <c r="S19" s="9" t="s">
        <v>4787</v>
      </c>
      <c r="T19" s="9">
        <v>3</v>
      </c>
      <c r="U19" s="9">
        <v>3</v>
      </c>
      <c r="V19" s="9">
        <v>2</v>
      </c>
      <c r="W19" s="9">
        <v>2</v>
      </c>
      <c r="X19" s="9">
        <v>1</v>
      </c>
      <c r="Y19" s="9">
        <v>1</v>
      </c>
      <c r="Z19" s="9" t="s">
        <v>820</v>
      </c>
      <c r="AA19" s="9" t="s">
        <v>909</v>
      </c>
      <c r="AB19" s="9" t="s">
        <v>828</v>
      </c>
      <c r="AC19" s="9" t="s">
        <v>4591</v>
      </c>
      <c r="AD19" s="9" t="s">
        <v>4788</v>
      </c>
      <c r="AE19" t="str">
        <f t="shared" si="0"/>
        <v>Medium</v>
      </c>
      <c r="AF19">
        <f>IF($A19="","",IFERROR(VLOOKUP($B19,_CONFIG_Risk_Calibration!$A$5:$H$21,2,FALSE),3))</f>
        <v>3</v>
      </c>
      <c r="AG19">
        <f>IF($A19="","",IFERROR(VLOOKUP($B19,_CONFIG_Risk_Calibration!$A$5:$H$21,3,FALSE),0))</f>
        <v>0</v>
      </c>
      <c r="AH19">
        <f>IF($A19="","",IFERROR(VLOOKUP($B19,_CONFIG_Risk_Calibration!$A$5:$H$21,4,FALSE),3))</f>
        <v>3</v>
      </c>
      <c r="AI19">
        <f>IF($A19="","",IFERROR(VLOOKUP($B19,_CONFIG_Risk_Calibration!$A$5:$H$21,5,FALSE),3))</f>
        <v>3</v>
      </c>
      <c r="AJ19" t="str">
        <f>IF($A19="","",IFERROR(VLOOKUP($B19,_CONFIG_Risk_Calibration!$A$5:$H$21,6,FALSE),"No"))</f>
        <v>No</v>
      </c>
      <c r="AK19">
        <f>IF($A19="","",IFERROR(VLOOKUP($B19,_CONFIG_Risk_Calibration!$A$5:$H$21,7,FALSE),1))</f>
        <v>1</v>
      </c>
      <c r="AL19" t="str">
        <f>IF($A19="","",IFERROR(VLOOKUP($B19,_CONFIG_Risk_Calibration!$A$5:$H$21,8,FALSE),""))</f>
        <v>Clean template default. Calibrate with real exposure, incident history, evidence quality and domain-owner validation.</v>
      </c>
      <c r="AM19">
        <f>IF($A19="","",IFERROR(INDEX(_DATA_Assessment_Model!$AL$1:$AL$428,MATCH($A19,_DATA_Assessment_Model!$A$1:$A$428,0)),""))</f>
        <v>0</v>
      </c>
      <c r="AN19">
        <f t="shared" si="1"/>
        <v>1</v>
      </c>
      <c r="AO19">
        <f>IF($A19="","",_CONFIG_Model_Settings!$B$172*MAX(N($AK19),(N($AF19)+N($AI19))/2))</f>
        <v>60</v>
      </c>
      <c r="AP19">
        <f t="shared" si="2"/>
        <v>60</v>
      </c>
      <c r="AQ19">
        <f>IF($AP19="","",MAX(0,$AP19*(1-(_CONFIG_Model_Settings!$B$173+_CONFIG_Model_Settings!$B$174*(N($AH19)-1)))))</f>
        <v>39</v>
      </c>
      <c r="AR19">
        <f>IF($AP19="","",MIN(100,$AP19*(1+(_CONFIG_Model_Settings!$B$173+_CONFIG_Model_Settings!$B$174*(N($AH19)-1)))))</f>
        <v>81</v>
      </c>
    </row>
    <row r="20" spans="1:44" ht="84" customHeight="1">
      <c r="A20" s="9" t="s">
        <v>910</v>
      </c>
      <c r="B20" s="9" t="s">
        <v>815</v>
      </c>
      <c r="C20" s="9" t="s">
        <v>843</v>
      </c>
      <c r="D20" s="9" t="s">
        <v>3679</v>
      </c>
      <c r="E20" s="9" t="s">
        <v>911</v>
      </c>
      <c r="F20" s="9" t="s">
        <v>4789</v>
      </c>
      <c r="G20" s="9" t="s">
        <v>4790</v>
      </c>
      <c r="H20" s="9" t="s">
        <v>4791</v>
      </c>
      <c r="I20" s="9" t="s">
        <v>4792</v>
      </c>
      <c r="J20" s="9" t="s">
        <v>4793</v>
      </c>
      <c r="K20" s="9" t="s">
        <v>4794</v>
      </c>
      <c r="L20" s="9" t="s">
        <v>4795</v>
      </c>
      <c r="M20" s="9" t="s">
        <v>4796</v>
      </c>
      <c r="N20" s="9" t="s">
        <v>4797</v>
      </c>
      <c r="O20" s="9" t="s">
        <v>4798</v>
      </c>
      <c r="P20" s="9" t="s">
        <v>4799</v>
      </c>
      <c r="Q20" s="9" t="s">
        <v>4800</v>
      </c>
      <c r="R20" s="9" t="s">
        <v>4589</v>
      </c>
      <c r="S20" s="9" t="s">
        <v>4801</v>
      </c>
      <c r="T20" s="9">
        <v>3</v>
      </c>
      <c r="U20" s="9">
        <v>3</v>
      </c>
      <c r="V20" s="9">
        <v>2</v>
      </c>
      <c r="W20" s="9">
        <v>2</v>
      </c>
      <c r="X20" s="9">
        <v>1</v>
      </c>
      <c r="Y20" s="9">
        <v>1</v>
      </c>
      <c r="Z20" s="9" t="s">
        <v>820</v>
      </c>
      <c r="AA20" s="9" t="s">
        <v>912</v>
      </c>
      <c r="AB20" s="9" t="s">
        <v>828</v>
      </c>
      <c r="AC20" s="9" t="s">
        <v>4591</v>
      </c>
      <c r="AD20" s="9" t="s">
        <v>4802</v>
      </c>
      <c r="AE20" t="str">
        <f t="shared" si="0"/>
        <v>Medium</v>
      </c>
      <c r="AF20">
        <f>IF($A20="","",IFERROR(VLOOKUP($B20,_CONFIG_Risk_Calibration!$A$5:$H$21,2,FALSE),3))</f>
        <v>3</v>
      </c>
      <c r="AG20">
        <f>IF($A20="","",IFERROR(VLOOKUP($B20,_CONFIG_Risk_Calibration!$A$5:$H$21,3,FALSE),0))</f>
        <v>0</v>
      </c>
      <c r="AH20">
        <f>IF($A20="","",IFERROR(VLOOKUP($B20,_CONFIG_Risk_Calibration!$A$5:$H$21,4,FALSE),3))</f>
        <v>3</v>
      </c>
      <c r="AI20">
        <f>IF($A20="","",IFERROR(VLOOKUP($B20,_CONFIG_Risk_Calibration!$A$5:$H$21,5,FALSE),3))</f>
        <v>3</v>
      </c>
      <c r="AJ20" t="str">
        <f>IF($A20="","",IFERROR(VLOOKUP($B20,_CONFIG_Risk_Calibration!$A$5:$H$21,6,FALSE),"No"))</f>
        <v>No</v>
      </c>
      <c r="AK20">
        <f>IF($A20="","",IFERROR(VLOOKUP($B20,_CONFIG_Risk_Calibration!$A$5:$H$21,7,FALSE),1))</f>
        <v>1</v>
      </c>
      <c r="AL20" t="str">
        <f>IF($A20="","",IFERROR(VLOOKUP($B20,_CONFIG_Risk_Calibration!$A$5:$H$21,8,FALSE),""))</f>
        <v>Clean template default. Calibrate with real exposure, incident history, evidence quality and domain-owner validation.</v>
      </c>
      <c r="AM20">
        <f>IF($A20="","",IFERROR(INDEX(_DATA_Assessment_Model!$AL$1:$AL$428,MATCH($A20,_DATA_Assessment_Model!$A$1:$A$428,0)),""))</f>
        <v>0</v>
      </c>
      <c r="AN20">
        <f t="shared" si="1"/>
        <v>1</v>
      </c>
      <c r="AO20">
        <f>IF($A20="","",_CONFIG_Model_Settings!$B$172*MAX(N($AK20),(N($AF20)+N($AI20))/2))</f>
        <v>60</v>
      </c>
      <c r="AP20">
        <f t="shared" si="2"/>
        <v>60</v>
      </c>
      <c r="AQ20">
        <f>IF($AP20="","",MAX(0,$AP20*(1-(_CONFIG_Model_Settings!$B$173+_CONFIG_Model_Settings!$B$174*(N($AH20)-1)))))</f>
        <v>39</v>
      </c>
      <c r="AR20">
        <f>IF($AP20="","",MIN(100,$AP20*(1+(_CONFIG_Model_Settings!$B$173+_CONFIG_Model_Settings!$B$174*(N($AH20)-1)))))</f>
        <v>81</v>
      </c>
    </row>
    <row r="21" spans="1:44" ht="72" customHeight="1">
      <c r="A21" s="9" t="s">
        <v>919</v>
      </c>
      <c r="B21" s="9" t="s">
        <v>815</v>
      </c>
      <c r="C21" s="9" t="s">
        <v>843</v>
      </c>
      <c r="D21" s="9" t="s">
        <v>3679</v>
      </c>
      <c r="E21" s="9" t="s">
        <v>920</v>
      </c>
      <c r="F21" s="9" t="s">
        <v>4803</v>
      </c>
      <c r="G21" s="9" t="s">
        <v>4804</v>
      </c>
      <c r="H21" s="9" t="s">
        <v>4805</v>
      </c>
      <c r="I21" s="9" t="s">
        <v>4806</v>
      </c>
      <c r="J21" s="9" t="s">
        <v>4807</v>
      </c>
      <c r="K21" s="9" t="s">
        <v>4808</v>
      </c>
      <c r="L21" s="9" t="s">
        <v>4809</v>
      </c>
      <c r="M21" s="9" t="s">
        <v>4810</v>
      </c>
      <c r="N21" s="9" t="s">
        <v>4811</v>
      </c>
      <c r="O21" s="9" t="s">
        <v>4812</v>
      </c>
      <c r="P21" s="9" t="s">
        <v>4813</v>
      </c>
      <c r="Q21" s="9" t="s">
        <v>4814</v>
      </c>
      <c r="R21" s="9" t="s">
        <v>4589</v>
      </c>
      <c r="S21" s="9" t="s">
        <v>4815</v>
      </c>
      <c r="T21" s="9">
        <v>3</v>
      </c>
      <c r="U21" s="9">
        <v>3</v>
      </c>
      <c r="V21" s="9">
        <v>2</v>
      </c>
      <c r="W21" s="9">
        <v>2</v>
      </c>
      <c r="X21" s="9">
        <v>1</v>
      </c>
      <c r="Y21" s="9">
        <v>1</v>
      </c>
      <c r="Z21" s="9" t="s">
        <v>820</v>
      </c>
      <c r="AA21" s="9" t="s">
        <v>921</v>
      </c>
      <c r="AB21" s="9" t="s">
        <v>828</v>
      </c>
      <c r="AC21" s="9" t="s">
        <v>4591</v>
      </c>
      <c r="AD21" s="9" t="s">
        <v>4816</v>
      </c>
      <c r="AE21" t="str">
        <f t="shared" si="0"/>
        <v>Medium</v>
      </c>
      <c r="AF21">
        <f>IF($A21="","",IFERROR(VLOOKUP($B21,_CONFIG_Risk_Calibration!$A$5:$H$21,2,FALSE),3))</f>
        <v>3</v>
      </c>
      <c r="AG21">
        <f>IF($A21="","",IFERROR(VLOOKUP($B21,_CONFIG_Risk_Calibration!$A$5:$H$21,3,FALSE),0))</f>
        <v>0</v>
      </c>
      <c r="AH21">
        <f>IF($A21="","",IFERROR(VLOOKUP($B21,_CONFIG_Risk_Calibration!$A$5:$H$21,4,FALSE),3))</f>
        <v>3</v>
      </c>
      <c r="AI21">
        <f>IF($A21="","",IFERROR(VLOOKUP($B21,_CONFIG_Risk_Calibration!$A$5:$H$21,5,FALSE),3))</f>
        <v>3</v>
      </c>
      <c r="AJ21" t="str">
        <f>IF($A21="","",IFERROR(VLOOKUP($B21,_CONFIG_Risk_Calibration!$A$5:$H$21,6,FALSE),"No"))</f>
        <v>No</v>
      </c>
      <c r="AK21">
        <f>IF($A21="","",IFERROR(VLOOKUP($B21,_CONFIG_Risk_Calibration!$A$5:$H$21,7,FALSE),1))</f>
        <v>1</v>
      </c>
      <c r="AL21" t="str">
        <f>IF($A21="","",IFERROR(VLOOKUP($B21,_CONFIG_Risk_Calibration!$A$5:$H$21,8,FALSE),""))</f>
        <v>Clean template default. Calibrate with real exposure, incident history, evidence quality and domain-owner validation.</v>
      </c>
      <c r="AM21">
        <f>IF($A21="","",IFERROR(INDEX(_DATA_Assessment_Model!$AL$1:$AL$428,MATCH($A21,_DATA_Assessment_Model!$A$1:$A$428,0)),""))</f>
        <v>0</v>
      </c>
      <c r="AN21">
        <f t="shared" si="1"/>
        <v>1</v>
      </c>
      <c r="AO21">
        <f>IF($A21="","",_CONFIG_Model_Settings!$B$172*MAX(N($AK21),(N($AF21)+N($AI21))/2))</f>
        <v>60</v>
      </c>
      <c r="AP21">
        <f t="shared" si="2"/>
        <v>60</v>
      </c>
      <c r="AQ21">
        <f>IF($AP21="","",MAX(0,$AP21*(1-(_CONFIG_Model_Settings!$B$173+_CONFIG_Model_Settings!$B$174*(N($AH21)-1)))))</f>
        <v>39</v>
      </c>
      <c r="AR21">
        <f>IF($AP21="","",MIN(100,$AP21*(1+(_CONFIG_Model_Settings!$B$173+_CONFIG_Model_Settings!$B$174*(N($AH21)-1)))))</f>
        <v>81</v>
      </c>
    </row>
    <row r="22" spans="1:44" ht="72" customHeight="1">
      <c r="A22" s="9" t="s">
        <v>928</v>
      </c>
      <c r="B22" s="9" t="s">
        <v>815</v>
      </c>
      <c r="C22" s="9" t="s">
        <v>843</v>
      </c>
      <c r="D22" s="9" t="s">
        <v>3679</v>
      </c>
      <c r="E22" s="9" t="s">
        <v>929</v>
      </c>
      <c r="F22" s="9" t="s">
        <v>4817</v>
      </c>
      <c r="G22" s="9" t="s">
        <v>4818</v>
      </c>
      <c r="H22" s="9" t="s">
        <v>4819</v>
      </c>
      <c r="I22" s="9" t="s">
        <v>4820</v>
      </c>
      <c r="J22" s="9" t="s">
        <v>4821</v>
      </c>
      <c r="K22" s="9" t="s">
        <v>4822</v>
      </c>
      <c r="L22" s="9" t="s">
        <v>4823</v>
      </c>
      <c r="M22" s="9" t="s">
        <v>4824</v>
      </c>
      <c r="N22" s="9" t="s">
        <v>4825</v>
      </c>
      <c r="O22" s="9" t="s">
        <v>4826</v>
      </c>
      <c r="P22" s="9" t="s">
        <v>4827</v>
      </c>
      <c r="Q22" s="9" t="s">
        <v>4828</v>
      </c>
      <c r="R22" s="9" t="s">
        <v>4589</v>
      </c>
      <c r="S22" s="9" t="s">
        <v>4829</v>
      </c>
      <c r="T22" s="9">
        <v>3</v>
      </c>
      <c r="U22" s="9">
        <v>3</v>
      </c>
      <c r="V22" s="9">
        <v>2</v>
      </c>
      <c r="W22" s="9">
        <v>2</v>
      </c>
      <c r="X22" s="9">
        <v>1</v>
      </c>
      <c r="Y22" s="9">
        <v>1</v>
      </c>
      <c r="Z22" s="9" t="s">
        <v>820</v>
      </c>
      <c r="AA22" s="9" t="s">
        <v>930</v>
      </c>
      <c r="AB22" s="9" t="s">
        <v>828</v>
      </c>
      <c r="AC22" s="9" t="s">
        <v>4591</v>
      </c>
      <c r="AD22" s="9" t="s">
        <v>4830</v>
      </c>
      <c r="AE22" t="str">
        <f t="shared" si="0"/>
        <v>Medium</v>
      </c>
      <c r="AF22">
        <f>IF($A22="","",IFERROR(VLOOKUP($B22,_CONFIG_Risk_Calibration!$A$5:$H$21,2,FALSE),3))</f>
        <v>3</v>
      </c>
      <c r="AG22">
        <f>IF($A22="","",IFERROR(VLOOKUP($B22,_CONFIG_Risk_Calibration!$A$5:$H$21,3,FALSE),0))</f>
        <v>0</v>
      </c>
      <c r="AH22">
        <f>IF($A22="","",IFERROR(VLOOKUP($B22,_CONFIG_Risk_Calibration!$A$5:$H$21,4,FALSE),3))</f>
        <v>3</v>
      </c>
      <c r="AI22">
        <f>IF($A22="","",IFERROR(VLOOKUP($B22,_CONFIG_Risk_Calibration!$A$5:$H$21,5,FALSE),3))</f>
        <v>3</v>
      </c>
      <c r="AJ22" t="str">
        <f>IF($A22="","",IFERROR(VLOOKUP($B22,_CONFIG_Risk_Calibration!$A$5:$H$21,6,FALSE),"No"))</f>
        <v>No</v>
      </c>
      <c r="AK22">
        <f>IF($A22="","",IFERROR(VLOOKUP($B22,_CONFIG_Risk_Calibration!$A$5:$H$21,7,FALSE),1))</f>
        <v>1</v>
      </c>
      <c r="AL22" t="str">
        <f>IF($A22="","",IFERROR(VLOOKUP($B22,_CONFIG_Risk_Calibration!$A$5:$H$21,8,FALSE),""))</f>
        <v>Clean template default. Calibrate with real exposure, incident history, evidence quality and domain-owner validation.</v>
      </c>
      <c r="AM22">
        <f>IF($A22="","",IFERROR(INDEX(_DATA_Assessment_Model!$AL$1:$AL$428,MATCH($A22,_DATA_Assessment_Model!$A$1:$A$428,0)),""))</f>
        <v>0</v>
      </c>
      <c r="AN22">
        <f t="shared" si="1"/>
        <v>1</v>
      </c>
      <c r="AO22">
        <f>IF($A22="","",_CONFIG_Model_Settings!$B$172*MAX(N($AK22),(N($AF22)+N($AI22))/2))</f>
        <v>60</v>
      </c>
      <c r="AP22">
        <f t="shared" si="2"/>
        <v>60</v>
      </c>
      <c r="AQ22">
        <f>IF($AP22="","",MAX(0,$AP22*(1-(_CONFIG_Model_Settings!$B$173+_CONFIG_Model_Settings!$B$174*(N($AH22)-1)))))</f>
        <v>39</v>
      </c>
      <c r="AR22">
        <f>IF($AP22="","",MIN(100,$AP22*(1+(_CONFIG_Model_Settings!$B$173+_CONFIG_Model_Settings!$B$174*(N($AH22)-1)))))</f>
        <v>81</v>
      </c>
    </row>
    <row r="23" spans="1:44" ht="84" customHeight="1">
      <c r="A23" s="9" t="s">
        <v>937</v>
      </c>
      <c r="B23" s="9" t="s">
        <v>815</v>
      </c>
      <c r="C23" s="9" t="s">
        <v>843</v>
      </c>
      <c r="D23" s="9" t="s">
        <v>3679</v>
      </c>
      <c r="E23" s="9" t="s">
        <v>938</v>
      </c>
      <c r="F23" s="9" t="s">
        <v>4831</v>
      </c>
      <c r="G23" s="9" t="s">
        <v>4832</v>
      </c>
      <c r="H23" s="9" t="s">
        <v>4833</v>
      </c>
      <c r="I23" s="9" t="s">
        <v>4834</v>
      </c>
      <c r="J23" s="9" t="s">
        <v>4835</v>
      </c>
      <c r="K23" s="9" t="s">
        <v>4836</v>
      </c>
      <c r="L23" s="9" t="s">
        <v>4837</v>
      </c>
      <c r="M23" s="9" t="s">
        <v>4838</v>
      </c>
      <c r="N23" s="9" t="s">
        <v>4839</v>
      </c>
      <c r="O23" s="9" t="s">
        <v>4840</v>
      </c>
      <c r="P23" s="9" t="s">
        <v>4841</v>
      </c>
      <c r="Q23" s="9" t="s">
        <v>4842</v>
      </c>
      <c r="R23" s="9" t="s">
        <v>4589</v>
      </c>
      <c r="S23" s="9" t="s">
        <v>4843</v>
      </c>
      <c r="T23" s="9">
        <v>2</v>
      </c>
      <c r="U23" s="9">
        <v>2</v>
      </c>
      <c r="V23" s="9">
        <v>2</v>
      </c>
      <c r="W23" s="9">
        <v>2</v>
      </c>
      <c r="X23" s="9">
        <v>1</v>
      </c>
      <c r="Y23" s="9">
        <v>1</v>
      </c>
      <c r="Z23" s="9" t="s">
        <v>940</v>
      </c>
      <c r="AA23" s="9" t="s">
        <v>4844</v>
      </c>
      <c r="AB23" s="9" t="s">
        <v>948</v>
      </c>
      <c r="AC23" s="9" t="s">
        <v>4845</v>
      </c>
      <c r="AD23" s="9" t="s">
        <v>4846</v>
      </c>
      <c r="AE23" t="str">
        <f t="shared" si="0"/>
        <v>Medium</v>
      </c>
      <c r="AF23">
        <f>IF($A23="","",IFERROR(VLOOKUP($B23,_CONFIG_Risk_Calibration!$A$5:$H$21,2,FALSE),3))</f>
        <v>3</v>
      </c>
      <c r="AG23">
        <f>IF($A23="","",IFERROR(VLOOKUP($B23,_CONFIG_Risk_Calibration!$A$5:$H$21,3,FALSE),0))</f>
        <v>0</v>
      </c>
      <c r="AH23">
        <f>IF($A23="","",IFERROR(VLOOKUP($B23,_CONFIG_Risk_Calibration!$A$5:$H$21,4,FALSE),3))</f>
        <v>3</v>
      </c>
      <c r="AI23">
        <f>IF($A23="","",IFERROR(VLOOKUP($B23,_CONFIG_Risk_Calibration!$A$5:$H$21,5,FALSE),3))</f>
        <v>3</v>
      </c>
      <c r="AJ23" t="str">
        <f>IF($A23="","",IFERROR(VLOOKUP($B23,_CONFIG_Risk_Calibration!$A$5:$H$21,6,FALSE),"No"))</f>
        <v>No</v>
      </c>
      <c r="AK23">
        <f>IF($A23="","",IFERROR(VLOOKUP($B23,_CONFIG_Risk_Calibration!$A$5:$H$21,7,FALSE),1))</f>
        <v>1</v>
      </c>
      <c r="AL23" t="str">
        <f>IF($A23="","",IFERROR(VLOOKUP($B23,_CONFIG_Risk_Calibration!$A$5:$H$21,8,FALSE),""))</f>
        <v>Clean template default. Calibrate with real exposure, incident history, evidence quality and domain-owner validation.</v>
      </c>
      <c r="AM23">
        <f>IF($A23="","",IFERROR(INDEX(_DATA_Assessment_Model!$AL$1:$AL$428,MATCH($A23,_DATA_Assessment_Model!$A$1:$A$428,0)),""))</f>
        <v>0</v>
      </c>
      <c r="AN23">
        <f t="shared" si="1"/>
        <v>1</v>
      </c>
      <c r="AO23">
        <f>IF($A23="","",_CONFIG_Model_Settings!$B$172*MAX(N($AK23),(N($AF23)+N($AI23))/2))</f>
        <v>60</v>
      </c>
      <c r="AP23">
        <f t="shared" si="2"/>
        <v>60</v>
      </c>
      <c r="AQ23">
        <f>IF($AP23="","",MAX(0,$AP23*(1-(_CONFIG_Model_Settings!$B$173+_CONFIG_Model_Settings!$B$174*(N($AH23)-1)))))</f>
        <v>39</v>
      </c>
      <c r="AR23">
        <f>IF($AP23="","",MIN(100,$AP23*(1+(_CONFIG_Model_Settings!$B$173+_CONFIG_Model_Settings!$B$174*(N($AH23)-1)))))</f>
        <v>81</v>
      </c>
    </row>
    <row r="24" spans="1:44" ht="72" customHeight="1">
      <c r="A24" s="9" t="s">
        <v>950</v>
      </c>
      <c r="B24" s="9" t="s">
        <v>949</v>
      </c>
      <c r="C24" s="9" t="s">
        <v>951</v>
      </c>
      <c r="D24" s="9" t="s">
        <v>3680</v>
      </c>
      <c r="E24" s="9" t="s">
        <v>952</v>
      </c>
      <c r="F24" s="9" t="s">
        <v>4847</v>
      </c>
      <c r="G24" s="9" t="s">
        <v>4848</v>
      </c>
      <c r="H24" s="9" t="s">
        <v>4849</v>
      </c>
      <c r="I24" s="9" t="s">
        <v>4850</v>
      </c>
      <c r="J24" s="9" t="s">
        <v>4851</v>
      </c>
      <c r="K24" s="9" t="s">
        <v>4852</v>
      </c>
      <c r="L24" s="9" t="s">
        <v>4853</v>
      </c>
      <c r="M24" s="9" t="s">
        <v>4854</v>
      </c>
      <c r="N24" s="9" t="s">
        <v>4855</v>
      </c>
      <c r="O24" s="9" t="s">
        <v>4856</v>
      </c>
      <c r="P24" s="9" t="s">
        <v>4857</v>
      </c>
      <c r="Q24" s="9" t="s">
        <v>4858</v>
      </c>
      <c r="R24" s="9" t="s">
        <v>4589</v>
      </c>
      <c r="S24" s="9" t="s">
        <v>4859</v>
      </c>
      <c r="T24" s="9">
        <v>3</v>
      </c>
      <c r="U24" s="9">
        <v>3</v>
      </c>
      <c r="V24" s="9">
        <v>2</v>
      </c>
      <c r="W24" s="9">
        <v>2</v>
      </c>
      <c r="X24" s="9">
        <v>1</v>
      </c>
      <c r="Y24" s="9">
        <v>1</v>
      </c>
      <c r="Z24" s="9" t="s">
        <v>954</v>
      </c>
      <c r="AA24" s="9" t="s">
        <v>955</v>
      </c>
      <c r="AB24" s="9" t="s">
        <v>962</v>
      </c>
      <c r="AC24" s="9" t="s">
        <v>4860</v>
      </c>
      <c r="AD24" s="9" t="s">
        <v>4861</v>
      </c>
      <c r="AE24" t="str">
        <f t="shared" si="0"/>
        <v>Medium</v>
      </c>
      <c r="AF24">
        <f>IF($A24="","",IFERROR(VLOOKUP($B24,_CONFIG_Risk_Calibration!$A$5:$H$21,2,FALSE),3))</f>
        <v>3</v>
      </c>
      <c r="AG24">
        <f>IF($A24="","",IFERROR(VLOOKUP($B24,_CONFIG_Risk_Calibration!$A$5:$H$21,3,FALSE),0))</f>
        <v>0</v>
      </c>
      <c r="AH24">
        <f>IF($A24="","",IFERROR(VLOOKUP($B24,_CONFIG_Risk_Calibration!$A$5:$H$21,4,FALSE),3))</f>
        <v>3</v>
      </c>
      <c r="AI24">
        <f>IF($A24="","",IFERROR(VLOOKUP($B24,_CONFIG_Risk_Calibration!$A$5:$H$21,5,FALSE),3))</f>
        <v>3</v>
      </c>
      <c r="AJ24" t="str">
        <f>IF($A24="","",IFERROR(VLOOKUP($B24,_CONFIG_Risk_Calibration!$A$5:$H$21,6,FALSE),"No"))</f>
        <v>No</v>
      </c>
      <c r="AK24">
        <f>IF($A24="","",IFERROR(VLOOKUP($B24,_CONFIG_Risk_Calibration!$A$5:$H$21,7,FALSE),1))</f>
        <v>1</v>
      </c>
      <c r="AL24" t="str">
        <f>IF($A24="","",IFERROR(VLOOKUP($B24,_CONFIG_Risk_Calibration!$A$5:$H$21,8,FALSE),""))</f>
        <v>Clean template default. Calibrate with real exposure, incident history, evidence quality and domain-owner validation.</v>
      </c>
      <c r="AM24">
        <f>IF($A24="","",IFERROR(INDEX(_DATA_Assessment_Model!$AL$1:$AL$428,MATCH($A24,_DATA_Assessment_Model!$A$1:$A$428,0)),""))</f>
        <v>0</v>
      </c>
      <c r="AN24">
        <f t="shared" si="1"/>
        <v>1</v>
      </c>
      <c r="AO24">
        <f>IF($A24="","",_CONFIG_Model_Settings!$B$172*MAX(N($AK24),(N($AF24)+N($AI24))/2))</f>
        <v>60</v>
      </c>
      <c r="AP24">
        <f t="shared" si="2"/>
        <v>60</v>
      </c>
      <c r="AQ24">
        <f>IF($AP24="","",MAX(0,$AP24*(1-(_CONFIG_Model_Settings!$B$173+_CONFIG_Model_Settings!$B$174*(N($AH24)-1)))))</f>
        <v>39</v>
      </c>
      <c r="AR24">
        <f>IF($AP24="","",MIN(100,$AP24*(1+(_CONFIG_Model_Settings!$B$173+_CONFIG_Model_Settings!$B$174*(N($AH24)-1)))))</f>
        <v>81</v>
      </c>
    </row>
    <row r="25" spans="1:44" ht="72" customHeight="1">
      <c r="A25" s="9" t="s">
        <v>963</v>
      </c>
      <c r="B25" s="9" t="s">
        <v>949</v>
      </c>
      <c r="C25" s="9" t="s">
        <v>951</v>
      </c>
      <c r="D25" s="9" t="s">
        <v>3680</v>
      </c>
      <c r="E25" s="9" t="s">
        <v>964</v>
      </c>
      <c r="F25" s="9" t="s">
        <v>4862</v>
      </c>
      <c r="G25" s="9" t="s">
        <v>4863</v>
      </c>
      <c r="H25" s="9" t="s">
        <v>4864</v>
      </c>
      <c r="I25" s="9" t="s">
        <v>4865</v>
      </c>
      <c r="J25" s="9" t="s">
        <v>4866</v>
      </c>
      <c r="K25" s="9" t="s">
        <v>4867</v>
      </c>
      <c r="L25" s="9" t="s">
        <v>4868</v>
      </c>
      <c r="M25" s="9" t="s">
        <v>4869</v>
      </c>
      <c r="N25" s="9" t="s">
        <v>4870</v>
      </c>
      <c r="O25" s="9" t="s">
        <v>4871</v>
      </c>
      <c r="P25" s="9" t="s">
        <v>4872</v>
      </c>
      <c r="Q25" s="9" t="s">
        <v>4873</v>
      </c>
      <c r="R25" s="9" t="s">
        <v>4589</v>
      </c>
      <c r="S25" s="9" t="s">
        <v>4874</v>
      </c>
      <c r="T25" s="9">
        <v>3</v>
      </c>
      <c r="U25" s="9">
        <v>3</v>
      </c>
      <c r="V25" s="9">
        <v>2</v>
      </c>
      <c r="W25" s="9">
        <v>2</v>
      </c>
      <c r="X25" s="9">
        <v>1</v>
      </c>
      <c r="Y25" s="9">
        <v>1</v>
      </c>
      <c r="Z25" s="9" t="s">
        <v>954</v>
      </c>
      <c r="AA25" s="9" t="s">
        <v>965</v>
      </c>
      <c r="AB25" s="9" t="s">
        <v>962</v>
      </c>
      <c r="AC25" s="9" t="s">
        <v>4860</v>
      </c>
      <c r="AD25" s="9" t="s">
        <v>4875</v>
      </c>
      <c r="AE25" t="str">
        <f t="shared" si="0"/>
        <v>Medium</v>
      </c>
      <c r="AF25">
        <f>IF($A25="","",IFERROR(VLOOKUP($B25,_CONFIG_Risk_Calibration!$A$5:$H$21,2,FALSE),3))</f>
        <v>3</v>
      </c>
      <c r="AG25">
        <f>IF($A25="","",IFERROR(VLOOKUP($B25,_CONFIG_Risk_Calibration!$A$5:$H$21,3,FALSE),0))</f>
        <v>0</v>
      </c>
      <c r="AH25">
        <f>IF($A25="","",IFERROR(VLOOKUP($B25,_CONFIG_Risk_Calibration!$A$5:$H$21,4,FALSE),3))</f>
        <v>3</v>
      </c>
      <c r="AI25">
        <f>IF($A25="","",IFERROR(VLOOKUP($B25,_CONFIG_Risk_Calibration!$A$5:$H$21,5,FALSE),3))</f>
        <v>3</v>
      </c>
      <c r="AJ25" t="str">
        <f>IF($A25="","",IFERROR(VLOOKUP($B25,_CONFIG_Risk_Calibration!$A$5:$H$21,6,FALSE),"No"))</f>
        <v>No</v>
      </c>
      <c r="AK25">
        <f>IF($A25="","",IFERROR(VLOOKUP($B25,_CONFIG_Risk_Calibration!$A$5:$H$21,7,FALSE),1))</f>
        <v>1</v>
      </c>
      <c r="AL25" t="str">
        <f>IF($A25="","",IFERROR(VLOOKUP($B25,_CONFIG_Risk_Calibration!$A$5:$H$21,8,FALSE),""))</f>
        <v>Clean template default. Calibrate with real exposure, incident history, evidence quality and domain-owner validation.</v>
      </c>
      <c r="AM25">
        <f>IF($A25="","",IFERROR(INDEX(_DATA_Assessment_Model!$AL$1:$AL$428,MATCH($A25,_DATA_Assessment_Model!$A$1:$A$428,0)),""))</f>
        <v>0</v>
      </c>
      <c r="AN25">
        <f t="shared" si="1"/>
        <v>1</v>
      </c>
      <c r="AO25">
        <f>IF($A25="","",_CONFIG_Model_Settings!$B$172*MAX(N($AK25),(N($AF25)+N($AI25))/2))</f>
        <v>60</v>
      </c>
      <c r="AP25">
        <f t="shared" si="2"/>
        <v>60</v>
      </c>
      <c r="AQ25">
        <f>IF($AP25="","",MAX(0,$AP25*(1-(_CONFIG_Model_Settings!$B$173+_CONFIG_Model_Settings!$B$174*(N($AH25)-1)))))</f>
        <v>39</v>
      </c>
      <c r="AR25">
        <f>IF($AP25="","",MIN(100,$AP25*(1+(_CONFIG_Model_Settings!$B$173+_CONFIG_Model_Settings!$B$174*(N($AH25)-1)))))</f>
        <v>81</v>
      </c>
    </row>
    <row r="26" spans="1:44" ht="84" customHeight="1">
      <c r="A26" s="9" t="s">
        <v>973</v>
      </c>
      <c r="B26" s="9" t="s">
        <v>949</v>
      </c>
      <c r="C26" s="9" t="s">
        <v>951</v>
      </c>
      <c r="D26" s="9" t="s">
        <v>3680</v>
      </c>
      <c r="E26" s="9" t="s">
        <v>974</v>
      </c>
      <c r="F26" s="9" t="s">
        <v>4876</v>
      </c>
      <c r="G26" s="9" t="s">
        <v>4877</v>
      </c>
      <c r="H26" s="9" t="s">
        <v>4878</v>
      </c>
      <c r="I26" s="9" t="s">
        <v>4879</v>
      </c>
      <c r="J26" s="9" t="s">
        <v>4880</v>
      </c>
      <c r="K26" s="9" t="s">
        <v>4881</v>
      </c>
      <c r="L26" s="9" t="s">
        <v>4882</v>
      </c>
      <c r="M26" s="9" t="s">
        <v>4883</v>
      </c>
      <c r="N26" s="9" t="s">
        <v>4884</v>
      </c>
      <c r="O26" s="9" t="s">
        <v>4885</v>
      </c>
      <c r="P26" s="9" t="s">
        <v>4886</v>
      </c>
      <c r="Q26" s="9" t="s">
        <v>4887</v>
      </c>
      <c r="R26" s="9" t="s">
        <v>4589</v>
      </c>
      <c r="S26" s="9" t="s">
        <v>4888</v>
      </c>
      <c r="T26" s="9">
        <v>3</v>
      </c>
      <c r="U26" s="9">
        <v>3</v>
      </c>
      <c r="V26" s="9">
        <v>2</v>
      </c>
      <c r="W26" s="9">
        <v>2</v>
      </c>
      <c r="X26" s="9">
        <v>1</v>
      </c>
      <c r="Y26" s="9">
        <v>1</v>
      </c>
      <c r="Z26" s="9" t="s">
        <v>954</v>
      </c>
      <c r="AA26" s="9" t="s">
        <v>975</v>
      </c>
      <c r="AB26" s="9" t="s">
        <v>962</v>
      </c>
      <c r="AC26" s="9" t="s">
        <v>4860</v>
      </c>
      <c r="AD26" s="9" t="s">
        <v>4889</v>
      </c>
      <c r="AE26" t="str">
        <f t="shared" si="0"/>
        <v>Medium</v>
      </c>
      <c r="AF26">
        <f>IF($A26="","",IFERROR(VLOOKUP($B26,_CONFIG_Risk_Calibration!$A$5:$H$21,2,FALSE),3))</f>
        <v>3</v>
      </c>
      <c r="AG26">
        <f>IF($A26="","",IFERROR(VLOOKUP($B26,_CONFIG_Risk_Calibration!$A$5:$H$21,3,FALSE),0))</f>
        <v>0</v>
      </c>
      <c r="AH26">
        <f>IF($A26="","",IFERROR(VLOOKUP($B26,_CONFIG_Risk_Calibration!$A$5:$H$21,4,FALSE),3))</f>
        <v>3</v>
      </c>
      <c r="AI26">
        <f>IF($A26="","",IFERROR(VLOOKUP($B26,_CONFIG_Risk_Calibration!$A$5:$H$21,5,FALSE),3))</f>
        <v>3</v>
      </c>
      <c r="AJ26" t="str">
        <f>IF($A26="","",IFERROR(VLOOKUP($B26,_CONFIG_Risk_Calibration!$A$5:$H$21,6,FALSE),"No"))</f>
        <v>No</v>
      </c>
      <c r="AK26">
        <f>IF($A26="","",IFERROR(VLOOKUP($B26,_CONFIG_Risk_Calibration!$A$5:$H$21,7,FALSE),1))</f>
        <v>1</v>
      </c>
      <c r="AL26" t="str">
        <f>IF($A26="","",IFERROR(VLOOKUP($B26,_CONFIG_Risk_Calibration!$A$5:$H$21,8,FALSE),""))</f>
        <v>Clean template default. Calibrate with real exposure, incident history, evidence quality and domain-owner validation.</v>
      </c>
      <c r="AM26">
        <f>IF($A26="","",IFERROR(INDEX(_DATA_Assessment_Model!$AL$1:$AL$428,MATCH($A26,_DATA_Assessment_Model!$A$1:$A$428,0)),""))</f>
        <v>0</v>
      </c>
      <c r="AN26">
        <f t="shared" si="1"/>
        <v>1</v>
      </c>
      <c r="AO26">
        <f>IF($A26="","",_CONFIG_Model_Settings!$B$172*MAX(N($AK26),(N($AF26)+N($AI26))/2))</f>
        <v>60</v>
      </c>
      <c r="AP26">
        <f t="shared" si="2"/>
        <v>60</v>
      </c>
      <c r="AQ26">
        <f>IF($AP26="","",MAX(0,$AP26*(1-(_CONFIG_Model_Settings!$B$173+_CONFIG_Model_Settings!$B$174*(N($AH26)-1)))))</f>
        <v>39</v>
      </c>
      <c r="AR26">
        <f>IF($AP26="","",MIN(100,$AP26*(1+(_CONFIG_Model_Settings!$B$173+_CONFIG_Model_Settings!$B$174*(N($AH26)-1)))))</f>
        <v>81</v>
      </c>
    </row>
    <row r="27" spans="1:44" ht="72" customHeight="1">
      <c r="A27" s="9" t="s">
        <v>977</v>
      </c>
      <c r="B27" s="9" t="s">
        <v>949</v>
      </c>
      <c r="C27" s="9" t="s">
        <v>951</v>
      </c>
      <c r="D27" s="9" t="s">
        <v>3680</v>
      </c>
      <c r="E27" s="9" t="s">
        <v>978</v>
      </c>
      <c r="F27" s="9" t="s">
        <v>4890</v>
      </c>
      <c r="G27" s="9" t="s">
        <v>4891</v>
      </c>
      <c r="H27" s="9" t="s">
        <v>4892</v>
      </c>
      <c r="I27" s="9" t="s">
        <v>4893</v>
      </c>
      <c r="J27" s="9" t="s">
        <v>4894</v>
      </c>
      <c r="K27" s="9" t="s">
        <v>4895</v>
      </c>
      <c r="L27" s="9" t="s">
        <v>4896</v>
      </c>
      <c r="M27" s="9" t="s">
        <v>4897</v>
      </c>
      <c r="N27" s="9" t="s">
        <v>4898</v>
      </c>
      <c r="O27" s="9" t="s">
        <v>4899</v>
      </c>
      <c r="P27" s="9" t="s">
        <v>4900</v>
      </c>
      <c r="Q27" s="9" t="s">
        <v>4901</v>
      </c>
      <c r="R27" s="9" t="s">
        <v>4589</v>
      </c>
      <c r="S27" s="9" t="s">
        <v>4902</v>
      </c>
      <c r="T27" s="9">
        <v>3</v>
      </c>
      <c r="U27" s="9">
        <v>3</v>
      </c>
      <c r="V27" s="9">
        <v>2</v>
      </c>
      <c r="W27" s="9">
        <v>2</v>
      </c>
      <c r="X27" s="9">
        <v>1</v>
      </c>
      <c r="Y27" s="9">
        <v>1</v>
      </c>
      <c r="Z27" s="9" t="s">
        <v>954</v>
      </c>
      <c r="AA27" s="9" t="s">
        <v>979</v>
      </c>
      <c r="AB27" s="9" t="s">
        <v>962</v>
      </c>
      <c r="AC27" s="9" t="s">
        <v>4860</v>
      </c>
      <c r="AD27" s="9" t="s">
        <v>4903</v>
      </c>
      <c r="AE27" t="str">
        <f t="shared" si="0"/>
        <v>Medium</v>
      </c>
      <c r="AF27">
        <f>IF($A27="","",IFERROR(VLOOKUP($B27,_CONFIG_Risk_Calibration!$A$5:$H$21,2,FALSE),3))</f>
        <v>3</v>
      </c>
      <c r="AG27">
        <f>IF($A27="","",IFERROR(VLOOKUP($B27,_CONFIG_Risk_Calibration!$A$5:$H$21,3,FALSE),0))</f>
        <v>0</v>
      </c>
      <c r="AH27">
        <f>IF($A27="","",IFERROR(VLOOKUP($B27,_CONFIG_Risk_Calibration!$A$5:$H$21,4,FALSE),3))</f>
        <v>3</v>
      </c>
      <c r="AI27">
        <f>IF($A27="","",IFERROR(VLOOKUP($B27,_CONFIG_Risk_Calibration!$A$5:$H$21,5,FALSE),3))</f>
        <v>3</v>
      </c>
      <c r="AJ27" t="str">
        <f>IF($A27="","",IFERROR(VLOOKUP($B27,_CONFIG_Risk_Calibration!$A$5:$H$21,6,FALSE),"No"))</f>
        <v>No</v>
      </c>
      <c r="AK27">
        <f>IF($A27="","",IFERROR(VLOOKUP($B27,_CONFIG_Risk_Calibration!$A$5:$H$21,7,FALSE),1))</f>
        <v>1</v>
      </c>
      <c r="AL27" t="str">
        <f>IF($A27="","",IFERROR(VLOOKUP($B27,_CONFIG_Risk_Calibration!$A$5:$H$21,8,FALSE),""))</f>
        <v>Clean template default. Calibrate with real exposure, incident history, evidence quality and domain-owner validation.</v>
      </c>
      <c r="AM27">
        <f>IF($A27="","",IFERROR(INDEX(_DATA_Assessment_Model!$AL$1:$AL$428,MATCH($A27,_DATA_Assessment_Model!$A$1:$A$428,0)),""))</f>
        <v>0</v>
      </c>
      <c r="AN27">
        <f t="shared" si="1"/>
        <v>1</v>
      </c>
      <c r="AO27">
        <f>IF($A27="","",_CONFIG_Model_Settings!$B$172*MAX(N($AK27),(N($AF27)+N($AI27))/2))</f>
        <v>60</v>
      </c>
      <c r="AP27">
        <f t="shared" si="2"/>
        <v>60</v>
      </c>
      <c r="AQ27">
        <f>IF($AP27="","",MAX(0,$AP27*(1-(_CONFIG_Model_Settings!$B$173+_CONFIG_Model_Settings!$B$174*(N($AH27)-1)))))</f>
        <v>39</v>
      </c>
      <c r="AR27">
        <f>IF($AP27="","",MIN(100,$AP27*(1+(_CONFIG_Model_Settings!$B$173+_CONFIG_Model_Settings!$B$174*(N($AH27)-1)))))</f>
        <v>81</v>
      </c>
    </row>
    <row r="28" spans="1:44" ht="72" customHeight="1">
      <c r="A28" s="9" t="s">
        <v>987</v>
      </c>
      <c r="B28" s="9" t="s">
        <v>949</v>
      </c>
      <c r="C28" s="9" t="s">
        <v>951</v>
      </c>
      <c r="D28" s="9" t="s">
        <v>3680</v>
      </c>
      <c r="E28" s="9" t="s">
        <v>988</v>
      </c>
      <c r="F28" s="9" t="s">
        <v>4904</v>
      </c>
      <c r="G28" s="9" t="s">
        <v>4905</v>
      </c>
      <c r="H28" s="9" t="s">
        <v>4906</v>
      </c>
      <c r="I28" s="9" t="s">
        <v>4907</v>
      </c>
      <c r="J28" s="9" t="s">
        <v>4908</v>
      </c>
      <c r="K28" s="9" t="s">
        <v>4909</v>
      </c>
      <c r="L28" s="9" t="s">
        <v>4910</v>
      </c>
      <c r="M28" s="9" t="s">
        <v>4911</v>
      </c>
      <c r="N28" s="9" t="s">
        <v>4912</v>
      </c>
      <c r="O28" s="9" t="s">
        <v>4913</v>
      </c>
      <c r="P28" s="9" t="s">
        <v>4914</v>
      </c>
      <c r="Q28" s="9" t="s">
        <v>4915</v>
      </c>
      <c r="R28" s="9" t="s">
        <v>4589</v>
      </c>
      <c r="S28" s="9" t="s">
        <v>4916</v>
      </c>
      <c r="T28" s="9">
        <v>3</v>
      </c>
      <c r="U28" s="9">
        <v>3</v>
      </c>
      <c r="V28" s="9">
        <v>2</v>
      </c>
      <c r="W28" s="9">
        <v>2</v>
      </c>
      <c r="X28" s="9">
        <v>1</v>
      </c>
      <c r="Y28" s="9">
        <v>1</v>
      </c>
      <c r="Z28" s="9" t="s">
        <v>954</v>
      </c>
      <c r="AA28" s="9" t="s">
        <v>989</v>
      </c>
      <c r="AB28" s="9" t="s">
        <v>962</v>
      </c>
      <c r="AC28" s="9" t="s">
        <v>4860</v>
      </c>
      <c r="AD28" s="9" t="s">
        <v>4917</v>
      </c>
      <c r="AE28" t="str">
        <f t="shared" si="0"/>
        <v>Medium</v>
      </c>
      <c r="AF28">
        <f>IF($A28="","",IFERROR(VLOOKUP($B28,_CONFIG_Risk_Calibration!$A$5:$H$21,2,FALSE),3))</f>
        <v>3</v>
      </c>
      <c r="AG28">
        <f>IF($A28="","",IFERROR(VLOOKUP($B28,_CONFIG_Risk_Calibration!$A$5:$H$21,3,FALSE),0))</f>
        <v>0</v>
      </c>
      <c r="AH28">
        <f>IF($A28="","",IFERROR(VLOOKUP($B28,_CONFIG_Risk_Calibration!$A$5:$H$21,4,FALSE),3))</f>
        <v>3</v>
      </c>
      <c r="AI28">
        <f>IF($A28="","",IFERROR(VLOOKUP($B28,_CONFIG_Risk_Calibration!$A$5:$H$21,5,FALSE),3))</f>
        <v>3</v>
      </c>
      <c r="AJ28" t="str">
        <f>IF($A28="","",IFERROR(VLOOKUP($B28,_CONFIG_Risk_Calibration!$A$5:$H$21,6,FALSE),"No"))</f>
        <v>No</v>
      </c>
      <c r="AK28">
        <f>IF($A28="","",IFERROR(VLOOKUP($B28,_CONFIG_Risk_Calibration!$A$5:$H$21,7,FALSE),1))</f>
        <v>1</v>
      </c>
      <c r="AL28" t="str">
        <f>IF($A28="","",IFERROR(VLOOKUP($B28,_CONFIG_Risk_Calibration!$A$5:$H$21,8,FALSE),""))</f>
        <v>Clean template default. Calibrate with real exposure, incident history, evidence quality and domain-owner validation.</v>
      </c>
      <c r="AM28">
        <f>IF($A28="","",IFERROR(INDEX(_DATA_Assessment_Model!$AL$1:$AL$428,MATCH($A28,_DATA_Assessment_Model!$A$1:$A$428,0)),""))</f>
        <v>0</v>
      </c>
      <c r="AN28">
        <f t="shared" si="1"/>
        <v>1</v>
      </c>
      <c r="AO28">
        <f>IF($A28="","",_CONFIG_Model_Settings!$B$172*MAX(N($AK28),(N($AF28)+N($AI28))/2))</f>
        <v>60</v>
      </c>
      <c r="AP28">
        <f t="shared" si="2"/>
        <v>60</v>
      </c>
      <c r="AQ28">
        <f>IF($AP28="","",MAX(0,$AP28*(1-(_CONFIG_Model_Settings!$B$173+_CONFIG_Model_Settings!$B$174*(N($AH28)-1)))))</f>
        <v>39</v>
      </c>
      <c r="AR28">
        <f>IF($AP28="","",MIN(100,$AP28*(1+(_CONFIG_Model_Settings!$B$173+_CONFIG_Model_Settings!$B$174*(N($AH28)-1)))))</f>
        <v>81</v>
      </c>
    </row>
    <row r="29" spans="1:44" ht="72" customHeight="1">
      <c r="A29" s="9" t="s">
        <v>991</v>
      </c>
      <c r="B29" s="9" t="s">
        <v>949</v>
      </c>
      <c r="C29" s="9" t="s">
        <v>951</v>
      </c>
      <c r="D29" s="9" t="s">
        <v>3680</v>
      </c>
      <c r="E29" s="9" t="s">
        <v>992</v>
      </c>
      <c r="F29" s="9" t="s">
        <v>4918</v>
      </c>
      <c r="G29" s="9" t="s">
        <v>4919</v>
      </c>
      <c r="H29" s="9" t="s">
        <v>4920</v>
      </c>
      <c r="I29" s="9" t="s">
        <v>4921</v>
      </c>
      <c r="J29" s="9" t="s">
        <v>4922</v>
      </c>
      <c r="K29" s="9" t="s">
        <v>4923</v>
      </c>
      <c r="L29" s="9" t="s">
        <v>4924</v>
      </c>
      <c r="M29" s="9" t="s">
        <v>4925</v>
      </c>
      <c r="N29" s="9" t="s">
        <v>4926</v>
      </c>
      <c r="O29" s="9" t="s">
        <v>4927</v>
      </c>
      <c r="P29" s="9" t="s">
        <v>4928</v>
      </c>
      <c r="Q29" s="9" t="s">
        <v>4929</v>
      </c>
      <c r="R29" s="9" t="s">
        <v>4589</v>
      </c>
      <c r="S29" s="9" t="s">
        <v>4930</v>
      </c>
      <c r="T29" s="9">
        <v>3</v>
      </c>
      <c r="U29" s="9">
        <v>3</v>
      </c>
      <c r="V29" s="9">
        <v>2</v>
      </c>
      <c r="W29" s="9">
        <v>2</v>
      </c>
      <c r="X29" s="9">
        <v>1</v>
      </c>
      <c r="Y29" s="9">
        <v>1</v>
      </c>
      <c r="Z29" s="9" t="s">
        <v>954</v>
      </c>
      <c r="AA29" s="9" t="s">
        <v>993</v>
      </c>
      <c r="AB29" s="9" t="s">
        <v>962</v>
      </c>
      <c r="AC29" s="9" t="s">
        <v>4860</v>
      </c>
      <c r="AD29" s="9" t="s">
        <v>4931</v>
      </c>
      <c r="AE29" t="str">
        <f t="shared" si="0"/>
        <v>Medium</v>
      </c>
      <c r="AF29">
        <f>IF($A29="","",IFERROR(VLOOKUP($B29,_CONFIG_Risk_Calibration!$A$5:$H$21,2,FALSE),3))</f>
        <v>3</v>
      </c>
      <c r="AG29">
        <f>IF($A29="","",IFERROR(VLOOKUP($B29,_CONFIG_Risk_Calibration!$A$5:$H$21,3,FALSE),0))</f>
        <v>0</v>
      </c>
      <c r="AH29">
        <f>IF($A29="","",IFERROR(VLOOKUP($B29,_CONFIG_Risk_Calibration!$A$5:$H$21,4,FALSE),3))</f>
        <v>3</v>
      </c>
      <c r="AI29">
        <f>IF($A29="","",IFERROR(VLOOKUP($B29,_CONFIG_Risk_Calibration!$A$5:$H$21,5,FALSE),3))</f>
        <v>3</v>
      </c>
      <c r="AJ29" t="str">
        <f>IF($A29="","",IFERROR(VLOOKUP($B29,_CONFIG_Risk_Calibration!$A$5:$H$21,6,FALSE),"No"))</f>
        <v>No</v>
      </c>
      <c r="AK29">
        <f>IF($A29="","",IFERROR(VLOOKUP($B29,_CONFIG_Risk_Calibration!$A$5:$H$21,7,FALSE),1))</f>
        <v>1</v>
      </c>
      <c r="AL29" t="str">
        <f>IF($A29="","",IFERROR(VLOOKUP($B29,_CONFIG_Risk_Calibration!$A$5:$H$21,8,FALSE),""))</f>
        <v>Clean template default. Calibrate with real exposure, incident history, evidence quality and domain-owner validation.</v>
      </c>
      <c r="AM29">
        <f>IF($A29="","",IFERROR(INDEX(_DATA_Assessment_Model!$AL$1:$AL$428,MATCH($A29,_DATA_Assessment_Model!$A$1:$A$428,0)),""))</f>
        <v>0</v>
      </c>
      <c r="AN29">
        <f t="shared" si="1"/>
        <v>1</v>
      </c>
      <c r="AO29">
        <f>IF($A29="","",_CONFIG_Model_Settings!$B$172*MAX(N($AK29),(N($AF29)+N($AI29))/2))</f>
        <v>60</v>
      </c>
      <c r="AP29">
        <f t="shared" si="2"/>
        <v>60</v>
      </c>
      <c r="AQ29">
        <f>IF($AP29="","",MAX(0,$AP29*(1-(_CONFIG_Model_Settings!$B$173+_CONFIG_Model_Settings!$B$174*(N($AH29)-1)))))</f>
        <v>39</v>
      </c>
      <c r="AR29">
        <f>IF($AP29="","",MIN(100,$AP29*(1+(_CONFIG_Model_Settings!$B$173+_CONFIG_Model_Settings!$B$174*(N($AH29)-1)))))</f>
        <v>81</v>
      </c>
    </row>
    <row r="30" spans="1:44" ht="84" customHeight="1">
      <c r="A30" s="9" t="s">
        <v>1000</v>
      </c>
      <c r="B30" s="9" t="s">
        <v>949</v>
      </c>
      <c r="C30" s="9" t="s">
        <v>972</v>
      </c>
      <c r="D30" s="9" t="s">
        <v>3680</v>
      </c>
      <c r="E30" s="9" t="s">
        <v>1001</v>
      </c>
      <c r="F30" s="9" t="s">
        <v>4932</v>
      </c>
      <c r="G30" s="9" t="s">
        <v>4933</v>
      </c>
      <c r="H30" s="9" t="s">
        <v>4934</v>
      </c>
      <c r="I30" s="9" t="s">
        <v>4935</v>
      </c>
      <c r="J30" s="9" t="s">
        <v>4936</v>
      </c>
      <c r="K30" s="9" t="s">
        <v>4937</v>
      </c>
      <c r="L30" s="9" t="s">
        <v>4938</v>
      </c>
      <c r="M30" s="9" t="s">
        <v>4939</v>
      </c>
      <c r="N30" s="9" t="s">
        <v>4940</v>
      </c>
      <c r="O30" s="9" t="s">
        <v>4941</v>
      </c>
      <c r="P30" s="9" t="s">
        <v>4942</v>
      </c>
      <c r="Q30" s="9" t="s">
        <v>4943</v>
      </c>
      <c r="R30" s="9" t="s">
        <v>4589</v>
      </c>
      <c r="S30" s="9" t="s">
        <v>4944</v>
      </c>
      <c r="T30" s="9">
        <v>3</v>
      </c>
      <c r="U30" s="9">
        <v>3</v>
      </c>
      <c r="V30" s="9">
        <v>2</v>
      </c>
      <c r="W30" s="9">
        <v>2</v>
      </c>
      <c r="X30" s="9">
        <v>1</v>
      </c>
      <c r="Y30" s="9">
        <v>1</v>
      </c>
      <c r="Z30" s="9" t="s">
        <v>954</v>
      </c>
      <c r="AA30" s="9" t="s">
        <v>1002</v>
      </c>
      <c r="AB30" s="9" t="s">
        <v>962</v>
      </c>
      <c r="AC30" s="9" t="s">
        <v>4860</v>
      </c>
      <c r="AD30" s="9" t="s">
        <v>4945</v>
      </c>
      <c r="AE30" t="str">
        <f t="shared" si="0"/>
        <v>Medium</v>
      </c>
      <c r="AF30">
        <f>IF($A30="","",IFERROR(VLOOKUP($B30,_CONFIG_Risk_Calibration!$A$5:$H$21,2,FALSE),3))</f>
        <v>3</v>
      </c>
      <c r="AG30">
        <f>IF($A30="","",IFERROR(VLOOKUP($B30,_CONFIG_Risk_Calibration!$A$5:$H$21,3,FALSE),0))</f>
        <v>0</v>
      </c>
      <c r="AH30">
        <f>IF($A30="","",IFERROR(VLOOKUP($B30,_CONFIG_Risk_Calibration!$A$5:$H$21,4,FALSE),3))</f>
        <v>3</v>
      </c>
      <c r="AI30">
        <f>IF($A30="","",IFERROR(VLOOKUP($B30,_CONFIG_Risk_Calibration!$A$5:$H$21,5,FALSE),3))</f>
        <v>3</v>
      </c>
      <c r="AJ30" t="str">
        <f>IF($A30="","",IFERROR(VLOOKUP($B30,_CONFIG_Risk_Calibration!$A$5:$H$21,6,FALSE),"No"))</f>
        <v>No</v>
      </c>
      <c r="AK30">
        <f>IF($A30="","",IFERROR(VLOOKUP($B30,_CONFIG_Risk_Calibration!$A$5:$H$21,7,FALSE),1))</f>
        <v>1</v>
      </c>
      <c r="AL30" t="str">
        <f>IF($A30="","",IFERROR(VLOOKUP($B30,_CONFIG_Risk_Calibration!$A$5:$H$21,8,FALSE),""))</f>
        <v>Clean template default. Calibrate with real exposure, incident history, evidence quality and domain-owner validation.</v>
      </c>
      <c r="AM30">
        <f>IF($A30="","",IFERROR(INDEX(_DATA_Assessment_Model!$AL$1:$AL$428,MATCH($A30,_DATA_Assessment_Model!$A$1:$A$428,0)),""))</f>
        <v>0</v>
      </c>
      <c r="AN30">
        <f t="shared" si="1"/>
        <v>1</v>
      </c>
      <c r="AO30">
        <f>IF($A30="","",_CONFIG_Model_Settings!$B$172*MAX(N($AK30),(N($AF30)+N($AI30))/2))</f>
        <v>60</v>
      </c>
      <c r="AP30">
        <f t="shared" si="2"/>
        <v>60</v>
      </c>
      <c r="AQ30">
        <f>IF($AP30="","",MAX(0,$AP30*(1-(_CONFIG_Model_Settings!$B$173+_CONFIG_Model_Settings!$B$174*(N($AH30)-1)))))</f>
        <v>39</v>
      </c>
      <c r="AR30">
        <f>IF($AP30="","",MIN(100,$AP30*(1+(_CONFIG_Model_Settings!$B$173+_CONFIG_Model_Settings!$B$174*(N($AH30)-1)))))</f>
        <v>81</v>
      </c>
    </row>
    <row r="31" spans="1:44" ht="72" customHeight="1">
      <c r="A31" s="9" t="s">
        <v>1009</v>
      </c>
      <c r="B31" s="9" t="s">
        <v>949</v>
      </c>
      <c r="C31" s="9" t="s">
        <v>972</v>
      </c>
      <c r="D31" s="9" t="s">
        <v>3680</v>
      </c>
      <c r="E31" s="9" t="s">
        <v>1010</v>
      </c>
      <c r="F31" s="9" t="s">
        <v>4946</v>
      </c>
      <c r="G31" s="9" t="s">
        <v>4947</v>
      </c>
      <c r="H31" s="9" t="s">
        <v>4948</v>
      </c>
      <c r="I31" s="9" t="s">
        <v>4949</v>
      </c>
      <c r="J31" s="9" t="s">
        <v>4950</v>
      </c>
      <c r="K31" s="9" t="s">
        <v>4951</v>
      </c>
      <c r="L31" s="9" t="s">
        <v>4952</v>
      </c>
      <c r="M31" s="9" t="s">
        <v>4953</v>
      </c>
      <c r="N31" s="9" t="s">
        <v>4954</v>
      </c>
      <c r="O31" s="9" t="s">
        <v>4955</v>
      </c>
      <c r="P31" s="9" t="s">
        <v>4956</v>
      </c>
      <c r="Q31" s="9" t="s">
        <v>4957</v>
      </c>
      <c r="R31" s="9" t="s">
        <v>4589</v>
      </c>
      <c r="S31" s="9" t="s">
        <v>4958</v>
      </c>
      <c r="T31" s="9">
        <v>3</v>
      </c>
      <c r="U31" s="9">
        <v>3</v>
      </c>
      <c r="V31" s="9">
        <v>2</v>
      </c>
      <c r="W31" s="9">
        <v>2</v>
      </c>
      <c r="X31" s="9">
        <v>1</v>
      </c>
      <c r="Y31" s="9">
        <v>1</v>
      </c>
      <c r="Z31" s="9" t="s">
        <v>954</v>
      </c>
      <c r="AA31" s="9" t="s">
        <v>1011</v>
      </c>
      <c r="AB31" s="9" t="s">
        <v>962</v>
      </c>
      <c r="AC31" s="9" t="s">
        <v>4860</v>
      </c>
      <c r="AD31" s="9" t="s">
        <v>4959</v>
      </c>
      <c r="AE31" t="str">
        <f t="shared" si="0"/>
        <v>Medium</v>
      </c>
      <c r="AF31">
        <f>IF($A31="","",IFERROR(VLOOKUP($B31,_CONFIG_Risk_Calibration!$A$5:$H$21,2,FALSE),3))</f>
        <v>3</v>
      </c>
      <c r="AG31">
        <f>IF($A31="","",IFERROR(VLOOKUP($B31,_CONFIG_Risk_Calibration!$A$5:$H$21,3,FALSE),0))</f>
        <v>0</v>
      </c>
      <c r="AH31">
        <f>IF($A31="","",IFERROR(VLOOKUP($B31,_CONFIG_Risk_Calibration!$A$5:$H$21,4,FALSE),3))</f>
        <v>3</v>
      </c>
      <c r="AI31">
        <f>IF($A31="","",IFERROR(VLOOKUP($B31,_CONFIG_Risk_Calibration!$A$5:$H$21,5,FALSE),3))</f>
        <v>3</v>
      </c>
      <c r="AJ31" t="str">
        <f>IF($A31="","",IFERROR(VLOOKUP($B31,_CONFIG_Risk_Calibration!$A$5:$H$21,6,FALSE),"No"))</f>
        <v>No</v>
      </c>
      <c r="AK31">
        <f>IF($A31="","",IFERROR(VLOOKUP($B31,_CONFIG_Risk_Calibration!$A$5:$H$21,7,FALSE),1))</f>
        <v>1</v>
      </c>
      <c r="AL31" t="str">
        <f>IF($A31="","",IFERROR(VLOOKUP($B31,_CONFIG_Risk_Calibration!$A$5:$H$21,8,FALSE),""))</f>
        <v>Clean template default. Calibrate with real exposure, incident history, evidence quality and domain-owner validation.</v>
      </c>
      <c r="AM31">
        <f>IF($A31="","",IFERROR(INDEX(_DATA_Assessment_Model!$AL$1:$AL$428,MATCH($A31,_DATA_Assessment_Model!$A$1:$A$428,0)),""))</f>
        <v>0</v>
      </c>
      <c r="AN31">
        <f t="shared" si="1"/>
        <v>1</v>
      </c>
      <c r="AO31">
        <f>IF($A31="","",_CONFIG_Model_Settings!$B$172*MAX(N($AK31),(N($AF31)+N($AI31))/2))</f>
        <v>60</v>
      </c>
      <c r="AP31">
        <f t="shared" si="2"/>
        <v>60</v>
      </c>
      <c r="AQ31">
        <f>IF($AP31="","",MAX(0,$AP31*(1-(_CONFIG_Model_Settings!$B$173+_CONFIG_Model_Settings!$B$174*(N($AH31)-1)))))</f>
        <v>39</v>
      </c>
      <c r="AR31">
        <f>IF($AP31="","",MIN(100,$AP31*(1+(_CONFIG_Model_Settings!$B$173+_CONFIG_Model_Settings!$B$174*(N($AH31)-1)))))</f>
        <v>81</v>
      </c>
    </row>
    <row r="32" spans="1:44" ht="72" customHeight="1">
      <c r="A32" s="9" t="s">
        <v>1018</v>
      </c>
      <c r="B32" s="9" t="s">
        <v>949</v>
      </c>
      <c r="C32" s="9" t="s">
        <v>972</v>
      </c>
      <c r="D32" s="9" t="s">
        <v>3680</v>
      </c>
      <c r="E32" s="9" t="s">
        <v>1019</v>
      </c>
      <c r="F32" s="9" t="s">
        <v>4960</v>
      </c>
      <c r="G32" s="9" t="s">
        <v>4961</v>
      </c>
      <c r="H32" s="9" t="s">
        <v>4962</v>
      </c>
      <c r="I32" s="9" t="s">
        <v>4963</v>
      </c>
      <c r="J32" s="9" t="s">
        <v>4964</v>
      </c>
      <c r="K32" s="9" t="s">
        <v>4965</v>
      </c>
      <c r="L32" s="9" t="s">
        <v>4966</v>
      </c>
      <c r="M32" s="9" t="s">
        <v>4967</v>
      </c>
      <c r="N32" s="9" t="s">
        <v>4968</v>
      </c>
      <c r="O32" s="9" t="s">
        <v>4969</v>
      </c>
      <c r="P32" s="9" t="s">
        <v>4970</v>
      </c>
      <c r="Q32" s="9" t="s">
        <v>4971</v>
      </c>
      <c r="R32" s="9" t="s">
        <v>4589</v>
      </c>
      <c r="S32" s="9" t="s">
        <v>4972</v>
      </c>
      <c r="T32" s="9">
        <v>3</v>
      </c>
      <c r="U32" s="9">
        <v>3</v>
      </c>
      <c r="V32" s="9">
        <v>2</v>
      </c>
      <c r="W32" s="9">
        <v>2</v>
      </c>
      <c r="X32" s="9">
        <v>1</v>
      </c>
      <c r="Y32" s="9">
        <v>1</v>
      </c>
      <c r="Z32" s="9" t="s">
        <v>954</v>
      </c>
      <c r="AA32" s="9" t="s">
        <v>1020</v>
      </c>
      <c r="AB32" s="9" t="s">
        <v>962</v>
      </c>
      <c r="AC32" s="9" t="s">
        <v>4860</v>
      </c>
      <c r="AD32" s="9" t="s">
        <v>4973</v>
      </c>
      <c r="AE32" t="str">
        <f t="shared" si="0"/>
        <v>Medium</v>
      </c>
      <c r="AF32">
        <f>IF($A32="","",IFERROR(VLOOKUP($B32,_CONFIG_Risk_Calibration!$A$5:$H$21,2,FALSE),3))</f>
        <v>3</v>
      </c>
      <c r="AG32">
        <f>IF($A32="","",IFERROR(VLOOKUP($B32,_CONFIG_Risk_Calibration!$A$5:$H$21,3,FALSE),0))</f>
        <v>0</v>
      </c>
      <c r="AH32">
        <f>IF($A32="","",IFERROR(VLOOKUP($B32,_CONFIG_Risk_Calibration!$A$5:$H$21,4,FALSE),3))</f>
        <v>3</v>
      </c>
      <c r="AI32">
        <f>IF($A32="","",IFERROR(VLOOKUP($B32,_CONFIG_Risk_Calibration!$A$5:$H$21,5,FALSE),3))</f>
        <v>3</v>
      </c>
      <c r="AJ32" t="str">
        <f>IF($A32="","",IFERROR(VLOOKUP($B32,_CONFIG_Risk_Calibration!$A$5:$H$21,6,FALSE),"No"))</f>
        <v>No</v>
      </c>
      <c r="AK32">
        <f>IF($A32="","",IFERROR(VLOOKUP($B32,_CONFIG_Risk_Calibration!$A$5:$H$21,7,FALSE),1))</f>
        <v>1</v>
      </c>
      <c r="AL32" t="str">
        <f>IF($A32="","",IFERROR(VLOOKUP($B32,_CONFIG_Risk_Calibration!$A$5:$H$21,8,FALSE),""))</f>
        <v>Clean template default. Calibrate with real exposure, incident history, evidence quality and domain-owner validation.</v>
      </c>
      <c r="AM32">
        <f>IF($A32="","",IFERROR(INDEX(_DATA_Assessment_Model!$AL$1:$AL$428,MATCH($A32,_DATA_Assessment_Model!$A$1:$A$428,0)),""))</f>
        <v>0</v>
      </c>
      <c r="AN32">
        <f t="shared" si="1"/>
        <v>1</v>
      </c>
      <c r="AO32">
        <f>IF($A32="","",_CONFIG_Model_Settings!$B$172*MAX(N($AK32),(N($AF32)+N($AI32))/2))</f>
        <v>60</v>
      </c>
      <c r="AP32">
        <f t="shared" si="2"/>
        <v>60</v>
      </c>
      <c r="AQ32">
        <f>IF($AP32="","",MAX(0,$AP32*(1-(_CONFIG_Model_Settings!$B$173+_CONFIG_Model_Settings!$B$174*(N($AH32)-1)))))</f>
        <v>39</v>
      </c>
      <c r="AR32">
        <f>IF($AP32="","",MIN(100,$AP32*(1+(_CONFIG_Model_Settings!$B$173+_CONFIG_Model_Settings!$B$174*(N($AH32)-1)))))</f>
        <v>81</v>
      </c>
    </row>
    <row r="33" spans="1:44" ht="84" customHeight="1">
      <c r="A33" s="9" t="s">
        <v>1027</v>
      </c>
      <c r="B33" s="9" t="s">
        <v>949</v>
      </c>
      <c r="C33" s="9" t="s">
        <v>972</v>
      </c>
      <c r="D33" s="9" t="s">
        <v>3680</v>
      </c>
      <c r="E33" s="9" t="s">
        <v>1028</v>
      </c>
      <c r="F33" s="9" t="s">
        <v>4974</v>
      </c>
      <c r="G33" s="9" t="s">
        <v>4975</v>
      </c>
      <c r="H33" s="9" t="s">
        <v>4976</v>
      </c>
      <c r="I33" s="9" t="s">
        <v>4977</v>
      </c>
      <c r="J33" s="9" t="s">
        <v>4978</v>
      </c>
      <c r="K33" s="9" t="s">
        <v>4979</v>
      </c>
      <c r="L33" s="9" t="s">
        <v>4980</v>
      </c>
      <c r="M33" s="9" t="s">
        <v>4981</v>
      </c>
      <c r="N33" s="9" t="s">
        <v>4982</v>
      </c>
      <c r="O33" s="9" t="s">
        <v>4983</v>
      </c>
      <c r="P33" s="9" t="s">
        <v>4984</v>
      </c>
      <c r="Q33" s="9" t="s">
        <v>4985</v>
      </c>
      <c r="R33" s="9" t="s">
        <v>4589</v>
      </c>
      <c r="S33" s="9" t="s">
        <v>4986</v>
      </c>
      <c r="T33" s="9">
        <v>3</v>
      </c>
      <c r="U33" s="9">
        <v>3</v>
      </c>
      <c r="V33" s="9">
        <v>2</v>
      </c>
      <c r="W33" s="9">
        <v>2</v>
      </c>
      <c r="X33" s="9">
        <v>1</v>
      </c>
      <c r="Y33" s="9">
        <v>1</v>
      </c>
      <c r="Z33" s="9" t="s">
        <v>954</v>
      </c>
      <c r="AA33" s="9" t="s">
        <v>1029</v>
      </c>
      <c r="AB33" s="9" t="s">
        <v>962</v>
      </c>
      <c r="AC33" s="9" t="s">
        <v>4860</v>
      </c>
      <c r="AD33" s="9" t="s">
        <v>4987</v>
      </c>
      <c r="AE33" t="str">
        <f t="shared" si="0"/>
        <v>Medium</v>
      </c>
      <c r="AF33">
        <f>IF($A33="","",IFERROR(VLOOKUP($B33,_CONFIG_Risk_Calibration!$A$5:$H$21,2,FALSE),3))</f>
        <v>3</v>
      </c>
      <c r="AG33">
        <f>IF($A33="","",IFERROR(VLOOKUP($B33,_CONFIG_Risk_Calibration!$A$5:$H$21,3,FALSE),0))</f>
        <v>0</v>
      </c>
      <c r="AH33">
        <f>IF($A33="","",IFERROR(VLOOKUP($B33,_CONFIG_Risk_Calibration!$A$5:$H$21,4,FALSE),3))</f>
        <v>3</v>
      </c>
      <c r="AI33">
        <f>IF($A33="","",IFERROR(VLOOKUP($B33,_CONFIG_Risk_Calibration!$A$5:$H$21,5,FALSE),3))</f>
        <v>3</v>
      </c>
      <c r="AJ33" t="str">
        <f>IF($A33="","",IFERROR(VLOOKUP($B33,_CONFIG_Risk_Calibration!$A$5:$H$21,6,FALSE),"No"))</f>
        <v>No</v>
      </c>
      <c r="AK33">
        <f>IF($A33="","",IFERROR(VLOOKUP($B33,_CONFIG_Risk_Calibration!$A$5:$H$21,7,FALSE),1))</f>
        <v>1</v>
      </c>
      <c r="AL33" t="str">
        <f>IF($A33="","",IFERROR(VLOOKUP($B33,_CONFIG_Risk_Calibration!$A$5:$H$21,8,FALSE),""))</f>
        <v>Clean template default. Calibrate with real exposure, incident history, evidence quality and domain-owner validation.</v>
      </c>
      <c r="AM33">
        <f>IF($A33="","",IFERROR(INDEX(_DATA_Assessment_Model!$AL$1:$AL$428,MATCH($A33,_DATA_Assessment_Model!$A$1:$A$428,0)),""))</f>
        <v>0</v>
      </c>
      <c r="AN33">
        <f t="shared" si="1"/>
        <v>1</v>
      </c>
      <c r="AO33">
        <f>IF($A33="","",_CONFIG_Model_Settings!$B$172*MAX(N($AK33),(N($AF33)+N($AI33))/2))</f>
        <v>60</v>
      </c>
      <c r="AP33">
        <f t="shared" si="2"/>
        <v>60</v>
      </c>
      <c r="AQ33">
        <f>IF($AP33="","",MAX(0,$AP33*(1-(_CONFIG_Model_Settings!$B$173+_CONFIG_Model_Settings!$B$174*(N($AH33)-1)))))</f>
        <v>39</v>
      </c>
      <c r="AR33">
        <f>IF($AP33="","",MIN(100,$AP33*(1+(_CONFIG_Model_Settings!$B$173+_CONFIG_Model_Settings!$B$174*(N($AH33)-1)))))</f>
        <v>81</v>
      </c>
    </row>
    <row r="34" spans="1:44" ht="72" customHeight="1">
      <c r="A34" s="9" t="s">
        <v>1030</v>
      </c>
      <c r="B34" s="9" t="s">
        <v>949</v>
      </c>
      <c r="C34" s="9" t="s">
        <v>972</v>
      </c>
      <c r="D34" s="9" t="s">
        <v>3680</v>
      </c>
      <c r="E34" s="9" t="s">
        <v>1031</v>
      </c>
      <c r="F34" s="9" t="s">
        <v>4988</v>
      </c>
      <c r="G34" s="9" t="s">
        <v>4989</v>
      </c>
      <c r="H34" s="9" t="s">
        <v>4990</v>
      </c>
      <c r="I34" s="9" t="s">
        <v>4991</v>
      </c>
      <c r="J34" s="9" t="s">
        <v>4992</v>
      </c>
      <c r="K34" s="9" t="s">
        <v>4993</v>
      </c>
      <c r="L34" s="9" t="s">
        <v>4994</v>
      </c>
      <c r="M34" s="9" t="s">
        <v>4995</v>
      </c>
      <c r="N34" s="9" t="s">
        <v>4996</v>
      </c>
      <c r="O34" s="9" t="s">
        <v>4997</v>
      </c>
      <c r="P34" s="9" t="s">
        <v>4998</v>
      </c>
      <c r="Q34" s="9" t="s">
        <v>4999</v>
      </c>
      <c r="R34" s="9" t="s">
        <v>4589</v>
      </c>
      <c r="S34" s="9" t="s">
        <v>5000</v>
      </c>
      <c r="T34" s="9">
        <v>3</v>
      </c>
      <c r="U34" s="9">
        <v>3</v>
      </c>
      <c r="V34" s="9">
        <v>2</v>
      </c>
      <c r="W34" s="9">
        <v>2</v>
      </c>
      <c r="X34" s="9">
        <v>1</v>
      </c>
      <c r="Y34" s="9">
        <v>1</v>
      </c>
      <c r="Z34" s="9" t="s">
        <v>954</v>
      </c>
      <c r="AA34" s="9" t="s">
        <v>1032</v>
      </c>
      <c r="AB34" s="9" t="s">
        <v>962</v>
      </c>
      <c r="AC34" s="9" t="s">
        <v>4860</v>
      </c>
      <c r="AD34" s="9" t="s">
        <v>5001</v>
      </c>
      <c r="AE34" t="str">
        <f t="shared" si="0"/>
        <v>Medium</v>
      </c>
      <c r="AF34">
        <f>IF($A34="","",IFERROR(VLOOKUP($B34,_CONFIG_Risk_Calibration!$A$5:$H$21,2,FALSE),3))</f>
        <v>3</v>
      </c>
      <c r="AG34">
        <f>IF($A34="","",IFERROR(VLOOKUP($B34,_CONFIG_Risk_Calibration!$A$5:$H$21,3,FALSE),0))</f>
        <v>0</v>
      </c>
      <c r="AH34">
        <f>IF($A34="","",IFERROR(VLOOKUP($B34,_CONFIG_Risk_Calibration!$A$5:$H$21,4,FALSE),3))</f>
        <v>3</v>
      </c>
      <c r="AI34">
        <f>IF($A34="","",IFERROR(VLOOKUP($B34,_CONFIG_Risk_Calibration!$A$5:$H$21,5,FALSE),3))</f>
        <v>3</v>
      </c>
      <c r="AJ34" t="str">
        <f>IF($A34="","",IFERROR(VLOOKUP($B34,_CONFIG_Risk_Calibration!$A$5:$H$21,6,FALSE),"No"))</f>
        <v>No</v>
      </c>
      <c r="AK34">
        <f>IF($A34="","",IFERROR(VLOOKUP($B34,_CONFIG_Risk_Calibration!$A$5:$H$21,7,FALSE),1))</f>
        <v>1</v>
      </c>
      <c r="AL34" t="str">
        <f>IF($A34="","",IFERROR(VLOOKUP($B34,_CONFIG_Risk_Calibration!$A$5:$H$21,8,FALSE),""))</f>
        <v>Clean template default. Calibrate with real exposure, incident history, evidence quality and domain-owner validation.</v>
      </c>
      <c r="AM34">
        <f>IF($A34="","",IFERROR(INDEX(_DATA_Assessment_Model!$AL$1:$AL$428,MATCH($A34,_DATA_Assessment_Model!$A$1:$A$428,0)),""))</f>
        <v>0</v>
      </c>
      <c r="AN34">
        <f t="shared" si="1"/>
        <v>1</v>
      </c>
      <c r="AO34">
        <f>IF($A34="","",_CONFIG_Model_Settings!$B$172*MAX(N($AK34),(N($AF34)+N($AI34))/2))</f>
        <v>60</v>
      </c>
      <c r="AP34">
        <f t="shared" si="2"/>
        <v>60</v>
      </c>
      <c r="AQ34">
        <f>IF($AP34="","",MAX(0,$AP34*(1-(_CONFIG_Model_Settings!$B$173+_CONFIG_Model_Settings!$B$174*(N($AH34)-1)))))</f>
        <v>39</v>
      </c>
      <c r="AR34">
        <f>IF($AP34="","",MIN(100,$AP34*(1+(_CONFIG_Model_Settings!$B$173+_CONFIG_Model_Settings!$B$174*(N($AH34)-1)))))</f>
        <v>81</v>
      </c>
    </row>
    <row r="35" spans="1:44" ht="84" customHeight="1">
      <c r="A35" s="9" t="s">
        <v>1039</v>
      </c>
      <c r="B35" s="9" t="s">
        <v>949</v>
      </c>
      <c r="C35" s="9" t="s">
        <v>972</v>
      </c>
      <c r="D35" s="9" t="s">
        <v>3680</v>
      </c>
      <c r="E35" s="9" t="s">
        <v>1040</v>
      </c>
      <c r="F35" s="9" t="s">
        <v>5002</v>
      </c>
      <c r="G35" s="9" t="s">
        <v>5003</v>
      </c>
      <c r="H35" s="9" t="s">
        <v>5004</v>
      </c>
      <c r="I35" s="9" t="s">
        <v>5005</v>
      </c>
      <c r="J35" s="9" t="s">
        <v>5006</v>
      </c>
      <c r="K35" s="9" t="s">
        <v>5007</v>
      </c>
      <c r="L35" s="9" t="s">
        <v>5008</v>
      </c>
      <c r="M35" s="9" t="s">
        <v>5009</v>
      </c>
      <c r="N35" s="9" t="s">
        <v>5010</v>
      </c>
      <c r="O35" s="9" t="s">
        <v>5011</v>
      </c>
      <c r="P35" s="9" t="s">
        <v>5012</v>
      </c>
      <c r="Q35" s="9" t="s">
        <v>5013</v>
      </c>
      <c r="R35" s="9" t="s">
        <v>4589</v>
      </c>
      <c r="S35" s="9" t="s">
        <v>5014</v>
      </c>
      <c r="T35" s="9">
        <v>3</v>
      </c>
      <c r="U35" s="9">
        <v>3</v>
      </c>
      <c r="V35" s="9">
        <v>2</v>
      </c>
      <c r="W35" s="9">
        <v>2</v>
      </c>
      <c r="X35" s="9">
        <v>1</v>
      </c>
      <c r="Y35" s="9">
        <v>1</v>
      </c>
      <c r="Z35" s="9" t="s">
        <v>954</v>
      </c>
      <c r="AA35" s="9" t="s">
        <v>1041</v>
      </c>
      <c r="AB35" s="9" t="s">
        <v>962</v>
      </c>
      <c r="AC35" s="9" t="s">
        <v>4860</v>
      </c>
      <c r="AD35" s="9" t="s">
        <v>5015</v>
      </c>
      <c r="AE35" t="str">
        <f t="shared" si="0"/>
        <v>Medium</v>
      </c>
      <c r="AF35">
        <f>IF($A35="","",IFERROR(VLOOKUP($B35,_CONFIG_Risk_Calibration!$A$5:$H$21,2,FALSE),3))</f>
        <v>3</v>
      </c>
      <c r="AG35">
        <f>IF($A35="","",IFERROR(VLOOKUP($B35,_CONFIG_Risk_Calibration!$A$5:$H$21,3,FALSE),0))</f>
        <v>0</v>
      </c>
      <c r="AH35">
        <f>IF($A35="","",IFERROR(VLOOKUP($B35,_CONFIG_Risk_Calibration!$A$5:$H$21,4,FALSE),3))</f>
        <v>3</v>
      </c>
      <c r="AI35">
        <f>IF($A35="","",IFERROR(VLOOKUP($B35,_CONFIG_Risk_Calibration!$A$5:$H$21,5,FALSE),3))</f>
        <v>3</v>
      </c>
      <c r="AJ35" t="str">
        <f>IF($A35="","",IFERROR(VLOOKUP($B35,_CONFIG_Risk_Calibration!$A$5:$H$21,6,FALSE),"No"))</f>
        <v>No</v>
      </c>
      <c r="AK35">
        <f>IF($A35="","",IFERROR(VLOOKUP($B35,_CONFIG_Risk_Calibration!$A$5:$H$21,7,FALSE),1))</f>
        <v>1</v>
      </c>
      <c r="AL35" t="str">
        <f>IF($A35="","",IFERROR(VLOOKUP($B35,_CONFIG_Risk_Calibration!$A$5:$H$21,8,FALSE),""))</f>
        <v>Clean template default. Calibrate with real exposure, incident history, evidence quality and domain-owner validation.</v>
      </c>
      <c r="AM35">
        <f>IF($A35="","",IFERROR(INDEX(_DATA_Assessment_Model!$AL$1:$AL$428,MATCH($A35,_DATA_Assessment_Model!$A$1:$A$428,0)),""))</f>
        <v>0</v>
      </c>
      <c r="AN35">
        <f t="shared" si="1"/>
        <v>1</v>
      </c>
      <c r="AO35">
        <f>IF($A35="","",_CONFIG_Model_Settings!$B$172*MAX(N($AK35),(N($AF35)+N($AI35))/2))</f>
        <v>60</v>
      </c>
      <c r="AP35">
        <f t="shared" si="2"/>
        <v>60</v>
      </c>
      <c r="AQ35">
        <f>IF($AP35="","",MAX(0,$AP35*(1-(_CONFIG_Model_Settings!$B$173+_CONFIG_Model_Settings!$B$174*(N($AH35)-1)))))</f>
        <v>39</v>
      </c>
      <c r="AR35">
        <f>IF($AP35="","",MIN(100,$AP35*(1+(_CONFIG_Model_Settings!$B$173+_CONFIG_Model_Settings!$B$174*(N($AH35)-1)))))</f>
        <v>81</v>
      </c>
    </row>
    <row r="36" spans="1:44" ht="84" customHeight="1">
      <c r="A36" s="9" t="s">
        <v>1048</v>
      </c>
      <c r="B36" s="9" t="s">
        <v>949</v>
      </c>
      <c r="C36" s="9" t="s">
        <v>976</v>
      </c>
      <c r="D36" s="9" t="s">
        <v>3680</v>
      </c>
      <c r="E36" s="9" t="s">
        <v>1049</v>
      </c>
      <c r="F36" s="9" t="s">
        <v>5016</v>
      </c>
      <c r="G36" s="9" t="s">
        <v>5017</v>
      </c>
      <c r="H36" s="9" t="s">
        <v>5018</v>
      </c>
      <c r="I36" s="9" t="s">
        <v>5019</v>
      </c>
      <c r="J36" s="9" t="s">
        <v>5020</v>
      </c>
      <c r="K36" s="9" t="s">
        <v>5021</v>
      </c>
      <c r="L36" s="9" t="s">
        <v>5022</v>
      </c>
      <c r="M36" s="9" t="s">
        <v>5023</v>
      </c>
      <c r="N36" s="9" t="s">
        <v>5024</v>
      </c>
      <c r="O36" s="9" t="s">
        <v>5025</v>
      </c>
      <c r="P36" s="9" t="s">
        <v>5026</v>
      </c>
      <c r="Q36" s="9" t="s">
        <v>5027</v>
      </c>
      <c r="R36" s="9" t="s">
        <v>4589</v>
      </c>
      <c r="S36" s="9" t="s">
        <v>5028</v>
      </c>
      <c r="T36" s="9">
        <v>3</v>
      </c>
      <c r="U36" s="9">
        <v>3</v>
      </c>
      <c r="V36" s="9">
        <v>2</v>
      </c>
      <c r="W36" s="9">
        <v>2</v>
      </c>
      <c r="X36" s="9">
        <v>1</v>
      </c>
      <c r="Y36" s="9">
        <v>1</v>
      </c>
      <c r="Z36" s="9" t="s">
        <v>954</v>
      </c>
      <c r="AA36" s="9" t="s">
        <v>1050</v>
      </c>
      <c r="AB36" s="9" t="s">
        <v>962</v>
      </c>
      <c r="AC36" s="9" t="s">
        <v>4860</v>
      </c>
      <c r="AD36" s="9" t="s">
        <v>5029</v>
      </c>
      <c r="AE36" t="str">
        <f t="shared" si="0"/>
        <v>Medium</v>
      </c>
      <c r="AF36">
        <f>IF($A36="","",IFERROR(VLOOKUP($B36,_CONFIG_Risk_Calibration!$A$5:$H$21,2,FALSE),3))</f>
        <v>3</v>
      </c>
      <c r="AG36">
        <f>IF($A36="","",IFERROR(VLOOKUP($B36,_CONFIG_Risk_Calibration!$A$5:$H$21,3,FALSE),0))</f>
        <v>0</v>
      </c>
      <c r="AH36">
        <f>IF($A36="","",IFERROR(VLOOKUP($B36,_CONFIG_Risk_Calibration!$A$5:$H$21,4,FALSE),3))</f>
        <v>3</v>
      </c>
      <c r="AI36">
        <f>IF($A36="","",IFERROR(VLOOKUP($B36,_CONFIG_Risk_Calibration!$A$5:$H$21,5,FALSE),3))</f>
        <v>3</v>
      </c>
      <c r="AJ36" t="str">
        <f>IF($A36="","",IFERROR(VLOOKUP($B36,_CONFIG_Risk_Calibration!$A$5:$H$21,6,FALSE),"No"))</f>
        <v>No</v>
      </c>
      <c r="AK36">
        <f>IF($A36="","",IFERROR(VLOOKUP($B36,_CONFIG_Risk_Calibration!$A$5:$H$21,7,FALSE),1))</f>
        <v>1</v>
      </c>
      <c r="AL36" t="str">
        <f>IF($A36="","",IFERROR(VLOOKUP($B36,_CONFIG_Risk_Calibration!$A$5:$H$21,8,FALSE),""))</f>
        <v>Clean template default. Calibrate with real exposure, incident history, evidence quality and domain-owner validation.</v>
      </c>
      <c r="AM36">
        <f>IF($A36="","",IFERROR(INDEX(_DATA_Assessment_Model!$AL$1:$AL$428,MATCH($A36,_DATA_Assessment_Model!$A$1:$A$428,0)),""))</f>
        <v>0</v>
      </c>
      <c r="AN36">
        <f t="shared" si="1"/>
        <v>1</v>
      </c>
      <c r="AO36">
        <f>IF($A36="","",_CONFIG_Model_Settings!$B$172*MAX(N($AK36),(N($AF36)+N($AI36))/2))</f>
        <v>60</v>
      </c>
      <c r="AP36">
        <f t="shared" si="2"/>
        <v>60</v>
      </c>
      <c r="AQ36">
        <f>IF($AP36="","",MAX(0,$AP36*(1-(_CONFIG_Model_Settings!$B$173+_CONFIG_Model_Settings!$B$174*(N($AH36)-1)))))</f>
        <v>39</v>
      </c>
      <c r="AR36">
        <f>IF($AP36="","",MIN(100,$AP36*(1+(_CONFIG_Model_Settings!$B$173+_CONFIG_Model_Settings!$B$174*(N($AH36)-1)))))</f>
        <v>81</v>
      </c>
    </row>
    <row r="37" spans="1:44" ht="72" customHeight="1">
      <c r="A37" s="9" t="s">
        <v>1057</v>
      </c>
      <c r="B37" s="9" t="s">
        <v>949</v>
      </c>
      <c r="C37" s="9" t="s">
        <v>976</v>
      </c>
      <c r="D37" s="9" t="s">
        <v>3680</v>
      </c>
      <c r="E37" s="9" t="s">
        <v>1058</v>
      </c>
      <c r="F37" s="9" t="s">
        <v>5030</v>
      </c>
      <c r="G37" s="9" t="s">
        <v>5031</v>
      </c>
      <c r="H37" s="9" t="s">
        <v>5032</v>
      </c>
      <c r="I37" s="9" t="s">
        <v>5033</v>
      </c>
      <c r="J37" s="9" t="s">
        <v>5034</v>
      </c>
      <c r="K37" s="9" t="s">
        <v>5035</v>
      </c>
      <c r="L37" s="9" t="s">
        <v>5036</v>
      </c>
      <c r="M37" s="9" t="s">
        <v>5037</v>
      </c>
      <c r="N37" s="9" t="s">
        <v>5038</v>
      </c>
      <c r="O37" s="9" t="s">
        <v>5039</v>
      </c>
      <c r="P37" s="9" t="s">
        <v>5040</v>
      </c>
      <c r="Q37" s="9" t="s">
        <v>5041</v>
      </c>
      <c r="R37" s="9" t="s">
        <v>4589</v>
      </c>
      <c r="S37" s="9" t="s">
        <v>5042</v>
      </c>
      <c r="T37" s="9">
        <v>3</v>
      </c>
      <c r="U37" s="9">
        <v>3</v>
      </c>
      <c r="V37" s="9">
        <v>2</v>
      </c>
      <c r="W37" s="9">
        <v>2</v>
      </c>
      <c r="X37" s="9">
        <v>1</v>
      </c>
      <c r="Y37" s="9">
        <v>1</v>
      </c>
      <c r="Z37" s="9" t="s">
        <v>954</v>
      </c>
      <c r="AA37" s="9" t="s">
        <v>1059</v>
      </c>
      <c r="AB37" s="9" t="s">
        <v>962</v>
      </c>
      <c r="AC37" s="9" t="s">
        <v>4860</v>
      </c>
      <c r="AD37" s="9" t="s">
        <v>5043</v>
      </c>
      <c r="AE37" t="str">
        <f t="shared" si="0"/>
        <v>Medium</v>
      </c>
      <c r="AF37">
        <f>IF($A37="","",IFERROR(VLOOKUP($B37,_CONFIG_Risk_Calibration!$A$5:$H$21,2,FALSE),3))</f>
        <v>3</v>
      </c>
      <c r="AG37">
        <f>IF($A37="","",IFERROR(VLOOKUP($B37,_CONFIG_Risk_Calibration!$A$5:$H$21,3,FALSE),0))</f>
        <v>0</v>
      </c>
      <c r="AH37">
        <f>IF($A37="","",IFERROR(VLOOKUP($B37,_CONFIG_Risk_Calibration!$A$5:$H$21,4,FALSE),3))</f>
        <v>3</v>
      </c>
      <c r="AI37">
        <f>IF($A37="","",IFERROR(VLOOKUP($B37,_CONFIG_Risk_Calibration!$A$5:$H$21,5,FALSE),3))</f>
        <v>3</v>
      </c>
      <c r="AJ37" t="str">
        <f>IF($A37="","",IFERROR(VLOOKUP($B37,_CONFIG_Risk_Calibration!$A$5:$H$21,6,FALSE),"No"))</f>
        <v>No</v>
      </c>
      <c r="AK37">
        <f>IF($A37="","",IFERROR(VLOOKUP($B37,_CONFIG_Risk_Calibration!$A$5:$H$21,7,FALSE),1))</f>
        <v>1</v>
      </c>
      <c r="AL37" t="str">
        <f>IF($A37="","",IFERROR(VLOOKUP($B37,_CONFIG_Risk_Calibration!$A$5:$H$21,8,FALSE),""))</f>
        <v>Clean template default. Calibrate with real exposure, incident history, evidence quality and domain-owner validation.</v>
      </c>
      <c r="AM37">
        <f>IF($A37="","",IFERROR(INDEX(_DATA_Assessment_Model!$AL$1:$AL$428,MATCH($A37,_DATA_Assessment_Model!$A$1:$A$428,0)),""))</f>
        <v>0</v>
      </c>
      <c r="AN37">
        <f t="shared" si="1"/>
        <v>1</v>
      </c>
      <c r="AO37">
        <f>IF($A37="","",_CONFIG_Model_Settings!$B$172*MAX(N($AK37),(N($AF37)+N($AI37))/2))</f>
        <v>60</v>
      </c>
      <c r="AP37">
        <f t="shared" si="2"/>
        <v>60</v>
      </c>
      <c r="AQ37">
        <f>IF($AP37="","",MAX(0,$AP37*(1-(_CONFIG_Model_Settings!$B$173+_CONFIG_Model_Settings!$B$174*(N($AH37)-1)))))</f>
        <v>39</v>
      </c>
      <c r="AR37">
        <f>IF($AP37="","",MIN(100,$AP37*(1+(_CONFIG_Model_Settings!$B$173+_CONFIG_Model_Settings!$B$174*(N($AH37)-1)))))</f>
        <v>81</v>
      </c>
    </row>
    <row r="38" spans="1:44" ht="84" customHeight="1">
      <c r="A38" s="9" t="s">
        <v>1066</v>
      </c>
      <c r="B38" s="9" t="s">
        <v>949</v>
      </c>
      <c r="C38" s="9" t="s">
        <v>976</v>
      </c>
      <c r="D38" s="9" t="s">
        <v>3680</v>
      </c>
      <c r="E38" s="9" t="s">
        <v>1067</v>
      </c>
      <c r="F38" s="9" t="s">
        <v>5044</v>
      </c>
      <c r="G38" s="9" t="s">
        <v>5045</v>
      </c>
      <c r="H38" s="9" t="s">
        <v>5046</v>
      </c>
      <c r="I38" s="9" t="s">
        <v>5047</v>
      </c>
      <c r="J38" s="9" t="s">
        <v>5048</v>
      </c>
      <c r="K38" s="9" t="s">
        <v>5049</v>
      </c>
      <c r="L38" s="9" t="s">
        <v>5050</v>
      </c>
      <c r="M38" s="9" t="s">
        <v>5051</v>
      </c>
      <c r="N38" s="9" t="s">
        <v>5052</v>
      </c>
      <c r="O38" s="9" t="s">
        <v>5053</v>
      </c>
      <c r="P38" s="9" t="s">
        <v>5054</v>
      </c>
      <c r="Q38" s="9" t="s">
        <v>5055</v>
      </c>
      <c r="R38" s="9" t="s">
        <v>4589</v>
      </c>
      <c r="S38" s="9" t="s">
        <v>5056</v>
      </c>
      <c r="T38" s="9">
        <v>3</v>
      </c>
      <c r="U38" s="9">
        <v>3</v>
      </c>
      <c r="V38" s="9">
        <v>2</v>
      </c>
      <c r="W38" s="9">
        <v>2</v>
      </c>
      <c r="X38" s="9">
        <v>1</v>
      </c>
      <c r="Y38" s="9">
        <v>1</v>
      </c>
      <c r="Z38" s="9" t="s">
        <v>954</v>
      </c>
      <c r="AA38" s="9" t="s">
        <v>1068</v>
      </c>
      <c r="AB38" s="9" t="s">
        <v>962</v>
      </c>
      <c r="AC38" s="9" t="s">
        <v>4860</v>
      </c>
      <c r="AD38" s="9" t="s">
        <v>5057</v>
      </c>
      <c r="AE38" t="str">
        <f t="shared" si="0"/>
        <v>Medium</v>
      </c>
      <c r="AF38">
        <f>IF($A38="","",IFERROR(VLOOKUP($B38,_CONFIG_Risk_Calibration!$A$5:$H$21,2,FALSE),3))</f>
        <v>3</v>
      </c>
      <c r="AG38">
        <f>IF($A38="","",IFERROR(VLOOKUP($B38,_CONFIG_Risk_Calibration!$A$5:$H$21,3,FALSE),0))</f>
        <v>0</v>
      </c>
      <c r="AH38">
        <f>IF($A38="","",IFERROR(VLOOKUP($B38,_CONFIG_Risk_Calibration!$A$5:$H$21,4,FALSE),3))</f>
        <v>3</v>
      </c>
      <c r="AI38">
        <f>IF($A38="","",IFERROR(VLOOKUP($B38,_CONFIG_Risk_Calibration!$A$5:$H$21,5,FALSE),3))</f>
        <v>3</v>
      </c>
      <c r="AJ38" t="str">
        <f>IF($A38="","",IFERROR(VLOOKUP($B38,_CONFIG_Risk_Calibration!$A$5:$H$21,6,FALSE),"No"))</f>
        <v>No</v>
      </c>
      <c r="AK38">
        <f>IF($A38="","",IFERROR(VLOOKUP($B38,_CONFIG_Risk_Calibration!$A$5:$H$21,7,FALSE),1))</f>
        <v>1</v>
      </c>
      <c r="AL38" t="str">
        <f>IF($A38="","",IFERROR(VLOOKUP($B38,_CONFIG_Risk_Calibration!$A$5:$H$21,8,FALSE),""))</f>
        <v>Clean template default. Calibrate with real exposure, incident history, evidence quality and domain-owner validation.</v>
      </c>
      <c r="AM38">
        <f>IF($A38="","",IFERROR(INDEX(_DATA_Assessment_Model!$AL$1:$AL$428,MATCH($A38,_DATA_Assessment_Model!$A$1:$A$428,0)),""))</f>
        <v>0</v>
      </c>
      <c r="AN38">
        <f t="shared" si="1"/>
        <v>1</v>
      </c>
      <c r="AO38">
        <f>IF($A38="","",_CONFIG_Model_Settings!$B$172*MAX(N($AK38),(N($AF38)+N($AI38))/2))</f>
        <v>60</v>
      </c>
      <c r="AP38">
        <f t="shared" si="2"/>
        <v>60</v>
      </c>
      <c r="AQ38">
        <f>IF($AP38="","",MAX(0,$AP38*(1-(_CONFIG_Model_Settings!$B$173+_CONFIG_Model_Settings!$B$174*(N($AH38)-1)))))</f>
        <v>39</v>
      </c>
      <c r="AR38">
        <f>IF($AP38="","",MIN(100,$AP38*(1+(_CONFIG_Model_Settings!$B$173+_CONFIG_Model_Settings!$B$174*(N($AH38)-1)))))</f>
        <v>81</v>
      </c>
    </row>
    <row r="39" spans="1:44" ht="72" customHeight="1">
      <c r="A39" s="9" t="s">
        <v>1075</v>
      </c>
      <c r="B39" s="9" t="s">
        <v>949</v>
      </c>
      <c r="C39" s="9" t="s">
        <v>976</v>
      </c>
      <c r="D39" s="9" t="s">
        <v>3680</v>
      </c>
      <c r="E39" s="9" t="s">
        <v>1076</v>
      </c>
      <c r="F39" s="9" t="s">
        <v>5058</v>
      </c>
      <c r="G39" s="9" t="s">
        <v>5059</v>
      </c>
      <c r="H39" s="9" t="s">
        <v>5060</v>
      </c>
      <c r="I39" s="9" t="s">
        <v>5061</v>
      </c>
      <c r="J39" s="9" t="s">
        <v>5062</v>
      </c>
      <c r="K39" s="9" t="s">
        <v>5063</v>
      </c>
      <c r="L39" s="9" t="s">
        <v>5064</v>
      </c>
      <c r="M39" s="9" t="s">
        <v>5065</v>
      </c>
      <c r="N39" s="9" t="s">
        <v>5066</v>
      </c>
      <c r="O39" s="9" t="s">
        <v>5067</v>
      </c>
      <c r="P39" s="9" t="s">
        <v>5068</v>
      </c>
      <c r="Q39" s="9" t="s">
        <v>5069</v>
      </c>
      <c r="R39" s="9" t="s">
        <v>4589</v>
      </c>
      <c r="S39" s="9" t="s">
        <v>5070</v>
      </c>
      <c r="T39" s="9">
        <v>3</v>
      </c>
      <c r="U39" s="9">
        <v>3</v>
      </c>
      <c r="V39" s="9">
        <v>2</v>
      </c>
      <c r="W39" s="9">
        <v>2</v>
      </c>
      <c r="X39" s="9">
        <v>1</v>
      </c>
      <c r="Y39" s="9">
        <v>1</v>
      </c>
      <c r="Z39" s="9" t="s">
        <v>954</v>
      </c>
      <c r="AA39" s="9" t="s">
        <v>1077</v>
      </c>
      <c r="AB39" s="9" t="s">
        <v>962</v>
      </c>
      <c r="AC39" s="9" t="s">
        <v>4860</v>
      </c>
      <c r="AD39" s="9" t="s">
        <v>5071</v>
      </c>
      <c r="AE39" t="str">
        <f t="shared" si="0"/>
        <v>Medium</v>
      </c>
      <c r="AF39">
        <f>IF($A39="","",IFERROR(VLOOKUP($B39,_CONFIG_Risk_Calibration!$A$5:$H$21,2,FALSE),3))</f>
        <v>3</v>
      </c>
      <c r="AG39">
        <f>IF($A39="","",IFERROR(VLOOKUP($B39,_CONFIG_Risk_Calibration!$A$5:$H$21,3,FALSE),0))</f>
        <v>0</v>
      </c>
      <c r="AH39">
        <f>IF($A39="","",IFERROR(VLOOKUP($B39,_CONFIG_Risk_Calibration!$A$5:$H$21,4,FALSE),3))</f>
        <v>3</v>
      </c>
      <c r="AI39">
        <f>IF($A39="","",IFERROR(VLOOKUP($B39,_CONFIG_Risk_Calibration!$A$5:$H$21,5,FALSE),3))</f>
        <v>3</v>
      </c>
      <c r="AJ39" t="str">
        <f>IF($A39="","",IFERROR(VLOOKUP($B39,_CONFIG_Risk_Calibration!$A$5:$H$21,6,FALSE),"No"))</f>
        <v>No</v>
      </c>
      <c r="AK39">
        <f>IF($A39="","",IFERROR(VLOOKUP($B39,_CONFIG_Risk_Calibration!$A$5:$H$21,7,FALSE),1))</f>
        <v>1</v>
      </c>
      <c r="AL39" t="str">
        <f>IF($A39="","",IFERROR(VLOOKUP($B39,_CONFIG_Risk_Calibration!$A$5:$H$21,8,FALSE),""))</f>
        <v>Clean template default. Calibrate with real exposure, incident history, evidence quality and domain-owner validation.</v>
      </c>
      <c r="AM39">
        <f>IF($A39="","",IFERROR(INDEX(_DATA_Assessment_Model!$AL$1:$AL$428,MATCH($A39,_DATA_Assessment_Model!$A$1:$A$428,0)),""))</f>
        <v>0</v>
      </c>
      <c r="AN39">
        <f t="shared" si="1"/>
        <v>1</v>
      </c>
      <c r="AO39">
        <f>IF($A39="","",_CONFIG_Model_Settings!$B$172*MAX(N($AK39),(N($AF39)+N($AI39))/2))</f>
        <v>60</v>
      </c>
      <c r="AP39">
        <f t="shared" si="2"/>
        <v>60</v>
      </c>
      <c r="AQ39">
        <f>IF($AP39="","",MAX(0,$AP39*(1-(_CONFIG_Model_Settings!$B$173+_CONFIG_Model_Settings!$B$174*(N($AH39)-1)))))</f>
        <v>39</v>
      </c>
      <c r="AR39">
        <f>IF($AP39="","",MIN(100,$AP39*(1+(_CONFIG_Model_Settings!$B$173+_CONFIG_Model_Settings!$B$174*(N($AH39)-1)))))</f>
        <v>81</v>
      </c>
    </row>
    <row r="40" spans="1:44" ht="84" customHeight="1">
      <c r="A40" s="9" t="s">
        <v>1078</v>
      </c>
      <c r="B40" s="9" t="s">
        <v>949</v>
      </c>
      <c r="C40" s="9" t="s">
        <v>976</v>
      </c>
      <c r="D40" s="9" t="s">
        <v>3680</v>
      </c>
      <c r="E40" s="9" t="s">
        <v>1079</v>
      </c>
      <c r="F40" s="9" t="s">
        <v>5072</v>
      </c>
      <c r="G40" s="9" t="s">
        <v>5073</v>
      </c>
      <c r="H40" s="9" t="s">
        <v>5074</v>
      </c>
      <c r="I40" s="9" t="s">
        <v>5075</v>
      </c>
      <c r="J40" s="9" t="s">
        <v>5076</v>
      </c>
      <c r="K40" s="9" t="s">
        <v>5077</v>
      </c>
      <c r="L40" s="9" t="s">
        <v>5078</v>
      </c>
      <c r="M40" s="9" t="s">
        <v>5079</v>
      </c>
      <c r="N40" s="9" t="s">
        <v>5080</v>
      </c>
      <c r="O40" s="9" t="s">
        <v>5081</v>
      </c>
      <c r="P40" s="9" t="s">
        <v>5082</v>
      </c>
      <c r="Q40" s="9" t="s">
        <v>5083</v>
      </c>
      <c r="R40" s="9" t="s">
        <v>4589</v>
      </c>
      <c r="S40" s="9" t="s">
        <v>5084</v>
      </c>
      <c r="T40" s="9">
        <v>3</v>
      </c>
      <c r="U40" s="9">
        <v>3</v>
      </c>
      <c r="V40" s="9">
        <v>2</v>
      </c>
      <c r="W40" s="9">
        <v>2</v>
      </c>
      <c r="X40" s="9">
        <v>1</v>
      </c>
      <c r="Y40" s="9">
        <v>1</v>
      </c>
      <c r="Z40" s="9" t="s">
        <v>954</v>
      </c>
      <c r="AA40" s="9" t="s">
        <v>1080</v>
      </c>
      <c r="AB40" s="9" t="s">
        <v>962</v>
      </c>
      <c r="AC40" s="9" t="s">
        <v>4860</v>
      </c>
      <c r="AD40" s="9" t="s">
        <v>5085</v>
      </c>
      <c r="AE40" t="str">
        <f t="shared" si="0"/>
        <v>Medium</v>
      </c>
      <c r="AF40">
        <f>IF($A40="","",IFERROR(VLOOKUP($B40,_CONFIG_Risk_Calibration!$A$5:$H$21,2,FALSE),3))</f>
        <v>3</v>
      </c>
      <c r="AG40">
        <f>IF($A40="","",IFERROR(VLOOKUP($B40,_CONFIG_Risk_Calibration!$A$5:$H$21,3,FALSE),0))</f>
        <v>0</v>
      </c>
      <c r="AH40">
        <f>IF($A40="","",IFERROR(VLOOKUP($B40,_CONFIG_Risk_Calibration!$A$5:$H$21,4,FALSE),3))</f>
        <v>3</v>
      </c>
      <c r="AI40">
        <f>IF($A40="","",IFERROR(VLOOKUP($B40,_CONFIG_Risk_Calibration!$A$5:$H$21,5,FALSE),3))</f>
        <v>3</v>
      </c>
      <c r="AJ40" t="str">
        <f>IF($A40="","",IFERROR(VLOOKUP($B40,_CONFIG_Risk_Calibration!$A$5:$H$21,6,FALSE),"No"))</f>
        <v>No</v>
      </c>
      <c r="AK40">
        <f>IF($A40="","",IFERROR(VLOOKUP($B40,_CONFIG_Risk_Calibration!$A$5:$H$21,7,FALSE),1))</f>
        <v>1</v>
      </c>
      <c r="AL40" t="str">
        <f>IF($A40="","",IFERROR(VLOOKUP($B40,_CONFIG_Risk_Calibration!$A$5:$H$21,8,FALSE),""))</f>
        <v>Clean template default. Calibrate with real exposure, incident history, evidence quality and domain-owner validation.</v>
      </c>
      <c r="AM40">
        <f>IF($A40="","",IFERROR(INDEX(_DATA_Assessment_Model!$AL$1:$AL$428,MATCH($A40,_DATA_Assessment_Model!$A$1:$A$428,0)),""))</f>
        <v>0</v>
      </c>
      <c r="AN40">
        <f t="shared" si="1"/>
        <v>1</v>
      </c>
      <c r="AO40">
        <f>IF($A40="","",_CONFIG_Model_Settings!$B$172*MAX(N($AK40),(N($AF40)+N($AI40))/2))</f>
        <v>60</v>
      </c>
      <c r="AP40">
        <f t="shared" si="2"/>
        <v>60</v>
      </c>
      <c r="AQ40">
        <f>IF($AP40="","",MAX(0,$AP40*(1-(_CONFIG_Model_Settings!$B$173+_CONFIG_Model_Settings!$B$174*(N($AH40)-1)))))</f>
        <v>39</v>
      </c>
      <c r="AR40">
        <f>IF($AP40="","",MIN(100,$AP40*(1+(_CONFIG_Model_Settings!$B$173+_CONFIG_Model_Settings!$B$174*(N($AH40)-1)))))</f>
        <v>81</v>
      </c>
    </row>
    <row r="41" spans="1:44" ht="72" customHeight="1">
      <c r="A41" s="9" t="s">
        <v>1081</v>
      </c>
      <c r="B41" s="9" t="s">
        <v>949</v>
      </c>
      <c r="C41" s="9" t="s">
        <v>976</v>
      </c>
      <c r="D41" s="9" t="s">
        <v>3680</v>
      </c>
      <c r="E41" s="9" t="s">
        <v>1082</v>
      </c>
      <c r="F41" s="9" t="s">
        <v>5086</v>
      </c>
      <c r="G41" s="9" t="s">
        <v>5087</v>
      </c>
      <c r="H41" s="9" t="s">
        <v>5088</v>
      </c>
      <c r="I41" s="9" t="s">
        <v>5089</v>
      </c>
      <c r="J41" s="9" t="s">
        <v>5090</v>
      </c>
      <c r="K41" s="9" t="s">
        <v>5091</v>
      </c>
      <c r="L41" s="9" t="s">
        <v>5092</v>
      </c>
      <c r="M41" s="9" t="s">
        <v>5093</v>
      </c>
      <c r="N41" s="9" t="s">
        <v>5094</v>
      </c>
      <c r="O41" s="9" t="s">
        <v>5095</v>
      </c>
      <c r="P41" s="9" t="s">
        <v>5096</v>
      </c>
      <c r="Q41" s="9" t="s">
        <v>5097</v>
      </c>
      <c r="R41" s="9" t="s">
        <v>4589</v>
      </c>
      <c r="S41" s="9" t="s">
        <v>5098</v>
      </c>
      <c r="T41" s="9">
        <v>3</v>
      </c>
      <c r="U41" s="9">
        <v>3</v>
      </c>
      <c r="V41" s="9">
        <v>2</v>
      </c>
      <c r="W41" s="9">
        <v>2</v>
      </c>
      <c r="X41" s="9">
        <v>1</v>
      </c>
      <c r="Y41" s="9">
        <v>1</v>
      </c>
      <c r="Z41" s="9" t="s">
        <v>954</v>
      </c>
      <c r="AA41" s="9" t="s">
        <v>1083</v>
      </c>
      <c r="AB41" s="9" t="s">
        <v>962</v>
      </c>
      <c r="AC41" s="9" t="s">
        <v>4860</v>
      </c>
      <c r="AD41" s="9" t="s">
        <v>5099</v>
      </c>
      <c r="AE41" t="str">
        <f t="shared" si="0"/>
        <v>Medium</v>
      </c>
      <c r="AF41">
        <f>IF($A41="","",IFERROR(VLOOKUP($B41,_CONFIG_Risk_Calibration!$A$5:$H$21,2,FALSE),3))</f>
        <v>3</v>
      </c>
      <c r="AG41">
        <f>IF($A41="","",IFERROR(VLOOKUP($B41,_CONFIG_Risk_Calibration!$A$5:$H$21,3,FALSE),0))</f>
        <v>0</v>
      </c>
      <c r="AH41">
        <f>IF($A41="","",IFERROR(VLOOKUP($B41,_CONFIG_Risk_Calibration!$A$5:$H$21,4,FALSE),3))</f>
        <v>3</v>
      </c>
      <c r="AI41">
        <f>IF($A41="","",IFERROR(VLOOKUP($B41,_CONFIG_Risk_Calibration!$A$5:$H$21,5,FALSE),3))</f>
        <v>3</v>
      </c>
      <c r="AJ41" t="str">
        <f>IF($A41="","",IFERROR(VLOOKUP($B41,_CONFIG_Risk_Calibration!$A$5:$H$21,6,FALSE),"No"))</f>
        <v>No</v>
      </c>
      <c r="AK41">
        <f>IF($A41="","",IFERROR(VLOOKUP($B41,_CONFIG_Risk_Calibration!$A$5:$H$21,7,FALSE),1))</f>
        <v>1</v>
      </c>
      <c r="AL41" t="str">
        <f>IF($A41="","",IFERROR(VLOOKUP($B41,_CONFIG_Risk_Calibration!$A$5:$H$21,8,FALSE),""))</f>
        <v>Clean template default. Calibrate with real exposure, incident history, evidence quality and domain-owner validation.</v>
      </c>
      <c r="AM41">
        <f>IF($A41="","",IFERROR(INDEX(_DATA_Assessment_Model!$AL$1:$AL$428,MATCH($A41,_DATA_Assessment_Model!$A$1:$A$428,0)),""))</f>
        <v>0</v>
      </c>
      <c r="AN41">
        <f t="shared" si="1"/>
        <v>1</v>
      </c>
      <c r="AO41">
        <f>IF($A41="","",_CONFIG_Model_Settings!$B$172*MAX(N($AK41),(N($AF41)+N($AI41))/2))</f>
        <v>60</v>
      </c>
      <c r="AP41">
        <f t="shared" si="2"/>
        <v>60</v>
      </c>
      <c r="AQ41">
        <f>IF($AP41="","",MAX(0,$AP41*(1-(_CONFIG_Model_Settings!$B$173+_CONFIG_Model_Settings!$B$174*(N($AH41)-1)))))</f>
        <v>39</v>
      </c>
      <c r="AR41">
        <f>IF($AP41="","",MIN(100,$AP41*(1+(_CONFIG_Model_Settings!$B$173+_CONFIG_Model_Settings!$B$174*(N($AH41)-1)))))</f>
        <v>81</v>
      </c>
    </row>
    <row r="42" spans="1:44" ht="84" customHeight="1">
      <c r="A42" s="9" t="s">
        <v>1084</v>
      </c>
      <c r="B42" s="9" t="s">
        <v>949</v>
      </c>
      <c r="C42" s="9" t="s">
        <v>986</v>
      </c>
      <c r="D42" s="9" t="s">
        <v>3680</v>
      </c>
      <c r="E42" s="9" t="s">
        <v>1085</v>
      </c>
      <c r="F42" s="9" t="s">
        <v>5100</v>
      </c>
      <c r="G42" s="9" t="s">
        <v>5101</v>
      </c>
      <c r="H42" s="9" t="s">
        <v>5102</v>
      </c>
      <c r="I42" s="9" t="s">
        <v>5103</v>
      </c>
      <c r="J42" s="9" t="s">
        <v>5104</v>
      </c>
      <c r="K42" s="9" t="s">
        <v>5105</v>
      </c>
      <c r="L42" s="9" t="s">
        <v>5106</v>
      </c>
      <c r="M42" s="9" t="s">
        <v>5107</v>
      </c>
      <c r="N42" s="9" t="s">
        <v>5108</v>
      </c>
      <c r="O42" s="9" t="s">
        <v>5109</v>
      </c>
      <c r="P42" s="9" t="s">
        <v>5110</v>
      </c>
      <c r="Q42" s="9" t="s">
        <v>5111</v>
      </c>
      <c r="R42" s="9" t="s">
        <v>4589</v>
      </c>
      <c r="S42" s="9" t="s">
        <v>5112</v>
      </c>
      <c r="T42" s="9">
        <v>3</v>
      </c>
      <c r="U42" s="9">
        <v>3</v>
      </c>
      <c r="V42" s="9">
        <v>2</v>
      </c>
      <c r="W42" s="9">
        <v>2</v>
      </c>
      <c r="X42" s="9">
        <v>1</v>
      </c>
      <c r="Y42" s="9">
        <v>1</v>
      </c>
      <c r="Z42" s="9" t="s">
        <v>954</v>
      </c>
      <c r="AA42" s="9" t="s">
        <v>1086</v>
      </c>
      <c r="AB42" s="9" t="s">
        <v>962</v>
      </c>
      <c r="AC42" s="9" t="s">
        <v>4860</v>
      </c>
      <c r="AD42" s="9" t="s">
        <v>5113</v>
      </c>
      <c r="AE42" t="str">
        <f t="shared" si="0"/>
        <v>Medium</v>
      </c>
      <c r="AF42">
        <f>IF($A42="","",IFERROR(VLOOKUP($B42,_CONFIG_Risk_Calibration!$A$5:$H$21,2,FALSE),3))</f>
        <v>3</v>
      </c>
      <c r="AG42">
        <f>IF($A42="","",IFERROR(VLOOKUP($B42,_CONFIG_Risk_Calibration!$A$5:$H$21,3,FALSE),0))</f>
        <v>0</v>
      </c>
      <c r="AH42">
        <f>IF($A42="","",IFERROR(VLOOKUP($B42,_CONFIG_Risk_Calibration!$A$5:$H$21,4,FALSE),3))</f>
        <v>3</v>
      </c>
      <c r="AI42">
        <f>IF($A42="","",IFERROR(VLOOKUP($B42,_CONFIG_Risk_Calibration!$A$5:$H$21,5,FALSE),3))</f>
        <v>3</v>
      </c>
      <c r="AJ42" t="str">
        <f>IF($A42="","",IFERROR(VLOOKUP($B42,_CONFIG_Risk_Calibration!$A$5:$H$21,6,FALSE),"No"))</f>
        <v>No</v>
      </c>
      <c r="AK42">
        <f>IF($A42="","",IFERROR(VLOOKUP($B42,_CONFIG_Risk_Calibration!$A$5:$H$21,7,FALSE),1))</f>
        <v>1</v>
      </c>
      <c r="AL42" t="str">
        <f>IF($A42="","",IFERROR(VLOOKUP($B42,_CONFIG_Risk_Calibration!$A$5:$H$21,8,FALSE),""))</f>
        <v>Clean template default. Calibrate with real exposure, incident history, evidence quality and domain-owner validation.</v>
      </c>
      <c r="AM42">
        <f>IF($A42="","",IFERROR(INDEX(_DATA_Assessment_Model!$AL$1:$AL$428,MATCH($A42,_DATA_Assessment_Model!$A$1:$A$428,0)),""))</f>
        <v>0</v>
      </c>
      <c r="AN42">
        <f t="shared" si="1"/>
        <v>1</v>
      </c>
      <c r="AO42">
        <f>IF($A42="","",_CONFIG_Model_Settings!$B$172*MAX(N($AK42),(N($AF42)+N($AI42))/2))</f>
        <v>60</v>
      </c>
      <c r="AP42">
        <f t="shared" si="2"/>
        <v>60</v>
      </c>
      <c r="AQ42">
        <f>IF($AP42="","",MAX(0,$AP42*(1-(_CONFIG_Model_Settings!$B$173+_CONFIG_Model_Settings!$B$174*(N($AH42)-1)))))</f>
        <v>39</v>
      </c>
      <c r="AR42">
        <f>IF($AP42="","",MIN(100,$AP42*(1+(_CONFIG_Model_Settings!$B$173+_CONFIG_Model_Settings!$B$174*(N($AH42)-1)))))</f>
        <v>81</v>
      </c>
    </row>
    <row r="43" spans="1:44" ht="84" customHeight="1">
      <c r="A43" s="9" t="s">
        <v>1087</v>
      </c>
      <c r="B43" s="9" t="s">
        <v>949</v>
      </c>
      <c r="C43" s="9" t="s">
        <v>986</v>
      </c>
      <c r="D43" s="9" t="s">
        <v>3680</v>
      </c>
      <c r="E43" s="9" t="s">
        <v>1088</v>
      </c>
      <c r="F43" s="9" t="s">
        <v>5114</v>
      </c>
      <c r="G43" s="9" t="s">
        <v>5115</v>
      </c>
      <c r="H43" s="9" t="s">
        <v>5116</v>
      </c>
      <c r="I43" s="9" t="s">
        <v>5117</v>
      </c>
      <c r="J43" s="9" t="s">
        <v>5118</v>
      </c>
      <c r="K43" s="9" t="s">
        <v>5119</v>
      </c>
      <c r="L43" s="9" t="s">
        <v>5120</v>
      </c>
      <c r="M43" s="9" t="s">
        <v>5121</v>
      </c>
      <c r="N43" s="9" t="s">
        <v>5122</v>
      </c>
      <c r="O43" s="9" t="s">
        <v>5123</v>
      </c>
      <c r="P43" s="9" t="s">
        <v>5124</v>
      </c>
      <c r="Q43" s="9" t="s">
        <v>5125</v>
      </c>
      <c r="R43" s="9" t="s">
        <v>4589</v>
      </c>
      <c r="S43" s="9" t="s">
        <v>5126</v>
      </c>
      <c r="T43" s="9">
        <v>3</v>
      </c>
      <c r="U43" s="9">
        <v>3</v>
      </c>
      <c r="V43" s="9">
        <v>2</v>
      </c>
      <c r="W43" s="9">
        <v>2</v>
      </c>
      <c r="X43" s="9">
        <v>1</v>
      </c>
      <c r="Y43" s="9">
        <v>1</v>
      </c>
      <c r="Z43" s="9" t="s">
        <v>954</v>
      </c>
      <c r="AA43" s="9" t="s">
        <v>1089</v>
      </c>
      <c r="AB43" s="9" t="s">
        <v>962</v>
      </c>
      <c r="AC43" s="9" t="s">
        <v>4860</v>
      </c>
      <c r="AD43" s="9" t="s">
        <v>5127</v>
      </c>
      <c r="AE43" t="str">
        <f t="shared" si="0"/>
        <v>Medium</v>
      </c>
      <c r="AF43">
        <f>IF($A43="","",IFERROR(VLOOKUP($B43,_CONFIG_Risk_Calibration!$A$5:$H$21,2,FALSE),3))</f>
        <v>3</v>
      </c>
      <c r="AG43">
        <f>IF($A43="","",IFERROR(VLOOKUP($B43,_CONFIG_Risk_Calibration!$A$5:$H$21,3,FALSE),0))</f>
        <v>0</v>
      </c>
      <c r="AH43">
        <f>IF($A43="","",IFERROR(VLOOKUP($B43,_CONFIG_Risk_Calibration!$A$5:$H$21,4,FALSE),3))</f>
        <v>3</v>
      </c>
      <c r="AI43">
        <f>IF($A43="","",IFERROR(VLOOKUP($B43,_CONFIG_Risk_Calibration!$A$5:$H$21,5,FALSE),3))</f>
        <v>3</v>
      </c>
      <c r="AJ43" t="str">
        <f>IF($A43="","",IFERROR(VLOOKUP($B43,_CONFIG_Risk_Calibration!$A$5:$H$21,6,FALSE),"No"))</f>
        <v>No</v>
      </c>
      <c r="AK43">
        <f>IF($A43="","",IFERROR(VLOOKUP($B43,_CONFIG_Risk_Calibration!$A$5:$H$21,7,FALSE),1))</f>
        <v>1</v>
      </c>
      <c r="AL43" t="str">
        <f>IF($A43="","",IFERROR(VLOOKUP($B43,_CONFIG_Risk_Calibration!$A$5:$H$21,8,FALSE),""))</f>
        <v>Clean template default. Calibrate with real exposure, incident history, evidence quality and domain-owner validation.</v>
      </c>
      <c r="AM43">
        <f>IF($A43="","",IFERROR(INDEX(_DATA_Assessment_Model!$AL$1:$AL$428,MATCH($A43,_DATA_Assessment_Model!$A$1:$A$428,0)),""))</f>
        <v>0</v>
      </c>
      <c r="AN43">
        <f t="shared" si="1"/>
        <v>1</v>
      </c>
      <c r="AO43">
        <f>IF($A43="","",_CONFIG_Model_Settings!$B$172*MAX(N($AK43),(N($AF43)+N($AI43))/2))</f>
        <v>60</v>
      </c>
      <c r="AP43">
        <f t="shared" si="2"/>
        <v>60</v>
      </c>
      <c r="AQ43">
        <f>IF($AP43="","",MAX(0,$AP43*(1-(_CONFIG_Model_Settings!$B$173+_CONFIG_Model_Settings!$B$174*(N($AH43)-1)))))</f>
        <v>39</v>
      </c>
      <c r="AR43">
        <f>IF($AP43="","",MIN(100,$AP43*(1+(_CONFIG_Model_Settings!$B$173+_CONFIG_Model_Settings!$B$174*(N($AH43)-1)))))</f>
        <v>81</v>
      </c>
    </row>
    <row r="44" spans="1:44" ht="84" customHeight="1">
      <c r="A44" s="9" t="s">
        <v>1096</v>
      </c>
      <c r="B44" s="9" t="s">
        <v>949</v>
      </c>
      <c r="C44" s="9" t="s">
        <v>986</v>
      </c>
      <c r="D44" s="9" t="s">
        <v>3680</v>
      </c>
      <c r="E44" s="9" t="s">
        <v>1097</v>
      </c>
      <c r="F44" s="9" t="s">
        <v>5128</v>
      </c>
      <c r="G44" s="9" t="s">
        <v>5129</v>
      </c>
      <c r="H44" s="9" t="s">
        <v>5130</v>
      </c>
      <c r="I44" s="9" t="s">
        <v>5131</v>
      </c>
      <c r="J44" s="9" t="s">
        <v>5132</v>
      </c>
      <c r="K44" s="9" t="s">
        <v>5133</v>
      </c>
      <c r="L44" s="9" t="s">
        <v>5134</v>
      </c>
      <c r="M44" s="9" t="s">
        <v>5135</v>
      </c>
      <c r="N44" s="9" t="s">
        <v>5136</v>
      </c>
      <c r="O44" s="9" t="s">
        <v>5137</v>
      </c>
      <c r="P44" s="9" t="s">
        <v>5138</v>
      </c>
      <c r="Q44" s="9" t="s">
        <v>5139</v>
      </c>
      <c r="R44" s="9" t="s">
        <v>4589</v>
      </c>
      <c r="S44" s="9" t="s">
        <v>5140</v>
      </c>
      <c r="T44" s="9">
        <v>3</v>
      </c>
      <c r="U44" s="9">
        <v>3</v>
      </c>
      <c r="V44" s="9">
        <v>2</v>
      </c>
      <c r="W44" s="9">
        <v>2</v>
      </c>
      <c r="X44" s="9">
        <v>1</v>
      </c>
      <c r="Y44" s="9">
        <v>1</v>
      </c>
      <c r="Z44" s="9" t="s">
        <v>954</v>
      </c>
      <c r="AA44" s="9" t="s">
        <v>1098</v>
      </c>
      <c r="AB44" s="9" t="s">
        <v>962</v>
      </c>
      <c r="AC44" s="9" t="s">
        <v>4860</v>
      </c>
      <c r="AD44" s="9" t="s">
        <v>5141</v>
      </c>
      <c r="AE44" t="str">
        <f t="shared" si="0"/>
        <v>Medium</v>
      </c>
      <c r="AF44">
        <f>IF($A44="","",IFERROR(VLOOKUP($B44,_CONFIG_Risk_Calibration!$A$5:$H$21,2,FALSE),3))</f>
        <v>3</v>
      </c>
      <c r="AG44">
        <f>IF($A44="","",IFERROR(VLOOKUP($B44,_CONFIG_Risk_Calibration!$A$5:$H$21,3,FALSE),0))</f>
        <v>0</v>
      </c>
      <c r="AH44">
        <f>IF($A44="","",IFERROR(VLOOKUP($B44,_CONFIG_Risk_Calibration!$A$5:$H$21,4,FALSE),3))</f>
        <v>3</v>
      </c>
      <c r="AI44">
        <f>IF($A44="","",IFERROR(VLOOKUP($B44,_CONFIG_Risk_Calibration!$A$5:$H$21,5,FALSE),3))</f>
        <v>3</v>
      </c>
      <c r="AJ44" t="str">
        <f>IF($A44="","",IFERROR(VLOOKUP($B44,_CONFIG_Risk_Calibration!$A$5:$H$21,6,FALSE),"No"))</f>
        <v>No</v>
      </c>
      <c r="AK44">
        <f>IF($A44="","",IFERROR(VLOOKUP($B44,_CONFIG_Risk_Calibration!$A$5:$H$21,7,FALSE),1))</f>
        <v>1</v>
      </c>
      <c r="AL44" t="str">
        <f>IF($A44="","",IFERROR(VLOOKUP($B44,_CONFIG_Risk_Calibration!$A$5:$H$21,8,FALSE),""))</f>
        <v>Clean template default. Calibrate with real exposure, incident history, evidence quality and domain-owner validation.</v>
      </c>
      <c r="AM44">
        <f>IF($A44="","",IFERROR(INDEX(_DATA_Assessment_Model!$AL$1:$AL$428,MATCH($A44,_DATA_Assessment_Model!$A$1:$A$428,0)),""))</f>
        <v>0</v>
      </c>
      <c r="AN44">
        <f t="shared" si="1"/>
        <v>1</v>
      </c>
      <c r="AO44">
        <f>IF($A44="","",_CONFIG_Model_Settings!$B$172*MAX(N($AK44),(N($AF44)+N($AI44))/2))</f>
        <v>60</v>
      </c>
      <c r="AP44">
        <f t="shared" si="2"/>
        <v>60</v>
      </c>
      <c r="AQ44">
        <f>IF($AP44="","",MAX(0,$AP44*(1-(_CONFIG_Model_Settings!$B$173+_CONFIG_Model_Settings!$B$174*(N($AH44)-1)))))</f>
        <v>39</v>
      </c>
      <c r="AR44">
        <f>IF($AP44="","",MIN(100,$AP44*(1+(_CONFIG_Model_Settings!$B$173+_CONFIG_Model_Settings!$B$174*(N($AH44)-1)))))</f>
        <v>81</v>
      </c>
    </row>
    <row r="45" spans="1:44" ht="72" customHeight="1">
      <c r="A45" s="9" t="s">
        <v>1105</v>
      </c>
      <c r="B45" s="9" t="s">
        <v>949</v>
      </c>
      <c r="C45" s="9" t="s">
        <v>986</v>
      </c>
      <c r="D45" s="9" t="s">
        <v>3680</v>
      </c>
      <c r="E45" s="9" t="s">
        <v>1106</v>
      </c>
      <c r="F45" s="9" t="s">
        <v>5142</v>
      </c>
      <c r="G45" s="9" t="s">
        <v>5143</v>
      </c>
      <c r="H45" s="9" t="s">
        <v>5144</v>
      </c>
      <c r="I45" s="9" t="s">
        <v>5145</v>
      </c>
      <c r="J45" s="9" t="s">
        <v>5146</v>
      </c>
      <c r="K45" s="9" t="s">
        <v>5147</v>
      </c>
      <c r="L45" s="9" t="s">
        <v>5148</v>
      </c>
      <c r="M45" s="9" t="s">
        <v>5149</v>
      </c>
      <c r="N45" s="9" t="s">
        <v>5150</v>
      </c>
      <c r="O45" s="9" t="s">
        <v>5151</v>
      </c>
      <c r="P45" s="9" t="s">
        <v>5152</v>
      </c>
      <c r="Q45" s="9" t="s">
        <v>5153</v>
      </c>
      <c r="R45" s="9" t="s">
        <v>4589</v>
      </c>
      <c r="S45" s="9" t="s">
        <v>5154</v>
      </c>
      <c r="T45" s="9">
        <v>3</v>
      </c>
      <c r="U45" s="9">
        <v>3</v>
      </c>
      <c r="V45" s="9">
        <v>2</v>
      </c>
      <c r="W45" s="9">
        <v>2</v>
      </c>
      <c r="X45" s="9">
        <v>1</v>
      </c>
      <c r="Y45" s="9">
        <v>1</v>
      </c>
      <c r="Z45" s="9" t="s">
        <v>954</v>
      </c>
      <c r="AA45" s="9" t="s">
        <v>1107</v>
      </c>
      <c r="AB45" s="9" t="s">
        <v>962</v>
      </c>
      <c r="AC45" s="9" t="s">
        <v>4860</v>
      </c>
      <c r="AD45" s="9" t="s">
        <v>5155</v>
      </c>
      <c r="AE45" t="str">
        <f t="shared" si="0"/>
        <v>Medium</v>
      </c>
      <c r="AF45">
        <f>IF($A45="","",IFERROR(VLOOKUP($B45,_CONFIG_Risk_Calibration!$A$5:$H$21,2,FALSE),3))</f>
        <v>3</v>
      </c>
      <c r="AG45">
        <f>IF($A45="","",IFERROR(VLOOKUP($B45,_CONFIG_Risk_Calibration!$A$5:$H$21,3,FALSE),0))</f>
        <v>0</v>
      </c>
      <c r="AH45">
        <f>IF($A45="","",IFERROR(VLOOKUP($B45,_CONFIG_Risk_Calibration!$A$5:$H$21,4,FALSE),3))</f>
        <v>3</v>
      </c>
      <c r="AI45">
        <f>IF($A45="","",IFERROR(VLOOKUP($B45,_CONFIG_Risk_Calibration!$A$5:$H$21,5,FALSE),3))</f>
        <v>3</v>
      </c>
      <c r="AJ45" t="str">
        <f>IF($A45="","",IFERROR(VLOOKUP($B45,_CONFIG_Risk_Calibration!$A$5:$H$21,6,FALSE),"No"))</f>
        <v>No</v>
      </c>
      <c r="AK45">
        <f>IF($A45="","",IFERROR(VLOOKUP($B45,_CONFIG_Risk_Calibration!$A$5:$H$21,7,FALSE),1))</f>
        <v>1</v>
      </c>
      <c r="AL45" t="str">
        <f>IF($A45="","",IFERROR(VLOOKUP($B45,_CONFIG_Risk_Calibration!$A$5:$H$21,8,FALSE),""))</f>
        <v>Clean template default. Calibrate with real exposure, incident history, evidence quality and domain-owner validation.</v>
      </c>
      <c r="AM45">
        <f>IF($A45="","",IFERROR(INDEX(_DATA_Assessment_Model!$AL$1:$AL$428,MATCH($A45,_DATA_Assessment_Model!$A$1:$A$428,0)),""))</f>
        <v>0</v>
      </c>
      <c r="AN45">
        <f t="shared" si="1"/>
        <v>1</v>
      </c>
      <c r="AO45">
        <f>IF($A45="","",_CONFIG_Model_Settings!$B$172*MAX(N($AK45),(N($AF45)+N($AI45))/2))</f>
        <v>60</v>
      </c>
      <c r="AP45">
        <f t="shared" si="2"/>
        <v>60</v>
      </c>
      <c r="AQ45">
        <f>IF($AP45="","",MAX(0,$AP45*(1-(_CONFIG_Model_Settings!$B$173+_CONFIG_Model_Settings!$B$174*(N($AH45)-1)))))</f>
        <v>39</v>
      </c>
      <c r="AR45">
        <f>IF($AP45="","",MIN(100,$AP45*(1+(_CONFIG_Model_Settings!$B$173+_CONFIG_Model_Settings!$B$174*(N($AH45)-1)))))</f>
        <v>81</v>
      </c>
    </row>
    <row r="46" spans="1:44" ht="84" customHeight="1">
      <c r="A46" s="9" t="s">
        <v>1108</v>
      </c>
      <c r="B46" s="9" t="s">
        <v>949</v>
      </c>
      <c r="C46" s="9" t="s">
        <v>986</v>
      </c>
      <c r="D46" s="9" t="s">
        <v>3680</v>
      </c>
      <c r="E46" s="9" t="s">
        <v>1109</v>
      </c>
      <c r="F46" s="9" t="s">
        <v>5156</v>
      </c>
      <c r="G46" s="9" t="s">
        <v>5157</v>
      </c>
      <c r="H46" s="9" t="s">
        <v>5158</v>
      </c>
      <c r="I46" s="9" t="s">
        <v>5159</v>
      </c>
      <c r="J46" s="9" t="s">
        <v>5160</v>
      </c>
      <c r="K46" s="9" t="s">
        <v>5161</v>
      </c>
      <c r="L46" s="9" t="s">
        <v>5162</v>
      </c>
      <c r="M46" s="9" t="s">
        <v>5163</v>
      </c>
      <c r="N46" s="9" t="s">
        <v>5164</v>
      </c>
      <c r="O46" s="9" t="s">
        <v>5165</v>
      </c>
      <c r="P46" s="9" t="s">
        <v>5166</v>
      </c>
      <c r="Q46" s="9" t="s">
        <v>5167</v>
      </c>
      <c r="R46" s="9" t="s">
        <v>4589</v>
      </c>
      <c r="S46" s="9" t="s">
        <v>5168</v>
      </c>
      <c r="T46" s="9">
        <v>3</v>
      </c>
      <c r="U46" s="9">
        <v>3</v>
      </c>
      <c r="V46" s="9">
        <v>2</v>
      </c>
      <c r="W46" s="9">
        <v>2</v>
      </c>
      <c r="X46" s="9">
        <v>1</v>
      </c>
      <c r="Y46" s="9">
        <v>1</v>
      </c>
      <c r="Z46" s="9" t="s">
        <v>954</v>
      </c>
      <c r="AA46" s="9" t="s">
        <v>1110</v>
      </c>
      <c r="AB46" s="9" t="s">
        <v>962</v>
      </c>
      <c r="AC46" s="9" t="s">
        <v>4860</v>
      </c>
      <c r="AD46" s="9" t="s">
        <v>5169</v>
      </c>
      <c r="AE46" t="str">
        <f t="shared" si="0"/>
        <v>Medium</v>
      </c>
      <c r="AF46">
        <f>IF($A46="","",IFERROR(VLOOKUP($B46,_CONFIG_Risk_Calibration!$A$5:$H$21,2,FALSE),3))</f>
        <v>3</v>
      </c>
      <c r="AG46">
        <f>IF($A46="","",IFERROR(VLOOKUP($B46,_CONFIG_Risk_Calibration!$A$5:$H$21,3,FALSE),0))</f>
        <v>0</v>
      </c>
      <c r="AH46">
        <f>IF($A46="","",IFERROR(VLOOKUP($B46,_CONFIG_Risk_Calibration!$A$5:$H$21,4,FALSE),3))</f>
        <v>3</v>
      </c>
      <c r="AI46">
        <f>IF($A46="","",IFERROR(VLOOKUP($B46,_CONFIG_Risk_Calibration!$A$5:$H$21,5,FALSE),3))</f>
        <v>3</v>
      </c>
      <c r="AJ46" t="str">
        <f>IF($A46="","",IFERROR(VLOOKUP($B46,_CONFIG_Risk_Calibration!$A$5:$H$21,6,FALSE),"No"))</f>
        <v>No</v>
      </c>
      <c r="AK46">
        <f>IF($A46="","",IFERROR(VLOOKUP($B46,_CONFIG_Risk_Calibration!$A$5:$H$21,7,FALSE),1))</f>
        <v>1</v>
      </c>
      <c r="AL46" t="str">
        <f>IF($A46="","",IFERROR(VLOOKUP($B46,_CONFIG_Risk_Calibration!$A$5:$H$21,8,FALSE),""))</f>
        <v>Clean template default. Calibrate with real exposure, incident history, evidence quality and domain-owner validation.</v>
      </c>
      <c r="AM46">
        <f>IF($A46="","",IFERROR(INDEX(_DATA_Assessment_Model!$AL$1:$AL$428,MATCH($A46,_DATA_Assessment_Model!$A$1:$A$428,0)),""))</f>
        <v>0</v>
      </c>
      <c r="AN46">
        <f t="shared" si="1"/>
        <v>1</v>
      </c>
      <c r="AO46">
        <f>IF($A46="","",_CONFIG_Model_Settings!$B$172*MAX(N($AK46),(N($AF46)+N($AI46))/2))</f>
        <v>60</v>
      </c>
      <c r="AP46">
        <f t="shared" si="2"/>
        <v>60</v>
      </c>
      <c r="AQ46">
        <f>IF($AP46="","",MAX(0,$AP46*(1-(_CONFIG_Model_Settings!$B$173+_CONFIG_Model_Settings!$B$174*(N($AH46)-1)))))</f>
        <v>39</v>
      </c>
      <c r="AR46">
        <f>IF($AP46="","",MIN(100,$AP46*(1+(_CONFIG_Model_Settings!$B$173+_CONFIG_Model_Settings!$B$174*(N($AH46)-1)))))</f>
        <v>81</v>
      </c>
    </row>
    <row r="47" spans="1:44" ht="84" customHeight="1">
      <c r="A47" s="9" t="s">
        <v>1117</v>
      </c>
      <c r="B47" s="9" t="s">
        <v>949</v>
      </c>
      <c r="C47" s="9" t="s">
        <v>990</v>
      </c>
      <c r="D47" s="9" t="s">
        <v>5170</v>
      </c>
      <c r="E47" s="9" t="s">
        <v>1118</v>
      </c>
      <c r="F47" s="9" t="s">
        <v>5171</v>
      </c>
      <c r="G47" s="9" t="s">
        <v>5172</v>
      </c>
      <c r="H47" s="9" t="s">
        <v>5173</v>
      </c>
      <c r="I47" s="9" t="s">
        <v>5174</v>
      </c>
      <c r="J47" s="9" t="s">
        <v>5175</v>
      </c>
      <c r="K47" s="9" t="s">
        <v>5176</v>
      </c>
      <c r="L47" s="9" t="s">
        <v>5177</v>
      </c>
      <c r="M47" s="9" t="s">
        <v>5178</v>
      </c>
      <c r="N47" s="9" t="s">
        <v>5179</v>
      </c>
      <c r="O47" s="9" t="s">
        <v>5180</v>
      </c>
      <c r="P47" s="9" t="s">
        <v>5181</v>
      </c>
      <c r="Q47" s="9" t="s">
        <v>5182</v>
      </c>
      <c r="R47" s="9" t="s">
        <v>4589</v>
      </c>
      <c r="S47" s="9" t="s">
        <v>5183</v>
      </c>
      <c r="T47" s="9">
        <v>3</v>
      </c>
      <c r="U47" s="9">
        <v>3</v>
      </c>
      <c r="V47" s="9">
        <v>2</v>
      </c>
      <c r="W47" s="9">
        <v>2</v>
      </c>
      <c r="X47" s="9">
        <v>1</v>
      </c>
      <c r="Y47" s="9">
        <v>1</v>
      </c>
      <c r="Z47" s="9" t="s">
        <v>1120</v>
      </c>
      <c r="AA47" s="9" t="s">
        <v>5184</v>
      </c>
      <c r="AB47" s="9" t="s">
        <v>1127</v>
      </c>
      <c r="AC47" s="9" t="s">
        <v>5185</v>
      </c>
      <c r="AD47" s="9" t="s">
        <v>5186</v>
      </c>
      <c r="AE47" t="str">
        <f t="shared" si="0"/>
        <v>Medium</v>
      </c>
      <c r="AF47">
        <f>IF($A47="","",IFERROR(VLOOKUP($B47,_CONFIG_Risk_Calibration!$A$5:$H$21,2,FALSE),3))</f>
        <v>3</v>
      </c>
      <c r="AG47">
        <f>IF($A47="","",IFERROR(VLOOKUP($B47,_CONFIG_Risk_Calibration!$A$5:$H$21,3,FALSE),0))</f>
        <v>0</v>
      </c>
      <c r="AH47">
        <f>IF($A47="","",IFERROR(VLOOKUP($B47,_CONFIG_Risk_Calibration!$A$5:$H$21,4,FALSE),3))</f>
        <v>3</v>
      </c>
      <c r="AI47">
        <f>IF($A47="","",IFERROR(VLOOKUP($B47,_CONFIG_Risk_Calibration!$A$5:$H$21,5,FALSE),3))</f>
        <v>3</v>
      </c>
      <c r="AJ47" t="str">
        <f>IF($A47="","",IFERROR(VLOOKUP($B47,_CONFIG_Risk_Calibration!$A$5:$H$21,6,FALSE),"No"))</f>
        <v>No</v>
      </c>
      <c r="AK47">
        <f>IF($A47="","",IFERROR(VLOOKUP($B47,_CONFIG_Risk_Calibration!$A$5:$H$21,7,FALSE),1))</f>
        <v>1</v>
      </c>
      <c r="AL47" t="str">
        <f>IF($A47="","",IFERROR(VLOOKUP($B47,_CONFIG_Risk_Calibration!$A$5:$H$21,8,FALSE),""))</f>
        <v>Clean template default. Calibrate with real exposure, incident history, evidence quality and domain-owner validation.</v>
      </c>
      <c r="AM47">
        <f>IF($A47="","",IFERROR(INDEX(_DATA_Assessment_Model!$AL$1:$AL$428,MATCH($A47,_DATA_Assessment_Model!$A$1:$A$428,0)),""))</f>
        <v>0</v>
      </c>
      <c r="AN47">
        <f t="shared" si="1"/>
        <v>1</v>
      </c>
      <c r="AO47">
        <f>IF($A47="","",_CONFIG_Model_Settings!$B$172*MAX(N($AK47),(N($AF47)+N($AI47))/2))</f>
        <v>60</v>
      </c>
      <c r="AP47">
        <f t="shared" si="2"/>
        <v>60</v>
      </c>
      <c r="AQ47">
        <f>IF($AP47="","",MAX(0,$AP47*(1-(_CONFIG_Model_Settings!$B$173+_CONFIG_Model_Settings!$B$174*(N($AH47)-1)))))</f>
        <v>39</v>
      </c>
      <c r="AR47">
        <f>IF($AP47="","",MIN(100,$AP47*(1+(_CONFIG_Model_Settings!$B$173+_CONFIG_Model_Settings!$B$174*(N($AH47)-1)))))</f>
        <v>81</v>
      </c>
    </row>
    <row r="48" spans="1:44" ht="72" customHeight="1">
      <c r="A48" s="9" t="s">
        <v>1128</v>
      </c>
      <c r="B48" s="9" t="s">
        <v>949</v>
      </c>
      <c r="C48" s="9" t="s">
        <v>990</v>
      </c>
      <c r="D48" s="9" t="s">
        <v>5170</v>
      </c>
      <c r="E48" s="9" t="s">
        <v>1129</v>
      </c>
      <c r="F48" s="9" t="s">
        <v>5187</v>
      </c>
      <c r="G48" s="9" t="s">
        <v>5188</v>
      </c>
      <c r="H48" s="9" t="s">
        <v>5189</v>
      </c>
      <c r="I48" s="9" t="s">
        <v>5190</v>
      </c>
      <c r="J48" s="9" t="s">
        <v>5191</v>
      </c>
      <c r="K48" s="9" t="s">
        <v>5192</v>
      </c>
      <c r="L48" s="9" t="s">
        <v>5193</v>
      </c>
      <c r="M48" s="9" t="s">
        <v>5194</v>
      </c>
      <c r="N48" s="9" t="s">
        <v>5195</v>
      </c>
      <c r="O48" s="9" t="s">
        <v>5196</v>
      </c>
      <c r="P48" s="9" t="s">
        <v>5197</v>
      </c>
      <c r="Q48" s="9" t="s">
        <v>5198</v>
      </c>
      <c r="R48" s="9" t="s">
        <v>4589</v>
      </c>
      <c r="S48" s="9" t="s">
        <v>5199</v>
      </c>
      <c r="T48" s="9">
        <v>2</v>
      </c>
      <c r="U48" s="9">
        <v>2</v>
      </c>
      <c r="V48" s="9">
        <v>2</v>
      </c>
      <c r="W48" s="9">
        <v>2</v>
      </c>
      <c r="X48" s="9">
        <v>1</v>
      </c>
      <c r="Y48" s="9">
        <v>1</v>
      </c>
      <c r="Z48" s="9" t="s">
        <v>1131</v>
      </c>
      <c r="AA48" s="9" t="s">
        <v>5200</v>
      </c>
      <c r="AB48" s="9" t="s">
        <v>1138</v>
      </c>
      <c r="AC48" s="9" t="s">
        <v>4845</v>
      </c>
      <c r="AD48" s="9" t="s">
        <v>5201</v>
      </c>
      <c r="AE48" t="str">
        <f t="shared" si="0"/>
        <v>Medium</v>
      </c>
      <c r="AF48">
        <f>IF($A48="","",IFERROR(VLOOKUP($B48,_CONFIG_Risk_Calibration!$A$5:$H$21,2,FALSE),3))</f>
        <v>3</v>
      </c>
      <c r="AG48">
        <f>IF($A48="","",IFERROR(VLOOKUP($B48,_CONFIG_Risk_Calibration!$A$5:$H$21,3,FALSE),0))</f>
        <v>0</v>
      </c>
      <c r="AH48">
        <f>IF($A48="","",IFERROR(VLOOKUP($B48,_CONFIG_Risk_Calibration!$A$5:$H$21,4,FALSE),3))</f>
        <v>3</v>
      </c>
      <c r="AI48">
        <f>IF($A48="","",IFERROR(VLOOKUP($B48,_CONFIG_Risk_Calibration!$A$5:$H$21,5,FALSE),3))</f>
        <v>3</v>
      </c>
      <c r="AJ48" t="str">
        <f>IF($A48="","",IFERROR(VLOOKUP($B48,_CONFIG_Risk_Calibration!$A$5:$H$21,6,FALSE),"No"))</f>
        <v>No</v>
      </c>
      <c r="AK48">
        <f>IF($A48="","",IFERROR(VLOOKUP($B48,_CONFIG_Risk_Calibration!$A$5:$H$21,7,FALSE),1))</f>
        <v>1</v>
      </c>
      <c r="AL48" t="str">
        <f>IF($A48="","",IFERROR(VLOOKUP($B48,_CONFIG_Risk_Calibration!$A$5:$H$21,8,FALSE),""))</f>
        <v>Clean template default. Calibrate with real exposure, incident history, evidence quality and domain-owner validation.</v>
      </c>
      <c r="AM48">
        <f>IF($A48="","",IFERROR(INDEX(_DATA_Assessment_Model!$AL$1:$AL$428,MATCH($A48,_DATA_Assessment_Model!$A$1:$A$428,0)),""))</f>
        <v>0</v>
      </c>
      <c r="AN48">
        <f t="shared" si="1"/>
        <v>1</v>
      </c>
      <c r="AO48">
        <f>IF($A48="","",_CONFIG_Model_Settings!$B$172*MAX(N($AK48),(N($AF48)+N($AI48))/2))</f>
        <v>60</v>
      </c>
      <c r="AP48">
        <f t="shared" si="2"/>
        <v>60</v>
      </c>
      <c r="AQ48">
        <f>IF($AP48="","",MAX(0,$AP48*(1-(_CONFIG_Model_Settings!$B$173+_CONFIG_Model_Settings!$B$174*(N($AH48)-1)))))</f>
        <v>39</v>
      </c>
      <c r="AR48">
        <f>IF($AP48="","",MIN(100,$AP48*(1+(_CONFIG_Model_Settings!$B$173+_CONFIG_Model_Settings!$B$174*(N($AH48)-1)))))</f>
        <v>81</v>
      </c>
    </row>
    <row r="49" spans="1:44" ht="72" customHeight="1">
      <c r="A49" s="9" t="s">
        <v>1139</v>
      </c>
      <c r="B49" s="9" t="s">
        <v>949</v>
      </c>
      <c r="C49" s="9" t="s">
        <v>990</v>
      </c>
      <c r="D49" s="9" t="s">
        <v>5170</v>
      </c>
      <c r="E49" s="9" t="s">
        <v>1140</v>
      </c>
      <c r="F49" s="9" t="s">
        <v>5202</v>
      </c>
      <c r="G49" s="9" t="s">
        <v>5203</v>
      </c>
      <c r="H49" s="9" t="s">
        <v>5204</v>
      </c>
      <c r="I49" s="9" t="s">
        <v>5205</v>
      </c>
      <c r="J49" s="9" t="s">
        <v>5206</v>
      </c>
      <c r="K49" s="9" t="s">
        <v>5207</v>
      </c>
      <c r="L49" s="9" t="s">
        <v>5208</v>
      </c>
      <c r="M49" s="9" t="s">
        <v>5209</v>
      </c>
      <c r="N49" s="9" t="s">
        <v>5210</v>
      </c>
      <c r="O49" s="9" t="s">
        <v>5211</v>
      </c>
      <c r="P49" s="9" t="s">
        <v>5212</v>
      </c>
      <c r="Q49" s="9" t="s">
        <v>5213</v>
      </c>
      <c r="R49" s="9" t="s">
        <v>4589</v>
      </c>
      <c r="S49" s="9" t="s">
        <v>5214</v>
      </c>
      <c r="T49" s="9">
        <v>2</v>
      </c>
      <c r="U49" s="9">
        <v>2</v>
      </c>
      <c r="V49" s="9">
        <v>2</v>
      </c>
      <c r="W49" s="9">
        <v>2</v>
      </c>
      <c r="X49" s="9">
        <v>1</v>
      </c>
      <c r="Y49" s="9">
        <v>1</v>
      </c>
      <c r="Z49" s="9" t="s">
        <v>1142</v>
      </c>
      <c r="AA49" s="9" t="s">
        <v>5215</v>
      </c>
      <c r="AB49" s="9" t="s">
        <v>1149</v>
      </c>
      <c r="AC49" s="9" t="s">
        <v>5216</v>
      </c>
      <c r="AD49" s="9" t="s">
        <v>5217</v>
      </c>
      <c r="AE49" t="str">
        <f t="shared" si="0"/>
        <v>Medium</v>
      </c>
      <c r="AF49">
        <f>IF($A49="","",IFERROR(VLOOKUP($B49,_CONFIG_Risk_Calibration!$A$5:$H$21,2,FALSE),3))</f>
        <v>3</v>
      </c>
      <c r="AG49">
        <f>IF($A49="","",IFERROR(VLOOKUP($B49,_CONFIG_Risk_Calibration!$A$5:$H$21,3,FALSE),0))</f>
        <v>0</v>
      </c>
      <c r="AH49">
        <f>IF($A49="","",IFERROR(VLOOKUP($B49,_CONFIG_Risk_Calibration!$A$5:$H$21,4,FALSE),3))</f>
        <v>3</v>
      </c>
      <c r="AI49">
        <f>IF($A49="","",IFERROR(VLOOKUP($B49,_CONFIG_Risk_Calibration!$A$5:$H$21,5,FALSE),3))</f>
        <v>3</v>
      </c>
      <c r="AJ49" t="str">
        <f>IF($A49="","",IFERROR(VLOOKUP($B49,_CONFIG_Risk_Calibration!$A$5:$H$21,6,FALSE),"No"))</f>
        <v>No</v>
      </c>
      <c r="AK49">
        <f>IF($A49="","",IFERROR(VLOOKUP($B49,_CONFIG_Risk_Calibration!$A$5:$H$21,7,FALSE),1))</f>
        <v>1</v>
      </c>
      <c r="AL49" t="str">
        <f>IF($A49="","",IFERROR(VLOOKUP($B49,_CONFIG_Risk_Calibration!$A$5:$H$21,8,FALSE),""))</f>
        <v>Clean template default. Calibrate with real exposure, incident history, evidence quality and domain-owner validation.</v>
      </c>
      <c r="AM49">
        <f>IF($A49="","",IFERROR(INDEX(_DATA_Assessment_Model!$AL$1:$AL$428,MATCH($A49,_DATA_Assessment_Model!$A$1:$A$428,0)),""))</f>
        <v>0</v>
      </c>
      <c r="AN49">
        <f t="shared" si="1"/>
        <v>1</v>
      </c>
      <c r="AO49">
        <f>IF($A49="","",_CONFIG_Model_Settings!$B$172*MAX(N($AK49),(N($AF49)+N($AI49))/2))</f>
        <v>60</v>
      </c>
      <c r="AP49">
        <f t="shared" si="2"/>
        <v>60</v>
      </c>
      <c r="AQ49">
        <f>IF($AP49="","",MAX(0,$AP49*(1-(_CONFIG_Model_Settings!$B$173+_CONFIG_Model_Settings!$B$174*(N($AH49)-1)))))</f>
        <v>39</v>
      </c>
      <c r="AR49">
        <f>IF($AP49="","",MIN(100,$AP49*(1+(_CONFIG_Model_Settings!$B$173+_CONFIG_Model_Settings!$B$174*(N($AH49)-1)))))</f>
        <v>81</v>
      </c>
    </row>
    <row r="50" spans="1:44" ht="60" customHeight="1">
      <c r="A50" s="9" t="s">
        <v>1151</v>
      </c>
      <c r="B50" s="9" t="s">
        <v>1150</v>
      </c>
      <c r="C50" s="9" t="s">
        <v>1152</v>
      </c>
      <c r="D50" s="9" t="s">
        <v>3681</v>
      </c>
      <c r="E50" s="9" t="s">
        <v>1153</v>
      </c>
      <c r="F50" s="9" t="s">
        <v>5218</v>
      </c>
      <c r="G50" s="9" t="s">
        <v>5219</v>
      </c>
      <c r="H50" s="9" t="s">
        <v>5220</v>
      </c>
      <c r="I50" s="9" t="s">
        <v>5221</v>
      </c>
      <c r="J50" s="9" t="s">
        <v>5222</v>
      </c>
      <c r="K50" s="9" t="s">
        <v>5223</v>
      </c>
      <c r="L50" s="9" t="s">
        <v>5224</v>
      </c>
      <c r="M50" s="9" t="s">
        <v>5225</v>
      </c>
      <c r="N50" s="9" t="s">
        <v>5226</v>
      </c>
      <c r="O50" s="9" t="s">
        <v>5227</v>
      </c>
      <c r="P50" s="9" t="s">
        <v>5228</v>
      </c>
      <c r="Q50" s="9" t="s">
        <v>5229</v>
      </c>
      <c r="R50" s="9" t="s">
        <v>4589</v>
      </c>
      <c r="S50" s="9" t="s">
        <v>5230</v>
      </c>
      <c r="T50" s="9">
        <v>3</v>
      </c>
      <c r="U50" s="9">
        <v>3</v>
      </c>
      <c r="V50" s="9">
        <v>2</v>
      </c>
      <c r="W50" s="9">
        <v>2</v>
      </c>
      <c r="X50" s="9">
        <v>1</v>
      </c>
      <c r="Y50" s="9">
        <v>1</v>
      </c>
      <c r="Z50" s="9" t="s">
        <v>1155</v>
      </c>
      <c r="AA50" s="9" t="s">
        <v>1156</v>
      </c>
      <c r="AB50" s="9" t="s">
        <v>1157</v>
      </c>
      <c r="AC50" s="9" t="s">
        <v>4591</v>
      </c>
      <c r="AD50" s="9" t="s">
        <v>5231</v>
      </c>
      <c r="AE50" t="str">
        <f t="shared" si="0"/>
        <v>Medium</v>
      </c>
      <c r="AF50">
        <f>IF($A50="","",IFERROR(VLOOKUP($B50,_CONFIG_Risk_Calibration!$A$5:$H$21,2,FALSE),3))</f>
        <v>3</v>
      </c>
      <c r="AG50">
        <f>IF($A50="","",IFERROR(VLOOKUP($B50,_CONFIG_Risk_Calibration!$A$5:$H$21,3,FALSE),0))</f>
        <v>0</v>
      </c>
      <c r="AH50">
        <f>IF($A50="","",IFERROR(VLOOKUP($B50,_CONFIG_Risk_Calibration!$A$5:$H$21,4,FALSE),3))</f>
        <v>3</v>
      </c>
      <c r="AI50">
        <f>IF($A50="","",IFERROR(VLOOKUP($B50,_CONFIG_Risk_Calibration!$A$5:$H$21,5,FALSE),3))</f>
        <v>4</v>
      </c>
      <c r="AJ50" t="str">
        <f>IF($A50="","",IFERROR(VLOOKUP($B50,_CONFIG_Risk_Calibration!$A$5:$H$21,6,FALSE),"No"))</f>
        <v>Yes</v>
      </c>
      <c r="AK50">
        <f>IF($A50="","",IFERROR(VLOOKUP($B50,_CONFIG_Risk_Calibration!$A$5:$H$21,7,FALSE),1))</f>
        <v>4</v>
      </c>
      <c r="AL50" t="str">
        <f>IF($A50="","",IFERROR(VLOOKUP($B50,_CONFIG_Risk_Calibration!$A$5:$H$21,8,FALSE),""))</f>
        <v>Clean template default. Calibrate with real exposure, incident history, evidence quality and domain-owner validation.</v>
      </c>
      <c r="AM50">
        <f>IF($A50="","",IFERROR(INDEX(_DATA_Assessment_Model!$AL$1:$AL$428,MATCH($A50,_DATA_Assessment_Model!$A$1:$A$428,0)),""))</f>
        <v>0</v>
      </c>
      <c r="AN50">
        <f t="shared" si="1"/>
        <v>1</v>
      </c>
      <c r="AO50">
        <f>IF($A50="","",_CONFIG_Model_Settings!$B$172*MAX(N($AK50),(N($AF50)+N($AI50))/2))</f>
        <v>80</v>
      </c>
      <c r="AP50">
        <f t="shared" si="2"/>
        <v>80</v>
      </c>
      <c r="AQ50">
        <f>IF($AP50="","",MAX(0,$AP50*(1-(_CONFIG_Model_Settings!$B$173+_CONFIG_Model_Settings!$B$174*(N($AH50)-1)))))</f>
        <v>52</v>
      </c>
      <c r="AR50">
        <f>IF($AP50="","",MIN(100,$AP50*(1+(_CONFIG_Model_Settings!$B$173+_CONFIG_Model_Settings!$B$174*(N($AH50)-1)))))</f>
        <v>100</v>
      </c>
    </row>
    <row r="51" spans="1:44" ht="60" customHeight="1">
      <c r="A51" s="9" t="s">
        <v>1158</v>
      </c>
      <c r="B51" s="9" t="s">
        <v>1150</v>
      </c>
      <c r="C51" s="9" t="s">
        <v>1152</v>
      </c>
      <c r="D51" s="9" t="s">
        <v>3681</v>
      </c>
      <c r="E51" s="9" t="s">
        <v>1159</v>
      </c>
      <c r="F51" s="9" t="s">
        <v>5232</v>
      </c>
      <c r="G51" s="9" t="s">
        <v>5233</v>
      </c>
      <c r="H51" s="9" t="s">
        <v>5234</v>
      </c>
      <c r="I51" s="9" t="s">
        <v>5235</v>
      </c>
      <c r="J51" s="9" t="s">
        <v>5236</v>
      </c>
      <c r="K51" s="9" t="s">
        <v>5237</v>
      </c>
      <c r="L51" s="9" t="s">
        <v>5238</v>
      </c>
      <c r="M51" s="9" t="s">
        <v>5239</v>
      </c>
      <c r="N51" s="9" t="s">
        <v>5240</v>
      </c>
      <c r="O51" s="9" t="s">
        <v>5241</v>
      </c>
      <c r="P51" s="9" t="s">
        <v>5242</v>
      </c>
      <c r="Q51" s="9" t="s">
        <v>5243</v>
      </c>
      <c r="R51" s="9" t="s">
        <v>4589</v>
      </c>
      <c r="S51" s="9" t="s">
        <v>5244</v>
      </c>
      <c r="T51" s="9">
        <v>3</v>
      </c>
      <c r="U51" s="9">
        <v>3</v>
      </c>
      <c r="V51" s="9">
        <v>2</v>
      </c>
      <c r="W51" s="9">
        <v>2</v>
      </c>
      <c r="X51" s="9">
        <v>1</v>
      </c>
      <c r="Y51" s="9">
        <v>1</v>
      </c>
      <c r="Z51" s="9" t="s">
        <v>1155</v>
      </c>
      <c r="AA51" s="9" t="s">
        <v>1160</v>
      </c>
      <c r="AB51" s="9" t="s">
        <v>1157</v>
      </c>
      <c r="AC51" s="9" t="s">
        <v>4591</v>
      </c>
      <c r="AD51" s="9" t="s">
        <v>5245</v>
      </c>
      <c r="AE51" t="str">
        <f t="shared" si="0"/>
        <v>Medium</v>
      </c>
      <c r="AF51">
        <f>IF($A51="","",IFERROR(VLOOKUP($B51,_CONFIG_Risk_Calibration!$A$5:$H$21,2,FALSE),3))</f>
        <v>3</v>
      </c>
      <c r="AG51">
        <f>IF($A51="","",IFERROR(VLOOKUP($B51,_CONFIG_Risk_Calibration!$A$5:$H$21,3,FALSE),0))</f>
        <v>0</v>
      </c>
      <c r="AH51">
        <f>IF($A51="","",IFERROR(VLOOKUP($B51,_CONFIG_Risk_Calibration!$A$5:$H$21,4,FALSE),3))</f>
        <v>3</v>
      </c>
      <c r="AI51">
        <f>IF($A51="","",IFERROR(VLOOKUP($B51,_CONFIG_Risk_Calibration!$A$5:$H$21,5,FALSE),3))</f>
        <v>4</v>
      </c>
      <c r="AJ51" t="str">
        <f>IF($A51="","",IFERROR(VLOOKUP($B51,_CONFIG_Risk_Calibration!$A$5:$H$21,6,FALSE),"No"))</f>
        <v>Yes</v>
      </c>
      <c r="AK51">
        <f>IF($A51="","",IFERROR(VLOOKUP($B51,_CONFIG_Risk_Calibration!$A$5:$H$21,7,FALSE),1))</f>
        <v>4</v>
      </c>
      <c r="AL51" t="str">
        <f>IF($A51="","",IFERROR(VLOOKUP($B51,_CONFIG_Risk_Calibration!$A$5:$H$21,8,FALSE),""))</f>
        <v>Clean template default. Calibrate with real exposure, incident history, evidence quality and domain-owner validation.</v>
      </c>
      <c r="AM51">
        <f>IF($A51="","",IFERROR(INDEX(_DATA_Assessment_Model!$AL$1:$AL$428,MATCH($A51,_DATA_Assessment_Model!$A$1:$A$428,0)),""))</f>
        <v>0</v>
      </c>
      <c r="AN51">
        <f t="shared" si="1"/>
        <v>1</v>
      </c>
      <c r="AO51">
        <f>IF($A51="","",_CONFIG_Model_Settings!$B$172*MAX(N($AK51),(N($AF51)+N($AI51))/2))</f>
        <v>80</v>
      </c>
      <c r="AP51">
        <f t="shared" si="2"/>
        <v>80</v>
      </c>
      <c r="AQ51">
        <f>IF($AP51="","",MAX(0,$AP51*(1-(_CONFIG_Model_Settings!$B$173+_CONFIG_Model_Settings!$B$174*(N($AH51)-1)))))</f>
        <v>52</v>
      </c>
      <c r="AR51">
        <f>IF($AP51="","",MIN(100,$AP51*(1+(_CONFIG_Model_Settings!$B$173+_CONFIG_Model_Settings!$B$174*(N($AH51)-1)))))</f>
        <v>100</v>
      </c>
    </row>
    <row r="52" spans="1:44" ht="60" customHeight="1">
      <c r="A52" s="9" t="s">
        <v>1162</v>
      </c>
      <c r="B52" s="9" t="s">
        <v>1150</v>
      </c>
      <c r="C52" s="9" t="s">
        <v>1152</v>
      </c>
      <c r="D52" s="9" t="s">
        <v>3681</v>
      </c>
      <c r="E52" s="9" t="s">
        <v>1163</v>
      </c>
      <c r="F52" s="9" t="s">
        <v>5246</v>
      </c>
      <c r="G52" s="9" t="s">
        <v>5247</v>
      </c>
      <c r="H52" s="9" t="s">
        <v>5248</v>
      </c>
      <c r="I52" s="9" t="s">
        <v>5249</v>
      </c>
      <c r="J52" s="9" t="s">
        <v>5250</v>
      </c>
      <c r="K52" s="9" t="s">
        <v>5251</v>
      </c>
      <c r="L52" s="9" t="s">
        <v>5252</v>
      </c>
      <c r="M52" s="9" t="s">
        <v>5253</v>
      </c>
      <c r="N52" s="9" t="s">
        <v>5254</v>
      </c>
      <c r="O52" s="9" t="s">
        <v>5255</v>
      </c>
      <c r="P52" s="9" t="s">
        <v>5256</v>
      </c>
      <c r="Q52" s="9" t="s">
        <v>5257</v>
      </c>
      <c r="R52" s="9" t="s">
        <v>4589</v>
      </c>
      <c r="S52" s="9" t="s">
        <v>5258</v>
      </c>
      <c r="T52" s="9">
        <v>3</v>
      </c>
      <c r="U52" s="9">
        <v>3</v>
      </c>
      <c r="V52" s="9">
        <v>2</v>
      </c>
      <c r="W52" s="9">
        <v>2</v>
      </c>
      <c r="X52" s="9">
        <v>1</v>
      </c>
      <c r="Y52" s="9">
        <v>1</v>
      </c>
      <c r="Z52" s="9" t="s">
        <v>1155</v>
      </c>
      <c r="AA52" s="9" t="s">
        <v>1164</v>
      </c>
      <c r="AB52" s="9" t="s">
        <v>1157</v>
      </c>
      <c r="AC52" s="9" t="s">
        <v>4591</v>
      </c>
      <c r="AD52" s="9" t="s">
        <v>5259</v>
      </c>
      <c r="AE52" t="str">
        <f t="shared" si="0"/>
        <v>Medium</v>
      </c>
      <c r="AF52">
        <f>IF($A52="","",IFERROR(VLOOKUP($B52,_CONFIG_Risk_Calibration!$A$5:$H$21,2,FALSE),3))</f>
        <v>3</v>
      </c>
      <c r="AG52">
        <f>IF($A52="","",IFERROR(VLOOKUP($B52,_CONFIG_Risk_Calibration!$A$5:$H$21,3,FALSE),0))</f>
        <v>0</v>
      </c>
      <c r="AH52">
        <f>IF($A52="","",IFERROR(VLOOKUP($B52,_CONFIG_Risk_Calibration!$A$5:$H$21,4,FALSE),3))</f>
        <v>3</v>
      </c>
      <c r="AI52">
        <f>IF($A52="","",IFERROR(VLOOKUP($B52,_CONFIG_Risk_Calibration!$A$5:$H$21,5,FALSE),3))</f>
        <v>4</v>
      </c>
      <c r="AJ52" t="str">
        <f>IF($A52="","",IFERROR(VLOOKUP($B52,_CONFIG_Risk_Calibration!$A$5:$H$21,6,FALSE),"No"))</f>
        <v>Yes</v>
      </c>
      <c r="AK52">
        <f>IF($A52="","",IFERROR(VLOOKUP($B52,_CONFIG_Risk_Calibration!$A$5:$H$21,7,FALSE),1))</f>
        <v>4</v>
      </c>
      <c r="AL52" t="str">
        <f>IF($A52="","",IFERROR(VLOOKUP($B52,_CONFIG_Risk_Calibration!$A$5:$H$21,8,FALSE),""))</f>
        <v>Clean template default. Calibrate with real exposure, incident history, evidence quality and domain-owner validation.</v>
      </c>
      <c r="AM52">
        <f>IF($A52="","",IFERROR(INDEX(_DATA_Assessment_Model!$AL$1:$AL$428,MATCH($A52,_DATA_Assessment_Model!$A$1:$A$428,0)),""))</f>
        <v>0</v>
      </c>
      <c r="AN52">
        <f t="shared" si="1"/>
        <v>1</v>
      </c>
      <c r="AO52">
        <f>IF($A52="","",_CONFIG_Model_Settings!$B$172*MAX(N($AK52),(N($AF52)+N($AI52))/2))</f>
        <v>80</v>
      </c>
      <c r="AP52">
        <f t="shared" si="2"/>
        <v>80</v>
      </c>
      <c r="AQ52">
        <f>IF($AP52="","",MAX(0,$AP52*(1-(_CONFIG_Model_Settings!$B$173+_CONFIG_Model_Settings!$B$174*(N($AH52)-1)))))</f>
        <v>52</v>
      </c>
      <c r="AR52">
        <f>IF($AP52="","",MIN(100,$AP52*(1+(_CONFIG_Model_Settings!$B$173+_CONFIG_Model_Settings!$B$174*(N($AH52)-1)))))</f>
        <v>100</v>
      </c>
    </row>
    <row r="53" spans="1:44" ht="60" customHeight="1">
      <c r="A53" s="9" t="s">
        <v>1166</v>
      </c>
      <c r="B53" s="9" t="s">
        <v>1150</v>
      </c>
      <c r="C53" s="9" t="s">
        <v>1152</v>
      </c>
      <c r="D53" s="9" t="s">
        <v>3681</v>
      </c>
      <c r="E53" s="9" t="s">
        <v>1167</v>
      </c>
      <c r="F53" s="9" t="s">
        <v>5260</v>
      </c>
      <c r="G53" s="9" t="s">
        <v>5261</v>
      </c>
      <c r="H53" s="9" t="s">
        <v>5262</v>
      </c>
      <c r="I53" s="9" t="s">
        <v>5263</v>
      </c>
      <c r="J53" s="9" t="s">
        <v>5264</v>
      </c>
      <c r="K53" s="9" t="s">
        <v>5265</v>
      </c>
      <c r="L53" s="9" t="s">
        <v>5266</v>
      </c>
      <c r="M53" s="9" t="s">
        <v>5267</v>
      </c>
      <c r="N53" s="9" t="s">
        <v>5268</v>
      </c>
      <c r="O53" s="9" t="s">
        <v>5269</v>
      </c>
      <c r="P53" s="9" t="s">
        <v>5270</v>
      </c>
      <c r="Q53" s="9" t="s">
        <v>5271</v>
      </c>
      <c r="R53" s="9" t="s">
        <v>4589</v>
      </c>
      <c r="S53" s="9" t="s">
        <v>5272</v>
      </c>
      <c r="T53" s="9">
        <v>3</v>
      </c>
      <c r="U53" s="9">
        <v>3</v>
      </c>
      <c r="V53" s="9">
        <v>2</v>
      </c>
      <c r="W53" s="9">
        <v>2</v>
      </c>
      <c r="X53" s="9">
        <v>1</v>
      </c>
      <c r="Y53" s="9">
        <v>1</v>
      </c>
      <c r="Z53" s="9" t="s">
        <v>1155</v>
      </c>
      <c r="AA53" s="9" t="s">
        <v>1168</v>
      </c>
      <c r="AB53" s="9" t="s">
        <v>1157</v>
      </c>
      <c r="AC53" s="9" t="s">
        <v>4591</v>
      </c>
      <c r="AD53" s="9" t="s">
        <v>5273</v>
      </c>
      <c r="AE53" t="str">
        <f t="shared" si="0"/>
        <v>Medium</v>
      </c>
      <c r="AF53">
        <f>IF($A53="","",IFERROR(VLOOKUP($B53,_CONFIG_Risk_Calibration!$A$5:$H$21,2,FALSE),3))</f>
        <v>3</v>
      </c>
      <c r="AG53">
        <f>IF($A53="","",IFERROR(VLOOKUP($B53,_CONFIG_Risk_Calibration!$A$5:$H$21,3,FALSE),0))</f>
        <v>0</v>
      </c>
      <c r="AH53">
        <f>IF($A53="","",IFERROR(VLOOKUP($B53,_CONFIG_Risk_Calibration!$A$5:$H$21,4,FALSE),3))</f>
        <v>3</v>
      </c>
      <c r="AI53">
        <f>IF($A53="","",IFERROR(VLOOKUP($B53,_CONFIG_Risk_Calibration!$A$5:$H$21,5,FALSE),3))</f>
        <v>4</v>
      </c>
      <c r="AJ53" t="str">
        <f>IF($A53="","",IFERROR(VLOOKUP($B53,_CONFIG_Risk_Calibration!$A$5:$H$21,6,FALSE),"No"))</f>
        <v>Yes</v>
      </c>
      <c r="AK53">
        <f>IF($A53="","",IFERROR(VLOOKUP($B53,_CONFIG_Risk_Calibration!$A$5:$H$21,7,FALSE),1))</f>
        <v>4</v>
      </c>
      <c r="AL53" t="str">
        <f>IF($A53="","",IFERROR(VLOOKUP($B53,_CONFIG_Risk_Calibration!$A$5:$H$21,8,FALSE),""))</f>
        <v>Clean template default. Calibrate with real exposure, incident history, evidence quality and domain-owner validation.</v>
      </c>
      <c r="AM53">
        <f>IF($A53="","",IFERROR(INDEX(_DATA_Assessment_Model!$AL$1:$AL$428,MATCH($A53,_DATA_Assessment_Model!$A$1:$A$428,0)),""))</f>
        <v>0</v>
      </c>
      <c r="AN53">
        <f t="shared" si="1"/>
        <v>1</v>
      </c>
      <c r="AO53">
        <f>IF($A53="","",_CONFIG_Model_Settings!$B$172*MAX(N($AK53),(N($AF53)+N($AI53))/2))</f>
        <v>80</v>
      </c>
      <c r="AP53">
        <f t="shared" si="2"/>
        <v>80</v>
      </c>
      <c r="AQ53">
        <f>IF($AP53="","",MAX(0,$AP53*(1-(_CONFIG_Model_Settings!$B$173+_CONFIG_Model_Settings!$B$174*(N($AH53)-1)))))</f>
        <v>52</v>
      </c>
      <c r="AR53">
        <f>IF($AP53="","",MIN(100,$AP53*(1+(_CONFIG_Model_Settings!$B$173+_CONFIG_Model_Settings!$B$174*(N($AH53)-1)))))</f>
        <v>100</v>
      </c>
    </row>
    <row r="54" spans="1:44" ht="60" customHeight="1">
      <c r="A54" s="9" t="s">
        <v>1169</v>
      </c>
      <c r="B54" s="9" t="s">
        <v>1150</v>
      </c>
      <c r="C54" s="9" t="s">
        <v>1152</v>
      </c>
      <c r="D54" s="9" t="s">
        <v>3681</v>
      </c>
      <c r="E54" s="9" t="s">
        <v>1170</v>
      </c>
      <c r="F54" s="9" t="s">
        <v>5274</v>
      </c>
      <c r="G54" s="9" t="s">
        <v>5275</v>
      </c>
      <c r="H54" s="9" t="s">
        <v>5276</v>
      </c>
      <c r="I54" s="9" t="s">
        <v>5277</v>
      </c>
      <c r="J54" s="9" t="s">
        <v>5278</v>
      </c>
      <c r="K54" s="9" t="s">
        <v>5279</v>
      </c>
      <c r="L54" s="9" t="s">
        <v>5280</v>
      </c>
      <c r="M54" s="9" t="s">
        <v>5281</v>
      </c>
      <c r="N54" s="9" t="s">
        <v>5282</v>
      </c>
      <c r="O54" s="9" t="s">
        <v>5283</v>
      </c>
      <c r="P54" s="9" t="s">
        <v>5284</v>
      </c>
      <c r="Q54" s="9" t="s">
        <v>5285</v>
      </c>
      <c r="R54" s="9" t="s">
        <v>4589</v>
      </c>
      <c r="S54" s="9" t="s">
        <v>5286</v>
      </c>
      <c r="T54" s="9">
        <v>3</v>
      </c>
      <c r="U54" s="9">
        <v>3</v>
      </c>
      <c r="V54" s="9">
        <v>2</v>
      </c>
      <c r="W54" s="9">
        <v>2</v>
      </c>
      <c r="X54" s="9">
        <v>1</v>
      </c>
      <c r="Y54" s="9">
        <v>1</v>
      </c>
      <c r="Z54" s="9" t="s">
        <v>1155</v>
      </c>
      <c r="AA54" s="9" t="s">
        <v>1171</v>
      </c>
      <c r="AB54" s="9" t="s">
        <v>1157</v>
      </c>
      <c r="AC54" s="9" t="s">
        <v>4591</v>
      </c>
      <c r="AD54" s="9" t="s">
        <v>5287</v>
      </c>
      <c r="AE54" t="str">
        <f t="shared" si="0"/>
        <v>Medium</v>
      </c>
      <c r="AF54">
        <f>IF($A54="","",IFERROR(VLOOKUP($B54,_CONFIG_Risk_Calibration!$A$5:$H$21,2,FALSE),3))</f>
        <v>3</v>
      </c>
      <c r="AG54">
        <f>IF($A54="","",IFERROR(VLOOKUP($B54,_CONFIG_Risk_Calibration!$A$5:$H$21,3,FALSE),0))</f>
        <v>0</v>
      </c>
      <c r="AH54">
        <f>IF($A54="","",IFERROR(VLOOKUP($B54,_CONFIG_Risk_Calibration!$A$5:$H$21,4,FALSE),3))</f>
        <v>3</v>
      </c>
      <c r="AI54">
        <f>IF($A54="","",IFERROR(VLOOKUP($B54,_CONFIG_Risk_Calibration!$A$5:$H$21,5,FALSE),3))</f>
        <v>4</v>
      </c>
      <c r="AJ54" t="str">
        <f>IF($A54="","",IFERROR(VLOOKUP($B54,_CONFIG_Risk_Calibration!$A$5:$H$21,6,FALSE),"No"))</f>
        <v>Yes</v>
      </c>
      <c r="AK54">
        <f>IF($A54="","",IFERROR(VLOOKUP($B54,_CONFIG_Risk_Calibration!$A$5:$H$21,7,FALSE),1))</f>
        <v>4</v>
      </c>
      <c r="AL54" t="str">
        <f>IF($A54="","",IFERROR(VLOOKUP($B54,_CONFIG_Risk_Calibration!$A$5:$H$21,8,FALSE),""))</f>
        <v>Clean template default. Calibrate with real exposure, incident history, evidence quality and domain-owner validation.</v>
      </c>
      <c r="AM54">
        <f>IF($A54="","",IFERROR(INDEX(_DATA_Assessment_Model!$AL$1:$AL$428,MATCH($A54,_DATA_Assessment_Model!$A$1:$A$428,0)),""))</f>
        <v>0</v>
      </c>
      <c r="AN54">
        <f t="shared" si="1"/>
        <v>1</v>
      </c>
      <c r="AO54">
        <f>IF($A54="","",_CONFIG_Model_Settings!$B$172*MAX(N($AK54),(N($AF54)+N($AI54))/2))</f>
        <v>80</v>
      </c>
      <c r="AP54">
        <f t="shared" si="2"/>
        <v>80</v>
      </c>
      <c r="AQ54">
        <f>IF($AP54="","",MAX(0,$AP54*(1-(_CONFIG_Model_Settings!$B$173+_CONFIG_Model_Settings!$B$174*(N($AH54)-1)))))</f>
        <v>52</v>
      </c>
      <c r="AR54">
        <f>IF($AP54="","",MIN(100,$AP54*(1+(_CONFIG_Model_Settings!$B$173+_CONFIG_Model_Settings!$B$174*(N($AH54)-1)))))</f>
        <v>100</v>
      </c>
    </row>
    <row r="55" spans="1:44" ht="60" customHeight="1">
      <c r="A55" s="9" t="s">
        <v>1172</v>
      </c>
      <c r="B55" s="9" t="s">
        <v>1150</v>
      </c>
      <c r="C55" s="9" t="s">
        <v>1152</v>
      </c>
      <c r="D55" s="9" t="s">
        <v>3681</v>
      </c>
      <c r="E55" s="9" t="s">
        <v>1173</v>
      </c>
      <c r="F55" s="9" t="s">
        <v>5288</v>
      </c>
      <c r="G55" s="9" t="s">
        <v>5289</v>
      </c>
      <c r="H55" s="9" t="s">
        <v>5290</v>
      </c>
      <c r="I55" s="9" t="s">
        <v>5291</v>
      </c>
      <c r="J55" s="9" t="s">
        <v>5292</v>
      </c>
      <c r="K55" s="9" t="s">
        <v>5293</v>
      </c>
      <c r="L55" s="9" t="s">
        <v>5294</v>
      </c>
      <c r="M55" s="9" t="s">
        <v>5295</v>
      </c>
      <c r="N55" s="9" t="s">
        <v>5296</v>
      </c>
      <c r="O55" s="9" t="s">
        <v>5297</v>
      </c>
      <c r="P55" s="9" t="s">
        <v>5298</v>
      </c>
      <c r="Q55" s="9" t="s">
        <v>5299</v>
      </c>
      <c r="R55" s="9" t="s">
        <v>4589</v>
      </c>
      <c r="S55" s="9" t="s">
        <v>5300</v>
      </c>
      <c r="T55" s="9">
        <v>3</v>
      </c>
      <c r="U55" s="9">
        <v>3</v>
      </c>
      <c r="V55" s="9">
        <v>2</v>
      </c>
      <c r="W55" s="9">
        <v>2</v>
      </c>
      <c r="X55" s="9">
        <v>1</v>
      </c>
      <c r="Y55" s="9">
        <v>1</v>
      </c>
      <c r="Z55" s="9" t="s">
        <v>1155</v>
      </c>
      <c r="AA55" s="9" t="s">
        <v>1174</v>
      </c>
      <c r="AB55" s="9" t="s">
        <v>1157</v>
      </c>
      <c r="AC55" s="9" t="s">
        <v>4591</v>
      </c>
      <c r="AD55" s="9" t="s">
        <v>5301</v>
      </c>
      <c r="AE55" t="str">
        <f t="shared" si="0"/>
        <v>Medium</v>
      </c>
      <c r="AF55">
        <f>IF($A55="","",IFERROR(VLOOKUP($B55,_CONFIG_Risk_Calibration!$A$5:$H$21,2,FALSE),3))</f>
        <v>3</v>
      </c>
      <c r="AG55">
        <f>IF($A55="","",IFERROR(VLOOKUP($B55,_CONFIG_Risk_Calibration!$A$5:$H$21,3,FALSE),0))</f>
        <v>0</v>
      </c>
      <c r="AH55">
        <f>IF($A55="","",IFERROR(VLOOKUP($B55,_CONFIG_Risk_Calibration!$A$5:$H$21,4,FALSE),3))</f>
        <v>3</v>
      </c>
      <c r="AI55">
        <f>IF($A55="","",IFERROR(VLOOKUP($B55,_CONFIG_Risk_Calibration!$A$5:$H$21,5,FALSE),3))</f>
        <v>4</v>
      </c>
      <c r="AJ55" t="str">
        <f>IF($A55="","",IFERROR(VLOOKUP($B55,_CONFIG_Risk_Calibration!$A$5:$H$21,6,FALSE),"No"))</f>
        <v>Yes</v>
      </c>
      <c r="AK55">
        <f>IF($A55="","",IFERROR(VLOOKUP($B55,_CONFIG_Risk_Calibration!$A$5:$H$21,7,FALSE),1))</f>
        <v>4</v>
      </c>
      <c r="AL55" t="str">
        <f>IF($A55="","",IFERROR(VLOOKUP($B55,_CONFIG_Risk_Calibration!$A$5:$H$21,8,FALSE),""))</f>
        <v>Clean template default. Calibrate with real exposure, incident history, evidence quality and domain-owner validation.</v>
      </c>
      <c r="AM55">
        <f>IF($A55="","",IFERROR(INDEX(_DATA_Assessment_Model!$AL$1:$AL$428,MATCH($A55,_DATA_Assessment_Model!$A$1:$A$428,0)),""))</f>
        <v>0</v>
      </c>
      <c r="AN55">
        <f t="shared" si="1"/>
        <v>1</v>
      </c>
      <c r="AO55">
        <f>IF($A55="","",_CONFIG_Model_Settings!$B$172*MAX(N($AK55),(N($AF55)+N($AI55))/2))</f>
        <v>80</v>
      </c>
      <c r="AP55">
        <f t="shared" si="2"/>
        <v>80</v>
      </c>
      <c r="AQ55">
        <f>IF($AP55="","",MAX(0,$AP55*(1-(_CONFIG_Model_Settings!$B$173+_CONFIG_Model_Settings!$B$174*(N($AH55)-1)))))</f>
        <v>52</v>
      </c>
      <c r="AR55">
        <f>IF($AP55="","",MIN(100,$AP55*(1+(_CONFIG_Model_Settings!$B$173+_CONFIG_Model_Settings!$B$174*(N($AH55)-1)))))</f>
        <v>100</v>
      </c>
    </row>
    <row r="56" spans="1:44" ht="60" customHeight="1">
      <c r="A56" s="9" t="s">
        <v>1181</v>
      </c>
      <c r="B56" s="9" t="s">
        <v>1150</v>
      </c>
      <c r="C56" s="9" t="s">
        <v>1161</v>
      </c>
      <c r="D56" s="9" t="s">
        <v>3681</v>
      </c>
      <c r="E56" s="9" t="s">
        <v>1182</v>
      </c>
      <c r="F56" s="9" t="s">
        <v>5302</v>
      </c>
      <c r="G56" s="9" t="s">
        <v>5303</v>
      </c>
      <c r="H56" s="9" t="s">
        <v>5304</v>
      </c>
      <c r="I56" s="9" t="s">
        <v>5305</v>
      </c>
      <c r="J56" s="9" t="s">
        <v>5306</v>
      </c>
      <c r="K56" s="9" t="s">
        <v>5307</v>
      </c>
      <c r="L56" s="9" t="s">
        <v>5308</v>
      </c>
      <c r="M56" s="9" t="s">
        <v>5309</v>
      </c>
      <c r="N56" s="9" t="s">
        <v>5310</v>
      </c>
      <c r="O56" s="9" t="s">
        <v>5311</v>
      </c>
      <c r="P56" s="9" t="s">
        <v>5312</v>
      </c>
      <c r="Q56" s="9" t="s">
        <v>5313</v>
      </c>
      <c r="R56" s="9" t="s">
        <v>4589</v>
      </c>
      <c r="S56" s="9" t="s">
        <v>5314</v>
      </c>
      <c r="T56" s="9">
        <v>3</v>
      </c>
      <c r="U56" s="9">
        <v>3</v>
      </c>
      <c r="V56" s="9">
        <v>2</v>
      </c>
      <c r="W56" s="9">
        <v>2</v>
      </c>
      <c r="X56" s="9">
        <v>1</v>
      </c>
      <c r="Y56" s="9">
        <v>1</v>
      </c>
      <c r="Z56" s="9" t="s">
        <v>1155</v>
      </c>
      <c r="AA56" s="9" t="s">
        <v>1183</v>
      </c>
      <c r="AB56" s="9" t="s">
        <v>1157</v>
      </c>
      <c r="AC56" s="9" t="s">
        <v>4591</v>
      </c>
      <c r="AD56" s="9" t="s">
        <v>5315</v>
      </c>
      <c r="AE56" t="str">
        <f t="shared" si="0"/>
        <v>Medium</v>
      </c>
      <c r="AF56">
        <f>IF($A56="","",IFERROR(VLOOKUP($B56,_CONFIG_Risk_Calibration!$A$5:$H$21,2,FALSE),3))</f>
        <v>3</v>
      </c>
      <c r="AG56">
        <f>IF($A56="","",IFERROR(VLOOKUP($B56,_CONFIG_Risk_Calibration!$A$5:$H$21,3,FALSE),0))</f>
        <v>0</v>
      </c>
      <c r="AH56">
        <f>IF($A56="","",IFERROR(VLOOKUP($B56,_CONFIG_Risk_Calibration!$A$5:$H$21,4,FALSE),3))</f>
        <v>3</v>
      </c>
      <c r="AI56">
        <f>IF($A56="","",IFERROR(VLOOKUP($B56,_CONFIG_Risk_Calibration!$A$5:$H$21,5,FALSE),3))</f>
        <v>4</v>
      </c>
      <c r="AJ56" t="str">
        <f>IF($A56="","",IFERROR(VLOOKUP($B56,_CONFIG_Risk_Calibration!$A$5:$H$21,6,FALSE),"No"))</f>
        <v>Yes</v>
      </c>
      <c r="AK56">
        <f>IF($A56="","",IFERROR(VLOOKUP($B56,_CONFIG_Risk_Calibration!$A$5:$H$21,7,FALSE),1))</f>
        <v>4</v>
      </c>
      <c r="AL56" t="str">
        <f>IF($A56="","",IFERROR(VLOOKUP($B56,_CONFIG_Risk_Calibration!$A$5:$H$21,8,FALSE),""))</f>
        <v>Clean template default. Calibrate with real exposure, incident history, evidence quality and domain-owner validation.</v>
      </c>
      <c r="AM56">
        <f>IF($A56="","",IFERROR(INDEX(_DATA_Assessment_Model!$AL$1:$AL$428,MATCH($A56,_DATA_Assessment_Model!$A$1:$A$428,0)),""))</f>
        <v>0</v>
      </c>
      <c r="AN56">
        <f t="shared" si="1"/>
        <v>1</v>
      </c>
      <c r="AO56">
        <f>IF($A56="","",_CONFIG_Model_Settings!$B$172*MAX(N($AK56),(N($AF56)+N($AI56))/2))</f>
        <v>80</v>
      </c>
      <c r="AP56">
        <f t="shared" si="2"/>
        <v>80</v>
      </c>
      <c r="AQ56">
        <f>IF($AP56="","",MAX(0,$AP56*(1-(_CONFIG_Model_Settings!$B$173+_CONFIG_Model_Settings!$B$174*(N($AH56)-1)))))</f>
        <v>52</v>
      </c>
      <c r="AR56">
        <f>IF($AP56="","",MIN(100,$AP56*(1+(_CONFIG_Model_Settings!$B$173+_CONFIG_Model_Settings!$B$174*(N($AH56)-1)))))</f>
        <v>100</v>
      </c>
    </row>
    <row r="57" spans="1:44" ht="60" customHeight="1">
      <c r="A57" s="9" t="s">
        <v>1184</v>
      </c>
      <c r="B57" s="9" t="s">
        <v>1150</v>
      </c>
      <c r="C57" s="9" t="s">
        <v>1161</v>
      </c>
      <c r="D57" s="9" t="s">
        <v>3681</v>
      </c>
      <c r="E57" s="9" t="s">
        <v>1185</v>
      </c>
      <c r="F57" s="9" t="s">
        <v>5316</v>
      </c>
      <c r="G57" s="9" t="s">
        <v>5317</v>
      </c>
      <c r="H57" s="9" t="s">
        <v>5318</v>
      </c>
      <c r="I57" s="9" t="s">
        <v>5319</v>
      </c>
      <c r="J57" s="9" t="s">
        <v>5320</v>
      </c>
      <c r="K57" s="9" t="s">
        <v>5321</v>
      </c>
      <c r="L57" s="9" t="s">
        <v>5322</v>
      </c>
      <c r="M57" s="9" t="s">
        <v>5323</v>
      </c>
      <c r="N57" s="9" t="s">
        <v>5324</v>
      </c>
      <c r="O57" s="9" t="s">
        <v>5325</v>
      </c>
      <c r="P57" s="9" t="s">
        <v>5326</v>
      </c>
      <c r="Q57" s="9" t="s">
        <v>5327</v>
      </c>
      <c r="R57" s="9" t="s">
        <v>4589</v>
      </c>
      <c r="S57" s="9" t="s">
        <v>5328</v>
      </c>
      <c r="T57" s="9">
        <v>3</v>
      </c>
      <c r="U57" s="9">
        <v>3</v>
      </c>
      <c r="V57" s="9">
        <v>2</v>
      </c>
      <c r="W57" s="9">
        <v>2</v>
      </c>
      <c r="X57" s="9">
        <v>1</v>
      </c>
      <c r="Y57" s="9">
        <v>1</v>
      </c>
      <c r="Z57" s="9" t="s">
        <v>1155</v>
      </c>
      <c r="AA57" s="9" t="s">
        <v>1186</v>
      </c>
      <c r="AB57" s="9" t="s">
        <v>1157</v>
      </c>
      <c r="AC57" s="9" t="s">
        <v>4591</v>
      </c>
      <c r="AD57" s="9" t="s">
        <v>5329</v>
      </c>
      <c r="AE57" t="str">
        <f t="shared" si="0"/>
        <v>Medium</v>
      </c>
      <c r="AF57">
        <f>IF($A57="","",IFERROR(VLOOKUP($B57,_CONFIG_Risk_Calibration!$A$5:$H$21,2,FALSE),3))</f>
        <v>3</v>
      </c>
      <c r="AG57">
        <f>IF($A57="","",IFERROR(VLOOKUP($B57,_CONFIG_Risk_Calibration!$A$5:$H$21,3,FALSE),0))</f>
        <v>0</v>
      </c>
      <c r="AH57">
        <f>IF($A57="","",IFERROR(VLOOKUP($B57,_CONFIG_Risk_Calibration!$A$5:$H$21,4,FALSE),3))</f>
        <v>3</v>
      </c>
      <c r="AI57">
        <f>IF($A57="","",IFERROR(VLOOKUP($B57,_CONFIG_Risk_Calibration!$A$5:$H$21,5,FALSE),3))</f>
        <v>4</v>
      </c>
      <c r="AJ57" t="str">
        <f>IF($A57="","",IFERROR(VLOOKUP($B57,_CONFIG_Risk_Calibration!$A$5:$H$21,6,FALSE),"No"))</f>
        <v>Yes</v>
      </c>
      <c r="AK57">
        <f>IF($A57="","",IFERROR(VLOOKUP($B57,_CONFIG_Risk_Calibration!$A$5:$H$21,7,FALSE),1))</f>
        <v>4</v>
      </c>
      <c r="AL57" t="str">
        <f>IF($A57="","",IFERROR(VLOOKUP($B57,_CONFIG_Risk_Calibration!$A$5:$H$21,8,FALSE),""))</f>
        <v>Clean template default. Calibrate with real exposure, incident history, evidence quality and domain-owner validation.</v>
      </c>
      <c r="AM57">
        <f>IF($A57="","",IFERROR(INDEX(_DATA_Assessment_Model!$AL$1:$AL$428,MATCH($A57,_DATA_Assessment_Model!$A$1:$A$428,0)),""))</f>
        <v>0</v>
      </c>
      <c r="AN57">
        <f t="shared" si="1"/>
        <v>1</v>
      </c>
      <c r="AO57">
        <f>IF($A57="","",_CONFIG_Model_Settings!$B$172*MAX(N($AK57),(N($AF57)+N($AI57))/2))</f>
        <v>80</v>
      </c>
      <c r="AP57">
        <f t="shared" si="2"/>
        <v>80</v>
      </c>
      <c r="AQ57">
        <f>IF($AP57="","",MAX(0,$AP57*(1-(_CONFIG_Model_Settings!$B$173+_CONFIG_Model_Settings!$B$174*(N($AH57)-1)))))</f>
        <v>52</v>
      </c>
      <c r="AR57">
        <f>IF($AP57="","",MIN(100,$AP57*(1+(_CONFIG_Model_Settings!$B$173+_CONFIG_Model_Settings!$B$174*(N($AH57)-1)))))</f>
        <v>100</v>
      </c>
    </row>
    <row r="58" spans="1:44" ht="60" customHeight="1">
      <c r="A58" s="9" t="s">
        <v>1187</v>
      </c>
      <c r="B58" s="9" t="s">
        <v>1150</v>
      </c>
      <c r="C58" s="9" t="s">
        <v>1161</v>
      </c>
      <c r="D58" s="9" t="s">
        <v>3681</v>
      </c>
      <c r="E58" s="9" t="s">
        <v>1188</v>
      </c>
      <c r="F58" s="9" t="s">
        <v>5330</v>
      </c>
      <c r="G58" s="9" t="s">
        <v>5331</v>
      </c>
      <c r="H58" s="9" t="s">
        <v>5332</v>
      </c>
      <c r="I58" s="9" t="s">
        <v>5333</v>
      </c>
      <c r="J58" s="9" t="s">
        <v>5334</v>
      </c>
      <c r="K58" s="9" t="s">
        <v>5335</v>
      </c>
      <c r="L58" s="9" t="s">
        <v>5336</v>
      </c>
      <c r="M58" s="9" t="s">
        <v>5337</v>
      </c>
      <c r="N58" s="9" t="s">
        <v>5338</v>
      </c>
      <c r="O58" s="9" t="s">
        <v>5339</v>
      </c>
      <c r="P58" s="9" t="s">
        <v>5340</v>
      </c>
      <c r="Q58" s="9" t="s">
        <v>5341</v>
      </c>
      <c r="R58" s="9" t="s">
        <v>4589</v>
      </c>
      <c r="S58" s="9" t="s">
        <v>5342</v>
      </c>
      <c r="T58" s="9">
        <v>3</v>
      </c>
      <c r="U58" s="9">
        <v>3</v>
      </c>
      <c r="V58" s="9">
        <v>2</v>
      </c>
      <c r="W58" s="9">
        <v>2</v>
      </c>
      <c r="X58" s="9">
        <v>1</v>
      </c>
      <c r="Y58" s="9">
        <v>1</v>
      </c>
      <c r="Z58" s="9" t="s">
        <v>1155</v>
      </c>
      <c r="AA58" s="9" t="s">
        <v>1189</v>
      </c>
      <c r="AB58" s="9" t="s">
        <v>1157</v>
      </c>
      <c r="AC58" s="9" t="s">
        <v>4591</v>
      </c>
      <c r="AD58" s="9" t="s">
        <v>5343</v>
      </c>
      <c r="AE58" t="str">
        <f t="shared" si="0"/>
        <v>Medium</v>
      </c>
      <c r="AF58">
        <f>IF($A58="","",IFERROR(VLOOKUP($B58,_CONFIG_Risk_Calibration!$A$5:$H$21,2,FALSE),3))</f>
        <v>3</v>
      </c>
      <c r="AG58">
        <f>IF($A58="","",IFERROR(VLOOKUP($B58,_CONFIG_Risk_Calibration!$A$5:$H$21,3,FALSE),0))</f>
        <v>0</v>
      </c>
      <c r="AH58">
        <f>IF($A58="","",IFERROR(VLOOKUP($B58,_CONFIG_Risk_Calibration!$A$5:$H$21,4,FALSE),3))</f>
        <v>3</v>
      </c>
      <c r="AI58">
        <f>IF($A58="","",IFERROR(VLOOKUP($B58,_CONFIG_Risk_Calibration!$A$5:$H$21,5,FALSE),3))</f>
        <v>4</v>
      </c>
      <c r="AJ58" t="str">
        <f>IF($A58="","",IFERROR(VLOOKUP($B58,_CONFIG_Risk_Calibration!$A$5:$H$21,6,FALSE),"No"))</f>
        <v>Yes</v>
      </c>
      <c r="AK58">
        <f>IF($A58="","",IFERROR(VLOOKUP($B58,_CONFIG_Risk_Calibration!$A$5:$H$21,7,FALSE),1))</f>
        <v>4</v>
      </c>
      <c r="AL58" t="str">
        <f>IF($A58="","",IFERROR(VLOOKUP($B58,_CONFIG_Risk_Calibration!$A$5:$H$21,8,FALSE),""))</f>
        <v>Clean template default. Calibrate with real exposure, incident history, evidence quality and domain-owner validation.</v>
      </c>
      <c r="AM58">
        <f>IF($A58="","",IFERROR(INDEX(_DATA_Assessment_Model!$AL$1:$AL$428,MATCH($A58,_DATA_Assessment_Model!$A$1:$A$428,0)),""))</f>
        <v>0</v>
      </c>
      <c r="AN58">
        <f t="shared" si="1"/>
        <v>1</v>
      </c>
      <c r="AO58">
        <f>IF($A58="","",_CONFIG_Model_Settings!$B$172*MAX(N($AK58),(N($AF58)+N($AI58))/2))</f>
        <v>80</v>
      </c>
      <c r="AP58">
        <f t="shared" si="2"/>
        <v>80</v>
      </c>
      <c r="AQ58">
        <f>IF($AP58="","",MAX(0,$AP58*(1-(_CONFIG_Model_Settings!$B$173+_CONFIG_Model_Settings!$B$174*(N($AH58)-1)))))</f>
        <v>52</v>
      </c>
      <c r="AR58">
        <f>IF($AP58="","",MIN(100,$AP58*(1+(_CONFIG_Model_Settings!$B$173+_CONFIG_Model_Settings!$B$174*(N($AH58)-1)))))</f>
        <v>100</v>
      </c>
    </row>
    <row r="59" spans="1:44" ht="60" customHeight="1">
      <c r="A59" s="9" t="s">
        <v>1190</v>
      </c>
      <c r="B59" s="9" t="s">
        <v>1150</v>
      </c>
      <c r="C59" s="9" t="s">
        <v>1161</v>
      </c>
      <c r="D59" s="9" t="s">
        <v>3681</v>
      </c>
      <c r="E59" s="9" t="s">
        <v>1191</v>
      </c>
      <c r="F59" s="9" t="s">
        <v>5344</v>
      </c>
      <c r="G59" s="9" t="s">
        <v>5345</v>
      </c>
      <c r="H59" s="9" t="s">
        <v>5346</v>
      </c>
      <c r="I59" s="9" t="s">
        <v>5347</v>
      </c>
      <c r="J59" s="9" t="s">
        <v>5348</v>
      </c>
      <c r="K59" s="9" t="s">
        <v>5349</v>
      </c>
      <c r="L59" s="9" t="s">
        <v>5350</v>
      </c>
      <c r="M59" s="9" t="s">
        <v>5351</v>
      </c>
      <c r="N59" s="9" t="s">
        <v>5352</v>
      </c>
      <c r="O59" s="9" t="s">
        <v>5353</v>
      </c>
      <c r="P59" s="9" t="s">
        <v>5354</v>
      </c>
      <c r="Q59" s="9" t="s">
        <v>5355</v>
      </c>
      <c r="R59" s="9" t="s">
        <v>4589</v>
      </c>
      <c r="S59" s="9" t="s">
        <v>5356</v>
      </c>
      <c r="T59" s="9">
        <v>3</v>
      </c>
      <c r="U59" s="9">
        <v>3</v>
      </c>
      <c r="V59" s="9">
        <v>2</v>
      </c>
      <c r="W59" s="9">
        <v>2</v>
      </c>
      <c r="X59" s="9">
        <v>1</v>
      </c>
      <c r="Y59" s="9">
        <v>1</v>
      </c>
      <c r="Z59" s="9" t="s">
        <v>1155</v>
      </c>
      <c r="AA59" s="9" t="s">
        <v>1192</v>
      </c>
      <c r="AB59" s="9" t="s">
        <v>1157</v>
      </c>
      <c r="AC59" s="9" t="s">
        <v>4591</v>
      </c>
      <c r="AD59" s="9" t="s">
        <v>5357</v>
      </c>
      <c r="AE59" t="str">
        <f t="shared" si="0"/>
        <v>Medium</v>
      </c>
      <c r="AF59">
        <f>IF($A59="","",IFERROR(VLOOKUP($B59,_CONFIG_Risk_Calibration!$A$5:$H$21,2,FALSE),3))</f>
        <v>3</v>
      </c>
      <c r="AG59">
        <f>IF($A59="","",IFERROR(VLOOKUP($B59,_CONFIG_Risk_Calibration!$A$5:$H$21,3,FALSE),0))</f>
        <v>0</v>
      </c>
      <c r="AH59">
        <f>IF($A59="","",IFERROR(VLOOKUP($B59,_CONFIG_Risk_Calibration!$A$5:$H$21,4,FALSE),3))</f>
        <v>3</v>
      </c>
      <c r="AI59">
        <f>IF($A59="","",IFERROR(VLOOKUP($B59,_CONFIG_Risk_Calibration!$A$5:$H$21,5,FALSE),3))</f>
        <v>4</v>
      </c>
      <c r="AJ59" t="str">
        <f>IF($A59="","",IFERROR(VLOOKUP($B59,_CONFIG_Risk_Calibration!$A$5:$H$21,6,FALSE),"No"))</f>
        <v>Yes</v>
      </c>
      <c r="AK59">
        <f>IF($A59="","",IFERROR(VLOOKUP($B59,_CONFIG_Risk_Calibration!$A$5:$H$21,7,FALSE),1))</f>
        <v>4</v>
      </c>
      <c r="AL59" t="str">
        <f>IF($A59="","",IFERROR(VLOOKUP($B59,_CONFIG_Risk_Calibration!$A$5:$H$21,8,FALSE),""))</f>
        <v>Clean template default. Calibrate with real exposure, incident history, evidence quality and domain-owner validation.</v>
      </c>
      <c r="AM59">
        <f>IF($A59="","",IFERROR(INDEX(_DATA_Assessment_Model!$AL$1:$AL$428,MATCH($A59,_DATA_Assessment_Model!$A$1:$A$428,0)),""))</f>
        <v>0</v>
      </c>
      <c r="AN59">
        <f t="shared" si="1"/>
        <v>1</v>
      </c>
      <c r="AO59">
        <f>IF($A59="","",_CONFIG_Model_Settings!$B$172*MAX(N($AK59),(N($AF59)+N($AI59))/2))</f>
        <v>80</v>
      </c>
      <c r="AP59">
        <f t="shared" si="2"/>
        <v>80</v>
      </c>
      <c r="AQ59">
        <f>IF($AP59="","",MAX(0,$AP59*(1-(_CONFIG_Model_Settings!$B$173+_CONFIG_Model_Settings!$B$174*(N($AH59)-1)))))</f>
        <v>52</v>
      </c>
      <c r="AR59">
        <f>IF($AP59="","",MIN(100,$AP59*(1+(_CONFIG_Model_Settings!$B$173+_CONFIG_Model_Settings!$B$174*(N($AH59)-1)))))</f>
        <v>100</v>
      </c>
    </row>
    <row r="60" spans="1:44" ht="72" customHeight="1">
      <c r="A60" s="9" t="s">
        <v>1193</v>
      </c>
      <c r="B60" s="9" t="s">
        <v>1150</v>
      </c>
      <c r="C60" s="9" t="s">
        <v>1161</v>
      </c>
      <c r="D60" s="9" t="s">
        <v>3681</v>
      </c>
      <c r="E60" s="9" t="s">
        <v>1194</v>
      </c>
      <c r="F60" s="9" t="s">
        <v>5358</v>
      </c>
      <c r="G60" s="9" t="s">
        <v>5359</v>
      </c>
      <c r="H60" s="9" t="s">
        <v>5360</v>
      </c>
      <c r="I60" s="9" t="s">
        <v>5361</v>
      </c>
      <c r="J60" s="9" t="s">
        <v>5362</v>
      </c>
      <c r="K60" s="9" t="s">
        <v>5363</v>
      </c>
      <c r="L60" s="9" t="s">
        <v>5364</v>
      </c>
      <c r="M60" s="9" t="s">
        <v>5365</v>
      </c>
      <c r="N60" s="9" t="s">
        <v>5366</v>
      </c>
      <c r="O60" s="9" t="s">
        <v>5367</v>
      </c>
      <c r="P60" s="9" t="s">
        <v>5368</v>
      </c>
      <c r="Q60" s="9" t="s">
        <v>5369</v>
      </c>
      <c r="R60" s="9" t="s">
        <v>4589</v>
      </c>
      <c r="S60" s="9" t="s">
        <v>5370</v>
      </c>
      <c r="T60" s="9">
        <v>3</v>
      </c>
      <c r="U60" s="9">
        <v>3</v>
      </c>
      <c r="V60" s="9">
        <v>2</v>
      </c>
      <c r="W60" s="9">
        <v>2</v>
      </c>
      <c r="X60" s="9">
        <v>1</v>
      </c>
      <c r="Y60" s="9">
        <v>1</v>
      </c>
      <c r="Z60" s="9" t="s">
        <v>1155</v>
      </c>
      <c r="AA60" s="9" t="s">
        <v>1195</v>
      </c>
      <c r="AB60" s="9" t="s">
        <v>1157</v>
      </c>
      <c r="AC60" s="9" t="s">
        <v>4591</v>
      </c>
      <c r="AD60" s="9" t="s">
        <v>5371</v>
      </c>
      <c r="AE60" t="str">
        <f t="shared" si="0"/>
        <v>Medium</v>
      </c>
      <c r="AF60">
        <f>IF($A60="","",IFERROR(VLOOKUP($B60,_CONFIG_Risk_Calibration!$A$5:$H$21,2,FALSE),3))</f>
        <v>3</v>
      </c>
      <c r="AG60">
        <f>IF($A60="","",IFERROR(VLOOKUP($B60,_CONFIG_Risk_Calibration!$A$5:$H$21,3,FALSE),0))</f>
        <v>0</v>
      </c>
      <c r="AH60">
        <f>IF($A60="","",IFERROR(VLOOKUP($B60,_CONFIG_Risk_Calibration!$A$5:$H$21,4,FALSE),3))</f>
        <v>3</v>
      </c>
      <c r="AI60">
        <f>IF($A60="","",IFERROR(VLOOKUP($B60,_CONFIG_Risk_Calibration!$A$5:$H$21,5,FALSE),3))</f>
        <v>4</v>
      </c>
      <c r="AJ60" t="str">
        <f>IF($A60="","",IFERROR(VLOOKUP($B60,_CONFIG_Risk_Calibration!$A$5:$H$21,6,FALSE),"No"))</f>
        <v>Yes</v>
      </c>
      <c r="AK60">
        <f>IF($A60="","",IFERROR(VLOOKUP($B60,_CONFIG_Risk_Calibration!$A$5:$H$21,7,FALSE),1))</f>
        <v>4</v>
      </c>
      <c r="AL60" t="str">
        <f>IF($A60="","",IFERROR(VLOOKUP($B60,_CONFIG_Risk_Calibration!$A$5:$H$21,8,FALSE),""))</f>
        <v>Clean template default. Calibrate with real exposure, incident history, evidence quality and domain-owner validation.</v>
      </c>
      <c r="AM60">
        <f>IF($A60="","",IFERROR(INDEX(_DATA_Assessment_Model!$AL$1:$AL$428,MATCH($A60,_DATA_Assessment_Model!$A$1:$A$428,0)),""))</f>
        <v>0</v>
      </c>
      <c r="AN60">
        <f t="shared" si="1"/>
        <v>1</v>
      </c>
      <c r="AO60">
        <f>IF($A60="","",_CONFIG_Model_Settings!$B$172*MAX(N($AK60),(N($AF60)+N($AI60))/2))</f>
        <v>80</v>
      </c>
      <c r="AP60">
        <f t="shared" si="2"/>
        <v>80</v>
      </c>
      <c r="AQ60">
        <f>IF($AP60="","",MAX(0,$AP60*(1-(_CONFIG_Model_Settings!$B$173+_CONFIG_Model_Settings!$B$174*(N($AH60)-1)))))</f>
        <v>52</v>
      </c>
      <c r="AR60">
        <f>IF($AP60="","",MIN(100,$AP60*(1+(_CONFIG_Model_Settings!$B$173+_CONFIG_Model_Settings!$B$174*(N($AH60)-1)))))</f>
        <v>100</v>
      </c>
    </row>
    <row r="61" spans="1:44" ht="72" customHeight="1">
      <c r="A61" s="9" t="s">
        <v>1196</v>
      </c>
      <c r="B61" s="9" t="s">
        <v>1150</v>
      </c>
      <c r="C61" s="9" t="s">
        <v>1161</v>
      </c>
      <c r="D61" s="9" t="s">
        <v>3681</v>
      </c>
      <c r="E61" s="9" t="s">
        <v>1197</v>
      </c>
      <c r="F61" s="9" t="s">
        <v>5372</v>
      </c>
      <c r="G61" s="9" t="s">
        <v>5373</v>
      </c>
      <c r="H61" s="9" t="s">
        <v>5374</v>
      </c>
      <c r="I61" s="9" t="s">
        <v>5375</v>
      </c>
      <c r="J61" s="9" t="s">
        <v>5376</v>
      </c>
      <c r="K61" s="9" t="s">
        <v>5377</v>
      </c>
      <c r="L61" s="9" t="s">
        <v>5378</v>
      </c>
      <c r="M61" s="9" t="s">
        <v>5379</v>
      </c>
      <c r="N61" s="9" t="s">
        <v>5380</v>
      </c>
      <c r="O61" s="9" t="s">
        <v>5381</v>
      </c>
      <c r="P61" s="9" t="s">
        <v>5382</v>
      </c>
      <c r="Q61" s="9" t="s">
        <v>5383</v>
      </c>
      <c r="R61" s="9" t="s">
        <v>4589</v>
      </c>
      <c r="S61" s="9" t="s">
        <v>5384</v>
      </c>
      <c r="T61" s="9">
        <v>3</v>
      </c>
      <c r="U61" s="9">
        <v>3</v>
      </c>
      <c r="V61" s="9">
        <v>2</v>
      </c>
      <c r="W61" s="9">
        <v>2</v>
      </c>
      <c r="X61" s="9">
        <v>1</v>
      </c>
      <c r="Y61" s="9">
        <v>1</v>
      </c>
      <c r="Z61" s="9" t="s">
        <v>1155</v>
      </c>
      <c r="AA61" s="9" t="s">
        <v>1198</v>
      </c>
      <c r="AB61" s="9" t="s">
        <v>1157</v>
      </c>
      <c r="AC61" s="9" t="s">
        <v>4591</v>
      </c>
      <c r="AD61" s="9" t="s">
        <v>5385</v>
      </c>
      <c r="AE61" t="str">
        <f t="shared" si="0"/>
        <v>Medium</v>
      </c>
      <c r="AF61">
        <f>IF($A61="","",IFERROR(VLOOKUP($B61,_CONFIG_Risk_Calibration!$A$5:$H$21,2,FALSE),3))</f>
        <v>3</v>
      </c>
      <c r="AG61">
        <f>IF($A61="","",IFERROR(VLOOKUP($B61,_CONFIG_Risk_Calibration!$A$5:$H$21,3,FALSE),0))</f>
        <v>0</v>
      </c>
      <c r="AH61">
        <f>IF($A61="","",IFERROR(VLOOKUP($B61,_CONFIG_Risk_Calibration!$A$5:$H$21,4,FALSE),3))</f>
        <v>3</v>
      </c>
      <c r="AI61">
        <f>IF($A61="","",IFERROR(VLOOKUP($B61,_CONFIG_Risk_Calibration!$A$5:$H$21,5,FALSE),3))</f>
        <v>4</v>
      </c>
      <c r="AJ61" t="str">
        <f>IF($A61="","",IFERROR(VLOOKUP($B61,_CONFIG_Risk_Calibration!$A$5:$H$21,6,FALSE),"No"))</f>
        <v>Yes</v>
      </c>
      <c r="AK61">
        <f>IF($A61="","",IFERROR(VLOOKUP($B61,_CONFIG_Risk_Calibration!$A$5:$H$21,7,FALSE),1))</f>
        <v>4</v>
      </c>
      <c r="AL61" t="str">
        <f>IF($A61="","",IFERROR(VLOOKUP($B61,_CONFIG_Risk_Calibration!$A$5:$H$21,8,FALSE),""))</f>
        <v>Clean template default. Calibrate with real exposure, incident history, evidence quality and domain-owner validation.</v>
      </c>
      <c r="AM61">
        <f>IF($A61="","",IFERROR(INDEX(_DATA_Assessment_Model!$AL$1:$AL$428,MATCH($A61,_DATA_Assessment_Model!$A$1:$A$428,0)),""))</f>
        <v>0</v>
      </c>
      <c r="AN61">
        <f t="shared" si="1"/>
        <v>1</v>
      </c>
      <c r="AO61">
        <f>IF($A61="","",_CONFIG_Model_Settings!$B$172*MAX(N($AK61),(N($AF61)+N($AI61))/2))</f>
        <v>80</v>
      </c>
      <c r="AP61">
        <f t="shared" si="2"/>
        <v>80</v>
      </c>
      <c r="AQ61">
        <f>IF($AP61="","",MAX(0,$AP61*(1-(_CONFIG_Model_Settings!$B$173+_CONFIG_Model_Settings!$B$174*(N($AH61)-1)))))</f>
        <v>52</v>
      </c>
      <c r="AR61">
        <f>IF($AP61="","",MIN(100,$AP61*(1+(_CONFIG_Model_Settings!$B$173+_CONFIG_Model_Settings!$B$174*(N($AH61)-1)))))</f>
        <v>100</v>
      </c>
    </row>
    <row r="62" spans="1:44" ht="60" customHeight="1">
      <c r="A62" s="9" t="s">
        <v>1199</v>
      </c>
      <c r="B62" s="9" t="s">
        <v>1150</v>
      </c>
      <c r="C62" s="9" t="s">
        <v>1161</v>
      </c>
      <c r="D62" s="9" t="s">
        <v>3681</v>
      </c>
      <c r="E62" s="9" t="s">
        <v>1200</v>
      </c>
      <c r="F62" s="9" t="s">
        <v>5386</v>
      </c>
      <c r="G62" s="9" t="s">
        <v>5387</v>
      </c>
      <c r="H62" s="9" t="s">
        <v>5388</v>
      </c>
      <c r="I62" s="9" t="s">
        <v>5389</v>
      </c>
      <c r="J62" s="9" t="s">
        <v>5390</v>
      </c>
      <c r="K62" s="9" t="s">
        <v>5391</v>
      </c>
      <c r="L62" s="9" t="s">
        <v>5392</v>
      </c>
      <c r="M62" s="9" t="s">
        <v>5393</v>
      </c>
      <c r="N62" s="9" t="s">
        <v>5394</v>
      </c>
      <c r="O62" s="9" t="s">
        <v>5395</v>
      </c>
      <c r="P62" s="9" t="s">
        <v>5396</v>
      </c>
      <c r="Q62" s="9" t="s">
        <v>5397</v>
      </c>
      <c r="R62" s="9" t="s">
        <v>4589</v>
      </c>
      <c r="S62" s="9" t="s">
        <v>5398</v>
      </c>
      <c r="T62" s="9">
        <v>3</v>
      </c>
      <c r="U62" s="9">
        <v>3</v>
      </c>
      <c r="V62" s="9">
        <v>2</v>
      </c>
      <c r="W62" s="9">
        <v>2</v>
      </c>
      <c r="X62" s="9">
        <v>1</v>
      </c>
      <c r="Y62" s="9">
        <v>1</v>
      </c>
      <c r="Z62" s="9" t="s">
        <v>1155</v>
      </c>
      <c r="AA62" s="9" t="s">
        <v>1201</v>
      </c>
      <c r="AB62" s="9" t="s">
        <v>1157</v>
      </c>
      <c r="AC62" s="9" t="s">
        <v>4591</v>
      </c>
      <c r="AD62" s="9" t="s">
        <v>5399</v>
      </c>
      <c r="AE62" t="str">
        <f t="shared" si="0"/>
        <v>Medium</v>
      </c>
      <c r="AF62">
        <f>IF($A62="","",IFERROR(VLOOKUP($B62,_CONFIG_Risk_Calibration!$A$5:$H$21,2,FALSE),3))</f>
        <v>3</v>
      </c>
      <c r="AG62">
        <f>IF($A62="","",IFERROR(VLOOKUP($B62,_CONFIG_Risk_Calibration!$A$5:$H$21,3,FALSE),0))</f>
        <v>0</v>
      </c>
      <c r="AH62">
        <f>IF($A62="","",IFERROR(VLOOKUP($B62,_CONFIG_Risk_Calibration!$A$5:$H$21,4,FALSE),3))</f>
        <v>3</v>
      </c>
      <c r="AI62">
        <f>IF($A62="","",IFERROR(VLOOKUP($B62,_CONFIG_Risk_Calibration!$A$5:$H$21,5,FALSE),3))</f>
        <v>4</v>
      </c>
      <c r="AJ62" t="str">
        <f>IF($A62="","",IFERROR(VLOOKUP($B62,_CONFIG_Risk_Calibration!$A$5:$H$21,6,FALSE),"No"))</f>
        <v>Yes</v>
      </c>
      <c r="AK62">
        <f>IF($A62="","",IFERROR(VLOOKUP($B62,_CONFIG_Risk_Calibration!$A$5:$H$21,7,FALSE),1))</f>
        <v>4</v>
      </c>
      <c r="AL62" t="str">
        <f>IF($A62="","",IFERROR(VLOOKUP($B62,_CONFIG_Risk_Calibration!$A$5:$H$21,8,FALSE),""))</f>
        <v>Clean template default. Calibrate with real exposure, incident history, evidence quality and domain-owner validation.</v>
      </c>
      <c r="AM62">
        <f>IF($A62="","",IFERROR(INDEX(_DATA_Assessment_Model!$AL$1:$AL$428,MATCH($A62,_DATA_Assessment_Model!$A$1:$A$428,0)),""))</f>
        <v>0</v>
      </c>
      <c r="AN62">
        <f t="shared" si="1"/>
        <v>1</v>
      </c>
      <c r="AO62">
        <f>IF($A62="","",_CONFIG_Model_Settings!$B$172*MAX(N($AK62),(N($AF62)+N($AI62))/2))</f>
        <v>80</v>
      </c>
      <c r="AP62">
        <f t="shared" si="2"/>
        <v>80</v>
      </c>
      <c r="AQ62">
        <f>IF($AP62="","",MAX(0,$AP62*(1-(_CONFIG_Model_Settings!$B$173+_CONFIG_Model_Settings!$B$174*(N($AH62)-1)))))</f>
        <v>52</v>
      </c>
      <c r="AR62">
        <f>IF($AP62="","",MIN(100,$AP62*(1+(_CONFIG_Model_Settings!$B$173+_CONFIG_Model_Settings!$B$174*(N($AH62)-1)))))</f>
        <v>100</v>
      </c>
    </row>
    <row r="63" spans="1:44" ht="60" customHeight="1">
      <c r="A63" s="9" t="s">
        <v>1208</v>
      </c>
      <c r="B63" s="9" t="s">
        <v>1150</v>
      </c>
      <c r="C63" s="9" t="s">
        <v>1165</v>
      </c>
      <c r="D63" s="9" t="s">
        <v>3681</v>
      </c>
      <c r="E63" s="9" t="s">
        <v>1209</v>
      </c>
      <c r="F63" s="9" t="s">
        <v>5400</v>
      </c>
      <c r="G63" s="9" t="s">
        <v>5401</v>
      </c>
      <c r="H63" s="9" t="s">
        <v>5402</v>
      </c>
      <c r="I63" s="9" t="s">
        <v>5403</v>
      </c>
      <c r="J63" s="9" t="s">
        <v>5404</v>
      </c>
      <c r="K63" s="9" t="s">
        <v>5405</v>
      </c>
      <c r="L63" s="9" t="s">
        <v>5406</v>
      </c>
      <c r="M63" s="9" t="s">
        <v>5407</v>
      </c>
      <c r="N63" s="9" t="s">
        <v>5408</v>
      </c>
      <c r="O63" s="9" t="s">
        <v>5409</v>
      </c>
      <c r="P63" s="9" t="s">
        <v>5410</v>
      </c>
      <c r="Q63" s="9" t="s">
        <v>5411</v>
      </c>
      <c r="R63" s="9" t="s">
        <v>4589</v>
      </c>
      <c r="S63" s="9" t="s">
        <v>5412</v>
      </c>
      <c r="T63" s="9">
        <v>3</v>
      </c>
      <c r="U63" s="9">
        <v>3</v>
      </c>
      <c r="V63" s="9">
        <v>2</v>
      </c>
      <c r="W63" s="9">
        <v>2</v>
      </c>
      <c r="X63" s="9">
        <v>1</v>
      </c>
      <c r="Y63" s="9">
        <v>1</v>
      </c>
      <c r="Z63" s="9" t="s">
        <v>1155</v>
      </c>
      <c r="AA63" s="9" t="s">
        <v>1210</v>
      </c>
      <c r="AB63" s="9" t="s">
        <v>1157</v>
      </c>
      <c r="AC63" s="9" t="s">
        <v>4591</v>
      </c>
      <c r="AD63" s="9" t="s">
        <v>5413</v>
      </c>
      <c r="AE63" t="str">
        <f t="shared" si="0"/>
        <v>Medium</v>
      </c>
      <c r="AF63">
        <f>IF($A63="","",IFERROR(VLOOKUP($B63,_CONFIG_Risk_Calibration!$A$5:$H$21,2,FALSE),3))</f>
        <v>3</v>
      </c>
      <c r="AG63">
        <f>IF($A63="","",IFERROR(VLOOKUP($B63,_CONFIG_Risk_Calibration!$A$5:$H$21,3,FALSE),0))</f>
        <v>0</v>
      </c>
      <c r="AH63">
        <f>IF($A63="","",IFERROR(VLOOKUP($B63,_CONFIG_Risk_Calibration!$A$5:$H$21,4,FALSE),3))</f>
        <v>3</v>
      </c>
      <c r="AI63">
        <f>IF($A63="","",IFERROR(VLOOKUP($B63,_CONFIG_Risk_Calibration!$A$5:$H$21,5,FALSE),3))</f>
        <v>4</v>
      </c>
      <c r="AJ63" t="str">
        <f>IF($A63="","",IFERROR(VLOOKUP($B63,_CONFIG_Risk_Calibration!$A$5:$H$21,6,FALSE),"No"))</f>
        <v>Yes</v>
      </c>
      <c r="AK63">
        <f>IF($A63="","",IFERROR(VLOOKUP($B63,_CONFIG_Risk_Calibration!$A$5:$H$21,7,FALSE),1))</f>
        <v>4</v>
      </c>
      <c r="AL63" t="str">
        <f>IF($A63="","",IFERROR(VLOOKUP($B63,_CONFIG_Risk_Calibration!$A$5:$H$21,8,FALSE),""))</f>
        <v>Clean template default. Calibrate with real exposure, incident history, evidence quality and domain-owner validation.</v>
      </c>
      <c r="AM63">
        <f>IF($A63="","",IFERROR(INDEX(_DATA_Assessment_Model!$AL$1:$AL$428,MATCH($A63,_DATA_Assessment_Model!$A$1:$A$428,0)),""))</f>
        <v>0</v>
      </c>
      <c r="AN63">
        <f t="shared" si="1"/>
        <v>1</v>
      </c>
      <c r="AO63">
        <f>IF($A63="","",_CONFIG_Model_Settings!$B$172*MAX(N($AK63),(N($AF63)+N($AI63))/2))</f>
        <v>80</v>
      </c>
      <c r="AP63">
        <f t="shared" si="2"/>
        <v>80</v>
      </c>
      <c r="AQ63">
        <f>IF($AP63="","",MAX(0,$AP63*(1-(_CONFIG_Model_Settings!$B$173+_CONFIG_Model_Settings!$B$174*(N($AH63)-1)))))</f>
        <v>52</v>
      </c>
      <c r="AR63">
        <f>IF($AP63="","",MIN(100,$AP63*(1+(_CONFIG_Model_Settings!$B$173+_CONFIG_Model_Settings!$B$174*(N($AH63)-1)))))</f>
        <v>100</v>
      </c>
    </row>
    <row r="64" spans="1:44" ht="60" customHeight="1">
      <c r="A64" s="9" t="s">
        <v>1211</v>
      </c>
      <c r="B64" s="9" t="s">
        <v>1150</v>
      </c>
      <c r="C64" s="9" t="s">
        <v>1165</v>
      </c>
      <c r="D64" s="9" t="s">
        <v>3681</v>
      </c>
      <c r="E64" s="9" t="s">
        <v>1212</v>
      </c>
      <c r="F64" s="9" t="s">
        <v>5414</v>
      </c>
      <c r="G64" s="9" t="s">
        <v>5415</v>
      </c>
      <c r="H64" s="9" t="s">
        <v>5416</v>
      </c>
      <c r="I64" s="9" t="s">
        <v>5417</v>
      </c>
      <c r="J64" s="9" t="s">
        <v>5418</v>
      </c>
      <c r="K64" s="9" t="s">
        <v>5419</v>
      </c>
      <c r="L64" s="9" t="s">
        <v>5420</v>
      </c>
      <c r="M64" s="9" t="s">
        <v>5421</v>
      </c>
      <c r="N64" s="9" t="s">
        <v>5422</v>
      </c>
      <c r="O64" s="9" t="s">
        <v>5423</v>
      </c>
      <c r="P64" s="9" t="s">
        <v>5424</v>
      </c>
      <c r="Q64" s="9" t="s">
        <v>5425</v>
      </c>
      <c r="R64" s="9" t="s">
        <v>4589</v>
      </c>
      <c r="S64" s="9" t="s">
        <v>5426</v>
      </c>
      <c r="T64" s="9">
        <v>3</v>
      </c>
      <c r="U64" s="9">
        <v>3</v>
      </c>
      <c r="V64" s="9">
        <v>2</v>
      </c>
      <c r="W64" s="9">
        <v>2</v>
      </c>
      <c r="X64" s="9">
        <v>1</v>
      </c>
      <c r="Y64" s="9">
        <v>1</v>
      </c>
      <c r="Z64" s="9" t="s">
        <v>1155</v>
      </c>
      <c r="AA64" s="9" t="s">
        <v>1213</v>
      </c>
      <c r="AB64" s="9" t="s">
        <v>1157</v>
      </c>
      <c r="AC64" s="9" t="s">
        <v>4591</v>
      </c>
      <c r="AD64" s="9" t="s">
        <v>5427</v>
      </c>
      <c r="AE64" t="str">
        <f t="shared" si="0"/>
        <v>Medium</v>
      </c>
      <c r="AF64">
        <f>IF($A64="","",IFERROR(VLOOKUP($B64,_CONFIG_Risk_Calibration!$A$5:$H$21,2,FALSE),3))</f>
        <v>3</v>
      </c>
      <c r="AG64">
        <f>IF($A64="","",IFERROR(VLOOKUP($B64,_CONFIG_Risk_Calibration!$A$5:$H$21,3,FALSE),0))</f>
        <v>0</v>
      </c>
      <c r="AH64">
        <f>IF($A64="","",IFERROR(VLOOKUP($B64,_CONFIG_Risk_Calibration!$A$5:$H$21,4,FALSE),3))</f>
        <v>3</v>
      </c>
      <c r="AI64">
        <f>IF($A64="","",IFERROR(VLOOKUP($B64,_CONFIG_Risk_Calibration!$A$5:$H$21,5,FALSE),3))</f>
        <v>4</v>
      </c>
      <c r="AJ64" t="str">
        <f>IF($A64="","",IFERROR(VLOOKUP($B64,_CONFIG_Risk_Calibration!$A$5:$H$21,6,FALSE),"No"))</f>
        <v>Yes</v>
      </c>
      <c r="AK64">
        <f>IF($A64="","",IFERROR(VLOOKUP($B64,_CONFIG_Risk_Calibration!$A$5:$H$21,7,FALSE),1))</f>
        <v>4</v>
      </c>
      <c r="AL64" t="str">
        <f>IF($A64="","",IFERROR(VLOOKUP($B64,_CONFIG_Risk_Calibration!$A$5:$H$21,8,FALSE),""))</f>
        <v>Clean template default. Calibrate with real exposure, incident history, evidence quality and domain-owner validation.</v>
      </c>
      <c r="AM64">
        <f>IF($A64="","",IFERROR(INDEX(_DATA_Assessment_Model!$AL$1:$AL$428,MATCH($A64,_DATA_Assessment_Model!$A$1:$A$428,0)),""))</f>
        <v>0</v>
      </c>
      <c r="AN64">
        <f t="shared" si="1"/>
        <v>1</v>
      </c>
      <c r="AO64">
        <f>IF($A64="","",_CONFIG_Model_Settings!$B$172*MAX(N($AK64),(N($AF64)+N($AI64))/2))</f>
        <v>80</v>
      </c>
      <c r="AP64">
        <f t="shared" si="2"/>
        <v>80</v>
      </c>
      <c r="AQ64">
        <f>IF($AP64="","",MAX(0,$AP64*(1-(_CONFIG_Model_Settings!$B$173+_CONFIG_Model_Settings!$B$174*(N($AH64)-1)))))</f>
        <v>52</v>
      </c>
      <c r="AR64">
        <f>IF($AP64="","",MIN(100,$AP64*(1+(_CONFIG_Model_Settings!$B$173+_CONFIG_Model_Settings!$B$174*(N($AH64)-1)))))</f>
        <v>100</v>
      </c>
    </row>
    <row r="65" spans="1:44" ht="60" customHeight="1">
      <c r="A65" s="9" t="s">
        <v>1214</v>
      </c>
      <c r="B65" s="9" t="s">
        <v>1150</v>
      </c>
      <c r="C65" s="9" t="s">
        <v>1165</v>
      </c>
      <c r="D65" s="9" t="s">
        <v>3681</v>
      </c>
      <c r="E65" s="9" t="s">
        <v>1215</v>
      </c>
      <c r="F65" s="9" t="s">
        <v>5428</v>
      </c>
      <c r="G65" s="9" t="s">
        <v>5429</v>
      </c>
      <c r="H65" s="9" t="s">
        <v>5430</v>
      </c>
      <c r="I65" s="9" t="s">
        <v>5431</v>
      </c>
      <c r="J65" s="9" t="s">
        <v>5432</v>
      </c>
      <c r="K65" s="9" t="s">
        <v>5433</v>
      </c>
      <c r="L65" s="9" t="s">
        <v>5434</v>
      </c>
      <c r="M65" s="9" t="s">
        <v>5435</v>
      </c>
      <c r="N65" s="9" t="s">
        <v>5436</v>
      </c>
      <c r="O65" s="9" t="s">
        <v>5437</v>
      </c>
      <c r="P65" s="9" t="s">
        <v>5438</v>
      </c>
      <c r="Q65" s="9" t="s">
        <v>5439</v>
      </c>
      <c r="R65" s="9" t="s">
        <v>4589</v>
      </c>
      <c r="S65" s="9" t="s">
        <v>5440</v>
      </c>
      <c r="T65" s="9">
        <v>3</v>
      </c>
      <c r="U65" s="9">
        <v>3</v>
      </c>
      <c r="V65" s="9">
        <v>2</v>
      </c>
      <c r="W65" s="9">
        <v>2</v>
      </c>
      <c r="X65" s="9">
        <v>1</v>
      </c>
      <c r="Y65" s="9">
        <v>1</v>
      </c>
      <c r="Z65" s="9" t="s">
        <v>1155</v>
      </c>
      <c r="AA65" s="9" t="s">
        <v>1216</v>
      </c>
      <c r="AB65" s="9" t="s">
        <v>1157</v>
      </c>
      <c r="AC65" s="9" t="s">
        <v>4591</v>
      </c>
      <c r="AD65" s="9" t="s">
        <v>5441</v>
      </c>
      <c r="AE65" t="str">
        <f t="shared" si="0"/>
        <v>Medium</v>
      </c>
      <c r="AF65">
        <f>IF($A65="","",IFERROR(VLOOKUP($B65,_CONFIG_Risk_Calibration!$A$5:$H$21,2,FALSE),3))</f>
        <v>3</v>
      </c>
      <c r="AG65">
        <f>IF($A65="","",IFERROR(VLOOKUP($B65,_CONFIG_Risk_Calibration!$A$5:$H$21,3,FALSE),0))</f>
        <v>0</v>
      </c>
      <c r="AH65">
        <f>IF($A65="","",IFERROR(VLOOKUP($B65,_CONFIG_Risk_Calibration!$A$5:$H$21,4,FALSE),3))</f>
        <v>3</v>
      </c>
      <c r="AI65">
        <f>IF($A65="","",IFERROR(VLOOKUP($B65,_CONFIG_Risk_Calibration!$A$5:$H$21,5,FALSE),3))</f>
        <v>4</v>
      </c>
      <c r="AJ65" t="str">
        <f>IF($A65="","",IFERROR(VLOOKUP($B65,_CONFIG_Risk_Calibration!$A$5:$H$21,6,FALSE),"No"))</f>
        <v>Yes</v>
      </c>
      <c r="AK65">
        <f>IF($A65="","",IFERROR(VLOOKUP($B65,_CONFIG_Risk_Calibration!$A$5:$H$21,7,FALSE),1))</f>
        <v>4</v>
      </c>
      <c r="AL65" t="str">
        <f>IF($A65="","",IFERROR(VLOOKUP($B65,_CONFIG_Risk_Calibration!$A$5:$H$21,8,FALSE),""))</f>
        <v>Clean template default. Calibrate with real exposure, incident history, evidence quality and domain-owner validation.</v>
      </c>
      <c r="AM65">
        <f>IF($A65="","",IFERROR(INDEX(_DATA_Assessment_Model!$AL$1:$AL$428,MATCH($A65,_DATA_Assessment_Model!$A$1:$A$428,0)),""))</f>
        <v>0</v>
      </c>
      <c r="AN65">
        <f t="shared" si="1"/>
        <v>1</v>
      </c>
      <c r="AO65">
        <f>IF($A65="","",_CONFIG_Model_Settings!$B$172*MAX(N($AK65),(N($AF65)+N($AI65))/2))</f>
        <v>80</v>
      </c>
      <c r="AP65">
        <f t="shared" si="2"/>
        <v>80</v>
      </c>
      <c r="AQ65">
        <f>IF($AP65="","",MAX(0,$AP65*(1-(_CONFIG_Model_Settings!$B$173+_CONFIG_Model_Settings!$B$174*(N($AH65)-1)))))</f>
        <v>52</v>
      </c>
      <c r="AR65">
        <f>IF($AP65="","",MIN(100,$AP65*(1+(_CONFIG_Model_Settings!$B$173+_CONFIG_Model_Settings!$B$174*(N($AH65)-1)))))</f>
        <v>100</v>
      </c>
    </row>
    <row r="66" spans="1:44" ht="60" customHeight="1">
      <c r="A66" s="9" t="s">
        <v>1217</v>
      </c>
      <c r="B66" s="9" t="s">
        <v>1150</v>
      </c>
      <c r="C66" s="9" t="s">
        <v>1165</v>
      </c>
      <c r="D66" s="9" t="s">
        <v>3681</v>
      </c>
      <c r="E66" s="9" t="s">
        <v>1218</v>
      </c>
      <c r="F66" s="9" t="s">
        <v>5442</v>
      </c>
      <c r="G66" s="9" t="s">
        <v>5443</v>
      </c>
      <c r="H66" s="9" t="s">
        <v>5444</v>
      </c>
      <c r="I66" s="9" t="s">
        <v>5445</v>
      </c>
      <c r="J66" s="9" t="s">
        <v>5446</v>
      </c>
      <c r="K66" s="9" t="s">
        <v>5447</v>
      </c>
      <c r="L66" s="9" t="s">
        <v>5448</v>
      </c>
      <c r="M66" s="9" t="s">
        <v>5449</v>
      </c>
      <c r="N66" s="9" t="s">
        <v>5450</v>
      </c>
      <c r="O66" s="9" t="s">
        <v>5451</v>
      </c>
      <c r="P66" s="9" t="s">
        <v>5452</v>
      </c>
      <c r="Q66" s="9" t="s">
        <v>5453</v>
      </c>
      <c r="R66" s="9" t="s">
        <v>4589</v>
      </c>
      <c r="S66" s="9" t="s">
        <v>5454</v>
      </c>
      <c r="T66" s="9">
        <v>3</v>
      </c>
      <c r="U66" s="9">
        <v>3</v>
      </c>
      <c r="V66" s="9">
        <v>2</v>
      </c>
      <c r="W66" s="9">
        <v>2</v>
      </c>
      <c r="X66" s="9">
        <v>1</v>
      </c>
      <c r="Y66" s="9">
        <v>1</v>
      </c>
      <c r="Z66" s="9" t="s">
        <v>1155</v>
      </c>
      <c r="AA66" s="9" t="s">
        <v>1219</v>
      </c>
      <c r="AB66" s="9" t="s">
        <v>1157</v>
      </c>
      <c r="AC66" s="9" t="s">
        <v>4591</v>
      </c>
      <c r="AD66" s="9" t="s">
        <v>5455</v>
      </c>
      <c r="AE66" t="str">
        <f t="shared" si="0"/>
        <v>Medium</v>
      </c>
      <c r="AF66">
        <f>IF($A66="","",IFERROR(VLOOKUP($B66,_CONFIG_Risk_Calibration!$A$5:$H$21,2,FALSE),3))</f>
        <v>3</v>
      </c>
      <c r="AG66">
        <f>IF($A66="","",IFERROR(VLOOKUP($B66,_CONFIG_Risk_Calibration!$A$5:$H$21,3,FALSE),0))</f>
        <v>0</v>
      </c>
      <c r="AH66">
        <f>IF($A66="","",IFERROR(VLOOKUP($B66,_CONFIG_Risk_Calibration!$A$5:$H$21,4,FALSE),3))</f>
        <v>3</v>
      </c>
      <c r="AI66">
        <f>IF($A66="","",IFERROR(VLOOKUP($B66,_CONFIG_Risk_Calibration!$A$5:$H$21,5,FALSE),3))</f>
        <v>4</v>
      </c>
      <c r="AJ66" t="str">
        <f>IF($A66="","",IFERROR(VLOOKUP($B66,_CONFIG_Risk_Calibration!$A$5:$H$21,6,FALSE),"No"))</f>
        <v>Yes</v>
      </c>
      <c r="AK66">
        <f>IF($A66="","",IFERROR(VLOOKUP($B66,_CONFIG_Risk_Calibration!$A$5:$H$21,7,FALSE),1))</f>
        <v>4</v>
      </c>
      <c r="AL66" t="str">
        <f>IF($A66="","",IFERROR(VLOOKUP($B66,_CONFIG_Risk_Calibration!$A$5:$H$21,8,FALSE),""))</f>
        <v>Clean template default. Calibrate with real exposure, incident history, evidence quality and domain-owner validation.</v>
      </c>
      <c r="AM66">
        <f>IF($A66="","",IFERROR(INDEX(_DATA_Assessment_Model!$AL$1:$AL$428,MATCH($A66,_DATA_Assessment_Model!$A$1:$A$428,0)),""))</f>
        <v>0</v>
      </c>
      <c r="AN66">
        <f t="shared" si="1"/>
        <v>1</v>
      </c>
      <c r="AO66">
        <f>IF($A66="","",_CONFIG_Model_Settings!$B$172*MAX(N($AK66),(N($AF66)+N($AI66))/2))</f>
        <v>80</v>
      </c>
      <c r="AP66">
        <f t="shared" si="2"/>
        <v>80</v>
      </c>
      <c r="AQ66">
        <f>IF($AP66="","",MAX(0,$AP66*(1-(_CONFIG_Model_Settings!$B$173+_CONFIG_Model_Settings!$B$174*(N($AH66)-1)))))</f>
        <v>52</v>
      </c>
      <c r="AR66">
        <f>IF($AP66="","",MIN(100,$AP66*(1+(_CONFIG_Model_Settings!$B$173+_CONFIG_Model_Settings!$B$174*(N($AH66)-1)))))</f>
        <v>100</v>
      </c>
    </row>
    <row r="67" spans="1:44" ht="48" customHeight="1">
      <c r="A67" s="9" t="s">
        <v>1220</v>
      </c>
      <c r="B67" s="9" t="s">
        <v>1150</v>
      </c>
      <c r="C67" s="9" t="s">
        <v>1165</v>
      </c>
      <c r="D67" s="9" t="s">
        <v>3681</v>
      </c>
      <c r="E67" s="9" t="s">
        <v>1221</v>
      </c>
      <c r="F67" s="9" t="s">
        <v>5456</v>
      </c>
      <c r="G67" s="9" t="s">
        <v>5457</v>
      </c>
      <c r="H67" s="9" t="s">
        <v>5458</v>
      </c>
      <c r="I67" s="9" t="s">
        <v>5459</v>
      </c>
      <c r="J67" s="9" t="s">
        <v>5460</v>
      </c>
      <c r="K67" s="9" t="s">
        <v>5461</v>
      </c>
      <c r="L67" s="9" t="s">
        <v>5462</v>
      </c>
      <c r="M67" s="9" t="s">
        <v>5463</v>
      </c>
      <c r="N67" s="9" t="s">
        <v>5464</v>
      </c>
      <c r="O67" s="9" t="s">
        <v>5465</v>
      </c>
      <c r="P67" s="9" t="s">
        <v>5466</v>
      </c>
      <c r="Q67" s="9" t="s">
        <v>5467</v>
      </c>
      <c r="R67" s="9" t="s">
        <v>4589</v>
      </c>
      <c r="S67" s="9" t="s">
        <v>5468</v>
      </c>
      <c r="T67" s="9">
        <v>3</v>
      </c>
      <c r="U67" s="9">
        <v>3</v>
      </c>
      <c r="V67" s="9">
        <v>2</v>
      </c>
      <c r="W67" s="9">
        <v>2</v>
      </c>
      <c r="X67" s="9">
        <v>1</v>
      </c>
      <c r="Y67" s="9">
        <v>1</v>
      </c>
      <c r="Z67" s="9" t="s">
        <v>1155</v>
      </c>
      <c r="AA67" s="9" t="s">
        <v>1222</v>
      </c>
      <c r="AB67" s="9" t="s">
        <v>1157</v>
      </c>
      <c r="AC67" s="9" t="s">
        <v>4591</v>
      </c>
      <c r="AD67" s="9" t="s">
        <v>5469</v>
      </c>
      <c r="AE67" t="str">
        <f t="shared" si="0"/>
        <v>Medium</v>
      </c>
      <c r="AF67">
        <f>IF($A67="","",IFERROR(VLOOKUP($B67,_CONFIG_Risk_Calibration!$A$5:$H$21,2,FALSE),3))</f>
        <v>3</v>
      </c>
      <c r="AG67">
        <f>IF($A67="","",IFERROR(VLOOKUP($B67,_CONFIG_Risk_Calibration!$A$5:$H$21,3,FALSE),0))</f>
        <v>0</v>
      </c>
      <c r="AH67">
        <f>IF($A67="","",IFERROR(VLOOKUP($B67,_CONFIG_Risk_Calibration!$A$5:$H$21,4,FALSE),3))</f>
        <v>3</v>
      </c>
      <c r="AI67">
        <f>IF($A67="","",IFERROR(VLOOKUP($B67,_CONFIG_Risk_Calibration!$A$5:$H$21,5,FALSE),3))</f>
        <v>4</v>
      </c>
      <c r="AJ67" t="str">
        <f>IF($A67="","",IFERROR(VLOOKUP($B67,_CONFIG_Risk_Calibration!$A$5:$H$21,6,FALSE),"No"))</f>
        <v>Yes</v>
      </c>
      <c r="AK67">
        <f>IF($A67="","",IFERROR(VLOOKUP($B67,_CONFIG_Risk_Calibration!$A$5:$H$21,7,FALSE),1))</f>
        <v>4</v>
      </c>
      <c r="AL67" t="str">
        <f>IF($A67="","",IFERROR(VLOOKUP($B67,_CONFIG_Risk_Calibration!$A$5:$H$21,8,FALSE),""))</f>
        <v>Clean template default. Calibrate with real exposure, incident history, evidence quality and domain-owner validation.</v>
      </c>
      <c r="AM67">
        <f>IF($A67="","",IFERROR(INDEX(_DATA_Assessment_Model!$AL$1:$AL$428,MATCH($A67,_DATA_Assessment_Model!$A$1:$A$428,0)),""))</f>
        <v>0</v>
      </c>
      <c r="AN67">
        <f t="shared" si="1"/>
        <v>1</v>
      </c>
      <c r="AO67">
        <f>IF($A67="","",_CONFIG_Model_Settings!$B$172*MAX(N($AK67),(N($AF67)+N($AI67))/2))</f>
        <v>80</v>
      </c>
      <c r="AP67">
        <f t="shared" si="2"/>
        <v>80</v>
      </c>
      <c r="AQ67">
        <f>IF($AP67="","",MAX(0,$AP67*(1-(_CONFIG_Model_Settings!$B$173+_CONFIG_Model_Settings!$B$174*(N($AH67)-1)))))</f>
        <v>52</v>
      </c>
      <c r="AR67">
        <f>IF($AP67="","",MIN(100,$AP67*(1+(_CONFIG_Model_Settings!$B$173+_CONFIG_Model_Settings!$B$174*(N($AH67)-1)))))</f>
        <v>100</v>
      </c>
    </row>
    <row r="68" spans="1:44" ht="60" customHeight="1">
      <c r="A68" s="9" t="s">
        <v>1229</v>
      </c>
      <c r="B68" s="9" t="s">
        <v>1150</v>
      </c>
      <c r="C68" s="9" t="s">
        <v>1165</v>
      </c>
      <c r="D68" s="9" t="s">
        <v>3681</v>
      </c>
      <c r="E68" s="9" t="s">
        <v>1230</v>
      </c>
      <c r="F68" s="9" t="s">
        <v>5470</v>
      </c>
      <c r="G68" s="9" t="s">
        <v>5471</v>
      </c>
      <c r="H68" s="9" t="s">
        <v>5472</v>
      </c>
      <c r="I68" s="9" t="s">
        <v>5473</v>
      </c>
      <c r="J68" s="9" t="s">
        <v>5474</v>
      </c>
      <c r="K68" s="9" t="s">
        <v>5475</v>
      </c>
      <c r="L68" s="9" t="s">
        <v>5476</v>
      </c>
      <c r="M68" s="9" t="s">
        <v>5477</v>
      </c>
      <c r="N68" s="9" t="s">
        <v>5478</v>
      </c>
      <c r="O68" s="9" t="s">
        <v>5479</v>
      </c>
      <c r="P68" s="9" t="s">
        <v>5480</v>
      </c>
      <c r="Q68" s="9" t="s">
        <v>5481</v>
      </c>
      <c r="R68" s="9" t="s">
        <v>4589</v>
      </c>
      <c r="S68" s="9" t="s">
        <v>5482</v>
      </c>
      <c r="T68" s="9">
        <v>3</v>
      </c>
      <c r="U68" s="9">
        <v>3</v>
      </c>
      <c r="V68" s="9">
        <v>2</v>
      </c>
      <c r="W68" s="9">
        <v>2</v>
      </c>
      <c r="X68" s="9">
        <v>1</v>
      </c>
      <c r="Y68" s="9">
        <v>1</v>
      </c>
      <c r="Z68" s="9" t="s">
        <v>1155</v>
      </c>
      <c r="AA68" s="9" t="s">
        <v>1231</v>
      </c>
      <c r="AB68" s="9" t="s">
        <v>1157</v>
      </c>
      <c r="AC68" s="9" t="s">
        <v>4591</v>
      </c>
      <c r="AD68" s="9" t="s">
        <v>5483</v>
      </c>
      <c r="AE68" t="str">
        <f t="shared" si="0"/>
        <v>Medium</v>
      </c>
      <c r="AF68">
        <f>IF($A68="","",IFERROR(VLOOKUP($B68,_CONFIG_Risk_Calibration!$A$5:$H$21,2,FALSE),3))</f>
        <v>3</v>
      </c>
      <c r="AG68">
        <f>IF($A68="","",IFERROR(VLOOKUP($B68,_CONFIG_Risk_Calibration!$A$5:$H$21,3,FALSE),0))</f>
        <v>0</v>
      </c>
      <c r="AH68">
        <f>IF($A68="","",IFERROR(VLOOKUP($B68,_CONFIG_Risk_Calibration!$A$5:$H$21,4,FALSE),3))</f>
        <v>3</v>
      </c>
      <c r="AI68">
        <f>IF($A68="","",IFERROR(VLOOKUP($B68,_CONFIG_Risk_Calibration!$A$5:$H$21,5,FALSE),3))</f>
        <v>4</v>
      </c>
      <c r="AJ68" t="str">
        <f>IF($A68="","",IFERROR(VLOOKUP($B68,_CONFIG_Risk_Calibration!$A$5:$H$21,6,FALSE),"No"))</f>
        <v>Yes</v>
      </c>
      <c r="AK68">
        <f>IF($A68="","",IFERROR(VLOOKUP($B68,_CONFIG_Risk_Calibration!$A$5:$H$21,7,FALSE),1))</f>
        <v>4</v>
      </c>
      <c r="AL68" t="str">
        <f>IF($A68="","",IFERROR(VLOOKUP($B68,_CONFIG_Risk_Calibration!$A$5:$H$21,8,FALSE),""))</f>
        <v>Clean template default. Calibrate with real exposure, incident history, evidence quality and domain-owner validation.</v>
      </c>
      <c r="AM68">
        <f>IF($A68="","",IFERROR(INDEX(_DATA_Assessment_Model!$AL$1:$AL$428,MATCH($A68,_DATA_Assessment_Model!$A$1:$A$428,0)),""))</f>
        <v>0</v>
      </c>
      <c r="AN68">
        <f t="shared" si="1"/>
        <v>1</v>
      </c>
      <c r="AO68">
        <f>IF($A68="","",_CONFIG_Model_Settings!$B$172*MAX(N($AK68),(N($AF68)+N($AI68))/2))</f>
        <v>80</v>
      </c>
      <c r="AP68">
        <f t="shared" si="2"/>
        <v>80</v>
      </c>
      <c r="AQ68">
        <f>IF($AP68="","",MAX(0,$AP68*(1-(_CONFIG_Model_Settings!$B$173+_CONFIG_Model_Settings!$B$174*(N($AH68)-1)))))</f>
        <v>52</v>
      </c>
      <c r="AR68">
        <f>IF($AP68="","",MIN(100,$AP68*(1+(_CONFIG_Model_Settings!$B$173+_CONFIG_Model_Settings!$B$174*(N($AH68)-1)))))</f>
        <v>100</v>
      </c>
    </row>
    <row r="69" spans="1:44" ht="84" customHeight="1">
      <c r="A69" s="9" t="s">
        <v>1232</v>
      </c>
      <c r="B69" s="9" t="s">
        <v>1150</v>
      </c>
      <c r="C69" s="9" t="s">
        <v>1161</v>
      </c>
      <c r="D69" s="9" t="s">
        <v>5484</v>
      </c>
      <c r="E69" s="9" t="s">
        <v>1233</v>
      </c>
      <c r="F69" s="9" t="s">
        <v>5485</v>
      </c>
      <c r="G69" s="9" t="s">
        <v>5486</v>
      </c>
      <c r="H69" s="9" t="s">
        <v>5487</v>
      </c>
      <c r="I69" s="9" t="s">
        <v>5488</v>
      </c>
      <c r="J69" s="9" t="s">
        <v>5489</v>
      </c>
      <c r="K69" s="9" t="s">
        <v>5490</v>
      </c>
      <c r="L69" s="9" t="s">
        <v>5491</v>
      </c>
      <c r="M69" s="9" t="s">
        <v>5492</v>
      </c>
      <c r="N69" s="9" t="s">
        <v>5493</v>
      </c>
      <c r="O69" s="9" t="s">
        <v>5494</v>
      </c>
      <c r="P69" s="9" t="s">
        <v>5495</v>
      </c>
      <c r="Q69" s="9" t="s">
        <v>5496</v>
      </c>
      <c r="R69" s="9" t="s">
        <v>4589</v>
      </c>
      <c r="S69" s="9" t="s">
        <v>5497</v>
      </c>
      <c r="T69" s="9">
        <v>2</v>
      </c>
      <c r="U69" s="9">
        <v>2</v>
      </c>
      <c r="V69" s="9">
        <v>2</v>
      </c>
      <c r="W69" s="9">
        <v>1</v>
      </c>
      <c r="X69" s="9">
        <v>1</v>
      </c>
      <c r="Y69" s="9">
        <v>1</v>
      </c>
      <c r="Z69" s="9" t="s">
        <v>1235</v>
      </c>
      <c r="AA69" s="9" t="s">
        <v>5498</v>
      </c>
      <c r="AB69" s="9" t="s">
        <v>1242</v>
      </c>
      <c r="AC69" s="9" t="s">
        <v>5499</v>
      </c>
      <c r="AD69" s="9" t="s">
        <v>5500</v>
      </c>
      <c r="AE69" t="str">
        <f t="shared" ref="AE69:AE132" si="3">IF($A69="","",IF(OR(ISNUMBER(SEARCH("cyber",$D69)),ISNUMBER(SEARCH("security",$D69)),ISNUMBER(SEARCH("safety",$D69)),ISNUMBER(SEARCH("liquidity",$D69)),ISNUMBER(SEARCH("cash",$D69)),ISNUMBER(SEARCH("continuity",$D69)),ISNUMBER(SEARCH("infrastructure",$D69)),ISNUMBER(SEARCH("outage",$D69))),"Fast",IF(OR(ISNUMBER(SEARCH("compliance",$D69)),ISNUMBER(SEARCH("regulat",$D69)),ISNUMBER(SEARCH("data",$D69)),ISNUMBER(SEARCH("talent",$D69)),ISNUMBER(SEARCH("knowledge",$D69)),ISNUMBER(SEARCH("portfolio",$D69)),ISNUMBER(SEARCH("quality",$D69))),"Slow","Medium")))</f>
        <v>Fast</v>
      </c>
      <c r="AF69">
        <f>IF($A69="","",IFERROR(VLOOKUP($B69,_CONFIG_Risk_Calibration!$A$5:$H$21,2,FALSE),3))</f>
        <v>3</v>
      </c>
      <c r="AG69">
        <f>IF($A69="","",IFERROR(VLOOKUP($B69,_CONFIG_Risk_Calibration!$A$5:$H$21,3,FALSE),0))</f>
        <v>0</v>
      </c>
      <c r="AH69">
        <f>IF($A69="","",IFERROR(VLOOKUP($B69,_CONFIG_Risk_Calibration!$A$5:$H$21,4,FALSE),3))</f>
        <v>3</v>
      </c>
      <c r="AI69">
        <f>IF($A69="","",IFERROR(VLOOKUP($B69,_CONFIG_Risk_Calibration!$A$5:$H$21,5,FALSE),3))</f>
        <v>4</v>
      </c>
      <c r="AJ69" t="str">
        <f>IF($A69="","",IFERROR(VLOOKUP($B69,_CONFIG_Risk_Calibration!$A$5:$H$21,6,FALSE),"No"))</f>
        <v>Yes</v>
      </c>
      <c r="AK69">
        <f>IF($A69="","",IFERROR(VLOOKUP($B69,_CONFIG_Risk_Calibration!$A$5:$H$21,7,FALSE),1))</f>
        <v>4</v>
      </c>
      <c r="AL69" t="str">
        <f>IF($A69="","",IFERROR(VLOOKUP($B69,_CONFIG_Risk_Calibration!$A$5:$H$21,8,FALSE),""))</f>
        <v>Clean template default. Calibrate with real exposure, incident history, evidence quality and domain-owner validation.</v>
      </c>
      <c r="AM69">
        <f>IF($A69="","",IFERROR(INDEX(_DATA_Assessment_Model!$AL$1:$AL$428,MATCH($A69,_DATA_Assessment_Model!$A$1:$A$428,0)),""))</f>
        <v>0</v>
      </c>
      <c r="AN69">
        <f t="shared" ref="AN69:AN132" si="4">IF($AM69="","",MAX(0,(5-$AM69)/5))</f>
        <v>1</v>
      </c>
      <c r="AO69">
        <f>IF($A69="","",_CONFIG_Model_Settings!$B$172*MAX(N($AK69),(N($AF69)+N($AI69))/2))</f>
        <v>80</v>
      </c>
      <c r="AP69">
        <f t="shared" ref="AP69:AP132" si="5">IF(OR($A69="",$AN69=""),"",$AN69*$AO69)</f>
        <v>80</v>
      </c>
      <c r="AQ69">
        <f>IF($AP69="","",MAX(0,$AP69*(1-(_CONFIG_Model_Settings!$B$173+_CONFIG_Model_Settings!$B$174*(N($AH69)-1)))))</f>
        <v>52</v>
      </c>
      <c r="AR69">
        <f>IF($AP69="","",MIN(100,$AP69*(1+(_CONFIG_Model_Settings!$B$173+_CONFIG_Model_Settings!$B$174*(N($AH69)-1)))))</f>
        <v>100</v>
      </c>
    </row>
    <row r="70" spans="1:44" ht="84" customHeight="1">
      <c r="A70" s="9" t="s">
        <v>1243</v>
      </c>
      <c r="B70" s="9" t="s">
        <v>1150</v>
      </c>
      <c r="C70" s="9" t="s">
        <v>1152</v>
      </c>
      <c r="D70" s="9" t="s">
        <v>5484</v>
      </c>
      <c r="E70" s="9" t="s">
        <v>1244</v>
      </c>
      <c r="F70" s="9" t="s">
        <v>5501</v>
      </c>
      <c r="G70" s="9" t="s">
        <v>5502</v>
      </c>
      <c r="H70" s="9" t="s">
        <v>5503</v>
      </c>
      <c r="I70" s="9" t="s">
        <v>5504</v>
      </c>
      <c r="J70" s="9" t="s">
        <v>5505</v>
      </c>
      <c r="K70" s="9" t="s">
        <v>5506</v>
      </c>
      <c r="L70" s="9" t="s">
        <v>5507</v>
      </c>
      <c r="M70" s="9" t="s">
        <v>5508</v>
      </c>
      <c r="N70" s="9" t="s">
        <v>5509</v>
      </c>
      <c r="O70" s="9" t="s">
        <v>5510</v>
      </c>
      <c r="P70" s="9" t="s">
        <v>5511</v>
      </c>
      <c r="Q70" s="9" t="s">
        <v>5512</v>
      </c>
      <c r="R70" s="9" t="s">
        <v>4589</v>
      </c>
      <c r="S70" s="9" t="s">
        <v>5513</v>
      </c>
      <c r="T70" s="9">
        <v>3</v>
      </c>
      <c r="U70" s="9">
        <v>3</v>
      </c>
      <c r="V70" s="9">
        <v>2</v>
      </c>
      <c r="W70" s="9">
        <v>2</v>
      </c>
      <c r="X70" s="9">
        <v>1</v>
      </c>
      <c r="Y70" s="9">
        <v>1</v>
      </c>
      <c r="Z70" s="9" t="s">
        <v>1246</v>
      </c>
      <c r="AA70" s="9" t="s">
        <v>5514</v>
      </c>
      <c r="AB70" s="9" t="s">
        <v>1253</v>
      </c>
      <c r="AC70" s="9" t="s">
        <v>5499</v>
      </c>
      <c r="AD70" s="9" t="s">
        <v>5515</v>
      </c>
      <c r="AE70" t="str">
        <f t="shared" si="3"/>
        <v>Fast</v>
      </c>
      <c r="AF70">
        <f>IF($A70="","",IFERROR(VLOOKUP($B70,_CONFIG_Risk_Calibration!$A$5:$H$21,2,FALSE),3))</f>
        <v>3</v>
      </c>
      <c r="AG70">
        <f>IF($A70="","",IFERROR(VLOOKUP($B70,_CONFIG_Risk_Calibration!$A$5:$H$21,3,FALSE),0))</f>
        <v>0</v>
      </c>
      <c r="AH70">
        <f>IF($A70="","",IFERROR(VLOOKUP($B70,_CONFIG_Risk_Calibration!$A$5:$H$21,4,FALSE),3))</f>
        <v>3</v>
      </c>
      <c r="AI70">
        <f>IF($A70="","",IFERROR(VLOOKUP($B70,_CONFIG_Risk_Calibration!$A$5:$H$21,5,FALSE),3))</f>
        <v>4</v>
      </c>
      <c r="AJ70" t="str">
        <f>IF($A70="","",IFERROR(VLOOKUP($B70,_CONFIG_Risk_Calibration!$A$5:$H$21,6,FALSE),"No"))</f>
        <v>Yes</v>
      </c>
      <c r="AK70">
        <f>IF($A70="","",IFERROR(VLOOKUP($B70,_CONFIG_Risk_Calibration!$A$5:$H$21,7,FALSE),1))</f>
        <v>4</v>
      </c>
      <c r="AL70" t="str">
        <f>IF($A70="","",IFERROR(VLOOKUP($B70,_CONFIG_Risk_Calibration!$A$5:$H$21,8,FALSE),""))</f>
        <v>Clean template default. Calibrate with real exposure, incident history, evidence quality and domain-owner validation.</v>
      </c>
      <c r="AM70">
        <f>IF($A70="","",IFERROR(INDEX(_DATA_Assessment_Model!$AL$1:$AL$428,MATCH($A70,_DATA_Assessment_Model!$A$1:$A$428,0)),""))</f>
        <v>0</v>
      </c>
      <c r="AN70">
        <f t="shared" si="4"/>
        <v>1</v>
      </c>
      <c r="AO70">
        <f>IF($A70="","",_CONFIG_Model_Settings!$B$172*MAX(N($AK70),(N($AF70)+N($AI70))/2))</f>
        <v>80</v>
      </c>
      <c r="AP70">
        <f t="shared" si="5"/>
        <v>80</v>
      </c>
      <c r="AQ70">
        <f>IF($AP70="","",MAX(0,$AP70*(1-(_CONFIG_Model_Settings!$B$173+_CONFIG_Model_Settings!$B$174*(N($AH70)-1)))))</f>
        <v>52</v>
      </c>
      <c r="AR70">
        <f>IF($AP70="","",MIN(100,$AP70*(1+(_CONFIG_Model_Settings!$B$173+_CONFIG_Model_Settings!$B$174*(N($AH70)-1)))))</f>
        <v>100</v>
      </c>
    </row>
    <row r="71" spans="1:44" ht="84" customHeight="1">
      <c r="A71" s="9" t="s">
        <v>1254</v>
      </c>
      <c r="B71" s="9" t="s">
        <v>1150</v>
      </c>
      <c r="C71" s="9" t="s">
        <v>1161</v>
      </c>
      <c r="D71" s="9" t="s">
        <v>5484</v>
      </c>
      <c r="E71" s="9" t="s">
        <v>1255</v>
      </c>
      <c r="F71" s="9" t="s">
        <v>5516</v>
      </c>
      <c r="G71" s="9" t="s">
        <v>5517</v>
      </c>
      <c r="H71" s="9" t="s">
        <v>5518</v>
      </c>
      <c r="I71" s="9" t="s">
        <v>5519</v>
      </c>
      <c r="J71" s="9" t="s">
        <v>5520</v>
      </c>
      <c r="K71" s="9" t="s">
        <v>5521</v>
      </c>
      <c r="L71" s="9" t="s">
        <v>5522</v>
      </c>
      <c r="M71" s="9" t="s">
        <v>5523</v>
      </c>
      <c r="N71" s="9" t="s">
        <v>5524</v>
      </c>
      <c r="O71" s="9" t="s">
        <v>5525</v>
      </c>
      <c r="P71" s="9" t="s">
        <v>5526</v>
      </c>
      <c r="Q71" s="9" t="s">
        <v>5527</v>
      </c>
      <c r="R71" s="9" t="s">
        <v>4589</v>
      </c>
      <c r="S71" s="9" t="s">
        <v>5528</v>
      </c>
      <c r="T71" s="9">
        <v>3</v>
      </c>
      <c r="U71" s="9">
        <v>3</v>
      </c>
      <c r="V71" s="9">
        <v>2</v>
      </c>
      <c r="W71" s="9">
        <v>2</v>
      </c>
      <c r="X71" s="9">
        <v>2</v>
      </c>
      <c r="Y71" s="9">
        <v>1</v>
      </c>
      <c r="Z71" s="9" t="s">
        <v>1257</v>
      </c>
      <c r="AA71" s="9" t="s">
        <v>5529</v>
      </c>
      <c r="AB71" s="9" t="s">
        <v>1258</v>
      </c>
      <c r="AC71" s="9" t="s">
        <v>5499</v>
      </c>
      <c r="AD71" s="9" t="s">
        <v>5530</v>
      </c>
      <c r="AE71" t="str">
        <f t="shared" si="3"/>
        <v>Fast</v>
      </c>
      <c r="AF71">
        <f>IF($A71="","",IFERROR(VLOOKUP($B71,_CONFIG_Risk_Calibration!$A$5:$H$21,2,FALSE),3))</f>
        <v>3</v>
      </c>
      <c r="AG71">
        <f>IF($A71="","",IFERROR(VLOOKUP($B71,_CONFIG_Risk_Calibration!$A$5:$H$21,3,FALSE),0))</f>
        <v>0</v>
      </c>
      <c r="AH71">
        <f>IF($A71="","",IFERROR(VLOOKUP($B71,_CONFIG_Risk_Calibration!$A$5:$H$21,4,FALSE),3))</f>
        <v>3</v>
      </c>
      <c r="AI71">
        <f>IF($A71="","",IFERROR(VLOOKUP($B71,_CONFIG_Risk_Calibration!$A$5:$H$21,5,FALSE),3))</f>
        <v>4</v>
      </c>
      <c r="AJ71" t="str">
        <f>IF($A71="","",IFERROR(VLOOKUP($B71,_CONFIG_Risk_Calibration!$A$5:$H$21,6,FALSE),"No"))</f>
        <v>Yes</v>
      </c>
      <c r="AK71">
        <f>IF($A71="","",IFERROR(VLOOKUP($B71,_CONFIG_Risk_Calibration!$A$5:$H$21,7,FALSE),1))</f>
        <v>4</v>
      </c>
      <c r="AL71" t="str">
        <f>IF($A71="","",IFERROR(VLOOKUP($B71,_CONFIG_Risk_Calibration!$A$5:$H$21,8,FALSE),""))</f>
        <v>Clean template default. Calibrate with real exposure, incident history, evidence quality and domain-owner validation.</v>
      </c>
      <c r="AM71">
        <f>IF($A71="","",IFERROR(INDEX(_DATA_Assessment_Model!$AL$1:$AL$428,MATCH($A71,_DATA_Assessment_Model!$A$1:$A$428,0)),""))</f>
        <v>0</v>
      </c>
      <c r="AN71">
        <f t="shared" si="4"/>
        <v>1</v>
      </c>
      <c r="AO71">
        <f>IF($A71="","",_CONFIG_Model_Settings!$B$172*MAX(N($AK71),(N($AF71)+N($AI71))/2))</f>
        <v>80</v>
      </c>
      <c r="AP71">
        <f t="shared" si="5"/>
        <v>80</v>
      </c>
      <c r="AQ71">
        <f>IF($AP71="","",MAX(0,$AP71*(1-(_CONFIG_Model_Settings!$B$173+_CONFIG_Model_Settings!$B$174*(N($AH71)-1)))))</f>
        <v>52</v>
      </c>
      <c r="AR71">
        <f>IF($AP71="","",MIN(100,$AP71*(1+(_CONFIG_Model_Settings!$B$173+_CONFIG_Model_Settings!$B$174*(N($AH71)-1)))))</f>
        <v>100</v>
      </c>
    </row>
    <row r="72" spans="1:44" ht="84" customHeight="1">
      <c r="A72" s="9" t="s">
        <v>1260</v>
      </c>
      <c r="B72" s="9" t="s">
        <v>1259</v>
      </c>
      <c r="C72" s="9" t="s">
        <v>1261</v>
      </c>
      <c r="D72" s="9" t="s">
        <v>3682</v>
      </c>
      <c r="E72" s="9" t="s">
        <v>1262</v>
      </c>
      <c r="F72" s="9" t="s">
        <v>5531</v>
      </c>
      <c r="G72" s="9" t="s">
        <v>5532</v>
      </c>
      <c r="H72" s="9" t="s">
        <v>5533</v>
      </c>
      <c r="I72" s="9" t="s">
        <v>5534</v>
      </c>
      <c r="J72" s="9" t="s">
        <v>5535</v>
      </c>
      <c r="K72" s="9" t="s">
        <v>5536</v>
      </c>
      <c r="L72" s="9" t="s">
        <v>5537</v>
      </c>
      <c r="M72" s="9" t="s">
        <v>5538</v>
      </c>
      <c r="N72" s="9" t="s">
        <v>5539</v>
      </c>
      <c r="O72" s="9" t="s">
        <v>5540</v>
      </c>
      <c r="P72" s="9" t="s">
        <v>5541</v>
      </c>
      <c r="Q72" s="9" t="s">
        <v>5542</v>
      </c>
      <c r="R72" s="9" t="s">
        <v>4589</v>
      </c>
      <c r="S72" s="9" t="s">
        <v>5543</v>
      </c>
      <c r="T72" s="9">
        <v>3</v>
      </c>
      <c r="U72" s="9">
        <v>3</v>
      </c>
      <c r="V72" s="9">
        <v>2</v>
      </c>
      <c r="W72" s="9">
        <v>2</v>
      </c>
      <c r="X72" s="9">
        <v>1</v>
      </c>
      <c r="Y72" s="9">
        <v>1</v>
      </c>
      <c r="Z72" s="9" t="s">
        <v>1264</v>
      </c>
      <c r="AA72" s="9" t="s">
        <v>1265</v>
      </c>
      <c r="AB72" s="9" t="s">
        <v>1266</v>
      </c>
      <c r="AC72" s="9" t="s">
        <v>5544</v>
      </c>
      <c r="AD72" s="9" t="s">
        <v>5545</v>
      </c>
      <c r="AE72" t="str">
        <f t="shared" si="3"/>
        <v>Fast</v>
      </c>
      <c r="AF72">
        <f>IF($A72="","",IFERROR(VLOOKUP($B72,_CONFIG_Risk_Calibration!$A$5:$H$21,2,FALSE),3))</f>
        <v>3</v>
      </c>
      <c r="AG72">
        <f>IF($A72="","",IFERROR(VLOOKUP($B72,_CONFIG_Risk_Calibration!$A$5:$H$21,3,FALSE),0))</f>
        <v>0</v>
      </c>
      <c r="AH72">
        <f>IF($A72="","",IFERROR(VLOOKUP($B72,_CONFIG_Risk_Calibration!$A$5:$H$21,4,FALSE),3))</f>
        <v>3</v>
      </c>
      <c r="AI72">
        <f>IF($A72="","",IFERROR(VLOOKUP($B72,_CONFIG_Risk_Calibration!$A$5:$H$21,5,FALSE),3))</f>
        <v>3</v>
      </c>
      <c r="AJ72" t="str">
        <f>IF($A72="","",IFERROR(VLOOKUP($B72,_CONFIG_Risk_Calibration!$A$5:$H$21,6,FALSE),"No"))</f>
        <v>No</v>
      </c>
      <c r="AK72">
        <f>IF($A72="","",IFERROR(VLOOKUP($B72,_CONFIG_Risk_Calibration!$A$5:$H$21,7,FALSE),1))</f>
        <v>1</v>
      </c>
      <c r="AL72" t="str">
        <f>IF($A72="","",IFERROR(VLOOKUP($B72,_CONFIG_Risk_Calibration!$A$5:$H$21,8,FALSE),""))</f>
        <v>Clean template default. Calibrate with real exposure, incident history, evidence quality and domain-owner validation.</v>
      </c>
      <c r="AM72">
        <f>IF($A72="","",IFERROR(INDEX(_DATA_Assessment_Model!$AL$1:$AL$428,MATCH($A72,_DATA_Assessment_Model!$A$1:$A$428,0)),""))</f>
        <v>0</v>
      </c>
      <c r="AN72">
        <f t="shared" si="4"/>
        <v>1</v>
      </c>
      <c r="AO72">
        <f>IF($A72="","",_CONFIG_Model_Settings!$B$172*MAX(N($AK72),(N($AF72)+N($AI72))/2))</f>
        <v>60</v>
      </c>
      <c r="AP72">
        <f t="shared" si="5"/>
        <v>60</v>
      </c>
      <c r="AQ72">
        <f>IF($AP72="","",MAX(0,$AP72*(1-(_CONFIG_Model_Settings!$B$173+_CONFIG_Model_Settings!$B$174*(N($AH72)-1)))))</f>
        <v>39</v>
      </c>
      <c r="AR72">
        <f>IF($AP72="","",MIN(100,$AP72*(1+(_CONFIG_Model_Settings!$B$173+_CONFIG_Model_Settings!$B$174*(N($AH72)-1)))))</f>
        <v>81</v>
      </c>
    </row>
    <row r="73" spans="1:44" ht="84" customHeight="1">
      <c r="A73" s="9" t="s">
        <v>1267</v>
      </c>
      <c r="B73" s="9" t="s">
        <v>1259</v>
      </c>
      <c r="C73" s="9" t="s">
        <v>1261</v>
      </c>
      <c r="D73" s="9" t="s">
        <v>3682</v>
      </c>
      <c r="E73" s="9" t="s">
        <v>1268</v>
      </c>
      <c r="F73" s="9" t="s">
        <v>5546</v>
      </c>
      <c r="G73" s="9" t="s">
        <v>5547</v>
      </c>
      <c r="H73" s="9" t="s">
        <v>5548</v>
      </c>
      <c r="I73" s="9" t="s">
        <v>5549</v>
      </c>
      <c r="J73" s="9" t="s">
        <v>5550</v>
      </c>
      <c r="K73" s="9" t="s">
        <v>5551</v>
      </c>
      <c r="L73" s="9" t="s">
        <v>5552</v>
      </c>
      <c r="M73" s="9" t="s">
        <v>5553</v>
      </c>
      <c r="N73" s="9" t="s">
        <v>5554</v>
      </c>
      <c r="O73" s="9" t="s">
        <v>5555</v>
      </c>
      <c r="P73" s="9" t="s">
        <v>5556</v>
      </c>
      <c r="Q73" s="9" t="s">
        <v>5557</v>
      </c>
      <c r="R73" s="9" t="s">
        <v>4589</v>
      </c>
      <c r="S73" s="9" t="s">
        <v>5558</v>
      </c>
      <c r="T73" s="9">
        <v>3</v>
      </c>
      <c r="U73" s="9">
        <v>3</v>
      </c>
      <c r="V73" s="9">
        <v>2</v>
      </c>
      <c r="W73" s="9">
        <v>2</v>
      </c>
      <c r="X73" s="9">
        <v>1</v>
      </c>
      <c r="Y73" s="9">
        <v>1</v>
      </c>
      <c r="Z73" s="9" t="s">
        <v>1264</v>
      </c>
      <c r="AA73" s="9" t="s">
        <v>1269</v>
      </c>
      <c r="AB73" s="9" t="s">
        <v>1266</v>
      </c>
      <c r="AC73" s="9" t="s">
        <v>5544</v>
      </c>
      <c r="AD73" s="9" t="s">
        <v>5559</v>
      </c>
      <c r="AE73" t="str">
        <f t="shared" si="3"/>
        <v>Fast</v>
      </c>
      <c r="AF73">
        <f>IF($A73="","",IFERROR(VLOOKUP($B73,_CONFIG_Risk_Calibration!$A$5:$H$21,2,FALSE),3))</f>
        <v>3</v>
      </c>
      <c r="AG73">
        <f>IF($A73="","",IFERROR(VLOOKUP($B73,_CONFIG_Risk_Calibration!$A$5:$H$21,3,FALSE),0))</f>
        <v>0</v>
      </c>
      <c r="AH73">
        <f>IF($A73="","",IFERROR(VLOOKUP($B73,_CONFIG_Risk_Calibration!$A$5:$H$21,4,FALSE),3))</f>
        <v>3</v>
      </c>
      <c r="AI73">
        <f>IF($A73="","",IFERROR(VLOOKUP($B73,_CONFIG_Risk_Calibration!$A$5:$H$21,5,FALSE),3))</f>
        <v>3</v>
      </c>
      <c r="AJ73" t="str">
        <f>IF($A73="","",IFERROR(VLOOKUP($B73,_CONFIG_Risk_Calibration!$A$5:$H$21,6,FALSE),"No"))</f>
        <v>No</v>
      </c>
      <c r="AK73">
        <f>IF($A73="","",IFERROR(VLOOKUP($B73,_CONFIG_Risk_Calibration!$A$5:$H$21,7,FALSE),1))</f>
        <v>1</v>
      </c>
      <c r="AL73" t="str">
        <f>IF($A73="","",IFERROR(VLOOKUP($B73,_CONFIG_Risk_Calibration!$A$5:$H$21,8,FALSE),""))</f>
        <v>Clean template default. Calibrate with real exposure, incident history, evidence quality and domain-owner validation.</v>
      </c>
      <c r="AM73">
        <f>IF($A73="","",IFERROR(INDEX(_DATA_Assessment_Model!$AL$1:$AL$428,MATCH($A73,_DATA_Assessment_Model!$A$1:$A$428,0)),""))</f>
        <v>0</v>
      </c>
      <c r="AN73">
        <f t="shared" si="4"/>
        <v>1</v>
      </c>
      <c r="AO73">
        <f>IF($A73="","",_CONFIG_Model_Settings!$B$172*MAX(N($AK73),(N($AF73)+N($AI73))/2))</f>
        <v>60</v>
      </c>
      <c r="AP73">
        <f t="shared" si="5"/>
        <v>60</v>
      </c>
      <c r="AQ73">
        <f>IF($AP73="","",MAX(0,$AP73*(1-(_CONFIG_Model_Settings!$B$173+_CONFIG_Model_Settings!$B$174*(N($AH73)-1)))))</f>
        <v>39</v>
      </c>
      <c r="AR73">
        <f>IF($AP73="","",MIN(100,$AP73*(1+(_CONFIG_Model_Settings!$B$173+_CONFIG_Model_Settings!$B$174*(N($AH73)-1)))))</f>
        <v>81</v>
      </c>
    </row>
    <row r="74" spans="1:44" ht="84" customHeight="1">
      <c r="A74" s="9" t="s">
        <v>1271</v>
      </c>
      <c r="B74" s="9" t="s">
        <v>1259</v>
      </c>
      <c r="C74" s="9" t="s">
        <v>1261</v>
      </c>
      <c r="D74" s="9" t="s">
        <v>3682</v>
      </c>
      <c r="E74" s="9" t="s">
        <v>1272</v>
      </c>
      <c r="F74" s="9" t="s">
        <v>5560</v>
      </c>
      <c r="G74" s="9" t="s">
        <v>5561</v>
      </c>
      <c r="H74" s="9" t="s">
        <v>5562</v>
      </c>
      <c r="I74" s="9" t="s">
        <v>5563</v>
      </c>
      <c r="J74" s="9" t="s">
        <v>5564</v>
      </c>
      <c r="K74" s="9" t="s">
        <v>5565</v>
      </c>
      <c r="L74" s="9" t="s">
        <v>5566</v>
      </c>
      <c r="M74" s="9" t="s">
        <v>5567</v>
      </c>
      <c r="N74" s="9" t="s">
        <v>5568</v>
      </c>
      <c r="O74" s="9" t="s">
        <v>5569</v>
      </c>
      <c r="P74" s="9" t="s">
        <v>5570</v>
      </c>
      <c r="Q74" s="9" t="s">
        <v>5571</v>
      </c>
      <c r="R74" s="9" t="s">
        <v>4589</v>
      </c>
      <c r="S74" s="9" t="s">
        <v>5572</v>
      </c>
      <c r="T74" s="9">
        <v>3</v>
      </c>
      <c r="U74" s="9">
        <v>3</v>
      </c>
      <c r="V74" s="9">
        <v>2</v>
      </c>
      <c r="W74" s="9">
        <v>2</v>
      </c>
      <c r="X74" s="9">
        <v>1</v>
      </c>
      <c r="Y74" s="9">
        <v>1</v>
      </c>
      <c r="Z74" s="9" t="s">
        <v>1264</v>
      </c>
      <c r="AA74" s="9" t="s">
        <v>1273</v>
      </c>
      <c r="AB74" s="9" t="s">
        <v>1266</v>
      </c>
      <c r="AC74" s="9" t="s">
        <v>5544</v>
      </c>
      <c r="AD74" s="9" t="s">
        <v>5573</v>
      </c>
      <c r="AE74" t="str">
        <f t="shared" si="3"/>
        <v>Fast</v>
      </c>
      <c r="AF74">
        <f>IF($A74="","",IFERROR(VLOOKUP($B74,_CONFIG_Risk_Calibration!$A$5:$H$21,2,FALSE),3))</f>
        <v>3</v>
      </c>
      <c r="AG74">
        <f>IF($A74="","",IFERROR(VLOOKUP($B74,_CONFIG_Risk_Calibration!$A$5:$H$21,3,FALSE),0))</f>
        <v>0</v>
      </c>
      <c r="AH74">
        <f>IF($A74="","",IFERROR(VLOOKUP($B74,_CONFIG_Risk_Calibration!$A$5:$H$21,4,FALSE),3))</f>
        <v>3</v>
      </c>
      <c r="AI74">
        <f>IF($A74="","",IFERROR(VLOOKUP($B74,_CONFIG_Risk_Calibration!$A$5:$H$21,5,FALSE),3))</f>
        <v>3</v>
      </c>
      <c r="AJ74" t="str">
        <f>IF($A74="","",IFERROR(VLOOKUP($B74,_CONFIG_Risk_Calibration!$A$5:$H$21,6,FALSE),"No"))</f>
        <v>No</v>
      </c>
      <c r="AK74">
        <f>IF($A74="","",IFERROR(VLOOKUP($B74,_CONFIG_Risk_Calibration!$A$5:$H$21,7,FALSE),1))</f>
        <v>1</v>
      </c>
      <c r="AL74" t="str">
        <f>IF($A74="","",IFERROR(VLOOKUP($B74,_CONFIG_Risk_Calibration!$A$5:$H$21,8,FALSE),""))</f>
        <v>Clean template default. Calibrate with real exposure, incident history, evidence quality and domain-owner validation.</v>
      </c>
      <c r="AM74">
        <f>IF($A74="","",IFERROR(INDEX(_DATA_Assessment_Model!$AL$1:$AL$428,MATCH($A74,_DATA_Assessment_Model!$A$1:$A$428,0)),""))</f>
        <v>0</v>
      </c>
      <c r="AN74">
        <f t="shared" si="4"/>
        <v>1</v>
      </c>
      <c r="AO74">
        <f>IF($A74="","",_CONFIG_Model_Settings!$B$172*MAX(N($AK74),(N($AF74)+N($AI74))/2))</f>
        <v>60</v>
      </c>
      <c r="AP74">
        <f t="shared" si="5"/>
        <v>60</v>
      </c>
      <c r="AQ74">
        <f>IF($AP74="","",MAX(0,$AP74*(1-(_CONFIG_Model_Settings!$B$173+_CONFIG_Model_Settings!$B$174*(N($AH74)-1)))))</f>
        <v>39</v>
      </c>
      <c r="AR74">
        <f>IF($AP74="","",MIN(100,$AP74*(1+(_CONFIG_Model_Settings!$B$173+_CONFIG_Model_Settings!$B$174*(N($AH74)-1)))))</f>
        <v>81</v>
      </c>
    </row>
    <row r="75" spans="1:44" ht="84" customHeight="1">
      <c r="A75" s="9" t="s">
        <v>1275</v>
      </c>
      <c r="B75" s="9" t="s">
        <v>1259</v>
      </c>
      <c r="C75" s="9" t="s">
        <v>1261</v>
      </c>
      <c r="D75" s="9" t="s">
        <v>3682</v>
      </c>
      <c r="E75" s="9" t="s">
        <v>1276</v>
      </c>
      <c r="F75" s="9" t="s">
        <v>5574</v>
      </c>
      <c r="G75" s="9" t="s">
        <v>5575</v>
      </c>
      <c r="H75" s="9" t="s">
        <v>5576</v>
      </c>
      <c r="I75" s="9" t="s">
        <v>5577</v>
      </c>
      <c r="J75" s="9" t="s">
        <v>5578</v>
      </c>
      <c r="K75" s="9" t="s">
        <v>5579</v>
      </c>
      <c r="L75" s="9" t="s">
        <v>5580</v>
      </c>
      <c r="M75" s="9" t="s">
        <v>5581</v>
      </c>
      <c r="N75" s="9" t="s">
        <v>5582</v>
      </c>
      <c r="O75" s="9" t="s">
        <v>5583</v>
      </c>
      <c r="P75" s="9" t="s">
        <v>5584</v>
      </c>
      <c r="Q75" s="9" t="s">
        <v>5585</v>
      </c>
      <c r="R75" s="9" t="s">
        <v>4589</v>
      </c>
      <c r="S75" s="9" t="s">
        <v>5586</v>
      </c>
      <c r="T75" s="9">
        <v>3</v>
      </c>
      <c r="U75" s="9">
        <v>3</v>
      </c>
      <c r="V75" s="9">
        <v>2</v>
      </c>
      <c r="W75" s="9">
        <v>2</v>
      </c>
      <c r="X75" s="9">
        <v>1</v>
      </c>
      <c r="Y75" s="9">
        <v>1</v>
      </c>
      <c r="Z75" s="9" t="s">
        <v>1264</v>
      </c>
      <c r="AA75" s="9" t="s">
        <v>1277</v>
      </c>
      <c r="AB75" s="9" t="s">
        <v>1266</v>
      </c>
      <c r="AC75" s="9" t="s">
        <v>5544</v>
      </c>
      <c r="AD75" s="9" t="s">
        <v>5587</v>
      </c>
      <c r="AE75" t="str">
        <f t="shared" si="3"/>
        <v>Fast</v>
      </c>
      <c r="AF75">
        <f>IF($A75="","",IFERROR(VLOOKUP($B75,_CONFIG_Risk_Calibration!$A$5:$H$21,2,FALSE),3))</f>
        <v>3</v>
      </c>
      <c r="AG75">
        <f>IF($A75="","",IFERROR(VLOOKUP($B75,_CONFIG_Risk_Calibration!$A$5:$H$21,3,FALSE),0))</f>
        <v>0</v>
      </c>
      <c r="AH75">
        <f>IF($A75="","",IFERROR(VLOOKUP($B75,_CONFIG_Risk_Calibration!$A$5:$H$21,4,FALSE),3))</f>
        <v>3</v>
      </c>
      <c r="AI75">
        <f>IF($A75="","",IFERROR(VLOOKUP($B75,_CONFIG_Risk_Calibration!$A$5:$H$21,5,FALSE),3))</f>
        <v>3</v>
      </c>
      <c r="AJ75" t="str">
        <f>IF($A75="","",IFERROR(VLOOKUP($B75,_CONFIG_Risk_Calibration!$A$5:$H$21,6,FALSE),"No"))</f>
        <v>No</v>
      </c>
      <c r="AK75">
        <f>IF($A75="","",IFERROR(VLOOKUP($B75,_CONFIG_Risk_Calibration!$A$5:$H$21,7,FALSE),1))</f>
        <v>1</v>
      </c>
      <c r="AL75" t="str">
        <f>IF($A75="","",IFERROR(VLOOKUP($B75,_CONFIG_Risk_Calibration!$A$5:$H$21,8,FALSE),""))</f>
        <v>Clean template default. Calibrate with real exposure, incident history, evidence quality and domain-owner validation.</v>
      </c>
      <c r="AM75">
        <f>IF($A75="","",IFERROR(INDEX(_DATA_Assessment_Model!$AL$1:$AL$428,MATCH($A75,_DATA_Assessment_Model!$A$1:$A$428,0)),""))</f>
        <v>0</v>
      </c>
      <c r="AN75">
        <f t="shared" si="4"/>
        <v>1</v>
      </c>
      <c r="AO75">
        <f>IF($A75="","",_CONFIG_Model_Settings!$B$172*MAX(N($AK75),(N($AF75)+N($AI75))/2))</f>
        <v>60</v>
      </c>
      <c r="AP75">
        <f t="shared" si="5"/>
        <v>60</v>
      </c>
      <c r="AQ75">
        <f>IF($AP75="","",MAX(0,$AP75*(1-(_CONFIG_Model_Settings!$B$173+_CONFIG_Model_Settings!$B$174*(N($AH75)-1)))))</f>
        <v>39</v>
      </c>
      <c r="AR75">
        <f>IF($AP75="","",MIN(100,$AP75*(1+(_CONFIG_Model_Settings!$B$173+_CONFIG_Model_Settings!$B$174*(N($AH75)-1)))))</f>
        <v>81</v>
      </c>
    </row>
    <row r="76" spans="1:44" ht="84" customHeight="1">
      <c r="A76" s="9" t="s">
        <v>1279</v>
      </c>
      <c r="B76" s="9" t="s">
        <v>1259</v>
      </c>
      <c r="C76" s="9" t="s">
        <v>1261</v>
      </c>
      <c r="D76" s="9" t="s">
        <v>3682</v>
      </c>
      <c r="E76" s="9" t="s">
        <v>1280</v>
      </c>
      <c r="F76" s="9" t="s">
        <v>5588</v>
      </c>
      <c r="G76" s="9" t="s">
        <v>5589</v>
      </c>
      <c r="H76" s="9" t="s">
        <v>5590</v>
      </c>
      <c r="I76" s="9" t="s">
        <v>5591</v>
      </c>
      <c r="J76" s="9" t="s">
        <v>5592</v>
      </c>
      <c r="K76" s="9" t="s">
        <v>5593</v>
      </c>
      <c r="L76" s="9" t="s">
        <v>5594</v>
      </c>
      <c r="M76" s="9" t="s">
        <v>5595</v>
      </c>
      <c r="N76" s="9" t="s">
        <v>5596</v>
      </c>
      <c r="O76" s="9" t="s">
        <v>5597</v>
      </c>
      <c r="P76" s="9" t="s">
        <v>5598</v>
      </c>
      <c r="Q76" s="9" t="s">
        <v>5599</v>
      </c>
      <c r="R76" s="9" t="s">
        <v>4589</v>
      </c>
      <c r="S76" s="9" t="s">
        <v>5600</v>
      </c>
      <c r="T76" s="9">
        <v>3</v>
      </c>
      <c r="U76" s="9">
        <v>3</v>
      </c>
      <c r="V76" s="9">
        <v>2</v>
      </c>
      <c r="W76" s="9">
        <v>2</v>
      </c>
      <c r="X76" s="9">
        <v>1</v>
      </c>
      <c r="Y76" s="9">
        <v>1</v>
      </c>
      <c r="Z76" s="9" t="s">
        <v>1264</v>
      </c>
      <c r="AA76" s="9" t="s">
        <v>1281</v>
      </c>
      <c r="AB76" s="9" t="s">
        <v>1266</v>
      </c>
      <c r="AC76" s="9" t="s">
        <v>5544</v>
      </c>
      <c r="AD76" s="9" t="s">
        <v>5601</v>
      </c>
      <c r="AE76" t="str">
        <f t="shared" si="3"/>
        <v>Fast</v>
      </c>
      <c r="AF76">
        <f>IF($A76="","",IFERROR(VLOOKUP($B76,_CONFIG_Risk_Calibration!$A$5:$H$21,2,FALSE),3))</f>
        <v>3</v>
      </c>
      <c r="AG76">
        <f>IF($A76="","",IFERROR(VLOOKUP($B76,_CONFIG_Risk_Calibration!$A$5:$H$21,3,FALSE),0))</f>
        <v>0</v>
      </c>
      <c r="AH76">
        <f>IF($A76="","",IFERROR(VLOOKUP($B76,_CONFIG_Risk_Calibration!$A$5:$H$21,4,FALSE),3))</f>
        <v>3</v>
      </c>
      <c r="AI76">
        <f>IF($A76="","",IFERROR(VLOOKUP($B76,_CONFIG_Risk_Calibration!$A$5:$H$21,5,FALSE),3))</f>
        <v>3</v>
      </c>
      <c r="AJ76" t="str">
        <f>IF($A76="","",IFERROR(VLOOKUP($B76,_CONFIG_Risk_Calibration!$A$5:$H$21,6,FALSE),"No"))</f>
        <v>No</v>
      </c>
      <c r="AK76">
        <f>IF($A76="","",IFERROR(VLOOKUP($B76,_CONFIG_Risk_Calibration!$A$5:$H$21,7,FALSE),1))</f>
        <v>1</v>
      </c>
      <c r="AL76" t="str">
        <f>IF($A76="","",IFERROR(VLOOKUP($B76,_CONFIG_Risk_Calibration!$A$5:$H$21,8,FALSE),""))</f>
        <v>Clean template default. Calibrate with real exposure, incident history, evidence quality and domain-owner validation.</v>
      </c>
      <c r="AM76">
        <f>IF($A76="","",IFERROR(INDEX(_DATA_Assessment_Model!$AL$1:$AL$428,MATCH($A76,_DATA_Assessment_Model!$A$1:$A$428,0)),""))</f>
        <v>0</v>
      </c>
      <c r="AN76">
        <f t="shared" si="4"/>
        <v>1</v>
      </c>
      <c r="AO76">
        <f>IF($A76="","",_CONFIG_Model_Settings!$B$172*MAX(N($AK76),(N($AF76)+N($AI76))/2))</f>
        <v>60</v>
      </c>
      <c r="AP76">
        <f t="shared" si="5"/>
        <v>60</v>
      </c>
      <c r="AQ76">
        <f>IF($AP76="","",MAX(0,$AP76*(1-(_CONFIG_Model_Settings!$B$173+_CONFIG_Model_Settings!$B$174*(N($AH76)-1)))))</f>
        <v>39</v>
      </c>
      <c r="AR76">
        <f>IF($AP76="","",MIN(100,$AP76*(1+(_CONFIG_Model_Settings!$B$173+_CONFIG_Model_Settings!$B$174*(N($AH76)-1)))))</f>
        <v>81</v>
      </c>
    </row>
    <row r="77" spans="1:44" ht="72" customHeight="1">
      <c r="A77" s="9" t="s">
        <v>1282</v>
      </c>
      <c r="B77" s="9" t="s">
        <v>1259</v>
      </c>
      <c r="C77" s="9" t="s">
        <v>1261</v>
      </c>
      <c r="D77" s="9" t="s">
        <v>3682</v>
      </c>
      <c r="E77" s="9" t="s">
        <v>1283</v>
      </c>
      <c r="F77" s="9" t="s">
        <v>5602</v>
      </c>
      <c r="G77" s="9" t="s">
        <v>5603</v>
      </c>
      <c r="H77" s="9" t="s">
        <v>5604</v>
      </c>
      <c r="I77" s="9" t="s">
        <v>5605</v>
      </c>
      <c r="J77" s="9" t="s">
        <v>5606</v>
      </c>
      <c r="K77" s="9" t="s">
        <v>5607</v>
      </c>
      <c r="L77" s="9" t="s">
        <v>5608</v>
      </c>
      <c r="M77" s="9" t="s">
        <v>5609</v>
      </c>
      <c r="N77" s="9" t="s">
        <v>5610</v>
      </c>
      <c r="O77" s="9" t="s">
        <v>5611</v>
      </c>
      <c r="P77" s="9" t="s">
        <v>5612</v>
      </c>
      <c r="Q77" s="9" t="s">
        <v>5613</v>
      </c>
      <c r="R77" s="9" t="s">
        <v>4589</v>
      </c>
      <c r="S77" s="9" t="s">
        <v>5614</v>
      </c>
      <c r="T77" s="9">
        <v>3</v>
      </c>
      <c r="U77" s="9">
        <v>3</v>
      </c>
      <c r="V77" s="9">
        <v>2</v>
      </c>
      <c r="W77" s="9">
        <v>2</v>
      </c>
      <c r="X77" s="9">
        <v>1</v>
      </c>
      <c r="Y77" s="9">
        <v>1</v>
      </c>
      <c r="Z77" s="9" t="s">
        <v>1264</v>
      </c>
      <c r="AA77" s="9" t="s">
        <v>1284</v>
      </c>
      <c r="AB77" s="9" t="s">
        <v>1266</v>
      </c>
      <c r="AC77" s="9" t="s">
        <v>5544</v>
      </c>
      <c r="AD77" s="9" t="s">
        <v>5615</v>
      </c>
      <c r="AE77" t="str">
        <f t="shared" si="3"/>
        <v>Fast</v>
      </c>
      <c r="AF77">
        <f>IF($A77="","",IFERROR(VLOOKUP($B77,_CONFIG_Risk_Calibration!$A$5:$H$21,2,FALSE),3))</f>
        <v>3</v>
      </c>
      <c r="AG77">
        <f>IF($A77="","",IFERROR(VLOOKUP($B77,_CONFIG_Risk_Calibration!$A$5:$H$21,3,FALSE),0))</f>
        <v>0</v>
      </c>
      <c r="AH77">
        <f>IF($A77="","",IFERROR(VLOOKUP($B77,_CONFIG_Risk_Calibration!$A$5:$H$21,4,FALSE),3))</f>
        <v>3</v>
      </c>
      <c r="AI77">
        <f>IF($A77="","",IFERROR(VLOOKUP($B77,_CONFIG_Risk_Calibration!$A$5:$H$21,5,FALSE),3))</f>
        <v>3</v>
      </c>
      <c r="AJ77" t="str">
        <f>IF($A77="","",IFERROR(VLOOKUP($B77,_CONFIG_Risk_Calibration!$A$5:$H$21,6,FALSE),"No"))</f>
        <v>No</v>
      </c>
      <c r="AK77">
        <f>IF($A77="","",IFERROR(VLOOKUP($B77,_CONFIG_Risk_Calibration!$A$5:$H$21,7,FALSE),1))</f>
        <v>1</v>
      </c>
      <c r="AL77" t="str">
        <f>IF($A77="","",IFERROR(VLOOKUP($B77,_CONFIG_Risk_Calibration!$A$5:$H$21,8,FALSE),""))</f>
        <v>Clean template default. Calibrate with real exposure, incident history, evidence quality and domain-owner validation.</v>
      </c>
      <c r="AM77">
        <f>IF($A77="","",IFERROR(INDEX(_DATA_Assessment_Model!$AL$1:$AL$428,MATCH($A77,_DATA_Assessment_Model!$A$1:$A$428,0)),""))</f>
        <v>0</v>
      </c>
      <c r="AN77">
        <f t="shared" si="4"/>
        <v>1</v>
      </c>
      <c r="AO77">
        <f>IF($A77="","",_CONFIG_Model_Settings!$B$172*MAX(N($AK77),(N($AF77)+N($AI77))/2))</f>
        <v>60</v>
      </c>
      <c r="AP77">
        <f t="shared" si="5"/>
        <v>60</v>
      </c>
      <c r="AQ77">
        <f>IF($AP77="","",MAX(0,$AP77*(1-(_CONFIG_Model_Settings!$B$173+_CONFIG_Model_Settings!$B$174*(N($AH77)-1)))))</f>
        <v>39</v>
      </c>
      <c r="AR77">
        <f>IF($AP77="","",MIN(100,$AP77*(1+(_CONFIG_Model_Settings!$B$173+_CONFIG_Model_Settings!$B$174*(N($AH77)-1)))))</f>
        <v>81</v>
      </c>
    </row>
    <row r="78" spans="1:44" ht="84" customHeight="1">
      <c r="A78" s="9" t="s">
        <v>1291</v>
      </c>
      <c r="B78" s="9" t="s">
        <v>1259</v>
      </c>
      <c r="C78" s="9" t="s">
        <v>1270</v>
      </c>
      <c r="D78" s="9" t="s">
        <v>3682</v>
      </c>
      <c r="E78" s="9" t="s">
        <v>1292</v>
      </c>
      <c r="F78" s="9" t="s">
        <v>5616</v>
      </c>
      <c r="G78" s="9" t="s">
        <v>5617</v>
      </c>
      <c r="H78" s="9" t="s">
        <v>5618</v>
      </c>
      <c r="I78" s="9" t="s">
        <v>5619</v>
      </c>
      <c r="J78" s="9" t="s">
        <v>5620</v>
      </c>
      <c r="K78" s="9" t="s">
        <v>5621</v>
      </c>
      <c r="L78" s="9" t="s">
        <v>5622</v>
      </c>
      <c r="M78" s="9" t="s">
        <v>5623</v>
      </c>
      <c r="N78" s="9" t="s">
        <v>5624</v>
      </c>
      <c r="O78" s="9" t="s">
        <v>5625</v>
      </c>
      <c r="P78" s="9" t="s">
        <v>5626</v>
      </c>
      <c r="Q78" s="9" t="s">
        <v>5627</v>
      </c>
      <c r="R78" s="9" t="s">
        <v>4589</v>
      </c>
      <c r="S78" s="9" t="s">
        <v>5628</v>
      </c>
      <c r="T78" s="9">
        <v>3</v>
      </c>
      <c r="U78" s="9">
        <v>3</v>
      </c>
      <c r="V78" s="9">
        <v>2</v>
      </c>
      <c r="W78" s="9">
        <v>2</v>
      </c>
      <c r="X78" s="9">
        <v>1</v>
      </c>
      <c r="Y78" s="9">
        <v>1</v>
      </c>
      <c r="Z78" s="9" t="s">
        <v>1264</v>
      </c>
      <c r="AA78" s="9" t="s">
        <v>1293</v>
      </c>
      <c r="AB78" s="9" t="s">
        <v>1266</v>
      </c>
      <c r="AC78" s="9" t="s">
        <v>5544</v>
      </c>
      <c r="AD78" s="9" t="s">
        <v>5629</v>
      </c>
      <c r="AE78" t="str">
        <f t="shared" si="3"/>
        <v>Fast</v>
      </c>
      <c r="AF78">
        <f>IF($A78="","",IFERROR(VLOOKUP($B78,_CONFIG_Risk_Calibration!$A$5:$H$21,2,FALSE),3))</f>
        <v>3</v>
      </c>
      <c r="AG78">
        <f>IF($A78="","",IFERROR(VLOOKUP($B78,_CONFIG_Risk_Calibration!$A$5:$H$21,3,FALSE),0))</f>
        <v>0</v>
      </c>
      <c r="AH78">
        <f>IF($A78="","",IFERROR(VLOOKUP($B78,_CONFIG_Risk_Calibration!$A$5:$H$21,4,FALSE),3))</f>
        <v>3</v>
      </c>
      <c r="AI78">
        <f>IF($A78="","",IFERROR(VLOOKUP($B78,_CONFIG_Risk_Calibration!$A$5:$H$21,5,FALSE),3))</f>
        <v>3</v>
      </c>
      <c r="AJ78" t="str">
        <f>IF($A78="","",IFERROR(VLOOKUP($B78,_CONFIG_Risk_Calibration!$A$5:$H$21,6,FALSE),"No"))</f>
        <v>No</v>
      </c>
      <c r="AK78">
        <f>IF($A78="","",IFERROR(VLOOKUP($B78,_CONFIG_Risk_Calibration!$A$5:$H$21,7,FALSE),1))</f>
        <v>1</v>
      </c>
      <c r="AL78" t="str">
        <f>IF($A78="","",IFERROR(VLOOKUP($B78,_CONFIG_Risk_Calibration!$A$5:$H$21,8,FALSE),""))</f>
        <v>Clean template default. Calibrate with real exposure, incident history, evidence quality and domain-owner validation.</v>
      </c>
      <c r="AM78">
        <f>IF($A78="","",IFERROR(INDEX(_DATA_Assessment_Model!$AL$1:$AL$428,MATCH($A78,_DATA_Assessment_Model!$A$1:$A$428,0)),""))</f>
        <v>0</v>
      </c>
      <c r="AN78">
        <f t="shared" si="4"/>
        <v>1</v>
      </c>
      <c r="AO78">
        <f>IF($A78="","",_CONFIG_Model_Settings!$B$172*MAX(N($AK78),(N($AF78)+N($AI78))/2))</f>
        <v>60</v>
      </c>
      <c r="AP78">
        <f t="shared" si="5"/>
        <v>60</v>
      </c>
      <c r="AQ78">
        <f>IF($AP78="","",MAX(0,$AP78*(1-(_CONFIG_Model_Settings!$B$173+_CONFIG_Model_Settings!$B$174*(N($AH78)-1)))))</f>
        <v>39</v>
      </c>
      <c r="AR78">
        <f>IF($AP78="","",MIN(100,$AP78*(1+(_CONFIG_Model_Settings!$B$173+_CONFIG_Model_Settings!$B$174*(N($AH78)-1)))))</f>
        <v>81</v>
      </c>
    </row>
    <row r="79" spans="1:44" ht="72" customHeight="1">
      <c r="A79" s="9" t="s">
        <v>1294</v>
      </c>
      <c r="B79" s="9" t="s">
        <v>1259</v>
      </c>
      <c r="C79" s="9" t="s">
        <v>1270</v>
      </c>
      <c r="D79" s="9" t="s">
        <v>3682</v>
      </c>
      <c r="E79" s="9" t="s">
        <v>1295</v>
      </c>
      <c r="F79" s="9" t="s">
        <v>5630</v>
      </c>
      <c r="G79" s="9" t="s">
        <v>5631</v>
      </c>
      <c r="H79" s="9" t="s">
        <v>5632</v>
      </c>
      <c r="I79" s="9" t="s">
        <v>5633</v>
      </c>
      <c r="J79" s="9" t="s">
        <v>5634</v>
      </c>
      <c r="K79" s="9" t="s">
        <v>5635</v>
      </c>
      <c r="L79" s="9" t="s">
        <v>5636</v>
      </c>
      <c r="M79" s="9" t="s">
        <v>5637</v>
      </c>
      <c r="N79" s="9" t="s">
        <v>5638</v>
      </c>
      <c r="O79" s="9" t="s">
        <v>5639</v>
      </c>
      <c r="P79" s="9" t="s">
        <v>5640</v>
      </c>
      <c r="Q79" s="9" t="s">
        <v>5641</v>
      </c>
      <c r="R79" s="9" t="s">
        <v>4589</v>
      </c>
      <c r="S79" s="9" t="s">
        <v>5642</v>
      </c>
      <c r="T79" s="9">
        <v>3</v>
      </c>
      <c r="U79" s="9">
        <v>3</v>
      </c>
      <c r="V79" s="9">
        <v>2</v>
      </c>
      <c r="W79" s="9">
        <v>2</v>
      </c>
      <c r="X79" s="9">
        <v>1</v>
      </c>
      <c r="Y79" s="9">
        <v>1</v>
      </c>
      <c r="Z79" s="9" t="s">
        <v>1264</v>
      </c>
      <c r="AA79" s="9" t="s">
        <v>1296</v>
      </c>
      <c r="AB79" s="9" t="s">
        <v>1266</v>
      </c>
      <c r="AC79" s="9" t="s">
        <v>5544</v>
      </c>
      <c r="AD79" s="9" t="s">
        <v>5643</v>
      </c>
      <c r="AE79" t="str">
        <f t="shared" si="3"/>
        <v>Fast</v>
      </c>
      <c r="AF79">
        <f>IF($A79="","",IFERROR(VLOOKUP($B79,_CONFIG_Risk_Calibration!$A$5:$H$21,2,FALSE),3))</f>
        <v>3</v>
      </c>
      <c r="AG79">
        <f>IF($A79="","",IFERROR(VLOOKUP($B79,_CONFIG_Risk_Calibration!$A$5:$H$21,3,FALSE),0))</f>
        <v>0</v>
      </c>
      <c r="AH79">
        <f>IF($A79="","",IFERROR(VLOOKUP($B79,_CONFIG_Risk_Calibration!$A$5:$H$21,4,FALSE),3))</f>
        <v>3</v>
      </c>
      <c r="AI79">
        <f>IF($A79="","",IFERROR(VLOOKUP($B79,_CONFIG_Risk_Calibration!$A$5:$H$21,5,FALSE),3))</f>
        <v>3</v>
      </c>
      <c r="AJ79" t="str">
        <f>IF($A79="","",IFERROR(VLOOKUP($B79,_CONFIG_Risk_Calibration!$A$5:$H$21,6,FALSE),"No"))</f>
        <v>No</v>
      </c>
      <c r="AK79">
        <f>IF($A79="","",IFERROR(VLOOKUP($B79,_CONFIG_Risk_Calibration!$A$5:$H$21,7,FALSE),1))</f>
        <v>1</v>
      </c>
      <c r="AL79" t="str">
        <f>IF($A79="","",IFERROR(VLOOKUP($B79,_CONFIG_Risk_Calibration!$A$5:$H$21,8,FALSE),""))</f>
        <v>Clean template default. Calibrate with real exposure, incident history, evidence quality and domain-owner validation.</v>
      </c>
      <c r="AM79">
        <f>IF($A79="","",IFERROR(INDEX(_DATA_Assessment_Model!$AL$1:$AL$428,MATCH($A79,_DATA_Assessment_Model!$A$1:$A$428,0)),""))</f>
        <v>0</v>
      </c>
      <c r="AN79">
        <f t="shared" si="4"/>
        <v>1</v>
      </c>
      <c r="AO79">
        <f>IF($A79="","",_CONFIG_Model_Settings!$B$172*MAX(N($AK79),(N($AF79)+N($AI79))/2))</f>
        <v>60</v>
      </c>
      <c r="AP79">
        <f t="shared" si="5"/>
        <v>60</v>
      </c>
      <c r="AQ79">
        <f>IF($AP79="","",MAX(0,$AP79*(1-(_CONFIG_Model_Settings!$B$173+_CONFIG_Model_Settings!$B$174*(N($AH79)-1)))))</f>
        <v>39</v>
      </c>
      <c r="AR79">
        <f>IF($AP79="","",MIN(100,$AP79*(1+(_CONFIG_Model_Settings!$B$173+_CONFIG_Model_Settings!$B$174*(N($AH79)-1)))))</f>
        <v>81</v>
      </c>
    </row>
    <row r="80" spans="1:44" ht="84" customHeight="1">
      <c r="A80" s="9" t="s">
        <v>1297</v>
      </c>
      <c r="B80" s="9" t="s">
        <v>1259</v>
      </c>
      <c r="C80" s="9" t="s">
        <v>1270</v>
      </c>
      <c r="D80" s="9" t="s">
        <v>3682</v>
      </c>
      <c r="E80" s="9" t="s">
        <v>1298</v>
      </c>
      <c r="F80" s="9" t="s">
        <v>5644</v>
      </c>
      <c r="G80" s="9" t="s">
        <v>5645</v>
      </c>
      <c r="H80" s="9" t="s">
        <v>5646</v>
      </c>
      <c r="I80" s="9" t="s">
        <v>5647</v>
      </c>
      <c r="J80" s="9" t="s">
        <v>5648</v>
      </c>
      <c r="K80" s="9" t="s">
        <v>5649</v>
      </c>
      <c r="L80" s="9" t="s">
        <v>5650</v>
      </c>
      <c r="M80" s="9" t="s">
        <v>5651</v>
      </c>
      <c r="N80" s="9" t="s">
        <v>5652</v>
      </c>
      <c r="O80" s="9" t="s">
        <v>5653</v>
      </c>
      <c r="P80" s="9" t="s">
        <v>5654</v>
      </c>
      <c r="Q80" s="9" t="s">
        <v>5655</v>
      </c>
      <c r="R80" s="9" t="s">
        <v>4589</v>
      </c>
      <c r="S80" s="9" t="s">
        <v>5656</v>
      </c>
      <c r="T80" s="9">
        <v>3</v>
      </c>
      <c r="U80" s="9">
        <v>3</v>
      </c>
      <c r="V80" s="9">
        <v>2</v>
      </c>
      <c r="W80" s="9">
        <v>2</v>
      </c>
      <c r="X80" s="9">
        <v>1</v>
      </c>
      <c r="Y80" s="9">
        <v>1</v>
      </c>
      <c r="Z80" s="9" t="s">
        <v>1264</v>
      </c>
      <c r="AA80" s="9" t="s">
        <v>1299</v>
      </c>
      <c r="AB80" s="9" t="s">
        <v>1266</v>
      </c>
      <c r="AC80" s="9" t="s">
        <v>5544</v>
      </c>
      <c r="AD80" s="9" t="s">
        <v>5657</v>
      </c>
      <c r="AE80" t="str">
        <f t="shared" si="3"/>
        <v>Fast</v>
      </c>
      <c r="AF80">
        <f>IF($A80="","",IFERROR(VLOOKUP($B80,_CONFIG_Risk_Calibration!$A$5:$H$21,2,FALSE),3))</f>
        <v>3</v>
      </c>
      <c r="AG80">
        <f>IF($A80="","",IFERROR(VLOOKUP($B80,_CONFIG_Risk_Calibration!$A$5:$H$21,3,FALSE),0))</f>
        <v>0</v>
      </c>
      <c r="AH80">
        <f>IF($A80="","",IFERROR(VLOOKUP($B80,_CONFIG_Risk_Calibration!$A$5:$H$21,4,FALSE),3))</f>
        <v>3</v>
      </c>
      <c r="AI80">
        <f>IF($A80="","",IFERROR(VLOOKUP($B80,_CONFIG_Risk_Calibration!$A$5:$H$21,5,FALSE),3))</f>
        <v>3</v>
      </c>
      <c r="AJ80" t="str">
        <f>IF($A80="","",IFERROR(VLOOKUP($B80,_CONFIG_Risk_Calibration!$A$5:$H$21,6,FALSE),"No"))</f>
        <v>No</v>
      </c>
      <c r="AK80">
        <f>IF($A80="","",IFERROR(VLOOKUP($B80,_CONFIG_Risk_Calibration!$A$5:$H$21,7,FALSE),1))</f>
        <v>1</v>
      </c>
      <c r="AL80" t="str">
        <f>IF($A80="","",IFERROR(VLOOKUP($B80,_CONFIG_Risk_Calibration!$A$5:$H$21,8,FALSE),""))</f>
        <v>Clean template default. Calibrate with real exposure, incident history, evidence quality and domain-owner validation.</v>
      </c>
      <c r="AM80">
        <f>IF($A80="","",IFERROR(INDEX(_DATA_Assessment_Model!$AL$1:$AL$428,MATCH($A80,_DATA_Assessment_Model!$A$1:$A$428,0)),""))</f>
        <v>0</v>
      </c>
      <c r="AN80">
        <f t="shared" si="4"/>
        <v>1</v>
      </c>
      <c r="AO80">
        <f>IF($A80="","",_CONFIG_Model_Settings!$B$172*MAX(N($AK80),(N($AF80)+N($AI80))/2))</f>
        <v>60</v>
      </c>
      <c r="AP80">
        <f t="shared" si="5"/>
        <v>60</v>
      </c>
      <c r="AQ80">
        <f>IF($AP80="","",MAX(0,$AP80*(1-(_CONFIG_Model_Settings!$B$173+_CONFIG_Model_Settings!$B$174*(N($AH80)-1)))))</f>
        <v>39</v>
      </c>
      <c r="AR80">
        <f>IF($AP80="","",MIN(100,$AP80*(1+(_CONFIG_Model_Settings!$B$173+_CONFIG_Model_Settings!$B$174*(N($AH80)-1)))))</f>
        <v>81</v>
      </c>
    </row>
    <row r="81" spans="1:44" ht="84" customHeight="1">
      <c r="A81" s="9" t="s">
        <v>1300</v>
      </c>
      <c r="B81" s="9" t="s">
        <v>1259</v>
      </c>
      <c r="C81" s="9" t="s">
        <v>1270</v>
      </c>
      <c r="D81" s="9" t="s">
        <v>3682</v>
      </c>
      <c r="E81" s="9" t="s">
        <v>1301</v>
      </c>
      <c r="F81" s="9" t="s">
        <v>5658</v>
      </c>
      <c r="G81" s="9" t="s">
        <v>5659</v>
      </c>
      <c r="H81" s="9" t="s">
        <v>5660</v>
      </c>
      <c r="I81" s="9" t="s">
        <v>5661</v>
      </c>
      <c r="J81" s="9" t="s">
        <v>5662</v>
      </c>
      <c r="K81" s="9" t="s">
        <v>5663</v>
      </c>
      <c r="L81" s="9" t="s">
        <v>5664</v>
      </c>
      <c r="M81" s="9" t="s">
        <v>5665</v>
      </c>
      <c r="N81" s="9" t="s">
        <v>5666</v>
      </c>
      <c r="O81" s="9" t="s">
        <v>5667</v>
      </c>
      <c r="P81" s="9" t="s">
        <v>5668</v>
      </c>
      <c r="Q81" s="9" t="s">
        <v>5669</v>
      </c>
      <c r="R81" s="9" t="s">
        <v>4589</v>
      </c>
      <c r="S81" s="9" t="s">
        <v>5670</v>
      </c>
      <c r="T81" s="9">
        <v>3</v>
      </c>
      <c r="U81" s="9">
        <v>3</v>
      </c>
      <c r="V81" s="9">
        <v>2</v>
      </c>
      <c r="W81" s="9">
        <v>2</v>
      </c>
      <c r="X81" s="9">
        <v>1</v>
      </c>
      <c r="Y81" s="9">
        <v>1</v>
      </c>
      <c r="Z81" s="9" t="s">
        <v>1264</v>
      </c>
      <c r="AA81" s="9" t="s">
        <v>1302</v>
      </c>
      <c r="AB81" s="9" t="s">
        <v>1266</v>
      </c>
      <c r="AC81" s="9" t="s">
        <v>5544</v>
      </c>
      <c r="AD81" s="9" t="s">
        <v>5671</v>
      </c>
      <c r="AE81" t="str">
        <f t="shared" si="3"/>
        <v>Fast</v>
      </c>
      <c r="AF81">
        <f>IF($A81="","",IFERROR(VLOOKUP($B81,_CONFIG_Risk_Calibration!$A$5:$H$21,2,FALSE),3))</f>
        <v>3</v>
      </c>
      <c r="AG81">
        <f>IF($A81="","",IFERROR(VLOOKUP($B81,_CONFIG_Risk_Calibration!$A$5:$H$21,3,FALSE),0))</f>
        <v>0</v>
      </c>
      <c r="AH81">
        <f>IF($A81="","",IFERROR(VLOOKUP($B81,_CONFIG_Risk_Calibration!$A$5:$H$21,4,FALSE),3))</f>
        <v>3</v>
      </c>
      <c r="AI81">
        <f>IF($A81="","",IFERROR(VLOOKUP($B81,_CONFIG_Risk_Calibration!$A$5:$H$21,5,FALSE),3))</f>
        <v>3</v>
      </c>
      <c r="AJ81" t="str">
        <f>IF($A81="","",IFERROR(VLOOKUP($B81,_CONFIG_Risk_Calibration!$A$5:$H$21,6,FALSE),"No"))</f>
        <v>No</v>
      </c>
      <c r="AK81">
        <f>IF($A81="","",IFERROR(VLOOKUP($B81,_CONFIG_Risk_Calibration!$A$5:$H$21,7,FALSE),1))</f>
        <v>1</v>
      </c>
      <c r="AL81" t="str">
        <f>IF($A81="","",IFERROR(VLOOKUP($B81,_CONFIG_Risk_Calibration!$A$5:$H$21,8,FALSE),""))</f>
        <v>Clean template default. Calibrate with real exposure, incident history, evidence quality and domain-owner validation.</v>
      </c>
      <c r="AM81">
        <f>IF($A81="","",IFERROR(INDEX(_DATA_Assessment_Model!$AL$1:$AL$428,MATCH($A81,_DATA_Assessment_Model!$A$1:$A$428,0)),""))</f>
        <v>0</v>
      </c>
      <c r="AN81">
        <f t="shared" si="4"/>
        <v>1</v>
      </c>
      <c r="AO81">
        <f>IF($A81="","",_CONFIG_Model_Settings!$B$172*MAX(N($AK81),(N($AF81)+N($AI81))/2))</f>
        <v>60</v>
      </c>
      <c r="AP81">
        <f t="shared" si="5"/>
        <v>60</v>
      </c>
      <c r="AQ81">
        <f>IF($AP81="","",MAX(0,$AP81*(1-(_CONFIG_Model_Settings!$B$173+_CONFIG_Model_Settings!$B$174*(N($AH81)-1)))))</f>
        <v>39</v>
      </c>
      <c r="AR81">
        <f>IF($AP81="","",MIN(100,$AP81*(1+(_CONFIG_Model_Settings!$B$173+_CONFIG_Model_Settings!$B$174*(N($AH81)-1)))))</f>
        <v>81</v>
      </c>
    </row>
    <row r="82" spans="1:44" ht="84" customHeight="1">
      <c r="A82" s="9" t="s">
        <v>1303</v>
      </c>
      <c r="B82" s="9" t="s">
        <v>1259</v>
      </c>
      <c r="C82" s="9" t="s">
        <v>1270</v>
      </c>
      <c r="D82" s="9" t="s">
        <v>3682</v>
      </c>
      <c r="E82" s="9" t="s">
        <v>1304</v>
      </c>
      <c r="F82" s="9" t="s">
        <v>5672</v>
      </c>
      <c r="G82" s="9" t="s">
        <v>5673</v>
      </c>
      <c r="H82" s="9" t="s">
        <v>5674</v>
      </c>
      <c r="I82" s="9" t="s">
        <v>5675</v>
      </c>
      <c r="J82" s="9" t="s">
        <v>5676</v>
      </c>
      <c r="K82" s="9" t="s">
        <v>5677</v>
      </c>
      <c r="L82" s="9" t="s">
        <v>5678</v>
      </c>
      <c r="M82" s="9" t="s">
        <v>5679</v>
      </c>
      <c r="N82" s="9" t="s">
        <v>5680</v>
      </c>
      <c r="O82" s="9" t="s">
        <v>5681</v>
      </c>
      <c r="P82" s="9" t="s">
        <v>5682</v>
      </c>
      <c r="Q82" s="9" t="s">
        <v>5683</v>
      </c>
      <c r="R82" s="9" t="s">
        <v>4589</v>
      </c>
      <c r="S82" s="9" t="s">
        <v>5684</v>
      </c>
      <c r="T82" s="9">
        <v>3</v>
      </c>
      <c r="U82" s="9">
        <v>3</v>
      </c>
      <c r="V82" s="9">
        <v>2</v>
      </c>
      <c r="W82" s="9">
        <v>2</v>
      </c>
      <c r="X82" s="9">
        <v>1</v>
      </c>
      <c r="Y82" s="9">
        <v>1</v>
      </c>
      <c r="Z82" s="9" t="s">
        <v>1264</v>
      </c>
      <c r="AA82" s="9" t="s">
        <v>1305</v>
      </c>
      <c r="AB82" s="9" t="s">
        <v>1266</v>
      </c>
      <c r="AC82" s="9" t="s">
        <v>5544</v>
      </c>
      <c r="AD82" s="9" t="s">
        <v>5685</v>
      </c>
      <c r="AE82" t="str">
        <f t="shared" si="3"/>
        <v>Fast</v>
      </c>
      <c r="AF82">
        <f>IF($A82="","",IFERROR(VLOOKUP($B82,_CONFIG_Risk_Calibration!$A$5:$H$21,2,FALSE),3))</f>
        <v>3</v>
      </c>
      <c r="AG82">
        <f>IF($A82="","",IFERROR(VLOOKUP($B82,_CONFIG_Risk_Calibration!$A$5:$H$21,3,FALSE),0))</f>
        <v>0</v>
      </c>
      <c r="AH82">
        <f>IF($A82="","",IFERROR(VLOOKUP($B82,_CONFIG_Risk_Calibration!$A$5:$H$21,4,FALSE),3))</f>
        <v>3</v>
      </c>
      <c r="AI82">
        <f>IF($A82="","",IFERROR(VLOOKUP($B82,_CONFIG_Risk_Calibration!$A$5:$H$21,5,FALSE),3))</f>
        <v>3</v>
      </c>
      <c r="AJ82" t="str">
        <f>IF($A82="","",IFERROR(VLOOKUP($B82,_CONFIG_Risk_Calibration!$A$5:$H$21,6,FALSE),"No"))</f>
        <v>No</v>
      </c>
      <c r="AK82">
        <f>IF($A82="","",IFERROR(VLOOKUP($B82,_CONFIG_Risk_Calibration!$A$5:$H$21,7,FALSE),1))</f>
        <v>1</v>
      </c>
      <c r="AL82" t="str">
        <f>IF($A82="","",IFERROR(VLOOKUP($B82,_CONFIG_Risk_Calibration!$A$5:$H$21,8,FALSE),""))</f>
        <v>Clean template default. Calibrate with real exposure, incident history, evidence quality and domain-owner validation.</v>
      </c>
      <c r="AM82">
        <f>IF($A82="","",IFERROR(INDEX(_DATA_Assessment_Model!$AL$1:$AL$428,MATCH($A82,_DATA_Assessment_Model!$A$1:$A$428,0)),""))</f>
        <v>0</v>
      </c>
      <c r="AN82">
        <f t="shared" si="4"/>
        <v>1</v>
      </c>
      <c r="AO82">
        <f>IF($A82="","",_CONFIG_Model_Settings!$B$172*MAX(N($AK82),(N($AF82)+N($AI82))/2))</f>
        <v>60</v>
      </c>
      <c r="AP82">
        <f t="shared" si="5"/>
        <v>60</v>
      </c>
      <c r="AQ82">
        <f>IF($AP82="","",MAX(0,$AP82*(1-(_CONFIG_Model_Settings!$B$173+_CONFIG_Model_Settings!$B$174*(N($AH82)-1)))))</f>
        <v>39</v>
      </c>
      <c r="AR82">
        <f>IF($AP82="","",MIN(100,$AP82*(1+(_CONFIG_Model_Settings!$B$173+_CONFIG_Model_Settings!$B$174*(N($AH82)-1)))))</f>
        <v>81</v>
      </c>
    </row>
    <row r="83" spans="1:44" ht="84" customHeight="1">
      <c r="A83" s="9" t="s">
        <v>1306</v>
      </c>
      <c r="B83" s="9" t="s">
        <v>1259</v>
      </c>
      <c r="C83" s="9" t="s">
        <v>1270</v>
      </c>
      <c r="D83" s="9" t="s">
        <v>3682</v>
      </c>
      <c r="E83" s="9" t="s">
        <v>1307</v>
      </c>
      <c r="F83" s="9" t="s">
        <v>5686</v>
      </c>
      <c r="G83" s="9" t="s">
        <v>5687</v>
      </c>
      <c r="H83" s="9" t="s">
        <v>5688</v>
      </c>
      <c r="I83" s="9" t="s">
        <v>5689</v>
      </c>
      <c r="J83" s="9" t="s">
        <v>5690</v>
      </c>
      <c r="K83" s="9" t="s">
        <v>5691</v>
      </c>
      <c r="L83" s="9" t="s">
        <v>5692</v>
      </c>
      <c r="M83" s="9" t="s">
        <v>5693</v>
      </c>
      <c r="N83" s="9" t="s">
        <v>5694</v>
      </c>
      <c r="O83" s="9" t="s">
        <v>5695</v>
      </c>
      <c r="P83" s="9" t="s">
        <v>5696</v>
      </c>
      <c r="Q83" s="9" t="s">
        <v>5697</v>
      </c>
      <c r="R83" s="9" t="s">
        <v>4589</v>
      </c>
      <c r="S83" s="9" t="s">
        <v>5698</v>
      </c>
      <c r="T83" s="9">
        <v>3</v>
      </c>
      <c r="U83" s="9">
        <v>3</v>
      </c>
      <c r="V83" s="9">
        <v>2</v>
      </c>
      <c r="W83" s="9">
        <v>2</v>
      </c>
      <c r="X83" s="9">
        <v>1</v>
      </c>
      <c r="Y83" s="9">
        <v>1</v>
      </c>
      <c r="Z83" s="9" t="s">
        <v>1264</v>
      </c>
      <c r="AA83" s="9" t="s">
        <v>1308</v>
      </c>
      <c r="AB83" s="9" t="s">
        <v>1266</v>
      </c>
      <c r="AC83" s="9" t="s">
        <v>5544</v>
      </c>
      <c r="AD83" s="9" t="s">
        <v>5699</v>
      </c>
      <c r="AE83" t="str">
        <f t="shared" si="3"/>
        <v>Fast</v>
      </c>
      <c r="AF83">
        <f>IF($A83="","",IFERROR(VLOOKUP($B83,_CONFIG_Risk_Calibration!$A$5:$H$21,2,FALSE),3))</f>
        <v>3</v>
      </c>
      <c r="AG83">
        <f>IF($A83="","",IFERROR(VLOOKUP($B83,_CONFIG_Risk_Calibration!$A$5:$H$21,3,FALSE),0))</f>
        <v>0</v>
      </c>
      <c r="AH83">
        <f>IF($A83="","",IFERROR(VLOOKUP($B83,_CONFIG_Risk_Calibration!$A$5:$H$21,4,FALSE),3))</f>
        <v>3</v>
      </c>
      <c r="AI83">
        <f>IF($A83="","",IFERROR(VLOOKUP($B83,_CONFIG_Risk_Calibration!$A$5:$H$21,5,FALSE),3))</f>
        <v>3</v>
      </c>
      <c r="AJ83" t="str">
        <f>IF($A83="","",IFERROR(VLOOKUP($B83,_CONFIG_Risk_Calibration!$A$5:$H$21,6,FALSE),"No"))</f>
        <v>No</v>
      </c>
      <c r="AK83">
        <f>IF($A83="","",IFERROR(VLOOKUP($B83,_CONFIG_Risk_Calibration!$A$5:$H$21,7,FALSE),1))</f>
        <v>1</v>
      </c>
      <c r="AL83" t="str">
        <f>IF($A83="","",IFERROR(VLOOKUP($B83,_CONFIG_Risk_Calibration!$A$5:$H$21,8,FALSE),""))</f>
        <v>Clean template default. Calibrate with real exposure, incident history, evidence quality and domain-owner validation.</v>
      </c>
      <c r="AM83">
        <f>IF($A83="","",IFERROR(INDEX(_DATA_Assessment_Model!$AL$1:$AL$428,MATCH($A83,_DATA_Assessment_Model!$A$1:$A$428,0)),""))</f>
        <v>0</v>
      </c>
      <c r="AN83">
        <f t="shared" si="4"/>
        <v>1</v>
      </c>
      <c r="AO83">
        <f>IF($A83="","",_CONFIG_Model_Settings!$B$172*MAX(N($AK83),(N($AF83)+N($AI83))/2))</f>
        <v>60</v>
      </c>
      <c r="AP83">
        <f t="shared" si="5"/>
        <v>60</v>
      </c>
      <c r="AQ83">
        <f>IF($AP83="","",MAX(0,$AP83*(1-(_CONFIG_Model_Settings!$B$173+_CONFIG_Model_Settings!$B$174*(N($AH83)-1)))))</f>
        <v>39</v>
      </c>
      <c r="AR83">
        <f>IF($AP83="","",MIN(100,$AP83*(1+(_CONFIG_Model_Settings!$B$173+_CONFIG_Model_Settings!$B$174*(N($AH83)-1)))))</f>
        <v>81</v>
      </c>
    </row>
    <row r="84" spans="1:44" ht="84" customHeight="1">
      <c r="A84" s="9" t="s">
        <v>1309</v>
      </c>
      <c r="B84" s="9" t="s">
        <v>1259</v>
      </c>
      <c r="C84" s="9" t="s">
        <v>1274</v>
      </c>
      <c r="D84" s="9" t="s">
        <v>3682</v>
      </c>
      <c r="E84" s="9" t="s">
        <v>1310</v>
      </c>
      <c r="F84" s="9" t="s">
        <v>5700</v>
      </c>
      <c r="G84" s="9" t="s">
        <v>5701</v>
      </c>
      <c r="H84" s="9" t="s">
        <v>5702</v>
      </c>
      <c r="I84" s="9" t="s">
        <v>5703</v>
      </c>
      <c r="J84" s="9" t="s">
        <v>5704</v>
      </c>
      <c r="K84" s="9" t="s">
        <v>5705</v>
      </c>
      <c r="L84" s="9" t="s">
        <v>5706</v>
      </c>
      <c r="M84" s="9" t="s">
        <v>5707</v>
      </c>
      <c r="N84" s="9" t="s">
        <v>5708</v>
      </c>
      <c r="O84" s="9" t="s">
        <v>5709</v>
      </c>
      <c r="P84" s="9" t="s">
        <v>5710</v>
      </c>
      <c r="Q84" s="9" t="s">
        <v>5711</v>
      </c>
      <c r="R84" s="9" t="s">
        <v>4589</v>
      </c>
      <c r="S84" s="9" t="s">
        <v>5712</v>
      </c>
      <c r="T84" s="9">
        <v>3</v>
      </c>
      <c r="U84" s="9">
        <v>3</v>
      </c>
      <c r="V84" s="9">
        <v>2</v>
      </c>
      <c r="W84" s="9">
        <v>2</v>
      </c>
      <c r="X84" s="9">
        <v>1</v>
      </c>
      <c r="Y84" s="9">
        <v>1</v>
      </c>
      <c r="Z84" s="9" t="s">
        <v>1264</v>
      </c>
      <c r="AA84" s="9" t="s">
        <v>1311</v>
      </c>
      <c r="AB84" s="9" t="s">
        <v>1266</v>
      </c>
      <c r="AC84" s="9" t="s">
        <v>5544</v>
      </c>
      <c r="AD84" s="9" t="s">
        <v>5713</v>
      </c>
      <c r="AE84" t="str">
        <f t="shared" si="3"/>
        <v>Fast</v>
      </c>
      <c r="AF84">
        <f>IF($A84="","",IFERROR(VLOOKUP($B84,_CONFIG_Risk_Calibration!$A$5:$H$21,2,FALSE),3))</f>
        <v>3</v>
      </c>
      <c r="AG84">
        <f>IF($A84="","",IFERROR(VLOOKUP($B84,_CONFIG_Risk_Calibration!$A$5:$H$21,3,FALSE),0))</f>
        <v>0</v>
      </c>
      <c r="AH84">
        <f>IF($A84="","",IFERROR(VLOOKUP($B84,_CONFIG_Risk_Calibration!$A$5:$H$21,4,FALSE),3))</f>
        <v>3</v>
      </c>
      <c r="AI84">
        <f>IF($A84="","",IFERROR(VLOOKUP($B84,_CONFIG_Risk_Calibration!$A$5:$H$21,5,FALSE),3))</f>
        <v>3</v>
      </c>
      <c r="AJ84" t="str">
        <f>IF($A84="","",IFERROR(VLOOKUP($B84,_CONFIG_Risk_Calibration!$A$5:$H$21,6,FALSE),"No"))</f>
        <v>No</v>
      </c>
      <c r="AK84">
        <f>IF($A84="","",IFERROR(VLOOKUP($B84,_CONFIG_Risk_Calibration!$A$5:$H$21,7,FALSE),1))</f>
        <v>1</v>
      </c>
      <c r="AL84" t="str">
        <f>IF($A84="","",IFERROR(VLOOKUP($B84,_CONFIG_Risk_Calibration!$A$5:$H$21,8,FALSE),""))</f>
        <v>Clean template default. Calibrate with real exposure, incident history, evidence quality and domain-owner validation.</v>
      </c>
      <c r="AM84">
        <f>IF($A84="","",IFERROR(INDEX(_DATA_Assessment_Model!$AL$1:$AL$428,MATCH($A84,_DATA_Assessment_Model!$A$1:$A$428,0)),""))</f>
        <v>0</v>
      </c>
      <c r="AN84">
        <f t="shared" si="4"/>
        <v>1</v>
      </c>
      <c r="AO84">
        <f>IF($A84="","",_CONFIG_Model_Settings!$B$172*MAX(N($AK84),(N($AF84)+N($AI84))/2))</f>
        <v>60</v>
      </c>
      <c r="AP84">
        <f t="shared" si="5"/>
        <v>60</v>
      </c>
      <c r="AQ84">
        <f>IF($AP84="","",MAX(0,$AP84*(1-(_CONFIG_Model_Settings!$B$173+_CONFIG_Model_Settings!$B$174*(N($AH84)-1)))))</f>
        <v>39</v>
      </c>
      <c r="AR84">
        <f>IF($AP84="","",MIN(100,$AP84*(1+(_CONFIG_Model_Settings!$B$173+_CONFIG_Model_Settings!$B$174*(N($AH84)-1)))))</f>
        <v>81</v>
      </c>
    </row>
    <row r="85" spans="1:44" ht="84" customHeight="1">
      <c r="A85" s="9" t="s">
        <v>1312</v>
      </c>
      <c r="B85" s="9" t="s">
        <v>1259</v>
      </c>
      <c r="C85" s="9" t="s">
        <v>1274</v>
      </c>
      <c r="D85" s="9" t="s">
        <v>3682</v>
      </c>
      <c r="E85" s="9" t="s">
        <v>1313</v>
      </c>
      <c r="F85" s="9" t="s">
        <v>5714</v>
      </c>
      <c r="G85" s="9" t="s">
        <v>5715</v>
      </c>
      <c r="H85" s="9" t="s">
        <v>5716</v>
      </c>
      <c r="I85" s="9" t="s">
        <v>5717</v>
      </c>
      <c r="J85" s="9" t="s">
        <v>5718</v>
      </c>
      <c r="K85" s="9" t="s">
        <v>5719</v>
      </c>
      <c r="L85" s="9" t="s">
        <v>5720</v>
      </c>
      <c r="M85" s="9" t="s">
        <v>5721</v>
      </c>
      <c r="N85" s="9" t="s">
        <v>5722</v>
      </c>
      <c r="O85" s="9" t="s">
        <v>5723</v>
      </c>
      <c r="P85" s="9" t="s">
        <v>5724</v>
      </c>
      <c r="Q85" s="9" t="s">
        <v>5725</v>
      </c>
      <c r="R85" s="9" t="s">
        <v>4589</v>
      </c>
      <c r="S85" s="9" t="s">
        <v>5726</v>
      </c>
      <c r="T85" s="9">
        <v>3</v>
      </c>
      <c r="U85" s="9">
        <v>3</v>
      </c>
      <c r="V85" s="9">
        <v>2</v>
      </c>
      <c r="W85" s="9">
        <v>2</v>
      </c>
      <c r="X85" s="9">
        <v>1</v>
      </c>
      <c r="Y85" s="9">
        <v>1</v>
      </c>
      <c r="Z85" s="9" t="s">
        <v>1264</v>
      </c>
      <c r="AA85" s="9" t="s">
        <v>1314</v>
      </c>
      <c r="AB85" s="9" t="s">
        <v>1266</v>
      </c>
      <c r="AC85" s="9" t="s">
        <v>5544</v>
      </c>
      <c r="AD85" s="9" t="s">
        <v>5727</v>
      </c>
      <c r="AE85" t="str">
        <f t="shared" si="3"/>
        <v>Fast</v>
      </c>
      <c r="AF85">
        <f>IF($A85="","",IFERROR(VLOOKUP($B85,_CONFIG_Risk_Calibration!$A$5:$H$21,2,FALSE),3))</f>
        <v>3</v>
      </c>
      <c r="AG85">
        <f>IF($A85="","",IFERROR(VLOOKUP($B85,_CONFIG_Risk_Calibration!$A$5:$H$21,3,FALSE),0))</f>
        <v>0</v>
      </c>
      <c r="AH85">
        <f>IF($A85="","",IFERROR(VLOOKUP($B85,_CONFIG_Risk_Calibration!$A$5:$H$21,4,FALSE),3))</f>
        <v>3</v>
      </c>
      <c r="AI85">
        <f>IF($A85="","",IFERROR(VLOOKUP($B85,_CONFIG_Risk_Calibration!$A$5:$H$21,5,FALSE),3))</f>
        <v>3</v>
      </c>
      <c r="AJ85" t="str">
        <f>IF($A85="","",IFERROR(VLOOKUP($B85,_CONFIG_Risk_Calibration!$A$5:$H$21,6,FALSE),"No"))</f>
        <v>No</v>
      </c>
      <c r="AK85">
        <f>IF($A85="","",IFERROR(VLOOKUP($B85,_CONFIG_Risk_Calibration!$A$5:$H$21,7,FALSE),1))</f>
        <v>1</v>
      </c>
      <c r="AL85" t="str">
        <f>IF($A85="","",IFERROR(VLOOKUP($B85,_CONFIG_Risk_Calibration!$A$5:$H$21,8,FALSE),""))</f>
        <v>Clean template default. Calibrate with real exposure, incident history, evidence quality and domain-owner validation.</v>
      </c>
      <c r="AM85">
        <f>IF($A85="","",IFERROR(INDEX(_DATA_Assessment_Model!$AL$1:$AL$428,MATCH($A85,_DATA_Assessment_Model!$A$1:$A$428,0)),""))</f>
        <v>0</v>
      </c>
      <c r="AN85">
        <f t="shared" si="4"/>
        <v>1</v>
      </c>
      <c r="AO85">
        <f>IF($A85="","",_CONFIG_Model_Settings!$B$172*MAX(N($AK85),(N($AF85)+N($AI85))/2))</f>
        <v>60</v>
      </c>
      <c r="AP85">
        <f t="shared" si="5"/>
        <v>60</v>
      </c>
      <c r="AQ85">
        <f>IF($AP85="","",MAX(0,$AP85*(1-(_CONFIG_Model_Settings!$B$173+_CONFIG_Model_Settings!$B$174*(N($AH85)-1)))))</f>
        <v>39</v>
      </c>
      <c r="AR85">
        <f>IF($AP85="","",MIN(100,$AP85*(1+(_CONFIG_Model_Settings!$B$173+_CONFIG_Model_Settings!$B$174*(N($AH85)-1)))))</f>
        <v>81</v>
      </c>
    </row>
    <row r="86" spans="1:44" ht="72" customHeight="1">
      <c r="A86" s="9" t="s">
        <v>1321</v>
      </c>
      <c r="B86" s="9" t="s">
        <v>1259</v>
      </c>
      <c r="C86" s="9" t="s">
        <v>1274</v>
      </c>
      <c r="D86" s="9" t="s">
        <v>3682</v>
      </c>
      <c r="E86" s="9" t="s">
        <v>1322</v>
      </c>
      <c r="F86" s="9" t="s">
        <v>5728</v>
      </c>
      <c r="G86" s="9" t="s">
        <v>5729</v>
      </c>
      <c r="H86" s="9" t="s">
        <v>5730</v>
      </c>
      <c r="I86" s="9" t="s">
        <v>5731</v>
      </c>
      <c r="J86" s="9" t="s">
        <v>5732</v>
      </c>
      <c r="K86" s="9" t="s">
        <v>5733</v>
      </c>
      <c r="L86" s="9" t="s">
        <v>5734</v>
      </c>
      <c r="M86" s="9" t="s">
        <v>5735</v>
      </c>
      <c r="N86" s="9" t="s">
        <v>5736</v>
      </c>
      <c r="O86" s="9" t="s">
        <v>5737</v>
      </c>
      <c r="P86" s="9" t="s">
        <v>5738</v>
      </c>
      <c r="Q86" s="9" t="s">
        <v>5739</v>
      </c>
      <c r="R86" s="9" t="s">
        <v>4589</v>
      </c>
      <c r="S86" s="9" t="s">
        <v>5740</v>
      </c>
      <c r="T86" s="9">
        <v>3</v>
      </c>
      <c r="U86" s="9">
        <v>3</v>
      </c>
      <c r="V86" s="9">
        <v>2</v>
      </c>
      <c r="W86" s="9">
        <v>2</v>
      </c>
      <c r="X86" s="9">
        <v>1</v>
      </c>
      <c r="Y86" s="9">
        <v>1</v>
      </c>
      <c r="Z86" s="9" t="s">
        <v>1264</v>
      </c>
      <c r="AA86" s="9" t="s">
        <v>1323</v>
      </c>
      <c r="AB86" s="9" t="s">
        <v>1266</v>
      </c>
      <c r="AC86" s="9" t="s">
        <v>5544</v>
      </c>
      <c r="AD86" s="9" t="s">
        <v>5741</v>
      </c>
      <c r="AE86" t="str">
        <f t="shared" si="3"/>
        <v>Fast</v>
      </c>
      <c r="AF86">
        <f>IF($A86="","",IFERROR(VLOOKUP($B86,_CONFIG_Risk_Calibration!$A$5:$H$21,2,FALSE),3))</f>
        <v>3</v>
      </c>
      <c r="AG86">
        <f>IF($A86="","",IFERROR(VLOOKUP($B86,_CONFIG_Risk_Calibration!$A$5:$H$21,3,FALSE),0))</f>
        <v>0</v>
      </c>
      <c r="AH86">
        <f>IF($A86="","",IFERROR(VLOOKUP($B86,_CONFIG_Risk_Calibration!$A$5:$H$21,4,FALSE),3))</f>
        <v>3</v>
      </c>
      <c r="AI86">
        <f>IF($A86="","",IFERROR(VLOOKUP($B86,_CONFIG_Risk_Calibration!$A$5:$H$21,5,FALSE),3))</f>
        <v>3</v>
      </c>
      <c r="AJ86" t="str">
        <f>IF($A86="","",IFERROR(VLOOKUP($B86,_CONFIG_Risk_Calibration!$A$5:$H$21,6,FALSE),"No"))</f>
        <v>No</v>
      </c>
      <c r="AK86">
        <f>IF($A86="","",IFERROR(VLOOKUP($B86,_CONFIG_Risk_Calibration!$A$5:$H$21,7,FALSE),1))</f>
        <v>1</v>
      </c>
      <c r="AL86" t="str">
        <f>IF($A86="","",IFERROR(VLOOKUP($B86,_CONFIG_Risk_Calibration!$A$5:$H$21,8,FALSE),""))</f>
        <v>Clean template default. Calibrate with real exposure, incident history, evidence quality and domain-owner validation.</v>
      </c>
      <c r="AM86">
        <f>IF($A86="","",IFERROR(INDEX(_DATA_Assessment_Model!$AL$1:$AL$428,MATCH($A86,_DATA_Assessment_Model!$A$1:$A$428,0)),""))</f>
        <v>0</v>
      </c>
      <c r="AN86">
        <f t="shared" si="4"/>
        <v>1</v>
      </c>
      <c r="AO86">
        <f>IF($A86="","",_CONFIG_Model_Settings!$B$172*MAX(N($AK86),(N($AF86)+N($AI86))/2))</f>
        <v>60</v>
      </c>
      <c r="AP86">
        <f t="shared" si="5"/>
        <v>60</v>
      </c>
      <c r="AQ86">
        <f>IF($AP86="","",MAX(0,$AP86*(1-(_CONFIG_Model_Settings!$B$173+_CONFIG_Model_Settings!$B$174*(N($AH86)-1)))))</f>
        <v>39</v>
      </c>
      <c r="AR86">
        <f>IF($AP86="","",MIN(100,$AP86*(1+(_CONFIG_Model_Settings!$B$173+_CONFIG_Model_Settings!$B$174*(N($AH86)-1)))))</f>
        <v>81</v>
      </c>
    </row>
    <row r="87" spans="1:44" ht="72" customHeight="1">
      <c r="A87" s="9" t="s">
        <v>1324</v>
      </c>
      <c r="B87" s="9" t="s">
        <v>1259</v>
      </c>
      <c r="C87" s="9" t="s">
        <v>1274</v>
      </c>
      <c r="D87" s="9" t="s">
        <v>3682</v>
      </c>
      <c r="E87" s="9" t="s">
        <v>1325</v>
      </c>
      <c r="F87" s="9" t="s">
        <v>5742</v>
      </c>
      <c r="G87" s="9" t="s">
        <v>5743</v>
      </c>
      <c r="H87" s="9" t="s">
        <v>5744</v>
      </c>
      <c r="I87" s="9" t="s">
        <v>5745</v>
      </c>
      <c r="J87" s="9" t="s">
        <v>5746</v>
      </c>
      <c r="K87" s="9" t="s">
        <v>5747</v>
      </c>
      <c r="L87" s="9" t="s">
        <v>5748</v>
      </c>
      <c r="M87" s="9" t="s">
        <v>5749</v>
      </c>
      <c r="N87" s="9" t="s">
        <v>5750</v>
      </c>
      <c r="O87" s="9" t="s">
        <v>5751</v>
      </c>
      <c r="P87" s="9" t="s">
        <v>5752</v>
      </c>
      <c r="Q87" s="9" t="s">
        <v>5753</v>
      </c>
      <c r="R87" s="9" t="s">
        <v>4589</v>
      </c>
      <c r="S87" s="9" t="s">
        <v>5754</v>
      </c>
      <c r="T87" s="9">
        <v>3</v>
      </c>
      <c r="U87" s="9">
        <v>3</v>
      </c>
      <c r="V87" s="9">
        <v>2</v>
      </c>
      <c r="W87" s="9">
        <v>2</v>
      </c>
      <c r="X87" s="9">
        <v>1</v>
      </c>
      <c r="Y87" s="9">
        <v>1</v>
      </c>
      <c r="Z87" s="9" t="s">
        <v>1264</v>
      </c>
      <c r="AA87" s="9" t="s">
        <v>1326</v>
      </c>
      <c r="AB87" s="9" t="s">
        <v>1266</v>
      </c>
      <c r="AC87" s="9" t="s">
        <v>5544</v>
      </c>
      <c r="AD87" s="9" t="s">
        <v>5755</v>
      </c>
      <c r="AE87" t="str">
        <f t="shared" si="3"/>
        <v>Fast</v>
      </c>
      <c r="AF87">
        <f>IF($A87="","",IFERROR(VLOOKUP($B87,_CONFIG_Risk_Calibration!$A$5:$H$21,2,FALSE),3))</f>
        <v>3</v>
      </c>
      <c r="AG87">
        <f>IF($A87="","",IFERROR(VLOOKUP($B87,_CONFIG_Risk_Calibration!$A$5:$H$21,3,FALSE),0))</f>
        <v>0</v>
      </c>
      <c r="AH87">
        <f>IF($A87="","",IFERROR(VLOOKUP($B87,_CONFIG_Risk_Calibration!$A$5:$H$21,4,FALSE),3))</f>
        <v>3</v>
      </c>
      <c r="AI87">
        <f>IF($A87="","",IFERROR(VLOOKUP($B87,_CONFIG_Risk_Calibration!$A$5:$H$21,5,FALSE),3))</f>
        <v>3</v>
      </c>
      <c r="AJ87" t="str">
        <f>IF($A87="","",IFERROR(VLOOKUP($B87,_CONFIG_Risk_Calibration!$A$5:$H$21,6,FALSE),"No"))</f>
        <v>No</v>
      </c>
      <c r="AK87">
        <f>IF($A87="","",IFERROR(VLOOKUP($B87,_CONFIG_Risk_Calibration!$A$5:$H$21,7,FALSE),1))</f>
        <v>1</v>
      </c>
      <c r="AL87" t="str">
        <f>IF($A87="","",IFERROR(VLOOKUP($B87,_CONFIG_Risk_Calibration!$A$5:$H$21,8,FALSE),""))</f>
        <v>Clean template default. Calibrate with real exposure, incident history, evidence quality and domain-owner validation.</v>
      </c>
      <c r="AM87">
        <f>IF($A87="","",IFERROR(INDEX(_DATA_Assessment_Model!$AL$1:$AL$428,MATCH($A87,_DATA_Assessment_Model!$A$1:$A$428,0)),""))</f>
        <v>0</v>
      </c>
      <c r="AN87">
        <f t="shared" si="4"/>
        <v>1</v>
      </c>
      <c r="AO87">
        <f>IF($A87="","",_CONFIG_Model_Settings!$B$172*MAX(N($AK87),(N($AF87)+N($AI87))/2))</f>
        <v>60</v>
      </c>
      <c r="AP87">
        <f t="shared" si="5"/>
        <v>60</v>
      </c>
      <c r="AQ87">
        <f>IF($AP87="","",MAX(0,$AP87*(1-(_CONFIG_Model_Settings!$B$173+_CONFIG_Model_Settings!$B$174*(N($AH87)-1)))))</f>
        <v>39</v>
      </c>
      <c r="AR87">
        <f>IF($AP87="","",MIN(100,$AP87*(1+(_CONFIG_Model_Settings!$B$173+_CONFIG_Model_Settings!$B$174*(N($AH87)-1)))))</f>
        <v>81</v>
      </c>
    </row>
    <row r="88" spans="1:44" ht="84" customHeight="1">
      <c r="A88" s="9" t="s">
        <v>1327</v>
      </c>
      <c r="B88" s="9" t="s">
        <v>1259</v>
      </c>
      <c r="C88" s="9" t="s">
        <v>1274</v>
      </c>
      <c r="D88" s="9" t="s">
        <v>3682</v>
      </c>
      <c r="E88" s="9" t="s">
        <v>1328</v>
      </c>
      <c r="F88" s="9" t="s">
        <v>5756</v>
      </c>
      <c r="G88" s="9" t="s">
        <v>5757</v>
      </c>
      <c r="H88" s="9" t="s">
        <v>5758</v>
      </c>
      <c r="I88" s="9" t="s">
        <v>5759</v>
      </c>
      <c r="J88" s="9" t="s">
        <v>5760</v>
      </c>
      <c r="K88" s="9" t="s">
        <v>5761</v>
      </c>
      <c r="L88" s="9" t="s">
        <v>5762</v>
      </c>
      <c r="M88" s="9" t="s">
        <v>5763</v>
      </c>
      <c r="N88" s="9" t="s">
        <v>5764</v>
      </c>
      <c r="O88" s="9" t="s">
        <v>5765</v>
      </c>
      <c r="P88" s="9" t="s">
        <v>5766</v>
      </c>
      <c r="Q88" s="9" t="s">
        <v>5767</v>
      </c>
      <c r="R88" s="9" t="s">
        <v>4589</v>
      </c>
      <c r="S88" s="9" t="s">
        <v>5768</v>
      </c>
      <c r="T88" s="9">
        <v>3</v>
      </c>
      <c r="U88" s="9">
        <v>3</v>
      </c>
      <c r="V88" s="9">
        <v>2</v>
      </c>
      <c r="W88" s="9">
        <v>2</v>
      </c>
      <c r="X88" s="9">
        <v>1</v>
      </c>
      <c r="Y88" s="9">
        <v>1</v>
      </c>
      <c r="Z88" s="9" t="s">
        <v>1264</v>
      </c>
      <c r="AA88" s="9" t="s">
        <v>1329</v>
      </c>
      <c r="AB88" s="9" t="s">
        <v>1266</v>
      </c>
      <c r="AC88" s="9" t="s">
        <v>5544</v>
      </c>
      <c r="AD88" s="9" t="s">
        <v>5769</v>
      </c>
      <c r="AE88" t="str">
        <f t="shared" si="3"/>
        <v>Fast</v>
      </c>
      <c r="AF88">
        <f>IF($A88="","",IFERROR(VLOOKUP($B88,_CONFIG_Risk_Calibration!$A$5:$H$21,2,FALSE),3))</f>
        <v>3</v>
      </c>
      <c r="AG88">
        <f>IF($A88="","",IFERROR(VLOOKUP($B88,_CONFIG_Risk_Calibration!$A$5:$H$21,3,FALSE),0))</f>
        <v>0</v>
      </c>
      <c r="AH88">
        <f>IF($A88="","",IFERROR(VLOOKUP($B88,_CONFIG_Risk_Calibration!$A$5:$H$21,4,FALSE),3))</f>
        <v>3</v>
      </c>
      <c r="AI88">
        <f>IF($A88="","",IFERROR(VLOOKUP($B88,_CONFIG_Risk_Calibration!$A$5:$H$21,5,FALSE),3))</f>
        <v>3</v>
      </c>
      <c r="AJ88" t="str">
        <f>IF($A88="","",IFERROR(VLOOKUP($B88,_CONFIG_Risk_Calibration!$A$5:$H$21,6,FALSE),"No"))</f>
        <v>No</v>
      </c>
      <c r="AK88">
        <f>IF($A88="","",IFERROR(VLOOKUP($B88,_CONFIG_Risk_Calibration!$A$5:$H$21,7,FALSE),1))</f>
        <v>1</v>
      </c>
      <c r="AL88" t="str">
        <f>IF($A88="","",IFERROR(VLOOKUP($B88,_CONFIG_Risk_Calibration!$A$5:$H$21,8,FALSE),""))</f>
        <v>Clean template default. Calibrate with real exposure, incident history, evidence quality and domain-owner validation.</v>
      </c>
      <c r="AM88">
        <f>IF($A88="","",IFERROR(INDEX(_DATA_Assessment_Model!$AL$1:$AL$428,MATCH($A88,_DATA_Assessment_Model!$A$1:$A$428,0)),""))</f>
        <v>0</v>
      </c>
      <c r="AN88">
        <f t="shared" si="4"/>
        <v>1</v>
      </c>
      <c r="AO88">
        <f>IF($A88="","",_CONFIG_Model_Settings!$B$172*MAX(N($AK88),(N($AF88)+N($AI88))/2))</f>
        <v>60</v>
      </c>
      <c r="AP88">
        <f t="shared" si="5"/>
        <v>60</v>
      </c>
      <c r="AQ88">
        <f>IF($AP88="","",MAX(0,$AP88*(1-(_CONFIG_Model_Settings!$B$173+_CONFIG_Model_Settings!$B$174*(N($AH88)-1)))))</f>
        <v>39</v>
      </c>
      <c r="AR88">
        <f>IF($AP88="","",MIN(100,$AP88*(1+(_CONFIG_Model_Settings!$B$173+_CONFIG_Model_Settings!$B$174*(N($AH88)-1)))))</f>
        <v>81</v>
      </c>
    </row>
    <row r="89" spans="1:44" ht="84" customHeight="1">
      <c r="A89" s="9" t="s">
        <v>1330</v>
      </c>
      <c r="B89" s="9" t="s">
        <v>1259</v>
      </c>
      <c r="C89" s="9" t="s">
        <v>1274</v>
      </c>
      <c r="D89" s="9" t="s">
        <v>3682</v>
      </c>
      <c r="E89" s="9" t="s">
        <v>1331</v>
      </c>
      <c r="F89" s="9" t="s">
        <v>5770</v>
      </c>
      <c r="G89" s="9" t="s">
        <v>5771</v>
      </c>
      <c r="H89" s="9" t="s">
        <v>5772</v>
      </c>
      <c r="I89" s="9" t="s">
        <v>5773</v>
      </c>
      <c r="J89" s="9" t="s">
        <v>5774</v>
      </c>
      <c r="K89" s="9" t="s">
        <v>5775</v>
      </c>
      <c r="L89" s="9" t="s">
        <v>5776</v>
      </c>
      <c r="M89" s="9" t="s">
        <v>5777</v>
      </c>
      <c r="N89" s="9" t="s">
        <v>5778</v>
      </c>
      <c r="O89" s="9" t="s">
        <v>5779</v>
      </c>
      <c r="P89" s="9" t="s">
        <v>5780</v>
      </c>
      <c r="Q89" s="9" t="s">
        <v>5781</v>
      </c>
      <c r="R89" s="9" t="s">
        <v>4589</v>
      </c>
      <c r="S89" s="9" t="s">
        <v>5782</v>
      </c>
      <c r="T89" s="9">
        <v>3</v>
      </c>
      <c r="U89" s="9">
        <v>3</v>
      </c>
      <c r="V89" s="9">
        <v>2</v>
      </c>
      <c r="W89" s="9">
        <v>2</v>
      </c>
      <c r="X89" s="9">
        <v>1</v>
      </c>
      <c r="Y89" s="9">
        <v>1</v>
      </c>
      <c r="Z89" s="9" t="s">
        <v>1264</v>
      </c>
      <c r="AA89" s="9" t="s">
        <v>1332</v>
      </c>
      <c r="AB89" s="9" t="s">
        <v>1266</v>
      </c>
      <c r="AC89" s="9" t="s">
        <v>5544</v>
      </c>
      <c r="AD89" s="9" t="s">
        <v>5783</v>
      </c>
      <c r="AE89" t="str">
        <f t="shared" si="3"/>
        <v>Fast</v>
      </c>
      <c r="AF89">
        <f>IF($A89="","",IFERROR(VLOOKUP($B89,_CONFIG_Risk_Calibration!$A$5:$H$21,2,FALSE),3))</f>
        <v>3</v>
      </c>
      <c r="AG89">
        <f>IF($A89="","",IFERROR(VLOOKUP($B89,_CONFIG_Risk_Calibration!$A$5:$H$21,3,FALSE),0))</f>
        <v>0</v>
      </c>
      <c r="AH89">
        <f>IF($A89="","",IFERROR(VLOOKUP($B89,_CONFIG_Risk_Calibration!$A$5:$H$21,4,FALSE),3))</f>
        <v>3</v>
      </c>
      <c r="AI89">
        <f>IF($A89="","",IFERROR(VLOOKUP($B89,_CONFIG_Risk_Calibration!$A$5:$H$21,5,FALSE),3))</f>
        <v>3</v>
      </c>
      <c r="AJ89" t="str">
        <f>IF($A89="","",IFERROR(VLOOKUP($B89,_CONFIG_Risk_Calibration!$A$5:$H$21,6,FALSE),"No"))</f>
        <v>No</v>
      </c>
      <c r="AK89">
        <f>IF($A89="","",IFERROR(VLOOKUP($B89,_CONFIG_Risk_Calibration!$A$5:$H$21,7,FALSE),1))</f>
        <v>1</v>
      </c>
      <c r="AL89" t="str">
        <f>IF($A89="","",IFERROR(VLOOKUP($B89,_CONFIG_Risk_Calibration!$A$5:$H$21,8,FALSE),""))</f>
        <v>Clean template default. Calibrate with real exposure, incident history, evidence quality and domain-owner validation.</v>
      </c>
      <c r="AM89">
        <f>IF($A89="","",IFERROR(INDEX(_DATA_Assessment_Model!$AL$1:$AL$428,MATCH($A89,_DATA_Assessment_Model!$A$1:$A$428,0)),""))</f>
        <v>0</v>
      </c>
      <c r="AN89">
        <f t="shared" si="4"/>
        <v>1</v>
      </c>
      <c r="AO89">
        <f>IF($A89="","",_CONFIG_Model_Settings!$B$172*MAX(N($AK89),(N($AF89)+N($AI89))/2))</f>
        <v>60</v>
      </c>
      <c r="AP89">
        <f t="shared" si="5"/>
        <v>60</v>
      </c>
      <c r="AQ89">
        <f>IF($AP89="","",MAX(0,$AP89*(1-(_CONFIG_Model_Settings!$B$173+_CONFIG_Model_Settings!$B$174*(N($AH89)-1)))))</f>
        <v>39</v>
      </c>
      <c r="AR89">
        <f>IF($AP89="","",MIN(100,$AP89*(1+(_CONFIG_Model_Settings!$B$173+_CONFIG_Model_Settings!$B$174*(N($AH89)-1)))))</f>
        <v>81</v>
      </c>
    </row>
    <row r="90" spans="1:44" ht="84" customHeight="1">
      <c r="A90" s="9" t="s">
        <v>1339</v>
      </c>
      <c r="B90" s="9" t="s">
        <v>1259</v>
      </c>
      <c r="C90" s="9" t="s">
        <v>1274</v>
      </c>
      <c r="D90" s="9" t="s">
        <v>3682</v>
      </c>
      <c r="E90" s="9" t="s">
        <v>1340</v>
      </c>
      <c r="F90" s="9" t="s">
        <v>5784</v>
      </c>
      <c r="G90" s="9" t="s">
        <v>5785</v>
      </c>
      <c r="H90" s="9" t="s">
        <v>5786</v>
      </c>
      <c r="I90" s="9" t="s">
        <v>5787</v>
      </c>
      <c r="J90" s="9" t="s">
        <v>5788</v>
      </c>
      <c r="K90" s="9" t="s">
        <v>5789</v>
      </c>
      <c r="L90" s="9" t="s">
        <v>5790</v>
      </c>
      <c r="M90" s="9" t="s">
        <v>5791</v>
      </c>
      <c r="N90" s="9" t="s">
        <v>5792</v>
      </c>
      <c r="O90" s="9" t="s">
        <v>5793</v>
      </c>
      <c r="P90" s="9" t="s">
        <v>5794</v>
      </c>
      <c r="Q90" s="9" t="s">
        <v>5795</v>
      </c>
      <c r="R90" s="9" t="s">
        <v>4589</v>
      </c>
      <c r="S90" s="9" t="s">
        <v>5796</v>
      </c>
      <c r="T90" s="9">
        <v>3</v>
      </c>
      <c r="U90" s="9">
        <v>3</v>
      </c>
      <c r="V90" s="9">
        <v>2</v>
      </c>
      <c r="W90" s="9">
        <v>2</v>
      </c>
      <c r="X90" s="9">
        <v>1</v>
      </c>
      <c r="Y90" s="9">
        <v>1</v>
      </c>
      <c r="Z90" s="9" t="s">
        <v>1264</v>
      </c>
      <c r="AA90" s="9" t="s">
        <v>1341</v>
      </c>
      <c r="AB90" s="9" t="s">
        <v>1266</v>
      </c>
      <c r="AC90" s="9" t="s">
        <v>5544</v>
      </c>
      <c r="AD90" s="9" t="s">
        <v>5797</v>
      </c>
      <c r="AE90" t="str">
        <f t="shared" si="3"/>
        <v>Fast</v>
      </c>
      <c r="AF90">
        <f>IF($A90="","",IFERROR(VLOOKUP($B90,_CONFIG_Risk_Calibration!$A$5:$H$21,2,FALSE),3))</f>
        <v>3</v>
      </c>
      <c r="AG90">
        <f>IF($A90="","",IFERROR(VLOOKUP($B90,_CONFIG_Risk_Calibration!$A$5:$H$21,3,FALSE),0))</f>
        <v>0</v>
      </c>
      <c r="AH90">
        <f>IF($A90="","",IFERROR(VLOOKUP($B90,_CONFIG_Risk_Calibration!$A$5:$H$21,4,FALSE),3))</f>
        <v>3</v>
      </c>
      <c r="AI90">
        <f>IF($A90="","",IFERROR(VLOOKUP($B90,_CONFIG_Risk_Calibration!$A$5:$H$21,5,FALSE),3))</f>
        <v>3</v>
      </c>
      <c r="AJ90" t="str">
        <f>IF($A90="","",IFERROR(VLOOKUP($B90,_CONFIG_Risk_Calibration!$A$5:$H$21,6,FALSE),"No"))</f>
        <v>No</v>
      </c>
      <c r="AK90">
        <f>IF($A90="","",IFERROR(VLOOKUP($B90,_CONFIG_Risk_Calibration!$A$5:$H$21,7,FALSE),1))</f>
        <v>1</v>
      </c>
      <c r="AL90" t="str">
        <f>IF($A90="","",IFERROR(VLOOKUP($B90,_CONFIG_Risk_Calibration!$A$5:$H$21,8,FALSE),""))</f>
        <v>Clean template default. Calibrate with real exposure, incident history, evidence quality and domain-owner validation.</v>
      </c>
      <c r="AM90">
        <f>IF($A90="","",IFERROR(INDEX(_DATA_Assessment_Model!$AL$1:$AL$428,MATCH($A90,_DATA_Assessment_Model!$A$1:$A$428,0)),""))</f>
        <v>0</v>
      </c>
      <c r="AN90">
        <f t="shared" si="4"/>
        <v>1</v>
      </c>
      <c r="AO90">
        <f>IF($A90="","",_CONFIG_Model_Settings!$B$172*MAX(N($AK90),(N($AF90)+N($AI90))/2))</f>
        <v>60</v>
      </c>
      <c r="AP90">
        <f t="shared" si="5"/>
        <v>60</v>
      </c>
      <c r="AQ90">
        <f>IF($AP90="","",MAX(0,$AP90*(1-(_CONFIG_Model_Settings!$B$173+_CONFIG_Model_Settings!$B$174*(N($AH90)-1)))))</f>
        <v>39</v>
      </c>
      <c r="AR90">
        <f>IF($AP90="","",MIN(100,$AP90*(1+(_CONFIG_Model_Settings!$B$173+_CONFIG_Model_Settings!$B$174*(N($AH90)-1)))))</f>
        <v>81</v>
      </c>
    </row>
    <row r="91" spans="1:44" ht="84" customHeight="1">
      <c r="A91" s="9" t="s">
        <v>1342</v>
      </c>
      <c r="B91" s="9" t="s">
        <v>1259</v>
      </c>
      <c r="C91" s="9" t="s">
        <v>1278</v>
      </c>
      <c r="D91" s="9" t="s">
        <v>3682</v>
      </c>
      <c r="E91" s="9" t="s">
        <v>1343</v>
      </c>
      <c r="F91" s="9" t="s">
        <v>5798</v>
      </c>
      <c r="G91" s="9" t="s">
        <v>5799</v>
      </c>
      <c r="H91" s="9" t="s">
        <v>5800</v>
      </c>
      <c r="I91" s="9" t="s">
        <v>5801</v>
      </c>
      <c r="J91" s="9" t="s">
        <v>5802</v>
      </c>
      <c r="K91" s="9" t="s">
        <v>5803</v>
      </c>
      <c r="L91" s="9" t="s">
        <v>5804</v>
      </c>
      <c r="M91" s="9" t="s">
        <v>5805</v>
      </c>
      <c r="N91" s="9" t="s">
        <v>5806</v>
      </c>
      <c r="O91" s="9" t="s">
        <v>5807</v>
      </c>
      <c r="P91" s="9" t="s">
        <v>5808</v>
      </c>
      <c r="Q91" s="9" t="s">
        <v>5809</v>
      </c>
      <c r="R91" s="9" t="s">
        <v>4589</v>
      </c>
      <c r="S91" s="9" t="s">
        <v>5810</v>
      </c>
      <c r="T91" s="9">
        <v>3</v>
      </c>
      <c r="U91" s="9">
        <v>3</v>
      </c>
      <c r="V91" s="9">
        <v>2</v>
      </c>
      <c r="W91" s="9">
        <v>2</v>
      </c>
      <c r="X91" s="9">
        <v>1</v>
      </c>
      <c r="Y91" s="9">
        <v>1</v>
      </c>
      <c r="Z91" s="9" t="s">
        <v>1264</v>
      </c>
      <c r="AA91" s="9" t="s">
        <v>1344</v>
      </c>
      <c r="AB91" s="9" t="s">
        <v>1266</v>
      </c>
      <c r="AC91" s="9" t="s">
        <v>5544</v>
      </c>
      <c r="AD91" s="9" t="s">
        <v>5811</v>
      </c>
      <c r="AE91" t="str">
        <f t="shared" si="3"/>
        <v>Fast</v>
      </c>
      <c r="AF91">
        <f>IF($A91="","",IFERROR(VLOOKUP($B91,_CONFIG_Risk_Calibration!$A$5:$H$21,2,FALSE),3))</f>
        <v>3</v>
      </c>
      <c r="AG91">
        <f>IF($A91="","",IFERROR(VLOOKUP($B91,_CONFIG_Risk_Calibration!$A$5:$H$21,3,FALSE),0))</f>
        <v>0</v>
      </c>
      <c r="AH91">
        <f>IF($A91="","",IFERROR(VLOOKUP($B91,_CONFIG_Risk_Calibration!$A$5:$H$21,4,FALSE),3))</f>
        <v>3</v>
      </c>
      <c r="AI91">
        <f>IF($A91="","",IFERROR(VLOOKUP($B91,_CONFIG_Risk_Calibration!$A$5:$H$21,5,FALSE),3))</f>
        <v>3</v>
      </c>
      <c r="AJ91" t="str">
        <f>IF($A91="","",IFERROR(VLOOKUP($B91,_CONFIG_Risk_Calibration!$A$5:$H$21,6,FALSE),"No"))</f>
        <v>No</v>
      </c>
      <c r="AK91">
        <f>IF($A91="","",IFERROR(VLOOKUP($B91,_CONFIG_Risk_Calibration!$A$5:$H$21,7,FALSE),1))</f>
        <v>1</v>
      </c>
      <c r="AL91" t="str">
        <f>IF($A91="","",IFERROR(VLOOKUP($B91,_CONFIG_Risk_Calibration!$A$5:$H$21,8,FALSE),""))</f>
        <v>Clean template default. Calibrate with real exposure, incident history, evidence quality and domain-owner validation.</v>
      </c>
      <c r="AM91">
        <f>IF($A91="","",IFERROR(INDEX(_DATA_Assessment_Model!$AL$1:$AL$428,MATCH($A91,_DATA_Assessment_Model!$A$1:$A$428,0)),""))</f>
        <v>0</v>
      </c>
      <c r="AN91">
        <f t="shared" si="4"/>
        <v>1</v>
      </c>
      <c r="AO91">
        <f>IF($A91="","",_CONFIG_Model_Settings!$B$172*MAX(N($AK91),(N($AF91)+N($AI91))/2))</f>
        <v>60</v>
      </c>
      <c r="AP91">
        <f t="shared" si="5"/>
        <v>60</v>
      </c>
      <c r="AQ91">
        <f>IF($AP91="","",MAX(0,$AP91*(1-(_CONFIG_Model_Settings!$B$173+_CONFIG_Model_Settings!$B$174*(N($AH91)-1)))))</f>
        <v>39</v>
      </c>
      <c r="AR91">
        <f>IF($AP91="","",MIN(100,$AP91*(1+(_CONFIG_Model_Settings!$B$173+_CONFIG_Model_Settings!$B$174*(N($AH91)-1)))))</f>
        <v>81</v>
      </c>
    </row>
    <row r="92" spans="1:44" ht="84" customHeight="1">
      <c r="A92" s="9" t="s">
        <v>1345</v>
      </c>
      <c r="B92" s="9" t="s">
        <v>1259</v>
      </c>
      <c r="C92" s="9" t="s">
        <v>1278</v>
      </c>
      <c r="D92" s="9" t="s">
        <v>3682</v>
      </c>
      <c r="E92" s="9" t="s">
        <v>1346</v>
      </c>
      <c r="F92" s="9" t="s">
        <v>5812</v>
      </c>
      <c r="G92" s="9" t="s">
        <v>5813</v>
      </c>
      <c r="H92" s="9" t="s">
        <v>5814</v>
      </c>
      <c r="I92" s="9" t="s">
        <v>5815</v>
      </c>
      <c r="J92" s="9" t="s">
        <v>5816</v>
      </c>
      <c r="K92" s="9" t="s">
        <v>5817</v>
      </c>
      <c r="L92" s="9" t="s">
        <v>5818</v>
      </c>
      <c r="M92" s="9" t="s">
        <v>5819</v>
      </c>
      <c r="N92" s="9" t="s">
        <v>5820</v>
      </c>
      <c r="O92" s="9" t="s">
        <v>5821</v>
      </c>
      <c r="P92" s="9" t="s">
        <v>5822</v>
      </c>
      <c r="Q92" s="9" t="s">
        <v>5823</v>
      </c>
      <c r="R92" s="9" t="s">
        <v>4589</v>
      </c>
      <c r="S92" s="9" t="s">
        <v>5824</v>
      </c>
      <c r="T92" s="9">
        <v>3</v>
      </c>
      <c r="U92" s="9">
        <v>3</v>
      </c>
      <c r="V92" s="9">
        <v>2</v>
      </c>
      <c r="W92" s="9">
        <v>2</v>
      </c>
      <c r="X92" s="9">
        <v>1</v>
      </c>
      <c r="Y92" s="9">
        <v>1</v>
      </c>
      <c r="Z92" s="9" t="s">
        <v>1264</v>
      </c>
      <c r="AA92" s="9" t="s">
        <v>1347</v>
      </c>
      <c r="AB92" s="9" t="s">
        <v>1266</v>
      </c>
      <c r="AC92" s="9" t="s">
        <v>5544</v>
      </c>
      <c r="AD92" s="9" t="s">
        <v>5825</v>
      </c>
      <c r="AE92" t="str">
        <f t="shared" si="3"/>
        <v>Fast</v>
      </c>
      <c r="AF92">
        <f>IF($A92="","",IFERROR(VLOOKUP($B92,_CONFIG_Risk_Calibration!$A$5:$H$21,2,FALSE),3))</f>
        <v>3</v>
      </c>
      <c r="AG92">
        <f>IF($A92="","",IFERROR(VLOOKUP($B92,_CONFIG_Risk_Calibration!$A$5:$H$21,3,FALSE),0))</f>
        <v>0</v>
      </c>
      <c r="AH92">
        <f>IF($A92="","",IFERROR(VLOOKUP($B92,_CONFIG_Risk_Calibration!$A$5:$H$21,4,FALSE),3))</f>
        <v>3</v>
      </c>
      <c r="AI92">
        <f>IF($A92="","",IFERROR(VLOOKUP($B92,_CONFIG_Risk_Calibration!$A$5:$H$21,5,FALSE),3))</f>
        <v>3</v>
      </c>
      <c r="AJ92" t="str">
        <f>IF($A92="","",IFERROR(VLOOKUP($B92,_CONFIG_Risk_Calibration!$A$5:$H$21,6,FALSE),"No"))</f>
        <v>No</v>
      </c>
      <c r="AK92">
        <f>IF($A92="","",IFERROR(VLOOKUP($B92,_CONFIG_Risk_Calibration!$A$5:$H$21,7,FALSE),1))</f>
        <v>1</v>
      </c>
      <c r="AL92" t="str">
        <f>IF($A92="","",IFERROR(VLOOKUP($B92,_CONFIG_Risk_Calibration!$A$5:$H$21,8,FALSE),""))</f>
        <v>Clean template default. Calibrate with real exposure, incident history, evidence quality and domain-owner validation.</v>
      </c>
      <c r="AM92">
        <f>IF($A92="","",IFERROR(INDEX(_DATA_Assessment_Model!$AL$1:$AL$428,MATCH($A92,_DATA_Assessment_Model!$A$1:$A$428,0)),""))</f>
        <v>0</v>
      </c>
      <c r="AN92">
        <f t="shared" si="4"/>
        <v>1</v>
      </c>
      <c r="AO92">
        <f>IF($A92="","",_CONFIG_Model_Settings!$B$172*MAX(N($AK92),(N($AF92)+N($AI92))/2))</f>
        <v>60</v>
      </c>
      <c r="AP92">
        <f t="shared" si="5"/>
        <v>60</v>
      </c>
      <c r="AQ92">
        <f>IF($AP92="","",MAX(0,$AP92*(1-(_CONFIG_Model_Settings!$B$173+_CONFIG_Model_Settings!$B$174*(N($AH92)-1)))))</f>
        <v>39</v>
      </c>
      <c r="AR92">
        <f>IF($AP92="","",MIN(100,$AP92*(1+(_CONFIG_Model_Settings!$B$173+_CONFIG_Model_Settings!$B$174*(N($AH92)-1)))))</f>
        <v>81</v>
      </c>
    </row>
    <row r="93" spans="1:44" ht="84" customHeight="1">
      <c r="A93" s="9" t="s">
        <v>1354</v>
      </c>
      <c r="B93" s="9" t="s">
        <v>1259</v>
      </c>
      <c r="C93" s="9" t="s">
        <v>1278</v>
      </c>
      <c r="D93" s="9" t="s">
        <v>3682</v>
      </c>
      <c r="E93" s="9" t="s">
        <v>1355</v>
      </c>
      <c r="F93" s="9" t="s">
        <v>5826</v>
      </c>
      <c r="G93" s="9" t="s">
        <v>5827</v>
      </c>
      <c r="H93" s="9" t="s">
        <v>5828</v>
      </c>
      <c r="I93" s="9" t="s">
        <v>5829</v>
      </c>
      <c r="J93" s="9" t="s">
        <v>5830</v>
      </c>
      <c r="K93" s="9" t="s">
        <v>5831</v>
      </c>
      <c r="L93" s="9" t="s">
        <v>5832</v>
      </c>
      <c r="M93" s="9" t="s">
        <v>5833</v>
      </c>
      <c r="N93" s="9" t="s">
        <v>5834</v>
      </c>
      <c r="O93" s="9" t="s">
        <v>5835</v>
      </c>
      <c r="P93" s="9" t="s">
        <v>5836</v>
      </c>
      <c r="Q93" s="9" t="s">
        <v>5837</v>
      </c>
      <c r="R93" s="9" t="s">
        <v>4589</v>
      </c>
      <c r="S93" s="9" t="s">
        <v>5838</v>
      </c>
      <c r="T93" s="9">
        <v>3</v>
      </c>
      <c r="U93" s="9">
        <v>3</v>
      </c>
      <c r="V93" s="9">
        <v>2</v>
      </c>
      <c r="W93" s="9">
        <v>2</v>
      </c>
      <c r="X93" s="9">
        <v>1</v>
      </c>
      <c r="Y93" s="9">
        <v>1</v>
      </c>
      <c r="Z93" s="9" t="s">
        <v>1264</v>
      </c>
      <c r="AA93" s="9" t="s">
        <v>1356</v>
      </c>
      <c r="AB93" s="9" t="s">
        <v>1266</v>
      </c>
      <c r="AC93" s="9" t="s">
        <v>5544</v>
      </c>
      <c r="AD93" s="9" t="s">
        <v>5839</v>
      </c>
      <c r="AE93" t="str">
        <f t="shared" si="3"/>
        <v>Fast</v>
      </c>
      <c r="AF93">
        <f>IF($A93="","",IFERROR(VLOOKUP($B93,_CONFIG_Risk_Calibration!$A$5:$H$21,2,FALSE),3))</f>
        <v>3</v>
      </c>
      <c r="AG93">
        <f>IF($A93="","",IFERROR(VLOOKUP($B93,_CONFIG_Risk_Calibration!$A$5:$H$21,3,FALSE),0))</f>
        <v>0</v>
      </c>
      <c r="AH93">
        <f>IF($A93="","",IFERROR(VLOOKUP($B93,_CONFIG_Risk_Calibration!$A$5:$H$21,4,FALSE),3))</f>
        <v>3</v>
      </c>
      <c r="AI93">
        <f>IF($A93="","",IFERROR(VLOOKUP($B93,_CONFIG_Risk_Calibration!$A$5:$H$21,5,FALSE),3))</f>
        <v>3</v>
      </c>
      <c r="AJ93" t="str">
        <f>IF($A93="","",IFERROR(VLOOKUP($B93,_CONFIG_Risk_Calibration!$A$5:$H$21,6,FALSE),"No"))</f>
        <v>No</v>
      </c>
      <c r="AK93">
        <f>IF($A93="","",IFERROR(VLOOKUP($B93,_CONFIG_Risk_Calibration!$A$5:$H$21,7,FALSE),1))</f>
        <v>1</v>
      </c>
      <c r="AL93" t="str">
        <f>IF($A93="","",IFERROR(VLOOKUP($B93,_CONFIG_Risk_Calibration!$A$5:$H$21,8,FALSE),""))</f>
        <v>Clean template default. Calibrate with real exposure, incident history, evidence quality and domain-owner validation.</v>
      </c>
      <c r="AM93">
        <f>IF($A93="","",IFERROR(INDEX(_DATA_Assessment_Model!$AL$1:$AL$428,MATCH($A93,_DATA_Assessment_Model!$A$1:$A$428,0)),""))</f>
        <v>0</v>
      </c>
      <c r="AN93">
        <f t="shared" si="4"/>
        <v>1</v>
      </c>
      <c r="AO93">
        <f>IF($A93="","",_CONFIG_Model_Settings!$B$172*MAX(N($AK93),(N($AF93)+N($AI93))/2))</f>
        <v>60</v>
      </c>
      <c r="AP93">
        <f t="shared" si="5"/>
        <v>60</v>
      </c>
      <c r="AQ93">
        <f>IF($AP93="","",MAX(0,$AP93*(1-(_CONFIG_Model_Settings!$B$173+_CONFIG_Model_Settings!$B$174*(N($AH93)-1)))))</f>
        <v>39</v>
      </c>
      <c r="AR93">
        <f>IF($AP93="","",MIN(100,$AP93*(1+(_CONFIG_Model_Settings!$B$173+_CONFIG_Model_Settings!$B$174*(N($AH93)-1)))))</f>
        <v>81</v>
      </c>
    </row>
    <row r="94" spans="1:44" ht="72" customHeight="1">
      <c r="A94" s="9" t="s">
        <v>1363</v>
      </c>
      <c r="B94" s="9" t="s">
        <v>1259</v>
      </c>
      <c r="C94" s="9" t="s">
        <v>1278</v>
      </c>
      <c r="D94" s="9" t="s">
        <v>5840</v>
      </c>
      <c r="E94" s="9" t="s">
        <v>1364</v>
      </c>
      <c r="F94" s="9" t="s">
        <v>5841</v>
      </c>
      <c r="G94" s="9" t="s">
        <v>5842</v>
      </c>
      <c r="H94" s="9" t="s">
        <v>5843</v>
      </c>
      <c r="I94" s="9" t="s">
        <v>5844</v>
      </c>
      <c r="J94" s="9" t="s">
        <v>5845</v>
      </c>
      <c r="K94" s="9" t="s">
        <v>5846</v>
      </c>
      <c r="L94" s="9" t="s">
        <v>5847</v>
      </c>
      <c r="M94" s="9" t="s">
        <v>5848</v>
      </c>
      <c r="N94" s="9" t="s">
        <v>5849</v>
      </c>
      <c r="O94" s="9" t="s">
        <v>5850</v>
      </c>
      <c r="P94" s="9" t="s">
        <v>5851</v>
      </c>
      <c r="Q94" s="9" t="s">
        <v>5852</v>
      </c>
      <c r="R94" s="9" t="s">
        <v>4589</v>
      </c>
      <c r="S94" s="9" t="s">
        <v>5853</v>
      </c>
      <c r="T94" s="9">
        <v>2</v>
      </c>
      <c r="U94" s="9">
        <v>2</v>
      </c>
      <c r="V94" s="9">
        <v>2</v>
      </c>
      <c r="W94" s="9">
        <v>2</v>
      </c>
      <c r="X94" s="9">
        <v>1</v>
      </c>
      <c r="Y94" s="9">
        <v>1</v>
      </c>
      <c r="Z94" s="9" t="s">
        <v>1366</v>
      </c>
      <c r="AA94" s="9" t="s">
        <v>5854</v>
      </c>
      <c r="AB94" s="9" t="s">
        <v>1373</v>
      </c>
      <c r="AC94" s="9" t="s">
        <v>5855</v>
      </c>
      <c r="AD94" s="9" t="s">
        <v>5856</v>
      </c>
      <c r="AE94" t="str">
        <f t="shared" si="3"/>
        <v>Fast</v>
      </c>
      <c r="AF94">
        <f>IF($A94="","",IFERROR(VLOOKUP($B94,_CONFIG_Risk_Calibration!$A$5:$H$21,2,FALSE),3))</f>
        <v>3</v>
      </c>
      <c r="AG94">
        <f>IF($A94="","",IFERROR(VLOOKUP($B94,_CONFIG_Risk_Calibration!$A$5:$H$21,3,FALSE),0))</f>
        <v>0</v>
      </c>
      <c r="AH94">
        <f>IF($A94="","",IFERROR(VLOOKUP($B94,_CONFIG_Risk_Calibration!$A$5:$H$21,4,FALSE),3))</f>
        <v>3</v>
      </c>
      <c r="AI94">
        <f>IF($A94="","",IFERROR(VLOOKUP($B94,_CONFIG_Risk_Calibration!$A$5:$H$21,5,FALSE),3))</f>
        <v>3</v>
      </c>
      <c r="AJ94" t="str">
        <f>IF($A94="","",IFERROR(VLOOKUP($B94,_CONFIG_Risk_Calibration!$A$5:$H$21,6,FALSE),"No"))</f>
        <v>No</v>
      </c>
      <c r="AK94">
        <f>IF($A94="","",IFERROR(VLOOKUP($B94,_CONFIG_Risk_Calibration!$A$5:$H$21,7,FALSE),1))</f>
        <v>1</v>
      </c>
      <c r="AL94" t="str">
        <f>IF($A94="","",IFERROR(VLOOKUP($B94,_CONFIG_Risk_Calibration!$A$5:$H$21,8,FALSE),""))</f>
        <v>Clean template default. Calibrate with real exposure, incident history, evidence quality and domain-owner validation.</v>
      </c>
      <c r="AM94">
        <f>IF($A94="","",IFERROR(INDEX(_DATA_Assessment_Model!$AL$1:$AL$428,MATCH($A94,_DATA_Assessment_Model!$A$1:$A$428,0)),""))</f>
        <v>0</v>
      </c>
      <c r="AN94">
        <f t="shared" si="4"/>
        <v>1</v>
      </c>
      <c r="AO94">
        <f>IF($A94="","",_CONFIG_Model_Settings!$B$172*MAX(N($AK94),(N($AF94)+N($AI94))/2))</f>
        <v>60</v>
      </c>
      <c r="AP94">
        <f t="shared" si="5"/>
        <v>60</v>
      </c>
      <c r="AQ94">
        <f>IF($AP94="","",MAX(0,$AP94*(1-(_CONFIG_Model_Settings!$B$173+_CONFIG_Model_Settings!$B$174*(N($AH94)-1)))))</f>
        <v>39</v>
      </c>
      <c r="AR94">
        <f>IF($AP94="","",MIN(100,$AP94*(1+(_CONFIG_Model_Settings!$B$173+_CONFIG_Model_Settings!$B$174*(N($AH94)-1)))))</f>
        <v>81</v>
      </c>
    </row>
    <row r="95" spans="1:44" ht="72" customHeight="1">
      <c r="A95" s="9" t="s">
        <v>1374</v>
      </c>
      <c r="B95" s="9" t="s">
        <v>1259</v>
      </c>
      <c r="C95" s="9" t="s">
        <v>1278</v>
      </c>
      <c r="D95" s="9" t="s">
        <v>5840</v>
      </c>
      <c r="E95" s="9" t="s">
        <v>1375</v>
      </c>
      <c r="F95" s="9" t="s">
        <v>5857</v>
      </c>
      <c r="G95" s="9" t="s">
        <v>5858</v>
      </c>
      <c r="H95" s="9" t="s">
        <v>5859</v>
      </c>
      <c r="I95" s="9" t="s">
        <v>5860</v>
      </c>
      <c r="J95" s="9" t="s">
        <v>5861</v>
      </c>
      <c r="K95" s="9" t="s">
        <v>5862</v>
      </c>
      <c r="L95" s="9" t="s">
        <v>5863</v>
      </c>
      <c r="M95" s="9" t="s">
        <v>5864</v>
      </c>
      <c r="N95" s="9" t="s">
        <v>5865</v>
      </c>
      <c r="O95" s="9" t="s">
        <v>5866</v>
      </c>
      <c r="P95" s="9" t="s">
        <v>5867</v>
      </c>
      <c r="Q95" s="9" t="s">
        <v>5868</v>
      </c>
      <c r="R95" s="9" t="s">
        <v>4589</v>
      </c>
      <c r="S95" s="9" t="s">
        <v>5869</v>
      </c>
      <c r="T95" s="9">
        <v>2</v>
      </c>
      <c r="U95" s="9">
        <v>2</v>
      </c>
      <c r="V95" s="9">
        <v>2</v>
      </c>
      <c r="W95" s="9">
        <v>2</v>
      </c>
      <c r="X95" s="9">
        <v>1</v>
      </c>
      <c r="Y95" s="9">
        <v>1</v>
      </c>
      <c r="Z95" s="9" t="s">
        <v>1377</v>
      </c>
      <c r="AA95" s="9" t="s">
        <v>5870</v>
      </c>
      <c r="AB95" s="9" t="s">
        <v>1378</v>
      </c>
      <c r="AC95" s="9" t="s">
        <v>5855</v>
      </c>
      <c r="AD95" s="9" t="s">
        <v>5871</v>
      </c>
      <c r="AE95" t="str">
        <f t="shared" si="3"/>
        <v>Fast</v>
      </c>
      <c r="AF95">
        <f>IF($A95="","",IFERROR(VLOOKUP($B95,_CONFIG_Risk_Calibration!$A$5:$H$21,2,FALSE),3))</f>
        <v>3</v>
      </c>
      <c r="AG95">
        <f>IF($A95="","",IFERROR(VLOOKUP($B95,_CONFIG_Risk_Calibration!$A$5:$H$21,3,FALSE),0))</f>
        <v>0</v>
      </c>
      <c r="AH95">
        <f>IF($A95="","",IFERROR(VLOOKUP($B95,_CONFIG_Risk_Calibration!$A$5:$H$21,4,FALSE),3))</f>
        <v>3</v>
      </c>
      <c r="AI95">
        <f>IF($A95="","",IFERROR(VLOOKUP($B95,_CONFIG_Risk_Calibration!$A$5:$H$21,5,FALSE),3))</f>
        <v>3</v>
      </c>
      <c r="AJ95" t="str">
        <f>IF($A95="","",IFERROR(VLOOKUP($B95,_CONFIG_Risk_Calibration!$A$5:$H$21,6,FALSE),"No"))</f>
        <v>No</v>
      </c>
      <c r="AK95">
        <f>IF($A95="","",IFERROR(VLOOKUP($B95,_CONFIG_Risk_Calibration!$A$5:$H$21,7,FALSE),1))</f>
        <v>1</v>
      </c>
      <c r="AL95" t="str">
        <f>IF($A95="","",IFERROR(VLOOKUP($B95,_CONFIG_Risk_Calibration!$A$5:$H$21,8,FALSE),""))</f>
        <v>Clean template default. Calibrate with real exposure, incident history, evidence quality and domain-owner validation.</v>
      </c>
      <c r="AM95">
        <f>IF($A95="","",IFERROR(INDEX(_DATA_Assessment_Model!$AL$1:$AL$428,MATCH($A95,_DATA_Assessment_Model!$A$1:$A$428,0)),""))</f>
        <v>0</v>
      </c>
      <c r="AN95">
        <f t="shared" si="4"/>
        <v>1</v>
      </c>
      <c r="AO95">
        <f>IF($A95="","",_CONFIG_Model_Settings!$B$172*MAX(N($AK95),(N($AF95)+N($AI95))/2))</f>
        <v>60</v>
      </c>
      <c r="AP95">
        <f t="shared" si="5"/>
        <v>60</v>
      </c>
      <c r="AQ95">
        <f>IF($AP95="","",MAX(0,$AP95*(1-(_CONFIG_Model_Settings!$B$173+_CONFIG_Model_Settings!$B$174*(N($AH95)-1)))))</f>
        <v>39</v>
      </c>
      <c r="AR95">
        <f>IF($AP95="","",MIN(100,$AP95*(1+(_CONFIG_Model_Settings!$B$173+_CONFIG_Model_Settings!$B$174*(N($AH95)-1)))))</f>
        <v>81</v>
      </c>
    </row>
    <row r="96" spans="1:44" ht="72" customHeight="1">
      <c r="A96" s="9" t="s">
        <v>1379</v>
      </c>
      <c r="B96" s="9" t="s">
        <v>1259</v>
      </c>
      <c r="C96" s="9" t="s">
        <v>1274</v>
      </c>
      <c r="D96" s="9" t="s">
        <v>5840</v>
      </c>
      <c r="E96" s="9" t="s">
        <v>1380</v>
      </c>
      <c r="F96" s="9" t="s">
        <v>5872</v>
      </c>
      <c r="G96" s="9" t="s">
        <v>5873</v>
      </c>
      <c r="H96" s="9" t="s">
        <v>5874</v>
      </c>
      <c r="I96" s="9" t="s">
        <v>5875</v>
      </c>
      <c r="J96" s="9" t="s">
        <v>5876</v>
      </c>
      <c r="K96" s="9" t="s">
        <v>5877</v>
      </c>
      <c r="L96" s="9" t="s">
        <v>5878</v>
      </c>
      <c r="M96" s="9" t="s">
        <v>5879</v>
      </c>
      <c r="N96" s="9" t="s">
        <v>5880</v>
      </c>
      <c r="O96" s="9" t="s">
        <v>5881</v>
      </c>
      <c r="P96" s="9" t="s">
        <v>5882</v>
      </c>
      <c r="Q96" s="9" t="s">
        <v>5883</v>
      </c>
      <c r="R96" s="9" t="s">
        <v>4589</v>
      </c>
      <c r="S96" s="9" t="s">
        <v>5884</v>
      </c>
      <c r="T96" s="9">
        <v>2</v>
      </c>
      <c r="U96" s="9">
        <v>2</v>
      </c>
      <c r="V96" s="9">
        <v>2</v>
      </c>
      <c r="W96" s="9">
        <v>2</v>
      </c>
      <c r="X96" s="9">
        <v>1</v>
      </c>
      <c r="Y96" s="9">
        <v>1</v>
      </c>
      <c r="Z96" s="9" t="s">
        <v>1382</v>
      </c>
      <c r="AA96" s="9" t="s">
        <v>5885</v>
      </c>
      <c r="AB96" s="9" t="s">
        <v>1389</v>
      </c>
      <c r="AC96" s="9" t="s">
        <v>5886</v>
      </c>
      <c r="AD96" s="9" t="s">
        <v>5887</v>
      </c>
      <c r="AE96" t="str">
        <f t="shared" si="3"/>
        <v>Fast</v>
      </c>
      <c r="AF96">
        <f>IF($A96="","",IFERROR(VLOOKUP($B96,_CONFIG_Risk_Calibration!$A$5:$H$21,2,FALSE),3))</f>
        <v>3</v>
      </c>
      <c r="AG96">
        <f>IF($A96="","",IFERROR(VLOOKUP($B96,_CONFIG_Risk_Calibration!$A$5:$H$21,3,FALSE),0))</f>
        <v>0</v>
      </c>
      <c r="AH96">
        <f>IF($A96="","",IFERROR(VLOOKUP($B96,_CONFIG_Risk_Calibration!$A$5:$H$21,4,FALSE),3))</f>
        <v>3</v>
      </c>
      <c r="AI96">
        <f>IF($A96="","",IFERROR(VLOOKUP($B96,_CONFIG_Risk_Calibration!$A$5:$H$21,5,FALSE),3))</f>
        <v>3</v>
      </c>
      <c r="AJ96" t="str">
        <f>IF($A96="","",IFERROR(VLOOKUP($B96,_CONFIG_Risk_Calibration!$A$5:$H$21,6,FALSE),"No"))</f>
        <v>No</v>
      </c>
      <c r="AK96">
        <f>IF($A96="","",IFERROR(VLOOKUP($B96,_CONFIG_Risk_Calibration!$A$5:$H$21,7,FALSE),1))</f>
        <v>1</v>
      </c>
      <c r="AL96" t="str">
        <f>IF($A96="","",IFERROR(VLOOKUP($B96,_CONFIG_Risk_Calibration!$A$5:$H$21,8,FALSE),""))</f>
        <v>Clean template default. Calibrate with real exposure, incident history, evidence quality and domain-owner validation.</v>
      </c>
      <c r="AM96">
        <f>IF($A96="","",IFERROR(INDEX(_DATA_Assessment_Model!$AL$1:$AL$428,MATCH($A96,_DATA_Assessment_Model!$A$1:$A$428,0)),""))</f>
        <v>0</v>
      </c>
      <c r="AN96">
        <f t="shared" si="4"/>
        <v>1</v>
      </c>
      <c r="AO96">
        <f>IF($A96="","",_CONFIG_Model_Settings!$B$172*MAX(N($AK96),(N($AF96)+N($AI96))/2))</f>
        <v>60</v>
      </c>
      <c r="AP96">
        <f t="shared" si="5"/>
        <v>60</v>
      </c>
      <c r="AQ96">
        <f>IF($AP96="","",MAX(0,$AP96*(1-(_CONFIG_Model_Settings!$B$173+_CONFIG_Model_Settings!$B$174*(N($AH96)-1)))))</f>
        <v>39</v>
      </c>
      <c r="AR96">
        <f>IF($AP96="","",MIN(100,$AP96*(1+(_CONFIG_Model_Settings!$B$173+_CONFIG_Model_Settings!$B$174*(N($AH96)-1)))))</f>
        <v>81</v>
      </c>
    </row>
    <row r="97" spans="1:44" ht="84" customHeight="1">
      <c r="A97" s="9" t="s">
        <v>1390</v>
      </c>
      <c r="B97" s="9" t="s">
        <v>1259</v>
      </c>
      <c r="C97" s="9" t="s">
        <v>1261</v>
      </c>
      <c r="D97" s="9" t="s">
        <v>5888</v>
      </c>
      <c r="E97" s="9" t="s">
        <v>1391</v>
      </c>
      <c r="F97" s="9" t="s">
        <v>5889</v>
      </c>
      <c r="G97" s="9" t="s">
        <v>5890</v>
      </c>
      <c r="H97" s="9" t="s">
        <v>5891</v>
      </c>
      <c r="I97" s="9" t="s">
        <v>5892</v>
      </c>
      <c r="J97" s="9" t="s">
        <v>5893</v>
      </c>
      <c r="K97" s="9" t="s">
        <v>5894</v>
      </c>
      <c r="L97" s="9" t="s">
        <v>5895</v>
      </c>
      <c r="M97" s="9" t="s">
        <v>5896</v>
      </c>
      <c r="N97" s="9" t="s">
        <v>5897</v>
      </c>
      <c r="O97" s="9" t="s">
        <v>5898</v>
      </c>
      <c r="P97" s="9" t="s">
        <v>5899</v>
      </c>
      <c r="Q97" s="9" t="s">
        <v>5900</v>
      </c>
      <c r="R97" s="9" t="s">
        <v>4589</v>
      </c>
      <c r="S97" s="9" t="s">
        <v>5901</v>
      </c>
      <c r="T97" s="9">
        <v>3</v>
      </c>
      <c r="U97" s="9">
        <v>3</v>
      </c>
      <c r="V97" s="9">
        <v>2</v>
      </c>
      <c r="W97" s="9">
        <v>2</v>
      </c>
      <c r="X97" s="9">
        <v>2</v>
      </c>
      <c r="Y97" s="9">
        <v>1</v>
      </c>
      <c r="Z97" s="9" t="s">
        <v>1393</v>
      </c>
      <c r="AA97" s="9" t="s">
        <v>5902</v>
      </c>
      <c r="AB97" s="9" t="s">
        <v>1400</v>
      </c>
      <c r="AC97" s="9" t="s">
        <v>5903</v>
      </c>
      <c r="AD97" s="9" t="s">
        <v>5904</v>
      </c>
      <c r="AE97" t="str">
        <f t="shared" si="3"/>
        <v>Medium</v>
      </c>
      <c r="AF97">
        <f>IF($A97="","",IFERROR(VLOOKUP($B97,_CONFIG_Risk_Calibration!$A$5:$H$21,2,FALSE),3))</f>
        <v>3</v>
      </c>
      <c r="AG97">
        <f>IF($A97="","",IFERROR(VLOOKUP($B97,_CONFIG_Risk_Calibration!$A$5:$H$21,3,FALSE),0))</f>
        <v>0</v>
      </c>
      <c r="AH97">
        <f>IF($A97="","",IFERROR(VLOOKUP($B97,_CONFIG_Risk_Calibration!$A$5:$H$21,4,FALSE),3))</f>
        <v>3</v>
      </c>
      <c r="AI97">
        <f>IF($A97="","",IFERROR(VLOOKUP($B97,_CONFIG_Risk_Calibration!$A$5:$H$21,5,FALSE),3))</f>
        <v>3</v>
      </c>
      <c r="AJ97" t="str">
        <f>IF($A97="","",IFERROR(VLOOKUP($B97,_CONFIG_Risk_Calibration!$A$5:$H$21,6,FALSE),"No"))</f>
        <v>No</v>
      </c>
      <c r="AK97">
        <f>IF($A97="","",IFERROR(VLOOKUP($B97,_CONFIG_Risk_Calibration!$A$5:$H$21,7,FALSE),1))</f>
        <v>1</v>
      </c>
      <c r="AL97" t="str">
        <f>IF($A97="","",IFERROR(VLOOKUP($B97,_CONFIG_Risk_Calibration!$A$5:$H$21,8,FALSE),""))</f>
        <v>Clean template default. Calibrate with real exposure, incident history, evidence quality and domain-owner validation.</v>
      </c>
      <c r="AM97">
        <f>IF($A97="","",IFERROR(INDEX(_DATA_Assessment_Model!$AL$1:$AL$428,MATCH($A97,_DATA_Assessment_Model!$A$1:$A$428,0)),""))</f>
        <v>0</v>
      </c>
      <c r="AN97">
        <f t="shared" si="4"/>
        <v>1</v>
      </c>
      <c r="AO97">
        <f>IF($A97="","",_CONFIG_Model_Settings!$B$172*MAX(N($AK97),(N($AF97)+N($AI97))/2))</f>
        <v>60</v>
      </c>
      <c r="AP97">
        <f t="shared" si="5"/>
        <v>60</v>
      </c>
      <c r="AQ97">
        <f>IF($AP97="","",MAX(0,$AP97*(1-(_CONFIG_Model_Settings!$B$173+_CONFIG_Model_Settings!$B$174*(N($AH97)-1)))))</f>
        <v>39</v>
      </c>
      <c r="AR97">
        <f>IF($AP97="","",MIN(100,$AP97*(1+(_CONFIG_Model_Settings!$B$173+_CONFIG_Model_Settings!$B$174*(N($AH97)-1)))))</f>
        <v>81</v>
      </c>
    </row>
    <row r="98" spans="1:44" ht="72" customHeight="1">
      <c r="A98" s="9" t="s">
        <v>1402</v>
      </c>
      <c r="B98" s="9" t="s">
        <v>1401</v>
      </c>
      <c r="C98" s="9" t="s">
        <v>1403</v>
      </c>
      <c r="D98" s="9" t="s">
        <v>3683</v>
      </c>
      <c r="E98" s="9" t="s">
        <v>1404</v>
      </c>
      <c r="F98" s="9" t="s">
        <v>5905</v>
      </c>
      <c r="G98" s="9" t="s">
        <v>5906</v>
      </c>
      <c r="H98" s="9" t="s">
        <v>5907</v>
      </c>
      <c r="I98" s="9" t="s">
        <v>5908</v>
      </c>
      <c r="J98" s="9" t="s">
        <v>5909</v>
      </c>
      <c r="K98" s="9" t="s">
        <v>5910</v>
      </c>
      <c r="L98" s="9" t="s">
        <v>5911</v>
      </c>
      <c r="M98" s="9" t="s">
        <v>5912</v>
      </c>
      <c r="N98" s="9" t="s">
        <v>5913</v>
      </c>
      <c r="O98" s="9" t="s">
        <v>5914</v>
      </c>
      <c r="P98" s="9" t="s">
        <v>5915</v>
      </c>
      <c r="Q98" s="9" t="s">
        <v>5916</v>
      </c>
      <c r="R98" s="9" t="s">
        <v>4589</v>
      </c>
      <c r="S98" s="9" t="s">
        <v>5917</v>
      </c>
      <c r="T98" s="9">
        <v>3</v>
      </c>
      <c r="U98" s="9">
        <v>3</v>
      </c>
      <c r="V98" s="9">
        <v>2</v>
      </c>
      <c r="W98" s="9">
        <v>2</v>
      </c>
      <c r="X98" s="9">
        <v>1</v>
      </c>
      <c r="Y98" s="9">
        <v>1</v>
      </c>
      <c r="Z98" s="9" t="s">
        <v>1406</v>
      </c>
      <c r="AA98" s="9" t="s">
        <v>1407</v>
      </c>
      <c r="AB98" s="9" t="s">
        <v>1408</v>
      </c>
      <c r="AC98" s="9" t="s">
        <v>5918</v>
      </c>
      <c r="AD98" s="9" t="s">
        <v>5919</v>
      </c>
      <c r="AE98" t="str">
        <f t="shared" si="3"/>
        <v>Medium</v>
      </c>
      <c r="AF98">
        <f>IF($A98="","",IFERROR(VLOOKUP($B98,_CONFIG_Risk_Calibration!$A$5:$H$21,2,FALSE),3))</f>
        <v>3</v>
      </c>
      <c r="AG98">
        <f>IF($A98="","",IFERROR(VLOOKUP($B98,_CONFIG_Risk_Calibration!$A$5:$H$21,3,FALSE),0))</f>
        <v>0</v>
      </c>
      <c r="AH98">
        <f>IF($A98="","",IFERROR(VLOOKUP($B98,_CONFIG_Risk_Calibration!$A$5:$H$21,4,FALSE),3))</f>
        <v>3</v>
      </c>
      <c r="AI98">
        <f>IF($A98="","",IFERROR(VLOOKUP($B98,_CONFIG_Risk_Calibration!$A$5:$H$21,5,FALSE),3))</f>
        <v>4</v>
      </c>
      <c r="AJ98" t="str">
        <f>IF($A98="","",IFERROR(VLOOKUP($B98,_CONFIG_Risk_Calibration!$A$5:$H$21,6,FALSE),"No"))</f>
        <v>Yes</v>
      </c>
      <c r="AK98">
        <f>IF($A98="","",IFERROR(VLOOKUP($B98,_CONFIG_Risk_Calibration!$A$5:$H$21,7,FALSE),1))</f>
        <v>4</v>
      </c>
      <c r="AL98" t="str">
        <f>IF($A98="","",IFERROR(VLOOKUP($B98,_CONFIG_Risk_Calibration!$A$5:$H$21,8,FALSE),""))</f>
        <v>Clean template default. Calibrate with real exposure, incident history, evidence quality and domain-owner validation.</v>
      </c>
      <c r="AM98">
        <f>IF($A98="","",IFERROR(INDEX(_DATA_Assessment_Model!$AL$1:$AL$428,MATCH($A98,_DATA_Assessment_Model!$A$1:$A$428,0)),""))</f>
        <v>0</v>
      </c>
      <c r="AN98">
        <f t="shared" si="4"/>
        <v>1</v>
      </c>
      <c r="AO98">
        <f>IF($A98="","",_CONFIG_Model_Settings!$B$172*MAX(N($AK98),(N($AF98)+N($AI98))/2))</f>
        <v>80</v>
      </c>
      <c r="AP98">
        <f t="shared" si="5"/>
        <v>80</v>
      </c>
      <c r="AQ98">
        <f>IF($AP98="","",MAX(0,$AP98*(1-(_CONFIG_Model_Settings!$B$173+_CONFIG_Model_Settings!$B$174*(N($AH98)-1)))))</f>
        <v>52</v>
      </c>
      <c r="AR98">
        <f>IF($AP98="","",MIN(100,$AP98*(1+(_CONFIG_Model_Settings!$B$173+_CONFIG_Model_Settings!$B$174*(N($AH98)-1)))))</f>
        <v>100</v>
      </c>
    </row>
    <row r="99" spans="1:44" ht="72" customHeight="1">
      <c r="A99" s="9" t="s">
        <v>1409</v>
      </c>
      <c r="B99" s="9" t="s">
        <v>1401</v>
      </c>
      <c r="C99" s="9" t="s">
        <v>1403</v>
      </c>
      <c r="D99" s="9" t="s">
        <v>3683</v>
      </c>
      <c r="E99" s="9" t="s">
        <v>1410</v>
      </c>
      <c r="F99" s="9" t="s">
        <v>5920</v>
      </c>
      <c r="G99" s="9" t="s">
        <v>5921</v>
      </c>
      <c r="H99" s="9" t="s">
        <v>5922</v>
      </c>
      <c r="I99" s="9" t="s">
        <v>5923</v>
      </c>
      <c r="J99" s="9" t="s">
        <v>5924</v>
      </c>
      <c r="K99" s="9" t="s">
        <v>5925</v>
      </c>
      <c r="L99" s="9" t="s">
        <v>5926</v>
      </c>
      <c r="M99" s="9" t="s">
        <v>5927</v>
      </c>
      <c r="N99" s="9" t="s">
        <v>5928</v>
      </c>
      <c r="O99" s="9" t="s">
        <v>5929</v>
      </c>
      <c r="P99" s="9" t="s">
        <v>5930</v>
      </c>
      <c r="Q99" s="9" t="s">
        <v>5931</v>
      </c>
      <c r="R99" s="9" t="s">
        <v>4589</v>
      </c>
      <c r="S99" s="9" t="s">
        <v>5932</v>
      </c>
      <c r="T99" s="9">
        <v>3</v>
      </c>
      <c r="U99" s="9">
        <v>3</v>
      </c>
      <c r="V99" s="9">
        <v>2</v>
      </c>
      <c r="W99" s="9">
        <v>2</v>
      </c>
      <c r="X99" s="9">
        <v>1</v>
      </c>
      <c r="Y99" s="9">
        <v>1</v>
      </c>
      <c r="Z99" s="9" t="s">
        <v>1406</v>
      </c>
      <c r="AA99" s="9" t="s">
        <v>1411</v>
      </c>
      <c r="AB99" s="9" t="s">
        <v>1408</v>
      </c>
      <c r="AC99" s="9" t="s">
        <v>5918</v>
      </c>
      <c r="AD99" s="9" t="s">
        <v>5933</v>
      </c>
      <c r="AE99" t="str">
        <f t="shared" si="3"/>
        <v>Medium</v>
      </c>
      <c r="AF99">
        <f>IF($A99="","",IFERROR(VLOOKUP($B99,_CONFIG_Risk_Calibration!$A$5:$H$21,2,FALSE),3))</f>
        <v>3</v>
      </c>
      <c r="AG99">
        <f>IF($A99="","",IFERROR(VLOOKUP($B99,_CONFIG_Risk_Calibration!$A$5:$H$21,3,FALSE),0))</f>
        <v>0</v>
      </c>
      <c r="AH99">
        <f>IF($A99="","",IFERROR(VLOOKUP($B99,_CONFIG_Risk_Calibration!$A$5:$H$21,4,FALSE),3))</f>
        <v>3</v>
      </c>
      <c r="AI99">
        <f>IF($A99="","",IFERROR(VLOOKUP($B99,_CONFIG_Risk_Calibration!$A$5:$H$21,5,FALSE),3))</f>
        <v>4</v>
      </c>
      <c r="AJ99" t="str">
        <f>IF($A99="","",IFERROR(VLOOKUP($B99,_CONFIG_Risk_Calibration!$A$5:$H$21,6,FALSE),"No"))</f>
        <v>Yes</v>
      </c>
      <c r="AK99">
        <f>IF($A99="","",IFERROR(VLOOKUP($B99,_CONFIG_Risk_Calibration!$A$5:$H$21,7,FALSE),1))</f>
        <v>4</v>
      </c>
      <c r="AL99" t="str">
        <f>IF($A99="","",IFERROR(VLOOKUP($B99,_CONFIG_Risk_Calibration!$A$5:$H$21,8,FALSE),""))</f>
        <v>Clean template default. Calibrate with real exposure, incident history, evidence quality and domain-owner validation.</v>
      </c>
      <c r="AM99">
        <f>IF($A99="","",IFERROR(INDEX(_DATA_Assessment_Model!$AL$1:$AL$428,MATCH($A99,_DATA_Assessment_Model!$A$1:$A$428,0)),""))</f>
        <v>0</v>
      </c>
      <c r="AN99">
        <f t="shared" si="4"/>
        <v>1</v>
      </c>
      <c r="AO99">
        <f>IF($A99="","",_CONFIG_Model_Settings!$B$172*MAX(N($AK99),(N($AF99)+N($AI99))/2))</f>
        <v>80</v>
      </c>
      <c r="AP99">
        <f t="shared" si="5"/>
        <v>80</v>
      </c>
      <c r="AQ99">
        <f>IF($AP99="","",MAX(0,$AP99*(1-(_CONFIG_Model_Settings!$B$173+_CONFIG_Model_Settings!$B$174*(N($AH99)-1)))))</f>
        <v>52</v>
      </c>
      <c r="AR99">
        <f>IF($AP99="","",MIN(100,$AP99*(1+(_CONFIG_Model_Settings!$B$173+_CONFIG_Model_Settings!$B$174*(N($AH99)-1)))))</f>
        <v>100</v>
      </c>
    </row>
    <row r="100" spans="1:44" ht="72" customHeight="1">
      <c r="A100" s="9" t="s">
        <v>1413</v>
      </c>
      <c r="B100" s="9" t="s">
        <v>1401</v>
      </c>
      <c r="C100" s="9" t="s">
        <v>1403</v>
      </c>
      <c r="D100" s="9" t="s">
        <v>3683</v>
      </c>
      <c r="E100" s="9" t="s">
        <v>1414</v>
      </c>
      <c r="F100" s="9" t="s">
        <v>5934</v>
      </c>
      <c r="G100" s="9" t="s">
        <v>5935</v>
      </c>
      <c r="H100" s="9" t="s">
        <v>5936</v>
      </c>
      <c r="I100" s="9" t="s">
        <v>5937</v>
      </c>
      <c r="J100" s="9" t="s">
        <v>5938</v>
      </c>
      <c r="K100" s="9" t="s">
        <v>5939</v>
      </c>
      <c r="L100" s="9" t="s">
        <v>5940</v>
      </c>
      <c r="M100" s="9" t="s">
        <v>5941</v>
      </c>
      <c r="N100" s="9" t="s">
        <v>5942</v>
      </c>
      <c r="O100" s="9" t="s">
        <v>5943</v>
      </c>
      <c r="P100" s="9" t="s">
        <v>5944</v>
      </c>
      <c r="Q100" s="9" t="s">
        <v>5945</v>
      </c>
      <c r="R100" s="9" t="s">
        <v>4589</v>
      </c>
      <c r="S100" s="9" t="s">
        <v>5946</v>
      </c>
      <c r="T100" s="9">
        <v>3</v>
      </c>
      <c r="U100" s="9">
        <v>3</v>
      </c>
      <c r="V100" s="9">
        <v>2</v>
      </c>
      <c r="W100" s="9">
        <v>2</v>
      </c>
      <c r="X100" s="9">
        <v>1</v>
      </c>
      <c r="Y100" s="9">
        <v>1</v>
      </c>
      <c r="Z100" s="9" t="s">
        <v>1406</v>
      </c>
      <c r="AA100" s="9" t="s">
        <v>1415</v>
      </c>
      <c r="AB100" s="9" t="s">
        <v>1408</v>
      </c>
      <c r="AC100" s="9" t="s">
        <v>5918</v>
      </c>
      <c r="AD100" s="9" t="s">
        <v>5947</v>
      </c>
      <c r="AE100" t="str">
        <f t="shared" si="3"/>
        <v>Medium</v>
      </c>
      <c r="AF100">
        <f>IF($A100="","",IFERROR(VLOOKUP($B100,_CONFIG_Risk_Calibration!$A$5:$H$21,2,FALSE),3))</f>
        <v>3</v>
      </c>
      <c r="AG100">
        <f>IF($A100="","",IFERROR(VLOOKUP($B100,_CONFIG_Risk_Calibration!$A$5:$H$21,3,FALSE),0))</f>
        <v>0</v>
      </c>
      <c r="AH100">
        <f>IF($A100="","",IFERROR(VLOOKUP($B100,_CONFIG_Risk_Calibration!$A$5:$H$21,4,FALSE),3))</f>
        <v>3</v>
      </c>
      <c r="AI100">
        <f>IF($A100="","",IFERROR(VLOOKUP($B100,_CONFIG_Risk_Calibration!$A$5:$H$21,5,FALSE),3))</f>
        <v>4</v>
      </c>
      <c r="AJ100" t="str">
        <f>IF($A100="","",IFERROR(VLOOKUP($B100,_CONFIG_Risk_Calibration!$A$5:$H$21,6,FALSE),"No"))</f>
        <v>Yes</v>
      </c>
      <c r="AK100">
        <f>IF($A100="","",IFERROR(VLOOKUP($B100,_CONFIG_Risk_Calibration!$A$5:$H$21,7,FALSE),1))</f>
        <v>4</v>
      </c>
      <c r="AL100" t="str">
        <f>IF($A100="","",IFERROR(VLOOKUP($B100,_CONFIG_Risk_Calibration!$A$5:$H$21,8,FALSE),""))</f>
        <v>Clean template default. Calibrate with real exposure, incident history, evidence quality and domain-owner validation.</v>
      </c>
      <c r="AM100">
        <f>IF($A100="","",IFERROR(INDEX(_DATA_Assessment_Model!$AL$1:$AL$428,MATCH($A100,_DATA_Assessment_Model!$A$1:$A$428,0)),""))</f>
        <v>0</v>
      </c>
      <c r="AN100">
        <f t="shared" si="4"/>
        <v>1</v>
      </c>
      <c r="AO100">
        <f>IF($A100="","",_CONFIG_Model_Settings!$B$172*MAX(N($AK100),(N($AF100)+N($AI100))/2))</f>
        <v>80</v>
      </c>
      <c r="AP100">
        <f t="shared" si="5"/>
        <v>80</v>
      </c>
      <c r="AQ100">
        <f>IF($AP100="","",MAX(0,$AP100*(1-(_CONFIG_Model_Settings!$B$173+_CONFIG_Model_Settings!$B$174*(N($AH100)-1)))))</f>
        <v>52</v>
      </c>
      <c r="AR100">
        <f>IF($AP100="","",MIN(100,$AP100*(1+(_CONFIG_Model_Settings!$B$173+_CONFIG_Model_Settings!$B$174*(N($AH100)-1)))))</f>
        <v>100</v>
      </c>
    </row>
    <row r="101" spans="1:44" ht="72" customHeight="1">
      <c r="A101" s="9" t="s">
        <v>1423</v>
      </c>
      <c r="B101" s="9" t="s">
        <v>1401</v>
      </c>
      <c r="C101" s="9" t="s">
        <v>1403</v>
      </c>
      <c r="D101" s="9" t="s">
        <v>3683</v>
      </c>
      <c r="E101" s="9" t="s">
        <v>1424</v>
      </c>
      <c r="F101" s="9" t="s">
        <v>5948</v>
      </c>
      <c r="G101" s="9" t="s">
        <v>5949</v>
      </c>
      <c r="H101" s="9" t="s">
        <v>5950</v>
      </c>
      <c r="I101" s="9" t="s">
        <v>5951</v>
      </c>
      <c r="J101" s="9" t="s">
        <v>5952</v>
      </c>
      <c r="K101" s="9" t="s">
        <v>5953</v>
      </c>
      <c r="L101" s="9" t="s">
        <v>5954</v>
      </c>
      <c r="M101" s="9" t="s">
        <v>5955</v>
      </c>
      <c r="N101" s="9" t="s">
        <v>5956</v>
      </c>
      <c r="O101" s="9" t="s">
        <v>5957</v>
      </c>
      <c r="P101" s="9" t="s">
        <v>5958</v>
      </c>
      <c r="Q101" s="9" t="s">
        <v>5959</v>
      </c>
      <c r="R101" s="9" t="s">
        <v>4589</v>
      </c>
      <c r="S101" s="9" t="s">
        <v>5960</v>
      </c>
      <c r="T101" s="9">
        <v>3</v>
      </c>
      <c r="U101" s="9">
        <v>3</v>
      </c>
      <c r="V101" s="9">
        <v>2</v>
      </c>
      <c r="W101" s="9">
        <v>2</v>
      </c>
      <c r="X101" s="9">
        <v>1</v>
      </c>
      <c r="Y101" s="9">
        <v>1</v>
      </c>
      <c r="Z101" s="9" t="s">
        <v>1406</v>
      </c>
      <c r="AA101" s="9" t="s">
        <v>1425</v>
      </c>
      <c r="AB101" s="9" t="s">
        <v>1408</v>
      </c>
      <c r="AC101" s="9" t="s">
        <v>5918</v>
      </c>
      <c r="AD101" s="9" t="s">
        <v>5961</v>
      </c>
      <c r="AE101" t="str">
        <f t="shared" si="3"/>
        <v>Medium</v>
      </c>
      <c r="AF101">
        <f>IF($A101="","",IFERROR(VLOOKUP($B101,_CONFIG_Risk_Calibration!$A$5:$H$21,2,FALSE),3))</f>
        <v>3</v>
      </c>
      <c r="AG101">
        <f>IF($A101="","",IFERROR(VLOOKUP($B101,_CONFIG_Risk_Calibration!$A$5:$H$21,3,FALSE),0))</f>
        <v>0</v>
      </c>
      <c r="AH101">
        <f>IF($A101="","",IFERROR(VLOOKUP($B101,_CONFIG_Risk_Calibration!$A$5:$H$21,4,FALSE),3))</f>
        <v>3</v>
      </c>
      <c r="AI101">
        <f>IF($A101="","",IFERROR(VLOOKUP($B101,_CONFIG_Risk_Calibration!$A$5:$H$21,5,FALSE),3))</f>
        <v>4</v>
      </c>
      <c r="AJ101" t="str">
        <f>IF($A101="","",IFERROR(VLOOKUP($B101,_CONFIG_Risk_Calibration!$A$5:$H$21,6,FALSE),"No"))</f>
        <v>Yes</v>
      </c>
      <c r="AK101">
        <f>IF($A101="","",IFERROR(VLOOKUP($B101,_CONFIG_Risk_Calibration!$A$5:$H$21,7,FALSE),1))</f>
        <v>4</v>
      </c>
      <c r="AL101" t="str">
        <f>IF($A101="","",IFERROR(VLOOKUP($B101,_CONFIG_Risk_Calibration!$A$5:$H$21,8,FALSE),""))</f>
        <v>Clean template default. Calibrate with real exposure, incident history, evidence quality and domain-owner validation.</v>
      </c>
      <c r="AM101">
        <f>IF($A101="","",IFERROR(INDEX(_DATA_Assessment_Model!$AL$1:$AL$428,MATCH($A101,_DATA_Assessment_Model!$A$1:$A$428,0)),""))</f>
        <v>0</v>
      </c>
      <c r="AN101">
        <f t="shared" si="4"/>
        <v>1</v>
      </c>
      <c r="AO101">
        <f>IF($A101="","",_CONFIG_Model_Settings!$B$172*MAX(N($AK101),(N($AF101)+N($AI101))/2))</f>
        <v>80</v>
      </c>
      <c r="AP101">
        <f t="shared" si="5"/>
        <v>80</v>
      </c>
      <c r="AQ101">
        <f>IF($AP101="","",MAX(0,$AP101*(1-(_CONFIG_Model_Settings!$B$173+_CONFIG_Model_Settings!$B$174*(N($AH101)-1)))))</f>
        <v>52</v>
      </c>
      <c r="AR101">
        <f>IF($AP101="","",MIN(100,$AP101*(1+(_CONFIG_Model_Settings!$B$173+_CONFIG_Model_Settings!$B$174*(N($AH101)-1)))))</f>
        <v>100</v>
      </c>
    </row>
    <row r="102" spans="1:44" ht="60" customHeight="1">
      <c r="A102" s="9" t="s">
        <v>1427</v>
      </c>
      <c r="B102" s="9" t="s">
        <v>1401</v>
      </c>
      <c r="C102" s="9" t="s">
        <v>1403</v>
      </c>
      <c r="D102" s="9" t="s">
        <v>3683</v>
      </c>
      <c r="E102" s="9" t="s">
        <v>1428</v>
      </c>
      <c r="F102" s="9" t="s">
        <v>5962</v>
      </c>
      <c r="G102" s="9" t="s">
        <v>5963</v>
      </c>
      <c r="H102" s="9" t="s">
        <v>5964</v>
      </c>
      <c r="I102" s="9" t="s">
        <v>5965</v>
      </c>
      <c r="J102" s="9" t="s">
        <v>5966</v>
      </c>
      <c r="K102" s="9" t="s">
        <v>5967</v>
      </c>
      <c r="L102" s="9" t="s">
        <v>5968</v>
      </c>
      <c r="M102" s="9" t="s">
        <v>5969</v>
      </c>
      <c r="N102" s="9" t="s">
        <v>5970</v>
      </c>
      <c r="O102" s="9" t="s">
        <v>5971</v>
      </c>
      <c r="P102" s="9" t="s">
        <v>5972</v>
      </c>
      <c r="Q102" s="9" t="s">
        <v>5973</v>
      </c>
      <c r="R102" s="9" t="s">
        <v>4589</v>
      </c>
      <c r="S102" s="9" t="s">
        <v>5974</v>
      </c>
      <c r="T102" s="9">
        <v>3</v>
      </c>
      <c r="U102" s="9">
        <v>3</v>
      </c>
      <c r="V102" s="9">
        <v>2</v>
      </c>
      <c r="W102" s="9">
        <v>2</v>
      </c>
      <c r="X102" s="9">
        <v>1</v>
      </c>
      <c r="Y102" s="9">
        <v>1</v>
      </c>
      <c r="Z102" s="9" t="s">
        <v>1406</v>
      </c>
      <c r="AA102" s="9" t="s">
        <v>1429</v>
      </c>
      <c r="AB102" s="9" t="s">
        <v>1408</v>
      </c>
      <c r="AC102" s="9" t="s">
        <v>5918</v>
      </c>
      <c r="AD102" s="9" t="s">
        <v>5975</v>
      </c>
      <c r="AE102" t="str">
        <f t="shared" si="3"/>
        <v>Medium</v>
      </c>
      <c r="AF102">
        <f>IF($A102="","",IFERROR(VLOOKUP($B102,_CONFIG_Risk_Calibration!$A$5:$H$21,2,FALSE),3))</f>
        <v>3</v>
      </c>
      <c r="AG102">
        <f>IF($A102="","",IFERROR(VLOOKUP($B102,_CONFIG_Risk_Calibration!$A$5:$H$21,3,FALSE),0))</f>
        <v>0</v>
      </c>
      <c r="AH102">
        <f>IF($A102="","",IFERROR(VLOOKUP($B102,_CONFIG_Risk_Calibration!$A$5:$H$21,4,FALSE),3))</f>
        <v>3</v>
      </c>
      <c r="AI102">
        <f>IF($A102="","",IFERROR(VLOOKUP($B102,_CONFIG_Risk_Calibration!$A$5:$H$21,5,FALSE),3))</f>
        <v>4</v>
      </c>
      <c r="AJ102" t="str">
        <f>IF($A102="","",IFERROR(VLOOKUP($B102,_CONFIG_Risk_Calibration!$A$5:$H$21,6,FALSE),"No"))</f>
        <v>Yes</v>
      </c>
      <c r="AK102">
        <f>IF($A102="","",IFERROR(VLOOKUP($B102,_CONFIG_Risk_Calibration!$A$5:$H$21,7,FALSE),1))</f>
        <v>4</v>
      </c>
      <c r="AL102" t="str">
        <f>IF($A102="","",IFERROR(VLOOKUP($B102,_CONFIG_Risk_Calibration!$A$5:$H$21,8,FALSE),""))</f>
        <v>Clean template default. Calibrate with real exposure, incident history, evidence quality and domain-owner validation.</v>
      </c>
      <c r="AM102">
        <f>IF($A102="","",IFERROR(INDEX(_DATA_Assessment_Model!$AL$1:$AL$428,MATCH($A102,_DATA_Assessment_Model!$A$1:$A$428,0)),""))</f>
        <v>0</v>
      </c>
      <c r="AN102">
        <f t="shared" si="4"/>
        <v>1</v>
      </c>
      <c r="AO102">
        <f>IF($A102="","",_CONFIG_Model_Settings!$B$172*MAX(N($AK102),(N($AF102)+N($AI102))/2))</f>
        <v>80</v>
      </c>
      <c r="AP102">
        <f t="shared" si="5"/>
        <v>80</v>
      </c>
      <c r="AQ102">
        <f>IF($AP102="","",MAX(0,$AP102*(1-(_CONFIG_Model_Settings!$B$173+_CONFIG_Model_Settings!$B$174*(N($AH102)-1)))))</f>
        <v>52</v>
      </c>
      <c r="AR102">
        <f>IF($AP102="","",MIN(100,$AP102*(1+(_CONFIG_Model_Settings!$B$173+_CONFIG_Model_Settings!$B$174*(N($AH102)-1)))))</f>
        <v>100</v>
      </c>
    </row>
    <row r="103" spans="1:44" ht="84" customHeight="1">
      <c r="A103" s="9" t="s">
        <v>1436</v>
      </c>
      <c r="B103" s="9" t="s">
        <v>1401</v>
      </c>
      <c r="C103" s="9" t="s">
        <v>1403</v>
      </c>
      <c r="D103" s="9" t="s">
        <v>3683</v>
      </c>
      <c r="E103" s="9" t="s">
        <v>1437</v>
      </c>
      <c r="F103" s="9" t="s">
        <v>5976</v>
      </c>
      <c r="G103" s="9" t="s">
        <v>5977</v>
      </c>
      <c r="H103" s="9" t="s">
        <v>5978</v>
      </c>
      <c r="I103" s="9" t="s">
        <v>5979</v>
      </c>
      <c r="J103" s="9" t="s">
        <v>5980</v>
      </c>
      <c r="K103" s="9" t="s">
        <v>5981</v>
      </c>
      <c r="L103" s="9" t="s">
        <v>5982</v>
      </c>
      <c r="M103" s="9" t="s">
        <v>5983</v>
      </c>
      <c r="N103" s="9" t="s">
        <v>5984</v>
      </c>
      <c r="O103" s="9" t="s">
        <v>5985</v>
      </c>
      <c r="P103" s="9" t="s">
        <v>5986</v>
      </c>
      <c r="Q103" s="9" t="s">
        <v>5987</v>
      </c>
      <c r="R103" s="9" t="s">
        <v>4589</v>
      </c>
      <c r="S103" s="9" t="s">
        <v>5988</v>
      </c>
      <c r="T103" s="9">
        <v>3</v>
      </c>
      <c r="U103" s="9">
        <v>3</v>
      </c>
      <c r="V103" s="9">
        <v>2</v>
      </c>
      <c r="W103" s="9">
        <v>2</v>
      </c>
      <c r="X103" s="9">
        <v>1</v>
      </c>
      <c r="Y103" s="9">
        <v>1</v>
      </c>
      <c r="Z103" s="9" t="s">
        <v>1406</v>
      </c>
      <c r="AA103" s="9" t="s">
        <v>1438</v>
      </c>
      <c r="AB103" s="9" t="s">
        <v>1408</v>
      </c>
      <c r="AC103" s="9" t="s">
        <v>5918</v>
      </c>
      <c r="AD103" s="9" t="s">
        <v>5989</v>
      </c>
      <c r="AE103" t="str">
        <f t="shared" si="3"/>
        <v>Medium</v>
      </c>
      <c r="AF103">
        <f>IF($A103="","",IFERROR(VLOOKUP($B103,_CONFIG_Risk_Calibration!$A$5:$H$21,2,FALSE),3))</f>
        <v>3</v>
      </c>
      <c r="AG103">
        <f>IF($A103="","",IFERROR(VLOOKUP($B103,_CONFIG_Risk_Calibration!$A$5:$H$21,3,FALSE),0))</f>
        <v>0</v>
      </c>
      <c r="AH103">
        <f>IF($A103="","",IFERROR(VLOOKUP($B103,_CONFIG_Risk_Calibration!$A$5:$H$21,4,FALSE),3))</f>
        <v>3</v>
      </c>
      <c r="AI103">
        <f>IF($A103="","",IFERROR(VLOOKUP($B103,_CONFIG_Risk_Calibration!$A$5:$H$21,5,FALSE),3))</f>
        <v>4</v>
      </c>
      <c r="AJ103" t="str">
        <f>IF($A103="","",IFERROR(VLOOKUP($B103,_CONFIG_Risk_Calibration!$A$5:$H$21,6,FALSE),"No"))</f>
        <v>Yes</v>
      </c>
      <c r="AK103">
        <f>IF($A103="","",IFERROR(VLOOKUP($B103,_CONFIG_Risk_Calibration!$A$5:$H$21,7,FALSE),1))</f>
        <v>4</v>
      </c>
      <c r="AL103" t="str">
        <f>IF($A103="","",IFERROR(VLOOKUP($B103,_CONFIG_Risk_Calibration!$A$5:$H$21,8,FALSE),""))</f>
        <v>Clean template default. Calibrate with real exposure, incident history, evidence quality and domain-owner validation.</v>
      </c>
      <c r="AM103">
        <f>IF($A103="","",IFERROR(INDEX(_DATA_Assessment_Model!$AL$1:$AL$428,MATCH($A103,_DATA_Assessment_Model!$A$1:$A$428,0)),""))</f>
        <v>0</v>
      </c>
      <c r="AN103">
        <f t="shared" si="4"/>
        <v>1</v>
      </c>
      <c r="AO103">
        <f>IF($A103="","",_CONFIG_Model_Settings!$B$172*MAX(N($AK103),(N($AF103)+N($AI103))/2))</f>
        <v>80</v>
      </c>
      <c r="AP103">
        <f t="shared" si="5"/>
        <v>80</v>
      </c>
      <c r="AQ103">
        <f>IF($AP103="","",MAX(0,$AP103*(1-(_CONFIG_Model_Settings!$B$173+_CONFIG_Model_Settings!$B$174*(N($AH103)-1)))))</f>
        <v>52</v>
      </c>
      <c r="AR103">
        <f>IF($AP103="","",MIN(100,$AP103*(1+(_CONFIG_Model_Settings!$B$173+_CONFIG_Model_Settings!$B$174*(N($AH103)-1)))))</f>
        <v>100</v>
      </c>
    </row>
    <row r="104" spans="1:44" ht="72" customHeight="1">
      <c r="A104" s="9" t="s">
        <v>1439</v>
      </c>
      <c r="B104" s="9" t="s">
        <v>1401</v>
      </c>
      <c r="C104" s="9" t="s">
        <v>1412</v>
      </c>
      <c r="D104" s="9" t="s">
        <v>3683</v>
      </c>
      <c r="E104" s="9" t="s">
        <v>1440</v>
      </c>
      <c r="F104" s="9" t="s">
        <v>5990</v>
      </c>
      <c r="G104" s="9" t="s">
        <v>5991</v>
      </c>
      <c r="H104" s="9" t="s">
        <v>5992</v>
      </c>
      <c r="I104" s="9" t="s">
        <v>5993</v>
      </c>
      <c r="J104" s="9" t="s">
        <v>5994</v>
      </c>
      <c r="K104" s="9" t="s">
        <v>5995</v>
      </c>
      <c r="L104" s="9" t="s">
        <v>5996</v>
      </c>
      <c r="M104" s="9" t="s">
        <v>5997</v>
      </c>
      <c r="N104" s="9" t="s">
        <v>5998</v>
      </c>
      <c r="O104" s="9" t="s">
        <v>5999</v>
      </c>
      <c r="P104" s="9" t="s">
        <v>6000</v>
      </c>
      <c r="Q104" s="9" t="s">
        <v>6001</v>
      </c>
      <c r="R104" s="9" t="s">
        <v>4589</v>
      </c>
      <c r="S104" s="9" t="s">
        <v>6002</v>
      </c>
      <c r="T104" s="9">
        <v>3</v>
      </c>
      <c r="U104" s="9">
        <v>3</v>
      </c>
      <c r="V104" s="9">
        <v>2</v>
      </c>
      <c r="W104" s="9">
        <v>2</v>
      </c>
      <c r="X104" s="9">
        <v>1</v>
      </c>
      <c r="Y104" s="9">
        <v>1</v>
      </c>
      <c r="Z104" s="9" t="s">
        <v>1406</v>
      </c>
      <c r="AA104" s="9" t="s">
        <v>1441</v>
      </c>
      <c r="AB104" s="9" t="s">
        <v>1408</v>
      </c>
      <c r="AC104" s="9" t="s">
        <v>5918</v>
      </c>
      <c r="AD104" s="9" t="s">
        <v>6003</v>
      </c>
      <c r="AE104" t="str">
        <f t="shared" si="3"/>
        <v>Medium</v>
      </c>
      <c r="AF104">
        <f>IF($A104="","",IFERROR(VLOOKUP($B104,_CONFIG_Risk_Calibration!$A$5:$H$21,2,FALSE),3))</f>
        <v>3</v>
      </c>
      <c r="AG104">
        <f>IF($A104="","",IFERROR(VLOOKUP($B104,_CONFIG_Risk_Calibration!$A$5:$H$21,3,FALSE),0))</f>
        <v>0</v>
      </c>
      <c r="AH104">
        <f>IF($A104="","",IFERROR(VLOOKUP($B104,_CONFIG_Risk_Calibration!$A$5:$H$21,4,FALSE),3))</f>
        <v>3</v>
      </c>
      <c r="AI104">
        <f>IF($A104="","",IFERROR(VLOOKUP($B104,_CONFIG_Risk_Calibration!$A$5:$H$21,5,FALSE),3))</f>
        <v>4</v>
      </c>
      <c r="AJ104" t="str">
        <f>IF($A104="","",IFERROR(VLOOKUP($B104,_CONFIG_Risk_Calibration!$A$5:$H$21,6,FALSE),"No"))</f>
        <v>Yes</v>
      </c>
      <c r="AK104">
        <f>IF($A104="","",IFERROR(VLOOKUP($B104,_CONFIG_Risk_Calibration!$A$5:$H$21,7,FALSE),1))</f>
        <v>4</v>
      </c>
      <c r="AL104" t="str">
        <f>IF($A104="","",IFERROR(VLOOKUP($B104,_CONFIG_Risk_Calibration!$A$5:$H$21,8,FALSE),""))</f>
        <v>Clean template default. Calibrate with real exposure, incident history, evidence quality and domain-owner validation.</v>
      </c>
      <c r="AM104">
        <f>IF($A104="","",IFERROR(INDEX(_DATA_Assessment_Model!$AL$1:$AL$428,MATCH($A104,_DATA_Assessment_Model!$A$1:$A$428,0)),""))</f>
        <v>0</v>
      </c>
      <c r="AN104">
        <f t="shared" si="4"/>
        <v>1</v>
      </c>
      <c r="AO104">
        <f>IF($A104="","",_CONFIG_Model_Settings!$B$172*MAX(N($AK104),(N($AF104)+N($AI104))/2))</f>
        <v>80</v>
      </c>
      <c r="AP104">
        <f t="shared" si="5"/>
        <v>80</v>
      </c>
      <c r="AQ104">
        <f>IF($AP104="","",MAX(0,$AP104*(1-(_CONFIG_Model_Settings!$B$173+_CONFIG_Model_Settings!$B$174*(N($AH104)-1)))))</f>
        <v>52</v>
      </c>
      <c r="AR104">
        <f>IF($AP104="","",MIN(100,$AP104*(1+(_CONFIG_Model_Settings!$B$173+_CONFIG_Model_Settings!$B$174*(N($AH104)-1)))))</f>
        <v>100</v>
      </c>
    </row>
    <row r="105" spans="1:44" ht="72" customHeight="1">
      <c r="A105" s="9" t="s">
        <v>1448</v>
      </c>
      <c r="B105" s="9" t="s">
        <v>1401</v>
      </c>
      <c r="C105" s="9" t="s">
        <v>1412</v>
      </c>
      <c r="D105" s="9" t="s">
        <v>3683</v>
      </c>
      <c r="E105" s="9" t="s">
        <v>1449</v>
      </c>
      <c r="F105" s="9" t="s">
        <v>6004</v>
      </c>
      <c r="G105" s="9" t="s">
        <v>6005</v>
      </c>
      <c r="H105" s="9" t="s">
        <v>6006</v>
      </c>
      <c r="I105" s="9" t="s">
        <v>6007</v>
      </c>
      <c r="J105" s="9" t="s">
        <v>6008</v>
      </c>
      <c r="K105" s="9" t="s">
        <v>6009</v>
      </c>
      <c r="L105" s="9" t="s">
        <v>6010</v>
      </c>
      <c r="M105" s="9" t="s">
        <v>6011</v>
      </c>
      <c r="N105" s="9" t="s">
        <v>6012</v>
      </c>
      <c r="O105" s="9" t="s">
        <v>6013</v>
      </c>
      <c r="P105" s="9" t="s">
        <v>6014</v>
      </c>
      <c r="Q105" s="9" t="s">
        <v>6015</v>
      </c>
      <c r="R105" s="9" t="s">
        <v>4589</v>
      </c>
      <c r="S105" s="9" t="s">
        <v>6016</v>
      </c>
      <c r="T105" s="9">
        <v>3</v>
      </c>
      <c r="U105" s="9">
        <v>3</v>
      </c>
      <c r="V105" s="9">
        <v>2</v>
      </c>
      <c r="W105" s="9">
        <v>2</v>
      </c>
      <c r="X105" s="9">
        <v>1</v>
      </c>
      <c r="Y105" s="9">
        <v>1</v>
      </c>
      <c r="Z105" s="9" t="s">
        <v>1406</v>
      </c>
      <c r="AA105" s="9" t="s">
        <v>1450</v>
      </c>
      <c r="AB105" s="9" t="s">
        <v>1408</v>
      </c>
      <c r="AC105" s="9" t="s">
        <v>5918</v>
      </c>
      <c r="AD105" s="9" t="s">
        <v>6017</v>
      </c>
      <c r="AE105" t="str">
        <f t="shared" si="3"/>
        <v>Medium</v>
      </c>
      <c r="AF105">
        <f>IF($A105="","",IFERROR(VLOOKUP($B105,_CONFIG_Risk_Calibration!$A$5:$H$21,2,FALSE),3))</f>
        <v>3</v>
      </c>
      <c r="AG105">
        <f>IF($A105="","",IFERROR(VLOOKUP($B105,_CONFIG_Risk_Calibration!$A$5:$H$21,3,FALSE),0))</f>
        <v>0</v>
      </c>
      <c r="AH105">
        <f>IF($A105="","",IFERROR(VLOOKUP($B105,_CONFIG_Risk_Calibration!$A$5:$H$21,4,FALSE),3))</f>
        <v>3</v>
      </c>
      <c r="AI105">
        <f>IF($A105="","",IFERROR(VLOOKUP($B105,_CONFIG_Risk_Calibration!$A$5:$H$21,5,FALSE),3))</f>
        <v>4</v>
      </c>
      <c r="AJ105" t="str">
        <f>IF($A105="","",IFERROR(VLOOKUP($B105,_CONFIG_Risk_Calibration!$A$5:$H$21,6,FALSE),"No"))</f>
        <v>Yes</v>
      </c>
      <c r="AK105">
        <f>IF($A105="","",IFERROR(VLOOKUP($B105,_CONFIG_Risk_Calibration!$A$5:$H$21,7,FALSE),1))</f>
        <v>4</v>
      </c>
      <c r="AL105" t="str">
        <f>IF($A105="","",IFERROR(VLOOKUP($B105,_CONFIG_Risk_Calibration!$A$5:$H$21,8,FALSE),""))</f>
        <v>Clean template default. Calibrate with real exposure, incident history, evidence quality and domain-owner validation.</v>
      </c>
      <c r="AM105">
        <f>IF($A105="","",IFERROR(INDEX(_DATA_Assessment_Model!$AL$1:$AL$428,MATCH($A105,_DATA_Assessment_Model!$A$1:$A$428,0)),""))</f>
        <v>0</v>
      </c>
      <c r="AN105">
        <f t="shared" si="4"/>
        <v>1</v>
      </c>
      <c r="AO105">
        <f>IF($A105="","",_CONFIG_Model_Settings!$B$172*MAX(N($AK105),(N($AF105)+N($AI105))/2))</f>
        <v>80</v>
      </c>
      <c r="AP105">
        <f t="shared" si="5"/>
        <v>80</v>
      </c>
      <c r="AQ105">
        <f>IF($AP105="","",MAX(0,$AP105*(1-(_CONFIG_Model_Settings!$B$173+_CONFIG_Model_Settings!$B$174*(N($AH105)-1)))))</f>
        <v>52</v>
      </c>
      <c r="AR105">
        <f>IF($AP105="","",MIN(100,$AP105*(1+(_CONFIG_Model_Settings!$B$173+_CONFIG_Model_Settings!$B$174*(N($AH105)-1)))))</f>
        <v>100</v>
      </c>
    </row>
    <row r="106" spans="1:44" ht="72" customHeight="1">
      <c r="A106" s="9" t="s">
        <v>1451</v>
      </c>
      <c r="B106" s="9" t="s">
        <v>1401</v>
      </c>
      <c r="C106" s="9" t="s">
        <v>1412</v>
      </c>
      <c r="D106" s="9" t="s">
        <v>3683</v>
      </c>
      <c r="E106" s="9" t="s">
        <v>1452</v>
      </c>
      <c r="F106" s="9" t="s">
        <v>6018</v>
      </c>
      <c r="G106" s="9" t="s">
        <v>6019</v>
      </c>
      <c r="H106" s="9" t="s">
        <v>6020</v>
      </c>
      <c r="I106" s="9" t="s">
        <v>6021</v>
      </c>
      <c r="J106" s="9" t="s">
        <v>6022</v>
      </c>
      <c r="K106" s="9" t="s">
        <v>6023</v>
      </c>
      <c r="L106" s="9" t="s">
        <v>6024</v>
      </c>
      <c r="M106" s="9" t="s">
        <v>6025</v>
      </c>
      <c r="N106" s="9" t="s">
        <v>6026</v>
      </c>
      <c r="O106" s="9" t="s">
        <v>6027</v>
      </c>
      <c r="P106" s="9" t="s">
        <v>6028</v>
      </c>
      <c r="Q106" s="9" t="s">
        <v>6029</v>
      </c>
      <c r="R106" s="9" t="s">
        <v>4589</v>
      </c>
      <c r="S106" s="9" t="s">
        <v>6030</v>
      </c>
      <c r="T106" s="9">
        <v>3</v>
      </c>
      <c r="U106" s="9">
        <v>3</v>
      </c>
      <c r="V106" s="9">
        <v>2</v>
      </c>
      <c r="W106" s="9">
        <v>2</v>
      </c>
      <c r="X106" s="9">
        <v>1</v>
      </c>
      <c r="Y106" s="9">
        <v>1</v>
      </c>
      <c r="Z106" s="9" t="s">
        <v>1406</v>
      </c>
      <c r="AA106" s="9" t="s">
        <v>1453</v>
      </c>
      <c r="AB106" s="9" t="s">
        <v>1408</v>
      </c>
      <c r="AC106" s="9" t="s">
        <v>5918</v>
      </c>
      <c r="AD106" s="9" t="s">
        <v>6031</v>
      </c>
      <c r="AE106" t="str">
        <f t="shared" si="3"/>
        <v>Medium</v>
      </c>
      <c r="AF106">
        <f>IF($A106="","",IFERROR(VLOOKUP($B106,_CONFIG_Risk_Calibration!$A$5:$H$21,2,FALSE),3))</f>
        <v>3</v>
      </c>
      <c r="AG106">
        <f>IF($A106="","",IFERROR(VLOOKUP($B106,_CONFIG_Risk_Calibration!$A$5:$H$21,3,FALSE),0))</f>
        <v>0</v>
      </c>
      <c r="AH106">
        <f>IF($A106="","",IFERROR(VLOOKUP($B106,_CONFIG_Risk_Calibration!$A$5:$H$21,4,FALSE),3))</f>
        <v>3</v>
      </c>
      <c r="AI106">
        <f>IF($A106="","",IFERROR(VLOOKUP($B106,_CONFIG_Risk_Calibration!$A$5:$H$21,5,FALSE),3))</f>
        <v>4</v>
      </c>
      <c r="AJ106" t="str">
        <f>IF($A106="","",IFERROR(VLOOKUP($B106,_CONFIG_Risk_Calibration!$A$5:$H$21,6,FALSE),"No"))</f>
        <v>Yes</v>
      </c>
      <c r="AK106">
        <f>IF($A106="","",IFERROR(VLOOKUP($B106,_CONFIG_Risk_Calibration!$A$5:$H$21,7,FALSE),1))</f>
        <v>4</v>
      </c>
      <c r="AL106" t="str">
        <f>IF($A106="","",IFERROR(VLOOKUP($B106,_CONFIG_Risk_Calibration!$A$5:$H$21,8,FALSE),""))</f>
        <v>Clean template default. Calibrate with real exposure, incident history, evidence quality and domain-owner validation.</v>
      </c>
      <c r="AM106">
        <f>IF($A106="","",IFERROR(INDEX(_DATA_Assessment_Model!$AL$1:$AL$428,MATCH($A106,_DATA_Assessment_Model!$A$1:$A$428,0)),""))</f>
        <v>0</v>
      </c>
      <c r="AN106">
        <f t="shared" si="4"/>
        <v>1</v>
      </c>
      <c r="AO106">
        <f>IF($A106="","",_CONFIG_Model_Settings!$B$172*MAX(N($AK106),(N($AF106)+N($AI106))/2))</f>
        <v>80</v>
      </c>
      <c r="AP106">
        <f t="shared" si="5"/>
        <v>80</v>
      </c>
      <c r="AQ106">
        <f>IF($AP106="","",MAX(0,$AP106*(1-(_CONFIG_Model_Settings!$B$173+_CONFIG_Model_Settings!$B$174*(N($AH106)-1)))))</f>
        <v>52</v>
      </c>
      <c r="AR106">
        <f>IF($AP106="","",MIN(100,$AP106*(1+(_CONFIG_Model_Settings!$B$173+_CONFIG_Model_Settings!$B$174*(N($AH106)-1)))))</f>
        <v>100</v>
      </c>
    </row>
    <row r="107" spans="1:44" ht="72" customHeight="1">
      <c r="A107" s="9" t="s">
        <v>1454</v>
      </c>
      <c r="B107" s="9" t="s">
        <v>1401</v>
      </c>
      <c r="C107" s="9" t="s">
        <v>1412</v>
      </c>
      <c r="D107" s="9" t="s">
        <v>3683</v>
      </c>
      <c r="E107" s="9" t="s">
        <v>1455</v>
      </c>
      <c r="F107" s="9" t="s">
        <v>6032</v>
      </c>
      <c r="G107" s="9" t="s">
        <v>6033</v>
      </c>
      <c r="H107" s="9" t="s">
        <v>6034</v>
      </c>
      <c r="I107" s="9" t="s">
        <v>6035</v>
      </c>
      <c r="J107" s="9" t="s">
        <v>6036</v>
      </c>
      <c r="K107" s="9" t="s">
        <v>6037</v>
      </c>
      <c r="L107" s="9" t="s">
        <v>6038</v>
      </c>
      <c r="M107" s="9" t="s">
        <v>6039</v>
      </c>
      <c r="N107" s="9" t="s">
        <v>6040</v>
      </c>
      <c r="O107" s="9" t="s">
        <v>6041</v>
      </c>
      <c r="P107" s="9" t="s">
        <v>6042</v>
      </c>
      <c r="Q107" s="9" t="s">
        <v>6043</v>
      </c>
      <c r="R107" s="9" t="s">
        <v>4589</v>
      </c>
      <c r="S107" s="9" t="s">
        <v>6044</v>
      </c>
      <c r="T107" s="9">
        <v>3</v>
      </c>
      <c r="U107" s="9">
        <v>3</v>
      </c>
      <c r="V107" s="9">
        <v>2</v>
      </c>
      <c r="W107" s="9">
        <v>2</v>
      </c>
      <c r="X107" s="9">
        <v>1</v>
      </c>
      <c r="Y107" s="9">
        <v>1</v>
      </c>
      <c r="Z107" s="9" t="s">
        <v>1406</v>
      </c>
      <c r="AA107" s="9" t="s">
        <v>1456</v>
      </c>
      <c r="AB107" s="9" t="s">
        <v>1408</v>
      </c>
      <c r="AC107" s="9" t="s">
        <v>5918</v>
      </c>
      <c r="AD107" s="9" t="s">
        <v>6045</v>
      </c>
      <c r="AE107" t="str">
        <f t="shared" si="3"/>
        <v>Medium</v>
      </c>
      <c r="AF107">
        <f>IF($A107="","",IFERROR(VLOOKUP($B107,_CONFIG_Risk_Calibration!$A$5:$H$21,2,FALSE),3))</f>
        <v>3</v>
      </c>
      <c r="AG107">
        <f>IF($A107="","",IFERROR(VLOOKUP($B107,_CONFIG_Risk_Calibration!$A$5:$H$21,3,FALSE),0))</f>
        <v>0</v>
      </c>
      <c r="AH107">
        <f>IF($A107="","",IFERROR(VLOOKUP($B107,_CONFIG_Risk_Calibration!$A$5:$H$21,4,FALSE),3))</f>
        <v>3</v>
      </c>
      <c r="AI107">
        <f>IF($A107="","",IFERROR(VLOOKUP($B107,_CONFIG_Risk_Calibration!$A$5:$H$21,5,FALSE),3))</f>
        <v>4</v>
      </c>
      <c r="AJ107" t="str">
        <f>IF($A107="","",IFERROR(VLOOKUP($B107,_CONFIG_Risk_Calibration!$A$5:$H$21,6,FALSE),"No"))</f>
        <v>Yes</v>
      </c>
      <c r="AK107">
        <f>IF($A107="","",IFERROR(VLOOKUP($B107,_CONFIG_Risk_Calibration!$A$5:$H$21,7,FALSE),1))</f>
        <v>4</v>
      </c>
      <c r="AL107" t="str">
        <f>IF($A107="","",IFERROR(VLOOKUP($B107,_CONFIG_Risk_Calibration!$A$5:$H$21,8,FALSE),""))</f>
        <v>Clean template default. Calibrate with real exposure, incident history, evidence quality and domain-owner validation.</v>
      </c>
      <c r="AM107">
        <f>IF($A107="","",IFERROR(INDEX(_DATA_Assessment_Model!$AL$1:$AL$428,MATCH($A107,_DATA_Assessment_Model!$A$1:$A$428,0)),""))</f>
        <v>0</v>
      </c>
      <c r="AN107">
        <f t="shared" si="4"/>
        <v>1</v>
      </c>
      <c r="AO107">
        <f>IF($A107="","",_CONFIG_Model_Settings!$B$172*MAX(N($AK107),(N($AF107)+N($AI107))/2))</f>
        <v>80</v>
      </c>
      <c r="AP107">
        <f t="shared" si="5"/>
        <v>80</v>
      </c>
      <c r="AQ107">
        <f>IF($AP107="","",MAX(0,$AP107*(1-(_CONFIG_Model_Settings!$B$173+_CONFIG_Model_Settings!$B$174*(N($AH107)-1)))))</f>
        <v>52</v>
      </c>
      <c r="AR107">
        <f>IF($AP107="","",MIN(100,$AP107*(1+(_CONFIG_Model_Settings!$B$173+_CONFIG_Model_Settings!$B$174*(N($AH107)-1)))))</f>
        <v>100</v>
      </c>
    </row>
    <row r="108" spans="1:44" ht="84" customHeight="1">
      <c r="A108" s="9" t="s">
        <v>1457</v>
      </c>
      <c r="B108" s="9" t="s">
        <v>1401</v>
      </c>
      <c r="C108" s="9" t="s">
        <v>1412</v>
      </c>
      <c r="D108" s="9" t="s">
        <v>3683</v>
      </c>
      <c r="E108" s="9" t="s">
        <v>1458</v>
      </c>
      <c r="F108" s="9" t="s">
        <v>6046</v>
      </c>
      <c r="G108" s="9" t="s">
        <v>6047</v>
      </c>
      <c r="H108" s="9" t="s">
        <v>6048</v>
      </c>
      <c r="I108" s="9" t="s">
        <v>6049</v>
      </c>
      <c r="J108" s="9" t="s">
        <v>6050</v>
      </c>
      <c r="K108" s="9" t="s">
        <v>6051</v>
      </c>
      <c r="L108" s="9" t="s">
        <v>6052</v>
      </c>
      <c r="M108" s="9" t="s">
        <v>6053</v>
      </c>
      <c r="N108" s="9" t="s">
        <v>6054</v>
      </c>
      <c r="O108" s="9" t="s">
        <v>6055</v>
      </c>
      <c r="P108" s="9" t="s">
        <v>6056</v>
      </c>
      <c r="Q108" s="9" t="s">
        <v>6057</v>
      </c>
      <c r="R108" s="9" t="s">
        <v>4589</v>
      </c>
      <c r="S108" s="9" t="s">
        <v>6058</v>
      </c>
      <c r="T108" s="9">
        <v>3</v>
      </c>
      <c r="U108" s="9">
        <v>3</v>
      </c>
      <c r="V108" s="9">
        <v>2</v>
      </c>
      <c r="W108" s="9">
        <v>2</v>
      </c>
      <c r="X108" s="9">
        <v>1</v>
      </c>
      <c r="Y108" s="9">
        <v>1</v>
      </c>
      <c r="Z108" s="9" t="s">
        <v>1406</v>
      </c>
      <c r="AA108" s="9" t="s">
        <v>1459</v>
      </c>
      <c r="AB108" s="9" t="s">
        <v>1408</v>
      </c>
      <c r="AC108" s="9" t="s">
        <v>5918</v>
      </c>
      <c r="AD108" s="9" t="s">
        <v>6059</v>
      </c>
      <c r="AE108" t="str">
        <f t="shared" si="3"/>
        <v>Medium</v>
      </c>
      <c r="AF108">
        <f>IF($A108="","",IFERROR(VLOOKUP($B108,_CONFIG_Risk_Calibration!$A$5:$H$21,2,FALSE),3))</f>
        <v>3</v>
      </c>
      <c r="AG108">
        <f>IF($A108="","",IFERROR(VLOOKUP($B108,_CONFIG_Risk_Calibration!$A$5:$H$21,3,FALSE),0))</f>
        <v>0</v>
      </c>
      <c r="AH108">
        <f>IF($A108="","",IFERROR(VLOOKUP($B108,_CONFIG_Risk_Calibration!$A$5:$H$21,4,FALSE),3))</f>
        <v>3</v>
      </c>
      <c r="AI108">
        <f>IF($A108="","",IFERROR(VLOOKUP($B108,_CONFIG_Risk_Calibration!$A$5:$H$21,5,FALSE),3))</f>
        <v>4</v>
      </c>
      <c r="AJ108" t="str">
        <f>IF($A108="","",IFERROR(VLOOKUP($B108,_CONFIG_Risk_Calibration!$A$5:$H$21,6,FALSE),"No"))</f>
        <v>Yes</v>
      </c>
      <c r="AK108">
        <f>IF($A108="","",IFERROR(VLOOKUP($B108,_CONFIG_Risk_Calibration!$A$5:$H$21,7,FALSE),1))</f>
        <v>4</v>
      </c>
      <c r="AL108" t="str">
        <f>IF($A108="","",IFERROR(VLOOKUP($B108,_CONFIG_Risk_Calibration!$A$5:$H$21,8,FALSE),""))</f>
        <v>Clean template default. Calibrate with real exposure, incident history, evidence quality and domain-owner validation.</v>
      </c>
      <c r="AM108">
        <f>IF($A108="","",IFERROR(INDEX(_DATA_Assessment_Model!$AL$1:$AL$428,MATCH($A108,_DATA_Assessment_Model!$A$1:$A$428,0)),""))</f>
        <v>0</v>
      </c>
      <c r="AN108">
        <f t="shared" si="4"/>
        <v>1</v>
      </c>
      <c r="AO108">
        <f>IF($A108="","",_CONFIG_Model_Settings!$B$172*MAX(N($AK108),(N($AF108)+N($AI108))/2))</f>
        <v>80</v>
      </c>
      <c r="AP108">
        <f t="shared" si="5"/>
        <v>80</v>
      </c>
      <c r="AQ108">
        <f>IF($AP108="","",MAX(0,$AP108*(1-(_CONFIG_Model_Settings!$B$173+_CONFIG_Model_Settings!$B$174*(N($AH108)-1)))))</f>
        <v>52</v>
      </c>
      <c r="AR108">
        <f>IF($AP108="","",MIN(100,$AP108*(1+(_CONFIG_Model_Settings!$B$173+_CONFIG_Model_Settings!$B$174*(N($AH108)-1)))))</f>
        <v>100</v>
      </c>
    </row>
    <row r="109" spans="1:44" ht="72" customHeight="1">
      <c r="A109" s="9" t="s">
        <v>1460</v>
      </c>
      <c r="B109" s="9" t="s">
        <v>1401</v>
      </c>
      <c r="C109" s="9" t="s">
        <v>1412</v>
      </c>
      <c r="D109" s="9" t="s">
        <v>3683</v>
      </c>
      <c r="E109" s="9" t="s">
        <v>1461</v>
      </c>
      <c r="F109" s="9" t="s">
        <v>6060</v>
      </c>
      <c r="G109" s="9" t="s">
        <v>6061</v>
      </c>
      <c r="H109" s="9" t="s">
        <v>6062</v>
      </c>
      <c r="I109" s="9" t="s">
        <v>6063</v>
      </c>
      <c r="J109" s="9" t="s">
        <v>6064</v>
      </c>
      <c r="K109" s="9" t="s">
        <v>6065</v>
      </c>
      <c r="L109" s="9" t="s">
        <v>6066</v>
      </c>
      <c r="M109" s="9" t="s">
        <v>6067</v>
      </c>
      <c r="N109" s="9" t="s">
        <v>6068</v>
      </c>
      <c r="O109" s="9" t="s">
        <v>6069</v>
      </c>
      <c r="P109" s="9" t="s">
        <v>6070</v>
      </c>
      <c r="Q109" s="9" t="s">
        <v>6071</v>
      </c>
      <c r="R109" s="9" t="s">
        <v>4589</v>
      </c>
      <c r="S109" s="9" t="s">
        <v>6072</v>
      </c>
      <c r="T109" s="9">
        <v>3</v>
      </c>
      <c r="U109" s="9">
        <v>3</v>
      </c>
      <c r="V109" s="9">
        <v>2</v>
      </c>
      <c r="W109" s="9">
        <v>2</v>
      </c>
      <c r="X109" s="9">
        <v>1</v>
      </c>
      <c r="Y109" s="9">
        <v>1</v>
      </c>
      <c r="Z109" s="9" t="s">
        <v>1406</v>
      </c>
      <c r="AA109" s="9" t="s">
        <v>1462</v>
      </c>
      <c r="AB109" s="9" t="s">
        <v>1408</v>
      </c>
      <c r="AC109" s="9" t="s">
        <v>5918</v>
      </c>
      <c r="AD109" s="9" t="s">
        <v>6073</v>
      </c>
      <c r="AE109" t="str">
        <f t="shared" si="3"/>
        <v>Medium</v>
      </c>
      <c r="AF109">
        <f>IF($A109="","",IFERROR(VLOOKUP($B109,_CONFIG_Risk_Calibration!$A$5:$H$21,2,FALSE),3))</f>
        <v>3</v>
      </c>
      <c r="AG109">
        <f>IF($A109="","",IFERROR(VLOOKUP($B109,_CONFIG_Risk_Calibration!$A$5:$H$21,3,FALSE),0))</f>
        <v>0</v>
      </c>
      <c r="AH109">
        <f>IF($A109="","",IFERROR(VLOOKUP($B109,_CONFIG_Risk_Calibration!$A$5:$H$21,4,FALSE),3))</f>
        <v>3</v>
      </c>
      <c r="AI109">
        <f>IF($A109="","",IFERROR(VLOOKUP($B109,_CONFIG_Risk_Calibration!$A$5:$H$21,5,FALSE),3))</f>
        <v>4</v>
      </c>
      <c r="AJ109" t="str">
        <f>IF($A109="","",IFERROR(VLOOKUP($B109,_CONFIG_Risk_Calibration!$A$5:$H$21,6,FALSE),"No"))</f>
        <v>Yes</v>
      </c>
      <c r="AK109">
        <f>IF($A109="","",IFERROR(VLOOKUP($B109,_CONFIG_Risk_Calibration!$A$5:$H$21,7,FALSE),1))</f>
        <v>4</v>
      </c>
      <c r="AL109" t="str">
        <f>IF($A109="","",IFERROR(VLOOKUP($B109,_CONFIG_Risk_Calibration!$A$5:$H$21,8,FALSE),""))</f>
        <v>Clean template default. Calibrate with real exposure, incident history, evidence quality and domain-owner validation.</v>
      </c>
      <c r="AM109">
        <f>IF($A109="","",IFERROR(INDEX(_DATA_Assessment_Model!$AL$1:$AL$428,MATCH($A109,_DATA_Assessment_Model!$A$1:$A$428,0)),""))</f>
        <v>0</v>
      </c>
      <c r="AN109">
        <f t="shared" si="4"/>
        <v>1</v>
      </c>
      <c r="AO109">
        <f>IF($A109="","",_CONFIG_Model_Settings!$B$172*MAX(N($AK109),(N($AF109)+N($AI109))/2))</f>
        <v>80</v>
      </c>
      <c r="AP109">
        <f t="shared" si="5"/>
        <v>80</v>
      </c>
      <c r="AQ109">
        <f>IF($AP109="","",MAX(0,$AP109*(1-(_CONFIG_Model_Settings!$B$173+_CONFIG_Model_Settings!$B$174*(N($AH109)-1)))))</f>
        <v>52</v>
      </c>
      <c r="AR109">
        <f>IF($AP109="","",MIN(100,$AP109*(1+(_CONFIG_Model_Settings!$B$173+_CONFIG_Model_Settings!$B$174*(N($AH109)-1)))))</f>
        <v>100</v>
      </c>
    </row>
    <row r="110" spans="1:44" ht="72" customHeight="1">
      <c r="A110" s="9" t="s">
        <v>1469</v>
      </c>
      <c r="B110" s="9" t="s">
        <v>1401</v>
      </c>
      <c r="C110" s="9" t="s">
        <v>1422</v>
      </c>
      <c r="D110" s="9" t="s">
        <v>3683</v>
      </c>
      <c r="E110" s="9" t="s">
        <v>1470</v>
      </c>
      <c r="F110" s="9" t="s">
        <v>6074</v>
      </c>
      <c r="G110" s="9" t="s">
        <v>6075</v>
      </c>
      <c r="H110" s="9" t="s">
        <v>6076</v>
      </c>
      <c r="I110" s="9" t="s">
        <v>6077</v>
      </c>
      <c r="J110" s="9" t="s">
        <v>6078</v>
      </c>
      <c r="K110" s="9" t="s">
        <v>6079</v>
      </c>
      <c r="L110" s="9" t="s">
        <v>6080</v>
      </c>
      <c r="M110" s="9" t="s">
        <v>6081</v>
      </c>
      <c r="N110" s="9" t="s">
        <v>6082</v>
      </c>
      <c r="O110" s="9" t="s">
        <v>6083</v>
      </c>
      <c r="P110" s="9" t="s">
        <v>6084</v>
      </c>
      <c r="Q110" s="9" t="s">
        <v>6085</v>
      </c>
      <c r="R110" s="9" t="s">
        <v>4589</v>
      </c>
      <c r="S110" s="9" t="s">
        <v>6086</v>
      </c>
      <c r="T110" s="9">
        <v>3</v>
      </c>
      <c r="U110" s="9">
        <v>3</v>
      </c>
      <c r="V110" s="9">
        <v>2</v>
      </c>
      <c r="W110" s="9">
        <v>2</v>
      </c>
      <c r="X110" s="9">
        <v>1</v>
      </c>
      <c r="Y110" s="9">
        <v>1</v>
      </c>
      <c r="Z110" s="9" t="s">
        <v>1406</v>
      </c>
      <c r="AA110" s="9" t="s">
        <v>1471</v>
      </c>
      <c r="AB110" s="9" t="s">
        <v>1408</v>
      </c>
      <c r="AC110" s="9" t="s">
        <v>5918</v>
      </c>
      <c r="AD110" s="9" t="s">
        <v>6087</v>
      </c>
      <c r="AE110" t="str">
        <f t="shared" si="3"/>
        <v>Medium</v>
      </c>
      <c r="AF110">
        <f>IF($A110="","",IFERROR(VLOOKUP($B110,_CONFIG_Risk_Calibration!$A$5:$H$21,2,FALSE),3))</f>
        <v>3</v>
      </c>
      <c r="AG110">
        <f>IF($A110="","",IFERROR(VLOOKUP($B110,_CONFIG_Risk_Calibration!$A$5:$H$21,3,FALSE),0))</f>
        <v>0</v>
      </c>
      <c r="AH110">
        <f>IF($A110="","",IFERROR(VLOOKUP($B110,_CONFIG_Risk_Calibration!$A$5:$H$21,4,FALSE),3))</f>
        <v>3</v>
      </c>
      <c r="AI110">
        <f>IF($A110="","",IFERROR(VLOOKUP($B110,_CONFIG_Risk_Calibration!$A$5:$H$21,5,FALSE),3))</f>
        <v>4</v>
      </c>
      <c r="AJ110" t="str">
        <f>IF($A110="","",IFERROR(VLOOKUP($B110,_CONFIG_Risk_Calibration!$A$5:$H$21,6,FALSE),"No"))</f>
        <v>Yes</v>
      </c>
      <c r="AK110">
        <f>IF($A110="","",IFERROR(VLOOKUP($B110,_CONFIG_Risk_Calibration!$A$5:$H$21,7,FALSE),1))</f>
        <v>4</v>
      </c>
      <c r="AL110" t="str">
        <f>IF($A110="","",IFERROR(VLOOKUP($B110,_CONFIG_Risk_Calibration!$A$5:$H$21,8,FALSE),""))</f>
        <v>Clean template default. Calibrate with real exposure, incident history, evidence quality and domain-owner validation.</v>
      </c>
      <c r="AM110">
        <f>IF($A110="","",IFERROR(INDEX(_DATA_Assessment_Model!$AL$1:$AL$428,MATCH($A110,_DATA_Assessment_Model!$A$1:$A$428,0)),""))</f>
        <v>0</v>
      </c>
      <c r="AN110">
        <f t="shared" si="4"/>
        <v>1</v>
      </c>
      <c r="AO110">
        <f>IF($A110="","",_CONFIG_Model_Settings!$B$172*MAX(N($AK110),(N($AF110)+N($AI110))/2))</f>
        <v>80</v>
      </c>
      <c r="AP110">
        <f t="shared" si="5"/>
        <v>80</v>
      </c>
      <c r="AQ110">
        <f>IF($AP110="","",MAX(0,$AP110*(1-(_CONFIG_Model_Settings!$B$173+_CONFIG_Model_Settings!$B$174*(N($AH110)-1)))))</f>
        <v>52</v>
      </c>
      <c r="AR110">
        <f>IF($AP110="","",MIN(100,$AP110*(1+(_CONFIG_Model_Settings!$B$173+_CONFIG_Model_Settings!$B$174*(N($AH110)-1)))))</f>
        <v>100</v>
      </c>
    </row>
    <row r="111" spans="1:44" ht="72" customHeight="1">
      <c r="A111" s="9" t="s">
        <v>1478</v>
      </c>
      <c r="B111" s="9" t="s">
        <v>1401</v>
      </c>
      <c r="C111" s="9" t="s">
        <v>1422</v>
      </c>
      <c r="D111" s="9" t="s">
        <v>3683</v>
      </c>
      <c r="E111" s="9" t="s">
        <v>1479</v>
      </c>
      <c r="F111" s="9" t="s">
        <v>6088</v>
      </c>
      <c r="G111" s="9" t="s">
        <v>6089</v>
      </c>
      <c r="H111" s="9" t="s">
        <v>6090</v>
      </c>
      <c r="I111" s="9" t="s">
        <v>6091</v>
      </c>
      <c r="J111" s="9" t="s">
        <v>6092</v>
      </c>
      <c r="K111" s="9" t="s">
        <v>6093</v>
      </c>
      <c r="L111" s="9" t="s">
        <v>6094</v>
      </c>
      <c r="M111" s="9" t="s">
        <v>6095</v>
      </c>
      <c r="N111" s="9" t="s">
        <v>6096</v>
      </c>
      <c r="O111" s="9" t="s">
        <v>6097</v>
      </c>
      <c r="P111" s="9" t="s">
        <v>6098</v>
      </c>
      <c r="Q111" s="9" t="s">
        <v>6099</v>
      </c>
      <c r="R111" s="9" t="s">
        <v>4589</v>
      </c>
      <c r="S111" s="9" t="s">
        <v>6100</v>
      </c>
      <c r="T111" s="9">
        <v>3</v>
      </c>
      <c r="U111" s="9">
        <v>3</v>
      </c>
      <c r="V111" s="9">
        <v>2</v>
      </c>
      <c r="W111" s="9">
        <v>2</v>
      </c>
      <c r="X111" s="9">
        <v>1</v>
      </c>
      <c r="Y111" s="9">
        <v>1</v>
      </c>
      <c r="Z111" s="9" t="s">
        <v>1406</v>
      </c>
      <c r="AA111" s="9" t="s">
        <v>1480</v>
      </c>
      <c r="AB111" s="9" t="s">
        <v>1408</v>
      </c>
      <c r="AC111" s="9" t="s">
        <v>5918</v>
      </c>
      <c r="AD111" s="9" t="s">
        <v>6101</v>
      </c>
      <c r="AE111" t="str">
        <f t="shared" si="3"/>
        <v>Medium</v>
      </c>
      <c r="AF111">
        <f>IF($A111="","",IFERROR(VLOOKUP($B111,_CONFIG_Risk_Calibration!$A$5:$H$21,2,FALSE),3))</f>
        <v>3</v>
      </c>
      <c r="AG111">
        <f>IF($A111="","",IFERROR(VLOOKUP($B111,_CONFIG_Risk_Calibration!$A$5:$H$21,3,FALSE),0))</f>
        <v>0</v>
      </c>
      <c r="AH111">
        <f>IF($A111="","",IFERROR(VLOOKUP($B111,_CONFIG_Risk_Calibration!$A$5:$H$21,4,FALSE),3))</f>
        <v>3</v>
      </c>
      <c r="AI111">
        <f>IF($A111="","",IFERROR(VLOOKUP($B111,_CONFIG_Risk_Calibration!$A$5:$H$21,5,FALSE),3))</f>
        <v>4</v>
      </c>
      <c r="AJ111" t="str">
        <f>IF($A111="","",IFERROR(VLOOKUP($B111,_CONFIG_Risk_Calibration!$A$5:$H$21,6,FALSE),"No"))</f>
        <v>Yes</v>
      </c>
      <c r="AK111">
        <f>IF($A111="","",IFERROR(VLOOKUP($B111,_CONFIG_Risk_Calibration!$A$5:$H$21,7,FALSE),1))</f>
        <v>4</v>
      </c>
      <c r="AL111" t="str">
        <f>IF($A111="","",IFERROR(VLOOKUP($B111,_CONFIG_Risk_Calibration!$A$5:$H$21,8,FALSE),""))</f>
        <v>Clean template default. Calibrate with real exposure, incident history, evidence quality and domain-owner validation.</v>
      </c>
      <c r="AM111">
        <f>IF($A111="","",IFERROR(INDEX(_DATA_Assessment_Model!$AL$1:$AL$428,MATCH($A111,_DATA_Assessment_Model!$A$1:$A$428,0)),""))</f>
        <v>0</v>
      </c>
      <c r="AN111">
        <f t="shared" si="4"/>
        <v>1</v>
      </c>
      <c r="AO111">
        <f>IF($A111="","",_CONFIG_Model_Settings!$B$172*MAX(N($AK111),(N($AF111)+N($AI111))/2))</f>
        <v>80</v>
      </c>
      <c r="AP111">
        <f t="shared" si="5"/>
        <v>80</v>
      </c>
      <c r="AQ111">
        <f>IF($AP111="","",MAX(0,$AP111*(1-(_CONFIG_Model_Settings!$B$173+_CONFIG_Model_Settings!$B$174*(N($AH111)-1)))))</f>
        <v>52</v>
      </c>
      <c r="AR111">
        <f>IF($AP111="","",MIN(100,$AP111*(1+(_CONFIG_Model_Settings!$B$173+_CONFIG_Model_Settings!$B$174*(N($AH111)-1)))))</f>
        <v>100</v>
      </c>
    </row>
    <row r="112" spans="1:44" ht="72" customHeight="1">
      <c r="A112" s="9" t="s">
        <v>1481</v>
      </c>
      <c r="B112" s="9" t="s">
        <v>1401</v>
      </c>
      <c r="C112" s="9" t="s">
        <v>1422</v>
      </c>
      <c r="D112" s="9" t="s">
        <v>3683</v>
      </c>
      <c r="E112" s="9" t="s">
        <v>1482</v>
      </c>
      <c r="F112" s="9" t="s">
        <v>6102</v>
      </c>
      <c r="G112" s="9" t="s">
        <v>6103</v>
      </c>
      <c r="H112" s="9" t="s">
        <v>6104</v>
      </c>
      <c r="I112" s="9" t="s">
        <v>6105</v>
      </c>
      <c r="J112" s="9" t="s">
        <v>6106</v>
      </c>
      <c r="K112" s="9" t="s">
        <v>6107</v>
      </c>
      <c r="L112" s="9" t="s">
        <v>6108</v>
      </c>
      <c r="M112" s="9" t="s">
        <v>6109</v>
      </c>
      <c r="N112" s="9" t="s">
        <v>6110</v>
      </c>
      <c r="O112" s="9" t="s">
        <v>6111</v>
      </c>
      <c r="P112" s="9" t="s">
        <v>6112</v>
      </c>
      <c r="Q112" s="9" t="s">
        <v>6113</v>
      </c>
      <c r="R112" s="9" t="s">
        <v>4589</v>
      </c>
      <c r="S112" s="9" t="s">
        <v>6114</v>
      </c>
      <c r="T112" s="9">
        <v>3</v>
      </c>
      <c r="U112" s="9">
        <v>3</v>
      </c>
      <c r="V112" s="9">
        <v>2</v>
      </c>
      <c r="W112" s="9">
        <v>2</v>
      </c>
      <c r="X112" s="9">
        <v>1</v>
      </c>
      <c r="Y112" s="9">
        <v>1</v>
      </c>
      <c r="Z112" s="9" t="s">
        <v>1406</v>
      </c>
      <c r="AA112" s="9" t="s">
        <v>1483</v>
      </c>
      <c r="AB112" s="9" t="s">
        <v>1408</v>
      </c>
      <c r="AC112" s="9" t="s">
        <v>5918</v>
      </c>
      <c r="AD112" s="9" t="s">
        <v>6115</v>
      </c>
      <c r="AE112" t="str">
        <f t="shared" si="3"/>
        <v>Medium</v>
      </c>
      <c r="AF112">
        <f>IF($A112="","",IFERROR(VLOOKUP($B112,_CONFIG_Risk_Calibration!$A$5:$H$21,2,FALSE),3))</f>
        <v>3</v>
      </c>
      <c r="AG112">
        <f>IF($A112="","",IFERROR(VLOOKUP($B112,_CONFIG_Risk_Calibration!$A$5:$H$21,3,FALSE),0))</f>
        <v>0</v>
      </c>
      <c r="AH112">
        <f>IF($A112="","",IFERROR(VLOOKUP($B112,_CONFIG_Risk_Calibration!$A$5:$H$21,4,FALSE),3))</f>
        <v>3</v>
      </c>
      <c r="AI112">
        <f>IF($A112="","",IFERROR(VLOOKUP($B112,_CONFIG_Risk_Calibration!$A$5:$H$21,5,FALSE),3))</f>
        <v>4</v>
      </c>
      <c r="AJ112" t="str">
        <f>IF($A112="","",IFERROR(VLOOKUP($B112,_CONFIG_Risk_Calibration!$A$5:$H$21,6,FALSE),"No"))</f>
        <v>Yes</v>
      </c>
      <c r="AK112">
        <f>IF($A112="","",IFERROR(VLOOKUP($B112,_CONFIG_Risk_Calibration!$A$5:$H$21,7,FALSE),1))</f>
        <v>4</v>
      </c>
      <c r="AL112" t="str">
        <f>IF($A112="","",IFERROR(VLOOKUP($B112,_CONFIG_Risk_Calibration!$A$5:$H$21,8,FALSE),""))</f>
        <v>Clean template default. Calibrate with real exposure, incident history, evidence quality and domain-owner validation.</v>
      </c>
      <c r="AM112">
        <f>IF($A112="","",IFERROR(INDEX(_DATA_Assessment_Model!$AL$1:$AL$428,MATCH($A112,_DATA_Assessment_Model!$A$1:$A$428,0)),""))</f>
        <v>0</v>
      </c>
      <c r="AN112">
        <f t="shared" si="4"/>
        <v>1</v>
      </c>
      <c r="AO112">
        <f>IF($A112="","",_CONFIG_Model_Settings!$B$172*MAX(N($AK112),(N($AF112)+N($AI112))/2))</f>
        <v>80</v>
      </c>
      <c r="AP112">
        <f t="shared" si="5"/>
        <v>80</v>
      </c>
      <c r="AQ112">
        <f>IF($AP112="","",MAX(0,$AP112*(1-(_CONFIG_Model_Settings!$B$173+_CONFIG_Model_Settings!$B$174*(N($AH112)-1)))))</f>
        <v>52</v>
      </c>
      <c r="AR112">
        <f>IF($AP112="","",MIN(100,$AP112*(1+(_CONFIG_Model_Settings!$B$173+_CONFIG_Model_Settings!$B$174*(N($AH112)-1)))))</f>
        <v>100</v>
      </c>
    </row>
    <row r="113" spans="1:44" ht="72" customHeight="1">
      <c r="A113" s="9" t="s">
        <v>1484</v>
      </c>
      <c r="B113" s="9" t="s">
        <v>1401</v>
      </c>
      <c r="C113" s="9" t="s">
        <v>1422</v>
      </c>
      <c r="D113" s="9" t="s">
        <v>3683</v>
      </c>
      <c r="E113" s="9" t="s">
        <v>1485</v>
      </c>
      <c r="F113" s="9" t="s">
        <v>6116</v>
      </c>
      <c r="G113" s="9" t="s">
        <v>6117</v>
      </c>
      <c r="H113" s="9" t="s">
        <v>6118</v>
      </c>
      <c r="I113" s="9" t="s">
        <v>6119</v>
      </c>
      <c r="J113" s="9" t="s">
        <v>6120</v>
      </c>
      <c r="K113" s="9" t="s">
        <v>6121</v>
      </c>
      <c r="L113" s="9" t="s">
        <v>6122</v>
      </c>
      <c r="M113" s="9" t="s">
        <v>6123</v>
      </c>
      <c r="N113" s="9" t="s">
        <v>6124</v>
      </c>
      <c r="O113" s="9" t="s">
        <v>6125</v>
      </c>
      <c r="P113" s="9" t="s">
        <v>6126</v>
      </c>
      <c r="Q113" s="9" t="s">
        <v>6127</v>
      </c>
      <c r="R113" s="9" t="s">
        <v>4589</v>
      </c>
      <c r="S113" s="9" t="s">
        <v>6128</v>
      </c>
      <c r="T113" s="9">
        <v>3</v>
      </c>
      <c r="U113" s="9">
        <v>3</v>
      </c>
      <c r="V113" s="9">
        <v>2</v>
      </c>
      <c r="W113" s="9">
        <v>2</v>
      </c>
      <c r="X113" s="9">
        <v>1</v>
      </c>
      <c r="Y113" s="9">
        <v>1</v>
      </c>
      <c r="Z113" s="9" t="s">
        <v>1406</v>
      </c>
      <c r="AA113" s="9" t="s">
        <v>1486</v>
      </c>
      <c r="AB113" s="9" t="s">
        <v>1408</v>
      </c>
      <c r="AC113" s="9" t="s">
        <v>5918</v>
      </c>
      <c r="AD113" s="9" t="s">
        <v>6129</v>
      </c>
      <c r="AE113" t="str">
        <f t="shared" si="3"/>
        <v>Medium</v>
      </c>
      <c r="AF113">
        <f>IF($A113="","",IFERROR(VLOOKUP($B113,_CONFIG_Risk_Calibration!$A$5:$H$21,2,FALSE),3))</f>
        <v>3</v>
      </c>
      <c r="AG113">
        <f>IF($A113="","",IFERROR(VLOOKUP($B113,_CONFIG_Risk_Calibration!$A$5:$H$21,3,FALSE),0))</f>
        <v>0</v>
      </c>
      <c r="AH113">
        <f>IF($A113="","",IFERROR(VLOOKUP($B113,_CONFIG_Risk_Calibration!$A$5:$H$21,4,FALSE),3))</f>
        <v>3</v>
      </c>
      <c r="AI113">
        <f>IF($A113="","",IFERROR(VLOOKUP($B113,_CONFIG_Risk_Calibration!$A$5:$H$21,5,FALSE),3))</f>
        <v>4</v>
      </c>
      <c r="AJ113" t="str">
        <f>IF($A113="","",IFERROR(VLOOKUP($B113,_CONFIG_Risk_Calibration!$A$5:$H$21,6,FALSE),"No"))</f>
        <v>Yes</v>
      </c>
      <c r="AK113">
        <f>IF($A113="","",IFERROR(VLOOKUP($B113,_CONFIG_Risk_Calibration!$A$5:$H$21,7,FALSE),1))</f>
        <v>4</v>
      </c>
      <c r="AL113" t="str">
        <f>IF($A113="","",IFERROR(VLOOKUP($B113,_CONFIG_Risk_Calibration!$A$5:$H$21,8,FALSE),""))</f>
        <v>Clean template default. Calibrate with real exposure, incident history, evidence quality and domain-owner validation.</v>
      </c>
      <c r="AM113">
        <f>IF($A113="","",IFERROR(INDEX(_DATA_Assessment_Model!$AL$1:$AL$428,MATCH($A113,_DATA_Assessment_Model!$A$1:$A$428,0)),""))</f>
        <v>0</v>
      </c>
      <c r="AN113">
        <f t="shared" si="4"/>
        <v>1</v>
      </c>
      <c r="AO113">
        <f>IF($A113="","",_CONFIG_Model_Settings!$B$172*MAX(N($AK113),(N($AF113)+N($AI113))/2))</f>
        <v>80</v>
      </c>
      <c r="AP113">
        <f t="shared" si="5"/>
        <v>80</v>
      </c>
      <c r="AQ113">
        <f>IF($AP113="","",MAX(0,$AP113*(1-(_CONFIG_Model_Settings!$B$173+_CONFIG_Model_Settings!$B$174*(N($AH113)-1)))))</f>
        <v>52</v>
      </c>
      <c r="AR113">
        <f>IF($AP113="","",MIN(100,$AP113*(1+(_CONFIG_Model_Settings!$B$173+_CONFIG_Model_Settings!$B$174*(N($AH113)-1)))))</f>
        <v>100</v>
      </c>
    </row>
    <row r="114" spans="1:44" ht="72" customHeight="1">
      <c r="A114" s="9" t="s">
        <v>1487</v>
      </c>
      <c r="B114" s="9" t="s">
        <v>1401</v>
      </c>
      <c r="C114" s="9" t="s">
        <v>1422</v>
      </c>
      <c r="D114" s="9" t="s">
        <v>3683</v>
      </c>
      <c r="E114" s="9" t="s">
        <v>1488</v>
      </c>
      <c r="F114" s="9" t="s">
        <v>6130</v>
      </c>
      <c r="G114" s="9" t="s">
        <v>6131</v>
      </c>
      <c r="H114" s="9" t="s">
        <v>6132</v>
      </c>
      <c r="I114" s="9" t="s">
        <v>6133</v>
      </c>
      <c r="J114" s="9" t="s">
        <v>6134</v>
      </c>
      <c r="K114" s="9" t="s">
        <v>6135</v>
      </c>
      <c r="L114" s="9" t="s">
        <v>6136</v>
      </c>
      <c r="M114" s="9" t="s">
        <v>6137</v>
      </c>
      <c r="N114" s="9" t="s">
        <v>6138</v>
      </c>
      <c r="O114" s="9" t="s">
        <v>6139</v>
      </c>
      <c r="P114" s="9" t="s">
        <v>6140</v>
      </c>
      <c r="Q114" s="9" t="s">
        <v>6141</v>
      </c>
      <c r="R114" s="9" t="s">
        <v>4589</v>
      </c>
      <c r="S114" s="9" t="s">
        <v>6142</v>
      </c>
      <c r="T114" s="9">
        <v>3</v>
      </c>
      <c r="U114" s="9">
        <v>3</v>
      </c>
      <c r="V114" s="9">
        <v>2</v>
      </c>
      <c r="W114" s="9">
        <v>2</v>
      </c>
      <c r="X114" s="9">
        <v>1</v>
      </c>
      <c r="Y114" s="9">
        <v>1</v>
      </c>
      <c r="Z114" s="9" t="s">
        <v>1406</v>
      </c>
      <c r="AA114" s="9" t="s">
        <v>1489</v>
      </c>
      <c r="AB114" s="9" t="s">
        <v>1408</v>
      </c>
      <c r="AC114" s="9" t="s">
        <v>5918</v>
      </c>
      <c r="AD114" s="9" t="s">
        <v>6143</v>
      </c>
      <c r="AE114" t="str">
        <f t="shared" si="3"/>
        <v>Medium</v>
      </c>
      <c r="AF114">
        <f>IF($A114="","",IFERROR(VLOOKUP($B114,_CONFIG_Risk_Calibration!$A$5:$H$21,2,FALSE),3))</f>
        <v>3</v>
      </c>
      <c r="AG114">
        <f>IF($A114="","",IFERROR(VLOOKUP($B114,_CONFIG_Risk_Calibration!$A$5:$H$21,3,FALSE),0))</f>
        <v>0</v>
      </c>
      <c r="AH114">
        <f>IF($A114="","",IFERROR(VLOOKUP($B114,_CONFIG_Risk_Calibration!$A$5:$H$21,4,FALSE),3))</f>
        <v>3</v>
      </c>
      <c r="AI114">
        <f>IF($A114="","",IFERROR(VLOOKUP($B114,_CONFIG_Risk_Calibration!$A$5:$H$21,5,FALSE),3))</f>
        <v>4</v>
      </c>
      <c r="AJ114" t="str">
        <f>IF($A114="","",IFERROR(VLOOKUP($B114,_CONFIG_Risk_Calibration!$A$5:$H$21,6,FALSE),"No"))</f>
        <v>Yes</v>
      </c>
      <c r="AK114">
        <f>IF($A114="","",IFERROR(VLOOKUP($B114,_CONFIG_Risk_Calibration!$A$5:$H$21,7,FALSE),1))</f>
        <v>4</v>
      </c>
      <c r="AL114" t="str">
        <f>IF($A114="","",IFERROR(VLOOKUP($B114,_CONFIG_Risk_Calibration!$A$5:$H$21,8,FALSE),""))</f>
        <v>Clean template default. Calibrate with real exposure, incident history, evidence quality and domain-owner validation.</v>
      </c>
      <c r="AM114">
        <f>IF($A114="","",IFERROR(INDEX(_DATA_Assessment_Model!$AL$1:$AL$428,MATCH($A114,_DATA_Assessment_Model!$A$1:$A$428,0)),""))</f>
        <v>0</v>
      </c>
      <c r="AN114">
        <f t="shared" si="4"/>
        <v>1</v>
      </c>
      <c r="AO114">
        <f>IF($A114="","",_CONFIG_Model_Settings!$B$172*MAX(N($AK114),(N($AF114)+N($AI114))/2))</f>
        <v>80</v>
      </c>
      <c r="AP114">
        <f t="shared" si="5"/>
        <v>80</v>
      </c>
      <c r="AQ114">
        <f>IF($AP114="","",MAX(0,$AP114*(1-(_CONFIG_Model_Settings!$B$173+_CONFIG_Model_Settings!$B$174*(N($AH114)-1)))))</f>
        <v>52</v>
      </c>
      <c r="AR114">
        <f>IF($AP114="","",MIN(100,$AP114*(1+(_CONFIG_Model_Settings!$B$173+_CONFIG_Model_Settings!$B$174*(N($AH114)-1)))))</f>
        <v>100</v>
      </c>
    </row>
    <row r="115" spans="1:44" ht="72" customHeight="1">
      <c r="A115" s="9" t="s">
        <v>1496</v>
      </c>
      <c r="B115" s="9" t="s">
        <v>1401</v>
      </c>
      <c r="C115" s="9" t="s">
        <v>1422</v>
      </c>
      <c r="D115" s="9" t="s">
        <v>3683</v>
      </c>
      <c r="E115" s="9" t="s">
        <v>1497</v>
      </c>
      <c r="F115" s="9" t="s">
        <v>6144</v>
      </c>
      <c r="G115" s="9" t="s">
        <v>6145</v>
      </c>
      <c r="H115" s="9" t="s">
        <v>6146</v>
      </c>
      <c r="I115" s="9" t="s">
        <v>6147</v>
      </c>
      <c r="J115" s="9" t="s">
        <v>6148</v>
      </c>
      <c r="K115" s="9" t="s">
        <v>6149</v>
      </c>
      <c r="L115" s="9" t="s">
        <v>6150</v>
      </c>
      <c r="M115" s="9" t="s">
        <v>6151</v>
      </c>
      <c r="N115" s="9" t="s">
        <v>6152</v>
      </c>
      <c r="O115" s="9" t="s">
        <v>6153</v>
      </c>
      <c r="P115" s="9" t="s">
        <v>6154</v>
      </c>
      <c r="Q115" s="9" t="s">
        <v>6155</v>
      </c>
      <c r="R115" s="9" t="s">
        <v>4589</v>
      </c>
      <c r="S115" s="9" t="s">
        <v>6156</v>
      </c>
      <c r="T115" s="9">
        <v>3</v>
      </c>
      <c r="U115" s="9">
        <v>3</v>
      </c>
      <c r="V115" s="9">
        <v>2</v>
      </c>
      <c r="W115" s="9">
        <v>2</v>
      </c>
      <c r="X115" s="9">
        <v>1</v>
      </c>
      <c r="Y115" s="9">
        <v>1</v>
      </c>
      <c r="Z115" s="9" t="s">
        <v>1406</v>
      </c>
      <c r="AA115" s="9" t="s">
        <v>1498</v>
      </c>
      <c r="AB115" s="9" t="s">
        <v>1408</v>
      </c>
      <c r="AC115" s="9" t="s">
        <v>5918</v>
      </c>
      <c r="AD115" s="9" t="s">
        <v>6157</v>
      </c>
      <c r="AE115" t="str">
        <f t="shared" si="3"/>
        <v>Medium</v>
      </c>
      <c r="AF115">
        <f>IF($A115="","",IFERROR(VLOOKUP($B115,_CONFIG_Risk_Calibration!$A$5:$H$21,2,FALSE),3))</f>
        <v>3</v>
      </c>
      <c r="AG115">
        <f>IF($A115="","",IFERROR(VLOOKUP($B115,_CONFIG_Risk_Calibration!$A$5:$H$21,3,FALSE),0))</f>
        <v>0</v>
      </c>
      <c r="AH115">
        <f>IF($A115="","",IFERROR(VLOOKUP($B115,_CONFIG_Risk_Calibration!$A$5:$H$21,4,FALSE),3))</f>
        <v>3</v>
      </c>
      <c r="AI115">
        <f>IF($A115="","",IFERROR(VLOOKUP($B115,_CONFIG_Risk_Calibration!$A$5:$H$21,5,FALSE),3))</f>
        <v>4</v>
      </c>
      <c r="AJ115" t="str">
        <f>IF($A115="","",IFERROR(VLOOKUP($B115,_CONFIG_Risk_Calibration!$A$5:$H$21,6,FALSE),"No"))</f>
        <v>Yes</v>
      </c>
      <c r="AK115">
        <f>IF($A115="","",IFERROR(VLOOKUP($B115,_CONFIG_Risk_Calibration!$A$5:$H$21,7,FALSE),1))</f>
        <v>4</v>
      </c>
      <c r="AL115" t="str">
        <f>IF($A115="","",IFERROR(VLOOKUP($B115,_CONFIG_Risk_Calibration!$A$5:$H$21,8,FALSE),""))</f>
        <v>Clean template default. Calibrate with real exposure, incident history, evidence quality and domain-owner validation.</v>
      </c>
      <c r="AM115">
        <f>IF($A115="","",IFERROR(INDEX(_DATA_Assessment_Model!$AL$1:$AL$428,MATCH($A115,_DATA_Assessment_Model!$A$1:$A$428,0)),""))</f>
        <v>0</v>
      </c>
      <c r="AN115">
        <f t="shared" si="4"/>
        <v>1</v>
      </c>
      <c r="AO115">
        <f>IF($A115="","",_CONFIG_Model_Settings!$B$172*MAX(N($AK115),(N($AF115)+N($AI115))/2))</f>
        <v>80</v>
      </c>
      <c r="AP115">
        <f t="shared" si="5"/>
        <v>80</v>
      </c>
      <c r="AQ115">
        <f>IF($AP115="","",MAX(0,$AP115*(1-(_CONFIG_Model_Settings!$B$173+_CONFIG_Model_Settings!$B$174*(N($AH115)-1)))))</f>
        <v>52</v>
      </c>
      <c r="AR115">
        <f>IF($AP115="","",MIN(100,$AP115*(1+(_CONFIG_Model_Settings!$B$173+_CONFIG_Model_Settings!$B$174*(N($AH115)-1)))))</f>
        <v>100</v>
      </c>
    </row>
    <row r="116" spans="1:44" ht="72" customHeight="1">
      <c r="A116" s="9" t="s">
        <v>1499</v>
      </c>
      <c r="B116" s="9" t="s">
        <v>1401</v>
      </c>
      <c r="C116" s="9" t="s">
        <v>1426</v>
      </c>
      <c r="D116" s="9" t="s">
        <v>3683</v>
      </c>
      <c r="E116" s="9" t="s">
        <v>1500</v>
      </c>
      <c r="F116" s="9" t="s">
        <v>6158</v>
      </c>
      <c r="G116" s="9" t="s">
        <v>6159</v>
      </c>
      <c r="H116" s="9" t="s">
        <v>6160</v>
      </c>
      <c r="I116" s="9" t="s">
        <v>6161</v>
      </c>
      <c r="J116" s="9" t="s">
        <v>6162</v>
      </c>
      <c r="K116" s="9" t="s">
        <v>6163</v>
      </c>
      <c r="L116" s="9" t="s">
        <v>6164</v>
      </c>
      <c r="M116" s="9" t="s">
        <v>6165</v>
      </c>
      <c r="N116" s="9" t="s">
        <v>6166</v>
      </c>
      <c r="O116" s="9" t="s">
        <v>6167</v>
      </c>
      <c r="P116" s="9" t="s">
        <v>6168</v>
      </c>
      <c r="Q116" s="9" t="s">
        <v>6169</v>
      </c>
      <c r="R116" s="9" t="s">
        <v>4589</v>
      </c>
      <c r="S116" s="9" t="s">
        <v>6170</v>
      </c>
      <c r="T116" s="9">
        <v>3</v>
      </c>
      <c r="U116" s="9">
        <v>3</v>
      </c>
      <c r="V116" s="9">
        <v>2</v>
      </c>
      <c r="W116" s="9">
        <v>2</v>
      </c>
      <c r="X116" s="9">
        <v>1</v>
      </c>
      <c r="Y116" s="9">
        <v>1</v>
      </c>
      <c r="Z116" s="9" t="s">
        <v>1406</v>
      </c>
      <c r="AA116" s="9" t="s">
        <v>1501</v>
      </c>
      <c r="AB116" s="9" t="s">
        <v>1408</v>
      </c>
      <c r="AC116" s="9" t="s">
        <v>5918</v>
      </c>
      <c r="AD116" s="9" t="s">
        <v>6171</v>
      </c>
      <c r="AE116" t="str">
        <f t="shared" si="3"/>
        <v>Medium</v>
      </c>
      <c r="AF116">
        <f>IF($A116="","",IFERROR(VLOOKUP($B116,_CONFIG_Risk_Calibration!$A$5:$H$21,2,FALSE),3))</f>
        <v>3</v>
      </c>
      <c r="AG116">
        <f>IF($A116="","",IFERROR(VLOOKUP($B116,_CONFIG_Risk_Calibration!$A$5:$H$21,3,FALSE),0))</f>
        <v>0</v>
      </c>
      <c r="AH116">
        <f>IF($A116="","",IFERROR(VLOOKUP($B116,_CONFIG_Risk_Calibration!$A$5:$H$21,4,FALSE),3))</f>
        <v>3</v>
      </c>
      <c r="AI116">
        <f>IF($A116="","",IFERROR(VLOOKUP($B116,_CONFIG_Risk_Calibration!$A$5:$H$21,5,FALSE),3))</f>
        <v>4</v>
      </c>
      <c r="AJ116" t="str">
        <f>IF($A116="","",IFERROR(VLOOKUP($B116,_CONFIG_Risk_Calibration!$A$5:$H$21,6,FALSE),"No"))</f>
        <v>Yes</v>
      </c>
      <c r="AK116">
        <f>IF($A116="","",IFERROR(VLOOKUP($B116,_CONFIG_Risk_Calibration!$A$5:$H$21,7,FALSE),1))</f>
        <v>4</v>
      </c>
      <c r="AL116" t="str">
        <f>IF($A116="","",IFERROR(VLOOKUP($B116,_CONFIG_Risk_Calibration!$A$5:$H$21,8,FALSE),""))</f>
        <v>Clean template default. Calibrate with real exposure, incident history, evidence quality and domain-owner validation.</v>
      </c>
      <c r="AM116">
        <f>IF($A116="","",IFERROR(INDEX(_DATA_Assessment_Model!$AL$1:$AL$428,MATCH($A116,_DATA_Assessment_Model!$A$1:$A$428,0)),""))</f>
        <v>0</v>
      </c>
      <c r="AN116">
        <f t="shared" si="4"/>
        <v>1</v>
      </c>
      <c r="AO116">
        <f>IF($A116="","",_CONFIG_Model_Settings!$B$172*MAX(N($AK116),(N($AF116)+N($AI116))/2))</f>
        <v>80</v>
      </c>
      <c r="AP116">
        <f t="shared" si="5"/>
        <v>80</v>
      </c>
      <c r="AQ116">
        <f>IF($AP116="","",MAX(0,$AP116*(1-(_CONFIG_Model_Settings!$B$173+_CONFIG_Model_Settings!$B$174*(N($AH116)-1)))))</f>
        <v>52</v>
      </c>
      <c r="AR116">
        <f>IF($AP116="","",MIN(100,$AP116*(1+(_CONFIG_Model_Settings!$B$173+_CONFIG_Model_Settings!$B$174*(N($AH116)-1)))))</f>
        <v>100</v>
      </c>
    </row>
    <row r="117" spans="1:44" ht="72" customHeight="1">
      <c r="A117" s="9" t="s">
        <v>1508</v>
      </c>
      <c r="B117" s="9" t="s">
        <v>1401</v>
      </c>
      <c r="C117" s="9" t="s">
        <v>1426</v>
      </c>
      <c r="D117" s="9" t="s">
        <v>3683</v>
      </c>
      <c r="E117" s="9" t="s">
        <v>1509</v>
      </c>
      <c r="F117" s="9" t="s">
        <v>6172</v>
      </c>
      <c r="G117" s="9" t="s">
        <v>6173</v>
      </c>
      <c r="H117" s="9" t="s">
        <v>6174</v>
      </c>
      <c r="I117" s="9" t="s">
        <v>6175</v>
      </c>
      <c r="J117" s="9" t="s">
        <v>6176</v>
      </c>
      <c r="K117" s="9" t="s">
        <v>6177</v>
      </c>
      <c r="L117" s="9" t="s">
        <v>6178</v>
      </c>
      <c r="M117" s="9" t="s">
        <v>6179</v>
      </c>
      <c r="N117" s="9" t="s">
        <v>6180</v>
      </c>
      <c r="O117" s="9" t="s">
        <v>6181</v>
      </c>
      <c r="P117" s="9" t="s">
        <v>6182</v>
      </c>
      <c r="Q117" s="9" t="s">
        <v>6183</v>
      </c>
      <c r="R117" s="9" t="s">
        <v>4589</v>
      </c>
      <c r="S117" s="9" t="s">
        <v>6184</v>
      </c>
      <c r="T117" s="9">
        <v>3</v>
      </c>
      <c r="U117" s="9">
        <v>3</v>
      </c>
      <c r="V117" s="9">
        <v>2</v>
      </c>
      <c r="W117" s="9">
        <v>2</v>
      </c>
      <c r="X117" s="9">
        <v>1</v>
      </c>
      <c r="Y117" s="9">
        <v>1</v>
      </c>
      <c r="Z117" s="9" t="s">
        <v>1406</v>
      </c>
      <c r="AA117" s="9" t="s">
        <v>1510</v>
      </c>
      <c r="AB117" s="9" t="s">
        <v>1408</v>
      </c>
      <c r="AC117" s="9" t="s">
        <v>5918</v>
      </c>
      <c r="AD117" s="9" t="s">
        <v>6185</v>
      </c>
      <c r="AE117" t="str">
        <f t="shared" si="3"/>
        <v>Medium</v>
      </c>
      <c r="AF117">
        <f>IF($A117="","",IFERROR(VLOOKUP($B117,_CONFIG_Risk_Calibration!$A$5:$H$21,2,FALSE),3))</f>
        <v>3</v>
      </c>
      <c r="AG117">
        <f>IF($A117="","",IFERROR(VLOOKUP($B117,_CONFIG_Risk_Calibration!$A$5:$H$21,3,FALSE),0))</f>
        <v>0</v>
      </c>
      <c r="AH117">
        <f>IF($A117="","",IFERROR(VLOOKUP($B117,_CONFIG_Risk_Calibration!$A$5:$H$21,4,FALSE),3))</f>
        <v>3</v>
      </c>
      <c r="AI117">
        <f>IF($A117="","",IFERROR(VLOOKUP($B117,_CONFIG_Risk_Calibration!$A$5:$H$21,5,FALSE),3))</f>
        <v>4</v>
      </c>
      <c r="AJ117" t="str">
        <f>IF($A117="","",IFERROR(VLOOKUP($B117,_CONFIG_Risk_Calibration!$A$5:$H$21,6,FALSE),"No"))</f>
        <v>Yes</v>
      </c>
      <c r="AK117">
        <f>IF($A117="","",IFERROR(VLOOKUP($B117,_CONFIG_Risk_Calibration!$A$5:$H$21,7,FALSE),1))</f>
        <v>4</v>
      </c>
      <c r="AL117" t="str">
        <f>IF($A117="","",IFERROR(VLOOKUP($B117,_CONFIG_Risk_Calibration!$A$5:$H$21,8,FALSE),""))</f>
        <v>Clean template default. Calibrate with real exposure, incident history, evidence quality and domain-owner validation.</v>
      </c>
      <c r="AM117">
        <f>IF($A117="","",IFERROR(INDEX(_DATA_Assessment_Model!$AL$1:$AL$428,MATCH($A117,_DATA_Assessment_Model!$A$1:$A$428,0)),""))</f>
        <v>0</v>
      </c>
      <c r="AN117">
        <f t="shared" si="4"/>
        <v>1</v>
      </c>
      <c r="AO117">
        <f>IF($A117="","",_CONFIG_Model_Settings!$B$172*MAX(N($AK117),(N($AF117)+N($AI117))/2))</f>
        <v>80</v>
      </c>
      <c r="AP117">
        <f t="shared" si="5"/>
        <v>80</v>
      </c>
      <c r="AQ117">
        <f>IF($AP117="","",MAX(0,$AP117*(1-(_CONFIG_Model_Settings!$B$173+_CONFIG_Model_Settings!$B$174*(N($AH117)-1)))))</f>
        <v>52</v>
      </c>
      <c r="AR117">
        <f>IF($AP117="","",MIN(100,$AP117*(1+(_CONFIG_Model_Settings!$B$173+_CONFIG_Model_Settings!$B$174*(N($AH117)-1)))))</f>
        <v>100</v>
      </c>
    </row>
    <row r="118" spans="1:44" ht="72" customHeight="1">
      <c r="A118" s="9" t="s">
        <v>1511</v>
      </c>
      <c r="B118" s="9" t="s">
        <v>1401</v>
      </c>
      <c r="C118" s="9" t="s">
        <v>1426</v>
      </c>
      <c r="D118" s="9" t="s">
        <v>3683</v>
      </c>
      <c r="E118" s="9" t="s">
        <v>1512</v>
      </c>
      <c r="F118" s="9" t="s">
        <v>6186</v>
      </c>
      <c r="G118" s="9" t="s">
        <v>6187</v>
      </c>
      <c r="H118" s="9" t="s">
        <v>6188</v>
      </c>
      <c r="I118" s="9" t="s">
        <v>6189</v>
      </c>
      <c r="J118" s="9" t="s">
        <v>6190</v>
      </c>
      <c r="K118" s="9" t="s">
        <v>6191</v>
      </c>
      <c r="L118" s="9" t="s">
        <v>6192</v>
      </c>
      <c r="M118" s="9" t="s">
        <v>6193</v>
      </c>
      <c r="N118" s="9" t="s">
        <v>6194</v>
      </c>
      <c r="O118" s="9" t="s">
        <v>6195</v>
      </c>
      <c r="P118" s="9" t="s">
        <v>6196</v>
      </c>
      <c r="Q118" s="9" t="s">
        <v>6197</v>
      </c>
      <c r="R118" s="9" t="s">
        <v>4589</v>
      </c>
      <c r="S118" s="9" t="s">
        <v>6198</v>
      </c>
      <c r="T118" s="9">
        <v>3</v>
      </c>
      <c r="U118" s="9">
        <v>3</v>
      </c>
      <c r="V118" s="9">
        <v>2</v>
      </c>
      <c r="W118" s="9">
        <v>2</v>
      </c>
      <c r="X118" s="9">
        <v>1</v>
      </c>
      <c r="Y118" s="9">
        <v>1</v>
      </c>
      <c r="Z118" s="9" t="s">
        <v>1406</v>
      </c>
      <c r="AA118" s="9" t="s">
        <v>1513</v>
      </c>
      <c r="AB118" s="9" t="s">
        <v>1408</v>
      </c>
      <c r="AC118" s="9" t="s">
        <v>5918</v>
      </c>
      <c r="AD118" s="9" t="s">
        <v>6199</v>
      </c>
      <c r="AE118" t="str">
        <f t="shared" si="3"/>
        <v>Medium</v>
      </c>
      <c r="AF118">
        <f>IF($A118="","",IFERROR(VLOOKUP($B118,_CONFIG_Risk_Calibration!$A$5:$H$21,2,FALSE),3))</f>
        <v>3</v>
      </c>
      <c r="AG118">
        <f>IF($A118="","",IFERROR(VLOOKUP($B118,_CONFIG_Risk_Calibration!$A$5:$H$21,3,FALSE),0))</f>
        <v>0</v>
      </c>
      <c r="AH118">
        <f>IF($A118="","",IFERROR(VLOOKUP($B118,_CONFIG_Risk_Calibration!$A$5:$H$21,4,FALSE),3))</f>
        <v>3</v>
      </c>
      <c r="AI118">
        <f>IF($A118="","",IFERROR(VLOOKUP($B118,_CONFIG_Risk_Calibration!$A$5:$H$21,5,FALSE),3))</f>
        <v>4</v>
      </c>
      <c r="AJ118" t="str">
        <f>IF($A118="","",IFERROR(VLOOKUP($B118,_CONFIG_Risk_Calibration!$A$5:$H$21,6,FALSE),"No"))</f>
        <v>Yes</v>
      </c>
      <c r="AK118">
        <f>IF($A118="","",IFERROR(VLOOKUP($B118,_CONFIG_Risk_Calibration!$A$5:$H$21,7,FALSE),1))</f>
        <v>4</v>
      </c>
      <c r="AL118" t="str">
        <f>IF($A118="","",IFERROR(VLOOKUP($B118,_CONFIG_Risk_Calibration!$A$5:$H$21,8,FALSE),""))</f>
        <v>Clean template default. Calibrate with real exposure, incident history, evidence quality and domain-owner validation.</v>
      </c>
      <c r="AM118">
        <f>IF($A118="","",IFERROR(INDEX(_DATA_Assessment_Model!$AL$1:$AL$428,MATCH($A118,_DATA_Assessment_Model!$A$1:$A$428,0)),""))</f>
        <v>0</v>
      </c>
      <c r="AN118">
        <f t="shared" si="4"/>
        <v>1</v>
      </c>
      <c r="AO118">
        <f>IF($A118="","",_CONFIG_Model_Settings!$B$172*MAX(N($AK118),(N($AF118)+N($AI118))/2))</f>
        <v>80</v>
      </c>
      <c r="AP118">
        <f t="shared" si="5"/>
        <v>80</v>
      </c>
      <c r="AQ118">
        <f>IF($AP118="","",MAX(0,$AP118*(1-(_CONFIG_Model_Settings!$B$173+_CONFIG_Model_Settings!$B$174*(N($AH118)-1)))))</f>
        <v>52</v>
      </c>
      <c r="AR118">
        <f>IF($AP118="","",MIN(100,$AP118*(1+(_CONFIG_Model_Settings!$B$173+_CONFIG_Model_Settings!$B$174*(N($AH118)-1)))))</f>
        <v>100</v>
      </c>
    </row>
    <row r="119" spans="1:44" ht="72" customHeight="1">
      <c r="A119" s="9" t="s">
        <v>1514</v>
      </c>
      <c r="B119" s="9" t="s">
        <v>1401</v>
      </c>
      <c r="C119" s="9" t="s">
        <v>1426</v>
      </c>
      <c r="D119" s="9" t="s">
        <v>3683</v>
      </c>
      <c r="E119" s="9" t="s">
        <v>1515</v>
      </c>
      <c r="F119" s="9" t="s">
        <v>6200</v>
      </c>
      <c r="G119" s="9" t="s">
        <v>6201</v>
      </c>
      <c r="H119" s="9" t="s">
        <v>6202</v>
      </c>
      <c r="I119" s="9" t="s">
        <v>6203</v>
      </c>
      <c r="J119" s="9" t="s">
        <v>6204</v>
      </c>
      <c r="K119" s="9" t="s">
        <v>6205</v>
      </c>
      <c r="L119" s="9" t="s">
        <v>6206</v>
      </c>
      <c r="M119" s="9" t="s">
        <v>6207</v>
      </c>
      <c r="N119" s="9" t="s">
        <v>6208</v>
      </c>
      <c r="O119" s="9" t="s">
        <v>6209</v>
      </c>
      <c r="P119" s="9" t="s">
        <v>6210</v>
      </c>
      <c r="Q119" s="9" t="s">
        <v>6211</v>
      </c>
      <c r="R119" s="9" t="s">
        <v>4589</v>
      </c>
      <c r="S119" s="9" t="s">
        <v>6212</v>
      </c>
      <c r="T119" s="9">
        <v>3</v>
      </c>
      <c r="U119" s="9">
        <v>3</v>
      </c>
      <c r="V119" s="9">
        <v>2</v>
      </c>
      <c r="W119" s="9">
        <v>2</v>
      </c>
      <c r="X119" s="9">
        <v>1</v>
      </c>
      <c r="Y119" s="9">
        <v>1</v>
      </c>
      <c r="Z119" s="9" t="s">
        <v>1406</v>
      </c>
      <c r="AA119" s="9" t="s">
        <v>1516</v>
      </c>
      <c r="AB119" s="9" t="s">
        <v>1408</v>
      </c>
      <c r="AC119" s="9" t="s">
        <v>5918</v>
      </c>
      <c r="AD119" s="9" t="s">
        <v>6213</v>
      </c>
      <c r="AE119" t="str">
        <f t="shared" si="3"/>
        <v>Medium</v>
      </c>
      <c r="AF119">
        <f>IF($A119="","",IFERROR(VLOOKUP($B119,_CONFIG_Risk_Calibration!$A$5:$H$21,2,FALSE),3))</f>
        <v>3</v>
      </c>
      <c r="AG119">
        <f>IF($A119="","",IFERROR(VLOOKUP($B119,_CONFIG_Risk_Calibration!$A$5:$H$21,3,FALSE),0))</f>
        <v>0</v>
      </c>
      <c r="AH119">
        <f>IF($A119="","",IFERROR(VLOOKUP($B119,_CONFIG_Risk_Calibration!$A$5:$H$21,4,FALSE),3))</f>
        <v>3</v>
      </c>
      <c r="AI119">
        <f>IF($A119="","",IFERROR(VLOOKUP($B119,_CONFIG_Risk_Calibration!$A$5:$H$21,5,FALSE),3))</f>
        <v>4</v>
      </c>
      <c r="AJ119" t="str">
        <f>IF($A119="","",IFERROR(VLOOKUP($B119,_CONFIG_Risk_Calibration!$A$5:$H$21,6,FALSE),"No"))</f>
        <v>Yes</v>
      </c>
      <c r="AK119">
        <f>IF($A119="","",IFERROR(VLOOKUP($B119,_CONFIG_Risk_Calibration!$A$5:$H$21,7,FALSE),1))</f>
        <v>4</v>
      </c>
      <c r="AL119" t="str">
        <f>IF($A119="","",IFERROR(VLOOKUP($B119,_CONFIG_Risk_Calibration!$A$5:$H$21,8,FALSE),""))</f>
        <v>Clean template default. Calibrate with real exposure, incident history, evidence quality and domain-owner validation.</v>
      </c>
      <c r="AM119">
        <f>IF($A119="","",IFERROR(INDEX(_DATA_Assessment_Model!$AL$1:$AL$428,MATCH($A119,_DATA_Assessment_Model!$A$1:$A$428,0)),""))</f>
        <v>0</v>
      </c>
      <c r="AN119">
        <f t="shared" si="4"/>
        <v>1</v>
      </c>
      <c r="AO119">
        <f>IF($A119="","",_CONFIG_Model_Settings!$B$172*MAX(N($AK119),(N($AF119)+N($AI119))/2))</f>
        <v>80</v>
      </c>
      <c r="AP119">
        <f t="shared" si="5"/>
        <v>80</v>
      </c>
      <c r="AQ119">
        <f>IF($AP119="","",MAX(0,$AP119*(1-(_CONFIG_Model_Settings!$B$173+_CONFIG_Model_Settings!$B$174*(N($AH119)-1)))))</f>
        <v>52</v>
      </c>
      <c r="AR119">
        <f>IF($AP119="","",MIN(100,$AP119*(1+(_CONFIG_Model_Settings!$B$173+_CONFIG_Model_Settings!$B$174*(N($AH119)-1)))))</f>
        <v>100</v>
      </c>
    </row>
    <row r="120" spans="1:44" ht="72" customHeight="1">
      <c r="A120" s="9" t="s">
        <v>1517</v>
      </c>
      <c r="B120" s="9" t="s">
        <v>1401</v>
      </c>
      <c r="C120" s="9" t="s">
        <v>1426</v>
      </c>
      <c r="D120" s="9" t="s">
        <v>3683</v>
      </c>
      <c r="E120" s="9" t="s">
        <v>1518</v>
      </c>
      <c r="F120" s="9" t="s">
        <v>6214</v>
      </c>
      <c r="G120" s="9" t="s">
        <v>6215</v>
      </c>
      <c r="H120" s="9" t="s">
        <v>6216</v>
      </c>
      <c r="I120" s="9" t="s">
        <v>6217</v>
      </c>
      <c r="J120" s="9" t="s">
        <v>6218</v>
      </c>
      <c r="K120" s="9" t="s">
        <v>6219</v>
      </c>
      <c r="L120" s="9" t="s">
        <v>6220</v>
      </c>
      <c r="M120" s="9" t="s">
        <v>6221</v>
      </c>
      <c r="N120" s="9" t="s">
        <v>6222</v>
      </c>
      <c r="O120" s="9" t="s">
        <v>6223</v>
      </c>
      <c r="P120" s="9" t="s">
        <v>6224</v>
      </c>
      <c r="Q120" s="9" t="s">
        <v>6225</v>
      </c>
      <c r="R120" s="9" t="s">
        <v>4589</v>
      </c>
      <c r="S120" s="9" t="s">
        <v>6226</v>
      </c>
      <c r="T120" s="9">
        <v>3</v>
      </c>
      <c r="U120" s="9">
        <v>3</v>
      </c>
      <c r="V120" s="9">
        <v>2</v>
      </c>
      <c r="W120" s="9">
        <v>2</v>
      </c>
      <c r="X120" s="9">
        <v>1</v>
      </c>
      <c r="Y120" s="9">
        <v>1</v>
      </c>
      <c r="Z120" s="9" t="s">
        <v>1406</v>
      </c>
      <c r="AA120" s="9" t="s">
        <v>1519</v>
      </c>
      <c r="AB120" s="9" t="s">
        <v>1408</v>
      </c>
      <c r="AC120" s="9" t="s">
        <v>5918</v>
      </c>
      <c r="AD120" s="9" t="s">
        <v>6227</v>
      </c>
      <c r="AE120" t="str">
        <f t="shared" si="3"/>
        <v>Medium</v>
      </c>
      <c r="AF120">
        <f>IF($A120="","",IFERROR(VLOOKUP($B120,_CONFIG_Risk_Calibration!$A$5:$H$21,2,FALSE),3))</f>
        <v>3</v>
      </c>
      <c r="AG120">
        <f>IF($A120="","",IFERROR(VLOOKUP($B120,_CONFIG_Risk_Calibration!$A$5:$H$21,3,FALSE),0))</f>
        <v>0</v>
      </c>
      <c r="AH120">
        <f>IF($A120="","",IFERROR(VLOOKUP($B120,_CONFIG_Risk_Calibration!$A$5:$H$21,4,FALSE),3))</f>
        <v>3</v>
      </c>
      <c r="AI120">
        <f>IF($A120="","",IFERROR(VLOOKUP($B120,_CONFIG_Risk_Calibration!$A$5:$H$21,5,FALSE),3))</f>
        <v>4</v>
      </c>
      <c r="AJ120" t="str">
        <f>IF($A120="","",IFERROR(VLOOKUP($B120,_CONFIG_Risk_Calibration!$A$5:$H$21,6,FALSE),"No"))</f>
        <v>Yes</v>
      </c>
      <c r="AK120">
        <f>IF($A120="","",IFERROR(VLOOKUP($B120,_CONFIG_Risk_Calibration!$A$5:$H$21,7,FALSE),1))</f>
        <v>4</v>
      </c>
      <c r="AL120" t="str">
        <f>IF($A120="","",IFERROR(VLOOKUP($B120,_CONFIG_Risk_Calibration!$A$5:$H$21,8,FALSE),""))</f>
        <v>Clean template default. Calibrate with real exposure, incident history, evidence quality and domain-owner validation.</v>
      </c>
      <c r="AM120">
        <f>IF($A120="","",IFERROR(INDEX(_DATA_Assessment_Model!$AL$1:$AL$428,MATCH($A120,_DATA_Assessment_Model!$A$1:$A$428,0)),""))</f>
        <v>0</v>
      </c>
      <c r="AN120">
        <f t="shared" si="4"/>
        <v>1</v>
      </c>
      <c r="AO120">
        <f>IF($A120="","",_CONFIG_Model_Settings!$B$172*MAX(N($AK120),(N($AF120)+N($AI120))/2))</f>
        <v>80</v>
      </c>
      <c r="AP120">
        <f t="shared" si="5"/>
        <v>80</v>
      </c>
      <c r="AQ120">
        <f>IF($AP120="","",MAX(0,$AP120*(1-(_CONFIG_Model_Settings!$B$173+_CONFIG_Model_Settings!$B$174*(N($AH120)-1)))))</f>
        <v>52</v>
      </c>
      <c r="AR120">
        <f>IF($AP120="","",MIN(100,$AP120*(1+(_CONFIG_Model_Settings!$B$173+_CONFIG_Model_Settings!$B$174*(N($AH120)-1)))))</f>
        <v>100</v>
      </c>
    </row>
    <row r="121" spans="1:44" ht="72" customHeight="1">
      <c r="A121" s="9" t="s">
        <v>1520</v>
      </c>
      <c r="B121" s="9" t="s">
        <v>1401</v>
      </c>
      <c r="C121" s="9" t="s">
        <v>1403</v>
      </c>
      <c r="D121" s="9" t="s">
        <v>6228</v>
      </c>
      <c r="E121" s="9" t="s">
        <v>1521</v>
      </c>
      <c r="F121" s="9" t="s">
        <v>6229</v>
      </c>
      <c r="G121" s="9" t="s">
        <v>6230</v>
      </c>
      <c r="H121" s="9" t="s">
        <v>6231</v>
      </c>
      <c r="I121" s="9" t="s">
        <v>6232</v>
      </c>
      <c r="J121" s="9" t="s">
        <v>6233</v>
      </c>
      <c r="K121" s="9" t="s">
        <v>6234</v>
      </c>
      <c r="L121" s="9" t="s">
        <v>6235</v>
      </c>
      <c r="M121" s="9" t="s">
        <v>6236</v>
      </c>
      <c r="N121" s="9" t="s">
        <v>6237</v>
      </c>
      <c r="O121" s="9" t="s">
        <v>6238</v>
      </c>
      <c r="P121" s="9" t="s">
        <v>6239</v>
      </c>
      <c r="Q121" s="9" t="s">
        <v>6240</v>
      </c>
      <c r="R121" s="9" t="s">
        <v>4589</v>
      </c>
      <c r="S121" s="9" t="s">
        <v>6241</v>
      </c>
      <c r="T121" s="9">
        <v>3</v>
      </c>
      <c r="U121" s="9">
        <v>3</v>
      </c>
      <c r="V121" s="9">
        <v>2</v>
      </c>
      <c r="W121" s="9">
        <v>2</v>
      </c>
      <c r="X121" s="9">
        <v>1</v>
      </c>
      <c r="Y121" s="9">
        <v>1</v>
      </c>
      <c r="Z121" s="9" t="s">
        <v>1523</v>
      </c>
      <c r="AA121" s="9" t="s">
        <v>6242</v>
      </c>
      <c r="AB121" s="9" t="s">
        <v>1530</v>
      </c>
      <c r="AC121" s="9" t="s">
        <v>6243</v>
      </c>
      <c r="AD121" s="9" t="s">
        <v>6244</v>
      </c>
      <c r="AE121" t="str">
        <f t="shared" si="3"/>
        <v>Medium</v>
      </c>
      <c r="AF121">
        <f>IF($A121="","",IFERROR(VLOOKUP($B121,_CONFIG_Risk_Calibration!$A$5:$H$21,2,FALSE),3))</f>
        <v>3</v>
      </c>
      <c r="AG121">
        <f>IF($A121="","",IFERROR(VLOOKUP($B121,_CONFIG_Risk_Calibration!$A$5:$H$21,3,FALSE),0))</f>
        <v>0</v>
      </c>
      <c r="AH121">
        <f>IF($A121="","",IFERROR(VLOOKUP($B121,_CONFIG_Risk_Calibration!$A$5:$H$21,4,FALSE),3))</f>
        <v>3</v>
      </c>
      <c r="AI121">
        <f>IF($A121="","",IFERROR(VLOOKUP($B121,_CONFIG_Risk_Calibration!$A$5:$H$21,5,FALSE),3))</f>
        <v>4</v>
      </c>
      <c r="AJ121" t="str">
        <f>IF($A121="","",IFERROR(VLOOKUP($B121,_CONFIG_Risk_Calibration!$A$5:$H$21,6,FALSE),"No"))</f>
        <v>Yes</v>
      </c>
      <c r="AK121">
        <f>IF($A121="","",IFERROR(VLOOKUP($B121,_CONFIG_Risk_Calibration!$A$5:$H$21,7,FALSE),1))</f>
        <v>4</v>
      </c>
      <c r="AL121" t="str">
        <f>IF($A121="","",IFERROR(VLOOKUP($B121,_CONFIG_Risk_Calibration!$A$5:$H$21,8,FALSE),""))</f>
        <v>Clean template default. Calibrate with real exposure, incident history, evidence quality and domain-owner validation.</v>
      </c>
      <c r="AM121">
        <f>IF($A121="","",IFERROR(INDEX(_DATA_Assessment_Model!$AL$1:$AL$428,MATCH($A121,_DATA_Assessment_Model!$A$1:$A$428,0)),""))</f>
        <v>0</v>
      </c>
      <c r="AN121">
        <f t="shared" si="4"/>
        <v>1</v>
      </c>
      <c r="AO121">
        <f>IF($A121="","",_CONFIG_Model_Settings!$B$172*MAX(N($AK121),(N($AF121)+N($AI121))/2))</f>
        <v>80</v>
      </c>
      <c r="AP121">
        <f t="shared" si="5"/>
        <v>80</v>
      </c>
      <c r="AQ121">
        <f>IF($AP121="","",MAX(0,$AP121*(1-(_CONFIG_Model_Settings!$B$173+_CONFIG_Model_Settings!$B$174*(N($AH121)-1)))))</f>
        <v>52</v>
      </c>
      <c r="AR121">
        <f>IF($AP121="","",MIN(100,$AP121*(1+(_CONFIG_Model_Settings!$B$173+_CONFIG_Model_Settings!$B$174*(N($AH121)-1)))))</f>
        <v>100</v>
      </c>
    </row>
    <row r="122" spans="1:44" ht="72" customHeight="1">
      <c r="A122" s="9" t="s">
        <v>1531</v>
      </c>
      <c r="B122" s="9" t="s">
        <v>1401</v>
      </c>
      <c r="C122" s="9" t="s">
        <v>1403</v>
      </c>
      <c r="D122" s="9" t="s">
        <v>6228</v>
      </c>
      <c r="E122" s="9" t="s">
        <v>1532</v>
      </c>
      <c r="F122" s="9" t="s">
        <v>6245</v>
      </c>
      <c r="G122" s="9" t="s">
        <v>6246</v>
      </c>
      <c r="H122" s="9" t="s">
        <v>6247</v>
      </c>
      <c r="I122" s="9" t="s">
        <v>6248</v>
      </c>
      <c r="J122" s="9" t="s">
        <v>6249</v>
      </c>
      <c r="K122" s="9" t="s">
        <v>6250</v>
      </c>
      <c r="L122" s="9" t="s">
        <v>6251</v>
      </c>
      <c r="M122" s="9" t="s">
        <v>6252</v>
      </c>
      <c r="N122" s="9" t="s">
        <v>6253</v>
      </c>
      <c r="O122" s="9" t="s">
        <v>6254</v>
      </c>
      <c r="P122" s="9" t="s">
        <v>6255</v>
      </c>
      <c r="Q122" s="9" t="s">
        <v>6256</v>
      </c>
      <c r="R122" s="9" t="s">
        <v>4589</v>
      </c>
      <c r="S122" s="9" t="s">
        <v>6257</v>
      </c>
      <c r="T122" s="9">
        <v>2</v>
      </c>
      <c r="U122" s="9">
        <v>2</v>
      </c>
      <c r="V122" s="9">
        <v>2</v>
      </c>
      <c r="W122" s="9">
        <v>2</v>
      </c>
      <c r="X122" s="9">
        <v>1</v>
      </c>
      <c r="Y122" s="9">
        <v>1</v>
      </c>
      <c r="Z122" s="9" t="s">
        <v>1533</v>
      </c>
      <c r="AA122" s="9" t="s">
        <v>6258</v>
      </c>
      <c r="AB122" s="9" t="s">
        <v>1530</v>
      </c>
      <c r="AC122" s="9" t="s">
        <v>6243</v>
      </c>
      <c r="AD122" s="9" t="s">
        <v>6259</v>
      </c>
      <c r="AE122" t="str">
        <f t="shared" si="3"/>
        <v>Medium</v>
      </c>
      <c r="AF122">
        <f>IF($A122="","",IFERROR(VLOOKUP($B122,_CONFIG_Risk_Calibration!$A$5:$H$21,2,FALSE),3))</f>
        <v>3</v>
      </c>
      <c r="AG122">
        <f>IF($A122="","",IFERROR(VLOOKUP($B122,_CONFIG_Risk_Calibration!$A$5:$H$21,3,FALSE),0))</f>
        <v>0</v>
      </c>
      <c r="AH122">
        <f>IF($A122="","",IFERROR(VLOOKUP($B122,_CONFIG_Risk_Calibration!$A$5:$H$21,4,FALSE),3))</f>
        <v>3</v>
      </c>
      <c r="AI122">
        <f>IF($A122="","",IFERROR(VLOOKUP($B122,_CONFIG_Risk_Calibration!$A$5:$H$21,5,FALSE),3))</f>
        <v>4</v>
      </c>
      <c r="AJ122" t="str">
        <f>IF($A122="","",IFERROR(VLOOKUP($B122,_CONFIG_Risk_Calibration!$A$5:$H$21,6,FALSE),"No"))</f>
        <v>Yes</v>
      </c>
      <c r="AK122">
        <f>IF($A122="","",IFERROR(VLOOKUP($B122,_CONFIG_Risk_Calibration!$A$5:$H$21,7,FALSE),1))</f>
        <v>4</v>
      </c>
      <c r="AL122" t="str">
        <f>IF($A122="","",IFERROR(VLOOKUP($B122,_CONFIG_Risk_Calibration!$A$5:$H$21,8,FALSE),""))</f>
        <v>Clean template default. Calibrate with real exposure, incident history, evidence quality and domain-owner validation.</v>
      </c>
      <c r="AM122">
        <f>IF($A122="","",IFERROR(INDEX(_DATA_Assessment_Model!$AL$1:$AL$428,MATCH($A122,_DATA_Assessment_Model!$A$1:$A$428,0)),""))</f>
        <v>0</v>
      </c>
      <c r="AN122">
        <f t="shared" si="4"/>
        <v>1</v>
      </c>
      <c r="AO122">
        <f>IF($A122="","",_CONFIG_Model_Settings!$B$172*MAX(N($AK122),(N($AF122)+N($AI122))/2))</f>
        <v>80</v>
      </c>
      <c r="AP122">
        <f t="shared" si="5"/>
        <v>80</v>
      </c>
      <c r="AQ122">
        <f>IF($AP122="","",MAX(0,$AP122*(1-(_CONFIG_Model_Settings!$B$173+_CONFIG_Model_Settings!$B$174*(N($AH122)-1)))))</f>
        <v>52</v>
      </c>
      <c r="AR122">
        <f>IF($AP122="","",MIN(100,$AP122*(1+(_CONFIG_Model_Settings!$B$173+_CONFIG_Model_Settings!$B$174*(N($AH122)-1)))))</f>
        <v>100</v>
      </c>
    </row>
    <row r="123" spans="1:44" ht="72" customHeight="1">
      <c r="A123" s="9" t="s">
        <v>1540</v>
      </c>
      <c r="B123" s="9" t="s">
        <v>1401</v>
      </c>
      <c r="C123" s="9" t="s">
        <v>1426</v>
      </c>
      <c r="D123" s="9" t="s">
        <v>6228</v>
      </c>
      <c r="E123" s="9" t="s">
        <v>1541</v>
      </c>
      <c r="F123" s="9" t="s">
        <v>6260</v>
      </c>
      <c r="G123" s="9" t="s">
        <v>6261</v>
      </c>
      <c r="H123" s="9" t="s">
        <v>6262</v>
      </c>
      <c r="I123" s="9" t="s">
        <v>6263</v>
      </c>
      <c r="J123" s="9" t="s">
        <v>6264</v>
      </c>
      <c r="K123" s="9" t="s">
        <v>6265</v>
      </c>
      <c r="L123" s="9" t="s">
        <v>6266</v>
      </c>
      <c r="M123" s="9" t="s">
        <v>6267</v>
      </c>
      <c r="N123" s="9" t="s">
        <v>6268</v>
      </c>
      <c r="O123" s="9" t="s">
        <v>6269</v>
      </c>
      <c r="P123" s="9" t="s">
        <v>6270</v>
      </c>
      <c r="Q123" s="9" t="s">
        <v>6271</v>
      </c>
      <c r="R123" s="9" t="s">
        <v>4589</v>
      </c>
      <c r="S123" s="9" t="s">
        <v>6272</v>
      </c>
      <c r="T123" s="9">
        <v>2</v>
      </c>
      <c r="U123" s="9">
        <v>2</v>
      </c>
      <c r="V123" s="9">
        <v>2</v>
      </c>
      <c r="W123" s="9">
        <v>2</v>
      </c>
      <c r="X123" s="9">
        <v>1</v>
      </c>
      <c r="Y123" s="9">
        <v>1</v>
      </c>
      <c r="Z123" s="9" t="s">
        <v>1543</v>
      </c>
      <c r="AA123" s="9" t="s">
        <v>6273</v>
      </c>
      <c r="AB123" s="9" t="s">
        <v>1550</v>
      </c>
      <c r="AC123" s="9" t="s">
        <v>6274</v>
      </c>
      <c r="AD123" s="9" t="s">
        <v>6275</v>
      </c>
      <c r="AE123" t="str">
        <f t="shared" si="3"/>
        <v>Medium</v>
      </c>
      <c r="AF123">
        <f>IF($A123="","",IFERROR(VLOOKUP($B123,_CONFIG_Risk_Calibration!$A$5:$H$21,2,FALSE),3))</f>
        <v>3</v>
      </c>
      <c r="AG123">
        <f>IF($A123="","",IFERROR(VLOOKUP($B123,_CONFIG_Risk_Calibration!$A$5:$H$21,3,FALSE),0))</f>
        <v>0</v>
      </c>
      <c r="AH123">
        <f>IF($A123="","",IFERROR(VLOOKUP($B123,_CONFIG_Risk_Calibration!$A$5:$H$21,4,FALSE),3))</f>
        <v>3</v>
      </c>
      <c r="AI123">
        <f>IF($A123="","",IFERROR(VLOOKUP($B123,_CONFIG_Risk_Calibration!$A$5:$H$21,5,FALSE),3))</f>
        <v>4</v>
      </c>
      <c r="AJ123" t="str">
        <f>IF($A123="","",IFERROR(VLOOKUP($B123,_CONFIG_Risk_Calibration!$A$5:$H$21,6,FALSE),"No"))</f>
        <v>Yes</v>
      </c>
      <c r="AK123">
        <f>IF($A123="","",IFERROR(VLOOKUP($B123,_CONFIG_Risk_Calibration!$A$5:$H$21,7,FALSE),1))</f>
        <v>4</v>
      </c>
      <c r="AL123" t="str">
        <f>IF($A123="","",IFERROR(VLOOKUP($B123,_CONFIG_Risk_Calibration!$A$5:$H$21,8,FALSE),""))</f>
        <v>Clean template default. Calibrate with real exposure, incident history, evidence quality and domain-owner validation.</v>
      </c>
      <c r="AM123">
        <f>IF($A123="","",IFERROR(INDEX(_DATA_Assessment_Model!$AL$1:$AL$428,MATCH($A123,_DATA_Assessment_Model!$A$1:$A$428,0)),""))</f>
        <v>0</v>
      </c>
      <c r="AN123">
        <f t="shared" si="4"/>
        <v>1</v>
      </c>
      <c r="AO123">
        <f>IF($A123="","",_CONFIG_Model_Settings!$B$172*MAX(N($AK123),(N($AF123)+N($AI123))/2))</f>
        <v>80</v>
      </c>
      <c r="AP123">
        <f t="shared" si="5"/>
        <v>80</v>
      </c>
      <c r="AQ123">
        <f>IF($AP123="","",MAX(0,$AP123*(1-(_CONFIG_Model_Settings!$B$173+_CONFIG_Model_Settings!$B$174*(N($AH123)-1)))))</f>
        <v>52</v>
      </c>
      <c r="AR123">
        <f>IF($AP123="","",MIN(100,$AP123*(1+(_CONFIG_Model_Settings!$B$173+_CONFIG_Model_Settings!$B$174*(N($AH123)-1)))))</f>
        <v>100</v>
      </c>
    </row>
    <row r="124" spans="1:44" ht="72" customHeight="1">
      <c r="A124" s="9" t="s">
        <v>1552</v>
      </c>
      <c r="B124" s="9" t="s">
        <v>1551</v>
      </c>
      <c r="C124" s="9" t="s">
        <v>1553</v>
      </c>
      <c r="D124" s="9" t="s">
        <v>3684</v>
      </c>
      <c r="E124" s="9" t="s">
        <v>1554</v>
      </c>
      <c r="F124" s="9" t="s">
        <v>6276</v>
      </c>
      <c r="G124" s="9" t="s">
        <v>6277</v>
      </c>
      <c r="H124" s="9" t="s">
        <v>6278</v>
      </c>
      <c r="I124" s="9" t="s">
        <v>6279</v>
      </c>
      <c r="J124" s="9" t="s">
        <v>6280</v>
      </c>
      <c r="K124" s="9" t="s">
        <v>6281</v>
      </c>
      <c r="L124" s="9" t="s">
        <v>6282</v>
      </c>
      <c r="M124" s="9" t="s">
        <v>6283</v>
      </c>
      <c r="N124" s="9" t="s">
        <v>6284</v>
      </c>
      <c r="O124" s="9" t="s">
        <v>6285</v>
      </c>
      <c r="P124" s="9" t="s">
        <v>6286</v>
      </c>
      <c r="Q124" s="9" t="s">
        <v>6287</v>
      </c>
      <c r="R124" s="9" t="s">
        <v>4589</v>
      </c>
      <c r="S124" s="9" t="s">
        <v>6288</v>
      </c>
      <c r="T124" s="9">
        <v>3</v>
      </c>
      <c r="U124" s="9">
        <v>3</v>
      </c>
      <c r="V124" s="9">
        <v>2</v>
      </c>
      <c r="W124" s="9">
        <v>2</v>
      </c>
      <c r="X124" s="9">
        <v>1</v>
      </c>
      <c r="Y124" s="9">
        <v>1</v>
      </c>
      <c r="Z124" s="9" t="s">
        <v>1556</v>
      </c>
      <c r="AA124" s="9" t="s">
        <v>1557</v>
      </c>
      <c r="AB124" s="9" t="s">
        <v>1564</v>
      </c>
      <c r="AC124" s="9" t="s">
        <v>6289</v>
      </c>
      <c r="AD124" s="9" t="s">
        <v>6290</v>
      </c>
      <c r="AE124" t="str">
        <f t="shared" si="3"/>
        <v>Slow</v>
      </c>
      <c r="AF124">
        <f>IF($A124="","",IFERROR(VLOOKUP($B124,_CONFIG_Risk_Calibration!$A$5:$H$21,2,FALSE),3))</f>
        <v>3</v>
      </c>
      <c r="AG124">
        <f>IF($A124="","",IFERROR(VLOOKUP($B124,_CONFIG_Risk_Calibration!$A$5:$H$21,3,FALSE),0))</f>
        <v>0</v>
      </c>
      <c r="AH124">
        <f>IF($A124="","",IFERROR(VLOOKUP($B124,_CONFIG_Risk_Calibration!$A$5:$H$21,4,FALSE),3))</f>
        <v>3</v>
      </c>
      <c r="AI124">
        <f>IF($A124="","",IFERROR(VLOOKUP($B124,_CONFIG_Risk_Calibration!$A$5:$H$21,5,FALSE),3))</f>
        <v>4</v>
      </c>
      <c r="AJ124" t="str">
        <f>IF($A124="","",IFERROR(VLOOKUP($B124,_CONFIG_Risk_Calibration!$A$5:$H$21,6,FALSE),"No"))</f>
        <v>Yes</v>
      </c>
      <c r="AK124">
        <f>IF($A124="","",IFERROR(VLOOKUP($B124,_CONFIG_Risk_Calibration!$A$5:$H$21,7,FALSE),1))</f>
        <v>5</v>
      </c>
      <c r="AL124" t="str">
        <f>IF($A124="","",IFERROR(VLOOKUP($B124,_CONFIG_Risk_Calibration!$A$5:$H$21,8,FALSE),""))</f>
        <v>Clean template default. Calibrate with real exposure, incident history, evidence quality and domain-owner validation.</v>
      </c>
      <c r="AM124">
        <f>IF($A124="","",IFERROR(INDEX(_DATA_Assessment_Model!$AL$1:$AL$428,MATCH($A124,_DATA_Assessment_Model!$A$1:$A$428,0)),""))</f>
        <v>0</v>
      </c>
      <c r="AN124">
        <f t="shared" si="4"/>
        <v>1</v>
      </c>
      <c r="AO124">
        <f>IF($A124="","",_CONFIG_Model_Settings!$B$172*MAX(N($AK124),(N($AF124)+N($AI124))/2))</f>
        <v>100</v>
      </c>
      <c r="AP124">
        <f t="shared" si="5"/>
        <v>100</v>
      </c>
      <c r="AQ124">
        <f>IF($AP124="","",MAX(0,$AP124*(1-(_CONFIG_Model_Settings!$B$173+_CONFIG_Model_Settings!$B$174*(N($AH124)-1)))))</f>
        <v>65</v>
      </c>
      <c r="AR124">
        <f>IF($AP124="","",MIN(100,$AP124*(1+(_CONFIG_Model_Settings!$B$173+_CONFIG_Model_Settings!$B$174*(N($AH124)-1)))))</f>
        <v>100</v>
      </c>
    </row>
    <row r="125" spans="1:44" ht="84" customHeight="1">
      <c r="A125" s="9" t="s">
        <v>1565</v>
      </c>
      <c r="B125" s="9" t="s">
        <v>1551</v>
      </c>
      <c r="C125" s="9" t="s">
        <v>1553</v>
      </c>
      <c r="D125" s="9" t="s">
        <v>3684</v>
      </c>
      <c r="E125" s="9" t="s">
        <v>1566</v>
      </c>
      <c r="F125" s="9" t="s">
        <v>6291</v>
      </c>
      <c r="G125" s="9" t="s">
        <v>6292</v>
      </c>
      <c r="H125" s="9" t="s">
        <v>6293</v>
      </c>
      <c r="I125" s="9" t="s">
        <v>6294</v>
      </c>
      <c r="J125" s="9" t="s">
        <v>6295</v>
      </c>
      <c r="K125" s="9" t="s">
        <v>6296</v>
      </c>
      <c r="L125" s="9" t="s">
        <v>6297</v>
      </c>
      <c r="M125" s="9" t="s">
        <v>6298</v>
      </c>
      <c r="N125" s="9" t="s">
        <v>6299</v>
      </c>
      <c r="O125" s="9" t="s">
        <v>6300</v>
      </c>
      <c r="P125" s="9" t="s">
        <v>6301</v>
      </c>
      <c r="Q125" s="9" t="s">
        <v>6302</v>
      </c>
      <c r="R125" s="9" t="s">
        <v>4589</v>
      </c>
      <c r="S125" s="9" t="s">
        <v>6303</v>
      </c>
      <c r="T125" s="9">
        <v>3</v>
      </c>
      <c r="U125" s="9">
        <v>3</v>
      </c>
      <c r="V125" s="9">
        <v>2</v>
      </c>
      <c r="W125" s="9">
        <v>2</v>
      </c>
      <c r="X125" s="9">
        <v>1</v>
      </c>
      <c r="Y125" s="9">
        <v>1</v>
      </c>
      <c r="Z125" s="9" t="s">
        <v>1556</v>
      </c>
      <c r="AA125" s="9" t="s">
        <v>1567</v>
      </c>
      <c r="AB125" s="9" t="s">
        <v>1564</v>
      </c>
      <c r="AC125" s="9" t="s">
        <v>6289</v>
      </c>
      <c r="AD125" s="9" t="s">
        <v>6304</v>
      </c>
      <c r="AE125" t="str">
        <f t="shared" si="3"/>
        <v>Slow</v>
      </c>
      <c r="AF125">
        <f>IF($A125="","",IFERROR(VLOOKUP($B125,_CONFIG_Risk_Calibration!$A$5:$H$21,2,FALSE),3))</f>
        <v>3</v>
      </c>
      <c r="AG125">
        <f>IF($A125="","",IFERROR(VLOOKUP($B125,_CONFIG_Risk_Calibration!$A$5:$H$21,3,FALSE),0))</f>
        <v>0</v>
      </c>
      <c r="AH125">
        <f>IF($A125="","",IFERROR(VLOOKUP($B125,_CONFIG_Risk_Calibration!$A$5:$H$21,4,FALSE),3))</f>
        <v>3</v>
      </c>
      <c r="AI125">
        <f>IF($A125="","",IFERROR(VLOOKUP($B125,_CONFIG_Risk_Calibration!$A$5:$H$21,5,FALSE),3))</f>
        <v>4</v>
      </c>
      <c r="AJ125" t="str">
        <f>IF($A125="","",IFERROR(VLOOKUP($B125,_CONFIG_Risk_Calibration!$A$5:$H$21,6,FALSE),"No"))</f>
        <v>Yes</v>
      </c>
      <c r="AK125">
        <f>IF($A125="","",IFERROR(VLOOKUP($B125,_CONFIG_Risk_Calibration!$A$5:$H$21,7,FALSE),1))</f>
        <v>5</v>
      </c>
      <c r="AL125" t="str">
        <f>IF($A125="","",IFERROR(VLOOKUP($B125,_CONFIG_Risk_Calibration!$A$5:$H$21,8,FALSE),""))</f>
        <v>Clean template default. Calibrate with real exposure, incident history, evidence quality and domain-owner validation.</v>
      </c>
      <c r="AM125">
        <f>IF($A125="","",IFERROR(INDEX(_DATA_Assessment_Model!$AL$1:$AL$428,MATCH($A125,_DATA_Assessment_Model!$A$1:$A$428,0)),""))</f>
        <v>0</v>
      </c>
      <c r="AN125">
        <f t="shared" si="4"/>
        <v>1</v>
      </c>
      <c r="AO125">
        <f>IF($A125="","",_CONFIG_Model_Settings!$B$172*MAX(N($AK125),(N($AF125)+N($AI125))/2))</f>
        <v>100</v>
      </c>
      <c r="AP125">
        <f t="shared" si="5"/>
        <v>100</v>
      </c>
      <c r="AQ125">
        <f>IF($AP125="","",MAX(0,$AP125*(1-(_CONFIG_Model_Settings!$B$173+_CONFIG_Model_Settings!$B$174*(N($AH125)-1)))))</f>
        <v>65</v>
      </c>
      <c r="AR125">
        <f>IF($AP125="","",MIN(100,$AP125*(1+(_CONFIG_Model_Settings!$B$173+_CONFIG_Model_Settings!$B$174*(N($AH125)-1)))))</f>
        <v>100</v>
      </c>
    </row>
    <row r="126" spans="1:44" ht="72" customHeight="1">
      <c r="A126" s="9" t="s">
        <v>1569</v>
      </c>
      <c r="B126" s="9" t="s">
        <v>1551</v>
      </c>
      <c r="C126" s="9" t="s">
        <v>1553</v>
      </c>
      <c r="D126" s="9" t="s">
        <v>3684</v>
      </c>
      <c r="E126" s="9" t="s">
        <v>1570</v>
      </c>
      <c r="F126" s="9" t="s">
        <v>6305</v>
      </c>
      <c r="G126" s="9" t="s">
        <v>6306</v>
      </c>
      <c r="H126" s="9" t="s">
        <v>6307</v>
      </c>
      <c r="I126" s="9" t="s">
        <v>6308</v>
      </c>
      <c r="J126" s="9" t="s">
        <v>6309</v>
      </c>
      <c r="K126" s="9" t="s">
        <v>6310</v>
      </c>
      <c r="L126" s="9" t="s">
        <v>6311</v>
      </c>
      <c r="M126" s="9" t="s">
        <v>6312</v>
      </c>
      <c r="N126" s="9" t="s">
        <v>6313</v>
      </c>
      <c r="O126" s="9" t="s">
        <v>6314</v>
      </c>
      <c r="P126" s="9" t="s">
        <v>6315</v>
      </c>
      <c r="Q126" s="9" t="s">
        <v>6316</v>
      </c>
      <c r="R126" s="9" t="s">
        <v>4589</v>
      </c>
      <c r="S126" s="9" t="s">
        <v>6317</v>
      </c>
      <c r="T126" s="9">
        <v>3</v>
      </c>
      <c r="U126" s="9">
        <v>3</v>
      </c>
      <c r="V126" s="9">
        <v>2</v>
      </c>
      <c r="W126" s="9">
        <v>2</v>
      </c>
      <c r="X126" s="9">
        <v>1</v>
      </c>
      <c r="Y126" s="9">
        <v>1</v>
      </c>
      <c r="Z126" s="9" t="s">
        <v>1556</v>
      </c>
      <c r="AA126" s="9" t="s">
        <v>1571</v>
      </c>
      <c r="AB126" s="9" t="s">
        <v>1564</v>
      </c>
      <c r="AC126" s="9" t="s">
        <v>6289</v>
      </c>
      <c r="AD126" s="9" t="s">
        <v>6318</v>
      </c>
      <c r="AE126" t="str">
        <f t="shared" si="3"/>
        <v>Slow</v>
      </c>
      <c r="AF126">
        <f>IF($A126="","",IFERROR(VLOOKUP($B126,_CONFIG_Risk_Calibration!$A$5:$H$21,2,FALSE),3))</f>
        <v>3</v>
      </c>
      <c r="AG126">
        <f>IF($A126="","",IFERROR(VLOOKUP($B126,_CONFIG_Risk_Calibration!$A$5:$H$21,3,FALSE),0))</f>
        <v>0</v>
      </c>
      <c r="AH126">
        <f>IF($A126="","",IFERROR(VLOOKUP($B126,_CONFIG_Risk_Calibration!$A$5:$H$21,4,FALSE),3))</f>
        <v>3</v>
      </c>
      <c r="AI126">
        <f>IF($A126="","",IFERROR(VLOOKUP($B126,_CONFIG_Risk_Calibration!$A$5:$H$21,5,FALSE),3))</f>
        <v>4</v>
      </c>
      <c r="AJ126" t="str">
        <f>IF($A126="","",IFERROR(VLOOKUP($B126,_CONFIG_Risk_Calibration!$A$5:$H$21,6,FALSE),"No"))</f>
        <v>Yes</v>
      </c>
      <c r="AK126">
        <f>IF($A126="","",IFERROR(VLOOKUP($B126,_CONFIG_Risk_Calibration!$A$5:$H$21,7,FALSE),1))</f>
        <v>5</v>
      </c>
      <c r="AL126" t="str">
        <f>IF($A126="","",IFERROR(VLOOKUP($B126,_CONFIG_Risk_Calibration!$A$5:$H$21,8,FALSE),""))</f>
        <v>Clean template default. Calibrate with real exposure, incident history, evidence quality and domain-owner validation.</v>
      </c>
      <c r="AM126">
        <f>IF($A126="","",IFERROR(INDEX(_DATA_Assessment_Model!$AL$1:$AL$428,MATCH($A126,_DATA_Assessment_Model!$A$1:$A$428,0)),""))</f>
        <v>0</v>
      </c>
      <c r="AN126">
        <f t="shared" si="4"/>
        <v>1</v>
      </c>
      <c r="AO126">
        <f>IF($A126="","",_CONFIG_Model_Settings!$B$172*MAX(N($AK126),(N($AF126)+N($AI126))/2))</f>
        <v>100</v>
      </c>
      <c r="AP126">
        <f t="shared" si="5"/>
        <v>100</v>
      </c>
      <c r="AQ126">
        <f>IF($AP126="","",MAX(0,$AP126*(1-(_CONFIG_Model_Settings!$B$173+_CONFIG_Model_Settings!$B$174*(N($AH126)-1)))))</f>
        <v>65</v>
      </c>
      <c r="AR126">
        <f>IF($AP126="","",MIN(100,$AP126*(1+(_CONFIG_Model_Settings!$B$173+_CONFIG_Model_Settings!$B$174*(N($AH126)-1)))))</f>
        <v>100</v>
      </c>
    </row>
    <row r="127" spans="1:44" ht="72" customHeight="1">
      <c r="A127" s="9" t="s">
        <v>1573</v>
      </c>
      <c r="B127" s="9" t="s">
        <v>1551</v>
      </c>
      <c r="C127" s="9" t="s">
        <v>1553</v>
      </c>
      <c r="D127" s="9" t="s">
        <v>3684</v>
      </c>
      <c r="E127" s="9" t="s">
        <v>1574</v>
      </c>
      <c r="F127" s="9" t="s">
        <v>6319</v>
      </c>
      <c r="G127" s="9" t="s">
        <v>6320</v>
      </c>
      <c r="H127" s="9" t="s">
        <v>6321</v>
      </c>
      <c r="I127" s="9" t="s">
        <v>6322</v>
      </c>
      <c r="J127" s="9" t="s">
        <v>6323</v>
      </c>
      <c r="K127" s="9" t="s">
        <v>6324</v>
      </c>
      <c r="L127" s="9" t="s">
        <v>6325</v>
      </c>
      <c r="M127" s="9" t="s">
        <v>6326</v>
      </c>
      <c r="N127" s="9" t="s">
        <v>6327</v>
      </c>
      <c r="O127" s="9" t="s">
        <v>6328</v>
      </c>
      <c r="P127" s="9" t="s">
        <v>6329</v>
      </c>
      <c r="Q127" s="9" t="s">
        <v>6330</v>
      </c>
      <c r="R127" s="9" t="s">
        <v>4589</v>
      </c>
      <c r="S127" s="9" t="s">
        <v>6331</v>
      </c>
      <c r="T127" s="9">
        <v>3</v>
      </c>
      <c r="U127" s="9">
        <v>3</v>
      </c>
      <c r="V127" s="9">
        <v>2</v>
      </c>
      <c r="W127" s="9">
        <v>2</v>
      </c>
      <c r="X127" s="9">
        <v>1</v>
      </c>
      <c r="Y127" s="9">
        <v>1</v>
      </c>
      <c r="Z127" s="9" t="s">
        <v>1556</v>
      </c>
      <c r="AA127" s="9" t="s">
        <v>1575</v>
      </c>
      <c r="AB127" s="9" t="s">
        <v>1564</v>
      </c>
      <c r="AC127" s="9" t="s">
        <v>6289</v>
      </c>
      <c r="AD127" s="9" t="s">
        <v>6332</v>
      </c>
      <c r="AE127" t="str">
        <f t="shared" si="3"/>
        <v>Slow</v>
      </c>
      <c r="AF127">
        <f>IF($A127="","",IFERROR(VLOOKUP($B127,_CONFIG_Risk_Calibration!$A$5:$H$21,2,FALSE),3))</f>
        <v>3</v>
      </c>
      <c r="AG127">
        <f>IF($A127="","",IFERROR(VLOOKUP($B127,_CONFIG_Risk_Calibration!$A$5:$H$21,3,FALSE),0))</f>
        <v>0</v>
      </c>
      <c r="AH127">
        <f>IF($A127="","",IFERROR(VLOOKUP($B127,_CONFIG_Risk_Calibration!$A$5:$H$21,4,FALSE),3))</f>
        <v>3</v>
      </c>
      <c r="AI127">
        <f>IF($A127="","",IFERROR(VLOOKUP($B127,_CONFIG_Risk_Calibration!$A$5:$H$21,5,FALSE),3))</f>
        <v>4</v>
      </c>
      <c r="AJ127" t="str">
        <f>IF($A127="","",IFERROR(VLOOKUP($B127,_CONFIG_Risk_Calibration!$A$5:$H$21,6,FALSE),"No"))</f>
        <v>Yes</v>
      </c>
      <c r="AK127">
        <f>IF($A127="","",IFERROR(VLOOKUP($B127,_CONFIG_Risk_Calibration!$A$5:$H$21,7,FALSE),1))</f>
        <v>5</v>
      </c>
      <c r="AL127" t="str">
        <f>IF($A127="","",IFERROR(VLOOKUP($B127,_CONFIG_Risk_Calibration!$A$5:$H$21,8,FALSE),""))</f>
        <v>Clean template default. Calibrate with real exposure, incident history, evidence quality and domain-owner validation.</v>
      </c>
      <c r="AM127">
        <f>IF($A127="","",IFERROR(INDEX(_DATA_Assessment_Model!$AL$1:$AL$428,MATCH($A127,_DATA_Assessment_Model!$A$1:$A$428,0)),""))</f>
        <v>0</v>
      </c>
      <c r="AN127">
        <f t="shared" si="4"/>
        <v>1</v>
      </c>
      <c r="AO127">
        <f>IF($A127="","",_CONFIG_Model_Settings!$B$172*MAX(N($AK127),(N($AF127)+N($AI127))/2))</f>
        <v>100</v>
      </c>
      <c r="AP127">
        <f t="shared" si="5"/>
        <v>100</v>
      </c>
      <c r="AQ127">
        <f>IF($AP127="","",MAX(0,$AP127*(1-(_CONFIG_Model_Settings!$B$173+_CONFIG_Model_Settings!$B$174*(N($AH127)-1)))))</f>
        <v>65</v>
      </c>
      <c r="AR127">
        <f>IF($AP127="","",MIN(100,$AP127*(1+(_CONFIG_Model_Settings!$B$173+_CONFIG_Model_Settings!$B$174*(N($AH127)-1)))))</f>
        <v>100</v>
      </c>
    </row>
    <row r="128" spans="1:44" ht="72" customHeight="1">
      <c r="A128" s="9" t="s">
        <v>1583</v>
      </c>
      <c r="B128" s="9" t="s">
        <v>1551</v>
      </c>
      <c r="C128" s="9" t="s">
        <v>1553</v>
      </c>
      <c r="D128" s="9" t="s">
        <v>3684</v>
      </c>
      <c r="E128" s="9" t="s">
        <v>1584</v>
      </c>
      <c r="F128" s="9" t="s">
        <v>6333</v>
      </c>
      <c r="G128" s="9" t="s">
        <v>6334</v>
      </c>
      <c r="H128" s="9" t="s">
        <v>6335</v>
      </c>
      <c r="I128" s="9" t="s">
        <v>6336</v>
      </c>
      <c r="J128" s="9" t="s">
        <v>6337</v>
      </c>
      <c r="K128" s="9" t="s">
        <v>6338</v>
      </c>
      <c r="L128" s="9" t="s">
        <v>6339</v>
      </c>
      <c r="M128" s="9" t="s">
        <v>6340</v>
      </c>
      <c r="N128" s="9" t="s">
        <v>6341</v>
      </c>
      <c r="O128" s="9" t="s">
        <v>6342</v>
      </c>
      <c r="P128" s="9" t="s">
        <v>6343</v>
      </c>
      <c r="Q128" s="9" t="s">
        <v>6344</v>
      </c>
      <c r="R128" s="9" t="s">
        <v>4589</v>
      </c>
      <c r="S128" s="9" t="s">
        <v>6345</v>
      </c>
      <c r="T128" s="9">
        <v>3</v>
      </c>
      <c r="U128" s="9">
        <v>3</v>
      </c>
      <c r="V128" s="9">
        <v>2</v>
      </c>
      <c r="W128" s="9">
        <v>2</v>
      </c>
      <c r="X128" s="9">
        <v>1</v>
      </c>
      <c r="Y128" s="9">
        <v>1</v>
      </c>
      <c r="Z128" s="9" t="s">
        <v>1556</v>
      </c>
      <c r="AA128" s="9" t="s">
        <v>1585</v>
      </c>
      <c r="AB128" s="9" t="s">
        <v>1564</v>
      </c>
      <c r="AC128" s="9" t="s">
        <v>6289</v>
      </c>
      <c r="AD128" s="9" t="s">
        <v>6346</v>
      </c>
      <c r="AE128" t="str">
        <f t="shared" si="3"/>
        <v>Slow</v>
      </c>
      <c r="AF128">
        <f>IF($A128="","",IFERROR(VLOOKUP($B128,_CONFIG_Risk_Calibration!$A$5:$H$21,2,FALSE),3))</f>
        <v>3</v>
      </c>
      <c r="AG128">
        <f>IF($A128="","",IFERROR(VLOOKUP($B128,_CONFIG_Risk_Calibration!$A$5:$H$21,3,FALSE),0))</f>
        <v>0</v>
      </c>
      <c r="AH128">
        <f>IF($A128="","",IFERROR(VLOOKUP($B128,_CONFIG_Risk_Calibration!$A$5:$H$21,4,FALSE),3))</f>
        <v>3</v>
      </c>
      <c r="AI128">
        <f>IF($A128="","",IFERROR(VLOOKUP($B128,_CONFIG_Risk_Calibration!$A$5:$H$21,5,FALSE),3))</f>
        <v>4</v>
      </c>
      <c r="AJ128" t="str">
        <f>IF($A128="","",IFERROR(VLOOKUP($B128,_CONFIG_Risk_Calibration!$A$5:$H$21,6,FALSE),"No"))</f>
        <v>Yes</v>
      </c>
      <c r="AK128">
        <f>IF($A128="","",IFERROR(VLOOKUP($B128,_CONFIG_Risk_Calibration!$A$5:$H$21,7,FALSE),1))</f>
        <v>5</v>
      </c>
      <c r="AL128" t="str">
        <f>IF($A128="","",IFERROR(VLOOKUP($B128,_CONFIG_Risk_Calibration!$A$5:$H$21,8,FALSE),""))</f>
        <v>Clean template default. Calibrate with real exposure, incident history, evidence quality and domain-owner validation.</v>
      </c>
      <c r="AM128">
        <f>IF($A128="","",IFERROR(INDEX(_DATA_Assessment_Model!$AL$1:$AL$428,MATCH($A128,_DATA_Assessment_Model!$A$1:$A$428,0)),""))</f>
        <v>0</v>
      </c>
      <c r="AN128">
        <f t="shared" si="4"/>
        <v>1</v>
      </c>
      <c r="AO128">
        <f>IF($A128="","",_CONFIG_Model_Settings!$B$172*MAX(N($AK128),(N($AF128)+N($AI128))/2))</f>
        <v>100</v>
      </c>
      <c r="AP128">
        <f t="shared" si="5"/>
        <v>100</v>
      </c>
      <c r="AQ128">
        <f>IF($AP128="","",MAX(0,$AP128*(1-(_CONFIG_Model_Settings!$B$173+_CONFIG_Model_Settings!$B$174*(N($AH128)-1)))))</f>
        <v>65</v>
      </c>
      <c r="AR128">
        <f>IF($AP128="","",MIN(100,$AP128*(1+(_CONFIG_Model_Settings!$B$173+_CONFIG_Model_Settings!$B$174*(N($AH128)-1)))))</f>
        <v>100</v>
      </c>
    </row>
    <row r="129" spans="1:44" ht="72" customHeight="1">
      <c r="A129" s="9" t="s">
        <v>1592</v>
      </c>
      <c r="B129" s="9" t="s">
        <v>1551</v>
      </c>
      <c r="C129" s="9" t="s">
        <v>1553</v>
      </c>
      <c r="D129" s="9" t="s">
        <v>3684</v>
      </c>
      <c r="E129" s="9" t="s">
        <v>1593</v>
      </c>
      <c r="F129" s="9" t="s">
        <v>6347</v>
      </c>
      <c r="G129" s="9" t="s">
        <v>6348</v>
      </c>
      <c r="H129" s="9" t="s">
        <v>6349</v>
      </c>
      <c r="I129" s="9" t="s">
        <v>6350</v>
      </c>
      <c r="J129" s="9" t="s">
        <v>6351</v>
      </c>
      <c r="K129" s="9" t="s">
        <v>6352</v>
      </c>
      <c r="L129" s="9" t="s">
        <v>6353</v>
      </c>
      <c r="M129" s="9" t="s">
        <v>6354</v>
      </c>
      <c r="N129" s="9" t="s">
        <v>6355</v>
      </c>
      <c r="O129" s="9" t="s">
        <v>6356</v>
      </c>
      <c r="P129" s="9" t="s">
        <v>6357</v>
      </c>
      <c r="Q129" s="9" t="s">
        <v>6358</v>
      </c>
      <c r="R129" s="9" t="s">
        <v>4589</v>
      </c>
      <c r="S129" s="9" t="s">
        <v>6359</v>
      </c>
      <c r="T129" s="9">
        <v>3</v>
      </c>
      <c r="U129" s="9">
        <v>3</v>
      </c>
      <c r="V129" s="9">
        <v>2</v>
      </c>
      <c r="W129" s="9">
        <v>2</v>
      </c>
      <c r="X129" s="9">
        <v>1</v>
      </c>
      <c r="Y129" s="9">
        <v>1</v>
      </c>
      <c r="Z129" s="9" t="s">
        <v>1556</v>
      </c>
      <c r="AA129" s="9" t="s">
        <v>1594</v>
      </c>
      <c r="AB129" s="9" t="s">
        <v>1564</v>
      </c>
      <c r="AC129" s="9" t="s">
        <v>6289</v>
      </c>
      <c r="AD129" s="9" t="s">
        <v>6360</v>
      </c>
      <c r="AE129" t="str">
        <f t="shared" si="3"/>
        <v>Slow</v>
      </c>
      <c r="AF129">
        <f>IF($A129="","",IFERROR(VLOOKUP($B129,_CONFIG_Risk_Calibration!$A$5:$H$21,2,FALSE),3))</f>
        <v>3</v>
      </c>
      <c r="AG129">
        <f>IF($A129="","",IFERROR(VLOOKUP($B129,_CONFIG_Risk_Calibration!$A$5:$H$21,3,FALSE),0))</f>
        <v>0</v>
      </c>
      <c r="AH129">
        <f>IF($A129="","",IFERROR(VLOOKUP($B129,_CONFIG_Risk_Calibration!$A$5:$H$21,4,FALSE),3))</f>
        <v>3</v>
      </c>
      <c r="AI129">
        <f>IF($A129="","",IFERROR(VLOOKUP($B129,_CONFIG_Risk_Calibration!$A$5:$H$21,5,FALSE),3))</f>
        <v>4</v>
      </c>
      <c r="AJ129" t="str">
        <f>IF($A129="","",IFERROR(VLOOKUP($B129,_CONFIG_Risk_Calibration!$A$5:$H$21,6,FALSE),"No"))</f>
        <v>Yes</v>
      </c>
      <c r="AK129">
        <f>IF($A129="","",IFERROR(VLOOKUP($B129,_CONFIG_Risk_Calibration!$A$5:$H$21,7,FALSE),1))</f>
        <v>5</v>
      </c>
      <c r="AL129" t="str">
        <f>IF($A129="","",IFERROR(VLOOKUP($B129,_CONFIG_Risk_Calibration!$A$5:$H$21,8,FALSE),""))</f>
        <v>Clean template default. Calibrate with real exposure, incident history, evidence quality and domain-owner validation.</v>
      </c>
      <c r="AM129">
        <f>IF($A129="","",IFERROR(INDEX(_DATA_Assessment_Model!$AL$1:$AL$428,MATCH($A129,_DATA_Assessment_Model!$A$1:$A$428,0)),""))</f>
        <v>0</v>
      </c>
      <c r="AN129">
        <f t="shared" si="4"/>
        <v>1</v>
      </c>
      <c r="AO129">
        <f>IF($A129="","",_CONFIG_Model_Settings!$B$172*MAX(N($AK129),(N($AF129)+N($AI129))/2))</f>
        <v>100</v>
      </c>
      <c r="AP129">
        <f t="shared" si="5"/>
        <v>100</v>
      </c>
      <c r="AQ129">
        <f>IF($AP129="","",MAX(0,$AP129*(1-(_CONFIG_Model_Settings!$B$173+_CONFIG_Model_Settings!$B$174*(N($AH129)-1)))))</f>
        <v>65</v>
      </c>
      <c r="AR129">
        <f>IF($AP129="","",MIN(100,$AP129*(1+(_CONFIG_Model_Settings!$B$173+_CONFIG_Model_Settings!$B$174*(N($AH129)-1)))))</f>
        <v>100</v>
      </c>
    </row>
    <row r="130" spans="1:44" ht="72" customHeight="1">
      <c r="A130" s="9" t="s">
        <v>1595</v>
      </c>
      <c r="B130" s="9" t="s">
        <v>1551</v>
      </c>
      <c r="C130" s="9" t="s">
        <v>1568</v>
      </c>
      <c r="D130" s="9" t="s">
        <v>3684</v>
      </c>
      <c r="E130" s="9" t="s">
        <v>1596</v>
      </c>
      <c r="F130" s="9" t="s">
        <v>6361</v>
      </c>
      <c r="G130" s="9" t="s">
        <v>6362</v>
      </c>
      <c r="H130" s="9" t="s">
        <v>6363</v>
      </c>
      <c r="I130" s="9" t="s">
        <v>6364</v>
      </c>
      <c r="J130" s="9" t="s">
        <v>6365</v>
      </c>
      <c r="K130" s="9" t="s">
        <v>6366</v>
      </c>
      <c r="L130" s="9" t="s">
        <v>6367</v>
      </c>
      <c r="M130" s="9" t="s">
        <v>6368</v>
      </c>
      <c r="N130" s="9" t="s">
        <v>6369</v>
      </c>
      <c r="O130" s="9" t="s">
        <v>6370</v>
      </c>
      <c r="P130" s="9" t="s">
        <v>6371</v>
      </c>
      <c r="Q130" s="9" t="s">
        <v>6372</v>
      </c>
      <c r="R130" s="9" t="s">
        <v>4589</v>
      </c>
      <c r="S130" s="9" t="s">
        <v>6373</v>
      </c>
      <c r="T130" s="9">
        <v>3</v>
      </c>
      <c r="U130" s="9">
        <v>3</v>
      </c>
      <c r="V130" s="9">
        <v>2</v>
      </c>
      <c r="W130" s="9">
        <v>2</v>
      </c>
      <c r="X130" s="9">
        <v>1</v>
      </c>
      <c r="Y130" s="9">
        <v>1</v>
      </c>
      <c r="Z130" s="9" t="s">
        <v>1556</v>
      </c>
      <c r="AA130" s="9" t="s">
        <v>1597</v>
      </c>
      <c r="AB130" s="9" t="s">
        <v>1564</v>
      </c>
      <c r="AC130" s="9" t="s">
        <v>6289</v>
      </c>
      <c r="AD130" s="9" t="s">
        <v>6374</v>
      </c>
      <c r="AE130" t="str">
        <f t="shared" si="3"/>
        <v>Slow</v>
      </c>
      <c r="AF130">
        <f>IF($A130="","",IFERROR(VLOOKUP($B130,_CONFIG_Risk_Calibration!$A$5:$H$21,2,FALSE),3))</f>
        <v>3</v>
      </c>
      <c r="AG130">
        <f>IF($A130="","",IFERROR(VLOOKUP($B130,_CONFIG_Risk_Calibration!$A$5:$H$21,3,FALSE),0))</f>
        <v>0</v>
      </c>
      <c r="AH130">
        <f>IF($A130="","",IFERROR(VLOOKUP($B130,_CONFIG_Risk_Calibration!$A$5:$H$21,4,FALSE),3))</f>
        <v>3</v>
      </c>
      <c r="AI130">
        <f>IF($A130="","",IFERROR(VLOOKUP($B130,_CONFIG_Risk_Calibration!$A$5:$H$21,5,FALSE),3))</f>
        <v>4</v>
      </c>
      <c r="AJ130" t="str">
        <f>IF($A130="","",IFERROR(VLOOKUP($B130,_CONFIG_Risk_Calibration!$A$5:$H$21,6,FALSE),"No"))</f>
        <v>Yes</v>
      </c>
      <c r="AK130">
        <f>IF($A130="","",IFERROR(VLOOKUP($B130,_CONFIG_Risk_Calibration!$A$5:$H$21,7,FALSE),1))</f>
        <v>5</v>
      </c>
      <c r="AL130" t="str">
        <f>IF($A130="","",IFERROR(VLOOKUP($B130,_CONFIG_Risk_Calibration!$A$5:$H$21,8,FALSE),""))</f>
        <v>Clean template default. Calibrate with real exposure, incident history, evidence quality and domain-owner validation.</v>
      </c>
      <c r="AM130">
        <f>IF($A130="","",IFERROR(INDEX(_DATA_Assessment_Model!$AL$1:$AL$428,MATCH($A130,_DATA_Assessment_Model!$A$1:$A$428,0)),""))</f>
        <v>0</v>
      </c>
      <c r="AN130">
        <f t="shared" si="4"/>
        <v>1</v>
      </c>
      <c r="AO130">
        <f>IF($A130="","",_CONFIG_Model_Settings!$B$172*MAX(N($AK130),(N($AF130)+N($AI130))/2))</f>
        <v>100</v>
      </c>
      <c r="AP130">
        <f t="shared" si="5"/>
        <v>100</v>
      </c>
      <c r="AQ130">
        <f>IF($AP130="","",MAX(0,$AP130*(1-(_CONFIG_Model_Settings!$B$173+_CONFIG_Model_Settings!$B$174*(N($AH130)-1)))))</f>
        <v>65</v>
      </c>
      <c r="AR130">
        <f>IF($AP130="","",MIN(100,$AP130*(1+(_CONFIG_Model_Settings!$B$173+_CONFIG_Model_Settings!$B$174*(N($AH130)-1)))))</f>
        <v>100</v>
      </c>
    </row>
    <row r="131" spans="1:44" ht="72" customHeight="1">
      <c r="A131" s="9" t="s">
        <v>1598</v>
      </c>
      <c r="B131" s="9" t="s">
        <v>1551</v>
      </c>
      <c r="C131" s="9" t="s">
        <v>1568</v>
      </c>
      <c r="D131" s="9" t="s">
        <v>3684</v>
      </c>
      <c r="E131" s="9" t="s">
        <v>1599</v>
      </c>
      <c r="F131" s="9" t="s">
        <v>6375</v>
      </c>
      <c r="G131" s="9" t="s">
        <v>6376</v>
      </c>
      <c r="H131" s="9" t="s">
        <v>6377</v>
      </c>
      <c r="I131" s="9" t="s">
        <v>6378</v>
      </c>
      <c r="J131" s="9" t="s">
        <v>6379</v>
      </c>
      <c r="K131" s="9" t="s">
        <v>6380</v>
      </c>
      <c r="L131" s="9" t="s">
        <v>6381</v>
      </c>
      <c r="M131" s="9" t="s">
        <v>6382</v>
      </c>
      <c r="N131" s="9" t="s">
        <v>6383</v>
      </c>
      <c r="O131" s="9" t="s">
        <v>6384</v>
      </c>
      <c r="P131" s="9" t="s">
        <v>6385</v>
      </c>
      <c r="Q131" s="9" t="s">
        <v>6386</v>
      </c>
      <c r="R131" s="9" t="s">
        <v>4589</v>
      </c>
      <c r="S131" s="9" t="s">
        <v>6387</v>
      </c>
      <c r="T131" s="9">
        <v>3</v>
      </c>
      <c r="U131" s="9">
        <v>3</v>
      </c>
      <c r="V131" s="9">
        <v>2</v>
      </c>
      <c r="W131" s="9">
        <v>2</v>
      </c>
      <c r="X131" s="9">
        <v>1</v>
      </c>
      <c r="Y131" s="9">
        <v>1</v>
      </c>
      <c r="Z131" s="9" t="s">
        <v>1556</v>
      </c>
      <c r="AA131" s="9" t="s">
        <v>1600</v>
      </c>
      <c r="AB131" s="9" t="s">
        <v>1564</v>
      </c>
      <c r="AC131" s="9" t="s">
        <v>6289</v>
      </c>
      <c r="AD131" s="9" t="s">
        <v>6388</v>
      </c>
      <c r="AE131" t="str">
        <f t="shared" si="3"/>
        <v>Slow</v>
      </c>
      <c r="AF131">
        <f>IF($A131="","",IFERROR(VLOOKUP($B131,_CONFIG_Risk_Calibration!$A$5:$H$21,2,FALSE),3))</f>
        <v>3</v>
      </c>
      <c r="AG131">
        <f>IF($A131="","",IFERROR(VLOOKUP($B131,_CONFIG_Risk_Calibration!$A$5:$H$21,3,FALSE),0))</f>
        <v>0</v>
      </c>
      <c r="AH131">
        <f>IF($A131="","",IFERROR(VLOOKUP($B131,_CONFIG_Risk_Calibration!$A$5:$H$21,4,FALSE),3))</f>
        <v>3</v>
      </c>
      <c r="AI131">
        <f>IF($A131="","",IFERROR(VLOOKUP($B131,_CONFIG_Risk_Calibration!$A$5:$H$21,5,FALSE),3))</f>
        <v>4</v>
      </c>
      <c r="AJ131" t="str">
        <f>IF($A131="","",IFERROR(VLOOKUP($B131,_CONFIG_Risk_Calibration!$A$5:$H$21,6,FALSE),"No"))</f>
        <v>Yes</v>
      </c>
      <c r="AK131">
        <f>IF($A131="","",IFERROR(VLOOKUP($B131,_CONFIG_Risk_Calibration!$A$5:$H$21,7,FALSE),1))</f>
        <v>5</v>
      </c>
      <c r="AL131" t="str">
        <f>IF($A131="","",IFERROR(VLOOKUP($B131,_CONFIG_Risk_Calibration!$A$5:$H$21,8,FALSE),""))</f>
        <v>Clean template default. Calibrate with real exposure, incident history, evidence quality and domain-owner validation.</v>
      </c>
      <c r="AM131">
        <f>IF($A131="","",IFERROR(INDEX(_DATA_Assessment_Model!$AL$1:$AL$428,MATCH($A131,_DATA_Assessment_Model!$A$1:$A$428,0)),""))</f>
        <v>0</v>
      </c>
      <c r="AN131">
        <f t="shared" si="4"/>
        <v>1</v>
      </c>
      <c r="AO131">
        <f>IF($A131="","",_CONFIG_Model_Settings!$B$172*MAX(N($AK131),(N($AF131)+N($AI131))/2))</f>
        <v>100</v>
      </c>
      <c r="AP131">
        <f t="shared" si="5"/>
        <v>100</v>
      </c>
      <c r="AQ131">
        <f>IF($AP131="","",MAX(0,$AP131*(1-(_CONFIG_Model_Settings!$B$173+_CONFIG_Model_Settings!$B$174*(N($AH131)-1)))))</f>
        <v>65</v>
      </c>
      <c r="AR131">
        <f>IF($AP131="","",MIN(100,$AP131*(1+(_CONFIG_Model_Settings!$B$173+_CONFIG_Model_Settings!$B$174*(N($AH131)-1)))))</f>
        <v>100</v>
      </c>
    </row>
    <row r="132" spans="1:44" ht="72" customHeight="1">
      <c r="A132" s="9" t="s">
        <v>1601</v>
      </c>
      <c r="B132" s="9" t="s">
        <v>1551</v>
      </c>
      <c r="C132" s="9" t="s">
        <v>1568</v>
      </c>
      <c r="D132" s="9" t="s">
        <v>3684</v>
      </c>
      <c r="E132" s="9" t="s">
        <v>1602</v>
      </c>
      <c r="F132" s="9" t="s">
        <v>6389</v>
      </c>
      <c r="G132" s="9" t="s">
        <v>6390</v>
      </c>
      <c r="H132" s="9" t="s">
        <v>6391</v>
      </c>
      <c r="I132" s="9" t="s">
        <v>6392</v>
      </c>
      <c r="J132" s="9" t="s">
        <v>6393</v>
      </c>
      <c r="K132" s="9" t="s">
        <v>6394</v>
      </c>
      <c r="L132" s="9" t="s">
        <v>6395</v>
      </c>
      <c r="M132" s="9" t="s">
        <v>6396</v>
      </c>
      <c r="N132" s="9" t="s">
        <v>6397</v>
      </c>
      <c r="O132" s="9" t="s">
        <v>6398</v>
      </c>
      <c r="P132" s="9" t="s">
        <v>6399</v>
      </c>
      <c r="Q132" s="9" t="s">
        <v>6400</v>
      </c>
      <c r="R132" s="9" t="s">
        <v>4589</v>
      </c>
      <c r="S132" s="9" t="s">
        <v>6401</v>
      </c>
      <c r="T132" s="9">
        <v>3</v>
      </c>
      <c r="U132" s="9">
        <v>3</v>
      </c>
      <c r="V132" s="9">
        <v>2</v>
      </c>
      <c r="W132" s="9">
        <v>2</v>
      </c>
      <c r="X132" s="9">
        <v>1</v>
      </c>
      <c r="Y132" s="9">
        <v>1</v>
      </c>
      <c r="Z132" s="9" t="s">
        <v>1556</v>
      </c>
      <c r="AA132" s="9" t="s">
        <v>1603</v>
      </c>
      <c r="AB132" s="9" t="s">
        <v>1564</v>
      </c>
      <c r="AC132" s="9" t="s">
        <v>6289</v>
      </c>
      <c r="AD132" s="9" t="s">
        <v>6402</v>
      </c>
      <c r="AE132" t="str">
        <f t="shared" si="3"/>
        <v>Slow</v>
      </c>
      <c r="AF132">
        <f>IF($A132="","",IFERROR(VLOOKUP($B132,_CONFIG_Risk_Calibration!$A$5:$H$21,2,FALSE),3))</f>
        <v>3</v>
      </c>
      <c r="AG132">
        <f>IF($A132="","",IFERROR(VLOOKUP($B132,_CONFIG_Risk_Calibration!$A$5:$H$21,3,FALSE),0))</f>
        <v>0</v>
      </c>
      <c r="AH132">
        <f>IF($A132="","",IFERROR(VLOOKUP($B132,_CONFIG_Risk_Calibration!$A$5:$H$21,4,FALSE),3))</f>
        <v>3</v>
      </c>
      <c r="AI132">
        <f>IF($A132="","",IFERROR(VLOOKUP($B132,_CONFIG_Risk_Calibration!$A$5:$H$21,5,FALSE),3))</f>
        <v>4</v>
      </c>
      <c r="AJ132" t="str">
        <f>IF($A132="","",IFERROR(VLOOKUP($B132,_CONFIG_Risk_Calibration!$A$5:$H$21,6,FALSE),"No"))</f>
        <v>Yes</v>
      </c>
      <c r="AK132">
        <f>IF($A132="","",IFERROR(VLOOKUP($B132,_CONFIG_Risk_Calibration!$A$5:$H$21,7,FALSE),1))</f>
        <v>5</v>
      </c>
      <c r="AL132" t="str">
        <f>IF($A132="","",IFERROR(VLOOKUP($B132,_CONFIG_Risk_Calibration!$A$5:$H$21,8,FALSE),""))</f>
        <v>Clean template default. Calibrate with real exposure, incident history, evidence quality and domain-owner validation.</v>
      </c>
      <c r="AM132">
        <f>IF($A132="","",IFERROR(INDEX(_DATA_Assessment_Model!$AL$1:$AL$428,MATCH($A132,_DATA_Assessment_Model!$A$1:$A$428,0)),""))</f>
        <v>0</v>
      </c>
      <c r="AN132">
        <f t="shared" si="4"/>
        <v>1</v>
      </c>
      <c r="AO132">
        <f>IF($A132="","",_CONFIG_Model_Settings!$B$172*MAX(N($AK132),(N($AF132)+N($AI132))/2))</f>
        <v>100</v>
      </c>
      <c r="AP132">
        <f t="shared" si="5"/>
        <v>100</v>
      </c>
      <c r="AQ132">
        <f>IF($AP132="","",MAX(0,$AP132*(1-(_CONFIG_Model_Settings!$B$173+_CONFIG_Model_Settings!$B$174*(N($AH132)-1)))))</f>
        <v>65</v>
      </c>
      <c r="AR132">
        <f>IF($AP132="","",MIN(100,$AP132*(1+(_CONFIG_Model_Settings!$B$173+_CONFIG_Model_Settings!$B$174*(N($AH132)-1)))))</f>
        <v>100</v>
      </c>
    </row>
    <row r="133" spans="1:44" ht="72" customHeight="1">
      <c r="A133" s="9" t="s">
        <v>1610</v>
      </c>
      <c r="B133" s="9" t="s">
        <v>1551</v>
      </c>
      <c r="C133" s="9" t="s">
        <v>1568</v>
      </c>
      <c r="D133" s="9" t="s">
        <v>3684</v>
      </c>
      <c r="E133" s="9" t="s">
        <v>1611</v>
      </c>
      <c r="F133" s="9" t="s">
        <v>6403</v>
      </c>
      <c r="G133" s="9" t="s">
        <v>6404</v>
      </c>
      <c r="H133" s="9" t="s">
        <v>6405</v>
      </c>
      <c r="I133" s="9" t="s">
        <v>6406</v>
      </c>
      <c r="J133" s="9" t="s">
        <v>6407</v>
      </c>
      <c r="K133" s="9" t="s">
        <v>6408</v>
      </c>
      <c r="L133" s="9" t="s">
        <v>6409</v>
      </c>
      <c r="M133" s="9" t="s">
        <v>6410</v>
      </c>
      <c r="N133" s="9" t="s">
        <v>6411</v>
      </c>
      <c r="O133" s="9" t="s">
        <v>6412</v>
      </c>
      <c r="P133" s="9" t="s">
        <v>6413</v>
      </c>
      <c r="Q133" s="9" t="s">
        <v>6414</v>
      </c>
      <c r="R133" s="9" t="s">
        <v>4589</v>
      </c>
      <c r="S133" s="9" t="s">
        <v>6415</v>
      </c>
      <c r="T133" s="9">
        <v>3</v>
      </c>
      <c r="U133" s="9">
        <v>3</v>
      </c>
      <c r="V133" s="9">
        <v>2</v>
      </c>
      <c r="W133" s="9">
        <v>2</v>
      </c>
      <c r="X133" s="9">
        <v>1</v>
      </c>
      <c r="Y133" s="9">
        <v>1</v>
      </c>
      <c r="Z133" s="9" t="s">
        <v>1556</v>
      </c>
      <c r="AA133" s="9" t="s">
        <v>1612</v>
      </c>
      <c r="AB133" s="9" t="s">
        <v>1564</v>
      </c>
      <c r="AC133" s="9" t="s">
        <v>6289</v>
      </c>
      <c r="AD133" s="9" t="s">
        <v>6416</v>
      </c>
      <c r="AE133" t="str">
        <f t="shared" ref="AE133:AE196" si="6">IF($A133="","",IF(OR(ISNUMBER(SEARCH("cyber",$D133)),ISNUMBER(SEARCH("security",$D133)),ISNUMBER(SEARCH("safety",$D133)),ISNUMBER(SEARCH("liquidity",$D133)),ISNUMBER(SEARCH("cash",$D133)),ISNUMBER(SEARCH("continuity",$D133)),ISNUMBER(SEARCH("infrastructure",$D133)),ISNUMBER(SEARCH("outage",$D133))),"Fast",IF(OR(ISNUMBER(SEARCH("compliance",$D133)),ISNUMBER(SEARCH("regulat",$D133)),ISNUMBER(SEARCH("data",$D133)),ISNUMBER(SEARCH("talent",$D133)),ISNUMBER(SEARCH("knowledge",$D133)),ISNUMBER(SEARCH("portfolio",$D133)),ISNUMBER(SEARCH("quality",$D133))),"Slow","Medium")))</f>
        <v>Slow</v>
      </c>
      <c r="AF133">
        <f>IF($A133="","",IFERROR(VLOOKUP($B133,_CONFIG_Risk_Calibration!$A$5:$H$21,2,FALSE),3))</f>
        <v>3</v>
      </c>
      <c r="AG133">
        <f>IF($A133="","",IFERROR(VLOOKUP($B133,_CONFIG_Risk_Calibration!$A$5:$H$21,3,FALSE),0))</f>
        <v>0</v>
      </c>
      <c r="AH133">
        <f>IF($A133="","",IFERROR(VLOOKUP($B133,_CONFIG_Risk_Calibration!$A$5:$H$21,4,FALSE),3))</f>
        <v>3</v>
      </c>
      <c r="AI133">
        <f>IF($A133="","",IFERROR(VLOOKUP($B133,_CONFIG_Risk_Calibration!$A$5:$H$21,5,FALSE),3))</f>
        <v>4</v>
      </c>
      <c r="AJ133" t="str">
        <f>IF($A133="","",IFERROR(VLOOKUP($B133,_CONFIG_Risk_Calibration!$A$5:$H$21,6,FALSE),"No"))</f>
        <v>Yes</v>
      </c>
      <c r="AK133">
        <f>IF($A133="","",IFERROR(VLOOKUP($B133,_CONFIG_Risk_Calibration!$A$5:$H$21,7,FALSE),1))</f>
        <v>5</v>
      </c>
      <c r="AL133" t="str">
        <f>IF($A133="","",IFERROR(VLOOKUP($B133,_CONFIG_Risk_Calibration!$A$5:$H$21,8,FALSE),""))</f>
        <v>Clean template default. Calibrate with real exposure, incident history, evidence quality and domain-owner validation.</v>
      </c>
      <c r="AM133">
        <f>IF($A133="","",IFERROR(INDEX(_DATA_Assessment_Model!$AL$1:$AL$428,MATCH($A133,_DATA_Assessment_Model!$A$1:$A$428,0)),""))</f>
        <v>0</v>
      </c>
      <c r="AN133">
        <f t="shared" ref="AN133:AN196" si="7">IF($AM133="","",MAX(0,(5-$AM133)/5))</f>
        <v>1</v>
      </c>
      <c r="AO133">
        <f>IF($A133="","",_CONFIG_Model_Settings!$B$172*MAX(N($AK133),(N($AF133)+N($AI133))/2))</f>
        <v>100</v>
      </c>
      <c r="AP133">
        <f t="shared" ref="AP133:AP196" si="8">IF(OR($A133="",$AN133=""),"",$AN133*$AO133)</f>
        <v>100</v>
      </c>
      <c r="AQ133">
        <f>IF($AP133="","",MAX(0,$AP133*(1-(_CONFIG_Model_Settings!$B$173+_CONFIG_Model_Settings!$B$174*(N($AH133)-1)))))</f>
        <v>65</v>
      </c>
      <c r="AR133">
        <f>IF($AP133="","",MIN(100,$AP133*(1+(_CONFIG_Model_Settings!$B$173+_CONFIG_Model_Settings!$B$174*(N($AH133)-1)))))</f>
        <v>100</v>
      </c>
    </row>
    <row r="134" spans="1:44" ht="72" customHeight="1">
      <c r="A134" s="9" t="s">
        <v>1613</v>
      </c>
      <c r="B134" s="9" t="s">
        <v>1551</v>
      </c>
      <c r="C134" s="9" t="s">
        <v>1568</v>
      </c>
      <c r="D134" s="9" t="s">
        <v>3684</v>
      </c>
      <c r="E134" s="9" t="s">
        <v>1614</v>
      </c>
      <c r="F134" s="9" t="s">
        <v>6417</v>
      </c>
      <c r="G134" s="9" t="s">
        <v>6418</v>
      </c>
      <c r="H134" s="9" t="s">
        <v>6419</v>
      </c>
      <c r="I134" s="9" t="s">
        <v>6420</v>
      </c>
      <c r="J134" s="9" t="s">
        <v>6421</v>
      </c>
      <c r="K134" s="9" t="s">
        <v>6422</v>
      </c>
      <c r="L134" s="9" t="s">
        <v>6423</v>
      </c>
      <c r="M134" s="9" t="s">
        <v>6424</v>
      </c>
      <c r="N134" s="9" t="s">
        <v>6425</v>
      </c>
      <c r="O134" s="9" t="s">
        <v>6426</v>
      </c>
      <c r="P134" s="9" t="s">
        <v>6427</v>
      </c>
      <c r="Q134" s="9" t="s">
        <v>6428</v>
      </c>
      <c r="R134" s="9" t="s">
        <v>4589</v>
      </c>
      <c r="S134" s="9" t="s">
        <v>6429</v>
      </c>
      <c r="T134" s="9">
        <v>3</v>
      </c>
      <c r="U134" s="9">
        <v>3</v>
      </c>
      <c r="V134" s="9">
        <v>2</v>
      </c>
      <c r="W134" s="9">
        <v>2</v>
      </c>
      <c r="X134" s="9">
        <v>1</v>
      </c>
      <c r="Y134" s="9">
        <v>1</v>
      </c>
      <c r="Z134" s="9" t="s">
        <v>1556</v>
      </c>
      <c r="AA134" s="9" t="s">
        <v>1615</v>
      </c>
      <c r="AB134" s="9" t="s">
        <v>1564</v>
      </c>
      <c r="AC134" s="9" t="s">
        <v>6289</v>
      </c>
      <c r="AD134" s="9" t="s">
        <v>6430</v>
      </c>
      <c r="AE134" t="str">
        <f t="shared" si="6"/>
        <v>Slow</v>
      </c>
      <c r="AF134">
        <f>IF($A134="","",IFERROR(VLOOKUP($B134,_CONFIG_Risk_Calibration!$A$5:$H$21,2,FALSE),3))</f>
        <v>3</v>
      </c>
      <c r="AG134">
        <f>IF($A134="","",IFERROR(VLOOKUP($B134,_CONFIG_Risk_Calibration!$A$5:$H$21,3,FALSE),0))</f>
        <v>0</v>
      </c>
      <c r="AH134">
        <f>IF($A134="","",IFERROR(VLOOKUP($B134,_CONFIG_Risk_Calibration!$A$5:$H$21,4,FALSE),3))</f>
        <v>3</v>
      </c>
      <c r="AI134">
        <f>IF($A134="","",IFERROR(VLOOKUP($B134,_CONFIG_Risk_Calibration!$A$5:$H$21,5,FALSE),3))</f>
        <v>4</v>
      </c>
      <c r="AJ134" t="str">
        <f>IF($A134="","",IFERROR(VLOOKUP($B134,_CONFIG_Risk_Calibration!$A$5:$H$21,6,FALSE),"No"))</f>
        <v>Yes</v>
      </c>
      <c r="AK134">
        <f>IF($A134="","",IFERROR(VLOOKUP($B134,_CONFIG_Risk_Calibration!$A$5:$H$21,7,FALSE),1))</f>
        <v>5</v>
      </c>
      <c r="AL134" t="str">
        <f>IF($A134="","",IFERROR(VLOOKUP($B134,_CONFIG_Risk_Calibration!$A$5:$H$21,8,FALSE),""))</f>
        <v>Clean template default. Calibrate with real exposure, incident history, evidence quality and domain-owner validation.</v>
      </c>
      <c r="AM134">
        <f>IF($A134="","",IFERROR(INDEX(_DATA_Assessment_Model!$AL$1:$AL$428,MATCH($A134,_DATA_Assessment_Model!$A$1:$A$428,0)),""))</f>
        <v>0</v>
      </c>
      <c r="AN134">
        <f t="shared" si="7"/>
        <v>1</v>
      </c>
      <c r="AO134">
        <f>IF($A134="","",_CONFIG_Model_Settings!$B$172*MAX(N($AK134),(N($AF134)+N($AI134))/2))</f>
        <v>100</v>
      </c>
      <c r="AP134">
        <f t="shared" si="8"/>
        <v>100</v>
      </c>
      <c r="AQ134">
        <f>IF($AP134="","",MAX(0,$AP134*(1-(_CONFIG_Model_Settings!$B$173+_CONFIG_Model_Settings!$B$174*(N($AH134)-1)))))</f>
        <v>65</v>
      </c>
      <c r="AR134">
        <f>IF($AP134="","",MIN(100,$AP134*(1+(_CONFIG_Model_Settings!$B$173+_CONFIG_Model_Settings!$B$174*(N($AH134)-1)))))</f>
        <v>100</v>
      </c>
    </row>
    <row r="135" spans="1:44" ht="72" customHeight="1">
      <c r="A135" s="9" t="s">
        <v>1616</v>
      </c>
      <c r="B135" s="9" t="s">
        <v>1551</v>
      </c>
      <c r="C135" s="9" t="s">
        <v>1568</v>
      </c>
      <c r="D135" s="9" t="s">
        <v>3684</v>
      </c>
      <c r="E135" s="9" t="s">
        <v>1617</v>
      </c>
      <c r="F135" s="9" t="s">
        <v>6431</v>
      </c>
      <c r="G135" s="9" t="s">
        <v>6432</v>
      </c>
      <c r="H135" s="9" t="s">
        <v>6433</v>
      </c>
      <c r="I135" s="9" t="s">
        <v>6434</v>
      </c>
      <c r="J135" s="9" t="s">
        <v>6435</v>
      </c>
      <c r="K135" s="9" t="s">
        <v>6436</v>
      </c>
      <c r="L135" s="9" t="s">
        <v>6437</v>
      </c>
      <c r="M135" s="9" t="s">
        <v>6438</v>
      </c>
      <c r="N135" s="9" t="s">
        <v>6439</v>
      </c>
      <c r="O135" s="9" t="s">
        <v>6440</v>
      </c>
      <c r="P135" s="9" t="s">
        <v>6441</v>
      </c>
      <c r="Q135" s="9" t="s">
        <v>6442</v>
      </c>
      <c r="R135" s="9" t="s">
        <v>4589</v>
      </c>
      <c r="S135" s="9" t="s">
        <v>6443</v>
      </c>
      <c r="T135" s="9">
        <v>3</v>
      </c>
      <c r="U135" s="9">
        <v>3</v>
      </c>
      <c r="V135" s="9">
        <v>2</v>
      </c>
      <c r="W135" s="9">
        <v>2</v>
      </c>
      <c r="X135" s="9">
        <v>1</v>
      </c>
      <c r="Y135" s="9">
        <v>1</v>
      </c>
      <c r="Z135" s="9" t="s">
        <v>1556</v>
      </c>
      <c r="AA135" s="9" t="s">
        <v>1618</v>
      </c>
      <c r="AB135" s="9" t="s">
        <v>1564</v>
      </c>
      <c r="AC135" s="9" t="s">
        <v>6289</v>
      </c>
      <c r="AD135" s="9" t="s">
        <v>6444</v>
      </c>
      <c r="AE135" t="str">
        <f t="shared" si="6"/>
        <v>Slow</v>
      </c>
      <c r="AF135">
        <f>IF($A135="","",IFERROR(VLOOKUP($B135,_CONFIG_Risk_Calibration!$A$5:$H$21,2,FALSE),3))</f>
        <v>3</v>
      </c>
      <c r="AG135">
        <f>IF($A135="","",IFERROR(VLOOKUP($B135,_CONFIG_Risk_Calibration!$A$5:$H$21,3,FALSE),0))</f>
        <v>0</v>
      </c>
      <c r="AH135">
        <f>IF($A135="","",IFERROR(VLOOKUP($B135,_CONFIG_Risk_Calibration!$A$5:$H$21,4,FALSE),3))</f>
        <v>3</v>
      </c>
      <c r="AI135">
        <f>IF($A135="","",IFERROR(VLOOKUP($B135,_CONFIG_Risk_Calibration!$A$5:$H$21,5,FALSE),3))</f>
        <v>4</v>
      </c>
      <c r="AJ135" t="str">
        <f>IF($A135="","",IFERROR(VLOOKUP($B135,_CONFIG_Risk_Calibration!$A$5:$H$21,6,FALSE),"No"))</f>
        <v>Yes</v>
      </c>
      <c r="AK135">
        <f>IF($A135="","",IFERROR(VLOOKUP($B135,_CONFIG_Risk_Calibration!$A$5:$H$21,7,FALSE),1))</f>
        <v>5</v>
      </c>
      <c r="AL135" t="str">
        <f>IF($A135="","",IFERROR(VLOOKUP($B135,_CONFIG_Risk_Calibration!$A$5:$H$21,8,FALSE),""))</f>
        <v>Clean template default. Calibrate with real exposure, incident history, evidence quality and domain-owner validation.</v>
      </c>
      <c r="AM135">
        <f>IF($A135="","",IFERROR(INDEX(_DATA_Assessment_Model!$AL$1:$AL$428,MATCH($A135,_DATA_Assessment_Model!$A$1:$A$428,0)),""))</f>
        <v>0</v>
      </c>
      <c r="AN135">
        <f t="shared" si="7"/>
        <v>1</v>
      </c>
      <c r="AO135">
        <f>IF($A135="","",_CONFIG_Model_Settings!$B$172*MAX(N($AK135),(N($AF135)+N($AI135))/2))</f>
        <v>100</v>
      </c>
      <c r="AP135">
        <f t="shared" si="8"/>
        <v>100</v>
      </c>
      <c r="AQ135">
        <f>IF($AP135="","",MAX(0,$AP135*(1-(_CONFIG_Model_Settings!$B$173+_CONFIG_Model_Settings!$B$174*(N($AH135)-1)))))</f>
        <v>65</v>
      </c>
      <c r="AR135">
        <f>IF($AP135="","",MIN(100,$AP135*(1+(_CONFIG_Model_Settings!$B$173+_CONFIG_Model_Settings!$B$174*(N($AH135)-1)))))</f>
        <v>100</v>
      </c>
    </row>
    <row r="136" spans="1:44" ht="72" customHeight="1">
      <c r="A136" s="9" t="s">
        <v>1619</v>
      </c>
      <c r="B136" s="9" t="s">
        <v>1551</v>
      </c>
      <c r="C136" s="9" t="s">
        <v>1572</v>
      </c>
      <c r="D136" s="9" t="s">
        <v>3684</v>
      </c>
      <c r="E136" s="9" t="s">
        <v>1620</v>
      </c>
      <c r="F136" s="9" t="s">
        <v>6445</v>
      </c>
      <c r="G136" s="9" t="s">
        <v>6446</v>
      </c>
      <c r="H136" s="9" t="s">
        <v>6447</v>
      </c>
      <c r="I136" s="9" t="s">
        <v>6448</v>
      </c>
      <c r="J136" s="9" t="s">
        <v>6449</v>
      </c>
      <c r="K136" s="9" t="s">
        <v>6450</v>
      </c>
      <c r="L136" s="9" t="s">
        <v>6451</v>
      </c>
      <c r="M136" s="9" t="s">
        <v>6452</v>
      </c>
      <c r="N136" s="9" t="s">
        <v>6453</v>
      </c>
      <c r="O136" s="9" t="s">
        <v>6454</v>
      </c>
      <c r="P136" s="9" t="s">
        <v>6455</v>
      </c>
      <c r="Q136" s="9" t="s">
        <v>6456</v>
      </c>
      <c r="R136" s="9" t="s">
        <v>4589</v>
      </c>
      <c r="S136" s="9" t="s">
        <v>6457</v>
      </c>
      <c r="T136" s="9">
        <v>3</v>
      </c>
      <c r="U136" s="9">
        <v>3</v>
      </c>
      <c r="V136" s="9">
        <v>2</v>
      </c>
      <c r="W136" s="9">
        <v>2</v>
      </c>
      <c r="X136" s="9">
        <v>1</v>
      </c>
      <c r="Y136" s="9">
        <v>1</v>
      </c>
      <c r="Z136" s="9" t="s">
        <v>1556</v>
      </c>
      <c r="AA136" s="9" t="s">
        <v>1621</v>
      </c>
      <c r="AB136" s="9" t="s">
        <v>1564</v>
      </c>
      <c r="AC136" s="9" t="s">
        <v>6289</v>
      </c>
      <c r="AD136" s="9" t="s">
        <v>6458</v>
      </c>
      <c r="AE136" t="str">
        <f t="shared" si="6"/>
        <v>Slow</v>
      </c>
      <c r="AF136">
        <f>IF($A136="","",IFERROR(VLOOKUP($B136,_CONFIG_Risk_Calibration!$A$5:$H$21,2,FALSE),3))</f>
        <v>3</v>
      </c>
      <c r="AG136">
        <f>IF($A136="","",IFERROR(VLOOKUP($B136,_CONFIG_Risk_Calibration!$A$5:$H$21,3,FALSE),0))</f>
        <v>0</v>
      </c>
      <c r="AH136">
        <f>IF($A136="","",IFERROR(VLOOKUP($B136,_CONFIG_Risk_Calibration!$A$5:$H$21,4,FALSE),3))</f>
        <v>3</v>
      </c>
      <c r="AI136">
        <f>IF($A136="","",IFERROR(VLOOKUP($B136,_CONFIG_Risk_Calibration!$A$5:$H$21,5,FALSE),3))</f>
        <v>4</v>
      </c>
      <c r="AJ136" t="str">
        <f>IF($A136="","",IFERROR(VLOOKUP($B136,_CONFIG_Risk_Calibration!$A$5:$H$21,6,FALSE),"No"))</f>
        <v>Yes</v>
      </c>
      <c r="AK136">
        <f>IF($A136="","",IFERROR(VLOOKUP($B136,_CONFIG_Risk_Calibration!$A$5:$H$21,7,FALSE),1))</f>
        <v>5</v>
      </c>
      <c r="AL136" t="str">
        <f>IF($A136="","",IFERROR(VLOOKUP($B136,_CONFIG_Risk_Calibration!$A$5:$H$21,8,FALSE),""))</f>
        <v>Clean template default. Calibrate with real exposure, incident history, evidence quality and domain-owner validation.</v>
      </c>
      <c r="AM136">
        <f>IF($A136="","",IFERROR(INDEX(_DATA_Assessment_Model!$AL$1:$AL$428,MATCH($A136,_DATA_Assessment_Model!$A$1:$A$428,0)),""))</f>
        <v>0</v>
      </c>
      <c r="AN136">
        <f t="shared" si="7"/>
        <v>1</v>
      </c>
      <c r="AO136">
        <f>IF($A136="","",_CONFIG_Model_Settings!$B$172*MAX(N($AK136),(N($AF136)+N($AI136))/2))</f>
        <v>100</v>
      </c>
      <c r="AP136">
        <f t="shared" si="8"/>
        <v>100</v>
      </c>
      <c r="AQ136">
        <f>IF($AP136="","",MAX(0,$AP136*(1-(_CONFIG_Model_Settings!$B$173+_CONFIG_Model_Settings!$B$174*(N($AH136)-1)))))</f>
        <v>65</v>
      </c>
      <c r="AR136">
        <f>IF($AP136="","",MIN(100,$AP136*(1+(_CONFIG_Model_Settings!$B$173+_CONFIG_Model_Settings!$B$174*(N($AH136)-1)))))</f>
        <v>100</v>
      </c>
    </row>
    <row r="137" spans="1:44" ht="72" customHeight="1">
      <c r="A137" s="9" t="s">
        <v>1622</v>
      </c>
      <c r="B137" s="9" t="s">
        <v>1551</v>
      </c>
      <c r="C137" s="9" t="s">
        <v>1572</v>
      </c>
      <c r="D137" s="9" t="s">
        <v>3684</v>
      </c>
      <c r="E137" s="9" t="s">
        <v>1623</v>
      </c>
      <c r="F137" s="9" t="s">
        <v>6459</v>
      </c>
      <c r="G137" s="9" t="s">
        <v>6460</v>
      </c>
      <c r="H137" s="9" t="s">
        <v>6461</v>
      </c>
      <c r="I137" s="9" t="s">
        <v>6462</v>
      </c>
      <c r="J137" s="9" t="s">
        <v>6463</v>
      </c>
      <c r="K137" s="9" t="s">
        <v>6464</v>
      </c>
      <c r="L137" s="9" t="s">
        <v>6465</v>
      </c>
      <c r="M137" s="9" t="s">
        <v>6466</v>
      </c>
      <c r="N137" s="9" t="s">
        <v>6467</v>
      </c>
      <c r="O137" s="9" t="s">
        <v>6468</v>
      </c>
      <c r="P137" s="9" t="s">
        <v>6469</v>
      </c>
      <c r="Q137" s="9" t="s">
        <v>6470</v>
      </c>
      <c r="R137" s="9" t="s">
        <v>4589</v>
      </c>
      <c r="S137" s="9" t="s">
        <v>6471</v>
      </c>
      <c r="T137" s="9">
        <v>3</v>
      </c>
      <c r="U137" s="9">
        <v>3</v>
      </c>
      <c r="V137" s="9">
        <v>2</v>
      </c>
      <c r="W137" s="9">
        <v>2</v>
      </c>
      <c r="X137" s="9">
        <v>1</v>
      </c>
      <c r="Y137" s="9">
        <v>1</v>
      </c>
      <c r="Z137" s="9" t="s">
        <v>1556</v>
      </c>
      <c r="AA137" s="9" t="s">
        <v>1624</v>
      </c>
      <c r="AB137" s="9" t="s">
        <v>1564</v>
      </c>
      <c r="AC137" s="9" t="s">
        <v>6289</v>
      </c>
      <c r="AD137" s="9" t="s">
        <v>6472</v>
      </c>
      <c r="AE137" t="str">
        <f t="shared" si="6"/>
        <v>Slow</v>
      </c>
      <c r="AF137">
        <f>IF($A137="","",IFERROR(VLOOKUP($B137,_CONFIG_Risk_Calibration!$A$5:$H$21,2,FALSE),3))</f>
        <v>3</v>
      </c>
      <c r="AG137">
        <f>IF($A137="","",IFERROR(VLOOKUP($B137,_CONFIG_Risk_Calibration!$A$5:$H$21,3,FALSE),0))</f>
        <v>0</v>
      </c>
      <c r="AH137">
        <f>IF($A137="","",IFERROR(VLOOKUP($B137,_CONFIG_Risk_Calibration!$A$5:$H$21,4,FALSE),3))</f>
        <v>3</v>
      </c>
      <c r="AI137">
        <f>IF($A137="","",IFERROR(VLOOKUP($B137,_CONFIG_Risk_Calibration!$A$5:$H$21,5,FALSE),3))</f>
        <v>4</v>
      </c>
      <c r="AJ137" t="str">
        <f>IF($A137="","",IFERROR(VLOOKUP($B137,_CONFIG_Risk_Calibration!$A$5:$H$21,6,FALSE),"No"))</f>
        <v>Yes</v>
      </c>
      <c r="AK137">
        <f>IF($A137="","",IFERROR(VLOOKUP($B137,_CONFIG_Risk_Calibration!$A$5:$H$21,7,FALSE),1))</f>
        <v>5</v>
      </c>
      <c r="AL137" t="str">
        <f>IF($A137="","",IFERROR(VLOOKUP($B137,_CONFIG_Risk_Calibration!$A$5:$H$21,8,FALSE),""))</f>
        <v>Clean template default. Calibrate with real exposure, incident history, evidence quality and domain-owner validation.</v>
      </c>
      <c r="AM137">
        <f>IF($A137="","",IFERROR(INDEX(_DATA_Assessment_Model!$AL$1:$AL$428,MATCH($A137,_DATA_Assessment_Model!$A$1:$A$428,0)),""))</f>
        <v>0</v>
      </c>
      <c r="AN137">
        <f t="shared" si="7"/>
        <v>1</v>
      </c>
      <c r="AO137">
        <f>IF($A137="","",_CONFIG_Model_Settings!$B$172*MAX(N($AK137),(N($AF137)+N($AI137))/2))</f>
        <v>100</v>
      </c>
      <c r="AP137">
        <f t="shared" si="8"/>
        <v>100</v>
      </c>
      <c r="AQ137">
        <f>IF($AP137="","",MAX(0,$AP137*(1-(_CONFIG_Model_Settings!$B$173+_CONFIG_Model_Settings!$B$174*(N($AH137)-1)))))</f>
        <v>65</v>
      </c>
      <c r="AR137">
        <f>IF($AP137="","",MIN(100,$AP137*(1+(_CONFIG_Model_Settings!$B$173+_CONFIG_Model_Settings!$B$174*(N($AH137)-1)))))</f>
        <v>100</v>
      </c>
    </row>
    <row r="138" spans="1:44" ht="72" customHeight="1">
      <c r="A138" s="9" t="s">
        <v>1631</v>
      </c>
      <c r="B138" s="9" t="s">
        <v>1551</v>
      </c>
      <c r="C138" s="9" t="s">
        <v>1572</v>
      </c>
      <c r="D138" s="9" t="s">
        <v>3684</v>
      </c>
      <c r="E138" s="9" t="s">
        <v>1632</v>
      </c>
      <c r="F138" s="9" t="s">
        <v>6473</v>
      </c>
      <c r="G138" s="9" t="s">
        <v>6474</v>
      </c>
      <c r="H138" s="9" t="s">
        <v>6475</v>
      </c>
      <c r="I138" s="9" t="s">
        <v>6476</v>
      </c>
      <c r="J138" s="9" t="s">
        <v>6477</v>
      </c>
      <c r="K138" s="9" t="s">
        <v>6478</v>
      </c>
      <c r="L138" s="9" t="s">
        <v>6479</v>
      </c>
      <c r="M138" s="9" t="s">
        <v>6480</v>
      </c>
      <c r="N138" s="9" t="s">
        <v>6481</v>
      </c>
      <c r="O138" s="9" t="s">
        <v>6482</v>
      </c>
      <c r="P138" s="9" t="s">
        <v>6483</v>
      </c>
      <c r="Q138" s="9" t="s">
        <v>6484</v>
      </c>
      <c r="R138" s="9" t="s">
        <v>4589</v>
      </c>
      <c r="S138" s="9" t="s">
        <v>6485</v>
      </c>
      <c r="T138" s="9">
        <v>3</v>
      </c>
      <c r="U138" s="9">
        <v>3</v>
      </c>
      <c r="V138" s="9">
        <v>2</v>
      </c>
      <c r="W138" s="9">
        <v>2</v>
      </c>
      <c r="X138" s="9">
        <v>1</v>
      </c>
      <c r="Y138" s="9">
        <v>1</v>
      </c>
      <c r="Z138" s="9" t="s">
        <v>1556</v>
      </c>
      <c r="AA138" s="9" t="s">
        <v>1633</v>
      </c>
      <c r="AB138" s="9" t="s">
        <v>1564</v>
      </c>
      <c r="AC138" s="9" t="s">
        <v>6289</v>
      </c>
      <c r="AD138" s="9" t="s">
        <v>6486</v>
      </c>
      <c r="AE138" t="str">
        <f t="shared" si="6"/>
        <v>Slow</v>
      </c>
      <c r="AF138">
        <f>IF($A138="","",IFERROR(VLOOKUP($B138,_CONFIG_Risk_Calibration!$A$5:$H$21,2,FALSE),3))</f>
        <v>3</v>
      </c>
      <c r="AG138">
        <f>IF($A138="","",IFERROR(VLOOKUP($B138,_CONFIG_Risk_Calibration!$A$5:$H$21,3,FALSE),0))</f>
        <v>0</v>
      </c>
      <c r="AH138">
        <f>IF($A138="","",IFERROR(VLOOKUP($B138,_CONFIG_Risk_Calibration!$A$5:$H$21,4,FALSE),3))</f>
        <v>3</v>
      </c>
      <c r="AI138">
        <f>IF($A138="","",IFERROR(VLOOKUP($B138,_CONFIG_Risk_Calibration!$A$5:$H$21,5,FALSE),3))</f>
        <v>4</v>
      </c>
      <c r="AJ138" t="str">
        <f>IF($A138="","",IFERROR(VLOOKUP($B138,_CONFIG_Risk_Calibration!$A$5:$H$21,6,FALSE),"No"))</f>
        <v>Yes</v>
      </c>
      <c r="AK138">
        <f>IF($A138="","",IFERROR(VLOOKUP($B138,_CONFIG_Risk_Calibration!$A$5:$H$21,7,FALSE),1))</f>
        <v>5</v>
      </c>
      <c r="AL138" t="str">
        <f>IF($A138="","",IFERROR(VLOOKUP($B138,_CONFIG_Risk_Calibration!$A$5:$H$21,8,FALSE),""))</f>
        <v>Clean template default. Calibrate with real exposure, incident history, evidence quality and domain-owner validation.</v>
      </c>
      <c r="AM138">
        <f>IF($A138="","",IFERROR(INDEX(_DATA_Assessment_Model!$AL$1:$AL$428,MATCH($A138,_DATA_Assessment_Model!$A$1:$A$428,0)),""))</f>
        <v>0</v>
      </c>
      <c r="AN138">
        <f t="shared" si="7"/>
        <v>1</v>
      </c>
      <c r="AO138">
        <f>IF($A138="","",_CONFIG_Model_Settings!$B$172*MAX(N($AK138),(N($AF138)+N($AI138))/2))</f>
        <v>100</v>
      </c>
      <c r="AP138">
        <f t="shared" si="8"/>
        <v>100</v>
      </c>
      <c r="AQ138">
        <f>IF($AP138="","",MAX(0,$AP138*(1-(_CONFIG_Model_Settings!$B$173+_CONFIG_Model_Settings!$B$174*(N($AH138)-1)))))</f>
        <v>65</v>
      </c>
      <c r="AR138">
        <f>IF($AP138="","",MIN(100,$AP138*(1+(_CONFIG_Model_Settings!$B$173+_CONFIG_Model_Settings!$B$174*(N($AH138)-1)))))</f>
        <v>100</v>
      </c>
    </row>
    <row r="139" spans="1:44" ht="84" customHeight="1">
      <c r="A139" s="9" t="s">
        <v>1634</v>
      </c>
      <c r="B139" s="9" t="s">
        <v>1551</v>
      </c>
      <c r="C139" s="9" t="s">
        <v>1572</v>
      </c>
      <c r="D139" s="9" t="s">
        <v>3684</v>
      </c>
      <c r="E139" s="9" t="s">
        <v>1635</v>
      </c>
      <c r="F139" s="9" t="s">
        <v>6487</v>
      </c>
      <c r="G139" s="9" t="s">
        <v>6488</v>
      </c>
      <c r="H139" s="9" t="s">
        <v>6489</v>
      </c>
      <c r="I139" s="9" t="s">
        <v>6490</v>
      </c>
      <c r="J139" s="9" t="s">
        <v>6491</v>
      </c>
      <c r="K139" s="9" t="s">
        <v>6492</v>
      </c>
      <c r="L139" s="9" t="s">
        <v>6493</v>
      </c>
      <c r="M139" s="9" t="s">
        <v>6494</v>
      </c>
      <c r="N139" s="9" t="s">
        <v>6495</v>
      </c>
      <c r="O139" s="9" t="s">
        <v>6496</v>
      </c>
      <c r="P139" s="9" t="s">
        <v>6497</v>
      </c>
      <c r="Q139" s="9" t="s">
        <v>6498</v>
      </c>
      <c r="R139" s="9" t="s">
        <v>4589</v>
      </c>
      <c r="S139" s="9" t="s">
        <v>6499</v>
      </c>
      <c r="T139" s="9">
        <v>3</v>
      </c>
      <c r="U139" s="9">
        <v>3</v>
      </c>
      <c r="V139" s="9">
        <v>2</v>
      </c>
      <c r="W139" s="9">
        <v>2</v>
      </c>
      <c r="X139" s="9">
        <v>1</v>
      </c>
      <c r="Y139" s="9">
        <v>1</v>
      </c>
      <c r="Z139" s="9" t="s">
        <v>1556</v>
      </c>
      <c r="AA139" s="9" t="s">
        <v>1636</v>
      </c>
      <c r="AB139" s="9" t="s">
        <v>1564</v>
      </c>
      <c r="AC139" s="9" t="s">
        <v>6289</v>
      </c>
      <c r="AD139" s="9" t="s">
        <v>6500</v>
      </c>
      <c r="AE139" t="str">
        <f t="shared" si="6"/>
        <v>Slow</v>
      </c>
      <c r="AF139">
        <f>IF($A139="","",IFERROR(VLOOKUP($B139,_CONFIG_Risk_Calibration!$A$5:$H$21,2,FALSE),3))</f>
        <v>3</v>
      </c>
      <c r="AG139">
        <f>IF($A139="","",IFERROR(VLOOKUP($B139,_CONFIG_Risk_Calibration!$A$5:$H$21,3,FALSE),0))</f>
        <v>0</v>
      </c>
      <c r="AH139">
        <f>IF($A139="","",IFERROR(VLOOKUP($B139,_CONFIG_Risk_Calibration!$A$5:$H$21,4,FALSE),3))</f>
        <v>3</v>
      </c>
      <c r="AI139">
        <f>IF($A139="","",IFERROR(VLOOKUP($B139,_CONFIG_Risk_Calibration!$A$5:$H$21,5,FALSE),3))</f>
        <v>4</v>
      </c>
      <c r="AJ139" t="str">
        <f>IF($A139="","",IFERROR(VLOOKUP($B139,_CONFIG_Risk_Calibration!$A$5:$H$21,6,FALSE),"No"))</f>
        <v>Yes</v>
      </c>
      <c r="AK139">
        <f>IF($A139="","",IFERROR(VLOOKUP($B139,_CONFIG_Risk_Calibration!$A$5:$H$21,7,FALSE),1))</f>
        <v>5</v>
      </c>
      <c r="AL139" t="str">
        <f>IF($A139="","",IFERROR(VLOOKUP($B139,_CONFIG_Risk_Calibration!$A$5:$H$21,8,FALSE),""))</f>
        <v>Clean template default. Calibrate with real exposure, incident history, evidence quality and domain-owner validation.</v>
      </c>
      <c r="AM139">
        <f>IF($A139="","",IFERROR(INDEX(_DATA_Assessment_Model!$AL$1:$AL$428,MATCH($A139,_DATA_Assessment_Model!$A$1:$A$428,0)),""))</f>
        <v>0</v>
      </c>
      <c r="AN139">
        <f t="shared" si="7"/>
        <v>1</v>
      </c>
      <c r="AO139">
        <f>IF($A139="","",_CONFIG_Model_Settings!$B$172*MAX(N($AK139),(N($AF139)+N($AI139))/2))</f>
        <v>100</v>
      </c>
      <c r="AP139">
        <f t="shared" si="8"/>
        <v>100</v>
      </c>
      <c r="AQ139">
        <f>IF($AP139="","",MAX(0,$AP139*(1-(_CONFIG_Model_Settings!$B$173+_CONFIG_Model_Settings!$B$174*(N($AH139)-1)))))</f>
        <v>65</v>
      </c>
      <c r="AR139">
        <f>IF($AP139="","",MIN(100,$AP139*(1+(_CONFIG_Model_Settings!$B$173+_CONFIG_Model_Settings!$B$174*(N($AH139)-1)))))</f>
        <v>100</v>
      </c>
    </row>
    <row r="140" spans="1:44" ht="72" customHeight="1">
      <c r="A140" s="9" t="s">
        <v>1637</v>
      </c>
      <c r="B140" s="9" t="s">
        <v>1551</v>
      </c>
      <c r="C140" s="9" t="s">
        <v>1572</v>
      </c>
      <c r="D140" s="9" t="s">
        <v>3684</v>
      </c>
      <c r="E140" s="9" t="s">
        <v>1638</v>
      </c>
      <c r="F140" s="9" t="s">
        <v>6501</v>
      </c>
      <c r="G140" s="9" t="s">
        <v>6502</v>
      </c>
      <c r="H140" s="9" t="s">
        <v>6503</v>
      </c>
      <c r="I140" s="9" t="s">
        <v>6504</v>
      </c>
      <c r="J140" s="9" t="s">
        <v>6505</v>
      </c>
      <c r="K140" s="9" t="s">
        <v>6506</v>
      </c>
      <c r="L140" s="9" t="s">
        <v>6507</v>
      </c>
      <c r="M140" s="9" t="s">
        <v>6508</v>
      </c>
      <c r="N140" s="9" t="s">
        <v>6509</v>
      </c>
      <c r="O140" s="9" t="s">
        <v>6510</v>
      </c>
      <c r="P140" s="9" t="s">
        <v>6511</v>
      </c>
      <c r="Q140" s="9" t="s">
        <v>6512</v>
      </c>
      <c r="R140" s="9" t="s">
        <v>4589</v>
      </c>
      <c r="S140" s="9" t="s">
        <v>6513</v>
      </c>
      <c r="T140" s="9">
        <v>3</v>
      </c>
      <c r="U140" s="9">
        <v>3</v>
      </c>
      <c r="V140" s="9">
        <v>2</v>
      </c>
      <c r="W140" s="9">
        <v>2</v>
      </c>
      <c r="X140" s="9">
        <v>1</v>
      </c>
      <c r="Y140" s="9">
        <v>1</v>
      </c>
      <c r="Z140" s="9" t="s">
        <v>1556</v>
      </c>
      <c r="AA140" s="9" t="s">
        <v>1639</v>
      </c>
      <c r="AB140" s="9" t="s">
        <v>1564</v>
      </c>
      <c r="AC140" s="9" t="s">
        <v>6289</v>
      </c>
      <c r="AD140" s="9" t="s">
        <v>6514</v>
      </c>
      <c r="AE140" t="str">
        <f t="shared" si="6"/>
        <v>Slow</v>
      </c>
      <c r="AF140">
        <f>IF($A140="","",IFERROR(VLOOKUP($B140,_CONFIG_Risk_Calibration!$A$5:$H$21,2,FALSE),3))</f>
        <v>3</v>
      </c>
      <c r="AG140">
        <f>IF($A140="","",IFERROR(VLOOKUP($B140,_CONFIG_Risk_Calibration!$A$5:$H$21,3,FALSE),0))</f>
        <v>0</v>
      </c>
      <c r="AH140">
        <f>IF($A140="","",IFERROR(VLOOKUP($B140,_CONFIG_Risk_Calibration!$A$5:$H$21,4,FALSE),3))</f>
        <v>3</v>
      </c>
      <c r="AI140">
        <f>IF($A140="","",IFERROR(VLOOKUP($B140,_CONFIG_Risk_Calibration!$A$5:$H$21,5,FALSE),3))</f>
        <v>4</v>
      </c>
      <c r="AJ140" t="str">
        <f>IF($A140="","",IFERROR(VLOOKUP($B140,_CONFIG_Risk_Calibration!$A$5:$H$21,6,FALSE),"No"))</f>
        <v>Yes</v>
      </c>
      <c r="AK140">
        <f>IF($A140="","",IFERROR(VLOOKUP($B140,_CONFIG_Risk_Calibration!$A$5:$H$21,7,FALSE),1))</f>
        <v>5</v>
      </c>
      <c r="AL140" t="str">
        <f>IF($A140="","",IFERROR(VLOOKUP($B140,_CONFIG_Risk_Calibration!$A$5:$H$21,8,FALSE),""))</f>
        <v>Clean template default. Calibrate with real exposure, incident history, evidence quality and domain-owner validation.</v>
      </c>
      <c r="AM140">
        <f>IF($A140="","",IFERROR(INDEX(_DATA_Assessment_Model!$AL$1:$AL$428,MATCH($A140,_DATA_Assessment_Model!$A$1:$A$428,0)),""))</f>
        <v>0</v>
      </c>
      <c r="AN140">
        <f t="shared" si="7"/>
        <v>1</v>
      </c>
      <c r="AO140">
        <f>IF($A140="","",_CONFIG_Model_Settings!$B$172*MAX(N($AK140),(N($AF140)+N($AI140))/2))</f>
        <v>100</v>
      </c>
      <c r="AP140">
        <f t="shared" si="8"/>
        <v>100</v>
      </c>
      <c r="AQ140">
        <f>IF($AP140="","",MAX(0,$AP140*(1-(_CONFIG_Model_Settings!$B$173+_CONFIG_Model_Settings!$B$174*(N($AH140)-1)))))</f>
        <v>65</v>
      </c>
      <c r="AR140">
        <f>IF($AP140="","",MIN(100,$AP140*(1+(_CONFIG_Model_Settings!$B$173+_CONFIG_Model_Settings!$B$174*(N($AH140)-1)))))</f>
        <v>100</v>
      </c>
    </row>
    <row r="141" spans="1:44" ht="72" customHeight="1">
      <c r="A141" s="9" t="s">
        <v>1640</v>
      </c>
      <c r="B141" s="9" t="s">
        <v>1551</v>
      </c>
      <c r="C141" s="9" t="s">
        <v>1572</v>
      </c>
      <c r="D141" s="9" t="s">
        <v>3684</v>
      </c>
      <c r="E141" s="9" t="s">
        <v>1641</v>
      </c>
      <c r="F141" s="9" t="s">
        <v>6515</v>
      </c>
      <c r="G141" s="9" t="s">
        <v>6516</v>
      </c>
      <c r="H141" s="9" t="s">
        <v>6517</v>
      </c>
      <c r="I141" s="9" t="s">
        <v>6518</v>
      </c>
      <c r="J141" s="9" t="s">
        <v>6519</v>
      </c>
      <c r="K141" s="9" t="s">
        <v>6520</v>
      </c>
      <c r="L141" s="9" t="s">
        <v>6521</v>
      </c>
      <c r="M141" s="9" t="s">
        <v>6522</v>
      </c>
      <c r="N141" s="9" t="s">
        <v>6523</v>
      </c>
      <c r="O141" s="9" t="s">
        <v>6524</v>
      </c>
      <c r="P141" s="9" t="s">
        <v>6525</v>
      </c>
      <c r="Q141" s="9" t="s">
        <v>6526</v>
      </c>
      <c r="R141" s="9" t="s">
        <v>4589</v>
      </c>
      <c r="S141" s="9" t="s">
        <v>6527</v>
      </c>
      <c r="T141" s="9">
        <v>3</v>
      </c>
      <c r="U141" s="9">
        <v>3</v>
      </c>
      <c r="V141" s="9">
        <v>2</v>
      </c>
      <c r="W141" s="9">
        <v>2</v>
      </c>
      <c r="X141" s="9">
        <v>1</v>
      </c>
      <c r="Y141" s="9">
        <v>1</v>
      </c>
      <c r="Z141" s="9" t="s">
        <v>1556</v>
      </c>
      <c r="AA141" s="9" t="s">
        <v>1642</v>
      </c>
      <c r="AB141" s="9" t="s">
        <v>1564</v>
      </c>
      <c r="AC141" s="9" t="s">
        <v>6289</v>
      </c>
      <c r="AD141" s="9" t="s">
        <v>6528</v>
      </c>
      <c r="AE141" t="str">
        <f t="shared" si="6"/>
        <v>Slow</v>
      </c>
      <c r="AF141">
        <f>IF($A141="","",IFERROR(VLOOKUP($B141,_CONFIG_Risk_Calibration!$A$5:$H$21,2,FALSE),3))</f>
        <v>3</v>
      </c>
      <c r="AG141">
        <f>IF($A141="","",IFERROR(VLOOKUP($B141,_CONFIG_Risk_Calibration!$A$5:$H$21,3,FALSE),0))</f>
        <v>0</v>
      </c>
      <c r="AH141">
        <f>IF($A141="","",IFERROR(VLOOKUP($B141,_CONFIG_Risk_Calibration!$A$5:$H$21,4,FALSE),3))</f>
        <v>3</v>
      </c>
      <c r="AI141">
        <f>IF($A141="","",IFERROR(VLOOKUP($B141,_CONFIG_Risk_Calibration!$A$5:$H$21,5,FALSE),3))</f>
        <v>4</v>
      </c>
      <c r="AJ141" t="str">
        <f>IF($A141="","",IFERROR(VLOOKUP($B141,_CONFIG_Risk_Calibration!$A$5:$H$21,6,FALSE),"No"))</f>
        <v>Yes</v>
      </c>
      <c r="AK141">
        <f>IF($A141="","",IFERROR(VLOOKUP($B141,_CONFIG_Risk_Calibration!$A$5:$H$21,7,FALSE),1))</f>
        <v>5</v>
      </c>
      <c r="AL141" t="str">
        <f>IF($A141="","",IFERROR(VLOOKUP($B141,_CONFIG_Risk_Calibration!$A$5:$H$21,8,FALSE),""))</f>
        <v>Clean template default. Calibrate with real exposure, incident history, evidence quality and domain-owner validation.</v>
      </c>
      <c r="AM141">
        <f>IF($A141="","",IFERROR(INDEX(_DATA_Assessment_Model!$AL$1:$AL$428,MATCH($A141,_DATA_Assessment_Model!$A$1:$A$428,0)),""))</f>
        <v>0</v>
      </c>
      <c r="AN141">
        <f t="shared" si="7"/>
        <v>1</v>
      </c>
      <c r="AO141">
        <f>IF($A141="","",_CONFIG_Model_Settings!$B$172*MAX(N($AK141),(N($AF141)+N($AI141))/2))</f>
        <v>100</v>
      </c>
      <c r="AP141">
        <f t="shared" si="8"/>
        <v>100</v>
      </c>
      <c r="AQ141">
        <f>IF($AP141="","",MAX(0,$AP141*(1-(_CONFIG_Model_Settings!$B$173+_CONFIG_Model_Settings!$B$174*(N($AH141)-1)))))</f>
        <v>65</v>
      </c>
      <c r="AR141">
        <f>IF($AP141="","",MIN(100,$AP141*(1+(_CONFIG_Model_Settings!$B$173+_CONFIG_Model_Settings!$B$174*(N($AH141)-1)))))</f>
        <v>100</v>
      </c>
    </row>
    <row r="142" spans="1:44" ht="72" customHeight="1">
      <c r="A142" s="9" t="s">
        <v>1643</v>
      </c>
      <c r="B142" s="9" t="s">
        <v>1551</v>
      </c>
      <c r="C142" s="9" t="s">
        <v>1582</v>
      </c>
      <c r="D142" s="9" t="s">
        <v>3684</v>
      </c>
      <c r="E142" s="9" t="s">
        <v>1644</v>
      </c>
      <c r="F142" s="9" t="s">
        <v>6529</v>
      </c>
      <c r="G142" s="9" t="s">
        <v>6530</v>
      </c>
      <c r="H142" s="9" t="s">
        <v>6531</v>
      </c>
      <c r="I142" s="9" t="s">
        <v>6532</v>
      </c>
      <c r="J142" s="9" t="s">
        <v>6533</v>
      </c>
      <c r="K142" s="9" t="s">
        <v>6534</v>
      </c>
      <c r="L142" s="9" t="s">
        <v>6535</v>
      </c>
      <c r="M142" s="9" t="s">
        <v>6536</v>
      </c>
      <c r="N142" s="9" t="s">
        <v>6537</v>
      </c>
      <c r="O142" s="9" t="s">
        <v>6538</v>
      </c>
      <c r="P142" s="9" t="s">
        <v>6539</v>
      </c>
      <c r="Q142" s="9" t="s">
        <v>6540</v>
      </c>
      <c r="R142" s="9" t="s">
        <v>4589</v>
      </c>
      <c r="S142" s="9" t="s">
        <v>6541</v>
      </c>
      <c r="T142" s="9">
        <v>3</v>
      </c>
      <c r="U142" s="9">
        <v>3</v>
      </c>
      <c r="V142" s="9">
        <v>2</v>
      </c>
      <c r="W142" s="9">
        <v>2</v>
      </c>
      <c r="X142" s="9">
        <v>1</v>
      </c>
      <c r="Y142" s="9">
        <v>1</v>
      </c>
      <c r="Z142" s="9" t="s">
        <v>1556</v>
      </c>
      <c r="AA142" s="9" t="s">
        <v>1645</v>
      </c>
      <c r="AB142" s="9" t="s">
        <v>1564</v>
      </c>
      <c r="AC142" s="9" t="s">
        <v>6289</v>
      </c>
      <c r="AD142" s="9" t="s">
        <v>6542</v>
      </c>
      <c r="AE142" t="str">
        <f t="shared" si="6"/>
        <v>Slow</v>
      </c>
      <c r="AF142">
        <f>IF($A142="","",IFERROR(VLOOKUP($B142,_CONFIG_Risk_Calibration!$A$5:$H$21,2,FALSE),3))</f>
        <v>3</v>
      </c>
      <c r="AG142">
        <f>IF($A142="","",IFERROR(VLOOKUP($B142,_CONFIG_Risk_Calibration!$A$5:$H$21,3,FALSE),0))</f>
        <v>0</v>
      </c>
      <c r="AH142">
        <f>IF($A142="","",IFERROR(VLOOKUP($B142,_CONFIG_Risk_Calibration!$A$5:$H$21,4,FALSE),3))</f>
        <v>3</v>
      </c>
      <c r="AI142">
        <f>IF($A142="","",IFERROR(VLOOKUP($B142,_CONFIG_Risk_Calibration!$A$5:$H$21,5,FALSE),3))</f>
        <v>4</v>
      </c>
      <c r="AJ142" t="str">
        <f>IF($A142="","",IFERROR(VLOOKUP($B142,_CONFIG_Risk_Calibration!$A$5:$H$21,6,FALSE),"No"))</f>
        <v>Yes</v>
      </c>
      <c r="AK142">
        <f>IF($A142="","",IFERROR(VLOOKUP($B142,_CONFIG_Risk_Calibration!$A$5:$H$21,7,FALSE),1))</f>
        <v>5</v>
      </c>
      <c r="AL142" t="str">
        <f>IF($A142="","",IFERROR(VLOOKUP($B142,_CONFIG_Risk_Calibration!$A$5:$H$21,8,FALSE),""))</f>
        <v>Clean template default. Calibrate with real exposure, incident history, evidence quality and domain-owner validation.</v>
      </c>
      <c r="AM142">
        <f>IF($A142="","",IFERROR(INDEX(_DATA_Assessment_Model!$AL$1:$AL$428,MATCH($A142,_DATA_Assessment_Model!$A$1:$A$428,0)),""))</f>
        <v>0</v>
      </c>
      <c r="AN142">
        <f t="shared" si="7"/>
        <v>1</v>
      </c>
      <c r="AO142">
        <f>IF($A142="","",_CONFIG_Model_Settings!$B$172*MAX(N($AK142),(N($AF142)+N($AI142))/2))</f>
        <v>100</v>
      </c>
      <c r="AP142">
        <f t="shared" si="8"/>
        <v>100</v>
      </c>
      <c r="AQ142">
        <f>IF($AP142="","",MAX(0,$AP142*(1-(_CONFIG_Model_Settings!$B$173+_CONFIG_Model_Settings!$B$174*(N($AH142)-1)))))</f>
        <v>65</v>
      </c>
      <c r="AR142">
        <f>IF($AP142="","",MIN(100,$AP142*(1+(_CONFIG_Model_Settings!$B$173+_CONFIG_Model_Settings!$B$174*(N($AH142)-1)))))</f>
        <v>100</v>
      </c>
    </row>
    <row r="143" spans="1:44" ht="72" customHeight="1">
      <c r="A143" s="9" t="s">
        <v>1652</v>
      </c>
      <c r="B143" s="9" t="s">
        <v>1551</v>
      </c>
      <c r="C143" s="9" t="s">
        <v>1582</v>
      </c>
      <c r="D143" s="9" t="s">
        <v>3684</v>
      </c>
      <c r="E143" s="9" t="s">
        <v>1653</v>
      </c>
      <c r="F143" s="9" t="s">
        <v>6543</v>
      </c>
      <c r="G143" s="9" t="s">
        <v>6544</v>
      </c>
      <c r="H143" s="9" t="s">
        <v>6545</v>
      </c>
      <c r="I143" s="9" t="s">
        <v>6546</v>
      </c>
      <c r="J143" s="9" t="s">
        <v>6547</v>
      </c>
      <c r="K143" s="9" t="s">
        <v>6548</v>
      </c>
      <c r="L143" s="9" t="s">
        <v>6549</v>
      </c>
      <c r="M143" s="9" t="s">
        <v>6550</v>
      </c>
      <c r="N143" s="9" t="s">
        <v>6551</v>
      </c>
      <c r="O143" s="9" t="s">
        <v>6552</v>
      </c>
      <c r="P143" s="9" t="s">
        <v>6553</v>
      </c>
      <c r="Q143" s="9" t="s">
        <v>6554</v>
      </c>
      <c r="R143" s="9" t="s">
        <v>4589</v>
      </c>
      <c r="S143" s="9" t="s">
        <v>6555</v>
      </c>
      <c r="T143" s="9">
        <v>3</v>
      </c>
      <c r="U143" s="9">
        <v>3</v>
      </c>
      <c r="V143" s="9">
        <v>2</v>
      </c>
      <c r="W143" s="9">
        <v>2</v>
      </c>
      <c r="X143" s="9">
        <v>1</v>
      </c>
      <c r="Y143" s="9">
        <v>1</v>
      </c>
      <c r="Z143" s="9" t="s">
        <v>1556</v>
      </c>
      <c r="AA143" s="9" t="s">
        <v>1654</v>
      </c>
      <c r="AB143" s="9" t="s">
        <v>1564</v>
      </c>
      <c r="AC143" s="9" t="s">
        <v>6289</v>
      </c>
      <c r="AD143" s="9" t="s">
        <v>6556</v>
      </c>
      <c r="AE143" t="str">
        <f t="shared" si="6"/>
        <v>Slow</v>
      </c>
      <c r="AF143">
        <f>IF($A143="","",IFERROR(VLOOKUP($B143,_CONFIG_Risk_Calibration!$A$5:$H$21,2,FALSE),3))</f>
        <v>3</v>
      </c>
      <c r="AG143">
        <f>IF($A143="","",IFERROR(VLOOKUP($B143,_CONFIG_Risk_Calibration!$A$5:$H$21,3,FALSE),0))</f>
        <v>0</v>
      </c>
      <c r="AH143">
        <f>IF($A143="","",IFERROR(VLOOKUP($B143,_CONFIG_Risk_Calibration!$A$5:$H$21,4,FALSE),3))</f>
        <v>3</v>
      </c>
      <c r="AI143">
        <f>IF($A143="","",IFERROR(VLOOKUP($B143,_CONFIG_Risk_Calibration!$A$5:$H$21,5,FALSE),3))</f>
        <v>4</v>
      </c>
      <c r="AJ143" t="str">
        <f>IF($A143="","",IFERROR(VLOOKUP($B143,_CONFIG_Risk_Calibration!$A$5:$H$21,6,FALSE),"No"))</f>
        <v>Yes</v>
      </c>
      <c r="AK143">
        <f>IF($A143="","",IFERROR(VLOOKUP($B143,_CONFIG_Risk_Calibration!$A$5:$H$21,7,FALSE),1))</f>
        <v>5</v>
      </c>
      <c r="AL143" t="str">
        <f>IF($A143="","",IFERROR(VLOOKUP($B143,_CONFIG_Risk_Calibration!$A$5:$H$21,8,FALSE),""))</f>
        <v>Clean template default. Calibrate with real exposure, incident history, evidence quality and domain-owner validation.</v>
      </c>
      <c r="AM143">
        <f>IF($A143="","",IFERROR(INDEX(_DATA_Assessment_Model!$AL$1:$AL$428,MATCH($A143,_DATA_Assessment_Model!$A$1:$A$428,0)),""))</f>
        <v>0</v>
      </c>
      <c r="AN143">
        <f t="shared" si="7"/>
        <v>1</v>
      </c>
      <c r="AO143">
        <f>IF($A143="","",_CONFIG_Model_Settings!$B$172*MAX(N($AK143),(N($AF143)+N($AI143))/2))</f>
        <v>100</v>
      </c>
      <c r="AP143">
        <f t="shared" si="8"/>
        <v>100</v>
      </c>
      <c r="AQ143">
        <f>IF($AP143="","",MAX(0,$AP143*(1-(_CONFIG_Model_Settings!$B$173+_CONFIG_Model_Settings!$B$174*(N($AH143)-1)))))</f>
        <v>65</v>
      </c>
      <c r="AR143">
        <f>IF($AP143="","",MIN(100,$AP143*(1+(_CONFIG_Model_Settings!$B$173+_CONFIG_Model_Settings!$B$174*(N($AH143)-1)))))</f>
        <v>100</v>
      </c>
    </row>
    <row r="144" spans="1:44" ht="72" customHeight="1">
      <c r="A144" s="9" t="s">
        <v>1655</v>
      </c>
      <c r="B144" s="9" t="s">
        <v>1551</v>
      </c>
      <c r="C144" s="9" t="s">
        <v>1553</v>
      </c>
      <c r="D144" s="9" t="s">
        <v>6557</v>
      </c>
      <c r="E144" s="9" t="s">
        <v>1656</v>
      </c>
      <c r="F144" s="9" t="s">
        <v>6558</v>
      </c>
      <c r="G144" s="9" t="s">
        <v>6559</v>
      </c>
      <c r="H144" s="9" t="s">
        <v>6560</v>
      </c>
      <c r="I144" s="9" t="s">
        <v>6561</v>
      </c>
      <c r="J144" s="9" t="s">
        <v>6562</v>
      </c>
      <c r="K144" s="9" t="s">
        <v>6563</v>
      </c>
      <c r="L144" s="9" t="s">
        <v>6564</v>
      </c>
      <c r="M144" s="9" t="s">
        <v>6565</v>
      </c>
      <c r="N144" s="9" t="s">
        <v>6566</v>
      </c>
      <c r="O144" s="9" t="s">
        <v>6567</v>
      </c>
      <c r="P144" s="9" t="s">
        <v>6568</v>
      </c>
      <c r="Q144" s="9" t="s">
        <v>6569</v>
      </c>
      <c r="R144" s="9" t="s">
        <v>4589</v>
      </c>
      <c r="S144" s="9" t="s">
        <v>6570</v>
      </c>
      <c r="T144" s="9">
        <v>2</v>
      </c>
      <c r="U144" s="9">
        <v>2</v>
      </c>
      <c r="V144" s="9">
        <v>2</v>
      </c>
      <c r="W144" s="9">
        <v>2</v>
      </c>
      <c r="X144" s="9">
        <v>1</v>
      </c>
      <c r="Y144" s="9">
        <v>1</v>
      </c>
      <c r="Z144" s="9" t="s">
        <v>1658</v>
      </c>
      <c r="AA144" s="9" t="s">
        <v>6571</v>
      </c>
      <c r="AB144" s="9" t="s">
        <v>1665</v>
      </c>
      <c r="AC144" s="9" t="s">
        <v>6572</v>
      </c>
      <c r="AD144" s="9" t="s">
        <v>6573</v>
      </c>
      <c r="AE144" t="str">
        <f t="shared" si="6"/>
        <v>Medium</v>
      </c>
      <c r="AF144">
        <f>IF($A144="","",IFERROR(VLOOKUP($B144,_CONFIG_Risk_Calibration!$A$5:$H$21,2,FALSE),3))</f>
        <v>3</v>
      </c>
      <c r="AG144">
        <f>IF($A144="","",IFERROR(VLOOKUP($B144,_CONFIG_Risk_Calibration!$A$5:$H$21,3,FALSE),0))</f>
        <v>0</v>
      </c>
      <c r="AH144">
        <f>IF($A144="","",IFERROR(VLOOKUP($B144,_CONFIG_Risk_Calibration!$A$5:$H$21,4,FALSE),3))</f>
        <v>3</v>
      </c>
      <c r="AI144">
        <f>IF($A144="","",IFERROR(VLOOKUP($B144,_CONFIG_Risk_Calibration!$A$5:$H$21,5,FALSE),3))</f>
        <v>4</v>
      </c>
      <c r="AJ144" t="str">
        <f>IF($A144="","",IFERROR(VLOOKUP($B144,_CONFIG_Risk_Calibration!$A$5:$H$21,6,FALSE),"No"))</f>
        <v>Yes</v>
      </c>
      <c r="AK144">
        <f>IF($A144="","",IFERROR(VLOOKUP($B144,_CONFIG_Risk_Calibration!$A$5:$H$21,7,FALSE),1))</f>
        <v>5</v>
      </c>
      <c r="AL144" t="str">
        <f>IF($A144="","",IFERROR(VLOOKUP($B144,_CONFIG_Risk_Calibration!$A$5:$H$21,8,FALSE),""))</f>
        <v>Clean template default. Calibrate with real exposure, incident history, evidence quality and domain-owner validation.</v>
      </c>
      <c r="AM144">
        <f>IF($A144="","",IFERROR(INDEX(_DATA_Assessment_Model!$AL$1:$AL$428,MATCH($A144,_DATA_Assessment_Model!$A$1:$A$428,0)),""))</f>
        <v>0</v>
      </c>
      <c r="AN144">
        <f t="shared" si="7"/>
        <v>1</v>
      </c>
      <c r="AO144">
        <f>IF($A144="","",_CONFIG_Model_Settings!$B$172*MAX(N($AK144),(N($AF144)+N($AI144))/2))</f>
        <v>100</v>
      </c>
      <c r="AP144">
        <f t="shared" si="8"/>
        <v>100</v>
      </c>
      <c r="AQ144">
        <f>IF($AP144="","",MAX(0,$AP144*(1-(_CONFIG_Model_Settings!$B$173+_CONFIG_Model_Settings!$B$174*(N($AH144)-1)))))</f>
        <v>65</v>
      </c>
      <c r="AR144">
        <f>IF($AP144="","",MIN(100,$AP144*(1+(_CONFIG_Model_Settings!$B$173+_CONFIG_Model_Settings!$B$174*(N($AH144)-1)))))</f>
        <v>100</v>
      </c>
    </row>
    <row r="145" spans="1:44" ht="84" customHeight="1">
      <c r="A145" s="9" t="s">
        <v>1667</v>
      </c>
      <c r="B145" s="9" t="s">
        <v>1666</v>
      </c>
      <c r="C145" s="9" t="s">
        <v>1668</v>
      </c>
      <c r="D145" s="9" t="s">
        <v>3685</v>
      </c>
      <c r="E145" s="9" t="s">
        <v>1669</v>
      </c>
      <c r="F145" s="9" t="s">
        <v>6574</v>
      </c>
      <c r="G145" s="9" t="s">
        <v>6575</v>
      </c>
      <c r="H145" s="9" t="s">
        <v>6576</v>
      </c>
      <c r="I145" s="9" t="s">
        <v>6577</v>
      </c>
      <c r="J145" s="9" t="s">
        <v>6578</v>
      </c>
      <c r="K145" s="9" t="s">
        <v>6579</v>
      </c>
      <c r="L145" s="9" t="s">
        <v>6580</v>
      </c>
      <c r="M145" s="9" t="s">
        <v>6581</v>
      </c>
      <c r="N145" s="9" t="s">
        <v>6582</v>
      </c>
      <c r="O145" s="9" t="s">
        <v>6583</v>
      </c>
      <c r="P145" s="9" t="s">
        <v>6584</v>
      </c>
      <c r="Q145" s="9" t="s">
        <v>6585</v>
      </c>
      <c r="R145" s="9" t="s">
        <v>4589</v>
      </c>
      <c r="S145" s="9" t="s">
        <v>6586</v>
      </c>
      <c r="T145" s="9">
        <v>4</v>
      </c>
      <c r="U145" s="9">
        <v>3</v>
      </c>
      <c r="V145" s="9">
        <v>3</v>
      </c>
      <c r="W145" s="9">
        <v>2</v>
      </c>
      <c r="X145" s="9">
        <v>1</v>
      </c>
      <c r="Y145" s="9">
        <v>1</v>
      </c>
      <c r="Z145" s="9" t="s">
        <v>1671</v>
      </c>
      <c r="AA145" s="9" t="s">
        <v>1672</v>
      </c>
      <c r="AB145" s="9" t="s">
        <v>1673</v>
      </c>
      <c r="AC145" s="9" t="s">
        <v>6587</v>
      </c>
      <c r="AD145" s="9" t="s">
        <v>6588</v>
      </c>
      <c r="AE145" t="str">
        <f t="shared" si="6"/>
        <v>Fast</v>
      </c>
      <c r="AF145">
        <f>IF($A145="","",IFERROR(VLOOKUP($B145,_CONFIG_Risk_Calibration!$A$5:$H$21,2,FALSE),3))</f>
        <v>3</v>
      </c>
      <c r="AG145">
        <f>IF($A145="","",IFERROR(VLOOKUP($B145,_CONFIG_Risk_Calibration!$A$5:$H$21,3,FALSE),0))</f>
        <v>0</v>
      </c>
      <c r="AH145">
        <f>IF($A145="","",IFERROR(VLOOKUP($B145,_CONFIG_Risk_Calibration!$A$5:$H$21,4,FALSE),3))</f>
        <v>3</v>
      </c>
      <c r="AI145">
        <f>IF($A145="","",IFERROR(VLOOKUP($B145,_CONFIG_Risk_Calibration!$A$5:$H$21,5,FALSE),3))</f>
        <v>4</v>
      </c>
      <c r="AJ145" t="str">
        <f>IF($A145="","",IFERROR(VLOOKUP($B145,_CONFIG_Risk_Calibration!$A$5:$H$21,6,FALSE),"No"))</f>
        <v>Yes</v>
      </c>
      <c r="AK145">
        <f>IF($A145="","",IFERROR(VLOOKUP($B145,_CONFIG_Risk_Calibration!$A$5:$H$21,7,FALSE),1))</f>
        <v>5</v>
      </c>
      <c r="AL145" t="str">
        <f>IF($A145="","",IFERROR(VLOOKUP($B145,_CONFIG_Risk_Calibration!$A$5:$H$21,8,FALSE),""))</f>
        <v>Clean template default. Calibrate with real exposure, incident history, evidence quality and domain-owner validation.</v>
      </c>
      <c r="AM145">
        <f>IF($A145="","",IFERROR(INDEX(_DATA_Assessment_Model!$AL$1:$AL$428,MATCH($A145,_DATA_Assessment_Model!$A$1:$A$428,0)),""))</f>
        <v>0</v>
      </c>
      <c r="AN145">
        <f t="shared" si="7"/>
        <v>1</v>
      </c>
      <c r="AO145">
        <f>IF($A145="","",_CONFIG_Model_Settings!$B$172*MAX(N($AK145),(N($AF145)+N($AI145))/2))</f>
        <v>100</v>
      </c>
      <c r="AP145">
        <f t="shared" si="8"/>
        <v>100</v>
      </c>
      <c r="AQ145">
        <f>IF($AP145="","",MAX(0,$AP145*(1-(_CONFIG_Model_Settings!$B$173+_CONFIG_Model_Settings!$B$174*(N($AH145)-1)))))</f>
        <v>65</v>
      </c>
      <c r="AR145">
        <f>IF($AP145="","",MIN(100,$AP145*(1+(_CONFIG_Model_Settings!$B$173+_CONFIG_Model_Settings!$B$174*(N($AH145)-1)))))</f>
        <v>100</v>
      </c>
    </row>
    <row r="146" spans="1:44" ht="84" customHeight="1">
      <c r="A146" s="9" t="s">
        <v>1674</v>
      </c>
      <c r="B146" s="9" t="s">
        <v>1666</v>
      </c>
      <c r="C146" s="9" t="s">
        <v>1668</v>
      </c>
      <c r="D146" s="9" t="s">
        <v>3685</v>
      </c>
      <c r="E146" s="9" t="s">
        <v>1675</v>
      </c>
      <c r="F146" s="9" t="s">
        <v>6589</v>
      </c>
      <c r="G146" s="9" t="s">
        <v>6590</v>
      </c>
      <c r="H146" s="9" t="s">
        <v>6591</v>
      </c>
      <c r="I146" s="9" t="s">
        <v>6592</v>
      </c>
      <c r="J146" s="9" t="s">
        <v>6593</v>
      </c>
      <c r="K146" s="9" t="s">
        <v>6594</v>
      </c>
      <c r="L146" s="9" t="s">
        <v>6595</v>
      </c>
      <c r="M146" s="9" t="s">
        <v>6596</v>
      </c>
      <c r="N146" s="9" t="s">
        <v>6597</v>
      </c>
      <c r="O146" s="9" t="s">
        <v>6598</v>
      </c>
      <c r="P146" s="9" t="s">
        <v>6599</v>
      </c>
      <c r="Q146" s="9" t="s">
        <v>6600</v>
      </c>
      <c r="R146" s="9" t="s">
        <v>4589</v>
      </c>
      <c r="S146" s="9" t="s">
        <v>6601</v>
      </c>
      <c r="T146" s="9">
        <v>4</v>
      </c>
      <c r="U146" s="9">
        <v>3</v>
      </c>
      <c r="V146" s="9">
        <v>3</v>
      </c>
      <c r="W146" s="9">
        <v>2</v>
      </c>
      <c r="X146" s="9">
        <v>1</v>
      </c>
      <c r="Y146" s="9">
        <v>1</v>
      </c>
      <c r="Z146" s="9" t="s">
        <v>1671</v>
      </c>
      <c r="AA146" s="9" t="s">
        <v>1676</v>
      </c>
      <c r="AB146" s="9" t="s">
        <v>1673</v>
      </c>
      <c r="AC146" s="9" t="s">
        <v>6587</v>
      </c>
      <c r="AD146" s="9" t="s">
        <v>6602</v>
      </c>
      <c r="AE146" t="str">
        <f t="shared" si="6"/>
        <v>Fast</v>
      </c>
      <c r="AF146">
        <f>IF($A146="","",IFERROR(VLOOKUP($B146,_CONFIG_Risk_Calibration!$A$5:$H$21,2,FALSE),3))</f>
        <v>3</v>
      </c>
      <c r="AG146">
        <f>IF($A146="","",IFERROR(VLOOKUP($B146,_CONFIG_Risk_Calibration!$A$5:$H$21,3,FALSE),0))</f>
        <v>0</v>
      </c>
      <c r="AH146">
        <f>IF($A146="","",IFERROR(VLOOKUP($B146,_CONFIG_Risk_Calibration!$A$5:$H$21,4,FALSE),3))</f>
        <v>3</v>
      </c>
      <c r="AI146">
        <f>IF($A146="","",IFERROR(VLOOKUP($B146,_CONFIG_Risk_Calibration!$A$5:$H$21,5,FALSE),3))</f>
        <v>4</v>
      </c>
      <c r="AJ146" t="str">
        <f>IF($A146="","",IFERROR(VLOOKUP($B146,_CONFIG_Risk_Calibration!$A$5:$H$21,6,FALSE),"No"))</f>
        <v>Yes</v>
      </c>
      <c r="AK146">
        <f>IF($A146="","",IFERROR(VLOOKUP($B146,_CONFIG_Risk_Calibration!$A$5:$H$21,7,FALSE),1))</f>
        <v>5</v>
      </c>
      <c r="AL146" t="str">
        <f>IF($A146="","",IFERROR(VLOOKUP($B146,_CONFIG_Risk_Calibration!$A$5:$H$21,8,FALSE),""))</f>
        <v>Clean template default. Calibrate with real exposure, incident history, evidence quality and domain-owner validation.</v>
      </c>
      <c r="AM146">
        <f>IF($A146="","",IFERROR(INDEX(_DATA_Assessment_Model!$AL$1:$AL$428,MATCH($A146,_DATA_Assessment_Model!$A$1:$A$428,0)),""))</f>
        <v>0</v>
      </c>
      <c r="AN146">
        <f t="shared" si="7"/>
        <v>1</v>
      </c>
      <c r="AO146">
        <f>IF($A146="","",_CONFIG_Model_Settings!$B$172*MAX(N($AK146),(N($AF146)+N($AI146))/2))</f>
        <v>100</v>
      </c>
      <c r="AP146">
        <f t="shared" si="8"/>
        <v>100</v>
      </c>
      <c r="AQ146">
        <f>IF($AP146="","",MAX(0,$AP146*(1-(_CONFIG_Model_Settings!$B$173+_CONFIG_Model_Settings!$B$174*(N($AH146)-1)))))</f>
        <v>65</v>
      </c>
      <c r="AR146">
        <f>IF($AP146="","",MIN(100,$AP146*(1+(_CONFIG_Model_Settings!$B$173+_CONFIG_Model_Settings!$B$174*(N($AH146)-1)))))</f>
        <v>100</v>
      </c>
    </row>
    <row r="147" spans="1:44" ht="72" customHeight="1">
      <c r="A147" s="9" t="s">
        <v>1678</v>
      </c>
      <c r="B147" s="9" t="s">
        <v>1666</v>
      </c>
      <c r="C147" s="9" t="s">
        <v>1668</v>
      </c>
      <c r="D147" s="9" t="s">
        <v>3685</v>
      </c>
      <c r="E147" s="9" t="s">
        <v>1679</v>
      </c>
      <c r="F147" s="9" t="s">
        <v>6603</v>
      </c>
      <c r="G147" s="9" t="s">
        <v>6604</v>
      </c>
      <c r="H147" s="9" t="s">
        <v>6605</v>
      </c>
      <c r="I147" s="9" t="s">
        <v>6606</v>
      </c>
      <c r="J147" s="9" t="s">
        <v>6607</v>
      </c>
      <c r="K147" s="9" t="s">
        <v>6608</v>
      </c>
      <c r="L147" s="9" t="s">
        <v>6609</v>
      </c>
      <c r="M147" s="9" t="s">
        <v>6610</v>
      </c>
      <c r="N147" s="9" t="s">
        <v>6611</v>
      </c>
      <c r="O147" s="9" t="s">
        <v>6612</v>
      </c>
      <c r="P147" s="9" t="s">
        <v>6613</v>
      </c>
      <c r="Q147" s="9" t="s">
        <v>6614</v>
      </c>
      <c r="R147" s="9" t="s">
        <v>4589</v>
      </c>
      <c r="S147" s="9" t="s">
        <v>6615</v>
      </c>
      <c r="T147" s="9">
        <v>4</v>
      </c>
      <c r="U147" s="9">
        <v>3</v>
      </c>
      <c r="V147" s="9">
        <v>3</v>
      </c>
      <c r="W147" s="9">
        <v>2</v>
      </c>
      <c r="X147" s="9">
        <v>1</v>
      </c>
      <c r="Y147" s="9">
        <v>1</v>
      </c>
      <c r="Z147" s="9" t="s">
        <v>1671</v>
      </c>
      <c r="AA147" s="9" t="s">
        <v>1680</v>
      </c>
      <c r="AB147" s="9" t="s">
        <v>1673</v>
      </c>
      <c r="AC147" s="9" t="s">
        <v>6587</v>
      </c>
      <c r="AD147" s="9" t="s">
        <v>6616</v>
      </c>
      <c r="AE147" t="str">
        <f t="shared" si="6"/>
        <v>Fast</v>
      </c>
      <c r="AF147">
        <f>IF($A147="","",IFERROR(VLOOKUP($B147,_CONFIG_Risk_Calibration!$A$5:$H$21,2,FALSE),3))</f>
        <v>3</v>
      </c>
      <c r="AG147">
        <f>IF($A147="","",IFERROR(VLOOKUP($B147,_CONFIG_Risk_Calibration!$A$5:$H$21,3,FALSE),0))</f>
        <v>0</v>
      </c>
      <c r="AH147">
        <f>IF($A147="","",IFERROR(VLOOKUP($B147,_CONFIG_Risk_Calibration!$A$5:$H$21,4,FALSE),3))</f>
        <v>3</v>
      </c>
      <c r="AI147">
        <f>IF($A147="","",IFERROR(VLOOKUP($B147,_CONFIG_Risk_Calibration!$A$5:$H$21,5,FALSE),3))</f>
        <v>4</v>
      </c>
      <c r="AJ147" t="str">
        <f>IF($A147="","",IFERROR(VLOOKUP($B147,_CONFIG_Risk_Calibration!$A$5:$H$21,6,FALSE),"No"))</f>
        <v>Yes</v>
      </c>
      <c r="AK147">
        <f>IF($A147="","",IFERROR(VLOOKUP($B147,_CONFIG_Risk_Calibration!$A$5:$H$21,7,FALSE),1))</f>
        <v>5</v>
      </c>
      <c r="AL147" t="str">
        <f>IF($A147="","",IFERROR(VLOOKUP($B147,_CONFIG_Risk_Calibration!$A$5:$H$21,8,FALSE),""))</f>
        <v>Clean template default. Calibrate with real exposure, incident history, evidence quality and domain-owner validation.</v>
      </c>
      <c r="AM147">
        <f>IF($A147="","",IFERROR(INDEX(_DATA_Assessment_Model!$AL$1:$AL$428,MATCH($A147,_DATA_Assessment_Model!$A$1:$A$428,0)),""))</f>
        <v>0</v>
      </c>
      <c r="AN147">
        <f t="shared" si="7"/>
        <v>1</v>
      </c>
      <c r="AO147">
        <f>IF($A147="","",_CONFIG_Model_Settings!$B$172*MAX(N($AK147),(N($AF147)+N($AI147))/2))</f>
        <v>100</v>
      </c>
      <c r="AP147">
        <f t="shared" si="8"/>
        <v>100</v>
      </c>
      <c r="AQ147">
        <f>IF($AP147="","",MAX(0,$AP147*(1-(_CONFIG_Model_Settings!$B$173+_CONFIG_Model_Settings!$B$174*(N($AH147)-1)))))</f>
        <v>65</v>
      </c>
      <c r="AR147">
        <f>IF($AP147="","",MIN(100,$AP147*(1+(_CONFIG_Model_Settings!$B$173+_CONFIG_Model_Settings!$B$174*(N($AH147)-1)))))</f>
        <v>100</v>
      </c>
    </row>
    <row r="148" spans="1:44" ht="84" customHeight="1">
      <c r="A148" s="9" t="s">
        <v>1682</v>
      </c>
      <c r="B148" s="9" t="s">
        <v>1666</v>
      </c>
      <c r="C148" s="9" t="s">
        <v>1668</v>
      </c>
      <c r="D148" s="9" t="s">
        <v>3685</v>
      </c>
      <c r="E148" s="9" t="s">
        <v>1683</v>
      </c>
      <c r="F148" s="9" t="s">
        <v>6617</v>
      </c>
      <c r="G148" s="9" t="s">
        <v>6618</v>
      </c>
      <c r="H148" s="9" t="s">
        <v>6619</v>
      </c>
      <c r="I148" s="9" t="s">
        <v>6620</v>
      </c>
      <c r="J148" s="9" t="s">
        <v>6621</v>
      </c>
      <c r="K148" s="9" t="s">
        <v>6622</v>
      </c>
      <c r="L148" s="9" t="s">
        <v>6623</v>
      </c>
      <c r="M148" s="9" t="s">
        <v>6624</v>
      </c>
      <c r="N148" s="9" t="s">
        <v>6625</v>
      </c>
      <c r="O148" s="9" t="s">
        <v>6626</v>
      </c>
      <c r="P148" s="9" t="s">
        <v>6627</v>
      </c>
      <c r="Q148" s="9" t="s">
        <v>6628</v>
      </c>
      <c r="R148" s="9" t="s">
        <v>4589</v>
      </c>
      <c r="S148" s="9" t="s">
        <v>6629</v>
      </c>
      <c r="T148" s="9">
        <v>4</v>
      </c>
      <c r="U148" s="9">
        <v>3</v>
      </c>
      <c r="V148" s="9">
        <v>3</v>
      </c>
      <c r="W148" s="9">
        <v>2</v>
      </c>
      <c r="X148" s="9">
        <v>1</v>
      </c>
      <c r="Y148" s="9">
        <v>1</v>
      </c>
      <c r="Z148" s="9" t="s">
        <v>1671</v>
      </c>
      <c r="AA148" s="9" t="s">
        <v>1684</v>
      </c>
      <c r="AB148" s="9" t="s">
        <v>1673</v>
      </c>
      <c r="AC148" s="9" t="s">
        <v>6587</v>
      </c>
      <c r="AD148" s="9" t="s">
        <v>6630</v>
      </c>
      <c r="AE148" t="str">
        <f t="shared" si="6"/>
        <v>Fast</v>
      </c>
      <c r="AF148">
        <f>IF($A148="","",IFERROR(VLOOKUP($B148,_CONFIG_Risk_Calibration!$A$5:$H$21,2,FALSE),3))</f>
        <v>3</v>
      </c>
      <c r="AG148">
        <f>IF($A148="","",IFERROR(VLOOKUP($B148,_CONFIG_Risk_Calibration!$A$5:$H$21,3,FALSE),0))</f>
        <v>0</v>
      </c>
      <c r="AH148">
        <f>IF($A148="","",IFERROR(VLOOKUP($B148,_CONFIG_Risk_Calibration!$A$5:$H$21,4,FALSE),3))</f>
        <v>3</v>
      </c>
      <c r="AI148">
        <f>IF($A148="","",IFERROR(VLOOKUP($B148,_CONFIG_Risk_Calibration!$A$5:$H$21,5,FALSE),3))</f>
        <v>4</v>
      </c>
      <c r="AJ148" t="str">
        <f>IF($A148="","",IFERROR(VLOOKUP($B148,_CONFIG_Risk_Calibration!$A$5:$H$21,6,FALSE),"No"))</f>
        <v>Yes</v>
      </c>
      <c r="AK148">
        <f>IF($A148="","",IFERROR(VLOOKUP($B148,_CONFIG_Risk_Calibration!$A$5:$H$21,7,FALSE),1))</f>
        <v>5</v>
      </c>
      <c r="AL148" t="str">
        <f>IF($A148="","",IFERROR(VLOOKUP($B148,_CONFIG_Risk_Calibration!$A$5:$H$21,8,FALSE),""))</f>
        <v>Clean template default. Calibrate with real exposure, incident history, evidence quality and domain-owner validation.</v>
      </c>
      <c r="AM148">
        <f>IF($A148="","",IFERROR(INDEX(_DATA_Assessment_Model!$AL$1:$AL$428,MATCH($A148,_DATA_Assessment_Model!$A$1:$A$428,0)),""))</f>
        <v>0</v>
      </c>
      <c r="AN148">
        <f t="shared" si="7"/>
        <v>1</v>
      </c>
      <c r="AO148">
        <f>IF($A148="","",_CONFIG_Model_Settings!$B$172*MAX(N($AK148),(N($AF148)+N($AI148))/2))</f>
        <v>100</v>
      </c>
      <c r="AP148">
        <f t="shared" si="8"/>
        <v>100</v>
      </c>
      <c r="AQ148">
        <f>IF($AP148="","",MAX(0,$AP148*(1-(_CONFIG_Model_Settings!$B$173+_CONFIG_Model_Settings!$B$174*(N($AH148)-1)))))</f>
        <v>65</v>
      </c>
      <c r="AR148">
        <f>IF($AP148="","",MIN(100,$AP148*(1+(_CONFIG_Model_Settings!$B$173+_CONFIG_Model_Settings!$B$174*(N($AH148)-1)))))</f>
        <v>100</v>
      </c>
    </row>
    <row r="149" spans="1:44" ht="72" customHeight="1">
      <c r="A149" s="9" t="s">
        <v>1686</v>
      </c>
      <c r="B149" s="9" t="s">
        <v>1666</v>
      </c>
      <c r="C149" s="9" t="s">
        <v>1668</v>
      </c>
      <c r="D149" s="9" t="s">
        <v>3685</v>
      </c>
      <c r="E149" s="9" t="s">
        <v>1687</v>
      </c>
      <c r="F149" s="9" t="s">
        <v>6631</v>
      </c>
      <c r="G149" s="9" t="s">
        <v>6632</v>
      </c>
      <c r="H149" s="9" t="s">
        <v>6633</v>
      </c>
      <c r="I149" s="9" t="s">
        <v>6634</v>
      </c>
      <c r="J149" s="9" t="s">
        <v>6635</v>
      </c>
      <c r="K149" s="9" t="s">
        <v>6636</v>
      </c>
      <c r="L149" s="9" t="s">
        <v>6637</v>
      </c>
      <c r="M149" s="9" t="s">
        <v>6638</v>
      </c>
      <c r="N149" s="9" t="s">
        <v>6639</v>
      </c>
      <c r="O149" s="9" t="s">
        <v>6640</v>
      </c>
      <c r="P149" s="9" t="s">
        <v>6641</v>
      </c>
      <c r="Q149" s="9" t="s">
        <v>6642</v>
      </c>
      <c r="R149" s="9" t="s">
        <v>4589</v>
      </c>
      <c r="S149" s="9" t="s">
        <v>6643</v>
      </c>
      <c r="T149" s="9">
        <v>4</v>
      </c>
      <c r="U149" s="9">
        <v>3</v>
      </c>
      <c r="V149" s="9">
        <v>3</v>
      </c>
      <c r="W149" s="9">
        <v>2</v>
      </c>
      <c r="X149" s="9">
        <v>1</v>
      </c>
      <c r="Y149" s="9">
        <v>1</v>
      </c>
      <c r="Z149" s="9" t="s">
        <v>1671</v>
      </c>
      <c r="AA149" s="9" t="s">
        <v>1688</v>
      </c>
      <c r="AB149" s="9" t="s">
        <v>1673</v>
      </c>
      <c r="AC149" s="9" t="s">
        <v>6587</v>
      </c>
      <c r="AD149" s="9" t="s">
        <v>6644</v>
      </c>
      <c r="AE149" t="str">
        <f t="shared" si="6"/>
        <v>Fast</v>
      </c>
      <c r="AF149">
        <f>IF($A149="","",IFERROR(VLOOKUP($B149,_CONFIG_Risk_Calibration!$A$5:$H$21,2,FALSE),3))</f>
        <v>3</v>
      </c>
      <c r="AG149">
        <f>IF($A149="","",IFERROR(VLOOKUP($B149,_CONFIG_Risk_Calibration!$A$5:$H$21,3,FALSE),0))</f>
        <v>0</v>
      </c>
      <c r="AH149">
        <f>IF($A149="","",IFERROR(VLOOKUP($B149,_CONFIG_Risk_Calibration!$A$5:$H$21,4,FALSE),3))</f>
        <v>3</v>
      </c>
      <c r="AI149">
        <f>IF($A149="","",IFERROR(VLOOKUP($B149,_CONFIG_Risk_Calibration!$A$5:$H$21,5,FALSE),3))</f>
        <v>4</v>
      </c>
      <c r="AJ149" t="str">
        <f>IF($A149="","",IFERROR(VLOOKUP($B149,_CONFIG_Risk_Calibration!$A$5:$H$21,6,FALSE),"No"))</f>
        <v>Yes</v>
      </c>
      <c r="AK149">
        <f>IF($A149="","",IFERROR(VLOOKUP($B149,_CONFIG_Risk_Calibration!$A$5:$H$21,7,FALSE),1))</f>
        <v>5</v>
      </c>
      <c r="AL149" t="str">
        <f>IF($A149="","",IFERROR(VLOOKUP($B149,_CONFIG_Risk_Calibration!$A$5:$H$21,8,FALSE),""))</f>
        <v>Clean template default. Calibrate with real exposure, incident history, evidence quality and domain-owner validation.</v>
      </c>
      <c r="AM149">
        <f>IF($A149="","",IFERROR(INDEX(_DATA_Assessment_Model!$AL$1:$AL$428,MATCH($A149,_DATA_Assessment_Model!$A$1:$A$428,0)),""))</f>
        <v>0</v>
      </c>
      <c r="AN149">
        <f t="shared" si="7"/>
        <v>1</v>
      </c>
      <c r="AO149">
        <f>IF($A149="","",_CONFIG_Model_Settings!$B$172*MAX(N($AK149),(N($AF149)+N($AI149))/2))</f>
        <v>100</v>
      </c>
      <c r="AP149">
        <f t="shared" si="8"/>
        <v>100</v>
      </c>
      <c r="AQ149">
        <f>IF($AP149="","",MAX(0,$AP149*(1-(_CONFIG_Model_Settings!$B$173+_CONFIG_Model_Settings!$B$174*(N($AH149)-1)))))</f>
        <v>65</v>
      </c>
      <c r="AR149">
        <f>IF($AP149="","",MIN(100,$AP149*(1+(_CONFIG_Model_Settings!$B$173+_CONFIG_Model_Settings!$B$174*(N($AH149)-1)))))</f>
        <v>100</v>
      </c>
    </row>
    <row r="150" spans="1:44" ht="72" customHeight="1">
      <c r="A150" s="9" t="s">
        <v>1690</v>
      </c>
      <c r="B150" s="9" t="s">
        <v>1666</v>
      </c>
      <c r="C150" s="9" t="s">
        <v>1668</v>
      </c>
      <c r="D150" s="9" t="s">
        <v>3685</v>
      </c>
      <c r="E150" s="9" t="s">
        <v>1691</v>
      </c>
      <c r="F150" s="9" t="s">
        <v>6645</v>
      </c>
      <c r="G150" s="9" t="s">
        <v>6646</v>
      </c>
      <c r="H150" s="9" t="s">
        <v>6647</v>
      </c>
      <c r="I150" s="9" t="s">
        <v>6648</v>
      </c>
      <c r="J150" s="9" t="s">
        <v>6649</v>
      </c>
      <c r="K150" s="9" t="s">
        <v>6650</v>
      </c>
      <c r="L150" s="9" t="s">
        <v>6651</v>
      </c>
      <c r="M150" s="9" t="s">
        <v>6652</v>
      </c>
      <c r="N150" s="9" t="s">
        <v>6653</v>
      </c>
      <c r="O150" s="9" t="s">
        <v>6654</v>
      </c>
      <c r="P150" s="9" t="s">
        <v>6655</v>
      </c>
      <c r="Q150" s="9" t="s">
        <v>6656</v>
      </c>
      <c r="R150" s="9" t="s">
        <v>4589</v>
      </c>
      <c r="S150" s="9" t="s">
        <v>6657</v>
      </c>
      <c r="T150" s="9">
        <v>4</v>
      </c>
      <c r="U150" s="9">
        <v>3</v>
      </c>
      <c r="V150" s="9">
        <v>3</v>
      </c>
      <c r="W150" s="9">
        <v>2</v>
      </c>
      <c r="X150" s="9">
        <v>1</v>
      </c>
      <c r="Y150" s="9">
        <v>1</v>
      </c>
      <c r="Z150" s="9" t="s">
        <v>1671</v>
      </c>
      <c r="AA150" s="9" t="s">
        <v>1692</v>
      </c>
      <c r="AB150" s="9" t="s">
        <v>1673</v>
      </c>
      <c r="AC150" s="9" t="s">
        <v>6587</v>
      </c>
      <c r="AD150" s="9" t="s">
        <v>6658</v>
      </c>
      <c r="AE150" t="str">
        <f t="shared" si="6"/>
        <v>Fast</v>
      </c>
      <c r="AF150">
        <f>IF($A150="","",IFERROR(VLOOKUP($B150,_CONFIG_Risk_Calibration!$A$5:$H$21,2,FALSE),3))</f>
        <v>3</v>
      </c>
      <c r="AG150">
        <f>IF($A150="","",IFERROR(VLOOKUP($B150,_CONFIG_Risk_Calibration!$A$5:$H$21,3,FALSE),0))</f>
        <v>0</v>
      </c>
      <c r="AH150">
        <f>IF($A150="","",IFERROR(VLOOKUP($B150,_CONFIG_Risk_Calibration!$A$5:$H$21,4,FALSE),3))</f>
        <v>3</v>
      </c>
      <c r="AI150">
        <f>IF($A150="","",IFERROR(VLOOKUP($B150,_CONFIG_Risk_Calibration!$A$5:$H$21,5,FALSE),3))</f>
        <v>4</v>
      </c>
      <c r="AJ150" t="str">
        <f>IF($A150="","",IFERROR(VLOOKUP($B150,_CONFIG_Risk_Calibration!$A$5:$H$21,6,FALSE),"No"))</f>
        <v>Yes</v>
      </c>
      <c r="AK150">
        <f>IF($A150="","",IFERROR(VLOOKUP($B150,_CONFIG_Risk_Calibration!$A$5:$H$21,7,FALSE),1))</f>
        <v>5</v>
      </c>
      <c r="AL150" t="str">
        <f>IF($A150="","",IFERROR(VLOOKUP($B150,_CONFIG_Risk_Calibration!$A$5:$H$21,8,FALSE),""))</f>
        <v>Clean template default. Calibrate with real exposure, incident history, evidence quality and domain-owner validation.</v>
      </c>
      <c r="AM150">
        <f>IF($A150="","",IFERROR(INDEX(_DATA_Assessment_Model!$AL$1:$AL$428,MATCH($A150,_DATA_Assessment_Model!$A$1:$A$428,0)),""))</f>
        <v>0</v>
      </c>
      <c r="AN150">
        <f t="shared" si="7"/>
        <v>1</v>
      </c>
      <c r="AO150">
        <f>IF($A150="","",_CONFIG_Model_Settings!$B$172*MAX(N($AK150),(N($AF150)+N($AI150))/2))</f>
        <v>100</v>
      </c>
      <c r="AP150">
        <f t="shared" si="8"/>
        <v>100</v>
      </c>
      <c r="AQ150">
        <f>IF($AP150="","",MAX(0,$AP150*(1-(_CONFIG_Model_Settings!$B$173+_CONFIG_Model_Settings!$B$174*(N($AH150)-1)))))</f>
        <v>65</v>
      </c>
      <c r="AR150">
        <f>IF($AP150="","",MIN(100,$AP150*(1+(_CONFIG_Model_Settings!$B$173+_CONFIG_Model_Settings!$B$174*(N($AH150)-1)))))</f>
        <v>100</v>
      </c>
    </row>
    <row r="151" spans="1:44" ht="84" customHeight="1">
      <c r="A151" s="9" t="s">
        <v>1694</v>
      </c>
      <c r="B151" s="9" t="s">
        <v>1666</v>
      </c>
      <c r="C151" s="9" t="s">
        <v>1677</v>
      </c>
      <c r="D151" s="9" t="s">
        <v>3685</v>
      </c>
      <c r="E151" s="9" t="s">
        <v>1695</v>
      </c>
      <c r="F151" s="9" t="s">
        <v>6659</v>
      </c>
      <c r="G151" s="9" t="s">
        <v>6660</v>
      </c>
      <c r="H151" s="9" t="s">
        <v>6661</v>
      </c>
      <c r="I151" s="9" t="s">
        <v>6662</v>
      </c>
      <c r="J151" s="9" t="s">
        <v>6663</v>
      </c>
      <c r="K151" s="9" t="s">
        <v>6664</v>
      </c>
      <c r="L151" s="9" t="s">
        <v>6665</v>
      </c>
      <c r="M151" s="9" t="s">
        <v>6666</v>
      </c>
      <c r="N151" s="9" t="s">
        <v>6667</v>
      </c>
      <c r="O151" s="9" t="s">
        <v>6668</v>
      </c>
      <c r="P151" s="9" t="s">
        <v>6669</v>
      </c>
      <c r="Q151" s="9" t="s">
        <v>6670</v>
      </c>
      <c r="R151" s="9" t="s">
        <v>4589</v>
      </c>
      <c r="S151" s="9" t="s">
        <v>6671</v>
      </c>
      <c r="T151" s="9">
        <v>4</v>
      </c>
      <c r="U151" s="9">
        <v>3</v>
      </c>
      <c r="V151" s="9">
        <v>3</v>
      </c>
      <c r="W151" s="9">
        <v>2</v>
      </c>
      <c r="X151" s="9">
        <v>1</v>
      </c>
      <c r="Y151" s="9">
        <v>1</v>
      </c>
      <c r="Z151" s="9" t="s">
        <v>1671</v>
      </c>
      <c r="AA151" s="9" t="s">
        <v>1696</v>
      </c>
      <c r="AB151" s="9" t="s">
        <v>1673</v>
      </c>
      <c r="AC151" s="9" t="s">
        <v>6587</v>
      </c>
      <c r="AD151" s="9" t="s">
        <v>6672</v>
      </c>
      <c r="AE151" t="str">
        <f t="shared" si="6"/>
        <v>Fast</v>
      </c>
      <c r="AF151">
        <f>IF($A151="","",IFERROR(VLOOKUP($B151,_CONFIG_Risk_Calibration!$A$5:$H$21,2,FALSE),3))</f>
        <v>3</v>
      </c>
      <c r="AG151">
        <f>IF($A151="","",IFERROR(VLOOKUP($B151,_CONFIG_Risk_Calibration!$A$5:$H$21,3,FALSE),0))</f>
        <v>0</v>
      </c>
      <c r="AH151">
        <f>IF($A151="","",IFERROR(VLOOKUP($B151,_CONFIG_Risk_Calibration!$A$5:$H$21,4,FALSE),3))</f>
        <v>3</v>
      </c>
      <c r="AI151">
        <f>IF($A151="","",IFERROR(VLOOKUP($B151,_CONFIG_Risk_Calibration!$A$5:$H$21,5,FALSE),3))</f>
        <v>4</v>
      </c>
      <c r="AJ151" t="str">
        <f>IF($A151="","",IFERROR(VLOOKUP($B151,_CONFIG_Risk_Calibration!$A$5:$H$21,6,FALSE),"No"))</f>
        <v>Yes</v>
      </c>
      <c r="AK151">
        <f>IF($A151="","",IFERROR(VLOOKUP($B151,_CONFIG_Risk_Calibration!$A$5:$H$21,7,FALSE),1))</f>
        <v>5</v>
      </c>
      <c r="AL151" t="str">
        <f>IF($A151="","",IFERROR(VLOOKUP($B151,_CONFIG_Risk_Calibration!$A$5:$H$21,8,FALSE),""))</f>
        <v>Clean template default. Calibrate with real exposure, incident history, evidence quality and domain-owner validation.</v>
      </c>
      <c r="AM151">
        <f>IF($A151="","",IFERROR(INDEX(_DATA_Assessment_Model!$AL$1:$AL$428,MATCH($A151,_DATA_Assessment_Model!$A$1:$A$428,0)),""))</f>
        <v>0</v>
      </c>
      <c r="AN151">
        <f t="shared" si="7"/>
        <v>1</v>
      </c>
      <c r="AO151">
        <f>IF($A151="","",_CONFIG_Model_Settings!$B$172*MAX(N($AK151),(N($AF151)+N($AI151))/2))</f>
        <v>100</v>
      </c>
      <c r="AP151">
        <f t="shared" si="8"/>
        <v>100</v>
      </c>
      <c r="AQ151">
        <f>IF($AP151="","",MAX(0,$AP151*(1-(_CONFIG_Model_Settings!$B$173+_CONFIG_Model_Settings!$B$174*(N($AH151)-1)))))</f>
        <v>65</v>
      </c>
      <c r="AR151">
        <f>IF($AP151="","",MIN(100,$AP151*(1+(_CONFIG_Model_Settings!$B$173+_CONFIG_Model_Settings!$B$174*(N($AH151)-1)))))</f>
        <v>100</v>
      </c>
    </row>
    <row r="152" spans="1:44" ht="84" customHeight="1">
      <c r="A152" s="9" t="s">
        <v>1697</v>
      </c>
      <c r="B152" s="9" t="s">
        <v>1666</v>
      </c>
      <c r="C152" s="9" t="s">
        <v>1677</v>
      </c>
      <c r="D152" s="9" t="s">
        <v>3685</v>
      </c>
      <c r="E152" s="9" t="s">
        <v>1698</v>
      </c>
      <c r="F152" s="9" t="s">
        <v>6673</v>
      </c>
      <c r="G152" s="9" t="s">
        <v>6674</v>
      </c>
      <c r="H152" s="9" t="s">
        <v>6675</v>
      </c>
      <c r="I152" s="9" t="s">
        <v>6676</v>
      </c>
      <c r="J152" s="9" t="s">
        <v>6677</v>
      </c>
      <c r="K152" s="9" t="s">
        <v>6678</v>
      </c>
      <c r="L152" s="9" t="s">
        <v>6679</v>
      </c>
      <c r="M152" s="9" t="s">
        <v>6680</v>
      </c>
      <c r="N152" s="9" t="s">
        <v>6681</v>
      </c>
      <c r="O152" s="9" t="s">
        <v>6682</v>
      </c>
      <c r="P152" s="9" t="s">
        <v>6683</v>
      </c>
      <c r="Q152" s="9" t="s">
        <v>6684</v>
      </c>
      <c r="R152" s="9" t="s">
        <v>4589</v>
      </c>
      <c r="S152" s="9" t="s">
        <v>6685</v>
      </c>
      <c r="T152" s="9">
        <v>4</v>
      </c>
      <c r="U152" s="9">
        <v>3</v>
      </c>
      <c r="V152" s="9">
        <v>3</v>
      </c>
      <c r="W152" s="9">
        <v>2</v>
      </c>
      <c r="X152" s="9">
        <v>1</v>
      </c>
      <c r="Y152" s="9">
        <v>1</v>
      </c>
      <c r="Z152" s="9" t="s">
        <v>1671</v>
      </c>
      <c r="AA152" s="9" t="s">
        <v>1699</v>
      </c>
      <c r="AB152" s="9" t="s">
        <v>1673</v>
      </c>
      <c r="AC152" s="9" t="s">
        <v>6587</v>
      </c>
      <c r="AD152" s="9" t="s">
        <v>6686</v>
      </c>
      <c r="AE152" t="str">
        <f t="shared" si="6"/>
        <v>Fast</v>
      </c>
      <c r="AF152">
        <f>IF($A152="","",IFERROR(VLOOKUP($B152,_CONFIG_Risk_Calibration!$A$5:$H$21,2,FALSE),3))</f>
        <v>3</v>
      </c>
      <c r="AG152">
        <f>IF($A152="","",IFERROR(VLOOKUP($B152,_CONFIG_Risk_Calibration!$A$5:$H$21,3,FALSE),0))</f>
        <v>0</v>
      </c>
      <c r="AH152">
        <f>IF($A152="","",IFERROR(VLOOKUP($B152,_CONFIG_Risk_Calibration!$A$5:$H$21,4,FALSE),3))</f>
        <v>3</v>
      </c>
      <c r="AI152">
        <f>IF($A152="","",IFERROR(VLOOKUP($B152,_CONFIG_Risk_Calibration!$A$5:$H$21,5,FALSE),3))</f>
        <v>4</v>
      </c>
      <c r="AJ152" t="str">
        <f>IF($A152="","",IFERROR(VLOOKUP($B152,_CONFIG_Risk_Calibration!$A$5:$H$21,6,FALSE),"No"))</f>
        <v>Yes</v>
      </c>
      <c r="AK152">
        <f>IF($A152="","",IFERROR(VLOOKUP($B152,_CONFIG_Risk_Calibration!$A$5:$H$21,7,FALSE),1))</f>
        <v>5</v>
      </c>
      <c r="AL152" t="str">
        <f>IF($A152="","",IFERROR(VLOOKUP($B152,_CONFIG_Risk_Calibration!$A$5:$H$21,8,FALSE),""))</f>
        <v>Clean template default. Calibrate with real exposure, incident history, evidence quality and domain-owner validation.</v>
      </c>
      <c r="AM152">
        <f>IF($A152="","",IFERROR(INDEX(_DATA_Assessment_Model!$AL$1:$AL$428,MATCH($A152,_DATA_Assessment_Model!$A$1:$A$428,0)),""))</f>
        <v>0</v>
      </c>
      <c r="AN152">
        <f t="shared" si="7"/>
        <v>1</v>
      </c>
      <c r="AO152">
        <f>IF($A152="","",_CONFIG_Model_Settings!$B$172*MAX(N($AK152),(N($AF152)+N($AI152))/2))</f>
        <v>100</v>
      </c>
      <c r="AP152">
        <f t="shared" si="8"/>
        <v>100</v>
      </c>
      <c r="AQ152">
        <f>IF($AP152="","",MAX(0,$AP152*(1-(_CONFIG_Model_Settings!$B$173+_CONFIG_Model_Settings!$B$174*(N($AH152)-1)))))</f>
        <v>65</v>
      </c>
      <c r="AR152">
        <f>IF($AP152="","",MIN(100,$AP152*(1+(_CONFIG_Model_Settings!$B$173+_CONFIG_Model_Settings!$B$174*(N($AH152)-1)))))</f>
        <v>100</v>
      </c>
    </row>
    <row r="153" spans="1:44" ht="72" customHeight="1">
      <c r="A153" s="9" t="s">
        <v>1700</v>
      </c>
      <c r="B153" s="9" t="s">
        <v>1666</v>
      </c>
      <c r="C153" s="9" t="s">
        <v>1677</v>
      </c>
      <c r="D153" s="9" t="s">
        <v>3685</v>
      </c>
      <c r="E153" s="9" t="s">
        <v>1701</v>
      </c>
      <c r="F153" s="9" t="s">
        <v>6687</v>
      </c>
      <c r="G153" s="9" t="s">
        <v>6688</v>
      </c>
      <c r="H153" s="9" t="s">
        <v>6689</v>
      </c>
      <c r="I153" s="9" t="s">
        <v>6690</v>
      </c>
      <c r="J153" s="9" t="s">
        <v>6691</v>
      </c>
      <c r="K153" s="9" t="s">
        <v>6692</v>
      </c>
      <c r="L153" s="9" t="s">
        <v>6693</v>
      </c>
      <c r="M153" s="9" t="s">
        <v>6694</v>
      </c>
      <c r="N153" s="9" t="s">
        <v>6695</v>
      </c>
      <c r="O153" s="9" t="s">
        <v>6696</v>
      </c>
      <c r="P153" s="9" t="s">
        <v>6697</v>
      </c>
      <c r="Q153" s="9" t="s">
        <v>6698</v>
      </c>
      <c r="R153" s="9" t="s">
        <v>4589</v>
      </c>
      <c r="S153" s="9" t="s">
        <v>6699</v>
      </c>
      <c r="T153" s="9">
        <v>4</v>
      </c>
      <c r="U153" s="9">
        <v>3</v>
      </c>
      <c r="V153" s="9">
        <v>3</v>
      </c>
      <c r="W153" s="9">
        <v>2</v>
      </c>
      <c r="X153" s="9">
        <v>1</v>
      </c>
      <c r="Y153" s="9">
        <v>1</v>
      </c>
      <c r="Z153" s="9" t="s">
        <v>1671</v>
      </c>
      <c r="AA153" s="9" t="s">
        <v>1702</v>
      </c>
      <c r="AB153" s="9" t="s">
        <v>1673</v>
      </c>
      <c r="AC153" s="9" t="s">
        <v>6587</v>
      </c>
      <c r="AD153" s="9" t="s">
        <v>6700</v>
      </c>
      <c r="AE153" t="str">
        <f t="shared" si="6"/>
        <v>Fast</v>
      </c>
      <c r="AF153">
        <f>IF($A153="","",IFERROR(VLOOKUP($B153,_CONFIG_Risk_Calibration!$A$5:$H$21,2,FALSE),3))</f>
        <v>3</v>
      </c>
      <c r="AG153">
        <f>IF($A153="","",IFERROR(VLOOKUP($B153,_CONFIG_Risk_Calibration!$A$5:$H$21,3,FALSE),0))</f>
        <v>0</v>
      </c>
      <c r="AH153">
        <f>IF($A153="","",IFERROR(VLOOKUP($B153,_CONFIG_Risk_Calibration!$A$5:$H$21,4,FALSE),3))</f>
        <v>3</v>
      </c>
      <c r="AI153">
        <f>IF($A153="","",IFERROR(VLOOKUP($B153,_CONFIG_Risk_Calibration!$A$5:$H$21,5,FALSE),3))</f>
        <v>4</v>
      </c>
      <c r="AJ153" t="str">
        <f>IF($A153="","",IFERROR(VLOOKUP($B153,_CONFIG_Risk_Calibration!$A$5:$H$21,6,FALSE),"No"))</f>
        <v>Yes</v>
      </c>
      <c r="AK153">
        <f>IF($A153="","",IFERROR(VLOOKUP($B153,_CONFIG_Risk_Calibration!$A$5:$H$21,7,FALSE),1))</f>
        <v>5</v>
      </c>
      <c r="AL153" t="str">
        <f>IF($A153="","",IFERROR(VLOOKUP($B153,_CONFIG_Risk_Calibration!$A$5:$H$21,8,FALSE),""))</f>
        <v>Clean template default. Calibrate with real exposure, incident history, evidence quality and domain-owner validation.</v>
      </c>
      <c r="AM153">
        <f>IF($A153="","",IFERROR(INDEX(_DATA_Assessment_Model!$AL$1:$AL$428,MATCH($A153,_DATA_Assessment_Model!$A$1:$A$428,0)),""))</f>
        <v>0</v>
      </c>
      <c r="AN153">
        <f t="shared" si="7"/>
        <v>1</v>
      </c>
      <c r="AO153">
        <f>IF($A153="","",_CONFIG_Model_Settings!$B$172*MAX(N($AK153),(N($AF153)+N($AI153))/2))</f>
        <v>100</v>
      </c>
      <c r="AP153">
        <f t="shared" si="8"/>
        <v>100</v>
      </c>
      <c r="AQ153">
        <f>IF($AP153="","",MAX(0,$AP153*(1-(_CONFIG_Model_Settings!$B$173+_CONFIG_Model_Settings!$B$174*(N($AH153)-1)))))</f>
        <v>65</v>
      </c>
      <c r="AR153">
        <f>IF($AP153="","",MIN(100,$AP153*(1+(_CONFIG_Model_Settings!$B$173+_CONFIG_Model_Settings!$B$174*(N($AH153)-1)))))</f>
        <v>100</v>
      </c>
    </row>
    <row r="154" spans="1:44" ht="84" customHeight="1">
      <c r="A154" s="9" t="s">
        <v>1709</v>
      </c>
      <c r="B154" s="9" t="s">
        <v>1666</v>
      </c>
      <c r="C154" s="9" t="s">
        <v>1677</v>
      </c>
      <c r="D154" s="9" t="s">
        <v>3685</v>
      </c>
      <c r="E154" s="9" t="s">
        <v>1710</v>
      </c>
      <c r="F154" s="9" t="s">
        <v>6701</v>
      </c>
      <c r="G154" s="9" t="s">
        <v>6702</v>
      </c>
      <c r="H154" s="9" t="s">
        <v>6703</v>
      </c>
      <c r="I154" s="9" t="s">
        <v>6704</v>
      </c>
      <c r="J154" s="9" t="s">
        <v>6705</v>
      </c>
      <c r="K154" s="9" t="s">
        <v>6706</v>
      </c>
      <c r="L154" s="9" t="s">
        <v>6707</v>
      </c>
      <c r="M154" s="9" t="s">
        <v>6708</v>
      </c>
      <c r="N154" s="9" t="s">
        <v>6709</v>
      </c>
      <c r="O154" s="9" t="s">
        <v>6710</v>
      </c>
      <c r="P154" s="9" t="s">
        <v>6711</v>
      </c>
      <c r="Q154" s="9" t="s">
        <v>6712</v>
      </c>
      <c r="R154" s="9" t="s">
        <v>4589</v>
      </c>
      <c r="S154" s="9" t="s">
        <v>6713</v>
      </c>
      <c r="T154" s="9">
        <v>4</v>
      </c>
      <c r="U154" s="9">
        <v>3</v>
      </c>
      <c r="V154" s="9">
        <v>3</v>
      </c>
      <c r="W154" s="9">
        <v>2</v>
      </c>
      <c r="X154" s="9">
        <v>1</v>
      </c>
      <c r="Y154" s="9">
        <v>1</v>
      </c>
      <c r="Z154" s="9" t="s">
        <v>1671</v>
      </c>
      <c r="AA154" s="9" t="s">
        <v>1711</v>
      </c>
      <c r="AB154" s="9" t="s">
        <v>1673</v>
      </c>
      <c r="AC154" s="9" t="s">
        <v>6587</v>
      </c>
      <c r="AD154" s="9" t="s">
        <v>6714</v>
      </c>
      <c r="AE154" t="str">
        <f t="shared" si="6"/>
        <v>Fast</v>
      </c>
      <c r="AF154">
        <f>IF($A154="","",IFERROR(VLOOKUP($B154,_CONFIG_Risk_Calibration!$A$5:$H$21,2,FALSE),3))</f>
        <v>3</v>
      </c>
      <c r="AG154">
        <f>IF($A154="","",IFERROR(VLOOKUP($B154,_CONFIG_Risk_Calibration!$A$5:$H$21,3,FALSE),0))</f>
        <v>0</v>
      </c>
      <c r="AH154">
        <f>IF($A154="","",IFERROR(VLOOKUP($B154,_CONFIG_Risk_Calibration!$A$5:$H$21,4,FALSE),3))</f>
        <v>3</v>
      </c>
      <c r="AI154">
        <f>IF($A154="","",IFERROR(VLOOKUP($B154,_CONFIG_Risk_Calibration!$A$5:$H$21,5,FALSE),3))</f>
        <v>4</v>
      </c>
      <c r="AJ154" t="str">
        <f>IF($A154="","",IFERROR(VLOOKUP($B154,_CONFIG_Risk_Calibration!$A$5:$H$21,6,FALSE),"No"))</f>
        <v>Yes</v>
      </c>
      <c r="AK154">
        <f>IF($A154="","",IFERROR(VLOOKUP($B154,_CONFIG_Risk_Calibration!$A$5:$H$21,7,FALSE),1))</f>
        <v>5</v>
      </c>
      <c r="AL154" t="str">
        <f>IF($A154="","",IFERROR(VLOOKUP($B154,_CONFIG_Risk_Calibration!$A$5:$H$21,8,FALSE),""))</f>
        <v>Clean template default. Calibrate with real exposure, incident history, evidence quality and domain-owner validation.</v>
      </c>
      <c r="AM154">
        <f>IF($A154="","",IFERROR(INDEX(_DATA_Assessment_Model!$AL$1:$AL$428,MATCH($A154,_DATA_Assessment_Model!$A$1:$A$428,0)),""))</f>
        <v>0</v>
      </c>
      <c r="AN154">
        <f t="shared" si="7"/>
        <v>1</v>
      </c>
      <c r="AO154">
        <f>IF($A154="","",_CONFIG_Model_Settings!$B$172*MAX(N($AK154),(N($AF154)+N($AI154))/2))</f>
        <v>100</v>
      </c>
      <c r="AP154">
        <f t="shared" si="8"/>
        <v>100</v>
      </c>
      <c r="AQ154">
        <f>IF($AP154="","",MAX(0,$AP154*(1-(_CONFIG_Model_Settings!$B$173+_CONFIG_Model_Settings!$B$174*(N($AH154)-1)))))</f>
        <v>65</v>
      </c>
      <c r="AR154">
        <f>IF($AP154="","",MIN(100,$AP154*(1+(_CONFIG_Model_Settings!$B$173+_CONFIG_Model_Settings!$B$174*(N($AH154)-1)))))</f>
        <v>100</v>
      </c>
    </row>
    <row r="155" spans="1:44" ht="72" customHeight="1">
      <c r="A155" s="9" t="s">
        <v>1718</v>
      </c>
      <c r="B155" s="9" t="s">
        <v>1666</v>
      </c>
      <c r="C155" s="9" t="s">
        <v>1677</v>
      </c>
      <c r="D155" s="9" t="s">
        <v>3685</v>
      </c>
      <c r="E155" s="9" t="s">
        <v>1719</v>
      </c>
      <c r="F155" s="9" t="s">
        <v>6715</v>
      </c>
      <c r="G155" s="9" t="s">
        <v>6716</v>
      </c>
      <c r="H155" s="9" t="s">
        <v>6717</v>
      </c>
      <c r="I155" s="9" t="s">
        <v>6718</v>
      </c>
      <c r="J155" s="9" t="s">
        <v>6719</v>
      </c>
      <c r="K155" s="9" t="s">
        <v>6720</v>
      </c>
      <c r="L155" s="9" t="s">
        <v>6721</v>
      </c>
      <c r="M155" s="9" t="s">
        <v>6722</v>
      </c>
      <c r="N155" s="9" t="s">
        <v>6723</v>
      </c>
      <c r="O155" s="9" t="s">
        <v>6724</v>
      </c>
      <c r="P155" s="9" t="s">
        <v>6725</v>
      </c>
      <c r="Q155" s="9" t="s">
        <v>6726</v>
      </c>
      <c r="R155" s="9" t="s">
        <v>4589</v>
      </c>
      <c r="S155" s="9" t="s">
        <v>6727</v>
      </c>
      <c r="T155" s="9">
        <v>4</v>
      </c>
      <c r="U155" s="9">
        <v>3</v>
      </c>
      <c r="V155" s="9">
        <v>3</v>
      </c>
      <c r="W155" s="9">
        <v>2</v>
      </c>
      <c r="X155" s="9">
        <v>1</v>
      </c>
      <c r="Y155" s="9">
        <v>1</v>
      </c>
      <c r="Z155" s="9" t="s">
        <v>1671</v>
      </c>
      <c r="AA155" s="9" t="s">
        <v>1720</v>
      </c>
      <c r="AB155" s="9" t="s">
        <v>1673</v>
      </c>
      <c r="AC155" s="9" t="s">
        <v>6587</v>
      </c>
      <c r="AD155" s="9" t="s">
        <v>6728</v>
      </c>
      <c r="AE155" t="str">
        <f t="shared" si="6"/>
        <v>Fast</v>
      </c>
      <c r="AF155">
        <f>IF($A155="","",IFERROR(VLOOKUP($B155,_CONFIG_Risk_Calibration!$A$5:$H$21,2,FALSE),3))</f>
        <v>3</v>
      </c>
      <c r="AG155">
        <f>IF($A155="","",IFERROR(VLOOKUP($B155,_CONFIG_Risk_Calibration!$A$5:$H$21,3,FALSE),0))</f>
        <v>0</v>
      </c>
      <c r="AH155">
        <f>IF($A155="","",IFERROR(VLOOKUP($B155,_CONFIG_Risk_Calibration!$A$5:$H$21,4,FALSE),3))</f>
        <v>3</v>
      </c>
      <c r="AI155">
        <f>IF($A155="","",IFERROR(VLOOKUP($B155,_CONFIG_Risk_Calibration!$A$5:$H$21,5,FALSE),3))</f>
        <v>4</v>
      </c>
      <c r="AJ155" t="str">
        <f>IF($A155="","",IFERROR(VLOOKUP($B155,_CONFIG_Risk_Calibration!$A$5:$H$21,6,FALSE),"No"))</f>
        <v>Yes</v>
      </c>
      <c r="AK155">
        <f>IF($A155="","",IFERROR(VLOOKUP($B155,_CONFIG_Risk_Calibration!$A$5:$H$21,7,FALSE),1))</f>
        <v>5</v>
      </c>
      <c r="AL155" t="str">
        <f>IF($A155="","",IFERROR(VLOOKUP($B155,_CONFIG_Risk_Calibration!$A$5:$H$21,8,FALSE),""))</f>
        <v>Clean template default. Calibrate with real exposure, incident history, evidence quality and domain-owner validation.</v>
      </c>
      <c r="AM155">
        <f>IF($A155="","",IFERROR(INDEX(_DATA_Assessment_Model!$AL$1:$AL$428,MATCH($A155,_DATA_Assessment_Model!$A$1:$A$428,0)),""))</f>
        <v>0</v>
      </c>
      <c r="AN155">
        <f t="shared" si="7"/>
        <v>1</v>
      </c>
      <c r="AO155">
        <f>IF($A155="","",_CONFIG_Model_Settings!$B$172*MAX(N($AK155),(N($AF155)+N($AI155))/2))</f>
        <v>100</v>
      </c>
      <c r="AP155">
        <f t="shared" si="8"/>
        <v>100</v>
      </c>
      <c r="AQ155">
        <f>IF($AP155="","",MAX(0,$AP155*(1-(_CONFIG_Model_Settings!$B$173+_CONFIG_Model_Settings!$B$174*(N($AH155)-1)))))</f>
        <v>65</v>
      </c>
      <c r="AR155">
        <f>IF($AP155="","",MIN(100,$AP155*(1+(_CONFIG_Model_Settings!$B$173+_CONFIG_Model_Settings!$B$174*(N($AH155)-1)))))</f>
        <v>100</v>
      </c>
    </row>
    <row r="156" spans="1:44" ht="84" customHeight="1">
      <c r="A156" s="9" t="s">
        <v>1727</v>
      </c>
      <c r="B156" s="9" t="s">
        <v>1666</v>
      </c>
      <c r="C156" s="9" t="s">
        <v>1677</v>
      </c>
      <c r="D156" s="9" t="s">
        <v>3685</v>
      </c>
      <c r="E156" s="9" t="s">
        <v>1728</v>
      </c>
      <c r="F156" s="9" t="s">
        <v>6729</v>
      </c>
      <c r="G156" s="9" t="s">
        <v>6730</v>
      </c>
      <c r="H156" s="9" t="s">
        <v>6731</v>
      </c>
      <c r="I156" s="9" t="s">
        <v>6732</v>
      </c>
      <c r="J156" s="9" t="s">
        <v>6733</v>
      </c>
      <c r="K156" s="9" t="s">
        <v>6734</v>
      </c>
      <c r="L156" s="9" t="s">
        <v>6735</v>
      </c>
      <c r="M156" s="9" t="s">
        <v>6736</v>
      </c>
      <c r="N156" s="9" t="s">
        <v>6737</v>
      </c>
      <c r="O156" s="9" t="s">
        <v>6738</v>
      </c>
      <c r="P156" s="9" t="s">
        <v>6739</v>
      </c>
      <c r="Q156" s="9" t="s">
        <v>6740</v>
      </c>
      <c r="R156" s="9" t="s">
        <v>4589</v>
      </c>
      <c r="S156" s="9" t="s">
        <v>6741</v>
      </c>
      <c r="T156" s="9">
        <v>4</v>
      </c>
      <c r="U156" s="9">
        <v>3</v>
      </c>
      <c r="V156" s="9">
        <v>3</v>
      </c>
      <c r="W156" s="9">
        <v>2</v>
      </c>
      <c r="X156" s="9">
        <v>1</v>
      </c>
      <c r="Y156" s="9">
        <v>1</v>
      </c>
      <c r="Z156" s="9" t="s">
        <v>1671</v>
      </c>
      <c r="AA156" s="9" t="s">
        <v>1729</v>
      </c>
      <c r="AB156" s="9" t="s">
        <v>1673</v>
      </c>
      <c r="AC156" s="9" t="s">
        <v>6587</v>
      </c>
      <c r="AD156" s="9" t="s">
        <v>6742</v>
      </c>
      <c r="AE156" t="str">
        <f t="shared" si="6"/>
        <v>Fast</v>
      </c>
      <c r="AF156">
        <f>IF($A156="","",IFERROR(VLOOKUP($B156,_CONFIG_Risk_Calibration!$A$5:$H$21,2,FALSE),3))</f>
        <v>3</v>
      </c>
      <c r="AG156">
        <f>IF($A156="","",IFERROR(VLOOKUP($B156,_CONFIG_Risk_Calibration!$A$5:$H$21,3,FALSE),0))</f>
        <v>0</v>
      </c>
      <c r="AH156">
        <f>IF($A156="","",IFERROR(VLOOKUP($B156,_CONFIG_Risk_Calibration!$A$5:$H$21,4,FALSE),3))</f>
        <v>3</v>
      </c>
      <c r="AI156">
        <f>IF($A156="","",IFERROR(VLOOKUP($B156,_CONFIG_Risk_Calibration!$A$5:$H$21,5,FALSE),3))</f>
        <v>4</v>
      </c>
      <c r="AJ156" t="str">
        <f>IF($A156="","",IFERROR(VLOOKUP($B156,_CONFIG_Risk_Calibration!$A$5:$H$21,6,FALSE),"No"))</f>
        <v>Yes</v>
      </c>
      <c r="AK156">
        <f>IF($A156="","",IFERROR(VLOOKUP($B156,_CONFIG_Risk_Calibration!$A$5:$H$21,7,FALSE),1))</f>
        <v>5</v>
      </c>
      <c r="AL156" t="str">
        <f>IF($A156="","",IFERROR(VLOOKUP($B156,_CONFIG_Risk_Calibration!$A$5:$H$21,8,FALSE),""))</f>
        <v>Clean template default. Calibrate with real exposure, incident history, evidence quality and domain-owner validation.</v>
      </c>
      <c r="AM156">
        <f>IF($A156="","",IFERROR(INDEX(_DATA_Assessment_Model!$AL$1:$AL$428,MATCH($A156,_DATA_Assessment_Model!$A$1:$A$428,0)),""))</f>
        <v>0</v>
      </c>
      <c r="AN156">
        <f t="shared" si="7"/>
        <v>1</v>
      </c>
      <c r="AO156">
        <f>IF($A156="","",_CONFIG_Model_Settings!$B$172*MAX(N($AK156),(N($AF156)+N($AI156))/2))</f>
        <v>100</v>
      </c>
      <c r="AP156">
        <f t="shared" si="8"/>
        <v>100</v>
      </c>
      <c r="AQ156">
        <f>IF($AP156="","",MAX(0,$AP156*(1-(_CONFIG_Model_Settings!$B$173+_CONFIG_Model_Settings!$B$174*(N($AH156)-1)))))</f>
        <v>65</v>
      </c>
      <c r="AR156">
        <f>IF($AP156="","",MIN(100,$AP156*(1+(_CONFIG_Model_Settings!$B$173+_CONFIG_Model_Settings!$B$174*(N($AH156)-1)))))</f>
        <v>100</v>
      </c>
    </row>
    <row r="157" spans="1:44" ht="84" customHeight="1">
      <c r="A157" s="9" t="s">
        <v>1736</v>
      </c>
      <c r="B157" s="9" t="s">
        <v>1666</v>
      </c>
      <c r="C157" s="9" t="s">
        <v>1681</v>
      </c>
      <c r="D157" s="9" t="s">
        <v>3685</v>
      </c>
      <c r="E157" s="9" t="s">
        <v>1737</v>
      </c>
      <c r="F157" s="9" t="s">
        <v>6743</v>
      </c>
      <c r="G157" s="9" t="s">
        <v>6744</v>
      </c>
      <c r="H157" s="9" t="s">
        <v>6745</v>
      </c>
      <c r="I157" s="9" t="s">
        <v>6746</v>
      </c>
      <c r="J157" s="9" t="s">
        <v>6747</v>
      </c>
      <c r="K157" s="9" t="s">
        <v>6748</v>
      </c>
      <c r="L157" s="9" t="s">
        <v>6749</v>
      </c>
      <c r="M157" s="9" t="s">
        <v>6750</v>
      </c>
      <c r="N157" s="9" t="s">
        <v>6751</v>
      </c>
      <c r="O157" s="9" t="s">
        <v>6752</v>
      </c>
      <c r="P157" s="9" t="s">
        <v>6753</v>
      </c>
      <c r="Q157" s="9" t="s">
        <v>6754</v>
      </c>
      <c r="R157" s="9" t="s">
        <v>4589</v>
      </c>
      <c r="S157" s="9" t="s">
        <v>6755</v>
      </c>
      <c r="T157" s="9">
        <v>4</v>
      </c>
      <c r="U157" s="9">
        <v>3</v>
      </c>
      <c r="V157" s="9">
        <v>3</v>
      </c>
      <c r="W157" s="9">
        <v>2</v>
      </c>
      <c r="X157" s="9">
        <v>1</v>
      </c>
      <c r="Y157" s="9">
        <v>1</v>
      </c>
      <c r="Z157" s="9" t="s">
        <v>1671</v>
      </c>
      <c r="AA157" s="9" t="s">
        <v>1738</v>
      </c>
      <c r="AB157" s="9" t="s">
        <v>1673</v>
      </c>
      <c r="AC157" s="9" t="s">
        <v>6587</v>
      </c>
      <c r="AD157" s="9" t="s">
        <v>6756</v>
      </c>
      <c r="AE157" t="str">
        <f t="shared" si="6"/>
        <v>Fast</v>
      </c>
      <c r="AF157">
        <f>IF($A157="","",IFERROR(VLOOKUP($B157,_CONFIG_Risk_Calibration!$A$5:$H$21,2,FALSE),3))</f>
        <v>3</v>
      </c>
      <c r="AG157">
        <f>IF($A157="","",IFERROR(VLOOKUP($B157,_CONFIG_Risk_Calibration!$A$5:$H$21,3,FALSE),0))</f>
        <v>0</v>
      </c>
      <c r="AH157">
        <f>IF($A157="","",IFERROR(VLOOKUP($B157,_CONFIG_Risk_Calibration!$A$5:$H$21,4,FALSE),3))</f>
        <v>3</v>
      </c>
      <c r="AI157">
        <f>IF($A157="","",IFERROR(VLOOKUP($B157,_CONFIG_Risk_Calibration!$A$5:$H$21,5,FALSE),3))</f>
        <v>4</v>
      </c>
      <c r="AJ157" t="str">
        <f>IF($A157="","",IFERROR(VLOOKUP($B157,_CONFIG_Risk_Calibration!$A$5:$H$21,6,FALSE),"No"))</f>
        <v>Yes</v>
      </c>
      <c r="AK157">
        <f>IF($A157="","",IFERROR(VLOOKUP($B157,_CONFIG_Risk_Calibration!$A$5:$H$21,7,FALSE),1))</f>
        <v>5</v>
      </c>
      <c r="AL157" t="str">
        <f>IF($A157="","",IFERROR(VLOOKUP($B157,_CONFIG_Risk_Calibration!$A$5:$H$21,8,FALSE),""))</f>
        <v>Clean template default. Calibrate with real exposure, incident history, evidence quality and domain-owner validation.</v>
      </c>
      <c r="AM157">
        <f>IF($A157="","",IFERROR(INDEX(_DATA_Assessment_Model!$AL$1:$AL$428,MATCH($A157,_DATA_Assessment_Model!$A$1:$A$428,0)),""))</f>
        <v>0</v>
      </c>
      <c r="AN157">
        <f t="shared" si="7"/>
        <v>1</v>
      </c>
      <c r="AO157">
        <f>IF($A157="","",_CONFIG_Model_Settings!$B$172*MAX(N($AK157),(N($AF157)+N($AI157))/2))</f>
        <v>100</v>
      </c>
      <c r="AP157">
        <f t="shared" si="8"/>
        <v>100</v>
      </c>
      <c r="AQ157">
        <f>IF($AP157="","",MAX(0,$AP157*(1-(_CONFIG_Model_Settings!$B$173+_CONFIG_Model_Settings!$B$174*(N($AH157)-1)))))</f>
        <v>65</v>
      </c>
      <c r="AR157">
        <f>IF($AP157="","",MIN(100,$AP157*(1+(_CONFIG_Model_Settings!$B$173+_CONFIG_Model_Settings!$B$174*(N($AH157)-1)))))</f>
        <v>100</v>
      </c>
    </row>
    <row r="158" spans="1:44" ht="72" customHeight="1">
      <c r="A158" s="9" t="s">
        <v>1745</v>
      </c>
      <c r="B158" s="9" t="s">
        <v>1666</v>
      </c>
      <c r="C158" s="9" t="s">
        <v>1681</v>
      </c>
      <c r="D158" s="9" t="s">
        <v>3685</v>
      </c>
      <c r="E158" s="9" t="s">
        <v>1746</v>
      </c>
      <c r="F158" s="9" t="s">
        <v>6757</v>
      </c>
      <c r="G158" s="9" t="s">
        <v>6758</v>
      </c>
      <c r="H158" s="9" t="s">
        <v>6759</v>
      </c>
      <c r="I158" s="9" t="s">
        <v>6760</v>
      </c>
      <c r="J158" s="9" t="s">
        <v>6761</v>
      </c>
      <c r="K158" s="9" t="s">
        <v>6762</v>
      </c>
      <c r="L158" s="9" t="s">
        <v>6763</v>
      </c>
      <c r="M158" s="9" t="s">
        <v>6764</v>
      </c>
      <c r="N158" s="9" t="s">
        <v>6765</v>
      </c>
      <c r="O158" s="9" t="s">
        <v>6766</v>
      </c>
      <c r="P158" s="9" t="s">
        <v>6767</v>
      </c>
      <c r="Q158" s="9" t="s">
        <v>6768</v>
      </c>
      <c r="R158" s="9" t="s">
        <v>4589</v>
      </c>
      <c r="S158" s="9" t="s">
        <v>6769</v>
      </c>
      <c r="T158" s="9">
        <v>4</v>
      </c>
      <c r="U158" s="9">
        <v>3</v>
      </c>
      <c r="V158" s="9">
        <v>3</v>
      </c>
      <c r="W158" s="9">
        <v>2</v>
      </c>
      <c r="X158" s="9">
        <v>1</v>
      </c>
      <c r="Y158" s="9">
        <v>1</v>
      </c>
      <c r="Z158" s="9" t="s">
        <v>1671</v>
      </c>
      <c r="AA158" s="9" t="s">
        <v>1747</v>
      </c>
      <c r="AB158" s="9" t="s">
        <v>1673</v>
      </c>
      <c r="AC158" s="9" t="s">
        <v>6587</v>
      </c>
      <c r="AD158" s="9" t="s">
        <v>6770</v>
      </c>
      <c r="AE158" t="str">
        <f t="shared" si="6"/>
        <v>Fast</v>
      </c>
      <c r="AF158">
        <f>IF($A158="","",IFERROR(VLOOKUP($B158,_CONFIG_Risk_Calibration!$A$5:$H$21,2,FALSE),3))</f>
        <v>3</v>
      </c>
      <c r="AG158">
        <f>IF($A158="","",IFERROR(VLOOKUP($B158,_CONFIG_Risk_Calibration!$A$5:$H$21,3,FALSE),0))</f>
        <v>0</v>
      </c>
      <c r="AH158">
        <f>IF($A158="","",IFERROR(VLOOKUP($B158,_CONFIG_Risk_Calibration!$A$5:$H$21,4,FALSE),3))</f>
        <v>3</v>
      </c>
      <c r="AI158">
        <f>IF($A158="","",IFERROR(VLOOKUP($B158,_CONFIG_Risk_Calibration!$A$5:$H$21,5,FALSE),3))</f>
        <v>4</v>
      </c>
      <c r="AJ158" t="str">
        <f>IF($A158="","",IFERROR(VLOOKUP($B158,_CONFIG_Risk_Calibration!$A$5:$H$21,6,FALSE),"No"))</f>
        <v>Yes</v>
      </c>
      <c r="AK158">
        <f>IF($A158="","",IFERROR(VLOOKUP($B158,_CONFIG_Risk_Calibration!$A$5:$H$21,7,FALSE),1))</f>
        <v>5</v>
      </c>
      <c r="AL158" t="str">
        <f>IF($A158="","",IFERROR(VLOOKUP($B158,_CONFIG_Risk_Calibration!$A$5:$H$21,8,FALSE),""))</f>
        <v>Clean template default. Calibrate with real exposure, incident history, evidence quality and domain-owner validation.</v>
      </c>
      <c r="AM158">
        <f>IF($A158="","",IFERROR(INDEX(_DATA_Assessment_Model!$AL$1:$AL$428,MATCH($A158,_DATA_Assessment_Model!$A$1:$A$428,0)),""))</f>
        <v>0</v>
      </c>
      <c r="AN158">
        <f t="shared" si="7"/>
        <v>1</v>
      </c>
      <c r="AO158">
        <f>IF($A158="","",_CONFIG_Model_Settings!$B$172*MAX(N($AK158),(N($AF158)+N($AI158))/2))</f>
        <v>100</v>
      </c>
      <c r="AP158">
        <f t="shared" si="8"/>
        <v>100</v>
      </c>
      <c r="AQ158">
        <f>IF($AP158="","",MAX(0,$AP158*(1-(_CONFIG_Model_Settings!$B$173+_CONFIG_Model_Settings!$B$174*(N($AH158)-1)))))</f>
        <v>65</v>
      </c>
      <c r="AR158">
        <f>IF($AP158="","",MIN(100,$AP158*(1+(_CONFIG_Model_Settings!$B$173+_CONFIG_Model_Settings!$B$174*(N($AH158)-1)))))</f>
        <v>100</v>
      </c>
    </row>
    <row r="159" spans="1:44" ht="72" customHeight="1">
      <c r="A159" s="9" t="s">
        <v>1754</v>
      </c>
      <c r="B159" s="9" t="s">
        <v>1666</v>
      </c>
      <c r="C159" s="9" t="s">
        <v>1681</v>
      </c>
      <c r="D159" s="9" t="s">
        <v>3685</v>
      </c>
      <c r="E159" s="9" t="s">
        <v>1755</v>
      </c>
      <c r="F159" s="9" t="s">
        <v>6771</v>
      </c>
      <c r="G159" s="9" t="s">
        <v>6772</v>
      </c>
      <c r="H159" s="9" t="s">
        <v>6773</v>
      </c>
      <c r="I159" s="9" t="s">
        <v>6774</v>
      </c>
      <c r="J159" s="9" t="s">
        <v>6775</v>
      </c>
      <c r="K159" s="9" t="s">
        <v>6776</v>
      </c>
      <c r="L159" s="9" t="s">
        <v>6777</v>
      </c>
      <c r="M159" s="9" t="s">
        <v>6778</v>
      </c>
      <c r="N159" s="9" t="s">
        <v>6779</v>
      </c>
      <c r="O159" s="9" t="s">
        <v>6780</v>
      </c>
      <c r="P159" s="9" t="s">
        <v>6781</v>
      </c>
      <c r="Q159" s="9" t="s">
        <v>6782</v>
      </c>
      <c r="R159" s="9" t="s">
        <v>4589</v>
      </c>
      <c r="S159" s="9" t="s">
        <v>6783</v>
      </c>
      <c r="T159" s="9">
        <v>4</v>
      </c>
      <c r="U159" s="9">
        <v>3</v>
      </c>
      <c r="V159" s="9">
        <v>3</v>
      </c>
      <c r="W159" s="9">
        <v>2</v>
      </c>
      <c r="X159" s="9">
        <v>1</v>
      </c>
      <c r="Y159" s="9">
        <v>1</v>
      </c>
      <c r="Z159" s="9" t="s">
        <v>1671</v>
      </c>
      <c r="AA159" s="9" t="s">
        <v>1756</v>
      </c>
      <c r="AB159" s="9" t="s">
        <v>1673</v>
      </c>
      <c r="AC159" s="9" t="s">
        <v>6587</v>
      </c>
      <c r="AD159" s="9" t="s">
        <v>6784</v>
      </c>
      <c r="AE159" t="str">
        <f t="shared" si="6"/>
        <v>Fast</v>
      </c>
      <c r="AF159">
        <f>IF($A159="","",IFERROR(VLOOKUP($B159,_CONFIG_Risk_Calibration!$A$5:$H$21,2,FALSE),3))</f>
        <v>3</v>
      </c>
      <c r="AG159">
        <f>IF($A159="","",IFERROR(VLOOKUP($B159,_CONFIG_Risk_Calibration!$A$5:$H$21,3,FALSE),0))</f>
        <v>0</v>
      </c>
      <c r="AH159">
        <f>IF($A159="","",IFERROR(VLOOKUP($B159,_CONFIG_Risk_Calibration!$A$5:$H$21,4,FALSE),3))</f>
        <v>3</v>
      </c>
      <c r="AI159">
        <f>IF($A159="","",IFERROR(VLOOKUP($B159,_CONFIG_Risk_Calibration!$A$5:$H$21,5,FALSE),3))</f>
        <v>4</v>
      </c>
      <c r="AJ159" t="str">
        <f>IF($A159="","",IFERROR(VLOOKUP($B159,_CONFIG_Risk_Calibration!$A$5:$H$21,6,FALSE),"No"))</f>
        <v>Yes</v>
      </c>
      <c r="AK159">
        <f>IF($A159="","",IFERROR(VLOOKUP($B159,_CONFIG_Risk_Calibration!$A$5:$H$21,7,FALSE),1))</f>
        <v>5</v>
      </c>
      <c r="AL159" t="str">
        <f>IF($A159="","",IFERROR(VLOOKUP($B159,_CONFIG_Risk_Calibration!$A$5:$H$21,8,FALSE),""))</f>
        <v>Clean template default. Calibrate with real exposure, incident history, evidence quality and domain-owner validation.</v>
      </c>
      <c r="AM159">
        <f>IF($A159="","",IFERROR(INDEX(_DATA_Assessment_Model!$AL$1:$AL$428,MATCH($A159,_DATA_Assessment_Model!$A$1:$A$428,0)),""))</f>
        <v>0</v>
      </c>
      <c r="AN159">
        <f t="shared" si="7"/>
        <v>1</v>
      </c>
      <c r="AO159">
        <f>IF($A159="","",_CONFIG_Model_Settings!$B$172*MAX(N($AK159),(N($AF159)+N($AI159))/2))</f>
        <v>100</v>
      </c>
      <c r="AP159">
        <f t="shared" si="8"/>
        <v>100</v>
      </c>
      <c r="AQ159">
        <f>IF($AP159="","",MAX(0,$AP159*(1-(_CONFIG_Model_Settings!$B$173+_CONFIG_Model_Settings!$B$174*(N($AH159)-1)))))</f>
        <v>65</v>
      </c>
      <c r="AR159">
        <f>IF($AP159="","",MIN(100,$AP159*(1+(_CONFIG_Model_Settings!$B$173+_CONFIG_Model_Settings!$B$174*(N($AH159)-1)))))</f>
        <v>100</v>
      </c>
    </row>
    <row r="160" spans="1:44" ht="72" customHeight="1">
      <c r="A160" s="9" t="s">
        <v>1763</v>
      </c>
      <c r="B160" s="9" t="s">
        <v>1666</v>
      </c>
      <c r="C160" s="9" t="s">
        <v>1681</v>
      </c>
      <c r="D160" s="9" t="s">
        <v>3685</v>
      </c>
      <c r="E160" s="9" t="s">
        <v>1764</v>
      </c>
      <c r="F160" s="9" t="s">
        <v>6785</v>
      </c>
      <c r="G160" s="9" t="s">
        <v>6786</v>
      </c>
      <c r="H160" s="9" t="s">
        <v>6787</v>
      </c>
      <c r="I160" s="9" t="s">
        <v>6788</v>
      </c>
      <c r="J160" s="9" t="s">
        <v>6789</v>
      </c>
      <c r="K160" s="9" t="s">
        <v>6790</v>
      </c>
      <c r="L160" s="9" t="s">
        <v>6791</v>
      </c>
      <c r="M160" s="9" t="s">
        <v>6792</v>
      </c>
      <c r="N160" s="9" t="s">
        <v>6793</v>
      </c>
      <c r="O160" s="9" t="s">
        <v>6794</v>
      </c>
      <c r="P160" s="9" t="s">
        <v>6795</v>
      </c>
      <c r="Q160" s="9" t="s">
        <v>6796</v>
      </c>
      <c r="R160" s="9" t="s">
        <v>4589</v>
      </c>
      <c r="S160" s="9" t="s">
        <v>6797</v>
      </c>
      <c r="T160" s="9">
        <v>4</v>
      </c>
      <c r="U160" s="9">
        <v>3</v>
      </c>
      <c r="V160" s="9">
        <v>3</v>
      </c>
      <c r="W160" s="9">
        <v>2</v>
      </c>
      <c r="X160" s="9">
        <v>1</v>
      </c>
      <c r="Y160" s="9">
        <v>1</v>
      </c>
      <c r="Z160" s="9" t="s">
        <v>1671</v>
      </c>
      <c r="AA160" s="9" t="s">
        <v>1765</v>
      </c>
      <c r="AB160" s="9" t="s">
        <v>1673</v>
      </c>
      <c r="AC160" s="9" t="s">
        <v>6587</v>
      </c>
      <c r="AD160" s="9" t="s">
        <v>6798</v>
      </c>
      <c r="AE160" t="str">
        <f t="shared" si="6"/>
        <v>Fast</v>
      </c>
      <c r="AF160">
        <f>IF($A160="","",IFERROR(VLOOKUP($B160,_CONFIG_Risk_Calibration!$A$5:$H$21,2,FALSE),3))</f>
        <v>3</v>
      </c>
      <c r="AG160">
        <f>IF($A160="","",IFERROR(VLOOKUP($B160,_CONFIG_Risk_Calibration!$A$5:$H$21,3,FALSE),0))</f>
        <v>0</v>
      </c>
      <c r="AH160">
        <f>IF($A160="","",IFERROR(VLOOKUP($B160,_CONFIG_Risk_Calibration!$A$5:$H$21,4,FALSE),3))</f>
        <v>3</v>
      </c>
      <c r="AI160">
        <f>IF($A160="","",IFERROR(VLOOKUP($B160,_CONFIG_Risk_Calibration!$A$5:$H$21,5,FALSE),3))</f>
        <v>4</v>
      </c>
      <c r="AJ160" t="str">
        <f>IF($A160="","",IFERROR(VLOOKUP($B160,_CONFIG_Risk_Calibration!$A$5:$H$21,6,FALSE),"No"))</f>
        <v>Yes</v>
      </c>
      <c r="AK160">
        <f>IF($A160="","",IFERROR(VLOOKUP($B160,_CONFIG_Risk_Calibration!$A$5:$H$21,7,FALSE),1))</f>
        <v>5</v>
      </c>
      <c r="AL160" t="str">
        <f>IF($A160="","",IFERROR(VLOOKUP($B160,_CONFIG_Risk_Calibration!$A$5:$H$21,8,FALSE),""))</f>
        <v>Clean template default. Calibrate with real exposure, incident history, evidence quality and domain-owner validation.</v>
      </c>
      <c r="AM160">
        <f>IF($A160="","",IFERROR(INDEX(_DATA_Assessment_Model!$AL$1:$AL$428,MATCH($A160,_DATA_Assessment_Model!$A$1:$A$428,0)),""))</f>
        <v>0</v>
      </c>
      <c r="AN160">
        <f t="shared" si="7"/>
        <v>1</v>
      </c>
      <c r="AO160">
        <f>IF($A160="","",_CONFIG_Model_Settings!$B$172*MAX(N($AK160),(N($AF160)+N($AI160))/2))</f>
        <v>100</v>
      </c>
      <c r="AP160">
        <f t="shared" si="8"/>
        <v>100</v>
      </c>
      <c r="AQ160">
        <f>IF($AP160="","",MAX(0,$AP160*(1-(_CONFIG_Model_Settings!$B$173+_CONFIG_Model_Settings!$B$174*(N($AH160)-1)))))</f>
        <v>65</v>
      </c>
      <c r="AR160">
        <f>IF($AP160="","",MIN(100,$AP160*(1+(_CONFIG_Model_Settings!$B$173+_CONFIG_Model_Settings!$B$174*(N($AH160)-1)))))</f>
        <v>100</v>
      </c>
    </row>
    <row r="161" spans="1:44" ht="72" customHeight="1">
      <c r="A161" s="9" t="s">
        <v>1766</v>
      </c>
      <c r="B161" s="9" t="s">
        <v>1666</v>
      </c>
      <c r="C161" s="9" t="s">
        <v>1681</v>
      </c>
      <c r="D161" s="9" t="s">
        <v>3685</v>
      </c>
      <c r="E161" s="9" t="s">
        <v>1767</v>
      </c>
      <c r="F161" s="9" t="s">
        <v>6799</v>
      </c>
      <c r="G161" s="9" t="s">
        <v>6800</v>
      </c>
      <c r="H161" s="9" t="s">
        <v>6801</v>
      </c>
      <c r="I161" s="9" t="s">
        <v>6802</v>
      </c>
      <c r="J161" s="9" t="s">
        <v>6803</v>
      </c>
      <c r="K161" s="9" t="s">
        <v>6804</v>
      </c>
      <c r="L161" s="9" t="s">
        <v>6805</v>
      </c>
      <c r="M161" s="9" t="s">
        <v>6806</v>
      </c>
      <c r="N161" s="9" t="s">
        <v>6807</v>
      </c>
      <c r="O161" s="9" t="s">
        <v>6808</v>
      </c>
      <c r="P161" s="9" t="s">
        <v>6809</v>
      </c>
      <c r="Q161" s="9" t="s">
        <v>6810</v>
      </c>
      <c r="R161" s="9" t="s">
        <v>4589</v>
      </c>
      <c r="S161" s="9" t="s">
        <v>6811</v>
      </c>
      <c r="T161" s="9">
        <v>4</v>
      </c>
      <c r="U161" s="9">
        <v>3</v>
      </c>
      <c r="V161" s="9">
        <v>3</v>
      </c>
      <c r="W161" s="9">
        <v>2</v>
      </c>
      <c r="X161" s="9">
        <v>1</v>
      </c>
      <c r="Y161" s="9">
        <v>1</v>
      </c>
      <c r="Z161" s="9" t="s">
        <v>1671</v>
      </c>
      <c r="AA161" s="9" t="s">
        <v>1768</v>
      </c>
      <c r="AB161" s="9" t="s">
        <v>1673</v>
      </c>
      <c r="AC161" s="9" t="s">
        <v>6587</v>
      </c>
      <c r="AD161" s="9" t="s">
        <v>6812</v>
      </c>
      <c r="AE161" t="str">
        <f t="shared" si="6"/>
        <v>Fast</v>
      </c>
      <c r="AF161">
        <f>IF($A161="","",IFERROR(VLOOKUP($B161,_CONFIG_Risk_Calibration!$A$5:$H$21,2,FALSE),3))</f>
        <v>3</v>
      </c>
      <c r="AG161">
        <f>IF($A161="","",IFERROR(VLOOKUP($B161,_CONFIG_Risk_Calibration!$A$5:$H$21,3,FALSE),0))</f>
        <v>0</v>
      </c>
      <c r="AH161">
        <f>IF($A161="","",IFERROR(VLOOKUP($B161,_CONFIG_Risk_Calibration!$A$5:$H$21,4,FALSE),3))</f>
        <v>3</v>
      </c>
      <c r="AI161">
        <f>IF($A161="","",IFERROR(VLOOKUP($B161,_CONFIG_Risk_Calibration!$A$5:$H$21,5,FALSE),3))</f>
        <v>4</v>
      </c>
      <c r="AJ161" t="str">
        <f>IF($A161="","",IFERROR(VLOOKUP($B161,_CONFIG_Risk_Calibration!$A$5:$H$21,6,FALSE),"No"))</f>
        <v>Yes</v>
      </c>
      <c r="AK161">
        <f>IF($A161="","",IFERROR(VLOOKUP($B161,_CONFIG_Risk_Calibration!$A$5:$H$21,7,FALSE),1))</f>
        <v>5</v>
      </c>
      <c r="AL161" t="str">
        <f>IF($A161="","",IFERROR(VLOOKUP($B161,_CONFIG_Risk_Calibration!$A$5:$H$21,8,FALSE),""))</f>
        <v>Clean template default. Calibrate with real exposure, incident history, evidence quality and domain-owner validation.</v>
      </c>
      <c r="AM161">
        <f>IF($A161="","",IFERROR(INDEX(_DATA_Assessment_Model!$AL$1:$AL$428,MATCH($A161,_DATA_Assessment_Model!$A$1:$A$428,0)),""))</f>
        <v>0</v>
      </c>
      <c r="AN161">
        <f t="shared" si="7"/>
        <v>1</v>
      </c>
      <c r="AO161">
        <f>IF($A161="","",_CONFIG_Model_Settings!$B$172*MAX(N($AK161),(N($AF161)+N($AI161))/2))</f>
        <v>100</v>
      </c>
      <c r="AP161">
        <f t="shared" si="8"/>
        <v>100</v>
      </c>
      <c r="AQ161">
        <f>IF($AP161="","",MAX(0,$AP161*(1-(_CONFIG_Model_Settings!$B$173+_CONFIG_Model_Settings!$B$174*(N($AH161)-1)))))</f>
        <v>65</v>
      </c>
      <c r="AR161">
        <f>IF($AP161="","",MIN(100,$AP161*(1+(_CONFIG_Model_Settings!$B$173+_CONFIG_Model_Settings!$B$174*(N($AH161)-1)))))</f>
        <v>100</v>
      </c>
    </row>
    <row r="162" spans="1:44" ht="84" customHeight="1">
      <c r="A162" s="9" t="s">
        <v>1775</v>
      </c>
      <c r="B162" s="9" t="s">
        <v>1666</v>
      </c>
      <c r="C162" s="9" t="s">
        <v>1681</v>
      </c>
      <c r="D162" s="9" t="s">
        <v>3685</v>
      </c>
      <c r="E162" s="9" t="s">
        <v>1776</v>
      </c>
      <c r="F162" s="9" t="s">
        <v>6813</v>
      </c>
      <c r="G162" s="9" t="s">
        <v>6814</v>
      </c>
      <c r="H162" s="9" t="s">
        <v>6815</v>
      </c>
      <c r="I162" s="9" t="s">
        <v>6816</v>
      </c>
      <c r="J162" s="9" t="s">
        <v>6817</v>
      </c>
      <c r="K162" s="9" t="s">
        <v>6818</v>
      </c>
      <c r="L162" s="9" t="s">
        <v>6819</v>
      </c>
      <c r="M162" s="9" t="s">
        <v>6820</v>
      </c>
      <c r="N162" s="9" t="s">
        <v>6821</v>
      </c>
      <c r="O162" s="9" t="s">
        <v>6822</v>
      </c>
      <c r="P162" s="9" t="s">
        <v>6823</v>
      </c>
      <c r="Q162" s="9" t="s">
        <v>6824</v>
      </c>
      <c r="R162" s="9" t="s">
        <v>4589</v>
      </c>
      <c r="S162" s="9" t="s">
        <v>6825</v>
      </c>
      <c r="T162" s="9">
        <v>4</v>
      </c>
      <c r="U162" s="9">
        <v>3</v>
      </c>
      <c r="V162" s="9">
        <v>3</v>
      </c>
      <c r="W162" s="9">
        <v>2</v>
      </c>
      <c r="X162" s="9">
        <v>1</v>
      </c>
      <c r="Y162" s="9">
        <v>1</v>
      </c>
      <c r="Z162" s="9" t="s">
        <v>1671</v>
      </c>
      <c r="AA162" s="9" t="s">
        <v>1777</v>
      </c>
      <c r="AB162" s="9" t="s">
        <v>1673</v>
      </c>
      <c r="AC162" s="9" t="s">
        <v>6587</v>
      </c>
      <c r="AD162" s="9" t="s">
        <v>6826</v>
      </c>
      <c r="AE162" t="str">
        <f t="shared" si="6"/>
        <v>Fast</v>
      </c>
      <c r="AF162">
        <f>IF($A162="","",IFERROR(VLOOKUP($B162,_CONFIG_Risk_Calibration!$A$5:$H$21,2,FALSE),3))</f>
        <v>3</v>
      </c>
      <c r="AG162">
        <f>IF($A162="","",IFERROR(VLOOKUP($B162,_CONFIG_Risk_Calibration!$A$5:$H$21,3,FALSE),0))</f>
        <v>0</v>
      </c>
      <c r="AH162">
        <f>IF($A162="","",IFERROR(VLOOKUP($B162,_CONFIG_Risk_Calibration!$A$5:$H$21,4,FALSE),3))</f>
        <v>3</v>
      </c>
      <c r="AI162">
        <f>IF($A162="","",IFERROR(VLOOKUP($B162,_CONFIG_Risk_Calibration!$A$5:$H$21,5,FALSE),3))</f>
        <v>4</v>
      </c>
      <c r="AJ162" t="str">
        <f>IF($A162="","",IFERROR(VLOOKUP($B162,_CONFIG_Risk_Calibration!$A$5:$H$21,6,FALSE),"No"))</f>
        <v>Yes</v>
      </c>
      <c r="AK162">
        <f>IF($A162="","",IFERROR(VLOOKUP($B162,_CONFIG_Risk_Calibration!$A$5:$H$21,7,FALSE),1))</f>
        <v>5</v>
      </c>
      <c r="AL162" t="str">
        <f>IF($A162="","",IFERROR(VLOOKUP($B162,_CONFIG_Risk_Calibration!$A$5:$H$21,8,FALSE),""))</f>
        <v>Clean template default. Calibrate with real exposure, incident history, evidence quality and domain-owner validation.</v>
      </c>
      <c r="AM162">
        <f>IF($A162="","",IFERROR(INDEX(_DATA_Assessment_Model!$AL$1:$AL$428,MATCH($A162,_DATA_Assessment_Model!$A$1:$A$428,0)),""))</f>
        <v>0</v>
      </c>
      <c r="AN162">
        <f t="shared" si="7"/>
        <v>1</v>
      </c>
      <c r="AO162">
        <f>IF($A162="","",_CONFIG_Model_Settings!$B$172*MAX(N($AK162),(N($AF162)+N($AI162))/2))</f>
        <v>100</v>
      </c>
      <c r="AP162">
        <f t="shared" si="8"/>
        <v>100</v>
      </c>
      <c r="AQ162">
        <f>IF($AP162="","",MAX(0,$AP162*(1-(_CONFIG_Model_Settings!$B$173+_CONFIG_Model_Settings!$B$174*(N($AH162)-1)))))</f>
        <v>65</v>
      </c>
      <c r="AR162">
        <f>IF($AP162="","",MIN(100,$AP162*(1+(_CONFIG_Model_Settings!$B$173+_CONFIG_Model_Settings!$B$174*(N($AH162)-1)))))</f>
        <v>100</v>
      </c>
    </row>
    <row r="163" spans="1:44" ht="84" customHeight="1">
      <c r="A163" s="9" t="s">
        <v>1784</v>
      </c>
      <c r="B163" s="9" t="s">
        <v>1666</v>
      </c>
      <c r="C163" s="9" t="s">
        <v>1685</v>
      </c>
      <c r="D163" s="9" t="s">
        <v>3685</v>
      </c>
      <c r="E163" s="9" t="s">
        <v>1785</v>
      </c>
      <c r="F163" s="9" t="s">
        <v>6827</v>
      </c>
      <c r="G163" s="9" t="s">
        <v>6828</v>
      </c>
      <c r="H163" s="9" t="s">
        <v>6829</v>
      </c>
      <c r="I163" s="9" t="s">
        <v>6830</v>
      </c>
      <c r="J163" s="9" t="s">
        <v>6831</v>
      </c>
      <c r="K163" s="9" t="s">
        <v>6832</v>
      </c>
      <c r="L163" s="9" t="s">
        <v>6833</v>
      </c>
      <c r="M163" s="9" t="s">
        <v>6834</v>
      </c>
      <c r="N163" s="9" t="s">
        <v>6835</v>
      </c>
      <c r="O163" s="9" t="s">
        <v>6836</v>
      </c>
      <c r="P163" s="9" t="s">
        <v>6837</v>
      </c>
      <c r="Q163" s="9" t="s">
        <v>6838</v>
      </c>
      <c r="R163" s="9" t="s">
        <v>4589</v>
      </c>
      <c r="S163" s="9" t="s">
        <v>6839</v>
      </c>
      <c r="T163" s="9">
        <v>4</v>
      </c>
      <c r="U163" s="9">
        <v>3</v>
      </c>
      <c r="V163" s="9">
        <v>3</v>
      </c>
      <c r="W163" s="9">
        <v>2</v>
      </c>
      <c r="X163" s="9">
        <v>1</v>
      </c>
      <c r="Y163" s="9">
        <v>1</v>
      </c>
      <c r="Z163" s="9" t="s">
        <v>1671</v>
      </c>
      <c r="AA163" s="9" t="s">
        <v>1786</v>
      </c>
      <c r="AB163" s="9" t="s">
        <v>1673</v>
      </c>
      <c r="AC163" s="9" t="s">
        <v>6587</v>
      </c>
      <c r="AD163" s="9" t="s">
        <v>6840</v>
      </c>
      <c r="AE163" t="str">
        <f t="shared" si="6"/>
        <v>Fast</v>
      </c>
      <c r="AF163">
        <f>IF($A163="","",IFERROR(VLOOKUP($B163,_CONFIG_Risk_Calibration!$A$5:$H$21,2,FALSE),3))</f>
        <v>3</v>
      </c>
      <c r="AG163">
        <f>IF($A163="","",IFERROR(VLOOKUP($B163,_CONFIG_Risk_Calibration!$A$5:$H$21,3,FALSE),0))</f>
        <v>0</v>
      </c>
      <c r="AH163">
        <f>IF($A163="","",IFERROR(VLOOKUP($B163,_CONFIG_Risk_Calibration!$A$5:$H$21,4,FALSE),3))</f>
        <v>3</v>
      </c>
      <c r="AI163">
        <f>IF($A163="","",IFERROR(VLOOKUP($B163,_CONFIG_Risk_Calibration!$A$5:$H$21,5,FALSE),3))</f>
        <v>4</v>
      </c>
      <c r="AJ163" t="str">
        <f>IF($A163="","",IFERROR(VLOOKUP($B163,_CONFIG_Risk_Calibration!$A$5:$H$21,6,FALSE),"No"))</f>
        <v>Yes</v>
      </c>
      <c r="AK163">
        <f>IF($A163="","",IFERROR(VLOOKUP($B163,_CONFIG_Risk_Calibration!$A$5:$H$21,7,FALSE),1))</f>
        <v>5</v>
      </c>
      <c r="AL163" t="str">
        <f>IF($A163="","",IFERROR(VLOOKUP($B163,_CONFIG_Risk_Calibration!$A$5:$H$21,8,FALSE),""))</f>
        <v>Clean template default. Calibrate with real exposure, incident history, evidence quality and domain-owner validation.</v>
      </c>
      <c r="AM163">
        <f>IF($A163="","",IFERROR(INDEX(_DATA_Assessment_Model!$AL$1:$AL$428,MATCH($A163,_DATA_Assessment_Model!$A$1:$A$428,0)),""))</f>
        <v>0</v>
      </c>
      <c r="AN163">
        <f t="shared" si="7"/>
        <v>1</v>
      </c>
      <c r="AO163">
        <f>IF($A163="","",_CONFIG_Model_Settings!$B$172*MAX(N($AK163),(N($AF163)+N($AI163))/2))</f>
        <v>100</v>
      </c>
      <c r="AP163">
        <f t="shared" si="8"/>
        <v>100</v>
      </c>
      <c r="AQ163">
        <f>IF($AP163="","",MAX(0,$AP163*(1-(_CONFIG_Model_Settings!$B$173+_CONFIG_Model_Settings!$B$174*(N($AH163)-1)))))</f>
        <v>65</v>
      </c>
      <c r="AR163">
        <f>IF($AP163="","",MIN(100,$AP163*(1+(_CONFIG_Model_Settings!$B$173+_CONFIG_Model_Settings!$B$174*(N($AH163)-1)))))</f>
        <v>100</v>
      </c>
    </row>
    <row r="164" spans="1:44" ht="72" customHeight="1">
      <c r="A164" s="9" t="s">
        <v>1793</v>
      </c>
      <c r="B164" s="9" t="s">
        <v>1666</v>
      </c>
      <c r="C164" s="9" t="s">
        <v>1685</v>
      </c>
      <c r="D164" s="9" t="s">
        <v>3685</v>
      </c>
      <c r="E164" s="9" t="s">
        <v>1794</v>
      </c>
      <c r="F164" s="9" t="s">
        <v>6841</v>
      </c>
      <c r="G164" s="9" t="s">
        <v>6842</v>
      </c>
      <c r="H164" s="9" t="s">
        <v>6843</v>
      </c>
      <c r="I164" s="9" t="s">
        <v>6844</v>
      </c>
      <c r="J164" s="9" t="s">
        <v>6845</v>
      </c>
      <c r="K164" s="9" t="s">
        <v>6846</v>
      </c>
      <c r="L164" s="9" t="s">
        <v>6847</v>
      </c>
      <c r="M164" s="9" t="s">
        <v>6848</v>
      </c>
      <c r="N164" s="9" t="s">
        <v>6849</v>
      </c>
      <c r="O164" s="9" t="s">
        <v>6850</v>
      </c>
      <c r="P164" s="9" t="s">
        <v>6851</v>
      </c>
      <c r="Q164" s="9" t="s">
        <v>6852</v>
      </c>
      <c r="R164" s="9" t="s">
        <v>4589</v>
      </c>
      <c r="S164" s="9" t="s">
        <v>6853</v>
      </c>
      <c r="T164" s="9">
        <v>4</v>
      </c>
      <c r="U164" s="9">
        <v>3</v>
      </c>
      <c r="V164" s="9">
        <v>3</v>
      </c>
      <c r="W164" s="9">
        <v>2</v>
      </c>
      <c r="X164" s="9">
        <v>1</v>
      </c>
      <c r="Y164" s="9">
        <v>1</v>
      </c>
      <c r="Z164" s="9" t="s">
        <v>1671</v>
      </c>
      <c r="AA164" s="9" t="s">
        <v>1795</v>
      </c>
      <c r="AB164" s="9" t="s">
        <v>1673</v>
      </c>
      <c r="AC164" s="9" t="s">
        <v>6587</v>
      </c>
      <c r="AD164" s="9" t="s">
        <v>6854</v>
      </c>
      <c r="AE164" t="str">
        <f t="shared" si="6"/>
        <v>Fast</v>
      </c>
      <c r="AF164">
        <f>IF($A164="","",IFERROR(VLOOKUP($B164,_CONFIG_Risk_Calibration!$A$5:$H$21,2,FALSE),3))</f>
        <v>3</v>
      </c>
      <c r="AG164">
        <f>IF($A164="","",IFERROR(VLOOKUP($B164,_CONFIG_Risk_Calibration!$A$5:$H$21,3,FALSE),0))</f>
        <v>0</v>
      </c>
      <c r="AH164">
        <f>IF($A164="","",IFERROR(VLOOKUP($B164,_CONFIG_Risk_Calibration!$A$5:$H$21,4,FALSE),3))</f>
        <v>3</v>
      </c>
      <c r="AI164">
        <f>IF($A164="","",IFERROR(VLOOKUP($B164,_CONFIG_Risk_Calibration!$A$5:$H$21,5,FALSE),3))</f>
        <v>4</v>
      </c>
      <c r="AJ164" t="str">
        <f>IF($A164="","",IFERROR(VLOOKUP($B164,_CONFIG_Risk_Calibration!$A$5:$H$21,6,FALSE),"No"))</f>
        <v>Yes</v>
      </c>
      <c r="AK164">
        <f>IF($A164="","",IFERROR(VLOOKUP($B164,_CONFIG_Risk_Calibration!$A$5:$H$21,7,FALSE),1))</f>
        <v>5</v>
      </c>
      <c r="AL164" t="str">
        <f>IF($A164="","",IFERROR(VLOOKUP($B164,_CONFIG_Risk_Calibration!$A$5:$H$21,8,FALSE),""))</f>
        <v>Clean template default. Calibrate with real exposure, incident history, evidence quality and domain-owner validation.</v>
      </c>
      <c r="AM164">
        <f>IF($A164="","",IFERROR(INDEX(_DATA_Assessment_Model!$AL$1:$AL$428,MATCH($A164,_DATA_Assessment_Model!$A$1:$A$428,0)),""))</f>
        <v>0</v>
      </c>
      <c r="AN164">
        <f t="shared" si="7"/>
        <v>1</v>
      </c>
      <c r="AO164">
        <f>IF($A164="","",_CONFIG_Model_Settings!$B$172*MAX(N($AK164),(N($AF164)+N($AI164))/2))</f>
        <v>100</v>
      </c>
      <c r="AP164">
        <f t="shared" si="8"/>
        <v>100</v>
      </c>
      <c r="AQ164">
        <f>IF($AP164="","",MAX(0,$AP164*(1-(_CONFIG_Model_Settings!$B$173+_CONFIG_Model_Settings!$B$174*(N($AH164)-1)))))</f>
        <v>65</v>
      </c>
      <c r="AR164">
        <f>IF($AP164="","",MIN(100,$AP164*(1+(_CONFIG_Model_Settings!$B$173+_CONFIG_Model_Settings!$B$174*(N($AH164)-1)))))</f>
        <v>100</v>
      </c>
    </row>
    <row r="165" spans="1:44" ht="84" customHeight="1">
      <c r="A165" s="9" t="s">
        <v>1796</v>
      </c>
      <c r="B165" s="9" t="s">
        <v>1666</v>
      </c>
      <c r="C165" s="9" t="s">
        <v>1685</v>
      </c>
      <c r="D165" s="9" t="s">
        <v>3685</v>
      </c>
      <c r="E165" s="9" t="s">
        <v>1797</v>
      </c>
      <c r="F165" s="9" t="s">
        <v>6855</v>
      </c>
      <c r="G165" s="9" t="s">
        <v>6856</v>
      </c>
      <c r="H165" s="9" t="s">
        <v>6857</v>
      </c>
      <c r="I165" s="9" t="s">
        <v>6858</v>
      </c>
      <c r="J165" s="9" t="s">
        <v>6859</v>
      </c>
      <c r="K165" s="9" t="s">
        <v>6860</v>
      </c>
      <c r="L165" s="9" t="s">
        <v>6861</v>
      </c>
      <c r="M165" s="9" t="s">
        <v>6862</v>
      </c>
      <c r="N165" s="9" t="s">
        <v>6863</v>
      </c>
      <c r="O165" s="9" t="s">
        <v>6864</v>
      </c>
      <c r="P165" s="9" t="s">
        <v>6865</v>
      </c>
      <c r="Q165" s="9" t="s">
        <v>6866</v>
      </c>
      <c r="R165" s="9" t="s">
        <v>4589</v>
      </c>
      <c r="S165" s="9" t="s">
        <v>6867</v>
      </c>
      <c r="T165" s="9">
        <v>4</v>
      </c>
      <c r="U165" s="9">
        <v>3</v>
      </c>
      <c r="V165" s="9">
        <v>3</v>
      </c>
      <c r="W165" s="9">
        <v>2</v>
      </c>
      <c r="X165" s="9">
        <v>1</v>
      </c>
      <c r="Y165" s="9">
        <v>1</v>
      </c>
      <c r="Z165" s="9" t="s">
        <v>1671</v>
      </c>
      <c r="AA165" s="9" t="s">
        <v>1798</v>
      </c>
      <c r="AB165" s="9" t="s">
        <v>1673</v>
      </c>
      <c r="AC165" s="9" t="s">
        <v>6587</v>
      </c>
      <c r="AD165" s="9" t="s">
        <v>6868</v>
      </c>
      <c r="AE165" t="str">
        <f t="shared" si="6"/>
        <v>Fast</v>
      </c>
      <c r="AF165">
        <f>IF($A165="","",IFERROR(VLOOKUP($B165,_CONFIG_Risk_Calibration!$A$5:$H$21,2,FALSE),3))</f>
        <v>3</v>
      </c>
      <c r="AG165">
        <f>IF($A165="","",IFERROR(VLOOKUP($B165,_CONFIG_Risk_Calibration!$A$5:$H$21,3,FALSE),0))</f>
        <v>0</v>
      </c>
      <c r="AH165">
        <f>IF($A165="","",IFERROR(VLOOKUP($B165,_CONFIG_Risk_Calibration!$A$5:$H$21,4,FALSE),3))</f>
        <v>3</v>
      </c>
      <c r="AI165">
        <f>IF($A165="","",IFERROR(VLOOKUP($B165,_CONFIG_Risk_Calibration!$A$5:$H$21,5,FALSE),3))</f>
        <v>4</v>
      </c>
      <c r="AJ165" t="str">
        <f>IF($A165="","",IFERROR(VLOOKUP($B165,_CONFIG_Risk_Calibration!$A$5:$H$21,6,FALSE),"No"))</f>
        <v>Yes</v>
      </c>
      <c r="AK165">
        <f>IF($A165="","",IFERROR(VLOOKUP($B165,_CONFIG_Risk_Calibration!$A$5:$H$21,7,FALSE),1))</f>
        <v>5</v>
      </c>
      <c r="AL165" t="str">
        <f>IF($A165="","",IFERROR(VLOOKUP($B165,_CONFIG_Risk_Calibration!$A$5:$H$21,8,FALSE),""))</f>
        <v>Clean template default. Calibrate with real exposure, incident history, evidence quality and domain-owner validation.</v>
      </c>
      <c r="AM165">
        <f>IF($A165="","",IFERROR(INDEX(_DATA_Assessment_Model!$AL$1:$AL$428,MATCH($A165,_DATA_Assessment_Model!$A$1:$A$428,0)),""))</f>
        <v>0</v>
      </c>
      <c r="AN165">
        <f t="shared" si="7"/>
        <v>1</v>
      </c>
      <c r="AO165">
        <f>IF($A165="","",_CONFIG_Model_Settings!$B$172*MAX(N($AK165),(N($AF165)+N($AI165))/2))</f>
        <v>100</v>
      </c>
      <c r="AP165">
        <f t="shared" si="8"/>
        <v>100</v>
      </c>
      <c r="AQ165">
        <f>IF($AP165="","",MAX(0,$AP165*(1-(_CONFIG_Model_Settings!$B$173+_CONFIG_Model_Settings!$B$174*(N($AH165)-1)))))</f>
        <v>65</v>
      </c>
      <c r="AR165">
        <f>IF($AP165="","",MIN(100,$AP165*(1+(_CONFIG_Model_Settings!$B$173+_CONFIG_Model_Settings!$B$174*(N($AH165)-1)))))</f>
        <v>100</v>
      </c>
    </row>
    <row r="166" spans="1:44" ht="72" customHeight="1">
      <c r="A166" s="9" t="s">
        <v>1799</v>
      </c>
      <c r="B166" s="9" t="s">
        <v>1666</v>
      </c>
      <c r="C166" s="9" t="s">
        <v>1685</v>
      </c>
      <c r="D166" s="9" t="s">
        <v>3685</v>
      </c>
      <c r="E166" s="9" t="s">
        <v>1800</v>
      </c>
      <c r="F166" s="9" t="s">
        <v>6869</v>
      </c>
      <c r="G166" s="9" t="s">
        <v>6870</v>
      </c>
      <c r="H166" s="9" t="s">
        <v>6871</v>
      </c>
      <c r="I166" s="9" t="s">
        <v>6872</v>
      </c>
      <c r="J166" s="9" t="s">
        <v>6873</v>
      </c>
      <c r="K166" s="9" t="s">
        <v>6874</v>
      </c>
      <c r="L166" s="9" t="s">
        <v>6875</v>
      </c>
      <c r="M166" s="9" t="s">
        <v>6876</v>
      </c>
      <c r="N166" s="9" t="s">
        <v>6877</v>
      </c>
      <c r="O166" s="9" t="s">
        <v>6878</v>
      </c>
      <c r="P166" s="9" t="s">
        <v>6879</v>
      </c>
      <c r="Q166" s="9" t="s">
        <v>6880</v>
      </c>
      <c r="R166" s="9" t="s">
        <v>4589</v>
      </c>
      <c r="S166" s="9" t="s">
        <v>6881</v>
      </c>
      <c r="T166" s="9">
        <v>4</v>
      </c>
      <c r="U166" s="9">
        <v>3</v>
      </c>
      <c r="V166" s="9">
        <v>3</v>
      </c>
      <c r="W166" s="9">
        <v>2</v>
      </c>
      <c r="X166" s="9">
        <v>1</v>
      </c>
      <c r="Y166" s="9">
        <v>1</v>
      </c>
      <c r="Z166" s="9" t="s">
        <v>1671</v>
      </c>
      <c r="AA166" s="9" t="s">
        <v>1801</v>
      </c>
      <c r="AB166" s="9" t="s">
        <v>1673</v>
      </c>
      <c r="AC166" s="9" t="s">
        <v>6587</v>
      </c>
      <c r="AD166" s="9" t="s">
        <v>6882</v>
      </c>
      <c r="AE166" t="str">
        <f t="shared" si="6"/>
        <v>Fast</v>
      </c>
      <c r="AF166">
        <f>IF($A166="","",IFERROR(VLOOKUP($B166,_CONFIG_Risk_Calibration!$A$5:$H$21,2,FALSE),3))</f>
        <v>3</v>
      </c>
      <c r="AG166">
        <f>IF($A166="","",IFERROR(VLOOKUP($B166,_CONFIG_Risk_Calibration!$A$5:$H$21,3,FALSE),0))</f>
        <v>0</v>
      </c>
      <c r="AH166">
        <f>IF($A166="","",IFERROR(VLOOKUP($B166,_CONFIG_Risk_Calibration!$A$5:$H$21,4,FALSE),3))</f>
        <v>3</v>
      </c>
      <c r="AI166">
        <f>IF($A166="","",IFERROR(VLOOKUP($B166,_CONFIG_Risk_Calibration!$A$5:$H$21,5,FALSE),3))</f>
        <v>4</v>
      </c>
      <c r="AJ166" t="str">
        <f>IF($A166="","",IFERROR(VLOOKUP($B166,_CONFIG_Risk_Calibration!$A$5:$H$21,6,FALSE),"No"))</f>
        <v>Yes</v>
      </c>
      <c r="AK166">
        <f>IF($A166="","",IFERROR(VLOOKUP($B166,_CONFIG_Risk_Calibration!$A$5:$H$21,7,FALSE),1))</f>
        <v>5</v>
      </c>
      <c r="AL166" t="str">
        <f>IF($A166="","",IFERROR(VLOOKUP($B166,_CONFIG_Risk_Calibration!$A$5:$H$21,8,FALSE),""))</f>
        <v>Clean template default. Calibrate with real exposure, incident history, evidence quality and domain-owner validation.</v>
      </c>
      <c r="AM166">
        <f>IF($A166="","",IFERROR(INDEX(_DATA_Assessment_Model!$AL$1:$AL$428,MATCH($A166,_DATA_Assessment_Model!$A$1:$A$428,0)),""))</f>
        <v>0</v>
      </c>
      <c r="AN166">
        <f t="shared" si="7"/>
        <v>1</v>
      </c>
      <c r="AO166">
        <f>IF($A166="","",_CONFIG_Model_Settings!$B$172*MAX(N($AK166),(N($AF166)+N($AI166))/2))</f>
        <v>100</v>
      </c>
      <c r="AP166">
        <f t="shared" si="8"/>
        <v>100</v>
      </c>
      <c r="AQ166">
        <f>IF($AP166="","",MAX(0,$AP166*(1-(_CONFIG_Model_Settings!$B$173+_CONFIG_Model_Settings!$B$174*(N($AH166)-1)))))</f>
        <v>65</v>
      </c>
      <c r="AR166">
        <f>IF($AP166="","",MIN(100,$AP166*(1+(_CONFIG_Model_Settings!$B$173+_CONFIG_Model_Settings!$B$174*(N($AH166)-1)))))</f>
        <v>100</v>
      </c>
    </row>
    <row r="167" spans="1:44" ht="72" customHeight="1">
      <c r="A167" s="9" t="s">
        <v>1802</v>
      </c>
      <c r="B167" s="9" t="s">
        <v>1666</v>
      </c>
      <c r="C167" s="9" t="s">
        <v>1685</v>
      </c>
      <c r="D167" s="9" t="s">
        <v>3685</v>
      </c>
      <c r="E167" s="9" t="s">
        <v>1803</v>
      </c>
      <c r="F167" s="9" t="s">
        <v>6883</v>
      </c>
      <c r="G167" s="9" t="s">
        <v>6884</v>
      </c>
      <c r="H167" s="9" t="s">
        <v>6885</v>
      </c>
      <c r="I167" s="9" t="s">
        <v>6886</v>
      </c>
      <c r="J167" s="9" t="s">
        <v>6887</v>
      </c>
      <c r="K167" s="9" t="s">
        <v>6888</v>
      </c>
      <c r="L167" s="9" t="s">
        <v>6889</v>
      </c>
      <c r="M167" s="9" t="s">
        <v>6890</v>
      </c>
      <c r="N167" s="9" t="s">
        <v>6891</v>
      </c>
      <c r="O167" s="9" t="s">
        <v>6892</v>
      </c>
      <c r="P167" s="9" t="s">
        <v>6893</v>
      </c>
      <c r="Q167" s="9" t="s">
        <v>6894</v>
      </c>
      <c r="R167" s="9" t="s">
        <v>4589</v>
      </c>
      <c r="S167" s="9" t="s">
        <v>6895</v>
      </c>
      <c r="T167" s="9">
        <v>4</v>
      </c>
      <c r="U167" s="9">
        <v>3</v>
      </c>
      <c r="V167" s="9">
        <v>3</v>
      </c>
      <c r="W167" s="9">
        <v>2</v>
      </c>
      <c r="X167" s="9">
        <v>1</v>
      </c>
      <c r="Y167" s="9">
        <v>1</v>
      </c>
      <c r="Z167" s="9" t="s">
        <v>1671</v>
      </c>
      <c r="AA167" s="9" t="s">
        <v>1804</v>
      </c>
      <c r="AB167" s="9" t="s">
        <v>1673</v>
      </c>
      <c r="AC167" s="9" t="s">
        <v>6587</v>
      </c>
      <c r="AD167" s="9" t="s">
        <v>6896</v>
      </c>
      <c r="AE167" t="str">
        <f t="shared" si="6"/>
        <v>Fast</v>
      </c>
      <c r="AF167">
        <f>IF($A167="","",IFERROR(VLOOKUP($B167,_CONFIG_Risk_Calibration!$A$5:$H$21,2,FALSE),3))</f>
        <v>3</v>
      </c>
      <c r="AG167">
        <f>IF($A167="","",IFERROR(VLOOKUP($B167,_CONFIG_Risk_Calibration!$A$5:$H$21,3,FALSE),0))</f>
        <v>0</v>
      </c>
      <c r="AH167">
        <f>IF($A167="","",IFERROR(VLOOKUP($B167,_CONFIG_Risk_Calibration!$A$5:$H$21,4,FALSE),3))</f>
        <v>3</v>
      </c>
      <c r="AI167">
        <f>IF($A167="","",IFERROR(VLOOKUP($B167,_CONFIG_Risk_Calibration!$A$5:$H$21,5,FALSE),3))</f>
        <v>4</v>
      </c>
      <c r="AJ167" t="str">
        <f>IF($A167="","",IFERROR(VLOOKUP($B167,_CONFIG_Risk_Calibration!$A$5:$H$21,6,FALSE),"No"))</f>
        <v>Yes</v>
      </c>
      <c r="AK167">
        <f>IF($A167="","",IFERROR(VLOOKUP($B167,_CONFIG_Risk_Calibration!$A$5:$H$21,7,FALSE),1))</f>
        <v>5</v>
      </c>
      <c r="AL167" t="str">
        <f>IF($A167="","",IFERROR(VLOOKUP($B167,_CONFIG_Risk_Calibration!$A$5:$H$21,8,FALSE),""))</f>
        <v>Clean template default. Calibrate with real exposure, incident history, evidence quality and domain-owner validation.</v>
      </c>
      <c r="AM167">
        <f>IF($A167="","",IFERROR(INDEX(_DATA_Assessment_Model!$AL$1:$AL$428,MATCH($A167,_DATA_Assessment_Model!$A$1:$A$428,0)),""))</f>
        <v>0</v>
      </c>
      <c r="AN167">
        <f t="shared" si="7"/>
        <v>1</v>
      </c>
      <c r="AO167">
        <f>IF($A167="","",_CONFIG_Model_Settings!$B$172*MAX(N($AK167),(N($AF167)+N($AI167))/2))</f>
        <v>100</v>
      </c>
      <c r="AP167">
        <f t="shared" si="8"/>
        <v>100</v>
      </c>
      <c r="AQ167">
        <f>IF($AP167="","",MAX(0,$AP167*(1-(_CONFIG_Model_Settings!$B$173+_CONFIG_Model_Settings!$B$174*(N($AH167)-1)))))</f>
        <v>65</v>
      </c>
      <c r="AR167">
        <f>IF($AP167="","",MIN(100,$AP167*(1+(_CONFIG_Model_Settings!$B$173+_CONFIG_Model_Settings!$B$174*(N($AH167)-1)))))</f>
        <v>100</v>
      </c>
    </row>
    <row r="168" spans="1:44" ht="72" customHeight="1">
      <c r="A168" s="9" t="s">
        <v>1811</v>
      </c>
      <c r="B168" s="9" t="s">
        <v>1666</v>
      </c>
      <c r="C168" s="9" t="s">
        <v>1689</v>
      </c>
      <c r="D168" s="9" t="s">
        <v>3685</v>
      </c>
      <c r="E168" s="9" t="s">
        <v>1812</v>
      </c>
      <c r="F168" s="9" t="s">
        <v>6897</v>
      </c>
      <c r="G168" s="9" t="s">
        <v>6898</v>
      </c>
      <c r="H168" s="9" t="s">
        <v>6899</v>
      </c>
      <c r="I168" s="9" t="s">
        <v>6900</v>
      </c>
      <c r="J168" s="9" t="s">
        <v>6901</v>
      </c>
      <c r="K168" s="9" t="s">
        <v>6902</v>
      </c>
      <c r="L168" s="9" t="s">
        <v>6903</v>
      </c>
      <c r="M168" s="9" t="s">
        <v>6904</v>
      </c>
      <c r="N168" s="9" t="s">
        <v>6905</v>
      </c>
      <c r="O168" s="9" t="s">
        <v>6906</v>
      </c>
      <c r="P168" s="9" t="s">
        <v>6907</v>
      </c>
      <c r="Q168" s="9" t="s">
        <v>6908</v>
      </c>
      <c r="R168" s="9" t="s">
        <v>4589</v>
      </c>
      <c r="S168" s="9" t="s">
        <v>6909</v>
      </c>
      <c r="T168" s="9">
        <v>4</v>
      </c>
      <c r="U168" s="9">
        <v>3</v>
      </c>
      <c r="V168" s="9">
        <v>3</v>
      </c>
      <c r="W168" s="9">
        <v>2</v>
      </c>
      <c r="X168" s="9">
        <v>1</v>
      </c>
      <c r="Y168" s="9">
        <v>1</v>
      </c>
      <c r="Z168" s="9" t="s">
        <v>1671</v>
      </c>
      <c r="AA168" s="9" t="s">
        <v>1813</v>
      </c>
      <c r="AB168" s="9" t="s">
        <v>1673</v>
      </c>
      <c r="AC168" s="9" t="s">
        <v>6587</v>
      </c>
      <c r="AD168" s="9" t="s">
        <v>6910</v>
      </c>
      <c r="AE168" t="str">
        <f t="shared" si="6"/>
        <v>Fast</v>
      </c>
      <c r="AF168">
        <f>IF($A168="","",IFERROR(VLOOKUP($B168,_CONFIG_Risk_Calibration!$A$5:$H$21,2,FALSE),3))</f>
        <v>3</v>
      </c>
      <c r="AG168">
        <f>IF($A168="","",IFERROR(VLOOKUP($B168,_CONFIG_Risk_Calibration!$A$5:$H$21,3,FALSE),0))</f>
        <v>0</v>
      </c>
      <c r="AH168">
        <f>IF($A168="","",IFERROR(VLOOKUP($B168,_CONFIG_Risk_Calibration!$A$5:$H$21,4,FALSE),3))</f>
        <v>3</v>
      </c>
      <c r="AI168">
        <f>IF($A168="","",IFERROR(VLOOKUP($B168,_CONFIG_Risk_Calibration!$A$5:$H$21,5,FALSE),3))</f>
        <v>4</v>
      </c>
      <c r="AJ168" t="str">
        <f>IF($A168="","",IFERROR(VLOOKUP($B168,_CONFIG_Risk_Calibration!$A$5:$H$21,6,FALSE),"No"))</f>
        <v>Yes</v>
      </c>
      <c r="AK168">
        <f>IF($A168="","",IFERROR(VLOOKUP($B168,_CONFIG_Risk_Calibration!$A$5:$H$21,7,FALSE),1))</f>
        <v>5</v>
      </c>
      <c r="AL168" t="str">
        <f>IF($A168="","",IFERROR(VLOOKUP($B168,_CONFIG_Risk_Calibration!$A$5:$H$21,8,FALSE),""))</f>
        <v>Clean template default. Calibrate with real exposure, incident history, evidence quality and domain-owner validation.</v>
      </c>
      <c r="AM168">
        <f>IF($A168="","",IFERROR(INDEX(_DATA_Assessment_Model!$AL$1:$AL$428,MATCH($A168,_DATA_Assessment_Model!$A$1:$A$428,0)),""))</f>
        <v>0</v>
      </c>
      <c r="AN168">
        <f t="shared" si="7"/>
        <v>1</v>
      </c>
      <c r="AO168">
        <f>IF($A168="","",_CONFIG_Model_Settings!$B$172*MAX(N($AK168),(N($AF168)+N($AI168))/2))</f>
        <v>100</v>
      </c>
      <c r="AP168">
        <f t="shared" si="8"/>
        <v>100</v>
      </c>
      <c r="AQ168">
        <f>IF($AP168="","",MAX(0,$AP168*(1-(_CONFIG_Model_Settings!$B$173+_CONFIG_Model_Settings!$B$174*(N($AH168)-1)))))</f>
        <v>65</v>
      </c>
      <c r="AR168">
        <f>IF($AP168="","",MIN(100,$AP168*(1+(_CONFIG_Model_Settings!$B$173+_CONFIG_Model_Settings!$B$174*(N($AH168)-1)))))</f>
        <v>100</v>
      </c>
    </row>
    <row r="169" spans="1:44" ht="72" customHeight="1">
      <c r="A169" s="9" t="s">
        <v>1814</v>
      </c>
      <c r="B169" s="9" t="s">
        <v>1666</v>
      </c>
      <c r="C169" s="9" t="s">
        <v>1689</v>
      </c>
      <c r="D169" s="9" t="s">
        <v>3685</v>
      </c>
      <c r="E169" s="9" t="s">
        <v>1815</v>
      </c>
      <c r="F169" s="9" t="s">
        <v>6911</v>
      </c>
      <c r="G169" s="9" t="s">
        <v>6912</v>
      </c>
      <c r="H169" s="9" t="s">
        <v>6913</v>
      </c>
      <c r="I169" s="9" t="s">
        <v>6914</v>
      </c>
      <c r="J169" s="9" t="s">
        <v>6915</v>
      </c>
      <c r="K169" s="9" t="s">
        <v>6916</v>
      </c>
      <c r="L169" s="9" t="s">
        <v>6917</v>
      </c>
      <c r="M169" s="9" t="s">
        <v>6918</v>
      </c>
      <c r="N169" s="9" t="s">
        <v>6919</v>
      </c>
      <c r="O169" s="9" t="s">
        <v>6920</v>
      </c>
      <c r="P169" s="9" t="s">
        <v>6921</v>
      </c>
      <c r="Q169" s="9" t="s">
        <v>6922</v>
      </c>
      <c r="R169" s="9" t="s">
        <v>4589</v>
      </c>
      <c r="S169" s="9" t="s">
        <v>6923</v>
      </c>
      <c r="T169" s="9">
        <v>4</v>
      </c>
      <c r="U169" s="9">
        <v>3</v>
      </c>
      <c r="V169" s="9">
        <v>3</v>
      </c>
      <c r="W169" s="9">
        <v>2</v>
      </c>
      <c r="X169" s="9">
        <v>1</v>
      </c>
      <c r="Y169" s="9">
        <v>1</v>
      </c>
      <c r="Z169" s="9" t="s">
        <v>1671</v>
      </c>
      <c r="AA169" s="9" t="s">
        <v>1816</v>
      </c>
      <c r="AB169" s="9" t="s">
        <v>1673</v>
      </c>
      <c r="AC169" s="9" t="s">
        <v>6587</v>
      </c>
      <c r="AD169" s="9" t="s">
        <v>6924</v>
      </c>
      <c r="AE169" t="str">
        <f t="shared" si="6"/>
        <v>Fast</v>
      </c>
      <c r="AF169">
        <f>IF($A169="","",IFERROR(VLOOKUP($B169,_CONFIG_Risk_Calibration!$A$5:$H$21,2,FALSE),3))</f>
        <v>3</v>
      </c>
      <c r="AG169">
        <f>IF($A169="","",IFERROR(VLOOKUP($B169,_CONFIG_Risk_Calibration!$A$5:$H$21,3,FALSE),0))</f>
        <v>0</v>
      </c>
      <c r="AH169">
        <f>IF($A169="","",IFERROR(VLOOKUP($B169,_CONFIG_Risk_Calibration!$A$5:$H$21,4,FALSE),3))</f>
        <v>3</v>
      </c>
      <c r="AI169">
        <f>IF($A169="","",IFERROR(VLOOKUP($B169,_CONFIG_Risk_Calibration!$A$5:$H$21,5,FALSE),3))</f>
        <v>4</v>
      </c>
      <c r="AJ169" t="str">
        <f>IF($A169="","",IFERROR(VLOOKUP($B169,_CONFIG_Risk_Calibration!$A$5:$H$21,6,FALSE),"No"))</f>
        <v>Yes</v>
      </c>
      <c r="AK169">
        <f>IF($A169="","",IFERROR(VLOOKUP($B169,_CONFIG_Risk_Calibration!$A$5:$H$21,7,FALSE),1))</f>
        <v>5</v>
      </c>
      <c r="AL169" t="str">
        <f>IF($A169="","",IFERROR(VLOOKUP($B169,_CONFIG_Risk_Calibration!$A$5:$H$21,8,FALSE),""))</f>
        <v>Clean template default. Calibrate with real exposure, incident history, evidence quality and domain-owner validation.</v>
      </c>
      <c r="AM169">
        <f>IF($A169="","",IFERROR(INDEX(_DATA_Assessment_Model!$AL$1:$AL$428,MATCH($A169,_DATA_Assessment_Model!$A$1:$A$428,0)),""))</f>
        <v>0</v>
      </c>
      <c r="AN169">
        <f t="shared" si="7"/>
        <v>1</v>
      </c>
      <c r="AO169">
        <f>IF($A169="","",_CONFIG_Model_Settings!$B$172*MAX(N($AK169),(N($AF169)+N($AI169))/2))</f>
        <v>100</v>
      </c>
      <c r="AP169">
        <f t="shared" si="8"/>
        <v>100</v>
      </c>
      <c r="AQ169">
        <f>IF($AP169="","",MAX(0,$AP169*(1-(_CONFIG_Model_Settings!$B$173+_CONFIG_Model_Settings!$B$174*(N($AH169)-1)))))</f>
        <v>65</v>
      </c>
      <c r="AR169">
        <f>IF($AP169="","",MIN(100,$AP169*(1+(_CONFIG_Model_Settings!$B$173+_CONFIG_Model_Settings!$B$174*(N($AH169)-1)))))</f>
        <v>100</v>
      </c>
    </row>
    <row r="170" spans="1:44" ht="72" customHeight="1">
      <c r="A170" s="9" t="s">
        <v>1817</v>
      </c>
      <c r="B170" s="9" t="s">
        <v>1666</v>
      </c>
      <c r="C170" s="9" t="s">
        <v>1689</v>
      </c>
      <c r="D170" s="9" t="s">
        <v>3685</v>
      </c>
      <c r="E170" s="9" t="s">
        <v>1818</v>
      </c>
      <c r="F170" s="9" t="s">
        <v>6925</v>
      </c>
      <c r="G170" s="9" t="s">
        <v>6926</v>
      </c>
      <c r="H170" s="9" t="s">
        <v>6927</v>
      </c>
      <c r="I170" s="9" t="s">
        <v>6928</v>
      </c>
      <c r="J170" s="9" t="s">
        <v>6929</v>
      </c>
      <c r="K170" s="9" t="s">
        <v>6930</v>
      </c>
      <c r="L170" s="9" t="s">
        <v>6931</v>
      </c>
      <c r="M170" s="9" t="s">
        <v>6932</v>
      </c>
      <c r="N170" s="9" t="s">
        <v>6933</v>
      </c>
      <c r="O170" s="9" t="s">
        <v>6934</v>
      </c>
      <c r="P170" s="9" t="s">
        <v>6935</v>
      </c>
      <c r="Q170" s="9" t="s">
        <v>6936</v>
      </c>
      <c r="R170" s="9" t="s">
        <v>4589</v>
      </c>
      <c r="S170" s="9" t="s">
        <v>6937</v>
      </c>
      <c r="T170" s="9">
        <v>4</v>
      </c>
      <c r="U170" s="9">
        <v>3</v>
      </c>
      <c r="V170" s="9">
        <v>3</v>
      </c>
      <c r="W170" s="9">
        <v>2</v>
      </c>
      <c r="X170" s="9">
        <v>1</v>
      </c>
      <c r="Y170" s="9">
        <v>1</v>
      </c>
      <c r="Z170" s="9" t="s">
        <v>1671</v>
      </c>
      <c r="AA170" s="9" t="s">
        <v>1819</v>
      </c>
      <c r="AB170" s="9" t="s">
        <v>1673</v>
      </c>
      <c r="AC170" s="9" t="s">
        <v>6587</v>
      </c>
      <c r="AD170" s="9" t="s">
        <v>6938</v>
      </c>
      <c r="AE170" t="str">
        <f t="shared" si="6"/>
        <v>Fast</v>
      </c>
      <c r="AF170">
        <f>IF($A170="","",IFERROR(VLOOKUP($B170,_CONFIG_Risk_Calibration!$A$5:$H$21,2,FALSE),3))</f>
        <v>3</v>
      </c>
      <c r="AG170">
        <f>IF($A170="","",IFERROR(VLOOKUP($B170,_CONFIG_Risk_Calibration!$A$5:$H$21,3,FALSE),0))</f>
        <v>0</v>
      </c>
      <c r="AH170">
        <f>IF($A170="","",IFERROR(VLOOKUP($B170,_CONFIG_Risk_Calibration!$A$5:$H$21,4,FALSE),3))</f>
        <v>3</v>
      </c>
      <c r="AI170">
        <f>IF($A170="","",IFERROR(VLOOKUP($B170,_CONFIG_Risk_Calibration!$A$5:$H$21,5,FALSE),3))</f>
        <v>4</v>
      </c>
      <c r="AJ170" t="str">
        <f>IF($A170="","",IFERROR(VLOOKUP($B170,_CONFIG_Risk_Calibration!$A$5:$H$21,6,FALSE),"No"))</f>
        <v>Yes</v>
      </c>
      <c r="AK170">
        <f>IF($A170="","",IFERROR(VLOOKUP($B170,_CONFIG_Risk_Calibration!$A$5:$H$21,7,FALSE),1))</f>
        <v>5</v>
      </c>
      <c r="AL170" t="str">
        <f>IF($A170="","",IFERROR(VLOOKUP($B170,_CONFIG_Risk_Calibration!$A$5:$H$21,8,FALSE),""))</f>
        <v>Clean template default. Calibrate with real exposure, incident history, evidence quality and domain-owner validation.</v>
      </c>
      <c r="AM170">
        <f>IF($A170="","",IFERROR(INDEX(_DATA_Assessment_Model!$AL$1:$AL$428,MATCH($A170,_DATA_Assessment_Model!$A$1:$A$428,0)),""))</f>
        <v>0</v>
      </c>
      <c r="AN170">
        <f t="shared" si="7"/>
        <v>1</v>
      </c>
      <c r="AO170">
        <f>IF($A170="","",_CONFIG_Model_Settings!$B$172*MAX(N($AK170),(N($AF170)+N($AI170))/2))</f>
        <v>100</v>
      </c>
      <c r="AP170">
        <f t="shared" si="8"/>
        <v>100</v>
      </c>
      <c r="AQ170">
        <f>IF($AP170="","",MAX(0,$AP170*(1-(_CONFIG_Model_Settings!$B$173+_CONFIG_Model_Settings!$B$174*(N($AH170)-1)))))</f>
        <v>65</v>
      </c>
      <c r="AR170">
        <f>IF($AP170="","",MIN(100,$AP170*(1+(_CONFIG_Model_Settings!$B$173+_CONFIG_Model_Settings!$B$174*(N($AH170)-1)))))</f>
        <v>100</v>
      </c>
    </row>
    <row r="171" spans="1:44" ht="72" customHeight="1">
      <c r="A171" s="9" t="s">
        <v>1820</v>
      </c>
      <c r="B171" s="9" t="s">
        <v>1666</v>
      </c>
      <c r="C171" s="9" t="s">
        <v>1689</v>
      </c>
      <c r="D171" s="9" t="s">
        <v>3685</v>
      </c>
      <c r="E171" s="9" t="s">
        <v>1821</v>
      </c>
      <c r="F171" s="9" t="s">
        <v>6939</v>
      </c>
      <c r="G171" s="9" t="s">
        <v>6940</v>
      </c>
      <c r="H171" s="9" t="s">
        <v>6941</v>
      </c>
      <c r="I171" s="9" t="s">
        <v>6942</v>
      </c>
      <c r="J171" s="9" t="s">
        <v>6943</v>
      </c>
      <c r="K171" s="9" t="s">
        <v>6944</v>
      </c>
      <c r="L171" s="9" t="s">
        <v>6945</v>
      </c>
      <c r="M171" s="9" t="s">
        <v>6946</v>
      </c>
      <c r="N171" s="9" t="s">
        <v>6947</v>
      </c>
      <c r="O171" s="9" t="s">
        <v>6948</v>
      </c>
      <c r="P171" s="9" t="s">
        <v>6949</v>
      </c>
      <c r="Q171" s="9" t="s">
        <v>6950</v>
      </c>
      <c r="R171" s="9" t="s">
        <v>4589</v>
      </c>
      <c r="S171" s="9" t="s">
        <v>6951</v>
      </c>
      <c r="T171" s="9">
        <v>4</v>
      </c>
      <c r="U171" s="9">
        <v>3</v>
      </c>
      <c r="V171" s="9">
        <v>3</v>
      </c>
      <c r="W171" s="9">
        <v>2</v>
      </c>
      <c r="X171" s="9">
        <v>1</v>
      </c>
      <c r="Y171" s="9">
        <v>1</v>
      </c>
      <c r="Z171" s="9" t="s">
        <v>1671</v>
      </c>
      <c r="AA171" s="9" t="s">
        <v>1822</v>
      </c>
      <c r="AB171" s="9" t="s">
        <v>1673</v>
      </c>
      <c r="AC171" s="9" t="s">
        <v>6587</v>
      </c>
      <c r="AD171" s="9" t="s">
        <v>6952</v>
      </c>
      <c r="AE171" t="str">
        <f t="shared" si="6"/>
        <v>Fast</v>
      </c>
      <c r="AF171">
        <f>IF($A171="","",IFERROR(VLOOKUP($B171,_CONFIG_Risk_Calibration!$A$5:$H$21,2,FALSE),3))</f>
        <v>3</v>
      </c>
      <c r="AG171">
        <f>IF($A171="","",IFERROR(VLOOKUP($B171,_CONFIG_Risk_Calibration!$A$5:$H$21,3,FALSE),0))</f>
        <v>0</v>
      </c>
      <c r="AH171">
        <f>IF($A171="","",IFERROR(VLOOKUP($B171,_CONFIG_Risk_Calibration!$A$5:$H$21,4,FALSE),3))</f>
        <v>3</v>
      </c>
      <c r="AI171">
        <f>IF($A171="","",IFERROR(VLOOKUP($B171,_CONFIG_Risk_Calibration!$A$5:$H$21,5,FALSE),3))</f>
        <v>4</v>
      </c>
      <c r="AJ171" t="str">
        <f>IF($A171="","",IFERROR(VLOOKUP($B171,_CONFIG_Risk_Calibration!$A$5:$H$21,6,FALSE),"No"))</f>
        <v>Yes</v>
      </c>
      <c r="AK171">
        <f>IF($A171="","",IFERROR(VLOOKUP($B171,_CONFIG_Risk_Calibration!$A$5:$H$21,7,FALSE),1))</f>
        <v>5</v>
      </c>
      <c r="AL171" t="str">
        <f>IF($A171="","",IFERROR(VLOOKUP($B171,_CONFIG_Risk_Calibration!$A$5:$H$21,8,FALSE),""))</f>
        <v>Clean template default. Calibrate with real exposure, incident history, evidence quality and domain-owner validation.</v>
      </c>
      <c r="AM171">
        <f>IF($A171="","",IFERROR(INDEX(_DATA_Assessment_Model!$AL$1:$AL$428,MATCH($A171,_DATA_Assessment_Model!$A$1:$A$428,0)),""))</f>
        <v>0</v>
      </c>
      <c r="AN171">
        <f t="shared" si="7"/>
        <v>1</v>
      </c>
      <c r="AO171">
        <f>IF($A171="","",_CONFIG_Model_Settings!$B$172*MAX(N($AK171),(N($AF171)+N($AI171))/2))</f>
        <v>100</v>
      </c>
      <c r="AP171">
        <f t="shared" si="8"/>
        <v>100</v>
      </c>
      <c r="AQ171">
        <f>IF($AP171="","",MAX(0,$AP171*(1-(_CONFIG_Model_Settings!$B$173+_CONFIG_Model_Settings!$B$174*(N($AH171)-1)))))</f>
        <v>65</v>
      </c>
      <c r="AR171">
        <f>IF($AP171="","",MIN(100,$AP171*(1+(_CONFIG_Model_Settings!$B$173+_CONFIG_Model_Settings!$B$174*(N($AH171)-1)))))</f>
        <v>100</v>
      </c>
    </row>
    <row r="172" spans="1:44" ht="84" customHeight="1">
      <c r="A172" s="9" t="s">
        <v>1823</v>
      </c>
      <c r="B172" s="9" t="s">
        <v>1666</v>
      </c>
      <c r="C172" s="9" t="s">
        <v>1689</v>
      </c>
      <c r="D172" s="9" t="s">
        <v>3685</v>
      </c>
      <c r="E172" s="9" t="s">
        <v>1824</v>
      </c>
      <c r="F172" s="9" t="s">
        <v>6953</v>
      </c>
      <c r="G172" s="9" t="s">
        <v>6954</v>
      </c>
      <c r="H172" s="9" t="s">
        <v>6955</v>
      </c>
      <c r="I172" s="9" t="s">
        <v>6956</v>
      </c>
      <c r="J172" s="9" t="s">
        <v>6957</v>
      </c>
      <c r="K172" s="9" t="s">
        <v>6958</v>
      </c>
      <c r="L172" s="9" t="s">
        <v>6959</v>
      </c>
      <c r="M172" s="9" t="s">
        <v>6960</v>
      </c>
      <c r="N172" s="9" t="s">
        <v>6961</v>
      </c>
      <c r="O172" s="9" t="s">
        <v>6962</v>
      </c>
      <c r="P172" s="9" t="s">
        <v>6963</v>
      </c>
      <c r="Q172" s="9" t="s">
        <v>6964</v>
      </c>
      <c r="R172" s="9" t="s">
        <v>4589</v>
      </c>
      <c r="S172" s="9" t="s">
        <v>6965</v>
      </c>
      <c r="T172" s="9">
        <v>4</v>
      </c>
      <c r="U172" s="9">
        <v>3</v>
      </c>
      <c r="V172" s="9">
        <v>3</v>
      </c>
      <c r="W172" s="9">
        <v>2</v>
      </c>
      <c r="X172" s="9">
        <v>1</v>
      </c>
      <c r="Y172" s="9">
        <v>1</v>
      </c>
      <c r="Z172" s="9" t="s">
        <v>1671</v>
      </c>
      <c r="AA172" s="9" t="s">
        <v>1825</v>
      </c>
      <c r="AB172" s="9" t="s">
        <v>1673</v>
      </c>
      <c r="AC172" s="9" t="s">
        <v>6587</v>
      </c>
      <c r="AD172" s="9" t="s">
        <v>6966</v>
      </c>
      <c r="AE172" t="str">
        <f t="shared" si="6"/>
        <v>Fast</v>
      </c>
      <c r="AF172">
        <f>IF($A172="","",IFERROR(VLOOKUP($B172,_CONFIG_Risk_Calibration!$A$5:$H$21,2,FALSE),3))</f>
        <v>3</v>
      </c>
      <c r="AG172">
        <f>IF($A172="","",IFERROR(VLOOKUP($B172,_CONFIG_Risk_Calibration!$A$5:$H$21,3,FALSE),0))</f>
        <v>0</v>
      </c>
      <c r="AH172">
        <f>IF($A172="","",IFERROR(VLOOKUP($B172,_CONFIG_Risk_Calibration!$A$5:$H$21,4,FALSE),3))</f>
        <v>3</v>
      </c>
      <c r="AI172">
        <f>IF($A172="","",IFERROR(VLOOKUP($B172,_CONFIG_Risk_Calibration!$A$5:$H$21,5,FALSE),3))</f>
        <v>4</v>
      </c>
      <c r="AJ172" t="str">
        <f>IF($A172="","",IFERROR(VLOOKUP($B172,_CONFIG_Risk_Calibration!$A$5:$H$21,6,FALSE),"No"))</f>
        <v>Yes</v>
      </c>
      <c r="AK172">
        <f>IF($A172="","",IFERROR(VLOOKUP($B172,_CONFIG_Risk_Calibration!$A$5:$H$21,7,FALSE),1))</f>
        <v>5</v>
      </c>
      <c r="AL172" t="str">
        <f>IF($A172="","",IFERROR(VLOOKUP($B172,_CONFIG_Risk_Calibration!$A$5:$H$21,8,FALSE),""))</f>
        <v>Clean template default. Calibrate with real exposure, incident history, evidence quality and domain-owner validation.</v>
      </c>
      <c r="AM172">
        <f>IF($A172="","",IFERROR(INDEX(_DATA_Assessment_Model!$AL$1:$AL$428,MATCH($A172,_DATA_Assessment_Model!$A$1:$A$428,0)),""))</f>
        <v>0</v>
      </c>
      <c r="AN172">
        <f t="shared" si="7"/>
        <v>1</v>
      </c>
      <c r="AO172">
        <f>IF($A172="","",_CONFIG_Model_Settings!$B$172*MAX(N($AK172),(N($AF172)+N($AI172))/2))</f>
        <v>100</v>
      </c>
      <c r="AP172">
        <f t="shared" si="8"/>
        <v>100</v>
      </c>
      <c r="AQ172">
        <f>IF($AP172="","",MAX(0,$AP172*(1-(_CONFIG_Model_Settings!$B$173+_CONFIG_Model_Settings!$B$174*(N($AH172)-1)))))</f>
        <v>65</v>
      </c>
      <c r="AR172">
        <f>IF($AP172="","",MIN(100,$AP172*(1+(_CONFIG_Model_Settings!$B$173+_CONFIG_Model_Settings!$B$174*(N($AH172)-1)))))</f>
        <v>100</v>
      </c>
    </row>
    <row r="173" spans="1:44" ht="84" customHeight="1">
      <c r="A173" s="9" t="s">
        <v>1826</v>
      </c>
      <c r="B173" s="9" t="s">
        <v>1666</v>
      </c>
      <c r="C173" s="9" t="s">
        <v>1693</v>
      </c>
      <c r="D173" s="9" t="s">
        <v>6967</v>
      </c>
      <c r="E173" s="9" t="s">
        <v>1827</v>
      </c>
      <c r="F173" s="9" t="s">
        <v>6968</v>
      </c>
      <c r="G173" s="9" t="s">
        <v>6969</v>
      </c>
      <c r="H173" s="9" t="s">
        <v>6970</v>
      </c>
      <c r="I173" s="9" t="s">
        <v>6971</v>
      </c>
      <c r="J173" s="9" t="s">
        <v>6972</v>
      </c>
      <c r="K173" s="9" t="s">
        <v>6973</v>
      </c>
      <c r="L173" s="9" t="s">
        <v>6974</v>
      </c>
      <c r="M173" s="9" t="s">
        <v>6975</v>
      </c>
      <c r="N173" s="9" t="s">
        <v>6976</v>
      </c>
      <c r="O173" s="9" t="s">
        <v>6977</v>
      </c>
      <c r="P173" s="9" t="s">
        <v>6978</v>
      </c>
      <c r="Q173" s="9" t="s">
        <v>6979</v>
      </c>
      <c r="R173" s="9" t="s">
        <v>4589</v>
      </c>
      <c r="S173" s="9" t="s">
        <v>6980</v>
      </c>
      <c r="T173" s="9">
        <v>3</v>
      </c>
      <c r="U173" s="9">
        <v>3</v>
      </c>
      <c r="V173" s="9">
        <v>2</v>
      </c>
      <c r="W173" s="9">
        <v>2</v>
      </c>
      <c r="X173" s="9">
        <v>1</v>
      </c>
      <c r="Y173" s="9">
        <v>1</v>
      </c>
      <c r="Z173" s="9" t="s">
        <v>1829</v>
      </c>
      <c r="AA173" s="9" t="s">
        <v>6981</v>
      </c>
      <c r="AB173" s="9" t="s">
        <v>1836</v>
      </c>
      <c r="AC173" s="9" t="s">
        <v>6982</v>
      </c>
      <c r="AD173" s="9" t="s">
        <v>6983</v>
      </c>
      <c r="AE173" t="str">
        <f t="shared" si="6"/>
        <v>Medium</v>
      </c>
      <c r="AF173">
        <f>IF($A173="","",IFERROR(VLOOKUP($B173,_CONFIG_Risk_Calibration!$A$5:$H$21,2,FALSE),3))</f>
        <v>3</v>
      </c>
      <c r="AG173">
        <f>IF($A173="","",IFERROR(VLOOKUP($B173,_CONFIG_Risk_Calibration!$A$5:$H$21,3,FALSE),0))</f>
        <v>0</v>
      </c>
      <c r="AH173">
        <f>IF($A173="","",IFERROR(VLOOKUP($B173,_CONFIG_Risk_Calibration!$A$5:$H$21,4,FALSE),3))</f>
        <v>3</v>
      </c>
      <c r="AI173">
        <f>IF($A173="","",IFERROR(VLOOKUP($B173,_CONFIG_Risk_Calibration!$A$5:$H$21,5,FALSE),3))</f>
        <v>4</v>
      </c>
      <c r="AJ173" t="str">
        <f>IF($A173="","",IFERROR(VLOOKUP($B173,_CONFIG_Risk_Calibration!$A$5:$H$21,6,FALSE),"No"))</f>
        <v>Yes</v>
      </c>
      <c r="AK173">
        <f>IF($A173="","",IFERROR(VLOOKUP($B173,_CONFIG_Risk_Calibration!$A$5:$H$21,7,FALSE),1))</f>
        <v>5</v>
      </c>
      <c r="AL173" t="str">
        <f>IF($A173="","",IFERROR(VLOOKUP($B173,_CONFIG_Risk_Calibration!$A$5:$H$21,8,FALSE),""))</f>
        <v>Clean template default. Calibrate with real exposure, incident history, evidence quality and domain-owner validation.</v>
      </c>
      <c r="AM173">
        <f>IF($A173="","",IFERROR(INDEX(_DATA_Assessment_Model!$AL$1:$AL$428,MATCH($A173,_DATA_Assessment_Model!$A$1:$A$428,0)),""))</f>
        <v>0</v>
      </c>
      <c r="AN173">
        <f t="shared" si="7"/>
        <v>1</v>
      </c>
      <c r="AO173">
        <f>IF($A173="","",_CONFIG_Model_Settings!$B$172*MAX(N($AK173),(N($AF173)+N($AI173))/2))</f>
        <v>100</v>
      </c>
      <c r="AP173">
        <f t="shared" si="8"/>
        <v>100</v>
      </c>
      <c r="AQ173">
        <f>IF($AP173="","",MAX(0,$AP173*(1-(_CONFIG_Model_Settings!$B$173+_CONFIG_Model_Settings!$B$174*(N($AH173)-1)))))</f>
        <v>65</v>
      </c>
      <c r="AR173">
        <f>IF($AP173="","",MIN(100,$AP173*(1+(_CONFIG_Model_Settings!$B$173+_CONFIG_Model_Settings!$B$174*(N($AH173)-1)))))</f>
        <v>100</v>
      </c>
    </row>
    <row r="174" spans="1:44" ht="84" customHeight="1">
      <c r="A174" s="9" t="s">
        <v>1837</v>
      </c>
      <c r="B174" s="9" t="s">
        <v>1666</v>
      </c>
      <c r="C174" s="9" t="s">
        <v>1693</v>
      </c>
      <c r="D174" s="9" t="s">
        <v>6967</v>
      </c>
      <c r="E174" s="9" t="s">
        <v>1838</v>
      </c>
      <c r="F174" s="9" t="s">
        <v>6984</v>
      </c>
      <c r="G174" s="9" t="s">
        <v>6985</v>
      </c>
      <c r="H174" s="9" t="s">
        <v>6986</v>
      </c>
      <c r="I174" s="9" t="s">
        <v>6987</v>
      </c>
      <c r="J174" s="9" t="s">
        <v>6988</v>
      </c>
      <c r="K174" s="9" t="s">
        <v>6989</v>
      </c>
      <c r="L174" s="9" t="s">
        <v>6990</v>
      </c>
      <c r="M174" s="9" t="s">
        <v>6991</v>
      </c>
      <c r="N174" s="9" t="s">
        <v>6992</v>
      </c>
      <c r="O174" s="9" t="s">
        <v>6993</v>
      </c>
      <c r="P174" s="9" t="s">
        <v>6994</v>
      </c>
      <c r="Q174" s="9" t="s">
        <v>6995</v>
      </c>
      <c r="R174" s="9" t="s">
        <v>4589</v>
      </c>
      <c r="S174" s="9" t="s">
        <v>6996</v>
      </c>
      <c r="T174" s="9">
        <v>3</v>
      </c>
      <c r="U174" s="9">
        <v>3</v>
      </c>
      <c r="V174" s="9">
        <v>2</v>
      </c>
      <c r="W174" s="9">
        <v>2</v>
      </c>
      <c r="X174" s="9">
        <v>2</v>
      </c>
      <c r="Y174" s="9">
        <v>1</v>
      </c>
      <c r="Z174" s="9" t="s">
        <v>1840</v>
      </c>
      <c r="AA174" s="9" t="s">
        <v>6997</v>
      </c>
      <c r="AB174" s="9" t="s">
        <v>1847</v>
      </c>
      <c r="AC174" s="9" t="s">
        <v>6982</v>
      </c>
      <c r="AD174" s="9" t="s">
        <v>6998</v>
      </c>
      <c r="AE174" t="str">
        <f t="shared" si="6"/>
        <v>Medium</v>
      </c>
      <c r="AF174">
        <f>IF($A174="","",IFERROR(VLOOKUP($B174,_CONFIG_Risk_Calibration!$A$5:$H$21,2,FALSE),3))</f>
        <v>3</v>
      </c>
      <c r="AG174">
        <f>IF($A174="","",IFERROR(VLOOKUP($B174,_CONFIG_Risk_Calibration!$A$5:$H$21,3,FALSE),0))</f>
        <v>0</v>
      </c>
      <c r="AH174">
        <f>IF($A174="","",IFERROR(VLOOKUP($B174,_CONFIG_Risk_Calibration!$A$5:$H$21,4,FALSE),3))</f>
        <v>3</v>
      </c>
      <c r="AI174">
        <f>IF($A174="","",IFERROR(VLOOKUP($B174,_CONFIG_Risk_Calibration!$A$5:$H$21,5,FALSE),3))</f>
        <v>4</v>
      </c>
      <c r="AJ174" t="str">
        <f>IF($A174="","",IFERROR(VLOOKUP($B174,_CONFIG_Risk_Calibration!$A$5:$H$21,6,FALSE),"No"))</f>
        <v>Yes</v>
      </c>
      <c r="AK174">
        <f>IF($A174="","",IFERROR(VLOOKUP($B174,_CONFIG_Risk_Calibration!$A$5:$H$21,7,FALSE),1))</f>
        <v>5</v>
      </c>
      <c r="AL174" t="str">
        <f>IF($A174="","",IFERROR(VLOOKUP($B174,_CONFIG_Risk_Calibration!$A$5:$H$21,8,FALSE),""))</f>
        <v>Clean template default. Calibrate with real exposure, incident history, evidence quality and domain-owner validation.</v>
      </c>
      <c r="AM174">
        <f>IF($A174="","",IFERROR(INDEX(_DATA_Assessment_Model!$AL$1:$AL$428,MATCH($A174,_DATA_Assessment_Model!$A$1:$A$428,0)),""))</f>
        <v>0</v>
      </c>
      <c r="AN174">
        <f t="shared" si="7"/>
        <v>1</v>
      </c>
      <c r="AO174">
        <f>IF($A174="","",_CONFIG_Model_Settings!$B$172*MAX(N($AK174),(N($AF174)+N($AI174))/2))</f>
        <v>100</v>
      </c>
      <c r="AP174">
        <f t="shared" si="8"/>
        <v>100</v>
      </c>
      <c r="AQ174">
        <f>IF($AP174="","",MAX(0,$AP174*(1-(_CONFIG_Model_Settings!$B$173+_CONFIG_Model_Settings!$B$174*(N($AH174)-1)))))</f>
        <v>65</v>
      </c>
      <c r="AR174">
        <f>IF($AP174="","",MIN(100,$AP174*(1+(_CONFIG_Model_Settings!$B$173+_CONFIG_Model_Settings!$B$174*(N($AH174)-1)))))</f>
        <v>100</v>
      </c>
    </row>
    <row r="175" spans="1:44" ht="72" customHeight="1">
      <c r="A175" s="9" t="s">
        <v>1848</v>
      </c>
      <c r="B175" s="9" t="s">
        <v>1666</v>
      </c>
      <c r="C175" s="9" t="s">
        <v>1693</v>
      </c>
      <c r="D175" s="9" t="s">
        <v>6967</v>
      </c>
      <c r="E175" s="9" t="s">
        <v>1849</v>
      </c>
      <c r="F175" s="9" t="s">
        <v>6999</v>
      </c>
      <c r="G175" s="9" t="s">
        <v>7000</v>
      </c>
      <c r="H175" s="9" t="s">
        <v>7001</v>
      </c>
      <c r="I175" s="9" t="s">
        <v>7002</v>
      </c>
      <c r="J175" s="9" t="s">
        <v>7003</v>
      </c>
      <c r="K175" s="9" t="s">
        <v>7004</v>
      </c>
      <c r="L175" s="9" t="s">
        <v>7005</v>
      </c>
      <c r="M175" s="9" t="s">
        <v>7006</v>
      </c>
      <c r="N175" s="9" t="s">
        <v>7007</v>
      </c>
      <c r="O175" s="9" t="s">
        <v>7008</v>
      </c>
      <c r="P175" s="9" t="s">
        <v>7009</v>
      </c>
      <c r="Q175" s="9" t="s">
        <v>7010</v>
      </c>
      <c r="R175" s="9" t="s">
        <v>4589</v>
      </c>
      <c r="S175" s="9" t="s">
        <v>7011</v>
      </c>
      <c r="T175" s="9">
        <v>2</v>
      </c>
      <c r="U175" s="9">
        <v>2</v>
      </c>
      <c r="V175" s="9">
        <v>2</v>
      </c>
      <c r="W175" s="9">
        <v>2</v>
      </c>
      <c r="X175" s="9">
        <v>1</v>
      </c>
      <c r="Y175" s="9">
        <v>1</v>
      </c>
      <c r="Z175" s="9" t="s">
        <v>1851</v>
      </c>
      <c r="AA175" s="9" t="s">
        <v>7012</v>
      </c>
      <c r="AB175" s="9" t="s">
        <v>1858</v>
      </c>
      <c r="AC175" s="9" t="s">
        <v>7013</v>
      </c>
      <c r="AD175" s="9" t="s">
        <v>7014</v>
      </c>
      <c r="AE175" t="str">
        <f t="shared" si="6"/>
        <v>Medium</v>
      </c>
      <c r="AF175">
        <f>IF($A175="","",IFERROR(VLOOKUP($B175,_CONFIG_Risk_Calibration!$A$5:$H$21,2,FALSE),3))</f>
        <v>3</v>
      </c>
      <c r="AG175">
        <f>IF($A175="","",IFERROR(VLOOKUP($B175,_CONFIG_Risk_Calibration!$A$5:$H$21,3,FALSE),0))</f>
        <v>0</v>
      </c>
      <c r="AH175">
        <f>IF($A175="","",IFERROR(VLOOKUP($B175,_CONFIG_Risk_Calibration!$A$5:$H$21,4,FALSE),3))</f>
        <v>3</v>
      </c>
      <c r="AI175">
        <f>IF($A175="","",IFERROR(VLOOKUP($B175,_CONFIG_Risk_Calibration!$A$5:$H$21,5,FALSE),3))</f>
        <v>4</v>
      </c>
      <c r="AJ175" t="str">
        <f>IF($A175="","",IFERROR(VLOOKUP($B175,_CONFIG_Risk_Calibration!$A$5:$H$21,6,FALSE),"No"))</f>
        <v>Yes</v>
      </c>
      <c r="AK175">
        <f>IF($A175="","",IFERROR(VLOOKUP($B175,_CONFIG_Risk_Calibration!$A$5:$H$21,7,FALSE),1))</f>
        <v>5</v>
      </c>
      <c r="AL175" t="str">
        <f>IF($A175="","",IFERROR(VLOOKUP($B175,_CONFIG_Risk_Calibration!$A$5:$H$21,8,FALSE),""))</f>
        <v>Clean template default. Calibrate with real exposure, incident history, evidence quality and domain-owner validation.</v>
      </c>
      <c r="AM175">
        <f>IF($A175="","",IFERROR(INDEX(_DATA_Assessment_Model!$AL$1:$AL$428,MATCH($A175,_DATA_Assessment_Model!$A$1:$A$428,0)),""))</f>
        <v>0</v>
      </c>
      <c r="AN175">
        <f t="shared" si="7"/>
        <v>1</v>
      </c>
      <c r="AO175">
        <f>IF($A175="","",_CONFIG_Model_Settings!$B$172*MAX(N($AK175),(N($AF175)+N($AI175))/2))</f>
        <v>100</v>
      </c>
      <c r="AP175">
        <f t="shared" si="8"/>
        <v>100</v>
      </c>
      <c r="AQ175">
        <f>IF($AP175="","",MAX(0,$AP175*(1-(_CONFIG_Model_Settings!$B$173+_CONFIG_Model_Settings!$B$174*(N($AH175)-1)))))</f>
        <v>65</v>
      </c>
      <c r="AR175">
        <f>IF($AP175="","",MIN(100,$AP175*(1+(_CONFIG_Model_Settings!$B$173+_CONFIG_Model_Settings!$B$174*(N($AH175)-1)))))</f>
        <v>100</v>
      </c>
    </row>
    <row r="176" spans="1:44" ht="72" customHeight="1">
      <c r="A176" s="9" t="s">
        <v>1860</v>
      </c>
      <c r="B176" s="9" t="s">
        <v>1859</v>
      </c>
      <c r="C176" s="9" t="s">
        <v>1861</v>
      </c>
      <c r="D176" s="9" t="s">
        <v>3686</v>
      </c>
      <c r="E176" s="9" t="s">
        <v>1862</v>
      </c>
      <c r="F176" s="9" t="s">
        <v>7015</v>
      </c>
      <c r="G176" s="9" t="s">
        <v>7016</v>
      </c>
      <c r="H176" s="9" t="s">
        <v>7017</v>
      </c>
      <c r="I176" s="9" t="s">
        <v>7018</v>
      </c>
      <c r="J176" s="9" t="s">
        <v>7019</v>
      </c>
      <c r="K176" s="9" t="s">
        <v>7020</v>
      </c>
      <c r="L176" s="9" t="s">
        <v>7021</v>
      </c>
      <c r="M176" s="9" t="s">
        <v>7022</v>
      </c>
      <c r="N176" s="9" t="s">
        <v>7023</v>
      </c>
      <c r="O176" s="9" t="s">
        <v>7024</v>
      </c>
      <c r="P176" s="9" t="s">
        <v>7025</v>
      </c>
      <c r="Q176" s="9" t="s">
        <v>7026</v>
      </c>
      <c r="R176" s="9" t="s">
        <v>4589</v>
      </c>
      <c r="S176" s="9" t="s">
        <v>7027</v>
      </c>
      <c r="T176" s="9">
        <v>3</v>
      </c>
      <c r="U176" s="9">
        <v>3</v>
      </c>
      <c r="V176" s="9">
        <v>2</v>
      </c>
      <c r="W176" s="9">
        <v>2</v>
      </c>
      <c r="X176" s="9">
        <v>1</v>
      </c>
      <c r="Y176" s="9">
        <v>1</v>
      </c>
      <c r="Z176" s="9" t="s">
        <v>1864</v>
      </c>
      <c r="AA176" s="9" t="s">
        <v>1865</v>
      </c>
      <c r="AB176" s="9" t="s">
        <v>1866</v>
      </c>
      <c r="AC176" s="9" t="s">
        <v>7028</v>
      </c>
      <c r="AD176" s="9" t="s">
        <v>7029</v>
      </c>
      <c r="AE176" t="str">
        <f t="shared" si="6"/>
        <v>Fast</v>
      </c>
      <c r="AF176">
        <f>IF($A176="","",IFERROR(VLOOKUP($B176,_CONFIG_Risk_Calibration!$A$5:$H$21,2,FALSE),3))</f>
        <v>3</v>
      </c>
      <c r="AG176">
        <f>IF($A176="","",IFERROR(VLOOKUP($B176,_CONFIG_Risk_Calibration!$A$5:$H$21,3,FALSE),0))</f>
        <v>0</v>
      </c>
      <c r="AH176">
        <f>IF($A176="","",IFERROR(VLOOKUP($B176,_CONFIG_Risk_Calibration!$A$5:$H$21,4,FALSE),3))</f>
        <v>3</v>
      </c>
      <c r="AI176">
        <f>IF($A176="","",IFERROR(VLOOKUP($B176,_CONFIG_Risk_Calibration!$A$5:$H$21,5,FALSE),3))</f>
        <v>3</v>
      </c>
      <c r="AJ176" t="str">
        <f>IF($A176="","",IFERROR(VLOOKUP($B176,_CONFIG_Risk_Calibration!$A$5:$H$21,6,FALSE),"No"))</f>
        <v>No</v>
      </c>
      <c r="AK176">
        <f>IF($A176="","",IFERROR(VLOOKUP($B176,_CONFIG_Risk_Calibration!$A$5:$H$21,7,FALSE),1))</f>
        <v>1</v>
      </c>
      <c r="AL176" t="str">
        <f>IF($A176="","",IFERROR(VLOOKUP($B176,_CONFIG_Risk_Calibration!$A$5:$H$21,8,FALSE),""))</f>
        <v>Clean template default. Calibrate with real exposure, incident history, evidence quality and domain-owner validation.</v>
      </c>
      <c r="AM176">
        <f>IF($A176="","",IFERROR(INDEX(_DATA_Assessment_Model!$AL$1:$AL$428,MATCH($A176,_DATA_Assessment_Model!$A$1:$A$428,0)),""))</f>
        <v>0</v>
      </c>
      <c r="AN176">
        <f t="shared" si="7"/>
        <v>1</v>
      </c>
      <c r="AO176">
        <f>IF($A176="","",_CONFIG_Model_Settings!$B$172*MAX(N($AK176),(N($AF176)+N($AI176))/2))</f>
        <v>60</v>
      </c>
      <c r="AP176">
        <f t="shared" si="8"/>
        <v>60</v>
      </c>
      <c r="AQ176">
        <f>IF($AP176="","",MAX(0,$AP176*(1-(_CONFIG_Model_Settings!$B$173+_CONFIG_Model_Settings!$B$174*(N($AH176)-1)))))</f>
        <v>39</v>
      </c>
      <c r="AR176">
        <f>IF($AP176="","",MIN(100,$AP176*(1+(_CONFIG_Model_Settings!$B$173+_CONFIG_Model_Settings!$B$174*(N($AH176)-1)))))</f>
        <v>81</v>
      </c>
    </row>
    <row r="177" spans="1:44" ht="72" customHeight="1">
      <c r="A177" s="9" t="s">
        <v>1867</v>
      </c>
      <c r="B177" s="9" t="s">
        <v>1859</v>
      </c>
      <c r="C177" s="9" t="s">
        <v>1861</v>
      </c>
      <c r="D177" s="9" t="s">
        <v>3686</v>
      </c>
      <c r="E177" s="9" t="s">
        <v>1868</v>
      </c>
      <c r="F177" s="9" t="s">
        <v>7030</v>
      </c>
      <c r="G177" s="9" t="s">
        <v>7031</v>
      </c>
      <c r="H177" s="9" t="s">
        <v>7032</v>
      </c>
      <c r="I177" s="9" t="s">
        <v>7033</v>
      </c>
      <c r="J177" s="9" t="s">
        <v>7034</v>
      </c>
      <c r="K177" s="9" t="s">
        <v>7035</v>
      </c>
      <c r="L177" s="9" t="s">
        <v>7036</v>
      </c>
      <c r="M177" s="9" t="s">
        <v>7037</v>
      </c>
      <c r="N177" s="9" t="s">
        <v>7038</v>
      </c>
      <c r="O177" s="9" t="s">
        <v>7039</v>
      </c>
      <c r="P177" s="9" t="s">
        <v>7040</v>
      </c>
      <c r="Q177" s="9" t="s">
        <v>7041</v>
      </c>
      <c r="R177" s="9" t="s">
        <v>4589</v>
      </c>
      <c r="S177" s="9" t="s">
        <v>7042</v>
      </c>
      <c r="T177" s="9">
        <v>3</v>
      </c>
      <c r="U177" s="9">
        <v>3</v>
      </c>
      <c r="V177" s="9">
        <v>2</v>
      </c>
      <c r="W177" s="9">
        <v>2</v>
      </c>
      <c r="X177" s="9">
        <v>1</v>
      </c>
      <c r="Y177" s="9">
        <v>1</v>
      </c>
      <c r="Z177" s="9" t="s">
        <v>1864</v>
      </c>
      <c r="AA177" s="9" t="s">
        <v>1869</v>
      </c>
      <c r="AB177" s="9" t="s">
        <v>1866</v>
      </c>
      <c r="AC177" s="9" t="s">
        <v>7028</v>
      </c>
      <c r="AD177" s="9" t="s">
        <v>7043</v>
      </c>
      <c r="AE177" t="str">
        <f t="shared" si="6"/>
        <v>Fast</v>
      </c>
      <c r="AF177">
        <f>IF($A177="","",IFERROR(VLOOKUP($B177,_CONFIG_Risk_Calibration!$A$5:$H$21,2,FALSE),3))</f>
        <v>3</v>
      </c>
      <c r="AG177">
        <f>IF($A177="","",IFERROR(VLOOKUP($B177,_CONFIG_Risk_Calibration!$A$5:$H$21,3,FALSE),0))</f>
        <v>0</v>
      </c>
      <c r="AH177">
        <f>IF($A177="","",IFERROR(VLOOKUP($B177,_CONFIG_Risk_Calibration!$A$5:$H$21,4,FALSE),3))</f>
        <v>3</v>
      </c>
      <c r="AI177">
        <f>IF($A177="","",IFERROR(VLOOKUP($B177,_CONFIG_Risk_Calibration!$A$5:$H$21,5,FALSE),3))</f>
        <v>3</v>
      </c>
      <c r="AJ177" t="str">
        <f>IF($A177="","",IFERROR(VLOOKUP($B177,_CONFIG_Risk_Calibration!$A$5:$H$21,6,FALSE),"No"))</f>
        <v>No</v>
      </c>
      <c r="AK177">
        <f>IF($A177="","",IFERROR(VLOOKUP($B177,_CONFIG_Risk_Calibration!$A$5:$H$21,7,FALSE),1))</f>
        <v>1</v>
      </c>
      <c r="AL177" t="str">
        <f>IF($A177="","",IFERROR(VLOOKUP($B177,_CONFIG_Risk_Calibration!$A$5:$H$21,8,FALSE),""))</f>
        <v>Clean template default. Calibrate with real exposure, incident history, evidence quality and domain-owner validation.</v>
      </c>
      <c r="AM177">
        <f>IF($A177="","",IFERROR(INDEX(_DATA_Assessment_Model!$AL$1:$AL$428,MATCH($A177,_DATA_Assessment_Model!$A$1:$A$428,0)),""))</f>
        <v>0</v>
      </c>
      <c r="AN177">
        <f t="shared" si="7"/>
        <v>1</v>
      </c>
      <c r="AO177">
        <f>IF($A177="","",_CONFIG_Model_Settings!$B$172*MAX(N($AK177),(N($AF177)+N($AI177))/2))</f>
        <v>60</v>
      </c>
      <c r="AP177">
        <f t="shared" si="8"/>
        <v>60</v>
      </c>
      <c r="AQ177">
        <f>IF($AP177="","",MAX(0,$AP177*(1-(_CONFIG_Model_Settings!$B$173+_CONFIG_Model_Settings!$B$174*(N($AH177)-1)))))</f>
        <v>39</v>
      </c>
      <c r="AR177">
        <f>IF($AP177="","",MIN(100,$AP177*(1+(_CONFIG_Model_Settings!$B$173+_CONFIG_Model_Settings!$B$174*(N($AH177)-1)))))</f>
        <v>81</v>
      </c>
    </row>
    <row r="178" spans="1:44" ht="72" customHeight="1">
      <c r="A178" s="9" t="s">
        <v>1871</v>
      </c>
      <c r="B178" s="9" t="s">
        <v>1859</v>
      </c>
      <c r="C178" s="9" t="s">
        <v>1861</v>
      </c>
      <c r="D178" s="9" t="s">
        <v>3686</v>
      </c>
      <c r="E178" s="9" t="s">
        <v>1872</v>
      </c>
      <c r="F178" s="9" t="s">
        <v>7044</v>
      </c>
      <c r="G178" s="9" t="s">
        <v>7045</v>
      </c>
      <c r="H178" s="9" t="s">
        <v>7046</v>
      </c>
      <c r="I178" s="9" t="s">
        <v>7047</v>
      </c>
      <c r="J178" s="9" t="s">
        <v>7048</v>
      </c>
      <c r="K178" s="9" t="s">
        <v>7049</v>
      </c>
      <c r="L178" s="9" t="s">
        <v>7050</v>
      </c>
      <c r="M178" s="9" t="s">
        <v>7051</v>
      </c>
      <c r="N178" s="9" t="s">
        <v>7052</v>
      </c>
      <c r="O178" s="9" t="s">
        <v>7053</v>
      </c>
      <c r="P178" s="9" t="s">
        <v>7054</v>
      </c>
      <c r="Q178" s="9" t="s">
        <v>7055</v>
      </c>
      <c r="R178" s="9" t="s">
        <v>4589</v>
      </c>
      <c r="S178" s="9" t="s">
        <v>7056</v>
      </c>
      <c r="T178" s="9">
        <v>3</v>
      </c>
      <c r="U178" s="9">
        <v>3</v>
      </c>
      <c r="V178" s="9">
        <v>2</v>
      </c>
      <c r="W178" s="9">
        <v>2</v>
      </c>
      <c r="X178" s="9">
        <v>1</v>
      </c>
      <c r="Y178" s="9">
        <v>1</v>
      </c>
      <c r="Z178" s="9" t="s">
        <v>1864</v>
      </c>
      <c r="AA178" s="9" t="s">
        <v>1873</v>
      </c>
      <c r="AB178" s="9" t="s">
        <v>1866</v>
      </c>
      <c r="AC178" s="9" t="s">
        <v>7028</v>
      </c>
      <c r="AD178" s="9" t="s">
        <v>7057</v>
      </c>
      <c r="AE178" t="str">
        <f t="shared" si="6"/>
        <v>Fast</v>
      </c>
      <c r="AF178">
        <f>IF($A178="","",IFERROR(VLOOKUP($B178,_CONFIG_Risk_Calibration!$A$5:$H$21,2,FALSE),3))</f>
        <v>3</v>
      </c>
      <c r="AG178">
        <f>IF($A178="","",IFERROR(VLOOKUP($B178,_CONFIG_Risk_Calibration!$A$5:$H$21,3,FALSE),0))</f>
        <v>0</v>
      </c>
      <c r="AH178">
        <f>IF($A178="","",IFERROR(VLOOKUP($B178,_CONFIG_Risk_Calibration!$A$5:$H$21,4,FALSE),3))</f>
        <v>3</v>
      </c>
      <c r="AI178">
        <f>IF($A178="","",IFERROR(VLOOKUP($B178,_CONFIG_Risk_Calibration!$A$5:$H$21,5,FALSE),3))</f>
        <v>3</v>
      </c>
      <c r="AJ178" t="str">
        <f>IF($A178="","",IFERROR(VLOOKUP($B178,_CONFIG_Risk_Calibration!$A$5:$H$21,6,FALSE),"No"))</f>
        <v>No</v>
      </c>
      <c r="AK178">
        <f>IF($A178="","",IFERROR(VLOOKUP($B178,_CONFIG_Risk_Calibration!$A$5:$H$21,7,FALSE),1))</f>
        <v>1</v>
      </c>
      <c r="AL178" t="str">
        <f>IF($A178="","",IFERROR(VLOOKUP($B178,_CONFIG_Risk_Calibration!$A$5:$H$21,8,FALSE),""))</f>
        <v>Clean template default. Calibrate with real exposure, incident history, evidence quality and domain-owner validation.</v>
      </c>
      <c r="AM178">
        <f>IF($A178="","",IFERROR(INDEX(_DATA_Assessment_Model!$AL$1:$AL$428,MATCH($A178,_DATA_Assessment_Model!$A$1:$A$428,0)),""))</f>
        <v>0</v>
      </c>
      <c r="AN178">
        <f t="shared" si="7"/>
        <v>1</v>
      </c>
      <c r="AO178">
        <f>IF($A178="","",_CONFIG_Model_Settings!$B$172*MAX(N($AK178),(N($AF178)+N($AI178))/2))</f>
        <v>60</v>
      </c>
      <c r="AP178">
        <f t="shared" si="8"/>
        <v>60</v>
      </c>
      <c r="AQ178">
        <f>IF($AP178="","",MAX(0,$AP178*(1-(_CONFIG_Model_Settings!$B$173+_CONFIG_Model_Settings!$B$174*(N($AH178)-1)))))</f>
        <v>39</v>
      </c>
      <c r="AR178">
        <f>IF($AP178="","",MIN(100,$AP178*(1+(_CONFIG_Model_Settings!$B$173+_CONFIG_Model_Settings!$B$174*(N($AH178)-1)))))</f>
        <v>81</v>
      </c>
    </row>
    <row r="179" spans="1:44" ht="72" customHeight="1">
      <c r="A179" s="9" t="s">
        <v>1881</v>
      </c>
      <c r="B179" s="9" t="s">
        <v>1859</v>
      </c>
      <c r="C179" s="9" t="s">
        <v>1861</v>
      </c>
      <c r="D179" s="9" t="s">
        <v>3686</v>
      </c>
      <c r="E179" s="9" t="s">
        <v>1882</v>
      </c>
      <c r="F179" s="9" t="s">
        <v>7058</v>
      </c>
      <c r="G179" s="9" t="s">
        <v>7059</v>
      </c>
      <c r="H179" s="9" t="s">
        <v>7060</v>
      </c>
      <c r="I179" s="9" t="s">
        <v>7061</v>
      </c>
      <c r="J179" s="9" t="s">
        <v>7062</v>
      </c>
      <c r="K179" s="9" t="s">
        <v>7063</v>
      </c>
      <c r="L179" s="9" t="s">
        <v>7064</v>
      </c>
      <c r="M179" s="9" t="s">
        <v>7065</v>
      </c>
      <c r="N179" s="9" t="s">
        <v>7066</v>
      </c>
      <c r="O179" s="9" t="s">
        <v>7067</v>
      </c>
      <c r="P179" s="9" t="s">
        <v>7068</v>
      </c>
      <c r="Q179" s="9" t="s">
        <v>7069</v>
      </c>
      <c r="R179" s="9" t="s">
        <v>4589</v>
      </c>
      <c r="S179" s="9" t="s">
        <v>7070</v>
      </c>
      <c r="T179" s="9">
        <v>3</v>
      </c>
      <c r="U179" s="9">
        <v>3</v>
      </c>
      <c r="V179" s="9">
        <v>2</v>
      </c>
      <c r="W179" s="9">
        <v>2</v>
      </c>
      <c r="X179" s="9">
        <v>1</v>
      </c>
      <c r="Y179" s="9">
        <v>1</v>
      </c>
      <c r="Z179" s="9" t="s">
        <v>1864</v>
      </c>
      <c r="AA179" s="9" t="s">
        <v>1883</v>
      </c>
      <c r="AB179" s="9" t="s">
        <v>1866</v>
      </c>
      <c r="AC179" s="9" t="s">
        <v>7028</v>
      </c>
      <c r="AD179" s="9" t="s">
        <v>7071</v>
      </c>
      <c r="AE179" t="str">
        <f t="shared" si="6"/>
        <v>Fast</v>
      </c>
      <c r="AF179">
        <f>IF($A179="","",IFERROR(VLOOKUP($B179,_CONFIG_Risk_Calibration!$A$5:$H$21,2,FALSE),3))</f>
        <v>3</v>
      </c>
      <c r="AG179">
        <f>IF($A179="","",IFERROR(VLOOKUP($B179,_CONFIG_Risk_Calibration!$A$5:$H$21,3,FALSE),0))</f>
        <v>0</v>
      </c>
      <c r="AH179">
        <f>IF($A179="","",IFERROR(VLOOKUP($B179,_CONFIG_Risk_Calibration!$A$5:$H$21,4,FALSE),3))</f>
        <v>3</v>
      </c>
      <c r="AI179">
        <f>IF($A179="","",IFERROR(VLOOKUP($B179,_CONFIG_Risk_Calibration!$A$5:$H$21,5,FALSE),3))</f>
        <v>3</v>
      </c>
      <c r="AJ179" t="str">
        <f>IF($A179="","",IFERROR(VLOOKUP($B179,_CONFIG_Risk_Calibration!$A$5:$H$21,6,FALSE),"No"))</f>
        <v>No</v>
      </c>
      <c r="AK179">
        <f>IF($A179="","",IFERROR(VLOOKUP($B179,_CONFIG_Risk_Calibration!$A$5:$H$21,7,FALSE),1))</f>
        <v>1</v>
      </c>
      <c r="AL179" t="str">
        <f>IF($A179="","",IFERROR(VLOOKUP($B179,_CONFIG_Risk_Calibration!$A$5:$H$21,8,FALSE),""))</f>
        <v>Clean template default. Calibrate with real exposure, incident history, evidence quality and domain-owner validation.</v>
      </c>
      <c r="AM179">
        <f>IF($A179="","",IFERROR(INDEX(_DATA_Assessment_Model!$AL$1:$AL$428,MATCH($A179,_DATA_Assessment_Model!$A$1:$A$428,0)),""))</f>
        <v>0</v>
      </c>
      <c r="AN179">
        <f t="shared" si="7"/>
        <v>1</v>
      </c>
      <c r="AO179">
        <f>IF($A179="","",_CONFIG_Model_Settings!$B$172*MAX(N($AK179),(N($AF179)+N($AI179))/2))</f>
        <v>60</v>
      </c>
      <c r="AP179">
        <f t="shared" si="8"/>
        <v>60</v>
      </c>
      <c r="AQ179">
        <f>IF($AP179="","",MAX(0,$AP179*(1-(_CONFIG_Model_Settings!$B$173+_CONFIG_Model_Settings!$B$174*(N($AH179)-1)))))</f>
        <v>39</v>
      </c>
      <c r="AR179">
        <f>IF($AP179="","",MIN(100,$AP179*(1+(_CONFIG_Model_Settings!$B$173+_CONFIG_Model_Settings!$B$174*(N($AH179)-1)))))</f>
        <v>81</v>
      </c>
    </row>
    <row r="180" spans="1:44" ht="72" customHeight="1">
      <c r="A180" s="9" t="s">
        <v>1885</v>
      </c>
      <c r="B180" s="9" t="s">
        <v>1859</v>
      </c>
      <c r="C180" s="9" t="s">
        <v>1861</v>
      </c>
      <c r="D180" s="9" t="s">
        <v>3686</v>
      </c>
      <c r="E180" s="9" t="s">
        <v>1886</v>
      </c>
      <c r="F180" s="9" t="s">
        <v>7072</v>
      </c>
      <c r="G180" s="9" t="s">
        <v>7073</v>
      </c>
      <c r="H180" s="9" t="s">
        <v>7074</v>
      </c>
      <c r="I180" s="9" t="s">
        <v>7075</v>
      </c>
      <c r="J180" s="9" t="s">
        <v>7076</v>
      </c>
      <c r="K180" s="9" t="s">
        <v>7077</v>
      </c>
      <c r="L180" s="9" t="s">
        <v>7078</v>
      </c>
      <c r="M180" s="9" t="s">
        <v>7079</v>
      </c>
      <c r="N180" s="9" t="s">
        <v>7080</v>
      </c>
      <c r="O180" s="9" t="s">
        <v>7081</v>
      </c>
      <c r="P180" s="9" t="s">
        <v>7082</v>
      </c>
      <c r="Q180" s="9" t="s">
        <v>7083</v>
      </c>
      <c r="R180" s="9" t="s">
        <v>4589</v>
      </c>
      <c r="S180" s="9" t="s">
        <v>7084</v>
      </c>
      <c r="T180" s="9">
        <v>3</v>
      </c>
      <c r="U180" s="9">
        <v>3</v>
      </c>
      <c r="V180" s="9">
        <v>2</v>
      </c>
      <c r="W180" s="9">
        <v>2</v>
      </c>
      <c r="X180" s="9">
        <v>1</v>
      </c>
      <c r="Y180" s="9">
        <v>1</v>
      </c>
      <c r="Z180" s="9" t="s">
        <v>1864</v>
      </c>
      <c r="AA180" s="9" t="s">
        <v>1887</v>
      </c>
      <c r="AB180" s="9" t="s">
        <v>1866</v>
      </c>
      <c r="AC180" s="9" t="s">
        <v>7028</v>
      </c>
      <c r="AD180" s="9" t="s">
        <v>7085</v>
      </c>
      <c r="AE180" t="str">
        <f t="shared" si="6"/>
        <v>Fast</v>
      </c>
      <c r="AF180">
        <f>IF($A180="","",IFERROR(VLOOKUP($B180,_CONFIG_Risk_Calibration!$A$5:$H$21,2,FALSE),3))</f>
        <v>3</v>
      </c>
      <c r="AG180">
        <f>IF($A180="","",IFERROR(VLOOKUP($B180,_CONFIG_Risk_Calibration!$A$5:$H$21,3,FALSE),0))</f>
        <v>0</v>
      </c>
      <c r="AH180">
        <f>IF($A180="","",IFERROR(VLOOKUP($B180,_CONFIG_Risk_Calibration!$A$5:$H$21,4,FALSE),3))</f>
        <v>3</v>
      </c>
      <c r="AI180">
        <f>IF($A180="","",IFERROR(VLOOKUP($B180,_CONFIG_Risk_Calibration!$A$5:$H$21,5,FALSE),3))</f>
        <v>3</v>
      </c>
      <c r="AJ180" t="str">
        <f>IF($A180="","",IFERROR(VLOOKUP($B180,_CONFIG_Risk_Calibration!$A$5:$H$21,6,FALSE),"No"))</f>
        <v>No</v>
      </c>
      <c r="AK180">
        <f>IF($A180="","",IFERROR(VLOOKUP($B180,_CONFIG_Risk_Calibration!$A$5:$H$21,7,FALSE),1))</f>
        <v>1</v>
      </c>
      <c r="AL180" t="str">
        <f>IF($A180="","",IFERROR(VLOOKUP($B180,_CONFIG_Risk_Calibration!$A$5:$H$21,8,FALSE),""))</f>
        <v>Clean template default. Calibrate with real exposure, incident history, evidence quality and domain-owner validation.</v>
      </c>
      <c r="AM180">
        <f>IF($A180="","",IFERROR(INDEX(_DATA_Assessment_Model!$AL$1:$AL$428,MATCH($A180,_DATA_Assessment_Model!$A$1:$A$428,0)),""))</f>
        <v>0</v>
      </c>
      <c r="AN180">
        <f t="shared" si="7"/>
        <v>1</v>
      </c>
      <c r="AO180">
        <f>IF($A180="","",_CONFIG_Model_Settings!$B$172*MAX(N($AK180),(N($AF180)+N($AI180))/2))</f>
        <v>60</v>
      </c>
      <c r="AP180">
        <f t="shared" si="8"/>
        <v>60</v>
      </c>
      <c r="AQ180">
        <f>IF($AP180="","",MAX(0,$AP180*(1-(_CONFIG_Model_Settings!$B$173+_CONFIG_Model_Settings!$B$174*(N($AH180)-1)))))</f>
        <v>39</v>
      </c>
      <c r="AR180">
        <f>IF($AP180="","",MIN(100,$AP180*(1+(_CONFIG_Model_Settings!$B$173+_CONFIG_Model_Settings!$B$174*(N($AH180)-1)))))</f>
        <v>81</v>
      </c>
    </row>
    <row r="181" spans="1:44" ht="72" customHeight="1">
      <c r="A181" s="9" t="s">
        <v>1894</v>
      </c>
      <c r="B181" s="9" t="s">
        <v>1859</v>
      </c>
      <c r="C181" s="9" t="s">
        <v>1861</v>
      </c>
      <c r="D181" s="9" t="s">
        <v>3686</v>
      </c>
      <c r="E181" s="9" t="s">
        <v>1895</v>
      </c>
      <c r="F181" s="9" t="s">
        <v>7086</v>
      </c>
      <c r="G181" s="9" t="s">
        <v>7087</v>
      </c>
      <c r="H181" s="9" t="s">
        <v>7088</v>
      </c>
      <c r="I181" s="9" t="s">
        <v>7089</v>
      </c>
      <c r="J181" s="9" t="s">
        <v>7090</v>
      </c>
      <c r="K181" s="9" t="s">
        <v>7091</v>
      </c>
      <c r="L181" s="9" t="s">
        <v>7092</v>
      </c>
      <c r="M181" s="9" t="s">
        <v>7093</v>
      </c>
      <c r="N181" s="9" t="s">
        <v>7094</v>
      </c>
      <c r="O181" s="9" t="s">
        <v>7095</v>
      </c>
      <c r="P181" s="9" t="s">
        <v>7096</v>
      </c>
      <c r="Q181" s="9" t="s">
        <v>7097</v>
      </c>
      <c r="R181" s="9" t="s">
        <v>4589</v>
      </c>
      <c r="S181" s="9" t="s">
        <v>7098</v>
      </c>
      <c r="T181" s="9">
        <v>3</v>
      </c>
      <c r="U181" s="9">
        <v>3</v>
      </c>
      <c r="V181" s="9">
        <v>2</v>
      </c>
      <c r="W181" s="9">
        <v>2</v>
      </c>
      <c r="X181" s="9">
        <v>1</v>
      </c>
      <c r="Y181" s="9">
        <v>1</v>
      </c>
      <c r="Z181" s="9" t="s">
        <v>1864</v>
      </c>
      <c r="AA181" s="9" t="s">
        <v>1896</v>
      </c>
      <c r="AB181" s="9" t="s">
        <v>1866</v>
      </c>
      <c r="AC181" s="9" t="s">
        <v>7028</v>
      </c>
      <c r="AD181" s="9" t="s">
        <v>7099</v>
      </c>
      <c r="AE181" t="str">
        <f t="shared" si="6"/>
        <v>Fast</v>
      </c>
      <c r="AF181">
        <f>IF($A181="","",IFERROR(VLOOKUP($B181,_CONFIG_Risk_Calibration!$A$5:$H$21,2,FALSE),3))</f>
        <v>3</v>
      </c>
      <c r="AG181">
        <f>IF($A181="","",IFERROR(VLOOKUP($B181,_CONFIG_Risk_Calibration!$A$5:$H$21,3,FALSE),0))</f>
        <v>0</v>
      </c>
      <c r="AH181">
        <f>IF($A181="","",IFERROR(VLOOKUP($B181,_CONFIG_Risk_Calibration!$A$5:$H$21,4,FALSE),3))</f>
        <v>3</v>
      </c>
      <c r="AI181">
        <f>IF($A181="","",IFERROR(VLOOKUP($B181,_CONFIG_Risk_Calibration!$A$5:$H$21,5,FALSE),3))</f>
        <v>3</v>
      </c>
      <c r="AJ181" t="str">
        <f>IF($A181="","",IFERROR(VLOOKUP($B181,_CONFIG_Risk_Calibration!$A$5:$H$21,6,FALSE),"No"))</f>
        <v>No</v>
      </c>
      <c r="AK181">
        <f>IF($A181="","",IFERROR(VLOOKUP($B181,_CONFIG_Risk_Calibration!$A$5:$H$21,7,FALSE),1))</f>
        <v>1</v>
      </c>
      <c r="AL181" t="str">
        <f>IF($A181="","",IFERROR(VLOOKUP($B181,_CONFIG_Risk_Calibration!$A$5:$H$21,8,FALSE),""))</f>
        <v>Clean template default. Calibrate with real exposure, incident history, evidence quality and domain-owner validation.</v>
      </c>
      <c r="AM181">
        <f>IF($A181="","",IFERROR(INDEX(_DATA_Assessment_Model!$AL$1:$AL$428,MATCH($A181,_DATA_Assessment_Model!$A$1:$A$428,0)),""))</f>
        <v>0</v>
      </c>
      <c r="AN181">
        <f t="shared" si="7"/>
        <v>1</v>
      </c>
      <c r="AO181">
        <f>IF($A181="","",_CONFIG_Model_Settings!$B$172*MAX(N($AK181),(N($AF181)+N($AI181))/2))</f>
        <v>60</v>
      </c>
      <c r="AP181">
        <f t="shared" si="8"/>
        <v>60</v>
      </c>
      <c r="AQ181">
        <f>IF($AP181="","",MAX(0,$AP181*(1-(_CONFIG_Model_Settings!$B$173+_CONFIG_Model_Settings!$B$174*(N($AH181)-1)))))</f>
        <v>39</v>
      </c>
      <c r="AR181">
        <f>IF($AP181="","",MIN(100,$AP181*(1+(_CONFIG_Model_Settings!$B$173+_CONFIG_Model_Settings!$B$174*(N($AH181)-1)))))</f>
        <v>81</v>
      </c>
    </row>
    <row r="182" spans="1:44" ht="72" customHeight="1">
      <c r="A182" s="9" t="s">
        <v>1897</v>
      </c>
      <c r="B182" s="9" t="s">
        <v>1859</v>
      </c>
      <c r="C182" s="9" t="s">
        <v>1870</v>
      </c>
      <c r="D182" s="9" t="s">
        <v>3686</v>
      </c>
      <c r="E182" s="9" t="s">
        <v>1898</v>
      </c>
      <c r="F182" s="9" t="s">
        <v>7100</v>
      </c>
      <c r="G182" s="9" t="s">
        <v>7101</v>
      </c>
      <c r="H182" s="9" t="s">
        <v>7102</v>
      </c>
      <c r="I182" s="9" t="s">
        <v>7103</v>
      </c>
      <c r="J182" s="9" t="s">
        <v>7104</v>
      </c>
      <c r="K182" s="9" t="s">
        <v>7105</v>
      </c>
      <c r="L182" s="9" t="s">
        <v>7106</v>
      </c>
      <c r="M182" s="9" t="s">
        <v>7107</v>
      </c>
      <c r="N182" s="9" t="s">
        <v>7108</v>
      </c>
      <c r="O182" s="9" t="s">
        <v>7109</v>
      </c>
      <c r="P182" s="9" t="s">
        <v>7110</v>
      </c>
      <c r="Q182" s="9" t="s">
        <v>7111</v>
      </c>
      <c r="R182" s="9" t="s">
        <v>4589</v>
      </c>
      <c r="S182" s="9" t="s">
        <v>7112</v>
      </c>
      <c r="T182" s="9">
        <v>3</v>
      </c>
      <c r="U182" s="9">
        <v>3</v>
      </c>
      <c r="V182" s="9">
        <v>2</v>
      </c>
      <c r="W182" s="9">
        <v>2</v>
      </c>
      <c r="X182" s="9">
        <v>1</v>
      </c>
      <c r="Y182" s="9">
        <v>1</v>
      </c>
      <c r="Z182" s="9" t="s">
        <v>1864</v>
      </c>
      <c r="AA182" s="9" t="s">
        <v>1899</v>
      </c>
      <c r="AB182" s="9" t="s">
        <v>1866</v>
      </c>
      <c r="AC182" s="9" t="s">
        <v>7028</v>
      </c>
      <c r="AD182" s="9" t="s">
        <v>7113</v>
      </c>
      <c r="AE182" t="str">
        <f t="shared" si="6"/>
        <v>Fast</v>
      </c>
      <c r="AF182">
        <f>IF($A182="","",IFERROR(VLOOKUP($B182,_CONFIG_Risk_Calibration!$A$5:$H$21,2,FALSE),3))</f>
        <v>3</v>
      </c>
      <c r="AG182">
        <f>IF($A182="","",IFERROR(VLOOKUP($B182,_CONFIG_Risk_Calibration!$A$5:$H$21,3,FALSE),0))</f>
        <v>0</v>
      </c>
      <c r="AH182">
        <f>IF($A182="","",IFERROR(VLOOKUP($B182,_CONFIG_Risk_Calibration!$A$5:$H$21,4,FALSE),3))</f>
        <v>3</v>
      </c>
      <c r="AI182">
        <f>IF($A182="","",IFERROR(VLOOKUP($B182,_CONFIG_Risk_Calibration!$A$5:$H$21,5,FALSE),3))</f>
        <v>3</v>
      </c>
      <c r="AJ182" t="str">
        <f>IF($A182="","",IFERROR(VLOOKUP($B182,_CONFIG_Risk_Calibration!$A$5:$H$21,6,FALSE),"No"))</f>
        <v>No</v>
      </c>
      <c r="AK182">
        <f>IF($A182="","",IFERROR(VLOOKUP($B182,_CONFIG_Risk_Calibration!$A$5:$H$21,7,FALSE),1))</f>
        <v>1</v>
      </c>
      <c r="AL182" t="str">
        <f>IF($A182="","",IFERROR(VLOOKUP($B182,_CONFIG_Risk_Calibration!$A$5:$H$21,8,FALSE),""))</f>
        <v>Clean template default. Calibrate with real exposure, incident history, evidence quality and domain-owner validation.</v>
      </c>
      <c r="AM182">
        <f>IF($A182="","",IFERROR(INDEX(_DATA_Assessment_Model!$AL$1:$AL$428,MATCH($A182,_DATA_Assessment_Model!$A$1:$A$428,0)),""))</f>
        <v>0</v>
      </c>
      <c r="AN182">
        <f t="shared" si="7"/>
        <v>1</v>
      </c>
      <c r="AO182">
        <f>IF($A182="","",_CONFIG_Model_Settings!$B$172*MAX(N($AK182),(N($AF182)+N($AI182))/2))</f>
        <v>60</v>
      </c>
      <c r="AP182">
        <f t="shared" si="8"/>
        <v>60</v>
      </c>
      <c r="AQ182">
        <f>IF($AP182="","",MAX(0,$AP182*(1-(_CONFIG_Model_Settings!$B$173+_CONFIG_Model_Settings!$B$174*(N($AH182)-1)))))</f>
        <v>39</v>
      </c>
      <c r="AR182">
        <f>IF($AP182="","",MIN(100,$AP182*(1+(_CONFIG_Model_Settings!$B$173+_CONFIG_Model_Settings!$B$174*(N($AH182)-1)))))</f>
        <v>81</v>
      </c>
    </row>
    <row r="183" spans="1:44" ht="72" customHeight="1">
      <c r="A183" s="9" t="s">
        <v>1900</v>
      </c>
      <c r="B183" s="9" t="s">
        <v>1859</v>
      </c>
      <c r="C183" s="9" t="s">
        <v>1870</v>
      </c>
      <c r="D183" s="9" t="s">
        <v>3686</v>
      </c>
      <c r="E183" s="9" t="s">
        <v>1901</v>
      </c>
      <c r="F183" s="9" t="s">
        <v>7114</v>
      </c>
      <c r="G183" s="9" t="s">
        <v>7115</v>
      </c>
      <c r="H183" s="9" t="s">
        <v>7116</v>
      </c>
      <c r="I183" s="9" t="s">
        <v>7117</v>
      </c>
      <c r="J183" s="9" t="s">
        <v>7118</v>
      </c>
      <c r="K183" s="9" t="s">
        <v>7119</v>
      </c>
      <c r="L183" s="9" t="s">
        <v>7120</v>
      </c>
      <c r="M183" s="9" t="s">
        <v>7121</v>
      </c>
      <c r="N183" s="9" t="s">
        <v>7122</v>
      </c>
      <c r="O183" s="9" t="s">
        <v>7123</v>
      </c>
      <c r="P183" s="9" t="s">
        <v>7124</v>
      </c>
      <c r="Q183" s="9" t="s">
        <v>7125</v>
      </c>
      <c r="R183" s="9" t="s">
        <v>4589</v>
      </c>
      <c r="S183" s="9" t="s">
        <v>7126</v>
      </c>
      <c r="T183" s="9">
        <v>3</v>
      </c>
      <c r="U183" s="9">
        <v>3</v>
      </c>
      <c r="V183" s="9">
        <v>2</v>
      </c>
      <c r="W183" s="9">
        <v>2</v>
      </c>
      <c r="X183" s="9">
        <v>1</v>
      </c>
      <c r="Y183" s="9">
        <v>1</v>
      </c>
      <c r="Z183" s="9" t="s">
        <v>1864</v>
      </c>
      <c r="AA183" s="9" t="s">
        <v>1902</v>
      </c>
      <c r="AB183" s="9" t="s">
        <v>1866</v>
      </c>
      <c r="AC183" s="9" t="s">
        <v>7028</v>
      </c>
      <c r="AD183" s="9" t="s">
        <v>7127</v>
      </c>
      <c r="AE183" t="str">
        <f t="shared" si="6"/>
        <v>Fast</v>
      </c>
      <c r="AF183">
        <f>IF($A183="","",IFERROR(VLOOKUP($B183,_CONFIG_Risk_Calibration!$A$5:$H$21,2,FALSE),3))</f>
        <v>3</v>
      </c>
      <c r="AG183">
        <f>IF($A183="","",IFERROR(VLOOKUP($B183,_CONFIG_Risk_Calibration!$A$5:$H$21,3,FALSE),0))</f>
        <v>0</v>
      </c>
      <c r="AH183">
        <f>IF($A183="","",IFERROR(VLOOKUP($B183,_CONFIG_Risk_Calibration!$A$5:$H$21,4,FALSE),3))</f>
        <v>3</v>
      </c>
      <c r="AI183">
        <f>IF($A183="","",IFERROR(VLOOKUP($B183,_CONFIG_Risk_Calibration!$A$5:$H$21,5,FALSE),3))</f>
        <v>3</v>
      </c>
      <c r="AJ183" t="str">
        <f>IF($A183="","",IFERROR(VLOOKUP($B183,_CONFIG_Risk_Calibration!$A$5:$H$21,6,FALSE),"No"))</f>
        <v>No</v>
      </c>
      <c r="AK183">
        <f>IF($A183="","",IFERROR(VLOOKUP($B183,_CONFIG_Risk_Calibration!$A$5:$H$21,7,FALSE),1))</f>
        <v>1</v>
      </c>
      <c r="AL183" t="str">
        <f>IF($A183="","",IFERROR(VLOOKUP($B183,_CONFIG_Risk_Calibration!$A$5:$H$21,8,FALSE),""))</f>
        <v>Clean template default. Calibrate with real exposure, incident history, evidence quality and domain-owner validation.</v>
      </c>
      <c r="AM183">
        <f>IF($A183="","",IFERROR(INDEX(_DATA_Assessment_Model!$AL$1:$AL$428,MATCH($A183,_DATA_Assessment_Model!$A$1:$A$428,0)),""))</f>
        <v>0</v>
      </c>
      <c r="AN183">
        <f t="shared" si="7"/>
        <v>1</v>
      </c>
      <c r="AO183">
        <f>IF($A183="","",_CONFIG_Model_Settings!$B$172*MAX(N($AK183),(N($AF183)+N($AI183))/2))</f>
        <v>60</v>
      </c>
      <c r="AP183">
        <f t="shared" si="8"/>
        <v>60</v>
      </c>
      <c r="AQ183">
        <f>IF($AP183="","",MAX(0,$AP183*(1-(_CONFIG_Model_Settings!$B$173+_CONFIG_Model_Settings!$B$174*(N($AH183)-1)))))</f>
        <v>39</v>
      </c>
      <c r="AR183">
        <f>IF($AP183="","",MIN(100,$AP183*(1+(_CONFIG_Model_Settings!$B$173+_CONFIG_Model_Settings!$B$174*(N($AH183)-1)))))</f>
        <v>81</v>
      </c>
    </row>
    <row r="184" spans="1:44" ht="72" customHeight="1">
      <c r="A184" s="9" t="s">
        <v>1903</v>
      </c>
      <c r="B184" s="9" t="s">
        <v>1859</v>
      </c>
      <c r="C184" s="9" t="s">
        <v>1870</v>
      </c>
      <c r="D184" s="9" t="s">
        <v>3686</v>
      </c>
      <c r="E184" s="9" t="s">
        <v>1904</v>
      </c>
      <c r="F184" s="9" t="s">
        <v>7128</v>
      </c>
      <c r="G184" s="9" t="s">
        <v>7129</v>
      </c>
      <c r="H184" s="9" t="s">
        <v>7130</v>
      </c>
      <c r="I184" s="9" t="s">
        <v>7131</v>
      </c>
      <c r="J184" s="9" t="s">
        <v>7132</v>
      </c>
      <c r="K184" s="9" t="s">
        <v>7133</v>
      </c>
      <c r="L184" s="9" t="s">
        <v>7134</v>
      </c>
      <c r="M184" s="9" t="s">
        <v>7135</v>
      </c>
      <c r="N184" s="9" t="s">
        <v>7136</v>
      </c>
      <c r="O184" s="9" t="s">
        <v>7137</v>
      </c>
      <c r="P184" s="9" t="s">
        <v>7138</v>
      </c>
      <c r="Q184" s="9" t="s">
        <v>7139</v>
      </c>
      <c r="R184" s="9" t="s">
        <v>4589</v>
      </c>
      <c r="S184" s="9" t="s">
        <v>7140</v>
      </c>
      <c r="T184" s="9">
        <v>3</v>
      </c>
      <c r="U184" s="9">
        <v>3</v>
      </c>
      <c r="V184" s="9">
        <v>2</v>
      </c>
      <c r="W184" s="9">
        <v>2</v>
      </c>
      <c r="X184" s="9">
        <v>1</v>
      </c>
      <c r="Y184" s="9">
        <v>1</v>
      </c>
      <c r="Z184" s="9" t="s">
        <v>1864</v>
      </c>
      <c r="AA184" s="9" t="s">
        <v>1905</v>
      </c>
      <c r="AB184" s="9" t="s">
        <v>1866</v>
      </c>
      <c r="AC184" s="9" t="s">
        <v>7028</v>
      </c>
      <c r="AD184" s="9" t="s">
        <v>7141</v>
      </c>
      <c r="AE184" t="str">
        <f t="shared" si="6"/>
        <v>Fast</v>
      </c>
      <c r="AF184">
        <f>IF($A184="","",IFERROR(VLOOKUP($B184,_CONFIG_Risk_Calibration!$A$5:$H$21,2,FALSE),3))</f>
        <v>3</v>
      </c>
      <c r="AG184">
        <f>IF($A184="","",IFERROR(VLOOKUP($B184,_CONFIG_Risk_Calibration!$A$5:$H$21,3,FALSE),0))</f>
        <v>0</v>
      </c>
      <c r="AH184">
        <f>IF($A184="","",IFERROR(VLOOKUP($B184,_CONFIG_Risk_Calibration!$A$5:$H$21,4,FALSE),3))</f>
        <v>3</v>
      </c>
      <c r="AI184">
        <f>IF($A184="","",IFERROR(VLOOKUP($B184,_CONFIG_Risk_Calibration!$A$5:$H$21,5,FALSE),3))</f>
        <v>3</v>
      </c>
      <c r="AJ184" t="str">
        <f>IF($A184="","",IFERROR(VLOOKUP($B184,_CONFIG_Risk_Calibration!$A$5:$H$21,6,FALSE),"No"))</f>
        <v>No</v>
      </c>
      <c r="AK184">
        <f>IF($A184="","",IFERROR(VLOOKUP($B184,_CONFIG_Risk_Calibration!$A$5:$H$21,7,FALSE),1))</f>
        <v>1</v>
      </c>
      <c r="AL184" t="str">
        <f>IF($A184="","",IFERROR(VLOOKUP($B184,_CONFIG_Risk_Calibration!$A$5:$H$21,8,FALSE),""))</f>
        <v>Clean template default. Calibrate with real exposure, incident history, evidence quality and domain-owner validation.</v>
      </c>
      <c r="AM184">
        <f>IF($A184="","",IFERROR(INDEX(_DATA_Assessment_Model!$AL$1:$AL$428,MATCH($A184,_DATA_Assessment_Model!$A$1:$A$428,0)),""))</f>
        <v>0</v>
      </c>
      <c r="AN184">
        <f t="shared" si="7"/>
        <v>1</v>
      </c>
      <c r="AO184">
        <f>IF($A184="","",_CONFIG_Model_Settings!$B$172*MAX(N($AK184),(N($AF184)+N($AI184))/2))</f>
        <v>60</v>
      </c>
      <c r="AP184">
        <f t="shared" si="8"/>
        <v>60</v>
      </c>
      <c r="AQ184">
        <f>IF($AP184="","",MAX(0,$AP184*(1-(_CONFIG_Model_Settings!$B$173+_CONFIG_Model_Settings!$B$174*(N($AH184)-1)))))</f>
        <v>39</v>
      </c>
      <c r="AR184">
        <f>IF($AP184="","",MIN(100,$AP184*(1+(_CONFIG_Model_Settings!$B$173+_CONFIG_Model_Settings!$B$174*(N($AH184)-1)))))</f>
        <v>81</v>
      </c>
    </row>
    <row r="185" spans="1:44" ht="72" customHeight="1">
      <c r="A185" s="9" t="s">
        <v>1912</v>
      </c>
      <c r="B185" s="9" t="s">
        <v>1859</v>
      </c>
      <c r="C185" s="9" t="s">
        <v>1870</v>
      </c>
      <c r="D185" s="9" t="s">
        <v>3686</v>
      </c>
      <c r="E185" s="9" t="s">
        <v>1913</v>
      </c>
      <c r="F185" s="9" t="s">
        <v>7142</v>
      </c>
      <c r="G185" s="9" t="s">
        <v>7143</v>
      </c>
      <c r="H185" s="9" t="s">
        <v>7144</v>
      </c>
      <c r="I185" s="9" t="s">
        <v>7145</v>
      </c>
      <c r="J185" s="9" t="s">
        <v>7146</v>
      </c>
      <c r="K185" s="9" t="s">
        <v>7147</v>
      </c>
      <c r="L185" s="9" t="s">
        <v>7148</v>
      </c>
      <c r="M185" s="9" t="s">
        <v>7149</v>
      </c>
      <c r="N185" s="9" t="s">
        <v>7150</v>
      </c>
      <c r="O185" s="9" t="s">
        <v>7151</v>
      </c>
      <c r="P185" s="9" t="s">
        <v>7152</v>
      </c>
      <c r="Q185" s="9" t="s">
        <v>7153</v>
      </c>
      <c r="R185" s="9" t="s">
        <v>4589</v>
      </c>
      <c r="S185" s="9" t="s">
        <v>7154</v>
      </c>
      <c r="T185" s="9">
        <v>3</v>
      </c>
      <c r="U185" s="9">
        <v>3</v>
      </c>
      <c r="V185" s="9">
        <v>2</v>
      </c>
      <c r="W185" s="9">
        <v>2</v>
      </c>
      <c r="X185" s="9">
        <v>1</v>
      </c>
      <c r="Y185" s="9">
        <v>1</v>
      </c>
      <c r="Z185" s="9" t="s">
        <v>1864</v>
      </c>
      <c r="AA185" s="9" t="s">
        <v>1914</v>
      </c>
      <c r="AB185" s="9" t="s">
        <v>1866</v>
      </c>
      <c r="AC185" s="9" t="s">
        <v>7028</v>
      </c>
      <c r="AD185" s="9" t="s">
        <v>7155</v>
      </c>
      <c r="AE185" t="str">
        <f t="shared" si="6"/>
        <v>Fast</v>
      </c>
      <c r="AF185">
        <f>IF($A185="","",IFERROR(VLOOKUP($B185,_CONFIG_Risk_Calibration!$A$5:$H$21,2,FALSE),3))</f>
        <v>3</v>
      </c>
      <c r="AG185">
        <f>IF($A185="","",IFERROR(VLOOKUP($B185,_CONFIG_Risk_Calibration!$A$5:$H$21,3,FALSE),0))</f>
        <v>0</v>
      </c>
      <c r="AH185">
        <f>IF($A185="","",IFERROR(VLOOKUP($B185,_CONFIG_Risk_Calibration!$A$5:$H$21,4,FALSE),3))</f>
        <v>3</v>
      </c>
      <c r="AI185">
        <f>IF($A185="","",IFERROR(VLOOKUP($B185,_CONFIG_Risk_Calibration!$A$5:$H$21,5,FALSE),3))</f>
        <v>3</v>
      </c>
      <c r="AJ185" t="str">
        <f>IF($A185="","",IFERROR(VLOOKUP($B185,_CONFIG_Risk_Calibration!$A$5:$H$21,6,FALSE),"No"))</f>
        <v>No</v>
      </c>
      <c r="AK185">
        <f>IF($A185="","",IFERROR(VLOOKUP($B185,_CONFIG_Risk_Calibration!$A$5:$H$21,7,FALSE),1))</f>
        <v>1</v>
      </c>
      <c r="AL185" t="str">
        <f>IF($A185="","",IFERROR(VLOOKUP($B185,_CONFIG_Risk_Calibration!$A$5:$H$21,8,FALSE),""))</f>
        <v>Clean template default. Calibrate with real exposure, incident history, evidence quality and domain-owner validation.</v>
      </c>
      <c r="AM185">
        <f>IF($A185="","",IFERROR(INDEX(_DATA_Assessment_Model!$AL$1:$AL$428,MATCH($A185,_DATA_Assessment_Model!$A$1:$A$428,0)),""))</f>
        <v>0</v>
      </c>
      <c r="AN185">
        <f t="shared" si="7"/>
        <v>1</v>
      </c>
      <c r="AO185">
        <f>IF($A185="","",_CONFIG_Model_Settings!$B$172*MAX(N($AK185),(N($AF185)+N($AI185))/2))</f>
        <v>60</v>
      </c>
      <c r="AP185">
        <f t="shared" si="8"/>
        <v>60</v>
      </c>
      <c r="AQ185">
        <f>IF($AP185="","",MAX(0,$AP185*(1-(_CONFIG_Model_Settings!$B$173+_CONFIG_Model_Settings!$B$174*(N($AH185)-1)))))</f>
        <v>39</v>
      </c>
      <c r="AR185">
        <f>IF($AP185="","",MIN(100,$AP185*(1+(_CONFIG_Model_Settings!$B$173+_CONFIG_Model_Settings!$B$174*(N($AH185)-1)))))</f>
        <v>81</v>
      </c>
    </row>
    <row r="186" spans="1:44" ht="72" customHeight="1">
      <c r="A186" s="9" t="s">
        <v>1915</v>
      </c>
      <c r="B186" s="9" t="s">
        <v>1859</v>
      </c>
      <c r="C186" s="9" t="s">
        <v>1870</v>
      </c>
      <c r="D186" s="9" t="s">
        <v>3686</v>
      </c>
      <c r="E186" s="9" t="s">
        <v>1916</v>
      </c>
      <c r="F186" s="9" t="s">
        <v>7156</v>
      </c>
      <c r="G186" s="9" t="s">
        <v>7157</v>
      </c>
      <c r="H186" s="9" t="s">
        <v>7158</v>
      </c>
      <c r="I186" s="9" t="s">
        <v>7159</v>
      </c>
      <c r="J186" s="9" t="s">
        <v>7160</v>
      </c>
      <c r="K186" s="9" t="s">
        <v>7161</v>
      </c>
      <c r="L186" s="9" t="s">
        <v>7162</v>
      </c>
      <c r="M186" s="9" t="s">
        <v>7163</v>
      </c>
      <c r="N186" s="9" t="s">
        <v>7164</v>
      </c>
      <c r="O186" s="9" t="s">
        <v>7165</v>
      </c>
      <c r="P186" s="9" t="s">
        <v>7166</v>
      </c>
      <c r="Q186" s="9" t="s">
        <v>7167</v>
      </c>
      <c r="R186" s="9" t="s">
        <v>4589</v>
      </c>
      <c r="S186" s="9" t="s">
        <v>7168</v>
      </c>
      <c r="T186" s="9">
        <v>3</v>
      </c>
      <c r="U186" s="9">
        <v>3</v>
      </c>
      <c r="V186" s="9">
        <v>2</v>
      </c>
      <c r="W186" s="9">
        <v>2</v>
      </c>
      <c r="X186" s="9">
        <v>1</v>
      </c>
      <c r="Y186" s="9">
        <v>1</v>
      </c>
      <c r="Z186" s="9" t="s">
        <v>1864</v>
      </c>
      <c r="AA186" s="9" t="s">
        <v>1917</v>
      </c>
      <c r="AB186" s="9" t="s">
        <v>1866</v>
      </c>
      <c r="AC186" s="9" t="s">
        <v>7028</v>
      </c>
      <c r="AD186" s="9" t="s">
        <v>7169</v>
      </c>
      <c r="AE186" t="str">
        <f t="shared" si="6"/>
        <v>Fast</v>
      </c>
      <c r="AF186">
        <f>IF($A186="","",IFERROR(VLOOKUP($B186,_CONFIG_Risk_Calibration!$A$5:$H$21,2,FALSE),3))</f>
        <v>3</v>
      </c>
      <c r="AG186">
        <f>IF($A186="","",IFERROR(VLOOKUP($B186,_CONFIG_Risk_Calibration!$A$5:$H$21,3,FALSE),0))</f>
        <v>0</v>
      </c>
      <c r="AH186">
        <f>IF($A186="","",IFERROR(VLOOKUP($B186,_CONFIG_Risk_Calibration!$A$5:$H$21,4,FALSE),3))</f>
        <v>3</v>
      </c>
      <c r="AI186">
        <f>IF($A186="","",IFERROR(VLOOKUP($B186,_CONFIG_Risk_Calibration!$A$5:$H$21,5,FALSE),3))</f>
        <v>3</v>
      </c>
      <c r="AJ186" t="str">
        <f>IF($A186="","",IFERROR(VLOOKUP($B186,_CONFIG_Risk_Calibration!$A$5:$H$21,6,FALSE),"No"))</f>
        <v>No</v>
      </c>
      <c r="AK186">
        <f>IF($A186="","",IFERROR(VLOOKUP($B186,_CONFIG_Risk_Calibration!$A$5:$H$21,7,FALSE),1))</f>
        <v>1</v>
      </c>
      <c r="AL186" t="str">
        <f>IF($A186="","",IFERROR(VLOOKUP($B186,_CONFIG_Risk_Calibration!$A$5:$H$21,8,FALSE),""))</f>
        <v>Clean template default. Calibrate with real exposure, incident history, evidence quality and domain-owner validation.</v>
      </c>
      <c r="AM186">
        <f>IF($A186="","",IFERROR(INDEX(_DATA_Assessment_Model!$AL$1:$AL$428,MATCH($A186,_DATA_Assessment_Model!$A$1:$A$428,0)),""))</f>
        <v>0</v>
      </c>
      <c r="AN186">
        <f t="shared" si="7"/>
        <v>1</v>
      </c>
      <c r="AO186">
        <f>IF($A186="","",_CONFIG_Model_Settings!$B$172*MAX(N($AK186),(N($AF186)+N($AI186))/2))</f>
        <v>60</v>
      </c>
      <c r="AP186">
        <f t="shared" si="8"/>
        <v>60</v>
      </c>
      <c r="AQ186">
        <f>IF($AP186="","",MAX(0,$AP186*(1-(_CONFIG_Model_Settings!$B$173+_CONFIG_Model_Settings!$B$174*(N($AH186)-1)))))</f>
        <v>39</v>
      </c>
      <c r="AR186">
        <f>IF($AP186="","",MIN(100,$AP186*(1+(_CONFIG_Model_Settings!$B$173+_CONFIG_Model_Settings!$B$174*(N($AH186)-1)))))</f>
        <v>81</v>
      </c>
    </row>
    <row r="187" spans="1:44" ht="72" customHeight="1">
      <c r="A187" s="9" t="s">
        <v>1918</v>
      </c>
      <c r="B187" s="9" t="s">
        <v>1859</v>
      </c>
      <c r="C187" s="9" t="s">
        <v>1870</v>
      </c>
      <c r="D187" s="9" t="s">
        <v>3686</v>
      </c>
      <c r="E187" s="9" t="s">
        <v>1919</v>
      </c>
      <c r="F187" s="9" t="s">
        <v>7170</v>
      </c>
      <c r="G187" s="9" t="s">
        <v>7171</v>
      </c>
      <c r="H187" s="9" t="s">
        <v>7172</v>
      </c>
      <c r="I187" s="9" t="s">
        <v>7173</v>
      </c>
      <c r="J187" s="9" t="s">
        <v>7174</v>
      </c>
      <c r="K187" s="9" t="s">
        <v>7175</v>
      </c>
      <c r="L187" s="9" t="s">
        <v>7176</v>
      </c>
      <c r="M187" s="9" t="s">
        <v>7177</v>
      </c>
      <c r="N187" s="9" t="s">
        <v>7178</v>
      </c>
      <c r="O187" s="9" t="s">
        <v>7179</v>
      </c>
      <c r="P187" s="9" t="s">
        <v>7180</v>
      </c>
      <c r="Q187" s="9" t="s">
        <v>7181</v>
      </c>
      <c r="R187" s="9" t="s">
        <v>4589</v>
      </c>
      <c r="S187" s="9" t="s">
        <v>7182</v>
      </c>
      <c r="T187" s="9">
        <v>3</v>
      </c>
      <c r="U187" s="9">
        <v>3</v>
      </c>
      <c r="V187" s="9">
        <v>2</v>
      </c>
      <c r="W187" s="9">
        <v>2</v>
      </c>
      <c r="X187" s="9">
        <v>1</v>
      </c>
      <c r="Y187" s="9">
        <v>1</v>
      </c>
      <c r="Z187" s="9" t="s">
        <v>1864</v>
      </c>
      <c r="AA187" s="9" t="s">
        <v>1920</v>
      </c>
      <c r="AB187" s="9" t="s">
        <v>1866</v>
      </c>
      <c r="AC187" s="9" t="s">
        <v>7028</v>
      </c>
      <c r="AD187" s="9" t="s">
        <v>7183</v>
      </c>
      <c r="AE187" t="str">
        <f t="shared" si="6"/>
        <v>Fast</v>
      </c>
      <c r="AF187">
        <f>IF($A187="","",IFERROR(VLOOKUP($B187,_CONFIG_Risk_Calibration!$A$5:$H$21,2,FALSE),3))</f>
        <v>3</v>
      </c>
      <c r="AG187">
        <f>IF($A187="","",IFERROR(VLOOKUP($B187,_CONFIG_Risk_Calibration!$A$5:$H$21,3,FALSE),0))</f>
        <v>0</v>
      </c>
      <c r="AH187">
        <f>IF($A187="","",IFERROR(VLOOKUP($B187,_CONFIG_Risk_Calibration!$A$5:$H$21,4,FALSE),3))</f>
        <v>3</v>
      </c>
      <c r="AI187">
        <f>IF($A187="","",IFERROR(VLOOKUP($B187,_CONFIG_Risk_Calibration!$A$5:$H$21,5,FALSE),3))</f>
        <v>3</v>
      </c>
      <c r="AJ187" t="str">
        <f>IF($A187="","",IFERROR(VLOOKUP($B187,_CONFIG_Risk_Calibration!$A$5:$H$21,6,FALSE),"No"))</f>
        <v>No</v>
      </c>
      <c r="AK187">
        <f>IF($A187="","",IFERROR(VLOOKUP($B187,_CONFIG_Risk_Calibration!$A$5:$H$21,7,FALSE),1))</f>
        <v>1</v>
      </c>
      <c r="AL187" t="str">
        <f>IF($A187="","",IFERROR(VLOOKUP($B187,_CONFIG_Risk_Calibration!$A$5:$H$21,8,FALSE),""))</f>
        <v>Clean template default. Calibrate with real exposure, incident history, evidence quality and domain-owner validation.</v>
      </c>
      <c r="AM187">
        <f>IF($A187="","",IFERROR(INDEX(_DATA_Assessment_Model!$AL$1:$AL$428,MATCH($A187,_DATA_Assessment_Model!$A$1:$A$428,0)),""))</f>
        <v>0</v>
      </c>
      <c r="AN187">
        <f t="shared" si="7"/>
        <v>1</v>
      </c>
      <c r="AO187">
        <f>IF($A187="","",_CONFIG_Model_Settings!$B$172*MAX(N($AK187),(N($AF187)+N($AI187))/2))</f>
        <v>60</v>
      </c>
      <c r="AP187">
        <f t="shared" si="8"/>
        <v>60</v>
      </c>
      <c r="AQ187">
        <f>IF($AP187="","",MAX(0,$AP187*(1-(_CONFIG_Model_Settings!$B$173+_CONFIG_Model_Settings!$B$174*(N($AH187)-1)))))</f>
        <v>39</v>
      </c>
      <c r="AR187">
        <f>IF($AP187="","",MIN(100,$AP187*(1+(_CONFIG_Model_Settings!$B$173+_CONFIG_Model_Settings!$B$174*(N($AH187)-1)))))</f>
        <v>81</v>
      </c>
    </row>
    <row r="188" spans="1:44" ht="60" customHeight="1">
      <c r="A188" s="9" t="s">
        <v>1921</v>
      </c>
      <c r="B188" s="9" t="s">
        <v>1859</v>
      </c>
      <c r="C188" s="9" t="s">
        <v>1880</v>
      </c>
      <c r="D188" s="9" t="s">
        <v>3686</v>
      </c>
      <c r="E188" s="9" t="s">
        <v>1922</v>
      </c>
      <c r="F188" s="9" t="s">
        <v>7184</v>
      </c>
      <c r="G188" s="9" t="s">
        <v>7185</v>
      </c>
      <c r="H188" s="9" t="s">
        <v>7186</v>
      </c>
      <c r="I188" s="9" t="s">
        <v>7187</v>
      </c>
      <c r="J188" s="9" t="s">
        <v>7188</v>
      </c>
      <c r="K188" s="9" t="s">
        <v>7189</v>
      </c>
      <c r="L188" s="9" t="s">
        <v>7190</v>
      </c>
      <c r="M188" s="9" t="s">
        <v>7191</v>
      </c>
      <c r="N188" s="9" t="s">
        <v>7192</v>
      </c>
      <c r="O188" s="9" t="s">
        <v>7193</v>
      </c>
      <c r="P188" s="9" t="s">
        <v>7194</v>
      </c>
      <c r="Q188" s="9" t="s">
        <v>7195</v>
      </c>
      <c r="R188" s="9" t="s">
        <v>4589</v>
      </c>
      <c r="S188" s="9" t="s">
        <v>7196</v>
      </c>
      <c r="T188" s="9">
        <v>3</v>
      </c>
      <c r="U188" s="9">
        <v>3</v>
      </c>
      <c r="V188" s="9">
        <v>2</v>
      </c>
      <c r="W188" s="9">
        <v>2</v>
      </c>
      <c r="X188" s="9">
        <v>1</v>
      </c>
      <c r="Y188" s="9">
        <v>1</v>
      </c>
      <c r="Z188" s="9" t="s">
        <v>1864</v>
      </c>
      <c r="AA188" s="9" t="s">
        <v>1923</v>
      </c>
      <c r="AB188" s="9" t="s">
        <v>1866</v>
      </c>
      <c r="AC188" s="9" t="s">
        <v>7028</v>
      </c>
      <c r="AD188" s="9" t="s">
        <v>7197</v>
      </c>
      <c r="AE188" t="str">
        <f t="shared" si="6"/>
        <v>Fast</v>
      </c>
      <c r="AF188">
        <f>IF($A188="","",IFERROR(VLOOKUP($B188,_CONFIG_Risk_Calibration!$A$5:$H$21,2,FALSE),3))</f>
        <v>3</v>
      </c>
      <c r="AG188">
        <f>IF($A188="","",IFERROR(VLOOKUP($B188,_CONFIG_Risk_Calibration!$A$5:$H$21,3,FALSE),0))</f>
        <v>0</v>
      </c>
      <c r="AH188">
        <f>IF($A188="","",IFERROR(VLOOKUP($B188,_CONFIG_Risk_Calibration!$A$5:$H$21,4,FALSE),3))</f>
        <v>3</v>
      </c>
      <c r="AI188">
        <f>IF($A188="","",IFERROR(VLOOKUP($B188,_CONFIG_Risk_Calibration!$A$5:$H$21,5,FALSE),3))</f>
        <v>3</v>
      </c>
      <c r="AJ188" t="str">
        <f>IF($A188="","",IFERROR(VLOOKUP($B188,_CONFIG_Risk_Calibration!$A$5:$H$21,6,FALSE),"No"))</f>
        <v>No</v>
      </c>
      <c r="AK188">
        <f>IF($A188="","",IFERROR(VLOOKUP($B188,_CONFIG_Risk_Calibration!$A$5:$H$21,7,FALSE),1))</f>
        <v>1</v>
      </c>
      <c r="AL188" t="str">
        <f>IF($A188="","",IFERROR(VLOOKUP($B188,_CONFIG_Risk_Calibration!$A$5:$H$21,8,FALSE),""))</f>
        <v>Clean template default. Calibrate with real exposure, incident history, evidence quality and domain-owner validation.</v>
      </c>
      <c r="AM188">
        <f>IF($A188="","",IFERROR(INDEX(_DATA_Assessment_Model!$AL$1:$AL$428,MATCH($A188,_DATA_Assessment_Model!$A$1:$A$428,0)),""))</f>
        <v>0</v>
      </c>
      <c r="AN188">
        <f t="shared" si="7"/>
        <v>1</v>
      </c>
      <c r="AO188">
        <f>IF($A188="","",_CONFIG_Model_Settings!$B$172*MAX(N($AK188),(N($AF188)+N($AI188))/2))</f>
        <v>60</v>
      </c>
      <c r="AP188">
        <f t="shared" si="8"/>
        <v>60</v>
      </c>
      <c r="AQ188">
        <f>IF($AP188="","",MAX(0,$AP188*(1-(_CONFIG_Model_Settings!$B$173+_CONFIG_Model_Settings!$B$174*(N($AH188)-1)))))</f>
        <v>39</v>
      </c>
      <c r="AR188">
        <f>IF($AP188="","",MIN(100,$AP188*(1+(_CONFIG_Model_Settings!$B$173+_CONFIG_Model_Settings!$B$174*(N($AH188)-1)))))</f>
        <v>81</v>
      </c>
    </row>
    <row r="189" spans="1:44" ht="72" customHeight="1">
      <c r="A189" s="9" t="s">
        <v>1924</v>
      </c>
      <c r="B189" s="9" t="s">
        <v>1859</v>
      </c>
      <c r="C189" s="9" t="s">
        <v>1880</v>
      </c>
      <c r="D189" s="9" t="s">
        <v>3686</v>
      </c>
      <c r="E189" s="9" t="s">
        <v>1925</v>
      </c>
      <c r="F189" s="9" t="s">
        <v>7198</v>
      </c>
      <c r="G189" s="9" t="s">
        <v>7199</v>
      </c>
      <c r="H189" s="9" t="s">
        <v>7200</v>
      </c>
      <c r="I189" s="9" t="s">
        <v>7201</v>
      </c>
      <c r="J189" s="9" t="s">
        <v>7202</v>
      </c>
      <c r="K189" s="9" t="s">
        <v>7203</v>
      </c>
      <c r="L189" s="9" t="s">
        <v>7204</v>
      </c>
      <c r="M189" s="9" t="s">
        <v>7205</v>
      </c>
      <c r="N189" s="9" t="s">
        <v>7206</v>
      </c>
      <c r="O189" s="9" t="s">
        <v>7207</v>
      </c>
      <c r="P189" s="9" t="s">
        <v>7208</v>
      </c>
      <c r="Q189" s="9" t="s">
        <v>7209</v>
      </c>
      <c r="R189" s="9" t="s">
        <v>4589</v>
      </c>
      <c r="S189" s="9" t="s">
        <v>7210</v>
      </c>
      <c r="T189" s="9">
        <v>3</v>
      </c>
      <c r="U189" s="9">
        <v>3</v>
      </c>
      <c r="V189" s="9">
        <v>2</v>
      </c>
      <c r="W189" s="9">
        <v>2</v>
      </c>
      <c r="X189" s="9">
        <v>1</v>
      </c>
      <c r="Y189" s="9">
        <v>1</v>
      </c>
      <c r="Z189" s="9" t="s">
        <v>1864</v>
      </c>
      <c r="AA189" s="9" t="s">
        <v>1926</v>
      </c>
      <c r="AB189" s="9" t="s">
        <v>1866</v>
      </c>
      <c r="AC189" s="9" t="s">
        <v>7028</v>
      </c>
      <c r="AD189" s="9" t="s">
        <v>7211</v>
      </c>
      <c r="AE189" t="str">
        <f t="shared" si="6"/>
        <v>Fast</v>
      </c>
      <c r="AF189">
        <f>IF($A189="","",IFERROR(VLOOKUP($B189,_CONFIG_Risk_Calibration!$A$5:$H$21,2,FALSE),3))</f>
        <v>3</v>
      </c>
      <c r="AG189">
        <f>IF($A189="","",IFERROR(VLOOKUP($B189,_CONFIG_Risk_Calibration!$A$5:$H$21,3,FALSE),0))</f>
        <v>0</v>
      </c>
      <c r="AH189">
        <f>IF($A189="","",IFERROR(VLOOKUP($B189,_CONFIG_Risk_Calibration!$A$5:$H$21,4,FALSE),3))</f>
        <v>3</v>
      </c>
      <c r="AI189">
        <f>IF($A189="","",IFERROR(VLOOKUP($B189,_CONFIG_Risk_Calibration!$A$5:$H$21,5,FALSE),3))</f>
        <v>3</v>
      </c>
      <c r="AJ189" t="str">
        <f>IF($A189="","",IFERROR(VLOOKUP($B189,_CONFIG_Risk_Calibration!$A$5:$H$21,6,FALSE),"No"))</f>
        <v>No</v>
      </c>
      <c r="AK189">
        <f>IF($A189="","",IFERROR(VLOOKUP($B189,_CONFIG_Risk_Calibration!$A$5:$H$21,7,FALSE),1))</f>
        <v>1</v>
      </c>
      <c r="AL189" t="str">
        <f>IF($A189="","",IFERROR(VLOOKUP($B189,_CONFIG_Risk_Calibration!$A$5:$H$21,8,FALSE),""))</f>
        <v>Clean template default. Calibrate with real exposure, incident history, evidence quality and domain-owner validation.</v>
      </c>
      <c r="AM189">
        <f>IF($A189="","",IFERROR(INDEX(_DATA_Assessment_Model!$AL$1:$AL$428,MATCH($A189,_DATA_Assessment_Model!$A$1:$A$428,0)),""))</f>
        <v>0</v>
      </c>
      <c r="AN189">
        <f t="shared" si="7"/>
        <v>1</v>
      </c>
      <c r="AO189">
        <f>IF($A189="","",_CONFIG_Model_Settings!$B$172*MAX(N($AK189),(N($AF189)+N($AI189))/2))</f>
        <v>60</v>
      </c>
      <c r="AP189">
        <f t="shared" si="8"/>
        <v>60</v>
      </c>
      <c r="AQ189">
        <f>IF($AP189="","",MAX(0,$AP189*(1-(_CONFIG_Model_Settings!$B$173+_CONFIG_Model_Settings!$B$174*(N($AH189)-1)))))</f>
        <v>39</v>
      </c>
      <c r="AR189">
        <f>IF($AP189="","",MIN(100,$AP189*(1+(_CONFIG_Model_Settings!$B$173+_CONFIG_Model_Settings!$B$174*(N($AH189)-1)))))</f>
        <v>81</v>
      </c>
    </row>
    <row r="190" spans="1:44" ht="72" customHeight="1">
      <c r="A190" s="9" t="s">
        <v>1933</v>
      </c>
      <c r="B190" s="9" t="s">
        <v>1859</v>
      </c>
      <c r="C190" s="9" t="s">
        <v>1880</v>
      </c>
      <c r="D190" s="9" t="s">
        <v>3686</v>
      </c>
      <c r="E190" s="9" t="s">
        <v>1934</v>
      </c>
      <c r="F190" s="9" t="s">
        <v>7212</v>
      </c>
      <c r="G190" s="9" t="s">
        <v>7213</v>
      </c>
      <c r="H190" s="9" t="s">
        <v>7214</v>
      </c>
      <c r="I190" s="9" t="s">
        <v>7215</v>
      </c>
      <c r="J190" s="9" t="s">
        <v>7216</v>
      </c>
      <c r="K190" s="9" t="s">
        <v>7217</v>
      </c>
      <c r="L190" s="9" t="s">
        <v>7218</v>
      </c>
      <c r="M190" s="9" t="s">
        <v>7219</v>
      </c>
      <c r="N190" s="9" t="s">
        <v>7220</v>
      </c>
      <c r="O190" s="9" t="s">
        <v>7221</v>
      </c>
      <c r="P190" s="9" t="s">
        <v>7222</v>
      </c>
      <c r="Q190" s="9" t="s">
        <v>7223</v>
      </c>
      <c r="R190" s="9" t="s">
        <v>4589</v>
      </c>
      <c r="S190" s="9" t="s">
        <v>7224</v>
      </c>
      <c r="T190" s="9">
        <v>3</v>
      </c>
      <c r="U190" s="9">
        <v>3</v>
      </c>
      <c r="V190" s="9">
        <v>2</v>
      </c>
      <c r="W190" s="9">
        <v>2</v>
      </c>
      <c r="X190" s="9">
        <v>1</v>
      </c>
      <c r="Y190" s="9">
        <v>1</v>
      </c>
      <c r="Z190" s="9" t="s">
        <v>1864</v>
      </c>
      <c r="AA190" s="9" t="s">
        <v>1935</v>
      </c>
      <c r="AB190" s="9" t="s">
        <v>1866</v>
      </c>
      <c r="AC190" s="9" t="s">
        <v>7028</v>
      </c>
      <c r="AD190" s="9" t="s">
        <v>7225</v>
      </c>
      <c r="AE190" t="str">
        <f t="shared" si="6"/>
        <v>Fast</v>
      </c>
      <c r="AF190">
        <f>IF($A190="","",IFERROR(VLOOKUP($B190,_CONFIG_Risk_Calibration!$A$5:$H$21,2,FALSE),3))</f>
        <v>3</v>
      </c>
      <c r="AG190">
        <f>IF($A190="","",IFERROR(VLOOKUP($B190,_CONFIG_Risk_Calibration!$A$5:$H$21,3,FALSE),0))</f>
        <v>0</v>
      </c>
      <c r="AH190">
        <f>IF($A190="","",IFERROR(VLOOKUP($B190,_CONFIG_Risk_Calibration!$A$5:$H$21,4,FALSE),3))</f>
        <v>3</v>
      </c>
      <c r="AI190">
        <f>IF($A190="","",IFERROR(VLOOKUP($B190,_CONFIG_Risk_Calibration!$A$5:$H$21,5,FALSE),3))</f>
        <v>3</v>
      </c>
      <c r="AJ190" t="str">
        <f>IF($A190="","",IFERROR(VLOOKUP($B190,_CONFIG_Risk_Calibration!$A$5:$H$21,6,FALSE),"No"))</f>
        <v>No</v>
      </c>
      <c r="AK190">
        <f>IF($A190="","",IFERROR(VLOOKUP($B190,_CONFIG_Risk_Calibration!$A$5:$H$21,7,FALSE),1))</f>
        <v>1</v>
      </c>
      <c r="AL190" t="str">
        <f>IF($A190="","",IFERROR(VLOOKUP($B190,_CONFIG_Risk_Calibration!$A$5:$H$21,8,FALSE),""))</f>
        <v>Clean template default. Calibrate with real exposure, incident history, evidence quality and domain-owner validation.</v>
      </c>
      <c r="AM190">
        <f>IF($A190="","",IFERROR(INDEX(_DATA_Assessment_Model!$AL$1:$AL$428,MATCH($A190,_DATA_Assessment_Model!$A$1:$A$428,0)),""))</f>
        <v>0</v>
      </c>
      <c r="AN190">
        <f t="shared" si="7"/>
        <v>1</v>
      </c>
      <c r="AO190">
        <f>IF($A190="","",_CONFIG_Model_Settings!$B$172*MAX(N($AK190),(N($AF190)+N($AI190))/2))</f>
        <v>60</v>
      </c>
      <c r="AP190">
        <f t="shared" si="8"/>
        <v>60</v>
      </c>
      <c r="AQ190">
        <f>IF($AP190="","",MAX(0,$AP190*(1-(_CONFIG_Model_Settings!$B$173+_CONFIG_Model_Settings!$B$174*(N($AH190)-1)))))</f>
        <v>39</v>
      </c>
      <c r="AR190">
        <f>IF($AP190="","",MIN(100,$AP190*(1+(_CONFIG_Model_Settings!$B$173+_CONFIG_Model_Settings!$B$174*(N($AH190)-1)))))</f>
        <v>81</v>
      </c>
    </row>
    <row r="191" spans="1:44" ht="72" customHeight="1">
      <c r="A191" s="9" t="s">
        <v>1936</v>
      </c>
      <c r="B191" s="9" t="s">
        <v>1859</v>
      </c>
      <c r="C191" s="9" t="s">
        <v>1880</v>
      </c>
      <c r="D191" s="9" t="s">
        <v>3686</v>
      </c>
      <c r="E191" s="9" t="s">
        <v>1937</v>
      </c>
      <c r="F191" s="9" t="s">
        <v>7226</v>
      </c>
      <c r="G191" s="9" t="s">
        <v>7227</v>
      </c>
      <c r="H191" s="9" t="s">
        <v>7228</v>
      </c>
      <c r="I191" s="9" t="s">
        <v>7229</v>
      </c>
      <c r="J191" s="9" t="s">
        <v>7230</v>
      </c>
      <c r="K191" s="9" t="s">
        <v>7231</v>
      </c>
      <c r="L191" s="9" t="s">
        <v>7232</v>
      </c>
      <c r="M191" s="9" t="s">
        <v>7233</v>
      </c>
      <c r="N191" s="9" t="s">
        <v>7234</v>
      </c>
      <c r="O191" s="9" t="s">
        <v>7235</v>
      </c>
      <c r="P191" s="9" t="s">
        <v>7236</v>
      </c>
      <c r="Q191" s="9" t="s">
        <v>7237</v>
      </c>
      <c r="R191" s="9" t="s">
        <v>4589</v>
      </c>
      <c r="S191" s="9" t="s">
        <v>7238</v>
      </c>
      <c r="T191" s="9">
        <v>3</v>
      </c>
      <c r="U191" s="9">
        <v>3</v>
      </c>
      <c r="V191" s="9">
        <v>2</v>
      </c>
      <c r="W191" s="9">
        <v>2</v>
      </c>
      <c r="X191" s="9">
        <v>1</v>
      </c>
      <c r="Y191" s="9">
        <v>1</v>
      </c>
      <c r="Z191" s="9" t="s">
        <v>1864</v>
      </c>
      <c r="AA191" s="9" t="s">
        <v>1938</v>
      </c>
      <c r="AB191" s="9" t="s">
        <v>1866</v>
      </c>
      <c r="AC191" s="9" t="s">
        <v>7028</v>
      </c>
      <c r="AD191" s="9" t="s">
        <v>7239</v>
      </c>
      <c r="AE191" t="str">
        <f t="shared" si="6"/>
        <v>Fast</v>
      </c>
      <c r="AF191">
        <f>IF($A191="","",IFERROR(VLOOKUP($B191,_CONFIG_Risk_Calibration!$A$5:$H$21,2,FALSE),3))</f>
        <v>3</v>
      </c>
      <c r="AG191">
        <f>IF($A191="","",IFERROR(VLOOKUP($B191,_CONFIG_Risk_Calibration!$A$5:$H$21,3,FALSE),0))</f>
        <v>0</v>
      </c>
      <c r="AH191">
        <f>IF($A191="","",IFERROR(VLOOKUP($B191,_CONFIG_Risk_Calibration!$A$5:$H$21,4,FALSE),3))</f>
        <v>3</v>
      </c>
      <c r="AI191">
        <f>IF($A191="","",IFERROR(VLOOKUP($B191,_CONFIG_Risk_Calibration!$A$5:$H$21,5,FALSE),3))</f>
        <v>3</v>
      </c>
      <c r="AJ191" t="str">
        <f>IF($A191="","",IFERROR(VLOOKUP($B191,_CONFIG_Risk_Calibration!$A$5:$H$21,6,FALSE),"No"))</f>
        <v>No</v>
      </c>
      <c r="AK191">
        <f>IF($A191="","",IFERROR(VLOOKUP($B191,_CONFIG_Risk_Calibration!$A$5:$H$21,7,FALSE),1))</f>
        <v>1</v>
      </c>
      <c r="AL191" t="str">
        <f>IF($A191="","",IFERROR(VLOOKUP($B191,_CONFIG_Risk_Calibration!$A$5:$H$21,8,FALSE),""))</f>
        <v>Clean template default. Calibrate with real exposure, incident history, evidence quality and domain-owner validation.</v>
      </c>
      <c r="AM191">
        <f>IF($A191="","",IFERROR(INDEX(_DATA_Assessment_Model!$AL$1:$AL$428,MATCH($A191,_DATA_Assessment_Model!$A$1:$A$428,0)),""))</f>
        <v>0</v>
      </c>
      <c r="AN191">
        <f t="shared" si="7"/>
        <v>1</v>
      </c>
      <c r="AO191">
        <f>IF($A191="","",_CONFIG_Model_Settings!$B$172*MAX(N($AK191),(N($AF191)+N($AI191))/2))</f>
        <v>60</v>
      </c>
      <c r="AP191">
        <f t="shared" si="8"/>
        <v>60</v>
      </c>
      <c r="AQ191">
        <f>IF($AP191="","",MAX(0,$AP191*(1-(_CONFIG_Model_Settings!$B$173+_CONFIG_Model_Settings!$B$174*(N($AH191)-1)))))</f>
        <v>39</v>
      </c>
      <c r="AR191">
        <f>IF($AP191="","",MIN(100,$AP191*(1+(_CONFIG_Model_Settings!$B$173+_CONFIG_Model_Settings!$B$174*(N($AH191)-1)))))</f>
        <v>81</v>
      </c>
    </row>
    <row r="192" spans="1:44" ht="72" customHeight="1">
      <c r="A192" s="9" t="s">
        <v>1945</v>
      </c>
      <c r="B192" s="9" t="s">
        <v>1859</v>
      </c>
      <c r="C192" s="9" t="s">
        <v>1880</v>
      </c>
      <c r="D192" s="9" t="s">
        <v>3686</v>
      </c>
      <c r="E192" s="9" t="s">
        <v>1946</v>
      </c>
      <c r="F192" s="9" t="s">
        <v>7240</v>
      </c>
      <c r="G192" s="9" t="s">
        <v>7241</v>
      </c>
      <c r="H192" s="9" t="s">
        <v>7242</v>
      </c>
      <c r="I192" s="9" t="s">
        <v>7243</v>
      </c>
      <c r="J192" s="9" t="s">
        <v>7244</v>
      </c>
      <c r="K192" s="9" t="s">
        <v>7245</v>
      </c>
      <c r="L192" s="9" t="s">
        <v>7246</v>
      </c>
      <c r="M192" s="9" t="s">
        <v>7247</v>
      </c>
      <c r="N192" s="9" t="s">
        <v>7248</v>
      </c>
      <c r="O192" s="9" t="s">
        <v>7249</v>
      </c>
      <c r="P192" s="9" t="s">
        <v>7250</v>
      </c>
      <c r="Q192" s="9" t="s">
        <v>7251</v>
      </c>
      <c r="R192" s="9" t="s">
        <v>4589</v>
      </c>
      <c r="S192" s="9" t="s">
        <v>7252</v>
      </c>
      <c r="T192" s="9">
        <v>3</v>
      </c>
      <c r="U192" s="9">
        <v>3</v>
      </c>
      <c r="V192" s="9">
        <v>2</v>
      </c>
      <c r="W192" s="9">
        <v>2</v>
      </c>
      <c r="X192" s="9">
        <v>1</v>
      </c>
      <c r="Y192" s="9">
        <v>1</v>
      </c>
      <c r="Z192" s="9" t="s">
        <v>1864</v>
      </c>
      <c r="AA192" s="9" t="s">
        <v>1947</v>
      </c>
      <c r="AB192" s="9" t="s">
        <v>1866</v>
      </c>
      <c r="AC192" s="9" t="s">
        <v>7028</v>
      </c>
      <c r="AD192" s="9" t="s">
        <v>7253</v>
      </c>
      <c r="AE192" t="str">
        <f t="shared" si="6"/>
        <v>Fast</v>
      </c>
      <c r="AF192">
        <f>IF($A192="","",IFERROR(VLOOKUP($B192,_CONFIG_Risk_Calibration!$A$5:$H$21,2,FALSE),3))</f>
        <v>3</v>
      </c>
      <c r="AG192">
        <f>IF($A192="","",IFERROR(VLOOKUP($B192,_CONFIG_Risk_Calibration!$A$5:$H$21,3,FALSE),0))</f>
        <v>0</v>
      </c>
      <c r="AH192">
        <f>IF($A192="","",IFERROR(VLOOKUP($B192,_CONFIG_Risk_Calibration!$A$5:$H$21,4,FALSE),3))</f>
        <v>3</v>
      </c>
      <c r="AI192">
        <f>IF($A192="","",IFERROR(VLOOKUP($B192,_CONFIG_Risk_Calibration!$A$5:$H$21,5,FALSE),3))</f>
        <v>3</v>
      </c>
      <c r="AJ192" t="str">
        <f>IF($A192="","",IFERROR(VLOOKUP($B192,_CONFIG_Risk_Calibration!$A$5:$H$21,6,FALSE),"No"))</f>
        <v>No</v>
      </c>
      <c r="AK192">
        <f>IF($A192="","",IFERROR(VLOOKUP($B192,_CONFIG_Risk_Calibration!$A$5:$H$21,7,FALSE),1))</f>
        <v>1</v>
      </c>
      <c r="AL192" t="str">
        <f>IF($A192="","",IFERROR(VLOOKUP($B192,_CONFIG_Risk_Calibration!$A$5:$H$21,8,FALSE),""))</f>
        <v>Clean template default. Calibrate with real exposure, incident history, evidence quality and domain-owner validation.</v>
      </c>
      <c r="AM192">
        <f>IF($A192="","",IFERROR(INDEX(_DATA_Assessment_Model!$AL$1:$AL$428,MATCH($A192,_DATA_Assessment_Model!$A$1:$A$428,0)),""))</f>
        <v>0</v>
      </c>
      <c r="AN192">
        <f t="shared" si="7"/>
        <v>1</v>
      </c>
      <c r="AO192">
        <f>IF($A192="","",_CONFIG_Model_Settings!$B$172*MAX(N($AK192),(N($AF192)+N($AI192))/2))</f>
        <v>60</v>
      </c>
      <c r="AP192">
        <f t="shared" si="8"/>
        <v>60</v>
      </c>
      <c r="AQ192">
        <f>IF($AP192="","",MAX(0,$AP192*(1-(_CONFIG_Model_Settings!$B$173+_CONFIG_Model_Settings!$B$174*(N($AH192)-1)))))</f>
        <v>39</v>
      </c>
      <c r="AR192">
        <f>IF($AP192="","",MIN(100,$AP192*(1+(_CONFIG_Model_Settings!$B$173+_CONFIG_Model_Settings!$B$174*(N($AH192)-1)))))</f>
        <v>81</v>
      </c>
    </row>
    <row r="193" spans="1:44" ht="60" customHeight="1">
      <c r="A193" s="9" t="s">
        <v>1954</v>
      </c>
      <c r="B193" s="9" t="s">
        <v>1859</v>
      </c>
      <c r="C193" s="9" t="s">
        <v>1880</v>
      </c>
      <c r="D193" s="9" t="s">
        <v>3686</v>
      </c>
      <c r="E193" s="9" t="s">
        <v>1955</v>
      </c>
      <c r="F193" s="9" t="s">
        <v>7254</v>
      </c>
      <c r="G193" s="9" t="s">
        <v>7255</v>
      </c>
      <c r="H193" s="9" t="s">
        <v>7256</v>
      </c>
      <c r="I193" s="9" t="s">
        <v>7257</v>
      </c>
      <c r="J193" s="9" t="s">
        <v>7258</v>
      </c>
      <c r="K193" s="9" t="s">
        <v>7259</v>
      </c>
      <c r="L193" s="9" t="s">
        <v>7260</v>
      </c>
      <c r="M193" s="9" t="s">
        <v>7261</v>
      </c>
      <c r="N193" s="9" t="s">
        <v>7262</v>
      </c>
      <c r="O193" s="9" t="s">
        <v>7263</v>
      </c>
      <c r="P193" s="9" t="s">
        <v>7264</v>
      </c>
      <c r="Q193" s="9" t="s">
        <v>7265</v>
      </c>
      <c r="R193" s="9" t="s">
        <v>4589</v>
      </c>
      <c r="S193" s="9" t="s">
        <v>7266</v>
      </c>
      <c r="T193" s="9">
        <v>3</v>
      </c>
      <c r="U193" s="9">
        <v>3</v>
      </c>
      <c r="V193" s="9">
        <v>2</v>
      </c>
      <c r="W193" s="9">
        <v>2</v>
      </c>
      <c r="X193" s="9">
        <v>1</v>
      </c>
      <c r="Y193" s="9">
        <v>1</v>
      </c>
      <c r="Z193" s="9" t="s">
        <v>1864</v>
      </c>
      <c r="AA193" s="9" t="s">
        <v>1956</v>
      </c>
      <c r="AB193" s="9" t="s">
        <v>1866</v>
      </c>
      <c r="AC193" s="9" t="s">
        <v>7028</v>
      </c>
      <c r="AD193" s="9" t="s">
        <v>7267</v>
      </c>
      <c r="AE193" t="str">
        <f t="shared" si="6"/>
        <v>Fast</v>
      </c>
      <c r="AF193">
        <f>IF($A193="","",IFERROR(VLOOKUP($B193,_CONFIG_Risk_Calibration!$A$5:$H$21,2,FALSE),3))</f>
        <v>3</v>
      </c>
      <c r="AG193">
        <f>IF($A193="","",IFERROR(VLOOKUP($B193,_CONFIG_Risk_Calibration!$A$5:$H$21,3,FALSE),0))</f>
        <v>0</v>
      </c>
      <c r="AH193">
        <f>IF($A193="","",IFERROR(VLOOKUP($B193,_CONFIG_Risk_Calibration!$A$5:$H$21,4,FALSE),3))</f>
        <v>3</v>
      </c>
      <c r="AI193">
        <f>IF($A193="","",IFERROR(VLOOKUP($B193,_CONFIG_Risk_Calibration!$A$5:$H$21,5,FALSE),3))</f>
        <v>3</v>
      </c>
      <c r="AJ193" t="str">
        <f>IF($A193="","",IFERROR(VLOOKUP($B193,_CONFIG_Risk_Calibration!$A$5:$H$21,6,FALSE),"No"))</f>
        <v>No</v>
      </c>
      <c r="AK193">
        <f>IF($A193="","",IFERROR(VLOOKUP($B193,_CONFIG_Risk_Calibration!$A$5:$H$21,7,FALSE),1))</f>
        <v>1</v>
      </c>
      <c r="AL193" t="str">
        <f>IF($A193="","",IFERROR(VLOOKUP($B193,_CONFIG_Risk_Calibration!$A$5:$H$21,8,FALSE),""))</f>
        <v>Clean template default. Calibrate with real exposure, incident history, evidence quality and domain-owner validation.</v>
      </c>
      <c r="AM193">
        <f>IF($A193="","",IFERROR(INDEX(_DATA_Assessment_Model!$AL$1:$AL$428,MATCH($A193,_DATA_Assessment_Model!$A$1:$A$428,0)),""))</f>
        <v>0</v>
      </c>
      <c r="AN193">
        <f t="shared" si="7"/>
        <v>1</v>
      </c>
      <c r="AO193">
        <f>IF($A193="","",_CONFIG_Model_Settings!$B$172*MAX(N($AK193),(N($AF193)+N($AI193))/2))</f>
        <v>60</v>
      </c>
      <c r="AP193">
        <f t="shared" si="8"/>
        <v>60</v>
      </c>
      <c r="AQ193">
        <f>IF($AP193="","",MAX(0,$AP193*(1-(_CONFIG_Model_Settings!$B$173+_CONFIG_Model_Settings!$B$174*(N($AH193)-1)))))</f>
        <v>39</v>
      </c>
      <c r="AR193">
        <f>IF($AP193="","",MIN(100,$AP193*(1+(_CONFIG_Model_Settings!$B$173+_CONFIG_Model_Settings!$B$174*(N($AH193)-1)))))</f>
        <v>81</v>
      </c>
    </row>
    <row r="194" spans="1:44" ht="72" customHeight="1">
      <c r="A194" s="9" t="s">
        <v>1963</v>
      </c>
      <c r="B194" s="9" t="s">
        <v>1859</v>
      </c>
      <c r="C194" s="9" t="s">
        <v>1884</v>
      </c>
      <c r="D194" s="9" t="s">
        <v>3686</v>
      </c>
      <c r="E194" s="9" t="s">
        <v>1964</v>
      </c>
      <c r="F194" s="9" t="s">
        <v>7268</v>
      </c>
      <c r="G194" s="9" t="s">
        <v>7269</v>
      </c>
      <c r="H194" s="9" t="s">
        <v>7270</v>
      </c>
      <c r="I194" s="9" t="s">
        <v>7271</v>
      </c>
      <c r="J194" s="9" t="s">
        <v>7272</v>
      </c>
      <c r="K194" s="9" t="s">
        <v>7273</v>
      </c>
      <c r="L194" s="9" t="s">
        <v>7274</v>
      </c>
      <c r="M194" s="9" t="s">
        <v>7275</v>
      </c>
      <c r="N194" s="9" t="s">
        <v>7276</v>
      </c>
      <c r="O194" s="9" t="s">
        <v>7277</v>
      </c>
      <c r="P194" s="9" t="s">
        <v>7278</v>
      </c>
      <c r="Q194" s="9" t="s">
        <v>7279</v>
      </c>
      <c r="R194" s="9" t="s">
        <v>4589</v>
      </c>
      <c r="S194" s="9" t="s">
        <v>7280</v>
      </c>
      <c r="T194" s="9">
        <v>3</v>
      </c>
      <c r="U194" s="9">
        <v>3</v>
      </c>
      <c r="V194" s="9">
        <v>2</v>
      </c>
      <c r="W194" s="9">
        <v>2</v>
      </c>
      <c r="X194" s="9">
        <v>1</v>
      </c>
      <c r="Y194" s="9">
        <v>1</v>
      </c>
      <c r="Z194" s="9" t="s">
        <v>1864</v>
      </c>
      <c r="AA194" s="9" t="s">
        <v>1965</v>
      </c>
      <c r="AB194" s="9" t="s">
        <v>1866</v>
      </c>
      <c r="AC194" s="9" t="s">
        <v>7028</v>
      </c>
      <c r="AD194" s="9" t="s">
        <v>7281</v>
      </c>
      <c r="AE194" t="str">
        <f t="shared" si="6"/>
        <v>Fast</v>
      </c>
      <c r="AF194">
        <f>IF($A194="","",IFERROR(VLOOKUP($B194,_CONFIG_Risk_Calibration!$A$5:$H$21,2,FALSE),3))</f>
        <v>3</v>
      </c>
      <c r="AG194">
        <f>IF($A194="","",IFERROR(VLOOKUP($B194,_CONFIG_Risk_Calibration!$A$5:$H$21,3,FALSE),0))</f>
        <v>0</v>
      </c>
      <c r="AH194">
        <f>IF($A194="","",IFERROR(VLOOKUP($B194,_CONFIG_Risk_Calibration!$A$5:$H$21,4,FALSE),3))</f>
        <v>3</v>
      </c>
      <c r="AI194">
        <f>IF($A194="","",IFERROR(VLOOKUP($B194,_CONFIG_Risk_Calibration!$A$5:$H$21,5,FALSE),3))</f>
        <v>3</v>
      </c>
      <c r="AJ194" t="str">
        <f>IF($A194="","",IFERROR(VLOOKUP($B194,_CONFIG_Risk_Calibration!$A$5:$H$21,6,FALSE),"No"))</f>
        <v>No</v>
      </c>
      <c r="AK194">
        <f>IF($A194="","",IFERROR(VLOOKUP($B194,_CONFIG_Risk_Calibration!$A$5:$H$21,7,FALSE),1))</f>
        <v>1</v>
      </c>
      <c r="AL194" t="str">
        <f>IF($A194="","",IFERROR(VLOOKUP($B194,_CONFIG_Risk_Calibration!$A$5:$H$21,8,FALSE),""))</f>
        <v>Clean template default. Calibrate with real exposure, incident history, evidence quality and domain-owner validation.</v>
      </c>
      <c r="AM194">
        <f>IF($A194="","",IFERROR(INDEX(_DATA_Assessment_Model!$AL$1:$AL$428,MATCH($A194,_DATA_Assessment_Model!$A$1:$A$428,0)),""))</f>
        <v>0</v>
      </c>
      <c r="AN194">
        <f t="shared" si="7"/>
        <v>1</v>
      </c>
      <c r="AO194">
        <f>IF($A194="","",_CONFIG_Model_Settings!$B$172*MAX(N($AK194),(N($AF194)+N($AI194))/2))</f>
        <v>60</v>
      </c>
      <c r="AP194">
        <f t="shared" si="8"/>
        <v>60</v>
      </c>
      <c r="AQ194">
        <f>IF($AP194="","",MAX(0,$AP194*(1-(_CONFIG_Model_Settings!$B$173+_CONFIG_Model_Settings!$B$174*(N($AH194)-1)))))</f>
        <v>39</v>
      </c>
      <c r="AR194">
        <f>IF($AP194="","",MIN(100,$AP194*(1+(_CONFIG_Model_Settings!$B$173+_CONFIG_Model_Settings!$B$174*(N($AH194)-1)))))</f>
        <v>81</v>
      </c>
    </row>
    <row r="195" spans="1:44" ht="72" customHeight="1">
      <c r="A195" s="9" t="s">
        <v>1966</v>
      </c>
      <c r="B195" s="9" t="s">
        <v>1859</v>
      </c>
      <c r="C195" s="9" t="s">
        <v>1884</v>
      </c>
      <c r="D195" s="9" t="s">
        <v>3686</v>
      </c>
      <c r="E195" s="9" t="s">
        <v>1967</v>
      </c>
      <c r="F195" s="9" t="s">
        <v>7282</v>
      </c>
      <c r="G195" s="9" t="s">
        <v>7283</v>
      </c>
      <c r="H195" s="9" t="s">
        <v>7284</v>
      </c>
      <c r="I195" s="9" t="s">
        <v>7285</v>
      </c>
      <c r="J195" s="9" t="s">
        <v>7286</v>
      </c>
      <c r="K195" s="9" t="s">
        <v>7287</v>
      </c>
      <c r="L195" s="9" t="s">
        <v>7288</v>
      </c>
      <c r="M195" s="9" t="s">
        <v>7289</v>
      </c>
      <c r="N195" s="9" t="s">
        <v>7290</v>
      </c>
      <c r="O195" s="9" t="s">
        <v>7291</v>
      </c>
      <c r="P195" s="9" t="s">
        <v>7292</v>
      </c>
      <c r="Q195" s="9" t="s">
        <v>7293</v>
      </c>
      <c r="R195" s="9" t="s">
        <v>4589</v>
      </c>
      <c r="S195" s="9" t="s">
        <v>7294</v>
      </c>
      <c r="T195" s="9">
        <v>3</v>
      </c>
      <c r="U195" s="9">
        <v>3</v>
      </c>
      <c r="V195" s="9">
        <v>2</v>
      </c>
      <c r="W195" s="9">
        <v>2</v>
      </c>
      <c r="X195" s="9">
        <v>1</v>
      </c>
      <c r="Y195" s="9">
        <v>1</v>
      </c>
      <c r="Z195" s="9" t="s">
        <v>1864</v>
      </c>
      <c r="AA195" s="9" t="s">
        <v>1968</v>
      </c>
      <c r="AB195" s="9" t="s">
        <v>1866</v>
      </c>
      <c r="AC195" s="9" t="s">
        <v>7028</v>
      </c>
      <c r="AD195" s="9" t="s">
        <v>7295</v>
      </c>
      <c r="AE195" t="str">
        <f t="shared" si="6"/>
        <v>Fast</v>
      </c>
      <c r="AF195">
        <f>IF($A195="","",IFERROR(VLOOKUP($B195,_CONFIG_Risk_Calibration!$A$5:$H$21,2,FALSE),3))</f>
        <v>3</v>
      </c>
      <c r="AG195">
        <f>IF($A195="","",IFERROR(VLOOKUP($B195,_CONFIG_Risk_Calibration!$A$5:$H$21,3,FALSE),0))</f>
        <v>0</v>
      </c>
      <c r="AH195">
        <f>IF($A195="","",IFERROR(VLOOKUP($B195,_CONFIG_Risk_Calibration!$A$5:$H$21,4,FALSE),3))</f>
        <v>3</v>
      </c>
      <c r="AI195">
        <f>IF($A195="","",IFERROR(VLOOKUP($B195,_CONFIG_Risk_Calibration!$A$5:$H$21,5,FALSE),3))</f>
        <v>3</v>
      </c>
      <c r="AJ195" t="str">
        <f>IF($A195="","",IFERROR(VLOOKUP($B195,_CONFIG_Risk_Calibration!$A$5:$H$21,6,FALSE),"No"))</f>
        <v>No</v>
      </c>
      <c r="AK195">
        <f>IF($A195="","",IFERROR(VLOOKUP($B195,_CONFIG_Risk_Calibration!$A$5:$H$21,7,FALSE),1))</f>
        <v>1</v>
      </c>
      <c r="AL195" t="str">
        <f>IF($A195="","",IFERROR(VLOOKUP($B195,_CONFIG_Risk_Calibration!$A$5:$H$21,8,FALSE),""))</f>
        <v>Clean template default. Calibrate with real exposure, incident history, evidence quality and domain-owner validation.</v>
      </c>
      <c r="AM195">
        <f>IF($A195="","",IFERROR(INDEX(_DATA_Assessment_Model!$AL$1:$AL$428,MATCH($A195,_DATA_Assessment_Model!$A$1:$A$428,0)),""))</f>
        <v>0</v>
      </c>
      <c r="AN195">
        <f t="shared" si="7"/>
        <v>1</v>
      </c>
      <c r="AO195">
        <f>IF($A195="","",_CONFIG_Model_Settings!$B$172*MAX(N($AK195),(N($AF195)+N($AI195))/2))</f>
        <v>60</v>
      </c>
      <c r="AP195">
        <f t="shared" si="8"/>
        <v>60</v>
      </c>
      <c r="AQ195">
        <f>IF($AP195="","",MAX(0,$AP195*(1-(_CONFIG_Model_Settings!$B$173+_CONFIG_Model_Settings!$B$174*(N($AH195)-1)))))</f>
        <v>39</v>
      </c>
      <c r="AR195">
        <f>IF($AP195="","",MIN(100,$AP195*(1+(_CONFIG_Model_Settings!$B$173+_CONFIG_Model_Settings!$B$174*(N($AH195)-1)))))</f>
        <v>81</v>
      </c>
    </row>
    <row r="196" spans="1:44" ht="72" customHeight="1">
      <c r="A196" s="9" t="s">
        <v>1969</v>
      </c>
      <c r="B196" s="9" t="s">
        <v>1859</v>
      </c>
      <c r="C196" s="9" t="s">
        <v>1884</v>
      </c>
      <c r="D196" s="9" t="s">
        <v>3686</v>
      </c>
      <c r="E196" s="9" t="s">
        <v>1970</v>
      </c>
      <c r="F196" s="9" t="s">
        <v>7296</v>
      </c>
      <c r="G196" s="9" t="s">
        <v>7297</v>
      </c>
      <c r="H196" s="9" t="s">
        <v>7298</v>
      </c>
      <c r="I196" s="9" t="s">
        <v>7299</v>
      </c>
      <c r="J196" s="9" t="s">
        <v>7300</v>
      </c>
      <c r="K196" s="9" t="s">
        <v>7301</v>
      </c>
      <c r="L196" s="9" t="s">
        <v>7302</v>
      </c>
      <c r="M196" s="9" t="s">
        <v>7303</v>
      </c>
      <c r="N196" s="9" t="s">
        <v>7304</v>
      </c>
      <c r="O196" s="9" t="s">
        <v>7305</v>
      </c>
      <c r="P196" s="9" t="s">
        <v>7306</v>
      </c>
      <c r="Q196" s="9" t="s">
        <v>7307</v>
      </c>
      <c r="R196" s="9" t="s">
        <v>4589</v>
      </c>
      <c r="S196" s="9" t="s">
        <v>7308</v>
      </c>
      <c r="T196" s="9">
        <v>3</v>
      </c>
      <c r="U196" s="9">
        <v>3</v>
      </c>
      <c r="V196" s="9">
        <v>2</v>
      </c>
      <c r="W196" s="9">
        <v>2</v>
      </c>
      <c r="X196" s="9">
        <v>1</v>
      </c>
      <c r="Y196" s="9">
        <v>1</v>
      </c>
      <c r="Z196" s="9" t="s">
        <v>1864</v>
      </c>
      <c r="AA196" s="9" t="s">
        <v>1971</v>
      </c>
      <c r="AB196" s="9" t="s">
        <v>1866</v>
      </c>
      <c r="AC196" s="9" t="s">
        <v>7028</v>
      </c>
      <c r="AD196" s="9" t="s">
        <v>7309</v>
      </c>
      <c r="AE196" t="str">
        <f t="shared" si="6"/>
        <v>Fast</v>
      </c>
      <c r="AF196">
        <f>IF($A196="","",IFERROR(VLOOKUP($B196,_CONFIG_Risk_Calibration!$A$5:$H$21,2,FALSE),3))</f>
        <v>3</v>
      </c>
      <c r="AG196">
        <f>IF($A196="","",IFERROR(VLOOKUP($B196,_CONFIG_Risk_Calibration!$A$5:$H$21,3,FALSE),0))</f>
        <v>0</v>
      </c>
      <c r="AH196">
        <f>IF($A196="","",IFERROR(VLOOKUP($B196,_CONFIG_Risk_Calibration!$A$5:$H$21,4,FALSE),3))</f>
        <v>3</v>
      </c>
      <c r="AI196">
        <f>IF($A196="","",IFERROR(VLOOKUP($B196,_CONFIG_Risk_Calibration!$A$5:$H$21,5,FALSE),3))</f>
        <v>3</v>
      </c>
      <c r="AJ196" t="str">
        <f>IF($A196="","",IFERROR(VLOOKUP($B196,_CONFIG_Risk_Calibration!$A$5:$H$21,6,FALSE),"No"))</f>
        <v>No</v>
      </c>
      <c r="AK196">
        <f>IF($A196="","",IFERROR(VLOOKUP($B196,_CONFIG_Risk_Calibration!$A$5:$H$21,7,FALSE),1))</f>
        <v>1</v>
      </c>
      <c r="AL196" t="str">
        <f>IF($A196="","",IFERROR(VLOOKUP($B196,_CONFIG_Risk_Calibration!$A$5:$H$21,8,FALSE),""))</f>
        <v>Clean template default. Calibrate with real exposure, incident history, evidence quality and domain-owner validation.</v>
      </c>
      <c r="AM196">
        <f>IF($A196="","",IFERROR(INDEX(_DATA_Assessment_Model!$AL$1:$AL$428,MATCH($A196,_DATA_Assessment_Model!$A$1:$A$428,0)),""))</f>
        <v>0</v>
      </c>
      <c r="AN196">
        <f t="shared" si="7"/>
        <v>1</v>
      </c>
      <c r="AO196">
        <f>IF($A196="","",_CONFIG_Model_Settings!$B$172*MAX(N($AK196),(N($AF196)+N($AI196))/2))</f>
        <v>60</v>
      </c>
      <c r="AP196">
        <f t="shared" si="8"/>
        <v>60</v>
      </c>
      <c r="AQ196">
        <f>IF($AP196="","",MAX(0,$AP196*(1-(_CONFIG_Model_Settings!$B$173+_CONFIG_Model_Settings!$B$174*(N($AH196)-1)))))</f>
        <v>39</v>
      </c>
      <c r="AR196">
        <f>IF($AP196="","",MIN(100,$AP196*(1+(_CONFIG_Model_Settings!$B$173+_CONFIG_Model_Settings!$B$174*(N($AH196)-1)))))</f>
        <v>81</v>
      </c>
    </row>
    <row r="197" spans="1:44" ht="60" customHeight="1">
      <c r="A197" s="9" t="s">
        <v>1978</v>
      </c>
      <c r="B197" s="9" t="s">
        <v>1859</v>
      </c>
      <c r="C197" s="9" t="s">
        <v>1884</v>
      </c>
      <c r="D197" s="9" t="s">
        <v>3686</v>
      </c>
      <c r="E197" s="9" t="s">
        <v>1979</v>
      </c>
      <c r="F197" s="9" t="s">
        <v>7310</v>
      </c>
      <c r="G197" s="9" t="s">
        <v>7311</v>
      </c>
      <c r="H197" s="9" t="s">
        <v>7312</v>
      </c>
      <c r="I197" s="9" t="s">
        <v>7313</v>
      </c>
      <c r="J197" s="9" t="s">
        <v>7314</v>
      </c>
      <c r="K197" s="9" t="s">
        <v>7315</v>
      </c>
      <c r="L197" s="9" t="s">
        <v>7316</v>
      </c>
      <c r="M197" s="9" t="s">
        <v>7317</v>
      </c>
      <c r="N197" s="9" t="s">
        <v>7318</v>
      </c>
      <c r="O197" s="9" t="s">
        <v>7319</v>
      </c>
      <c r="P197" s="9" t="s">
        <v>7320</v>
      </c>
      <c r="Q197" s="9" t="s">
        <v>7321</v>
      </c>
      <c r="R197" s="9" t="s">
        <v>4589</v>
      </c>
      <c r="S197" s="9" t="s">
        <v>7322</v>
      </c>
      <c r="T197" s="9">
        <v>3</v>
      </c>
      <c r="U197" s="9">
        <v>3</v>
      </c>
      <c r="V197" s="9">
        <v>2</v>
      </c>
      <c r="W197" s="9">
        <v>2</v>
      </c>
      <c r="X197" s="9">
        <v>1</v>
      </c>
      <c r="Y197" s="9">
        <v>1</v>
      </c>
      <c r="Z197" s="9" t="s">
        <v>1864</v>
      </c>
      <c r="AA197" s="9" t="s">
        <v>1980</v>
      </c>
      <c r="AB197" s="9" t="s">
        <v>1866</v>
      </c>
      <c r="AC197" s="9" t="s">
        <v>7028</v>
      </c>
      <c r="AD197" s="9" t="s">
        <v>7323</v>
      </c>
      <c r="AE197" t="str">
        <f t="shared" ref="AE197:AE260" si="9">IF($A197="","",IF(OR(ISNUMBER(SEARCH("cyber",$D197)),ISNUMBER(SEARCH("security",$D197)),ISNUMBER(SEARCH("safety",$D197)),ISNUMBER(SEARCH("liquidity",$D197)),ISNUMBER(SEARCH("cash",$D197)),ISNUMBER(SEARCH("continuity",$D197)),ISNUMBER(SEARCH("infrastructure",$D197)),ISNUMBER(SEARCH("outage",$D197))),"Fast",IF(OR(ISNUMBER(SEARCH("compliance",$D197)),ISNUMBER(SEARCH("regulat",$D197)),ISNUMBER(SEARCH("data",$D197)),ISNUMBER(SEARCH("talent",$D197)),ISNUMBER(SEARCH("knowledge",$D197)),ISNUMBER(SEARCH("portfolio",$D197)),ISNUMBER(SEARCH("quality",$D197))),"Slow","Medium")))</f>
        <v>Fast</v>
      </c>
      <c r="AF197">
        <f>IF($A197="","",IFERROR(VLOOKUP($B197,_CONFIG_Risk_Calibration!$A$5:$H$21,2,FALSE),3))</f>
        <v>3</v>
      </c>
      <c r="AG197">
        <f>IF($A197="","",IFERROR(VLOOKUP($B197,_CONFIG_Risk_Calibration!$A$5:$H$21,3,FALSE),0))</f>
        <v>0</v>
      </c>
      <c r="AH197">
        <f>IF($A197="","",IFERROR(VLOOKUP($B197,_CONFIG_Risk_Calibration!$A$5:$H$21,4,FALSE),3))</f>
        <v>3</v>
      </c>
      <c r="AI197">
        <f>IF($A197="","",IFERROR(VLOOKUP($B197,_CONFIG_Risk_Calibration!$A$5:$H$21,5,FALSE),3))</f>
        <v>3</v>
      </c>
      <c r="AJ197" t="str">
        <f>IF($A197="","",IFERROR(VLOOKUP($B197,_CONFIG_Risk_Calibration!$A$5:$H$21,6,FALSE),"No"))</f>
        <v>No</v>
      </c>
      <c r="AK197">
        <f>IF($A197="","",IFERROR(VLOOKUP($B197,_CONFIG_Risk_Calibration!$A$5:$H$21,7,FALSE),1))</f>
        <v>1</v>
      </c>
      <c r="AL197" t="str">
        <f>IF($A197="","",IFERROR(VLOOKUP($B197,_CONFIG_Risk_Calibration!$A$5:$H$21,8,FALSE),""))</f>
        <v>Clean template default. Calibrate with real exposure, incident history, evidence quality and domain-owner validation.</v>
      </c>
      <c r="AM197">
        <f>IF($A197="","",IFERROR(INDEX(_DATA_Assessment_Model!$AL$1:$AL$428,MATCH($A197,_DATA_Assessment_Model!$A$1:$A$428,0)),""))</f>
        <v>0</v>
      </c>
      <c r="AN197">
        <f t="shared" ref="AN197:AN260" si="10">IF($AM197="","",MAX(0,(5-$AM197)/5))</f>
        <v>1</v>
      </c>
      <c r="AO197">
        <f>IF($A197="","",_CONFIG_Model_Settings!$B$172*MAX(N($AK197),(N($AF197)+N($AI197))/2))</f>
        <v>60</v>
      </c>
      <c r="AP197">
        <f t="shared" ref="AP197:AP260" si="11">IF(OR($A197="",$AN197=""),"",$AN197*$AO197)</f>
        <v>60</v>
      </c>
      <c r="AQ197">
        <f>IF($AP197="","",MAX(0,$AP197*(1-(_CONFIG_Model_Settings!$B$173+_CONFIG_Model_Settings!$B$174*(N($AH197)-1)))))</f>
        <v>39</v>
      </c>
      <c r="AR197">
        <f>IF($AP197="","",MIN(100,$AP197*(1+(_CONFIG_Model_Settings!$B$173+_CONFIG_Model_Settings!$B$174*(N($AH197)-1)))))</f>
        <v>81</v>
      </c>
    </row>
    <row r="198" spans="1:44" ht="72" customHeight="1">
      <c r="A198" s="9" t="s">
        <v>1981</v>
      </c>
      <c r="B198" s="9" t="s">
        <v>1859</v>
      </c>
      <c r="C198" s="9" t="s">
        <v>1884</v>
      </c>
      <c r="D198" s="9" t="s">
        <v>3686</v>
      </c>
      <c r="E198" s="9" t="s">
        <v>1982</v>
      </c>
      <c r="F198" s="9" t="s">
        <v>7324</v>
      </c>
      <c r="G198" s="9" t="s">
        <v>7325</v>
      </c>
      <c r="H198" s="9" t="s">
        <v>7326</v>
      </c>
      <c r="I198" s="9" t="s">
        <v>7327</v>
      </c>
      <c r="J198" s="9" t="s">
        <v>7328</v>
      </c>
      <c r="K198" s="9" t="s">
        <v>7329</v>
      </c>
      <c r="L198" s="9" t="s">
        <v>7330</v>
      </c>
      <c r="M198" s="9" t="s">
        <v>7331</v>
      </c>
      <c r="N198" s="9" t="s">
        <v>7332</v>
      </c>
      <c r="O198" s="9" t="s">
        <v>7333</v>
      </c>
      <c r="P198" s="9" t="s">
        <v>7334</v>
      </c>
      <c r="Q198" s="9" t="s">
        <v>7335</v>
      </c>
      <c r="R198" s="9" t="s">
        <v>4589</v>
      </c>
      <c r="S198" s="9" t="s">
        <v>7336</v>
      </c>
      <c r="T198" s="9">
        <v>3</v>
      </c>
      <c r="U198" s="9">
        <v>3</v>
      </c>
      <c r="V198" s="9">
        <v>2</v>
      </c>
      <c r="W198" s="9">
        <v>2</v>
      </c>
      <c r="X198" s="9">
        <v>1</v>
      </c>
      <c r="Y198" s="9">
        <v>1</v>
      </c>
      <c r="Z198" s="9" t="s">
        <v>1864</v>
      </c>
      <c r="AA198" s="9" t="s">
        <v>1983</v>
      </c>
      <c r="AB198" s="9" t="s">
        <v>1866</v>
      </c>
      <c r="AC198" s="9" t="s">
        <v>7028</v>
      </c>
      <c r="AD198" s="9" t="s">
        <v>7337</v>
      </c>
      <c r="AE198" t="str">
        <f t="shared" si="9"/>
        <v>Fast</v>
      </c>
      <c r="AF198">
        <f>IF($A198="","",IFERROR(VLOOKUP($B198,_CONFIG_Risk_Calibration!$A$5:$H$21,2,FALSE),3))</f>
        <v>3</v>
      </c>
      <c r="AG198">
        <f>IF($A198="","",IFERROR(VLOOKUP($B198,_CONFIG_Risk_Calibration!$A$5:$H$21,3,FALSE),0))</f>
        <v>0</v>
      </c>
      <c r="AH198">
        <f>IF($A198="","",IFERROR(VLOOKUP($B198,_CONFIG_Risk_Calibration!$A$5:$H$21,4,FALSE),3))</f>
        <v>3</v>
      </c>
      <c r="AI198">
        <f>IF($A198="","",IFERROR(VLOOKUP($B198,_CONFIG_Risk_Calibration!$A$5:$H$21,5,FALSE),3))</f>
        <v>3</v>
      </c>
      <c r="AJ198" t="str">
        <f>IF($A198="","",IFERROR(VLOOKUP($B198,_CONFIG_Risk_Calibration!$A$5:$H$21,6,FALSE),"No"))</f>
        <v>No</v>
      </c>
      <c r="AK198">
        <f>IF($A198="","",IFERROR(VLOOKUP($B198,_CONFIG_Risk_Calibration!$A$5:$H$21,7,FALSE),1))</f>
        <v>1</v>
      </c>
      <c r="AL198" t="str">
        <f>IF($A198="","",IFERROR(VLOOKUP($B198,_CONFIG_Risk_Calibration!$A$5:$H$21,8,FALSE),""))</f>
        <v>Clean template default. Calibrate with real exposure, incident history, evidence quality and domain-owner validation.</v>
      </c>
      <c r="AM198">
        <f>IF($A198="","",IFERROR(INDEX(_DATA_Assessment_Model!$AL$1:$AL$428,MATCH($A198,_DATA_Assessment_Model!$A$1:$A$428,0)),""))</f>
        <v>0</v>
      </c>
      <c r="AN198">
        <f t="shared" si="10"/>
        <v>1</v>
      </c>
      <c r="AO198">
        <f>IF($A198="","",_CONFIG_Model_Settings!$B$172*MAX(N($AK198),(N($AF198)+N($AI198))/2))</f>
        <v>60</v>
      </c>
      <c r="AP198">
        <f t="shared" si="11"/>
        <v>60</v>
      </c>
      <c r="AQ198">
        <f>IF($AP198="","",MAX(0,$AP198*(1-(_CONFIG_Model_Settings!$B$173+_CONFIG_Model_Settings!$B$174*(N($AH198)-1)))))</f>
        <v>39</v>
      </c>
      <c r="AR198">
        <f>IF($AP198="","",MIN(100,$AP198*(1+(_CONFIG_Model_Settings!$B$173+_CONFIG_Model_Settings!$B$174*(N($AH198)-1)))))</f>
        <v>81</v>
      </c>
    </row>
    <row r="199" spans="1:44" ht="72" customHeight="1">
      <c r="A199" s="9" t="s">
        <v>1984</v>
      </c>
      <c r="B199" s="9" t="s">
        <v>1859</v>
      </c>
      <c r="C199" s="9" t="s">
        <v>1884</v>
      </c>
      <c r="D199" s="9" t="s">
        <v>3686</v>
      </c>
      <c r="E199" s="9" t="s">
        <v>1985</v>
      </c>
      <c r="F199" s="9" t="s">
        <v>7338</v>
      </c>
      <c r="G199" s="9" t="s">
        <v>7339</v>
      </c>
      <c r="H199" s="9" t="s">
        <v>7340</v>
      </c>
      <c r="I199" s="9" t="s">
        <v>7341</v>
      </c>
      <c r="J199" s="9" t="s">
        <v>7342</v>
      </c>
      <c r="K199" s="9" t="s">
        <v>7343</v>
      </c>
      <c r="L199" s="9" t="s">
        <v>7344</v>
      </c>
      <c r="M199" s="9" t="s">
        <v>7345</v>
      </c>
      <c r="N199" s="9" t="s">
        <v>7346</v>
      </c>
      <c r="O199" s="9" t="s">
        <v>7347</v>
      </c>
      <c r="P199" s="9" t="s">
        <v>7348</v>
      </c>
      <c r="Q199" s="9" t="s">
        <v>7349</v>
      </c>
      <c r="R199" s="9" t="s">
        <v>4589</v>
      </c>
      <c r="S199" s="9" t="s">
        <v>7350</v>
      </c>
      <c r="T199" s="9">
        <v>3</v>
      </c>
      <c r="U199" s="9">
        <v>3</v>
      </c>
      <c r="V199" s="9">
        <v>2</v>
      </c>
      <c r="W199" s="9">
        <v>2</v>
      </c>
      <c r="X199" s="9">
        <v>1</v>
      </c>
      <c r="Y199" s="9">
        <v>1</v>
      </c>
      <c r="Z199" s="9" t="s">
        <v>1864</v>
      </c>
      <c r="AA199" s="9" t="s">
        <v>1986</v>
      </c>
      <c r="AB199" s="9" t="s">
        <v>1866</v>
      </c>
      <c r="AC199" s="9" t="s">
        <v>7028</v>
      </c>
      <c r="AD199" s="9" t="s">
        <v>7351</v>
      </c>
      <c r="AE199" t="str">
        <f t="shared" si="9"/>
        <v>Fast</v>
      </c>
      <c r="AF199">
        <f>IF($A199="","",IFERROR(VLOOKUP($B199,_CONFIG_Risk_Calibration!$A$5:$H$21,2,FALSE),3))</f>
        <v>3</v>
      </c>
      <c r="AG199">
        <f>IF($A199="","",IFERROR(VLOOKUP($B199,_CONFIG_Risk_Calibration!$A$5:$H$21,3,FALSE),0))</f>
        <v>0</v>
      </c>
      <c r="AH199">
        <f>IF($A199="","",IFERROR(VLOOKUP($B199,_CONFIG_Risk_Calibration!$A$5:$H$21,4,FALSE),3))</f>
        <v>3</v>
      </c>
      <c r="AI199">
        <f>IF($A199="","",IFERROR(VLOOKUP($B199,_CONFIG_Risk_Calibration!$A$5:$H$21,5,FALSE),3))</f>
        <v>3</v>
      </c>
      <c r="AJ199" t="str">
        <f>IF($A199="","",IFERROR(VLOOKUP($B199,_CONFIG_Risk_Calibration!$A$5:$H$21,6,FALSE),"No"))</f>
        <v>No</v>
      </c>
      <c r="AK199">
        <f>IF($A199="","",IFERROR(VLOOKUP($B199,_CONFIG_Risk_Calibration!$A$5:$H$21,7,FALSE),1))</f>
        <v>1</v>
      </c>
      <c r="AL199" t="str">
        <f>IF($A199="","",IFERROR(VLOOKUP($B199,_CONFIG_Risk_Calibration!$A$5:$H$21,8,FALSE),""))</f>
        <v>Clean template default. Calibrate with real exposure, incident history, evidence quality and domain-owner validation.</v>
      </c>
      <c r="AM199">
        <f>IF($A199="","",IFERROR(INDEX(_DATA_Assessment_Model!$AL$1:$AL$428,MATCH($A199,_DATA_Assessment_Model!$A$1:$A$428,0)),""))</f>
        <v>0</v>
      </c>
      <c r="AN199">
        <f t="shared" si="10"/>
        <v>1</v>
      </c>
      <c r="AO199">
        <f>IF($A199="","",_CONFIG_Model_Settings!$B$172*MAX(N($AK199),(N($AF199)+N($AI199))/2))</f>
        <v>60</v>
      </c>
      <c r="AP199">
        <f t="shared" si="11"/>
        <v>60</v>
      </c>
      <c r="AQ199">
        <f>IF($AP199="","",MAX(0,$AP199*(1-(_CONFIG_Model_Settings!$B$173+_CONFIG_Model_Settings!$B$174*(N($AH199)-1)))))</f>
        <v>39</v>
      </c>
      <c r="AR199">
        <f>IF($AP199="","",MIN(100,$AP199*(1+(_CONFIG_Model_Settings!$B$173+_CONFIG_Model_Settings!$B$174*(N($AH199)-1)))))</f>
        <v>81</v>
      </c>
    </row>
    <row r="200" spans="1:44" ht="84" customHeight="1">
      <c r="A200" s="9" t="s">
        <v>1988</v>
      </c>
      <c r="B200" s="9" t="s">
        <v>1987</v>
      </c>
      <c r="C200" s="9" t="s">
        <v>1989</v>
      </c>
      <c r="D200" s="9" t="s">
        <v>3687</v>
      </c>
      <c r="E200" s="9" t="s">
        <v>1990</v>
      </c>
      <c r="F200" s="9" t="s">
        <v>7352</v>
      </c>
      <c r="G200" s="9" t="s">
        <v>7353</v>
      </c>
      <c r="H200" s="9" t="s">
        <v>7354</v>
      </c>
      <c r="I200" s="9" t="s">
        <v>7355</v>
      </c>
      <c r="J200" s="9" t="s">
        <v>7356</v>
      </c>
      <c r="K200" s="9" t="s">
        <v>7357</v>
      </c>
      <c r="L200" s="9" t="s">
        <v>7358</v>
      </c>
      <c r="M200" s="9" t="s">
        <v>7359</v>
      </c>
      <c r="N200" s="9" t="s">
        <v>7360</v>
      </c>
      <c r="O200" s="9" t="s">
        <v>7361</v>
      </c>
      <c r="P200" s="9" t="s">
        <v>7362</v>
      </c>
      <c r="Q200" s="9" t="s">
        <v>7363</v>
      </c>
      <c r="R200" s="9" t="s">
        <v>4589</v>
      </c>
      <c r="S200" s="9" t="s">
        <v>7364</v>
      </c>
      <c r="T200" s="9">
        <v>4</v>
      </c>
      <c r="U200" s="9">
        <v>3</v>
      </c>
      <c r="V200" s="9">
        <v>3</v>
      </c>
      <c r="W200" s="9">
        <v>2</v>
      </c>
      <c r="X200" s="9">
        <v>1</v>
      </c>
      <c r="Y200" s="9">
        <v>1</v>
      </c>
      <c r="Z200" s="9" t="s">
        <v>1992</v>
      </c>
      <c r="AA200" s="9" t="s">
        <v>1993</v>
      </c>
      <c r="AB200" s="9" t="s">
        <v>1994</v>
      </c>
      <c r="AC200" s="9" t="s">
        <v>7365</v>
      </c>
      <c r="AD200" s="9" t="s">
        <v>7366</v>
      </c>
      <c r="AE200" t="str">
        <f t="shared" si="9"/>
        <v>Fast</v>
      </c>
      <c r="AF200">
        <f>IF($A200="","",IFERROR(VLOOKUP($B200,_CONFIG_Risk_Calibration!$A$5:$H$21,2,FALSE),3))</f>
        <v>3</v>
      </c>
      <c r="AG200">
        <f>IF($A200="","",IFERROR(VLOOKUP($B200,_CONFIG_Risk_Calibration!$A$5:$H$21,3,FALSE),0))</f>
        <v>0</v>
      </c>
      <c r="AH200">
        <f>IF($A200="","",IFERROR(VLOOKUP($B200,_CONFIG_Risk_Calibration!$A$5:$H$21,4,FALSE),3))</f>
        <v>3</v>
      </c>
      <c r="AI200">
        <f>IF($A200="","",IFERROR(VLOOKUP($B200,_CONFIG_Risk_Calibration!$A$5:$H$21,5,FALSE),3))</f>
        <v>4</v>
      </c>
      <c r="AJ200" t="str">
        <f>IF($A200="","",IFERROR(VLOOKUP($B200,_CONFIG_Risk_Calibration!$A$5:$H$21,6,FALSE),"No"))</f>
        <v>No</v>
      </c>
      <c r="AK200">
        <f>IF($A200="","",IFERROR(VLOOKUP($B200,_CONFIG_Risk_Calibration!$A$5:$H$21,7,FALSE),1))</f>
        <v>1</v>
      </c>
      <c r="AL200" t="str">
        <f>IF($A200="","",IFERROR(VLOOKUP($B200,_CONFIG_Risk_Calibration!$A$5:$H$21,8,FALSE),""))</f>
        <v>Clean template default. Calibrate with real exposure, incident history, evidence quality and domain-owner validation.</v>
      </c>
      <c r="AM200">
        <f>IF($A200="","",IFERROR(INDEX(_DATA_Assessment_Model!$AL$1:$AL$428,MATCH($A200,_DATA_Assessment_Model!$A$1:$A$428,0)),""))</f>
        <v>0</v>
      </c>
      <c r="AN200">
        <f t="shared" si="10"/>
        <v>1</v>
      </c>
      <c r="AO200">
        <f>IF($A200="","",_CONFIG_Model_Settings!$B$172*MAX(N($AK200),(N($AF200)+N($AI200))/2))</f>
        <v>70</v>
      </c>
      <c r="AP200">
        <f t="shared" si="11"/>
        <v>70</v>
      </c>
      <c r="AQ200">
        <f>IF($AP200="","",MAX(0,$AP200*(1-(_CONFIG_Model_Settings!$B$173+_CONFIG_Model_Settings!$B$174*(N($AH200)-1)))))</f>
        <v>45.5</v>
      </c>
      <c r="AR200">
        <f>IF($AP200="","",MIN(100,$AP200*(1+(_CONFIG_Model_Settings!$B$173+_CONFIG_Model_Settings!$B$174*(N($AH200)-1)))))</f>
        <v>94.5</v>
      </c>
    </row>
    <row r="201" spans="1:44" ht="72" customHeight="1">
      <c r="A201" s="9" t="s">
        <v>1995</v>
      </c>
      <c r="B201" s="9" t="s">
        <v>1987</v>
      </c>
      <c r="C201" s="9" t="s">
        <v>1989</v>
      </c>
      <c r="D201" s="9" t="s">
        <v>3687</v>
      </c>
      <c r="E201" s="9" t="s">
        <v>1996</v>
      </c>
      <c r="F201" s="9" t="s">
        <v>7367</v>
      </c>
      <c r="G201" s="9" t="s">
        <v>7368</v>
      </c>
      <c r="H201" s="9" t="s">
        <v>7369</v>
      </c>
      <c r="I201" s="9" t="s">
        <v>7370</v>
      </c>
      <c r="J201" s="9" t="s">
        <v>7371</v>
      </c>
      <c r="K201" s="9" t="s">
        <v>7372</v>
      </c>
      <c r="L201" s="9" t="s">
        <v>7373</v>
      </c>
      <c r="M201" s="9" t="s">
        <v>7374</v>
      </c>
      <c r="N201" s="9" t="s">
        <v>7375</v>
      </c>
      <c r="O201" s="9" t="s">
        <v>7376</v>
      </c>
      <c r="P201" s="9" t="s">
        <v>7377</v>
      </c>
      <c r="Q201" s="9" t="s">
        <v>7378</v>
      </c>
      <c r="R201" s="9" t="s">
        <v>4589</v>
      </c>
      <c r="S201" s="9" t="s">
        <v>7379</v>
      </c>
      <c r="T201" s="9">
        <v>4</v>
      </c>
      <c r="U201" s="9">
        <v>3</v>
      </c>
      <c r="V201" s="9">
        <v>3</v>
      </c>
      <c r="W201" s="9">
        <v>2</v>
      </c>
      <c r="X201" s="9">
        <v>1</v>
      </c>
      <c r="Y201" s="9">
        <v>1</v>
      </c>
      <c r="Z201" s="9" t="s">
        <v>1992</v>
      </c>
      <c r="AA201" s="9" t="s">
        <v>1997</v>
      </c>
      <c r="AB201" s="9" t="s">
        <v>1994</v>
      </c>
      <c r="AC201" s="9" t="s">
        <v>7365</v>
      </c>
      <c r="AD201" s="9" t="s">
        <v>7380</v>
      </c>
      <c r="AE201" t="str">
        <f t="shared" si="9"/>
        <v>Fast</v>
      </c>
      <c r="AF201">
        <f>IF($A201="","",IFERROR(VLOOKUP($B201,_CONFIG_Risk_Calibration!$A$5:$H$21,2,FALSE),3))</f>
        <v>3</v>
      </c>
      <c r="AG201">
        <f>IF($A201="","",IFERROR(VLOOKUP($B201,_CONFIG_Risk_Calibration!$A$5:$H$21,3,FALSE),0))</f>
        <v>0</v>
      </c>
      <c r="AH201">
        <f>IF($A201="","",IFERROR(VLOOKUP($B201,_CONFIG_Risk_Calibration!$A$5:$H$21,4,FALSE),3))</f>
        <v>3</v>
      </c>
      <c r="AI201">
        <f>IF($A201="","",IFERROR(VLOOKUP($B201,_CONFIG_Risk_Calibration!$A$5:$H$21,5,FALSE),3))</f>
        <v>4</v>
      </c>
      <c r="AJ201" t="str">
        <f>IF($A201="","",IFERROR(VLOOKUP($B201,_CONFIG_Risk_Calibration!$A$5:$H$21,6,FALSE),"No"))</f>
        <v>No</v>
      </c>
      <c r="AK201">
        <f>IF($A201="","",IFERROR(VLOOKUP($B201,_CONFIG_Risk_Calibration!$A$5:$H$21,7,FALSE),1))</f>
        <v>1</v>
      </c>
      <c r="AL201" t="str">
        <f>IF($A201="","",IFERROR(VLOOKUP($B201,_CONFIG_Risk_Calibration!$A$5:$H$21,8,FALSE),""))</f>
        <v>Clean template default. Calibrate with real exposure, incident history, evidence quality and domain-owner validation.</v>
      </c>
      <c r="AM201">
        <f>IF($A201="","",IFERROR(INDEX(_DATA_Assessment_Model!$AL$1:$AL$428,MATCH($A201,_DATA_Assessment_Model!$A$1:$A$428,0)),""))</f>
        <v>0</v>
      </c>
      <c r="AN201">
        <f t="shared" si="10"/>
        <v>1</v>
      </c>
      <c r="AO201">
        <f>IF($A201="","",_CONFIG_Model_Settings!$B$172*MAX(N($AK201),(N($AF201)+N($AI201))/2))</f>
        <v>70</v>
      </c>
      <c r="AP201">
        <f t="shared" si="11"/>
        <v>70</v>
      </c>
      <c r="AQ201">
        <f>IF($AP201="","",MAX(0,$AP201*(1-(_CONFIG_Model_Settings!$B$173+_CONFIG_Model_Settings!$B$174*(N($AH201)-1)))))</f>
        <v>45.5</v>
      </c>
      <c r="AR201">
        <f>IF($AP201="","",MIN(100,$AP201*(1+(_CONFIG_Model_Settings!$B$173+_CONFIG_Model_Settings!$B$174*(N($AH201)-1)))))</f>
        <v>94.5</v>
      </c>
    </row>
    <row r="202" spans="1:44" ht="72" customHeight="1">
      <c r="A202" s="9" t="s">
        <v>1999</v>
      </c>
      <c r="B202" s="9" t="s">
        <v>1987</v>
      </c>
      <c r="C202" s="9" t="s">
        <v>1989</v>
      </c>
      <c r="D202" s="9" t="s">
        <v>3687</v>
      </c>
      <c r="E202" s="9" t="s">
        <v>2000</v>
      </c>
      <c r="F202" s="9" t="s">
        <v>7381</v>
      </c>
      <c r="G202" s="9" t="s">
        <v>7382</v>
      </c>
      <c r="H202" s="9" t="s">
        <v>7383</v>
      </c>
      <c r="I202" s="9" t="s">
        <v>7384</v>
      </c>
      <c r="J202" s="9" t="s">
        <v>7385</v>
      </c>
      <c r="K202" s="9" t="s">
        <v>7386</v>
      </c>
      <c r="L202" s="9" t="s">
        <v>7387</v>
      </c>
      <c r="M202" s="9" t="s">
        <v>7388</v>
      </c>
      <c r="N202" s="9" t="s">
        <v>7389</v>
      </c>
      <c r="O202" s="9" t="s">
        <v>7390</v>
      </c>
      <c r="P202" s="9" t="s">
        <v>7391</v>
      </c>
      <c r="Q202" s="9" t="s">
        <v>7392</v>
      </c>
      <c r="R202" s="9" t="s">
        <v>4589</v>
      </c>
      <c r="S202" s="9" t="s">
        <v>7393</v>
      </c>
      <c r="T202" s="9">
        <v>4</v>
      </c>
      <c r="U202" s="9">
        <v>3</v>
      </c>
      <c r="V202" s="9">
        <v>3</v>
      </c>
      <c r="W202" s="9">
        <v>2</v>
      </c>
      <c r="X202" s="9">
        <v>1</v>
      </c>
      <c r="Y202" s="9">
        <v>1</v>
      </c>
      <c r="Z202" s="9" t="s">
        <v>1992</v>
      </c>
      <c r="AA202" s="9" t="s">
        <v>2001</v>
      </c>
      <c r="AB202" s="9" t="s">
        <v>1994</v>
      </c>
      <c r="AC202" s="9" t="s">
        <v>7365</v>
      </c>
      <c r="AD202" s="9" t="s">
        <v>7394</v>
      </c>
      <c r="AE202" t="str">
        <f t="shared" si="9"/>
        <v>Fast</v>
      </c>
      <c r="AF202">
        <f>IF($A202="","",IFERROR(VLOOKUP($B202,_CONFIG_Risk_Calibration!$A$5:$H$21,2,FALSE),3))</f>
        <v>3</v>
      </c>
      <c r="AG202">
        <f>IF($A202="","",IFERROR(VLOOKUP($B202,_CONFIG_Risk_Calibration!$A$5:$H$21,3,FALSE),0))</f>
        <v>0</v>
      </c>
      <c r="AH202">
        <f>IF($A202="","",IFERROR(VLOOKUP($B202,_CONFIG_Risk_Calibration!$A$5:$H$21,4,FALSE),3))</f>
        <v>3</v>
      </c>
      <c r="AI202">
        <f>IF($A202="","",IFERROR(VLOOKUP($B202,_CONFIG_Risk_Calibration!$A$5:$H$21,5,FALSE),3))</f>
        <v>4</v>
      </c>
      <c r="AJ202" t="str">
        <f>IF($A202="","",IFERROR(VLOOKUP($B202,_CONFIG_Risk_Calibration!$A$5:$H$21,6,FALSE),"No"))</f>
        <v>No</v>
      </c>
      <c r="AK202">
        <f>IF($A202="","",IFERROR(VLOOKUP($B202,_CONFIG_Risk_Calibration!$A$5:$H$21,7,FALSE),1))</f>
        <v>1</v>
      </c>
      <c r="AL202" t="str">
        <f>IF($A202="","",IFERROR(VLOOKUP($B202,_CONFIG_Risk_Calibration!$A$5:$H$21,8,FALSE),""))</f>
        <v>Clean template default. Calibrate with real exposure, incident history, evidence quality and domain-owner validation.</v>
      </c>
      <c r="AM202">
        <f>IF($A202="","",IFERROR(INDEX(_DATA_Assessment_Model!$AL$1:$AL$428,MATCH($A202,_DATA_Assessment_Model!$A$1:$A$428,0)),""))</f>
        <v>0</v>
      </c>
      <c r="AN202">
        <f t="shared" si="10"/>
        <v>1</v>
      </c>
      <c r="AO202">
        <f>IF($A202="","",_CONFIG_Model_Settings!$B$172*MAX(N($AK202),(N($AF202)+N($AI202))/2))</f>
        <v>70</v>
      </c>
      <c r="AP202">
        <f t="shared" si="11"/>
        <v>70</v>
      </c>
      <c r="AQ202">
        <f>IF($AP202="","",MAX(0,$AP202*(1-(_CONFIG_Model_Settings!$B$173+_CONFIG_Model_Settings!$B$174*(N($AH202)-1)))))</f>
        <v>45.5</v>
      </c>
      <c r="AR202">
        <f>IF($AP202="","",MIN(100,$AP202*(1+(_CONFIG_Model_Settings!$B$173+_CONFIG_Model_Settings!$B$174*(N($AH202)-1)))))</f>
        <v>94.5</v>
      </c>
    </row>
    <row r="203" spans="1:44" ht="72" customHeight="1">
      <c r="A203" s="9" t="s">
        <v>2003</v>
      </c>
      <c r="B203" s="9" t="s">
        <v>1987</v>
      </c>
      <c r="C203" s="9" t="s">
        <v>1989</v>
      </c>
      <c r="D203" s="9" t="s">
        <v>3687</v>
      </c>
      <c r="E203" s="9" t="s">
        <v>2004</v>
      </c>
      <c r="F203" s="9" t="s">
        <v>7395</v>
      </c>
      <c r="G203" s="9" t="s">
        <v>7396</v>
      </c>
      <c r="H203" s="9" t="s">
        <v>7397</v>
      </c>
      <c r="I203" s="9" t="s">
        <v>7398</v>
      </c>
      <c r="J203" s="9" t="s">
        <v>7399</v>
      </c>
      <c r="K203" s="9" t="s">
        <v>7400</v>
      </c>
      <c r="L203" s="9" t="s">
        <v>7401</v>
      </c>
      <c r="M203" s="9" t="s">
        <v>7402</v>
      </c>
      <c r="N203" s="9" t="s">
        <v>7403</v>
      </c>
      <c r="O203" s="9" t="s">
        <v>7404</v>
      </c>
      <c r="P203" s="9" t="s">
        <v>7405</v>
      </c>
      <c r="Q203" s="9" t="s">
        <v>7406</v>
      </c>
      <c r="R203" s="9" t="s">
        <v>4589</v>
      </c>
      <c r="S203" s="9" t="s">
        <v>7407</v>
      </c>
      <c r="T203" s="9">
        <v>4</v>
      </c>
      <c r="U203" s="9">
        <v>3</v>
      </c>
      <c r="V203" s="9">
        <v>3</v>
      </c>
      <c r="W203" s="9">
        <v>2</v>
      </c>
      <c r="X203" s="9">
        <v>1</v>
      </c>
      <c r="Y203" s="9">
        <v>1</v>
      </c>
      <c r="Z203" s="9" t="s">
        <v>1992</v>
      </c>
      <c r="AA203" s="9" t="s">
        <v>2005</v>
      </c>
      <c r="AB203" s="9" t="s">
        <v>1994</v>
      </c>
      <c r="AC203" s="9" t="s">
        <v>7365</v>
      </c>
      <c r="AD203" s="9" t="s">
        <v>7408</v>
      </c>
      <c r="AE203" t="str">
        <f t="shared" si="9"/>
        <v>Fast</v>
      </c>
      <c r="AF203">
        <f>IF($A203="","",IFERROR(VLOOKUP($B203,_CONFIG_Risk_Calibration!$A$5:$H$21,2,FALSE),3))</f>
        <v>3</v>
      </c>
      <c r="AG203">
        <f>IF($A203="","",IFERROR(VLOOKUP($B203,_CONFIG_Risk_Calibration!$A$5:$H$21,3,FALSE),0))</f>
        <v>0</v>
      </c>
      <c r="AH203">
        <f>IF($A203="","",IFERROR(VLOOKUP($B203,_CONFIG_Risk_Calibration!$A$5:$H$21,4,FALSE),3))</f>
        <v>3</v>
      </c>
      <c r="AI203">
        <f>IF($A203="","",IFERROR(VLOOKUP($B203,_CONFIG_Risk_Calibration!$A$5:$H$21,5,FALSE),3))</f>
        <v>4</v>
      </c>
      <c r="AJ203" t="str">
        <f>IF($A203="","",IFERROR(VLOOKUP($B203,_CONFIG_Risk_Calibration!$A$5:$H$21,6,FALSE),"No"))</f>
        <v>No</v>
      </c>
      <c r="AK203">
        <f>IF($A203="","",IFERROR(VLOOKUP($B203,_CONFIG_Risk_Calibration!$A$5:$H$21,7,FALSE),1))</f>
        <v>1</v>
      </c>
      <c r="AL203" t="str">
        <f>IF($A203="","",IFERROR(VLOOKUP($B203,_CONFIG_Risk_Calibration!$A$5:$H$21,8,FALSE),""))</f>
        <v>Clean template default. Calibrate with real exposure, incident history, evidence quality and domain-owner validation.</v>
      </c>
      <c r="AM203">
        <f>IF($A203="","",IFERROR(INDEX(_DATA_Assessment_Model!$AL$1:$AL$428,MATCH($A203,_DATA_Assessment_Model!$A$1:$A$428,0)),""))</f>
        <v>0</v>
      </c>
      <c r="AN203">
        <f t="shared" si="10"/>
        <v>1</v>
      </c>
      <c r="AO203">
        <f>IF($A203="","",_CONFIG_Model_Settings!$B$172*MAX(N($AK203),(N($AF203)+N($AI203))/2))</f>
        <v>70</v>
      </c>
      <c r="AP203">
        <f t="shared" si="11"/>
        <v>70</v>
      </c>
      <c r="AQ203">
        <f>IF($AP203="","",MAX(0,$AP203*(1-(_CONFIG_Model_Settings!$B$173+_CONFIG_Model_Settings!$B$174*(N($AH203)-1)))))</f>
        <v>45.5</v>
      </c>
      <c r="AR203">
        <f>IF($AP203="","",MIN(100,$AP203*(1+(_CONFIG_Model_Settings!$B$173+_CONFIG_Model_Settings!$B$174*(N($AH203)-1)))))</f>
        <v>94.5</v>
      </c>
    </row>
    <row r="204" spans="1:44" ht="72" customHeight="1">
      <c r="A204" s="9" t="s">
        <v>2007</v>
      </c>
      <c r="B204" s="9" t="s">
        <v>1987</v>
      </c>
      <c r="C204" s="9" t="s">
        <v>1989</v>
      </c>
      <c r="D204" s="9" t="s">
        <v>3687</v>
      </c>
      <c r="E204" s="9" t="s">
        <v>2008</v>
      </c>
      <c r="F204" s="9" t="s">
        <v>7409</v>
      </c>
      <c r="G204" s="9" t="s">
        <v>7410</v>
      </c>
      <c r="H204" s="9" t="s">
        <v>7411</v>
      </c>
      <c r="I204" s="9" t="s">
        <v>7412</v>
      </c>
      <c r="J204" s="9" t="s">
        <v>7413</v>
      </c>
      <c r="K204" s="9" t="s">
        <v>7414</v>
      </c>
      <c r="L204" s="9" t="s">
        <v>7415</v>
      </c>
      <c r="M204" s="9" t="s">
        <v>7416</v>
      </c>
      <c r="N204" s="9" t="s">
        <v>7417</v>
      </c>
      <c r="O204" s="9" t="s">
        <v>7418</v>
      </c>
      <c r="P204" s="9" t="s">
        <v>7419</v>
      </c>
      <c r="Q204" s="9" t="s">
        <v>7420</v>
      </c>
      <c r="R204" s="9" t="s">
        <v>4589</v>
      </c>
      <c r="S204" s="9" t="s">
        <v>7421</v>
      </c>
      <c r="T204" s="9">
        <v>4</v>
      </c>
      <c r="U204" s="9">
        <v>3</v>
      </c>
      <c r="V204" s="9">
        <v>3</v>
      </c>
      <c r="W204" s="9">
        <v>2</v>
      </c>
      <c r="X204" s="9">
        <v>1</v>
      </c>
      <c r="Y204" s="9">
        <v>1</v>
      </c>
      <c r="Z204" s="9" t="s">
        <v>1992</v>
      </c>
      <c r="AA204" s="9" t="s">
        <v>2009</v>
      </c>
      <c r="AB204" s="9" t="s">
        <v>1994</v>
      </c>
      <c r="AC204" s="9" t="s">
        <v>7365</v>
      </c>
      <c r="AD204" s="9" t="s">
        <v>7422</v>
      </c>
      <c r="AE204" t="str">
        <f t="shared" si="9"/>
        <v>Fast</v>
      </c>
      <c r="AF204">
        <f>IF($A204="","",IFERROR(VLOOKUP($B204,_CONFIG_Risk_Calibration!$A$5:$H$21,2,FALSE),3))</f>
        <v>3</v>
      </c>
      <c r="AG204">
        <f>IF($A204="","",IFERROR(VLOOKUP($B204,_CONFIG_Risk_Calibration!$A$5:$H$21,3,FALSE),0))</f>
        <v>0</v>
      </c>
      <c r="AH204">
        <f>IF($A204="","",IFERROR(VLOOKUP($B204,_CONFIG_Risk_Calibration!$A$5:$H$21,4,FALSE),3))</f>
        <v>3</v>
      </c>
      <c r="AI204">
        <f>IF($A204="","",IFERROR(VLOOKUP($B204,_CONFIG_Risk_Calibration!$A$5:$H$21,5,FALSE),3))</f>
        <v>4</v>
      </c>
      <c r="AJ204" t="str">
        <f>IF($A204="","",IFERROR(VLOOKUP($B204,_CONFIG_Risk_Calibration!$A$5:$H$21,6,FALSE),"No"))</f>
        <v>No</v>
      </c>
      <c r="AK204">
        <f>IF($A204="","",IFERROR(VLOOKUP($B204,_CONFIG_Risk_Calibration!$A$5:$H$21,7,FALSE),1))</f>
        <v>1</v>
      </c>
      <c r="AL204" t="str">
        <f>IF($A204="","",IFERROR(VLOOKUP($B204,_CONFIG_Risk_Calibration!$A$5:$H$21,8,FALSE),""))</f>
        <v>Clean template default. Calibrate with real exposure, incident history, evidence quality and domain-owner validation.</v>
      </c>
      <c r="AM204">
        <f>IF($A204="","",IFERROR(INDEX(_DATA_Assessment_Model!$AL$1:$AL$428,MATCH($A204,_DATA_Assessment_Model!$A$1:$A$428,0)),""))</f>
        <v>0</v>
      </c>
      <c r="AN204">
        <f t="shared" si="10"/>
        <v>1</v>
      </c>
      <c r="AO204">
        <f>IF($A204="","",_CONFIG_Model_Settings!$B$172*MAX(N($AK204),(N($AF204)+N($AI204))/2))</f>
        <v>70</v>
      </c>
      <c r="AP204">
        <f t="shared" si="11"/>
        <v>70</v>
      </c>
      <c r="AQ204">
        <f>IF($AP204="","",MAX(0,$AP204*(1-(_CONFIG_Model_Settings!$B$173+_CONFIG_Model_Settings!$B$174*(N($AH204)-1)))))</f>
        <v>45.5</v>
      </c>
      <c r="AR204">
        <f>IF($AP204="","",MIN(100,$AP204*(1+(_CONFIG_Model_Settings!$B$173+_CONFIG_Model_Settings!$B$174*(N($AH204)-1)))))</f>
        <v>94.5</v>
      </c>
    </row>
    <row r="205" spans="1:44" ht="72" customHeight="1">
      <c r="A205" s="9" t="s">
        <v>2011</v>
      </c>
      <c r="B205" s="9" t="s">
        <v>1987</v>
      </c>
      <c r="C205" s="9" t="s">
        <v>1989</v>
      </c>
      <c r="D205" s="9" t="s">
        <v>3687</v>
      </c>
      <c r="E205" s="9" t="s">
        <v>2012</v>
      </c>
      <c r="F205" s="9" t="s">
        <v>7423</v>
      </c>
      <c r="G205" s="9" t="s">
        <v>7424</v>
      </c>
      <c r="H205" s="9" t="s">
        <v>7425</v>
      </c>
      <c r="I205" s="9" t="s">
        <v>7426</v>
      </c>
      <c r="J205" s="9" t="s">
        <v>7427</v>
      </c>
      <c r="K205" s="9" t="s">
        <v>7428</v>
      </c>
      <c r="L205" s="9" t="s">
        <v>7429</v>
      </c>
      <c r="M205" s="9" t="s">
        <v>7430</v>
      </c>
      <c r="N205" s="9" t="s">
        <v>7431</v>
      </c>
      <c r="O205" s="9" t="s">
        <v>7432</v>
      </c>
      <c r="P205" s="9" t="s">
        <v>7433</v>
      </c>
      <c r="Q205" s="9" t="s">
        <v>7434</v>
      </c>
      <c r="R205" s="9" t="s">
        <v>4589</v>
      </c>
      <c r="S205" s="9" t="s">
        <v>7435</v>
      </c>
      <c r="T205" s="9">
        <v>4</v>
      </c>
      <c r="U205" s="9">
        <v>3</v>
      </c>
      <c r="V205" s="9">
        <v>3</v>
      </c>
      <c r="W205" s="9">
        <v>2</v>
      </c>
      <c r="X205" s="9">
        <v>1</v>
      </c>
      <c r="Y205" s="9">
        <v>1</v>
      </c>
      <c r="Z205" s="9" t="s">
        <v>1992</v>
      </c>
      <c r="AA205" s="9" t="s">
        <v>2013</v>
      </c>
      <c r="AB205" s="9" t="s">
        <v>1994</v>
      </c>
      <c r="AC205" s="9" t="s">
        <v>7365</v>
      </c>
      <c r="AD205" s="9" t="s">
        <v>7436</v>
      </c>
      <c r="AE205" t="str">
        <f t="shared" si="9"/>
        <v>Fast</v>
      </c>
      <c r="AF205">
        <f>IF($A205="","",IFERROR(VLOOKUP($B205,_CONFIG_Risk_Calibration!$A$5:$H$21,2,FALSE),3))</f>
        <v>3</v>
      </c>
      <c r="AG205">
        <f>IF($A205="","",IFERROR(VLOOKUP($B205,_CONFIG_Risk_Calibration!$A$5:$H$21,3,FALSE),0))</f>
        <v>0</v>
      </c>
      <c r="AH205">
        <f>IF($A205="","",IFERROR(VLOOKUP($B205,_CONFIG_Risk_Calibration!$A$5:$H$21,4,FALSE),3))</f>
        <v>3</v>
      </c>
      <c r="AI205">
        <f>IF($A205="","",IFERROR(VLOOKUP($B205,_CONFIG_Risk_Calibration!$A$5:$H$21,5,FALSE),3))</f>
        <v>4</v>
      </c>
      <c r="AJ205" t="str">
        <f>IF($A205="","",IFERROR(VLOOKUP($B205,_CONFIG_Risk_Calibration!$A$5:$H$21,6,FALSE),"No"))</f>
        <v>No</v>
      </c>
      <c r="AK205">
        <f>IF($A205="","",IFERROR(VLOOKUP($B205,_CONFIG_Risk_Calibration!$A$5:$H$21,7,FALSE),1))</f>
        <v>1</v>
      </c>
      <c r="AL205" t="str">
        <f>IF($A205="","",IFERROR(VLOOKUP($B205,_CONFIG_Risk_Calibration!$A$5:$H$21,8,FALSE),""))</f>
        <v>Clean template default. Calibrate with real exposure, incident history, evidence quality and domain-owner validation.</v>
      </c>
      <c r="AM205">
        <f>IF($A205="","",IFERROR(INDEX(_DATA_Assessment_Model!$AL$1:$AL$428,MATCH($A205,_DATA_Assessment_Model!$A$1:$A$428,0)),""))</f>
        <v>0</v>
      </c>
      <c r="AN205">
        <f t="shared" si="10"/>
        <v>1</v>
      </c>
      <c r="AO205">
        <f>IF($A205="","",_CONFIG_Model_Settings!$B$172*MAX(N($AK205),(N($AF205)+N($AI205))/2))</f>
        <v>70</v>
      </c>
      <c r="AP205">
        <f t="shared" si="11"/>
        <v>70</v>
      </c>
      <c r="AQ205">
        <f>IF($AP205="","",MAX(0,$AP205*(1-(_CONFIG_Model_Settings!$B$173+_CONFIG_Model_Settings!$B$174*(N($AH205)-1)))))</f>
        <v>45.5</v>
      </c>
      <c r="AR205">
        <f>IF($AP205="","",MIN(100,$AP205*(1+(_CONFIG_Model_Settings!$B$173+_CONFIG_Model_Settings!$B$174*(N($AH205)-1)))))</f>
        <v>94.5</v>
      </c>
    </row>
    <row r="206" spans="1:44" ht="72" customHeight="1">
      <c r="A206" s="9" t="s">
        <v>2014</v>
      </c>
      <c r="B206" s="9" t="s">
        <v>1987</v>
      </c>
      <c r="C206" s="9" t="s">
        <v>1998</v>
      </c>
      <c r="D206" s="9" t="s">
        <v>3687</v>
      </c>
      <c r="E206" s="9" t="s">
        <v>2015</v>
      </c>
      <c r="F206" s="9" t="s">
        <v>7437</v>
      </c>
      <c r="G206" s="9" t="s">
        <v>7438</v>
      </c>
      <c r="H206" s="9" t="s">
        <v>7439</v>
      </c>
      <c r="I206" s="9" t="s">
        <v>7440</v>
      </c>
      <c r="J206" s="9" t="s">
        <v>7441</v>
      </c>
      <c r="K206" s="9" t="s">
        <v>7442</v>
      </c>
      <c r="L206" s="9" t="s">
        <v>7443</v>
      </c>
      <c r="M206" s="9" t="s">
        <v>7444</v>
      </c>
      <c r="N206" s="9" t="s">
        <v>7445</v>
      </c>
      <c r="O206" s="9" t="s">
        <v>7446</v>
      </c>
      <c r="P206" s="9" t="s">
        <v>7447</v>
      </c>
      <c r="Q206" s="9" t="s">
        <v>7448</v>
      </c>
      <c r="R206" s="9" t="s">
        <v>4589</v>
      </c>
      <c r="S206" s="9" t="s">
        <v>7449</v>
      </c>
      <c r="T206" s="9">
        <v>4</v>
      </c>
      <c r="U206" s="9">
        <v>3</v>
      </c>
      <c r="V206" s="9">
        <v>3</v>
      </c>
      <c r="W206" s="9">
        <v>2</v>
      </c>
      <c r="X206" s="9">
        <v>1</v>
      </c>
      <c r="Y206" s="9">
        <v>1</v>
      </c>
      <c r="Z206" s="9" t="s">
        <v>1992</v>
      </c>
      <c r="AA206" s="9" t="s">
        <v>2016</v>
      </c>
      <c r="AB206" s="9" t="s">
        <v>1994</v>
      </c>
      <c r="AC206" s="9" t="s">
        <v>7365</v>
      </c>
      <c r="AD206" s="9" t="s">
        <v>7450</v>
      </c>
      <c r="AE206" t="str">
        <f t="shared" si="9"/>
        <v>Fast</v>
      </c>
      <c r="AF206">
        <f>IF($A206="","",IFERROR(VLOOKUP($B206,_CONFIG_Risk_Calibration!$A$5:$H$21,2,FALSE),3))</f>
        <v>3</v>
      </c>
      <c r="AG206">
        <f>IF($A206="","",IFERROR(VLOOKUP($B206,_CONFIG_Risk_Calibration!$A$5:$H$21,3,FALSE),0))</f>
        <v>0</v>
      </c>
      <c r="AH206">
        <f>IF($A206="","",IFERROR(VLOOKUP($B206,_CONFIG_Risk_Calibration!$A$5:$H$21,4,FALSE),3))</f>
        <v>3</v>
      </c>
      <c r="AI206">
        <f>IF($A206="","",IFERROR(VLOOKUP($B206,_CONFIG_Risk_Calibration!$A$5:$H$21,5,FALSE),3))</f>
        <v>4</v>
      </c>
      <c r="AJ206" t="str">
        <f>IF($A206="","",IFERROR(VLOOKUP($B206,_CONFIG_Risk_Calibration!$A$5:$H$21,6,FALSE),"No"))</f>
        <v>No</v>
      </c>
      <c r="AK206">
        <f>IF($A206="","",IFERROR(VLOOKUP($B206,_CONFIG_Risk_Calibration!$A$5:$H$21,7,FALSE),1))</f>
        <v>1</v>
      </c>
      <c r="AL206" t="str">
        <f>IF($A206="","",IFERROR(VLOOKUP($B206,_CONFIG_Risk_Calibration!$A$5:$H$21,8,FALSE),""))</f>
        <v>Clean template default. Calibrate with real exposure, incident history, evidence quality and domain-owner validation.</v>
      </c>
      <c r="AM206">
        <f>IF($A206="","",IFERROR(INDEX(_DATA_Assessment_Model!$AL$1:$AL$428,MATCH($A206,_DATA_Assessment_Model!$A$1:$A$428,0)),""))</f>
        <v>0</v>
      </c>
      <c r="AN206">
        <f t="shared" si="10"/>
        <v>1</v>
      </c>
      <c r="AO206">
        <f>IF($A206="","",_CONFIG_Model_Settings!$B$172*MAX(N($AK206),(N($AF206)+N($AI206))/2))</f>
        <v>70</v>
      </c>
      <c r="AP206">
        <f t="shared" si="11"/>
        <v>70</v>
      </c>
      <c r="AQ206">
        <f>IF($AP206="","",MAX(0,$AP206*(1-(_CONFIG_Model_Settings!$B$173+_CONFIG_Model_Settings!$B$174*(N($AH206)-1)))))</f>
        <v>45.5</v>
      </c>
      <c r="AR206">
        <f>IF($AP206="","",MIN(100,$AP206*(1+(_CONFIG_Model_Settings!$B$173+_CONFIG_Model_Settings!$B$174*(N($AH206)-1)))))</f>
        <v>94.5</v>
      </c>
    </row>
    <row r="207" spans="1:44" ht="72" customHeight="1">
      <c r="A207" s="9" t="s">
        <v>2017</v>
      </c>
      <c r="B207" s="9" t="s">
        <v>1987</v>
      </c>
      <c r="C207" s="9" t="s">
        <v>1998</v>
      </c>
      <c r="D207" s="9" t="s">
        <v>3687</v>
      </c>
      <c r="E207" s="9" t="s">
        <v>2018</v>
      </c>
      <c r="F207" s="9" t="s">
        <v>7451</v>
      </c>
      <c r="G207" s="9" t="s">
        <v>7452</v>
      </c>
      <c r="H207" s="9" t="s">
        <v>7453</v>
      </c>
      <c r="I207" s="9" t="s">
        <v>7454</v>
      </c>
      <c r="J207" s="9" t="s">
        <v>7455</v>
      </c>
      <c r="K207" s="9" t="s">
        <v>7456</v>
      </c>
      <c r="L207" s="9" t="s">
        <v>7457</v>
      </c>
      <c r="M207" s="9" t="s">
        <v>7458</v>
      </c>
      <c r="N207" s="9" t="s">
        <v>7459</v>
      </c>
      <c r="O207" s="9" t="s">
        <v>7460</v>
      </c>
      <c r="P207" s="9" t="s">
        <v>7461</v>
      </c>
      <c r="Q207" s="9" t="s">
        <v>7462</v>
      </c>
      <c r="R207" s="9" t="s">
        <v>4589</v>
      </c>
      <c r="S207" s="9" t="s">
        <v>7463</v>
      </c>
      <c r="T207" s="9">
        <v>4</v>
      </c>
      <c r="U207" s="9">
        <v>3</v>
      </c>
      <c r="V207" s="9">
        <v>3</v>
      </c>
      <c r="W207" s="9">
        <v>2</v>
      </c>
      <c r="X207" s="9">
        <v>1</v>
      </c>
      <c r="Y207" s="9">
        <v>1</v>
      </c>
      <c r="Z207" s="9" t="s">
        <v>1992</v>
      </c>
      <c r="AA207" s="9" t="s">
        <v>2019</v>
      </c>
      <c r="AB207" s="9" t="s">
        <v>1994</v>
      </c>
      <c r="AC207" s="9" t="s">
        <v>7365</v>
      </c>
      <c r="AD207" s="9" t="s">
        <v>7464</v>
      </c>
      <c r="AE207" t="str">
        <f t="shared" si="9"/>
        <v>Fast</v>
      </c>
      <c r="AF207">
        <f>IF($A207="","",IFERROR(VLOOKUP($B207,_CONFIG_Risk_Calibration!$A$5:$H$21,2,FALSE),3))</f>
        <v>3</v>
      </c>
      <c r="AG207">
        <f>IF($A207="","",IFERROR(VLOOKUP($B207,_CONFIG_Risk_Calibration!$A$5:$H$21,3,FALSE),0))</f>
        <v>0</v>
      </c>
      <c r="AH207">
        <f>IF($A207="","",IFERROR(VLOOKUP($B207,_CONFIG_Risk_Calibration!$A$5:$H$21,4,FALSE),3))</f>
        <v>3</v>
      </c>
      <c r="AI207">
        <f>IF($A207="","",IFERROR(VLOOKUP($B207,_CONFIG_Risk_Calibration!$A$5:$H$21,5,FALSE),3))</f>
        <v>4</v>
      </c>
      <c r="AJ207" t="str">
        <f>IF($A207="","",IFERROR(VLOOKUP($B207,_CONFIG_Risk_Calibration!$A$5:$H$21,6,FALSE),"No"))</f>
        <v>No</v>
      </c>
      <c r="AK207">
        <f>IF($A207="","",IFERROR(VLOOKUP($B207,_CONFIG_Risk_Calibration!$A$5:$H$21,7,FALSE),1))</f>
        <v>1</v>
      </c>
      <c r="AL207" t="str">
        <f>IF($A207="","",IFERROR(VLOOKUP($B207,_CONFIG_Risk_Calibration!$A$5:$H$21,8,FALSE),""))</f>
        <v>Clean template default. Calibrate with real exposure, incident history, evidence quality and domain-owner validation.</v>
      </c>
      <c r="AM207">
        <f>IF($A207="","",IFERROR(INDEX(_DATA_Assessment_Model!$AL$1:$AL$428,MATCH($A207,_DATA_Assessment_Model!$A$1:$A$428,0)),""))</f>
        <v>0</v>
      </c>
      <c r="AN207">
        <f t="shared" si="10"/>
        <v>1</v>
      </c>
      <c r="AO207">
        <f>IF($A207="","",_CONFIG_Model_Settings!$B$172*MAX(N($AK207),(N($AF207)+N($AI207))/2))</f>
        <v>70</v>
      </c>
      <c r="AP207">
        <f t="shared" si="11"/>
        <v>70</v>
      </c>
      <c r="AQ207">
        <f>IF($AP207="","",MAX(0,$AP207*(1-(_CONFIG_Model_Settings!$B$173+_CONFIG_Model_Settings!$B$174*(N($AH207)-1)))))</f>
        <v>45.5</v>
      </c>
      <c r="AR207">
        <f>IF($AP207="","",MIN(100,$AP207*(1+(_CONFIG_Model_Settings!$B$173+_CONFIG_Model_Settings!$B$174*(N($AH207)-1)))))</f>
        <v>94.5</v>
      </c>
    </row>
    <row r="208" spans="1:44" ht="72" customHeight="1">
      <c r="A208" s="9" t="s">
        <v>2026</v>
      </c>
      <c r="B208" s="9" t="s">
        <v>1987</v>
      </c>
      <c r="C208" s="9" t="s">
        <v>1998</v>
      </c>
      <c r="D208" s="9" t="s">
        <v>3687</v>
      </c>
      <c r="E208" s="9" t="s">
        <v>2027</v>
      </c>
      <c r="F208" s="9" t="s">
        <v>7465</v>
      </c>
      <c r="G208" s="9" t="s">
        <v>7466</v>
      </c>
      <c r="H208" s="9" t="s">
        <v>7467</v>
      </c>
      <c r="I208" s="9" t="s">
        <v>7468</v>
      </c>
      <c r="J208" s="9" t="s">
        <v>7469</v>
      </c>
      <c r="K208" s="9" t="s">
        <v>7470</v>
      </c>
      <c r="L208" s="9" t="s">
        <v>7471</v>
      </c>
      <c r="M208" s="9" t="s">
        <v>7472</v>
      </c>
      <c r="N208" s="9" t="s">
        <v>7473</v>
      </c>
      <c r="O208" s="9" t="s">
        <v>7474</v>
      </c>
      <c r="P208" s="9" t="s">
        <v>7475</v>
      </c>
      <c r="Q208" s="9" t="s">
        <v>7476</v>
      </c>
      <c r="R208" s="9" t="s">
        <v>4589</v>
      </c>
      <c r="S208" s="9" t="s">
        <v>7477</v>
      </c>
      <c r="T208" s="9">
        <v>4</v>
      </c>
      <c r="U208" s="9">
        <v>3</v>
      </c>
      <c r="V208" s="9">
        <v>3</v>
      </c>
      <c r="W208" s="9">
        <v>2</v>
      </c>
      <c r="X208" s="9">
        <v>1</v>
      </c>
      <c r="Y208" s="9">
        <v>1</v>
      </c>
      <c r="Z208" s="9" t="s">
        <v>1992</v>
      </c>
      <c r="AA208" s="9" t="s">
        <v>2028</v>
      </c>
      <c r="AB208" s="9" t="s">
        <v>1994</v>
      </c>
      <c r="AC208" s="9" t="s">
        <v>7365</v>
      </c>
      <c r="AD208" s="9" t="s">
        <v>7478</v>
      </c>
      <c r="AE208" t="str">
        <f t="shared" si="9"/>
        <v>Fast</v>
      </c>
      <c r="AF208">
        <f>IF($A208="","",IFERROR(VLOOKUP($B208,_CONFIG_Risk_Calibration!$A$5:$H$21,2,FALSE),3))</f>
        <v>3</v>
      </c>
      <c r="AG208">
        <f>IF($A208="","",IFERROR(VLOOKUP($B208,_CONFIG_Risk_Calibration!$A$5:$H$21,3,FALSE),0))</f>
        <v>0</v>
      </c>
      <c r="AH208">
        <f>IF($A208="","",IFERROR(VLOOKUP($B208,_CONFIG_Risk_Calibration!$A$5:$H$21,4,FALSE),3))</f>
        <v>3</v>
      </c>
      <c r="AI208">
        <f>IF($A208="","",IFERROR(VLOOKUP($B208,_CONFIG_Risk_Calibration!$A$5:$H$21,5,FALSE),3))</f>
        <v>4</v>
      </c>
      <c r="AJ208" t="str">
        <f>IF($A208="","",IFERROR(VLOOKUP($B208,_CONFIG_Risk_Calibration!$A$5:$H$21,6,FALSE),"No"))</f>
        <v>No</v>
      </c>
      <c r="AK208">
        <f>IF($A208="","",IFERROR(VLOOKUP($B208,_CONFIG_Risk_Calibration!$A$5:$H$21,7,FALSE),1))</f>
        <v>1</v>
      </c>
      <c r="AL208" t="str">
        <f>IF($A208="","",IFERROR(VLOOKUP($B208,_CONFIG_Risk_Calibration!$A$5:$H$21,8,FALSE),""))</f>
        <v>Clean template default. Calibrate with real exposure, incident history, evidence quality and domain-owner validation.</v>
      </c>
      <c r="AM208">
        <f>IF($A208="","",IFERROR(INDEX(_DATA_Assessment_Model!$AL$1:$AL$428,MATCH($A208,_DATA_Assessment_Model!$A$1:$A$428,0)),""))</f>
        <v>0</v>
      </c>
      <c r="AN208">
        <f t="shared" si="10"/>
        <v>1</v>
      </c>
      <c r="AO208">
        <f>IF($A208="","",_CONFIG_Model_Settings!$B$172*MAX(N($AK208),(N($AF208)+N($AI208))/2))</f>
        <v>70</v>
      </c>
      <c r="AP208">
        <f t="shared" si="11"/>
        <v>70</v>
      </c>
      <c r="AQ208">
        <f>IF($AP208="","",MAX(0,$AP208*(1-(_CONFIG_Model_Settings!$B$173+_CONFIG_Model_Settings!$B$174*(N($AH208)-1)))))</f>
        <v>45.5</v>
      </c>
      <c r="AR208">
        <f>IF($AP208="","",MIN(100,$AP208*(1+(_CONFIG_Model_Settings!$B$173+_CONFIG_Model_Settings!$B$174*(N($AH208)-1)))))</f>
        <v>94.5</v>
      </c>
    </row>
    <row r="209" spans="1:44" ht="72" customHeight="1">
      <c r="A209" s="9" t="s">
        <v>2035</v>
      </c>
      <c r="B209" s="9" t="s">
        <v>1987</v>
      </c>
      <c r="C209" s="9" t="s">
        <v>1998</v>
      </c>
      <c r="D209" s="9" t="s">
        <v>3687</v>
      </c>
      <c r="E209" s="9" t="s">
        <v>2036</v>
      </c>
      <c r="F209" s="9" t="s">
        <v>7479</v>
      </c>
      <c r="G209" s="9" t="s">
        <v>7480</v>
      </c>
      <c r="H209" s="9" t="s">
        <v>7481</v>
      </c>
      <c r="I209" s="9" t="s">
        <v>7482</v>
      </c>
      <c r="J209" s="9" t="s">
        <v>7483</v>
      </c>
      <c r="K209" s="9" t="s">
        <v>7484</v>
      </c>
      <c r="L209" s="9" t="s">
        <v>7485</v>
      </c>
      <c r="M209" s="9" t="s">
        <v>7486</v>
      </c>
      <c r="N209" s="9" t="s">
        <v>7487</v>
      </c>
      <c r="O209" s="9" t="s">
        <v>7488</v>
      </c>
      <c r="P209" s="9" t="s">
        <v>7489</v>
      </c>
      <c r="Q209" s="9" t="s">
        <v>7490</v>
      </c>
      <c r="R209" s="9" t="s">
        <v>4589</v>
      </c>
      <c r="S209" s="9" t="s">
        <v>7491</v>
      </c>
      <c r="T209" s="9">
        <v>4</v>
      </c>
      <c r="U209" s="9">
        <v>3</v>
      </c>
      <c r="V209" s="9">
        <v>3</v>
      </c>
      <c r="W209" s="9">
        <v>2</v>
      </c>
      <c r="X209" s="9">
        <v>1</v>
      </c>
      <c r="Y209" s="9">
        <v>1</v>
      </c>
      <c r="Z209" s="9" t="s">
        <v>1992</v>
      </c>
      <c r="AA209" s="9" t="s">
        <v>2037</v>
      </c>
      <c r="AB209" s="9" t="s">
        <v>1994</v>
      </c>
      <c r="AC209" s="9" t="s">
        <v>7365</v>
      </c>
      <c r="AD209" s="9" t="s">
        <v>7492</v>
      </c>
      <c r="AE209" t="str">
        <f t="shared" si="9"/>
        <v>Fast</v>
      </c>
      <c r="AF209">
        <f>IF($A209="","",IFERROR(VLOOKUP($B209,_CONFIG_Risk_Calibration!$A$5:$H$21,2,FALSE),3))</f>
        <v>3</v>
      </c>
      <c r="AG209">
        <f>IF($A209="","",IFERROR(VLOOKUP($B209,_CONFIG_Risk_Calibration!$A$5:$H$21,3,FALSE),0))</f>
        <v>0</v>
      </c>
      <c r="AH209">
        <f>IF($A209="","",IFERROR(VLOOKUP($B209,_CONFIG_Risk_Calibration!$A$5:$H$21,4,FALSE),3))</f>
        <v>3</v>
      </c>
      <c r="AI209">
        <f>IF($A209="","",IFERROR(VLOOKUP($B209,_CONFIG_Risk_Calibration!$A$5:$H$21,5,FALSE),3))</f>
        <v>4</v>
      </c>
      <c r="AJ209" t="str">
        <f>IF($A209="","",IFERROR(VLOOKUP($B209,_CONFIG_Risk_Calibration!$A$5:$H$21,6,FALSE),"No"))</f>
        <v>No</v>
      </c>
      <c r="AK209">
        <f>IF($A209="","",IFERROR(VLOOKUP($B209,_CONFIG_Risk_Calibration!$A$5:$H$21,7,FALSE),1))</f>
        <v>1</v>
      </c>
      <c r="AL209" t="str">
        <f>IF($A209="","",IFERROR(VLOOKUP($B209,_CONFIG_Risk_Calibration!$A$5:$H$21,8,FALSE),""))</f>
        <v>Clean template default. Calibrate with real exposure, incident history, evidence quality and domain-owner validation.</v>
      </c>
      <c r="AM209">
        <f>IF($A209="","",IFERROR(INDEX(_DATA_Assessment_Model!$AL$1:$AL$428,MATCH($A209,_DATA_Assessment_Model!$A$1:$A$428,0)),""))</f>
        <v>0</v>
      </c>
      <c r="AN209">
        <f t="shared" si="10"/>
        <v>1</v>
      </c>
      <c r="AO209">
        <f>IF($A209="","",_CONFIG_Model_Settings!$B$172*MAX(N($AK209),(N($AF209)+N($AI209))/2))</f>
        <v>70</v>
      </c>
      <c r="AP209">
        <f t="shared" si="11"/>
        <v>70</v>
      </c>
      <c r="AQ209">
        <f>IF($AP209="","",MAX(0,$AP209*(1-(_CONFIG_Model_Settings!$B$173+_CONFIG_Model_Settings!$B$174*(N($AH209)-1)))))</f>
        <v>45.5</v>
      </c>
      <c r="AR209">
        <f>IF($AP209="","",MIN(100,$AP209*(1+(_CONFIG_Model_Settings!$B$173+_CONFIG_Model_Settings!$B$174*(N($AH209)-1)))))</f>
        <v>94.5</v>
      </c>
    </row>
    <row r="210" spans="1:44" ht="72" customHeight="1">
      <c r="A210" s="9" t="s">
        <v>2038</v>
      </c>
      <c r="B210" s="9" t="s">
        <v>1987</v>
      </c>
      <c r="C210" s="9" t="s">
        <v>1998</v>
      </c>
      <c r="D210" s="9" t="s">
        <v>3687</v>
      </c>
      <c r="E210" s="9" t="s">
        <v>2039</v>
      </c>
      <c r="F210" s="9" t="s">
        <v>7493</v>
      </c>
      <c r="G210" s="9" t="s">
        <v>7494</v>
      </c>
      <c r="H210" s="9" t="s">
        <v>7495</v>
      </c>
      <c r="I210" s="9" t="s">
        <v>7496</v>
      </c>
      <c r="J210" s="9" t="s">
        <v>7497</v>
      </c>
      <c r="K210" s="9" t="s">
        <v>7498</v>
      </c>
      <c r="L210" s="9" t="s">
        <v>7499</v>
      </c>
      <c r="M210" s="9" t="s">
        <v>7500</v>
      </c>
      <c r="N210" s="9" t="s">
        <v>7501</v>
      </c>
      <c r="O210" s="9" t="s">
        <v>7502</v>
      </c>
      <c r="P210" s="9" t="s">
        <v>7503</v>
      </c>
      <c r="Q210" s="9" t="s">
        <v>7504</v>
      </c>
      <c r="R210" s="9" t="s">
        <v>4589</v>
      </c>
      <c r="S210" s="9" t="s">
        <v>7505</v>
      </c>
      <c r="T210" s="9">
        <v>4</v>
      </c>
      <c r="U210" s="9">
        <v>3</v>
      </c>
      <c r="V210" s="9">
        <v>3</v>
      </c>
      <c r="W210" s="9">
        <v>2</v>
      </c>
      <c r="X210" s="9">
        <v>1</v>
      </c>
      <c r="Y210" s="9">
        <v>1</v>
      </c>
      <c r="Z210" s="9" t="s">
        <v>1992</v>
      </c>
      <c r="AA210" s="9" t="s">
        <v>2040</v>
      </c>
      <c r="AB210" s="9" t="s">
        <v>1994</v>
      </c>
      <c r="AC210" s="9" t="s">
        <v>7365</v>
      </c>
      <c r="AD210" s="9" t="s">
        <v>7506</v>
      </c>
      <c r="AE210" t="str">
        <f t="shared" si="9"/>
        <v>Fast</v>
      </c>
      <c r="AF210">
        <f>IF($A210="","",IFERROR(VLOOKUP($B210,_CONFIG_Risk_Calibration!$A$5:$H$21,2,FALSE),3))</f>
        <v>3</v>
      </c>
      <c r="AG210">
        <f>IF($A210="","",IFERROR(VLOOKUP($B210,_CONFIG_Risk_Calibration!$A$5:$H$21,3,FALSE),0))</f>
        <v>0</v>
      </c>
      <c r="AH210">
        <f>IF($A210="","",IFERROR(VLOOKUP($B210,_CONFIG_Risk_Calibration!$A$5:$H$21,4,FALSE),3))</f>
        <v>3</v>
      </c>
      <c r="AI210">
        <f>IF($A210="","",IFERROR(VLOOKUP($B210,_CONFIG_Risk_Calibration!$A$5:$H$21,5,FALSE),3))</f>
        <v>4</v>
      </c>
      <c r="AJ210" t="str">
        <f>IF($A210="","",IFERROR(VLOOKUP($B210,_CONFIG_Risk_Calibration!$A$5:$H$21,6,FALSE),"No"))</f>
        <v>No</v>
      </c>
      <c r="AK210">
        <f>IF($A210="","",IFERROR(VLOOKUP($B210,_CONFIG_Risk_Calibration!$A$5:$H$21,7,FALSE),1))</f>
        <v>1</v>
      </c>
      <c r="AL210" t="str">
        <f>IF($A210="","",IFERROR(VLOOKUP($B210,_CONFIG_Risk_Calibration!$A$5:$H$21,8,FALSE),""))</f>
        <v>Clean template default. Calibrate with real exposure, incident history, evidence quality and domain-owner validation.</v>
      </c>
      <c r="AM210">
        <f>IF($A210="","",IFERROR(INDEX(_DATA_Assessment_Model!$AL$1:$AL$428,MATCH($A210,_DATA_Assessment_Model!$A$1:$A$428,0)),""))</f>
        <v>0</v>
      </c>
      <c r="AN210">
        <f t="shared" si="10"/>
        <v>1</v>
      </c>
      <c r="AO210">
        <f>IF($A210="","",_CONFIG_Model_Settings!$B$172*MAX(N($AK210),(N($AF210)+N($AI210))/2))</f>
        <v>70</v>
      </c>
      <c r="AP210">
        <f t="shared" si="11"/>
        <v>70</v>
      </c>
      <c r="AQ210">
        <f>IF($AP210="","",MAX(0,$AP210*(1-(_CONFIG_Model_Settings!$B$173+_CONFIG_Model_Settings!$B$174*(N($AH210)-1)))))</f>
        <v>45.5</v>
      </c>
      <c r="AR210">
        <f>IF($AP210="","",MIN(100,$AP210*(1+(_CONFIG_Model_Settings!$B$173+_CONFIG_Model_Settings!$B$174*(N($AH210)-1)))))</f>
        <v>94.5</v>
      </c>
    </row>
    <row r="211" spans="1:44" ht="72" customHeight="1">
      <c r="A211" s="9" t="s">
        <v>2047</v>
      </c>
      <c r="B211" s="9" t="s">
        <v>1987</v>
      </c>
      <c r="C211" s="9" t="s">
        <v>1998</v>
      </c>
      <c r="D211" s="9" t="s">
        <v>3687</v>
      </c>
      <c r="E211" s="9" t="s">
        <v>2048</v>
      </c>
      <c r="F211" s="9" t="s">
        <v>7507</v>
      </c>
      <c r="G211" s="9" t="s">
        <v>7508</v>
      </c>
      <c r="H211" s="9" t="s">
        <v>7509</v>
      </c>
      <c r="I211" s="9" t="s">
        <v>7510</v>
      </c>
      <c r="J211" s="9" t="s">
        <v>7511</v>
      </c>
      <c r="K211" s="9" t="s">
        <v>7512</v>
      </c>
      <c r="L211" s="9" t="s">
        <v>7513</v>
      </c>
      <c r="M211" s="9" t="s">
        <v>7514</v>
      </c>
      <c r="N211" s="9" t="s">
        <v>7515</v>
      </c>
      <c r="O211" s="9" t="s">
        <v>7516</v>
      </c>
      <c r="P211" s="9" t="s">
        <v>7517</v>
      </c>
      <c r="Q211" s="9" t="s">
        <v>7518</v>
      </c>
      <c r="R211" s="9" t="s">
        <v>4589</v>
      </c>
      <c r="S211" s="9" t="s">
        <v>7519</v>
      </c>
      <c r="T211" s="9">
        <v>4</v>
      </c>
      <c r="U211" s="9">
        <v>3</v>
      </c>
      <c r="V211" s="9">
        <v>3</v>
      </c>
      <c r="W211" s="9">
        <v>2</v>
      </c>
      <c r="X211" s="9">
        <v>1</v>
      </c>
      <c r="Y211" s="9">
        <v>1</v>
      </c>
      <c r="Z211" s="9" t="s">
        <v>1992</v>
      </c>
      <c r="AA211" s="9" t="s">
        <v>2049</v>
      </c>
      <c r="AB211" s="9" t="s">
        <v>1994</v>
      </c>
      <c r="AC211" s="9" t="s">
        <v>7365</v>
      </c>
      <c r="AD211" s="9" t="s">
        <v>7520</v>
      </c>
      <c r="AE211" t="str">
        <f t="shared" si="9"/>
        <v>Fast</v>
      </c>
      <c r="AF211">
        <f>IF($A211="","",IFERROR(VLOOKUP($B211,_CONFIG_Risk_Calibration!$A$5:$H$21,2,FALSE),3))</f>
        <v>3</v>
      </c>
      <c r="AG211">
        <f>IF($A211="","",IFERROR(VLOOKUP($B211,_CONFIG_Risk_Calibration!$A$5:$H$21,3,FALSE),0))</f>
        <v>0</v>
      </c>
      <c r="AH211">
        <f>IF($A211="","",IFERROR(VLOOKUP($B211,_CONFIG_Risk_Calibration!$A$5:$H$21,4,FALSE),3))</f>
        <v>3</v>
      </c>
      <c r="AI211">
        <f>IF($A211="","",IFERROR(VLOOKUP($B211,_CONFIG_Risk_Calibration!$A$5:$H$21,5,FALSE),3))</f>
        <v>4</v>
      </c>
      <c r="AJ211" t="str">
        <f>IF($A211="","",IFERROR(VLOOKUP($B211,_CONFIG_Risk_Calibration!$A$5:$H$21,6,FALSE),"No"))</f>
        <v>No</v>
      </c>
      <c r="AK211">
        <f>IF($A211="","",IFERROR(VLOOKUP($B211,_CONFIG_Risk_Calibration!$A$5:$H$21,7,FALSE),1))</f>
        <v>1</v>
      </c>
      <c r="AL211" t="str">
        <f>IF($A211="","",IFERROR(VLOOKUP($B211,_CONFIG_Risk_Calibration!$A$5:$H$21,8,FALSE),""))</f>
        <v>Clean template default. Calibrate with real exposure, incident history, evidence quality and domain-owner validation.</v>
      </c>
      <c r="AM211">
        <f>IF($A211="","",IFERROR(INDEX(_DATA_Assessment_Model!$AL$1:$AL$428,MATCH($A211,_DATA_Assessment_Model!$A$1:$A$428,0)),""))</f>
        <v>0</v>
      </c>
      <c r="AN211">
        <f t="shared" si="10"/>
        <v>1</v>
      </c>
      <c r="AO211">
        <f>IF($A211="","",_CONFIG_Model_Settings!$B$172*MAX(N($AK211),(N($AF211)+N($AI211))/2))</f>
        <v>70</v>
      </c>
      <c r="AP211">
        <f t="shared" si="11"/>
        <v>70</v>
      </c>
      <c r="AQ211">
        <f>IF($AP211="","",MAX(0,$AP211*(1-(_CONFIG_Model_Settings!$B$173+_CONFIG_Model_Settings!$B$174*(N($AH211)-1)))))</f>
        <v>45.5</v>
      </c>
      <c r="AR211">
        <f>IF($AP211="","",MIN(100,$AP211*(1+(_CONFIG_Model_Settings!$B$173+_CONFIG_Model_Settings!$B$174*(N($AH211)-1)))))</f>
        <v>94.5</v>
      </c>
    </row>
    <row r="212" spans="1:44" ht="72" customHeight="1">
      <c r="A212" s="9" t="s">
        <v>2050</v>
      </c>
      <c r="B212" s="9" t="s">
        <v>1987</v>
      </c>
      <c r="C212" s="9" t="s">
        <v>2002</v>
      </c>
      <c r="D212" s="9" t="s">
        <v>3687</v>
      </c>
      <c r="E212" s="9" t="s">
        <v>2051</v>
      </c>
      <c r="F212" s="9" t="s">
        <v>7521</v>
      </c>
      <c r="G212" s="9" t="s">
        <v>7522</v>
      </c>
      <c r="H212" s="9" t="s">
        <v>7523</v>
      </c>
      <c r="I212" s="9" t="s">
        <v>7524</v>
      </c>
      <c r="J212" s="9" t="s">
        <v>7525</v>
      </c>
      <c r="K212" s="9" t="s">
        <v>7526</v>
      </c>
      <c r="L212" s="9" t="s">
        <v>7527</v>
      </c>
      <c r="M212" s="9" t="s">
        <v>7528</v>
      </c>
      <c r="N212" s="9" t="s">
        <v>7529</v>
      </c>
      <c r="O212" s="9" t="s">
        <v>7530</v>
      </c>
      <c r="P212" s="9" t="s">
        <v>7531</v>
      </c>
      <c r="Q212" s="9" t="s">
        <v>7532</v>
      </c>
      <c r="R212" s="9" t="s">
        <v>4589</v>
      </c>
      <c r="S212" s="9" t="s">
        <v>7533</v>
      </c>
      <c r="T212" s="9">
        <v>4</v>
      </c>
      <c r="U212" s="9">
        <v>3</v>
      </c>
      <c r="V212" s="9">
        <v>3</v>
      </c>
      <c r="W212" s="9">
        <v>2</v>
      </c>
      <c r="X212" s="9">
        <v>1</v>
      </c>
      <c r="Y212" s="9">
        <v>1</v>
      </c>
      <c r="Z212" s="9" t="s">
        <v>1992</v>
      </c>
      <c r="AA212" s="9" t="s">
        <v>2052</v>
      </c>
      <c r="AB212" s="9" t="s">
        <v>1994</v>
      </c>
      <c r="AC212" s="9" t="s">
        <v>7365</v>
      </c>
      <c r="AD212" s="9" t="s">
        <v>7534</v>
      </c>
      <c r="AE212" t="str">
        <f t="shared" si="9"/>
        <v>Fast</v>
      </c>
      <c r="AF212">
        <f>IF($A212="","",IFERROR(VLOOKUP($B212,_CONFIG_Risk_Calibration!$A$5:$H$21,2,FALSE),3))</f>
        <v>3</v>
      </c>
      <c r="AG212">
        <f>IF($A212="","",IFERROR(VLOOKUP($B212,_CONFIG_Risk_Calibration!$A$5:$H$21,3,FALSE),0))</f>
        <v>0</v>
      </c>
      <c r="AH212">
        <f>IF($A212="","",IFERROR(VLOOKUP($B212,_CONFIG_Risk_Calibration!$A$5:$H$21,4,FALSE),3))</f>
        <v>3</v>
      </c>
      <c r="AI212">
        <f>IF($A212="","",IFERROR(VLOOKUP($B212,_CONFIG_Risk_Calibration!$A$5:$H$21,5,FALSE),3))</f>
        <v>4</v>
      </c>
      <c r="AJ212" t="str">
        <f>IF($A212="","",IFERROR(VLOOKUP($B212,_CONFIG_Risk_Calibration!$A$5:$H$21,6,FALSE),"No"))</f>
        <v>No</v>
      </c>
      <c r="AK212">
        <f>IF($A212="","",IFERROR(VLOOKUP($B212,_CONFIG_Risk_Calibration!$A$5:$H$21,7,FALSE),1))</f>
        <v>1</v>
      </c>
      <c r="AL212" t="str">
        <f>IF($A212="","",IFERROR(VLOOKUP($B212,_CONFIG_Risk_Calibration!$A$5:$H$21,8,FALSE),""))</f>
        <v>Clean template default. Calibrate with real exposure, incident history, evidence quality and domain-owner validation.</v>
      </c>
      <c r="AM212">
        <f>IF($A212="","",IFERROR(INDEX(_DATA_Assessment_Model!$AL$1:$AL$428,MATCH($A212,_DATA_Assessment_Model!$A$1:$A$428,0)),""))</f>
        <v>0</v>
      </c>
      <c r="AN212">
        <f t="shared" si="10"/>
        <v>1</v>
      </c>
      <c r="AO212">
        <f>IF($A212="","",_CONFIG_Model_Settings!$B$172*MAX(N($AK212),(N($AF212)+N($AI212))/2))</f>
        <v>70</v>
      </c>
      <c r="AP212">
        <f t="shared" si="11"/>
        <v>70</v>
      </c>
      <c r="AQ212">
        <f>IF($AP212="","",MAX(0,$AP212*(1-(_CONFIG_Model_Settings!$B$173+_CONFIG_Model_Settings!$B$174*(N($AH212)-1)))))</f>
        <v>45.5</v>
      </c>
      <c r="AR212">
        <f>IF($AP212="","",MIN(100,$AP212*(1+(_CONFIG_Model_Settings!$B$173+_CONFIG_Model_Settings!$B$174*(N($AH212)-1)))))</f>
        <v>94.5</v>
      </c>
    </row>
    <row r="213" spans="1:44" ht="72" customHeight="1">
      <c r="A213" s="9" t="s">
        <v>2053</v>
      </c>
      <c r="B213" s="9" t="s">
        <v>1987</v>
      </c>
      <c r="C213" s="9" t="s">
        <v>2002</v>
      </c>
      <c r="D213" s="9" t="s">
        <v>3687</v>
      </c>
      <c r="E213" s="9" t="s">
        <v>2054</v>
      </c>
      <c r="F213" s="9" t="s">
        <v>7535</v>
      </c>
      <c r="G213" s="9" t="s">
        <v>7536</v>
      </c>
      <c r="H213" s="9" t="s">
        <v>7537</v>
      </c>
      <c r="I213" s="9" t="s">
        <v>7538</v>
      </c>
      <c r="J213" s="9" t="s">
        <v>7539</v>
      </c>
      <c r="K213" s="9" t="s">
        <v>7540</v>
      </c>
      <c r="L213" s="9" t="s">
        <v>7541</v>
      </c>
      <c r="M213" s="9" t="s">
        <v>7542</v>
      </c>
      <c r="N213" s="9" t="s">
        <v>7543</v>
      </c>
      <c r="O213" s="9" t="s">
        <v>7544</v>
      </c>
      <c r="P213" s="9" t="s">
        <v>7545</v>
      </c>
      <c r="Q213" s="9" t="s">
        <v>7546</v>
      </c>
      <c r="R213" s="9" t="s">
        <v>4589</v>
      </c>
      <c r="S213" s="9" t="s">
        <v>7547</v>
      </c>
      <c r="T213" s="9">
        <v>4</v>
      </c>
      <c r="U213" s="9">
        <v>3</v>
      </c>
      <c r="V213" s="9">
        <v>3</v>
      </c>
      <c r="W213" s="9">
        <v>2</v>
      </c>
      <c r="X213" s="9">
        <v>1</v>
      </c>
      <c r="Y213" s="9">
        <v>1</v>
      </c>
      <c r="Z213" s="9" t="s">
        <v>1992</v>
      </c>
      <c r="AA213" s="9" t="s">
        <v>2055</v>
      </c>
      <c r="AB213" s="9" t="s">
        <v>1994</v>
      </c>
      <c r="AC213" s="9" t="s">
        <v>7365</v>
      </c>
      <c r="AD213" s="9" t="s">
        <v>7548</v>
      </c>
      <c r="AE213" t="str">
        <f t="shared" si="9"/>
        <v>Fast</v>
      </c>
      <c r="AF213">
        <f>IF($A213="","",IFERROR(VLOOKUP($B213,_CONFIG_Risk_Calibration!$A$5:$H$21,2,FALSE),3))</f>
        <v>3</v>
      </c>
      <c r="AG213">
        <f>IF($A213="","",IFERROR(VLOOKUP($B213,_CONFIG_Risk_Calibration!$A$5:$H$21,3,FALSE),0))</f>
        <v>0</v>
      </c>
      <c r="AH213">
        <f>IF($A213="","",IFERROR(VLOOKUP($B213,_CONFIG_Risk_Calibration!$A$5:$H$21,4,FALSE),3))</f>
        <v>3</v>
      </c>
      <c r="AI213">
        <f>IF($A213="","",IFERROR(VLOOKUP($B213,_CONFIG_Risk_Calibration!$A$5:$H$21,5,FALSE),3))</f>
        <v>4</v>
      </c>
      <c r="AJ213" t="str">
        <f>IF($A213="","",IFERROR(VLOOKUP($B213,_CONFIG_Risk_Calibration!$A$5:$H$21,6,FALSE),"No"))</f>
        <v>No</v>
      </c>
      <c r="AK213">
        <f>IF($A213="","",IFERROR(VLOOKUP($B213,_CONFIG_Risk_Calibration!$A$5:$H$21,7,FALSE),1))</f>
        <v>1</v>
      </c>
      <c r="AL213" t="str">
        <f>IF($A213="","",IFERROR(VLOOKUP($B213,_CONFIG_Risk_Calibration!$A$5:$H$21,8,FALSE),""))</f>
        <v>Clean template default. Calibrate with real exposure, incident history, evidence quality and domain-owner validation.</v>
      </c>
      <c r="AM213">
        <f>IF($A213="","",IFERROR(INDEX(_DATA_Assessment_Model!$AL$1:$AL$428,MATCH($A213,_DATA_Assessment_Model!$A$1:$A$428,0)),""))</f>
        <v>0</v>
      </c>
      <c r="AN213">
        <f t="shared" si="10"/>
        <v>1</v>
      </c>
      <c r="AO213">
        <f>IF($A213="","",_CONFIG_Model_Settings!$B$172*MAX(N($AK213),(N($AF213)+N($AI213))/2))</f>
        <v>70</v>
      </c>
      <c r="AP213">
        <f t="shared" si="11"/>
        <v>70</v>
      </c>
      <c r="AQ213">
        <f>IF($AP213="","",MAX(0,$AP213*(1-(_CONFIG_Model_Settings!$B$173+_CONFIG_Model_Settings!$B$174*(N($AH213)-1)))))</f>
        <v>45.5</v>
      </c>
      <c r="AR213">
        <f>IF($AP213="","",MIN(100,$AP213*(1+(_CONFIG_Model_Settings!$B$173+_CONFIG_Model_Settings!$B$174*(N($AH213)-1)))))</f>
        <v>94.5</v>
      </c>
    </row>
    <row r="214" spans="1:44" ht="84" customHeight="1">
      <c r="A214" s="9" t="s">
        <v>2062</v>
      </c>
      <c r="B214" s="9" t="s">
        <v>1987</v>
      </c>
      <c r="C214" s="9" t="s">
        <v>2002</v>
      </c>
      <c r="D214" s="9" t="s">
        <v>3687</v>
      </c>
      <c r="E214" s="9" t="s">
        <v>2063</v>
      </c>
      <c r="F214" s="9" t="s">
        <v>7549</v>
      </c>
      <c r="G214" s="9" t="s">
        <v>7550</v>
      </c>
      <c r="H214" s="9" t="s">
        <v>7551</v>
      </c>
      <c r="I214" s="9" t="s">
        <v>7552</v>
      </c>
      <c r="J214" s="9" t="s">
        <v>7553</v>
      </c>
      <c r="K214" s="9" t="s">
        <v>7554</v>
      </c>
      <c r="L214" s="9" t="s">
        <v>7555</v>
      </c>
      <c r="M214" s="9" t="s">
        <v>7556</v>
      </c>
      <c r="N214" s="9" t="s">
        <v>7557</v>
      </c>
      <c r="O214" s="9" t="s">
        <v>7558</v>
      </c>
      <c r="P214" s="9" t="s">
        <v>7559</v>
      </c>
      <c r="Q214" s="9" t="s">
        <v>7560</v>
      </c>
      <c r="R214" s="9" t="s">
        <v>4589</v>
      </c>
      <c r="S214" s="9" t="s">
        <v>7561</v>
      </c>
      <c r="T214" s="9">
        <v>4</v>
      </c>
      <c r="U214" s="9">
        <v>3</v>
      </c>
      <c r="V214" s="9">
        <v>3</v>
      </c>
      <c r="W214" s="9">
        <v>2</v>
      </c>
      <c r="X214" s="9">
        <v>1</v>
      </c>
      <c r="Y214" s="9">
        <v>1</v>
      </c>
      <c r="Z214" s="9" t="s">
        <v>1992</v>
      </c>
      <c r="AA214" s="9" t="s">
        <v>2064</v>
      </c>
      <c r="AB214" s="9" t="s">
        <v>1994</v>
      </c>
      <c r="AC214" s="9" t="s">
        <v>7365</v>
      </c>
      <c r="AD214" s="9" t="s">
        <v>7562</v>
      </c>
      <c r="AE214" t="str">
        <f t="shared" si="9"/>
        <v>Fast</v>
      </c>
      <c r="AF214">
        <f>IF($A214="","",IFERROR(VLOOKUP($B214,_CONFIG_Risk_Calibration!$A$5:$H$21,2,FALSE),3))</f>
        <v>3</v>
      </c>
      <c r="AG214">
        <f>IF($A214="","",IFERROR(VLOOKUP($B214,_CONFIG_Risk_Calibration!$A$5:$H$21,3,FALSE),0))</f>
        <v>0</v>
      </c>
      <c r="AH214">
        <f>IF($A214="","",IFERROR(VLOOKUP($B214,_CONFIG_Risk_Calibration!$A$5:$H$21,4,FALSE),3))</f>
        <v>3</v>
      </c>
      <c r="AI214">
        <f>IF($A214="","",IFERROR(VLOOKUP($B214,_CONFIG_Risk_Calibration!$A$5:$H$21,5,FALSE),3))</f>
        <v>4</v>
      </c>
      <c r="AJ214" t="str">
        <f>IF($A214="","",IFERROR(VLOOKUP($B214,_CONFIG_Risk_Calibration!$A$5:$H$21,6,FALSE),"No"))</f>
        <v>No</v>
      </c>
      <c r="AK214">
        <f>IF($A214="","",IFERROR(VLOOKUP($B214,_CONFIG_Risk_Calibration!$A$5:$H$21,7,FALSE),1))</f>
        <v>1</v>
      </c>
      <c r="AL214" t="str">
        <f>IF($A214="","",IFERROR(VLOOKUP($B214,_CONFIG_Risk_Calibration!$A$5:$H$21,8,FALSE),""))</f>
        <v>Clean template default. Calibrate with real exposure, incident history, evidence quality and domain-owner validation.</v>
      </c>
      <c r="AM214">
        <f>IF($A214="","",IFERROR(INDEX(_DATA_Assessment_Model!$AL$1:$AL$428,MATCH($A214,_DATA_Assessment_Model!$A$1:$A$428,0)),""))</f>
        <v>0</v>
      </c>
      <c r="AN214">
        <f t="shared" si="10"/>
        <v>1</v>
      </c>
      <c r="AO214">
        <f>IF($A214="","",_CONFIG_Model_Settings!$B$172*MAX(N($AK214),(N($AF214)+N($AI214))/2))</f>
        <v>70</v>
      </c>
      <c r="AP214">
        <f t="shared" si="11"/>
        <v>70</v>
      </c>
      <c r="AQ214">
        <f>IF($AP214="","",MAX(0,$AP214*(1-(_CONFIG_Model_Settings!$B$173+_CONFIG_Model_Settings!$B$174*(N($AH214)-1)))))</f>
        <v>45.5</v>
      </c>
      <c r="AR214">
        <f>IF($AP214="","",MIN(100,$AP214*(1+(_CONFIG_Model_Settings!$B$173+_CONFIG_Model_Settings!$B$174*(N($AH214)-1)))))</f>
        <v>94.5</v>
      </c>
    </row>
    <row r="215" spans="1:44" ht="84" customHeight="1">
      <c r="A215" s="9" t="s">
        <v>2071</v>
      </c>
      <c r="B215" s="9" t="s">
        <v>1987</v>
      </c>
      <c r="C215" s="9" t="s">
        <v>2002</v>
      </c>
      <c r="D215" s="9" t="s">
        <v>3687</v>
      </c>
      <c r="E215" s="9" t="s">
        <v>2072</v>
      </c>
      <c r="F215" s="9" t="s">
        <v>7563</v>
      </c>
      <c r="G215" s="9" t="s">
        <v>7564</v>
      </c>
      <c r="H215" s="9" t="s">
        <v>7565</v>
      </c>
      <c r="I215" s="9" t="s">
        <v>7566</v>
      </c>
      <c r="J215" s="9" t="s">
        <v>7567</v>
      </c>
      <c r="K215" s="9" t="s">
        <v>7568</v>
      </c>
      <c r="L215" s="9" t="s">
        <v>7569</v>
      </c>
      <c r="M215" s="9" t="s">
        <v>7570</v>
      </c>
      <c r="N215" s="9" t="s">
        <v>7571</v>
      </c>
      <c r="O215" s="9" t="s">
        <v>7572</v>
      </c>
      <c r="P215" s="9" t="s">
        <v>7573</v>
      </c>
      <c r="Q215" s="9" t="s">
        <v>7574</v>
      </c>
      <c r="R215" s="9" t="s">
        <v>4589</v>
      </c>
      <c r="S215" s="9" t="s">
        <v>7575</v>
      </c>
      <c r="T215" s="9">
        <v>4</v>
      </c>
      <c r="U215" s="9">
        <v>3</v>
      </c>
      <c r="V215" s="9">
        <v>3</v>
      </c>
      <c r="W215" s="9">
        <v>2</v>
      </c>
      <c r="X215" s="9">
        <v>1</v>
      </c>
      <c r="Y215" s="9">
        <v>1</v>
      </c>
      <c r="Z215" s="9" t="s">
        <v>1992</v>
      </c>
      <c r="AA215" s="9" t="s">
        <v>2073</v>
      </c>
      <c r="AB215" s="9" t="s">
        <v>1994</v>
      </c>
      <c r="AC215" s="9" t="s">
        <v>7365</v>
      </c>
      <c r="AD215" s="9" t="s">
        <v>7576</v>
      </c>
      <c r="AE215" t="str">
        <f t="shared" si="9"/>
        <v>Fast</v>
      </c>
      <c r="AF215">
        <f>IF($A215="","",IFERROR(VLOOKUP($B215,_CONFIG_Risk_Calibration!$A$5:$H$21,2,FALSE),3))</f>
        <v>3</v>
      </c>
      <c r="AG215">
        <f>IF($A215="","",IFERROR(VLOOKUP($B215,_CONFIG_Risk_Calibration!$A$5:$H$21,3,FALSE),0))</f>
        <v>0</v>
      </c>
      <c r="AH215">
        <f>IF($A215="","",IFERROR(VLOOKUP($B215,_CONFIG_Risk_Calibration!$A$5:$H$21,4,FALSE),3))</f>
        <v>3</v>
      </c>
      <c r="AI215">
        <f>IF($A215="","",IFERROR(VLOOKUP($B215,_CONFIG_Risk_Calibration!$A$5:$H$21,5,FALSE),3))</f>
        <v>4</v>
      </c>
      <c r="AJ215" t="str">
        <f>IF($A215="","",IFERROR(VLOOKUP($B215,_CONFIG_Risk_Calibration!$A$5:$H$21,6,FALSE),"No"))</f>
        <v>No</v>
      </c>
      <c r="AK215">
        <f>IF($A215="","",IFERROR(VLOOKUP($B215,_CONFIG_Risk_Calibration!$A$5:$H$21,7,FALSE),1))</f>
        <v>1</v>
      </c>
      <c r="AL215" t="str">
        <f>IF($A215="","",IFERROR(VLOOKUP($B215,_CONFIG_Risk_Calibration!$A$5:$H$21,8,FALSE),""))</f>
        <v>Clean template default. Calibrate with real exposure, incident history, evidence quality and domain-owner validation.</v>
      </c>
      <c r="AM215">
        <f>IF($A215="","",IFERROR(INDEX(_DATA_Assessment_Model!$AL$1:$AL$428,MATCH($A215,_DATA_Assessment_Model!$A$1:$A$428,0)),""))</f>
        <v>0</v>
      </c>
      <c r="AN215">
        <f t="shared" si="10"/>
        <v>1</v>
      </c>
      <c r="AO215">
        <f>IF($A215="","",_CONFIG_Model_Settings!$B$172*MAX(N($AK215),(N($AF215)+N($AI215))/2))</f>
        <v>70</v>
      </c>
      <c r="AP215">
        <f t="shared" si="11"/>
        <v>70</v>
      </c>
      <c r="AQ215">
        <f>IF($AP215="","",MAX(0,$AP215*(1-(_CONFIG_Model_Settings!$B$173+_CONFIG_Model_Settings!$B$174*(N($AH215)-1)))))</f>
        <v>45.5</v>
      </c>
      <c r="AR215">
        <f>IF($AP215="","",MIN(100,$AP215*(1+(_CONFIG_Model_Settings!$B$173+_CONFIG_Model_Settings!$B$174*(N($AH215)-1)))))</f>
        <v>94.5</v>
      </c>
    </row>
    <row r="216" spans="1:44" ht="72" customHeight="1">
      <c r="A216" s="9" t="s">
        <v>2074</v>
      </c>
      <c r="B216" s="9" t="s">
        <v>1987</v>
      </c>
      <c r="C216" s="9" t="s">
        <v>2002</v>
      </c>
      <c r="D216" s="9" t="s">
        <v>3687</v>
      </c>
      <c r="E216" s="9" t="s">
        <v>2075</v>
      </c>
      <c r="F216" s="9" t="s">
        <v>7577</v>
      </c>
      <c r="G216" s="9" t="s">
        <v>7578</v>
      </c>
      <c r="H216" s="9" t="s">
        <v>7579</v>
      </c>
      <c r="I216" s="9" t="s">
        <v>7580</v>
      </c>
      <c r="J216" s="9" t="s">
        <v>7581</v>
      </c>
      <c r="K216" s="9" t="s">
        <v>7582</v>
      </c>
      <c r="L216" s="9" t="s">
        <v>7583</v>
      </c>
      <c r="M216" s="9" t="s">
        <v>7584</v>
      </c>
      <c r="N216" s="9" t="s">
        <v>7585</v>
      </c>
      <c r="O216" s="9" t="s">
        <v>7586</v>
      </c>
      <c r="P216" s="9" t="s">
        <v>7587</v>
      </c>
      <c r="Q216" s="9" t="s">
        <v>7588</v>
      </c>
      <c r="R216" s="9" t="s">
        <v>4589</v>
      </c>
      <c r="S216" s="9" t="s">
        <v>7589</v>
      </c>
      <c r="T216" s="9">
        <v>4</v>
      </c>
      <c r="U216" s="9">
        <v>3</v>
      </c>
      <c r="V216" s="9">
        <v>3</v>
      </c>
      <c r="W216" s="9">
        <v>2</v>
      </c>
      <c r="X216" s="9">
        <v>1</v>
      </c>
      <c r="Y216" s="9">
        <v>1</v>
      </c>
      <c r="Z216" s="9" t="s">
        <v>1992</v>
      </c>
      <c r="AA216" s="9" t="s">
        <v>2076</v>
      </c>
      <c r="AB216" s="9" t="s">
        <v>1994</v>
      </c>
      <c r="AC216" s="9" t="s">
        <v>7365</v>
      </c>
      <c r="AD216" s="9" t="s">
        <v>7590</v>
      </c>
      <c r="AE216" t="str">
        <f t="shared" si="9"/>
        <v>Fast</v>
      </c>
      <c r="AF216">
        <f>IF($A216="","",IFERROR(VLOOKUP($B216,_CONFIG_Risk_Calibration!$A$5:$H$21,2,FALSE),3))</f>
        <v>3</v>
      </c>
      <c r="AG216">
        <f>IF($A216="","",IFERROR(VLOOKUP($B216,_CONFIG_Risk_Calibration!$A$5:$H$21,3,FALSE),0))</f>
        <v>0</v>
      </c>
      <c r="AH216">
        <f>IF($A216="","",IFERROR(VLOOKUP($B216,_CONFIG_Risk_Calibration!$A$5:$H$21,4,FALSE),3))</f>
        <v>3</v>
      </c>
      <c r="AI216">
        <f>IF($A216="","",IFERROR(VLOOKUP($B216,_CONFIG_Risk_Calibration!$A$5:$H$21,5,FALSE),3))</f>
        <v>4</v>
      </c>
      <c r="AJ216" t="str">
        <f>IF($A216="","",IFERROR(VLOOKUP($B216,_CONFIG_Risk_Calibration!$A$5:$H$21,6,FALSE),"No"))</f>
        <v>No</v>
      </c>
      <c r="AK216">
        <f>IF($A216="","",IFERROR(VLOOKUP($B216,_CONFIG_Risk_Calibration!$A$5:$H$21,7,FALSE),1))</f>
        <v>1</v>
      </c>
      <c r="AL216" t="str">
        <f>IF($A216="","",IFERROR(VLOOKUP($B216,_CONFIG_Risk_Calibration!$A$5:$H$21,8,FALSE),""))</f>
        <v>Clean template default. Calibrate with real exposure, incident history, evidence quality and domain-owner validation.</v>
      </c>
      <c r="AM216">
        <f>IF($A216="","",IFERROR(INDEX(_DATA_Assessment_Model!$AL$1:$AL$428,MATCH($A216,_DATA_Assessment_Model!$A$1:$A$428,0)),""))</f>
        <v>0</v>
      </c>
      <c r="AN216">
        <f t="shared" si="10"/>
        <v>1</v>
      </c>
      <c r="AO216">
        <f>IF($A216="","",_CONFIG_Model_Settings!$B$172*MAX(N($AK216),(N($AF216)+N($AI216))/2))</f>
        <v>70</v>
      </c>
      <c r="AP216">
        <f t="shared" si="11"/>
        <v>70</v>
      </c>
      <c r="AQ216">
        <f>IF($AP216="","",MAX(0,$AP216*(1-(_CONFIG_Model_Settings!$B$173+_CONFIG_Model_Settings!$B$174*(N($AH216)-1)))))</f>
        <v>45.5</v>
      </c>
      <c r="AR216">
        <f>IF($AP216="","",MIN(100,$AP216*(1+(_CONFIG_Model_Settings!$B$173+_CONFIG_Model_Settings!$B$174*(N($AH216)-1)))))</f>
        <v>94.5</v>
      </c>
    </row>
    <row r="217" spans="1:44" ht="72" customHeight="1">
      <c r="A217" s="9" t="s">
        <v>2077</v>
      </c>
      <c r="B217" s="9" t="s">
        <v>1987</v>
      </c>
      <c r="C217" s="9" t="s">
        <v>2002</v>
      </c>
      <c r="D217" s="9" t="s">
        <v>3687</v>
      </c>
      <c r="E217" s="9" t="s">
        <v>2078</v>
      </c>
      <c r="F217" s="9" t="s">
        <v>7591</v>
      </c>
      <c r="G217" s="9" t="s">
        <v>7592</v>
      </c>
      <c r="H217" s="9" t="s">
        <v>7593</v>
      </c>
      <c r="I217" s="9" t="s">
        <v>7594</v>
      </c>
      <c r="J217" s="9" t="s">
        <v>7595</v>
      </c>
      <c r="K217" s="9" t="s">
        <v>7596</v>
      </c>
      <c r="L217" s="9" t="s">
        <v>7597</v>
      </c>
      <c r="M217" s="9" t="s">
        <v>7598</v>
      </c>
      <c r="N217" s="9" t="s">
        <v>7599</v>
      </c>
      <c r="O217" s="9" t="s">
        <v>7600</v>
      </c>
      <c r="P217" s="9" t="s">
        <v>7601</v>
      </c>
      <c r="Q217" s="9" t="s">
        <v>7602</v>
      </c>
      <c r="R217" s="9" t="s">
        <v>4589</v>
      </c>
      <c r="S217" s="9" t="s">
        <v>7603</v>
      </c>
      <c r="T217" s="9">
        <v>4</v>
      </c>
      <c r="U217" s="9">
        <v>3</v>
      </c>
      <c r="V217" s="9">
        <v>3</v>
      </c>
      <c r="W217" s="9">
        <v>2</v>
      </c>
      <c r="X217" s="9">
        <v>1</v>
      </c>
      <c r="Y217" s="9">
        <v>1</v>
      </c>
      <c r="Z217" s="9" t="s">
        <v>1992</v>
      </c>
      <c r="AA217" s="9" t="s">
        <v>2079</v>
      </c>
      <c r="AB217" s="9" t="s">
        <v>1994</v>
      </c>
      <c r="AC217" s="9" t="s">
        <v>7365</v>
      </c>
      <c r="AD217" s="9" t="s">
        <v>7604</v>
      </c>
      <c r="AE217" t="str">
        <f t="shared" si="9"/>
        <v>Fast</v>
      </c>
      <c r="AF217">
        <f>IF($A217="","",IFERROR(VLOOKUP($B217,_CONFIG_Risk_Calibration!$A$5:$H$21,2,FALSE),3))</f>
        <v>3</v>
      </c>
      <c r="AG217">
        <f>IF($A217="","",IFERROR(VLOOKUP($B217,_CONFIG_Risk_Calibration!$A$5:$H$21,3,FALSE),0))</f>
        <v>0</v>
      </c>
      <c r="AH217">
        <f>IF($A217="","",IFERROR(VLOOKUP($B217,_CONFIG_Risk_Calibration!$A$5:$H$21,4,FALSE),3))</f>
        <v>3</v>
      </c>
      <c r="AI217">
        <f>IF($A217="","",IFERROR(VLOOKUP($B217,_CONFIG_Risk_Calibration!$A$5:$H$21,5,FALSE),3))</f>
        <v>4</v>
      </c>
      <c r="AJ217" t="str">
        <f>IF($A217="","",IFERROR(VLOOKUP($B217,_CONFIG_Risk_Calibration!$A$5:$H$21,6,FALSE),"No"))</f>
        <v>No</v>
      </c>
      <c r="AK217">
        <f>IF($A217="","",IFERROR(VLOOKUP($B217,_CONFIG_Risk_Calibration!$A$5:$H$21,7,FALSE),1))</f>
        <v>1</v>
      </c>
      <c r="AL217" t="str">
        <f>IF($A217="","",IFERROR(VLOOKUP($B217,_CONFIG_Risk_Calibration!$A$5:$H$21,8,FALSE),""))</f>
        <v>Clean template default. Calibrate with real exposure, incident history, evidence quality and domain-owner validation.</v>
      </c>
      <c r="AM217">
        <f>IF($A217="","",IFERROR(INDEX(_DATA_Assessment_Model!$AL$1:$AL$428,MATCH($A217,_DATA_Assessment_Model!$A$1:$A$428,0)),""))</f>
        <v>0</v>
      </c>
      <c r="AN217">
        <f t="shared" si="10"/>
        <v>1</v>
      </c>
      <c r="AO217">
        <f>IF($A217="","",_CONFIG_Model_Settings!$B$172*MAX(N($AK217),(N($AF217)+N($AI217))/2))</f>
        <v>70</v>
      </c>
      <c r="AP217">
        <f t="shared" si="11"/>
        <v>70</v>
      </c>
      <c r="AQ217">
        <f>IF($AP217="","",MAX(0,$AP217*(1-(_CONFIG_Model_Settings!$B$173+_CONFIG_Model_Settings!$B$174*(N($AH217)-1)))))</f>
        <v>45.5</v>
      </c>
      <c r="AR217">
        <f>IF($AP217="","",MIN(100,$AP217*(1+(_CONFIG_Model_Settings!$B$173+_CONFIG_Model_Settings!$B$174*(N($AH217)-1)))))</f>
        <v>94.5</v>
      </c>
    </row>
    <row r="218" spans="1:44" ht="72" customHeight="1">
      <c r="A218" s="9" t="s">
        <v>2080</v>
      </c>
      <c r="B218" s="9" t="s">
        <v>1987</v>
      </c>
      <c r="C218" s="9" t="s">
        <v>2002</v>
      </c>
      <c r="D218" s="9" t="s">
        <v>3687</v>
      </c>
      <c r="E218" s="9" t="s">
        <v>2081</v>
      </c>
      <c r="F218" s="9" t="s">
        <v>7605</v>
      </c>
      <c r="G218" s="9" t="s">
        <v>7606</v>
      </c>
      <c r="H218" s="9" t="s">
        <v>7607</v>
      </c>
      <c r="I218" s="9" t="s">
        <v>7608</v>
      </c>
      <c r="J218" s="9" t="s">
        <v>7609</v>
      </c>
      <c r="K218" s="9" t="s">
        <v>7610</v>
      </c>
      <c r="L218" s="9" t="s">
        <v>7611</v>
      </c>
      <c r="M218" s="9" t="s">
        <v>7612</v>
      </c>
      <c r="N218" s="9" t="s">
        <v>7613</v>
      </c>
      <c r="O218" s="9" t="s">
        <v>7614</v>
      </c>
      <c r="P218" s="9" t="s">
        <v>7615</v>
      </c>
      <c r="Q218" s="9" t="s">
        <v>7616</v>
      </c>
      <c r="R218" s="9" t="s">
        <v>4589</v>
      </c>
      <c r="S218" s="9" t="s">
        <v>7617</v>
      </c>
      <c r="T218" s="9">
        <v>4</v>
      </c>
      <c r="U218" s="9">
        <v>3</v>
      </c>
      <c r="V218" s="9">
        <v>3</v>
      </c>
      <c r="W218" s="9">
        <v>2</v>
      </c>
      <c r="X218" s="9">
        <v>1</v>
      </c>
      <c r="Y218" s="9">
        <v>1</v>
      </c>
      <c r="Z218" s="9" t="s">
        <v>1992</v>
      </c>
      <c r="AA218" s="9" t="s">
        <v>2082</v>
      </c>
      <c r="AB218" s="9" t="s">
        <v>1994</v>
      </c>
      <c r="AC218" s="9" t="s">
        <v>7365</v>
      </c>
      <c r="AD218" s="9" t="s">
        <v>7618</v>
      </c>
      <c r="AE218" t="str">
        <f t="shared" si="9"/>
        <v>Fast</v>
      </c>
      <c r="AF218">
        <f>IF($A218="","",IFERROR(VLOOKUP($B218,_CONFIG_Risk_Calibration!$A$5:$H$21,2,FALSE),3))</f>
        <v>3</v>
      </c>
      <c r="AG218">
        <f>IF($A218="","",IFERROR(VLOOKUP($B218,_CONFIG_Risk_Calibration!$A$5:$H$21,3,FALSE),0))</f>
        <v>0</v>
      </c>
      <c r="AH218">
        <f>IF($A218="","",IFERROR(VLOOKUP($B218,_CONFIG_Risk_Calibration!$A$5:$H$21,4,FALSE),3))</f>
        <v>3</v>
      </c>
      <c r="AI218">
        <f>IF($A218="","",IFERROR(VLOOKUP($B218,_CONFIG_Risk_Calibration!$A$5:$H$21,5,FALSE),3))</f>
        <v>4</v>
      </c>
      <c r="AJ218" t="str">
        <f>IF($A218="","",IFERROR(VLOOKUP($B218,_CONFIG_Risk_Calibration!$A$5:$H$21,6,FALSE),"No"))</f>
        <v>No</v>
      </c>
      <c r="AK218">
        <f>IF($A218="","",IFERROR(VLOOKUP($B218,_CONFIG_Risk_Calibration!$A$5:$H$21,7,FALSE),1))</f>
        <v>1</v>
      </c>
      <c r="AL218" t="str">
        <f>IF($A218="","",IFERROR(VLOOKUP($B218,_CONFIG_Risk_Calibration!$A$5:$H$21,8,FALSE),""))</f>
        <v>Clean template default. Calibrate with real exposure, incident history, evidence quality and domain-owner validation.</v>
      </c>
      <c r="AM218">
        <f>IF($A218="","",IFERROR(INDEX(_DATA_Assessment_Model!$AL$1:$AL$428,MATCH($A218,_DATA_Assessment_Model!$A$1:$A$428,0)),""))</f>
        <v>0</v>
      </c>
      <c r="AN218">
        <f t="shared" si="10"/>
        <v>1</v>
      </c>
      <c r="AO218">
        <f>IF($A218="","",_CONFIG_Model_Settings!$B$172*MAX(N($AK218),(N($AF218)+N($AI218))/2))</f>
        <v>70</v>
      </c>
      <c r="AP218">
        <f t="shared" si="11"/>
        <v>70</v>
      </c>
      <c r="AQ218">
        <f>IF($AP218="","",MAX(0,$AP218*(1-(_CONFIG_Model_Settings!$B$173+_CONFIG_Model_Settings!$B$174*(N($AH218)-1)))))</f>
        <v>45.5</v>
      </c>
      <c r="AR218">
        <f>IF($AP218="","",MIN(100,$AP218*(1+(_CONFIG_Model_Settings!$B$173+_CONFIG_Model_Settings!$B$174*(N($AH218)-1)))))</f>
        <v>94.5</v>
      </c>
    </row>
    <row r="219" spans="1:44" ht="72" customHeight="1">
      <c r="A219" s="9" t="s">
        <v>2083</v>
      </c>
      <c r="B219" s="9" t="s">
        <v>1987</v>
      </c>
      <c r="C219" s="9" t="s">
        <v>2006</v>
      </c>
      <c r="D219" s="9" t="s">
        <v>3687</v>
      </c>
      <c r="E219" s="9" t="s">
        <v>2084</v>
      </c>
      <c r="F219" s="9" t="s">
        <v>7619</v>
      </c>
      <c r="G219" s="9" t="s">
        <v>7620</v>
      </c>
      <c r="H219" s="9" t="s">
        <v>7621</v>
      </c>
      <c r="I219" s="9" t="s">
        <v>7622</v>
      </c>
      <c r="J219" s="9" t="s">
        <v>7623</v>
      </c>
      <c r="K219" s="9" t="s">
        <v>7624</v>
      </c>
      <c r="L219" s="9" t="s">
        <v>7625</v>
      </c>
      <c r="M219" s="9" t="s">
        <v>7626</v>
      </c>
      <c r="N219" s="9" t="s">
        <v>7627</v>
      </c>
      <c r="O219" s="9" t="s">
        <v>7628</v>
      </c>
      <c r="P219" s="9" t="s">
        <v>7629</v>
      </c>
      <c r="Q219" s="9" t="s">
        <v>7630</v>
      </c>
      <c r="R219" s="9" t="s">
        <v>4589</v>
      </c>
      <c r="S219" s="9" t="s">
        <v>7631</v>
      </c>
      <c r="T219" s="9">
        <v>4</v>
      </c>
      <c r="U219" s="9">
        <v>3</v>
      </c>
      <c r="V219" s="9">
        <v>3</v>
      </c>
      <c r="W219" s="9">
        <v>2</v>
      </c>
      <c r="X219" s="9">
        <v>1</v>
      </c>
      <c r="Y219" s="9">
        <v>1</v>
      </c>
      <c r="Z219" s="9" t="s">
        <v>1992</v>
      </c>
      <c r="AA219" s="9" t="s">
        <v>2085</v>
      </c>
      <c r="AB219" s="9" t="s">
        <v>1994</v>
      </c>
      <c r="AC219" s="9" t="s">
        <v>7365</v>
      </c>
      <c r="AD219" s="9" t="s">
        <v>7632</v>
      </c>
      <c r="AE219" t="str">
        <f t="shared" si="9"/>
        <v>Fast</v>
      </c>
      <c r="AF219">
        <f>IF($A219="","",IFERROR(VLOOKUP($B219,_CONFIG_Risk_Calibration!$A$5:$H$21,2,FALSE),3))</f>
        <v>3</v>
      </c>
      <c r="AG219">
        <f>IF($A219="","",IFERROR(VLOOKUP($B219,_CONFIG_Risk_Calibration!$A$5:$H$21,3,FALSE),0))</f>
        <v>0</v>
      </c>
      <c r="AH219">
        <f>IF($A219="","",IFERROR(VLOOKUP($B219,_CONFIG_Risk_Calibration!$A$5:$H$21,4,FALSE),3))</f>
        <v>3</v>
      </c>
      <c r="AI219">
        <f>IF($A219="","",IFERROR(VLOOKUP($B219,_CONFIG_Risk_Calibration!$A$5:$H$21,5,FALSE),3))</f>
        <v>4</v>
      </c>
      <c r="AJ219" t="str">
        <f>IF($A219="","",IFERROR(VLOOKUP($B219,_CONFIG_Risk_Calibration!$A$5:$H$21,6,FALSE),"No"))</f>
        <v>No</v>
      </c>
      <c r="AK219">
        <f>IF($A219="","",IFERROR(VLOOKUP($B219,_CONFIG_Risk_Calibration!$A$5:$H$21,7,FALSE),1))</f>
        <v>1</v>
      </c>
      <c r="AL219" t="str">
        <f>IF($A219="","",IFERROR(VLOOKUP($B219,_CONFIG_Risk_Calibration!$A$5:$H$21,8,FALSE),""))</f>
        <v>Clean template default. Calibrate with real exposure, incident history, evidence quality and domain-owner validation.</v>
      </c>
      <c r="AM219">
        <f>IF($A219="","",IFERROR(INDEX(_DATA_Assessment_Model!$AL$1:$AL$428,MATCH($A219,_DATA_Assessment_Model!$A$1:$A$428,0)),""))</f>
        <v>0</v>
      </c>
      <c r="AN219">
        <f t="shared" si="10"/>
        <v>1</v>
      </c>
      <c r="AO219">
        <f>IF($A219="","",_CONFIG_Model_Settings!$B$172*MAX(N($AK219),(N($AF219)+N($AI219))/2))</f>
        <v>70</v>
      </c>
      <c r="AP219">
        <f t="shared" si="11"/>
        <v>70</v>
      </c>
      <c r="AQ219">
        <f>IF($AP219="","",MAX(0,$AP219*(1-(_CONFIG_Model_Settings!$B$173+_CONFIG_Model_Settings!$B$174*(N($AH219)-1)))))</f>
        <v>45.5</v>
      </c>
      <c r="AR219">
        <f>IF($AP219="","",MIN(100,$AP219*(1+(_CONFIG_Model_Settings!$B$173+_CONFIG_Model_Settings!$B$174*(N($AH219)-1)))))</f>
        <v>94.5</v>
      </c>
    </row>
    <row r="220" spans="1:44" ht="84" customHeight="1">
      <c r="A220" s="9" t="s">
        <v>2086</v>
      </c>
      <c r="B220" s="9" t="s">
        <v>1987</v>
      </c>
      <c r="C220" s="9" t="s">
        <v>2006</v>
      </c>
      <c r="D220" s="9" t="s">
        <v>3687</v>
      </c>
      <c r="E220" s="9" t="s">
        <v>2087</v>
      </c>
      <c r="F220" s="9" t="s">
        <v>7633</v>
      </c>
      <c r="G220" s="9" t="s">
        <v>7634</v>
      </c>
      <c r="H220" s="9" t="s">
        <v>7635</v>
      </c>
      <c r="I220" s="9" t="s">
        <v>7636</v>
      </c>
      <c r="J220" s="9" t="s">
        <v>7637</v>
      </c>
      <c r="K220" s="9" t="s">
        <v>7638</v>
      </c>
      <c r="L220" s="9" t="s">
        <v>7639</v>
      </c>
      <c r="M220" s="9" t="s">
        <v>7640</v>
      </c>
      <c r="N220" s="9" t="s">
        <v>7641</v>
      </c>
      <c r="O220" s="9" t="s">
        <v>7642</v>
      </c>
      <c r="P220" s="9" t="s">
        <v>7643</v>
      </c>
      <c r="Q220" s="9" t="s">
        <v>7644</v>
      </c>
      <c r="R220" s="9" t="s">
        <v>4589</v>
      </c>
      <c r="S220" s="9" t="s">
        <v>7645</v>
      </c>
      <c r="T220" s="9">
        <v>4</v>
      </c>
      <c r="U220" s="9">
        <v>3</v>
      </c>
      <c r="V220" s="9">
        <v>3</v>
      </c>
      <c r="W220" s="9">
        <v>2</v>
      </c>
      <c r="X220" s="9">
        <v>1</v>
      </c>
      <c r="Y220" s="9">
        <v>1</v>
      </c>
      <c r="Z220" s="9" t="s">
        <v>1992</v>
      </c>
      <c r="AA220" s="9" t="s">
        <v>2088</v>
      </c>
      <c r="AB220" s="9" t="s">
        <v>1994</v>
      </c>
      <c r="AC220" s="9" t="s">
        <v>7365</v>
      </c>
      <c r="AD220" s="9" t="s">
        <v>7646</v>
      </c>
      <c r="AE220" t="str">
        <f t="shared" si="9"/>
        <v>Fast</v>
      </c>
      <c r="AF220">
        <f>IF($A220="","",IFERROR(VLOOKUP($B220,_CONFIG_Risk_Calibration!$A$5:$H$21,2,FALSE),3))</f>
        <v>3</v>
      </c>
      <c r="AG220">
        <f>IF($A220="","",IFERROR(VLOOKUP($B220,_CONFIG_Risk_Calibration!$A$5:$H$21,3,FALSE),0))</f>
        <v>0</v>
      </c>
      <c r="AH220">
        <f>IF($A220="","",IFERROR(VLOOKUP($B220,_CONFIG_Risk_Calibration!$A$5:$H$21,4,FALSE),3))</f>
        <v>3</v>
      </c>
      <c r="AI220">
        <f>IF($A220="","",IFERROR(VLOOKUP($B220,_CONFIG_Risk_Calibration!$A$5:$H$21,5,FALSE),3))</f>
        <v>4</v>
      </c>
      <c r="AJ220" t="str">
        <f>IF($A220="","",IFERROR(VLOOKUP($B220,_CONFIG_Risk_Calibration!$A$5:$H$21,6,FALSE),"No"))</f>
        <v>No</v>
      </c>
      <c r="AK220">
        <f>IF($A220="","",IFERROR(VLOOKUP($B220,_CONFIG_Risk_Calibration!$A$5:$H$21,7,FALSE),1))</f>
        <v>1</v>
      </c>
      <c r="AL220" t="str">
        <f>IF($A220="","",IFERROR(VLOOKUP($B220,_CONFIG_Risk_Calibration!$A$5:$H$21,8,FALSE),""))</f>
        <v>Clean template default. Calibrate with real exposure, incident history, evidence quality and domain-owner validation.</v>
      </c>
      <c r="AM220">
        <f>IF($A220="","",IFERROR(INDEX(_DATA_Assessment_Model!$AL$1:$AL$428,MATCH($A220,_DATA_Assessment_Model!$A$1:$A$428,0)),""))</f>
        <v>0</v>
      </c>
      <c r="AN220">
        <f t="shared" si="10"/>
        <v>1</v>
      </c>
      <c r="AO220">
        <f>IF($A220="","",_CONFIG_Model_Settings!$B$172*MAX(N($AK220),(N($AF220)+N($AI220))/2))</f>
        <v>70</v>
      </c>
      <c r="AP220">
        <f t="shared" si="11"/>
        <v>70</v>
      </c>
      <c r="AQ220">
        <f>IF($AP220="","",MAX(0,$AP220*(1-(_CONFIG_Model_Settings!$B$173+_CONFIG_Model_Settings!$B$174*(N($AH220)-1)))))</f>
        <v>45.5</v>
      </c>
      <c r="AR220">
        <f>IF($AP220="","",MIN(100,$AP220*(1+(_CONFIG_Model_Settings!$B$173+_CONFIG_Model_Settings!$B$174*(N($AH220)-1)))))</f>
        <v>94.5</v>
      </c>
    </row>
    <row r="221" spans="1:44" ht="72" customHeight="1">
      <c r="A221" s="9" t="s">
        <v>2089</v>
      </c>
      <c r="B221" s="9" t="s">
        <v>1987</v>
      </c>
      <c r="C221" s="9" t="s">
        <v>2006</v>
      </c>
      <c r="D221" s="9" t="s">
        <v>3687</v>
      </c>
      <c r="E221" s="9" t="s">
        <v>2090</v>
      </c>
      <c r="F221" s="9" t="s">
        <v>7647</v>
      </c>
      <c r="G221" s="9" t="s">
        <v>7648</v>
      </c>
      <c r="H221" s="9" t="s">
        <v>7649</v>
      </c>
      <c r="I221" s="9" t="s">
        <v>7650</v>
      </c>
      <c r="J221" s="9" t="s">
        <v>7651</v>
      </c>
      <c r="K221" s="9" t="s">
        <v>7652</v>
      </c>
      <c r="L221" s="9" t="s">
        <v>7653</v>
      </c>
      <c r="M221" s="9" t="s">
        <v>7654</v>
      </c>
      <c r="N221" s="9" t="s">
        <v>7655</v>
      </c>
      <c r="O221" s="9" t="s">
        <v>7656</v>
      </c>
      <c r="P221" s="9" t="s">
        <v>7657</v>
      </c>
      <c r="Q221" s="9" t="s">
        <v>7658</v>
      </c>
      <c r="R221" s="9" t="s">
        <v>4589</v>
      </c>
      <c r="S221" s="9" t="s">
        <v>7659</v>
      </c>
      <c r="T221" s="9">
        <v>4</v>
      </c>
      <c r="U221" s="9">
        <v>3</v>
      </c>
      <c r="V221" s="9">
        <v>3</v>
      </c>
      <c r="W221" s="9">
        <v>2</v>
      </c>
      <c r="X221" s="9">
        <v>1</v>
      </c>
      <c r="Y221" s="9">
        <v>1</v>
      </c>
      <c r="Z221" s="9" t="s">
        <v>1992</v>
      </c>
      <c r="AA221" s="9" t="s">
        <v>2091</v>
      </c>
      <c r="AB221" s="9" t="s">
        <v>1994</v>
      </c>
      <c r="AC221" s="9" t="s">
        <v>7365</v>
      </c>
      <c r="AD221" s="9" t="s">
        <v>7660</v>
      </c>
      <c r="AE221" t="str">
        <f t="shared" si="9"/>
        <v>Fast</v>
      </c>
      <c r="AF221">
        <f>IF($A221="","",IFERROR(VLOOKUP($B221,_CONFIG_Risk_Calibration!$A$5:$H$21,2,FALSE),3))</f>
        <v>3</v>
      </c>
      <c r="AG221">
        <f>IF($A221="","",IFERROR(VLOOKUP($B221,_CONFIG_Risk_Calibration!$A$5:$H$21,3,FALSE),0))</f>
        <v>0</v>
      </c>
      <c r="AH221">
        <f>IF($A221="","",IFERROR(VLOOKUP($B221,_CONFIG_Risk_Calibration!$A$5:$H$21,4,FALSE),3))</f>
        <v>3</v>
      </c>
      <c r="AI221">
        <f>IF($A221="","",IFERROR(VLOOKUP($B221,_CONFIG_Risk_Calibration!$A$5:$H$21,5,FALSE),3))</f>
        <v>4</v>
      </c>
      <c r="AJ221" t="str">
        <f>IF($A221="","",IFERROR(VLOOKUP($B221,_CONFIG_Risk_Calibration!$A$5:$H$21,6,FALSE),"No"))</f>
        <v>No</v>
      </c>
      <c r="AK221">
        <f>IF($A221="","",IFERROR(VLOOKUP($B221,_CONFIG_Risk_Calibration!$A$5:$H$21,7,FALSE),1))</f>
        <v>1</v>
      </c>
      <c r="AL221" t="str">
        <f>IF($A221="","",IFERROR(VLOOKUP($B221,_CONFIG_Risk_Calibration!$A$5:$H$21,8,FALSE),""))</f>
        <v>Clean template default. Calibrate with real exposure, incident history, evidence quality and domain-owner validation.</v>
      </c>
      <c r="AM221">
        <f>IF($A221="","",IFERROR(INDEX(_DATA_Assessment_Model!$AL$1:$AL$428,MATCH($A221,_DATA_Assessment_Model!$A$1:$A$428,0)),""))</f>
        <v>0</v>
      </c>
      <c r="AN221">
        <f t="shared" si="10"/>
        <v>1</v>
      </c>
      <c r="AO221">
        <f>IF($A221="","",_CONFIG_Model_Settings!$B$172*MAX(N($AK221),(N($AF221)+N($AI221))/2))</f>
        <v>70</v>
      </c>
      <c r="AP221">
        <f t="shared" si="11"/>
        <v>70</v>
      </c>
      <c r="AQ221">
        <f>IF($AP221="","",MAX(0,$AP221*(1-(_CONFIG_Model_Settings!$B$173+_CONFIG_Model_Settings!$B$174*(N($AH221)-1)))))</f>
        <v>45.5</v>
      </c>
      <c r="AR221">
        <f>IF($AP221="","",MIN(100,$AP221*(1+(_CONFIG_Model_Settings!$B$173+_CONFIG_Model_Settings!$B$174*(N($AH221)-1)))))</f>
        <v>94.5</v>
      </c>
    </row>
    <row r="222" spans="1:44" ht="72" customHeight="1">
      <c r="A222" s="9" t="s">
        <v>2098</v>
      </c>
      <c r="B222" s="9" t="s">
        <v>1987</v>
      </c>
      <c r="C222" s="9" t="s">
        <v>2006</v>
      </c>
      <c r="D222" s="9" t="s">
        <v>3687</v>
      </c>
      <c r="E222" s="9" t="s">
        <v>2099</v>
      </c>
      <c r="F222" s="9" t="s">
        <v>7661</v>
      </c>
      <c r="G222" s="9" t="s">
        <v>7662</v>
      </c>
      <c r="H222" s="9" t="s">
        <v>7663</v>
      </c>
      <c r="I222" s="9" t="s">
        <v>7664</v>
      </c>
      <c r="J222" s="9" t="s">
        <v>7665</v>
      </c>
      <c r="K222" s="9" t="s">
        <v>7666</v>
      </c>
      <c r="L222" s="9" t="s">
        <v>7667</v>
      </c>
      <c r="M222" s="9" t="s">
        <v>7668</v>
      </c>
      <c r="N222" s="9" t="s">
        <v>7669</v>
      </c>
      <c r="O222" s="9" t="s">
        <v>7670</v>
      </c>
      <c r="P222" s="9" t="s">
        <v>7671</v>
      </c>
      <c r="Q222" s="9" t="s">
        <v>7672</v>
      </c>
      <c r="R222" s="9" t="s">
        <v>4589</v>
      </c>
      <c r="S222" s="9" t="s">
        <v>7673</v>
      </c>
      <c r="T222" s="9">
        <v>4</v>
      </c>
      <c r="U222" s="9">
        <v>3</v>
      </c>
      <c r="V222" s="9">
        <v>3</v>
      </c>
      <c r="W222" s="9">
        <v>2</v>
      </c>
      <c r="X222" s="9">
        <v>1</v>
      </c>
      <c r="Y222" s="9">
        <v>1</v>
      </c>
      <c r="Z222" s="9" t="s">
        <v>1992</v>
      </c>
      <c r="AA222" s="9" t="s">
        <v>2100</v>
      </c>
      <c r="AB222" s="9" t="s">
        <v>1994</v>
      </c>
      <c r="AC222" s="9" t="s">
        <v>7365</v>
      </c>
      <c r="AD222" s="9" t="s">
        <v>7674</v>
      </c>
      <c r="AE222" t="str">
        <f t="shared" si="9"/>
        <v>Fast</v>
      </c>
      <c r="AF222">
        <f>IF($A222="","",IFERROR(VLOOKUP($B222,_CONFIG_Risk_Calibration!$A$5:$H$21,2,FALSE),3))</f>
        <v>3</v>
      </c>
      <c r="AG222">
        <f>IF($A222="","",IFERROR(VLOOKUP($B222,_CONFIG_Risk_Calibration!$A$5:$H$21,3,FALSE),0))</f>
        <v>0</v>
      </c>
      <c r="AH222">
        <f>IF($A222="","",IFERROR(VLOOKUP($B222,_CONFIG_Risk_Calibration!$A$5:$H$21,4,FALSE),3))</f>
        <v>3</v>
      </c>
      <c r="AI222">
        <f>IF($A222="","",IFERROR(VLOOKUP($B222,_CONFIG_Risk_Calibration!$A$5:$H$21,5,FALSE),3))</f>
        <v>4</v>
      </c>
      <c r="AJ222" t="str">
        <f>IF($A222="","",IFERROR(VLOOKUP($B222,_CONFIG_Risk_Calibration!$A$5:$H$21,6,FALSE),"No"))</f>
        <v>No</v>
      </c>
      <c r="AK222">
        <f>IF($A222="","",IFERROR(VLOOKUP($B222,_CONFIG_Risk_Calibration!$A$5:$H$21,7,FALSE),1))</f>
        <v>1</v>
      </c>
      <c r="AL222" t="str">
        <f>IF($A222="","",IFERROR(VLOOKUP($B222,_CONFIG_Risk_Calibration!$A$5:$H$21,8,FALSE),""))</f>
        <v>Clean template default. Calibrate with real exposure, incident history, evidence quality and domain-owner validation.</v>
      </c>
      <c r="AM222">
        <f>IF($A222="","",IFERROR(INDEX(_DATA_Assessment_Model!$AL$1:$AL$428,MATCH($A222,_DATA_Assessment_Model!$A$1:$A$428,0)),""))</f>
        <v>0</v>
      </c>
      <c r="AN222">
        <f t="shared" si="10"/>
        <v>1</v>
      </c>
      <c r="AO222">
        <f>IF($A222="","",_CONFIG_Model_Settings!$B$172*MAX(N($AK222),(N($AF222)+N($AI222))/2))</f>
        <v>70</v>
      </c>
      <c r="AP222">
        <f t="shared" si="11"/>
        <v>70</v>
      </c>
      <c r="AQ222">
        <f>IF($AP222="","",MAX(0,$AP222*(1-(_CONFIG_Model_Settings!$B$173+_CONFIG_Model_Settings!$B$174*(N($AH222)-1)))))</f>
        <v>45.5</v>
      </c>
      <c r="AR222">
        <f>IF($AP222="","",MIN(100,$AP222*(1+(_CONFIG_Model_Settings!$B$173+_CONFIG_Model_Settings!$B$174*(N($AH222)-1)))))</f>
        <v>94.5</v>
      </c>
    </row>
    <row r="223" spans="1:44" ht="72" customHeight="1">
      <c r="A223" s="9" t="s">
        <v>2107</v>
      </c>
      <c r="B223" s="9" t="s">
        <v>1987</v>
      </c>
      <c r="C223" s="9" t="s">
        <v>2006</v>
      </c>
      <c r="D223" s="9" t="s">
        <v>3687</v>
      </c>
      <c r="E223" s="9" t="s">
        <v>2108</v>
      </c>
      <c r="F223" s="9" t="s">
        <v>7675</v>
      </c>
      <c r="G223" s="9" t="s">
        <v>7676</v>
      </c>
      <c r="H223" s="9" t="s">
        <v>7677</v>
      </c>
      <c r="I223" s="9" t="s">
        <v>7678</v>
      </c>
      <c r="J223" s="9" t="s">
        <v>7679</v>
      </c>
      <c r="K223" s="9" t="s">
        <v>7680</v>
      </c>
      <c r="L223" s="9" t="s">
        <v>7681</v>
      </c>
      <c r="M223" s="9" t="s">
        <v>7682</v>
      </c>
      <c r="N223" s="9" t="s">
        <v>7683</v>
      </c>
      <c r="O223" s="9" t="s">
        <v>7684</v>
      </c>
      <c r="P223" s="9" t="s">
        <v>7685</v>
      </c>
      <c r="Q223" s="9" t="s">
        <v>7686</v>
      </c>
      <c r="R223" s="9" t="s">
        <v>4589</v>
      </c>
      <c r="S223" s="9" t="s">
        <v>7687</v>
      </c>
      <c r="T223" s="9">
        <v>4</v>
      </c>
      <c r="U223" s="9">
        <v>3</v>
      </c>
      <c r="V223" s="9">
        <v>3</v>
      </c>
      <c r="W223" s="9">
        <v>2</v>
      </c>
      <c r="X223" s="9">
        <v>1</v>
      </c>
      <c r="Y223" s="9">
        <v>1</v>
      </c>
      <c r="Z223" s="9" t="s">
        <v>1992</v>
      </c>
      <c r="AA223" s="9" t="s">
        <v>2109</v>
      </c>
      <c r="AB223" s="9" t="s">
        <v>1994</v>
      </c>
      <c r="AC223" s="9" t="s">
        <v>7365</v>
      </c>
      <c r="AD223" s="9" t="s">
        <v>7688</v>
      </c>
      <c r="AE223" t="str">
        <f t="shared" si="9"/>
        <v>Fast</v>
      </c>
      <c r="AF223">
        <f>IF($A223="","",IFERROR(VLOOKUP($B223,_CONFIG_Risk_Calibration!$A$5:$H$21,2,FALSE),3))</f>
        <v>3</v>
      </c>
      <c r="AG223">
        <f>IF($A223="","",IFERROR(VLOOKUP($B223,_CONFIG_Risk_Calibration!$A$5:$H$21,3,FALSE),0))</f>
        <v>0</v>
      </c>
      <c r="AH223">
        <f>IF($A223="","",IFERROR(VLOOKUP($B223,_CONFIG_Risk_Calibration!$A$5:$H$21,4,FALSE),3))</f>
        <v>3</v>
      </c>
      <c r="AI223">
        <f>IF($A223="","",IFERROR(VLOOKUP($B223,_CONFIG_Risk_Calibration!$A$5:$H$21,5,FALSE),3))</f>
        <v>4</v>
      </c>
      <c r="AJ223" t="str">
        <f>IF($A223="","",IFERROR(VLOOKUP($B223,_CONFIG_Risk_Calibration!$A$5:$H$21,6,FALSE),"No"))</f>
        <v>No</v>
      </c>
      <c r="AK223">
        <f>IF($A223="","",IFERROR(VLOOKUP($B223,_CONFIG_Risk_Calibration!$A$5:$H$21,7,FALSE),1))</f>
        <v>1</v>
      </c>
      <c r="AL223" t="str">
        <f>IF($A223="","",IFERROR(VLOOKUP($B223,_CONFIG_Risk_Calibration!$A$5:$H$21,8,FALSE),""))</f>
        <v>Clean template default. Calibrate with real exposure, incident history, evidence quality and domain-owner validation.</v>
      </c>
      <c r="AM223">
        <f>IF($A223="","",IFERROR(INDEX(_DATA_Assessment_Model!$AL$1:$AL$428,MATCH($A223,_DATA_Assessment_Model!$A$1:$A$428,0)),""))</f>
        <v>0</v>
      </c>
      <c r="AN223">
        <f t="shared" si="10"/>
        <v>1</v>
      </c>
      <c r="AO223">
        <f>IF($A223="","",_CONFIG_Model_Settings!$B$172*MAX(N($AK223),(N($AF223)+N($AI223))/2))</f>
        <v>70</v>
      </c>
      <c r="AP223">
        <f t="shared" si="11"/>
        <v>70</v>
      </c>
      <c r="AQ223">
        <f>IF($AP223="","",MAX(0,$AP223*(1-(_CONFIG_Model_Settings!$B$173+_CONFIG_Model_Settings!$B$174*(N($AH223)-1)))))</f>
        <v>45.5</v>
      </c>
      <c r="AR223">
        <f>IF($AP223="","",MIN(100,$AP223*(1+(_CONFIG_Model_Settings!$B$173+_CONFIG_Model_Settings!$B$174*(N($AH223)-1)))))</f>
        <v>94.5</v>
      </c>
    </row>
    <row r="224" spans="1:44" ht="72" customHeight="1">
      <c r="A224" s="9" t="s">
        <v>2110</v>
      </c>
      <c r="B224" s="9" t="s">
        <v>1987</v>
      </c>
      <c r="C224" s="9" t="s">
        <v>2006</v>
      </c>
      <c r="D224" s="9" t="s">
        <v>3687</v>
      </c>
      <c r="E224" s="9" t="s">
        <v>2111</v>
      </c>
      <c r="F224" s="9" t="s">
        <v>7689</v>
      </c>
      <c r="G224" s="9" t="s">
        <v>7690</v>
      </c>
      <c r="H224" s="9" t="s">
        <v>7691</v>
      </c>
      <c r="I224" s="9" t="s">
        <v>7692</v>
      </c>
      <c r="J224" s="9" t="s">
        <v>7693</v>
      </c>
      <c r="K224" s="9" t="s">
        <v>7694</v>
      </c>
      <c r="L224" s="9" t="s">
        <v>7695</v>
      </c>
      <c r="M224" s="9" t="s">
        <v>7696</v>
      </c>
      <c r="N224" s="9" t="s">
        <v>7697</v>
      </c>
      <c r="O224" s="9" t="s">
        <v>7698</v>
      </c>
      <c r="P224" s="9" t="s">
        <v>7699</v>
      </c>
      <c r="Q224" s="9" t="s">
        <v>7700</v>
      </c>
      <c r="R224" s="9" t="s">
        <v>4589</v>
      </c>
      <c r="S224" s="9" t="s">
        <v>7701</v>
      </c>
      <c r="T224" s="9">
        <v>4</v>
      </c>
      <c r="U224" s="9">
        <v>3</v>
      </c>
      <c r="V224" s="9">
        <v>3</v>
      </c>
      <c r="W224" s="9">
        <v>2</v>
      </c>
      <c r="X224" s="9">
        <v>1</v>
      </c>
      <c r="Y224" s="9">
        <v>1</v>
      </c>
      <c r="Z224" s="9" t="s">
        <v>1992</v>
      </c>
      <c r="AA224" s="9" t="s">
        <v>2112</v>
      </c>
      <c r="AB224" s="9" t="s">
        <v>1994</v>
      </c>
      <c r="AC224" s="9" t="s">
        <v>7365</v>
      </c>
      <c r="AD224" s="9" t="s">
        <v>7702</v>
      </c>
      <c r="AE224" t="str">
        <f t="shared" si="9"/>
        <v>Fast</v>
      </c>
      <c r="AF224">
        <f>IF($A224="","",IFERROR(VLOOKUP($B224,_CONFIG_Risk_Calibration!$A$5:$H$21,2,FALSE),3))</f>
        <v>3</v>
      </c>
      <c r="AG224">
        <f>IF($A224="","",IFERROR(VLOOKUP($B224,_CONFIG_Risk_Calibration!$A$5:$H$21,3,FALSE),0))</f>
        <v>0</v>
      </c>
      <c r="AH224">
        <f>IF($A224="","",IFERROR(VLOOKUP($B224,_CONFIG_Risk_Calibration!$A$5:$H$21,4,FALSE),3))</f>
        <v>3</v>
      </c>
      <c r="AI224">
        <f>IF($A224="","",IFERROR(VLOOKUP($B224,_CONFIG_Risk_Calibration!$A$5:$H$21,5,FALSE),3))</f>
        <v>4</v>
      </c>
      <c r="AJ224" t="str">
        <f>IF($A224="","",IFERROR(VLOOKUP($B224,_CONFIG_Risk_Calibration!$A$5:$H$21,6,FALSE),"No"))</f>
        <v>No</v>
      </c>
      <c r="AK224">
        <f>IF($A224="","",IFERROR(VLOOKUP($B224,_CONFIG_Risk_Calibration!$A$5:$H$21,7,FALSE),1))</f>
        <v>1</v>
      </c>
      <c r="AL224" t="str">
        <f>IF($A224="","",IFERROR(VLOOKUP($B224,_CONFIG_Risk_Calibration!$A$5:$H$21,8,FALSE),""))</f>
        <v>Clean template default. Calibrate with real exposure, incident history, evidence quality and domain-owner validation.</v>
      </c>
      <c r="AM224">
        <f>IF($A224="","",IFERROR(INDEX(_DATA_Assessment_Model!$AL$1:$AL$428,MATCH($A224,_DATA_Assessment_Model!$A$1:$A$428,0)),""))</f>
        <v>0</v>
      </c>
      <c r="AN224">
        <f t="shared" si="10"/>
        <v>1</v>
      </c>
      <c r="AO224">
        <f>IF($A224="","",_CONFIG_Model_Settings!$B$172*MAX(N($AK224),(N($AF224)+N($AI224))/2))</f>
        <v>70</v>
      </c>
      <c r="AP224">
        <f t="shared" si="11"/>
        <v>70</v>
      </c>
      <c r="AQ224">
        <f>IF($AP224="","",MAX(0,$AP224*(1-(_CONFIG_Model_Settings!$B$173+_CONFIG_Model_Settings!$B$174*(N($AH224)-1)))))</f>
        <v>45.5</v>
      </c>
      <c r="AR224">
        <f>IF($AP224="","",MIN(100,$AP224*(1+(_CONFIG_Model_Settings!$B$173+_CONFIG_Model_Settings!$B$174*(N($AH224)-1)))))</f>
        <v>94.5</v>
      </c>
    </row>
    <row r="225" spans="1:44" ht="72" customHeight="1">
      <c r="A225" s="9" t="s">
        <v>2113</v>
      </c>
      <c r="B225" s="9" t="s">
        <v>1987</v>
      </c>
      <c r="C225" s="9" t="s">
        <v>2010</v>
      </c>
      <c r="D225" s="9" t="s">
        <v>7703</v>
      </c>
      <c r="E225" s="9" t="s">
        <v>2114</v>
      </c>
      <c r="F225" s="9" t="s">
        <v>7704</v>
      </c>
      <c r="G225" s="9" t="s">
        <v>7705</v>
      </c>
      <c r="H225" s="9" t="s">
        <v>7706</v>
      </c>
      <c r="I225" s="9" t="s">
        <v>7707</v>
      </c>
      <c r="J225" s="9" t="s">
        <v>7708</v>
      </c>
      <c r="K225" s="9" t="s">
        <v>7709</v>
      </c>
      <c r="L225" s="9" t="s">
        <v>7710</v>
      </c>
      <c r="M225" s="9" t="s">
        <v>7711</v>
      </c>
      <c r="N225" s="9" t="s">
        <v>7712</v>
      </c>
      <c r="O225" s="9" t="s">
        <v>7713</v>
      </c>
      <c r="P225" s="9" t="s">
        <v>7714</v>
      </c>
      <c r="Q225" s="9" t="s">
        <v>7715</v>
      </c>
      <c r="R225" s="9" t="s">
        <v>4589</v>
      </c>
      <c r="S225" s="9" t="s">
        <v>7716</v>
      </c>
      <c r="T225" s="9">
        <v>3</v>
      </c>
      <c r="U225" s="9">
        <v>3</v>
      </c>
      <c r="V225" s="9">
        <v>2</v>
      </c>
      <c r="W225" s="9">
        <v>2</v>
      </c>
      <c r="X225" s="9">
        <v>1</v>
      </c>
      <c r="Y225" s="9">
        <v>1</v>
      </c>
      <c r="Z225" s="9" t="s">
        <v>2116</v>
      </c>
      <c r="AA225" s="9" t="s">
        <v>7717</v>
      </c>
      <c r="AB225" s="9" t="s">
        <v>2123</v>
      </c>
      <c r="AC225" s="9" t="s">
        <v>7718</v>
      </c>
      <c r="AD225" s="9" t="s">
        <v>7719</v>
      </c>
      <c r="AE225" t="str">
        <f t="shared" si="9"/>
        <v>Medium</v>
      </c>
      <c r="AF225">
        <f>IF($A225="","",IFERROR(VLOOKUP($B225,_CONFIG_Risk_Calibration!$A$5:$H$21,2,FALSE),3))</f>
        <v>3</v>
      </c>
      <c r="AG225">
        <f>IF($A225="","",IFERROR(VLOOKUP($B225,_CONFIG_Risk_Calibration!$A$5:$H$21,3,FALSE),0))</f>
        <v>0</v>
      </c>
      <c r="AH225">
        <f>IF($A225="","",IFERROR(VLOOKUP($B225,_CONFIG_Risk_Calibration!$A$5:$H$21,4,FALSE),3))</f>
        <v>3</v>
      </c>
      <c r="AI225">
        <f>IF($A225="","",IFERROR(VLOOKUP($B225,_CONFIG_Risk_Calibration!$A$5:$H$21,5,FALSE),3))</f>
        <v>4</v>
      </c>
      <c r="AJ225" t="str">
        <f>IF($A225="","",IFERROR(VLOOKUP($B225,_CONFIG_Risk_Calibration!$A$5:$H$21,6,FALSE),"No"))</f>
        <v>No</v>
      </c>
      <c r="AK225">
        <f>IF($A225="","",IFERROR(VLOOKUP($B225,_CONFIG_Risk_Calibration!$A$5:$H$21,7,FALSE),1))</f>
        <v>1</v>
      </c>
      <c r="AL225" t="str">
        <f>IF($A225="","",IFERROR(VLOOKUP($B225,_CONFIG_Risk_Calibration!$A$5:$H$21,8,FALSE),""))</f>
        <v>Clean template default. Calibrate with real exposure, incident history, evidence quality and domain-owner validation.</v>
      </c>
      <c r="AM225">
        <f>IF($A225="","",IFERROR(INDEX(_DATA_Assessment_Model!$AL$1:$AL$428,MATCH($A225,_DATA_Assessment_Model!$A$1:$A$428,0)),""))</f>
        <v>0</v>
      </c>
      <c r="AN225">
        <f t="shared" si="10"/>
        <v>1</v>
      </c>
      <c r="AO225">
        <f>IF($A225="","",_CONFIG_Model_Settings!$B$172*MAX(N($AK225),(N($AF225)+N($AI225))/2))</f>
        <v>70</v>
      </c>
      <c r="AP225">
        <f t="shared" si="11"/>
        <v>70</v>
      </c>
      <c r="AQ225">
        <f>IF($AP225="","",MAX(0,$AP225*(1-(_CONFIG_Model_Settings!$B$173+_CONFIG_Model_Settings!$B$174*(N($AH225)-1)))))</f>
        <v>45.5</v>
      </c>
      <c r="AR225">
        <f>IF($AP225="","",MIN(100,$AP225*(1+(_CONFIG_Model_Settings!$B$173+_CONFIG_Model_Settings!$B$174*(N($AH225)-1)))))</f>
        <v>94.5</v>
      </c>
    </row>
    <row r="226" spans="1:44" ht="84" customHeight="1">
      <c r="A226" s="9" t="s">
        <v>2124</v>
      </c>
      <c r="B226" s="9" t="s">
        <v>1987</v>
      </c>
      <c r="C226" s="9" t="s">
        <v>2010</v>
      </c>
      <c r="D226" s="9" t="s">
        <v>7703</v>
      </c>
      <c r="E226" s="9" t="s">
        <v>2125</v>
      </c>
      <c r="F226" s="9" t="s">
        <v>7720</v>
      </c>
      <c r="G226" s="9" t="s">
        <v>7721</v>
      </c>
      <c r="H226" s="9" t="s">
        <v>7722</v>
      </c>
      <c r="I226" s="9" t="s">
        <v>7723</v>
      </c>
      <c r="J226" s="9" t="s">
        <v>7724</v>
      </c>
      <c r="K226" s="9" t="s">
        <v>7725</v>
      </c>
      <c r="L226" s="9" t="s">
        <v>7726</v>
      </c>
      <c r="M226" s="9" t="s">
        <v>7727</v>
      </c>
      <c r="N226" s="9" t="s">
        <v>7728</v>
      </c>
      <c r="O226" s="9" t="s">
        <v>7729</v>
      </c>
      <c r="P226" s="9" t="s">
        <v>7730</v>
      </c>
      <c r="Q226" s="9" t="s">
        <v>7731</v>
      </c>
      <c r="R226" s="9" t="s">
        <v>4589</v>
      </c>
      <c r="S226" s="9" t="s">
        <v>7732</v>
      </c>
      <c r="T226" s="9">
        <v>3</v>
      </c>
      <c r="U226" s="9">
        <v>3</v>
      </c>
      <c r="V226" s="9">
        <v>3</v>
      </c>
      <c r="W226" s="9">
        <v>2</v>
      </c>
      <c r="X226" s="9">
        <v>2</v>
      </c>
      <c r="Y226" s="9">
        <v>1</v>
      </c>
      <c r="Z226" s="9" t="s">
        <v>2127</v>
      </c>
      <c r="AA226" s="9" t="s">
        <v>7733</v>
      </c>
      <c r="AB226" s="9" t="s">
        <v>2128</v>
      </c>
      <c r="AC226" s="9" t="s">
        <v>7734</v>
      </c>
      <c r="AD226" s="9" t="s">
        <v>7735</v>
      </c>
      <c r="AE226" t="str">
        <f t="shared" si="9"/>
        <v>Medium</v>
      </c>
      <c r="AF226">
        <f>IF($A226="","",IFERROR(VLOOKUP($B226,_CONFIG_Risk_Calibration!$A$5:$H$21,2,FALSE),3))</f>
        <v>3</v>
      </c>
      <c r="AG226">
        <f>IF($A226="","",IFERROR(VLOOKUP($B226,_CONFIG_Risk_Calibration!$A$5:$H$21,3,FALSE),0))</f>
        <v>0</v>
      </c>
      <c r="AH226">
        <f>IF($A226="","",IFERROR(VLOOKUP($B226,_CONFIG_Risk_Calibration!$A$5:$H$21,4,FALSE),3))</f>
        <v>3</v>
      </c>
      <c r="AI226">
        <f>IF($A226="","",IFERROR(VLOOKUP($B226,_CONFIG_Risk_Calibration!$A$5:$H$21,5,FALSE),3))</f>
        <v>4</v>
      </c>
      <c r="AJ226" t="str">
        <f>IF($A226="","",IFERROR(VLOOKUP($B226,_CONFIG_Risk_Calibration!$A$5:$H$21,6,FALSE),"No"))</f>
        <v>No</v>
      </c>
      <c r="AK226">
        <f>IF($A226="","",IFERROR(VLOOKUP($B226,_CONFIG_Risk_Calibration!$A$5:$H$21,7,FALSE),1))</f>
        <v>1</v>
      </c>
      <c r="AL226" t="str">
        <f>IF($A226="","",IFERROR(VLOOKUP($B226,_CONFIG_Risk_Calibration!$A$5:$H$21,8,FALSE),""))</f>
        <v>Clean template default. Calibrate with real exposure, incident history, evidence quality and domain-owner validation.</v>
      </c>
      <c r="AM226">
        <f>IF($A226="","",IFERROR(INDEX(_DATA_Assessment_Model!$AL$1:$AL$428,MATCH($A226,_DATA_Assessment_Model!$A$1:$A$428,0)),""))</f>
        <v>0</v>
      </c>
      <c r="AN226">
        <f t="shared" si="10"/>
        <v>1</v>
      </c>
      <c r="AO226">
        <f>IF($A226="","",_CONFIG_Model_Settings!$B$172*MAX(N($AK226),(N($AF226)+N($AI226))/2))</f>
        <v>70</v>
      </c>
      <c r="AP226">
        <f t="shared" si="11"/>
        <v>70</v>
      </c>
      <c r="AQ226">
        <f>IF($AP226="","",MAX(0,$AP226*(1-(_CONFIG_Model_Settings!$B$173+_CONFIG_Model_Settings!$B$174*(N($AH226)-1)))))</f>
        <v>45.5</v>
      </c>
      <c r="AR226">
        <f>IF($AP226="","",MIN(100,$AP226*(1+(_CONFIG_Model_Settings!$B$173+_CONFIG_Model_Settings!$B$174*(N($AH226)-1)))))</f>
        <v>94.5</v>
      </c>
    </row>
    <row r="227" spans="1:44" ht="72" customHeight="1">
      <c r="A227" s="9" t="s">
        <v>2129</v>
      </c>
      <c r="B227" s="9" t="s">
        <v>1987</v>
      </c>
      <c r="C227" s="9" t="s">
        <v>2010</v>
      </c>
      <c r="D227" s="9" t="s">
        <v>7703</v>
      </c>
      <c r="E227" s="9" t="s">
        <v>2130</v>
      </c>
      <c r="F227" s="9" t="s">
        <v>7736</v>
      </c>
      <c r="G227" s="9" t="s">
        <v>7737</v>
      </c>
      <c r="H227" s="9" t="s">
        <v>7738</v>
      </c>
      <c r="I227" s="9" t="s">
        <v>7739</v>
      </c>
      <c r="J227" s="9" t="s">
        <v>7740</v>
      </c>
      <c r="K227" s="9" t="s">
        <v>7741</v>
      </c>
      <c r="L227" s="9" t="s">
        <v>7742</v>
      </c>
      <c r="M227" s="9" t="s">
        <v>7743</v>
      </c>
      <c r="N227" s="9" t="s">
        <v>7744</v>
      </c>
      <c r="O227" s="9" t="s">
        <v>7745</v>
      </c>
      <c r="P227" s="9" t="s">
        <v>7746</v>
      </c>
      <c r="Q227" s="9" t="s">
        <v>7747</v>
      </c>
      <c r="R227" s="9" t="s">
        <v>4589</v>
      </c>
      <c r="S227" s="9" t="s">
        <v>7748</v>
      </c>
      <c r="T227" s="9">
        <v>3</v>
      </c>
      <c r="U227" s="9">
        <v>2</v>
      </c>
      <c r="V227" s="9">
        <v>2</v>
      </c>
      <c r="W227" s="9">
        <v>2</v>
      </c>
      <c r="X227" s="9">
        <v>1</v>
      </c>
      <c r="Y227" s="9">
        <v>1</v>
      </c>
      <c r="Z227" s="9" t="s">
        <v>2132</v>
      </c>
      <c r="AA227" s="9" t="s">
        <v>7749</v>
      </c>
      <c r="AB227" s="9" t="s">
        <v>2139</v>
      </c>
      <c r="AC227" s="9" t="s">
        <v>7750</v>
      </c>
      <c r="AD227" s="9" t="s">
        <v>7751</v>
      </c>
      <c r="AE227" t="str">
        <f t="shared" si="9"/>
        <v>Medium</v>
      </c>
      <c r="AF227">
        <f>IF($A227="","",IFERROR(VLOOKUP($B227,_CONFIG_Risk_Calibration!$A$5:$H$21,2,FALSE),3))</f>
        <v>3</v>
      </c>
      <c r="AG227">
        <f>IF($A227="","",IFERROR(VLOOKUP($B227,_CONFIG_Risk_Calibration!$A$5:$H$21,3,FALSE),0))</f>
        <v>0</v>
      </c>
      <c r="AH227">
        <f>IF($A227="","",IFERROR(VLOOKUP($B227,_CONFIG_Risk_Calibration!$A$5:$H$21,4,FALSE),3))</f>
        <v>3</v>
      </c>
      <c r="AI227">
        <f>IF($A227="","",IFERROR(VLOOKUP($B227,_CONFIG_Risk_Calibration!$A$5:$H$21,5,FALSE),3))</f>
        <v>4</v>
      </c>
      <c r="AJ227" t="str">
        <f>IF($A227="","",IFERROR(VLOOKUP($B227,_CONFIG_Risk_Calibration!$A$5:$H$21,6,FALSE),"No"))</f>
        <v>No</v>
      </c>
      <c r="AK227">
        <f>IF($A227="","",IFERROR(VLOOKUP($B227,_CONFIG_Risk_Calibration!$A$5:$H$21,7,FALSE),1))</f>
        <v>1</v>
      </c>
      <c r="AL227" t="str">
        <f>IF($A227="","",IFERROR(VLOOKUP($B227,_CONFIG_Risk_Calibration!$A$5:$H$21,8,FALSE),""))</f>
        <v>Clean template default. Calibrate with real exposure, incident history, evidence quality and domain-owner validation.</v>
      </c>
      <c r="AM227">
        <f>IF($A227="","",IFERROR(INDEX(_DATA_Assessment_Model!$AL$1:$AL$428,MATCH($A227,_DATA_Assessment_Model!$A$1:$A$428,0)),""))</f>
        <v>0</v>
      </c>
      <c r="AN227">
        <f t="shared" si="10"/>
        <v>1</v>
      </c>
      <c r="AO227">
        <f>IF($A227="","",_CONFIG_Model_Settings!$B$172*MAX(N($AK227),(N($AF227)+N($AI227))/2))</f>
        <v>70</v>
      </c>
      <c r="AP227">
        <f t="shared" si="11"/>
        <v>70</v>
      </c>
      <c r="AQ227">
        <f>IF($AP227="","",MAX(0,$AP227*(1-(_CONFIG_Model_Settings!$B$173+_CONFIG_Model_Settings!$B$174*(N($AH227)-1)))))</f>
        <v>45.5</v>
      </c>
      <c r="AR227">
        <f>IF($AP227="","",MIN(100,$AP227*(1+(_CONFIG_Model_Settings!$B$173+_CONFIG_Model_Settings!$B$174*(N($AH227)-1)))))</f>
        <v>94.5</v>
      </c>
    </row>
    <row r="228" spans="1:44" ht="84" customHeight="1">
      <c r="A228" s="9" t="s">
        <v>2140</v>
      </c>
      <c r="B228" s="9" t="s">
        <v>1987</v>
      </c>
      <c r="C228" s="9" t="s">
        <v>2010</v>
      </c>
      <c r="D228" s="9" t="s">
        <v>7703</v>
      </c>
      <c r="E228" s="9" t="s">
        <v>2141</v>
      </c>
      <c r="F228" s="9" t="s">
        <v>7752</v>
      </c>
      <c r="G228" s="9" t="s">
        <v>7753</v>
      </c>
      <c r="H228" s="9" t="s">
        <v>7754</v>
      </c>
      <c r="I228" s="9" t="s">
        <v>7755</v>
      </c>
      <c r="J228" s="9" t="s">
        <v>7756</v>
      </c>
      <c r="K228" s="9" t="s">
        <v>7757</v>
      </c>
      <c r="L228" s="9" t="s">
        <v>7758</v>
      </c>
      <c r="M228" s="9" t="s">
        <v>7759</v>
      </c>
      <c r="N228" s="9" t="s">
        <v>7760</v>
      </c>
      <c r="O228" s="9" t="s">
        <v>7761</v>
      </c>
      <c r="P228" s="9" t="s">
        <v>7762</v>
      </c>
      <c r="Q228" s="9" t="s">
        <v>7763</v>
      </c>
      <c r="R228" s="9" t="s">
        <v>4589</v>
      </c>
      <c r="S228" s="9" t="s">
        <v>7764</v>
      </c>
      <c r="T228" s="9">
        <v>3</v>
      </c>
      <c r="U228" s="9">
        <v>3</v>
      </c>
      <c r="V228" s="9">
        <v>3</v>
      </c>
      <c r="W228" s="9">
        <v>2</v>
      </c>
      <c r="X228" s="9">
        <v>2</v>
      </c>
      <c r="Y228" s="9">
        <v>1</v>
      </c>
      <c r="Z228" s="9" t="s">
        <v>2143</v>
      </c>
      <c r="AA228" s="9" t="s">
        <v>7765</v>
      </c>
      <c r="AB228" s="9" t="s">
        <v>2144</v>
      </c>
      <c r="AC228" s="9" t="s">
        <v>7718</v>
      </c>
      <c r="AD228" s="9" t="s">
        <v>7766</v>
      </c>
      <c r="AE228" t="str">
        <f t="shared" si="9"/>
        <v>Medium</v>
      </c>
      <c r="AF228">
        <f>IF($A228="","",IFERROR(VLOOKUP($B228,_CONFIG_Risk_Calibration!$A$5:$H$21,2,FALSE),3))</f>
        <v>3</v>
      </c>
      <c r="AG228">
        <f>IF($A228="","",IFERROR(VLOOKUP($B228,_CONFIG_Risk_Calibration!$A$5:$H$21,3,FALSE),0))</f>
        <v>0</v>
      </c>
      <c r="AH228">
        <f>IF($A228="","",IFERROR(VLOOKUP($B228,_CONFIG_Risk_Calibration!$A$5:$H$21,4,FALSE),3))</f>
        <v>3</v>
      </c>
      <c r="AI228">
        <f>IF($A228="","",IFERROR(VLOOKUP($B228,_CONFIG_Risk_Calibration!$A$5:$H$21,5,FALSE),3))</f>
        <v>4</v>
      </c>
      <c r="AJ228" t="str">
        <f>IF($A228="","",IFERROR(VLOOKUP($B228,_CONFIG_Risk_Calibration!$A$5:$H$21,6,FALSE),"No"))</f>
        <v>No</v>
      </c>
      <c r="AK228">
        <f>IF($A228="","",IFERROR(VLOOKUP($B228,_CONFIG_Risk_Calibration!$A$5:$H$21,7,FALSE),1))</f>
        <v>1</v>
      </c>
      <c r="AL228" t="str">
        <f>IF($A228="","",IFERROR(VLOOKUP($B228,_CONFIG_Risk_Calibration!$A$5:$H$21,8,FALSE),""))</f>
        <v>Clean template default. Calibrate with real exposure, incident history, evidence quality and domain-owner validation.</v>
      </c>
      <c r="AM228">
        <f>IF($A228="","",IFERROR(INDEX(_DATA_Assessment_Model!$AL$1:$AL$428,MATCH($A228,_DATA_Assessment_Model!$A$1:$A$428,0)),""))</f>
        <v>0</v>
      </c>
      <c r="AN228">
        <f t="shared" si="10"/>
        <v>1</v>
      </c>
      <c r="AO228">
        <f>IF($A228="","",_CONFIG_Model_Settings!$B$172*MAX(N($AK228),(N($AF228)+N($AI228))/2))</f>
        <v>70</v>
      </c>
      <c r="AP228">
        <f t="shared" si="11"/>
        <v>70</v>
      </c>
      <c r="AQ228">
        <f>IF($AP228="","",MAX(0,$AP228*(1-(_CONFIG_Model_Settings!$B$173+_CONFIG_Model_Settings!$B$174*(N($AH228)-1)))))</f>
        <v>45.5</v>
      </c>
      <c r="AR228">
        <f>IF($AP228="","",MIN(100,$AP228*(1+(_CONFIG_Model_Settings!$B$173+_CONFIG_Model_Settings!$B$174*(N($AH228)-1)))))</f>
        <v>94.5</v>
      </c>
    </row>
    <row r="229" spans="1:44" ht="72" customHeight="1">
      <c r="A229" s="9" t="s">
        <v>2146</v>
      </c>
      <c r="B229" s="9" t="s">
        <v>2145</v>
      </c>
      <c r="C229" s="9" t="s">
        <v>2147</v>
      </c>
      <c r="D229" s="9" t="s">
        <v>3688</v>
      </c>
      <c r="E229" s="9" t="s">
        <v>2148</v>
      </c>
      <c r="F229" s="9" t="s">
        <v>7767</v>
      </c>
      <c r="G229" s="9" t="s">
        <v>7768</v>
      </c>
      <c r="H229" s="9" t="s">
        <v>7769</v>
      </c>
      <c r="I229" s="9" t="s">
        <v>7770</v>
      </c>
      <c r="J229" s="9" t="s">
        <v>7771</v>
      </c>
      <c r="K229" s="9" t="s">
        <v>7772</v>
      </c>
      <c r="L229" s="9" t="s">
        <v>7773</v>
      </c>
      <c r="M229" s="9" t="s">
        <v>7774</v>
      </c>
      <c r="N229" s="9" t="s">
        <v>7775</v>
      </c>
      <c r="O229" s="9" t="s">
        <v>7776</v>
      </c>
      <c r="P229" s="9" t="s">
        <v>7777</v>
      </c>
      <c r="Q229" s="9" t="s">
        <v>7778</v>
      </c>
      <c r="R229" s="9" t="s">
        <v>4589</v>
      </c>
      <c r="S229" s="9" t="s">
        <v>7779</v>
      </c>
      <c r="T229" s="9">
        <v>4</v>
      </c>
      <c r="U229" s="9">
        <v>3</v>
      </c>
      <c r="V229" s="9">
        <v>3</v>
      </c>
      <c r="W229" s="9">
        <v>2</v>
      </c>
      <c r="X229" s="9">
        <v>1</v>
      </c>
      <c r="Y229" s="9">
        <v>1</v>
      </c>
      <c r="Z229" s="9" t="s">
        <v>2150</v>
      </c>
      <c r="AA229" s="9" t="s">
        <v>2151</v>
      </c>
      <c r="AB229" s="9" t="s">
        <v>2152</v>
      </c>
      <c r="AC229" s="9" t="s">
        <v>7780</v>
      </c>
      <c r="AD229" s="9" t="s">
        <v>7781</v>
      </c>
      <c r="AE229" t="str">
        <f t="shared" si="9"/>
        <v>Fast</v>
      </c>
      <c r="AF229">
        <f>IF($A229="","",IFERROR(VLOOKUP($B229,_CONFIG_Risk_Calibration!$A$5:$H$21,2,FALSE),3))</f>
        <v>3</v>
      </c>
      <c r="AG229">
        <f>IF($A229="","",IFERROR(VLOOKUP($B229,_CONFIG_Risk_Calibration!$A$5:$H$21,3,FALSE),0))</f>
        <v>0</v>
      </c>
      <c r="AH229">
        <f>IF($A229="","",IFERROR(VLOOKUP($B229,_CONFIG_Risk_Calibration!$A$5:$H$21,4,FALSE),3))</f>
        <v>3</v>
      </c>
      <c r="AI229">
        <f>IF($A229="","",IFERROR(VLOOKUP($B229,_CONFIG_Risk_Calibration!$A$5:$H$21,5,FALSE),3))</f>
        <v>4</v>
      </c>
      <c r="AJ229" t="str">
        <f>IF($A229="","",IFERROR(VLOOKUP($B229,_CONFIG_Risk_Calibration!$A$5:$H$21,6,FALSE),"No"))</f>
        <v>No</v>
      </c>
      <c r="AK229">
        <f>IF($A229="","",IFERROR(VLOOKUP($B229,_CONFIG_Risk_Calibration!$A$5:$H$21,7,FALSE),1))</f>
        <v>1</v>
      </c>
      <c r="AL229" t="str">
        <f>IF($A229="","",IFERROR(VLOOKUP($B229,_CONFIG_Risk_Calibration!$A$5:$H$21,8,FALSE),""))</f>
        <v>Clean template default. Calibrate with real exposure, incident history, evidence quality and domain-owner validation.</v>
      </c>
      <c r="AM229">
        <f>IF($A229="","",IFERROR(INDEX(_DATA_Assessment_Model!$AL$1:$AL$428,MATCH($A229,_DATA_Assessment_Model!$A$1:$A$428,0)),""))</f>
        <v>0</v>
      </c>
      <c r="AN229">
        <f t="shared" si="10"/>
        <v>1</v>
      </c>
      <c r="AO229">
        <f>IF($A229="","",_CONFIG_Model_Settings!$B$172*MAX(N($AK229),(N($AF229)+N($AI229))/2))</f>
        <v>70</v>
      </c>
      <c r="AP229">
        <f t="shared" si="11"/>
        <v>70</v>
      </c>
      <c r="AQ229">
        <f>IF($AP229="","",MAX(0,$AP229*(1-(_CONFIG_Model_Settings!$B$173+_CONFIG_Model_Settings!$B$174*(N($AH229)-1)))))</f>
        <v>45.5</v>
      </c>
      <c r="AR229">
        <f>IF($AP229="","",MIN(100,$AP229*(1+(_CONFIG_Model_Settings!$B$173+_CONFIG_Model_Settings!$B$174*(N($AH229)-1)))))</f>
        <v>94.5</v>
      </c>
    </row>
    <row r="230" spans="1:44" ht="84" customHeight="1">
      <c r="A230" s="9" t="s">
        <v>2153</v>
      </c>
      <c r="B230" s="9" t="s">
        <v>2145</v>
      </c>
      <c r="C230" s="9" t="s">
        <v>2147</v>
      </c>
      <c r="D230" s="9" t="s">
        <v>3688</v>
      </c>
      <c r="E230" s="9" t="s">
        <v>2154</v>
      </c>
      <c r="F230" s="9" t="s">
        <v>7782</v>
      </c>
      <c r="G230" s="9" t="s">
        <v>7783</v>
      </c>
      <c r="H230" s="9" t="s">
        <v>7784</v>
      </c>
      <c r="I230" s="9" t="s">
        <v>7785</v>
      </c>
      <c r="J230" s="9" t="s">
        <v>7786</v>
      </c>
      <c r="K230" s="9" t="s">
        <v>7787</v>
      </c>
      <c r="L230" s="9" t="s">
        <v>7788</v>
      </c>
      <c r="M230" s="9" t="s">
        <v>7789</v>
      </c>
      <c r="N230" s="9" t="s">
        <v>7790</v>
      </c>
      <c r="O230" s="9" t="s">
        <v>7791</v>
      </c>
      <c r="P230" s="9" t="s">
        <v>7792</v>
      </c>
      <c r="Q230" s="9" t="s">
        <v>7793</v>
      </c>
      <c r="R230" s="9" t="s">
        <v>4589</v>
      </c>
      <c r="S230" s="9" t="s">
        <v>7794</v>
      </c>
      <c r="T230" s="9">
        <v>4</v>
      </c>
      <c r="U230" s="9">
        <v>3</v>
      </c>
      <c r="V230" s="9">
        <v>3</v>
      </c>
      <c r="W230" s="9">
        <v>2</v>
      </c>
      <c r="X230" s="9">
        <v>1</v>
      </c>
      <c r="Y230" s="9">
        <v>1</v>
      </c>
      <c r="Z230" s="9" t="s">
        <v>2150</v>
      </c>
      <c r="AA230" s="9" t="s">
        <v>2155</v>
      </c>
      <c r="AB230" s="9" t="s">
        <v>2152</v>
      </c>
      <c r="AC230" s="9" t="s">
        <v>7780</v>
      </c>
      <c r="AD230" s="9" t="s">
        <v>7795</v>
      </c>
      <c r="AE230" t="str">
        <f t="shared" si="9"/>
        <v>Fast</v>
      </c>
      <c r="AF230">
        <f>IF($A230="","",IFERROR(VLOOKUP($B230,_CONFIG_Risk_Calibration!$A$5:$H$21,2,FALSE),3))</f>
        <v>3</v>
      </c>
      <c r="AG230">
        <f>IF($A230="","",IFERROR(VLOOKUP($B230,_CONFIG_Risk_Calibration!$A$5:$H$21,3,FALSE),0))</f>
        <v>0</v>
      </c>
      <c r="AH230">
        <f>IF($A230="","",IFERROR(VLOOKUP($B230,_CONFIG_Risk_Calibration!$A$5:$H$21,4,FALSE),3))</f>
        <v>3</v>
      </c>
      <c r="AI230">
        <f>IF($A230="","",IFERROR(VLOOKUP($B230,_CONFIG_Risk_Calibration!$A$5:$H$21,5,FALSE),3))</f>
        <v>4</v>
      </c>
      <c r="AJ230" t="str">
        <f>IF($A230="","",IFERROR(VLOOKUP($B230,_CONFIG_Risk_Calibration!$A$5:$H$21,6,FALSE),"No"))</f>
        <v>No</v>
      </c>
      <c r="AK230">
        <f>IF($A230="","",IFERROR(VLOOKUP($B230,_CONFIG_Risk_Calibration!$A$5:$H$21,7,FALSE),1))</f>
        <v>1</v>
      </c>
      <c r="AL230" t="str">
        <f>IF($A230="","",IFERROR(VLOOKUP($B230,_CONFIG_Risk_Calibration!$A$5:$H$21,8,FALSE),""))</f>
        <v>Clean template default. Calibrate with real exposure, incident history, evidence quality and domain-owner validation.</v>
      </c>
      <c r="AM230">
        <f>IF($A230="","",IFERROR(INDEX(_DATA_Assessment_Model!$AL$1:$AL$428,MATCH($A230,_DATA_Assessment_Model!$A$1:$A$428,0)),""))</f>
        <v>0</v>
      </c>
      <c r="AN230">
        <f t="shared" si="10"/>
        <v>1</v>
      </c>
      <c r="AO230">
        <f>IF($A230="","",_CONFIG_Model_Settings!$B$172*MAX(N($AK230),(N($AF230)+N($AI230))/2))</f>
        <v>70</v>
      </c>
      <c r="AP230">
        <f t="shared" si="11"/>
        <v>70</v>
      </c>
      <c r="AQ230">
        <f>IF($AP230="","",MAX(0,$AP230*(1-(_CONFIG_Model_Settings!$B$173+_CONFIG_Model_Settings!$B$174*(N($AH230)-1)))))</f>
        <v>45.5</v>
      </c>
      <c r="AR230">
        <f>IF($AP230="","",MIN(100,$AP230*(1+(_CONFIG_Model_Settings!$B$173+_CONFIG_Model_Settings!$B$174*(N($AH230)-1)))))</f>
        <v>94.5</v>
      </c>
    </row>
    <row r="231" spans="1:44" ht="72" customHeight="1">
      <c r="A231" s="9" t="s">
        <v>2157</v>
      </c>
      <c r="B231" s="9" t="s">
        <v>2145</v>
      </c>
      <c r="C231" s="9" t="s">
        <v>2147</v>
      </c>
      <c r="D231" s="9" t="s">
        <v>3688</v>
      </c>
      <c r="E231" s="9" t="s">
        <v>2158</v>
      </c>
      <c r="F231" s="9" t="s">
        <v>7796</v>
      </c>
      <c r="G231" s="9" t="s">
        <v>7797</v>
      </c>
      <c r="H231" s="9" t="s">
        <v>7798</v>
      </c>
      <c r="I231" s="9" t="s">
        <v>7799</v>
      </c>
      <c r="J231" s="9" t="s">
        <v>7800</v>
      </c>
      <c r="K231" s="9" t="s">
        <v>7801</v>
      </c>
      <c r="L231" s="9" t="s">
        <v>7802</v>
      </c>
      <c r="M231" s="9" t="s">
        <v>7803</v>
      </c>
      <c r="N231" s="9" t="s">
        <v>7804</v>
      </c>
      <c r="O231" s="9" t="s">
        <v>7805</v>
      </c>
      <c r="P231" s="9" t="s">
        <v>7806</v>
      </c>
      <c r="Q231" s="9" t="s">
        <v>7807</v>
      </c>
      <c r="R231" s="9" t="s">
        <v>4589</v>
      </c>
      <c r="S231" s="9" t="s">
        <v>7808</v>
      </c>
      <c r="T231" s="9">
        <v>4</v>
      </c>
      <c r="U231" s="9">
        <v>3</v>
      </c>
      <c r="V231" s="9">
        <v>3</v>
      </c>
      <c r="W231" s="9">
        <v>2</v>
      </c>
      <c r="X231" s="9">
        <v>1</v>
      </c>
      <c r="Y231" s="9">
        <v>1</v>
      </c>
      <c r="Z231" s="9" t="s">
        <v>2150</v>
      </c>
      <c r="AA231" s="9" t="s">
        <v>2159</v>
      </c>
      <c r="AB231" s="9" t="s">
        <v>2152</v>
      </c>
      <c r="AC231" s="9" t="s">
        <v>7780</v>
      </c>
      <c r="AD231" s="9" t="s">
        <v>7809</v>
      </c>
      <c r="AE231" t="str">
        <f t="shared" si="9"/>
        <v>Fast</v>
      </c>
      <c r="AF231">
        <f>IF($A231="","",IFERROR(VLOOKUP($B231,_CONFIG_Risk_Calibration!$A$5:$H$21,2,FALSE),3))</f>
        <v>3</v>
      </c>
      <c r="AG231">
        <f>IF($A231="","",IFERROR(VLOOKUP($B231,_CONFIG_Risk_Calibration!$A$5:$H$21,3,FALSE),0))</f>
        <v>0</v>
      </c>
      <c r="AH231">
        <f>IF($A231="","",IFERROR(VLOOKUP($B231,_CONFIG_Risk_Calibration!$A$5:$H$21,4,FALSE),3))</f>
        <v>3</v>
      </c>
      <c r="AI231">
        <f>IF($A231="","",IFERROR(VLOOKUP($B231,_CONFIG_Risk_Calibration!$A$5:$H$21,5,FALSE),3))</f>
        <v>4</v>
      </c>
      <c r="AJ231" t="str">
        <f>IF($A231="","",IFERROR(VLOOKUP($B231,_CONFIG_Risk_Calibration!$A$5:$H$21,6,FALSE),"No"))</f>
        <v>No</v>
      </c>
      <c r="AK231">
        <f>IF($A231="","",IFERROR(VLOOKUP($B231,_CONFIG_Risk_Calibration!$A$5:$H$21,7,FALSE),1))</f>
        <v>1</v>
      </c>
      <c r="AL231" t="str">
        <f>IF($A231="","",IFERROR(VLOOKUP($B231,_CONFIG_Risk_Calibration!$A$5:$H$21,8,FALSE),""))</f>
        <v>Clean template default. Calibrate with real exposure, incident history, evidence quality and domain-owner validation.</v>
      </c>
      <c r="AM231">
        <f>IF($A231="","",IFERROR(INDEX(_DATA_Assessment_Model!$AL$1:$AL$428,MATCH($A231,_DATA_Assessment_Model!$A$1:$A$428,0)),""))</f>
        <v>0</v>
      </c>
      <c r="AN231">
        <f t="shared" si="10"/>
        <v>1</v>
      </c>
      <c r="AO231">
        <f>IF($A231="","",_CONFIG_Model_Settings!$B$172*MAX(N($AK231),(N($AF231)+N($AI231))/2))</f>
        <v>70</v>
      </c>
      <c r="AP231">
        <f t="shared" si="11"/>
        <v>70</v>
      </c>
      <c r="AQ231">
        <f>IF($AP231="","",MAX(0,$AP231*(1-(_CONFIG_Model_Settings!$B$173+_CONFIG_Model_Settings!$B$174*(N($AH231)-1)))))</f>
        <v>45.5</v>
      </c>
      <c r="AR231">
        <f>IF($AP231="","",MIN(100,$AP231*(1+(_CONFIG_Model_Settings!$B$173+_CONFIG_Model_Settings!$B$174*(N($AH231)-1)))))</f>
        <v>94.5</v>
      </c>
    </row>
    <row r="232" spans="1:44" ht="72" customHeight="1">
      <c r="A232" s="9" t="s">
        <v>2167</v>
      </c>
      <c r="B232" s="9" t="s">
        <v>2145</v>
      </c>
      <c r="C232" s="9" t="s">
        <v>2147</v>
      </c>
      <c r="D232" s="9" t="s">
        <v>3688</v>
      </c>
      <c r="E232" s="9" t="s">
        <v>2168</v>
      </c>
      <c r="F232" s="9" t="s">
        <v>7810</v>
      </c>
      <c r="G232" s="9" t="s">
        <v>7811</v>
      </c>
      <c r="H232" s="9" t="s">
        <v>7812</v>
      </c>
      <c r="I232" s="9" t="s">
        <v>7813</v>
      </c>
      <c r="J232" s="9" t="s">
        <v>7814</v>
      </c>
      <c r="K232" s="9" t="s">
        <v>7815</v>
      </c>
      <c r="L232" s="9" t="s">
        <v>7816</v>
      </c>
      <c r="M232" s="9" t="s">
        <v>7817</v>
      </c>
      <c r="N232" s="9" t="s">
        <v>7818</v>
      </c>
      <c r="O232" s="9" t="s">
        <v>7819</v>
      </c>
      <c r="P232" s="9" t="s">
        <v>7820</v>
      </c>
      <c r="Q232" s="9" t="s">
        <v>7821</v>
      </c>
      <c r="R232" s="9" t="s">
        <v>4589</v>
      </c>
      <c r="S232" s="9" t="s">
        <v>7822</v>
      </c>
      <c r="T232" s="9">
        <v>4</v>
      </c>
      <c r="U232" s="9">
        <v>3</v>
      </c>
      <c r="V232" s="9">
        <v>3</v>
      </c>
      <c r="W232" s="9">
        <v>2</v>
      </c>
      <c r="X232" s="9">
        <v>1</v>
      </c>
      <c r="Y232" s="9">
        <v>1</v>
      </c>
      <c r="Z232" s="9" t="s">
        <v>2150</v>
      </c>
      <c r="AA232" s="9" t="s">
        <v>2169</v>
      </c>
      <c r="AB232" s="9" t="s">
        <v>2152</v>
      </c>
      <c r="AC232" s="9" t="s">
        <v>7780</v>
      </c>
      <c r="AD232" s="9" t="s">
        <v>7823</v>
      </c>
      <c r="AE232" t="str">
        <f t="shared" si="9"/>
        <v>Fast</v>
      </c>
      <c r="AF232">
        <f>IF($A232="","",IFERROR(VLOOKUP($B232,_CONFIG_Risk_Calibration!$A$5:$H$21,2,FALSE),3))</f>
        <v>3</v>
      </c>
      <c r="AG232">
        <f>IF($A232="","",IFERROR(VLOOKUP($B232,_CONFIG_Risk_Calibration!$A$5:$H$21,3,FALSE),0))</f>
        <v>0</v>
      </c>
      <c r="AH232">
        <f>IF($A232="","",IFERROR(VLOOKUP($B232,_CONFIG_Risk_Calibration!$A$5:$H$21,4,FALSE),3))</f>
        <v>3</v>
      </c>
      <c r="AI232">
        <f>IF($A232="","",IFERROR(VLOOKUP($B232,_CONFIG_Risk_Calibration!$A$5:$H$21,5,FALSE),3))</f>
        <v>4</v>
      </c>
      <c r="AJ232" t="str">
        <f>IF($A232="","",IFERROR(VLOOKUP($B232,_CONFIG_Risk_Calibration!$A$5:$H$21,6,FALSE),"No"))</f>
        <v>No</v>
      </c>
      <c r="AK232">
        <f>IF($A232="","",IFERROR(VLOOKUP($B232,_CONFIG_Risk_Calibration!$A$5:$H$21,7,FALSE),1))</f>
        <v>1</v>
      </c>
      <c r="AL232" t="str">
        <f>IF($A232="","",IFERROR(VLOOKUP($B232,_CONFIG_Risk_Calibration!$A$5:$H$21,8,FALSE),""))</f>
        <v>Clean template default. Calibrate with real exposure, incident history, evidence quality and domain-owner validation.</v>
      </c>
      <c r="AM232">
        <f>IF($A232="","",IFERROR(INDEX(_DATA_Assessment_Model!$AL$1:$AL$428,MATCH($A232,_DATA_Assessment_Model!$A$1:$A$428,0)),""))</f>
        <v>0</v>
      </c>
      <c r="AN232">
        <f t="shared" si="10"/>
        <v>1</v>
      </c>
      <c r="AO232">
        <f>IF($A232="","",_CONFIG_Model_Settings!$B$172*MAX(N($AK232),(N($AF232)+N($AI232))/2))</f>
        <v>70</v>
      </c>
      <c r="AP232">
        <f t="shared" si="11"/>
        <v>70</v>
      </c>
      <c r="AQ232">
        <f>IF($AP232="","",MAX(0,$AP232*(1-(_CONFIG_Model_Settings!$B$173+_CONFIG_Model_Settings!$B$174*(N($AH232)-1)))))</f>
        <v>45.5</v>
      </c>
      <c r="AR232">
        <f>IF($AP232="","",MIN(100,$AP232*(1+(_CONFIG_Model_Settings!$B$173+_CONFIG_Model_Settings!$B$174*(N($AH232)-1)))))</f>
        <v>94.5</v>
      </c>
    </row>
    <row r="233" spans="1:44" ht="72" customHeight="1">
      <c r="A233" s="9" t="s">
        <v>2171</v>
      </c>
      <c r="B233" s="9" t="s">
        <v>2145</v>
      </c>
      <c r="C233" s="9" t="s">
        <v>2147</v>
      </c>
      <c r="D233" s="9" t="s">
        <v>3688</v>
      </c>
      <c r="E233" s="9" t="s">
        <v>2172</v>
      </c>
      <c r="F233" s="9" t="s">
        <v>7824</v>
      </c>
      <c r="G233" s="9" t="s">
        <v>7825</v>
      </c>
      <c r="H233" s="9" t="s">
        <v>7826</v>
      </c>
      <c r="I233" s="9" t="s">
        <v>7827</v>
      </c>
      <c r="J233" s="9" t="s">
        <v>7828</v>
      </c>
      <c r="K233" s="9" t="s">
        <v>7829</v>
      </c>
      <c r="L233" s="9" t="s">
        <v>7830</v>
      </c>
      <c r="M233" s="9" t="s">
        <v>7831</v>
      </c>
      <c r="N233" s="9" t="s">
        <v>7832</v>
      </c>
      <c r="O233" s="9" t="s">
        <v>7833</v>
      </c>
      <c r="P233" s="9" t="s">
        <v>7834</v>
      </c>
      <c r="Q233" s="9" t="s">
        <v>7835</v>
      </c>
      <c r="R233" s="9" t="s">
        <v>4589</v>
      </c>
      <c r="S233" s="9" t="s">
        <v>7836</v>
      </c>
      <c r="T233" s="9">
        <v>4</v>
      </c>
      <c r="U233" s="9">
        <v>3</v>
      </c>
      <c r="V233" s="9">
        <v>3</v>
      </c>
      <c r="W233" s="9">
        <v>2</v>
      </c>
      <c r="X233" s="9">
        <v>1</v>
      </c>
      <c r="Y233" s="9">
        <v>1</v>
      </c>
      <c r="Z233" s="9" t="s">
        <v>2150</v>
      </c>
      <c r="AA233" s="9" t="s">
        <v>2173</v>
      </c>
      <c r="AB233" s="9" t="s">
        <v>2152</v>
      </c>
      <c r="AC233" s="9" t="s">
        <v>7780</v>
      </c>
      <c r="AD233" s="9" t="s">
        <v>7837</v>
      </c>
      <c r="AE233" t="str">
        <f t="shared" si="9"/>
        <v>Fast</v>
      </c>
      <c r="AF233">
        <f>IF($A233="","",IFERROR(VLOOKUP($B233,_CONFIG_Risk_Calibration!$A$5:$H$21,2,FALSE),3))</f>
        <v>3</v>
      </c>
      <c r="AG233">
        <f>IF($A233="","",IFERROR(VLOOKUP($B233,_CONFIG_Risk_Calibration!$A$5:$H$21,3,FALSE),0))</f>
        <v>0</v>
      </c>
      <c r="AH233">
        <f>IF($A233="","",IFERROR(VLOOKUP($B233,_CONFIG_Risk_Calibration!$A$5:$H$21,4,FALSE),3))</f>
        <v>3</v>
      </c>
      <c r="AI233">
        <f>IF($A233="","",IFERROR(VLOOKUP($B233,_CONFIG_Risk_Calibration!$A$5:$H$21,5,FALSE),3))</f>
        <v>4</v>
      </c>
      <c r="AJ233" t="str">
        <f>IF($A233="","",IFERROR(VLOOKUP($B233,_CONFIG_Risk_Calibration!$A$5:$H$21,6,FALSE),"No"))</f>
        <v>No</v>
      </c>
      <c r="AK233">
        <f>IF($A233="","",IFERROR(VLOOKUP($B233,_CONFIG_Risk_Calibration!$A$5:$H$21,7,FALSE),1))</f>
        <v>1</v>
      </c>
      <c r="AL233" t="str">
        <f>IF($A233="","",IFERROR(VLOOKUP($B233,_CONFIG_Risk_Calibration!$A$5:$H$21,8,FALSE),""))</f>
        <v>Clean template default. Calibrate with real exposure, incident history, evidence quality and domain-owner validation.</v>
      </c>
      <c r="AM233">
        <f>IF($A233="","",IFERROR(INDEX(_DATA_Assessment_Model!$AL$1:$AL$428,MATCH($A233,_DATA_Assessment_Model!$A$1:$A$428,0)),""))</f>
        <v>0</v>
      </c>
      <c r="AN233">
        <f t="shared" si="10"/>
        <v>1</v>
      </c>
      <c r="AO233">
        <f>IF($A233="","",_CONFIG_Model_Settings!$B$172*MAX(N($AK233),(N($AF233)+N($AI233))/2))</f>
        <v>70</v>
      </c>
      <c r="AP233">
        <f t="shared" si="11"/>
        <v>70</v>
      </c>
      <c r="AQ233">
        <f>IF($AP233="","",MAX(0,$AP233*(1-(_CONFIG_Model_Settings!$B$173+_CONFIG_Model_Settings!$B$174*(N($AH233)-1)))))</f>
        <v>45.5</v>
      </c>
      <c r="AR233">
        <f>IF($AP233="","",MIN(100,$AP233*(1+(_CONFIG_Model_Settings!$B$173+_CONFIG_Model_Settings!$B$174*(N($AH233)-1)))))</f>
        <v>94.5</v>
      </c>
    </row>
    <row r="234" spans="1:44" ht="72" customHeight="1">
      <c r="A234" s="9" t="s">
        <v>2175</v>
      </c>
      <c r="B234" s="9" t="s">
        <v>2145</v>
      </c>
      <c r="C234" s="9" t="s">
        <v>2147</v>
      </c>
      <c r="D234" s="9" t="s">
        <v>3688</v>
      </c>
      <c r="E234" s="9" t="s">
        <v>2176</v>
      </c>
      <c r="F234" s="9" t="s">
        <v>7838</v>
      </c>
      <c r="G234" s="9" t="s">
        <v>7839</v>
      </c>
      <c r="H234" s="9" t="s">
        <v>7840</v>
      </c>
      <c r="I234" s="9" t="s">
        <v>7841</v>
      </c>
      <c r="J234" s="9" t="s">
        <v>7842</v>
      </c>
      <c r="K234" s="9" t="s">
        <v>7843</v>
      </c>
      <c r="L234" s="9" t="s">
        <v>7844</v>
      </c>
      <c r="M234" s="9" t="s">
        <v>7845</v>
      </c>
      <c r="N234" s="9" t="s">
        <v>7846</v>
      </c>
      <c r="O234" s="9" t="s">
        <v>7847</v>
      </c>
      <c r="P234" s="9" t="s">
        <v>7848</v>
      </c>
      <c r="Q234" s="9" t="s">
        <v>7849</v>
      </c>
      <c r="R234" s="9" t="s">
        <v>4589</v>
      </c>
      <c r="S234" s="9" t="s">
        <v>7850</v>
      </c>
      <c r="T234" s="9">
        <v>4</v>
      </c>
      <c r="U234" s="9">
        <v>3</v>
      </c>
      <c r="V234" s="9">
        <v>3</v>
      </c>
      <c r="W234" s="9">
        <v>2</v>
      </c>
      <c r="X234" s="9">
        <v>1</v>
      </c>
      <c r="Y234" s="9">
        <v>1</v>
      </c>
      <c r="Z234" s="9" t="s">
        <v>2150</v>
      </c>
      <c r="AA234" s="9" t="s">
        <v>2177</v>
      </c>
      <c r="AB234" s="9" t="s">
        <v>2152</v>
      </c>
      <c r="AC234" s="9" t="s">
        <v>7780</v>
      </c>
      <c r="AD234" s="9" t="s">
        <v>7851</v>
      </c>
      <c r="AE234" t="str">
        <f t="shared" si="9"/>
        <v>Fast</v>
      </c>
      <c r="AF234">
        <f>IF($A234="","",IFERROR(VLOOKUP($B234,_CONFIG_Risk_Calibration!$A$5:$H$21,2,FALSE),3))</f>
        <v>3</v>
      </c>
      <c r="AG234">
        <f>IF($A234="","",IFERROR(VLOOKUP($B234,_CONFIG_Risk_Calibration!$A$5:$H$21,3,FALSE),0))</f>
        <v>0</v>
      </c>
      <c r="AH234">
        <f>IF($A234="","",IFERROR(VLOOKUP($B234,_CONFIG_Risk_Calibration!$A$5:$H$21,4,FALSE),3))</f>
        <v>3</v>
      </c>
      <c r="AI234">
        <f>IF($A234="","",IFERROR(VLOOKUP($B234,_CONFIG_Risk_Calibration!$A$5:$H$21,5,FALSE),3))</f>
        <v>4</v>
      </c>
      <c r="AJ234" t="str">
        <f>IF($A234="","",IFERROR(VLOOKUP($B234,_CONFIG_Risk_Calibration!$A$5:$H$21,6,FALSE),"No"))</f>
        <v>No</v>
      </c>
      <c r="AK234">
        <f>IF($A234="","",IFERROR(VLOOKUP($B234,_CONFIG_Risk_Calibration!$A$5:$H$21,7,FALSE),1))</f>
        <v>1</v>
      </c>
      <c r="AL234" t="str">
        <f>IF($A234="","",IFERROR(VLOOKUP($B234,_CONFIG_Risk_Calibration!$A$5:$H$21,8,FALSE),""))</f>
        <v>Clean template default. Calibrate with real exposure, incident history, evidence quality and domain-owner validation.</v>
      </c>
      <c r="AM234">
        <f>IF($A234="","",IFERROR(INDEX(_DATA_Assessment_Model!$AL$1:$AL$428,MATCH($A234,_DATA_Assessment_Model!$A$1:$A$428,0)),""))</f>
        <v>0</v>
      </c>
      <c r="AN234">
        <f t="shared" si="10"/>
        <v>1</v>
      </c>
      <c r="AO234">
        <f>IF($A234="","",_CONFIG_Model_Settings!$B$172*MAX(N($AK234),(N($AF234)+N($AI234))/2))</f>
        <v>70</v>
      </c>
      <c r="AP234">
        <f t="shared" si="11"/>
        <v>70</v>
      </c>
      <c r="AQ234">
        <f>IF($AP234="","",MAX(0,$AP234*(1-(_CONFIG_Model_Settings!$B$173+_CONFIG_Model_Settings!$B$174*(N($AH234)-1)))))</f>
        <v>45.5</v>
      </c>
      <c r="AR234">
        <f>IF($AP234="","",MIN(100,$AP234*(1+(_CONFIG_Model_Settings!$B$173+_CONFIG_Model_Settings!$B$174*(N($AH234)-1)))))</f>
        <v>94.5</v>
      </c>
    </row>
    <row r="235" spans="1:44" ht="84" customHeight="1">
      <c r="A235" s="9" t="s">
        <v>2178</v>
      </c>
      <c r="B235" s="9" t="s">
        <v>2145</v>
      </c>
      <c r="C235" s="9" t="s">
        <v>2156</v>
      </c>
      <c r="D235" s="9" t="s">
        <v>3688</v>
      </c>
      <c r="E235" s="9" t="s">
        <v>2179</v>
      </c>
      <c r="F235" s="9" t="s">
        <v>7852</v>
      </c>
      <c r="G235" s="9" t="s">
        <v>7853</v>
      </c>
      <c r="H235" s="9" t="s">
        <v>7854</v>
      </c>
      <c r="I235" s="9" t="s">
        <v>7855</v>
      </c>
      <c r="J235" s="9" t="s">
        <v>7856</v>
      </c>
      <c r="K235" s="9" t="s">
        <v>7857</v>
      </c>
      <c r="L235" s="9" t="s">
        <v>7858</v>
      </c>
      <c r="M235" s="9" t="s">
        <v>7859</v>
      </c>
      <c r="N235" s="9" t="s">
        <v>7860</v>
      </c>
      <c r="O235" s="9" t="s">
        <v>7861</v>
      </c>
      <c r="P235" s="9" t="s">
        <v>7862</v>
      </c>
      <c r="Q235" s="9" t="s">
        <v>7863</v>
      </c>
      <c r="R235" s="9" t="s">
        <v>4589</v>
      </c>
      <c r="S235" s="9" t="s">
        <v>7864</v>
      </c>
      <c r="T235" s="9">
        <v>4</v>
      </c>
      <c r="U235" s="9">
        <v>3</v>
      </c>
      <c r="V235" s="9">
        <v>3</v>
      </c>
      <c r="W235" s="9">
        <v>2</v>
      </c>
      <c r="X235" s="9">
        <v>1</v>
      </c>
      <c r="Y235" s="9">
        <v>1</v>
      </c>
      <c r="Z235" s="9" t="s">
        <v>2150</v>
      </c>
      <c r="AA235" s="9" t="s">
        <v>2180</v>
      </c>
      <c r="AB235" s="9" t="s">
        <v>2152</v>
      </c>
      <c r="AC235" s="9" t="s">
        <v>7780</v>
      </c>
      <c r="AD235" s="9" t="s">
        <v>7865</v>
      </c>
      <c r="AE235" t="str">
        <f t="shared" si="9"/>
        <v>Fast</v>
      </c>
      <c r="AF235">
        <f>IF($A235="","",IFERROR(VLOOKUP($B235,_CONFIG_Risk_Calibration!$A$5:$H$21,2,FALSE),3))</f>
        <v>3</v>
      </c>
      <c r="AG235">
        <f>IF($A235="","",IFERROR(VLOOKUP($B235,_CONFIG_Risk_Calibration!$A$5:$H$21,3,FALSE),0))</f>
        <v>0</v>
      </c>
      <c r="AH235">
        <f>IF($A235="","",IFERROR(VLOOKUP($B235,_CONFIG_Risk_Calibration!$A$5:$H$21,4,FALSE),3))</f>
        <v>3</v>
      </c>
      <c r="AI235">
        <f>IF($A235="","",IFERROR(VLOOKUP($B235,_CONFIG_Risk_Calibration!$A$5:$H$21,5,FALSE),3))</f>
        <v>4</v>
      </c>
      <c r="AJ235" t="str">
        <f>IF($A235="","",IFERROR(VLOOKUP($B235,_CONFIG_Risk_Calibration!$A$5:$H$21,6,FALSE),"No"))</f>
        <v>No</v>
      </c>
      <c r="AK235">
        <f>IF($A235="","",IFERROR(VLOOKUP($B235,_CONFIG_Risk_Calibration!$A$5:$H$21,7,FALSE),1))</f>
        <v>1</v>
      </c>
      <c r="AL235" t="str">
        <f>IF($A235="","",IFERROR(VLOOKUP($B235,_CONFIG_Risk_Calibration!$A$5:$H$21,8,FALSE),""))</f>
        <v>Clean template default. Calibrate with real exposure, incident history, evidence quality and domain-owner validation.</v>
      </c>
      <c r="AM235">
        <f>IF($A235="","",IFERROR(INDEX(_DATA_Assessment_Model!$AL$1:$AL$428,MATCH($A235,_DATA_Assessment_Model!$A$1:$A$428,0)),""))</f>
        <v>0</v>
      </c>
      <c r="AN235">
        <f t="shared" si="10"/>
        <v>1</v>
      </c>
      <c r="AO235">
        <f>IF($A235="","",_CONFIG_Model_Settings!$B$172*MAX(N($AK235),(N($AF235)+N($AI235))/2))</f>
        <v>70</v>
      </c>
      <c r="AP235">
        <f t="shared" si="11"/>
        <v>70</v>
      </c>
      <c r="AQ235">
        <f>IF($AP235="","",MAX(0,$AP235*(1-(_CONFIG_Model_Settings!$B$173+_CONFIG_Model_Settings!$B$174*(N($AH235)-1)))))</f>
        <v>45.5</v>
      </c>
      <c r="AR235">
        <f>IF($AP235="","",MIN(100,$AP235*(1+(_CONFIG_Model_Settings!$B$173+_CONFIG_Model_Settings!$B$174*(N($AH235)-1)))))</f>
        <v>94.5</v>
      </c>
    </row>
    <row r="236" spans="1:44" ht="72" customHeight="1">
      <c r="A236" s="9" t="s">
        <v>2181</v>
      </c>
      <c r="B236" s="9" t="s">
        <v>2145</v>
      </c>
      <c r="C236" s="9" t="s">
        <v>2156</v>
      </c>
      <c r="D236" s="9" t="s">
        <v>3688</v>
      </c>
      <c r="E236" s="9" t="s">
        <v>2182</v>
      </c>
      <c r="F236" s="9" t="s">
        <v>7866</v>
      </c>
      <c r="G236" s="9" t="s">
        <v>7867</v>
      </c>
      <c r="H236" s="9" t="s">
        <v>7868</v>
      </c>
      <c r="I236" s="9" t="s">
        <v>7869</v>
      </c>
      <c r="J236" s="9" t="s">
        <v>7870</v>
      </c>
      <c r="K236" s="9" t="s">
        <v>7871</v>
      </c>
      <c r="L236" s="9" t="s">
        <v>7872</v>
      </c>
      <c r="M236" s="9" t="s">
        <v>7873</v>
      </c>
      <c r="N236" s="9" t="s">
        <v>7874</v>
      </c>
      <c r="O236" s="9" t="s">
        <v>7875</v>
      </c>
      <c r="P236" s="9" t="s">
        <v>7876</v>
      </c>
      <c r="Q236" s="9" t="s">
        <v>7877</v>
      </c>
      <c r="R236" s="9" t="s">
        <v>4589</v>
      </c>
      <c r="S236" s="9" t="s">
        <v>7878</v>
      </c>
      <c r="T236" s="9">
        <v>4</v>
      </c>
      <c r="U236" s="9">
        <v>3</v>
      </c>
      <c r="V236" s="9">
        <v>3</v>
      </c>
      <c r="W236" s="9">
        <v>2</v>
      </c>
      <c r="X236" s="9">
        <v>1</v>
      </c>
      <c r="Y236" s="9">
        <v>1</v>
      </c>
      <c r="Z236" s="9" t="s">
        <v>2150</v>
      </c>
      <c r="AA236" s="9" t="s">
        <v>2183</v>
      </c>
      <c r="AB236" s="9" t="s">
        <v>2152</v>
      </c>
      <c r="AC236" s="9" t="s">
        <v>7780</v>
      </c>
      <c r="AD236" s="9" t="s">
        <v>7879</v>
      </c>
      <c r="AE236" t="str">
        <f t="shared" si="9"/>
        <v>Fast</v>
      </c>
      <c r="AF236">
        <f>IF($A236="","",IFERROR(VLOOKUP($B236,_CONFIG_Risk_Calibration!$A$5:$H$21,2,FALSE),3))</f>
        <v>3</v>
      </c>
      <c r="AG236">
        <f>IF($A236="","",IFERROR(VLOOKUP($B236,_CONFIG_Risk_Calibration!$A$5:$H$21,3,FALSE),0))</f>
        <v>0</v>
      </c>
      <c r="AH236">
        <f>IF($A236="","",IFERROR(VLOOKUP($B236,_CONFIG_Risk_Calibration!$A$5:$H$21,4,FALSE),3))</f>
        <v>3</v>
      </c>
      <c r="AI236">
        <f>IF($A236="","",IFERROR(VLOOKUP($B236,_CONFIG_Risk_Calibration!$A$5:$H$21,5,FALSE),3))</f>
        <v>4</v>
      </c>
      <c r="AJ236" t="str">
        <f>IF($A236="","",IFERROR(VLOOKUP($B236,_CONFIG_Risk_Calibration!$A$5:$H$21,6,FALSE),"No"))</f>
        <v>No</v>
      </c>
      <c r="AK236">
        <f>IF($A236="","",IFERROR(VLOOKUP($B236,_CONFIG_Risk_Calibration!$A$5:$H$21,7,FALSE),1))</f>
        <v>1</v>
      </c>
      <c r="AL236" t="str">
        <f>IF($A236="","",IFERROR(VLOOKUP($B236,_CONFIG_Risk_Calibration!$A$5:$H$21,8,FALSE),""))</f>
        <v>Clean template default. Calibrate with real exposure, incident history, evidence quality and domain-owner validation.</v>
      </c>
      <c r="AM236">
        <f>IF($A236="","",IFERROR(INDEX(_DATA_Assessment_Model!$AL$1:$AL$428,MATCH($A236,_DATA_Assessment_Model!$A$1:$A$428,0)),""))</f>
        <v>0</v>
      </c>
      <c r="AN236">
        <f t="shared" si="10"/>
        <v>1</v>
      </c>
      <c r="AO236">
        <f>IF($A236="","",_CONFIG_Model_Settings!$B$172*MAX(N($AK236),(N($AF236)+N($AI236))/2))</f>
        <v>70</v>
      </c>
      <c r="AP236">
        <f t="shared" si="11"/>
        <v>70</v>
      </c>
      <c r="AQ236">
        <f>IF($AP236="","",MAX(0,$AP236*(1-(_CONFIG_Model_Settings!$B$173+_CONFIG_Model_Settings!$B$174*(N($AH236)-1)))))</f>
        <v>45.5</v>
      </c>
      <c r="AR236">
        <f>IF($AP236="","",MIN(100,$AP236*(1+(_CONFIG_Model_Settings!$B$173+_CONFIG_Model_Settings!$B$174*(N($AH236)-1)))))</f>
        <v>94.5</v>
      </c>
    </row>
    <row r="237" spans="1:44" ht="72" customHeight="1">
      <c r="A237" s="9" t="s">
        <v>2184</v>
      </c>
      <c r="B237" s="9" t="s">
        <v>2145</v>
      </c>
      <c r="C237" s="9" t="s">
        <v>2156</v>
      </c>
      <c r="D237" s="9" t="s">
        <v>3688</v>
      </c>
      <c r="E237" s="9" t="s">
        <v>2185</v>
      </c>
      <c r="F237" s="9" t="s">
        <v>7880</v>
      </c>
      <c r="G237" s="9" t="s">
        <v>7881</v>
      </c>
      <c r="H237" s="9" t="s">
        <v>7882</v>
      </c>
      <c r="I237" s="9" t="s">
        <v>7883</v>
      </c>
      <c r="J237" s="9" t="s">
        <v>7884</v>
      </c>
      <c r="K237" s="9" t="s">
        <v>7885</v>
      </c>
      <c r="L237" s="9" t="s">
        <v>7886</v>
      </c>
      <c r="M237" s="9" t="s">
        <v>7887</v>
      </c>
      <c r="N237" s="9" t="s">
        <v>7888</v>
      </c>
      <c r="O237" s="9" t="s">
        <v>7889</v>
      </c>
      <c r="P237" s="9" t="s">
        <v>7890</v>
      </c>
      <c r="Q237" s="9" t="s">
        <v>7891</v>
      </c>
      <c r="R237" s="9" t="s">
        <v>4589</v>
      </c>
      <c r="S237" s="9" t="s">
        <v>7892</v>
      </c>
      <c r="T237" s="9">
        <v>4</v>
      </c>
      <c r="U237" s="9">
        <v>3</v>
      </c>
      <c r="V237" s="9">
        <v>3</v>
      </c>
      <c r="W237" s="9">
        <v>2</v>
      </c>
      <c r="X237" s="9">
        <v>1</v>
      </c>
      <c r="Y237" s="9">
        <v>1</v>
      </c>
      <c r="Z237" s="9" t="s">
        <v>2150</v>
      </c>
      <c r="AA237" s="9" t="s">
        <v>2186</v>
      </c>
      <c r="AB237" s="9" t="s">
        <v>2152</v>
      </c>
      <c r="AC237" s="9" t="s">
        <v>7780</v>
      </c>
      <c r="AD237" s="9" t="s">
        <v>7893</v>
      </c>
      <c r="AE237" t="str">
        <f t="shared" si="9"/>
        <v>Fast</v>
      </c>
      <c r="AF237">
        <f>IF($A237="","",IFERROR(VLOOKUP($B237,_CONFIG_Risk_Calibration!$A$5:$H$21,2,FALSE),3))</f>
        <v>3</v>
      </c>
      <c r="AG237">
        <f>IF($A237="","",IFERROR(VLOOKUP($B237,_CONFIG_Risk_Calibration!$A$5:$H$21,3,FALSE),0))</f>
        <v>0</v>
      </c>
      <c r="AH237">
        <f>IF($A237="","",IFERROR(VLOOKUP($B237,_CONFIG_Risk_Calibration!$A$5:$H$21,4,FALSE),3))</f>
        <v>3</v>
      </c>
      <c r="AI237">
        <f>IF($A237="","",IFERROR(VLOOKUP($B237,_CONFIG_Risk_Calibration!$A$5:$H$21,5,FALSE),3))</f>
        <v>4</v>
      </c>
      <c r="AJ237" t="str">
        <f>IF($A237="","",IFERROR(VLOOKUP($B237,_CONFIG_Risk_Calibration!$A$5:$H$21,6,FALSE),"No"))</f>
        <v>No</v>
      </c>
      <c r="AK237">
        <f>IF($A237="","",IFERROR(VLOOKUP($B237,_CONFIG_Risk_Calibration!$A$5:$H$21,7,FALSE),1))</f>
        <v>1</v>
      </c>
      <c r="AL237" t="str">
        <f>IF($A237="","",IFERROR(VLOOKUP($B237,_CONFIG_Risk_Calibration!$A$5:$H$21,8,FALSE),""))</f>
        <v>Clean template default. Calibrate with real exposure, incident history, evidence quality and domain-owner validation.</v>
      </c>
      <c r="AM237">
        <f>IF($A237="","",IFERROR(INDEX(_DATA_Assessment_Model!$AL$1:$AL$428,MATCH($A237,_DATA_Assessment_Model!$A$1:$A$428,0)),""))</f>
        <v>0</v>
      </c>
      <c r="AN237">
        <f t="shared" si="10"/>
        <v>1</v>
      </c>
      <c r="AO237">
        <f>IF($A237="","",_CONFIG_Model_Settings!$B$172*MAX(N($AK237),(N($AF237)+N($AI237))/2))</f>
        <v>70</v>
      </c>
      <c r="AP237">
        <f t="shared" si="11"/>
        <v>70</v>
      </c>
      <c r="AQ237">
        <f>IF($AP237="","",MAX(0,$AP237*(1-(_CONFIG_Model_Settings!$B$173+_CONFIG_Model_Settings!$B$174*(N($AH237)-1)))))</f>
        <v>45.5</v>
      </c>
      <c r="AR237">
        <f>IF($AP237="","",MIN(100,$AP237*(1+(_CONFIG_Model_Settings!$B$173+_CONFIG_Model_Settings!$B$174*(N($AH237)-1)))))</f>
        <v>94.5</v>
      </c>
    </row>
    <row r="238" spans="1:44" ht="84" customHeight="1">
      <c r="A238" s="9" t="s">
        <v>2187</v>
      </c>
      <c r="B238" s="9" t="s">
        <v>2145</v>
      </c>
      <c r="C238" s="9" t="s">
        <v>2156</v>
      </c>
      <c r="D238" s="9" t="s">
        <v>3688</v>
      </c>
      <c r="E238" s="9" t="s">
        <v>2188</v>
      </c>
      <c r="F238" s="9" t="s">
        <v>7894</v>
      </c>
      <c r="G238" s="9" t="s">
        <v>7895</v>
      </c>
      <c r="H238" s="9" t="s">
        <v>7896</v>
      </c>
      <c r="I238" s="9" t="s">
        <v>7897</v>
      </c>
      <c r="J238" s="9" t="s">
        <v>7898</v>
      </c>
      <c r="K238" s="9" t="s">
        <v>7899</v>
      </c>
      <c r="L238" s="9" t="s">
        <v>7900</v>
      </c>
      <c r="M238" s="9" t="s">
        <v>7901</v>
      </c>
      <c r="N238" s="9" t="s">
        <v>7902</v>
      </c>
      <c r="O238" s="9" t="s">
        <v>7903</v>
      </c>
      <c r="P238" s="9" t="s">
        <v>7904</v>
      </c>
      <c r="Q238" s="9" t="s">
        <v>7905</v>
      </c>
      <c r="R238" s="9" t="s">
        <v>4589</v>
      </c>
      <c r="S238" s="9" t="s">
        <v>7906</v>
      </c>
      <c r="T238" s="9">
        <v>4</v>
      </c>
      <c r="U238" s="9">
        <v>3</v>
      </c>
      <c r="V238" s="9">
        <v>3</v>
      </c>
      <c r="W238" s="9">
        <v>2</v>
      </c>
      <c r="X238" s="9">
        <v>1</v>
      </c>
      <c r="Y238" s="9">
        <v>1</v>
      </c>
      <c r="Z238" s="9" t="s">
        <v>2150</v>
      </c>
      <c r="AA238" s="9" t="s">
        <v>2189</v>
      </c>
      <c r="AB238" s="9" t="s">
        <v>2152</v>
      </c>
      <c r="AC238" s="9" t="s">
        <v>7780</v>
      </c>
      <c r="AD238" s="9" t="s">
        <v>7907</v>
      </c>
      <c r="AE238" t="str">
        <f t="shared" si="9"/>
        <v>Fast</v>
      </c>
      <c r="AF238">
        <f>IF($A238="","",IFERROR(VLOOKUP($B238,_CONFIG_Risk_Calibration!$A$5:$H$21,2,FALSE),3))</f>
        <v>3</v>
      </c>
      <c r="AG238">
        <f>IF($A238="","",IFERROR(VLOOKUP($B238,_CONFIG_Risk_Calibration!$A$5:$H$21,3,FALSE),0))</f>
        <v>0</v>
      </c>
      <c r="AH238">
        <f>IF($A238="","",IFERROR(VLOOKUP($B238,_CONFIG_Risk_Calibration!$A$5:$H$21,4,FALSE),3))</f>
        <v>3</v>
      </c>
      <c r="AI238">
        <f>IF($A238="","",IFERROR(VLOOKUP($B238,_CONFIG_Risk_Calibration!$A$5:$H$21,5,FALSE),3))</f>
        <v>4</v>
      </c>
      <c r="AJ238" t="str">
        <f>IF($A238="","",IFERROR(VLOOKUP($B238,_CONFIG_Risk_Calibration!$A$5:$H$21,6,FALSE),"No"))</f>
        <v>No</v>
      </c>
      <c r="AK238">
        <f>IF($A238="","",IFERROR(VLOOKUP($B238,_CONFIG_Risk_Calibration!$A$5:$H$21,7,FALSE),1))</f>
        <v>1</v>
      </c>
      <c r="AL238" t="str">
        <f>IF($A238="","",IFERROR(VLOOKUP($B238,_CONFIG_Risk_Calibration!$A$5:$H$21,8,FALSE),""))</f>
        <v>Clean template default. Calibrate with real exposure, incident history, evidence quality and domain-owner validation.</v>
      </c>
      <c r="AM238">
        <f>IF($A238="","",IFERROR(INDEX(_DATA_Assessment_Model!$AL$1:$AL$428,MATCH($A238,_DATA_Assessment_Model!$A$1:$A$428,0)),""))</f>
        <v>0</v>
      </c>
      <c r="AN238">
        <f t="shared" si="10"/>
        <v>1</v>
      </c>
      <c r="AO238">
        <f>IF($A238="","",_CONFIG_Model_Settings!$B$172*MAX(N($AK238),(N($AF238)+N($AI238))/2))</f>
        <v>70</v>
      </c>
      <c r="AP238">
        <f t="shared" si="11"/>
        <v>70</v>
      </c>
      <c r="AQ238">
        <f>IF($AP238="","",MAX(0,$AP238*(1-(_CONFIG_Model_Settings!$B$173+_CONFIG_Model_Settings!$B$174*(N($AH238)-1)))))</f>
        <v>45.5</v>
      </c>
      <c r="AR238">
        <f>IF($AP238="","",MIN(100,$AP238*(1+(_CONFIG_Model_Settings!$B$173+_CONFIG_Model_Settings!$B$174*(N($AH238)-1)))))</f>
        <v>94.5</v>
      </c>
    </row>
    <row r="239" spans="1:44" ht="72" customHeight="1">
      <c r="A239" s="9" t="s">
        <v>2196</v>
      </c>
      <c r="B239" s="9" t="s">
        <v>2145</v>
      </c>
      <c r="C239" s="9" t="s">
        <v>2156</v>
      </c>
      <c r="D239" s="9" t="s">
        <v>3688</v>
      </c>
      <c r="E239" s="9" t="s">
        <v>2197</v>
      </c>
      <c r="F239" s="9" t="s">
        <v>7908</v>
      </c>
      <c r="G239" s="9" t="s">
        <v>7909</v>
      </c>
      <c r="H239" s="9" t="s">
        <v>7910</v>
      </c>
      <c r="I239" s="9" t="s">
        <v>7911</v>
      </c>
      <c r="J239" s="9" t="s">
        <v>7912</v>
      </c>
      <c r="K239" s="9" t="s">
        <v>7913</v>
      </c>
      <c r="L239" s="9" t="s">
        <v>7914</v>
      </c>
      <c r="M239" s="9" t="s">
        <v>7915</v>
      </c>
      <c r="N239" s="9" t="s">
        <v>7916</v>
      </c>
      <c r="O239" s="9" t="s">
        <v>7917</v>
      </c>
      <c r="P239" s="9" t="s">
        <v>7918</v>
      </c>
      <c r="Q239" s="9" t="s">
        <v>7919</v>
      </c>
      <c r="R239" s="9" t="s">
        <v>4589</v>
      </c>
      <c r="S239" s="9" t="s">
        <v>7920</v>
      </c>
      <c r="T239" s="9">
        <v>4</v>
      </c>
      <c r="U239" s="9">
        <v>3</v>
      </c>
      <c r="V239" s="9">
        <v>3</v>
      </c>
      <c r="W239" s="9">
        <v>2</v>
      </c>
      <c r="X239" s="9">
        <v>1</v>
      </c>
      <c r="Y239" s="9">
        <v>1</v>
      </c>
      <c r="Z239" s="9" t="s">
        <v>2150</v>
      </c>
      <c r="AA239" s="9" t="s">
        <v>2198</v>
      </c>
      <c r="AB239" s="9" t="s">
        <v>2152</v>
      </c>
      <c r="AC239" s="9" t="s">
        <v>7780</v>
      </c>
      <c r="AD239" s="9" t="s">
        <v>7921</v>
      </c>
      <c r="AE239" t="str">
        <f t="shared" si="9"/>
        <v>Fast</v>
      </c>
      <c r="AF239">
        <f>IF($A239="","",IFERROR(VLOOKUP($B239,_CONFIG_Risk_Calibration!$A$5:$H$21,2,FALSE),3))</f>
        <v>3</v>
      </c>
      <c r="AG239">
        <f>IF($A239="","",IFERROR(VLOOKUP($B239,_CONFIG_Risk_Calibration!$A$5:$H$21,3,FALSE),0))</f>
        <v>0</v>
      </c>
      <c r="AH239">
        <f>IF($A239="","",IFERROR(VLOOKUP($B239,_CONFIG_Risk_Calibration!$A$5:$H$21,4,FALSE),3))</f>
        <v>3</v>
      </c>
      <c r="AI239">
        <f>IF($A239="","",IFERROR(VLOOKUP($B239,_CONFIG_Risk_Calibration!$A$5:$H$21,5,FALSE),3))</f>
        <v>4</v>
      </c>
      <c r="AJ239" t="str">
        <f>IF($A239="","",IFERROR(VLOOKUP($B239,_CONFIG_Risk_Calibration!$A$5:$H$21,6,FALSE),"No"))</f>
        <v>No</v>
      </c>
      <c r="AK239">
        <f>IF($A239="","",IFERROR(VLOOKUP($B239,_CONFIG_Risk_Calibration!$A$5:$H$21,7,FALSE),1))</f>
        <v>1</v>
      </c>
      <c r="AL239" t="str">
        <f>IF($A239="","",IFERROR(VLOOKUP($B239,_CONFIG_Risk_Calibration!$A$5:$H$21,8,FALSE),""))</f>
        <v>Clean template default. Calibrate with real exposure, incident history, evidence quality and domain-owner validation.</v>
      </c>
      <c r="AM239">
        <f>IF($A239="","",IFERROR(INDEX(_DATA_Assessment_Model!$AL$1:$AL$428,MATCH($A239,_DATA_Assessment_Model!$A$1:$A$428,0)),""))</f>
        <v>0</v>
      </c>
      <c r="AN239">
        <f t="shared" si="10"/>
        <v>1</v>
      </c>
      <c r="AO239">
        <f>IF($A239="","",_CONFIG_Model_Settings!$B$172*MAX(N($AK239),(N($AF239)+N($AI239))/2))</f>
        <v>70</v>
      </c>
      <c r="AP239">
        <f t="shared" si="11"/>
        <v>70</v>
      </c>
      <c r="AQ239">
        <f>IF($AP239="","",MAX(0,$AP239*(1-(_CONFIG_Model_Settings!$B$173+_CONFIG_Model_Settings!$B$174*(N($AH239)-1)))))</f>
        <v>45.5</v>
      </c>
      <c r="AR239">
        <f>IF($AP239="","",MIN(100,$AP239*(1+(_CONFIG_Model_Settings!$B$173+_CONFIG_Model_Settings!$B$174*(N($AH239)-1)))))</f>
        <v>94.5</v>
      </c>
    </row>
    <row r="240" spans="1:44" ht="72" customHeight="1">
      <c r="A240" s="9" t="s">
        <v>2205</v>
      </c>
      <c r="B240" s="9" t="s">
        <v>2145</v>
      </c>
      <c r="C240" s="9" t="s">
        <v>2156</v>
      </c>
      <c r="D240" s="9" t="s">
        <v>3688</v>
      </c>
      <c r="E240" s="9" t="s">
        <v>2206</v>
      </c>
      <c r="F240" s="9" t="s">
        <v>7922</v>
      </c>
      <c r="G240" s="9" t="s">
        <v>7923</v>
      </c>
      <c r="H240" s="9" t="s">
        <v>7924</v>
      </c>
      <c r="I240" s="9" t="s">
        <v>7925</v>
      </c>
      <c r="J240" s="9" t="s">
        <v>7926</v>
      </c>
      <c r="K240" s="9" t="s">
        <v>7927</v>
      </c>
      <c r="L240" s="9" t="s">
        <v>7928</v>
      </c>
      <c r="M240" s="9" t="s">
        <v>7929</v>
      </c>
      <c r="N240" s="9" t="s">
        <v>7930</v>
      </c>
      <c r="O240" s="9" t="s">
        <v>7931</v>
      </c>
      <c r="P240" s="9" t="s">
        <v>7932</v>
      </c>
      <c r="Q240" s="9" t="s">
        <v>7933</v>
      </c>
      <c r="R240" s="9" t="s">
        <v>4589</v>
      </c>
      <c r="S240" s="9" t="s">
        <v>7934</v>
      </c>
      <c r="T240" s="9">
        <v>4</v>
      </c>
      <c r="U240" s="9">
        <v>3</v>
      </c>
      <c r="V240" s="9">
        <v>3</v>
      </c>
      <c r="W240" s="9">
        <v>2</v>
      </c>
      <c r="X240" s="9">
        <v>1</v>
      </c>
      <c r="Y240" s="9">
        <v>1</v>
      </c>
      <c r="Z240" s="9" t="s">
        <v>2150</v>
      </c>
      <c r="AA240" s="9" t="s">
        <v>2207</v>
      </c>
      <c r="AB240" s="9" t="s">
        <v>2152</v>
      </c>
      <c r="AC240" s="9" t="s">
        <v>7780</v>
      </c>
      <c r="AD240" s="9" t="s">
        <v>7935</v>
      </c>
      <c r="AE240" t="str">
        <f t="shared" si="9"/>
        <v>Fast</v>
      </c>
      <c r="AF240">
        <f>IF($A240="","",IFERROR(VLOOKUP($B240,_CONFIG_Risk_Calibration!$A$5:$H$21,2,FALSE),3))</f>
        <v>3</v>
      </c>
      <c r="AG240">
        <f>IF($A240="","",IFERROR(VLOOKUP($B240,_CONFIG_Risk_Calibration!$A$5:$H$21,3,FALSE),0))</f>
        <v>0</v>
      </c>
      <c r="AH240">
        <f>IF($A240="","",IFERROR(VLOOKUP($B240,_CONFIG_Risk_Calibration!$A$5:$H$21,4,FALSE),3))</f>
        <v>3</v>
      </c>
      <c r="AI240">
        <f>IF($A240="","",IFERROR(VLOOKUP($B240,_CONFIG_Risk_Calibration!$A$5:$H$21,5,FALSE),3))</f>
        <v>4</v>
      </c>
      <c r="AJ240" t="str">
        <f>IF($A240="","",IFERROR(VLOOKUP($B240,_CONFIG_Risk_Calibration!$A$5:$H$21,6,FALSE),"No"))</f>
        <v>No</v>
      </c>
      <c r="AK240">
        <f>IF($A240="","",IFERROR(VLOOKUP($B240,_CONFIG_Risk_Calibration!$A$5:$H$21,7,FALSE),1))</f>
        <v>1</v>
      </c>
      <c r="AL240" t="str">
        <f>IF($A240="","",IFERROR(VLOOKUP($B240,_CONFIG_Risk_Calibration!$A$5:$H$21,8,FALSE),""))</f>
        <v>Clean template default. Calibrate with real exposure, incident history, evidence quality and domain-owner validation.</v>
      </c>
      <c r="AM240">
        <f>IF($A240="","",IFERROR(INDEX(_DATA_Assessment_Model!$AL$1:$AL$428,MATCH($A240,_DATA_Assessment_Model!$A$1:$A$428,0)),""))</f>
        <v>0</v>
      </c>
      <c r="AN240">
        <f t="shared" si="10"/>
        <v>1</v>
      </c>
      <c r="AO240">
        <f>IF($A240="","",_CONFIG_Model_Settings!$B$172*MAX(N($AK240),(N($AF240)+N($AI240))/2))</f>
        <v>70</v>
      </c>
      <c r="AP240">
        <f t="shared" si="11"/>
        <v>70</v>
      </c>
      <c r="AQ240">
        <f>IF($AP240="","",MAX(0,$AP240*(1-(_CONFIG_Model_Settings!$B$173+_CONFIG_Model_Settings!$B$174*(N($AH240)-1)))))</f>
        <v>45.5</v>
      </c>
      <c r="AR240">
        <f>IF($AP240="","",MIN(100,$AP240*(1+(_CONFIG_Model_Settings!$B$173+_CONFIG_Model_Settings!$B$174*(N($AH240)-1)))))</f>
        <v>94.5</v>
      </c>
    </row>
    <row r="241" spans="1:44" ht="84" customHeight="1">
      <c r="A241" s="9" t="s">
        <v>2208</v>
      </c>
      <c r="B241" s="9" t="s">
        <v>2145</v>
      </c>
      <c r="C241" s="9" t="s">
        <v>2166</v>
      </c>
      <c r="D241" s="9" t="s">
        <v>3688</v>
      </c>
      <c r="E241" s="9" t="s">
        <v>2209</v>
      </c>
      <c r="F241" s="9" t="s">
        <v>7936</v>
      </c>
      <c r="G241" s="9" t="s">
        <v>7937</v>
      </c>
      <c r="H241" s="9" t="s">
        <v>7938</v>
      </c>
      <c r="I241" s="9" t="s">
        <v>7939</v>
      </c>
      <c r="J241" s="9" t="s">
        <v>7940</v>
      </c>
      <c r="K241" s="9" t="s">
        <v>7941</v>
      </c>
      <c r="L241" s="9" t="s">
        <v>7942</v>
      </c>
      <c r="M241" s="9" t="s">
        <v>7943</v>
      </c>
      <c r="N241" s="9" t="s">
        <v>7944</v>
      </c>
      <c r="O241" s="9" t="s">
        <v>7945</v>
      </c>
      <c r="P241" s="9" t="s">
        <v>7946</v>
      </c>
      <c r="Q241" s="9" t="s">
        <v>7947</v>
      </c>
      <c r="R241" s="9" t="s">
        <v>4589</v>
      </c>
      <c r="S241" s="9" t="s">
        <v>7948</v>
      </c>
      <c r="T241" s="9">
        <v>4</v>
      </c>
      <c r="U241" s="9">
        <v>3</v>
      </c>
      <c r="V241" s="9">
        <v>3</v>
      </c>
      <c r="W241" s="9">
        <v>2</v>
      </c>
      <c r="X241" s="9">
        <v>1</v>
      </c>
      <c r="Y241" s="9">
        <v>1</v>
      </c>
      <c r="Z241" s="9" t="s">
        <v>2150</v>
      </c>
      <c r="AA241" s="9" t="s">
        <v>2210</v>
      </c>
      <c r="AB241" s="9" t="s">
        <v>2152</v>
      </c>
      <c r="AC241" s="9" t="s">
        <v>7780</v>
      </c>
      <c r="AD241" s="9" t="s">
        <v>7949</v>
      </c>
      <c r="AE241" t="str">
        <f t="shared" si="9"/>
        <v>Fast</v>
      </c>
      <c r="AF241">
        <f>IF($A241="","",IFERROR(VLOOKUP($B241,_CONFIG_Risk_Calibration!$A$5:$H$21,2,FALSE),3))</f>
        <v>3</v>
      </c>
      <c r="AG241">
        <f>IF($A241="","",IFERROR(VLOOKUP($B241,_CONFIG_Risk_Calibration!$A$5:$H$21,3,FALSE),0))</f>
        <v>0</v>
      </c>
      <c r="AH241">
        <f>IF($A241="","",IFERROR(VLOOKUP($B241,_CONFIG_Risk_Calibration!$A$5:$H$21,4,FALSE),3))</f>
        <v>3</v>
      </c>
      <c r="AI241">
        <f>IF($A241="","",IFERROR(VLOOKUP($B241,_CONFIG_Risk_Calibration!$A$5:$H$21,5,FALSE),3))</f>
        <v>4</v>
      </c>
      <c r="AJ241" t="str">
        <f>IF($A241="","",IFERROR(VLOOKUP($B241,_CONFIG_Risk_Calibration!$A$5:$H$21,6,FALSE),"No"))</f>
        <v>No</v>
      </c>
      <c r="AK241">
        <f>IF($A241="","",IFERROR(VLOOKUP($B241,_CONFIG_Risk_Calibration!$A$5:$H$21,7,FALSE),1))</f>
        <v>1</v>
      </c>
      <c r="AL241" t="str">
        <f>IF($A241="","",IFERROR(VLOOKUP($B241,_CONFIG_Risk_Calibration!$A$5:$H$21,8,FALSE),""))</f>
        <v>Clean template default. Calibrate with real exposure, incident history, evidence quality and domain-owner validation.</v>
      </c>
      <c r="AM241">
        <f>IF($A241="","",IFERROR(INDEX(_DATA_Assessment_Model!$AL$1:$AL$428,MATCH($A241,_DATA_Assessment_Model!$A$1:$A$428,0)),""))</f>
        <v>0</v>
      </c>
      <c r="AN241">
        <f t="shared" si="10"/>
        <v>1</v>
      </c>
      <c r="AO241">
        <f>IF($A241="","",_CONFIG_Model_Settings!$B$172*MAX(N($AK241),(N($AF241)+N($AI241))/2))</f>
        <v>70</v>
      </c>
      <c r="AP241">
        <f t="shared" si="11"/>
        <v>70</v>
      </c>
      <c r="AQ241">
        <f>IF($AP241="","",MAX(0,$AP241*(1-(_CONFIG_Model_Settings!$B$173+_CONFIG_Model_Settings!$B$174*(N($AH241)-1)))))</f>
        <v>45.5</v>
      </c>
      <c r="AR241">
        <f>IF($AP241="","",MIN(100,$AP241*(1+(_CONFIG_Model_Settings!$B$173+_CONFIG_Model_Settings!$B$174*(N($AH241)-1)))))</f>
        <v>94.5</v>
      </c>
    </row>
    <row r="242" spans="1:44" ht="72" customHeight="1">
      <c r="A242" s="9" t="s">
        <v>2211</v>
      </c>
      <c r="B242" s="9" t="s">
        <v>2145</v>
      </c>
      <c r="C242" s="9" t="s">
        <v>2166</v>
      </c>
      <c r="D242" s="9" t="s">
        <v>3688</v>
      </c>
      <c r="E242" s="9" t="s">
        <v>2212</v>
      </c>
      <c r="F242" s="9" t="s">
        <v>7950</v>
      </c>
      <c r="G242" s="9" t="s">
        <v>7951</v>
      </c>
      <c r="H242" s="9" t="s">
        <v>7952</v>
      </c>
      <c r="I242" s="9" t="s">
        <v>7953</v>
      </c>
      <c r="J242" s="9" t="s">
        <v>7954</v>
      </c>
      <c r="K242" s="9" t="s">
        <v>7955</v>
      </c>
      <c r="L242" s="9" t="s">
        <v>7956</v>
      </c>
      <c r="M242" s="9" t="s">
        <v>7957</v>
      </c>
      <c r="N242" s="9" t="s">
        <v>7958</v>
      </c>
      <c r="O242" s="9" t="s">
        <v>7959</v>
      </c>
      <c r="P242" s="9" t="s">
        <v>7960</v>
      </c>
      <c r="Q242" s="9" t="s">
        <v>7961</v>
      </c>
      <c r="R242" s="9" t="s">
        <v>4589</v>
      </c>
      <c r="S242" s="9" t="s">
        <v>7962</v>
      </c>
      <c r="T242" s="9">
        <v>4</v>
      </c>
      <c r="U242" s="9">
        <v>3</v>
      </c>
      <c r="V242" s="9">
        <v>3</v>
      </c>
      <c r="W242" s="9">
        <v>2</v>
      </c>
      <c r="X242" s="9">
        <v>1</v>
      </c>
      <c r="Y242" s="9">
        <v>1</v>
      </c>
      <c r="Z242" s="9" t="s">
        <v>2150</v>
      </c>
      <c r="AA242" s="9" t="s">
        <v>2213</v>
      </c>
      <c r="AB242" s="9" t="s">
        <v>2152</v>
      </c>
      <c r="AC242" s="9" t="s">
        <v>7780</v>
      </c>
      <c r="AD242" s="9" t="s">
        <v>7963</v>
      </c>
      <c r="AE242" t="str">
        <f t="shared" si="9"/>
        <v>Fast</v>
      </c>
      <c r="AF242">
        <f>IF($A242="","",IFERROR(VLOOKUP($B242,_CONFIG_Risk_Calibration!$A$5:$H$21,2,FALSE),3))</f>
        <v>3</v>
      </c>
      <c r="AG242">
        <f>IF($A242="","",IFERROR(VLOOKUP($B242,_CONFIG_Risk_Calibration!$A$5:$H$21,3,FALSE),0))</f>
        <v>0</v>
      </c>
      <c r="AH242">
        <f>IF($A242="","",IFERROR(VLOOKUP($B242,_CONFIG_Risk_Calibration!$A$5:$H$21,4,FALSE),3))</f>
        <v>3</v>
      </c>
      <c r="AI242">
        <f>IF($A242="","",IFERROR(VLOOKUP($B242,_CONFIG_Risk_Calibration!$A$5:$H$21,5,FALSE),3))</f>
        <v>4</v>
      </c>
      <c r="AJ242" t="str">
        <f>IF($A242="","",IFERROR(VLOOKUP($B242,_CONFIG_Risk_Calibration!$A$5:$H$21,6,FALSE),"No"))</f>
        <v>No</v>
      </c>
      <c r="AK242">
        <f>IF($A242="","",IFERROR(VLOOKUP($B242,_CONFIG_Risk_Calibration!$A$5:$H$21,7,FALSE),1))</f>
        <v>1</v>
      </c>
      <c r="AL242" t="str">
        <f>IF($A242="","",IFERROR(VLOOKUP($B242,_CONFIG_Risk_Calibration!$A$5:$H$21,8,FALSE),""))</f>
        <v>Clean template default. Calibrate with real exposure, incident history, evidence quality and domain-owner validation.</v>
      </c>
      <c r="AM242">
        <f>IF($A242="","",IFERROR(INDEX(_DATA_Assessment_Model!$AL$1:$AL$428,MATCH($A242,_DATA_Assessment_Model!$A$1:$A$428,0)),""))</f>
        <v>0</v>
      </c>
      <c r="AN242">
        <f t="shared" si="10"/>
        <v>1</v>
      </c>
      <c r="AO242">
        <f>IF($A242="","",_CONFIG_Model_Settings!$B$172*MAX(N($AK242),(N($AF242)+N($AI242))/2))</f>
        <v>70</v>
      </c>
      <c r="AP242">
        <f t="shared" si="11"/>
        <v>70</v>
      </c>
      <c r="AQ242">
        <f>IF($AP242="","",MAX(0,$AP242*(1-(_CONFIG_Model_Settings!$B$173+_CONFIG_Model_Settings!$B$174*(N($AH242)-1)))))</f>
        <v>45.5</v>
      </c>
      <c r="AR242">
        <f>IF($AP242="","",MIN(100,$AP242*(1+(_CONFIG_Model_Settings!$B$173+_CONFIG_Model_Settings!$B$174*(N($AH242)-1)))))</f>
        <v>94.5</v>
      </c>
    </row>
    <row r="243" spans="1:44" ht="84" customHeight="1">
      <c r="A243" s="9" t="s">
        <v>2214</v>
      </c>
      <c r="B243" s="9" t="s">
        <v>2145</v>
      </c>
      <c r="C243" s="9" t="s">
        <v>2166</v>
      </c>
      <c r="D243" s="9" t="s">
        <v>3688</v>
      </c>
      <c r="E243" s="9" t="s">
        <v>2215</v>
      </c>
      <c r="F243" s="9" t="s">
        <v>7964</v>
      </c>
      <c r="G243" s="9" t="s">
        <v>7965</v>
      </c>
      <c r="H243" s="9" t="s">
        <v>7966</v>
      </c>
      <c r="I243" s="9" t="s">
        <v>7967</v>
      </c>
      <c r="J243" s="9" t="s">
        <v>7968</v>
      </c>
      <c r="K243" s="9" t="s">
        <v>7969</v>
      </c>
      <c r="L243" s="9" t="s">
        <v>7970</v>
      </c>
      <c r="M243" s="9" t="s">
        <v>7971</v>
      </c>
      <c r="N243" s="9" t="s">
        <v>7972</v>
      </c>
      <c r="O243" s="9" t="s">
        <v>7973</v>
      </c>
      <c r="P243" s="9" t="s">
        <v>7974</v>
      </c>
      <c r="Q243" s="9" t="s">
        <v>7975</v>
      </c>
      <c r="R243" s="9" t="s">
        <v>4589</v>
      </c>
      <c r="S243" s="9" t="s">
        <v>7976</v>
      </c>
      <c r="T243" s="9">
        <v>4</v>
      </c>
      <c r="U243" s="9">
        <v>3</v>
      </c>
      <c r="V243" s="9">
        <v>3</v>
      </c>
      <c r="W243" s="9">
        <v>2</v>
      </c>
      <c r="X243" s="9">
        <v>1</v>
      </c>
      <c r="Y243" s="9">
        <v>1</v>
      </c>
      <c r="Z243" s="9" t="s">
        <v>2150</v>
      </c>
      <c r="AA243" s="9" t="s">
        <v>2216</v>
      </c>
      <c r="AB243" s="9" t="s">
        <v>2152</v>
      </c>
      <c r="AC243" s="9" t="s">
        <v>7780</v>
      </c>
      <c r="AD243" s="9" t="s">
        <v>7977</v>
      </c>
      <c r="AE243" t="str">
        <f t="shared" si="9"/>
        <v>Fast</v>
      </c>
      <c r="AF243">
        <f>IF($A243="","",IFERROR(VLOOKUP($B243,_CONFIG_Risk_Calibration!$A$5:$H$21,2,FALSE),3))</f>
        <v>3</v>
      </c>
      <c r="AG243">
        <f>IF($A243="","",IFERROR(VLOOKUP($B243,_CONFIG_Risk_Calibration!$A$5:$H$21,3,FALSE),0))</f>
        <v>0</v>
      </c>
      <c r="AH243">
        <f>IF($A243="","",IFERROR(VLOOKUP($B243,_CONFIG_Risk_Calibration!$A$5:$H$21,4,FALSE),3))</f>
        <v>3</v>
      </c>
      <c r="AI243">
        <f>IF($A243="","",IFERROR(VLOOKUP($B243,_CONFIG_Risk_Calibration!$A$5:$H$21,5,FALSE),3))</f>
        <v>4</v>
      </c>
      <c r="AJ243" t="str">
        <f>IF($A243="","",IFERROR(VLOOKUP($B243,_CONFIG_Risk_Calibration!$A$5:$H$21,6,FALSE),"No"))</f>
        <v>No</v>
      </c>
      <c r="AK243">
        <f>IF($A243="","",IFERROR(VLOOKUP($B243,_CONFIG_Risk_Calibration!$A$5:$H$21,7,FALSE),1))</f>
        <v>1</v>
      </c>
      <c r="AL243" t="str">
        <f>IF($A243="","",IFERROR(VLOOKUP($B243,_CONFIG_Risk_Calibration!$A$5:$H$21,8,FALSE),""))</f>
        <v>Clean template default. Calibrate with real exposure, incident history, evidence quality and domain-owner validation.</v>
      </c>
      <c r="AM243">
        <f>IF($A243="","",IFERROR(INDEX(_DATA_Assessment_Model!$AL$1:$AL$428,MATCH($A243,_DATA_Assessment_Model!$A$1:$A$428,0)),""))</f>
        <v>0</v>
      </c>
      <c r="AN243">
        <f t="shared" si="10"/>
        <v>1</v>
      </c>
      <c r="AO243">
        <f>IF($A243="","",_CONFIG_Model_Settings!$B$172*MAX(N($AK243),(N($AF243)+N($AI243))/2))</f>
        <v>70</v>
      </c>
      <c r="AP243">
        <f t="shared" si="11"/>
        <v>70</v>
      </c>
      <c r="AQ243">
        <f>IF($AP243="","",MAX(0,$AP243*(1-(_CONFIG_Model_Settings!$B$173+_CONFIG_Model_Settings!$B$174*(N($AH243)-1)))))</f>
        <v>45.5</v>
      </c>
      <c r="AR243">
        <f>IF($AP243="","",MIN(100,$AP243*(1+(_CONFIG_Model_Settings!$B$173+_CONFIG_Model_Settings!$B$174*(N($AH243)-1)))))</f>
        <v>94.5</v>
      </c>
    </row>
    <row r="244" spans="1:44" ht="84" customHeight="1">
      <c r="A244" s="9" t="s">
        <v>2217</v>
      </c>
      <c r="B244" s="9" t="s">
        <v>2145</v>
      </c>
      <c r="C244" s="9" t="s">
        <v>2166</v>
      </c>
      <c r="D244" s="9" t="s">
        <v>3688</v>
      </c>
      <c r="E244" s="9" t="s">
        <v>2218</v>
      </c>
      <c r="F244" s="9" t="s">
        <v>7978</v>
      </c>
      <c r="G244" s="9" t="s">
        <v>7979</v>
      </c>
      <c r="H244" s="9" t="s">
        <v>7980</v>
      </c>
      <c r="I244" s="9" t="s">
        <v>7981</v>
      </c>
      <c r="J244" s="9" t="s">
        <v>7982</v>
      </c>
      <c r="K244" s="9" t="s">
        <v>7983</v>
      </c>
      <c r="L244" s="9" t="s">
        <v>7984</v>
      </c>
      <c r="M244" s="9" t="s">
        <v>7985</v>
      </c>
      <c r="N244" s="9" t="s">
        <v>7986</v>
      </c>
      <c r="O244" s="9" t="s">
        <v>7987</v>
      </c>
      <c r="P244" s="9" t="s">
        <v>7988</v>
      </c>
      <c r="Q244" s="9" t="s">
        <v>7989</v>
      </c>
      <c r="R244" s="9" t="s">
        <v>4589</v>
      </c>
      <c r="S244" s="9" t="s">
        <v>7990</v>
      </c>
      <c r="T244" s="9">
        <v>4</v>
      </c>
      <c r="U244" s="9">
        <v>3</v>
      </c>
      <c r="V244" s="9">
        <v>3</v>
      </c>
      <c r="W244" s="9">
        <v>2</v>
      </c>
      <c r="X244" s="9">
        <v>1</v>
      </c>
      <c r="Y244" s="9">
        <v>1</v>
      </c>
      <c r="Z244" s="9" t="s">
        <v>2150</v>
      </c>
      <c r="AA244" s="9" t="s">
        <v>2219</v>
      </c>
      <c r="AB244" s="9" t="s">
        <v>2152</v>
      </c>
      <c r="AC244" s="9" t="s">
        <v>7780</v>
      </c>
      <c r="AD244" s="9" t="s">
        <v>7991</v>
      </c>
      <c r="AE244" t="str">
        <f t="shared" si="9"/>
        <v>Fast</v>
      </c>
      <c r="AF244">
        <f>IF($A244="","",IFERROR(VLOOKUP($B244,_CONFIG_Risk_Calibration!$A$5:$H$21,2,FALSE),3))</f>
        <v>3</v>
      </c>
      <c r="AG244">
        <f>IF($A244="","",IFERROR(VLOOKUP($B244,_CONFIG_Risk_Calibration!$A$5:$H$21,3,FALSE),0))</f>
        <v>0</v>
      </c>
      <c r="AH244">
        <f>IF($A244="","",IFERROR(VLOOKUP($B244,_CONFIG_Risk_Calibration!$A$5:$H$21,4,FALSE),3))</f>
        <v>3</v>
      </c>
      <c r="AI244">
        <f>IF($A244="","",IFERROR(VLOOKUP($B244,_CONFIG_Risk_Calibration!$A$5:$H$21,5,FALSE),3))</f>
        <v>4</v>
      </c>
      <c r="AJ244" t="str">
        <f>IF($A244="","",IFERROR(VLOOKUP($B244,_CONFIG_Risk_Calibration!$A$5:$H$21,6,FALSE),"No"))</f>
        <v>No</v>
      </c>
      <c r="AK244">
        <f>IF($A244="","",IFERROR(VLOOKUP($B244,_CONFIG_Risk_Calibration!$A$5:$H$21,7,FALSE),1))</f>
        <v>1</v>
      </c>
      <c r="AL244" t="str">
        <f>IF($A244="","",IFERROR(VLOOKUP($B244,_CONFIG_Risk_Calibration!$A$5:$H$21,8,FALSE),""))</f>
        <v>Clean template default. Calibrate with real exposure, incident history, evidence quality and domain-owner validation.</v>
      </c>
      <c r="AM244">
        <f>IF($A244="","",IFERROR(INDEX(_DATA_Assessment_Model!$AL$1:$AL$428,MATCH($A244,_DATA_Assessment_Model!$A$1:$A$428,0)),""))</f>
        <v>0</v>
      </c>
      <c r="AN244">
        <f t="shared" si="10"/>
        <v>1</v>
      </c>
      <c r="AO244">
        <f>IF($A244="","",_CONFIG_Model_Settings!$B$172*MAX(N($AK244),(N($AF244)+N($AI244))/2))</f>
        <v>70</v>
      </c>
      <c r="AP244">
        <f t="shared" si="11"/>
        <v>70</v>
      </c>
      <c r="AQ244">
        <f>IF($AP244="","",MAX(0,$AP244*(1-(_CONFIG_Model_Settings!$B$173+_CONFIG_Model_Settings!$B$174*(N($AH244)-1)))))</f>
        <v>45.5</v>
      </c>
      <c r="AR244">
        <f>IF($AP244="","",MIN(100,$AP244*(1+(_CONFIG_Model_Settings!$B$173+_CONFIG_Model_Settings!$B$174*(N($AH244)-1)))))</f>
        <v>94.5</v>
      </c>
    </row>
    <row r="245" spans="1:44" ht="72" customHeight="1">
      <c r="A245" s="9" t="s">
        <v>2226</v>
      </c>
      <c r="B245" s="9" t="s">
        <v>2145</v>
      </c>
      <c r="C245" s="9" t="s">
        <v>2166</v>
      </c>
      <c r="D245" s="9" t="s">
        <v>3688</v>
      </c>
      <c r="E245" s="9" t="s">
        <v>2227</v>
      </c>
      <c r="F245" s="9" t="s">
        <v>7992</v>
      </c>
      <c r="G245" s="9" t="s">
        <v>7993</v>
      </c>
      <c r="H245" s="9" t="s">
        <v>7994</v>
      </c>
      <c r="I245" s="9" t="s">
        <v>7995</v>
      </c>
      <c r="J245" s="9" t="s">
        <v>7996</v>
      </c>
      <c r="K245" s="9" t="s">
        <v>7997</v>
      </c>
      <c r="L245" s="9" t="s">
        <v>7998</v>
      </c>
      <c r="M245" s="9" t="s">
        <v>7999</v>
      </c>
      <c r="N245" s="9" t="s">
        <v>8000</v>
      </c>
      <c r="O245" s="9" t="s">
        <v>8001</v>
      </c>
      <c r="P245" s="9" t="s">
        <v>8002</v>
      </c>
      <c r="Q245" s="9" t="s">
        <v>8003</v>
      </c>
      <c r="R245" s="9" t="s">
        <v>4589</v>
      </c>
      <c r="S245" s="9" t="s">
        <v>8004</v>
      </c>
      <c r="T245" s="9">
        <v>4</v>
      </c>
      <c r="U245" s="9">
        <v>3</v>
      </c>
      <c r="V245" s="9">
        <v>3</v>
      </c>
      <c r="W245" s="9">
        <v>2</v>
      </c>
      <c r="X245" s="9">
        <v>1</v>
      </c>
      <c r="Y245" s="9">
        <v>1</v>
      </c>
      <c r="Z245" s="9" t="s">
        <v>2150</v>
      </c>
      <c r="AA245" s="9" t="s">
        <v>2228</v>
      </c>
      <c r="AB245" s="9" t="s">
        <v>2152</v>
      </c>
      <c r="AC245" s="9" t="s">
        <v>7780</v>
      </c>
      <c r="AD245" s="9" t="s">
        <v>8005</v>
      </c>
      <c r="AE245" t="str">
        <f t="shared" si="9"/>
        <v>Fast</v>
      </c>
      <c r="AF245">
        <f>IF($A245="","",IFERROR(VLOOKUP($B245,_CONFIG_Risk_Calibration!$A$5:$H$21,2,FALSE),3))</f>
        <v>3</v>
      </c>
      <c r="AG245">
        <f>IF($A245="","",IFERROR(VLOOKUP($B245,_CONFIG_Risk_Calibration!$A$5:$H$21,3,FALSE),0))</f>
        <v>0</v>
      </c>
      <c r="AH245">
        <f>IF($A245="","",IFERROR(VLOOKUP($B245,_CONFIG_Risk_Calibration!$A$5:$H$21,4,FALSE),3))</f>
        <v>3</v>
      </c>
      <c r="AI245">
        <f>IF($A245="","",IFERROR(VLOOKUP($B245,_CONFIG_Risk_Calibration!$A$5:$H$21,5,FALSE),3))</f>
        <v>4</v>
      </c>
      <c r="AJ245" t="str">
        <f>IF($A245="","",IFERROR(VLOOKUP($B245,_CONFIG_Risk_Calibration!$A$5:$H$21,6,FALSE),"No"))</f>
        <v>No</v>
      </c>
      <c r="AK245">
        <f>IF($A245="","",IFERROR(VLOOKUP($B245,_CONFIG_Risk_Calibration!$A$5:$H$21,7,FALSE),1))</f>
        <v>1</v>
      </c>
      <c r="AL245" t="str">
        <f>IF($A245="","",IFERROR(VLOOKUP($B245,_CONFIG_Risk_Calibration!$A$5:$H$21,8,FALSE),""))</f>
        <v>Clean template default. Calibrate with real exposure, incident history, evidence quality and domain-owner validation.</v>
      </c>
      <c r="AM245">
        <f>IF($A245="","",IFERROR(INDEX(_DATA_Assessment_Model!$AL$1:$AL$428,MATCH($A245,_DATA_Assessment_Model!$A$1:$A$428,0)),""))</f>
        <v>0</v>
      </c>
      <c r="AN245">
        <f t="shared" si="10"/>
        <v>1</v>
      </c>
      <c r="AO245">
        <f>IF($A245="","",_CONFIG_Model_Settings!$B$172*MAX(N($AK245),(N($AF245)+N($AI245))/2))</f>
        <v>70</v>
      </c>
      <c r="AP245">
        <f t="shared" si="11"/>
        <v>70</v>
      </c>
      <c r="AQ245">
        <f>IF($AP245="","",MAX(0,$AP245*(1-(_CONFIG_Model_Settings!$B$173+_CONFIG_Model_Settings!$B$174*(N($AH245)-1)))))</f>
        <v>45.5</v>
      </c>
      <c r="AR245">
        <f>IF($AP245="","",MIN(100,$AP245*(1+(_CONFIG_Model_Settings!$B$173+_CONFIG_Model_Settings!$B$174*(N($AH245)-1)))))</f>
        <v>94.5</v>
      </c>
    </row>
    <row r="246" spans="1:44" ht="72" customHeight="1">
      <c r="A246" s="9" t="s">
        <v>2229</v>
      </c>
      <c r="B246" s="9" t="s">
        <v>2145</v>
      </c>
      <c r="C246" s="9" t="s">
        <v>2166</v>
      </c>
      <c r="D246" s="9" t="s">
        <v>3688</v>
      </c>
      <c r="E246" s="9" t="s">
        <v>2230</v>
      </c>
      <c r="F246" s="9" t="s">
        <v>8006</v>
      </c>
      <c r="G246" s="9" t="s">
        <v>8007</v>
      </c>
      <c r="H246" s="9" t="s">
        <v>8008</v>
      </c>
      <c r="I246" s="9" t="s">
        <v>8009</v>
      </c>
      <c r="J246" s="9" t="s">
        <v>8010</v>
      </c>
      <c r="K246" s="9" t="s">
        <v>8011</v>
      </c>
      <c r="L246" s="9" t="s">
        <v>8012</v>
      </c>
      <c r="M246" s="9" t="s">
        <v>8013</v>
      </c>
      <c r="N246" s="9" t="s">
        <v>8014</v>
      </c>
      <c r="O246" s="9" t="s">
        <v>8015</v>
      </c>
      <c r="P246" s="9" t="s">
        <v>8016</v>
      </c>
      <c r="Q246" s="9" t="s">
        <v>8017</v>
      </c>
      <c r="R246" s="9" t="s">
        <v>4589</v>
      </c>
      <c r="S246" s="9" t="s">
        <v>8018</v>
      </c>
      <c r="T246" s="9">
        <v>4</v>
      </c>
      <c r="U246" s="9">
        <v>3</v>
      </c>
      <c r="V246" s="9">
        <v>3</v>
      </c>
      <c r="W246" s="9">
        <v>2</v>
      </c>
      <c r="X246" s="9">
        <v>1</v>
      </c>
      <c r="Y246" s="9">
        <v>1</v>
      </c>
      <c r="Z246" s="9" t="s">
        <v>2150</v>
      </c>
      <c r="AA246" s="9" t="s">
        <v>2231</v>
      </c>
      <c r="AB246" s="9" t="s">
        <v>2152</v>
      </c>
      <c r="AC246" s="9" t="s">
        <v>7780</v>
      </c>
      <c r="AD246" s="9" t="s">
        <v>8019</v>
      </c>
      <c r="AE246" t="str">
        <f t="shared" si="9"/>
        <v>Fast</v>
      </c>
      <c r="AF246">
        <f>IF($A246="","",IFERROR(VLOOKUP($B246,_CONFIG_Risk_Calibration!$A$5:$H$21,2,FALSE),3))</f>
        <v>3</v>
      </c>
      <c r="AG246">
        <f>IF($A246="","",IFERROR(VLOOKUP($B246,_CONFIG_Risk_Calibration!$A$5:$H$21,3,FALSE),0))</f>
        <v>0</v>
      </c>
      <c r="AH246">
        <f>IF($A246="","",IFERROR(VLOOKUP($B246,_CONFIG_Risk_Calibration!$A$5:$H$21,4,FALSE),3))</f>
        <v>3</v>
      </c>
      <c r="AI246">
        <f>IF($A246="","",IFERROR(VLOOKUP($B246,_CONFIG_Risk_Calibration!$A$5:$H$21,5,FALSE),3))</f>
        <v>4</v>
      </c>
      <c r="AJ246" t="str">
        <f>IF($A246="","",IFERROR(VLOOKUP($B246,_CONFIG_Risk_Calibration!$A$5:$H$21,6,FALSE),"No"))</f>
        <v>No</v>
      </c>
      <c r="AK246">
        <f>IF($A246="","",IFERROR(VLOOKUP($B246,_CONFIG_Risk_Calibration!$A$5:$H$21,7,FALSE),1))</f>
        <v>1</v>
      </c>
      <c r="AL246" t="str">
        <f>IF($A246="","",IFERROR(VLOOKUP($B246,_CONFIG_Risk_Calibration!$A$5:$H$21,8,FALSE),""))</f>
        <v>Clean template default. Calibrate with real exposure, incident history, evidence quality and domain-owner validation.</v>
      </c>
      <c r="AM246">
        <f>IF($A246="","",IFERROR(INDEX(_DATA_Assessment_Model!$AL$1:$AL$428,MATCH($A246,_DATA_Assessment_Model!$A$1:$A$428,0)),""))</f>
        <v>0</v>
      </c>
      <c r="AN246">
        <f t="shared" si="10"/>
        <v>1</v>
      </c>
      <c r="AO246">
        <f>IF($A246="","",_CONFIG_Model_Settings!$B$172*MAX(N($AK246),(N($AF246)+N($AI246))/2))</f>
        <v>70</v>
      </c>
      <c r="AP246">
        <f t="shared" si="11"/>
        <v>70</v>
      </c>
      <c r="AQ246">
        <f>IF($AP246="","",MAX(0,$AP246*(1-(_CONFIG_Model_Settings!$B$173+_CONFIG_Model_Settings!$B$174*(N($AH246)-1)))))</f>
        <v>45.5</v>
      </c>
      <c r="AR246">
        <f>IF($AP246="","",MIN(100,$AP246*(1+(_CONFIG_Model_Settings!$B$173+_CONFIG_Model_Settings!$B$174*(N($AH246)-1)))))</f>
        <v>94.5</v>
      </c>
    </row>
    <row r="247" spans="1:44" ht="84" customHeight="1">
      <c r="A247" s="9" t="s">
        <v>2232</v>
      </c>
      <c r="B247" s="9" t="s">
        <v>2145</v>
      </c>
      <c r="C247" s="9" t="s">
        <v>2170</v>
      </c>
      <c r="D247" s="9" t="s">
        <v>3688</v>
      </c>
      <c r="E247" s="9" t="s">
        <v>2233</v>
      </c>
      <c r="F247" s="9" t="s">
        <v>8020</v>
      </c>
      <c r="G247" s="9" t="s">
        <v>8021</v>
      </c>
      <c r="H247" s="9" t="s">
        <v>8022</v>
      </c>
      <c r="I247" s="9" t="s">
        <v>8023</v>
      </c>
      <c r="J247" s="9" t="s">
        <v>8024</v>
      </c>
      <c r="K247" s="9" t="s">
        <v>8025</v>
      </c>
      <c r="L247" s="9" t="s">
        <v>8026</v>
      </c>
      <c r="M247" s="9" t="s">
        <v>8027</v>
      </c>
      <c r="N247" s="9" t="s">
        <v>8028</v>
      </c>
      <c r="O247" s="9" t="s">
        <v>8029</v>
      </c>
      <c r="P247" s="9" t="s">
        <v>8030</v>
      </c>
      <c r="Q247" s="9" t="s">
        <v>8031</v>
      </c>
      <c r="R247" s="9" t="s">
        <v>4589</v>
      </c>
      <c r="S247" s="9" t="s">
        <v>8032</v>
      </c>
      <c r="T247" s="9">
        <v>4</v>
      </c>
      <c r="U247" s="9">
        <v>3</v>
      </c>
      <c r="V247" s="9">
        <v>3</v>
      </c>
      <c r="W247" s="9">
        <v>2</v>
      </c>
      <c r="X247" s="9">
        <v>1</v>
      </c>
      <c r="Y247" s="9">
        <v>1</v>
      </c>
      <c r="Z247" s="9" t="s">
        <v>2150</v>
      </c>
      <c r="AA247" s="9" t="s">
        <v>2234</v>
      </c>
      <c r="AB247" s="9" t="s">
        <v>2152</v>
      </c>
      <c r="AC247" s="9" t="s">
        <v>7780</v>
      </c>
      <c r="AD247" s="9" t="s">
        <v>8033</v>
      </c>
      <c r="AE247" t="str">
        <f t="shared" si="9"/>
        <v>Fast</v>
      </c>
      <c r="AF247">
        <f>IF($A247="","",IFERROR(VLOOKUP($B247,_CONFIG_Risk_Calibration!$A$5:$H$21,2,FALSE),3))</f>
        <v>3</v>
      </c>
      <c r="AG247">
        <f>IF($A247="","",IFERROR(VLOOKUP($B247,_CONFIG_Risk_Calibration!$A$5:$H$21,3,FALSE),0))</f>
        <v>0</v>
      </c>
      <c r="AH247">
        <f>IF($A247="","",IFERROR(VLOOKUP($B247,_CONFIG_Risk_Calibration!$A$5:$H$21,4,FALSE),3))</f>
        <v>3</v>
      </c>
      <c r="AI247">
        <f>IF($A247="","",IFERROR(VLOOKUP($B247,_CONFIG_Risk_Calibration!$A$5:$H$21,5,FALSE),3))</f>
        <v>4</v>
      </c>
      <c r="AJ247" t="str">
        <f>IF($A247="","",IFERROR(VLOOKUP($B247,_CONFIG_Risk_Calibration!$A$5:$H$21,6,FALSE),"No"))</f>
        <v>No</v>
      </c>
      <c r="AK247">
        <f>IF($A247="","",IFERROR(VLOOKUP($B247,_CONFIG_Risk_Calibration!$A$5:$H$21,7,FALSE),1))</f>
        <v>1</v>
      </c>
      <c r="AL247" t="str">
        <f>IF($A247="","",IFERROR(VLOOKUP($B247,_CONFIG_Risk_Calibration!$A$5:$H$21,8,FALSE),""))</f>
        <v>Clean template default. Calibrate with real exposure, incident history, evidence quality and domain-owner validation.</v>
      </c>
      <c r="AM247">
        <f>IF($A247="","",IFERROR(INDEX(_DATA_Assessment_Model!$AL$1:$AL$428,MATCH($A247,_DATA_Assessment_Model!$A$1:$A$428,0)),""))</f>
        <v>0</v>
      </c>
      <c r="AN247">
        <f t="shared" si="10"/>
        <v>1</v>
      </c>
      <c r="AO247">
        <f>IF($A247="","",_CONFIG_Model_Settings!$B$172*MAX(N($AK247),(N($AF247)+N($AI247))/2))</f>
        <v>70</v>
      </c>
      <c r="AP247">
        <f t="shared" si="11"/>
        <v>70</v>
      </c>
      <c r="AQ247">
        <f>IF($AP247="","",MAX(0,$AP247*(1-(_CONFIG_Model_Settings!$B$173+_CONFIG_Model_Settings!$B$174*(N($AH247)-1)))))</f>
        <v>45.5</v>
      </c>
      <c r="AR247">
        <f>IF($AP247="","",MIN(100,$AP247*(1+(_CONFIG_Model_Settings!$B$173+_CONFIG_Model_Settings!$B$174*(N($AH247)-1)))))</f>
        <v>94.5</v>
      </c>
    </row>
    <row r="248" spans="1:44" ht="72" customHeight="1">
      <c r="A248" s="9" t="s">
        <v>2235</v>
      </c>
      <c r="B248" s="9" t="s">
        <v>2145</v>
      </c>
      <c r="C248" s="9" t="s">
        <v>2170</v>
      </c>
      <c r="D248" s="9" t="s">
        <v>3688</v>
      </c>
      <c r="E248" s="9" t="s">
        <v>2236</v>
      </c>
      <c r="F248" s="9" t="s">
        <v>8034</v>
      </c>
      <c r="G248" s="9" t="s">
        <v>8035</v>
      </c>
      <c r="H248" s="9" t="s">
        <v>8036</v>
      </c>
      <c r="I248" s="9" t="s">
        <v>8037</v>
      </c>
      <c r="J248" s="9" t="s">
        <v>8038</v>
      </c>
      <c r="K248" s="9" t="s">
        <v>8039</v>
      </c>
      <c r="L248" s="9" t="s">
        <v>8040</v>
      </c>
      <c r="M248" s="9" t="s">
        <v>8041</v>
      </c>
      <c r="N248" s="9" t="s">
        <v>8042</v>
      </c>
      <c r="O248" s="9" t="s">
        <v>8043</v>
      </c>
      <c r="P248" s="9" t="s">
        <v>8044</v>
      </c>
      <c r="Q248" s="9" t="s">
        <v>8045</v>
      </c>
      <c r="R248" s="9" t="s">
        <v>4589</v>
      </c>
      <c r="S248" s="9" t="s">
        <v>8046</v>
      </c>
      <c r="T248" s="9">
        <v>4</v>
      </c>
      <c r="U248" s="9">
        <v>3</v>
      </c>
      <c r="V248" s="9">
        <v>3</v>
      </c>
      <c r="W248" s="9">
        <v>2</v>
      </c>
      <c r="X248" s="9">
        <v>1</v>
      </c>
      <c r="Y248" s="9">
        <v>1</v>
      </c>
      <c r="Z248" s="9" t="s">
        <v>2150</v>
      </c>
      <c r="AA248" s="9" t="s">
        <v>2237</v>
      </c>
      <c r="AB248" s="9" t="s">
        <v>2152</v>
      </c>
      <c r="AC248" s="9" t="s">
        <v>7780</v>
      </c>
      <c r="AD248" s="9" t="s">
        <v>8047</v>
      </c>
      <c r="AE248" t="str">
        <f t="shared" si="9"/>
        <v>Fast</v>
      </c>
      <c r="AF248">
        <f>IF($A248="","",IFERROR(VLOOKUP($B248,_CONFIG_Risk_Calibration!$A$5:$H$21,2,FALSE),3))</f>
        <v>3</v>
      </c>
      <c r="AG248">
        <f>IF($A248="","",IFERROR(VLOOKUP($B248,_CONFIG_Risk_Calibration!$A$5:$H$21,3,FALSE),0))</f>
        <v>0</v>
      </c>
      <c r="AH248">
        <f>IF($A248="","",IFERROR(VLOOKUP($B248,_CONFIG_Risk_Calibration!$A$5:$H$21,4,FALSE),3))</f>
        <v>3</v>
      </c>
      <c r="AI248">
        <f>IF($A248="","",IFERROR(VLOOKUP($B248,_CONFIG_Risk_Calibration!$A$5:$H$21,5,FALSE),3))</f>
        <v>4</v>
      </c>
      <c r="AJ248" t="str">
        <f>IF($A248="","",IFERROR(VLOOKUP($B248,_CONFIG_Risk_Calibration!$A$5:$H$21,6,FALSE),"No"))</f>
        <v>No</v>
      </c>
      <c r="AK248">
        <f>IF($A248="","",IFERROR(VLOOKUP($B248,_CONFIG_Risk_Calibration!$A$5:$H$21,7,FALSE),1))</f>
        <v>1</v>
      </c>
      <c r="AL248" t="str">
        <f>IF($A248="","",IFERROR(VLOOKUP($B248,_CONFIG_Risk_Calibration!$A$5:$H$21,8,FALSE),""))</f>
        <v>Clean template default. Calibrate with real exposure, incident history, evidence quality and domain-owner validation.</v>
      </c>
      <c r="AM248">
        <f>IF($A248="","",IFERROR(INDEX(_DATA_Assessment_Model!$AL$1:$AL$428,MATCH($A248,_DATA_Assessment_Model!$A$1:$A$428,0)),""))</f>
        <v>0</v>
      </c>
      <c r="AN248">
        <f t="shared" si="10"/>
        <v>1</v>
      </c>
      <c r="AO248">
        <f>IF($A248="","",_CONFIG_Model_Settings!$B$172*MAX(N($AK248),(N($AF248)+N($AI248))/2))</f>
        <v>70</v>
      </c>
      <c r="AP248">
        <f t="shared" si="11"/>
        <v>70</v>
      </c>
      <c r="AQ248">
        <f>IF($AP248="","",MAX(0,$AP248*(1-(_CONFIG_Model_Settings!$B$173+_CONFIG_Model_Settings!$B$174*(N($AH248)-1)))))</f>
        <v>45.5</v>
      </c>
      <c r="AR248">
        <f>IF($AP248="","",MIN(100,$AP248*(1+(_CONFIG_Model_Settings!$B$173+_CONFIG_Model_Settings!$B$174*(N($AH248)-1)))))</f>
        <v>94.5</v>
      </c>
    </row>
    <row r="249" spans="1:44" ht="72" customHeight="1">
      <c r="A249" s="9" t="s">
        <v>2244</v>
      </c>
      <c r="B249" s="9" t="s">
        <v>2145</v>
      </c>
      <c r="C249" s="9" t="s">
        <v>2170</v>
      </c>
      <c r="D249" s="9" t="s">
        <v>3688</v>
      </c>
      <c r="E249" s="9" t="s">
        <v>2245</v>
      </c>
      <c r="F249" s="9" t="s">
        <v>8048</v>
      </c>
      <c r="G249" s="9" t="s">
        <v>8049</v>
      </c>
      <c r="H249" s="9" t="s">
        <v>8050</v>
      </c>
      <c r="I249" s="9" t="s">
        <v>8051</v>
      </c>
      <c r="J249" s="9" t="s">
        <v>8052</v>
      </c>
      <c r="K249" s="9" t="s">
        <v>8053</v>
      </c>
      <c r="L249" s="9" t="s">
        <v>8054</v>
      </c>
      <c r="M249" s="9" t="s">
        <v>8055</v>
      </c>
      <c r="N249" s="9" t="s">
        <v>8056</v>
      </c>
      <c r="O249" s="9" t="s">
        <v>8057</v>
      </c>
      <c r="P249" s="9" t="s">
        <v>8058</v>
      </c>
      <c r="Q249" s="9" t="s">
        <v>8059</v>
      </c>
      <c r="R249" s="9" t="s">
        <v>4589</v>
      </c>
      <c r="S249" s="9" t="s">
        <v>8060</v>
      </c>
      <c r="T249" s="9">
        <v>4</v>
      </c>
      <c r="U249" s="9">
        <v>3</v>
      </c>
      <c r="V249" s="9">
        <v>3</v>
      </c>
      <c r="W249" s="9">
        <v>2</v>
      </c>
      <c r="X249" s="9">
        <v>1</v>
      </c>
      <c r="Y249" s="9">
        <v>1</v>
      </c>
      <c r="Z249" s="9" t="s">
        <v>2150</v>
      </c>
      <c r="AA249" s="9" t="s">
        <v>2246</v>
      </c>
      <c r="AB249" s="9" t="s">
        <v>2152</v>
      </c>
      <c r="AC249" s="9" t="s">
        <v>7780</v>
      </c>
      <c r="AD249" s="9" t="s">
        <v>8061</v>
      </c>
      <c r="AE249" t="str">
        <f t="shared" si="9"/>
        <v>Fast</v>
      </c>
      <c r="AF249">
        <f>IF($A249="","",IFERROR(VLOOKUP($B249,_CONFIG_Risk_Calibration!$A$5:$H$21,2,FALSE),3))</f>
        <v>3</v>
      </c>
      <c r="AG249">
        <f>IF($A249="","",IFERROR(VLOOKUP($B249,_CONFIG_Risk_Calibration!$A$5:$H$21,3,FALSE),0))</f>
        <v>0</v>
      </c>
      <c r="AH249">
        <f>IF($A249="","",IFERROR(VLOOKUP($B249,_CONFIG_Risk_Calibration!$A$5:$H$21,4,FALSE),3))</f>
        <v>3</v>
      </c>
      <c r="AI249">
        <f>IF($A249="","",IFERROR(VLOOKUP($B249,_CONFIG_Risk_Calibration!$A$5:$H$21,5,FALSE),3))</f>
        <v>4</v>
      </c>
      <c r="AJ249" t="str">
        <f>IF($A249="","",IFERROR(VLOOKUP($B249,_CONFIG_Risk_Calibration!$A$5:$H$21,6,FALSE),"No"))</f>
        <v>No</v>
      </c>
      <c r="AK249">
        <f>IF($A249="","",IFERROR(VLOOKUP($B249,_CONFIG_Risk_Calibration!$A$5:$H$21,7,FALSE),1))</f>
        <v>1</v>
      </c>
      <c r="AL249" t="str">
        <f>IF($A249="","",IFERROR(VLOOKUP($B249,_CONFIG_Risk_Calibration!$A$5:$H$21,8,FALSE),""))</f>
        <v>Clean template default. Calibrate with real exposure, incident history, evidence quality and domain-owner validation.</v>
      </c>
      <c r="AM249">
        <f>IF($A249="","",IFERROR(INDEX(_DATA_Assessment_Model!$AL$1:$AL$428,MATCH($A249,_DATA_Assessment_Model!$A$1:$A$428,0)),""))</f>
        <v>0</v>
      </c>
      <c r="AN249">
        <f t="shared" si="10"/>
        <v>1</v>
      </c>
      <c r="AO249">
        <f>IF($A249="","",_CONFIG_Model_Settings!$B$172*MAX(N($AK249),(N($AF249)+N($AI249))/2))</f>
        <v>70</v>
      </c>
      <c r="AP249">
        <f t="shared" si="11"/>
        <v>70</v>
      </c>
      <c r="AQ249">
        <f>IF($AP249="","",MAX(0,$AP249*(1-(_CONFIG_Model_Settings!$B$173+_CONFIG_Model_Settings!$B$174*(N($AH249)-1)))))</f>
        <v>45.5</v>
      </c>
      <c r="AR249">
        <f>IF($AP249="","",MIN(100,$AP249*(1+(_CONFIG_Model_Settings!$B$173+_CONFIG_Model_Settings!$B$174*(N($AH249)-1)))))</f>
        <v>94.5</v>
      </c>
    </row>
    <row r="250" spans="1:44" ht="84" customHeight="1">
      <c r="A250" s="9" t="s">
        <v>2247</v>
      </c>
      <c r="B250" s="9" t="s">
        <v>2145</v>
      </c>
      <c r="C250" s="9" t="s">
        <v>2170</v>
      </c>
      <c r="D250" s="9" t="s">
        <v>3688</v>
      </c>
      <c r="E250" s="9" t="s">
        <v>2248</v>
      </c>
      <c r="F250" s="9" t="s">
        <v>8062</v>
      </c>
      <c r="G250" s="9" t="s">
        <v>8063</v>
      </c>
      <c r="H250" s="9" t="s">
        <v>8064</v>
      </c>
      <c r="I250" s="9" t="s">
        <v>8065</v>
      </c>
      <c r="J250" s="9" t="s">
        <v>8066</v>
      </c>
      <c r="K250" s="9" t="s">
        <v>8067</v>
      </c>
      <c r="L250" s="9" t="s">
        <v>8068</v>
      </c>
      <c r="M250" s="9" t="s">
        <v>8069</v>
      </c>
      <c r="N250" s="9" t="s">
        <v>8070</v>
      </c>
      <c r="O250" s="9" t="s">
        <v>8071</v>
      </c>
      <c r="P250" s="9" t="s">
        <v>8072</v>
      </c>
      <c r="Q250" s="9" t="s">
        <v>8073</v>
      </c>
      <c r="R250" s="9" t="s">
        <v>4589</v>
      </c>
      <c r="S250" s="9" t="s">
        <v>8074</v>
      </c>
      <c r="T250" s="9">
        <v>4</v>
      </c>
      <c r="U250" s="9">
        <v>3</v>
      </c>
      <c r="V250" s="9">
        <v>3</v>
      </c>
      <c r="W250" s="9">
        <v>2</v>
      </c>
      <c r="X250" s="9">
        <v>1</v>
      </c>
      <c r="Y250" s="9">
        <v>1</v>
      </c>
      <c r="Z250" s="9" t="s">
        <v>2150</v>
      </c>
      <c r="AA250" s="9" t="s">
        <v>2249</v>
      </c>
      <c r="AB250" s="9" t="s">
        <v>2152</v>
      </c>
      <c r="AC250" s="9" t="s">
        <v>7780</v>
      </c>
      <c r="AD250" s="9" t="s">
        <v>8075</v>
      </c>
      <c r="AE250" t="str">
        <f t="shared" si="9"/>
        <v>Fast</v>
      </c>
      <c r="AF250">
        <f>IF($A250="","",IFERROR(VLOOKUP($B250,_CONFIG_Risk_Calibration!$A$5:$H$21,2,FALSE),3))</f>
        <v>3</v>
      </c>
      <c r="AG250">
        <f>IF($A250="","",IFERROR(VLOOKUP($B250,_CONFIG_Risk_Calibration!$A$5:$H$21,3,FALSE),0))</f>
        <v>0</v>
      </c>
      <c r="AH250">
        <f>IF($A250="","",IFERROR(VLOOKUP($B250,_CONFIG_Risk_Calibration!$A$5:$H$21,4,FALSE),3))</f>
        <v>3</v>
      </c>
      <c r="AI250">
        <f>IF($A250="","",IFERROR(VLOOKUP($B250,_CONFIG_Risk_Calibration!$A$5:$H$21,5,FALSE),3))</f>
        <v>4</v>
      </c>
      <c r="AJ250" t="str">
        <f>IF($A250="","",IFERROR(VLOOKUP($B250,_CONFIG_Risk_Calibration!$A$5:$H$21,6,FALSE),"No"))</f>
        <v>No</v>
      </c>
      <c r="AK250">
        <f>IF($A250="","",IFERROR(VLOOKUP($B250,_CONFIG_Risk_Calibration!$A$5:$H$21,7,FALSE),1))</f>
        <v>1</v>
      </c>
      <c r="AL250" t="str">
        <f>IF($A250="","",IFERROR(VLOOKUP($B250,_CONFIG_Risk_Calibration!$A$5:$H$21,8,FALSE),""))</f>
        <v>Clean template default. Calibrate with real exposure, incident history, evidence quality and domain-owner validation.</v>
      </c>
      <c r="AM250">
        <f>IF($A250="","",IFERROR(INDEX(_DATA_Assessment_Model!$AL$1:$AL$428,MATCH($A250,_DATA_Assessment_Model!$A$1:$A$428,0)),""))</f>
        <v>0</v>
      </c>
      <c r="AN250">
        <f t="shared" si="10"/>
        <v>1</v>
      </c>
      <c r="AO250">
        <f>IF($A250="","",_CONFIG_Model_Settings!$B$172*MAX(N($AK250),(N($AF250)+N($AI250))/2))</f>
        <v>70</v>
      </c>
      <c r="AP250">
        <f t="shared" si="11"/>
        <v>70</v>
      </c>
      <c r="AQ250">
        <f>IF($AP250="","",MAX(0,$AP250*(1-(_CONFIG_Model_Settings!$B$173+_CONFIG_Model_Settings!$B$174*(N($AH250)-1)))))</f>
        <v>45.5</v>
      </c>
      <c r="AR250">
        <f>IF($AP250="","",MIN(100,$AP250*(1+(_CONFIG_Model_Settings!$B$173+_CONFIG_Model_Settings!$B$174*(N($AH250)-1)))))</f>
        <v>94.5</v>
      </c>
    </row>
    <row r="251" spans="1:44" ht="72" customHeight="1">
      <c r="A251" s="9" t="s">
        <v>2250</v>
      </c>
      <c r="B251" s="9" t="s">
        <v>2145</v>
      </c>
      <c r="C251" s="9" t="s">
        <v>2170</v>
      </c>
      <c r="D251" s="9" t="s">
        <v>3688</v>
      </c>
      <c r="E251" s="9" t="s">
        <v>2251</v>
      </c>
      <c r="F251" s="9" t="s">
        <v>8076</v>
      </c>
      <c r="G251" s="9" t="s">
        <v>8077</v>
      </c>
      <c r="H251" s="9" t="s">
        <v>8078</v>
      </c>
      <c r="I251" s="9" t="s">
        <v>8079</v>
      </c>
      <c r="J251" s="9" t="s">
        <v>8080</v>
      </c>
      <c r="K251" s="9" t="s">
        <v>8081</v>
      </c>
      <c r="L251" s="9" t="s">
        <v>8082</v>
      </c>
      <c r="M251" s="9" t="s">
        <v>8083</v>
      </c>
      <c r="N251" s="9" t="s">
        <v>8084</v>
      </c>
      <c r="O251" s="9" t="s">
        <v>8085</v>
      </c>
      <c r="P251" s="9" t="s">
        <v>8086</v>
      </c>
      <c r="Q251" s="9" t="s">
        <v>8087</v>
      </c>
      <c r="R251" s="9" t="s">
        <v>4589</v>
      </c>
      <c r="S251" s="9" t="s">
        <v>8088</v>
      </c>
      <c r="T251" s="9">
        <v>4</v>
      </c>
      <c r="U251" s="9">
        <v>3</v>
      </c>
      <c r="V251" s="9">
        <v>3</v>
      </c>
      <c r="W251" s="9">
        <v>2</v>
      </c>
      <c r="X251" s="9">
        <v>1</v>
      </c>
      <c r="Y251" s="9">
        <v>1</v>
      </c>
      <c r="Z251" s="9" t="s">
        <v>2150</v>
      </c>
      <c r="AA251" s="9" t="s">
        <v>2252</v>
      </c>
      <c r="AB251" s="9" t="s">
        <v>2152</v>
      </c>
      <c r="AC251" s="9" t="s">
        <v>7780</v>
      </c>
      <c r="AD251" s="9" t="s">
        <v>8089</v>
      </c>
      <c r="AE251" t="str">
        <f t="shared" si="9"/>
        <v>Fast</v>
      </c>
      <c r="AF251">
        <f>IF($A251="","",IFERROR(VLOOKUP($B251,_CONFIG_Risk_Calibration!$A$5:$H$21,2,FALSE),3))</f>
        <v>3</v>
      </c>
      <c r="AG251">
        <f>IF($A251="","",IFERROR(VLOOKUP($B251,_CONFIG_Risk_Calibration!$A$5:$H$21,3,FALSE),0))</f>
        <v>0</v>
      </c>
      <c r="AH251">
        <f>IF($A251="","",IFERROR(VLOOKUP($B251,_CONFIG_Risk_Calibration!$A$5:$H$21,4,FALSE),3))</f>
        <v>3</v>
      </c>
      <c r="AI251">
        <f>IF($A251="","",IFERROR(VLOOKUP($B251,_CONFIG_Risk_Calibration!$A$5:$H$21,5,FALSE),3))</f>
        <v>4</v>
      </c>
      <c r="AJ251" t="str">
        <f>IF($A251="","",IFERROR(VLOOKUP($B251,_CONFIG_Risk_Calibration!$A$5:$H$21,6,FALSE),"No"))</f>
        <v>No</v>
      </c>
      <c r="AK251">
        <f>IF($A251="","",IFERROR(VLOOKUP($B251,_CONFIG_Risk_Calibration!$A$5:$H$21,7,FALSE),1))</f>
        <v>1</v>
      </c>
      <c r="AL251" t="str">
        <f>IF($A251="","",IFERROR(VLOOKUP($B251,_CONFIG_Risk_Calibration!$A$5:$H$21,8,FALSE),""))</f>
        <v>Clean template default. Calibrate with real exposure, incident history, evidence quality and domain-owner validation.</v>
      </c>
      <c r="AM251">
        <f>IF($A251="","",IFERROR(INDEX(_DATA_Assessment_Model!$AL$1:$AL$428,MATCH($A251,_DATA_Assessment_Model!$A$1:$A$428,0)),""))</f>
        <v>0</v>
      </c>
      <c r="AN251">
        <f t="shared" si="10"/>
        <v>1</v>
      </c>
      <c r="AO251">
        <f>IF($A251="","",_CONFIG_Model_Settings!$B$172*MAX(N($AK251),(N($AF251)+N($AI251))/2))</f>
        <v>70</v>
      </c>
      <c r="AP251">
        <f t="shared" si="11"/>
        <v>70</v>
      </c>
      <c r="AQ251">
        <f>IF($AP251="","",MAX(0,$AP251*(1-(_CONFIG_Model_Settings!$B$173+_CONFIG_Model_Settings!$B$174*(N($AH251)-1)))))</f>
        <v>45.5</v>
      </c>
      <c r="AR251">
        <f>IF($AP251="","",MIN(100,$AP251*(1+(_CONFIG_Model_Settings!$B$173+_CONFIG_Model_Settings!$B$174*(N($AH251)-1)))))</f>
        <v>94.5</v>
      </c>
    </row>
    <row r="252" spans="1:44" ht="72" customHeight="1">
      <c r="A252" s="9" t="s">
        <v>2253</v>
      </c>
      <c r="B252" s="9" t="s">
        <v>2145</v>
      </c>
      <c r="C252" s="9" t="s">
        <v>2170</v>
      </c>
      <c r="D252" s="9" t="s">
        <v>3688</v>
      </c>
      <c r="E252" s="9" t="s">
        <v>2254</v>
      </c>
      <c r="F252" s="9" t="s">
        <v>8090</v>
      </c>
      <c r="G252" s="9" t="s">
        <v>8091</v>
      </c>
      <c r="H252" s="9" t="s">
        <v>8092</v>
      </c>
      <c r="I252" s="9" t="s">
        <v>8093</v>
      </c>
      <c r="J252" s="9" t="s">
        <v>8094</v>
      </c>
      <c r="K252" s="9" t="s">
        <v>8095</v>
      </c>
      <c r="L252" s="9" t="s">
        <v>8096</v>
      </c>
      <c r="M252" s="9" t="s">
        <v>8097</v>
      </c>
      <c r="N252" s="9" t="s">
        <v>8098</v>
      </c>
      <c r="O252" s="9" t="s">
        <v>8099</v>
      </c>
      <c r="P252" s="9" t="s">
        <v>8100</v>
      </c>
      <c r="Q252" s="9" t="s">
        <v>8101</v>
      </c>
      <c r="R252" s="9" t="s">
        <v>4589</v>
      </c>
      <c r="S252" s="9" t="s">
        <v>8102</v>
      </c>
      <c r="T252" s="9">
        <v>4</v>
      </c>
      <c r="U252" s="9">
        <v>3</v>
      </c>
      <c r="V252" s="9">
        <v>3</v>
      </c>
      <c r="W252" s="9">
        <v>2</v>
      </c>
      <c r="X252" s="9">
        <v>1</v>
      </c>
      <c r="Y252" s="9">
        <v>1</v>
      </c>
      <c r="Z252" s="9" t="s">
        <v>2150</v>
      </c>
      <c r="AA252" s="9" t="s">
        <v>2255</v>
      </c>
      <c r="AB252" s="9" t="s">
        <v>2152</v>
      </c>
      <c r="AC252" s="9" t="s">
        <v>7780</v>
      </c>
      <c r="AD252" s="9" t="s">
        <v>8103</v>
      </c>
      <c r="AE252" t="str">
        <f t="shared" si="9"/>
        <v>Fast</v>
      </c>
      <c r="AF252">
        <f>IF($A252="","",IFERROR(VLOOKUP($B252,_CONFIG_Risk_Calibration!$A$5:$H$21,2,FALSE),3))</f>
        <v>3</v>
      </c>
      <c r="AG252">
        <f>IF($A252="","",IFERROR(VLOOKUP($B252,_CONFIG_Risk_Calibration!$A$5:$H$21,3,FALSE),0))</f>
        <v>0</v>
      </c>
      <c r="AH252">
        <f>IF($A252="","",IFERROR(VLOOKUP($B252,_CONFIG_Risk_Calibration!$A$5:$H$21,4,FALSE),3))</f>
        <v>3</v>
      </c>
      <c r="AI252">
        <f>IF($A252="","",IFERROR(VLOOKUP($B252,_CONFIG_Risk_Calibration!$A$5:$H$21,5,FALSE),3))</f>
        <v>4</v>
      </c>
      <c r="AJ252" t="str">
        <f>IF($A252="","",IFERROR(VLOOKUP($B252,_CONFIG_Risk_Calibration!$A$5:$H$21,6,FALSE),"No"))</f>
        <v>No</v>
      </c>
      <c r="AK252">
        <f>IF($A252="","",IFERROR(VLOOKUP($B252,_CONFIG_Risk_Calibration!$A$5:$H$21,7,FALSE),1))</f>
        <v>1</v>
      </c>
      <c r="AL252" t="str">
        <f>IF($A252="","",IFERROR(VLOOKUP($B252,_CONFIG_Risk_Calibration!$A$5:$H$21,8,FALSE),""))</f>
        <v>Clean template default. Calibrate with real exposure, incident history, evidence quality and domain-owner validation.</v>
      </c>
      <c r="AM252">
        <f>IF($A252="","",IFERROR(INDEX(_DATA_Assessment_Model!$AL$1:$AL$428,MATCH($A252,_DATA_Assessment_Model!$A$1:$A$428,0)),""))</f>
        <v>0</v>
      </c>
      <c r="AN252">
        <f t="shared" si="10"/>
        <v>1</v>
      </c>
      <c r="AO252">
        <f>IF($A252="","",_CONFIG_Model_Settings!$B$172*MAX(N($AK252),(N($AF252)+N($AI252))/2))</f>
        <v>70</v>
      </c>
      <c r="AP252">
        <f t="shared" si="11"/>
        <v>70</v>
      </c>
      <c r="AQ252">
        <f>IF($AP252="","",MAX(0,$AP252*(1-(_CONFIG_Model_Settings!$B$173+_CONFIG_Model_Settings!$B$174*(N($AH252)-1)))))</f>
        <v>45.5</v>
      </c>
      <c r="AR252">
        <f>IF($AP252="","",MIN(100,$AP252*(1+(_CONFIG_Model_Settings!$B$173+_CONFIG_Model_Settings!$B$174*(N($AH252)-1)))))</f>
        <v>94.5</v>
      </c>
    </row>
    <row r="253" spans="1:44" ht="84" customHeight="1">
      <c r="A253" s="9" t="s">
        <v>2262</v>
      </c>
      <c r="B253" s="9" t="s">
        <v>2145</v>
      </c>
      <c r="C253" s="9" t="s">
        <v>2174</v>
      </c>
      <c r="D253" s="9" t="s">
        <v>3688</v>
      </c>
      <c r="E253" s="9" t="s">
        <v>2263</v>
      </c>
      <c r="F253" s="9" t="s">
        <v>8104</v>
      </c>
      <c r="G253" s="9" t="s">
        <v>8105</v>
      </c>
      <c r="H253" s="9" t="s">
        <v>8106</v>
      </c>
      <c r="I253" s="9" t="s">
        <v>8107</v>
      </c>
      <c r="J253" s="9" t="s">
        <v>8108</v>
      </c>
      <c r="K253" s="9" t="s">
        <v>8109</v>
      </c>
      <c r="L253" s="9" t="s">
        <v>8110</v>
      </c>
      <c r="M253" s="9" t="s">
        <v>8111</v>
      </c>
      <c r="N253" s="9" t="s">
        <v>8112</v>
      </c>
      <c r="O253" s="9" t="s">
        <v>8113</v>
      </c>
      <c r="P253" s="9" t="s">
        <v>8114</v>
      </c>
      <c r="Q253" s="9" t="s">
        <v>8115</v>
      </c>
      <c r="R253" s="9" t="s">
        <v>4589</v>
      </c>
      <c r="S253" s="9" t="s">
        <v>8116</v>
      </c>
      <c r="T253" s="9">
        <v>4</v>
      </c>
      <c r="U253" s="9">
        <v>3</v>
      </c>
      <c r="V253" s="9">
        <v>3</v>
      </c>
      <c r="W253" s="9">
        <v>2</v>
      </c>
      <c r="X253" s="9">
        <v>1</v>
      </c>
      <c r="Y253" s="9">
        <v>1</v>
      </c>
      <c r="Z253" s="9" t="s">
        <v>2150</v>
      </c>
      <c r="AA253" s="9" t="s">
        <v>2264</v>
      </c>
      <c r="AB253" s="9" t="s">
        <v>2152</v>
      </c>
      <c r="AC253" s="9" t="s">
        <v>7780</v>
      </c>
      <c r="AD253" s="9" t="s">
        <v>8117</v>
      </c>
      <c r="AE253" t="str">
        <f t="shared" si="9"/>
        <v>Fast</v>
      </c>
      <c r="AF253">
        <f>IF($A253="","",IFERROR(VLOOKUP($B253,_CONFIG_Risk_Calibration!$A$5:$H$21,2,FALSE),3))</f>
        <v>3</v>
      </c>
      <c r="AG253">
        <f>IF($A253="","",IFERROR(VLOOKUP($B253,_CONFIG_Risk_Calibration!$A$5:$H$21,3,FALSE),0))</f>
        <v>0</v>
      </c>
      <c r="AH253">
        <f>IF($A253="","",IFERROR(VLOOKUP($B253,_CONFIG_Risk_Calibration!$A$5:$H$21,4,FALSE),3))</f>
        <v>3</v>
      </c>
      <c r="AI253">
        <f>IF($A253="","",IFERROR(VLOOKUP($B253,_CONFIG_Risk_Calibration!$A$5:$H$21,5,FALSE),3))</f>
        <v>4</v>
      </c>
      <c r="AJ253" t="str">
        <f>IF($A253="","",IFERROR(VLOOKUP($B253,_CONFIG_Risk_Calibration!$A$5:$H$21,6,FALSE),"No"))</f>
        <v>No</v>
      </c>
      <c r="AK253">
        <f>IF($A253="","",IFERROR(VLOOKUP($B253,_CONFIG_Risk_Calibration!$A$5:$H$21,7,FALSE),1))</f>
        <v>1</v>
      </c>
      <c r="AL253" t="str">
        <f>IF($A253="","",IFERROR(VLOOKUP($B253,_CONFIG_Risk_Calibration!$A$5:$H$21,8,FALSE),""))</f>
        <v>Clean template default. Calibrate with real exposure, incident history, evidence quality and domain-owner validation.</v>
      </c>
      <c r="AM253">
        <f>IF($A253="","",IFERROR(INDEX(_DATA_Assessment_Model!$AL$1:$AL$428,MATCH($A253,_DATA_Assessment_Model!$A$1:$A$428,0)),""))</f>
        <v>0</v>
      </c>
      <c r="AN253">
        <f t="shared" si="10"/>
        <v>1</v>
      </c>
      <c r="AO253">
        <f>IF($A253="","",_CONFIG_Model_Settings!$B$172*MAX(N($AK253),(N($AF253)+N($AI253))/2))</f>
        <v>70</v>
      </c>
      <c r="AP253">
        <f t="shared" si="11"/>
        <v>70</v>
      </c>
      <c r="AQ253">
        <f>IF($AP253="","",MAX(0,$AP253*(1-(_CONFIG_Model_Settings!$B$173+_CONFIG_Model_Settings!$B$174*(N($AH253)-1)))))</f>
        <v>45.5</v>
      </c>
      <c r="AR253">
        <f>IF($AP253="","",MIN(100,$AP253*(1+(_CONFIG_Model_Settings!$B$173+_CONFIG_Model_Settings!$B$174*(N($AH253)-1)))))</f>
        <v>94.5</v>
      </c>
    </row>
    <row r="254" spans="1:44" ht="72" customHeight="1">
      <c r="A254" s="9" t="s">
        <v>2271</v>
      </c>
      <c r="B254" s="9" t="s">
        <v>2145</v>
      </c>
      <c r="C254" s="9" t="s">
        <v>2174</v>
      </c>
      <c r="D254" s="9" t="s">
        <v>3688</v>
      </c>
      <c r="E254" s="9" t="s">
        <v>2272</v>
      </c>
      <c r="F254" s="9" t="s">
        <v>8118</v>
      </c>
      <c r="G254" s="9" t="s">
        <v>8119</v>
      </c>
      <c r="H254" s="9" t="s">
        <v>8120</v>
      </c>
      <c r="I254" s="9" t="s">
        <v>8121</v>
      </c>
      <c r="J254" s="9" t="s">
        <v>8122</v>
      </c>
      <c r="K254" s="9" t="s">
        <v>8123</v>
      </c>
      <c r="L254" s="9" t="s">
        <v>8124</v>
      </c>
      <c r="M254" s="9" t="s">
        <v>8125</v>
      </c>
      <c r="N254" s="9" t="s">
        <v>8126</v>
      </c>
      <c r="O254" s="9" t="s">
        <v>8127</v>
      </c>
      <c r="P254" s="9" t="s">
        <v>8128</v>
      </c>
      <c r="Q254" s="9" t="s">
        <v>8129</v>
      </c>
      <c r="R254" s="9" t="s">
        <v>4589</v>
      </c>
      <c r="S254" s="9" t="s">
        <v>8130</v>
      </c>
      <c r="T254" s="9">
        <v>4</v>
      </c>
      <c r="U254" s="9">
        <v>3</v>
      </c>
      <c r="V254" s="9">
        <v>3</v>
      </c>
      <c r="W254" s="9">
        <v>2</v>
      </c>
      <c r="X254" s="9">
        <v>1</v>
      </c>
      <c r="Y254" s="9">
        <v>1</v>
      </c>
      <c r="Z254" s="9" t="s">
        <v>2150</v>
      </c>
      <c r="AA254" s="9" t="s">
        <v>2273</v>
      </c>
      <c r="AB254" s="9" t="s">
        <v>2152</v>
      </c>
      <c r="AC254" s="9" t="s">
        <v>7780</v>
      </c>
      <c r="AD254" s="9" t="s">
        <v>8131</v>
      </c>
      <c r="AE254" t="str">
        <f t="shared" si="9"/>
        <v>Fast</v>
      </c>
      <c r="AF254">
        <f>IF($A254="","",IFERROR(VLOOKUP($B254,_CONFIG_Risk_Calibration!$A$5:$H$21,2,FALSE),3))</f>
        <v>3</v>
      </c>
      <c r="AG254">
        <f>IF($A254="","",IFERROR(VLOOKUP($B254,_CONFIG_Risk_Calibration!$A$5:$H$21,3,FALSE),0))</f>
        <v>0</v>
      </c>
      <c r="AH254">
        <f>IF($A254="","",IFERROR(VLOOKUP($B254,_CONFIG_Risk_Calibration!$A$5:$H$21,4,FALSE),3))</f>
        <v>3</v>
      </c>
      <c r="AI254">
        <f>IF($A254="","",IFERROR(VLOOKUP($B254,_CONFIG_Risk_Calibration!$A$5:$H$21,5,FALSE),3))</f>
        <v>4</v>
      </c>
      <c r="AJ254" t="str">
        <f>IF($A254="","",IFERROR(VLOOKUP($B254,_CONFIG_Risk_Calibration!$A$5:$H$21,6,FALSE),"No"))</f>
        <v>No</v>
      </c>
      <c r="AK254">
        <f>IF($A254="","",IFERROR(VLOOKUP($B254,_CONFIG_Risk_Calibration!$A$5:$H$21,7,FALSE),1))</f>
        <v>1</v>
      </c>
      <c r="AL254" t="str">
        <f>IF($A254="","",IFERROR(VLOOKUP($B254,_CONFIG_Risk_Calibration!$A$5:$H$21,8,FALSE),""))</f>
        <v>Clean template default. Calibrate with real exposure, incident history, evidence quality and domain-owner validation.</v>
      </c>
      <c r="AM254">
        <f>IF($A254="","",IFERROR(INDEX(_DATA_Assessment_Model!$AL$1:$AL$428,MATCH($A254,_DATA_Assessment_Model!$A$1:$A$428,0)),""))</f>
        <v>0</v>
      </c>
      <c r="AN254">
        <f t="shared" si="10"/>
        <v>1</v>
      </c>
      <c r="AO254">
        <f>IF($A254="","",_CONFIG_Model_Settings!$B$172*MAX(N($AK254),(N($AF254)+N($AI254))/2))</f>
        <v>70</v>
      </c>
      <c r="AP254">
        <f t="shared" si="11"/>
        <v>70</v>
      </c>
      <c r="AQ254">
        <f>IF($AP254="","",MAX(0,$AP254*(1-(_CONFIG_Model_Settings!$B$173+_CONFIG_Model_Settings!$B$174*(N($AH254)-1)))))</f>
        <v>45.5</v>
      </c>
      <c r="AR254">
        <f>IF($AP254="","",MIN(100,$AP254*(1+(_CONFIG_Model_Settings!$B$173+_CONFIG_Model_Settings!$B$174*(N($AH254)-1)))))</f>
        <v>94.5</v>
      </c>
    </row>
    <row r="255" spans="1:44" ht="72" customHeight="1">
      <c r="A255" s="9" t="s">
        <v>2280</v>
      </c>
      <c r="B255" s="9" t="s">
        <v>2145</v>
      </c>
      <c r="C255" s="9" t="s">
        <v>2174</v>
      </c>
      <c r="D255" s="9" t="s">
        <v>3688</v>
      </c>
      <c r="E255" s="9" t="s">
        <v>2281</v>
      </c>
      <c r="F255" s="9" t="s">
        <v>8132</v>
      </c>
      <c r="G255" s="9" t="s">
        <v>8133</v>
      </c>
      <c r="H255" s="9" t="s">
        <v>8134</v>
      </c>
      <c r="I255" s="9" t="s">
        <v>8135</v>
      </c>
      <c r="J255" s="9" t="s">
        <v>8136</v>
      </c>
      <c r="K255" s="9" t="s">
        <v>8137</v>
      </c>
      <c r="L255" s="9" t="s">
        <v>8138</v>
      </c>
      <c r="M255" s="9" t="s">
        <v>8139</v>
      </c>
      <c r="N255" s="9" t="s">
        <v>8140</v>
      </c>
      <c r="O255" s="9" t="s">
        <v>8141</v>
      </c>
      <c r="P255" s="9" t="s">
        <v>8142</v>
      </c>
      <c r="Q255" s="9" t="s">
        <v>8143</v>
      </c>
      <c r="R255" s="9" t="s">
        <v>4589</v>
      </c>
      <c r="S255" s="9" t="s">
        <v>8144</v>
      </c>
      <c r="T255" s="9">
        <v>4</v>
      </c>
      <c r="U255" s="9">
        <v>3</v>
      </c>
      <c r="V255" s="9">
        <v>3</v>
      </c>
      <c r="W255" s="9">
        <v>2</v>
      </c>
      <c r="X255" s="9">
        <v>1</v>
      </c>
      <c r="Y255" s="9">
        <v>1</v>
      </c>
      <c r="Z255" s="9" t="s">
        <v>2150</v>
      </c>
      <c r="AA255" s="9" t="s">
        <v>2282</v>
      </c>
      <c r="AB255" s="9" t="s">
        <v>2152</v>
      </c>
      <c r="AC255" s="9" t="s">
        <v>7780</v>
      </c>
      <c r="AD255" s="9" t="s">
        <v>8145</v>
      </c>
      <c r="AE255" t="str">
        <f t="shared" si="9"/>
        <v>Fast</v>
      </c>
      <c r="AF255">
        <f>IF($A255="","",IFERROR(VLOOKUP($B255,_CONFIG_Risk_Calibration!$A$5:$H$21,2,FALSE),3))</f>
        <v>3</v>
      </c>
      <c r="AG255">
        <f>IF($A255="","",IFERROR(VLOOKUP($B255,_CONFIG_Risk_Calibration!$A$5:$H$21,3,FALSE),0))</f>
        <v>0</v>
      </c>
      <c r="AH255">
        <f>IF($A255="","",IFERROR(VLOOKUP($B255,_CONFIG_Risk_Calibration!$A$5:$H$21,4,FALSE),3))</f>
        <v>3</v>
      </c>
      <c r="AI255">
        <f>IF($A255="","",IFERROR(VLOOKUP($B255,_CONFIG_Risk_Calibration!$A$5:$H$21,5,FALSE),3))</f>
        <v>4</v>
      </c>
      <c r="AJ255" t="str">
        <f>IF($A255="","",IFERROR(VLOOKUP($B255,_CONFIG_Risk_Calibration!$A$5:$H$21,6,FALSE),"No"))</f>
        <v>No</v>
      </c>
      <c r="AK255">
        <f>IF($A255="","",IFERROR(VLOOKUP($B255,_CONFIG_Risk_Calibration!$A$5:$H$21,7,FALSE),1))</f>
        <v>1</v>
      </c>
      <c r="AL255" t="str">
        <f>IF($A255="","",IFERROR(VLOOKUP($B255,_CONFIG_Risk_Calibration!$A$5:$H$21,8,FALSE),""))</f>
        <v>Clean template default. Calibrate with real exposure, incident history, evidence quality and domain-owner validation.</v>
      </c>
      <c r="AM255">
        <f>IF($A255="","",IFERROR(INDEX(_DATA_Assessment_Model!$AL$1:$AL$428,MATCH($A255,_DATA_Assessment_Model!$A$1:$A$428,0)),""))</f>
        <v>0</v>
      </c>
      <c r="AN255">
        <f t="shared" si="10"/>
        <v>1</v>
      </c>
      <c r="AO255">
        <f>IF($A255="","",_CONFIG_Model_Settings!$B$172*MAX(N($AK255),(N($AF255)+N($AI255))/2))</f>
        <v>70</v>
      </c>
      <c r="AP255">
        <f t="shared" si="11"/>
        <v>70</v>
      </c>
      <c r="AQ255">
        <f>IF($AP255="","",MAX(0,$AP255*(1-(_CONFIG_Model_Settings!$B$173+_CONFIG_Model_Settings!$B$174*(N($AH255)-1)))))</f>
        <v>45.5</v>
      </c>
      <c r="AR255">
        <f>IF($AP255="","",MIN(100,$AP255*(1+(_CONFIG_Model_Settings!$B$173+_CONFIG_Model_Settings!$B$174*(N($AH255)-1)))))</f>
        <v>94.5</v>
      </c>
    </row>
    <row r="256" spans="1:44" ht="72" customHeight="1">
      <c r="A256" s="9" t="s">
        <v>2283</v>
      </c>
      <c r="B256" s="9" t="s">
        <v>2145</v>
      </c>
      <c r="C256" s="9" t="s">
        <v>2174</v>
      </c>
      <c r="D256" s="9" t="s">
        <v>3688</v>
      </c>
      <c r="E256" s="9" t="s">
        <v>2284</v>
      </c>
      <c r="F256" s="9" t="s">
        <v>8146</v>
      </c>
      <c r="G256" s="9" t="s">
        <v>8147</v>
      </c>
      <c r="H256" s="9" t="s">
        <v>8148</v>
      </c>
      <c r="I256" s="9" t="s">
        <v>8149</v>
      </c>
      <c r="J256" s="9" t="s">
        <v>8150</v>
      </c>
      <c r="K256" s="9" t="s">
        <v>8151</v>
      </c>
      <c r="L256" s="9" t="s">
        <v>8152</v>
      </c>
      <c r="M256" s="9" t="s">
        <v>8153</v>
      </c>
      <c r="N256" s="9" t="s">
        <v>8154</v>
      </c>
      <c r="O256" s="9" t="s">
        <v>8155</v>
      </c>
      <c r="P256" s="9" t="s">
        <v>8156</v>
      </c>
      <c r="Q256" s="9" t="s">
        <v>8157</v>
      </c>
      <c r="R256" s="9" t="s">
        <v>4589</v>
      </c>
      <c r="S256" s="9" t="s">
        <v>8158</v>
      </c>
      <c r="T256" s="9">
        <v>4</v>
      </c>
      <c r="U256" s="9">
        <v>3</v>
      </c>
      <c r="V256" s="9">
        <v>3</v>
      </c>
      <c r="W256" s="9">
        <v>2</v>
      </c>
      <c r="X256" s="9">
        <v>1</v>
      </c>
      <c r="Y256" s="9">
        <v>1</v>
      </c>
      <c r="Z256" s="9" t="s">
        <v>2150</v>
      </c>
      <c r="AA256" s="9" t="s">
        <v>2285</v>
      </c>
      <c r="AB256" s="9" t="s">
        <v>2152</v>
      </c>
      <c r="AC256" s="9" t="s">
        <v>7780</v>
      </c>
      <c r="AD256" s="9" t="s">
        <v>8159</v>
      </c>
      <c r="AE256" t="str">
        <f t="shared" si="9"/>
        <v>Fast</v>
      </c>
      <c r="AF256">
        <f>IF($A256="","",IFERROR(VLOOKUP($B256,_CONFIG_Risk_Calibration!$A$5:$H$21,2,FALSE),3))</f>
        <v>3</v>
      </c>
      <c r="AG256">
        <f>IF($A256="","",IFERROR(VLOOKUP($B256,_CONFIG_Risk_Calibration!$A$5:$H$21,3,FALSE),0))</f>
        <v>0</v>
      </c>
      <c r="AH256">
        <f>IF($A256="","",IFERROR(VLOOKUP($B256,_CONFIG_Risk_Calibration!$A$5:$H$21,4,FALSE),3))</f>
        <v>3</v>
      </c>
      <c r="AI256">
        <f>IF($A256="","",IFERROR(VLOOKUP($B256,_CONFIG_Risk_Calibration!$A$5:$H$21,5,FALSE),3))</f>
        <v>4</v>
      </c>
      <c r="AJ256" t="str">
        <f>IF($A256="","",IFERROR(VLOOKUP($B256,_CONFIG_Risk_Calibration!$A$5:$H$21,6,FALSE),"No"))</f>
        <v>No</v>
      </c>
      <c r="AK256">
        <f>IF($A256="","",IFERROR(VLOOKUP($B256,_CONFIG_Risk_Calibration!$A$5:$H$21,7,FALSE),1))</f>
        <v>1</v>
      </c>
      <c r="AL256" t="str">
        <f>IF($A256="","",IFERROR(VLOOKUP($B256,_CONFIG_Risk_Calibration!$A$5:$H$21,8,FALSE),""))</f>
        <v>Clean template default. Calibrate with real exposure, incident history, evidence quality and domain-owner validation.</v>
      </c>
      <c r="AM256">
        <f>IF($A256="","",IFERROR(INDEX(_DATA_Assessment_Model!$AL$1:$AL$428,MATCH($A256,_DATA_Assessment_Model!$A$1:$A$428,0)),""))</f>
        <v>0</v>
      </c>
      <c r="AN256">
        <f t="shared" si="10"/>
        <v>1</v>
      </c>
      <c r="AO256">
        <f>IF($A256="","",_CONFIG_Model_Settings!$B$172*MAX(N($AK256),(N($AF256)+N($AI256))/2))</f>
        <v>70</v>
      </c>
      <c r="AP256">
        <f t="shared" si="11"/>
        <v>70</v>
      </c>
      <c r="AQ256">
        <f>IF($AP256="","",MAX(0,$AP256*(1-(_CONFIG_Model_Settings!$B$173+_CONFIG_Model_Settings!$B$174*(N($AH256)-1)))))</f>
        <v>45.5</v>
      </c>
      <c r="AR256">
        <f>IF($AP256="","",MIN(100,$AP256*(1+(_CONFIG_Model_Settings!$B$173+_CONFIG_Model_Settings!$B$174*(N($AH256)-1)))))</f>
        <v>94.5</v>
      </c>
    </row>
    <row r="257" spans="1:44" ht="72" customHeight="1">
      <c r="A257" s="9" t="s">
        <v>2287</v>
      </c>
      <c r="B257" s="9" t="s">
        <v>2286</v>
      </c>
      <c r="C257" s="9" t="s">
        <v>2288</v>
      </c>
      <c r="D257" s="9" t="s">
        <v>3689</v>
      </c>
      <c r="E257" s="9" t="s">
        <v>2289</v>
      </c>
      <c r="F257" s="9" t="s">
        <v>8160</v>
      </c>
      <c r="G257" s="9" t="s">
        <v>8161</v>
      </c>
      <c r="H257" s="9" t="s">
        <v>8162</v>
      </c>
      <c r="I257" s="9" t="s">
        <v>8163</v>
      </c>
      <c r="J257" s="9" t="s">
        <v>8164</v>
      </c>
      <c r="K257" s="9" t="s">
        <v>8165</v>
      </c>
      <c r="L257" s="9" t="s">
        <v>8166</v>
      </c>
      <c r="M257" s="9" t="s">
        <v>8167</v>
      </c>
      <c r="N257" s="9" t="s">
        <v>8168</v>
      </c>
      <c r="O257" s="9" t="s">
        <v>8169</v>
      </c>
      <c r="P257" s="9" t="s">
        <v>8170</v>
      </c>
      <c r="Q257" s="9" t="s">
        <v>8171</v>
      </c>
      <c r="R257" s="9" t="s">
        <v>4589</v>
      </c>
      <c r="S257" s="9" t="s">
        <v>8172</v>
      </c>
      <c r="T257" s="9">
        <v>3</v>
      </c>
      <c r="U257" s="9">
        <v>3</v>
      </c>
      <c r="V257" s="9">
        <v>2</v>
      </c>
      <c r="W257" s="9">
        <v>2</v>
      </c>
      <c r="X257" s="9">
        <v>1</v>
      </c>
      <c r="Y257" s="9">
        <v>1</v>
      </c>
      <c r="Z257" s="9" t="s">
        <v>2291</v>
      </c>
      <c r="AA257" s="9" t="s">
        <v>2292</v>
      </c>
      <c r="AB257" s="9" t="s">
        <v>2299</v>
      </c>
      <c r="AC257" s="9" t="s">
        <v>8173</v>
      </c>
      <c r="AD257" s="9" t="s">
        <v>8174</v>
      </c>
      <c r="AE257" t="str">
        <f t="shared" si="9"/>
        <v>Fast</v>
      </c>
      <c r="AF257">
        <f>IF($A257="","",IFERROR(VLOOKUP($B257,_CONFIG_Risk_Calibration!$A$5:$H$21,2,FALSE),3))</f>
        <v>3</v>
      </c>
      <c r="AG257">
        <f>IF($A257="","",IFERROR(VLOOKUP($B257,_CONFIG_Risk_Calibration!$A$5:$H$21,3,FALSE),0))</f>
        <v>0</v>
      </c>
      <c r="AH257">
        <f>IF($A257="","",IFERROR(VLOOKUP($B257,_CONFIG_Risk_Calibration!$A$5:$H$21,4,FALSE),3))</f>
        <v>3</v>
      </c>
      <c r="AI257">
        <f>IF($A257="","",IFERROR(VLOOKUP($B257,_CONFIG_Risk_Calibration!$A$5:$H$21,5,FALSE),3))</f>
        <v>3</v>
      </c>
      <c r="AJ257" t="str">
        <f>IF($A257="","",IFERROR(VLOOKUP($B257,_CONFIG_Risk_Calibration!$A$5:$H$21,6,FALSE),"No"))</f>
        <v>No</v>
      </c>
      <c r="AK257">
        <f>IF($A257="","",IFERROR(VLOOKUP($B257,_CONFIG_Risk_Calibration!$A$5:$H$21,7,FALSE),1))</f>
        <v>1</v>
      </c>
      <c r="AL257" t="str">
        <f>IF($A257="","",IFERROR(VLOOKUP($B257,_CONFIG_Risk_Calibration!$A$5:$H$21,8,FALSE),""))</f>
        <v>Clean template default. Calibrate with real exposure, incident history, evidence quality and domain-owner validation.</v>
      </c>
      <c r="AM257">
        <f>IF($A257="","",IFERROR(INDEX(_DATA_Assessment_Model!$AL$1:$AL$428,MATCH($A257,_DATA_Assessment_Model!$A$1:$A$428,0)),""))</f>
        <v>0</v>
      </c>
      <c r="AN257">
        <f t="shared" si="10"/>
        <v>1</v>
      </c>
      <c r="AO257">
        <f>IF($A257="","",_CONFIG_Model_Settings!$B$172*MAX(N($AK257),(N($AF257)+N($AI257))/2))</f>
        <v>60</v>
      </c>
      <c r="AP257">
        <f t="shared" si="11"/>
        <v>60</v>
      </c>
      <c r="AQ257">
        <f>IF($AP257="","",MAX(0,$AP257*(1-(_CONFIG_Model_Settings!$B$173+_CONFIG_Model_Settings!$B$174*(N($AH257)-1)))))</f>
        <v>39</v>
      </c>
      <c r="AR257">
        <f>IF($AP257="","",MIN(100,$AP257*(1+(_CONFIG_Model_Settings!$B$173+_CONFIG_Model_Settings!$B$174*(N($AH257)-1)))))</f>
        <v>81</v>
      </c>
    </row>
    <row r="258" spans="1:44" ht="72" customHeight="1">
      <c r="A258" s="9" t="s">
        <v>2300</v>
      </c>
      <c r="B258" s="9" t="s">
        <v>2286</v>
      </c>
      <c r="C258" s="9" t="s">
        <v>2288</v>
      </c>
      <c r="D258" s="9" t="s">
        <v>3689</v>
      </c>
      <c r="E258" s="9" t="s">
        <v>2301</v>
      </c>
      <c r="F258" s="9" t="s">
        <v>8175</v>
      </c>
      <c r="G258" s="9" t="s">
        <v>8176</v>
      </c>
      <c r="H258" s="9" t="s">
        <v>8177</v>
      </c>
      <c r="I258" s="9" t="s">
        <v>8178</v>
      </c>
      <c r="J258" s="9" t="s">
        <v>8179</v>
      </c>
      <c r="K258" s="9" t="s">
        <v>8180</v>
      </c>
      <c r="L258" s="9" t="s">
        <v>8181</v>
      </c>
      <c r="M258" s="9" t="s">
        <v>8182</v>
      </c>
      <c r="N258" s="9" t="s">
        <v>8183</v>
      </c>
      <c r="O258" s="9" t="s">
        <v>8184</v>
      </c>
      <c r="P258" s="9" t="s">
        <v>8185</v>
      </c>
      <c r="Q258" s="9" t="s">
        <v>8186</v>
      </c>
      <c r="R258" s="9" t="s">
        <v>4589</v>
      </c>
      <c r="S258" s="9" t="s">
        <v>8187</v>
      </c>
      <c r="T258" s="9">
        <v>3</v>
      </c>
      <c r="U258" s="9">
        <v>3</v>
      </c>
      <c r="V258" s="9">
        <v>2</v>
      </c>
      <c r="W258" s="9">
        <v>2</v>
      </c>
      <c r="X258" s="9">
        <v>1</v>
      </c>
      <c r="Y258" s="9">
        <v>1</v>
      </c>
      <c r="Z258" s="9" t="s">
        <v>2291</v>
      </c>
      <c r="AA258" s="9" t="s">
        <v>2302</v>
      </c>
      <c r="AB258" s="9" t="s">
        <v>2299</v>
      </c>
      <c r="AC258" s="9" t="s">
        <v>8173</v>
      </c>
      <c r="AD258" s="9" t="s">
        <v>8188</v>
      </c>
      <c r="AE258" t="str">
        <f t="shared" si="9"/>
        <v>Fast</v>
      </c>
      <c r="AF258">
        <f>IF($A258="","",IFERROR(VLOOKUP($B258,_CONFIG_Risk_Calibration!$A$5:$H$21,2,FALSE),3))</f>
        <v>3</v>
      </c>
      <c r="AG258">
        <f>IF($A258="","",IFERROR(VLOOKUP($B258,_CONFIG_Risk_Calibration!$A$5:$H$21,3,FALSE),0))</f>
        <v>0</v>
      </c>
      <c r="AH258">
        <f>IF($A258="","",IFERROR(VLOOKUP($B258,_CONFIG_Risk_Calibration!$A$5:$H$21,4,FALSE),3))</f>
        <v>3</v>
      </c>
      <c r="AI258">
        <f>IF($A258="","",IFERROR(VLOOKUP($B258,_CONFIG_Risk_Calibration!$A$5:$H$21,5,FALSE),3))</f>
        <v>3</v>
      </c>
      <c r="AJ258" t="str">
        <f>IF($A258="","",IFERROR(VLOOKUP($B258,_CONFIG_Risk_Calibration!$A$5:$H$21,6,FALSE),"No"))</f>
        <v>No</v>
      </c>
      <c r="AK258">
        <f>IF($A258="","",IFERROR(VLOOKUP($B258,_CONFIG_Risk_Calibration!$A$5:$H$21,7,FALSE),1))</f>
        <v>1</v>
      </c>
      <c r="AL258" t="str">
        <f>IF($A258="","",IFERROR(VLOOKUP($B258,_CONFIG_Risk_Calibration!$A$5:$H$21,8,FALSE),""))</f>
        <v>Clean template default. Calibrate with real exposure, incident history, evidence quality and domain-owner validation.</v>
      </c>
      <c r="AM258">
        <f>IF($A258="","",IFERROR(INDEX(_DATA_Assessment_Model!$AL$1:$AL$428,MATCH($A258,_DATA_Assessment_Model!$A$1:$A$428,0)),""))</f>
        <v>0</v>
      </c>
      <c r="AN258">
        <f t="shared" si="10"/>
        <v>1</v>
      </c>
      <c r="AO258">
        <f>IF($A258="","",_CONFIG_Model_Settings!$B$172*MAX(N($AK258),(N($AF258)+N($AI258))/2))</f>
        <v>60</v>
      </c>
      <c r="AP258">
        <f t="shared" si="11"/>
        <v>60</v>
      </c>
      <c r="AQ258">
        <f>IF($AP258="","",MAX(0,$AP258*(1-(_CONFIG_Model_Settings!$B$173+_CONFIG_Model_Settings!$B$174*(N($AH258)-1)))))</f>
        <v>39</v>
      </c>
      <c r="AR258">
        <f>IF($AP258="","",MIN(100,$AP258*(1+(_CONFIG_Model_Settings!$B$173+_CONFIG_Model_Settings!$B$174*(N($AH258)-1)))))</f>
        <v>81</v>
      </c>
    </row>
    <row r="259" spans="1:44" ht="72" customHeight="1">
      <c r="A259" s="9" t="s">
        <v>2310</v>
      </c>
      <c r="B259" s="9" t="s">
        <v>2286</v>
      </c>
      <c r="C259" s="9" t="s">
        <v>2288</v>
      </c>
      <c r="D259" s="9" t="s">
        <v>3689</v>
      </c>
      <c r="E259" s="9" t="s">
        <v>2311</v>
      </c>
      <c r="F259" s="9" t="s">
        <v>8189</v>
      </c>
      <c r="G259" s="9" t="s">
        <v>8190</v>
      </c>
      <c r="H259" s="9" t="s">
        <v>8191</v>
      </c>
      <c r="I259" s="9" t="s">
        <v>8192</v>
      </c>
      <c r="J259" s="9" t="s">
        <v>8193</v>
      </c>
      <c r="K259" s="9" t="s">
        <v>8194</v>
      </c>
      <c r="L259" s="9" t="s">
        <v>8195</v>
      </c>
      <c r="M259" s="9" t="s">
        <v>8196</v>
      </c>
      <c r="N259" s="9" t="s">
        <v>8197</v>
      </c>
      <c r="O259" s="9" t="s">
        <v>8198</v>
      </c>
      <c r="P259" s="9" t="s">
        <v>8199</v>
      </c>
      <c r="Q259" s="9" t="s">
        <v>8200</v>
      </c>
      <c r="R259" s="9" t="s">
        <v>4589</v>
      </c>
      <c r="S259" s="9" t="s">
        <v>8201</v>
      </c>
      <c r="T259" s="9">
        <v>3</v>
      </c>
      <c r="U259" s="9">
        <v>3</v>
      </c>
      <c r="V259" s="9">
        <v>2</v>
      </c>
      <c r="W259" s="9">
        <v>2</v>
      </c>
      <c r="X259" s="9">
        <v>1</v>
      </c>
      <c r="Y259" s="9">
        <v>1</v>
      </c>
      <c r="Z259" s="9" t="s">
        <v>2291</v>
      </c>
      <c r="AA259" s="9" t="s">
        <v>2312</v>
      </c>
      <c r="AB259" s="9" t="s">
        <v>2299</v>
      </c>
      <c r="AC259" s="9" t="s">
        <v>8173</v>
      </c>
      <c r="AD259" s="9" t="s">
        <v>8202</v>
      </c>
      <c r="AE259" t="str">
        <f t="shared" si="9"/>
        <v>Fast</v>
      </c>
      <c r="AF259">
        <f>IF($A259="","",IFERROR(VLOOKUP($B259,_CONFIG_Risk_Calibration!$A$5:$H$21,2,FALSE),3))</f>
        <v>3</v>
      </c>
      <c r="AG259">
        <f>IF($A259="","",IFERROR(VLOOKUP($B259,_CONFIG_Risk_Calibration!$A$5:$H$21,3,FALSE),0))</f>
        <v>0</v>
      </c>
      <c r="AH259">
        <f>IF($A259="","",IFERROR(VLOOKUP($B259,_CONFIG_Risk_Calibration!$A$5:$H$21,4,FALSE),3))</f>
        <v>3</v>
      </c>
      <c r="AI259">
        <f>IF($A259="","",IFERROR(VLOOKUP($B259,_CONFIG_Risk_Calibration!$A$5:$H$21,5,FALSE),3))</f>
        <v>3</v>
      </c>
      <c r="AJ259" t="str">
        <f>IF($A259="","",IFERROR(VLOOKUP($B259,_CONFIG_Risk_Calibration!$A$5:$H$21,6,FALSE),"No"))</f>
        <v>No</v>
      </c>
      <c r="AK259">
        <f>IF($A259="","",IFERROR(VLOOKUP($B259,_CONFIG_Risk_Calibration!$A$5:$H$21,7,FALSE),1))</f>
        <v>1</v>
      </c>
      <c r="AL259" t="str">
        <f>IF($A259="","",IFERROR(VLOOKUP($B259,_CONFIG_Risk_Calibration!$A$5:$H$21,8,FALSE),""))</f>
        <v>Clean template default. Calibrate with real exposure, incident history, evidence quality and domain-owner validation.</v>
      </c>
      <c r="AM259">
        <f>IF($A259="","",IFERROR(INDEX(_DATA_Assessment_Model!$AL$1:$AL$428,MATCH($A259,_DATA_Assessment_Model!$A$1:$A$428,0)),""))</f>
        <v>0</v>
      </c>
      <c r="AN259">
        <f t="shared" si="10"/>
        <v>1</v>
      </c>
      <c r="AO259">
        <f>IF($A259="","",_CONFIG_Model_Settings!$B$172*MAX(N($AK259),(N($AF259)+N($AI259))/2))</f>
        <v>60</v>
      </c>
      <c r="AP259">
        <f t="shared" si="11"/>
        <v>60</v>
      </c>
      <c r="AQ259">
        <f>IF($AP259="","",MAX(0,$AP259*(1-(_CONFIG_Model_Settings!$B$173+_CONFIG_Model_Settings!$B$174*(N($AH259)-1)))))</f>
        <v>39</v>
      </c>
      <c r="AR259">
        <f>IF($AP259="","",MIN(100,$AP259*(1+(_CONFIG_Model_Settings!$B$173+_CONFIG_Model_Settings!$B$174*(N($AH259)-1)))))</f>
        <v>81</v>
      </c>
    </row>
    <row r="260" spans="1:44" ht="72" customHeight="1">
      <c r="A260" s="9" t="s">
        <v>2320</v>
      </c>
      <c r="B260" s="9" t="s">
        <v>2286</v>
      </c>
      <c r="C260" s="9" t="s">
        <v>2288</v>
      </c>
      <c r="D260" s="9" t="s">
        <v>3689</v>
      </c>
      <c r="E260" s="9" t="s">
        <v>2321</v>
      </c>
      <c r="F260" s="9" t="s">
        <v>8203</v>
      </c>
      <c r="G260" s="9" t="s">
        <v>8204</v>
      </c>
      <c r="H260" s="9" t="s">
        <v>8205</v>
      </c>
      <c r="I260" s="9" t="s">
        <v>8206</v>
      </c>
      <c r="J260" s="9" t="s">
        <v>8207</v>
      </c>
      <c r="K260" s="9" t="s">
        <v>8208</v>
      </c>
      <c r="L260" s="9" t="s">
        <v>8209</v>
      </c>
      <c r="M260" s="9" t="s">
        <v>8210</v>
      </c>
      <c r="N260" s="9" t="s">
        <v>8211</v>
      </c>
      <c r="O260" s="9" t="s">
        <v>8212</v>
      </c>
      <c r="P260" s="9" t="s">
        <v>8213</v>
      </c>
      <c r="Q260" s="9" t="s">
        <v>8214</v>
      </c>
      <c r="R260" s="9" t="s">
        <v>4589</v>
      </c>
      <c r="S260" s="9" t="s">
        <v>8215</v>
      </c>
      <c r="T260" s="9">
        <v>3</v>
      </c>
      <c r="U260" s="9">
        <v>3</v>
      </c>
      <c r="V260" s="9">
        <v>2</v>
      </c>
      <c r="W260" s="9">
        <v>2</v>
      </c>
      <c r="X260" s="9">
        <v>1</v>
      </c>
      <c r="Y260" s="9">
        <v>1</v>
      </c>
      <c r="Z260" s="9" t="s">
        <v>2291</v>
      </c>
      <c r="AA260" s="9" t="s">
        <v>2322</v>
      </c>
      <c r="AB260" s="9" t="s">
        <v>2299</v>
      </c>
      <c r="AC260" s="9" t="s">
        <v>8173</v>
      </c>
      <c r="AD260" s="9" t="s">
        <v>8216</v>
      </c>
      <c r="AE260" t="str">
        <f t="shared" si="9"/>
        <v>Fast</v>
      </c>
      <c r="AF260">
        <f>IF($A260="","",IFERROR(VLOOKUP($B260,_CONFIG_Risk_Calibration!$A$5:$H$21,2,FALSE),3))</f>
        <v>3</v>
      </c>
      <c r="AG260">
        <f>IF($A260="","",IFERROR(VLOOKUP($B260,_CONFIG_Risk_Calibration!$A$5:$H$21,3,FALSE),0))</f>
        <v>0</v>
      </c>
      <c r="AH260">
        <f>IF($A260="","",IFERROR(VLOOKUP($B260,_CONFIG_Risk_Calibration!$A$5:$H$21,4,FALSE),3))</f>
        <v>3</v>
      </c>
      <c r="AI260">
        <f>IF($A260="","",IFERROR(VLOOKUP($B260,_CONFIG_Risk_Calibration!$A$5:$H$21,5,FALSE),3))</f>
        <v>3</v>
      </c>
      <c r="AJ260" t="str">
        <f>IF($A260="","",IFERROR(VLOOKUP($B260,_CONFIG_Risk_Calibration!$A$5:$H$21,6,FALSE),"No"))</f>
        <v>No</v>
      </c>
      <c r="AK260">
        <f>IF($A260="","",IFERROR(VLOOKUP($B260,_CONFIG_Risk_Calibration!$A$5:$H$21,7,FALSE),1))</f>
        <v>1</v>
      </c>
      <c r="AL260" t="str">
        <f>IF($A260="","",IFERROR(VLOOKUP($B260,_CONFIG_Risk_Calibration!$A$5:$H$21,8,FALSE),""))</f>
        <v>Clean template default. Calibrate with real exposure, incident history, evidence quality and domain-owner validation.</v>
      </c>
      <c r="AM260">
        <f>IF($A260="","",IFERROR(INDEX(_DATA_Assessment_Model!$AL$1:$AL$428,MATCH($A260,_DATA_Assessment_Model!$A$1:$A$428,0)),""))</f>
        <v>0</v>
      </c>
      <c r="AN260">
        <f t="shared" si="10"/>
        <v>1</v>
      </c>
      <c r="AO260">
        <f>IF($A260="","",_CONFIG_Model_Settings!$B$172*MAX(N($AK260),(N($AF260)+N($AI260))/2))</f>
        <v>60</v>
      </c>
      <c r="AP260">
        <f t="shared" si="11"/>
        <v>60</v>
      </c>
      <c r="AQ260">
        <f>IF($AP260="","",MAX(0,$AP260*(1-(_CONFIG_Model_Settings!$B$173+_CONFIG_Model_Settings!$B$174*(N($AH260)-1)))))</f>
        <v>39</v>
      </c>
      <c r="AR260">
        <f>IF($AP260="","",MIN(100,$AP260*(1+(_CONFIG_Model_Settings!$B$173+_CONFIG_Model_Settings!$B$174*(N($AH260)-1)))))</f>
        <v>81</v>
      </c>
    </row>
    <row r="261" spans="1:44" ht="60" customHeight="1">
      <c r="A261" s="9" t="s">
        <v>2330</v>
      </c>
      <c r="B261" s="9" t="s">
        <v>2286</v>
      </c>
      <c r="C261" s="9" t="s">
        <v>2309</v>
      </c>
      <c r="D261" s="9" t="s">
        <v>3689</v>
      </c>
      <c r="E261" s="9" t="s">
        <v>2331</v>
      </c>
      <c r="F261" s="9" t="s">
        <v>8217</v>
      </c>
      <c r="G261" s="9" t="s">
        <v>8218</v>
      </c>
      <c r="H261" s="9" t="s">
        <v>8219</v>
      </c>
      <c r="I261" s="9" t="s">
        <v>8220</v>
      </c>
      <c r="J261" s="9" t="s">
        <v>8221</v>
      </c>
      <c r="K261" s="9" t="s">
        <v>8222</v>
      </c>
      <c r="L261" s="9" t="s">
        <v>8223</v>
      </c>
      <c r="M261" s="9" t="s">
        <v>8224</v>
      </c>
      <c r="N261" s="9" t="s">
        <v>8225</v>
      </c>
      <c r="O261" s="9" t="s">
        <v>8226</v>
      </c>
      <c r="P261" s="9" t="s">
        <v>8227</v>
      </c>
      <c r="Q261" s="9" t="s">
        <v>8228</v>
      </c>
      <c r="R261" s="9" t="s">
        <v>4589</v>
      </c>
      <c r="S261" s="9" t="s">
        <v>8229</v>
      </c>
      <c r="T261" s="9">
        <v>3</v>
      </c>
      <c r="U261" s="9">
        <v>3</v>
      </c>
      <c r="V261" s="9">
        <v>2</v>
      </c>
      <c r="W261" s="9">
        <v>2</v>
      </c>
      <c r="X261" s="9">
        <v>1</v>
      </c>
      <c r="Y261" s="9">
        <v>1</v>
      </c>
      <c r="Z261" s="9" t="s">
        <v>2291</v>
      </c>
      <c r="AA261" s="9" t="s">
        <v>2332</v>
      </c>
      <c r="AB261" s="9" t="s">
        <v>2299</v>
      </c>
      <c r="AC261" s="9" t="s">
        <v>8173</v>
      </c>
      <c r="AD261" s="9" t="s">
        <v>8230</v>
      </c>
      <c r="AE261" t="str">
        <f t="shared" ref="AE261:AE324" si="12">IF($A261="","",IF(OR(ISNUMBER(SEARCH("cyber",$D261)),ISNUMBER(SEARCH("security",$D261)),ISNUMBER(SEARCH("safety",$D261)),ISNUMBER(SEARCH("liquidity",$D261)),ISNUMBER(SEARCH("cash",$D261)),ISNUMBER(SEARCH("continuity",$D261)),ISNUMBER(SEARCH("infrastructure",$D261)),ISNUMBER(SEARCH("outage",$D261))),"Fast",IF(OR(ISNUMBER(SEARCH("compliance",$D261)),ISNUMBER(SEARCH("regulat",$D261)),ISNUMBER(SEARCH("data",$D261)),ISNUMBER(SEARCH("talent",$D261)),ISNUMBER(SEARCH("knowledge",$D261)),ISNUMBER(SEARCH("portfolio",$D261)),ISNUMBER(SEARCH("quality",$D261))),"Slow","Medium")))</f>
        <v>Fast</v>
      </c>
      <c r="AF261">
        <f>IF($A261="","",IFERROR(VLOOKUP($B261,_CONFIG_Risk_Calibration!$A$5:$H$21,2,FALSE),3))</f>
        <v>3</v>
      </c>
      <c r="AG261">
        <f>IF($A261="","",IFERROR(VLOOKUP($B261,_CONFIG_Risk_Calibration!$A$5:$H$21,3,FALSE),0))</f>
        <v>0</v>
      </c>
      <c r="AH261">
        <f>IF($A261="","",IFERROR(VLOOKUP($B261,_CONFIG_Risk_Calibration!$A$5:$H$21,4,FALSE),3))</f>
        <v>3</v>
      </c>
      <c r="AI261">
        <f>IF($A261="","",IFERROR(VLOOKUP($B261,_CONFIG_Risk_Calibration!$A$5:$H$21,5,FALSE),3))</f>
        <v>3</v>
      </c>
      <c r="AJ261" t="str">
        <f>IF($A261="","",IFERROR(VLOOKUP($B261,_CONFIG_Risk_Calibration!$A$5:$H$21,6,FALSE),"No"))</f>
        <v>No</v>
      </c>
      <c r="AK261">
        <f>IF($A261="","",IFERROR(VLOOKUP($B261,_CONFIG_Risk_Calibration!$A$5:$H$21,7,FALSE),1))</f>
        <v>1</v>
      </c>
      <c r="AL261" t="str">
        <f>IF($A261="","",IFERROR(VLOOKUP($B261,_CONFIG_Risk_Calibration!$A$5:$H$21,8,FALSE),""))</f>
        <v>Clean template default. Calibrate with real exposure, incident history, evidence quality and domain-owner validation.</v>
      </c>
      <c r="AM261">
        <f>IF($A261="","",IFERROR(INDEX(_DATA_Assessment_Model!$AL$1:$AL$428,MATCH($A261,_DATA_Assessment_Model!$A$1:$A$428,0)),""))</f>
        <v>0</v>
      </c>
      <c r="AN261">
        <f t="shared" ref="AN261:AN324" si="13">IF($AM261="","",MAX(0,(5-$AM261)/5))</f>
        <v>1</v>
      </c>
      <c r="AO261">
        <f>IF($A261="","",_CONFIG_Model_Settings!$B$172*MAX(N($AK261),(N($AF261)+N($AI261))/2))</f>
        <v>60</v>
      </c>
      <c r="AP261">
        <f t="shared" ref="AP261:AP324" si="14">IF(OR($A261="",$AN261=""),"",$AN261*$AO261)</f>
        <v>60</v>
      </c>
      <c r="AQ261">
        <f>IF($AP261="","",MAX(0,$AP261*(1-(_CONFIG_Model_Settings!$B$173+_CONFIG_Model_Settings!$B$174*(N($AH261)-1)))))</f>
        <v>39</v>
      </c>
      <c r="AR261">
        <f>IF($AP261="","",MIN(100,$AP261*(1+(_CONFIG_Model_Settings!$B$173+_CONFIG_Model_Settings!$B$174*(N($AH261)-1)))))</f>
        <v>81</v>
      </c>
    </row>
    <row r="262" spans="1:44" ht="72" customHeight="1">
      <c r="A262" s="9" t="s">
        <v>2340</v>
      </c>
      <c r="B262" s="9" t="s">
        <v>2286</v>
      </c>
      <c r="C262" s="9" t="s">
        <v>2309</v>
      </c>
      <c r="D262" s="9" t="s">
        <v>3689</v>
      </c>
      <c r="E262" s="9" t="s">
        <v>2341</v>
      </c>
      <c r="F262" s="9" t="s">
        <v>8231</v>
      </c>
      <c r="G262" s="9" t="s">
        <v>8232</v>
      </c>
      <c r="H262" s="9" t="s">
        <v>8233</v>
      </c>
      <c r="I262" s="9" t="s">
        <v>8234</v>
      </c>
      <c r="J262" s="9" t="s">
        <v>8235</v>
      </c>
      <c r="K262" s="9" t="s">
        <v>8236</v>
      </c>
      <c r="L262" s="9" t="s">
        <v>8237</v>
      </c>
      <c r="M262" s="9" t="s">
        <v>8238</v>
      </c>
      <c r="N262" s="9" t="s">
        <v>8239</v>
      </c>
      <c r="O262" s="9" t="s">
        <v>8240</v>
      </c>
      <c r="P262" s="9" t="s">
        <v>8241</v>
      </c>
      <c r="Q262" s="9" t="s">
        <v>8242</v>
      </c>
      <c r="R262" s="9" t="s">
        <v>4589</v>
      </c>
      <c r="S262" s="9" t="s">
        <v>8243</v>
      </c>
      <c r="T262" s="9">
        <v>3</v>
      </c>
      <c r="U262" s="9">
        <v>3</v>
      </c>
      <c r="V262" s="9">
        <v>2</v>
      </c>
      <c r="W262" s="9">
        <v>2</v>
      </c>
      <c r="X262" s="9">
        <v>1</v>
      </c>
      <c r="Y262" s="9">
        <v>1</v>
      </c>
      <c r="Z262" s="9" t="s">
        <v>2291</v>
      </c>
      <c r="AA262" s="9" t="s">
        <v>2342</v>
      </c>
      <c r="AB262" s="9" t="s">
        <v>2299</v>
      </c>
      <c r="AC262" s="9" t="s">
        <v>8173</v>
      </c>
      <c r="AD262" s="9" t="s">
        <v>8244</v>
      </c>
      <c r="AE262" t="str">
        <f t="shared" si="12"/>
        <v>Fast</v>
      </c>
      <c r="AF262">
        <f>IF($A262="","",IFERROR(VLOOKUP($B262,_CONFIG_Risk_Calibration!$A$5:$H$21,2,FALSE),3))</f>
        <v>3</v>
      </c>
      <c r="AG262">
        <f>IF($A262="","",IFERROR(VLOOKUP($B262,_CONFIG_Risk_Calibration!$A$5:$H$21,3,FALSE),0))</f>
        <v>0</v>
      </c>
      <c r="AH262">
        <f>IF($A262="","",IFERROR(VLOOKUP($B262,_CONFIG_Risk_Calibration!$A$5:$H$21,4,FALSE),3))</f>
        <v>3</v>
      </c>
      <c r="AI262">
        <f>IF($A262="","",IFERROR(VLOOKUP($B262,_CONFIG_Risk_Calibration!$A$5:$H$21,5,FALSE),3))</f>
        <v>3</v>
      </c>
      <c r="AJ262" t="str">
        <f>IF($A262="","",IFERROR(VLOOKUP($B262,_CONFIG_Risk_Calibration!$A$5:$H$21,6,FALSE),"No"))</f>
        <v>No</v>
      </c>
      <c r="AK262">
        <f>IF($A262="","",IFERROR(VLOOKUP($B262,_CONFIG_Risk_Calibration!$A$5:$H$21,7,FALSE),1))</f>
        <v>1</v>
      </c>
      <c r="AL262" t="str">
        <f>IF($A262="","",IFERROR(VLOOKUP($B262,_CONFIG_Risk_Calibration!$A$5:$H$21,8,FALSE),""))</f>
        <v>Clean template default. Calibrate with real exposure, incident history, evidence quality and domain-owner validation.</v>
      </c>
      <c r="AM262">
        <f>IF($A262="","",IFERROR(INDEX(_DATA_Assessment_Model!$AL$1:$AL$428,MATCH($A262,_DATA_Assessment_Model!$A$1:$A$428,0)),""))</f>
        <v>0</v>
      </c>
      <c r="AN262">
        <f t="shared" si="13"/>
        <v>1</v>
      </c>
      <c r="AO262">
        <f>IF($A262="","",_CONFIG_Model_Settings!$B$172*MAX(N($AK262),(N($AF262)+N($AI262))/2))</f>
        <v>60</v>
      </c>
      <c r="AP262">
        <f t="shared" si="14"/>
        <v>60</v>
      </c>
      <c r="AQ262">
        <f>IF($AP262="","",MAX(0,$AP262*(1-(_CONFIG_Model_Settings!$B$173+_CONFIG_Model_Settings!$B$174*(N($AH262)-1)))))</f>
        <v>39</v>
      </c>
      <c r="AR262">
        <f>IF($AP262="","",MIN(100,$AP262*(1+(_CONFIG_Model_Settings!$B$173+_CONFIG_Model_Settings!$B$174*(N($AH262)-1)))))</f>
        <v>81</v>
      </c>
    </row>
    <row r="263" spans="1:44" ht="72" customHeight="1">
      <c r="A263" s="9" t="s">
        <v>2343</v>
      </c>
      <c r="B263" s="9" t="s">
        <v>2286</v>
      </c>
      <c r="C263" s="9" t="s">
        <v>2309</v>
      </c>
      <c r="D263" s="9" t="s">
        <v>3689</v>
      </c>
      <c r="E263" s="9" t="s">
        <v>2344</v>
      </c>
      <c r="F263" s="9" t="s">
        <v>8245</v>
      </c>
      <c r="G263" s="9" t="s">
        <v>8246</v>
      </c>
      <c r="H263" s="9" t="s">
        <v>8247</v>
      </c>
      <c r="I263" s="9" t="s">
        <v>8248</v>
      </c>
      <c r="J263" s="9" t="s">
        <v>8249</v>
      </c>
      <c r="K263" s="9" t="s">
        <v>8250</v>
      </c>
      <c r="L263" s="9" t="s">
        <v>8251</v>
      </c>
      <c r="M263" s="9" t="s">
        <v>8252</v>
      </c>
      <c r="N263" s="9" t="s">
        <v>8253</v>
      </c>
      <c r="O263" s="9" t="s">
        <v>8254</v>
      </c>
      <c r="P263" s="9" t="s">
        <v>8255</v>
      </c>
      <c r="Q263" s="9" t="s">
        <v>8256</v>
      </c>
      <c r="R263" s="9" t="s">
        <v>4589</v>
      </c>
      <c r="S263" s="9" t="s">
        <v>8257</v>
      </c>
      <c r="T263" s="9">
        <v>3</v>
      </c>
      <c r="U263" s="9">
        <v>3</v>
      </c>
      <c r="V263" s="9">
        <v>2</v>
      </c>
      <c r="W263" s="9">
        <v>2</v>
      </c>
      <c r="X263" s="9">
        <v>1</v>
      </c>
      <c r="Y263" s="9">
        <v>1</v>
      </c>
      <c r="Z263" s="9" t="s">
        <v>2291</v>
      </c>
      <c r="AA263" s="9" t="s">
        <v>2345</v>
      </c>
      <c r="AB263" s="9" t="s">
        <v>2299</v>
      </c>
      <c r="AC263" s="9" t="s">
        <v>8173</v>
      </c>
      <c r="AD263" s="9" t="s">
        <v>8258</v>
      </c>
      <c r="AE263" t="str">
        <f t="shared" si="12"/>
        <v>Fast</v>
      </c>
      <c r="AF263">
        <f>IF($A263="","",IFERROR(VLOOKUP($B263,_CONFIG_Risk_Calibration!$A$5:$H$21,2,FALSE),3))</f>
        <v>3</v>
      </c>
      <c r="AG263">
        <f>IF($A263="","",IFERROR(VLOOKUP($B263,_CONFIG_Risk_Calibration!$A$5:$H$21,3,FALSE),0))</f>
        <v>0</v>
      </c>
      <c r="AH263">
        <f>IF($A263="","",IFERROR(VLOOKUP($B263,_CONFIG_Risk_Calibration!$A$5:$H$21,4,FALSE),3))</f>
        <v>3</v>
      </c>
      <c r="AI263">
        <f>IF($A263="","",IFERROR(VLOOKUP($B263,_CONFIG_Risk_Calibration!$A$5:$H$21,5,FALSE),3))</f>
        <v>3</v>
      </c>
      <c r="AJ263" t="str">
        <f>IF($A263="","",IFERROR(VLOOKUP($B263,_CONFIG_Risk_Calibration!$A$5:$H$21,6,FALSE),"No"))</f>
        <v>No</v>
      </c>
      <c r="AK263">
        <f>IF($A263="","",IFERROR(VLOOKUP($B263,_CONFIG_Risk_Calibration!$A$5:$H$21,7,FALSE),1))</f>
        <v>1</v>
      </c>
      <c r="AL263" t="str">
        <f>IF($A263="","",IFERROR(VLOOKUP($B263,_CONFIG_Risk_Calibration!$A$5:$H$21,8,FALSE),""))</f>
        <v>Clean template default. Calibrate with real exposure, incident history, evidence quality and domain-owner validation.</v>
      </c>
      <c r="AM263">
        <f>IF($A263="","",IFERROR(INDEX(_DATA_Assessment_Model!$AL$1:$AL$428,MATCH($A263,_DATA_Assessment_Model!$A$1:$A$428,0)),""))</f>
        <v>0</v>
      </c>
      <c r="AN263">
        <f t="shared" si="13"/>
        <v>1</v>
      </c>
      <c r="AO263">
        <f>IF($A263="","",_CONFIG_Model_Settings!$B$172*MAX(N($AK263),(N($AF263)+N($AI263))/2))</f>
        <v>60</v>
      </c>
      <c r="AP263">
        <f t="shared" si="14"/>
        <v>60</v>
      </c>
      <c r="AQ263">
        <f>IF($AP263="","",MAX(0,$AP263*(1-(_CONFIG_Model_Settings!$B$173+_CONFIG_Model_Settings!$B$174*(N($AH263)-1)))))</f>
        <v>39</v>
      </c>
      <c r="AR263">
        <f>IF($AP263="","",MIN(100,$AP263*(1+(_CONFIG_Model_Settings!$B$173+_CONFIG_Model_Settings!$B$174*(N($AH263)-1)))))</f>
        <v>81</v>
      </c>
    </row>
    <row r="264" spans="1:44" ht="72" customHeight="1">
      <c r="A264" s="9" t="s">
        <v>2352</v>
      </c>
      <c r="B264" s="9" t="s">
        <v>2286</v>
      </c>
      <c r="C264" s="9" t="s">
        <v>2309</v>
      </c>
      <c r="D264" s="9" t="s">
        <v>3689</v>
      </c>
      <c r="E264" s="9" t="s">
        <v>2353</v>
      </c>
      <c r="F264" s="9" t="s">
        <v>8259</v>
      </c>
      <c r="G264" s="9" t="s">
        <v>8260</v>
      </c>
      <c r="H264" s="9" t="s">
        <v>8261</v>
      </c>
      <c r="I264" s="9" t="s">
        <v>8262</v>
      </c>
      <c r="J264" s="9" t="s">
        <v>8263</v>
      </c>
      <c r="K264" s="9" t="s">
        <v>8264</v>
      </c>
      <c r="L264" s="9" t="s">
        <v>8265</v>
      </c>
      <c r="M264" s="9" t="s">
        <v>8266</v>
      </c>
      <c r="N264" s="9" t="s">
        <v>8267</v>
      </c>
      <c r="O264" s="9" t="s">
        <v>8268</v>
      </c>
      <c r="P264" s="9" t="s">
        <v>8269</v>
      </c>
      <c r="Q264" s="9" t="s">
        <v>8270</v>
      </c>
      <c r="R264" s="9" t="s">
        <v>4589</v>
      </c>
      <c r="S264" s="9" t="s">
        <v>8271</v>
      </c>
      <c r="T264" s="9">
        <v>3</v>
      </c>
      <c r="U264" s="9">
        <v>3</v>
      </c>
      <c r="V264" s="9">
        <v>2</v>
      </c>
      <c r="W264" s="9">
        <v>2</v>
      </c>
      <c r="X264" s="9">
        <v>1</v>
      </c>
      <c r="Y264" s="9">
        <v>1</v>
      </c>
      <c r="Z264" s="9" t="s">
        <v>2291</v>
      </c>
      <c r="AA264" s="9" t="s">
        <v>2354</v>
      </c>
      <c r="AB264" s="9" t="s">
        <v>2299</v>
      </c>
      <c r="AC264" s="9" t="s">
        <v>8173</v>
      </c>
      <c r="AD264" s="9" t="s">
        <v>8272</v>
      </c>
      <c r="AE264" t="str">
        <f t="shared" si="12"/>
        <v>Fast</v>
      </c>
      <c r="AF264">
        <f>IF($A264="","",IFERROR(VLOOKUP($B264,_CONFIG_Risk_Calibration!$A$5:$H$21,2,FALSE),3))</f>
        <v>3</v>
      </c>
      <c r="AG264">
        <f>IF($A264="","",IFERROR(VLOOKUP($B264,_CONFIG_Risk_Calibration!$A$5:$H$21,3,FALSE),0))</f>
        <v>0</v>
      </c>
      <c r="AH264">
        <f>IF($A264="","",IFERROR(VLOOKUP($B264,_CONFIG_Risk_Calibration!$A$5:$H$21,4,FALSE),3))</f>
        <v>3</v>
      </c>
      <c r="AI264">
        <f>IF($A264="","",IFERROR(VLOOKUP($B264,_CONFIG_Risk_Calibration!$A$5:$H$21,5,FALSE),3))</f>
        <v>3</v>
      </c>
      <c r="AJ264" t="str">
        <f>IF($A264="","",IFERROR(VLOOKUP($B264,_CONFIG_Risk_Calibration!$A$5:$H$21,6,FALSE),"No"))</f>
        <v>No</v>
      </c>
      <c r="AK264">
        <f>IF($A264="","",IFERROR(VLOOKUP($B264,_CONFIG_Risk_Calibration!$A$5:$H$21,7,FALSE),1))</f>
        <v>1</v>
      </c>
      <c r="AL264" t="str">
        <f>IF($A264="","",IFERROR(VLOOKUP($B264,_CONFIG_Risk_Calibration!$A$5:$H$21,8,FALSE),""))</f>
        <v>Clean template default. Calibrate with real exposure, incident history, evidence quality and domain-owner validation.</v>
      </c>
      <c r="AM264">
        <f>IF($A264="","",IFERROR(INDEX(_DATA_Assessment_Model!$AL$1:$AL$428,MATCH($A264,_DATA_Assessment_Model!$A$1:$A$428,0)),""))</f>
        <v>0</v>
      </c>
      <c r="AN264">
        <f t="shared" si="13"/>
        <v>1</v>
      </c>
      <c r="AO264">
        <f>IF($A264="","",_CONFIG_Model_Settings!$B$172*MAX(N($AK264),(N($AF264)+N($AI264))/2))</f>
        <v>60</v>
      </c>
      <c r="AP264">
        <f t="shared" si="14"/>
        <v>60</v>
      </c>
      <c r="AQ264">
        <f>IF($AP264="","",MAX(0,$AP264*(1-(_CONFIG_Model_Settings!$B$173+_CONFIG_Model_Settings!$B$174*(N($AH264)-1)))))</f>
        <v>39</v>
      </c>
      <c r="AR264">
        <f>IF($AP264="","",MIN(100,$AP264*(1+(_CONFIG_Model_Settings!$B$173+_CONFIG_Model_Settings!$B$174*(N($AH264)-1)))))</f>
        <v>81</v>
      </c>
    </row>
    <row r="265" spans="1:44" ht="72" customHeight="1">
      <c r="A265" s="9" t="s">
        <v>2355</v>
      </c>
      <c r="B265" s="9" t="s">
        <v>2286</v>
      </c>
      <c r="C265" s="9" t="s">
        <v>2309</v>
      </c>
      <c r="D265" s="9" t="s">
        <v>3689</v>
      </c>
      <c r="E265" s="9" t="s">
        <v>2356</v>
      </c>
      <c r="F265" s="9" t="s">
        <v>8273</v>
      </c>
      <c r="G265" s="9" t="s">
        <v>8274</v>
      </c>
      <c r="H265" s="9" t="s">
        <v>8275</v>
      </c>
      <c r="I265" s="9" t="s">
        <v>8276</v>
      </c>
      <c r="J265" s="9" t="s">
        <v>8277</v>
      </c>
      <c r="K265" s="9" t="s">
        <v>8278</v>
      </c>
      <c r="L265" s="9" t="s">
        <v>8279</v>
      </c>
      <c r="M265" s="9" t="s">
        <v>8280</v>
      </c>
      <c r="N265" s="9" t="s">
        <v>8281</v>
      </c>
      <c r="O265" s="9" t="s">
        <v>8282</v>
      </c>
      <c r="P265" s="9" t="s">
        <v>8283</v>
      </c>
      <c r="Q265" s="9" t="s">
        <v>8284</v>
      </c>
      <c r="R265" s="9" t="s">
        <v>4589</v>
      </c>
      <c r="S265" s="9" t="s">
        <v>8285</v>
      </c>
      <c r="T265" s="9">
        <v>3</v>
      </c>
      <c r="U265" s="9">
        <v>3</v>
      </c>
      <c r="V265" s="9">
        <v>2</v>
      </c>
      <c r="W265" s="9">
        <v>2</v>
      </c>
      <c r="X265" s="9">
        <v>1</v>
      </c>
      <c r="Y265" s="9">
        <v>1</v>
      </c>
      <c r="Z265" s="9" t="s">
        <v>2291</v>
      </c>
      <c r="AA265" s="9" t="s">
        <v>2357</v>
      </c>
      <c r="AB265" s="9" t="s">
        <v>2299</v>
      </c>
      <c r="AC265" s="9" t="s">
        <v>8173</v>
      </c>
      <c r="AD265" s="9" t="s">
        <v>8286</v>
      </c>
      <c r="AE265" t="str">
        <f t="shared" si="12"/>
        <v>Fast</v>
      </c>
      <c r="AF265">
        <f>IF($A265="","",IFERROR(VLOOKUP($B265,_CONFIG_Risk_Calibration!$A$5:$H$21,2,FALSE),3))</f>
        <v>3</v>
      </c>
      <c r="AG265">
        <f>IF($A265="","",IFERROR(VLOOKUP($B265,_CONFIG_Risk_Calibration!$A$5:$H$21,3,FALSE),0))</f>
        <v>0</v>
      </c>
      <c r="AH265">
        <f>IF($A265="","",IFERROR(VLOOKUP($B265,_CONFIG_Risk_Calibration!$A$5:$H$21,4,FALSE),3))</f>
        <v>3</v>
      </c>
      <c r="AI265">
        <f>IF($A265="","",IFERROR(VLOOKUP($B265,_CONFIG_Risk_Calibration!$A$5:$H$21,5,FALSE),3))</f>
        <v>3</v>
      </c>
      <c r="AJ265" t="str">
        <f>IF($A265="","",IFERROR(VLOOKUP($B265,_CONFIG_Risk_Calibration!$A$5:$H$21,6,FALSE),"No"))</f>
        <v>No</v>
      </c>
      <c r="AK265">
        <f>IF($A265="","",IFERROR(VLOOKUP($B265,_CONFIG_Risk_Calibration!$A$5:$H$21,7,FALSE),1))</f>
        <v>1</v>
      </c>
      <c r="AL265" t="str">
        <f>IF($A265="","",IFERROR(VLOOKUP($B265,_CONFIG_Risk_Calibration!$A$5:$H$21,8,FALSE),""))</f>
        <v>Clean template default. Calibrate with real exposure, incident history, evidence quality and domain-owner validation.</v>
      </c>
      <c r="AM265">
        <f>IF($A265="","",IFERROR(INDEX(_DATA_Assessment_Model!$AL$1:$AL$428,MATCH($A265,_DATA_Assessment_Model!$A$1:$A$428,0)),""))</f>
        <v>0</v>
      </c>
      <c r="AN265">
        <f t="shared" si="13"/>
        <v>1</v>
      </c>
      <c r="AO265">
        <f>IF($A265="","",_CONFIG_Model_Settings!$B$172*MAX(N($AK265),(N($AF265)+N($AI265))/2))</f>
        <v>60</v>
      </c>
      <c r="AP265">
        <f t="shared" si="14"/>
        <v>60</v>
      </c>
      <c r="AQ265">
        <f>IF($AP265="","",MAX(0,$AP265*(1-(_CONFIG_Model_Settings!$B$173+_CONFIG_Model_Settings!$B$174*(N($AH265)-1)))))</f>
        <v>39</v>
      </c>
      <c r="AR265">
        <f>IF($AP265="","",MIN(100,$AP265*(1+(_CONFIG_Model_Settings!$B$173+_CONFIG_Model_Settings!$B$174*(N($AH265)-1)))))</f>
        <v>81</v>
      </c>
    </row>
    <row r="266" spans="1:44" ht="72" customHeight="1">
      <c r="A266" s="9" t="s">
        <v>2364</v>
      </c>
      <c r="B266" s="9" t="s">
        <v>2286</v>
      </c>
      <c r="C266" s="9" t="s">
        <v>2319</v>
      </c>
      <c r="D266" s="9" t="s">
        <v>3689</v>
      </c>
      <c r="E266" s="9" t="s">
        <v>2365</v>
      </c>
      <c r="F266" s="9" t="s">
        <v>8287</v>
      </c>
      <c r="G266" s="9" t="s">
        <v>8288</v>
      </c>
      <c r="H266" s="9" t="s">
        <v>8289</v>
      </c>
      <c r="I266" s="9" t="s">
        <v>8290</v>
      </c>
      <c r="J266" s="9" t="s">
        <v>8291</v>
      </c>
      <c r="K266" s="9" t="s">
        <v>8292</v>
      </c>
      <c r="L266" s="9" t="s">
        <v>8293</v>
      </c>
      <c r="M266" s="9" t="s">
        <v>8294</v>
      </c>
      <c r="N266" s="9" t="s">
        <v>8295</v>
      </c>
      <c r="O266" s="9" t="s">
        <v>8296</v>
      </c>
      <c r="P266" s="9" t="s">
        <v>8297</v>
      </c>
      <c r="Q266" s="9" t="s">
        <v>8298</v>
      </c>
      <c r="R266" s="9" t="s">
        <v>4589</v>
      </c>
      <c r="S266" s="9" t="s">
        <v>8299</v>
      </c>
      <c r="T266" s="9">
        <v>3</v>
      </c>
      <c r="U266" s="9">
        <v>3</v>
      </c>
      <c r="V266" s="9">
        <v>2</v>
      </c>
      <c r="W266" s="9">
        <v>2</v>
      </c>
      <c r="X266" s="9">
        <v>1</v>
      </c>
      <c r="Y266" s="9">
        <v>1</v>
      </c>
      <c r="Z266" s="9" t="s">
        <v>2291</v>
      </c>
      <c r="AA266" s="9" t="s">
        <v>2366</v>
      </c>
      <c r="AB266" s="9" t="s">
        <v>2299</v>
      </c>
      <c r="AC266" s="9" t="s">
        <v>8173</v>
      </c>
      <c r="AD266" s="9" t="s">
        <v>8300</v>
      </c>
      <c r="AE266" t="str">
        <f t="shared" si="12"/>
        <v>Fast</v>
      </c>
      <c r="AF266">
        <f>IF($A266="","",IFERROR(VLOOKUP($B266,_CONFIG_Risk_Calibration!$A$5:$H$21,2,FALSE),3))</f>
        <v>3</v>
      </c>
      <c r="AG266">
        <f>IF($A266="","",IFERROR(VLOOKUP($B266,_CONFIG_Risk_Calibration!$A$5:$H$21,3,FALSE),0))</f>
        <v>0</v>
      </c>
      <c r="AH266">
        <f>IF($A266="","",IFERROR(VLOOKUP($B266,_CONFIG_Risk_Calibration!$A$5:$H$21,4,FALSE),3))</f>
        <v>3</v>
      </c>
      <c r="AI266">
        <f>IF($A266="","",IFERROR(VLOOKUP($B266,_CONFIG_Risk_Calibration!$A$5:$H$21,5,FALSE),3))</f>
        <v>3</v>
      </c>
      <c r="AJ266" t="str">
        <f>IF($A266="","",IFERROR(VLOOKUP($B266,_CONFIG_Risk_Calibration!$A$5:$H$21,6,FALSE),"No"))</f>
        <v>No</v>
      </c>
      <c r="AK266">
        <f>IF($A266="","",IFERROR(VLOOKUP($B266,_CONFIG_Risk_Calibration!$A$5:$H$21,7,FALSE),1))</f>
        <v>1</v>
      </c>
      <c r="AL266" t="str">
        <f>IF($A266="","",IFERROR(VLOOKUP($B266,_CONFIG_Risk_Calibration!$A$5:$H$21,8,FALSE),""))</f>
        <v>Clean template default. Calibrate with real exposure, incident history, evidence quality and domain-owner validation.</v>
      </c>
      <c r="AM266">
        <f>IF($A266="","",IFERROR(INDEX(_DATA_Assessment_Model!$AL$1:$AL$428,MATCH($A266,_DATA_Assessment_Model!$A$1:$A$428,0)),""))</f>
        <v>0</v>
      </c>
      <c r="AN266">
        <f t="shared" si="13"/>
        <v>1</v>
      </c>
      <c r="AO266">
        <f>IF($A266="","",_CONFIG_Model_Settings!$B$172*MAX(N($AK266),(N($AF266)+N($AI266))/2))</f>
        <v>60</v>
      </c>
      <c r="AP266">
        <f t="shared" si="14"/>
        <v>60</v>
      </c>
      <c r="AQ266">
        <f>IF($AP266="","",MAX(0,$AP266*(1-(_CONFIG_Model_Settings!$B$173+_CONFIG_Model_Settings!$B$174*(N($AH266)-1)))))</f>
        <v>39</v>
      </c>
      <c r="AR266">
        <f>IF($AP266="","",MIN(100,$AP266*(1+(_CONFIG_Model_Settings!$B$173+_CONFIG_Model_Settings!$B$174*(N($AH266)-1)))))</f>
        <v>81</v>
      </c>
    </row>
    <row r="267" spans="1:44" ht="72" customHeight="1">
      <c r="A267" s="9" t="s">
        <v>2373</v>
      </c>
      <c r="B267" s="9" t="s">
        <v>2286</v>
      </c>
      <c r="C267" s="9" t="s">
        <v>2319</v>
      </c>
      <c r="D267" s="9" t="s">
        <v>3689</v>
      </c>
      <c r="E267" s="9" t="s">
        <v>2374</v>
      </c>
      <c r="F267" s="9" t="s">
        <v>8301</v>
      </c>
      <c r="G267" s="9" t="s">
        <v>8302</v>
      </c>
      <c r="H267" s="9" t="s">
        <v>8303</v>
      </c>
      <c r="I267" s="9" t="s">
        <v>8304</v>
      </c>
      <c r="J267" s="9" t="s">
        <v>8305</v>
      </c>
      <c r="K267" s="9" t="s">
        <v>8306</v>
      </c>
      <c r="L267" s="9" t="s">
        <v>8307</v>
      </c>
      <c r="M267" s="9" t="s">
        <v>8308</v>
      </c>
      <c r="N267" s="9" t="s">
        <v>8309</v>
      </c>
      <c r="O267" s="9" t="s">
        <v>8310</v>
      </c>
      <c r="P267" s="9" t="s">
        <v>8311</v>
      </c>
      <c r="Q267" s="9" t="s">
        <v>8312</v>
      </c>
      <c r="R267" s="9" t="s">
        <v>4589</v>
      </c>
      <c r="S267" s="9" t="s">
        <v>8313</v>
      </c>
      <c r="T267" s="9">
        <v>3</v>
      </c>
      <c r="U267" s="9">
        <v>3</v>
      </c>
      <c r="V267" s="9">
        <v>2</v>
      </c>
      <c r="W267" s="9">
        <v>2</v>
      </c>
      <c r="X267" s="9">
        <v>1</v>
      </c>
      <c r="Y267" s="9">
        <v>1</v>
      </c>
      <c r="Z267" s="9" t="s">
        <v>2291</v>
      </c>
      <c r="AA267" s="9" t="s">
        <v>2375</v>
      </c>
      <c r="AB267" s="9" t="s">
        <v>2299</v>
      </c>
      <c r="AC267" s="9" t="s">
        <v>8173</v>
      </c>
      <c r="AD267" s="9" t="s">
        <v>8314</v>
      </c>
      <c r="AE267" t="str">
        <f t="shared" si="12"/>
        <v>Fast</v>
      </c>
      <c r="AF267">
        <f>IF($A267="","",IFERROR(VLOOKUP($B267,_CONFIG_Risk_Calibration!$A$5:$H$21,2,FALSE),3))</f>
        <v>3</v>
      </c>
      <c r="AG267">
        <f>IF($A267="","",IFERROR(VLOOKUP($B267,_CONFIG_Risk_Calibration!$A$5:$H$21,3,FALSE),0))</f>
        <v>0</v>
      </c>
      <c r="AH267">
        <f>IF($A267="","",IFERROR(VLOOKUP($B267,_CONFIG_Risk_Calibration!$A$5:$H$21,4,FALSE),3))</f>
        <v>3</v>
      </c>
      <c r="AI267">
        <f>IF($A267="","",IFERROR(VLOOKUP($B267,_CONFIG_Risk_Calibration!$A$5:$H$21,5,FALSE),3))</f>
        <v>3</v>
      </c>
      <c r="AJ267" t="str">
        <f>IF($A267="","",IFERROR(VLOOKUP($B267,_CONFIG_Risk_Calibration!$A$5:$H$21,6,FALSE),"No"))</f>
        <v>No</v>
      </c>
      <c r="AK267">
        <f>IF($A267="","",IFERROR(VLOOKUP($B267,_CONFIG_Risk_Calibration!$A$5:$H$21,7,FALSE),1))</f>
        <v>1</v>
      </c>
      <c r="AL267" t="str">
        <f>IF($A267="","",IFERROR(VLOOKUP($B267,_CONFIG_Risk_Calibration!$A$5:$H$21,8,FALSE),""))</f>
        <v>Clean template default. Calibrate with real exposure, incident history, evidence quality and domain-owner validation.</v>
      </c>
      <c r="AM267">
        <f>IF($A267="","",IFERROR(INDEX(_DATA_Assessment_Model!$AL$1:$AL$428,MATCH($A267,_DATA_Assessment_Model!$A$1:$A$428,0)),""))</f>
        <v>0</v>
      </c>
      <c r="AN267">
        <f t="shared" si="13"/>
        <v>1</v>
      </c>
      <c r="AO267">
        <f>IF($A267="","",_CONFIG_Model_Settings!$B$172*MAX(N($AK267),(N($AF267)+N($AI267))/2))</f>
        <v>60</v>
      </c>
      <c r="AP267">
        <f t="shared" si="14"/>
        <v>60</v>
      </c>
      <c r="AQ267">
        <f>IF($AP267="","",MAX(0,$AP267*(1-(_CONFIG_Model_Settings!$B$173+_CONFIG_Model_Settings!$B$174*(N($AH267)-1)))))</f>
        <v>39</v>
      </c>
      <c r="AR267">
        <f>IF($AP267="","",MIN(100,$AP267*(1+(_CONFIG_Model_Settings!$B$173+_CONFIG_Model_Settings!$B$174*(N($AH267)-1)))))</f>
        <v>81</v>
      </c>
    </row>
    <row r="268" spans="1:44" ht="60" customHeight="1">
      <c r="A268" s="9" t="s">
        <v>2382</v>
      </c>
      <c r="B268" s="9" t="s">
        <v>2286</v>
      </c>
      <c r="C268" s="9" t="s">
        <v>2319</v>
      </c>
      <c r="D268" s="9" t="s">
        <v>3689</v>
      </c>
      <c r="E268" s="9" t="s">
        <v>2383</v>
      </c>
      <c r="F268" s="9" t="s">
        <v>8315</v>
      </c>
      <c r="G268" s="9" t="s">
        <v>8316</v>
      </c>
      <c r="H268" s="9" t="s">
        <v>8317</v>
      </c>
      <c r="I268" s="9" t="s">
        <v>8318</v>
      </c>
      <c r="J268" s="9" t="s">
        <v>8319</v>
      </c>
      <c r="K268" s="9" t="s">
        <v>8320</v>
      </c>
      <c r="L268" s="9" t="s">
        <v>8321</v>
      </c>
      <c r="M268" s="9" t="s">
        <v>8322</v>
      </c>
      <c r="N268" s="9" t="s">
        <v>8323</v>
      </c>
      <c r="O268" s="9" t="s">
        <v>8324</v>
      </c>
      <c r="P268" s="9" t="s">
        <v>8325</v>
      </c>
      <c r="Q268" s="9" t="s">
        <v>8326</v>
      </c>
      <c r="R268" s="9" t="s">
        <v>4589</v>
      </c>
      <c r="S268" s="9" t="s">
        <v>8327</v>
      </c>
      <c r="T268" s="9">
        <v>3</v>
      </c>
      <c r="U268" s="9">
        <v>3</v>
      </c>
      <c r="V268" s="9">
        <v>2</v>
      </c>
      <c r="W268" s="9">
        <v>2</v>
      </c>
      <c r="X268" s="9">
        <v>1</v>
      </c>
      <c r="Y268" s="9">
        <v>1</v>
      </c>
      <c r="Z268" s="9" t="s">
        <v>2291</v>
      </c>
      <c r="AA268" s="9" t="s">
        <v>2384</v>
      </c>
      <c r="AB268" s="9" t="s">
        <v>2299</v>
      </c>
      <c r="AC268" s="9" t="s">
        <v>8173</v>
      </c>
      <c r="AD268" s="9" t="s">
        <v>8328</v>
      </c>
      <c r="AE268" t="str">
        <f t="shared" si="12"/>
        <v>Fast</v>
      </c>
      <c r="AF268">
        <f>IF($A268="","",IFERROR(VLOOKUP($B268,_CONFIG_Risk_Calibration!$A$5:$H$21,2,FALSE),3))</f>
        <v>3</v>
      </c>
      <c r="AG268">
        <f>IF($A268="","",IFERROR(VLOOKUP($B268,_CONFIG_Risk_Calibration!$A$5:$H$21,3,FALSE),0))</f>
        <v>0</v>
      </c>
      <c r="AH268">
        <f>IF($A268="","",IFERROR(VLOOKUP($B268,_CONFIG_Risk_Calibration!$A$5:$H$21,4,FALSE),3))</f>
        <v>3</v>
      </c>
      <c r="AI268">
        <f>IF($A268="","",IFERROR(VLOOKUP($B268,_CONFIG_Risk_Calibration!$A$5:$H$21,5,FALSE),3))</f>
        <v>3</v>
      </c>
      <c r="AJ268" t="str">
        <f>IF($A268="","",IFERROR(VLOOKUP($B268,_CONFIG_Risk_Calibration!$A$5:$H$21,6,FALSE),"No"))</f>
        <v>No</v>
      </c>
      <c r="AK268">
        <f>IF($A268="","",IFERROR(VLOOKUP($B268,_CONFIG_Risk_Calibration!$A$5:$H$21,7,FALSE),1))</f>
        <v>1</v>
      </c>
      <c r="AL268" t="str">
        <f>IF($A268="","",IFERROR(VLOOKUP($B268,_CONFIG_Risk_Calibration!$A$5:$H$21,8,FALSE),""))</f>
        <v>Clean template default. Calibrate with real exposure, incident history, evidence quality and domain-owner validation.</v>
      </c>
      <c r="AM268">
        <f>IF($A268="","",IFERROR(INDEX(_DATA_Assessment_Model!$AL$1:$AL$428,MATCH($A268,_DATA_Assessment_Model!$A$1:$A$428,0)),""))</f>
        <v>0</v>
      </c>
      <c r="AN268">
        <f t="shared" si="13"/>
        <v>1</v>
      </c>
      <c r="AO268">
        <f>IF($A268="","",_CONFIG_Model_Settings!$B$172*MAX(N($AK268),(N($AF268)+N($AI268))/2))</f>
        <v>60</v>
      </c>
      <c r="AP268">
        <f t="shared" si="14"/>
        <v>60</v>
      </c>
      <c r="AQ268">
        <f>IF($AP268="","",MAX(0,$AP268*(1-(_CONFIG_Model_Settings!$B$173+_CONFIG_Model_Settings!$B$174*(N($AH268)-1)))))</f>
        <v>39</v>
      </c>
      <c r="AR268">
        <f>IF($AP268="","",MIN(100,$AP268*(1+(_CONFIG_Model_Settings!$B$173+_CONFIG_Model_Settings!$B$174*(N($AH268)-1)))))</f>
        <v>81</v>
      </c>
    </row>
    <row r="269" spans="1:44" ht="72" customHeight="1">
      <c r="A269" s="9" t="s">
        <v>2391</v>
      </c>
      <c r="B269" s="9" t="s">
        <v>2286</v>
      </c>
      <c r="C269" s="9" t="s">
        <v>2319</v>
      </c>
      <c r="D269" s="9" t="s">
        <v>3689</v>
      </c>
      <c r="E269" s="9" t="s">
        <v>2392</v>
      </c>
      <c r="F269" s="9" t="s">
        <v>8329</v>
      </c>
      <c r="G269" s="9" t="s">
        <v>8330</v>
      </c>
      <c r="H269" s="9" t="s">
        <v>8331</v>
      </c>
      <c r="I269" s="9" t="s">
        <v>8332</v>
      </c>
      <c r="J269" s="9" t="s">
        <v>8333</v>
      </c>
      <c r="K269" s="9" t="s">
        <v>8334</v>
      </c>
      <c r="L269" s="9" t="s">
        <v>8335</v>
      </c>
      <c r="M269" s="9" t="s">
        <v>8336</v>
      </c>
      <c r="N269" s="9" t="s">
        <v>8337</v>
      </c>
      <c r="O269" s="9" t="s">
        <v>8338</v>
      </c>
      <c r="P269" s="9" t="s">
        <v>8339</v>
      </c>
      <c r="Q269" s="9" t="s">
        <v>8340</v>
      </c>
      <c r="R269" s="9" t="s">
        <v>4589</v>
      </c>
      <c r="S269" s="9" t="s">
        <v>8341</v>
      </c>
      <c r="T269" s="9">
        <v>3</v>
      </c>
      <c r="U269" s="9">
        <v>3</v>
      </c>
      <c r="V269" s="9">
        <v>2</v>
      </c>
      <c r="W269" s="9">
        <v>2</v>
      </c>
      <c r="X269" s="9">
        <v>1</v>
      </c>
      <c r="Y269" s="9">
        <v>1</v>
      </c>
      <c r="Z269" s="9" t="s">
        <v>2291</v>
      </c>
      <c r="AA269" s="9" t="s">
        <v>2393</v>
      </c>
      <c r="AB269" s="9" t="s">
        <v>2299</v>
      </c>
      <c r="AC269" s="9" t="s">
        <v>8173</v>
      </c>
      <c r="AD269" s="9" t="s">
        <v>8342</v>
      </c>
      <c r="AE269" t="str">
        <f t="shared" si="12"/>
        <v>Fast</v>
      </c>
      <c r="AF269">
        <f>IF($A269="","",IFERROR(VLOOKUP($B269,_CONFIG_Risk_Calibration!$A$5:$H$21,2,FALSE),3))</f>
        <v>3</v>
      </c>
      <c r="AG269">
        <f>IF($A269="","",IFERROR(VLOOKUP($B269,_CONFIG_Risk_Calibration!$A$5:$H$21,3,FALSE),0))</f>
        <v>0</v>
      </c>
      <c r="AH269">
        <f>IF($A269="","",IFERROR(VLOOKUP($B269,_CONFIG_Risk_Calibration!$A$5:$H$21,4,FALSE),3))</f>
        <v>3</v>
      </c>
      <c r="AI269">
        <f>IF($A269="","",IFERROR(VLOOKUP($B269,_CONFIG_Risk_Calibration!$A$5:$H$21,5,FALSE),3))</f>
        <v>3</v>
      </c>
      <c r="AJ269" t="str">
        <f>IF($A269="","",IFERROR(VLOOKUP($B269,_CONFIG_Risk_Calibration!$A$5:$H$21,6,FALSE),"No"))</f>
        <v>No</v>
      </c>
      <c r="AK269">
        <f>IF($A269="","",IFERROR(VLOOKUP($B269,_CONFIG_Risk_Calibration!$A$5:$H$21,7,FALSE),1))</f>
        <v>1</v>
      </c>
      <c r="AL269" t="str">
        <f>IF($A269="","",IFERROR(VLOOKUP($B269,_CONFIG_Risk_Calibration!$A$5:$H$21,8,FALSE),""))</f>
        <v>Clean template default. Calibrate with real exposure, incident history, evidence quality and domain-owner validation.</v>
      </c>
      <c r="AM269">
        <f>IF($A269="","",IFERROR(INDEX(_DATA_Assessment_Model!$AL$1:$AL$428,MATCH($A269,_DATA_Assessment_Model!$A$1:$A$428,0)),""))</f>
        <v>0</v>
      </c>
      <c r="AN269">
        <f t="shared" si="13"/>
        <v>1</v>
      </c>
      <c r="AO269">
        <f>IF($A269="","",_CONFIG_Model_Settings!$B$172*MAX(N($AK269),(N($AF269)+N($AI269))/2))</f>
        <v>60</v>
      </c>
      <c r="AP269">
        <f t="shared" si="14"/>
        <v>60</v>
      </c>
      <c r="AQ269">
        <f>IF($AP269="","",MAX(0,$AP269*(1-(_CONFIG_Model_Settings!$B$173+_CONFIG_Model_Settings!$B$174*(N($AH269)-1)))))</f>
        <v>39</v>
      </c>
      <c r="AR269">
        <f>IF($AP269="","",MIN(100,$AP269*(1+(_CONFIG_Model_Settings!$B$173+_CONFIG_Model_Settings!$B$174*(N($AH269)-1)))))</f>
        <v>81</v>
      </c>
    </row>
    <row r="270" spans="1:44" ht="72" customHeight="1">
      <c r="A270" s="9" t="s">
        <v>2394</v>
      </c>
      <c r="B270" s="9" t="s">
        <v>2286</v>
      </c>
      <c r="C270" s="9" t="s">
        <v>2319</v>
      </c>
      <c r="D270" s="9" t="s">
        <v>3689</v>
      </c>
      <c r="E270" s="9" t="s">
        <v>2395</v>
      </c>
      <c r="F270" s="9" t="s">
        <v>8343</v>
      </c>
      <c r="G270" s="9" t="s">
        <v>8344</v>
      </c>
      <c r="H270" s="9" t="s">
        <v>8345</v>
      </c>
      <c r="I270" s="9" t="s">
        <v>8346</v>
      </c>
      <c r="J270" s="9" t="s">
        <v>8347</v>
      </c>
      <c r="K270" s="9" t="s">
        <v>8348</v>
      </c>
      <c r="L270" s="9" t="s">
        <v>8349</v>
      </c>
      <c r="M270" s="9" t="s">
        <v>8350</v>
      </c>
      <c r="N270" s="9" t="s">
        <v>8351</v>
      </c>
      <c r="O270" s="9" t="s">
        <v>8352</v>
      </c>
      <c r="P270" s="9" t="s">
        <v>8353</v>
      </c>
      <c r="Q270" s="9" t="s">
        <v>8354</v>
      </c>
      <c r="R270" s="9" t="s">
        <v>4589</v>
      </c>
      <c r="S270" s="9" t="s">
        <v>8355</v>
      </c>
      <c r="T270" s="9">
        <v>3</v>
      </c>
      <c r="U270" s="9">
        <v>3</v>
      </c>
      <c r="V270" s="9">
        <v>2</v>
      </c>
      <c r="W270" s="9">
        <v>2</v>
      </c>
      <c r="X270" s="9">
        <v>1</v>
      </c>
      <c r="Y270" s="9">
        <v>1</v>
      </c>
      <c r="Z270" s="9" t="s">
        <v>2291</v>
      </c>
      <c r="AA270" s="9" t="s">
        <v>2396</v>
      </c>
      <c r="AB270" s="9" t="s">
        <v>2299</v>
      </c>
      <c r="AC270" s="9" t="s">
        <v>8173</v>
      </c>
      <c r="AD270" s="9" t="s">
        <v>8356</v>
      </c>
      <c r="AE270" t="str">
        <f t="shared" si="12"/>
        <v>Fast</v>
      </c>
      <c r="AF270">
        <f>IF($A270="","",IFERROR(VLOOKUP($B270,_CONFIG_Risk_Calibration!$A$5:$H$21,2,FALSE),3))</f>
        <v>3</v>
      </c>
      <c r="AG270">
        <f>IF($A270="","",IFERROR(VLOOKUP($B270,_CONFIG_Risk_Calibration!$A$5:$H$21,3,FALSE),0))</f>
        <v>0</v>
      </c>
      <c r="AH270">
        <f>IF($A270="","",IFERROR(VLOOKUP($B270,_CONFIG_Risk_Calibration!$A$5:$H$21,4,FALSE),3))</f>
        <v>3</v>
      </c>
      <c r="AI270">
        <f>IF($A270="","",IFERROR(VLOOKUP($B270,_CONFIG_Risk_Calibration!$A$5:$H$21,5,FALSE),3))</f>
        <v>3</v>
      </c>
      <c r="AJ270" t="str">
        <f>IF($A270="","",IFERROR(VLOOKUP($B270,_CONFIG_Risk_Calibration!$A$5:$H$21,6,FALSE),"No"))</f>
        <v>No</v>
      </c>
      <c r="AK270">
        <f>IF($A270="","",IFERROR(VLOOKUP($B270,_CONFIG_Risk_Calibration!$A$5:$H$21,7,FALSE),1))</f>
        <v>1</v>
      </c>
      <c r="AL270" t="str">
        <f>IF($A270="","",IFERROR(VLOOKUP($B270,_CONFIG_Risk_Calibration!$A$5:$H$21,8,FALSE),""))</f>
        <v>Clean template default. Calibrate with real exposure, incident history, evidence quality and domain-owner validation.</v>
      </c>
      <c r="AM270">
        <f>IF($A270="","",IFERROR(INDEX(_DATA_Assessment_Model!$AL$1:$AL$428,MATCH($A270,_DATA_Assessment_Model!$A$1:$A$428,0)),""))</f>
        <v>0</v>
      </c>
      <c r="AN270">
        <f t="shared" si="13"/>
        <v>1</v>
      </c>
      <c r="AO270">
        <f>IF($A270="","",_CONFIG_Model_Settings!$B$172*MAX(N($AK270),(N($AF270)+N($AI270))/2))</f>
        <v>60</v>
      </c>
      <c r="AP270">
        <f t="shared" si="14"/>
        <v>60</v>
      </c>
      <c r="AQ270">
        <f>IF($AP270="","",MAX(0,$AP270*(1-(_CONFIG_Model_Settings!$B$173+_CONFIG_Model_Settings!$B$174*(N($AH270)-1)))))</f>
        <v>39</v>
      </c>
      <c r="AR270">
        <f>IF($AP270="","",MIN(100,$AP270*(1+(_CONFIG_Model_Settings!$B$173+_CONFIG_Model_Settings!$B$174*(N($AH270)-1)))))</f>
        <v>81</v>
      </c>
    </row>
    <row r="271" spans="1:44" ht="72" customHeight="1">
      <c r="A271" s="9" t="s">
        <v>2397</v>
      </c>
      <c r="B271" s="9" t="s">
        <v>2286</v>
      </c>
      <c r="C271" s="9" t="s">
        <v>2319</v>
      </c>
      <c r="D271" s="9" t="s">
        <v>3689</v>
      </c>
      <c r="E271" s="9" t="s">
        <v>2398</v>
      </c>
      <c r="F271" s="9" t="s">
        <v>8357</v>
      </c>
      <c r="G271" s="9" t="s">
        <v>8358</v>
      </c>
      <c r="H271" s="9" t="s">
        <v>8359</v>
      </c>
      <c r="I271" s="9" t="s">
        <v>8360</v>
      </c>
      <c r="J271" s="9" t="s">
        <v>8361</v>
      </c>
      <c r="K271" s="9" t="s">
        <v>8362</v>
      </c>
      <c r="L271" s="9" t="s">
        <v>8363</v>
      </c>
      <c r="M271" s="9" t="s">
        <v>8364</v>
      </c>
      <c r="N271" s="9" t="s">
        <v>8365</v>
      </c>
      <c r="O271" s="9" t="s">
        <v>8366</v>
      </c>
      <c r="P271" s="9" t="s">
        <v>8367</v>
      </c>
      <c r="Q271" s="9" t="s">
        <v>8368</v>
      </c>
      <c r="R271" s="9" t="s">
        <v>4589</v>
      </c>
      <c r="S271" s="9" t="s">
        <v>8369</v>
      </c>
      <c r="T271" s="9">
        <v>3</v>
      </c>
      <c r="U271" s="9">
        <v>3</v>
      </c>
      <c r="V271" s="9">
        <v>2</v>
      </c>
      <c r="W271" s="9">
        <v>2</v>
      </c>
      <c r="X271" s="9">
        <v>1</v>
      </c>
      <c r="Y271" s="9">
        <v>1</v>
      </c>
      <c r="Z271" s="9" t="s">
        <v>2291</v>
      </c>
      <c r="AA271" s="9" t="s">
        <v>2399</v>
      </c>
      <c r="AB271" s="9" t="s">
        <v>2299</v>
      </c>
      <c r="AC271" s="9" t="s">
        <v>8173</v>
      </c>
      <c r="AD271" s="9" t="s">
        <v>8370</v>
      </c>
      <c r="AE271" t="str">
        <f t="shared" si="12"/>
        <v>Fast</v>
      </c>
      <c r="AF271">
        <f>IF($A271="","",IFERROR(VLOOKUP($B271,_CONFIG_Risk_Calibration!$A$5:$H$21,2,FALSE),3))</f>
        <v>3</v>
      </c>
      <c r="AG271">
        <f>IF($A271="","",IFERROR(VLOOKUP($B271,_CONFIG_Risk_Calibration!$A$5:$H$21,3,FALSE),0))</f>
        <v>0</v>
      </c>
      <c r="AH271">
        <f>IF($A271="","",IFERROR(VLOOKUP($B271,_CONFIG_Risk_Calibration!$A$5:$H$21,4,FALSE),3))</f>
        <v>3</v>
      </c>
      <c r="AI271">
        <f>IF($A271="","",IFERROR(VLOOKUP($B271,_CONFIG_Risk_Calibration!$A$5:$H$21,5,FALSE),3))</f>
        <v>3</v>
      </c>
      <c r="AJ271" t="str">
        <f>IF($A271="","",IFERROR(VLOOKUP($B271,_CONFIG_Risk_Calibration!$A$5:$H$21,6,FALSE),"No"))</f>
        <v>No</v>
      </c>
      <c r="AK271">
        <f>IF($A271="","",IFERROR(VLOOKUP($B271,_CONFIG_Risk_Calibration!$A$5:$H$21,7,FALSE),1))</f>
        <v>1</v>
      </c>
      <c r="AL271" t="str">
        <f>IF($A271="","",IFERROR(VLOOKUP($B271,_CONFIG_Risk_Calibration!$A$5:$H$21,8,FALSE),""))</f>
        <v>Clean template default. Calibrate with real exposure, incident history, evidence quality and domain-owner validation.</v>
      </c>
      <c r="AM271">
        <f>IF($A271="","",IFERROR(INDEX(_DATA_Assessment_Model!$AL$1:$AL$428,MATCH($A271,_DATA_Assessment_Model!$A$1:$A$428,0)),""))</f>
        <v>0</v>
      </c>
      <c r="AN271">
        <f t="shared" si="13"/>
        <v>1</v>
      </c>
      <c r="AO271">
        <f>IF($A271="","",_CONFIG_Model_Settings!$B$172*MAX(N($AK271),(N($AF271)+N($AI271))/2))</f>
        <v>60</v>
      </c>
      <c r="AP271">
        <f t="shared" si="14"/>
        <v>60</v>
      </c>
      <c r="AQ271">
        <f>IF($AP271="","",MAX(0,$AP271*(1-(_CONFIG_Model_Settings!$B$173+_CONFIG_Model_Settings!$B$174*(N($AH271)-1)))))</f>
        <v>39</v>
      </c>
      <c r="AR271">
        <f>IF($AP271="","",MIN(100,$AP271*(1+(_CONFIG_Model_Settings!$B$173+_CONFIG_Model_Settings!$B$174*(N($AH271)-1)))))</f>
        <v>81</v>
      </c>
    </row>
    <row r="272" spans="1:44" ht="72" customHeight="1">
      <c r="A272" s="9" t="s">
        <v>2406</v>
      </c>
      <c r="B272" s="9" t="s">
        <v>2286</v>
      </c>
      <c r="C272" s="9" t="s">
        <v>2329</v>
      </c>
      <c r="D272" s="9" t="s">
        <v>3689</v>
      </c>
      <c r="E272" s="9" t="s">
        <v>2407</v>
      </c>
      <c r="F272" s="9" t="s">
        <v>8371</v>
      </c>
      <c r="G272" s="9" t="s">
        <v>8372</v>
      </c>
      <c r="H272" s="9" t="s">
        <v>8373</v>
      </c>
      <c r="I272" s="9" t="s">
        <v>8374</v>
      </c>
      <c r="J272" s="9" t="s">
        <v>8375</v>
      </c>
      <c r="K272" s="9" t="s">
        <v>8376</v>
      </c>
      <c r="L272" s="9" t="s">
        <v>8377</v>
      </c>
      <c r="M272" s="9" t="s">
        <v>8378</v>
      </c>
      <c r="N272" s="9" t="s">
        <v>8379</v>
      </c>
      <c r="O272" s="9" t="s">
        <v>8380</v>
      </c>
      <c r="P272" s="9" t="s">
        <v>8381</v>
      </c>
      <c r="Q272" s="9" t="s">
        <v>8382</v>
      </c>
      <c r="R272" s="9" t="s">
        <v>4589</v>
      </c>
      <c r="S272" s="9" t="s">
        <v>8383</v>
      </c>
      <c r="T272" s="9">
        <v>3</v>
      </c>
      <c r="U272" s="9">
        <v>3</v>
      </c>
      <c r="V272" s="9">
        <v>2</v>
      </c>
      <c r="W272" s="9">
        <v>2</v>
      </c>
      <c r="X272" s="9">
        <v>1</v>
      </c>
      <c r="Y272" s="9">
        <v>1</v>
      </c>
      <c r="Z272" s="9" t="s">
        <v>2291</v>
      </c>
      <c r="AA272" s="9" t="s">
        <v>2408</v>
      </c>
      <c r="AB272" s="9" t="s">
        <v>2299</v>
      </c>
      <c r="AC272" s="9" t="s">
        <v>8173</v>
      </c>
      <c r="AD272" s="9" t="s">
        <v>8384</v>
      </c>
      <c r="AE272" t="str">
        <f t="shared" si="12"/>
        <v>Fast</v>
      </c>
      <c r="AF272">
        <f>IF($A272="","",IFERROR(VLOOKUP($B272,_CONFIG_Risk_Calibration!$A$5:$H$21,2,FALSE),3))</f>
        <v>3</v>
      </c>
      <c r="AG272">
        <f>IF($A272="","",IFERROR(VLOOKUP($B272,_CONFIG_Risk_Calibration!$A$5:$H$21,3,FALSE),0))</f>
        <v>0</v>
      </c>
      <c r="AH272">
        <f>IF($A272="","",IFERROR(VLOOKUP($B272,_CONFIG_Risk_Calibration!$A$5:$H$21,4,FALSE),3))</f>
        <v>3</v>
      </c>
      <c r="AI272">
        <f>IF($A272="","",IFERROR(VLOOKUP($B272,_CONFIG_Risk_Calibration!$A$5:$H$21,5,FALSE),3))</f>
        <v>3</v>
      </c>
      <c r="AJ272" t="str">
        <f>IF($A272="","",IFERROR(VLOOKUP($B272,_CONFIG_Risk_Calibration!$A$5:$H$21,6,FALSE),"No"))</f>
        <v>No</v>
      </c>
      <c r="AK272">
        <f>IF($A272="","",IFERROR(VLOOKUP($B272,_CONFIG_Risk_Calibration!$A$5:$H$21,7,FALSE),1))</f>
        <v>1</v>
      </c>
      <c r="AL272" t="str">
        <f>IF($A272="","",IFERROR(VLOOKUP($B272,_CONFIG_Risk_Calibration!$A$5:$H$21,8,FALSE),""))</f>
        <v>Clean template default. Calibrate with real exposure, incident history, evidence quality and domain-owner validation.</v>
      </c>
      <c r="AM272">
        <f>IF($A272="","",IFERROR(INDEX(_DATA_Assessment_Model!$AL$1:$AL$428,MATCH($A272,_DATA_Assessment_Model!$A$1:$A$428,0)),""))</f>
        <v>0</v>
      </c>
      <c r="AN272">
        <f t="shared" si="13"/>
        <v>1</v>
      </c>
      <c r="AO272">
        <f>IF($A272="","",_CONFIG_Model_Settings!$B$172*MAX(N($AK272),(N($AF272)+N($AI272))/2))</f>
        <v>60</v>
      </c>
      <c r="AP272">
        <f t="shared" si="14"/>
        <v>60</v>
      </c>
      <c r="AQ272">
        <f>IF($AP272="","",MAX(0,$AP272*(1-(_CONFIG_Model_Settings!$B$173+_CONFIG_Model_Settings!$B$174*(N($AH272)-1)))))</f>
        <v>39</v>
      </c>
      <c r="AR272">
        <f>IF($AP272="","",MIN(100,$AP272*(1+(_CONFIG_Model_Settings!$B$173+_CONFIG_Model_Settings!$B$174*(N($AH272)-1)))))</f>
        <v>81</v>
      </c>
    </row>
    <row r="273" spans="1:44" ht="72" customHeight="1">
      <c r="A273" s="9" t="s">
        <v>2415</v>
      </c>
      <c r="B273" s="9" t="s">
        <v>2286</v>
      </c>
      <c r="C273" s="9" t="s">
        <v>2329</v>
      </c>
      <c r="D273" s="9" t="s">
        <v>3689</v>
      </c>
      <c r="E273" s="9" t="s">
        <v>2416</v>
      </c>
      <c r="F273" s="9" t="s">
        <v>8385</v>
      </c>
      <c r="G273" s="9" t="s">
        <v>8386</v>
      </c>
      <c r="H273" s="9" t="s">
        <v>8387</v>
      </c>
      <c r="I273" s="9" t="s">
        <v>8388</v>
      </c>
      <c r="J273" s="9" t="s">
        <v>8389</v>
      </c>
      <c r="K273" s="9" t="s">
        <v>8390</v>
      </c>
      <c r="L273" s="9" t="s">
        <v>8391</v>
      </c>
      <c r="M273" s="9" t="s">
        <v>8392</v>
      </c>
      <c r="N273" s="9" t="s">
        <v>8393</v>
      </c>
      <c r="O273" s="9" t="s">
        <v>8394</v>
      </c>
      <c r="P273" s="9" t="s">
        <v>8395</v>
      </c>
      <c r="Q273" s="9" t="s">
        <v>8396</v>
      </c>
      <c r="R273" s="9" t="s">
        <v>4589</v>
      </c>
      <c r="S273" s="9" t="s">
        <v>8397</v>
      </c>
      <c r="T273" s="9">
        <v>3</v>
      </c>
      <c r="U273" s="9">
        <v>3</v>
      </c>
      <c r="V273" s="9">
        <v>2</v>
      </c>
      <c r="W273" s="9">
        <v>2</v>
      </c>
      <c r="X273" s="9">
        <v>1</v>
      </c>
      <c r="Y273" s="9">
        <v>1</v>
      </c>
      <c r="Z273" s="9" t="s">
        <v>2291</v>
      </c>
      <c r="AA273" s="9" t="s">
        <v>2417</v>
      </c>
      <c r="AB273" s="9" t="s">
        <v>2299</v>
      </c>
      <c r="AC273" s="9" t="s">
        <v>8173</v>
      </c>
      <c r="AD273" s="9" t="s">
        <v>8398</v>
      </c>
      <c r="AE273" t="str">
        <f t="shared" si="12"/>
        <v>Fast</v>
      </c>
      <c r="AF273">
        <f>IF($A273="","",IFERROR(VLOOKUP($B273,_CONFIG_Risk_Calibration!$A$5:$H$21,2,FALSE),3))</f>
        <v>3</v>
      </c>
      <c r="AG273">
        <f>IF($A273="","",IFERROR(VLOOKUP($B273,_CONFIG_Risk_Calibration!$A$5:$H$21,3,FALSE),0))</f>
        <v>0</v>
      </c>
      <c r="AH273">
        <f>IF($A273="","",IFERROR(VLOOKUP($B273,_CONFIG_Risk_Calibration!$A$5:$H$21,4,FALSE),3))</f>
        <v>3</v>
      </c>
      <c r="AI273">
        <f>IF($A273="","",IFERROR(VLOOKUP($B273,_CONFIG_Risk_Calibration!$A$5:$H$21,5,FALSE),3))</f>
        <v>3</v>
      </c>
      <c r="AJ273" t="str">
        <f>IF($A273="","",IFERROR(VLOOKUP($B273,_CONFIG_Risk_Calibration!$A$5:$H$21,6,FALSE),"No"))</f>
        <v>No</v>
      </c>
      <c r="AK273">
        <f>IF($A273="","",IFERROR(VLOOKUP($B273,_CONFIG_Risk_Calibration!$A$5:$H$21,7,FALSE),1))</f>
        <v>1</v>
      </c>
      <c r="AL273" t="str">
        <f>IF($A273="","",IFERROR(VLOOKUP($B273,_CONFIG_Risk_Calibration!$A$5:$H$21,8,FALSE),""))</f>
        <v>Clean template default. Calibrate with real exposure, incident history, evidence quality and domain-owner validation.</v>
      </c>
      <c r="AM273">
        <f>IF($A273="","",IFERROR(INDEX(_DATA_Assessment_Model!$AL$1:$AL$428,MATCH($A273,_DATA_Assessment_Model!$A$1:$A$428,0)),""))</f>
        <v>0</v>
      </c>
      <c r="AN273">
        <f t="shared" si="13"/>
        <v>1</v>
      </c>
      <c r="AO273">
        <f>IF($A273="","",_CONFIG_Model_Settings!$B$172*MAX(N($AK273),(N($AF273)+N($AI273))/2))</f>
        <v>60</v>
      </c>
      <c r="AP273">
        <f t="shared" si="14"/>
        <v>60</v>
      </c>
      <c r="AQ273">
        <f>IF($AP273="","",MAX(0,$AP273*(1-(_CONFIG_Model_Settings!$B$173+_CONFIG_Model_Settings!$B$174*(N($AH273)-1)))))</f>
        <v>39</v>
      </c>
      <c r="AR273">
        <f>IF($AP273="","",MIN(100,$AP273*(1+(_CONFIG_Model_Settings!$B$173+_CONFIG_Model_Settings!$B$174*(N($AH273)-1)))))</f>
        <v>81</v>
      </c>
    </row>
    <row r="274" spans="1:44" ht="72" customHeight="1">
      <c r="A274" s="9" t="s">
        <v>2418</v>
      </c>
      <c r="B274" s="9" t="s">
        <v>2286</v>
      </c>
      <c r="C274" s="9" t="s">
        <v>2329</v>
      </c>
      <c r="D274" s="9" t="s">
        <v>3689</v>
      </c>
      <c r="E274" s="9" t="s">
        <v>2419</v>
      </c>
      <c r="F274" s="9" t="s">
        <v>8399</v>
      </c>
      <c r="G274" s="9" t="s">
        <v>8400</v>
      </c>
      <c r="H274" s="9" t="s">
        <v>8401</v>
      </c>
      <c r="I274" s="9" t="s">
        <v>8402</v>
      </c>
      <c r="J274" s="9" t="s">
        <v>8403</v>
      </c>
      <c r="K274" s="9" t="s">
        <v>8404</v>
      </c>
      <c r="L274" s="9" t="s">
        <v>8405</v>
      </c>
      <c r="M274" s="9" t="s">
        <v>8406</v>
      </c>
      <c r="N274" s="9" t="s">
        <v>8407</v>
      </c>
      <c r="O274" s="9" t="s">
        <v>8408</v>
      </c>
      <c r="P274" s="9" t="s">
        <v>8409</v>
      </c>
      <c r="Q274" s="9" t="s">
        <v>8410</v>
      </c>
      <c r="R274" s="9" t="s">
        <v>4589</v>
      </c>
      <c r="S274" s="9" t="s">
        <v>8411</v>
      </c>
      <c r="T274" s="9">
        <v>3</v>
      </c>
      <c r="U274" s="9">
        <v>3</v>
      </c>
      <c r="V274" s="9">
        <v>2</v>
      </c>
      <c r="W274" s="9">
        <v>2</v>
      </c>
      <c r="X274" s="9">
        <v>1</v>
      </c>
      <c r="Y274" s="9">
        <v>1</v>
      </c>
      <c r="Z274" s="9" t="s">
        <v>2291</v>
      </c>
      <c r="AA274" s="9" t="s">
        <v>2420</v>
      </c>
      <c r="AB274" s="9" t="s">
        <v>2299</v>
      </c>
      <c r="AC274" s="9" t="s">
        <v>8173</v>
      </c>
      <c r="AD274" s="9" t="s">
        <v>8412</v>
      </c>
      <c r="AE274" t="str">
        <f t="shared" si="12"/>
        <v>Fast</v>
      </c>
      <c r="AF274">
        <f>IF($A274="","",IFERROR(VLOOKUP($B274,_CONFIG_Risk_Calibration!$A$5:$H$21,2,FALSE),3))</f>
        <v>3</v>
      </c>
      <c r="AG274">
        <f>IF($A274="","",IFERROR(VLOOKUP($B274,_CONFIG_Risk_Calibration!$A$5:$H$21,3,FALSE),0))</f>
        <v>0</v>
      </c>
      <c r="AH274">
        <f>IF($A274="","",IFERROR(VLOOKUP($B274,_CONFIG_Risk_Calibration!$A$5:$H$21,4,FALSE),3))</f>
        <v>3</v>
      </c>
      <c r="AI274">
        <f>IF($A274="","",IFERROR(VLOOKUP($B274,_CONFIG_Risk_Calibration!$A$5:$H$21,5,FALSE),3))</f>
        <v>3</v>
      </c>
      <c r="AJ274" t="str">
        <f>IF($A274="","",IFERROR(VLOOKUP($B274,_CONFIG_Risk_Calibration!$A$5:$H$21,6,FALSE),"No"))</f>
        <v>No</v>
      </c>
      <c r="AK274">
        <f>IF($A274="","",IFERROR(VLOOKUP($B274,_CONFIG_Risk_Calibration!$A$5:$H$21,7,FALSE),1))</f>
        <v>1</v>
      </c>
      <c r="AL274" t="str">
        <f>IF($A274="","",IFERROR(VLOOKUP($B274,_CONFIG_Risk_Calibration!$A$5:$H$21,8,FALSE),""))</f>
        <v>Clean template default. Calibrate with real exposure, incident history, evidence quality and domain-owner validation.</v>
      </c>
      <c r="AM274">
        <f>IF($A274="","",IFERROR(INDEX(_DATA_Assessment_Model!$AL$1:$AL$428,MATCH($A274,_DATA_Assessment_Model!$A$1:$A$428,0)),""))</f>
        <v>0</v>
      </c>
      <c r="AN274">
        <f t="shared" si="13"/>
        <v>1</v>
      </c>
      <c r="AO274">
        <f>IF($A274="","",_CONFIG_Model_Settings!$B$172*MAX(N($AK274),(N($AF274)+N($AI274))/2))</f>
        <v>60</v>
      </c>
      <c r="AP274">
        <f t="shared" si="14"/>
        <v>60</v>
      </c>
      <c r="AQ274">
        <f>IF($AP274="","",MAX(0,$AP274*(1-(_CONFIG_Model_Settings!$B$173+_CONFIG_Model_Settings!$B$174*(N($AH274)-1)))))</f>
        <v>39</v>
      </c>
      <c r="AR274">
        <f>IF($AP274="","",MIN(100,$AP274*(1+(_CONFIG_Model_Settings!$B$173+_CONFIG_Model_Settings!$B$174*(N($AH274)-1)))))</f>
        <v>81</v>
      </c>
    </row>
    <row r="275" spans="1:44" ht="72" customHeight="1">
      <c r="A275" s="9" t="s">
        <v>2421</v>
      </c>
      <c r="B275" s="9" t="s">
        <v>2286</v>
      </c>
      <c r="C275" s="9" t="s">
        <v>2329</v>
      </c>
      <c r="D275" s="9" t="s">
        <v>3689</v>
      </c>
      <c r="E275" s="9" t="s">
        <v>2422</v>
      </c>
      <c r="F275" s="9" t="s">
        <v>8413</v>
      </c>
      <c r="G275" s="9" t="s">
        <v>8414</v>
      </c>
      <c r="H275" s="9" t="s">
        <v>8415</v>
      </c>
      <c r="I275" s="9" t="s">
        <v>8416</v>
      </c>
      <c r="J275" s="9" t="s">
        <v>8417</v>
      </c>
      <c r="K275" s="9" t="s">
        <v>8418</v>
      </c>
      <c r="L275" s="9" t="s">
        <v>8419</v>
      </c>
      <c r="M275" s="9" t="s">
        <v>8420</v>
      </c>
      <c r="N275" s="9" t="s">
        <v>8421</v>
      </c>
      <c r="O275" s="9" t="s">
        <v>8422</v>
      </c>
      <c r="P275" s="9" t="s">
        <v>8423</v>
      </c>
      <c r="Q275" s="9" t="s">
        <v>8424</v>
      </c>
      <c r="R275" s="9" t="s">
        <v>4589</v>
      </c>
      <c r="S275" s="9" t="s">
        <v>8425</v>
      </c>
      <c r="T275" s="9">
        <v>3</v>
      </c>
      <c r="U275" s="9">
        <v>3</v>
      </c>
      <c r="V275" s="9">
        <v>2</v>
      </c>
      <c r="W275" s="9">
        <v>2</v>
      </c>
      <c r="X275" s="9">
        <v>1</v>
      </c>
      <c r="Y275" s="9">
        <v>1</v>
      </c>
      <c r="Z275" s="9" t="s">
        <v>2291</v>
      </c>
      <c r="AA275" s="9" t="s">
        <v>2423</v>
      </c>
      <c r="AB275" s="9" t="s">
        <v>2299</v>
      </c>
      <c r="AC275" s="9" t="s">
        <v>8173</v>
      </c>
      <c r="AD275" s="9" t="s">
        <v>8426</v>
      </c>
      <c r="AE275" t="str">
        <f t="shared" si="12"/>
        <v>Fast</v>
      </c>
      <c r="AF275">
        <f>IF($A275="","",IFERROR(VLOOKUP($B275,_CONFIG_Risk_Calibration!$A$5:$H$21,2,FALSE),3))</f>
        <v>3</v>
      </c>
      <c r="AG275">
        <f>IF($A275="","",IFERROR(VLOOKUP($B275,_CONFIG_Risk_Calibration!$A$5:$H$21,3,FALSE),0))</f>
        <v>0</v>
      </c>
      <c r="AH275">
        <f>IF($A275="","",IFERROR(VLOOKUP($B275,_CONFIG_Risk_Calibration!$A$5:$H$21,4,FALSE),3))</f>
        <v>3</v>
      </c>
      <c r="AI275">
        <f>IF($A275="","",IFERROR(VLOOKUP($B275,_CONFIG_Risk_Calibration!$A$5:$H$21,5,FALSE),3))</f>
        <v>3</v>
      </c>
      <c r="AJ275" t="str">
        <f>IF($A275="","",IFERROR(VLOOKUP($B275,_CONFIG_Risk_Calibration!$A$5:$H$21,6,FALSE),"No"))</f>
        <v>No</v>
      </c>
      <c r="AK275">
        <f>IF($A275="","",IFERROR(VLOOKUP($B275,_CONFIG_Risk_Calibration!$A$5:$H$21,7,FALSE),1))</f>
        <v>1</v>
      </c>
      <c r="AL275" t="str">
        <f>IF($A275="","",IFERROR(VLOOKUP($B275,_CONFIG_Risk_Calibration!$A$5:$H$21,8,FALSE),""))</f>
        <v>Clean template default. Calibrate with real exposure, incident history, evidence quality and domain-owner validation.</v>
      </c>
      <c r="AM275">
        <f>IF($A275="","",IFERROR(INDEX(_DATA_Assessment_Model!$AL$1:$AL$428,MATCH($A275,_DATA_Assessment_Model!$A$1:$A$428,0)),""))</f>
        <v>0</v>
      </c>
      <c r="AN275">
        <f t="shared" si="13"/>
        <v>1</v>
      </c>
      <c r="AO275">
        <f>IF($A275="","",_CONFIG_Model_Settings!$B$172*MAX(N($AK275),(N($AF275)+N($AI275))/2))</f>
        <v>60</v>
      </c>
      <c r="AP275">
        <f t="shared" si="14"/>
        <v>60</v>
      </c>
      <c r="AQ275">
        <f>IF($AP275="","",MAX(0,$AP275*(1-(_CONFIG_Model_Settings!$B$173+_CONFIG_Model_Settings!$B$174*(N($AH275)-1)))))</f>
        <v>39</v>
      </c>
      <c r="AR275">
        <f>IF($AP275="","",MIN(100,$AP275*(1+(_CONFIG_Model_Settings!$B$173+_CONFIG_Model_Settings!$B$174*(N($AH275)-1)))))</f>
        <v>81</v>
      </c>
    </row>
    <row r="276" spans="1:44" ht="72" customHeight="1">
      <c r="A276" s="9" t="s">
        <v>2424</v>
      </c>
      <c r="B276" s="9" t="s">
        <v>2286</v>
      </c>
      <c r="C276" s="9" t="s">
        <v>2339</v>
      </c>
      <c r="D276" s="9" t="s">
        <v>8427</v>
      </c>
      <c r="E276" s="9" t="s">
        <v>2425</v>
      </c>
      <c r="F276" s="9" t="s">
        <v>8428</v>
      </c>
      <c r="G276" s="9" t="s">
        <v>8429</v>
      </c>
      <c r="H276" s="9" t="s">
        <v>8430</v>
      </c>
      <c r="I276" s="9" t="s">
        <v>8431</v>
      </c>
      <c r="J276" s="9" t="s">
        <v>8432</v>
      </c>
      <c r="K276" s="9" t="s">
        <v>8433</v>
      </c>
      <c r="L276" s="9" t="s">
        <v>8434</v>
      </c>
      <c r="M276" s="9" t="s">
        <v>8435</v>
      </c>
      <c r="N276" s="9" t="s">
        <v>8436</v>
      </c>
      <c r="O276" s="9" t="s">
        <v>8437</v>
      </c>
      <c r="P276" s="9" t="s">
        <v>8438</v>
      </c>
      <c r="Q276" s="9" t="s">
        <v>8439</v>
      </c>
      <c r="R276" s="9" t="s">
        <v>4589</v>
      </c>
      <c r="S276" s="9" t="s">
        <v>8440</v>
      </c>
      <c r="T276" s="9">
        <v>3</v>
      </c>
      <c r="U276" s="9">
        <v>3</v>
      </c>
      <c r="V276" s="9">
        <v>2</v>
      </c>
      <c r="W276" s="9">
        <v>2</v>
      </c>
      <c r="X276" s="9">
        <v>1</v>
      </c>
      <c r="Y276" s="9">
        <v>1</v>
      </c>
      <c r="Z276" s="9" t="s">
        <v>2427</v>
      </c>
      <c r="AA276" s="9" t="s">
        <v>8441</v>
      </c>
      <c r="AB276" s="9" t="s">
        <v>2434</v>
      </c>
      <c r="AC276" s="9" t="s">
        <v>8442</v>
      </c>
      <c r="AD276" s="9" t="s">
        <v>8443</v>
      </c>
      <c r="AE276" t="str">
        <f t="shared" si="12"/>
        <v>Fast</v>
      </c>
      <c r="AF276">
        <f>IF($A276="","",IFERROR(VLOOKUP($B276,_CONFIG_Risk_Calibration!$A$5:$H$21,2,FALSE),3))</f>
        <v>3</v>
      </c>
      <c r="AG276">
        <f>IF($A276="","",IFERROR(VLOOKUP($B276,_CONFIG_Risk_Calibration!$A$5:$H$21,3,FALSE),0))</f>
        <v>0</v>
      </c>
      <c r="AH276">
        <f>IF($A276="","",IFERROR(VLOOKUP($B276,_CONFIG_Risk_Calibration!$A$5:$H$21,4,FALSE),3))</f>
        <v>3</v>
      </c>
      <c r="AI276">
        <f>IF($A276="","",IFERROR(VLOOKUP($B276,_CONFIG_Risk_Calibration!$A$5:$H$21,5,FALSE),3))</f>
        <v>3</v>
      </c>
      <c r="AJ276" t="str">
        <f>IF($A276="","",IFERROR(VLOOKUP($B276,_CONFIG_Risk_Calibration!$A$5:$H$21,6,FALSE),"No"))</f>
        <v>No</v>
      </c>
      <c r="AK276">
        <f>IF($A276="","",IFERROR(VLOOKUP($B276,_CONFIG_Risk_Calibration!$A$5:$H$21,7,FALSE),1))</f>
        <v>1</v>
      </c>
      <c r="AL276" t="str">
        <f>IF($A276="","",IFERROR(VLOOKUP($B276,_CONFIG_Risk_Calibration!$A$5:$H$21,8,FALSE),""))</f>
        <v>Clean template default. Calibrate with real exposure, incident history, evidence quality and domain-owner validation.</v>
      </c>
      <c r="AM276">
        <f>IF($A276="","",IFERROR(INDEX(_DATA_Assessment_Model!$AL$1:$AL$428,MATCH($A276,_DATA_Assessment_Model!$A$1:$A$428,0)),""))</f>
        <v>0</v>
      </c>
      <c r="AN276">
        <f t="shared" si="13"/>
        <v>1</v>
      </c>
      <c r="AO276">
        <f>IF($A276="","",_CONFIG_Model_Settings!$B$172*MAX(N($AK276),(N($AF276)+N($AI276))/2))</f>
        <v>60</v>
      </c>
      <c r="AP276">
        <f t="shared" si="14"/>
        <v>60</v>
      </c>
      <c r="AQ276">
        <f>IF($AP276="","",MAX(0,$AP276*(1-(_CONFIG_Model_Settings!$B$173+_CONFIG_Model_Settings!$B$174*(N($AH276)-1)))))</f>
        <v>39</v>
      </c>
      <c r="AR276">
        <f>IF($AP276="","",MIN(100,$AP276*(1+(_CONFIG_Model_Settings!$B$173+_CONFIG_Model_Settings!$B$174*(N($AH276)-1)))))</f>
        <v>81</v>
      </c>
    </row>
    <row r="277" spans="1:44" ht="84" customHeight="1">
      <c r="A277" s="9" t="s">
        <v>2435</v>
      </c>
      <c r="B277" s="9" t="s">
        <v>2286</v>
      </c>
      <c r="C277" s="9" t="s">
        <v>2339</v>
      </c>
      <c r="D277" s="9" t="s">
        <v>8427</v>
      </c>
      <c r="E277" s="9" t="s">
        <v>2436</v>
      </c>
      <c r="F277" s="9" t="s">
        <v>8444</v>
      </c>
      <c r="G277" s="9" t="s">
        <v>8445</v>
      </c>
      <c r="H277" s="9" t="s">
        <v>8446</v>
      </c>
      <c r="I277" s="9" t="s">
        <v>8447</v>
      </c>
      <c r="J277" s="9" t="s">
        <v>8448</v>
      </c>
      <c r="K277" s="9" t="s">
        <v>8449</v>
      </c>
      <c r="L277" s="9" t="s">
        <v>8450</v>
      </c>
      <c r="M277" s="9" t="s">
        <v>8451</v>
      </c>
      <c r="N277" s="9" t="s">
        <v>8452</v>
      </c>
      <c r="O277" s="9" t="s">
        <v>8453</v>
      </c>
      <c r="P277" s="9" t="s">
        <v>8454</v>
      </c>
      <c r="Q277" s="9" t="s">
        <v>8455</v>
      </c>
      <c r="R277" s="9" t="s">
        <v>4589</v>
      </c>
      <c r="S277" s="9" t="s">
        <v>8456</v>
      </c>
      <c r="T277" s="9">
        <v>3</v>
      </c>
      <c r="U277" s="9">
        <v>3</v>
      </c>
      <c r="V277" s="9">
        <v>2</v>
      </c>
      <c r="W277" s="9">
        <v>2</v>
      </c>
      <c r="X277" s="9">
        <v>1</v>
      </c>
      <c r="Y277" s="9">
        <v>1</v>
      </c>
      <c r="Z277" s="9" t="s">
        <v>2438</v>
      </c>
      <c r="AA277" s="9" t="s">
        <v>8457</v>
      </c>
      <c r="AB277" s="9" t="s">
        <v>2445</v>
      </c>
      <c r="AC277" s="9" t="s">
        <v>8458</v>
      </c>
      <c r="AD277" s="9" t="s">
        <v>8459</v>
      </c>
      <c r="AE277" t="str">
        <f t="shared" si="12"/>
        <v>Fast</v>
      </c>
      <c r="AF277">
        <f>IF($A277="","",IFERROR(VLOOKUP($B277,_CONFIG_Risk_Calibration!$A$5:$H$21,2,FALSE),3))</f>
        <v>3</v>
      </c>
      <c r="AG277">
        <f>IF($A277="","",IFERROR(VLOOKUP($B277,_CONFIG_Risk_Calibration!$A$5:$H$21,3,FALSE),0))</f>
        <v>0</v>
      </c>
      <c r="AH277">
        <f>IF($A277="","",IFERROR(VLOOKUP($B277,_CONFIG_Risk_Calibration!$A$5:$H$21,4,FALSE),3))</f>
        <v>3</v>
      </c>
      <c r="AI277">
        <f>IF($A277="","",IFERROR(VLOOKUP($B277,_CONFIG_Risk_Calibration!$A$5:$H$21,5,FALSE),3))</f>
        <v>3</v>
      </c>
      <c r="AJ277" t="str">
        <f>IF($A277="","",IFERROR(VLOOKUP($B277,_CONFIG_Risk_Calibration!$A$5:$H$21,6,FALSE),"No"))</f>
        <v>No</v>
      </c>
      <c r="AK277">
        <f>IF($A277="","",IFERROR(VLOOKUP($B277,_CONFIG_Risk_Calibration!$A$5:$H$21,7,FALSE),1))</f>
        <v>1</v>
      </c>
      <c r="AL277" t="str">
        <f>IF($A277="","",IFERROR(VLOOKUP($B277,_CONFIG_Risk_Calibration!$A$5:$H$21,8,FALSE),""))</f>
        <v>Clean template default. Calibrate with real exposure, incident history, evidence quality and domain-owner validation.</v>
      </c>
      <c r="AM277">
        <f>IF($A277="","",IFERROR(INDEX(_DATA_Assessment_Model!$AL$1:$AL$428,MATCH($A277,_DATA_Assessment_Model!$A$1:$A$428,0)),""))</f>
        <v>0</v>
      </c>
      <c r="AN277">
        <f t="shared" si="13"/>
        <v>1</v>
      </c>
      <c r="AO277">
        <f>IF($A277="","",_CONFIG_Model_Settings!$B$172*MAX(N($AK277),(N($AF277)+N($AI277))/2))</f>
        <v>60</v>
      </c>
      <c r="AP277">
        <f t="shared" si="14"/>
        <v>60</v>
      </c>
      <c r="AQ277">
        <f>IF($AP277="","",MAX(0,$AP277*(1-(_CONFIG_Model_Settings!$B$173+_CONFIG_Model_Settings!$B$174*(N($AH277)-1)))))</f>
        <v>39</v>
      </c>
      <c r="AR277">
        <f>IF($AP277="","",MIN(100,$AP277*(1+(_CONFIG_Model_Settings!$B$173+_CONFIG_Model_Settings!$B$174*(N($AH277)-1)))))</f>
        <v>81</v>
      </c>
    </row>
    <row r="278" spans="1:44" ht="72" customHeight="1">
      <c r="A278" s="9" t="s">
        <v>2446</v>
      </c>
      <c r="B278" s="9" t="s">
        <v>2286</v>
      </c>
      <c r="C278" s="9" t="s">
        <v>2339</v>
      </c>
      <c r="D278" s="9" t="s">
        <v>8427</v>
      </c>
      <c r="E278" s="9" t="s">
        <v>2447</v>
      </c>
      <c r="F278" s="9" t="s">
        <v>8460</v>
      </c>
      <c r="G278" s="9" t="s">
        <v>8461</v>
      </c>
      <c r="H278" s="9" t="s">
        <v>8462</v>
      </c>
      <c r="I278" s="9" t="s">
        <v>8463</v>
      </c>
      <c r="J278" s="9" t="s">
        <v>8464</v>
      </c>
      <c r="K278" s="9" t="s">
        <v>8465</v>
      </c>
      <c r="L278" s="9" t="s">
        <v>8466</v>
      </c>
      <c r="M278" s="9" t="s">
        <v>8467</v>
      </c>
      <c r="N278" s="9" t="s">
        <v>8468</v>
      </c>
      <c r="O278" s="9" t="s">
        <v>8469</v>
      </c>
      <c r="P278" s="9" t="s">
        <v>8470</v>
      </c>
      <c r="Q278" s="9" t="s">
        <v>8471</v>
      </c>
      <c r="R278" s="9" t="s">
        <v>4589</v>
      </c>
      <c r="S278" s="9" t="s">
        <v>8472</v>
      </c>
      <c r="T278" s="9">
        <v>3</v>
      </c>
      <c r="U278" s="9">
        <v>3</v>
      </c>
      <c r="V278" s="9">
        <v>3</v>
      </c>
      <c r="W278" s="9">
        <v>2</v>
      </c>
      <c r="X278" s="9">
        <v>2</v>
      </c>
      <c r="Y278" s="9">
        <v>1</v>
      </c>
      <c r="Z278" s="9" t="s">
        <v>2449</v>
      </c>
      <c r="AA278" s="9" t="s">
        <v>8473</v>
      </c>
      <c r="AB278" s="9" t="s">
        <v>2450</v>
      </c>
      <c r="AC278" s="9" t="s">
        <v>8442</v>
      </c>
      <c r="AD278" s="9" t="s">
        <v>8474</v>
      </c>
      <c r="AE278" t="str">
        <f t="shared" si="12"/>
        <v>Fast</v>
      </c>
      <c r="AF278">
        <f>IF($A278="","",IFERROR(VLOOKUP($B278,_CONFIG_Risk_Calibration!$A$5:$H$21,2,FALSE),3))</f>
        <v>3</v>
      </c>
      <c r="AG278">
        <f>IF($A278="","",IFERROR(VLOOKUP($B278,_CONFIG_Risk_Calibration!$A$5:$H$21,3,FALSE),0))</f>
        <v>0</v>
      </c>
      <c r="AH278">
        <f>IF($A278="","",IFERROR(VLOOKUP($B278,_CONFIG_Risk_Calibration!$A$5:$H$21,4,FALSE),3))</f>
        <v>3</v>
      </c>
      <c r="AI278">
        <f>IF($A278="","",IFERROR(VLOOKUP($B278,_CONFIG_Risk_Calibration!$A$5:$H$21,5,FALSE),3))</f>
        <v>3</v>
      </c>
      <c r="AJ278" t="str">
        <f>IF($A278="","",IFERROR(VLOOKUP($B278,_CONFIG_Risk_Calibration!$A$5:$H$21,6,FALSE),"No"))</f>
        <v>No</v>
      </c>
      <c r="AK278">
        <f>IF($A278="","",IFERROR(VLOOKUP($B278,_CONFIG_Risk_Calibration!$A$5:$H$21,7,FALSE),1))</f>
        <v>1</v>
      </c>
      <c r="AL278" t="str">
        <f>IF($A278="","",IFERROR(VLOOKUP($B278,_CONFIG_Risk_Calibration!$A$5:$H$21,8,FALSE),""))</f>
        <v>Clean template default. Calibrate with real exposure, incident history, evidence quality and domain-owner validation.</v>
      </c>
      <c r="AM278">
        <f>IF($A278="","",IFERROR(INDEX(_DATA_Assessment_Model!$AL$1:$AL$428,MATCH($A278,_DATA_Assessment_Model!$A$1:$A$428,0)),""))</f>
        <v>0</v>
      </c>
      <c r="AN278">
        <f t="shared" si="13"/>
        <v>1</v>
      </c>
      <c r="AO278">
        <f>IF($A278="","",_CONFIG_Model_Settings!$B$172*MAX(N($AK278),(N($AF278)+N($AI278))/2))</f>
        <v>60</v>
      </c>
      <c r="AP278">
        <f t="shared" si="14"/>
        <v>60</v>
      </c>
      <c r="AQ278">
        <f>IF($AP278="","",MAX(0,$AP278*(1-(_CONFIG_Model_Settings!$B$173+_CONFIG_Model_Settings!$B$174*(N($AH278)-1)))))</f>
        <v>39</v>
      </c>
      <c r="AR278">
        <f>IF($AP278="","",MIN(100,$AP278*(1+(_CONFIG_Model_Settings!$B$173+_CONFIG_Model_Settings!$B$174*(N($AH278)-1)))))</f>
        <v>81</v>
      </c>
    </row>
    <row r="279" spans="1:44" ht="72" customHeight="1">
      <c r="A279" s="9" t="s">
        <v>2451</v>
      </c>
      <c r="B279" s="9" t="s">
        <v>2286</v>
      </c>
      <c r="C279" s="9" t="s">
        <v>2339</v>
      </c>
      <c r="D279" s="9" t="s">
        <v>8427</v>
      </c>
      <c r="E279" s="9" t="s">
        <v>2452</v>
      </c>
      <c r="F279" s="9" t="s">
        <v>8475</v>
      </c>
      <c r="G279" s="9" t="s">
        <v>8476</v>
      </c>
      <c r="H279" s="9" t="s">
        <v>8477</v>
      </c>
      <c r="I279" s="9" t="s">
        <v>8478</v>
      </c>
      <c r="J279" s="9" t="s">
        <v>8479</v>
      </c>
      <c r="K279" s="9" t="s">
        <v>8480</v>
      </c>
      <c r="L279" s="9" t="s">
        <v>8481</v>
      </c>
      <c r="M279" s="9" t="s">
        <v>8482</v>
      </c>
      <c r="N279" s="9" t="s">
        <v>8483</v>
      </c>
      <c r="O279" s="9" t="s">
        <v>8484</v>
      </c>
      <c r="P279" s="9" t="s">
        <v>8485</v>
      </c>
      <c r="Q279" s="9" t="s">
        <v>8486</v>
      </c>
      <c r="R279" s="9" t="s">
        <v>4589</v>
      </c>
      <c r="S279" s="9" t="s">
        <v>8487</v>
      </c>
      <c r="T279" s="9">
        <v>2</v>
      </c>
      <c r="U279" s="9">
        <v>2</v>
      </c>
      <c r="V279" s="9">
        <v>2</v>
      </c>
      <c r="W279" s="9">
        <v>2</v>
      </c>
      <c r="X279" s="9">
        <v>1</v>
      </c>
      <c r="Y279" s="9">
        <v>1</v>
      </c>
      <c r="Z279" s="9" t="s">
        <v>2454</v>
      </c>
      <c r="AA279" s="9" t="s">
        <v>8488</v>
      </c>
      <c r="AB279" s="9" t="s">
        <v>2461</v>
      </c>
      <c r="AC279" s="9" t="s">
        <v>8489</v>
      </c>
      <c r="AD279" s="9" t="s">
        <v>8490</v>
      </c>
      <c r="AE279" t="str">
        <f t="shared" si="12"/>
        <v>Fast</v>
      </c>
      <c r="AF279">
        <f>IF($A279="","",IFERROR(VLOOKUP($B279,_CONFIG_Risk_Calibration!$A$5:$H$21,2,FALSE),3))</f>
        <v>3</v>
      </c>
      <c r="AG279">
        <f>IF($A279="","",IFERROR(VLOOKUP($B279,_CONFIG_Risk_Calibration!$A$5:$H$21,3,FALSE),0))</f>
        <v>0</v>
      </c>
      <c r="AH279">
        <f>IF($A279="","",IFERROR(VLOOKUP($B279,_CONFIG_Risk_Calibration!$A$5:$H$21,4,FALSE),3))</f>
        <v>3</v>
      </c>
      <c r="AI279">
        <f>IF($A279="","",IFERROR(VLOOKUP($B279,_CONFIG_Risk_Calibration!$A$5:$H$21,5,FALSE),3))</f>
        <v>3</v>
      </c>
      <c r="AJ279" t="str">
        <f>IF($A279="","",IFERROR(VLOOKUP($B279,_CONFIG_Risk_Calibration!$A$5:$H$21,6,FALSE),"No"))</f>
        <v>No</v>
      </c>
      <c r="AK279">
        <f>IF($A279="","",IFERROR(VLOOKUP($B279,_CONFIG_Risk_Calibration!$A$5:$H$21,7,FALSE),1))</f>
        <v>1</v>
      </c>
      <c r="AL279" t="str">
        <f>IF($A279="","",IFERROR(VLOOKUP($B279,_CONFIG_Risk_Calibration!$A$5:$H$21,8,FALSE),""))</f>
        <v>Clean template default. Calibrate with real exposure, incident history, evidence quality and domain-owner validation.</v>
      </c>
      <c r="AM279">
        <f>IF($A279="","",IFERROR(INDEX(_DATA_Assessment_Model!$AL$1:$AL$428,MATCH($A279,_DATA_Assessment_Model!$A$1:$A$428,0)),""))</f>
        <v>0</v>
      </c>
      <c r="AN279">
        <f t="shared" si="13"/>
        <v>1</v>
      </c>
      <c r="AO279">
        <f>IF($A279="","",_CONFIG_Model_Settings!$B$172*MAX(N($AK279),(N($AF279)+N($AI279))/2))</f>
        <v>60</v>
      </c>
      <c r="AP279">
        <f t="shared" si="14"/>
        <v>60</v>
      </c>
      <c r="AQ279">
        <f>IF($AP279="","",MAX(0,$AP279*(1-(_CONFIG_Model_Settings!$B$173+_CONFIG_Model_Settings!$B$174*(N($AH279)-1)))))</f>
        <v>39</v>
      </c>
      <c r="AR279">
        <f>IF($AP279="","",MIN(100,$AP279*(1+(_CONFIG_Model_Settings!$B$173+_CONFIG_Model_Settings!$B$174*(N($AH279)-1)))))</f>
        <v>81</v>
      </c>
    </row>
    <row r="280" spans="1:44" ht="72" customHeight="1">
      <c r="A280" s="9" t="s">
        <v>2462</v>
      </c>
      <c r="B280" s="9" t="s">
        <v>2286</v>
      </c>
      <c r="C280" s="9" t="s">
        <v>2339</v>
      </c>
      <c r="D280" s="9" t="s">
        <v>8427</v>
      </c>
      <c r="E280" s="9" t="s">
        <v>2463</v>
      </c>
      <c r="F280" s="9" t="s">
        <v>8491</v>
      </c>
      <c r="G280" s="9" t="s">
        <v>8492</v>
      </c>
      <c r="H280" s="9" t="s">
        <v>8493</v>
      </c>
      <c r="I280" s="9" t="s">
        <v>8494</v>
      </c>
      <c r="J280" s="9" t="s">
        <v>8495</v>
      </c>
      <c r="K280" s="9" t="s">
        <v>8496</v>
      </c>
      <c r="L280" s="9" t="s">
        <v>8497</v>
      </c>
      <c r="M280" s="9" t="s">
        <v>8498</v>
      </c>
      <c r="N280" s="9" t="s">
        <v>8499</v>
      </c>
      <c r="O280" s="9" t="s">
        <v>8500</v>
      </c>
      <c r="P280" s="9" t="s">
        <v>8501</v>
      </c>
      <c r="Q280" s="9" t="s">
        <v>8502</v>
      </c>
      <c r="R280" s="9" t="s">
        <v>4589</v>
      </c>
      <c r="S280" s="9" t="s">
        <v>8503</v>
      </c>
      <c r="T280" s="9">
        <v>2</v>
      </c>
      <c r="U280" s="9">
        <v>2</v>
      </c>
      <c r="V280" s="9">
        <v>2</v>
      </c>
      <c r="W280" s="9">
        <v>2</v>
      </c>
      <c r="X280" s="9">
        <v>1</v>
      </c>
      <c r="Y280" s="9">
        <v>1</v>
      </c>
      <c r="Z280" s="9" t="s">
        <v>2465</v>
      </c>
      <c r="AA280" s="9" t="s">
        <v>8504</v>
      </c>
      <c r="AB280" s="9" t="s">
        <v>2472</v>
      </c>
      <c r="AC280" s="9" t="s">
        <v>8489</v>
      </c>
      <c r="AD280" s="9" t="s">
        <v>8505</v>
      </c>
      <c r="AE280" t="str">
        <f t="shared" si="12"/>
        <v>Fast</v>
      </c>
      <c r="AF280">
        <f>IF($A280="","",IFERROR(VLOOKUP($B280,_CONFIG_Risk_Calibration!$A$5:$H$21,2,FALSE),3))</f>
        <v>3</v>
      </c>
      <c r="AG280">
        <f>IF($A280="","",IFERROR(VLOOKUP($B280,_CONFIG_Risk_Calibration!$A$5:$H$21,3,FALSE),0))</f>
        <v>0</v>
      </c>
      <c r="AH280">
        <f>IF($A280="","",IFERROR(VLOOKUP($B280,_CONFIG_Risk_Calibration!$A$5:$H$21,4,FALSE),3))</f>
        <v>3</v>
      </c>
      <c r="AI280">
        <f>IF($A280="","",IFERROR(VLOOKUP($B280,_CONFIG_Risk_Calibration!$A$5:$H$21,5,FALSE),3))</f>
        <v>3</v>
      </c>
      <c r="AJ280" t="str">
        <f>IF($A280="","",IFERROR(VLOOKUP($B280,_CONFIG_Risk_Calibration!$A$5:$H$21,6,FALSE),"No"))</f>
        <v>No</v>
      </c>
      <c r="AK280">
        <f>IF($A280="","",IFERROR(VLOOKUP($B280,_CONFIG_Risk_Calibration!$A$5:$H$21,7,FALSE),1))</f>
        <v>1</v>
      </c>
      <c r="AL280" t="str">
        <f>IF($A280="","",IFERROR(VLOOKUP($B280,_CONFIG_Risk_Calibration!$A$5:$H$21,8,FALSE),""))</f>
        <v>Clean template default. Calibrate with real exposure, incident history, evidence quality and domain-owner validation.</v>
      </c>
      <c r="AM280">
        <f>IF($A280="","",IFERROR(INDEX(_DATA_Assessment_Model!$AL$1:$AL$428,MATCH($A280,_DATA_Assessment_Model!$A$1:$A$428,0)),""))</f>
        <v>0</v>
      </c>
      <c r="AN280">
        <f t="shared" si="13"/>
        <v>1</v>
      </c>
      <c r="AO280">
        <f>IF($A280="","",_CONFIG_Model_Settings!$B$172*MAX(N($AK280),(N($AF280)+N($AI280))/2))</f>
        <v>60</v>
      </c>
      <c r="AP280">
        <f t="shared" si="14"/>
        <v>60</v>
      </c>
      <c r="AQ280">
        <f>IF($AP280="","",MAX(0,$AP280*(1-(_CONFIG_Model_Settings!$B$173+_CONFIG_Model_Settings!$B$174*(N($AH280)-1)))))</f>
        <v>39</v>
      </c>
      <c r="AR280">
        <f>IF($AP280="","",MIN(100,$AP280*(1+(_CONFIG_Model_Settings!$B$173+_CONFIG_Model_Settings!$B$174*(N($AH280)-1)))))</f>
        <v>81</v>
      </c>
    </row>
    <row r="281" spans="1:44" ht="72" customHeight="1">
      <c r="A281" s="9" t="s">
        <v>2474</v>
      </c>
      <c r="B281" s="9" t="s">
        <v>2473</v>
      </c>
      <c r="C281" s="9" t="s">
        <v>2475</v>
      </c>
      <c r="D281" s="9" t="s">
        <v>3690</v>
      </c>
      <c r="E281" s="9" t="s">
        <v>2476</v>
      </c>
      <c r="F281" s="9" t="s">
        <v>8506</v>
      </c>
      <c r="G281" s="9" t="s">
        <v>8507</v>
      </c>
      <c r="H281" s="9" t="s">
        <v>8508</v>
      </c>
      <c r="I281" s="9" t="s">
        <v>8509</v>
      </c>
      <c r="J281" s="9" t="s">
        <v>8510</v>
      </c>
      <c r="K281" s="9" t="s">
        <v>8511</v>
      </c>
      <c r="L281" s="9" t="s">
        <v>8512</v>
      </c>
      <c r="M281" s="9" t="s">
        <v>8513</v>
      </c>
      <c r="N281" s="9" t="s">
        <v>8514</v>
      </c>
      <c r="O281" s="9" t="s">
        <v>8515</v>
      </c>
      <c r="P281" s="9" t="s">
        <v>8516</v>
      </c>
      <c r="Q281" s="9" t="s">
        <v>8517</v>
      </c>
      <c r="R281" s="9" t="s">
        <v>4589</v>
      </c>
      <c r="S281" s="9" t="s">
        <v>8518</v>
      </c>
      <c r="T281" s="9">
        <v>3</v>
      </c>
      <c r="U281" s="9">
        <v>3</v>
      </c>
      <c r="V281" s="9">
        <v>2</v>
      </c>
      <c r="W281" s="9">
        <v>2</v>
      </c>
      <c r="X281" s="9">
        <v>1</v>
      </c>
      <c r="Y281" s="9">
        <v>1</v>
      </c>
      <c r="Z281" s="9" t="s">
        <v>2478</v>
      </c>
      <c r="AA281" s="9" t="s">
        <v>2479</v>
      </c>
      <c r="AB281" s="9" t="s">
        <v>2486</v>
      </c>
      <c r="AC281" s="9" t="s">
        <v>8519</v>
      </c>
      <c r="AD281" s="9" t="s">
        <v>8520</v>
      </c>
      <c r="AE281" t="str">
        <f t="shared" si="12"/>
        <v>Medium</v>
      </c>
      <c r="AF281">
        <f>IF($A281="","",IFERROR(VLOOKUP($B281,_CONFIG_Risk_Calibration!$A$5:$H$21,2,FALSE),3))</f>
        <v>3</v>
      </c>
      <c r="AG281">
        <f>IF($A281="","",IFERROR(VLOOKUP($B281,_CONFIG_Risk_Calibration!$A$5:$H$21,3,FALSE),0))</f>
        <v>0</v>
      </c>
      <c r="AH281">
        <f>IF($A281="","",IFERROR(VLOOKUP($B281,_CONFIG_Risk_Calibration!$A$5:$H$21,4,FALSE),3))</f>
        <v>3</v>
      </c>
      <c r="AI281">
        <f>IF($A281="","",IFERROR(VLOOKUP($B281,_CONFIG_Risk_Calibration!$A$5:$H$21,5,FALSE),3))</f>
        <v>2</v>
      </c>
      <c r="AJ281" t="str">
        <f>IF($A281="","",IFERROR(VLOOKUP($B281,_CONFIG_Risk_Calibration!$A$5:$H$21,6,FALSE),"No"))</f>
        <v>No</v>
      </c>
      <c r="AK281">
        <f>IF($A281="","",IFERROR(VLOOKUP($B281,_CONFIG_Risk_Calibration!$A$5:$H$21,7,FALSE),1))</f>
        <v>1</v>
      </c>
      <c r="AL281" t="str">
        <f>IF($A281="","",IFERROR(VLOOKUP($B281,_CONFIG_Risk_Calibration!$A$5:$H$21,8,FALSE),""))</f>
        <v>Clean template default. Calibrate with real exposure, incident history, evidence quality and domain-owner validation.</v>
      </c>
      <c r="AM281">
        <f>IF($A281="","",IFERROR(INDEX(_DATA_Assessment_Model!$AL$1:$AL$428,MATCH($A281,_DATA_Assessment_Model!$A$1:$A$428,0)),""))</f>
        <v>0</v>
      </c>
      <c r="AN281">
        <f t="shared" si="13"/>
        <v>1</v>
      </c>
      <c r="AO281">
        <f>IF($A281="","",_CONFIG_Model_Settings!$B$172*MAX(N($AK281),(N($AF281)+N($AI281))/2))</f>
        <v>50</v>
      </c>
      <c r="AP281">
        <f t="shared" si="14"/>
        <v>50</v>
      </c>
      <c r="AQ281">
        <f>IF($AP281="","",MAX(0,$AP281*(1-(_CONFIG_Model_Settings!$B$173+_CONFIG_Model_Settings!$B$174*(N($AH281)-1)))))</f>
        <v>32.5</v>
      </c>
      <c r="AR281">
        <f>IF($AP281="","",MIN(100,$AP281*(1+(_CONFIG_Model_Settings!$B$173+_CONFIG_Model_Settings!$B$174*(N($AH281)-1)))))</f>
        <v>67.5</v>
      </c>
    </row>
    <row r="282" spans="1:44" ht="72" customHeight="1">
      <c r="A282" s="9" t="s">
        <v>2487</v>
      </c>
      <c r="B282" s="9" t="s">
        <v>2473</v>
      </c>
      <c r="C282" s="9" t="s">
        <v>2475</v>
      </c>
      <c r="D282" s="9" t="s">
        <v>3690</v>
      </c>
      <c r="E282" s="9" t="s">
        <v>2488</v>
      </c>
      <c r="F282" s="9" t="s">
        <v>8521</v>
      </c>
      <c r="G282" s="9" t="s">
        <v>8522</v>
      </c>
      <c r="H282" s="9" t="s">
        <v>8523</v>
      </c>
      <c r="I282" s="9" t="s">
        <v>8524</v>
      </c>
      <c r="J282" s="9" t="s">
        <v>8525</v>
      </c>
      <c r="K282" s="9" t="s">
        <v>8526</v>
      </c>
      <c r="L282" s="9" t="s">
        <v>8527</v>
      </c>
      <c r="M282" s="9" t="s">
        <v>8528</v>
      </c>
      <c r="N282" s="9" t="s">
        <v>8529</v>
      </c>
      <c r="O282" s="9" t="s">
        <v>8530</v>
      </c>
      <c r="P282" s="9" t="s">
        <v>8531</v>
      </c>
      <c r="Q282" s="9" t="s">
        <v>8532</v>
      </c>
      <c r="R282" s="9" t="s">
        <v>4589</v>
      </c>
      <c r="S282" s="9" t="s">
        <v>8533</v>
      </c>
      <c r="T282" s="9">
        <v>3</v>
      </c>
      <c r="U282" s="9">
        <v>3</v>
      </c>
      <c r="V282" s="9">
        <v>2</v>
      </c>
      <c r="W282" s="9">
        <v>2</v>
      </c>
      <c r="X282" s="9">
        <v>1</v>
      </c>
      <c r="Y282" s="9">
        <v>1</v>
      </c>
      <c r="Z282" s="9" t="s">
        <v>2478</v>
      </c>
      <c r="AA282" s="9" t="s">
        <v>2489</v>
      </c>
      <c r="AB282" s="9" t="s">
        <v>2486</v>
      </c>
      <c r="AC282" s="9" t="s">
        <v>8519</v>
      </c>
      <c r="AD282" s="9" t="s">
        <v>8534</v>
      </c>
      <c r="AE282" t="str">
        <f t="shared" si="12"/>
        <v>Medium</v>
      </c>
      <c r="AF282">
        <f>IF($A282="","",IFERROR(VLOOKUP($B282,_CONFIG_Risk_Calibration!$A$5:$H$21,2,FALSE),3))</f>
        <v>3</v>
      </c>
      <c r="AG282">
        <f>IF($A282="","",IFERROR(VLOOKUP($B282,_CONFIG_Risk_Calibration!$A$5:$H$21,3,FALSE),0))</f>
        <v>0</v>
      </c>
      <c r="AH282">
        <f>IF($A282="","",IFERROR(VLOOKUP($B282,_CONFIG_Risk_Calibration!$A$5:$H$21,4,FALSE),3))</f>
        <v>3</v>
      </c>
      <c r="AI282">
        <f>IF($A282="","",IFERROR(VLOOKUP($B282,_CONFIG_Risk_Calibration!$A$5:$H$21,5,FALSE),3))</f>
        <v>2</v>
      </c>
      <c r="AJ282" t="str">
        <f>IF($A282="","",IFERROR(VLOOKUP($B282,_CONFIG_Risk_Calibration!$A$5:$H$21,6,FALSE),"No"))</f>
        <v>No</v>
      </c>
      <c r="AK282">
        <f>IF($A282="","",IFERROR(VLOOKUP($B282,_CONFIG_Risk_Calibration!$A$5:$H$21,7,FALSE),1))</f>
        <v>1</v>
      </c>
      <c r="AL282" t="str">
        <f>IF($A282="","",IFERROR(VLOOKUP($B282,_CONFIG_Risk_Calibration!$A$5:$H$21,8,FALSE),""))</f>
        <v>Clean template default. Calibrate with real exposure, incident history, evidence quality and domain-owner validation.</v>
      </c>
      <c r="AM282">
        <f>IF($A282="","",IFERROR(INDEX(_DATA_Assessment_Model!$AL$1:$AL$428,MATCH($A282,_DATA_Assessment_Model!$A$1:$A$428,0)),""))</f>
        <v>0</v>
      </c>
      <c r="AN282">
        <f t="shared" si="13"/>
        <v>1</v>
      </c>
      <c r="AO282">
        <f>IF($A282="","",_CONFIG_Model_Settings!$B$172*MAX(N($AK282),(N($AF282)+N($AI282))/2))</f>
        <v>50</v>
      </c>
      <c r="AP282">
        <f t="shared" si="14"/>
        <v>50</v>
      </c>
      <c r="AQ282">
        <f>IF($AP282="","",MAX(0,$AP282*(1-(_CONFIG_Model_Settings!$B$173+_CONFIG_Model_Settings!$B$174*(N($AH282)-1)))))</f>
        <v>32.5</v>
      </c>
      <c r="AR282">
        <f>IF($AP282="","",MIN(100,$AP282*(1+(_CONFIG_Model_Settings!$B$173+_CONFIG_Model_Settings!$B$174*(N($AH282)-1)))))</f>
        <v>67.5</v>
      </c>
    </row>
    <row r="283" spans="1:44" ht="72" customHeight="1">
      <c r="A283" s="9" t="s">
        <v>2491</v>
      </c>
      <c r="B283" s="9" t="s">
        <v>2473</v>
      </c>
      <c r="C283" s="9" t="s">
        <v>2475</v>
      </c>
      <c r="D283" s="9" t="s">
        <v>3690</v>
      </c>
      <c r="E283" s="9" t="s">
        <v>2492</v>
      </c>
      <c r="F283" s="9" t="s">
        <v>8535</v>
      </c>
      <c r="G283" s="9" t="s">
        <v>8536</v>
      </c>
      <c r="H283" s="9" t="s">
        <v>8537</v>
      </c>
      <c r="I283" s="9" t="s">
        <v>8538</v>
      </c>
      <c r="J283" s="9" t="s">
        <v>8539</v>
      </c>
      <c r="K283" s="9" t="s">
        <v>8540</v>
      </c>
      <c r="L283" s="9" t="s">
        <v>8541</v>
      </c>
      <c r="M283" s="9" t="s">
        <v>8542</v>
      </c>
      <c r="N283" s="9" t="s">
        <v>8543</v>
      </c>
      <c r="O283" s="9" t="s">
        <v>8544</v>
      </c>
      <c r="P283" s="9" t="s">
        <v>8545</v>
      </c>
      <c r="Q283" s="9" t="s">
        <v>8546</v>
      </c>
      <c r="R283" s="9" t="s">
        <v>4589</v>
      </c>
      <c r="S283" s="9" t="s">
        <v>8547</v>
      </c>
      <c r="T283" s="9">
        <v>3</v>
      </c>
      <c r="U283" s="9">
        <v>3</v>
      </c>
      <c r="V283" s="9">
        <v>2</v>
      </c>
      <c r="W283" s="9">
        <v>2</v>
      </c>
      <c r="X283" s="9">
        <v>1</v>
      </c>
      <c r="Y283" s="9">
        <v>1</v>
      </c>
      <c r="Z283" s="9" t="s">
        <v>2478</v>
      </c>
      <c r="AA283" s="9" t="s">
        <v>2493</v>
      </c>
      <c r="AB283" s="9" t="s">
        <v>2486</v>
      </c>
      <c r="AC283" s="9" t="s">
        <v>8519</v>
      </c>
      <c r="AD283" s="9" t="s">
        <v>8548</v>
      </c>
      <c r="AE283" t="str">
        <f t="shared" si="12"/>
        <v>Medium</v>
      </c>
      <c r="AF283">
        <f>IF($A283="","",IFERROR(VLOOKUP($B283,_CONFIG_Risk_Calibration!$A$5:$H$21,2,FALSE),3))</f>
        <v>3</v>
      </c>
      <c r="AG283">
        <f>IF($A283="","",IFERROR(VLOOKUP($B283,_CONFIG_Risk_Calibration!$A$5:$H$21,3,FALSE),0))</f>
        <v>0</v>
      </c>
      <c r="AH283">
        <f>IF($A283="","",IFERROR(VLOOKUP($B283,_CONFIG_Risk_Calibration!$A$5:$H$21,4,FALSE),3))</f>
        <v>3</v>
      </c>
      <c r="AI283">
        <f>IF($A283="","",IFERROR(VLOOKUP($B283,_CONFIG_Risk_Calibration!$A$5:$H$21,5,FALSE),3))</f>
        <v>2</v>
      </c>
      <c r="AJ283" t="str">
        <f>IF($A283="","",IFERROR(VLOOKUP($B283,_CONFIG_Risk_Calibration!$A$5:$H$21,6,FALSE),"No"))</f>
        <v>No</v>
      </c>
      <c r="AK283">
        <f>IF($A283="","",IFERROR(VLOOKUP($B283,_CONFIG_Risk_Calibration!$A$5:$H$21,7,FALSE),1))</f>
        <v>1</v>
      </c>
      <c r="AL283" t="str">
        <f>IF($A283="","",IFERROR(VLOOKUP($B283,_CONFIG_Risk_Calibration!$A$5:$H$21,8,FALSE),""))</f>
        <v>Clean template default. Calibrate with real exposure, incident history, evidence quality and domain-owner validation.</v>
      </c>
      <c r="AM283">
        <f>IF($A283="","",IFERROR(INDEX(_DATA_Assessment_Model!$AL$1:$AL$428,MATCH($A283,_DATA_Assessment_Model!$A$1:$A$428,0)),""))</f>
        <v>0</v>
      </c>
      <c r="AN283">
        <f t="shared" si="13"/>
        <v>1</v>
      </c>
      <c r="AO283">
        <f>IF($A283="","",_CONFIG_Model_Settings!$B$172*MAX(N($AK283),(N($AF283)+N($AI283))/2))</f>
        <v>50</v>
      </c>
      <c r="AP283">
        <f t="shared" si="14"/>
        <v>50</v>
      </c>
      <c r="AQ283">
        <f>IF($AP283="","",MAX(0,$AP283*(1-(_CONFIG_Model_Settings!$B$173+_CONFIG_Model_Settings!$B$174*(N($AH283)-1)))))</f>
        <v>32.5</v>
      </c>
      <c r="AR283">
        <f>IF($AP283="","",MIN(100,$AP283*(1+(_CONFIG_Model_Settings!$B$173+_CONFIG_Model_Settings!$B$174*(N($AH283)-1)))))</f>
        <v>67.5</v>
      </c>
    </row>
    <row r="284" spans="1:44" ht="72" customHeight="1">
      <c r="A284" s="9" t="s">
        <v>2495</v>
      </c>
      <c r="B284" s="9" t="s">
        <v>2473</v>
      </c>
      <c r="C284" s="9" t="s">
        <v>2475</v>
      </c>
      <c r="D284" s="9" t="s">
        <v>3690</v>
      </c>
      <c r="E284" s="9" t="s">
        <v>2496</v>
      </c>
      <c r="F284" s="9" t="s">
        <v>8549</v>
      </c>
      <c r="G284" s="9" t="s">
        <v>8550</v>
      </c>
      <c r="H284" s="9" t="s">
        <v>8551</v>
      </c>
      <c r="I284" s="9" t="s">
        <v>8552</v>
      </c>
      <c r="J284" s="9" t="s">
        <v>8553</v>
      </c>
      <c r="K284" s="9" t="s">
        <v>8554</v>
      </c>
      <c r="L284" s="9" t="s">
        <v>8555</v>
      </c>
      <c r="M284" s="9" t="s">
        <v>8556</v>
      </c>
      <c r="N284" s="9" t="s">
        <v>8557</v>
      </c>
      <c r="O284" s="9" t="s">
        <v>8558</v>
      </c>
      <c r="P284" s="9" t="s">
        <v>8559</v>
      </c>
      <c r="Q284" s="9" t="s">
        <v>8560</v>
      </c>
      <c r="R284" s="9" t="s">
        <v>4589</v>
      </c>
      <c r="S284" s="9" t="s">
        <v>8561</v>
      </c>
      <c r="T284" s="9">
        <v>3</v>
      </c>
      <c r="U284" s="9">
        <v>3</v>
      </c>
      <c r="V284" s="9">
        <v>2</v>
      </c>
      <c r="W284" s="9">
        <v>2</v>
      </c>
      <c r="X284" s="9">
        <v>1</v>
      </c>
      <c r="Y284" s="9">
        <v>1</v>
      </c>
      <c r="Z284" s="9" t="s">
        <v>2478</v>
      </c>
      <c r="AA284" s="9" t="s">
        <v>2497</v>
      </c>
      <c r="AB284" s="9" t="s">
        <v>2486</v>
      </c>
      <c r="AC284" s="9" t="s">
        <v>8519</v>
      </c>
      <c r="AD284" s="9" t="s">
        <v>8562</v>
      </c>
      <c r="AE284" t="str">
        <f t="shared" si="12"/>
        <v>Medium</v>
      </c>
      <c r="AF284">
        <f>IF($A284="","",IFERROR(VLOOKUP($B284,_CONFIG_Risk_Calibration!$A$5:$H$21,2,FALSE),3))</f>
        <v>3</v>
      </c>
      <c r="AG284">
        <f>IF($A284="","",IFERROR(VLOOKUP($B284,_CONFIG_Risk_Calibration!$A$5:$H$21,3,FALSE),0))</f>
        <v>0</v>
      </c>
      <c r="AH284">
        <f>IF($A284="","",IFERROR(VLOOKUP($B284,_CONFIG_Risk_Calibration!$A$5:$H$21,4,FALSE),3))</f>
        <v>3</v>
      </c>
      <c r="AI284">
        <f>IF($A284="","",IFERROR(VLOOKUP($B284,_CONFIG_Risk_Calibration!$A$5:$H$21,5,FALSE),3))</f>
        <v>2</v>
      </c>
      <c r="AJ284" t="str">
        <f>IF($A284="","",IFERROR(VLOOKUP($B284,_CONFIG_Risk_Calibration!$A$5:$H$21,6,FALSE),"No"))</f>
        <v>No</v>
      </c>
      <c r="AK284">
        <f>IF($A284="","",IFERROR(VLOOKUP($B284,_CONFIG_Risk_Calibration!$A$5:$H$21,7,FALSE),1))</f>
        <v>1</v>
      </c>
      <c r="AL284" t="str">
        <f>IF($A284="","",IFERROR(VLOOKUP($B284,_CONFIG_Risk_Calibration!$A$5:$H$21,8,FALSE),""))</f>
        <v>Clean template default. Calibrate with real exposure, incident history, evidence quality and domain-owner validation.</v>
      </c>
      <c r="AM284">
        <f>IF($A284="","",IFERROR(INDEX(_DATA_Assessment_Model!$AL$1:$AL$428,MATCH($A284,_DATA_Assessment_Model!$A$1:$A$428,0)),""))</f>
        <v>0</v>
      </c>
      <c r="AN284">
        <f t="shared" si="13"/>
        <v>1</v>
      </c>
      <c r="AO284">
        <f>IF($A284="","",_CONFIG_Model_Settings!$B$172*MAX(N($AK284),(N($AF284)+N($AI284))/2))</f>
        <v>50</v>
      </c>
      <c r="AP284">
        <f t="shared" si="14"/>
        <v>50</v>
      </c>
      <c r="AQ284">
        <f>IF($AP284="","",MAX(0,$AP284*(1-(_CONFIG_Model_Settings!$B$173+_CONFIG_Model_Settings!$B$174*(N($AH284)-1)))))</f>
        <v>32.5</v>
      </c>
      <c r="AR284">
        <f>IF($AP284="","",MIN(100,$AP284*(1+(_CONFIG_Model_Settings!$B$173+_CONFIG_Model_Settings!$B$174*(N($AH284)-1)))))</f>
        <v>67.5</v>
      </c>
    </row>
    <row r="285" spans="1:44" ht="60" customHeight="1">
      <c r="A285" s="9" t="s">
        <v>2504</v>
      </c>
      <c r="B285" s="9" t="s">
        <v>2473</v>
      </c>
      <c r="C285" s="9" t="s">
        <v>2475</v>
      </c>
      <c r="D285" s="9" t="s">
        <v>3690</v>
      </c>
      <c r="E285" s="9" t="s">
        <v>2505</v>
      </c>
      <c r="F285" s="9" t="s">
        <v>8563</v>
      </c>
      <c r="G285" s="9" t="s">
        <v>8564</v>
      </c>
      <c r="H285" s="9" t="s">
        <v>8565</v>
      </c>
      <c r="I285" s="9" t="s">
        <v>8566</v>
      </c>
      <c r="J285" s="9" t="s">
        <v>8567</v>
      </c>
      <c r="K285" s="9" t="s">
        <v>8568</v>
      </c>
      <c r="L285" s="9" t="s">
        <v>8569</v>
      </c>
      <c r="M285" s="9" t="s">
        <v>8570</v>
      </c>
      <c r="N285" s="9" t="s">
        <v>8571</v>
      </c>
      <c r="O285" s="9" t="s">
        <v>8572</v>
      </c>
      <c r="P285" s="9" t="s">
        <v>8573</v>
      </c>
      <c r="Q285" s="9" t="s">
        <v>8574</v>
      </c>
      <c r="R285" s="9" t="s">
        <v>4589</v>
      </c>
      <c r="S285" s="9" t="s">
        <v>8575</v>
      </c>
      <c r="T285" s="9">
        <v>3</v>
      </c>
      <c r="U285" s="9">
        <v>3</v>
      </c>
      <c r="V285" s="9">
        <v>2</v>
      </c>
      <c r="W285" s="9">
        <v>2</v>
      </c>
      <c r="X285" s="9">
        <v>1</v>
      </c>
      <c r="Y285" s="9">
        <v>1</v>
      </c>
      <c r="Z285" s="9" t="s">
        <v>2478</v>
      </c>
      <c r="AA285" s="9" t="s">
        <v>2506</v>
      </c>
      <c r="AB285" s="9" t="s">
        <v>2486</v>
      </c>
      <c r="AC285" s="9" t="s">
        <v>8519</v>
      </c>
      <c r="AD285" s="9" t="s">
        <v>8576</v>
      </c>
      <c r="AE285" t="str">
        <f t="shared" si="12"/>
        <v>Medium</v>
      </c>
      <c r="AF285">
        <f>IF($A285="","",IFERROR(VLOOKUP($B285,_CONFIG_Risk_Calibration!$A$5:$H$21,2,FALSE),3))</f>
        <v>3</v>
      </c>
      <c r="AG285">
        <f>IF($A285="","",IFERROR(VLOOKUP($B285,_CONFIG_Risk_Calibration!$A$5:$H$21,3,FALSE),0))</f>
        <v>0</v>
      </c>
      <c r="AH285">
        <f>IF($A285="","",IFERROR(VLOOKUP($B285,_CONFIG_Risk_Calibration!$A$5:$H$21,4,FALSE),3))</f>
        <v>3</v>
      </c>
      <c r="AI285">
        <f>IF($A285="","",IFERROR(VLOOKUP($B285,_CONFIG_Risk_Calibration!$A$5:$H$21,5,FALSE),3))</f>
        <v>2</v>
      </c>
      <c r="AJ285" t="str">
        <f>IF($A285="","",IFERROR(VLOOKUP($B285,_CONFIG_Risk_Calibration!$A$5:$H$21,6,FALSE),"No"))</f>
        <v>No</v>
      </c>
      <c r="AK285">
        <f>IF($A285="","",IFERROR(VLOOKUP($B285,_CONFIG_Risk_Calibration!$A$5:$H$21,7,FALSE),1))</f>
        <v>1</v>
      </c>
      <c r="AL285" t="str">
        <f>IF($A285="","",IFERROR(VLOOKUP($B285,_CONFIG_Risk_Calibration!$A$5:$H$21,8,FALSE),""))</f>
        <v>Clean template default. Calibrate with real exposure, incident history, evidence quality and domain-owner validation.</v>
      </c>
      <c r="AM285">
        <f>IF($A285="","",IFERROR(INDEX(_DATA_Assessment_Model!$AL$1:$AL$428,MATCH($A285,_DATA_Assessment_Model!$A$1:$A$428,0)),""))</f>
        <v>0</v>
      </c>
      <c r="AN285">
        <f t="shared" si="13"/>
        <v>1</v>
      </c>
      <c r="AO285">
        <f>IF($A285="","",_CONFIG_Model_Settings!$B$172*MAX(N($AK285),(N($AF285)+N($AI285))/2))</f>
        <v>50</v>
      </c>
      <c r="AP285">
        <f t="shared" si="14"/>
        <v>50</v>
      </c>
      <c r="AQ285">
        <f>IF($AP285="","",MAX(0,$AP285*(1-(_CONFIG_Model_Settings!$B$173+_CONFIG_Model_Settings!$B$174*(N($AH285)-1)))))</f>
        <v>32.5</v>
      </c>
      <c r="AR285">
        <f>IF($AP285="","",MIN(100,$AP285*(1+(_CONFIG_Model_Settings!$B$173+_CONFIG_Model_Settings!$B$174*(N($AH285)-1)))))</f>
        <v>67.5</v>
      </c>
    </row>
    <row r="286" spans="1:44" ht="72" customHeight="1">
      <c r="A286" s="9" t="s">
        <v>2513</v>
      </c>
      <c r="B286" s="9" t="s">
        <v>2473</v>
      </c>
      <c r="C286" s="9" t="s">
        <v>2490</v>
      </c>
      <c r="D286" s="9" t="s">
        <v>3690</v>
      </c>
      <c r="E286" s="9" t="s">
        <v>2514</v>
      </c>
      <c r="F286" s="9" t="s">
        <v>8577</v>
      </c>
      <c r="G286" s="9" t="s">
        <v>8578</v>
      </c>
      <c r="H286" s="9" t="s">
        <v>8579</v>
      </c>
      <c r="I286" s="9" t="s">
        <v>8580</v>
      </c>
      <c r="J286" s="9" t="s">
        <v>8581</v>
      </c>
      <c r="K286" s="9" t="s">
        <v>8582</v>
      </c>
      <c r="L286" s="9" t="s">
        <v>8583</v>
      </c>
      <c r="M286" s="9" t="s">
        <v>8584</v>
      </c>
      <c r="N286" s="9" t="s">
        <v>8585</v>
      </c>
      <c r="O286" s="9" t="s">
        <v>8586</v>
      </c>
      <c r="P286" s="9" t="s">
        <v>8587</v>
      </c>
      <c r="Q286" s="9" t="s">
        <v>8588</v>
      </c>
      <c r="R286" s="9" t="s">
        <v>4589</v>
      </c>
      <c r="S286" s="9" t="s">
        <v>8589</v>
      </c>
      <c r="T286" s="9">
        <v>3</v>
      </c>
      <c r="U286" s="9">
        <v>3</v>
      </c>
      <c r="V286" s="9">
        <v>2</v>
      </c>
      <c r="W286" s="9">
        <v>2</v>
      </c>
      <c r="X286" s="9">
        <v>1</v>
      </c>
      <c r="Y286" s="9">
        <v>1</v>
      </c>
      <c r="Z286" s="9" t="s">
        <v>2478</v>
      </c>
      <c r="AA286" s="9" t="s">
        <v>2515</v>
      </c>
      <c r="AB286" s="9" t="s">
        <v>2486</v>
      </c>
      <c r="AC286" s="9" t="s">
        <v>8519</v>
      </c>
      <c r="AD286" s="9" t="s">
        <v>8590</v>
      </c>
      <c r="AE286" t="str">
        <f t="shared" si="12"/>
        <v>Medium</v>
      </c>
      <c r="AF286">
        <f>IF($A286="","",IFERROR(VLOOKUP($B286,_CONFIG_Risk_Calibration!$A$5:$H$21,2,FALSE),3))</f>
        <v>3</v>
      </c>
      <c r="AG286">
        <f>IF($A286="","",IFERROR(VLOOKUP($B286,_CONFIG_Risk_Calibration!$A$5:$H$21,3,FALSE),0))</f>
        <v>0</v>
      </c>
      <c r="AH286">
        <f>IF($A286="","",IFERROR(VLOOKUP($B286,_CONFIG_Risk_Calibration!$A$5:$H$21,4,FALSE),3))</f>
        <v>3</v>
      </c>
      <c r="AI286">
        <f>IF($A286="","",IFERROR(VLOOKUP($B286,_CONFIG_Risk_Calibration!$A$5:$H$21,5,FALSE),3))</f>
        <v>2</v>
      </c>
      <c r="AJ286" t="str">
        <f>IF($A286="","",IFERROR(VLOOKUP($B286,_CONFIG_Risk_Calibration!$A$5:$H$21,6,FALSE),"No"))</f>
        <v>No</v>
      </c>
      <c r="AK286">
        <f>IF($A286="","",IFERROR(VLOOKUP($B286,_CONFIG_Risk_Calibration!$A$5:$H$21,7,FALSE),1))</f>
        <v>1</v>
      </c>
      <c r="AL286" t="str">
        <f>IF($A286="","",IFERROR(VLOOKUP($B286,_CONFIG_Risk_Calibration!$A$5:$H$21,8,FALSE),""))</f>
        <v>Clean template default. Calibrate with real exposure, incident history, evidence quality and domain-owner validation.</v>
      </c>
      <c r="AM286">
        <f>IF($A286="","",IFERROR(INDEX(_DATA_Assessment_Model!$AL$1:$AL$428,MATCH($A286,_DATA_Assessment_Model!$A$1:$A$428,0)),""))</f>
        <v>0</v>
      </c>
      <c r="AN286">
        <f t="shared" si="13"/>
        <v>1</v>
      </c>
      <c r="AO286">
        <f>IF($A286="","",_CONFIG_Model_Settings!$B$172*MAX(N($AK286),(N($AF286)+N($AI286))/2))</f>
        <v>50</v>
      </c>
      <c r="AP286">
        <f t="shared" si="14"/>
        <v>50</v>
      </c>
      <c r="AQ286">
        <f>IF($AP286="","",MAX(0,$AP286*(1-(_CONFIG_Model_Settings!$B$173+_CONFIG_Model_Settings!$B$174*(N($AH286)-1)))))</f>
        <v>32.5</v>
      </c>
      <c r="AR286">
        <f>IF($AP286="","",MIN(100,$AP286*(1+(_CONFIG_Model_Settings!$B$173+_CONFIG_Model_Settings!$B$174*(N($AH286)-1)))))</f>
        <v>67.5</v>
      </c>
    </row>
    <row r="287" spans="1:44" ht="60" customHeight="1">
      <c r="A287" s="9" t="s">
        <v>2516</v>
      </c>
      <c r="B287" s="9" t="s">
        <v>2473</v>
      </c>
      <c r="C287" s="9" t="s">
        <v>2490</v>
      </c>
      <c r="D287" s="9" t="s">
        <v>3690</v>
      </c>
      <c r="E287" s="9" t="s">
        <v>2517</v>
      </c>
      <c r="F287" s="9" t="s">
        <v>8591</v>
      </c>
      <c r="G287" s="9" t="s">
        <v>8592</v>
      </c>
      <c r="H287" s="9" t="s">
        <v>8593</v>
      </c>
      <c r="I287" s="9" t="s">
        <v>8594</v>
      </c>
      <c r="J287" s="9" t="s">
        <v>8595</v>
      </c>
      <c r="K287" s="9" t="s">
        <v>8596</v>
      </c>
      <c r="L287" s="9" t="s">
        <v>8597</v>
      </c>
      <c r="M287" s="9" t="s">
        <v>8598</v>
      </c>
      <c r="N287" s="9" t="s">
        <v>8599</v>
      </c>
      <c r="O287" s="9" t="s">
        <v>8600</v>
      </c>
      <c r="P287" s="9" t="s">
        <v>8601</v>
      </c>
      <c r="Q287" s="9" t="s">
        <v>8602</v>
      </c>
      <c r="R287" s="9" t="s">
        <v>4589</v>
      </c>
      <c r="S287" s="9" t="s">
        <v>8603</v>
      </c>
      <c r="T287" s="9">
        <v>3</v>
      </c>
      <c r="U287" s="9">
        <v>3</v>
      </c>
      <c r="V287" s="9">
        <v>2</v>
      </c>
      <c r="W287" s="9">
        <v>2</v>
      </c>
      <c r="X287" s="9">
        <v>1</v>
      </c>
      <c r="Y287" s="9">
        <v>1</v>
      </c>
      <c r="Z287" s="9" t="s">
        <v>2478</v>
      </c>
      <c r="AA287" s="9" t="s">
        <v>2518</v>
      </c>
      <c r="AB287" s="9" t="s">
        <v>2486</v>
      </c>
      <c r="AC287" s="9" t="s">
        <v>8519</v>
      </c>
      <c r="AD287" s="9" t="s">
        <v>8604</v>
      </c>
      <c r="AE287" t="str">
        <f t="shared" si="12"/>
        <v>Medium</v>
      </c>
      <c r="AF287">
        <f>IF($A287="","",IFERROR(VLOOKUP($B287,_CONFIG_Risk_Calibration!$A$5:$H$21,2,FALSE),3))</f>
        <v>3</v>
      </c>
      <c r="AG287">
        <f>IF($A287="","",IFERROR(VLOOKUP($B287,_CONFIG_Risk_Calibration!$A$5:$H$21,3,FALSE),0))</f>
        <v>0</v>
      </c>
      <c r="AH287">
        <f>IF($A287="","",IFERROR(VLOOKUP($B287,_CONFIG_Risk_Calibration!$A$5:$H$21,4,FALSE),3))</f>
        <v>3</v>
      </c>
      <c r="AI287">
        <f>IF($A287="","",IFERROR(VLOOKUP($B287,_CONFIG_Risk_Calibration!$A$5:$H$21,5,FALSE),3))</f>
        <v>2</v>
      </c>
      <c r="AJ287" t="str">
        <f>IF($A287="","",IFERROR(VLOOKUP($B287,_CONFIG_Risk_Calibration!$A$5:$H$21,6,FALSE),"No"))</f>
        <v>No</v>
      </c>
      <c r="AK287">
        <f>IF($A287="","",IFERROR(VLOOKUP($B287,_CONFIG_Risk_Calibration!$A$5:$H$21,7,FALSE),1))</f>
        <v>1</v>
      </c>
      <c r="AL287" t="str">
        <f>IF($A287="","",IFERROR(VLOOKUP($B287,_CONFIG_Risk_Calibration!$A$5:$H$21,8,FALSE),""))</f>
        <v>Clean template default. Calibrate with real exposure, incident history, evidence quality and domain-owner validation.</v>
      </c>
      <c r="AM287">
        <f>IF($A287="","",IFERROR(INDEX(_DATA_Assessment_Model!$AL$1:$AL$428,MATCH($A287,_DATA_Assessment_Model!$A$1:$A$428,0)),""))</f>
        <v>0</v>
      </c>
      <c r="AN287">
        <f t="shared" si="13"/>
        <v>1</v>
      </c>
      <c r="AO287">
        <f>IF($A287="","",_CONFIG_Model_Settings!$B$172*MAX(N($AK287),(N($AF287)+N($AI287))/2))</f>
        <v>50</v>
      </c>
      <c r="AP287">
        <f t="shared" si="14"/>
        <v>50</v>
      </c>
      <c r="AQ287">
        <f>IF($AP287="","",MAX(0,$AP287*(1-(_CONFIG_Model_Settings!$B$173+_CONFIG_Model_Settings!$B$174*(N($AH287)-1)))))</f>
        <v>32.5</v>
      </c>
      <c r="AR287">
        <f>IF($AP287="","",MIN(100,$AP287*(1+(_CONFIG_Model_Settings!$B$173+_CONFIG_Model_Settings!$B$174*(N($AH287)-1)))))</f>
        <v>67.5</v>
      </c>
    </row>
    <row r="288" spans="1:44" ht="60" customHeight="1">
      <c r="A288" s="9" t="s">
        <v>2519</v>
      </c>
      <c r="B288" s="9" t="s">
        <v>2473</v>
      </c>
      <c r="C288" s="9" t="s">
        <v>2490</v>
      </c>
      <c r="D288" s="9" t="s">
        <v>3690</v>
      </c>
      <c r="E288" s="9" t="s">
        <v>2520</v>
      </c>
      <c r="F288" s="9" t="s">
        <v>8605</v>
      </c>
      <c r="G288" s="9" t="s">
        <v>8606</v>
      </c>
      <c r="H288" s="9" t="s">
        <v>8607</v>
      </c>
      <c r="I288" s="9" t="s">
        <v>8608</v>
      </c>
      <c r="J288" s="9" t="s">
        <v>8609</v>
      </c>
      <c r="K288" s="9" t="s">
        <v>8610</v>
      </c>
      <c r="L288" s="9" t="s">
        <v>8611</v>
      </c>
      <c r="M288" s="9" t="s">
        <v>8612</v>
      </c>
      <c r="N288" s="9" t="s">
        <v>8613</v>
      </c>
      <c r="O288" s="9" t="s">
        <v>8614</v>
      </c>
      <c r="P288" s="9" t="s">
        <v>8615</v>
      </c>
      <c r="Q288" s="9" t="s">
        <v>8616</v>
      </c>
      <c r="R288" s="9" t="s">
        <v>4589</v>
      </c>
      <c r="S288" s="9" t="s">
        <v>8617</v>
      </c>
      <c r="T288" s="9">
        <v>3</v>
      </c>
      <c r="U288" s="9">
        <v>3</v>
      </c>
      <c r="V288" s="9">
        <v>2</v>
      </c>
      <c r="W288" s="9">
        <v>2</v>
      </c>
      <c r="X288" s="9">
        <v>1</v>
      </c>
      <c r="Y288" s="9">
        <v>1</v>
      </c>
      <c r="Z288" s="9" t="s">
        <v>2478</v>
      </c>
      <c r="AA288" s="9" t="s">
        <v>2521</v>
      </c>
      <c r="AB288" s="9" t="s">
        <v>2486</v>
      </c>
      <c r="AC288" s="9" t="s">
        <v>8519</v>
      </c>
      <c r="AD288" s="9" t="s">
        <v>8618</v>
      </c>
      <c r="AE288" t="str">
        <f t="shared" si="12"/>
        <v>Medium</v>
      </c>
      <c r="AF288">
        <f>IF($A288="","",IFERROR(VLOOKUP($B288,_CONFIG_Risk_Calibration!$A$5:$H$21,2,FALSE),3))</f>
        <v>3</v>
      </c>
      <c r="AG288">
        <f>IF($A288="","",IFERROR(VLOOKUP($B288,_CONFIG_Risk_Calibration!$A$5:$H$21,3,FALSE),0))</f>
        <v>0</v>
      </c>
      <c r="AH288">
        <f>IF($A288="","",IFERROR(VLOOKUP($B288,_CONFIG_Risk_Calibration!$A$5:$H$21,4,FALSE),3))</f>
        <v>3</v>
      </c>
      <c r="AI288">
        <f>IF($A288="","",IFERROR(VLOOKUP($B288,_CONFIG_Risk_Calibration!$A$5:$H$21,5,FALSE),3))</f>
        <v>2</v>
      </c>
      <c r="AJ288" t="str">
        <f>IF($A288="","",IFERROR(VLOOKUP($B288,_CONFIG_Risk_Calibration!$A$5:$H$21,6,FALSE),"No"))</f>
        <v>No</v>
      </c>
      <c r="AK288">
        <f>IF($A288="","",IFERROR(VLOOKUP($B288,_CONFIG_Risk_Calibration!$A$5:$H$21,7,FALSE),1))</f>
        <v>1</v>
      </c>
      <c r="AL288" t="str">
        <f>IF($A288="","",IFERROR(VLOOKUP($B288,_CONFIG_Risk_Calibration!$A$5:$H$21,8,FALSE),""))</f>
        <v>Clean template default. Calibrate with real exposure, incident history, evidence quality and domain-owner validation.</v>
      </c>
      <c r="AM288">
        <f>IF($A288="","",IFERROR(INDEX(_DATA_Assessment_Model!$AL$1:$AL$428,MATCH($A288,_DATA_Assessment_Model!$A$1:$A$428,0)),""))</f>
        <v>0</v>
      </c>
      <c r="AN288">
        <f t="shared" si="13"/>
        <v>1</v>
      </c>
      <c r="AO288">
        <f>IF($A288="","",_CONFIG_Model_Settings!$B$172*MAX(N($AK288),(N($AF288)+N($AI288))/2))</f>
        <v>50</v>
      </c>
      <c r="AP288">
        <f t="shared" si="14"/>
        <v>50</v>
      </c>
      <c r="AQ288">
        <f>IF($AP288="","",MAX(0,$AP288*(1-(_CONFIG_Model_Settings!$B$173+_CONFIG_Model_Settings!$B$174*(N($AH288)-1)))))</f>
        <v>32.5</v>
      </c>
      <c r="AR288">
        <f>IF($AP288="","",MIN(100,$AP288*(1+(_CONFIG_Model_Settings!$B$173+_CONFIG_Model_Settings!$B$174*(N($AH288)-1)))))</f>
        <v>67.5</v>
      </c>
    </row>
    <row r="289" spans="1:44" ht="60" customHeight="1">
      <c r="A289" s="9" t="s">
        <v>2528</v>
      </c>
      <c r="B289" s="9" t="s">
        <v>2473</v>
      </c>
      <c r="C289" s="9" t="s">
        <v>2490</v>
      </c>
      <c r="D289" s="9" t="s">
        <v>3690</v>
      </c>
      <c r="E289" s="9" t="s">
        <v>2529</v>
      </c>
      <c r="F289" s="9" t="s">
        <v>8619</v>
      </c>
      <c r="G289" s="9" t="s">
        <v>8620</v>
      </c>
      <c r="H289" s="9" t="s">
        <v>8621</v>
      </c>
      <c r="I289" s="9" t="s">
        <v>8622</v>
      </c>
      <c r="J289" s="9" t="s">
        <v>8623</v>
      </c>
      <c r="K289" s="9" t="s">
        <v>8624</v>
      </c>
      <c r="L289" s="9" t="s">
        <v>8625</v>
      </c>
      <c r="M289" s="9" t="s">
        <v>8626</v>
      </c>
      <c r="N289" s="9" t="s">
        <v>8627</v>
      </c>
      <c r="O289" s="9" t="s">
        <v>8628</v>
      </c>
      <c r="P289" s="9" t="s">
        <v>8629</v>
      </c>
      <c r="Q289" s="9" t="s">
        <v>8630</v>
      </c>
      <c r="R289" s="9" t="s">
        <v>4589</v>
      </c>
      <c r="S289" s="9" t="s">
        <v>8631</v>
      </c>
      <c r="T289" s="9">
        <v>3</v>
      </c>
      <c r="U289" s="9">
        <v>3</v>
      </c>
      <c r="V289" s="9">
        <v>2</v>
      </c>
      <c r="W289" s="9">
        <v>2</v>
      </c>
      <c r="X289" s="9">
        <v>1</v>
      </c>
      <c r="Y289" s="9">
        <v>1</v>
      </c>
      <c r="Z289" s="9" t="s">
        <v>2478</v>
      </c>
      <c r="AA289" s="9" t="s">
        <v>2530</v>
      </c>
      <c r="AB289" s="9" t="s">
        <v>2486</v>
      </c>
      <c r="AC289" s="9" t="s">
        <v>8519</v>
      </c>
      <c r="AD289" s="9" t="s">
        <v>8632</v>
      </c>
      <c r="AE289" t="str">
        <f t="shared" si="12"/>
        <v>Medium</v>
      </c>
      <c r="AF289">
        <f>IF($A289="","",IFERROR(VLOOKUP($B289,_CONFIG_Risk_Calibration!$A$5:$H$21,2,FALSE),3))</f>
        <v>3</v>
      </c>
      <c r="AG289">
        <f>IF($A289="","",IFERROR(VLOOKUP($B289,_CONFIG_Risk_Calibration!$A$5:$H$21,3,FALSE),0))</f>
        <v>0</v>
      </c>
      <c r="AH289">
        <f>IF($A289="","",IFERROR(VLOOKUP($B289,_CONFIG_Risk_Calibration!$A$5:$H$21,4,FALSE),3))</f>
        <v>3</v>
      </c>
      <c r="AI289">
        <f>IF($A289="","",IFERROR(VLOOKUP($B289,_CONFIG_Risk_Calibration!$A$5:$H$21,5,FALSE),3))</f>
        <v>2</v>
      </c>
      <c r="AJ289" t="str">
        <f>IF($A289="","",IFERROR(VLOOKUP($B289,_CONFIG_Risk_Calibration!$A$5:$H$21,6,FALSE),"No"))</f>
        <v>No</v>
      </c>
      <c r="AK289">
        <f>IF($A289="","",IFERROR(VLOOKUP($B289,_CONFIG_Risk_Calibration!$A$5:$H$21,7,FALSE),1))</f>
        <v>1</v>
      </c>
      <c r="AL289" t="str">
        <f>IF($A289="","",IFERROR(VLOOKUP($B289,_CONFIG_Risk_Calibration!$A$5:$H$21,8,FALSE),""))</f>
        <v>Clean template default. Calibrate with real exposure, incident history, evidence quality and domain-owner validation.</v>
      </c>
      <c r="AM289">
        <f>IF($A289="","",IFERROR(INDEX(_DATA_Assessment_Model!$AL$1:$AL$428,MATCH($A289,_DATA_Assessment_Model!$A$1:$A$428,0)),""))</f>
        <v>0</v>
      </c>
      <c r="AN289">
        <f t="shared" si="13"/>
        <v>1</v>
      </c>
      <c r="AO289">
        <f>IF($A289="","",_CONFIG_Model_Settings!$B$172*MAX(N($AK289),(N($AF289)+N($AI289))/2))</f>
        <v>50</v>
      </c>
      <c r="AP289">
        <f t="shared" si="14"/>
        <v>50</v>
      </c>
      <c r="AQ289">
        <f>IF($AP289="","",MAX(0,$AP289*(1-(_CONFIG_Model_Settings!$B$173+_CONFIG_Model_Settings!$B$174*(N($AH289)-1)))))</f>
        <v>32.5</v>
      </c>
      <c r="AR289">
        <f>IF($AP289="","",MIN(100,$AP289*(1+(_CONFIG_Model_Settings!$B$173+_CONFIG_Model_Settings!$B$174*(N($AH289)-1)))))</f>
        <v>67.5</v>
      </c>
    </row>
    <row r="290" spans="1:44" ht="72" customHeight="1">
      <c r="A290" s="9" t="s">
        <v>2537</v>
      </c>
      <c r="B290" s="9" t="s">
        <v>2473</v>
      </c>
      <c r="C290" s="9" t="s">
        <v>2490</v>
      </c>
      <c r="D290" s="9" t="s">
        <v>3690</v>
      </c>
      <c r="E290" s="9" t="s">
        <v>2538</v>
      </c>
      <c r="F290" s="9" t="s">
        <v>8633</v>
      </c>
      <c r="G290" s="9" t="s">
        <v>8634</v>
      </c>
      <c r="H290" s="9" t="s">
        <v>8635</v>
      </c>
      <c r="I290" s="9" t="s">
        <v>8636</v>
      </c>
      <c r="J290" s="9" t="s">
        <v>8637</v>
      </c>
      <c r="K290" s="9" t="s">
        <v>8638</v>
      </c>
      <c r="L290" s="9" t="s">
        <v>8639</v>
      </c>
      <c r="M290" s="9" t="s">
        <v>8640</v>
      </c>
      <c r="N290" s="9" t="s">
        <v>8641</v>
      </c>
      <c r="O290" s="9" t="s">
        <v>8642</v>
      </c>
      <c r="P290" s="9" t="s">
        <v>8643</v>
      </c>
      <c r="Q290" s="9" t="s">
        <v>8644</v>
      </c>
      <c r="R290" s="9" t="s">
        <v>4589</v>
      </c>
      <c r="S290" s="9" t="s">
        <v>8645</v>
      </c>
      <c r="T290" s="9">
        <v>3</v>
      </c>
      <c r="U290" s="9">
        <v>3</v>
      </c>
      <c r="V290" s="9">
        <v>2</v>
      </c>
      <c r="W290" s="9">
        <v>2</v>
      </c>
      <c r="X290" s="9">
        <v>1</v>
      </c>
      <c r="Y290" s="9">
        <v>1</v>
      </c>
      <c r="Z290" s="9" t="s">
        <v>2478</v>
      </c>
      <c r="AA290" s="9" t="s">
        <v>2539</v>
      </c>
      <c r="AB290" s="9" t="s">
        <v>2486</v>
      </c>
      <c r="AC290" s="9" t="s">
        <v>8519</v>
      </c>
      <c r="AD290" s="9" t="s">
        <v>8646</v>
      </c>
      <c r="AE290" t="str">
        <f t="shared" si="12"/>
        <v>Medium</v>
      </c>
      <c r="AF290">
        <f>IF($A290="","",IFERROR(VLOOKUP($B290,_CONFIG_Risk_Calibration!$A$5:$H$21,2,FALSE),3))</f>
        <v>3</v>
      </c>
      <c r="AG290">
        <f>IF($A290="","",IFERROR(VLOOKUP($B290,_CONFIG_Risk_Calibration!$A$5:$H$21,3,FALSE),0))</f>
        <v>0</v>
      </c>
      <c r="AH290">
        <f>IF($A290="","",IFERROR(VLOOKUP($B290,_CONFIG_Risk_Calibration!$A$5:$H$21,4,FALSE),3))</f>
        <v>3</v>
      </c>
      <c r="AI290">
        <f>IF($A290="","",IFERROR(VLOOKUP($B290,_CONFIG_Risk_Calibration!$A$5:$H$21,5,FALSE),3))</f>
        <v>2</v>
      </c>
      <c r="AJ290" t="str">
        <f>IF($A290="","",IFERROR(VLOOKUP($B290,_CONFIG_Risk_Calibration!$A$5:$H$21,6,FALSE),"No"))</f>
        <v>No</v>
      </c>
      <c r="AK290">
        <f>IF($A290="","",IFERROR(VLOOKUP($B290,_CONFIG_Risk_Calibration!$A$5:$H$21,7,FALSE),1))</f>
        <v>1</v>
      </c>
      <c r="AL290" t="str">
        <f>IF($A290="","",IFERROR(VLOOKUP($B290,_CONFIG_Risk_Calibration!$A$5:$H$21,8,FALSE),""))</f>
        <v>Clean template default. Calibrate with real exposure, incident history, evidence quality and domain-owner validation.</v>
      </c>
      <c r="AM290">
        <f>IF($A290="","",IFERROR(INDEX(_DATA_Assessment_Model!$AL$1:$AL$428,MATCH($A290,_DATA_Assessment_Model!$A$1:$A$428,0)),""))</f>
        <v>0</v>
      </c>
      <c r="AN290">
        <f t="shared" si="13"/>
        <v>1</v>
      </c>
      <c r="AO290">
        <f>IF($A290="","",_CONFIG_Model_Settings!$B$172*MAX(N($AK290),(N($AF290)+N($AI290))/2))</f>
        <v>50</v>
      </c>
      <c r="AP290">
        <f t="shared" si="14"/>
        <v>50</v>
      </c>
      <c r="AQ290">
        <f>IF($AP290="","",MAX(0,$AP290*(1-(_CONFIG_Model_Settings!$B$173+_CONFIG_Model_Settings!$B$174*(N($AH290)-1)))))</f>
        <v>32.5</v>
      </c>
      <c r="AR290">
        <f>IF($AP290="","",MIN(100,$AP290*(1+(_CONFIG_Model_Settings!$B$173+_CONFIG_Model_Settings!$B$174*(N($AH290)-1)))))</f>
        <v>67.5</v>
      </c>
    </row>
    <row r="291" spans="1:44" ht="72" customHeight="1">
      <c r="A291" s="9" t="s">
        <v>2546</v>
      </c>
      <c r="B291" s="9" t="s">
        <v>2473</v>
      </c>
      <c r="C291" s="9" t="s">
        <v>2490</v>
      </c>
      <c r="D291" s="9" t="s">
        <v>3690</v>
      </c>
      <c r="E291" s="9" t="s">
        <v>2547</v>
      </c>
      <c r="F291" s="9" t="s">
        <v>8647</v>
      </c>
      <c r="G291" s="9" t="s">
        <v>8648</v>
      </c>
      <c r="H291" s="9" t="s">
        <v>8649</v>
      </c>
      <c r="I291" s="9" t="s">
        <v>8650</v>
      </c>
      <c r="J291" s="9" t="s">
        <v>8651</v>
      </c>
      <c r="K291" s="9" t="s">
        <v>8652</v>
      </c>
      <c r="L291" s="9" t="s">
        <v>8653</v>
      </c>
      <c r="M291" s="9" t="s">
        <v>8654</v>
      </c>
      <c r="N291" s="9" t="s">
        <v>8655</v>
      </c>
      <c r="O291" s="9" t="s">
        <v>8656</v>
      </c>
      <c r="P291" s="9" t="s">
        <v>8657</v>
      </c>
      <c r="Q291" s="9" t="s">
        <v>8658</v>
      </c>
      <c r="R291" s="9" t="s">
        <v>4589</v>
      </c>
      <c r="S291" s="9" t="s">
        <v>8659</v>
      </c>
      <c r="T291" s="9">
        <v>3</v>
      </c>
      <c r="U291" s="9">
        <v>3</v>
      </c>
      <c r="V291" s="9">
        <v>2</v>
      </c>
      <c r="W291" s="9">
        <v>2</v>
      </c>
      <c r="X291" s="9">
        <v>1</v>
      </c>
      <c r="Y291" s="9">
        <v>1</v>
      </c>
      <c r="Z291" s="9" t="s">
        <v>2478</v>
      </c>
      <c r="AA291" s="9" t="s">
        <v>2548</v>
      </c>
      <c r="AB291" s="9" t="s">
        <v>2486</v>
      </c>
      <c r="AC291" s="9" t="s">
        <v>8519</v>
      </c>
      <c r="AD291" s="9" t="s">
        <v>8660</v>
      </c>
      <c r="AE291" t="str">
        <f t="shared" si="12"/>
        <v>Medium</v>
      </c>
      <c r="AF291">
        <f>IF($A291="","",IFERROR(VLOOKUP($B291,_CONFIG_Risk_Calibration!$A$5:$H$21,2,FALSE),3))</f>
        <v>3</v>
      </c>
      <c r="AG291">
        <f>IF($A291="","",IFERROR(VLOOKUP($B291,_CONFIG_Risk_Calibration!$A$5:$H$21,3,FALSE),0))</f>
        <v>0</v>
      </c>
      <c r="AH291">
        <f>IF($A291="","",IFERROR(VLOOKUP($B291,_CONFIG_Risk_Calibration!$A$5:$H$21,4,FALSE),3))</f>
        <v>3</v>
      </c>
      <c r="AI291">
        <f>IF($A291="","",IFERROR(VLOOKUP($B291,_CONFIG_Risk_Calibration!$A$5:$H$21,5,FALSE),3))</f>
        <v>2</v>
      </c>
      <c r="AJ291" t="str">
        <f>IF($A291="","",IFERROR(VLOOKUP($B291,_CONFIG_Risk_Calibration!$A$5:$H$21,6,FALSE),"No"))</f>
        <v>No</v>
      </c>
      <c r="AK291">
        <f>IF($A291="","",IFERROR(VLOOKUP($B291,_CONFIG_Risk_Calibration!$A$5:$H$21,7,FALSE),1))</f>
        <v>1</v>
      </c>
      <c r="AL291" t="str">
        <f>IF($A291="","",IFERROR(VLOOKUP($B291,_CONFIG_Risk_Calibration!$A$5:$H$21,8,FALSE),""))</f>
        <v>Clean template default. Calibrate with real exposure, incident history, evidence quality and domain-owner validation.</v>
      </c>
      <c r="AM291">
        <f>IF($A291="","",IFERROR(INDEX(_DATA_Assessment_Model!$AL$1:$AL$428,MATCH($A291,_DATA_Assessment_Model!$A$1:$A$428,0)),""))</f>
        <v>0</v>
      </c>
      <c r="AN291">
        <f t="shared" si="13"/>
        <v>1</v>
      </c>
      <c r="AO291">
        <f>IF($A291="","",_CONFIG_Model_Settings!$B$172*MAX(N($AK291),(N($AF291)+N($AI291))/2))</f>
        <v>50</v>
      </c>
      <c r="AP291">
        <f t="shared" si="14"/>
        <v>50</v>
      </c>
      <c r="AQ291">
        <f>IF($AP291="","",MAX(0,$AP291*(1-(_CONFIG_Model_Settings!$B$173+_CONFIG_Model_Settings!$B$174*(N($AH291)-1)))))</f>
        <v>32.5</v>
      </c>
      <c r="AR291">
        <f>IF($AP291="","",MIN(100,$AP291*(1+(_CONFIG_Model_Settings!$B$173+_CONFIG_Model_Settings!$B$174*(N($AH291)-1)))))</f>
        <v>67.5</v>
      </c>
    </row>
    <row r="292" spans="1:44" ht="72" customHeight="1">
      <c r="A292" s="9" t="s">
        <v>2555</v>
      </c>
      <c r="B292" s="9" t="s">
        <v>2473</v>
      </c>
      <c r="C292" s="9" t="s">
        <v>2494</v>
      </c>
      <c r="D292" s="9" t="s">
        <v>3690</v>
      </c>
      <c r="E292" s="9" t="s">
        <v>2556</v>
      </c>
      <c r="F292" s="9" t="s">
        <v>8661</v>
      </c>
      <c r="G292" s="9" t="s">
        <v>8662</v>
      </c>
      <c r="H292" s="9" t="s">
        <v>8663</v>
      </c>
      <c r="I292" s="9" t="s">
        <v>8664</v>
      </c>
      <c r="J292" s="9" t="s">
        <v>8665</v>
      </c>
      <c r="K292" s="9" t="s">
        <v>8666</v>
      </c>
      <c r="L292" s="9" t="s">
        <v>8667</v>
      </c>
      <c r="M292" s="9" t="s">
        <v>8668</v>
      </c>
      <c r="N292" s="9" t="s">
        <v>8669</v>
      </c>
      <c r="O292" s="9" t="s">
        <v>8670</v>
      </c>
      <c r="P292" s="9" t="s">
        <v>8671</v>
      </c>
      <c r="Q292" s="9" t="s">
        <v>8672</v>
      </c>
      <c r="R292" s="9" t="s">
        <v>4589</v>
      </c>
      <c r="S292" s="9" t="s">
        <v>8673</v>
      </c>
      <c r="T292" s="9">
        <v>3</v>
      </c>
      <c r="U292" s="9">
        <v>3</v>
      </c>
      <c r="V292" s="9">
        <v>2</v>
      </c>
      <c r="W292" s="9">
        <v>2</v>
      </c>
      <c r="X292" s="9">
        <v>1</v>
      </c>
      <c r="Y292" s="9">
        <v>1</v>
      </c>
      <c r="Z292" s="9" t="s">
        <v>2478</v>
      </c>
      <c r="AA292" s="9" t="s">
        <v>2557</v>
      </c>
      <c r="AB292" s="9" t="s">
        <v>2486</v>
      </c>
      <c r="AC292" s="9" t="s">
        <v>8519</v>
      </c>
      <c r="AD292" s="9" t="s">
        <v>8674</v>
      </c>
      <c r="AE292" t="str">
        <f t="shared" si="12"/>
        <v>Medium</v>
      </c>
      <c r="AF292">
        <f>IF($A292="","",IFERROR(VLOOKUP($B292,_CONFIG_Risk_Calibration!$A$5:$H$21,2,FALSE),3))</f>
        <v>3</v>
      </c>
      <c r="AG292">
        <f>IF($A292="","",IFERROR(VLOOKUP($B292,_CONFIG_Risk_Calibration!$A$5:$H$21,3,FALSE),0))</f>
        <v>0</v>
      </c>
      <c r="AH292">
        <f>IF($A292="","",IFERROR(VLOOKUP($B292,_CONFIG_Risk_Calibration!$A$5:$H$21,4,FALSE),3))</f>
        <v>3</v>
      </c>
      <c r="AI292">
        <f>IF($A292="","",IFERROR(VLOOKUP($B292,_CONFIG_Risk_Calibration!$A$5:$H$21,5,FALSE),3))</f>
        <v>2</v>
      </c>
      <c r="AJ292" t="str">
        <f>IF($A292="","",IFERROR(VLOOKUP($B292,_CONFIG_Risk_Calibration!$A$5:$H$21,6,FALSE),"No"))</f>
        <v>No</v>
      </c>
      <c r="AK292">
        <f>IF($A292="","",IFERROR(VLOOKUP($B292,_CONFIG_Risk_Calibration!$A$5:$H$21,7,FALSE),1))</f>
        <v>1</v>
      </c>
      <c r="AL292" t="str">
        <f>IF($A292="","",IFERROR(VLOOKUP($B292,_CONFIG_Risk_Calibration!$A$5:$H$21,8,FALSE),""))</f>
        <v>Clean template default. Calibrate with real exposure, incident history, evidence quality and domain-owner validation.</v>
      </c>
      <c r="AM292">
        <f>IF($A292="","",IFERROR(INDEX(_DATA_Assessment_Model!$AL$1:$AL$428,MATCH($A292,_DATA_Assessment_Model!$A$1:$A$428,0)),""))</f>
        <v>0</v>
      </c>
      <c r="AN292">
        <f t="shared" si="13"/>
        <v>1</v>
      </c>
      <c r="AO292">
        <f>IF($A292="","",_CONFIG_Model_Settings!$B$172*MAX(N($AK292),(N($AF292)+N($AI292))/2))</f>
        <v>50</v>
      </c>
      <c r="AP292">
        <f t="shared" si="14"/>
        <v>50</v>
      </c>
      <c r="AQ292">
        <f>IF($AP292="","",MAX(0,$AP292*(1-(_CONFIG_Model_Settings!$B$173+_CONFIG_Model_Settings!$B$174*(N($AH292)-1)))))</f>
        <v>32.5</v>
      </c>
      <c r="AR292">
        <f>IF($AP292="","",MIN(100,$AP292*(1+(_CONFIG_Model_Settings!$B$173+_CONFIG_Model_Settings!$B$174*(N($AH292)-1)))))</f>
        <v>67.5</v>
      </c>
    </row>
    <row r="293" spans="1:44" ht="72" customHeight="1">
      <c r="A293" s="9" t="s">
        <v>2558</v>
      </c>
      <c r="B293" s="9" t="s">
        <v>2473</v>
      </c>
      <c r="C293" s="9" t="s">
        <v>2494</v>
      </c>
      <c r="D293" s="9" t="s">
        <v>3690</v>
      </c>
      <c r="E293" s="9" t="s">
        <v>2559</v>
      </c>
      <c r="F293" s="9" t="s">
        <v>8675</v>
      </c>
      <c r="G293" s="9" t="s">
        <v>8676</v>
      </c>
      <c r="H293" s="9" t="s">
        <v>8677</v>
      </c>
      <c r="I293" s="9" t="s">
        <v>8678</v>
      </c>
      <c r="J293" s="9" t="s">
        <v>8679</v>
      </c>
      <c r="K293" s="9" t="s">
        <v>8680</v>
      </c>
      <c r="L293" s="9" t="s">
        <v>8681</v>
      </c>
      <c r="M293" s="9" t="s">
        <v>8682</v>
      </c>
      <c r="N293" s="9" t="s">
        <v>8683</v>
      </c>
      <c r="O293" s="9" t="s">
        <v>8684</v>
      </c>
      <c r="P293" s="9" t="s">
        <v>8685</v>
      </c>
      <c r="Q293" s="9" t="s">
        <v>8686</v>
      </c>
      <c r="R293" s="9" t="s">
        <v>4589</v>
      </c>
      <c r="S293" s="9" t="s">
        <v>8687</v>
      </c>
      <c r="T293" s="9">
        <v>3</v>
      </c>
      <c r="U293" s="9">
        <v>3</v>
      </c>
      <c r="V293" s="9">
        <v>2</v>
      </c>
      <c r="W293" s="9">
        <v>2</v>
      </c>
      <c r="X293" s="9">
        <v>1</v>
      </c>
      <c r="Y293" s="9">
        <v>1</v>
      </c>
      <c r="Z293" s="9" t="s">
        <v>2478</v>
      </c>
      <c r="AA293" s="9" t="s">
        <v>2560</v>
      </c>
      <c r="AB293" s="9" t="s">
        <v>2486</v>
      </c>
      <c r="AC293" s="9" t="s">
        <v>8519</v>
      </c>
      <c r="AD293" s="9" t="s">
        <v>8688</v>
      </c>
      <c r="AE293" t="str">
        <f t="shared" si="12"/>
        <v>Medium</v>
      </c>
      <c r="AF293">
        <f>IF($A293="","",IFERROR(VLOOKUP($B293,_CONFIG_Risk_Calibration!$A$5:$H$21,2,FALSE),3))</f>
        <v>3</v>
      </c>
      <c r="AG293">
        <f>IF($A293="","",IFERROR(VLOOKUP($B293,_CONFIG_Risk_Calibration!$A$5:$H$21,3,FALSE),0))</f>
        <v>0</v>
      </c>
      <c r="AH293">
        <f>IF($A293="","",IFERROR(VLOOKUP($B293,_CONFIG_Risk_Calibration!$A$5:$H$21,4,FALSE),3))</f>
        <v>3</v>
      </c>
      <c r="AI293">
        <f>IF($A293="","",IFERROR(VLOOKUP($B293,_CONFIG_Risk_Calibration!$A$5:$H$21,5,FALSE),3))</f>
        <v>2</v>
      </c>
      <c r="AJ293" t="str">
        <f>IF($A293="","",IFERROR(VLOOKUP($B293,_CONFIG_Risk_Calibration!$A$5:$H$21,6,FALSE),"No"))</f>
        <v>No</v>
      </c>
      <c r="AK293">
        <f>IF($A293="","",IFERROR(VLOOKUP($B293,_CONFIG_Risk_Calibration!$A$5:$H$21,7,FALSE),1))</f>
        <v>1</v>
      </c>
      <c r="AL293" t="str">
        <f>IF($A293="","",IFERROR(VLOOKUP($B293,_CONFIG_Risk_Calibration!$A$5:$H$21,8,FALSE),""))</f>
        <v>Clean template default. Calibrate with real exposure, incident history, evidence quality and domain-owner validation.</v>
      </c>
      <c r="AM293">
        <f>IF($A293="","",IFERROR(INDEX(_DATA_Assessment_Model!$AL$1:$AL$428,MATCH($A293,_DATA_Assessment_Model!$A$1:$A$428,0)),""))</f>
        <v>0</v>
      </c>
      <c r="AN293">
        <f t="shared" si="13"/>
        <v>1</v>
      </c>
      <c r="AO293">
        <f>IF($A293="","",_CONFIG_Model_Settings!$B$172*MAX(N($AK293),(N($AF293)+N($AI293))/2))</f>
        <v>50</v>
      </c>
      <c r="AP293">
        <f t="shared" si="14"/>
        <v>50</v>
      </c>
      <c r="AQ293">
        <f>IF($AP293="","",MAX(0,$AP293*(1-(_CONFIG_Model_Settings!$B$173+_CONFIG_Model_Settings!$B$174*(N($AH293)-1)))))</f>
        <v>32.5</v>
      </c>
      <c r="AR293">
        <f>IF($AP293="","",MIN(100,$AP293*(1+(_CONFIG_Model_Settings!$B$173+_CONFIG_Model_Settings!$B$174*(N($AH293)-1)))))</f>
        <v>67.5</v>
      </c>
    </row>
    <row r="294" spans="1:44" ht="72" customHeight="1">
      <c r="A294" s="9" t="s">
        <v>2567</v>
      </c>
      <c r="B294" s="9" t="s">
        <v>2473</v>
      </c>
      <c r="C294" s="9" t="s">
        <v>2494</v>
      </c>
      <c r="D294" s="9" t="s">
        <v>3690</v>
      </c>
      <c r="E294" s="9" t="s">
        <v>2568</v>
      </c>
      <c r="F294" s="9" t="s">
        <v>8689</v>
      </c>
      <c r="G294" s="9" t="s">
        <v>8690</v>
      </c>
      <c r="H294" s="9" t="s">
        <v>8691</v>
      </c>
      <c r="I294" s="9" t="s">
        <v>8692</v>
      </c>
      <c r="J294" s="9" t="s">
        <v>8693</v>
      </c>
      <c r="K294" s="9" t="s">
        <v>8694</v>
      </c>
      <c r="L294" s="9" t="s">
        <v>8695</v>
      </c>
      <c r="M294" s="9" t="s">
        <v>8696</v>
      </c>
      <c r="N294" s="9" t="s">
        <v>8697</v>
      </c>
      <c r="O294" s="9" t="s">
        <v>8698</v>
      </c>
      <c r="P294" s="9" t="s">
        <v>8699</v>
      </c>
      <c r="Q294" s="9" t="s">
        <v>8700</v>
      </c>
      <c r="R294" s="9" t="s">
        <v>4589</v>
      </c>
      <c r="S294" s="9" t="s">
        <v>8701</v>
      </c>
      <c r="T294" s="9">
        <v>3</v>
      </c>
      <c r="U294" s="9">
        <v>3</v>
      </c>
      <c r="V294" s="9">
        <v>2</v>
      </c>
      <c r="W294" s="9">
        <v>2</v>
      </c>
      <c r="X294" s="9">
        <v>1</v>
      </c>
      <c r="Y294" s="9">
        <v>1</v>
      </c>
      <c r="Z294" s="9" t="s">
        <v>2478</v>
      </c>
      <c r="AA294" s="9" t="s">
        <v>2569</v>
      </c>
      <c r="AB294" s="9" t="s">
        <v>2486</v>
      </c>
      <c r="AC294" s="9" t="s">
        <v>8519</v>
      </c>
      <c r="AD294" s="9" t="s">
        <v>8702</v>
      </c>
      <c r="AE294" t="str">
        <f t="shared" si="12"/>
        <v>Medium</v>
      </c>
      <c r="AF294">
        <f>IF($A294="","",IFERROR(VLOOKUP($B294,_CONFIG_Risk_Calibration!$A$5:$H$21,2,FALSE),3))</f>
        <v>3</v>
      </c>
      <c r="AG294">
        <f>IF($A294="","",IFERROR(VLOOKUP($B294,_CONFIG_Risk_Calibration!$A$5:$H$21,3,FALSE),0))</f>
        <v>0</v>
      </c>
      <c r="AH294">
        <f>IF($A294="","",IFERROR(VLOOKUP($B294,_CONFIG_Risk_Calibration!$A$5:$H$21,4,FALSE),3))</f>
        <v>3</v>
      </c>
      <c r="AI294">
        <f>IF($A294="","",IFERROR(VLOOKUP($B294,_CONFIG_Risk_Calibration!$A$5:$H$21,5,FALSE),3))</f>
        <v>2</v>
      </c>
      <c r="AJ294" t="str">
        <f>IF($A294="","",IFERROR(VLOOKUP($B294,_CONFIG_Risk_Calibration!$A$5:$H$21,6,FALSE),"No"))</f>
        <v>No</v>
      </c>
      <c r="AK294">
        <f>IF($A294="","",IFERROR(VLOOKUP($B294,_CONFIG_Risk_Calibration!$A$5:$H$21,7,FALSE),1))</f>
        <v>1</v>
      </c>
      <c r="AL294" t="str">
        <f>IF($A294="","",IFERROR(VLOOKUP($B294,_CONFIG_Risk_Calibration!$A$5:$H$21,8,FALSE),""))</f>
        <v>Clean template default. Calibrate with real exposure, incident history, evidence quality and domain-owner validation.</v>
      </c>
      <c r="AM294">
        <f>IF($A294="","",IFERROR(INDEX(_DATA_Assessment_Model!$AL$1:$AL$428,MATCH($A294,_DATA_Assessment_Model!$A$1:$A$428,0)),""))</f>
        <v>0</v>
      </c>
      <c r="AN294">
        <f t="shared" si="13"/>
        <v>1</v>
      </c>
      <c r="AO294">
        <f>IF($A294="","",_CONFIG_Model_Settings!$B$172*MAX(N($AK294),(N($AF294)+N($AI294))/2))</f>
        <v>50</v>
      </c>
      <c r="AP294">
        <f t="shared" si="14"/>
        <v>50</v>
      </c>
      <c r="AQ294">
        <f>IF($AP294="","",MAX(0,$AP294*(1-(_CONFIG_Model_Settings!$B$173+_CONFIG_Model_Settings!$B$174*(N($AH294)-1)))))</f>
        <v>32.5</v>
      </c>
      <c r="AR294">
        <f>IF($AP294="","",MIN(100,$AP294*(1+(_CONFIG_Model_Settings!$B$173+_CONFIG_Model_Settings!$B$174*(N($AH294)-1)))))</f>
        <v>67.5</v>
      </c>
    </row>
    <row r="295" spans="1:44" ht="72" customHeight="1">
      <c r="A295" s="9" t="s">
        <v>2576</v>
      </c>
      <c r="B295" s="9" t="s">
        <v>2473</v>
      </c>
      <c r="C295" s="9" t="s">
        <v>2494</v>
      </c>
      <c r="D295" s="9" t="s">
        <v>3690</v>
      </c>
      <c r="E295" s="9" t="s">
        <v>2577</v>
      </c>
      <c r="F295" s="9" t="s">
        <v>8703</v>
      </c>
      <c r="G295" s="9" t="s">
        <v>8704</v>
      </c>
      <c r="H295" s="9" t="s">
        <v>8705</v>
      </c>
      <c r="I295" s="9" t="s">
        <v>8706</v>
      </c>
      <c r="J295" s="9" t="s">
        <v>8707</v>
      </c>
      <c r="K295" s="9" t="s">
        <v>8708</v>
      </c>
      <c r="L295" s="9" t="s">
        <v>8709</v>
      </c>
      <c r="M295" s="9" t="s">
        <v>8710</v>
      </c>
      <c r="N295" s="9" t="s">
        <v>8711</v>
      </c>
      <c r="O295" s="9" t="s">
        <v>8712</v>
      </c>
      <c r="P295" s="9" t="s">
        <v>8713</v>
      </c>
      <c r="Q295" s="9" t="s">
        <v>8714</v>
      </c>
      <c r="R295" s="9" t="s">
        <v>4589</v>
      </c>
      <c r="S295" s="9" t="s">
        <v>8715</v>
      </c>
      <c r="T295" s="9">
        <v>3</v>
      </c>
      <c r="U295" s="9">
        <v>3</v>
      </c>
      <c r="V295" s="9">
        <v>2</v>
      </c>
      <c r="W295" s="9">
        <v>2</v>
      </c>
      <c r="X295" s="9">
        <v>1</v>
      </c>
      <c r="Y295" s="9">
        <v>1</v>
      </c>
      <c r="Z295" s="9" t="s">
        <v>2478</v>
      </c>
      <c r="AA295" s="9" t="s">
        <v>2578</v>
      </c>
      <c r="AB295" s="9" t="s">
        <v>2486</v>
      </c>
      <c r="AC295" s="9" t="s">
        <v>8519</v>
      </c>
      <c r="AD295" s="9" t="s">
        <v>8716</v>
      </c>
      <c r="AE295" t="str">
        <f t="shared" si="12"/>
        <v>Medium</v>
      </c>
      <c r="AF295">
        <f>IF($A295="","",IFERROR(VLOOKUP($B295,_CONFIG_Risk_Calibration!$A$5:$H$21,2,FALSE),3))</f>
        <v>3</v>
      </c>
      <c r="AG295">
        <f>IF($A295="","",IFERROR(VLOOKUP($B295,_CONFIG_Risk_Calibration!$A$5:$H$21,3,FALSE),0))</f>
        <v>0</v>
      </c>
      <c r="AH295">
        <f>IF($A295="","",IFERROR(VLOOKUP($B295,_CONFIG_Risk_Calibration!$A$5:$H$21,4,FALSE),3))</f>
        <v>3</v>
      </c>
      <c r="AI295">
        <f>IF($A295="","",IFERROR(VLOOKUP($B295,_CONFIG_Risk_Calibration!$A$5:$H$21,5,FALSE),3))</f>
        <v>2</v>
      </c>
      <c r="AJ295" t="str">
        <f>IF($A295="","",IFERROR(VLOOKUP($B295,_CONFIG_Risk_Calibration!$A$5:$H$21,6,FALSE),"No"))</f>
        <v>No</v>
      </c>
      <c r="AK295">
        <f>IF($A295="","",IFERROR(VLOOKUP($B295,_CONFIG_Risk_Calibration!$A$5:$H$21,7,FALSE),1))</f>
        <v>1</v>
      </c>
      <c r="AL295" t="str">
        <f>IF($A295="","",IFERROR(VLOOKUP($B295,_CONFIG_Risk_Calibration!$A$5:$H$21,8,FALSE),""))</f>
        <v>Clean template default. Calibrate with real exposure, incident history, evidence quality and domain-owner validation.</v>
      </c>
      <c r="AM295">
        <f>IF($A295="","",IFERROR(INDEX(_DATA_Assessment_Model!$AL$1:$AL$428,MATCH($A295,_DATA_Assessment_Model!$A$1:$A$428,0)),""))</f>
        <v>0</v>
      </c>
      <c r="AN295">
        <f t="shared" si="13"/>
        <v>1</v>
      </c>
      <c r="AO295">
        <f>IF($A295="","",_CONFIG_Model_Settings!$B$172*MAX(N($AK295),(N($AF295)+N($AI295))/2))</f>
        <v>50</v>
      </c>
      <c r="AP295">
        <f t="shared" si="14"/>
        <v>50</v>
      </c>
      <c r="AQ295">
        <f>IF($AP295="","",MAX(0,$AP295*(1-(_CONFIG_Model_Settings!$B$173+_CONFIG_Model_Settings!$B$174*(N($AH295)-1)))))</f>
        <v>32.5</v>
      </c>
      <c r="AR295">
        <f>IF($AP295="","",MIN(100,$AP295*(1+(_CONFIG_Model_Settings!$B$173+_CONFIG_Model_Settings!$B$174*(N($AH295)-1)))))</f>
        <v>67.5</v>
      </c>
    </row>
    <row r="296" spans="1:44" ht="72" customHeight="1">
      <c r="A296" s="9" t="s">
        <v>2585</v>
      </c>
      <c r="B296" s="9" t="s">
        <v>2473</v>
      </c>
      <c r="C296" s="9" t="s">
        <v>2494</v>
      </c>
      <c r="D296" s="9" t="s">
        <v>3690</v>
      </c>
      <c r="E296" s="9" t="s">
        <v>2586</v>
      </c>
      <c r="F296" s="9" t="s">
        <v>8717</v>
      </c>
      <c r="G296" s="9" t="s">
        <v>8718</v>
      </c>
      <c r="H296" s="9" t="s">
        <v>8719</v>
      </c>
      <c r="I296" s="9" t="s">
        <v>8720</v>
      </c>
      <c r="J296" s="9" t="s">
        <v>8721</v>
      </c>
      <c r="K296" s="9" t="s">
        <v>8722</v>
      </c>
      <c r="L296" s="9" t="s">
        <v>8723</v>
      </c>
      <c r="M296" s="9" t="s">
        <v>8724</v>
      </c>
      <c r="N296" s="9" t="s">
        <v>8725</v>
      </c>
      <c r="O296" s="9" t="s">
        <v>8726</v>
      </c>
      <c r="P296" s="9" t="s">
        <v>8727</v>
      </c>
      <c r="Q296" s="9" t="s">
        <v>8728</v>
      </c>
      <c r="R296" s="9" t="s">
        <v>4589</v>
      </c>
      <c r="S296" s="9" t="s">
        <v>8729</v>
      </c>
      <c r="T296" s="9">
        <v>3</v>
      </c>
      <c r="U296" s="9">
        <v>3</v>
      </c>
      <c r="V296" s="9">
        <v>2</v>
      </c>
      <c r="W296" s="9">
        <v>2</v>
      </c>
      <c r="X296" s="9">
        <v>1</v>
      </c>
      <c r="Y296" s="9">
        <v>1</v>
      </c>
      <c r="Z296" s="9" t="s">
        <v>2478</v>
      </c>
      <c r="AA296" s="9" t="s">
        <v>2587</v>
      </c>
      <c r="AB296" s="9" t="s">
        <v>2486</v>
      </c>
      <c r="AC296" s="9" t="s">
        <v>8519</v>
      </c>
      <c r="AD296" s="9" t="s">
        <v>8730</v>
      </c>
      <c r="AE296" t="str">
        <f t="shared" si="12"/>
        <v>Medium</v>
      </c>
      <c r="AF296">
        <f>IF($A296="","",IFERROR(VLOOKUP($B296,_CONFIG_Risk_Calibration!$A$5:$H$21,2,FALSE),3))</f>
        <v>3</v>
      </c>
      <c r="AG296">
        <f>IF($A296="","",IFERROR(VLOOKUP($B296,_CONFIG_Risk_Calibration!$A$5:$H$21,3,FALSE),0))</f>
        <v>0</v>
      </c>
      <c r="AH296">
        <f>IF($A296="","",IFERROR(VLOOKUP($B296,_CONFIG_Risk_Calibration!$A$5:$H$21,4,FALSE),3))</f>
        <v>3</v>
      </c>
      <c r="AI296">
        <f>IF($A296="","",IFERROR(VLOOKUP($B296,_CONFIG_Risk_Calibration!$A$5:$H$21,5,FALSE),3))</f>
        <v>2</v>
      </c>
      <c r="AJ296" t="str">
        <f>IF($A296="","",IFERROR(VLOOKUP($B296,_CONFIG_Risk_Calibration!$A$5:$H$21,6,FALSE),"No"))</f>
        <v>No</v>
      </c>
      <c r="AK296">
        <f>IF($A296="","",IFERROR(VLOOKUP($B296,_CONFIG_Risk_Calibration!$A$5:$H$21,7,FALSE),1))</f>
        <v>1</v>
      </c>
      <c r="AL296" t="str">
        <f>IF($A296="","",IFERROR(VLOOKUP($B296,_CONFIG_Risk_Calibration!$A$5:$H$21,8,FALSE),""))</f>
        <v>Clean template default. Calibrate with real exposure, incident history, evidence quality and domain-owner validation.</v>
      </c>
      <c r="AM296">
        <f>IF($A296="","",IFERROR(INDEX(_DATA_Assessment_Model!$AL$1:$AL$428,MATCH($A296,_DATA_Assessment_Model!$A$1:$A$428,0)),""))</f>
        <v>0</v>
      </c>
      <c r="AN296">
        <f t="shared" si="13"/>
        <v>1</v>
      </c>
      <c r="AO296">
        <f>IF($A296="","",_CONFIG_Model_Settings!$B$172*MAX(N($AK296),(N($AF296)+N($AI296))/2))</f>
        <v>50</v>
      </c>
      <c r="AP296">
        <f t="shared" si="14"/>
        <v>50</v>
      </c>
      <c r="AQ296">
        <f>IF($AP296="","",MAX(0,$AP296*(1-(_CONFIG_Model_Settings!$B$173+_CONFIG_Model_Settings!$B$174*(N($AH296)-1)))))</f>
        <v>32.5</v>
      </c>
      <c r="AR296">
        <f>IF($AP296="","",MIN(100,$AP296*(1+(_CONFIG_Model_Settings!$B$173+_CONFIG_Model_Settings!$B$174*(N($AH296)-1)))))</f>
        <v>67.5</v>
      </c>
    </row>
    <row r="297" spans="1:44" ht="72" customHeight="1">
      <c r="A297" s="9" t="s">
        <v>2589</v>
      </c>
      <c r="B297" s="9" t="s">
        <v>2588</v>
      </c>
      <c r="C297" s="9" t="s">
        <v>2590</v>
      </c>
      <c r="D297" s="9" t="s">
        <v>4333</v>
      </c>
      <c r="E297" s="9" t="s">
        <v>2591</v>
      </c>
      <c r="F297" s="9" t="s">
        <v>8731</v>
      </c>
      <c r="G297" s="9" t="s">
        <v>8732</v>
      </c>
      <c r="H297" s="9" t="s">
        <v>8733</v>
      </c>
      <c r="I297" s="9" t="s">
        <v>8734</v>
      </c>
      <c r="J297" s="9" t="s">
        <v>8735</v>
      </c>
      <c r="K297" s="9" t="s">
        <v>8736</v>
      </c>
      <c r="L297" s="9" t="s">
        <v>8737</v>
      </c>
      <c r="M297" s="9" t="s">
        <v>8738</v>
      </c>
      <c r="N297" s="9" t="s">
        <v>8739</v>
      </c>
      <c r="O297" s="9" t="s">
        <v>8740</v>
      </c>
      <c r="P297" s="9" t="s">
        <v>8741</v>
      </c>
      <c r="Q297" s="9" t="s">
        <v>8742</v>
      </c>
      <c r="R297" s="9" t="s">
        <v>4589</v>
      </c>
      <c r="S297" s="9" t="s">
        <v>8743</v>
      </c>
      <c r="T297" s="9">
        <v>4</v>
      </c>
      <c r="U297" s="9">
        <v>3</v>
      </c>
      <c r="V297" s="9">
        <v>3</v>
      </c>
      <c r="W297" s="9">
        <v>2</v>
      </c>
      <c r="X297" s="9">
        <v>1</v>
      </c>
      <c r="Y297" s="9">
        <v>1</v>
      </c>
      <c r="Z297" s="9" t="s">
        <v>2593</v>
      </c>
      <c r="AA297" s="9" t="s">
        <v>2594</v>
      </c>
      <c r="AB297" s="9" t="s">
        <v>2595</v>
      </c>
      <c r="AC297" s="9" t="s">
        <v>8744</v>
      </c>
      <c r="AD297" s="9" t="s">
        <v>8745</v>
      </c>
      <c r="AE297" t="str">
        <f t="shared" si="12"/>
        <v>Medium</v>
      </c>
      <c r="AF297">
        <f>IF($A297="","",IFERROR(VLOOKUP($B297,_CONFIG_Risk_Calibration!$A$5:$H$21,2,FALSE),3))</f>
        <v>3</v>
      </c>
      <c r="AG297">
        <f>IF($A297="","",IFERROR(VLOOKUP($B297,_CONFIG_Risk_Calibration!$A$5:$H$21,3,FALSE),0))</f>
        <v>0</v>
      </c>
      <c r="AH297">
        <f>IF($A297="","",IFERROR(VLOOKUP($B297,_CONFIG_Risk_Calibration!$A$5:$H$21,4,FALSE),3))</f>
        <v>3</v>
      </c>
      <c r="AI297">
        <f>IF($A297="","",IFERROR(VLOOKUP($B297,_CONFIG_Risk_Calibration!$A$5:$H$21,5,FALSE),3))</f>
        <v>4</v>
      </c>
      <c r="AJ297" t="str">
        <f>IF($A297="","",IFERROR(VLOOKUP($B297,_CONFIG_Risk_Calibration!$A$5:$H$21,6,FALSE),"No"))</f>
        <v>Yes</v>
      </c>
      <c r="AK297">
        <f>IF($A297="","",IFERROR(VLOOKUP($B297,_CONFIG_Risk_Calibration!$A$5:$H$21,7,FALSE),1))</f>
        <v>4</v>
      </c>
      <c r="AL297" t="str">
        <f>IF($A297="","",IFERROR(VLOOKUP($B297,_CONFIG_Risk_Calibration!$A$5:$H$21,8,FALSE),""))</f>
        <v>Clean template default. Calibrate with real exposure, incident history, evidence quality and domain-owner validation.</v>
      </c>
      <c r="AM297">
        <f>IF($A297="","",IFERROR(INDEX(_DATA_Assessment_Model!$AL$1:$AL$428,MATCH($A297,_DATA_Assessment_Model!$A$1:$A$428,0)),""))</f>
        <v>0</v>
      </c>
      <c r="AN297">
        <f t="shared" si="13"/>
        <v>1</v>
      </c>
      <c r="AO297">
        <f>IF($A297="","",_CONFIG_Model_Settings!$B$172*MAX(N($AK297),(N($AF297)+N($AI297))/2))</f>
        <v>80</v>
      </c>
      <c r="AP297">
        <f t="shared" si="14"/>
        <v>80</v>
      </c>
      <c r="AQ297">
        <f>IF($AP297="","",MAX(0,$AP297*(1-(_CONFIG_Model_Settings!$B$173+_CONFIG_Model_Settings!$B$174*(N($AH297)-1)))))</f>
        <v>52</v>
      </c>
      <c r="AR297">
        <f>IF($AP297="","",MIN(100,$AP297*(1+(_CONFIG_Model_Settings!$B$173+_CONFIG_Model_Settings!$B$174*(N($AH297)-1)))))</f>
        <v>100</v>
      </c>
    </row>
    <row r="298" spans="1:44" ht="72" customHeight="1">
      <c r="A298" s="9" t="s">
        <v>2596</v>
      </c>
      <c r="B298" s="9" t="s">
        <v>2588</v>
      </c>
      <c r="C298" s="9" t="s">
        <v>2590</v>
      </c>
      <c r="D298" s="9" t="s">
        <v>4333</v>
      </c>
      <c r="E298" s="9" t="s">
        <v>2597</v>
      </c>
      <c r="F298" s="9" t="s">
        <v>8746</v>
      </c>
      <c r="G298" s="9" t="s">
        <v>8747</v>
      </c>
      <c r="H298" s="9" t="s">
        <v>8748</v>
      </c>
      <c r="I298" s="9" t="s">
        <v>8749</v>
      </c>
      <c r="J298" s="9" t="s">
        <v>8750</v>
      </c>
      <c r="K298" s="9" t="s">
        <v>8751</v>
      </c>
      <c r="L298" s="9" t="s">
        <v>8752</v>
      </c>
      <c r="M298" s="9" t="s">
        <v>8753</v>
      </c>
      <c r="N298" s="9" t="s">
        <v>8754</v>
      </c>
      <c r="O298" s="9" t="s">
        <v>8755</v>
      </c>
      <c r="P298" s="9" t="s">
        <v>8756</v>
      </c>
      <c r="Q298" s="9" t="s">
        <v>8757</v>
      </c>
      <c r="R298" s="9" t="s">
        <v>4589</v>
      </c>
      <c r="S298" s="9" t="s">
        <v>8758</v>
      </c>
      <c r="T298" s="9">
        <v>4</v>
      </c>
      <c r="U298" s="9">
        <v>3</v>
      </c>
      <c r="V298" s="9">
        <v>3</v>
      </c>
      <c r="W298" s="9">
        <v>2</v>
      </c>
      <c r="X298" s="9">
        <v>1</v>
      </c>
      <c r="Y298" s="9">
        <v>1</v>
      </c>
      <c r="Z298" s="9" t="s">
        <v>2593</v>
      </c>
      <c r="AA298" s="9" t="s">
        <v>2598</v>
      </c>
      <c r="AB298" s="9" t="s">
        <v>2595</v>
      </c>
      <c r="AC298" s="9" t="s">
        <v>8744</v>
      </c>
      <c r="AD298" s="9" t="s">
        <v>8759</v>
      </c>
      <c r="AE298" t="str">
        <f t="shared" si="12"/>
        <v>Medium</v>
      </c>
      <c r="AF298">
        <f>IF($A298="","",IFERROR(VLOOKUP($B298,_CONFIG_Risk_Calibration!$A$5:$H$21,2,FALSE),3))</f>
        <v>3</v>
      </c>
      <c r="AG298">
        <f>IF($A298="","",IFERROR(VLOOKUP($B298,_CONFIG_Risk_Calibration!$A$5:$H$21,3,FALSE),0))</f>
        <v>0</v>
      </c>
      <c r="AH298">
        <f>IF($A298="","",IFERROR(VLOOKUP($B298,_CONFIG_Risk_Calibration!$A$5:$H$21,4,FALSE),3))</f>
        <v>3</v>
      </c>
      <c r="AI298">
        <f>IF($A298="","",IFERROR(VLOOKUP($B298,_CONFIG_Risk_Calibration!$A$5:$H$21,5,FALSE),3))</f>
        <v>4</v>
      </c>
      <c r="AJ298" t="str">
        <f>IF($A298="","",IFERROR(VLOOKUP($B298,_CONFIG_Risk_Calibration!$A$5:$H$21,6,FALSE),"No"))</f>
        <v>Yes</v>
      </c>
      <c r="AK298">
        <f>IF($A298="","",IFERROR(VLOOKUP($B298,_CONFIG_Risk_Calibration!$A$5:$H$21,7,FALSE),1))</f>
        <v>4</v>
      </c>
      <c r="AL298" t="str">
        <f>IF($A298="","",IFERROR(VLOOKUP($B298,_CONFIG_Risk_Calibration!$A$5:$H$21,8,FALSE),""))</f>
        <v>Clean template default. Calibrate with real exposure, incident history, evidence quality and domain-owner validation.</v>
      </c>
      <c r="AM298">
        <f>IF($A298="","",IFERROR(INDEX(_DATA_Assessment_Model!$AL$1:$AL$428,MATCH($A298,_DATA_Assessment_Model!$A$1:$A$428,0)),""))</f>
        <v>0</v>
      </c>
      <c r="AN298">
        <f t="shared" si="13"/>
        <v>1</v>
      </c>
      <c r="AO298">
        <f>IF($A298="","",_CONFIG_Model_Settings!$B$172*MAX(N($AK298),(N($AF298)+N($AI298))/2))</f>
        <v>80</v>
      </c>
      <c r="AP298">
        <f t="shared" si="14"/>
        <v>80</v>
      </c>
      <c r="AQ298">
        <f>IF($AP298="","",MAX(0,$AP298*(1-(_CONFIG_Model_Settings!$B$173+_CONFIG_Model_Settings!$B$174*(N($AH298)-1)))))</f>
        <v>52</v>
      </c>
      <c r="AR298">
        <f>IF($AP298="","",MIN(100,$AP298*(1+(_CONFIG_Model_Settings!$B$173+_CONFIG_Model_Settings!$B$174*(N($AH298)-1)))))</f>
        <v>100</v>
      </c>
    </row>
    <row r="299" spans="1:44" ht="72" customHeight="1">
      <c r="A299" s="9" t="s">
        <v>2600</v>
      </c>
      <c r="B299" s="9" t="s">
        <v>2588</v>
      </c>
      <c r="C299" s="9" t="s">
        <v>2590</v>
      </c>
      <c r="D299" s="9" t="s">
        <v>4333</v>
      </c>
      <c r="E299" s="9" t="s">
        <v>2601</v>
      </c>
      <c r="F299" s="9" t="s">
        <v>8760</v>
      </c>
      <c r="G299" s="9" t="s">
        <v>8761</v>
      </c>
      <c r="H299" s="9" t="s">
        <v>8762</v>
      </c>
      <c r="I299" s="9" t="s">
        <v>8763</v>
      </c>
      <c r="J299" s="9" t="s">
        <v>8764</v>
      </c>
      <c r="K299" s="9" t="s">
        <v>8765</v>
      </c>
      <c r="L299" s="9" t="s">
        <v>8766</v>
      </c>
      <c r="M299" s="9" t="s">
        <v>8767</v>
      </c>
      <c r="N299" s="9" t="s">
        <v>8768</v>
      </c>
      <c r="O299" s="9" t="s">
        <v>8769</v>
      </c>
      <c r="P299" s="9" t="s">
        <v>8770</v>
      </c>
      <c r="Q299" s="9" t="s">
        <v>8771</v>
      </c>
      <c r="R299" s="9" t="s">
        <v>4589</v>
      </c>
      <c r="S299" s="9" t="s">
        <v>8772</v>
      </c>
      <c r="T299" s="9">
        <v>4</v>
      </c>
      <c r="U299" s="9">
        <v>3</v>
      </c>
      <c r="V299" s="9">
        <v>3</v>
      </c>
      <c r="W299" s="9">
        <v>2</v>
      </c>
      <c r="X299" s="9">
        <v>1</v>
      </c>
      <c r="Y299" s="9">
        <v>1</v>
      </c>
      <c r="Z299" s="9" t="s">
        <v>2593</v>
      </c>
      <c r="AA299" s="9" t="s">
        <v>2602</v>
      </c>
      <c r="AB299" s="9" t="s">
        <v>2595</v>
      </c>
      <c r="AC299" s="9" t="s">
        <v>8744</v>
      </c>
      <c r="AD299" s="9" t="s">
        <v>8773</v>
      </c>
      <c r="AE299" t="str">
        <f t="shared" si="12"/>
        <v>Medium</v>
      </c>
      <c r="AF299">
        <f>IF($A299="","",IFERROR(VLOOKUP($B299,_CONFIG_Risk_Calibration!$A$5:$H$21,2,FALSE),3))</f>
        <v>3</v>
      </c>
      <c r="AG299">
        <f>IF($A299="","",IFERROR(VLOOKUP($B299,_CONFIG_Risk_Calibration!$A$5:$H$21,3,FALSE),0))</f>
        <v>0</v>
      </c>
      <c r="AH299">
        <f>IF($A299="","",IFERROR(VLOOKUP($B299,_CONFIG_Risk_Calibration!$A$5:$H$21,4,FALSE),3))</f>
        <v>3</v>
      </c>
      <c r="AI299">
        <f>IF($A299="","",IFERROR(VLOOKUP($B299,_CONFIG_Risk_Calibration!$A$5:$H$21,5,FALSE),3))</f>
        <v>4</v>
      </c>
      <c r="AJ299" t="str">
        <f>IF($A299="","",IFERROR(VLOOKUP($B299,_CONFIG_Risk_Calibration!$A$5:$H$21,6,FALSE),"No"))</f>
        <v>Yes</v>
      </c>
      <c r="AK299">
        <f>IF($A299="","",IFERROR(VLOOKUP($B299,_CONFIG_Risk_Calibration!$A$5:$H$21,7,FALSE),1))</f>
        <v>4</v>
      </c>
      <c r="AL299" t="str">
        <f>IF($A299="","",IFERROR(VLOOKUP($B299,_CONFIG_Risk_Calibration!$A$5:$H$21,8,FALSE),""))</f>
        <v>Clean template default. Calibrate with real exposure, incident history, evidence quality and domain-owner validation.</v>
      </c>
      <c r="AM299">
        <f>IF($A299="","",IFERROR(INDEX(_DATA_Assessment_Model!$AL$1:$AL$428,MATCH($A299,_DATA_Assessment_Model!$A$1:$A$428,0)),""))</f>
        <v>0</v>
      </c>
      <c r="AN299">
        <f t="shared" si="13"/>
        <v>1</v>
      </c>
      <c r="AO299">
        <f>IF($A299="","",_CONFIG_Model_Settings!$B$172*MAX(N($AK299),(N($AF299)+N($AI299))/2))</f>
        <v>80</v>
      </c>
      <c r="AP299">
        <f t="shared" si="14"/>
        <v>80</v>
      </c>
      <c r="AQ299">
        <f>IF($AP299="","",MAX(0,$AP299*(1-(_CONFIG_Model_Settings!$B$173+_CONFIG_Model_Settings!$B$174*(N($AH299)-1)))))</f>
        <v>52</v>
      </c>
      <c r="AR299">
        <f>IF($AP299="","",MIN(100,$AP299*(1+(_CONFIG_Model_Settings!$B$173+_CONFIG_Model_Settings!$B$174*(N($AH299)-1)))))</f>
        <v>100</v>
      </c>
    </row>
    <row r="300" spans="1:44" ht="72" customHeight="1">
      <c r="A300" s="9" t="s">
        <v>2610</v>
      </c>
      <c r="B300" s="9" t="s">
        <v>2588</v>
      </c>
      <c r="C300" s="9" t="s">
        <v>2590</v>
      </c>
      <c r="D300" s="9" t="s">
        <v>4333</v>
      </c>
      <c r="E300" s="9" t="s">
        <v>2611</v>
      </c>
      <c r="F300" s="9" t="s">
        <v>8774</v>
      </c>
      <c r="G300" s="9" t="s">
        <v>8775</v>
      </c>
      <c r="H300" s="9" t="s">
        <v>8776</v>
      </c>
      <c r="I300" s="9" t="s">
        <v>8777</v>
      </c>
      <c r="J300" s="9" t="s">
        <v>8778</v>
      </c>
      <c r="K300" s="9" t="s">
        <v>8779</v>
      </c>
      <c r="L300" s="9" t="s">
        <v>8780</v>
      </c>
      <c r="M300" s="9" t="s">
        <v>8781</v>
      </c>
      <c r="N300" s="9" t="s">
        <v>8782</v>
      </c>
      <c r="O300" s="9" t="s">
        <v>8783</v>
      </c>
      <c r="P300" s="9" t="s">
        <v>8784</v>
      </c>
      <c r="Q300" s="9" t="s">
        <v>8785</v>
      </c>
      <c r="R300" s="9" t="s">
        <v>4589</v>
      </c>
      <c r="S300" s="9" t="s">
        <v>8786</v>
      </c>
      <c r="T300" s="9">
        <v>4</v>
      </c>
      <c r="U300" s="9">
        <v>3</v>
      </c>
      <c r="V300" s="9">
        <v>3</v>
      </c>
      <c r="W300" s="9">
        <v>2</v>
      </c>
      <c r="X300" s="9">
        <v>1</v>
      </c>
      <c r="Y300" s="9">
        <v>1</v>
      </c>
      <c r="Z300" s="9" t="s">
        <v>2593</v>
      </c>
      <c r="AA300" s="9" t="s">
        <v>2612</v>
      </c>
      <c r="AB300" s="9" t="s">
        <v>2595</v>
      </c>
      <c r="AC300" s="9" t="s">
        <v>8744</v>
      </c>
      <c r="AD300" s="9" t="s">
        <v>8787</v>
      </c>
      <c r="AE300" t="str">
        <f t="shared" si="12"/>
        <v>Medium</v>
      </c>
      <c r="AF300">
        <f>IF($A300="","",IFERROR(VLOOKUP($B300,_CONFIG_Risk_Calibration!$A$5:$H$21,2,FALSE),3))</f>
        <v>3</v>
      </c>
      <c r="AG300">
        <f>IF($A300="","",IFERROR(VLOOKUP($B300,_CONFIG_Risk_Calibration!$A$5:$H$21,3,FALSE),0))</f>
        <v>0</v>
      </c>
      <c r="AH300">
        <f>IF($A300="","",IFERROR(VLOOKUP($B300,_CONFIG_Risk_Calibration!$A$5:$H$21,4,FALSE),3))</f>
        <v>3</v>
      </c>
      <c r="AI300">
        <f>IF($A300="","",IFERROR(VLOOKUP($B300,_CONFIG_Risk_Calibration!$A$5:$H$21,5,FALSE),3))</f>
        <v>4</v>
      </c>
      <c r="AJ300" t="str">
        <f>IF($A300="","",IFERROR(VLOOKUP($B300,_CONFIG_Risk_Calibration!$A$5:$H$21,6,FALSE),"No"))</f>
        <v>Yes</v>
      </c>
      <c r="AK300">
        <f>IF($A300="","",IFERROR(VLOOKUP($B300,_CONFIG_Risk_Calibration!$A$5:$H$21,7,FALSE),1))</f>
        <v>4</v>
      </c>
      <c r="AL300" t="str">
        <f>IF($A300="","",IFERROR(VLOOKUP($B300,_CONFIG_Risk_Calibration!$A$5:$H$21,8,FALSE),""))</f>
        <v>Clean template default. Calibrate with real exposure, incident history, evidence quality and domain-owner validation.</v>
      </c>
      <c r="AM300">
        <f>IF($A300="","",IFERROR(INDEX(_DATA_Assessment_Model!$AL$1:$AL$428,MATCH($A300,_DATA_Assessment_Model!$A$1:$A$428,0)),""))</f>
        <v>0</v>
      </c>
      <c r="AN300">
        <f t="shared" si="13"/>
        <v>1</v>
      </c>
      <c r="AO300">
        <f>IF($A300="","",_CONFIG_Model_Settings!$B$172*MAX(N($AK300),(N($AF300)+N($AI300))/2))</f>
        <v>80</v>
      </c>
      <c r="AP300">
        <f t="shared" si="14"/>
        <v>80</v>
      </c>
      <c r="AQ300">
        <f>IF($AP300="","",MAX(0,$AP300*(1-(_CONFIG_Model_Settings!$B$173+_CONFIG_Model_Settings!$B$174*(N($AH300)-1)))))</f>
        <v>52</v>
      </c>
      <c r="AR300">
        <f>IF($AP300="","",MIN(100,$AP300*(1+(_CONFIG_Model_Settings!$B$173+_CONFIG_Model_Settings!$B$174*(N($AH300)-1)))))</f>
        <v>100</v>
      </c>
    </row>
    <row r="301" spans="1:44" ht="72" customHeight="1">
      <c r="A301" s="9" t="s">
        <v>2614</v>
      </c>
      <c r="B301" s="9" t="s">
        <v>2588</v>
      </c>
      <c r="C301" s="9" t="s">
        <v>2590</v>
      </c>
      <c r="D301" s="9" t="s">
        <v>4333</v>
      </c>
      <c r="E301" s="9" t="s">
        <v>2615</v>
      </c>
      <c r="F301" s="9" t="s">
        <v>8788</v>
      </c>
      <c r="G301" s="9" t="s">
        <v>8789</v>
      </c>
      <c r="H301" s="9" t="s">
        <v>8790</v>
      </c>
      <c r="I301" s="9" t="s">
        <v>8791</v>
      </c>
      <c r="J301" s="9" t="s">
        <v>8792</v>
      </c>
      <c r="K301" s="9" t="s">
        <v>8793</v>
      </c>
      <c r="L301" s="9" t="s">
        <v>8794</v>
      </c>
      <c r="M301" s="9" t="s">
        <v>8795</v>
      </c>
      <c r="N301" s="9" t="s">
        <v>8796</v>
      </c>
      <c r="O301" s="9" t="s">
        <v>8797</v>
      </c>
      <c r="P301" s="9" t="s">
        <v>8798</v>
      </c>
      <c r="Q301" s="9" t="s">
        <v>8799</v>
      </c>
      <c r="R301" s="9" t="s">
        <v>4589</v>
      </c>
      <c r="S301" s="9" t="s">
        <v>8800</v>
      </c>
      <c r="T301" s="9">
        <v>4</v>
      </c>
      <c r="U301" s="9">
        <v>3</v>
      </c>
      <c r="V301" s="9">
        <v>3</v>
      </c>
      <c r="W301" s="9">
        <v>2</v>
      </c>
      <c r="X301" s="9">
        <v>1</v>
      </c>
      <c r="Y301" s="9">
        <v>1</v>
      </c>
      <c r="Z301" s="9" t="s">
        <v>2593</v>
      </c>
      <c r="AA301" s="9" t="s">
        <v>2616</v>
      </c>
      <c r="AB301" s="9" t="s">
        <v>2595</v>
      </c>
      <c r="AC301" s="9" t="s">
        <v>8744</v>
      </c>
      <c r="AD301" s="9" t="s">
        <v>8801</v>
      </c>
      <c r="AE301" t="str">
        <f t="shared" si="12"/>
        <v>Medium</v>
      </c>
      <c r="AF301">
        <f>IF($A301="","",IFERROR(VLOOKUP($B301,_CONFIG_Risk_Calibration!$A$5:$H$21,2,FALSE),3))</f>
        <v>3</v>
      </c>
      <c r="AG301">
        <f>IF($A301="","",IFERROR(VLOOKUP($B301,_CONFIG_Risk_Calibration!$A$5:$H$21,3,FALSE),0))</f>
        <v>0</v>
      </c>
      <c r="AH301">
        <f>IF($A301="","",IFERROR(VLOOKUP($B301,_CONFIG_Risk_Calibration!$A$5:$H$21,4,FALSE),3))</f>
        <v>3</v>
      </c>
      <c r="AI301">
        <f>IF($A301="","",IFERROR(VLOOKUP($B301,_CONFIG_Risk_Calibration!$A$5:$H$21,5,FALSE),3))</f>
        <v>4</v>
      </c>
      <c r="AJ301" t="str">
        <f>IF($A301="","",IFERROR(VLOOKUP($B301,_CONFIG_Risk_Calibration!$A$5:$H$21,6,FALSE),"No"))</f>
        <v>Yes</v>
      </c>
      <c r="AK301">
        <f>IF($A301="","",IFERROR(VLOOKUP($B301,_CONFIG_Risk_Calibration!$A$5:$H$21,7,FALSE),1))</f>
        <v>4</v>
      </c>
      <c r="AL301" t="str">
        <f>IF($A301="","",IFERROR(VLOOKUP($B301,_CONFIG_Risk_Calibration!$A$5:$H$21,8,FALSE),""))</f>
        <v>Clean template default. Calibrate with real exposure, incident history, evidence quality and domain-owner validation.</v>
      </c>
      <c r="AM301">
        <f>IF($A301="","",IFERROR(INDEX(_DATA_Assessment_Model!$AL$1:$AL$428,MATCH($A301,_DATA_Assessment_Model!$A$1:$A$428,0)),""))</f>
        <v>0</v>
      </c>
      <c r="AN301">
        <f t="shared" si="13"/>
        <v>1</v>
      </c>
      <c r="AO301">
        <f>IF($A301="","",_CONFIG_Model_Settings!$B$172*MAX(N($AK301),(N($AF301)+N($AI301))/2))</f>
        <v>80</v>
      </c>
      <c r="AP301">
        <f t="shared" si="14"/>
        <v>80</v>
      </c>
      <c r="AQ301">
        <f>IF($AP301="","",MAX(0,$AP301*(1-(_CONFIG_Model_Settings!$B$173+_CONFIG_Model_Settings!$B$174*(N($AH301)-1)))))</f>
        <v>52</v>
      </c>
      <c r="AR301">
        <f>IF($AP301="","",MIN(100,$AP301*(1+(_CONFIG_Model_Settings!$B$173+_CONFIG_Model_Settings!$B$174*(N($AH301)-1)))))</f>
        <v>100</v>
      </c>
    </row>
    <row r="302" spans="1:44" ht="72" customHeight="1">
      <c r="A302" s="9" t="s">
        <v>2624</v>
      </c>
      <c r="B302" s="9" t="s">
        <v>2588</v>
      </c>
      <c r="C302" s="9" t="s">
        <v>2590</v>
      </c>
      <c r="D302" s="9" t="s">
        <v>4333</v>
      </c>
      <c r="E302" s="9" t="s">
        <v>2625</v>
      </c>
      <c r="F302" s="9" t="s">
        <v>8802</v>
      </c>
      <c r="G302" s="9" t="s">
        <v>8803</v>
      </c>
      <c r="H302" s="9" t="s">
        <v>8804</v>
      </c>
      <c r="I302" s="9" t="s">
        <v>8805</v>
      </c>
      <c r="J302" s="9" t="s">
        <v>8806</v>
      </c>
      <c r="K302" s="9" t="s">
        <v>8807</v>
      </c>
      <c r="L302" s="9" t="s">
        <v>8808</v>
      </c>
      <c r="M302" s="9" t="s">
        <v>8809</v>
      </c>
      <c r="N302" s="9" t="s">
        <v>8810</v>
      </c>
      <c r="O302" s="9" t="s">
        <v>8811</v>
      </c>
      <c r="P302" s="9" t="s">
        <v>8812</v>
      </c>
      <c r="Q302" s="9" t="s">
        <v>8813</v>
      </c>
      <c r="R302" s="9" t="s">
        <v>4589</v>
      </c>
      <c r="S302" s="9" t="s">
        <v>8814</v>
      </c>
      <c r="T302" s="9">
        <v>4</v>
      </c>
      <c r="U302" s="9">
        <v>3</v>
      </c>
      <c r="V302" s="9">
        <v>3</v>
      </c>
      <c r="W302" s="9">
        <v>2</v>
      </c>
      <c r="X302" s="9">
        <v>1</v>
      </c>
      <c r="Y302" s="9">
        <v>1</v>
      </c>
      <c r="Z302" s="9" t="s">
        <v>2593</v>
      </c>
      <c r="AA302" s="9" t="s">
        <v>2626</v>
      </c>
      <c r="AB302" s="9" t="s">
        <v>2595</v>
      </c>
      <c r="AC302" s="9" t="s">
        <v>8744</v>
      </c>
      <c r="AD302" s="9" t="s">
        <v>8815</v>
      </c>
      <c r="AE302" t="str">
        <f t="shared" si="12"/>
        <v>Medium</v>
      </c>
      <c r="AF302">
        <f>IF($A302="","",IFERROR(VLOOKUP($B302,_CONFIG_Risk_Calibration!$A$5:$H$21,2,FALSE),3))</f>
        <v>3</v>
      </c>
      <c r="AG302">
        <f>IF($A302="","",IFERROR(VLOOKUP($B302,_CONFIG_Risk_Calibration!$A$5:$H$21,3,FALSE),0))</f>
        <v>0</v>
      </c>
      <c r="AH302">
        <f>IF($A302="","",IFERROR(VLOOKUP($B302,_CONFIG_Risk_Calibration!$A$5:$H$21,4,FALSE),3))</f>
        <v>3</v>
      </c>
      <c r="AI302">
        <f>IF($A302="","",IFERROR(VLOOKUP($B302,_CONFIG_Risk_Calibration!$A$5:$H$21,5,FALSE),3))</f>
        <v>4</v>
      </c>
      <c r="AJ302" t="str">
        <f>IF($A302="","",IFERROR(VLOOKUP($B302,_CONFIG_Risk_Calibration!$A$5:$H$21,6,FALSE),"No"))</f>
        <v>Yes</v>
      </c>
      <c r="AK302">
        <f>IF($A302="","",IFERROR(VLOOKUP($B302,_CONFIG_Risk_Calibration!$A$5:$H$21,7,FALSE),1))</f>
        <v>4</v>
      </c>
      <c r="AL302" t="str">
        <f>IF($A302="","",IFERROR(VLOOKUP($B302,_CONFIG_Risk_Calibration!$A$5:$H$21,8,FALSE),""))</f>
        <v>Clean template default. Calibrate with real exposure, incident history, evidence quality and domain-owner validation.</v>
      </c>
      <c r="AM302">
        <f>IF($A302="","",IFERROR(INDEX(_DATA_Assessment_Model!$AL$1:$AL$428,MATCH($A302,_DATA_Assessment_Model!$A$1:$A$428,0)),""))</f>
        <v>0</v>
      </c>
      <c r="AN302">
        <f t="shared" si="13"/>
        <v>1</v>
      </c>
      <c r="AO302">
        <f>IF($A302="","",_CONFIG_Model_Settings!$B$172*MAX(N($AK302),(N($AF302)+N($AI302))/2))</f>
        <v>80</v>
      </c>
      <c r="AP302">
        <f t="shared" si="14"/>
        <v>80</v>
      </c>
      <c r="AQ302">
        <f>IF($AP302="","",MAX(0,$AP302*(1-(_CONFIG_Model_Settings!$B$173+_CONFIG_Model_Settings!$B$174*(N($AH302)-1)))))</f>
        <v>52</v>
      </c>
      <c r="AR302">
        <f>IF($AP302="","",MIN(100,$AP302*(1+(_CONFIG_Model_Settings!$B$173+_CONFIG_Model_Settings!$B$174*(N($AH302)-1)))))</f>
        <v>100</v>
      </c>
    </row>
    <row r="303" spans="1:44" ht="72" customHeight="1">
      <c r="A303" s="9" t="s">
        <v>2633</v>
      </c>
      <c r="B303" s="9" t="s">
        <v>2588</v>
      </c>
      <c r="C303" s="9" t="s">
        <v>2599</v>
      </c>
      <c r="D303" s="9" t="s">
        <v>4333</v>
      </c>
      <c r="E303" s="9" t="s">
        <v>2634</v>
      </c>
      <c r="F303" s="9" t="s">
        <v>8816</v>
      </c>
      <c r="G303" s="9" t="s">
        <v>8817</v>
      </c>
      <c r="H303" s="9" t="s">
        <v>8818</v>
      </c>
      <c r="I303" s="9" t="s">
        <v>8819</v>
      </c>
      <c r="J303" s="9" t="s">
        <v>8820</v>
      </c>
      <c r="K303" s="9" t="s">
        <v>8821</v>
      </c>
      <c r="L303" s="9" t="s">
        <v>8822</v>
      </c>
      <c r="M303" s="9" t="s">
        <v>8823</v>
      </c>
      <c r="N303" s="9" t="s">
        <v>8824</v>
      </c>
      <c r="O303" s="9" t="s">
        <v>8825</v>
      </c>
      <c r="P303" s="9" t="s">
        <v>8826</v>
      </c>
      <c r="Q303" s="9" t="s">
        <v>8827</v>
      </c>
      <c r="R303" s="9" t="s">
        <v>4589</v>
      </c>
      <c r="S303" s="9" t="s">
        <v>8828</v>
      </c>
      <c r="T303" s="9">
        <v>4</v>
      </c>
      <c r="U303" s="9">
        <v>3</v>
      </c>
      <c r="V303" s="9">
        <v>3</v>
      </c>
      <c r="W303" s="9">
        <v>2</v>
      </c>
      <c r="X303" s="9">
        <v>1</v>
      </c>
      <c r="Y303" s="9">
        <v>1</v>
      </c>
      <c r="Z303" s="9" t="s">
        <v>2593</v>
      </c>
      <c r="AA303" s="9" t="s">
        <v>2635</v>
      </c>
      <c r="AB303" s="9" t="s">
        <v>2595</v>
      </c>
      <c r="AC303" s="9" t="s">
        <v>8744</v>
      </c>
      <c r="AD303" s="9" t="s">
        <v>8829</v>
      </c>
      <c r="AE303" t="str">
        <f t="shared" si="12"/>
        <v>Medium</v>
      </c>
      <c r="AF303">
        <f>IF($A303="","",IFERROR(VLOOKUP($B303,_CONFIG_Risk_Calibration!$A$5:$H$21,2,FALSE),3))</f>
        <v>3</v>
      </c>
      <c r="AG303">
        <f>IF($A303="","",IFERROR(VLOOKUP($B303,_CONFIG_Risk_Calibration!$A$5:$H$21,3,FALSE),0))</f>
        <v>0</v>
      </c>
      <c r="AH303">
        <f>IF($A303="","",IFERROR(VLOOKUP($B303,_CONFIG_Risk_Calibration!$A$5:$H$21,4,FALSE),3))</f>
        <v>3</v>
      </c>
      <c r="AI303">
        <f>IF($A303="","",IFERROR(VLOOKUP($B303,_CONFIG_Risk_Calibration!$A$5:$H$21,5,FALSE),3))</f>
        <v>4</v>
      </c>
      <c r="AJ303" t="str">
        <f>IF($A303="","",IFERROR(VLOOKUP($B303,_CONFIG_Risk_Calibration!$A$5:$H$21,6,FALSE),"No"))</f>
        <v>Yes</v>
      </c>
      <c r="AK303">
        <f>IF($A303="","",IFERROR(VLOOKUP($B303,_CONFIG_Risk_Calibration!$A$5:$H$21,7,FALSE),1))</f>
        <v>4</v>
      </c>
      <c r="AL303" t="str">
        <f>IF($A303="","",IFERROR(VLOOKUP($B303,_CONFIG_Risk_Calibration!$A$5:$H$21,8,FALSE),""))</f>
        <v>Clean template default. Calibrate with real exposure, incident history, evidence quality and domain-owner validation.</v>
      </c>
      <c r="AM303">
        <f>IF($A303="","",IFERROR(INDEX(_DATA_Assessment_Model!$AL$1:$AL$428,MATCH($A303,_DATA_Assessment_Model!$A$1:$A$428,0)),""))</f>
        <v>0</v>
      </c>
      <c r="AN303">
        <f t="shared" si="13"/>
        <v>1</v>
      </c>
      <c r="AO303">
        <f>IF($A303="","",_CONFIG_Model_Settings!$B$172*MAX(N($AK303),(N($AF303)+N($AI303))/2))</f>
        <v>80</v>
      </c>
      <c r="AP303">
        <f t="shared" si="14"/>
        <v>80</v>
      </c>
      <c r="AQ303">
        <f>IF($AP303="","",MAX(0,$AP303*(1-(_CONFIG_Model_Settings!$B$173+_CONFIG_Model_Settings!$B$174*(N($AH303)-1)))))</f>
        <v>52</v>
      </c>
      <c r="AR303">
        <f>IF($AP303="","",MIN(100,$AP303*(1+(_CONFIG_Model_Settings!$B$173+_CONFIG_Model_Settings!$B$174*(N($AH303)-1)))))</f>
        <v>100</v>
      </c>
    </row>
    <row r="304" spans="1:44" ht="72" customHeight="1">
      <c r="A304" s="9" t="s">
        <v>2636</v>
      </c>
      <c r="B304" s="9" t="s">
        <v>2588</v>
      </c>
      <c r="C304" s="9" t="s">
        <v>2599</v>
      </c>
      <c r="D304" s="9" t="s">
        <v>4333</v>
      </c>
      <c r="E304" s="9" t="s">
        <v>2637</v>
      </c>
      <c r="F304" s="9" t="s">
        <v>8830</v>
      </c>
      <c r="G304" s="9" t="s">
        <v>8831</v>
      </c>
      <c r="H304" s="9" t="s">
        <v>8832</v>
      </c>
      <c r="I304" s="9" t="s">
        <v>8833</v>
      </c>
      <c r="J304" s="9" t="s">
        <v>8834</v>
      </c>
      <c r="K304" s="9" t="s">
        <v>8835</v>
      </c>
      <c r="L304" s="9" t="s">
        <v>8836</v>
      </c>
      <c r="M304" s="9" t="s">
        <v>8837</v>
      </c>
      <c r="N304" s="9" t="s">
        <v>8838</v>
      </c>
      <c r="O304" s="9" t="s">
        <v>8839</v>
      </c>
      <c r="P304" s="9" t="s">
        <v>8840</v>
      </c>
      <c r="Q304" s="9" t="s">
        <v>8841</v>
      </c>
      <c r="R304" s="9" t="s">
        <v>4589</v>
      </c>
      <c r="S304" s="9" t="s">
        <v>8842</v>
      </c>
      <c r="T304" s="9">
        <v>4</v>
      </c>
      <c r="U304" s="9">
        <v>3</v>
      </c>
      <c r="V304" s="9">
        <v>3</v>
      </c>
      <c r="W304" s="9">
        <v>2</v>
      </c>
      <c r="X304" s="9">
        <v>1</v>
      </c>
      <c r="Y304" s="9">
        <v>1</v>
      </c>
      <c r="Z304" s="9" t="s">
        <v>2593</v>
      </c>
      <c r="AA304" s="9" t="s">
        <v>2638</v>
      </c>
      <c r="AB304" s="9" t="s">
        <v>2595</v>
      </c>
      <c r="AC304" s="9" t="s">
        <v>8744</v>
      </c>
      <c r="AD304" s="9" t="s">
        <v>8843</v>
      </c>
      <c r="AE304" t="str">
        <f t="shared" si="12"/>
        <v>Medium</v>
      </c>
      <c r="AF304">
        <f>IF($A304="","",IFERROR(VLOOKUP($B304,_CONFIG_Risk_Calibration!$A$5:$H$21,2,FALSE),3))</f>
        <v>3</v>
      </c>
      <c r="AG304">
        <f>IF($A304="","",IFERROR(VLOOKUP($B304,_CONFIG_Risk_Calibration!$A$5:$H$21,3,FALSE),0))</f>
        <v>0</v>
      </c>
      <c r="AH304">
        <f>IF($A304="","",IFERROR(VLOOKUP($B304,_CONFIG_Risk_Calibration!$A$5:$H$21,4,FALSE),3))</f>
        <v>3</v>
      </c>
      <c r="AI304">
        <f>IF($A304="","",IFERROR(VLOOKUP($B304,_CONFIG_Risk_Calibration!$A$5:$H$21,5,FALSE),3))</f>
        <v>4</v>
      </c>
      <c r="AJ304" t="str">
        <f>IF($A304="","",IFERROR(VLOOKUP($B304,_CONFIG_Risk_Calibration!$A$5:$H$21,6,FALSE),"No"))</f>
        <v>Yes</v>
      </c>
      <c r="AK304">
        <f>IF($A304="","",IFERROR(VLOOKUP($B304,_CONFIG_Risk_Calibration!$A$5:$H$21,7,FALSE),1))</f>
        <v>4</v>
      </c>
      <c r="AL304" t="str">
        <f>IF($A304="","",IFERROR(VLOOKUP($B304,_CONFIG_Risk_Calibration!$A$5:$H$21,8,FALSE),""))</f>
        <v>Clean template default. Calibrate with real exposure, incident history, evidence quality and domain-owner validation.</v>
      </c>
      <c r="AM304">
        <f>IF($A304="","",IFERROR(INDEX(_DATA_Assessment_Model!$AL$1:$AL$428,MATCH($A304,_DATA_Assessment_Model!$A$1:$A$428,0)),""))</f>
        <v>0</v>
      </c>
      <c r="AN304">
        <f t="shared" si="13"/>
        <v>1</v>
      </c>
      <c r="AO304">
        <f>IF($A304="","",_CONFIG_Model_Settings!$B$172*MAX(N($AK304),(N($AF304)+N($AI304))/2))</f>
        <v>80</v>
      </c>
      <c r="AP304">
        <f t="shared" si="14"/>
        <v>80</v>
      </c>
      <c r="AQ304">
        <f>IF($AP304="","",MAX(0,$AP304*(1-(_CONFIG_Model_Settings!$B$173+_CONFIG_Model_Settings!$B$174*(N($AH304)-1)))))</f>
        <v>52</v>
      </c>
      <c r="AR304">
        <f>IF($AP304="","",MIN(100,$AP304*(1+(_CONFIG_Model_Settings!$B$173+_CONFIG_Model_Settings!$B$174*(N($AH304)-1)))))</f>
        <v>100</v>
      </c>
    </row>
    <row r="305" spans="1:44" ht="72" customHeight="1">
      <c r="A305" s="9" t="s">
        <v>2639</v>
      </c>
      <c r="B305" s="9" t="s">
        <v>2588</v>
      </c>
      <c r="C305" s="9" t="s">
        <v>2599</v>
      </c>
      <c r="D305" s="9" t="s">
        <v>4333</v>
      </c>
      <c r="E305" s="9" t="s">
        <v>2640</v>
      </c>
      <c r="F305" s="9" t="s">
        <v>8844</v>
      </c>
      <c r="G305" s="9" t="s">
        <v>8845</v>
      </c>
      <c r="H305" s="9" t="s">
        <v>8846</v>
      </c>
      <c r="I305" s="9" t="s">
        <v>8847</v>
      </c>
      <c r="J305" s="9" t="s">
        <v>8848</v>
      </c>
      <c r="K305" s="9" t="s">
        <v>8849</v>
      </c>
      <c r="L305" s="9" t="s">
        <v>8850</v>
      </c>
      <c r="M305" s="9" t="s">
        <v>8851</v>
      </c>
      <c r="N305" s="9" t="s">
        <v>8852</v>
      </c>
      <c r="O305" s="9" t="s">
        <v>8853</v>
      </c>
      <c r="P305" s="9" t="s">
        <v>8854</v>
      </c>
      <c r="Q305" s="9" t="s">
        <v>8855</v>
      </c>
      <c r="R305" s="9" t="s">
        <v>4589</v>
      </c>
      <c r="S305" s="9" t="s">
        <v>8856</v>
      </c>
      <c r="T305" s="9">
        <v>4</v>
      </c>
      <c r="U305" s="9">
        <v>3</v>
      </c>
      <c r="V305" s="9">
        <v>3</v>
      </c>
      <c r="W305" s="9">
        <v>2</v>
      </c>
      <c r="X305" s="9">
        <v>1</v>
      </c>
      <c r="Y305" s="9">
        <v>1</v>
      </c>
      <c r="Z305" s="9" t="s">
        <v>2593</v>
      </c>
      <c r="AA305" s="9" t="s">
        <v>2641</v>
      </c>
      <c r="AB305" s="9" t="s">
        <v>2595</v>
      </c>
      <c r="AC305" s="9" t="s">
        <v>8744</v>
      </c>
      <c r="AD305" s="9" t="s">
        <v>8857</v>
      </c>
      <c r="AE305" t="str">
        <f t="shared" si="12"/>
        <v>Medium</v>
      </c>
      <c r="AF305">
        <f>IF($A305="","",IFERROR(VLOOKUP($B305,_CONFIG_Risk_Calibration!$A$5:$H$21,2,FALSE),3))</f>
        <v>3</v>
      </c>
      <c r="AG305">
        <f>IF($A305="","",IFERROR(VLOOKUP($B305,_CONFIG_Risk_Calibration!$A$5:$H$21,3,FALSE),0))</f>
        <v>0</v>
      </c>
      <c r="AH305">
        <f>IF($A305="","",IFERROR(VLOOKUP($B305,_CONFIG_Risk_Calibration!$A$5:$H$21,4,FALSE),3))</f>
        <v>3</v>
      </c>
      <c r="AI305">
        <f>IF($A305="","",IFERROR(VLOOKUP($B305,_CONFIG_Risk_Calibration!$A$5:$H$21,5,FALSE),3))</f>
        <v>4</v>
      </c>
      <c r="AJ305" t="str">
        <f>IF($A305="","",IFERROR(VLOOKUP($B305,_CONFIG_Risk_Calibration!$A$5:$H$21,6,FALSE),"No"))</f>
        <v>Yes</v>
      </c>
      <c r="AK305">
        <f>IF($A305="","",IFERROR(VLOOKUP($B305,_CONFIG_Risk_Calibration!$A$5:$H$21,7,FALSE),1))</f>
        <v>4</v>
      </c>
      <c r="AL305" t="str">
        <f>IF($A305="","",IFERROR(VLOOKUP($B305,_CONFIG_Risk_Calibration!$A$5:$H$21,8,FALSE),""))</f>
        <v>Clean template default. Calibrate with real exposure, incident history, evidence quality and domain-owner validation.</v>
      </c>
      <c r="AM305">
        <f>IF($A305="","",IFERROR(INDEX(_DATA_Assessment_Model!$AL$1:$AL$428,MATCH($A305,_DATA_Assessment_Model!$A$1:$A$428,0)),""))</f>
        <v>0</v>
      </c>
      <c r="AN305">
        <f t="shared" si="13"/>
        <v>1</v>
      </c>
      <c r="AO305">
        <f>IF($A305="","",_CONFIG_Model_Settings!$B$172*MAX(N($AK305),(N($AF305)+N($AI305))/2))</f>
        <v>80</v>
      </c>
      <c r="AP305">
        <f t="shared" si="14"/>
        <v>80</v>
      </c>
      <c r="AQ305">
        <f>IF($AP305="","",MAX(0,$AP305*(1-(_CONFIG_Model_Settings!$B$173+_CONFIG_Model_Settings!$B$174*(N($AH305)-1)))))</f>
        <v>52</v>
      </c>
      <c r="AR305">
        <f>IF($AP305="","",MIN(100,$AP305*(1+(_CONFIG_Model_Settings!$B$173+_CONFIG_Model_Settings!$B$174*(N($AH305)-1)))))</f>
        <v>100</v>
      </c>
    </row>
    <row r="306" spans="1:44" ht="72" customHeight="1">
      <c r="A306" s="9" t="s">
        <v>2642</v>
      </c>
      <c r="B306" s="9" t="s">
        <v>2588</v>
      </c>
      <c r="C306" s="9" t="s">
        <v>2599</v>
      </c>
      <c r="D306" s="9" t="s">
        <v>4333</v>
      </c>
      <c r="E306" s="9" t="s">
        <v>2643</v>
      </c>
      <c r="F306" s="9" t="s">
        <v>8858</v>
      </c>
      <c r="G306" s="9" t="s">
        <v>8859</v>
      </c>
      <c r="H306" s="9" t="s">
        <v>8860</v>
      </c>
      <c r="I306" s="9" t="s">
        <v>8861</v>
      </c>
      <c r="J306" s="9" t="s">
        <v>8862</v>
      </c>
      <c r="K306" s="9" t="s">
        <v>8863</v>
      </c>
      <c r="L306" s="9" t="s">
        <v>8864</v>
      </c>
      <c r="M306" s="9" t="s">
        <v>8865</v>
      </c>
      <c r="N306" s="9" t="s">
        <v>8866</v>
      </c>
      <c r="O306" s="9" t="s">
        <v>8867</v>
      </c>
      <c r="P306" s="9" t="s">
        <v>8868</v>
      </c>
      <c r="Q306" s="9" t="s">
        <v>8869</v>
      </c>
      <c r="R306" s="9" t="s">
        <v>4589</v>
      </c>
      <c r="S306" s="9" t="s">
        <v>8870</v>
      </c>
      <c r="T306" s="9">
        <v>4</v>
      </c>
      <c r="U306" s="9">
        <v>3</v>
      </c>
      <c r="V306" s="9">
        <v>3</v>
      </c>
      <c r="W306" s="9">
        <v>2</v>
      </c>
      <c r="X306" s="9">
        <v>1</v>
      </c>
      <c r="Y306" s="9">
        <v>1</v>
      </c>
      <c r="Z306" s="9" t="s">
        <v>2593</v>
      </c>
      <c r="AA306" s="9" t="s">
        <v>2644</v>
      </c>
      <c r="AB306" s="9" t="s">
        <v>2595</v>
      </c>
      <c r="AC306" s="9" t="s">
        <v>8744</v>
      </c>
      <c r="AD306" s="9" t="s">
        <v>8871</v>
      </c>
      <c r="AE306" t="str">
        <f t="shared" si="12"/>
        <v>Medium</v>
      </c>
      <c r="AF306">
        <f>IF($A306="","",IFERROR(VLOOKUP($B306,_CONFIG_Risk_Calibration!$A$5:$H$21,2,FALSE),3))</f>
        <v>3</v>
      </c>
      <c r="AG306">
        <f>IF($A306="","",IFERROR(VLOOKUP($B306,_CONFIG_Risk_Calibration!$A$5:$H$21,3,FALSE),0))</f>
        <v>0</v>
      </c>
      <c r="AH306">
        <f>IF($A306="","",IFERROR(VLOOKUP($B306,_CONFIG_Risk_Calibration!$A$5:$H$21,4,FALSE),3))</f>
        <v>3</v>
      </c>
      <c r="AI306">
        <f>IF($A306="","",IFERROR(VLOOKUP($B306,_CONFIG_Risk_Calibration!$A$5:$H$21,5,FALSE),3))</f>
        <v>4</v>
      </c>
      <c r="AJ306" t="str">
        <f>IF($A306="","",IFERROR(VLOOKUP($B306,_CONFIG_Risk_Calibration!$A$5:$H$21,6,FALSE),"No"))</f>
        <v>Yes</v>
      </c>
      <c r="AK306">
        <f>IF($A306="","",IFERROR(VLOOKUP($B306,_CONFIG_Risk_Calibration!$A$5:$H$21,7,FALSE),1))</f>
        <v>4</v>
      </c>
      <c r="AL306" t="str">
        <f>IF($A306="","",IFERROR(VLOOKUP($B306,_CONFIG_Risk_Calibration!$A$5:$H$21,8,FALSE),""))</f>
        <v>Clean template default. Calibrate with real exposure, incident history, evidence quality and domain-owner validation.</v>
      </c>
      <c r="AM306">
        <f>IF($A306="","",IFERROR(INDEX(_DATA_Assessment_Model!$AL$1:$AL$428,MATCH($A306,_DATA_Assessment_Model!$A$1:$A$428,0)),""))</f>
        <v>0</v>
      </c>
      <c r="AN306">
        <f t="shared" si="13"/>
        <v>1</v>
      </c>
      <c r="AO306">
        <f>IF($A306="","",_CONFIG_Model_Settings!$B$172*MAX(N($AK306),(N($AF306)+N($AI306))/2))</f>
        <v>80</v>
      </c>
      <c r="AP306">
        <f t="shared" si="14"/>
        <v>80</v>
      </c>
      <c r="AQ306">
        <f>IF($AP306="","",MAX(0,$AP306*(1-(_CONFIG_Model_Settings!$B$173+_CONFIG_Model_Settings!$B$174*(N($AH306)-1)))))</f>
        <v>52</v>
      </c>
      <c r="AR306">
        <f>IF($AP306="","",MIN(100,$AP306*(1+(_CONFIG_Model_Settings!$B$173+_CONFIG_Model_Settings!$B$174*(N($AH306)-1)))))</f>
        <v>100</v>
      </c>
    </row>
    <row r="307" spans="1:44" ht="72" customHeight="1">
      <c r="A307" s="9" t="s">
        <v>2645</v>
      </c>
      <c r="B307" s="9" t="s">
        <v>2588</v>
      </c>
      <c r="C307" s="9" t="s">
        <v>2599</v>
      </c>
      <c r="D307" s="9" t="s">
        <v>4333</v>
      </c>
      <c r="E307" s="9" t="s">
        <v>2646</v>
      </c>
      <c r="F307" s="9" t="s">
        <v>8872</v>
      </c>
      <c r="G307" s="9" t="s">
        <v>8873</v>
      </c>
      <c r="H307" s="9" t="s">
        <v>8874</v>
      </c>
      <c r="I307" s="9" t="s">
        <v>8875</v>
      </c>
      <c r="J307" s="9" t="s">
        <v>8876</v>
      </c>
      <c r="K307" s="9" t="s">
        <v>8877</v>
      </c>
      <c r="L307" s="9" t="s">
        <v>8878</v>
      </c>
      <c r="M307" s="9" t="s">
        <v>8879</v>
      </c>
      <c r="N307" s="9" t="s">
        <v>8880</v>
      </c>
      <c r="O307" s="9" t="s">
        <v>8881</v>
      </c>
      <c r="P307" s="9" t="s">
        <v>8882</v>
      </c>
      <c r="Q307" s="9" t="s">
        <v>8883</v>
      </c>
      <c r="R307" s="9" t="s">
        <v>4589</v>
      </c>
      <c r="S307" s="9" t="s">
        <v>8884</v>
      </c>
      <c r="T307" s="9">
        <v>4</v>
      </c>
      <c r="U307" s="9">
        <v>3</v>
      </c>
      <c r="V307" s="9">
        <v>3</v>
      </c>
      <c r="W307" s="9">
        <v>2</v>
      </c>
      <c r="X307" s="9">
        <v>1</v>
      </c>
      <c r="Y307" s="9">
        <v>1</v>
      </c>
      <c r="Z307" s="9" t="s">
        <v>2593</v>
      </c>
      <c r="AA307" s="9" t="s">
        <v>2647</v>
      </c>
      <c r="AB307" s="9" t="s">
        <v>2595</v>
      </c>
      <c r="AC307" s="9" t="s">
        <v>8744</v>
      </c>
      <c r="AD307" s="9" t="s">
        <v>8885</v>
      </c>
      <c r="AE307" t="str">
        <f t="shared" si="12"/>
        <v>Medium</v>
      </c>
      <c r="AF307">
        <f>IF($A307="","",IFERROR(VLOOKUP($B307,_CONFIG_Risk_Calibration!$A$5:$H$21,2,FALSE),3))</f>
        <v>3</v>
      </c>
      <c r="AG307">
        <f>IF($A307="","",IFERROR(VLOOKUP($B307,_CONFIG_Risk_Calibration!$A$5:$H$21,3,FALSE),0))</f>
        <v>0</v>
      </c>
      <c r="AH307">
        <f>IF($A307="","",IFERROR(VLOOKUP($B307,_CONFIG_Risk_Calibration!$A$5:$H$21,4,FALSE),3))</f>
        <v>3</v>
      </c>
      <c r="AI307">
        <f>IF($A307="","",IFERROR(VLOOKUP($B307,_CONFIG_Risk_Calibration!$A$5:$H$21,5,FALSE),3))</f>
        <v>4</v>
      </c>
      <c r="AJ307" t="str">
        <f>IF($A307="","",IFERROR(VLOOKUP($B307,_CONFIG_Risk_Calibration!$A$5:$H$21,6,FALSE),"No"))</f>
        <v>Yes</v>
      </c>
      <c r="AK307">
        <f>IF($A307="","",IFERROR(VLOOKUP($B307,_CONFIG_Risk_Calibration!$A$5:$H$21,7,FALSE),1))</f>
        <v>4</v>
      </c>
      <c r="AL307" t="str">
        <f>IF($A307="","",IFERROR(VLOOKUP($B307,_CONFIG_Risk_Calibration!$A$5:$H$21,8,FALSE),""))</f>
        <v>Clean template default. Calibrate with real exposure, incident history, evidence quality and domain-owner validation.</v>
      </c>
      <c r="AM307">
        <f>IF($A307="","",IFERROR(INDEX(_DATA_Assessment_Model!$AL$1:$AL$428,MATCH($A307,_DATA_Assessment_Model!$A$1:$A$428,0)),""))</f>
        <v>0</v>
      </c>
      <c r="AN307">
        <f t="shared" si="13"/>
        <v>1</v>
      </c>
      <c r="AO307">
        <f>IF($A307="","",_CONFIG_Model_Settings!$B$172*MAX(N($AK307),(N($AF307)+N($AI307))/2))</f>
        <v>80</v>
      </c>
      <c r="AP307">
        <f t="shared" si="14"/>
        <v>80</v>
      </c>
      <c r="AQ307">
        <f>IF($AP307="","",MAX(0,$AP307*(1-(_CONFIG_Model_Settings!$B$173+_CONFIG_Model_Settings!$B$174*(N($AH307)-1)))))</f>
        <v>52</v>
      </c>
      <c r="AR307">
        <f>IF($AP307="","",MIN(100,$AP307*(1+(_CONFIG_Model_Settings!$B$173+_CONFIG_Model_Settings!$B$174*(N($AH307)-1)))))</f>
        <v>100</v>
      </c>
    </row>
    <row r="308" spans="1:44" ht="72" customHeight="1">
      <c r="A308" s="9" t="s">
        <v>2648</v>
      </c>
      <c r="B308" s="9" t="s">
        <v>2588</v>
      </c>
      <c r="C308" s="9" t="s">
        <v>2609</v>
      </c>
      <c r="D308" s="9" t="s">
        <v>4333</v>
      </c>
      <c r="E308" s="9" t="s">
        <v>2649</v>
      </c>
      <c r="F308" s="9" t="s">
        <v>8886</v>
      </c>
      <c r="G308" s="9" t="s">
        <v>8887</v>
      </c>
      <c r="H308" s="9" t="s">
        <v>8888</v>
      </c>
      <c r="I308" s="9" t="s">
        <v>8889</v>
      </c>
      <c r="J308" s="9" t="s">
        <v>8890</v>
      </c>
      <c r="K308" s="9" t="s">
        <v>8891</v>
      </c>
      <c r="L308" s="9" t="s">
        <v>8892</v>
      </c>
      <c r="M308" s="9" t="s">
        <v>8893</v>
      </c>
      <c r="N308" s="9" t="s">
        <v>8894</v>
      </c>
      <c r="O308" s="9" t="s">
        <v>8895</v>
      </c>
      <c r="P308" s="9" t="s">
        <v>8896</v>
      </c>
      <c r="Q308" s="9" t="s">
        <v>8897</v>
      </c>
      <c r="R308" s="9" t="s">
        <v>4589</v>
      </c>
      <c r="S308" s="9" t="s">
        <v>8898</v>
      </c>
      <c r="T308" s="9">
        <v>4</v>
      </c>
      <c r="U308" s="9">
        <v>3</v>
      </c>
      <c r="V308" s="9">
        <v>3</v>
      </c>
      <c r="W308" s="9">
        <v>2</v>
      </c>
      <c r="X308" s="9">
        <v>1</v>
      </c>
      <c r="Y308" s="9">
        <v>1</v>
      </c>
      <c r="Z308" s="9" t="s">
        <v>2593</v>
      </c>
      <c r="AA308" s="9" t="s">
        <v>2650</v>
      </c>
      <c r="AB308" s="9" t="s">
        <v>2595</v>
      </c>
      <c r="AC308" s="9" t="s">
        <v>8744</v>
      </c>
      <c r="AD308" s="9" t="s">
        <v>8899</v>
      </c>
      <c r="AE308" t="str">
        <f t="shared" si="12"/>
        <v>Medium</v>
      </c>
      <c r="AF308">
        <f>IF($A308="","",IFERROR(VLOOKUP($B308,_CONFIG_Risk_Calibration!$A$5:$H$21,2,FALSE),3))</f>
        <v>3</v>
      </c>
      <c r="AG308">
        <f>IF($A308="","",IFERROR(VLOOKUP($B308,_CONFIG_Risk_Calibration!$A$5:$H$21,3,FALSE),0))</f>
        <v>0</v>
      </c>
      <c r="AH308">
        <f>IF($A308="","",IFERROR(VLOOKUP($B308,_CONFIG_Risk_Calibration!$A$5:$H$21,4,FALSE),3))</f>
        <v>3</v>
      </c>
      <c r="AI308">
        <f>IF($A308="","",IFERROR(VLOOKUP($B308,_CONFIG_Risk_Calibration!$A$5:$H$21,5,FALSE),3))</f>
        <v>4</v>
      </c>
      <c r="AJ308" t="str">
        <f>IF($A308="","",IFERROR(VLOOKUP($B308,_CONFIG_Risk_Calibration!$A$5:$H$21,6,FALSE),"No"))</f>
        <v>Yes</v>
      </c>
      <c r="AK308">
        <f>IF($A308="","",IFERROR(VLOOKUP($B308,_CONFIG_Risk_Calibration!$A$5:$H$21,7,FALSE),1))</f>
        <v>4</v>
      </c>
      <c r="AL308" t="str">
        <f>IF($A308="","",IFERROR(VLOOKUP($B308,_CONFIG_Risk_Calibration!$A$5:$H$21,8,FALSE),""))</f>
        <v>Clean template default. Calibrate with real exposure, incident history, evidence quality and domain-owner validation.</v>
      </c>
      <c r="AM308">
        <f>IF($A308="","",IFERROR(INDEX(_DATA_Assessment_Model!$AL$1:$AL$428,MATCH($A308,_DATA_Assessment_Model!$A$1:$A$428,0)),""))</f>
        <v>0</v>
      </c>
      <c r="AN308">
        <f t="shared" si="13"/>
        <v>1</v>
      </c>
      <c r="AO308">
        <f>IF($A308="","",_CONFIG_Model_Settings!$B$172*MAX(N($AK308),(N($AF308)+N($AI308))/2))</f>
        <v>80</v>
      </c>
      <c r="AP308">
        <f t="shared" si="14"/>
        <v>80</v>
      </c>
      <c r="AQ308">
        <f>IF($AP308="","",MAX(0,$AP308*(1-(_CONFIG_Model_Settings!$B$173+_CONFIG_Model_Settings!$B$174*(N($AH308)-1)))))</f>
        <v>52</v>
      </c>
      <c r="AR308">
        <f>IF($AP308="","",MIN(100,$AP308*(1+(_CONFIG_Model_Settings!$B$173+_CONFIG_Model_Settings!$B$174*(N($AH308)-1)))))</f>
        <v>100</v>
      </c>
    </row>
    <row r="309" spans="1:44" ht="72" customHeight="1">
      <c r="A309" s="9" t="s">
        <v>2651</v>
      </c>
      <c r="B309" s="9" t="s">
        <v>2588</v>
      </c>
      <c r="C309" s="9" t="s">
        <v>2609</v>
      </c>
      <c r="D309" s="9" t="s">
        <v>4333</v>
      </c>
      <c r="E309" s="9" t="s">
        <v>2652</v>
      </c>
      <c r="F309" s="9" t="s">
        <v>8900</v>
      </c>
      <c r="G309" s="9" t="s">
        <v>8901</v>
      </c>
      <c r="H309" s="9" t="s">
        <v>8902</v>
      </c>
      <c r="I309" s="9" t="s">
        <v>8903</v>
      </c>
      <c r="J309" s="9" t="s">
        <v>8904</v>
      </c>
      <c r="K309" s="9" t="s">
        <v>8905</v>
      </c>
      <c r="L309" s="9" t="s">
        <v>8906</v>
      </c>
      <c r="M309" s="9" t="s">
        <v>8907</v>
      </c>
      <c r="N309" s="9" t="s">
        <v>8908</v>
      </c>
      <c r="O309" s="9" t="s">
        <v>8909</v>
      </c>
      <c r="P309" s="9" t="s">
        <v>8910</v>
      </c>
      <c r="Q309" s="9" t="s">
        <v>8911</v>
      </c>
      <c r="R309" s="9" t="s">
        <v>4589</v>
      </c>
      <c r="S309" s="9" t="s">
        <v>8912</v>
      </c>
      <c r="T309" s="9">
        <v>4</v>
      </c>
      <c r="U309" s="9">
        <v>3</v>
      </c>
      <c r="V309" s="9">
        <v>3</v>
      </c>
      <c r="W309" s="9">
        <v>2</v>
      </c>
      <c r="X309" s="9">
        <v>1</v>
      </c>
      <c r="Y309" s="9">
        <v>1</v>
      </c>
      <c r="Z309" s="9" t="s">
        <v>2593</v>
      </c>
      <c r="AA309" s="9" t="s">
        <v>2653</v>
      </c>
      <c r="AB309" s="9" t="s">
        <v>2595</v>
      </c>
      <c r="AC309" s="9" t="s">
        <v>8744</v>
      </c>
      <c r="AD309" s="9" t="s">
        <v>8913</v>
      </c>
      <c r="AE309" t="str">
        <f t="shared" si="12"/>
        <v>Medium</v>
      </c>
      <c r="AF309">
        <f>IF($A309="","",IFERROR(VLOOKUP($B309,_CONFIG_Risk_Calibration!$A$5:$H$21,2,FALSE),3))</f>
        <v>3</v>
      </c>
      <c r="AG309">
        <f>IF($A309="","",IFERROR(VLOOKUP($B309,_CONFIG_Risk_Calibration!$A$5:$H$21,3,FALSE),0))</f>
        <v>0</v>
      </c>
      <c r="AH309">
        <f>IF($A309="","",IFERROR(VLOOKUP($B309,_CONFIG_Risk_Calibration!$A$5:$H$21,4,FALSE),3))</f>
        <v>3</v>
      </c>
      <c r="AI309">
        <f>IF($A309="","",IFERROR(VLOOKUP($B309,_CONFIG_Risk_Calibration!$A$5:$H$21,5,FALSE),3))</f>
        <v>4</v>
      </c>
      <c r="AJ309" t="str">
        <f>IF($A309="","",IFERROR(VLOOKUP($B309,_CONFIG_Risk_Calibration!$A$5:$H$21,6,FALSE),"No"))</f>
        <v>Yes</v>
      </c>
      <c r="AK309">
        <f>IF($A309="","",IFERROR(VLOOKUP($B309,_CONFIG_Risk_Calibration!$A$5:$H$21,7,FALSE),1))</f>
        <v>4</v>
      </c>
      <c r="AL309" t="str">
        <f>IF($A309="","",IFERROR(VLOOKUP($B309,_CONFIG_Risk_Calibration!$A$5:$H$21,8,FALSE),""))</f>
        <v>Clean template default. Calibrate with real exposure, incident history, evidence quality and domain-owner validation.</v>
      </c>
      <c r="AM309">
        <f>IF($A309="","",IFERROR(INDEX(_DATA_Assessment_Model!$AL$1:$AL$428,MATCH($A309,_DATA_Assessment_Model!$A$1:$A$428,0)),""))</f>
        <v>0</v>
      </c>
      <c r="AN309">
        <f t="shared" si="13"/>
        <v>1</v>
      </c>
      <c r="AO309">
        <f>IF($A309="","",_CONFIG_Model_Settings!$B$172*MAX(N($AK309),(N($AF309)+N($AI309))/2))</f>
        <v>80</v>
      </c>
      <c r="AP309">
        <f t="shared" si="14"/>
        <v>80</v>
      </c>
      <c r="AQ309">
        <f>IF($AP309="","",MAX(0,$AP309*(1-(_CONFIG_Model_Settings!$B$173+_CONFIG_Model_Settings!$B$174*(N($AH309)-1)))))</f>
        <v>52</v>
      </c>
      <c r="AR309">
        <f>IF($AP309="","",MIN(100,$AP309*(1+(_CONFIG_Model_Settings!$B$173+_CONFIG_Model_Settings!$B$174*(N($AH309)-1)))))</f>
        <v>100</v>
      </c>
    </row>
    <row r="310" spans="1:44" ht="72" customHeight="1">
      <c r="A310" s="9" t="s">
        <v>2660</v>
      </c>
      <c r="B310" s="9" t="s">
        <v>2588</v>
      </c>
      <c r="C310" s="9" t="s">
        <v>2609</v>
      </c>
      <c r="D310" s="9" t="s">
        <v>4333</v>
      </c>
      <c r="E310" s="9" t="s">
        <v>2661</v>
      </c>
      <c r="F310" s="9" t="s">
        <v>8914</v>
      </c>
      <c r="G310" s="9" t="s">
        <v>8915</v>
      </c>
      <c r="H310" s="9" t="s">
        <v>8916</v>
      </c>
      <c r="I310" s="9" t="s">
        <v>8917</v>
      </c>
      <c r="J310" s="9" t="s">
        <v>8918</v>
      </c>
      <c r="K310" s="9" t="s">
        <v>8919</v>
      </c>
      <c r="L310" s="9" t="s">
        <v>8920</v>
      </c>
      <c r="M310" s="9" t="s">
        <v>8921</v>
      </c>
      <c r="N310" s="9" t="s">
        <v>8922</v>
      </c>
      <c r="O310" s="9" t="s">
        <v>8923</v>
      </c>
      <c r="P310" s="9" t="s">
        <v>8924</v>
      </c>
      <c r="Q310" s="9" t="s">
        <v>8925</v>
      </c>
      <c r="R310" s="9" t="s">
        <v>4589</v>
      </c>
      <c r="S310" s="9" t="s">
        <v>8926</v>
      </c>
      <c r="T310" s="9">
        <v>4</v>
      </c>
      <c r="U310" s="9">
        <v>3</v>
      </c>
      <c r="V310" s="9">
        <v>3</v>
      </c>
      <c r="W310" s="9">
        <v>2</v>
      </c>
      <c r="X310" s="9">
        <v>1</v>
      </c>
      <c r="Y310" s="9">
        <v>1</v>
      </c>
      <c r="Z310" s="9" t="s">
        <v>2593</v>
      </c>
      <c r="AA310" s="9" t="s">
        <v>2662</v>
      </c>
      <c r="AB310" s="9" t="s">
        <v>2595</v>
      </c>
      <c r="AC310" s="9" t="s">
        <v>8744</v>
      </c>
      <c r="AD310" s="9" t="s">
        <v>8927</v>
      </c>
      <c r="AE310" t="str">
        <f t="shared" si="12"/>
        <v>Medium</v>
      </c>
      <c r="AF310">
        <f>IF($A310="","",IFERROR(VLOOKUP($B310,_CONFIG_Risk_Calibration!$A$5:$H$21,2,FALSE),3))</f>
        <v>3</v>
      </c>
      <c r="AG310">
        <f>IF($A310="","",IFERROR(VLOOKUP($B310,_CONFIG_Risk_Calibration!$A$5:$H$21,3,FALSE),0))</f>
        <v>0</v>
      </c>
      <c r="AH310">
        <f>IF($A310="","",IFERROR(VLOOKUP($B310,_CONFIG_Risk_Calibration!$A$5:$H$21,4,FALSE),3))</f>
        <v>3</v>
      </c>
      <c r="AI310">
        <f>IF($A310="","",IFERROR(VLOOKUP($B310,_CONFIG_Risk_Calibration!$A$5:$H$21,5,FALSE),3))</f>
        <v>4</v>
      </c>
      <c r="AJ310" t="str">
        <f>IF($A310="","",IFERROR(VLOOKUP($B310,_CONFIG_Risk_Calibration!$A$5:$H$21,6,FALSE),"No"))</f>
        <v>Yes</v>
      </c>
      <c r="AK310">
        <f>IF($A310="","",IFERROR(VLOOKUP($B310,_CONFIG_Risk_Calibration!$A$5:$H$21,7,FALSE),1))</f>
        <v>4</v>
      </c>
      <c r="AL310" t="str">
        <f>IF($A310="","",IFERROR(VLOOKUP($B310,_CONFIG_Risk_Calibration!$A$5:$H$21,8,FALSE),""))</f>
        <v>Clean template default. Calibrate with real exposure, incident history, evidence quality and domain-owner validation.</v>
      </c>
      <c r="AM310">
        <f>IF($A310="","",IFERROR(INDEX(_DATA_Assessment_Model!$AL$1:$AL$428,MATCH($A310,_DATA_Assessment_Model!$A$1:$A$428,0)),""))</f>
        <v>0</v>
      </c>
      <c r="AN310">
        <f t="shared" si="13"/>
        <v>1</v>
      </c>
      <c r="AO310">
        <f>IF($A310="","",_CONFIG_Model_Settings!$B$172*MAX(N($AK310),(N($AF310)+N($AI310))/2))</f>
        <v>80</v>
      </c>
      <c r="AP310">
        <f t="shared" si="14"/>
        <v>80</v>
      </c>
      <c r="AQ310">
        <f>IF($AP310="","",MAX(0,$AP310*(1-(_CONFIG_Model_Settings!$B$173+_CONFIG_Model_Settings!$B$174*(N($AH310)-1)))))</f>
        <v>52</v>
      </c>
      <c r="AR310">
        <f>IF($AP310="","",MIN(100,$AP310*(1+(_CONFIG_Model_Settings!$B$173+_CONFIG_Model_Settings!$B$174*(N($AH310)-1)))))</f>
        <v>100</v>
      </c>
    </row>
    <row r="311" spans="1:44" ht="72" customHeight="1">
      <c r="A311" s="9" t="s">
        <v>2663</v>
      </c>
      <c r="B311" s="9" t="s">
        <v>2588</v>
      </c>
      <c r="C311" s="9" t="s">
        <v>2609</v>
      </c>
      <c r="D311" s="9" t="s">
        <v>4333</v>
      </c>
      <c r="E311" s="9" t="s">
        <v>2664</v>
      </c>
      <c r="F311" s="9" t="s">
        <v>8928</v>
      </c>
      <c r="G311" s="9" t="s">
        <v>8929</v>
      </c>
      <c r="H311" s="9" t="s">
        <v>8930</v>
      </c>
      <c r="I311" s="9" t="s">
        <v>8931</v>
      </c>
      <c r="J311" s="9" t="s">
        <v>8932</v>
      </c>
      <c r="K311" s="9" t="s">
        <v>8933</v>
      </c>
      <c r="L311" s="9" t="s">
        <v>8934</v>
      </c>
      <c r="M311" s="9" t="s">
        <v>8935</v>
      </c>
      <c r="N311" s="9" t="s">
        <v>8936</v>
      </c>
      <c r="O311" s="9" t="s">
        <v>8937</v>
      </c>
      <c r="P311" s="9" t="s">
        <v>8938</v>
      </c>
      <c r="Q311" s="9" t="s">
        <v>8939</v>
      </c>
      <c r="R311" s="9" t="s">
        <v>4589</v>
      </c>
      <c r="S311" s="9" t="s">
        <v>8940</v>
      </c>
      <c r="T311" s="9">
        <v>4</v>
      </c>
      <c r="U311" s="9">
        <v>3</v>
      </c>
      <c r="V311" s="9">
        <v>3</v>
      </c>
      <c r="W311" s="9">
        <v>2</v>
      </c>
      <c r="X311" s="9">
        <v>1</v>
      </c>
      <c r="Y311" s="9">
        <v>1</v>
      </c>
      <c r="Z311" s="9" t="s">
        <v>2593</v>
      </c>
      <c r="AA311" s="9" t="s">
        <v>2665</v>
      </c>
      <c r="AB311" s="9" t="s">
        <v>2595</v>
      </c>
      <c r="AC311" s="9" t="s">
        <v>8744</v>
      </c>
      <c r="AD311" s="9" t="s">
        <v>8941</v>
      </c>
      <c r="AE311" t="str">
        <f t="shared" si="12"/>
        <v>Medium</v>
      </c>
      <c r="AF311">
        <f>IF($A311="","",IFERROR(VLOOKUP($B311,_CONFIG_Risk_Calibration!$A$5:$H$21,2,FALSE),3))</f>
        <v>3</v>
      </c>
      <c r="AG311">
        <f>IF($A311="","",IFERROR(VLOOKUP($B311,_CONFIG_Risk_Calibration!$A$5:$H$21,3,FALSE),0))</f>
        <v>0</v>
      </c>
      <c r="AH311">
        <f>IF($A311="","",IFERROR(VLOOKUP($B311,_CONFIG_Risk_Calibration!$A$5:$H$21,4,FALSE),3))</f>
        <v>3</v>
      </c>
      <c r="AI311">
        <f>IF($A311="","",IFERROR(VLOOKUP($B311,_CONFIG_Risk_Calibration!$A$5:$H$21,5,FALSE),3))</f>
        <v>4</v>
      </c>
      <c r="AJ311" t="str">
        <f>IF($A311="","",IFERROR(VLOOKUP($B311,_CONFIG_Risk_Calibration!$A$5:$H$21,6,FALSE),"No"))</f>
        <v>Yes</v>
      </c>
      <c r="AK311">
        <f>IF($A311="","",IFERROR(VLOOKUP($B311,_CONFIG_Risk_Calibration!$A$5:$H$21,7,FALSE),1))</f>
        <v>4</v>
      </c>
      <c r="AL311" t="str">
        <f>IF($A311="","",IFERROR(VLOOKUP($B311,_CONFIG_Risk_Calibration!$A$5:$H$21,8,FALSE),""))</f>
        <v>Clean template default. Calibrate with real exposure, incident history, evidence quality and domain-owner validation.</v>
      </c>
      <c r="AM311">
        <f>IF($A311="","",IFERROR(INDEX(_DATA_Assessment_Model!$AL$1:$AL$428,MATCH($A311,_DATA_Assessment_Model!$A$1:$A$428,0)),""))</f>
        <v>0</v>
      </c>
      <c r="AN311">
        <f t="shared" si="13"/>
        <v>1</v>
      </c>
      <c r="AO311">
        <f>IF($A311="","",_CONFIG_Model_Settings!$B$172*MAX(N($AK311),(N($AF311)+N($AI311))/2))</f>
        <v>80</v>
      </c>
      <c r="AP311">
        <f t="shared" si="14"/>
        <v>80</v>
      </c>
      <c r="AQ311">
        <f>IF($AP311="","",MAX(0,$AP311*(1-(_CONFIG_Model_Settings!$B$173+_CONFIG_Model_Settings!$B$174*(N($AH311)-1)))))</f>
        <v>52</v>
      </c>
      <c r="AR311">
        <f>IF($AP311="","",MIN(100,$AP311*(1+(_CONFIG_Model_Settings!$B$173+_CONFIG_Model_Settings!$B$174*(N($AH311)-1)))))</f>
        <v>100</v>
      </c>
    </row>
    <row r="312" spans="1:44" ht="72" customHeight="1">
      <c r="A312" s="9" t="s">
        <v>2666</v>
      </c>
      <c r="B312" s="9" t="s">
        <v>2588</v>
      </c>
      <c r="C312" s="9" t="s">
        <v>2609</v>
      </c>
      <c r="D312" s="9" t="s">
        <v>4333</v>
      </c>
      <c r="E312" s="9" t="s">
        <v>2667</v>
      </c>
      <c r="F312" s="9" t="s">
        <v>8942</v>
      </c>
      <c r="G312" s="9" t="s">
        <v>8943</v>
      </c>
      <c r="H312" s="9" t="s">
        <v>8944</v>
      </c>
      <c r="I312" s="9" t="s">
        <v>8945</v>
      </c>
      <c r="J312" s="9" t="s">
        <v>8946</v>
      </c>
      <c r="K312" s="9" t="s">
        <v>8947</v>
      </c>
      <c r="L312" s="9" t="s">
        <v>8948</v>
      </c>
      <c r="M312" s="9" t="s">
        <v>8949</v>
      </c>
      <c r="N312" s="9" t="s">
        <v>8950</v>
      </c>
      <c r="O312" s="9" t="s">
        <v>8951</v>
      </c>
      <c r="P312" s="9" t="s">
        <v>8952</v>
      </c>
      <c r="Q312" s="9" t="s">
        <v>8953</v>
      </c>
      <c r="R312" s="9" t="s">
        <v>4589</v>
      </c>
      <c r="S312" s="9" t="s">
        <v>8954</v>
      </c>
      <c r="T312" s="9">
        <v>4</v>
      </c>
      <c r="U312" s="9">
        <v>3</v>
      </c>
      <c r="V312" s="9">
        <v>3</v>
      </c>
      <c r="W312" s="9">
        <v>2</v>
      </c>
      <c r="X312" s="9">
        <v>1</v>
      </c>
      <c r="Y312" s="9">
        <v>1</v>
      </c>
      <c r="Z312" s="9" t="s">
        <v>2593</v>
      </c>
      <c r="AA312" s="9" t="s">
        <v>2668</v>
      </c>
      <c r="AB312" s="9" t="s">
        <v>2595</v>
      </c>
      <c r="AC312" s="9" t="s">
        <v>8744</v>
      </c>
      <c r="AD312" s="9" t="s">
        <v>8955</v>
      </c>
      <c r="AE312" t="str">
        <f t="shared" si="12"/>
        <v>Medium</v>
      </c>
      <c r="AF312">
        <f>IF($A312="","",IFERROR(VLOOKUP($B312,_CONFIG_Risk_Calibration!$A$5:$H$21,2,FALSE),3))</f>
        <v>3</v>
      </c>
      <c r="AG312">
        <f>IF($A312="","",IFERROR(VLOOKUP($B312,_CONFIG_Risk_Calibration!$A$5:$H$21,3,FALSE),0))</f>
        <v>0</v>
      </c>
      <c r="AH312">
        <f>IF($A312="","",IFERROR(VLOOKUP($B312,_CONFIG_Risk_Calibration!$A$5:$H$21,4,FALSE),3))</f>
        <v>3</v>
      </c>
      <c r="AI312">
        <f>IF($A312="","",IFERROR(VLOOKUP($B312,_CONFIG_Risk_Calibration!$A$5:$H$21,5,FALSE),3))</f>
        <v>4</v>
      </c>
      <c r="AJ312" t="str">
        <f>IF($A312="","",IFERROR(VLOOKUP($B312,_CONFIG_Risk_Calibration!$A$5:$H$21,6,FALSE),"No"))</f>
        <v>Yes</v>
      </c>
      <c r="AK312">
        <f>IF($A312="","",IFERROR(VLOOKUP($B312,_CONFIG_Risk_Calibration!$A$5:$H$21,7,FALSE),1))</f>
        <v>4</v>
      </c>
      <c r="AL312" t="str">
        <f>IF($A312="","",IFERROR(VLOOKUP($B312,_CONFIG_Risk_Calibration!$A$5:$H$21,8,FALSE),""))</f>
        <v>Clean template default. Calibrate with real exposure, incident history, evidence quality and domain-owner validation.</v>
      </c>
      <c r="AM312">
        <f>IF($A312="","",IFERROR(INDEX(_DATA_Assessment_Model!$AL$1:$AL$428,MATCH($A312,_DATA_Assessment_Model!$A$1:$A$428,0)),""))</f>
        <v>0</v>
      </c>
      <c r="AN312">
        <f t="shared" si="13"/>
        <v>1</v>
      </c>
      <c r="AO312">
        <f>IF($A312="","",_CONFIG_Model_Settings!$B$172*MAX(N($AK312),(N($AF312)+N($AI312))/2))</f>
        <v>80</v>
      </c>
      <c r="AP312">
        <f t="shared" si="14"/>
        <v>80</v>
      </c>
      <c r="AQ312">
        <f>IF($AP312="","",MAX(0,$AP312*(1-(_CONFIG_Model_Settings!$B$173+_CONFIG_Model_Settings!$B$174*(N($AH312)-1)))))</f>
        <v>52</v>
      </c>
      <c r="AR312">
        <f>IF($AP312="","",MIN(100,$AP312*(1+(_CONFIG_Model_Settings!$B$173+_CONFIG_Model_Settings!$B$174*(N($AH312)-1)))))</f>
        <v>100</v>
      </c>
    </row>
    <row r="313" spans="1:44" ht="72" customHeight="1">
      <c r="A313" s="9" t="s">
        <v>2669</v>
      </c>
      <c r="B313" s="9" t="s">
        <v>2588</v>
      </c>
      <c r="C313" s="9" t="s">
        <v>2609</v>
      </c>
      <c r="D313" s="9" t="s">
        <v>4333</v>
      </c>
      <c r="E313" s="9" t="s">
        <v>2670</v>
      </c>
      <c r="F313" s="9" t="s">
        <v>8956</v>
      </c>
      <c r="G313" s="9" t="s">
        <v>8957</v>
      </c>
      <c r="H313" s="9" t="s">
        <v>8958</v>
      </c>
      <c r="I313" s="9" t="s">
        <v>8959</v>
      </c>
      <c r="J313" s="9" t="s">
        <v>8960</v>
      </c>
      <c r="K313" s="9" t="s">
        <v>8961</v>
      </c>
      <c r="L313" s="9" t="s">
        <v>8962</v>
      </c>
      <c r="M313" s="9" t="s">
        <v>8963</v>
      </c>
      <c r="N313" s="9" t="s">
        <v>8964</v>
      </c>
      <c r="O313" s="9" t="s">
        <v>8965</v>
      </c>
      <c r="P313" s="9" t="s">
        <v>8966</v>
      </c>
      <c r="Q313" s="9" t="s">
        <v>8967</v>
      </c>
      <c r="R313" s="9" t="s">
        <v>4589</v>
      </c>
      <c r="S313" s="9" t="s">
        <v>8968</v>
      </c>
      <c r="T313" s="9">
        <v>4</v>
      </c>
      <c r="U313" s="9">
        <v>3</v>
      </c>
      <c r="V313" s="9">
        <v>3</v>
      </c>
      <c r="W313" s="9">
        <v>2</v>
      </c>
      <c r="X313" s="9">
        <v>1</v>
      </c>
      <c r="Y313" s="9">
        <v>1</v>
      </c>
      <c r="Z313" s="9" t="s">
        <v>2593</v>
      </c>
      <c r="AA313" s="9" t="s">
        <v>2671</v>
      </c>
      <c r="AB313" s="9" t="s">
        <v>2595</v>
      </c>
      <c r="AC313" s="9" t="s">
        <v>8744</v>
      </c>
      <c r="AD313" s="9" t="s">
        <v>8969</v>
      </c>
      <c r="AE313" t="str">
        <f t="shared" si="12"/>
        <v>Medium</v>
      </c>
      <c r="AF313">
        <f>IF($A313="","",IFERROR(VLOOKUP($B313,_CONFIG_Risk_Calibration!$A$5:$H$21,2,FALSE),3))</f>
        <v>3</v>
      </c>
      <c r="AG313">
        <f>IF($A313="","",IFERROR(VLOOKUP($B313,_CONFIG_Risk_Calibration!$A$5:$H$21,3,FALSE),0))</f>
        <v>0</v>
      </c>
      <c r="AH313">
        <f>IF($A313="","",IFERROR(VLOOKUP($B313,_CONFIG_Risk_Calibration!$A$5:$H$21,4,FALSE),3))</f>
        <v>3</v>
      </c>
      <c r="AI313">
        <f>IF($A313="","",IFERROR(VLOOKUP($B313,_CONFIG_Risk_Calibration!$A$5:$H$21,5,FALSE),3))</f>
        <v>4</v>
      </c>
      <c r="AJ313" t="str">
        <f>IF($A313="","",IFERROR(VLOOKUP($B313,_CONFIG_Risk_Calibration!$A$5:$H$21,6,FALSE),"No"))</f>
        <v>Yes</v>
      </c>
      <c r="AK313">
        <f>IF($A313="","",IFERROR(VLOOKUP($B313,_CONFIG_Risk_Calibration!$A$5:$H$21,7,FALSE),1))</f>
        <v>4</v>
      </c>
      <c r="AL313" t="str">
        <f>IF($A313="","",IFERROR(VLOOKUP($B313,_CONFIG_Risk_Calibration!$A$5:$H$21,8,FALSE),""))</f>
        <v>Clean template default. Calibrate with real exposure, incident history, evidence quality and domain-owner validation.</v>
      </c>
      <c r="AM313">
        <f>IF($A313="","",IFERROR(INDEX(_DATA_Assessment_Model!$AL$1:$AL$428,MATCH($A313,_DATA_Assessment_Model!$A$1:$A$428,0)),""))</f>
        <v>0</v>
      </c>
      <c r="AN313">
        <f t="shared" si="13"/>
        <v>1</v>
      </c>
      <c r="AO313">
        <f>IF($A313="","",_CONFIG_Model_Settings!$B$172*MAX(N($AK313),(N($AF313)+N($AI313))/2))</f>
        <v>80</v>
      </c>
      <c r="AP313">
        <f t="shared" si="14"/>
        <v>80</v>
      </c>
      <c r="AQ313">
        <f>IF($AP313="","",MAX(0,$AP313*(1-(_CONFIG_Model_Settings!$B$173+_CONFIG_Model_Settings!$B$174*(N($AH313)-1)))))</f>
        <v>52</v>
      </c>
      <c r="AR313">
        <f>IF($AP313="","",MIN(100,$AP313*(1+(_CONFIG_Model_Settings!$B$173+_CONFIG_Model_Settings!$B$174*(N($AH313)-1)))))</f>
        <v>100</v>
      </c>
    </row>
    <row r="314" spans="1:44" ht="72" customHeight="1">
      <c r="A314" s="9" t="s">
        <v>2672</v>
      </c>
      <c r="B314" s="9" t="s">
        <v>2588</v>
      </c>
      <c r="C314" s="9" t="s">
        <v>2613</v>
      </c>
      <c r="D314" s="9" t="s">
        <v>4333</v>
      </c>
      <c r="E314" s="9" t="s">
        <v>2673</v>
      </c>
      <c r="F314" s="9" t="s">
        <v>8970</v>
      </c>
      <c r="G314" s="9" t="s">
        <v>8971</v>
      </c>
      <c r="H314" s="9" t="s">
        <v>8972</v>
      </c>
      <c r="I314" s="9" t="s">
        <v>8973</v>
      </c>
      <c r="J314" s="9" t="s">
        <v>8974</v>
      </c>
      <c r="K314" s="9" t="s">
        <v>8975</v>
      </c>
      <c r="L314" s="9" t="s">
        <v>8976</v>
      </c>
      <c r="M314" s="9" t="s">
        <v>8977</v>
      </c>
      <c r="N314" s="9" t="s">
        <v>8978</v>
      </c>
      <c r="O314" s="9" t="s">
        <v>8979</v>
      </c>
      <c r="P314" s="9" t="s">
        <v>8980</v>
      </c>
      <c r="Q314" s="9" t="s">
        <v>8981</v>
      </c>
      <c r="R314" s="9" t="s">
        <v>4589</v>
      </c>
      <c r="S314" s="9" t="s">
        <v>8982</v>
      </c>
      <c r="T314" s="9">
        <v>4</v>
      </c>
      <c r="U314" s="9">
        <v>3</v>
      </c>
      <c r="V314" s="9">
        <v>3</v>
      </c>
      <c r="W314" s="9">
        <v>2</v>
      </c>
      <c r="X314" s="9">
        <v>1</v>
      </c>
      <c r="Y314" s="9">
        <v>1</v>
      </c>
      <c r="Z314" s="9" t="s">
        <v>2593</v>
      </c>
      <c r="AA314" s="9" t="s">
        <v>2674</v>
      </c>
      <c r="AB314" s="9" t="s">
        <v>2595</v>
      </c>
      <c r="AC314" s="9" t="s">
        <v>8744</v>
      </c>
      <c r="AD314" s="9" t="s">
        <v>8983</v>
      </c>
      <c r="AE314" t="str">
        <f t="shared" si="12"/>
        <v>Medium</v>
      </c>
      <c r="AF314">
        <f>IF($A314="","",IFERROR(VLOOKUP($B314,_CONFIG_Risk_Calibration!$A$5:$H$21,2,FALSE),3))</f>
        <v>3</v>
      </c>
      <c r="AG314">
        <f>IF($A314="","",IFERROR(VLOOKUP($B314,_CONFIG_Risk_Calibration!$A$5:$H$21,3,FALSE),0))</f>
        <v>0</v>
      </c>
      <c r="AH314">
        <f>IF($A314="","",IFERROR(VLOOKUP($B314,_CONFIG_Risk_Calibration!$A$5:$H$21,4,FALSE),3))</f>
        <v>3</v>
      </c>
      <c r="AI314">
        <f>IF($A314="","",IFERROR(VLOOKUP($B314,_CONFIG_Risk_Calibration!$A$5:$H$21,5,FALSE),3))</f>
        <v>4</v>
      </c>
      <c r="AJ314" t="str">
        <f>IF($A314="","",IFERROR(VLOOKUP($B314,_CONFIG_Risk_Calibration!$A$5:$H$21,6,FALSE),"No"))</f>
        <v>Yes</v>
      </c>
      <c r="AK314">
        <f>IF($A314="","",IFERROR(VLOOKUP($B314,_CONFIG_Risk_Calibration!$A$5:$H$21,7,FALSE),1))</f>
        <v>4</v>
      </c>
      <c r="AL314" t="str">
        <f>IF($A314="","",IFERROR(VLOOKUP($B314,_CONFIG_Risk_Calibration!$A$5:$H$21,8,FALSE),""))</f>
        <v>Clean template default. Calibrate with real exposure, incident history, evidence quality and domain-owner validation.</v>
      </c>
      <c r="AM314">
        <f>IF($A314="","",IFERROR(INDEX(_DATA_Assessment_Model!$AL$1:$AL$428,MATCH($A314,_DATA_Assessment_Model!$A$1:$A$428,0)),""))</f>
        <v>0</v>
      </c>
      <c r="AN314">
        <f t="shared" si="13"/>
        <v>1</v>
      </c>
      <c r="AO314">
        <f>IF($A314="","",_CONFIG_Model_Settings!$B$172*MAX(N($AK314),(N($AF314)+N($AI314))/2))</f>
        <v>80</v>
      </c>
      <c r="AP314">
        <f t="shared" si="14"/>
        <v>80</v>
      </c>
      <c r="AQ314">
        <f>IF($AP314="","",MAX(0,$AP314*(1-(_CONFIG_Model_Settings!$B$173+_CONFIG_Model_Settings!$B$174*(N($AH314)-1)))))</f>
        <v>52</v>
      </c>
      <c r="AR314">
        <f>IF($AP314="","",MIN(100,$AP314*(1+(_CONFIG_Model_Settings!$B$173+_CONFIG_Model_Settings!$B$174*(N($AH314)-1)))))</f>
        <v>100</v>
      </c>
    </row>
    <row r="315" spans="1:44" ht="72" customHeight="1">
      <c r="A315" s="9" t="s">
        <v>2675</v>
      </c>
      <c r="B315" s="9" t="s">
        <v>2588</v>
      </c>
      <c r="C315" s="9" t="s">
        <v>2613</v>
      </c>
      <c r="D315" s="9" t="s">
        <v>4333</v>
      </c>
      <c r="E315" s="9" t="s">
        <v>2676</v>
      </c>
      <c r="F315" s="9" t="s">
        <v>8984</v>
      </c>
      <c r="G315" s="9" t="s">
        <v>8985</v>
      </c>
      <c r="H315" s="9" t="s">
        <v>8986</v>
      </c>
      <c r="I315" s="9" t="s">
        <v>8987</v>
      </c>
      <c r="J315" s="9" t="s">
        <v>8988</v>
      </c>
      <c r="K315" s="9" t="s">
        <v>8989</v>
      </c>
      <c r="L315" s="9" t="s">
        <v>8990</v>
      </c>
      <c r="M315" s="9" t="s">
        <v>8991</v>
      </c>
      <c r="N315" s="9" t="s">
        <v>8992</v>
      </c>
      <c r="O315" s="9" t="s">
        <v>8993</v>
      </c>
      <c r="P315" s="9" t="s">
        <v>8994</v>
      </c>
      <c r="Q315" s="9" t="s">
        <v>8995</v>
      </c>
      <c r="R315" s="9" t="s">
        <v>4589</v>
      </c>
      <c r="S315" s="9" t="s">
        <v>8996</v>
      </c>
      <c r="T315" s="9">
        <v>4</v>
      </c>
      <c r="U315" s="9">
        <v>3</v>
      </c>
      <c r="V315" s="9">
        <v>3</v>
      </c>
      <c r="W315" s="9">
        <v>2</v>
      </c>
      <c r="X315" s="9">
        <v>1</v>
      </c>
      <c r="Y315" s="9">
        <v>1</v>
      </c>
      <c r="Z315" s="9" t="s">
        <v>2593</v>
      </c>
      <c r="AA315" s="9" t="s">
        <v>2677</v>
      </c>
      <c r="AB315" s="9" t="s">
        <v>2595</v>
      </c>
      <c r="AC315" s="9" t="s">
        <v>8744</v>
      </c>
      <c r="AD315" s="9" t="s">
        <v>8997</v>
      </c>
      <c r="AE315" t="str">
        <f t="shared" si="12"/>
        <v>Medium</v>
      </c>
      <c r="AF315">
        <f>IF($A315="","",IFERROR(VLOOKUP($B315,_CONFIG_Risk_Calibration!$A$5:$H$21,2,FALSE),3))</f>
        <v>3</v>
      </c>
      <c r="AG315">
        <f>IF($A315="","",IFERROR(VLOOKUP($B315,_CONFIG_Risk_Calibration!$A$5:$H$21,3,FALSE),0))</f>
        <v>0</v>
      </c>
      <c r="AH315">
        <f>IF($A315="","",IFERROR(VLOOKUP($B315,_CONFIG_Risk_Calibration!$A$5:$H$21,4,FALSE),3))</f>
        <v>3</v>
      </c>
      <c r="AI315">
        <f>IF($A315="","",IFERROR(VLOOKUP($B315,_CONFIG_Risk_Calibration!$A$5:$H$21,5,FALSE),3))</f>
        <v>4</v>
      </c>
      <c r="AJ315" t="str">
        <f>IF($A315="","",IFERROR(VLOOKUP($B315,_CONFIG_Risk_Calibration!$A$5:$H$21,6,FALSE),"No"))</f>
        <v>Yes</v>
      </c>
      <c r="AK315">
        <f>IF($A315="","",IFERROR(VLOOKUP($B315,_CONFIG_Risk_Calibration!$A$5:$H$21,7,FALSE),1))</f>
        <v>4</v>
      </c>
      <c r="AL315" t="str">
        <f>IF($A315="","",IFERROR(VLOOKUP($B315,_CONFIG_Risk_Calibration!$A$5:$H$21,8,FALSE),""))</f>
        <v>Clean template default. Calibrate with real exposure, incident history, evidence quality and domain-owner validation.</v>
      </c>
      <c r="AM315">
        <f>IF($A315="","",IFERROR(INDEX(_DATA_Assessment_Model!$AL$1:$AL$428,MATCH($A315,_DATA_Assessment_Model!$A$1:$A$428,0)),""))</f>
        <v>0</v>
      </c>
      <c r="AN315">
        <f t="shared" si="13"/>
        <v>1</v>
      </c>
      <c r="AO315">
        <f>IF($A315="","",_CONFIG_Model_Settings!$B$172*MAX(N($AK315),(N($AF315)+N($AI315))/2))</f>
        <v>80</v>
      </c>
      <c r="AP315">
        <f t="shared" si="14"/>
        <v>80</v>
      </c>
      <c r="AQ315">
        <f>IF($AP315="","",MAX(0,$AP315*(1-(_CONFIG_Model_Settings!$B$173+_CONFIG_Model_Settings!$B$174*(N($AH315)-1)))))</f>
        <v>52</v>
      </c>
      <c r="AR315">
        <f>IF($AP315="","",MIN(100,$AP315*(1+(_CONFIG_Model_Settings!$B$173+_CONFIG_Model_Settings!$B$174*(N($AH315)-1)))))</f>
        <v>100</v>
      </c>
    </row>
    <row r="316" spans="1:44" ht="72" customHeight="1">
      <c r="A316" s="9" t="s">
        <v>2684</v>
      </c>
      <c r="B316" s="9" t="s">
        <v>2588</v>
      </c>
      <c r="C316" s="9" t="s">
        <v>2613</v>
      </c>
      <c r="D316" s="9" t="s">
        <v>4333</v>
      </c>
      <c r="E316" s="9" t="s">
        <v>2685</v>
      </c>
      <c r="F316" s="9" t="s">
        <v>8998</v>
      </c>
      <c r="G316" s="9" t="s">
        <v>8999</v>
      </c>
      <c r="H316" s="9" t="s">
        <v>9000</v>
      </c>
      <c r="I316" s="9" t="s">
        <v>9001</v>
      </c>
      <c r="J316" s="9" t="s">
        <v>9002</v>
      </c>
      <c r="K316" s="9" t="s">
        <v>9003</v>
      </c>
      <c r="L316" s="9" t="s">
        <v>9004</v>
      </c>
      <c r="M316" s="9" t="s">
        <v>9005</v>
      </c>
      <c r="N316" s="9" t="s">
        <v>9006</v>
      </c>
      <c r="O316" s="9" t="s">
        <v>9007</v>
      </c>
      <c r="P316" s="9" t="s">
        <v>9008</v>
      </c>
      <c r="Q316" s="9" t="s">
        <v>9009</v>
      </c>
      <c r="R316" s="9" t="s">
        <v>4589</v>
      </c>
      <c r="S316" s="9" t="s">
        <v>9010</v>
      </c>
      <c r="T316" s="9">
        <v>4</v>
      </c>
      <c r="U316" s="9">
        <v>3</v>
      </c>
      <c r="V316" s="9">
        <v>3</v>
      </c>
      <c r="W316" s="9">
        <v>2</v>
      </c>
      <c r="X316" s="9">
        <v>1</v>
      </c>
      <c r="Y316" s="9">
        <v>1</v>
      </c>
      <c r="Z316" s="9" t="s">
        <v>2593</v>
      </c>
      <c r="AA316" s="9" t="s">
        <v>2686</v>
      </c>
      <c r="AB316" s="9" t="s">
        <v>2595</v>
      </c>
      <c r="AC316" s="9" t="s">
        <v>8744</v>
      </c>
      <c r="AD316" s="9" t="s">
        <v>9011</v>
      </c>
      <c r="AE316" t="str">
        <f t="shared" si="12"/>
        <v>Medium</v>
      </c>
      <c r="AF316">
        <f>IF($A316="","",IFERROR(VLOOKUP($B316,_CONFIG_Risk_Calibration!$A$5:$H$21,2,FALSE),3))</f>
        <v>3</v>
      </c>
      <c r="AG316">
        <f>IF($A316="","",IFERROR(VLOOKUP($B316,_CONFIG_Risk_Calibration!$A$5:$H$21,3,FALSE),0))</f>
        <v>0</v>
      </c>
      <c r="AH316">
        <f>IF($A316="","",IFERROR(VLOOKUP($B316,_CONFIG_Risk_Calibration!$A$5:$H$21,4,FALSE),3))</f>
        <v>3</v>
      </c>
      <c r="AI316">
        <f>IF($A316="","",IFERROR(VLOOKUP($B316,_CONFIG_Risk_Calibration!$A$5:$H$21,5,FALSE),3))</f>
        <v>4</v>
      </c>
      <c r="AJ316" t="str">
        <f>IF($A316="","",IFERROR(VLOOKUP($B316,_CONFIG_Risk_Calibration!$A$5:$H$21,6,FALSE),"No"))</f>
        <v>Yes</v>
      </c>
      <c r="AK316">
        <f>IF($A316="","",IFERROR(VLOOKUP($B316,_CONFIG_Risk_Calibration!$A$5:$H$21,7,FALSE),1))</f>
        <v>4</v>
      </c>
      <c r="AL316" t="str">
        <f>IF($A316="","",IFERROR(VLOOKUP($B316,_CONFIG_Risk_Calibration!$A$5:$H$21,8,FALSE),""))</f>
        <v>Clean template default. Calibrate with real exposure, incident history, evidence quality and domain-owner validation.</v>
      </c>
      <c r="AM316">
        <f>IF($A316="","",IFERROR(INDEX(_DATA_Assessment_Model!$AL$1:$AL$428,MATCH($A316,_DATA_Assessment_Model!$A$1:$A$428,0)),""))</f>
        <v>0</v>
      </c>
      <c r="AN316">
        <f t="shared" si="13"/>
        <v>1</v>
      </c>
      <c r="AO316">
        <f>IF($A316="","",_CONFIG_Model_Settings!$B$172*MAX(N($AK316),(N($AF316)+N($AI316))/2))</f>
        <v>80</v>
      </c>
      <c r="AP316">
        <f t="shared" si="14"/>
        <v>80</v>
      </c>
      <c r="AQ316">
        <f>IF($AP316="","",MAX(0,$AP316*(1-(_CONFIG_Model_Settings!$B$173+_CONFIG_Model_Settings!$B$174*(N($AH316)-1)))))</f>
        <v>52</v>
      </c>
      <c r="AR316">
        <f>IF($AP316="","",MIN(100,$AP316*(1+(_CONFIG_Model_Settings!$B$173+_CONFIG_Model_Settings!$B$174*(N($AH316)-1)))))</f>
        <v>100</v>
      </c>
    </row>
    <row r="317" spans="1:44" ht="72" customHeight="1">
      <c r="A317" s="9" t="s">
        <v>2693</v>
      </c>
      <c r="B317" s="9" t="s">
        <v>2588</v>
      </c>
      <c r="C317" s="9" t="s">
        <v>2613</v>
      </c>
      <c r="D317" s="9" t="s">
        <v>4333</v>
      </c>
      <c r="E317" s="9" t="s">
        <v>2694</v>
      </c>
      <c r="F317" s="9" t="s">
        <v>9012</v>
      </c>
      <c r="G317" s="9" t="s">
        <v>9013</v>
      </c>
      <c r="H317" s="9" t="s">
        <v>9014</v>
      </c>
      <c r="I317" s="9" t="s">
        <v>9015</v>
      </c>
      <c r="J317" s="9" t="s">
        <v>9016</v>
      </c>
      <c r="K317" s="9" t="s">
        <v>9017</v>
      </c>
      <c r="L317" s="9" t="s">
        <v>9018</v>
      </c>
      <c r="M317" s="9" t="s">
        <v>9019</v>
      </c>
      <c r="N317" s="9" t="s">
        <v>9020</v>
      </c>
      <c r="O317" s="9" t="s">
        <v>9021</v>
      </c>
      <c r="P317" s="9" t="s">
        <v>9022</v>
      </c>
      <c r="Q317" s="9" t="s">
        <v>9023</v>
      </c>
      <c r="R317" s="9" t="s">
        <v>4589</v>
      </c>
      <c r="S317" s="9" t="s">
        <v>9024</v>
      </c>
      <c r="T317" s="9">
        <v>4</v>
      </c>
      <c r="U317" s="9">
        <v>3</v>
      </c>
      <c r="V317" s="9">
        <v>3</v>
      </c>
      <c r="W317" s="9">
        <v>2</v>
      </c>
      <c r="X317" s="9">
        <v>1</v>
      </c>
      <c r="Y317" s="9">
        <v>1</v>
      </c>
      <c r="Z317" s="9" t="s">
        <v>2593</v>
      </c>
      <c r="AA317" s="9" t="s">
        <v>2695</v>
      </c>
      <c r="AB317" s="9" t="s">
        <v>2595</v>
      </c>
      <c r="AC317" s="9" t="s">
        <v>8744</v>
      </c>
      <c r="AD317" s="9" t="s">
        <v>9025</v>
      </c>
      <c r="AE317" t="str">
        <f t="shared" si="12"/>
        <v>Medium</v>
      </c>
      <c r="AF317">
        <f>IF($A317="","",IFERROR(VLOOKUP($B317,_CONFIG_Risk_Calibration!$A$5:$H$21,2,FALSE),3))</f>
        <v>3</v>
      </c>
      <c r="AG317">
        <f>IF($A317="","",IFERROR(VLOOKUP($B317,_CONFIG_Risk_Calibration!$A$5:$H$21,3,FALSE),0))</f>
        <v>0</v>
      </c>
      <c r="AH317">
        <f>IF($A317="","",IFERROR(VLOOKUP($B317,_CONFIG_Risk_Calibration!$A$5:$H$21,4,FALSE),3))</f>
        <v>3</v>
      </c>
      <c r="AI317">
        <f>IF($A317="","",IFERROR(VLOOKUP($B317,_CONFIG_Risk_Calibration!$A$5:$H$21,5,FALSE),3))</f>
        <v>4</v>
      </c>
      <c r="AJ317" t="str">
        <f>IF($A317="","",IFERROR(VLOOKUP($B317,_CONFIG_Risk_Calibration!$A$5:$H$21,6,FALSE),"No"))</f>
        <v>Yes</v>
      </c>
      <c r="AK317">
        <f>IF($A317="","",IFERROR(VLOOKUP($B317,_CONFIG_Risk_Calibration!$A$5:$H$21,7,FALSE),1))</f>
        <v>4</v>
      </c>
      <c r="AL317" t="str">
        <f>IF($A317="","",IFERROR(VLOOKUP($B317,_CONFIG_Risk_Calibration!$A$5:$H$21,8,FALSE),""))</f>
        <v>Clean template default. Calibrate with real exposure, incident history, evidence quality and domain-owner validation.</v>
      </c>
      <c r="AM317">
        <f>IF($A317="","",IFERROR(INDEX(_DATA_Assessment_Model!$AL$1:$AL$428,MATCH($A317,_DATA_Assessment_Model!$A$1:$A$428,0)),""))</f>
        <v>0</v>
      </c>
      <c r="AN317">
        <f t="shared" si="13"/>
        <v>1</v>
      </c>
      <c r="AO317">
        <f>IF($A317="","",_CONFIG_Model_Settings!$B$172*MAX(N($AK317),(N($AF317)+N($AI317))/2))</f>
        <v>80</v>
      </c>
      <c r="AP317">
        <f t="shared" si="14"/>
        <v>80</v>
      </c>
      <c r="AQ317">
        <f>IF($AP317="","",MAX(0,$AP317*(1-(_CONFIG_Model_Settings!$B$173+_CONFIG_Model_Settings!$B$174*(N($AH317)-1)))))</f>
        <v>52</v>
      </c>
      <c r="AR317">
        <f>IF($AP317="","",MIN(100,$AP317*(1+(_CONFIG_Model_Settings!$B$173+_CONFIG_Model_Settings!$B$174*(N($AH317)-1)))))</f>
        <v>100</v>
      </c>
    </row>
    <row r="318" spans="1:44" ht="72" customHeight="1">
      <c r="A318" s="9" t="s">
        <v>2696</v>
      </c>
      <c r="B318" s="9" t="s">
        <v>2588</v>
      </c>
      <c r="C318" s="9" t="s">
        <v>2613</v>
      </c>
      <c r="D318" s="9" t="s">
        <v>4333</v>
      </c>
      <c r="E318" s="9" t="s">
        <v>2697</v>
      </c>
      <c r="F318" s="9" t="s">
        <v>9026</v>
      </c>
      <c r="G318" s="9" t="s">
        <v>9027</v>
      </c>
      <c r="H318" s="9" t="s">
        <v>9028</v>
      </c>
      <c r="I318" s="9" t="s">
        <v>9029</v>
      </c>
      <c r="J318" s="9" t="s">
        <v>9030</v>
      </c>
      <c r="K318" s="9" t="s">
        <v>9031</v>
      </c>
      <c r="L318" s="9" t="s">
        <v>9032</v>
      </c>
      <c r="M318" s="9" t="s">
        <v>9033</v>
      </c>
      <c r="N318" s="9" t="s">
        <v>9034</v>
      </c>
      <c r="O318" s="9" t="s">
        <v>9035</v>
      </c>
      <c r="P318" s="9" t="s">
        <v>9036</v>
      </c>
      <c r="Q318" s="9" t="s">
        <v>9037</v>
      </c>
      <c r="R318" s="9" t="s">
        <v>4589</v>
      </c>
      <c r="S318" s="9" t="s">
        <v>9038</v>
      </c>
      <c r="T318" s="9">
        <v>4</v>
      </c>
      <c r="U318" s="9">
        <v>3</v>
      </c>
      <c r="V318" s="9">
        <v>3</v>
      </c>
      <c r="W318" s="9">
        <v>2</v>
      </c>
      <c r="X318" s="9">
        <v>1</v>
      </c>
      <c r="Y318" s="9">
        <v>1</v>
      </c>
      <c r="Z318" s="9" t="s">
        <v>2593</v>
      </c>
      <c r="AA318" s="9" t="s">
        <v>2698</v>
      </c>
      <c r="AB318" s="9" t="s">
        <v>2595</v>
      </c>
      <c r="AC318" s="9" t="s">
        <v>8744</v>
      </c>
      <c r="AD318" s="9" t="s">
        <v>9039</v>
      </c>
      <c r="AE318" t="str">
        <f t="shared" si="12"/>
        <v>Medium</v>
      </c>
      <c r="AF318">
        <f>IF($A318="","",IFERROR(VLOOKUP($B318,_CONFIG_Risk_Calibration!$A$5:$H$21,2,FALSE),3))</f>
        <v>3</v>
      </c>
      <c r="AG318">
        <f>IF($A318="","",IFERROR(VLOOKUP($B318,_CONFIG_Risk_Calibration!$A$5:$H$21,3,FALSE),0))</f>
        <v>0</v>
      </c>
      <c r="AH318">
        <f>IF($A318="","",IFERROR(VLOOKUP($B318,_CONFIG_Risk_Calibration!$A$5:$H$21,4,FALSE),3))</f>
        <v>3</v>
      </c>
      <c r="AI318">
        <f>IF($A318="","",IFERROR(VLOOKUP($B318,_CONFIG_Risk_Calibration!$A$5:$H$21,5,FALSE),3))</f>
        <v>4</v>
      </c>
      <c r="AJ318" t="str">
        <f>IF($A318="","",IFERROR(VLOOKUP($B318,_CONFIG_Risk_Calibration!$A$5:$H$21,6,FALSE),"No"))</f>
        <v>Yes</v>
      </c>
      <c r="AK318">
        <f>IF($A318="","",IFERROR(VLOOKUP($B318,_CONFIG_Risk_Calibration!$A$5:$H$21,7,FALSE),1))</f>
        <v>4</v>
      </c>
      <c r="AL318" t="str">
        <f>IF($A318="","",IFERROR(VLOOKUP($B318,_CONFIG_Risk_Calibration!$A$5:$H$21,8,FALSE),""))</f>
        <v>Clean template default. Calibrate with real exposure, incident history, evidence quality and domain-owner validation.</v>
      </c>
      <c r="AM318">
        <f>IF($A318="","",IFERROR(INDEX(_DATA_Assessment_Model!$AL$1:$AL$428,MATCH($A318,_DATA_Assessment_Model!$A$1:$A$428,0)),""))</f>
        <v>0</v>
      </c>
      <c r="AN318">
        <f t="shared" si="13"/>
        <v>1</v>
      </c>
      <c r="AO318">
        <f>IF($A318="","",_CONFIG_Model_Settings!$B$172*MAX(N($AK318),(N($AF318)+N($AI318))/2))</f>
        <v>80</v>
      </c>
      <c r="AP318">
        <f t="shared" si="14"/>
        <v>80</v>
      </c>
      <c r="AQ318">
        <f>IF($AP318="","",MAX(0,$AP318*(1-(_CONFIG_Model_Settings!$B$173+_CONFIG_Model_Settings!$B$174*(N($AH318)-1)))))</f>
        <v>52</v>
      </c>
      <c r="AR318">
        <f>IF($AP318="","",MIN(100,$AP318*(1+(_CONFIG_Model_Settings!$B$173+_CONFIG_Model_Settings!$B$174*(N($AH318)-1)))))</f>
        <v>100</v>
      </c>
    </row>
    <row r="319" spans="1:44" ht="72" customHeight="1">
      <c r="A319" s="9" t="s">
        <v>2699</v>
      </c>
      <c r="B319" s="9" t="s">
        <v>2588</v>
      </c>
      <c r="C319" s="9" t="s">
        <v>2613</v>
      </c>
      <c r="D319" s="9" t="s">
        <v>4333</v>
      </c>
      <c r="E319" s="9" t="s">
        <v>2700</v>
      </c>
      <c r="F319" s="9" t="s">
        <v>9040</v>
      </c>
      <c r="G319" s="9" t="s">
        <v>9041</v>
      </c>
      <c r="H319" s="9" t="s">
        <v>9042</v>
      </c>
      <c r="I319" s="9" t="s">
        <v>9043</v>
      </c>
      <c r="J319" s="9" t="s">
        <v>9044</v>
      </c>
      <c r="K319" s="9" t="s">
        <v>9045</v>
      </c>
      <c r="L319" s="9" t="s">
        <v>9046</v>
      </c>
      <c r="M319" s="9" t="s">
        <v>9047</v>
      </c>
      <c r="N319" s="9" t="s">
        <v>9048</v>
      </c>
      <c r="O319" s="9" t="s">
        <v>9049</v>
      </c>
      <c r="P319" s="9" t="s">
        <v>9050</v>
      </c>
      <c r="Q319" s="9" t="s">
        <v>9051</v>
      </c>
      <c r="R319" s="9" t="s">
        <v>4589</v>
      </c>
      <c r="S319" s="9" t="s">
        <v>9052</v>
      </c>
      <c r="T319" s="9">
        <v>4</v>
      </c>
      <c r="U319" s="9">
        <v>3</v>
      </c>
      <c r="V319" s="9">
        <v>3</v>
      </c>
      <c r="W319" s="9">
        <v>2</v>
      </c>
      <c r="X319" s="9">
        <v>1</v>
      </c>
      <c r="Y319" s="9">
        <v>1</v>
      </c>
      <c r="Z319" s="9" t="s">
        <v>2593</v>
      </c>
      <c r="AA319" s="9" t="s">
        <v>2701</v>
      </c>
      <c r="AB319" s="9" t="s">
        <v>2595</v>
      </c>
      <c r="AC319" s="9" t="s">
        <v>8744</v>
      </c>
      <c r="AD319" s="9" t="s">
        <v>9053</v>
      </c>
      <c r="AE319" t="str">
        <f t="shared" si="12"/>
        <v>Medium</v>
      </c>
      <c r="AF319">
        <f>IF($A319="","",IFERROR(VLOOKUP($B319,_CONFIG_Risk_Calibration!$A$5:$H$21,2,FALSE),3))</f>
        <v>3</v>
      </c>
      <c r="AG319">
        <f>IF($A319="","",IFERROR(VLOOKUP($B319,_CONFIG_Risk_Calibration!$A$5:$H$21,3,FALSE),0))</f>
        <v>0</v>
      </c>
      <c r="AH319">
        <f>IF($A319="","",IFERROR(VLOOKUP($B319,_CONFIG_Risk_Calibration!$A$5:$H$21,4,FALSE),3))</f>
        <v>3</v>
      </c>
      <c r="AI319">
        <f>IF($A319="","",IFERROR(VLOOKUP($B319,_CONFIG_Risk_Calibration!$A$5:$H$21,5,FALSE),3))</f>
        <v>4</v>
      </c>
      <c r="AJ319" t="str">
        <f>IF($A319="","",IFERROR(VLOOKUP($B319,_CONFIG_Risk_Calibration!$A$5:$H$21,6,FALSE),"No"))</f>
        <v>Yes</v>
      </c>
      <c r="AK319">
        <f>IF($A319="","",IFERROR(VLOOKUP($B319,_CONFIG_Risk_Calibration!$A$5:$H$21,7,FALSE),1))</f>
        <v>4</v>
      </c>
      <c r="AL319" t="str">
        <f>IF($A319="","",IFERROR(VLOOKUP($B319,_CONFIG_Risk_Calibration!$A$5:$H$21,8,FALSE),""))</f>
        <v>Clean template default. Calibrate with real exposure, incident history, evidence quality and domain-owner validation.</v>
      </c>
      <c r="AM319">
        <f>IF($A319="","",IFERROR(INDEX(_DATA_Assessment_Model!$AL$1:$AL$428,MATCH($A319,_DATA_Assessment_Model!$A$1:$A$428,0)),""))</f>
        <v>0</v>
      </c>
      <c r="AN319">
        <f t="shared" si="13"/>
        <v>1</v>
      </c>
      <c r="AO319">
        <f>IF($A319="","",_CONFIG_Model_Settings!$B$172*MAX(N($AK319),(N($AF319)+N($AI319))/2))</f>
        <v>80</v>
      </c>
      <c r="AP319">
        <f t="shared" si="14"/>
        <v>80</v>
      </c>
      <c r="AQ319">
        <f>IF($AP319="","",MAX(0,$AP319*(1-(_CONFIG_Model_Settings!$B$173+_CONFIG_Model_Settings!$B$174*(N($AH319)-1)))))</f>
        <v>52</v>
      </c>
      <c r="AR319">
        <f>IF($AP319="","",MIN(100,$AP319*(1+(_CONFIG_Model_Settings!$B$173+_CONFIG_Model_Settings!$B$174*(N($AH319)-1)))))</f>
        <v>100</v>
      </c>
    </row>
    <row r="320" spans="1:44" ht="72" customHeight="1">
      <c r="A320" s="9" t="s">
        <v>2702</v>
      </c>
      <c r="B320" s="9" t="s">
        <v>2588</v>
      </c>
      <c r="C320" s="9" t="s">
        <v>2623</v>
      </c>
      <c r="D320" s="9" t="s">
        <v>4333</v>
      </c>
      <c r="E320" s="9" t="s">
        <v>2703</v>
      </c>
      <c r="F320" s="9" t="s">
        <v>9054</v>
      </c>
      <c r="G320" s="9" t="s">
        <v>9055</v>
      </c>
      <c r="H320" s="9" t="s">
        <v>9056</v>
      </c>
      <c r="I320" s="9" t="s">
        <v>9057</v>
      </c>
      <c r="J320" s="9" t="s">
        <v>9058</v>
      </c>
      <c r="K320" s="9" t="s">
        <v>9059</v>
      </c>
      <c r="L320" s="9" t="s">
        <v>9060</v>
      </c>
      <c r="M320" s="9" t="s">
        <v>9061</v>
      </c>
      <c r="N320" s="9" t="s">
        <v>9062</v>
      </c>
      <c r="O320" s="9" t="s">
        <v>9063</v>
      </c>
      <c r="P320" s="9" t="s">
        <v>9064</v>
      </c>
      <c r="Q320" s="9" t="s">
        <v>9065</v>
      </c>
      <c r="R320" s="9" t="s">
        <v>4589</v>
      </c>
      <c r="S320" s="9" t="s">
        <v>9066</v>
      </c>
      <c r="T320" s="9">
        <v>4</v>
      </c>
      <c r="U320" s="9">
        <v>3</v>
      </c>
      <c r="V320" s="9">
        <v>3</v>
      </c>
      <c r="W320" s="9">
        <v>2</v>
      </c>
      <c r="X320" s="9">
        <v>1</v>
      </c>
      <c r="Y320" s="9">
        <v>1</v>
      </c>
      <c r="Z320" s="9" t="s">
        <v>2593</v>
      </c>
      <c r="AA320" s="9" t="s">
        <v>2704</v>
      </c>
      <c r="AB320" s="9" t="s">
        <v>2595</v>
      </c>
      <c r="AC320" s="9" t="s">
        <v>8744</v>
      </c>
      <c r="AD320" s="9" t="s">
        <v>9067</v>
      </c>
      <c r="AE320" t="str">
        <f t="shared" si="12"/>
        <v>Medium</v>
      </c>
      <c r="AF320">
        <f>IF($A320="","",IFERROR(VLOOKUP($B320,_CONFIG_Risk_Calibration!$A$5:$H$21,2,FALSE),3))</f>
        <v>3</v>
      </c>
      <c r="AG320">
        <f>IF($A320="","",IFERROR(VLOOKUP($B320,_CONFIG_Risk_Calibration!$A$5:$H$21,3,FALSE),0))</f>
        <v>0</v>
      </c>
      <c r="AH320">
        <f>IF($A320="","",IFERROR(VLOOKUP($B320,_CONFIG_Risk_Calibration!$A$5:$H$21,4,FALSE),3))</f>
        <v>3</v>
      </c>
      <c r="AI320">
        <f>IF($A320="","",IFERROR(VLOOKUP($B320,_CONFIG_Risk_Calibration!$A$5:$H$21,5,FALSE),3))</f>
        <v>4</v>
      </c>
      <c r="AJ320" t="str">
        <f>IF($A320="","",IFERROR(VLOOKUP($B320,_CONFIG_Risk_Calibration!$A$5:$H$21,6,FALSE),"No"))</f>
        <v>Yes</v>
      </c>
      <c r="AK320">
        <f>IF($A320="","",IFERROR(VLOOKUP($B320,_CONFIG_Risk_Calibration!$A$5:$H$21,7,FALSE),1))</f>
        <v>4</v>
      </c>
      <c r="AL320" t="str">
        <f>IF($A320="","",IFERROR(VLOOKUP($B320,_CONFIG_Risk_Calibration!$A$5:$H$21,8,FALSE),""))</f>
        <v>Clean template default. Calibrate with real exposure, incident history, evidence quality and domain-owner validation.</v>
      </c>
      <c r="AM320">
        <f>IF($A320="","",IFERROR(INDEX(_DATA_Assessment_Model!$AL$1:$AL$428,MATCH($A320,_DATA_Assessment_Model!$A$1:$A$428,0)),""))</f>
        <v>0</v>
      </c>
      <c r="AN320">
        <f t="shared" si="13"/>
        <v>1</v>
      </c>
      <c r="AO320">
        <f>IF($A320="","",_CONFIG_Model_Settings!$B$172*MAX(N($AK320),(N($AF320)+N($AI320))/2))</f>
        <v>80</v>
      </c>
      <c r="AP320">
        <f t="shared" si="14"/>
        <v>80</v>
      </c>
      <c r="AQ320">
        <f>IF($AP320="","",MAX(0,$AP320*(1-(_CONFIG_Model_Settings!$B$173+_CONFIG_Model_Settings!$B$174*(N($AH320)-1)))))</f>
        <v>52</v>
      </c>
      <c r="AR320">
        <f>IF($AP320="","",MIN(100,$AP320*(1+(_CONFIG_Model_Settings!$B$173+_CONFIG_Model_Settings!$B$174*(N($AH320)-1)))))</f>
        <v>100</v>
      </c>
    </row>
    <row r="321" spans="1:44" ht="72" customHeight="1">
      <c r="A321" s="9" t="s">
        <v>2705</v>
      </c>
      <c r="B321" s="9" t="s">
        <v>2588</v>
      </c>
      <c r="C321" s="9" t="s">
        <v>2623</v>
      </c>
      <c r="D321" s="9" t="s">
        <v>4333</v>
      </c>
      <c r="E321" s="9" t="s">
        <v>2706</v>
      </c>
      <c r="F321" s="9" t="s">
        <v>9068</v>
      </c>
      <c r="G321" s="9" t="s">
        <v>9069</v>
      </c>
      <c r="H321" s="9" t="s">
        <v>9070</v>
      </c>
      <c r="I321" s="9" t="s">
        <v>9071</v>
      </c>
      <c r="J321" s="9" t="s">
        <v>9072</v>
      </c>
      <c r="K321" s="9" t="s">
        <v>9073</v>
      </c>
      <c r="L321" s="9" t="s">
        <v>9074</v>
      </c>
      <c r="M321" s="9" t="s">
        <v>9075</v>
      </c>
      <c r="N321" s="9" t="s">
        <v>9076</v>
      </c>
      <c r="O321" s="9" t="s">
        <v>9077</v>
      </c>
      <c r="P321" s="9" t="s">
        <v>9078</v>
      </c>
      <c r="Q321" s="9" t="s">
        <v>9079</v>
      </c>
      <c r="R321" s="9" t="s">
        <v>4589</v>
      </c>
      <c r="S321" s="9" t="s">
        <v>9080</v>
      </c>
      <c r="T321" s="9">
        <v>4</v>
      </c>
      <c r="U321" s="9">
        <v>3</v>
      </c>
      <c r="V321" s="9">
        <v>3</v>
      </c>
      <c r="W321" s="9">
        <v>2</v>
      </c>
      <c r="X321" s="9">
        <v>1</v>
      </c>
      <c r="Y321" s="9">
        <v>1</v>
      </c>
      <c r="Z321" s="9" t="s">
        <v>2593</v>
      </c>
      <c r="AA321" s="9" t="s">
        <v>2707</v>
      </c>
      <c r="AB321" s="9" t="s">
        <v>2595</v>
      </c>
      <c r="AC321" s="9" t="s">
        <v>8744</v>
      </c>
      <c r="AD321" s="9" t="s">
        <v>9081</v>
      </c>
      <c r="AE321" t="str">
        <f t="shared" si="12"/>
        <v>Medium</v>
      </c>
      <c r="AF321">
        <f>IF($A321="","",IFERROR(VLOOKUP($B321,_CONFIG_Risk_Calibration!$A$5:$H$21,2,FALSE),3))</f>
        <v>3</v>
      </c>
      <c r="AG321">
        <f>IF($A321="","",IFERROR(VLOOKUP($B321,_CONFIG_Risk_Calibration!$A$5:$H$21,3,FALSE),0))</f>
        <v>0</v>
      </c>
      <c r="AH321">
        <f>IF($A321="","",IFERROR(VLOOKUP($B321,_CONFIG_Risk_Calibration!$A$5:$H$21,4,FALSE),3))</f>
        <v>3</v>
      </c>
      <c r="AI321">
        <f>IF($A321="","",IFERROR(VLOOKUP($B321,_CONFIG_Risk_Calibration!$A$5:$H$21,5,FALSE),3))</f>
        <v>4</v>
      </c>
      <c r="AJ321" t="str">
        <f>IF($A321="","",IFERROR(VLOOKUP($B321,_CONFIG_Risk_Calibration!$A$5:$H$21,6,FALSE),"No"))</f>
        <v>Yes</v>
      </c>
      <c r="AK321">
        <f>IF($A321="","",IFERROR(VLOOKUP($B321,_CONFIG_Risk_Calibration!$A$5:$H$21,7,FALSE),1))</f>
        <v>4</v>
      </c>
      <c r="AL321" t="str">
        <f>IF($A321="","",IFERROR(VLOOKUP($B321,_CONFIG_Risk_Calibration!$A$5:$H$21,8,FALSE),""))</f>
        <v>Clean template default. Calibrate with real exposure, incident history, evidence quality and domain-owner validation.</v>
      </c>
      <c r="AM321">
        <f>IF($A321="","",IFERROR(INDEX(_DATA_Assessment_Model!$AL$1:$AL$428,MATCH($A321,_DATA_Assessment_Model!$A$1:$A$428,0)),""))</f>
        <v>0</v>
      </c>
      <c r="AN321">
        <f t="shared" si="13"/>
        <v>1</v>
      </c>
      <c r="AO321">
        <f>IF($A321="","",_CONFIG_Model_Settings!$B$172*MAX(N($AK321),(N($AF321)+N($AI321))/2))</f>
        <v>80</v>
      </c>
      <c r="AP321">
        <f t="shared" si="14"/>
        <v>80</v>
      </c>
      <c r="AQ321">
        <f>IF($AP321="","",MAX(0,$AP321*(1-(_CONFIG_Model_Settings!$B$173+_CONFIG_Model_Settings!$B$174*(N($AH321)-1)))))</f>
        <v>52</v>
      </c>
      <c r="AR321">
        <f>IF($AP321="","",MIN(100,$AP321*(1+(_CONFIG_Model_Settings!$B$173+_CONFIG_Model_Settings!$B$174*(N($AH321)-1)))))</f>
        <v>100</v>
      </c>
    </row>
    <row r="322" spans="1:44" ht="72" customHeight="1">
      <c r="A322" s="9" t="s">
        <v>2708</v>
      </c>
      <c r="B322" s="9" t="s">
        <v>2588</v>
      </c>
      <c r="C322" s="9" t="s">
        <v>2623</v>
      </c>
      <c r="D322" s="9" t="s">
        <v>4333</v>
      </c>
      <c r="E322" s="9" t="s">
        <v>2709</v>
      </c>
      <c r="F322" s="9" t="s">
        <v>9082</v>
      </c>
      <c r="G322" s="9" t="s">
        <v>9083</v>
      </c>
      <c r="H322" s="9" t="s">
        <v>9084</v>
      </c>
      <c r="I322" s="9" t="s">
        <v>9085</v>
      </c>
      <c r="J322" s="9" t="s">
        <v>9086</v>
      </c>
      <c r="K322" s="9" t="s">
        <v>9087</v>
      </c>
      <c r="L322" s="9" t="s">
        <v>9088</v>
      </c>
      <c r="M322" s="9" t="s">
        <v>9089</v>
      </c>
      <c r="N322" s="9" t="s">
        <v>9090</v>
      </c>
      <c r="O322" s="9" t="s">
        <v>9091</v>
      </c>
      <c r="P322" s="9" t="s">
        <v>9092</v>
      </c>
      <c r="Q322" s="9" t="s">
        <v>9093</v>
      </c>
      <c r="R322" s="9" t="s">
        <v>4589</v>
      </c>
      <c r="S322" s="9" t="s">
        <v>9094</v>
      </c>
      <c r="T322" s="9">
        <v>4</v>
      </c>
      <c r="U322" s="9">
        <v>3</v>
      </c>
      <c r="V322" s="9">
        <v>3</v>
      </c>
      <c r="W322" s="9">
        <v>2</v>
      </c>
      <c r="X322" s="9">
        <v>1</v>
      </c>
      <c r="Y322" s="9">
        <v>1</v>
      </c>
      <c r="Z322" s="9" t="s">
        <v>2593</v>
      </c>
      <c r="AA322" s="9" t="s">
        <v>2710</v>
      </c>
      <c r="AB322" s="9" t="s">
        <v>2595</v>
      </c>
      <c r="AC322" s="9" t="s">
        <v>8744</v>
      </c>
      <c r="AD322" s="9" t="s">
        <v>9095</v>
      </c>
      <c r="AE322" t="str">
        <f t="shared" si="12"/>
        <v>Medium</v>
      </c>
      <c r="AF322">
        <f>IF($A322="","",IFERROR(VLOOKUP($B322,_CONFIG_Risk_Calibration!$A$5:$H$21,2,FALSE),3))</f>
        <v>3</v>
      </c>
      <c r="AG322">
        <f>IF($A322="","",IFERROR(VLOOKUP($B322,_CONFIG_Risk_Calibration!$A$5:$H$21,3,FALSE),0))</f>
        <v>0</v>
      </c>
      <c r="AH322">
        <f>IF($A322="","",IFERROR(VLOOKUP($B322,_CONFIG_Risk_Calibration!$A$5:$H$21,4,FALSE),3))</f>
        <v>3</v>
      </c>
      <c r="AI322">
        <f>IF($A322="","",IFERROR(VLOOKUP($B322,_CONFIG_Risk_Calibration!$A$5:$H$21,5,FALSE),3))</f>
        <v>4</v>
      </c>
      <c r="AJ322" t="str">
        <f>IF($A322="","",IFERROR(VLOOKUP($B322,_CONFIG_Risk_Calibration!$A$5:$H$21,6,FALSE),"No"))</f>
        <v>Yes</v>
      </c>
      <c r="AK322">
        <f>IF($A322="","",IFERROR(VLOOKUP($B322,_CONFIG_Risk_Calibration!$A$5:$H$21,7,FALSE),1))</f>
        <v>4</v>
      </c>
      <c r="AL322" t="str">
        <f>IF($A322="","",IFERROR(VLOOKUP($B322,_CONFIG_Risk_Calibration!$A$5:$H$21,8,FALSE),""))</f>
        <v>Clean template default. Calibrate with real exposure, incident history, evidence quality and domain-owner validation.</v>
      </c>
      <c r="AM322">
        <f>IF($A322="","",IFERROR(INDEX(_DATA_Assessment_Model!$AL$1:$AL$428,MATCH($A322,_DATA_Assessment_Model!$A$1:$A$428,0)),""))</f>
        <v>0</v>
      </c>
      <c r="AN322">
        <f t="shared" si="13"/>
        <v>1</v>
      </c>
      <c r="AO322">
        <f>IF($A322="","",_CONFIG_Model_Settings!$B$172*MAX(N($AK322),(N($AF322)+N($AI322))/2))</f>
        <v>80</v>
      </c>
      <c r="AP322">
        <f t="shared" si="14"/>
        <v>80</v>
      </c>
      <c r="AQ322">
        <f>IF($AP322="","",MAX(0,$AP322*(1-(_CONFIG_Model_Settings!$B$173+_CONFIG_Model_Settings!$B$174*(N($AH322)-1)))))</f>
        <v>52</v>
      </c>
      <c r="AR322">
        <f>IF($AP322="","",MIN(100,$AP322*(1+(_CONFIG_Model_Settings!$B$173+_CONFIG_Model_Settings!$B$174*(N($AH322)-1)))))</f>
        <v>100</v>
      </c>
    </row>
    <row r="323" spans="1:44" ht="72" customHeight="1">
      <c r="A323" s="9" t="s">
        <v>2717</v>
      </c>
      <c r="B323" s="9" t="s">
        <v>2588</v>
      </c>
      <c r="C323" s="9" t="s">
        <v>2623</v>
      </c>
      <c r="D323" s="9" t="s">
        <v>4333</v>
      </c>
      <c r="E323" s="9" t="s">
        <v>2718</v>
      </c>
      <c r="F323" s="9" t="s">
        <v>9096</v>
      </c>
      <c r="G323" s="9" t="s">
        <v>9097</v>
      </c>
      <c r="H323" s="9" t="s">
        <v>9098</v>
      </c>
      <c r="I323" s="9" t="s">
        <v>9099</v>
      </c>
      <c r="J323" s="9" t="s">
        <v>9100</v>
      </c>
      <c r="K323" s="9" t="s">
        <v>9101</v>
      </c>
      <c r="L323" s="9" t="s">
        <v>9102</v>
      </c>
      <c r="M323" s="9" t="s">
        <v>9103</v>
      </c>
      <c r="N323" s="9" t="s">
        <v>9104</v>
      </c>
      <c r="O323" s="9" t="s">
        <v>9105</v>
      </c>
      <c r="P323" s="9" t="s">
        <v>9106</v>
      </c>
      <c r="Q323" s="9" t="s">
        <v>9107</v>
      </c>
      <c r="R323" s="9" t="s">
        <v>4589</v>
      </c>
      <c r="S323" s="9" t="s">
        <v>9108</v>
      </c>
      <c r="T323" s="9">
        <v>4</v>
      </c>
      <c r="U323" s="9">
        <v>3</v>
      </c>
      <c r="V323" s="9">
        <v>3</v>
      </c>
      <c r="W323" s="9">
        <v>2</v>
      </c>
      <c r="X323" s="9">
        <v>1</v>
      </c>
      <c r="Y323" s="9">
        <v>1</v>
      </c>
      <c r="Z323" s="9" t="s">
        <v>2593</v>
      </c>
      <c r="AA323" s="9" t="s">
        <v>2719</v>
      </c>
      <c r="AB323" s="9" t="s">
        <v>2595</v>
      </c>
      <c r="AC323" s="9" t="s">
        <v>8744</v>
      </c>
      <c r="AD323" s="9" t="s">
        <v>9109</v>
      </c>
      <c r="AE323" t="str">
        <f t="shared" si="12"/>
        <v>Medium</v>
      </c>
      <c r="AF323">
        <f>IF($A323="","",IFERROR(VLOOKUP($B323,_CONFIG_Risk_Calibration!$A$5:$H$21,2,FALSE),3))</f>
        <v>3</v>
      </c>
      <c r="AG323">
        <f>IF($A323="","",IFERROR(VLOOKUP($B323,_CONFIG_Risk_Calibration!$A$5:$H$21,3,FALSE),0))</f>
        <v>0</v>
      </c>
      <c r="AH323">
        <f>IF($A323="","",IFERROR(VLOOKUP($B323,_CONFIG_Risk_Calibration!$A$5:$H$21,4,FALSE),3))</f>
        <v>3</v>
      </c>
      <c r="AI323">
        <f>IF($A323="","",IFERROR(VLOOKUP($B323,_CONFIG_Risk_Calibration!$A$5:$H$21,5,FALSE),3))</f>
        <v>4</v>
      </c>
      <c r="AJ323" t="str">
        <f>IF($A323="","",IFERROR(VLOOKUP($B323,_CONFIG_Risk_Calibration!$A$5:$H$21,6,FALSE),"No"))</f>
        <v>Yes</v>
      </c>
      <c r="AK323">
        <f>IF($A323="","",IFERROR(VLOOKUP($B323,_CONFIG_Risk_Calibration!$A$5:$H$21,7,FALSE),1))</f>
        <v>4</v>
      </c>
      <c r="AL323" t="str">
        <f>IF($A323="","",IFERROR(VLOOKUP($B323,_CONFIG_Risk_Calibration!$A$5:$H$21,8,FALSE),""))</f>
        <v>Clean template default. Calibrate with real exposure, incident history, evidence quality and domain-owner validation.</v>
      </c>
      <c r="AM323">
        <f>IF($A323="","",IFERROR(INDEX(_DATA_Assessment_Model!$AL$1:$AL$428,MATCH($A323,_DATA_Assessment_Model!$A$1:$A$428,0)),""))</f>
        <v>0</v>
      </c>
      <c r="AN323">
        <f t="shared" si="13"/>
        <v>1</v>
      </c>
      <c r="AO323">
        <f>IF($A323="","",_CONFIG_Model_Settings!$B$172*MAX(N($AK323),(N($AF323)+N($AI323))/2))</f>
        <v>80</v>
      </c>
      <c r="AP323">
        <f t="shared" si="14"/>
        <v>80</v>
      </c>
      <c r="AQ323">
        <f>IF($AP323="","",MAX(0,$AP323*(1-(_CONFIG_Model_Settings!$B$173+_CONFIG_Model_Settings!$B$174*(N($AH323)-1)))))</f>
        <v>52</v>
      </c>
      <c r="AR323">
        <f>IF($AP323="","",MIN(100,$AP323*(1+(_CONFIG_Model_Settings!$B$173+_CONFIG_Model_Settings!$B$174*(N($AH323)-1)))))</f>
        <v>100</v>
      </c>
    </row>
    <row r="324" spans="1:44" ht="72" customHeight="1">
      <c r="A324" s="9" t="s">
        <v>2726</v>
      </c>
      <c r="B324" s="9" t="s">
        <v>2588</v>
      </c>
      <c r="C324" s="9" t="s">
        <v>2623</v>
      </c>
      <c r="D324" s="9" t="s">
        <v>4333</v>
      </c>
      <c r="E324" s="9" t="s">
        <v>2727</v>
      </c>
      <c r="F324" s="9" t="s">
        <v>9110</v>
      </c>
      <c r="G324" s="9" t="s">
        <v>9111</v>
      </c>
      <c r="H324" s="9" t="s">
        <v>9112</v>
      </c>
      <c r="I324" s="9" t="s">
        <v>9113</v>
      </c>
      <c r="J324" s="9" t="s">
        <v>9114</v>
      </c>
      <c r="K324" s="9" t="s">
        <v>9115</v>
      </c>
      <c r="L324" s="9" t="s">
        <v>9116</v>
      </c>
      <c r="M324" s="9" t="s">
        <v>9117</v>
      </c>
      <c r="N324" s="9" t="s">
        <v>9118</v>
      </c>
      <c r="O324" s="9" t="s">
        <v>9119</v>
      </c>
      <c r="P324" s="9" t="s">
        <v>9120</v>
      </c>
      <c r="Q324" s="9" t="s">
        <v>9121</v>
      </c>
      <c r="R324" s="9" t="s">
        <v>4589</v>
      </c>
      <c r="S324" s="9" t="s">
        <v>9122</v>
      </c>
      <c r="T324" s="9">
        <v>4</v>
      </c>
      <c r="U324" s="9">
        <v>3</v>
      </c>
      <c r="V324" s="9">
        <v>3</v>
      </c>
      <c r="W324" s="9">
        <v>2</v>
      </c>
      <c r="X324" s="9">
        <v>1</v>
      </c>
      <c r="Y324" s="9">
        <v>1</v>
      </c>
      <c r="Z324" s="9" t="s">
        <v>2593</v>
      </c>
      <c r="AA324" s="9" t="s">
        <v>2728</v>
      </c>
      <c r="AB324" s="9" t="s">
        <v>2595</v>
      </c>
      <c r="AC324" s="9" t="s">
        <v>8744</v>
      </c>
      <c r="AD324" s="9" t="s">
        <v>9123</v>
      </c>
      <c r="AE324" t="str">
        <f t="shared" si="12"/>
        <v>Medium</v>
      </c>
      <c r="AF324">
        <f>IF($A324="","",IFERROR(VLOOKUP($B324,_CONFIG_Risk_Calibration!$A$5:$H$21,2,FALSE),3))</f>
        <v>3</v>
      </c>
      <c r="AG324">
        <f>IF($A324="","",IFERROR(VLOOKUP($B324,_CONFIG_Risk_Calibration!$A$5:$H$21,3,FALSE),0))</f>
        <v>0</v>
      </c>
      <c r="AH324">
        <f>IF($A324="","",IFERROR(VLOOKUP($B324,_CONFIG_Risk_Calibration!$A$5:$H$21,4,FALSE),3))</f>
        <v>3</v>
      </c>
      <c r="AI324">
        <f>IF($A324="","",IFERROR(VLOOKUP($B324,_CONFIG_Risk_Calibration!$A$5:$H$21,5,FALSE),3))</f>
        <v>4</v>
      </c>
      <c r="AJ324" t="str">
        <f>IF($A324="","",IFERROR(VLOOKUP($B324,_CONFIG_Risk_Calibration!$A$5:$H$21,6,FALSE),"No"))</f>
        <v>Yes</v>
      </c>
      <c r="AK324">
        <f>IF($A324="","",IFERROR(VLOOKUP($B324,_CONFIG_Risk_Calibration!$A$5:$H$21,7,FALSE),1))</f>
        <v>4</v>
      </c>
      <c r="AL324" t="str">
        <f>IF($A324="","",IFERROR(VLOOKUP($B324,_CONFIG_Risk_Calibration!$A$5:$H$21,8,FALSE),""))</f>
        <v>Clean template default. Calibrate with real exposure, incident history, evidence quality and domain-owner validation.</v>
      </c>
      <c r="AM324">
        <f>IF($A324="","",IFERROR(INDEX(_DATA_Assessment_Model!$AL$1:$AL$428,MATCH($A324,_DATA_Assessment_Model!$A$1:$A$428,0)),""))</f>
        <v>0</v>
      </c>
      <c r="AN324">
        <f t="shared" si="13"/>
        <v>1</v>
      </c>
      <c r="AO324">
        <f>IF($A324="","",_CONFIG_Model_Settings!$B$172*MAX(N($AK324),(N($AF324)+N($AI324))/2))</f>
        <v>80</v>
      </c>
      <c r="AP324">
        <f t="shared" si="14"/>
        <v>80</v>
      </c>
      <c r="AQ324">
        <f>IF($AP324="","",MAX(0,$AP324*(1-(_CONFIG_Model_Settings!$B$173+_CONFIG_Model_Settings!$B$174*(N($AH324)-1)))))</f>
        <v>52</v>
      </c>
      <c r="AR324">
        <f>IF($AP324="","",MIN(100,$AP324*(1+(_CONFIG_Model_Settings!$B$173+_CONFIG_Model_Settings!$B$174*(N($AH324)-1)))))</f>
        <v>100</v>
      </c>
    </row>
    <row r="325" spans="1:44" ht="72" customHeight="1">
      <c r="A325" s="9" t="s">
        <v>2730</v>
      </c>
      <c r="B325" s="9" t="s">
        <v>2729</v>
      </c>
      <c r="C325" s="9" t="s">
        <v>677</v>
      </c>
      <c r="D325" s="9" t="s">
        <v>4377</v>
      </c>
      <c r="E325" s="9" t="s">
        <v>2731</v>
      </c>
      <c r="F325" s="9" t="s">
        <v>9124</v>
      </c>
      <c r="G325" s="9" t="s">
        <v>9125</v>
      </c>
      <c r="H325" s="9" t="s">
        <v>9126</v>
      </c>
      <c r="I325" s="9" t="s">
        <v>9127</v>
      </c>
      <c r="J325" s="9" t="s">
        <v>9128</v>
      </c>
      <c r="K325" s="9" t="s">
        <v>9129</v>
      </c>
      <c r="L325" s="9" t="s">
        <v>9130</v>
      </c>
      <c r="M325" s="9" t="s">
        <v>9131</v>
      </c>
      <c r="N325" s="9" t="s">
        <v>9132</v>
      </c>
      <c r="O325" s="9" t="s">
        <v>9133</v>
      </c>
      <c r="P325" s="9" t="s">
        <v>9134</v>
      </c>
      <c r="Q325" s="9" t="s">
        <v>9135</v>
      </c>
      <c r="R325" s="9" t="s">
        <v>4589</v>
      </c>
      <c r="S325" s="9" t="s">
        <v>9136</v>
      </c>
      <c r="T325" s="9">
        <v>4</v>
      </c>
      <c r="U325" s="9">
        <v>3</v>
      </c>
      <c r="V325" s="9">
        <v>3</v>
      </c>
      <c r="W325" s="9">
        <v>2</v>
      </c>
      <c r="X325" s="9">
        <v>1</v>
      </c>
      <c r="Y325" s="9">
        <v>1</v>
      </c>
      <c r="Z325" s="9" t="s">
        <v>2733</v>
      </c>
      <c r="AA325" s="9" t="s">
        <v>2734</v>
      </c>
      <c r="AB325" s="9" t="s">
        <v>2735</v>
      </c>
      <c r="AC325" s="9" t="s">
        <v>9137</v>
      </c>
      <c r="AD325" s="9" t="s">
        <v>9138</v>
      </c>
      <c r="AE325" t="str">
        <f t="shared" ref="AE325:AE388" si="15">IF($A325="","",IF(OR(ISNUMBER(SEARCH("cyber",$D325)),ISNUMBER(SEARCH("security",$D325)),ISNUMBER(SEARCH("safety",$D325)),ISNUMBER(SEARCH("liquidity",$D325)),ISNUMBER(SEARCH("cash",$D325)),ISNUMBER(SEARCH("continuity",$D325)),ISNUMBER(SEARCH("infrastructure",$D325)),ISNUMBER(SEARCH("outage",$D325))),"Fast",IF(OR(ISNUMBER(SEARCH("compliance",$D325)),ISNUMBER(SEARCH("regulat",$D325)),ISNUMBER(SEARCH("data",$D325)),ISNUMBER(SEARCH("talent",$D325)),ISNUMBER(SEARCH("knowledge",$D325)),ISNUMBER(SEARCH("portfolio",$D325)),ISNUMBER(SEARCH("quality",$D325))),"Slow","Medium")))</f>
        <v>Fast</v>
      </c>
      <c r="AF325">
        <f>IF($A325="","",IFERROR(VLOOKUP($B325,_CONFIG_Risk_Calibration!$A$5:$H$21,2,FALSE),3))</f>
        <v>3</v>
      </c>
      <c r="AG325">
        <f>IF($A325="","",IFERROR(VLOOKUP($B325,_CONFIG_Risk_Calibration!$A$5:$H$21,3,FALSE),0))</f>
        <v>0</v>
      </c>
      <c r="AH325">
        <f>IF($A325="","",IFERROR(VLOOKUP($B325,_CONFIG_Risk_Calibration!$A$5:$H$21,4,FALSE),3))</f>
        <v>3</v>
      </c>
      <c r="AI325">
        <f>IF($A325="","",IFERROR(VLOOKUP($B325,_CONFIG_Risk_Calibration!$A$5:$H$21,5,FALSE),3))</f>
        <v>4</v>
      </c>
      <c r="AJ325" t="str">
        <f>IF($A325="","",IFERROR(VLOOKUP($B325,_CONFIG_Risk_Calibration!$A$5:$H$21,6,FALSE),"No"))</f>
        <v>Yes</v>
      </c>
      <c r="AK325">
        <f>IF($A325="","",IFERROR(VLOOKUP($B325,_CONFIG_Risk_Calibration!$A$5:$H$21,7,FALSE),1))</f>
        <v>4</v>
      </c>
      <c r="AL325" t="str">
        <f>IF($A325="","",IFERROR(VLOOKUP($B325,_CONFIG_Risk_Calibration!$A$5:$H$21,8,FALSE),""))</f>
        <v>Clean template default. Calibrate with real exposure, incident history, evidence quality and domain-owner validation.</v>
      </c>
      <c r="AM325">
        <f>IF($A325="","",IFERROR(INDEX(_DATA_Assessment_Model!$AL$1:$AL$428,MATCH($A325,_DATA_Assessment_Model!$A$1:$A$428,0)),""))</f>
        <v>0</v>
      </c>
      <c r="AN325">
        <f t="shared" ref="AN325:AN388" si="16">IF($AM325="","",MAX(0,(5-$AM325)/5))</f>
        <v>1</v>
      </c>
      <c r="AO325">
        <f>IF($A325="","",_CONFIG_Model_Settings!$B$172*MAX(N($AK325),(N($AF325)+N($AI325))/2))</f>
        <v>80</v>
      </c>
      <c r="AP325">
        <f t="shared" ref="AP325:AP388" si="17">IF(OR($A325="",$AN325=""),"",$AN325*$AO325)</f>
        <v>80</v>
      </c>
      <c r="AQ325">
        <f>IF($AP325="","",MAX(0,$AP325*(1-(_CONFIG_Model_Settings!$B$173+_CONFIG_Model_Settings!$B$174*(N($AH325)-1)))))</f>
        <v>52</v>
      </c>
      <c r="AR325">
        <f>IF($AP325="","",MIN(100,$AP325*(1+(_CONFIG_Model_Settings!$B$173+_CONFIG_Model_Settings!$B$174*(N($AH325)-1)))))</f>
        <v>100</v>
      </c>
    </row>
    <row r="326" spans="1:44" ht="84" customHeight="1">
      <c r="A326" s="9" t="s">
        <v>2736</v>
      </c>
      <c r="B326" s="9" t="s">
        <v>2729</v>
      </c>
      <c r="C326" s="9" t="s">
        <v>677</v>
      </c>
      <c r="D326" s="9" t="s">
        <v>4377</v>
      </c>
      <c r="E326" s="9" t="s">
        <v>2737</v>
      </c>
      <c r="F326" s="9" t="s">
        <v>9139</v>
      </c>
      <c r="G326" s="9" t="s">
        <v>9140</v>
      </c>
      <c r="H326" s="9" t="s">
        <v>9141</v>
      </c>
      <c r="I326" s="9" t="s">
        <v>9142</v>
      </c>
      <c r="J326" s="9" t="s">
        <v>9143</v>
      </c>
      <c r="K326" s="9" t="s">
        <v>9144</v>
      </c>
      <c r="L326" s="9" t="s">
        <v>9145</v>
      </c>
      <c r="M326" s="9" t="s">
        <v>9146</v>
      </c>
      <c r="N326" s="9" t="s">
        <v>9147</v>
      </c>
      <c r="O326" s="9" t="s">
        <v>9148</v>
      </c>
      <c r="P326" s="9" t="s">
        <v>9149</v>
      </c>
      <c r="Q326" s="9" t="s">
        <v>9150</v>
      </c>
      <c r="R326" s="9" t="s">
        <v>4589</v>
      </c>
      <c r="S326" s="9" t="s">
        <v>9151</v>
      </c>
      <c r="T326" s="9">
        <v>4</v>
      </c>
      <c r="U326" s="9">
        <v>3</v>
      </c>
      <c r="V326" s="9">
        <v>3</v>
      </c>
      <c r="W326" s="9">
        <v>2</v>
      </c>
      <c r="X326" s="9">
        <v>1</v>
      </c>
      <c r="Y326" s="9">
        <v>1</v>
      </c>
      <c r="Z326" s="9" t="s">
        <v>2733</v>
      </c>
      <c r="AA326" s="9" t="s">
        <v>2738</v>
      </c>
      <c r="AB326" s="9" t="s">
        <v>2735</v>
      </c>
      <c r="AC326" s="9" t="s">
        <v>9137</v>
      </c>
      <c r="AD326" s="9" t="s">
        <v>9152</v>
      </c>
      <c r="AE326" t="str">
        <f t="shared" si="15"/>
        <v>Fast</v>
      </c>
      <c r="AF326">
        <f>IF($A326="","",IFERROR(VLOOKUP($B326,_CONFIG_Risk_Calibration!$A$5:$H$21,2,FALSE),3))</f>
        <v>3</v>
      </c>
      <c r="AG326">
        <f>IF($A326="","",IFERROR(VLOOKUP($B326,_CONFIG_Risk_Calibration!$A$5:$H$21,3,FALSE),0))</f>
        <v>0</v>
      </c>
      <c r="AH326">
        <f>IF($A326="","",IFERROR(VLOOKUP($B326,_CONFIG_Risk_Calibration!$A$5:$H$21,4,FALSE),3))</f>
        <v>3</v>
      </c>
      <c r="AI326">
        <f>IF($A326="","",IFERROR(VLOOKUP($B326,_CONFIG_Risk_Calibration!$A$5:$H$21,5,FALSE),3))</f>
        <v>4</v>
      </c>
      <c r="AJ326" t="str">
        <f>IF($A326="","",IFERROR(VLOOKUP($B326,_CONFIG_Risk_Calibration!$A$5:$H$21,6,FALSE),"No"))</f>
        <v>Yes</v>
      </c>
      <c r="AK326">
        <f>IF($A326="","",IFERROR(VLOOKUP($B326,_CONFIG_Risk_Calibration!$A$5:$H$21,7,FALSE),1))</f>
        <v>4</v>
      </c>
      <c r="AL326" t="str">
        <f>IF($A326="","",IFERROR(VLOOKUP($B326,_CONFIG_Risk_Calibration!$A$5:$H$21,8,FALSE),""))</f>
        <v>Clean template default. Calibrate with real exposure, incident history, evidence quality and domain-owner validation.</v>
      </c>
      <c r="AM326">
        <f>IF($A326="","",IFERROR(INDEX(_DATA_Assessment_Model!$AL$1:$AL$428,MATCH($A326,_DATA_Assessment_Model!$A$1:$A$428,0)),""))</f>
        <v>0</v>
      </c>
      <c r="AN326">
        <f t="shared" si="16"/>
        <v>1</v>
      </c>
      <c r="AO326">
        <f>IF($A326="","",_CONFIG_Model_Settings!$B$172*MAX(N($AK326),(N($AF326)+N($AI326))/2))</f>
        <v>80</v>
      </c>
      <c r="AP326">
        <f t="shared" si="17"/>
        <v>80</v>
      </c>
      <c r="AQ326">
        <f>IF($AP326="","",MAX(0,$AP326*(1-(_CONFIG_Model_Settings!$B$173+_CONFIG_Model_Settings!$B$174*(N($AH326)-1)))))</f>
        <v>52</v>
      </c>
      <c r="AR326">
        <f>IF($AP326="","",MIN(100,$AP326*(1+(_CONFIG_Model_Settings!$B$173+_CONFIG_Model_Settings!$B$174*(N($AH326)-1)))))</f>
        <v>100</v>
      </c>
    </row>
    <row r="327" spans="1:44" ht="72" customHeight="1">
      <c r="A327" s="9" t="s">
        <v>2740</v>
      </c>
      <c r="B327" s="9" t="s">
        <v>2729</v>
      </c>
      <c r="C327" s="9" t="s">
        <v>677</v>
      </c>
      <c r="D327" s="9" t="s">
        <v>4377</v>
      </c>
      <c r="E327" s="9" t="s">
        <v>2741</v>
      </c>
      <c r="F327" s="9" t="s">
        <v>9153</v>
      </c>
      <c r="G327" s="9" t="s">
        <v>9154</v>
      </c>
      <c r="H327" s="9" t="s">
        <v>9155</v>
      </c>
      <c r="I327" s="9" t="s">
        <v>9156</v>
      </c>
      <c r="J327" s="9" t="s">
        <v>9157</v>
      </c>
      <c r="K327" s="9" t="s">
        <v>9158</v>
      </c>
      <c r="L327" s="9" t="s">
        <v>9159</v>
      </c>
      <c r="M327" s="9" t="s">
        <v>9160</v>
      </c>
      <c r="N327" s="9" t="s">
        <v>9161</v>
      </c>
      <c r="O327" s="9" t="s">
        <v>9162</v>
      </c>
      <c r="P327" s="9" t="s">
        <v>9163</v>
      </c>
      <c r="Q327" s="9" t="s">
        <v>9164</v>
      </c>
      <c r="R327" s="9" t="s">
        <v>4589</v>
      </c>
      <c r="S327" s="9" t="s">
        <v>9165</v>
      </c>
      <c r="T327" s="9">
        <v>4</v>
      </c>
      <c r="U327" s="9">
        <v>3</v>
      </c>
      <c r="V327" s="9">
        <v>3</v>
      </c>
      <c r="W327" s="9">
        <v>2</v>
      </c>
      <c r="X327" s="9">
        <v>1</v>
      </c>
      <c r="Y327" s="9">
        <v>1</v>
      </c>
      <c r="Z327" s="9" t="s">
        <v>2733</v>
      </c>
      <c r="AA327" s="9" t="s">
        <v>2742</v>
      </c>
      <c r="AB327" s="9" t="s">
        <v>2735</v>
      </c>
      <c r="AC327" s="9" t="s">
        <v>9137</v>
      </c>
      <c r="AD327" s="9" t="s">
        <v>9166</v>
      </c>
      <c r="AE327" t="str">
        <f t="shared" si="15"/>
        <v>Fast</v>
      </c>
      <c r="AF327">
        <f>IF($A327="","",IFERROR(VLOOKUP($B327,_CONFIG_Risk_Calibration!$A$5:$H$21,2,FALSE),3))</f>
        <v>3</v>
      </c>
      <c r="AG327">
        <f>IF($A327="","",IFERROR(VLOOKUP($B327,_CONFIG_Risk_Calibration!$A$5:$H$21,3,FALSE),0))</f>
        <v>0</v>
      </c>
      <c r="AH327">
        <f>IF($A327="","",IFERROR(VLOOKUP($B327,_CONFIG_Risk_Calibration!$A$5:$H$21,4,FALSE),3))</f>
        <v>3</v>
      </c>
      <c r="AI327">
        <f>IF($A327="","",IFERROR(VLOOKUP($B327,_CONFIG_Risk_Calibration!$A$5:$H$21,5,FALSE),3))</f>
        <v>4</v>
      </c>
      <c r="AJ327" t="str">
        <f>IF($A327="","",IFERROR(VLOOKUP($B327,_CONFIG_Risk_Calibration!$A$5:$H$21,6,FALSE),"No"))</f>
        <v>Yes</v>
      </c>
      <c r="AK327">
        <f>IF($A327="","",IFERROR(VLOOKUP($B327,_CONFIG_Risk_Calibration!$A$5:$H$21,7,FALSE),1))</f>
        <v>4</v>
      </c>
      <c r="AL327" t="str">
        <f>IF($A327="","",IFERROR(VLOOKUP($B327,_CONFIG_Risk_Calibration!$A$5:$H$21,8,FALSE),""))</f>
        <v>Clean template default. Calibrate with real exposure, incident history, evidence quality and domain-owner validation.</v>
      </c>
      <c r="AM327">
        <f>IF($A327="","",IFERROR(INDEX(_DATA_Assessment_Model!$AL$1:$AL$428,MATCH($A327,_DATA_Assessment_Model!$A$1:$A$428,0)),""))</f>
        <v>0</v>
      </c>
      <c r="AN327">
        <f t="shared" si="16"/>
        <v>1</v>
      </c>
      <c r="AO327">
        <f>IF($A327="","",_CONFIG_Model_Settings!$B$172*MAX(N($AK327),(N($AF327)+N($AI327))/2))</f>
        <v>80</v>
      </c>
      <c r="AP327">
        <f t="shared" si="17"/>
        <v>80</v>
      </c>
      <c r="AQ327">
        <f>IF($AP327="","",MAX(0,$AP327*(1-(_CONFIG_Model_Settings!$B$173+_CONFIG_Model_Settings!$B$174*(N($AH327)-1)))))</f>
        <v>52</v>
      </c>
      <c r="AR327">
        <f>IF($AP327="","",MIN(100,$AP327*(1+(_CONFIG_Model_Settings!$B$173+_CONFIG_Model_Settings!$B$174*(N($AH327)-1)))))</f>
        <v>100</v>
      </c>
    </row>
    <row r="328" spans="1:44" ht="72" customHeight="1">
      <c r="A328" s="9" t="s">
        <v>2744</v>
      </c>
      <c r="B328" s="9" t="s">
        <v>2729</v>
      </c>
      <c r="C328" s="9" t="s">
        <v>677</v>
      </c>
      <c r="D328" s="9" t="s">
        <v>4377</v>
      </c>
      <c r="E328" s="9" t="s">
        <v>2745</v>
      </c>
      <c r="F328" s="9" t="s">
        <v>9167</v>
      </c>
      <c r="G328" s="9" t="s">
        <v>9168</v>
      </c>
      <c r="H328" s="9" t="s">
        <v>9169</v>
      </c>
      <c r="I328" s="9" t="s">
        <v>9170</v>
      </c>
      <c r="J328" s="9" t="s">
        <v>9171</v>
      </c>
      <c r="K328" s="9" t="s">
        <v>9172</v>
      </c>
      <c r="L328" s="9" t="s">
        <v>9173</v>
      </c>
      <c r="M328" s="9" t="s">
        <v>9174</v>
      </c>
      <c r="N328" s="9" t="s">
        <v>9175</v>
      </c>
      <c r="O328" s="9" t="s">
        <v>9176</v>
      </c>
      <c r="P328" s="9" t="s">
        <v>9177</v>
      </c>
      <c r="Q328" s="9" t="s">
        <v>9178</v>
      </c>
      <c r="R328" s="9" t="s">
        <v>4589</v>
      </c>
      <c r="S328" s="9" t="s">
        <v>9179</v>
      </c>
      <c r="T328" s="9">
        <v>4</v>
      </c>
      <c r="U328" s="9">
        <v>3</v>
      </c>
      <c r="V328" s="9">
        <v>3</v>
      </c>
      <c r="W328" s="9">
        <v>2</v>
      </c>
      <c r="X328" s="9">
        <v>1</v>
      </c>
      <c r="Y328" s="9">
        <v>1</v>
      </c>
      <c r="Z328" s="9" t="s">
        <v>2733</v>
      </c>
      <c r="AA328" s="9" t="s">
        <v>2746</v>
      </c>
      <c r="AB328" s="9" t="s">
        <v>2735</v>
      </c>
      <c r="AC328" s="9" t="s">
        <v>9137</v>
      </c>
      <c r="AD328" s="9" t="s">
        <v>9180</v>
      </c>
      <c r="AE328" t="str">
        <f t="shared" si="15"/>
        <v>Fast</v>
      </c>
      <c r="AF328">
        <f>IF($A328="","",IFERROR(VLOOKUP($B328,_CONFIG_Risk_Calibration!$A$5:$H$21,2,FALSE),3))</f>
        <v>3</v>
      </c>
      <c r="AG328">
        <f>IF($A328="","",IFERROR(VLOOKUP($B328,_CONFIG_Risk_Calibration!$A$5:$H$21,3,FALSE),0))</f>
        <v>0</v>
      </c>
      <c r="AH328">
        <f>IF($A328="","",IFERROR(VLOOKUP($B328,_CONFIG_Risk_Calibration!$A$5:$H$21,4,FALSE),3))</f>
        <v>3</v>
      </c>
      <c r="AI328">
        <f>IF($A328="","",IFERROR(VLOOKUP($B328,_CONFIG_Risk_Calibration!$A$5:$H$21,5,FALSE),3))</f>
        <v>4</v>
      </c>
      <c r="AJ328" t="str">
        <f>IF($A328="","",IFERROR(VLOOKUP($B328,_CONFIG_Risk_Calibration!$A$5:$H$21,6,FALSE),"No"))</f>
        <v>Yes</v>
      </c>
      <c r="AK328">
        <f>IF($A328="","",IFERROR(VLOOKUP($B328,_CONFIG_Risk_Calibration!$A$5:$H$21,7,FALSE),1))</f>
        <v>4</v>
      </c>
      <c r="AL328" t="str">
        <f>IF($A328="","",IFERROR(VLOOKUP($B328,_CONFIG_Risk_Calibration!$A$5:$H$21,8,FALSE),""))</f>
        <v>Clean template default. Calibrate with real exposure, incident history, evidence quality and domain-owner validation.</v>
      </c>
      <c r="AM328">
        <f>IF($A328="","",IFERROR(INDEX(_DATA_Assessment_Model!$AL$1:$AL$428,MATCH($A328,_DATA_Assessment_Model!$A$1:$A$428,0)),""))</f>
        <v>0</v>
      </c>
      <c r="AN328">
        <f t="shared" si="16"/>
        <v>1</v>
      </c>
      <c r="AO328">
        <f>IF($A328="","",_CONFIG_Model_Settings!$B$172*MAX(N($AK328),(N($AF328)+N($AI328))/2))</f>
        <v>80</v>
      </c>
      <c r="AP328">
        <f t="shared" si="17"/>
        <v>80</v>
      </c>
      <c r="AQ328">
        <f>IF($AP328="","",MAX(0,$AP328*(1-(_CONFIG_Model_Settings!$B$173+_CONFIG_Model_Settings!$B$174*(N($AH328)-1)))))</f>
        <v>52</v>
      </c>
      <c r="AR328">
        <f>IF($AP328="","",MIN(100,$AP328*(1+(_CONFIG_Model_Settings!$B$173+_CONFIG_Model_Settings!$B$174*(N($AH328)-1)))))</f>
        <v>100</v>
      </c>
    </row>
    <row r="329" spans="1:44" ht="72" customHeight="1">
      <c r="A329" s="9" t="s">
        <v>2748</v>
      </c>
      <c r="B329" s="9" t="s">
        <v>2729</v>
      </c>
      <c r="C329" s="9" t="s">
        <v>677</v>
      </c>
      <c r="D329" s="9" t="s">
        <v>4377</v>
      </c>
      <c r="E329" s="9" t="s">
        <v>2749</v>
      </c>
      <c r="F329" s="9" t="s">
        <v>9181</v>
      </c>
      <c r="G329" s="9" t="s">
        <v>9182</v>
      </c>
      <c r="H329" s="9" t="s">
        <v>9183</v>
      </c>
      <c r="I329" s="9" t="s">
        <v>9184</v>
      </c>
      <c r="J329" s="9" t="s">
        <v>9185</v>
      </c>
      <c r="K329" s="9" t="s">
        <v>9186</v>
      </c>
      <c r="L329" s="9" t="s">
        <v>9187</v>
      </c>
      <c r="M329" s="9" t="s">
        <v>9188</v>
      </c>
      <c r="N329" s="9" t="s">
        <v>9189</v>
      </c>
      <c r="O329" s="9" t="s">
        <v>9190</v>
      </c>
      <c r="P329" s="9" t="s">
        <v>9191</v>
      </c>
      <c r="Q329" s="9" t="s">
        <v>9192</v>
      </c>
      <c r="R329" s="9" t="s">
        <v>4589</v>
      </c>
      <c r="S329" s="9" t="s">
        <v>9193</v>
      </c>
      <c r="T329" s="9">
        <v>4</v>
      </c>
      <c r="U329" s="9">
        <v>3</v>
      </c>
      <c r="V329" s="9">
        <v>3</v>
      </c>
      <c r="W329" s="9">
        <v>2</v>
      </c>
      <c r="X329" s="9">
        <v>1</v>
      </c>
      <c r="Y329" s="9">
        <v>1</v>
      </c>
      <c r="Z329" s="9" t="s">
        <v>2733</v>
      </c>
      <c r="AA329" s="9" t="s">
        <v>2750</v>
      </c>
      <c r="AB329" s="9" t="s">
        <v>2735</v>
      </c>
      <c r="AC329" s="9" t="s">
        <v>9137</v>
      </c>
      <c r="AD329" s="9" t="s">
        <v>9194</v>
      </c>
      <c r="AE329" t="str">
        <f t="shared" si="15"/>
        <v>Fast</v>
      </c>
      <c r="AF329">
        <f>IF($A329="","",IFERROR(VLOOKUP($B329,_CONFIG_Risk_Calibration!$A$5:$H$21,2,FALSE),3))</f>
        <v>3</v>
      </c>
      <c r="AG329">
        <f>IF($A329="","",IFERROR(VLOOKUP($B329,_CONFIG_Risk_Calibration!$A$5:$H$21,3,FALSE),0))</f>
        <v>0</v>
      </c>
      <c r="AH329">
        <f>IF($A329="","",IFERROR(VLOOKUP($B329,_CONFIG_Risk_Calibration!$A$5:$H$21,4,FALSE),3))</f>
        <v>3</v>
      </c>
      <c r="AI329">
        <f>IF($A329="","",IFERROR(VLOOKUP($B329,_CONFIG_Risk_Calibration!$A$5:$H$21,5,FALSE),3))</f>
        <v>4</v>
      </c>
      <c r="AJ329" t="str">
        <f>IF($A329="","",IFERROR(VLOOKUP($B329,_CONFIG_Risk_Calibration!$A$5:$H$21,6,FALSE),"No"))</f>
        <v>Yes</v>
      </c>
      <c r="AK329">
        <f>IF($A329="","",IFERROR(VLOOKUP($B329,_CONFIG_Risk_Calibration!$A$5:$H$21,7,FALSE),1))</f>
        <v>4</v>
      </c>
      <c r="AL329" t="str">
        <f>IF($A329="","",IFERROR(VLOOKUP($B329,_CONFIG_Risk_Calibration!$A$5:$H$21,8,FALSE),""))</f>
        <v>Clean template default. Calibrate with real exposure, incident history, evidence quality and domain-owner validation.</v>
      </c>
      <c r="AM329">
        <f>IF($A329="","",IFERROR(INDEX(_DATA_Assessment_Model!$AL$1:$AL$428,MATCH($A329,_DATA_Assessment_Model!$A$1:$A$428,0)),""))</f>
        <v>0</v>
      </c>
      <c r="AN329">
        <f t="shared" si="16"/>
        <v>1</v>
      </c>
      <c r="AO329">
        <f>IF($A329="","",_CONFIG_Model_Settings!$B$172*MAX(N($AK329),(N($AF329)+N($AI329))/2))</f>
        <v>80</v>
      </c>
      <c r="AP329">
        <f t="shared" si="17"/>
        <v>80</v>
      </c>
      <c r="AQ329">
        <f>IF($AP329="","",MAX(0,$AP329*(1-(_CONFIG_Model_Settings!$B$173+_CONFIG_Model_Settings!$B$174*(N($AH329)-1)))))</f>
        <v>52</v>
      </c>
      <c r="AR329">
        <f>IF($AP329="","",MIN(100,$AP329*(1+(_CONFIG_Model_Settings!$B$173+_CONFIG_Model_Settings!$B$174*(N($AH329)-1)))))</f>
        <v>100</v>
      </c>
    </row>
    <row r="330" spans="1:44" ht="72" customHeight="1">
      <c r="A330" s="9" t="s">
        <v>2752</v>
      </c>
      <c r="B330" s="9" t="s">
        <v>2729</v>
      </c>
      <c r="C330" s="9" t="s">
        <v>2739</v>
      </c>
      <c r="D330" s="9" t="s">
        <v>4377</v>
      </c>
      <c r="E330" s="9" t="s">
        <v>2753</v>
      </c>
      <c r="F330" s="9" t="s">
        <v>9195</v>
      </c>
      <c r="G330" s="9" t="s">
        <v>9196</v>
      </c>
      <c r="H330" s="9" t="s">
        <v>9197</v>
      </c>
      <c r="I330" s="9" t="s">
        <v>9198</v>
      </c>
      <c r="J330" s="9" t="s">
        <v>9199</v>
      </c>
      <c r="K330" s="9" t="s">
        <v>9200</v>
      </c>
      <c r="L330" s="9" t="s">
        <v>9201</v>
      </c>
      <c r="M330" s="9" t="s">
        <v>9202</v>
      </c>
      <c r="N330" s="9" t="s">
        <v>9203</v>
      </c>
      <c r="O330" s="9" t="s">
        <v>9204</v>
      </c>
      <c r="P330" s="9" t="s">
        <v>9205</v>
      </c>
      <c r="Q330" s="9" t="s">
        <v>9206</v>
      </c>
      <c r="R330" s="9" t="s">
        <v>4589</v>
      </c>
      <c r="S330" s="9" t="s">
        <v>9207</v>
      </c>
      <c r="T330" s="9">
        <v>4</v>
      </c>
      <c r="U330" s="9">
        <v>3</v>
      </c>
      <c r="V330" s="9">
        <v>3</v>
      </c>
      <c r="W330" s="9">
        <v>2</v>
      </c>
      <c r="X330" s="9">
        <v>1</v>
      </c>
      <c r="Y330" s="9">
        <v>1</v>
      </c>
      <c r="Z330" s="9" t="s">
        <v>2733</v>
      </c>
      <c r="AA330" s="9" t="s">
        <v>2754</v>
      </c>
      <c r="AB330" s="9" t="s">
        <v>2735</v>
      </c>
      <c r="AC330" s="9" t="s">
        <v>9137</v>
      </c>
      <c r="AD330" s="9" t="s">
        <v>9208</v>
      </c>
      <c r="AE330" t="str">
        <f t="shared" si="15"/>
        <v>Fast</v>
      </c>
      <c r="AF330">
        <f>IF($A330="","",IFERROR(VLOOKUP($B330,_CONFIG_Risk_Calibration!$A$5:$H$21,2,FALSE),3))</f>
        <v>3</v>
      </c>
      <c r="AG330">
        <f>IF($A330="","",IFERROR(VLOOKUP($B330,_CONFIG_Risk_Calibration!$A$5:$H$21,3,FALSE),0))</f>
        <v>0</v>
      </c>
      <c r="AH330">
        <f>IF($A330="","",IFERROR(VLOOKUP($B330,_CONFIG_Risk_Calibration!$A$5:$H$21,4,FALSE),3))</f>
        <v>3</v>
      </c>
      <c r="AI330">
        <f>IF($A330="","",IFERROR(VLOOKUP($B330,_CONFIG_Risk_Calibration!$A$5:$H$21,5,FALSE),3))</f>
        <v>4</v>
      </c>
      <c r="AJ330" t="str">
        <f>IF($A330="","",IFERROR(VLOOKUP($B330,_CONFIG_Risk_Calibration!$A$5:$H$21,6,FALSE),"No"))</f>
        <v>Yes</v>
      </c>
      <c r="AK330">
        <f>IF($A330="","",IFERROR(VLOOKUP($B330,_CONFIG_Risk_Calibration!$A$5:$H$21,7,FALSE),1))</f>
        <v>4</v>
      </c>
      <c r="AL330" t="str">
        <f>IF($A330="","",IFERROR(VLOOKUP($B330,_CONFIG_Risk_Calibration!$A$5:$H$21,8,FALSE),""))</f>
        <v>Clean template default. Calibrate with real exposure, incident history, evidence quality and domain-owner validation.</v>
      </c>
      <c r="AM330">
        <f>IF($A330="","",IFERROR(INDEX(_DATA_Assessment_Model!$AL$1:$AL$428,MATCH($A330,_DATA_Assessment_Model!$A$1:$A$428,0)),""))</f>
        <v>0</v>
      </c>
      <c r="AN330">
        <f t="shared" si="16"/>
        <v>1</v>
      </c>
      <c r="AO330">
        <f>IF($A330="","",_CONFIG_Model_Settings!$B$172*MAX(N($AK330),(N($AF330)+N($AI330))/2))</f>
        <v>80</v>
      </c>
      <c r="AP330">
        <f t="shared" si="17"/>
        <v>80</v>
      </c>
      <c r="AQ330">
        <f>IF($AP330="","",MAX(0,$AP330*(1-(_CONFIG_Model_Settings!$B$173+_CONFIG_Model_Settings!$B$174*(N($AH330)-1)))))</f>
        <v>52</v>
      </c>
      <c r="AR330">
        <f>IF($AP330="","",MIN(100,$AP330*(1+(_CONFIG_Model_Settings!$B$173+_CONFIG_Model_Settings!$B$174*(N($AH330)-1)))))</f>
        <v>100</v>
      </c>
    </row>
    <row r="331" spans="1:44" ht="72" customHeight="1">
      <c r="A331" s="9" t="s">
        <v>2755</v>
      </c>
      <c r="B331" s="9" t="s">
        <v>2729</v>
      </c>
      <c r="C331" s="9" t="s">
        <v>2739</v>
      </c>
      <c r="D331" s="9" t="s">
        <v>4377</v>
      </c>
      <c r="E331" s="9" t="s">
        <v>2756</v>
      </c>
      <c r="F331" s="9" t="s">
        <v>9209</v>
      </c>
      <c r="G331" s="9" t="s">
        <v>9210</v>
      </c>
      <c r="H331" s="9" t="s">
        <v>9211</v>
      </c>
      <c r="I331" s="9" t="s">
        <v>9212</v>
      </c>
      <c r="J331" s="9" t="s">
        <v>9213</v>
      </c>
      <c r="K331" s="9" t="s">
        <v>9214</v>
      </c>
      <c r="L331" s="9" t="s">
        <v>9215</v>
      </c>
      <c r="M331" s="9" t="s">
        <v>9216</v>
      </c>
      <c r="N331" s="9" t="s">
        <v>9217</v>
      </c>
      <c r="O331" s="9" t="s">
        <v>9218</v>
      </c>
      <c r="P331" s="9" t="s">
        <v>9219</v>
      </c>
      <c r="Q331" s="9" t="s">
        <v>9220</v>
      </c>
      <c r="R331" s="9" t="s">
        <v>4589</v>
      </c>
      <c r="S331" s="9" t="s">
        <v>9221</v>
      </c>
      <c r="T331" s="9">
        <v>4</v>
      </c>
      <c r="U331" s="9">
        <v>3</v>
      </c>
      <c r="V331" s="9">
        <v>3</v>
      </c>
      <c r="W331" s="9">
        <v>2</v>
      </c>
      <c r="X331" s="9">
        <v>1</v>
      </c>
      <c r="Y331" s="9">
        <v>1</v>
      </c>
      <c r="Z331" s="9" t="s">
        <v>2733</v>
      </c>
      <c r="AA331" s="9" t="s">
        <v>2757</v>
      </c>
      <c r="AB331" s="9" t="s">
        <v>2735</v>
      </c>
      <c r="AC331" s="9" t="s">
        <v>9137</v>
      </c>
      <c r="AD331" s="9" t="s">
        <v>9222</v>
      </c>
      <c r="AE331" t="str">
        <f t="shared" si="15"/>
        <v>Fast</v>
      </c>
      <c r="AF331">
        <f>IF($A331="","",IFERROR(VLOOKUP($B331,_CONFIG_Risk_Calibration!$A$5:$H$21,2,FALSE),3))</f>
        <v>3</v>
      </c>
      <c r="AG331">
        <f>IF($A331="","",IFERROR(VLOOKUP($B331,_CONFIG_Risk_Calibration!$A$5:$H$21,3,FALSE),0))</f>
        <v>0</v>
      </c>
      <c r="AH331">
        <f>IF($A331="","",IFERROR(VLOOKUP($B331,_CONFIG_Risk_Calibration!$A$5:$H$21,4,FALSE),3))</f>
        <v>3</v>
      </c>
      <c r="AI331">
        <f>IF($A331="","",IFERROR(VLOOKUP($B331,_CONFIG_Risk_Calibration!$A$5:$H$21,5,FALSE),3))</f>
        <v>4</v>
      </c>
      <c r="AJ331" t="str">
        <f>IF($A331="","",IFERROR(VLOOKUP($B331,_CONFIG_Risk_Calibration!$A$5:$H$21,6,FALSE),"No"))</f>
        <v>Yes</v>
      </c>
      <c r="AK331">
        <f>IF($A331="","",IFERROR(VLOOKUP($B331,_CONFIG_Risk_Calibration!$A$5:$H$21,7,FALSE),1))</f>
        <v>4</v>
      </c>
      <c r="AL331" t="str">
        <f>IF($A331="","",IFERROR(VLOOKUP($B331,_CONFIG_Risk_Calibration!$A$5:$H$21,8,FALSE),""))</f>
        <v>Clean template default. Calibrate with real exposure, incident history, evidence quality and domain-owner validation.</v>
      </c>
      <c r="AM331">
        <f>IF($A331="","",IFERROR(INDEX(_DATA_Assessment_Model!$AL$1:$AL$428,MATCH($A331,_DATA_Assessment_Model!$A$1:$A$428,0)),""))</f>
        <v>0</v>
      </c>
      <c r="AN331">
        <f t="shared" si="16"/>
        <v>1</v>
      </c>
      <c r="AO331">
        <f>IF($A331="","",_CONFIG_Model_Settings!$B$172*MAX(N($AK331),(N($AF331)+N($AI331))/2))</f>
        <v>80</v>
      </c>
      <c r="AP331">
        <f t="shared" si="17"/>
        <v>80</v>
      </c>
      <c r="AQ331">
        <f>IF($AP331="","",MAX(0,$AP331*(1-(_CONFIG_Model_Settings!$B$173+_CONFIG_Model_Settings!$B$174*(N($AH331)-1)))))</f>
        <v>52</v>
      </c>
      <c r="AR331">
        <f>IF($AP331="","",MIN(100,$AP331*(1+(_CONFIG_Model_Settings!$B$173+_CONFIG_Model_Settings!$B$174*(N($AH331)-1)))))</f>
        <v>100</v>
      </c>
    </row>
    <row r="332" spans="1:44" ht="72" customHeight="1">
      <c r="A332" s="9" t="s">
        <v>2758</v>
      </c>
      <c r="B332" s="9" t="s">
        <v>2729</v>
      </c>
      <c r="C332" s="9" t="s">
        <v>2739</v>
      </c>
      <c r="D332" s="9" t="s">
        <v>4377</v>
      </c>
      <c r="E332" s="9" t="s">
        <v>2759</v>
      </c>
      <c r="F332" s="9" t="s">
        <v>9223</v>
      </c>
      <c r="G332" s="9" t="s">
        <v>9224</v>
      </c>
      <c r="H332" s="9" t="s">
        <v>9225</v>
      </c>
      <c r="I332" s="9" t="s">
        <v>9226</v>
      </c>
      <c r="J332" s="9" t="s">
        <v>9227</v>
      </c>
      <c r="K332" s="9" t="s">
        <v>9228</v>
      </c>
      <c r="L332" s="9" t="s">
        <v>9229</v>
      </c>
      <c r="M332" s="9" t="s">
        <v>9230</v>
      </c>
      <c r="N332" s="9" t="s">
        <v>9231</v>
      </c>
      <c r="O332" s="9" t="s">
        <v>9232</v>
      </c>
      <c r="P332" s="9" t="s">
        <v>9233</v>
      </c>
      <c r="Q332" s="9" t="s">
        <v>9234</v>
      </c>
      <c r="R332" s="9" t="s">
        <v>4589</v>
      </c>
      <c r="S332" s="9" t="s">
        <v>9235</v>
      </c>
      <c r="T332" s="9">
        <v>4</v>
      </c>
      <c r="U332" s="9">
        <v>3</v>
      </c>
      <c r="V332" s="9">
        <v>3</v>
      </c>
      <c r="W332" s="9">
        <v>2</v>
      </c>
      <c r="X332" s="9">
        <v>1</v>
      </c>
      <c r="Y332" s="9">
        <v>1</v>
      </c>
      <c r="Z332" s="9" t="s">
        <v>2733</v>
      </c>
      <c r="AA332" s="9" t="s">
        <v>2760</v>
      </c>
      <c r="AB332" s="9" t="s">
        <v>2735</v>
      </c>
      <c r="AC332" s="9" t="s">
        <v>9137</v>
      </c>
      <c r="AD332" s="9" t="s">
        <v>9236</v>
      </c>
      <c r="AE332" t="str">
        <f t="shared" si="15"/>
        <v>Fast</v>
      </c>
      <c r="AF332">
        <f>IF($A332="","",IFERROR(VLOOKUP($B332,_CONFIG_Risk_Calibration!$A$5:$H$21,2,FALSE),3))</f>
        <v>3</v>
      </c>
      <c r="AG332">
        <f>IF($A332="","",IFERROR(VLOOKUP($B332,_CONFIG_Risk_Calibration!$A$5:$H$21,3,FALSE),0))</f>
        <v>0</v>
      </c>
      <c r="AH332">
        <f>IF($A332="","",IFERROR(VLOOKUP($B332,_CONFIG_Risk_Calibration!$A$5:$H$21,4,FALSE),3))</f>
        <v>3</v>
      </c>
      <c r="AI332">
        <f>IF($A332="","",IFERROR(VLOOKUP($B332,_CONFIG_Risk_Calibration!$A$5:$H$21,5,FALSE),3))</f>
        <v>4</v>
      </c>
      <c r="AJ332" t="str">
        <f>IF($A332="","",IFERROR(VLOOKUP($B332,_CONFIG_Risk_Calibration!$A$5:$H$21,6,FALSE),"No"))</f>
        <v>Yes</v>
      </c>
      <c r="AK332">
        <f>IF($A332="","",IFERROR(VLOOKUP($B332,_CONFIG_Risk_Calibration!$A$5:$H$21,7,FALSE),1))</f>
        <v>4</v>
      </c>
      <c r="AL332" t="str">
        <f>IF($A332="","",IFERROR(VLOOKUP($B332,_CONFIG_Risk_Calibration!$A$5:$H$21,8,FALSE),""))</f>
        <v>Clean template default. Calibrate with real exposure, incident history, evidence quality and domain-owner validation.</v>
      </c>
      <c r="AM332">
        <f>IF($A332="","",IFERROR(INDEX(_DATA_Assessment_Model!$AL$1:$AL$428,MATCH($A332,_DATA_Assessment_Model!$A$1:$A$428,0)),""))</f>
        <v>0</v>
      </c>
      <c r="AN332">
        <f t="shared" si="16"/>
        <v>1</v>
      </c>
      <c r="AO332">
        <f>IF($A332="","",_CONFIG_Model_Settings!$B$172*MAX(N($AK332),(N($AF332)+N($AI332))/2))</f>
        <v>80</v>
      </c>
      <c r="AP332">
        <f t="shared" si="17"/>
        <v>80</v>
      </c>
      <c r="AQ332">
        <f>IF($AP332="","",MAX(0,$AP332*(1-(_CONFIG_Model_Settings!$B$173+_CONFIG_Model_Settings!$B$174*(N($AH332)-1)))))</f>
        <v>52</v>
      </c>
      <c r="AR332">
        <f>IF($AP332="","",MIN(100,$AP332*(1+(_CONFIG_Model_Settings!$B$173+_CONFIG_Model_Settings!$B$174*(N($AH332)-1)))))</f>
        <v>100</v>
      </c>
    </row>
    <row r="333" spans="1:44" ht="72" customHeight="1">
      <c r="A333" s="9" t="s">
        <v>2767</v>
      </c>
      <c r="B333" s="9" t="s">
        <v>2729</v>
      </c>
      <c r="C333" s="9" t="s">
        <v>2743</v>
      </c>
      <c r="D333" s="9" t="s">
        <v>4377</v>
      </c>
      <c r="E333" s="9" t="s">
        <v>2768</v>
      </c>
      <c r="F333" s="9" t="s">
        <v>9237</v>
      </c>
      <c r="G333" s="9" t="s">
        <v>9238</v>
      </c>
      <c r="H333" s="9" t="s">
        <v>9239</v>
      </c>
      <c r="I333" s="9" t="s">
        <v>9240</v>
      </c>
      <c r="J333" s="9" t="s">
        <v>9241</v>
      </c>
      <c r="K333" s="9" t="s">
        <v>9242</v>
      </c>
      <c r="L333" s="9" t="s">
        <v>9243</v>
      </c>
      <c r="M333" s="9" t="s">
        <v>9244</v>
      </c>
      <c r="N333" s="9" t="s">
        <v>9245</v>
      </c>
      <c r="O333" s="9" t="s">
        <v>9246</v>
      </c>
      <c r="P333" s="9" t="s">
        <v>9247</v>
      </c>
      <c r="Q333" s="9" t="s">
        <v>9248</v>
      </c>
      <c r="R333" s="9" t="s">
        <v>4589</v>
      </c>
      <c r="S333" s="9" t="s">
        <v>9249</v>
      </c>
      <c r="T333" s="9">
        <v>4</v>
      </c>
      <c r="U333" s="9">
        <v>3</v>
      </c>
      <c r="V333" s="9">
        <v>3</v>
      </c>
      <c r="W333" s="9">
        <v>2</v>
      </c>
      <c r="X333" s="9">
        <v>1</v>
      </c>
      <c r="Y333" s="9">
        <v>1</v>
      </c>
      <c r="Z333" s="9" t="s">
        <v>2733</v>
      </c>
      <c r="AA333" s="9" t="s">
        <v>2769</v>
      </c>
      <c r="AB333" s="9" t="s">
        <v>2735</v>
      </c>
      <c r="AC333" s="9" t="s">
        <v>9137</v>
      </c>
      <c r="AD333" s="9" t="s">
        <v>9250</v>
      </c>
      <c r="AE333" t="str">
        <f t="shared" si="15"/>
        <v>Fast</v>
      </c>
      <c r="AF333">
        <f>IF($A333="","",IFERROR(VLOOKUP($B333,_CONFIG_Risk_Calibration!$A$5:$H$21,2,FALSE),3))</f>
        <v>3</v>
      </c>
      <c r="AG333">
        <f>IF($A333="","",IFERROR(VLOOKUP($B333,_CONFIG_Risk_Calibration!$A$5:$H$21,3,FALSE),0))</f>
        <v>0</v>
      </c>
      <c r="AH333">
        <f>IF($A333="","",IFERROR(VLOOKUP($B333,_CONFIG_Risk_Calibration!$A$5:$H$21,4,FALSE),3))</f>
        <v>3</v>
      </c>
      <c r="AI333">
        <f>IF($A333="","",IFERROR(VLOOKUP($B333,_CONFIG_Risk_Calibration!$A$5:$H$21,5,FALSE),3))</f>
        <v>4</v>
      </c>
      <c r="AJ333" t="str">
        <f>IF($A333="","",IFERROR(VLOOKUP($B333,_CONFIG_Risk_Calibration!$A$5:$H$21,6,FALSE),"No"))</f>
        <v>Yes</v>
      </c>
      <c r="AK333">
        <f>IF($A333="","",IFERROR(VLOOKUP($B333,_CONFIG_Risk_Calibration!$A$5:$H$21,7,FALSE),1))</f>
        <v>4</v>
      </c>
      <c r="AL333" t="str">
        <f>IF($A333="","",IFERROR(VLOOKUP($B333,_CONFIG_Risk_Calibration!$A$5:$H$21,8,FALSE),""))</f>
        <v>Clean template default. Calibrate with real exposure, incident history, evidence quality and domain-owner validation.</v>
      </c>
      <c r="AM333">
        <f>IF($A333="","",IFERROR(INDEX(_DATA_Assessment_Model!$AL$1:$AL$428,MATCH($A333,_DATA_Assessment_Model!$A$1:$A$428,0)),""))</f>
        <v>0</v>
      </c>
      <c r="AN333">
        <f t="shared" si="16"/>
        <v>1</v>
      </c>
      <c r="AO333">
        <f>IF($A333="","",_CONFIG_Model_Settings!$B$172*MAX(N($AK333),(N($AF333)+N($AI333))/2))</f>
        <v>80</v>
      </c>
      <c r="AP333">
        <f t="shared" si="17"/>
        <v>80</v>
      </c>
      <c r="AQ333">
        <f>IF($AP333="","",MAX(0,$AP333*(1-(_CONFIG_Model_Settings!$B$173+_CONFIG_Model_Settings!$B$174*(N($AH333)-1)))))</f>
        <v>52</v>
      </c>
      <c r="AR333">
        <f>IF($AP333="","",MIN(100,$AP333*(1+(_CONFIG_Model_Settings!$B$173+_CONFIG_Model_Settings!$B$174*(N($AH333)-1)))))</f>
        <v>100</v>
      </c>
    </row>
    <row r="334" spans="1:44" ht="72" customHeight="1">
      <c r="A334" s="9" t="s">
        <v>2770</v>
      </c>
      <c r="B334" s="9" t="s">
        <v>2729</v>
      </c>
      <c r="C334" s="9" t="s">
        <v>2743</v>
      </c>
      <c r="D334" s="9" t="s">
        <v>4377</v>
      </c>
      <c r="E334" s="9" t="s">
        <v>2771</v>
      </c>
      <c r="F334" s="9" t="s">
        <v>9251</v>
      </c>
      <c r="G334" s="9" t="s">
        <v>9252</v>
      </c>
      <c r="H334" s="9" t="s">
        <v>9253</v>
      </c>
      <c r="I334" s="9" t="s">
        <v>9254</v>
      </c>
      <c r="J334" s="9" t="s">
        <v>9255</v>
      </c>
      <c r="K334" s="9" t="s">
        <v>9256</v>
      </c>
      <c r="L334" s="9" t="s">
        <v>9257</v>
      </c>
      <c r="M334" s="9" t="s">
        <v>9258</v>
      </c>
      <c r="N334" s="9" t="s">
        <v>9259</v>
      </c>
      <c r="O334" s="9" t="s">
        <v>9260</v>
      </c>
      <c r="P334" s="9" t="s">
        <v>9261</v>
      </c>
      <c r="Q334" s="9" t="s">
        <v>9262</v>
      </c>
      <c r="R334" s="9" t="s">
        <v>4589</v>
      </c>
      <c r="S334" s="9" t="s">
        <v>9263</v>
      </c>
      <c r="T334" s="9">
        <v>4</v>
      </c>
      <c r="U334" s="9">
        <v>3</v>
      </c>
      <c r="V334" s="9">
        <v>3</v>
      </c>
      <c r="W334" s="9">
        <v>2</v>
      </c>
      <c r="X334" s="9">
        <v>1</v>
      </c>
      <c r="Y334" s="9">
        <v>1</v>
      </c>
      <c r="Z334" s="9" t="s">
        <v>2733</v>
      </c>
      <c r="AA334" s="9" t="s">
        <v>2772</v>
      </c>
      <c r="AB334" s="9" t="s">
        <v>2735</v>
      </c>
      <c r="AC334" s="9" t="s">
        <v>9137</v>
      </c>
      <c r="AD334" s="9" t="s">
        <v>9264</v>
      </c>
      <c r="AE334" t="str">
        <f t="shared" si="15"/>
        <v>Fast</v>
      </c>
      <c r="AF334">
        <f>IF($A334="","",IFERROR(VLOOKUP($B334,_CONFIG_Risk_Calibration!$A$5:$H$21,2,FALSE),3))</f>
        <v>3</v>
      </c>
      <c r="AG334">
        <f>IF($A334="","",IFERROR(VLOOKUP($B334,_CONFIG_Risk_Calibration!$A$5:$H$21,3,FALSE),0))</f>
        <v>0</v>
      </c>
      <c r="AH334">
        <f>IF($A334="","",IFERROR(VLOOKUP($B334,_CONFIG_Risk_Calibration!$A$5:$H$21,4,FALSE),3))</f>
        <v>3</v>
      </c>
      <c r="AI334">
        <f>IF($A334="","",IFERROR(VLOOKUP($B334,_CONFIG_Risk_Calibration!$A$5:$H$21,5,FALSE),3))</f>
        <v>4</v>
      </c>
      <c r="AJ334" t="str">
        <f>IF($A334="","",IFERROR(VLOOKUP($B334,_CONFIG_Risk_Calibration!$A$5:$H$21,6,FALSE),"No"))</f>
        <v>Yes</v>
      </c>
      <c r="AK334">
        <f>IF($A334="","",IFERROR(VLOOKUP($B334,_CONFIG_Risk_Calibration!$A$5:$H$21,7,FALSE),1))</f>
        <v>4</v>
      </c>
      <c r="AL334" t="str">
        <f>IF($A334="","",IFERROR(VLOOKUP($B334,_CONFIG_Risk_Calibration!$A$5:$H$21,8,FALSE),""))</f>
        <v>Clean template default. Calibrate with real exposure, incident history, evidence quality and domain-owner validation.</v>
      </c>
      <c r="AM334">
        <f>IF($A334="","",IFERROR(INDEX(_DATA_Assessment_Model!$AL$1:$AL$428,MATCH($A334,_DATA_Assessment_Model!$A$1:$A$428,0)),""))</f>
        <v>0</v>
      </c>
      <c r="AN334">
        <f t="shared" si="16"/>
        <v>1</v>
      </c>
      <c r="AO334">
        <f>IF($A334="","",_CONFIG_Model_Settings!$B$172*MAX(N($AK334),(N($AF334)+N($AI334))/2))</f>
        <v>80</v>
      </c>
      <c r="AP334">
        <f t="shared" si="17"/>
        <v>80</v>
      </c>
      <c r="AQ334">
        <f>IF($AP334="","",MAX(0,$AP334*(1-(_CONFIG_Model_Settings!$B$173+_CONFIG_Model_Settings!$B$174*(N($AH334)-1)))))</f>
        <v>52</v>
      </c>
      <c r="AR334">
        <f>IF($AP334="","",MIN(100,$AP334*(1+(_CONFIG_Model_Settings!$B$173+_CONFIG_Model_Settings!$B$174*(N($AH334)-1)))))</f>
        <v>100</v>
      </c>
    </row>
    <row r="335" spans="1:44" ht="72" customHeight="1">
      <c r="A335" s="9" t="s">
        <v>2773</v>
      </c>
      <c r="B335" s="9" t="s">
        <v>2729</v>
      </c>
      <c r="C335" s="9" t="s">
        <v>2743</v>
      </c>
      <c r="D335" s="9" t="s">
        <v>4377</v>
      </c>
      <c r="E335" s="9" t="s">
        <v>2774</v>
      </c>
      <c r="F335" s="9" t="s">
        <v>9265</v>
      </c>
      <c r="G335" s="9" t="s">
        <v>9266</v>
      </c>
      <c r="H335" s="9" t="s">
        <v>9267</v>
      </c>
      <c r="I335" s="9" t="s">
        <v>9268</v>
      </c>
      <c r="J335" s="9" t="s">
        <v>9269</v>
      </c>
      <c r="K335" s="9" t="s">
        <v>9270</v>
      </c>
      <c r="L335" s="9" t="s">
        <v>9271</v>
      </c>
      <c r="M335" s="9" t="s">
        <v>9272</v>
      </c>
      <c r="N335" s="9" t="s">
        <v>9273</v>
      </c>
      <c r="O335" s="9" t="s">
        <v>9274</v>
      </c>
      <c r="P335" s="9" t="s">
        <v>9275</v>
      </c>
      <c r="Q335" s="9" t="s">
        <v>9276</v>
      </c>
      <c r="R335" s="9" t="s">
        <v>4589</v>
      </c>
      <c r="S335" s="9" t="s">
        <v>9277</v>
      </c>
      <c r="T335" s="9">
        <v>4</v>
      </c>
      <c r="U335" s="9">
        <v>3</v>
      </c>
      <c r="V335" s="9">
        <v>3</v>
      </c>
      <c r="W335" s="9">
        <v>2</v>
      </c>
      <c r="X335" s="9">
        <v>1</v>
      </c>
      <c r="Y335" s="9">
        <v>1</v>
      </c>
      <c r="Z335" s="9" t="s">
        <v>2733</v>
      </c>
      <c r="AA335" s="9" t="s">
        <v>2775</v>
      </c>
      <c r="AB335" s="9" t="s">
        <v>2735</v>
      </c>
      <c r="AC335" s="9" t="s">
        <v>9137</v>
      </c>
      <c r="AD335" s="9" t="s">
        <v>9278</v>
      </c>
      <c r="AE335" t="str">
        <f t="shared" si="15"/>
        <v>Fast</v>
      </c>
      <c r="AF335">
        <f>IF($A335="","",IFERROR(VLOOKUP($B335,_CONFIG_Risk_Calibration!$A$5:$H$21,2,FALSE),3))</f>
        <v>3</v>
      </c>
      <c r="AG335">
        <f>IF($A335="","",IFERROR(VLOOKUP($B335,_CONFIG_Risk_Calibration!$A$5:$H$21,3,FALSE),0))</f>
        <v>0</v>
      </c>
      <c r="AH335">
        <f>IF($A335="","",IFERROR(VLOOKUP($B335,_CONFIG_Risk_Calibration!$A$5:$H$21,4,FALSE),3))</f>
        <v>3</v>
      </c>
      <c r="AI335">
        <f>IF($A335="","",IFERROR(VLOOKUP($B335,_CONFIG_Risk_Calibration!$A$5:$H$21,5,FALSE),3))</f>
        <v>4</v>
      </c>
      <c r="AJ335" t="str">
        <f>IF($A335="","",IFERROR(VLOOKUP($B335,_CONFIG_Risk_Calibration!$A$5:$H$21,6,FALSE),"No"))</f>
        <v>Yes</v>
      </c>
      <c r="AK335">
        <f>IF($A335="","",IFERROR(VLOOKUP($B335,_CONFIG_Risk_Calibration!$A$5:$H$21,7,FALSE),1))</f>
        <v>4</v>
      </c>
      <c r="AL335" t="str">
        <f>IF($A335="","",IFERROR(VLOOKUP($B335,_CONFIG_Risk_Calibration!$A$5:$H$21,8,FALSE),""))</f>
        <v>Clean template default. Calibrate with real exposure, incident history, evidence quality and domain-owner validation.</v>
      </c>
      <c r="AM335">
        <f>IF($A335="","",IFERROR(INDEX(_DATA_Assessment_Model!$AL$1:$AL$428,MATCH($A335,_DATA_Assessment_Model!$A$1:$A$428,0)),""))</f>
        <v>0</v>
      </c>
      <c r="AN335">
        <f t="shared" si="16"/>
        <v>1</v>
      </c>
      <c r="AO335">
        <f>IF($A335="","",_CONFIG_Model_Settings!$B$172*MAX(N($AK335),(N($AF335)+N($AI335))/2))</f>
        <v>80</v>
      </c>
      <c r="AP335">
        <f t="shared" si="17"/>
        <v>80</v>
      </c>
      <c r="AQ335">
        <f>IF($AP335="","",MAX(0,$AP335*(1-(_CONFIG_Model_Settings!$B$173+_CONFIG_Model_Settings!$B$174*(N($AH335)-1)))))</f>
        <v>52</v>
      </c>
      <c r="AR335">
        <f>IF($AP335="","",MIN(100,$AP335*(1+(_CONFIG_Model_Settings!$B$173+_CONFIG_Model_Settings!$B$174*(N($AH335)-1)))))</f>
        <v>100</v>
      </c>
    </row>
    <row r="336" spans="1:44" ht="72" customHeight="1">
      <c r="A336" s="9" t="s">
        <v>2782</v>
      </c>
      <c r="B336" s="9" t="s">
        <v>2729</v>
      </c>
      <c r="C336" s="9" t="s">
        <v>2743</v>
      </c>
      <c r="D336" s="9" t="s">
        <v>4377</v>
      </c>
      <c r="E336" s="9" t="s">
        <v>2783</v>
      </c>
      <c r="F336" s="9" t="s">
        <v>9279</v>
      </c>
      <c r="G336" s="9" t="s">
        <v>9280</v>
      </c>
      <c r="H336" s="9" t="s">
        <v>9281</v>
      </c>
      <c r="I336" s="9" t="s">
        <v>9282</v>
      </c>
      <c r="J336" s="9" t="s">
        <v>9283</v>
      </c>
      <c r="K336" s="9" t="s">
        <v>9284</v>
      </c>
      <c r="L336" s="9" t="s">
        <v>9285</v>
      </c>
      <c r="M336" s="9" t="s">
        <v>9286</v>
      </c>
      <c r="N336" s="9" t="s">
        <v>9287</v>
      </c>
      <c r="O336" s="9" t="s">
        <v>9288</v>
      </c>
      <c r="P336" s="9" t="s">
        <v>9289</v>
      </c>
      <c r="Q336" s="9" t="s">
        <v>9290</v>
      </c>
      <c r="R336" s="9" t="s">
        <v>4589</v>
      </c>
      <c r="S336" s="9" t="s">
        <v>9291</v>
      </c>
      <c r="T336" s="9">
        <v>4</v>
      </c>
      <c r="U336" s="9">
        <v>3</v>
      </c>
      <c r="V336" s="9">
        <v>3</v>
      </c>
      <c r="W336" s="9">
        <v>2</v>
      </c>
      <c r="X336" s="9">
        <v>1</v>
      </c>
      <c r="Y336" s="9">
        <v>1</v>
      </c>
      <c r="Z336" s="9" t="s">
        <v>2733</v>
      </c>
      <c r="AA336" s="9" t="s">
        <v>2784</v>
      </c>
      <c r="AB336" s="9" t="s">
        <v>2735</v>
      </c>
      <c r="AC336" s="9" t="s">
        <v>9137</v>
      </c>
      <c r="AD336" s="9" t="s">
        <v>9292</v>
      </c>
      <c r="AE336" t="str">
        <f t="shared" si="15"/>
        <v>Fast</v>
      </c>
      <c r="AF336">
        <f>IF($A336="","",IFERROR(VLOOKUP($B336,_CONFIG_Risk_Calibration!$A$5:$H$21,2,FALSE),3))</f>
        <v>3</v>
      </c>
      <c r="AG336">
        <f>IF($A336="","",IFERROR(VLOOKUP($B336,_CONFIG_Risk_Calibration!$A$5:$H$21,3,FALSE),0))</f>
        <v>0</v>
      </c>
      <c r="AH336">
        <f>IF($A336="","",IFERROR(VLOOKUP($B336,_CONFIG_Risk_Calibration!$A$5:$H$21,4,FALSE),3))</f>
        <v>3</v>
      </c>
      <c r="AI336">
        <f>IF($A336="","",IFERROR(VLOOKUP($B336,_CONFIG_Risk_Calibration!$A$5:$H$21,5,FALSE),3))</f>
        <v>4</v>
      </c>
      <c r="AJ336" t="str">
        <f>IF($A336="","",IFERROR(VLOOKUP($B336,_CONFIG_Risk_Calibration!$A$5:$H$21,6,FALSE),"No"))</f>
        <v>Yes</v>
      </c>
      <c r="AK336">
        <f>IF($A336="","",IFERROR(VLOOKUP($B336,_CONFIG_Risk_Calibration!$A$5:$H$21,7,FALSE),1))</f>
        <v>4</v>
      </c>
      <c r="AL336" t="str">
        <f>IF($A336="","",IFERROR(VLOOKUP($B336,_CONFIG_Risk_Calibration!$A$5:$H$21,8,FALSE),""))</f>
        <v>Clean template default. Calibrate with real exposure, incident history, evidence quality and domain-owner validation.</v>
      </c>
      <c r="AM336">
        <f>IF($A336="","",IFERROR(INDEX(_DATA_Assessment_Model!$AL$1:$AL$428,MATCH($A336,_DATA_Assessment_Model!$A$1:$A$428,0)),""))</f>
        <v>0</v>
      </c>
      <c r="AN336">
        <f t="shared" si="16"/>
        <v>1</v>
      </c>
      <c r="AO336">
        <f>IF($A336="","",_CONFIG_Model_Settings!$B$172*MAX(N($AK336),(N($AF336)+N($AI336))/2))</f>
        <v>80</v>
      </c>
      <c r="AP336">
        <f t="shared" si="17"/>
        <v>80</v>
      </c>
      <c r="AQ336">
        <f>IF($AP336="","",MAX(0,$AP336*(1-(_CONFIG_Model_Settings!$B$173+_CONFIG_Model_Settings!$B$174*(N($AH336)-1)))))</f>
        <v>52</v>
      </c>
      <c r="AR336">
        <f>IF($AP336="","",MIN(100,$AP336*(1+(_CONFIG_Model_Settings!$B$173+_CONFIG_Model_Settings!$B$174*(N($AH336)-1)))))</f>
        <v>100</v>
      </c>
    </row>
    <row r="337" spans="1:44" ht="72" customHeight="1">
      <c r="A337" s="9" t="s">
        <v>2791</v>
      </c>
      <c r="B337" s="9" t="s">
        <v>2729</v>
      </c>
      <c r="C337" s="9" t="s">
        <v>2747</v>
      </c>
      <c r="D337" s="9" t="s">
        <v>4377</v>
      </c>
      <c r="E337" s="9" t="s">
        <v>2792</v>
      </c>
      <c r="F337" s="9" t="s">
        <v>9293</v>
      </c>
      <c r="G337" s="9" t="s">
        <v>9294</v>
      </c>
      <c r="H337" s="9" t="s">
        <v>9295</v>
      </c>
      <c r="I337" s="9" t="s">
        <v>9296</v>
      </c>
      <c r="J337" s="9" t="s">
        <v>9297</v>
      </c>
      <c r="K337" s="9" t="s">
        <v>9298</v>
      </c>
      <c r="L337" s="9" t="s">
        <v>9299</v>
      </c>
      <c r="M337" s="9" t="s">
        <v>9300</v>
      </c>
      <c r="N337" s="9" t="s">
        <v>9301</v>
      </c>
      <c r="O337" s="9" t="s">
        <v>9302</v>
      </c>
      <c r="P337" s="9" t="s">
        <v>9303</v>
      </c>
      <c r="Q337" s="9" t="s">
        <v>9304</v>
      </c>
      <c r="R337" s="9" t="s">
        <v>4589</v>
      </c>
      <c r="S337" s="9" t="s">
        <v>9305</v>
      </c>
      <c r="T337" s="9">
        <v>4</v>
      </c>
      <c r="U337" s="9">
        <v>3</v>
      </c>
      <c r="V337" s="9">
        <v>3</v>
      </c>
      <c r="W337" s="9">
        <v>2</v>
      </c>
      <c r="X337" s="9">
        <v>1</v>
      </c>
      <c r="Y337" s="9">
        <v>1</v>
      </c>
      <c r="Z337" s="9" t="s">
        <v>2733</v>
      </c>
      <c r="AA337" s="9" t="s">
        <v>2793</v>
      </c>
      <c r="AB337" s="9" t="s">
        <v>2735</v>
      </c>
      <c r="AC337" s="9" t="s">
        <v>9137</v>
      </c>
      <c r="AD337" s="9" t="s">
        <v>9306</v>
      </c>
      <c r="AE337" t="str">
        <f t="shared" si="15"/>
        <v>Fast</v>
      </c>
      <c r="AF337">
        <f>IF($A337="","",IFERROR(VLOOKUP($B337,_CONFIG_Risk_Calibration!$A$5:$H$21,2,FALSE),3))</f>
        <v>3</v>
      </c>
      <c r="AG337">
        <f>IF($A337="","",IFERROR(VLOOKUP($B337,_CONFIG_Risk_Calibration!$A$5:$H$21,3,FALSE),0))</f>
        <v>0</v>
      </c>
      <c r="AH337">
        <f>IF($A337="","",IFERROR(VLOOKUP($B337,_CONFIG_Risk_Calibration!$A$5:$H$21,4,FALSE),3))</f>
        <v>3</v>
      </c>
      <c r="AI337">
        <f>IF($A337="","",IFERROR(VLOOKUP($B337,_CONFIG_Risk_Calibration!$A$5:$H$21,5,FALSE),3))</f>
        <v>4</v>
      </c>
      <c r="AJ337" t="str">
        <f>IF($A337="","",IFERROR(VLOOKUP($B337,_CONFIG_Risk_Calibration!$A$5:$H$21,6,FALSE),"No"))</f>
        <v>Yes</v>
      </c>
      <c r="AK337">
        <f>IF($A337="","",IFERROR(VLOOKUP($B337,_CONFIG_Risk_Calibration!$A$5:$H$21,7,FALSE),1))</f>
        <v>4</v>
      </c>
      <c r="AL337" t="str">
        <f>IF($A337="","",IFERROR(VLOOKUP($B337,_CONFIG_Risk_Calibration!$A$5:$H$21,8,FALSE),""))</f>
        <v>Clean template default. Calibrate with real exposure, incident history, evidence quality and domain-owner validation.</v>
      </c>
      <c r="AM337">
        <f>IF($A337="","",IFERROR(INDEX(_DATA_Assessment_Model!$AL$1:$AL$428,MATCH($A337,_DATA_Assessment_Model!$A$1:$A$428,0)),""))</f>
        <v>0</v>
      </c>
      <c r="AN337">
        <f t="shared" si="16"/>
        <v>1</v>
      </c>
      <c r="AO337">
        <f>IF($A337="","",_CONFIG_Model_Settings!$B$172*MAX(N($AK337),(N($AF337)+N($AI337))/2))</f>
        <v>80</v>
      </c>
      <c r="AP337">
        <f t="shared" si="17"/>
        <v>80</v>
      </c>
      <c r="AQ337">
        <f>IF($AP337="","",MAX(0,$AP337*(1-(_CONFIG_Model_Settings!$B$173+_CONFIG_Model_Settings!$B$174*(N($AH337)-1)))))</f>
        <v>52</v>
      </c>
      <c r="AR337">
        <f>IF($AP337="","",MIN(100,$AP337*(1+(_CONFIG_Model_Settings!$B$173+_CONFIG_Model_Settings!$B$174*(N($AH337)-1)))))</f>
        <v>100</v>
      </c>
    </row>
    <row r="338" spans="1:44" ht="72" customHeight="1">
      <c r="A338" s="9" t="s">
        <v>2794</v>
      </c>
      <c r="B338" s="9" t="s">
        <v>2729</v>
      </c>
      <c r="C338" s="9" t="s">
        <v>2747</v>
      </c>
      <c r="D338" s="9" t="s">
        <v>4377</v>
      </c>
      <c r="E338" s="9" t="s">
        <v>2795</v>
      </c>
      <c r="F338" s="9" t="s">
        <v>9307</v>
      </c>
      <c r="G338" s="9" t="s">
        <v>9308</v>
      </c>
      <c r="H338" s="9" t="s">
        <v>9309</v>
      </c>
      <c r="I338" s="9" t="s">
        <v>9310</v>
      </c>
      <c r="J338" s="9" t="s">
        <v>9311</v>
      </c>
      <c r="K338" s="9" t="s">
        <v>9312</v>
      </c>
      <c r="L338" s="9" t="s">
        <v>9313</v>
      </c>
      <c r="M338" s="9" t="s">
        <v>9314</v>
      </c>
      <c r="N338" s="9" t="s">
        <v>9315</v>
      </c>
      <c r="O338" s="9" t="s">
        <v>9316</v>
      </c>
      <c r="P338" s="9" t="s">
        <v>9317</v>
      </c>
      <c r="Q338" s="9" t="s">
        <v>9318</v>
      </c>
      <c r="R338" s="9" t="s">
        <v>4589</v>
      </c>
      <c r="S338" s="9" t="s">
        <v>9319</v>
      </c>
      <c r="T338" s="9">
        <v>4</v>
      </c>
      <c r="U338" s="9">
        <v>3</v>
      </c>
      <c r="V338" s="9">
        <v>3</v>
      </c>
      <c r="W338" s="9">
        <v>2</v>
      </c>
      <c r="X338" s="9">
        <v>1</v>
      </c>
      <c r="Y338" s="9">
        <v>1</v>
      </c>
      <c r="Z338" s="9" t="s">
        <v>2733</v>
      </c>
      <c r="AA338" s="9" t="s">
        <v>2796</v>
      </c>
      <c r="AB338" s="9" t="s">
        <v>2735</v>
      </c>
      <c r="AC338" s="9" t="s">
        <v>9137</v>
      </c>
      <c r="AD338" s="9" t="s">
        <v>9320</v>
      </c>
      <c r="AE338" t="str">
        <f t="shared" si="15"/>
        <v>Fast</v>
      </c>
      <c r="AF338">
        <f>IF($A338="","",IFERROR(VLOOKUP($B338,_CONFIG_Risk_Calibration!$A$5:$H$21,2,FALSE),3))</f>
        <v>3</v>
      </c>
      <c r="AG338">
        <f>IF($A338="","",IFERROR(VLOOKUP($B338,_CONFIG_Risk_Calibration!$A$5:$H$21,3,FALSE),0))</f>
        <v>0</v>
      </c>
      <c r="AH338">
        <f>IF($A338="","",IFERROR(VLOOKUP($B338,_CONFIG_Risk_Calibration!$A$5:$H$21,4,FALSE),3))</f>
        <v>3</v>
      </c>
      <c r="AI338">
        <f>IF($A338="","",IFERROR(VLOOKUP($B338,_CONFIG_Risk_Calibration!$A$5:$H$21,5,FALSE),3))</f>
        <v>4</v>
      </c>
      <c r="AJ338" t="str">
        <f>IF($A338="","",IFERROR(VLOOKUP($B338,_CONFIG_Risk_Calibration!$A$5:$H$21,6,FALSE),"No"))</f>
        <v>Yes</v>
      </c>
      <c r="AK338">
        <f>IF($A338="","",IFERROR(VLOOKUP($B338,_CONFIG_Risk_Calibration!$A$5:$H$21,7,FALSE),1))</f>
        <v>4</v>
      </c>
      <c r="AL338" t="str">
        <f>IF($A338="","",IFERROR(VLOOKUP($B338,_CONFIG_Risk_Calibration!$A$5:$H$21,8,FALSE),""))</f>
        <v>Clean template default. Calibrate with real exposure, incident history, evidence quality and domain-owner validation.</v>
      </c>
      <c r="AM338">
        <f>IF($A338="","",IFERROR(INDEX(_DATA_Assessment_Model!$AL$1:$AL$428,MATCH($A338,_DATA_Assessment_Model!$A$1:$A$428,0)),""))</f>
        <v>0</v>
      </c>
      <c r="AN338">
        <f t="shared" si="16"/>
        <v>1</v>
      </c>
      <c r="AO338">
        <f>IF($A338="","",_CONFIG_Model_Settings!$B$172*MAX(N($AK338),(N($AF338)+N($AI338))/2))</f>
        <v>80</v>
      </c>
      <c r="AP338">
        <f t="shared" si="17"/>
        <v>80</v>
      </c>
      <c r="AQ338">
        <f>IF($AP338="","",MAX(0,$AP338*(1-(_CONFIG_Model_Settings!$B$173+_CONFIG_Model_Settings!$B$174*(N($AH338)-1)))))</f>
        <v>52</v>
      </c>
      <c r="AR338">
        <f>IF($AP338="","",MIN(100,$AP338*(1+(_CONFIG_Model_Settings!$B$173+_CONFIG_Model_Settings!$B$174*(N($AH338)-1)))))</f>
        <v>100</v>
      </c>
    </row>
    <row r="339" spans="1:44" ht="72" customHeight="1">
      <c r="A339" s="9" t="s">
        <v>2797</v>
      </c>
      <c r="B339" s="9" t="s">
        <v>2729</v>
      </c>
      <c r="C339" s="9" t="s">
        <v>2747</v>
      </c>
      <c r="D339" s="9" t="s">
        <v>4377</v>
      </c>
      <c r="E339" s="9" t="s">
        <v>2798</v>
      </c>
      <c r="F339" s="9" t="s">
        <v>9321</v>
      </c>
      <c r="G339" s="9" t="s">
        <v>9322</v>
      </c>
      <c r="H339" s="9" t="s">
        <v>9323</v>
      </c>
      <c r="I339" s="9" t="s">
        <v>9324</v>
      </c>
      <c r="J339" s="9" t="s">
        <v>9325</v>
      </c>
      <c r="K339" s="9" t="s">
        <v>9326</v>
      </c>
      <c r="L339" s="9" t="s">
        <v>9327</v>
      </c>
      <c r="M339" s="9" t="s">
        <v>9328</v>
      </c>
      <c r="N339" s="9" t="s">
        <v>9329</v>
      </c>
      <c r="O339" s="9" t="s">
        <v>9330</v>
      </c>
      <c r="P339" s="9" t="s">
        <v>9331</v>
      </c>
      <c r="Q339" s="9" t="s">
        <v>9332</v>
      </c>
      <c r="R339" s="9" t="s">
        <v>4589</v>
      </c>
      <c r="S339" s="9" t="s">
        <v>9333</v>
      </c>
      <c r="T339" s="9">
        <v>4</v>
      </c>
      <c r="U339" s="9">
        <v>3</v>
      </c>
      <c r="V339" s="9">
        <v>3</v>
      </c>
      <c r="W339" s="9">
        <v>2</v>
      </c>
      <c r="X339" s="9">
        <v>1</v>
      </c>
      <c r="Y339" s="9">
        <v>1</v>
      </c>
      <c r="Z339" s="9" t="s">
        <v>2733</v>
      </c>
      <c r="AA339" s="9" t="s">
        <v>2799</v>
      </c>
      <c r="AB339" s="9" t="s">
        <v>2735</v>
      </c>
      <c r="AC339" s="9" t="s">
        <v>9137</v>
      </c>
      <c r="AD339" s="9" t="s">
        <v>9334</v>
      </c>
      <c r="AE339" t="str">
        <f t="shared" si="15"/>
        <v>Fast</v>
      </c>
      <c r="AF339">
        <f>IF($A339="","",IFERROR(VLOOKUP($B339,_CONFIG_Risk_Calibration!$A$5:$H$21,2,FALSE),3))</f>
        <v>3</v>
      </c>
      <c r="AG339">
        <f>IF($A339="","",IFERROR(VLOOKUP($B339,_CONFIG_Risk_Calibration!$A$5:$H$21,3,FALSE),0))</f>
        <v>0</v>
      </c>
      <c r="AH339">
        <f>IF($A339="","",IFERROR(VLOOKUP($B339,_CONFIG_Risk_Calibration!$A$5:$H$21,4,FALSE),3))</f>
        <v>3</v>
      </c>
      <c r="AI339">
        <f>IF($A339="","",IFERROR(VLOOKUP($B339,_CONFIG_Risk_Calibration!$A$5:$H$21,5,FALSE),3))</f>
        <v>4</v>
      </c>
      <c r="AJ339" t="str">
        <f>IF($A339="","",IFERROR(VLOOKUP($B339,_CONFIG_Risk_Calibration!$A$5:$H$21,6,FALSE),"No"))</f>
        <v>Yes</v>
      </c>
      <c r="AK339">
        <f>IF($A339="","",IFERROR(VLOOKUP($B339,_CONFIG_Risk_Calibration!$A$5:$H$21,7,FALSE),1))</f>
        <v>4</v>
      </c>
      <c r="AL339" t="str">
        <f>IF($A339="","",IFERROR(VLOOKUP($B339,_CONFIG_Risk_Calibration!$A$5:$H$21,8,FALSE),""))</f>
        <v>Clean template default. Calibrate with real exposure, incident history, evidence quality and domain-owner validation.</v>
      </c>
      <c r="AM339">
        <f>IF($A339="","",IFERROR(INDEX(_DATA_Assessment_Model!$AL$1:$AL$428,MATCH($A339,_DATA_Assessment_Model!$A$1:$A$428,0)),""))</f>
        <v>0</v>
      </c>
      <c r="AN339">
        <f t="shared" si="16"/>
        <v>1</v>
      </c>
      <c r="AO339">
        <f>IF($A339="","",_CONFIG_Model_Settings!$B$172*MAX(N($AK339),(N($AF339)+N($AI339))/2))</f>
        <v>80</v>
      </c>
      <c r="AP339">
        <f t="shared" si="17"/>
        <v>80</v>
      </c>
      <c r="AQ339">
        <f>IF($AP339="","",MAX(0,$AP339*(1-(_CONFIG_Model_Settings!$B$173+_CONFIG_Model_Settings!$B$174*(N($AH339)-1)))))</f>
        <v>52</v>
      </c>
      <c r="AR339">
        <f>IF($AP339="","",MIN(100,$AP339*(1+(_CONFIG_Model_Settings!$B$173+_CONFIG_Model_Settings!$B$174*(N($AH339)-1)))))</f>
        <v>100</v>
      </c>
    </row>
    <row r="340" spans="1:44" ht="72" customHeight="1">
      <c r="A340" s="9" t="s">
        <v>2800</v>
      </c>
      <c r="B340" s="9" t="s">
        <v>2729</v>
      </c>
      <c r="C340" s="9" t="s">
        <v>2751</v>
      </c>
      <c r="D340" s="9" t="s">
        <v>4377</v>
      </c>
      <c r="E340" s="9" t="s">
        <v>2801</v>
      </c>
      <c r="F340" s="9" t="s">
        <v>9335</v>
      </c>
      <c r="G340" s="9" t="s">
        <v>9336</v>
      </c>
      <c r="H340" s="9" t="s">
        <v>9337</v>
      </c>
      <c r="I340" s="9" t="s">
        <v>9338</v>
      </c>
      <c r="J340" s="9" t="s">
        <v>9339</v>
      </c>
      <c r="K340" s="9" t="s">
        <v>9340</v>
      </c>
      <c r="L340" s="9" t="s">
        <v>9341</v>
      </c>
      <c r="M340" s="9" t="s">
        <v>9342</v>
      </c>
      <c r="N340" s="9" t="s">
        <v>9343</v>
      </c>
      <c r="O340" s="9" t="s">
        <v>9344</v>
      </c>
      <c r="P340" s="9" t="s">
        <v>9345</v>
      </c>
      <c r="Q340" s="9" t="s">
        <v>9346</v>
      </c>
      <c r="R340" s="9" t="s">
        <v>4589</v>
      </c>
      <c r="S340" s="9" t="s">
        <v>9347</v>
      </c>
      <c r="T340" s="9">
        <v>4</v>
      </c>
      <c r="U340" s="9">
        <v>3</v>
      </c>
      <c r="V340" s="9">
        <v>3</v>
      </c>
      <c r="W340" s="9">
        <v>2</v>
      </c>
      <c r="X340" s="9">
        <v>1</v>
      </c>
      <c r="Y340" s="9">
        <v>1</v>
      </c>
      <c r="Z340" s="9" t="s">
        <v>2733</v>
      </c>
      <c r="AA340" s="9" t="s">
        <v>2802</v>
      </c>
      <c r="AB340" s="9" t="s">
        <v>2735</v>
      </c>
      <c r="AC340" s="9" t="s">
        <v>9137</v>
      </c>
      <c r="AD340" s="9" t="s">
        <v>9348</v>
      </c>
      <c r="AE340" t="str">
        <f t="shared" si="15"/>
        <v>Fast</v>
      </c>
      <c r="AF340">
        <f>IF($A340="","",IFERROR(VLOOKUP($B340,_CONFIG_Risk_Calibration!$A$5:$H$21,2,FALSE),3))</f>
        <v>3</v>
      </c>
      <c r="AG340">
        <f>IF($A340="","",IFERROR(VLOOKUP($B340,_CONFIG_Risk_Calibration!$A$5:$H$21,3,FALSE),0))</f>
        <v>0</v>
      </c>
      <c r="AH340">
        <f>IF($A340="","",IFERROR(VLOOKUP($B340,_CONFIG_Risk_Calibration!$A$5:$H$21,4,FALSE),3))</f>
        <v>3</v>
      </c>
      <c r="AI340">
        <f>IF($A340="","",IFERROR(VLOOKUP($B340,_CONFIG_Risk_Calibration!$A$5:$H$21,5,FALSE),3))</f>
        <v>4</v>
      </c>
      <c r="AJ340" t="str">
        <f>IF($A340="","",IFERROR(VLOOKUP($B340,_CONFIG_Risk_Calibration!$A$5:$H$21,6,FALSE),"No"))</f>
        <v>Yes</v>
      </c>
      <c r="AK340">
        <f>IF($A340="","",IFERROR(VLOOKUP($B340,_CONFIG_Risk_Calibration!$A$5:$H$21,7,FALSE),1))</f>
        <v>4</v>
      </c>
      <c r="AL340" t="str">
        <f>IF($A340="","",IFERROR(VLOOKUP($B340,_CONFIG_Risk_Calibration!$A$5:$H$21,8,FALSE),""))</f>
        <v>Clean template default. Calibrate with real exposure, incident history, evidence quality and domain-owner validation.</v>
      </c>
      <c r="AM340">
        <f>IF($A340="","",IFERROR(INDEX(_DATA_Assessment_Model!$AL$1:$AL$428,MATCH($A340,_DATA_Assessment_Model!$A$1:$A$428,0)),""))</f>
        <v>0</v>
      </c>
      <c r="AN340">
        <f t="shared" si="16"/>
        <v>1</v>
      </c>
      <c r="AO340">
        <f>IF($A340="","",_CONFIG_Model_Settings!$B$172*MAX(N($AK340),(N($AF340)+N($AI340))/2))</f>
        <v>80</v>
      </c>
      <c r="AP340">
        <f t="shared" si="17"/>
        <v>80</v>
      </c>
      <c r="AQ340">
        <f>IF($AP340="","",MAX(0,$AP340*(1-(_CONFIG_Model_Settings!$B$173+_CONFIG_Model_Settings!$B$174*(N($AH340)-1)))))</f>
        <v>52</v>
      </c>
      <c r="AR340">
        <f>IF($AP340="","",MIN(100,$AP340*(1+(_CONFIG_Model_Settings!$B$173+_CONFIG_Model_Settings!$B$174*(N($AH340)-1)))))</f>
        <v>100</v>
      </c>
    </row>
    <row r="341" spans="1:44" ht="72" customHeight="1">
      <c r="A341" s="9" t="s">
        <v>2809</v>
      </c>
      <c r="B341" s="9" t="s">
        <v>2729</v>
      </c>
      <c r="C341" s="9" t="s">
        <v>2751</v>
      </c>
      <c r="D341" s="9" t="s">
        <v>4377</v>
      </c>
      <c r="E341" s="9" t="s">
        <v>2810</v>
      </c>
      <c r="F341" s="9" t="s">
        <v>9349</v>
      </c>
      <c r="G341" s="9" t="s">
        <v>9350</v>
      </c>
      <c r="H341" s="9" t="s">
        <v>9351</v>
      </c>
      <c r="I341" s="9" t="s">
        <v>9352</v>
      </c>
      <c r="J341" s="9" t="s">
        <v>9353</v>
      </c>
      <c r="K341" s="9" t="s">
        <v>9354</v>
      </c>
      <c r="L341" s="9" t="s">
        <v>9355</v>
      </c>
      <c r="M341" s="9" t="s">
        <v>9356</v>
      </c>
      <c r="N341" s="9" t="s">
        <v>9357</v>
      </c>
      <c r="O341" s="9" t="s">
        <v>9358</v>
      </c>
      <c r="P341" s="9" t="s">
        <v>9359</v>
      </c>
      <c r="Q341" s="9" t="s">
        <v>9360</v>
      </c>
      <c r="R341" s="9" t="s">
        <v>4589</v>
      </c>
      <c r="S341" s="9" t="s">
        <v>9361</v>
      </c>
      <c r="T341" s="9">
        <v>4</v>
      </c>
      <c r="U341" s="9">
        <v>3</v>
      </c>
      <c r="V341" s="9">
        <v>3</v>
      </c>
      <c r="W341" s="9">
        <v>2</v>
      </c>
      <c r="X341" s="9">
        <v>1</v>
      </c>
      <c r="Y341" s="9">
        <v>1</v>
      </c>
      <c r="Z341" s="9" t="s">
        <v>2733</v>
      </c>
      <c r="AA341" s="9" t="s">
        <v>2811</v>
      </c>
      <c r="AB341" s="9" t="s">
        <v>2735</v>
      </c>
      <c r="AC341" s="9" t="s">
        <v>9137</v>
      </c>
      <c r="AD341" s="9" t="s">
        <v>9362</v>
      </c>
      <c r="AE341" t="str">
        <f t="shared" si="15"/>
        <v>Fast</v>
      </c>
      <c r="AF341">
        <f>IF($A341="","",IFERROR(VLOOKUP($B341,_CONFIG_Risk_Calibration!$A$5:$H$21,2,FALSE),3))</f>
        <v>3</v>
      </c>
      <c r="AG341">
        <f>IF($A341="","",IFERROR(VLOOKUP($B341,_CONFIG_Risk_Calibration!$A$5:$H$21,3,FALSE),0))</f>
        <v>0</v>
      </c>
      <c r="AH341">
        <f>IF($A341="","",IFERROR(VLOOKUP($B341,_CONFIG_Risk_Calibration!$A$5:$H$21,4,FALSE),3))</f>
        <v>3</v>
      </c>
      <c r="AI341">
        <f>IF($A341="","",IFERROR(VLOOKUP($B341,_CONFIG_Risk_Calibration!$A$5:$H$21,5,FALSE),3))</f>
        <v>4</v>
      </c>
      <c r="AJ341" t="str">
        <f>IF($A341="","",IFERROR(VLOOKUP($B341,_CONFIG_Risk_Calibration!$A$5:$H$21,6,FALSE),"No"))</f>
        <v>Yes</v>
      </c>
      <c r="AK341">
        <f>IF($A341="","",IFERROR(VLOOKUP($B341,_CONFIG_Risk_Calibration!$A$5:$H$21,7,FALSE),1))</f>
        <v>4</v>
      </c>
      <c r="AL341" t="str">
        <f>IF($A341="","",IFERROR(VLOOKUP($B341,_CONFIG_Risk_Calibration!$A$5:$H$21,8,FALSE),""))</f>
        <v>Clean template default. Calibrate with real exposure, incident history, evidence quality and domain-owner validation.</v>
      </c>
      <c r="AM341">
        <f>IF($A341="","",IFERROR(INDEX(_DATA_Assessment_Model!$AL$1:$AL$428,MATCH($A341,_DATA_Assessment_Model!$A$1:$A$428,0)),""))</f>
        <v>0</v>
      </c>
      <c r="AN341">
        <f t="shared" si="16"/>
        <v>1</v>
      </c>
      <c r="AO341">
        <f>IF($A341="","",_CONFIG_Model_Settings!$B$172*MAX(N($AK341),(N($AF341)+N($AI341))/2))</f>
        <v>80</v>
      </c>
      <c r="AP341">
        <f t="shared" si="17"/>
        <v>80</v>
      </c>
      <c r="AQ341">
        <f>IF($AP341="","",MAX(0,$AP341*(1-(_CONFIG_Model_Settings!$B$173+_CONFIG_Model_Settings!$B$174*(N($AH341)-1)))))</f>
        <v>52</v>
      </c>
      <c r="AR341">
        <f>IF($AP341="","",MIN(100,$AP341*(1+(_CONFIG_Model_Settings!$B$173+_CONFIG_Model_Settings!$B$174*(N($AH341)-1)))))</f>
        <v>100</v>
      </c>
    </row>
    <row r="342" spans="1:44" ht="84" customHeight="1">
      <c r="A342" s="9" t="s">
        <v>2812</v>
      </c>
      <c r="B342" s="9" t="s">
        <v>2729</v>
      </c>
      <c r="C342" s="9" t="s">
        <v>2751</v>
      </c>
      <c r="D342" s="9" t="s">
        <v>4377</v>
      </c>
      <c r="E342" s="9" t="s">
        <v>2813</v>
      </c>
      <c r="F342" s="9" t="s">
        <v>9363</v>
      </c>
      <c r="G342" s="9" t="s">
        <v>9364</v>
      </c>
      <c r="H342" s="9" t="s">
        <v>9365</v>
      </c>
      <c r="I342" s="9" t="s">
        <v>9366</v>
      </c>
      <c r="J342" s="9" t="s">
        <v>9367</v>
      </c>
      <c r="K342" s="9" t="s">
        <v>9368</v>
      </c>
      <c r="L342" s="9" t="s">
        <v>9369</v>
      </c>
      <c r="M342" s="9" t="s">
        <v>9370</v>
      </c>
      <c r="N342" s="9" t="s">
        <v>9371</v>
      </c>
      <c r="O342" s="9" t="s">
        <v>9372</v>
      </c>
      <c r="P342" s="9" t="s">
        <v>9373</v>
      </c>
      <c r="Q342" s="9" t="s">
        <v>9374</v>
      </c>
      <c r="R342" s="9" t="s">
        <v>4589</v>
      </c>
      <c r="S342" s="9" t="s">
        <v>9375</v>
      </c>
      <c r="T342" s="9">
        <v>4</v>
      </c>
      <c r="U342" s="9">
        <v>3</v>
      </c>
      <c r="V342" s="9">
        <v>3</v>
      </c>
      <c r="W342" s="9">
        <v>2</v>
      </c>
      <c r="X342" s="9">
        <v>1</v>
      </c>
      <c r="Y342" s="9">
        <v>1</v>
      </c>
      <c r="Z342" s="9" t="s">
        <v>2733</v>
      </c>
      <c r="AA342" s="9" t="s">
        <v>2814</v>
      </c>
      <c r="AB342" s="9" t="s">
        <v>2735</v>
      </c>
      <c r="AC342" s="9" t="s">
        <v>9137</v>
      </c>
      <c r="AD342" s="9" t="s">
        <v>9376</v>
      </c>
      <c r="AE342" t="str">
        <f t="shared" si="15"/>
        <v>Fast</v>
      </c>
      <c r="AF342">
        <f>IF($A342="","",IFERROR(VLOOKUP($B342,_CONFIG_Risk_Calibration!$A$5:$H$21,2,FALSE),3))</f>
        <v>3</v>
      </c>
      <c r="AG342">
        <f>IF($A342="","",IFERROR(VLOOKUP($B342,_CONFIG_Risk_Calibration!$A$5:$H$21,3,FALSE),0))</f>
        <v>0</v>
      </c>
      <c r="AH342">
        <f>IF($A342="","",IFERROR(VLOOKUP($B342,_CONFIG_Risk_Calibration!$A$5:$H$21,4,FALSE),3))</f>
        <v>3</v>
      </c>
      <c r="AI342">
        <f>IF($A342="","",IFERROR(VLOOKUP($B342,_CONFIG_Risk_Calibration!$A$5:$H$21,5,FALSE),3))</f>
        <v>4</v>
      </c>
      <c r="AJ342" t="str">
        <f>IF($A342="","",IFERROR(VLOOKUP($B342,_CONFIG_Risk_Calibration!$A$5:$H$21,6,FALSE),"No"))</f>
        <v>Yes</v>
      </c>
      <c r="AK342">
        <f>IF($A342="","",IFERROR(VLOOKUP($B342,_CONFIG_Risk_Calibration!$A$5:$H$21,7,FALSE),1))</f>
        <v>4</v>
      </c>
      <c r="AL342" t="str">
        <f>IF($A342="","",IFERROR(VLOOKUP($B342,_CONFIG_Risk_Calibration!$A$5:$H$21,8,FALSE),""))</f>
        <v>Clean template default. Calibrate with real exposure, incident history, evidence quality and domain-owner validation.</v>
      </c>
      <c r="AM342">
        <f>IF($A342="","",IFERROR(INDEX(_DATA_Assessment_Model!$AL$1:$AL$428,MATCH($A342,_DATA_Assessment_Model!$A$1:$A$428,0)),""))</f>
        <v>0</v>
      </c>
      <c r="AN342">
        <f t="shared" si="16"/>
        <v>1</v>
      </c>
      <c r="AO342">
        <f>IF($A342="","",_CONFIG_Model_Settings!$B$172*MAX(N($AK342),(N($AF342)+N($AI342))/2))</f>
        <v>80</v>
      </c>
      <c r="AP342">
        <f t="shared" si="17"/>
        <v>80</v>
      </c>
      <c r="AQ342">
        <f>IF($AP342="","",MAX(0,$AP342*(1-(_CONFIG_Model_Settings!$B$173+_CONFIG_Model_Settings!$B$174*(N($AH342)-1)))))</f>
        <v>52</v>
      </c>
      <c r="AR342">
        <f>IF($AP342="","",MIN(100,$AP342*(1+(_CONFIG_Model_Settings!$B$173+_CONFIG_Model_Settings!$B$174*(N($AH342)-1)))))</f>
        <v>100</v>
      </c>
    </row>
    <row r="343" spans="1:44" ht="72" customHeight="1">
      <c r="A343" s="9" t="s">
        <v>2815</v>
      </c>
      <c r="B343" s="9" t="s">
        <v>2729</v>
      </c>
      <c r="C343" s="9" t="s">
        <v>2751</v>
      </c>
      <c r="D343" s="9" t="s">
        <v>4377</v>
      </c>
      <c r="E343" s="9" t="s">
        <v>2816</v>
      </c>
      <c r="F343" s="9" t="s">
        <v>9377</v>
      </c>
      <c r="G343" s="9" t="s">
        <v>9378</v>
      </c>
      <c r="H343" s="9" t="s">
        <v>9379</v>
      </c>
      <c r="I343" s="9" t="s">
        <v>9380</v>
      </c>
      <c r="J343" s="9" t="s">
        <v>9381</v>
      </c>
      <c r="K343" s="9" t="s">
        <v>9382</v>
      </c>
      <c r="L343" s="9" t="s">
        <v>9383</v>
      </c>
      <c r="M343" s="9" t="s">
        <v>9384</v>
      </c>
      <c r="N343" s="9" t="s">
        <v>9385</v>
      </c>
      <c r="O343" s="9" t="s">
        <v>9386</v>
      </c>
      <c r="P343" s="9" t="s">
        <v>9387</v>
      </c>
      <c r="Q343" s="9" t="s">
        <v>9388</v>
      </c>
      <c r="R343" s="9" t="s">
        <v>4589</v>
      </c>
      <c r="S343" s="9" t="s">
        <v>9389</v>
      </c>
      <c r="T343" s="9">
        <v>4</v>
      </c>
      <c r="U343" s="9">
        <v>3</v>
      </c>
      <c r="V343" s="9">
        <v>3</v>
      </c>
      <c r="W343" s="9">
        <v>2</v>
      </c>
      <c r="X343" s="9">
        <v>1</v>
      </c>
      <c r="Y343" s="9">
        <v>1</v>
      </c>
      <c r="Z343" s="9" t="s">
        <v>2733</v>
      </c>
      <c r="AA343" s="9" t="s">
        <v>2817</v>
      </c>
      <c r="AB343" s="9" t="s">
        <v>2735</v>
      </c>
      <c r="AC343" s="9" t="s">
        <v>9137</v>
      </c>
      <c r="AD343" s="9" t="s">
        <v>9390</v>
      </c>
      <c r="AE343" t="str">
        <f t="shared" si="15"/>
        <v>Fast</v>
      </c>
      <c r="AF343">
        <f>IF($A343="","",IFERROR(VLOOKUP($B343,_CONFIG_Risk_Calibration!$A$5:$H$21,2,FALSE),3))</f>
        <v>3</v>
      </c>
      <c r="AG343">
        <f>IF($A343="","",IFERROR(VLOOKUP($B343,_CONFIG_Risk_Calibration!$A$5:$H$21,3,FALSE),0))</f>
        <v>0</v>
      </c>
      <c r="AH343">
        <f>IF($A343="","",IFERROR(VLOOKUP($B343,_CONFIG_Risk_Calibration!$A$5:$H$21,4,FALSE),3))</f>
        <v>3</v>
      </c>
      <c r="AI343">
        <f>IF($A343="","",IFERROR(VLOOKUP($B343,_CONFIG_Risk_Calibration!$A$5:$H$21,5,FALSE),3))</f>
        <v>4</v>
      </c>
      <c r="AJ343" t="str">
        <f>IF($A343="","",IFERROR(VLOOKUP($B343,_CONFIG_Risk_Calibration!$A$5:$H$21,6,FALSE),"No"))</f>
        <v>Yes</v>
      </c>
      <c r="AK343">
        <f>IF($A343="","",IFERROR(VLOOKUP($B343,_CONFIG_Risk_Calibration!$A$5:$H$21,7,FALSE),1))</f>
        <v>4</v>
      </c>
      <c r="AL343" t="str">
        <f>IF($A343="","",IFERROR(VLOOKUP($B343,_CONFIG_Risk_Calibration!$A$5:$H$21,8,FALSE),""))</f>
        <v>Clean template default. Calibrate with real exposure, incident history, evidence quality and domain-owner validation.</v>
      </c>
      <c r="AM343">
        <f>IF($A343="","",IFERROR(INDEX(_DATA_Assessment_Model!$AL$1:$AL$428,MATCH($A343,_DATA_Assessment_Model!$A$1:$A$428,0)),""))</f>
        <v>0</v>
      </c>
      <c r="AN343">
        <f t="shared" si="16"/>
        <v>1</v>
      </c>
      <c r="AO343">
        <f>IF($A343="","",_CONFIG_Model_Settings!$B$172*MAX(N($AK343),(N($AF343)+N($AI343))/2))</f>
        <v>80</v>
      </c>
      <c r="AP343">
        <f t="shared" si="17"/>
        <v>80</v>
      </c>
      <c r="AQ343">
        <f>IF($AP343="","",MAX(0,$AP343*(1-(_CONFIG_Model_Settings!$B$173+_CONFIG_Model_Settings!$B$174*(N($AH343)-1)))))</f>
        <v>52</v>
      </c>
      <c r="AR343">
        <f>IF($AP343="","",MIN(100,$AP343*(1+(_CONFIG_Model_Settings!$B$173+_CONFIG_Model_Settings!$B$174*(N($AH343)-1)))))</f>
        <v>100</v>
      </c>
    </row>
    <row r="344" spans="1:44" ht="72" customHeight="1">
      <c r="A344" s="9" t="s">
        <v>2818</v>
      </c>
      <c r="B344" s="9" t="s">
        <v>2729</v>
      </c>
      <c r="C344" s="9" t="s">
        <v>2751</v>
      </c>
      <c r="D344" s="9" t="s">
        <v>4377</v>
      </c>
      <c r="E344" s="9" t="s">
        <v>2819</v>
      </c>
      <c r="F344" s="9" t="s">
        <v>9391</v>
      </c>
      <c r="G344" s="9" t="s">
        <v>9392</v>
      </c>
      <c r="H344" s="9" t="s">
        <v>9393</v>
      </c>
      <c r="I344" s="9" t="s">
        <v>9394</v>
      </c>
      <c r="J344" s="9" t="s">
        <v>9395</v>
      </c>
      <c r="K344" s="9" t="s">
        <v>9396</v>
      </c>
      <c r="L344" s="9" t="s">
        <v>9397</v>
      </c>
      <c r="M344" s="9" t="s">
        <v>9398</v>
      </c>
      <c r="N344" s="9" t="s">
        <v>9399</v>
      </c>
      <c r="O344" s="9" t="s">
        <v>9400</v>
      </c>
      <c r="P344" s="9" t="s">
        <v>9401</v>
      </c>
      <c r="Q344" s="9" t="s">
        <v>9402</v>
      </c>
      <c r="R344" s="9" t="s">
        <v>4589</v>
      </c>
      <c r="S344" s="9" t="s">
        <v>9403</v>
      </c>
      <c r="T344" s="9">
        <v>4</v>
      </c>
      <c r="U344" s="9">
        <v>3</v>
      </c>
      <c r="V344" s="9">
        <v>3</v>
      </c>
      <c r="W344" s="9">
        <v>2</v>
      </c>
      <c r="X344" s="9">
        <v>1</v>
      </c>
      <c r="Y344" s="9">
        <v>1</v>
      </c>
      <c r="Z344" s="9" t="s">
        <v>2733</v>
      </c>
      <c r="AA344" s="9" t="s">
        <v>2820</v>
      </c>
      <c r="AB344" s="9" t="s">
        <v>2735</v>
      </c>
      <c r="AC344" s="9" t="s">
        <v>9137</v>
      </c>
      <c r="AD344" s="9" t="s">
        <v>9404</v>
      </c>
      <c r="AE344" t="str">
        <f t="shared" si="15"/>
        <v>Fast</v>
      </c>
      <c r="AF344">
        <f>IF($A344="","",IFERROR(VLOOKUP($B344,_CONFIG_Risk_Calibration!$A$5:$H$21,2,FALSE),3))</f>
        <v>3</v>
      </c>
      <c r="AG344">
        <f>IF($A344="","",IFERROR(VLOOKUP($B344,_CONFIG_Risk_Calibration!$A$5:$H$21,3,FALSE),0))</f>
        <v>0</v>
      </c>
      <c r="AH344">
        <f>IF($A344="","",IFERROR(VLOOKUP($B344,_CONFIG_Risk_Calibration!$A$5:$H$21,4,FALSE),3))</f>
        <v>3</v>
      </c>
      <c r="AI344">
        <f>IF($A344="","",IFERROR(VLOOKUP($B344,_CONFIG_Risk_Calibration!$A$5:$H$21,5,FALSE),3))</f>
        <v>4</v>
      </c>
      <c r="AJ344" t="str">
        <f>IF($A344="","",IFERROR(VLOOKUP($B344,_CONFIG_Risk_Calibration!$A$5:$H$21,6,FALSE),"No"))</f>
        <v>Yes</v>
      </c>
      <c r="AK344">
        <f>IF($A344="","",IFERROR(VLOOKUP($B344,_CONFIG_Risk_Calibration!$A$5:$H$21,7,FALSE),1))</f>
        <v>4</v>
      </c>
      <c r="AL344" t="str">
        <f>IF($A344="","",IFERROR(VLOOKUP($B344,_CONFIG_Risk_Calibration!$A$5:$H$21,8,FALSE),""))</f>
        <v>Clean template default. Calibrate with real exposure, incident history, evidence quality and domain-owner validation.</v>
      </c>
      <c r="AM344">
        <f>IF($A344="","",IFERROR(INDEX(_DATA_Assessment_Model!$AL$1:$AL$428,MATCH($A344,_DATA_Assessment_Model!$A$1:$A$428,0)),""))</f>
        <v>0</v>
      </c>
      <c r="AN344">
        <f t="shared" si="16"/>
        <v>1</v>
      </c>
      <c r="AO344">
        <f>IF($A344="","",_CONFIG_Model_Settings!$B$172*MAX(N($AK344),(N($AF344)+N($AI344))/2))</f>
        <v>80</v>
      </c>
      <c r="AP344">
        <f t="shared" si="17"/>
        <v>80</v>
      </c>
      <c r="AQ344">
        <f>IF($AP344="","",MAX(0,$AP344*(1-(_CONFIG_Model_Settings!$B$173+_CONFIG_Model_Settings!$B$174*(N($AH344)-1)))))</f>
        <v>52</v>
      </c>
      <c r="AR344">
        <f>IF($AP344="","",MIN(100,$AP344*(1+(_CONFIG_Model_Settings!$B$173+_CONFIG_Model_Settings!$B$174*(N($AH344)-1)))))</f>
        <v>100</v>
      </c>
    </row>
    <row r="345" spans="1:44" ht="72" customHeight="1">
      <c r="A345" s="9" t="s">
        <v>2821</v>
      </c>
      <c r="B345" s="9" t="s">
        <v>2729</v>
      </c>
      <c r="C345" s="9" t="s">
        <v>2751</v>
      </c>
      <c r="D345" s="9" t="s">
        <v>4377</v>
      </c>
      <c r="E345" s="9" t="s">
        <v>2822</v>
      </c>
      <c r="F345" s="9" t="s">
        <v>9405</v>
      </c>
      <c r="G345" s="9" t="s">
        <v>9406</v>
      </c>
      <c r="H345" s="9" t="s">
        <v>9407</v>
      </c>
      <c r="I345" s="9" t="s">
        <v>9408</v>
      </c>
      <c r="J345" s="9" t="s">
        <v>9409</v>
      </c>
      <c r="K345" s="9" t="s">
        <v>9410</v>
      </c>
      <c r="L345" s="9" t="s">
        <v>9411</v>
      </c>
      <c r="M345" s="9" t="s">
        <v>9412</v>
      </c>
      <c r="N345" s="9" t="s">
        <v>9413</v>
      </c>
      <c r="O345" s="9" t="s">
        <v>9414</v>
      </c>
      <c r="P345" s="9" t="s">
        <v>9415</v>
      </c>
      <c r="Q345" s="9" t="s">
        <v>9416</v>
      </c>
      <c r="R345" s="9" t="s">
        <v>4589</v>
      </c>
      <c r="S345" s="9" t="s">
        <v>9417</v>
      </c>
      <c r="T345" s="9">
        <v>4</v>
      </c>
      <c r="U345" s="9">
        <v>3</v>
      </c>
      <c r="V345" s="9">
        <v>3</v>
      </c>
      <c r="W345" s="9">
        <v>2</v>
      </c>
      <c r="X345" s="9">
        <v>1</v>
      </c>
      <c r="Y345" s="9">
        <v>1</v>
      </c>
      <c r="Z345" s="9" t="s">
        <v>2733</v>
      </c>
      <c r="AA345" s="9" t="s">
        <v>2823</v>
      </c>
      <c r="AB345" s="9" t="s">
        <v>2735</v>
      </c>
      <c r="AC345" s="9" t="s">
        <v>9137</v>
      </c>
      <c r="AD345" s="9" t="s">
        <v>9418</v>
      </c>
      <c r="AE345" t="str">
        <f t="shared" si="15"/>
        <v>Fast</v>
      </c>
      <c r="AF345">
        <f>IF($A345="","",IFERROR(VLOOKUP($B345,_CONFIG_Risk_Calibration!$A$5:$H$21,2,FALSE),3))</f>
        <v>3</v>
      </c>
      <c r="AG345">
        <f>IF($A345="","",IFERROR(VLOOKUP($B345,_CONFIG_Risk_Calibration!$A$5:$H$21,3,FALSE),0))</f>
        <v>0</v>
      </c>
      <c r="AH345">
        <f>IF($A345="","",IFERROR(VLOOKUP($B345,_CONFIG_Risk_Calibration!$A$5:$H$21,4,FALSE),3))</f>
        <v>3</v>
      </c>
      <c r="AI345">
        <f>IF($A345="","",IFERROR(VLOOKUP($B345,_CONFIG_Risk_Calibration!$A$5:$H$21,5,FALSE),3))</f>
        <v>4</v>
      </c>
      <c r="AJ345" t="str">
        <f>IF($A345="","",IFERROR(VLOOKUP($B345,_CONFIG_Risk_Calibration!$A$5:$H$21,6,FALSE),"No"))</f>
        <v>Yes</v>
      </c>
      <c r="AK345">
        <f>IF($A345="","",IFERROR(VLOOKUP($B345,_CONFIG_Risk_Calibration!$A$5:$H$21,7,FALSE),1))</f>
        <v>4</v>
      </c>
      <c r="AL345" t="str">
        <f>IF($A345="","",IFERROR(VLOOKUP($B345,_CONFIG_Risk_Calibration!$A$5:$H$21,8,FALSE),""))</f>
        <v>Clean template default. Calibrate with real exposure, incident history, evidence quality and domain-owner validation.</v>
      </c>
      <c r="AM345">
        <f>IF($A345="","",IFERROR(INDEX(_DATA_Assessment_Model!$AL$1:$AL$428,MATCH($A345,_DATA_Assessment_Model!$A$1:$A$428,0)),""))</f>
        <v>0</v>
      </c>
      <c r="AN345">
        <f t="shared" si="16"/>
        <v>1</v>
      </c>
      <c r="AO345">
        <f>IF($A345="","",_CONFIG_Model_Settings!$B$172*MAX(N($AK345),(N($AF345)+N($AI345))/2))</f>
        <v>80</v>
      </c>
      <c r="AP345">
        <f t="shared" si="17"/>
        <v>80</v>
      </c>
      <c r="AQ345">
        <f>IF($AP345="","",MAX(0,$AP345*(1-(_CONFIG_Model_Settings!$B$173+_CONFIG_Model_Settings!$B$174*(N($AH345)-1)))))</f>
        <v>52</v>
      </c>
      <c r="AR345">
        <f>IF($AP345="","",MIN(100,$AP345*(1+(_CONFIG_Model_Settings!$B$173+_CONFIG_Model_Settings!$B$174*(N($AH345)-1)))))</f>
        <v>100</v>
      </c>
    </row>
    <row r="346" spans="1:44" ht="72" customHeight="1">
      <c r="A346" s="9" t="s">
        <v>2825</v>
      </c>
      <c r="B346" s="9" t="s">
        <v>2824</v>
      </c>
      <c r="C346" s="9" t="s">
        <v>2826</v>
      </c>
      <c r="D346" s="9" t="s">
        <v>4418</v>
      </c>
      <c r="E346" s="9" t="s">
        <v>2827</v>
      </c>
      <c r="F346" s="9" t="s">
        <v>9419</v>
      </c>
      <c r="G346" s="9" t="s">
        <v>9420</v>
      </c>
      <c r="H346" s="9" t="s">
        <v>9421</v>
      </c>
      <c r="I346" s="9" t="s">
        <v>9422</v>
      </c>
      <c r="J346" s="9" t="s">
        <v>9423</v>
      </c>
      <c r="K346" s="9" t="s">
        <v>9424</v>
      </c>
      <c r="L346" s="9" t="s">
        <v>9425</v>
      </c>
      <c r="M346" s="9" t="s">
        <v>9426</v>
      </c>
      <c r="N346" s="9" t="s">
        <v>9427</v>
      </c>
      <c r="O346" s="9" t="s">
        <v>9428</v>
      </c>
      <c r="P346" s="9" t="s">
        <v>9429</v>
      </c>
      <c r="Q346" s="9" t="s">
        <v>9430</v>
      </c>
      <c r="R346" s="9" t="s">
        <v>4589</v>
      </c>
      <c r="S346" s="9" t="s">
        <v>9431</v>
      </c>
      <c r="T346" s="9">
        <v>4</v>
      </c>
      <c r="U346" s="9">
        <v>3</v>
      </c>
      <c r="V346" s="9">
        <v>3</v>
      </c>
      <c r="W346" s="9">
        <v>2</v>
      </c>
      <c r="X346" s="9">
        <v>1</v>
      </c>
      <c r="Y346" s="9">
        <v>1</v>
      </c>
      <c r="Z346" s="9" t="s">
        <v>2829</v>
      </c>
      <c r="AA346" s="9" t="s">
        <v>2830</v>
      </c>
      <c r="AB346" s="9" t="s">
        <v>2831</v>
      </c>
      <c r="AC346" s="9" t="s">
        <v>9432</v>
      </c>
      <c r="AD346" s="9" t="s">
        <v>9433</v>
      </c>
      <c r="AE346" t="str">
        <f t="shared" si="15"/>
        <v>Slow</v>
      </c>
      <c r="AF346">
        <f>IF($A346="","",IFERROR(VLOOKUP($B346,_CONFIG_Risk_Calibration!$A$5:$H$21,2,FALSE),3))</f>
        <v>3</v>
      </c>
      <c r="AG346">
        <f>IF($A346="","",IFERROR(VLOOKUP($B346,_CONFIG_Risk_Calibration!$A$5:$H$21,3,FALSE),0))</f>
        <v>0</v>
      </c>
      <c r="AH346">
        <f>IF($A346="","",IFERROR(VLOOKUP($B346,_CONFIG_Risk_Calibration!$A$5:$H$21,4,FALSE),3))</f>
        <v>3</v>
      </c>
      <c r="AI346">
        <f>IF($A346="","",IFERROR(VLOOKUP($B346,_CONFIG_Risk_Calibration!$A$5:$H$21,5,FALSE),3))</f>
        <v>3</v>
      </c>
      <c r="AJ346" t="str">
        <f>IF($A346="","",IFERROR(VLOOKUP($B346,_CONFIG_Risk_Calibration!$A$5:$H$21,6,FALSE),"No"))</f>
        <v>No</v>
      </c>
      <c r="AK346">
        <f>IF($A346="","",IFERROR(VLOOKUP($B346,_CONFIG_Risk_Calibration!$A$5:$H$21,7,FALSE),1))</f>
        <v>1</v>
      </c>
      <c r="AL346" t="str">
        <f>IF($A346="","",IFERROR(VLOOKUP($B346,_CONFIG_Risk_Calibration!$A$5:$H$21,8,FALSE),""))</f>
        <v>Clean template default. Calibrate with real exposure, incident history, evidence quality and domain-owner validation.</v>
      </c>
      <c r="AM346">
        <f>IF($A346="","",IFERROR(INDEX(_DATA_Assessment_Model!$AL$1:$AL$428,MATCH($A346,_DATA_Assessment_Model!$A$1:$A$428,0)),""))</f>
        <v>0</v>
      </c>
      <c r="AN346">
        <f t="shared" si="16"/>
        <v>1</v>
      </c>
      <c r="AO346">
        <f>IF($A346="","",_CONFIG_Model_Settings!$B$172*MAX(N($AK346),(N($AF346)+N($AI346))/2))</f>
        <v>60</v>
      </c>
      <c r="AP346">
        <f t="shared" si="17"/>
        <v>60</v>
      </c>
      <c r="AQ346">
        <f>IF($AP346="","",MAX(0,$AP346*(1-(_CONFIG_Model_Settings!$B$173+_CONFIG_Model_Settings!$B$174*(N($AH346)-1)))))</f>
        <v>39</v>
      </c>
      <c r="AR346">
        <f>IF($AP346="","",MIN(100,$AP346*(1+(_CONFIG_Model_Settings!$B$173+_CONFIG_Model_Settings!$B$174*(N($AH346)-1)))))</f>
        <v>81</v>
      </c>
    </row>
    <row r="347" spans="1:44" ht="72" customHeight="1">
      <c r="A347" s="9" t="s">
        <v>2832</v>
      </c>
      <c r="B347" s="9" t="s">
        <v>2824</v>
      </c>
      <c r="C347" s="9" t="s">
        <v>2826</v>
      </c>
      <c r="D347" s="9" t="s">
        <v>4418</v>
      </c>
      <c r="E347" s="9" t="s">
        <v>2833</v>
      </c>
      <c r="F347" s="9" t="s">
        <v>9434</v>
      </c>
      <c r="G347" s="9" t="s">
        <v>9435</v>
      </c>
      <c r="H347" s="9" t="s">
        <v>9436</v>
      </c>
      <c r="I347" s="9" t="s">
        <v>9437</v>
      </c>
      <c r="J347" s="9" t="s">
        <v>9438</v>
      </c>
      <c r="K347" s="9" t="s">
        <v>9439</v>
      </c>
      <c r="L347" s="9" t="s">
        <v>9440</v>
      </c>
      <c r="M347" s="9" t="s">
        <v>9441</v>
      </c>
      <c r="N347" s="9" t="s">
        <v>9442</v>
      </c>
      <c r="O347" s="9" t="s">
        <v>9443</v>
      </c>
      <c r="P347" s="9" t="s">
        <v>9444</v>
      </c>
      <c r="Q347" s="9" t="s">
        <v>9445</v>
      </c>
      <c r="R347" s="9" t="s">
        <v>4589</v>
      </c>
      <c r="S347" s="9" t="s">
        <v>9446</v>
      </c>
      <c r="T347" s="9">
        <v>4</v>
      </c>
      <c r="U347" s="9">
        <v>3</v>
      </c>
      <c r="V347" s="9">
        <v>3</v>
      </c>
      <c r="W347" s="9">
        <v>2</v>
      </c>
      <c r="X347" s="9">
        <v>1</v>
      </c>
      <c r="Y347" s="9">
        <v>1</v>
      </c>
      <c r="Z347" s="9" t="s">
        <v>2829</v>
      </c>
      <c r="AA347" s="9" t="s">
        <v>2834</v>
      </c>
      <c r="AB347" s="9" t="s">
        <v>2831</v>
      </c>
      <c r="AC347" s="9" t="s">
        <v>9432</v>
      </c>
      <c r="AD347" s="9" t="s">
        <v>9447</v>
      </c>
      <c r="AE347" t="str">
        <f t="shared" si="15"/>
        <v>Slow</v>
      </c>
      <c r="AF347">
        <f>IF($A347="","",IFERROR(VLOOKUP($B347,_CONFIG_Risk_Calibration!$A$5:$H$21,2,FALSE),3))</f>
        <v>3</v>
      </c>
      <c r="AG347">
        <f>IF($A347="","",IFERROR(VLOOKUP($B347,_CONFIG_Risk_Calibration!$A$5:$H$21,3,FALSE),0))</f>
        <v>0</v>
      </c>
      <c r="AH347">
        <f>IF($A347="","",IFERROR(VLOOKUP($B347,_CONFIG_Risk_Calibration!$A$5:$H$21,4,FALSE),3))</f>
        <v>3</v>
      </c>
      <c r="AI347">
        <f>IF($A347="","",IFERROR(VLOOKUP($B347,_CONFIG_Risk_Calibration!$A$5:$H$21,5,FALSE),3))</f>
        <v>3</v>
      </c>
      <c r="AJ347" t="str">
        <f>IF($A347="","",IFERROR(VLOOKUP($B347,_CONFIG_Risk_Calibration!$A$5:$H$21,6,FALSE),"No"))</f>
        <v>No</v>
      </c>
      <c r="AK347">
        <f>IF($A347="","",IFERROR(VLOOKUP($B347,_CONFIG_Risk_Calibration!$A$5:$H$21,7,FALSE),1))</f>
        <v>1</v>
      </c>
      <c r="AL347" t="str">
        <f>IF($A347="","",IFERROR(VLOOKUP($B347,_CONFIG_Risk_Calibration!$A$5:$H$21,8,FALSE),""))</f>
        <v>Clean template default. Calibrate with real exposure, incident history, evidence quality and domain-owner validation.</v>
      </c>
      <c r="AM347">
        <f>IF($A347="","",IFERROR(INDEX(_DATA_Assessment_Model!$AL$1:$AL$428,MATCH($A347,_DATA_Assessment_Model!$A$1:$A$428,0)),""))</f>
        <v>0</v>
      </c>
      <c r="AN347">
        <f t="shared" si="16"/>
        <v>1</v>
      </c>
      <c r="AO347">
        <f>IF($A347="","",_CONFIG_Model_Settings!$B$172*MAX(N($AK347),(N($AF347)+N($AI347))/2))</f>
        <v>60</v>
      </c>
      <c r="AP347">
        <f t="shared" si="17"/>
        <v>60</v>
      </c>
      <c r="AQ347">
        <f>IF($AP347="","",MAX(0,$AP347*(1-(_CONFIG_Model_Settings!$B$173+_CONFIG_Model_Settings!$B$174*(N($AH347)-1)))))</f>
        <v>39</v>
      </c>
      <c r="AR347">
        <f>IF($AP347="","",MIN(100,$AP347*(1+(_CONFIG_Model_Settings!$B$173+_CONFIG_Model_Settings!$B$174*(N($AH347)-1)))))</f>
        <v>81</v>
      </c>
    </row>
    <row r="348" spans="1:44" ht="72" customHeight="1">
      <c r="A348" s="9" t="s">
        <v>2836</v>
      </c>
      <c r="B348" s="9" t="s">
        <v>2824</v>
      </c>
      <c r="C348" s="9" t="s">
        <v>2826</v>
      </c>
      <c r="D348" s="9" t="s">
        <v>4418</v>
      </c>
      <c r="E348" s="9" t="s">
        <v>2837</v>
      </c>
      <c r="F348" s="9" t="s">
        <v>9448</v>
      </c>
      <c r="G348" s="9" t="s">
        <v>9449</v>
      </c>
      <c r="H348" s="9" t="s">
        <v>9450</v>
      </c>
      <c r="I348" s="9" t="s">
        <v>9451</v>
      </c>
      <c r="J348" s="9" t="s">
        <v>9452</v>
      </c>
      <c r="K348" s="9" t="s">
        <v>9453</v>
      </c>
      <c r="L348" s="9" t="s">
        <v>9454</v>
      </c>
      <c r="M348" s="9" t="s">
        <v>9455</v>
      </c>
      <c r="N348" s="9" t="s">
        <v>9456</v>
      </c>
      <c r="O348" s="9" t="s">
        <v>9457</v>
      </c>
      <c r="P348" s="9" t="s">
        <v>9458</v>
      </c>
      <c r="Q348" s="9" t="s">
        <v>9459</v>
      </c>
      <c r="R348" s="9" t="s">
        <v>4589</v>
      </c>
      <c r="S348" s="9" t="s">
        <v>9460</v>
      </c>
      <c r="T348" s="9">
        <v>4</v>
      </c>
      <c r="U348" s="9">
        <v>3</v>
      </c>
      <c r="V348" s="9">
        <v>3</v>
      </c>
      <c r="W348" s="9">
        <v>2</v>
      </c>
      <c r="X348" s="9">
        <v>1</v>
      </c>
      <c r="Y348" s="9">
        <v>1</v>
      </c>
      <c r="Z348" s="9" t="s">
        <v>2829</v>
      </c>
      <c r="AA348" s="9" t="s">
        <v>2838</v>
      </c>
      <c r="AB348" s="9" t="s">
        <v>2831</v>
      </c>
      <c r="AC348" s="9" t="s">
        <v>9432</v>
      </c>
      <c r="AD348" s="9" t="s">
        <v>9461</v>
      </c>
      <c r="AE348" t="str">
        <f t="shared" si="15"/>
        <v>Slow</v>
      </c>
      <c r="AF348">
        <f>IF($A348="","",IFERROR(VLOOKUP($B348,_CONFIG_Risk_Calibration!$A$5:$H$21,2,FALSE),3))</f>
        <v>3</v>
      </c>
      <c r="AG348">
        <f>IF($A348="","",IFERROR(VLOOKUP($B348,_CONFIG_Risk_Calibration!$A$5:$H$21,3,FALSE),0))</f>
        <v>0</v>
      </c>
      <c r="AH348">
        <f>IF($A348="","",IFERROR(VLOOKUP($B348,_CONFIG_Risk_Calibration!$A$5:$H$21,4,FALSE),3))</f>
        <v>3</v>
      </c>
      <c r="AI348">
        <f>IF($A348="","",IFERROR(VLOOKUP($B348,_CONFIG_Risk_Calibration!$A$5:$H$21,5,FALSE),3))</f>
        <v>3</v>
      </c>
      <c r="AJ348" t="str">
        <f>IF($A348="","",IFERROR(VLOOKUP($B348,_CONFIG_Risk_Calibration!$A$5:$H$21,6,FALSE),"No"))</f>
        <v>No</v>
      </c>
      <c r="AK348">
        <f>IF($A348="","",IFERROR(VLOOKUP($B348,_CONFIG_Risk_Calibration!$A$5:$H$21,7,FALSE),1))</f>
        <v>1</v>
      </c>
      <c r="AL348" t="str">
        <f>IF($A348="","",IFERROR(VLOOKUP($B348,_CONFIG_Risk_Calibration!$A$5:$H$21,8,FALSE),""))</f>
        <v>Clean template default. Calibrate with real exposure, incident history, evidence quality and domain-owner validation.</v>
      </c>
      <c r="AM348">
        <f>IF($A348="","",IFERROR(INDEX(_DATA_Assessment_Model!$AL$1:$AL$428,MATCH($A348,_DATA_Assessment_Model!$A$1:$A$428,0)),""))</f>
        <v>0</v>
      </c>
      <c r="AN348">
        <f t="shared" si="16"/>
        <v>1</v>
      </c>
      <c r="AO348">
        <f>IF($A348="","",_CONFIG_Model_Settings!$B$172*MAX(N($AK348),(N($AF348)+N($AI348))/2))</f>
        <v>60</v>
      </c>
      <c r="AP348">
        <f t="shared" si="17"/>
        <v>60</v>
      </c>
      <c r="AQ348">
        <f>IF($AP348="","",MAX(0,$AP348*(1-(_CONFIG_Model_Settings!$B$173+_CONFIG_Model_Settings!$B$174*(N($AH348)-1)))))</f>
        <v>39</v>
      </c>
      <c r="AR348">
        <f>IF($AP348="","",MIN(100,$AP348*(1+(_CONFIG_Model_Settings!$B$173+_CONFIG_Model_Settings!$B$174*(N($AH348)-1)))))</f>
        <v>81</v>
      </c>
    </row>
    <row r="349" spans="1:44" ht="72" customHeight="1">
      <c r="A349" s="9" t="s">
        <v>2846</v>
      </c>
      <c r="B349" s="9" t="s">
        <v>2824</v>
      </c>
      <c r="C349" s="9" t="s">
        <v>2826</v>
      </c>
      <c r="D349" s="9" t="s">
        <v>4418</v>
      </c>
      <c r="E349" s="9" t="s">
        <v>2847</v>
      </c>
      <c r="F349" s="9" t="s">
        <v>9462</v>
      </c>
      <c r="G349" s="9" t="s">
        <v>9463</v>
      </c>
      <c r="H349" s="9" t="s">
        <v>9464</v>
      </c>
      <c r="I349" s="9" t="s">
        <v>9465</v>
      </c>
      <c r="J349" s="9" t="s">
        <v>9466</v>
      </c>
      <c r="K349" s="9" t="s">
        <v>9467</v>
      </c>
      <c r="L349" s="9" t="s">
        <v>9468</v>
      </c>
      <c r="M349" s="9" t="s">
        <v>9469</v>
      </c>
      <c r="N349" s="9" t="s">
        <v>9470</v>
      </c>
      <c r="O349" s="9" t="s">
        <v>9471</v>
      </c>
      <c r="P349" s="9" t="s">
        <v>9472</v>
      </c>
      <c r="Q349" s="9" t="s">
        <v>9473</v>
      </c>
      <c r="R349" s="9" t="s">
        <v>4589</v>
      </c>
      <c r="S349" s="9" t="s">
        <v>9474</v>
      </c>
      <c r="T349" s="9">
        <v>4</v>
      </c>
      <c r="U349" s="9">
        <v>3</v>
      </c>
      <c r="V349" s="9">
        <v>3</v>
      </c>
      <c r="W349" s="9">
        <v>2</v>
      </c>
      <c r="X349" s="9">
        <v>1</v>
      </c>
      <c r="Y349" s="9">
        <v>1</v>
      </c>
      <c r="Z349" s="9" t="s">
        <v>2829</v>
      </c>
      <c r="AA349" s="9" t="s">
        <v>2848</v>
      </c>
      <c r="AB349" s="9" t="s">
        <v>2831</v>
      </c>
      <c r="AC349" s="9" t="s">
        <v>9432</v>
      </c>
      <c r="AD349" s="9" t="s">
        <v>9475</v>
      </c>
      <c r="AE349" t="str">
        <f t="shared" si="15"/>
        <v>Slow</v>
      </c>
      <c r="AF349">
        <f>IF($A349="","",IFERROR(VLOOKUP($B349,_CONFIG_Risk_Calibration!$A$5:$H$21,2,FALSE),3))</f>
        <v>3</v>
      </c>
      <c r="AG349">
        <f>IF($A349="","",IFERROR(VLOOKUP($B349,_CONFIG_Risk_Calibration!$A$5:$H$21,3,FALSE),0))</f>
        <v>0</v>
      </c>
      <c r="AH349">
        <f>IF($A349="","",IFERROR(VLOOKUP($B349,_CONFIG_Risk_Calibration!$A$5:$H$21,4,FALSE),3))</f>
        <v>3</v>
      </c>
      <c r="AI349">
        <f>IF($A349="","",IFERROR(VLOOKUP($B349,_CONFIG_Risk_Calibration!$A$5:$H$21,5,FALSE),3))</f>
        <v>3</v>
      </c>
      <c r="AJ349" t="str">
        <f>IF($A349="","",IFERROR(VLOOKUP($B349,_CONFIG_Risk_Calibration!$A$5:$H$21,6,FALSE),"No"))</f>
        <v>No</v>
      </c>
      <c r="AK349">
        <f>IF($A349="","",IFERROR(VLOOKUP($B349,_CONFIG_Risk_Calibration!$A$5:$H$21,7,FALSE),1))</f>
        <v>1</v>
      </c>
      <c r="AL349" t="str">
        <f>IF($A349="","",IFERROR(VLOOKUP($B349,_CONFIG_Risk_Calibration!$A$5:$H$21,8,FALSE),""))</f>
        <v>Clean template default. Calibrate with real exposure, incident history, evidence quality and domain-owner validation.</v>
      </c>
      <c r="AM349">
        <f>IF($A349="","",IFERROR(INDEX(_DATA_Assessment_Model!$AL$1:$AL$428,MATCH($A349,_DATA_Assessment_Model!$A$1:$A$428,0)),""))</f>
        <v>0</v>
      </c>
      <c r="AN349">
        <f t="shared" si="16"/>
        <v>1</v>
      </c>
      <c r="AO349">
        <f>IF($A349="","",_CONFIG_Model_Settings!$B$172*MAX(N($AK349),(N($AF349)+N($AI349))/2))</f>
        <v>60</v>
      </c>
      <c r="AP349">
        <f t="shared" si="17"/>
        <v>60</v>
      </c>
      <c r="AQ349">
        <f>IF($AP349="","",MAX(0,$AP349*(1-(_CONFIG_Model_Settings!$B$173+_CONFIG_Model_Settings!$B$174*(N($AH349)-1)))))</f>
        <v>39</v>
      </c>
      <c r="AR349">
        <f>IF($AP349="","",MIN(100,$AP349*(1+(_CONFIG_Model_Settings!$B$173+_CONFIG_Model_Settings!$B$174*(N($AH349)-1)))))</f>
        <v>81</v>
      </c>
    </row>
    <row r="350" spans="1:44" ht="72" customHeight="1">
      <c r="A350" s="9" t="s">
        <v>2856</v>
      </c>
      <c r="B350" s="9" t="s">
        <v>2824</v>
      </c>
      <c r="C350" s="9" t="s">
        <v>2826</v>
      </c>
      <c r="D350" s="9" t="s">
        <v>4418</v>
      </c>
      <c r="E350" s="9" t="s">
        <v>2857</v>
      </c>
      <c r="F350" s="9" t="s">
        <v>9476</v>
      </c>
      <c r="G350" s="9" t="s">
        <v>9477</v>
      </c>
      <c r="H350" s="9" t="s">
        <v>9478</v>
      </c>
      <c r="I350" s="9" t="s">
        <v>9479</v>
      </c>
      <c r="J350" s="9" t="s">
        <v>9480</v>
      </c>
      <c r="K350" s="9" t="s">
        <v>9481</v>
      </c>
      <c r="L350" s="9" t="s">
        <v>9482</v>
      </c>
      <c r="M350" s="9" t="s">
        <v>9483</v>
      </c>
      <c r="N350" s="9" t="s">
        <v>9484</v>
      </c>
      <c r="O350" s="9" t="s">
        <v>9485</v>
      </c>
      <c r="P350" s="9" t="s">
        <v>9486</v>
      </c>
      <c r="Q350" s="9" t="s">
        <v>9487</v>
      </c>
      <c r="R350" s="9" t="s">
        <v>4589</v>
      </c>
      <c r="S350" s="9" t="s">
        <v>9488</v>
      </c>
      <c r="T350" s="9">
        <v>4</v>
      </c>
      <c r="U350" s="9">
        <v>3</v>
      </c>
      <c r="V350" s="9">
        <v>3</v>
      </c>
      <c r="W350" s="9">
        <v>2</v>
      </c>
      <c r="X350" s="9">
        <v>1</v>
      </c>
      <c r="Y350" s="9">
        <v>1</v>
      </c>
      <c r="Z350" s="9" t="s">
        <v>2829</v>
      </c>
      <c r="AA350" s="9" t="s">
        <v>2858</v>
      </c>
      <c r="AB350" s="9" t="s">
        <v>2831</v>
      </c>
      <c r="AC350" s="9" t="s">
        <v>9432</v>
      </c>
      <c r="AD350" s="9" t="s">
        <v>9489</v>
      </c>
      <c r="AE350" t="str">
        <f t="shared" si="15"/>
        <v>Slow</v>
      </c>
      <c r="AF350">
        <f>IF($A350="","",IFERROR(VLOOKUP($B350,_CONFIG_Risk_Calibration!$A$5:$H$21,2,FALSE),3))</f>
        <v>3</v>
      </c>
      <c r="AG350">
        <f>IF($A350="","",IFERROR(VLOOKUP($B350,_CONFIG_Risk_Calibration!$A$5:$H$21,3,FALSE),0))</f>
        <v>0</v>
      </c>
      <c r="AH350">
        <f>IF($A350="","",IFERROR(VLOOKUP($B350,_CONFIG_Risk_Calibration!$A$5:$H$21,4,FALSE),3))</f>
        <v>3</v>
      </c>
      <c r="AI350">
        <f>IF($A350="","",IFERROR(VLOOKUP($B350,_CONFIG_Risk_Calibration!$A$5:$H$21,5,FALSE),3))</f>
        <v>3</v>
      </c>
      <c r="AJ350" t="str">
        <f>IF($A350="","",IFERROR(VLOOKUP($B350,_CONFIG_Risk_Calibration!$A$5:$H$21,6,FALSE),"No"))</f>
        <v>No</v>
      </c>
      <c r="AK350">
        <f>IF($A350="","",IFERROR(VLOOKUP($B350,_CONFIG_Risk_Calibration!$A$5:$H$21,7,FALSE),1))</f>
        <v>1</v>
      </c>
      <c r="AL350" t="str">
        <f>IF($A350="","",IFERROR(VLOOKUP($B350,_CONFIG_Risk_Calibration!$A$5:$H$21,8,FALSE),""))</f>
        <v>Clean template default. Calibrate with real exposure, incident history, evidence quality and domain-owner validation.</v>
      </c>
      <c r="AM350">
        <f>IF($A350="","",IFERROR(INDEX(_DATA_Assessment_Model!$AL$1:$AL$428,MATCH($A350,_DATA_Assessment_Model!$A$1:$A$428,0)),""))</f>
        <v>0</v>
      </c>
      <c r="AN350">
        <f t="shared" si="16"/>
        <v>1</v>
      </c>
      <c r="AO350">
        <f>IF($A350="","",_CONFIG_Model_Settings!$B$172*MAX(N($AK350),(N($AF350)+N($AI350))/2))</f>
        <v>60</v>
      </c>
      <c r="AP350">
        <f t="shared" si="17"/>
        <v>60</v>
      </c>
      <c r="AQ350">
        <f>IF($AP350="","",MAX(0,$AP350*(1-(_CONFIG_Model_Settings!$B$173+_CONFIG_Model_Settings!$B$174*(N($AH350)-1)))))</f>
        <v>39</v>
      </c>
      <c r="AR350">
        <f>IF($AP350="","",MIN(100,$AP350*(1+(_CONFIG_Model_Settings!$B$173+_CONFIG_Model_Settings!$B$174*(N($AH350)-1)))))</f>
        <v>81</v>
      </c>
    </row>
    <row r="351" spans="1:44" ht="72" customHeight="1">
      <c r="A351" s="9" t="s">
        <v>2860</v>
      </c>
      <c r="B351" s="9" t="s">
        <v>2824</v>
      </c>
      <c r="C351" s="9" t="s">
        <v>2826</v>
      </c>
      <c r="D351" s="9" t="s">
        <v>4418</v>
      </c>
      <c r="E351" s="9" t="s">
        <v>2861</v>
      </c>
      <c r="F351" s="9" t="s">
        <v>9490</v>
      </c>
      <c r="G351" s="9" t="s">
        <v>9491</v>
      </c>
      <c r="H351" s="9" t="s">
        <v>9492</v>
      </c>
      <c r="I351" s="9" t="s">
        <v>9493</v>
      </c>
      <c r="J351" s="9" t="s">
        <v>9494</v>
      </c>
      <c r="K351" s="9" t="s">
        <v>9495</v>
      </c>
      <c r="L351" s="9" t="s">
        <v>9496</v>
      </c>
      <c r="M351" s="9" t="s">
        <v>9497</v>
      </c>
      <c r="N351" s="9" t="s">
        <v>9498</v>
      </c>
      <c r="O351" s="9" t="s">
        <v>9499</v>
      </c>
      <c r="P351" s="9" t="s">
        <v>9500</v>
      </c>
      <c r="Q351" s="9" t="s">
        <v>9501</v>
      </c>
      <c r="R351" s="9" t="s">
        <v>4589</v>
      </c>
      <c r="S351" s="9" t="s">
        <v>9502</v>
      </c>
      <c r="T351" s="9">
        <v>4</v>
      </c>
      <c r="U351" s="9">
        <v>3</v>
      </c>
      <c r="V351" s="9">
        <v>3</v>
      </c>
      <c r="W351" s="9">
        <v>2</v>
      </c>
      <c r="X351" s="9">
        <v>1</v>
      </c>
      <c r="Y351" s="9">
        <v>1</v>
      </c>
      <c r="Z351" s="9" t="s">
        <v>2829</v>
      </c>
      <c r="AA351" s="9" t="s">
        <v>2862</v>
      </c>
      <c r="AB351" s="9" t="s">
        <v>2831</v>
      </c>
      <c r="AC351" s="9" t="s">
        <v>9432</v>
      </c>
      <c r="AD351" s="9" t="s">
        <v>9503</v>
      </c>
      <c r="AE351" t="str">
        <f t="shared" si="15"/>
        <v>Slow</v>
      </c>
      <c r="AF351">
        <f>IF($A351="","",IFERROR(VLOOKUP($B351,_CONFIG_Risk_Calibration!$A$5:$H$21,2,FALSE),3))</f>
        <v>3</v>
      </c>
      <c r="AG351">
        <f>IF($A351="","",IFERROR(VLOOKUP($B351,_CONFIG_Risk_Calibration!$A$5:$H$21,3,FALSE),0))</f>
        <v>0</v>
      </c>
      <c r="AH351">
        <f>IF($A351="","",IFERROR(VLOOKUP($B351,_CONFIG_Risk_Calibration!$A$5:$H$21,4,FALSE),3))</f>
        <v>3</v>
      </c>
      <c r="AI351">
        <f>IF($A351="","",IFERROR(VLOOKUP($B351,_CONFIG_Risk_Calibration!$A$5:$H$21,5,FALSE),3))</f>
        <v>3</v>
      </c>
      <c r="AJ351" t="str">
        <f>IF($A351="","",IFERROR(VLOOKUP($B351,_CONFIG_Risk_Calibration!$A$5:$H$21,6,FALSE),"No"))</f>
        <v>No</v>
      </c>
      <c r="AK351">
        <f>IF($A351="","",IFERROR(VLOOKUP($B351,_CONFIG_Risk_Calibration!$A$5:$H$21,7,FALSE),1))</f>
        <v>1</v>
      </c>
      <c r="AL351" t="str">
        <f>IF($A351="","",IFERROR(VLOOKUP($B351,_CONFIG_Risk_Calibration!$A$5:$H$21,8,FALSE),""))</f>
        <v>Clean template default. Calibrate with real exposure, incident history, evidence quality and domain-owner validation.</v>
      </c>
      <c r="AM351">
        <f>IF($A351="","",IFERROR(INDEX(_DATA_Assessment_Model!$AL$1:$AL$428,MATCH($A351,_DATA_Assessment_Model!$A$1:$A$428,0)),""))</f>
        <v>0</v>
      </c>
      <c r="AN351">
        <f t="shared" si="16"/>
        <v>1</v>
      </c>
      <c r="AO351">
        <f>IF($A351="","",_CONFIG_Model_Settings!$B$172*MAX(N($AK351),(N($AF351)+N($AI351))/2))</f>
        <v>60</v>
      </c>
      <c r="AP351">
        <f t="shared" si="17"/>
        <v>60</v>
      </c>
      <c r="AQ351">
        <f>IF($AP351="","",MAX(0,$AP351*(1-(_CONFIG_Model_Settings!$B$173+_CONFIG_Model_Settings!$B$174*(N($AH351)-1)))))</f>
        <v>39</v>
      </c>
      <c r="AR351">
        <f>IF($AP351="","",MIN(100,$AP351*(1+(_CONFIG_Model_Settings!$B$173+_CONFIG_Model_Settings!$B$174*(N($AH351)-1)))))</f>
        <v>81</v>
      </c>
    </row>
    <row r="352" spans="1:44" ht="72" customHeight="1">
      <c r="A352" s="9" t="s">
        <v>2869</v>
      </c>
      <c r="B352" s="9" t="s">
        <v>2824</v>
      </c>
      <c r="C352" s="9" t="s">
        <v>2835</v>
      </c>
      <c r="D352" s="9" t="s">
        <v>4418</v>
      </c>
      <c r="E352" s="9" t="s">
        <v>2870</v>
      </c>
      <c r="F352" s="9" t="s">
        <v>9504</v>
      </c>
      <c r="G352" s="9" t="s">
        <v>9505</v>
      </c>
      <c r="H352" s="9" t="s">
        <v>9506</v>
      </c>
      <c r="I352" s="9" t="s">
        <v>9507</v>
      </c>
      <c r="J352" s="9" t="s">
        <v>9508</v>
      </c>
      <c r="K352" s="9" t="s">
        <v>9509</v>
      </c>
      <c r="L352" s="9" t="s">
        <v>9510</v>
      </c>
      <c r="M352" s="9" t="s">
        <v>9511</v>
      </c>
      <c r="N352" s="9" t="s">
        <v>9512</v>
      </c>
      <c r="O352" s="9" t="s">
        <v>9513</v>
      </c>
      <c r="P352" s="9" t="s">
        <v>9514</v>
      </c>
      <c r="Q352" s="9" t="s">
        <v>9515</v>
      </c>
      <c r="R352" s="9" t="s">
        <v>4589</v>
      </c>
      <c r="S352" s="9" t="s">
        <v>9516</v>
      </c>
      <c r="T352" s="9">
        <v>4</v>
      </c>
      <c r="U352" s="9">
        <v>3</v>
      </c>
      <c r="V352" s="9">
        <v>3</v>
      </c>
      <c r="W352" s="9">
        <v>2</v>
      </c>
      <c r="X352" s="9">
        <v>1</v>
      </c>
      <c r="Y352" s="9">
        <v>1</v>
      </c>
      <c r="Z352" s="9" t="s">
        <v>2829</v>
      </c>
      <c r="AA352" s="9" t="s">
        <v>2871</v>
      </c>
      <c r="AB352" s="9" t="s">
        <v>2831</v>
      </c>
      <c r="AC352" s="9" t="s">
        <v>9432</v>
      </c>
      <c r="AD352" s="9" t="s">
        <v>9517</v>
      </c>
      <c r="AE352" t="str">
        <f t="shared" si="15"/>
        <v>Slow</v>
      </c>
      <c r="AF352">
        <f>IF($A352="","",IFERROR(VLOOKUP($B352,_CONFIG_Risk_Calibration!$A$5:$H$21,2,FALSE),3))</f>
        <v>3</v>
      </c>
      <c r="AG352">
        <f>IF($A352="","",IFERROR(VLOOKUP($B352,_CONFIG_Risk_Calibration!$A$5:$H$21,3,FALSE),0))</f>
        <v>0</v>
      </c>
      <c r="AH352">
        <f>IF($A352="","",IFERROR(VLOOKUP($B352,_CONFIG_Risk_Calibration!$A$5:$H$21,4,FALSE),3))</f>
        <v>3</v>
      </c>
      <c r="AI352">
        <f>IF($A352="","",IFERROR(VLOOKUP($B352,_CONFIG_Risk_Calibration!$A$5:$H$21,5,FALSE),3))</f>
        <v>3</v>
      </c>
      <c r="AJ352" t="str">
        <f>IF($A352="","",IFERROR(VLOOKUP($B352,_CONFIG_Risk_Calibration!$A$5:$H$21,6,FALSE),"No"))</f>
        <v>No</v>
      </c>
      <c r="AK352">
        <f>IF($A352="","",IFERROR(VLOOKUP($B352,_CONFIG_Risk_Calibration!$A$5:$H$21,7,FALSE),1))</f>
        <v>1</v>
      </c>
      <c r="AL352" t="str">
        <f>IF($A352="","",IFERROR(VLOOKUP($B352,_CONFIG_Risk_Calibration!$A$5:$H$21,8,FALSE),""))</f>
        <v>Clean template default. Calibrate with real exposure, incident history, evidence quality and domain-owner validation.</v>
      </c>
      <c r="AM352">
        <f>IF($A352="","",IFERROR(INDEX(_DATA_Assessment_Model!$AL$1:$AL$428,MATCH($A352,_DATA_Assessment_Model!$A$1:$A$428,0)),""))</f>
        <v>0</v>
      </c>
      <c r="AN352">
        <f t="shared" si="16"/>
        <v>1</v>
      </c>
      <c r="AO352">
        <f>IF($A352="","",_CONFIG_Model_Settings!$B$172*MAX(N($AK352),(N($AF352)+N($AI352))/2))</f>
        <v>60</v>
      </c>
      <c r="AP352">
        <f t="shared" si="17"/>
        <v>60</v>
      </c>
      <c r="AQ352">
        <f>IF($AP352="","",MAX(0,$AP352*(1-(_CONFIG_Model_Settings!$B$173+_CONFIG_Model_Settings!$B$174*(N($AH352)-1)))))</f>
        <v>39</v>
      </c>
      <c r="AR352">
        <f>IF($AP352="","",MIN(100,$AP352*(1+(_CONFIG_Model_Settings!$B$173+_CONFIG_Model_Settings!$B$174*(N($AH352)-1)))))</f>
        <v>81</v>
      </c>
    </row>
    <row r="353" spans="1:44" ht="72" customHeight="1">
      <c r="A353" s="9" t="s">
        <v>2878</v>
      </c>
      <c r="B353" s="9" t="s">
        <v>2824</v>
      </c>
      <c r="C353" s="9" t="s">
        <v>2835</v>
      </c>
      <c r="D353" s="9" t="s">
        <v>4418</v>
      </c>
      <c r="E353" s="9" t="s">
        <v>2879</v>
      </c>
      <c r="F353" s="9" t="s">
        <v>9518</v>
      </c>
      <c r="G353" s="9" t="s">
        <v>9519</v>
      </c>
      <c r="H353" s="9" t="s">
        <v>9520</v>
      </c>
      <c r="I353" s="9" t="s">
        <v>9521</v>
      </c>
      <c r="J353" s="9" t="s">
        <v>9522</v>
      </c>
      <c r="K353" s="9" t="s">
        <v>9523</v>
      </c>
      <c r="L353" s="9" t="s">
        <v>9524</v>
      </c>
      <c r="M353" s="9" t="s">
        <v>9525</v>
      </c>
      <c r="N353" s="9" t="s">
        <v>9526</v>
      </c>
      <c r="O353" s="9" t="s">
        <v>9527</v>
      </c>
      <c r="P353" s="9" t="s">
        <v>9528</v>
      </c>
      <c r="Q353" s="9" t="s">
        <v>9529</v>
      </c>
      <c r="R353" s="9" t="s">
        <v>4589</v>
      </c>
      <c r="S353" s="9" t="s">
        <v>9530</v>
      </c>
      <c r="T353" s="9">
        <v>4</v>
      </c>
      <c r="U353" s="9">
        <v>3</v>
      </c>
      <c r="V353" s="9">
        <v>3</v>
      </c>
      <c r="W353" s="9">
        <v>2</v>
      </c>
      <c r="X353" s="9">
        <v>1</v>
      </c>
      <c r="Y353" s="9">
        <v>1</v>
      </c>
      <c r="Z353" s="9" t="s">
        <v>2829</v>
      </c>
      <c r="AA353" s="9" t="s">
        <v>2880</v>
      </c>
      <c r="AB353" s="9" t="s">
        <v>2831</v>
      </c>
      <c r="AC353" s="9" t="s">
        <v>9432</v>
      </c>
      <c r="AD353" s="9" t="s">
        <v>9531</v>
      </c>
      <c r="AE353" t="str">
        <f t="shared" si="15"/>
        <v>Slow</v>
      </c>
      <c r="AF353">
        <f>IF($A353="","",IFERROR(VLOOKUP($B353,_CONFIG_Risk_Calibration!$A$5:$H$21,2,FALSE),3))</f>
        <v>3</v>
      </c>
      <c r="AG353">
        <f>IF($A353="","",IFERROR(VLOOKUP($B353,_CONFIG_Risk_Calibration!$A$5:$H$21,3,FALSE),0))</f>
        <v>0</v>
      </c>
      <c r="AH353">
        <f>IF($A353="","",IFERROR(VLOOKUP($B353,_CONFIG_Risk_Calibration!$A$5:$H$21,4,FALSE),3))</f>
        <v>3</v>
      </c>
      <c r="AI353">
        <f>IF($A353="","",IFERROR(VLOOKUP($B353,_CONFIG_Risk_Calibration!$A$5:$H$21,5,FALSE),3))</f>
        <v>3</v>
      </c>
      <c r="AJ353" t="str">
        <f>IF($A353="","",IFERROR(VLOOKUP($B353,_CONFIG_Risk_Calibration!$A$5:$H$21,6,FALSE),"No"))</f>
        <v>No</v>
      </c>
      <c r="AK353">
        <f>IF($A353="","",IFERROR(VLOOKUP($B353,_CONFIG_Risk_Calibration!$A$5:$H$21,7,FALSE),1))</f>
        <v>1</v>
      </c>
      <c r="AL353" t="str">
        <f>IF($A353="","",IFERROR(VLOOKUP($B353,_CONFIG_Risk_Calibration!$A$5:$H$21,8,FALSE),""))</f>
        <v>Clean template default. Calibrate with real exposure, incident history, evidence quality and domain-owner validation.</v>
      </c>
      <c r="AM353">
        <f>IF($A353="","",IFERROR(INDEX(_DATA_Assessment_Model!$AL$1:$AL$428,MATCH($A353,_DATA_Assessment_Model!$A$1:$A$428,0)),""))</f>
        <v>0</v>
      </c>
      <c r="AN353">
        <f t="shared" si="16"/>
        <v>1</v>
      </c>
      <c r="AO353">
        <f>IF($A353="","",_CONFIG_Model_Settings!$B$172*MAX(N($AK353),(N($AF353)+N($AI353))/2))</f>
        <v>60</v>
      </c>
      <c r="AP353">
        <f t="shared" si="17"/>
        <v>60</v>
      </c>
      <c r="AQ353">
        <f>IF($AP353="","",MAX(0,$AP353*(1-(_CONFIG_Model_Settings!$B$173+_CONFIG_Model_Settings!$B$174*(N($AH353)-1)))))</f>
        <v>39</v>
      </c>
      <c r="AR353">
        <f>IF($AP353="","",MIN(100,$AP353*(1+(_CONFIG_Model_Settings!$B$173+_CONFIG_Model_Settings!$B$174*(N($AH353)-1)))))</f>
        <v>81</v>
      </c>
    </row>
    <row r="354" spans="1:44" ht="72" customHeight="1">
      <c r="A354" s="9" t="s">
        <v>2887</v>
      </c>
      <c r="B354" s="9" t="s">
        <v>2824</v>
      </c>
      <c r="C354" s="9" t="s">
        <v>2835</v>
      </c>
      <c r="D354" s="9" t="s">
        <v>4418</v>
      </c>
      <c r="E354" s="9" t="s">
        <v>2888</v>
      </c>
      <c r="F354" s="9" t="s">
        <v>9532</v>
      </c>
      <c r="G354" s="9" t="s">
        <v>9533</v>
      </c>
      <c r="H354" s="9" t="s">
        <v>9534</v>
      </c>
      <c r="I354" s="9" t="s">
        <v>9535</v>
      </c>
      <c r="J354" s="9" t="s">
        <v>9536</v>
      </c>
      <c r="K354" s="9" t="s">
        <v>9537</v>
      </c>
      <c r="L354" s="9" t="s">
        <v>9538</v>
      </c>
      <c r="M354" s="9" t="s">
        <v>9539</v>
      </c>
      <c r="N354" s="9" t="s">
        <v>9540</v>
      </c>
      <c r="O354" s="9" t="s">
        <v>9541</v>
      </c>
      <c r="P354" s="9" t="s">
        <v>9542</v>
      </c>
      <c r="Q354" s="9" t="s">
        <v>9543</v>
      </c>
      <c r="R354" s="9" t="s">
        <v>4589</v>
      </c>
      <c r="S354" s="9" t="s">
        <v>9544</v>
      </c>
      <c r="T354" s="9">
        <v>4</v>
      </c>
      <c r="U354" s="9">
        <v>3</v>
      </c>
      <c r="V354" s="9">
        <v>3</v>
      </c>
      <c r="W354" s="9">
        <v>2</v>
      </c>
      <c r="X354" s="9">
        <v>1</v>
      </c>
      <c r="Y354" s="9">
        <v>1</v>
      </c>
      <c r="Z354" s="9" t="s">
        <v>2829</v>
      </c>
      <c r="AA354" s="9" t="s">
        <v>2889</v>
      </c>
      <c r="AB354" s="9" t="s">
        <v>2831</v>
      </c>
      <c r="AC354" s="9" t="s">
        <v>9432</v>
      </c>
      <c r="AD354" s="9" t="s">
        <v>9545</v>
      </c>
      <c r="AE354" t="str">
        <f t="shared" si="15"/>
        <v>Slow</v>
      </c>
      <c r="AF354">
        <f>IF($A354="","",IFERROR(VLOOKUP($B354,_CONFIG_Risk_Calibration!$A$5:$H$21,2,FALSE),3))</f>
        <v>3</v>
      </c>
      <c r="AG354">
        <f>IF($A354="","",IFERROR(VLOOKUP($B354,_CONFIG_Risk_Calibration!$A$5:$H$21,3,FALSE),0))</f>
        <v>0</v>
      </c>
      <c r="AH354">
        <f>IF($A354="","",IFERROR(VLOOKUP($B354,_CONFIG_Risk_Calibration!$A$5:$H$21,4,FALSE),3))</f>
        <v>3</v>
      </c>
      <c r="AI354">
        <f>IF($A354="","",IFERROR(VLOOKUP($B354,_CONFIG_Risk_Calibration!$A$5:$H$21,5,FALSE),3))</f>
        <v>3</v>
      </c>
      <c r="AJ354" t="str">
        <f>IF($A354="","",IFERROR(VLOOKUP($B354,_CONFIG_Risk_Calibration!$A$5:$H$21,6,FALSE),"No"))</f>
        <v>No</v>
      </c>
      <c r="AK354">
        <f>IF($A354="","",IFERROR(VLOOKUP($B354,_CONFIG_Risk_Calibration!$A$5:$H$21,7,FALSE),1))</f>
        <v>1</v>
      </c>
      <c r="AL354" t="str">
        <f>IF($A354="","",IFERROR(VLOOKUP($B354,_CONFIG_Risk_Calibration!$A$5:$H$21,8,FALSE),""))</f>
        <v>Clean template default. Calibrate with real exposure, incident history, evidence quality and domain-owner validation.</v>
      </c>
      <c r="AM354">
        <f>IF($A354="","",IFERROR(INDEX(_DATA_Assessment_Model!$AL$1:$AL$428,MATCH($A354,_DATA_Assessment_Model!$A$1:$A$428,0)),""))</f>
        <v>0</v>
      </c>
      <c r="AN354">
        <f t="shared" si="16"/>
        <v>1</v>
      </c>
      <c r="AO354">
        <f>IF($A354="","",_CONFIG_Model_Settings!$B$172*MAX(N($AK354),(N($AF354)+N($AI354))/2))</f>
        <v>60</v>
      </c>
      <c r="AP354">
        <f t="shared" si="17"/>
        <v>60</v>
      </c>
      <c r="AQ354">
        <f>IF($AP354="","",MAX(0,$AP354*(1-(_CONFIG_Model_Settings!$B$173+_CONFIG_Model_Settings!$B$174*(N($AH354)-1)))))</f>
        <v>39</v>
      </c>
      <c r="AR354">
        <f>IF($AP354="","",MIN(100,$AP354*(1+(_CONFIG_Model_Settings!$B$173+_CONFIG_Model_Settings!$B$174*(N($AH354)-1)))))</f>
        <v>81</v>
      </c>
    </row>
    <row r="355" spans="1:44" ht="72" customHeight="1">
      <c r="A355" s="9" t="s">
        <v>2890</v>
      </c>
      <c r="B355" s="9" t="s">
        <v>2824</v>
      </c>
      <c r="C355" s="9" t="s">
        <v>2835</v>
      </c>
      <c r="D355" s="9" t="s">
        <v>4418</v>
      </c>
      <c r="E355" s="9" t="s">
        <v>2891</v>
      </c>
      <c r="F355" s="9" t="s">
        <v>9546</v>
      </c>
      <c r="G355" s="9" t="s">
        <v>9547</v>
      </c>
      <c r="H355" s="9" t="s">
        <v>9548</v>
      </c>
      <c r="I355" s="9" t="s">
        <v>9549</v>
      </c>
      <c r="J355" s="9" t="s">
        <v>9550</v>
      </c>
      <c r="K355" s="9" t="s">
        <v>9551</v>
      </c>
      <c r="L355" s="9" t="s">
        <v>9552</v>
      </c>
      <c r="M355" s="9" t="s">
        <v>9553</v>
      </c>
      <c r="N355" s="9" t="s">
        <v>9554</v>
      </c>
      <c r="O355" s="9" t="s">
        <v>9555</v>
      </c>
      <c r="P355" s="9" t="s">
        <v>9556</v>
      </c>
      <c r="Q355" s="9" t="s">
        <v>9557</v>
      </c>
      <c r="R355" s="9" t="s">
        <v>4589</v>
      </c>
      <c r="S355" s="9" t="s">
        <v>9558</v>
      </c>
      <c r="T355" s="9">
        <v>4</v>
      </c>
      <c r="U355" s="9">
        <v>3</v>
      </c>
      <c r="V355" s="9">
        <v>3</v>
      </c>
      <c r="W355" s="9">
        <v>2</v>
      </c>
      <c r="X355" s="9">
        <v>1</v>
      </c>
      <c r="Y355" s="9">
        <v>1</v>
      </c>
      <c r="Z355" s="9" t="s">
        <v>2829</v>
      </c>
      <c r="AA355" s="9" t="s">
        <v>2892</v>
      </c>
      <c r="AB355" s="9" t="s">
        <v>2831</v>
      </c>
      <c r="AC355" s="9" t="s">
        <v>9432</v>
      </c>
      <c r="AD355" s="9" t="s">
        <v>9559</v>
      </c>
      <c r="AE355" t="str">
        <f t="shared" si="15"/>
        <v>Slow</v>
      </c>
      <c r="AF355">
        <f>IF($A355="","",IFERROR(VLOOKUP($B355,_CONFIG_Risk_Calibration!$A$5:$H$21,2,FALSE),3))</f>
        <v>3</v>
      </c>
      <c r="AG355">
        <f>IF($A355="","",IFERROR(VLOOKUP($B355,_CONFIG_Risk_Calibration!$A$5:$H$21,3,FALSE),0))</f>
        <v>0</v>
      </c>
      <c r="AH355">
        <f>IF($A355="","",IFERROR(VLOOKUP($B355,_CONFIG_Risk_Calibration!$A$5:$H$21,4,FALSE),3))</f>
        <v>3</v>
      </c>
      <c r="AI355">
        <f>IF($A355="","",IFERROR(VLOOKUP($B355,_CONFIG_Risk_Calibration!$A$5:$H$21,5,FALSE),3))</f>
        <v>3</v>
      </c>
      <c r="AJ355" t="str">
        <f>IF($A355="","",IFERROR(VLOOKUP($B355,_CONFIG_Risk_Calibration!$A$5:$H$21,6,FALSE),"No"))</f>
        <v>No</v>
      </c>
      <c r="AK355">
        <f>IF($A355="","",IFERROR(VLOOKUP($B355,_CONFIG_Risk_Calibration!$A$5:$H$21,7,FALSE),1))</f>
        <v>1</v>
      </c>
      <c r="AL355" t="str">
        <f>IF($A355="","",IFERROR(VLOOKUP($B355,_CONFIG_Risk_Calibration!$A$5:$H$21,8,FALSE),""))</f>
        <v>Clean template default. Calibrate with real exposure, incident history, evidence quality and domain-owner validation.</v>
      </c>
      <c r="AM355">
        <f>IF($A355="","",IFERROR(INDEX(_DATA_Assessment_Model!$AL$1:$AL$428,MATCH($A355,_DATA_Assessment_Model!$A$1:$A$428,0)),""))</f>
        <v>0</v>
      </c>
      <c r="AN355">
        <f t="shared" si="16"/>
        <v>1</v>
      </c>
      <c r="AO355">
        <f>IF($A355="","",_CONFIG_Model_Settings!$B$172*MAX(N($AK355),(N($AF355)+N($AI355))/2))</f>
        <v>60</v>
      </c>
      <c r="AP355">
        <f t="shared" si="17"/>
        <v>60</v>
      </c>
      <c r="AQ355">
        <f>IF($AP355="","",MAX(0,$AP355*(1-(_CONFIG_Model_Settings!$B$173+_CONFIG_Model_Settings!$B$174*(N($AH355)-1)))))</f>
        <v>39</v>
      </c>
      <c r="AR355">
        <f>IF($AP355="","",MIN(100,$AP355*(1+(_CONFIG_Model_Settings!$B$173+_CONFIG_Model_Settings!$B$174*(N($AH355)-1)))))</f>
        <v>81</v>
      </c>
    </row>
    <row r="356" spans="1:44" ht="72" customHeight="1">
      <c r="A356" s="9" t="s">
        <v>2893</v>
      </c>
      <c r="B356" s="9" t="s">
        <v>2824</v>
      </c>
      <c r="C356" s="9" t="s">
        <v>2835</v>
      </c>
      <c r="D356" s="9" t="s">
        <v>4418</v>
      </c>
      <c r="E356" s="9" t="s">
        <v>2894</v>
      </c>
      <c r="F356" s="9" t="s">
        <v>9560</v>
      </c>
      <c r="G356" s="9" t="s">
        <v>9561</v>
      </c>
      <c r="H356" s="9" t="s">
        <v>9562</v>
      </c>
      <c r="I356" s="9" t="s">
        <v>9563</v>
      </c>
      <c r="J356" s="9" t="s">
        <v>9564</v>
      </c>
      <c r="K356" s="9" t="s">
        <v>9565</v>
      </c>
      <c r="L356" s="9" t="s">
        <v>9566</v>
      </c>
      <c r="M356" s="9" t="s">
        <v>9567</v>
      </c>
      <c r="N356" s="9" t="s">
        <v>9568</v>
      </c>
      <c r="O356" s="9" t="s">
        <v>9569</v>
      </c>
      <c r="P356" s="9" t="s">
        <v>9570</v>
      </c>
      <c r="Q356" s="9" t="s">
        <v>9571</v>
      </c>
      <c r="R356" s="9" t="s">
        <v>4589</v>
      </c>
      <c r="S356" s="9" t="s">
        <v>9572</v>
      </c>
      <c r="T356" s="9">
        <v>4</v>
      </c>
      <c r="U356" s="9">
        <v>3</v>
      </c>
      <c r="V356" s="9">
        <v>3</v>
      </c>
      <c r="W356" s="9">
        <v>2</v>
      </c>
      <c r="X356" s="9">
        <v>1</v>
      </c>
      <c r="Y356" s="9">
        <v>1</v>
      </c>
      <c r="Z356" s="9" t="s">
        <v>2829</v>
      </c>
      <c r="AA356" s="9" t="s">
        <v>2895</v>
      </c>
      <c r="AB356" s="9" t="s">
        <v>2831</v>
      </c>
      <c r="AC356" s="9" t="s">
        <v>9432</v>
      </c>
      <c r="AD356" s="9" t="s">
        <v>9573</v>
      </c>
      <c r="AE356" t="str">
        <f t="shared" si="15"/>
        <v>Slow</v>
      </c>
      <c r="AF356">
        <f>IF($A356="","",IFERROR(VLOOKUP($B356,_CONFIG_Risk_Calibration!$A$5:$H$21,2,FALSE),3))</f>
        <v>3</v>
      </c>
      <c r="AG356">
        <f>IF($A356="","",IFERROR(VLOOKUP($B356,_CONFIG_Risk_Calibration!$A$5:$H$21,3,FALSE),0))</f>
        <v>0</v>
      </c>
      <c r="AH356">
        <f>IF($A356="","",IFERROR(VLOOKUP($B356,_CONFIG_Risk_Calibration!$A$5:$H$21,4,FALSE),3))</f>
        <v>3</v>
      </c>
      <c r="AI356">
        <f>IF($A356="","",IFERROR(VLOOKUP($B356,_CONFIG_Risk_Calibration!$A$5:$H$21,5,FALSE),3))</f>
        <v>3</v>
      </c>
      <c r="AJ356" t="str">
        <f>IF($A356="","",IFERROR(VLOOKUP($B356,_CONFIG_Risk_Calibration!$A$5:$H$21,6,FALSE),"No"))</f>
        <v>No</v>
      </c>
      <c r="AK356">
        <f>IF($A356="","",IFERROR(VLOOKUP($B356,_CONFIG_Risk_Calibration!$A$5:$H$21,7,FALSE),1))</f>
        <v>1</v>
      </c>
      <c r="AL356" t="str">
        <f>IF($A356="","",IFERROR(VLOOKUP($B356,_CONFIG_Risk_Calibration!$A$5:$H$21,8,FALSE),""))</f>
        <v>Clean template default. Calibrate with real exposure, incident history, evidence quality and domain-owner validation.</v>
      </c>
      <c r="AM356">
        <f>IF($A356="","",IFERROR(INDEX(_DATA_Assessment_Model!$AL$1:$AL$428,MATCH($A356,_DATA_Assessment_Model!$A$1:$A$428,0)),""))</f>
        <v>0</v>
      </c>
      <c r="AN356">
        <f t="shared" si="16"/>
        <v>1</v>
      </c>
      <c r="AO356">
        <f>IF($A356="","",_CONFIG_Model_Settings!$B$172*MAX(N($AK356),(N($AF356)+N($AI356))/2))</f>
        <v>60</v>
      </c>
      <c r="AP356">
        <f t="shared" si="17"/>
        <v>60</v>
      </c>
      <c r="AQ356">
        <f>IF($AP356="","",MAX(0,$AP356*(1-(_CONFIG_Model_Settings!$B$173+_CONFIG_Model_Settings!$B$174*(N($AH356)-1)))))</f>
        <v>39</v>
      </c>
      <c r="AR356">
        <f>IF($AP356="","",MIN(100,$AP356*(1+(_CONFIG_Model_Settings!$B$173+_CONFIG_Model_Settings!$B$174*(N($AH356)-1)))))</f>
        <v>81</v>
      </c>
    </row>
    <row r="357" spans="1:44" ht="72" customHeight="1">
      <c r="A357" s="9" t="s">
        <v>2902</v>
      </c>
      <c r="B357" s="9" t="s">
        <v>2824</v>
      </c>
      <c r="C357" s="9" t="s">
        <v>2835</v>
      </c>
      <c r="D357" s="9" t="s">
        <v>4418</v>
      </c>
      <c r="E357" s="9" t="s">
        <v>2903</v>
      </c>
      <c r="F357" s="9" t="s">
        <v>9574</v>
      </c>
      <c r="G357" s="9" t="s">
        <v>9575</v>
      </c>
      <c r="H357" s="9" t="s">
        <v>9576</v>
      </c>
      <c r="I357" s="9" t="s">
        <v>9577</v>
      </c>
      <c r="J357" s="9" t="s">
        <v>9578</v>
      </c>
      <c r="K357" s="9" t="s">
        <v>9579</v>
      </c>
      <c r="L357" s="9" t="s">
        <v>9580</v>
      </c>
      <c r="M357" s="9" t="s">
        <v>9581</v>
      </c>
      <c r="N357" s="9" t="s">
        <v>9582</v>
      </c>
      <c r="O357" s="9" t="s">
        <v>9583</v>
      </c>
      <c r="P357" s="9" t="s">
        <v>9584</v>
      </c>
      <c r="Q357" s="9" t="s">
        <v>9585</v>
      </c>
      <c r="R357" s="9" t="s">
        <v>4589</v>
      </c>
      <c r="S357" s="9" t="s">
        <v>9586</v>
      </c>
      <c r="T357" s="9">
        <v>4</v>
      </c>
      <c r="U357" s="9">
        <v>3</v>
      </c>
      <c r="V357" s="9">
        <v>3</v>
      </c>
      <c r="W357" s="9">
        <v>2</v>
      </c>
      <c r="X357" s="9">
        <v>1</v>
      </c>
      <c r="Y357" s="9">
        <v>1</v>
      </c>
      <c r="Z357" s="9" t="s">
        <v>2829</v>
      </c>
      <c r="AA357" s="9" t="s">
        <v>2904</v>
      </c>
      <c r="AB357" s="9" t="s">
        <v>2831</v>
      </c>
      <c r="AC357" s="9" t="s">
        <v>9432</v>
      </c>
      <c r="AD357" s="9" t="s">
        <v>9587</v>
      </c>
      <c r="AE357" t="str">
        <f t="shared" si="15"/>
        <v>Slow</v>
      </c>
      <c r="AF357">
        <f>IF($A357="","",IFERROR(VLOOKUP($B357,_CONFIG_Risk_Calibration!$A$5:$H$21,2,FALSE),3))</f>
        <v>3</v>
      </c>
      <c r="AG357">
        <f>IF($A357="","",IFERROR(VLOOKUP($B357,_CONFIG_Risk_Calibration!$A$5:$H$21,3,FALSE),0))</f>
        <v>0</v>
      </c>
      <c r="AH357">
        <f>IF($A357="","",IFERROR(VLOOKUP($B357,_CONFIG_Risk_Calibration!$A$5:$H$21,4,FALSE),3))</f>
        <v>3</v>
      </c>
      <c r="AI357">
        <f>IF($A357="","",IFERROR(VLOOKUP($B357,_CONFIG_Risk_Calibration!$A$5:$H$21,5,FALSE),3))</f>
        <v>3</v>
      </c>
      <c r="AJ357" t="str">
        <f>IF($A357="","",IFERROR(VLOOKUP($B357,_CONFIG_Risk_Calibration!$A$5:$H$21,6,FALSE),"No"))</f>
        <v>No</v>
      </c>
      <c r="AK357">
        <f>IF($A357="","",IFERROR(VLOOKUP($B357,_CONFIG_Risk_Calibration!$A$5:$H$21,7,FALSE),1))</f>
        <v>1</v>
      </c>
      <c r="AL357" t="str">
        <f>IF($A357="","",IFERROR(VLOOKUP($B357,_CONFIG_Risk_Calibration!$A$5:$H$21,8,FALSE),""))</f>
        <v>Clean template default. Calibrate with real exposure, incident history, evidence quality and domain-owner validation.</v>
      </c>
      <c r="AM357">
        <f>IF($A357="","",IFERROR(INDEX(_DATA_Assessment_Model!$AL$1:$AL$428,MATCH($A357,_DATA_Assessment_Model!$A$1:$A$428,0)),""))</f>
        <v>0</v>
      </c>
      <c r="AN357">
        <f t="shared" si="16"/>
        <v>1</v>
      </c>
      <c r="AO357">
        <f>IF($A357="","",_CONFIG_Model_Settings!$B$172*MAX(N($AK357),(N($AF357)+N($AI357))/2))</f>
        <v>60</v>
      </c>
      <c r="AP357">
        <f t="shared" si="17"/>
        <v>60</v>
      </c>
      <c r="AQ357">
        <f>IF($AP357="","",MAX(0,$AP357*(1-(_CONFIG_Model_Settings!$B$173+_CONFIG_Model_Settings!$B$174*(N($AH357)-1)))))</f>
        <v>39</v>
      </c>
      <c r="AR357">
        <f>IF($AP357="","",MIN(100,$AP357*(1+(_CONFIG_Model_Settings!$B$173+_CONFIG_Model_Settings!$B$174*(N($AH357)-1)))))</f>
        <v>81</v>
      </c>
    </row>
    <row r="358" spans="1:44" ht="72" customHeight="1">
      <c r="A358" s="9" t="s">
        <v>2905</v>
      </c>
      <c r="B358" s="9" t="s">
        <v>2824</v>
      </c>
      <c r="C358" s="9" t="s">
        <v>2845</v>
      </c>
      <c r="D358" s="9" t="s">
        <v>4418</v>
      </c>
      <c r="E358" s="9" t="s">
        <v>2906</v>
      </c>
      <c r="F358" s="9" t="s">
        <v>9588</v>
      </c>
      <c r="G358" s="9" t="s">
        <v>9589</v>
      </c>
      <c r="H358" s="9" t="s">
        <v>9590</v>
      </c>
      <c r="I358" s="9" t="s">
        <v>9591</v>
      </c>
      <c r="J358" s="9" t="s">
        <v>9592</v>
      </c>
      <c r="K358" s="9" t="s">
        <v>9593</v>
      </c>
      <c r="L358" s="9" t="s">
        <v>9594</v>
      </c>
      <c r="M358" s="9" t="s">
        <v>9595</v>
      </c>
      <c r="N358" s="9" t="s">
        <v>9596</v>
      </c>
      <c r="O358" s="9" t="s">
        <v>9597</v>
      </c>
      <c r="P358" s="9" t="s">
        <v>9598</v>
      </c>
      <c r="Q358" s="9" t="s">
        <v>9599</v>
      </c>
      <c r="R358" s="9" t="s">
        <v>4589</v>
      </c>
      <c r="S358" s="9" t="s">
        <v>9600</v>
      </c>
      <c r="T358" s="9">
        <v>4</v>
      </c>
      <c r="U358" s="9">
        <v>3</v>
      </c>
      <c r="V358" s="9">
        <v>3</v>
      </c>
      <c r="W358" s="9">
        <v>2</v>
      </c>
      <c r="X358" s="9">
        <v>1</v>
      </c>
      <c r="Y358" s="9">
        <v>1</v>
      </c>
      <c r="Z358" s="9" t="s">
        <v>2829</v>
      </c>
      <c r="AA358" s="9" t="s">
        <v>2907</v>
      </c>
      <c r="AB358" s="9" t="s">
        <v>2831</v>
      </c>
      <c r="AC358" s="9" t="s">
        <v>9432</v>
      </c>
      <c r="AD358" s="9" t="s">
        <v>9601</v>
      </c>
      <c r="AE358" t="str">
        <f t="shared" si="15"/>
        <v>Slow</v>
      </c>
      <c r="AF358">
        <f>IF($A358="","",IFERROR(VLOOKUP($B358,_CONFIG_Risk_Calibration!$A$5:$H$21,2,FALSE),3))</f>
        <v>3</v>
      </c>
      <c r="AG358">
        <f>IF($A358="","",IFERROR(VLOOKUP($B358,_CONFIG_Risk_Calibration!$A$5:$H$21,3,FALSE),0))</f>
        <v>0</v>
      </c>
      <c r="AH358">
        <f>IF($A358="","",IFERROR(VLOOKUP($B358,_CONFIG_Risk_Calibration!$A$5:$H$21,4,FALSE),3))</f>
        <v>3</v>
      </c>
      <c r="AI358">
        <f>IF($A358="","",IFERROR(VLOOKUP($B358,_CONFIG_Risk_Calibration!$A$5:$H$21,5,FALSE),3))</f>
        <v>3</v>
      </c>
      <c r="AJ358" t="str">
        <f>IF($A358="","",IFERROR(VLOOKUP($B358,_CONFIG_Risk_Calibration!$A$5:$H$21,6,FALSE),"No"))</f>
        <v>No</v>
      </c>
      <c r="AK358">
        <f>IF($A358="","",IFERROR(VLOOKUP($B358,_CONFIG_Risk_Calibration!$A$5:$H$21,7,FALSE),1))</f>
        <v>1</v>
      </c>
      <c r="AL358" t="str">
        <f>IF($A358="","",IFERROR(VLOOKUP($B358,_CONFIG_Risk_Calibration!$A$5:$H$21,8,FALSE),""))</f>
        <v>Clean template default. Calibrate with real exposure, incident history, evidence quality and domain-owner validation.</v>
      </c>
      <c r="AM358">
        <f>IF($A358="","",IFERROR(INDEX(_DATA_Assessment_Model!$AL$1:$AL$428,MATCH($A358,_DATA_Assessment_Model!$A$1:$A$428,0)),""))</f>
        <v>0</v>
      </c>
      <c r="AN358">
        <f t="shared" si="16"/>
        <v>1</v>
      </c>
      <c r="AO358">
        <f>IF($A358="","",_CONFIG_Model_Settings!$B$172*MAX(N($AK358),(N($AF358)+N($AI358))/2))</f>
        <v>60</v>
      </c>
      <c r="AP358">
        <f t="shared" si="17"/>
        <v>60</v>
      </c>
      <c r="AQ358">
        <f>IF($AP358="","",MAX(0,$AP358*(1-(_CONFIG_Model_Settings!$B$173+_CONFIG_Model_Settings!$B$174*(N($AH358)-1)))))</f>
        <v>39</v>
      </c>
      <c r="AR358">
        <f>IF($AP358="","",MIN(100,$AP358*(1+(_CONFIG_Model_Settings!$B$173+_CONFIG_Model_Settings!$B$174*(N($AH358)-1)))))</f>
        <v>81</v>
      </c>
    </row>
    <row r="359" spans="1:44" ht="72" customHeight="1">
      <c r="A359" s="9" t="s">
        <v>2908</v>
      </c>
      <c r="B359" s="9" t="s">
        <v>2824</v>
      </c>
      <c r="C359" s="9" t="s">
        <v>2845</v>
      </c>
      <c r="D359" s="9" t="s">
        <v>4418</v>
      </c>
      <c r="E359" s="9" t="s">
        <v>2909</v>
      </c>
      <c r="F359" s="9" t="s">
        <v>9602</v>
      </c>
      <c r="G359" s="9" t="s">
        <v>9603</v>
      </c>
      <c r="H359" s="9" t="s">
        <v>9604</v>
      </c>
      <c r="I359" s="9" t="s">
        <v>9605</v>
      </c>
      <c r="J359" s="9" t="s">
        <v>9606</v>
      </c>
      <c r="K359" s="9" t="s">
        <v>9607</v>
      </c>
      <c r="L359" s="9" t="s">
        <v>9608</v>
      </c>
      <c r="M359" s="9" t="s">
        <v>9609</v>
      </c>
      <c r="N359" s="9" t="s">
        <v>9610</v>
      </c>
      <c r="O359" s="9" t="s">
        <v>9611</v>
      </c>
      <c r="P359" s="9" t="s">
        <v>9612</v>
      </c>
      <c r="Q359" s="9" t="s">
        <v>9613</v>
      </c>
      <c r="R359" s="9" t="s">
        <v>4589</v>
      </c>
      <c r="S359" s="9" t="s">
        <v>9614</v>
      </c>
      <c r="T359" s="9">
        <v>4</v>
      </c>
      <c r="U359" s="9">
        <v>3</v>
      </c>
      <c r="V359" s="9">
        <v>3</v>
      </c>
      <c r="W359" s="9">
        <v>2</v>
      </c>
      <c r="X359" s="9">
        <v>1</v>
      </c>
      <c r="Y359" s="9">
        <v>1</v>
      </c>
      <c r="Z359" s="9" t="s">
        <v>2829</v>
      </c>
      <c r="AA359" s="9" t="s">
        <v>2910</v>
      </c>
      <c r="AB359" s="9" t="s">
        <v>2831</v>
      </c>
      <c r="AC359" s="9" t="s">
        <v>9432</v>
      </c>
      <c r="AD359" s="9" t="s">
        <v>9615</v>
      </c>
      <c r="AE359" t="str">
        <f t="shared" si="15"/>
        <v>Slow</v>
      </c>
      <c r="AF359">
        <f>IF($A359="","",IFERROR(VLOOKUP($B359,_CONFIG_Risk_Calibration!$A$5:$H$21,2,FALSE),3))</f>
        <v>3</v>
      </c>
      <c r="AG359">
        <f>IF($A359="","",IFERROR(VLOOKUP($B359,_CONFIG_Risk_Calibration!$A$5:$H$21,3,FALSE),0))</f>
        <v>0</v>
      </c>
      <c r="AH359">
        <f>IF($A359="","",IFERROR(VLOOKUP($B359,_CONFIG_Risk_Calibration!$A$5:$H$21,4,FALSE),3))</f>
        <v>3</v>
      </c>
      <c r="AI359">
        <f>IF($A359="","",IFERROR(VLOOKUP($B359,_CONFIG_Risk_Calibration!$A$5:$H$21,5,FALSE),3))</f>
        <v>3</v>
      </c>
      <c r="AJ359" t="str">
        <f>IF($A359="","",IFERROR(VLOOKUP($B359,_CONFIG_Risk_Calibration!$A$5:$H$21,6,FALSE),"No"))</f>
        <v>No</v>
      </c>
      <c r="AK359">
        <f>IF($A359="","",IFERROR(VLOOKUP($B359,_CONFIG_Risk_Calibration!$A$5:$H$21,7,FALSE),1))</f>
        <v>1</v>
      </c>
      <c r="AL359" t="str">
        <f>IF($A359="","",IFERROR(VLOOKUP($B359,_CONFIG_Risk_Calibration!$A$5:$H$21,8,FALSE),""))</f>
        <v>Clean template default. Calibrate with real exposure, incident history, evidence quality and domain-owner validation.</v>
      </c>
      <c r="AM359">
        <f>IF($A359="","",IFERROR(INDEX(_DATA_Assessment_Model!$AL$1:$AL$428,MATCH($A359,_DATA_Assessment_Model!$A$1:$A$428,0)),""))</f>
        <v>0</v>
      </c>
      <c r="AN359">
        <f t="shared" si="16"/>
        <v>1</v>
      </c>
      <c r="AO359">
        <f>IF($A359="","",_CONFIG_Model_Settings!$B$172*MAX(N($AK359),(N($AF359)+N($AI359))/2))</f>
        <v>60</v>
      </c>
      <c r="AP359">
        <f t="shared" si="17"/>
        <v>60</v>
      </c>
      <c r="AQ359">
        <f>IF($AP359="","",MAX(0,$AP359*(1-(_CONFIG_Model_Settings!$B$173+_CONFIG_Model_Settings!$B$174*(N($AH359)-1)))))</f>
        <v>39</v>
      </c>
      <c r="AR359">
        <f>IF($AP359="","",MIN(100,$AP359*(1+(_CONFIG_Model_Settings!$B$173+_CONFIG_Model_Settings!$B$174*(N($AH359)-1)))))</f>
        <v>81</v>
      </c>
    </row>
    <row r="360" spans="1:44" ht="72" customHeight="1">
      <c r="A360" s="9" t="s">
        <v>2911</v>
      </c>
      <c r="B360" s="9" t="s">
        <v>2824</v>
      </c>
      <c r="C360" s="9" t="s">
        <v>2845</v>
      </c>
      <c r="D360" s="9" t="s">
        <v>4418</v>
      </c>
      <c r="E360" s="9" t="s">
        <v>2912</v>
      </c>
      <c r="F360" s="9" t="s">
        <v>9616</v>
      </c>
      <c r="G360" s="9" t="s">
        <v>9617</v>
      </c>
      <c r="H360" s="9" t="s">
        <v>9618</v>
      </c>
      <c r="I360" s="9" t="s">
        <v>9619</v>
      </c>
      <c r="J360" s="9" t="s">
        <v>9620</v>
      </c>
      <c r="K360" s="9" t="s">
        <v>9621</v>
      </c>
      <c r="L360" s="9" t="s">
        <v>9622</v>
      </c>
      <c r="M360" s="9" t="s">
        <v>9623</v>
      </c>
      <c r="N360" s="9" t="s">
        <v>9624</v>
      </c>
      <c r="O360" s="9" t="s">
        <v>9625</v>
      </c>
      <c r="P360" s="9" t="s">
        <v>9626</v>
      </c>
      <c r="Q360" s="9" t="s">
        <v>9627</v>
      </c>
      <c r="R360" s="9" t="s">
        <v>4589</v>
      </c>
      <c r="S360" s="9" t="s">
        <v>9628</v>
      </c>
      <c r="T360" s="9">
        <v>4</v>
      </c>
      <c r="U360" s="9">
        <v>3</v>
      </c>
      <c r="V360" s="9">
        <v>3</v>
      </c>
      <c r="W360" s="9">
        <v>2</v>
      </c>
      <c r="X360" s="9">
        <v>1</v>
      </c>
      <c r="Y360" s="9">
        <v>1</v>
      </c>
      <c r="Z360" s="9" t="s">
        <v>2829</v>
      </c>
      <c r="AA360" s="9" t="s">
        <v>2913</v>
      </c>
      <c r="AB360" s="9" t="s">
        <v>2831</v>
      </c>
      <c r="AC360" s="9" t="s">
        <v>9432</v>
      </c>
      <c r="AD360" s="9" t="s">
        <v>9629</v>
      </c>
      <c r="AE360" t="str">
        <f t="shared" si="15"/>
        <v>Slow</v>
      </c>
      <c r="AF360">
        <f>IF($A360="","",IFERROR(VLOOKUP($B360,_CONFIG_Risk_Calibration!$A$5:$H$21,2,FALSE),3))</f>
        <v>3</v>
      </c>
      <c r="AG360">
        <f>IF($A360="","",IFERROR(VLOOKUP($B360,_CONFIG_Risk_Calibration!$A$5:$H$21,3,FALSE),0))</f>
        <v>0</v>
      </c>
      <c r="AH360">
        <f>IF($A360="","",IFERROR(VLOOKUP($B360,_CONFIG_Risk_Calibration!$A$5:$H$21,4,FALSE),3))</f>
        <v>3</v>
      </c>
      <c r="AI360">
        <f>IF($A360="","",IFERROR(VLOOKUP($B360,_CONFIG_Risk_Calibration!$A$5:$H$21,5,FALSE),3))</f>
        <v>3</v>
      </c>
      <c r="AJ360" t="str">
        <f>IF($A360="","",IFERROR(VLOOKUP($B360,_CONFIG_Risk_Calibration!$A$5:$H$21,6,FALSE),"No"))</f>
        <v>No</v>
      </c>
      <c r="AK360">
        <f>IF($A360="","",IFERROR(VLOOKUP($B360,_CONFIG_Risk_Calibration!$A$5:$H$21,7,FALSE),1))</f>
        <v>1</v>
      </c>
      <c r="AL360" t="str">
        <f>IF($A360="","",IFERROR(VLOOKUP($B360,_CONFIG_Risk_Calibration!$A$5:$H$21,8,FALSE),""))</f>
        <v>Clean template default. Calibrate with real exposure, incident history, evidence quality and domain-owner validation.</v>
      </c>
      <c r="AM360">
        <f>IF($A360="","",IFERROR(INDEX(_DATA_Assessment_Model!$AL$1:$AL$428,MATCH($A360,_DATA_Assessment_Model!$A$1:$A$428,0)),""))</f>
        <v>0</v>
      </c>
      <c r="AN360">
        <f t="shared" si="16"/>
        <v>1</v>
      </c>
      <c r="AO360">
        <f>IF($A360="","",_CONFIG_Model_Settings!$B$172*MAX(N($AK360),(N($AF360)+N($AI360))/2))</f>
        <v>60</v>
      </c>
      <c r="AP360">
        <f t="shared" si="17"/>
        <v>60</v>
      </c>
      <c r="AQ360">
        <f>IF($AP360="","",MAX(0,$AP360*(1-(_CONFIG_Model_Settings!$B$173+_CONFIG_Model_Settings!$B$174*(N($AH360)-1)))))</f>
        <v>39</v>
      </c>
      <c r="AR360">
        <f>IF($AP360="","",MIN(100,$AP360*(1+(_CONFIG_Model_Settings!$B$173+_CONFIG_Model_Settings!$B$174*(N($AH360)-1)))))</f>
        <v>81</v>
      </c>
    </row>
    <row r="361" spans="1:44" ht="72" customHeight="1">
      <c r="A361" s="9" t="s">
        <v>2914</v>
      </c>
      <c r="B361" s="9" t="s">
        <v>2824</v>
      </c>
      <c r="C361" s="9" t="s">
        <v>2845</v>
      </c>
      <c r="D361" s="9" t="s">
        <v>4418</v>
      </c>
      <c r="E361" s="9" t="s">
        <v>2915</v>
      </c>
      <c r="F361" s="9" t="s">
        <v>9630</v>
      </c>
      <c r="G361" s="9" t="s">
        <v>9631</v>
      </c>
      <c r="H361" s="9" t="s">
        <v>9632</v>
      </c>
      <c r="I361" s="9" t="s">
        <v>9633</v>
      </c>
      <c r="J361" s="9" t="s">
        <v>9634</v>
      </c>
      <c r="K361" s="9" t="s">
        <v>9635</v>
      </c>
      <c r="L361" s="9" t="s">
        <v>9636</v>
      </c>
      <c r="M361" s="9" t="s">
        <v>9637</v>
      </c>
      <c r="N361" s="9" t="s">
        <v>9638</v>
      </c>
      <c r="O361" s="9" t="s">
        <v>9639</v>
      </c>
      <c r="P361" s="9" t="s">
        <v>9640</v>
      </c>
      <c r="Q361" s="9" t="s">
        <v>9641</v>
      </c>
      <c r="R361" s="9" t="s">
        <v>4589</v>
      </c>
      <c r="S361" s="9" t="s">
        <v>9642</v>
      </c>
      <c r="T361" s="9">
        <v>4</v>
      </c>
      <c r="U361" s="9">
        <v>3</v>
      </c>
      <c r="V361" s="9">
        <v>3</v>
      </c>
      <c r="W361" s="9">
        <v>2</v>
      </c>
      <c r="X361" s="9">
        <v>1</v>
      </c>
      <c r="Y361" s="9">
        <v>1</v>
      </c>
      <c r="Z361" s="9" t="s">
        <v>2829</v>
      </c>
      <c r="AA361" s="9" t="s">
        <v>2916</v>
      </c>
      <c r="AB361" s="9" t="s">
        <v>2831</v>
      </c>
      <c r="AC361" s="9" t="s">
        <v>9432</v>
      </c>
      <c r="AD361" s="9" t="s">
        <v>9643</v>
      </c>
      <c r="AE361" t="str">
        <f t="shared" si="15"/>
        <v>Slow</v>
      </c>
      <c r="AF361">
        <f>IF($A361="","",IFERROR(VLOOKUP($B361,_CONFIG_Risk_Calibration!$A$5:$H$21,2,FALSE),3))</f>
        <v>3</v>
      </c>
      <c r="AG361">
        <f>IF($A361="","",IFERROR(VLOOKUP($B361,_CONFIG_Risk_Calibration!$A$5:$H$21,3,FALSE),0))</f>
        <v>0</v>
      </c>
      <c r="AH361">
        <f>IF($A361="","",IFERROR(VLOOKUP($B361,_CONFIG_Risk_Calibration!$A$5:$H$21,4,FALSE),3))</f>
        <v>3</v>
      </c>
      <c r="AI361">
        <f>IF($A361="","",IFERROR(VLOOKUP($B361,_CONFIG_Risk_Calibration!$A$5:$H$21,5,FALSE),3))</f>
        <v>3</v>
      </c>
      <c r="AJ361" t="str">
        <f>IF($A361="","",IFERROR(VLOOKUP($B361,_CONFIG_Risk_Calibration!$A$5:$H$21,6,FALSE),"No"))</f>
        <v>No</v>
      </c>
      <c r="AK361">
        <f>IF($A361="","",IFERROR(VLOOKUP($B361,_CONFIG_Risk_Calibration!$A$5:$H$21,7,FALSE),1))</f>
        <v>1</v>
      </c>
      <c r="AL361" t="str">
        <f>IF($A361="","",IFERROR(VLOOKUP($B361,_CONFIG_Risk_Calibration!$A$5:$H$21,8,FALSE),""))</f>
        <v>Clean template default. Calibrate with real exposure, incident history, evidence quality and domain-owner validation.</v>
      </c>
      <c r="AM361">
        <f>IF($A361="","",IFERROR(INDEX(_DATA_Assessment_Model!$AL$1:$AL$428,MATCH($A361,_DATA_Assessment_Model!$A$1:$A$428,0)),""))</f>
        <v>0</v>
      </c>
      <c r="AN361">
        <f t="shared" si="16"/>
        <v>1</v>
      </c>
      <c r="AO361">
        <f>IF($A361="","",_CONFIG_Model_Settings!$B$172*MAX(N($AK361),(N($AF361)+N($AI361))/2))</f>
        <v>60</v>
      </c>
      <c r="AP361">
        <f t="shared" si="17"/>
        <v>60</v>
      </c>
      <c r="AQ361">
        <f>IF($AP361="","",MAX(0,$AP361*(1-(_CONFIG_Model_Settings!$B$173+_CONFIG_Model_Settings!$B$174*(N($AH361)-1)))))</f>
        <v>39</v>
      </c>
      <c r="AR361">
        <f>IF($AP361="","",MIN(100,$AP361*(1+(_CONFIG_Model_Settings!$B$173+_CONFIG_Model_Settings!$B$174*(N($AH361)-1)))))</f>
        <v>81</v>
      </c>
    </row>
    <row r="362" spans="1:44" ht="72" customHeight="1">
      <c r="A362" s="9" t="s">
        <v>2923</v>
      </c>
      <c r="B362" s="9" t="s">
        <v>2824</v>
      </c>
      <c r="C362" s="9" t="s">
        <v>2845</v>
      </c>
      <c r="D362" s="9" t="s">
        <v>4418</v>
      </c>
      <c r="E362" s="9" t="s">
        <v>2924</v>
      </c>
      <c r="F362" s="9" t="s">
        <v>9644</v>
      </c>
      <c r="G362" s="9" t="s">
        <v>9645</v>
      </c>
      <c r="H362" s="9" t="s">
        <v>9646</v>
      </c>
      <c r="I362" s="9" t="s">
        <v>9647</v>
      </c>
      <c r="J362" s="9" t="s">
        <v>9648</v>
      </c>
      <c r="K362" s="9" t="s">
        <v>9649</v>
      </c>
      <c r="L362" s="9" t="s">
        <v>9650</v>
      </c>
      <c r="M362" s="9" t="s">
        <v>9651</v>
      </c>
      <c r="N362" s="9" t="s">
        <v>9652</v>
      </c>
      <c r="O362" s="9" t="s">
        <v>9653</v>
      </c>
      <c r="P362" s="9" t="s">
        <v>9654</v>
      </c>
      <c r="Q362" s="9" t="s">
        <v>9655</v>
      </c>
      <c r="R362" s="9" t="s">
        <v>4589</v>
      </c>
      <c r="S362" s="9" t="s">
        <v>9656</v>
      </c>
      <c r="T362" s="9">
        <v>4</v>
      </c>
      <c r="U362" s="9">
        <v>3</v>
      </c>
      <c r="V362" s="9">
        <v>3</v>
      </c>
      <c r="W362" s="9">
        <v>2</v>
      </c>
      <c r="X362" s="9">
        <v>1</v>
      </c>
      <c r="Y362" s="9">
        <v>1</v>
      </c>
      <c r="Z362" s="9" t="s">
        <v>2829</v>
      </c>
      <c r="AA362" s="9" t="s">
        <v>2925</v>
      </c>
      <c r="AB362" s="9" t="s">
        <v>2831</v>
      </c>
      <c r="AC362" s="9" t="s">
        <v>9432</v>
      </c>
      <c r="AD362" s="9" t="s">
        <v>9657</v>
      </c>
      <c r="AE362" t="str">
        <f t="shared" si="15"/>
        <v>Slow</v>
      </c>
      <c r="AF362">
        <f>IF($A362="","",IFERROR(VLOOKUP($B362,_CONFIG_Risk_Calibration!$A$5:$H$21,2,FALSE),3))</f>
        <v>3</v>
      </c>
      <c r="AG362">
        <f>IF($A362="","",IFERROR(VLOOKUP($B362,_CONFIG_Risk_Calibration!$A$5:$H$21,3,FALSE),0))</f>
        <v>0</v>
      </c>
      <c r="AH362">
        <f>IF($A362="","",IFERROR(VLOOKUP($B362,_CONFIG_Risk_Calibration!$A$5:$H$21,4,FALSE),3))</f>
        <v>3</v>
      </c>
      <c r="AI362">
        <f>IF($A362="","",IFERROR(VLOOKUP($B362,_CONFIG_Risk_Calibration!$A$5:$H$21,5,FALSE),3))</f>
        <v>3</v>
      </c>
      <c r="AJ362" t="str">
        <f>IF($A362="","",IFERROR(VLOOKUP($B362,_CONFIG_Risk_Calibration!$A$5:$H$21,6,FALSE),"No"))</f>
        <v>No</v>
      </c>
      <c r="AK362">
        <f>IF($A362="","",IFERROR(VLOOKUP($B362,_CONFIG_Risk_Calibration!$A$5:$H$21,7,FALSE),1))</f>
        <v>1</v>
      </c>
      <c r="AL362" t="str">
        <f>IF($A362="","",IFERROR(VLOOKUP($B362,_CONFIG_Risk_Calibration!$A$5:$H$21,8,FALSE),""))</f>
        <v>Clean template default. Calibrate with real exposure, incident history, evidence quality and domain-owner validation.</v>
      </c>
      <c r="AM362">
        <f>IF($A362="","",IFERROR(INDEX(_DATA_Assessment_Model!$AL$1:$AL$428,MATCH($A362,_DATA_Assessment_Model!$A$1:$A$428,0)),""))</f>
        <v>0</v>
      </c>
      <c r="AN362">
        <f t="shared" si="16"/>
        <v>1</v>
      </c>
      <c r="AO362">
        <f>IF($A362="","",_CONFIG_Model_Settings!$B$172*MAX(N($AK362),(N($AF362)+N($AI362))/2))</f>
        <v>60</v>
      </c>
      <c r="AP362">
        <f t="shared" si="17"/>
        <v>60</v>
      </c>
      <c r="AQ362">
        <f>IF($AP362="","",MAX(0,$AP362*(1-(_CONFIG_Model_Settings!$B$173+_CONFIG_Model_Settings!$B$174*(N($AH362)-1)))))</f>
        <v>39</v>
      </c>
      <c r="AR362">
        <f>IF($AP362="","",MIN(100,$AP362*(1+(_CONFIG_Model_Settings!$B$173+_CONFIG_Model_Settings!$B$174*(N($AH362)-1)))))</f>
        <v>81</v>
      </c>
    </row>
    <row r="363" spans="1:44" ht="72" customHeight="1">
      <c r="A363" s="9" t="s">
        <v>2926</v>
      </c>
      <c r="B363" s="9" t="s">
        <v>2824</v>
      </c>
      <c r="C363" s="9" t="s">
        <v>2845</v>
      </c>
      <c r="D363" s="9" t="s">
        <v>4418</v>
      </c>
      <c r="E363" s="9" t="s">
        <v>2927</v>
      </c>
      <c r="F363" s="9" t="s">
        <v>9658</v>
      </c>
      <c r="G363" s="9" t="s">
        <v>9659</v>
      </c>
      <c r="H363" s="9" t="s">
        <v>9660</v>
      </c>
      <c r="I363" s="9" t="s">
        <v>9661</v>
      </c>
      <c r="J363" s="9" t="s">
        <v>9662</v>
      </c>
      <c r="K363" s="9" t="s">
        <v>9663</v>
      </c>
      <c r="L363" s="9" t="s">
        <v>9664</v>
      </c>
      <c r="M363" s="9" t="s">
        <v>9665</v>
      </c>
      <c r="N363" s="9" t="s">
        <v>9666</v>
      </c>
      <c r="O363" s="9" t="s">
        <v>9667</v>
      </c>
      <c r="P363" s="9" t="s">
        <v>9668</v>
      </c>
      <c r="Q363" s="9" t="s">
        <v>9669</v>
      </c>
      <c r="R363" s="9" t="s">
        <v>4589</v>
      </c>
      <c r="S363" s="9" t="s">
        <v>9670</v>
      </c>
      <c r="T363" s="9">
        <v>4</v>
      </c>
      <c r="U363" s="9">
        <v>3</v>
      </c>
      <c r="V363" s="9">
        <v>3</v>
      </c>
      <c r="W363" s="9">
        <v>2</v>
      </c>
      <c r="X363" s="9">
        <v>1</v>
      </c>
      <c r="Y363" s="9">
        <v>1</v>
      </c>
      <c r="Z363" s="9" t="s">
        <v>2829</v>
      </c>
      <c r="AA363" s="9" t="s">
        <v>2928</v>
      </c>
      <c r="AB363" s="9" t="s">
        <v>2831</v>
      </c>
      <c r="AC363" s="9" t="s">
        <v>9432</v>
      </c>
      <c r="AD363" s="9" t="s">
        <v>9671</v>
      </c>
      <c r="AE363" t="str">
        <f t="shared" si="15"/>
        <v>Slow</v>
      </c>
      <c r="AF363">
        <f>IF($A363="","",IFERROR(VLOOKUP($B363,_CONFIG_Risk_Calibration!$A$5:$H$21,2,FALSE),3))</f>
        <v>3</v>
      </c>
      <c r="AG363">
        <f>IF($A363="","",IFERROR(VLOOKUP($B363,_CONFIG_Risk_Calibration!$A$5:$H$21,3,FALSE),0))</f>
        <v>0</v>
      </c>
      <c r="AH363">
        <f>IF($A363="","",IFERROR(VLOOKUP($B363,_CONFIG_Risk_Calibration!$A$5:$H$21,4,FALSE),3))</f>
        <v>3</v>
      </c>
      <c r="AI363">
        <f>IF($A363="","",IFERROR(VLOOKUP($B363,_CONFIG_Risk_Calibration!$A$5:$H$21,5,FALSE),3))</f>
        <v>3</v>
      </c>
      <c r="AJ363" t="str">
        <f>IF($A363="","",IFERROR(VLOOKUP($B363,_CONFIG_Risk_Calibration!$A$5:$H$21,6,FALSE),"No"))</f>
        <v>No</v>
      </c>
      <c r="AK363">
        <f>IF($A363="","",IFERROR(VLOOKUP($B363,_CONFIG_Risk_Calibration!$A$5:$H$21,7,FALSE),1))</f>
        <v>1</v>
      </c>
      <c r="AL363" t="str">
        <f>IF($A363="","",IFERROR(VLOOKUP($B363,_CONFIG_Risk_Calibration!$A$5:$H$21,8,FALSE),""))</f>
        <v>Clean template default. Calibrate with real exposure, incident history, evidence quality and domain-owner validation.</v>
      </c>
      <c r="AM363">
        <f>IF($A363="","",IFERROR(INDEX(_DATA_Assessment_Model!$AL$1:$AL$428,MATCH($A363,_DATA_Assessment_Model!$A$1:$A$428,0)),""))</f>
        <v>0</v>
      </c>
      <c r="AN363">
        <f t="shared" si="16"/>
        <v>1</v>
      </c>
      <c r="AO363">
        <f>IF($A363="","",_CONFIG_Model_Settings!$B$172*MAX(N($AK363),(N($AF363)+N($AI363))/2))</f>
        <v>60</v>
      </c>
      <c r="AP363">
        <f t="shared" si="17"/>
        <v>60</v>
      </c>
      <c r="AQ363">
        <f>IF($AP363="","",MAX(0,$AP363*(1-(_CONFIG_Model_Settings!$B$173+_CONFIG_Model_Settings!$B$174*(N($AH363)-1)))))</f>
        <v>39</v>
      </c>
      <c r="AR363">
        <f>IF($AP363="","",MIN(100,$AP363*(1+(_CONFIG_Model_Settings!$B$173+_CONFIG_Model_Settings!$B$174*(N($AH363)-1)))))</f>
        <v>81</v>
      </c>
    </row>
    <row r="364" spans="1:44" ht="72" customHeight="1">
      <c r="A364" s="9" t="s">
        <v>2929</v>
      </c>
      <c r="B364" s="9" t="s">
        <v>2824</v>
      </c>
      <c r="C364" s="9" t="s">
        <v>2855</v>
      </c>
      <c r="D364" s="9" t="s">
        <v>4418</v>
      </c>
      <c r="E364" s="9" t="s">
        <v>2930</v>
      </c>
      <c r="F364" s="9" t="s">
        <v>9672</v>
      </c>
      <c r="G364" s="9" t="s">
        <v>9673</v>
      </c>
      <c r="H364" s="9" t="s">
        <v>9674</v>
      </c>
      <c r="I364" s="9" t="s">
        <v>9675</v>
      </c>
      <c r="J364" s="9" t="s">
        <v>9676</v>
      </c>
      <c r="K364" s="9" t="s">
        <v>9677</v>
      </c>
      <c r="L364" s="9" t="s">
        <v>9678</v>
      </c>
      <c r="M364" s="9" t="s">
        <v>9679</v>
      </c>
      <c r="N364" s="9" t="s">
        <v>9680</v>
      </c>
      <c r="O364" s="9" t="s">
        <v>9681</v>
      </c>
      <c r="P364" s="9" t="s">
        <v>9682</v>
      </c>
      <c r="Q364" s="9" t="s">
        <v>9683</v>
      </c>
      <c r="R364" s="9" t="s">
        <v>4589</v>
      </c>
      <c r="S364" s="9" t="s">
        <v>9684</v>
      </c>
      <c r="T364" s="9">
        <v>4</v>
      </c>
      <c r="U364" s="9">
        <v>3</v>
      </c>
      <c r="V364" s="9">
        <v>3</v>
      </c>
      <c r="W364" s="9">
        <v>2</v>
      </c>
      <c r="X364" s="9">
        <v>1</v>
      </c>
      <c r="Y364" s="9">
        <v>1</v>
      </c>
      <c r="Z364" s="9" t="s">
        <v>2829</v>
      </c>
      <c r="AA364" s="9" t="s">
        <v>2931</v>
      </c>
      <c r="AB364" s="9" t="s">
        <v>2831</v>
      </c>
      <c r="AC364" s="9" t="s">
        <v>9432</v>
      </c>
      <c r="AD364" s="9" t="s">
        <v>9685</v>
      </c>
      <c r="AE364" t="str">
        <f t="shared" si="15"/>
        <v>Slow</v>
      </c>
      <c r="AF364">
        <f>IF($A364="","",IFERROR(VLOOKUP($B364,_CONFIG_Risk_Calibration!$A$5:$H$21,2,FALSE),3))</f>
        <v>3</v>
      </c>
      <c r="AG364">
        <f>IF($A364="","",IFERROR(VLOOKUP($B364,_CONFIG_Risk_Calibration!$A$5:$H$21,3,FALSE),0))</f>
        <v>0</v>
      </c>
      <c r="AH364">
        <f>IF($A364="","",IFERROR(VLOOKUP($B364,_CONFIG_Risk_Calibration!$A$5:$H$21,4,FALSE),3))</f>
        <v>3</v>
      </c>
      <c r="AI364">
        <f>IF($A364="","",IFERROR(VLOOKUP($B364,_CONFIG_Risk_Calibration!$A$5:$H$21,5,FALSE),3))</f>
        <v>3</v>
      </c>
      <c r="AJ364" t="str">
        <f>IF($A364="","",IFERROR(VLOOKUP($B364,_CONFIG_Risk_Calibration!$A$5:$H$21,6,FALSE),"No"))</f>
        <v>No</v>
      </c>
      <c r="AK364">
        <f>IF($A364="","",IFERROR(VLOOKUP($B364,_CONFIG_Risk_Calibration!$A$5:$H$21,7,FALSE),1))</f>
        <v>1</v>
      </c>
      <c r="AL364" t="str">
        <f>IF($A364="","",IFERROR(VLOOKUP($B364,_CONFIG_Risk_Calibration!$A$5:$H$21,8,FALSE),""))</f>
        <v>Clean template default. Calibrate with real exposure, incident history, evidence quality and domain-owner validation.</v>
      </c>
      <c r="AM364">
        <f>IF($A364="","",IFERROR(INDEX(_DATA_Assessment_Model!$AL$1:$AL$428,MATCH($A364,_DATA_Assessment_Model!$A$1:$A$428,0)),""))</f>
        <v>0</v>
      </c>
      <c r="AN364">
        <f t="shared" si="16"/>
        <v>1</v>
      </c>
      <c r="AO364">
        <f>IF($A364="","",_CONFIG_Model_Settings!$B$172*MAX(N($AK364),(N($AF364)+N($AI364))/2))</f>
        <v>60</v>
      </c>
      <c r="AP364">
        <f t="shared" si="17"/>
        <v>60</v>
      </c>
      <c r="AQ364">
        <f>IF($AP364="","",MAX(0,$AP364*(1-(_CONFIG_Model_Settings!$B$173+_CONFIG_Model_Settings!$B$174*(N($AH364)-1)))))</f>
        <v>39</v>
      </c>
      <c r="AR364">
        <f>IF($AP364="","",MIN(100,$AP364*(1+(_CONFIG_Model_Settings!$B$173+_CONFIG_Model_Settings!$B$174*(N($AH364)-1)))))</f>
        <v>81</v>
      </c>
    </row>
    <row r="365" spans="1:44" ht="72" customHeight="1">
      <c r="A365" s="9" t="s">
        <v>2932</v>
      </c>
      <c r="B365" s="9" t="s">
        <v>2824</v>
      </c>
      <c r="C365" s="9" t="s">
        <v>2855</v>
      </c>
      <c r="D365" s="9" t="s">
        <v>4418</v>
      </c>
      <c r="E365" s="9" t="s">
        <v>2933</v>
      </c>
      <c r="F365" s="9" t="s">
        <v>9686</v>
      </c>
      <c r="G365" s="9" t="s">
        <v>9687</v>
      </c>
      <c r="H365" s="9" t="s">
        <v>9688</v>
      </c>
      <c r="I365" s="9" t="s">
        <v>9689</v>
      </c>
      <c r="J365" s="9" t="s">
        <v>9690</v>
      </c>
      <c r="K365" s="9" t="s">
        <v>9691</v>
      </c>
      <c r="L365" s="9" t="s">
        <v>9692</v>
      </c>
      <c r="M365" s="9" t="s">
        <v>9693</v>
      </c>
      <c r="N365" s="9" t="s">
        <v>9694</v>
      </c>
      <c r="O365" s="9" t="s">
        <v>9695</v>
      </c>
      <c r="P365" s="9" t="s">
        <v>9696</v>
      </c>
      <c r="Q365" s="9" t="s">
        <v>9697</v>
      </c>
      <c r="R365" s="9" t="s">
        <v>4589</v>
      </c>
      <c r="S365" s="9" t="s">
        <v>9698</v>
      </c>
      <c r="T365" s="9">
        <v>4</v>
      </c>
      <c r="U365" s="9">
        <v>3</v>
      </c>
      <c r="V365" s="9">
        <v>3</v>
      </c>
      <c r="W365" s="9">
        <v>2</v>
      </c>
      <c r="X365" s="9">
        <v>1</v>
      </c>
      <c r="Y365" s="9">
        <v>1</v>
      </c>
      <c r="Z365" s="9" t="s">
        <v>2829</v>
      </c>
      <c r="AA365" s="9" t="s">
        <v>2934</v>
      </c>
      <c r="AB365" s="9" t="s">
        <v>2831</v>
      </c>
      <c r="AC365" s="9" t="s">
        <v>9432</v>
      </c>
      <c r="AD365" s="9" t="s">
        <v>9699</v>
      </c>
      <c r="AE365" t="str">
        <f t="shared" si="15"/>
        <v>Slow</v>
      </c>
      <c r="AF365">
        <f>IF($A365="","",IFERROR(VLOOKUP($B365,_CONFIG_Risk_Calibration!$A$5:$H$21,2,FALSE),3))</f>
        <v>3</v>
      </c>
      <c r="AG365">
        <f>IF($A365="","",IFERROR(VLOOKUP($B365,_CONFIG_Risk_Calibration!$A$5:$H$21,3,FALSE),0))</f>
        <v>0</v>
      </c>
      <c r="AH365">
        <f>IF($A365="","",IFERROR(VLOOKUP($B365,_CONFIG_Risk_Calibration!$A$5:$H$21,4,FALSE),3))</f>
        <v>3</v>
      </c>
      <c r="AI365">
        <f>IF($A365="","",IFERROR(VLOOKUP($B365,_CONFIG_Risk_Calibration!$A$5:$H$21,5,FALSE),3))</f>
        <v>3</v>
      </c>
      <c r="AJ365" t="str">
        <f>IF($A365="","",IFERROR(VLOOKUP($B365,_CONFIG_Risk_Calibration!$A$5:$H$21,6,FALSE),"No"))</f>
        <v>No</v>
      </c>
      <c r="AK365">
        <f>IF($A365="","",IFERROR(VLOOKUP($B365,_CONFIG_Risk_Calibration!$A$5:$H$21,7,FALSE),1))</f>
        <v>1</v>
      </c>
      <c r="AL365" t="str">
        <f>IF($A365="","",IFERROR(VLOOKUP($B365,_CONFIG_Risk_Calibration!$A$5:$H$21,8,FALSE),""))</f>
        <v>Clean template default. Calibrate with real exposure, incident history, evidence quality and domain-owner validation.</v>
      </c>
      <c r="AM365">
        <f>IF($A365="","",IFERROR(INDEX(_DATA_Assessment_Model!$AL$1:$AL$428,MATCH($A365,_DATA_Assessment_Model!$A$1:$A$428,0)),""))</f>
        <v>0</v>
      </c>
      <c r="AN365">
        <f t="shared" si="16"/>
        <v>1</v>
      </c>
      <c r="AO365">
        <f>IF($A365="","",_CONFIG_Model_Settings!$B$172*MAX(N($AK365),(N($AF365)+N($AI365))/2))</f>
        <v>60</v>
      </c>
      <c r="AP365">
        <f t="shared" si="17"/>
        <v>60</v>
      </c>
      <c r="AQ365">
        <f>IF($AP365="","",MAX(0,$AP365*(1-(_CONFIG_Model_Settings!$B$173+_CONFIG_Model_Settings!$B$174*(N($AH365)-1)))))</f>
        <v>39</v>
      </c>
      <c r="AR365">
        <f>IF($AP365="","",MIN(100,$AP365*(1+(_CONFIG_Model_Settings!$B$173+_CONFIG_Model_Settings!$B$174*(N($AH365)-1)))))</f>
        <v>81</v>
      </c>
    </row>
    <row r="366" spans="1:44" ht="72" customHeight="1">
      <c r="A366" s="9" t="s">
        <v>2935</v>
      </c>
      <c r="B366" s="9" t="s">
        <v>2824</v>
      </c>
      <c r="C366" s="9" t="s">
        <v>2855</v>
      </c>
      <c r="D366" s="9" t="s">
        <v>4418</v>
      </c>
      <c r="E366" s="9" t="s">
        <v>2936</v>
      </c>
      <c r="F366" s="9" t="s">
        <v>9700</v>
      </c>
      <c r="G366" s="9" t="s">
        <v>9701</v>
      </c>
      <c r="H366" s="9" t="s">
        <v>9702</v>
      </c>
      <c r="I366" s="9" t="s">
        <v>9703</v>
      </c>
      <c r="J366" s="9" t="s">
        <v>9704</v>
      </c>
      <c r="K366" s="9" t="s">
        <v>9705</v>
      </c>
      <c r="L366" s="9" t="s">
        <v>9706</v>
      </c>
      <c r="M366" s="9" t="s">
        <v>9707</v>
      </c>
      <c r="N366" s="9" t="s">
        <v>9708</v>
      </c>
      <c r="O366" s="9" t="s">
        <v>9709</v>
      </c>
      <c r="P366" s="9" t="s">
        <v>9710</v>
      </c>
      <c r="Q366" s="9" t="s">
        <v>9711</v>
      </c>
      <c r="R366" s="9" t="s">
        <v>4589</v>
      </c>
      <c r="S366" s="9" t="s">
        <v>9712</v>
      </c>
      <c r="T366" s="9">
        <v>4</v>
      </c>
      <c r="U366" s="9">
        <v>3</v>
      </c>
      <c r="V366" s="9">
        <v>3</v>
      </c>
      <c r="W366" s="9">
        <v>2</v>
      </c>
      <c r="X366" s="9">
        <v>1</v>
      </c>
      <c r="Y366" s="9">
        <v>1</v>
      </c>
      <c r="Z366" s="9" t="s">
        <v>2829</v>
      </c>
      <c r="AA366" s="9" t="s">
        <v>2937</v>
      </c>
      <c r="AB366" s="9" t="s">
        <v>2831</v>
      </c>
      <c r="AC366" s="9" t="s">
        <v>9432</v>
      </c>
      <c r="AD366" s="9" t="s">
        <v>9713</v>
      </c>
      <c r="AE366" t="str">
        <f t="shared" si="15"/>
        <v>Slow</v>
      </c>
      <c r="AF366">
        <f>IF($A366="","",IFERROR(VLOOKUP($B366,_CONFIG_Risk_Calibration!$A$5:$H$21,2,FALSE),3))</f>
        <v>3</v>
      </c>
      <c r="AG366">
        <f>IF($A366="","",IFERROR(VLOOKUP($B366,_CONFIG_Risk_Calibration!$A$5:$H$21,3,FALSE),0))</f>
        <v>0</v>
      </c>
      <c r="AH366">
        <f>IF($A366="","",IFERROR(VLOOKUP($B366,_CONFIG_Risk_Calibration!$A$5:$H$21,4,FALSE),3))</f>
        <v>3</v>
      </c>
      <c r="AI366">
        <f>IF($A366="","",IFERROR(VLOOKUP($B366,_CONFIG_Risk_Calibration!$A$5:$H$21,5,FALSE),3))</f>
        <v>3</v>
      </c>
      <c r="AJ366" t="str">
        <f>IF($A366="","",IFERROR(VLOOKUP($B366,_CONFIG_Risk_Calibration!$A$5:$H$21,6,FALSE),"No"))</f>
        <v>No</v>
      </c>
      <c r="AK366">
        <f>IF($A366="","",IFERROR(VLOOKUP($B366,_CONFIG_Risk_Calibration!$A$5:$H$21,7,FALSE),1))</f>
        <v>1</v>
      </c>
      <c r="AL366" t="str">
        <f>IF($A366="","",IFERROR(VLOOKUP($B366,_CONFIG_Risk_Calibration!$A$5:$H$21,8,FALSE),""))</f>
        <v>Clean template default. Calibrate with real exposure, incident history, evidence quality and domain-owner validation.</v>
      </c>
      <c r="AM366">
        <f>IF($A366="","",IFERROR(INDEX(_DATA_Assessment_Model!$AL$1:$AL$428,MATCH($A366,_DATA_Assessment_Model!$A$1:$A$428,0)),""))</f>
        <v>0</v>
      </c>
      <c r="AN366">
        <f t="shared" si="16"/>
        <v>1</v>
      </c>
      <c r="AO366">
        <f>IF($A366="","",_CONFIG_Model_Settings!$B$172*MAX(N($AK366),(N($AF366)+N($AI366))/2))</f>
        <v>60</v>
      </c>
      <c r="AP366">
        <f t="shared" si="17"/>
        <v>60</v>
      </c>
      <c r="AQ366">
        <f>IF($AP366="","",MAX(0,$AP366*(1-(_CONFIG_Model_Settings!$B$173+_CONFIG_Model_Settings!$B$174*(N($AH366)-1)))))</f>
        <v>39</v>
      </c>
      <c r="AR366">
        <f>IF($AP366="","",MIN(100,$AP366*(1+(_CONFIG_Model_Settings!$B$173+_CONFIG_Model_Settings!$B$174*(N($AH366)-1)))))</f>
        <v>81</v>
      </c>
    </row>
    <row r="367" spans="1:44" ht="72" customHeight="1">
      <c r="A367" s="9" t="s">
        <v>2944</v>
      </c>
      <c r="B367" s="9" t="s">
        <v>2824</v>
      </c>
      <c r="C367" s="9" t="s">
        <v>2855</v>
      </c>
      <c r="D367" s="9" t="s">
        <v>4418</v>
      </c>
      <c r="E367" s="9" t="s">
        <v>2945</v>
      </c>
      <c r="F367" s="9" t="s">
        <v>9714</v>
      </c>
      <c r="G367" s="9" t="s">
        <v>9715</v>
      </c>
      <c r="H367" s="9" t="s">
        <v>9716</v>
      </c>
      <c r="I367" s="9" t="s">
        <v>9717</v>
      </c>
      <c r="J367" s="9" t="s">
        <v>9718</v>
      </c>
      <c r="K367" s="9" t="s">
        <v>9719</v>
      </c>
      <c r="L367" s="9" t="s">
        <v>9720</v>
      </c>
      <c r="M367" s="9" t="s">
        <v>9721</v>
      </c>
      <c r="N367" s="9" t="s">
        <v>9722</v>
      </c>
      <c r="O367" s="9" t="s">
        <v>9723</v>
      </c>
      <c r="P367" s="9" t="s">
        <v>9724</v>
      </c>
      <c r="Q367" s="9" t="s">
        <v>9725</v>
      </c>
      <c r="R367" s="9" t="s">
        <v>4589</v>
      </c>
      <c r="S367" s="9" t="s">
        <v>9726</v>
      </c>
      <c r="T367" s="9">
        <v>4</v>
      </c>
      <c r="U367" s="9">
        <v>3</v>
      </c>
      <c r="V367" s="9">
        <v>3</v>
      </c>
      <c r="W367" s="9">
        <v>2</v>
      </c>
      <c r="X367" s="9">
        <v>1</v>
      </c>
      <c r="Y367" s="9">
        <v>1</v>
      </c>
      <c r="Z367" s="9" t="s">
        <v>2829</v>
      </c>
      <c r="AA367" s="9" t="s">
        <v>2946</v>
      </c>
      <c r="AB367" s="9" t="s">
        <v>2831</v>
      </c>
      <c r="AC367" s="9" t="s">
        <v>9432</v>
      </c>
      <c r="AD367" s="9" t="s">
        <v>9727</v>
      </c>
      <c r="AE367" t="str">
        <f t="shared" si="15"/>
        <v>Slow</v>
      </c>
      <c r="AF367">
        <f>IF($A367="","",IFERROR(VLOOKUP($B367,_CONFIG_Risk_Calibration!$A$5:$H$21,2,FALSE),3))</f>
        <v>3</v>
      </c>
      <c r="AG367">
        <f>IF($A367="","",IFERROR(VLOOKUP($B367,_CONFIG_Risk_Calibration!$A$5:$H$21,3,FALSE),0))</f>
        <v>0</v>
      </c>
      <c r="AH367">
        <f>IF($A367="","",IFERROR(VLOOKUP($B367,_CONFIG_Risk_Calibration!$A$5:$H$21,4,FALSE),3))</f>
        <v>3</v>
      </c>
      <c r="AI367">
        <f>IF($A367="","",IFERROR(VLOOKUP($B367,_CONFIG_Risk_Calibration!$A$5:$H$21,5,FALSE),3))</f>
        <v>3</v>
      </c>
      <c r="AJ367" t="str">
        <f>IF($A367="","",IFERROR(VLOOKUP($B367,_CONFIG_Risk_Calibration!$A$5:$H$21,6,FALSE),"No"))</f>
        <v>No</v>
      </c>
      <c r="AK367">
        <f>IF($A367="","",IFERROR(VLOOKUP($B367,_CONFIG_Risk_Calibration!$A$5:$H$21,7,FALSE),1))</f>
        <v>1</v>
      </c>
      <c r="AL367" t="str">
        <f>IF($A367="","",IFERROR(VLOOKUP($B367,_CONFIG_Risk_Calibration!$A$5:$H$21,8,FALSE),""))</f>
        <v>Clean template default. Calibrate with real exposure, incident history, evidence quality and domain-owner validation.</v>
      </c>
      <c r="AM367">
        <f>IF($A367="","",IFERROR(INDEX(_DATA_Assessment_Model!$AL$1:$AL$428,MATCH($A367,_DATA_Assessment_Model!$A$1:$A$428,0)),""))</f>
        <v>0</v>
      </c>
      <c r="AN367">
        <f t="shared" si="16"/>
        <v>1</v>
      </c>
      <c r="AO367">
        <f>IF($A367="","",_CONFIG_Model_Settings!$B$172*MAX(N($AK367),(N($AF367)+N($AI367))/2))</f>
        <v>60</v>
      </c>
      <c r="AP367">
        <f t="shared" si="17"/>
        <v>60</v>
      </c>
      <c r="AQ367">
        <f>IF($AP367="","",MAX(0,$AP367*(1-(_CONFIG_Model_Settings!$B$173+_CONFIG_Model_Settings!$B$174*(N($AH367)-1)))))</f>
        <v>39</v>
      </c>
      <c r="AR367">
        <f>IF($AP367="","",MIN(100,$AP367*(1+(_CONFIG_Model_Settings!$B$173+_CONFIG_Model_Settings!$B$174*(N($AH367)-1)))))</f>
        <v>81</v>
      </c>
    </row>
    <row r="368" spans="1:44" ht="72" customHeight="1">
      <c r="A368" s="9" t="s">
        <v>2947</v>
      </c>
      <c r="B368" s="9" t="s">
        <v>2824</v>
      </c>
      <c r="C368" s="9" t="s">
        <v>2859</v>
      </c>
      <c r="D368" s="9" t="s">
        <v>4418</v>
      </c>
      <c r="E368" s="9" t="s">
        <v>2948</v>
      </c>
      <c r="F368" s="9" t="s">
        <v>9728</v>
      </c>
      <c r="G368" s="9" t="s">
        <v>9729</v>
      </c>
      <c r="H368" s="9" t="s">
        <v>9730</v>
      </c>
      <c r="I368" s="9" t="s">
        <v>9731</v>
      </c>
      <c r="J368" s="9" t="s">
        <v>9732</v>
      </c>
      <c r="K368" s="9" t="s">
        <v>9733</v>
      </c>
      <c r="L368" s="9" t="s">
        <v>9734</v>
      </c>
      <c r="M368" s="9" t="s">
        <v>9735</v>
      </c>
      <c r="N368" s="9" t="s">
        <v>9736</v>
      </c>
      <c r="O368" s="9" t="s">
        <v>9737</v>
      </c>
      <c r="P368" s="9" t="s">
        <v>9738</v>
      </c>
      <c r="Q368" s="9" t="s">
        <v>9739</v>
      </c>
      <c r="R368" s="9" t="s">
        <v>4589</v>
      </c>
      <c r="S368" s="9" t="s">
        <v>9740</v>
      </c>
      <c r="T368" s="9">
        <v>4</v>
      </c>
      <c r="U368" s="9">
        <v>3</v>
      </c>
      <c r="V368" s="9">
        <v>3</v>
      </c>
      <c r="W368" s="9">
        <v>2</v>
      </c>
      <c r="X368" s="9">
        <v>1</v>
      </c>
      <c r="Y368" s="9">
        <v>1</v>
      </c>
      <c r="Z368" s="9" t="s">
        <v>2829</v>
      </c>
      <c r="AA368" s="9" t="s">
        <v>2949</v>
      </c>
      <c r="AB368" s="9" t="s">
        <v>2831</v>
      </c>
      <c r="AC368" s="9" t="s">
        <v>9432</v>
      </c>
      <c r="AD368" s="9" t="s">
        <v>9741</v>
      </c>
      <c r="AE368" t="str">
        <f t="shared" si="15"/>
        <v>Slow</v>
      </c>
      <c r="AF368">
        <f>IF($A368="","",IFERROR(VLOOKUP($B368,_CONFIG_Risk_Calibration!$A$5:$H$21,2,FALSE),3))</f>
        <v>3</v>
      </c>
      <c r="AG368">
        <f>IF($A368="","",IFERROR(VLOOKUP($B368,_CONFIG_Risk_Calibration!$A$5:$H$21,3,FALSE),0))</f>
        <v>0</v>
      </c>
      <c r="AH368">
        <f>IF($A368="","",IFERROR(VLOOKUP($B368,_CONFIG_Risk_Calibration!$A$5:$H$21,4,FALSE),3))</f>
        <v>3</v>
      </c>
      <c r="AI368">
        <f>IF($A368="","",IFERROR(VLOOKUP($B368,_CONFIG_Risk_Calibration!$A$5:$H$21,5,FALSE),3))</f>
        <v>3</v>
      </c>
      <c r="AJ368" t="str">
        <f>IF($A368="","",IFERROR(VLOOKUP($B368,_CONFIG_Risk_Calibration!$A$5:$H$21,6,FALSE),"No"))</f>
        <v>No</v>
      </c>
      <c r="AK368">
        <f>IF($A368="","",IFERROR(VLOOKUP($B368,_CONFIG_Risk_Calibration!$A$5:$H$21,7,FALSE),1))</f>
        <v>1</v>
      </c>
      <c r="AL368" t="str">
        <f>IF($A368="","",IFERROR(VLOOKUP($B368,_CONFIG_Risk_Calibration!$A$5:$H$21,8,FALSE),""))</f>
        <v>Clean template default. Calibrate with real exposure, incident history, evidence quality and domain-owner validation.</v>
      </c>
      <c r="AM368">
        <f>IF($A368="","",IFERROR(INDEX(_DATA_Assessment_Model!$AL$1:$AL$428,MATCH($A368,_DATA_Assessment_Model!$A$1:$A$428,0)),""))</f>
        <v>0</v>
      </c>
      <c r="AN368">
        <f t="shared" si="16"/>
        <v>1</v>
      </c>
      <c r="AO368">
        <f>IF($A368="","",_CONFIG_Model_Settings!$B$172*MAX(N($AK368),(N($AF368)+N($AI368))/2))</f>
        <v>60</v>
      </c>
      <c r="AP368">
        <f t="shared" si="17"/>
        <v>60</v>
      </c>
      <c r="AQ368">
        <f>IF($AP368="","",MAX(0,$AP368*(1-(_CONFIG_Model_Settings!$B$173+_CONFIG_Model_Settings!$B$174*(N($AH368)-1)))))</f>
        <v>39</v>
      </c>
      <c r="AR368">
        <f>IF($AP368="","",MIN(100,$AP368*(1+(_CONFIG_Model_Settings!$B$173+_CONFIG_Model_Settings!$B$174*(N($AH368)-1)))))</f>
        <v>81</v>
      </c>
    </row>
    <row r="369" spans="1:44" ht="72" customHeight="1">
      <c r="A369" s="9" t="s">
        <v>2956</v>
      </c>
      <c r="B369" s="9" t="s">
        <v>2824</v>
      </c>
      <c r="C369" s="9" t="s">
        <v>2859</v>
      </c>
      <c r="D369" s="9" t="s">
        <v>4418</v>
      </c>
      <c r="E369" s="9" t="s">
        <v>2957</v>
      </c>
      <c r="F369" s="9" t="s">
        <v>9742</v>
      </c>
      <c r="G369" s="9" t="s">
        <v>9743</v>
      </c>
      <c r="H369" s="9" t="s">
        <v>9744</v>
      </c>
      <c r="I369" s="9" t="s">
        <v>9745</v>
      </c>
      <c r="J369" s="9" t="s">
        <v>9746</v>
      </c>
      <c r="K369" s="9" t="s">
        <v>9747</v>
      </c>
      <c r="L369" s="9" t="s">
        <v>9748</v>
      </c>
      <c r="M369" s="9" t="s">
        <v>9749</v>
      </c>
      <c r="N369" s="9" t="s">
        <v>9750</v>
      </c>
      <c r="O369" s="9" t="s">
        <v>9751</v>
      </c>
      <c r="P369" s="9" t="s">
        <v>9752</v>
      </c>
      <c r="Q369" s="9" t="s">
        <v>9753</v>
      </c>
      <c r="R369" s="9" t="s">
        <v>4589</v>
      </c>
      <c r="S369" s="9" t="s">
        <v>9754</v>
      </c>
      <c r="T369" s="9">
        <v>4</v>
      </c>
      <c r="U369" s="9">
        <v>3</v>
      </c>
      <c r="V369" s="9">
        <v>3</v>
      </c>
      <c r="W369" s="9">
        <v>2</v>
      </c>
      <c r="X369" s="9">
        <v>1</v>
      </c>
      <c r="Y369" s="9">
        <v>1</v>
      </c>
      <c r="Z369" s="9" t="s">
        <v>2829</v>
      </c>
      <c r="AA369" s="9" t="s">
        <v>2958</v>
      </c>
      <c r="AB369" s="9" t="s">
        <v>2831</v>
      </c>
      <c r="AC369" s="9" t="s">
        <v>9432</v>
      </c>
      <c r="AD369" s="9" t="s">
        <v>9755</v>
      </c>
      <c r="AE369" t="str">
        <f t="shared" si="15"/>
        <v>Slow</v>
      </c>
      <c r="AF369">
        <f>IF($A369="","",IFERROR(VLOOKUP($B369,_CONFIG_Risk_Calibration!$A$5:$H$21,2,FALSE),3))</f>
        <v>3</v>
      </c>
      <c r="AG369">
        <f>IF($A369="","",IFERROR(VLOOKUP($B369,_CONFIG_Risk_Calibration!$A$5:$H$21,3,FALSE),0))</f>
        <v>0</v>
      </c>
      <c r="AH369">
        <f>IF($A369="","",IFERROR(VLOOKUP($B369,_CONFIG_Risk_Calibration!$A$5:$H$21,4,FALSE),3))</f>
        <v>3</v>
      </c>
      <c r="AI369">
        <f>IF($A369="","",IFERROR(VLOOKUP($B369,_CONFIG_Risk_Calibration!$A$5:$H$21,5,FALSE),3))</f>
        <v>3</v>
      </c>
      <c r="AJ369" t="str">
        <f>IF($A369="","",IFERROR(VLOOKUP($B369,_CONFIG_Risk_Calibration!$A$5:$H$21,6,FALSE),"No"))</f>
        <v>No</v>
      </c>
      <c r="AK369">
        <f>IF($A369="","",IFERROR(VLOOKUP($B369,_CONFIG_Risk_Calibration!$A$5:$H$21,7,FALSE),1))</f>
        <v>1</v>
      </c>
      <c r="AL369" t="str">
        <f>IF($A369="","",IFERROR(VLOOKUP($B369,_CONFIG_Risk_Calibration!$A$5:$H$21,8,FALSE),""))</f>
        <v>Clean template default. Calibrate with real exposure, incident history, evidence quality and domain-owner validation.</v>
      </c>
      <c r="AM369">
        <f>IF($A369="","",IFERROR(INDEX(_DATA_Assessment_Model!$AL$1:$AL$428,MATCH($A369,_DATA_Assessment_Model!$A$1:$A$428,0)),""))</f>
        <v>0</v>
      </c>
      <c r="AN369">
        <f t="shared" si="16"/>
        <v>1</v>
      </c>
      <c r="AO369">
        <f>IF($A369="","",_CONFIG_Model_Settings!$B$172*MAX(N($AK369),(N($AF369)+N($AI369))/2))</f>
        <v>60</v>
      </c>
      <c r="AP369">
        <f t="shared" si="17"/>
        <v>60</v>
      </c>
      <c r="AQ369">
        <f>IF($AP369="","",MAX(0,$AP369*(1-(_CONFIG_Model_Settings!$B$173+_CONFIG_Model_Settings!$B$174*(N($AH369)-1)))))</f>
        <v>39</v>
      </c>
      <c r="AR369">
        <f>IF($AP369="","",MIN(100,$AP369*(1+(_CONFIG_Model_Settings!$B$173+_CONFIG_Model_Settings!$B$174*(N($AH369)-1)))))</f>
        <v>81</v>
      </c>
    </row>
    <row r="370" spans="1:44" ht="72" customHeight="1">
      <c r="A370" s="9" t="s">
        <v>2965</v>
      </c>
      <c r="B370" s="9" t="s">
        <v>2824</v>
      </c>
      <c r="C370" s="9" t="s">
        <v>2859</v>
      </c>
      <c r="D370" s="9" t="s">
        <v>4418</v>
      </c>
      <c r="E370" s="9" t="s">
        <v>2966</v>
      </c>
      <c r="F370" s="9" t="s">
        <v>9756</v>
      </c>
      <c r="G370" s="9" t="s">
        <v>9757</v>
      </c>
      <c r="H370" s="9" t="s">
        <v>9758</v>
      </c>
      <c r="I370" s="9" t="s">
        <v>9759</v>
      </c>
      <c r="J370" s="9" t="s">
        <v>9760</v>
      </c>
      <c r="K370" s="9" t="s">
        <v>9761</v>
      </c>
      <c r="L370" s="9" t="s">
        <v>9762</v>
      </c>
      <c r="M370" s="9" t="s">
        <v>9763</v>
      </c>
      <c r="N370" s="9" t="s">
        <v>9764</v>
      </c>
      <c r="O370" s="9" t="s">
        <v>9765</v>
      </c>
      <c r="P370" s="9" t="s">
        <v>9766</v>
      </c>
      <c r="Q370" s="9" t="s">
        <v>9767</v>
      </c>
      <c r="R370" s="9" t="s">
        <v>4589</v>
      </c>
      <c r="S370" s="9" t="s">
        <v>9768</v>
      </c>
      <c r="T370" s="9">
        <v>4</v>
      </c>
      <c r="U370" s="9">
        <v>3</v>
      </c>
      <c r="V370" s="9">
        <v>3</v>
      </c>
      <c r="W370" s="9">
        <v>2</v>
      </c>
      <c r="X370" s="9">
        <v>1</v>
      </c>
      <c r="Y370" s="9">
        <v>1</v>
      </c>
      <c r="Z370" s="9" t="s">
        <v>2829</v>
      </c>
      <c r="AA370" s="9" t="s">
        <v>2967</v>
      </c>
      <c r="AB370" s="9" t="s">
        <v>2831</v>
      </c>
      <c r="AC370" s="9" t="s">
        <v>9432</v>
      </c>
      <c r="AD370" s="9" t="s">
        <v>9769</v>
      </c>
      <c r="AE370" t="str">
        <f t="shared" si="15"/>
        <v>Slow</v>
      </c>
      <c r="AF370">
        <f>IF($A370="","",IFERROR(VLOOKUP($B370,_CONFIG_Risk_Calibration!$A$5:$H$21,2,FALSE),3))</f>
        <v>3</v>
      </c>
      <c r="AG370">
        <f>IF($A370="","",IFERROR(VLOOKUP($B370,_CONFIG_Risk_Calibration!$A$5:$H$21,3,FALSE),0))</f>
        <v>0</v>
      </c>
      <c r="AH370">
        <f>IF($A370="","",IFERROR(VLOOKUP($B370,_CONFIG_Risk_Calibration!$A$5:$H$21,4,FALSE),3))</f>
        <v>3</v>
      </c>
      <c r="AI370">
        <f>IF($A370="","",IFERROR(VLOOKUP($B370,_CONFIG_Risk_Calibration!$A$5:$H$21,5,FALSE),3))</f>
        <v>3</v>
      </c>
      <c r="AJ370" t="str">
        <f>IF($A370="","",IFERROR(VLOOKUP($B370,_CONFIG_Risk_Calibration!$A$5:$H$21,6,FALSE),"No"))</f>
        <v>No</v>
      </c>
      <c r="AK370">
        <f>IF($A370="","",IFERROR(VLOOKUP($B370,_CONFIG_Risk_Calibration!$A$5:$H$21,7,FALSE),1))</f>
        <v>1</v>
      </c>
      <c r="AL370" t="str">
        <f>IF($A370="","",IFERROR(VLOOKUP($B370,_CONFIG_Risk_Calibration!$A$5:$H$21,8,FALSE),""))</f>
        <v>Clean template default. Calibrate with real exposure, incident history, evidence quality and domain-owner validation.</v>
      </c>
      <c r="AM370">
        <f>IF($A370="","",IFERROR(INDEX(_DATA_Assessment_Model!$AL$1:$AL$428,MATCH($A370,_DATA_Assessment_Model!$A$1:$A$428,0)),""))</f>
        <v>0</v>
      </c>
      <c r="AN370">
        <f t="shared" si="16"/>
        <v>1</v>
      </c>
      <c r="AO370">
        <f>IF($A370="","",_CONFIG_Model_Settings!$B$172*MAX(N($AK370),(N($AF370)+N($AI370))/2))</f>
        <v>60</v>
      </c>
      <c r="AP370">
        <f t="shared" si="17"/>
        <v>60</v>
      </c>
      <c r="AQ370">
        <f>IF($AP370="","",MAX(0,$AP370*(1-(_CONFIG_Model_Settings!$B$173+_CONFIG_Model_Settings!$B$174*(N($AH370)-1)))))</f>
        <v>39</v>
      </c>
      <c r="AR370">
        <f>IF($AP370="","",MIN(100,$AP370*(1+(_CONFIG_Model_Settings!$B$173+_CONFIG_Model_Settings!$B$174*(N($AH370)-1)))))</f>
        <v>81</v>
      </c>
    </row>
    <row r="371" spans="1:44" ht="72" customHeight="1">
      <c r="A371" s="9" t="s">
        <v>2974</v>
      </c>
      <c r="B371" s="9" t="s">
        <v>2824</v>
      </c>
      <c r="C371" s="9" t="s">
        <v>2859</v>
      </c>
      <c r="D371" s="9" t="s">
        <v>4418</v>
      </c>
      <c r="E371" s="9" t="s">
        <v>2975</v>
      </c>
      <c r="F371" s="9" t="s">
        <v>9770</v>
      </c>
      <c r="G371" s="9" t="s">
        <v>9771</v>
      </c>
      <c r="H371" s="9" t="s">
        <v>9772</v>
      </c>
      <c r="I371" s="9" t="s">
        <v>9773</v>
      </c>
      <c r="J371" s="9" t="s">
        <v>9774</v>
      </c>
      <c r="K371" s="9" t="s">
        <v>9775</v>
      </c>
      <c r="L371" s="9" t="s">
        <v>9776</v>
      </c>
      <c r="M371" s="9" t="s">
        <v>9777</v>
      </c>
      <c r="N371" s="9" t="s">
        <v>9778</v>
      </c>
      <c r="O371" s="9" t="s">
        <v>9779</v>
      </c>
      <c r="P371" s="9" t="s">
        <v>9780</v>
      </c>
      <c r="Q371" s="9" t="s">
        <v>9781</v>
      </c>
      <c r="R371" s="9" t="s">
        <v>4589</v>
      </c>
      <c r="S371" s="9" t="s">
        <v>9782</v>
      </c>
      <c r="T371" s="9">
        <v>4</v>
      </c>
      <c r="U371" s="9">
        <v>3</v>
      </c>
      <c r="V371" s="9">
        <v>3</v>
      </c>
      <c r="W371" s="9">
        <v>2</v>
      </c>
      <c r="X371" s="9">
        <v>1</v>
      </c>
      <c r="Y371" s="9">
        <v>1</v>
      </c>
      <c r="Z371" s="9" t="s">
        <v>2829</v>
      </c>
      <c r="AA371" s="9" t="s">
        <v>2976</v>
      </c>
      <c r="AB371" s="9" t="s">
        <v>2831</v>
      </c>
      <c r="AC371" s="9" t="s">
        <v>9432</v>
      </c>
      <c r="AD371" s="9" t="s">
        <v>9783</v>
      </c>
      <c r="AE371" t="str">
        <f t="shared" si="15"/>
        <v>Slow</v>
      </c>
      <c r="AF371">
        <f>IF($A371="","",IFERROR(VLOOKUP($B371,_CONFIG_Risk_Calibration!$A$5:$H$21,2,FALSE),3))</f>
        <v>3</v>
      </c>
      <c r="AG371">
        <f>IF($A371="","",IFERROR(VLOOKUP($B371,_CONFIG_Risk_Calibration!$A$5:$H$21,3,FALSE),0))</f>
        <v>0</v>
      </c>
      <c r="AH371">
        <f>IF($A371="","",IFERROR(VLOOKUP($B371,_CONFIG_Risk_Calibration!$A$5:$H$21,4,FALSE),3))</f>
        <v>3</v>
      </c>
      <c r="AI371">
        <f>IF($A371="","",IFERROR(VLOOKUP($B371,_CONFIG_Risk_Calibration!$A$5:$H$21,5,FALSE),3))</f>
        <v>3</v>
      </c>
      <c r="AJ371" t="str">
        <f>IF($A371="","",IFERROR(VLOOKUP($B371,_CONFIG_Risk_Calibration!$A$5:$H$21,6,FALSE),"No"))</f>
        <v>No</v>
      </c>
      <c r="AK371">
        <f>IF($A371="","",IFERROR(VLOOKUP($B371,_CONFIG_Risk_Calibration!$A$5:$H$21,7,FALSE),1))</f>
        <v>1</v>
      </c>
      <c r="AL371" t="str">
        <f>IF($A371="","",IFERROR(VLOOKUP($B371,_CONFIG_Risk_Calibration!$A$5:$H$21,8,FALSE),""))</f>
        <v>Clean template default. Calibrate with real exposure, incident history, evidence quality and domain-owner validation.</v>
      </c>
      <c r="AM371">
        <f>IF($A371="","",IFERROR(INDEX(_DATA_Assessment_Model!$AL$1:$AL$428,MATCH($A371,_DATA_Assessment_Model!$A$1:$A$428,0)),""))</f>
        <v>0</v>
      </c>
      <c r="AN371">
        <f t="shared" si="16"/>
        <v>1</v>
      </c>
      <c r="AO371">
        <f>IF($A371="","",_CONFIG_Model_Settings!$B$172*MAX(N($AK371),(N($AF371)+N($AI371))/2))</f>
        <v>60</v>
      </c>
      <c r="AP371">
        <f t="shared" si="17"/>
        <v>60</v>
      </c>
      <c r="AQ371">
        <f>IF($AP371="","",MAX(0,$AP371*(1-(_CONFIG_Model_Settings!$B$173+_CONFIG_Model_Settings!$B$174*(N($AH371)-1)))))</f>
        <v>39</v>
      </c>
      <c r="AR371">
        <f>IF($AP371="","",MIN(100,$AP371*(1+(_CONFIG_Model_Settings!$B$173+_CONFIG_Model_Settings!$B$174*(N($AH371)-1)))))</f>
        <v>81</v>
      </c>
    </row>
    <row r="372" spans="1:44" ht="72" customHeight="1">
      <c r="A372" s="9" t="s">
        <v>2977</v>
      </c>
      <c r="B372" s="9" t="s">
        <v>2824</v>
      </c>
      <c r="C372" s="9" t="s">
        <v>2859</v>
      </c>
      <c r="D372" s="9" t="s">
        <v>4418</v>
      </c>
      <c r="E372" s="9" t="s">
        <v>2978</v>
      </c>
      <c r="F372" s="9" t="s">
        <v>9784</v>
      </c>
      <c r="G372" s="9" t="s">
        <v>9785</v>
      </c>
      <c r="H372" s="9" t="s">
        <v>9786</v>
      </c>
      <c r="I372" s="9" t="s">
        <v>9787</v>
      </c>
      <c r="J372" s="9" t="s">
        <v>9788</v>
      </c>
      <c r="K372" s="9" t="s">
        <v>9789</v>
      </c>
      <c r="L372" s="9" t="s">
        <v>9790</v>
      </c>
      <c r="M372" s="9" t="s">
        <v>9791</v>
      </c>
      <c r="N372" s="9" t="s">
        <v>9792</v>
      </c>
      <c r="O372" s="9" t="s">
        <v>9793</v>
      </c>
      <c r="P372" s="9" t="s">
        <v>9794</v>
      </c>
      <c r="Q372" s="9" t="s">
        <v>9795</v>
      </c>
      <c r="R372" s="9" t="s">
        <v>4589</v>
      </c>
      <c r="S372" s="9" t="s">
        <v>9796</v>
      </c>
      <c r="T372" s="9">
        <v>4</v>
      </c>
      <c r="U372" s="9">
        <v>3</v>
      </c>
      <c r="V372" s="9">
        <v>3</v>
      </c>
      <c r="W372" s="9">
        <v>2</v>
      </c>
      <c r="X372" s="9">
        <v>1</v>
      </c>
      <c r="Y372" s="9">
        <v>1</v>
      </c>
      <c r="Z372" s="9" t="s">
        <v>2829</v>
      </c>
      <c r="AA372" s="9" t="s">
        <v>2979</v>
      </c>
      <c r="AB372" s="9" t="s">
        <v>2831</v>
      </c>
      <c r="AC372" s="9" t="s">
        <v>9432</v>
      </c>
      <c r="AD372" s="9" t="s">
        <v>9797</v>
      </c>
      <c r="AE372" t="str">
        <f t="shared" si="15"/>
        <v>Slow</v>
      </c>
      <c r="AF372">
        <f>IF($A372="","",IFERROR(VLOOKUP($B372,_CONFIG_Risk_Calibration!$A$5:$H$21,2,FALSE),3))</f>
        <v>3</v>
      </c>
      <c r="AG372">
        <f>IF($A372="","",IFERROR(VLOOKUP($B372,_CONFIG_Risk_Calibration!$A$5:$H$21,3,FALSE),0))</f>
        <v>0</v>
      </c>
      <c r="AH372">
        <f>IF($A372="","",IFERROR(VLOOKUP($B372,_CONFIG_Risk_Calibration!$A$5:$H$21,4,FALSE),3))</f>
        <v>3</v>
      </c>
      <c r="AI372">
        <f>IF($A372="","",IFERROR(VLOOKUP($B372,_CONFIG_Risk_Calibration!$A$5:$H$21,5,FALSE),3))</f>
        <v>3</v>
      </c>
      <c r="AJ372" t="str">
        <f>IF($A372="","",IFERROR(VLOOKUP($B372,_CONFIG_Risk_Calibration!$A$5:$H$21,6,FALSE),"No"))</f>
        <v>No</v>
      </c>
      <c r="AK372">
        <f>IF($A372="","",IFERROR(VLOOKUP($B372,_CONFIG_Risk_Calibration!$A$5:$H$21,7,FALSE),1))</f>
        <v>1</v>
      </c>
      <c r="AL372" t="str">
        <f>IF($A372="","",IFERROR(VLOOKUP($B372,_CONFIG_Risk_Calibration!$A$5:$H$21,8,FALSE),""))</f>
        <v>Clean template default. Calibrate with real exposure, incident history, evidence quality and domain-owner validation.</v>
      </c>
      <c r="AM372">
        <f>IF($A372="","",IFERROR(INDEX(_DATA_Assessment_Model!$AL$1:$AL$428,MATCH($A372,_DATA_Assessment_Model!$A$1:$A$428,0)),""))</f>
        <v>0</v>
      </c>
      <c r="AN372">
        <f t="shared" si="16"/>
        <v>1</v>
      </c>
      <c r="AO372">
        <f>IF($A372="","",_CONFIG_Model_Settings!$B$172*MAX(N($AK372),(N($AF372)+N($AI372))/2))</f>
        <v>60</v>
      </c>
      <c r="AP372">
        <f t="shared" si="17"/>
        <v>60</v>
      </c>
      <c r="AQ372">
        <f>IF($AP372="","",MAX(0,$AP372*(1-(_CONFIG_Model_Settings!$B$173+_CONFIG_Model_Settings!$B$174*(N($AH372)-1)))))</f>
        <v>39</v>
      </c>
      <c r="AR372">
        <f>IF($AP372="","",MIN(100,$AP372*(1+(_CONFIG_Model_Settings!$B$173+_CONFIG_Model_Settings!$B$174*(N($AH372)-1)))))</f>
        <v>81</v>
      </c>
    </row>
    <row r="373" spans="1:44" ht="72" customHeight="1">
      <c r="A373" s="9" t="s">
        <v>2987</v>
      </c>
      <c r="B373" s="9" t="s">
        <v>2986</v>
      </c>
      <c r="C373" s="9" t="s">
        <v>2988</v>
      </c>
      <c r="D373" s="9" t="s">
        <v>4460</v>
      </c>
      <c r="E373" s="9" t="s">
        <v>2989</v>
      </c>
      <c r="F373" s="9" t="s">
        <v>9798</v>
      </c>
      <c r="G373" s="9" t="s">
        <v>9799</v>
      </c>
      <c r="H373" s="9" t="s">
        <v>9800</v>
      </c>
      <c r="I373" s="9" t="s">
        <v>9801</v>
      </c>
      <c r="J373" s="9" t="s">
        <v>9802</v>
      </c>
      <c r="K373" s="9" t="s">
        <v>9803</v>
      </c>
      <c r="L373" s="9" t="s">
        <v>9804</v>
      </c>
      <c r="M373" s="9" t="s">
        <v>9805</v>
      </c>
      <c r="N373" s="9" t="s">
        <v>9806</v>
      </c>
      <c r="O373" s="9" t="s">
        <v>9807</v>
      </c>
      <c r="P373" s="9" t="s">
        <v>9808</v>
      </c>
      <c r="Q373" s="9" t="s">
        <v>9809</v>
      </c>
      <c r="R373" s="9" t="s">
        <v>4589</v>
      </c>
      <c r="S373" s="9" t="s">
        <v>9810</v>
      </c>
      <c r="T373" s="9">
        <v>4</v>
      </c>
      <c r="U373" s="9">
        <v>3</v>
      </c>
      <c r="V373" s="9">
        <v>3</v>
      </c>
      <c r="W373" s="9">
        <v>2</v>
      </c>
      <c r="X373" s="9">
        <v>1</v>
      </c>
      <c r="Y373" s="9">
        <v>1</v>
      </c>
      <c r="Z373" s="9" t="s">
        <v>2991</v>
      </c>
      <c r="AA373" s="9" t="s">
        <v>2992</v>
      </c>
      <c r="AB373" s="9" t="s">
        <v>2999</v>
      </c>
      <c r="AC373" s="9" t="s">
        <v>9811</v>
      </c>
      <c r="AD373" s="9" t="s">
        <v>9812</v>
      </c>
      <c r="AE373" t="str">
        <f t="shared" si="15"/>
        <v>Fast</v>
      </c>
      <c r="AF373">
        <f>IF($A373="","",IFERROR(VLOOKUP($B373,_CONFIG_Risk_Calibration!$A$5:$H$21,2,FALSE),3))</f>
        <v>3</v>
      </c>
      <c r="AG373">
        <f>IF($A373="","",IFERROR(VLOOKUP($B373,_CONFIG_Risk_Calibration!$A$5:$H$21,3,FALSE),0))</f>
        <v>0</v>
      </c>
      <c r="AH373">
        <f>IF($A373="","",IFERROR(VLOOKUP($B373,_CONFIG_Risk_Calibration!$A$5:$H$21,4,FALSE),3))</f>
        <v>3</v>
      </c>
      <c r="AI373">
        <f>IF($A373="","",IFERROR(VLOOKUP($B373,_CONFIG_Risk_Calibration!$A$5:$H$21,5,FALSE),3))</f>
        <v>4</v>
      </c>
      <c r="AJ373" t="str">
        <f>IF($A373="","",IFERROR(VLOOKUP($B373,_CONFIG_Risk_Calibration!$A$5:$H$21,6,FALSE),"No"))</f>
        <v>Yes</v>
      </c>
      <c r="AK373">
        <f>IF($A373="","",IFERROR(VLOOKUP($B373,_CONFIG_Risk_Calibration!$A$5:$H$21,7,FALSE),1))</f>
        <v>5</v>
      </c>
      <c r="AL373" t="str">
        <f>IF($A373="","",IFERROR(VLOOKUP($B373,_CONFIG_Risk_Calibration!$A$5:$H$21,8,FALSE),""))</f>
        <v>Clean template default. Calibrate with real exposure, incident history, evidence quality and domain-owner validation.</v>
      </c>
      <c r="AM373">
        <f>IF($A373="","",IFERROR(INDEX(_DATA_Assessment_Model!$AL$1:$AL$428,MATCH($A373,_DATA_Assessment_Model!$A$1:$A$428,0)),""))</f>
        <v>0</v>
      </c>
      <c r="AN373">
        <f t="shared" si="16"/>
        <v>1</v>
      </c>
      <c r="AO373">
        <f>IF($A373="","",_CONFIG_Model_Settings!$B$172*MAX(N($AK373),(N($AF373)+N($AI373))/2))</f>
        <v>100</v>
      </c>
      <c r="AP373">
        <f t="shared" si="17"/>
        <v>100</v>
      </c>
      <c r="AQ373">
        <f>IF($AP373="","",MAX(0,$AP373*(1-(_CONFIG_Model_Settings!$B$173+_CONFIG_Model_Settings!$B$174*(N($AH373)-1)))))</f>
        <v>65</v>
      </c>
      <c r="AR373">
        <f>IF($AP373="","",MIN(100,$AP373*(1+(_CONFIG_Model_Settings!$B$173+_CONFIG_Model_Settings!$B$174*(N($AH373)-1)))))</f>
        <v>100</v>
      </c>
    </row>
    <row r="374" spans="1:44" ht="72" customHeight="1">
      <c r="A374" s="9" t="s">
        <v>3000</v>
      </c>
      <c r="B374" s="9" t="s">
        <v>2986</v>
      </c>
      <c r="C374" s="9" t="s">
        <v>2988</v>
      </c>
      <c r="D374" s="9" t="s">
        <v>4460</v>
      </c>
      <c r="E374" s="9" t="s">
        <v>3001</v>
      </c>
      <c r="F374" s="9" t="s">
        <v>9813</v>
      </c>
      <c r="G374" s="9" t="s">
        <v>9814</v>
      </c>
      <c r="H374" s="9" t="s">
        <v>9815</v>
      </c>
      <c r="I374" s="9" t="s">
        <v>9816</v>
      </c>
      <c r="J374" s="9" t="s">
        <v>9817</v>
      </c>
      <c r="K374" s="9" t="s">
        <v>9818</v>
      </c>
      <c r="L374" s="9" t="s">
        <v>9819</v>
      </c>
      <c r="M374" s="9" t="s">
        <v>9820</v>
      </c>
      <c r="N374" s="9" t="s">
        <v>9821</v>
      </c>
      <c r="O374" s="9" t="s">
        <v>9822</v>
      </c>
      <c r="P374" s="9" t="s">
        <v>9823</v>
      </c>
      <c r="Q374" s="9" t="s">
        <v>9824</v>
      </c>
      <c r="R374" s="9" t="s">
        <v>4589</v>
      </c>
      <c r="S374" s="9" t="s">
        <v>9825</v>
      </c>
      <c r="T374" s="9">
        <v>4</v>
      </c>
      <c r="U374" s="9">
        <v>3</v>
      </c>
      <c r="V374" s="9">
        <v>3</v>
      </c>
      <c r="W374" s="9">
        <v>2</v>
      </c>
      <c r="X374" s="9">
        <v>1</v>
      </c>
      <c r="Y374" s="9">
        <v>1</v>
      </c>
      <c r="Z374" s="9" t="s">
        <v>2991</v>
      </c>
      <c r="AA374" s="9" t="s">
        <v>3002</v>
      </c>
      <c r="AB374" s="9" t="s">
        <v>2999</v>
      </c>
      <c r="AC374" s="9" t="s">
        <v>9811</v>
      </c>
      <c r="AD374" s="9" t="s">
        <v>9826</v>
      </c>
      <c r="AE374" t="str">
        <f t="shared" si="15"/>
        <v>Fast</v>
      </c>
      <c r="AF374">
        <f>IF($A374="","",IFERROR(VLOOKUP($B374,_CONFIG_Risk_Calibration!$A$5:$H$21,2,FALSE),3))</f>
        <v>3</v>
      </c>
      <c r="AG374">
        <f>IF($A374="","",IFERROR(VLOOKUP($B374,_CONFIG_Risk_Calibration!$A$5:$H$21,3,FALSE),0))</f>
        <v>0</v>
      </c>
      <c r="AH374">
        <f>IF($A374="","",IFERROR(VLOOKUP($B374,_CONFIG_Risk_Calibration!$A$5:$H$21,4,FALSE),3))</f>
        <v>3</v>
      </c>
      <c r="AI374">
        <f>IF($A374="","",IFERROR(VLOOKUP($B374,_CONFIG_Risk_Calibration!$A$5:$H$21,5,FALSE),3))</f>
        <v>4</v>
      </c>
      <c r="AJ374" t="str">
        <f>IF($A374="","",IFERROR(VLOOKUP($B374,_CONFIG_Risk_Calibration!$A$5:$H$21,6,FALSE),"No"))</f>
        <v>Yes</v>
      </c>
      <c r="AK374">
        <f>IF($A374="","",IFERROR(VLOOKUP($B374,_CONFIG_Risk_Calibration!$A$5:$H$21,7,FALSE),1))</f>
        <v>5</v>
      </c>
      <c r="AL374" t="str">
        <f>IF($A374="","",IFERROR(VLOOKUP($B374,_CONFIG_Risk_Calibration!$A$5:$H$21,8,FALSE),""))</f>
        <v>Clean template default. Calibrate with real exposure, incident history, evidence quality and domain-owner validation.</v>
      </c>
      <c r="AM374">
        <f>IF($A374="","",IFERROR(INDEX(_DATA_Assessment_Model!$AL$1:$AL$428,MATCH($A374,_DATA_Assessment_Model!$A$1:$A$428,0)),""))</f>
        <v>0</v>
      </c>
      <c r="AN374">
        <f t="shared" si="16"/>
        <v>1</v>
      </c>
      <c r="AO374">
        <f>IF($A374="","",_CONFIG_Model_Settings!$B$172*MAX(N($AK374),(N($AF374)+N($AI374))/2))</f>
        <v>100</v>
      </c>
      <c r="AP374">
        <f t="shared" si="17"/>
        <v>100</v>
      </c>
      <c r="AQ374">
        <f>IF($AP374="","",MAX(0,$AP374*(1-(_CONFIG_Model_Settings!$B$173+_CONFIG_Model_Settings!$B$174*(N($AH374)-1)))))</f>
        <v>65</v>
      </c>
      <c r="AR374">
        <f>IF($AP374="","",MIN(100,$AP374*(1+(_CONFIG_Model_Settings!$B$173+_CONFIG_Model_Settings!$B$174*(N($AH374)-1)))))</f>
        <v>100</v>
      </c>
    </row>
    <row r="375" spans="1:44" ht="72" customHeight="1">
      <c r="A375" s="9" t="s">
        <v>3004</v>
      </c>
      <c r="B375" s="9" t="s">
        <v>2986</v>
      </c>
      <c r="C375" s="9" t="s">
        <v>2988</v>
      </c>
      <c r="D375" s="9" t="s">
        <v>4460</v>
      </c>
      <c r="E375" s="9" t="s">
        <v>3005</v>
      </c>
      <c r="F375" s="9" t="s">
        <v>9827</v>
      </c>
      <c r="G375" s="9" t="s">
        <v>9828</v>
      </c>
      <c r="H375" s="9" t="s">
        <v>9829</v>
      </c>
      <c r="I375" s="9" t="s">
        <v>9830</v>
      </c>
      <c r="J375" s="9" t="s">
        <v>9831</v>
      </c>
      <c r="K375" s="9" t="s">
        <v>9832</v>
      </c>
      <c r="L375" s="9" t="s">
        <v>9833</v>
      </c>
      <c r="M375" s="9" t="s">
        <v>9834</v>
      </c>
      <c r="N375" s="9" t="s">
        <v>9835</v>
      </c>
      <c r="O375" s="9" t="s">
        <v>9836</v>
      </c>
      <c r="P375" s="9" t="s">
        <v>9837</v>
      </c>
      <c r="Q375" s="9" t="s">
        <v>9838</v>
      </c>
      <c r="R375" s="9" t="s">
        <v>4589</v>
      </c>
      <c r="S375" s="9" t="s">
        <v>9839</v>
      </c>
      <c r="T375" s="9">
        <v>4</v>
      </c>
      <c r="U375" s="9">
        <v>3</v>
      </c>
      <c r="V375" s="9">
        <v>3</v>
      </c>
      <c r="W375" s="9">
        <v>2</v>
      </c>
      <c r="X375" s="9">
        <v>1</v>
      </c>
      <c r="Y375" s="9">
        <v>1</v>
      </c>
      <c r="Z375" s="9" t="s">
        <v>2991</v>
      </c>
      <c r="AA375" s="9" t="s">
        <v>3006</v>
      </c>
      <c r="AB375" s="9" t="s">
        <v>2999</v>
      </c>
      <c r="AC375" s="9" t="s">
        <v>9811</v>
      </c>
      <c r="AD375" s="9" t="s">
        <v>9840</v>
      </c>
      <c r="AE375" t="str">
        <f t="shared" si="15"/>
        <v>Fast</v>
      </c>
      <c r="AF375">
        <f>IF($A375="","",IFERROR(VLOOKUP($B375,_CONFIG_Risk_Calibration!$A$5:$H$21,2,FALSE),3))</f>
        <v>3</v>
      </c>
      <c r="AG375">
        <f>IF($A375="","",IFERROR(VLOOKUP($B375,_CONFIG_Risk_Calibration!$A$5:$H$21,3,FALSE),0))</f>
        <v>0</v>
      </c>
      <c r="AH375">
        <f>IF($A375="","",IFERROR(VLOOKUP($B375,_CONFIG_Risk_Calibration!$A$5:$H$21,4,FALSE),3))</f>
        <v>3</v>
      </c>
      <c r="AI375">
        <f>IF($A375="","",IFERROR(VLOOKUP($B375,_CONFIG_Risk_Calibration!$A$5:$H$21,5,FALSE),3))</f>
        <v>4</v>
      </c>
      <c r="AJ375" t="str">
        <f>IF($A375="","",IFERROR(VLOOKUP($B375,_CONFIG_Risk_Calibration!$A$5:$H$21,6,FALSE),"No"))</f>
        <v>Yes</v>
      </c>
      <c r="AK375">
        <f>IF($A375="","",IFERROR(VLOOKUP($B375,_CONFIG_Risk_Calibration!$A$5:$H$21,7,FALSE),1))</f>
        <v>5</v>
      </c>
      <c r="AL375" t="str">
        <f>IF($A375="","",IFERROR(VLOOKUP($B375,_CONFIG_Risk_Calibration!$A$5:$H$21,8,FALSE),""))</f>
        <v>Clean template default. Calibrate with real exposure, incident history, evidence quality and domain-owner validation.</v>
      </c>
      <c r="AM375">
        <f>IF($A375="","",IFERROR(INDEX(_DATA_Assessment_Model!$AL$1:$AL$428,MATCH($A375,_DATA_Assessment_Model!$A$1:$A$428,0)),""))</f>
        <v>0</v>
      </c>
      <c r="AN375">
        <f t="shared" si="16"/>
        <v>1</v>
      </c>
      <c r="AO375">
        <f>IF($A375="","",_CONFIG_Model_Settings!$B$172*MAX(N($AK375),(N($AF375)+N($AI375))/2))</f>
        <v>100</v>
      </c>
      <c r="AP375">
        <f t="shared" si="17"/>
        <v>100</v>
      </c>
      <c r="AQ375">
        <f>IF($AP375="","",MAX(0,$AP375*(1-(_CONFIG_Model_Settings!$B$173+_CONFIG_Model_Settings!$B$174*(N($AH375)-1)))))</f>
        <v>65</v>
      </c>
      <c r="AR375">
        <f>IF($AP375="","",MIN(100,$AP375*(1+(_CONFIG_Model_Settings!$B$173+_CONFIG_Model_Settings!$B$174*(N($AH375)-1)))))</f>
        <v>100</v>
      </c>
    </row>
    <row r="376" spans="1:44" ht="72" customHeight="1">
      <c r="A376" s="9" t="s">
        <v>3014</v>
      </c>
      <c r="B376" s="9" t="s">
        <v>2986</v>
      </c>
      <c r="C376" s="9" t="s">
        <v>2988</v>
      </c>
      <c r="D376" s="9" t="s">
        <v>4460</v>
      </c>
      <c r="E376" s="9" t="s">
        <v>3015</v>
      </c>
      <c r="F376" s="9" t="s">
        <v>9841</v>
      </c>
      <c r="G376" s="9" t="s">
        <v>9842</v>
      </c>
      <c r="H376" s="9" t="s">
        <v>9843</v>
      </c>
      <c r="I376" s="9" t="s">
        <v>9844</v>
      </c>
      <c r="J376" s="9" t="s">
        <v>9845</v>
      </c>
      <c r="K376" s="9" t="s">
        <v>9846</v>
      </c>
      <c r="L376" s="9" t="s">
        <v>9847</v>
      </c>
      <c r="M376" s="9" t="s">
        <v>9848</v>
      </c>
      <c r="N376" s="9" t="s">
        <v>9849</v>
      </c>
      <c r="O376" s="9" t="s">
        <v>9850</v>
      </c>
      <c r="P376" s="9" t="s">
        <v>9851</v>
      </c>
      <c r="Q376" s="9" t="s">
        <v>9852</v>
      </c>
      <c r="R376" s="9" t="s">
        <v>4589</v>
      </c>
      <c r="S376" s="9" t="s">
        <v>9853</v>
      </c>
      <c r="T376" s="9">
        <v>4</v>
      </c>
      <c r="U376" s="9">
        <v>3</v>
      </c>
      <c r="V376" s="9">
        <v>3</v>
      </c>
      <c r="W376" s="9">
        <v>2</v>
      </c>
      <c r="X376" s="9">
        <v>1</v>
      </c>
      <c r="Y376" s="9">
        <v>1</v>
      </c>
      <c r="Z376" s="9" t="s">
        <v>2991</v>
      </c>
      <c r="AA376" s="9" t="s">
        <v>3016</v>
      </c>
      <c r="AB376" s="9" t="s">
        <v>2999</v>
      </c>
      <c r="AC376" s="9" t="s">
        <v>9811</v>
      </c>
      <c r="AD376" s="9" t="s">
        <v>9854</v>
      </c>
      <c r="AE376" t="str">
        <f t="shared" si="15"/>
        <v>Fast</v>
      </c>
      <c r="AF376">
        <f>IF($A376="","",IFERROR(VLOOKUP($B376,_CONFIG_Risk_Calibration!$A$5:$H$21,2,FALSE),3))</f>
        <v>3</v>
      </c>
      <c r="AG376">
        <f>IF($A376="","",IFERROR(VLOOKUP($B376,_CONFIG_Risk_Calibration!$A$5:$H$21,3,FALSE),0))</f>
        <v>0</v>
      </c>
      <c r="AH376">
        <f>IF($A376="","",IFERROR(VLOOKUP($B376,_CONFIG_Risk_Calibration!$A$5:$H$21,4,FALSE),3))</f>
        <v>3</v>
      </c>
      <c r="AI376">
        <f>IF($A376="","",IFERROR(VLOOKUP($B376,_CONFIG_Risk_Calibration!$A$5:$H$21,5,FALSE),3))</f>
        <v>4</v>
      </c>
      <c r="AJ376" t="str">
        <f>IF($A376="","",IFERROR(VLOOKUP($B376,_CONFIG_Risk_Calibration!$A$5:$H$21,6,FALSE),"No"))</f>
        <v>Yes</v>
      </c>
      <c r="AK376">
        <f>IF($A376="","",IFERROR(VLOOKUP($B376,_CONFIG_Risk_Calibration!$A$5:$H$21,7,FALSE),1))</f>
        <v>5</v>
      </c>
      <c r="AL376" t="str">
        <f>IF($A376="","",IFERROR(VLOOKUP($B376,_CONFIG_Risk_Calibration!$A$5:$H$21,8,FALSE),""))</f>
        <v>Clean template default. Calibrate with real exposure, incident history, evidence quality and domain-owner validation.</v>
      </c>
      <c r="AM376">
        <f>IF($A376="","",IFERROR(INDEX(_DATA_Assessment_Model!$AL$1:$AL$428,MATCH($A376,_DATA_Assessment_Model!$A$1:$A$428,0)),""))</f>
        <v>0</v>
      </c>
      <c r="AN376">
        <f t="shared" si="16"/>
        <v>1</v>
      </c>
      <c r="AO376">
        <f>IF($A376="","",_CONFIG_Model_Settings!$B$172*MAX(N($AK376),(N($AF376)+N($AI376))/2))</f>
        <v>100</v>
      </c>
      <c r="AP376">
        <f t="shared" si="17"/>
        <v>100</v>
      </c>
      <c r="AQ376">
        <f>IF($AP376="","",MAX(0,$AP376*(1-(_CONFIG_Model_Settings!$B$173+_CONFIG_Model_Settings!$B$174*(N($AH376)-1)))))</f>
        <v>65</v>
      </c>
      <c r="AR376">
        <f>IF($AP376="","",MIN(100,$AP376*(1+(_CONFIG_Model_Settings!$B$173+_CONFIG_Model_Settings!$B$174*(N($AH376)-1)))))</f>
        <v>100</v>
      </c>
    </row>
    <row r="377" spans="1:44" ht="72" customHeight="1">
      <c r="A377" s="9" t="s">
        <v>3024</v>
      </c>
      <c r="B377" s="9" t="s">
        <v>2986</v>
      </c>
      <c r="C377" s="9" t="s">
        <v>2988</v>
      </c>
      <c r="D377" s="9" t="s">
        <v>4460</v>
      </c>
      <c r="E377" s="9" t="s">
        <v>3025</v>
      </c>
      <c r="F377" s="9" t="s">
        <v>9855</v>
      </c>
      <c r="G377" s="9" t="s">
        <v>9856</v>
      </c>
      <c r="H377" s="9" t="s">
        <v>9857</v>
      </c>
      <c r="I377" s="9" t="s">
        <v>9858</v>
      </c>
      <c r="J377" s="9" t="s">
        <v>9859</v>
      </c>
      <c r="K377" s="9" t="s">
        <v>9860</v>
      </c>
      <c r="L377" s="9" t="s">
        <v>9861</v>
      </c>
      <c r="M377" s="9" t="s">
        <v>9862</v>
      </c>
      <c r="N377" s="9" t="s">
        <v>9863</v>
      </c>
      <c r="O377" s="9" t="s">
        <v>9864</v>
      </c>
      <c r="P377" s="9" t="s">
        <v>9865</v>
      </c>
      <c r="Q377" s="9" t="s">
        <v>9866</v>
      </c>
      <c r="R377" s="9" t="s">
        <v>4589</v>
      </c>
      <c r="S377" s="9" t="s">
        <v>9867</v>
      </c>
      <c r="T377" s="9">
        <v>4</v>
      </c>
      <c r="U377" s="9">
        <v>3</v>
      </c>
      <c r="V377" s="9">
        <v>3</v>
      </c>
      <c r="W377" s="9">
        <v>2</v>
      </c>
      <c r="X377" s="9">
        <v>1</v>
      </c>
      <c r="Y377" s="9">
        <v>1</v>
      </c>
      <c r="Z377" s="9" t="s">
        <v>2991</v>
      </c>
      <c r="AA377" s="9" t="s">
        <v>3026</v>
      </c>
      <c r="AB377" s="9" t="s">
        <v>2999</v>
      </c>
      <c r="AC377" s="9" t="s">
        <v>9811</v>
      </c>
      <c r="AD377" s="9" t="s">
        <v>9868</v>
      </c>
      <c r="AE377" t="str">
        <f t="shared" si="15"/>
        <v>Fast</v>
      </c>
      <c r="AF377">
        <f>IF($A377="","",IFERROR(VLOOKUP($B377,_CONFIG_Risk_Calibration!$A$5:$H$21,2,FALSE),3))</f>
        <v>3</v>
      </c>
      <c r="AG377">
        <f>IF($A377="","",IFERROR(VLOOKUP($B377,_CONFIG_Risk_Calibration!$A$5:$H$21,3,FALSE),0))</f>
        <v>0</v>
      </c>
      <c r="AH377">
        <f>IF($A377="","",IFERROR(VLOOKUP($B377,_CONFIG_Risk_Calibration!$A$5:$H$21,4,FALSE),3))</f>
        <v>3</v>
      </c>
      <c r="AI377">
        <f>IF($A377="","",IFERROR(VLOOKUP($B377,_CONFIG_Risk_Calibration!$A$5:$H$21,5,FALSE),3))</f>
        <v>4</v>
      </c>
      <c r="AJ377" t="str">
        <f>IF($A377="","",IFERROR(VLOOKUP($B377,_CONFIG_Risk_Calibration!$A$5:$H$21,6,FALSE),"No"))</f>
        <v>Yes</v>
      </c>
      <c r="AK377">
        <f>IF($A377="","",IFERROR(VLOOKUP($B377,_CONFIG_Risk_Calibration!$A$5:$H$21,7,FALSE),1))</f>
        <v>5</v>
      </c>
      <c r="AL377" t="str">
        <f>IF($A377="","",IFERROR(VLOOKUP($B377,_CONFIG_Risk_Calibration!$A$5:$H$21,8,FALSE),""))</f>
        <v>Clean template default. Calibrate with real exposure, incident history, evidence quality and domain-owner validation.</v>
      </c>
      <c r="AM377">
        <f>IF($A377="","",IFERROR(INDEX(_DATA_Assessment_Model!$AL$1:$AL$428,MATCH($A377,_DATA_Assessment_Model!$A$1:$A$428,0)),""))</f>
        <v>0</v>
      </c>
      <c r="AN377">
        <f t="shared" si="16"/>
        <v>1</v>
      </c>
      <c r="AO377">
        <f>IF($A377="","",_CONFIG_Model_Settings!$B$172*MAX(N($AK377),(N($AF377)+N($AI377))/2))</f>
        <v>100</v>
      </c>
      <c r="AP377">
        <f t="shared" si="17"/>
        <v>100</v>
      </c>
      <c r="AQ377">
        <f>IF($AP377="","",MAX(0,$AP377*(1-(_CONFIG_Model_Settings!$B$173+_CONFIG_Model_Settings!$B$174*(N($AH377)-1)))))</f>
        <v>65</v>
      </c>
      <c r="AR377">
        <f>IF($AP377="","",MIN(100,$AP377*(1+(_CONFIG_Model_Settings!$B$173+_CONFIG_Model_Settings!$B$174*(N($AH377)-1)))))</f>
        <v>100</v>
      </c>
    </row>
    <row r="378" spans="1:44" ht="72" customHeight="1">
      <c r="A378" s="9" t="s">
        <v>3028</v>
      </c>
      <c r="B378" s="9" t="s">
        <v>2986</v>
      </c>
      <c r="C378" s="9" t="s">
        <v>2988</v>
      </c>
      <c r="D378" s="9" t="s">
        <v>4460</v>
      </c>
      <c r="E378" s="9" t="s">
        <v>3029</v>
      </c>
      <c r="F378" s="9" t="s">
        <v>9869</v>
      </c>
      <c r="G378" s="9" t="s">
        <v>9870</v>
      </c>
      <c r="H378" s="9" t="s">
        <v>9871</v>
      </c>
      <c r="I378" s="9" t="s">
        <v>9872</v>
      </c>
      <c r="J378" s="9" t="s">
        <v>9873</v>
      </c>
      <c r="K378" s="9" t="s">
        <v>9874</v>
      </c>
      <c r="L378" s="9" t="s">
        <v>9875</v>
      </c>
      <c r="M378" s="9" t="s">
        <v>9876</v>
      </c>
      <c r="N378" s="9" t="s">
        <v>9877</v>
      </c>
      <c r="O378" s="9" t="s">
        <v>9878</v>
      </c>
      <c r="P378" s="9" t="s">
        <v>9879</v>
      </c>
      <c r="Q378" s="9" t="s">
        <v>9880</v>
      </c>
      <c r="R378" s="9" t="s">
        <v>4589</v>
      </c>
      <c r="S378" s="9" t="s">
        <v>9881</v>
      </c>
      <c r="T378" s="9">
        <v>4</v>
      </c>
      <c r="U378" s="9">
        <v>3</v>
      </c>
      <c r="V378" s="9">
        <v>3</v>
      </c>
      <c r="W378" s="9">
        <v>2</v>
      </c>
      <c r="X378" s="9">
        <v>1</v>
      </c>
      <c r="Y378" s="9">
        <v>1</v>
      </c>
      <c r="Z378" s="9" t="s">
        <v>2991</v>
      </c>
      <c r="AA378" s="9" t="s">
        <v>3030</v>
      </c>
      <c r="AB378" s="9" t="s">
        <v>2999</v>
      </c>
      <c r="AC378" s="9" t="s">
        <v>9811</v>
      </c>
      <c r="AD378" s="9" t="s">
        <v>9882</v>
      </c>
      <c r="AE378" t="str">
        <f t="shared" si="15"/>
        <v>Fast</v>
      </c>
      <c r="AF378">
        <f>IF($A378="","",IFERROR(VLOOKUP($B378,_CONFIG_Risk_Calibration!$A$5:$H$21,2,FALSE),3))</f>
        <v>3</v>
      </c>
      <c r="AG378">
        <f>IF($A378="","",IFERROR(VLOOKUP($B378,_CONFIG_Risk_Calibration!$A$5:$H$21,3,FALSE),0))</f>
        <v>0</v>
      </c>
      <c r="AH378">
        <f>IF($A378="","",IFERROR(VLOOKUP($B378,_CONFIG_Risk_Calibration!$A$5:$H$21,4,FALSE),3))</f>
        <v>3</v>
      </c>
      <c r="AI378">
        <f>IF($A378="","",IFERROR(VLOOKUP($B378,_CONFIG_Risk_Calibration!$A$5:$H$21,5,FALSE),3))</f>
        <v>4</v>
      </c>
      <c r="AJ378" t="str">
        <f>IF($A378="","",IFERROR(VLOOKUP($B378,_CONFIG_Risk_Calibration!$A$5:$H$21,6,FALSE),"No"))</f>
        <v>Yes</v>
      </c>
      <c r="AK378">
        <f>IF($A378="","",IFERROR(VLOOKUP($B378,_CONFIG_Risk_Calibration!$A$5:$H$21,7,FALSE),1))</f>
        <v>5</v>
      </c>
      <c r="AL378" t="str">
        <f>IF($A378="","",IFERROR(VLOOKUP($B378,_CONFIG_Risk_Calibration!$A$5:$H$21,8,FALSE),""))</f>
        <v>Clean template default. Calibrate with real exposure, incident history, evidence quality and domain-owner validation.</v>
      </c>
      <c r="AM378">
        <f>IF($A378="","",IFERROR(INDEX(_DATA_Assessment_Model!$AL$1:$AL$428,MATCH($A378,_DATA_Assessment_Model!$A$1:$A$428,0)),""))</f>
        <v>0</v>
      </c>
      <c r="AN378">
        <f t="shared" si="16"/>
        <v>1</v>
      </c>
      <c r="AO378">
        <f>IF($A378="","",_CONFIG_Model_Settings!$B$172*MAX(N($AK378),(N($AF378)+N($AI378))/2))</f>
        <v>100</v>
      </c>
      <c r="AP378">
        <f t="shared" si="17"/>
        <v>100</v>
      </c>
      <c r="AQ378">
        <f>IF($AP378="","",MAX(0,$AP378*(1-(_CONFIG_Model_Settings!$B$173+_CONFIG_Model_Settings!$B$174*(N($AH378)-1)))))</f>
        <v>65</v>
      </c>
      <c r="AR378">
        <f>IF($AP378="","",MIN(100,$AP378*(1+(_CONFIG_Model_Settings!$B$173+_CONFIG_Model_Settings!$B$174*(N($AH378)-1)))))</f>
        <v>100</v>
      </c>
    </row>
    <row r="379" spans="1:44" ht="72" customHeight="1">
      <c r="A379" s="9" t="s">
        <v>3032</v>
      </c>
      <c r="B379" s="9" t="s">
        <v>2986</v>
      </c>
      <c r="C379" s="9" t="s">
        <v>3003</v>
      </c>
      <c r="D379" s="9" t="s">
        <v>4460</v>
      </c>
      <c r="E379" s="9" t="s">
        <v>3033</v>
      </c>
      <c r="F379" s="9" t="s">
        <v>9883</v>
      </c>
      <c r="G379" s="9" t="s">
        <v>9884</v>
      </c>
      <c r="H379" s="9" t="s">
        <v>9885</v>
      </c>
      <c r="I379" s="9" t="s">
        <v>9886</v>
      </c>
      <c r="J379" s="9" t="s">
        <v>9887</v>
      </c>
      <c r="K379" s="9" t="s">
        <v>9888</v>
      </c>
      <c r="L379" s="9" t="s">
        <v>9889</v>
      </c>
      <c r="M379" s="9" t="s">
        <v>9890</v>
      </c>
      <c r="N379" s="9" t="s">
        <v>9891</v>
      </c>
      <c r="O379" s="9" t="s">
        <v>9892</v>
      </c>
      <c r="P379" s="9" t="s">
        <v>9893</v>
      </c>
      <c r="Q379" s="9" t="s">
        <v>9894</v>
      </c>
      <c r="R379" s="9" t="s">
        <v>4589</v>
      </c>
      <c r="S379" s="9" t="s">
        <v>9895</v>
      </c>
      <c r="T379" s="9">
        <v>4</v>
      </c>
      <c r="U379" s="9">
        <v>3</v>
      </c>
      <c r="V379" s="9">
        <v>3</v>
      </c>
      <c r="W379" s="9">
        <v>2</v>
      </c>
      <c r="X379" s="9">
        <v>1</v>
      </c>
      <c r="Y379" s="9">
        <v>1</v>
      </c>
      <c r="Z379" s="9" t="s">
        <v>2991</v>
      </c>
      <c r="AA379" s="9" t="s">
        <v>3034</v>
      </c>
      <c r="AB379" s="9" t="s">
        <v>2999</v>
      </c>
      <c r="AC379" s="9" t="s">
        <v>9811</v>
      </c>
      <c r="AD379" s="9" t="s">
        <v>9896</v>
      </c>
      <c r="AE379" t="str">
        <f t="shared" si="15"/>
        <v>Fast</v>
      </c>
      <c r="AF379">
        <f>IF($A379="","",IFERROR(VLOOKUP($B379,_CONFIG_Risk_Calibration!$A$5:$H$21,2,FALSE),3))</f>
        <v>3</v>
      </c>
      <c r="AG379">
        <f>IF($A379="","",IFERROR(VLOOKUP($B379,_CONFIG_Risk_Calibration!$A$5:$H$21,3,FALSE),0))</f>
        <v>0</v>
      </c>
      <c r="AH379">
        <f>IF($A379="","",IFERROR(VLOOKUP($B379,_CONFIG_Risk_Calibration!$A$5:$H$21,4,FALSE),3))</f>
        <v>3</v>
      </c>
      <c r="AI379">
        <f>IF($A379="","",IFERROR(VLOOKUP($B379,_CONFIG_Risk_Calibration!$A$5:$H$21,5,FALSE),3))</f>
        <v>4</v>
      </c>
      <c r="AJ379" t="str">
        <f>IF($A379="","",IFERROR(VLOOKUP($B379,_CONFIG_Risk_Calibration!$A$5:$H$21,6,FALSE),"No"))</f>
        <v>Yes</v>
      </c>
      <c r="AK379">
        <f>IF($A379="","",IFERROR(VLOOKUP($B379,_CONFIG_Risk_Calibration!$A$5:$H$21,7,FALSE),1))</f>
        <v>5</v>
      </c>
      <c r="AL379" t="str">
        <f>IF($A379="","",IFERROR(VLOOKUP($B379,_CONFIG_Risk_Calibration!$A$5:$H$21,8,FALSE),""))</f>
        <v>Clean template default. Calibrate with real exposure, incident history, evidence quality and domain-owner validation.</v>
      </c>
      <c r="AM379">
        <f>IF($A379="","",IFERROR(INDEX(_DATA_Assessment_Model!$AL$1:$AL$428,MATCH($A379,_DATA_Assessment_Model!$A$1:$A$428,0)),""))</f>
        <v>0</v>
      </c>
      <c r="AN379">
        <f t="shared" si="16"/>
        <v>1</v>
      </c>
      <c r="AO379">
        <f>IF($A379="","",_CONFIG_Model_Settings!$B$172*MAX(N($AK379),(N($AF379)+N($AI379))/2))</f>
        <v>100</v>
      </c>
      <c r="AP379">
        <f t="shared" si="17"/>
        <v>100</v>
      </c>
      <c r="AQ379">
        <f>IF($AP379="","",MAX(0,$AP379*(1-(_CONFIG_Model_Settings!$B$173+_CONFIG_Model_Settings!$B$174*(N($AH379)-1)))))</f>
        <v>65</v>
      </c>
      <c r="AR379">
        <f>IF($AP379="","",MIN(100,$AP379*(1+(_CONFIG_Model_Settings!$B$173+_CONFIG_Model_Settings!$B$174*(N($AH379)-1)))))</f>
        <v>100</v>
      </c>
    </row>
    <row r="380" spans="1:44" ht="72" customHeight="1">
      <c r="A380" s="9" t="s">
        <v>3041</v>
      </c>
      <c r="B380" s="9" t="s">
        <v>2986</v>
      </c>
      <c r="C380" s="9" t="s">
        <v>3003</v>
      </c>
      <c r="D380" s="9" t="s">
        <v>4460</v>
      </c>
      <c r="E380" s="9" t="s">
        <v>3042</v>
      </c>
      <c r="F380" s="9" t="s">
        <v>9897</v>
      </c>
      <c r="G380" s="9" t="s">
        <v>9898</v>
      </c>
      <c r="H380" s="9" t="s">
        <v>9899</v>
      </c>
      <c r="I380" s="9" t="s">
        <v>9900</v>
      </c>
      <c r="J380" s="9" t="s">
        <v>9901</v>
      </c>
      <c r="K380" s="9" t="s">
        <v>9902</v>
      </c>
      <c r="L380" s="9" t="s">
        <v>9903</v>
      </c>
      <c r="M380" s="9" t="s">
        <v>9904</v>
      </c>
      <c r="N380" s="9" t="s">
        <v>9905</v>
      </c>
      <c r="O380" s="9" t="s">
        <v>9906</v>
      </c>
      <c r="P380" s="9" t="s">
        <v>9907</v>
      </c>
      <c r="Q380" s="9" t="s">
        <v>9908</v>
      </c>
      <c r="R380" s="9" t="s">
        <v>4589</v>
      </c>
      <c r="S380" s="9" t="s">
        <v>9909</v>
      </c>
      <c r="T380" s="9">
        <v>4</v>
      </c>
      <c r="U380" s="9">
        <v>3</v>
      </c>
      <c r="V380" s="9">
        <v>3</v>
      </c>
      <c r="W380" s="9">
        <v>2</v>
      </c>
      <c r="X380" s="9">
        <v>1</v>
      </c>
      <c r="Y380" s="9">
        <v>1</v>
      </c>
      <c r="Z380" s="9" t="s">
        <v>2991</v>
      </c>
      <c r="AA380" s="9" t="s">
        <v>3043</v>
      </c>
      <c r="AB380" s="9" t="s">
        <v>2999</v>
      </c>
      <c r="AC380" s="9" t="s">
        <v>9811</v>
      </c>
      <c r="AD380" s="9" t="s">
        <v>9910</v>
      </c>
      <c r="AE380" t="str">
        <f t="shared" si="15"/>
        <v>Fast</v>
      </c>
      <c r="AF380">
        <f>IF($A380="","",IFERROR(VLOOKUP($B380,_CONFIG_Risk_Calibration!$A$5:$H$21,2,FALSE),3))</f>
        <v>3</v>
      </c>
      <c r="AG380">
        <f>IF($A380="","",IFERROR(VLOOKUP($B380,_CONFIG_Risk_Calibration!$A$5:$H$21,3,FALSE),0))</f>
        <v>0</v>
      </c>
      <c r="AH380">
        <f>IF($A380="","",IFERROR(VLOOKUP($B380,_CONFIG_Risk_Calibration!$A$5:$H$21,4,FALSE),3))</f>
        <v>3</v>
      </c>
      <c r="AI380">
        <f>IF($A380="","",IFERROR(VLOOKUP($B380,_CONFIG_Risk_Calibration!$A$5:$H$21,5,FALSE),3))</f>
        <v>4</v>
      </c>
      <c r="AJ380" t="str">
        <f>IF($A380="","",IFERROR(VLOOKUP($B380,_CONFIG_Risk_Calibration!$A$5:$H$21,6,FALSE),"No"))</f>
        <v>Yes</v>
      </c>
      <c r="AK380">
        <f>IF($A380="","",IFERROR(VLOOKUP($B380,_CONFIG_Risk_Calibration!$A$5:$H$21,7,FALSE),1))</f>
        <v>5</v>
      </c>
      <c r="AL380" t="str">
        <f>IF($A380="","",IFERROR(VLOOKUP($B380,_CONFIG_Risk_Calibration!$A$5:$H$21,8,FALSE),""))</f>
        <v>Clean template default. Calibrate with real exposure, incident history, evidence quality and domain-owner validation.</v>
      </c>
      <c r="AM380">
        <f>IF($A380="","",IFERROR(INDEX(_DATA_Assessment_Model!$AL$1:$AL$428,MATCH($A380,_DATA_Assessment_Model!$A$1:$A$428,0)),""))</f>
        <v>0</v>
      </c>
      <c r="AN380">
        <f t="shared" si="16"/>
        <v>1</v>
      </c>
      <c r="AO380">
        <f>IF($A380="","",_CONFIG_Model_Settings!$B$172*MAX(N($AK380),(N($AF380)+N($AI380))/2))</f>
        <v>100</v>
      </c>
      <c r="AP380">
        <f t="shared" si="17"/>
        <v>100</v>
      </c>
      <c r="AQ380">
        <f>IF($AP380="","",MAX(0,$AP380*(1-(_CONFIG_Model_Settings!$B$173+_CONFIG_Model_Settings!$B$174*(N($AH380)-1)))))</f>
        <v>65</v>
      </c>
      <c r="AR380">
        <f>IF($AP380="","",MIN(100,$AP380*(1+(_CONFIG_Model_Settings!$B$173+_CONFIG_Model_Settings!$B$174*(N($AH380)-1)))))</f>
        <v>100</v>
      </c>
    </row>
    <row r="381" spans="1:44" ht="72" customHeight="1">
      <c r="A381" s="9" t="s">
        <v>3050</v>
      </c>
      <c r="B381" s="9" t="s">
        <v>2986</v>
      </c>
      <c r="C381" s="9" t="s">
        <v>3003</v>
      </c>
      <c r="D381" s="9" t="s">
        <v>4460</v>
      </c>
      <c r="E381" s="9" t="s">
        <v>3051</v>
      </c>
      <c r="F381" s="9" t="s">
        <v>9911</v>
      </c>
      <c r="G381" s="9" t="s">
        <v>9912</v>
      </c>
      <c r="H381" s="9" t="s">
        <v>9913</v>
      </c>
      <c r="I381" s="9" t="s">
        <v>9914</v>
      </c>
      <c r="J381" s="9" t="s">
        <v>9915</v>
      </c>
      <c r="K381" s="9" t="s">
        <v>9916</v>
      </c>
      <c r="L381" s="9" t="s">
        <v>9917</v>
      </c>
      <c r="M381" s="9" t="s">
        <v>9918</v>
      </c>
      <c r="N381" s="9" t="s">
        <v>9919</v>
      </c>
      <c r="O381" s="9" t="s">
        <v>9920</v>
      </c>
      <c r="P381" s="9" t="s">
        <v>9921</v>
      </c>
      <c r="Q381" s="9" t="s">
        <v>9922</v>
      </c>
      <c r="R381" s="9" t="s">
        <v>4589</v>
      </c>
      <c r="S381" s="9" t="s">
        <v>9923</v>
      </c>
      <c r="T381" s="9">
        <v>4</v>
      </c>
      <c r="U381" s="9">
        <v>3</v>
      </c>
      <c r="V381" s="9">
        <v>3</v>
      </c>
      <c r="W381" s="9">
        <v>2</v>
      </c>
      <c r="X381" s="9">
        <v>1</v>
      </c>
      <c r="Y381" s="9">
        <v>1</v>
      </c>
      <c r="Z381" s="9" t="s">
        <v>2991</v>
      </c>
      <c r="AA381" s="9" t="s">
        <v>3052</v>
      </c>
      <c r="AB381" s="9" t="s">
        <v>2999</v>
      </c>
      <c r="AC381" s="9" t="s">
        <v>9811</v>
      </c>
      <c r="AD381" s="9" t="s">
        <v>9924</v>
      </c>
      <c r="AE381" t="str">
        <f t="shared" si="15"/>
        <v>Fast</v>
      </c>
      <c r="AF381">
        <f>IF($A381="","",IFERROR(VLOOKUP($B381,_CONFIG_Risk_Calibration!$A$5:$H$21,2,FALSE),3))</f>
        <v>3</v>
      </c>
      <c r="AG381">
        <f>IF($A381="","",IFERROR(VLOOKUP($B381,_CONFIG_Risk_Calibration!$A$5:$H$21,3,FALSE),0))</f>
        <v>0</v>
      </c>
      <c r="AH381">
        <f>IF($A381="","",IFERROR(VLOOKUP($B381,_CONFIG_Risk_Calibration!$A$5:$H$21,4,FALSE),3))</f>
        <v>3</v>
      </c>
      <c r="AI381">
        <f>IF($A381="","",IFERROR(VLOOKUP($B381,_CONFIG_Risk_Calibration!$A$5:$H$21,5,FALSE),3))</f>
        <v>4</v>
      </c>
      <c r="AJ381" t="str">
        <f>IF($A381="","",IFERROR(VLOOKUP($B381,_CONFIG_Risk_Calibration!$A$5:$H$21,6,FALSE),"No"))</f>
        <v>Yes</v>
      </c>
      <c r="AK381">
        <f>IF($A381="","",IFERROR(VLOOKUP($B381,_CONFIG_Risk_Calibration!$A$5:$H$21,7,FALSE),1))</f>
        <v>5</v>
      </c>
      <c r="AL381" t="str">
        <f>IF($A381="","",IFERROR(VLOOKUP($B381,_CONFIG_Risk_Calibration!$A$5:$H$21,8,FALSE),""))</f>
        <v>Clean template default. Calibrate with real exposure, incident history, evidence quality and domain-owner validation.</v>
      </c>
      <c r="AM381">
        <f>IF($A381="","",IFERROR(INDEX(_DATA_Assessment_Model!$AL$1:$AL$428,MATCH($A381,_DATA_Assessment_Model!$A$1:$A$428,0)),""))</f>
        <v>0</v>
      </c>
      <c r="AN381">
        <f t="shared" si="16"/>
        <v>1</v>
      </c>
      <c r="AO381">
        <f>IF($A381="","",_CONFIG_Model_Settings!$B$172*MAX(N($AK381),(N($AF381)+N($AI381))/2))</f>
        <v>100</v>
      </c>
      <c r="AP381">
        <f t="shared" si="17"/>
        <v>100</v>
      </c>
      <c r="AQ381">
        <f>IF($AP381="","",MAX(0,$AP381*(1-(_CONFIG_Model_Settings!$B$173+_CONFIG_Model_Settings!$B$174*(N($AH381)-1)))))</f>
        <v>65</v>
      </c>
      <c r="AR381">
        <f>IF($AP381="","",MIN(100,$AP381*(1+(_CONFIG_Model_Settings!$B$173+_CONFIG_Model_Settings!$B$174*(N($AH381)-1)))))</f>
        <v>100</v>
      </c>
    </row>
    <row r="382" spans="1:44" ht="60" customHeight="1">
      <c r="A382" s="9" t="s">
        <v>3059</v>
      </c>
      <c r="B382" s="9" t="s">
        <v>2986</v>
      </c>
      <c r="C382" s="9" t="s">
        <v>3003</v>
      </c>
      <c r="D382" s="9" t="s">
        <v>4460</v>
      </c>
      <c r="E382" s="9" t="s">
        <v>3060</v>
      </c>
      <c r="F382" s="9" t="s">
        <v>9925</v>
      </c>
      <c r="G382" s="9" t="s">
        <v>9926</v>
      </c>
      <c r="H382" s="9" t="s">
        <v>9927</v>
      </c>
      <c r="I382" s="9" t="s">
        <v>9928</v>
      </c>
      <c r="J382" s="9" t="s">
        <v>9929</v>
      </c>
      <c r="K382" s="9" t="s">
        <v>9930</v>
      </c>
      <c r="L382" s="9" t="s">
        <v>9931</v>
      </c>
      <c r="M382" s="9" t="s">
        <v>9932</v>
      </c>
      <c r="N382" s="9" t="s">
        <v>9933</v>
      </c>
      <c r="O382" s="9" t="s">
        <v>9934</v>
      </c>
      <c r="P382" s="9" t="s">
        <v>9935</v>
      </c>
      <c r="Q382" s="9" t="s">
        <v>9936</v>
      </c>
      <c r="R382" s="9" t="s">
        <v>4589</v>
      </c>
      <c r="S382" s="9" t="s">
        <v>9937</v>
      </c>
      <c r="T382" s="9">
        <v>4</v>
      </c>
      <c r="U382" s="9">
        <v>3</v>
      </c>
      <c r="V382" s="9">
        <v>3</v>
      </c>
      <c r="W382" s="9">
        <v>2</v>
      </c>
      <c r="X382" s="9">
        <v>1</v>
      </c>
      <c r="Y382" s="9">
        <v>1</v>
      </c>
      <c r="Z382" s="9" t="s">
        <v>2991</v>
      </c>
      <c r="AA382" s="9" t="s">
        <v>3061</v>
      </c>
      <c r="AB382" s="9" t="s">
        <v>2999</v>
      </c>
      <c r="AC382" s="9" t="s">
        <v>9811</v>
      </c>
      <c r="AD382" s="9" t="s">
        <v>9938</v>
      </c>
      <c r="AE382" t="str">
        <f t="shared" si="15"/>
        <v>Fast</v>
      </c>
      <c r="AF382">
        <f>IF($A382="","",IFERROR(VLOOKUP($B382,_CONFIG_Risk_Calibration!$A$5:$H$21,2,FALSE),3))</f>
        <v>3</v>
      </c>
      <c r="AG382">
        <f>IF($A382="","",IFERROR(VLOOKUP($B382,_CONFIG_Risk_Calibration!$A$5:$H$21,3,FALSE),0))</f>
        <v>0</v>
      </c>
      <c r="AH382">
        <f>IF($A382="","",IFERROR(VLOOKUP($B382,_CONFIG_Risk_Calibration!$A$5:$H$21,4,FALSE),3))</f>
        <v>3</v>
      </c>
      <c r="AI382">
        <f>IF($A382="","",IFERROR(VLOOKUP($B382,_CONFIG_Risk_Calibration!$A$5:$H$21,5,FALSE),3))</f>
        <v>4</v>
      </c>
      <c r="AJ382" t="str">
        <f>IF($A382="","",IFERROR(VLOOKUP($B382,_CONFIG_Risk_Calibration!$A$5:$H$21,6,FALSE),"No"))</f>
        <v>Yes</v>
      </c>
      <c r="AK382">
        <f>IF($A382="","",IFERROR(VLOOKUP($B382,_CONFIG_Risk_Calibration!$A$5:$H$21,7,FALSE),1))</f>
        <v>5</v>
      </c>
      <c r="AL382" t="str">
        <f>IF($A382="","",IFERROR(VLOOKUP($B382,_CONFIG_Risk_Calibration!$A$5:$H$21,8,FALSE),""))</f>
        <v>Clean template default. Calibrate with real exposure, incident history, evidence quality and domain-owner validation.</v>
      </c>
      <c r="AM382">
        <f>IF($A382="","",IFERROR(INDEX(_DATA_Assessment_Model!$AL$1:$AL$428,MATCH($A382,_DATA_Assessment_Model!$A$1:$A$428,0)),""))</f>
        <v>0</v>
      </c>
      <c r="AN382">
        <f t="shared" si="16"/>
        <v>1</v>
      </c>
      <c r="AO382">
        <f>IF($A382="","",_CONFIG_Model_Settings!$B$172*MAX(N($AK382),(N($AF382)+N($AI382))/2))</f>
        <v>100</v>
      </c>
      <c r="AP382">
        <f t="shared" si="17"/>
        <v>100</v>
      </c>
      <c r="AQ382">
        <f>IF($AP382="","",MAX(0,$AP382*(1-(_CONFIG_Model_Settings!$B$173+_CONFIG_Model_Settings!$B$174*(N($AH382)-1)))))</f>
        <v>65</v>
      </c>
      <c r="AR382">
        <f>IF($AP382="","",MIN(100,$AP382*(1+(_CONFIG_Model_Settings!$B$173+_CONFIG_Model_Settings!$B$174*(N($AH382)-1)))))</f>
        <v>100</v>
      </c>
    </row>
    <row r="383" spans="1:44" ht="72" customHeight="1">
      <c r="A383" s="9" t="s">
        <v>3062</v>
      </c>
      <c r="B383" s="9" t="s">
        <v>2986</v>
      </c>
      <c r="C383" s="9" t="s">
        <v>3003</v>
      </c>
      <c r="D383" s="9" t="s">
        <v>4460</v>
      </c>
      <c r="E383" s="9" t="s">
        <v>3063</v>
      </c>
      <c r="F383" s="9" t="s">
        <v>9939</v>
      </c>
      <c r="G383" s="9" t="s">
        <v>9940</v>
      </c>
      <c r="H383" s="9" t="s">
        <v>9941</v>
      </c>
      <c r="I383" s="9" t="s">
        <v>9942</v>
      </c>
      <c r="J383" s="9" t="s">
        <v>9943</v>
      </c>
      <c r="K383" s="9" t="s">
        <v>9944</v>
      </c>
      <c r="L383" s="9" t="s">
        <v>9945</v>
      </c>
      <c r="M383" s="9" t="s">
        <v>9946</v>
      </c>
      <c r="N383" s="9" t="s">
        <v>9947</v>
      </c>
      <c r="O383" s="9" t="s">
        <v>9948</v>
      </c>
      <c r="P383" s="9" t="s">
        <v>9949</v>
      </c>
      <c r="Q383" s="9" t="s">
        <v>9950</v>
      </c>
      <c r="R383" s="9" t="s">
        <v>4589</v>
      </c>
      <c r="S383" s="9" t="s">
        <v>9951</v>
      </c>
      <c r="T383" s="9">
        <v>4</v>
      </c>
      <c r="U383" s="9">
        <v>3</v>
      </c>
      <c r="V383" s="9">
        <v>3</v>
      </c>
      <c r="W383" s="9">
        <v>2</v>
      </c>
      <c r="X383" s="9">
        <v>1</v>
      </c>
      <c r="Y383" s="9">
        <v>1</v>
      </c>
      <c r="Z383" s="9" t="s">
        <v>2991</v>
      </c>
      <c r="AA383" s="9" t="s">
        <v>3064</v>
      </c>
      <c r="AB383" s="9" t="s">
        <v>2999</v>
      </c>
      <c r="AC383" s="9" t="s">
        <v>9811</v>
      </c>
      <c r="AD383" s="9" t="s">
        <v>9952</v>
      </c>
      <c r="AE383" t="str">
        <f t="shared" si="15"/>
        <v>Fast</v>
      </c>
      <c r="AF383">
        <f>IF($A383="","",IFERROR(VLOOKUP($B383,_CONFIG_Risk_Calibration!$A$5:$H$21,2,FALSE),3))</f>
        <v>3</v>
      </c>
      <c r="AG383">
        <f>IF($A383="","",IFERROR(VLOOKUP($B383,_CONFIG_Risk_Calibration!$A$5:$H$21,3,FALSE),0))</f>
        <v>0</v>
      </c>
      <c r="AH383">
        <f>IF($A383="","",IFERROR(VLOOKUP($B383,_CONFIG_Risk_Calibration!$A$5:$H$21,4,FALSE),3))</f>
        <v>3</v>
      </c>
      <c r="AI383">
        <f>IF($A383="","",IFERROR(VLOOKUP($B383,_CONFIG_Risk_Calibration!$A$5:$H$21,5,FALSE),3))</f>
        <v>4</v>
      </c>
      <c r="AJ383" t="str">
        <f>IF($A383="","",IFERROR(VLOOKUP($B383,_CONFIG_Risk_Calibration!$A$5:$H$21,6,FALSE),"No"))</f>
        <v>Yes</v>
      </c>
      <c r="AK383">
        <f>IF($A383="","",IFERROR(VLOOKUP($B383,_CONFIG_Risk_Calibration!$A$5:$H$21,7,FALSE),1))</f>
        <v>5</v>
      </c>
      <c r="AL383" t="str">
        <f>IF($A383="","",IFERROR(VLOOKUP($B383,_CONFIG_Risk_Calibration!$A$5:$H$21,8,FALSE),""))</f>
        <v>Clean template default. Calibrate with real exposure, incident history, evidence quality and domain-owner validation.</v>
      </c>
      <c r="AM383">
        <f>IF($A383="","",IFERROR(INDEX(_DATA_Assessment_Model!$AL$1:$AL$428,MATCH($A383,_DATA_Assessment_Model!$A$1:$A$428,0)),""))</f>
        <v>0</v>
      </c>
      <c r="AN383">
        <f t="shared" si="16"/>
        <v>1</v>
      </c>
      <c r="AO383">
        <f>IF($A383="","",_CONFIG_Model_Settings!$B$172*MAX(N($AK383),(N($AF383)+N($AI383))/2))</f>
        <v>100</v>
      </c>
      <c r="AP383">
        <f t="shared" si="17"/>
        <v>100</v>
      </c>
      <c r="AQ383">
        <f>IF($AP383="","",MAX(0,$AP383*(1-(_CONFIG_Model_Settings!$B$173+_CONFIG_Model_Settings!$B$174*(N($AH383)-1)))))</f>
        <v>65</v>
      </c>
      <c r="AR383">
        <f>IF($AP383="","",MIN(100,$AP383*(1+(_CONFIG_Model_Settings!$B$173+_CONFIG_Model_Settings!$B$174*(N($AH383)-1)))))</f>
        <v>100</v>
      </c>
    </row>
    <row r="384" spans="1:44" ht="72" customHeight="1">
      <c r="A384" s="9" t="s">
        <v>3071</v>
      </c>
      <c r="B384" s="9" t="s">
        <v>2986</v>
      </c>
      <c r="C384" s="9" t="s">
        <v>3003</v>
      </c>
      <c r="D384" s="9" t="s">
        <v>4460</v>
      </c>
      <c r="E384" s="9" t="s">
        <v>3072</v>
      </c>
      <c r="F384" s="9" t="s">
        <v>9953</v>
      </c>
      <c r="G384" s="9" t="s">
        <v>9954</v>
      </c>
      <c r="H384" s="9" t="s">
        <v>9955</v>
      </c>
      <c r="I384" s="9" t="s">
        <v>9956</v>
      </c>
      <c r="J384" s="9" t="s">
        <v>9957</v>
      </c>
      <c r="K384" s="9" t="s">
        <v>9958</v>
      </c>
      <c r="L384" s="9" t="s">
        <v>9959</v>
      </c>
      <c r="M384" s="9" t="s">
        <v>9960</v>
      </c>
      <c r="N384" s="9" t="s">
        <v>9961</v>
      </c>
      <c r="O384" s="9" t="s">
        <v>9962</v>
      </c>
      <c r="P384" s="9" t="s">
        <v>9963</v>
      </c>
      <c r="Q384" s="9" t="s">
        <v>9964</v>
      </c>
      <c r="R384" s="9" t="s">
        <v>4589</v>
      </c>
      <c r="S384" s="9" t="s">
        <v>9965</v>
      </c>
      <c r="T384" s="9">
        <v>4</v>
      </c>
      <c r="U384" s="9">
        <v>3</v>
      </c>
      <c r="V384" s="9">
        <v>3</v>
      </c>
      <c r="W384" s="9">
        <v>2</v>
      </c>
      <c r="X384" s="9">
        <v>1</v>
      </c>
      <c r="Y384" s="9">
        <v>1</v>
      </c>
      <c r="Z384" s="9" t="s">
        <v>2991</v>
      </c>
      <c r="AA384" s="9" t="s">
        <v>3073</v>
      </c>
      <c r="AB384" s="9" t="s">
        <v>2999</v>
      </c>
      <c r="AC384" s="9" t="s">
        <v>9811</v>
      </c>
      <c r="AD384" s="9" t="s">
        <v>9966</v>
      </c>
      <c r="AE384" t="str">
        <f t="shared" si="15"/>
        <v>Fast</v>
      </c>
      <c r="AF384">
        <f>IF($A384="","",IFERROR(VLOOKUP($B384,_CONFIG_Risk_Calibration!$A$5:$H$21,2,FALSE),3))</f>
        <v>3</v>
      </c>
      <c r="AG384">
        <f>IF($A384="","",IFERROR(VLOOKUP($B384,_CONFIG_Risk_Calibration!$A$5:$H$21,3,FALSE),0))</f>
        <v>0</v>
      </c>
      <c r="AH384">
        <f>IF($A384="","",IFERROR(VLOOKUP($B384,_CONFIG_Risk_Calibration!$A$5:$H$21,4,FALSE),3))</f>
        <v>3</v>
      </c>
      <c r="AI384">
        <f>IF($A384="","",IFERROR(VLOOKUP($B384,_CONFIG_Risk_Calibration!$A$5:$H$21,5,FALSE),3))</f>
        <v>4</v>
      </c>
      <c r="AJ384" t="str">
        <f>IF($A384="","",IFERROR(VLOOKUP($B384,_CONFIG_Risk_Calibration!$A$5:$H$21,6,FALSE),"No"))</f>
        <v>Yes</v>
      </c>
      <c r="AK384">
        <f>IF($A384="","",IFERROR(VLOOKUP($B384,_CONFIG_Risk_Calibration!$A$5:$H$21,7,FALSE),1))</f>
        <v>5</v>
      </c>
      <c r="AL384" t="str">
        <f>IF($A384="","",IFERROR(VLOOKUP($B384,_CONFIG_Risk_Calibration!$A$5:$H$21,8,FALSE),""))</f>
        <v>Clean template default. Calibrate with real exposure, incident history, evidence quality and domain-owner validation.</v>
      </c>
      <c r="AM384">
        <f>IF($A384="","",IFERROR(INDEX(_DATA_Assessment_Model!$AL$1:$AL$428,MATCH($A384,_DATA_Assessment_Model!$A$1:$A$428,0)),""))</f>
        <v>0</v>
      </c>
      <c r="AN384">
        <f t="shared" si="16"/>
        <v>1</v>
      </c>
      <c r="AO384">
        <f>IF($A384="","",_CONFIG_Model_Settings!$B$172*MAX(N($AK384),(N($AF384)+N($AI384))/2))</f>
        <v>100</v>
      </c>
      <c r="AP384">
        <f t="shared" si="17"/>
        <v>100</v>
      </c>
      <c r="AQ384">
        <f>IF($AP384="","",MAX(0,$AP384*(1-(_CONFIG_Model_Settings!$B$173+_CONFIG_Model_Settings!$B$174*(N($AH384)-1)))))</f>
        <v>65</v>
      </c>
      <c r="AR384">
        <f>IF($AP384="","",MIN(100,$AP384*(1+(_CONFIG_Model_Settings!$B$173+_CONFIG_Model_Settings!$B$174*(N($AH384)-1)))))</f>
        <v>100</v>
      </c>
    </row>
    <row r="385" spans="1:44" ht="72" customHeight="1">
      <c r="A385" s="9" t="s">
        <v>3074</v>
      </c>
      <c r="B385" s="9" t="s">
        <v>2986</v>
      </c>
      <c r="C385" s="9" t="s">
        <v>3013</v>
      </c>
      <c r="D385" s="9" t="s">
        <v>4460</v>
      </c>
      <c r="E385" s="9" t="s">
        <v>3075</v>
      </c>
      <c r="F385" s="9" t="s">
        <v>9967</v>
      </c>
      <c r="G385" s="9" t="s">
        <v>9968</v>
      </c>
      <c r="H385" s="9" t="s">
        <v>9969</v>
      </c>
      <c r="I385" s="9" t="s">
        <v>9970</v>
      </c>
      <c r="J385" s="9" t="s">
        <v>9971</v>
      </c>
      <c r="K385" s="9" t="s">
        <v>9972</v>
      </c>
      <c r="L385" s="9" t="s">
        <v>9973</v>
      </c>
      <c r="M385" s="9" t="s">
        <v>9974</v>
      </c>
      <c r="N385" s="9" t="s">
        <v>9975</v>
      </c>
      <c r="O385" s="9" t="s">
        <v>9976</v>
      </c>
      <c r="P385" s="9" t="s">
        <v>9977</v>
      </c>
      <c r="Q385" s="9" t="s">
        <v>9978</v>
      </c>
      <c r="R385" s="9" t="s">
        <v>4589</v>
      </c>
      <c r="S385" s="9" t="s">
        <v>9979</v>
      </c>
      <c r="T385" s="9">
        <v>4</v>
      </c>
      <c r="U385" s="9">
        <v>3</v>
      </c>
      <c r="V385" s="9">
        <v>3</v>
      </c>
      <c r="W385" s="9">
        <v>2</v>
      </c>
      <c r="X385" s="9">
        <v>1</v>
      </c>
      <c r="Y385" s="9">
        <v>1</v>
      </c>
      <c r="Z385" s="9" t="s">
        <v>2991</v>
      </c>
      <c r="AA385" s="9" t="s">
        <v>3076</v>
      </c>
      <c r="AB385" s="9" t="s">
        <v>2999</v>
      </c>
      <c r="AC385" s="9" t="s">
        <v>9811</v>
      </c>
      <c r="AD385" s="9" t="s">
        <v>9980</v>
      </c>
      <c r="AE385" t="str">
        <f t="shared" si="15"/>
        <v>Fast</v>
      </c>
      <c r="AF385">
        <f>IF($A385="","",IFERROR(VLOOKUP($B385,_CONFIG_Risk_Calibration!$A$5:$H$21,2,FALSE),3))</f>
        <v>3</v>
      </c>
      <c r="AG385">
        <f>IF($A385="","",IFERROR(VLOOKUP($B385,_CONFIG_Risk_Calibration!$A$5:$H$21,3,FALSE),0))</f>
        <v>0</v>
      </c>
      <c r="AH385">
        <f>IF($A385="","",IFERROR(VLOOKUP($B385,_CONFIG_Risk_Calibration!$A$5:$H$21,4,FALSE),3))</f>
        <v>3</v>
      </c>
      <c r="AI385">
        <f>IF($A385="","",IFERROR(VLOOKUP($B385,_CONFIG_Risk_Calibration!$A$5:$H$21,5,FALSE),3))</f>
        <v>4</v>
      </c>
      <c r="AJ385" t="str">
        <f>IF($A385="","",IFERROR(VLOOKUP($B385,_CONFIG_Risk_Calibration!$A$5:$H$21,6,FALSE),"No"))</f>
        <v>Yes</v>
      </c>
      <c r="AK385">
        <f>IF($A385="","",IFERROR(VLOOKUP($B385,_CONFIG_Risk_Calibration!$A$5:$H$21,7,FALSE),1))</f>
        <v>5</v>
      </c>
      <c r="AL385" t="str">
        <f>IF($A385="","",IFERROR(VLOOKUP($B385,_CONFIG_Risk_Calibration!$A$5:$H$21,8,FALSE),""))</f>
        <v>Clean template default. Calibrate with real exposure, incident history, evidence quality and domain-owner validation.</v>
      </c>
      <c r="AM385">
        <f>IF($A385="","",IFERROR(INDEX(_DATA_Assessment_Model!$AL$1:$AL$428,MATCH($A385,_DATA_Assessment_Model!$A$1:$A$428,0)),""))</f>
        <v>0</v>
      </c>
      <c r="AN385">
        <f t="shared" si="16"/>
        <v>1</v>
      </c>
      <c r="AO385">
        <f>IF($A385="","",_CONFIG_Model_Settings!$B$172*MAX(N($AK385),(N($AF385)+N($AI385))/2))</f>
        <v>100</v>
      </c>
      <c r="AP385">
        <f t="shared" si="17"/>
        <v>100</v>
      </c>
      <c r="AQ385">
        <f>IF($AP385="","",MAX(0,$AP385*(1-(_CONFIG_Model_Settings!$B$173+_CONFIG_Model_Settings!$B$174*(N($AH385)-1)))))</f>
        <v>65</v>
      </c>
      <c r="AR385">
        <f>IF($AP385="","",MIN(100,$AP385*(1+(_CONFIG_Model_Settings!$B$173+_CONFIG_Model_Settings!$B$174*(N($AH385)-1)))))</f>
        <v>100</v>
      </c>
    </row>
    <row r="386" spans="1:44" ht="72" customHeight="1">
      <c r="A386" s="9" t="s">
        <v>3077</v>
      </c>
      <c r="B386" s="9" t="s">
        <v>2986</v>
      </c>
      <c r="C386" s="9" t="s">
        <v>3013</v>
      </c>
      <c r="D386" s="9" t="s">
        <v>4460</v>
      </c>
      <c r="E386" s="9" t="s">
        <v>3078</v>
      </c>
      <c r="F386" s="9" t="s">
        <v>9981</v>
      </c>
      <c r="G386" s="9" t="s">
        <v>9982</v>
      </c>
      <c r="H386" s="9" t="s">
        <v>9983</v>
      </c>
      <c r="I386" s="9" t="s">
        <v>9984</v>
      </c>
      <c r="J386" s="9" t="s">
        <v>9985</v>
      </c>
      <c r="K386" s="9" t="s">
        <v>9986</v>
      </c>
      <c r="L386" s="9" t="s">
        <v>9987</v>
      </c>
      <c r="M386" s="9" t="s">
        <v>9988</v>
      </c>
      <c r="N386" s="9" t="s">
        <v>9989</v>
      </c>
      <c r="O386" s="9" t="s">
        <v>9990</v>
      </c>
      <c r="P386" s="9" t="s">
        <v>9991</v>
      </c>
      <c r="Q386" s="9" t="s">
        <v>9992</v>
      </c>
      <c r="R386" s="9" t="s">
        <v>4589</v>
      </c>
      <c r="S386" s="9" t="s">
        <v>9993</v>
      </c>
      <c r="T386" s="9">
        <v>4</v>
      </c>
      <c r="U386" s="9">
        <v>3</v>
      </c>
      <c r="V386" s="9">
        <v>3</v>
      </c>
      <c r="W386" s="9">
        <v>2</v>
      </c>
      <c r="X386" s="9">
        <v>1</v>
      </c>
      <c r="Y386" s="9">
        <v>1</v>
      </c>
      <c r="Z386" s="9" t="s">
        <v>2991</v>
      </c>
      <c r="AA386" s="9" t="s">
        <v>3079</v>
      </c>
      <c r="AB386" s="9" t="s">
        <v>2999</v>
      </c>
      <c r="AC386" s="9" t="s">
        <v>9811</v>
      </c>
      <c r="AD386" s="9" t="s">
        <v>9994</v>
      </c>
      <c r="AE386" t="str">
        <f t="shared" si="15"/>
        <v>Fast</v>
      </c>
      <c r="AF386">
        <f>IF($A386="","",IFERROR(VLOOKUP($B386,_CONFIG_Risk_Calibration!$A$5:$H$21,2,FALSE),3))</f>
        <v>3</v>
      </c>
      <c r="AG386">
        <f>IF($A386="","",IFERROR(VLOOKUP($B386,_CONFIG_Risk_Calibration!$A$5:$H$21,3,FALSE),0))</f>
        <v>0</v>
      </c>
      <c r="AH386">
        <f>IF($A386="","",IFERROR(VLOOKUP($B386,_CONFIG_Risk_Calibration!$A$5:$H$21,4,FALSE),3))</f>
        <v>3</v>
      </c>
      <c r="AI386">
        <f>IF($A386="","",IFERROR(VLOOKUP($B386,_CONFIG_Risk_Calibration!$A$5:$H$21,5,FALSE),3))</f>
        <v>4</v>
      </c>
      <c r="AJ386" t="str">
        <f>IF($A386="","",IFERROR(VLOOKUP($B386,_CONFIG_Risk_Calibration!$A$5:$H$21,6,FALSE),"No"))</f>
        <v>Yes</v>
      </c>
      <c r="AK386">
        <f>IF($A386="","",IFERROR(VLOOKUP($B386,_CONFIG_Risk_Calibration!$A$5:$H$21,7,FALSE),1))</f>
        <v>5</v>
      </c>
      <c r="AL386" t="str">
        <f>IF($A386="","",IFERROR(VLOOKUP($B386,_CONFIG_Risk_Calibration!$A$5:$H$21,8,FALSE),""))</f>
        <v>Clean template default. Calibrate with real exposure, incident history, evidence quality and domain-owner validation.</v>
      </c>
      <c r="AM386">
        <f>IF($A386="","",IFERROR(INDEX(_DATA_Assessment_Model!$AL$1:$AL$428,MATCH($A386,_DATA_Assessment_Model!$A$1:$A$428,0)),""))</f>
        <v>0</v>
      </c>
      <c r="AN386">
        <f t="shared" si="16"/>
        <v>1</v>
      </c>
      <c r="AO386">
        <f>IF($A386="","",_CONFIG_Model_Settings!$B$172*MAX(N($AK386),(N($AF386)+N($AI386))/2))</f>
        <v>100</v>
      </c>
      <c r="AP386">
        <f t="shared" si="17"/>
        <v>100</v>
      </c>
      <c r="AQ386">
        <f>IF($AP386="","",MAX(0,$AP386*(1-(_CONFIG_Model_Settings!$B$173+_CONFIG_Model_Settings!$B$174*(N($AH386)-1)))))</f>
        <v>65</v>
      </c>
      <c r="AR386">
        <f>IF($AP386="","",MIN(100,$AP386*(1+(_CONFIG_Model_Settings!$B$173+_CONFIG_Model_Settings!$B$174*(N($AH386)-1)))))</f>
        <v>100</v>
      </c>
    </row>
    <row r="387" spans="1:44" ht="72" customHeight="1">
      <c r="A387" s="9" t="s">
        <v>3080</v>
      </c>
      <c r="B387" s="9" t="s">
        <v>2986</v>
      </c>
      <c r="C387" s="9" t="s">
        <v>3013</v>
      </c>
      <c r="D387" s="9" t="s">
        <v>4460</v>
      </c>
      <c r="E387" s="9" t="s">
        <v>3081</v>
      </c>
      <c r="F387" s="9" t="s">
        <v>9995</v>
      </c>
      <c r="G387" s="9" t="s">
        <v>9996</v>
      </c>
      <c r="H387" s="9" t="s">
        <v>9997</v>
      </c>
      <c r="I387" s="9" t="s">
        <v>9998</v>
      </c>
      <c r="J387" s="9" t="s">
        <v>9999</v>
      </c>
      <c r="K387" s="9" t="s">
        <v>10000</v>
      </c>
      <c r="L387" s="9" t="s">
        <v>10001</v>
      </c>
      <c r="M387" s="9" t="s">
        <v>10002</v>
      </c>
      <c r="N387" s="9" t="s">
        <v>10003</v>
      </c>
      <c r="O387" s="9" t="s">
        <v>10004</v>
      </c>
      <c r="P387" s="9" t="s">
        <v>10005</v>
      </c>
      <c r="Q387" s="9" t="s">
        <v>10006</v>
      </c>
      <c r="R387" s="9" t="s">
        <v>4589</v>
      </c>
      <c r="S387" s="9" t="s">
        <v>10007</v>
      </c>
      <c r="T387" s="9">
        <v>4</v>
      </c>
      <c r="U387" s="9">
        <v>3</v>
      </c>
      <c r="V387" s="9">
        <v>3</v>
      </c>
      <c r="W387" s="9">
        <v>2</v>
      </c>
      <c r="X387" s="9">
        <v>1</v>
      </c>
      <c r="Y387" s="9">
        <v>1</v>
      </c>
      <c r="Z387" s="9" t="s">
        <v>2991</v>
      </c>
      <c r="AA387" s="9" t="s">
        <v>3082</v>
      </c>
      <c r="AB387" s="9" t="s">
        <v>2999</v>
      </c>
      <c r="AC387" s="9" t="s">
        <v>9811</v>
      </c>
      <c r="AD387" s="9" t="s">
        <v>10008</v>
      </c>
      <c r="AE387" t="str">
        <f t="shared" si="15"/>
        <v>Fast</v>
      </c>
      <c r="AF387">
        <f>IF($A387="","",IFERROR(VLOOKUP($B387,_CONFIG_Risk_Calibration!$A$5:$H$21,2,FALSE),3))</f>
        <v>3</v>
      </c>
      <c r="AG387">
        <f>IF($A387="","",IFERROR(VLOOKUP($B387,_CONFIG_Risk_Calibration!$A$5:$H$21,3,FALSE),0))</f>
        <v>0</v>
      </c>
      <c r="AH387">
        <f>IF($A387="","",IFERROR(VLOOKUP($B387,_CONFIG_Risk_Calibration!$A$5:$H$21,4,FALSE),3))</f>
        <v>3</v>
      </c>
      <c r="AI387">
        <f>IF($A387="","",IFERROR(VLOOKUP($B387,_CONFIG_Risk_Calibration!$A$5:$H$21,5,FALSE),3))</f>
        <v>4</v>
      </c>
      <c r="AJ387" t="str">
        <f>IF($A387="","",IFERROR(VLOOKUP($B387,_CONFIG_Risk_Calibration!$A$5:$H$21,6,FALSE),"No"))</f>
        <v>Yes</v>
      </c>
      <c r="AK387">
        <f>IF($A387="","",IFERROR(VLOOKUP($B387,_CONFIG_Risk_Calibration!$A$5:$H$21,7,FALSE),1))</f>
        <v>5</v>
      </c>
      <c r="AL387" t="str">
        <f>IF($A387="","",IFERROR(VLOOKUP($B387,_CONFIG_Risk_Calibration!$A$5:$H$21,8,FALSE),""))</f>
        <v>Clean template default. Calibrate with real exposure, incident history, evidence quality and domain-owner validation.</v>
      </c>
      <c r="AM387">
        <f>IF($A387="","",IFERROR(INDEX(_DATA_Assessment_Model!$AL$1:$AL$428,MATCH($A387,_DATA_Assessment_Model!$A$1:$A$428,0)),""))</f>
        <v>0</v>
      </c>
      <c r="AN387">
        <f t="shared" si="16"/>
        <v>1</v>
      </c>
      <c r="AO387">
        <f>IF($A387="","",_CONFIG_Model_Settings!$B$172*MAX(N($AK387),(N($AF387)+N($AI387))/2))</f>
        <v>100</v>
      </c>
      <c r="AP387">
        <f t="shared" si="17"/>
        <v>100</v>
      </c>
      <c r="AQ387">
        <f>IF($AP387="","",MAX(0,$AP387*(1-(_CONFIG_Model_Settings!$B$173+_CONFIG_Model_Settings!$B$174*(N($AH387)-1)))))</f>
        <v>65</v>
      </c>
      <c r="AR387">
        <f>IF($AP387="","",MIN(100,$AP387*(1+(_CONFIG_Model_Settings!$B$173+_CONFIG_Model_Settings!$B$174*(N($AH387)-1)))))</f>
        <v>100</v>
      </c>
    </row>
    <row r="388" spans="1:44" ht="72" customHeight="1">
      <c r="A388" s="9" t="s">
        <v>3083</v>
      </c>
      <c r="B388" s="9" t="s">
        <v>2986</v>
      </c>
      <c r="C388" s="9" t="s">
        <v>3013</v>
      </c>
      <c r="D388" s="9" t="s">
        <v>4460</v>
      </c>
      <c r="E388" s="9" t="s">
        <v>3084</v>
      </c>
      <c r="F388" s="9" t="s">
        <v>10009</v>
      </c>
      <c r="G388" s="9" t="s">
        <v>10010</v>
      </c>
      <c r="H388" s="9" t="s">
        <v>10011</v>
      </c>
      <c r="I388" s="9" t="s">
        <v>10012</v>
      </c>
      <c r="J388" s="9" t="s">
        <v>10013</v>
      </c>
      <c r="K388" s="9" t="s">
        <v>10014</v>
      </c>
      <c r="L388" s="9" t="s">
        <v>10015</v>
      </c>
      <c r="M388" s="9" t="s">
        <v>10016</v>
      </c>
      <c r="N388" s="9" t="s">
        <v>10017</v>
      </c>
      <c r="O388" s="9" t="s">
        <v>10018</v>
      </c>
      <c r="P388" s="9" t="s">
        <v>10019</v>
      </c>
      <c r="Q388" s="9" t="s">
        <v>10020</v>
      </c>
      <c r="R388" s="9" t="s">
        <v>4589</v>
      </c>
      <c r="S388" s="9" t="s">
        <v>10021</v>
      </c>
      <c r="T388" s="9">
        <v>4</v>
      </c>
      <c r="U388" s="9">
        <v>3</v>
      </c>
      <c r="V388" s="9">
        <v>3</v>
      </c>
      <c r="W388" s="9">
        <v>2</v>
      </c>
      <c r="X388" s="9">
        <v>1</v>
      </c>
      <c r="Y388" s="9">
        <v>1</v>
      </c>
      <c r="Z388" s="9" t="s">
        <v>2991</v>
      </c>
      <c r="AA388" s="9" t="s">
        <v>3085</v>
      </c>
      <c r="AB388" s="9" t="s">
        <v>2999</v>
      </c>
      <c r="AC388" s="9" t="s">
        <v>9811</v>
      </c>
      <c r="AD388" s="9" t="s">
        <v>10022</v>
      </c>
      <c r="AE388" t="str">
        <f t="shared" si="15"/>
        <v>Fast</v>
      </c>
      <c r="AF388">
        <f>IF($A388="","",IFERROR(VLOOKUP($B388,_CONFIG_Risk_Calibration!$A$5:$H$21,2,FALSE),3))</f>
        <v>3</v>
      </c>
      <c r="AG388">
        <f>IF($A388="","",IFERROR(VLOOKUP($B388,_CONFIG_Risk_Calibration!$A$5:$H$21,3,FALSE),0))</f>
        <v>0</v>
      </c>
      <c r="AH388">
        <f>IF($A388="","",IFERROR(VLOOKUP($B388,_CONFIG_Risk_Calibration!$A$5:$H$21,4,FALSE),3))</f>
        <v>3</v>
      </c>
      <c r="AI388">
        <f>IF($A388="","",IFERROR(VLOOKUP($B388,_CONFIG_Risk_Calibration!$A$5:$H$21,5,FALSE),3))</f>
        <v>4</v>
      </c>
      <c r="AJ388" t="str">
        <f>IF($A388="","",IFERROR(VLOOKUP($B388,_CONFIG_Risk_Calibration!$A$5:$H$21,6,FALSE),"No"))</f>
        <v>Yes</v>
      </c>
      <c r="AK388">
        <f>IF($A388="","",IFERROR(VLOOKUP($B388,_CONFIG_Risk_Calibration!$A$5:$H$21,7,FALSE),1))</f>
        <v>5</v>
      </c>
      <c r="AL388" t="str">
        <f>IF($A388="","",IFERROR(VLOOKUP($B388,_CONFIG_Risk_Calibration!$A$5:$H$21,8,FALSE),""))</f>
        <v>Clean template default. Calibrate with real exposure, incident history, evidence quality and domain-owner validation.</v>
      </c>
      <c r="AM388">
        <f>IF($A388="","",IFERROR(INDEX(_DATA_Assessment_Model!$AL$1:$AL$428,MATCH($A388,_DATA_Assessment_Model!$A$1:$A$428,0)),""))</f>
        <v>0</v>
      </c>
      <c r="AN388">
        <f t="shared" si="16"/>
        <v>1</v>
      </c>
      <c r="AO388">
        <f>IF($A388="","",_CONFIG_Model_Settings!$B$172*MAX(N($AK388),(N($AF388)+N($AI388))/2))</f>
        <v>100</v>
      </c>
      <c r="AP388">
        <f t="shared" si="17"/>
        <v>100</v>
      </c>
      <c r="AQ388">
        <f>IF($AP388="","",MAX(0,$AP388*(1-(_CONFIG_Model_Settings!$B$173+_CONFIG_Model_Settings!$B$174*(N($AH388)-1)))))</f>
        <v>65</v>
      </c>
      <c r="AR388">
        <f>IF($AP388="","",MIN(100,$AP388*(1+(_CONFIG_Model_Settings!$B$173+_CONFIG_Model_Settings!$B$174*(N($AH388)-1)))))</f>
        <v>100</v>
      </c>
    </row>
    <row r="389" spans="1:44" ht="72" customHeight="1">
      <c r="A389" s="9" t="s">
        <v>3092</v>
      </c>
      <c r="B389" s="9" t="s">
        <v>2986</v>
      </c>
      <c r="C389" s="9" t="s">
        <v>3013</v>
      </c>
      <c r="D389" s="9" t="s">
        <v>4460</v>
      </c>
      <c r="E389" s="9" t="s">
        <v>3093</v>
      </c>
      <c r="F389" s="9" t="s">
        <v>10023</v>
      </c>
      <c r="G389" s="9" t="s">
        <v>10024</v>
      </c>
      <c r="H389" s="9" t="s">
        <v>10025</v>
      </c>
      <c r="I389" s="9" t="s">
        <v>10026</v>
      </c>
      <c r="J389" s="9" t="s">
        <v>10027</v>
      </c>
      <c r="K389" s="9" t="s">
        <v>10028</v>
      </c>
      <c r="L389" s="9" t="s">
        <v>10029</v>
      </c>
      <c r="M389" s="9" t="s">
        <v>10030</v>
      </c>
      <c r="N389" s="9" t="s">
        <v>10031</v>
      </c>
      <c r="O389" s="9" t="s">
        <v>10032</v>
      </c>
      <c r="P389" s="9" t="s">
        <v>10033</v>
      </c>
      <c r="Q389" s="9" t="s">
        <v>10034</v>
      </c>
      <c r="R389" s="9" t="s">
        <v>4589</v>
      </c>
      <c r="S389" s="9" t="s">
        <v>10035</v>
      </c>
      <c r="T389" s="9">
        <v>4</v>
      </c>
      <c r="U389" s="9">
        <v>3</v>
      </c>
      <c r="V389" s="9">
        <v>3</v>
      </c>
      <c r="W389" s="9">
        <v>2</v>
      </c>
      <c r="X389" s="9">
        <v>1</v>
      </c>
      <c r="Y389" s="9">
        <v>1</v>
      </c>
      <c r="Z389" s="9" t="s">
        <v>2991</v>
      </c>
      <c r="AA389" s="9" t="s">
        <v>3094</v>
      </c>
      <c r="AB389" s="9" t="s">
        <v>2999</v>
      </c>
      <c r="AC389" s="9" t="s">
        <v>9811</v>
      </c>
      <c r="AD389" s="9" t="s">
        <v>10036</v>
      </c>
      <c r="AE389" t="str">
        <f t="shared" ref="AE389:AE428" si="18">IF($A389="","",IF(OR(ISNUMBER(SEARCH("cyber",$D389)),ISNUMBER(SEARCH("security",$D389)),ISNUMBER(SEARCH("safety",$D389)),ISNUMBER(SEARCH("liquidity",$D389)),ISNUMBER(SEARCH("cash",$D389)),ISNUMBER(SEARCH("continuity",$D389)),ISNUMBER(SEARCH("infrastructure",$D389)),ISNUMBER(SEARCH("outage",$D389))),"Fast",IF(OR(ISNUMBER(SEARCH("compliance",$D389)),ISNUMBER(SEARCH("regulat",$D389)),ISNUMBER(SEARCH("data",$D389)),ISNUMBER(SEARCH("talent",$D389)),ISNUMBER(SEARCH("knowledge",$D389)),ISNUMBER(SEARCH("portfolio",$D389)),ISNUMBER(SEARCH("quality",$D389))),"Slow","Medium")))</f>
        <v>Fast</v>
      </c>
      <c r="AF389">
        <f>IF($A389="","",IFERROR(VLOOKUP($B389,_CONFIG_Risk_Calibration!$A$5:$H$21,2,FALSE),3))</f>
        <v>3</v>
      </c>
      <c r="AG389">
        <f>IF($A389="","",IFERROR(VLOOKUP($B389,_CONFIG_Risk_Calibration!$A$5:$H$21,3,FALSE),0))</f>
        <v>0</v>
      </c>
      <c r="AH389">
        <f>IF($A389="","",IFERROR(VLOOKUP($B389,_CONFIG_Risk_Calibration!$A$5:$H$21,4,FALSE),3))</f>
        <v>3</v>
      </c>
      <c r="AI389">
        <f>IF($A389="","",IFERROR(VLOOKUP($B389,_CONFIG_Risk_Calibration!$A$5:$H$21,5,FALSE),3))</f>
        <v>4</v>
      </c>
      <c r="AJ389" t="str">
        <f>IF($A389="","",IFERROR(VLOOKUP($B389,_CONFIG_Risk_Calibration!$A$5:$H$21,6,FALSE),"No"))</f>
        <v>Yes</v>
      </c>
      <c r="AK389">
        <f>IF($A389="","",IFERROR(VLOOKUP($B389,_CONFIG_Risk_Calibration!$A$5:$H$21,7,FALSE),1))</f>
        <v>5</v>
      </c>
      <c r="AL389" t="str">
        <f>IF($A389="","",IFERROR(VLOOKUP($B389,_CONFIG_Risk_Calibration!$A$5:$H$21,8,FALSE),""))</f>
        <v>Clean template default. Calibrate with real exposure, incident history, evidence quality and domain-owner validation.</v>
      </c>
      <c r="AM389">
        <f>IF($A389="","",IFERROR(INDEX(_DATA_Assessment_Model!$AL$1:$AL$428,MATCH($A389,_DATA_Assessment_Model!$A$1:$A$428,0)),""))</f>
        <v>0</v>
      </c>
      <c r="AN389">
        <f t="shared" ref="AN389:AN428" si="19">IF($AM389="","",MAX(0,(5-$AM389)/5))</f>
        <v>1</v>
      </c>
      <c r="AO389">
        <f>IF($A389="","",_CONFIG_Model_Settings!$B$172*MAX(N($AK389),(N($AF389)+N($AI389))/2))</f>
        <v>100</v>
      </c>
      <c r="AP389">
        <f t="shared" ref="AP389:AP428" si="20">IF(OR($A389="",$AN389=""),"",$AN389*$AO389)</f>
        <v>100</v>
      </c>
      <c r="AQ389">
        <f>IF($AP389="","",MAX(0,$AP389*(1-(_CONFIG_Model_Settings!$B$173+_CONFIG_Model_Settings!$B$174*(N($AH389)-1)))))</f>
        <v>65</v>
      </c>
      <c r="AR389">
        <f>IF($AP389="","",MIN(100,$AP389*(1+(_CONFIG_Model_Settings!$B$173+_CONFIG_Model_Settings!$B$174*(N($AH389)-1)))))</f>
        <v>100</v>
      </c>
    </row>
    <row r="390" spans="1:44" ht="72" customHeight="1">
      <c r="A390" s="9" t="s">
        <v>3095</v>
      </c>
      <c r="B390" s="9" t="s">
        <v>2986</v>
      </c>
      <c r="C390" s="9" t="s">
        <v>3013</v>
      </c>
      <c r="D390" s="9" t="s">
        <v>4460</v>
      </c>
      <c r="E390" s="9" t="s">
        <v>3096</v>
      </c>
      <c r="F390" s="9" t="s">
        <v>10037</v>
      </c>
      <c r="G390" s="9" t="s">
        <v>10038</v>
      </c>
      <c r="H390" s="9" t="s">
        <v>10039</v>
      </c>
      <c r="I390" s="9" t="s">
        <v>10040</v>
      </c>
      <c r="J390" s="9" t="s">
        <v>10041</v>
      </c>
      <c r="K390" s="9" t="s">
        <v>10042</v>
      </c>
      <c r="L390" s="9" t="s">
        <v>10043</v>
      </c>
      <c r="M390" s="9" t="s">
        <v>10044</v>
      </c>
      <c r="N390" s="9" t="s">
        <v>10045</v>
      </c>
      <c r="O390" s="9" t="s">
        <v>10046</v>
      </c>
      <c r="P390" s="9" t="s">
        <v>10047</v>
      </c>
      <c r="Q390" s="9" t="s">
        <v>10048</v>
      </c>
      <c r="R390" s="9" t="s">
        <v>4589</v>
      </c>
      <c r="S390" s="9" t="s">
        <v>10049</v>
      </c>
      <c r="T390" s="9">
        <v>4</v>
      </c>
      <c r="U390" s="9">
        <v>3</v>
      </c>
      <c r="V390" s="9">
        <v>3</v>
      </c>
      <c r="W390" s="9">
        <v>2</v>
      </c>
      <c r="X390" s="9">
        <v>1</v>
      </c>
      <c r="Y390" s="9">
        <v>1</v>
      </c>
      <c r="Z390" s="9" t="s">
        <v>2991</v>
      </c>
      <c r="AA390" s="9" t="s">
        <v>3097</v>
      </c>
      <c r="AB390" s="9" t="s">
        <v>2999</v>
      </c>
      <c r="AC390" s="9" t="s">
        <v>9811</v>
      </c>
      <c r="AD390" s="9" t="s">
        <v>10050</v>
      </c>
      <c r="AE390" t="str">
        <f t="shared" si="18"/>
        <v>Fast</v>
      </c>
      <c r="AF390">
        <f>IF($A390="","",IFERROR(VLOOKUP($B390,_CONFIG_Risk_Calibration!$A$5:$H$21,2,FALSE),3))</f>
        <v>3</v>
      </c>
      <c r="AG390">
        <f>IF($A390="","",IFERROR(VLOOKUP($B390,_CONFIG_Risk_Calibration!$A$5:$H$21,3,FALSE),0))</f>
        <v>0</v>
      </c>
      <c r="AH390">
        <f>IF($A390="","",IFERROR(VLOOKUP($B390,_CONFIG_Risk_Calibration!$A$5:$H$21,4,FALSE),3))</f>
        <v>3</v>
      </c>
      <c r="AI390">
        <f>IF($A390="","",IFERROR(VLOOKUP($B390,_CONFIG_Risk_Calibration!$A$5:$H$21,5,FALSE),3))</f>
        <v>4</v>
      </c>
      <c r="AJ390" t="str">
        <f>IF($A390="","",IFERROR(VLOOKUP($B390,_CONFIG_Risk_Calibration!$A$5:$H$21,6,FALSE),"No"))</f>
        <v>Yes</v>
      </c>
      <c r="AK390">
        <f>IF($A390="","",IFERROR(VLOOKUP($B390,_CONFIG_Risk_Calibration!$A$5:$H$21,7,FALSE),1))</f>
        <v>5</v>
      </c>
      <c r="AL390" t="str">
        <f>IF($A390="","",IFERROR(VLOOKUP($B390,_CONFIG_Risk_Calibration!$A$5:$H$21,8,FALSE),""))</f>
        <v>Clean template default. Calibrate with real exposure, incident history, evidence quality and domain-owner validation.</v>
      </c>
      <c r="AM390">
        <f>IF($A390="","",IFERROR(INDEX(_DATA_Assessment_Model!$AL$1:$AL$428,MATCH($A390,_DATA_Assessment_Model!$A$1:$A$428,0)),""))</f>
        <v>0</v>
      </c>
      <c r="AN390">
        <f t="shared" si="19"/>
        <v>1</v>
      </c>
      <c r="AO390">
        <f>IF($A390="","",_CONFIG_Model_Settings!$B$172*MAX(N($AK390),(N($AF390)+N($AI390))/2))</f>
        <v>100</v>
      </c>
      <c r="AP390">
        <f t="shared" si="20"/>
        <v>100</v>
      </c>
      <c r="AQ390">
        <f>IF($AP390="","",MAX(0,$AP390*(1-(_CONFIG_Model_Settings!$B$173+_CONFIG_Model_Settings!$B$174*(N($AH390)-1)))))</f>
        <v>65</v>
      </c>
      <c r="AR390">
        <f>IF($AP390="","",MIN(100,$AP390*(1+(_CONFIG_Model_Settings!$B$173+_CONFIG_Model_Settings!$B$174*(N($AH390)-1)))))</f>
        <v>100</v>
      </c>
    </row>
    <row r="391" spans="1:44" ht="60" customHeight="1">
      <c r="A391" s="9" t="s">
        <v>3104</v>
      </c>
      <c r="B391" s="9" t="s">
        <v>2986</v>
      </c>
      <c r="C391" s="9" t="s">
        <v>3013</v>
      </c>
      <c r="D391" s="9" t="s">
        <v>4460</v>
      </c>
      <c r="E391" s="9" t="s">
        <v>3105</v>
      </c>
      <c r="F391" s="9" t="s">
        <v>10051</v>
      </c>
      <c r="G391" s="9" t="s">
        <v>10052</v>
      </c>
      <c r="H391" s="9" t="s">
        <v>10053</v>
      </c>
      <c r="I391" s="9" t="s">
        <v>10054</v>
      </c>
      <c r="J391" s="9" t="s">
        <v>10055</v>
      </c>
      <c r="K391" s="9" t="s">
        <v>10056</v>
      </c>
      <c r="L391" s="9" t="s">
        <v>10057</v>
      </c>
      <c r="M391" s="9" t="s">
        <v>10058</v>
      </c>
      <c r="N391" s="9" t="s">
        <v>10059</v>
      </c>
      <c r="O391" s="9" t="s">
        <v>10060</v>
      </c>
      <c r="P391" s="9" t="s">
        <v>10061</v>
      </c>
      <c r="Q391" s="9" t="s">
        <v>10062</v>
      </c>
      <c r="R391" s="9" t="s">
        <v>4589</v>
      </c>
      <c r="S391" s="9" t="s">
        <v>10063</v>
      </c>
      <c r="T391" s="9">
        <v>4</v>
      </c>
      <c r="U391" s="9">
        <v>3</v>
      </c>
      <c r="V391" s="9">
        <v>3</v>
      </c>
      <c r="W391" s="9">
        <v>2</v>
      </c>
      <c r="X391" s="9">
        <v>1</v>
      </c>
      <c r="Y391" s="9">
        <v>1</v>
      </c>
      <c r="Z391" s="9" t="s">
        <v>2991</v>
      </c>
      <c r="AA391" s="9" t="s">
        <v>3106</v>
      </c>
      <c r="AB391" s="9" t="s">
        <v>2999</v>
      </c>
      <c r="AC391" s="9" t="s">
        <v>9811</v>
      </c>
      <c r="AD391" s="9" t="s">
        <v>10064</v>
      </c>
      <c r="AE391" t="str">
        <f t="shared" si="18"/>
        <v>Fast</v>
      </c>
      <c r="AF391">
        <f>IF($A391="","",IFERROR(VLOOKUP($B391,_CONFIG_Risk_Calibration!$A$5:$H$21,2,FALSE),3))</f>
        <v>3</v>
      </c>
      <c r="AG391">
        <f>IF($A391="","",IFERROR(VLOOKUP($B391,_CONFIG_Risk_Calibration!$A$5:$H$21,3,FALSE),0))</f>
        <v>0</v>
      </c>
      <c r="AH391">
        <f>IF($A391="","",IFERROR(VLOOKUP($B391,_CONFIG_Risk_Calibration!$A$5:$H$21,4,FALSE),3))</f>
        <v>3</v>
      </c>
      <c r="AI391">
        <f>IF($A391="","",IFERROR(VLOOKUP($B391,_CONFIG_Risk_Calibration!$A$5:$H$21,5,FALSE),3))</f>
        <v>4</v>
      </c>
      <c r="AJ391" t="str">
        <f>IF($A391="","",IFERROR(VLOOKUP($B391,_CONFIG_Risk_Calibration!$A$5:$H$21,6,FALSE),"No"))</f>
        <v>Yes</v>
      </c>
      <c r="AK391">
        <f>IF($A391="","",IFERROR(VLOOKUP($B391,_CONFIG_Risk_Calibration!$A$5:$H$21,7,FALSE),1))</f>
        <v>5</v>
      </c>
      <c r="AL391" t="str">
        <f>IF($A391="","",IFERROR(VLOOKUP($B391,_CONFIG_Risk_Calibration!$A$5:$H$21,8,FALSE),""))</f>
        <v>Clean template default. Calibrate with real exposure, incident history, evidence quality and domain-owner validation.</v>
      </c>
      <c r="AM391">
        <f>IF($A391="","",IFERROR(INDEX(_DATA_Assessment_Model!$AL$1:$AL$428,MATCH($A391,_DATA_Assessment_Model!$A$1:$A$428,0)),""))</f>
        <v>0</v>
      </c>
      <c r="AN391">
        <f t="shared" si="19"/>
        <v>1</v>
      </c>
      <c r="AO391">
        <f>IF($A391="","",_CONFIG_Model_Settings!$B$172*MAX(N($AK391),(N($AF391)+N($AI391))/2))</f>
        <v>100</v>
      </c>
      <c r="AP391">
        <f t="shared" si="20"/>
        <v>100</v>
      </c>
      <c r="AQ391">
        <f>IF($AP391="","",MAX(0,$AP391*(1-(_CONFIG_Model_Settings!$B$173+_CONFIG_Model_Settings!$B$174*(N($AH391)-1)))))</f>
        <v>65</v>
      </c>
      <c r="AR391">
        <f>IF($AP391="","",MIN(100,$AP391*(1+(_CONFIG_Model_Settings!$B$173+_CONFIG_Model_Settings!$B$174*(N($AH391)-1)))))</f>
        <v>100</v>
      </c>
    </row>
    <row r="392" spans="1:44" ht="72" customHeight="1">
      <c r="A392" s="9" t="s">
        <v>3113</v>
      </c>
      <c r="B392" s="9" t="s">
        <v>2986</v>
      </c>
      <c r="C392" s="9" t="s">
        <v>3013</v>
      </c>
      <c r="D392" s="9" t="s">
        <v>4460</v>
      </c>
      <c r="E392" s="9" t="s">
        <v>3114</v>
      </c>
      <c r="F392" s="9" t="s">
        <v>10065</v>
      </c>
      <c r="G392" s="9" t="s">
        <v>10066</v>
      </c>
      <c r="H392" s="9" t="s">
        <v>10067</v>
      </c>
      <c r="I392" s="9" t="s">
        <v>10068</v>
      </c>
      <c r="J392" s="9" t="s">
        <v>10069</v>
      </c>
      <c r="K392" s="9" t="s">
        <v>10070</v>
      </c>
      <c r="L392" s="9" t="s">
        <v>10071</v>
      </c>
      <c r="M392" s="9" t="s">
        <v>10072</v>
      </c>
      <c r="N392" s="9" t="s">
        <v>10073</v>
      </c>
      <c r="O392" s="9" t="s">
        <v>10074</v>
      </c>
      <c r="P392" s="9" t="s">
        <v>10075</v>
      </c>
      <c r="Q392" s="9" t="s">
        <v>10076</v>
      </c>
      <c r="R392" s="9" t="s">
        <v>4589</v>
      </c>
      <c r="S392" s="9" t="s">
        <v>10077</v>
      </c>
      <c r="T392" s="9">
        <v>4</v>
      </c>
      <c r="U392" s="9">
        <v>3</v>
      </c>
      <c r="V392" s="9">
        <v>3</v>
      </c>
      <c r="W392" s="9">
        <v>2</v>
      </c>
      <c r="X392" s="9">
        <v>1</v>
      </c>
      <c r="Y392" s="9">
        <v>1</v>
      </c>
      <c r="Z392" s="9" t="s">
        <v>2991</v>
      </c>
      <c r="AA392" s="9" t="s">
        <v>3115</v>
      </c>
      <c r="AB392" s="9" t="s">
        <v>2999</v>
      </c>
      <c r="AC392" s="9" t="s">
        <v>9811</v>
      </c>
      <c r="AD392" s="9" t="s">
        <v>10078</v>
      </c>
      <c r="AE392" t="str">
        <f t="shared" si="18"/>
        <v>Fast</v>
      </c>
      <c r="AF392">
        <f>IF($A392="","",IFERROR(VLOOKUP($B392,_CONFIG_Risk_Calibration!$A$5:$H$21,2,FALSE),3))</f>
        <v>3</v>
      </c>
      <c r="AG392">
        <f>IF($A392="","",IFERROR(VLOOKUP($B392,_CONFIG_Risk_Calibration!$A$5:$H$21,3,FALSE),0))</f>
        <v>0</v>
      </c>
      <c r="AH392">
        <f>IF($A392="","",IFERROR(VLOOKUP($B392,_CONFIG_Risk_Calibration!$A$5:$H$21,4,FALSE),3))</f>
        <v>3</v>
      </c>
      <c r="AI392">
        <f>IF($A392="","",IFERROR(VLOOKUP($B392,_CONFIG_Risk_Calibration!$A$5:$H$21,5,FALSE),3))</f>
        <v>4</v>
      </c>
      <c r="AJ392" t="str">
        <f>IF($A392="","",IFERROR(VLOOKUP($B392,_CONFIG_Risk_Calibration!$A$5:$H$21,6,FALSE),"No"))</f>
        <v>Yes</v>
      </c>
      <c r="AK392">
        <f>IF($A392="","",IFERROR(VLOOKUP($B392,_CONFIG_Risk_Calibration!$A$5:$H$21,7,FALSE),1))</f>
        <v>5</v>
      </c>
      <c r="AL392" t="str">
        <f>IF($A392="","",IFERROR(VLOOKUP($B392,_CONFIG_Risk_Calibration!$A$5:$H$21,8,FALSE),""))</f>
        <v>Clean template default. Calibrate with real exposure, incident history, evidence quality and domain-owner validation.</v>
      </c>
      <c r="AM392">
        <f>IF($A392="","",IFERROR(INDEX(_DATA_Assessment_Model!$AL$1:$AL$428,MATCH($A392,_DATA_Assessment_Model!$A$1:$A$428,0)),""))</f>
        <v>0</v>
      </c>
      <c r="AN392">
        <f t="shared" si="19"/>
        <v>1</v>
      </c>
      <c r="AO392">
        <f>IF($A392="","",_CONFIG_Model_Settings!$B$172*MAX(N($AK392),(N($AF392)+N($AI392))/2))</f>
        <v>100</v>
      </c>
      <c r="AP392">
        <f t="shared" si="20"/>
        <v>100</v>
      </c>
      <c r="AQ392">
        <f>IF($AP392="","",MAX(0,$AP392*(1-(_CONFIG_Model_Settings!$B$173+_CONFIG_Model_Settings!$B$174*(N($AH392)-1)))))</f>
        <v>65</v>
      </c>
      <c r="AR392">
        <f>IF($AP392="","",MIN(100,$AP392*(1+(_CONFIG_Model_Settings!$B$173+_CONFIG_Model_Settings!$B$174*(N($AH392)-1)))))</f>
        <v>100</v>
      </c>
    </row>
    <row r="393" spans="1:44" ht="72" customHeight="1">
      <c r="A393" s="9" t="s">
        <v>3116</v>
      </c>
      <c r="B393" s="9" t="s">
        <v>2986</v>
      </c>
      <c r="C393" s="9" t="s">
        <v>3023</v>
      </c>
      <c r="D393" s="9" t="s">
        <v>4460</v>
      </c>
      <c r="E393" s="9" t="s">
        <v>3117</v>
      </c>
      <c r="F393" s="9" t="s">
        <v>10079</v>
      </c>
      <c r="G393" s="9" t="s">
        <v>10080</v>
      </c>
      <c r="H393" s="9" t="s">
        <v>10081</v>
      </c>
      <c r="I393" s="9" t="s">
        <v>10082</v>
      </c>
      <c r="J393" s="9" t="s">
        <v>10083</v>
      </c>
      <c r="K393" s="9" t="s">
        <v>10084</v>
      </c>
      <c r="L393" s="9" t="s">
        <v>10085</v>
      </c>
      <c r="M393" s="9" t="s">
        <v>10086</v>
      </c>
      <c r="N393" s="9" t="s">
        <v>10087</v>
      </c>
      <c r="O393" s="9" t="s">
        <v>10088</v>
      </c>
      <c r="P393" s="9" t="s">
        <v>10089</v>
      </c>
      <c r="Q393" s="9" t="s">
        <v>10090</v>
      </c>
      <c r="R393" s="9" t="s">
        <v>4589</v>
      </c>
      <c r="S393" s="9" t="s">
        <v>10091</v>
      </c>
      <c r="T393" s="9">
        <v>4</v>
      </c>
      <c r="U393" s="9">
        <v>3</v>
      </c>
      <c r="V393" s="9">
        <v>3</v>
      </c>
      <c r="W393" s="9">
        <v>2</v>
      </c>
      <c r="X393" s="9">
        <v>1</v>
      </c>
      <c r="Y393" s="9">
        <v>1</v>
      </c>
      <c r="Z393" s="9" t="s">
        <v>2991</v>
      </c>
      <c r="AA393" s="9" t="s">
        <v>3118</v>
      </c>
      <c r="AB393" s="9" t="s">
        <v>2999</v>
      </c>
      <c r="AC393" s="9" t="s">
        <v>9811</v>
      </c>
      <c r="AD393" s="9" t="s">
        <v>10092</v>
      </c>
      <c r="AE393" t="str">
        <f t="shared" si="18"/>
        <v>Fast</v>
      </c>
      <c r="AF393">
        <f>IF($A393="","",IFERROR(VLOOKUP($B393,_CONFIG_Risk_Calibration!$A$5:$H$21,2,FALSE),3))</f>
        <v>3</v>
      </c>
      <c r="AG393">
        <f>IF($A393="","",IFERROR(VLOOKUP($B393,_CONFIG_Risk_Calibration!$A$5:$H$21,3,FALSE),0))</f>
        <v>0</v>
      </c>
      <c r="AH393">
        <f>IF($A393="","",IFERROR(VLOOKUP($B393,_CONFIG_Risk_Calibration!$A$5:$H$21,4,FALSE),3))</f>
        <v>3</v>
      </c>
      <c r="AI393">
        <f>IF($A393="","",IFERROR(VLOOKUP($B393,_CONFIG_Risk_Calibration!$A$5:$H$21,5,FALSE),3))</f>
        <v>4</v>
      </c>
      <c r="AJ393" t="str">
        <f>IF($A393="","",IFERROR(VLOOKUP($B393,_CONFIG_Risk_Calibration!$A$5:$H$21,6,FALSE),"No"))</f>
        <v>Yes</v>
      </c>
      <c r="AK393">
        <f>IF($A393="","",IFERROR(VLOOKUP($B393,_CONFIG_Risk_Calibration!$A$5:$H$21,7,FALSE),1))</f>
        <v>5</v>
      </c>
      <c r="AL393" t="str">
        <f>IF($A393="","",IFERROR(VLOOKUP($B393,_CONFIG_Risk_Calibration!$A$5:$H$21,8,FALSE),""))</f>
        <v>Clean template default. Calibrate with real exposure, incident history, evidence quality and domain-owner validation.</v>
      </c>
      <c r="AM393">
        <f>IF($A393="","",IFERROR(INDEX(_DATA_Assessment_Model!$AL$1:$AL$428,MATCH($A393,_DATA_Assessment_Model!$A$1:$A$428,0)),""))</f>
        <v>0</v>
      </c>
      <c r="AN393">
        <f t="shared" si="19"/>
        <v>1</v>
      </c>
      <c r="AO393">
        <f>IF($A393="","",_CONFIG_Model_Settings!$B$172*MAX(N($AK393),(N($AF393)+N($AI393))/2))</f>
        <v>100</v>
      </c>
      <c r="AP393">
        <f t="shared" si="20"/>
        <v>100</v>
      </c>
      <c r="AQ393">
        <f>IF($AP393="","",MAX(0,$AP393*(1-(_CONFIG_Model_Settings!$B$173+_CONFIG_Model_Settings!$B$174*(N($AH393)-1)))))</f>
        <v>65</v>
      </c>
      <c r="AR393">
        <f>IF($AP393="","",MIN(100,$AP393*(1+(_CONFIG_Model_Settings!$B$173+_CONFIG_Model_Settings!$B$174*(N($AH393)-1)))))</f>
        <v>100</v>
      </c>
    </row>
    <row r="394" spans="1:44" ht="60" customHeight="1">
      <c r="A394" s="9" t="s">
        <v>3119</v>
      </c>
      <c r="B394" s="9" t="s">
        <v>2986</v>
      </c>
      <c r="C394" s="9" t="s">
        <v>3023</v>
      </c>
      <c r="D394" s="9" t="s">
        <v>4460</v>
      </c>
      <c r="E394" s="9" t="s">
        <v>3120</v>
      </c>
      <c r="F394" s="9" t="s">
        <v>10093</v>
      </c>
      <c r="G394" s="9" t="s">
        <v>10094</v>
      </c>
      <c r="H394" s="9" t="s">
        <v>10095</v>
      </c>
      <c r="I394" s="9" t="s">
        <v>10096</v>
      </c>
      <c r="J394" s="9" t="s">
        <v>10097</v>
      </c>
      <c r="K394" s="9" t="s">
        <v>10098</v>
      </c>
      <c r="L394" s="9" t="s">
        <v>10099</v>
      </c>
      <c r="M394" s="9" t="s">
        <v>10100</v>
      </c>
      <c r="N394" s="9" t="s">
        <v>10101</v>
      </c>
      <c r="O394" s="9" t="s">
        <v>10102</v>
      </c>
      <c r="P394" s="9" t="s">
        <v>10103</v>
      </c>
      <c r="Q394" s="9" t="s">
        <v>10104</v>
      </c>
      <c r="R394" s="9" t="s">
        <v>4589</v>
      </c>
      <c r="S394" s="9" t="s">
        <v>10105</v>
      </c>
      <c r="T394" s="9">
        <v>4</v>
      </c>
      <c r="U394" s="9">
        <v>3</v>
      </c>
      <c r="V394" s="9">
        <v>3</v>
      </c>
      <c r="W394" s="9">
        <v>2</v>
      </c>
      <c r="X394" s="9">
        <v>1</v>
      </c>
      <c r="Y394" s="9">
        <v>1</v>
      </c>
      <c r="Z394" s="9" t="s">
        <v>2991</v>
      </c>
      <c r="AA394" s="9" t="s">
        <v>3121</v>
      </c>
      <c r="AB394" s="9" t="s">
        <v>2999</v>
      </c>
      <c r="AC394" s="9" t="s">
        <v>9811</v>
      </c>
      <c r="AD394" s="9" t="s">
        <v>10106</v>
      </c>
      <c r="AE394" t="str">
        <f t="shared" si="18"/>
        <v>Fast</v>
      </c>
      <c r="AF394">
        <f>IF($A394="","",IFERROR(VLOOKUP($B394,_CONFIG_Risk_Calibration!$A$5:$H$21,2,FALSE),3))</f>
        <v>3</v>
      </c>
      <c r="AG394">
        <f>IF($A394="","",IFERROR(VLOOKUP($B394,_CONFIG_Risk_Calibration!$A$5:$H$21,3,FALSE),0))</f>
        <v>0</v>
      </c>
      <c r="AH394">
        <f>IF($A394="","",IFERROR(VLOOKUP($B394,_CONFIG_Risk_Calibration!$A$5:$H$21,4,FALSE),3))</f>
        <v>3</v>
      </c>
      <c r="AI394">
        <f>IF($A394="","",IFERROR(VLOOKUP($B394,_CONFIG_Risk_Calibration!$A$5:$H$21,5,FALSE),3))</f>
        <v>4</v>
      </c>
      <c r="AJ394" t="str">
        <f>IF($A394="","",IFERROR(VLOOKUP($B394,_CONFIG_Risk_Calibration!$A$5:$H$21,6,FALSE),"No"))</f>
        <v>Yes</v>
      </c>
      <c r="AK394">
        <f>IF($A394="","",IFERROR(VLOOKUP($B394,_CONFIG_Risk_Calibration!$A$5:$H$21,7,FALSE),1))</f>
        <v>5</v>
      </c>
      <c r="AL394" t="str">
        <f>IF($A394="","",IFERROR(VLOOKUP($B394,_CONFIG_Risk_Calibration!$A$5:$H$21,8,FALSE),""))</f>
        <v>Clean template default. Calibrate with real exposure, incident history, evidence quality and domain-owner validation.</v>
      </c>
      <c r="AM394">
        <f>IF($A394="","",IFERROR(INDEX(_DATA_Assessment_Model!$AL$1:$AL$428,MATCH($A394,_DATA_Assessment_Model!$A$1:$A$428,0)),""))</f>
        <v>0</v>
      </c>
      <c r="AN394">
        <f t="shared" si="19"/>
        <v>1</v>
      </c>
      <c r="AO394">
        <f>IF($A394="","",_CONFIG_Model_Settings!$B$172*MAX(N($AK394),(N($AF394)+N($AI394))/2))</f>
        <v>100</v>
      </c>
      <c r="AP394">
        <f t="shared" si="20"/>
        <v>100</v>
      </c>
      <c r="AQ394">
        <f>IF($AP394="","",MAX(0,$AP394*(1-(_CONFIG_Model_Settings!$B$173+_CONFIG_Model_Settings!$B$174*(N($AH394)-1)))))</f>
        <v>65</v>
      </c>
      <c r="AR394">
        <f>IF($AP394="","",MIN(100,$AP394*(1+(_CONFIG_Model_Settings!$B$173+_CONFIG_Model_Settings!$B$174*(N($AH394)-1)))))</f>
        <v>100</v>
      </c>
    </row>
    <row r="395" spans="1:44" ht="72" customHeight="1">
      <c r="A395" s="9" t="s">
        <v>3128</v>
      </c>
      <c r="B395" s="9" t="s">
        <v>2986</v>
      </c>
      <c r="C395" s="9" t="s">
        <v>3023</v>
      </c>
      <c r="D395" s="9" t="s">
        <v>4460</v>
      </c>
      <c r="E395" s="9" t="s">
        <v>3129</v>
      </c>
      <c r="F395" s="9" t="s">
        <v>10107</v>
      </c>
      <c r="G395" s="9" t="s">
        <v>10108</v>
      </c>
      <c r="H395" s="9" t="s">
        <v>10109</v>
      </c>
      <c r="I395" s="9" t="s">
        <v>10110</v>
      </c>
      <c r="J395" s="9" t="s">
        <v>10111</v>
      </c>
      <c r="K395" s="9" t="s">
        <v>10112</v>
      </c>
      <c r="L395" s="9" t="s">
        <v>10113</v>
      </c>
      <c r="M395" s="9" t="s">
        <v>10114</v>
      </c>
      <c r="N395" s="9" t="s">
        <v>10115</v>
      </c>
      <c r="O395" s="9" t="s">
        <v>10116</v>
      </c>
      <c r="P395" s="9" t="s">
        <v>10117</v>
      </c>
      <c r="Q395" s="9" t="s">
        <v>10118</v>
      </c>
      <c r="R395" s="9" t="s">
        <v>4589</v>
      </c>
      <c r="S395" s="9" t="s">
        <v>10119</v>
      </c>
      <c r="T395" s="9">
        <v>4</v>
      </c>
      <c r="U395" s="9">
        <v>3</v>
      </c>
      <c r="V395" s="9">
        <v>3</v>
      </c>
      <c r="W395" s="9">
        <v>2</v>
      </c>
      <c r="X395" s="9">
        <v>1</v>
      </c>
      <c r="Y395" s="9">
        <v>1</v>
      </c>
      <c r="Z395" s="9" t="s">
        <v>2991</v>
      </c>
      <c r="AA395" s="9" t="s">
        <v>3130</v>
      </c>
      <c r="AB395" s="9" t="s">
        <v>2999</v>
      </c>
      <c r="AC395" s="9" t="s">
        <v>9811</v>
      </c>
      <c r="AD395" s="9" t="s">
        <v>10120</v>
      </c>
      <c r="AE395" t="str">
        <f t="shared" si="18"/>
        <v>Fast</v>
      </c>
      <c r="AF395">
        <f>IF($A395="","",IFERROR(VLOOKUP($B395,_CONFIG_Risk_Calibration!$A$5:$H$21,2,FALSE),3))</f>
        <v>3</v>
      </c>
      <c r="AG395">
        <f>IF($A395="","",IFERROR(VLOOKUP($B395,_CONFIG_Risk_Calibration!$A$5:$H$21,3,FALSE),0))</f>
        <v>0</v>
      </c>
      <c r="AH395">
        <f>IF($A395="","",IFERROR(VLOOKUP($B395,_CONFIG_Risk_Calibration!$A$5:$H$21,4,FALSE),3))</f>
        <v>3</v>
      </c>
      <c r="AI395">
        <f>IF($A395="","",IFERROR(VLOOKUP($B395,_CONFIG_Risk_Calibration!$A$5:$H$21,5,FALSE),3))</f>
        <v>4</v>
      </c>
      <c r="AJ395" t="str">
        <f>IF($A395="","",IFERROR(VLOOKUP($B395,_CONFIG_Risk_Calibration!$A$5:$H$21,6,FALSE),"No"))</f>
        <v>Yes</v>
      </c>
      <c r="AK395">
        <f>IF($A395="","",IFERROR(VLOOKUP($B395,_CONFIG_Risk_Calibration!$A$5:$H$21,7,FALSE),1))</f>
        <v>5</v>
      </c>
      <c r="AL395" t="str">
        <f>IF($A395="","",IFERROR(VLOOKUP($B395,_CONFIG_Risk_Calibration!$A$5:$H$21,8,FALSE),""))</f>
        <v>Clean template default. Calibrate with real exposure, incident history, evidence quality and domain-owner validation.</v>
      </c>
      <c r="AM395">
        <f>IF($A395="","",IFERROR(INDEX(_DATA_Assessment_Model!$AL$1:$AL$428,MATCH($A395,_DATA_Assessment_Model!$A$1:$A$428,0)),""))</f>
        <v>0</v>
      </c>
      <c r="AN395">
        <f t="shared" si="19"/>
        <v>1</v>
      </c>
      <c r="AO395">
        <f>IF($A395="","",_CONFIG_Model_Settings!$B$172*MAX(N($AK395),(N($AF395)+N($AI395))/2))</f>
        <v>100</v>
      </c>
      <c r="AP395">
        <f t="shared" si="20"/>
        <v>100</v>
      </c>
      <c r="AQ395">
        <f>IF($AP395="","",MAX(0,$AP395*(1-(_CONFIG_Model_Settings!$B$173+_CONFIG_Model_Settings!$B$174*(N($AH395)-1)))))</f>
        <v>65</v>
      </c>
      <c r="AR395">
        <f>IF($AP395="","",MIN(100,$AP395*(1+(_CONFIG_Model_Settings!$B$173+_CONFIG_Model_Settings!$B$174*(N($AH395)-1)))))</f>
        <v>100</v>
      </c>
    </row>
    <row r="396" spans="1:44" ht="72" customHeight="1">
      <c r="A396" s="9" t="s">
        <v>3131</v>
      </c>
      <c r="B396" s="9" t="s">
        <v>2986</v>
      </c>
      <c r="C396" s="9" t="s">
        <v>3023</v>
      </c>
      <c r="D396" s="9" t="s">
        <v>4460</v>
      </c>
      <c r="E396" s="9" t="s">
        <v>3132</v>
      </c>
      <c r="F396" s="9" t="s">
        <v>10121</v>
      </c>
      <c r="G396" s="9" t="s">
        <v>10122</v>
      </c>
      <c r="H396" s="9" t="s">
        <v>10123</v>
      </c>
      <c r="I396" s="9" t="s">
        <v>10124</v>
      </c>
      <c r="J396" s="9" t="s">
        <v>10125</v>
      </c>
      <c r="K396" s="9" t="s">
        <v>10126</v>
      </c>
      <c r="L396" s="9" t="s">
        <v>10127</v>
      </c>
      <c r="M396" s="9" t="s">
        <v>10128</v>
      </c>
      <c r="N396" s="9" t="s">
        <v>10129</v>
      </c>
      <c r="O396" s="9" t="s">
        <v>10130</v>
      </c>
      <c r="P396" s="9" t="s">
        <v>10131</v>
      </c>
      <c r="Q396" s="9" t="s">
        <v>10132</v>
      </c>
      <c r="R396" s="9" t="s">
        <v>4589</v>
      </c>
      <c r="S396" s="9" t="s">
        <v>10133</v>
      </c>
      <c r="T396" s="9">
        <v>4</v>
      </c>
      <c r="U396" s="9">
        <v>3</v>
      </c>
      <c r="V396" s="9">
        <v>3</v>
      </c>
      <c r="W396" s="9">
        <v>2</v>
      </c>
      <c r="X396" s="9">
        <v>1</v>
      </c>
      <c r="Y396" s="9">
        <v>1</v>
      </c>
      <c r="Z396" s="9" t="s">
        <v>2991</v>
      </c>
      <c r="AA396" s="9" t="s">
        <v>3133</v>
      </c>
      <c r="AB396" s="9" t="s">
        <v>2999</v>
      </c>
      <c r="AC396" s="9" t="s">
        <v>9811</v>
      </c>
      <c r="AD396" s="9" t="s">
        <v>10134</v>
      </c>
      <c r="AE396" t="str">
        <f t="shared" si="18"/>
        <v>Fast</v>
      </c>
      <c r="AF396">
        <f>IF($A396="","",IFERROR(VLOOKUP($B396,_CONFIG_Risk_Calibration!$A$5:$H$21,2,FALSE),3))</f>
        <v>3</v>
      </c>
      <c r="AG396">
        <f>IF($A396="","",IFERROR(VLOOKUP($B396,_CONFIG_Risk_Calibration!$A$5:$H$21,3,FALSE),0))</f>
        <v>0</v>
      </c>
      <c r="AH396">
        <f>IF($A396="","",IFERROR(VLOOKUP($B396,_CONFIG_Risk_Calibration!$A$5:$H$21,4,FALSE),3))</f>
        <v>3</v>
      </c>
      <c r="AI396">
        <f>IF($A396="","",IFERROR(VLOOKUP($B396,_CONFIG_Risk_Calibration!$A$5:$H$21,5,FALSE),3))</f>
        <v>4</v>
      </c>
      <c r="AJ396" t="str">
        <f>IF($A396="","",IFERROR(VLOOKUP($B396,_CONFIG_Risk_Calibration!$A$5:$H$21,6,FALSE),"No"))</f>
        <v>Yes</v>
      </c>
      <c r="AK396">
        <f>IF($A396="","",IFERROR(VLOOKUP($B396,_CONFIG_Risk_Calibration!$A$5:$H$21,7,FALSE),1))</f>
        <v>5</v>
      </c>
      <c r="AL396" t="str">
        <f>IF($A396="","",IFERROR(VLOOKUP($B396,_CONFIG_Risk_Calibration!$A$5:$H$21,8,FALSE),""))</f>
        <v>Clean template default. Calibrate with real exposure, incident history, evidence quality and domain-owner validation.</v>
      </c>
      <c r="AM396">
        <f>IF($A396="","",IFERROR(INDEX(_DATA_Assessment_Model!$AL$1:$AL$428,MATCH($A396,_DATA_Assessment_Model!$A$1:$A$428,0)),""))</f>
        <v>0</v>
      </c>
      <c r="AN396">
        <f t="shared" si="19"/>
        <v>1</v>
      </c>
      <c r="AO396">
        <f>IF($A396="","",_CONFIG_Model_Settings!$B$172*MAX(N($AK396),(N($AF396)+N($AI396))/2))</f>
        <v>100</v>
      </c>
      <c r="AP396">
        <f t="shared" si="20"/>
        <v>100</v>
      </c>
      <c r="AQ396">
        <f>IF($AP396="","",MAX(0,$AP396*(1-(_CONFIG_Model_Settings!$B$173+_CONFIG_Model_Settings!$B$174*(N($AH396)-1)))))</f>
        <v>65</v>
      </c>
      <c r="AR396">
        <f>IF($AP396="","",MIN(100,$AP396*(1+(_CONFIG_Model_Settings!$B$173+_CONFIG_Model_Settings!$B$174*(N($AH396)-1)))))</f>
        <v>100</v>
      </c>
    </row>
    <row r="397" spans="1:44" ht="72" customHeight="1">
      <c r="A397" s="9" t="s">
        <v>3134</v>
      </c>
      <c r="B397" s="9" t="s">
        <v>2986</v>
      </c>
      <c r="C397" s="9" t="s">
        <v>3023</v>
      </c>
      <c r="D397" s="9" t="s">
        <v>4460</v>
      </c>
      <c r="E397" s="9" t="s">
        <v>3135</v>
      </c>
      <c r="F397" s="9" t="s">
        <v>10135</v>
      </c>
      <c r="G397" s="9" t="s">
        <v>10136</v>
      </c>
      <c r="H397" s="9" t="s">
        <v>10137</v>
      </c>
      <c r="I397" s="9" t="s">
        <v>10138</v>
      </c>
      <c r="J397" s="9" t="s">
        <v>10139</v>
      </c>
      <c r="K397" s="9" t="s">
        <v>10140</v>
      </c>
      <c r="L397" s="9" t="s">
        <v>10141</v>
      </c>
      <c r="M397" s="9" t="s">
        <v>10142</v>
      </c>
      <c r="N397" s="9" t="s">
        <v>10143</v>
      </c>
      <c r="O397" s="9" t="s">
        <v>10144</v>
      </c>
      <c r="P397" s="9" t="s">
        <v>10145</v>
      </c>
      <c r="Q397" s="9" t="s">
        <v>10146</v>
      </c>
      <c r="R397" s="9" t="s">
        <v>4589</v>
      </c>
      <c r="S397" s="9" t="s">
        <v>10147</v>
      </c>
      <c r="T397" s="9">
        <v>4</v>
      </c>
      <c r="U397" s="9">
        <v>3</v>
      </c>
      <c r="V397" s="9">
        <v>3</v>
      </c>
      <c r="W397" s="9">
        <v>2</v>
      </c>
      <c r="X397" s="9">
        <v>1</v>
      </c>
      <c r="Y397" s="9">
        <v>1</v>
      </c>
      <c r="Z397" s="9" t="s">
        <v>2991</v>
      </c>
      <c r="AA397" s="9" t="s">
        <v>3136</v>
      </c>
      <c r="AB397" s="9" t="s">
        <v>2999</v>
      </c>
      <c r="AC397" s="9" t="s">
        <v>9811</v>
      </c>
      <c r="AD397" s="9" t="s">
        <v>10148</v>
      </c>
      <c r="AE397" t="str">
        <f t="shared" si="18"/>
        <v>Fast</v>
      </c>
      <c r="AF397">
        <f>IF($A397="","",IFERROR(VLOOKUP($B397,_CONFIG_Risk_Calibration!$A$5:$H$21,2,FALSE),3))</f>
        <v>3</v>
      </c>
      <c r="AG397">
        <f>IF($A397="","",IFERROR(VLOOKUP($B397,_CONFIG_Risk_Calibration!$A$5:$H$21,3,FALSE),0))</f>
        <v>0</v>
      </c>
      <c r="AH397">
        <f>IF($A397="","",IFERROR(VLOOKUP($B397,_CONFIG_Risk_Calibration!$A$5:$H$21,4,FALSE),3))</f>
        <v>3</v>
      </c>
      <c r="AI397">
        <f>IF($A397="","",IFERROR(VLOOKUP($B397,_CONFIG_Risk_Calibration!$A$5:$H$21,5,FALSE),3))</f>
        <v>4</v>
      </c>
      <c r="AJ397" t="str">
        <f>IF($A397="","",IFERROR(VLOOKUP($B397,_CONFIG_Risk_Calibration!$A$5:$H$21,6,FALSE),"No"))</f>
        <v>Yes</v>
      </c>
      <c r="AK397">
        <f>IF($A397="","",IFERROR(VLOOKUP($B397,_CONFIG_Risk_Calibration!$A$5:$H$21,7,FALSE),1))</f>
        <v>5</v>
      </c>
      <c r="AL397" t="str">
        <f>IF($A397="","",IFERROR(VLOOKUP($B397,_CONFIG_Risk_Calibration!$A$5:$H$21,8,FALSE),""))</f>
        <v>Clean template default. Calibrate with real exposure, incident history, evidence quality and domain-owner validation.</v>
      </c>
      <c r="AM397">
        <f>IF($A397="","",IFERROR(INDEX(_DATA_Assessment_Model!$AL$1:$AL$428,MATCH($A397,_DATA_Assessment_Model!$A$1:$A$428,0)),""))</f>
        <v>0</v>
      </c>
      <c r="AN397">
        <f t="shared" si="19"/>
        <v>1</v>
      </c>
      <c r="AO397">
        <f>IF($A397="","",_CONFIG_Model_Settings!$B$172*MAX(N($AK397),(N($AF397)+N($AI397))/2))</f>
        <v>100</v>
      </c>
      <c r="AP397">
        <f t="shared" si="20"/>
        <v>100</v>
      </c>
      <c r="AQ397">
        <f>IF($AP397="","",MAX(0,$AP397*(1-(_CONFIG_Model_Settings!$B$173+_CONFIG_Model_Settings!$B$174*(N($AH397)-1)))))</f>
        <v>65</v>
      </c>
      <c r="AR397">
        <f>IF($AP397="","",MIN(100,$AP397*(1+(_CONFIG_Model_Settings!$B$173+_CONFIG_Model_Settings!$B$174*(N($AH397)-1)))))</f>
        <v>100</v>
      </c>
    </row>
    <row r="398" spans="1:44" ht="60" customHeight="1">
      <c r="A398" s="9" t="s">
        <v>3137</v>
      </c>
      <c r="B398" s="9" t="s">
        <v>2986</v>
      </c>
      <c r="C398" s="9" t="s">
        <v>3023</v>
      </c>
      <c r="D398" s="9" t="s">
        <v>4460</v>
      </c>
      <c r="E398" s="9" t="s">
        <v>3138</v>
      </c>
      <c r="F398" s="9" t="s">
        <v>10149</v>
      </c>
      <c r="G398" s="9" t="s">
        <v>10150</v>
      </c>
      <c r="H398" s="9" t="s">
        <v>10151</v>
      </c>
      <c r="I398" s="9" t="s">
        <v>10152</v>
      </c>
      <c r="J398" s="9" t="s">
        <v>10153</v>
      </c>
      <c r="K398" s="9" t="s">
        <v>10154</v>
      </c>
      <c r="L398" s="9" t="s">
        <v>10155</v>
      </c>
      <c r="M398" s="9" t="s">
        <v>10156</v>
      </c>
      <c r="N398" s="9" t="s">
        <v>10157</v>
      </c>
      <c r="O398" s="9" t="s">
        <v>10158</v>
      </c>
      <c r="P398" s="9" t="s">
        <v>10159</v>
      </c>
      <c r="Q398" s="9" t="s">
        <v>10160</v>
      </c>
      <c r="R398" s="9" t="s">
        <v>4589</v>
      </c>
      <c r="S398" s="9" t="s">
        <v>10161</v>
      </c>
      <c r="T398" s="9">
        <v>4</v>
      </c>
      <c r="U398" s="9">
        <v>3</v>
      </c>
      <c r="V398" s="9">
        <v>3</v>
      </c>
      <c r="W398" s="9">
        <v>2</v>
      </c>
      <c r="X398" s="9">
        <v>1</v>
      </c>
      <c r="Y398" s="9">
        <v>1</v>
      </c>
      <c r="Z398" s="9" t="s">
        <v>2991</v>
      </c>
      <c r="AA398" s="9" t="s">
        <v>3139</v>
      </c>
      <c r="AB398" s="9" t="s">
        <v>2999</v>
      </c>
      <c r="AC398" s="9" t="s">
        <v>9811</v>
      </c>
      <c r="AD398" s="9" t="s">
        <v>10162</v>
      </c>
      <c r="AE398" t="str">
        <f t="shared" si="18"/>
        <v>Fast</v>
      </c>
      <c r="AF398">
        <f>IF($A398="","",IFERROR(VLOOKUP($B398,_CONFIG_Risk_Calibration!$A$5:$H$21,2,FALSE),3))</f>
        <v>3</v>
      </c>
      <c r="AG398">
        <f>IF($A398="","",IFERROR(VLOOKUP($B398,_CONFIG_Risk_Calibration!$A$5:$H$21,3,FALSE),0))</f>
        <v>0</v>
      </c>
      <c r="AH398">
        <f>IF($A398="","",IFERROR(VLOOKUP($B398,_CONFIG_Risk_Calibration!$A$5:$H$21,4,FALSE),3))</f>
        <v>3</v>
      </c>
      <c r="AI398">
        <f>IF($A398="","",IFERROR(VLOOKUP($B398,_CONFIG_Risk_Calibration!$A$5:$H$21,5,FALSE),3))</f>
        <v>4</v>
      </c>
      <c r="AJ398" t="str">
        <f>IF($A398="","",IFERROR(VLOOKUP($B398,_CONFIG_Risk_Calibration!$A$5:$H$21,6,FALSE),"No"))</f>
        <v>Yes</v>
      </c>
      <c r="AK398">
        <f>IF($A398="","",IFERROR(VLOOKUP($B398,_CONFIG_Risk_Calibration!$A$5:$H$21,7,FALSE),1))</f>
        <v>5</v>
      </c>
      <c r="AL398" t="str">
        <f>IF($A398="","",IFERROR(VLOOKUP($B398,_CONFIG_Risk_Calibration!$A$5:$H$21,8,FALSE),""))</f>
        <v>Clean template default. Calibrate with real exposure, incident history, evidence quality and domain-owner validation.</v>
      </c>
      <c r="AM398">
        <f>IF($A398="","",IFERROR(INDEX(_DATA_Assessment_Model!$AL$1:$AL$428,MATCH($A398,_DATA_Assessment_Model!$A$1:$A$428,0)),""))</f>
        <v>0</v>
      </c>
      <c r="AN398">
        <f t="shared" si="19"/>
        <v>1</v>
      </c>
      <c r="AO398">
        <f>IF($A398="","",_CONFIG_Model_Settings!$B$172*MAX(N($AK398),(N($AF398)+N($AI398))/2))</f>
        <v>100</v>
      </c>
      <c r="AP398">
        <f t="shared" si="20"/>
        <v>100</v>
      </c>
      <c r="AQ398">
        <f>IF($AP398="","",MAX(0,$AP398*(1-(_CONFIG_Model_Settings!$B$173+_CONFIG_Model_Settings!$B$174*(N($AH398)-1)))))</f>
        <v>65</v>
      </c>
      <c r="AR398">
        <f>IF($AP398="","",MIN(100,$AP398*(1+(_CONFIG_Model_Settings!$B$173+_CONFIG_Model_Settings!$B$174*(N($AH398)-1)))))</f>
        <v>100</v>
      </c>
    </row>
    <row r="399" spans="1:44" ht="72" customHeight="1">
      <c r="A399" s="9" t="s">
        <v>3140</v>
      </c>
      <c r="B399" s="9" t="s">
        <v>2986</v>
      </c>
      <c r="C399" s="9" t="s">
        <v>3027</v>
      </c>
      <c r="D399" s="9" t="s">
        <v>4460</v>
      </c>
      <c r="E399" s="9" t="s">
        <v>3141</v>
      </c>
      <c r="F399" s="9" t="s">
        <v>10163</v>
      </c>
      <c r="G399" s="9" t="s">
        <v>10164</v>
      </c>
      <c r="H399" s="9" t="s">
        <v>10165</v>
      </c>
      <c r="I399" s="9" t="s">
        <v>10166</v>
      </c>
      <c r="J399" s="9" t="s">
        <v>10167</v>
      </c>
      <c r="K399" s="9" t="s">
        <v>10168</v>
      </c>
      <c r="L399" s="9" t="s">
        <v>10169</v>
      </c>
      <c r="M399" s="9" t="s">
        <v>10170</v>
      </c>
      <c r="N399" s="9" t="s">
        <v>10171</v>
      </c>
      <c r="O399" s="9" t="s">
        <v>10172</v>
      </c>
      <c r="P399" s="9" t="s">
        <v>10173</v>
      </c>
      <c r="Q399" s="9" t="s">
        <v>10174</v>
      </c>
      <c r="R399" s="9" t="s">
        <v>4589</v>
      </c>
      <c r="S399" s="9" t="s">
        <v>10175</v>
      </c>
      <c r="T399" s="9">
        <v>4</v>
      </c>
      <c r="U399" s="9">
        <v>3</v>
      </c>
      <c r="V399" s="9">
        <v>3</v>
      </c>
      <c r="W399" s="9">
        <v>2</v>
      </c>
      <c r="X399" s="9">
        <v>1</v>
      </c>
      <c r="Y399" s="9">
        <v>1</v>
      </c>
      <c r="Z399" s="9" t="s">
        <v>2991</v>
      </c>
      <c r="AA399" s="9" t="s">
        <v>3142</v>
      </c>
      <c r="AB399" s="9" t="s">
        <v>2999</v>
      </c>
      <c r="AC399" s="9" t="s">
        <v>9811</v>
      </c>
      <c r="AD399" s="9" t="s">
        <v>10176</v>
      </c>
      <c r="AE399" t="str">
        <f t="shared" si="18"/>
        <v>Fast</v>
      </c>
      <c r="AF399">
        <f>IF($A399="","",IFERROR(VLOOKUP($B399,_CONFIG_Risk_Calibration!$A$5:$H$21,2,FALSE),3))</f>
        <v>3</v>
      </c>
      <c r="AG399">
        <f>IF($A399="","",IFERROR(VLOOKUP($B399,_CONFIG_Risk_Calibration!$A$5:$H$21,3,FALSE),0))</f>
        <v>0</v>
      </c>
      <c r="AH399">
        <f>IF($A399="","",IFERROR(VLOOKUP($B399,_CONFIG_Risk_Calibration!$A$5:$H$21,4,FALSE),3))</f>
        <v>3</v>
      </c>
      <c r="AI399">
        <f>IF($A399="","",IFERROR(VLOOKUP($B399,_CONFIG_Risk_Calibration!$A$5:$H$21,5,FALSE),3))</f>
        <v>4</v>
      </c>
      <c r="AJ399" t="str">
        <f>IF($A399="","",IFERROR(VLOOKUP($B399,_CONFIG_Risk_Calibration!$A$5:$H$21,6,FALSE),"No"))</f>
        <v>Yes</v>
      </c>
      <c r="AK399">
        <f>IF($A399="","",IFERROR(VLOOKUP($B399,_CONFIG_Risk_Calibration!$A$5:$H$21,7,FALSE),1))</f>
        <v>5</v>
      </c>
      <c r="AL399" t="str">
        <f>IF($A399="","",IFERROR(VLOOKUP($B399,_CONFIG_Risk_Calibration!$A$5:$H$21,8,FALSE),""))</f>
        <v>Clean template default. Calibrate with real exposure, incident history, evidence quality and domain-owner validation.</v>
      </c>
      <c r="AM399">
        <f>IF($A399="","",IFERROR(INDEX(_DATA_Assessment_Model!$AL$1:$AL$428,MATCH($A399,_DATA_Assessment_Model!$A$1:$A$428,0)),""))</f>
        <v>0</v>
      </c>
      <c r="AN399">
        <f t="shared" si="19"/>
        <v>1</v>
      </c>
      <c r="AO399">
        <f>IF($A399="","",_CONFIG_Model_Settings!$B$172*MAX(N($AK399),(N($AF399)+N($AI399))/2))</f>
        <v>100</v>
      </c>
      <c r="AP399">
        <f t="shared" si="20"/>
        <v>100</v>
      </c>
      <c r="AQ399">
        <f>IF($AP399="","",MAX(0,$AP399*(1-(_CONFIG_Model_Settings!$B$173+_CONFIG_Model_Settings!$B$174*(N($AH399)-1)))))</f>
        <v>65</v>
      </c>
      <c r="AR399">
        <f>IF($AP399="","",MIN(100,$AP399*(1+(_CONFIG_Model_Settings!$B$173+_CONFIG_Model_Settings!$B$174*(N($AH399)-1)))))</f>
        <v>100</v>
      </c>
    </row>
    <row r="400" spans="1:44" ht="72" customHeight="1">
      <c r="A400" s="9" t="s">
        <v>3149</v>
      </c>
      <c r="B400" s="9" t="s">
        <v>2986</v>
      </c>
      <c r="C400" s="9" t="s">
        <v>3027</v>
      </c>
      <c r="D400" s="9" t="s">
        <v>4460</v>
      </c>
      <c r="E400" s="9" t="s">
        <v>3150</v>
      </c>
      <c r="F400" s="9" t="s">
        <v>10177</v>
      </c>
      <c r="G400" s="9" t="s">
        <v>10178</v>
      </c>
      <c r="H400" s="9" t="s">
        <v>10179</v>
      </c>
      <c r="I400" s="9" t="s">
        <v>10180</v>
      </c>
      <c r="J400" s="9" t="s">
        <v>10181</v>
      </c>
      <c r="K400" s="9" t="s">
        <v>10182</v>
      </c>
      <c r="L400" s="9" t="s">
        <v>10183</v>
      </c>
      <c r="M400" s="9" t="s">
        <v>10184</v>
      </c>
      <c r="N400" s="9" t="s">
        <v>10185</v>
      </c>
      <c r="O400" s="9" t="s">
        <v>10186</v>
      </c>
      <c r="P400" s="9" t="s">
        <v>10187</v>
      </c>
      <c r="Q400" s="9" t="s">
        <v>10188</v>
      </c>
      <c r="R400" s="9" t="s">
        <v>4589</v>
      </c>
      <c r="S400" s="9" t="s">
        <v>10189</v>
      </c>
      <c r="T400" s="9">
        <v>4</v>
      </c>
      <c r="U400" s="9">
        <v>3</v>
      </c>
      <c r="V400" s="9">
        <v>3</v>
      </c>
      <c r="W400" s="9">
        <v>2</v>
      </c>
      <c r="X400" s="9">
        <v>1</v>
      </c>
      <c r="Y400" s="9">
        <v>1</v>
      </c>
      <c r="Z400" s="9" t="s">
        <v>2991</v>
      </c>
      <c r="AA400" s="9" t="s">
        <v>3151</v>
      </c>
      <c r="AB400" s="9" t="s">
        <v>2999</v>
      </c>
      <c r="AC400" s="9" t="s">
        <v>9811</v>
      </c>
      <c r="AD400" s="9" t="s">
        <v>10190</v>
      </c>
      <c r="AE400" t="str">
        <f t="shared" si="18"/>
        <v>Fast</v>
      </c>
      <c r="AF400">
        <f>IF($A400="","",IFERROR(VLOOKUP($B400,_CONFIG_Risk_Calibration!$A$5:$H$21,2,FALSE),3))</f>
        <v>3</v>
      </c>
      <c r="AG400">
        <f>IF($A400="","",IFERROR(VLOOKUP($B400,_CONFIG_Risk_Calibration!$A$5:$H$21,3,FALSE),0))</f>
        <v>0</v>
      </c>
      <c r="AH400">
        <f>IF($A400="","",IFERROR(VLOOKUP($B400,_CONFIG_Risk_Calibration!$A$5:$H$21,4,FALSE),3))</f>
        <v>3</v>
      </c>
      <c r="AI400">
        <f>IF($A400="","",IFERROR(VLOOKUP($B400,_CONFIG_Risk_Calibration!$A$5:$H$21,5,FALSE),3))</f>
        <v>4</v>
      </c>
      <c r="AJ400" t="str">
        <f>IF($A400="","",IFERROR(VLOOKUP($B400,_CONFIG_Risk_Calibration!$A$5:$H$21,6,FALSE),"No"))</f>
        <v>Yes</v>
      </c>
      <c r="AK400">
        <f>IF($A400="","",IFERROR(VLOOKUP($B400,_CONFIG_Risk_Calibration!$A$5:$H$21,7,FALSE),1))</f>
        <v>5</v>
      </c>
      <c r="AL400" t="str">
        <f>IF($A400="","",IFERROR(VLOOKUP($B400,_CONFIG_Risk_Calibration!$A$5:$H$21,8,FALSE),""))</f>
        <v>Clean template default. Calibrate with real exposure, incident history, evidence quality and domain-owner validation.</v>
      </c>
      <c r="AM400">
        <f>IF($A400="","",IFERROR(INDEX(_DATA_Assessment_Model!$AL$1:$AL$428,MATCH($A400,_DATA_Assessment_Model!$A$1:$A$428,0)),""))</f>
        <v>0</v>
      </c>
      <c r="AN400">
        <f t="shared" si="19"/>
        <v>1</v>
      </c>
      <c r="AO400">
        <f>IF($A400="","",_CONFIG_Model_Settings!$B$172*MAX(N($AK400),(N($AF400)+N($AI400))/2))</f>
        <v>100</v>
      </c>
      <c r="AP400">
        <f t="shared" si="20"/>
        <v>100</v>
      </c>
      <c r="AQ400">
        <f>IF($AP400="","",MAX(0,$AP400*(1-(_CONFIG_Model_Settings!$B$173+_CONFIG_Model_Settings!$B$174*(N($AH400)-1)))))</f>
        <v>65</v>
      </c>
      <c r="AR400">
        <f>IF($AP400="","",MIN(100,$AP400*(1+(_CONFIG_Model_Settings!$B$173+_CONFIG_Model_Settings!$B$174*(N($AH400)-1)))))</f>
        <v>100</v>
      </c>
    </row>
    <row r="401" spans="1:44" ht="72" customHeight="1">
      <c r="A401" s="9" t="s">
        <v>3152</v>
      </c>
      <c r="B401" s="9" t="s">
        <v>2986</v>
      </c>
      <c r="C401" s="9" t="s">
        <v>3031</v>
      </c>
      <c r="D401" s="9" t="s">
        <v>4460</v>
      </c>
      <c r="E401" s="9" t="s">
        <v>3153</v>
      </c>
      <c r="F401" s="9" t="s">
        <v>10191</v>
      </c>
      <c r="G401" s="9" t="s">
        <v>10192</v>
      </c>
      <c r="H401" s="9" t="s">
        <v>10193</v>
      </c>
      <c r="I401" s="9" t="s">
        <v>10194</v>
      </c>
      <c r="J401" s="9" t="s">
        <v>10195</v>
      </c>
      <c r="K401" s="9" t="s">
        <v>10196</v>
      </c>
      <c r="L401" s="9" t="s">
        <v>10197</v>
      </c>
      <c r="M401" s="9" t="s">
        <v>10198</v>
      </c>
      <c r="N401" s="9" t="s">
        <v>10199</v>
      </c>
      <c r="O401" s="9" t="s">
        <v>10200</v>
      </c>
      <c r="P401" s="9" t="s">
        <v>10201</v>
      </c>
      <c r="Q401" s="9" t="s">
        <v>10202</v>
      </c>
      <c r="R401" s="9" t="s">
        <v>4589</v>
      </c>
      <c r="S401" s="9" t="s">
        <v>10203</v>
      </c>
      <c r="T401" s="9">
        <v>4</v>
      </c>
      <c r="U401" s="9">
        <v>3</v>
      </c>
      <c r="V401" s="9">
        <v>3</v>
      </c>
      <c r="W401" s="9">
        <v>2</v>
      </c>
      <c r="X401" s="9">
        <v>1</v>
      </c>
      <c r="Y401" s="9">
        <v>1</v>
      </c>
      <c r="Z401" s="9" t="s">
        <v>2991</v>
      </c>
      <c r="AA401" s="9" t="s">
        <v>3154</v>
      </c>
      <c r="AB401" s="9" t="s">
        <v>2999</v>
      </c>
      <c r="AC401" s="9" t="s">
        <v>9811</v>
      </c>
      <c r="AD401" s="9" t="s">
        <v>10204</v>
      </c>
      <c r="AE401" t="str">
        <f t="shared" si="18"/>
        <v>Fast</v>
      </c>
      <c r="AF401">
        <f>IF($A401="","",IFERROR(VLOOKUP($B401,_CONFIG_Risk_Calibration!$A$5:$H$21,2,FALSE),3))</f>
        <v>3</v>
      </c>
      <c r="AG401">
        <f>IF($A401="","",IFERROR(VLOOKUP($B401,_CONFIG_Risk_Calibration!$A$5:$H$21,3,FALSE),0))</f>
        <v>0</v>
      </c>
      <c r="AH401">
        <f>IF($A401="","",IFERROR(VLOOKUP($B401,_CONFIG_Risk_Calibration!$A$5:$H$21,4,FALSE),3))</f>
        <v>3</v>
      </c>
      <c r="AI401">
        <f>IF($A401="","",IFERROR(VLOOKUP($B401,_CONFIG_Risk_Calibration!$A$5:$H$21,5,FALSE),3))</f>
        <v>4</v>
      </c>
      <c r="AJ401" t="str">
        <f>IF($A401="","",IFERROR(VLOOKUP($B401,_CONFIG_Risk_Calibration!$A$5:$H$21,6,FALSE),"No"))</f>
        <v>Yes</v>
      </c>
      <c r="AK401">
        <f>IF($A401="","",IFERROR(VLOOKUP($B401,_CONFIG_Risk_Calibration!$A$5:$H$21,7,FALSE),1))</f>
        <v>5</v>
      </c>
      <c r="AL401" t="str">
        <f>IF($A401="","",IFERROR(VLOOKUP($B401,_CONFIG_Risk_Calibration!$A$5:$H$21,8,FALSE),""))</f>
        <v>Clean template default. Calibrate with real exposure, incident history, evidence quality and domain-owner validation.</v>
      </c>
      <c r="AM401">
        <f>IF($A401="","",IFERROR(INDEX(_DATA_Assessment_Model!$AL$1:$AL$428,MATCH($A401,_DATA_Assessment_Model!$A$1:$A$428,0)),""))</f>
        <v>0</v>
      </c>
      <c r="AN401">
        <f t="shared" si="19"/>
        <v>1</v>
      </c>
      <c r="AO401">
        <f>IF($A401="","",_CONFIG_Model_Settings!$B$172*MAX(N($AK401),(N($AF401)+N($AI401))/2))</f>
        <v>100</v>
      </c>
      <c r="AP401">
        <f t="shared" si="20"/>
        <v>100</v>
      </c>
      <c r="AQ401">
        <f>IF($AP401="","",MAX(0,$AP401*(1-(_CONFIG_Model_Settings!$B$173+_CONFIG_Model_Settings!$B$174*(N($AH401)-1)))))</f>
        <v>65</v>
      </c>
      <c r="AR401">
        <f>IF($AP401="","",MIN(100,$AP401*(1+(_CONFIG_Model_Settings!$B$173+_CONFIG_Model_Settings!$B$174*(N($AH401)-1)))))</f>
        <v>100</v>
      </c>
    </row>
    <row r="402" spans="1:44" ht="72" customHeight="1">
      <c r="A402" s="9" t="s">
        <v>3161</v>
      </c>
      <c r="B402" s="9" t="s">
        <v>2986</v>
      </c>
      <c r="C402" s="9" t="s">
        <v>3031</v>
      </c>
      <c r="D402" s="9" t="s">
        <v>4460</v>
      </c>
      <c r="E402" s="9" t="s">
        <v>3162</v>
      </c>
      <c r="F402" s="9" t="s">
        <v>10205</v>
      </c>
      <c r="G402" s="9" t="s">
        <v>10206</v>
      </c>
      <c r="H402" s="9" t="s">
        <v>10207</v>
      </c>
      <c r="I402" s="9" t="s">
        <v>10208</v>
      </c>
      <c r="J402" s="9" t="s">
        <v>10209</v>
      </c>
      <c r="K402" s="9" t="s">
        <v>10210</v>
      </c>
      <c r="L402" s="9" t="s">
        <v>10211</v>
      </c>
      <c r="M402" s="9" t="s">
        <v>10212</v>
      </c>
      <c r="N402" s="9" t="s">
        <v>10213</v>
      </c>
      <c r="O402" s="9" t="s">
        <v>10214</v>
      </c>
      <c r="P402" s="9" t="s">
        <v>10215</v>
      </c>
      <c r="Q402" s="9" t="s">
        <v>10216</v>
      </c>
      <c r="R402" s="9" t="s">
        <v>4589</v>
      </c>
      <c r="S402" s="9" t="s">
        <v>10217</v>
      </c>
      <c r="T402" s="9">
        <v>4</v>
      </c>
      <c r="U402" s="9">
        <v>3</v>
      </c>
      <c r="V402" s="9">
        <v>3</v>
      </c>
      <c r="W402" s="9">
        <v>2</v>
      </c>
      <c r="X402" s="9">
        <v>1</v>
      </c>
      <c r="Y402" s="9">
        <v>1</v>
      </c>
      <c r="Z402" s="9" t="s">
        <v>2991</v>
      </c>
      <c r="AA402" s="9" t="s">
        <v>3163</v>
      </c>
      <c r="AB402" s="9" t="s">
        <v>2999</v>
      </c>
      <c r="AC402" s="9" t="s">
        <v>9811</v>
      </c>
      <c r="AD402" s="9" t="s">
        <v>10218</v>
      </c>
      <c r="AE402" t="str">
        <f t="shared" si="18"/>
        <v>Fast</v>
      </c>
      <c r="AF402">
        <f>IF($A402="","",IFERROR(VLOOKUP($B402,_CONFIG_Risk_Calibration!$A$5:$H$21,2,FALSE),3))</f>
        <v>3</v>
      </c>
      <c r="AG402">
        <f>IF($A402="","",IFERROR(VLOOKUP($B402,_CONFIG_Risk_Calibration!$A$5:$H$21,3,FALSE),0))</f>
        <v>0</v>
      </c>
      <c r="AH402">
        <f>IF($A402="","",IFERROR(VLOOKUP($B402,_CONFIG_Risk_Calibration!$A$5:$H$21,4,FALSE),3))</f>
        <v>3</v>
      </c>
      <c r="AI402">
        <f>IF($A402="","",IFERROR(VLOOKUP($B402,_CONFIG_Risk_Calibration!$A$5:$H$21,5,FALSE),3))</f>
        <v>4</v>
      </c>
      <c r="AJ402" t="str">
        <f>IF($A402="","",IFERROR(VLOOKUP($B402,_CONFIG_Risk_Calibration!$A$5:$H$21,6,FALSE),"No"))</f>
        <v>Yes</v>
      </c>
      <c r="AK402">
        <f>IF($A402="","",IFERROR(VLOOKUP($B402,_CONFIG_Risk_Calibration!$A$5:$H$21,7,FALSE),1))</f>
        <v>5</v>
      </c>
      <c r="AL402" t="str">
        <f>IF($A402="","",IFERROR(VLOOKUP($B402,_CONFIG_Risk_Calibration!$A$5:$H$21,8,FALSE),""))</f>
        <v>Clean template default. Calibrate with real exposure, incident history, evidence quality and domain-owner validation.</v>
      </c>
      <c r="AM402">
        <f>IF($A402="","",IFERROR(INDEX(_DATA_Assessment_Model!$AL$1:$AL$428,MATCH($A402,_DATA_Assessment_Model!$A$1:$A$428,0)),""))</f>
        <v>0</v>
      </c>
      <c r="AN402">
        <f t="shared" si="19"/>
        <v>1</v>
      </c>
      <c r="AO402">
        <f>IF($A402="","",_CONFIG_Model_Settings!$B$172*MAX(N($AK402),(N($AF402)+N($AI402))/2))</f>
        <v>100</v>
      </c>
      <c r="AP402">
        <f t="shared" si="20"/>
        <v>100</v>
      </c>
      <c r="AQ402">
        <f>IF($AP402="","",MAX(0,$AP402*(1-(_CONFIG_Model_Settings!$B$173+_CONFIG_Model_Settings!$B$174*(N($AH402)-1)))))</f>
        <v>65</v>
      </c>
      <c r="AR402">
        <f>IF($AP402="","",MIN(100,$AP402*(1+(_CONFIG_Model_Settings!$B$173+_CONFIG_Model_Settings!$B$174*(N($AH402)-1)))))</f>
        <v>100</v>
      </c>
    </row>
    <row r="403" spans="1:44" ht="84" customHeight="1">
      <c r="A403" s="9" t="s">
        <v>3170</v>
      </c>
      <c r="B403" s="9" t="s">
        <v>2986</v>
      </c>
      <c r="C403" s="9" t="s">
        <v>2988</v>
      </c>
      <c r="D403" s="9" t="s">
        <v>10219</v>
      </c>
      <c r="E403" s="9" t="s">
        <v>3171</v>
      </c>
      <c r="F403" s="9" t="s">
        <v>10220</v>
      </c>
      <c r="G403" s="9" t="s">
        <v>10221</v>
      </c>
      <c r="H403" s="9" t="s">
        <v>10222</v>
      </c>
      <c r="I403" s="9" t="s">
        <v>10223</v>
      </c>
      <c r="J403" s="9" t="s">
        <v>10224</v>
      </c>
      <c r="K403" s="9" t="s">
        <v>10225</v>
      </c>
      <c r="L403" s="9" t="s">
        <v>10226</v>
      </c>
      <c r="M403" s="9" t="s">
        <v>10227</v>
      </c>
      <c r="N403" s="9" t="s">
        <v>10228</v>
      </c>
      <c r="O403" s="9" t="s">
        <v>10229</v>
      </c>
      <c r="P403" s="9" t="s">
        <v>10230</v>
      </c>
      <c r="Q403" s="9" t="s">
        <v>10231</v>
      </c>
      <c r="R403" s="9" t="s">
        <v>4589</v>
      </c>
      <c r="S403" s="9" t="s">
        <v>10232</v>
      </c>
      <c r="T403" s="9">
        <v>3</v>
      </c>
      <c r="U403" s="9">
        <v>3</v>
      </c>
      <c r="V403" s="9">
        <v>2</v>
      </c>
      <c r="W403" s="9">
        <v>2</v>
      </c>
      <c r="X403" s="9">
        <v>2</v>
      </c>
      <c r="Y403" s="9">
        <v>1</v>
      </c>
      <c r="Z403" s="9" t="s">
        <v>3173</v>
      </c>
      <c r="AA403" s="9" t="s">
        <v>10233</v>
      </c>
      <c r="AB403" s="9" t="s">
        <v>3174</v>
      </c>
      <c r="AC403" s="9" t="s">
        <v>10234</v>
      </c>
      <c r="AD403" s="9" t="s">
        <v>10235</v>
      </c>
      <c r="AE403" t="str">
        <f t="shared" si="18"/>
        <v>Fast</v>
      </c>
      <c r="AF403">
        <f>IF($A403="","",IFERROR(VLOOKUP($B403,_CONFIG_Risk_Calibration!$A$5:$H$21,2,FALSE),3))</f>
        <v>3</v>
      </c>
      <c r="AG403">
        <f>IF($A403="","",IFERROR(VLOOKUP($B403,_CONFIG_Risk_Calibration!$A$5:$H$21,3,FALSE),0))</f>
        <v>0</v>
      </c>
      <c r="AH403">
        <f>IF($A403="","",IFERROR(VLOOKUP($B403,_CONFIG_Risk_Calibration!$A$5:$H$21,4,FALSE),3))</f>
        <v>3</v>
      </c>
      <c r="AI403">
        <f>IF($A403="","",IFERROR(VLOOKUP($B403,_CONFIG_Risk_Calibration!$A$5:$H$21,5,FALSE),3))</f>
        <v>4</v>
      </c>
      <c r="AJ403" t="str">
        <f>IF($A403="","",IFERROR(VLOOKUP($B403,_CONFIG_Risk_Calibration!$A$5:$H$21,6,FALSE),"No"))</f>
        <v>Yes</v>
      </c>
      <c r="AK403">
        <f>IF($A403="","",IFERROR(VLOOKUP($B403,_CONFIG_Risk_Calibration!$A$5:$H$21,7,FALSE),1))</f>
        <v>5</v>
      </c>
      <c r="AL403" t="str">
        <f>IF($A403="","",IFERROR(VLOOKUP($B403,_CONFIG_Risk_Calibration!$A$5:$H$21,8,FALSE),""))</f>
        <v>Clean template default. Calibrate with real exposure, incident history, evidence quality and domain-owner validation.</v>
      </c>
      <c r="AM403">
        <f>IF($A403="","",IFERROR(INDEX(_DATA_Assessment_Model!$AL$1:$AL$428,MATCH($A403,_DATA_Assessment_Model!$A$1:$A$428,0)),""))</f>
        <v>0</v>
      </c>
      <c r="AN403">
        <f t="shared" si="19"/>
        <v>1</v>
      </c>
      <c r="AO403">
        <f>IF($A403="","",_CONFIG_Model_Settings!$B$172*MAX(N($AK403),(N($AF403)+N($AI403))/2))</f>
        <v>100</v>
      </c>
      <c r="AP403">
        <f t="shared" si="20"/>
        <v>100</v>
      </c>
      <c r="AQ403">
        <f>IF($AP403="","",MAX(0,$AP403*(1-(_CONFIG_Model_Settings!$B$173+_CONFIG_Model_Settings!$B$174*(N($AH403)-1)))))</f>
        <v>65</v>
      </c>
      <c r="AR403">
        <f>IF($AP403="","",MIN(100,$AP403*(1+(_CONFIG_Model_Settings!$B$173+_CONFIG_Model_Settings!$B$174*(N($AH403)-1)))))</f>
        <v>100</v>
      </c>
    </row>
    <row r="404" spans="1:44" ht="84" customHeight="1">
      <c r="A404" s="9" t="s">
        <v>3175</v>
      </c>
      <c r="B404" s="9" t="s">
        <v>2986</v>
      </c>
      <c r="C404" s="9" t="s">
        <v>2988</v>
      </c>
      <c r="D404" s="9" t="s">
        <v>10219</v>
      </c>
      <c r="E404" s="9" t="s">
        <v>3176</v>
      </c>
      <c r="F404" s="9" t="s">
        <v>10236</v>
      </c>
      <c r="G404" s="9" t="s">
        <v>10237</v>
      </c>
      <c r="H404" s="9" t="s">
        <v>10238</v>
      </c>
      <c r="I404" s="9" t="s">
        <v>10239</v>
      </c>
      <c r="J404" s="9" t="s">
        <v>10240</v>
      </c>
      <c r="K404" s="9" t="s">
        <v>10241</v>
      </c>
      <c r="L404" s="9" t="s">
        <v>10242</v>
      </c>
      <c r="M404" s="9" t="s">
        <v>10243</v>
      </c>
      <c r="N404" s="9" t="s">
        <v>10244</v>
      </c>
      <c r="O404" s="9" t="s">
        <v>10245</v>
      </c>
      <c r="P404" s="9" t="s">
        <v>10246</v>
      </c>
      <c r="Q404" s="9" t="s">
        <v>10247</v>
      </c>
      <c r="R404" s="9" t="s">
        <v>4589</v>
      </c>
      <c r="S404" s="9" t="s">
        <v>10248</v>
      </c>
      <c r="T404" s="9">
        <v>2</v>
      </c>
      <c r="U404" s="9">
        <v>2</v>
      </c>
      <c r="V404" s="9">
        <v>2</v>
      </c>
      <c r="W404" s="9">
        <v>2</v>
      </c>
      <c r="X404" s="9">
        <v>1</v>
      </c>
      <c r="Y404" s="9">
        <v>1</v>
      </c>
      <c r="Z404" s="9" t="s">
        <v>3177</v>
      </c>
      <c r="AA404" s="9" t="s">
        <v>10249</v>
      </c>
      <c r="AB404" s="9" t="s">
        <v>1373</v>
      </c>
      <c r="AC404" s="9" t="s">
        <v>10250</v>
      </c>
      <c r="AD404" s="9" t="s">
        <v>10251</v>
      </c>
      <c r="AE404" t="str">
        <f t="shared" si="18"/>
        <v>Fast</v>
      </c>
      <c r="AF404">
        <f>IF($A404="","",IFERROR(VLOOKUP($B404,_CONFIG_Risk_Calibration!$A$5:$H$21,2,FALSE),3))</f>
        <v>3</v>
      </c>
      <c r="AG404">
        <f>IF($A404="","",IFERROR(VLOOKUP($B404,_CONFIG_Risk_Calibration!$A$5:$H$21,3,FALSE),0))</f>
        <v>0</v>
      </c>
      <c r="AH404">
        <f>IF($A404="","",IFERROR(VLOOKUP($B404,_CONFIG_Risk_Calibration!$A$5:$H$21,4,FALSE),3))</f>
        <v>3</v>
      </c>
      <c r="AI404">
        <f>IF($A404="","",IFERROR(VLOOKUP($B404,_CONFIG_Risk_Calibration!$A$5:$H$21,5,FALSE),3))</f>
        <v>4</v>
      </c>
      <c r="AJ404" t="str">
        <f>IF($A404="","",IFERROR(VLOOKUP($B404,_CONFIG_Risk_Calibration!$A$5:$H$21,6,FALSE),"No"))</f>
        <v>Yes</v>
      </c>
      <c r="AK404">
        <f>IF($A404="","",IFERROR(VLOOKUP($B404,_CONFIG_Risk_Calibration!$A$5:$H$21,7,FALSE),1))</f>
        <v>5</v>
      </c>
      <c r="AL404" t="str">
        <f>IF($A404="","",IFERROR(VLOOKUP($B404,_CONFIG_Risk_Calibration!$A$5:$H$21,8,FALSE),""))</f>
        <v>Clean template default. Calibrate with real exposure, incident history, evidence quality and domain-owner validation.</v>
      </c>
      <c r="AM404">
        <f>IF($A404="","",IFERROR(INDEX(_DATA_Assessment_Model!$AL$1:$AL$428,MATCH($A404,_DATA_Assessment_Model!$A$1:$A$428,0)),""))</f>
        <v>0</v>
      </c>
      <c r="AN404">
        <f t="shared" si="19"/>
        <v>1</v>
      </c>
      <c r="AO404">
        <f>IF($A404="","",_CONFIG_Model_Settings!$B$172*MAX(N($AK404),(N($AF404)+N($AI404))/2))</f>
        <v>100</v>
      </c>
      <c r="AP404">
        <f t="shared" si="20"/>
        <v>100</v>
      </c>
      <c r="AQ404">
        <f>IF($AP404="","",MAX(0,$AP404*(1-(_CONFIG_Model_Settings!$B$173+_CONFIG_Model_Settings!$B$174*(N($AH404)-1)))))</f>
        <v>65</v>
      </c>
      <c r="AR404">
        <f>IF($AP404="","",MIN(100,$AP404*(1+(_CONFIG_Model_Settings!$B$173+_CONFIG_Model_Settings!$B$174*(N($AH404)-1)))))</f>
        <v>100</v>
      </c>
    </row>
    <row r="405" spans="1:44" ht="72" customHeight="1">
      <c r="A405" s="9" t="s">
        <v>3184</v>
      </c>
      <c r="B405" s="9" t="s">
        <v>2986</v>
      </c>
      <c r="C405" s="9" t="s">
        <v>3023</v>
      </c>
      <c r="D405" s="9" t="s">
        <v>10252</v>
      </c>
      <c r="E405" s="9" t="s">
        <v>3185</v>
      </c>
      <c r="F405" s="9" t="s">
        <v>10253</v>
      </c>
      <c r="G405" s="9" t="s">
        <v>10254</v>
      </c>
      <c r="H405" s="9" t="s">
        <v>10255</v>
      </c>
      <c r="I405" s="9" t="s">
        <v>10256</v>
      </c>
      <c r="J405" s="9" t="s">
        <v>10257</v>
      </c>
      <c r="K405" s="9" t="s">
        <v>10258</v>
      </c>
      <c r="L405" s="9" t="s">
        <v>10259</v>
      </c>
      <c r="M405" s="9" t="s">
        <v>10260</v>
      </c>
      <c r="N405" s="9" t="s">
        <v>10261</v>
      </c>
      <c r="O405" s="9" t="s">
        <v>10262</v>
      </c>
      <c r="P405" s="9" t="s">
        <v>10263</v>
      </c>
      <c r="Q405" s="9" t="s">
        <v>10264</v>
      </c>
      <c r="R405" s="9" t="s">
        <v>4589</v>
      </c>
      <c r="S405" s="9" t="s">
        <v>10265</v>
      </c>
      <c r="T405" s="9">
        <v>3</v>
      </c>
      <c r="U405" s="9">
        <v>2</v>
      </c>
      <c r="V405" s="9">
        <v>2</v>
      </c>
      <c r="W405" s="9">
        <v>2</v>
      </c>
      <c r="X405" s="9">
        <v>1</v>
      </c>
      <c r="Y405" s="9">
        <v>1</v>
      </c>
      <c r="Z405" s="9" t="s">
        <v>3187</v>
      </c>
      <c r="AA405" s="9" t="s">
        <v>10266</v>
      </c>
      <c r="AB405" s="9" t="s">
        <v>3194</v>
      </c>
      <c r="AC405" s="9" t="s">
        <v>10267</v>
      </c>
      <c r="AD405" s="9" t="s">
        <v>10268</v>
      </c>
      <c r="AE405" t="str">
        <f t="shared" si="18"/>
        <v>Medium</v>
      </c>
      <c r="AF405">
        <f>IF($A405="","",IFERROR(VLOOKUP($B405,_CONFIG_Risk_Calibration!$A$5:$H$21,2,FALSE),3))</f>
        <v>3</v>
      </c>
      <c r="AG405">
        <f>IF($A405="","",IFERROR(VLOOKUP($B405,_CONFIG_Risk_Calibration!$A$5:$H$21,3,FALSE),0))</f>
        <v>0</v>
      </c>
      <c r="AH405">
        <f>IF($A405="","",IFERROR(VLOOKUP($B405,_CONFIG_Risk_Calibration!$A$5:$H$21,4,FALSE),3))</f>
        <v>3</v>
      </c>
      <c r="AI405">
        <f>IF($A405="","",IFERROR(VLOOKUP($B405,_CONFIG_Risk_Calibration!$A$5:$H$21,5,FALSE),3))</f>
        <v>4</v>
      </c>
      <c r="AJ405" t="str">
        <f>IF($A405="","",IFERROR(VLOOKUP($B405,_CONFIG_Risk_Calibration!$A$5:$H$21,6,FALSE),"No"))</f>
        <v>Yes</v>
      </c>
      <c r="AK405">
        <f>IF($A405="","",IFERROR(VLOOKUP($B405,_CONFIG_Risk_Calibration!$A$5:$H$21,7,FALSE),1))</f>
        <v>5</v>
      </c>
      <c r="AL405" t="str">
        <f>IF($A405="","",IFERROR(VLOOKUP($B405,_CONFIG_Risk_Calibration!$A$5:$H$21,8,FALSE),""))</f>
        <v>Clean template default. Calibrate with real exposure, incident history, evidence quality and domain-owner validation.</v>
      </c>
      <c r="AM405">
        <f>IF($A405="","",IFERROR(INDEX(_DATA_Assessment_Model!$AL$1:$AL$428,MATCH($A405,_DATA_Assessment_Model!$A$1:$A$428,0)),""))</f>
        <v>0</v>
      </c>
      <c r="AN405">
        <f t="shared" si="19"/>
        <v>1</v>
      </c>
      <c r="AO405">
        <f>IF($A405="","",_CONFIG_Model_Settings!$B$172*MAX(N($AK405),(N($AF405)+N($AI405))/2))</f>
        <v>100</v>
      </c>
      <c r="AP405">
        <f t="shared" si="20"/>
        <v>100</v>
      </c>
      <c r="AQ405">
        <f>IF($AP405="","",MAX(0,$AP405*(1-(_CONFIG_Model_Settings!$B$173+_CONFIG_Model_Settings!$B$174*(N($AH405)-1)))))</f>
        <v>65</v>
      </c>
      <c r="AR405">
        <f>IF($AP405="","",MIN(100,$AP405*(1+(_CONFIG_Model_Settings!$B$173+_CONFIG_Model_Settings!$B$174*(N($AH405)-1)))))</f>
        <v>100</v>
      </c>
    </row>
    <row r="406" spans="1:44" ht="84" customHeight="1">
      <c r="A406" s="9" t="s">
        <v>3195</v>
      </c>
      <c r="B406" s="9" t="s">
        <v>2986</v>
      </c>
      <c r="C406" s="9" t="s">
        <v>3023</v>
      </c>
      <c r="D406" s="9" t="s">
        <v>10252</v>
      </c>
      <c r="E406" s="9" t="s">
        <v>3196</v>
      </c>
      <c r="F406" s="9" t="s">
        <v>10269</v>
      </c>
      <c r="G406" s="9" t="s">
        <v>10270</v>
      </c>
      <c r="H406" s="9" t="s">
        <v>10271</v>
      </c>
      <c r="I406" s="9" t="s">
        <v>10272</v>
      </c>
      <c r="J406" s="9" t="s">
        <v>10273</v>
      </c>
      <c r="K406" s="9" t="s">
        <v>10274</v>
      </c>
      <c r="L406" s="9" t="s">
        <v>10275</v>
      </c>
      <c r="M406" s="9" t="s">
        <v>10276</v>
      </c>
      <c r="N406" s="9" t="s">
        <v>10277</v>
      </c>
      <c r="O406" s="9" t="s">
        <v>10278</v>
      </c>
      <c r="P406" s="9" t="s">
        <v>10279</v>
      </c>
      <c r="Q406" s="9" t="s">
        <v>10280</v>
      </c>
      <c r="R406" s="9" t="s">
        <v>4589</v>
      </c>
      <c r="S406" s="9" t="s">
        <v>10281</v>
      </c>
      <c r="T406" s="9">
        <v>3</v>
      </c>
      <c r="U406" s="9">
        <v>2</v>
      </c>
      <c r="V406" s="9">
        <v>2</v>
      </c>
      <c r="W406" s="9">
        <v>2</v>
      </c>
      <c r="X406" s="9">
        <v>1</v>
      </c>
      <c r="Y406" s="9">
        <v>1</v>
      </c>
      <c r="Z406" s="9" t="s">
        <v>3197</v>
      </c>
      <c r="AA406" s="9" t="s">
        <v>10282</v>
      </c>
      <c r="AB406" s="9" t="s">
        <v>1373</v>
      </c>
      <c r="AC406" s="9" t="s">
        <v>10283</v>
      </c>
      <c r="AD406" s="9" t="s">
        <v>10284</v>
      </c>
      <c r="AE406" t="str">
        <f t="shared" si="18"/>
        <v>Medium</v>
      </c>
      <c r="AF406">
        <f>IF($A406="","",IFERROR(VLOOKUP($B406,_CONFIG_Risk_Calibration!$A$5:$H$21,2,FALSE),3))</f>
        <v>3</v>
      </c>
      <c r="AG406">
        <f>IF($A406="","",IFERROR(VLOOKUP($B406,_CONFIG_Risk_Calibration!$A$5:$H$21,3,FALSE),0))</f>
        <v>0</v>
      </c>
      <c r="AH406">
        <f>IF($A406="","",IFERROR(VLOOKUP($B406,_CONFIG_Risk_Calibration!$A$5:$H$21,4,FALSE),3))</f>
        <v>3</v>
      </c>
      <c r="AI406">
        <f>IF($A406="","",IFERROR(VLOOKUP($B406,_CONFIG_Risk_Calibration!$A$5:$H$21,5,FALSE),3))</f>
        <v>4</v>
      </c>
      <c r="AJ406" t="str">
        <f>IF($A406="","",IFERROR(VLOOKUP($B406,_CONFIG_Risk_Calibration!$A$5:$H$21,6,FALSE),"No"))</f>
        <v>Yes</v>
      </c>
      <c r="AK406">
        <f>IF($A406="","",IFERROR(VLOOKUP($B406,_CONFIG_Risk_Calibration!$A$5:$H$21,7,FALSE),1))</f>
        <v>5</v>
      </c>
      <c r="AL406" t="str">
        <f>IF($A406="","",IFERROR(VLOOKUP($B406,_CONFIG_Risk_Calibration!$A$5:$H$21,8,FALSE),""))</f>
        <v>Clean template default. Calibrate with real exposure, incident history, evidence quality and domain-owner validation.</v>
      </c>
      <c r="AM406">
        <f>IF($A406="","",IFERROR(INDEX(_DATA_Assessment_Model!$AL$1:$AL$428,MATCH($A406,_DATA_Assessment_Model!$A$1:$A$428,0)),""))</f>
        <v>0</v>
      </c>
      <c r="AN406">
        <f t="shared" si="19"/>
        <v>1</v>
      </c>
      <c r="AO406">
        <f>IF($A406="","",_CONFIG_Model_Settings!$B$172*MAX(N($AK406),(N($AF406)+N($AI406))/2))</f>
        <v>100</v>
      </c>
      <c r="AP406">
        <f t="shared" si="20"/>
        <v>100</v>
      </c>
      <c r="AQ406">
        <f>IF($AP406="","",MAX(0,$AP406*(1-(_CONFIG_Model_Settings!$B$173+_CONFIG_Model_Settings!$B$174*(N($AH406)-1)))))</f>
        <v>65</v>
      </c>
      <c r="AR406">
        <f>IF($AP406="","",MIN(100,$AP406*(1+(_CONFIG_Model_Settings!$B$173+_CONFIG_Model_Settings!$B$174*(N($AH406)-1)))))</f>
        <v>100</v>
      </c>
    </row>
    <row r="407" spans="1:44" ht="72" customHeight="1">
      <c r="A407" s="9" t="s">
        <v>3205</v>
      </c>
      <c r="B407" s="9" t="s">
        <v>3204</v>
      </c>
      <c r="C407" s="9" t="s">
        <v>3206</v>
      </c>
      <c r="D407" s="9" t="s">
        <v>4507</v>
      </c>
      <c r="E407" s="9" t="s">
        <v>3207</v>
      </c>
      <c r="F407" s="9" t="s">
        <v>10285</v>
      </c>
      <c r="G407" s="9" t="s">
        <v>10286</v>
      </c>
      <c r="H407" s="9" t="s">
        <v>10287</v>
      </c>
      <c r="I407" s="9" t="s">
        <v>10288</v>
      </c>
      <c r="J407" s="9" t="s">
        <v>10289</v>
      </c>
      <c r="K407" s="9" t="s">
        <v>10290</v>
      </c>
      <c r="L407" s="9" t="s">
        <v>10291</v>
      </c>
      <c r="M407" s="9" t="s">
        <v>10292</v>
      </c>
      <c r="N407" s="9" t="s">
        <v>10293</v>
      </c>
      <c r="O407" s="9" t="s">
        <v>10294</v>
      </c>
      <c r="P407" s="9" t="s">
        <v>10295</v>
      </c>
      <c r="Q407" s="9" t="s">
        <v>10296</v>
      </c>
      <c r="R407" s="9" t="s">
        <v>4589</v>
      </c>
      <c r="S407" s="9" t="s">
        <v>10297</v>
      </c>
      <c r="T407" s="9">
        <v>3</v>
      </c>
      <c r="U407" s="9">
        <v>3</v>
      </c>
      <c r="V407" s="9">
        <v>2</v>
      </c>
      <c r="W407" s="9">
        <v>2</v>
      </c>
      <c r="X407" s="9">
        <v>1</v>
      </c>
      <c r="Y407" s="9">
        <v>1</v>
      </c>
      <c r="Z407" s="9" t="s">
        <v>3209</v>
      </c>
      <c r="AA407" s="9" t="s">
        <v>3210</v>
      </c>
      <c r="AB407" s="9" t="s">
        <v>3217</v>
      </c>
      <c r="AC407" s="9" t="s">
        <v>10298</v>
      </c>
      <c r="AD407" s="9" t="s">
        <v>10299</v>
      </c>
      <c r="AE407" t="str">
        <f t="shared" si="18"/>
        <v>Slow</v>
      </c>
      <c r="AF407">
        <f>IF($A407="","",IFERROR(VLOOKUP($B407,_CONFIG_Risk_Calibration!$A$5:$H$21,2,FALSE),3))</f>
        <v>3</v>
      </c>
      <c r="AG407">
        <f>IF($A407="","",IFERROR(VLOOKUP($B407,_CONFIG_Risk_Calibration!$A$5:$H$21,3,FALSE),0))</f>
        <v>0</v>
      </c>
      <c r="AH407">
        <f>IF($A407="","",IFERROR(VLOOKUP($B407,_CONFIG_Risk_Calibration!$A$5:$H$21,4,FALSE),3))</f>
        <v>3</v>
      </c>
      <c r="AI407">
        <f>IF($A407="","",IFERROR(VLOOKUP($B407,_CONFIG_Risk_Calibration!$A$5:$H$21,5,FALSE),3))</f>
        <v>3</v>
      </c>
      <c r="AJ407" t="str">
        <f>IF($A407="","",IFERROR(VLOOKUP($B407,_CONFIG_Risk_Calibration!$A$5:$H$21,6,FALSE),"No"))</f>
        <v>Yes</v>
      </c>
      <c r="AK407">
        <f>IF($A407="","",IFERROR(VLOOKUP($B407,_CONFIG_Risk_Calibration!$A$5:$H$21,7,FALSE),1))</f>
        <v>4</v>
      </c>
      <c r="AL407" t="str">
        <f>IF($A407="","",IFERROR(VLOOKUP($B407,_CONFIG_Risk_Calibration!$A$5:$H$21,8,FALSE),""))</f>
        <v>Clean template default. Calibrate with real exposure, incident history, evidence quality and domain-owner validation.</v>
      </c>
      <c r="AM407">
        <f>IF($A407="","",IFERROR(INDEX(_DATA_Assessment_Model!$AL$1:$AL$428,MATCH($A407,_DATA_Assessment_Model!$A$1:$A$428,0)),""))</f>
        <v>0</v>
      </c>
      <c r="AN407">
        <f t="shared" si="19"/>
        <v>1</v>
      </c>
      <c r="AO407">
        <f>IF($A407="","",_CONFIG_Model_Settings!$B$172*MAX(N($AK407),(N($AF407)+N($AI407))/2))</f>
        <v>80</v>
      </c>
      <c r="AP407">
        <f t="shared" si="20"/>
        <v>80</v>
      </c>
      <c r="AQ407">
        <f>IF($AP407="","",MAX(0,$AP407*(1-(_CONFIG_Model_Settings!$B$173+_CONFIG_Model_Settings!$B$174*(N($AH407)-1)))))</f>
        <v>52</v>
      </c>
      <c r="AR407">
        <f>IF($AP407="","",MIN(100,$AP407*(1+(_CONFIG_Model_Settings!$B$173+_CONFIG_Model_Settings!$B$174*(N($AH407)-1)))))</f>
        <v>100</v>
      </c>
    </row>
    <row r="408" spans="1:44" ht="72" customHeight="1">
      <c r="A408" s="9" t="s">
        <v>3218</v>
      </c>
      <c r="B408" s="9" t="s">
        <v>3204</v>
      </c>
      <c r="C408" s="9" t="s">
        <v>3206</v>
      </c>
      <c r="D408" s="9" t="s">
        <v>4507</v>
      </c>
      <c r="E408" s="9" t="s">
        <v>3219</v>
      </c>
      <c r="F408" s="9" t="s">
        <v>10300</v>
      </c>
      <c r="G408" s="9" t="s">
        <v>10301</v>
      </c>
      <c r="H408" s="9" t="s">
        <v>10302</v>
      </c>
      <c r="I408" s="9" t="s">
        <v>10303</v>
      </c>
      <c r="J408" s="9" t="s">
        <v>10304</v>
      </c>
      <c r="K408" s="9" t="s">
        <v>10305</v>
      </c>
      <c r="L408" s="9" t="s">
        <v>10306</v>
      </c>
      <c r="M408" s="9" t="s">
        <v>10307</v>
      </c>
      <c r="N408" s="9" t="s">
        <v>10308</v>
      </c>
      <c r="O408" s="9" t="s">
        <v>10309</v>
      </c>
      <c r="P408" s="9" t="s">
        <v>10310</v>
      </c>
      <c r="Q408" s="9" t="s">
        <v>10311</v>
      </c>
      <c r="R408" s="9" t="s">
        <v>4589</v>
      </c>
      <c r="S408" s="9" t="s">
        <v>10312</v>
      </c>
      <c r="T408" s="9">
        <v>3</v>
      </c>
      <c r="U408" s="9">
        <v>3</v>
      </c>
      <c r="V408" s="9">
        <v>2</v>
      </c>
      <c r="W408" s="9">
        <v>2</v>
      </c>
      <c r="X408" s="9">
        <v>1</v>
      </c>
      <c r="Y408" s="9">
        <v>1</v>
      </c>
      <c r="Z408" s="9" t="s">
        <v>3209</v>
      </c>
      <c r="AA408" s="9" t="s">
        <v>3220</v>
      </c>
      <c r="AB408" s="9" t="s">
        <v>3217</v>
      </c>
      <c r="AC408" s="9" t="s">
        <v>10298</v>
      </c>
      <c r="AD408" s="9" t="s">
        <v>10313</v>
      </c>
      <c r="AE408" t="str">
        <f t="shared" si="18"/>
        <v>Slow</v>
      </c>
      <c r="AF408">
        <f>IF($A408="","",IFERROR(VLOOKUP($B408,_CONFIG_Risk_Calibration!$A$5:$H$21,2,FALSE),3))</f>
        <v>3</v>
      </c>
      <c r="AG408">
        <f>IF($A408="","",IFERROR(VLOOKUP($B408,_CONFIG_Risk_Calibration!$A$5:$H$21,3,FALSE),0))</f>
        <v>0</v>
      </c>
      <c r="AH408">
        <f>IF($A408="","",IFERROR(VLOOKUP($B408,_CONFIG_Risk_Calibration!$A$5:$H$21,4,FALSE),3))</f>
        <v>3</v>
      </c>
      <c r="AI408">
        <f>IF($A408="","",IFERROR(VLOOKUP($B408,_CONFIG_Risk_Calibration!$A$5:$H$21,5,FALSE),3))</f>
        <v>3</v>
      </c>
      <c r="AJ408" t="str">
        <f>IF($A408="","",IFERROR(VLOOKUP($B408,_CONFIG_Risk_Calibration!$A$5:$H$21,6,FALSE),"No"))</f>
        <v>Yes</v>
      </c>
      <c r="AK408">
        <f>IF($A408="","",IFERROR(VLOOKUP($B408,_CONFIG_Risk_Calibration!$A$5:$H$21,7,FALSE),1))</f>
        <v>4</v>
      </c>
      <c r="AL408" t="str">
        <f>IF($A408="","",IFERROR(VLOOKUP($B408,_CONFIG_Risk_Calibration!$A$5:$H$21,8,FALSE),""))</f>
        <v>Clean template default. Calibrate with real exposure, incident history, evidence quality and domain-owner validation.</v>
      </c>
      <c r="AM408">
        <f>IF($A408="","",IFERROR(INDEX(_DATA_Assessment_Model!$AL$1:$AL$428,MATCH($A408,_DATA_Assessment_Model!$A$1:$A$428,0)),""))</f>
        <v>0</v>
      </c>
      <c r="AN408">
        <f t="shared" si="19"/>
        <v>1</v>
      </c>
      <c r="AO408">
        <f>IF($A408="","",_CONFIG_Model_Settings!$B$172*MAX(N($AK408),(N($AF408)+N($AI408))/2))</f>
        <v>80</v>
      </c>
      <c r="AP408">
        <f t="shared" si="20"/>
        <v>80</v>
      </c>
      <c r="AQ408">
        <f>IF($AP408="","",MAX(0,$AP408*(1-(_CONFIG_Model_Settings!$B$173+_CONFIG_Model_Settings!$B$174*(N($AH408)-1)))))</f>
        <v>52</v>
      </c>
      <c r="AR408">
        <f>IF($AP408="","",MIN(100,$AP408*(1+(_CONFIG_Model_Settings!$B$173+_CONFIG_Model_Settings!$B$174*(N($AH408)-1)))))</f>
        <v>100</v>
      </c>
    </row>
    <row r="409" spans="1:44" ht="72" customHeight="1">
      <c r="A409" s="9" t="s">
        <v>3222</v>
      </c>
      <c r="B409" s="9" t="s">
        <v>3204</v>
      </c>
      <c r="C409" s="9" t="s">
        <v>3206</v>
      </c>
      <c r="D409" s="9" t="s">
        <v>4507</v>
      </c>
      <c r="E409" s="9" t="s">
        <v>3223</v>
      </c>
      <c r="F409" s="9" t="s">
        <v>10314</v>
      </c>
      <c r="G409" s="9" t="s">
        <v>10315</v>
      </c>
      <c r="H409" s="9" t="s">
        <v>10316</v>
      </c>
      <c r="I409" s="9" t="s">
        <v>10317</v>
      </c>
      <c r="J409" s="9" t="s">
        <v>10318</v>
      </c>
      <c r="K409" s="9" t="s">
        <v>10319</v>
      </c>
      <c r="L409" s="9" t="s">
        <v>10320</v>
      </c>
      <c r="M409" s="9" t="s">
        <v>10321</v>
      </c>
      <c r="N409" s="9" t="s">
        <v>10322</v>
      </c>
      <c r="O409" s="9" t="s">
        <v>10323</v>
      </c>
      <c r="P409" s="9" t="s">
        <v>10324</v>
      </c>
      <c r="Q409" s="9" t="s">
        <v>10325</v>
      </c>
      <c r="R409" s="9" t="s">
        <v>4589</v>
      </c>
      <c r="S409" s="9" t="s">
        <v>10326</v>
      </c>
      <c r="T409" s="9">
        <v>3</v>
      </c>
      <c r="U409" s="9">
        <v>3</v>
      </c>
      <c r="V409" s="9">
        <v>2</v>
      </c>
      <c r="W409" s="9">
        <v>2</v>
      </c>
      <c r="X409" s="9">
        <v>1</v>
      </c>
      <c r="Y409" s="9">
        <v>1</v>
      </c>
      <c r="Z409" s="9" t="s">
        <v>3209</v>
      </c>
      <c r="AA409" s="9" t="s">
        <v>3224</v>
      </c>
      <c r="AB409" s="9" t="s">
        <v>3217</v>
      </c>
      <c r="AC409" s="9" t="s">
        <v>10298</v>
      </c>
      <c r="AD409" s="9" t="s">
        <v>10327</v>
      </c>
      <c r="AE409" t="str">
        <f t="shared" si="18"/>
        <v>Slow</v>
      </c>
      <c r="AF409">
        <f>IF($A409="","",IFERROR(VLOOKUP($B409,_CONFIG_Risk_Calibration!$A$5:$H$21,2,FALSE),3))</f>
        <v>3</v>
      </c>
      <c r="AG409">
        <f>IF($A409="","",IFERROR(VLOOKUP($B409,_CONFIG_Risk_Calibration!$A$5:$H$21,3,FALSE),0))</f>
        <v>0</v>
      </c>
      <c r="AH409">
        <f>IF($A409="","",IFERROR(VLOOKUP($B409,_CONFIG_Risk_Calibration!$A$5:$H$21,4,FALSE),3))</f>
        <v>3</v>
      </c>
      <c r="AI409">
        <f>IF($A409="","",IFERROR(VLOOKUP($B409,_CONFIG_Risk_Calibration!$A$5:$H$21,5,FALSE),3))</f>
        <v>3</v>
      </c>
      <c r="AJ409" t="str">
        <f>IF($A409="","",IFERROR(VLOOKUP($B409,_CONFIG_Risk_Calibration!$A$5:$H$21,6,FALSE),"No"))</f>
        <v>Yes</v>
      </c>
      <c r="AK409">
        <f>IF($A409="","",IFERROR(VLOOKUP($B409,_CONFIG_Risk_Calibration!$A$5:$H$21,7,FALSE),1))</f>
        <v>4</v>
      </c>
      <c r="AL409" t="str">
        <f>IF($A409="","",IFERROR(VLOOKUP($B409,_CONFIG_Risk_Calibration!$A$5:$H$21,8,FALSE),""))</f>
        <v>Clean template default. Calibrate with real exposure, incident history, evidence quality and domain-owner validation.</v>
      </c>
      <c r="AM409">
        <f>IF($A409="","",IFERROR(INDEX(_DATA_Assessment_Model!$AL$1:$AL$428,MATCH($A409,_DATA_Assessment_Model!$A$1:$A$428,0)),""))</f>
        <v>0</v>
      </c>
      <c r="AN409">
        <f t="shared" si="19"/>
        <v>1</v>
      </c>
      <c r="AO409">
        <f>IF($A409="","",_CONFIG_Model_Settings!$B$172*MAX(N($AK409),(N($AF409)+N($AI409))/2))</f>
        <v>80</v>
      </c>
      <c r="AP409">
        <f t="shared" si="20"/>
        <v>80</v>
      </c>
      <c r="AQ409">
        <f>IF($AP409="","",MAX(0,$AP409*(1-(_CONFIG_Model_Settings!$B$173+_CONFIG_Model_Settings!$B$174*(N($AH409)-1)))))</f>
        <v>52</v>
      </c>
      <c r="AR409">
        <f>IF($AP409="","",MIN(100,$AP409*(1+(_CONFIG_Model_Settings!$B$173+_CONFIG_Model_Settings!$B$174*(N($AH409)-1)))))</f>
        <v>100</v>
      </c>
    </row>
    <row r="410" spans="1:44" ht="72" customHeight="1">
      <c r="A410" s="9" t="s">
        <v>3226</v>
      </c>
      <c r="B410" s="9" t="s">
        <v>3204</v>
      </c>
      <c r="C410" s="9" t="s">
        <v>3206</v>
      </c>
      <c r="D410" s="9" t="s">
        <v>4507</v>
      </c>
      <c r="E410" s="9" t="s">
        <v>3227</v>
      </c>
      <c r="F410" s="9" t="s">
        <v>10328</v>
      </c>
      <c r="G410" s="9" t="s">
        <v>10329</v>
      </c>
      <c r="H410" s="9" t="s">
        <v>10330</v>
      </c>
      <c r="I410" s="9" t="s">
        <v>10331</v>
      </c>
      <c r="J410" s="9" t="s">
        <v>10332</v>
      </c>
      <c r="K410" s="9" t="s">
        <v>10333</v>
      </c>
      <c r="L410" s="9" t="s">
        <v>10334</v>
      </c>
      <c r="M410" s="9" t="s">
        <v>10335</v>
      </c>
      <c r="N410" s="9" t="s">
        <v>10336</v>
      </c>
      <c r="O410" s="9" t="s">
        <v>10337</v>
      </c>
      <c r="P410" s="9" t="s">
        <v>10338</v>
      </c>
      <c r="Q410" s="9" t="s">
        <v>10339</v>
      </c>
      <c r="R410" s="9" t="s">
        <v>4589</v>
      </c>
      <c r="S410" s="9" t="s">
        <v>10340</v>
      </c>
      <c r="T410" s="9">
        <v>3</v>
      </c>
      <c r="U410" s="9">
        <v>3</v>
      </c>
      <c r="V410" s="9">
        <v>2</v>
      </c>
      <c r="W410" s="9">
        <v>2</v>
      </c>
      <c r="X410" s="9">
        <v>1</v>
      </c>
      <c r="Y410" s="9">
        <v>1</v>
      </c>
      <c r="Z410" s="9" t="s">
        <v>3209</v>
      </c>
      <c r="AA410" s="9" t="s">
        <v>3228</v>
      </c>
      <c r="AB410" s="9" t="s">
        <v>3217</v>
      </c>
      <c r="AC410" s="9" t="s">
        <v>10298</v>
      </c>
      <c r="AD410" s="9" t="s">
        <v>10341</v>
      </c>
      <c r="AE410" t="str">
        <f t="shared" si="18"/>
        <v>Slow</v>
      </c>
      <c r="AF410">
        <f>IF($A410="","",IFERROR(VLOOKUP($B410,_CONFIG_Risk_Calibration!$A$5:$H$21,2,FALSE),3))</f>
        <v>3</v>
      </c>
      <c r="AG410">
        <f>IF($A410="","",IFERROR(VLOOKUP($B410,_CONFIG_Risk_Calibration!$A$5:$H$21,3,FALSE),0))</f>
        <v>0</v>
      </c>
      <c r="AH410">
        <f>IF($A410="","",IFERROR(VLOOKUP($B410,_CONFIG_Risk_Calibration!$A$5:$H$21,4,FALSE),3))</f>
        <v>3</v>
      </c>
      <c r="AI410">
        <f>IF($A410="","",IFERROR(VLOOKUP($B410,_CONFIG_Risk_Calibration!$A$5:$H$21,5,FALSE),3))</f>
        <v>3</v>
      </c>
      <c r="AJ410" t="str">
        <f>IF($A410="","",IFERROR(VLOOKUP($B410,_CONFIG_Risk_Calibration!$A$5:$H$21,6,FALSE),"No"))</f>
        <v>Yes</v>
      </c>
      <c r="AK410">
        <f>IF($A410="","",IFERROR(VLOOKUP($B410,_CONFIG_Risk_Calibration!$A$5:$H$21,7,FALSE),1))</f>
        <v>4</v>
      </c>
      <c r="AL410" t="str">
        <f>IF($A410="","",IFERROR(VLOOKUP($B410,_CONFIG_Risk_Calibration!$A$5:$H$21,8,FALSE),""))</f>
        <v>Clean template default. Calibrate with real exposure, incident history, evidence quality and domain-owner validation.</v>
      </c>
      <c r="AM410">
        <f>IF($A410="","",IFERROR(INDEX(_DATA_Assessment_Model!$AL$1:$AL$428,MATCH($A410,_DATA_Assessment_Model!$A$1:$A$428,0)),""))</f>
        <v>0</v>
      </c>
      <c r="AN410">
        <f t="shared" si="19"/>
        <v>1</v>
      </c>
      <c r="AO410">
        <f>IF($A410="","",_CONFIG_Model_Settings!$B$172*MAX(N($AK410),(N($AF410)+N($AI410))/2))</f>
        <v>80</v>
      </c>
      <c r="AP410">
        <f t="shared" si="20"/>
        <v>80</v>
      </c>
      <c r="AQ410">
        <f>IF($AP410="","",MAX(0,$AP410*(1-(_CONFIG_Model_Settings!$B$173+_CONFIG_Model_Settings!$B$174*(N($AH410)-1)))))</f>
        <v>52</v>
      </c>
      <c r="AR410">
        <f>IF($AP410="","",MIN(100,$AP410*(1+(_CONFIG_Model_Settings!$B$173+_CONFIG_Model_Settings!$B$174*(N($AH410)-1)))))</f>
        <v>100</v>
      </c>
    </row>
    <row r="411" spans="1:44" ht="72" customHeight="1">
      <c r="A411" s="9" t="s">
        <v>3236</v>
      </c>
      <c r="B411" s="9" t="s">
        <v>3204</v>
      </c>
      <c r="C411" s="9" t="s">
        <v>3221</v>
      </c>
      <c r="D411" s="9" t="s">
        <v>4507</v>
      </c>
      <c r="E411" s="9" t="s">
        <v>3237</v>
      </c>
      <c r="F411" s="9" t="s">
        <v>10342</v>
      </c>
      <c r="G411" s="9" t="s">
        <v>10343</v>
      </c>
      <c r="H411" s="9" t="s">
        <v>10344</v>
      </c>
      <c r="I411" s="9" t="s">
        <v>10345</v>
      </c>
      <c r="J411" s="9" t="s">
        <v>10346</v>
      </c>
      <c r="K411" s="9" t="s">
        <v>10347</v>
      </c>
      <c r="L411" s="9" t="s">
        <v>10348</v>
      </c>
      <c r="M411" s="9" t="s">
        <v>10349</v>
      </c>
      <c r="N411" s="9" t="s">
        <v>10350</v>
      </c>
      <c r="O411" s="9" t="s">
        <v>10351</v>
      </c>
      <c r="P411" s="9" t="s">
        <v>10352</v>
      </c>
      <c r="Q411" s="9" t="s">
        <v>10353</v>
      </c>
      <c r="R411" s="9" t="s">
        <v>4589</v>
      </c>
      <c r="S411" s="9" t="s">
        <v>10354</v>
      </c>
      <c r="T411" s="9">
        <v>3</v>
      </c>
      <c r="U411" s="9">
        <v>3</v>
      </c>
      <c r="V411" s="9">
        <v>2</v>
      </c>
      <c r="W411" s="9">
        <v>2</v>
      </c>
      <c r="X411" s="9">
        <v>1</v>
      </c>
      <c r="Y411" s="9">
        <v>1</v>
      </c>
      <c r="Z411" s="9" t="s">
        <v>3209</v>
      </c>
      <c r="AA411" s="9" t="s">
        <v>3238</v>
      </c>
      <c r="AB411" s="9" t="s">
        <v>3217</v>
      </c>
      <c r="AC411" s="9" t="s">
        <v>10298</v>
      </c>
      <c r="AD411" s="9" t="s">
        <v>10355</v>
      </c>
      <c r="AE411" t="str">
        <f t="shared" si="18"/>
        <v>Slow</v>
      </c>
      <c r="AF411">
        <f>IF($A411="","",IFERROR(VLOOKUP($B411,_CONFIG_Risk_Calibration!$A$5:$H$21,2,FALSE),3))</f>
        <v>3</v>
      </c>
      <c r="AG411">
        <f>IF($A411="","",IFERROR(VLOOKUP($B411,_CONFIG_Risk_Calibration!$A$5:$H$21,3,FALSE),0))</f>
        <v>0</v>
      </c>
      <c r="AH411">
        <f>IF($A411="","",IFERROR(VLOOKUP($B411,_CONFIG_Risk_Calibration!$A$5:$H$21,4,FALSE),3))</f>
        <v>3</v>
      </c>
      <c r="AI411">
        <f>IF($A411="","",IFERROR(VLOOKUP($B411,_CONFIG_Risk_Calibration!$A$5:$H$21,5,FALSE),3))</f>
        <v>3</v>
      </c>
      <c r="AJ411" t="str">
        <f>IF($A411="","",IFERROR(VLOOKUP($B411,_CONFIG_Risk_Calibration!$A$5:$H$21,6,FALSE),"No"))</f>
        <v>Yes</v>
      </c>
      <c r="AK411">
        <f>IF($A411="","",IFERROR(VLOOKUP($B411,_CONFIG_Risk_Calibration!$A$5:$H$21,7,FALSE),1))</f>
        <v>4</v>
      </c>
      <c r="AL411" t="str">
        <f>IF($A411="","",IFERROR(VLOOKUP($B411,_CONFIG_Risk_Calibration!$A$5:$H$21,8,FALSE),""))</f>
        <v>Clean template default. Calibrate with real exposure, incident history, evidence quality and domain-owner validation.</v>
      </c>
      <c r="AM411">
        <f>IF($A411="","",IFERROR(INDEX(_DATA_Assessment_Model!$AL$1:$AL$428,MATCH($A411,_DATA_Assessment_Model!$A$1:$A$428,0)),""))</f>
        <v>0</v>
      </c>
      <c r="AN411">
        <f t="shared" si="19"/>
        <v>1</v>
      </c>
      <c r="AO411">
        <f>IF($A411="","",_CONFIG_Model_Settings!$B$172*MAX(N($AK411),(N($AF411)+N($AI411))/2))</f>
        <v>80</v>
      </c>
      <c r="AP411">
        <f t="shared" si="20"/>
        <v>80</v>
      </c>
      <c r="AQ411">
        <f>IF($AP411="","",MAX(0,$AP411*(1-(_CONFIG_Model_Settings!$B$173+_CONFIG_Model_Settings!$B$174*(N($AH411)-1)))))</f>
        <v>52</v>
      </c>
      <c r="AR411">
        <f>IF($AP411="","",MIN(100,$AP411*(1+(_CONFIG_Model_Settings!$B$173+_CONFIG_Model_Settings!$B$174*(N($AH411)-1)))))</f>
        <v>100</v>
      </c>
    </row>
    <row r="412" spans="1:44">
      <c r="A412" t="s">
        <v>3245</v>
      </c>
      <c r="B412" t="s">
        <v>3204</v>
      </c>
      <c r="C412" t="s">
        <v>3221</v>
      </c>
      <c r="D412" t="s">
        <v>4507</v>
      </c>
      <c r="E412" t="s">
        <v>3246</v>
      </c>
      <c r="F412" t="s">
        <v>10356</v>
      </c>
      <c r="G412" t="s">
        <v>10357</v>
      </c>
      <c r="H412" t="s">
        <v>10358</v>
      </c>
      <c r="I412" t="s">
        <v>10359</v>
      </c>
      <c r="J412" t="s">
        <v>10360</v>
      </c>
      <c r="K412" t="s">
        <v>10361</v>
      </c>
      <c r="L412" t="s">
        <v>10362</v>
      </c>
      <c r="M412" t="s">
        <v>10363</v>
      </c>
      <c r="N412" t="s">
        <v>10364</v>
      </c>
      <c r="O412" t="s">
        <v>10365</v>
      </c>
      <c r="P412" t="s">
        <v>10366</v>
      </c>
      <c r="Q412" t="s">
        <v>10367</v>
      </c>
      <c r="R412" t="s">
        <v>4589</v>
      </c>
      <c r="S412" t="s">
        <v>10368</v>
      </c>
      <c r="T412">
        <v>3</v>
      </c>
      <c r="U412">
        <v>3</v>
      </c>
      <c r="V412">
        <v>2</v>
      </c>
      <c r="W412">
        <v>2</v>
      </c>
      <c r="X412">
        <v>1</v>
      </c>
      <c r="Y412">
        <v>1</v>
      </c>
      <c r="Z412" t="s">
        <v>3209</v>
      </c>
      <c r="AA412" t="s">
        <v>3247</v>
      </c>
      <c r="AB412" t="s">
        <v>3217</v>
      </c>
      <c r="AC412" t="s">
        <v>10298</v>
      </c>
      <c r="AD412" t="s">
        <v>10369</v>
      </c>
      <c r="AE412" t="str">
        <f t="shared" si="18"/>
        <v>Slow</v>
      </c>
      <c r="AF412">
        <f>IF($A412="","",IFERROR(VLOOKUP($B412,_CONFIG_Risk_Calibration!$A$5:$H$21,2,FALSE),3))</f>
        <v>3</v>
      </c>
      <c r="AG412">
        <f>IF($A412="","",IFERROR(VLOOKUP($B412,_CONFIG_Risk_Calibration!$A$5:$H$21,3,FALSE),0))</f>
        <v>0</v>
      </c>
      <c r="AH412">
        <f>IF($A412="","",IFERROR(VLOOKUP($B412,_CONFIG_Risk_Calibration!$A$5:$H$21,4,FALSE),3))</f>
        <v>3</v>
      </c>
      <c r="AI412">
        <f>IF($A412="","",IFERROR(VLOOKUP($B412,_CONFIG_Risk_Calibration!$A$5:$H$21,5,FALSE),3))</f>
        <v>3</v>
      </c>
      <c r="AJ412" t="str">
        <f>IF($A412="","",IFERROR(VLOOKUP($B412,_CONFIG_Risk_Calibration!$A$5:$H$21,6,FALSE),"No"))</f>
        <v>Yes</v>
      </c>
      <c r="AK412">
        <f>IF($A412="","",IFERROR(VLOOKUP($B412,_CONFIG_Risk_Calibration!$A$5:$H$21,7,FALSE),1))</f>
        <v>4</v>
      </c>
      <c r="AL412" t="str">
        <f>IF($A412="","",IFERROR(VLOOKUP($B412,_CONFIG_Risk_Calibration!$A$5:$H$21,8,FALSE),""))</f>
        <v>Clean template default. Calibrate with real exposure, incident history, evidence quality and domain-owner validation.</v>
      </c>
      <c r="AM412">
        <f>IF($A412="","",IFERROR(INDEX(_DATA_Assessment_Model!$AL$1:$AL$428,MATCH($A412,_DATA_Assessment_Model!$A$1:$A$428,0)),""))</f>
        <v>0</v>
      </c>
      <c r="AN412">
        <f t="shared" si="19"/>
        <v>1</v>
      </c>
      <c r="AO412">
        <f>IF($A412="","",_CONFIG_Model_Settings!$B$172*MAX(N($AK412),(N($AF412)+N($AI412))/2))</f>
        <v>80</v>
      </c>
      <c r="AP412">
        <f t="shared" si="20"/>
        <v>80</v>
      </c>
      <c r="AQ412">
        <f>IF($AP412="","",MAX(0,$AP412*(1-(_CONFIG_Model_Settings!$B$173+_CONFIG_Model_Settings!$B$174*(N($AH412)-1)))))</f>
        <v>52</v>
      </c>
      <c r="AR412">
        <f>IF($AP412="","",MIN(100,$AP412*(1+(_CONFIG_Model_Settings!$B$173+_CONFIG_Model_Settings!$B$174*(N($AH412)-1)))))</f>
        <v>100</v>
      </c>
    </row>
    <row r="413" spans="1:44">
      <c r="A413" t="s">
        <v>3254</v>
      </c>
      <c r="B413" t="s">
        <v>3204</v>
      </c>
      <c r="C413" t="s">
        <v>3221</v>
      </c>
      <c r="D413" t="s">
        <v>4507</v>
      </c>
      <c r="E413" t="s">
        <v>3255</v>
      </c>
      <c r="F413" t="s">
        <v>10370</v>
      </c>
      <c r="G413" t="s">
        <v>10371</v>
      </c>
      <c r="H413" t="s">
        <v>10372</v>
      </c>
      <c r="I413" t="s">
        <v>10373</v>
      </c>
      <c r="J413" t="s">
        <v>10374</v>
      </c>
      <c r="K413" t="s">
        <v>10375</v>
      </c>
      <c r="L413" t="s">
        <v>10376</v>
      </c>
      <c r="M413" t="s">
        <v>10377</v>
      </c>
      <c r="N413" t="s">
        <v>10378</v>
      </c>
      <c r="O413" t="s">
        <v>10379</v>
      </c>
      <c r="P413" t="s">
        <v>10380</v>
      </c>
      <c r="Q413" t="s">
        <v>10381</v>
      </c>
      <c r="R413" t="s">
        <v>4589</v>
      </c>
      <c r="S413" t="s">
        <v>10382</v>
      </c>
      <c r="T413">
        <v>3</v>
      </c>
      <c r="U413">
        <v>3</v>
      </c>
      <c r="V413">
        <v>2</v>
      </c>
      <c r="W413">
        <v>2</v>
      </c>
      <c r="X413">
        <v>1</v>
      </c>
      <c r="Y413">
        <v>1</v>
      </c>
      <c r="Z413" t="s">
        <v>3209</v>
      </c>
      <c r="AA413" t="s">
        <v>3256</v>
      </c>
      <c r="AB413" t="s">
        <v>3217</v>
      </c>
      <c r="AC413" t="s">
        <v>10298</v>
      </c>
      <c r="AD413" t="s">
        <v>10383</v>
      </c>
      <c r="AE413" t="str">
        <f t="shared" si="18"/>
        <v>Slow</v>
      </c>
      <c r="AF413">
        <f>IF($A413="","",IFERROR(VLOOKUP($B413,_CONFIG_Risk_Calibration!$A$5:$H$21,2,FALSE),3))</f>
        <v>3</v>
      </c>
      <c r="AG413">
        <f>IF($A413="","",IFERROR(VLOOKUP($B413,_CONFIG_Risk_Calibration!$A$5:$H$21,3,FALSE),0))</f>
        <v>0</v>
      </c>
      <c r="AH413">
        <f>IF($A413="","",IFERROR(VLOOKUP($B413,_CONFIG_Risk_Calibration!$A$5:$H$21,4,FALSE),3))</f>
        <v>3</v>
      </c>
      <c r="AI413">
        <f>IF($A413="","",IFERROR(VLOOKUP($B413,_CONFIG_Risk_Calibration!$A$5:$H$21,5,FALSE),3))</f>
        <v>3</v>
      </c>
      <c r="AJ413" t="str">
        <f>IF($A413="","",IFERROR(VLOOKUP($B413,_CONFIG_Risk_Calibration!$A$5:$H$21,6,FALSE),"No"))</f>
        <v>Yes</v>
      </c>
      <c r="AK413">
        <f>IF($A413="","",IFERROR(VLOOKUP($B413,_CONFIG_Risk_Calibration!$A$5:$H$21,7,FALSE),1))</f>
        <v>4</v>
      </c>
      <c r="AL413" t="str">
        <f>IF($A413="","",IFERROR(VLOOKUP($B413,_CONFIG_Risk_Calibration!$A$5:$H$21,8,FALSE),""))</f>
        <v>Clean template default. Calibrate with real exposure, incident history, evidence quality and domain-owner validation.</v>
      </c>
      <c r="AM413">
        <f>IF($A413="","",IFERROR(INDEX(_DATA_Assessment_Model!$AL$1:$AL$428,MATCH($A413,_DATA_Assessment_Model!$A$1:$A$428,0)),""))</f>
        <v>0</v>
      </c>
      <c r="AN413">
        <f t="shared" si="19"/>
        <v>1</v>
      </c>
      <c r="AO413">
        <f>IF($A413="","",_CONFIG_Model_Settings!$B$172*MAX(N($AK413),(N($AF413)+N($AI413))/2))</f>
        <v>80</v>
      </c>
      <c r="AP413">
        <f t="shared" si="20"/>
        <v>80</v>
      </c>
      <c r="AQ413">
        <f>IF($AP413="","",MAX(0,$AP413*(1-(_CONFIG_Model_Settings!$B$173+_CONFIG_Model_Settings!$B$174*(N($AH413)-1)))))</f>
        <v>52</v>
      </c>
      <c r="AR413">
        <f>IF($AP413="","",MIN(100,$AP413*(1+(_CONFIG_Model_Settings!$B$173+_CONFIG_Model_Settings!$B$174*(N($AH413)-1)))))</f>
        <v>100</v>
      </c>
    </row>
    <row r="414" spans="1:44">
      <c r="A414" t="s">
        <v>3257</v>
      </c>
      <c r="B414" t="s">
        <v>3204</v>
      </c>
      <c r="C414" t="s">
        <v>3221</v>
      </c>
      <c r="D414" t="s">
        <v>4507</v>
      </c>
      <c r="E414" t="s">
        <v>3258</v>
      </c>
      <c r="F414" t="s">
        <v>10384</v>
      </c>
      <c r="G414" t="s">
        <v>10385</v>
      </c>
      <c r="H414" t="s">
        <v>10386</v>
      </c>
      <c r="I414" t="s">
        <v>10387</v>
      </c>
      <c r="J414" t="s">
        <v>10388</v>
      </c>
      <c r="K414" t="s">
        <v>10389</v>
      </c>
      <c r="L414" t="s">
        <v>10390</v>
      </c>
      <c r="M414" t="s">
        <v>10391</v>
      </c>
      <c r="N414" t="s">
        <v>10392</v>
      </c>
      <c r="O414" t="s">
        <v>10393</v>
      </c>
      <c r="P414" t="s">
        <v>10394</v>
      </c>
      <c r="Q414" t="s">
        <v>10395</v>
      </c>
      <c r="R414" t="s">
        <v>4589</v>
      </c>
      <c r="S414" t="s">
        <v>10396</v>
      </c>
      <c r="T414">
        <v>3</v>
      </c>
      <c r="U414">
        <v>3</v>
      </c>
      <c r="V414">
        <v>2</v>
      </c>
      <c r="W414">
        <v>2</v>
      </c>
      <c r="X414">
        <v>1</v>
      </c>
      <c r="Y414">
        <v>1</v>
      </c>
      <c r="Z414" t="s">
        <v>3209</v>
      </c>
      <c r="AA414" t="s">
        <v>3259</v>
      </c>
      <c r="AB414" t="s">
        <v>3217</v>
      </c>
      <c r="AC414" t="s">
        <v>10298</v>
      </c>
      <c r="AD414" t="s">
        <v>10397</v>
      </c>
      <c r="AE414" t="str">
        <f t="shared" si="18"/>
        <v>Slow</v>
      </c>
      <c r="AF414">
        <f>IF($A414="","",IFERROR(VLOOKUP($B414,_CONFIG_Risk_Calibration!$A$5:$H$21,2,FALSE),3))</f>
        <v>3</v>
      </c>
      <c r="AG414">
        <f>IF($A414="","",IFERROR(VLOOKUP($B414,_CONFIG_Risk_Calibration!$A$5:$H$21,3,FALSE),0))</f>
        <v>0</v>
      </c>
      <c r="AH414">
        <f>IF($A414="","",IFERROR(VLOOKUP($B414,_CONFIG_Risk_Calibration!$A$5:$H$21,4,FALSE),3))</f>
        <v>3</v>
      </c>
      <c r="AI414">
        <f>IF($A414="","",IFERROR(VLOOKUP($B414,_CONFIG_Risk_Calibration!$A$5:$H$21,5,FALSE),3))</f>
        <v>3</v>
      </c>
      <c r="AJ414" t="str">
        <f>IF($A414="","",IFERROR(VLOOKUP($B414,_CONFIG_Risk_Calibration!$A$5:$H$21,6,FALSE),"No"))</f>
        <v>Yes</v>
      </c>
      <c r="AK414">
        <f>IF($A414="","",IFERROR(VLOOKUP($B414,_CONFIG_Risk_Calibration!$A$5:$H$21,7,FALSE),1))</f>
        <v>4</v>
      </c>
      <c r="AL414" t="str">
        <f>IF($A414="","",IFERROR(VLOOKUP($B414,_CONFIG_Risk_Calibration!$A$5:$H$21,8,FALSE),""))</f>
        <v>Clean template default. Calibrate with real exposure, incident history, evidence quality and domain-owner validation.</v>
      </c>
      <c r="AM414">
        <f>IF($A414="","",IFERROR(INDEX(_DATA_Assessment_Model!$AL$1:$AL$428,MATCH($A414,_DATA_Assessment_Model!$A$1:$A$428,0)),""))</f>
        <v>0</v>
      </c>
      <c r="AN414">
        <f t="shared" si="19"/>
        <v>1</v>
      </c>
      <c r="AO414">
        <f>IF($A414="","",_CONFIG_Model_Settings!$B$172*MAX(N($AK414),(N($AF414)+N($AI414))/2))</f>
        <v>80</v>
      </c>
      <c r="AP414">
        <f t="shared" si="20"/>
        <v>80</v>
      </c>
      <c r="AQ414">
        <f>IF($AP414="","",MAX(0,$AP414*(1-(_CONFIG_Model_Settings!$B$173+_CONFIG_Model_Settings!$B$174*(N($AH414)-1)))))</f>
        <v>52</v>
      </c>
      <c r="AR414">
        <f>IF($AP414="","",MIN(100,$AP414*(1+(_CONFIG_Model_Settings!$B$173+_CONFIG_Model_Settings!$B$174*(N($AH414)-1)))))</f>
        <v>100</v>
      </c>
    </row>
    <row r="415" spans="1:44">
      <c r="A415" t="s">
        <v>3260</v>
      </c>
      <c r="B415" t="s">
        <v>3204</v>
      </c>
      <c r="C415" t="s">
        <v>3221</v>
      </c>
      <c r="D415" t="s">
        <v>4507</v>
      </c>
      <c r="E415" t="s">
        <v>3261</v>
      </c>
      <c r="F415" t="s">
        <v>10398</v>
      </c>
      <c r="G415" t="s">
        <v>10399</v>
      </c>
      <c r="H415" t="s">
        <v>10400</v>
      </c>
      <c r="I415" t="s">
        <v>10401</v>
      </c>
      <c r="J415" t="s">
        <v>10402</v>
      </c>
      <c r="K415" t="s">
        <v>10403</v>
      </c>
      <c r="L415" t="s">
        <v>10404</v>
      </c>
      <c r="M415" t="s">
        <v>10405</v>
      </c>
      <c r="N415" t="s">
        <v>10406</v>
      </c>
      <c r="O415" t="s">
        <v>10407</v>
      </c>
      <c r="P415" t="s">
        <v>10408</v>
      </c>
      <c r="Q415" t="s">
        <v>10409</v>
      </c>
      <c r="R415" t="s">
        <v>4589</v>
      </c>
      <c r="S415" t="s">
        <v>10410</v>
      </c>
      <c r="T415">
        <v>3</v>
      </c>
      <c r="U415">
        <v>3</v>
      </c>
      <c r="V415">
        <v>2</v>
      </c>
      <c r="W415">
        <v>2</v>
      </c>
      <c r="X415">
        <v>1</v>
      </c>
      <c r="Y415">
        <v>1</v>
      </c>
      <c r="Z415" t="s">
        <v>3209</v>
      </c>
      <c r="AA415" t="s">
        <v>3262</v>
      </c>
      <c r="AB415" t="s">
        <v>3217</v>
      </c>
      <c r="AC415" t="s">
        <v>10298</v>
      </c>
      <c r="AD415" t="s">
        <v>10411</v>
      </c>
      <c r="AE415" t="str">
        <f t="shared" si="18"/>
        <v>Slow</v>
      </c>
      <c r="AF415">
        <f>IF($A415="","",IFERROR(VLOOKUP($B415,_CONFIG_Risk_Calibration!$A$5:$H$21,2,FALSE),3))</f>
        <v>3</v>
      </c>
      <c r="AG415">
        <f>IF($A415="","",IFERROR(VLOOKUP($B415,_CONFIG_Risk_Calibration!$A$5:$H$21,3,FALSE),0))</f>
        <v>0</v>
      </c>
      <c r="AH415">
        <f>IF($A415="","",IFERROR(VLOOKUP($B415,_CONFIG_Risk_Calibration!$A$5:$H$21,4,FALSE),3))</f>
        <v>3</v>
      </c>
      <c r="AI415">
        <f>IF($A415="","",IFERROR(VLOOKUP($B415,_CONFIG_Risk_Calibration!$A$5:$H$21,5,FALSE),3))</f>
        <v>3</v>
      </c>
      <c r="AJ415" t="str">
        <f>IF($A415="","",IFERROR(VLOOKUP($B415,_CONFIG_Risk_Calibration!$A$5:$H$21,6,FALSE),"No"))</f>
        <v>Yes</v>
      </c>
      <c r="AK415">
        <f>IF($A415="","",IFERROR(VLOOKUP($B415,_CONFIG_Risk_Calibration!$A$5:$H$21,7,FALSE),1))</f>
        <v>4</v>
      </c>
      <c r="AL415" t="str">
        <f>IF($A415="","",IFERROR(VLOOKUP($B415,_CONFIG_Risk_Calibration!$A$5:$H$21,8,FALSE),""))</f>
        <v>Clean template default. Calibrate with real exposure, incident history, evidence quality and domain-owner validation.</v>
      </c>
      <c r="AM415">
        <f>IF($A415="","",IFERROR(INDEX(_DATA_Assessment_Model!$AL$1:$AL$428,MATCH($A415,_DATA_Assessment_Model!$A$1:$A$428,0)),""))</f>
        <v>0</v>
      </c>
      <c r="AN415">
        <f t="shared" si="19"/>
        <v>1</v>
      </c>
      <c r="AO415">
        <f>IF($A415="","",_CONFIG_Model_Settings!$B$172*MAX(N($AK415),(N($AF415)+N($AI415))/2))</f>
        <v>80</v>
      </c>
      <c r="AP415">
        <f t="shared" si="20"/>
        <v>80</v>
      </c>
      <c r="AQ415">
        <f>IF($AP415="","",MAX(0,$AP415*(1-(_CONFIG_Model_Settings!$B$173+_CONFIG_Model_Settings!$B$174*(N($AH415)-1)))))</f>
        <v>52</v>
      </c>
      <c r="AR415">
        <f>IF($AP415="","",MIN(100,$AP415*(1+(_CONFIG_Model_Settings!$B$173+_CONFIG_Model_Settings!$B$174*(N($AH415)-1)))))</f>
        <v>100</v>
      </c>
    </row>
    <row r="416" spans="1:44">
      <c r="A416" t="s">
        <v>3269</v>
      </c>
      <c r="B416" t="s">
        <v>3204</v>
      </c>
      <c r="C416" t="s">
        <v>3225</v>
      </c>
      <c r="D416" t="s">
        <v>4507</v>
      </c>
      <c r="E416" t="s">
        <v>3270</v>
      </c>
      <c r="F416" t="s">
        <v>10412</v>
      </c>
      <c r="G416" t="s">
        <v>10413</v>
      </c>
      <c r="H416" t="s">
        <v>10414</v>
      </c>
      <c r="I416" t="s">
        <v>10415</v>
      </c>
      <c r="J416" t="s">
        <v>10416</v>
      </c>
      <c r="K416" t="s">
        <v>10417</v>
      </c>
      <c r="L416" t="s">
        <v>10418</v>
      </c>
      <c r="M416" t="s">
        <v>10419</v>
      </c>
      <c r="N416" t="s">
        <v>10420</v>
      </c>
      <c r="O416" t="s">
        <v>10421</v>
      </c>
      <c r="P416" t="s">
        <v>10422</v>
      </c>
      <c r="Q416" t="s">
        <v>10423</v>
      </c>
      <c r="R416" t="s">
        <v>4589</v>
      </c>
      <c r="S416" t="s">
        <v>10424</v>
      </c>
      <c r="T416">
        <v>3</v>
      </c>
      <c r="U416">
        <v>3</v>
      </c>
      <c r="V416">
        <v>2</v>
      </c>
      <c r="W416">
        <v>2</v>
      </c>
      <c r="X416">
        <v>1</v>
      </c>
      <c r="Y416">
        <v>1</v>
      </c>
      <c r="Z416" t="s">
        <v>3209</v>
      </c>
      <c r="AA416" t="s">
        <v>3271</v>
      </c>
      <c r="AB416" t="s">
        <v>3217</v>
      </c>
      <c r="AC416" t="s">
        <v>10298</v>
      </c>
      <c r="AD416" t="s">
        <v>10425</v>
      </c>
      <c r="AE416" t="str">
        <f t="shared" si="18"/>
        <v>Slow</v>
      </c>
      <c r="AF416">
        <f>IF($A416="","",IFERROR(VLOOKUP($B416,_CONFIG_Risk_Calibration!$A$5:$H$21,2,FALSE),3))</f>
        <v>3</v>
      </c>
      <c r="AG416">
        <f>IF($A416="","",IFERROR(VLOOKUP($B416,_CONFIG_Risk_Calibration!$A$5:$H$21,3,FALSE),0))</f>
        <v>0</v>
      </c>
      <c r="AH416">
        <f>IF($A416="","",IFERROR(VLOOKUP($B416,_CONFIG_Risk_Calibration!$A$5:$H$21,4,FALSE),3))</f>
        <v>3</v>
      </c>
      <c r="AI416">
        <f>IF($A416="","",IFERROR(VLOOKUP($B416,_CONFIG_Risk_Calibration!$A$5:$H$21,5,FALSE),3))</f>
        <v>3</v>
      </c>
      <c r="AJ416" t="str">
        <f>IF($A416="","",IFERROR(VLOOKUP($B416,_CONFIG_Risk_Calibration!$A$5:$H$21,6,FALSE),"No"))</f>
        <v>Yes</v>
      </c>
      <c r="AK416">
        <f>IF($A416="","",IFERROR(VLOOKUP($B416,_CONFIG_Risk_Calibration!$A$5:$H$21,7,FALSE),1))</f>
        <v>4</v>
      </c>
      <c r="AL416" t="str">
        <f>IF($A416="","",IFERROR(VLOOKUP($B416,_CONFIG_Risk_Calibration!$A$5:$H$21,8,FALSE),""))</f>
        <v>Clean template default. Calibrate with real exposure, incident history, evidence quality and domain-owner validation.</v>
      </c>
      <c r="AM416">
        <f>IF($A416="","",IFERROR(INDEX(_DATA_Assessment_Model!$AL$1:$AL$428,MATCH($A416,_DATA_Assessment_Model!$A$1:$A$428,0)),""))</f>
        <v>0</v>
      </c>
      <c r="AN416">
        <f t="shared" si="19"/>
        <v>1</v>
      </c>
      <c r="AO416">
        <f>IF($A416="","",_CONFIG_Model_Settings!$B$172*MAX(N($AK416),(N($AF416)+N($AI416))/2))</f>
        <v>80</v>
      </c>
      <c r="AP416">
        <f t="shared" si="20"/>
        <v>80</v>
      </c>
      <c r="AQ416">
        <f>IF($AP416="","",MAX(0,$AP416*(1-(_CONFIG_Model_Settings!$B$173+_CONFIG_Model_Settings!$B$174*(N($AH416)-1)))))</f>
        <v>52</v>
      </c>
      <c r="AR416">
        <f>IF($AP416="","",MIN(100,$AP416*(1+(_CONFIG_Model_Settings!$B$173+_CONFIG_Model_Settings!$B$174*(N($AH416)-1)))))</f>
        <v>100</v>
      </c>
    </row>
    <row r="417" spans="1:44">
      <c r="A417" t="s">
        <v>3278</v>
      </c>
      <c r="B417" t="s">
        <v>3204</v>
      </c>
      <c r="C417" t="s">
        <v>3225</v>
      </c>
      <c r="D417" t="s">
        <v>4507</v>
      </c>
      <c r="E417" t="s">
        <v>3279</v>
      </c>
      <c r="F417" t="s">
        <v>10426</v>
      </c>
      <c r="G417" t="s">
        <v>10427</v>
      </c>
      <c r="H417" t="s">
        <v>10428</v>
      </c>
      <c r="I417" t="s">
        <v>10429</v>
      </c>
      <c r="J417" t="s">
        <v>10430</v>
      </c>
      <c r="K417" t="s">
        <v>10431</v>
      </c>
      <c r="L417" t="s">
        <v>10432</v>
      </c>
      <c r="M417" t="s">
        <v>10433</v>
      </c>
      <c r="N417" t="s">
        <v>10434</v>
      </c>
      <c r="O417" t="s">
        <v>10435</v>
      </c>
      <c r="P417" t="s">
        <v>10436</v>
      </c>
      <c r="Q417" t="s">
        <v>10437</v>
      </c>
      <c r="R417" t="s">
        <v>4589</v>
      </c>
      <c r="S417" t="s">
        <v>10438</v>
      </c>
      <c r="T417">
        <v>3</v>
      </c>
      <c r="U417">
        <v>3</v>
      </c>
      <c r="V417">
        <v>2</v>
      </c>
      <c r="W417">
        <v>2</v>
      </c>
      <c r="X417">
        <v>1</v>
      </c>
      <c r="Y417">
        <v>1</v>
      </c>
      <c r="Z417" t="s">
        <v>3209</v>
      </c>
      <c r="AA417" t="s">
        <v>3280</v>
      </c>
      <c r="AB417" t="s">
        <v>3217</v>
      </c>
      <c r="AC417" t="s">
        <v>10298</v>
      </c>
      <c r="AD417" t="s">
        <v>10439</v>
      </c>
      <c r="AE417" t="str">
        <f t="shared" si="18"/>
        <v>Slow</v>
      </c>
      <c r="AF417">
        <f>IF($A417="","",IFERROR(VLOOKUP($B417,_CONFIG_Risk_Calibration!$A$5:$H$21,2,FALSE),3))</f>
        <v>3</v>
      </c>
      <c r="AG417">
        <f>IF($A417="","",IFERROR(VLOOKUP($B417,_CONFIG_Risk_Calibration!$A$5:$H$21,3,FALSE),0))</f>
        <v>0</v>
      </c>
      <c r="AH417">
        <f>IF($A417="","",IFERROR(VLOOKUP($B417,_CONFIG_Risk_Calibration!$A$5:$H$21,4,FALSE),3))</f>
        <v>3</v>
      </c>
      <c r="AI417">
        <f>IF($A417="","",IFERROR(VLOOKUP($B417,_CONFIG_Risk_Calibration!$A$5:$H$21,5,FALSE),3))</f>
        <v>3</v>
      </c>
      <c r="AJ417" t="str">
        <f>IF($A417="","",IFERROR(VLOOKUP($B417,_CONFIG_Risk_Calibration!$A$5:$H$21,6,FALSE),"No"))</f>
        <v>Yes</v>
      </c>
      <c r="AK417">
        <f>IF($A417="","",IFERROR(VLOOKUP($B417,_CONFIG_Risk_Calibration!$A$5:$H$21,7,FALSE),1))</f>
        <v>4</v>
      </c>
      <c r="AL417" t="str">
        <f>IF($A417="","",IFERROR(VLOOKUP($B417,_CONFIG_Risk_Calibration!$A$5:$H$21,8,FALSE),""))</f>
        <v>Clean template default. Calibrate with real exposure, incident history, evidence quality and domain-owner validation.</v>
      </c>
      <c r="AM417">
        <f>IF($A417="","",IFERROR(INDEX(_DATA_Assessment_Model!$AL$1:$AL$428,MATCH($A417,_DATA_Assessment_Model!$A$1:$A$428,0)),""))</f>
        <v>0</v>
      </c>
      <c r="AN417">
        <f t="shared" si="19"/>
        <v>1</v>
      </c>
      <c r="AO417">
        <f>IF($A417="","",_CONFIG_Model_Settings!$B$172*MAX(N($AK417),(N($AF417)+N($AI417))/2))</f>
        <v>80</v>
      </c>
      <c r="AP417">
        <f t="shared" si="20"/>
        <v>80</v>
      </c>
      <c r="AQ417">
        <f>IF($AP417="","",MAX(0,$AP417*(1-(_CONFIG_Model_Settings!$B$173+_CONFIG_Model_Settings!$B$174*(N($AH417)-1)))))</f>
        <v>52</v>
      </c>
      <c r="AR417">
        <f>IF($AP417="","",MIN(100,$AP417*(1+(_CONFIG_Model_Settings!$B$173+_CONFIG_Model_Settings!$B$174*(N($AH417)-1)))))</f>
        <v>100</v>
      </c>
    </row>
    <row r="418" spans="1:44">
      <c r="A418" t="s">
        <v>3281</v>
      </c>
      <c r="B418" t="s">
        <v>3204</v>
      </c>
      <c r="C418" t="s">
        <v>3225</v>
      </c>
      <c r="D418" t="s">
        <v>4507</v>
      </c>
      <c r="E418" t="s">
        <v>3282</v>
      </c>
      <c r="F418" t="s">
        <v>10440</v>
      </c>
      <c r="G418" t="s">
        <v>10441</v>
      </c>
      <c r="H418" t="s">
        <v>10442</v>
      </c>
      <c r="I418" t="s">
        <v>10443</v>
      </c>
      <c r="J418" t="s">
        <v>10444</v>
      </c>
      <c r="K418" t="s">
        <v>10445</v>
      </c>
      <c r="L418" t="s">
        <v>10446</v>
      </c>
      <c r="M418" t="s">
        <v>10447</v>
      </c>
      <c r="N418" t="s">
        <v>10448</v>
      </c>
      <c r="O418" t="s">
        <v>10449</v>
      </c>
      <c r="P418" t="s">
        <v>10450</v>
      </c>
      <c r="Q418" t="s">
        <v>10451</v>
      </c>
      <c r="R418" t="s">
        <v>4589</v>
      </c>
      <c r="S418" t="s">
        <v>10452</v>
      </c>
      <c r="T418">
        <v>3</v>
      </c>
      <c r="U418">
        <v>3</v>
      </c>
      <c r="V418">
        <v>2</v>
      </c>
      <c r="W418">
        <v>2</v>
      </c>
      <c r="X418">
        <v>1</v>
      </c>
      <c r="Y418">
        <v>1</v>
      </c>
      <c r="Z418" t="s">
        <v>3209</v>
      </c>
      <c r="AA418" t="s">
        <v>3283</v>
      </c>
      <c r="AB418" t="s">
        <v>3217</v>
      </c>
      <c r="AC418" t="s">
        <v>10298</v>
      </c>
      <c r="AD418" t="s">
        <v>10453</v>
      </c>
      <c r="AE418" t="str">
        <f t="shared" si="18"/>
        <v>Slow</v>
      </c>
      <c r="AF418">
        <f>IF($A418="","",IFERROR(VLOOKUP($B418,_CONFIG_Risk_Calibration!$A$5:$H$21,2,FALSE),3))</f>
        <v>3</v>
      </c>
      <c r="AG418">
        <f>IF($A418="","",IFERROR(VLOOKUP($B418,_CONFIG_Risk_Calibration!$A$5:$H$21,3,FALSE),0))</f>
        <v>0</v>
      </c>
      <c r="AH418">
        <f>IF($A418="","",IFERROR(VLOOKUP($B418,_CONFIG_Risk_Calibration!$A$5:$H$21,4,FALSE),3))</f>
        <v>3</v>
      </c>
      <c r="AI418">
        <f>IF($A418="","",IFERROR(VLOOKUP($B418,_CONFIG_Risk_Calibration!$A$5:$H$21,5,FALSE),3))</f>
        <v>3</v>
      </c>
      <c r="AJ418" t="str">
        <f>IF($A418="","",IFERROR(VLOOKUP($B418,_CONFIG_Risk_Calibration!$A$5:$H$21,6,FALSE),"No"))</f>
        <v>Yes</v>
      </c>
      <c r="AK418">
        <f>IF($A418="","",IFERROR(VLOOKUP($B418,_CONFIG_Risk_Calibration!$A$5:$H$21,7,FALSE),1))</f>
        <v>4</v>
      </c>
      <c r="AL418" t="str">
        <f>IF($A418="","",IFERROR(VLOOKUP($B418,_CONFIG_Risk_Calibration!$A$5:$H$21,8,FALSE),""))</f>
        <v>Clean template default. Calibrate with real exposure, incident history, evidence quality and domain-owner validation.</v>
      </c>
      <c r="AM418">
        <f>IF($A418="","",IFERROR(INDEX(_DATA_Assessment_Model!$AL$1:$AL$428,MATCH($A418,_DATA_Assessment_Model!$A$1:$A$428,0)),""))</f>
        <v>0</v>
      </c>
      <c r="AN418">
        <f t="shared" si="19"/>
        <v>1</v>
      </c>
      <c r="AO418">
        <f>IF($A418="","",_CONFIG_Model_Settings!$B$172*MAX(N($AK418),(N($AF418)+N($AI418))/2))</f>
        <v>80</v>
      </c>
      <c r="AP418">
        <f t="shared" si="20"/>
        <v>80</v>
      </c>
      <c r="AQ418">
        <f>IF($AP418="","",MAX(0,$AP418*(1-(_CONFIG_Model_Settings!$B$173+_CONFIG_Model_Settings!$B$174*(N($AH418)-1)))))</f>
        <v>52</v>
      </c>
      <c r="AR418">
        <f>IF($AP418="","",MIN(100,$AP418*(1+(_CONFIG_Model_Settings!$B$173+_CONFIG_Model_Settings!$B$174*(N($AH418)-1)))))</f>
        <v>100</v>
      </c>
    </row>
    <row r="419" spans="1:44">
      <c r="A419" t="s">
        <v>3290</v>
      </c>
      <c r="B419" t="s">
        <v>3204</v>
      </c>
      <c r="C419" t="s">
        <v>3225</v>
      </c>
      <c r="D419" t="s">
        <v>4507</v>
      </c>
      <c r="E419" t="s">
        <v>3291</v>
      </c>
      <c r="F419" t="s">
        <v>10454</v>
      </c>
      <c r="G419" t="s">
        <v>10455</v>
      </c>
      <c r="H419" t="s">
        <v>10456</v>
      </c>
      <c r="I419" t="s">
        <v>10457</v>
      </c>
      <c r="J419" t="s">
        <v>10458</v>
      </c>
      <c r="K419" t="s">
        <v>10459</v>
      </c>
      <c r="L419" t="s">
        <v>10460</v>
      </c>
      <c r="M419" t="s">
        <v>10461</v>
      </c>
      <c r="N419" t="s">
        <v>10462</v>
      </c>
      <c r="O419" t="s">
        <v>10463</v>
      </c>
      <c r="P419" t="s">
        <v>10464</v>
      </c>
      <c r="Q419" t="s">
        <v>10465</v>
      </c>
      <c r="R419" t="s">
        <v>4589</v>
      </c>
      <c r="S419" t="s">
        <v>10466</v>
      </c>
      <c r="T419">
        <v>3</v>
      </c>
      <c r="U419">
        <v>3</v>
      </c>
      <c r="V419">
        <v>2</v>
      </c>
      <c r="W419">
        <v>2</v>
      </c>
      <c r="X419">
        <v>1</v>
      </c>
      <c r="Y419">
        <v>1</v>
      </c>
      <c r="Z419" t="s">
        <v>3209</v>
      </c>
      <c r="AA419" t="s">
        <v>3292</v>
      </c>
      <c r="AB419" t="s">
        <v>3217</v>
      </c>
      <c r="AC419" t="s">
        <v>10298</v>
      </c>
      <c r="AD419" t="s">
        <v>10467</v>
      </c>
      <c r="AE419" t="str">
        <f t="shared" si="18"/>
        <v>Slow</v>
      </c>
      <c r="AF419">
        <f>IF($A419="","",IFERROR(VLOOKUP($B419,_CONFIG_Risk_Calibration!$A$5:$H$21,2,FALSE),3))</f>
        <v>3</v>
      </c>
      <c r="AG419">
        <f>IF($A419="","",IFERROR(VLOOKUP($B419,_CONFIG_Risk_Calibration!$A$5:$H$21,3,FALSE),0))</f>
        <v>0</v>
      </c>
      <c r="AH419">
        <f>IF($A419="","",IFERROR(VLOOKUP($B419,_CONFIG_Risk_Calibration!$A$5:$H$21,4,FALSE),3))</f>
        <v>3</v>
      </c>
      <c r="AI419">
        <f>IF($A419="","",IFERROR(VLOOKUP($B419,_CONFIG_Risk_Calibration!$A$5:$H$21,5,FALSE),3))</f>
        <v>3</v>
      </c>
      <c r="AJ419" t="str">
        <f>IF($A419="","",IFERROR(VLOOKUP($B419,_CONFIG_Risk_Calibration!$A$5:$H$21,6,FALSE),"No"))</f>
        <v>Yes</v>
      </c>
      <c r="AK419">
        <f>IF($A419="","",IFERROR(VLOOKUP($B419,_CONFIG_Risk_Calibration!$A$5:$H$21,7,FALSE),1))</f>
        <v>4</v>
      </c>
      <c r="AL419" t="str">
        <f>IF($A419="","",IFERROR(VLOOKUP($B419,_CONFIG_Risk_Calibration!$A$5:$H$21,8,FALSE),""))</f>
        <v>Clean template default. Calibrate with real exposure, incident history, evidence quality and domain-owner validation.</v>
      </c>
      <c r="AM419">
        <f>IF($A419="","",IFERROR(INDEX(_DATA_Assessment_Model!$AL$1:$AL$428,MATCH($A419,_DATA_Assessment_Model!$A$1:$A$428,0)),""))</f>
        <v>0</v>
      </c>
      <c r="AN419">
        <f t="shared" si="19"/>
        <v>1</v>
      </c>
      <c r="AO419">
        <f>IF($A419="","",_CONFIG_Model_Settings!$B$172*MAX(N($AK419),(N($AF419)+N($AI419))/2))</f>
        <v>80</v>
      </c>
      <c r="AP419">
        <f t="shared" si="20"/>
        <v>80</v>
      </c>
      <c r="AQ419">
        <f>IF($AP419="","",MAX(0,$AP419*(1-(_CONFIG_Model_Settings!$B$173+_CONFIG_Model_Settings!$B$174*(N($AH419)-1)))))</f>
        <v>52</v>
      </c>
      <c r="AR419">
        <f>IF($AP419="","",MIN(100,$AP419*(1+(_CONFIG_Model_Settings!$B$173+_CONFIG_Model_Settings!$B$174*(N($AH419)-1)))))</f>
        <v>100</v>
      </c>
    </row>
    <row r="420" spans="1:44">
      <c r="A420" t="s">
        <v>3293</v>
      </c>
      <c r="B420" t="s">
        <v>3204</v>
      </c>
      <c r="C420" t="s">
        <v>3225</v>
      </c>
      <c r="D420" t="s">
        <v>4507</v>
      </c>
      <c r="E420" t="s">
        <v>3294</v>
      </c>
      <c r="F420" t="s">
        <v>10468</v>
      </c>
      <c r="G420" t="s">
        <v>10469</v>
      </c>
      <c r="H420" t="s">
        <v>10470</v>
      </c>
      <c r="I420" t="s">
        <v>10471</v>
      </c>
      <c r="J420" t="s">
        <v>10472</v>
      </c>
      <c r="K420" t="s">
        <v>10473</v>
      </c>
      <c r="L420" t="s">
        <v>10474</v>
      </c>
      <c r="M420" t="s">
        <v>10475</v>
      </c>
      <c r="N420" t="s">
        <v>10476</v>
      </c>
      <c r="O420" t="s">
        <v>10477</v>
      </c>
      <c r="P420" t="s">
        <v>10478</v>
      </c>
      <c r="Q420" t="s">
        <v>10479</v>
      </c>
      <c r="R420" t="s">
        <v>4589</v>
      </c>
      <c r="S420" t="s">
        <v>10480</v>
      </c>
      <c r="T420">
        <v>3</v>
      </c>
      <c r="U420">
        <v>3</v>
      </c>
      <c r="V420">
        <v>2</v>
      </c>
      <c r="W420">
        <v>2</v>
      </c>
      <c r="X420">
        <v>1</v>
      </c>
      <c r="Y420">
        <v>1</v>
      </c>
      <c r="Z420" t="s">
        <v>3209</v>
      </c>
      <c r="AA420" t="s">
        <v>3295</v>
      </c>
      <c r="AB420" t="s">
        <v>3217</v>
      </c>
      <c r="AC420" t="s">
        <v>10298</v>
      </c>
      <c r="AD420" t="s">
        <v>10481</v>
      </c>
      <c r="AE420" t="str">
        <f t="shared" si="18"/>
        <v>Slow</v>
      </c>
      <c r="AF420">
        <f>IF($A420="","",IFERROR(VLOOKUP($B420,_CONFIG_Risk_Calibration!$A$5:$H$21,2,FALSE),3))</f>
        <v>3</v>
      </c>
      <c r="AG420">
        <f>IF($A420="","",IFERROR(VLOOKUP($B420,_CONFIG_Risk_Calibration!$A$5:$H$21,3,FALSE),0))</f>
        <v>0</v>
      </c>
      <c r="AH420">
        <f>IF($A420="","",IFERROR(VLOOKUP($B420,_CONFIG_Risk_Calibration!$A$5:$H$21,4,FALSE),3))</f>
        <v>3</v>
      </c>
      <c r="AI420">
        <f>IF($A420="","",IFERROR(VLOOKUP($B420,_CONFIG_Risk_Calibration!$A$5:$H$21,5,FALSE),3))</f>
        <v>3</v>
      </c>
      <c r="AJ420" t="str">
        <f>IF($A420="","",IFERROR(VLOOKUP($B420,_CONFIG_Risk_Calibration!$A$5:$H$21,6,FALSE),"No"))</f>
        <v>Yes</v>
      </c>
      <c r="AK420">
        <f>IF($A420="","",IFERROR(VLOOKUP($B420,_CONFIG_Risk_Calibration!$A$5:$H$21,7,FALSE),1))</f>
        <v>4</v>
      </c>
      <c r="AL420" t="str">
        <f>IF($A420="","",IFERROR(VLOOKUP($B420,_CONFIG_Risk_Calibration!$A$5:$H$21,8,FALSE),""))</f>
        <v>Clean template default. Calibrate with real exposure, incident history, evidence quality and domain-owner validation.</v>
      </c>
      <c r="AM420">
        <f>IF($A420="","",IFERROR(INDEX(_DATA_Assessment_Model!$AL$1:$AL$428,MATCH($A420,_DATA_Assessment_Model!$A$1:$A$428,0)),""))</f>
        <v>0</v>
      </c>
      <c r="AN420">
        <f t="shared" si="19"/>
        <v>1</v>
      </c>
      <c r="AO420">
        <f>IF($A420="","",_CONFIG_Model_Settings!$B$172*MAX(N($AK420),(N($AF420)+N($AI420))/2))</f>
        <v>80</v>
      </c>
      <c r="AP420">
        <f t="shared" si="20"/>
        <v>80</v>
      </c>
      <c r="AQ420">
        <f>IF($AP420="","",MAX(0,$AP420*(1-(_CONFIG_Model_Settings!$B$173+_CONFIG_Model_Settings!$B$174*(N($AH420)-1)))))</f>
        <v>52</v>
      </c>
      <c r="AR420">
        <f>IF($AP420="","",MIN(100,$AP420*(1+(_CONFIG_Model_Settings!$B$173+_CONFIG_Model_Settings!$B$174*(N($AH420)-1)))))</f>
        <v>100</v>
      </c>
    </row>
    <row r="421" spans="1:44">
      <c r="A421" t="s">
        <v>3296</v>
      </c>
      <c r="B421" t="s">
        <v>3204</v>
      </c>
      <c r="C421" t="s">
        <v>3235</v>
      </c>
      <c r="D421" t="s">
        <v>4507</v>
      </c>
      <c r="E421" t="s">
        <v>3297</v>
      </c>
      <c r="F421" t="s">
        <v>10482</v>
      </c>
      <c r="G421" t="s">
        <v>10483</v>
      </c>
      <c r="H421" t="s">
        <v>10484</v>
      </c>
      <c r="I421" t="s">
        <v>10485</v>
      </c>
      <c r="J421" t="s">
        <v>10486</v>
      </c>
      <c r="K421" t="s">
        <v>10487</v>
      </c>
      <c r="L421" t="s">
        <v>10488</v>
      </c>
      <c r="M421" t="s">
        <v>10489</v>
      </c>
      <c r="N421" t="s">
        <v>10490</v>
      </c>
      <c r="O421" t="s">
        <v>10491</v>
      </c>
      <c r="P421" t="s">
        <v>10492</v>
      </c>
      <c r="Q421" t="s">
        <v>10493</v>
      </c>
      <c r="R421" t="s">
        <v>4589</v>
      </c>
      <c r="S421" t="s">
        <v>10494</v>
      </c>
      <c r="T421">
        <v>3</v>
      </c>
      <c r="U421">
        <v>3</v>
      </c>
      <c r="V421">
        <v>2</v>
      </c>
      <c r="W421">
        <v>2</v>
      </c>
      <c r="X421">
        <v>1</v>
      </c>
      <c r="Y421">
        <v>1</v>
      </c>
      <c r="Z421" t="s">
        <v>3209</v>
      </c>
      <c r="AA421" t="s">
        <v>3298</v>
      </c>
      <c r="AB421" t="s">
        <v>3217</v>
      </c>
      <c r="AC421" t="s">
        <v>10298</v>
      </c>
      <c r="AD421" t="s">
        <v>10495</v>
      </c>
      <c r="AE421" t="str">
        <f t="shared" si="18"/>
        <v>Slow</v>
      </c>
      <c r="AF421">
        <f>IF($A421="","",IFERROR(VLOOKUP($B421,_CONFIG_Risk_Calibration!$A$5:$H$21,2,FALSE),3))</f>
        <v>3</v>
      </c>
      <c r="AG421">
        <f>IF($A421="","",IFERROR(VLOOKUP($B421,_CONFIG_Risk_Calibration!$A$5:$H$21,3,FALSE),0))</f>
        <v>0</v>
      </c>
      <c r="AH421">
        <f>IF($A421="","",IFERROR(VLOOKUP($B421,_CONFIG_Risk_Calibration!$A$5:$H$21,4,FALSE),3))</f>
        <v>3</v>
      </c>
      <c r="AI421">
        <f>IF($A421="","",IFERROR(VLOOKUP($B421,_CONFIG_Risk_Calibration!$A$5:$H$21,5,FALSE),3))</f>
        <v>3</v>
      </c>
      <c r="AJ421" t="str">
        <f>IF($A421="","",IFERROR(VLOOKUP($B421,_CONFIG_Risk_Calibration!$A$5:$H$21,6,FALSE),"No"))</f>
        <v>Yes</v>
      </c>
      <c r="AK421">
        <f>IF($A421="","",IFERROR(VLOOKUP($B421,_CONFIG_Risk_Calibration!$A$5:$H$21,7,FALSE),1))</f>
        <v>4</v>
      </c>
      <c r="AL421" t="str">
        <f>IF($A421="","",IFERROR(VLOOKUP($B421,_CONFIG_Risk_Calibration!$A$5:$H$21,8,FALSE),""))</f>
        <v>Clean template default. Calibrate with real exposure, incident history, evidence quality and domain-owner validation.</v>
      </c>
      <c r="AM421">
        <f>IF($A421="","",IFERROR(INDEX(_DATA_Assessment_Model!$AL$1:$AL$428,MATCH($A421,_DATA_Assessment_Model!$A$1:$A$428,0)),""))</f>
        <v>0</v>
      </c>
      <c r="AN421">
        <f t="shared" si="19"/>
        <v>1</v>
      </c>
      <c r="AO421">
        <f>IF($A421="","",_CONFIG_Model_Settings!$B$172*MAX(N($AK421),(N($AF421)+N($AI421))/2))</f>
        <v>80</v>
      </c>
      <c r="AP421">
        <f t="shared" si="20"/>
        <v>80</v>
      </c>
      <c r="AQ421">
        <f>IF($AP421="","",MAX(0,$AP421*(1-(_CONFIG_Model_Settings!$B$173+_CONFIG_Model_Settings!$B$174*(N($AH421)-1)))))</f>
        <v>52</v>
      </c>
      <c r="AR421">
        <f>IF($AP421="","",MIN(100,$AP421*(1+(_CONFIG_Model_Settings!$B$173+_CONFIG_Model_Settings!$B$174*(N($AH421)-1)))))</f>
        <v>100</v>
      </c>
    </row>
    <row r="422" spans="1:44">
      <c r="A422" t="s">
        <v>3299</v>
      </c>
      <c r="B422" t="s">
        <v>3204</v>
      </c>
      <c r="C422" t="s">
        <v>3235</v>
      </c>
      <c r="D422" t="s">
        <v>4507</v>
      </c>
      <c r="E422" t="s">
        <v>3300</v>
      </c>
      <c r="F422" t="s">
        <v>10496</v>
      </c>
      <c r="G422" t="s">
        <v>10497</v>
      </c>
      <c r="H422" t="s">
        <v>10498</v>
      </c>
      <c r="I422" t="s">
        <v>10499</v>
      </c>
      <c r="J422" t="s">
        <v>10500</v>
      </c>
      <c r="K422" t="s">
        <v>10501</v>
      </c>
      <c r="L422" t="s">
        <v>10502</v>
      </c>
      <c r="M422" t="s">
        <v>10503</v>
      </c>
      <c r="N422" t="s">
        <v>10504</v>
      </c>
      <c r="O422" t="s">
        <v>10505</v>
      </c>
      <c r="P422" t="s">
        <v>10506</v>
      </c>
      <c r="Q422" t="s">
        <v>10507</v>
      </c>
      <c r="R422" t="s">
        <v>4589</v>
      </c>
      <c r="S422" t="s">
        <v>10508</v>
      </c>
      <c r="T422">
        <v>3</v>
      </c>
      <c r="U422">
        <v>3</v>
      </c>
      <c r="V422">
        <v>2</v>
      </c>
      <c r="W422">
        <v>2</v>
      </c>
      <c r="X422">
        <v>1</v>
      </c>
      <c r="Y422">
        <v>1</v>
      </c>
      <c r="Z422" t="s">
        <v>3209</v>
      </c>
      <c r="AA422" t="s">
        <v>3301</v>
      </c>
      <c r="AB422" t="s">
        <v>3217</v>
      </c>
      <c r="AC422" t="s">
        <v>10298</v>
      </c>
      <c r="AD422" t="s">
        <v>10509</v>
      </c>
      <c r="AE422" t="str">
        <f t="shared" si="18"/>
        <v>Slow</v>
      </c>
      <c r="AF422">
        <f>IF($A422="","",IFERROR(VLOOKUP($B422,_CONFIG_Risk_Calibration!$A$5:$H$21,2,FALSE),3))</f>
        <v>3</v>
      </c>
      <c r="AG422">
        <f>IF($A422="","",IFERROR(VLOOKUP($B422,_CONFIG_Risk_Calibration!$A$5:$H$21,3,FALSE),0))</f>
        <v>0</v>
      </c>
      <c r="AH422">
        <f>IF($A422="","",IFERROR(VLOOKUP($B422,_CONFIG_Risk_Calibration!$A$5:$H$21,4,FALSE),3))</f>
        <v>3</v>
      </c>
      <c r="AI422">
        <f>IF($A422="","",IFERROR(VLOOKUP($B422,_CONFIG_Risk_Calibration!$A$5:$H$21,5,FALSE),3))</f>
        <v>3</v>
      </c>
      <c r="AJ422" t="str">
        <f>IF($A422="","",IFERROR(VLOOKUP($B422,_CONFIG_Risk_Calibration!$A$5:$H$21,6,FALSE),"No"))</f>
        <v>Yes</v>
      </c>
      <c r="AK422">
        <f>IF($A422="","",IFERROR(VLOOKUP($B422,_CONFIG_Risk_Calibration!$A$5:$H$21,7,FALSE),1))</f>
        <v>4</v>
      </c>
      <c r="AL422" t="str">
        <f>IF($A422="","",IFERROR(VLOOKUP($B422,_CONFIG_Risk_Calibration!$A$5:$H$21,8,FALSE),""))</f>
        <v>Clean template default. Calibrate with real exposure, incident history, evidence quality and domain-owner validation.</v>
      </c>
      <c r="AM422">
        <f>IF($A422="","",IFERROR(INDEX(_DATA_Assessment_Model!$AL$1:$AL$428,MATCH($A422,_DATA_Assessment_Model!$A$1:$A$428,0)),""))</f>
        <v>0</v>
      </c>
      <c r="AN422">
        <f t="shared" si="19"/>
        <v>1</v>
      </c>
      <c r="AO422">
        <f>IF($A422="","",_CONFIG_Model_Settings!$B$172*MAX(N($AK422),(N($AF422)+N($AI422))/2))</f>
        <v>80</v>
      </c>
      <c r="AP422">
        <f t="shared" si="20"/>
        <v>80</v>
      </c>
      <c r="AQ422">
        <f>IF($AP422="","",MAX(0,$AP422*(1-(_CONFIG_Model_Settings!$B$173+_CONFIG_Model_Settings!$B$174*(N($AH422)-1)))))</f>
        <v>52</v>
      </c>
      <c r="AR422">
        <f>IF($AP422="","",MIN(100,$AP422*(1+(_CONFIG_Model_Settings!$B$173+_CONFIG_Model_Settings!$B$174*(N($AH422)-1)))))</f>
        <v>100</v>
      </c>
    </row>
    <row r="423" spans="1:44">
      <c r="A423" t="s">
        <v>3302</v>
      </c>
      <c r="B423" t="s">
        <v>3204</v>
      </c>
      <c r="C423" t="s">
        <v>3235</v>
      </c>
      <c r="D423" t="s">
        <v>4507</v>
      </c>
      <c r="E423" t="s">
        <v>3303</v>
      </c>
      <c r="F423" t="s">
        <v>10510</v>
      </c>
      <c r="G423" t="s">
        <v>10511</v>
      </c>
      <c r="H423" t="s">
        <v>10512</v>
      </c>
      <c r="I423" t="s">
        <v>10513</v>
      </c>
      <c r="J423" t="s">
        <v>10514</v>
      </c>
      <c r="K423" t="s">
        <v>10515</v>
      </c>
      <c r="L423" t="s">
        <v>10516</v>
      </c>
      <c r="M423" t="s">
        <v>10517</v>
      </c>
      <c r="N423" t="s">
        <v>10518</v>
      </c>
      <c r="O423" t="s">
        <v>10519</v>
      </c>
      <c r="P423" t="s">
        <v>10520</v>
      </c>
      <c r="Q423" t="s">
        <v>10521</v>
      </c>
      <c r="R423" t="s">
        <v>4589</v>
      </c>
      <c r="S423" t="s">
        <v>10522</v>
      </c>
      <c r="T423">
        <v>3</v>
      </c>
      <c r="U423">
        <v>3</v>
      </c>
      <c r="V423">
        <v>2</v>
      </c>
      <c r="W423">
        <v>2</v>
      </c>
      <c r="X423">
        <v>1</v>
      </c>
      <c r="Y423">
        <v>1</v>
      </c>
      <c r="Z423" t="s">
        <v>3209</v>
      </c>
      <c r="AA423" t="s">
        <v>3304</v>
      </c>
      <c r="AB423" t="s">
        <v>3217</v>
      </c>
      <c r="AC423" t="s">
        <v>10298</v>
      </c>
      <c r="AD423" t="s">
        <v>10523</v>
      </c>
      <c r="AE423" t="str">
        <f t="shared" si="18"/>
        <v>Slow</v>
      </c>
      <c r="AF423">
        <f>IF($A423="","",IFERROR(VLOOKUP($B423,_CONFIG_Risk_Calibration!$A$5:$H$21,2,FALSE),3))</f>
        <v>3</v>
      </c>
      <c r="AG423">
        <f>IF($A423="","",IFERROR(VLOOKUP($B423,_CONFIG_Risk_Calibration!$A$5:$H$21,3,FALSE),0))</f>
        <v>0</v>
      </c>
      <c r="AH423">
        <f>IF($A423="","",IFERROR(VLOOKUP($B423,_CONFIG_Risk_Calibration!$A$5:$H$21,4,FALSE),3))</f>
        <v>3</v>
      </c>
      <c r="AI423">
        <f>IF($A423="","",IFERROR(VLOOKUP($B423,_CONFIG_Risk_Calibration!$A$5:$H$21,5,FALSE),3))</f>
        <v>3</v>
      </c>
      <c r="AJ423" t="str">
        <f>IF($A423="","",IFERROR(VLOOKUP($B423,_CONFIG_Risk_Calibration!$A$5:$H$21,6,FALSE),"No"))</f>
        <v>Yes</v>
      </c>
      <c r="AK423">
        <f>IF($A423="","",IFERROR(VLOOKUP($B423,_CONFIG_Risk_Calibration!$A$5:$H$21,7,FALSE),1))</f>
        <v>4</v>
      </c>
      <c r="AL423" t="str">
        <f>IF($A423="","",IFERROR(VLOOKUP($B423,_CONFIG_Risk_Calibration!$A$5:$H$21,8,FALSE),""))</f>
        <v>Clean template default. Calibrate with real exposure, incident history, evidence quality and domain-owner validation.</v>
      </c>
      <c r="AM423">
        <f>IF($A423="","",IFERROR(INDEX(_DATA_Assessment_Model!$AL$1:$AL$428,MATCH($A423,_DATA_Assessment_Model!$A$1:$A$428,0)),""))</f>
        <v>0</v>
      </c>
      <c r="AN423">
        <f t="shared" si="19"/>
        <v>1</v>
      </c>
      <c r="AO423">
        <f>IF($A423="","",_CONFIG_Model_Settings!$B$172*MAX(N($AK423),(N($AF423)+N($AI423))/2))</f>
        <v>80</v>
      </c>
      <c r="AP423">
        <f t="shared" si="20"/>
        <v>80</v>
      </c>
      <c r="AQ423">
        <f>IF($AP423="","",MAX(0,$AP423*(1-(_CONFIG_Model_Settings!$B$173+_CONFIG_Model_Settings!$B$174*(N($AH423)-1)))))</f>
        <v>52</v>
      </c>
      <c r="AR423">
        <f>IF($AP423="","",MIN(100,$AP423*(1+(_CONFIG_Model_Settings!$B$173+_CONFIG_Model_Settings!$B$174*(N($AH423)-1)))))</f>
        <v>100</v>
      </c>
    </row>
    <row r="424" spans="1:44">
      <c r="A424" t="s">
        <v>3311</v>
      </c>
      <c r="B424" t="s">
        <v>3204</v>
      </c>
      <c r="C424" t="s">
        <v>3235</v>
      </c>
      <c r="D424" t="s">
        <v>4507</v>
      </c>
      <c r="E424" t="s">
        <v>3312</v>
      </c>
      <c r="F424" t="s">
        <v>10524</v>
      </c>
      <c r="G424" t="s">
        <v>10525</v>
      </c>
      <c r="H424" t="s">
        <v>10526</v>
      </c>
      <c r="I424" t="s">
        <v>10527</v>
      </c>
      <c r="J424" t="s">
        <v>10528</v>
      </c>
      <c r="K424" t="s">
        <v>10529</v>
      </c>
      <c r="L424" t="s">
        <v>10530</v>
      </c>
      <c r="M424" t="s">
        <v>10531</v>
      </c>
      <c r="N424" t="s">
        <v>10532</v>
      </c>
      <c r="O424" t="s">
        <v>10533</v>
      </c>
      <c r="P424" t="s">
        <v>10534</v>
      </c>
      <c r="Q424" t="s">
        <v>10535</v>
      </c>
      <c r="R424" t="s">
        <v>4589</v>
      </c>
      <c r="S424" t="s">
        <v>10536</v>
      </c>
      <c r="T424">
        <v>3</v>
      </c>
      <c r="U424">
        <v>3</v>
      </c>
      <c r="V424">
        <v>2</v>
      </c>
      <c r="W424">
        <v>2</v>
      </c>
      <c r="X424">
        <v>1</v>
      </c>
      <c r="Y424">
        <v>1</v>
      </c>
      <c r="Z424" t="s">
        <v>3209</v>
      </c>
      <c r="AA424" t="s">
        <v>3313</v>
      </c>
      <c r="AB424" t="s">
        <v>3217</v>
      </c>
      <c r="AC424" t="s">
        <v>10298</v>
      </c>
      <c r="AD424" t="s">
        <v>10537</v>
      </c>
      <c r="AE424" t="str">
        <f t="shared" si="18"/>
        <v>Slow</v>
      </c>
      <c r="AF424">
        <f>IF($A424="","",IFERROR(VLOOKUP($B424,_CONFIG_Risk_Calibration!$A$5:$H$21,2,FALSE),3))</f>
        <v>3</v>
      </c>
      <c r="AG424">
        <f>IF($A424="","",IFERROR(VLOOKUP($B424,_CONFIG_Risk_Calibration!$A$5:$H$21,3,FALSE),0))</f>
        <v>0</v>
      </c>
      <c r="AH424">
        <f>IF($A424="","",IFERROR(VLOOKUP($B424,_CONFIG_Risk_Calibration!$A$5:$H$21,4,FALSE),3))</f>
        <v>3</v>
      </c>
      <c r="AI424">
        <f>IF($A424="","",IFERROR(VLOOKUP($B424,_CONFIG_Risk_Calibration!$A$5:$H$21,5,FALSE),3))</f>
        <v>3</v>
      </c>
      <c r="AJ424" t="str">
        <f>IF($A424="","",IFERROR(VLOOKUP($B424,_CONFIG_Risk_Calibration!$A$5:$H$21,6,FALSE),"No"))</f>
        <v>Yes</v>
      </c>
      <c r="AK424">
        <f>IF($A424="","",IFERROR(VLOOKUP($B424,_CONFIG_Risk_Calibration!$A$5:$H$21,7,FALSE),1))</f>
        <v>4</v>
      </c>
      <c r="AL424" t="str">
        <f>IF($A424="","",IFERROR(VLOOKUP($B424,_CONFIG_Risk_Calibration!$A$5:$H$21,8,FALSE),""))</f>
        <v>Clean template default. Calibrate with real exposure, incident history, evidence quality and domain-owner validation.</v>
      </c>
      <c r="AM424">
        <f>IF($A424="","",IFERROR(INDEX(_DATA_Assessment_Model!$AL$1:$AL$428,MATCH($A424,_DATA_Assessment_Model!$A$1:$A$428,0)),""))</f>
        <v>0</v>
      </c>
      <c r="AN424">
        <f t="shared" si="19"/>
        <v>1</v>
      </c>
      <c r="AO424">
        <f>IF($A424="","",_CONFIG_Model_Settings!$B$172*MAX(N($AK424),(N($AF424)+N($AI424))/2))</f>
        <v>80</v>
      </c>
      <c r="AP424">
        <f t="shared" si="20"/>
        <v>80</v>
      </c>
      <c r="AQ424">
        <f>IF($AP424="","",MAX(0,$AP424*(1-(_CONFIG_Model_Settings!$B$173+_CONFIG_Model_Settings!$B$174*(N($AH424)-1)))))</f>
        <v>52</v>
      </c>
      <c r="AR424">
        <f>IF($AP424="","",MIN(100,$AP424*(1+(_CONFIG_Model_Settings!$B$173+_CONFIG_Model_Settings!$B$174*(N($AH424)-1)))))</f>
        <v>100</v>
      </c>
    </row>
    <row r="425" spans="1:44">
      <c r="A425" t="s">
        <v>3314</v>
      </c>
      <c r="B425" t="s">
        <v>3204</v>
      </c>
      <c r="C425" t="s">
        <v>3225</v>
      </c>
      <c r="D425" t="s">
        <v>10538</v>
      </c>
      <c r="E425" t="s">
        <v>3315</v>
      </c>
      <c r="F425" t="s">
        <v>10539</v>
      </c>
      <c r="G425" t="s">
        <v>10540</v>
      </c>
      <c r="H425" t="s">
        <v>10541</v>
      </c>
      <c r="I425" t="s">
        <v>10542</v>
      </c>
      <c r="J425" t="s">
        <v>10543</v>
      </c>
      <c r="K425" t="s">
        <v>10544</v>
      </c>
      <c r="L425" t="s">
        <v>10545</v>
      </c>
      <c r="M425" t="s">
        <v>10546</v>
      </c>
      <c r="N425" t="s">
        <v>10547</v>
      </c>
      <c r="O425" t="s">
        <v>10548</v>
      </c>
      <c r="P425" t="s">
        <v>10549</v>
      </c>
      <c r="Q425" t="s">
        <v>10550</v>
      </c>
      <c r="R425" t="s">
        <v>4589</v>
      </c>
      <c r="S425" t="s">
        <v>10551</v>
      </c>
      <c r="T425">
        <v>3</v>
      </c>
      <c r="U425">
        <v>3</v>
      </c>
      <c r="V425">
        <v>2</v>
      </c>
      <c r="W425">
        <v>2</v>
      </c>
      <c r="X425">
        <v>1</v>
      </c>
      <c r="Y425">
        <v>1</v>
      </c>
      <c r="Z425" t="s">
        <v>3316</v>
      </c>
      <c r="AA425" t="s">
        <v>10552</v>
      </c>
      <c r="AB425" t="s">
        <v>1530</v>
      </c>
      <c r="AC425" t="s">
        <v>10553</v>
      </c>
      <c r="AD425" t="s">
        <v>10554</v>
      </c>
      <c r="AE425" t="str">
        <f t="shared" si="18"/>
        <v>Slow</v>
      </c>
      <c r="AF425">
        <f>IF($A425="","",IFERROR(VLOOKUP($B425,_CONFIG_Risk_Calibration!$A$5:$H$21,2,FALSE),3))</f>
        <v>3</v>
      </c>
      <c r="AG425">
        <f>IF($A425="","",IFERROR(VLOOKUP($B425,_CONFIG_Risk_Calibration!$A$5:$H$21,3,FALSE),0))</f>
        <v>0</v>
      </c>
      <c r="AH425">
        <f>IF($A425="","",IFERROR(VLOOKUP($B425,_CONFIG_Risk_Calibration!$A$5:$H$21,4,FALSE),3))</f>
        <v>3</v>
      </c>
      <c r="AI425">
        <f>IF($A425="","",IFERROR(VLOOKUP($B425,_CONFIG_Risk_Calibration!$A$5:$H$21,5,FALSE),3))</f>
        <v>3</v>
      </c>
      <c r="AJ425" t="str">
        <f>IF($A425="","",IFERROR(VLOOKUP($B425,_CONFIG_Risk_Calibration!$A$5:$H$21,6,FALSE),"No"))</f>
        <v>Yes</v>
      </c>
      <c r="AK425">
        <f>IF($A425="","",IFERROR(VLOOKUP($B425,_CONFIG_Risk_Calibration!$A$5:$H$21,7,FALSE),1))</f>
        <v>4</v>
      </c>
      <c r="AL425" t="str">
        <f>IF($A425="","",IFERROR(VLOOKUP($B425,_CONFIG_Risk_Calibration!$A$5:$H$21,8,FALSE),""))</f>
        <v>Clean template default. Calibrate with real exposure, incident history, evidence quality and domain-owner validation.</v>
      </c>
      <c r="AM425">
        <f>IF($A425="","",IFERROR(INDEX(_DATA_Assessment_Model!$AL$1:$AL$428,MATCH($A425,_DATA_Assessment_Model!$A$1:$A$428,0)),""))</f>
        <v>0</v>
      </c>
      <c r="AN425">
        <f t="shared" si="19"/>
        <v>1</v>
      </c>
      <c r="AO425">
        <f>IF($A425="","",_CONFIG_Model_Settings!$B$172*MAX(N($AK425),(N($AF425)+N($AI425))/2))</f>
        <v>80</v>
      </c>
      <c r="AP425">
        <f t="shared" si="20"/>
        <v>80</v>
      </c>
      <c r="AQ425">
        <f>IF($AP425="","",MAX(0,$AP425*(1-(_CONFIG_Model_Settings!$B$173+_CONFIG_Model_Settings!$B$174*(N($AH425)-1)))))</f>
        <v>52</v>
      </c>
      <c r="AR425">
        <f>IF($AP425="","",MIN(100,$AP425*(1+(_CONFIG_Model_Settings!$B$173+_CONFIG_Model_Settings!$B$174*(N($AH425)-1)))))</f>
        <v>100</v>
      </c>
    </row>
    <row r="426" spans="1:44">
      <c r="A426" t="s">
        <v>3323</v>
      </c>
      <c r="B426" t="s">
        <v>3204</v>
      </c>
      <c r="C426" t="s">
        <v>3225</v>
      </c>
      <c r="D426" t="s">
        <v>10538</v>
      </c>
      <c r="E426" t="s">
        <v>3324</v>
      </c>
      <c r="F426" t="s">
        <v>10555</v>
      </c>
      <c r="G426" t="s">
        <v>10556</v>
      </c>
      <c r="H426" t="s">
        <v>10557</v>
      </c>
      <c r="I426" t="s">
        <v>10558</v>
      </c>
      <c r="J426" t="s">
        <v>10559</v>
      </c>
      <c r="K426" t="s">
        <v>10560</v>
      </c>
      <c r="L426" t="s">
        <v>10561</v>
      </c>
      <c r="M426" t="s">
        <v>10562</v>
      </c>
      <c r="N426" t="s">
        <v>10563</v>
      </c>
      <c r="O426" t="s">
        <v>10564</v>
      </c>
      <c r="P426" t="s">
        <v>10565</v>
      </c>
      <c r="Q426" t="s">
        <v>10566</v>
      </c>
      <c r="R426" t="s">
        <v>4589</v>
      </c>
      <c r="S426" t="s">
        <v>10567</v>
      </c>
      <c r="T426">
        <v>2</v>
      </c>
      <c r="U426">
        <v>2</v>
      </c>
      <c r="V426">
        <v>2</v>
      </c>
      <c r="W426">
        <v>2</v>
      </c>
      <c r="X426">
        <v>1</v>
      </c>
      <c r="Y426">
        <v>1</v>
      </c>
      <c r="Z426" t="s">
        <v>3326</v>
      </c>
      <c r="AA426" t="s">
        <v>10568</v>
      </c>
      <c r="AB426" t="s">
        <v>3333</v>
      </c>
      <c r="AC426" t="s">
        <v>10569</v>
      </c>
      <c r="AD426" t="s">
        <v>10570</v>
      </c>
      <c r="AE426" t="str">
        <f t="shared" si="18"/>
        <v>Slow</v>
      </c>
      <c r="AF426">
        <f>IF($A426="","",IFERROR(VLOOKUP($B426,_CONFIG_Risk_Calibration!$A$5:$H$21,2,FALSE),3))</f>
        <v>3</v>
      </c>
      <c r="AG426">
        <f>IF($A426="","",IFERROR(VLOOKUP($B426,_CONFIG_Risk_Calibration!$A$5:$H$21,3,FALSE),0))</f>
        <v>0</v>
      </c>
      <c r="AH426">
        <f>IF($A426="","",IFERROR(VLOOKUP($B426,_CONFIG_Risk_Calibration!$A$5:$H$21,4,FALSE),3))</f>
        <v>3</v>
      </c>
      <c r="AI426">
        <f>IF($A426="","",IFERROR(VLOOKUP($B426,_CONFIG_Risk_Calibration!$A$5:$H$21,5,FALSE),3))</f>
        <v>3</v>
      </c>
      <c r="AJ426" t="str">
        <f>IF($A426="","",IFERROR(VLOOKUP($B426,_CONFIG_Risk_Calibration!$A$5:$H$21,6,FALSE),"No"))</f>
        <v>Yes</v>
      </c>
      <c r="AK426">
        <f>IF($A426="","",IFERROR(VLOOKUP($B426,_CONFIG_Risk_Calibration!$A$5:$H$21,7,FALSE),1))</f>
        <v>4</v>
      </c>
      <c r="AL426" t="str">
        <f>IF($A426="","",IFERROR(VLOOKUP($B426,_CONFIG_Risk_Calibration!$A$5:$H$21,8,FALSE),""))</f>
        <v>Clean template default. Calibrate with real exposure, incident history, evidence quality and domain-owner validation.</v>
      </c>
      <c r="AM426">
        <f>IF($A426="","",IFERROR(INDEX(_DATA_Assessment_Model!$AL$1:$AL$428,MATCH($A426,_DATA_Assessment_Model!$A$1:$A$428,0)),""))</f>
        <v>0</v>
      </c>
      <c r="AN426">
        <f t="shared" si="19"/>
        <v>1</v>
      </c>
      <c r="AO426">
        <f>IF($A426="","",_CONFIG_Model_Settings!$B$172*MAX(N($AK426),(N($AF426)+N($AI426))/2))</f>
        <v>80</v>
      </c>
      <c r="AP426">
        <f t="shared" si="20"/>
        <v>80</v>
      </c>
      <c r="AQ426">
        <f>IF($AP426="","",MAX(0,$AP426*(1-(_CONFIG_Model_Settings!$B$173+_CONFIG_Model_Settings!$B$174*(N($AH426)-1)))))</f>
        <v>52</v>
      </c>
      <c r="AR426">
        <f>IF($AP426="","",MIN(100,$AP426*(1+(_CONFIG_Model_Settings!$B$173+_CONFIG_Model_Settings!$B$174*(N($AH426)-1)))))</f>
        <v>100</v>
      </c>
    </row>
    <row r="427" spans="1:44">
      <c r="A427" t="s">
        <v>3334</v>
      </c>
      <c r="B427" t="s">
        <v>3204</v>
      </c>
      <c r="C427" t="s">
        <v>3225</v>
      </c>
      <c r="D427" t="s">
        <v>10538</v>
      </c>
      <c r="E427" t="s">
        <v>3335</v>
      </c>
      <c r="F427" t="s">
        <v>10571</v>
      </c>
      <c r="G427" t="s">
        <v>10572</v>
      </c>
      <c r="H427" t="s">
        <v>10573</v>
      </c>
      <c r="I427" t="s">
        <v>10574</v>
      </c>
      <c r="J427" t="s">
        <v>10575</v>
      </c>
      <c r="K427" t="s">
        <v>10576</v>
      </c>
      <c r="L427" t="s">
        <v>10577</v>
      </c>
      <c r="M427" t="s">
        <v>10578</v>
      </c>
      <c r="N427" t="s">
        <v>10579</v>
      </c>
      <c r="O427" t="s">
        <v>10580</v>
      </c>
      <c r="P427" t="s">
        <v>10581</v>
      </c>
      <c r="Q427" t="s">
        <v>10582</v>
      </c>
      <c r="R427" t="s">
        <v>4589</v>
      </c>
      <c r="S427" t="s">
        <v>10583</v>
      </c>
      <c r="T427">
        <v>2</v>
      </c>
      <c r="U427">
        <v>2</v>
      </c>
      <c r="V427">
        <v>2</v>
      </c>
      <c r="W427">
        <v>2</v>
      </c>
      <c r="X427">
        <v>1</v>
      </c>
      <c r="Y427">
        <v>1</v>
      </c>
      <c r="Z427" t="s">
        <v>3337</v>
      </c>
      <c r="AA427" t="s">
        <v>10584</v>
      </c>
      <c r="AB427" t="s">
        <v>3344</v>
      </c>
      <c r="AC427" t="s">
        <v>10585</v>
      </c>
      <c r="AD427" t="s">
        <v>10586</v>
      </c>
      <c r="AE427" t="str">
        <f t="shared" si="18"/>
        <v>Slow</v>
      </c>
      <c r="AF427">
        <f>IF($A427="","",IFERROR(VLOOKUP($B427,_CONFIG_Risk_Calibration!$A$5:$H$21,2,FALSE),3))</f>
        <v>3</v>
      </c>
      <c r="AG427">
        <f>IF($A427="","",IFERROR(VLOOKUP($B427,_CONFIG_Risk_Calibration!$A$5:$H$21,3,FALSE),0))</f>
        <v>0</v>
      </c>
      <c r="AH427">
        <f>IF($A427="","",IFERROR(VLOOKUP($B427,_CONFIG_Risk_Calibration!$A$5:$H$21,4,FALSE),3))</f>
        <v>3</v>
      </c>
      <c r="AI427">
        <f>IF($A427="","",IFERROR(VLOOKUP($B427,_CONFIG_Risk_Calibration!$A$5:$H$21,5,FALSE),3))</f>
        <v>3</v>
      </c>
      <c r="AJ427" t="str">
        <f>IF($A427="","",IFERROR(VLOOKUP($B427,_CONFIG_Risk_Calibration!$A$5:$H$21,6,FALSE),"No"))</f>
        <v>Yes</v>
      </c>
      <c r="AK427">
        <f>IF($A427="","",IFERROR(VLOOKUP($B427,_CONFIG_Risk_Calibration!$A$5:$H$21,7,FALSE),1))</f>
        <v>4</v>
      </c>
      <c r="AL427" t="str">
        <f>IF($A427="","",IFERROR(VLOOKUP($B427,_CONFIG_Risk_Calibration!$A$5:$H$21,8,FALSE),""))</f>
        <v>Clean template default. Calibrate with real exposure, incident history, evidence quality and domain-owner validation.</v>
      </c>
      <c r="AM427">
        <f>IF($A427="","",IFERROR(INDEX(_DATA_Assessment_Model!$AL$1:$AL$428,MATCH($A427,_DATA_Assessment_Model!$A$1:$A$428,0)),""))</f>
        <v>0</v>
      </c>
      <c r="AN427">
        <f t="shared" si="19"/>
        <v>1</v>
      </c>
      <c r="AO427">
        <f>IF($A427="","",_CONFIG_Model_Settings!$B$172*MAX(N($AK427),(N($AF427)+N($AI427))/2))</f>
        <v>80</v>
      </c>
      <c r="AP427">
        <f t="shared" si="20"/>
        <v>80</v>
      </c>
      <c r="AQ427">
        <f>IF($AP427="","",MAX(0,$AP427*(1-(_CONFIG_Model_Settings!$B$173+_CONFIG_Model_Settings!$B$174*(N($AH427)-1)))))</f>
        <v>52</v>
      </c>
      <c r="AR427">
        <f>IF($AP427="","",MIN(100,$AP427*(1+(_CONFIG_Model_Settings!$B$173+_CONFIG_Model_Settings!$B$174*(N($AH427)-1)))))</f>
        <v>100</v>
      </c>
    </row>
    <row r="428" spans="1:44">
      <c r="A428" t="s">
        <v>3345</v>
      </c>
      <c r="B428" t="s">
        <v>3204</v>
      </c>
      <c r="C428" t="s">
        <v>3225</v>
      </c>
      <c r="D428" t="s">
        <v>10538</v>
      </c>
      <c r="E428" t="s">
        <v>3346</v>
      </c>
      <c r="F428" t="s">
        <v>10587</v>
      </c>
      <c r="G428" t="s">
        <v>10588</v>
      </c>
      <c r="H428" t="s">
        <v>10589</v>
      </c>
      <c r="I428" t="s">
        <v>10590</v>
      </c>
      <c r="J428" t="s">
        <v>10591</v>
      </c>
      <c r="K428" t="s">
        <v>10592</v>
      </c>
      <c r="L428" t="s">
        <v>10593</v>
      </c>
      <c r="M428" t="s">
        <v>10594</v>
      </c>
      <c r="N428" t="s">
        <v>10595</v>
      </c>
      <c r="O428" t="s">
        <v>10596</v>
      </c>
      <c r="P428" t="s">
        <v>10597</v>
      </c>
      <c r="Q428" t="s">
        <v>10598</v>
      </c>
      <c r="R428" t="s">
        <v>4589</v>
      </c>
      <c r="S428" t="s">
        <v>10599</v>
      </c>
      <c r="T428">
        <v>2</v>
      </c>
      <c r="U428">
        <v>2</v>
      </c>
      <c r="V428">
        <v>2</v>
      </c>
      <c r="W428">
        <v>2</v>
      </c>
      <c r="X428">
        <v>1</v>
      </c>
      <c r="Y428">
        <v>1</v>
      </c>
      <c r="Z428" t="s">
        <v>3348</v>
      </c>
      <c r="AA428" t="s">
        <v>10600</v>
      </c>
      <c r="AB428" t="s">
        <v>3355</v>
      </c>
      <c r="AC428" t="s">
        <v>10601</v>
      </c>
      <c r="AD428" t="s">
        <v>10602</v>
      </c>
      <c r="AE428" t="str">
        <f t="shared" si="18"/>
        <v>Slow</v>
      </c>
      <c r="AF428">
        <f>IF($A428="","",IFERROR(VLOOKUP($B428,_CONFIG_Risk_Calibration!$A$5:$H$21,2,FALSE),3))</f>
        <v>3</v>
      </c>
      <c r="AG428">
        <f>IF($A428="","",IFERROR(VLOOKUP($B428,_CONFIG_Risk_Calibration!$A$5:$H$21,3,FALSE),0))</f>
        <v>0</v>
      </c>
      <c r="AH428">
        <f>IF($A428="","",IFERROR(VLOOKUP($B428,_CONFIG_Risk_Calibration!$A$5:$H$21,4,FALSE),3))</f>
        <v>3</v>
      </c>
      <c r="AI428">
        <f>IF($A428="","",IFERROR(VLOOKUP($B428,_CONFIG_Risk_Calibration!$A$5:$H$21,5,FALSE),3))</f>
        <v>3</v>
      </c>
      <c r="AJ428" t="str">
        <f>IF($A428="","",IFERROR(VLOOKUP($B428,_CONFIG_Risk_Calibration!$A$5:$H$21,6,FALSE),"No"))</f>
        <v>Yes</v>
      </c>
      <c r="AK428">
        <f>IF($A428="","",IFERROR(VLOOKUP($B428,_CONFIG_Risk_Calibration!$A$5:$H$21,7,FALSE),1))</f>
        <v>4</v>
      </c>
      <c r="AL428" t="str">
        <f>IF($A428="","",IFERROR(VLOOKUP($B428,_CONFIG_Risk_Calibration!$A$5:$H$21,8,FALSE),""))</f>
        <v>Clean template default. Calibrate with real exposure, incident history, evidence quality and domain-owner validation.</v>
      </c>
      <c r="AM428">
        <f>IF($A428="","",IFERROR(INDEX(_DATA_Assessment_Model!$AL$1:$AL$428,MATCH($A428,_DATA_Assessment_Model!$A$1:$A$428,0)),""))</f>
        <v>0</v>
      </c>
      <c r="AN428">
        <f t="shared" si="19"/>
        <v>1</v>
      </c>
      <c r="AO428">
        <f>IF($A428="","",_CONFIG_Model_Settings!$B$172*MAX(N($AK428),(N($AF428)+N($AI428))/2))</f>
        <v>80</v>
      </c>
      <c r="AP428">
        <f t="shared" si="20"/>
        <v>80</v>
      </c>
      <c r="AQ428">
        <f>IF($AP428="","",MAX(0,$AP428*(1-(_CONFIG_Model_Settings!$B$173+_CONFIG_Model_Settings!$B$174*(N($AH428)-1)))))</f>
        <v>52</v>
      </c>
      <c r="AR428">
        <f>IF($AP428="","",MIN(100,$AP428*(1+(_CONFIG_Model_Settings!$B$173+_CONFIG_Model_Settings!$B$174*(N($AH428)-1)))))</f>
        <v>100</v>
      </c>
    </row>
    <row r="493" spans="1:10">
      <c r="A493" t="s">
        <v>3676</v>
      </c>
      <c r="B493" t="s">
        <v>10603</v>
      </c>
      <c r="C493" t="s">
        <v>10604</v>
      </c>
      <c r="D493" t="s">
        <v>10605</v>
      </c>
      <c r="E493" t="s">
        <v>10606</v>
      </c>
      <c r="F493" t="s">
        <v>3487</v>
      </c>
      <c r="G493" t="s">
        <v>10607</v>
      </c>
      <c r="H493" t="s">
        <v>10608</v>
      </c>
      <c r="I493" t="s">
        <v>10609</v>
      </c>
      <c r="J493" t="s">
        <v>10610</v>
      </c>
    </row>
    <row r="494" spans="1:10">
      <c r="A494">
        <f>COUNTIF($B$500:$B$923,"Yes")</f>
        <v>424</v>
      </c>
      <c r="B494">
        <f>COUNTIFS($B$500:$B$923,"Yes",$I$500:$I$923,"Critical")+COUNTIFS($B$500:$B$923,"Yes",$I$500:$I$923,"High")</f>
        <v>424</v>
      </c>
      <c r="C494">
        <f>IFERROR(ROUND(AVERAGEIFS($L$500:$L$923,$B$500:$B$923,"Yes"),2),"")</f>
        <v>16.2</v>
      </c>
      <c r="D494">
        <f>IFERROR(MAX($L$500:$L$923),"")</f>
        <v>18.5</v>
      </c>
      <c r="E494">
        <f>IFERROR(ROUND(AVERAGEIFS($S$500:$S$923,$B$500:$B$923,"Yes"),2),"")</f>
        <v>1.45</v>
      </c>
      <c r="F494">
        <f>IFERROR(MAX($S$500:$S$923),"")</f>
        <v>2.21</v>
      </c>
      <c r="G494">
        <f>COUNT($H$500:$H$923)</f>
        <v>424</v>
      </c>
      <c r="H494">
        <f>ROWS($H$500:$H$923)-COUNT($H$500:$H$923)</f>
        <v>0</v>
      </c>
      <c r="I494">
        <f>IFERROR(ROUND(SUMPRODUCT(LARGE($BH$500:$BH$923,{1,2,3,4,5,6,7,8,9,10})),1),"")</f>
        <v>9375</v>
      </c>
      <c r="J494">
        <f>IFERROR(ROUND(SUMPRODUCT(LARGE($BI$500:$BI$923,{1,2,3,4,5,6,7,8,9,10})),1),"")</f>
        <v>9375</v>
      </c>
    </row>
    <row r="495" spans="1:10">
      <c r="A495">
        <f>COUNTIF($B$500:$B$923,"Yes")</f>
        <v>424</v>
      </c>
    </row>
    <row r="496" spans="1:10">
      <c r="A496" t="s">
        <v>10611</v>
      </c>
    </row>
    <row r="497" spans="1:97">
      <c r="A497" t="s">
        <v>10612</v>
      </c>
    </row>
    <row r="499" spans="1:97" ht="42" customHeight="1">
      <c r="A499" t="s">
        <v>10613</v>
      </c>
      <c r="B499" t="s">
        <v>10614</v>
      </c>
      <c r="C499" t="s">
        <v>764</v>
      </c>
      <c r="D499" t="s">
        <v>768</v>
      </c>
      <c r="E499" t="s">
        <v>4537</v>
      </c>
      <c r="F499" t="s">
        <v>4538</v>
      </c>
      <c r="G499" t="s">
        <v>10615</v>
      </c>
      <c r="H499" t="s">
        <v>10616</v>
      </c>
      <c r="I499" t="s">
        <v>778</v>
      </c>
      <c r="J499" t="s">
        <v>10617</v>
      </c>
      <c r="K499" t="s">
        <v>10618</v>
      </c>
      <c r="L499" t="s">
        <v>10619</v>
      </c>
      <c r="M499" t="s">
        <v>10620</v>
      </c>
      <c r="N499" t="s">
        <v>3856</v>
      </c>
      <c r="O499" t="s">
        <v>3515</v>
      </c>
      <c r="P499" t="s">
        <v>3516</v>
      </c>
      <c r="Q499" t="s">
        <v>3517</v>
      </c>
      <c r="R499" t="s">
        <v>3855</v>
      </c>
      <c r="S499" t="s">
        <v>3505</v>
      </c>
      <c r="T499" t="s">
        <v>10621</v>
      </c>
      <c r="U499" t="s">
        <v>10622</v>
      </c>
      <c r="V499" t="s">
        <v>10623</v>
      </c>
      <c r="W499" t="s">
        <v>10624</v>
      </c>
      <c r="X499" t="s">
        <v>10625</v>
      </c>
      <c r="Y499" t="s">
        <v>4559</v>
      </c>
      <c r="Z499" t="s">
        <v>786</v>
      </c>
      <c r="AA499" t="s">
        <v>772</v>
      </c>
      <c r="AB499" t="s">
        <v>787</v>
      </c>
      <c r="AC499" t="s">
        <v>10626</v>
      </c>
      <c r="AD499" t="s">
        <v>10627</v>
      </c>
      <c r="AE499" t="s">
        <v>742</v>
      </c>
      <c r="AF499" t="s">
        <v>10628</v>
      </c>
      <c r="AH499" t="s">
        <v>1150</v>
      </c>
      <c r="AO499" t="s">
        <v>10629</v>
      </c>
      <c r="AP499" t="s">
        <v>10630</v>
      </c>
      <c r="AQ499" t="s">
        <v>10631</v>
      </c>
      <c r="AR499" t="s">
        <v>10632</v>
      </c>
      <c r="AS499" t="s">
        <v>10633</v>
      </c>
      <c r="AT499" t="s">
        <v>10634</v>
      </c>
      <c r="AU499" t="s">
        <v>10635</v>
      </c>
      <c r="AV499" t="s">
        <v>10636</v>
      </c>
      <c r="AW499" t="s">
        <v>10637</v>
      </c>
      <c r="AX499" t="s">
        <v>808</v>
      </c>
      <c r="AY499" t="s">
        <v>10638</v>
      </c>
      <c r="AZ499" t="s">
        <v>3871</v>
      </c>
      <c r="BA499" t="s">
        <v>10639</v>
      </c>
      <c r="BB499" t="s">
        <v>4561</v>
      </c>
      <c r="BC499" t="s">
        <v>10640</v>
      </c>
      <c r="BD499" t="s">
        <v>10641</v>
      </c>
      <c r="BE499" t="s">
        <v>10639</v>
      </c>
      <c r="BF499" t="s">
        <v>10642</v>
      </c>
      <c r="BG499" t="s">
        <v>10643</v>
      </c>
      <c r="BH499" t="s">
        <v>10644</v>
      </c>
      <c r="BI499" t="s">
        <v>10645</v>
      </c>
      <c r="BJ499" t="s">
        <v>10646</v>
      </c>
      <c r="BK499" t="s">
        <v>10647</v>
      </c>
      <c r="BL499" t="s">
        <v>10648</v>
      </c>
      <c r="BM499" t="s">
        <v>10649</v>
      </c>
      <c r="BN499" t="s">
        <v>10650</v>
      </c>
      <c r="BO499" t="s">
        <v>10651</v>
      </c>
      <c r="BP499" t="s">
        <v>10652</v>
      </c>
      <c r="BQ499" t="s">
        <v>10653</v>
      </c>
      <c r="BR499" t="s">
        <v>10654</v>
      </c>
      <c r="BS499" t="s">
        <v>10655</v>
      </c>
      <c r="BT499" s="180" t="s">
        <v>3898</v>
      </c>
      <c r="BU499" s="180" t="s">
        <v>3899</v>
      </c>
      <c r="BV499" s="180" t="s">
        <v>3900</v>
      </c>
      <c r="BW499" s="180" t="s">
        <v>3901</v>
      </c>
      <c r="BX499" s="180" t="s">
        <v>3902</v>
      </c>
      <c r="BY499" s="180" t="s">
        <v>3903</v>
      </c>
      <c r="BZ499" s="180" t="s">
        <v>3904</v>
      </c>
      <c r="CA499" s="180" t="s">
        <v>3905</v>
      </c>
      <c r="CB499" s="180" t="s">
        <v>3906</v>
      </c>
      <c r="CC499" s="180" t="s">
        <v>3861</v>
      </c>
      <c r="CD499" s="180" t="s">
        <v>3907</v>
      </c>
      <c r="CE499" s="180" t="s">
        <v>3908</v>
      </c>
      <c r="CF499" s="180" t="s">
        <v>4575</v>
      </c>
      <c r="CG499" s="180" t="s">
        <v>4576</v>
      </c>
      <c r="CH499" s="180" t="s">
        <v>3910</v>
      </c>
      <c r="CI499" s="180" t="s">
        <v>3911</v>
      </c>
      <c r="CJ499" s="180" t="s">
        <v>3912</v>
      </c>
      <c r="CK499" s="180" t="s">
        <v>3913</v>
      </c>
      <c r="CL499" s="180" t="s">
        <v>3914</v>
      </c>
      <c r="CM499" s="180" t="s">
        <v>10656</v>
      </c>
      <c r="CN499" s="180" t="s">
        <v>10657</v>
      </c>
      <c r="CO499" s="180" t="s">
        <v>3918</v>
      </c>
      <c r="CP499" s="180" t="s">
        <v>3919</v>
      </c>
      <c r="CQ499" s="180" t="s">
        <v>3920</v>
      </c>
      <c r="CR499" s="180" t="s">
        <v>3921</v>
      </c>
      <c r="CS499" s="180" t="s">
        <v>10658</v>
      </c>
    </row>
    <row r="500" spans="1:97" ht="69.900000000000006" customHeight="1">
      <c r="A500">
        <f>IF(OR($B500&lt;&gt;"Yes",$BS500=""),"",SUMPRODUCT(($B$500:$B$923="Yes")*ISNUMBER($BS$500:$BS$923)*($BS$500:$BS$923&gt;$BS500))+COUNTIFS($B$500:$B500,"Yes",$BS$500:$BS500,$BS500))</f>
        <v>346</v>
      </c>
      <c r="B500" t="str">
        <f t="shared" ref="B500:B563" si="21">IF($H500="","",IF($BU500=0,"",IF($H500&lt;5,"Yes","Maintain")))</f>
        <v>Yes</v>
      </c>
      <c r="C500" t="s">
        <v>815</v>
      </c>
      <c r="D500" t="s">
        <v>817</v>
      </c>
      <c r="E500" t="s">
        <v>816</v>
      </c>
      <c r="F500" t="s">
        <v>3679</v>
      </c>
      <c r="G500" t="str">
        <f>IF($H500="","",IFERROR(INDEX(_ENGINE_Risk!$H$5:$M$499,MATCH($E500,_ENGINE_Risk!$A$5:$A$499,0),$H500+1),""))</f>
        <v>Severe risk: legal entity structure, ownership, subsidiaries and operating countries is not reliably controlled. During Geopolitical risk; Physical site loss; Regulatory/legal shock, the organization may face unclear exposure across entities, sites and markets, delayed strategic response and underestimated crisis impact with limited visibility or accountability.</v>
      </c>
      <c r="H500">
        <f>IFERROR(VALUE(INDEX(_DATA_Assessment_Model!$H$5:$H$884,MATCH($E500,_DATA_Assessment_Model!$A$5:$A$884,0))),"")</f>
        <v>0</v>
      </c>
      <c r="I500" t="str">
        <f>IF($H500="","",IFERROR(INDEX(_DATA_Assessment_Model!$L$5:$L$884,MATCH($E500,_DATA_Assessment_Model!$A$5:$A$884,0)),IF($H500&lt;=1,"Critical",IF($H500=2,"High",IF($H500=3,"Medium",IF($H500=4,"Low","Resilient"))))))</f>
        <v>Critical</v>
      </c>
      <c r="J500">
        <f t="shared" ref="J500:J563" si="22">IF($H500="","",$BP500)</f>
        <v>3.6</v>
      </c>
      <c r="K500">
        <f t="shared" ref="K500:K563" si="23">IF($H500="","",$BQ500)</f>
        <v>3.95</v>
      </c>
      <c r="L500">
        <f t="shared" ref="L500:L563" si="24">IF($H500="","",$J500*$K500)</f>
        <v>14.22</v>
      </c>
      <c r="M500">
        <f t="shared" ref="M500:M563" si="25">IF($H500="","",MAX(1,MIN(5,ROUNDUP($L500/5,0))))</f>
        <v>3</v>
      </c>
      <c r="N500">
        <f>IF($H500="","",IFERROR(INDEX(_ENGINE_Risk!$T$5:$Y$499,MATCH($E500,_ENGINE_Risk!$A$5:$A$499,0),$H500+1),""))</f>
        <v>3</v>
      </c>
      <c r="O500">
        <f t="shared" ref="O500:O563" si="26">IF($H500="","",MAX(1,MIN(5,($U500+$V500+$X500)/3)))</f>
        <v>4</v>
      </c>
      <c r="P500">
        <f t="shared" ref="P500:P563" si="27">IF($H500="","",IF($I500="Critical",5,IF($I500="High",4,IF($I500="Medium",3,IF($I500="Low",2,1)))))</f>
        <v>5</v>
      </c>
      <c r="Q500">
        <f t="shared" ref="Q500:Q563" si="28">IF($H500="","",MAX(1,MIN(5,((5-$H500)*0.65)+($W500*0.35))))</f>
        <v>5</v>
      </c>
      <c r="R500">
        <f t="shared" ref="R500:R563" si="29">IF($H500="","",MAX(1,MIN(5,($V500+$X500)/2)))</f>
        <v>4.5</v>
      </c>
      <c r="S500">
        <f t="shared" ref="S500:S563" si="30">IF(OR($H500="",$N500=""),"",ROUND((($O500+$P500+$Q500+$R500)/4)/$N500,2))</f>
        <v>1.54</v>
      </c>
      <c r="T500" t="str">
        <f>IF($H500="","",IFERROR(INDEX(_ENGINE_Risk!$N$5:$S$499,MATCH($E500,_ENGINE_Risk!$A$5:$A$499,0),$H500+1),""))</f>
        <v>Create an immediate risk owner, minimum control baseline and fallback procedure for legal entity structure, ownership, subsidiaries and operating countries. Add it to the crisis risk register and collect first evidence.</v>
      </c>
      <c r="U500">
        <f>IFERROR(INDEX(_DATA_Assessment_Model!$G$5:$G$884,MATCH($E500,_DATA_Assessment_Model!$A$5:$A$884,0)),"")</f>
        <v>3</v>
      </c>
      <c r="V500">
        <f>IFERROR(INDEX(_DATA_Assessment_Model!$W$5:$W$884,MATCH($E500,_DATA_Assessment_Model!$A$5:$A$884,0)),"")</f>
        <v>4</v>
      </c>
      <c r="W500">
        <f>IFERROR(INDEX(_DATA_Assessment_Model!$X$5:$X$884,MATCH($E500,_DATA_Assessment_Model!$A$5:$A$884,0)),"")</f>
        <v>5</v>
      </c>
      <c r="X500">
        <f>IFERROR(INDEX(_DATA_Assessment_Model!$Y$5:$Y$884,MATCH($E500,_DATA_Assessment_Model!$A$5:$A$884,0)),"")</f>
        <v>5</v>
      </c>
      <c r="Y500" t="s">
        <v>828</v>
      </c>
      <c r="Z500" t="s">
        <v>4591</v>
      </c>
      <c r="AA500" t="s">
        <v>821</v>
      </c>
      <c r="AB500">
        <f>IFERROR(INDEX(_DATA_Assessment_Model!$U$5:$U$884,MATCH($E500,_DATA_Assessment_Model!$A$5:$A$884,0)),"")</f>
        <v>0</v>
      </c>
      <c r="AF500" t="s">
        <v>818</v>
      </c>
      <c r="AH500" t="s">
        <v>1259</v>
      </c>
      <c r="AI500">
        <f t="shared" ref="AI500:AI513" si="31">COUNTIFS($C$500:$C$923,AH500,$B$500:$B$923,"Yes")</f>
        <v>26</v>
      </c>
      <c r="AJ500">
        <f t="shared" ref="AJ500:AJ513" si="32">COUNTIFS($C$500:$C$923,AH500,$B$500:$B$923,"Yes",$I$500:$I$923,"Critical")+COUNTIFS($C$500:$C$923,AH500,$B$500:$B$923,"Yes",$I$500:$I$923,"High")</f>
        <v>26</v>
      </c>
      <c r="AK500">
        <f t="shared" ref="AK500:AK513" si="33">IFERROR(ROUND(AVERAGEIFS($L$500:$L$923,$C$500:$C$923,AH500,$B$500:$B$923,"Yes"),1),"")</f>
        <v>15.4</v>
      </c>
      <c r="AL500">
        <f t="shared" ref="AL500:AL513" si="34">IFERROR(IF(COUNTIFS($C$500:$C$923,AH500,$B$500:$B$923,"Yes")=0,"",MAX(INDEX(($L$500:$L$923)*(($C$500:$C$923=AH500)*($B$500:$B$923="Yes")),0))),"")</f>
        <v>16.650000000000002</v>
      </c>
      <c r="AM500">
        <f t="shared" ref="AM500:AM513" si="35">IFERROR(ROUND(AVERAGEIFS($S$500:$S$923,$C$500:$C$923,AH500,$B$500:$B$923,"Yes"),2),"")</f>
        <v>1.64</v>
      </c>
      <c r="AN500">
        <f t="shared" ref="AN500:AN513" si="36">COUNTIFS($C$500:$C$923,AH500,$H$500:$H$923,"")</f>
        <v>0</v>
      </c>
      <c r="AO500">
        <f>IF($B500="Yes",IF(IFERROR(INDEX(_ENGINE_Crisis!$F$501:$F$517,MATCH($C500,_ENGINE_Crisis!$A$501:$A$517,0)),1)=0,1,IFERROR(INDEX(_ENGINE_Crisis!$F$501:$F$517,MATCH($C500,_ENGINE_Crisis!$A$501:$A$517,0)),1)),"")</f>
        <v>1</v>
      </c>
      <c r="AP500">
        <f t="shared" ref="AP500:AP563" si="37">IF(AO500="","",ROUND($L500*AO500,1))</f>
        <v>14.2</v>
      </c>
      <c r="AQ500">
        <f t="shared" ref="AQ500:AQ563" si="38">IF(OR(AO500="",$S500=""),"",ROUND($S500*(0.7+0.3*AO500),2))</f>
        <v>1.54</v>
      </c>
      <c r="AR500" t="str">
        <f>IFERROR(INDEX(_ENGINE_Crisis!$E$41:$E$700,MATCH('Resilience &amp; Risk Scenario'!$B$6&amp;"|"&amp;$C500,_ENGINE_Crisis!$I$41:$I$700,0)),"")</f>
        <v/>
      </c>
      <c r="AS500" t="str">
        <f>IFERROR(INDEX(_ENGINE_Crisis!$G$41:$G$700,MATCH('Resilience &amp; Risk Scenario'!$B$6&amp;"|"&amp;$C500,_ENGINE_Crisis!$I$41:$I$700,0)),"")</f>
        <v/>
      </c>
      <c r="AT500" t="str">
        <f>IFERROR(INDEX(_ENGINE_Initiatives!$A$5:$A$532,MATCH(1,INDEX((_ENGINE_Initiatives!$B$5:$B$532=$C500)*(_ENGINE_Initiatives!$C$5:$C$532=$D500),0),0)),"")</f>
        <v>INI-001</v>
      </c>
      <c r="AU500" t="str">
        <f>IFERROR(INDEX(_ENGINE_Initiatives!$F$5:$F$532,MATCH(1,INDEX((_ENGINE_Initiatives!$B$5:$B$532=$C500)*(_ENGINE_Initiatives!$C$5:$C$532=$D500),0),0)),"")</f>
        <v>Create company context, entity and operating model register</v>
      </c>
      <c r="AV500">
        <f>IFERROR(INDEX(_ENGINE_Initiatives!$AC$5:$AC$532,MATCH(1,INDEX((_ENGINE_Initiatives!$B$5:$B$532=$C500)*(_ENGINE_Initiatives!$C$5:$C$532=$D500),0),0)),"")</f>
        <v>2.59</v>
      </c>
      <c r="AW500" t="str">
        <f>IFERROR(INDEX(_ENGINE_Initiatives!$AE$5:$AE$532,MATCH(1,INDEX((_ENGINE_Initiatives!$B$5:$B$532=$C500)*(_ENGINE_Initiatives!$C$5:$C$532=$D500),0),0)),"")</f>
        <v>0-90 days</v>
      </c>
      <c r="AX500">
        <f>IF($B500="Yes",IFERROR((IF(SUMIFS(_REF_Model_Content!$E$1:$E$613,_REF_Model_Content!$A$1:$A$613,PV_Canonical_Industry,_REF_Model_Content!$B$1:$B$613,$C500)=0,1,SUMIFS(_REF_Model_Content!$E$1:$E$613,_REF_Model_Content!$A$1:$A$613,PV_Canonical_Industry,_REF_Model_Content!$B$1:$B$613,$C500))*IFERROR($BU500,1)),1),"")</f>
        <v>1</v>
      </c>
      <c r="AY500">
        <f t="shared" ref="AY500:AY563" si="39">IF($L500="","",ROUND(IF($AP500="",$L500,$AP500)*IF($AX500="",1,$AX500),2))</f>
        <v>14.2</v>
      </c>
      <c r="AZ500">
        <f t="shared" ref="AZ500:AZ563" si="40">IF($S500="","",ROUND(IF($AQ500="",$S500,$AQ500)*IF($AX500="",1,$AX500),2))</f>
        <v>1.54</v>
      </c>
      <c r="BB500" t="str">
        <f>IF($H500="","",IFERROR(INDEX(_ENGINE_Risk!$AE$5:$AE$499,MATCH($E500,_ENGINE_Risk!$A$5:$A$499,0)),"Medium"))</f>
        <v>Medium</v>
      </c>
      <c r="BC500">
        <f t="shared" ref="BC500:BC563" si="41">IF($BB500="","",IF($BB500="Fast",1.25,IF($BB500="Slow",0.85,1)))</f>
        <v>1</v>
      </c>
      <c r="BD500">
        <f t="shared" ref="BD500:BD563" si="42">IF($S500="","",ROUND($S500*IF($AX500="",1,$AX500),2))</f>
        <v>1.54</v>
      </c>
      <c r="BF500">
        <f>IF(OR($H500="",$J500=""),"",IFERROR(VLOOKUP(ROUND($J500,0),_CONFIG_Model_Settings!$D$154:$E$158,2,0),""))</f>
        <v>0.5</v>
      </c>
      <c r="BG500">
        <f>IFERROR(IF(OR($H500="",$K500=""),"",ROUND('Company Profile'!$B$113*INDEX(_CONFIG_Model_Settings!$H$154:$H$158,MATCH(ROUND($K500,0),_CONFIG_Model_Settings!$G$154:$G$158,0)),0)),0)</f>
        <v>875</v>
      </c>
      <c r="BH500">
        <f t="shared" ref="BH500:BH563" si="43">IFERROR(IF(OR($BF500="",$BG500=""),"",ROUND($BF500*$BG500,1)),"")</f>
        <v>437.5</v>
      </c>
      <c r="BI500">
        <f t="shared" ref="BI500:BI563" si="44">IFERROR(IF($BH500="","",ROUND($BH500*IF(OR($AO500="",$AO500=0),1,$AO500),1)),"")</f>
        <v>437.5</v>
      </c>
      <c r="BJ500">
        <f>IF($E500="","",IFERROR(VLOOKUP($C500,_CONFIG_Risk_Calibration!$A$5:$H$21,2,FALSE),3))</f>
        <v>3</v>
      </c>
      <c r="BK500">
        <f>IF($E500="","",IFERROR(VLOOKUP($C500,_CONFIG_Risk_Calibration!$A$5:$H$21,3,FALSE),0))</f>
        <v>0</v>
      </c>
      <c r="BL500">
        <f>IF($E500="","",IFERROR(VLOOKUP($C500,_CONFIG_Risk_Calibration!$A$5:$H$21,4,FALSE),3))</f>
        <v>3</v>
      </c>
      <c r="BM500">
        <f>IF($E500="","",IFERROR(VLOOKUP($C500,_CONFIG_Risk_Calibration!$A$5:$H$21,5,FALSE),3))</f>
        <v>3</v>
      </c>
      <c r="BN500" t="str">
        <f>IF($E500="","",IFERROR(VLOOKUP($C500,_CONFIG_Risk_Calibration!$A$5:$H$21,6,FALSE),"No"))</f>
        <v>No</v>
      </c>
      <c r="BO500">
        <f>IF($E500="","",IFERROR(VLOOKUP($C500,_CONFIG_Risk_Calibration!$A$5:$H$21,7,FALSE),1))</f>
        <v>1</v>
      </c>
      <c r="BP500">
        <f>IF($H500="","",MAX(1,MIN(5,((6-$H500)*0.45)+($BJ500*0.2)+('Resilience &amp; Risk Scenario'!$B$7*0.15)+($BK500*0.1)+($BL500*0.05)+(IF($BB500="Fast",5,IF($BB500="Slow",1,3))*0.05))))</f>
        <v>3.6</v>
      </c>
      <c r="BQ500">
        <f t="shared" ref="BQ500:BQ563" si="45">IF($H500="","",MAX(IF($BN500="Yes",$BO500,1),MIN(5,($U500*0.2)+($V500*0.15)+($W500*0.25)+($X500*0.15)+($BJ500*0.1)+($BM500*0.15))))</f>
        <v>3.95</v>
      </c>
      <c r="BR500">
        <f t="shared" ref="BR500:BR563" si="46">IF(OR($BP500="",$BQ500=""),"",ROUND($BP500*$BQ500,2))</f>
        <v>14.22</v>
      </c>
      <c r="BS500">
        <f t="shared" ref="BS500:BS563" si="47">IF($BR500="","",ROUND($BR500*IF(OR($AO500="",$AO500=0),1,$AO500)*IF($AX500="",1,$AX500)*(1+(($BM500-3)*0.1))*IF($BC500="",1,$BC500),2))</f>
        <v>14.22</v>
      </c>
      <c r="BT500" t="str">
        <f>IFERROR(INDEX(_REF_Capability_Bridge!$D:$D,MATCH($C500&amp;"|"&amp;$D500,_REF_Capability_Bridge!$J:$J,0)),IFERROR(INDEX(_REF_Capability_Bridge!$D:$D,MATCH($C500&amp;"|",_REF_Capability_Bridge!$J:$J,0)),"CAP_GENERIC"))</f>
        <v>CAP_VENDOR_CONCENTRATION</v>
      </c>
      <c r="BU500">
        <f>IFERROR(IFERROR(INDEX(_ENGINE_Relevance!$L:$L,MATCH($BT500,_ENGINE_Relevance!$B:$B,0)),1),1)</f>
        <v>1</v>
      </c>
      <c r="BV500" t="str">
        <f>IFERROR(INDEX(_REF_Capability_Bridge!$A:$A,MATCH($C500&amp;"|"&amp;$D500,_REF_Capability_Bridge!$J:$J,0)),IFERROR(INDEX(_REF_Capability_Bridge!$A:$A,MATCH($C500&amp;"|",_REF_Capability_Bridge!$J:$J,0)),"No bridge"))</f>
        <v>BRG-008</v>
      </c>
      <c r="BW500" t="str">
        <f t="shared" ref="BW500:BW563" si="48">IF($BU500=0,"Hard-excluded at capability level",IF($BU500&gt;1,"Capability relevance increases risk priority",IF($BU500&lt;1,"Capability relevance lowers risk priority","Capability relevance neutral")))</f>
        <v>Capability relevance neutral</v>
      </c>
      <c r="BX500" t="str">
        <f t="shared" ref="BX500:BX563" si="49">IF($E500="","",IF(N($H500)&lt;1.5,"Initial / absent",IF(N($H500)&lt;2.5,"Basic",IF(N($H500)&lt;3.5,"Defined",IF(N($H500)&lt;4.3,"Managed","Optimized")))))</f>
        <v>Initial / absent</v>
      </c>
      <c r="BY500" t="str">
        <f>IF($E500="","",IFERROR(INDEX(_REF_Treatment_Library!$A$2:$A$296,MATCH(1,INDEX((_REF_Treatment_Library!$B$2:$B$296=$BT500)*(_REF_Treatment_Library!$C$2:$C$296=PV_Canonical_Industry)*(_REF_Treatment_Library!$E$2:$E$296&lt;=N($H500))*(_REF_Treatment_Library!$F$2:$F$296&gt;=N($H500))*(_REF_Treatment_Library!$O$2:$O$296="Yes"),0),0)),IFERROR(INDEX(_REF_Treatment_Library!$A$2:$A$296,MATCH(1,INDEX((_REF_Treatment_Library!$B$2:$B$296=$BT500)*(_REF_Treatment_Library!$C$2:$C$296="All")*(_REF_Treatment_Library!$E$2:$E$296&lt;=N($H500))*(_REF_Treatment_Library!$F$2:$F$296&gt;=N($H500))*(_REF_Treatment_Library!$O$2:$O$296="Yes"),0),0)),"")))</f>
        <v>TRT-VENDOR_CONCENTRATION-INITIAL</v>
      </c>
      <c r="BZ500" t="str">
        <f>IF($BY500="","",IFERROR(INDEX(_REF_Treatment_Library!$H$2:$H$296,MATCH($BY500,_REF_Treatment_Library!$A$2:$A$296,0)),""))</f>
        <v>Establish</v>
      </c>
      <c r="CA500" t="str">
        <f>IF($BY500="","",IFERROR(INDEX(_REF_Treatment_Library!$I$2:$I$296,MATCH($BY500,_REF_Treatment_Library!$A$2:$A$296,0)),""))</f>
        <v>Establish baseline controls for Vendor concentration</v>
      </c>
      <c r="CB500" t="str">
        <f>IF($BY500="","",IFERROR(INDEX(_REF_Treatment_Library!$K$2:$K$296,MATCH($BY500,_REF_Treatment_Library!$A$2:$A$296,0)),""))</f>
        <v>Named owner, baseline process, minimum control checklist, first evidence package</v>
      </c>
      <c r="CC500" t="str">
        <f>IF($BY500="","",IFERROR(INDEX(_REF_Treatment_Library!$L$2:$L$296,MATCH($BY500,_REF_Treatment_Library!$A$2:$A$296,0)),""))</f>
        <v>Owner assigned; baseline evidence coverage; open critical gaps</v>
      </c>
      <c r="CD500" t="str">
        <f t="shared" ref="CD500:CD563" si="50">IF($E500="","","Treatment by capability="&amp;$BT500&amp;"; band="&amp;$BX500&amp;"; score="&amp;TEXT(N($H500),"0.0")&amp;"; treatment="&amp;$BZ500)</f>
        <v>Treatment by capability=CAP_VENDOR_CONCENTRATION; band=Initial / absent; score=0.0; treatment=Establish</v>
      </c>
      <c r="CE500" t="str">
        <f>IF($E500="","",IFERROR(INDEX(_REF_Industry_Wording!$A$2:$A$70,MATCH(1,INDEX((_REF_Industry_Wording!$B$2:$B$70=$BT500)*(_REF_Industry_Wording!$C$2:$C$70=PV_Canonical_Industry)*(_REF_Industry_Wording!$K$2:$K$70="Yes"),0),0)),IFERROR(INDEX(_REF_Industry_Wording!$A$2:$A$70,MATCH(1,INDEX((_REF_Industry_Wording!$B$2:$B$70=$BT500)*(_REF_Industry_Wording!$C$2:$C$70="All")*(_REF_Industry_Wording!$K$2:$K$70="Yes"),0),0)),"")))</f>
        <v>IW-ALL-VENDOR_CONCENTRATION</v>
      </c>
      <c r="CF500" t="str">
        <f>IF($CE500="","",IFERROR(INDEX(_REF_Industry_Wording!$E$2:$E$70,MATCH($CE500,_REF_Industry_Wording!$A$2:$A$70,0)),""))</f>
        <v>Vendor concentration weakness</v>
      </c>
      <c r="CG500" t="str">
        <f>IF($CE500="","",IFERROR(INDEX(_REF_Industry_Wording!$F$2:$F$70,MATCH($CE500,_REF_Industry_Wording!$A$2:$A$70,0)),""))</f>
        <v>Strengthen Vendor concentration</v>
      </c>
      <c r="CH500" t="str">
        <f>IF($CE500="","",IFERROR(INDEX(_REF_Industry_Wording!$G$2:$G$70,MATCH($CE500,_REF_Industry_Wording!$A$2:$A$70,0)),""))</f>
        <v>Strengthen Vendor concentration using the selected maturity treatment, crisis scenario and evidence requirements.</v>
      </c>
      <c r="CI500" t="str">
        <f>IF($CE500="","",IFERROR(INDEX(_REF_Industry_Wording!$H$2:$H$70,MATCH($CE500,_REF_Industry_Wording!$A$2:$A$70,0)),""))</f>
        <v>Vendor concentration</v>
      </c>
      <c r="CJ500">
        <f>IF($CE500="","",IFERROR(INDEX(_REF_Industry_Wording!$I$2:$I$70,MATCH($CE500,_REF_Industry_Wording!$A$2:$A$70,0)),""))</f>
        <v>0</v>
      </c>
      <c r="CK500" t="str">
        <f>IF($CE500="","",IFERROR(INDEX(_REF_Industry_Wording!$J$2:$J$70,MATCH($CE500,_REF_Industry_Wording!$A$2:$A$70,0)),""))</f>
        <v>Vendor concentration</v>
      </c>
      <c r="CL500" t="str">
        <f t="shared" ref="CL500:CL563" si="51">IF($E500="","","Wording by industry="&amp;PV_Canonical_Industry&amp;"; capability="&amp;$BT500&amp;"; risk label="&amp;$CF500)</f>
        <v>Wording by industry=0; capability=CAP_VENDOR_CONCENTRATION; risk label=Vendor concentration weakness</v>
      </c>
      <c r="CM500" t="str">
        <f t="shared" ref="CM500:CM563" si="52">IF($E500="","","RISK-ONT-"&amp;TEXT(ROW()-499,"0000"))</f>
        <v>RISK-ONT-0001</v>
      </c>
      <c r="CN500" t="str">
        <f t="shared" ref="CN500:CN563" si="53">IF($E500="","","RISK-EVT-"&amp;TEXT(ROW()-499,"0000"))</f>
        <v>RISK-EVT-0001</v>
      </c>
      <c r="CO500" t="str">
        <f t="shared" ref="CO500:CO563" si="54">IF($E500="","",$C500&amp;"|"&amp;$D500&amp;"|"&amp;$E500&amp;"|"&amp;$BT500)</f>
        <v>Company Geography|Company profile|COMP-001|CAP_VENDOR_CONCENTRATION</v>
      </c>
      <c r="CP500" t="str">
        <f t="shared" ref="CP500:CP563" si="55">IF($E500="","",IF(OR($BT500="",$BT500="CAP_GENERIC"),"CHECK","Active"))</f>
        <v>Active</v>
      </c>
      <c r="CQ500" t="str">
        <f t="shared" ref="CQ500:CQ563" si="56">IF($E500="","",IF($BT500="CAP_GENERIC","CHECK: generic capability fallback","OK: capability-driven"))</f>
        <v>OK: capability-driven</v>
      </c>
      <c r="CR500" t="str">
        <f t="shared" ref="CR500:CR563" si="57">IF($E500="","","Risk ontology uses capability="&amp;$BT500&amp;"; bridge="&amp;$BV500&amp;"; treatment="&amp;$BY500&amp;"; wording="&amp;$CE500)</f>
        <v>Risk ontology uses capability=CAP_VENDOR_CONCENTRATION; bridge=BRG-008; treatment=TRT-VENDOR_CONCENTRATION-INITIAL; wording=IW-ALL-VENDOR_CONCENTRATION</v>
      </c>
      <c r="CS500" t="str">
        <f t="shared" ref="CS500:CS563" si="58">IF($E500="","",IF($CP500="Active","Yes","No"))</f>
        <v>Yes</v>
      </c>
    </row>
    <row r="501" spans="1:97" ht="69.900000000000006" customHeight="1">
      <c r="A501">
        <f>IF(OR($B501&lt;&gt;"Yes",$BS501=""),"",SUMPRODUCT(($B$500:$B$923="Yes")*ISNUMBER($BS$500:$BS$923)*($BS$500:$BS$923&gt;$BS501))+COUNTIFS($B$500:$B501,"Yes",$BS$500:$BS501,$BS501))</f>
        <v>314</v>
      </c>
      <c r="B501" t="str">
        <f t="shared" si="21"/>
        <v>Yes</v>
      </c>
      <c r="C501" t="s">
        <v>815</v>
      </c>
      <c r="D501" t="s">
        <v>817</v>
      </c>
      <c r="E501" t="s">
        <v>830</v>
      </c>
      <c r="F501" t="s">
        <v>3679</v>
      </c>
      <c r="G501" t="str">
        <f>IF($H501="","",IFERROR(INDEX(_ENGINE_Risk!$H$5:$M$499,MATCH($E501,_ENGINE_Risk!$A$5:$A$499,0),$H501+1),""))</f>
        <v>Severe risk: business model, value proposition, revenue streams and cost drivers is not reliably controlled. During Geopolitical risk; Physical site loss; Regulatory/legal shock, the organization may face unclear exposure across entities, sites and markets, delayed strategic response and underestimated crisis impact with limited visibility or accountability.</v>
      </c>
      <c r="H501">
        <f>IFERROR(VALUE(INDEX(_DATA_Assessment_Model!$H$5:$H$884,MATCH($E501,_DATA_Assessment_Model!$A$5:$A$884,0))),"")</f>
        <v>0</v>
      </c>
      <c r="I501" t="str">
        <f>IF($H501="","",IFERROR(INDEX(_DATA_Assessment_Model!$L$5:$L$884,MATCH($E501,_DATA_Assessment_Model!$A$5:$A$884,0)),IF($H501&lt;=1,"Critical",IF($H501=2,"High",IF($H501=3,"Medium",IF($H501=4,"Low","Resilient"))))))</f>
        <v>Critical</v>
      </c>
      <c r="J501">
        <f t="shared" si="22"/>
        <v>3.6</v>
      </c>
      <c r="K501">
        <f t="shared" si="23"/>
        <v>4.3500000000000005</v>
      </c>
      <c r="L501">
        <f t="shared" si="24"/>
        <v>15.660000000000002</v>
      </c>
      <c r="M501">
        <f t="shared" si="25"/>
        <v>4</v>
      </c>
      <c r="N501">
        <f>IF($H501="","",IFERROR(INDEX(_ENGINE_Risk!$T$5:$Y$499,MATCH($E501,_ENGINE_Risk!$A$5:$A$499,0),$H501+1),""))</f>
        <v>3</v>
      </c>
      <c r="O501">
        <f t="shared" si="26"/>
        <v>4.666666666666667</v>
      </c>
      <c r="P501">
        <f t="shared" si="27"/>
        <v>5</v>
      </c>
      <c r="Q501">
        <f t="shared" si="28"/>
        <v>5</v>
      </c>
      <c r="R501">
        <f t="shared" si="29"/>
        <v>4.5</v>
      </c>
      <c r="S501">
        <f t="shared" si="30"/>
        <v>1.6</v>
      </c>
      <c r="T501" t="str">
        <f>IF($H501="","",IFERROR(INDEX(_ENGINE_Risk!$N$5:$S$499,MATCH($E501,_ENGINE_Risk!$A$5:$A$499,0),$H501+1),""))</f>
        <v>Create an immediate risk owner, minimum control baseline and fallback procedure for business model, value proposition, revenue streams and cost drivers. Add it to the crisis risk register and collect first evidence.</v>
      </c>
      <c r="U501">
        <f>IFERROR(INDEX(_DATA_Assessment_Model!$G$5:$G$884,MATCH($E501,_DATA_Assessment_Model!$A$5:$A$884,0)),"")</f>
        <v>5</v>
      </c>
      <c r="V501">
        <f>IFERROR(INDEX(_DATA_Assessment_Model!$W$5:$W$884,MATCH($E501,_DATA_Assessment_Model!$A$5:$A$884,0)),"")</f>
        <v>4</v>
      </c>
      <c r="W501">
        <f>IFERROR(INDEX(_DATA_Assessment_Model!$X$5:$X$884,MATCH($E501,_DATA_Assessment_Model!$A$5:$A$884,0)),"")</f>
        <v>5</v>
      </c>
      <c r="X501">
        <f>IFERROR(INDEX(_DATA_Assessment_Model!$Y$5:$Y$884,MATCH($E501,_DATA_Assessment_Model!$A$5:$A$884,0)),"")</f>
        <v>5</v>
      </c>
      <c r="Y501" t="s">
        <v>828</v>
      </c>
      <c r="Z501" t="s">
        <v>4591</v>
      </c>
      <c r="AA501" t="s">
        <v>832</v>
      </c>
      <c r="AB501">
        <f>IFERROR(INDEX(_DATA_Assessment_Model!$U$5:$U$884,MATCH($E501,_DATA_Assessment_Model!$A$5:$A$884,0)),"")</f>
        <v>0</v>
      </c>
      <c r="AF501" t="s">
        <v>831</v>
      </c>
      <c r="AH501" t="s">
        <v>1401</v>
      </c>
      <c r="AI501">
        <f t="shared" si="31"/>
        <v>26</v>
      </c>
      <c r="AJ501">
        <f t="shared" si="32"/>
        <v>26</v>
      </c>
      <c r="AK501">
        <f t="shared" si="33"/>
        <v>15.7</v>
      </c>
      <c r="AL501">
        <f t="shared" si="34"/>
        <v>16.739999999999998</v>
      </c>
      <c r="AM501">
        <f t="shared" si="35"/>
        <v>1.62</v>
      </c>
      <c r="AN501">
        <f t="shared" si="36"/>
        <v>0</v>
      </c>
      <c r="AO501">
        <f>IF($B501="Yes",IF(IFERROR(INDEX(_ENGINE_Crisis!$F$501:$F$517,MATCH($C501,_ENGINE_Crisis!$A$501:$A$517,0)),1)=0,1,IFERROR(INDEX(_ENGINE_Crisis!$F$501:$F$517,MATCH($C501,_ENGINE_Crisis!$A$501:$A$517,0)),1)),"")</f>
        <v>1</v>
      </c>
      <c r="AP501">
        <f t="shared" si="37"/>
        <v>15.7</v>
      </c>
      <c r="AQ501">
        <f t="shared" si="38"/>
        <v>1.6</v>
      </c>
      <c r="AR501" t="str">
        <f>IFERROR(INDEX(_ENGINE_Crisis!$E$41:$E$700,MATCH('Resilience &amp; Risk Scenario'!$B$6&amp;"|"&amp;$C501,_ENGINE_Crisis!$I$41:$I$700,0)),"")</f>
        <v/>
      </c>
      <c r="AS501" t="str">
        <f>IFERROR(INDEX(_ENGINE_Crisis!$G$41:$G$700,MATCH('Resilience &amp; Risk Scenario'!$B$6&amp;"|"&amp;$C501,_ENGINE_Crisis!$I$41:$I$700,0)),"")</f>
        <v/>
      </c>
      <c r="AT501" t="str">
        <f>IFERROR(INDEX(_ENGINE_Initiatives!$A$5:$A$532,MATCH(1,INDEX((_ENGINE_Initiatives!$B$5:$B$532=$C501)*(_ENGINE_Initiatives!$C$5:$C$532=$D501),0),0)),"")</f>
        <v>INI-001</v>
      </c>
      <c r="AU501" t="str">
        <f>IFERROR(INDEX(_ENGINE_Initiatives!$F$5:$F$532,MATCH(1,INDEX((_ENGINE_Initiatives!$B$5:$B$532=$C501)*(_ENGINE_Initiatives!$C$5:$C$532=$D501),0),0)),"")</f>
        <v>Create company context, entity and operating model register</v>
      </c>
      <c r="AV501">
        <f>IFERROR(INDEX(_ENGINE_Initiatives!$AC$5:$AC$532,MATCH(1,INDEX((_ENGINE_Initiatives!$B$5:$B$532=$C501)*(_ENGINE_Initiatives!$C$5:$C$532=$D501),0),0)),"")</f>
        <v>2.59</v>
      </c>
      <c r="AW501" t="str">
        <f>IFERROR(INDEX(_ENGINE_Initiatives!$AE$5:$AE$532,MATCH(1,INDEX((_ENGINE_Initiatives!$B$5:$B$532=$C501)*(_ENGINE_Initiatives!$C$5:$C$532=$D501),0),0)),"")</f>
        <v>0-90 days</v>
      </c>
      <c r="AX501">
        <f>IF($B501="Yes",IFERROR((IF(SUMIFS(_REF_Model_Content!$E$1:$E$613,_REF_Model_Content!$A$1:$A$613,PV_Canonical_Industry,_REF_Model_Content!$B$1:$B$613,$C501)=0,1,SUMIFS(_REF_Model_Content!$E$1:$E$613,_REF_Model_Content!$A$1:$A$613,PV_Canonical_Industry,_REF_Model_Content!$B$1:$B$613,$C501))*IFERROR($BU501,1)),1),"")</f>
        <v>1</v>
      </c>
      <c r="AY501">
        <f t="shared" si="39"/>
        <v>15.7</v>
      </c>
      <c r="AZ501">
        <f t="shared" si="40"/>
        <v>1.6</v>
      </c>
      <c r="BB501" t="str">
        <f>IF($H501="","",IFERROR(INDEX(_ENGINE_Risk!$AE$5:$AE$499,MATCH($E501,_ENGINE_Risk!$A$5:$A$499,0)),"Medium"))</f>
        <v>Medium</v>
      </c>
      <c r="BC501">
        <f t="shared" si="41"/>
        <v>1</v>
      </c>
      <c r="BD501">
        <f t="shared" si="42"/>
        <v>1.6</v>
      </c>
      <c r="BF501">
        <f>IF(OR($H501="",$J501=""),"",IFERROR(VLOOKUP(ROUND($J501,0),_CONFIG_Model_Settings!$D$154:$E$158,2,0),""))</f>
        <v>0.5</v>
      </c>
      <c r="BG501">
        <f>IFERROR(IF(OR($H501="",$K501=""),"",ROUND('Company Profile'!$B$113*INDEX(_CONFIG_Model_Settings!$H$154:$H$158,MATCH(ROUND($K501,0),_CONFIG_Model_Settings!$G$154:$G$158,0)),0)),0)</f>
        <v>875</v>
      </c>
      <c r="BH501">
        <f t="shared" si="43"/>
        <v>437.5</v>
      </c>
      <c r="BI501">
        <f t="shared" si="44"/>
        <v>437.5</v>
      </c>
      <c r="BJ501">
        <f>IF($E501="","",IFERROR(VLOOKUP($C501,_CONFIG_Risk_Calibration!$A$5:$H$21,2,FALSE),3))</f>
        <v>3</v>
      </c>
      <c r="BK501">
        <f>IF($E501="","",IFERROR(VLOOKUP($C501,_CONFIG_Risk_Calibration!$A$5:$H$21,3,FALSE),0))</f>
        <v>0</v>
      </c>
      <c r="BL501">
        <f>IF($E501="","",IFERROR(VLOOKUP($C501,_CONFIG_Risk_Calibration!$A$5:$H$21,4,FALSE),3))</f>
        <v>3</v>
      </c>
      <c r="BM501">
        <f>IF($E501="","",IFERROR(VLOOKUP($C501,_CONFIG_Risk_Calibration!$A$5:$H$21,5,FALSE),3))</f>
        <v>3</v>
      </c>
      <c r="BN501" t="str">
        <f>IF($E501="","",IFERROR(VLOOKUP($C501,_CONFIG_Risk_Calibration!$A$5:$H$21,6,FALSE),"No"))</f>
        <v>No</v>
      </c>
      <c r="BO501">
        <f>IF($E501="","",IFERROR(VLOOKUP($C501,_CONFIG_Risk_Calibration!$A$5:$H$21,7,FALSE),1))</f>
        <v>1</v>
      </c>
      <c r="BP501">
        <f>IF($H501="","",MAX(1,MIN(5,((6-$H501)*0.45)+($BJ501*0.2)+('Resilience &amp; Risk Scenario'!$B$7*0.15)+($BK501*0.1)+($BL501*0.05)+(IF($BB501="Fast",5,IF($BB501="Slow",1,3))*0.05))))</f>
        <v>3.6</v>
      </c>
      <c r="BQ501">
        <f t="shared" si="45"/>
        <v>4.3500000000000005</v>
      </c>
      <c r="BR501">
        <f t="shared" si="46"/>
        <v>15.66</v>
      </c>
      <c r="BS501">
        <f t="shared" si="47"/>
        <v>15.66</v>
      </c>
      <c r="BT501" t="str">
        <f>IFERROR(INDEX(_REF_Capability_Bridge!$D:$D,MATCH($C501&amp;"|"&amp;$D501,_REF_Capability_Bridge!$J:$J,0)),IFERROR(INDEX(_REF_Capability_Bridge!$D:$D,MATCH($C501&amp;"|",_REF_Capability_Bridge!$J:$J,0)),"CAP_GENERIC"))</f>
        <v>CAP_VENDOR_CONCENTRATION</v>
      </c>
      <c r="BU501">
        <f>IFERROR(IFERROR(INDEX(_ENGINE_Relevance!$L:$L,MATCH($BT501,_ENGINE_Relevance!$B:$B,0)),1),1)</f>
        <v>1</v>
      </c>
      <c r="BV501" t="str">
        <f>IFERROR(INDEX(_REF_Capability_Bridge!$A:$A,MATCH($C501&amp;"|"&amp;$D501,_REF_Capability_Bridge!$J:$J,0)),IFERROR(INDEX(_REF_Capability_Bridge!$A:$A,MATCH($C501&amp;"|",_REF_Capability_Bridge!$J:$J,0)),"No bridge"))</f>
        <v>BRG-008</v>
      </c>
      <c r="BW501" t="str">
        <f t="shared" si="48"/>
        <v>Capability relevance neutral</v>
      </c>
      <c r="BX501" t="str">
        <f t="shared" si="49"/>
        <v>Initial / absent</v>
      </c>
      <c r="BY501" t="str">
        <f>IF($E501="","",IFERROR(INDEX(_REF_Treatment_Library!$A$2:$A$296,MATCH(1,INDEX((_REF_Treatment_Library!$B$2:$B$296=$BT501)*(_REF_Treatment_Library!$C$2:$C$296=PV_Canonical_Industry)*(_REF_Treatment_Library!$E$2:$E$296&lt;=N($H501))*(_REF_Treatment_Library!$F$2:$F$296&gt;=N($H501))*(_REF_Treatment_Library!$O$2:$O$296="Yes"),0),0)),IFERROR(INDEX(_REF_Treatment_Library!$A$2:$A$296,MATCH(1,INDEX((_REF_Treatment_Library!$B$2:$B$296=$BT501)*(_REF_Treatment_Library!$C$2:$C$296="All")*(_REF_Treatment_Library!$E$2:$E$296&lt;=N($H501))*(_REF_Treatment_Library!$F$2:$F$296&gt;=N($H501))*(_REF_Treatment_Library!$O$2:$O$296="Yes"),0),0)),"")))</f>
        <v>TRT-VENDOR_CONCENTRATION-INITIAL</v>
      </c>
      <c r="BZ501" t="str">
        <f>IF($BY501="","",IFERROR(INDEX(_REF_Treatment_Library!$H$2:$H$296,MATCH($BY501,_REF_Treatment_Library!$A$2:$A$296,0)),""))</f>
        <v>Establish</v>
      </c>
      <c r="CA501" t="str">
        <f>IF($BY501="","",IFERROR(INDEX(_REF_Treatment_Library!$I$2:$I$296,MATCH($BY501,_REF_Treatment_Library!$A$2:$A$296,0)),""))</f>
        <v>Establish baseline controls for Vendor concentration</v>
      </c>
      <c r="CB501" t="str">
        <f>IF($BY501="","",IFERROR(INDEX(_REF_Treatment_Library!$K$2:$K$296,MATCH($BY501,_REF_Treatment_Library!$A$2:$A$296,0)),""))</f>
        <v>Named owner, baseline process, minimum control checklist, first evidence package</v>
      </c>
      <c r="CC501" t="str">
        <f>IF($BY501="","",IFERROR(INDEX(_REF_Treatment_Library!$L$2:$L$296,MATCH($BY501,_REF_Treatment_Library!$A$2:$A$296,0)),""))</f>
        <v>Owner assigned; baseline evidence coverage; open critical gaps</v>
      </c>
      <c r="CD501" t="str">
        <f t="shared" si="50"/>
        <v>Treatment by capability=CAP_VENDOR_CONCENTRATION; band=Initial / absent; score=0.0; treatment=Establish</v>
      </c>
      <c r="CE501" t="str">
        <f>IF($E501="","",IFERROR(INDEX(_REF_Industry_Wording!$A$2:$A$70,MATCH(1,INDEX((_REF_Industry_Wording!$B$2:$B$70=$BT501)*(_REF_Industry_Wording!$C$2:$C$70=PV_Canonical_Industry)*(_REF_Industry_Wording!$K$2:$K$70="Yes"),0),0)),IFERROR(INDEX(_REF_Industry_Wording!$A$2:$A$70,MATCH(1,INDEX((_REF_Industry_Wording!$B$2:$B$70=$BT501)*(_REF_Industry_Wording!$C$2:$C$70="All")*(_REF_Industry_Wording!$K$2:$K$70="Yes"),0),0)),"")))</f>
        <v>IW-ALL-VENDOR_CONCENTRATION</v>
      </c>
      <c r="CF501" t="str">
        <f>IF($CE501="","",IFERROR(INDEX(_REF_Industry_Wording!$E$2:$E$70,MATCH($CE501,_REF_Industry_Wording!$A$2:$A$70,0)),""))</f>
        <v>Vendor concentration weakness</v>
      </c>
      <c r="CG501" t="str">
        <f>IF($CE501="","",IFERROR(INDEX(_REF_Industry_Wording!$F$2:$F$70,MATCH($CE501,_REF_Industry_Wording!$A$2:$A$70,0)),""))</f>
        <v>Strengthen Vendor concentration</v>
      </c>
      <c r="CH501" t="str">
        <f>IF($CE501="","",IFERROR(INDEX(_REF_Industry_Wording!$G$2:$G$70,MATCH($CE501,_REF_Industry_Wording!$A$2:$A$70,0)),""))</f>
        <v>Strengthen Vendor concentration using the selected maturity treatment, crisis scenario and evidence requirements.</v>
      </c>
      <c r="CI501" t="str">
        <f>IF($CE501="","",IFERROR(INDEX(_REF_Industry_Wording!$H$2:$H$70,MATCH($CE501,_REF_Industry_Wording!$A$2:$A$70,0)),""))</f>
        <v>Vendor concentration</v>
      </c>
      <c r="CJ501">
        <f>IF($CE501="","",IFERROR(INDEX(_REF_Industry_Wording!$I$2:$I$70,MATCH($CE501,_REF_Industry_Wording!$A$2:$A$70,0)),""))</f>
        <v>0</v>
      </c>
      <c r="CK501" t="str">
        <f>IF($CE501="","",IFERROR(INDEX(_REF_Industry_Wording!$J$2:$J$70,MATCH($CE501,_REF_Industry_Wording!$A$2:$A$70,0)),""))</f>
        <v>Vendor concentration</v>
      </c>
      <c r="CL501" t="str">
        <f t="shared" si="51"/>
        <v>Wording by industry=0; capability=CAP_VENDOR_CONCENTRATION; risk label=Vendor concentration weakness</v>
      </c>
      <c r="CM501" t="str">
        <f t="shared" si="52"/>
        <v>RISK-ONT-0002</v>
      </c>
      <c r="CN501" t="str">
        <f t="shared" si="53"/>
        <v>RISK-EVT-0002</v>
      </c>
      <c r="CO501" t="str">
        <f t="shared" si="54"/>
        <v>Company Geography|Company profile|COMP-002|CAP_VENDOR_CONCENTRATION</v>
      </c>
      <c r="CP501" t="str">
        <f t="shared" si="55"/>
        <v>Active</v>
      </c>
      <c r="CQ501" t="str">
        <f t="shared" si="56"/>
        <v>OK: capability-driven</v>
      </c>
      <c r="CR501" t="str">
        <f t="shared" si="57"/>
        <v>Risk ontology uses capability=CAP_VENDOR_CONCENTRATION; bridge=BRG-008; treatment=TRT-VENDOR_CONCENTRATION-INITIAL; wording=IW-ALL-VENDOR_CONCENTRATION</v>
      </c>
      <c r="CS501" t="str">
        <f t="shared" si="58"/>
        <v>Yes</v>
      </c>
    </row>
    <row r="502" spans="1:97" ht="69.900000000000006" customHeight="1">
      <c r="A502">
        <f>IF(OR($B502&lt;&gt;"Yes",$BS502=""),"",SUMPRODUCT(($B$500:$B$923="Yes")*ISNUMBER($BS$500:$BS$923)*($BS$500:$BS$923&gt;$BS502))+COUNTIFS($B$500:$B502,"Yes",$BS$500:$BS502,$BS502))</f>
        <v>315</v>
      </c>
      <c r="B502" t="str">
        <f t="shared" si="21"/>
        <v>Yes</v>
      </c>
      <c r="C502" t="s">
        <v>815</v>
      </c>
      <c r="D502" t="s">
        <v>817</v>
      </c>
      <c r="E502" t="s">
        <v>840</v>
      </c>
      <c r="F502" t="s">
        <v>3679</v>
      </c>
      <c r="G502" t="str">
        <f>IF($H502="","",IFERROR(INDEX(_ENGINE_Risk!$H$5:$M$499,MATCH($E502,_ENGINE_Risk!$A$5:$A$499,0),$H502+1),""))</f>
        <v>Severe risk: critical products and services ranked by revenue, margin and continuity priority is not reliably controlled. During Geopolitical risk; Physical site loss; Regulatory/legal shock, the organization may face unclear exposure across entities, sites and markets, delayed strategic response and underestimated crisis impact with limited visibility or accountability.</v>
      </c>
      <c r="H502">
        <f>IFERROR(VALUE(INDEX(_DATA_Assessment_Model!$H$5:$H$884,MATCH($E502,_DATA_Assessment_Model!$A$5:$A$884,0))),"")</f>
        <v>0</v>
      </c>
      <c r="I502" t="str">
        <f>IF($H502="","",IFERROR(INDEX(_DATA_Assessment_Model!$L$5:$L$884,MATCH($E502,_DATA_Assessment_Model!$A$5:$A$884,0)),IF($H502&lt;=1,"Critical",IF($H502=2,"High",IF($H502=3,"Medium",IF($H502=4,"Low","Resilient"))))))</f>
        <v>Critical</v>
      </c>
      <c r="J502">
        <f t="shared" si="22"/>
        <v>3.6</v>
      </c>
      <c r="K502">
        <f t="shared" si="23"/>
        <v>4.3500000000000005</v>
      </c>
      <c r="L502">
        <f t="shared" si="24"/>
        <v>15.660000000000002</v>
      </c>
      <c r="M502">
        <f t="shared" si="25"/>
        <v>4</v>
      </c>
      <c r="N502">
        <f>IF($H502="","",IFERROR(INDEX(_ENGINE_Risk!$T$5:$Y$499,MATCH($E502,_ENGINE_Risk!$A$5:$A$499,0),$H502+1),""))</f>
        <v>3</v>
      </c>
      <c r="O502">
        <f t="shared" si="26"/>
        <v>4.666666666666667</v>
      </c>
      <c r="P502">
        <f t="shared" si="27"/>
        <v>5</v>
      </c>
      <c r="Q502">
        <f t="shared" si="28"/>
        <v>5</v>
      </c>
      <c r="R502">
        <f t="shared" si="29"/>
        <v>4.5</v>
      </c>
      <c r="S502">
        <f t="shared" si="30"/>
        <v>1.6</v>
      </c>
      <c r="T502" t="str">
        <f>IF($H502="","",IFERROR(INDEX(_ENGINE_Risk!$N$5:$S$499,MATCH($E502,_ENGINE_Risk!$A$5:$A$499,0),$H502+1),""))</f>
        <v>Create an immediate risk owner, minimum control baseline and fallback procedure for critical products and services ranked by revenue, margin and continuity priority. Add it to the crisis risk register and collect first evidence.</v>
      </c>
      <c r="U502">
        <f>IFERROR(INDEX(_DATA_Assessment_Model!$G$5:$G$884,MATCH($E502,_DATA_Assessment_Model!$A$5:$A$884,0)),"")</f>
        <v>5</v>
      </c>
      <c r="V502">
        <f>IFERROR(INDEX(_DATA_Assessment_Model!$W$5:$W$884,MATCH($E502,_DATA_Assessment_Model!$A$5:$A$884,0)),"")</f>
        <v>4</v>
      </c>
      <c r="W502">
        <f>IFERROR(INDEX(_DATA_Assessment_Model!$X$5:$X$884,MATCH($E502,_DATA_Assessment_Model!$A$5:$A$884,0)),"")</f>
        <v>5</v>
      </c>
      <c r="X502">
        <f>IFERROR(INDEX(_DATA_Assessment_Model!$Y$5:$Y$884,MATCH($E502,_DATA_Assessment_Model!$A$5:$A$884,0)),"")</f>
        <v>5</v>
      </c>
      <c r="Y502" t="s">
        <v>828</v>
      </c>
      <c r="Z502" t="s">
        <v>4591</v>
      </c>
      <c r="AA502" t="s">
        <v>842</v>
      </c>
      <c r="AB502">
        <f>IFERROR(INDEX(_DATA_Assessment_Model!$U$5:$U$884,MATCH($E502,_DATA_Assessment_Model!$A$5:$A$884,0)),"")</f>
        <v>0</v>
      </c>
      <c r="AF502" t="s">
        <v>841</v>
      </c>
      <c r="AH502" t="s">
        <v>1551</v>
      </c>
      <c r="AI502">
        <f t="shared" si="31"/>
        <v>21</v>
      </c>
      <c r="AJ502">
        <f t="shared" si="32"/>
        <v>21</v>
      </c>
      <c r="AK502">
        <f t="shared" si="33"/>
        <v>17.5</v>
      </c>
      <c r="AL502">
        <f t="shared" si="34"/>
        <v>18</v>
      </c>
      <c r="AM502">
        <f t="shared" si="35"/>
        <v>1.67</v>
      </c>
      <c r="AN502">
        <f t="shared" si="36"/>
        <v>0</v>
      </c>
      <c r="AO502">
        <f>IF($B502="Yes",IF(IFERROR(INDEX(_ENGINE_Crisis!$F$501:$F$517,MATCH($C502,_ENGINE_Crisis!$A$501:$A$517,0)),1)=0,1,IFERROR(INDEX(_ENGINE_Crisis!$F$501:$F$517,MATCH($C502,_ENGINE_Crisis!$A$501:$A$517,0)),1)),"")</f>
        <v>1</v>
      </c>
      <c r="AP502">
        <f t="shared" si="37"/>
        <v>15.7</v>
      </c>
      <c r="AQ502">
        <f t="shared" si="38"/>
        <v>1.6</v>
      </c>
      <c r="AR502" t="str">
        <f>IFERROR(INDEX(_ENGINE_Crisis!$E$41:$E$700,MATCH('Resilience &amp; Risk Scenario'!$B$6&amp;"|"&amp;$C502,_ENGINE_Crisis!$I$41:$I$700,0)),"")</f>
        <v/>
      </c>
      <c r="AS502" t="str">
        <f>IFERROR(INDEX(_ENGINE_Crisis!$G$41:$G$700,MATCH('Resilience &amp; Risk Scenario'!$B$6&amp;"|"&amp;$C502,_ENGINE_Crisis!$I$41:$I$700,0)),"")</f>
        <v/>
      </c>
      <c r="AT502" t="str">
        <f>IFERROR(INDEX(_ENGINE_Initiatives!$A$5:$A$532,MATCH(1,INDEX((_ENGINE_Initiatives!$B$5:$B$532=$C502)*(_ENGINE_Initiatives!$C$5:$C$532=$D502),0),0)),"")</f>
        <v>INI-001</v>
      </c>
      <c r="AU502" t="str">
        <f>IFERROR(INDEX(_ENGINE_Initiatives!$F$5:$F$532,MATCH(1,INDEX((_ENGINE_Initiatives!$B$5:$B$532=$C502)*(_ENGINE_Initiatives!$C$5:$C$532=$D502),0),0)),"")</f>
        <v>Create company context, entity and operating model register</v>
      </c>
      <c r="AV502">
        <f>IFERROR(INDEX(_ENGINE_Initiatives!$AC$5:$AC$532,MATCH(1,INDEX((_ENGINE_Initiatives!$B$5:$B$532=$C502)*(_ENGINE_Initiatives!$C$5:$C$532=$D502),0),0)),"")</f>
        <v>2.59</v>
      </c>
      <c r="AW502" t="str">
        <f>IFERROR(INDEX(_ENGINE_Initiatives!$AE$5:$AE$532,MATCH(1,INDEX((_ENGINE_Initiatives!$B$5:$B$532=$C502)*(_ENGINE_Initiatives!$C$5:$C$532=$D502),0),0)),"")</f>
        <v>0-90 days</v>
      </c>
      <c r="AX502">
        <f>IF($B502="Yes",IFERROR((IF(SUMIFS(_REF_Model_Content!$E$1:$E$613,_REF_Model_Content!$A$1:$A$613,PV_Canonical_Industry,_REF_Model_Content!$B$1:$B$613,$C502)=0,1,SUMIFS(_REF_Model_Content!$E$1:$E$613,_REF_Model_Content!$A$1:$A$613,PV_Canonical_Industry,_REF_Model_Content!$B$1:$B$613,$C502))*IFERROR($BU502,1)),1),"")</f>
        <v>1</v>
      </c>
      <c r="AY502">
        <f t="shared" si="39"/>
        <v>15.7</v>
      </c>
      <c r="AZ502">
        <f t="shared" si="40"/>
        <v>1.6</v>
      </c>
      <c r="BB502" t="str">
        <f>IF($H502="","",IFERROR(INDEX(_ENGINE_Risk!$AE$5:$AE$499,MATCH($E502,_ENGINE_Risk!$A$5:$A$499,0)),"Medium"))</f>
        <v>Medium</v>
      </c>
      <c r="BC502">
        <f t="shared" si="41"/>
        <v>1</v>
      </c>
      <c r="BD502">
        <f t="shared" si="42"/>
        <v>1.6</v>
      </c>
      <c r="BF502">
        <f>IF(OR($H502="",$J502=""),"",IFERROR(VLOOKUP(ROUND($J502,0),_CONFIG_Model_Settings!$D$154:$E$158,2,0),""))</f>
        <v>0.5</v>
      </c>
      <c r="BG502">
        <f>IFERROR(IF(OR($H502="",$K502=""),"",ROUND('Company Profile'!$B$113*INDEX(_CONFIG_Model_Settings!$H$154:$H$158,MATCH(ROUND($K502,0),_CONFIG_Model_Settings!$G$154:$G$158,0)),0)),0)</f>
        <v>875</v>
      </c>
      <c r="BH502">
        <f t="shared" si="43"/>
        <v>437.5</v>
      </c>
      <c r="BI502">
        <f t="shared" si="44"/>
        <v>437.5</v>
      </c>
      <c r="BJ502">
        <f>IF($E502="","",IFERROR(VLOOKUP($C502,_CONFIG_Risk_Calibration!$A$5:$H$21,2,FALSE),3))</f>
        <v>3</v>
      </c>
      <c r="BK502">
        <f>IF($E502="","",IFERROR(VLOOKUP($C502,_CONFIG_Risk_Calibration!$A$5:$H$21,3,FALSE),0))</f>
        <v>0</v>
      </c>
      <c r="BL502">
        <f>IF($E502="","",IFERROR(VLOOKUP($C502,_CONFIG_Risk_Calibration!$A$5:$H$21,4,FALSE),3))</f>
        <v>3</v>
      </c>
      <c r="BM502">
        <f>IF($E502="","",IFERROR(VLOOKUP($C502,_CONFIG_Risk_Calibration!$A$5:$H$21,5,FALSE),3))</f>
        <v>3</v>
      </c>
      <c r="BN502" t="str">
        <f>IF($E502="","",IFERROR(VLOOKUP($C502,_CONFIG_Risk_Calibration!$A$5:$H$21,6,FALSE),"No"))</f>
        <v>No</v>
      </c>
      <c r="BO502">
        <f>IF($E502="","",IFERROR(VLOOKUP($C502,_CONFIG_Risk_Calibration!$A$5:$H$21,7,FALSE),1))</f>
        <v>1</v>
      </c>
      <c r="BP502">
        <f>IF($H502="","",MAX(1,MIN(5,((6-$H502)*0.45)+($BJ502*0.2)+('Resilience &amp; Risk Scenario'!$B$7*0.15)+($BK502*0.1)+($BL502*0.05)+(IF($BB502="Fast",5,IF($BB502="Slow",1,3))*0.05))))</f>
        <v>3.6</v>
      </c>
      <c r="BQ502">
        <f t="shared" si="45"/>
        <v>4.3500000000000005</v>
      </c>
      <c r="BR502">
        <f t="shared" si="46"/>
        <v>15.66</v>
      </c>
      <c r="BS502">
        <f t="shared" si="47"/>
        <v>15.66</v>
      </c>
      <c r="BT502" t="str">
        <f>IFERROR(INDEX(_REF_Capability_Bridge!$D:$D,MATCH($C502&amp;"|"&amp;$D502,_REF_Capability_Bridge!$J:$J,0)),IFERROR(INDEX(_REF_Capability_Bridge!$D:$D,MATCH($C502&amp;"|",_REF_Capability_Bridge!$J:$J,0)),"CAP_GENERIC"))</f>
        <v>CAP_VENDOR_CONCENTRATION</v>
      </c>
      <c r="BU502">
        <f>IFERROR(IFERROR(INDEX(_ENGINE_Relevance!$L:$L,MATCH($BT502,_ENGINE_Relevance!$B:$B,0)),1),1)</f>
        <v>1</v>
      </c>
      <c r="BV502" t="str">
        <f>IFERROR(INDEX(_REF_Capability_Bridge!$A:$A,MATCH($C502&amp;"|"&amp;$D502,_REF_Capability_Bridge!$J:$J,0)),IFERROR(INDEX(_REF_Capability_Bridge!$A:$A,MATCH($C502&amp;"|",_REF_Capability_Bridge!$J:$J,0)),"No bridge"))</f>
        <v>BRG-008</v>
      </c>
      <c r="BW502" t="str">
        <f t="shared" si="48"/>
        <v>Capability relevance neutral</v>
      </c>
      <c r="BX502" t="str">
        <f t="shared" si="49"/>
        <v>Initial / absent</v>
      </c>
      <c r="BY502" t="str">
        <f>IF($E502="","",IFERROR(INDEX(_REF_Treatment_Library!$A$2:$A$296,MATCH(1,INDEX((_REF_Treatment_Library!$B$2:$B$296=$BT502)*(_REF_Treatment_Library!$C$2:$C$296=PV_Canonical_Industry)*(_REF_Treatment_Library!$E$2:$E$296&lt;=N($H502))*(_REF_Treatment_Library!$F$2:$F$296&gt;=N($H502))*(_REF_Treatment_Library!$O$2:$O$296="Yes"),0),0)),IFERROR(INDEX(_REF_Treatment_Library!$A$2:$A$296,MATCH(1,INDEX((_REF_Treatment_Library!$B$2:$B$296=$BT502)*(_REF_Treatment_Library!$C$2:$C$296="All")*(_REF_Treatment_Library!$E$2:$E$296&lt;=N($H502))*(_REF_Treatment_Library!$F$2:$F$296&gt;=N($H502))*(_REF_Treatment_Library!$O$2:$O$296="Yes"),0),0)),"")))</f>
        <v>TRT-VENDOR_CONCENTRATION-INITIAL</v>
      </c>
      <c r="BZ502" t="str">
        <f>IF($BY502="","",IFERROR(INDEX(_REF_Treatment_Library!$H$2:$H$296,MATCH($BY502,_REF_Treatment_Library!$A$2:$A$296,0)),""))</f>
        <v>Establish</v>
      </c>
      <c r="CA502" t="str">
        <f>IF($BY502="","",IFERROR(INDEX(_REF_Treatment_Library!$I$2:$I$296,MATCH($BY502,_REF_Treatment_Library!$A$2:$A$296,0)),""))</f>
        <v>Establish baseline controls for Vendor concentration</v>
      </c>
      <c r="CB502" t="str">
        <f>IF($BY502="","",IFERROR(INDEX(_REF_Treatment_Library!$K$2:$K$296,MATCH($BY502,_REF_Treatment_Library!$A$2:$A$296,0)),""))</f>
        <v>Named owner, baseline process, minimum control checklist, first evidence package</v>
      </c>
      <c r="CC502" t="str">
        <f>IF($BY502="","",IFERROR(INDEX(_REF_Treatment_Library!$L$2:$L$296,MATCH($BY502,_REF_Treatment_Library!$A$2:$A$296,0)),""))</f>
        <v>Owner assigned; baseline evidence coverage; open critical gaps</v>
      </c>
      <c r="CD502" t="str">
        <f t="shared" si="50"/>
        <v>Treatment by capability=CAP_VENDOR_CONCENTRATION; band=Initial / absent; score=0.0; treatment=Establish</v>
      </c>
      <c r="CE502" t="str">
        <f>IF($E502="","",IFERROR(INDEX(_REF_Industry_Wording!$A$2:$A$70,MATCH(1,INDEX((_REF_Industry_Wording!$B$2:$B$70=$BT502)*(_REF_Industry_Wording!$C$2:$C$70=PV_Canonical_Industry)*(_REF_Industry_Wording!$K$2:$K$70="Yes"),0),0)),IFERROR(INDEX(_REF_Industry_Wording!$A$2:$A$70,MATCH(1,INDEX((_REF_Industry_Wording!$B$2:$B$70=$BT502)*(_REF_Industry_Wording!$C$2:$C$70="All")*(_REF_Industry_Wording!$K$2:$K$70="Yes"),0),0)),"")))</f>
        <v>IW-ALL-VENDOR_CONCENTRATION</v>
      </c>
      <c r="CF502" t="str">
        <f>IF($CE502="","",IFERROR(INDEX(_REF_Industry_Wording!$E$2:$E$70,MATCH($CE502,_REF_Industry_Wording!$A$2:$A$70,0)),""))</f>
        <v>Vendor concentration weakness</v>
      </c>
      <c r="CG502" t="str">
        <f>IF($CE502="","",IFERROR(INDEX(_REF_Industry_Wording!$F$2:$F$70,MATCH($CE502,_REF_Industry_Wording!$A$2:$A$70,0)),""))</f>
        <v>Strengthen Vendor concentration</v>
      </c>
      <c r="CH502" t="str">
        <f>IF($CE502="","",IFERROR(INDEX(_REF_Industry_Wording!$G$2:$G$70,MATCH($CE502,_REF_Industry_Wording!$A$2:$A$70,0)),""))</f>
        <v>Strengthen Vendor concentration using the selected maturity treatment, crisis scenario and evidence requirements.</v>
      </c>
      <c r="CI502" t="str">
        <f>IF($CE502="","",IFERROR(INDEX(_REF_Industry_Wording!$H$2:$H$70,MATCH($CE502,_REF_Industry_Wording!$A$2:$A$70,0)),""))</f>
        <v>Vendor concentration</v>
      </c>
      <c r="CJ502">
        <f>IF($CE502="","",IFERROR(INDEX(_REF_Industry_Wording!$I$2:$I$70,MATCH($CE502,_REF_Industry_Wording!$A$2:$A$70,0)),""))</f>
        <v>0</v>
      </c>
      <c r="CK502" t="str">
        <f>IF($CE502="","",IFERROR(INDEX(_REF_Industry_Wording!$J$2:$J$70,MATCH($CE502,_REF_Industry_Wording!$A$2:$A$70,0)),""))</f>
        <v>Vendor concentration</v>
      </c>
      <c r="CL502" t="str">
        <f t="shared" si="51"/>
        <v>Wording by industry=0; capability=CAP_VENDOR_CONCENTRATION; risk label=Vendor concentration weakness</v>
      </c>
      <c r="CM502" t="str">
        <f t="shared" si="52"/>
        <v>RISK-ONT-0003</v>
      </c>
      <c r="CN502" t="str">
        <f t="shared" si="53"/>
        <v>RISK-EVT-0003</v>
      </c>
      <c r="CO502" t="str">
        <f t="shared" si="54"/>
        <v>Company Geography|Company profile|COMP-003|CAP_VENDOR_CONCENTRATION</v>
      </c>
      <c r="CP502" t="str">
        <f t="shared" si="55"/>
        <v>Active</v>
      </c>
      <c r="CQ502" t="str">
        <f t="shared" si="56"/>
        <v>OK: capability-driven</v>
      </c>
      <c r="CR502" t="str">
        <f t="shared" si="57"/>
        <v>Risk ontology uses capability=CAP_VENDOR_CONCENTRATION; bridge=BRG-008; treatment=TRT-VENDOR_CONCENTRATION-INITIAL; wording=IW-ALL-VENDOR_CONCENTRATION</v>
      </c>
      <c r="CS502" t="str">
        <f t="shared" si="58"/>
        <v>Yes</v>
      </c>
    </row>
    <row r="503" spans="1:97" ht="69.900000000000006" customHeight="1">
      <c r="A503">
        <f>IF(OR($B503&lt;&gt;"Yes",$BS503=""),"",SUMPRODUCT(($B$500:$B$923="Yes")*ISNUMBER($BS$500:$BS$923)*($BS$500:$BS$923&gt;$BS503))+COUNTIFS($B$500:$B503,"Yes",$BS$500:$BS503,$BS503))</f>
        <v>333</v>
      </c>
      <c r="B503" t="str">
        <f t="shared" si="21"/>
        <v>Yes</v>
      </c>
      <c r="C503" t="s">
        <v>815</v>
      </c>
      <c r="D503" t="s">
        <v>817</v>
      </c>
      <c r="E503" t="s">
        <v>844</v>
      </c>
      <c r="F503" t="s">
        <v>3679</v>
      </c>
      <c r="G503" t="str">
        <f>IF($H503="","",IFERROR(INDEX(_ENGINE_Risk!$H$5:$M$499,MATCH($E503,_ENGINE_Risk!$A$5:$A$499,0),$H503+1),""))</f>
        <v>Severe risk: operating model: centralized, distributed, outsourced, remote or hybrid is not reliably controlled. During Geopolitical risk; Physical site loss; Regulatory/legal shock, the organization may face unclear exposure across entities, sites and markets, delayed strategic response and underestimated crisis impact with limited visibility or accountability.</v>
      </c>
      <c r="H503">
        <f>IFERROR(VALUE(INDEX(_DATA_Assessment_Model!$H$5:$H$884,MATCH($E503,_DATA_Assessment_Model!$A$5:$A$884,0))),"")</f>
        <v>0</v>
      </c>
      <c r="I503" t="str">
        <f>IF($H503="","",IFERROR(INDEX(_DATA_Assessment_Model!$L$5:$L$884,MATCH($E503,_DATA_Assessment_Model!$A$5:$A$884,0)),IF($H503&lt;=1,"Critical",IF($H503=2,"High",IF($H503=3,"Medium",IF($H503=4,"Low","Resilient"))))))</f>
        <v>Critical</v>
      </c>
      <c r="J503">
        <f t="shared" si="22"/>
        <v>3.6</v>
      </c>
      <c r="K503">
        <f t="shared" si="23"/>
        <v>4.1500000000000004</v>
      </c>
      <c r="L503">
        <f t="shared" si="24"/>
        <v>14.940000000000001</v>
      </c>
      <c r="M503">
        <f t="shared" si="25"/>
        <v>3</v>
      </c>
      <c r="N503">
        <f>IF($H503="","",IFERROR(INDEX(_ENGINE_Risk!$T$5:$Y$499,MATCH($E503,_ENGINE_Risk!$A$5:$A$499,0),$H503+1),""))</f>
        <v>3</v>
      </c>
      <c r="O503">
        <f t="shared" si="26"/>
        <v>4.333333333333333</v>
      </c>
      <c r="P503">
        <f t="shared" si="27"/>
        <v>5</v>
      </c>
      <c r="Q503">
        <f t="shared" si="28"/>
        <v>5</v>
      </c>
      <c r="R503">
        <f t="shared" si="29"/>
        <v>4.5</v>
      </c>
      <c r="S503">
        <f t="shared" si="30"/>
        <v>1.57</v>
      </c>
      <c r="T503" t="str">
        <f>IF($H503="","",IFERROR(INDEX(_ENGINE_Risk!$N$5:$S$499,MATCH($E503,_ENGINE_Risk!$A$5:$A$499,0),$H503+1),""))</f>
        <v>Create an immediate risk owner, minimum control baseline and fallback procedure for operating model: centralized, distributed, outsourced, remote or hybrid. Add it to the crisis risk register and collect first evidence.</v>
      </c>
      <c r="U503">
        <f>IFERROR(INDEX(_DATA_Assessment_Model!$G$5:$G$884,MATCH($E503,_DATA_Assessment_Model!$A$5:$A$884,0)),"")</f>
        <v>4</v>
      </c>
      <c r="V503">
        <f>IFERROR(INDEX(_DATA_Assessment_Model!$W$5:$W$884,MATCH($E503,_DATA_Assessment_Model!$A$5:$A$884,0)),"")</f>
        <v>4</v>
      </c>
      <c r="W503">
        <f>IFERROR(INDEX(_DATA_Assessment_Model!$X$5:$X$884,MATCH($E503,_DATA_Assessment_Model!$A$5:$A$884,0)),"")</f>
        <v>5</v>
      </c>
      <c r="X503">
        <f>IFERROR(INDEX(_DATA_Assessment_Model!$Y$5:$Y$884,MATCH($E503,_DATA_Assessment_Model!$A$5:$A$884,0)),"")</f>
        <v>5</v>
      </c>
      <c r="Y503" t="s">
        <v>828</v>
      </c>
      <c r="Z503" t="s">
        <v>4591</v>
      </c>
      <c r="AA503" t="s">
        <v>846</v>
      </c>
      <c r="AB503">
        <f>IFERROR(INDEX(_DATA_Assessment_Model!$U$5:$U$884,MATCH($E503,_DATA_Assessment_Model!$A$5:$A$884,0)),"")</f>
        <v>0</v>
      </c>
      <c r="AF503" t="s">
        <v>845</v>
      </c>
      <c r="AH503" t="s">
        <v>1666</v>
      </c>
      <c r="AI503">
        <f t="shared" si="31"/>
        <v>31</v>
      </c>
      <c r="AJ503">
        <f t="shared" si="32"/>
        <v>31</v>
      </c>
      <c r="AK503">
        <f t="shared" si="33"/>
        <v>18.5</v>
      </c>
      <c r="AL503">
        <f t="shared" si="34"/>
        <v>18.5</v>
      </c>
      <c r="AM503">
        <f t="shared" si="35"/>
        <v>1.24</v>
      </c>
      <c r="AN503">
        <f t="shared" si="36"/>
        <v>0</v>
      </c>
      <c r="AO503">
        <f>IF($B503="Yes",IF(IFERROR(INDEX(_ENGINE_Crisis!$F$501:$F$517,MATCH($C503,_ENGINE_Crisis!$A$501:$A$517,0)),1)=0,1,IFERROR(INDEX(_ENGINE_Crisis!$F$501:$F$517,MATCH($C503,_ENGINE_Crisis!$A$501:$A$517,0)),1)),"")</f>
        <v>1</v>
      </c>
      <c r="AP503">
        <f t="shared" si="37"/>
        <v>14.9</v>
      </c>
      <c r="AQ503">
        <f t="shared" si="38"/>
        <v>1.57</v>
      </c>
      <c r="AR503" t="str">
        <f>IFERROR(INDEX(_ENGINE_Crisis!$E$41:$E$700,MATCH('Resilience &amp; Risk Scenario'!$B$6&amp;"|"&amp;$C503,_ENGINE_Crisis!$I$41:$I$700,0)),"")</f>
        <v/>
      </c>
      <c r="AS503" t="str">
        <f>IFERROR(INDEX(_ENGINE_Crisis!$G$41:$G$700,MATCH('Resilience &amp; Risk Scenario'!$B$6&amp;"|"&amp;$C503,_ENGINE_Crisis!$I$41:$I$700,0)),"")</f>
        <v/>
      </c>
      <c r="AT503" t="str">
        <f>IFERROR(INDEX(_ENGINE_Initiatives!$A$5:$A$532,MATCH(1,INDEX((_ENGINE_Initiatives!$B$5:$B$532=$C503)*(_ENGINE_Initiatives!$C$5:$C$532=$D503),0),0)),"")</f>
        <v>INI-001</v>
      </c>
      <c r="AU503" t="str">
        <f>IFERROR(INDEX(_ENGINE_Initiatives!$F$5:$F$532,MATCH(1,INDEX((_ENGINE_Initiatives!$B$5:$B$532=$C503)*(_ENGINE_Initiatives!$C$5:$C$532=$D503),0),0)),"")</f>
        <v>Create company context, entity and operating model register</v>
      </c>
      <c r="AV503">
        <f>IFERROR(INDEX(_ENGINE_Initiatives!$AC$5:$AC$532,MATCH(1,INDEX((_ENGINE_Initiatives!$B$5:$B$532=$C503)*(_ENGINE_Initiatives!$C$5:$C$532=$D503),0),0)),"")</f>
        <v>2.59</v>
      </c>
      <c r="AW503" t="str">
        <f>IFERROR(INDEX(_ENGINE_Initiatives!$AE$5:$AE$532,MATCH(1,INDEX((_ENGINE_Initiatives!$B$5:$B$532=$C503)*(_ENGINE_Initiatives!$C$5:$C$532=$D503),0),0)),"")</f>
        <v>0-90 days</v>
      </c>
      <c r="AX503">
        <f>IF($B503="Yes",IFERROR((IF(SUMIFS(_REF_Model_Content!$E$1:$E$613,_REF_Model_Content!$A$1:$A$613,PV_Canonical_Industry,_REF_Model_Content!$B$1:$B$613,$C503)=0,1,SUMIFS(_REF_Model_Content!$E$1:$E$613,_REF_Model_Content!$A$1:$A$613,PV_Canonical_Industry,_REF_Model_Content!$B$1:$B$613,$C503))*IFERROR($BU503,1)),1),"")</f>
        <v>1</v>
      </c>
      <c r="AY503">
        <f t="shared" si="39"/>
        <v>14.9</v>
      </c>
      <c r="AZ503">
        <f t="shared" si="40"/>
        <v>1.57</v>
      </c>
      <c r="BB503" t="str">
        <f>IF($H503="","",IFERROR(INDEX(_ENGINE_Risk!$AE$5:$AE$499,MATCH($E503,_ENGINE_Risk!$A$5:$A$499,0)),"Medium"))</f>
        <v>Medium</v>
      </c>
      <c r="BC503">
        <f t="shared" si="41"/>
        <v>1</v>
      </c>
      <c r="BD503">
        <f t="shared" si="42"/>
        <v>1.57</v>
      </c>
      <c r="BF503">
        <f>IF(OR($H503="",$J503=""),"",IFERROR(VLOOKUP(ROUND($J503,0),_CONFIG_Model_Settings!$D$154:$E$158,2,0),""))</f>
        <v>0.5</v>
      </c>
      <c r="BG503">
        <f>IFERROR(IF(OR($H503="",$K503=""),"",ROUND('Company Profile'!$B$113*INDEX(_CONFIG_Model_Settings!$H$154:$H$158,MATCH(ROUND($K503,0),_CONFIG_Model_Settings!$G$154:$G$158,0)),0)),0)</f>
        <v>875</v>
      </c>
      <c r="BH503">
        <f t="shared" si="43"/>
        <v>437.5</v>
      </c>
      <c r="BI503">
        <f t="shared" si="44"/>
        <v>437.5</v>
      </c>
      <c r="BJ503">
        <f>IF($E503="","",IFERROR(VLOOKUP($C503,_CONFIG_Risk_Calibration!$A$5:$H$21,2,FALSE),3))</f>
        <v>3</v>
      </c>
      <c r="BK503">
        <f>IF($E503="","",IFERROR(VLOOKUP($C503,_CONFIG_Risk_Calibration!$A$5:$H$21,3,FALSE),0))</f>
        <v>0</v>
      </c>
      <c r="BL503">
        <f>IF($E503="","",IFERROR(VLOOKUP($C503,_CONFIG_Risk_Calibration!$A$5:$H$21,4,FALSE),3))</f>
        <v>3</v>
      </c>
      <c r="BM503">
        <f>IF($E503="","",IFERROR(VLOOKUP($C503,_CONFIG_Risk_Calibration!$A$5:$H$21,5,FALSE),3))</f>
        <v>3</v>
      </c>
      <c r="BN503" t="str">
        <f>IF($E503="","",IFERROR(VLOOKUP($C503,_CONFIG_Risk_Calibration!$A$5:$H$21,6,FALSE),"No"))</f>
        <v>No</v>
      </c>
      <c r="BO503">
        <f>IF($E503="","",IFERROR(VLOOKUP($C503,_CONFIG_Risk_Calibration!$A$5:$H$21,7,FALSE),1))</f>
        <v>1</v>
      </c>
      <c r="BP503">
        <f>IF($H503="","",MAX(1,MIN(5,((6-$H503)*0.45)+($BJ503*0.2)+('Resilience &amp; Risk Scenario'!$B$7*0.15)+($BK503*0.1)+($BL503*0.05)+(IF($BB503="Fast",5,IF($BB503="Slow",1,3))*0.05))))</f>
        <v>3.6</v>
      </c>
      <c r="BQ503">
        <f t="shared" si="45"/>
        <v>4.1500000000000004</v>
      </c>
      <c r="BR503">
        <f t="shared" si="46"/>
        <v>14.94</v>
      </c>
      <c r="BS503">
        <f t="shared" si="47"/>
        <v>14.94</v>
      </c>
      <c r="BT503" t="str">
        <f>IFERROR(INDEX(_REF_Capability_Bridge!$D:$D,MATCH($C503&amp;"|"&amp;$D503,_REF_Capability_Bridge!$J:$J,0)),IFERROR(INDEX(_REF_Capability_Bridge!$D:$D,MATCH($C503&amp;"|",_REF_Capability_Bridge!$J:$J,0)),"CAP_GENERIC"))</f>
        <v>CAP_VENDOR_CONCENTRATION</v>
      </c>
      <c r="BU503">
        <f>IFERROR(IFERROR(INDEX(_ENGINE_Relevance!$L:$L,MATCH($BT503,_ENGINE_Relevance!$B:$B,0)),1),1)</f>
        <v>1</v>
      </c>
      <c r="BV503" t="str">
        <f>IFERROR(INDEX(_REF_Capability_Bridge!$A:$A,MATCH($C503&amp;"|"&amp;$D503,_REF_Capability_Bridge!$J:$J,0)),IFERROR(INDEX(_REF_Capability_Bridge!$A:$A,MATCH($C503&amp;"|",_REF_Capability_Bridge!$J:$J,0)),"No bridge"))</f>
        <v>BRG-008</v>
      </c>
      <c r="BW503" t="str">
        <f t="shared" si="48"/>
        <v>Capability relevance neutral</v>
      </c>
      <c r="BX503" t="str">
        <f t="shared" si="49"/>
        <v>Initial / absent</v>
      </c>
      <c r="BY503" t="str">
        <f>IF($E503="","",IFERROR(INDEX(_REF_Treatment_Library!$A$2:$A$296,MATCH(1,INDEX((_REF_Treatment_Library!$B$2:$B$296=$BT503)*(_REF_Treatment_Library!$C$2:$C$296=PV_Canonical_Industry)*(_REF_Treatment_Library!$E$2:$E$296&lt;=N($H503))*(_REF_Treatment_Library!$F$2:$F$296&gt;=N($H503))*(_REF_Treatment_Library!$O$2:$O$296="Yes"),0),0)),IFERROR(INDEX(_REF_Treatment_Library!$A$2:$A$296,MATCH(1,INDEX((_REF_Treatment_Library!$B$2:$B$296=$BT503)*(_REF_Treatment_Library!$C$2:$C$296="All")*(_REF_Treatment_Library!$E$2:$E$296&lt;=N($H503))*(_REF_Treatment_Library!$F$2:$F$296&gt;=N($H503))*(_REF_Treatment_Library!$O$2:$O$296="Yes"),0),0)),"")))</f>
        <v>TRT-VENDOR_CONCENTRATION-INITIAL</v>
      </c>
      <c r="BZ503" t="str">
        <f>IF($BY503="","",IFERROR(INDEX(_REF_Treatment_Library!$H$2:$H$296,MATCH($BY503,_REF_Treatment_Library!$A$2:$A$296,0)),""))</f>
        <v>Establish</v>
      </c>
      <c r="CA503" t="str">
        <f>IF($BY503="","",IFERROR(INDEX(_REF_Treatment_Library!$I$2:$I$296,MATCH($BY503,_REF_Treatment_Library!$A$2:$A$296,0)),""))</f>
        <v>Establish baseline controls for Vendor concentration</v>
      </c>
      <c r="CB503" t="str">
        <f>IF($BY503="","",IFERROR(INDEX(_REF_Treatment_Library!$K$2:$K$296,MATCH($BY503,_REF_Treatment_Library!$A$2:$A$296,0)),""))</f>
        <v>Named owner, baseline process, minimum control checklist, first evidence package</v>
      </c>
      <c r="CC503" t="str">
        <f>IF($BY503="","",IFERROR(INDEX(_REF_Treatment_Library!$L$2:$L$296,MATCH($BY503,_REF_Treatment_Library!$A$2:$A$296,0)),""))</f>
        <v>Owner assigned; baseline evidence coverage; open critical gaps</v>
      </c>
      <c r="CD503" t="str">
        <f t="shared" si="50"/>
        <v>Treatment by capability=CAP_VENDOR_CONCENTRATION; band=Initial / absent; score=0.0; treatment=Establish</v>
      </c>
      <c r="CE503" t="str">
        <f>IF($E503="","",IFERROR(INDEX(_REF_Industry_Wording!$A$2:$A$70,MATCH(1,INDEX((_REF_Industry_Wording!$B$2:$B$70=$BT503)*(_REF_Industry_Wording!$C$2:$C$70=PV_Canonical_Industry)*(_REF_Industry_Wording!$K$2:$K$70="Yes"),0),0)),IFERROR(INDEX(_REF_Industry_Wording!$A$2:$A$70,MATCH(1,INDEX((_REF_Industry_Wording!$B$2:$B$70=$BT503)*(_REF_Industry_Wording!$C$2:$C$70="All")*(_REF_Industry_Wording!$K$2:$K$70="Yes"),0),0)),"")))</f>
        <v>IW-ALL-VENDOR_CONCENTRATION</v>
      </c>
      <c r="CF503" t="str">
        <f>IF($CE503="","",IFERROR(INDEX(_REF_Industry_Wording!$E$2:$E$70,MATCH($CE503,_REF_Industry_Wording!$A$2:$A$70,0)),""))</f>
        <v>Vendor concentration weakness</v>
      </c>
      <c r="CG503" t="str">
        <f>IF($CE503="","",IFERROR(INDEX(_REF_Industry_Wording!$F$2:$F$70,MATCH($CE503,_REF_Industry_Wording!$A$2:$A$70,0)),""))</f>
        <v>Strengthen Vendor concentration</v>
      </c>
      <c r="CH503" t="str">
        <f>IF($CE503="","",IFERROR(INDEX(_REF_Industry_Wording!$G$2:$G$70,MATCH($CE503,_REF_Industry_Wording!$A$2:$A$70,0)),""))</f>
        <v>Strengthen Vendor concentration using the selected maturity treatment, crisis scenario and evidence requirements.</v>
      </c>
      <c r="CI503" t="str">
        <f>IF($CE503="","",IFERROR(INDEX(_REF_Industry_Wording!$H$2:$H$70,MATCH($CE503,_REF_Industry_Wording!$A$2:$A$70,0)),""))</f>
        <v>Vendor concentration</v>
      </c>
      <c r="CJ503">
        <f>IF($CE503="","",IFERROR(INDEX(_REF_Industry_Wording!$I$2:$I$70,MATCH($CE503,_REF_Industry_Wording!$A$2:$A$70,0)),""))</f>
        <v>0</v>
      </c>
      <c r="CK503" t="str">
        <f>IF($CE503="","",IFERROR(INDEX(_REF_Industry_Wording!$J$2:$J$70,MATCH($CE503,_REF_Industry_Wording!$A$2:$A$70,0)),""))</f>
        <v>Vendor concentration</v>
      </c>
      <c r="CL503" t="str">
        <f t="shared" si="51"/>
        <v>Wording by industry=0; capability=CAP_VENDOR_CONCENTRATION; risk label=Vendor concentration weakness</v>
      </c>
      <c r="CM503" t="str">
        <f t="shared" si="52"/>
        <v>RISK-ONT-0004</v>
      </c>
      <c r="CN503" t="str">
        <f t="shared" si="53"/>
        <v>RISK-EVT-0004</v>
      </c>
      <c r="CO503" t="str">
        <f t="shared" si="54"/>
        <v>Company Geography|Company profile|COMP-004|CAP_VENDOR_CONCENTRATION</v>
      </c>
      <c r="CP503" t="str">
        <f t="shared" si="55"/>
        <v>Active</v>
      </c>
      <c r="CQ503" t="str">
        <f t="shared" si="56"/>
        <v>OK: capability-driven</v>
      </c>
      <c r="CR503" t="str">
        <f t="shared" si="57"/>
        <v>Risk ontology uses capability=CAP_VENDOR_CONCENTRATION; bridge=BRG-008; treatment=TRT-VENDOR_CONCENTRATION-INITIAL; wording=IW-ALL-VENDOR_CONCENTRATION</v>
      </c>
      <c r="CS503" t="str">
        <f t="shared" si="58"/>
        <v>Yes</v>
      </c>
    </row>
    <row r="504" spans="1:97" ht="69.900000000000006" customHeight="1">
      <c r="A504">
        <f>IF(OR($B504&lt;&gt;"Yes",$BS504=""),"",SUMPRODUCT(($B$500:$B$923="Yes")*ISNUMBER($BS$500:$BS$923)*($BS$500:$BS$923&gt;$BS504))+COUNTIFS($B$500:$B504,"Yes",$BS$500:$BS504,$BS504))</f>
        <v>294</v>
      </c>
      <c r="B504" t="str">
        <f t="shared" si="21"/>
        <v>Yes</v>
      </c>
      <c r="C504" t="s">
        <v>815</v>
      </c>
      <c r="D504" t="s">
        <v>817</v>
      </c>
      <c r="E504" t="s">
        <v>853</v>
      </c>
      <c r="F504" t="s">
        <v>3679</v>
      </c>
      <c r="G504" t="str">
        <f>IF($H504="","",IFERROR(INDEX(_ENGINE_Risk!$H$5:$M$499,MATCH($E504,_ENGINE_Risk!$A$5:$A$499,0),$H504+1),""))</f>
        <v>Severe risk: critical assets: people, facilities, systems, data, equipment and intellectual property is not reliably controlled. During Geopolitical risk; Physical site loss; Regulatory/legal shock, the organization may face unclear exposure across entities, sites and markets, delayed strategic response and underestimated crisis impact with limited visibility or accountability.</v>
      </c>
      <c r="H504">
        <f>IFERROR(VALUE(INDEX(_DATA_Assessment_Model!$H$5:$H$884,MATCH($E504,_DATA_Assessment_Model!$A$5:$A$884,0))),"")</f>
        <v>0</v>
      </c>
      <c r="I504" t="str">
        <f>IF($H504="","",IFERROR(INDEX(_DATA_Assessment_Model!$L$5:$L$884,MATCH($E504,_DATA_Assessment_Model!$A$5:$A$884,0)),IF($H504&lt;=1,"Critical",IF($H504=2,"High",IF($H504=3,"Medium",IF($H504=4,"Low","Resilient"))))))</f>
        <v>Critical</v>
      </c>
      <c r="J504">
        <f t="shared" si="22"/>
        <v>3.6</v>
      </c>
      <c r="K504">
        <f t="shared" si="23"/>
        <v>4.5</v>
      </c>
      <c r="L504">
        <f t="shared" si="24"/>
        <v>16.2</v>
      </c>
      <c r="M504">
        <f t="shared" si="25"/>
        <v>4</v>
      </c>
      <c r="N504">
        <f>IF($H504="","",IFERROR(INDEX(_ENGINE_Risk!$T$5:$Y$499,MATCH($E504,_ENGINE_Risk!$A$5:$A$499,0),$H504+1),""))</f>
        <v>3</v>
      </c>
      <c r="O504">
        <f t="shared" si="26"/>
        <v>5</v>
      </c>
      <c r="P504">
        <f t="shared" si="27"/>
        <v>5</v>
      </c>
      <c r="Q504">
        <f t="shared" si="28"/>
        <v>5</v>
      </c>
      <c r="R504">
        <f t="shared" si="29"/>
        <v>5</v>
      </c>
      <c r="S504">
        <f t="shared" si="30"/>
        <v>1.67</v>
      </c>
      <c r="T504" t="str">
        <f>IF($H504="","",IFERROR(INDEX(_ENGINE_Risk!$N$5:$S$499,MATCH($E504,_ENGINE_Risk!$A$5:$A$499,0),$H504+1),""))</f>
        <v>Create an immediate risk owner, minimum control baseline and fallback procedure for critical assets: people, facilities, systems, data, equipment and intellectual property. Add it to the crisis risk register and collect first evidence.</v>
      </c>
      <c r="U504">
        <f>IFERROR(INDEX(_DATA_Assessment_Model!$G$5:$G$884,MATCH($E504,_DATA_Assessment_Model!$A$5:$A$884,0)),"")</f>
        <v>5</v>
      </c>
      <c r="V504">
        <f>IFERROR(INDEX(_DATA_Assessment_Model!$W$5:$W$884,MATCH($E504,_DATA_Assessment_Model!$A$5:$A$884,0)),"")</f>
        <v>5</v>
      </c>
      <c r="W504">
        <f>IFERROR(INDEX(_DATA_Assessment_Model!$X$5:$X$884,MATCH($E504,_DATA_Assessment_Model!$A$5:$A$884,0)),"")</f>
        <v>5</v>
      </c>
      <c r="X504">
        <f>IFERROR(INDEX(_DATA_Assessment_Model!$Y$5:$Y$884,MATCH($E504,_DATA_Assessment_Model!$A$5:$A$884,0)),"")</f>
        <v>5</v>
      </c>
      <c r="Y504" t="s">
        <v>828</v>
      </c>
      <c r="Z504" t="s">
        <v>4591</v>
      </c>
      <c r="AA504" t="s">
        <v>855</v>
      </c>
      <c r="AB504">
        <f>IFERROR(INDEX(_DATA_Assessment_Model!$U$5:$U$884,MATCH($E504,_DATA_Assessment_Model!$A$5:$A$884,0)),"")</f>
        <v>0</v>
      </c>
      <c r="AF504" t="s">
        <v>854</v>
      </c>
      <c r="AH504" t="s">
        <v>1859</v>
      </c>
      <c r="AI504">
        <f t="shared" si="31"/>
        <v>24</v>
      </c>
      <c r="AJ504">
        <f t="shared" si="32"/>
        <v>24</v>
      </c>
      <c r="AK504">
        <f t="shared" si="33"/>
        <v>15.8</v>
      </c>
      <c r="AL504">
        <f t="shared" si="34"/>
        <v>16.650000000000002</v>
      </c>
      <c r="AM504">
        <f t="shared" si="35"/>
        <v>1.59</v>
      </c>
      <c r="AN504">
        <f t="shared" si="36"/>
        <v>0</v>
      </c>
      <c r="AO504">
        <f>IF($B504="Yes",IF(IFERROR(INDEX(_ENGINE_Crisis!$F$501:$F$517,MATCH($C504,_ENGINE_Crisis!$A$501:$A$517,0)),1)=0,1,IFERROR(INDEX(_ENGINE_Crisis!$F$501:$F$517,MATCH($C504,_ENGINE_Crisis!$A$501:$A$517,0)),1)),"")</f>
        <v>1</v>
      </c>
      <c r="AP504">
        <f t="shared" si="37"/>
        <v>16.2</v>
      </c>
      <c r="AQ504">
        <f t="shared" si="38"/>
        <v>1.67</v>
      </c>
      <c r="AR504" t="str">
        <f>IFERROR(INDEX(_ENGINE_Crisis!$E$41:$E$700,MATCH('Resilience &amp; Risk Scenario'!$B$6&amp;"|"&amp;$C504,_ENGINE_Crisis!$I$41:$I$700,0)),"")</f>
        <v/>
      </c>
      <c r="AS504" t="str">
        <f>IFERROR(INDEX(_ENGINE_Crisis!$G$41:$G$700,MATCH('Resilience &amp; Risk Scenario'!$B$6&amp;"|"&amp;$C504,_ENGINE_Crisis!$I$41:$I$700,0)),"")</f>
        <v/>
      </c>
      <c r="AT504" t="str">
        <f>IFERROR(INDEX(_ENGINE_Initiatives!$A$5:$A$532,MATCH(1,INDEX((_ENGINE_Initiatives!$B$5:$B$532=$C504)*(_ENGINE_Initiatives!$C$5:$C$532=$D504),0),0)),"")</f>
        <v>INI-001</v>
      </c>
      <c r="AU504" t="str">
        <f>IFERROR(INDEX(_ENGINE_Initiatives!$F$5:$F$532,MATCH(1,INDEX((_ENGINE_Initiatives!$B$5:$B$532=$C504)*(_ENGINE_Initiatives!$C$5:$C$532=$D504),0),0)),"")</f>
        <v>Create company context, entity and operating model register</v>
      </c>
      <c r="AV504">
        <f>IFERROR(INDEX(_ENGINE_Initiatives!$AC$5:$AC$532,MATCH(1,INDEX((_ENGINE_Initiatives!$B$5:$B$532=$C504)*(_ENGINE_Initiatives!$C$5:$C$532=$D504),0),0)),"")</f>
        <v>2.59</v>
      </c>
      <c r="AW504" t="str">
        <f>IFERROR(INDEX(_ENGINE_Initiatives!$AE$5:$AE$532,MATCH(1,INDEX((_ENGINE_Initiatives!$B$5:$B$532=$C504)*(_ENGINE_Initiatives!$C$5:$C$532=$D504),0),0)),"")</f>
        <v>0-90 days</v>
      </c>
      <c r="AX504">
        <f>IF($B504="Yes",IFERROR((IF(SUMIFS(_REF_Model_Content!$E$1:$E$613,_REF_Model_Content!$A$1:$A$613,PV_Canonical_Industry,_REF_Model_Content!$B$1:$B$613,$C504)=0,1,SUMIFS(_REF_Model_Content!$E$1:$E$613,_REF_Model_Content!$A$1:$A$613,PV_Canonical_Industry,_REF_Model_Content!$B$1:$B$613,$C504))*IFERROR($BU504,1)),1),"")</f>
        <v>1</v>
      </c>
      <c r="AY504">
        <f t="shared" si="39"/>
        <v>16.2</v>
      </c>
      <c r="AZ504">
        <f t="shared" si="40"/>
        <v>1.67</v>
      </c>
      <c r="BB504" t="str">
        <f>IF($H504="","",IFERROR(INDEX(_ENGINE_Risk!$AE$5:$AE$499,MATCH($E504,_ENGINE_Risk!$A$5:$A$499,0)),"Medium"))</f>
        <v>Medium</v>
      </c>
      <c r="BC504">
        <f t="shared" si="41"/>
        <v>1</v>
      </c>
      <c r="BD504">
        <f t="shared" si="42"/>
        <v>1.67</v>
      </c>
      <c r="BF504">
        <f>IF(OR($H504="",$J504=""),"",IFERROR(VLOOKUP(ROUND($J504,0),_CONFIG_Model_Settings!$D$154:$E$158,2,0),""))</f>
        <v>0.5</v>
      </c>
      <c r="BG504">
        <f>IFERROR(IF(OR($H504="",$K504=""),"",ROUND('Company Profile'!$B$113*INDEX(_CONFIG_Model_Settings!$H$154:$H$158,MATCH(ROUND($K504,0),_CONFIG_Model_Settings!$G$154:$G$158,0)),0)),0)</f>
        <v>1875</v>
      </c>
      <c r="BH504">
        <f t="shared" si="43"/>
        <v>937.5</v>
      </c>
      <c r="BI504">
        <f t="shared" si="44"/>
        <v>937.5</v>
      </c>
      <c r="BJ504">
        <f>IF($E504="","",IFERROR(VLOOKUP($C504,_CONFIG_Risk_Calibration!$A$5:$H$21,2,FALSE),3))</f>
        <v>3</v>
      </c>
      <c r="BK504">
        <f>IF($E504="","",IFERROR(VLOOKUP($C504,_CONFIG_Risk_Calibration!$A$5:$H$21,3,FALSE),0))</f>
        <v>0</v>
      </c>
      <c r="BL504">
        <f>IF($E504="","",IFERROR(VLOOKUP($C504,_CONFIG_Risk_Calibration!$A$5:$H$21,4,FALSE),3))</f>
        <v>3</v>
      </c>
      <c r="BM504">
        <f>IF($E504="","",IFERROR(VLOOKUP($C504,_CONFIG_Risk_Calibration!$A$5:$H$21,5,FALSE),3))</f>
        <v>3</v>
      </c>
      <c r="BN504" t="str">
        <f>IF($E504="","",IFERROR(VLOOKUP($C504,_CONFIG_Risk_Calibration!$A$5:$H$21,6,FALSE),"No"))</f>
        <v>No</v>
      </c>
      <c r="BO504">
        <f>IF($E504="","",IFERROR(VLOOKUP($C504,_CONFIG_Risk_Calibration!$A$5:$H$21,7,FALSE),1))</f>
        <v>1</v>
      </c>
      <c r="BP504">
        <f>IF($H504="","",MAX(1,MIN(5,((6-$H504)*0.45)+($BJ504*0.2)+('Resilience &amp; Risk Scenario'!$B$7*0.15)+($BK504*0.1)+($BL504*0.05)+(IF($BB504="Fast",5,IF($BB504="Slow",1,3))*0.05))))</f>
        <v>3.6</v>
      </c>
      <c r="BQ504">
        <f t="shared" si="45"/>
        <v>4.5</v>
      </c>
      <c r="BR504">
        <f t="shared" si="46"/>
        <v>16.2</v>
      </c>
      <c r="BS504">
        <f t="shared" si="47"/>
        <v>16.2</v>
      </c>
      <c r="BT504" t="str">
        <f>IFERROR(INDEX(_REF_Capability_Bridge!$D:$D,MATCH($C504&amp;"|"&amp;$D504,_REF_Capability_Bridge!$J:$J,0)),IFERROR(INDEX(_REF_Capability_Bridge!$D:$D,MATCH($C504&amp;"|",_REF_Capability_Bridge!$J:$J,0)),"CAP_GENERIC"))</f>
        <v>CAP_VENDOR_CONCENTRATION</v>
      </c>
      <c r="BU504">
        <f>IFERROR(IFERROR(INDEX(_ENGINE_Relevance!$L:$L,MATCH($BT504,_ENGINE_Relevance!$B:$B,0)),1),1)</f>
        <v>1</v>
      </c>
      <c r="BV504" t="str">
        <f>IFERROR(INDEX(_REF_Capability_Bridge!$A:$A,MATCH($C504&amp;"|"&amp;$D504,_REF_Capability_Bridge!$J:$J,0)),IFERROR(INDEX(_REF_Capability_Bridge!$A:$A,MATCH($C504&amp;"|",_REF_Capability_Bridge!$J:$J,0)),"No bridge"))</f>
        <v>BRG-008</v>
      </c>
      <c r="BW504" t="str">
        <f t="shared" si="48"/>
        <v>Capability relevance neutral</v>
      </c>
      <c r="BX504" t="str">
        <f t="shared" si="49"/>
        <v>Initial / absent</v>
      </c>
      <c r="BY504" t="str">
        <f>IF($E504="","",IFERROR(INDEX(_REF_Treatment_Library!$A$2:$A$296,MATCH(1,INDEX((_REF_Treatment_Library!$B$2:$B$296=$BT504)*(_REF_Treatment_Library!$C$2:$C$296=PV_Canonical_Industry)*(_REF_Treatment_Library!$E$2:$E$296&lt;=N($H504))*(_REF_Treatment_Library!$F$2:$F$296&gt;=N($H504))*(_REF_Treatment_Library!$O$2:$O$296="Yes"),0),0)),IFERROR(INDEX(_REF_Treatment_Library!$A$2:$A$296,MATCH(1,INDEX((_REF_Treatment_Library!$B$2:$B$296=$BT504)*(_REF_Treatment_Library!$C$2:$C$296="All")*(_REF_Treatment_Library!$E$2:$E$296&lt;=N($H504))*(_REF_Treatment_Library!$F$2:$F$296&gt;=N($H504))*(_REF_Treatment_Library!$O$2:$O$296="Yes"),0),0)),"")))</f>
        <v>TRT-VENDOR_CONCENTRATION-INITIAL</v>
      </c>
      <c r="BZ504" t="str">
        <f>IF($BY504="","",IFERROR(INDEX(_REF_Treatment_Library!$H$2:$H$296,MATCH($BY504,_REF_Treatment_Library!$A$2:$A$296,0)),""))</f>
        <v>Establish</v>
      </c>
      <c r="CA504" t="str">
        <f>IF($BY504="","",IFERROR(INDEX(_REF_Treatment_Library!$I$2:$I$296,MATCH($BY504,_REF_Treatment_Library!$A$2:$A$296,0)),""))</f>
        <v>Establish baseline controls for Vendor concentration</v>
      </c>
      <c r="CB504" t="str">
        <f>IF($BY504="","",IFERROR(INDEX(_REF_Treatment_Library!$K$2:$K$296,MATCH($BY504,_REF_Treatment_Library!$A$2:$A$296,0)),""))</f>
        <v>Named owner, baseline process, minimum control checklist, first evidence package</v>
      </c>
      <c r="CC504" t="str">
        <f>IF($BY504="","",IFERROR(INDEX(_REF_Treatment_Library!$L$2:$L$296,MATCH($BY504,_REF_Treatment_Library!$A$2:$A$296,0)),""))</f>
        <v>Owner assigned; baseline evidence coverage; open critical gaps</v>
      </c>
      <c r="CD504" t="str">
        <f t="shared" si="50"/>
        <v>Treatment by capability=CAP_VENDOR_CONCENTRATION; band=Initial / absent; score=0.0; treatment=Establish</v>
      </c>
      <c r="CE504" t="str">
        <f>IF($E504="","",IFERROR(INDEX(_REF_Industry_Wording!$A$2:$A$70,MATCH(1,INDEX((_REF_Industry_Wording!$B$2:$B$70=$BT504)*(_REF_Industry_Wording!$C$2:$C$70=PV_Canonical_Industry)*(_REF_Industry_Wording!$K$2:$K$70="Yes"),0),0)),IFERROR(INDEX(_REF_Industry_Wording!$A$2:$A$70,MATCH(1,INDEX((_REF_Industry_Wording!$B$2:$B$70=$BT504)*(_REF_Industry_Wording!$C$2:$C$70="All")*(_REF_Industry_Wording!$K$2:$K$70="Yes"),0),0)),"")))</f>
        <v>IW-ALL-VENDOR_CONCENTRATION</v>
      </c>
      <c r="CF504" t="str">
        <f>IF($CE504="","",IFERROR(INDEX(_REF_Industry_Wording!$E$2:$E$70,MATCH($CE504,_REF_Industry_Wording!$A$2:$A$70,0)),""))</f>
        <v>Vendor concentration weakness</v>
      </c>
      <c r="CG504" t="str">
        <f>IF($CE504="","",IFERROR(INDEX(_REF_Industry_Wording!$F$2:$F$70,MATCH($CE504,_REF_Industry_Wording!$A$2:$A$70,0)),""))</f>
        <v>Strengthen Vendor concentration</v>
      </c>
      <c r="CH504" t="str">
        <f>IF($CE504="","",IFERROR(INDEX(_REF_Industry_Wording!$G$2:$G$70,MATCH($CE504,_REF_Industry_Wording!$A$2:$A$70,0)),""))</f>
        <v>Strengthen Vendor concentration using the selected maturity treatment, crisis scenario and evidence requirements.</v>
      </c>
      <c r="CI504" t="str">
        <f>IF($CE504="","",IFERROR(INDEX(_REF_Industry_Wording!$H$2:$H$70,MATCH($CE504,_REF_Industry_Wording!$A$2:$A$70,0)),""))</f>
        <v>Vendor concentration</v>
      </c>
      <c r="CJ504">
        <f>IF($CE504="","",IFERROR(INDEX(_REF_Industry_Wording!$I$2:$I$70,MATCH($CE504,_REF_Industry_Wording!$A$2:$A$70,0)),""))</f>
        <v>0</v>
      </c>
      <c r="CK504" t="str">
        <f>IF($CE504="","",IFERROR(INDEX(_REF_Industry_Wording!$J$2:$J$70,MATCH($CE504,_REF_Industry_Wording!$A$2:$A$70,0)),""))</f>
        <v>Vendor concentration</v>
      </c>
      <c r="CL504" t="str">
        <f t="shared" si="51"/>
        <v>Wording by industry=0; capability=CAP_VENDOR_CONCENTRATION; risk label=Vendor concentration weakness</v>
      </c>
      <c r="CM504" t="str">
        <f t="shared" si="52"/>
        <v>RISK-ONT-0005</v>
      </c>
      <c r="CN504" t="str">
        <f t="shared" si="53"/>
        <v>RISK-EVT-0005</v>
      </c>
      <c r="CO504" t="str">
        <f t="shared" si="54"/>
        <v>Company Geography|Company profile|COMP-005|CAP_VENDOR_CONCENTRATION</v>
      </c>
      <c r="CP504" t="str">
        <f t="shared" si="55"/>
        <v>Active</v>
      </c>
      <c r="CQ504" t="str">
        <f t="shared" si="56"/>
        <v>OK: capability-driven</v>
      </c>
      <c r="CR504" t="str">
        <f t="shared" si="57"/>
        <v>Risk ontology uses capability=CAP_VENDOR_CONCENTRATION; bridge=BRG-008; treatment=TRT-VENDOR_CONCENTRATION-INITIAL; wording=IW-ALL-VENDOR_CONCENTRATION</v>
      </c>
      <c r="CS504" t="str">
        <f t="shared" si="58"/>
        <v>Yes</v>
      </c>
    </row>
    <row r="505" spans="1:97" ht="69.900000000000006" customHeight="1">
      <c r="A505">
        <f>IF(OR($B505&lt;&gt;"Yes",$BS505=""),"",SUMPRODUCT(($B$500:$B$923="Yes")*ISNUMBER($BS$500:$BS$923)*($BS$500:$BS$923&gt;$BS505))+COUNTIFS($B$500:$B505,"Yes",$BS$500:$BS505,$BS505))</f>
        <v>334</v>
      </c>
      <c r="B505" t="str">
        <f t="shared" si="21"/>
        <v>Yes</v>
      </c>
      <c r="C505" t="s">
        <v>815</v>
      </c>
      <c r="D505" t="s">
        <v>817</v>
      </c>
      <c r="E505" t="s">
        <v>856</v>
      </c>
      <c r="F505" t="s">
        <v>3679</v>
      </c>
      <c r="G505" t="str">
        <f>IF($H505="","",IFERROR(INDEX(_ENGINE_Risk!$H$5:$M$499,MATCH($E505,_ENGINE_Risk!$A$5:$A$499,0),$H505+1),""))</f>
        <v>Severe risk: regulatory exposure by country, market, product and customer type is not reliably controlled. During Geopolitical risk; Physical site loss; Regulatory/legal shock, the organization may face unclear exposure across entities, sites and markets, delayed strategic response and underestimated crisis impact with limited visibility or accountability.</v>
      </c>
      <c r="H505">
        <f>IFERROR(VALUE(INDEX(_DATA_Assessment_Model!$H$5:$H$884,MATCH($E505,_DATA_Assessment_Model!$A$5:$A$884,0))),"")</f>
        <v>0</v>
      </c>
      <c r="I505" t="str">
        <f>IF($H505="","",IFERROR(INDEX(_DATA_Assessment_Model!$L$5:$L$884,MATCH($E505,_DATA_Assessment_Model!$A$5:$A$884,0)),IF($H505&lt;=1,"Critical",IF($H505=2,"High",IF($H505=3,"Medium",IF($H505=4,"Low","Resilient"))))))</f>
        <v>Critical</v>
      </c>
      <c r="J505">
        <f t="shared" si="22"/>
        <v>3.6</v>
      </c>
      <c r="K505">
        <f t="shared" si="23"/>
        <v>4.1500000000000004</v>
      </c>
      <c r="L505">
        <f t="shared" si="24"/>
        <v>14.940000000000001</v>
      </c>
      <c r="M505">
        <f t="shared" si="25"/>
        <v>3</v>
      </c>
      <c r="N505">
        <f>IF($H505="","",IFERROR(INDEX(_ENGINE_Risk!$T$5:$Y$499,MATCH($E505,_ENGINE_Risk!$A$5:$A$499,0),$H505+1),""))</f>
        <v>3</v>
      </c>
      <c r="O505">
        <f t="shared" si="26"/>
        <v>4.333333333333333</v>
      </c>
      <c r="P505">
        <f t="shared" si="27"/>
        <v>5</v>
      </c>
      <c r="Q505">
        <f t="shared" si="28"/>
        <v>5</v>
      </c>
      <c r="R505">
        <f t="shared" si="29"/>
        <v>4.5</v>
      </c>
      <c r="S505">
        <f t="shared" si="30"/>
        <v>1.57</v>
      </c>
      <c r="T505" t="str">
        <f>IF($H505="","",IFERROR(INDEX(_ENGINE_Risk!$N$5:$S$499,MATCH($E505,_ENGINE_Risk!$A$5:$A$499,0),$H505+1),""))</f>
        <v>Create an immediate risk owner, minimum control baseline and fallback procedure for regulatory exposure by country, market, product and customer type. Add it to the crisis risk register and collect first evidence.</v>
      </c>
      <c r="U505">
        <f>IFERROR(INDEX(_DATA_Assessment_Model!$G$5:$G$884,MATCH($E505,_DATA_Assessment_Model!$A$5:$A$884,0)),"")</f>
        <v>4</v>
      </c>
      <c r="V505">
        <f>IFERROR(INDEX(_DATA_Assessment_Model!$W$5:$W$884,MATCH($E505,_DATA_Assessment_Model!$A$5:$A$884,0)),"")</f>
        <v>4</v>
      </c>
      <c r="W505">
        <f>IFERROR(INDEX(_DATA_Assessment_Model!$X$5:$X$884,MATCH($E505,_DATA_Assessment_Model!$A$5:$A$884,0)),"")</f>
        <v>5</v>
      </c>
      <c r="X505">
        <f>IFERROR(INDEX(_DATA_Assessment_Model!$Y$5:$Y$884,MATCH($E505,_DATA_Assessment_Model!$A$5:$A$884,0)),"")</f>
        <v>5</v>
      </c>
      <c r="Y505" t="s">
        <v>828</v>
      </c>
      <c r="Z505" t="s">
        <v>4591</v>
      </c>
      <c r="AA505" t="s">
        <v>858</v>
      </c>
      <c r="AB505">
        <f>IFERROR(INDEX(_DATA_Assessment_Model!$U$5:$U$884,MATCH($E505,_DATA_Assessment_Model!$A$5:$A$884,0)),"")</f>
        <v>0</v>
      </c>
      <c r="AF505" t="s">
        <v>857</v>
      </c>
      <c r="AH505" t="s">
        <v>1987</v>
      </c>
      <c r="AI505">
        <f t="shared" si="31"/>
        <v>29</v>
      </c>
      <c r="AJ505">
        <f t="shared" si="32"/>
        <v>29</v>
      </c>
      <c r="AK505">
        <f t="shared" si="33"/>
        <v>16.100000000000001</v>
      </c>
      <c r="AL505">
        <f t="shared" si="34"/>
        <v>17.204999999999998</v>
      </c>
      <c r="AM505">
        <f t="shared" si="35"/>
        <v>1.23</v>
      </c>
      <c r="AN505">
        <f t="shared" si="36"/>
        <v>0</v>
      </c>
      <c r="AO505">
        <f>IF($B505="Yes",IF(IFERROR(INDEX(_ENGINE_Crisis!$F$501:$F$517,MATCH($C505,_ENGINE_Crisis!$A$501:$A$517,0)),1)=0,1,IFERROR(INDEX(_ENGINE_Crisis!$F$501:$F$517,MATCH($C505,_ENGINE_Crisis!$A$501:$A$517,0)),1)),"")</f>
        <v>1</v>
      </c>
      <c r="AP505">
        <f t="shared" si="37"/>
        <v>14.9</v>
      </c>
      <c r="AQ505">
        <f t="shared" si="38"/>
        <v>1.57</v>
      </c>
      <c r="AR505" t="str">
        <f>IFERROR(INDEX(_ENGINE_Crisis!$E$41:$E$700,MATCH('Resilience &amp; Risk Scenario'!$B$6&amp;"|"&amp;$C505,_ENGINE_Crisis!$I$41:$I$700,0)),"")</f>
        <v/>
      </c>
      <c r="AS505" t="str">
        <f>IFERROR(INDEX(_ENGINE_Crisis!$G$41:$G$700,MATCH('Resilience &amp; Risk Scenario'!$B$6&amp;"|"&amp;$C505,_ENGINE_Crisis!$I$41:$I$700,0)),"")</f>
        <v/>
      </c>
      <c r="AT505" t="str">
        <f>IFERROR(INDEX(_ENGINE_Initiatives!$A$5:$A$532,MATCH(1,INDEX((_ENGINE_Initiatives!$B$5:$B$532=$C505)*(_ENGINE_Initiatives!$C$5:$C$532=$D505),0),0)),"")</f>
        <v>INI-001</v>
      </c>
      <c r="AU505" t="str">
        <f>IFERROR(INDEX(_ENGINE_Initiatives!$F$5:$F$532,MATCH(1,INDEX((_ENGINE_Initiatives!$B$5:$B$532=$C505)*(_ENGINE_Initiatives!$C$5:$C$532=$D505),0),0)),"")</f>
        <v>Create company context, entity and operating model register</v>
      </c>
      <c r="AV505">
        <f>IFERROR(INDEX(_ENGINE_Initiatives!$AC$5:$AC$532,MATCH(1,INDEX((_ENGINE_Initiatives!$B$5:$B$532=$C505)*(_ENGINE_Initiatives!$C$5:$C$532=$D505),0),0)),"")</f>
        <v>2.59</v>
      </c>
      <c r="AW505" t="str">
        <f>IFERROR(INDEX(_ENGINE_Initiatives!$AE$5:$AE$532,MATCH(1,INDEX((_ENGINE_Initiatives!$B$5:$B$532=$C505)*(_ENGINE_Initiatives!$C$5:$C$532=$D505),0),0)),"")</f>
        <v>0-90 days</v>
      </c>
      <c r="AX505">
        <f>IF($B505="Yes",IFERROR((IF(SUMIFS(_REF_Model_Content!$E$1:$E$613,_REF_Model_Content!$A$1:$A$613,PV_Canonical_Industry,_REF_Model_Content!$B$1:$B$613,$C505)=0,1,SUMIFS(_REF_Model_Content!$E$1:$E$613,_REF_Model_Content!$A$1:$A$613,PV_Canonical_Industry,_REF_Model_Content!$B$1:$B$613,$C505))*IFERROR($BU505,1)),1),"")</f>
        <v>1</v>
      </c>
      <c r="AY505">
        <f t="shared" si="39"/>
        <v>14.9</v>
      </c>
      <c r="AZ505">
        <f t="shared" si="40"/>
        <v>1.57</v>
      </c>
      <c r="BB505" t="str">
        <f>IF($H505="","",IFERROR(INDEX(_ENGINE_Risk!$AE$5:$AE$499,MATCH($E505,_ENGINE_Risk!$A$5:$A$499,0)),"Medium"))</f>
        <v>Medium</v>
      </c>
      <c r="BC505">
        <f t="shared" si="41"/>
        <v>1</v>
      </c>
      <c r="BD505">
        <f t="shared" si="42"/>
        <v>1.57</v>
      </c>
      <c r="BF505">
        <f>IF(OR($H505="",$J505=""),"",IFERROR(VLOOKUP(ROUND($J505,0),_CONFIG_Model_Settings!$D$154:$E$158,2,0),""))</f>
        <v>0.5</v>
      </c>
      <c r="BG505">
        <f>IFERROR(IF(OR($H505="",$K505=""),"",ROUND('Company Profile'!$B$113*INDEX(_CONFIG_Model_Settings!$H$154:$H$158,MATCH(ROUND($K505,0),_CONFIG_Model_Settings!$G$154:$G$158,0)),0)),0)</f>
        <v>875</v>
      </c>
      <c r="BH505">
        <f t="shared" si="43"/>
        <v>437.5</v>
      </c>
      <c r="BI505">
        <f t="shared" si="44"/>
        <v>437.5</v>
      </c>
      <c r="BJ505">
        <f>IF($E505="","",IFERROR(VLOOKUP($C505,_CONFIG_Risk_Calibration!$A$5:$H$21,2,FALSE),3))</f>
        <v>3</v>
      </c>
      <c r="BK505">
        <f>IF($E505="","",IFERROR(VLOOKUP($C505,_CONFIG_Risk_Calibration!$A$5:$H$21,3,FALSE),0))</f>
        <v>0</v>
      </c>
      <c r="BL505">
        <f>IF($E505="","",IFERROR(VLOOKUP($C505,_CONFIG_Risk_Calibration!$A$5:$H$21,4,FALSE),3))</f>
        <v>3</v>
      </c>
      <c r="BM505">
        <f>IF($E505="","",IFERROR(VLOOKUP($C505,_CONFIG_Risk_Calibration!$A$5:$H$21,5,FALSE),3))</f>
        <v>3</v>
      </c>
      <c r="BN505" t="str">
        <f>IF($E505="","",IFERROR(VLOOKUP($C505,_CONFIG_Risk_Calibration!$A$5:$H$21,6,FALSE),"No"))</f>
        <v>No</v>
      </c>
      <c r="BO505">
        <f>IF($E505="","",IFERROR(VLOOKUP($C505,_CONFIG_Risk_Calibration!$A$5:$H$21,7,FALSE),1))</f>
        <v>1</v>
      </c>
      <c r="BP505">
        <f>IF($H505="","",MAX(1,MIN(5,((6-$H505)*0.45)+($BJ505*0.2)+('Resilience &amp; Risk Scenario'!$B$7*0.15)+($BK505*0.1)+($BL505*0.05)+(IF($BB505="Fast",5,IF($BB505="Slow",1,3))*0.05))))</f>
        <v>3.6</v>
      </c>
      <c r="BQ505">
        <f t="shared" si="45"/>
        <v>4.1500000000000004</v>
      </c>
      <c r="BR505">
        <f t="shared" si="46"/>
        <v>14.94</v>
      </c>
      <c r="BS505">
        <f t="shared" si="47"/>
        <v>14.94</v>
      </c>
      <c r="BT505" t="str">
        <f>IFERROR(INDEX(_REF_Capability_Bridge!$D:$D,MATCH($C505&amp;"|"&amp;$D505,_REF_Capability_Bridge!$J:$J,0)),IFERROR(INDEX(_REF_Capability_Bridge!$D:$D,MATCH($C505&amp;"|",_REF_Capability_Bridge!$J:$J,0)),"CAP_GENERIC"))</f>
        <v>CAP_VENDOR_CONCENTRATION</v>
      </c>
      <c r="BU505">
        <f>IFERROR(IFERROR(INDEX(_ENGINE_Relevance!$L:$L,MATCH($BT505,_ENGINE_Relevance!$B:$B,0)),1),1)</f>
        <v>1</v>
      </c>
      <c r="BV505" t="str">
        <f>IFERROR(INDEX(_REF_Capability_Bridge!$A:$A,MATCH($C505&amp;"|"&amp;$D505,_REF_Capability_Bridge!$J:$J,0)),IFERROR(INDEX(_REF_Capability_Bridge!$A:$A,MATCH($C505&amp;"|",_REF_Capability_Bridge!$J:$J,0)),"No bridge"))</f>
        <v>BRG-008</v>
      </c>
      <c r="BW505" t="str">
        <f t="shared" si="48"/>
        <v>Capability relevance neutral</v>
      </c>
      <c r="BX505" t="str">
        <f t="shared" si="49"/>
        <v>Initial / absent</v>
      </c>
      <c r="BY505" t="str">
        <f>IF($E505="","",IFERROR(INDEX(_REF_Treatment_Library!$A$2:$A$296,MATCH(1,INDEX((_REF_Treatment_Library!$B$2:$B$296=$BT505)*(_REF_Treatment_Library!$C$2:$C$296=PV_Canonical_Industry)*(_REF_Treatment_Library!$E$2:$E$296&lt;=N($H505))*(_REF_Treatment_Library!$F$2:$F$296&gt;=N($H505))*(_REF_Treatment_Library!$O$2:$O$296="Yes"),0),0)),IFERROR(INDEX(_REF_Treatment_Library!$A$2:$A$296,MATCH(1,INDEX((_REF_Treatment_Library!$B$2:$B$296=$BT505)*(_REF_Treatment_Library!$C$2:$C$296="All")*(_REF_Treatment_Library!$E$2:$E$296&lt;=N($H505))*(_REF_Treatment_Library!$F$2:$F$296&gt;=N($H505))*(_REF_Treatment_Library!$O$2:$O$296="Yes"),0),0)),"")))</f>
        <v>TRT-VENDOR_CONCENTRATION-INITIAL</v>
      </c>
      <c r="BZ505" t="str">
        <f>IF($BY505="","",IFERROR(INDEX(_REF_Treatment_Library!$H$2:$H$296,MATCH($BY505,_REF_Treatment_Library!$A$2:$A$296,0)),""))</f>
        <v>Establish</v>
      </c>
      <c r="CA505" t="str">
        <f>IF($BY505="","",IFERROR(INDEX(_REF_Treatment_Library!$I$2:$I$296,MATCH($BY505,_REF_Treatment_Library!$A$2:$A$296,0)),""))</f>
        <v>Establish baseline controls for Vendor concentration</v>
      </c>
      <c r="CB505" t="str">
        <f>IF($BY505="","",IFERROR(INDEX(_REF_Treatment_Library!$K$2:$K$296,MATCH($BY505,_REF_Treatment_Library!$A$2:$A$296,0)),""))</f>
        <v>Named owner, baseline process, minimum control checklist, first evidence package</v>
      </c>
      <c r="CC505" t="str">
        <f>IF($BY505="","",IFERROR(INDEX(_REF_Treatment_Library!$L$2:$L$296,MATCH($BY505,_REF_Treatment_Library!$A$2:$A$296,0)),""))</f>
        <v>Owner assigned; baseline evidence coverage; open critical gaps</v>
      </c>
      <c r="CD505" t="str">
        <f t="shared" si="50"/>
        <v>Treatment by capability=CAP_VENDOR_CONCENTRATION; band=Initial / absent; score=0.0; treatment=Establish</v>
      </c>
      <c r="CE505" t="str">
        <f>IF($E505="","",IFERROR(INDEX(_REF_Industry_Wording!$A$2:$A$70,MATCH(1,INDEX((_REF_Industry_Wording!$B$2:$B$70=$BT505)*(_REF_Industry_Wording!$C$2:$C$70=PV_Canonical_Industry)*(_REF_Industry_Wording!$K$2:$K$70="Yes"),0),0)),IFERROR(INDEX(_REF_Industry_Wording!$A$2:$A$70,MATCH(1,INDEX((_REF_Industry_Wording!$B$2:$B$70=$BT505)*(_REF_Industry_Wording!$C$2:$C$70="All")*(_REF_Industry_Wording!$K$2:$K$70="Yes"),0),0)),"")))</f>
        <v>IW-ALL-VENDOR_CONCENTRATION</v>
      </c>
      <c r="CF505" t="str">
        <f>IF($CE505="","",IFERROR(INDEX(_REF_Industry_Wording!$E$2:$E$70,MATCH($CE505,_REF_Industry_Wording!$A$2:$A$70,0)),""))</f>
        <v>Vendor concentration weakness</v>
      </c>
      <c r="CG505" t="str">
        <f>IF($CE505="","",IFERROR(INDEX(_REF_Industry_Wording!$F$2:$F$70,MATCH($CE505,_REF_Industry_Wording!$A$2:$A$70,0)),""))</f>
        <v>Strengthen Vendor concentration</v>
      </c>
      <c r="CH505" t="str">
        <f>IF($CE505="","",IFERROR(INDEX(_REF_Industry_Wording!$G$2:$G$70,MATCH($CE505,_REF_Industry_Wording!$A$2:$A$70,0)),""))</f>
        <v>Strengthen Vendor concentration using the selected maturity treatment, crisis scenario and evidence requirements.</v>
      </c>
      <c r="CI505" t="str">
        <f>IF($CE505="","",IFERROR(INDEX(_REF_Industry_Wording!$H$2:$H$70,MATCH($CE505,_REF_Industry_Wording!$A$2:$A$70,0)),""))</f>
        <v>Vendor concentration</v>
      </c>
      <c r="CJ505">
        <f>IF($CE505="","",IFERROR(INDEX(_REF_Industry_Wording!$I$2:$I$70,MATCH($CE505,_REF_Industry_Wording!$A$2:$A$70,0)),""))</f>
        <v>0</v>
      </c>
      <c r="CK505" t="str">
        <f>IF($CE505="","",IFERROR(INDEX(_REF_Industry_Wording!$J$2:$J$70,MATCH($CE505,_REF_Industry_Wording!$A$2:$A$70,0)),""))</f>
        <v>Vendor concentration</v>
      </c>
      <c r="CL505" t="str">
        <f t="shared" si="51"/>
        <v>Wording by industry=0; capability=CAP_VENDOR_CONCENTRATION; risk label=Vendor concentration weakness</v>
      </c>
      <c r="CM505" t="str">
        <f t="shared" si="52"/>
        <v>RISK-ONT-0006</v>
      </c>
      <c r="CN505" t="str">
        <f t="shared" si="53"/>
        <v>RISK-EVT-0006</v>
      </c>
      <c r="CO505" t="str">
        <f t="shared" si="54"/>
        <v>Company Geography|Company profile|COMP-006|CAP_VENDOR_CONCENTRATION</v>
      </c>
      <c r="CP505" t="str">
        <f t="shared" si="55"/>
        <v>Active</v>
      </c>
      <c r="CQ505" t="str">
        <f t="shared" si="56"/>
        <v>OK: capability-driven</v>
      </c>
      <c r="CR505" t="str">
        <f t="shared" si="57"/>
        <v>Risk ontology uses capability=CAP_VENDOR_CONCENTRATION; bridge=BRG-008; treatment=TRT-VENDOR_CONCENTRATION-INITIAL; wording=IW-ALL-VENDOR_CONCENTRATION</v>
      </c>
      <c r="CS505" t="str">
        <f t="shared" si="58"/>
        <v>Yes</v>
      </c>
    </row>
    <row r="506" spans="1:97" ht="69.900000000000006" customHeight="1">
      <c r="A506">
        <f>IF(OR($B506&lt;&gt;"Yes",$BS506=""),"",SUMPRODUCT(($B$500:$B$923="Yes")*ISNUMBER($BS$500:$BS$923)*($BS$500:$BS$923&gt;$BS506))+COUNTIFS($B$500:$B506,"Yes",$BS$500:$BS506,$BS506))</f>
        <v>295</v>
      </c>
      <c r="B506" t="str">
        <f t="shared" si="21"/>
        <v>Yes</v>
      </c>
      <c r="C506" t="s">
        <v>815</v>
      </c>
      <c r="D506" t="s">
        <v>817</v>
      </c>
      <c r="E506" t="s">
        <v>865</v>
      </c>
      <c r="F506" t="s">
        <v>3679</v>
      </c>
      <c r="G506" t="str">
        <f>IF($H506="","",IFERROR(INDEX(_ENGINE_Risk!$H$5:$M$499,MATCH($E506,_ENGINE_Risk!$A$5:$A$499,0),$H506+1),""))</f>
        <v>Severe risk: insurance coverage for business interruption, cyber, liability, property and key assets is not reliably controlled. During Geopolitical risk; Physical site loss; Regulatory/legal shock, the organization may face unclear exposure across entities, sites and markets, delayed strategic response and underestimated crisis impact with limited visibility or accountability.</v>
      </c>
      <c r="H506">
        <f>IFERROR(VALUE(INDEX(_DATA_Assessment_Model!$H$5:$H$884,MATCH($E506,_DATA_Assessment_Model!$A$5:$A$884,0))),"")</f>
        <v>0</v>
      </c>
      <c r="I506" t="str">
        <f>IF($H506="","",IFERROR(INDEX(_DATA_Assessment_Model!$L$5:$L$884,MATCH($E506,_DATA_Assessment_Model!$A$5:$A$884,0)),IF($H506&lt;=1,"Critical",IF($H506=2,"High",IF($H506=3,"Medium",IF($H506=4,"Low","Resilient"))))))</f>
        <v>Critical</v>
      </c>
      <c r="J506">
        <f t="shared" si="22"/>
        <v>3.6</v>
      </c>
      <c r="K506">
        <f t="shared" si="23"/>
        <v>4.5</v>
      </c>
      <c r="L506">
        <f t="shared" si="24"/>
        <v>16.2</v>
      </c>
      <c r="M506">
        <f t="shared" si="25"/>
        <v>4</v>
      </c>
      <c r="N506">
        <f>IF($H506="","",IFERROR(INDEX(_ENGINE_Risk!$T$5:$Y$499,MATCH($E506,_ENGINE_Risk!$A$5:$A$499,0),$H506+1),""))</f>
        <v>3</v>
      </c>
      <c r="O506">
        <f t="shared" si="26"/>
        <v>5</v>
      </c>
      <c r="P506">
        <f t="shared" si="27"/>
        <v>5</v>
      </c>
      <c r="Q506">
        <f t="shared" si="28"/>
        <v>5</v>
      </c>
      <c r="R506">
        <f t="shared" si="29"/>
        <v>5</v>
      </c>
      <c r="S506">
        <f t="shared" si="30"/>
        <v>1.67</v>
      </c>
      <c r="T506" t="str">
        <f>IF($H506="","",IFERROR(INDEX(_ENGINE_Risk!$N$5:$S$499,MATCH($E506,_ENGINE_Risk!$A$5:$A$499,0),$H506+1),""))</f>
        <v>Create an immediate risk owner, minimum control baseline and fallback procedure for insurance coverage for business interruption, cyber, liability, property and key assets. Add it to the crisis risk register and collect first evidence.</v>
      </c>
      <c r="U506">
        <f>IFERROR(INDEX(_DATA_Assessment_Model!$G$5:$G$884,MATCH($E506,_DATA_Assessment_Model!$A$5:$A$884,0)),"")</f>
        <v>5</v>
      </c>
      <c r="V506">
        <f>IFERROR(INDEX(_DATA_Assessment_Model!$W$5:$W$884,MATCH($E506,_DATA_Assessment_Model!$A$5:$A$884,0)),"")</f>
        <v>5</v>
      </c>
      <c r="W506">
        <f>IFERROR(INDEX(_DATA_Assessment_Model!$X$5:$X$884,MATCH($E506,_DATA_Assessment_Model!$A$5:$A$884,0)),"")</f>
        <v>5</v>
      </c>
      <c r="X506">
        <f>IFERROR(INDEX(_DATA_Assessment_Model!$Y$5:$Y$884,MATCH($E506,_DATA_Assessment_Model!$A$5:$A$884,0)),"")</f>
        <v>5</v>
      </c>
      <c r="Y506" t="s">
        <v>828</v>
      </c>
      <c r="Z506" t="s">
        <v>4591</v>
      </c>
      <c r="AA506" t="s">
        <v>867</v>
      </c>
      <c r="AB506">
        <f>IFERROR(INDEX(_DATA_Assessment_Model!$U$5:$U$884,MATCH($E506,_DATA_Assessment_Model!$A$5:$A$884,0)),"")</f>
        <v>0</v>
      </c>
      <c r="AF506" t="s">
        <v>866</v>
      </c>
      <c r="AH506" t="s">
        <v>2145</v>
      </c>
      <c r="AI506">
        <f t="shared" si="31"/>
        <v>28</v>
      </c>
      <c r="AJ506">
        <f t="shared" si="32"/>
        <v>28</v>
      </c>
      <c r="AK506">
        <f t="shared" si="33"/>
        <v>16.899999999999999</v>
      </c>
      <c r="AL506">
        <f t="shared" si="34"/>
        <v>17.204999999999998</v>
      </c>
      <c r="AM506">
        <f t="shared" si="35"/>
        <v>1.24</v>
      </c>
      <c r="AN506">
        <f t="shared" si="36"/>
        <v>0</v>
      </c>
      <c r="AO506">
        <f>IF($B506="Yes",IF(IFERROR(INDEX(_ENGINE_Crisis!$F$501:$F$517,MATCH($C506,_ENGINE_Crisis!$A$501:$A$517,0)),1)=0,1,IFERROR(INDEX(_ENGINE_Crisis!$F$501:$F$517,MATCH($C506,_ENGINE_Crisis!$A$501:$A$517,0)),1)),"")</f>
        <v>1</v>
      </c>
      <c r="AP506">
        <f t="shared" si="37"/>
        <v>16.2</v>
      </c>
      <c r="AQ506">
        <f t="shared" si="38"/>
        <v>1.67</v>
      </c>
      <c r="AR506" t="str">
        <f>IFERROR(INDEX(_ENGINE_Crisis!$E$41:$E$700,MATCH('Resilience &amp; Risk Scenario'!$B$6&amp;"|"&amp;$C506,_ENGINE_Crisis!$I$41:$I$700,0)),"")</f>
        <v/>
      </c>
      <c r="AS506" t="str">
        <f>IFERROR(INDEX(_ENGINE_Crisis!$G$41:$G$700,MATCH('Resilience &amp; Risk Scenario'!$B$6&amp;"|"&amp;$C506,_ENGINE_Crisis!$I$41:$I$700,0)),"")</f>
        <v/>
      </c>
      <c r="AT506" t="str">
        <f>IFERROR(INDEX(_ENGINE_Initiatives!$A$5:$A$532,MATCH(1,INDEX((_ENGINE_Initiatives!$B$5:$B$532=$C506)*(_ENGINE_Initiatives!$C$5:$C$532=$D506),0),0)),"")</f>
        <v>INI-001</v>
      </c>
      <c r="AU506" t="str">
        <f>IFERROR(INDEX(_ENGINE_Initiatives!$F$5:$F$532,MATCH(1,INDEX((_ENGINE_Initiatives!$B$5:$B$532=$C506)*(_ENGINE_Initiatives!$C$5:$C$532=$D506),0),0)),"")</f>
        <v>Create company context, entity and operating model register</v>
      </c>
      <c r="AV506">
        <f>IFERROR(INDEX(_ENGINE_Initiatives!$AC$5:$AC$532,MATCH(1,INDEX((_ENGINE_Initiatives!$B$5:$B$532=$C506)*(_ENGINE_Initiatives!$C$5:$C$532=$D506),0),0)),"")</f>
        <v>2.59</v>
      </c>
      <c r="AW506" t="str">
        <f>IFERROR(INDEX(_ENGINE_Initiatives!$AE$5:$AE$532,MATCH(1,INDEX((_ENGINE_Initiatives!$B$5:$B$532=$C506)*(_ENGINE_Initiatives!$C$5:$C$532=$D506),0),0)),"")</f>
        <v>0-90 days</v>
      </c>
      <c r="AX506">
        <f>IF($B506="Yes",IFERROR((IF(SUMIFS(_REF_Model_Content!$E$1:$E$613,_REF_Model_Content!$A$1:$A$613,PV_Canonical_Industry,_REF_Model_Content!$B$1:$B$613,$C506)=0,1,SUMIFS(_REF_Model_Content!$E$1:$E$613,_REF_Model_Content!$A$1:$A$613,PV_Canonical_Industry,_REF_Model_Content!$B$1:$B$613,$C506))*IFERROR($BU506,1)),1),"")</f>
        <v>1</v>
      </c>
      <c r="AY506">
        <f t="shared" si="39"/>
        <v>16.2</v>
      </c>
      <c r="AZ506">
        <f t="shared" si="40"/>
        <v>1.67</v>
      </c>
      <c r="BB506" t="str">
        <f>IF($H506="","",IFERROR(INDEX(_ENGINE_Risk!$AE$5:$AE$499,MATCH($E506,_ENGINE_Risk!$A$5:$A$499,0)),"Medium"))</f>
        <v>Medium</v>
      </c>
      <c r="BC506">
        <f t="shared" si="41"/>
        <v>1</v>
      </c>
      <c r="BD506">
        <f t="shared" si="42"/>
        <v>1.67</v>
      </c>
      <c r="BF506">
        <f>IF(OR($H506="",$J506=""),"",IFERROR(VLOOKUP(ROUND($J506,0),_CONFIG_Model_Settings!$D$154:$E$158,2,0),""))</f>
        <v>0.5</v>
      </c>
      <c r="BG506">
        <f>IFERROR(IF(OR($H506="",$K506=""),"",ROUND('Company Profile'!$B$113*INDEX(_CONFIG_Model_Settings!$H$154:$H$158,MATCH(ROUND($K506,0),_CONFIG_Model_Settings!$G$154:$G$158,0)),0)),0)</f>
        <v>1875</v>
      </c>
      <c r="BH506">
        <f t="shared" si="43"/>
        <v>937.5</v>
      </c>
      <c r="BI506">
        <f t="shared" si="44"/>
        <v>937.5</v>
      </c>
      <c r="BJ506">
        <f>IF($E506="","",IFERROR(VLOOKUP($C506,_CONFIG_Risk_Calibration!$A$5:$H$21,2,FALSE),3))</f>
        <v>3</v>
      </c>
      <c r="BK506">
        <f>IF($E506="","",IFERROR(VLOOKUP($C506,_CONFIG_Risk_Calibration!$A$5:$H$21,3,FALSE),0))</f>
        <v>0</v>
      </c>
      <c r="BL506">
        <f>IF($E506="","",IFERROR(VLOOKUP($C506,_CONFIG_Risk_Calibration!$A$5:$H$21,4,FALSE),3))</f>
        <v>3</v>
      </c>
      <c r="BM506">
        <f>IF($E506="","",IFERROR(VLOOKUP($C506,_CONFIG_Risk_Calibration!$A$5:$H$21,5,FALSE),3))</f>
        <v>3</v>
      </c>
      <c r="BN506" t="str">
        <f>IF($E506="","",IFERROR(VLOOKUP($C506,_CONFIG_Risk_Calibration!$A$5:$H$21,6,FALSE),"No"))</f>
        <v>No</v>
      </c>
      <c r="BO506">
        <f>IF($E506="","",IFERROR(VLOOKUP($C506,_CONFIG_Risk_Calibration!$A$5:$H$21,7,FALSE),1))</f>
        <v>1</v>
      </c>
      <c r="BP506">
        <f>IF($H506="","",MAX(1,MIN(5,((6-$H506)*0.45)+($BJ506*0.2)+('Resilience &amp; Risk Scenario'!$B$7*0.15)+($BK506*0.1)+($BL506*0.05)+(IF($BB506="Fast",5,IF($BB506="Slow",1,3))*0.05))))</f>
        <v>3.6</v>
      </c>
      <c r="BQ506">
        <f t="shared" si="45"/>
        <v>4.5</v>
      </c>
      <c r="BR506">
        <f t="shared" si="46"/>
        <v>16.2</v>
      </c>
      <c r="BS506">
        <f t="shared" si="47"/>
        <v>16.2</v>
      </c>
      <c r="BT506" t="str">
        <f>IFERROR(INDEX(_REF_Capability_Bridge!$D:$D,MATCH($C506&amp;"|"&amp;$D506,_REF_Capability_Bridge!$J:$J,0)),IFERROR(INDEX(_REF_Capability_Bridge!$D:$D,MATCH($C506&amp;"|",_REF_Capability_Bridge!$J:$J,0)),"CAP_GENERIC"))</f>
        <v>CAP_VENDOR_CONCENTRATION</v>
      </c>
      <c r="BU506">
        <f>IFERROR(IFERROR(INDEX(_ENGINE_Relevance!$L:$L,MATCH($BT506,_ENGINE_Relevance!$B:$B,0)),1),1)</f>
        <v>1</v>
      </c>
      <c r="BV506" t="str">
        <f>IFERROR(INDEX(_REF_Capability_Bridge!$A:$A,MATCH($C506&amp;"|"&amp;$D506,_REF_Capability_Bridge!$J:$J,0)),IFERROR(INDEX(_REF_Capability_Bridge!$A:$A,MATCH($C506&amp;"|",_REF_Capability_Bridge!$J:$J,0)),"No bridge"))</f>
        <v>BRG-008</v>
      </c>
      <c r="BW506" t="str">
        <f t="shared" si="48"/>
        <v>Capability relevance neutral</v>
      </c>
      <c r="BX506" t="str">
        <f t="shared" si="49"/>
        <v>Initial / absent</v>
      </c>
      <c r="BY506" t="str">
        <f>IF($E506="","",IFERROR(INDEX(_REF_Treatment_Library!$A$2:$A$296,MATCH(1,INDEX((_REF_Treatment_Library!$B$2:$B$296=$BT506)*(_REF_Treatment_Library!$C$2:$C$296=PV_Canonical_Industry)*(_REF_Treatment_Library!$E$2:$E$296&lt;=N($H506))*(_REF_Treatment_Library!$F$2:$F$296&gt;=N($H506))*(_REF_Treatment_Library!$O$2:$O$296="Yes"),0),0)),IFERROR(INDEX(_REF_Treatment_Library!$A$2:$A$296,MATCH(1,INDEX((_REF_Treatment_Library!$B$2:$B$296=$BT506)*(_REF_Treatment_Library!$C$2:$C$296="All")*(_REF_Treatment_Library!$E$2:$E$296&lt;=N($H506))*(_REF_Treatment_Library!$F$2:$F$296&gt;=N($H506))*(_REF_Treatment_Library!$O$2:$O$296="Yes"),0),0)),"")))</f>
        <v>TRT-VENDOR_CONCENTRATION-INITIAL</v>
      </c>
      <c r="BZ506" t="str">
        <f>IF($BY506="","",IFERROR(INDEX(_REF_Treatment_Library!$H$2:$H$296,MATCH($BY506,_REF_Treatment_Library!$A$2:$A$296,0)),""))</f>
        <v>Establish</v>
      </c>
      <c r="CA506" t="str">
        <f>IF($BY506="","",IFERROR(INDEX(_REF_Treatment_Library!$I$2:$I$296,MATCH($BY506,_REF_Treatment_Library!$A$2:$A$296,0)),""))</f>
        <v>Establish baseline controls for Vendor concentration</v>
      </c>
      <c r="CB506" t="str">
        <f>IF($BY506="","",IFERROR(INDEX(_REF_Treatment_Library!$K$2:$K$296,MATCH($BY506,_REF_Treatment_Library!$A$2:$A$296,0)),""))</f>
        <v>Named owner, baseline process, minimum control checklist, first evidence package</v>
      </c>
      <c r="CC506" t="str">
        <f>IF($BY506="","",IFERROR(INDEX(_REF_Treatment_Library!$L$2:$L$296,MATCH($BY506,_REF_Treatment_Library!$A$2:$A$296,0)),""))</f>
        <v>Owner assigned; baseline evidence coverage; open critical gaps</v>
      </c>
      <c r="CD506" t="str">
        <f t="shared" si="50"/>
        <v>Treatment by capability=CAP_VENDOR_CONCENTRATION; band=Initial / absent; score=0.0; treatment=Establish</v>
      </c>
      <c r="CE506" t="str">
        <f>IF($E506="","",IFERROR(INDEX(_REF_Industry_Wording!$A$2:$A$70,MATCH(1,INDEX((_REF_Industry_Wording!$B$2:$B$70=$BT506)*(_REF_Industry_Wording!$C$2:$C$70=PV_Canonical_Industry)*(_REF_Industry_Wording!$K$2:$K$70="Yes"),0),0)),IFERROR(INDEX(_REF_Industry_Wording!$A$2:$A$70,MATCH(1,INDEX((_REF_Industry_Wording!$B$2:$B$70=$BT506)*(_REF_Industry_Wording!$C$2:$C$70="All")*(_REF_Industry_Wording!$K$2:$K$70="Yes"),0),0)),"")))</f>
        <v>IW-ALL-VENDOR_CONCENTRATION</v>
      </c>
      <c r="CF506" t="str">
        <f>IF($CE506="","",IFERROR(INDEX(_REF_Industry_Wording!$E$2:$E$70,MATCH($CE506,_REF_Industry_Wording!$A$2:$A$70,0)),""))</f>
        <v>Vendor concentration weakness</v>
      </c>
      <c r="CG506" t="str">
        <f>IF($CE506="","",IFERROR(INDEX(_REF_Industry_Wording!$F$2:$F$70,MATCH($CE506,_REF_Industry_Wording!$A$2:$A$70,0)),""))</f>
        <v>Strengthen Vendor concentration</v>
      </c>
      <c r="CH506" t="str">
        <f>IF($CE506="","",IFERROR(INDEX(_REF_Industry_Wording!$G$2:$G$70,MATCH($CE506,_REF_Industry_Wording!$A$2:$A$70,0)),""))</f>
        <v>Strengthen Vendor concentration using the selected maturity treatment, crisis scenario and evidence requirements.</v>
      </c>
      <c r="CI506" t="str">
        <f>IF($CE506="","",IFERROR(INDEX(_REF_Industry_Wording!$H$2:$H$70,MATCH($CE506,_REF_Industry_Wording!$A$2:$A$70,0)),""))</f>
        <v>Vendor concentration</v>
      </c>
      <c r="CJ506">
        <f>IF($CE506="","",IFERROR(INDEX(_REF_Industry_Wording!$I$2:$I$70,MATCH($CE506,_REF_Industry_Wording!$A$2:$A$70,0)),""))</f>
        <v>0</v>
      </c>
      <c r="CK506" t="str">
        <f>IF($CE506="","",IFERROR(INDEX(_REF_Industry_Wording!$J$2:$J$70,MATCH($CE506,_REF_Industry_Wording!$A$2:$A$70,0)),""))</f>
        <v>Vendor concentration</v>
      </c>
      <c r="CL506" t="str">
        <f t="shared" si="51"/>
        <v>Wording by industry=0; capability=CAP_VENDOR_CONCENTRATION; risk label=Vendor concentration weakness</v>
      </c>
      <c r="CM506" t="str">
        <f t="shared" si="52"/>
        <v>RISK-ONT-0007</v>
      </c>
      <c r="CN506" t="str">
        <f t="shared" si="53"/>
        <v>RISK-EVT-0007</v>
      </c>
      <c r="CO506" t="str">
        <f t="shared" si="54"/>
        <v>Company Geography|Company profile|COMP-007|CAP_VENDOR_CONCENTRATION</v>
      </c>
      <c r="CP506" t="str">
        <f t="shared" si="55"/>
        <v>Active</v>
      </c>
      <c r="CQ506" t="str">
        <f t="shared" si="56"/>
        <v>OK: capability-driven</v>
      </c>
      <c r="CR506" t="str">
        <f t="shared" si="57"/>
        <v>Risk ontology uses capability=CAP_VENDOR_CONCENTRATION; bridge=BRG-008; treatment=TRT-VENDOR_CONCENTRATION-INITIAL; wording=IW-ALL-VENDOR_CONCENTRATION</v>
      </c>
      <c r="CS506" t="str">
        <f t="shared" si="58"/>
        <v>Yes</v>
      </c>
    </row>
    <row r="507" spans="1:97" ht="69.900000000000006" customHeight="1">
      <c r="A507">
        <f>IF(OR($B507&lt;&gt;"Yes",$BS507=""),"",SUMPRODUCT(($B$500:$B$923="Yes")*ISNUMBER($BS$500:$BS$923)*($BS$500:$BS$923&gt;$BS507))+COUNTIFS($B$500:$B507,"Yes",$BS$500:$BS507,$BS507))</f>
        <v>173</v>
      </c>
      <c r="B507" t="str">
        <f t="shared" si="21"/>
        <v>Yes</v>
      </c>
      <c r="C507" t="s">
        <v>815</v>
      </c>
      <c r="D507" t="s">
        <v>839</v>
      </c>
      <c r="E507" t="s">
        <v>868</v>
      </c>
      <c r="F507" t="s">
        <v>3679</v>
      </c>
      <c r="G507" t="str">
        <f>IF($H507="","",IFERROR(INDEX(_ENGINE_Risk!$H$5:$M$499,MATCH($E507,_ENGINE_Risk!$A$5:$A$499,0),$H507+1),""))</f>
        <v>Severe risk: workforce distribution by country, city, function, contract type and criticality is not reliably controlled. During Geopolitical risk; Physical site loss; Regulatory/legal shock, the organization may face unclear exposure across entities, sites and markets, delayed strategic response and underestimated crisis impact with limited visibility or accountability.</v>
      </c>
      <c r="H507">
        <f>IFERROR(VALUE(INDEX(_DATA_Assessment_Model!$H$5:$H$884,MATCH($E507,_DATA_Assessment_Model!$A$5:$A$884,0))),"")</f>
        <v>0</v>
      </c>
      <c r="I507" t="str">
        <f>IF($H507="","",IFERROR(INDEX(_DATA_Assessment_Model!$L$5:$L$884,MATCH($E507,_DATA_Assessment_Model!$A$5:$A$884,0)),IF($H507&lt;=1,"Critical",IF($H507=2,"High",IF($H507=3,"Medium",IF($H507=4,"Low","Resilient"))))))</f>
        <v>Critical</v>
      </c>
      <c r="J507">
        <f t="shared" si="22"/>
        <v>3.6</v>
      </c>
      <c r="K507">
        <f t="shared" si="23"/>
        <v>4.3500000000000005</v>
      </c>
      <c r="L507">
        <f t="shared" si="24"/>
        <v>15.660000000000002</v>
      </c>
      <c r="M507">
        <f t="shared" si="25"/>
        <v>4</v>
      </c>
      <c r="N507">
        <f>IF($H507="","",IFERROR(INDEX(_ENGINE_Risk!$T$5:$Y$499,MATCH($E507,_ENGINE_Risk!$A$5:$A$499,0),$H507+1),""))</f>
        <v>3</v>
      </c>
      <c r="O507">
        <f t="shared" si="26"/>
        <v>4.666666666666667</v>
      </c>
      <c r="P507">
        <f t="shared" si="27"/>
        <v>5</v>
      </c>
      <c r="Q507">
        <f t="shared" si="28"/>
        <v>5</v>
      </c>
      <c r="R507">
        <f t="shared" si="29"/>
        <v>4.5</v>
      </c>
      <c r="S507">
        <f t="shared" si="30"/>
        <v>1.6</v>
      </c>
      <c r="T507" t="str">
        <f>IF($H507="","",IFERROR(INDEX(_ENGINE_Risk!$N$5:$S$499,MATCH($E507,_ENGINE_Risk!$A$5:$A$499,0),$H507+1),""))</f>
        <v>Create an immediate risk owner, minimum control baseline and fallback procedure for workforce distribution by country, city, function, contract type and criticality. Add it to the crisis risk register and collect first evidence.</v>
      </c>
      <c r="U507">
        <f>IFERROR(INDEX(_DATA_Assessment_Model!$G$5:$G$884,MATCH($E507,_DATA_Assessment_Model!$A$5:$A$884,0)),"")</f>
        <v>5</v>
      </c>
      <c r="V507">
        <f>IFERROR(INDEX(_DATA_Assessment_Model!$W$5:$W$884,MATCH($E507,_DATA_Assessment_Model!$A$5:$A$884,0)),"")</f>
        <v>4</v>
      </c>
      <c r="W507">
        <f>IFERROR(INDEX(_DATA_Assessment_Model!$X$5:$X$884,MATCH($E507,_DATA_Assessment_Model!$A$5:$A$884,0)),"")</f>
        <v>5</v>
      </c>
      <c r="X507">
        <f>IFERROR(INDEX(_DATA_Assessment_Model!$Y$5:$Y$884,MATCH($E507,_DATA_Assessment_Model!$A$5:$A$884,0)),"")</f>
        <v>5</v>
      </c>
      <c r="Y507" t="s">
        <v>828</v>
      </c>
      <c r="Z507" t="s">
        <v>4591</v>
      </c>
      <c r="AA507" t="s">
        <v>870</v>
      </c>
      <c r="AB507">
        <f>IFERROR(INDEX(_DATA_Assessment_Model!$U$5:$U$884,MATCH($E507,_DATA_Assessment_Model!$A$5:$A$884,0)),"")</f>
        <v>0</v>
      </c>
      <c r="AF507" t="s">
        <v>869</v>
      </c>
      <c r="AH507" t="s">
        <v>2286</v>
      </c>
      <c r="AI507">
        <f t="shared" si="31"/>
        <v>24</v>
      </c>
      <c r="AJ507">
        <f t="shared" si="32"/>
        <v>24</v>
      </c>
      <c r="AK507">
        <f t="shared" si="33"/>
        <v>15.3</v>
      </c>
      <c r="AL507">
        <f t="shared" si="34"/>
        <v>16.650000000000002</v>
      </c>
      <c r="AM507">
        <f t="shared" si="35"/>
        <v>1.64</v>
      </c>
      <c r="AN507">
        <f t="shared" si="36"/>
        <v>0</v>
      </c>
      <c r="AO507">
        <f>IF($B507="Yes",IF(IFERROR(INDEX(_ENGINE_Crisis!$F$501:$F$517,MATCH($C507,_ENGINE_Crisis!$A$501:$A$517,0)),1)=0,1,IFERROR(INDEX(_ENGINE_Crisis!$F$501:$F$517,MATCH($C507,_ENGINE_Crisis!$A$501:$A$517,0)),1)),"")</f>
        <v>1</v>
      </c>
      <c r="AP507">
        <f t="shared" si="37"/>
        <v>15.7</v>
      </c>
      <c r="AQ507">
        <f t="shared" si="38"/>
        <v>1.6</v>
      </c>
      <c r="AR507" t="str">
        <f>IFERROR(INDEX(_ENGINE_Crisis!$E$41:$E$700,MATCH('Resilience &amp; Risk Scenario'!$B$6&amp;"|"&amp;$C507,_ENGINE_Crisis!$I$41:$I$700,0)),"")</f>
        <v/>
      </c>
      <c r="AS507" t="str">
        <f>IFERROR(INDEX(_ENGINE_Crisis!$G$41:$G$700,MATCH('Resilience &amp; Risk Scenario'!$B$6&amp;"|"&amp;$C507,_ENGINE_Crisis!$I$41:$I$700,0)),"")</f>
        <v/>
      </c>
      <c r="AT507" t="str">
        <f>IFERROR(INDEX(_ENGINE_Initiatives!$A$5:$A$532,MATCH(1,INDEX((_ENGINE_Initiatives!$B$5:$B$532=$C507)*(_ENGINE_Initiatives!$C$5:$C$532=$D507),0),0)),"")</f>
        <v>INI-002</v>
      </c>
      <c r="AU507" t="str">
        <f>IFERROR(INDEX(_ENGINE_Initiatives!$F$5:$F$532,MATCH(1,INDEX((_ENGINE_Initiatives!$B$5:$B$532=$C507)*(_ENGINE_Initiatives!$C$5:$C$532=$D507),0),0)),"")</f>
        <v>Build geographic exposure and site continuity model</v>
      </c>
      <c r="AV507">
        <f>IFERROR(INDEX(_ENGINE_Initiatives!$AC$5:$AC$532,MATCH(1,INDEX((_ENGINE_Initiatives!$B$5:$B$532=$C507)*(_ENGINE_Initiatives!$C$5:$C$532=$D507),0),0)),"")</f>
        <v>2.64</v>
      </c>
      <c r="AW507" t="str">
        <f>IFERROR(INDEX(_ENGINE_Initiatives!$AE$5:$AE$532,MATCH(1,INDEX((_ENGINE_Initiatives!$B$5:$B$532=$C507)*(_ENGINE_Initiatives!$C$5:$C$532=$D507),0),0)),"")</f>
        <v>0-90 days</v>
      </c>
      <c r="AX507">
        <f>IF($B507="Yes",IFERROR((IF(SUMIFS(_REF_Model_Content!$E$1:$E$613,_REF_Model_Content!$A$1:$A$613,PV_Canonical_Industry,_REF_Model_Content!$B$1:$B$613,$C507)=0,1,SUMIFS(_REF_Model_Content!$E$1:$E$613,_REF_Model_Content!$A$1:$A$613,PV_Canonical_Industry,_REF_Model_Content!$B$1:$B$613,$C507))*IFERROR($BU507,1)),1),"")</f>
        <v>1.2</v>
      </c>
      <c r="AY507">
        <f t="shared" si="39"/>
        <v>18.84</v>
      </c>
      <c r="AZ507">
        <f t="shared" si="40"/>
        <v>1.92</v>
      </c>
      <c r="BB507" t="str">
        <f>IF($H507="","",IFERROR(INDEX(_ENGINE_Risk!$AE$5:$AE$499,MATCH($E507,_ENGINE_Risk!$A$5:$A$499,0)),"Medium"))</f>
        <v>Medium</v>
      </c>
      <c r="BC507">
        <f t="shared" si="41"/>
        <v>1</v>
      </c>
      <c r="BD507">
        <f t="shared" si="42"/>
        <v>1.92</v>
      </c>
      <c r="BF507">
        <f>IF(OR($H507="",$J507=""),"",IFERROR(VLOOKUP(ROUND($J507,0),_CONFIG_Model_Settings!$D$154:$E$158,2,0),""))</f>
        <v>0.5</v>
      </c>
      <c r="BG507">
        <f>IFERROR(IF(OR($H507="",$K507=""),"",ROUND('Company Profile'!$B$113*INDEX(_CONFIG_Model_Settings!$H$154:$H$158,MATCH(ROUND($K507,0),_CONFIG_Model_Settings!$G$154:$G$158,0)),0)),0)</f>
        <v>875</v>
      </c>
      <c r="BH507">
        <f t="shared" si="43"/>
        <v>437.5</v>
      </c>
      <c r="BI507">
        <f t="shared" si="44"/>
        <v>437.5</v>
      </c>
      <c r="BJ507">
        <f>IF($E507="","",IFERROR(VLOOKUP($C507,_CONFIG_Risk_Calibration!$A$5:$H$21,2,FALSE),3))</f>
        <v>3</v>
      </c>
      <c r="BK507">
        <f>IF($E507="","",IFERROR(VLOOKUP($C507,_CONFIG_Risk_Calibration!$A$5:$H$21,3,FALSE),0))</f>
        <v>0</v>
      </c>
      <c r="BL507">
        <f>IF($E507="","",IFERROR(VLOOKUP($C507,_CONFIG_Risk_Calibration!$A$5:$H$21,4,FALSE),3))</f>
        <v>3</v>
      </c>
      <c r="BM507">
        <f>IF($E507="","",IFERROR(VLOOKUP($C507,_CONFIG_Risk_Calibration!$A$5:$H$21,5,FALSE),3))</f>
        <v>3</v>
      </c>
      <c r="BN507" t="str">
        <f>IF($E507="","",IFERROR(VLOOKUP($C507,_CONFIG_Risk_Calibration!$A$5:$H$21,6,FALSE),"No"))</f>
        <v>No</v>
      </c>
      <c r="BO507">
        <f>IF($E507="","",IFERROR(VLOOKUP($C507,_CONFIG_Risk_Calibration!$A$5:$H$21,7,FALSE),1))</f>
        <v>1</v>
      </c>
      <c r="BP507">
        <f>IF($H507="","",MAX(1,MIN(5,((6-$H507)*0.45)+($BJ507*0.2)+('Resilience &amp; Risk Scenario'!$B$7*0.15)+($BK507*0.1)+($BL507*0.05)+(IF($BB507="Fast",5,IF($BB507="Slow",1,3))*0.05))))</f>
        <v>3.6</v>
      </c>
      <c r="BQ507">
        <f t="shared" si="45"/>
        <v>4.3500000000000005</v>
      </c>
      <c r="BR507">
        <f t="shared" si="46"/>
        <v>15.66</v>
      </c>
      <c r="BS507">
        <f t="shared" si="47"/>
        <v>18.79</v>
      </c>
      <c r="BT507" t="str">
        <f>IFERROR(INDEX(_REF_Capability_Bridge!$D:$D,MATCH($C507&amp;"|"&amp;$D507,_REF_Capability_Bridge!$J:$J,0)),IFERROR(INDEX(_REF_Capability_Bridge!$D:$D,MATCH($C507&amp;"|",_REF_Capability_Bridge!$J:$J,0)),"CAP_GENERIC"))</f>
        <v>CAP_REMOTE_WORK</v>
      </c>
      <c r="BU507">
        <f>IFERROR(IFERROR(INDEX(_ENGINE_Relevance!$L:$L,MATCH($BT507,_ENGINE_Relevance!$B:$B,0)),1),1)</f>
        <v>1.2</v>
      </c>
      <c r="BV507" t="str">
        <f>IFERROR(INDEX(_REF_Capability_Bridge!$A:$A,MATCH($C507&amp;"|"&amp;$D507,_REF_Capability_Bridge!$J:$J,0)),IFERROR(INDEX(_REF_Capability_Bridge!$A:$A,MATCH($C507&amp;"|",_REF_Capability_Bridge!$J:$J,0)),"No bridge"))</f>
        <v>BRG-010</v>
      </c>
      <c r="BW507" t="str">
        <f t="shared" si="48"/>
        <v>Capability relevance increases risk priority</v>
      </c>
      <c r="BX507" t="str">
        <f t="shared" si="49"/>
        <v>Initial / absent</v>
      </c>
      <c r="BY507" t="str">
        <f>IF($E507="","",IFERROR(INDEX(_REF_Treatment_Library!$A$2:$A$296,MATCH(1,INDEX((_REF_Treatment_Library!$B$2:$B$296=$BT507)*(_REF_Treatment_Library!$C$2:$C$296=PV_Canonical_Industry)*(_REF_Treatment_Library!$E$2:$E$296&lt;=N($H507))*(_REF_Treatment_Library!$F$2:$F$296&gt;=N($H507))*(_REF_Treatment_Library!$O$2:$O$296="Yes"),0),0)),IFERROR(INDEX(_REF_Treatment_Library!$A$2:$A$296,MATCH(1,INDEX((_REF_Treatment_Library!$B$2:$B$296=$BT507)*(_REF_Treatment_Library!$C$2:$C$296="All")*(_REF_Treatment_Library!$E$2:$E$296&lt;=N($H507))*(_REF_Treatment_Library!$F$2:$F$296&gt;=N($H507))*(_REF_Treatment_Library!$O$2:$O$296="Yes"),0),0)),"")))</f>
        <v>TRT-REMOTE_WORK-INITIAL</v>
      </c>
      <c r="BZ507" t="str">
        <f>IF($BY507="","",IFERROR(INDEX(_REF_Treatment_Library!$H$2:$H$296,MATCH($BY507,_REF_Treatment_Library!$A$2:$A$296,0)),""))</f>
        <v>Establish</v>
      </c>
      <c r="CA507" t="str">
        <f>IF($BY507="","",IFERROR(INDEX(_REF_Treatment_Library!$I$2:$I$296,MATCH($BY507,_REF_Treatment_Library!$A$2:$A$296,0)),""))</f>
        <v>Establish baseline controls for Remote work</v>
      </c>
      <c r="CB507" t="str">
        <f>IF($BY507="","",IFERROR(INDEX(_REF_Treatment_Library!$K$2:$K$296,MATCH($BY507,_REF_Treatment_Library!$A$2:$A$296,0)),""))</f>
        <v>Named owner, baseline process, minimum control checklist, first evidence package</v>
      </c>
      <c r="CC507" t="str">
        <f>IF($BY507="","",IFERROR(INDEX(_REF_Treatment_Library!$L$2:$L$296,MATCH($BY507,_REF_Treatment_Library!$A$2:$A$296,0)),""))</f>
        <v>Owner assigned; baseline evidence coverage; open critical gaps</v>
      </c>
      <c r="CD507" t="str">
        <f t="shared" si="50"/>
        <v>Treatment by capability=CAP_REMOTE_WORK; band=Initial / absent; score=0.0; treatment=Establish</v>
      </c>
      <c r="CE507" t="str">
        <f>IF($E507="","",IFERROR(INDEX(_REF_Industry_Wording!$A$2:$A$70,MATCH(1,INDEX((_REF_Industry_Wording!$B$2:$B$70=$BT507)*(_REF_Industry_Wording!$C$2:$C$70=PV_Canonical_Industry)*(_REF_Industry_Wording!$K$2:$K$70="Yes"),0),0)),IFERROR(INDEX(_REF_Industry_Wording!$A$2:$A$70,MATCH(1,INDEX((_REF_Industry_Wording!$B$2:$B$70=$BT507)*(_REF_Industry_Wording!$C$2:$C$70="All")*(_REF_Industry_Wording!$K$2:$K$70="Yes"),0),0)),"")))</f>
        <v>IW-ALL-REMOTE_WORK</v>
      </c>
      <c r="CF507" t="str">
        <f>IF($CE507="","",IFERROR(INDEX(_REF_Industry_Wording!$E$2:$E$70,MATCH($CE507,_REF_Industry_Wording!$A$2:$A$70,0)),""))</f>
        <v>Remote work weakness</v>
      </c>
      <c r="CG507" t="str">
        <f>IF($CE507="","",IFERROR(INDEX(_REF_Industry_Wording!$F$2:$F$70,MATCH($CE507,_REF_Industry_Wording!$A$2:$A$70,0)),""))</f>
        <v>Strengthen Remote work</v>
      </c>
      <c r="CH507" t="str">
        <f>IF($CE507="","",IFERROR(INDEX(_REF_Industry_Wording!$G$2:$G$70,MATCH($CE507,_REF_Industry_Wording!$A$2:$A$70,0)),""))</f>
        <v>Strengthen Remote work using the selected maturity treatment, crisis scenario and evidence requirements.</v>
      </c>
      <c r="CI507" t="str">
        <f>IF($CE507="","",IFERROR(INDEX(_REF_Industry_Wording!$H$2:$H$70,MATCH($CE507,_REF_Industry_Wording!$A$2:$A$70,0)),""))</f>
        <v>Remote work</v>
      </c>
      <c r="CJ507">
        <f>IF($CE507="","",IFERROR(INDEX(_REF_Industry_Wording!$I$2:$I$70,MATCH($CE507,_REF_Industry_Wording!$A$2:$A$70,0)),""))</f>
        <v>0</v>
      </c>
      <c r="CK507" t="str">
        <f>IF($CE507="","",IFERROR(INDEX(_REF_Industry_Wording!$J$2:$J$70,MATCH($CE507,_REF_Industry_Wording!$A$2:$A$70,0)),""))</f>
        <v>Remote work</v>
      </c>
      <c r="CL507" t="str">
        <f t="shared" si="51"/>
        <v>Wording by industry=0; capability=CAP_REMOTE_WORK; risk label=Remote work weakness</v>
      </c>
      <c r="CM507" t="str">
        <f t="shared" si="52"/>
        <v>RISK-ONT-0008</v>
      </c>
      <c r="CN507" t="str">
        <f t="shared" si="53"/>
        <v>RISK-EVT-0008</v>
      </c>
      <c r="CO507" t="str">
        <f t="shared" si="54"/>
        <v>Company Geography|Geographical distribution|COMP-008|CAP_REMOTE_WORK</v>
      </c>
      <c r="CP507" t="str">
        <f t="shared" si="55"/>
        <v>Active</v>
      </c>
      <c r="CQ507" t="str">
        <f t="shared" si="56"/>
        <v>OK: capability-driven</v>
      </c>
      <c r="CR507" t="str">
        <f t="shared" si="57"/>
        <v>Risk ontology uses capability=CAP_REMOTE_WORK; bridge=BRG-010; treatment=TRT-REMOTE_WORK-INITIAL; wording=IW-ALL-REMOTE_WORK</v>
      </c>
      <c r="CS507" t="str">
        <f t="shared" si="58"/>
        <v>Yes</v>
      </c>
    </row>
    <row r="508" spans="1:97" ht="69.900000000000006" customHeight="1">
      <c r="A508">
        <f>IF(OR($B508&lt;&gt;"Yes",$BS508=""),"",SUMPRODUCT(($B$500:$B$923="Yes")*ISNUMBER($BS$500:$BS$923)*($BS$500:$BS$923&gt;$BS508))+COUNTIFS($B$500:$B508,"Yes",$BS$500:$BS508,$BS508))</f>
        <v>156</v>
      </c>
      <c r="B508" t="str">
        <f t="shared" si="21"/>
        <v>Yes</v>
      </c>
      <c r="C508" t="s">
        <v>815</v>
      </c>
      <c r="D508" t="s">
        <v>839</v>
      </c>
      <c r="E508" t="s">
        <v>871</v>
      </c>
      <c r="F508" t="s">
        <v>3679</v>
      </c>
      <c r="G508" t="str">
        <f>IF($H508="","",IFERROR(INDEX(_ENGINE_Risk!$H$5:$M$499,MATCH($E508,_ENGINE_Risk!$A$5:$A$499,0),$H508+1),""))</f>
        <v>Severe risk: site distribution across offices, plants, warehouses, stores, labs and data centers is not reliably controlled. During Geopolitical risk; Physical site loss; Regulatory/legal shock, the organization may face unclear exposure across entities, sites and markets, delayed strategic response and underestimated crisis impact with limited visibility or accountability.</v>
      </c>
      <c r="H508">
        <f>IFERROR(VALUE(INDEX(_DATA_Assessment_Model!$H$5:$H$884,MATCH($E508,_DATA_Assessment_Model!$A$5:$A$884,0))),"")</f>
        <v>0</v>
      </c>
      <c r="I508" t="str">
        <f>IF($H508="","",IFERROR(INDEX(_DATA_Assessment_Model!$L$5:$L$884,MATCH($E508,_DATA_Assessment_Model!$A$5:$A$884,0)),IF($H508&lt;=1,"Critical",IF($H508=2,"High",IF($H508=3,"Medium",IF($H508=4,"Low","Resilient"))))))</f>
        <v>Critical</v>
      </c>
      <c r="J508">
        <f t="shared" si="22"/>
        <v>3.6</v>
      </c>
      <c r="K508">
        <f t="shared" si="23"/>
        <v>4.5</v>
      </c>
      <c r="L508">
        <f t="shared" si="24"/>
        <v>16.2</v>
      </c>
      <c r="M508">
        <f t="shared" si="25"/>
        <v>4</v>
      </c>
      <c r="N508">
        <f>IF($H508="","",IFERROR(INDEX(_ENGINE_Risk!$T$5:$Y$499,MATCH($E508,_ENGINE_Risk!$A$5:$A$499,0),$H508+1),""))</f>
        <v>3</v>
      </c>
      <c r="O508">
        <f t="shared" si="26"/>
        <v>5</v>
      </c>
      <c r="P508">
        <f t="shared" si="27"/>
        <v>5</v>
      </c>
      <c r="Q508">
        <f t="shared" si="28"/>
        <v>5</v>
      </c>
      <c r="R508">
        <f t="shared" si="29"/>
        <v>5</v>
      </c>
      <c r="S508">
        <f t="shared" si="30"/>
        <v>1.67</v>
      </c>
      <c r="T508" t="str">
        <f>IF($H508="","",IFERROR(INDEX(_ENGINE_Risk!$N$5:$S$499,MATCH($E508,_ENGINE_Risk!$A$5:$A$499,0),$H508+1),""))</f>
        <v>Create an immediate risk owner, minimum control baseline and fallback procedure for site distribution across offices, plants, warehouses, stores, labs and data centers. Add it to the crisis risk register and collect first evidence.</v>
      </c>
      <c r="U508">
        <f>IFERROR(INDEX(_DATA_Assessment_Model!$G$5:$G$884,MATCH($E508,_DATA_Assessment_Model!$A$5:$A$884,0)),"")</f>
        <v>5</v>
      </c>
      <c r="V508">
        <f>IFERROR(INDEX(_DATA_Assessment_Model!$W$5:$W$884,MATCH($E508,_DATA_Assessment_Model!$A$5:$A$884,0)),"")</f>
        <v>5</v>
      </c>
      <c r="W508">
        <f>IFERROR(INDEX(_DATA_Assessment_Model!$X$5:$X$884,MATCH($E508,_DATA_Assessment_Model!$A$5:$A$884,0)),"")</f>
        <v>5</v>
      </c>
      <c r="X508">
        <f>IFERROR(INDEX(_DATA_Assessment_Model!$Y$5:$Y$884,MATCH($E508,_DATA_Assessment_Model!$A$5:$A$884,0)),"")</f>
        <v>5</v>
      </c>
      <c r="Y508" t="s">
        <v>828</v>
      </c>
      <c r="Z508" t="s">
        <v>4591</v>
      </c>
      <c r="AA508" t="s">
        <v>873</v>
      </c>
      <c r="AB508">
        <f>IFERROR(INDEX(_DATA_Assessment_Model!$U$5:$U$884,MATCH($E508,_DATA_Assessment_Model!$A$5:$A$884,0)),"")</f>
        <v>0</v>
      </c>
      <c r="AF508" t="s">
        <v>872</v>
      </c>
      <c r="AH508" t="s">
        <v>2473</v>
      </c>
      <c r="AI508">
        <f t="shared" si="31"/>
        <v>16</v>
      </c>
      <c r="AJ508">
        <f t="shared" si="32"/>
        <v>16</v>
      </c>
      <c r="AK508">
        <f t="shared" si="33"/>
        <v>14.5</v>
      </c>
      <c r="AL508">
        <f t="shared" si="34"/>
        <v>15.659999999999998</v>
      </c>
      <c r="AM508">
        <f t="shared" si="35"/>
        <v>1.58</v>
      </c>
      <c r="AN508">
        <f t="shared" si="36"/>
        <v>0</v>
      </c>
      <c r="AO508">
        <f>IF($B508="Yes",IF(IFERROR(INDEX(_ENGINE_Crisis!$F$501:$F$517,MATCH($C508,_ENGINE_Crisis!$A$501:$A$517,0)),1)=0,1,IFERROR(INDEX(_ENGINE_Crisis!$F$501:$F$517,MATCH($C508,_ENGINE_Crisis!$A$501:$A$517,0)),1)),"")</f>
        <v>1</v>
      </c>
      <c r="AP508">
        <f t="shared" si="37"/>
        <v>16.2</v>
      </c>
      <c r="AQ508">
        <f t="shared" si="38"/>
        <v>1.67</v>
      </c>
      <c r="AR508" t="str">
        <f>IFERROR(INDEX(_ENGINE_Crisis!$E$41:$E$700,MATCH('Resilience &amp; Risk Scenario'!$B$6&amp;"|"&amp;$C508,_ENGINE_Crisis!$I$41:$I$700,0)),"")</f>
        <v/>
      </c>
      <c r="AS508" t="str">
        <f>IFERROR(INDEX(_ENGINE_Crisis!$G$41:$G$700,MATCH('Resilience &amp; Risk Scenario'!$B$6&amp;"|"&amp;$C508,_ENGINE_Crisis!$I$41:$I$700,0)),"")</f>
        <v/>
      </c>
      <c r="AT508" t="str">
        <f>IFERROR(INDEX(_ENGINE_Initiatives!$A$5:$A$532,MATCH(1,INDEX((_ENGINE_Initiatives!$B$5:$B$532=$C508)*(_ENGINE_Initiatives!$C$5:$C$532=$D508),0),0)),"")</f>
        <v>INI-002</v>
      </c>
      <c r="AU508" t="str">
        <f>IFERROR(INDEX(_ENGINE_Initiatives!$F$5:$F$532,MATCH(1,INDEX((_ENGINE_Initiatives!$B$5:$B$532=$C508)*(_ENGINE_Initiatives!$C$5:$C$532=$D508),0),0)),"")</f>
        <v>Build geographic exposure and site continuity model</v>
      </c>
      <c r="AV508">
        <f>IFERROR(INDEX(_ENGINE_Initiatives!$AC$5:$AC$532,MATCH(1,INDEX((_ENGINE_Initiatives!$B$5:$B$532=$C508)*(_ENGINE_Initiatives!$C$5:$C$532=$D508),0),0)),"")</f>
        <v>2.64</v>
      </c>
      <c r="AW508" t="str">
        <f>IFERROR(INDEX(_ENGINE_Initiatives!$AE$5:$AE$532,MATCH(1,INDEX((_ENGINE_Initiatives!$B$5:$B$532=$C508)*(_ENGINE_Initiatives!$C$5:$C$532=$D508),0),0)),"")</f>
        <v>0-90 days</v>
      </c>
      <c r="AX508">
        <f>IF($B508="Yes",IFERROR((IF(SUMIFS(_REF_Model_Content!$E$1:$E$613,_REF_Model_Content!$A$1:$A$613,PV_Canonical_Industry,_REF_Model_Content!$B$1:$B$613,$C508)=0,1,SUMIFS(_REF_Model_Content!$E$1:$E$613,_REF_Model_Content!$A$1:$A$613,PV_Canonical_Industry,_REF_Model_Content!$B$1:$B$613,$C508))*IFERROR($BU508,1)),1),"")</f>
        <v>1.2</v>
      </c>
      <c r="AY508">
        <f t="shared" si="39"/>
        <v>19.440000000000001</v>
      </c>
      <c r="AZ508">
        <f t="shared" si="40"/>
        <v>2</v>
      </c>
      <c r="BB508" t="str">
        <f>IF($H508="","",IFERROR(INDEX(_ENGINE_Risk!$AE$5:$AE$499,MATCH($E508,_ENGINE_Risk!$A$5:$A$499,0)),"Medium"))</f>
        <v>Medium</v>
      </c>
      <c r="BC508">
        <f t="shared" si="41"/>
        <v>1</v>
      </c>
      <c r="BD508">
        <f t="shared" si="42"/>
        <v>2</v>
      </c>
      <c r="BF508">
        <f>IF(OR($H508="",$J508=""),"",IFERROR(VLOOKUP(ROUND($J508,0),_CONFIG_Model_Settings!$D$154:$E$158,2,0),""))</f>
        <v>0.5</v>
      </c>
      <c r="BG508">
        <f>IFERROR(IF(OR($H508="",$K508=""),"",ROUND('Company Profile'!$B$113*INDEX(_CONFIG_Model_Settings!$H$154:$H$158,MATCH(ROUND($K508,0),_CONFIG_Model_Settings!$G$154:$G$158,0)),0)),0)</f>
        <v>1875</v>
      </c>
      <c r="BH508">
        <f t="shared" si="43"/>
        <v>937.5</v>
      </c>
      <c r="BI508">
        <f t="shared" si="44"/>
        <v>937.5</v>
      </c>
      <c r="BJ508">
        <f>IF($E508="","",IFERROR(VLOOKUP($C508,_CONFIG_Risk_Calibration!$A$5:$H$21,2,FALSE),3))</f>
        <v>3</v>
      </c>
      <c r="BK508">
        <f>IF($E508="","",IFERROR(VLOOKUP($C508,_CONFIG_Risk_Calibration!$A$5:$H$21,3,FALSE),0))</f>
        <v>0</v>
      </c>
      <c r="BL508">
        <f>IF($E508="","",IFERROR(VLOOKUP($C508,_CONFIG_Risk_Calibration!$A$5:$H$21,4,FALSE),3))</f>
        <v>3</v>
      </c>
      <c r="BM508">
        <f>IF($E508="","",IFERROR(VLOOKUP($C508,_CONFIG_Risk_Calibration!$A$5:$H$21,5,FALSE),3))</f>
        <v>3</v>
      </c>
      <c r="BN508" t="str">
        <f>IF($E508="","",IFERROR(VLOOKUP($C508,_CONFIG_Risk_Calibration!$A$5:$H$21,6,FALSE),"No"))</f>
        <v>No</v>
      </c>
      <c r="BO508">
        <f>IF($E508="","",IFERROR(VLOOKUP($C508,_CONFIG_Risk_Calibration!$A$5:$H$21,7,FALSE),1))</f>
        <v>1</v>
      </c>
      <c r="BP508">
        <f>IF($H508="","",MAX(1,MIN(5,((6-$H508)*0.45)+($BJ508*0.2)+('Resilience &amp; Risk Scenario'!$B$7*0.15)+($BK508*0.1)+($BL508*0.05)+(IF($BB508="Fast",5,IF($BB508="Slow",1,3))*0.05))))</f>
        <v>3.6</v>
      </c>
      <c r="BQ508">
        <f t="shared" si="45"/>
        <v>4.5</v>
      </c>
      <c r="BR508">
        <f t="shared" si="46"/>
        <v>16.2</v>
      </c>
      <c r="BS508">
        <f t="shared" si="47"/>
        <v>19.440000000000001</v>
      </c>
      <c r="BT508" t="str">
        <f>IFERROR(INDEX(_REF_Capability_Bridge!$D:$D,MATCH($C508&amp;"|"&amp;$D508,_REF_Capability_Bridge!$J:$J,0)),IFERROR(INDEX(_REF_Capability_Bridge!$D:$D,MATCH($C508&amp;"|",_REF_Capability_Bridge!$J:$J,0)),"CAP_GENERIC"))</f>
        <v>CAP_REMOTE_WORK</v>
      </c>
      <c r="BU508">
        <f>IFERROR(IFERROR(INDEX(_ENGINE_Relevance!$L:$L,MATCH($BT508,_ENGINE_Relevance!$B:$B,0)),1),1)</f>
        <v>1.2</v>
      </c>
      <c r="BV508" t="str">
        <f>IFERROR(INDEX(_REF_Capability_Bridge!$A:$A,MATCH($C508&amp;"|"&amp;$D508,_REF_Capability_Bridge!$J:$J,0)),IFERROR(INDEX(_REF_Capability_Bridge!$A:$A,MATCH($C508&amp;"|",_REF_Capability_Bridge!$J:$J,0)),"No bridge"))</f>
        <v>BRG-010</v>
      </c>
      <c r="BW508" t="str">
        <f t="shared" si="48"/>
        <v>Capability relevance increases risk priority</v>
      </c>
      <c r="BX508" t="str">
        <f t="shared" si="49"/>
        <v>Initial / absent</v>
      </c>
      <c r="BY508" t="str">
        <f>IF($E508="","",IFERROR(INDEX(_REF_Treatment_Library!$A$2:$A$296,MATCH(1,INDEX((_REF_Treatment_Library!$B$2:$B$296=$BT508)*(_REF_Treatment_Library!$C$2:$C$296=PV_Canonical_Industry)*(_REF_Treatment_Library!$E$2:$E$296&lt;=N($H508))*(_REF_Treatment_Library!$F$2:$F$296&gt;=N($H508))*(_REF_Treatment_Library!$O$2:$O$296="Yes"),0),0)),IFERROR(INDEX(_REF_Treatment_Library!$A$2:$A$296,MATCH(1,INDEX((_REF_Treatment_Library!$B$2:$B$296=$BT508)*(_REF_Treatment_Library!$C$2:$C$296="All")*(_REF_Treatment_Library!$E$2:$E$296&lt;=N($H508))*(_REF_Treatment_Library!$F$2:$F$296&gt;=N($H508))*(_REF_Treatment_Library!$O$2:$O$296="Yes"),0),0)),"")))</f>
        <v>TRT-REMOTE_WORK-INITIAL</v>
      </c>
      <c r="BZ508" t="str">
        <f>IF($BY508="","",IFERROR(INDEX(_REF_Treatment_Library!$H$2:$H$296,MATCH($BY508,_REF_Treatment_Library!$A$2:$A$296,0)),""))</f>
        <v>Establish</v>
      </c>
      <c r="CA508" t="str">
        <f>IF($BY508="","",IFERROR(INDEX(_REF_Treatment_Library!$I$2:$I$296,MATCH($BY508,_REF_Treatment_Library!$A$2:$A$296,0)),""))</f>
        <v>Establish baseline controls for Remote work</v>
      </c>
      <c r="CB508" t="str">
        <f>IF($BY508="","",IFERROR(INDEX(_REF_Treatment_Library!$K$2:$K$296,MATCH($BY508,_REF_Treatment_Library!$A$2:$A$296,0)),""))</f>
        <v>Named owner, baseline process, minimum control checklist, first evidence package</v>
      </c>
      <c r="CC508" t="str">
        <f>IF($BY508="","",IFERROR(INDEX(_REF_Treatment_Library!$L$2:$L$296,MATCH($BY508,_REF_Treatment_Library!$A$2:$A$296,0)),""))</f>
        <v>Owner assigned; baseline evidence coverage; open critical gaps</v>
      </c>
      <c r="CD508" t="str">
        <f t="shared" si="50"/>
        <v>Treatment by capability=CAP_REMOTE_WORK; band=Initial / absent; score=0.0; treatment=Establish</v>
      </c>
      <c r="CE508" t="str">
        <f>IF($E508="","",IFERROR(INDEX(_REF_Industry_Wording!$A$2:$A$70,MATCH(1,INDEX((_REF_Industry_Wording!$B$2:$B$70=$BT508)*(_REF_Industry_Wording!$C$2:$C$70=PV_Canonical_Industry)*(_REF_Industry_Wording!$K$2:$K$70="Yes"),0),0)),IFERROR(INDEX(_REF_Industry_Wording!$A$2:$A$70,MATCH(1,INDEX((_REF_Industry_Wording!$B$2:$B$70=$BT508)*(_REF_Industry_Wording!$C$2:$C$70="All")*(_REF_Industry_Wording!$K$2:$K$70="Yes"),0),0)),"")))</f>
        <v>IW-ALL-REMOTE_WORK</v>
      </c>
      <c r="CF508" t="str">
        <f>IF($CE508="","",IFERROR(INDEX(_REF_Industry_Wording!$E$2:$E$70,MATCH($CE508,_REF_Industry_Wording!$A$2:$A$70,0)),""))</f>
        <v>Remote work weakness</v>
      </c>
      <c r="CG508" t="str">
        <f>IF($CE508="","",IFERROR(INDEX(_REF_Industry_Wording!$F$2:$F$70,MATCH($CE508,_REF_Industry_Wording!$A$2:$A$70,0)),""))</f>
        <v>Strengthen Remote work</v>
      </c>
      <c r="CH508" t="str">
        <f>IF($CE508="","",IFERROR(INDEX(_REF_Industry_Wording!$G$2:$G$70,MATCH($CE508,_REF_Industry_Wording!$A$2:$A$70,0)),""))</f>
        <v>Strengthen Remote work using the selected maturity treatment, crisis scenario and evidence requirements.</v>
      </c>
      <c r="CI508" t="str">
        <f>IF($CE508="","",IFERROR(INDEX(_REF_Industry_Wording!$H$2:$H$70,MATCH($CE508,_REF_Industry_Wording!$A$2:$A$70,0)),""))</f>
        <v>Remote work</v>
      </c>
      <c r="CJ508">
        <f>IF($CE508="","",IFERROR(INDEX(_REF_Industry_Wording!$I$2:$I$70,MATCH($CE508,_REF_Industry_Wording!$A$2:$A$70,0)),""))</f>
        <v>0</v>
      </c>
      <c r="CK508" t="str">
        <f>IF($CE508="","",IFERROR(INDEX(_REF_Industry_Wording!$J$2:$J$70,MATCH($CE508,_REF_Industry_Wording!$A$2:$A$70,0)),""))</f>
        <v>Remote work</v>
      </c>
      <c r="CL508" t="str">
        <f t="shared" si="51"/>
        <v>Wording by industry=0; capability=CAP_REMOTE_WORK; risk label=Remote work weakness</v>
      </c>
      <c r="CM508" t="str">
        <f t="shared" si="52"/>
        <v>RISK-ONT-0009</v>
      </c>
      <c r="CN508" t="str">
        <f t="shared" si="53"/>
        <v>RISK-EVT-0009</v>
      </c>
      <c r="CO508" t="str">
        <f t="shared" si="54"/>
        <v>Company Geography|Geographical distribution|COMP-009|CAP_REMOTE_WORK</v>
      </c>
      <c r="CP508" t="str">
        <f t="shared" si="55"/>
        <v>Active</v>
      </c>
      <c r="CQ508" t="str">
        <f t="shared" si="56"/>
        <v>OK: capability-driven</v>
      </c>
      <c r="CR508" t="str">
        <f t="shared" si="57"/>
        <v>Risk ontology uses capability=CAP_REMOTE_WORK; bridge=BRG-010; treatment=TRT-REMOTE_WORK-INITIAL; wording=IW-ALL-REMOTE_WORK</v>
      </c>
      <c r="CS508" t="str">
        <f t="shared" si="58"/>
        <v>Yes</v>
      </c>
    </row>
    <row r="509" spans="1:97" ht="69.900000000000006" customHeight="1">
      <c r="A509">
        <f>IF(OR($B509&lt;&gt;"Yes",$BS509=""),"",SUMPRODUCT(($B$500:$B$923="Yes")*ISNUMBER($BS$500:$BS$923)*($BS$500:$BS$923&gt;$BS509))+COUNTIFS($B$500:$B509,"Yes",$BS$500:$BS509,$BS509))</f>
        <v>212</v>
      </c>
      <c r="B509" t="str">
        <f t="shared" si="21"/>
        <v>Yes</v>
      </c>
      <c r="C509" t="s">
        <v>815</v>
      </c>
      <c r="D509" t="s">
        <v>839</v>
      </c>
      <c r="E509" t="s">
        <v>880</v>
      </c>
      <c r="F509" t="s">
        <v>3679</v>
      </c>
      <c r="G509" t="str">
        <f>IF($H509="","",IFERROR(INDEX(_ENGINE_Risk!$H$5:$M$499,MATCH($E509,_ENGINE_Risk!$A$5:$A$499,0),$H509+1),""))</f>
        <v>Severe risk: revenue distribution by country, currency, customer geography and market exposure is not reliably controlled. During Geopolitical risk; Physical site loss; Regulatory/legal shock, the organization may face unclear exposure across entities, sites and markets, delayed strategic response and underestimated crisis impact with limited visibility or accountability.</v>
      </c>
      <c r="H509">
        <f>IFERROR(VALUE(INDEX(_DATA_Assessment_Model!$H$5:$H$884,MATCH($E509,_DATA_Assessment_Model!$A$5:$A$884,0))),"")</f>
        <v>0</v>
      </c>
      <c r="I509" t="str">
        <f>IF($H509="","",IFERROR(INDEX(_DATA_Assessment_Model!$L$5:$L$884,MATCH($E509,_DATA_Assessment_Model!$A$5:$A$884,0)),IF($H509&lt;=1,"Critical",IF($H509=2,"High",IF($H509=3,"Medium",IF($H509=4,"Low","Resilient"))))))</f>
        <v>Critical</v>
      </c>
      <c r="J509">
        <f t="shared" si="22"/>
        <v>3.6</v>
      </c>
      <c r="K509">
        <f t="shared" si="23"/>
        <v>4.1500000000000004</v>
      </c>
      <c r="L509">
        <f t="shared" si="24"/>
        <v>14.940000000000001</v>
      </c>
      <c r="M509">
        <f t="shared" si="25"/>
        <v>3</v>
      </c>
      <c r="N509">
        <f>IF($H509="","",IFERROR(INDEX(_ENGINE_Risk!$T$5:$Y$499,MATCH($E509,_ENGINE_Risk!$A$5:$A$499,0),$H509+1),""))</f>
        <v>3</v>
      </c>
      <c r="O509">
        <f t="shared" si="26"/>
        <v>4.333333333333333</v>
      </c>
      <c r="P509">
        <f t="shared" si="27"/>
        <v>5</v>
      </c>
      <c r="Q509">
        <f t="shared" si="28"/>
        <v>5</v>
      </c>
      <c r="R509">
        <f t="shared" si="29"/>
        <v>4.5</v>
      </c>
      <c r="S509">
        <f t="shared" si="30"/>
        <v>1.57</v>
      </c>
      <c r="T509" t="str">
        <f>IF($H509="","",IFERROR(INDEX(_ENGINE_Risk!$N$5:$S$499,MATCH($E509,_ENGINE_Risk!$A$5:$A$499,0),$H509+1),""))</f>
        <v>Create an immediate risk owner, minimum control baseline and fallback procedure for revenue distribution by country, currency, customer geography and market exposure. Add it to the crisis risk register and collect first evidence.</v>
      </c>
      <c r="U509">
        <f>IFERROR(INDEX(_DATA_Assessment_Model!$G$5:$G$884,MATCH($E509,_DATA_Assessment_Model!$A$5:$A$884,0)),"")</f>
        <v>4</v>
      </c>
      <c r="V509">
        <f>IFERROR(INDEX(_DATA_Assessment_Model!$W$5:$W$884,MATCH($E509,_DATA_Assessment_Model!$A$5:$A$884,0)),"")</f>
        <v>4</v>
      </c>
      <c r="W509">
        <f>IFERROR(INDEX(_DATA_Assessment_Model!$X$5:$X$884,MATCH($E509,_DATA_Assessment_Model!$A$5:$A$884,0)),"")</f>
        <v>5</v>
      </c>
      <c r="X509">
        <f>IFERROR(INDEX(_DATA_Assessment_Model!$Y$5:$Y$884,MATCH($E509,_DATA_Assessment_Model!$A$5:$A$884,0)),"")</f>
        <v>5</v>
      </c>
      <c r="Y509" t="s">
        <v>828</v>
      </c>
      <c r="Z509" t="s">
        <v>4591</v>
      </c>
      <c r="AA509" t="s">
        <v>882</v>
      </c>
      <c r="AB509">
        <f>IFERROR(INDEX(_DATA_Assessment_Model!$U$5:$U$884,MATCH($E509,_DATA_Assessment_Model!$A$5:$A$884,0)),"")</f>
        <v>0</v>
      </c>
      <c r="AF509" t="s">
        <v>881</v>
      </c>
      <c r="AH509" t="s">
        <v>2588</v>
      </c>
      <c r="AI509">
        <f t="shared" si="31"/>
        <v>28</v>
      </c>
      <c r="AJ509">
        <f t="shared" si="32"/>
        <v>28</v>
      </c>
      <c r="AK509">
        <f t="shared" si="33"/>
        <v>16.399999999999999</v>
      </c>
      <c r="AL509">
        <f t="shared" si="34"/>
        <v>16.739999999999998</v>
      </c>
      <c r="AM509">
        <f t="shared" si="35"/>
        <v>1.24</v>
      </c>
      <c r="AN509">
        <f t="shared" si="36"/>
        <v>0</v>
      </c>
      <c r="AO509">
        <f>IF($B509="Yes",IF(IFERROR(INDEX(_ENGINE_Crisis!$F$501:$F$517,MATCH($C509,_ENGINE_Crisis!$A$501:$A$517,0)),1)=0,1,IFERROR(INDEX(_ENGINE_Crisis!$F$501:$F$517,MATCH($C509,_ENGINE_Crisis!$A$501:$A$517,0)),1)),"")</f>
        <v>1</v>
      </c>
      <c r="AP509">
        <f t="shared" si="37"/>
        <v>14.9</v>
      </c>
      <c r="AQ509">
        <f t="shared" si="38"/>
        <v>1.57</v>
      </c>
      <c r="AR509" t="str">
        <f>IFERROR(INDEX(_ENGINE_Crisis!$E$41:$E$700,MATCH('Resilience &amp; Risk Scenario'!$B$6&amp;"|"&amp;$C509,_ENGINE_Crisis!$I$41:$I$700,0)),"")</f>
        <v/>
      </c>
      <c r="AS509" t="str">
        <f>IFERROR(INDEX(_ENGINE_Crisis!$G$41:$G$700,MATCH('Resilience &amp; Risk Scenario'!$B$6&amp;"|"&amp;$C509,_ENGINE_Crisis!$I$41:$I$700,0)),"")</f>
        <v/>
      </c>
      <c r="AT509" t="str">
        <f>IFERROR(INDEX(_ENGINE_Initiatives!$A$5:$A$532,MATCH(1,INDEX((_ENGINE_Initiatives!$B$5:$B$532=$C509)*(_ENGINE_Initiatives!$C$5:$C$532=$D509),0),0)),"")</f>
        <v>INI-002</v>
      </c>
      <c r="AU509" t="str">
        <f>IFERROR(INDEX(_ENGINE_Initiatives!$F$5:$F$532,MATCH(1,INDEX((_ENGINE_Initiatives!$B$5:$B$532=$C509)*(_ENGINE_Initiatives!$C$5:$C$532=$D509),0),0)),"")</f>
        <v>Build geographic exposure and site continuity model</v>
      </c>
      <c r="AV509">
        <f>IFERROR(INDEX(_ENGINE_Initiatives!$AC$5:$AC$532,MATCH(1,INDEX((_ENGINE_Initiatives!$B$5:$B$532=$C509)*(_ENGINE_Initiatives!$C$5:$C$532=$D509),0),0)),"")</f>
        <v>2.64</v>
      </c>
      <c r="AW509" t="str">
        <f>IFERROR(INDEX(_ENGINE_Initiatives!$AE$5:$AE$532,MATCH(1,INDEX((_ENGINE_Initiatives!$B$5:$B$532=$C509)*(_ENGINE_Initiatives!$C$5:$C$532=$D509),0),0)),"")</f>
        <v>0-90 days</v>
      </c>
      <c r="AX509">
        <f>IF($B509="Yes",IFERROR((IF(SUMIFS(_REF_Model_Content!$E$1:$E$613,_REF_Model_Content!$A$1:$A$613,PV_Canonical_Industry,_REF_Model_Content!$B$1:$B$613,$C509)=0,1,SUMIFS(_REF_Model_Content!$E$1:$E$613,_REF_Model_Content!$A$1:$A$613,PV_Canonical_Industry,_REF_Model_Content!$B$1:$B$613,$C509))*IFERROR($BU509,1)),1),"")</f>
        <v>1.2</v>
      </c>
      <c r="AY509">
        <f t="shared" si="39"/>
        <v>17.88</v>
      </c>
      <c r="AZ509">
        <f t="shared" si="40"/>
        <v>1.88</v>
      </c>
      <c r="BB509" t="str">
        <f>IF($H509="","",IFERROR(INDEX(_ENGINE_Risk!$AE$5:$AE$499,MATCH($E509,_ENGINE_Risk!$A$5:$A$499,0)),"Medium"))</f>
        <v>Medium</v>
      </c>
      <c r="BC509">
        <f t="shared" si="41"/>
        <v>1</v>
      </c>
      <c r="BD509">
        <f t="shared" si="42"/>
        <v>1.88</v>
      </c>
      <c r="BF509">
        <f>IF(OR($H509="",$J509=""),"",IFERROR(VLOOKUP(ROUND($J509,0),_CONFIG_Model_Settings!$D$154:$E$158,2,0),""))</f>
        <v>0.5</v>
      </c>
      <c r="BG509">
        <f>IFERROR(IF(OR($H509="",$K509=""),"",ROUND('Company Profile'!$B$113*INDEX(_CONFIG_Model_Settings!$H$154:$H$158,MATCH(ROUND($K509,0),_CONFIG_Model_Settings!$G$154:$G$158,0)),0)),0)</f>
        <v>875</v>
      </c>
      <c r="BH509">
        <f t="shared" si="43"/>
        <v>437.5</v>
      </c>
      <c r="BI509">
        <f t="shared" si="44"/>
        <v>437.5</v>
      </c>
      <c r="BJ509">
        <f>IF($E509="","",IFERROR(VLOOKUP($C509,_CONFIG_Risk_Calibration!$A$5:$H$21,2,FALSE),3))</f>
        <v>3</v>
      </c>
      <c r="BK509">
        <f>IF($E509="","",IFERROR(VLOOKUP($C509,_CONFIG_Risk_Calibration!$A$5:$H$21,3,FALSE),0))</f>
        <v>0</v>
      </c>
      <c r="BL509">
        <f>IF($E509="","",IFERROR(VLOOKUP($C509,_CONFIG_Risk_Calibration!$A$5:$H$21,4,FALSE),3))</f>
        <v>3</v>
      </c>
      <c r="BM509">
        <f>IF($E509="","",IFERROR(VLOOKUP($C509,_CONFIG_Risk_Calibration!$A$5:$H$21,5,FALSE),3))</f>
        <v>3</v>
      </c>
      <c r="BN509" t="str">
        <f>IF($E509="","",IFERROR(VLOOKUP($C509,_CONFIG_Risk_Calibration!$A$5:$H$21,6,FALSE),"No"))</f>
        <v>No</v>
      </c>
      <c r="BO509">
        <f>IF($E509="","",IFERROR(VLOOKUP($C509,_CONFIG_Risk_Calibration!$A$5:$H$21,7,FALSE),1))</f>
        <v>1</v>
      </c>
      <c r="BP509">
        <f>IF($H509="","",MAX(1,MIN(5,((6-$H509)*0.45)+($BJ509*0.2)+('Resilience &amp; Risk Scenario'!$B$7*0.15)+($BK509*0.1)+($BL509*0.05)+(IF($BB509="Fast",5,IF($BB509="Slow",1,3))*0.05))))</f>
        <v>3.6</v>
      </c>
      <c r="BQ509">
        <f t="shared" si="45"/>
        <v>4.1500000000000004</v>
      </c>
      <c r="BR509">
        <f t="shared" si="46"/>
        <v>14.94</v>
      </c>
      <c r="BS509">
        <f t="shared" si="47"/>
        <v>17.93</v>
      </c>
      <c r="BT509" t="str">
        <f>IFERROR(INDEX(_REF_Capability_Bridge!$D:$D,MATCH($C509&amp;"|"&amp;$D509,_REF_Capability_Bridge!$J:$J,0)),IFERROR(INDEX(_REF_Capability_Bridge!$D:$D,MATCH($C509&amp;"|",_REF_Capability_Bridge!$J:$J,0)),"CAP_GENERIC"))</f>
        <v>CAP_REMOTE_WORK</v>
      </c>
      <c r="BU509">
        <f>IFERROR(IFERROR(INDEX(_ENGINE_Relevance!$L:$L,MATCH($BT509,_ENGINE_Relevance!$B:$B,0)),1),1)</f>
        <v>1.2</v>
      </c>
      <c r="BV509" t="str">
        <f>IFERROR(INDEX(_REF_Capability_Bridge!$A:$A,MATCH($C509&amp;"|"&amp;$D509,_REF_Capability_Bridge!$J:$J,0)),IFERROR(INDEX(_REF_Capability_Bridge!$A:$A,MATCH($C509&amp;"|",_REF_Capability_Bridge!$J:$J,0)),"No bridge"))</f>
        <v>BRG-010</v>
      </c>
      <c r="BW509" t="str">
        <f t="shared" si="48"/>
        <v>Capability relevance increases risk priority</v>
      </c>
      <c r="BX509" t="str">
        <f t="shared" si="49"/>
        <v>Initial / absent</v>
      </c>
      <c r="BY509" t="str">
        <f>IF($E509="","",IFERROR(INDEX(_REF_Treatment_Library!$A$2:$A$296,MATCH(1,INDEX((_REF_Treatment_Library!$B$2:$B$296=$BT509)*(_REF_Treatment_Library!$C$2:$C$296=PV_Canonical_Industry)*(_REF_Treatment_Library!$E$2:$E$296&lt;=N($H509))*(_REF_Treatment_Library!$F$2:$F$296&gt;=N($H509))*(_REF_Treatment_Library!$O$2:$O$296="Yes"),0),0)),IFERROR(INDEX(_REF_Treatment_Library!$A$2:$A$296,MATCH(1,INDEX((_REF_Treatment_Library!$B$2:$B$296=$BT509)*(_REF_Treatment_Library!$C$2:$C$296="All")*(_REF_Treatment_Library!$E$2:$E$296&lt;=N($H509))*(_REF_Treatment_Library!$F$2:$F$296&gt;=N($H509))*(_REF_Treatment_Library!$O$2:$O$296="Yes"),0),0)),"")))</f>
        <v>TRT-REMOTE_WORK-INITIAL</v>
      </c>
      <c r="BZ509" t="str">
        <f>IF($BY509="","",IFERROR(INDEX(_REF_Treatment_Library!$H$2:$H$296,MATCH($BY509,_REF_Treatment_Library!$A$2:$A$296,0)),""))</f>
        <v>Establish</v>
      </c>
      <c r="CA509" t="str">
        <f>IF($BY509="","",IFERROR(INDEX(_REF_Treatment_Library!$I$2:$I$296,MATCH($BY509,_REF_Treatment_Library!$A$2:$A$296,0)),""))</f>
        <v>Establish baseline controls for Remote work</v>
      </c>
      <c r="CB509" t="str">
        <f>IF($BY509="","",IFERROR(INDEX(_REF_Treatment_Library!$K$2:$K$296,MATCH($BY509,_REF_Treatment_Library!$A$2:$A$296,0)),""))</f>
        <v>Named owner, baseline process, minimum control checklist, first evidence package</v>
      </c>
      <c r="CC509" t="str">
        <f>IF($BY509="","",IFERROR(INDEX(_REF_Treatment_Library!$L$2:$L$296,MATCH($BY509,_REF_Treatment_Library!$A$2:$A$296,0)),""))</f>
        <v>Owner assigned; baseline evidence coverage; open critical gaps</v>
      </c>
      <c r="CD509" t="str">
        <f t="shared" si="50"/>
        <v>Treatment by capability=CAP_REMOTE_WORK; band=Initial / absent; score=0.0; treatment=Establish</v>
      </c>
      <c r="CE509" t="str">
        <f>IF($E509="","",IFERROR(INDEX(_REF_Industry_Wording!$A$2:$A$70,MATCH(1,INDEX((_REF_Industry_Wording!$B$2:$B$70=$BT509)*(_REF_Industry_Wording!$C$2:$C$70=PV_Canonical_Industry)*(_REF_Industry_Wording!$K$2:$K$70="Yes"),0),0)),IFERROR(INDEX(_REF_Industry_Wording!$A$2:$A$70,MATCH(1,INDEX((_REF_Industry_Wording!$B$2:$B$70=$BT509)*(_REF_Industry_Wording!$C$2:$C$70="All")*(_REF_Industry_Wording!$K$2:$K$70="Yes"),0),0)),"")))</f>
        <v>IW-ALL-REMOTE_WORK</v>
      </c>
      <c r="CF509" t="str">
        <f>IF($CE509="","",IFERROR(INDEX(_REF_Industry_Wording!$E$2:$E$70,MATCH($CE509,_REF_Industry_Wording!$A$2:$A$70,0)),""))</f>
        <v>Remote work weakness</v>
      </c>
      <c r="CG509" t="str">
        <f>IF($CE509="","",IFERROR(INDEX(_REF_Industry_Wording!$F$2:$F$70,MATCH($CE509,_REF_Industry_Wording!$A$2:$A$70,0)),""))</f>
        <v>Strengthen Remote work</v>
      </c>
      <c r="CH509" t="str">
        <f>IF($CE509="","",IFERROR(INDEX(_REF_Industry_Wording!$G$2:$G$70,MATCH($CE509,_REF_Industry_Wording!$A$2:$A$70,0)),""))</f>
        <v>Strengthen Remote work using the selected maturity treatment, crisis scenario and evidence requirements.</v>
      </c>
      <c r="CI509" t="str">
        <f>IF($CE509="","",IFERROR(INDEX(_REF_Industry_Wording!$H$2:$H$70,MATCH($CE509,_REF_Industry_Wording!$A$2:$A$70,0)),""))</f>
        <v>Remote work</v>
      </c>
      <c r="CJ509">
        <f>IF($CE509="","",IFERROR(INDEX(_REF_Industry_Wording!$I$2:$I$70,MATCH($CE509,_REF_Industry_Wording!$A$2:$A$70,0)),""))</f>
        <v>0</v>
      </c>
      <c r="CK509" t="str">
        <f>IF($CE509="","",IFERROR(INDEX(_REF_Industry_Wording!$J$2:$J$70,MATCH($CE509,_REF_Industry_Wording!$A$2:$A$70,0)),""))</f>
        <v>Remote work</v>
      </c>
      <c r="CL509" t="str">
        <f t="shared" si="51"/>
        <v>Wording by industry=0; capability=CAP_REMOTE_WORK; risk label=Remote work weakness</v>
      </c>
      <c r="CM509" t="str">
        <f t="shared" si="52"/>
        <v>RISK-ONT-0010</v>
      </c>
      <c r="CN509" t="str">
        <f t="shared" si="53"/>
        <v>RISK-EVT-0010</v>
      </c>
      <c r="CO509" t="str">
        <f t="shared" si="54"/>
        <v>Company Geography|Geographical distribution|COMP-010|CAP_REMOTE_WORK</v>
      </c>
      <c r="CP509" t="str">
        <f t="shared" si="55"/>
        <v>Active</v>
      </c>
      <c r="CQ509" t="str">
        <f t="shared" si="56"/>
        <v>OK: capability-driven</v>
      </c>
      <c r="CR509" t="str">
        <f t="shared" si="57"/>
        <v>Risk ontology uses capability=CAP_REMOTE_WORK; bridge=BRG-010; treatment=TRT-REMOTE_WORK-INITIAL; wording=IW-ALL-REMOTE_WORK</v>
      </c>
      <c r="CS509" t="str">
        <f t="shared" si="58"/>
        <v>Yes</v>
      </c>
    </row>
    <row r="510" spans="1:97" ht="69.900000000000006" customHeight="1">
      <c r="A510">
        <f>IF(OR($B510&lt;&gt;"Yes",$BS510=""),"",SUMPRODUCT(($B$500:$B$923="Yes")*ISNUMBER($BS$500:$BS$923)*($BS$500:$BS$923&gt;$BS510))+COUNTIFS($B$500:$B510,"Yes",$BS$500:$BS510,$BS510))</f>
        <v>174</v>
      </c>
      <c r="B510" t="str">
        <f t="shared" si="21"/>
        <v>Yes</v>
      </c>
      <c r="C510" t="s">
        <v>815</v>
      </c>
      <c r="D510" t="s">
        <v>839</v>
      </c>
      <c r="E510" t="s">
        <v>889</v>
      </c>
      <c r="F510" t="s">
        <v>3679</v>
      </c>
      <c r="G510" t="str">
        <f>IF($H510="","",IFERROR(INDEX(_ENGINE_Risk!$H$5:$M$499,MATCH($E510,_ENGINE_Risk!$A$5:$A$499,0),$H510+1),""))</f>
        <v>Severe risk: supplier distribution by country, tier, criticality and replacement options is not reliably controlled. During Geopolitical risk; Physical site loss; Regulatory/legal shock, the organization may face unclear exposure across entities, sites and markets, delayed strategic response and underestimated crisis impact with limited visibility or accountability.</v>
      </c>
      <c r="H510">
        <f>IFERROR(VALUE(INDEX(_DATA_Assessment_Model!$H$5:$H$884,MATCH($E510,_DATA_Assessment_Model!$A$5:$A$884,0))),"")</f>
        <v>0</v>
      </c>
      <c r="I510" t="str">
        <f>IF($H510="","",IFERROR(INDEX(_DATA_Assessment_Model!$L$5:$L$884,MATCH($E510,_DATA_Assessment_Model!$A$5:$A$884,0)),IF($H510&lt;=1,"Critical",IF($H510=2,"High",IF($H510=3,"Medium",IF($H510=4,"Low","Resilient"))))))</f>
        <v>Critical</v>
      </c>
      <c r="J510">
        <f t="shared" si="22"/>
        <v>3.6</v>
      </c>
      <c r="K510">
        <f t="shared" si="23"/>
        <v>4.3500000000000005</v>
      </c>
      <c r="L510">
        <f t="shared" si="24"/>
        <v>15.660000000000002</v>
      </c>
      <c r="M510">
        <f t="shared" si="25"/>
        <v>4</v>
      </c>
      <c r="N510">
        <f>IF($H510="","",IFERROR(INDEX(_ENGINE_Risk!$T$5:$Y$499,MATCH($E510,_ENGINE_Risk!$A$5:$A$499,0),$H510+1),""))</f>
        <v>3</v>
      </c>
      <c r="O510">
        <f t="shared" si="26"/>
        <v>4.666666666666667</v>
      </c>
      <c r="P510">
        <f t="shared" si="27"/>
        <v>5</v>
      </c>
      <c r="Q510">
        <f t="shared" si="28"/>
        <v>5</v>
      </c>
      <c r="R510">
        <f t="shared" si="29"/>
        <v>4.5</v>
      </c>
      <c r="S510">
        <f t="shared" si="30"/>
        <v>1.6</v>
      </c>
      <c r="T510" t="str">
        <f>IF($H510="","",IFERROR(INDEX(_ENGINE_Risk!$N$5:$S$499,MATCH($E510,_ENGINE_Risk!$A$5:$A$499,0),$H510+1),""))</f>
        <v>Create an immediate risk owner, minimum control baseline and fallback procedure for supplier distribution by country, tier, criticality and replacement options. Add it to the crisis risk register and collect first evidence.</v>
      </c>
      <c r="U510">
        <f>IFERROR(INDEX(_DATA_Assessment_Model!$G$5:$G$884,MATCH($E510,_DATA_Assessment_Model!$A$5:$A$884,0)),"")</f>
        <v>5</v>
      </c>
      <c r="V510">
        <f>IFERROR(INDEX(_DATA_Assessment_Model!$W$5:$W$884,MATCH($E510,_DATA_Assessment_Model!$A$5:$A$884,0)),"")</f>
        <v>4</v>
      </c>
      <c r="W510">
        <f>IFERROR(INDEX(_DATA_Assessment_Model!$X$5:$X$884,MATCH($E510,_DATA_Assessment_Model!$A$5:$A$884,0)),"")</f>
        <v>5</v>
      </c>
      <c r="X510">
        <f>IFERROR(INDEX(_DATA_Assessment_Model!$Y$5:$Y$884,MATCH($E510,_DATA_Assessment_Model!$A$5:$A$884,0)),"")</f>
        <v>5</v>
      </c>
      <c r="Y510" t="s">
        <v>828</v>
      </c>
      <c r="Z510" t="s">
        <v>4591</v>
      </c>
      <c r="AA510" t="s">
        <v>891</v>
      </c>
      <c r="AB510">
        <f>IFERROR(INDEX(_DATA_Assessment_Model!$U$5:$U$884,MATCH($E510,_DATA_Assessment_Model!$A$5:$A$884,0)),"")</f>
        <v>0</v>
      </c>
      <c r="AF510" t="s">
        <v>890</v>
      </c>
      <c r="AH510" t="s">
        <v>2729</v>
      </c>
      <c r="AI510">
        <f t="shared" si="31"/>
        <v>21</v>
      </c>
      <c r="AJ510">
        <f t="shared" si="32"/>
        <v>21</v>
      </c>
      <c r="AK510">
        <f t="shared" si="33"/>
        <v>17</v>
      </c>
      <c r="AL510">
        <f t="shared" si="34"/>
        <v>17.204999999999998</v>
      </c>
      <c r="AM510">
        <f t="shared" si="35"/>
        <v>1.25</v>
      </c>
      <c r="AN510">
        <f t="shared" si="36"/>
        <v>0</v>
      </c>
      <c r="AO510">
        <f>IF($B510="Yes",IF(IFERROR(INDEX(_ENGINE_Crisis!$F$501:$F$517,MATCH($C510,_ENGINE_Crisis!$A$501:$A$517,0)),1)=0,1,IFERROR(INDEX(_ENGINE_Crisis!$F$501:$F$517,MATCH($C510,_ENGINE_Crisis!$A$501:$A$517,0)),1)),"")</f>
        <v>1</v>
      </c>
      <c r="AP510">
        <f t="shared" si="37"/>
        <v>15.7</v>
      </c>
      <c r="AQ510">
        <f t="shared" si="38"/>
        <v>1.6</v>
      </c>
      <c r="AR510" t="str">
        <f>IFERROR(INDEX(_ENGINE_Crisis!$E$41:$E$700,MATCH('Resilience &amp; Risk Scenario'!$B$6&amp;"|"&amp;$C510,_ENGINE_Crisis!$I$41:$I$700,0)),"")</f>
        <v/>
      </c>
      <c r="AS510" t="str">
        <f>IFERROR(INDEX(_ENGINE_Crisis!$G$41:$G$700,MATCH('Resilience &amp; Risk Scenario'!$B$6&amp;"|"&amp;$C510,_ENGINE_Crisis!$I$41:$I$700,0)),"")</f>
        <v/>
      </c>
      <c r="AT510" t="str">
        <f>IFERROR(INDEX(_ENGINE_Initiatives!$A$5:$A$532,MATCH(1,INDEX((_ENGINE_Initiatives!$B$5:$B$532=$C510)*(_ENGINE_Initiatives!$C$5:$C$532=$D510),0),0)),"")</f>
        <v>INI-002</v>
      </c>
      <c r="AU510" t="str">
        <f>IFERROR(INDEX(_ENGINE_Initiatives!$F$5:$F$532,MATCH(1,INDEX((_ENGINE_Initiatives!$B$5:$B$532=$C510)*(_ENGINE_Initiatives!$C$5:$C$532=$D510),0),0)),"")</f>
        <v>Build geographic exposure and site continuity model</v>
      </c>
      <c r="AV510">
        <f>IFERROR(INDEX(_ENGINE_Initiatives!$AC$5:$AC$532,MATCH(1,INDEX((_ENGINE_Initiatives!$B$5:$B$532=$C510)*(_ENGINE_Initiatives!$C$5:$C$532=$D510),0),0)),"")</f>
        <v>2.64</v>
      </c>
      <c r="AW510" t="str">
        <f>IFERROR(INDEX(_ENGINE_Initiatives!$AE$5:$AE$532,MATCH(1,INDEX((_ENGINE_Initiatives!$B$5:$B$532=$C510)*(_ENGINE_Initiatives!$C$5:$C$532=$D510),0),0)),"")</f>
        <v>0-90 days</v>
      </c>
      <c r="AX510">
        <f>IF($B510="Yes",IFERROR((IF(SUMIFS(_REF_Model_Content!$E$1:$E$613,_REF_Model_Content!$A$1:$A$613,PV_Canonical_Industry,_REF_Model_Content!$B$1:$B$613,$C510)=0,1,SUMIFS(_REF_Model_Content!$E$1:$E$613,_REF_Model_Content!$A$1:$A$613,PV_Canonical_Industry,_REF_Model_Content!$B$1:$B$613,$C510))*IFERROR($BU510,1)),1),"")</f>
        <v>1.2</v>
      </c>
      <c r="AY510">
        <f t="shared" si="39"/>
        <v>18.84</v>
      </c>
      <c r="AZ510">
        <f t="shared" si="40"/>
        <v>1.92</v>
      </c>
      <c r="BB510" t="str">
        <f>IF($H510="","",IFERROR(INDEX(_ENGINE_Risk!$AE$5:$AE$499,MATCH($E510,_ENGINE_Risk!$A$5:$A$499,0)),"Medium"))</f>
        <v>Medium</v>
      </c>
      <c r="BC510">
        <f t="shared" si="41"/>
        <v>1</v>
      </c>
      <c r="BD510">
        <f t="shared" si="42"/>
        <v>1.92</v>
      </c>
      <c r="BF510">
        <f>IF(OR($H510="",$J510=""),"",IFERROR(VLOOKUP(ROUND($J510,0),_CONFIG_Model_Settings!$D$154:$E$158,2,0),""))</f>
        <v>0.5</v>
      </c>
      <c r="BG510">
        <f>IFERROR(IF(OR($H510="",$K510=""),"",ROUND('Company Profile'!$B$113*INDEX(_CONFIG_Model_Settings!$H$154:$H$158,MATCH(ROUND($K510,0),_CONFIG_Model_Settings!$G$154:$G$158,0)),0)),0)</f>
        <v>875</v>
      </c>
      <c r="BH510">
        <f t="shared" si="43"/>
        <v>437.5</v>
      </c>
      <c r="BI510">
        <f t="shared" si="44"/>
        <v>437.5</v>
      </c>
      <c r="BJ510">
        <f>IF($E510="","",IFERROR(VLOOKUP($C510,_CONFIG_Risk_Calibration!$A$5:$H$21,2,FALSE),3))</f>
        <v>3</v>
      </c>
      <c r="BK510">
        <f>IF($E510="","",IFERROR(VLOOKUP($C510,_CONFIG_Risk_Calibration!$A$5:$H$21,3,FALSE),0))</f>
        <v>0</v>
      </c>
      <c r="BL510">
        <f>IF($E510="","",IFERROR(VLOOKUP($C510,_CONFIG_Risk_Calibration!$A$5:$H$21,4,FALSE),3))</f>
        <v>3</v>
      </c>
      <c r="BM510">
        <f>IF($E510="","",IFERROR(VLOOKUP($C510,_CONFIG_Risk_Calibration!$A$5:$H$21,5,FALSE),3))</f>
        <v>3</v>
      </c>
      <c r="BN510" t="str">
        <f>IF($E510="","",IFERROR(VLOOKUP($C510,_CONFIG_Risk_Calibration!$A$5:$H$21,6,FALSE),"No"))</f>
        <v>No</v>
      </c>
      <c r="BO510">
        <f>IF($E510="","",IFERROR(VLOOKUP($C510,_CONFIG_Risk_Calibration!$A$5:$H$21,7,FALSE),1))</f>
        <v>1</v>
      </c>
      <c r="BP510">
        <f>IF($H510="","",MAX(1,MIN(5,((6-$H510)*0.45)+($BJ510*0.2)+('Resilience &amp; Risk Scenario'!$B$7*0.15)+($BK510*0.1)+($BL510*0.05)+(IF($BB510="Fast",5,IF($BB510="Slow",1,3))*0.05))))</f>
        <v>3.6</v>
      </c>
      <c r="BQ510">
        <f t="shared" si="45"/>
        <v>4.3500000000000005</v>
      </c>
      <c r="BR510">
        <f t="shared" si="46"/>
        <v>15.66</v>
      </c>
      <c r="BS510">
        <f t="shared" si="47"/>
        <v>18.79</v>
      </c>
      <c r="BT510" t="str">
        <f>IFERROR(INDEX(_REF_Capability_Bridge!$D:$D,MATCH($C510&amp;"|"&amp;$D510,_REF_Capability_Bridge!$J:$J,0)),IFERROR(INDEX(_REF_Capability_Bridge!$D:$D,MATCH($C510&amp;"|",_REF_Capability_Bridge!$J:$J,0)),"CAP_GENERIC"))</f>
        <v>CAP_REMOTE_WORK</v>
      </c>
      <c r="BU510">
        <f>IFERROR(IFERROR(INDEX(_ENGINE_Relevance!$L:$L,MATCH($BT510,_ENGINE_Relevance!$B:$B,0)),1),1)</f>
        <v>1.2</v>
      </c>
      <c r="BV510" t="str">
        <f>IFERROR(INDEX(_REF_Capability_Bridge!$A:$A,MATCH($C510&amp;"|"&amp;$D510,_REF_Capability_Bridge!$J:$J,0)),IFERROR(INDEX(_REF_Capability_Bridge!$A:$A,MATCH($C510&amp;"|",_REF_Capability_Bridge!$J:$J,0)),"No bridge"))</f>
        <v>BRG-010</v>
      </c>
      <c r="BW510" t="str">
        <f t="shared" si="48"/>
        <v>Capability relevance increases risk priority</v>
      </c>
      <c r="BX510" t="str">
        <f t="shared" si="49"/>
        <v>Initial / absent</v>
      </c>
      <c r="BY510" t="str">
        <f>IF($E510="","",IFERROR(INDEX(_REF_Treatment_Library!$A$2:$A$296,MATCH(1,INDEX((_REF_Treatment_Library!$B$2:$B$296=$BT510)*(_REF_Treatment_Library!$C$2:$C$296=PV_Canonical_Industry)*(_REF_Treatment_Library!$E$2:$E$296&lt;=N($H510))*(_REF_Treatment_Library!$F$2:$F$296&gt;=N($H510))*(_REF_Treatment_Library!$O$2:$O$296="Yes"),0),0)),IFERROR(INDEX(_REF_Treatment_Library!$A$2:$A$296,MATCH(1,INDEX((_REF_Treatment_Library!$B$2:$B$296=$BT510)*(_REF_Treatment_Library!$C$2:$C$296="All")*(_REF_Treatment_Library!$E$2:$E$296&lt;=N($H510))*(_REF_Treatment_Library!$F$2:$F$296&gt;=N($H510))*(_REF_Treatment_Library!$O$2:$O$296="Yes"),0),0)),"")))</f>
        <v>TRT-REMOTE_WORK-INITIAL</v>
      </c>
      <c r="BZ510" t="str">
        <f>IF($BY510="","",IFERROR(INDEX(_REF_Treatment_Library!$H$2:$H$296,MATCH($BY510,_REF_Treatment_Library!$A$2:$A$296,0)),""))</f>
        <v>Establish</v>
      </c>
      <c r="CA510" t="str">
        <f>IF($BY510="","",IFERROR(INDEX(_REF_Treatment_Library!$I$2:$I$296,MATCH($BY510,_REF_Treatment_Library!$A$2:$A$296,0)),""))</f>
        <v>Establish baseline controls for Remote work</v>
      </c>
      <c r="CB510" t="str">
        <f>IF($BY510="","",IFERROR(INDEX(_REF_Treatment_Library!$K$2:$K$296,MATCH($BY510,_REF_Treatment_Library!$A$2:$A$296,0)),""))</f>
        <v>Named owner, baseline process, minimum control checklist, first evidence package</v>
      </c>
      <c r="CC510" t="str">
        <f>IF($BY510="","",IFERROR(INDEX(_REF_Treatment_Library!$L$2:$L$296,MATCH($BY510,_REF_Treatment_Library!$A$2:$A$296,0)),""))</f>
        <v>Owner assigned; baseline evidence coverage; open critical gaps</v>
      </c>
      <c r="CD510" t="str">
        <f t="shared" si="50"/>
        <v>Treatment by capability=CAP_REMOTE_WORK; band=Initial / absent; score=0.0; treatment=Establish</v>
      </c>
      <c r="CE510" t="str">
        <f>IF($E510="","",IFERROR(INDEX(_REF_Industry_Wording!$A$2:$A$70,MATCH(1,INDEX((_REF_Industry_Wording!$B$2:$B$70=$BT510)*(_REF_Industry_Wording!$C$2:$C$70=PV_Canonical_Industry)*(_REF_Industry_Wording!$K$2:$K$70="Yes"),0),0)),IFERROR(INDEX(_REF_Industry_Wording!$A$2:$A$70,MATCH(1,INDEX((_REF_Industry_Wording!$B$2:$B$70=$BT510)*(_REF_Industry_Wording!$C$2:$C$70="All")*(_REF_Industry_Wording!$K$2:$K$70="Yes"),0),0)),"")))</f>
        <v>IW-ALL-REMOTE_WORK</v>
      </c>
      <c r="CF510" t="str">
        <f>IF($CE510="","",IFERROR(INDEX(_REF_Industry_Wording!$E$2:$E$70,MATCH($CE510,_REF_Industry_Wording!$A$2:$A$70,0)),""))</f>
        <v>Remote work weakness</v>
      </c>
      <c r="CG510" t="str">
        <f>IF($CE510="","",IFERROR(INDEX(_REF_Industry_Wording!$F$2:$F$70,MATCH($CE510,_REF_Industry_Wording!$A$2:$A$70,0)),""))</f>
        <v>Strengthen Remote work</v>
      </c>
      <c r="CH510" t="str">
        <f>IF($CE510="","",IFERROR(INDEX(_REF_Industry_Wording!$G$2:$G$70,MATCH($CE510,_REF_Industry_Wording!$A$2:$A$70,0)),""))</f>
        <v>Strengthen Remote work using the selected maturity treatment, crisis scenario and evidence requirements.</v>
      </c>
      <c r="CI510" t="str">
        <f>IF($CE510="","",IFERROR(INDEX(_REF_Industry_Wording!$H$2:$H$70,MATCH($CE510,_REF_Industry_Wording!$A$2:$A$70,0)),""))</f>
        <v>Remote work</v>
      </c>
      <c r="CJ510">
        <f>IF($CE510="","",IFERROR(INDEX(_REF_Industry_Wording!$I$2:$I$70,MATCH($CE510,_REF_Industry_Wording!$A$2:$A$70,0)),""))</f>
        <v>0</v>
      </c>
      <c r="CK510" t="str">
        <f>IF($CE510="","",IFERROR(INDEX(_REF_Industry_Wording!$J$2:$J$70,MATCH($CE510,_REF_Industry_Wording!$A$2:$A$70,0)),""))</f>
        <v>Remote work</v>
      </c>
      <c r="CL510" t="str">
        <f t="shared" si="51"/>
        <v>Wording by industry=0; capability=CAP_REMOTE_WORK; risk label=Remote work weakness</v>
      </c>
      <c r="CM510" t="str">
        <f t="shared" si="52"/>
        <v>RISK-ONT-0011</v>
      </c>
      <c r="CN510" t="str">
        <f t="shared" si="53"/>
        <v>RISK-EVT-0011</v>
      </c>
      <c r="CO510" t="str">
        <f t="shared" si="54"/>
        <v>Company Geography|Geographical distribution|COMP-011|CAP_REMOTE_WORK</v>
      </c>
      <c r="CP510" t="str">
        <f t="shared" si="55"/>
        <v>Active</v>
      </c>
      <c r="CQ510" t="str">
        <f t="shared" si="56"/>
        <v>OK: capability-driven</v>
      </c>
      <c r="CR510" t="str">
        <f t="shared" si="57"/>
        <v>Risk ontology uses capability=CAP_REMOTE_WORK; bridge=BRG-010; treatment=TRT-REMOTE_WORK-INITIAL; wording=IW-ALL-REMOTE_WORK</v>
      </c>
      <c r="CS510" t="str">
        <f t="shared" si="58"/>
        <v>Yes</v>
      </c>
    </row>
    <row r="511" spans="1:97" ht="69.900000000000006" customHeight="1">
      <c r="A511">
        <f>IF(OR($B511&lt;&gt;"Yes",$BS511=""),"",SUMPRODUCT(($B$500:$B$923="Yes")*ISNUMBER($BS$500:$BS$923)*($BS$500:$BS$923&gt;$BS511))+COUNTIFS($B$500:$B511,"Yes",$BS$500:$BS511,$BS511))</f>
        <v>175</v>
      </c>
      <c r="B511" t="str">
        <f t="shared" si="21"/>
        <v>Yes</v>
      </c>
      <c r="C511" t="s">
        <v>815</v>
      </c>
      <c r="D511" t="s">
        <v>839</v>
      </c>
      <c r="E511" t="s">
        <v>892</v>
      </c>
      <c r="F511" t="s">
        <v>3679</v>
      </c>
      <c r="G511" t="str">
        <f>IF($H511="","",IFERROR(INDEX(_ENGINE_Risk!$H$5:$M$499,MATCH($E511,_ENGINE_Risk!$A$5:$A$499,0),$H511+1),""))</f>
        <v>Severe risk: customer distribution by geography, industry, contract and crisis sensitivity is not reliably controlled. During Geopolitical risk; Physical site loss; Regulatory/legal shock, the organization may face unclear exposure across entities, sites and markets, delayed strategic response and underestimated crisis impact with limited visibility or accountability.</v>
      </c>
      <c r="H511">
        <f>IFERROR(VALUE(INDEX(_DATA_Assessment_Model!$H$5:$H$884,MATCH($E511,_DATA_Assessment_Model!$A$5:$A$884,0))),"")</f>
        <v>0</v>
      </c>
      <c r="I511" t="str">
        <f>IF($H511="","",IFERROR(INDEX(_DATA_Assessment_Model!$L$5:$L$884,MATCH($E511,_DATA_Assessment_Model!$A$5:$A$884,0)),IF($H511&lt;=1,"Critical",IF($H511=2,"High",IF($H511=3,"Medium",IF($H511=4,"Low","Resilient"))))))</f>
        <v>Critical</v>
      </c>
      <c r="J511">
        <f t="shared" si="22"/>
        <v>3.6</v>
      </c>
      <c r="K511">
        <f t="shared" si="23"/>
        <v>4.3500000000000005</v>
      </c>
      <c r="L511">
        <f t="shared" si="24"/>
        <v>15.660000000000002</v>
      </c>
      <c r="M511">
        <f t="shared" si="25"/>
        <v>4</v>
      </c>
      <c r="N511">
        <f>IF($H511="","",IFERROR(INDEX(_ENGINE_Risk!$T$5:$Y$499,MATCH($E511,_ENGINE_Risk!$A$5:$A$499,0),$H511+1),""))</f>
        <v>3</v>
      </c>
      <c r="O511">
        <f t="shared" si="26"/>
        <v>4.666666666666667</v>
      </c>
      <c r="P511">
        <f t="shared" si="27"/>
        <v>5</v>
      </c>
      <c r="Q511">
        <f t="shared" si="28"/>
        <v>5</v>
      </c>
      <c r="R511">
        <f t="shared" si="29"/>
        <v>4.5</v>
      </c>
      <c r="S511">
        <f t="shared" si="30"/>
        <v>1.6</v>
      </c>
      <c r="T511" t="str">
        <f>IF($H511="","",IFERROR(INDEX(_ENGINE_Risk!$N$5:$S$499,MATCH($E511,_ENGINE_Risk!$A$5:$A$499,0),$H511+1),""))</f>
        <v>Create an immediate risk owner, minimum control baseline and fallback procedure for customer distribution by geography, industry, contract and crisis sensitivity. Add it to the crisis risk register and collect first evidence.</v>
      </c>
      <c r="U511">
        <f>IFERROR(INDEX(_DATA_Assessment_Model!$G$5:$G$884,MATCH($E511,_DATA_Assessment_Model!$A$5:$A$884,0)),"")</f>
        <v>5</v>
      </c>
      <c r="V511">
        <f>IFERROR(INDEX(_DATA_Assessment_Model!$W$5:$W$884,MATCH($E511,_DATA_Assessment_Model!$A$5:$A$884,0)),"")</f>
        <v>4</v>
      </c>
      <c r="W511">
        <f>IFERROR(INDEX(_DATA_Assessment_Model!$X$5:$X$884,MATCH($E511,_DATA_Assessment_Model!$A$5:$A$884,0)),"")</f>
        <v>5</v>
      </c>
      <c r="X511">
        <f>IFERROR(INDEX(_DATA_Assessment_Model!$Y$5:$Y$884,MATCH($E511,_DATA_Assessment_Model!$A$5:$A$884,0)),"")</f>
        <v>5</v>
      </c>
      <c r="Y511" t="s">
        <v>828</v>
      </c>
      <c r="Z511" t="s">
        <v>4591</v>
      </c>
      <c r="AA511" t="s">
        <v>894</v>
      </c>
      <c r="AB511">
        <f>IFERROR(INDEX(_DATA_Assessment_Model!$U$5:$U$884,MATCH($E511,_DATA_Assessment_Model!$A$5:$A$884,0)),"")</f>
        <v>0</v>
      </c>
      <c r="AF511" t="s">
        <v>893</v>
      </c>
      <c r="AH511" t="s">
        <v>2824</v>
      </c>
      <c r="AI511">
        <f t="shared" si="31"/>
        <v>27</v>
      </c>
      <c r="AJ511">
        <f t="shared" si="32"/>
        <v>27</v>
      </c>
      <c r="AK511">
        <f t="shared" si="33"/>
        <v>15.4</v>
      </c>
      <c r="AL511">
        <f t="shared" si="34"/>
        <v>15.75</v>
      </c>
      <c r="AM511">
        <f t="shared" si="35"/>
        <v>1.24</v>
      </c>
      <c r="AN511">
        <f t="shared" si="36"/>
        <v>0</v>
      </c>
      <c r="AO511">
        <f>IF($B511="Yes",IF(IFERROR(INDEX(_ENGINE_Crisis!$F$501:$F$517,MATCH($C511,_ENGINE_Crisis!$A$501:$A$517,0)),1)=0,1,IFERROR(INDEX(_ENGINE_Crisis!$F$501:$F$517,MATCH($C511,_ENGINE_Crisis!$A$501:$A$517,0)),1)),"")</f>
        <v>1</v>
      </c>
      <c r="AP511">
        <f t="shared" si="37"/>
        <v>15.7</v>
      </c>
      <c r="AQ511">
        <f t="shared" si="38"/>
        <v>1.6</v>
      </c>
      <c r="AR511" t="str">
        <f>IFERROR(INDEX(_ENGINE_Crisis!$E$41:$E$700,MATCH('Resilience &amp; Risk Scenario'!$B$6&amp;"|"&amp;$C511,_ENGINE_Crisis!$I$41:$I$700,0)),"")</f>
        <v/>
      </c>
      <c r="AS511" t="str">
        <f>IFERROR(INDEX(_ENGINE_Crisis!$G$41:$G$700,MATCH('Resilience &amp; Risk Scenario'!$B$6&amp;"|"&amp;$C511,_ENGINE_Crisis!$I$41:$I$700,0)),"")</f>
        <v/>
      </c>
      <c r="AT511" t="str">
        <f>IFERROR(INDEX(_ENGINE_Initiatives!$A$5:$A$532,MATCH(1,INDEX((_ENGINE_Initiatives!$B$5:$B$532=$C511)*(_ENGINE_Initiatives!$C$5:$C$532=$D511),0),0)),"")</f>
        <v>INI-002</v>
      </c>
      <c r="AU511" t="str">
        <f>IFERROR(INDEX(_ENGINE_Initiatives!$F$5:$F$532,MATCH(1,INDEX((_ENGINE_Initiatives!$B$5:$B$532=$C511)*(_ENGINE_Initiatives!$C$5:$C$532=$D511),0),0)),"")</f>
        <v>Build geographic exposure and site continuity model</v>
      </c>
      <c r="AV511">
        <f>IFERROR(INDEX(_ENGINE_Initiatives!$AC$5:$AC$532,MATCH(1,INDEX((_ENGINE_Initiatives!$B$5:$B$532=$C511)*(_ENGINE_Initiatives!$C$5:$C$532=$D511),0),0)),"")</f>
        <v>2.64</v>
      </c>
      <c r="AW511" t="str">
        <f>IFERROR(INDEX(_ENGINE_Initiatives!$AE$5:$AE$532,MATCH(1,INDEX((_ENGINE_Initiatives!$B$5:$B$532=$C511)*(_ENGINE_Initiatives!$C$5:$C$532=$D511),0),0)),"")</f>
        <v>0-90 days</v>
      </c>
      <c r="AX511">
        <f>IF($B511="Yes",IFERROR((IF(SUMIFS(_REF_Model_Content!$E$1:$E$613,_REF_Model_Content!$A$1:$A$613,PV_Canonical_Industry,_REF_Model_Content!$B$1:$B$613,$C511)=0,1,SUMIFS(_REF_Model_Content!$E$1:$E$613,_REF_Model_Content!$A$1:$A$613,PV_Canonical_Industry,_REF_Model_Content!$B$1:$B$613,$C511))*IFERROR($BU511,1)),1),"")</f>
        <v>1.2</v>
      </c>
      <c r="AY511">
        <f t="shared" si="39"/>
        <v>18.84</v>
      </c>
      <c r="AZ511">
        <f t="shared" si="40"/>
        <v>1.92</v>
      </c>
      <c r="BB511" t="str">
        <f>IF($H511="","",IFERROR(INDEX(_ENGINE_Risk!$AE$5:$AE$499,MATCH($E511,_ENGINE_Risk!$A$5:$A$499,0)),"Medium"))</f>
        <v>Medium</v>
      </c>
      <c r="BC511">
        <f t="shared" si="41"/>
        <v>1</v>
      </c>
      <c r="BD511">
        <f t="shared" si="42"/>
        <v>1.92</v>
      </c>
      <c r="BF511">
        <f>IF(OR($H511="",$J511=""),"",IFERROR(VLOOKUP(ROUND($J511,0),_CONFIG_Model_Settings!$D$154:$E$158,2,0),""))</f>
        <v>0.5</v>
      </c>
      <c r="BG511">
        <f>IFERROR(IF(OR($H511="",$K511=""),"",ROUND('Company Profile'!$B$113*INDEX(_CONFIG_Model_Settings!$H$154:$H$158,MATCH(ROUND($K511,0),_CONFIG_Model_Settings!$G$154:$G$158,0)),0)),0)</f>
        <v>875</v>
      </c>
      <c r="BH511">
        <f t="shared" si="43"/>
        <v>437.5</v>
      </c>
      <c r="BI511">
        <f t="shared" si="44"/>
        <v>437.5</v>
      </c>
      <c r="BJ511">
        <f>IF($E511="","",IFERROR(VLOOKUP($C511,_CONFIG_Risk_Calibration!$A$5:$H$21,2,FALSE),3))</f>
        <v>3</v>
      </c>
      <c r="BK511">
        <f>IF($E511="","",IFERROR(VLOOKUP($C511,_CONFIG_Risk_Calibration!$A$5:$H$21,3,FALSE),0))</f>
        <v>0</v>
      </c>
      <c r="BL511">
        <f>IF($E511="","",IFERROR(VLOOKUP($C511,_CONFIG_Risk_Calibration!$A$5:$H$21,4,FALSE),3))</f>
        <v>3</v>
      </c>
      <c r="BM511">
        <f>IF($E511="","",IFERROR(VLOOKUP($C511,_CONFIG_Risk_Calibration!$A$5:$H$21,5,FALSE),3))</f>
        <v>3</v>
      </c>
      <c r="BN511" t="str">
        <f>IF($E511="","",IFERROR(VLOOKUP($C511,_CONFIG_Risk_Calibration!$A$5:$H$21,6,FALSE),"No"))</f>
        <v>No</v>
      </c>
      <c r="BO511">
        <f>IF($E511="","",IFERROR(VLOOKUP($C511,_CONFIG_Risk_Calibration!$A$5:$H$21,7,FALSE),1))</f>
        <v>1</v>
      </c>
      <c r="BP511">
        <f>IF($H511="","",MAX(1,MIN(5,((6-$H511)*0.45)+($BJ511*0.2)+('Resilience &amp; Risk Scenario'!$B$7*0.15)+($BK511*0.1)+($BL511*0.05)+(IF($BB511="Fast",5,IF($BB511="Slow",1,3))*0.05))))</f>
        <v>3.6</v>
      </c>
      <c r="BQ511">
        <f t="shared" si="45"/>
        <v>4.3500000000000005</v>
      </c>
      <c r="BR511">
        <f t="shared" si="46"/>
        <v>15.66</v>
      </c>
      <c r="BS511">
        <f t="shared" si="47"/>
        <v>18.79</v>
      </c>
      <c r="BT511" t="str">
        <f>IFERROR(INDEX(_REF_Capability_Bridge!$D:$D,MATCH($C511&amp;"|"&amp;$D511,_REF_Capability_Bridge!$J:$J,0)),IFERROR(INDEX(_REF_Capability_Bridge!$D:$D,MATCH($C511&amp;"|",_REF_Capability_Bridge!$J:$J,0)),"CAP_GENERIC"))</f>
        <v>CAP_REMOTE_WORK</v>
      </c>
      <c r="BU511">
        <f>IFERROR(IFERROR(INDEX(_ENGINE_Relevance!$L:$L,MATCH($BT511,_ENGINE_Relevance!$B:$B,0)),1),1)</f>
        <v>1.2</v>
      </c>
      <c r="BV511" t="str">
        <f>IFERROR(INDEX(_REF_Capability_Bridge!$A:$A,MATCH($C511&amp;"|"&amp;$D511,_REF_Capability_Bridge!$J:$J,0)),IFERROR(INDEX(_REF_Capability_Bridge!$A:$A,MATCH($C511&amp;"|",_REF_Capability_Bridge!$J:$J,0)),"No bridge"))</f>
        <v>BRG-010</v>
      </c>
      <c r="BW511" t="str">
        <f t="shared" si="48"/>
        <v>Capability relevance increases risk priority</v>
      </c>
      <c r="BX511" t="str">
        <f t="shared" si="49"/>
        <v>Initial / absent</v>
      </c>
      <c r="BY511" t="str">
        <f>IF($E511="","",IFERROR(INDEX(_REF_Treatment_Library!$A$2:$A$296,MATCH(1,INDEX((_REF_Treatment_Library!$B$2:$B$296=$BT511)*(_REF_Treatment_Library!$C$2:$C$296=PV_Canonical_Industry)*(_REF_Treatment_Library!$E$2:$E$296&lt;=N($H511))*(_REF_Treatment_Library!$F$2:$F$296&gt;=N($H511))*(_REF_Treatment_Library!$O$2:$O$296="Yes"),0),0)),IFERROR(INDEX(_REF_Treatment_Library!$A$2:$A$296,MATCH(1,INDEX((_REF_Treatment_Library!$B$2:$B$296=$BT511)*(_REF_Treatment_Library!$C$2:$C$296="All")*(_REF_Treatment_Library!$E$2:$E$296&lt;=N($H511))*(_REF_Treatment_Library!$F$2:$F$296&gt;=N($H511))*(_REF_Treatment_Library!$O$2:$O$296="Yes"),0),0)),"")))</f>
        <v>TRT-REMOTE_WORK-INITIAL</v>
      </c>
      <c r="BZ511" t="str">
        <f>IF($BY511="","",IFERROR(INDEX(_REF_Treatment_Library!$H$2:$H$296,MATCH($BY511,_REF_Treatment_Library!$A$2:$A$296,0)),""))</f>
        <v>Establish</v>
      </c>
      <c r="CA511" t="str">
        <f>IF($BY511="","",IFERROR(INDEX(_REF_Treatment_Library!$I$2:$I$296,MATCH($BY511,_REF_Treatment_Library!$A$2:$A$296,0)),""))</f>
        <v>Establish baseline controls for Remote work</v>
      </c>
      <c r="CB511" t="str">
        <f>IF($BY511="","",IFERROR(INDEX(_REF_Treatment_Library!$K$2:$K$296,MATCH($BY511,_REF_Treatment_Library!$A$2:$A$296,0)),""))</f>
        <v>Named owner, baseline process, minimum control checklist, first evidence package</v>
      </c>
      <c r="CC511" t="str">
        <f>IF($BY511="","",IFERROR(INDEX(_REF_Treatment_Library!$L$2:$L$296,MATCH($BY511,_REF_Treatment_Library!$A$2:$A$296,0)),""))</f>
        <v>Owner assigned; baseline evidence coverage; open critical gaps</v>
      </c>
      <c r="CD511" t="str">
        <f t="shared" si="50"/>
        <v>Treatment by capability=CAP_REMOTE_WORK; band=Initial / absent; score=0.0; treatment=Establish</v>
      </c>
      <c r="CE511" t="str">
        <f>IF($E511="","",IFERROR(INDEX(_REF_Industry_Wording!$A$2:$A$70,MATCH(1,INDEX((_REF_Industry_Wording!$B$2:$B$70=$BT511)*(_REF_Industry_Wording!$C$2:$C$70=PV_Canonical_Industry)*(_REF_Industry_Wording!$K$2:$K$70="Yes"),0),0)),IFERROR(INDEX(_REF_Industry_Wording!$A$2:$A$70,MATCH(1,INDEX((_REF_Industry_Wording!$B$2:$B$70=$BT511)*(_REF_Industry_Wording!$C$2:$C$70="All")*(_REF_Industry_Wording!$K$2:$K$70="Yes"),0),0)),"")))</f>
        <v>IW-ALL-REMOTE_WORK</v>
      </c>
      <c r="CF511" t="str">
        <f>IF($CE511="","",IFERROR(INDEX(_REF_Industry_Wording!$E$2:$E$70,MATCH($CE511,_REF_Industry_Wording!$A$2:$A$70,0)),""))</f>
        <v>Remote work weakness</v>
      </c>
      <c r="CG511" t="str">
        <f>IF($CE511="","",IFERROR(INDEX(_REF_Industry_Wording!$F$2:$F$70,MATCH($CE511,_REF_Industry_Wording!$A$2:$A$70,0)),""))</f>
        <v>Strengthen Remote work</v>
      </c>
      <c r="CH511" t="str">
        <f>IF($CE511="","",IFERROR(INDEX(_REF_Industry_Wording!$G$2:$G$70,MATCH($CE511,_REF_Industry_Wording!$A$2:$A$70,0)),""))</f>
        <v>Strengthen Remote work using the selected maturity treatment, crisis scenario and evidence requirements.</v>
      </c>
      <c r="CI511" t="str">
        <f>IF($CE511="","",IFERROR(INDEX(_REF_Industry_Wording!$H$2:$H$70,MATCH($CE511,_REF_Industry_Wording!$A$2:$A$70,0)),""))</f>
        <v>Remote work</v>
      </c>
      <c r="CJ511">
        <f>IF($CE511="","",IFERROR(INDEX(_REF_Industry_Wording!$I$2:$I$70,MATCH($CE511,_REF_Industry_Wording!$A$2:$A$70,0)),""))</f>
        <v>0</v>
      </c>
      <c r="CK511" t="str">
        <f>IF($CE511="","",IFERROR(INDEX(_REF_Industry_Wording!$J$2:$J$70,MATCH($CE511,_REF_Industry_Wording!$A$2:$A$70,0)),""))</f>
        <v>Remote work</v>
      </c>
      <c r="CL511" t="str">
        <f t="shared" si="51"/>
        <v>Wording by industry=0; capability=CAP_REMOTE_WORK; risk label=Remote work weakness</v>
      </c>
      <c r="CM511" t="str">
        <f t="shared" si="52"/>
        <v>RISK-ONT-0012</v>
      </c>
      <c r="CN511" t="str">
        <f t="shared" si="53"/>
        <v>RISK-EVT-0012</v>
      </c>
      <c r="CO511" t="str">
        <f t="shared" si="54"/>
        <v>Company Geography|Geographical distribution|COMP-012|CAP_REMOTE_WORK</v>
      </c>
      <c r="CP511" t="str">
        <f t="shared" si="55"/>
        <v>Active</v>
      </c>
      <c r="CQ511" t="str">
        <f t="shared" si="56"/>
        <v>OK: capability-driven</v>
      </c>
      <c r="CR511" t="str">
        <f t="shared" si="57"/>
        <v>Risk ontology uses capability=CAP_REMOTE_WORK; bridge=BRG-010; treatment=TRT-REMOTE_WORK-INITIAL; wording=IW-ALL-REMOTE_WORK</v>
      </c>
      <c r="CS511" t="str">
        <f t="shared" si="58"/>
        <v>Yes</v>
      </c>
    </row>
    <row r="512" spans="1:97" ht="69.900000000000006" customHeight="1">
      <c r="A512">
        <f>IF(OR($B512&lt;&gt;"Yes",$BS512=""),"",SUMPRODUCT(($B$500:$B$923="Yes")*ISNUMBER($BS$500:$BS$923)*($BS$500:$BS$923&gt;$BS512))+COUNTIFS($B$500:$B512,"Yes",$BS$500:$BS512,$BS512))</f>
        <v>213</v>
      </c>
      <c r="B512" t="str">
        <f t="shared" si="21"/>
        <v>Yes</v>
      </c>
      <c r="C512" t="s">
        <v>815</v>
      </c>
      <c r="D512" t="s">
        <v>839</v>
      </c>
      <c r="E512" t="s">
        <v>895</v>
      </c>
      <c r="F512" t="s">
        <v>3679</v>
      </c>
      <c r="G512" t="str">
        <f>IF($H512="","",IFERROR(INDEX(_ENGINE_Risk!$H$5:$M$499,MATCH($E512,_ENGINE_Risk!$A$5:$A$499,0),$H512+1),""))</f>
        <v>Severe risk: country risk monitoring for war, sanctions, political instability, natural disaster and energy risks is not reliably controlled. During Geopolitical risk; Physical site loss; Regulatory/legal shock, the organization may face unclear exposure across entities, sites and markets, delayed strategic response and underestimated crisis impact with limited visibility or accountability.</v>
      </c>
      <c r="H512">
        <f>IFERROR(VALUE(INDEX(_DATA_Assessment_Model!$H$5:$H$884,MATCH($E512,_DATA_Assessment_Model!$A$5:$A$884,0))),"")</f>
        <v>0</v>
      </c>
      <c r="I512" t="str">
        <f>IF($H512="","",IFERROR(INDEX(_DATA_Assessment_Model!$L$5:$L$884,MATCH($E512,_DATA_Assessment_Model!$A$5:$A$884,0)),IF($H512&lt;=1,"Critical",IF($H512=2,"High",IF($H512=3,"Medium",IF($H512=4,"Low","Resilient"))))))</f>
        <v>Critical</v>
      </c>
      <c r="J512">
        <f t="shared" si="22"/>
        <v>3.6</v>
      </c>
      <c r="K512">
        <f t="shared" si="23"/>
        <v>4.1500000000000004</v>
      </c>
      <c r="L512">
        <f t="shared" si="24"/>
        <v>14.940000000000001</v>
      </c>
      <c r="M512">
        <f t="shared" si="25"/>
        <v>3</v>
      </c>
      <c r="N512">
        <f>IF($H512="","",IFERROR(INDEX(_ENGINE_Risk!$T$5:$Y$499,MATCH($E512,_ENGINE_Risk!$A$5:$A$499,0),$H512+1),""))</f>
        <v>3</v>
      </c>
      <c r="O512">
        <f t="shared" si="26"/>
        <v>4.333333333333333</v>
      </c>
      <c r="P512">
        <f t="shared" si="27"/>
        <v>5</v>
      </c>
      <c r="Q512">
        <f t="shared" si="28"/>
        <v>5</v>
      </c>
      <c r="R512">
        <f t="shared" si="29"/>
        <v>4.5</v>
      </c>
      <c r="S512">
        <f t="shared" si="30"/>
        <v>1.57</v>
      </c>
      <c r="T512" t="str">
        <f>IF($H512="","",IFERROR(INDEX(_ENGINE_Risk!$N$5:$S$499,MATCH($E512,_ENGINE_Risk!$A$5:$A$499,0),$H512+1),""))</f>
        <v>Create an immediate risk owner, minimum control baseline and fallback procedure for country risk monitoring for war, sanctions, political instability, natural disaster and energy risks. Add it to the crisis risk register and collect first evidence.</v>
      </c>
      <c r="U512">
        <f>IFERROR(INDEX(_DATA_Assessment_Model!$G$5:$G$884,MATCH($E512,_DATA_Assessment_Model!$A$5:$A$884,0)),"")</f>
        <v>4</v>
      </c>
      <c r="V512">
        <f>IFERROR(INDEX(_DATA_Assessment_Model!$W$5:$W$884,MATCH($E512,_DATA_Assessment_Model!$A$5:$A$884,0)),"")</f>
        <v>4</v>
      </c>
      <c r="W512">
        <f>IFERROR(INDEX(_DATA_Assessment_Model!$X$5:$X$884,MATCH($E512,_DATA_Assessment_Model!$A$5:$A$884,0)),"")</f>
        <v>5</v>
      </c>
      <c r="X512">
        <f>IFERROR(INDEX(_DATA_Assessment_Model!$Y$5:$Y$884,MATCH($E512,_DATA_Assessment_Model!$A$5:$A$884,0)),"")</f>
        <v>5</v>
      </c>
      <c r="Y512" t="s">
        <v>828</v>
      </c>
      <c r="Z512" t="s">
        <v>4591</v>
      </c>
      <c r="AA512" t="s">
        <v>897</v>
      </c>
      <c r="AB512">
        <f>IFERROR(INDEX(_DATA_Assessment_Model!$U$5:$U$884,MATCH($E512,_DATA_Assessment_Model!$A$5:$A$884,0)),"")</f>
        <v>0</v>
      </c>
      <c r="AF512" t="s">
        <v>896</v>
      </c>
      <c r="AH512" t="s">
        <v>2986</v>
      </c>
      <c r="AI512">
        <f t="shared" si="31"/>
        <v>34</v>
      </c>
      <c r="AJ512">
        <f t="shared" si="32"/>
        <v>34</v>
      </c>
      <c r="AK512">
        <f t="shared" si="33"/>
        <v>18.5</v>
      </c>
      <c r="AL512">
        <f t="shared" si="34"/>
        <v>18.5</v>
      </c>
      <c r="AM512">
        <f t="shared" si="35"/>
        <v>1.28</v>
      </c>
      <c r="AN512">
        <f t="shared" si="36"/>
        <v>0</v>
      </c>
      <c r="AO512">
        <f>IF($B512="Yes",IF(IFERROR(INDEX(_ENGINE_Crisis!$F$501:$F$517,MATCH($C512,_ENGINE_Crisis!$A$501:$A$517,0)),1)=0,1,IFERROR(INDEX(_ENGINE_Crisis!$F$501:$F$517,MATCH($C512,_ENGINE_Crisis!$A$501:$A$517,0)),1)),"")</f>
        <v>1</v>
      </c>
      <c r="AP512">
        <f t="shared" si="37"/>
        <v>14.9</v>
      </c>
      <c r="AQ512">
        <f t="shared" si="38"/>
        <v>1.57</v>
      </c>
      <c r="AR512" t="str">
        <f>IFERROR(INDEX(_ENGINE_Crisis!$E$41:$E$700,MATCH('Resilience &amp; Risk Scenario'!$B$6&amp;"|"&amp;$C512,_ENGINE_Crisis!$I$41:$I$700,0)),"")</f>
        <v/>
      </c>
      <c r="AS512" t="str">
        <f>IFERROR(INDEX(_ENGINE_Crisis!$G$41:$G$700,MATCH('Resilience &amp; Risk Scenario'!$B$6&amp;"|"&amp;$C512,_ENGINE_Crisis!$I$41:$I$700,0)),"")</f>
        <v/>
      </c>
      <c r="AT512" t="str">
        <f>IFERROR(INDEX(_ENGINE_Initiatives!$A$5:$A$532,MATCH(1,INDEX((_ENGINE_Initiatives!$B$5:$B$532=$C512)*(_ENGINE_Initiatives!$C$5:$C$532=$D512),0),0)),"")</f>
        <v>INI-002</v>
      </c>
      <c r="AU512" t="str">
        <f>IFERROR(INDEX(_ENGINE_Initiatives!$F$5:$F$532,MATCH(1,INDEX((_ENGINE_Initiatives!$B$5:$B$532=$C512)*(_ENGINE_Initiatives!$C$5:$C$532=$D512),0),0)),"")</f>
        <v>Build geographic exposure and site continuity model</v>
      </c>
      <c r="AV512">
        <f>IFERROR(INDEX(_ENGINE_Initiatives!$AC$5:$AC$532,MATCH(1,INDEX((_ENGINE_Initiatives!$B$5:$B$532=$C512)*(_ENGINE_Initiatives!$C$5:$C$532=$D512),0),0)),"")</f>
        <v>2.64</v>
      </c>
      <c r="AW512" t="str">
        <f>IFERROR(INDEX(_ENGINE_Initiatives!$AE$5:$AE$532,MATCH(1,INDEX((_ENGINE_Initiatives!$B$5:$B$532=$C512)*(_ENGINE_Initiatives!$C$5:$C$532=$D512),0),0)),"")</f>
        <v>0-90 days</v>
      </c>
      <c r="AX512">
        <f>IF($B512="Yes",IFERROR((IF(SUMIFS(_REF_Model_Content!$E$1:$E$613,_REF_Model_Content!$A$1:$A$613,PV_Canonical_Industry,_REF_Model_Content!$B$1:$B$613,$C512)=0,1,SUMIFS(_REF_Model_Content!$E$1:$E$613,_REF_Model_Content!$A$1:$A$613,PV_Canonical_Industry,_REF_Model_Content!$B$1:$B$613,$C512))*IFERROR($BU512,1)),1),"")</f>
        <v>1.2</v>
      </c>
      <c r="AY512">
        <f t="shared" si="39"/>
        <v>17.88</v>
      </c>
      <c r="AZ512">
        <f t="shared" si="40"/>
        <v>1.88</v>
      </c>
      <c r="BB512" t="str">
        <f>IF($H512="","",IFERROR(INDEX(_ENGINE_Risk!$AE$5:$AE$499,MATCH($E512,_ENGINE_Risk!$A$5:$A$499,0)),"Medium"))</f>
        <v>Medium</v>
      </c>
      <c r="BC512">
        <f t="shared" si="41"/>
        <v>1</v>
      </c>
      <c r="BD512">
        <f t="shared" si="42"/>
        <v>1.88</v>
      </c>
      <c r="BF512">
        <f>IF(OR($H512="",$J512=""),"",IFERROR(VLOOKUP(ROUND($J512,0),_CONFIG_Model_Settings!$D$154:$E$158,2,0),""))</f>
        <v>0.5</v>
      </c>
      <c r="BG512">
        <f>IFERROR(IF(OR($H512="",$K512=""),"",ROUND('Company Profile'!$B$113*INDEX(_CONFIG_Model_Settings!$H$154:$H$158,MATCH(ROUND($K512,0),_CONFIG_Model_Settings!$G$154:$G$158,0)),0)),0)</f>
        <v>875</v>
      </c>
      <c r="BH512">
        <f t="shared" si="43"/>
        <v>437.5</v>
      </c>
      <c r="BI512">
        <f t="shared" si="44"/>
        <v>437.5</v>
      </c>
      <c r="BJ512">
        <f>IF($E512="","",IFERROR(VLOOKUP($C512,_CONFIG_Risk_Calibration!$A$5:$H$21,2,FALSE),3))</f>
        <v>3</v>
      </c>
      <c r="BK512">
        <f>IF($E512="","",IFERROR(VLOOKUP($C512,_CONFIG_Risk_Calibration!$A$5:$H$21,3,FALSE),0))</f>
        <v>0</v>
      </c>
      <c r="BL512">
        <f>IF($E512="","",IFERROR(VLOOKUP($C512,_CONFIG_Risk_Calibration!$A$5:$H$21,4,FALSE),3))</f>
        <v>3</v>
      </c>
      <c r="BM512">
        <f>IF($E512="","",IFERROR(VLOOKUP($C512,_CONFIG_Risk_Calibration!$A$5:$H$21,5,FALSE),3))</f>
        <v>3</v>
      </c>
      <c r="BN512" t="str">
        <f>IF($E512="","",IFERROR(VLOOKUP($C512,_CONFIG_Risk_Calibration!$A$5:$H$21,6,FALSE),"No"))</f>
        <v>No</v>
      </c>
      <c r="BO512">
        <f>IF($E512="","",IFERROR(VLOOKUP($C512,_CONFIG_Risk_Calibration!$A$5:$H$21,7,FALSE),1))</f>
        <v>1</v>
      </c>
      <c r="BP512">
        <f>IF($H512="","",MAX(1,MIN(5,((6-$H512)*0.45)+($BJ512*0.2)+('Resilience &amp; Risk Scenario'!$B$7*0.15)+($BK512*0.1)+($BL512*0.05)+(IF($BB512="Fast",5,IF($BB512="Slow",1,3))*0.05))))</f>
        <v>3.6</v>
      </c>
      <c r="BQ512">
        <f t="shared" si="45"/>
        <v>4.1500000000000004</v>
      </c>
      <c r="BR512">
        <f t="shared" si="46"/>
        <v>14.94</v>
      </c>
      <c r="BS512">
        <f t="shared" si="47"/>
        <v>17.93</v>
      </c>
      <c r="BT512" t="str">
        <f>IFERROR(INDEX(_REF_Capability_Bridge!$D:$D,MATCH($C512&amp;"|"&amp;$D512,_REF_Capability_Bridge!$J:$J,0)),IFERROR(INDEX(_REF_Capability_Bridge!$D:$D,MATCH($C512&amp;"|",_REF_Capability_Bridge!$J:$J,0)),"CAP_GENERIC"))</f>
        <v>CAP_REMOTE_WORK</v>
      </c>
      <c r="BU512">
        <f>IFERROR(IFERROR(INDEX(_ENGINE_Relevance!$L:$L,MATCH($BT512,_ENGINE_Relevance!$B:$B,0)),1),1)</f>
        <v>1.2</v>
      </c>
      <c r="BV512" t="str">
        <f>IFERROR(INDEX(_REF_Capability_Bridge!$A:$A,MATCH($C512&amp;"|"&amp;$D512,_REF_Capability_Bridge!$J:$J,0)),IFERROR(INDEX(_REF_Capability_Bridge!$A:$A,MATCH($C512&amp;"|",_REF_Capability_Bridge!$J:$J,0)),"No bridge"))</f>
        <v>BRG-010</v>
      </c>
      <c r="BW512" t="str">
        <f t="shared" si="48"/>
        <v>Capability relevance increases risk priority</v>
      </c>
      <c r="BX512" t="str">
        <f t="shared" si="49"/>
        <v>Initial / absent</v>
      </c>
      <c r="BY512" t="str">
        <f>IF($E512="","",IFERROR(INDEX(_REF_Treatment_Library!$A$2:$A$296,MATCH(1,INDEX((_REF_Treatment_Library!$B$2:$B$296=$BT512)*(_REF_Treatment_Library!$C$2:$C$296=PV_Canonical_Industry)*(_REF_Treatment_Library!$E$2:$E$296&lt;=N($H512))*(_REF_Treatment_Library!$F$2:$F$296&gt;=N($H512))*(_REF_Treatment_Library!$O$2:$O$296="Yes"),0),0)),IFERROR(INDEX(_REF_Treatment_Library!$A$2:$A$296,MATCH(1,INDEX((_REF_Treatment_Library!$B$2:$B$296=$BT512)*(_REF_Treatment_Library!$C$2:$C$296="All")*(_REF_Treatment_Library!$E$2:$E$296&lt;=N($H512))*(_REF_Treatment_Library!$F$2:$F$296&gt;=N($H512))*(_REF_Treatment_Library!$O$2:$O$296="Yes"),0),0)),"")))</f>
        <v>TRT-REMOTE_WORK-INITIAL</v>
      </c>
      <c r="BZ512" t="str">
        <f>IF($BY512="","",IFERROR(INDEX(_REF_Treatment_Library!$H$2:$H$296,MATCH($BY512,_REF_Treatment_Library!$A$2:$A$296,0)),""))</f>
        <v>Establish</v>
      </c>
      <c r="CA512" t="str">
        <f>IF($BY512="","",IFERROR(INDEX(_REF_Treatment_Library!$I$2:$I$296,MATCH($BY512,_REF_Treatment_Library!$A$2:$A$296,0)),""))</f>
        <v>Establish baseline controls for Remote work</v>
      </c>
      <c r="CB512" t="str">
        <f>IF($BY512="","",IFERROR(INDEX(_REF_Treatment_Library!$K$2:$K$296,MATCH($BY512,_REF_Treatment_Library!$A$2:$A$296,0)),""))</f>
        <v>Named owner, baseline process, minimum control checklist, first evidence package</v>
      </c>
      <c r="CC512" t="str">
        <f>IF($BY512="","",IFERROR(INDEX(_REF_Treatment_Library!$L$2:$L$296,MATCH($BY512,_REF_Treatment_Library!$A$2:$A$296,0)),""))</f>
        <v>Owner assigned; baseline evidence coverage; open critical gaps</v>
      </c>
      <c r="CD512" t="str">
        <f t="shared" si="50"/>
        <v>Treatment by capability=CAP_REMOTE_WORK; band=Initial / absent; score=0.0; treatment=Establish</v>
      </c>
      <c r="CE512" t="str">
        <f>IF($E512="","",IFERROR(INDEX(_REF_Industry_Wording!$A$2:$A$70,MATCH(1,INDEX((_REF_Industry_Wording!$B$2:$B$70=$BT512)*(_REF_Industry_Wording!$C$2:$C$70=PV_Canonical_Industry)*(_REF_Industry_Wording!$K$2:$K$70="Yes"),0),0)),IFERROR(INDEX(_REF_Industry_Wording!$A$2:$A$70,MATCH(1,INDEX((_REF_Industry_Wording!$B$2:$B$70=$BT512)*(_REF_Industry_Wording!$C$2:$C$70="All")*(_REF_Industry_Wording!$K$2:$K$70="Yes"),0),0)),"")))</f>
        <v>IW-ALL-REMOTE_WORK</v>
      </c>
      <c r="CF512" t="str">
        <f>IF($CE512="","",IFERROR(INDEX(_REF_Industry_Wording!$E$2:$E$70,MATCH($CE512,_REF_Industry_Wording!$A$2:$A$70,0)),""))</f>
        <v>Remote work weakness</v>
      </c>
      <c r="CG512" t="str">
        <f>IF($CE512="","",IFERROR(INDEX(_REF_Industry_Wording!$F$2:$F$70,MATCH($CE512,_REF_Industry_Wording!$A$2:$A$70,0)),""))</f>
        <v>Strengthen Remote work</v>
      </c>
      <c r="CH512" t="str">
        <f>IF($CE512="","",IFERROR(INDEX(_REF_Industry_Wording!$G$2:$G$70,MATCH($CE512,_REF_Industry_Wording!$A$2:$A$70,0)),""))</f>
        <v>Strengthen Remote work using the selected maturity treatment, crisis scenario and evidence requirements.</v>
      </c>
      <c r="CI512" t="str">
        <f>IF($CE512="","",IFERROR(INDEX(_REF_Industry_Wording!$H$2:$H$70,MATCH($CE512,_REF_Industry_Wording!$A$2:$A$70,0)),""))</f>
        <v>Remote work</v>
      </c>
      <c r="CJ512">
        <f>IF($CE512="","",IFERROR(INDEX(_REF_Industry_Wording!$I$2:$I$70,MATCH($CE512,_REF_Industry_Wording!$A$2:$A$70,0)),""))</f>
        <v>0</v>
      </c>
      <c r="CK512" t="str">
        <f>IF($CE512="","",IFERROR(INDEX(_REF_Industry_Wording!$J$2:$J$70,MATCH($CE512,_REF_Industry_Wording!$A$2:$A$70,0)),""))</f>
        <v>Remote work</v>
      </c>
      <c r="CL512" t="str">
        <f t="shared" si="51"/>
        <v>Wording by industry=0; capability=CAP_REMOTE_WORK; risk label=Remote work weakness</v>
      </c>
      <c r="CM512" t="str">
        <f t="shared" si="52"/>
        <v>RISK-ONT-0013</v>
      </c>
      <c r="CN512" t="str">
        <f t="shared" si="53"/>
        <v>RISK-EVT-0013</v>
      </c>
      <c r="CO512" t="str">
        <f t="shared" si="54"/>
        <v>Company Geography|Geographical distribution|COMP-013|CAP_REMOTE_WORK</v>
      </c>
      <c r="CP512" t="str">
        <f t="shared" si="55"/>
        <v>Active</v>
      </c>
      <c r="CQ512" t="str">
        <f t="shared" si="56"/>
        <v>OK: capability-driven</v>
      </c>
      <c r="CR512" t="str">
        <f t="shared" si="57"/>
        <v>Risk ontology uses capability=CAP_REMOTE_WORK; bridge=BRG-010; treatment=TRT-REMOTE_WORK-INITIAL; wording=IW-ALL-REMOTE_WORK</v>
      </c>
      <c r="CS512" t="str">
        <f t="shared" si="58"/>
        <v>Yes</v>
      </c>
    </row>
    <row r="513" spans="1:97" ht="69.900000000000006" customHeight="1">
      <c r="A513">
        <f>IF(OR($B513&lt;&gt;"Yes",$BS513=""),"",SUMPRODUCT(($B$500:$B$923="Yes")*ISNUMBER($BS$500:$BS$923)*($BS$500:$BS$923&gt;$BS513))+COUNTIFS($B$500:$B513,"Yes",$BS$500:$BS513,$BS513))</f>
        <v>176</v>
      </c>
      <c r="B513" t="str">
        <f t="shared" si="21"/>
        <v>Yes</v>
      </c>
      <c r="C513" t="s">
        <v>815</v>
      </c>
      <c r="D513" t="s">
        <v>839</v>
      </c>
      <c r="E513" t="s">
        <v>904</v>
      </c>
      <c r="F513" t="s">
        <v>3679</v>
      </c>
      <c r="G513" t="str">
        <f>IF($H513="","",IFERROR(INDEX(_ENGINE_Risk!$H$5:$M$499,MATCH($E513,_ENGINE_Risk!$A$5:$A$499,0),$H513+1),""))</f>
        <v>Severe risk: relocation and alternative location options for critical teams and operations is not reliably controlled. During Geopolitical risk; Physical site loss; Regulatory/legal shock, the organization may face unclear exposure across entities, sites and markets, delayed strategic response and underestimated crisis impact with limited visibility or accountability.</v>
      </c>
      <c r="H513">
        <f>IFERROR(VALUE(INDEX(_DATA_Assessment_Model!$H$5:$H$884,MATCH($E513,_DATA_Assessment_Model!$A$5:$A$884,0))),"")</f>
        <v>0</v>
      </c>
      <c r="I513" t="str">
        <f>IF($H513="","",IFERROR(INDEX(_DATA_Assessment_Model!$L$5:$L$884,MATCH($E513,_DATA_Assessment_Model!$A$5:$A$884,0)),IF($H513&lt;=1,"Critical",IF($H513=2,"High",IF($H513=3,"Medium",IF($H513=4,"Low","Resilient"))))))</f>
        <v>Critical</v>
      </c>
      <c r="J513">
        <f t="shared" si="22"/>
        <v>3.6</v>
      </c>
      <c r="K513">
        <f t="shared" si="23"/>
        <v>4.3500000000000005</v>
      </c>
      <c r="L513">
        <f t="shared" si="24"/>
        <v>15.660000000000002</v>
      </c>
      <c r="M513">
        <f t="shared" si="25"/>
        <v>4</v>
      </c>
      <c r="N513">
        <f>IF($H513="","",IFERROR(INDEX(_ENGINE_Risk!$T$5:$Y$499,MATCH($E513,_ENGINE_Risk!$A$5:$A$499,0),$H513+1),""))</f>
        <v>3</v>
      </c>
      <c r="O513">
        <f t="shared" si="26"/>
        <v>4.666666666666667</v>
      </c>
      <c r="P513">
        <f t="shared" si="27"/>
        <v>5</v>
      </c>
      <c r="Q513">
        <f t="shared" si="28"/>
        <v>5</v>
      </c>
      <c r="R513">
        <f t="shared" si="29"/>
        <v>4.5</v>
      </c>
      <c r="S513">
        <f t="shared" si="30"/>
        <v>1.6</v>
      </c>
      <c r="T513" t="str">
        <f>IF($H513="","",IFERROR(INDEX(_ENGINE_Risk!$N$5:$S$499,MATCH($E513,_ENGINE_Risk!$A$5:$A$499,0),$H513+1),""))</f>
        <v>Create an immediate risk owner, minimum control baseline and fallback procedure for relocation and alternative location options for critical teams and operations. Add it to the crisis risk register and collect first evidence.</v>
      </c>
      <c r="U513">
        <f>IFERROR(INDEX(_DATA_Assessment_Model!$G$5:$G$884,MATCH($E513,_DATA_Assessment_Model!$A$5:$A$884,0)),"")</f>
        <v>5</v>
      </c>
      <c r="V513">
        <f>IFERROR(INDEX(_DATA_Assessment_Model!$W$5:$W$884,MATCH($E513,_DATA_Assessment_Model!$A$5:$A$884,0)),"")</f>
        <v>4</v>
      </c>
      <c r="W513">
        <f>IFERROR(INDEX(_DATA_Assessment_Model!$X$5:$X$884,MATCH($E513,_DATA_Assessment_Model!$A$5:$A$884,0)),"")</f>
        <v>5</v>
      </c>
      <c r="X513">
        <f>IFERROR(INDEX(_DATA_Assessment_Model!$Y$5:$Y$884,MATCH($E513,_DATA_Assessment_Model!$A$5:$A$884,0)),"")</f>
        <v>5</v>
      </c>
      <c r="Y513" t="s">
        <v>828</v>
      </c>
      <c r="Z513" t="s">
        <v>4591</v>
      </c>
      <c r="AA513" t="s">
        <v>906</v>
      </c>
      <c r="AB513">
        <f>IFERROR(INDEX(_DATA_Assessment_Model!$U$5:$U$884,MATCH($E513,_DATA_Assessment_Model!$A$5:$A$884,0)),"")</f>
        <v>0</v>
      </c>
      <c r="AF513" t="s">
        <v>905</v>
      </c>
      <c r="AH513" t="s">
        <v>3204</v>
      </c>
      <c r="AI513">
        <f t="shared" si="31"/>
        <v>22</v>
      </c>
      <c r="AJ513">
        <f t="shared" si="32"/>
        <v>22</v>
      </c>
      <c r="AK513">
        <f t="shared" si="33"/>
        <v>14.5</v>
      </c>
      <c r="AL513">
        <f t="shared" si="34"/>
        <v>15.225000000000001</v>
      </c>
      <c r="AM513">
        <f t="shared" si="35"/>
        <v>1.63</v>
      </c>
      <c r="AN513">
        <f t="shared" si="36"/>
        <v>0</v>
      </c>
      <c r="AO513">
        <f>IF($B513="Yes",IF(IFERROR(INDEX(_ENGINE_Crisis!$F$501:$F$517,MATCH($C513,_ENGINE_Crisis!$A$501:$A$517,0)),1)=0,1,IFERROR(INDEX(_ENGINE_Crisis!$F$501:$F$517,MATCH($C513,_ENGINE_Crisis!$A$501:$A$517,0)),1)),"")</f>
        <v>1</v>
      </c>
      <c r="AP513">
        <f t="shared" si="37"/>
        <v>15.7</v>
      </c>
      <c r="AQ513">
        <f t="shared" si="38"/>
        <v>1.6</v>
      </c>
      <c r="AR513" t="str">
        <f>IFERROR(INDEX(_ENGINE_Crisis!$E$41:$E$700,MATCH('Resilience &amp; Risk Scenario'!$B$6&amp;"|"&amp;$C513,_ENGINE_Crisis!$I$41:$I$700,0)),"")</f>
        <v/>
      </c>
      <c r="AS513" t="str">
        <f>IFERROR(INDEX(_ENGINE_Crisis!$G$41:$G$700,MATCH('Resilience &amp; Risk Scenario'!$B$6&amp;"|"&amp;$C513,_ENGINE_Crisis!$I$41:$I$700,0)),"")</f>
        <v/>
      </c>
      <c r="AT513" t="str">
        <f>IFERROR(INDEX(_ENGINE_Initiatives!$A$5:$A$532,MATCH(1,INDEX((_ENGINE_Initiatives!$B$5:$B$532=$C513)*(_ENGINE_Initiatives!$C$5:$C$532=$D513),0),0)),"")</f>
        <v>INI-002</v>
      </c>
      <c r="AU513" t="str">
        <f>IFERROR(INDEX(_ENGINE_Initiatives!$F$5:$F$532,MATCH(1,INDEX((_ENGINE_Initiatives!$B$5:$B$532=$C513)*(_ENGINE_Initiatives!$C$5:$C$532=$D513),0),0)),"")</f>
        <v>Build geographic exposure and site continuity model</v>
      </c>
      <c r="AV513">
        <f>IFERROR(INDEX(_ENGINE_Initiatives!$AC$5:$AC$532,MATCH(1,INDEX((_ENGINE_Initiatives!$B$5:$B$532=$C513)*(_ENGINE_Initiatives!$C$5:$C$532=$D513),0),0)),"")</f>
        <v>2.64</v>
      </c>
      <c r="AW513" t="str">
        <f>IFERROR(INDEX(_ENGINE_Initiatives!$AE$5:$AE$532,MATCH(1,INDEX((_ENGINE_Initiatives!$B$5:$B$532=$C513)*(_ENGINE_Initiatives!$C$5:$C$532=$D513),0),0)),"")</f>
        <v>0-90 days</v>
      </c>
      <c r="AX513">
        <f>IF($B513="Yes",IFERROR((IF(SUMIFS(_REF_Model_Content!$E$1:$E$613,_REF_Model_Content!$A$1:$A$613,PV_Canonical_Industry,_REF_Model_Content!$B$1:$B$613,$C513)=0,1,SUMIFS(_REF_Model_Content!$E$1:$E$613,_REF_Model_Content!$A$1:$A$613,PV_Canonical_Industry,_REF_Model_Content!$B$1:$B$613,$C513))*IFERROR($BU513,1)),1),"")</f>
        <v>1.2</v>
      </c>
      <c r="AY513">
        <f t="shared" si="39"/>
        <v>18.84</v>
      </c>
      <c r="AZ513">
        <f t="shared" si="40"/>
        <v>1.92</v>
      </c>
      <c r="BB513" t="str">
        <f>IF($H513="","",IFERROR(INDEX(_ENGINE_Risk!$AE$5:$AE$499,MATCH($E513,_ENGINE_Risk!$A$5:$A$499,0)),"Medium"))</f>
        <v>Medium</v>
      </c>
      <c r="BC513">
        <f t="shared" si="41"/>
        <v>1</v>
      </c>
      <c r="BD513">
        <f t="shared" si="42"/>
        <v>1.92</v>
      </c>
      <c r="BF513">
        <f>IF(OR($H513="",$J513=""),"",IFERROR(VLOOKUP(ROUND($J513,0),_CONFIG_Model_Settings!$D$154:$E$158,2,0),""))</f>
        <v>0.5</v>
      </c>
      <c r="BG513">
        <f>IFERROR(IF(OR($H513="",$K513=""),"",ROUND('Company Profile'!$B$113*INDEX(_CONFIG_Model_Settings!$H$154:$H$158,MATCH(ROUND($K513,0),_CONFIG_Model_Settings!$G$154:$G$158,0)),0)),0)</f>
        <v>875</v>
      </c>
      <c r="BH513">
        <f t="shared" si="43"/>
        <v>437.5</v>
      </c>
      <c r="BI513">
        <f t="shared" si="44"/>
        <v>437.5</v>
      </c>
      <c r="BJ513">
        <f>IF($E513="","",IFERROR(VLOOKUP($C513,_CONFIG_Risk_Calibration!$A$5:$H$21,2,FALSE),3))</f>
        <v>3</v>
      </c>
      <c r="BK513">
        <f>IF($E513="","",IFERROR(VLOOKUP($C513,_CONFIG_Risk_Calibration!$A$5:$H$21,3,FALSE),0))</f>
        <v>0</v>
      </c>
      <c r="BL513">
        <f>IF($E513="","",IFERROR(VLOOKUP($C513,_CONFIG_Risk_Calibration!$A$5:$H$21,4,FALSE),3))</f>
        <v>3</v>
      </c>
      <c r="BM513">
        <f>IF($E513="","",IFERROR(VLOOKUP($C513,_CONFIG_Risk_Calibration!$A$5:$H$21,5,FALSE),3))</f>
        <v>3</v>
      </c>
      <c r="BN513" t="str">
        <f>IF($E513="","",IFERROR(VLOOKUP($C513,_CONFIG_Risk_Calibration!$A$5:$H$21,6,FALSE),"No"))</f>
        <v>No</v>
      </c>
      <c r="BO513">
        <f>IF($E513="","",IFERROR(VLOOKUP($C513,_CONFIG_Risk_Calibration!$A$5:$H$21,7,FALSE),1))</f>
        <v>1</v>
      </c>
      <c r="BP513">
        <f>IF($H513="","",MAX(1,MIN(5,((6-$H513)*0.45)+($BJ513*0.2)+('Resilience &amp; Risk Scenario'!$B$7*0.15)+($BK513*0.1)+($BL513*0.05)+(IF($BB513="Fast",5,IF($BB513="Slow",1,3))*0.05))))</f>
        <v>3.6</v>
      </c>
      <c r="BQ513">
        <f t="shared" si="45"/>
        <v>4.3500000000000005</v>
      </c>
      <c r="BR513">
        <f t="shared" si="46"/>
        <v>15.66</v>
      </c>
      <c r="BS513">
        <f t="shared" si="47"/>
        <v>18.79</v>
      </c>
      <c r="BT513" t="str">
        <f>IFERROR(INDEX(_REF_Capability_Bridge!$D:$D,MATCH($C513&amp;"|"&amp;$D513,_REF_Capability_Bridge!$J:$J,0)),IFERROR(INDEX(_REF_Capability_Bridge!$D:$D,MATCH($C513&amp;"|",_REF_Capability_Bridge!$J:$J,0)),"CAP_GENERIC"))</f>
        <v>CAP_REMOTE_WORK</v>
      </c>
      <c r="BU513">
        <f>IFERROR(IFERROR(INDEX(_ENGINE_Relevance!$L:$L,MATCH($BT513,_ENGINE_Relevance!$B:$B,0)),1),1)</f>
        <v>1.2</v>
      </c>
      <c r="BV513" t="str">
        <f>IFERROR(INDEX(_REF_Capability_Bridge!$A:$A,MATCH($C513&amp;"|"&amp;$D513,_REF_Capability_Bridge!$J:$J,0)),IFERROR(INDEX(_REF_Capability_Bridge!$A:$A,MATCH($C513&amp;"|",_REF_Capability_Bridge!$J:$J,0)),"No bridge"))</f>
        <v>BRG-010</v>
      </c>
      <c r="BW513" t="str">
        <f t="shared" si="48"/>
        <v>Capability relevance increases risk priority</v>
      </c>
      <c r="BX513" t="str">
        <f t="shared" si="49"/>
        <v>Initial / absent</v>
      </c>
      <c r="BY513" t="str">
        <f>IF($E513="","",IFERROR(INDEX(_REF_Treatment_Library!$A$2:$A$296,MATCH(1,INDEX((_REF_Treatment_Library!$B$2:$B$296=$BT513)*(_REF_Treatment_Library!$C$2:$C$296=PV_Canonical_Industry)*(_REF_Treatment_Library!$E$2:$E$296&lt;=N($H513))*(_REF_Treatment_Library!$F$2:$F$296&gt;=N($H513))*(_REF_Treatment_Library!$O$2:$O$296="Yes"),0),0)),IFERROR(INDEX(_REF_Treatment_Library!$A$2:$A$296,MATCH(1,INDEX((_REF_Treatment_Library!$B$2:$B$296=$BT513)*(_REF_Treatment_Library!$C$2:$C$296="All")*(_REF_Treatment_Library!$E$2:$E$296&lt;=N($H513))*(_REF_Treatment_Library!$F$2:$F$296&gt;=N($H513))*(_REF_Treatment_Library!$O$2:$O$296="Yes"),0),0)),"")))</f>
        <v>TRT-REMOTE_WORK-INITIAL</v>
      </c>
      <c r="BZ513" t="str">
        <f>IF($BY513="","",IFERROR(INDEX(_REF_Treatment_Library!$H$2:$H$296,MATCH($BY513,_REF_Treatment_Library!$A$2:$A$296,0)),""))</f>
        <v>Establish</v>
      </c>
      <c r="CA513" t="str">
        <f>IF($BY513="","",IFERROR(INDEX(_REF_Treatment_Library!$I$2:$I$296,MATCH($BY513,_REF_Treatment_Library!$A$2:$A$296,0)),""))</f>
        <v>Establish baseline controls for Remote work</v>
      </c>
      <c r="CB513" t="str">
        <f>IF($BY513="","",IFERROR(INDEX(_REF_Treatment_Library!$K$2:$K$296,MATCH($BY513,_REF_Treatment_Library!$A$2:$A$296,0)),""))</f>
        <v>Named owner, baseline process, minimum control checklist, first evidence package</v>
      </c>
      <c r="CC513" t="str">
        <f>IF($BY513="","",IFERROR(INDEX(_REF_Treatment_Library!$L$2:$L$296,MATCH($BY513,_REF_Treatment_Library!$A$2:$A$296,0)),""))</f>
        <v>Owner assigned; baseline evidence coverage; open critical gaps</v>
      </c>
      <c r="CD513" t="str">
        <f t="shared" si="50"/>
        <v>Treatment by capability=CAP_REMOTE_WORK; band=Initial / absent; score=0.0; treatment=Establish</v>
      </c>
      <c r="CE513" t="str">
        <f>IF($E513="","",IFERROR(INDEX(_REF_Industry_Wording!$A$2:$A$70,MATCH(1,INDEX((_REF_Industry_Wording!$B$2:$B$70=$BT513)*(_REF_Industry_Wording!$C$2:$C$70=PV_Canonical_Industry)*(_REF_Industry_Wording!$K$2:$K$70="Yes"),0),0)),IFERROR(INDEX(_REF_Industry_Wording!$A$2:$A$70,MATCH(1,INDEX((_REF_Industry_Wording!$B$2:$B$70=$BT513)*(_REF_Industry_Wording!$C$2:$C$70="All")*(_REF_Industry_Wording!$K$2:$K$70="Yes"),0),0)),"")))</f>
        <v>IW-ALL-REMOTE_WORK</v>
      </c>
      <c r="CF513" t="str">
        <f>IF($CE513="","",IFERROR(INDEX(_REF_Industry_Wording!$E$2:$E$70,MATCH($CE513,_REF_Industry_Wording!$A$2:$A$70,0)),""))</f>
        <v>Remote work weakness</v>
      </c>
      <c r="CG513" t="str">
        <f>IF($CE513="","",IFERROR(INDEX(_REF_Industry_Wording!$F$2:$F$70,MATCH($CE513,_REF_Industry_Wording!$A$2:$A$70,0)),""))</f>
        <v>Strengthen Remote work</v>
      </c>
      <c r="CH513" t="str">
        <f>IF($CE513="","",IFERROR(INDEX(_REF_Industry_Wording!$G$2:$G$70,MATCH($CE513,_REF_Industry_Wording!$A$2:$A$70,0)),""))</f>
        <v>Strengthen Remote work using the selected maturity treatment, crisis scenario and evidence requirements.</v>
      </c>
      <c r="CI513" t="str">
        <f>IF($CE513="","",IFERROR(INDEX(_REF_Industry_Wording!$H$2:$H$70,MATCH($CE513,_REF_Industry_Wording!$A$2:$A$70,0)),""))</f>
        <v>Remote work</v>
      </c>
      <c r="CJ513">
        <f>IF($CE513="","",IFERROR(INDEX(_REF_Industry_Wording!$I$2:$I$70,MATCH($CE513,_REF_Industry_Wording!$A$2:$A$70,0)),""))</f>
        <v>0</v>
      </c>
      <c r="CK513" t="str">
        <f>IF($CE513="","",IFERROR(INDEX(_REF_Industry_Wording!$J$2:$J$70,MATCH($CE513,_REF_Industry_Wording!$A$2:$A$70,0)),""))</f>
        <v>Remote work</v>
      </c>
      <c r="CL513" t="str">
        <f t="shared" si="51"/>
        <v>Wording by industry=0; capability=CAP_REMOTE_WORK; risk label=Remote work weakness</v>
      </c>
      <c r="CM513" t="str">
        <f t="shared" si="52"/>
        <v>RISK-ONT-0014</v>
      </c>
      <c r="CN513" t="str">
        <f t="shared" si="53"/>
        <v>RISK-EVT-0014</v>
      </c>
      <c r="CO513" t="str">
        <f t="shared" si="54"/>
        <v>Company Geography|Geographical distribution|COMP-014|CAP_REMOTE_WORK</v>
      </c>
      <c r="CP513" t="str">
        <f t="shared" si="55"/>
        <v>Active</v>
      </c>
      <c r="CQ513" t="str">
        <f t="shared" si="56"/>
        <v>OK: capability-driven</v>
      </c>
      <c r="CR513" t="str">
        <f t="shared" si="57"/>
        <v>Risk ontology uses capability=CAP_REMOTE_WORK; bridge=BRG-010; treatment=TRT-REMOTE_WORK-INITIAL; wording=IW-ALL-REMOTE_WORK</v>
      </c>
      <c r="CS513" t="str">
        <f t="shared" si="58"/>
        <v>Yes</v>
      </c>
    </row>
    <row r="514" spans="1:97" ht="69.900000000000006" customHeight="1">
      <c r="A514">
        <f>IF(OR($B514&lt;&gt;"Yes",$BS514=""),"",SUMPRODUCT(($B$500:$B$923="Yes")*ISNUMBER($BS$500:$BS$923)*($BS$500:$BS$923&gt;$BS514))+COUNTIFS($B$500:$B514,"Yes",$BS$500:$BS514,$BS514))</f>
        <v>316</v>
      </c>
      <c r="B514" t="str">
        <f t="shared" si="21"/>
        <v>Yes</v>
      </c>
      <c r="C514" t="s">
        <v>815</v>
      </c>
      <c r="D514" t="s">
        <v>843</v>
      </c>
      <c r="E514" t="s">
        <v>907</v>
      </c>
      <c r="F514" t="s">
        <v>3679</v>
      </c>
      <c r="G514" t="str">
        <f>IF($H514="","",IFERROR(INDEX(_ENGINE_Risk!$H$5:$M$499,MATCH($E514,_ENGINE_Risk!$A$5:$A$499,0),$H514+1),""))</f>
        <v>Severe risk: single-country, single-site and single-provider concentration risks is not reliably controlled. During Geopolitical risk; Physical site loss; Regulatory/legal shock, the organization may face unclear exposure across entities, sites and markets, delayed strategic response and underestimated crisis impact with limited visibility or accountability.</v>
      </c>
      <c r="H514">
        <f>IFERROR(VALUE(INDEX(_DATA_Assessment_Model!$H$5:$H$884,MATCH($E514,_DATA_Assessment_Model!$A$5:$A$884,0))),"")</f>
        <v>0</v>
      </c>
      <c r="I514" t="str">
        <f>IF($H514="","",IFERROR(INDEX(_DATA_Assessment_Model!$L$5:$L$884,MATCH($E514,_DATA_Assessment_Model!$A$5:$A$884,0)),IF($H514&lt;=1,"Critical",IF($H514=2,"High",IF($H514=3,"Medium",IF($H514=4,"Low","Resilient"))))))</f>
        <v>Critical</v>
      </c>
      <c r="J514">
        <f t="shared" si="22"/>
        <v>3.6</v>
      </c>
      <c r="K514">
        <f t="shared" si="23"/>
        <v>4.3500000000000005</v>
      </c>
      <c r="L514">
        <f t="shared" si="24"/>
        <v>15.660000000000002</v>
      </c>
      <c r="M514">
        <f t="shared" si="25"/>
        <v>4</v>
      </c>
      <c r="N514">
        <f>IF($H514="","",IFERROR(INDEX(_ENGINE_Risk!$T$5:$Y$499,MATCH($E514,_ENGINE_Risk!$A$5:$A$499,0),$H514+1),""))</f>
        <v>3</v>
      </c>
      <c r="O514">
        <f t="shared" si="26"/>
        <v>4.666666666666667</v>
      </c>
      <c r="P514">
        <f t="shared" si="27"/>
        <v>5</v>
      </c>
      <c r="Q514">
        <f t="shared" si="28"/>
        <v>5</v>
      </c>
      <c r="R514">
        <f t="shared" si="29"/>
        <v>4.5</v>
      </c>
      <c r="S514">
        <f t="shared" si="30"/>
        <v>1.6</v>
      </c>
      <c r="T514" t="str">
        <f>IF($H514="","",IFERROR(INDEX(_ENGINE_Risk!$N$5:$S$499,MATCH($E514,_ENGINE_Risk!$A$5:$A$499,0),$H514+1),""))</f>
        <v>Create an immediate risk owner, minimum control baseline and fallback procedure for single-country, single-site and single-provider concentration risks. Add it to the crisis risk register and collect first evidence.</v>
      </c>
      <c r="U514">
        <f>IFERROR(INDEX(_DATA_Assessment_Model!$G$5:$G$884,MATCH($E514,_DATA_Assessment_Model!$A$5:$A$884,0)),"")</f>
        <v>5</v>
      </c>
      <c r="V514">
        <f>IFERROR(INDEX(_DATA_Assessment_Model!$W$5:$W$884,MATCH($E514,_DATA_Assessment_Model!$A$5:$A$884,0)),"")</f>
        <v>4</v>
      </c>
      <c r="W514">
        <f>IFERROR(INDEX(_DATA_Assessment_Model!$X$5:$X$884,MATCH($E514,_DATA_Assessment_Model!$A$5:$A$884,0)),"")</f>
        <v>5</v>
      </c>
      <c r="X514">
        <f>IFERROR(INDEX(_DATA_Assessment_Model!$Y$5:$Y$884,MATCH($E514,_DATA_Assessment_Model!$A$5:$A$884,0)),"")</f>
        <v>5</v>
      </c>
      <c r="Y514" t="s">
        <v>828</v>
      </c>
      <c r="Z514" t="s">
        <v>4591</v>
      </c>
      <c r="AA514" t="s">
        <v>909</v>
      </c>
      <c r="AB514">
        <f>IFERROR(INDEX(_DATA_Assessment_Model!$U$5:$U$884,MATCH($E514,_DATA_Assessment_Model!$A$5:$A$884,0)),"")</f>
        <v>0</v>
      </c>
      <c r="AF514" t="s">
        <v>908</v>
      </c>
      <c r="AO514">
        <f>IF($B514="Yes",IF(IFERROR(INDEX(_ENGINE_Crisis!$F$501:$F$517,MATCH($C514,_ENGINE_Crisis!$A$501:$A$517,0)),1)=0,1,IFERROR(INDEX(_ENGINE_Crisis!$F$501:$F$517,MATCH($C514,_ENGINE_Crisis!$A$501:$A$517,0)),1)),"")</f>
        <v>1</v>
      </c>
      <c r="AP514">
        <f t="shared" si="37"/>
        <v>15.7</v>
      </c>
      <c r="AQ514">
        <f t="shared" si="38"/>
        <v>1.6</v>
      </c>
      <c r="AR514" t="str">
        <f>IFERROR(INDEX(_ENGINE_Crisis!$E$41:$E$700,MATCH('Resilience &amp; Risk Scenario'!$B$6&amp;"|"&amp;$C514,_ENGINE_Crisis!$I$41:$I$700,0)),"")</f>
        <v/>
      </c>
      <c r="AS514" t="str">
        <f>IFERROR(INDEX(_ENGINE_Crisis!$G$41:$G$700,MATCH('Resilience &amp; Risk Scenario'!$B$6&amp;"|"&amp;$C514,_ENGINE_Crisis!$I$41:$I$700,0)),"")</f>
        <v/>
      </c>
      <c r="AT514" t="str">
        <f>IFERROR(INDEX(_ENGINE_Initiatives!$A$5:$A$532,MATCH(1,INDEX((_ENGINE_Initiatives!$B$5:$B$532=$C514)*(_ENGINE_Initiatives!$C$5:$C$532=$D514),0),0)),"")</f>
        <v>INI-003</v>
      </c>
      <c r="AU514" t="str">
        <f>IFERROR(INDEX(_ENGINE_Initiatives!$F$5:$F$532,MATCH(1,INDEX((_ENGINE_Initiatives!$B$5:$B$532=$C514)*(_ENGINE_Initiatives!$C$5:$C$532=$D514),0),0)),"")</f>
        <v>Map critical business dependencies and external exposures</v>
      </c>
      <c r="AV514">
        <f>IFERROR(INDEX(_ENGINE_Initiatives!$AC$5:$AC$532,MATCH(1,INDEX((_ENGINE_Initiatives!$B$5:$B$532=$C514)*(_ENGINE_Initiatives!$C$5:$C$532=$D514),0),0)),"")</f>
        <v>2.58</v>
      </c>
      <c r="AW514" t="str">
        <f>IFERROR(INDEX(_ENGINE_Initiatives!$AE$5:$AE$532,MATCH(1,INDEX((_ENGINE_Initiatives!$B$5:$B$532=$C514)*(_ENGINE_Initiatives!$C$5:$C$532=$D514),0),0)),"")</f>
        <v>0-90 days</v>
      </c>
      <c r="AX514">
        <f>IF($B514="Yes",IFERROR((IF(SUMIFS(_REF_Model_Content!$E$1:$E$613,_REF_Model_Content!$A$1:$A$613,PV_Canonical_Industry,_REF_Model_Content!$B$1:$B$613,$C514)=0,1,SUMIFS(_REF_Model_Content!$E$1:$E$613,_REF_Model_Content!$A$1:$A$613,PV_Canonical_Industry,_REF_Model_Content!$B$1:$B$613,$C514))*IFERROR($BU514,1)),1),"")</f>
        <v>1</v>
      </c>
      <c r="AY514">
        <f t="shared" si="39"/>
        <v>15.7</v>
      </c>
      <c r="AZ514">
        <f t="shared" si="40"/>
        <v>1.6</v>
      </c>
      <c r="BB514" t="str">
        <f>IF($H514="","",IFERROR(INDEX(_ENGINE_Risk!$AE$5:$AE$499,MATCH($E514,_ENGINE_Risk!$A$5:$A$499,0)),"Medium"))</f>
        <v>Medium</v>
      </c>
      <c r="BC514">
        <f t="shared" si="41"/>
        <v>1</v>
      </c>
      <c r="BD514">
        <f t="shared" si="42"/>
        <v>1.6</v>
      </c>
      <c r="BF514">
        <f>IF(OR($H514="",$J514=""),"",IFERROR(VLOOKUP(ROUND($J514,0),_CONFIG_Model_Settings!$D$154:$E$158,2,0),""))</f>
        <v>0.5</v>
      </c>
      <c r="BG514">
        <f>IFERROR(IF(OR($H514="",$K514=""),"",ROUND('Company Profile'!$B$113*INDEX(_CONFIG_Model_Settings!$H$154:$H$158,MATCH(ROUND($K514,0),_CONFIG_Model_Settings!$G$154:$G$158,0)),0)),0)</f>
        <v>875</v>
      </c>
      <c r="BH514">
        <f t="shared" si="43"/>
        <v>437.5</v>
      </c>
      <c r="BI514">
        <f t="shared" si="44"/>
        <v>437.5</v>
      </c>
      <c r="BJ514">
        <f>IF($E514="","",IFERROR(VLOOKUP($C514,_CONFIG_Risk_Calibration!$A$5:$H$21,2,FALSE),3))</f>
        <v>3</v>
      </c>
      <c r="BK514">
        <f>IF($E514="","",IFERROR(VLOOKUP($C514,_CONFIG_Risk_Calibration!$A$5:$H$21,3,FALSE),0))</f>
        <v>0</v>
      </c>
      <c r="BL514">
        <f>IF($E514="","",IFERROR(VLOOKUP($C514,_CONFIG_Risk_Calibration!$A$5:$H$21,4,FALSE),3))</f>
        <v>3</v>
      </c>
      <c r="BM514">
        <f>IF($E514="","",IFERROR(VLOOKUP($C514,_CONFIG_Risk_Calibration!$A$5:$H$21,5,FALSE),3))</f>
        <v>3</v>
      </c>
      <c r="BN514" t="str">
        <f>IF($E514="","",IFERROR(VLOOKUP($C514,_CONFIG_Risk_Calibration!$A$5:$H$21,6,FALSE),"No"))</f>
        <v>No</v>
      </c>
      <c r="BO514">
        <f>IF($E514="","",IFERROR(VLOOKUP($C514,_CONFIG_Risk_Calibration!$A$5:$H$21,7,FALSE),1))</f>
        <v>1</v>
      </c>
      <c r="BP514">
        <f>IF($H514="","",MAX(1,MIN(5,((6-$H514)*0.45)+($BJ514*0.2)+('Resilience &amp; Risk Scenario'!$B$7*0.15)+($BK514*0.1)+($BL514*0.05)+(IF($BB514="Fast",5,IF($BB514="Slow",1,3))*0.05))))</f>
        <v>3.6</v>
      </c>
      <c r="BQ514">
        <f t="shared" si="45"/>
        <v>4.3500000000000005</v>
      </c>
      <c r="BR514">
        <f t="shared" si="46"/>
        <v>15.66</v>
      </c>
      <c r="BS514">
        <f t="shared" si="47"/>
        <v>15.66</v>
      </c>
      <c r="BT514" t="str">
        <f>IFERROR(INDEX(_REF_Capability_Bridge!$D:$D,MATCH($C514&amp;"|"&amp;$D514,_REF_Capability_Bridge!$J:$J,0)),IFERROR(INDEX(_REF_Capability_Bridge!$D:$D,MATCH($C514&amp;"|",_REF_Capability_Bridge!$J:$J,0)),"CAP_GENERIC"))</f>
        <v>CAP_VENDOR_CONCENTRATION</v>
      </c>
      <c r="BU514">
        <f>IFERROR(IFERROR(INDEX(_ENGINE_Relevance!$L:$L,MATCH($BT514,_ENGINE_Relevance!$B:$B,0)),1),1)</f>
        <v>1</v>
      </c>
      <c r="BV514" t="str">
        <f>IFERROR(INDEX(_REF_Capability_Bridge!$A:$A,MATCH($C514&amp;"|"&amp;$D514,_REF_Capability_Bridge!$J:$J,0)),IFERROR(INDEX(_REF_Capability_Bridge!$A:$A,MATCH($C514&amp;"|",_REF_Capability_Bridge!$J:$J,0)),"No bridge"))</f>
        <v>BRG-009</v>
      </c>
      <c r="BW514" t="str">
        <f t="shared" si="48"/>
        <v>Capability relevance neutral</v>
      </c>
      <c r="BX514" t="str">
        <f t="shared" si="49"/>
        <v>Initial / absent</v>
      </c>
      <c r="BY514" t="str">
        <f>IF($E514="","",IFERROR(INDEX(_REF_Treatment_Library!$A$2:$A$296,MATCH(1,INDEX((_REF_Treatment_Library!$B$2:$B$296=$BT514)*(_REF_Treatment_Library!$C$2:$C$296=PV_Canonical_Industry)*(_REF_Treatment_Library!$E$2:$E$296&lt;=N($H514))*(_REF_Treatment_Library!$F$2:$F$296&gt;=N($H514))*(_REF_Treatment_Library!$O$2:$O$296="Yes"),0),0)),IFERROR(INDEX(_REF_Treatment_Library!$A$2:$A$296,MATCH(1,INDEX((_REF_Treatment_Library!$B$2:$B$296=$BT514)*(_REF_Treatment_Library!$C$2:$C$296="All")*(_REF_Treatment_Library!$E$2:$E$296&lt;=N($H514))*(_REF_Treatment_Library!$F$2:$F$296&gt;=N($H514))*(_REF_Treatment_Library!$O$2:$O$296="Yes"),0),0)),"")))</f>
        <v>TRT-VENDOR_CONCENTRATION-INITIAL</v>
      </c>
      <c r="BZ514" t="str">
        <f>IF($BY514="","",IFERROR(INDEX(_REF_Treatment_Library!$H$2:$H$296,MATCH($BY514,_REF_Treatment_Library!$A$2:$A$296,0)),""))</f>
        <v>Establish</v>
      </c>
      <c r="CA514" t="str">
        <f>IF($BY514="","",IFERROR(INDEX(_REF_Treatment_Library!$I$2:$I$296,MATCH($BY514,_REF_Treatment_Library!$A$2:$A$296,0)),""))</f>
        <v>Establish baseline controls for Vendor concentration</v>
      </c>
      <c r="CB514" t="str">
        <f>IF($BY514="","",IFERROR(INDEX(_REF_Treatment_Library!$K$2:$K$296,MATCH($BY514,_REF_Treatment_Library!$A$2:$A$296,0)),""))</f>
        <v>Named owner, baseline process, minimum control checklist, first evidence package</v>
      </c>
      <c r="CC514" t="str">
        <f>IF($BY514="","",IFERROR(INDEX(_REF_Treatment_Library!$L$2:$L$296,MATCH($BY514,_REF_Treatment_Library!$A$2:$A$296,0)),""))</f>
        <v>Owner assigned; baseline evidence coverage; open critical gaps</v>
      </c>
      <c r="CD514" t="str">
        <f t="shared" si="50"/>
        <v>Treatment by capability=CAP_VENDOR_CONCENTRATION; band=Initial / absent; score=0.0; treatment=Establish</v>
      </c>
      <c r="CE514" t="str">
        <f>IF($E514="","",IFERROR(INDEX(_REF_Industry_Wording!$A$2:$A$70,MATCH(1,INDEX((_REF_Industry_Wording!$B$2:$B$70=$BT514)*(_REF_Industry_Wording!$C$2:$C$70=PV_Canonical_Industry)*(_REF_Industry_Wording!$K$2:$K$70="Yes"),0),0)),IFERROR(INDEX(_REF_Industry_Wording!$A$2:$A$70,MATCH(1,INDEX((_REF_Industry_Wording!$B$2:$B$70=$BT514)*(_REF_Industry_Wording!$C$2:$C$70="All")*(_REF_Industry_Wording!$K$2:$K$70="Yes"),0),0)),"")))</f>
        <v>IW-ALL-VENDOR_CONCENTRATION</v>
      </c>
      <c r="CF514" t="str">
        <f>IF($CE514="","",IFERROR(INDEX(_REF_Industry_Wording!$E$2:$E$70,MATCH($CE514,_REF_Industry_Wording!$A$2:$A$70,0)),""))</f>
        <v>Vendor concentration weakness</v>
      </c>
      <c r="CG514" t="str">
        <f>IF($CE514="","",IFERROR(INDEX(_REF_Industry_Wording!$F$2:$F$70,MATCH($CE514,_REF_Industry_Wording!$A$2:$A$70,0)),""))</f>
        <v>Strengthen Vendor concentration</v>
      </c>
      <c r="CH514" t="str">
        <f>IF($CE514="","",IFERROR(INDEX(_REF_Industry_Wording!$G$2:$G$70,MATCH($CE514,_REF_Industry_Wording!$A$2:$A$70,0)),""))</f>
        <v>Strengthen Vendor concentration using the selected maturity treatment, crisis scenario and evidence requirements.</v>
      </c>
      <c r="CI514" t="str">
        <f>IF($CE514="","",IFERROR(INDEX(_REF_Industry_Wording!$H$2:$H$70,MATCH($CE514,_REF_Industry_Wording!$A$2:$A$70,0)),""))</f>
        <v>Vendor concentration</v>
      </c>
      <c r="CJ514">
        <f>IF($CE514="","",IFERROR(INDEX(_REF_Industry_Wording!$I$2:$I$70,MATCH($CE514,_REF_Industry_Wording!$A$2:$A$70,0)),""))</f>
        <v>0</v>
      </c>
      <c r="CK514" t="str">
        <f>IF($CE514="","",IFERROR(INDEX(_REF_Industry_Wording!$J$2:$J$70,MATCH($CE514,_REF_Industry_Wording!$A$2:$A$70,0)),""))</f>
        <v>Vendor concentration</v>
      </c>
      <c r="CL514" t="str">
        <f t="shared" si="51"/>
        <v>Wording by industry=0; capability=CAP_VENDOR_CONCENTRATION; risk label=Vendor concentration weakness</v>
      </c>
      <c r="CM514" t="str">
        <f t="shared" si="52"/>
        <v>RISK-ONT-0015</v>
      </c>
      <c r="CN514" t="str">
        <f t="shared" si="53"/>
        <v>RISK-EVT-0015</v>
      </c>
      <c r="CO514" t="str">
        <f t="shared" si="54"/>
        <v>Company Geography|Context and dependencies|COMP-016|CAP_VENDOR_CONCENTRATION</v>
      </c>
      <c r="CP514" t="str">
        <f t="shared" si="55"/>
        <v>Active</v>
      </c>
      <c r="CQ514" t="str">
        <f t="shared" si="56"/>
        <v>OK: capability-driven</v>
      </c>
      <c r="CR514" t="str">
        <f t="shared" si="57"/>
        <v>Risk ontology uses capability=CAP_VENDOR_CONCENTRATION; bridge=BRG-009; treatment=TRT-VENDOR_CONCENTRATION-INITIAL; wording=IW-ALL-VENDOR_CONCENTRATION</v>
      </c>
      <c r="CS514" t="str">
        <f t="shared" si="58"/>
        <v>Yes</v>
      </c>
    </row>
    <row r="515" spans="1:97" ht="69.900000000000006" customHeight="1">
      <c r="A515">
        <f>IF(OR($B515&lt;&gt;"Yes",$BS515=""),"",SUMPRODUCT(($B$500:$B$923="Yes")*ISNUMBER($BS$500:$BS$923)*($BS$500:$BS$923&gt;$BS515))+COUNTIFS($B$500:$B515,"Yes",$BS$500:$BS515,$BS515))</f>
        <v>347</v>
      </c>
      <c r="B515" t="str">
        <f t="shared" si="21"/>
        <v>Yes</v>
      </c>
      <c r="C515" t="s">
        <v>815</v>
      </c>
      <c r="D515" t="s">
        <v>843</v>
      </c>
      <c r="E515" t="s">
        <v>910</v>
      </c>
      <c r="F515" t="s">
        <v>3679</v>
      </c>
      <c r="G515" t="str">
        <f>IF($H515="","",IFERROR(INDEX(_ENGINE_Risk!$H$5:$M$499,MATCH($E515,_ENGINE_Risk!$A$5:$A$499,0),$H515+1),""))</f>
        <v>Severe risk: external stakeholder map: owners, banks, regulators, insurers, local authorities and strategic partners is not reliably controlled. During Geopolitical risk; Physical site loss; Regulatory/legal shock, the organization may face unclear exposure across entities, sites and markets, delayed strategic response and underestimated crisis impact with limited visibility or accountability.</v>
      </c>
      <c r="H515">
        <f>IFERROR(VALUE(INDEX(_DATA_Assessment_Model!$H$5:$H$884,MATCH($E515,_DATA_Assessment_Model!$A$5:$A$884,0))),"")</f>
        <v>0</v>
      </c>
      <c r="I515" t="str">
        <f>IF($H515="","",IFERROR(INDEX(_DATA_Assessment_Model!$L$5:$L$884,MATCH($E515,_DATA_Assessment_Model!$A$5:$A$884,0)),IF($H515&lt;=1,"Critical",IF($H515=2,"High",IF($H515=3,"Medium",IF($H515=4,"Low","Resilient"))))))</f>
        <v>Critical</v>
      </c>
      <c r="J515">
        <f t="shared" si="22"/>
        <v>3.6</v>
      </c>
      <c r="K515">
        <f t="shared" si="23"/>
        <v>3.95</v>
      </c>
      <c r="L515">
        <f t="shared" si="24"/>
        <v>14.22</v>
      </c>
      <c r="M515">
        <f t="shared" si="25"/>
        <v>3</v>
      </c>
      <c r="N515">
        <f>IF($H515="","",IFERROR(INDEX(_ENGINE_Risk!$T$5:$Y$499,MATCH($E515,_ENGINE_Risk!$A$5:$A$499,0),$H515+1),""))</f>
        <v>3</v>
      </c>
      <c r="O515">
        <f t="shared" si="26"/>
        <v>4</v>
      </c>
      <c r="P515">
        <f t="shared" si="27"/>
        <v>5</v>
      </c>
      <c r="Q515">
        <f t="shared" si="28"/>
        <v>5</v>
      </c>
      <c r="R515">
        <f t="shared" si="29"/>
        <v>4.5</v>
      </c>
      <c r="S515">
        <f t="shared" si="30"/>
        <v>1.54</v>
      </c>
      <c r="T515" t="str">
        <f>IF($H515="","",IFERROR(INDEX(_ENGINE_Risk!$N$5:$S$499,MATCH($E515,_ENGINE_Risk!$A$5:$A$499,0),$H515+1),""))</f>
        <v>Create an immediate risk owner, minimum control baseline and fallback procedure for external stakeholder map: owners, banks, regulators, insurers, local authorities and strategic partners. Add it to the crisis risk register and collect first evidence.</v>
      </c>
      <c r="U515">
        <f>IFERROR(INDEX(_DATA_Assessment_Model!$G$5:$G$884,MATCH($E515,_DATA_Assessment_Model!$A$5:$A$884,0)),"")</f>
        <v>3</v>
      </c>
      <c r="V515">
        <f>IFERROR(INDEX(_DATA_Assessment_Model!$W$5:$W$884,MATCH($E515,_DATA_Assessment_Model!$A$5:$A$884,0)),"")</f>
        <v>4</v>
      </c>
      <c r="W515">
        <f>IFERROR(INDEX(_DATA_Assessment_Model!$X$5:$X$884,MATCH($E515,_DATA_Assessment_Model!$A$5:$A$884,0)),"")</f>
        <v>5</v>
      </c>
      <c r="X515">
        <f>IFERROR(INDEX(_DATA_Assessment_Model!$Y$5:$Y$884,MATCH($E515,_DATA_Assessment_Model!$A$5:$A$884,0)),"")</f>
        <v>5</v>
      </c>
      <c r="Y515" t="s">
        <v>828</v>
      </c>
      <c r="Z515" t="s">
        <v>4591</v>
      </c>
      <c r="AA515" t="s">
        <v>912</v>
      </c>
      <c r="AB515">
        <f>IFERROR(INDEX(_DATA_Assessment_Model!$U$5:$U$884,MATCH($E515,_DATA_Assessment_Model!$A$5:$A$884,0)),"")</f>
        <v>0</v>
      </c>
      <c r="AF515" t="s">
        <v>911</v>
      </c>
      <c r="AO515">
        <f>IF($B515="Yes",IF(IFERROR(INDEX(_ENGINE_Crisis!$F$501:$F$517,MATCH($C515,_ENGINE_Crisis!$A$501:$A$517,0)),1)=0,1,IFERROR(INDEX(_ENGINE_Crisis!$F$501:$F$517,MATCH($C515,_ENGINE_Crisis!$A$501:$A$517,0)),1)),"")</f>
        <v>1</v>
      </c>
      <c r="AP515">
        <f t="shared" si="37"/>
        <v>14.2</v>
      </c>
      <c r="AQ515">
        <f t="shared" si="38"/>
        <v>1.54</v>
      </c>
      <c r="AR515" t="str">
        <f>IFERROR(INDEX(_ENGINE_Crisis!$E$41:$E$700,MATCH('Resilience &amp; Risk Scenario'!$B$6&amp;"|"&amp;$C515,_ENGINE_Crisis!$I$41:$I$700,0)),"")</f>
        <v/>
      </c>
      <c r="AS515" t="str">
        <f>IFERROR(INDEX(_ENGINE_Crisis!$G$41:$G$700,MATCH('Resilience &amp; Risk Scenario'!$B$6&amp;"|"&amp;$C515,_ENGINE_Crisis!$I$41:$I$700,0)),"")</f>
        <v/>
      </c>
      <c r="AT515" t="str">
        <f>IFERROR(INDEX(_ENGINE_Initiatives!$A$5:$A$532,MATCH(1,INDEX((_ENGINE_Initiatives!$B$5:$B$532=$C515)*(_ENGINE_Initiatives!$C$5:$C$532=$D515),0),0)),"")</f>
        <v>INI-003</v>
      </c>
      <c r="AU515" t="str">
        <f>IFERROR(INDEX(_ENGINE_Initiatives!$F$5:$F$532,MATCH(1,INDEX((_ENGINE_Initiatives!$B$5:$B$532=$C515)*(_ENGINE_Initiatives!$C$5:$C$532=$D515),0),0)),"")</f>
        <v>Map critical business dependencies and external exposures</v>
      </c>
      <c r="AV515">
        <f>IFERROR(INDEX(_ENGINE_Initiatives!$AC$5:$AC$532,MATCH(1,INDEX((_ENGINE_Initiatives!$B$5:$B$532=$C515)*(_ENGINE_Initiatives!$C$5:$C$532=$D515),0),0)),"")</f>
        <v>2.58</v>
      </c>
      <c r="AW515" t="str">
        <f>IFERROR(INDEX(_ENGINE_Initiatives!$AE$5:$AE$532,MATCH(1,INDEX((_ENGINE_Initiatives!$B$5:$B$532=$C515)*(_ENGINE_Initiatives!$C$5:$C$532=$D515),0),0)),"")</f>
        <v>0-90 days</v>
      </c>
      <c r="AX515">
        <f>IF($B515="Yes",IFERROR((IF(SUMIFS(_REF_Model_Content!$E$1:$E$613,_REF_Model_Content!$A$1:$A$613,PV_Canonical_Industry,_REF_Model_Content!$B$1:$B$613,$C515)=0,1,SUMIFS(_REF_Model_Content!$E$1:$E$613,_REF_Model_Content!$A$1:$A$613,PV_Canonical_Industry,_REF_Model_Content!$B$1:$B$613,$C515))*IFERROR($BU515,1)),1),"")</f>
        <v>1</v>
      </c>
      <c r="AY515">
        <f t="shared" si="39"/>
        <v>14.2</v>
      </c>
      <c r="AZ515">
        <f t="shared" si="40"/>
        <v>1.54</v>
      </c>
      <c r="BB515" t="str">
        <f>IF($H515="","",IFERROR(INDEX(_ENGINE_Risk!$AE$5:$AE$499,MATCH($E515,_ENGINE_Risk!$A$5:$A$499,0)),"Medium"))</f>
        <v>Medium</v>
      </c>
      <c r="BC515">
        <f t="shared" si="41"/>
        <v>1</v>
      </c>
      <c r="BD515">
        <f t="shared" si="42"/>
        <v>1.54</v>
      </c>
      <c r="BF515">
        <f>IF(OR($H515="",$J515=""),"",IFERROR(VLOOKUP(ROUND($J515,0),_CONFIG_Model_Settings!$D$154:$E$158,2,0),""))</f>
        <v>0.5</v>
      </c>
      <c r="BG515">
        <f>IFERROR(IF(OR($H515="",$K515=""),"",ROUND('Company Profile'!$B$113*INDEX(_CONFIG_Model_Settings!$H$154:$H$158,MATCH(ROUND($K515,0),_CONFIG_Model_Settings!$G$154:$G$158,0)),0)),0)</f>
        <v>875</v>
      </c>
      <c r="BH515">
        <f t="shared" si="43"/>
        <v>437.5</v>
      </c>
      <c r="BI515">
        <f t="shared" si="44"/>
        <v>437.5</v>
      </c>
      <c r="BJ515">
        <f>IF($E515="","",IFERROR(VLOOKUP($C515,_CONFIG_Risk_Calibration!$A$5:$H$21,2,FALSE),3))</f>
        <v>3</v>
      </c>
      <c r="BK515">
        <f>IF($E515="","",IFERROR(VLOOKUP($C515,_CONFIG_Risk_Calibration!$A$5:$H$21,3,FALSE),0))</f>
        <v>0</v>
      </c>
      <c r="BL515">
        <f>IF($E515="","",IFERROR(VLOOKUP($C515,_CONFIG_Risk_Calibration!$A$5:$H$21,4,FALSE),3))</f>
        <v>3</v>
      </c>
      <c r="BM515">
        <f>IF($E515="","",IFERROR(VLOOKUP($C515,_CONFIG_Risk_Calibration!$A$5:$H$21,5,FALSE),3))</f>
        <v>3</v>
      </c>
      <c r="BN515" t="str">
        <f>IF($E515="","",IFERROR(VLOOKUP($C515,_CONFIG_Risk_Calibration!$A$5:$H$21,6,FALSE),"No"))</f>
        <v>No</v>
      </c>
      <c r="BO515">
        <f>IF($E515="","",IFERROR(VLOOKUP($C515,_CONFIG_Risk_Calibration!$A$5:$H$21,7,FALSE),1))</f>
        <v>1</v>
      </c>
      <c r="BP515">
        <f>IF($H515="","",MAX(1,MIN(5,((6-$H515)*0.45)+($BJ515*0.2)+('Resilience &amp; Risk Scenario'!$B$7*0.15)+($BK515*0.1)+($BL515*0.05)+(IF($BB515="Fast",5,IF($BB515="Slow",1,3))*0.05))))</f>
        <v>3.6</v>
      </c>
      <c r="BQ515">
        <f t="shared" si="45"/>
        <v>3.95</v>
      </c>
      <c r="BR515">
        <f t="shared" si="46"/>
        <v>14.22</v>
      </c>
      <c r="BS515">
        <f t="shared" si="47"/>
        <v>14.22</v>
      </c>
      <c r="BT515" t="str">
        <f>IFERROR(INDEX(_REF_Capability_Bridge!$D:$D,MATCH($C515&amp;"|"&amp;$D515,_REF_Capability_Bridge!$J:$J,0)),IFERROR(INDEX(_REF_Capability_Bridge!$D:$D,MATCH($C515&amp;"|",_REF_Capability_Bridge!$J:$J,0)),"CAP_GENERIC"))</f>
        <v>CAP_VENDOR_CONCENTRATION</v>
      </c>
      <c r="BU515">
        <f>IFERROR(IFERROR(INDEX(_ENGINE_Relevance!$L:$L,MATCH($BT515,_ENGINE_Relevance!$B:$B,0)),1),1)</f>
        <v>1</v>
      </c>
      <c r="BV515" t="str">
        <f>IFERROR(INDEX(_REF_Capability_Bridge!$A:$A,MATCH($C515&amp;"|"&amp;$D515,_REF_Capability_Bridge!$J:$J,0)),IFERROR(INDEX(_REF_Capability_Bridge!$A:$A,MATCH($C515&amp;"|",_REF_Capability_Bridge!$J:$J,0)),"No bridge"))</f>
        <v>BRG-009</v>
      </c>
      <c r="BW515" t="str">
        <f t="shared" si="48"/>
        <v>Capability relevance neutral</v>
      </c>
      <c r="BX515" t="str">
        <f t="shared" si="49"/>
        <v>Initial / absent</v>
      </c>
      <c r="BY515" t="str">
        <f>IF($E515="","",IFERROR(INDEX(_REF_Treatment_Library!$A$2:$A$296,MATCH(1,INDEX((_REF_Treatment_Library!$B$2:$B$296=$BT515)*(_REF_Treatment_Library!$C$2:$C$296=PV_Canonical_Industry)*(_REF_Treatment_Library!$E$2:$E$296&lt;=N($H515))*(_REF_Treatment_Library!$F$2:$F$296&gt;=N($H515))*(_REF_Treatment_Library!$O$2:$O$296="Yes"),0),0)),IFERROR(INDEX(_REF_Treatment_Library!$A$2:$A$296,MATCH(1,INDEX((_REF_Treatment_Library!$B$2:$B$296=$BT515)*(_REF_Treatment_Library!$C$2:$C$296="All")*(_REF_Treatment_Library!$E$2:$E$296&lt;=N($H515))*(_REF_Treatment_Library!$F$2:$F$296&gt;=N($H515))*(_REF_Treatment_Library!$O$2:$O$296="Yes"),0),0)),"")))</f>
        <v>TRT-VENDOR_CONCENTRATION-INITIAL</v>
      </c>
      <c r="BZ515" t="str">
        <f>IF($BY515="","",IFERROR(INDEX(_REF_Treatment_Library!$H$2:$H$296,MATCH($BY515,_REF_Treatment_Library!$A$2:$A$296,0)),""))</f>
        <v>Establish</v>
      </c>
      <c r="CA515" t="str">
        <f>IF($BY515="","",IFERROR(INDEX(_REF_Treatment_Library!$I$2:$I$296,MATCH($BY515,_REF_Treatment_Library!$A$2:$A$296,0)),""))</f>
        <v>Establish baseline controls for Vendor concentration</v>
      </c>
      <c r="CB515" t="str">
        <f>IF($BY515="","",IFERROR(INDEX(_REF_Treatment_Library!$K$2:$K$296,MATCH($BY515,_REF_Treatment_Library!$A$2:$A$296,0)),""))</f>
        <v>Named owner, baseline process, minimum control checklist, first evidence package</v>
      </c>
      <c r="CC515" t="str">
        <f>IF($BY515="","",IFERROR(INDEX(_REF_Treatment_Library!$L$2:$L$296,MATCH($BY515,_REF_Treatment_Library!$A$2:$A$296,0)),""))</f>
        <v>Owner assigned; baseline evidence coverage; open critical gaps</v>
      </c>
      <c r="CD515" t="str">
        <f t="shared" si="50"/>
        <v>Treatment by capability=CAP_VENDOR_CONCENTRATION; band=Initial / absent; score=0.0; treatment=Establish</v>
      </c>
      <c r="CE515" t="str">
        <f>IF($E515="","",IFERROR(INDEX(_REF_Industry_Wording!$A$2:$A$70,MATCH(1,INDEX((_REF_Industry_Wording!$B$2:$B$70=$BT515)*(_REF_Industry_Wording!$C$2:$C$70=PV_Canonical_Industry)*(_REF_Industry_Wording!$K$2:$K$70="Yes"),0),0)),IFERROR(INDEX(_REF_Industry_Wording!$A$2:$A$70,MATCH(1,INDEX((_REF_Industry_Wording!$B$2:$B$70=$BT515)*(_REF_Industry_Wording!$C$2:$C$70="All")*(_REF_Industry_Wording!$K$2:$K$70="Yes"),0),0)),"")))</f>
        <v>IW-ALL-VENDOR_CONCENTRATION</v>
      </c>
      <c r="CF515" t="str">
        <f>IF($CE515="","",IFERROR(INDEX(_REF_Industry_Wording!$E$2:$E$70,MATCH($CE515,_REF_Industry_Wording!$A$2:$A$70,0)),""))</f>
        <v>Vendor concentration weakness</v>
      </c>
      <c r="CG515" t="str">
        <f>IF($CE515="","",IFERROR(INDEX(_REF_Industry_Wording!$F$2:$F$70,MATCH($CE515,_REF_Industry_Wording!$A$2:$A$70,0)),""))</f>
        <v>Strengthen Vendor concentration</v>
      </c>
      <c r="CH515" t="str">
        <f>IF($CE515="","",IFERROR(INDEX(_REF_Industry_Wording!$G$2:$G$70,MATCH($CE515,_REF_Industry_Wording!$A$2:$A$70,0)),""))</f>
        <v>Strengthen Vendor concentration using the selected maturity treatment, crisis scenario and evidence requirements.</v>
      </c>
      <c r="CI515" t="str">
        <f>IF($CE515="","",IFERROR(INDEX(_REF_Industry_Wording!$H$2:$H$70,MATCH($CE515,_REF_Industry_Wording!$A$2:$A$70,0)),""))</f>
        <v>Vendor concentration</v>
      </c>
      <c r="CJ515">
        <f>IF($CE515="","",IFERROR(INDEX(_REF_Industry_Wording!$I$2:$I$70,MATCH($CE515,_REF_Industry_Wording!$A$2:$A$70,0)),""))</f>
        <v>0</v>
      </c>
      <c r="CK515" t="str">
        <f>IF($CE515="","",IFERROR(INDEX(_REF_Industry_Wording!$J$2:$J$70,MATCH($CE515,_REF_Industry_Wording!$A$2:$A$70,0)),""))</f>
        <v>Vendor concentration</v>
      </c>
      <c r="CL515" t="str">
        <f t="shared" si="51"/>
        <v>Wording by industry=0; capability=CAP_VENDOR_CONCENTRATION; risk label=Vendor concentration weakness</v>
      </c>
      <c r="CM515" t="str">
        <f t="shared" si="52"/>
        <v>RISK-ONT-0016</v>
      </c>
      <c r="CN515" t="str">
        <f t="shared" si="53"/>
        <v>RISK-EVT-0016</v>
      </c>
      <c r="CO515" t="str">
        <f t="shared" si="54"/>
        <v>Company Geography|Context and dependencies|COMP-017|CAP_VENDOR_CONCENTRATION</v>
      </c>
      <c r="CP515" t="str">
        <f t="shared" si="55"/>
        <v>Active</v>
      </c>
      <c r="CQ515" t="str">
        <f t="shared" si="56"/>
        <v>OK: capability-driven</v>
      </c>
      <c r="CR515" t="str">
        <f t="shared" si="57"/>
        <v>Risk ontology uses capability=CAP_VENDOR_CONCENTRATION; bridge=BRG-009; treatment=TRT-VENDOR_CONCENTRATION-INITIAL; wording=IW-ALL-VENDOR_CONCENTRATION</v>
      </c>
      <c r="CS515" t="str">
        <f t="shared" si="58"/>
        <v>Yes</v>
      </c>
    </row>
    <row r="516" spans="1:97" ht="69.900000000000006" customHeight="1">
      <c r="A516">
        <f>IF(OR($B516&lt;&gt;"Yes",$BS516=""),"",SUMPRODUCT(($B$500:$B$923="Yes")*ISNUMBER($BS$500:$BS$923)*($BS$500:$BS$923&gt;$BS516))+COUNTIFS($B$500:$B516,"Yes",$BS$500:$BS516,$BS516))</f>
        <v>327</v>
      </c>
      <c r="B516" t="str">
        <f t="shared" si="21"/>
        <v>Yes</v>
      </c>
      <c r="C516" t="s">
        <v>815</v>
      </c>
      <c r="D516" t="s">
        <v>843</v>
      </c>
      <c r="E516" t="s">
        <v>919</v>
      </c>
      <c r="F516" t="s">
        <v>3679</v>
      </c>
      <c r="G516" t="str">
        <f>IF($H516="","",IFERROR(INDEX(_ENGINE_Risk!$H$5:$M$499,MATCH($E516,_ENGINE_Risk!$A$5:$A$499,0),$H516+1),""))</f>
        <v>Severe risk: data residency and cross-border transfer exposure by system and geography is not reliably controlled. During Geopolitical risk; Physical site loss; Regulatory/legal shock, the organization may face unclear exposure across entities, sites and markets, delayed strategic response and underestimated crisis impact with limited visibility or accountability.</v>
      </c>
      <c r="H516">
        <f>IFERROR(VALUE(INDEX(_DATA_Assessment_Model!$H$5:$H$884,MATCH($E516,_DATA_Assessment_Model!$A$5:$A$884,0))),"")</f>
        <v>0</v>
      </c>
      <c r="I516" t="str">
        <f>IF($H516="","",IFERROR(INDEX(_DATA_Assessment_Model!$L$5:$L$884,MATCH($E516,_DATA_Assessment_Model!$A$5:$A$884,0)),IF($H516&lt;=1,"Critical",IF($H516=2,"High",IF($H516=3,"Medium",IF($H516=4,"Low","Resilient"))))))</f>
        <v>Critical</v>
      </c>
      <c r="J516">
        <f t="shared" si="22"/>
        <v>3.6</v>
      </c>
      <c r="K516">
        <f t="shared" si="23"/>
        <v>4.3</v>
      </c>
      <c r="L516">
        <f t="shared" si="24"/>
        <v>15.48</v>
      </c>
      <c r="M516">
        <f t="shared" si="25"/>
        <v>4</v>
      </c>
      <c r="N516">
        <f>IF($H516="","",IFERROR(INDEX(_ENGINE_Risk!$T$5:$Y$499,MATCH($E516,_ENGINE_Risk!$A$5:$A$499,0),$H516+1),""))</f>
        <v>3</v>
      </c>
      <c r="O516">
        <f t="shared" si="26"/>
        <v>4.666666666666667</v>
      </c>
      <c r="P516">
        <f t="shared" si="27"/>
        <v>5</v>
      </c>
      <c r="Q516">
        <f t="shared" si="28"/>
        <v>5</v>
      </c>
      <c r="R516">
        <f t="shared" si="29"/>
        <v>5</v>
      </c>
      <c r="S516">
        <f t="shared" si="30"/>
        <v>1.64</v>
      </c>
      <c r="T516" t="str">
        <f>IF($H516="","",IFERROR(INDEX(_ENGINE_Risk!$N$5:$S$499,MATCH($E516,_ENGINE_Risk!$A$5:$A$499,0),$H516+1),""))</f>
        <v>Create an immediate risk owner, minimum control baseline and fallback procedure for data residency and cross-border transfer exposure by system and geography. Add it to the crisis risk register and collect first evidence.</v>
      </c>
      <c r="U516">
        <f>IFERROR(INDEX(_DATA_Assessment_Model!$G$5:$G$884,MATCH($E516,_DATA_Assessment_Model!$A$5:$A$884,0)),"")</f>
        <v>4</v>
      </c>
      <c r="V516">
        <f>IFERROR(INDEX(_DATA_Assessment_Model!$W$5:$W$884,MATCH($E516,_DATA_Assessment_Model!$A$5:$A$884,0)),"")</f>
        <v>5</v>
      </c>
      <c r="W516">
        <f>IFERROR(INDEX(_DATA_Assessment_Model!$X$5:$X$884,MATCH($E516,_DATA_Assessment_Model!$A$5:$A$884,0)),"")</f>
        <v>5</v>
      </c>
      <c r="X516">
        <f>IFERROR(INDEX(_DATA_Assessment_Model!$Y$5:$Y$884,MATCH($E516,_DATA_Assessment_Model!$A$5:$A$884,0)),"")</f>
        <v>5</v>
      </c>
      <c r="Y516" t="s">
        <v>828</v>
      </c>
      <c r="Z516" t="s">
        <v>4591</v>
      </c>
      <c r="AA516" t="s">
        <v>921</v>
      </c>
      <c r="AB516">
        <f>IFERROR(INDEX(_DATA_Assessment_Model!$U$5:$U$884,MATCH($E516,_DATA_Assessment_Model!$A$5:$A$884,0)),"")</f>
        <v>0</v>
      </c>
      <c r="AF516" t="s">
        <v>920</v>
      </c>
      <c r="AO516">
        <f>IF($B516="Yes",IF(IFERROR(INDEX(_ENGINE_Crisis!$F$501:$F$517,MATCH($C516,_ENGINE_Crisis!$A$501:$A$517,0)),1)=0,1,IFERROR(INDEX(_ENGINE_Crisis!$F$501:$F$517,MATCH($C516,_ENGINE_Crisis!$A$501:$A$517,0)),1)),"")</f>
        <v>1</v>
      </c>
      <c r="AP516">
        <f t="shared" si="37"/>
        <v>15.5</v>
      </c>
      <c r="AQ516">
        <f t="shared" si="38"/>
        <v>1.64</v>
      </c>
      <c r="AR516" t="str">
        <f>IFERROR(INDEX(_ENGINE_Crisis!$E$41:$E$700,MATCH('Resilience &amp; Risk Scenario'!$B$6&amp;"|"&amp;$C516,_ENGINE_Crisis!$I$41:$I$700,0)),"")</f>
        <v/>
      </c>
      <c r="AS516" t="str">
        <f>IFERROR(INDEX(_ENGINE_Crisis!$G$41:$G$700,MATCH('Resilience &amp; Risk Scenario'!$B$6&amp;"|"&amp;$C516,_ENGINE_Crisis!$I$41:$I$700,0)),"")</f>
        <v/>
      </c>
      <c r="AT516" t="str">
        <f>IFERROR(INDEX(_ENGINE_Initiatives!$A$5:$A$532,MATCH(1,INDEX((_ENGINE_Initiatives!$B$5:$B$532=$C516)*(_ENGINE_Initiatives!$C$5:$C$532=$D516),0),0)),"")</f>
        <v>INI-003</v>
      </c>
      <c r="AU516" t="str">
        <f>IFERROR(INDEX(_ENGINE_Initiatives!$F$5:$F$532,MATCH(1,INDEX((_ENGINE_Initiatives!$B$5:$B$532=$C516)*(_ENGINE_Initiatives!$C$5:$C$532=$D516),0),0)),"")</f>
        <v>Map critical business dependencies and external exposures</v>
      </c>
      <c r="AV516">
        <f>IFERROR(INDEX(_ENGINE_Initiatives!$AC$5:$AC$532,MATCH(1,INDEX((_ENGINE_Initiatives!$B$5:$B$532=$C516)*(_ENGINE_Initiatives!$C$5:$C$532=$D516),0),0)),"")</f>
        <v>2.58</v>
      </c>
      <c r="AW516" t="str">
        <f>IFERROR(INDEX(_ENGINE_Initiatives!$AE$5:$AE$532,MATCH(1,INDEX((_ENGINE_Initiatives!$B$5:$B$532=$C516)*(_ENGINE_Initiatives!$C$5:$C$532=$D516),0),0)),"")</f>
        <v>0-90 days</v>
      </c>
      <c r="AX516">
        <f>IF($B516="Yes",IFERROR((IF(SUMIFS(_REF_Model_Content!$E$1:$E$613,_REF_Model_Content!$A$1:$A$613,PV_Canonical_Industry,_REF_Model_Content!$B$1:$B$613,$C516)=0,1,SUMIFS(_REF_Model_Content!$E$1:$E$613,_REF_Model_Content!$A$1:$A$613,PV_Canonical_Industry,_REF_Model_Content!$B$1:$B$613,$C516))*IFERROR($BU516,1)),1),"")</f>
        <v>1</v>
      </c>
      <c r="AY516">
        <f t="shared" si="39"/>
        <v>15.5</v>
      </c>
      <c r="AZ516">
        <f t="shared" si="40"/>
        <v>1.64</v>
      </c>
      <c r="BB516" t="str">
        <f>IF($H516="","",IFERROR(INDEX(_ENGINE_Risk!$AE$5:$AE$499,MATCH($E516,_ENGINE_Risk!$A$5:$A$499,0)),"Medium"))</f>
        <v>Medium</v>
      </c>
      <c r="BC516">
        <f t="shared" si="41"/>
        <v>1</v>
      </c>
      <c r="BD516">
        <f t="shared" si="42"/>
        <v>1.64</v>
      </c>
      <c r="BF516">
        <f>IF(OR($H516="",$J516=""),"",IFERROR(VLOOKUP(ROUND($J516,0),_CONFIG_Model_Settings!$D$154:$E$158,2,0),""))</f>
        <v>0.5</v>
      </c>
      <c r="BG516">
        <f>IFERROR(IF(OR($H516="",$K516=""),"",ROUND('Company Profile'!$B$113*INDEX(_CONFIG_Model_Settings!$H$154:$H$158,MATCH(ROUND($K516,0),_CONFIG_Model_Settings!$G$154:$G$158,0)),0)),0)</f>
        <v>875</v>
      </c>
      <c r="BH516">
        <f t="shared" si="43"/>
        <v>437.5</v>
      </c>
      <c r="BI516">
        <f t="shared" si="44"/>
        <v>437.5</v>
      </c>
      <c r="BJ516">
        <f>IF($E516="","",IFERROR(VLOOKUP($C516,_CONFIG_Risk_Calibration!$A$5:$H$21,2,FALSE),3))</f>
        <v>3</v>
      </c>
      <c r="BK516">
        <f>IF($E516="","",IFERROR(VLOOKUP($C516,_CONFIG_Risk_Calibration!$A$5:$H$21,3,FALSE),0))</f>
        <v>0</v>
      </c>
      <c r="BL516">
        <f>IF($E516="","",IFERROR(VLOOKUP($C516,_CONFIG_Risk_Calibration!$A$5:$H$21,4,FALSE),3))</f>
        <v>3</v>
      </c>
      <c r="BM516">
        <f>IF($E516="","",IFERROR(VLOOKUP($C516,_CONFIG_Risk_Calibration!$A$5:$H$21,5,FALSE),3))</f>
        <v>3</v>
      </c>
      <c r="BN516" t="str">
        <f>IF($E516="","",IFERROR(VLOOKUP($C516,_CONFIG_Risk_Calibration!$A$5:$H$21,6,FALSE),"No"))</f>
        <v>No</v>
      </c>
      <c r="BO516">
        <f>IF($E516="","",IFERROR(VLOOKUP($C516,_CONFIG_Risk_Calibration!$A$5:$H$21,7,FALSE),1))</f>
        <v>1</v>
      </c>
      <c r="BP516">
        <f>IF($H516="","",MAX(1,MIN(5,((6-$H516)*0.45)+($BJ516*0.2)+('Resilience &amp; Risk Scenario'!$B$7*0.15)+($BK516*0.1)+($BL516*0.05)+(IF($BB516="Fast",5,IF($BB516="Slow",1,3))*0.05))))</f>
        <v>3.6</v>
      </c>
      <c r="BQ516">
        <f t="shared" si="45"/>
        <v>4.3</v>
      </c>
      <c r="BR516">
        <f t="shared" si="46"/>
        <v>15.48</v>
      </c>
      <c r="BS516">
        <f t="shared" si="47"/>
        <v>15.48</v>
      </c>
      <c r="BT516" t="str">
        <f>IFERROR(INDEX(_REF_Capability_Bridge!$D:$D,MATCH($C516&amp;"|"&amp;$D516,_REF_Capability_Bridge!$J:$J,0)),IFERROR(INDEX(_REF_Capability_Bridge!$D:$D,MATCH($C516&amp;"|",_REF_Capability_Bridge!$J:$J,0)),"CAP_GENERIC"))</f>
        <v>CAP_VENDOR_CONCENTRATION</v>
      </c>
      <c r="BU516">
        <f>IFERROR(IFERROR(INDEX(_ENGINE_Relevance!$L:$L,MATCH($BT516,_ENGINE_Relevance!$B:$B,0)),1),1)</f>
        <v>1</v>
      </c>
      <c r="BV516" t="str">
        <f>IFERROR(INDEX(_REF_Capability_Bridge!$A:$A,MATCH($C516&amp;"|"&amp;$D516,_REF_Capability_Bridge!$J:$J,0)),IFERROR(INDEX(_REF_Capability_Bridge!$A:$A,MATCH($C516&amp;"|",_REF_Capability_Bridge!$J:$J,0)),"No bridge"))</f>
        <v>BRG-009</v>
      </c>
      <c r="BW516" t="str">
        <f t="shared" si="48"/>
        <v>Capability relevance neutral</v>
      </c>
      <c r="BX516" t="str">
        <f t="shared" si="49"/>
        <v>Initial / absent</v>
      </c>
      <c r="BY516" t="str">
        <f>IF($E516="","",IFERROR(INDEX(_REF_Treatment_Library!$A$2:$A$296,MATCH(1,INDEX((_REF_Treatment_Library!$B$2:$B$296=$BT516)*(_REF_Treatment_Library!$C$2:$C$296=PV_Canonical_Industry)*(_REF_Treatment_Library!$E$2:$E$296&lt;=N($H516))*(_REF_Treatment_Library!$F$2:$F$296&gt;=N($H516))*(_REF_Treatment_Library!$O$2:$O$296="Yes"),0),0)),IFERROR(INDEX(_REF_Treatment_Library!$A$2:$A$296,MATCH(1,INDEX((_REF_Treatment_Library!$B$2:$B$296=$BT516)*(_REF_Treatment_Library!$C$2:$C$296="All")*(_REF_Treatment_Library!$E$2:$E$296&lt;=N($H516))*(_REF_Treatment_Library!$F$2:$F$296&gt;=N($H516))*(_REF_Treatment_Library!$O$2:$O$296="Yes"),0),0)),"")))</f>
        <v>TRT-VENDOR_CONCENTRATION-INITIAL</v>
      </c>
      <c r="BZ516" t="str">
        <f>IF($BY516="","",IFERROR(INDEX(_REF_Treatment_Library!$H$2:$H$296,MATCH($BY516,_REF_Treatment_Library!$A$2:$A$296,0)),""))</f>
        <v>Establish</v>
      </c>
      <c r="CA516" t="str">
        <f>IF($BY516="","",IFERROR(INDEX(_REF_Treatment_Library!$I$2:$I$296,MATCH($BY516,_REF_Treatment_Library!$A$2:$A$296,0)),""))</f>
        <v>Establish baseline controls for Vendor concentration</v>
      </c>
      <c r="CB516" t="str">
        <f>IF($BY516="","",IFERROR(INDEX(_REF_Treatment_Library!$K$2:$K$296,MATCH($BY516,_REF_Treatment_Library!$A$2:$A$296,0)),""))</f>
        <v>Named owner, baseline process, minimum control checklist, first evidence package</v>
      </c>
      <c r="CC516" t="str">
        <f>IF($BY516="","",IFERROR(INDEX(_REF_Treatment_Library!$L$2:$L$296,MATCH($BY516,_REF_Treatment_Library!$A$2:$A$296,0)),""))</f>
        <v>Owner assigned; baseline evidence coverage; open critical gaps</v>
      </c>
      <c r="CD516" t="str">
        <f t="shared" si="50"/>
        <v>Treatment by capability=CAP_VENDOR_CONCENTRATION; band=Initial / absent; score=0.0; treatment=Establish</v>
      </c>
      <c r="CE516" t="str">
        <f>IF($E516="","",IFERROR(INDEX(_REF_Industry_Wording!$A$2:$A$70,MATCH(1,INDEX((_REF_Industry_Wording!$B$2:$B$70=$BT516)*(_REF_Industry_Wording!$C$2:$C$70=PV_Canonical_Industry)*(_REF_Industry_Wording!$K$2:$K$70="Yes"),0),0)),IFERROR(INDEX(_REF_Industry_Wording!$A$2:$A$70,MATCH(1,INDEX((_REF_Industry_Wording!$B$2:$B$70=$BT516)*(_REF_Industry_Wording!$C$2:$C$70="All")*(_REF_Industry_Wording!$K$2:$K$70="Yes"),0),0)),"")))</f>
        <v>IW-ALL-VENDOR_CONCENTRATION</v>
      </c>
      <c r="CF516" t="str">
        <f>IF($CE516="","",IFERROR(INDEX(_REF_Industry_Wording!$E$2:$E$70,MATCH($CE516,_REF_Industry_Wording!$A$2:$A$70,0)),""))</f>
        <v>Vendor concentration weakness</v>
      </c>
      <c r="CG516" t="str">
        <f>IF($CE516="","",IFERROR(INDEX(_REF_Industry_Wording!$F$2:$F$70,MATCH($CE516,_REF_Industry_Wording!$A$2:$A$70,0)),""))</f>
        <v>Strengthen Vendor concentration</v>
      </c>
      <c r="CH516" t="str">
        <f>IF($CE516="","",IFERROR(INDEX(_REF_Industry_Wording!$G$2:$G$70,MATCH($CE516,_REF_Industry_Wording!$A$2:$A$70,0)),""))</f>
        <v>Strengthen Vendor concentration using the selected maturity treatment, crisis scenario and evidence requirements.</v>
      </c>
      <c r="CI516" t="str">
        <f>IF($CE516="","",IFERROR(INDEX(_REF_Industry_Wording!$H$2:$H$70,MATCH($CE516,_REF_Industry_Wording!$A$2:$A$70,0)),""))</f>
        <v>Vendor concentration</v>
      </c>
      <c r="CJ516">
        <f>IF($CE516="","",IFERROR(INDEX(_REF_Industry_Wording!$I$2:$I$70,MATCH($CE516,_REF_Industry_Wording!$A$2:$A$70,0)),""))</f>
        <v>0</v>
      </c>
      <c r="CK516" t="str">
        <f>IF($CE516="","",IFERROR(INDEX(_REF_Industry_Wording!$J$2:$J$70,MATCH($CE516,_REF_Industry_Wording!$A$2:$A$70,0)),""))</f>
        <v>Vendor concentration</v>
      </c>
      <c r="CL516" t="str">
        <f t="shared" si="51"/>
        <v>Wording by industry=0; capability=CAP_VENDOR_CONCENTRATION; risk label=Vendor concentration weakness</v>
      </c>
      <c r="CM516" t="str">
        <f t="shared" si="52"/>
        <v>RISK-ONT-0017</v>
      </c>
      <c r="CN516" t="str">
        <f t="shared" si="53"/>
        <v>RISK-EVT-0017</v>
      </c>
      <c r="CO516" t="str">
        <f t="shared" si="54"/>
        <v>Company Geography|Context and dependencies|COMP-018|CAP_VENDOR_CONCENTRATION</v>
      </c>
      <c r="CP516" t="str">
        <f t="shared" si="55"/>
        <v>Active</v>
      </c>
      <c r="CQ516" t="str">
        <f t="shared" si="56"/>
        <v>OK: capability-driven</v>
      </c>
      <c r="CR516" t="str">
        <f t="shared" si="57"/>
        <v>Risk ontology uses capability=CAP_VENDOR_CONCENTRATION; bridge=BRG-009; treatment=TRT-VENDOR_CONCENTRATION-INITIAL; wording=IW-ALL-VENDOR_CONCENTRATION</v>
      </c>
      <c r="CS516" t="str">
        <f t="shared" si="58"/>
        <v>Yes</v>
      </c>
    </row>
    <row r="517" spans="1:97" ht="69.900000000000006" customHeight="1">
      <c r="A517">
        <f>IF(OR($B517&lt;&gt;"Yes",$BS517=""),"",SUMPRODUCT(($B$500:$B$923="Yes")*ISNUMBER($BS$500:$BS$923)*($BS$500:$BS$923&gt;$BS517))+COUNTIFS($B$500:$B517,"Yes",$BS$500:$BS517,$BS517))</f>
        <v>335</v>
      </c>
      <c r="B517" t="str">
        <f t="shared" si="21"/>
        <v>Yes</v>
      </c>
      <c r="C517" t="s">
        <v>815</v>
      </c>
      <c r="D517" t="s">
        <v>843</v>
      </c>
      <c r="E517" t="s">
        <v>928</v>
      </c>
      <c r="F517" t="s">
        <v>3679</v>
      </c>
      <c r="G517" t="str">
        <f>IF($H517="","",IFERROR(INDEX(_ENGINE_Risk!$H$5:$M$499,MATCH($E517,_ENGINE_Risk!$A$5:$A$499,0),$H517+1),""))</f>
        <v>Severe risk: acceptable downtime thresholds by geography, function, customer and process is not reliably controlled. During Geopolitical risk; Physical site loss; Regulatory/legal shock, the organization may face unclear exposure across entities, sites and markets, delayed strategic response and underestimated crisis impact with limited visibility or accountability.</v>
      </c>
      <c r="H517">
        <f>IFERROR(VALUE(INDEX(_DATA_Assessment_Model!$H$5:$H$884,MATCH($E517,_DATA_Assessment_Model!$A$5:$A$884,0))),"")</f>
        <v>0</v>
      </c>
      <c r="I517" t="str">
        <f>IF($H517="","",IFERROR(INDEX(_DATA_Assessment_Model!$L$5:$L$884,MATCH($E517,_DATA_Assessment_Model!$A$5:$A$884,0)),IF($H517&lt;=1,"Critical",IF($H517=2,"High",IF($H517=3,"Medium",IF($H517=4,"Low","Resilient"))))))</f>
        <v>Critical</v>
      </c>
      <c r="J517">
        <f t="shared" si="22"/>
        <v>3.6</v>
      </c>
      <c r="K517">
        <f t="shared" si="23"/>
        <v>4.1500000000000004</v>
      </c>
      <c r="L517">
        <f t="shared" si="24"/>
        <v>14.940000000000001</v>
      </c>
      <c r="M517">
        <f t="shared" si="25"/>
        <v>3</v>
      </c>
      <c r="N517">
        <f>IF($H517="","",IFERROR(INDEX(_ENGINE_Risk!$T$5:$Y$499,MATCH($E517,_ENGINE_Risk!$A$5:$A$499,0),$H517+1),""))</f>
        <v>3</v>
      </c>
      <c r="O517">
        <f t="shared" si="26"/>
        <v>4.333333333333333</v>
      </c>
      <c r="P517">
        <f t="shared" si="27"/>
        <v>5</v>
      </c>
      <c r="Q517">
        <f t="shared" si="28"/>
        <v>5</v>
      </c>
      <c r="R517">
        <f t="shared" si="29"/>
        <v>4.5</v>
      </c>
      <c r="S517">
        <f t="shared" si="30"/>
        <v>1.57</v>
      </c>
      <c r="T517" t="str">
        <f>IF($H517="","",IFERROR(INDEX(_ENGINE_Risk!$N$5:$S$499,MATCH($E517,_ENGINE_Risk!$A$5:$A$499,0),$H517+1),""))</f>
        <v>Create an immediate risk owner, minimum control baseline and fallback procedure for acceptable downtime thresholds by geography, function, customer and process. Add it to the crisis risk register and collect first evidence.</v>
      </c>
      <c r="U517">
        <f>IFERROR(INDEX(_DATA_Assessment_Model!$G$5:$G$884,MATCH($E517,_DATA_Assessment_Model!$A$5:$A$884,0)),"")</f>
        <v>4</v>
      </c>
      <c r="V517">
        <f>IFERROR(INDEX(_DATA_Assessment_Model!$W$5:$W$884,MATCH($E517,_DATA_Assessment_Model!$A$5:$A$884,0)),"")</f>
        <v>4</v>
      </c>
      <c r="W517">
        <f>IFERROR(INDEX(_DATA_Assessment_Model!$X$5:$X$884,MATCH($E517,_DATA_Assessment_Model!$A$5:$A$884,0)),"")</f>
        <v>5</v>
      </c>
      <c r="X517">
        <f>IFERROR(INDEX(_DATA_Assessment_Model!$Y$5:$Y$884,MATCH($E517,_DATA_Assessment_Model!$A$5:$A$884,0)),"")</f>
        <v>5</v>
      </c>
      <c r="Y517" t="s">
        <v>828</v>
      </c>
      <c r="Z517" t="s">
        <v>4591</v>
      </c>
      <c r="AA517" t="s">
        <v>930</v>
      </c>
      <c r="AB517">
        <f>IFERROR(INDEX(_DATA_Assessment_Model!$U$5:$U$884,MATCH($E517,_DATA_Assessment_Model!$A$5:$A$884,0)),"")</f>
        <v>0</v>
      </c>
      <c r="AF517" t="s">
        <v>929</v>
      </c>
      <c r="AO517">
        <f>IF($B517="Yes",IF(IFERROR(INDEX(_ENGINE_Crisis!$F$501:$F$517,MATCH($C517,_ENGINE_Crisis!$A$501:$A$517,0)),1)=0,1,IFERROR(INDEX(_ENGINE_Crisis!$F$501:$F$517,MATCH($C517,_ENGINE_Crisis!$A$501:$A$517,0)),1)),"")</f>
        <v>1</v>
      </c>
      <c r="AP517">
        <f t="shared" si="37"/>
        <v>14.9</v>
      </c>
      <c r="AQ517">
        <f t="shared" si="38"/>
        <v>1.57</v>
      </c>
      <c r="AR517" t="str">
        <f>IFERROR(INDEX(_ENGINE_Crisis!$E$41:$E$700,MATCH('Resilience &amp; Risk Scenario'!$B$6&amp;"|"&amp;$C517,_ENGINE_Crisis!$I$41:$I$700,0)),"")</f>
        <v/>
      </c>
      <c r="AS517" t="str">
        <f>IFERROR(INDEX(_ENGINE_Crisis!$G$41:$G$700,MATCH('Resilience &amp; Risk Scenario'!$B$6&amp;"|"&amp;$C517,_ENGINE_Crisis!$I$41:$I$700,0)),"")</f>
        <v/>
      </c>
      <c r="AT517" t="str">
        <f>IFERROR(INDEX(_ENGINE_Initiatives!$A$5:$A$532,MATCH(1,INDEX((_ENGINE_Initiatives!$B$5:$B$532=$C517)*(_ENGINE_Initiatives!$C$5:$C$532=$D517),0),0)),"")</f>
        <v>INI-003</v>
      </c>
      <c r="AU517" t="str">
        <f>IFERROR(INDEX(_ENGINE_Initiatives!$F$5:$F$532,MATCH(1,INDEX((_ENGINE_Initiatives!$B$5:$B$532=$C517)*(_ENGINE_Initiatives!$C$5:$C$532=$D517),0),0)),"")</f>
        <v>Map critical business dependencies and external exposures</v>
      </c>
      <c r="AV517">
        <f>IFERROR(INDEX(_ENGINE_Initiatives!$AC$5:$AC$532,MATCH(1,INDEX((_ENGINE_Initiatives!$B$5:$B$532=$C517)*(_ENGINE_Initiatives!$C$5:$C$532=$D517),0),0)),"")</f>
        <v>2.58</v>
      </c>
      <c r="AW517" t="str">
        <f>IFERROR(INDEX(_ENGINE_Initiatives!$AE$5:$AE$532,MATCH(1,INDEX((_ENGINE_Initiatives!$B$5:$B$532=$C517)*(_ENGINE_Initiatives!$C$5:$C$532=$D517),0),0)),"")</f>
        <v>0-90 days</v>
      </c>
      <c r="AX517">
        <f>IF($B517="Yes",IFERROR((IF(SUMIFS(_REF_Model_Content!$E$1:$E$613,_REF_Model_Content!$A$1:$A$613,PV_Canonical_Industry,_REF_Model_Content!$B$1:$B$613,$C517)=0,1,SUMIFS(_REF_Model_Content!$E$1:$E$613,_REF_Model_Content!$A$1:$A$613,PV_Canonical_Industry,_REF_Model_Content!$B$1:$B$613,$C517))*IFERROR($BU517,1)),1),"")</f>
        <v>1</v>
      </c>
      <c r="AY517">
        <f t="shared" si="39"/>
        <v>14.9</v>
      </c>
      <c r="AZ517">
        <f t="shared" si="40"/>
        <v>1.57</v>
      </c>
      <c r="BB517" t="str">
        <f>IF($H517="","",IFERROR(INDEX(_ENGINE_Risk!$AE$5:$AE$499,MATCH($E517,_ENGINE_Risk!$A$5:$A$499,0)),"Medium"))</f>
        <v>Medium</v>
      </c>
      <c r="BC517">
        <f t="shared" si="41"/>
        <v>1</v>
      </c>
      <c r="BD517">
        <f t="shared" si="42"/>
        <v>1.57</v>
      </c>
      <c r="BF517">
        <f>IF(OR($H517="",$J517=""),"",IFERROR(VLOOKUP(ROUND($J517,0),_CONFIG_Model_Settings!$D$154:$E$158,2,0),""))</f>
        <v>0.5</v>
      </c>
      <c r="BG517">
        <f>IFERROR(IF(OR($H517="",$K517=""),"",ROUND('Company Profile'!$B$113*INDEX(_CONFIG_Model_Settings!$H$154:$H$158,MATCH(ROUND($K517,0),_CONFIG_Model_Settings!$G$154:$G$158,0)),0)),0)</f>
        <v>875</v>
      </c>
      <c r="BH517">
        <f t="shared" si="43"/>
        <v>437.5</v>
      </c>
      <c r="BI517">
        <f t="shared" si="44"/>
        <v>437.5</v>
      </c>
      <c r="BJ517">
        <f>IF($E517="","",IFERROR(VLOOKUP($C517,_CONFIG_Risk_Calibration!$A$5:$H$21,2,FALSE),3))</f>
        <v>3</v>
      </c>
      <c r="BK517">
        <f>IF($E517="","",IFERROR(VLOOKUP($C517,_CONFIG_Risk_Calibration!$A$5:$H$21,3,FALSE),0))</f>
        <v>0</v>
      </c>
      <c r="BL517">
        <f>IF($E517="","",IFERROR(VLOOKUP($C517,_CONFIG_Risk_Calibration!$A$5:$H$21,4,FALSE),3))</f>
        <v>3</v>
      </c>
      <c r="BM517">
        <f>IF($E517="","",IFERROR(VLOOKUP($C517,_CONFIG_Risk_Calibration!$A$5:$H$21,5,FALSE),3))</f>
        <v>3</v>
      </c>
      <c r="BN517" t="str">
        <f>IF($E517="","",IFERROR(VLOOKUP($C517,_CONFIG_Risk_Calibration!$A$5:$H$21,6,FALSE),"No"))</f>
        <v>No</v>
      </c>
      <c r="BO517">
        <f>IF($E517="","",IFERROR(VLOOKUP($C517,_CONFIG_Risk_Calibration!$A$5:$H$21,7,FALSE),1))</f>
        <v>1</v>
      </c>
      <c r="BP517">
        <f>IF($H517="","",MAX(1,MIN(5,((6-$H517)*0.45)+($BJ517*0.2)+('Resilience &amp; Risk Scenario'!$B$7*0.15)+($BK517*0.1)+($BL517*0.05)+(IF($BB517="Fast",5,IF($BB517="Slow",1,3))*0.05))))</f>
        <v>3.6</v>
      </c>
      <c r="BQ517">
        <f t="shared" si="45"/>
        <v>4.1500000000000004</v>
      </c>
      <c r="BR517">
        <f t="shared" si="46"/>
        <v>14.94</v>
      </c>
      <c r="BS517">
        <f t="shared" si="47"/>
        <v>14.94</v>
      </c>
      <c r="BT517" t="str">
        <f>IFERROR(INDEX(_REF_Capability_Bridge!$D:$D,MATCH($C517&amp;"|"&amp;$D517,_REF_Capability_Bridge!$J:$J,0)),IFERROR(INDEX(_REF_Capability_Bridge!$D:$D,MATCH($C517&amp;"|",_REF_Capability_Bridge!$J:$J,0)),"CAP_GENERIC"))</f>
        <v>CAP_VENDOR_CONCENTRATION</v>
      </c>
      <c r="BU517">
        <f>IFERROR(IFERROR(INDEX(_ENGINE_Relevance!$L:$L,MATCH($BT517,_ENGINE_Relevance!$B:$B,0)),1),1)</f>
        <v>1</v>
      </c>
      <c r="BV517" t="str">
        <f>IFERROR(INDEX(_REF_Capability_Bridge!$A:$A,MATCH($C517&amp;"|"&amp;$D517,_REF_Capability_Bridge!$J:$J,0)),IFERROR(INDEX(_REF_Capability_Bridge!$A:$A,MATCH($C517&amp;"|",_REF_Capability_Bridge!$J:$J,0)),"No bridge"))</f>
        <v>BRG-009</v>
      </c>
      <c r="BW517" t="str">
        <f t="shared" si="48"/>
        <v>Capability relevance neutral</v>
      </c>
      <c r="BX517" t="str">
        <f t="shared" si="49"/>
        <v>Initial / absent</v>
      </c>
      <c r="BY517" t="str">
        <f>IF($E517="","",IFERROR(INDEX(_REF_Treatment_Library!$A$2:$A$296,MATCH(1,INDEX((_REF_Treatment_Library!$B$2:$B$296=$BT517)*(_REF_Treatment_Library!$C$2:$C$296=PV_Canonical_Industry)*(_REF_Treatment_Library!$E$2:$E$296&lt;=N($H517))*(_REF_Treatment_Library!$F$2:$F$296&gt;=N($H517))*(_REF_Treatment_Library!$O$2:$O$296="Yes"),0),0)),IFERROR(INDEX(_REF_Treatment_Library!$A$2:$A$296,MATCH(1,INDEX((_REF_Treatment_Library!$B$2:$B$296=$BT517)*(_REF_Treatment_Library!$C$2:$C$296="All")*(_REF_Treatment_Library!$E$2:$E$296&lt;=N($H517))*(_REF_Treatment_Library!$F$2:$F$296&gt;=N($H517))*(_REF_Treatment_Library!$O$2:$O$296="Yes"),0),0)),"")))</f>
        <v>TRT-VENDOR_CONCENTRATION-INITIAL</v>
      </c>
      <c r="BZ517" t="str">
        <f>IF($BY517="","",IFERROR(INDEX(_REF_Treatment_Library!$H$2:$H$296,MATCH($BY517,_REF_Treatment_Library!$A$2:$A$296,0)),""))</f>
        <v>Establish</v>
      </c>
      <c r="CA517" t="str">
        <f>IF($BY517="","",IFERROR(INDEX(_REF_Treatment_Library!$I$2:$I$296,MATCH($BY517,_REF_Treatment_Library!$A$2:$A$296,0)),""))</f>
        <v>Establish baseline controls for Vendor concentration</v>
      </c>
      <c r="CB517" t="str">
        <f>IF($BY517="","",IFERROR(INDEX(_REF_Treatment_Library!$K$2:$K$296,MATCH($BY517,_REF_Treatment_Library!$A$2:$A$296,0)),""))</f>
        <v>Named owner, baseline process, minimum control checklist, first evidence package</v>
      </c>
      <c r="CC517" t="str">
        <f>IF($BY517="","",IFERROR(INDEX(_REF_Treatment_Library!$L$2:$L$296,MATCH($BY517,_REF_Treatment_Library!$A$2:$A$296,0)),""))</f>
        <v>Owner assigned; baseline evidence coverage; open critical gaps</v>
      </c>
      <c r="CD517" t="str">
        <f t="shared" si="50"/>
        <v>Treatment by capability=CAP_VENDOR_CONCENTRATION; band=Initial / absent; score=0.0; treatment=Establish</v>
      </c>
      <c r="CE517" t="str">
        <f>IF($E517="","",IFERROR(INDEX(_REF_Industry_Wording!$A$2:$A$70,MATCH(1,INDEX((_REF_Industry_Wording!$B$2:$B$70=$BT517)*(_REF_Industry_Wording!$C$2:$C$70=PV_Canonical_Industry)*(_REF_Industry_Wording!$K$2:$K$70="Yes"),0),0)),IFERROR(INDEX(_REF_Industry_Wording!$A$2:$A$70,MATCH(1,INDEX((_REF_Industry_Wording!$B$2:$B$70=$BT517)*(_REF_Industry_Wording!$C$2:$C$70="All")*(_REF_Industry_Wording!$K$2:$K$70="Yes"),0),0)),"")))</f>
        <v>IW-ALL-VENDOR_CONCENTRATION</v>
      </c>
      <c r="CF517" t="str">
        <f>IF($CE517="","",IFERROR(INDEX(_REF_Industry_Wording!$E$2:$E$70,MATCH($CE517,_REF_Industry_Wording!$A$2:$A$70,0)),""))</f>
        <v>Vendor concentration weakness</v>
      </c>
      <c r="CG517" t="str">
        <f>IF($CE517="","",IFERROR(INDEX(_REF_Industry_Wording!$F$2:$F$70,MATCH($CE517,_REF_Industry_Wording!$A$2:$A$70,0)),""))</f>
        <v>Strengthen Vendor concentration</v>
      </c>
      <c r="CH517" t="str">
        <f>IF($CE517="","",IFERROR(INDEX(_REF_Industry_Wording!$G$2:$G$70,MATCH($CE517,_REF_Industry_Wording!$A$2:$A$70,0)),""))</f>
        <v>Strengthen Vendor concentration using the selected maturity treatment, crisis scenario and evidence requirements.</v>
      </c>
      <c r="CI517" t="str">
        <f>IF($CE517="","",IFERROR(INDEX(_REF_Industry_Wording!$H$2:$H$70,MATCH($CE517,_REF_Industry_Wording!$A$2:$A$70,0)),""))</f>
        <v>Vendor concentration</v>
      </c>
      <c r="CJ517">
        <f>IF($CE517="","",IFERROR(INDEX(_REF_Industry_Wording!$I$2:$I$70,MATCH($CE517,_REF_Industry_Wording!$A$2:$A$70,0)),""))</f>
        <v>0</v>
      </c>
      <c r="CK517" t="str">
        <f>IF($CE517="","",IFERROR(INDEX(_REF_Industry_Wording!$J$2:$J$70,MATCH($CE517,_REF_Industry_Wording!$A$2:$A$70,0)),""))</f>
        <v>Vendor concentration</v>
      </c>
      <c r="CL517" t="str">
        <f t="shared" si="51"/>
        <v>Wording by industry=0; capability=CAP_VENDOR_CONCENTRATION; risk label=Vendor concentration weakness</v>
      </c>
      <c r="CM517" t="str">
        <f t="shared" si="52"/>
        <v>RISK-ONT-0018</v>
      </c>
      <c r="CN517" t="str">
        <f t="shared" si="53"/>
        <v>RISK-EVT-0018</v>
      </c>
      <c r="CO517" t="str">
        <f t="shared" si="54"/>
        <v>Company Geography|Context and dependencies|COMP-019|CAP_VENDOR_CONCENTRATION</v>
      </c>
      <c r="CP517" t="str">
        <f t="shared" si="55"/>
        <v>Active</v>
      </c>
      <c r="CQ517" t="str">
        <f t="shared" si="56"/>
        <v>OK: capability-driven</v>
      </c>
      <c r="CR517" t="str">
        <f t="shared" si="57"/>
        <v>Risk ontology uses capability=CAP_VENDOR_CONCENTRATION; bridge=BRG-009; treatment=TRT-VENDOR_CONCENTRATION-INITIAL; wording=IW-ALL-VENDOR_CONCENTRATION</v>
      </c>
      <c r="CS517" t="str">
        <f t="shared" si="58"/>
        <v>Yes</v>
      </c>
    </row>
    <row r="518" spans="1:97" ht="69.900000000000006" customHeight="1">
      <c r="A518">
        <f>IF(OR($B518&lt;&gt;"Yes",$BS518=""),"",SUMPRODUCT(($B$500:$B$923="Yes")*ISNUMBER($BS$500:$BS$923)*($BS$500:$BS$923&gt;$BS518))+COUNTIFS($B$500:$B518,"Yes",$BS$500:$BS518,$BS518))</f>
        <v>393</v>
      </c>
      <c r="B518" t="str">
        <f t="shared" si="21"/>
        <v>Yes</v>
      </c>
      <c r="C518" t="s">
        <v>815</v>
      </c>
      <c r="D518" t="s">
        <v>843</v>
      </c>
      <c r="E518" t="s">
        <v>937</v>
      </c>
      <c r="F518" t="s">
        <v>3679</v>
      </c>
      <c r="G518" t="str">
        <f>IF($H518="","",IFERROR(INDEX(_ENGINE_Risk!$H$5:$M$499,MATCH($E518,_ENGINE_Risk!$A$5:$A$499,0),$H518+1),""))</f>
        <v>Severe risk: critical infrastructure status and government emergency obligations across operating geographies is not reliably controlled. During War/security crisis; Energy/utilities outage; Regulatory/legal shock, the organization may face unexpected state-imposed duties, missed protective entitlements and unmanaged compliance exposure during emergencies with limited visibility or accountability.</v>
      </c>
      <c r="H518">
        <f>IFERROR(VALUE(INDEX(_DATA_Assessment_Model!$H$5:$H$884,MATCH($E518,_DATA_Assessment_Model!$A$5:$A$884,0))),"")</f>
        <v>0</v>
      </c>
      <c r="I518" t="str">
        <f>IF($H518="","",IFERROR(INDEX(_DATA_Assessment_Model!$L$5:$L$884,MATCH($E518,_DATA_Assessment_Model!$A$5:$A$884,0)),IF($H518&lt;=1,"Critical",IF($H518=2,"High",IF($H518=3,"Medium",IF($H518=4,"Low","Resilient"))))))</f>
        <v>Critical</v>
      </c>
      <c r="J518">
        <f t="shared" si="22"/>
        <v>3.6</v>
      </c>
      <c r="K518">
        <f t="shared" si="23"/>
        <v>3.25</v>
      </c>
      <c r="L518">
        <f t="shared" si="24"/>
        <v>11.700000000000001</v>
      </c>
      <c r="M518">
        <f t="shared" si="25"/>
        <v>3</v>
      </c>
      <c r="N518">
        <f>IF($H518="","",IFERROR(INDEX(_ENGINE_Risk!$T$5:$Y$499,MATCH($E518,_ENGINE_Risk!$A$5:$A$499,0),$H518+1),""))</f>
        <v>2</v>
      </c>
      <c r="O518">
        <f t="shared" si="26"/>
        <v>3</v>
      </c>
      <c r="P518">
        <f t="shared" si="27"/>
        <v>5</v>
      </c>
      <c r="Q518">
        <f t="shared" si="28"/>
        <v>4.6500000000000004</v>
      </c>
      <c r="R518">
        <f t="shared" si="29"/>
        <v>3</v>
      </c>
      <c r="S518">
        <f t="shared" si="30"/>
        <v>1.96</v>
      </c>
      <c r="T518" t="str">
        <f>IF($H518="","",IFERROR(INDEX(_ENGINE_Risk!$N$5:$S$499,MATCH($E518,_ENGINE_Risk!$A$5:$A$499,0),$H518+1),""))</f>
        <v>Create an immediate risk owner, minimum control baseline and fallback procedure for critical infrastructure status and government emergency obligations across operating geographies. Add it to the crisis risk register and collect first evidence.</v>
      </c>
      <c r="U518">
        <f>IFERROR(INDEX(_DATA_Assessment_Model!$G$5:$G$884,MATCH($E518,_DATA_Assessment_Model!$A$5:$A$884,0)),"")</f>
        <v>3</v>
      </c>
      <c r="V518">
        <f>IFERROR(INDEX(_DATA_Assessment_Model!$W$5:$W$884,MATCH($E518,_DATA_Assessment_Model!$A$5:$A$884,0)),"")</f>
        <v>2</v>
      </c>
      <c r="W518">
        <f>IFERROR(INDEX(_DATA_Assessment_Model!$X$5:$X$884,MATCH($E518,_DATA_Assessment_Model!$A$5:$A$884,0)),"")</f>
        <v>4</v>
      </c>
      <c r="X518">
        <f>IFERROR(INDEX(_DATA_Assessment_Model!$Y$5:$Y$884,MATCH($E518,_DATA_Assessment_Model!$A$5:$A$884,0)),"")</f>
        <v>4</v>
      </c>
      <c r="Y518" t="s">
        <v>948</v>
      </c>
      <c r="Z518" t="s">
        <v>4845</v>
      </c>
      <c r="AA518" t="s">
        <v>4844</v>
      </c>
      <c r="AB518">
        <f>IFERROR(INDEX(_DATA_Assessment_Model!$U$5:$U$884,MATCH($E518,_DATA_Assessment_Model!$A$5:$A$884,0)),"")</f>
        <v>0</v>
      </c>
      <c r="AF518" t="s">
        <v>938</v>
      </c>
      <c r="AO518">
        <f>IF($B518="Yes",IF(IFERROR(INDEX(_ENGINE_Crisis!$F$501:$F$517,MATCH($C518,_ENGINE_Crisis!$A$501:$A$517,0)),1)=0,1,IFERROR(INDEX(_ENGINE_Crisis!$F$501:$F$517,MATCH($C518,_ENGINE_Crisis!$A$501:$A$517,0)),1)),"")</f>
        <v>1</v>
      </c>
      <c r="AP518">
        <f t="shared" si="37"/>
        <v>11.7</v>
      </c>
      <c r="AQ518">
        <f t="shared" si="38"/>
        <v>1.96</v>
      </c>
      <c r="AR518" t="str">
        <f>IFERROR(INDEX(_ENGINE_Crisis!$E$41:$E$700,MATCH('Resilience &amp; Risk Scenario'!$B$6&amp;"|"&amp;$C518,_ENGINE_Crisis!$I$41:$I$700,0)),"")</f>
        <v/>
      </c>
      <c r="AS518" t="str">
        <f>IFERROR(INDEX(_ENGINE_Crisis!$G$41:$G$700,MATCH('Resilience &amp; Risk Scenario'!$B$6&amp;"|"&amp;$C518,_ENGINE_Crisis!$I$41:$I$700,0)),"")</f>
        <v/>
      </c>
      <c r="AT518" t="str">
        <f>IFERROR(INDEX(_ENGINE_Initiatives!$A$5:$A$532,MATCH(1,INDEX((_ENGINE_Initiatives!$B$5:$B$532=$C518)*(_ENGINE_Initiatives!$C$5:$C$532=$D518),0),0)),"")</f>
        <v>INI-003</v>
      </c>
      <c r="AU518" t="str">
        <f>IFERROR(INDEX(_ENGINE_Initiatives!$F$5:$F$532,MATCH(1,INDEX((_ENGINE_Initiatives!$B$5:$B$532=$C518)*(_ENGINE_Initiatives!$C$5:$C$532=$D518),0),0)),"")</f>
        <v>Map critical business dependencies and external exposures</v>
      </c>
      <c r="AV518">
        <f>IFERROR(INDEX(_ENGINE_Initiatives!$AC$5:$AC$532,MATCH(1,INDEX((_ENGINE_Initiatives!$B$5:$B$532=$C518)*(_ENGINE_Initiatives!$C$5:$C$532=$D518),0),0)),"")</f>
        <v>2.58</v>
      </c>
      <c r="AW518" t="str">
        <f>IFERROR(INDEX(_ENGINE_Initiatives!$AE$5:$AE$532,MATCH(1,INDEX((_ENGINE_Initiatives!$B$5:$B$532=$C518)*(_ENGINE_Initiatives!$C$5:$C$532=$D518),0),0)),"")</f>
        <v>0-90 days</v>
      </c>
      <c r="AX518">
        <f>IF($B518="Yes",IFERROR((IF(SUMIFS(_REF_Model_Content!$E$1:$E$613,_REF_Model_Content!$A$1:$A$613,PV_Canonical_Industry,_REF_Model_Content!$B$1:$B$613,$C518)=0,1,SUMIFS(_REF_Model_Content!$E$1:$E$613,_REF_Model_Content!$A$1:$A$613,PV_Canonical_Industry,_REF_Model_Content!$B$1:$B$613,$C518))*IFERROR($BU518,1)),1),"")</f>
        <v>1</v>
      </c>
      <c r="AY518">
        <f t="shared" si="39"/>
        <v>11.7</v>
      </c>
      <c r="AZ518">
        <f t="shared" si="40"/>
        <v>1.96</v>
      </c>
      <c r="BB518" t="str">
        <f>IF($H518="","",IFERROR(INDEX(_ENGINE_Risk!$AE$5:$AE$499,MATCH($E518,_ENGINE_Risk!$A$5:$A$499,0)),"Medium"))</f>
        <v>Medium</v>
      </c>
      <c r="BC518">
        <f t="shared" si="41"/>
        <v>1</v>
      </c>
      <c r="BD518">
        <f t="shared" si="42"/>
        <v>1.96</v>
      </c>
      <c r="BF518">
        <f>IF(OR($H518="",$J518=""),"",IFERROR(VLOOKUP(ROUND($J518,0),_CONFIG_Model_Settings!$D$154:$E$158,2,0),""))</f>
        <v>0.5</v>
      </c>
      <c r="BG518">
        <f>IFERROR(IF(OR($H518="",$K518=""),"",ROUND('Company Profile'!$B$113*INDEX(_CONFIG_Model_Settings!$H$154:$H$158,MATCH(ROUND($K518,0),_CONFIG_Model_Settings!$G$154:$G$158,0)),0)),0)</f>
        <v>375</v>
      </c>
      <c r="BH518">
        <f t="shared" si="43"/>
        <v>187.5</v>
      </c>
      <c r="BI518">
        <f t="shared" si="44"/>
        <v>187.5</v>
      </c>
      <c r="BJ518">
        <f>IF($E518="","",IFERROR(VLOOKUP($C518,_CONFIG_Risk_Calibration!$A$5:$H$21,2,FALSE),3))</f>
        <v>3</v>
      </c>
      <c r="BK518">
        <f>IF($E518="","",IFERROR(VLOOKUP($C518,_CONFIG_Risk_Calibration!$A$5:$H$21,3,FALSE),0))</f>
        <v>0</v>
      </c>
      <c r="BL518">
        <f>IF($E518="","",IFERROR(VLOOKUP($C518,_CONFIG_Risk_Calibration!$A$5:$H$21,4,FALSE),3))</f>
        <v>3</v>
      </c>
      <c r="BM518">
        <f>IF($E518="","",IFERROR(VLOOKUP($C518,_CONFIG_Risk_Calibration!$A$5:$H$21,5,FALSE),3))</f>
        <v>3</v>
      </c>
      <c r="BN518" t="str">
        <f>IF($E518="","",IFERROR(VLOOKUP($C518,_CONFIG_Risk_Calibration!$A$5:$H$21,6,FALSE),"No"))</f>
        <v>No</v>
      </c>
      <c r="BO518">
        <f>IF($E518="","",IFERROR(VLOOKUP($C518,_CONFIG_Risk_Calibration!$A$5:$H$21,7,FALSE),1))</f>
        <v>1</v>
      </c>
      <c r="BP518">
        <f>IF($H518="","",MAX(1,MIN(5,((6-$H518)*0.45)+($BJ518*0.2)+('Resilience &amp; Risk Scenario'!$B$7*0.15)+($BK518*0.1)+($BL518*0.05)+(IF($BB518="Fast",5,IF($BB518="Slow",1,3))*0.05))))</f>
        <v>3.6</v>
      </c>
      <c r="BQ518">
        <f t="shared" si="45"/>
        <v>3.25</v>
      </c>
      <c r="BR518">
        <f t="shared" si="46"/>
        <v>11.7</v>
      </c>
      <c r="BS518">
        <f t="shared" si="47"/>
        <v>11.7</v>
      </c>
      <c r="BT518" t="str">
        <f>IFERROR(INDEX(_REF_Capability_Bridge!$D:$D,MATCH($C518&amp;"|"&amp;$D518,_REF_Capability_Bridge!$J:$J,0)),IFERROR(INDEX(_REF_Capability_Bridge!$D:$D,MATCH($C518&amp;"|",_REF_Capability_Bridge!$J:$J,0)),"CAP_GENERIC"))</f>
        <v>CAP_VENDOR_CONCENTRATION</v>
      </c>
      <c r="BU518">
        <f>IFERROR(IFERROR(INDEX(_ENGINE_Relevance!$L:$L,MATCH($BT518,_ENGINE_Relevance!$B:$B,0)),1),1)</f>
        <v>1</v>
      </c>
      <c r="BV518" t="str">
        <f>IFERROR(INDEX(_REF_Capability_Bridge!$A:$A,MATCH($C518&amp;"|"&amp;$D518,_REF_Capability_Bridge!$J:$J,0)),IFERROR(INDEX(_REF_Capability_Bridge!$A:$A,MATCH($C518&amp;"|",_REF_Capability_Bridge!$J:$J,0)),"No bridge"))</f>
        <v>BRG-009</v>
      </c>
      <c r="BW518" t="str">
        <f t="shared" si="48"/>
        <v>Capability relevance neutral</v>
      </c>
      <c r="BX518" t="str">
        <f t="shared" si="49"/>
        <v>Initial / absent</v>
      </c>
      <c r="BY518" t="str">
        <f>IF($E518="","",IFERROR(INDEX(_REF_Treatment_Library!$A$2:$A$296,MATCH(1,INDEX((_REF_Treatment_Library!$B$2:$B$296=$BT518)*(_REF_Treatment_Library!$C$2:$C$296=PV_Canonical_Industry)*(_REF_Treatment_Library!$E$2:$E$296&lt;=N($H518))*(_REF_Treatment_Library!$F$2:$F$296&gt;=N($H518))*(_REF_Treatment_Library!$O$2:$O$296="Yes"),0),0)),IFERROR(INDEX(_REF_Treatment_Library!$A$2:$A$296,MATCH(1,INDEX((_REF_Treatment_Library!$B$2:$B$296=$BT518)*(_REF_Treatment_Library!$C$2:$C$296="All")*(_REF_Treatment_Library!$E$2:$E$296&lt;=N($H518))*(_REF_Treatment_Library!$F$2:$F$296&gt;=N($H518))*(_REF_Treatment_Library!$O$2:$O$296="Yes"),0),0)),"")))</f>
        <v>TRT-VENDOR_CONCENTRATION-INITIAL</v>
      </c>
      <c r="BZ518" t="str">
        <f>IF($BY518="","",IFERROR(INDEX(_REF_Treatment_Library!$H$2:$H$296,MATCH($BY518,_REF_Treatment_Library!$A$2:$A$296,0)),""))</f>
        <v>Establish</v>
      </c>
      <c r="CA518" t="str">
        <f>IF($BY518="","",IFERROR(INDEX(_REF_Treatment_Library!$I$2:$I$296,MATCH($BY518,_REF_Treatment_Library!$A$2:$A$296,0)),""))</f>
        <v>Establish baseline controls for Vendor concentration</v>
      </c>
      <c r="CB518" t="str">
        <f>IF($BY518="","",IFERROR(INDEX(_REF_Treatment_Library!$K$2:$K$296,MATCH($BY518,_REF_Treatment_Library!$A$2:$A$296,0)),""))</f>
        <v>Named owner, baseline process, minimum control checklist, first evidence package</v>
      </c>
      <c r="CC518" t="str">
        <f>IF($BY518="","",IFERROR(INDEX(_REF_Treatment_Library!$L$2:$L$296,MATCH($BY518,_REF_Treatment_Library!$A$2:$A$296,0)),""))</f>
        <v>Owner assigned; baseline evidence coverage; open critical gaps</v>
      </c>
      <c r="CD518" t="str">
        <f t="shared" si="50"/>
        <v>Treatment by capability=CAP_VENDOR_CONCENTRATION; band=Initial / absent; score=0.0; treatment=Establish</v>
      </c>
      <c r="CE518" t="str">
        <f>IF($E518="","",IFERROR(INDEX(_REF_Industry_Wording!$A$2:$A$70,MATCH(1,INDEX((_REF_Industry_Wording!$B$2:$B$70=$BT518)*(_REF_Industry_Wording!$C$2:$C$70=PV_Canonical_Industry)*(_REF_Industry_Wording!$K$2:$K$70="Yes"),0),0)),IFERROR(INDEX(_REF_Industry_Wording!$A$2:$A$70,MATCH(1,INDEX((_REF_Industry_Wording!$B$2:$B$70=$BT518)*(_REF_Industry_Wording!$C$2:$C$70="All")*(_REF_Industry_Wording!$K$2:$K$70="Yes"),0),0)),"")))</f>
        <v>IW-ALL-VENDOR_CONCENTRATION</v>
      </c>
      <c r="CF518" t="str">
        <f>IF($CE518="","",IFERROR(INDEX(_REF_Industry_Wording!$E$2:$E$70,MATCH($CE518,_REF_Industry_Wording!$A$2:$A$70,0)),""))</f>
        <v>Vendor concentration weakness</v>
      </c>
      <c r="CG518" t="str">
        <f>IF($CE518="","",IFERROR(INDEX(_REF_Industry_Wording!$F$2:$F$70,MATCH($CE518,_REF_Industry_Wording!$A$2:$A$70,0)),""))</f>
        <v>Strengthen Vendor concentration</v>
      </c>
      <c r="CH518" t="str">
        <f>IF($CE518="","",IFERROR(INDEX(_REF_Industry_Wording!$G$2:$G$70,MATCH($CE518,_REF_Industry_Wording!$A$2:$A$70,0)),""))</f>
        <v>Strengthen Vendor concentration using the selected maturity treatment, crisis scenario and evidence requirements.</v>
      </c>
      <c r="CI518" t="str">
        <f>IF($CE518="","",IFERROR(INDEX(_REF_Industry_Wording!$H$2:$H$70,MATCH($CE518,_REF_Industry_Wording!$A$2:$A$70,0)),""))</f>
        <v>Vendor concentration</v>
      </c>
      <c r="CJ518">
        <f>IF($CE518="","",IFERROR(INDEX(_REF_Industry_Wording!$I$2:$I$70,MATCH($CE518,_REF_Industry_Wording!$A$2:$A$70,0)),""))</f>
        <v>0</v>
      </c>
      <c r="CK518" t="str">
        <f>IF($CE518="","",IFERROR(INDEX(_REF_Industry_Wording!$J$2:$J$70,MATCH($CE518,_REF_Industry_Wording!$A$2:$A$70,0)),""))</f>
        <v>Vendor concentration</v>
      </c>
      <c r="CL518" t="str">
        <f t="shared" si="51"/>
        <v>Wording by industry=0; capability=CAP_VENDOR_CONCENTRATION; risk label=Vendor concentration weakness</v>
      </c>
      <c r="CM518" t="str">
        <f t="shared" si="52"/>
        <v>RISK-ONT-0019</v>
      </c>
      <c r="CN518" t="str">
        <f t="shared" si="53"/>
        <v>RISK-EVT-0019</v>
      </c>
      <c r="CO518" t="str">
        <f t="shared" si="54"/>
        <v>Company Geography|Context and dependencies|COMP-021|CAP_VENDOR_CONCENTRATION</v>
      </c>
      <c r="CP518" t="str">
        <f t="shared" si="55"/>
        <v>Active</v>
      </c>
      <c r="CQ518" t="str">
        <f t="shared" si="56"/>
        <v>OK: capability-driven</v>
      </c>
      <c r="CR518" t="str">
        <f t="shared" si="57"/>
        <v>Risk ontology uses capability=CAP_VENDOR_CONCENTRATION; bridge=BRG-009; treatment=TRT-VENDOR_CONCENTRATION-INITIAL; wording=IW-ALL-VENDOR_CONCENTRATION</v>
      </c>
      <c r="CS518" t="str">
        <f t="shared" si="58"/>
        <v>Yes</v>
      </c>
    </row>
    <row r="519" spans="1:97" ht="69.900000000000006" customHeight="1">
      <c r="A519">
        <f>IF(OR($B519&lt;&gt;"Yes",$BS519=""),"",SUMPRODUCT(($B$500:$B$923="Yes")*ISNUMBER($BS$500:$BS$923)*($BS$500:$BS$923&gt;$BS519))+COUNTIFS($B$500:$B519,"Yes",$BS$500:$BS519,$BS519))</f>
        <v>336</v>
      </c>
      <c r="B519" t="str">
        <f t="shared" si="21"/>
        <v>Yes</v>
      </c>
      <c r="C519" t="s">
        <v>949</v>
      </c>
      <c r="D519" t="s">
        <v>951</v>
      </c>
      <c r="E519" t="s">
        <v>950</v>
      </c>
      <c r="F519" t="s">
        <v>3680</v>
      </c>
      <c r="G519" t="str">
        <f>IF($H519="","",IFERROR(INDEX(_ENGINE_Risk!$H$5:$M$499,MATCH($E519,_ENGINE_Risk!$A$5:$A$499,0),$H519+1),""))</f>
        <v>Severe risk: documented strategy translated into objectives, KPIs, budgets and accountable owners is not reliably controlled. During Demand shock; Financial / liquidity shock; Reputation crisis, the organization may face weak crisis positioning, poor prioritization of segments, revenue leakage and inability to adapt the offering with limited visibility or accountability.</v>
      </c>
      <c r="H519">
        <f>IFERROR(VALUE(INDEX(_DATA_Assessment_Model!$H$5:$H$884,MATCH($E519,_DATA_Assessment_Model!$A$5:$A$884,0))),"")</f>
        <v>0</v>
      </c>
      <c r="I519" t="str">
        <f>IF($H519="","",IFERROR(INDEX(_DATA_Assessment_Model!$L$5:$L$884,MATCH($E519,_DATA_Assessment_Model!$A$5:$A$884,0)),IF($H519&lt;=1,"Critical",IF($H519=2,"High",IF($H519=3,"Medium",IF($H519=4,"Low","Resilient"))))))</f>
        <v>Critical</v>
      </c>
      <c r="J519">
        <f t="shared" si="22"/>
        <v>3.6</v>
      </c>
      <c r="K519">
        <f t="shared" si="23"/>
        <v>4.1500000000000004</v>
      </c>
      <c r="L519">
        <f t="shared" si="24"/>
        <v>14.940000000000001</v>
      </c>
      <c r="M519">
        <f t="shared" si="25"/>
        <v>3</v>
      </c>
      <c r="N519">
        <f>IF($H519="","",IFERROR(INDEX(_ENGINE_Risk!$T$5:$Y$499,MATCH($E519,_ENGINE_Risk!$A$5:$A$499,0),$H519+1),""))</f>
        <v>3</v>
      </c>
      <c r="O519">
        <f t="shared" si="26"/>
        <v>4.333333333333333</v>
      </c>
      <c r="P519">
        <f t="shared" si="27"/>
        <v>5</v>
      </c>
      <c r="Q519">
        <f t="shared" si="28"/>
        <v>5</v>
      </c>
      <c r="R519">
        <f t="shared" si="29"/>
        <v>4.5</v>
      </c>
      <c r="S519">
        <f t="shared" si="30"/>
        <v>1.57</v>
      </c>
      <c r="T519" t="str">
        <f>IF($H519="","",IFERROR(INDEX(_ENGINE_Risk!$N$5:$S$499,MATCH($E519,_ENGINE_Risk!$A$5:$A$499,0),$H519+1),""))</f>
        <v>Create an immediate risk owner, minimum control baseline and fallback procedure for documented strategy translated into objectives, KPIs, budgets and accountable owners. Add it to the crisis risk register and collect first evidence.</v>
      </c>
      <c r="U519">
        <f>IFERROR(INDEX(_DATA_Assessment_Model!$G$5:$G$884,MATCH($E519,_DATA_Assessment_Model!$A$5:$A$884,0)),"")</f>
        <v>4</v>
      </c>
      <c r="V519">
        <f>IFERROR(INDEX(_DATA_Assessment_Model!$W$5:$W$884,MATCH($E519,_DATA_Assessment_Model!$A$5:$A$884,0)),"")</f>
        <v>4</v>
      </c>
      <c r="W519">
        <f>IFERROR(INDEX(_DATA_Assessment_Model!$X$5:$X$884,MATCH($E519,_DATA_Assessment_Model!$A$5:$A$884,0)),"")</f>
        <v>5</v>
      </c>
      <c r="X519">
        <f>IFERROR(INDEX(_DATA_Assessment_Model!$Y$5:$Y$884,MATCH($E519,_DATA_Assessment_Model!$A$5:$A$884,0)),"")</f>
        <v>5</v>
      </c>
      <c r="Y519" t="s">
        <v>962</v>
      </c>
      <c r="Z519" t="s">
        <v>4860</v>
      </c>
      <c r="AA519" t="s">
        <v>955</v>
      </c>
      <c r="AB519">
        <f>IFERROR(INDEX(_DATA_Assessment_Model!$U$5:$U$884,MATCH($E519,_DATA_Assessment_Model!$A$5:$A$884,0)),"")</f>
        <v>0</v>
      </c>
      <c r="AF519" t="s">
        <v>952</v>
      </c>
      <c r="AO519">
        <f>IF($B519="Yes",IF(IFERROR(INDEX(_ENGINE_Crisis!$F$501:$F$517,MATCH($C519,_ENGINE_Crisis!$A$501:$A$517,0)),1)=0,1,IFERROR(INDEX(_ENGINE_Crisis!$F$501:$F$517,MATCH($C519,_ENGINE_Crisis!$A$501:$A$517,0)),1)),"")</f>
        <v>1</v>
      </c>
      <c r="AP519">
        <f t="shared" si="37"/>
        <v>14.9</v>
      </c>
      <c r="AQ519">
        <f t="shared" si="38"/>
        <v>1.57</v>
      </c>
      <c r="AR519" t="str">
        <f>IFERROR(INDEX(_ENGINE_Crisis!$E$41:$E$700,MATCH('Resilience &amp; Risk Scenario'!$B$6&amp;"|"&amp;$C519,_ENGINE_Crisis!$I$41:$I$700,0)),"")</f>
        <v/>
      </c>
      <c r="AS519" t="str">
        <f>IFERROR(INDEX(_ENGINE_Crisis!$G$41:$G$700,MATCH('Resilience &amp; Risk Scenario'!$B$6&amp;"|"&amp;$C519,_ENGINE_Crisis!$I$41:$I$700,0)),"")</f>
        <v/>
      </c>
      <c r="AT519" t="str">
        <f>IFERROR(INDEX(_ENGINE_Initiatives!$A$5:$A$532,MATCH(1,INDEX((_ENGINE_Initiatives!$B$5:$B$532=$C519)*(_ENGINE_Initiatives!$C$5:$C$532=$D519),0),0)),"")</f>
        <v>INI-004</v>
      </c>
      <c r="AU519" t="str">
        <f>IFERROR(INDEX(_ENGINE_Initiatives!$F$5:$F$532,MATCH(1,INDEX((_ENGINE_Initiatives!$B$5:$B$532=$C519)*(_ENGINE_Initiatives!$C$5:$C$532=$D519),0),0)),"")</f>
        <v>Stress-test corporate strategy and decision assumptions</v>
      </c>
      <c r="AV519">
        <f>IFERROR(INDEX(_ENGINE_Initiatives!$AC$5:$AC$532,MATCH(1,INDEX((_ENGINE_Initiatives!$B$5:$B$532=$C519)*(_ENGINE_Initiatives!$C$5:$C$532=$D519),0),0)),"")</f>
        <v>1.71</v>
      </c>
      <c r="AW519" t="str">
        <f>IFERROR(INDEX(_ENGINE_Initiatives!$AE$5:$AE$532,MATCH(1,INDEX((_ENGINE_Initiatives!$B$5:$B$532=$C519)*(_ENGINE_Initiatives!$C$5:$C$532=$D519),0),0)),"")</f>
        <v>6-12 months</v>
      </c>
      <c r="AX519">
        <f>IF($B519="Yes",IFERROR((IF(SUMIFS(_REF_Model_Content!$E$1:$E$613,_REF_Model_Content!$A$1:$A$613,PV_Canonical_Industry,_REF_Model_Content!$B$1:$B$613,$C519)=0,1,SUMIFS(_REF_Model_Content!$E$1:$E$613,_REF_Model_Content!$A$1:$A$613,PV_Canonical_Industry,_REF_Model_Content!$B$1:$B$613,$C519))*IFERROR($BU519,1)),1),"")</f>
        <v>1</v>
      </c>
      <c r="AY519">
        <f t="shared" si="39"/>
        <v>14.9</v>
      </c>
      <c r="AZ519">
        <f t="shared" si="40"/>
        <v>1.57</v>
      </c>
      <c r="BB519" t="str">
        <f>IF($H519="","",IFERROR(INDEX(_ENGINE_Risk!$AE$5:$AE$499,MATCH($E519,_ENGINE_Risk!$A$5:$A$499,0)),"Medium"))</f>
        <v>Medium</v>
      </c>
      <c r="BC519">
        <f t="shared" si="41"/>
        <v>1</v>
      </c>
      <c r="BD519">
        <f t="shared" si="42"/>
        <v>1.57</v>
      </c>
      <c r="BF519">
        <f>IF(OR($H519="",$J519=""),"",IFERROR(VLOOKUP(ROUND($J519,0),_CONFIG_Model_Settings!$D$154:$E$158,2,0),""))</f>
        <v>0.5</v>
      </c>
      <c r="BG519">
        <f>IFERROR(IF(OR($H519="",$K519=""),"",ROUND('Company Profile'!$B$113*INDEX(_CONFIG_Model_Settings!$H$154:$H$158,MATCH(ROUND($K519,0),_CONFIG_Model_Settings!$G$154:$G$158,0)),0)),0)</f>
        <v>875</v>
      </c>
      <c r="BH519">
        <f t="shared" si="43"/>
        <v>437.5</v>
      </c>
      <c r="BI519">
        <f t="shared" si="44"/>
        <v>437.5</v>
      </c>
      <c r="BJ519">
        <f>IF($E519="","",IFERROR(VLOOKUP($C519,_CONFIG_Risk_Calibration!$A$5:$H$21,2,FALSE),3))</f>
        <v>3</v>
      </c>
      <c r="BK519">
        <f>IF($E519="","",IFERROR(VLOOKUP($C519,_CONFIG_Risk_Calibration!$A$5:$H$21,3,FALSE),0))</f>
        <v>0</v>
      </c>
      <c r="BL519">
        <f>IF($E519="","",IFERROR(VLOOKUP($C519,_CONFIG_Risk_Calibration!$A$5:$H$21,4,FALSE),3))</f>
        <v>3</v>
      </c>
      <c r="BM519">
        <f>IF($E519="","",IFERROR(VLOOKUP($C519,_CONFIG_Risk_Calibration!$A$5:$H$21,5,FALSE),3))</f>
        <v>3</v>
      </c>
      <c r="BN519" t="str">
        <f>IF($E519="","",IFERROR(VLOOKUP($C519,_CONFIG_Risk_Calibration!$A$5:$H$21,6,FALSE),"No"))</f>
        <v>No</v>
      </c>
      <c r="BO519">
        <f>IF($E519="","",IFERROR(VLOOKUP($C519,_CONFIG_Risk_Calibration!$A$5:$H$21,7,FALSE),1))</f>
        <v>1</v>
      </c>
      <c r="BP519">
        <f>IF($H519="","",MAX(1,MIN(5,((6-$H519)*0.45)+($BJ519*0.2)+('Resilience &amp; Risk Scenario'!$B$7*0.15)+($BK519*0.1)+($BL519*0.05)+(IF($BB519="Fast",5,IF($BB519="Slow",1,3))*0.05))))</f>
        <v>3.6</v>
      </c>
      <c r="BQ519">
        <f t="shared" si="45"/>
        <v>4.1500000000000004</v>
      </c>
      <c r="BR519">
        <f t="shared" si="46"/>
        <v>14.94</v>
      </c>
      <c r="BS519">
        <f t="shared" si="47"/>
        <v>14.94</v>
      </c>
      <c r="BT519" t="str">
        <f>IFERROR(INDEX(_REF_Capability_Bridge!$D:$D,MATCH($C519&amp;"|"&amp;$D519,_REF_Capability_Bridge!$J:$J,0)),IFERROR(INDEX(_REF_Capability_Bridge!$D:$D,MATCH($C519&amp;"|",_REF_Capability_Bridge!$J:$J,0)),"CAP_GENERIC"))</f>
        <v>CAP_BACKUP_RECOVERY</v>
      </c>
      <c r="BU519">
        <f>IFERROR(IFERROR(INDEX(_ENGINE_Relevance!$L:$L,MATCH($BT519,_ENGINE_Relevance!$B:$B,0)),1),1)</f>
        <v>1</v>
      </c>
      <c r="BV519" t="str">
        <f>IFERROR(INDEX(_REF_Capability_Bridge!$A:$A,MATCH($C519&amp;"|"&amp;$D519,_REF_Capability_Bridge!$J:$J,0)),IFERROR(INDEX(_REF_Capability_Bridge!$A:$A,MATCH($C519&amp;"|",_REF_Capability_Bridge!$J:$J,0)),"No bridge"))</f>
        <v>BRG-083</v>
      </c>
      <c r="BW519" t="str">
        <f t="shared" si="48"/>
        <v>Capability relevance neutral</v>
      </c>
      <c r="BX519" t="str">
        <f t="shared" si="49"/>
        <v>Initial / absent</v>
      </c>
      <c r="BY519" t="str">
        <f>IF($E519="","",IFERROR(INDEX(_REF_Treatment_Library!$A$2:$A$296,MATCH(1,INDEX((_REF_Treatment_Library!$B$2:$B$296=$BT519)*(_REF_Treatment_Library!$C$2:$C$296=PV_Canonical_Industry)*(_REF_Treatment_Library!$E$2:$E$296&lt;=N($H519))*(_REF_Treatment_Library!$F$2:$F$296&gt;=N($H519))*(_REF_Treatment_Library!$O$2:$O$296="Yes"),0),0)),IFERROR(INDEX(_REF_Treatment_Library!$A$2:$A$296,MATCH(1,INDEX((_REF_Treatment_Library!$B$2:$B$296=$BT519)*(_REF_Treatment_Library!$C$2:$C$296="All")*(_REF_Treatment_Library!$E$2:$E$296&lt;=N($H519))*(_REF_Treatment_Library!$F$2:$F$296&gt;=N($H519))*(_REF_Treatment_Library!$O$2:$O$296="Yes"),0),0)),"")))</f>
        <v>TRT-BACKUP_RECOVERY-INITIAL</v>
      </c>
      <c r="BZ519" t="str">
        <f>IF($BY519="","",IFERROR(INDEX(_REF_Treatment_Library!$H$2:$H$296,MATCH($BY519,_REF_Treatment_Library!$A$2:$A$296,0)),""))</f>
        <v>Establish</v>
      </c>
      <c r="CA519" t="str">
        <f>IF($BY519="","",IFERROR(INDEX(_REF_Treatment_Library!$I$2:$I$296,MATCH($BY519,_REF_Treatment_Library!$A$2:$A$296,0)),""))</f>
        <v>Establish baseline controls for Backup / recovery</v>
      </c>
      <c r="CB519" t="str">
        <f>IF($BY519="","",IFERROR(INDEX(_REF_Treatment_Library!$K$2:$K$296,MATCH($BY519,_REF_Treatment_Library!$A$2:$A$296,0)),""))</f>
        <v>Named owner, baseline process, minimum control checklist, first evidence package</v>
      </c>
      <c r="CC519" t="str">
        <f>IF($BY519="","",IFERROR(INDEX(_REF_Treatment_Library!$L$2:$L$296,MATCH($BY519,_REF_Treatment_Library!$A$2:$A$296,0)),""))</f>
        <v>Owner assigned; baseline evidence coverage; open critical gaps</v>
      </c>
      <c r="CD519" t="str">
        <f t="shared" si="50"/>
        <v>Treatment by capability=CAP_BACKUP_RECOVERY; band=Initial / absent; score=0.0; treatment=Establish</v>
      </c>
      <c r="CE519" t="str">
        <f>IF($E519="","",IFERROR(INDEX(_REF_Industry_Wording!$A$2:$A$70,MATCH(1,INDEX((_REF_Industry_Wording!$B$2:$B$70=$BT519)*(_REF_Industry_Wording!$C$2:$C$70=PV_Canonical_Industry)*(_REF_Industry_Wording!$K$2:$K$70="Yes"),0),0)),IFERROR(INDEX(_REF_Industry_Wording!$A$2:$A$70,MATCH(1,INDEX((_REF_Industry_Wording!$B$2:$B$70=$BT519)*(_REF_Industry_Wording!$C$2:$C$70="All")*(_REF_Industry_Wording!$K$2:$K$70="Yes"),0),0)),"")))</f>
        <v>IW-ALL-BACKUP_RECOVERY</v>
      </c>
      <c r="CF519" t="str">
        <f>IF($CE519="","",IFERROR(INDEX(_REF_Industry_Wording!$E$2:$E$70,MATCH($CE519,_REF_Industry_Wording!$A$2:$A$70,0)),""))</f>
        <v>Backup / recovery weakness</v>
      </c>
      <c r="CG519" t="str">
        <f>IF($CE519="","",IFERROR(INDEX(_REF_Industry_Wording!$F$2:$F$70,MATCH($CE519,_REF_Industry_Wording!$A$2:$A$70,0)),""))</f>
        <v>Strengthen Backup / recovery</v>
      </c>
      <c r="CH519" t="str">
        <f>IF($CE519="","",IFERROR(INDEX(_REF_Industry_Wording!$G$2:$G$70,MATCH($CE519,_REF_Industry_Wording!$A$2:$A$70,0)),""))</f>
        <v>Strengthen Backup / recovery using the selected maturity treatment, crisis scenario and evidence requirements.</v>
      </c>
      <c r="CI519" t="str">
        <f>IF($CE519="","",IFERROR(INDEX(_REF_Industry_Wording!$H$2:$H$70,MATCH($CE519,_REF_Industry_Wording!$A$2:$A$70,0)),""))</f>
        <v>Backup / recovery</v>
      </c>
      <c r="CJ519">
        <f>IF($CE519="","",IFERROR(INDEX(_REF_Industry_Wording!$I$2:$I$70,MATCH($CE519,_REF_Industry_Wording!$A$2:$A$70,0)),""))</f>
        <v>0</v>
      </c>
      <c r="CK519" t="str">
        <f>IF($CE519="","",IFERROR(INDEX(_REF_Industry_Wording!$J$2:$J$70,MATCH($CE519,_REF_Industry_Wording!$A$2:$A$70,0)),""))</f>
        <v>Backup / recovery</v>
      </c>
      <c r="CL519" t="str">
        <f t="shared" si="51"/>
        <v>Wording by industry=0; capability=CAP_BACKUP_RECOVERY; risk label=Backup / recovery weakness</v>
      </c>
      <c r="CM519" t="str">
        <f t="shared" si="52"/>
        <v>RISK-ONT-0020</v>
      </c>
      <c r="CN519" t="str">
        <f t="shared" si="53"/>
        <v>RISK-EVT-0020</v>
      </c>
      <c r="CO519" t="str">
        <f t="shared" si="54"/>
        <v>Strategy GTM|Corporate strategy|STRA-001|CAP_BACKUP_RECOVERY</v>
      </c>
      <c r="CP519" t="str">
        <f t="shared" si="55"/>
        <v>Active</v>
      </c>
      <c r="CQ519" t="str">
        <f t="shared" si="56"/>
        <v>OK: capability-driven</v>
      </c>
      <c r="CR519" t="str">
        <f t="shared" si="57"/>
        <v>Risk ontology uses capability=CAP_BACKUP_RECOVERY; bridge=BRG-083; treatment=TRT-BACKUP_RECOVERY-INITIAL; wording=IW-ALL-BACKUP_RECOVERY</v>
      </c>
      <c r="CS519" t="str">
        <f t="shared" si="58"/>
        <v>Yes</v>
      </c>
    </row>
    <row r="520" spans="1:97" ht="69.900000000000006" customHeight="1">
      <c r="A520">
        <f>IF(OR($B520&lt;&gt;"Yes",$BS520=""),"",SUMPRODUCT(($B$500:$B$923="Yes")*ISNUMBER($BS$500:$BS$923)*($BS$500:$BS$923&gt;$BS520))+COUNTIFS($B$500:$B520,"Yes",$BS$500:$BS520,$BS520))</f>
        <v>348</v>
      </c>
      <c r="B520" t="str">
        <f t="shared" si="21"/>
        <v>Yes</v>
      </c>
      <c r="C520" t="s">
        <v>949</v>
      </c>
      <c r="D520" t="s">
        <v>951</v>
      </c>
      <c r="E520" t="s">
        <v>963</v>
      </c>
      <c r="F520" t="s">
        <v>3680</v>
      </c>
      <c r="G520" t="str">
        <f>IF($H520="","",IFERROR(INDEX(_ENGINE_Risk!$H$5:$M$499,MATCH($E520,_ENGINE_Risk!$A$5:$A$499,0),$H520+1),""))</f>
        <v>Severe risk: explicit strategic assumptions and periodic challenge of those assumptions is not reliably controlled. During Demand shock; Financial / liquidity shock; Reputation crisis, the organization may face weak crisis positioning, poor prioritization of segments, revenue leakage and inability to adapt the offering with limited visibility or accountability.</v>
      </c>
      <c r="H520">
        <f>IFERROR(VALUE(INDEX(_DATA_Assessment_Model!$H$5:$H$884,MATCH($E520,_DATA_Assessment_Model!$A$5:$A$884,0))),"")</f>
        <v>0</v>
      </c>
      <c r="I520" t="str">
        <f>IF($H520="","",IFERROR(INDEX(_DATA_Assessment_Model!$L$5:$L$884,MATCH($E520,_DATA_Assessment_Model!$A$5:$A$884,0)),IF($H520&lt;=1,"Critical",IF($H520=2,"High",IF($H520=3,"Medium",IF($H520=4,"Low","Resilient"))))))</f>
        <v>Critical</v>
      </c>
      <c r="J520">
        <f t="shared" si="22"/>
        <v>3.6</v>
      </c>
      <c r="K520">
        <f t="shared" si="23"/>
        <v>3.95</v>
      </c>
      <c r="L520">
        <f t="shared" si="24"/>
        <v>14.22</v>
      </c>
      <c r="M520">
        <f t="shared" si="25"/>
        <v>3</v>
      </c>
      <c r="N520">
        <f>IF($H520="","",IFERROR(INDEX(_ENGINE_Risk!$T$5:$Y$499,MATCH($E520,_ENGINE_Risk!$A$5:$A$499,0),$H520+1),""))</f>
        <v>3</v>
      </c>
      <c r="O520">
        <f t="shared" si="26"/>
        <v>4</v>
      </c>
      <c r="P520">
        <f t="shared" si="27"/>
        <v>5</v>
      </c>
      <c r="Q520">
        <f t="shared" si="28"/>
        <v>5</v>
      </c>
      <c r="R520">
        <f t="shared" si="29"/>
        <v>4.5</v>
      </c>
      <c r="S520">
        <f t="shared" si="30"/>
        <v>1.54</v>
      </c>
      <c r="T520" t="str">
        <f>IF($H520="","",IFERROR(INDEX(_ENGINE_Risk!$N$5:$S$499,MATCH($E520,_ENGINE_Risk!$A$5:$A$499,0),$H520+1),""))</f>
        <v>Create an immediate risk owner, minimum control baseline and fallback procedure for explicit strategic assumptions and periodic challenge of those assumptions. Add it to the crisis risk register and collect first evidence.</v>
      </c>
      <c r="U520">
        <f>IFERROR(INDEX(_DATA_Assessment_Model!$G$5:$G$884,MATCH($E520,_DATA_Assessment_Model!$A$5:$A$884,0)),"")</f>
        <v>3</v>
      </c>
      <c r="V520">
        <f>IFERROR(INDEX(_DATA_Assessment_Model!$W$5:$W$884,MATCH($E520,_DATA_Assessment_Model!$A$5:$A$884,0)),"")</f>
        <v>4</v>
      </c>
      <c r="W520">
        <f>IFERROR(INDEX(_DATA_Assessment_Model!$X$5:$X$884,MATCH($E520,_DATA_Assessment_Model!$A$5:$A$884,0)),"")</f>
        <v>5</v>
      </c>
      <c r="X520">
        <f>IFERROR(INDEX(_DATA_Assessment_Model!$Y$5:$Y$884,MATCH($E520,_DATA_Assessment_Model!$A$5:$A$884,0)),"")</f>
        <v>5</v>
      </c>
      <c r="Y520" t="s">
        <v>962</v>
      </c>
      <c r="Z520" t="s">
        <v>4860</v>
      </c>
      <c r="AA520" t="s">
        <v>965</v>
      </c>
      <c r="AB520">
        <f>IFERROR(INDEX(_DATA_Assessment_Model!$U$5:$U$884,MATCH($E520,_DATA_Assessment_Model!$A$5:$A$884,0)),"")</f>
        <v>0</v>
      </c>
      <c r="AF520" t="s">
        <v>964</v>
      </c>
      <c r="AO520">
        <f>IF($B520="Yes",IF(IFERROR(INDEX(_ENGINE_Crisis!$F$501:$F$517,MATCH($C520,_ENGINE_Crisis!$A$501:$A$517,0)),1)=0,1,IFERROR(INDEX(_ENGINE_Crisis!$F$501:$F$517,MATCH($C520,_ENGINE_Crisis!$A$501:$A$517,0)),1)),"")</f>
        <v>1</v>
      </c>
      <c r="AP520">
        <f t="shared" si="37"/>
        <v>14.2</v>
      </c>
      <c r="AQ520">
        <f t="shared" si="38"/>
        <v>1.54</v>
      </c>
      <c r="AR520" t="str">
        <f>IFERROR(INDEX(_ENGINE_Crisis!$E$41:$E$700,MATCH('Resilience &amp; Risk Scenario'!$B$6&amp;"|"&amp;$C520,_ENGINE_Crisis!$I$41:$I$700,0)),"")</f>
        <v/>
      </c>
      <c r="AS520" t="str">
        <f>IFERROR(INDEX(_ENGINE_Crisis!$G$41:$G$700,MATCH('Resilience &amp; Risk Scenario'!$B$6&amp;"|"&amp;$C520,_ENGINE_Crisis!$I$41:$I$700,0)),"")</f>
        <v/>
      </c>
      <c r="AT520" t="str">
        <f>IFERROR(INDEX(_ENGINE_Initiatives!$A$5:$A$532,MATCH(1,INDEX((_ENGINE_Initiatives!$B$5:$B$532=$C520)*(_ENGINE_Initiatives!$C$5:$C$532=$D520),0),0)),"")</f>
        <v>INI-004</v>
      </c>
      <c r="AU520" t="str">
        <f>IFERROR(INDEX(_ENGINE_Initiatives!$F$5:$F$532,MATCH(1,INDEX((_ENGINE_Initiatives!$B$5:$B$532=$C520)*(_ENGINE_Initiatives!$C$5:$C$532=$D520),0),0)),"")</f>
        <v>Stress-test corporate strategy and decision assumptions</v>
      </c>
      <c r="AV520">
        <f>IFERROR(INDEX(_ENGINE_Initiatives!$AC$5:$AC$532,MATCH(1,INDEX((_ENGINE_Initiatives!$B$5:$B$532=$C520)*(_ENGINE_Initiatives!$C$5:$C$532=$D520),0),0)),"")</f>
        <v>1.71</v>
      </c>
      <c r="AW520" t="str">
        <f>IFERROR(INDEX(_ENGINE_Initiatives!$AE$5:$AE$532,MATCH(1,INDEX((_ENGINE_Initiatives!$B$5:$B$532=$C520)*(_ENGINE_Initiatives!$C$5:$C$532=$D520),0),0)),"")</f>
        <v>6-12 months</v>
      </c>
      <c r="AX520">
        <f>IF($B520="Yes",IFERROR((IF(SUMIFS(_REF_Model_Content!$E$1:$E$613,_REF_Model_Content!$A$1:$A$613,PV_Canonical_Industry,_REF_Model_Content!$B$1:$B$613,$C520)=0,1,SUMIFS(_REF_Model_Content!$E$1:$E$613,_REF_Model_Content!$A$1:$A$613,PV_Canonical_Industry,_REF_Model_Content!$B$1:$B$613,$C520))*IFERROR($BU520,1)),1),"")</f>
        <v>1</v>
      </c>
      <c r="AY520">
        <f t="shared" si="39"/>
        <v>14.2</v>
      </c>
      <c r="AZ520">
        <f t="shared" si="40"/>
        <v>1.54</v>
      </c>
      <c r="BB520" t="str">
        <f>IF($H520="","",IFERROR(INDEX(_ENGINE_Risk!$AE$5:$AE$499,MATCH($E520,_ENGINE_Risk!$A$5:$A$499,0)),"Medium"))</f>
        <v>Medium</v>
      </c>
      <c r="BC520">
        <f t="shared" si="41"/>
        <v>1</v>
      </c>
      <c r="BD520">
        <f t="shared" si="42"/>
        <v>1.54</v>
      </c>
      <c r="BF520">
        <f>IF(OR($H520="",$J520=""),"",IFERROR(VLOOKUP(ROUND($J520,0),_CONFIG_Model_Settings!$D$154:$E$158,2,0),""))</f>
        <v>0.5</v>
      </c>
      <c r="BG520">
        <f>IFERROR(IF(OR($H520="",$K520=""),"",ROUND('Company Profile'!$B$113*INDEX(_CONFIG_Model_Settings!$H$154:$H$158,MATCH(ROUND($K520,0),_CONFIG_Model_Settings!$G$154:$G$158,0)),0)),0)</f>
        <v>875</v>
      </c>
      <c r="BH520">
        <f t="shared" si="43"/>
        <v>437.5</v>
      </c>
      <c r="BI520">
        <f t="shared" si="44"/>
        <v>437.5</v>
      </c>
      <c r="BJ520">
        <f>IF($E520="","",IFERROR(VLOOKUP($C520,_CONFIG_Risk_Calibration!$A$5:$H$21,2,FALSE),3))</f>
        <v>3</v>
      </c>
      <c r="BK520">
        <f>IF($E520="","",IFERROR(VLOOKUP($C520,_CONFIG_Risk_Calibration!$A$5:$H$21,3,FALSE),0))</f>
        <v>0</v>
      </c>
      <c r="BL520">
        <f>IF($E520="","",IFERROR(VLOOKUP($C520,_CONFIG_Risk_Calibration!$A$5:$H$21,4,FALSE),3))</f>
        <v>3</v>
      </c>
      <c r="BM520">
        <f>IF($E520="","",IFERROR(VLOOKUP($C520,_CONFIG_Risk_Calibration!$A$5:$H$21,5,FALSE),3))</f>
        <v>3</v>
      </c>
      <c r="BN520" t="str">
        <f>IF($E520="","",IFERROR(VLOOKUP($C520,_CONFIG_Risk_Calibration!$A$5:$H$21,6,FALSE),"No"))</f>
        <v>No</v>
      </c>
      <c r="BO520">
        <f>IF($E520="","",IFERROR(VLOOKUP($C520,_CONFIG_Risk_Calibration!$A$5:$H$21,7,FALSE),1))</f>
        <v>1</v>
      </c>
      <c r="BP520">
        <f>IF($H520="","",MAX(1,MIN(5,((6-$H520)*0.45)+($BJ520*0.2)+('Resilience &amp; Risk Scenario'!$B$7*0.15)+($BK520*0.1)+($BL520*0.05)+(IF($BB520="Fast",5,IF($BB520="Slow",1,3))*0.05))))</f>
        <v>3.6</v>
      </c>
      <c r="BQ520">
        <f t="shared" si="45"/>
        <v>3.95</v>
      </c>
      <c r="BR520">
        <f t="shared" si="46"/>
        <v>14.22</v>
      </c>
      <c r="BS520">
        <f t="shared" si="47"/>
        <v>14.22</v>
      </c>
      <c r="BT520" t="str">
        <f>IFERROR(INDEX(_REF_Capability_Bridge!$D:$D,MATCH($C520&amp;"|"&amp;$D520,_REF_Capability_Bridge!$J:$J,0)),IFERROR(INDEX(_REF_Capability_Bridge!$D:$D,MATCH($C520&amp;"|",_REF_Capability_Bridge!$J:$J,0)),"CAP_GENERIC"))</f>
        <v>CAP_BACKUP_RECOVERY</v>
      </c>
      <c r="BU520">
        <f>IFERROR(IFERROR(INDEX(_ENGINE_Relevance!$L:$L,MATCH($BT520,_ENGINE_Relevance!$B:$B,0)),1),1)</f>
        <v>1</v>
      </c>
      <c r="BV520" t="str">
        <f>IFERROR(INDEX(_REF_Capability_Bridge!$A:$A,MATCH($C520&amp;"|"&amp;$D520,_REF_Capability_Bridge!$J:$J,0)),IFERROR(INDEX(_REF_Capability_Bridge!$A:$A,MATCH($C520&amp;"|",_REF_Capability_Bridge!$J:$J,0)),"No bridge"))</f>
        <v>BRG-083</v>
      </c>
      <c r="BW520" t="str">
        <f t="shared" si="48"/>
        <v>Capability relevance neutral</v>
      </c>
      <c r="BX520" t="str">
        <f t="shared" si="49"/>
        <v>Initial / absent</v>
      </c>
      <c r="BY520" t="str">
        <f>IF($E520="","",IFERROR(INDEX(_REF_Treatment_Library!$A$2:$A$296,MATCH(1,INDEX((_REF_Treatment_Library!$B$2:$B$296=$BT520)*(_REF_Treatment_Library!$C$2:$C$296=PV_Canonical_Industry)*(_REF_Treatment_Library!$E$2:$E$296&lt;=N($H520))*(_REF_Treatment_Library!$F$2:$F$296&gt;=N($H520))*(_REF_Treatment_Library!$O$2:$O$296="Yes"),0),0)),IFERROR(INDEX(_REF_Treatment_Library!$A$2:$A$296,MATCH(1,INDEX((_REF_Treatment_Library!$B$2:$B$296=$BT520)*(_REF_Treatment_Library!$C$2:$C$296="All")*(_REF_Treatment_Library!$E$2:$E$296&lt;=N($H520))*(_REF_Treatment_Library!$F$2:$F$296&gt;=N($H520))*(_REF_Treatment_Library!$O$2:$O$296="Yes"),0),0)),"")))</f>
        <v>TRT-BACKUP_RECOVERY-INITIAL</v>
      </c>
      <c r="BZ520" t="str">
        <f>IF($BY520="","",IFERROR(INDEX(_REF_Treatment_Library!$H$2:$H$296,MATCH($BY520,_REF_Treatment_Library!$A$2:$A$296,0)),""))</f>
        <v>Establish</v>
      </c>
      <c r="CA520" t="str">
        <f>IF($BY520="","",IFERROR(INDEX(_REF_Treatment_Library!$I$2:$I$296,MATCH($BY520,_REF_Treatment_Library!$A$2:$A$296,0)),""))</f>
        <v>Establish baseline controls for Backup / recovery</v>
      </c>
      <c r="CB520" t="str">
        <f>IF($BY520="","",IFERROR(INDEX(_REF_Treatment_Library!$K$2:$K$296,MATCH($BY520,_REF_Treatment_Library!$A$2:$A$296,0)),""))</f>
        <v>Named owner, baseline process, minimum control checklist, first evidence package</v>
      </c>
      <c r="CC520" t="str">
        <f>IF($BY520="","",IFERROR(INDEX(_REF_Treatment_Library!$L$2:$L$296,MATCH($BY520,_REF_Treatment_Library!$A$2:$A$296,0)),""))</f>
        <v>Owner assigned; baseline evidence coverage; open critical gaps</v>
      </c>
      <c r="CD520" t="str">
        <f t="shared" si="50"/>
        <v>Treatment by capability=CAP_BACKUP_RECOVERY; band=Initial / absent; score=0.0; treatment=Establish</v>
      </c>
      <c r="CE520" t="str">
        <f>IF($E520="","",IFERROR(INDEX(_REF_Industry_Wording!$A$2:$A$70,MATCH(1,INDEX((_REF_Industry_Wording!$B$2:$B$70=$BT520)*(_REF_Industry_Wording!$C$2:$C$70=PV_Canonical_Industry)*(_REF_Industry_Wording!$K$2:$K$70="Yes"),0),0)),IFERROR(INDEX(_REF_Industry_Wording!$A$2:$A$70,MATCH(1,INDEX((_REF_Industry_Wording!$B$2:$B$70=$BT520)*(_REF_Industry_Wording!$C$2:$C$70="All")*(_REF_Industry_Wording!$K$2:$K$70="Yes"),0),0)),"")))</f>
        <v>IW-ALL-BACKUP_RECOVERY</v>
      </c>
      <c r="CF520" t="str">
        <f>IF($CE520="","",IFERROR(INDEX(_REF_Industry_Wording!$E$2:$E$70,MATCH($CE520,_REF_Industry_Wording!$A$2:$A$70,0)),""))</f>
        <v>Backup / recovery weakness</v>
      </c>
      <c r="CG520" t="str">
        <f>IF($CE520="","",IFERROR(INDEX(_REF_Industry_Wording!$F$2:$F$70,MATCH($CE520,_REF_Industry_Wording!$A$2:$A$70,0)),""))</f>
        <v>Strengthen Backup / recovery</v>
      </c>
      <c r="CH520" t="str">
        <f>IF($CE520="","",IFERROR(INDEX(_REF_Industry_Wording!$G$2:$G$70,MATCH($CE520,_REF_Industry_Wording!$A$2:$A$70,0)),""))</f>
        <v>Strengthen Backup / recovery using the selected maturity treatment, crisis scenario and evidence requirements.</v>
      </c>
      <c r="CI520" t="str">
        <f>IF($CE520="","",IFERROR(INDEX(_REF_Industry_Wording!$H$2:$H$70,MATCH($CE520,_REF_Industry_Wording!$A$2:$A$70,0)),""))</f>
        <v>Backup / recovery</v>
      </c>
      <c r="CJ520">
        <f>IF($CE520="","",IFERROR(INDEX(_REF_Industry_Wording!$I$2:$I$70,MATCH($CE520,_REF_Industry_Wording!$A$2:$A$70,0)),""))</f>
        <v>0</v>
      </c>
      <c r="CK520" t="str">
        <f>IF($CE520="","",IFERROR(INDEX(_REF_Industry_Wording!$J$2:$J$70,MATCH($CE520,_REF_Industry_Wording!$A$2:$A$70,0)),""))</f>
        <v>Backup / recovery</v>
      </c>
      <c r="CL520" t="str">
        <f t="shared" si="51"/>
        <v>Wording by industry=0; capability=CAP_BACKUP_RECOVERY; risk label=Backup / recovery weakness</v>
      </c>
      <c r="CM520" t="str">
        <f t="shared" si="52"/>
        <v>RISK-ONT-0021</v>
      </c>
      <c r="CN520" t="str">
        <f t="shared" si="53"/>
        <v>RISK-EVT-0021</v>
      </c>
      <c r="CO520" t="str">
        <f t="shared" si="54"/>
        <v>Strategy GTM|Corporate strategy|STRA-002|CAP_BACKUP_RECOVERY</v>
      </c>
      <c r="CP520" t="str">
        <f t="shared" si="55"/>
        <v>Active</v>
      </c>
      <c r="CQ520" t="str">
        <f t="shared" si="56"/>
        <v>OK: capability-driven</v>
      </c>
      <c r="CR520" t="str">
        <f t="shared" si="57"/>
        <v>Risk ontology uses capability=CAP_BACKUP_RECOVERY; bridge=BRG-083; treatment=TRT-BACKUP_RECOVERY-INITIAL; wording=IW-ALL-BACKUP_RECOVERY</v>
      </c>
      <c r="CS520" t="str">
        <f t="shared" si="58"/>
        <v>Yes</v>
      </c>
    </row>
    <row r="521" spans="1:97" ht="69.900000000000006" customHeight="1">
      <c r="A521">
        <f>IF(OR($B521&lt;&gt;"Yes",$BS521=""),"",SUMPRODUCT(($B$500:$B$923="Yes")*ISNUMBER($BS$500:$BS$923)*($BS$500:$BS$923&gt;$BS521))+COUNTIFS($B$500:$B521,"Yes",$BS$500:$BS521,$BS521))</f>
        <v>317</v>
      </c>
      <c r="B521" t="str">
        <f t="shared" si="21"/>
        <v>Yes</v>
      </c>
      <c r="C521" t="s">
        <v>949</v>
      </c>
      <c r="D521" t="s">
        <v>951</v>
      </c>
      <c r="E521" t="s">
        <v>973</v>
      </c>
      <c r="F521" t="s">
        <v>3680</v>
      </c>
      <c r="G521" t="str">
        <f>IF($H521="","",IFERROR(INDEX(_ENGINE_Risk!$H$5:$M$499,MATCH($E521,_ENGINE_Risk!$A$5:$A$499,0),$H521+1),""))</f>
        <v>Severe risk: crisis-resilient strategy including adaptation, continuity, digital enablement and recovery options is not reliably controlled. During Demand shock; Financial / liquidity shock; Reputation crisis, the organization may face weak crisis positioning, poor prioritization of segments, revenue leakage and inability to adapt the offering with limited visibility or accountability.</v>
      </c>
      <c r="H521">
        <f>IFERROR(VALUE(INDEX(_DATA_Assessment_Model!$H$5:$H$884,MATCH($E521,_DATA_Assessment_Model!$A$5:$A$884,0))),"")</f>
        <v>0</v>
      </c>
      <c r="I521" t="str">
        <f>IF($H521="","",IFERROR(INDEX(_DATA_Assessment_Model!$L$5:$L$884,MATCH($E521,_DATA_Assessment_Model!$A$5:$A$884,0)),IF($H521&lt;=1,"Critical",IF($H521=2,"High",IF($H521=3,"Medium",IF($H521=4,"Low","Resilient"))))))</f>
        <v>Critical</v>
      </c>
      <c r="J521">
        <f t="shared" si="22"/>
        <v>3.6</v>
      </c>
      <c r="K521">
        <f t="shared" si="23"/>
        <v>4.3500000000000005</v>
      </c>
      <c r="L521">
        <f t="shared" si="24"/>
        <v>15.660000000000002</v>
      </c>
      <c r="M521">
        <f t="shared" si="25"/>
        <v>4</v>
      </c>
      <c r="N521">
        <f>IF($H521="","",IFERROR(INDEX(_ENGINE_Risk!$T$5:$Y$499,MATCH($E521,_ENGINE_Risk!$A$5:$A$499,0),$H521+1),""))</f>
        <v>3</v>
      </c>
      <c r="O521">
        <f t="shared" si="26"/>
        <v>4.666666666666667</v>
      </c>
      <c r="P521">
        <f t="shared" si="27"/>
        <v>5</v>
      </c>
      <c r="Q521">
        <f t="shared" si="28"/>
        <v>5</v>
      </c>
      <c r="R521">
        <f t="shared" si="29"/>
        <v>4.5</v>
      </c>
      <c r="S521">
        <f t="shared" si="30"/>
        <v>1.6</v>
      </c>
      <c r="T521" t="str">
        <f>IF($H521="","",IFERROR(INDEX(_ENGINE_Risk!$N$5:$S$499,MATCH($E521,_ENGINE_Risk!$A$5:$A$499,0),$H521+1),""))</f>
        <v>Create an immediate risk owner, minimum control baseline and fallback procedure for crisis-resilient strategy including adaptation, continuity, digital enablement and recovery options. Add it to the crisis risk register and collect first evidence.</v>
      </c>
      <c r="U521">
        <f>IFERROR(INDEX(_DATA_Assessment_Model!$G$5:$G$884,MATCH($E521,_DATA_Assessment_Model!$A$5:$A$884,0)),"")</f>
        <v>5</v>
      </c>
      <c r="V521">
        <f>IFERROR(INDEX(_DATA_Assessment_Model!$W$5:$W$884,MATCH($E521,_DATA_Assessment_Model!$A$5:$A$884,0)),"")</f>
        <v>4</v>
      </c>
      <c r="W521">
        <f>IFERROR(INDEX(_DATA_Assessment_Model!$X$5:$X$884,MATCH($E521,_DATA_Assessment_Model!$A$5:$A$884,0)),"")</f>
        <v>5</v>
      </c>
      <c r="X521">
        <f>IFERROR(INDEX(_DATA_Assessment_Model!$Y$5:$Y$884,MATCH($E521,_DATA_Assessment_Model!$A$5:$A$884,0)),"")</f>
        <v>5</v>
      </c>
      <c r="Y521" t="s">
        <v>962</v>
      </c>
      <c r="Z521" t="s">
        <v>4860</v>
      </c>
      <c r="AA521" t="s">
        <v>975</v>
      </c>
      <c r="AB521">
        <f>IFERROR(INDEX(_DATA_Assessment_Model!$U$5:$U$884,MATCH($E521,_DATA_Assessment_Model!$A$5:$A$884,0)),"")</f>
        <v>0</v>
      </c>
      <c r="AF521" t="s">
        <v>974</v>
      </c>
      <c r="AO521">
        <f>IF($B521="Yes",IF(IFERROR(INDEX(_ENGINE_Crisis!$F$501:$F$517,MATCH($C521,_ENGINE_Crisis!$A$501:$A$517,0)),1)=0,1,IFERROR(INDEX(_ENGINE_Crisis!$F$501:$F$517,MATCH($C521,_ENGINE_Crisis!$A$501:$A$517,0)),1)),"")</f>
        <v>1</v>
      </c>
      <c r="AP521">
        <f t="shared" si="37"/>
        <v>15.7</v>
      </c>
      <c r="AQ521">
        <f t="shared" si="38"/>
        <v>1.6</v>
      </c>
      <c r="AR521" t="str">
        <f>IFERROR(INDEX(_ENGINE_Crisis!$E$41:$E$700,MATCH('Resilience &amp; Risk Scenario'!$B$6&amp;"|"&amp;$C521,_ENGINE_Crisis!$I$41:$I$700,0)),"")</f>
        <v/>
      </c>
      <c r="AS521" t="str">
        <f>IFERROR(INDEX(_ENGINE_Crisis!$G$41:$G$700,MATCH('Resilience &amp; Risk Scenario'!$B$6&amp;"|"&amp;$C521,_ENGINE_Crisis!$I$41:$I$700,0)),"")</f>
        <v/>
      </c>
      <c r="AT521" t="str">
        <f>IFERROR(INDEX(_ENGINE_Initiatives!$A$5:$A$532,MATCH(1,INDEX((_ENGINE_Initiatives!$B$5:$B$532=$C521)*(_ENGINE_Initiatives!$C$5:$C$532=$D521),0),0)),"")</f>
        <v>INI-004</v>
      </c>
      <c r="AU521" t="str">
        <f>IFERROR(INDEX(_ENGINE_Initiatives!$F$5:$F$532,MATCH(1,INDEX((_ENGINE_Initiatives!$B$5:$B$532=$C521)*(_ENGINE_Initiatives!$C$5:$C$532=$D521),0),0)),"")</f>
        <v>Stress-test corporate strategy and decision assumptions</v>
      </c>
      <c r="AV521">
        <f>IFERROR(INDEX(_ENGINE_Initiatives!$AC$5:$AC$532,MATCH(1,INDEX((_ENGINE_Initiatives!$B$5:$B$532=$C521)*(_ENGINE_Initiatives!$C$5:$C$532=$D521),0),0)),"")</f>
        <v>1.71</v>
      </c>
      <c r="AW521" t="str">
        <f>IFERROR(INDEX(_ENGINE_Initiatives!$AE$5:$AE$532,MATCH(1,INDEX((_ENGINE_Initiatives!$B$5:$B$532=$C521)*(_ENGINE_Initiatives!$C$5:$C$532=$D521),0),0)),"")</f>
        <v>6-12 months</v>
      </c>
      <c r="AX521">
        <f>IF($B521="Yes",IFERROR((IF(SUMIFS(_REF_Model_Content!$E$1:$E$613,_REF_Model_Content!$A$1:$A$613,PV_Canonical_Industry,_REF_Model_Content!$B$1:$B$613,$C521)=0,1,SUMIFS(_REF_Model_Content!$E$1:$E$613,_REF_Model_Content!$A$1:$A$613,PV_Canonical_Industry,_REF_Model_Content!$B$1:$B$613,$C521))*IFERROR($BU521,1)),1),"")</f>
        <v>1</v>
      </c>
      <c r="AY521">
        <f t="shared" si="39"/>
        <v>15.7</v>
      </c>
      <c r="AZ521">
        <f t="shared" si="40"/>
        <v>1.6</v>
      </c>
      <c r="BB521" t="str">
        <f>IF($H521="","",IFERROR(INDEX(_ENGINE_Risk!$AE$5:$AE$499,MATCH($E521,_ENGINE_Risk!$A$5:$A$499,0)),"Medium"))</f>
        <v>Medium</v>
      </c>
      <c r="BC521">
        <f t="shared" si="41"/>
        <v>1</v>
      </c>
      <c r="BD521">
        <f t="shared" si="42"/>
        <v>1.6</v>
      </c>
      <c r="BF521">
        <f>IF(OR($H521="",$J521=""),"",IFERROR(VLOOKUP(ROUND($J521,0),_CONFIG_Model_Settings!$D$154:$E$158,2,0),""))</f>
        <v>0.5</v>
      </c>
      <c r="BG521">
        <f>IFERROR(IF(OR($H521="",$K521=""),"",ROUND('Company Profile'!$B$113*INDEX(_CONFIG_Model_Settings!$H$154:$H$158,MATCH(ROUND($K521,0),_CONFIG_Model_Settings!$G$154:$G$158,0)),0)),0)</f>
        <v>875</v>
      </c>
      <c r="BH521">
        <f t="shared" si="43"/>
        <v>437.5</v>
      </c>
      <c r="BI521">
        <f t="shared" si="44"/>
        <v>437.5</v>
      </c>
      <c r="BJ521">
        <f>IF($E521="","",IFERROR(VLOOKUP($C521,_CONFIG_Risk_Calibration!$A$5:$H$21,2,FALSE),3))</f>
        <v>3</v>
      </c>
      <c r="BK521">
        <f>IF($E521="","",IFERROR(VLOOKUP($C521,_CONFIG_Risk_Calibration!$A$5:$H$21,3,FALSE),0))</f>
        <v>0</v>
      </c>
      <c r="BL521">
        <f>IF($E521="","",IFERROR(VLOOKUP($C521,_CONFIG_Risk_Calibration!$A$5:$H$21,4,FALSE),3))</f>
        <v>3</v>
      </c>
      <c r="BM521">
        <f>IF($E521="","",IFERROR(VLOOKUP($C521,_CONFIG_Risk_Calibration!$A$5:$H$21,5,FALSE),3))</f>
        <v>3</v>
      </c>
      <c r="BN521" t="str">
        <f>IF($E521="","",IFERROR(VLOOKUP($C521,_CONFIG_Risk_Calibration!$A$5:$H$21,6,FALSE),"No"))</f>
        <v>No</v>
      </c>
      <c r="BO521">
        <f>IF($E521="","",IFERROR(VLOOKUP($C521,_CONFIG_Risk_Calibration!$A$5:$H$21,7,FALSE),1))</f>
        <v>1</v>
      </c>
      <c r="BP521">
        <f>IF($H521="","",MAX(1,MIN(5,((6-$H521)*0.45)+($BJ521*0.2)+('Resilience &amp; Risk Scenario'!$B$7*0.15)+($BK521*0.1)+($BL521*0.05)+(IF($BB521="Fast",5,IF($BB521="Slow",1,3))*0.05))))</f>
        <v>3.6</v>
      </c>
      <c r="BQ521">
        <f t="shared" si="45"/>
        <v>4.3500000000000005</v>
      </c>
      <c r="BR521">
        <f t="shared" si="46"/>
        <v>15.66</v>
      </c>
      <c r="BS521">
        <f t="shared" si="47"/>
        <v>15.66</v>
      </c>
      <c r="BT521" t="str">
        <f>IFERROR(INDEX(_REF_Capability_Bridge!$D:$D,MATCH($C521&amp;"|"&amp;$D521,_REF_Capability_Bridge!$J:$J,0)),IFERROR(INDEX(_REF_Capability_Bridge!$D:$D,MATCH($C521&amp;"|",_REF_Capability_Bridge!$J:$J,0)),"CAP_GENERIC"))</f>
        <v>CAP_BACKUP_RECOVERY</v>
      </c>
      <c r="BU521">
        <f>IFERROR(IFERROR(INDEX(_ENGINE_Relevance!$L:$L,MATCH($BT521,_ENGINE_Relevance!$B:$B,0)),1),1)</f>
        <v>1</v>
      </c>
      <c r="BV521" t="str">
        <f>IFERROR(INDEX(_REF_Capability_Bridge!$A:$A,MATCH($C521&amp;"|"&amp;$D521,_REF_Capability_Bridge!$J:$J,0)),IFERROR(INDEX(_REF_Capability_Bridge!$A:$A,MATCH($C521&amp;"|",_REF_Capability_Bridge!$J:$J,0)),"No bridge"))</f>
        <v>BRG-083</v>
      </c>
      <c r="BW521" t="str">
        <f t="shared" si="48"/>
        <v>Capability relevance neutral</v>
      </c>
      <c r="BX521" t="str">
        <f t="shared" si="49"/>
        <v>Initial / absent</v>
      </c>
      <c r="BY521" t="str">
        <f>IF($E521="","",IFERROR(INDEX(_REF_Treatment_Library!$A$2:$A$296,MATCH(1,INDEX((_REF_Treatment_Library!$B$2:$B$296=$BT521)*(_REF_Treatment_Library!$C$2:$C$296=PV_Canonical_Industry)*(_REF_Treatment_Library!$E$2:$E$296&lt;=N($H521))*(_REF_Treatment_Library!$F$2:$F$296&gt;=N($H521))*(_REF_Treatment_Library!$O$2:$O$296="Yes"),0),0)),IFERROR(INDEX(_REF_Treatment_Library!$A$2:$A$296,MATCH(1,INDEX((_REF_Treatment_Library!$B$2:$B$296=$BT521)*(_REF_Treatment_Library!$C$2:$C$296="All")*(_REF_Treatment_Library!$E$2:$E$296&lt;=N($H521))*(_REF_Treatment_Library!$F$2:$F$296&gt;=N($H521))*(_REF_Treatment_Library!$O$2:$O$296="Yes"),0),0)),"")))</f>
        <v>TRT-BACKUP_RECOVERY-INITIAL</v>
      </c>
      <c r="BZ521" t="str">
        <f>IF($BY521="","",IFERROR(INDEX(_REF_Treatment_Library!$H$2:$H$296,MATCH($BY521,_REF_Treatment_Library!$A$2:$A$296,0)),""))</f>
        <v>Establish</v>
      </c>
      <c r="CA521" t="str">
        <f>IF($BY521="","",IFERROR(INDEX(_REF_Treatment_Library!$I$2:$I$296,MATCH($BY521,_REF_Treatment_Library!$A$2:$A$296,0)),""))</f>
        <v>Establish baseline controls for Backup / recovery</v>
      </c>
      <c r="CB521" t="str">
        <f>IF($BY521="","",IFERROR(INDEX(_REF_Treatment_Library!$K$2:$K$296,MATCH($BY521,_REF_Treatment_Library!$A$2:$A$296,0)),""))</f>
        <v>Named owner, baseline process, minimum control checklist, first evidence package</v>
      </c>
      <c r="CC521" t="str">
        <f>IF($BY521="","",IFERROR(INDEX(_REF_Treatment_Library!$L$2:$L$296,MATCH($BY521,_REF_Treatment_Library!$A$2:$A$296,0)),""))</f>
        <v>Owner assigned; baseline evidence coverage; open critical gaps</v>
      </c>
      <c r="CD521" t="str">
        <f t="shared" si="50"/>
        <v>Treatment by capability=CAP_BACKUP_RECOVERY; band=Initial / absent; score=0.0; treatment=Establish</v>
      </c>
      <c r="CE521" t="str">
        <f>IF($E521="","",IFERROR(INDEX(_REF_Industry_Wording!$A$2:$A$70,MATCH(1,INDEX((_REF_Industry_Wording!$B$2:$B$70=$BT521)*(_REF_Industry_Wording!$C$2:$C$70=PV_Canonical_Industry)*(_REF_Industry_Wording!$K$2:$K$70="Yes"),0),0)),IFERROR(INDEX(_REF_Industry_Wording!$A$2:$A$70,MATCH(1,INDEX((_REF_Industry_Wording!$B$2:$B$70=$BT521)*(_REF_Industry_Wording!$C$2:$C$70="All")*(_REF_Industry_Wording!$K$2:$K$70="Yes"),0),0)),"")))</f>
        <v>IW-ALL-BACKUP_RECOVERY</v>
      </c>
      <c r="CF521" t="str">
        <f>IF($CE521="","",IFERROR(INDEX(_REF_Industry_Wording!$E$2:$E$70,MATCH($CE521,_REF_Industry_Wording!$A$2:$A$70,0)),""))</f>
        <v>Backup / recovery weakness</v>
      </c>
      <c r="CG521" t="str">
        <f>IF($CE521="","",IFERROR(INDEX(_REF_Industry_Wording!$F$2:$F$70,MATCH($CE521,_REF_Industry_Wording!$A$2:$A$70,0)),""))</f>
        <v>Strengthen Backup / recovery</v>
      </c>
      <c r="CH521" t="str">
        <f>IF($CE521="","",IFERROR(INDEX(_REF_Industry_Wording!$G$2:$G$70,MATCH($CE521,_REF_Industry_Wording!$A$2:$A$70,0)),""))</f>
        <v>Strengthen Backup / recovery using the selected maturity treatment, crisis scenario and evidence requirements.</v>
      </c>
      <c r="CI521" t="str">
        <f>IF($CE521="","",IFERROR(INDEX(_REF_Industry_Wording!$H$2:$H$70,MATCH($CE521,_REF_Industry_Wording!$A$2:$A$70,0)),""))</f>
        <v>Backup / recovery</v>
      </c>
      <c r="CJ521">
        <f>IF($CE521="","",IFERROR(INDEX(_REF_Industry_Wording!$I$2:$I$70,MATCH($CE521,_REF_Industry_Wording!$A$2:$A$70,0)),""))</f>
        <v>0</v>
      </c>
      <c r="CK521" t="str">
        <f>IF($CE521="","",IFERROR(INDEX(_REF_Industry_Wording!$J$2:$J$70,MATCH($CE521,_REF_Industry_Wording!$A$2:$A$70,0)),""))</f>
        <v>Backup / recovery</v>
      </c>
      <c r="CL521" t="str">
        <f t="shared" si="51"/>
        <v>Wording by industry=0; capability=CAP_BACKUP_RECOVERY; risk label=Backup / recovery weakness</v>
      </c>
      <c r="CM521" t="str">
        <f t="shared" si="52"/>
        <v>RISK-ONT-0022</v>
      </c>
      <c r="CN521" t="str">
        <f t="shared" si="53"/>
        <v>RISK-EVT-0022</v>
      </c>
      <c r="CO521" t="str">
        <f t="shared" si="54"/>
        <v>Strategy GTM|Corporate strategy|STRA-003|CAP_BACKUP_RECOVERY</v>
      </c>
      <c r="CP521" t="str">
        <f t="shared" si="55"/>
        <v>Active</v>
      </c>
      <c r="CQ521" t="str">
        <f t="shared" si="56"/>
        <v>OK: capability-driven</v>
      </c>
      <c r="CR521" t="str">
        <f t="shared" si="57"/>
        <v>Risk ontology uses capability=CAP_BACKUP_RECOVERY; bridge=BRG-083; treatment=TRT-BACKUP_RECOVERY-INITIAL; wording=IW-ALL-BACKUP_RECOVERY</v>
      </c>
      <c r="CS521" t="str">
        <f t="shared" si="58"/>
        <v>Yes</v>
      </c>
    </row>
    <row r="522" spans="1:97" ht="69.900000000000006" customHeight="1">
      <c r="A522">
        <f>IF(OR($B522&lt;&gt;"Yes",$BS522=""),"",SUMPRODUCT(($B$500:$B$923="Yes")*ISNUMBER($BS$500:$BS$923)*($BS$500:$BS$923&gt;$BS522))+COUNTIFS($B$500:$B522,"Yes",$BS$500:$BS522,$BS522))</f>
        <v>337</v>
      </c>
      <c r="B522" t="str">
        <f t="shared" si="21"/>
        <v>Yes</v>
      </c>
      <c r="C522" t="s">
        <v>949</v>
      </c>
      <c r="D522" t="s">
        <v>951</v>
      </c>
      <c r="E522" t="s">
        <v>977</v>
      </c>
      <c r="F522" t="s">
        <v>3680</v>
      </c>
      <c r="G522" t="str">
        <f>IF($H522="","",IFERROR(INDEX(_ENGINE_Risk!$H$5:$M$499,MATCH($E522,_ENGINE_Risk!$A$5:$A$499,0),$H522+1),""))</f>
        <v>Severe risk: strategic priorities ranked by business value, urgency, risk and resource constraints is not reliably controlled. During Demand shock; Financial / liquidity shock; Reputation crisis, the organization may face weak crisis positioning, poor prioritization of segments, revenue leakage and inability to adapt the offering with limited visibility or accountability.</v>
      </c>
      <c r="H522">
        <f>IFERROR(VALUE(INDEX(_DATA_Assessment_Model!$H$5:$H$884,MATCH($E522,_DATA_Assessment_Model!$A$5:$A$884,0))),"")</f>
        <v>0</v>
      </c>
      <c r="I522" t="str">
        <f>IF($H522="","",IFERROR(INDEX(_DATA_Assessment_Model!$L$5:$L$884,MATCH($E522,_DATA_Assessment_Model!$A$5:$A$884,0)),IF($H522&lt;=1,"Critical",IF($H522=2,"High",IF($H522=3,"Medium",IF($H522=4,"Low","Resilient"))))))</f>
        <v>Critical</v>
      </c>
      <c r="J522">
        <f t="shared" si="22"/>
        <v>3.6</v>
      </c>
      <c r="K522">
        <f t="shared" si="23"/>
        <v>4.1500000000000004</v>
      </c>
      <c r="L522">
        <f t="shared" si="24"/>
        <v>14.940000000000001</v>
      </c>
      <c r="M522">
        <f t="shared" si="25"/>
        <v>3</v>
      </c>
      <c r="N522">
        <f>IF($H522="","",IFERROR(INDEX(_ENGINE_Risk!$T$5:$Y$499,MATCH($E522,_ENGINE_Risk!$A$5:$A$499,0),$H522+1),""))</f>
        <v>3</v>
      </c>
      <c r="O522">
        <f t="shared" si="26"/>
        <v>4.333333333333333</v>
      </c>
      <c r="P522">
        <f t="shared" si="27"/>
        <v>5</v>
      </c>
      <c r="Q522">
        <f t="shared" si="28"/>
        <v>5</v>
      </c>
      <c r="R522">
        <f t="shared" si="29"/>
        <v>4.5</v>
      </c>
      <c r="S522">
        <f t="shared" si="30"/>
        <v>1.57</v>
      </c>
      <c r="T522" t="str">
        <f>IF($H522="","",IFERROR(INDEX(_ENGINE_Risk!$N$5:$S$499,MATCH($E522,_ENGINE_Risk!$A$5:$A$499,0),$H522+1),""))</f>
        <v>Create an immediate risk owner, minimum control baseline and fallback procedure for strategic priorities ranked by business value, urgency, risk and resource constraints. Add it to the crisis risk register and collect first evidence.</v>
      </c>
      <c r="U522">
        <f>IFERROR(INDEX(_DATA_Assessment_Model!$G$5:$G$884,MATCH($E522,_DATA_Assessment_Model!$A$5:$A$884,0)),"")</f>
        <v>4</v>
      </c>
      <c r="V522">
        <f>IFERROR(INDEX(_DATA_Assessment_Model!$W$5:$W$884,MATCH($E522,_DATA_Assessment_Model!$A$5:$A$884,0)),"")</f>
        <v>4</v>
      </c>
      <c r="W522">
        <f>IFERROR(INDEX(_DATA_Assessment_Model!$X$5:$X$884,MATCH($E522,_DATA_Assessment_Model!$A$5:$A$884,0)),"")</f>
        <v>5</v>
      </c>
      <c r="X522">
        <f>IFERROR(INDEX(_DATA_Assessment_Model!$Y$5:$Y$884,MATCH($E522,_DATA_Assessment_Model!$A$5:$A$884,0)),"")</f>
        <v>5</v>
      </c>
      <c r="Y522" t="s">
        <v>962</v>
      </c>
      <c r="Z522" t="s">
        <v>4860</v>
      </c>
      <c r="AA522" t="s">
        <v>979</v>
      </c>
      <c r="AB522">
        <f>IFERROR(INDEX(_DATA_Assessment_Model!$U$5:$U$884,MATCH($E522,_DATA_Assessment_Model!$A$5:$A$884,0)),"")</f>
        <v>0</v>
      </c>
      <c r="AF522" t="s">
        <v>978</v>
      </c>
      <c r="AO522">
        <f>IF($B522="Yes",IF(IFERROR(INDEX(_ENGINE_Crisis!$F$501:$F$517,MATCH($C522,_ENGINE_Crisis!$A$501:$A$517,0)),1)=0,1,IFERROR(INDEX(_ENGINE_Crisis!$F$501:$F$517,MATCH($C522,_ENGINE_Crisis!$A$501:$A$517,0)),1)),"")</f>
        <v>1</v>
      </c>
      <c r="AP522">
        <f t="shared" si="37"/>
        <v>14.9</v>
      </c>
      <c r="AQ522">
        <f t="shared" si="38"/>
        <v>1.57</v>
      </c>
      <c r="AR522" t="str">
        <f>IFERROR(INDEX(_ENGINE_Crisis!$E$41:$E$700,MATCH('Resilience &amp; Risk Scenario'!$B$6&amp;"|"&amp;$C522,_ENGINE_Crisis!$I$41:$I$700,0)),"")</f>
        <v/>
      </c>
      <c r="AS522" t="str">
        <f>IFERROR(INDEX(_ENGINE_Crisis!$G$41:$G$700,MATCH('Resilience &amp; Risk Scenario'!$B$6&amp;"|"&amp;$C522,_ENGINE_Crisis!$I$41:$I$700,0)),"")</f>
        <v/>
      </c>
      <c r="AT522" t="str">
        <f>IFERROR(INDEX(_ENGINE_Initiatives!$A$5:$A$532,MATCH(1,INDEX((_ENGINE_Initiatives!$B$5:$B$532=$C522)*(_ENGINE_Initiatives!$C$5:$C$532=$D522),0),0)),"")</f>
        <v>INI-004</v>
      </c>
      <c r="AU522" t="str">
        <f>IFERROR(INDEX(_ENGINE_Initiatives!$F$5:$F$532,MATCH(1,INDEX((_ENGINE_Initiatives!$B$5:$B$532=$C522)*(_ENGINE_Initiatives!$C$5:$C$532=$D522),0),0)),"")</f>
        <v>Stress-test corporate strategy and decision assumptions</v>
      </c>
      <c r="AV522">
        <f>IFERROR(INDEX(_ENGINE_Initiatives!$AC$5:$AC$532,MATCH(1,INDEX((_ENGINE_Initiatives!$B$5:$B$532=$C522)*(_ENGINE_Initiatives!$C$5:$C$532=$D522),0),0)),"")</f>
        <v>1.71</v>
      </c>
      <c r="AW522" t="str">
        <f>IFERROR(INDEX(_ENGINE_Initiatives!$AE$5:$AE$532,MATCH(1,INDEX((_ENGINE_Initiatives!$B$5:$B$532=$C522)*(_ENGINE_Initiatives!$C$5:$C$532=$D522),0),0)),"")</f>
        <v>6-12 months</v>
      </c>
      <c r="AX522">
        <f>IF($B522="Yes",IFERROR((IF(SUMIFS(_REF_Model_Content!$E$1:$E$613,_REF_Model_Content!$A$1:$A$613,PV_Canonical_Industry,_REF_Model_Content!$B$1:$B$613,$C522)=0,1,SUMIFS(_REF_Model_Content!$E$1:$E$613,_REF_Model_Content!$A$1:$A$613,PV_Canonical_Industry,_REF_Model_Content!$B$1:$B$613,$C522))*IFERROR($BU522,1)),1),"")</f>
        <v>1</v>
      </c>
      <c r="AY522">
        <f t="shared" si="39"/>
        <v>14.9</v>
      </c>
      <c r="AZ522">
        <f t="shared" si="40"/>
        <v>1.57</v>
      </c>
      <c r="BB522" t="str">
        <f>IF($H522="","",IFERROR(INDEX(_ENGINE_Risk!$AE$5:$AE$499,MATCH($E522,_ENGINE_Risk!$A$5:$A$499,0)),"Medium"))</f>
        <v>Medium</v>
      </c>
      <c r="BC522">
        <f t="shared" si="41"/>
        <v>1</v>
      </c>
      <c r="BD522">
        <f t="shared" si="42"/>
        <v>1.57</v>
      </c>
      <c r="BF522">
        <f>IF(OR($H522="",$J522=""),"",IFERROR(VLOOKUP(ROUND($J522,0),_CONFIG_Model_Settings!$D$154:$E$158,2,0),""))</f>
        <v>0.5</v>
      </c>
      <c r="BG522">
        <f>IFERROR(IF(OR($H522="",$K522=""),"",ROUND('Company Profile'!$B$113*INDEX(_CONFIG_Model_Settings!$H$154:$H$158,MATCH(ROUND($K522,0),_CONFIG_Model_Settings!$G$154:$G$158,0)),0)),0)</f>
        <v>875</v>
      </c>
      <c r="BH522">
        <f t="shared" si="43"/>
        <v>437.5</v>
      </c>
      <c r="BI522">
        <f t="shared" si="44"/>
        <v>437.5</v>
      </c>
      <c r="BJ522">
        <f>IF($E522="","",IFERROR(VLOOKUP($C522,_CONFIG_Risk_Calibration!$A$5:$H$21,2,FALSE),3))</f>
        <v>3</v>
      </c>
      <c r="BK522">
        <f>IF($E522="","",IFERROR(VLOOKUP($C522,_CONFIG_Risk_Calibration!$A$5:$H$21,3,FALSE),0))</f>
        <v>0</v>
      </c>
      <c r="BL522">
        <f>IF($E522="","",IFERROR(VLOOKUP($C522,_CONFIG_Risk_Calibration!$A$5:$H$21,4,FALSE),3))</f>
        <v>3</v>
      </c>
      <c r="BM522">
        <f>IF($E522="","",IFERROR(VLOOKUP($C522,_CONFIG_Risk_Calibration!$A$5:$H$21,5,FALSE),3))</f>
        <v>3</v>
      </c>
      <c r="BN522" t="str">
        <f>IF($E522="","",IFERROR(VLOOKUP($C522,_CONFIG_Risk_Calibration!$A$5:$H$21,6,FALSE),"No"))</f>
        <v>No</v>
      </c>
      <c r="BO522">
        <f>IF($E522="","",IFERROR(VLOOKUP($C522,_CONFIG_Risk_Calibration!$A$5:$H$21,7,FALSE),1))</f>
        <v>1</v>
      </c>
      <c r="BP522">
        <f>IF($H522="","",MAX(1,MIN(5,((6-$H522)*0.45)+($BJ522*0.2)+('Resilience &amp; Risk Scenario'!$B$7*0.15)+($BK522*0.1)+($BL522*0.05)+(IF($BB522="Fast",5,IF($BB522="Slow",1,3))*0.05))))</f>
        <v>3.6</v>
      </c>
      <c r="BQ522">
        <f t="shared" si="45"/>
        <v>4.1500000000000004</v>
      </c>
      <c r="BR522">
        <f t="shared" si="46"/>
        <v>14.94</v>
      </c>
      <c r="BS522">
        <f t="shared" si="47"/>
        <v>14.94</v>
      </c>
      <c r="BT522" t="str">
        <f>IFERROR(INDEX(_REF_Capability_Bridge!$D:$D,MATCH($C522&amp;"|"&amp;$D522,_REF_Capability_Bridge!$J:$J,0)),IFERROR(INDEX(_REF_Capability_Bridge!$D:$D,MATCH($C522&amp;"|",_REF_Capability_Bridge!$J:$J,0)),"CAP_GENERIC"))</f>
        <v>CAP_BACKUP_RECOVERY</v>
      </c>
      <c r="BU522">
        <f>IFERROR(IFERROR(INDEX(_ENGINE_Relevance!$L:$L,MATCH($BT522,_ENGINE_Relevance!$B:$B,0)),1),1)</f>
        <v>1</v>
      </c>
      <c r="BV522" t="str">
        <f>IFERROR(INDEX(_REF_Capability_Bridge!$A:$A,MATCH($C522&amp;"|"&amp;$D522,_REF_Capability_Bridge!$J:$J,0)),IFERROR(INDEX(_REF_Capability_Bridge!$A:$A,MATCH($C522&amp;"|",_REF_Capability_Bridge!$J:$J,0)),"No bridge"))</f>
        <v>BRG-083</v>
      </c>
      <c r="BW522" t="str">
        <f t="shared" si="48"/>
        <v>Capability relevance neutral</v>
      </c>
      <c r="BX522" t="str">
        <f t="shared" si="49"/>
        <v>Initial / absent</v>
      </c>
      <c r="BY522" t="str">
        <f>IF($E522="","",IFERROR(INDEX(_REF_Treatment_Library!$A$2:$A$296,MATCH(1,INDEX((_REF_Treatment_Library!$B$2:$B$296=$BT522)*(_REF_Treatment_Library!$C$2:$C$296=PV_Canonical_Industry)*(_REF_Treatment_Library!$E$2:$E$296&lt;=N($H522))*(_REF_Treatment_Library!$F$2:$F$296&gt;=N($H522))*(_REF_Treatment_Library!$O$2:$O$296="Yes"),0),0)),IFERROR(INDEX(_REF_Treatment_Library!$A$2:$A$296,MATCH(1,INDEX((_REF_Treatment_Library!$B$2:$B$296=$BT522)*(_REF_Treatment_Library!$C$2:$C$296="All")*(_REF_Treatment_Library!$E$2:$E$296&lt;=N($H522))*(_REF_Treatment_Library!$F$2:$F$296&gt;=N($H522))*(_REF_Treatment_Library!$O$2:$O$296="Yes"),0),0)),"")))</f>
        <v>TRT-BACKUP_RECOVERY-INITIAL</v>
      </c>
      <c r="BZ522" t="str">
        <f>IF($BY522="","",IFERROR(INDEX(_REF_Treatment_Library!$H$2:$H$296,MATCH($BY522,_REF_Treatment_Library!$A$2:$A$296,0)),""))</f>
        <v>Establish</v>
      </c>
      <c r="CA522" t="str">
        <f>IF($BY522="","",IFERROR(INDEX(_REF_Treatment_Library!$I$2:$I$296,MATCH($BY522,_REF_Treatment_Library!$A$2:$A$296,0)),""))</f>
        <v>Establish baseline controls for Backup / recovery</v>
      </c>
      <c r="CB522" t="str">
        <f>IF($BY522="","",IFERROR(INDEX(_REF_Treatment_Library!$K$2:$K$296,MATCH($BY522,_REF_Treatment_Library!$A$2:$A$296,0)),""))</f>
        <v>Named owner, baseline process, minimum control checklist, first evidence package</v>
      </c>
      <c r="CC522" t="str">
        <f>IF($BY522="","",IFERROR(INDEX(_REF_Treatment_Library!$L$2:$L$296,MATCH($BY522,_REF_Treatment_Library!$A$2:$A$296,0)),""))</f>
        <v>Owner assigned; baseline evidence coverage; open critical gaps</v>
      </c>
      <c r="CD522" t="str">
        <f t="shared" si="50"/>
        <v>Treatment by capability=CAP_BACKUP_RECOVERY; band=Initial / absent; score=0.0; treatment=Establish</v>
      </c>
      <c r="CE522" t="str">
        <f>IF($E522="","",IFERROR(INDEX(_REF_Industry_Wording!$A$2:$A$70,MATCH(1,INDEX((_REF_Industry_Wording!$B$2:$B$70=$BT522)*(_REF_Industry_Wording!$C$2:$C$70=PV_Canonical_Industry)*(_REF_Industry_Wording!$K$2:$K$70="Yes"),0),0)),IFERROR(INDEX(_REF_Industry_Wording!$A$2:$A$70,MATCH(1,INDEX((_REF_Industry_Wording!$B$2:$B$70=$BT522)*(_REF_Industry_Wording!$C$2:$C$70="All")*(_REF_Industry_Wording!$K$2:$K$70="Yes"),0),0)),"")))</f>
        <v>IW-ALL-BACKUP_RECOVERY</v>
      </c>
      <c r="CF522" t="str">
        <f>IF($CE522="","",IFERROR(INDEX(_REF_Industry_Wording!$E$2:$E$70,MATCH($CE522,_REF_Industry_Wording!$A$2:$A$70,0)),""))</f>
        <v>Backup / recovery weakness</v>
      </c>
      <c r="CG522" t="str">
        <f>IF($CE522="","",IFERROR(INDEX(_REF_Industry_Wording!$F$2:$F$70,MATCH($CE522,_REF_Industry_Wording!$A$2:$A$70,0)),""))</f>
        <v>Strengthen Backup / recovery</v>
      </c>
      <c r="CH522" t="str">
        <f>IF($CE522="","",IFERROR(INDEX(_REF_Industry_Wording!$G$2:$G$70,MATCH($CE522,_REF_Industry_Wording!$A$2:$A$70,0)),""))</f>
        <v>Strengthen Backup / recovery using the selected maturity treatment, crisis scenario and evidence requirements.</v>
      </c>
      <c r="CI522" t="str">
        <f>IF($CE522="","",IFERROR(INDEX(_REF_Industry_Wording!$H$2:$H$70,MATCH($CE522,_REF_Industry_Wording!$A$2:$A$70,0)),""))</f>
        <v>Backup / recovery</v>
      </c>
      <c r="CJ522">
        <f>IF($CE522="","",IFERROR(INDEX(_REF_Industry_Wording!$I$2:$I$70,MATCH($CE522,_REF_Industry_Wording!$A$2:$A$70,0)),""))</f>
        <v>0</v>
      </c>
      <c r="CK522" t="str">
        <f>IF($CE522="","",IFERROR(INDEX(_REF_Industry_Wording!$J$2:$J$70,MATCH($CE522,_REF_Industry_Wording!$A$2:$A$70,0)),""))</f>
        <v>Backup / recovery</v>
      </c>
      <c r="CL522" t="str">
        <f t="shared" si="51"/>
        <v>Wording by industry=0; capability=CAP_BACKUP_RECOVERY; risk label=Backup / recovery weakness</v>
      </c>
      <c r="CM522" t="str">
        <f t="shared" si="52"/>
        <v>RISK-ONT-0023</v>
      </c>
      <c r="CN522" t="str">
        <f t="shared" si="53"/>
        <v>RISK-EVT-0023</v>
      </c>
      <c r="CO522" t="str">
        <f t="shared" si="54"/>
        <v>Strategy GTM|Corporate strategy|STRA-004|CAP_BACKUP_RECOVERY</v>
      </c>
      <c r="CP522" t="str">
        <f t="shared" si="55"/>
        <v>Active</v>
      </c>
      <c r="CQ522" t="str">
        <f t="shared" si="56"/>
        <v>OK: capability-driven</v>
      </c>
      <c r="CR522" t="str">
        <f t="shared" si="57"/>
        <v>Risk ontology uses capability=CAP_BACKUP_RECOVERY; bridge=BRG-083; treatment=TRT-BACKUP_RECOVERY-INITIAL; wording=IW-ALL-BACKUP_RECOVERY</v>
      </c>
      <c r="CS522" t="str">
        <f t="shared" si="58"/>
        <v>Yes</v>
      </c>
    </row>
    <row r="523" spans="1:97" ht="69.900000000000006" customHeight="1">
      <c r="A523">
        <f>IF(OR($B523&lt;&gt;"Yes",$BS523=""),"",SUMPRODUCT(($B$500:$B$923="Yes")*ISNUMBER($BS$500:$BS$923)*($BS$500:$BS$923&gt;$BS523))+COUNTIFS($B$500:$B523,"Yes",$BS$500:$BS523,$BS523))</f>
        <v>318</v>
      </c>
      <c r="B523" t="str">
        <f t="shared" si="21"/>
        <v>Yes</v>
      </c>
      <c r="C523" t="s">
        <v>949</v>
      </c>
      <c r="D523" t="s">
        <v>951</v>
      </c>
      <c r="E523" t="s">
        <v>987</v>
      </c>
      <c r="F523" t="s">
        <v>3680</v>
      </c>
      <c r="G523" t="str">
        <f>IF($H523="","",IFERROR(INDEX(_ENGINE_Risk!$H$5:$M$499,MATCH($E523,_ENGINE_Risk!$A$5:$A$499,0),$H523+1),""))</f>
        <v>Severe risk: strategic options for pivoting under demand shock, war, regulation, supply or liquidity crisis is not reliably controlled. During Demand shock; Financial / liquidity shock; Reputation crisis, the organization may face weak crisis positioning, poor prioritization of segments, revenue leakage and inability to adapt the offering with limited visibility or accountability.</v>
      </c>
      <c r="H523">
        <f>IFERROR(VALUE(INDEX(_DATA_Assessment_Model!$H$5:$H$884,MATCH($E523,_DATA_Assessment_Model!$A$5:$A$884,0))),"")</f>
        <v>0</v>
      </c>
      <c r="I523" t="str">
        <f>IF($H523="","",IFERROR(INDEX(_DATA_Assessment_Model!$L$5:$L$884,MATCH($E523,_DATA_Assessment_Model!$A$5:$A$884,0)),IF($H523&lt;=1,"Critical",IF($H523=2,"High",IF($H523=3,"Medium",IF($H523=4,"Low","Resilient"))))))</f>
        <v>Critical</v>
      </c>
      <c r="J523">
        <f t="shared" si="22"/>
        <v>3.6</v>
      </c>
      <c r="K523">
        <f t="shared" si="23"/>
        <v>4.3500000000000005</v>
      </c>
      <c r="L523">
        <f t="shared" si="24"/>
        <v>15.660000000000002</v>
      </c>
      <c r="M523">
        <f t="shared" si="25"/>
        <v>4</v>
      </c>
      <c r="N523">
        <f>IF($H523="","",IFERROR(INDEX(_ENGINE_Risk!$T$5:$Y$499,MATCH($E523,_ENGINE_Risk!$A$5:$A$499,0),$H523+1),""))</f>
        <v>3</v>
      </c>
      <c r="O523">
        <f t="shared" si="26"/>
        <v>4.666666666666667</v>
      </c>
      <c r="P523">
        <f t="shared" si="27"/>
        <v>5</v>
      </c>
      <c r="Q523">
        <f t="shared" si="28"/>
        <v>5</v>
      </c>
      <c r="R523">
        <f t="shared" si="29"/>
        <v>4.5</v>
      </c>
      <c r="S523">
        <f t="shared" si="30"/>
        <v>1.6</v>
      </c>
      <c r="T523" t="str">
        <f>IF($H523="","",IFERROR(INDEX(_ENGINE_Risk!$N$5:$S$499,MATCH($E523,_ENGINE_Risk!$A$5:$A$499,0),$H523+1),""))</f>
        <v>Create an immediate risk owner, minimum control baseline and fallback procedure for strategic options for pivoting under demand shock, war, regulation, supply or liquidity crisis. Add it to the crisis risk register and collect first evidence.</v>
      </c>
      <c r="U523">
        <f>IFERROR(INDEX(_DATA_Assessment_Model!$G$5:$G$884,MATCH($E523,_DATA_Assessment_Model!$A$5:$A$884,0)),"")</f>
        <v>5</v>
      </c>
      <c r="V523">
        <f>IFERROR(INDEX(_DATA_Assessment_Model!$W$5:$W$884,MATCH($E523,_DATA_Assessment_Model!$A$5:$A$884,0)),"")</f>
        <v>4</v>
      </c>
      <c r="W523">
        <f>IFERROR(INDEX(_DATA_Assessment_Model!$X$5:$X$884,MATCH($E523,_DATA_Assessment_Model!$A$5:$A$884,0)),"")</f>
        <v>5</v>
      </c>
      <c r="X523">
        <f>IFERROR(INDEX(_DATA_Assessment_Model!$Y$5:$Y$884,MATCH($E523,_DATA_Assessment_Model!$A$5:$A$884,0)),"")</f>
        <v>5</v>
      </c>
      <c r="Y523" t="s">
        <v>962</v>
      </c>
      <c r="Z523" t="s">
        <v>4860</v>
      </c>
      <c r="AA523" t="s">
        <v>989</v>
      </c>
      <c r="AB523">
        <f>IFERROR(INDEX(_DATA_Assessment_Model!$U$5:$U$884,MATCH($E523,_DATA_Assessment_Model!$A$5:$A$884,0)),"")</f>
        <v>0</v>
      </c>
      <c r="AF523" t="s">
        <v>988</v>
      </c>
      <c r="AO523">
        <f>IF($B523="Yes",IF(IFERROR(INDEX(_ENGINE_Crisis!$F$501:$F$517,MATCH($C523,_ENGINE_Crisis!$A$501:$A$517,0)),1)=0,1,IFERROR(INDEX(_ENGINE_Crisis!$F$501:$F$517,MATCH($C523,_ENGINE_Crisis!$A$501:$A$517,0)),1)),"")</f>
        <v>1</v>
      </c>
      <c r="AP523">
        <f t="shared" si="37"/>
        <v>15.7</v>
      </c>
      <c r="AQ523">
        <f t="shared" si="38"/>
        <v>1.6</v>
      </c>
      <c r="AR523" t="str">
        <f>IFERROR(INDEX(_ENGINE_Crisis!$E$41:$E$700,MATCH('Resilience &amp; Risk Scenario'!$B$6&amp;"|"&amp;$C523,_ENGINE_Crisis!$I$41:$I$700,0)),"")</f>
        <v/>
      </c>
      <c r="AS523" t="str">
        <f>IFERROR(INDEX(_ENGINE_Crisis!$G$41:$G$700,MATCH('Resilience &amp; Risk Scenario'!$B$6&amp;"|"&amp;$C523,_ENGINE_Crisis!$I$41:$I$700,0)),"")</f>
        <v/>
      </c>
      <c r="AT523" t="str">
        <f>IFERROR(INDEX(_ENGINE_Initiatives!$A$5:$A$532,MATCH(1,INDEX((_ENGINE_Initiatives!$B$5:$B$532=$C523)*(_ENGINE_Initiatives!$C$5:$C$532=$D523),0),0)),"")</f>
        <v>INI-004</v>
      </c>
      <c r="AU523" t="str">
        <f>IFERROR(INDEX(_ENGINE_Initiatives!$F$5:$F$532,MATCH(1,INDEX((_ENGINE_Initiatives!$B$5:$B$532=$C523)*(_ENGINE_Initiatives!$C$5:$C$532=$D523),0),0)),"")</f>
        <v>Stress-test corporate strategy and decision assumptions</v>
      </c>
      <c r="AV523">
        <f>IFERROR(INDEX(_ENGINE_Initiatives!$AC$5:$AC$532,MATCH(1,INDEX((_ENGINE_Initiatives!$B$5:$B$532=$C523)*(_ENGINE_Initiatives!$C$5:$C$532=$D523),0),0)),"")</f>
        <v>1.71</v>
      </c>
      <c r="AW523" t="str">
        <f>IFERROR(INDEX(_ENGINE_Initiatives!$AE$5:$AE$532,MATCH(1,INDEX((_ENGINE_Initiatives!$B$5:$B$532=$C523)*(_ENGINE_Initiatives!$C$5:$C$532=$D523),0),0)),"")</f>
        <v>6-12 months</v>
      </c>
      <c r="AX523">
        <f>IF($B523="Yes",IFERROR((IF(SUMIFS(_REF_Model_Content!$E$1:$E$613,_REF_Model_Content!$A$1:$A$613,PV_Canonical_Industry,_REF_Model_Content!$B$1:$B$613,$C523)=0,1,SUMIFS(_REF_Model_Content!$E$1:$E$613,_REF_Model_Content!$A$1:$A$613,PV_Canonical_Industry,_REF_Model_Content!$B$1:$B$613,$C523))*IFERROR($BU523,1)),1),"")</f>
        <v>1</v>
      </c>
      <c r="AY523">
        <f t="shared" si="39"/>
        <v>15.7</v>
      </c>
      <c r="AZ523">
        <f t="shared" si="40"/>
        <v>1.6</v>
      </c>
      <c r="BB523" t="str">
        <f>IF($H523="","",IFERROR(INDEX(_ENGINE_Risk!$AE$5:$AE$499,MATCH($E523,_ENGINE_Risk!$A$5:$A$499,0)),"Medium"))</f>
        <v>Medium</v>
      </c>
      <c r="BC523">
        <f t="shared" si="41"/>
        <v>1</v>
      </c>
      <c r="BD523">
        <f t="shared" si="42"/>
        <v>1.6</v>
      </c>
      <c r="BF523">
        <f>IF(OR($H523="",$J523=""),"",IFERROR(VLOOKUP(ROUND($J523,0),_CONFIG_Model_Settings!$D$154:$E$158,2,0),""))</f>
        <v>0.5</v>
      </c>
      <c r="BG523">
        <f>IFERROR(IF(OR($H523="",$K523=""),"",ROUND('Company Profile'!$B$113*INDEX(_CONFIG_Model_Settings!$H$154:$H$158,MATCH(ROUND($K523,0),_CONFIG_Model_Settings!$G$154:$G$158,0)),0)),0)</f>
        <v>875</v>
      </c>
      <c r="BH523">
        <f t="shared" si="43"/>
        <v>437.5</v>
      </c>
      <c r="BI523">
        <f t="shared" si="44"/>
        <v>437.5</v>
      </c>
      <c r="BJ523">
        <f>IF($E523="","",IFERROR(VLOOKUP($C523,_CONFIG_Risk_Calibration!$A$5:$H$21,2,FALSE),3))</f>
        <v>3</v>
      </c>
      <c r="BK523">
        <f>IF($E523="","",IFERROR(VLOOKUP($C523,_CONFIG_Risk_Calibration!$A$5:$H$21,3,FALSE),0))</f>
        <v>0</v>
      </c>
      <c r="BL523">
        <f>IF($E523="","",IFERROR(VLOOKUP($C523,_CONFIG_Risk_Calibration!$A$5:$H$21,4,FALSE),3))</f>
        <v>3</v>
      </c>
      <c r="BM523">
        <f>IF($E523="","",IFERROR(VLOOKUP($C523,_CONFIG_Risk_Calibration!$A$5:$H$21,5,FALSE),3))</f>
        <v>3</v>
      </c>
      <c r="BN523" t="str">
        <f>IF($E523="","",IFERROR(VLOOKUP($C523,_CONFIG_Risk_Calibration!$A$5:$H$21,6,FALSE),"No"))</f>
        <v>No</v>
      </c>
      <c r="BO523">
        <f>IF($E523="","",IFERROR(VLOOKUP($C523,_CONFIG_Risk_Calibration!$A$5:$H$21,7,FALSE),1))</f>
        <v>1</v>
      </c>
      <c r="BP523">
        <f>IF($H523="","",MAX(1,MIN(5,((6-$H523)*0.45)+($BJ523*0.2)+('Resilience &amp; Risk Scenario'!$B$7*0.15)+($BK523*0.1)+($BL523*0.05)+(IF($BB523="Fast",5,IF($BB523="Slow",1,3))*0.05))))</f>
        <v>3.6</v>
      </c>
      <c r="BQ523">
        <f t="shared" si="45"/>
        <v>4.3500000000000005</v>
      </c>
      <c r="BR523">
        <f t="shared" si="46"/>
        <v>15.66</v>
      </c>
      <c r="BS523">
        <f t="shared" si="47"/>
        <v>15.66</v>
      </c>
      <c r="BT523" t="str">
        <f>IFERROR(INDEX(_REF_Capability_Bridge!$D:$D,MATCH($C523&amp;"|"&amp;$D523,_REF_Capability_Bridge!$J:$J,0)),IFERROR(INDEX(_REF_Capability_Bridge!$D:$D,MATCH($C523&amp;"|",_REF_Capability_Bridge!$J:$J,0)),"CAP_GENERIC"))</f>
        <v>CAP_BACKUP_RECOVERY</v>
      </c>
      <c r="BU523">
        <f>IFERROR(IFERROR(INDEX(_ENGINE_Relevance!$L:$L,MATCH($BT523,_ENGINE_Relevance!$B:$B,0)),1),1)</f>
        <v>1</v>
      </c>
      <c r="BV523" t="str">
        <f>IFERROR(INDEX(_REF_Capability_Bridge!$A:$A,MATCH($C523&amp;"|"&amp;$D523,_REF_Capability_Bridge!$J:$J,0)),IFERROR(INDEX(_REF_Capability_Bridge!$A:$A,MATCH($C523&amp;"|",_REF_Capability_Bridge!$J:$J,0)),"No bridge"))</f>
        <v>BRG-083</v>
      </c>
      <c r="BW523" t="str">
        <f t="shared" si="48"/>
        <v>Capability relevance neutral</v>
      </c>
      <c r="BX523" t="str">
        <f t="shared" si="49"/>
        <v>Initial / absent</v>
      </c>
      <c r="BY523" t="str">
        <f>IF($E523="","",IFERROR(INDEX(_REF_Treatment_Library!$A$2:$A$296,MATCH(1,INDEX((_REF_Treatment_Library!$B$2:$B$296=$BT523)*(_REF_Treatment_Library!$C$2:$C$296=PV_Canonical_Industry)*(_REF_Treatment_Library!$E$2:$E$296&lt;=N($H523))*(_REF_Treatment_Library!$F$2:$F$296&gt;=N($H523))*(_REF_Treatment_Library!$O$2:$O$296="Yes"),0),0)),IFERROR(INDEX(_REF_Treatment_Library!$A$2:$A$296,MATCH(1,INDEX((_REF_Treatment_Library!$B$2:$B$296=$BT523)*(_REF_Treatment_Library!$C$2:$C$296="All")*(_REF_Treatment_Library!$E$2:$E$296&lt;=N($H523))*(_REF_Treatment_Library!$F$2:$F$296&gt;=N($H523))*(_REF_Treatment_Library!$O$2:$O$296="Yes"),0),0)),"")))</f>
        <v>TRT-BACKUP_RECOVERY-INITIAL</v>
      </c>
      <c r="BZ523" t="str">
        <f>IF($BY523="","",IFERROR(INDEX(_REF_Treatment_Library!$H$2:$H$296,MATCH($BY523,_REF_Treatment_Library!$A$2:$A$296,0)),""))</f>
        <v>Establish</v>
      </c>
      <c r="CA523" t="str">
        <f>IF($BY523="","",IFERROR(INDEX(_REF_Treatment_Library!$I$2:$I$296,MATCH($BY523,_REF_Treatment_Library!$A$2:$A$296,0)),""))</f>
        <v>Establish baseline controls for Backup / recovery</v>
      </c>
      <c r="CB523" t="str">
        <f>IF($BY523="","",IFERROR(INDEX(_REF_Treatment_Library!$K$2:$K$296,MATCH($BY523,_REF_Treatment_Library!$A$2:$A$296,0)),""))</f>
        <v>Named owner, baseline process, minimum control checklist, first evidence package</v>
      </c>
      <c r="CC523" t="str">
        <f>IF($BY523="","",IFERROR(INDEX(_REF_Treatment_Library!$L$2:$L$296,MATCH($BY523,_REF_Treatment_Library!$A$2:$A$296,0)),""))</f>
        <v>Owner assigned; baseline evidence coverage; open critical gaps</v>
      </c>
      <c r="CD523" t="str">
        <f t="shared" si="50"/>
        <v>Treatment by capability=CAP_BACKUP_RECOVERY; band=Initial / absent; score=0.0; treatment=Establish</v>
      </c>
      <c r="CE523" t="str">
        <f>IF($E523="","",IFERROR(INDEX(_REF_Industry_Wording!$A$2:$A$70,MATCH(1,INDEX((_REF_Industry_Wording!$B$2:$B$70=$BT523)*(_REF_Industry_Wording!$C$2:$C$70=PV_Canonical_Industry)*(_REF_Industry_Wording!$K$2:$K$70="Yes"),0),0)),IFERROR(INDEX(_REF_Industry_Wording!$A$2:$A$70,MATCH(1,INDEX((_REF_Industry_Wording!$B$2:$B$70=$BT523)*(_REF_Industry_Wording!$C$2:$C$70="All")*(_REF_Industry_Wording!$K$2:$K$70="Yes"),0),0)),"")))</f>
        <v>IW-ALL-BACKUP_RECOVERY</v>
      </c>
      <c r="CF523" t="str">
        <f>IF($CE523="","",IFERROR(INDEX(_REF_Industry_Wording!$E$2:$E$70,MATCH($CE523,_REF_Industry_Wording!$A$2:$A$70,0)),""))</f>
        <v>Backup / recovery weakness</v>
      </c>
      <c r="CG523" t="str">
        <f>IF($CE523="","",IFERROR(INDEX(_REF_Industry_Wording!$F$2:$F$70,MATCH($CE523,_REF_Industry_Wording!$A$2:$A$70,0)),""))</f>
        <v>Strengthen Backup / recovery</v>
      </c>
      <c r="CH523" t="str">
        <f>IF($CE523="","",IFERROR(INDEX(_REF_Industry_Wording!$G$2:$G$70,MATCH($CE523,_REF_Industry_Wording!$A$2:$A$70,0)),""))</f>
        <v>Strengthen Backup / recovery using the selected maturity treatment, crisis scenario and evidence requirements.</v>
      </c>
      <c r="CI523" t="str">
        <f>IF($CE523="","",IFERROR(INDEX(_REF_Industry_Wording!$H$2:$H$70,MATCH($CE523,_REF_Industry_Wording!$A$2:$A$70,0)),""))</f>
        <v>Backup / recovery</v>
      </c>
      <c r="CJ523">
        <f>IF($CE523="","",IFERROR(INDEX(_REF_Industry_Wording!$I$2:$I$70,MATCH($CE523,_REF_Industry_Wording!$A$2:$A$70,0)),""))</f>
        <v>0</v>
      </c>
      <c r="CK523" t="str">
        <f>IF($CE523="","",IFERROR(INDEX(_REF_Industry_Wording!$J$2:$J$70,MATCH($CE523,_REF_Industry_Wording!$A$2:$A$70,0)),""))</f>
        <v>Backup / recovery</v>
      </c>
      <c r="CL523" t="str">
        <f t="shared" si="51"/>
        <v>Wording by industry=0; capability=CAP_BACKUP_RECOVERY; risk label=Backup / recovery weakness</v>
      </c>
      <c r="CM523" t="str">
        <f t="shared" si="52"/>
        <v>RISK-ONT-0024</v>
      </c>
      <c r="CN523" t="str">
        <f t="shared" si="53"/>
        <v>RISK-EVT-0024</v>
      </c>
      <c r="CO523" t="str">
        <f t="shared" si="54"/>
        <v>Strategy GTM|Corporate strategy|STRA-005|CAP_BACKUP_RECOVERY</v>
      </c>
      <c r="CP523" t="str">
        <f t="shared" si="55"/>
        <v>Active</v>
      </c>
      <c r="CQ523" t="str">
        <f t="shared" si="56"/>
        <v>OK: capability-driven</v>
      </c>
      <c r="CR523" t="str">
        <f t="shared" si="57"/>
        <v>Risk ontology uses capability=CAP_BACKUP_RECOVERY; bridge=BRG-083; treatment=TRT-BACKUP_RECOVERY-INITIAL; wording=IW-ALL-BACKUP_RECOVERY</v>
      </c>
      <c r="CS523" t="str">
        <f t="shared" si="58"/>
        <v>Yes</v>
      </c>
    </row>
    <row r="524" spans="1:97" ht="69.900000000000006" customHeight="1">
      <c r="A524">
        <f>IF(OR($B524&lt;&gt;"Yes",$BS524=""),"",SUMPRODUCT(($B$500:$B$923="Yes")*ISNUMBER($BS$500:$BS$923)*($BS$500:$BS$923&gt;$BS524))+COUNTIFS($B$500:$B524,"Yes",$BS$500:$BS524,$BS524))</f>
        <v>338</v>
      </c>
      <c r="B524" t="str">
        <f t="shared" si="21"/>
        <v>Yes</v>
      </c>
      <c r="C524" t="s">
        <v>949</v>
      </c>
      <c r="D524" t="s">
        <v>951</v>
      </c>
      <c r="E524" t="s">
        <v>991</v>
      </c>
      <c r="F524" t="s">
        <v>3680</v>
      </c>
      <c r="G524" t="str">
        <f>IF($H524="","",IFERROR(INDEX(_ENGINE_Risk!$H$5:$M$499,MATCH($E524,_ENGINE_Risk!$A$5:$A$499,0),$H524+1),""))</f>
        <v>Severe risk: alignment between strategy, structure, systems, skills, staff, leadership style and culture is not reliably controlled. During Demand shock; Financial / liquidity shock; Reputation crisis, the organization may face weak crisis positioning, poor prioritization of segments, revenue leakage and inability to adapt the offering with limited visibility or accountability.</v>
      </c>
      <c r="H524">
        <f>IFERROR(VALUE(INDEX(_DATA_Assessment_Model!$H$5:$H$884,MATCH($E524,_DATA_Assessment_Model!$A$5:$A$884,0))),"")</f>
        <v>0</v>
      </c>
      <c r="I524" t="str">
        <f>IF($H524="","",IFERROR(INDEX(_DATA_Assessment_Model!$L$5:$L$884,MATCH($E524,_DATA_Assessment_Model!$A$5:$A$884,0)),IF($H524&lt;=1,"Critical",IF($H524=2,"High",IF($H524=3,"Medium",IF($H524=4,"Low","Resilient"))))))</f>
        <v>Critical</v>
      </c>
      <c r="J524">
        <f t="shared" si="22"/>
        <v>3.6</v>
      </c>
      <c r="K524">
        <f t="shared" si="23"/>
        <v>4.1500000000000004</v>
      </c>
      <c r="L524">
        <f t="shared" si="24"/>
        <v>14.940000000000001</v>
      </c>
      <c r="M524">
        <f t="shared" si="25"/>
        <v>3</v>
      </c>
      <c r="N524">
        <f>IF($H524="","",IFERROR(INDEX(_ENGINE_Risk!$T$5:$Y$499,MATCH($E524,_ENGINE_Risk!$A$5:$A$499,0),$H524+1),""))</f>
        <v>3</v>
      </c>
      <c r="O524">
        <f t="shared" si="26"/>
        <v>4.333333333333333</v>
      </c>
      <c r="P524">
        <f t="shared" si="27"/>
        <v>5</v>
      </c>
      <c r="Q524">
        <f t="shared" si="28"/>
        <v>5</v>
      </c>
      <c r="R524">
        <f t="shared" si="29"/>
        <v>4.5</v>
      </c>
      <c r="S524">
        <f t="shared" si="30"/>
        <v>1.57</v>
      </c>
      <c r="T524" t="str">
        <f>IF($H524="","",IFERROR(INDEX(_ENGINE_Risk!$N$5:$S$499,MATCH($E524,_ENGINE_Risk!$A$5:$A$499,0),$H524+1),""))</f>
        <v>Create an immediate risk owner, minimum control baseline and fallback procedure for alignment between strategy, structure, systems, skills, staff, leadership style and culture. Add it to the crisis risk register and collect first evidence.</v>
      </c>
      <c r="U524">
        <f>IFERROR(INDEX(_DATA_Assessment_Model!$G$5:$G$884,MATCH($E524,_DATA_Assessment_Model!$A$5:$A$884,0)),"")</f>
        <v>4</v>
      </c>
      <c r="V524">
        <f>IFERROR(INDEX(_DATA_Assessment_Model!$W$5:$W$884,MATCH($E524,_DATA_Assessment_Model!$A$5:$A$884,0)),"")</f>
        <v>4</v>
      </c>
      <c r="W524">
        <f>IFERROR(INDEX(_DATA_Assessment_Model!$X$5:$X$884,MATCH($E524,_DATA_Assessment_Model!$A$5:$A$884,0)),"")</f>
        <v>5</v>
      </c>
      <c r="X524">
        <f>IFERROR(INDEX(_DATA_Assessment_Model!$Y$5:$Y$884,MATCH($E524,_DATA_Assessment_Model!$A$5:$A$884,0)),"")</f>
        <v>5</v>
      </c>
      <c r="Y524" t="s">
        <v>962</v>
      </c>
      <c r="Z524" t="s">
        <v>4860</v>
      </c>
      <c r="AA524" t="s">
        <v>993</v>
      </c>
      <c r="AB524">
        <f>IFERROR(INDEX(_DATA_Assessment_Model!$U$5:$U$884,MATCH($E524,_DATA_Assessment_Model!$A$5:$A$884,0)),"")</f>
        <v>0</v>
      </c>
      <c r="AF524" t="s">
        <v>992</v>
      </c>
      <c r="AO524">
        <f>IF($B524="Yes",IF(IFERROR(INDEX(_ENGINE_Crisis!$F$501:$F$517,MATCH($C524,_ENGINE_Crisis!$A$501:$A$517,0)),1)=0,1,IFERROR(INDEX(_ENGINE_Crisis!$F$501:$F$517,MATCH($C524,_ENGINE_Crisis!$A$501:$A$517,0)),1)),"")</f>
        <v>1</v>
      </c>
      <c r="AP524">
        <f t="shared" si="37"/>
        <v>14.9</v>
      </c>
      <c r="AQ524">
        <f t="shared" si="38"/>
        <v>1.57</v>
      </c>
      <c r="AR524" t="str">
        <f>IFERROR(INDEX(_ENGINE_Crisis!$E$41:$E$700,MATCH('Resilience &amp; Risk Scenario'!$B$6&amp;"|"&amp;$C524,_ENGINE_Crisis!$I$41:$I$700,0)),"")</f>
        <v/>
      </c>
      <c r="AS524" t="str">
        <f>IFERROR(INDEX(_ENGINE_Crisis!$G$41:$G$700,MATCH('Resilience &amp; Risk Scenario'!$B$6&amp;"|"&amp;$C524,_ENGINE_Crisis!$I$41:$I$700,0)),"")</f>
        <v/>
      </c>
      <c r="AT524" t="str">
        <f>IFERROR(INDEX(_ENGINE_Initiatives!$A$5:$A$532,MATCH(1,INDEX((_ENGINE_Initiatives!$B$5:$B$532=$C524)*(_ENGINE_Initiatives!$C$5:$C$532=$D524),0),0)),"")</f>
        <v>INI-004</v>
      </c>
      <c r="AU524" t="str">
        <f>IFERROR(INDEX(_ENGINE_Initiatives!$F$5:$F$532,MATCH(1,INDEX((_ENGINE_Initiatives!$B$5:$B$532=$C524)*(_ENGINE_Initiatives!$C$5:$C$532=$D524),0),0)),"")</f>
        <v>Stress-test corporate strategy and decision assumptions</v>
      </c>
      <c r="AV524">
        <f>IFERROR(INDEX(_ENGINE_Initiatives!$AC$5:$AC$532,MATCH(1,INDEX((_ENGINE_Initiatives!$B$5:$B$532=$C524)*(_ENGINE_Initiatives!$C$5:$C$532=$D524),0),0)),"")</f>
        <v>1.71</v>
      </c>
      <c r="AW524" t="str">
        <f>IFERROR(INDEX(_ENGINE_Initiatives!$AE$5:$AE$532,MATCH(1,INDEX((_ENGINE_Initiatives!$B$5:$B$532=$C524)*(_ENGINE_Initiatives!$C$5:$C$532=$D524),0),0)),"")</f>
        <v>6-12 months</v>
      </c>
      <c r="AX524">
        <f>IF($B524="Yes",IFERROR((IF(SUMIFS(_REF_Model_Content!$E$1:$E$613,_REF_Model_Content!$A$1:$A$613,PV_Canonical_Industry,_REF_Model_Content!$B$1:$B$613,$C524)=0,1,SUMIFS(_REF_Model_Content!$E$1:$E$613,_REF_Model_Content!$A$1:$A$613,PV_Canonical_Industry,_REF_Model_Content!$B$1:$B$613,$C524))*IFERROR($BU524,1)),1),"")</f>
        <v>1</v>
      </c>
      <c r="AY524">
        <f t="shared" si="39"/>
        <v>14.9</v>
      </c>
      <c r="AZ524">
        <f t="shared" si="40"/>
        <v>1.57</v>
      </c>
      <c r="BB524" t="str">
        <f>IF($H524="","",IFERROR(INDEX(_ENGINE_Risk!$AE$5:$AE$499,MATCH($E524,_ENGINE_Risk!$A$5:$A$499,0)),"Medium"))</f>
        <v>Medium</v>
      </c>
      <c r="BC524">
        <f t="shared" si="41"/>
        <v>1</v>
      </c>
      <c r="BD524">
        <f t="shared" si="42"/>
        <v>1.57</v>
      </c>
      <c r="BF524">
        <f>IF(OR($H524="",$J524=""),"",IFERROR(VLOOKUP(ROUND($J524,0),_CONFIG_Model_Settings!$D$154:$E$158,2,0),""))</f>
        <v>0.5</v>
      </c>
      <c r="BG524">
        <f>IFERROR(IF(OR($H524="",$K524=""),"",ROUND('Company Profile'!$B$113*INDEX(_CONFIG_Model_Settings!$H$154:$H$158,MATCH(ROUND($K524,0),_CONFIG_Model_Settings!$G$154:$G$158,0)),0)),0)</f>
        <v>875</v>
      </c>
      <c r="BH524">
        <f t="shared" si="43"/>
        <v>437.5</v>
      </c>
      <c r="BI524">
        <f t="shared" si="44"/>
        <v>437.5</v>
      </c>
      <c r="BJ524">
        <f>IF($E524="","",IFERROR(VLOOKUP($C524,_CONFIG_Risk_Calibration!$A$5:$H$21,2,FALSE),3))</f>
        <v>3</v>
      </c>
      <c r="BK524">
        <f>IF($E524="","",IFERROR(VLOOKUP($C524,_CONFIG_Risk_Calibration!$A$5:$H$21,3,FALSE),0))</f>
        <v>0</v>
      </c>
      <c r="BL524">
        <f>IF($E524="","",IFERROR(VLOOKUP($C524,_CONFIG_Risk_Calibration!$A$5:$H$21,4,FALSE),3))</f>
        <v>3</v>
      </c>
      <c r="BM524">
        <f>IF($E524="","",IFERROR(VLOOKUP($C524,_CONFIG_Risk_Calibration!$A$5:$H$21,5,FALSE),3))</f>
        <v>3</v>
      </c>
      <c r="BN524" t="str">
        <f>IF($E524="","",IFERROR(VLOOKUP($C524,_CONFIG_Risk_Calibration!$A$5:$H$21,6,FALSE),"No"))</f>
        <v>No</v>
      </c>
      <c r="BO524">
        <f>IF($E524="","",IFERROR(VLOOKUP($C524,_CONFIG_Risk_Calibration!$A$5:$H$21,7,FALSE),1))</f>
        <v>1</v>
      </c>
      <c r="BP524">
        <f>IF($H524="","",MAX(1,MIN(5,((6-$H524)*0.45)+($BJ524*0.2)+('Resilience &amp; Risk Scenario'!$B$7*0.15)+($BK524*0.1)+($BL524*0.05)+(IF($BB524="Fast",5,IF($BB524="Slow",1,3))*0.05))))</f>
        <v>3.6</v>
      </c>
      <c r="BQ524">
        <f t="shared" si="45"/>
        <v>4.1500000000000004</v>
      </c>
      <c r="BR524">
        <f t="shared" si="46"/>
        <v>14.94</v>
      </c>
      <c r="BS524">
        <f t="shared" si="47"/>
        <v>14.94</v>
      </c>
      <c r="BT524" t="str">
        <f>IFERROR(INDEX(_REF_Capability_Bridge!$D:$D,MATCH($C524&amp;"|"&amp;$D524,_REF_Capability_Bridge!$J:$J,0)),IFERROR(INDEX(_REF_Capability_Bridge!$D:$D,MATCH($C524&amp;"|",_REF_Capability_Bridge!$J:$J,0)),"CAP_GENERIC"))</f>
        <v>CAP_BACKUP_RECOVERY</v>
      </c>
      <c r="BU524">
        <f>IFERROR(IFERROR(INDEX(_ENGINE_Relevance!$L:$L,MATCH($BT524,_ENGINE_Relevance!$B:$B,0)),1),1)</f>
        <v>1</v>
      </c>
      <c r="BV524" t="str">
        <f>IFERROR(INDEX(_REF_Capability_Bridge!$A:$A,MATCH($C524&amp;"|"&amp;$D524,_REF_Capability_Bridge!$J:$J,0)),IFERROR(INDEX(_REF_Capability_Bridge!$A:$A,MATCH($C524&amp;"|",_REF_Capability_Bridge!$J:$J,0)),"No bridge"))</f>
        <v>BRG-083</v>
      </c>
      <c r="BW524" t="str">
        <f t="shared" si="48"/>
        <v>Capability relevance neutral</v>
      </c>
      <c r="BX524" t="str">
        <f t="shared" si="49"/>
        <v>Initial / absent</v>
      </c>
      <c r="BY524" t="str">
        <f>IF($E524="","",IFERROR(INDEX(_REF_Treatment_Library!$A$2:$A$296,MATCH(1,INDEX((_REF_Treatment_Library!$B$2:$B$296=$BT524)*(_REF_Treatment_Library!$C$2:$C$296=PV_Canonical_Industry)*(_REF_Treatment_Library!$E$2:$E$296&lt;=N($H524))*(_REF_Treatment_Library!$F$2:$F$296&gt;=N($H524))*(_REF_Treatment_Library!$O$2:$O$296="Yes"),0),0)),IFERROR(INDEX(_REF_Treatment_Library!$A$2:$A$296,MATCH(1,INDEX((_REF_Treatment_Library!$B$2:$B$296=$BT524)*(_REF_Treatment_Library!$C$2:$C$296="All")*(_REF_Treatment_Library!$E$2:$E$296&lt;=N($H524))*(_REF_Treatment_Library!$F$2:$F$296&gt;=N($H524))*(_REF_Treatment_Library!$O$2:$O$296="Yes"),0),0)),"")))</f>
        <v>TRT-BACKUP_RECOVERY-INITIAL</v>
      </c>
      <c r="BZ524" t="str">
        <f>IF($BY524="","",IFERROR(INDEX(_REF_Treatment_Library!$H$2:$H$296,MATCH($BY524,_REF_Treatment_Library!$A$2:$A$296,0)),""))</f>
        <v>Establish</v>
      </c>
      <c r="CA524" t="str">
        <f>IF($BY524="","",IFERROR(INDEX(_REF_Treatment_Library!$I$2:$I$296,MATCH($BY524,_REF_Treatment_Library!$A$2:$A$296,0)),""))</f>
        <v>Establish baseline controls for Backup / recovery</v>
      </c>
      <c r="CB524" t="str">
        <f>IF($BY524="","",IFERROR(INDEX(_REF_Treatment_Library!$K$2:$K$296,MATCH($BY524,_REF_Treatment_Library!$A$2:$A$296,0)),""))</f>
        <v>Named owner, baseline process, minimum control checklist, first evidence package</v>
      </c>
      <c r="CC524" t="str">
        <f>IF($BY524="","",IFERROR(INDEX(_REF_Treatment_Library!$L$2:$L$296,MATCH($BY524,_REF_Treatment_Library!$A$2:$A$296,0)),""))</f>
        <v>Owner assigned; baseline evidence coverage; open critical gaps</v>
      </c>
      <c r="CD524" t="str">
        <f t="shared" si="50"/>
        <v>Treatment by capability=CAP_BACKUP_RECOVERY; band=Initial / absent; score=0.0; treatment=Establish</v>
      </c>
      <c r="CE524" t="str">
        <f>IF($E524="","",IFERROR(INDEX(_REF_Industry_Wording!$A$2:$A$70,MATCH(1,INDEX((_REF_Industry_Wording!$B$2:$B$70=$BT524)*(_REF_Industry_Wording!$C$2:$C$70=PV_Canonical_Industry)*(_REF_Industry_Wording!$K$2:$K$70="Yes"),0),0)),IFERROR(INDEX(_REF_Industry_Wording!$A$2:$A$70,MATCH(1,INDEX((_REF_Industry_Wording!$B$2:$B$70=$BT524)*(_REF_Industry_Wording!$C$2:$C$70="All")*(_REF_Industry_Wording!$K$2:$K$70="Yes"),0),0)),"")))</f>
        <v>IW-ALL-BACKUP_RECOVERY</v>
      </c>
      <c r="CF524" t="str">
        <f>IF($CE524="","",IFERROR(INDEX(_REF_Industry_Wording!$E$2:$E$70,MATCH($CE524,_REF_Industry_Wording!$A$2:$A$70,0)),""))</f>
        <v>Backup / recovery weakness</v>
      </c>
      <c r="CG524" t="str">
        <f>IF($CE524="","",IFERROR(INDEX(_REF_Industry_Wording!$F$2:$F$70,MATCH($CE524,_REF_Industry_Wording!$A$2:$A$70,0)),""))</f>
        <v>Strengthen Backup / recovery</v>
      </c>
      <c r="CH524" t="str">
        <f>IF($CE524="","",IFERROR(INDEX(_REF_Industry_Wording!$G$2:$G$70,MATCH($CE524,_REF_Industry_Wording!$A$2:$A$70,0)),""))</f>
        <v>Strengthen Backup / recovery using the selected maturity treatment, crisis scenario and evidence requirements.</v>
      </c>
      <c r="CI524" t="str">
        <f>IF($CE524="","",IFERROR(INDEX(_REF_Industry_Wording!$H$2:$H$70,MATCH($CE524,_REF_Industry_Wording!$A$2:$A$70,0)),""))</f>
        <v>Backup / recovery</v>
      </c>
      <c r="CJ524">
        <f>IF($CE524="","",IFERROR(INDEX(_REF_Industry_Wording!$I$2:$I$70,MATCH($CE524,_REF_Industry_Wording!$A$2:$A$70,0)),""))</f>
        <v>0</v>
      </c>
      <c r="CK524" t="str">
        <f>IF($CE524="","",IFERROR(INDEX(_REF_Industry_Wording!$J$2:$J$70,MATCH($CE524,_REF_Industry_Wording!$A$2:$A$70,0)),""))</f>
        <v>Backup / recovery</v>
      </c>
      <c r="CL524" t="str">
        <f t="shared" si="51"/>
        <v>Wording by industry=0; capability=CAP_BACKUP_RECOVERY; risk label=Backup / recovery weakness</v>
      </c>
      <c r="CM524" t="str">
        <f t="shared" si="52"/>
        <v>RISK-ONT-0025</v>
      </c>
      <c r="CN524" t="str">
        <f t="shared" si="53"/>
        <v>RISK-EVT-0025</v>
      </c>
      <c r="CO524" t="str">
        <f t="shared" si="54"/>
        <v>Strategy GTM|Corporate strategy|STRA-006|CAP_BACKUP_RECOVERY</v>
      </c>
      <c r="CP524" t="str">
        <f t="shared" si="55"/>
        <v>Active</v>
      </c>
      <c r="CQ524" t="str">
        <f t="shared" si="56"/>
        <v>OK: capability-driven</v>
      </c>
      <c r="CR524" t="str">
        <f t="shared" si="57"/>
        <v>Risk ontology uses capability=CAP_BACKUP_RECOVERY; bridge=BRG-083; treatment=TRT-BACKUP_RECOVERY-INITIAL; wording=IW-ALL-BACKUP_RECOVERY</v>
      </c>
      <c r="CS524" t="str">
        <f t="shared" si="58"/>
        <v>Yes</v>
      </c>
    </row>
    <row r="525" spans="1:97" ht="69.900000000000006" customHeight="1">
      <c r="A525">
        <f>IF(OR($B525&lt;&gt;"Yes",$BS525=""),"",SUMPRODUCT(($B$500:$B$923="Yes")*ISNUMBER($BS$500:$BS$923)*($BS$500:$BS$923&gt;$BS525))+COUNTIFS($B$500:$B525,"Yes",$BS$500:$BS525,$BS525))</f>
        <v>339</v>
      </c>
      <c r="B525" t="str">
        <f t="shared" si="21"/>
        <v>Yes</v>
      </c>
      <c r="C525" t="s">
        <v>949</v>
      </c>
      <c r="D525" t="s">
        <v>972</v>
      </c>
      <c r="E525" t="s">
        <v>1000</v>
      </c>
      <c r="F525" t="s">
        <v>3680</v>
      </c>
      <c r="G525" t="str">
        <f>IF($H525="","",IFERROR(INDEX(_ENGINE_Risk!$H$5:$M$499,MATCH($E525,_ENGINE_Risk!$A$5:$A$499,0),$H525+1),""))</f>
        <v>Severe risk: ideal customer profile by segment, geography, industry, company size, pain, budget and buying trigger is not reliably controlled. During Demand shock; Financial / liquidity shock; Reputation crisis, the organization may face weak crisis positioning, poor prioritization of segments, revenue leakage and inability to adapt the offering with limited visibility or accountability.</v>
      </c>
      <c r="H525">
        <f>IFERROR(VALUE(INDEX(_DATA_Assessment_Model!$H$5:$H$884,MATCH($E525,_DATA_Assessment_Model!$A$5:$A$884,0))),"")</f>
        <v>0</v>
      </c>
      <c r="I525" t="str">
        <f>IF($H525="","",IFERROR(INDEX(_DATA_Assessment_Model!$L$5:$L$884,MATCH($E525,_DATA_Assessment_Model!$A$5:$A$884,0)),IF($H525&lt;=1,"Critical",IF($H525=2,"High",IF($H525=3,"Medium",IF($H525=4,"Low","Resilient"))))))</f>
        <v>Critical</v>
      </c>
      <c r="J525">
        <f t="shared" si="22"/>
        <v>3.6</v>
      </c>
      <c r="K525">
        <f t="shared" si="23"/>
        <v>4.1500000000000004</v>
      </c>
      <c r="L525">
        <f t="shared" si="24"/>
        <v>14.940000000000001</v>
      </c>
      <c r="M525">
        <f t="shared" si="25"/>
        <v>3</v>
      </c>
      <c r="N525">
        <f>IF($H525="","",IFERROR(INDEX(_ENGINE_Risk!$T$5:$Y$499,MATCH($E525,_ENGINE_Risk!$A$5:$A$499,0),$H525+1),""))</f>
        <v>3</v>
      </c>
      <c r="O525">
        <f t="shared" si="26"/>
        <v>4.333333333333333</v>
      </c>
      <c r="P525">
        <f t="shared" si="27"/>
        <v>5</v>
      </c>
      <c r="Q525">
        <f t="shared" si="28"/>
        <v>5</v>
      </c>
      <c r="R525">
        <f t="shared" si="29"/>
        <v>4.5</v>
      </c>
      <c r="S525">
        <f t="shared" si="30"/>
        <v>1.57</v>
      </c>
      <c r="T525" t="str">
        <f>IF($H525="","",IFERROR(INDEX(_ENGINE_Risk!$N$5:$S$499,MATCH($E525,_ENGINE_Risk!$A$5:$A$499,0),$H525+1),""))</f>
        <v>Create an immediate risk owner, minimum control baseline and fallback procedure for ideal customer profile by segment, geography, industry, company size, pain, budget and buying trigger. Add it to the crisis risk register and collect first evidence.</v>
      </c>
      <c r="U525">
        <f>IFERROR(INDEX(_DATA_Assessment_Model!$G$5:$G$884,MATCH($E525,_DATA_Assessment_Model!$A$5:$A$884,0)),"")</f>
        <v>4</v>
      </c>
      <c r="V525">
        <f>IFERROR(INDEX(_DATA_Assessment_Model!$W$5:$W$884,MATCH($E525,_DATA_Assessment_Model!$A$5:$A$884,0)),"")</f>
        <v>4</v>
      </c>
      <c r="W525">
        <f>IFERROR(INDEX(_DATA_Assessment_Model!$X$5:$X$884,MATCH($E525,_DATA_Assessment_Model!$A$5:$A$884,0)),"")</f>
        <v>5</v>
      </c>
      <c r="X525">
        <f>IFERROR(INDEX(_DATA_Assessment_Model!$Y$5:$Y$884,MATCH($E525,_DATA_Assessment_Model!$A$5:$A$884,0)),"")</f>
        <v>5</v>
      </c>
      <c r="Y525" t="s">
        <v>962</v>
      </c>
      <c r="Z525" t="s">
        <v>4860</v>
      </c>
      <c r="AA525" t="s">
        <v>1002</v>
      </c>
      <c r="AB525">
        <f>IFERROR(INDEX(_DATA_Assessment_Model!$U$5:$U$884,MATCH($E525,_DATA_Assessment_Model!$A$5:$A$884,0)),"")</f>
        <v>0</v>
      </c>
      <c r="AF525" t="s">
        <v>1001</v>
      </c>
      <c r="AO525">
        <f>IF($B525="Yes",IF(IFERROR(INDEX(_ENGINE_Crisis!$F$501:$F$517,MATCH($C525,_ENGINE_Crisis!$A$501:$A$517,0)),1)=0,1,IFERROR(INDEX(_ENGINE_Crisis!$F$501:$F$517,MATCH($C525,_ENGINE_Crisis!$A$501:$A$517,0)),1)),"")</f>
        <v>1</v>
      </c>
      <c r="AP525">
        <f t="shared" si="37"/>
        <v>14.9</v>
      </c>
      <c r="AQ525">
        <f t="shared" si="38"/>
        <v>1.57</v>
      </c>
      <c r="AR525" t="str">
        <f>IFERROR(INDEX(_ENGINE_Crisis!$E$41:$E$700,MATCH('Resilience &amp; Risk Scenario'!$B$6&amp;"|"&amp;$C525,_ENGINE_Crisis!$I$41:$I$700,0)),"")</f>
        <v/>
      </c>
      <c r="AS525" t="str">
        <f>IFERROR(INDEX(_ENGINE_Crisis!$G$41:$G$700,MATCH('Resilience &amp; Risk Scenario'!$B$6&amp;"|"&amp;$C525,_ENGINE_Crisis!$I$41:$I$700,0)),"")</f>
        <v/>
      </c>
      <c r="AT525" t="str">
        <f>IFERROR(INDEX(_ENGINE_Initiatives!$A$5:$A$532,MATCH(1,INDEX((_ENGINE_Initiatives!$B$5:$B$532=$C525)*(_ENGINE_Initiatives!$C$5:$C$532=$D525),0),0)),"")</f>
        <v>INI-005</v>
      </c>
      <c r="AU525" t="str">
        <f>IFERROR(INDEX(_ENGINE_Initiatives!$F$5:$F$532,MATCH(1,INDEX((_ENGINE_Initiatives!$B$5:$B$532=$C525)*(_ENGINE_Initiatives!$C$5:$C$532=$D525),0),0)),"")</f>
        <v>Define crisis-adjusted ICP, market segments and demand exposure</v>
      </c>
      <c r="AV525">
        <f>IFERROR(INDEX(_ENGINE_Initiatives!$AC$5:$AC$532,MATCH(1,INDEX((_ENGINE_Initiatives!$B$5:$B$532=$C525)*(_ENGINE_Initiatives!$C$5:$C$532=$D525),0),0)),"")</f>
        <v>1.71</v>
      </c>
      <c r="AW525" t="str">
        <f>IFERROR(INDEX(_ENGINE_Initiatives!$AE$5:$AE$532,MATCH(1,INDEX((_ENGINE_Initiatives!$B$5:$B$532=$C525)*(_ENGINE_Initiatives!$C$5:$C$532=$D525),0),0)),"")</f>
        <v>6-12 months</v>
      </c>
      <c r="AX525">
        <f>IF($B525="Yes",IFERROR((IF(SUMIFS(_REF_Model_Content!$E$1:$E$613,_REF_Model_Content!$A$1:$A$613,PV_Canonical_Industry,_REF_Model_Content!$B$1:$B$613,$C525)=0,1,SUMIFS(_REF_Model_Content!$E$1:$E$613,_REF_Model_Content!$A$1:$A$613,PV_Canonical_Industry,_REF_Model_Content!$B$1:$B$613,$C525))*IFERROR($BU525,1)),1),"")</f>
        <v>1</v>
      </c>
      <c r="AY525">
        <f t="shared" si="39"/>
        <v>14.9</v>
      </c>
      <c r="AZ525">
        <f t="shared" si="40"/>
        <v>1.57</v>
      </c>
      <c r="BB525" t="str">
        <f>IF($H525="","",IFERROR(INDEX(_ENGINE_Risk!$AE$5:$AE$499,MATCH($E525,_ENGINE_Risk!$A$5:$A$499,0)),"Medium"))</f>
        <v>Medium</v>
      </c>
      <c r="BC525">
        <f t="shared" si="41"/>
        <v>1</v>
      </c>
      <c r="BD525">
        <f t="shared" si="42"/>
        <v>1.57</v>
      </c>
      <c r="BF525">
        <f>IF(OR($H525="",$J525=""),"",IFERROR(VLOOKUP(ROUND($J525,0),_CONFIG_Model_Settings!$D$154:$E$158,2,0),""))</f>
        <v>0.5</v>
      </c>
      <c r="BG525">
        <f>IFERROR(IF(OR($H525="",$K525=""),"",ROUND('Company Profile'!$B$113*INDEX(_CONFIG_Model_Settings!$H$154:$H$158,MATCH(ROUND($K525,0),_CONFIG_Model_Settings!$G$154:$G$158,0)),0)),0)</f>
        <v>875</v>
      </c>
      <c r="BH525">
        <f t="shared" si="43"/>
        <v>437.5</v>
      </c>
      <c r="BI525">
        <f t="shared" si="44"/>
        <v>437.5</v>
      </c>
      <c r="BJ525">
        <f>IF($E525="","",IFERROR(VLOOKUP($C525,_CONFIG_Risk_Calibration!$A$5:$H$21,2,FALSE),3))</f>
        <v>3</v>
      </c>
      <c r="BK525">
        <f>IF($E525="","",IFERROR(VLOOKUP($C525,_CONFIG_Risk_Calibration!$A$5:$H$21,3,FALSE),0))</f>
        <v>0</v>
      </c>
      <c r="BL525">
        <f>IF($E525="","",IFERROR(VLOOKUP($C525,_CONFIG_Risk_Calibration!$A$5:$H$21,4,FALSE),3))</f>
        <v>3</v>
      </c>
      <c r="BM525">
        <f>IF($E525="","",IFERROR(VLOOKUP($C525,_CONFIG_Risk_Calibration!$A$5:$H$21,5,FALSE),3))</f>
        <v>3</v>
      </c>
      <c r="BN525" t="str">
        <f>IF($E525="","",IFERROR(VLOOKUP($C525,_CONFIG_Risk_Calibration!$A$5:$H$21,6,FALSE),"No"))</f>
        <v>No</v>
      </c>
      <c r="BO525">
        <f>IF($E525="","",IFERROR(VLOOKUP($C525,_CONFIG_Risk_Calibration!$A$5:$H$21,7,FALSE),1))</f>
        <v>1</v>
      </c>
      <c r="BP525">
        <f>IF($H525="","",MAX(1,MIN(5,((6-$H525)*0.45)+($BJ525*0.2)+('Resilience &amp; Risk Scenario'!$B$7*0.15)+($BK525*0.1)+($BL525*0.05)+(IF($BB525="Fast",5,IF($BB525="Slow",1,3))*0.05))))</f>
        <v>3.6</v>
      </c>
      <c r="BQ525">
        <f t="shared" si="45"/>
        <v>4.1500000000000004</v>
      </c>
      <c r="BR525">
        <f t="shared" si="46"/>
        <v>14.94</v>
      </c>
      <c r="BS525">
        <f t="shared" si="47"/>
        <v>14.94</v>
      </c>
      <c r="BT525" t="str">
        <f>IFERROR(INDEX(_REF_Capability_Bridge!$D:$D,MATCH($C525&amp;"|"&amp;$D525,_REF_Capability_Bridge!$J:$J,0)),IFERROR(INDEX(_REF_Capability_Bridge!$D:$D,MATCH($C525&amp;"|",_REF_Capability_Bridge!$J:$J,0)),"CAP_GENERIC"))</f>
        <v>CAP_POS_ECOMMERCE</v>
      </c>
      <c r="BU525">
        <f>IFERROR(IFERROR(INDEX(_ENGINE_Relevance!$L:$L,MATCH($BT525,_ENGINE_Relevance!$B:$B,0)),1),1)</f>
        <v>1</v>
      </c>
      <c r="BV525" t="str">
        <f>IFERROR(INDEX(_REF_Capability_Bridge!$A:$A,MATCH($C525&amp;"|"&amp;$D525,_REF_Capability_Bridge!$J:$J,0)),IFERROR(INDEX(_REF_Capability_Bridge!$A:$A,MATCH($C525&amp;"|",_REF_Capability_Bridge!$J:$J,0)),"No bridge"))</f>
        <v>BRG-086</v>
      </c>
      <c r="BW525" t="str">
        <f t="shared" si="48"/>
        <v>Capability relevance neutral</v>
      </c>
      <c r="BX525" t="str">
        <f t="shared" si="49"/>
        <v>Initial / absent</v>
      </c>
      <c r="BY525" t="str">
        <f>IF($E525="","",IFERROR(INDEX(_REF_Treatment_Library!$A$2:$A$296,MATCH(1,INDEX((_REF_Treatment_Library!$B$2:$B$296=$BT525)*(_REF_Treatment_Library!$C$2:$C$296=PV_Canonical_Industry)*(_REF_Treatment_Library!$E$2:$E$296&lt;=N($H525))*(_REF_Treatment_Library!$F$2:$F$296&gt;=N($H525))*(_REF_Treatment_Library!$O$2:$O$296="Yes"),0),0)),IFERROR(INDEX(_REF_Treatment_Library!$A$2:$A$296,MATCH(1,INDEX((_REF_Treatment_Library!$B$2:$B$296=$BT525)*(_REF_Treatment_Library!$C$2:$C$296="All")*(_REF_Treatment_Library!$E$2:$E$296&lt;=N($H525))*(_REF_Treatment_Library!$F$2:$F$296&gt;=N($H525))*(_REF_Treatment_Library!$O$2:$O$296="Yes"),0),0)),"")))</f>
        <v>TRT-POS_ECOMMERCE-INITIAL</v>
      </c>
      <c r="BZ525" t="str">
        <f>IF($BY525="","",IFERROR(INDEX(_REF_Treatment_Library!$H$2:$H$296,MATCH($BY525,_REF_Treatment_Library!$A$2:$A$296,0)),""))</f>
        <v>Establish</v>
      </c>
      <c r="CA525" t="str">
        <f>IF($BY525="","",IFERROR(INDEX(_REF_Treatment_Library!$I$2:$I$296,MATCH($BY525,_REF_Treatment_Library!$A$2:$A$296,0)),""))</f>
        <v>Establish baseline controls for POS / ecommerce</v>
      </c>
      <c r="CB525" t="str">
        <f>IF($BY525="","",IFERROR(INDEX(_REF_Treatment_Library!$K$2:$K$296,MATCH($BY525,_REF_Treatment_Library!$A$2:$A$296,0)),""))</f>
        <v>Named owner, baseline process, minimum control checklist, first evidence package</v>
      </c>
      <c r="CC525" t="str">
        <f>IF($BY525="","",IFERROR(INDEX(_REF_Treatment_Library!$L$2:$L$296,MATCH($BY525,_REF_Treatment_Library!$A$2:$A$296,0)),""))</f>
        <v>Owner assigned; baseline evidence coverage; open critical gaps</v>
      </c>
      <c r="CD525" t="str">
        <f t="shared" si="50"/>
        <v>Treatment by capability=CAP_POS_ECOMMERCE; band=Initial / absent; score=0.0; treatment=Establish</v>
      </c>
      <c r="CE525" t="str">
        <f>IF($E525="","",IFERROR(INDEX(_REF_Industry_Wording!$A$2:$A$70,MATCH(1,INDEX((_REF_Industry_Wording!$B$2:$B$70=$BT525)*(_REF_Industry_Wording!$C$2:$C$70=PV_Canonical_Industry)*(_REF_Industry_Wording!$K$2:$K$70="Yes"),0),0)),IFERROR(INDEX(_REF_Industry_Wording!$A$2:$A$70,MATCH(1,INDEX((_REF_Industry_Wording!$B$2:$B$70=$BT525)*(_REF_Industry_Wording!$C$2:$C$70="All")*(_REF_Industry_Wording!$K$2:$K$70="Yes"),0),0)),"")))</f>
        <v>IW-ALL-POS_ECOMMERCE</v>
      </c>
      <c r="CF525" t="str">
        <f>IF($CE525="","",IFERROR(INDEX(_REF_Industry_Wording!$E$2:$E$70,MATCH($CE525,_REF_Industry_Wording!$A$2:$A$70,0)),""))</f>
        <v>POS / ecommerce weakness</v>
      </c>
      <c r="CG525" t="str">
        <f>IF($CE525="","",IFERROR(INDEX(_REF_Industry_Wording!$F$2:$F$70,MATCH($CE525,_REF_Industry_Wording!$A$2:$A$70,0)),""))</f>
        <v>Strengthen POS / ecommerce</v>
      </c>
      <c r="CH525" t="str">
        <f>IF($CE525="","",IFERROR(INDEX(_REF_Industry_Wording!$G$2:$G$70,MATCH($CE525,_REF_Industry_Wording!$A$2:$A$70,0)),""))</f>
        <v>Strengthen POS / ecommerce using the selected maturity treatment, crisis scenario and evidence requirements.</v>
      </c>
      <c r="CI525" t="str">
        <f>IF($CE525="","",IFERROR(INDEX(_REF_Industry_Wording!$H$2:$H$70,MATCH($CE525,_REF_Industry_Wording!$A$2:$A$70,0)),""))</f>
        <v>POS / ecommerce</v>
      </c>
      <c r="CJ525">
        <f>IF($CE525="","",IFERROR(INDEX(_REF_Industry_Wording!$I$2:$I$70,MATCH($CE525,_REF_Industry_Wording!$A$2:$A$70,0)),""))</f>
        <v>0</v>
      </c>
      <c r="CK525" t="str">
        <f>IF($CE525="","",IFERROR(INDEX(_REF_Industry_Wording!$J$2:$J$70,MATCH($CE525,_REF_Industry_Wording!$A$2:$A$70,0)),""))</f>
        <v>POS / ecommerce</v>
      </c>
      <c r="CL525" t="str">
        <f t="shared" si="51"/>
        <v>Wording by industry=0; capability=CAP_POS_ECOMMERCE; risk label=POS / ecommerce weakness</v>
      </c>
      <c r="CM525" t="str">
        <f t="shared" si="52"/>
        <v>RISK-ONT-0026</v>
      </c>
      <c r="CN525" t="str">
        <f t="shared" si="53"/>
        <v>RISK-EVT-0026</v>
      </c>
      <c r="CO525" t="str">
        <f t="shared" si="54"/>
        <v>Strategy GTM|Market and ICP|STRA-007|CAP_POS_ECOMMERCE</v>
      </c>
      <c r="CP525" t="str">
        <f t="shared" si="55"/>
        <v>Active</v>
      </c>
      <c r="CQ525" t="str">
        <f t="shared" si="56"/>
        <v>OK: capability-driven</v>
      </c>
      <c r="CR525" t="str">
        <f t="shared" si="57"/>
        <v>Risk ontology uses capability=CAP_POS_ECOMMERCE; bridge=BRG-086; treatment=TRT-POS_ECOMMERCE-INITIAL; wording=IW-ALL-POS_ECOMMERCE</v>
      </c>
      <c r="CS525" t="str">
        <f t="shared" si="58"/>
        <v>Yes</v>
      </c>
    </row>
    <row r="526" spans="1:97" ht="69.900000000000006" customHeight="1">
      <c r="A526">
        <f>IF(OR($B526&lt;&gt;"Yes",$BS526=""),"",SUMPRODUCT(($B$500:$B$923="Yes")*ISNUMBER($BS$500:$BS$923)*($BS$500:$BS$923&gt;$BS526))+COUNTIFS($B$500:$B526,"Yes",$BS$500:$BS526,$BS526))</f>
        <v>349</v>
      </c>
      <c r="B526" t="str">
        <f t="shared" si="21"/>
        <v>Yes</v>
      </c>
      <c r="C526" t="s">
        <v>949</v>
      </c>
      <c r="D526" t="s">
        <v>972</v>
      </c>
      <c r="E526" t="s">
        <v>1009</v>
      </c>
      <c r="F526" t="s">
        <v>3680</v>
      </c>
      <c r="G526" t="str">
        <f>IF($H526="","",IFERROR(INDEX(_ENGINE_Risk!$H$5:$M$499,MATCH($E526,_ENGINE_Risk!$A$5:$A$499,0),$H526+1),""))</f>
        <v>Severe risk: buyer personas covering economic buyer, technical buyer, user, influencer and blocker is not reliably controlled. During Demand shock; Financial / liquidity shock; Reputation crisis, the organization may face weak crisis positioning, poor prioritization of segments, revenue leakage and inability to adapt the offering with limited visibility or accountability.</v>
      </c>
      <c r="H526">
        <f>IFERROR(VALUE(INDEX(_DATA_Assessment_Model!$H$5:$H$884,MATCH($E526,_DATA_Assessment_Model!$A$5:$A$884,0))),"")</f>
        <v>0</v>
      </c>
      <c r="I526" t="str">
        <f>IF($H526="","",IFERROR(INDEX(_DATA_Assessment_Model!$L$5:$L$884,MATCH($E526,_DATA_Assessment_Model!$A$5:$A$884,0)),IF($H526&lt;=1,"Critical",IF($H526=2,"High",IF($H526=3,"Medium",IF($H526=4,"Low","Resilient"))))))</f>
        <v>Critical</v>
      </c>
      <c r="J526">
        <f t="shared" si="22"/>
        <v>3.6</v>
      </c>
      <c r="K526">
        <f t="shared" si="23"/>
        <v>3.95</v>
      </c>
      <c r="L526">
        <f t="shared" si="24"/>
        <v>14.22</v>
      </c>
      <c r="M526">
        <f t="shared" si="25"/>
        <v>3</v>
      </c>
      <c r="N526">
        <f>IF($H526="","",IFERROR(INDEX(_ENGINE_Risk!$T$5:$Y$499,MATCH($E526,_ENGINE_Risk!$A$5:$A$499,0),$H526+1),""))</f>
        <v>3</v>
      </c>
      <c r="O526">
        <f t="shared" si="26"/>
        <v>4</v>
      </c>
      <c r="P526">
        <f t="shared" si="27"/>
        <v>5</v>
      </c>
      <c r="Q526">
        <f t="shared" si="28"/>
        <v>5</v>
      </c>
      <c r="R526">
        <f t="shared" si="29"/>
        <v>4.5</v>
      </c>
      <c r="S526">
        <f t="shared" si="30"/>
        <v>1.54</v>
      </c>
      <c r="T526" t="str">
        <f>IF($H526="","",IFERROR(INDEX(_ENGINE_Risk!$N$5:$S$499,MATCH($E526,_ENGINE_Risk!$A$5:$A$499,0),$H526+1),""))</f>
        <v>Create an immediate risk owner, minimum control baseline and fallback procedure for buyer personas covering economic buyer, technical buyer, user, influencer and blocker. Add it to the crisis risk register and collect first evidence.</v>
      </c>
      <c r="U526">
        <f>IFERROR(INDEX(_DATA_Assessment_Model!$G$5:$G$884,MATCH($E526,_DATA_Assessment_Model!$A$5:$A$884,0)),"")</f>
        <v>3</v>
      </c>
      <c r="V526">
        <f>IFERROR(INDEX(_DATA_Assessment_Model!$W$5:$W$884,MATCH($E526,_DATA_Assessment_Model!$A$5:$A$884,0)),"")</f>
        <v>4</v>
      </c>
      <c r="W526">
        <f>IFERROR(INDEX(_DATA_Assessment_Model!$X$5:$X$884,MATCH($E526,_DATA_Assessment_Model!$A$5:$A$884,0)),"")</f>
        <v>5</v>
      </c>
      <c r="X526">
        <f>IFERROR(INDEX(_DATA_Assessment_Model!$Y$5:$Y$884,MATCH($E526,_DATA_Assessment_Model!$A$5:$A$884,0)),"")</f>
        <v>5</v>
      </c>
      <c r="Y526" t="s">
        <v>962</v>
      </c>
      <c r="Z526" t="s">
        <v>4860</v>
      </c>
      <c r="AA526" t="s">
        <v>1011</v>
      </c>
      <c r="AB526">
        <f>IFERROR(INDEX(_DATA_Assessment_Model!$U$5:$U$884,MATCH($E526,_DATA_Assessment_Model!$A$5:$A$884,0)),"")</f>
        <v>0</v>
      </c>
      <c r="AF526" t="s">
        <v>1010</v>
      </c>
      <c r="AO526">
        <f>IF($B526="Yes",IF(IFERROR(INDEX(_ENGINE_Crisis!$F$501:$F$517,MATCH($C526,_ENGINE_Crisis!$A$501:$A$517,0)),1)=0,1,IFERROR(INDEX(_ENGINE_Crisis!$F$501:$F$517,MATCH($C526,_ENGINE_Crisis!$A$501:$A$517,0)),1)),"")</f>
        <v>1</v>
      </c>
      <c r="AP526">
        <f t="shared" si="37"/>
        <v>14.2</v>
      </c>
      <c r="AQ526">
        <f t="shared" si="38"/>
        <v>1.54</v>
      </c>
      <c r="AR526" t="str">
        <f>IFERROR(INDEX(_ENGINE_Crisis!$E$41:$E$700,MATCH('Resilience &amp; Risk Scenario'!$B$6&amp;"|"&amp;$C526,_ENGINE_Crisis!$I$41:$I$700,0)),"")</f>
        <v/>
      </c>
      <c r="AS526" t="str">
        <f>IFERROR(INDEX(_ENGINE_Crisis!$G$41:$G$700,MATCH('Resilience &amp; Risk Scenario'!$B$6&amp;"|"&amp;$C526,_ENGINE_Crisis!$I$41:$I$700,0)),"")</f>
        <v/>
      </c>
      <c r="AT526" t="str">
        <f>IFERROR(INDEX(_ENGINE_Initiatives!$A$5:$A$532,MATCH(1,INDEX((_ENGINE_Initiatives!$B$5:$B$532=$C526)*(_ENGINE_Initiatives!$C$5:$C$532=$D526),0),0)),"")</f>
        <v>INI-005</v>
      </c>
      <c r="AU526" t="str">
        <f>IFERROR(INDEX(_ENGINE_Initiatives!$F$5:$F$532,MATCH(1,INDEX((_ENGINE_Initiatives!$B$5:$B$532=$C526)*(_ENGINE_Initiatives!$C$5:$C$532=$D526),0),0)),"")</f>
        <v>Define crisis-adjusted ICP, market segments and demand exposure</v>
      </c>
      <c r="AV526">
        <f>IFERROR(INDEX(_ENGINE_Initiatives!$AC$5:$AC$532,MATCH(1,INDEX((_ENGINE_Initiatives!$B$5:$B$532=$C526)*(_ENGINE_Initiatives!$C$5:$C$532=$D526),0),0)),"")</f>
        <v>1.71</v>
      </c>
      <c r="AW526" t="str">
        <f>IFERROR(INDEX(_ENGINE_Initiatives!$AE$5:$AE$532,MATCH(1,INDEX((_ENGINE_Initiatives!$B$5:$B$532=$C526)*(_ENGINE_Initiatives!$C$5:$C$532=$D526),0),0)),"")</f>
        <v>6-12 months</v>
      </c>
      <c r="AX526">
        <f>IF($B526="Yes",IFERROR((IF(SUMIFS(_REF_Model_Content!$E$1:$E$613,_REF_Model_Content!$A$1:$A$613,PV_Canonical_Industry,_REF_Model_Content!$B$1:$B$613,$C526)=0,1,SUMIFS(_REF_Model_Content!$E$1:$E$613,_REF_Model_Content!$A$1:$A$613,PV_Canonical_Industry,_REF_Model_Content!$B$1:$B$613,$C526))*IFERROR($BU526,1)),1),"")</f>
        <v>1</v>
      </c>
      <c r="AY526">
        <f t="shared" si="39"/>
        <v>14.2</v>
      </c>
      <c r="AZ526">
        <f t="shared" si="40"/>
        <v>1.54</v>
      </c>
      <c r="BB526" t="str">
        <f>IF($H526="","",IFERROR(INDEX(_ENGINE_Risk!$AE$5:$AE$499,MATCH($E526,_ENGINE_Risk!$A$5:$A$499,0)),"Medium"))</f>
        <v>Medium</v>
      </c>
      <c r="BC526">
        <f t="shared" si="41"/>
        <v>1</v>
      </c>
      <c r="BD526">
        <f t="shared" si="42"/>
        <v>1.54</v>
      </c>
      <c r="BF526">
        <f>IF(OR($H526="",$J526=""),"",IFERROR(VLOOKUP(ROUND($J526,0),_CONFIG_Model_Settings!$D$154:$E$158,2,0),""))</f>
        <v>0.5</v>
      </c>
      <c r="BG526">
        <f>IFERROR(IF(OR($H526="",$K526=""),"",ROUND('Company Profile'!$B$113*INDEX(_CONFIG_Model_Settings!$H$154:$H$158,MATCH(ROUND($K526,0),_CONFIG_Model_Settings!$G$154:$G$158,0)),0)),0)</f>
        <v>875</v>
      </c>
      <c r="BH526">
        <f t="shared" si="43"/>
        <v>437.5</v>
      </c>
      <c r="BI526">
        <f t="shared" si="44"/>
        <v>437.5</v>
      </c>
      <c r="BJ526">
        <f>IF($E526="","",IFERROR(VLOOKUP($C526,_CONFIG_Risk_Calibration!$A$5:$H$21,2,FALSE),3))</f>
        <v>3</v>
      </c>
      <c r="BK526">
        <f>IF($E526="","",IFERROR(VLOOKUP($C526,_CONFIG_Risk_Calibration!$A$5:$H$21,3,FALSE),0))</f>
        <v>0</v>
      </c>
      <c r="BL526">
        <f>IF($E526="","",IFERROR(VLOOKUP($C526,_CONFIG_Risk_Calibration!$A$5:$H$21,4,FALSE),3))</f>
        <v>3</v>
      </c>
      <c r="BM526">
        <f>IF($E526="","",IFERROR(VLOOKUP($C526,_CONFIG_Risk_Calibration!$A$5:$H$21,5,FALSE),3))</f>
        <v>3</v>
      </c>
      <c r="BN526" t="str">
        <f>IF($E526="","",IFERROR(VLOOKUP($C526,_CONFIG_Risk_Calibration!$A$5:$H$21,6,FALSE),"No"))</f>
        <v>No</v>
      </c>
      <c r="BO526">
        <f>IF($E526="","",IFERROR(VLOOKUP($C526,_CONFIG_Risk_Calibration!$A$5:$H$21,7,FALSE),1))</f>
        <v>1</v>
      </c>
      <c r="BP526">
        <f>IF($H526="","",MAX(1,MIN(5,((6-$H526)*0.45)+($BJ526*0.2)+('Resilience &amp; Risk Scenario'!$B$7*0.15)+($BK526*0.1)+($BL526*0.05)+(IF($BB526="Fast",5,IF($BB526="Slow",1,3))*0.05))))</f>
        <v>3.6</v>
      </c>
      <c r="BQ526">
        <f t="shared" si="45"/>
        <v>3.95</v>
      </c>
      <c r="BR526">
        <f t="shared" si="46"/>
        <v>14.22</v>
      </c>
      <c r="BS526">
        <f t="shared" si="47"/>
        <v>14.22</v>
      </c>
      <c r="BT526" t="str">
        <f>IFERROR(INDEX(_REF_Capability_Bridge!$D:$D,MATCH($C526&amp;"|"&amp;$D526,_REF_Capability_Bridge!$J:$J,0)),IFERROR(INDEX(_REF_Capability_Bridge!$D:$D,MATCH($C526&amp;"|",_REF_Capability_Bridge!$J:$J,0)),"CAP_GENERIC"))</f>
        <v>CAP_POS_ECOMMERCE</v>
      </c>
      <c r="BU526">
        <f>IFERROR(IFERROR(INDEX(_ENGINE_Relevance!$L:$L,MATCH($BT526,_ENGINE_Relevance!$B:$B,0)),1),1)</f>
        <v>1</v>
      </c>
      <c r="BV526" t="str">
        <f>IFERROR(INDEX(_REF_Capability_Bridge!$A:$A,MATCH($C526&amp;"|"&amp;$D526,_REF_Capability_Bridge!$J:$J,0)),IFERROR(INDEX(_REF_Capability_Bridge!$A:$A,MATCH($C526&amp;"|",_REF_Capability_Bridge!$J:$J,0)),"No bridge"))</f>
        <v>BRG-086</v>
      </c>
      <c r="BW526" t="str">
        <f t="shared" si="48"/>
        <v>Capability relevance neutral</v>
      </c>
      <c r="BX526" t="str">
        <f t="shared" si="49"/>
        <v>Initial / absent</v>
      </c>
      <c r="BY526" t="str">
        <f>IF($E526="","",IFERROR(INDEX(_REF_Treatment_Library!$A$2:$A$296,MATCH(1,INDEX((_REF_Treatment_Library!$B$2:$B$296=$BT526)*(_REF_Treatment_Library!$C$2:$C$296=PV_Canonical_Industry)*(_REF_Treatment_Library!$E$2:$E$296&lt;=N($H526))*(_REF_Treatment_Library!$F$2:$F$296&gt;=N($H526))*(_REF_Treatment_Library!$O$2:$O$296="Yes"),0),0)),IFERROR(INDEX(_REF_Treatment_Library!$A$2:$A$296,MATCH(1,INDEX((_REF_Treatment_Library!$B$2:$B$296=$BT526)*(_REF_Treatment_Library!$C$2:$C$296="All")*(_REF_Treatment_Library!$E$2:$E$296&lt;=N($H526))*(_REF_Treatment_Library!$F$2:$F$296&gt;=N($H526))*(_REF_Treatment_Library!$O$2:$O$296="Yes"),0),0)),"")))</f>
        <v>TRT-POS_ECOMMERCE-INITIAL</v>
      </c>
      <c r="BZ526" t="str">
        <f>IF($BY526="","",IFERROR(INDEX(_REF_Treatment_Library!$H$2:$H$296,MATCH($BY526,_REF_Treatment_Library!$A$2:$A$296,0)),""))</f>
        <v>Establish</v>
      </c>
      <c r="CA526" t="str">
        <f>IF($BY526="","",IFERROR(INDEX(_REF_Treatment_Library!$I$2:$I$296,MATCH($BY526,_REF_Treatment_Library!$A$2:$A$296,0)),""))</f>
        <v>Establish baseline controls for POS / ecommerce</v>
      </c>
      <c r="CB526" t="str">
        <f>IF($BY526="","",IFERROR(INDEX(_REF_Treatment_Library!$K$2:$K$296,MATCH($BY526,_REF_Treatment_Library!$A$2:$A$296,0)),""))</f>
        <v>Named owner, baseline process, minimum control checklist, first evidence package</v>
      </c>
      <c r="CC526" t="str">
        <f>IF($BY526="","",IFERROR(INDEX(_REF_Treatment_Library!$L$2:$L$296,MATCH($BY526,_REF_Treatment_Library!$A$2:$A$296,0)),""))</f>
        <v>Owner assigned; baseline evidence coverage; open critical gaps</v>
      </c>
      <c r="CD526" t="str">
        <f t="shared" si="50"/>
        <v>Treatment by capability=CAP_POS_ECOMMERCE; band=Initial / absent; score=0.0; treatment=Establish</v>
      </c>
      <c r="CE526" t="str">
        <f>IF($E526="","",IFERROR(INDEX(_REF_Industry_Wording!$A$2:$A$70,MATCH(1,INDEX((_REF_Industry_Wording!$B$2:$B$70=$BT526)*(_REF_Industry_Wording!$C$2:$C$70=PV_Canonical_Industry)*(_REF_Industry_Wording!$K$2:$K$70="Yes"),0),0)),IFERROR(INDEX(_REF_Industry_Wording!$A$2:$A$70,MATCH(1,INDEX((_REF_Industry_Wording!$B$2:$B$70=$BT526)*(_REF_Industry_Wording!$C$2:$C$70="All")*(_REF_Industry_Wording!$K$2:$K$70="Yes"),0),0)),"")))</f>
        <v>IW-ALL-POS_ECOMMERCE</v>
      </c>
      <c r="CF526" t="str">
        <f>IF($CE526="","",IFERROR(INDEX(_REF_Industry_Wording!$E$2:$E$70,MATCH($CE526,_REF_Industry_Wording!$A$2:$A$70,0)),""))</f>
        <v>POS / ecommerce weakness</v>
      </c>
      <c r="CG526" t="str">
        <f>IF($CE526="","",IFERROR(INDEX(_REF_Industry_Wording!$F$2:$F$70,MATCH($CE526,_REF_Industry_Wording!$A$2:$A$70,0)),""))</f>
        <v>Strengthen POS / ecommerce</v>
      </c>
      <c r="CH526" t="str">
        <f>IF($CE526="","",IFERROR(INDEX(_REF_Industry_Wording!$G$2:$G$70,MATCH($CE526,_REF_Industry_Wording!$A$2:$A$70,0)),""))</f>
        <v>Strengthen POS / ecommerce using the selected maturity treatment, crisis scenario and evidence requirements.</v>
      </c>
      <c r="CI526" t="str">
        <f>IF($CE526="","",IFERROR(INDEX(_REF_Industry_Wording!$H$2:$H$70,MATCH($CE526,_REF_Industry_Wording!$A$2:$A$70,0)),""))</f>
        <v>POS / ecommerce</v>
      </c>
      <c r="CJ526">
        <f>IF($CE526="","",IFERROR(INDEX(_REF_Industry_Wording!$I$2:$I$70,MATCH($CE526,_REF_Industry_Wording!$A$2:$A$70,0)),""))</f>
        <v>0</v>
      </c>
      <c r="CK526" t="str">
        <f>IF($CE526="","",IFERROR(INDEX(_REF_Industry_Wording!$J$2:$J$70,MATCH($CE526,_REF_Industry_Wording!$A$2:$A$70,0)),""))</f>
        <v>POS / ecommerce</v>
      </c>
      <c r="CL526" t="str">
        <f t="shared" si="51"/>
        <v>Wording by industry=0; capability=CAP_POS_ECOMMERCE; risk label=POS / ecommerce weakness</v>
      </c>
      <c r="CM526" t="str">
        <f t="shared" si="52"/>
        <v>RISK-ONT-0027</v>
      </c>
      <c r="CN526" t="str">
        <f t="shared" si="53"/>
        <v>RISK-EVT-0027</v>
      </c>
      <c r="CO526" t="str">
        <f t="shared" si="54"/>
        <v>Strategy GTM|Market and ICP|STRA-008|CAP_POS_ECOMMERCE</v>
      </c>
      <c r="CP526" t="str">
        <f t="shared" si="55"/>
        <v>Active</v>
      </c>
      <c r="CQ526" t="str">
        <f t="shared" si="56"/>
        <v>OK: capability-driven</v>
      </c>
      <c r="CR526" t="str">
        <f t="shared" si="57"/>
        <v>Risk ontology uses capability=CAP_POS_ECOMMERCE; bridge=BRG-086; treatment=TRT-POS_ECOMMERCE-INITIAL; wording=IW-ALL-POS_ECOMMERCE</v>
      </c>
      <c r="CS526" t="str">
        <f t="shared" si="58"/>
        <v>Yes</v>
      </c>
    </row>
    <row r="527" spans="1:97" ht="69.900000000000006" customHeight="1">
      <c r="A527">
        <f>IF(OR($B527&lt;&gt;"Yes",$BS527=""),"",SUMPRODUCT(($B$500:$B$923="Yes")*ISNUMBER($BS$500:$BS$923)*($BS$500:$BS$923&gt;$BS527))+COUNTIFS($B$500:$B527,"Yes",$BS$500:$BS527,$BS527))</f>
        <v>340</v>
      </c>
      <c r="B527" t="str">
        <f t="shared" si="21"/>
        <v>Yes</v>
      </c>
      <c r="C527" t="s">
        <v>949</v>
      </c>
      <c r="D527" t="s">
        <v>972</v>
      </c>
      <c r="E527" t="s">
        <v>1018</v>
      </c>
      <c r="F527" t="s">
        <v>3680</v>
      </c>
      <c r="G527" t="str">
        <f>IF($H527="","",IFERROR(INDEX(_ENGINE_Risk!$H$5:$M$499,MATCH($E527,_ENGINE_Risk!$A$5:$A$499,0),$H527+1),""))</f>
        <v>Severe risk: validated customer problems, jobs-to-be-done, urgency triggers and willingness to pay is not reliably controlled. During Demand shock; Financial / liquidity shock; Reputation crisis, the organization may face weak crisis positioning, poor prioritization of segments, revenue leakage and inability to adapt the offering with limited visibility or accountability.</v>
      </c>
      <c r="H527">
        <f>IFERROR(VALUE(INDEX(_DATA_Assessment_Model!$H$5:$H$884,MATCH($E527,_DATA_Assessment_Model!$A$5:$A$884,0))),"")</f>
        <v>0</v>
      </c>
      <c r="I527" t="str">
        <f>IF($H527="","",IFERROR(INDEX(_DATA_Assessment_Model!$L$5:$L$884,MATCH($E527,_DATA_Assessment_Model!$A$5:$A$884,0)),IF($H527&lt;=1,"Critical",IF($H527=2,"High",IF($H527=3,"Medium",IF($H527=4,"Low","Resilient"))))))</f>
        <v>Critical</v>
      </c>
      <c r="J527">
        <f t="shared" si="22"/>
        <v>3.6</v>
      </c>
      <c r="K527">
        <f t="shared" si="23"/>
        <v>4.1500000000000004</v>
      </c>
      <c r="L527">
        <f t="shared" si="24"/>
        <v>14.940000000000001</v>
      </c>
      <c r="M527">
        <f t="shared" si="25"/>
        <v>3</v>
      </c>
      <c r="N527">
        <f>IF($H527="","",IFERROR(INDEX(_ENGINE_Risk!$T$5:$Y$499,MATCH($E527,_ENGINE_Risk!$A$5:$A$499,0),$H527+1),""))</f>
        <v>3</v>
      </c>
      <c r="O527">
        <f t="shared" si="26"/>
        <v>4.333333333333333</v>
      </c>
      <c r="P527">
        <f t="shared" si="27"/>
        <v>5</v>
      </c>
      <c r="Q527">
        <f t="shared" si="28"/>
        <v>5</v>
      </c>
      <c r="R527">
        <f t="shared" si="29"/>
        <v>4.5</v>
      </c>
      <c r="S527">
        <f t="shared" si="30"/>
        <v>1.57</v>
      </c>
      <c r="T527" t="str">
        <f>IF($H527="","",IFERROR(INDEX(_ENGINE_Risk!$N$5:$S$499,MATCH($E527,_ENGINE_Risk!$A$5:$A$499,0),$H527+1),""))</f>
        <v>Create an immediate risk owner, minimum control baseline and fallback procedure for validated customer problems, jobs-to-be-done, urgency triggers and willingness to pay. Add it to the crisis risk register and collect first evidence.</v>
      </c>
      <c r="U527">
        <f>IFERROR(INDEX(_DATA_Assessment_Model!$G$5:$G$884,MATCH($E527,_DATA_Assessment_Model!$A$5:$A$884,0)),"")</f>
        <v>4</v>
      </c>
      <c r="V527">
        <f>IFERROR(INDEX(_DATA_Assessment_Model!$W$5:$W$884,MATCH($E527,_DATA_Assessment_Model!$A$5:$A$884,0)),"")</f>
        <v>4</v>
      </c>
      <c r="W527">
        <f>IFERROR(INDEX(_DATA_Assessment_Model!$X$5:$X$884,MATCH($E527,_DATA_Assessment_Model!$A$5:$A$884,0)),"")</f>
        <v>5</v>
      </c>
      <c r="X527">
        <f>IFERROR(INDEX(_DATA_Assessment_Model!$Y$5:$Y$884,MATCH($E527,_DATA_Assessment_Model!$A$5:$A$884,0)),"")</f>
        <v>5</v>
      </c>
      <c r="Y527" t="s">
        <v>962</v>
      </c>
      <c r="Z527" t="s">
        <v>4860</v>
      </c>
      <c r="AA527" t="s">
        <v>1020</v>
      </c>
      <c r="AB527">
        <f>IFERROR(INDEX(_DATA_Assessment_Model!$U$5:$U$884,MATCH($E527,_DATA_Assessment_Model!$A$5:$A$884,0)),"")</f>
        <v>0</v>
      </c>
      <c r="AF527" t="s">
        <v>1019</v>
      </c>
      <c r="AO527">
        <f>IF($B527="Yes",IF(IFERROR(INDEX(_ENGINE_Crisis!$F$501:$F$517,MATCH($C527,_ENGINE_Crisis!$A$501:$A$517,0)),1)=0,1,IFERROR(INDEX(_ENGINE_Crisis!$F$501:$F$517,MATCH($C527,_ENGINE_Crisis!$A$501:$A$517,0)),1)),"")</f>
        <v>1</v>
      </c>
      <c r="AP527">
        <f t="shared" si="37"/>
        <v>14.9</v>
      </c>
      <c r="AQ527">
        <f t="shared" si="38"/>
        <v>1.57</v>
      </c>
      <c r="AR527" t="str">
        <f>IFERROR(INDEX(_ENGINE_Crisis!$E$41:$E$700,MATCH('Resilience &amp; Risk Scenario'!$B$6&amp;"|"&amp;$C527,_ENGINE_Crisis!$I$41:$I$700,0)),"")</f>
        <v/>
      </c>
      <c r="AS527" t="str">
        <f>IFERROR(INDEX(_ENGINE_Crisis!$G$41:$G$700,MATCH('Resilience &amp; Risk Scenario'!$B$6&amp;"|"&amp;$C527,_ENGINE_Crisis!$I$41:$I$700,0)),"")</f>
        <v/>
      </c>
      <c r="AT527" t="str">
        <f>IFERROR(INDEX(_ENGINE_Initiatives!$A$5:$A$532,MATCH(1,INDEX((_ENGINE_Initiatives!$B$5:$B$532=$C527)*(_ENGINE_Initiatives!$C$5:$C$532=$D527),0),0)),"")</f>
        <v>INI-005</v>
      </c>
      <c r="AU527" t="str">
        <f>IFERROR(INDEX(_ENGINE_Initiatives!$F$5:$F$532,MATCH(1,INDEX((_ENGINE_Initiatives!$B$5:$B$532=$C527)*(_ENGINE_Initiatives!$C$5:$C$532=$D527),0),0)),"")</f>
        <v>Define crisis-adjusted ICP, market segments and demand exposure</v>
      </c>
      <c r="AV527">
        <f>IFERROR(INDEX(_ENGINE_Initiatives!$AC$5:$AC$532,MATCH(1,INDEX((_ENGINE_Initiatives!$B$5:$B$532=$C527)*(_ENGINE_Initiatives!$C$5:$C$532=$D527),0),0)),"")</f>
        <v>1.71</v>
      </c>
      <c r="AW527" t="str">
        <f>IFERROR(INDEX(_ENGINE_Initiatives!$AE$5:$AE$532,MATCH(1,INDEX((_ENGINE_Initiatives!$B$5:$B$532=$C527)*(_ENGINE_Initiatives!$C$5:$C$532=$D527),0),0)),"")</f>
        <v>6-12 months</v>
      </c>
      <c r="AX527">
        <f>IF($B527="Yes",IFERROR((IF(SUMIFS(_REF_Model_Content!$E$1:$E$613,_REF_Model_Content!$A$1:$A$613,PV_Canonical_Industry,_REF_Model_Content!$B$1:$B$613,$C527)=0,1,SUMIFS(_REF_Model_Content!$E$1:$E$613,_REF_Model_Content!$A$1:$A$613,PV_Canonical_Industry,_REF_Model_Content!$B$1:$B$613,$C527))*IFERROR($BU527,1)),1),"")</f>
        <v>1</v>
      </c>
      <c r="AY527">
        <f t="shared" si="39"/>
        <v>14.9</v>
      </c>
      <c r="AZ527">
        <f t="shared" si="40"/>
        <v>1.57</v>
      </c>
      <c r="BB527" t="str">
        <f>IF($H527="","",IFERROR(INDEX(_ENGINE_Risk!$AE$5:$AE$499,MATCH($E527,_ENGINE_Risk!$A$5:$A$499,0)),"Medium"))</f>
        <v>Medium</v>
      </c>
      <c r="BC527">
        <f t="shared" si="41"/>
        <v>1</v>
      </c>
      <c r="BD527">
        <f t="shared" si="42"/>
        <v>1.57</v>
      </c>
      <c r="BF527">
        <f>IF(OR($H527="",$J527=""),"",IFERROR(VLOOKUP(ROUND($J527,0),_CONFIG_Model_Settings!$D$154:$E$158,2,0),""))</f>
        <v>0.5</v>
      </c>
      <c r="BG527">
        <f>IFERROR(IF(OR($H527="",$K527=""),"",ROUND('Company Profile'!$B$113*INDEX(_CONFIG_Model_Settings!$H$154:$H$158,MATCH(ROUND($K527,0),_CONFIG_Model_Settings!$G$154:$G$158,0)),0)),0)</f>
        <v>875</v>
      </c>
      <c r="BH527">
        <f t="shared" si="43"/>
        <v>437.5</v>
      </c>
      <c r="BI527">
        <f t="shared" si="44"/>
        <v>437.5</v>
      </c>
      <c r="BJ527">
        <f>IF($E527="","",IFERROR(VLOOKUP($C527,_CONFIG_Risk_Calibration!$A$5:$H$21,2,FALSE),3))</f>
        <v>3</v>
      </c>
      <c r="BK527">
        <f>IF($E527="","",IFERROR(VLOOKUP($C527,_CONFIG_Risk_Calibration!$A$5:$H$21,3,FALSE),0))</f>
        <v>0</v>
      </c>
      <c r="BL527">
        <f>IF($E527="","",IFERROR(VLOOKUP($C527,_CONFIG_Risk_Calibration!$A$5:$H$21,4,FALSE),3))</f>
        <v>3</v>
      </c>
      <c r="BM527">
        <f>IF($E527="","",IFERROR(VLOOKUP($C527,_CONFIG_Risk_Calibration!$A$5:$H$21,5,FALSE),3))</f>
        <v>3</v>
      </c>
      <c r="BN527" t="str">
        <f>IF($E527="","",IFERROR(VLOOKUP($C527,_CONFIG_Risk_Calibration!$A$5:$H$21,6,FALSE),"No"))</f>
        <v>No</v>
      </c>
      <c r="BO527">
        <f>IF($E527="","",IFERROR(VLOOKUP($C527,_CONFIG_Risk_Calibration!$A$5:$H$21,7,FALSE),1))</f>
        <v>1</v>
      </c>
      <c r="BP527">
        <f>IF($H527="","",MAX(1,MIN(5,((6-$H527)*0.45)+($BJ527*0.2)+('Resilience &amp; Risk Scenario'!$B$7*0.15)+($BK527*0.1)+($BL527*0.05)+(IF($BB527="Fast",5,IF($BB527="Slow",1,3))*0.05))))</f>
        <v>3.6</v>
      </c>
      <c r="BQ527">
        <f t="shared" si="45"/>
        <v>4.1500000000000004</v>
      </c>
      <c r="BR527">
        <f t="shared" si="46"/>
        <v>14.94</v>
      </c>
      <c r="BS527">
        <f t="shared" si="47"/>
        <v>14.94</v>
      </c>
      <c r="BT527" t="str">
        <f>IFERROR(INDEX(_REF_Capability_Bridge!$D:$D,MATCH($C527&amp;"|"&amp;$D527,_REF_Capability_Bridge!$J:$J,0)),IFERROR(INDEX(_REF_Capability_Bridge!$D:$D,MATCH($C527&amp;"|",_REF_Capability_Bridge!$J:$J,0)),"CAP_GENERIC"))</f>
        <v>CAP_POS_ECOMMERCE</v>
      </c>
      <c r="BU527">
        <f>IFERROR(IFERROR(INDEX(_ENGINE_Relevance!$L:$L,MATCH($BT527,_ENGINE_Relevance!$B:$B,0)),1),1)</f>
        <v>1</v>
      </c>
      <c r="BV527" t="str">
        <f>IFERROR(INDEX(_REF_Capability_Bridge!$A:$A,MATCH($C527&amp;"|"&amp;$D527,_REF_Capability_Bridge!$J:$J,0)),IFERROR(INDEX(_REF_Capability_Bridge!$A:$A,MATCH($C527&amp;"|",_REF_Capability_Bridge!$J:$J,0)),"No bridge"))</f>
        <v>BRG-086</v>
      </c>
      <c r="BW527" t="str">
        <f t="shared" si="48"/>
        <v>Capability relevance neutral</v>
      </c>
      <c r="BX527" t="str">
        <f t="shared" si="49"/>
        <v>Initial / absent</v>
      </c>
      <c r="BY527" t="str">
        <f>IF($E527="","",IFERROR(INDEX(_REF_Treatment_Library!$A$2:$A$296,MATCH(1,INDEX((_REF_Treatment_Library!$B$2:$B$296=$BT527)*(_REF_Treatment_Library!$C$2:$C$296=PV_Canonical_Industry)*(_REF_Treatment_Library!$E$2:$E$296&lt;=N($H527))*(_REF_Treatment_Library!$F$2:$F$296&gt;=N($H527))*(_REF_Treatment_Library!$O$2:$O$296="Yes"),0),0)),IFERROR(INDEX(_REF_Treatment_Library!$A$2:$A$296,MATCH(1,INDEX((_REF_Treatment_Library!$B$2:$B$296=$BT527)*(_REF_Treatment_Library!$C$2:$C$296="All")*(_REF_Treatment_Library!$E$2:$E$296&lt;=N($H527))*(_REF_Treatment_Library!$F$2:$F$296&gt;=N($H527))*(_REF_Treatment_Library!$O$2:$O$296="Yes"),0),0)),"")))</f>
        <v>TRT-POS_ECOMMERCE-INITIAL</v>
      </c>
      <c r="BZ527" t="str">
        <f>IF($BY527="","",IFERROR(INDEX(_REF_Treatment_Library!$H$2:$H$296,MATCH($BY527,_REF_Treatment_Library!$A$2:$A$296,0)),""))</f>
        <v>Establish</v>
      </c>
      <c r="CA527" t="str">
        <f>IF($BY527="","",IFERROR(INDEX(_REF_Treatment_Library!$I$2:$I$296,MATCH($BY527,_REF_Treatment_Library!$A$2:$A$296,0)),""))</f>
        <v>Establish baseline controls for POS / ecommerce</v>
      </c>
      <c r="CB527" t="str">
        <f>IF($BY527="","",IFERROR(INDEX(_REF_Treatment_Library!$K$2:$K$296,MATCH($BY527,_REF_Treatment_Library!$A$2:$A$296,0)),""))</f>
        <v>Named owner, baseline process, minimum control checklist, first evidence package</v>
      </c>
      <c r="CC527" t="str">
        <f>IF($BY527="","",IFERROR(INDEX(_REF_Treatment_Library!$L$2:$L$296,MATCH($BY527,_REF_Treatment_Library!$A$2:$A$296,0)),""))</f>
        <v>Owner assigned; baseline evidence coverage; open critical gaps</v>
      </c>
      <c r="CD527" t="str">
        <f t="shared" si="50"/>
        <v>Treatment by capability=CAP_POS_ECOMMERCE; band=Initial / absent; score=0.0; treatment=Establish</v>
      </c>
      <c r="CE527" t="str">
        <f>IF($E527="","",IFERROR(INDEX(_REF_Industry_Wording!$A$2:$A$70,MATCH(1,INDEX((_REF_Industry_Wording!$B$2:$B$70=$BT527)*(_REF_Industry_Wording!$C$2:$C$70=PV_Canonical_Industry)*(_REF_Industry_Wording!$K$2:$K$70="Yes"),0),0)),IFERROR(INDEX(_REF_Industry_Wording!$A$2:$A$70,MATCH(1,INDEX((_REF_Industry_Wording!$B$2:$B$70=$BT527)*(_REF_Industry_Wording!$C$2:$C$70="All")*(_REF_Industry_Wording!$K$2:$K$70="Yes"),0),0)),"")))</f>
        <v>IW-ALL-POS_ECOMMERCE</v>
      </c>
      <c r="CF527" t="str">
        <f>IF($CE527="","",IFERROR(INDEX(_REF_Industry_Wording!$E$2:$E$70,MATCH($CE527,_REF_Industry_Wording!$A$2:$A$70,0)),""))</f>
        <v>POS / ecommerce weakness</v>
      </c>
      <c r="CG527" t="str">
        <f>IF($CE527="","",IFERROR(INDEX(_REF_Industry_Wording!$F$2:$F$70,MATCH($CE527,_REF_Industry_Wording!$A$2:$A$70,0)),""))</f>
        <v>Strengthen POS / ecommerce</v>
      </c>
      <c r="CH527" t="str">
        <f>IF($CE527="","",IFERROR(INDEX(_REF_Industry_Wording!$G$2:$G$70,MATCH($CE527,_REF_Industry_Wording!$A$2:$A$70,0)),""))</f>
        <v>Strengthen POS / ecommerce using the selected maturity treatment, crisis scenario and evidence requirements.</v>
      </c>
      <c r="CI527" t="str">
        <f>IF($CE527="","",IFERROR(INDEX(_REF_Industry_Wording!$H$2:$H$70,MATCH($CE527,_REF_Industry_Wording!$A$2:$A$70,0)),""))</f>
        <v>POS / ecommerce</v>
      </c>
      <c r="CJ527">
        <f>IF($CE527="","",IFERROR(INDEX(_REF_Industry_Wording!$I$2:$I$70,MATCH($CE527,_REF_Industry_Wording!$A$2:$A$70,0)),""))</f>
        <v>0</v>
      </c>
      <c r="CK527" t="str">
        <f>IF($CE527="","",IFERROR(INDEX(_REF_Industry_Wording!$J$2:$J$70,MATCH($CE527,_REF_Industry_Wording!$A$2:$A$70,0)),""))</f>
        <v>POS / ecommerce</v>
      </c>
      <c r="CL527" t="str">
        <f t="shared" si="51"/>
        <v>Wording by industry=0; capability=CAP_POS_ECOMMERCE; risk label=POS / ecommerce weakness</v>
      </c>
      <c r="CM527" t="str">
        <f t="shared" si="52"/>
        <v>RISK-ONT-0028</v>
      </c>
      <c r="CN527" t="str">
        <f t="shared" si="53"/>
        <v>RISK-EVT-0028</v>
      </c>
      <c r="CO527" t="str">
        <f t="shared" si="54"/>
        <v>Strategy GTM|Market and ICP|STRA-009|CAP_POS_ECOMMERCE</v>
      </c>
      <c r="CP527" t="str">
        <f t="shared" si="55"/>
        <v>Active</v>
      </c>
      <c r="CQ527" t="str">
        <f t="shared" si="56"/>
        <v>OK: capability-driven</v>
      </c>
      <c r="CR527" t="str">
        <f t="shared" si="57"/>
        <v>Risk ontology uses capability=CAP_POS_ECOMMERCE; bridge=BRG-086; treatment=TRT-POS_ECOMMERCE-INITIAL; wording=IW-ALL-POS_ECOMMERCE</v>
      </c>
      <c r="CS527" t="str">
        <f t="shared" si="58"/>
        <v>Yes</v>
      </c>
    </row>
    <row r="528" spans="1:97" ht="69.900000000000006" customHeight="1">
      <c r="A528">
        <f>IF(OR($B528&lt;&gt;"Yes",$BS528=""),"",SUMPRODUCT(($B$500:$B$923="Yes")*ISNUMBER($BS$500:$BS$923)*($BS$500:$BS$923&gt;$BS528))+COUNTIFS($B$500:$B528,"Yes",$BS$500:$BS528,$BS528))</f>
        <v>319</v>
      </c>
      <c r="B528" t="str">
        <f t="shared" si="21"/>
        <v>Yes</v>
      </c>
      <c r="C528" t="s">
        <v>949</v>
      </c>
      <c r="D528" t="s">
        <v>972</v>
      </c>
      <c r="E528" t="s">
        <v>1027</v>
      </c>
      <c r="F528" t="s">
        <v>3680</v>
      </c>
      <c r="G528" t="str">
        <f>IF($H528="","",IFERROR(INDEX(_ENGINE_Risk!$H$5:$M$499,MATCH($E528,_ENGINE_Risk!$A$5:$A$499,0),$H528+1),""))</f>
        <v>Severe risk: market segmentation by attractiveness, accessibility, profitability and crisis sensitivity is not reliably controlled. During Demand shock; Financial / liquidity shock; Reputation crisis, the organization may face weak crisis positioning, poor prioritization of segments, revenue leakage and inability to adapt the offering with limited visibility or accountability.</v>
      </c>
      <c r="H528">
        <f>IFERROR(VALUE(INDEX(_DATA_Assessment_Model!$H$5:$H$884,MATCH($E528,_DATA_Assessment_Model!$A$5:$A$884,0))),"")</f>
        <v>0</v>
      </c>
      <c r="I528" t="str">
        <f>IF($H528="","",IFERROR(INDEX(_DATA_Assessment_Model!$L$5:$L$884,MATCH($E528,_DATA_Assessment_Model!$A$5:$A$884,0)),IF($H528&lt;=1,"Critical",IF($H528=2,"High",IF($H528=3,"Medium",IF($H528=4,"Low","Resilient"))))))</f>
        <v>Critical</v>
      </c>
      <c r="J528">
        <f t="shared" si="22"/>
        <v>3.6</v>
      </c>
      <c r="K528">
        <f t="shared" si="23"/>
        <v>4.3500000000000005</v>
      </c>
      <c r="L528">
        <f t="shared" si="24"/>
        <v>15.660000000000002</v>
      </c>
      <c r="M528">
        <f t="shared" si="25"/>
        <v>4</v>
      </c>
      <c r="N528">
        <f>IF($H528="","",IFERROR(INDEX(_ENGINE_Risk!$T$5:$Y$499,MATCH($E528,_ENGINE_Risk!$A$5:$A$499,0),$H528+1),""))</f>
        <v>3</v>
      </c>
      <c r="O528">
        <f t="shared" si="26"/>
        <v>4.666666666666667</v>
      </c>
      <c r="P528">
        <f t="shared" si="27"/>
        <v>5</v>
      </c>
      <c r="Q528">
        <f t="shared" si="28"/>
        <v>5</v>
      </c>
      <c r="R528">
        <f t="shared" si="29"/>
        <v>4.5</v>
      </c>
      <c r="S528">
        <f t="shared" si="30"/>
        <v>1.6</v>
      </c>
      <c r="T528" t="str">
        <f>IF($H528="","",IFERROR(INDEX(_ENGINE_Risk!$N$5:$S$499,MATCH($E528,_ENGINE_Risk!$A$5:$A$499,0),$H528+1),""))</f>
        <v>Create an immediate risk owner, minimum control baseline and fallback procedure for market segmentation by attractiveness, accessibility, profitability and crisis sensitivity. Add it to the crisis risk register and collect first evidence.</v>
      </c>
      <c r="U528">
        <f>IFERROR(INDEX(_DATA_Assessment_Model!$G$5:$G$884,MATCH($E528,_DATA_Assessment_Model!$A$5:$A$884,0)),"")</f>
        <v>5</v>
      </c>
      <c r="V528">
        <f>IFERROR(INDEX(_DATA_Assessment_Model!$W$5:$W$884,MATCH($E528,_DATA_Assessment_Model!$A$5:$A$884,0)),"")</f>
        <v>4</v>
      </c>
      <c r="W528">
        <f>IFERROR(INDEX(_DATA_Assessment_Model!$X$5:$X$884,MATCH($E528,_DATA_Assessment_Model!$A$5:$A$884,0)),"")</f>
        <v>5</v>
      </c>
      <c r="X528">
        <f>IFERROR(INDEX(_DATA_Assessment_Model!$Y$5:$Y$884,MATCH($E528,_DATA_Assessment_Model!$A$5:$A$884,0)),"")</f>
        <v>5</v>
      </c>
      <c r="Y528" t="s">
        <v>962</v>
      </c>
      <c r="Z528" t="s">
        <v>4860</v>
      </c>
      <c r="AA528" t="s">
        <v>1029</v>
      </c>
      <c r="AB528">
        <f>IFERROR(INDEX(_DATA_Assessment_Model!$U$5:$U$884,MATCH($E528,_DATA_Assessment_Model!$A$5:$A$884,0)),"")</f>
        <v>0</v>
      </c>
      <c r="AF528" t="s">
        <v>1028</v>
      </c>
      <c r="AO528">
        <f>IF($B528="Yes",IF(IFERROR(INDEX(_ENGINE_Crisis!$F$501:$F$517,MATCH($C528,_ENGINE_Crisis!$A$501:$A$517,0)),1)=0,1,IFERROR(INDEX(_ENGINE_Crisis!$F$501:$F$517,MATCH($C528,_ENGINE_Crisis!$A$501:$A$517,0)),1)),"")</f>
        <v>1</v>
      </c>
      <c r="AP528">
        <f t="shared" si="37"/>
        <v>15.7</v>
      </c>
      <c r="AQ528">
        <f t="shared" si="38"/>
        <v>1.6</v>
      </c>
      <c r="AR528" t="str">
        <f>IFERROR(INDEX(_ENGINE_Crisis!$E$41:$E$700,MATCH('Resilience &amp; Risk Scenario'!$B$6&amp;"|"&amp;$C528,_ENGINE_Crisis!$I$41:$I$700,0)),"")</f>
        <v/>
      </c>
      <c r="AS528" t="str">
        <f>IFERROR(INDEX(_ENGINE_Crisis!$G$41:$G$700,MATCH('Resilience &amp; Risk Scenario'!$B$6&amp;"|"&amp;$C528,_ENGINE_Crisis!$I$41:$I$700,0)),"")</f>
        <v/>
      </c>
      <c r="AT528" t="str">
        <f>IFERROR(INDEX(_ENGINE_Initiatives!$A$5:$A$532,MATCH(1,INDEX((_ENGINE_Initiatives!$B$5:$B$532=$C528)*(_ENGINE_Initiatives!$C$5:$C$532=$D528),0),0)),"")</f>
        <v>INI-005</v>
      </c>
      <c r="AU528" t="str">
        <f>IFERROR(INDEX(_ENGINE_Initiatives!$F$5:$F$532,MATCH(1,INDEX((_ENGINE_Initiatives!$B$5:$B$532=$C528)*(_ENGINE_Initiatives!$C$5:$C$532=$D528),0),0)),"")</f>
        <v>Define crisis-adjusted ICP, market segments and demand exposure</v>
      </c>
      <c r="AV528">
        <f>IFERROR(INDEX(_ENGINE_Initiatives!$AC$5:$AC$532,MATCH(1,INDEX((_ENGINE_Initiatives!$B$5:$B$532=$C528)*(_ENGINE_Initiatives!$C$5:$C$532=$D528),0),0)),"")</f>
        <v>1.71</v>
      </c>
      <c r="AW528" t="str">
        <f>IFERROR(INDEX(_ENGINE_Initiatives!$AE$5:$AE$532,MATCH(1,INDEX((_ENGINE_Initiatives!$B$5:$B$532=$C528)*(_ENGINE_Initiatives!$C$5:$C$532=$D528),0),0)),"")</f>
        <v>6-12 months</v>
      </c>
      <c r="AX528">
        <f>IF($B528="Yes",IFERROR((IF(SUMIFS(_REF_Model_Content!$E$1:$E$613,_REF_Model_Content!$A$1:$A$613,PV_Canonical_Industry,_REF_Model_Content!$B$1:$B$613,$C528)=0,1,SUMIFS(_REF_Model_Content!$E$1:$E$613,_REF_Model_Content!$A$1:$A$613,PV_Canonical_Industry,_REF_Model_Content!$B$1:$B$613,$C528))*IFERROR($BU528,1)),1),"")</f>
        <v>1</v>
      </c>
      <c r="AY528">
        <f t="shared" si="39"/>
        <v>15.7</v>
      </c>
      <c r="AZ528">
        <f t="shared" si="40"/>
        <v>1.6</v>
      </c>
      <c r="BB528" t="str">
        <f>IF($H528="","",IFERROR(INDEX(_ENGINE_Risk!$AE$5:$AE$499,MATCH($E528,_ENGINE_Risk!$A$5:$A$499,0)),"Medium"))</f>
        <v>Medium</v>
      </c>
      <c r="BC528">
        <f t="shared" si="41"/>
        <v>1</v>
      </c>
      <c r="BD528">
        <f t="shared" si="42"/>
        <v>1.6</v>
      </c>
      <c r="BF528">
        <f>IF(OR($H528="",$J528=""),"",IFERROR(VLOOKUP(ROUND($J528,0),_CONFIG_Model_Settings!$D$154:$E$158,2,0),""))</f>
        <v>0.5</v>
      </c>
      <c r="BG528">
        <f>IFERROR(IF(OR($H528="",$K528=""),"",ROUND('Company Profile'!$B$113*INDEX(_CONFIG_Model_Settings!$H$154:$H$158,MATCH(ROUND($K528,0),_CONFIG_Model_Settings!$G$154:$G$158,0)),0)),0)</f>
        <v>875</v>
      </c>
      <c r="BH528">
        <f t="shared" si="43"/>
        <v>437.5</v>
      </c>
      <c r="BI528">
        <f t="shared" si="44"/>
        <v>437.5</v>
      </c>
      <c r="BJ528">
        <f>IF($E528="","",IFERROR(VLOOKUP($C528,_CONFIG_Risk_Calibration!$A$5:$H$21,2,FALSE),3))</f>
        <v>3</v>
      </c>
      <c r="BK528">
        <f>IF($E528="","",IFERROR(VLOOKUP($C528,_CONFIG_Risk_Calibration!$A$5:$H$21,3,FALSE),0))</f>
        <v>0</v>
      </c>
      <c r="BL528">
        <f>IF($E528="","",IFERROR(VLOOKUP($C528,_CONFIG_Risk_Calibration!$A$5:$H$21,4,FALSE),3))</f>
        <v>3</v>
      </c>
      <c r="BM528">
        <f>IF($E528="","",IFERROR(VLOOKUP($C528,_CONFIG_Risk_Calibration!$A$5:$H$21,5,FALSE),3))</f>
        <v>3</v>
      </c>
      <c r="BN528" t="str">
        <f>IF($E528="","",IFERROR(VLOOKUP($C528,_CONFIG_Risk_Calibration!$A$5:$H$21,6,FALSE),"No"))</f>
        <v>No</v>
      </c>
      <c r="BO528">
        <f>IF($E528="","",IFERROR(VLOOKUP($C528,_CONFIG_Risk_Calibration!$A$5:$H$21,7,FALSE),1))</f>
        <v>1</v>
      </c>
      <c r="BP528">
        <f>IF($H528="","",MAX(1,MIN(5,((6-$H528)*0.45)+($BJ528*0.2)+('Resilience &amp; Risk Scenario'!$B$7*0.15)+($BK528*0.1)+($BL528*0.05)+(IF($BB528="Fast",5,IF($BB528="Slow",1,3))*0.05))))</f>
        <v>3.6</v>
      </c>
      <c r="BQ528">
        <f t="shared" si="45"/>
        <v>4.3500000000000005</v>
      </c>
      <c r="BR528">
        <f t="shared" si="46"/>
        <v>15.66</v>
      </c>
      <c r="BS528">
        <f t="shared" si="47"/>
        <v>15.66</v>
      </c>
      <c r="BT528" t="str">
        <f>IFERROR(INDEX(_REF_Capability_Bridge!$D:$D,MATCH($C528&amp;"|"&amp;$D528,_REF_Capability_Bridge!$J:$J,0)),IFERROR(INDEX(_REF_Capability_Bridge!$D:$D,MATCH($C528&amp;"|",_REF_Capability_Bridge!$J:$J,0)),"CAP_GENERIC"))</f>
        <v>CAP_POS_ECOMMERCE</v>
      </c>
      <c r="BU528">
        <f>IFERROR(IFERROR(INDEX(_ENGINE_Relevance!$L:$L,MATCH($BT528,_ENGINE_Relevance!$B:$B,0)),1),1)</f>
        <v>1</v>
      </c>
      <c r="BV528" t="str">
        <f>IFERROR(INDEX(_REF_Capability_Bridge!$A:$A,MATCH($C528&amp;"|"&amp;$D528,_REF_Capability_Bridge!$J:$J,0)),IFERROR(INDEX(_REF_Capability_Bridge!$A:$A,MATCH($C528&amp;"|",_REF_Capability_Bridge!$J:$J,0)),"No bridge"))</f>
        <v>BRG-086</v>
      </c>
      <c r="BW528" t="str">
        <f t="shared" si="48"/>
        <v>Capability relevance neutral</v>
      </c>
      <c r="BX528" t="str">
        <f t="shared" si="49"/>
        <v>Initial / absent</v>
      </c>
      <c r="BY528" t="str">
        <f>IF($E528="","",IFERROR(INDEX(_REF_Treatment_Library!$A$2:$A$296,MATCH(1,INDEX((_REF_Treatment_Library!$B$2:$B$296=$BT528)*(_REF_Treatment_Library!$C$2:$C$296=PV_Canonical_Industry)*(_REF_Treatment_Library!$E$2:$E$296&lt;=N($H528))*(_REF_Treatment_Library!$F$2:$F$296&gt;=N($H528))*(_REF_Treatment_Library!$O$2:$O$296="Yes"),0),0)),IFERROR(INDEX(_REF_Treatment_Library!$A$2:$A$296,MATCH(1,INDEX((_REF_Treatment_Library!$B$2:$B$296=$BT528)*(_REF_Treatment_Library!$C$2:$C$296="All")*(_REF_Treatment_Library!$E$2:$E$296&lt;=N($H528))*(_REF_Treatment_Library!$F$2:$F$296&gt;=N($H528))*(_REF_Treatment_Library!$O$2:$O$296="Yes"),0),0)),"")))</f>
        <v>TRT-POS_ECOMMERCE-INITIAL</v>
      </c>
      <c r="BZ528" t="str">
        <f>IF($BY528="","",IFERROR(INDEX(_REF_Treatment_Library!$H$2:$H$296,MATCH($BY528,_REF_Treatment_Library!$A$2:$A$296,0)),""))</f>
        <v>Establish</v>
      </c>
      <c r="CA528" t="str">
        <f>IF($BY528="","",IFERROR(INDEX(_REF_Treatment_Library!$I$2:$I$296,MATCH($BY528,_REF_Treatment_Library!$A$2:$A$296,0)),""))</f>
        <v>Establish baseline controls for POS / ecommerce</v>
      </c>
      <c r="CB528" t="str">
        <f>IF($BY528="","",IFERROR(INDEX(_REF_Treatment_Library!$K$2:$K$296,MATCH($BY528,_REF_Treatment_Library!$A$2:$A$296,0)),""))</f>
        <v>Named owner, baseline process, minimum control checklist, first evidence package</v>
      </c>
      <c r="CC528" t="str">
        <f>IF($BY528="","",IFERROR(INDEX(_REF_Treatment_Library!$L$2:$L$296,MATCH($BY528,_REF_Treatment_Library!$A$2:$A$296,0)),""))</f>
        <v>Owner assigned; baseline evidence coverage; open critical gaps</v>
      </c>
      <c r="CD528" t="str">
        <f t="shared" si="50"/>
        <v>Treatment by capability=CAP_POS_ECOMMERCE; band=Initial / absent; score=0.0; treatment=Establish</v>
      </c>
      <c r="CE528" t="str">
        <f>IF($E528="","",IFERROR(INDEX(_REF_Industry_Wording!$A$2:$A$70,MATCH(1,INDEX((_REF_Industry_Wording!$B$2:$B$70=$BT528)*(_REF_Industry_Wording!$C$2:$C$70=PV_Canonical_Industry)*(_REF_Industry_Wording!$K$2:$K$70="Yes"),0),0)),IFERROR(INDEX(_REF_Industry_Wording!$A$2:$A$70,MATCH(1,INDEX((_REF_Industry_Wording!$B$2:$B$70=$BT528)*(_REF_Industry_Wording!$C$2:$C$70="All")*(_REF_Industry_Wording!$K$2:$K$70="Yes"),0),0)),"")))</f>
        <v>IW-ALL-POS_ECOMMERCE</v>
      </c>
      <c r="CF528" t="str">
        <f>IF($CE528="","",IFERROR(INDEX(_REF_Industry_Wording!$E$2:$E$70,MATCH($CE528,_REF_Industry_Wording!$A$2:$A$70,0)),""))</f>
        <v>POS / ecommerce weakness</v>
      </c>
      <c r="CG528" t="str">
        <f>IF($CE528="","",IFERROR(INDEX(_REF_Industry_Wording!$F$2:$F$70,MATCH($CE528,_REF_Industry_Wording!$A$2:$A$70,0)),""))</f>
        <v>Strengthen POS / ecommerce</v>
      </c>
      <c r="CH528" t="str">
        <f>IF($CE528="","",IFERROR(INDEX(_REF_Industry_Wording!$G$2:$G$70,MATCH($CE528,_REF_Industry_Wording!$A$2:$A$70,0)),""))</f>
        <v>Strengthen POS / ecommerce using the selected maturity treatment, crisis scenario and evidence requirements.</v>
      </c>
      <c r="CI528" t="str">
        <f>IF($CE528="","",IFERROR(INDEX(_REF_Industry_Wording!$H$2:$H$70,MATCH($CE528,_REF_Industry_Wording!$A$2:$A$70,0)),""))</f>
        <v>POS / ecommerce</v>
      </c>
      <c r="CJ528">
        <f>IF($CE528="","",IFERROR(INDEX(_REF_Industry_Wording!$I$2:$I$70,MATCH($CE528,_REF_Industry_Wording!$A$2:$A$70,0)),""))</f>
        <v>0</v>
      </c>
      <c r="CK528" t="str">
        <f>IF($CE528="","",IFERROR(INDEX(_REF_Industry_Wording!$J$2:$J$70,MATCH($CE528,_REF_Industry_Wording!$A$2:$A$70,0)),""))</f>
        <v>POS / ecommerce</v>
      </c>
      <c r="CL528" t="str">
        <f t="shared" si="51"/>
        <v>Wording by industry=0; capability=CAP_POS_ECOMMERCE; risk label=POS / ecommerce weakness</v>
      </c>
      <c r="CM528" t="str">
        <f t="shared" si="52"/>
        <v>RISK-ONT-0029</v>
      </c>
      <c r="CN528" t="str">
        <f t="shared" si="53"/>
        <v>RISK-EVT-0029</v>
      </c>
      <c r="CO528" t="str">
        <f t="shared" si="54"/>
        <v>Strategy GTM|Market and ICP|STRA-010|CAP_POS_ECOMMERCE</v>
      </c>
      <c r="CP528" t="str">
        <f t="shared" si="55"/>
        <v>Active</v>
      </c>
      <c r="CQ528" t="str">
        <f t="shared" si="56"/>
        <v>OK: capability-driven</v>
      </c>
      <c r="CR528" t="str">
        <f t="shared" si="57"/>
        <v>Risk ontology uses capability=CAP_POS_ECOMMERCE; bridge=BRG-086; treatment=TRT-POS_ECOMMERCE-INITIAL; wording=IW-ALL-POS_ECOMMERCE</v>
      </c>
      <c r="CS528" t="str">
        <f t="shared" si="58"/>
        <v>Yes</v>
      </c>
    </row>
    <row r="529" spans="1:97" ht="69.900000000000006" customHeight="1">
      <c r="A529">
        <f>IF(OR($B529&lt;&gt;"Yes",$BS529=""),"",SUMPRODUCT(($B$500:$B$923="Yes")*ISNUMBER($BS$500:$BS$923)*($BS$500:$BS$923&gt;$BS529))+COUNTIFS($B$500:$B529,"Yes",$BS$500:$BS529,$BS529))</f>
        <v>350</v>
      </c>
      <c r="B529" t="str">
        <f t="shared" si="21"/>
        <v>Yes</v>
      </c>
      <c r="C529" t="s">
        <v>949</v>
      </c>
      <c r="D529" t="s">
        <v>972</v>
      </c>
      <c r="E529" t="s">
        <v>1030</v>
      </c>
      <c r="F529" t="s">
        <v>3680</v>
      </c>
      <c r="G529" t="str">
        <f>IF($H529="","",IFERROR(INDEX(_ENGINE_Risk!$H$5:$M$499,MATCH($E529,_ENGINE_Risk!$A$5:$A$499,0),$H529+1),""))</f>
        <v>Severe risk: market size and growth assumptions with explicit evidence and uncertainty level is not reliably controlled. During Demand shock; Financial / liquidity shock; Reputation crisis, the organization may face weak crisis positioning, poor prioritization of segments, revenue leakage and inability to adapt the offering with limited visibility or accountability.</v>
      </c>
      <c r="H529">
        <f>IFERROR(VALUE(INDEX(_DATA_Assessment_Model!$H$5:$H$884,MATCH($E529,_DATA_Assessment_Model!$A$5:$A$884,0))),"")</f>
        <v>0</v>
      </c>
      <c r="I529" t="str">
        <f>IF($H529="","",IFERROR(INDEX(_DATA_Assessment_Model!$L$5:$L$884,MATCH($E529,_DATA_Assessment_Model!$A$5:$A$884,0)),IF($H529&lt;=1,"Critical",IF($H529=2,"High",IF($H529=3,"Medium",IF($H529=4,"Low","Resilient"))))))</f>
        <v>Critical</v>
      </c>
      <c r="J529">
        <f t="shared" si="22"/>
        <v>3.6</v>
      </c>
      <c r="K529">
        <f t="shared" si="23"/>
        <v>3.95</v>
      </c>
      <c r="L529">
        <f t="shared" si="24"/>
        <v>14.22</v>
      </c>
      <c r="M529">
        <f t="shared" si="25"/>
        <v>3</v>
      </c>
      <c r="N529">
        <f>IF($H529="","",IFERROR(INDEX(_ENGINE_Risk!$T$5:$Y$499,MATCH($E529,_ENGINE_Risk!$A$5:$A$499,0),$H529+1),""))</f>
        <v>3</v>
      </c>
      <c r="O529">
        <f t="shared" si="26"/>
        <v>4</v>
      </c>
      <c r="P529">
        <f t="shared" si="27"/>
        <v>5</v>
      </c>
      <c r="Q529">
        <f t="shared" si="28"/>
        <v>5</v>
      </c>
      <c r="R529">
        <f t="shared" si="29"/>
        <v>4.5</v>
      </c>
      <c r="S529">
        <f t="shared" si="30"/>
        <v>1.54</v>
      </c>
      <c r="T529" t="str">
        <f>IF($H529="","",IFERROR(INDEX(_ENGINE_Risk!$N$5:$S$499,MATCH($E529,_ENGINE_Risk!$A$5:$A$499,0),$H529+1),""))</f>
        <v>Create an immediate risk owner, minimum control baseline and fallback procedure for market size and growth assumptions with explicit evidence and uncertainty level. Add it to the crisis risk register and collect first evidence.</v>
      </c>
      <c r="U529">
        <f>IFERROR(INDEX(_DATA_Assessment_Model!$G$5:$G$884,MATCH($E529,_DATA_Assessment_Model!$A$5:$A$884,0)),"")</f>
        <v>3</v>
      </c>
      <c r="V529">
        <f>IFERROR(INDEX(_DATA_Assessment_Model!$W$5:$W$884,MATCH($E529,_DATA_Assessment_Model!$A$5:$A$884,0)),"")</f>
        <v>4</v>
      </c>
      <c r="W529">
        <f>IFERROR(INDEX(_DATA_Assessment_Model!$X$5:$X$884,MATCH($E529,_DATA_Assessment_Model!$A$5:$A$884,0)),"")</f>
        <v>5</v>
      </c>
      <c r="X529">
        <f>IFERROR(INDEX(_DATA_Assessment_Model!$Y$5:$Y$884,MATCH($E529,_DATA_Assessment_Model!$A$5:$A$884,0)),"")</f>
        <v>5</v>
      </c>
      <c r="Y529" t="s">
        <v>962</v>
      </c>
      <c r="Z529" t="s">
        <v>4860</v>
      </c>
      <c r="AA529" t="s">
        <v>1032</v>
      </c>
      <c r="AB529">
        <f>IFERROR(INDEX(_DATA_Assessment_Model!$U$5:$U$884,MATCH($E529,_DATA_Assessment_Model!$A$5:$A$884,0)),"")</f>
        <v>0</v>
      </c>
      <c r="AF529" t="s">
        <v>1031</v>
      </c>
      <c r="AO529">
        <f>IF($B529="Yes",IF(IFERROR(INDEX(_ENGINE_Crisis!$F$501:$F$517,MATCH($C529,_ENGINE_Crisis!$A$501:$A$517,0)),1)=0,1,IFERROR(INDEX(_ENGINE_Crisis!$F$501:$F$517,MATCH($C529,_ENGINE_Crisis!$A$501:$A$517,0)),1)),"")</f>
        <v>1</v>
      </c>
      <c r="AP529">
        <f t="shared" si="37"/>
        <v>14.2</v>
      </c>
      <c r="AQ529">
        <f t="shared" si="38"/>
        <v>1.54</v>
      </c>
      <c r="AR529" t="str">
        <f>IFERROR(INDEX(_ENGINE_Crisis!$E$41:$E$700,MATCH('Resilience &amp; Risk Scenario'!$B$6&amp;"|"&amp;$C529,_ENGINE_Crisis!$I$41:$I$700,0)),"")</f>
        <v/>
      </c>
      <c r="AS529" t="str">
        <f>IFERROR(INDEX(_ENGINE_Crisis!$G$41:$G$700,MATCH('Resilience &amp; Risk Scenario'!$B$6&amp;"|"&amp;$C529,_ENGINE_Crisis!$I$41:$I$700,0)),"")</f>
        <v/>
      </c>
      <c r="AT529" t="str">
        <f>IFERROR(INDEX(_ENGINE_Initiatives!$A$5:$A$532,MATCH(1,INDEX((_ENGINE_Initiatives!$B$5:$B$532=$C529)*(_ENGINE_Initiatives!$C$5:$C$532=$D529),0),0)),"")</f>
        <v>INI-005</v>
      </c>
      <c r="AU529" t="str">
        <f>IFERROR(INDEX(_ENGINE_Initiatives!$F$5:$F$532,MATCH(1,INDEX((_ENGINE_Initiatives!$B$5:$B$532=$C529)*(_ENGINE_Initiatives!$C$5:$C$532=$D529),0),0)),"")</f>
        <v>Define crisis-adjusted ICP, market segments and demand exposure</v>
      </c>
      <c r="AV529">
        <f>IFERROR(INDEX(_ENGINE_Initiatives!$AC$5:$AC$532,MATCH(1,INDEX((_ENGINE_Initiatives!$B$5:$B$532=$C529)*(_ENGINE_Initiatives!$C$5:$C$532=$D529),0),0)),"")</f>
        <v>1.71</v>
      </c>
      <c r="AW529" t="str">
        <f>IFERROR(INDEX(_ENGINE_Initiatives!$AE$5:$AE$532,MATCH(1,INDEX((_ENGINE_Initiatives!$B$5:$B$532=$C529)*(_ENGINE_Initiatives!$C$5:$C$532=$D529),0),0)),"")</f>
        <v>6-12 months</v>
      </c>
      <c r="AX529">
        <f>IF($B529="Yes",IFERROR((IF(SUMIFS(_REF_Model_Content!$E$1:$E$613,_REF_Model_Content!$A$1:$A$613,PV_Canonical_Industry,_REF_Model_Content!$B$1:$B$613,$C529)=0,1,SUMIFS(_REF_Model_Content!$E$1:$E$613,_REF_Model_Content!$A$1:$A$613,PV_Canonical_Industry,_REF_Model_Content!$B$1:$B$613,$C529))*IFERROR($BU529,1)),1),"")</f>
        <v>1</v>
      </c>
      <c r="AY529">
        <f t="shared" si="39"/>
        <v>14.2</v>
      </c>
      <c r="AZ529">
        <f t="shared" si="40"/>
        <v>1.54</v>
      </c>
      <c r="BB529" t="str">
        <f>IF($H529="","",IFERROR(INDEX(_ENGINE_Risk!$AE$5:$AE$499,MATCH($E529,_ENGINE_Risk!$A$5:$A$499,0)),"Medium"))</f>
        <v>Medium</v>
      </c>
      <c r="BC529">
        <f t="shared" si="41"/>
        <v>1</v>
      </c>
      <c r="BD529">
        <f t="shared" si="42"/>
        <v>1.54</v>
      </c>
      <c r="BF529">
        <f>IF(OR($H529="",$J529=""),"",IFERROR(VLOOKUP(ROUND($J529,0),_CONFIG_Model_Settings!$D$154:$E$158,2,0),""))</f>
        <v>0.5</v>
      </c>
      <c r="BG529">
        <f>IFERROR(IF(OR($H529="",$K529=""),"",ROUND('Company Profile'!$B$113*INDEX(_CONFIG_Model_Settings!$H$154:$H$158,MATCH(ROUND($K529,0),_CONFIG_Model_Settings!$G$154:$G$158,0)),0)),0)</f>
        <v>875</v>
      </c>
      <c r="BH529">
        <f t="shared" si="43"/>
        <v>437.5</v>
      </c>
      <c r="BI529">
        <f t="shared" si="44"/>
        <v>437.5</v>
      </c>
      <c r="BJ529">
        <f>IF($E529="","",IFERROR(VLOOKUP($C529,_CONFIG_Risk_Calibration!$A$5:$H$21,2,FALSE),3))</f>
        <v>3</v>
      </c>
      <c r="BK529">
        <f>IF($E529="","",IFERROR(VLOOKUP($C529,_CONFIG_Risk_Calibration!$A$5:$H$21,3,FALSE),0))</f>
        <v>0</v>
      </c>
      <c r="BL529">
        <f>IF($E529="","",IFERROR(VLOOKUP($C529,_CONFIG_Risk_Calibration!$A$5:$H$21,4,FALSE),3))</f>
        <v>3</v>
      </c>
      <c r="BM529">
        <f>IF($E529="","",IFERROR(VLOOKUP($C529,_CONFIG_Risk_Calibration!$A$5:$H$21,5,FALSE),3))</f>
        <v>3</v>
      </c>
      <c r="BN529" t="str">
        <f>IF($E529="","",IFERROR(VLOOKUP($C529,_CONFIG_Risk_Calibration!$A$5:$H$21,6,FALSE),"No"))</f>
        <v>No</v>
      </c>
      <c r="BO529">
        <f>IF($E529="","",IFERROR(VLOOKUP($C529,_CONFIG_Risk_Calibration!$A$5:$H$21,7,FALSE),1))</f>
        <v>1</v>
      </c>
      <c r="BP529">
        <f>IF($H529="","",MAX(1,MIN(5,((6-$H529)*0.45)+($BJ529*0.2)+('Resilience &amp; Risk Scenario'!$B$7*0.15)+($BK529*0.1)+($BL529*0.05)+(IF($BB529="Fast",5,IF($BB529="Slow",1,3))*0.05))))</f>
        <v>3.6</v>
      </c>
      <c r="BQ529">
        <f t="shared" si="45"/>
        <v>3.95</v>
      </c>
      <c r="BR529">
        <f t="shared" si="46"/>
        <v>14.22</v>
      </c>
      <c r="BS529">
        <f t="shared" si="47"/>
        <v>14.22</v>
      </c>
      <c r="BT529" t="str">
        <f>IFERROR(INDEX(_REF_Capability_Bridge!$D:$D,MATCH($C529&amp;"|"&amp;$D529,_REF_Capability_Bridge!$J:$J,0)),IFERROR(INDEX(_REF_Capability_Bridge!$D:$D,MATCH($C529&amp;"|",_REF_Capability_Bridge!$J:$J,0)),"CAP_GENERIC"))</f>
        <v>CAP_POS_ECOMMERCE</v>
      </c>
      <c r="BU529">
        <f>IFERROR(IFERROR(INDEX(_ENGINE_Relevance!$L:$L,MATCH($BT529,_ENGINE_Relevance!$B:$B,0)),1),1)</f>
        <v>1</v>
      </c>
      <c r="BV529" t="str">
        <f>IFERROR(INDEX(_REF_Capability_Bridge!$A:$A,MATCH($C529&amp;"|"&amp;$D529,_REF_Capability_Bridge!$J:$J,0)),IFERROR(INDEX(_REF_Capability_Bridge!$A:$A,MATCH($C529&amp;"|",_REF_Capability_Bridge!$J:$J,0)),"No bridge"))</f>
        <v>BRG-086</v>
      </c>
      <c r="BW529" t="str">
        <f t="shared" si="48"/>
        <v>Capability relevance neutral</v>
      </c>
      <c r="BX529" t="str">
        <f t="shared" si="49"/>
        <v>Initial / absent</v>
      </c>
      <c r="BY529" t="str">
        <f>IF($E529="","",IFERROR(INDEX(_REF_Treatment_Library!$A$2:$A$296,MATCH(1,INDEX((_REF_Treatment_Library!$B$2:$B$296=$BT529)*(_REF_Treatment_Library!$C$2:$C$296=PV_Canonical_Industry)*(_REF_Treatment_Library!$E$2:$E$296&lt;=N($H529))*(_REF_Treatment_Library!$F$2:$F$296&gt;=N($H529))*(_REF_Treatment_Library!$O$2:$O$296="Yes"),0),0)),IFERROR(INDEX(_REF_Treatment_Library!$A$2:$A$296,MATCH(1,INDEX((_REF_Treatment_Library!$B$2:$B$296=$BT529)*(_REF_Treatment_Library!$C$2:$C$296="All")*(_REF_Treatment_Library!$E$2:$E$296&lt;=N($H529))*(_REF_Treatment_Library!$F$2:$F$296&gt;=N($H529))*(_REF_Treatment_Library!$O$2:$O$296="Yes"),0),0)),"")))</f>
        <v>TRT-POS_ECOMMERCE-INITIAL</v>
      </c>
      <c r="BZ529" t="str">
        <f>IF($BY529="","",IFERROR(INDEX(_REF_Treatment_Library!$H$2:$H$296,MATCH($BY529,_REF_Treatment_Library!$A$2:$A$296,0)),""))</f>
        <v>Establish</v>
      </c>
      <c r="CA529" t="str">
        <f>IF($BY529="","",IFERROR(INDEX(_REF_Treatment_Library!$I$2:$I$296,MATCH($BY529,_REF_Treatment_Library!$A$2:$A$296,0)),""))</f>
        <v>Establish baseline controls for POS / ecommerce</v>
      </c>
      <c r="CB529" t="str">
        <f>IF($BY529="","",IFERROR(INDEX(_REF_Treatment_Library!$K$2:$K$296,MATCH($BY529,_REF_Treatment_Library!$A$2:$A$296,0)),""))</f>
        <v>Named owner, baseline process, minimum control checklist, first evidence package</v>
      </c>
      <c r="CC529" t="str">
        <f>IF($BY529="","",IFERROR(INDEX(_REF_Treatment_Library!$L$2:$L$296,MATCH($BY529,_REF_Treatment_Library!$A$2:$A$296,0)),""))</f>
        <v>Owner assigned; baseline evidence coverage; open critical gaps</v>
      </c>
      <c r="CD529" t="str">
        <f t="shared" si="50"/>
        <v>Treatment by capability=CAP_POS_ECOMMERCE; band=Initial / absent; score=0.0; treatment=Establish</v>
      </c>
      <c r="CE529" t="str">
        <f>IF($E529="","",IFERROR(INDEX(_REF_Industry_Wording!$A$2:$A$70,MATCH(1,INDEX((_REF_Industry_Wording!$B$2:$B$70=$BT529)*(_REF_Industry_Wording!$C$2:$C$70=PV_Canonical_Industry)*(_REF_Industry_Wording!$K$2:$K$70="Yes"),0),0)),IFERROR(INDEX(_REF_Industry_Wording!$A$2:$A$70,MATCH(1,INDEX((_REF_Industry_Wording!$B$2:$B$70=$BT529)*(_REF_Industry_Wording!$C$2:$C$70="All")*(_REF_Industry_Wording!$K$2:$K$70="Yes"),0),0)),"")))</f>
        <v>IW-ALL-POS_ECOMMERCE</v>
      </c>
      <c r="CF529" t="str">
        <f>IF($CE529="","",IFERROR(INDEX(_REF_Industry_Wording!$E$2:$E$70,MATCH($CE529,_REF_Industry_Wording!$A$2:$A$70,0)),""))</f>
        <v>POS / ecommerce weakness</v>
      </c>
      <c r="CG529" t="str">
        <f>IF($CE529="","",IFERROR(INDEX(_REF_Industry_Wording!$F$2:$F$70,MATCH($CE529,_REF_Industry_Wording!$A$2:$A$70,0)),""))</f>
        <v>Strengthen POS / ecommerce</v>
      </c>
      <c r="CH529" t="str">
        <f>IF($CE529="","",IFERROR(INDEX(_REF_Industry_Wording!$G$2:$G$70,MATCH($CE529,_REF_Industry_Wording!$A$2:$A$70,0)),""))</f>
        <v>Strengthen POS / ecommerce using the selected maturity treatment, crisis scenario and evidence requirements.</v>
      </c>
      <c r="CI529" t="str">
        <f>IF($CE529="","",IFERROR(INDEX(_REF_Industry_Wording!$H$2:$H$70,MATCH($CE529,_REF_Industry_Wording!$A$2:$A$70,0)),""))</f>
        <v>POS / ecommerce</v>
      </c>
      <c r="CJ529">
        <f>IF($CE529="","",IFERROR(INDEX(_REF_Industry_Wording!$I$2:$I$70,MATCH($CE529,_REF_Industry_Wording!$A$2:$A$70,0)),""))</f>
        <v>0</v>
      </c>
      <c r="CK529" t="str">
        <f>IF($CE529="","",IFERROR(INDEX(_REF_Industry_Wording!$J$2:$J$70,MATCH($CE529,_REF_Industry_Wording!$A$2:$A$70,0)),""))</f>
        <v>POS / ecommerce</v>
      </c>
      <c r="CL529" t="str">
        <f t="shared" si="51"/>
        <v>Wording by industry=0; capability=CAP_POS_ECOMMERCE; risk label=POS / ecommerce weakness</v>
      </c>
      <c r="CM529" t="str">
        <f t="shared" si="52"/>
        <v>RISK-ONT-0030</v>
      </c>
      <c r="CN529" t="str">
        <f t="shared" si="53"/>
        <v>RISK-EVT-0030</v>
      </c>
      <c r="CO529" t="str">
        <f t="shared" si="54"/>
        <v>Strategy GTM|Market and ICP|STRA-011|CAP_POS_ECOMMERCE</v>
      </c>
      <c r="CP529" t="str">
        <f t="shared" si="55"/>
        <v>Active</v>
      </c>
      <c r="CQ529" t="str">
        <f t="shared" si="56"/>
        <v>OK: capability-driven</v>
      </c>
      <c r="CR529" t="str">
        <f t="shared" si="57"/>
        <v>Risk ontology uses capability=CAP_POS_ECOMMERCE; bridge=BRG-086; treatment=TRT-POS_ECOMMERCE-INITIAL; wording=IW-ALL-POS_ECOMMERCE</v>
      </c>
      <c r="CS529" t="str">
        <f t="shared" si="58"/>
        <v>Yes</v>
      </c>
    </row>
    <row r="530" spans="1:97" ht="69.900000000000006" customHeight="1">
      <c r="A530">
        <f>IF(OR($B530&lt;&gt;"Yes",$BS530=""),"",SUMPRODUCT(($B$500:$B$923="Yes")*ISNUMBER($BS$500:$BS$923)*($BS$500:$BS$923&gt;$BS530))+COUNTIFS($B$500:$B530,"Yes",$BS$500:$BS530,$BS530))</f>
        <v>341</v>
      </c>
      <c r="B530" t="str">
        <f t="shared" si="21"/>
        <v>Yes</v>
      </c>
      <c r="C530" t="s">
        <v>949</v>
      </c>
      <c r="D530" t="s">
        <v>972</v>
      </c>
      <c r="E530" t="s">
        <v>1039</v>
      </c>
      <c r="F530" t="s">
        <v>3680</v>
      </c>
      <c r="G530" t="str">
        <f>IF($H530="","",IFERROR(INDEX(_ENGINE_Risk!$H$5:$M$499,MATCH($E530,_ENGINE_Risk!$A$5:$A$499,0),$H530+1),""))</f>
        <v>Severe risk: customer concentration and exposure to specific industries, geographies or budget cycles is not reliably controlled. During Demand shock; Financial / liquidity shock; Reputation crisis, the organization may face weak crisis positioning, poor prioritization of segments, revenue leakage and inability to adapt the offering with limited visibility or accountability.</v>
      </c>
      <c r="H530">
        <f>IFERROR(VALUE(INDEX(_DATA_Assessment_Model!$H$5:$H$884,MATCH($E530,_DATA_Assessment_Model!$A$5:$A$884,0))),"")</f>
        <v>0</v>
      </c>
      <c r="I530" t="str">
        <f>IF($H530="","",IFERROR(INDEX(_DATA_Assessment_Model!$L$5:$L$884,MATCH($E530,_DATA_Assessment_Model!$A$5:$A$884,0)),IF($H530&lt;=1,"Critical",IF($H530=2,"High",IF($H530=3,"Medium",IF($H530=4,"Low","Resilient"))))))</f>
        <v>Critical</v>
      </c>
      <c r="J530">
        <f t="shared" si="22"/>
        <v>3.6</v>
      </c>
      <c r="K530">
        <f t="shared" si="23"/>
        <v>4.1500000000000004</v>
      </c>
      <c r="L530">
        <f t="shared" si="24"/>
        <v>14.940000000000001</v>
      </c>
      <c r="M530">
        <f t="shared" si="25"/>
        <v>3</v>
      </c>
      <c r="N530">
        <f>IF($H530="","",IFERROR(INDEX(_ENGINE_Risk!$T$5:$Y$499,MATCH($E530,_ENGINE_Risk!$A$5:$A$499,0),$H530+1),""))</f>
        <v>3</v>
      </c>
      <c r="O530">
        <f t="shared" si="26"/>
        <v>4.333333333333333</v>
      </c>
      <c r="P530">
        <f t="shared" si="27"/>
        <v>5</v>
      </c>
      <c r="Q530">
        <f t="shared" si="28"/>
        <v>5</v>
      </c>
      <c r="R530">
        <f t="shared" si="29"/>
        <v>4.5</v>
      </c>
      <c r="S530">
        <f t="shared" si="30"/>
        <v>1.57</v>
      </c>
      <c r="T530" t="str">
        <f>IF($H530="","",IFERROR(INDEX(_ENGINE_Risk!$N$5:$S$499,MATCH($E530,_ENGINE_Risk!$A$5:$A$499,0),$H530+1),""))</f>
        <v>Create an immediate risk owner, minimum control baseline and fallback procedure for customer concentration and exposure to specific industries, geographies or budget cycles. Add it to the crisis risk register and collect first evidence.</v>
      </c>
      <c r="U530">
        <f>IFERROR(INDEX(_DATA_Assessment_Model!$G$5:$G$884,MATCH($E530,_DATA_Assessment_Model!$A$5:$A$884,0)),"")</f>
        <v>4</v>
      </c>
      <c r="V530">
        <f>IFERROR(INDEX(_DATA_Assessment_Model!$W$5:$W$884,MATCH($E530,_DATA_Assessment_Model!$A$5:$A$884,0)),"")</f>
        <v>4</v>
      </c>
      <c r="W530">
        <f>IFERROR(INDEX(_DATA_Assessment_Model!$X$5:$X$884,MATCH($E530,_DATA_Assessment_Model!$A$5:$A$884,0)),"")</f>
        <v>5</v>
      </c>
      <c r="X530">
        <f>IFERROR(INDEX(_DATA_Assessment_Model!$Y$5:$Y$884,MATCH($E530,_DATA_Assessment_Model!$A$5:$A$884,0)),"")</f>
        <v>5</v>
      </c>
      <c r="Y530" t="s">
        <v>962</v>
      </c>
      <c r="Z530" t="s">
        <v>4860</v>
      </c>
      <c r="AA530" t="s">
        <v>1041</v>
      </c>
      <c r="AB530">
        <f>IFERROR(INDEX(_DATA_Assessment_Model!$U$5:$U$884,MATCH($E530,_DATA_Assessment_Model!$A$5:$A$884,0)),"")</f>
        <v>0</v>
      </c>
      <c r="AF530" t="s">
        <v>1040</v>
      </c>
      <c r="AO530">
        <f>IF($B530="Yes",IF(IFERROR(INDEX(_ENGINE_Crisis!$F$501:$F$517,MATCH($C530,_ENGINE_Crisis!$A$501:$A$517,0)),1)=0,1,IFERROR(INDEX(_ENGINE_Crisis!$F$501:$F$517,MATCH($C530,_ENGINE_Crisis!$A$501:$A$517,0)),1)),"")</f>
        <v>1</v>
      </c>
      <c r="AP530">
        <f t="shared" si="37"/>
        <v>14.9</v>
      </c>
      <c r="AQ530">
        <f t="shared" si="38"/>
        <v>1.57</v>
      </c>
      <c r="AR530" t="str">
        <f>IFERROR(INDEX(_ENGINE_Crisis!$E$41:$E$700,MATCH('Resilience &amp; Risk Scenario'!$B$6&amp;"|"&amp;$C530,_ENGINE_Crisis!$I$41:$I$700,0)),"")</f>
        <v/>
      </c>
      <c r="AS530" t="str">
        <f>IFERROR(INDEX(_ENGINE_Crisis!$G$41:$G$700,MATCH('Resilience &amp; Risk Scenario'!$B$6&amp;"|"&amp;$C530,_ENGINE_Crisis!$I$41:$I$700,0)),"")</f>
        <v/>
      </c>
      <c r="AT530" t="str">
        <f>IFERROR(INDEX(_ENGINE_Initiatives!$A$5:$A$532,MATCH(1,INDEX((_ENGINE_Initiatives!$B$5:$B$532=$C530)*(_ENGINE_Initiatives!$C$5:$C$532=$D530),0),0)),"")</f>
        <v>INI-005</v>
      </c>
      <c r="AU530" t="str">
        <f>IFERROR(INDEX(_ENGINE_Initiatives!$F$5:$F$532,MATCH(1,INDEX((_ENGINE_Initiatives!$B$5:$B$532=$C530)*(_ENGINE_Initiatives!$C$5:$C$532=$D530),0),0)),"")</f>
        <v>Define crisis-adjusted ICP, market segments and demand exposure</v>
      </c>
      <c r="AV530">
        <f>IFERROR(INDEX(_ENGINE_Initiatives!$AC$5:$AC$532,MATCH(1,INDEX((_ENGINE_Initiatives!$B$5:$B$532=$C530)*(_ENGINE_Initiatives!$C$5:$C$532=$D530),0),0)),"")</f>
        <v>1.71</v>
      </c>
      <c r="AW530" t="str">
        <f>IFERROR(INDEX(_ENGINE_Initiatives!$AE$5:$AE$532,MATCH(1,INDEX((_ENGINE_Initiatives!$B$5:$B$532=$C530)*(_ENGINE_Initiatives!$C$5:$C$532=$D530),0),0)),"")</f>
        <v>6-12 months</v>
      </c>
      <c r="AX530">
        <f>IF($B530="Yes",IFERROR((IF(SUMIFS(_REF_Model_Content!$E$1:$E$613,_REF_Model_Content!$A$1:$A$613,PV_Canonical_Industry,_REF_Model_Content!$B$1:$B$613,$C530)=0,1,SUMIFS(_REF_Model_Content!$E$1:$E$613,_REF_Model_Content!$A$1:$A$613,PV_Canonical_Industry,_REF_Model_Content!$B$1:$B$613,$C530))*IFERROR($BU530,1)),1),"")</f>
        <v>1</v>
      </c>
      <c r="AY530">
        <f t="shared" si="39"/>
        <v>14.9</v>
      </c>
      <c r="AZ530">
        <f t="shared" si="40"/>
        <v>1.57</v>
      </c>
      <c r="BB530" t="str">
        <f>IF($H530="","",IFERROR(INDEX(_ENGINE_Risk!$AE$5:$AE$499,MATCH($E530,_ENGINE_Risk!$A$5:$A$499,0)),"Medium"))</f>
        <v>Medium</v>
      </c>
      <c r="BC530">
        <f t="shared" si="41"/>
        <v>1</v>
      </c>
      <c r="BD530">
        <f t="shared" si="42"/>
        <v>1.57</v>
      </c>
      <c r="BF530">
        <f>IF(OR($H530="",$J530=""),"",IFERROR(VLOOKUP(ROUND($J530,0),_CONFIG_Model_Settings!$D$154:$E$158,2,0),""))</f>
        <v>0.5</v>
      </c>
      <c r="BG530">
        <f>IFERROR(IF(OR($H530="",$K530=""),"",ROUND('Company Profile'!$B$113*INDEX(_CONFIG_Model_Settings!$H$154:$H$158,MATCH(ROUND($K530,0),_CONFIG_Model_Settings!$G$154:$G$158,0)),0)),0)</f>
        <v>875</v>
      </c>
      <c r="BH530">
        <f t="shared" si="43"/>
        <v>437.5</v>
      </c>
      <c r="BI530">
        <f t="shared" si="44"/>
        <v>437.5</v>
      </c>
      <c r="BJ530">
        <f>IF($E530="","",IFERROR(VLOOKUP($C530,_CONFIG_Risk_Calibration!$A$5:$H$21,2,FALSE),3))</f>
        <v>3</v>
      </c>
      <c r="BK530">
        <f>IF($E530="","",IFERROR(VLOOKUP($C530,_CONFIG_Risk_Calibration!$A$5:$H$21,3,FALSE),0))</f>
        <v>0</v>
      </c>
      <c r="BL530">
        <f>IF($E530="","",IFERROR(VLOOKUP($C530,_CONFIG_Risk_Calibration!$A$5:$H$21,4,FALSE),3))</f>
        <v>3</v>
      </c>
      <c r="BM530">
        <f>IF($E530="","",IFERROR(VLOOKUP($C530,_CONFIG_Risk_Calibration!$A$5:$H$21,5,FALSE),3))</f>
        <v>3</v>
      </c>
      <c r="BN530" t="str">
        <f>IF($E530="","",IFERROR(VLOOKUP($C530,_CONFIG_Risk_Calibration!$A$5:$H$21,6,FALSE),"No"))</f>
        <v>No</v>
      </c>
      <c r="BO530">
        <f>IF($E530="","",IFERROR(VLOOKUP($C530,_CONFIG_Risk_Calibration!$A$5:$H$21,7,FALSE),1))</f>
        <v>1</v>
      </c>
      <c r="BP530">
        <f>IF($H530="","",MAX(1,MIN(5,((6-$H530)*0.45)+($BJ530*0.2)+('Resilience &amp; Risk Scenario'!$B$7*0.15)+($BK530*0.1)+($BL530*0.05)+(IF($BB530="Fast",5,IF($BB530="Slow",1,3))*0.05))))</f>
        <v>3.6</v>
      </c>
      <c r="BQ530">
        <f t="shared" si="45"/>
        <v>4.1500000000000004</v>
      </c>
      <c r="BR530">
        <f t="shared" si="46"/>
        <v>14.94</v>
      </c>
      <c r="BS530">
        <f t="shared" si="47"/>
        <v>14.94</v>
      </c>
      <c r="BT530" t="str">
        <f>IFERROR(INDEX(_REF_Capability_Bridge!$D:$D,MATCH($C530&amp;"|"&amp;$D530,_REF_Capability_Bridge!$J:$J,0)),IFERROR(INDEX(_REF_Capability_Bridge!$D:$D,MATCH($C530&amp;"|",_REF_Capability_Bridge!$J:$J,0)),"CAP_GENERIC"))</f>
        <v>CAP_POS_ECOMMERCE</v>
      </c>
      <c r="BU530">
        <f>IFERROR(IFERROR(INDEX(_ENGINE_Relevance!$L:$L,MATCH($BT530,_ENGINE_Relevance!$B:$B,0)),1),1)</f>
        <v>1</v>
      </c>
      <c r="BV530" t="str">
        <f>IFERROR(INDEX(_REF_Capability_Bridge!$A:$A,MATCH($C530&amp;"|"&amp;$D530,_REF_Capability_Bridge!$J:$J,0)),IFERROR(INDEX(_REF_Capability_Bridge!$A:$A,MATCH($C530&amp;"|",_REF_Capability_Bridge!$J:$J,0)),"No bridge"))</f>
        <v>BRG-086</v>
      </c>
      <c r="BW530" t="str">
        <f t="shared" si="48"/>
        <v>Capability relevance neutral</v>
      </c>
      <c r="BX530" t="str">
        <f t="shared" si="49"/>
        <v>Initial / absent</v>
      </c>
      <c r="BY530" t="str">
        <f>IF($E530="","",IFERROR(INDEX(_REF_Treatment_Library!$A$2:$A$296,MATCH(1,INDEX((_REF_Treatment_Library!$B$2:$B$296=$BT530)*(_REF_Treatment_Library!$C$2:$C$296=PV_Canonical_Industry)*(_REF_Treatment_Library!$E$2:$E$296&lt;=N($H530))*(_REF_Treatment_Library!$F$2:$F$296&gt;=N($H530))*(_REF_Treatment_Library!$O$2:$O$296="Yes"),0),0)),IFERROR(INDEX(_REF_Treatment_Library!$A$2:$A$296,MATCH(1,INDEX((_REF_Treatment_Library!$B$2:$B$296=$BT530)*(_REF_Treatment_Library!$C$2:$C$296="All")*(_REF_Treatment_Library!$E$2:$E$296&lt;=N($H530))*(_REF_Treatment_Library!$F$2:$F$296&gt;=N($H530))*(_REF_Treatment_Library!$O$2:$O$296="Yes"),0),0)),"")))</f>
        <v>TRT-POS_ECOMMERCE-INITIAL</v>
      </c>
      <c r="BZ530" t="str">
        <f>IF($BY530="","",IFERROR(INDEX(_REF_Treatment_Library!$H$2:$H$296,MATCH($BY530,_REF_Treatment_Library!$A$2:$A$296,0)),""))</f>
        <v>Establish</v>
      </c>
      <c r="CA530" t="str">
        <f>IF($BY530="","",IFERROR(INDEX(_REF_Treatment_Library!$I$2:$I$296,MATCH($BY530,_REF_Treatment_Library!$A$2:$A$296,0)),""))</f>
        <v>Establish baseline controls for POS / ecommerce</v>
      </c>
      <c r="CB530" t="str">
        <f>IF($BY530="","",IFERROR(INDEX(_REF_Treatment_Library!$K$2:$K$296,MATCH($BY530,_REF_Treatment_Library!$A$2:$A$296,0)),""))</f>
        <v>Named owner, baseline process, minimum control checklist, first evidence package</v>
      </c>
      <c r="CC530" t="str">
        <f>IF($BY530="","",IFERROR(INDEX(_REF_Treatment_Library!$L$2:$L$296,MATCH($BY530,_REF_Treatment_Library!$A$2:$A$296,0)),""))</f>
        <v>Owner assigned; baseline evidence coverage; open critical gaps</v>
      </c>
      <c r="CD530" t="str">
        <f t="shared" si="50"/>
        <v>Treatment by capability=CAP_POS_ECOMMERCE; band=Initial / absent; score=0.0; treatment=Establish</v>
      </c>
      <c r="CE530" t="str">
        <f>IF($E530="","",IFERROR(INDEX(_REF_Industry_Wording!$A$2:$A$70,MATCH(1,INDEX((_REF_Industry_Wording!$B$2:$B$70=$BT530)*(_REF_Industry_Wording!$C$2:$C$70=PV_Canonical_Industry)*(_REF_Industry_Wording!$K$2:$K$70="Yes"),0),0)),IFERROR(INDEX(_REF_Industry_Wording!$A$2:$A$70,MATCH(1,INDEX((_REF_Industry_Wording!$B$2:$B$70=$BT530)*(_REF_Industry_Wording!$C$2:$C$70="All")*(_REF_Industry_Wording!$K$2:$K$70="Yes"),0),0)),"")))</f>
        <v>IW-ALL-POS_ECOMMERCE</v>
      </c>
      <c r="CF530" t="str">
        <f>IF($CE530="","",IFERROR(INDEX(_REF_Industry_Wording!$E$2:$E$70,MATCH($CE530,_REF_Industry_Wording!$A$2:$A$70,0)),""))</f>
        <v>POS / ecommerce weakness</v>
      </c>
      <c r="CG530" t="str">
        <f>IF($CE530="","",IFERROR(INDEX(_REF_Industry_Wording!$F$2:$F$70,MATCH($CE530,_REF_Industry_Wording!$A$2:$A$70,0)),""))</f>
        <v>Strengthen POS / ecommerce</v>
      </c>
      <c r="CH530" t="str">
        <f>IF($CE530="","",IFERROR(INDEX(_REF_Industry_Wording!$G$2:$G$70,MATCH($CE530,_REF_Industry_Wording!$A$2:$A$70,0)),""))</f>
        <v>Strengthen POS / ecommerce using the selected maturity treatment, crisis scenario and evidence requirements.</v>
      </c>
      <c r="CI530" t="str">
        <f>IF($CE530="","",IFERROR(INDEX(_REF_Industry_Wording!$H$2:$H$70,MATCH($CE530,_REF_Industry_Wording!$A$2:$A$70,0)),""))</f>
        <v>POS / ecommerce</v>
      </c>
      <c r="CJ530">
        <f>IF($CE530="","",IFERROR(INDEX(_REF_Industry_Wording!$I$2:$I$70,MATCH($CE530,_REF_Industry_Wording!$A$2:$A$70,0)),""))</f>
        <v>0</v>
      </c>
      <c r="CK530" t="str">
        <f>IF($CE530="","",IFERROR(INDEX(_REF_Industry_Wording!$J$2:$J$70,MATCH($CE530,_REF_Industry_Wording!$A$2:$A$70,0)),""))</f>
        <v>POS / ecommerce</v>
      </c>
      <c r="CL530" t="str">
        <f t="shared" si="51"/>
        <v>Wording by industry=0; capability=CAP_POS_ECOMMERCE; risk label=POS / ecommerce weakness</v>
      </c>
      <c r="CM530" t="str">
        <f t="shared" si="52"/>
        <v>RISK-ONT-0031</v>
      </c>
      <c r="CN530" t="str">
        <f t="shared" si="53"/>
        <v>RISK-EVT-0031</v>
      </c>
      <c r="CO530" t="str">
        <f t="shared" si="54"/>
        <v>Strategy GTM|Market and ICP|STRA-012|CAP_POS_ECOMMERCE</v>
      </c>
      <c r="CP530" t="str">
        <f t="shared" si="55"/>
        <v>Active</v>
      </c>
      <c r="CQ530" t="str">
        <f t="shared" si="56"/>
        <v>OK: capability-driven</v>
      </c>
      <c r="CR530" t="str">
        <f t="shared" si="57"/>
        <v>Risk ontology uses capability=CAP_POS_ECOMMERCE; bridge=BRG-086; treatment=TRT-POS_ECOMMERCE-INITIAL; wording=IW-ALL-POS_ECOMMERCE</v>
      </c>
      <c r="CS530" t="str">
        <f t="shared" si="58"/>
        <v>Yes</v>
      </c>
    </row>
    <row r="531" spans="1:97" ht="69.900000000000006" customHeight="1">
      <c r="A531">
        <f>IF(OR($B531&lt;&gt;"Yes",$BS531=""),"",SUMPRODUCT(($B$500:$B$923="Yes")*ISNUMBER($BS$500:$BS$923)*($BS$500:$BS$923&gt;$BS531))+COUNTIFS($B$500:$B531,"Yes",$BS$500:$BS531,$BS531))</f>
        <v>320</v>
      </c>
      <c r="B531" t="str">
        <f t="shared" si="21"/>
        <v>Yes</v>
      </c>
      <c r="C531" t="s">
        <v>949</v>
      </c>
      <c r="D531" t="s">
        <v>976</v>
      </c>
      <c r="E531" t="s">
        <v>1048</v>
      </c>
      <c r="F531" t="s">
        <v>3680</v>
      </c>
      <c r="G531" t="str">
        <f>IF($H531="","",IFERROR(INDEX(_ENGINE_Risk!$H$5:$M$499,MATCH($E531,_ENGINE_Risk!$A$5:$A$499,0),$H531+1),""))</f>
        <v>Severe risk: structured offering catalog with packages, scope, outcomes, assumptions and delivery requirements is not reliably controlled. During Demand shock; Financial / liquidity shock; Reputation crisis, the organization may face weak crisis positioning, poor prioritization of segments, revenue leakage and inability to adapt the offering with limited visibility or accountability.</v>
      </c>
      <c r="H531">
        <f>IFERROR(VALUE(INDEX(_DATA_Assessment_Model!$H$5:$H$884,MATCH($E531,_DATA_Assessment_Model!$A$5:$A$884,0))),"")</f>
        <v>0</v>
      </c>
      <c r="I531" t="str">
        <f>IF($H531="","",IFERROR(INDEX(_DATA_Assessment_Model!$L$5:$L$884,MATCH($E531,_DATA_Assessment_Model!$A$5:$A$884,0)),IF($H531&lt;=1,"Critical",IF($H531=2,"High",IF($H531=3,"Medium",IF($H531=4,"Low","Resilient"))))))</f>
        <v>Critical</v>
      </c>
      <c r="J531">
        <f t="shared" si="22"/>
        <v>3.6</v>
      </c>
      <c r="K531">
        <f t="shared" si="23"/>
        <v>4.3500000000000005</v>
      </c>
      <c r="L531">
        <f t="shared" si="24"/>
        <v>15.660000000000002</v>
      </c>
      <c r="M531">
        <f t="shared" si="25"/>
        <v>4</v>
      </c>
      <c r="N531">
        <f>IF($H531="","",IFERROR(INDEX(_ENGINE_Risk!$T$5:$Y$499,MATCH($E531,_ENGINE_Risk!$A$5:$A$499,0),$H531+1),""))</f>
        <v>3</v>
      </c>
      <c r="O531">
        <f t="shared" si="26"/>
        <v>4.666666666666667</v>
      </c>
      <c r="P531">
        <f t="shared" si="27"/>
        <v>5</v>
      </c>
      <c r="Q531">
        <f t="shared" si="28"/>
        <v>5</v>
      </c>
      <c r="R531">
        <f t="shared" si="29"/>
        <v>4.5</v>
      </c>
      <c r="S531">
        <f t="shared" si="30"/>
        <v>1.6</v>
      </c>
      <c r="T531" t="str">
        <f>IF($H531="","",IFERROR(INDEX(_ENGINE_Risk!$N$5:$S$499,MATCH($E531,_ENGINE_Risk!$A$5:$A$499,0),$H531+1),""))</f>
        <v>Create an immediate risk owner, minimum control baseline and fallback procedure for structured offering catalog with packages, scope, outcomes, assumptions and delivery requirements. Add it to the crisis risk register and collect first evidence.</v>
      </c>
      <c r="U531">
        <f>IFERROR(INDEX(_DATA_Assessment_Model!$G$5:$G$884,MATCH($E531,_DATA_Assessment_Model!$A$5:$A$884,0)),"")</f>
        <v>5</v>
      </c>
      <c r="V531">
        <f>IFERROR(INDEX(_DATA_Assessment_Model!$W$5:$W$884,MATCH($E531,_DATA_Assessment_Model!$A$5:$A$884,0)),"")</f>
        <v>4</v>
      </c>
      <c r="W531">
        <f>IFERROR(INDEX(_DATA_Assessment_Model!$X$5:$X$884,MATCH($E531,_DATA_Assessment_Model!$A$5:$A$884,0)),"")</f>
        <v>5</v>
      </c>
      <c r="X531">
        <f>IFERROR(INDEX(_DATA_Assessment_Model!$Y$5:$Y$884,MATCH($E531,_DATA_Assessment_Model!$A$5:$A$884,0)),"")</f>
        <v>5</v>
      </c>
      <c r="Y531" t="s">
        <v>962</v>
      </c>
      <c r="Z531" t="s">
        <v>4860</v>
      </c>
      <c r="AA531" t="s">
        <v>1050</v>
      </c>
      <c r="AB531">
        <f>IFERROR(INDEX(_DATA_Assessment_Model!$U$5:$U$884,MATCH($E531,_DATA_Assessment_Model!$A$5:$A$884,0)),"")</f>
        <v>0</v>
      </c>
      <c r="AF531" t="s">
        <v>1049</v>
      </c>
      <c r="AO531">
        <f>IF($B531="Yes",IF(IFERROR(INDEX(_ENGINE_Crisis!$F$501:$F$517,MATCH($C531,_ENGINE_Crisis!$A$501:$A$517,0)),1)=0,1,IFERROR(INDEX(_ENGINE_Crisis!$F$501:$F$517,MATCH($C531,_ENGINE_Crisis!$A$501:$A$517,0)),1)),"")</f>
        <v>1</v>
      </c>
      <c r="AP531">
        <f t="shared" si="37"/>
        <v>15.7</v>
      </c>
      <c r="AQ531">
        <f t="shared" si="38"/>
        <v>1.6</v>
      </c>
      <c r="AR531" t="str">
        <f>IFERROR(INDEX(_ENGINE_Crisis!$E$41:$E$700,MATCH('Resilience &amp; Risk Scenario'!$B$6&amp;"|"&amp;$C531,_ENGINE_Crisis!$I$41:$I$700,0)),"")</f>
        <v/>
      </c>
      <c r="AS531" t="str">
        <f>IFERROR(INDEX(_ENGINE_Crisis!$G$41:$G$700,MATCH('Resilience &amp; Risk Scenario'!$B$6&amp;"|"&amp;$C531,_ENGINE_Crisis!$I$41:$I$700,0)),"")</f>
        <v/>
      </c>
      <c r="AT531" t="str">
        <f>IFERROR(INDEX(_ENGINE_Initiatives!$A$5:$A$532,MATCH(1,INDEX((_ENGINE_Initiatives!$B$5:$B$532=$C531)*(_ENGINE_Initiatives!$C$5:$C$532=$D531),0),0)),"")</f>
        <v>INI-006</v>
      </c>
      <c r="AU531" t="str">
        <f>IFERROR(INDEX(_ENGINE_Initiatives!$F$5:$F$532,MATCH(1,INDEX((_ENGINE_Initiatives!$B$5:$B$532=$C531)*(_ENGINE_Initiatives!$C$5:$C$532=$D531),0),0)),"")</f>
        <v>Standardize offering architecture and crisis-proof value proposition</v>
      </c>
      <c r="AV531">
        <f>IFERROR(INDEX(_ENGINE_Initiatives!$AC$5:$AC$532,MATCH(1,INDEX((_ENGINE_Initiatives!$B$5:$B$532=$C531)*(_ENGINE_Initiatives!$C$5:$C$532=$D531),0),0)),"")</f>
        <v>1.72</v>
      </c>
      <c r="AW531" t="str">
        <f>IFERROR(INDEX(_ENGINE_Initiatives!$AE$5:$AE$532,MATCH(1,INDEX((_ENGINE_Initiatives!$B$5:$B$532=$C531)*(_ENGINE_Initiatives!$C$5:$C$532=$D531),0),0)),"")</f>
        <v>6-12 months</v>
      </c>
      <c r="AX531">
        <f>IF($B531="Yes",IFERROR((IF(SUMIFS(_REF_Model_Content!$E$1:$E$613,_REF_Model_Content!$A$1:$A$613,PV_Canonical_Industry,_REF_Model_Content!$B$1:$B$613,$C531)=0,1,SUMIFS(_REF_Model_Content!$E$1:$E$613,_REF_Model_Content!$A$1:$A$613,PV_Canonical_Industry,_REF_Model_Content!$B$1:$B$613,$C531))*IFERROR($BU531,1)),1),"")</f>
        <v>1</v>
      </c>
      <c r="AY531">
        <f t="shared" si="39"/>
        <v>15.7</v>
      </c>
      <c r="AZ531">
        <f t="shared" si="40"/>
        <v>1.6</v>
      </c>
      <c r="BB531" t="str">
        <f>IF($H531="","",IFERROR(INDEX(_ENGINE_Risk!$AE$5:$AE$499,MATCH($E531,_ENGINE_Risk!$A$5:$A$499,0)),"Medium"))</f>
        <v>Medium</v>
      </c>
      <c r="BC531">
        <f t="shared" si="41"/>
        <v>1</v>
      </c>
      <c r="BD531">
        <f t="shared" si="42"/>
        <v>1.6</v>
      </c>
      <c r="BF531">
        <f>IF(OR($H531="",$J531=""),"",IFERROR(VLOOKUP(ROUND($J531,0),_CONFIG_Model_Settings!$D$154:$E$158,2,0),""))</f>
        <v>0.5</v>
      </c>
      <c r="BG531">
        <f>IFERROR(IF(OR($H531="",$K531=""),"",ROUND('Company Profile'!$B$113*INDEX(_CONFIG_Model_Settings!$H$154:$H$158,MATCH(ROUND($K531,0),_CONFIG_Model_Settings!$G$154:$G$158,0)),0)),0)</f>
        <v>875</v>
      </c>
      <c r="BH531">
        <f t="shared" si="43"/>
        <v>437.5</v>
      </c>
      <c r="BI531">
        <f t="shared" si="44"/>
        <v>437.5</v>
      </c>
      <c r="BJ531">
        <f>IF($E531="","",IFERROR(VLOOKUP($C531,_CONFIG_Risk_Calibration!$A$5:$H$21,2,FALSE),3))</f>
        <v>3</v>
      </c>
      <c r="BK531">
        <f>IF($E531="","",IFERROR(VLOOKUP($C531,_CONFIG_Risk_Calibration!$A$5:$H$21,3,FALSE),0))</f>
        <v>0</v>
      </c>
      <c r="BL531">
        <f>IF($E531="","",IFERROR(VLOOKUP($C531,_CONFIG_Risk_Calibration!$A$5:$H$21,4,FALSE),3))</f>
        <v>3</v>
      </c>
      <c r="BM531">
        <f>IF($E531="","",IFERROR(VLOOKUP($C531,_CONFIG_Risk_Calibration!$A$5:$H$21,5,FALSE),3))</f>
        <v>3</v>
      </c>
      <c r="BN531" t="str">
        <f>IF($E531="","",IFERROR(VLOOKUP($C531,_CONFIG_Risk_Calibration!$A$5:$H$21,6,FALSE),"No"))</f>
        <v>No</v>
      </c>
      <c r="BO531">
        <f>IF($E531="","",IFERROR(VLOOKUP($C531,_CONFIG_Risk_Calibration!$A$5:$H$21,7,FALSE),1))</f>
        <v>1</v>
      </c>
      <c r="BP531">
        <f>IF($H531="","",MAX(1,MIN(5,((6-$H531)*0.45)+($BJ531*0.2)+('Resilience &amp; Risk Scenario'!$B$7*0.15)+($BK531*0.1)+($BL531*0.05)+(IF($BB531="Fast",5,IF($BB531="Slow",1,3))*0.05))))</f>
        <v>3.6</v>
      </c>
      <c r="BQ531">
        <f t="shared" si="45"/>
        <v>4.3500000000000005</v>
      </c>
      <c r="BR531">
        <f t="shared" si="46"/>
        <v>15.66</v>
      </c>
      <c r="BS531">
        <f t="shared" si="47"/>
        <v>15.66</v>
      </c>
      <c r="BT531" t="str">
        <f>IFERROR(INDEX(_REF_Capability_Bridge!$D:$D,MATCH($C531&amp;"|"&amp;$D531,_REF_Capability_Bridge!$J:$J,0)),IFERROR(INDEX(_REF_Capability_Bridge!$D:$D,MATCH($C531&amp;"|",_REF_Capability_Bridge!$J:$J,0)),"CAP_GENERIC"))</f>
        <v>CAP_POS_ECOMMERCE</v>
      </c>
      <c r="BU531">
        <f>IFERROR(IFERROR(INDEX(_ENGINE_Relevance!$L:$L,MATCH($BT531,_ENGINE_Relevance!$B:$B,0)),1),1)</f>
        <v>1</v>
      </c>
      <c r="BV531" t="str">
        <f>IFERROR(INDEX(_REF_Capability_Bridge!$A:$A,MATCH($C531&amp;"|"&amp;$D531,_REF_Capability_Bridge!$J:$J,0)),IFERROR(INDEX(_REF_Capability_Bridge!$A:$A,MATCH($C531&amp;"|",_REF_Capability_Bridge!$J:$J,0)),"No bridge"))</f>
        <v>BRG-087</v>
      </c>
      <c r="BW531" t="str">
        <f t="shared" si="48"/>
        <v>Capability relevance neutral</v>
      </c>
      <c r="BX531" t="str">
        <f t="shared" si="49"/>
        <v>Initial / absent</v>
      </c>
      <c r="BY531" t="str">
        <f>IF($E531="","",IFERROR(INDEX(_REF_Treatment_Library!$A$2:$A$296,MATCH(1,INDEX((_REF_Treatment_Library!$B$2:$B$296=$BT531)*(_REF_Treatment_Library!$C$2:$C$296=PV_Canonical_Industry)*(_REF_Treatment_Library!$E$2:$E$296&lt;=N($H531))*(_REF_Treatment_Library!$F$2:$F$296&gt;=N($H531))*(_REF_Treatment_Library!$O$2:$O$296="Yes"),0),0)),IFERROR(INDEX(_REF_Treatment_Library!$A$2:$A$296,MATCH(1,INDEX((_REF_Treatment_Library!$B$2:$B$296=$BT531)*(_REF_Treatment_Library!$C$2:$C$296="All")*(_REF_Treatment_Library!$E$2:$E$296&lt;=N($H531))*(_REF_Treatment_Library!$F$2:$F$296&gt;=N($H531))*(_REF_Treatment_Library!$O$2:$O$296="Yes"),0),0)),"")))</f>
        <v>TRT-POS_ECOMMERCE-INITIAL</v>
      </c>
      <c r="BZ531" t="str">
        <f>IF($BY531="","",IFERROR(INDEX(_REF_Treatment_Library!$H$2:$H$296,MATCH($BY531,_REF_Treatment_Library!$A$2:$A$296,0)),""))</f>
        <v>Establish</v>
      </c>
      <c r="CA531" t="str">
        <f>IF($BY531="","",IFERROR(INDEX(_REF_Treatment_Library!$I$2:$I$296,MATCH($BY531,_REF_Treatment_Library!$A$2:$A$296,0)),""))</f>
        <v>Establish baseline controls for POS / ecommerce</v>
      </c>
      <c r="CB531" t="str">
        <f>IF($BY531="","",IFERROR(INDEX(_REF_Treatment_Library!$K$2:$K$296,MATCH($BY531,_REF_Treatment_Library!$A$2:$A$296,0)),""))</f>
        <v>Named owner, baseline process, minimum control checklist, first evidence package</v>
      </c>
      <c r="CC531" t="str">
        <f>IF($BY531="","",IFERROR(INDEX(_REF_Treatment_Library!$L$2:$L$296,MATCH($BY531,_REF_Treatment_Library!$A$2:$A$296,0)),""))</f>
        <v>Owner assigned; baseline evidence coverage; open critical gaps</v>
      </c>
      <c r="CD531" t="str">
        <f t="shared" si="50"/>
        <v>Treatment by capability=CAP_POS_ECOMMERCE; band=Initial / absent; score=0.0; treatment=Establish</v>
      </c>
      <c r="CE531" t="str">
        <f>IF($E531="","",IFERROR(INDEX(_REF_Industry_Wording!$A$2:$A$70,MATCH(1,INDEX((_REF_Industry_Wording!$B$2:$B$70=$BT531)*(_REF_Industry_Wording!$C$2:$C$70=PV_Canonical_Industry)*(_REF_Industry_Wording!$K$2:$K$70="Yes"),0),0)),IFERROR(INDEX(_REF_Industry_Wording!$A$2:$A$70,MATCH(1,INDEX((_REF_Industry_Wording!$B$2:$B$70=$BT531)*(_REF_Industry_Wording!$C$2:$C$70="All")*(_REF_Industry_Wording!$K$2:$K$70="Yes"),0),0)),"")))</f>
        <v>IW-ALL-POS_ECOMMERCE</v>
      </c>
      <c r="CF531" t="str">
        <f>IF($CE531="","",IFERROR(INDEX(_REF_Industry_Wording!$E$2:$E$70,MATCH($CE531,_REF_Industry_Wording!$A$2:$A$70,0)),""))</f>
        <v>POS / ecommerce weakness</v>
      </c>
      <c r="CG531" t="str">
        <f>IF($CE531="","",IFERROR(INDEX(_REF_Industry_Wording!$F$2:$F$70,MATCH($CE531,_REF_Industry_Wording!$A$2:$A$70,0)),""))</f>
        <v>Strengthen POS / ecommerce</v>
      </c>
      <c r="CH531" t="str">
        <f>IF($CE531="","",IFERROR(INDEX(_REF_Industry_Wording!$G$2:$G$70,MATCH($CE531,_REF_Industry_Wording!$A$2:$A$70,0)),""))</f>
        <v>Strengthen POS / ecommerce using the selected maturity treatment, crisis scenario and evidence requirements.</v>
      </c>
      <c r="CI531" t="str">
        <f>IF($CE531="","",IFERROR(INDEX(_REF_Industry_Wording!$H$2:$H$70,MATCH($CE531,_REF_Industry_Wording!$A$2:$A$70,0)),""))</f>
        <v>POS / ecommerce</v>
      </c>
      <c r="CJ531">
        <f>IF($CE531="","",IFERROR(INDEX(_REF_Industry_Wording!$I$2:$I$70,MATCH($CE531,_REF_Industry_Wording!$A$2:$A$70,0)),""))</f>
        <v>0</v>
      </c>
      <c r="CK531" t="str">
        <f>IF($CE531="","",IFERROR(INDEX(_REF_Industry_Wording!$J$2:$J$70,MATCH($CE531,_REF_Industry_Wording!$A$2:$A$70,0)),""))</f>
        <v>POS / ecommerce</v>
      </c>
      <c r="CL531" t="str">
        <f t="shared" si="51"/>
        <v>Wording by industry=0; capability=CAP_POS_ECOMMERCE; risk label=POS / ecommerce weakness</v>
      </c>
      <c r="CM531" t="str">
        <f t="shared" si="52"/>
        <v>RISK-ONT-0032</v>
      </c>
      <c r="CN531" t="str">
        <f t="shared" si="53"/>
        <v>RISK-EVT-0032</v>
      </c>
      <c r="CO531" t="str">
        <f t="shared" si="54"/>
        <v>Strategy GTM|Offering and positioning|STRA-013|CAP_POS_ECOMMERCE</v>
      </c>
      <c r="CP531" t="str">
        <f t="shared" si="55"/>
        <v>Active</v>
      </c>
      <c r="CQ531" t="str">
        <f t="shared" si="56"/>
        <v>OK: capability-driven</v>
      </c>
      <c r="CR531" t="str">
        <f t="shared" si="57"/>
        <v>Risk ontology uses capability=CAP_POS_ECOMMERCE; bridge=BRG-087; treatment=TRT-POS_ECOMMERCE-INITIAL; wording=IW-ALL-POS_ECOMMERCE</v>
      </c>
      <c r="CS531" t="str">
        <f t="shared" si="58"/>
        <v>Yes</v>
      </c>
    </row>
    <row r="532" spans="1:97" ht="69.900000000000006" customHeight="1">
      <c r="A532">
        <f>IF(OR($B532&lt;&gt;"Yes",$BS532=""),"",SUMPRODUCT(($B$500:$B$923="Yes")*ISNUMBER($BS$500:$BS$923)*($BS$500:$BS$923&gt;$BS532))+COUNTIFS($B$500:$B532,"Yes",$BS$500:$BS532,$BS532))</f>
        <v>351</v>
      </c>
      <c r="B532" t="str">
        <f t="shared" si="21"/>
        <v>Yes</v>
      </c>
      <c r="C532" t="s">
        <v>949</v>
      </c>
      <c r="D532" t="s">
        <v>976</v>
      </c>
      <c r="E532" t="s">
        <v>1057</v>
      </c>
      <c r="F532" t="s">
        <v>3680</v>
      </c>
      <c r="G532" t="str">
        <f>IF($H532="","",IFERROR(INDEX(_ENGINE_Risk!$H$5:$M$499,MATCH($E532,_ENGINE_Risk!$A$5:$A$499,0),$H532+1),""))</f>
        <v>Severe risk: clear differentiation against direct competitors, substitutes and in-house alternatives is not reliably controlled. During Demand shock; Financial / liquidity shock; Reputation crisis, the organization may face weak crisis positioning, poor prioritization of segments, revenue leakage and inability to adapt the offering with limited visibility or accountability.</v>
      </c>
      <c r="H532">
        <f>IFERROR(VALUE(INDEX(_DATA_Assessment_Model!$H$5:$H$884,MATCH($E532,_DATA_Assessment_Model!$A$5:$A$884,0))),"")</f>
        <v>0</v>
      </c>
      <c r="I532" t="str">
        <f>IF($H532="","",IFERROR(INDEX(_DATA_Assessment_Model!$L$5:$L$884,MATCH($E532,_DATA_Assessment_Model!$A$5:$A$884,0)),IF($H532&lt;=1,"Critical",IF($H532=2,"High",IF($H532=3,"Medium",IF($H532=4,"Low","Resilient"))))))</f>
        <v>Critical</v>
      </c>
      <c r="J532">
        <f t="shared" si="22"/>
        <v>3.6</v>
      </c>
      <c r="K532">
        <f t="shared" si="23"/>
        <v>3.95</v>
      </c>
      <c r="L532">
        <f t="shared" si="24"/>
        <v>14.22</v>
      </c>
      <c r="M532">
        <f t="shared" si="25"/>
        <v>3</v>
      </c>
      <c r="N532">
        <f>IF($H532="","",IFERROR(INDEX(_ENGINE_Risk!$T$5:$Y$499,MATCH($E532,_ENGINE_Risk!$A$5:$A$499,0),$H532+1),""))</f>
        <v>3</v>
      </c>
      <c r="O532">
        <f t="shared" si="26"/>
        <v>4</v>
      </c>
      <c r="P532">
        <f t="shared" si="27"/>
        <v>5</v>
      </c>
      <c r="Q532">
        <f t="shared" si="28"/>
        <v>5</v>
      </c>
      <c r="R532">
        <f t="shared" si="29"/>
        <v>4.5</v>
      </c>
      <c r="S532">
        <f t="shared" si="30"/>
        <v>1.54</v>
      </c>
      <c r="T532" t="str">
        <f>IF($H532="","",IFERROR(INDEX(_ENGINE_Risk!$N$5:$S$499,MATCH($E532,_ENGINE_Risk!$A$5:$A$499,0),$H532+1),""))</f>
        <v>Create an immediate risk owner, minimum control baseline and fallback procedure for clear differentiation against direct competitors, substitutes and in-house alternatives. Add it to the crisis risk register and collect first evidence.</v>
      </c>
      <c r="U532">
        <f>IFERROR(INDEX(_DATA_Assessment_Model!$G$5:$G$884,MATCH($E532,_DATA_Assessment_Model!$A$5:$A$884,0)),"")</f>
        <v>3</v>
      </c>
      <c r="V532">
        <f>IFERROR(INDEX(_DATA_Assessment_Model!$W$5:$W$884,MATCH($E532,_DATA_Assessment_Model!$A$5:$A$884,0)),"")</f>
        <v>4</v>
      </c>
      <c r="W532">
        <f>IFERROR(INDEX(_DATA_Assessment_Model!$X$5:$X$884,MATCH($E532,_DATA_Assessment_Model!$A$5:$A$884,0)),"")</f>
        <v>5</v>
      </c>
      <c r="X532">
        <f>IFERROR(INDEX(_DATA_Assessment_Model!$Y$5:$Y$884,MATCH($E532,_DATA_Assessment_Model!$A$5:$A$884,0)),"")</f>
        <v>5</v>
      </c>
      <c r="Y532" t="s">
        <v>962</v>
      </c>
      <c r="Z532" t="s">
        <v>4860</v>
      </c>
      <c r="AA532" t="s">
        <v>1059</v>
      </c>
      <c r="AB532">
        <f>IFERROR(INDEX(_DATA_Assessment_Model!$U$5:$U$884,MATCH($E532,_DATA_Assessment_Model!$A$5:$A$884,0)),"")</f>
        <v>0</v>
      </c>
      <c r="AF532" t="s">
        <v>1058</v>
      </c>
      <c r="AO532">
        <f>IF($B532="Yes",IF(IFERROR(INDEX(_ENGINE_Crisis!$F$501:$F$517,MATCH($C532,_ENGINE_Crisis!$A$501:$A$517,0)),1)=0,1,IFERROR(INDEX(_ENGINE_Crisis!$F$501:$F$517,MATCH($C532,_ENGINE_Crisis!$A$501:$A$517,0)),1)),"")</f>
        <v>1</v>
      </c>
      <c r="AP532">
        <f t="shared" si="37"/>
        <v>14.2</v>
      </c>
      <c r="AQ532">
        <f t="shared" si="38"/>
        <v>1.54</v>
      </c>
      <c r="AR532" t="str">
        <f>IFERROR(INDEX(_ENGINE_Crisis!$E$41:$E$700,MATCH('Resilience &amp; Risk Scenario'!$B$6&amp;"|"&amp;$C532,_ENGINE_Crisis!$I$41:$I$700,0)),"")</f>
        <v/>
      </c>
      <c r="AS532" t="str">
        <f>IFERROR(INDEX(_ENGINE_Crisis!$G$41:$G$700,MATCH('Resilience &amp; Risk Scenario'!$B$6&amp;"|"&amp;$C532,_ENGINE_Crisis!$I$41:$I$700,0)),"")</f>
        <v/>
      </c>
      <c r="AT532" t="str">
        <f>IFERROR(INDEX(_ENGINE_Initiatives!$A$5:$A$532,MATCH(1,INDEX((_ENGINE_Initiatives!$B$5:$B$532=$C532)*(_ENGINE_Initiatives!$C$5:$C$532=$D532),0),0)),"")</f>
        <v>INI-006</v>
      </c>
      <c r="AU532" t="str">
        <f>IFERROR(INDEX(_ENGINE_Initiatives!$F$5:$F$532,MATCH(1,INDEX((_ENGINE_Initiatives!$B$5:$B$532=$C532)*(_ENGINE_Initiatives!$C$5:$C$532=$D532),0),0)),"")</f>
        <v>Standardize offering architecture and crisis-proof value proposition</v>
      </c>
      <c r="AV532">
        <f>IFERROR(INDEX(_ENGINE_Initiatives!$AC$5:$AC$532,MATCH(1,INDEX((_ENGINE_Initiatives!$B$5:$B$532=$C532)*(_ENGINE_Initiatives!$C$5:$C$532=$D532),0),0)),"")</f>
        <v>1.72</v>
      </c>
      <c r="AW532" t="str">
        <f>IFERROR(INDEX(_ENGINE_Initiatives!$AE$5:$AE$532,MATCH(1,INDEX((_ENGINE_Initiatives!$B$5:$B$532=$C532)*(_ENGINE_Initiatives!$C$5:$C$532=$D532),0),0)),"")</f>
        <v>6-12 months</v>
      </c>
      <c r="AX532">
        <f>IF($B532="Yes",IFERROR((IF(SUMIFS(_REF_Model_Content!$E$1:$E$613,_REF_Model_Content!$A$1:$A$613,PV_Canonical_Industry,_REF_Model_Content!$B$1:$B$613,$C532)=0,1,SUMIFS(_REF_Model_Content!$E$1:$E$613,_REF_Model_Content!$A$1:$A$613,PV_Canonical_Industry,_REF_Model_Content!$B$1:$B$613,$C532))*IFERROR($BU532,1)),1),"")</f>
        <v>1</v>
      </c>
      <c r="AY532">
        <f t="shared" si="39"/>
        <v>14.2</v>
      </c>
      <c r="AZ532">
        <f t="shared" si="40"/>
        <v>1.54</v>
      </c>
      <c r="BB532" t="str">
        <f>IF($H532="","",IFERROR(INDEX(_ENGINE_Risk!$AE$5:$AE$499,MATCH($E532,_ENGINE_Risk!$A$5:$A$499,0)),"Medium"))</f>
        <v>Medium</v>
      </c>
      <c r="BC532">
        <f t="shared" si="41"/>
        <v>1</v>
      </c>
      <c r="BD532">
        <f t="shared" si="42"/>
        <v>1.54</v>
      </c>
      <c r="BF532">
        <f>IF(OR($H532="",$J532=""),"",IFERROR(VLOOKUP(ROUND($J532,0),_CONFIG_Model_Settings!$D$154:$E$158,2,0),""))</f>
        <v>0.5</v>
      </c>
      <c r="BG532">
        <f>IFERROR(IF(OR($H532="",$K532=""),"",ROUND('Company Profile'!$B$113*INDEX(_CONFIG_Model_Settings!$H$154:$H$158,MATCH(ROUND($K532,0),_CONFIG_Model_Settings!$G$154:$G$158,0)),0)),0)</f>
        <v>875</v>
      </c>
      <c r="BH532">
        <f t="shared" si="43"/>
        <v>437.5</v>
      </c>
      <c r="BI532">
        <f t="shared" si="44"/>
        <v>437.5</v>
      </c>
      <c r="BJ532">
        <f>IF($E532="","",IFERROR(VLOOKUP($C532,_CONFIG_Risk_Calibration!$A$5:$H$21,2,FALSE),3))</f>
        <v>3</v>
      </c>
      <c r="BK532">
        <f>IF($E532="","",IFERROR(VLOOKUP($C532,_CONFIG_Risk_Calibration!$A$5:$H$21,3,FALSE),0))</f>
        <v>0</v>
      </c>
      <c r="BL532">
        <f>IF($E532="","",IFERROR(VLOOKUP($C532,_CONFIG_Risk_Calibration!$A$5:$H$21,4,FALSE),3))</f>
        <v>3</v>
      </c>
      <c r="BM532">
        <f>IF($E532="","",IFERROR(VLOOKUP($C532,_CONFIG_Risk_Calibration!$A$5:$H$21,5,FALSE),3))</f>
        <v>3</v>
      </c>
      <c r="BN532" t="str">
        <f>IF($E532="","",IFERROR(VLOOKUP($C532,_CONFIG_Risk_Calibration!$A$5:$H$21,6,FALSE),"No"))</f>
        <v>No</v>
      </c>
      <c r="BO532">
        <f>IF($E532="","",IFERROR(VLOOKUP($C532,_CONFIG_Risk_Calibration!$A$5:$H$21,7,FALSE),1))</f>
        <v>1</v>
      </c>
      <c r="BP532">
        <f>IF($H532="","",MAX(1,MIN(5,((6-$H532)*0.45)+($BJ532*0.2)+('Resilience &amp; Risk Scenario'!$B$7*0.15)+($BK532*0.1)+($BL532*0.05)+(IF($BB532="Fast",5,IF($BB532="Slow",1,3))*0.05))))</f>
        <v>3.6</v>
      </c>
      <c r="BQ532">
        <f t="shared" si="45"/>
        <v>3.95</v>
      </c>
      <c r="BR532">
        <f t="shared" si="46"/>
        <v>14.22</v>
      </c>
      <c r="BS532">
        <f t="shared" si="47"/>
        <v>14.22</v>
      </c>
      <c r="BT532" t="str">
        <f>IFERROR(INDEX(_REF_Capability_Bridge!$D:$D,MATCH($C532&amp;"|"&amp;$D532,_REF_Capability_Bridge!$J:$J,0)),IFERROR(INDEX(_REF_Capability_Bridge!$D:$D,MATCH($C532&amp;"|",_REF_Capability_Bridge!$J:$J,0)),"CAP_GENERIC"))</f>
        <v>CAP_POS_ECOMMERCE</v>
      </c>
      <c r="BU532">
        <f>IFERROR(IFERROR(INDEX(_ENGINE_Relevance!$L:$L,MATCH($BT532,_ENGINE_Relevance!$B:$B,0)),1),1)</f>
        <v>1</v>
      </c>
      <c r="BV532" t="str">
        <f>IFERROR(INDEX(_REF_Capability_Bridge!$A:$A,MATCH($C532&amp;"|"&amp;$D532,_REF_Capability_Bridge!$J:$J,0)),IFERROR(INDEX(_REF_Capability_Bridge!$A:$A,MATCH($C532&amp;"|",_REF_Capability_Bridge!$J:$J,0)),"No bridge"))</f>
        <v>BRG-087</v>
      </c>
      <c r="BW532" t="str">
        <f t="shared" si="48"/>
        <v>Capability relevance neutral</v>
      </c>
      <c r="BX532" t="str">
        <f t="shared" si="49"/>
        <v>Initial / absent</v>
      </c>
      <c r="BY532" t="str">
        <f>IF($E532="","",IFERROR(INDEX(_REF_Treatment_Library!$A$2:$A$296,MATCH(1,INDEX((_REF_Treatment_Library!$B$2:$B$296=$BT532)*(_REF_Treatment_Library!$C$2:$C$296=PV_Canonical_Industry)*(_REF_Treatment_Library!$E$2:$E$296&lt;=N($H532))*(_REF_Treatment_Library!$F$2:$F$296&gt;=N($H532))*(_REF_Treatment_Library!$O$2:$O$296="Yes"),0),0)),IFERROR(INDEX(_REF_Treatment_Library!$A$2:$A$296,MATCH(1,INDEX((_REF_Treatment_Library!$B$2:$B$296=$BT532)*(_REF_Treatment_Library!$C$2:$C$296="All")*(_REF_Treatment_Library!$E$2:$E$296&lt;=N($H532))*(_REF_Treatment_Library!$F$2:$F$296&gt;=N($H532))*(_REF_Treatment_Library!$O$2:$O$296="Yes"),0),0)),"")))</f>
        <v>TRT-POS_ECOMMERCE-INITIAL</v>
      </c>
      <c r="BZ532" t="str">
        <f>IF($BY532="","",IFERROR(INDEX(_REF_Treatment_Library!$H$2:$H$296,MATCH($BY532,_REF_Treatment_Library!$A$2:$A$296,0)),""))</f>
        <v>Establish</v>
      </c>
      <c r="CA532" t="str">
        <f>IF($BY532="","",IFERROR(INDEX(_REF_Treatment_Library!$I$2:$I$296,MATCH($BY532,_REF_Treatment_Library!$A$2:$A$296,0)),""))</f>
        <v>Establish baseline controls for POS / ecommerce</v>
      </c>
      <c r="CB532" t="str">
        <f>IF($BY532="","",IFERROR(INDEX(_REF_Treatment_Library!$K$2:$K$296,MATCH($BY532,_REF_Treatment_Library!$A$2:$A$296,0)),""))</f>
        <v>Named owner, baseline process, minimum control checklist, first evidence package</v>
      </c>
      <c r="CC532" t="str">
        <f>IF($BY532="","",IFERROR(INDEX(_REF_Treatment_Library!$L$2:$L$296,MATCH($BY532,_REF_Treatment_Library!$A$2:$A$296,0)),""))</f>
        <v>Owner assigned; baseline evidence coverage; open critical gaps</v>
      </c>
      <c r="CD532" t="str">
        <f t="shared" si="50"/>
        <v>Treatment by capability=CAP_POS_ECOMMERCE; band=Initial / absent; score=0.0; treatment=Establish</v>
      </c>
      <c r="CE532" t="str">
        <f>IF($E532="","",IFERROR(INDEX(_REF_Industry_Wording!$A$2:$A$70,MATCH(1,INDEX((_REF_Industry_Wording!$B$2:$B$70=$BT532)*(_REF_Industry_Wording!$C$2:$C$70=PV_Canonical_Industry)*(_REF_Industry_Wording!$K$2:$K$70="Yes"),0),0)),IFERROR(INDEX(_REF_Industry_Wording!$A$2:$A$70,MATCH(1,INDEX((_REF_Industry_Wording!$B$2:$B$70=$BT532)*(_REF_Industry_Wording!$C$2:$C$70="All")*(_REF_Industry_Wording!$K$2:$K$70="Yes"),0),0)),"")))</f>
        <v>IW-ALL-POS_ECOMMERCE</v>
      </c>
      <c r="CF532" t="str">
        <f>IF($CE532="","",IFERROR(INDEX(_REF_Industry_Wording!$E$2:$E$70,MATCH($CE532,_REF_Industry_Wording!$A$2:$A$70,0)),""))</f>
        <v>POS / ecommerce weakness</v>
      </c>
      <c r="CG532" t="str">
        <f>IF($CE532="","",IFERROR(INDEX(_REF_Industry_Wording!$F$2:$F$70,MATCH($CE532,_REF_Industry_Wording!$A$2:$A$70,0)),""))</f>
        <v>Strengthen POS / ecommerce</v>
      </c>
      <c r="CH532" t="str">
        <f>IF($CE532="","",IFERROR(INDEX(_REF_Industry_Wording!$G$2:$G$70,MATCH($CE532,_REF_Industry_Wording!$A$2:$A$70,0)),""))</f>
        <v>Strengthen POS / ecommerce using the selected maturity treatment, crisis scenario and evidence requirements.</v>
      </c>
      <c r="CI532" t="str">
        <f>IF($CE532="","",IFERROR(INDEX(_REF_Industry_Wording!$H$2:$H$70,MATCH($CE532,_REF_Industry_Wording!$A$2:$A$70,0)),""))</f>
        <v>POS / ecommerce</v>
      </c>
      <c r="CJ532">
        <f>IF($CE532="","",IFERROR(INDEX(_REF_Industry_Wording!$I$2:$I$70,MATCH($CE532,_REF_Industry_Wording!$A$2:$A$70,0)),""))</f>
        <v>0</v>
      </c>
      <c r="CK532" t="str">
        <f>IF($CE532="","",IFERROR(INDEX(_REF_Industry_Wording!$J$2:$J$70,MATCH($CE532,_REF_Industry_Wording!$A$2:$A$70,0)),""))</f>
        <v>POS / ecommerce</v>
      </c>
      <c r="CL532" t="str">
        <f t="shared" si="51"/>
        <v>Wording by industry=0; capability=CAP_POS_ECOMMERCE; risk label=POS / ecommerce weakness</v>
      </c>
      <c r="CM532" t="str">
        <f t="shared" si="52"/>
        <v>RISK-ONT-0033</v>
      </c>
      <c r="CN532" t="str">
        <f t="shared" si="53"/>
        <v>RISK-EVT-0033</v>
      </c>
      <c r="CO532" t="str">
        <f t="shared" si="54"/>
        <v>Strategy GTM|Offering and positioning|STRA-014|CAP_POS_ECOMMERCE</v>
      </c>
      <c r="CP532" t="str">
        <f t="shared" si="55"/>
        <v>Active</v>
      </c>
      <c r="CQ532" t="str">
        <f t="shared" si="56"/>
        <v>OK: capability-driven</v>
      </c>
      <c r="CR532" t="str">
        <f t="shared" si="57"/>
        <v>Risk ontology uses capability=CAP_POS_ECOMMERCE; bridge=BRG-087; treatment=TRT-POS_ECOMMERCE-INITIAL; wording=IW-ALL-POS_ECOMMERCE</v>
      </c>
      <c r="CS532" t="str">
        <f t="shared" si="58"/>
        <v>Yes</v>
      </c>
    </row>
    <row r="533" spans="1:97" ht="69.900000000000006" customHeight="1">
      <c r="A533">
        <f>IF(OR($B533&lt;&gt;"Yes",$BS533=""),"",SUMPRODUCT(($B$500:$B$923="Yes")*ISNUMBER($BS$500:$BS$923)*($BS$500:$BS$923&gt;$BS533))+COUNTIFS($B$500:$B533,"Yes",$BS$500:$BS533,$BS533))</f>
        <v>321</v>
      </c>
      <c r="B533" t="str">
        <f t="shared" si="21"/>
        <v>Yes</v>
      </c>
      <c r="C533" t="s">
        <v>949</v>
      </c>
      <c r="D533" t="s">
        <v>976</v>
      </c>
      <c r="E533" t="s">
        <v>1066</v>
      </c>
      <c r="F533" t="s">
        <v>3680</v>
      </c>
      <c r="G533" t="str">
        <f>IF($H533="","",IFERROR(INDEX(_ENGINE_Risk!$H$5:$M$499,MATCH($E533,_ENGINE_Risk!$A$5:$A$499,0),$H533+1),""))</f>
        <v>Severe risk: value proposition linked to measurable customer economic value, risk reduction or continuity impact is not reliably controlled. During Demand shock; Financial / liquidity shock; Reputation crisis, the organization may face weak crisis positioning, poor prioritization of segments, revenue leakage and inability to adapt the offering with limited visibility or accountability.</v>
      </c>
      <c r="H533">
        <f>IFERROR(VALUE(INDEX(_DATA_Assessment_Model!$H$5:$H$884,MATCH($E533,_DATA_Assessment_Model!$A$5:$A$884,0))),"")</f>
        <v>0</v>
      </c>
      <c r="I533" t="str">
        <f>IF($H533="","",IFERROR(INDEX(_DATA_Assessment_Model!$L$5:$L$884,MATCH($E533,_DATA_Assessment_Model!$A$5:$A$884,0)),IF($H533&lt;=1,"Critical",IF($H533=2,"High",IF($H533=3,"Medium",IF($H533=4,"Low","Resilient"))))))</f>
        <v>Critical</v>
      </c>
      <c r="J533">
        <f t="shared" si="22"/>
        <v>3.6</v>
      </c>
      <c r="K533">
        <f t="shared" si="23"/>
        <v>4.3500000000000005</v>
      </c>
      <c r="L533">
        <f t="shared" si="24"/>
        <v>15.660000000000002</v>
      </c>
      <c r="M533">
        <f t="shared" si="25"/>
        <v>4</v>
      </c>
      <c r="N533">
        <f>IF($H533="","",IFERROR(INDEX(_ENGINE_Risk!$T$5:$Y$499,MATCH($E533,_ENGINE_Risk!$A$5:$A$499,0),$H533+1),""))</f>
        <v>3</v>
      </c>
      <c r="O533">
        <f t="shared" si="26"/>
        <v>4.666666666666667</v>
      </c>
      <c r="P533">
        <f t="shared" si="27"/>
        <v>5</v>
      </c>
      <c r="Q533">
        <f t="shared" si="28"/>
        <v>5</v>
      </c>
      <c r="R533">
        <f t="shared" si="29"/>
        <v>4.5</v>
      </c>
      <c r="S533">
        <f t="shared" si="30"/>
        <v>1.6</v>
      </c>
      <c r="T533" t="str">
        <f>IF($H533="","",IFERROR(INDEX(_ENGINE_Risk!$N$5:$S$499,MATCH($E533,_ENGINE_Risk!$A$5:$A$499,0),$H533+1),""))</f>
        <v>Create an immediate risk owner, minimum control baseline and fallback procedure for value proposition linked to measurable customer economic value, risk reduction or continuity impact. Add it to the crisis risk register and collect first evidence.</v>
      </c>
      <c r="U533">
        <f>IFERROR(INDEX(_DATA_Assessment_Model!$G$5:$G$884,MATCH($E533,_DATA_Assessment_Model!$A$5:$A$884,0)),"")</f>
        <v>5</v>
      </c>
      <c r="V533">
        <f>IFERROR(INDEX(_DATA_Assessment_Model!$W$5:$W$884,MATCH($E533,_DATA_Assessment_Model!$A$5:$A$884,0)),"")</f>
        <v>4</v>
      </c>
      <c r="W533">
        <f>IFERROR(INDEX(_DATA_Assessment_Model!$X$5:$X$884,MATCH($E533,_DATA_Assessment_Model!$A$5:$A$884,0)),"")</f>
        <v>5</v>
      </c>
      <c r="X533">
        <f>IFERROR(INDEX(_DATA_Assessment_Model!$Y$5:$Y$884,MATCH($E533,_DATA_Assessment_Model!$A$5:$A$884,0)),"")</f>
        <v>5</v>
      </c>
      <c r="Y533" t="s">
        <v>962</v>
      </c>
      <c r="Z533" t="s">
        <v>4860</v>
      </c>
      <c r="AA533" t="s">
        <v>1068</v>
      </c>
      <c r="AB533">
        <f>IFERROR(INDEX(_DATA_Assessment_Model!$U$5:$U$884,MATCH($E533,_DATA_Assessment_Model!$A$5:$A$884,0)),"")</f>
        <v>0</v>
      </c>
      <c r="AF533" t="s">
        <v>1067</v>
      </c>
      <c r="AO533">
        <f>IF($B533="Yes",IF(IFERROR(INDEX(_ENGINE_Crisis!$F$501:$F$517,MATCH($C533,_ENGINE_Crisis!$A$501:$A$517,0)),1)=0,1,IFERROR(INDEX(_ENGINE_Crisis!$F$501:$F$517,MATCH($C533,_ENGINE_Crisis!$A$501:$A$517,0)),1)),"")</f>
        <v>1</v>
      </c>
      <c r="AP533">
        <f t="shared" si="37"/>
        <v>15.7</v>
      </c>
      <c r="AQ533">
        <f t="shared" si="38"/>
        <v>1.6</v>
      </c>
      <c r="AR533" t="str">
        <f>IFERROR(INDEX(_ENGINE_Crisis!$E$41:$E$700,MATCH('Resilience &amp; Risk Scenario'!$B$6&amp;"|"&amp;$C533,_ENGINE_Crisis!$I$41:$I$700,0)),"")</f>
        <v/>
      </c>
      <c r="AS533" t="str">
        <f>IFERROR(INDEX(_ENGINE_Crisis!$G$41:$G$700,MATCH('Resilience &amp; Risk Scenario'!$B$6&amp;"|"&amp;$C533,_ENGINE_Crisis!$I$41:$I$700,0)),"")</f>
        <v/>
      </c>
      <c r="AT533" t="str">
        <f>IFERROR(INDEX(_ENGINE_Initiatives!$A$5:$A$532,MATCH(1,INDEX((_ENGINE_Initiatives!$B$5:$B$532=$C533)*(_ENGINE_Initiatives!$C$5:$C$532=$D533),0),0)),"")</f>
        <v>INI-006</v>
      </c>
      <c r="AU533" t="str">
        <f>IFERROR(INDEX(_ENGINE_Initiatives!$F$5:$F$532,MATCH(1,INDEX((_ENGINE_Initiatives!$B$5:$B$532=$C533)*(_ENGINE_Initiatives!$C$5:$C$532=$D533),0),0)),"")</f>
        <v>Standardize offering architecture and crisis-proof value proposition</v>
      </c>
      <c r="AV533">
        <f>IFERROR(INDEX(_ENGINE_Initiatives!$AC$5:$AC$532,MATCH(1,INDEX((_ENGINE_Initiatives!$B$5:$B$532=$C533)*(_ENGINE_Initiatives!$C$5:$C$532=$D533),0),0)),"")</f>
        <v>1.72</v>
      </c>
      <c r="AW533" t="str">
        <f>IFERROR(INDEX(_ENGINE_Initiatives!$AE$5:$AE$532,MATCH(1,INDEX((_ENGINE_Initiatives!$B$5:$B$532=$C533)*(_ENGINE_Initiatives!$C$5:$C$532=$D533),0),0)),"")</f>
        <v>6-12 months</v>
      </c>
      <c r="AX533">
        <f>IF($B533="Yes",IFERROR((IF(SUMIFS(_REF_Model_Content!$E$1:$E$613,_REF_Model_Content!$A$1:$A$613,PV_Canonical_Industry,_REF_Model_Content!$B$1:$B$613,$C533)=0,1,SUMIFS(_REF_Model_Content!$E$1:$E$613,_REF_Model_Content!$A$1:$A$613,PV_Canonical_Industry,_REF_Model_Content!$B$1:$B$613,$C533))*IFERROR($BU533,1)),1),"")</f>
        <v>1</v>
      </c>
      <c r="AY533">
        <f t="shared" si="39"/>
        <v>15.7</v>
      </c>
      <c r="AZ533">
        <f t="shared" si="40"/>
        <v>1.6</v>
      </c>
      <c r="BB533" t="str">
        <f>IF($H533="","",IFERROR(INDEX(_ENGINE_Risk!$AE$5:$AE$499,MATCH($E533,_ENGINE_Risk!$A$5:$A$499,0)),"Medium"))</f>
        <v>Medium</v>
      </c>
      <c r="BC533">
        <f t="shared" si="41"/>
        <v>1</v>
      </c>
      <c r="BD533">
        <f t="shared" si="42"/>
        <v>1.6</v>
      </c>
      <c r="BF533">
        <f>IF(OR($H533="",$J533=""),"",IFERROR(VLOOKUP(ROUND($J533,0),_CONFIG_Model_Settings!$D$154:$E$158,2,0),""))</f>
        <v>0.5</v>
      </c>
      <c r="BG533">
        <f>IFERROR(IF(OR($H533="",$K533=""),"",ROUND('Company Profile'!$B$113*INDEX(_CONFIG_Model_Settings!$H$154:$H$158,MATCH(ROUND($K533,0),_CONFIG_Model_Settings!$G$154:$G$158,0)),0)),0)</f>
        <v>875</v>
      </c>
      <c r="BH533">
        <f t="shared" si="43"/>
        <v>437.5</v>
      </c>
      <c r="BI533">
        <f t="shared" si="44"/>
        <v>437.5</v>
      </c>
      <c r="BJ533">
        <f>IF($E533="","",IFERROR(VLOOKUP($C533,_CONFIG_Risk_Calibration!$A$5:$H$21,2,FALSE),3))</f>
        <v>3</v>
      </c>
      <c r="BK533">
        <f>IF($E533="","",IFERROR(VLOOKUP($C533,_CONFIG_Risk_Calibration!$A$5:$H$21,3,FALSE),0))</f>
        <v>0</v>
      </c>
      <c r="BL533">
        <f>IF($E533="","",IFERROR(VLOOKUP($C533,_CONFIG_Risk_Calibration!$A$5:$H$21,4,FALSE),3))</f>
        <v>3</v>
      </c>
      <c r="BM533">
        <f>IF($E533="","",IFERROR(VLOOKUP($C533,_CONFIG_Risk_Calibration!$A$5:$H$21,5,FALSE),3))</f>
        <v>3</v>
      </c>
      <c r="BN533" t="str">
        <f>IF($E533="","",IFERROR(VLOOKUP($C533,_CONFIG_Risk_Calibration!$A$5:$H$21,6,FALSE),"No"))</f>
        <v>No</v>
      </c>
      <c r="BO533">
        <f>IF($E533="","",IFERROR(VLOOKUP($C533,_CONFIG_Risk_Calibration!$A$5:$H$21,7,FALSE),1))</f>
        <v>1</v>
      </c>
      <c r="BP533">
        <f>IF($H533="","",MAX(1,MIN(5,((6-$H533)*0.45)+($BJ533*0.2)+('Resilience &amp; Risk Scenario'!$B$7*0.15)+($BK533*0.1)+($BL533*0.05)+(IF($BB533="Fast",5,IF($BB533="Slow",1,3))*0.05))))</f>
        <v>3.6</v>
      </c>
      <c r="BQ533">
        <f t="shared" si="45"/>
        <v>4.3500000000000005</v>
      </c>
      <c r="BR533">
        <f t="shared" si="46"/>
        <v>15.66</v>
      </c>
      <c r="BS533">
        <f t="shared" si="47"/>
        <v>15.66</v>
      </c>
      <c r="BT533" t="str">
        <f>IFERROR(INDEX(_REF_Capability_Bridge!$D:$D,MATCH($C533&amp;"|"&amp;$D533,_REF_Capability_Bridge!$J:$J,0)),IFERROR(INDEX(_REF_Capability_Bridge!$D:$D,MATCH($C533&amp;"|",_REF_Capability_Bridge!$J:$J,0)),"CAP_GENERIC"))</f>
        <v>CAP_POS_ECOMMERCE</v>
      </c>
      <c r="BU533">
        <f>IFERROR(IFERROR(INDEX(_ENGINE_Relevance!$L:$L,MATCH($BT533,_ENGINE_Relevance!$B:$B,0)),1),1)</f>
        <v>1</v>
      </c>
      <c r="BV533" t="str">
        <f>IFERROR(INDEX(_REF_Capability_Bridge!$A:$A,MATCH($C533&amp;"|"&amp;$D533,_REF_Capability_Bridge!$J:$J,0)),IFERROR(INDEX(_REF_Capability_Bridge!$A:$A,MATCH($C533&amp;"|",_REF_Capability_Bridge!$J:$J,0)),"No bridge"))</f>
        <v>BRG-087</v>
      </c>
      <c r="BW533" t="str">
        <f t="shared" si="48"/>
        <v>Capability relevance neutral</v>
      </c>
      <c r="BX533" t="str">
        <f t="shared" si="49"/>
        <v>Initial / absent</v>
      </c>
      <c r="BY533" t="str">
        <f>IF($E533="","",IFERROR(INDEX(_REF_Treatment_Library!$A$2:$A$296,MATCH(1,INDEX((_REF_Treatment_Library!$B$2:$B$296=$BT533)*(_REF_Treatment_Library!$C$2:$C$296=PV_Canonical_Industry)*(_REF_Treatment_Library!$E$2:$E$296&lt;=N($H533))*(_REF_Treatment_Library!$F$2:$F$296&gt;=N($H533))*(_REF_Treatment_Library!$O$2:$O$296="Yes"),0),0)),IFERROR(INDEX(_REF_Treatment_Library!$A$2:$A$296,MATCH(1,INDEX((_REF_Treatment_Library!$B$2:$B$296=$BT533)*(_REF_Treatment_Library!$C$2:$C$296="All")*(_REF_Treatment_Library!$E$2:$E$296&lt;=N($H533))*(_REF_Treatment_Library!$F$2:$F$296&gt;=N($H533))*(_REF_Treatment_Library!$O$2:$O$296="Yes"),0),0)),"")))</f>
        <v>TRT-POS_ECOMMERCE-INITIAL</v>
      </c>
      <c r="BZ533" t="str">
        <f>IF($BY533="","",IFERROR(INDEX(_REF_Treatment_Library!$H$2:$H$296,MATCH($BY533,_REF_Treatment_Library!$A$2:$A$296,0)),""))</f>
        <v>Establish</v>
      </c>
      <c r="CA533" t="str">
        <f>IF($BY533="","",IFERROR(INDEX(_REF_Treatment_Library!$I$2:$I$296,MATCH($BY533,_REF_Treatment_Library!$A$2:$A$296,0)),""))</f>
        <v>Establish baseline controls for POS / ecommerce</v>
      </c>
      <c r="CB533" t="str">
        <f>IF($BY533="","",IFERROR(INDEX(_REF_Treatment_Library!$K$2:$K$296,MATCH($BY533,_REF_Treatment_Library!$A$2:$A$296,0)),""))</f>
        <v>Named owner, baseline process, minimum control checklist, first evidence package</v>
      </c>
      <c r="CC533" t="str">
        <f>IF($BY533="","",IFERROR(INDEX(_REF_Treatment_Library!$L$2:$L$296,MATCH($BY533,_REF_Treatment_Library!$A$2:$A$296,0)),""))</f>
        <v>Owner assigned; baseline evidence coverage; open critical gaps</v>
      </c>
      <c r="CD533" t="str">
        <f t="shared" si="50"/>
        <v>Treatment by capability=CAP_POS_ECOMMERCE; band=Initial / absent; score=0.0; treatment=Establish</v>
      </c>
      <c r="CE533" t="str">
        <f>IF($E533="","",IFERROR(INDEX(_REF_Industry_Wording!$A$2:$A$70,MATCH(1,INDEX((_REF_Industry_Wording!$B$2:$B$70=$BT533)*(_REF_Industry_Wording!$C$2:$C$70=PV_Canonical_Industry)*(_REF_Industry_Wording!$K$2:$K$70="Yes"),0),0)),IFERROR(INDEX(_REF_Industry_Wording!$A$2:$A$70,MATCH(1,INDEX((_REF_Industry_Wording!$B$2:$B$70=$BT533)*(_REF_Industry_Wording!$C$2:$C$70="All")*(_REF_Industry_Wording!$K$2:$K$70="Yes"),0),0)),"")))</f>
        <v>IW-ALL-POS_ECOMMERCE</v>
      </c>
      <c r="CF533" t="str">
        <f>IF($CE533="","",IFERROR(INDEX(_REF_Industry_Wording!$E$2:$E$70,MATCH($CE533,_REF_Industry_Wording!$A$2:$A$70,0)),""))</f>
        <v>POS / ecommerce weakness</v>
      </c>
      <c r="CG533" t="str">
        <f>IF($CE533="","",IFERROR(INDEX(_REF_Industry_Wording!$F$2:$F$70,MATCH($CE533,_REF_Industry_Wording!$A$2:$A$70,0)),""))</f>
        <v>Strengthen POS / ecommerce</v>
      </c>
      <c r="CH533" t="str">
        <f>IF($CE533="","",IFERROR(INDEX(_REF_Industry_Wording!$G$2:$G$70,MATCH($CE533,_REF_Industry_Wording!$A$2:$A$70,0)),""))</f>
        <v>Strengthen POS / ecommerce using the selected maturity treatment, crisis scenario and evidence requirements.</v>
      </c>
      <c r="CI533" t="str">
        <f>IF($CE533="","",IFERROR(INDEX(_REF_Industry_Wording!$H$2:$H$70,MATCH($CE533,_REF_Industry_Wording!$A$2:$A$70,0)),""))</f>
        <v>POS / ecommerce</v>
      </c>
      <c r="CJ533">
        <f>IF($CE533="","",IFERROR(INDEX(_REF_Industry_Wording!$I$2:$I$70,MATCH($CE533,_REF_Industry_Wording!$A$2:$A$70,0)),""))</f>
        <v>0</v>
      </c>
      <c r="CK533" t="str">
        <f>IF($CE533="","",IFERROR(INDEX(_REF_Industry_Wording!$J$2:$J$70,MATCH($CE533,_REF_Industry_Wording!$A$2:$A$70,0)),""))</f>
        <v>POS / ecommerce</v>
      </c>
      <c r="CL533" t="str">
        <f t="shared" si="51"/>
        <v>Wording by industry=0; capability=CAP_POS_ECOMMERCE; risk label=POS / ecommerce weakness</v>
      </c>
      <c r="CM533" t="str">
        <f t="shared" si="52"/>
        <v>RISK-ONT-0034</v>
      </c>
      <c r="CN533" t="str">
        <f t="shared" si="53"/>
        <v>RISK-EVT-0034</v>
      </c>
      <c r="CO533" t="str">
        <f t="shared" si="54"/>
        <v>Strategy GTM|Offering and positioning|STRA-015|CAP_POS_ECOMMERCE</v>
      </c>
      <c r="CP533" t="str">
        <f t="shared" si="55"/>
        <v>Active</v>
      </c>
      <c r="CQ533" t="str">
        <f t="shared" si="56"/>
        <v>OK: capability-driven</v>
      </c>
      <c r="CR533" t="str">
        <f t="shared" si="57"/>
        <v>Risk ontology uses capability=CAP_POS_ECOMMERCE; bridge=BRG-087; treatment=TRT-POS_ECOMMERCE-INITIAL; wording=IW-ALL-POS_ECOMMERCE</v>
      </c>
      <c r="CS533" t="str">
        <f t="shared" si="58"/>
        <v>Yes</v>
      </c>
    </row>
    <row r="534" spans="1:97" ht="69.900000000000006" customHeight="1">
      <c r="A534">
        <f>IF(OR($B534&lt;&gt;"Yes",$BS534=""),"",SUMPRODUCT(($B$500:$B$923="Yes")*ISNUMBER($BS$500:$BS$923)*($BS$500:$BS$923&gt;$BS534))+COUNTIFS($B$500:$B534,"Yes",$BS$500:$BS534,$BS534))</f>
        <v>322</v>
      </c>
      <c r="B534" t="str">
        <f t="shared" si="21"/>
        <v>Yes</v>
      </c>
      <c r="C534" t="s">
        <v>949</v>
      </c>
      <c r="D534" t="s">
        <v>976</v>
      </c>
      <c r="E534" t="s">
        <v>1075</v>
      </c>
      <c r="F534" t="s">
        <v>3680</v>
      </c>
      <c r="G534" t="str">
        <f>IF($H534="","",IFERROR(INDEX(_ENGINE_Risk!$H$5:$M$499,MATCH($E534,_ENGINE_Risk!$A$5:$A$499,0),$H534+1),""))</f>
        <v>Severe risk: pricing strategy with margin thresholds, discount governance and crisis boundaries is not reliably controlled. During Demand shock; Financial / liquidity shock; Reputation crisis, the organization may face weak crisis positioning, poor prioritization of segments, revenue leakage and inability to adapt the offering with limited visibility or accountability.</v>
      </c>
      <c r="H534">
        <f>IFERROR(VALUE(INDEX(_DATA_Assessment_Model!$H$5:$H$884,MATCH($E534,_DATA_Assessment_Model!$A$5:$A$884,0))),"")</f>
        <v>0</v>
      </c>
      <c r="I534" t="str">
        <f>IF($H534="","",IFERROR(INDEX(_DATA_Assessment_Model!$L$5:$L$884,MATCH($E534,_DATA_Assessment_Model!$A$5:$A$884,0)),IF($H534&lt;=1,"Critical",IF($H534=2,"High",IF($H534=3,"Medium",IF($H534=4,"Low","Resilient"))))))</f>
        <v>Critical</v>
      </c>
      <c r="J534">
        <f t="shared" si="22"/>
        <v>3.6</v>
      </c>
      <c r="K534">
        <f t="shared" si="23"/>
        <v>4.3500000000000005</v>
      </c>
      <c r="L534">
        <f t="shared" si="24"/>
        <v>15.660000000000002</v>
      </c>
      <c r="M534">
        <f t="shared" si="25"/>
        <v>4</v>
      </c>
      <c r="N534">
        <f>IF($H534="","",IFERROR(INDEX(_ENGINE_Risk!$T$5:$Y$499,MATCH($E534,_ENGINE_Risk!$A$5:$A$499,0),$H534+1),""))</f>
        <v>3</v>
      </c>
      <c r="O534">
        <f t="shared" si="26"/>
        <v>4.666666666666667</v>
      </c>
      <c r="P534">
        <f t="shared" si="27"/>
        <v>5</v>
      </c>
      <c r="Q534">
        <f t="shared" si="28"/>
        <v>5</v>
      </c>
      <c r="R534">
        <f t="shared" si="29"/>
        <v>4.5</v>
      </c>
      <c r="S534">
        <f t="shared" si="30"/>
        <v>1.6</v>
      </c>
      <c r="T534" t="str">
        <f>IF($H534="","",IFERROR(INDEX(_ENGINE_Risk!$N$5:$S$499,MATCH($E534,_ENGINE_Risk!$A$5:$A$499,0),$H534+1),""))</f>
        <v>Create an immediate risk owner, minimum control baseline and fallback procedure for pricing strategy with margin thresholds, discount governance and crisis boundaries. Add it to the crisis risk register and collect first evidence.</v>
      </c>
      <c r="U534">
        <f>IFERROR(INDEX(_DATA_Assessment_Model!$G$5:$G$884,MATCH($E534,_DATA_Assessment_Model!$A$5:$A$884,0)),"")</f>
        <v>5</v>
      </c>
      <c r="V534">
        <f>IFERROR(INDEX(_DATA_Assessment_Model!$W$5:$W$884,MATCH($E534,_DATA_Assessment_Model!$A$5:$A$884,0)),"")</f>
        <v>4</v>
      </c>
      <c r="W534">
        <f>IFERROR(INDEX(_DATA_Assessment_Model!$X$5:$X$884,MATCH($E534,_DATA_Assessment_Model!$A$5:$A$884,0)),"")</f>
        <v>5</v>
      </c>
      <c r="X534">
        <f>IFERROR(INDEX(_DATA_Assessment_Model!$Y$5:$Y$884,MATCH($E534,_DATA_Assessment_Model!$A$5:$A$884,0)),"")</f>
        <v>5</v>
      </c>
      <c r="Y534" t="s">
        <v>962</v>
      </c>
      <c r="Z534" t="s">
        <v>4860</v>
      </c>
      <c r="AA534" t="s">
        <v>1077</v>
      </c>
      <c r="AB534">
        <f>IFERROR(INDEX(_DATA_Assessment_Model!$U$5:$U$884,MATCH($E534,_DATA_Assessment_Model!$A$5:$A$884,0)),"")</f>
        <v>0</v>
      </c>
      <c r="AF534" t="s">
        <v>1076</v>
      </c>
      <c r="AO534">
        <f>IF($B534="Yes",IF(IFERROR(INDEX(_ENGINE_Crisis!$F$501:$F$517,MATCH($C534,_ENGINE_Crisis!$A$501:$A$517,0)),1)=0,1,IFERROR(INDEX(_ENGINE_Crisis!$F$501:$F$517,MATCH($C534,_ENGINE_Crisis!$A$501:$A$517,0)),1)),"")</f>
        <v>1</v>
      </c>
      <c r="AP534">
        <f t="shared" si="37"/>
        <v>15.7</v>
      </c>
      <c r="AQ534">
        <f t="shared" si="38"/>
        <v>1.6</v>
      </c>
      <c r="AR534" t="str">
        <f>IFERROR(INDEX(_ENGINE_Crisis!$E$41:$E$700,MATCH('Resilience &amp; Risk Scenario'!$B$6&amp;"|"&amp;$C534,_ENGINE_Crisis!$I$41:$I$700,0)),"")</f>
        <v/>
      </c>
      <c r="AS534" t="str">
        <f>IFERROR(INDEX(_ENGINE_Crisis!$G$41:$G$700,MATCH('Resilience &amp; Risk Scenario'!$B$6&amp;"|"&amp;$C534,_ENGINE_Crisis!$I$41:$I$700,0)),"")</f>
        <v/>
      </c>
      <c r="AT534" t="str">
        <f>IFERROR(INDEX(_ENGINE_Initiatives!$A$5:$A$532,MATCH(1,INDEX((_ENGINE_Initiatives!$B$5:$B$532=$C534)*(_ENGINE_Initiatives!$C$5:$C$532=$D534),0),0)),"")</f>
        <v>INI-006</v>
      </c>
      <c r="AU534" t="str">
        <f>IFERROR(INDEX(_ENGINE_Initiatives!$F$5:$F$532,MATCH(1,INDEX((_ENGINE_Initiatives!$B$5:$B$532=$C534)*(_ENGINE_Initiatives!$C$5:$C$532=$D534),0),0)),"")</f>
        <v>Standardize offering architecture and crisis-proof value proposition</v>
      </c>
      <c r="AV534">
        <f>IFERROR(INDEX(_ENGINE_Initiatives!$AC$5:$AC$532,MATCH(1,INDEX((_ENGINE_Initiatives!$B$5:$B$532=$C534)*(_ENGINE_Initiatives!$C$5:$C$532=$D534),0),0)),"")</f>
        <v>1.72</v>
      </c>
      <c r="AW534" t="str">
        <f>IFERROR(INDEX(_ENGINE_Initiatives!$AE$5:$AE$532,MATCH(1,INDEX((_ENGINE_Initiatives!$B$5:$B$532=$C534)*(_ENGINE_Initiatives!$C$5:$C$532=$D534),0),0)),"")</f>
        <v>6-12 months</v>
      </c>
      <c r="AX534">
        <f>IF($B534="Yes",IFERROR((IF(SUMIFS(_REF_Model_Content!$E$1:$E$613,_REF_Model_Content!$A$1:$A$613,PV_Canonical_Industry,_REF_Model_Content!$B$1:$B$613,$C534)=0,1,SUMIFS(_REF_Model_Content!$E$1:$E$613,_REF_Model_Content!$A$1:$A$613,PV_Canonical_Industry,_REF_Model_Content!$B$1:$B$613,$C534))*IFERROR($BU534,1)),1),"")</f>
        <v>1</v>
      </c>
      <c r="AY534">
        <f t="shared" si="39"/>
        <v>15.7</v>
      </c>
      <c r="AZ534">
        <f t="shared" si="40"/>
        <v>1.6</v>
      </c>
      <c r="BB534" t="str">
        <f>IF($H534="","",IFERROR(INDEX(_ENGINE_Risk!$AE$5:$AE$499,MATCH($E534,_ENGINE_Risk!$A$5:$A$499,0)),"Medium"))</f>
        <v>Medium</v>
      </c>
      <c r="BC534">
        <f t="shared" si="41"/>
        <v>1</v>
      </c>
      <c r="BD534">
        <f t="shared" si="42"/>
        <v>1.6</v>
      </c>
      <c r="BF534">
        <f>IF(OR($H534="",$J534=""),"",IFERROR(VLOOKUP(ROUND($J534,0),_CONFIG_Model_Settings!$D$154:$E$158,2,0),""))</f>
        <v>0.5</v>
      </c>
      <c r="BG534">
        <f>IFERROR(IF(OR($H534="",$K534=""),"",ROUND('Company Profile'!$B$113*INDEX(_CONFIG_Model_Settings!$H$154:$H$158,MATCH(ROUND($K534,0),_CONFIG_Model_Settings!$G$154:$G$158,0)),0)),0)</f>
        <v>875</v>
      </c>
      <c r="BH534">
        <f t="shared" si="43"/>
        <v>437.5</v>
      </c>
      <c r="BI534">
        <f t="shared" si="44"/>
        <v>437.5</v>
      </c>
      <c r="BJ534">
        <f>IF($E534="","",IFERROR(VLOOKUP($C534,_CONFIG_Risk_Calibration!$A$5:$H$21,2,FALSE),3))</f>
        <v>3</v>
      </c>
      <c r="BK534">
        <f>IF($E534="","",IFERROR(VLOOKUP($C534,_CONFIG_Risk_Calibration!$A$5:$H$21,3,FALSE),0))</f>
        <v>0</v>
      </c>
      <c r="BL534">
        <f>IF($E534="","",IFERROR(VLOOKUP($C534,_CONFIG_Risk_Calibration!$A$5:$H$21,4,FALSE),3))</f>
        <v>3</v>
      </c>
      <c r="BM534">
        <f>IF($E534="","",IFERROR(VLOOKUP($C534,_CONFIG_Risk_Calibration!$A$5:$H$21,5,FALSE),3))</f>
        <v>3</v>
      </c>
      <c r="BN534" t="str">
        <f>IF($E534="","",IFERROR(VLOOKUP($C534,_CONFIG_Risk_Calibration!$A$5:$H$21,6,FALSE),"No"))</f>
        <v>No</v>
      </c>
      <c r="BO534">
        <f>IF($E534="","",IFERROR(VLOOKUP($C534,_CONFIG_Risk_Calibration!$A$5:$H$21,7,FALSE),1))</f>
        <v>1</v>
      </c>
      <c r="BP534">
        <f>IF($H534="","",MAX(1,MIN(5,((6-$H534)*0.45)+($BJ534*0.2)+('Resilience &amp; Risk Scenario'!$B$7*0.15)+($BK534*0.1)+($BL534*0.05)+(IF($BB534="Fast",5,IF($BB534="Slow",1,3))*0.05))))</f>
        <v>3.6</v>
      </c>
      <c r="BQ534">
        <f t="shared" si="45"/>
        <v>4.3500000000000005</v>
      </c>
      <c r="BR534">
        <f t="shared" si="46"/>
        <v>15.66</v>
      </c>
      <c r="BS534">
        <f t="shared" si="47"/>
        <v>15.66</v>
      </c>
      <c r="BT534" t="str">
        <f>IFERROR(INDEX(_REF_Capability_Bridge!$D:$D,MATCH($C534&amp;"|"&amp;$D534,_REF_Capability_Bridge!$J:$J,0)),IFERROR(INDEX(_REF_Capability_Bridge!$D:$D,MATCH($C534&amp;"|",_REF_Capability_Bridge!$J:$J,0)),"CAP_GENERIC"))</f>
        <v>CAP_POS_ECOMMERCE</v>
      </c>
      <c r="BU534">
        <f>IFERROR(IFERROR(INDEX(_ENGINE_Relevance!$L:$L,MATCH($BT534,_ENGINE_Relevance!$B:$B,0)),1),1)</f>
        <v>1</v>
      </c>
      <c r="BV534" t="str">
        <f>IFERROR(INDEX(_REF_Capability_Bridge!$A:$A,MATCH($C534&amp;"|"&amp;$D534,_REF_Capability_Bridge!$J:$J,0)),IFERROR(INDEX(_REF_Capability_Bridge!$A:$A,MATCH($C534&amp;"|",_REF_Capability_Bridge!$J:$J,0)),"No bridge"))</f>
        <v>BRG-087</v>
      </c>
      <c r="BW534" t="str">
        <f t="shared" si="48"/>
        <v>Capability relevance neutral</v>
      </c>
      <c r="BX534" t="str">
        <f t="shared" si="49"/>
        <v>Initial / absent</v>
      </c>
      <c r="BY534" t="str">
        <f>IF($E534="","",IFERROR(INDEX(_REF_Treatment_Library!$A$2:$A$296,MATCH(1,INDEX((_REF_Treatment_Library!$B$2:$B$296=$BT534)*(_REF_Treatment_Library!$C$2:$C$296=PV_Canonical_Industry)*(_REF_Treatment_Library!$E$2:$E$296&lt;=N($H534))*(_REF_Treatment_Library!$F$2:$F$296&gt;=N($H534))*(_REF_Treatment_Library!$O$2:$O$296="Yes"),0),0)),IFERROR(INDEX(_REF_Treatment_Library!$A$2:$A$296,MATCH(1,INDEX((_REF_Treatment_Library!$B$2:$B$296=$BT534)*(_REF_Treatment_Library!$C$2:$C$296="All")*(_REF_Treatment_Library!$E$2:$E$296&lt;=N($H534))*(_REF_Treatment_Library!$F$2:$F$296&gt;=N($H534))*(_REF_Treatment_Library!$O$2:$O$296="Yes"),0),0)),"")))</f>
        <v>TRT-POS_ECOMMERCE-INITIAL</v>
      </c>
      <c r="BZ534" t="str">
        <f>IF($BY534="","",IFERROR(INDEX(_REF_Treatment_Library!$H$2:$H$296,MATCH($BY534,_REF_Treatment_Library!$A$2:$A$296,0)),""))</f>
        <v>Establish</v>
      </c>
      <c r="CA534" t="str">
        <f>IF($BY534="","",IFERROR(INDEX(_REF_Treatment_Library!$I$2:$I$296,MATCH($BY534,_REF_Treatment_Library!$A$2:$A$296,0)),""))</f>
        <v>Establish baseline controls for POS / ecommerce</v>
      </c>
      <c r="CB534" t="str">
        <f>IF($BY534="","",IFERROR(INDEX(_REF_Treatment_Library!$K$2:$K$296,MATCH($BY534,_REF_Treatment_Library!$A$2:$A$296,0)),""))</f>
        <v>Named owner, baseline process, minimum control checklist, first evidence package</v>
      </c>
      <c r="CC534" t="str">
        <f>IF($BY534="","",IFERROR(INDEX(_REF_Treatment_Library!$L$2:$L$296,MATCH($BY534,_REF_Treatment_Library!$A$2:$A$296,0)),""))</f>
        <v>Owner assigned; baseline evidence coverage; open critical gaps</v>
      </c>
      <c r="CD534" t="str">
        <f t="shared" si="50"/>
        <v>Treatment by capability=CAP_POS_ECOMMERCE; band=Initial / absent; score=0.0; treatment=Establish</v>
      </c>
      <c r="CE534" t="str">
        <f>IF($E534="","",IFERROR(INDEX(_REF_Industry_Wording!$A$2:$A$70,MATCH(1,INDEX((_REF_Industry_Wording!$B$2:$B$70=$BT534)*(_REF_Industry_Wording!$C$2:$C$70=PV_Canonical_Industry)*(_REF_Industry_Wording!$K$2:$K$70="Yes"),0),0)),IFERROR(INDEX(_REF_Industry_Wording!$A$2:$A$70,MATCH(1,INDEX((_REF_Industry_Wording!$B$2:$B$70=$BT534)*(_REF_Industry_Wording!$C$2:$C$70="All")*(_REF_Industry_Wording!$K$2:$K$70="Yes"),0),0)),"")))</f>
        <v>IW-ALL-POS_ECOMMERCE</v>
      </c>
      <c r="CF534" t="str">
        <f>IF($CE534="","",IFERROR(INDEX(_REF_Industry_Wording!$E$2:$E$70,MATCH($CE534,_REF_Industry_Wording!$A$2:$A$70,0)),""))</f>
        <v>POS / ecommerce weakness</v>
      </c>
      <c r="CG534" t="str">
        <f>IF($CE534="","",IFERROR(INDEX(_REF_Industry_Wording!$F$2:$F$70,MATCH($CE534,_REF_Industry_Wording!$A$2:$A$70,0)),""))</f>
        <v>Strengthen POS / ecommerce</v>
      </c>
      <c r="CH534" t="str">
        <f>IF($CE534="","",IFERROR(INDEX(_REF_Industry_Wording!$G$2:$G$70,MATCH($CE534,_REF_Industry_Wording!$A$2:$A$70,0)),""))</f>
        <v>Strengthen POS / ecommerce using the selected maturity treatment, crisis scenario and evidence requirements.</v>
      </c>
      <c r="CI534" t="str">
        <f>IF($CE534="","",IFERROR(INDEX(_REF_Industry_Wording!$H$2:$H$70,MATCH($CE534,_REF_Industry_Wording!$A$2:$A$70,0)),""))</f>
        <v>POS / ecommerce</v>
      </c>
      <c r="CJ534">
        <f>IF($CE534="","",IFERROR(INDEX(_REF_Industry_Wording!$I$2:$I$70,MATCH($CE534,_REF_Industry_Wording!$A$2:$A$70,0)),""))</f>
        <v>0</v>
      </c>
      <c r="CK534" t="str">
        <f>IF($CE534="","",IFERROR(INDEX(_REF_Industry_Wording!$J$2:$J$70,MATCH($CE534,_REF_Industry_Wording!$A$2:$A$70,0)),""))</f>
        <v>POS / ecommerce</v>
      </c>
      <c r="CL534" t="str">
        <f t="shared" si="51"/>
        <v>Wording by industry=0; capability=CAP_POS_ECOMMERCE; risk label=POS / ecommerce weakness</v>
      </c>
      <c r="CM534" t="str">
        <f t="shared" si="52"/>
        <v>RISK-ONT-0035</v>
      </c>
      <c r="CN534" t="str">
        <f t="shared" si="53"/>
        <v>RISK-EVT-0035</v>
      </c>
      <c r="CO534" t="str">
        <f t="shared" si="54"/>
        <v>Strategy GTM|Offering and positioning|STRA-016|CAP_POS_ECOMMERCE</v>
      </c>
      <c r="CP534" t="str">
        <f t="shared" si="55"/>
        <v>Active</v>
      </c>
      <c r="CQ534" t="str">
        <f t="shared" si="56"/>
        <v>OK: capability-driven</v>
      </c>
      <c r="CR534" t="str">
        <f t="shared" si="57"/>
        <v>Risk ontology uses capability=CAP_POS_ECOMMERCE; bridge=BRG-087; treatment=TRT-POS_ECOMMERCE-INITIAL; wording=IW-ALL-POS_ECOMMERCE</v>
      </c>
      <c r="CS534" t="str">
        <f t="shared" si="58"/>
        <v>Yes</v>
      </c>
    </row>
    <row r="535" spans="1:97" ht="69.900000000000006" customHeight="1">
      <c r="A535">
        <f>IF(OR($B535&lt;&gt;"Yes",$BS535=""),"",SUMPRODUCT(($B$500:$B$923="Yes")*ISNUMBER($BS$500:$BS$923)*($BS$500:$BS$923&gt;$BS535))+COUNTIFS($B$500:$B535,"Yes",$BS$500:$BS535,$BS535))</f>
        <v>323</v>
      </c>
      <c r="B535" t="str">
        <f t="shared" si="21"/>
        <v>Yes</v>
      </c>
      <c r="C535" t="s">
        <v>949</v>
      </c>
      <c r="D535" t="s">
        <v>976</v>
      </c>
      <c r="E535" t="s">
        <v>1078</v>
      </c>
      <c r="F535" t="s">
        <v>3680</v>
      </c>
      <c r="G535" t="str">
        <f>IF($H535="","",IFERROR(INDEX(_ENGINE_Risk!$H$5:$M$499,MATCH($E535,_ENGINE_Risk!$A$5:$A$499,0),$H535+1),""))</f>
        <v>Severe risk: proof assets such as case studies, references, certifications, security evidence and continuity commitments is not reliably controlled. During Demand shock; Financial / liquidity shock; Reputation crisis, the organization may face weak crisis positioning, poor prioritization of segments, revenue leakage and inability to adapt the offering with limited visibility or accountability.</v>
      </c>
      <c r="H535">
        <f>IFERROR(VALUE(INDEX(_DATA_Assessment_Model!$H$5:$H$884,MATCH($E535,_DATA_Assessment_Model!$A$5:$A$884,0))),"")</f>
        <v>0</v>
      </c>
      <c r="I535" t="str">
        <f>IF($H535="","",IFERROR(INDEX(_DATA_Assessment_Model!$L$5:$L$884,MATCH($E535,_DATA_Assessment_Model!$A$5:$A$884,0)),IF($H535&lt;=1,"Critical",IF($H535=2,"High",IF($H535=3,"Medium",IF($H535=4,"Low","Resilient"))))))</f>
        <v>Critical</v>
      </c>
      <c r="J535">
        <f t="shared" si="22"/>
        <v>3.6</v>
      </c>
      <c r="K535">
        <f t="shared" si="23"/>
        <v>4.3500000000000005</v>
      </c>
      <c r="L535">
        <f t="shared" si="24"/>
        <v>15.660000000000002</v>
      </c>
      <c r="M535">
        <f t="shared" si="25"/>
        <v>4</v>
      </c>
      <c r="N535">
        <f>IF($H535="","",IFERROR(INDEX(_ENGINE_Risk!$T$5:$Y$499,MATCH($E535,_ENGINE_Risk!$A$5:$A$499,0),$H535+1),""))</f>
        <v>3</v>
      </c>
      <c r="O535">
        <f t="shared" si="26"/>
        <v>4.666666666666667</v>
      </c>
      <c r="P535">
        <f t="shared" si="27"/>
        <v>5</v>
      </c>
      <c r="Q535">
        <f t="shared" si="28"/>
        <v>5</v>
      </c>
      <c r="R535">
        <f t="shared" si="29"/>
        <v>4.5</v>
      </c>
      <c r="S535">
        <f t="shared" si="30"/>
        <v>1.6</v>
      </c>
      <c r="T535" t="str">
        <f>IF($H535="","",IFERROR(INDEX(_ENGINE_Risk!$N$5:$S$499,MATCH($E535,_ENGINE_Risk!$A$5:$A$499,0),$H535+1),""))</f>
        <v>Create an immediate risk owner, minimum control baseline and fallback procedure for proof assets such as case studies, references, certifications, security evidence and continuity commitments. Add it to the crisis risk register and collect first evidence.</v>
      </c>
      <c r="U535">
        <f>IFERROR(INDEX(_DATA_Assessment_Model!$G$5:$G$884,MATCH($E535,_DATA_Assessment_Model!$A$5:$A$884,0)),"")</f>
        <v>5</v>
      </c>
      <c r="V535">
        <f>IFERROR(INDEX(_DATA_Assessment_Model!$W$5:$W$884,MATCH($E535,_DATA_Assessment_Model!$A$5:$A$884,0)),"")</f>
        <v>4</v>
      </c>
      <c r="W535">
        <f>IFERROR(INDEX(_DATA_Assessment_Model!$X$5:$X$884,MATCH($E535,_DATA_Assessment_Model!$A$5:$A$884,0)),"")</f>
        <v>5</v>
      </c>
      <c r="X535">
        <f>IFERROR(INDEX(_DATA_Assessment_Model!$Y$5:$Y$884,MATCH($E535,_DATA_Assessment_Model!$A$5:$A$884,0)),"")</f>
        <v>5</v>
      </c>
      <c r="Y535" t="s">
        <v>962</v>
      </c>
      <c r="Z535" t="s">
        <v>4860</v>
      </c>
      <c r="AA535" t="s">
        <v>1080</v>
      </c>
      <c r="AB535">
        <f>IFERROR(INDEX(_DATA_Assessment_Model!$U$5:$U$884,MATCH($E535,_DATA_Assessment_Model!$A$5:$A$884,0)),"")</f>
        <v>0</v>
      </c>
      <c r="AF535" t="s">
        <v>1079</v>
      </c>
      <c r="AO535">
        <f>IF($B535="Yes",IF(IFERROR(INDEX(_ENGINE_Crisis!$F$501:$F$517,MATCH($C535,_ENGINE_Crisis!$A$501:$A$517,0)),1)=0,1,IFERROR(INDEX(_ENGINE_Crisis!$F$501:$F$517,MATCH($C535,_ENGINE_Crisis!$A$501:$A$517,0)),1)),"")</f>
        <v>1</v>
      </c>
      <c r="AP535">
        <f t="shared" si="37"/>
        <v>15.7</v>
      </c>
      <c r="AQ535">
        <f t="shared" si="38"/>
        <v>1.6</v>
      </c>
      <c r="AR535" t="str">
        <f>IFERROR(INDEX(_ENGINE_Crisis!$E$41:$E$700,MATCH('Resilience &amp; Risk Scenario'!$B$6&amp;"|"&amp;$C535,_ENGINE_Crisis!$I$41:$I$700,0)),"")</f>
        <v/>
      </c>
      <c r="AS535" t="str">
        <f>IFERROR(INDEX(_ENGINE_Crisis!$G$41:$G$700,MATCH('Resilience &amp; Risk Scenario'!$B$6&amp;"|"&amp;$C535,_ENGINE_Crisis!$I$41:$I$700,0)),"")</f>
        <v/>
      </c>
      <c r="AT535" t="str">
        <f>IFERROR(INDEX(_ENGINE_Initiatives!$A$5:$A$532,MATCH(1,INDEX((_ENGINE_Initiatives!$B$5:$B$532=$C535)*(_ENGINE_Initiatives!$C$5:$C$532=$D535),0),0)),"")</f>
        <v>INI-006</v>
      </c>
      <c r="AU535" t="str">
        <f>IFERROR(INDEX(_ENGINE_Initiatives!$F$5:$F$532,MATCH(1,INDEX((_ENGINE_Initiatives!$B$5:$B$532=$C535)*(_ENGINE_Initiatives!$C$5:$C$532=$D535),0),0)),"")</f>
        <v>Standardize offering architecture and crisis-proof value proposition</v>
      </c>
      <c r="AV535">
        <f>IFERROR(INDEX(_ENGINE_Initiatives!$AC$5:$AC$532,MATCH(1,INDEX((_ENGINE_Initiatives!$B$5:$B$532=$C535)*(_ENGINE_Initiatives!$C$5:$C$532=$D535),0),0)),"")</f>
        <v>1.72</v>
      </c>
      <c r="AW535" t="str">
        <f>IFERROR(INDEX(_ENGINE_Initiatives!$AE$5:$AE$532,MATCH(1,INDEX((_ENGINE_Initiatives!$B$5:$B$532=$C535)*(_ENGINE_Initiatives!$C$5:$C$532=$D535),0),0)),"")</f>
        <v>6-12 months</v>
      </c>
      <c r="AX535">
        <f>IF($B535="Yes",IFERROR((IF(SUMIFS(_REF_Model_Content!$E$1:$E$613,_REF_Model_Content!$A$1:$A$613,PV_Canonical_Industry,_REF_Model_Content!$B$1:$B$613,$C535)=0,1,SUMIFS(_REF_Model_Content!$E$1:$E$613,_REF_Model_Content!$A$1:$A$613,PV_Canonical_Industry,_REF_Model_Content!$B$1:$B$613,$C535))*IFERROR($BU535,1)),1),"")</f>
        <v>1</v>
      </c>
      <c r="AY535">
        <f t="shared" si="39"/>
        <v>15.7</v>
      </c>
      <c r="AZ535">
        <f t="shared" si="40"/>
        <v>1.6</v>
      </c>
      <c r="BB535" t="str">
        <f>IF($H535="","",IFERROR(INDEX(_ENGINE_Risk!$AE$5:$AE$499,MATCH($E535,_ENGINE_Risk!$A$5:$A$499,0)),"Medium"))</f>
        <v>Medium</v>
      </c>
      <c r="BC535">
        <f t="shared" si="41"/>
        <v>1</v>
      </c>
      <c r="BD535">
        <f t="shared" si="42"/>
        <v>1.6</v>
      </c>
      <c r="BF535">
        <f>IF(OR($H535="",$J535=""),"",IFERROR(VLOOKUP(ROUND($J535,0),_CONFIG_Model_Settings!$D$154:$E$158,2,0),""))</f>
        <v>0.5</v>
      </c>
      <c r="BG535">
        <f>IFERROR(IF(OR($H535="",$K535=""),"",ROUND('Company Profile'!$B$113*INDEX(_CONFIG_Model_Settings!$H$154:$H$158,MATCH(ROUND($K535,0),_CONFIG_Model_Settings!$G$154:$G$158,0)),0)),0)</f>
        <v>875</v>
      </c>
      <c r="BH535">
        <f t="shared" si="43"/>
        <v>437.5</v>
      </c>
      <c r="BI535">
        <f t="shared" si="44"/>
        <v>437.5</v>
      </c>
      <c r="BJ535">
        <f>IF($E535="","",IFERROR(VLOOKUP($C535,_CONFIG_Risk_Calibration!$A$5:$H$21,2,FALSE),3))</f>
        <v>3</v>
      </c>
      <c r="BK535">
        <f>IF($E535="","",IFERROR(VLOOKUP($C535,_CONFIG_Risk_Calibration!$A$5:$H$21,3,FALSE),0))</f>
        <v>0</v>
      </c>
      <c r="BL535">
        <f>IF($E535="","",IFERROR(VLOOKUP($C535,_CONFIG_Risk_Calibration!$A$5:$H$21,4,FALSE),3))</f>
        <v>3</v>
      </c>
      <c r="BM535">
        <f>IF($E535="","",IFERROR(VLOOKUP($C535,_CONFIG_Risk_Calibration!$A$5:$H$21,5,FALSE),3))</f>
        <v>3</v>
      </c>
      <c r="BN535" t="str">
        <f>IF($E535="","",IFERROR(VLOOKUP($C535,_CONFIG_Risk_Calibration!$A$5:$H$21,6,FALSE),"No"))</f>
        <v>No</v>
      </c>
      <c r="BO535">
        <f>IF($E535="","",IFERROR(VLOOKUP($C535,_CONFIG_Risk_Calibration!$A$5:$H$21,7,FALSE),1))</f>
        <v>1</v>
      </c>
      <c r="BP535">
        <f>IF($H535="","",MAX(1,MIN(5,((6-$H535)*0.45)+($BJ535*0.2)+('Resilience &amp; Risk Scenario'!$B$7*0.15)+($BK535*0.1)+($BL535*0.05)+(IF($BB535="Fast",5,IF($BB535="Slow",1,3))*0.05))))</f>
        <v>3.6</v>
      </c>
      <c r="BQ535">
        <f t="shared" si="45"/>
        <v>4.3500000000000005</v>
      </c>
      <c r="BR535">
        <f t="shared" si="46"/>
        <v>15.66</v>
      </c>
      <c r="BS535">
        <f t="shared" si="47"/>
        <v>15.66</v>
      </c>
      <c r="BT535" t="str">
        <f>IFERROR(INDEX(_REF_Capability_Bridge!$D:$D,MATCH($C535&amp;"|"&amp;$D535,_REF_Capability_Bridge!$J:$J,0)),IFERROR(INDEX(_REF_Capability_Bridge!$D:$D,MATCH($C535&amp;"|",_REF_Capability_Bridge!$J:$J,0)),"CAP_GENERIC"))</f>
        <v>CAP_POS_ECOMMERCE</v>
      </c>
      <c r="BU535">
        <f>IFERROR(IFERROR(INDEX(_ENGINE_Relevance!$L:$L,MATCH($BT535,_ENGINE_Relevance!$B:$B,0)),1),1)</f>
        <v>1</v>
      </c>
      <c r="BV535" t="str">
        <f>IFERROR(INDEX(_REF_Capability_Bridge!$A:$A,MATCH($C535&amp;"|"&amp;$D535,_REF_Capability_Bridge!$J:$J,0)),IFERROR(INDEX(_REF_Capability_Bridge!$A:$A,MATCH($C535&amp;"|",_REF_Capability_Bridge!$J:$J,0)),"No bridge"))</f>
        <v>BRG-087</v>
      </c>
      <c r="BW535" t="str">
        <f t="shared" si="48"/>
        <v>Capability relevance neutral</v>
      </c>
      <c r="BX535" t="str">
        <f t="shared" si="49"/>
        <v>Initial / absent</v>
      </c>
      <c r="BY535" t="str">
        <f>IF($E535="","",IFERROR(INDEX(_REF_Treatment_Library!$A$2:$A$296,MATCH(1,INDEX((_REF_Treatment_Library!$B$2:$B$296=$BT535)*(_REF_Treatment_Library!$C$2:$C$296=PV_Canonical_Industry)*(_REF_Treatment_Library!$E$2:$E$296&lt;=N($H535))*(_REF_Treatment_Library!$F$2:$F$296&gt;=N($H535))*(_REF_Treatment_Library!$O$2:$O$296="Yes"),0),0)),IFERROR(INDEX(_REF_Treatment_Library!$A$2:$A$296,MATCH(1,INDEX((_REF_Treatment_Library!$B$2:$B$296=$BT535)*(_REF_Treatment_Library!$C$2:$C$296="All")*(_REF_Treatment_Library!$E$2:$E$296&lt;=N($H535))*(_REF_Treatment_Library!$F$2:$F$296&gt;=N($H535))*(_REF_Treatment_Library!$O$2:$O$296="Yes"),0),0)),"")))</f>
        <v>TRT-POS_ECOMMERCE-INITIAL</v>
      </c>
      <c r="BZ535" t="str">
        <f>IF($BY535="","",IFERROR(INDEX(_REF_Treatment_Library!$H$2:$H$296,MATCH($BY535,_REF_Treatment_Library!$A$2:$A$296,0)),""))</f>
        <v>Establish</v>
      </c>
      <c r="CA535" t="str">
        <f>IF($BY535="","",IFERROR(INDEX(_REF_Treatment_Library!$I$2:$I$296,MATCH($BY535,_REF_Treatment_Library!$A$2:$A$296,0)),""))</f>
        <v>Establish baseline controls for POS / ecommerce</v>
      </c>
      <c r="CB535" t="str">
        <f>IF($BY535="","",IFERROR(INDEX(_REF_Treatment_Library!$K$2:$K$296,MATCH($BY535,_REF_Treatment_Library!$A$2:$A$296,0)),""))</f>
        <v>Named owner, baseline process, minimum control checklist, first evidence package</v>
      </c>
      <c r="CC535" t="str">
        <f>IF($BY535="","",IFERROR(INDEX(_REF_Treatment_Library!$L$2:$L$296,MATCH($BY535,_REF_Treatment_Library!$A$2:$A$296,0)),""))</f>
        <v>Owner assigned; baseline evidence coverage; open critical gaps</v>
      </c>
      <c r="CD535" t="str">
        <f t="shared" si="50"/>
        <v>Treatment by capability=CAP_POS_ECOMMERCE; band=Initial / absent; score=0.0; treatment=Establish</v>
      </c>
      <c r="CE535" t="str">
        <f>IF($E535="","",IFERROR(INDEX(_REF_Industry_Wording!$A$2:$A$70,MATCH(1,INDEX((_REF_Industry_Wording!$B$2:$B$70=$BT535)*(_REF_Industry_Wording!$C$2:$C$70=PV_Canonical_Industry)*(_REF_Industry_Wording!$K$2:$K$70="Yes"),0),0)),IFERROR(INDEX(_REF_Industry_Wording!$A$2:$A$70,MATCH(1,INDEX((_REF_Industry_Wording!$B$2:$B$70=$BT535)*(_REF_Industry_Wording!$C$2:$C$70="All")*(_REF_Industry_Wording!$K$2:$K$70="Yes"),0),0)),"")))</f>
        <v>IW-ALL-POS_ECOMMERCE</v>
      </c>
      <c r="CF535" t="str">
        <f>IF($CE535="","",IFERROR(INDEX(_REF_Industry_Wording!$E$2:$E$70,MATCH($CE535,_REF_Industry_Wording!$A$2:$A$70,0)),""))</f>
        <v>POS / ecommerce weakness</v>
      </c>
      <c r="CG535" t="str">
        <f>IF($CE535="","",IFERROR(INDEX(_REF_Industry_Wording!$F$2:$F$70,MATCH($CE535,_REF_Industry_Wording!$A$2:$A$70,0)),""))</f>
        <v>Strengthen POS / ecommerce</v>
      </c>
      <c r="CH535" t="str">
        <f>IF($CE535="","",IFERROR(INDEX(_REF_Industry_Wording!$G$2:$G$70,MATCH($CE535,_REF_Industry_Wording!$A$2:$A$70,0)),""))</f>
        <v>Strengthen POS / ecommerce using the selected maturity treatment, crisis scenario and evidence requirements.</v>
      </c>
      <c r="CI535" t="str">
        <f>IF($CE535="","",IFERROR(INDEX(_REF_Industry_Wording!$H$2:$H$70,MATCH($CE535,_REF_Industry_Wording!$A$2:$A$70,0)),""))</f>
        <v>POS / ecommerce</v>
      </c>
      <c r="CJ535">
        <f>IF($CE535="","",IFERROR(INDEX(_REF_Industry_Wording!$I$2:$I$70,MATCH($CE535,_REF_Industry_Wording!$A$2:$A$70,0)),""))</f>
        <v>0</v>
      </c>
      <c r="CK535" t="str">
        <f>IF($CE535="","",IFERROR(INDEX(_REF_Industry_Wording!$J$2:$J$70,MATCH($CE535,_REF_Industry_Wording!$A$2:$A$70,0)),""))</f>
        <v>POS / ecommerce</v>
      </c>
      <c r="CL535" t="str">
        <f t="shared" si="51"/>
        <v>Wording by industry=0; capability=CAP_POS_ECOMMERCE; risk label=POS / ecommerce weakness</v>
      </c>
      <c r="CM535" t="str">
        <f t="shared" si="52"/>
        <v>RISK-ONT-0036</v>
      </c>
      <c r="CN535" t="str">
        <f t="shared" si="53"/>
        <v>RISK-EVT-0036</v>
      </c>
      <c r="CO535" t="str">
        <f t="shared" si="54"/>
        <v>Strategy GTM|Offering and positioning|STRA-017|CAP_POS_ECOMMERCE</v>
      </c>
      <c r="CP535" t="str">
        <f t="shared" si="55"/>
        <v>Active</v>
      </c>
      <c r="CQ535" t="str">
        <f t="shared" si="56"/>
        <v>OK: capability-driven</v>
      </c>
      <c r="CR535" t="str">
        <f t="shared" si="57"/>
        <v>Risk ontology uses capability=CAP_POS_ECOMMERCE; bridge=BRG-087; treatment=TRT-POS_ECOMMERCE-INITIAL; wording=IW-ALL-POS_ECOMMERCE</v>
      </c>
      <c r="CS535" t="str">
        <f t="shared" si="58"/>
        <v>Yes</v>
      </c>
    </row>
    <row r="536" spans="1:97" ht="69.900000000000006" customHeight="1">
      <c r="A536">
        <f>IF(OR($B536&lt;&gt;"Yes",$BS536=""),"",SUMPRODUCT(($B$500:$B$923="Yes")*ISNUMBER($BS$500:$BS$923)*($BS$500:$BS$923&gt;$BS536))+COUNTIFS($B$500:$B536,"Yes",$BS$500:$BS536,$BS536))</f>
        <v>324</v>
      </c>
      <c r="B536" t="str">
        <f t="shared" si="21"/>
        <v>Yes</v>
      </c>
      <c r="C536" t="s">
        <v>949</v>
      </c>
      <c r="D536" t="s">
        <v>976</v>
      </c>
      <c r="E536" t="s">
        <v>1081</v>
      </c>
      <c r="F536" t="s">
        <v>3680</v>
      </c>
      <c r="G536" t="str">
        <f>IF($H536="","",IFERROR(INDEX(_ENGINE_Risk!$H$5:$M$499,MATCH($E536,_ENGINE_Risk!$A$5:$A$499,0),$H536+1),""))</f>
        <v>Severe risk: product or service modularity that allows budget-sensitive or crisis-driven adaptation is not reliably controlled. During Demand shock; Financial / liquidity shock; Reputation crisis, the organization may face weak crisis positioning, poor prioritization of segments, revenue leakage and inability to adapt the offering with limited visibility or accountability.</v>
      </c>
      <c r="H536">
        <f>IFERROR(VALUE(INDEX(_DATA_Assessment_Model!$H$5:$H$884,MATCH($E536,_DATA_Assessment_Model!$A$5:$A$884,0))),"")</f>
        <v>0</v>
      </c>
      <c r="I536" t="str">
        <f>IF($H536="","",IFERROR(INDEX(_DATA_Assessment_Model!$L$5:$L$884,MATCH($E536,_DATA_Assessment_Model!$A$5:$A$884,0)),IF($H536&lt;=1,"Critical",IF($H536=2,"High",IF($H536=3,"Medium",IF($H536=4,"Low","Resilient"))))))</f>
        <v>Critical</v>
      </c>
      <c r="J536">
        <f t="shared" si="22"/>
        <v>3.6</v>
      </c>
      <c r="K536">
        <f t="shared" si="23"/>
        <v>4.3500000000000005</v>
      </c>
      <c r="L536">
        <f t="shared" si="24"/>
        <v>15.660000000000002</v>
      </c>
      <c r="M536">
        <f t="shared" si="25"/>
        <v>4</v>
      </c>
      <c r="N536">
        <f>IF($H536="","",IFERROR(INDEX(_ENGINE_Risk!$T$5:$Y$499,MATCH($E536,_ENGINE_Risk!$A$5:$A$499,0),$H536+1),""))</f>
        <v>3</v>
      </c>
      <c r="O536">
        <f t="shared" si="26"/>
        <v>4.666666666666667</v>
      </c>
      <c r="P536">
        <f t="shared" si="27"/>
        <v>5</v>
      </c>
      <c r="Q536">
        <f t="shared" si="28"/>
        <v>5</v>
      </c>
      <c r="R536">
        <f t="shared" si="29"/>
        <v>4.5</v>
      </c>
      <c r="S536">
        <f t="shared" si="30"/>
        <v>1.6</v>
      </c>
      <c r="T536" t="str">
        <f>IF($H536="","",IFERROR(INDEX(_ENGINE_Risk!$N$5:$S$499,MATCH($E536,_ENGINE_Risk!$A$5:$A$499,0),$H536+1),""))</f>
        <v>Create an immediate risk owner, minimum control baseline and fallback procedure for product or service modularity that allows budget-sensitive or crisis-driven adaptation. Add it to the crisis risk register and collect first evidence.</v>
      </c>
      <c r="U536">
        <f>IFERROR(INDEX(_DATA_Assessment_Model!$G$5:$G$884,MATCH($E536,_DATA_Assessment_Model!$A$5:$A$884,0)),"")</f>
        <v>5</v>
      </c>
      <c r="V536">
        <f>IFERROR(INDEX(_DATA_Assessment_Model!$W$5:$W$884,MATCH($E536,_DATA_Assessment_Model!$A$5:$A$884,0)),"")</f>
        <v>4</v>
      </c>
      <c r="W536">
        <f>IFERROR(INDEX(_DATA_Assessment_Model!$X$5:$X$884,MATCH($E536,_DATA_Assessment_Model!$A$5:$A$884,0)),"")</f>
        <v>5</v>
      </c>
      <c r="X536">
        <f>IFERROR(INDEX(_DATA_Assessment_Model!$Y$5:$Y$884,MATCH($E536,_DATA_Assessment_Model!$A$5:$A$884,0)),"")</f>
        <v>5</v>
      </c>
      <c r="Y536" t="s">
        <v>962</v>
      </c>
      <c r="Z536" t="s">
        <v>4860</v>
      </c>
      <c r="AA536" t="s">
        <v>1083</v>
      </c>
      <c r="AB536">
        <f>IFERROR(INDEX(_DATA_Assessment_Model!$U$5:$U$884,MATCH($E536,_DATA_Assessment_Model!$A$5:$A$884,0)),"")</f>
        <v>0</v>
      </c>
      <c r="AF536" t="s">
        <v>1082</v>
      </c>
      <c r="AO536">
        <f>IF($B536="Yes",IF(IFERROR(INDEX(_ENGINE_Crisis!$F$501:$F$517,MATCH($C536,_ENGINE_Crisis!$A$501:$A$517,0)),1)=0,1,IFERROR(INDEX(_ENGINE_Crisis!$F$501:$F$517,MATCH($C536,_ENGINE_Crisis!$A$501:$A$517,0)),1)),"")</f>
        <v>1</v>
      </c>
      <c r="AP536">
        <f t="shared" si="37"/>
        <v>15.7</v>
      </c>
      <c r="AQ536">
        <f t="shared" si="38"/>
        <v>1.6</v>
      </c>
      <c r="AR536" t="str">
        <f>IFERROR(INDEX(_ENGINE_Crisis!$E$41:$E$700,MATCH('Resilience &amp; Risk Scenario'!$B$6&amp;"|"&amp;$C536,_ENGINE_Crisis!$I$41:$I$700,0)),"")</f>
        <v/>
      </c>
      <c r="AS536" t="str">
        <f>IFERROR(INDEX(_ENGINE_Crisis!$G$41:$G$700,MATCH('Resilience &amp; Risk Scenario'!$B$6&amp;"|"&amp;$C536,_ENGINE_Crisis!$I$41:$I$700,0)),"")</f>
        <v/>
      </c>
      <c r="AT536" t="str">
        <f>IFERROR(INDEX(_ENGINE_Initiatives!$A$5:$A$532,MATCH(1,INDEX((_ENGINE_Initiatives!$B$5:$B$532=$C536)*(_ENGINE_Initiatives!$C$5:$C$532=$D536),0),0)),"")</f>
        <v>INI-006</v>
      </c>
      <c r="AU536" t="str">
        <f>IFERROR(INDEX(_ENGINE_Initiatives!$F$5:$F$532,MATCH(1,INDEX((_ENGINE_Initiatives!$B$5:$B$532=$C536)*(_ENGINE_Initiatives!$C$5:$C$532=$D536),0),0)),"")</f>
        <v>Standardize offering architecture and crisis-proof value proposition</v>
      </c>
      <c r="AV536">
        <f>IFERROR(INDEX(_ENGINE_Initiatives!$AC$5:$AC$532,MATCH(1,INDEX((_ENGINE_Initiatives!$B$5:$B$532=$C536)*(_ENGINE_Initiatives!$C$5:$C$532=$D536),0),0)),"")</f>
        <v>1.72</v>
      </c>
      <c r="AW536" t="str">
        <f>IFERROR(INDEX(_ENGINE_Initiatives!$AE$5:$AE$532,MATCH(1,INDEX((_ENGINE_Initiatives!$B$5:$B$532=$C536)*(_ENGINE_Initiatives!$C$5:$C$532=$D536),0),0)),"")</f>
        <v>6-12 months</v>
      </c>
      <c r="AX536">
        <f>IF($B536="Yes",IFERROR((IF(SUMIFS(_REF_Model_Content!$E$1:$E$613,_REF_Model_Content!$A$1:$A$613,PV_Canonical_Industry,_REF_Model_Content!$B$1:$B$613,$C536)=0,1,SUMIFS(_REF_Model_Content!$E$1:$E$613,_REF_Model_Content!$A$1:$A$613,PV_Canonical_Industry,_REF_Model_Content!$B$1:$B$613,$C536))*IFERROR($BU536,1)),1),"")</f>
        <v>1</v>
      </c>
      <c r="AY536">
        <f t="shared" si="39"/>
        <v>15.7</v>
      </c>
      <c r="AZ536">
        <f t="shared" si="40"/>
        <v>1.6</v>
      </c>
      <c r="BB536" t="str">
        <f>IF($H536="","",IFERROR(INDEX(_ENGINE_Risk!$AE$5:$AE$499,MATCH($E536,_ENGINE_Risk!$A$5:$A$499,0)),"Medium"))</f>
        <v>Medium</v>
      </c>
      <c r="BC536">
        <f t="shared" si="41"/>
        <v>1</v>
      </c>
      <c r="BD536">
        <f t="shared" si="42"/>
        <v>1.6</v>
      </c>
      <c r="BF536">
        <f>IF(OR($H536="",$J536=""),"",IFERROR(VLOOKUP(ROUND($J536,0),_CONFIG_Model_Settings!$D$154:$E$158,2,0),""))</f>
        <v>0.5</v>
      </c>
      <c r="BG536">
        <f>IFERROR(IF(OR($H536="",$K536=""),"",ROUND('Company Profile'!$B$113*INDEX(_CONFIG_Model_Settings!$H$154:$H$158,MATCH(ROUND($K536,0),_CONFIG_Model_Settings!$G$154:$G$158,0)),0)),0)</f>
        <v>875</v>
      </c>
      <c r="BH536">
        <f t="shared" si="43"/>
        <v>437.5</v>
      </c>
      <c r="BI536">
        <f t="shared" si="44"/>
        <v>437.5</v>
      </c>
      <c r="BJ536">
        <f>IF($E536="","",IFERROR(VLOOKUP($C536,_CONFIG_Risk_Calibration!$A$5:$H$21,2,FALSE),3))</f>
        <v>3</v>
      </c>
      <c r="BK536">
        <f>IF($E536="","",IFERROR(VLOOKUP($C536,_CONFIG_Risk_Calibration!$A$5:$H$21,3,FALSE),0))</f>
        <v>0</v>
      </c>
      <c r="BL536">
        <f>IF($E536="","",IFERROR(VLOOKUP($C536,_CONFIG_Risk_Calibration!$A$5:$H$21,4,FALSE),3))</f>
        <v>3</v>
      </c>
      <c r="BM536">
        <f>IF($E536="","",IFERROR(VLOOKUP($C536,_CONFIG_Risk_Calibration!$A$5:$H$21,5,FALSE),3))</f>
        <v>3</v>
      </c>
      <c r="BN536" t="str">
        <f>IF($E536="","",IFERROR(VLOOKUP($C536,_CONFIG_Risk_Calibration!$A$5:$H$21,6,FALSE),"No"))</f>
        <v>No</v>
      </c>
      <c r="BO536">
        <f>IF($E536="","",IFERROR(VLOOKUP($C536,_CONFIG_Risk_Calibration!$A$5:$H$21,7,FALSE),1))</f>
        <v>1</v>
      </c>
      <c r="BP536">
        <f>IF($H536="","",MAX(1,MIN(5,((6-$H536)*0.45)+($BJ536*0.2)+('Resilience &amp; Risk Scenario'!$B$7*0.15)+($BK536*0.1)+($BL536*0.05)+(IF($BB536="Fast",5,IF($BB536="Slow",1,3))*0.05))))</f>
        <v>3.6</v>
      </c>
      <c r="BQ536">
        <f t="shared" si="45"/>
        <v>4.3500000000000005</v>
      </c>
      <c r="BR536">
        <f t="shared" si="46"/>
        <v>15.66</v>
      </c>
      <c r="BS536">
        <f t="shared" si="47"/>
        <v>15.66</v>
      </c>
      <c r="BT536" t="str">
        <f>IFERROR(INDEX(_REF_Capability_Bridge!$D:$D,MATCH($C536&amp;"|"&amp;$D536,_REF_Capability_Bridge!$J:$J,0)),IFERROR(INDEX(_REF_Capability_Bridge!$D:$D,MATCH($C536&amp;"|",_REF_Capability_Bridge!$J:$J,0)),"CAP_GENERIC"))</f>
        <v>CAP_POS_ECOMMERCE</v>
      </c>
      <c r="BU536">
        <f>IFERROR(IFERROR(INDEX(_ENGINE_Relevance!$L:$L,MATCH($BT536,_ENGINE_Relevance!$B:$B,0)),1),1)</f>
        <v>1</v>
      </c>
      <c r="BV536" t="str">
        <f>IFERROR(INDEX(_REF_Capability_Bridge!$A:$A,MATCH($C536&amp;"|"&amp;$D536,_REF_Capability_Bridge!$J:$J,0)),IFERROR(INDEX(_REF_Capability_Bridge!$A:$A,MATCH($C536&amp;"|",_REF_Capability_Bridge!$J:$J,0)),"No bridge"))</f>
        <v>BRG-087</v>
      </c>
      <c r="BW536" t="str">
        <f t="shared" si="48"/>
        <v>Capability relevance neutral</v>
      </c>
      <c r="BX536" t="str">
        <f t="shared" si="49"/>
        <v>Initial / absent</v>
      </c>
      <c r="BY536" t="str">
        <f>IF($E536="","",IFERROR(INDEX(_REF_Treatment_Library!$A$2:$A$296,MATCH(1,INDEX((_REF_Treatment_Library!$B$2:$B$296=$BT536)*(_REF_Treatment_Library!$C$2:$C$296=PV_Canonical_Industry)*(_REF_Treatment_Library!$E$2:$E$296&lt;=N($H536))*(_REF_Treatment_Library!$F$2:$F$296&gt;=N($H536))*(_REF_Treatment_Library!$O$2:$O$296="Yes"),0),0)),IFERROR(INDEX(_REF_Treatment_Library!$A$2:$A$296,MATCH(1,INDEX((_REF_Treatment_Library!$B$2:$B$296=$BT536)*(_REF_Treatment_Library!$C$2:$C$296="All")*(_REF_Treatment_Library!$E$2:$E$296&lt;=N($H536))*(_REF_Treatment_Library!$F$2:$F$296&gt;=N($H536))*(_REF_Treatment_Library!$O$2:$O$296="Yes"),0),0)),"")))</f>
        <v>TRT-POS_ECOMMERCE-INITIAL</v>
      </c>
      <c r="BZ536" t="str">
        <f>IF($BY536="","",IFERROR(INDEX(_REF_Treatment_Library!$H$2:$H$296,MATCH($BY536,_REF_Treatment_Library!$A$2:$A$296,0)),""))</f>
        <v>Establish</v>
      </c>
      <c r="CA536" t="str">
        <f>IF($BY536="","",IFERROR(INDEX(_REF_Treatment_Library!$I$2:$I$296,MATCH($BY536,_REF_Treatment_Library!$A$2:$A$296,0)),""))</f>
        <v>Establish baseline controls for POS / ecommerce</v>
      </c>
      <c r="CB536" t="str">
        <f>IF($BY536="","",IFERROR(INDEX(_REF_Treatment_Library!$K$2:$K$296,MATCH($BY536,_REF_Treatment_Library!$A$2:$A$296,0)),""))</f>
        <v>Named owner, baseline process, minimum control checklist, first evidence package</v>
      </c>
      <c r="CC536" t="str">
        <f>IF($BY536="","",IFERROR(INDEX(_REF_Treatment_Library!$L$2:$L$296,MATCH($BY536,_REF_Treatment_Library!$A$2:$A$296,0)),""))</f>
        <v>Owner assigned; baseline evidence coverage; open critical gaps</v>
      </c>
      <c r="CD536" t="str">
        <f t="shared" si="50"/>
        <v>Treatment by capability=CAP_POS_ECOMMERCE; band=Initial / absent; score=0.0; treatment=Establish</v>
      </c>
      <c r="CE536" t="str">
        <f>IF($E536="","",IFERROR(INDEX(_REF_Industry_Wording!$A$2:$A$70,MATCH(1,INDEX((_REF_Industry_Wording!$B$2:$B$70=$BT536)*(_REF_Industry_Wording!$C$2:$C$70=PV_Canonical_Industry)*(_REF_Industry_Wording!$K$2:$K$70="Yes"),0),0)),IFERROR(INDEX(_REF_Industry_Wording!$A$2:$A$70,MATCH(1,INDEX((_REF_Industry_Wording!$B$2:$B$70=$BT536)*(_REF_Industry_Wording!$C$2:$C$70="All")*(_REF_Industry_Wording!$K$2:$K$70="Yes"),0),0)),"")))</f>
        <v>IW-ALL-POS_ECOMMERCE</v>
      </c>
      <c r="CF536" t="str">
        <f>IF($CE536="","",IFERROR(INDEX(_REF_Industry_Wording!$E$2:$E$70,MATCH($CE536,_REF_Industry_Wording!$A$2:$A$70,0)),""))</f>
        <v>POS / ecommerce weakness</v>
      </c>
      <c r="CG536" t="str">
        <f>IF($CE536="","",IFERROR(INDEX(_REF_Industry_Wording!$F$2:$F$70,MATCH($CE536,_REF_Industry_Wording!$A$2:$A$70,0)),""))</f>
        <v>Strengthen POS / ecommerce</v>
      </c>
      <c r="CH536" t="str">
        <f>IF($CE536="","",IFERROR(INDEX(_REF_Industry_Wording!$G$2:$G$70,MATCH($CE536,_REF_Industry_Wording!$A$2:$A$70,0)),""))</f>
        <v>Strengthen POS / ecommerce using the selected maturity treatment, crisis scenario and evidence requirements.</v>
      </c>
      <c r="CI536" t="str">
        <f>IF($CE536="","",IFERROR(INDEX(_REF_Industry_Wording!$H$2:$H$70,MATCH($CE536,_REF_Industry_Wording!$A$2:$A$70,0)),""))</f>
        <v>POS / ecommerce</v>
      </c>
      <c r="CJ536">
        <f>IF($CE536="","",IFERROR(INDEX(_REF_Industry_Wording!$I$2:$I$70,MATCH($CE536,_REF_Industry_Wording!$A$2:$A$70,0)),""))</f>
        <v>0</v>
      </c>
      <c r="CK536" t="str">
        <f>IF($CE536="","",IFERROR(INDEX(_REF_Industry_Wording!$J$2:$J$70,MATCH($CE536,_REF_Industry_Wording!$A$2:$A$70,0)),""))</f>
        <v>POS / ecommerce</v>
      </c>
      <c r="CL536" t="str">
        <f t="shared" si="51"/>
        <v>Wording by industry=0; capability=CAP_POS_ECOMMERCE; risk label=POS / ecommerce weakness</v>
      </c>
      <c r="CM536" t="str">
        <f t="shared" si="52"/>
        <v>RISK-ONT-0037</v>
      </c>
      <c r="CN536" t="str">
        <f t="shared" si="53"/>
        <v>RISK-EVT-0037</v>
      </c>
      <c r="CO536" t="str">
        <f t="shared" si="54"/>
        <v>Strategy GTM|Offering and positioning|STRA-018|CAP_POS_ECOMMERCE</v>
      </c>
      <c r="CP536" t="str">
        <f t="shared" si="55"/>
        <v>Active</v>
      </c>
      <c r="CQ536" t="str">
        <f t="shared" si="56"/>
        <v>OK: capability-driven</v>
      </c>
      <c r="CR536" t="str">
        <f t="shared" si="57"/>
        <v>Risk ontology uses capability=CAP_POS_ECOMMERCE; bridge=BRG-087; treatment=TRT-POS_ECOMMERCE-INITIAL; wording=IW-ALL-POS_ECOMMERCE</v>
      </c>
      <c r="CS536" t="str">
        <f t="shared" si="58"/>
        <v>Yes</v>
      </c>
    </row>
    <row r="537" spans="1:97" ht="69.900000000000006" customHeight="1">
      <c r="A537">
        <f>IF(OR($B537&lt;&gt;"Yes",$BS537=""),"",SUMPRODUCT(($B$500:$B$923="Yes")*ISNUMBER($BS$500:$BS$923)*($BS$500:$BS$923&gt;$BS537))+COUNTIFS($B$500:$B537,"Yes",$BS$500:$BS537,$BS537))</f>
        <v>325</v>
      </c>
      <c r="B537" t="str">
        <f t="shared" si="21"/>
        <v>Yes</v>
      </c>
      <c r="C537" t="s">
        <v>949</v>
      </c>
      <c r="D537" t="s">
        <v>986</v>
      </c>
      <c r="E537" t="s">
        <v>1084</v>
      </c>
      <c r="F537" t="s">
        <v>3680</v>
      </c>
      <c r="G537" t="str">
        <f>IF($H537="","",IFERROR(INDEX(_ENGINE_Risk!$H$5:$M$499,MATCH($E537,_ENGINE_Risk!$A$5:$A$499,0),$H537+1),""))</f>
        <v>Severe risk: sales playbooks for ICPs, offerings, objections, competitors and crisis-specific customer concerns is not reliably controlled. During Demand shock; Financial / liquidity shock; Reputation crisis, the organization may face weak crisis positioning, poor prioritization of segments, revenue leakage and inability to adapt the offering with limited visibility or accountability.</v>
      </c>
      <c r="H537">
        <f>IFERROR(VALUE(INDEX(_DATA_Assessment_Model!$H$5:$H$884,MATCH($E537,_DATA_Assessment_Model!$A$5:$A$884,0))),"")</f>
        <v>0</v>
      </c>
      <c r="I537" t="str">
        <f>IF($H537="","",IFERROR(INDEX(_DATA_Assessment_Model!$L$5:$L$884,MATCH($E537,_DATA_Assessment_Model!$A$5:$A$884,0)),IF($H537&lt;=1,"Critical",IF($H537=2,"High",IF($H537=3,"Medium",IF($H537=4,"Low","Resilient"))))))</f>
        <v>Critical</v>
      </c>
      <c r="J537">
        <f t="shared" si="22"/>
        <v>3.6</v>
      </c>
      <c r="K537">
        <f t="shared" si="23"/>
        <v>4.3500000000000005</v>
      </c>
      <c r="L537">
        <f t="shared" si="24"/>
        <v>15.660000000000002</v>
      </c>
      <c r="M537">
        <f t="shared" si="25"/>
        <v>4</v>
      </c>
      <c r="N537">
        <f>IF($H537="","",IFERROR(INDEX(_ENGINE_Risk!$T$5:$Y$499,MATCH($E537,_ENGINE_Risk!$A$5:$A$499,0),$H537+1),""))</f>
        <v>3</v>
      </c>
      <c r="O537">
        <f t="shared" si="26"/>
        <v>4.666666666666667</v>
      </c>
      <c r="P537">
        <f t="shared" si="27"/>
        <v>5</v>
      </c>
      <c r="Q537">
        <f t="shared" si="28"/>
        <v>5</v>
      </c>
      <c r="R537">
        <f t="shared" si="29"/>
        <v>4.5</v>
      </c>
      <c r="S537">
        <f t="shared" si="30"/>
        <v>1.6</v>
      </c>
      <c r="T537" t="str">
        <f>IF($H537="","",IFERROR(INDEX(_ENGINE_Risk!$N$5:$S$499,MATCH($E537,_ENGINE_Risk!$A$5:$A$499,0),$H537+1),""))</f>
        <v>Create an immediate risk owner, minimum control baseline and fallback procedure for sales playbooks for ICPs, offerings, objections, competitors and crisis-specific customer concerns. Add it to the crisis risk register and collect first evidence.</v>
      </c>
      <c r="U537">
        <f>IFERROR(INDEX(_DATA_Assessment_Model!$G$5:$G$884,MATCH($E537,_DATA_Assessment_Model!$A$5:$A$884,0)),"")</f>
        <v>5</v>
      </c>
      <c r="V537">
        <f>IFERROR(INDEX(_DATA_Assessment_Model!$W$5:$W$884,MATCH($E537,_DATA_Assessment_Model!$A$5:$A$884,0)),"")</f>
        <v>4</v>
      </c>
      <c r="W537">
        <f>IFERROR(INDEX(_DATA_Assessment_Model!$X$5:$X$884,MATCH($E537,_DATA_Assessment_Model!$A$5:$A$884,0)),"")</f>
        <v>5</v>
      </c>
      <c r="X537">
        <f>IFERROR(INDEX(_DATA_Assessment_Model!$Y$5:$Y$884,MATCH($E537,_DATA_Assessment_Model!$A$5:$A$884,0)),"")</f>
        <v>5</v>
      </c>
      <c r="Y537" t="s">
        <v>962</v>
      </c>
      <c r="Z537" t="s">
        <v>4860</v>
      </c>
      <c r="AA537" t="s">
        <v>1086</v>
      </c>
      <c r="AB537">
        <f>IFERROR(INDEX(_DATA_Assessment_Model!$U$5:$U$884,MATCH($E537,_DATA_Assessment_Model!$A$5:$A$884,0)),"")</f>
        <v>0</v>
      </c>
      <c r="AF537" t="s">
        <v>1085</v>
      </c>
      <c r="AO537">
        <f>IF($B537="Yes",IF(IFERROR(INDEX(_ENGINE_Crisis!$F$501:$F$517,MATCH($C537,_ENGINE_Crisis!$A$501:$A$517,0)),1)=0,1,IFERROR(INDEX(_ENGINE_Crisis!$F$501:$F$517,MATCH($C537,_ENGINE_Crisis!$A$501:$A$517,0)),1)),"")</f>
        <v>1</v>
      </c>
      <c r="AP537">
        <f t="shared" si="37"/>
        <v>15.7</v>
      </c>
      <c r="AQ537">
        <f t="shared" si="38"/>
        <v>1.6</v>
      </c>
      <c r="AR537" t="str">
        <f>IFERROR(INDEX(_ENGINE_Crisis!$E$41:$E$700,MATCH('Resilience &amp; Risk Scenario'!$B$6&amp;"|"&amp;$C537,_ENGINE_Crisis!$I$41:$I$700,0)),"")</f>
        <v/>
      </c>
      <c r="AS537" t="str">
        <f>IFERROR(INDEX(_ENGINE_Crisis!$G$41:$G$700,MATCH('Resilience &amp; Risk Scenario'!$B$6&amp;"|"&amp;$C537,_ENGINE_Crisis!$I$41:$I$700,0)),"")</f>
        <v/>
      </c>
      <c r="AT537" t="str">
        <f>IFERROR(INDEX(_ENGINE_Initiatives!$A$5:$A$532,MATCH(1,INDEX((_ENGINE_Initiatives!$B$5:$B$532=$C537)*(_ENGINE_Initiatives!$C$5:$C$532=$D537),0),0)),"")</f>
        <v>INI-007</v>
      </c>
      <c r="AU537" t="str">
        <f>IFERROR(INDEX(_ENGINE_Initiatives!$F$5:$F$532,MATCH(1,INDEX((_ENGINE_Initiatives!$B$5:$B$532=$C537)*(_ENGINE_Initiatives!$C$5:$C$532=$D537),0),0)),"")</f>
        <v>Build resilient GTM execution cadence and channel plan</v>
      </c>
      <c r="AV537">
        <f>IFERROR(INDEX(_ENGINE_Initiatives!$AC$5:$AC$532,MATCH(1,INDEX((_ENGINE_Initiatives!$B$5:$B$532=$C537)*(_ENGINE_Initiatives!$C$5:$C$532=$D537),0),0)),"")</f>
        <v>1.72</v>
      </c>
      <c r="AW537" t="str">
        <f>IFERROR(INDEX(_ENGINE_Initiatives!$AE$5:$AE$532,MATCH(1,INDEX((_ENGINE_Initiatives!$B$5:$B$532=$C537)*(_ENGINE_Initiatives!$C$5:$C$532=$D537),0),0)),"")</f>
        <v>6-12 months</v>
      </c>
      <c r="AX537">
        <f>IF($B537="Yes",IFERROR((IF(SUMIFS(_REF_Model_Content!$E$1:$E$613,_REF_Model_Content!$A$1:$A$613,PV_Canonical_Industry,_REF_Model_Content!$B$1:$B$613,$C537)=0,1,SUMIFS(_REF_Model_Content!$E$1:$E$613,_REF_Model_Content!$A$1:$A$613,PV_Canonical_Industry,_REF_Model_Content!$B$1:$B$613,$C537))*IFERROR($BU537,1)),1),"")</f>
        <v>1</v>
      </c>
      <c r="AY537">
        <f t="shared" si="39"/>
        <v>15.7</v>
      </c>
      <c r="AZ537">
        <f t="shared" si="40"/>
        <v>1.6</v>
      </c>
      <c r="BB537" t="str">
        <f>IF($H537="","",IFERROR(INDEX(_ENGINE_Risk!$AE$5:$AE$499,MATCH($E537,_ENGINE_Risk!$A$5:$A$499,0)),"Medium"))</f>
        <v>Medium</v>
      </c>
      <c r="BC537">
        <f t="shared" si="41"/>
        <v>1</v>
      </c>
      <c r="BD537">
        <f t="shared" si="42"/>
        <v>1.6</v>
      </c>
      <c r="BF537">
        <f>IF(OR($H537="",$J537=""),"",IFERROR(VLOOKUP(ROUND($J537,0),_CONFIG_Model_Settings!$D$154:$E$158,2,0),""))</f>
        <v>0.5</v>
      </c>
      <c r="BG537">
        <f>IFERROR(IF(OR($H537="",$K537=""),"",ROUND('Company Profile'!$B$113*INDEX(_CONFIG_Model_Settings!$H$154:$H$158,MATCH(ROUND($K537,0),_CONFIG_Model_Settings!$G$154:$G$158,0)),0)),0)</f>
        <v>875</v>
      </c>
      <c r="BH537">
        <f t="shared" si="43"/>
        <v>437.5</v>
      </c>
      <c r="BI537">
        <f t="shared" si="44"/>
        <v>437.5</v>
      </c>
      <c r="BJ537">
        <f>IF($E537="","",IFERROR(VLOOKUP($C537,_CONFIG_Risk_Calibration!$A$5:$H$21,2,FALSE),3))</f>
        <v>3</v>
      </c>
      <c r="BK537">
        <f>IF($E537="","",IFERROR(VLOOKUP($C537,_CONFIG_Risk_Calibration!$A$5:$H$21,3,FALSE),0))</f>
        <v>0</v>
      </c>
      <c r="BL537">
        <f>IF($E537="","",IFERROR(VLOOKUP($C537,_CONFIG_Risk_Calibration!$A$5:$H$21,4,FALSE),3))</f>
        <v>3</v>
      </c>
      <c r="BM537">
        <f>IF($E537="","",IFERROR(VLOOKUP($C537,_CONFIG_Risk_Calibration!$A$5:$H$21,5,FALSE),3))</f>
        <v>3</v>
      </c>
      <c r="BN537" t="str">
        <f>IF($E537="","",IFERROR(VLOOKUP($C537,_CONFIG_Risk_Calibration!$A$5:$H$21,6,FALSE),"No"))</f>
        <v>No</v>
      </c>
      <c r="BO537">
        <f>IF($E537="","",IFERROR(VLOOKUP($C537,_CONFIG_Risk_Calibration!$A$5:$H$21,7,FALSE),1))</f>
        <v>1</v>
      </c>
      <c r="BP537">
        <f>IF($H537="","",MAX(1,MIN(5,((6-$H537)*0.45)+($BJ537*0.2)+('Resilience &amp; Risk Scenario'!$B$7*0.15)+($BK537*0.1)+($BL537*0.05)+(IF($BB537="Fast",5,IF($BB537="Slow",1,3))*0.05))))</f>
        <v>3.6</v>
      </c>
      <c r="BQ537">
        <f t="shared" si="45"/>
        <v>4.3500000000000005</v>
      </c>
      <c r="BR537">
        <f t="shared" si="46"/>
        <v>15.66</v>
      </c>
      <c r="BS537">
        <f t="shared" si="47"/>
        <v>15.66</v>
      </c>
      <c r="BT537" t="str">
        <f>IFERROR(INDEX(_REF_Capability_Bridge!$D:$D,MATCH($C537&amp;"|"&amp;$D537,_REF_Capability_Bridge!$J:$J,0)),IFERROR(INDEX(_REF_Capability_Bridge!$D:$D,MATCH($C537&amp;"|",_REF_Capability_Bridge!$J:$J,0)),"CAP_GENERIC"))</f>
        <v>CAP_POS_ECOMMERCE</v>
      </c>
      <c r="BU537">
        <f>IFERROR(IFERROR(INDEX(_ENGINE_Relevance!$L:$L,MATCH($BT537,_ENGINE_Relevance!$B:$B,0)),1),1)</f>
        <v>1</v>
      </c>
      <c r="BV537" t="str">
        <f>IFERROR(INDEX(_REF_Capability_Bridge!$A:$A,MATCH($C537&amp;"|"&amp;$D537,_REF_Capability_Bridge!$J:$J,0)),IFERROR(INDEX(_REF_Capability_Bridge!$A:$A,MATCH($C537&amp;"|",_REF_Capability_Bridge!$J:$J,0)),"No bridge"))</f>
        <v>BRG-085</v>
      </c>
      <c r="BW537" t="str">
        <f t="shared" si="48"/>
        <v>Capability relevance neutral</v>
      </c>
      <c r="BX537" t="str">
        <f t="shared" si="49"/>
        <v>Initial / absent</v>
      </c>
      <c r="BY537" t="str">
        <f>IF($E537="","",IFERROR(INDEX(_REF_Treatment_Library!$A$2:$A$296,MATCH(1,INDEX((_REF_Treatment_Library!$B$2:$B$296=$BT537)*(_REF_Treatment_Library!$C$2:$C$296=PV_Canonical_Industry)*(_REF_Treatment_Library!$E$2:$E$296&lt;=N($H537))*(_REF_Treatment_Library!$F$2:$F$296&gt;=N($H537))*(_REF_Treatment_Library!$O$2:$O$296="Yes"),0),0)),IFERROR(INDEX(_REF_Treatment_Library!$A$2:$A$296,MATCH(1,INDEX((_REF_Treatment_Library!$B$2:$B$296=$BT537)*(_REF_Treatment_Library!$C$2:$C$296="All")*(_REF_Treatment_Library!$E$2:$E$296&lt;=N($H537))*(_REF_Treatment_Library!$F$2:$F$296&gt;=N($H537))*(_REF_Treatment_Library!$O$2:$O$296="Yes"),0),0)),"")))</f>
        <v>TRT-POS_ECOMMERCE-INITIAL</v>
      </c>
      <c r="BZ537" t="str">
        <f>IF($BY537="","",IFERROR(INDEX(_REF_Treatment_Library!$H$2:$H$296,MATCH($BY537,_REF_Treatment_Library!$A$2:$A$296,0)),""))</f>
        <v>Establish</v>
      </c>
      <c r="CA537" t="str">
        <f>IF($BY537="","",IFERROR(INDEX(_REF_Treatment_Library!$I$2:$I$296,MATCH($BY537,_REF_Treatment_Library!$A$2:$A$296,0)),""))</f>
        <v>Establish baseline controls for POS / ecommerce</v>
      </c>
      <c r="CB537" t="str">
        <f>IF($BY537="","",IFERROR(INDEX(_REF_Treatment_Library!$K$2:$K$296,MATCH($BY537,_REF_Treatment_Library!$A$2:$A$296,0)),""))</f>
        <v>Named owner, baseline process, minimum control checklist, first evidence package</v>
      </c>
      <c r="CC537" t="str">
        <f>IF($BY537="","",IFERROR(INDEX(_REF_Treatment_Library!$L$2:$L$296,MATCH($BY537,_REF_Treatment_Library!$A$2:$A$296,0)),""))</f>
        <v>Owner assigned; baseline evidence coverage; open critical gaps</v>
      </c>
      <c r="CD537" t="str">
        <f t="shared" si="50"/>
        <v>Treatment by capability=CAP_POS_ECOMMERCE; band=Initial / absent; score=0.0; treatment=Establish</v>
      </c>
      <c r="CE537" t="str">
        <f>IF($E537="","",IFERROR(INDEX(_REF_Industry_Wording!$A$2:$A$70,MATCH(1,INDEX((_REF_Industry_Wording!$B$2:$B$70=$BT537)*(_REF_Industry_Wording!$C$2:$C$70=PV_Canonical_Industry)*(_REF_Industry_Wording!$K$2:$K$70="Yes"),0),0)),IFERROR(INDEX(_REF_Industry_Wording!$A$2:$A$70,MATCH(1,INDEX((_REF_Industry_Wording!$B$2:$B$70=$BT537)*(_REF_Industry_Wording!$C$2:$C$70="All")*(_REF_Industry_Wording!$K$2:$K$70="Yes"),0),0)),"")))</f>
        <v>IW-ALL-POS_ECOMMERCE</v>
      </c>
      <c r="CF537" t="str">
        <f>IF($CE537="","",IFERROR(INDEX(_REF_Industry_Wording!$E$2:$E$70,MATCH($CE537,_REF_Industry_Wording!$A$2:$A$70,0)),""))</f>
        <v>POS / ecommerce weakness</v>
      </c>
      <c r="CG537" t="str">
        <f>IF($CE537="","",IFERROR(INDEX(_REF_Industry_Wording!$F$2:$F$70,MATCH($CE537,_REF_Industry_Wording!$A$2:$A$70,0)),""))</f>
        <v>Strengthen POS / ecommerce</v>
      </c>
      <c r="CH537" t="str">
        <f>IF($CE537="","",IFERROR(INDEX(_REF_Industry_Wording!$G$2:$G$70,MATCH($CE537,_REF_Industry_Wording!$A$2:$A$70,0)),""))</f>
        <v>Strengthen POS / ecommerce using the selected maturity treatment, crisis scenario and evidence requirements.</v>
      </c>
      <c r="CI537" t="str">
        <f>IF($CE537="","",IFERROR(INDEX(_REF_Industry_Wording!$H$2:$H$70,MATCH($CE537,_REF_Industry_Wording!$A$2:$A$70,0)),""))</f>
        <v>POS / ecommerce</v>
      </c>
      <c r="CJ537">
        <f>IF($CE537="","",IFERROR(INDEX(_REF_Industry_Wording!$I$2:$I$70,MATCH($CE537,_REF_Industry_Wording!$A$2:$A$70,0)),""))</f>
        <v>0</v>
      </c>
      <c r="CK537" t="str">
        <f>IF($CE537="","",IFERROR(INDEX(_REF_Industry_Wording!$J$2:$J$70,MATCH($CE537,_REF_Industry_Wording!$A$2:$A$70,0)),""))</f>
        <v>POS / ecommerce</v>
      </c>
      <c r="CL537" t="str">
        <f t="shared" si="51"/>
        <v>Wording by industry=0; capability=CAP_POS_ECOMMERCE; risk label=POS / ecommerce weakness</v>
      </c>
      <c r="CM537" t="str">
        <f t="shared" si="52"/>
        <v>RISK-ONT-0038</v>
      </c>
      <c r="CN537" t="str">
        <f t="shared" si="53"/>
        <v>RISK-EVT-0038</v>
      </c>
      <c r="CO537" t="str">
        <f t="shared" si="54"/>
        <v>Strategy GTM|GTM execution|STRA-019|CAP_POS_ECOMMERCE</v>
      </c>
      <c r="CP537" t="str">
        <f t="shared" si="55"/>
        <v>Active</v>
      </c>
      <c r="CQ537" t="str">
        <f t="shared" si="56"/>
        <v>OK: capability-driven</v>
      </c>
      <c r="CR537" t="str">
        <f t="shared" si="57"/>
        <v>Risk ontology uses capability=CAP_POS_ECOMMERCE; bridge=BRG-085; treatment=TRT-POS_ECOMMERCE-INITIAL; wording=IW-ALL-POS_ECOMMERCE</v>
      </c>
      <c r="CS537" t="str">
        <f t="shared" si="58"/>
        <v>Yes</v>
      </c>
    </row>
    <row r="538" spans="1:97" ht="69.900000000000006" customHeight="1">
      <c r="A538">
        <f>IF(OR($B538&lt;&gt;"Yes",$BS538=""),"",SUMPRODUCT(($B$500:$B$923="Yes")*ISNUMBER($BS$500:$BS$923)*($BS$500:$BS$923&gt;$BS538))+COUNTIFS($B$500:$B538,"Yes",$BS$500:$BS538,$BS538))</f>
        <v>328</v>
      </c>
      <c r="B538" t="str">
        <f t="shared" si="21"/>
        <v>Yes</v>
      </c>
      <c r="C538" t="s">
        <v>949</v>
      </c>
      <c r="D538" t="s">
        <v>986</v>
      </c>
      <c r="E538" t="s">
        <v>1087</v>
      </c>
      <c r="F538" t="s">
        <v>3680</v>
      </c>
      <c r="G538" t="str">
        <f>IF($H538="","",IFERROR(INDEX(_ENGINE_Risk!$H$5:$M$499,MATCH($E538,_ENGINE_Risk!$A$5:$A$499,0),$H538+1),""))</f>
        <v>Severe risk: pipeline governance with clear stages, qualification criteria, forecast probability and CRM discipline is not reliably controlled. During Demand shock; Financial / liquidity shock; Reputation crisis, the organization may face weak crisis positioning, poor prioritization of segments, revenue leakage and inability to adapt the offering with limited visibility or accountability.</v>
      </c>
      <c r="H538">
        <f>IFERROR(VALUE(INDEX(_DATA_Assessment_Model!$H$5:$H$884,MATCH($E538,_DATA_Assessment_Model!$A$5:$A$884,0))),"")</f>
        <v>0</v>
      </c>
      <c r="I538" t="str">
        <f>IF($H538="","",IFERROR(INDEX(_DATA_Assessment_Model!$L$5:$L$884,MATCH($E538,_DATA_Assessment_Model!$A$5:$A$884,0)),IF($H538&lt;=1,"Critical",IF($H538=2,"High",IF($H538=3,"Medium",IF($H538=4,"Low","Resilient"))))))</f>
        <v>Critical</v>
      </c>
      <c r="J538">
        <f t="shared" si="22"/>
        <v>3.6</v>
      </c>
      <c r="K538">
        <f t="shared" si="23"/>
        <v>4.3</v>
      </c>
      <c r="L538">
        <f t="shared" si="24"/>
        <v>15.48</v>
      </c>
      <c r="M538">
        <f t="shared" si="25"/>
        <v>4</v>
      </c>
      <c r="N538">
        <f>IF($H538="","",IFERROR(INDEX(_ENGINE_Risk!$T$5:$Y$499,MATCH($E538,_ENGINE_Risk!$A$5:$A$499,0),$H538+1),""))</f>
        <v>3</v>
      </c>
      <c r="O538">
        <f t="shared" si="26"/>
        <v>4.666666666666667</v>
      </c>
      <c r="P538">
        <f t="shared" si="27"/>
        <v>5</v>
      </c>
      <c r="Q538">
        <f t="shared" si="28"/>
        <v>5</v>
      </c>
      <c r="R538">
        <f t="shared" si="29"/>
        <v>5</v>
      </c>
      <c r="S538">
        <f t="shared" si="30"/>
        <v>1.64</v>
      </c>
      <c r="T538" t="str">
        <f>IF($H538="","",IFERROR(INDEX(_ENGINE_Risk!$N$5:$S$499,MATCH($E538,_ENGINE_Risk!$A$5:$A$499,0),$H538+1),""))</f>
        <v>Create an immediate risk owner, minimum control baseline and fallback procedure for pipeline governance with clear stages, qualification criteria, forecast probability and CRM discipline. Add it to the crisis risk register and collect first evidence.</v>
      </c>
      <c r="U538">
        <f>IFERROR(INDEX(_DATA_Assessment_Model!$G$5:$G$884,MATCH($E538,_DATA_Assessment_Model!$A$5:$A$884,0)),"")</f>
        <v>4</v>
      </c>
      <c r="V538">
        <f>IFERROR(INDEX(_DATA_Assessment_Model!$W$5:$W$884,MATCH($E538,_DATA_Assessment_Model!$A$5:$A$884,0)),"")</f>
        <v>5</v>
      </c>
      <c r="W538">
        <f>IFERROR(INDEX(_DATA_Assessment_Model!$X$5:$X$884,MATCH($E538,_DATA_Assessment_Model!$A$5:$A$884,0)),"")</f>
        <v>5</v>
      </c>
      <c r="X538">
        <f>IFERROR(INDEX(_DATA_Assessment_Model!$Y$5:$Y$884,MATCH($E538,_DATA_Assessment_Model!$A$5:$A$884,0)),"")</f>
        <v>5</v>
      </c>
      <c r="Y538" t="s">
        <v>962</v>
      </c>
      <c r="Z538" t="s">
        <v>4860</v>
      </c>
      <c r="AA538" t="s">
        <v>1089</v>
      </c>
      <c r="AB538">
        <f>IFERROR(INDEX(_DATA_Assessment_Model!$U$5:$U$884,MATCH($E538,_DATA_Assessment_Model!$A$5:$A$884,0)),"")</f>
        <v>0</v>
      </c>
      <c r="AF538" t="s">
        <v>1088</v>
      </c>
      <c r="AO538">
        <f>IF($B538="Yes",IF(IFERROR(INDEX(_ENGINE_Crisis!$F$501:$F$517,MATCH($C538,_ENGINE_Crisis!$A$501:$A$517,0)),1)=0,1,IFERROR(INDEX(_ENGINE_Crisis!$F$501:$F$517,MATCH($C538,_ENGINE_Crisis!$A$501:$A$517,0)),1)),"")</f>
        <v>1</v>
      </c>
      <c r="AP538">
        <f t="shared" si="37"/>
        <v>15.5</v>
      </c>
      <c r="AQ538">
        <f t="shared" si="38"/>
        <v>1.64</v>
      </c>
      <c r="AR538" t="str">
        <f>IFERROR(INDEX(_ENGINE_Crisis!$E$41:$E$700,MATCH('Resilience &amp; Risk Scenario'!$B$6&amp;"|"&amp;$C538,_ENGINE_Crisis!$I$41:$I$700,0)),"")</f>
        <v/>
      </c>
      <c r="AS538" t="str">
        <f>IFERROR(INDEX(_ENGINE_Crisis!$G$41:$G$700,MATCH('Resilience &amp; Risk Scenario'!$B$6&amp;"|"&amp;$C538,_ENGINE_Crisis!$I$41:$I$700,0)),"")</f>
        <v/>
      </c>
      <c r="AT538" t="str">
        <f>IFERROR(INDEX(_ENGINE_Initiatives!$A$5:$A$532,MATCH(1,INDEX((_ENGINE_Initiatives!$B$5:$B$532=$C538)*(_ENGINE_Initiatives!$C$5:$C$532=$D538),0),0)),"")</f>
        <v>INI-007</v>
      </c>
      <c r="AU538" t="str">
        <f>IFERROR(INDEX(_ENGINE_Initiatives!$F$5:$F$532,MATCH(1,INDEX((_ENGINE_Initiatives!$B$5:$B$532=$C538)*(_ENGINE_Initiatives!$C$5:$C$532=$D538),0),0)),"")</f>
        <v>Build resilient GTM execution cadence and channel plan</v>
      </c>
      <c r="AV538">
        <f>IFERROR(INDEX(_ENGINE_Initiatives!$AC$5:$AC$532,MATCH(1,INDEX((_ENGINE_Initiatives!$B$5:$B$532=$C538)*(_ENGINE_Initiatives!$C$5:$C$532=$D538),0),0)),"")</f>
        <v>1.72</v>
      </c>
      <c r="AW538" t="str">
        <f>IFERROR(INDEX(_ENGINE_Initiatives!$AE$5:$AE$532,MATCH(1,INDEX((_ENGINE_Initiatives!$B$5:$B$532=$C538)*(_ENGINE_Initiatives!$C$5:$C$532=$D538),0),0)),"")</f>
        <v>6-12 months</v>
      </c>
      <c r="AX538">
        <f>IF($B538="Yes",IFERROR((IF(SUMIFS(_REF_Model_Content!$E$1:$E$613,_REF_Model_Content!$A$1:$A$613,PV_Canonical_Industry,_REF_Model_Content!$B$1:$B$613,$C538)=0,1,SUMIFS(_REF_Model_Content!$E$1:$E$613,_REF_Model_Content!$A$1:$A$613,PV_Canonical_Industry,_REF_Model_Content!$B$1:$B$613,$C538))*IFERROR($BU538,1)),1),"")</f>
        <v>1</v>
      </c>
      <c r="AY538">
        <f t="shared" si="39"/>
        <v>15.5</v>
      </c>
      <c r="AZ538">
        <f t="shared" si="40"/>
        <v>1.64</v>
      </c>
      <c r="BB538" t="str">
        <f>IF($H538="","",IFERROR(INDEX(_ENGINE_Risk!$AE$5:$AE$499,MATCH($E538,_ENGINE_Risk!$A$5:$A$499,0)),"Medium"))</f>
        <v>Medium</v>
      </c>
      <c r="BC538">
        <f t="shared" si="41"/>
        <v>1</v>
      </c>
      <c r="BD538">
        <f t="shared" si="42"/>
        <v>1.64</v>
      </c>
      <c r="BF538">
        <f>IF(OR($H538="",$J538=""),"",IFERROR(VLOOKUP(ROUND($J538,0),_CONFIG_Model_Settings!$D$154:$E$158,2,0),""))</f>
        <v>0.5</v>
      </c>
      <c r="BG538">
        <f>IFERROR(IF(OR($H538="",$K538=""),"",ROUND('Company Profile'!$B$113*INDEX(_CONFIG_Model_Settings!$H$154:$H$158,MATCH(ROUND($K538,0),_CONFIG_Model_Settings!$G$154:$G$158,0)),0)),0)</f>
        <v>875</v>
      </c>
      <c r="BH538">
        <f t="shared" si="43"/>
        <v>437.5</v>
      </c>
      <c r="BI538">
        <f t="shared" si="44"/>
        <v>437.5</v>
      </c>
      <c r="BJ538">
        <f>IF($E538="","",IFERROR(VLOOKUP($C538,_CONFIG_Risk_Calibration!$A$5:$H$21,2,FALSE),3))</f>
        <v>3</v>
      </c>
      <c r="BK538">
        <f>IF($E538="","",IFERROR(VLOOKUP($C538,_CONFIG_Risk_Calibration!$A$5:$H$21,3,FALSE),0))</f>
        <v>0</v>
      </c>
      <c r="BL538">
        <f>IF($E538="","",IFERROR(VLOOKUP($C538,_CONFIG_Risk_Calibration!$A$5:$H$21,4,FALSE),3))</f>
        <v>3</v>
      </c>
      <c r="BM538">
        <f>IF($E538="","",IFERROR(VLOOKUP($C538,_CONFIG_Risk_Calibration!$A$5:$H$21,5,FALSE),3))</f>
        <v>3</v>
      </c>
      <c r="BN538" t="str">
        <f>IF($E538="","",IFERROR(VLOOKUP($C538,_CONFIG_Risk_Calibration!$A$5:$H$21,6,FALSE),"No"))</f>
        <v>No</v>
      </c>
      <c r="BO538">
        <f>IF($E538="","",IFERROR(VLOOKUP($C538,_CONFIG_Risk_Calibration!$A$5:$H$21,7,FALSE),1))</f>
        <v>1</v>
      </c>
      <c r="BP538">
        <f>IF($H538="","",MAX(1,MIN(5,((6-$H538)*0.45)+($BJ538*0.2)+('Resilience &amp; Risk Scenario'!$B$7*0.15)+($BK538*0.1)+($BL538*0.05)+(IF($BB538="Fast",5,IF($BB538="Slow",1,3))*0.05))))</f>
        <v>3.6</v>
      </c>
      <c r="BQ538">
        <f t="shared" si="45"/>
        <v>4.3</v>
      </c>
      <c r="BR538">
        <f t="shared" si="46"/>
        <v>15.48</v>
      </c>
      <c r="BS538">
        <f t="shared" si="47"/>
        <v>15.48</v>
      </c>
      <c r="BT538" t="str">
        <f>IFERROR(INDEX(_REF_Capability_Bridge!$D:$D,MATCH($C538&amp;"|"&amp;$D538,_REF_Capability_Bridge!$J:$J,0)),IFERROR(INDEX(_REF_Capability_Bridge!$D:$D,MATCH($C538&amp;"|",_REF_Capability_Bridge!$J:$J,0)),"CAP_GENERIC"))</f>
        <v>CAP_POS_ECOMMERCE</v>
      </c>
      <c r="BU538">
        <f>IFERROR(IFERROR(INDEX(_ENGINE_Relevance!$L:$L,MATCH($BT538,_ENGINE_Relevance!$B:$B,0)),1),1)</f>
        <v>1</v>
      </c>
      <c r="BV538" t="str">
        <f>IFERROR(INDEX(_REF_Capability_Bridge!$A:$A,MATCH($C538&amp;"|"&amp;$D538,_REF_Capability_Bridge!$J:$J,0)),IFERROR(INDEX(_REF_Capability_Bridge!$A:$A,MATCH($C538&amp;"|",_REF_Capability_Bridge!$J:$J,0)),"No bridge"))</f>
        <v>BRG-085</v>
      </c>
      <c r="BW538" t="str">
        <f t="shared" si="48"/>
        <v>Capability relevance neutral</v>
      </c>
      <c r="BX538" t="str">
        <f t="shared" si="49"/>
        <v>Initial / absent</v>
      </c>
      <c r="BY538" t="str">
        <f>IF($E538="","",IFERROR(INDEX(_REF_Treatment_Library!$A$2:$A$296,MATCH(1,INDEX((_REF_Treatment_Library!$B$2:$B$296=$BT538)*(_REF_Treatment_Library!$C$2:$C$296=PV_Canonical_Industry)*(_REF_Treatment_Library!$E$2:$E$296&lt;=N($H538))*(_REF_Treatment_Library!$F$2:$F$296&gt;=N($H538))*(_REF_Treatment_Library!$O$2:$O$296="Yes"),0),0)),IFERROR(INDEX(_REF_Treatment_Library!$A$2:$A$296,MATCH(1,INDEX((_REF_Treatment_Library!$B$2:$B$296=$BT538)*(_REF_Treatment_Library!$C$2:$C$296="All")*(_REF_Treatment_Library!$E$2:$E$296&lt;=N($H538))*(_REF_Treatment_Library!$F$2:$F$296&gt;=N($H538))*(_REF_Treatment_Library!$O$2:$O$296="Yes"),0),0)),"")))</f>
        <v>TRT-POS_ECOMMERCE-INITIAL</v>
      </c>
      <c r="BZ538" t="str">
        <f>IF($BY538="","",IFERROR(INDEX(_REF_Treatment_Library!$H$2:$H$296,MATCH($BY538,_REF_Treatment_Library!$A$2:$A$296,0)),""))</f>
        <v>Establish</v>
      </c>
      <c r="CA538" t="str">
        <f>IF($BY538="","",IFERROR(INDEX(_REF_Treatment_Library!$I$2:$I$296,MATCH($BY538,_REF_Treatment_Library!$A$2:$A$296,0)),""))</f>
        <v>Establish baseline controls for POS / ecommerce</v>
      </c>
      <c r="CB538" t="str">
        <f>IF($BY538="","",IFERROR(INDEX(_REF_Treatment_Library!$K$2:$K$296,MATCH($BY538,_REF_Treatment_Library!$A$2:$A$296,0)),""))</f>
        <v>Named owner, baseline process, minimum control checklist, first evidence package</v>
      </c>
      <c r="CC538" t="str">
        <f>IF($BY538="","",IFERROR(INDEX(_REF_Treatment_Library!$L$2:$L$296,MATCH($BY538,_REF_Treatment_Library!$A$2:$A$296,0)),""))</f>
        <v>Owner assigned; baseline evidence coverage; open critical gaps</v>
      </c>
      <c r="CD538" t="str">
        <f t="shared" si="50"/>
        <v>Treatment by capability=CAP_POS_ECOMMERCE; band=Initial / absent; score=0.0; treatment=Establish</v>
      </c>
      <c r="CE538" t="str">
        <f>IF($E538="","",IFERROR(INDEX(_REF_Industry_Wording!$A$2:$A$70,MATCH(1,INDEX((_REF_Industry_Wording!$B$2:$B$70=$BT538)*(_REF_Industry_Wording!$C$2:$C$70=PV_Canonical_Industry)*(_REF_Industry_Wording!$K$2:$K$70="Yes"),0),0)),IFERROR(INDEX(_REF_Industry_Wording!$A$2:$A$70,MATCH(1,INDEX((_REF_Industry_Wording!$B$2:$B$70=$BT538)*(_REF_Industry_Wording!$C$2:$C$70="All")*(_REF_Industry_Wording!$K$2:$K$70="Yes"),0),0)),"")))</f>
        <v>IW-ALL-POS_ECOMMERCE</v>
      </c>
      <c r="CF538" t="str">
        <f>IF($CE538="","",IFERROR(INDEX(_REF_Industry_Wording!$E$2:$E$70,MATCH($CE538,_REF_Industry_Wording!$A$2:$A$70,0)),""))</f>
        <v>POS / ecommerce weakness</v>
      </c>
      <c r="CG538" t="str">
        <f>IF($CE538="","",IFERROR(INDEX(_REF_Industry_Wording!$F$2:$F$70,MATCH($CE538,_REF_Industry_Wording!$A$2:$A$70,0)),""))</f>
        <v>Strengthen POS / ecommerce</v>
      </c>
      <c r="CH538" t="str">
        <f>IF($CE538="","",IFERROR(INDEX(_REF_Industry_Wording!$G$2:$G$70,MATCH($CE538,_REF_Industry_Wording!$A$2:$A$70,0)),""))</f>
        <v>Strengthen POS / ecommerce using the selected maturity treatment, crisis scenario and evidence requirements.</v>
      </c>
      <c r="CI538" t="str">
        <f>IF($CE538="","",IFERROR(INDEX(_REF_Industry_Wording!$H$2:$H$70,MATCH($CE538,_REF_Industry_Wording!$A$2:$A$70,0)),""))</f>
        <v>POS / ecommerce</v>
      </c>
      <c r="CJ538">
        <f>IF($CE538="","",IFERROR(INDEX(_REF_Industry_Wording!$I$2:$I$70,MATCH($CE538,_REF_Industry_Wording!$A$2:$A$70,0)),""))</f>
        <v>0</v>
      </c>
      <c r="CK538" t="str">
        <f>IF($CE538="","",IFERROR(INDEX(_REF_Industry_Wording!$J$2:$J$70,MATCH($CE538,_REF_Industry_Wording!$A$2:$A$70,0)),""))</f>
        <v>POS / ecommerce</v>
      </c>
      <c r="CL538" t="str">
        <f t="shared" si="51"/>
        <v>Wording by industry=0; capability=CAP_POS_ECOMMERCE; risk label=POS / ecommerce weakness</v>
      </c>
      <c r="CM538" t="str">
        <f t="shared" si="52"/>
        <v>RISK-ONT-0039</v>
      </c>
      <c r="CN538" t="str">
        <f t="shared" si="53"/>
        <v>RISK-EVT-0039</v>
      </c>
      <c r="CO538" t="str">
        <f t="shared" si="54"/>
        <v>Strategy GTM|GTM execution|STRA-020|CAP_POS_ECOMMERCE</v>
      </c>
      <c r="CP538" t="str">
        <f t="shared" si="55"/>
        <v>Active</v>
      </c>
      <c r="CQ538" t="str">
        <f t="shared" si="56"/>
        <v>OK: capability-driven</v>
      </c>
      <c r="CR538" t="str">
        <f t="shared" si="57"/>
        <v>Risk ontology uses capability=CAP_POS_ECOMMERCE; bridge=BRG-085; treatment=TRT-POS_ECOMMERCE-INITIAL; wording=IW-ALL-POS_ECOMMERCE</v>
      </c>
      <c r="CS538" t="str">
        <f t="shared" si="58"/>
        <v>Yes</v>
      </c>
    </row>
    <row r="539" spans="1:97" ht="69.900000000000006" customHeight="1">
      <c r="A539">
        <f>IF(OR($B539&lt;&gt;"Yes",$BS539=""),"",SUMPRODUCT(($B$500:$B$923="Yes")*ISNUMBER($BS$500:$BS$923)*($BS$500:$BS$923&gt;$BS539))+COUNTIFS($B$500:$B539,"Yes",$BS$500:$BS539,$BS539))</f>
        <v>342</v>
      </c>
      <c r="B539" t="str">
        <f t="shared" si="21"/>
        <v>Yes</v>
      </c>
      <c r="C539" t="s">
        <v>949</v>
      </c>
      <c r="D539" t="s">
        <v>986</v>
      </c>
      <c r="E539" t="s">
        <v>1096</v>
      </c>
      <c r="F539" t="s">
        <v>3680</v>
      </c>
      <c r="G539" t="str">
        <f>IF($H539="","",IFERROR(INDEX(_ENGINE_Risk!$H$5:$M$499,MATCH($E539,_ENGINE_Risk!$A$5:$A$499,0),$H539+1),""))</f>
        <v>Severe risk: channel strategy across direct sales, partners, ecommerce, marketplaces, distributors and digital channels is not reliably controlled. During Demand shock; Financial / liquidity shock; Reputation crisis, the organization may face weak crisis positioning, poor prioritization of segments, revenue leakage and inability to adapt the offering with limited visibility or accountability.</v>
      </c>
      <c r="H539">
        <f>IFERROR(VALUE(INDEX(_DATA_Assessment_Model!$H$5:$H$884,MATCH($E539,_DATA_Assessment_Model!$A$5:$A$884,0))),"")</f>
        <v>0</v>
      </c>
      <c r="I539" t="str">
        <f>IF($H539="","",IFERROR(INDEX(_DATA_Assessment_Model!$L$5:$L$884,MATCH($E539,_DATA_Assessment_Model!$A$5:$A$884,0)),IF($H539&lt;=1,"Critical",IF($H539=2,"High",IF($H539=3,"Medium",IF($H539=4,"Low","Resilient"))))))</f>
        <v>Critical</v>
      </c>
      <c r="J539">
        <f t="shared" si="22"/>
        <v>3.6</v>
      </c>
      <c r="K539">
        <f t="shared" si="23"/>
        <v>4.1500000000000004</v>
      </c>
      <c r="L539">
        <f t="shared" si="24"/>
        <v>14.940000000000001</v>
      </c>
      <c r="M539">
        <f t="shared" si="25"/>
        <v>3</v>
      </c>
      <c r="N539">
        <f>IF($H539="","",IFERROR(INDEX(_ENGINE_Risk!$T$5:$Y$499,MATCH($E539,_ENGINE_Risk!$A$5:$A$499,0),$H539+1),""))</f>
        <v>3</v>
      </c>
      <c r="O539">
        <f t="shared" si="26"/>
        <v>4.333333333333333</v>
      </c>
      <c r="P539">
        <f t="shared" si="27"/>
        <v>5</v>
      </c>
      <c r="Q539">
        <f t="shared" si="28"/>
        <v>5</v>
      </c>
      <c r="R539">
        <f t="shared" si="29"/>
        <v>4.5</v>
      </c>
      <c r="S539">
        <f t="shared" si="30"/>
        <v>1.57</v>
      </c>
      <c r="T539" t="str">
        <f>IF($H539="","",IFERROR(INDEX(_ENGINE_Risk!$N$5:$S$499,MATCH($E539,_ENGINE_Risk!$A$5:$A$499,0),$H539+1),""))</f>
        <v>Create an immediate risk owner, minimum control baseline and fallback procedure for channel strategy across direct sales, partners, ecommerce, marketplaces, distributors and digital channels. Add it to the crisis risk register and collect first evidence.</v>
      </c>
      <c r="U539">
        <f>IFERROR(INDEX(_DATA_Assessment_Model!$G$5:$G$884,MATCH($E539,_DATA_Assessment_Model!$A$5:$A$884,0)),"")</f>
        <v>4</v>
      </c>
      <c r="V539">
        <f>IFERROR(INDEX(_DATA_Assessment_Model!$W$5:$W$884,MATCH($E539,_DATA_Assessment_Model!$A$5:$A$884,0)),"")</f>
        <v>4</v>
      </c>
      <c r="W539">
        <f>IFERROR(INDEX(_DATA_Assessment_Model!$X$5:$X$884,MATCH($E539,_DATA_Assessment_Model!$A$5:$A$884,0)),"")</f>
        <v>5</v>
      </c>
      <c r="X539">
        <f>IFERROR(INDEX(_DATA_Assessment_Model!$Y$5:$Y$884,MATCH($E539,_DATA_Assessment_Model!$A$5:$A$884,0)),"")</f>
        <v>5</v>
      </c>
      <c r="Y539" t="s">
        <v>962</v>
      </c>
      <c r="Z539" t="s">
        <v>4860</v>
      </c>
      <c r="AA539" t="s">
        <v>1098</v>
      </c>
      <c r="AB539">
        <f>IFERROR(INDEX(_DATA_Assessment_Model!$U$5:$U$884,MATCH($E539,_DATA_Assessment_Model!$A$5:$A$884,0)),"")</f>
        <v>0</v>
      </c>
      <c r="AF539" t="s">
        <v>1097</v>
      </c>
      <c r="AO539">
        <f>IF($B539="Yes",IF(IFERROR(INDEX(_ENGINE_Crisis!$F$501:$F$517,MATCH($C539,_ENGINE_Crisis!$A$501:$A$517,0)),1)=0,1,IFERROR(INDEX(_ENGINE_Crisis!$F$501:$F$517,MATCH($C539,_ENGINE_Crisis!$A$501:$A$517,0)),1)),"")</f>
        <v>1</v>
      </c>
      <c r="AP539">
        <f t="shared" si="37"/>
        <v>14.9</v>
      </c>
      <c r="AQ539">
        <f t="shared" si="38"/>
        <v>1.57</v>
      </c>
      <c r="AR539" t="str">
        <f>IFERROR(INDEX(_ENGINE_Crisis!$E$41:$E$700,MATCH('Resilience &amp; Risk Scenario'!$B$6&amp;"|"&amp;$C539,_ENGINE_Crisis!$I$41:$I$700,0)),"")</f>
        <v/>
      </c>
      <c r="AS539" t="str">
        <f>IFERROR(INDEX(_ENGINE_Crisis!$G$41:$G$700,MATCH('Resilience &amp; Risk Scenario'!$B$6&amp;"|"&amp;$C539,_ENGINE_Crisis!$I$41:$I$700,0)),"")</f>
        <v/>
      </c>
      <c r="AT539" t="str">
        <f>IFERROR(INDEX(_ENGINE_Initiatives!$A$5:$A$532,MATCH(1,INDEX((_ENGINE_Initiatives!$B$5:$B$532=$C539)*(_ENGINE_Initiatives!$C$5:$C$532=$D539),0),0)),"")</f>
        <v>INI-007</v>
      </c>
      <c r="AU539" t="str">
        <f>IFERROR(INDEX(_ENGINE_Initiatives!$F$5:$F$532,MATCH(1,INDEX((_ENGINE_Initiatives!$B$5:$B$532=$C539)*(_ENGINE_Initiatives!$C$5:$C$532=$D539),0),0)),"")</f>
        <v>Build resilient GTM execution cadence and channel plan</v>
      </c>
      <c r="AV539">
        <f>IFERROR(INDEX(_ENGINE_Initiatives!$AC$5:$AC$532,MATCH(1,INDEX((_ENGINE_Initiatives!$B$5:$B$532=$C539)*(_ENGINE_Initiatives!$C$5:$C$532=$D539),0),0)),"")</f>
        <v>1.72</v>
      </c>
      <c r="AW539" t="str">
        <f>IFERROR(INDEX(_ENGINE_Initiatives!$AE$5:$AE$532,MATCH(1,INDEX((_ENGINE_Initiatives!$B$5:$B$532=$C539)*(_ENGINE_Initiatives!$C$5:$C$532=$D539),0),0)),"")</f>
        <v>6-12 months</v>
      </c>
      <c r="AX539">
        <f>IF($B539="Yes",IFERROR((IF(SUMIFS(_REF_Model_Content!$E$1:$E$613,_REF_Model_Content!$A$1:$A$613,PV_Canonical_Industry,_REF_Model_Content!$B$1:$B$613,$C539)=0,1,SUMIFS(_REF_Model_Content!$E$1:$E$613,_REF_Model_Content!$A$1:$A$613,PV_Canonical_Industry,_REF_Model_Content!$B$1:$B$613,$C539))*IFERROR($BU539,1)),1),"")</f>
        <v>1</v>
      </c>
      <c r="AY539">
        <f t="shared" si="39"/>
        <v>14.9</v>
      </c>
      <c r="AZ539">
        <f t="shared" si="40"/>
        <v>1.57</v>
      </c>
      <c r="BB539" t="str">
        <f>IF($H539="","",IFERROR(INDEX(_ENGINE_Risk!$AE$5:$AE$499,MATCH($E539,_ENGINE_Risk!$A$5:$A$499,0)),"Medium"))</f>
        <v>Medium</v>
      </c>
      <c r="BC539">
        <f t="shared" si="41"/>
        <v>1</v>
      </c>
      <c r="BD539">
        <f t="shared" si="42"/>
        <v>1.57</v>
      </c>
      <c r="BF539">
        <f>IF(OR($H539="",$J539=""),"",IFERROR(VLOOKUP(ROUND($J539,0),_CONFIG_Model_Settings!$D$154:$E$158,2,0),""))</f>
        <v>0.5</v>
      </c>
      <c r="BG539">
        <f>IFERROR(IF(OR($H539="",$K539=""),"",ROUND('Company Profile'!$B$113*INDEX(_CONFIG_Model_Settings!$H$154:$H$158,MATCH(ROUND($K539,0),_CONFIG_Model_Settings!$G$154:$G$158,0)),0)),0)</f>
        <v>875</v>
      </c>
      <c r="BH539">
        <f t="shared" si="43"/>
        <v>437.5</v>
      </c>
      <c r="BI539">
        <f t="shared" si="44"/>
        <v>437.5</v>
      </c>
      <c r="BJ539">
        <f>IF($E539="","",IFERROR(VLOOKUP($C539,_CONFIG_Risk_Calibration!$A$5:$H$21,2,FALSE),3))</f>
        <v>3</v>
      </c>
      <c r="BK539">
        <f>IF($E539="","",IFERROR(VLOOKUP($C539,_CONFIG_Risk_Calibration!$A$5:$H$21,3,FALSE),0))</f>
        <v>0</v>
      </c>
      <c r="BL539">
        <f>IF($E539="","",IFERROR(VLOOKUP($C539,_CONFIG_Risk_Calibration!$A$5:$H$21,4,FALSE),3))</f>
        <v>3</v>
      </c>
      <c r="BM539">
        <f>IF($E539="","",IFERROR(VLOOKUP($C539,_CONFIG_Risk_Calibration!$A$5:$H$21,5,FALSE),3))</f>
        <v>3</v>
      </c>
      <c r="BN539" t="str">
        <f>IF($E539="","",IFERROR(VLOOKUP($C539,_CONFIG_Risk_Calibration!$A$5:$H$21,6,FALSE),"No"))</f>
        <v>No</v>
      </c>
      <c r="BO539">
        <f>IF($E539="","",IFERROR(VLOOKUP($C539,_CONFIG_Risk_Calibration!$A$5:$H$21,7,FALSE),1))</f>
        <v>1</v>
      </c>
      <c r="BP539">
        <f>IF($H539="","",MAX(1,MIN(5,((6-$H539)*0.45)+($BJ539*0.2)+('Resilience &amp; Risk Scenario'!$B$7*0.15)+($BK539*0.1)+($BL539*0.05)+(IF($BB539="Fast",5,IF($BB539="Slow",1,3))*0.05))))</f>
        <v>3.6</v>
      </c>
      <c r="BQ539">
        <f t="shared" si="45"/>
        <v>4.1500000000000004</v>
      </c>
      <c r="BR539">
        <f t="shared" si="46"/>
        <v>14.94</v>
      </c>
      <c r="BS539">
        <f t="shared" si="47"/>
        <v>14.94</v>
      </c>
      <c r="BT539" t="str">
        <f>IFERROR(INDEX(_REF_Capability_Bridge!$D:$D,MATCH($C539&amp;"|"&amp;$D539,_REF_Capability_Bridge!$J:$J,0)),IFERROR(INDEX(_REF_Capability_Bridge!$D:$D,MATCH($C539&amp;"|",_REF_Capability_Bridge!$J:$J,0)),"CAP_GENERIC"))</f>
        <v>CAP_POS_ECOMMERCE</v>
      </c>
      <c r="BU539">
        <f>IFERROR(IFERROR(INDEX(_ENGINE_Relevance!$L:$L,MATCH($BT539,_ENGINE_Relevance!$B:$B,0)),1),1)</f>
        <v>1</v>
      </c>
      <c r="BV539" t="str">
        <f>IFERROR(INDEX(_REF_Capability_Bridge!$A:$A,MATCH($C539&amp;"|"&amp;$D539,_REF_Capability_Bridge!$J:$J,0)),IFERROR(INDEX(_REF_Capability_Bridge!$A:$A,MATCH($C539&amp;"|",_REF_Capability_Bridge!$J:$J,0)),"No bridge"))</f>
        <v>BRG-085</v>
      </c>
      <c r="BW539" t="str">
        <f t="shared" si="48"/>
        <v>Capability relevance neutral</v>
      </c>
      <c r="BX539" t="str">
        <f t="shared" si="49"/>
        <v>Initial / absent</v>
      </c>
      <c r="BY539" t="str">
        <f>IF($E539="","",IFERROR(INDEX(_REF_Treatment_Library!$A$2:$A$296,MATCH(1,INDEX((_REF_Treatment_Library!$B$2:$B$296=$BT539)*(_REF_Treatment_Library!$C$2:$C$296=PV_Canonical_Industry)*(_REF_Treatment_Library!$E$2:$E$296&lt;=N($H539))*(_REF_Treatment_Library!$F$2:$F$296&gt;=N($H539))*(_REF_Treatment_Library!$O$2:$O$296="Yes"),0),0)),IFERROR(INDEX(_REF_Treatment_Library!$A$2:$A$296,MATCH(1,INDEX((_REF_Treatment_Library!$B$2:$B$296=$BT539)*(_REF_Treatment_Library!$C$2:$C$296="All")*(_REF_Treatment_Library!$E$2:$E$296&lt;=N($H539))*(_REF_Treatment_Library!$F$2:$F$296&gt;=N($H539))*(_REF_Treatment_Library!$O$2:$O$296="Yes"),0),0)),"")))</f>
        <v>TRT-POS_ECOMMERCE-INITIAL</v>
      </c>
      <c r="BZ539" t="str">
        <f>IF($BY539="","",IFERROR(INDEX(_REF_Treatment_Library!$H$2:$H$296,MATCH($BY539,_REF_Treatment_Library!$A$2:$A$296,0)),""))</f>
        <v>Establish</v>
      </c>
      <c r="CA539" t="str">
        <f>IF($BY539="","",IFERROR(INDEX(_REF_Treatment_Library!$I$2:$I$296,MATCH($BY539,_REF_Treatment_Library!$A$2:$A$296,0)),""))</f>
        <v>Establish baseline controls for POS / ecommerce</v>
      </c>
      <c r="CB539" t="str">
        <f>IF($BY539="","",IFERROR(INDEX(_REF_Treatment_Library!$K$2:$K$296,MATCH($BY539,_REF_Treatment_Library!$A$2:$A$296,0)),""))</f>
        <v>Named owner, baseline process, minimum control checklist, first evidence package</v>
      </c>
      <c r="CC539" t="str">
        <f>IF($BY539="","",IFERROR(INDEX(_REF_Treatment_Library!$L$2:$L$296,MATCH($BY539,_REF_Treatment_Library!$A$2:$A$296,0)),""))</f>
        <v>Owner assigned; baseline evidence coverage; open critical gaps</v>
      </c>
      <c r="CD539" t="str">
        <f t="shared" si="50"/>
        <v>Treatment by capability=CAP_POS_ECOMMERCE; band=Initial / absent; score=0.0; treatment=Establish</v>
      </c>
      <c r="CE539" t="str">
        <f>IF($E539="","",IFERROR(INDEX(_REF_Industry_Wording!$A$2:$A$70,MATCH(1,INDEX((_REF_Industry_Wording!$B$2:$B$70=$BT539)*(_REF_Industry_Wording!$C$2:$C$70=PV_Canonical_Industry)*(_REF_Industry_Wording!$K$2:$K$70="Yes"),0),0)),IFERROR(INDEX(_REF_Industry_Wording!$A$2:$A$70,MATCH(1,INDEX((_REF_Industry_Wording!$B$2:$B$70=$BT539)*(_REF_Industry_Wording!$C$2:$C$70="All")*(_REF_Industry_Wording!$K$2:$K$70="Yes"),0),0)),"")))</f>
        <v>IW-ALL-POS_ECOMMERCE</v>
      </c>
      <c r="CF539" t="str">
        <f>IF($CE539="","",IFERROR(INDEX(_REF_Industry_Wording!$E$2:$E$70,MATCH($CE539,_REF_Industry_Wording!$A$2:$A$70,0)),""))</f>
        <v>POS / ecommerce weakness</v>
      </c>
      <c r="CG539" t="str">
        <f>IF($CE539="","",IFERROR(INDEX(_REF_Industry_Wording!$F$2:$F$70,MATCH($CE539,_REF_Industry_Wording!$A$2:$A$70,0)),""))</f>
        <v>Strengthen POS / ecommerce</v>
      </c>
      <c r="CH539" t="str">
        <f>IF($CE539="","",IFERROR(INDEX(_REF_Industry_Wording!$G$2:$G$70,MATCH($CE539,_REF_Industry_Wording!$A$2:$A$70,0)),""))</f>
        <v>Strengthen POS / ecommerce using the selected maturity treatment, crisis scenario and evidence requirements.</v>
      </c>
      <c r="CI539" t="str">
        <f>IF($CE539="","",IFERROR(INDEX(_REF_Industry_Wording!$H$2:$H$70,MATCH($CE539,_REF_Industry_Wording!$A$2:$A$70,0)),""))</f>
        <v>POS / ecommerce</v>
      </c>
      <c r="CJ539">
        <f>IF($CE539="","",IFERROR(INDEX(_REF_Industry_Wording!$I$2:$I$70,MATCH($CE539,_REF_Industry_Wording!$A$2:$A$70,0)),""))</f>
        <v>0</v>
      </c>
      <c r="CK539" t="str">
        <f>IF($CE539="","",IFERROR(INDEX(_REF_Industry_Wording!$J$2:$J$70,MATCH($CE539,_REF_Industry_Wording!$A$2:$A$70,0)),""))</f>
        <v>POS / ecommerce</v>
      </c>
      <c r="CL539" t="str">
        <f t="shared" si="51"/>
        <v>Wording by industry=0; capability=CAP_POS_ECOMMERCE; risk label=POS / ecommerce weakness</v>
      </c>
      <c r="CM539" t="str">
        <f t="shared" si="52"/>
        <v>RISK-ONT-0040</v>
      </c>
      <c r="CN539" t="str">
        <f t="shared" si="53"/>
        <v>RISK-EVT-0040</v>
      </c>
      <c r="CO539" t="str">
        <f t="shared" si="54"/>
        <v>Strategy GTM|GTM execution|STRA-021|CAP_POS_ECOMMERCE</v>
      </c>
      <c r="CP539" t="str">
        <f t="shared" si="55"/>
        <v>Active</v>
      </c>
      <c r="CQ539" t="str">
        <f t="shared" si="56"/>
        <v>OK: capability-driven</v>
      </c>
      <c r="CR539" t="str">
        <f t="shared" si="57"/>
        <v>Risk ontology uses capability=CAP_POS_ECOMMERCE; bridge=BRG-085; treatment=TRT-POS_ECOMMERCE-INITIAL; wording=IW-ALL-POS_ECOMMERCE</v>
      </c>
      <c r="CS539" t="str">
        <f t="shared" si="58"/>
        <v>Yes</v>
      </c>
    </row>
    <row r="540" spans="1:97" ht="69.900000000000006" customHeight="1">
      <c r="A540">
        <f>IF(OR($B540&lt;&gt;"Yes",$BS540=""),"",SUMPRODUCT(($B$500:$B$923="Yes")*ISNUMBER($BS$500:$BS$923)*($BS$500:$BS$923&gt;$BS540))+COUNTIFS($B$500:$B540,"Yes",$BS$500:$BS540,$BS540))</f>
        <v>326</v>
      </c>
      <c r="B540" t="str">
        <f t="shared" si="21"/>
        <v>Yes</v>
      </c>
      <c r="C540" t="s">
        <v>949</v>
      </c>
      <c r="D540" t="s">
        <v>986</v>
      </c>
      <c r="E540" t="s">
        <v>1105</v>
      </c>
      <c r="F540" t="s">
        <v>3680</v>
      </c>
      <c r="G540" t="str">
        <f>IF($H540="","",IFERROR(INDEX(_ENGINE_Risk!$H$5:$M$499,MATCH($E540,_ENGINE_Risk!$A$5:$A$499,0),$H540+1),""))</f>
        <v>Severe risk: win/loss analysis feeding back into strategy, offering, pricing and messaging is not reliably controlled. During Demand shock; Financial / liquidity shock; Reputation crisis, the organization may face weak crisis positioning, poor prioritization of segments, revenue leakage and inability to adapt the offering with limited visibility or accountability.</v>
      </c>
      <c r="H540">
        <f>IFERROR(VALUE(INDEX(_DATA_Assessment_Model!$H$5:$H$884,MATCH($E540,_DATA_Assessment_Model!$A$5:$A$884,0))),"")</f>
        <v>0</v>
      </c>
      <c r="I540" t="str">
        <f>IF($H540="","",IFERROR(INDEX(_DATA_Assessment_Model!$L$5:$L$884,MATCH($E540,_DATA_Assessment_Model!$A$5:$A$884,0)),IF($H540&lt;=1,"Critical",IF($H540=2,"High",IF($H540=3,"Medium",IF($H540=4,"Low","Resilient"))))))</f>
        <v>Critical</v>
      </c>
      <c r="J540">
        <f t="shared" si="22"/>
        <v>3.6</v>
      </c>
      <c r="K540">
        <f t="shared" si="23"/>
        <v>4.3500000000000005</v>
      </c>
      <c r="L540">
        <f t="shared" si="24"/>
        <v>15.660000000000002</v>
      </c>
      <c r="M540">
        <f t="shared" si="25"/>
        <v>4</v>
      </c>
      <c r="N540">
        <f>IF($H540="","",IFERROR(INDEX(_ENGINE_Risk!$T$5:$Y$499,MATCH($E540,_ENGINE_Risk!$A$5:$A$499,0),$H540+1),""))</f>
        <v>3</v>
      </c>
      <c r="O540">
        <f t="shared" si="26"/>
        <v>4.666666666666667</v>
      </c>
      <c r="P540">
        <f t="shared" si="27"/>
        <v>5</v>
      </c>
      <c r="Q540">
        <f t="shared" si="28"/>
        <v>5</v>
      </c>
      <c r="R540">
        <f t="shared" si="29"/>
        <v>4.5</v>
      </c>
      <c r="S540">
        <f t="shared" si="30"/>
        <v>1.6</v>
      </c>
      <c r="T540" t="str">
        <f>IF($H540="","",IFERROR(INDEX(_ENGINE_Risk!$N$5:$S$499,MATCH($E540,_ENGINE_Risk!$A$5:$A$499,0),$H540+1),""))</f>
        <v>Create an immediate risk owner, minimum control baseline and fallback procedure for win/loss analysis feeding back into strategy, offering, pricing and messaging. Add it to the crisis risk register and collect first evidence.</v>
      </c>
      <c r="U540">
        <f>IFERROR(INDEX(_DATA_Assessment_Model!$G$5:$G$884,MATCH($E540,_DATA_Assessment_Model!$A$5:$A$884,0)),"")</f>
        <v>5</v>
      </c>
      <c r="V540">
        <f>IFERROR(INDEX(_DATA_Assessment_Model!$W$5:$W$884,MATCH($E540,_DATA_Assessment_Model!$A$5:$A$884,0)),"")</f>
        <v>4</v>
      </c>
      <c r="W540">
        <f>IFERROR(INDEX(_DATA_Assessment_Model!$X$5:$X$884,MATCH($E540,_DATA_Assessment_Model!$A$5:$A$884,0)),"")</f>
        <v>5</v>
      </c>
      <c r="X540">
        <f>IFERROR(INDEX(_DATA_Assessment_Model!$Y$5:$Y$884,MATCH($E540,_DATA_Assessment_Model!$A$5:$A$884,0)),"")</f>
        <v>5</v>
      </c>
      <c r="Y540" t="s">
        <v>962</v>
      </c>
      <c r="Z540" t="s">
        <v>4860</v>
      </c>
      <c r="AA540" t="s">
        <v>1107</v>
      </c>
      <c r="AB540">
        <f>IFERROR(INDEX(_DATA_Assessment_Model!$U$5:$U$884,MATCH($E540,_DATA_Assessment_Model!$A$5:$A$884,0)),"")</f>
        <v>0</v>
      </c>
      <c r="AF540" t="s">
        <v>1106</v>
      </c>
      <c r="AO540">
        <f>IF($B540="Yes",IF(IFERROR(INDEX(_ENGINE_Crisis!$F$501:$F$517,MATCH($C540,_ENGINE_Crisis!$A$501:$A$517,0)),1)=0,1,IFERROR(INDEX(_ENGINE_Crisis!$F$501:$F$517,MATCH($C540,_ENGINE_Crisis!$A$501:$A$517,0)),1)),"")</f>
        <v>1</v>
      </c>
      <c r="AP540">
        <f t="shared" si="37"/>
        <v>15.7</v>
      </c>
      <c r="AQ540">
        <f t="shared" si="38"/>
        <v>1.6</v>
      </c>
      <c r="AR540" t="str">
        <f>IFERROR(INDEX(_ENGINE_Crisis!$E$41:$E$700,MATCH('Resilience &amp; Risk Scenario'!$B$6&amp;"|"&amp;$C540,_ENGINE_Crisis!$I$41:$I$700,0)),"")</f>
        <v/>
      </c>
      <c r="AS540" t="str">
        <f>IFERROR(INDEX(_ENGINE_Crisis!$G$41:$G$700,MATCH('Resilience &amp; Risk Scenario'!$B$6&amp;"|"&amp;$C540,_ENGINE_Crisis!$I$41:$I$700,0)),"")</f>
        <v/>
      </c>
      <c r="AT540" t="str">
        <f>IFERROR(INDEX(_ENGINE_Initiatives!$A$5:$A$532,MATCH(1,INDEX((_ENGINE_Initiatives!$B$5:$B$532=$C540)*(_ENGINE_Initiatives!$C$5:$C$532=$D540),0),0)),"")</f>
        <v>INI-007</v>
      </c>
      <c r="AU540" t="str">
        <f>IFERROR(INDEX(_ENGINE_Initiatives!$F$5:$F$532,MATCH(1,INDEX((_ENGINE_Initiatives!$B$5:$B$532=$C540)*(_ENGINE_Initiatives!$C$5:$C$532=$D540),0),0)),"")</f>
        <v>Build resilient GTM execution cadence and channel plan</v>
      </c>
      <c r="AV540">
        <f>IFERROR(INDEX(_ENGINE_Initiatives!$AC$5:$AC$532,MATCH(1,INDEX((_ENGINE_Initiatives!$B$5:$B$532=$C540)*(_ENGINE_Initiatives!$C$5:$C$532=$D540),0),0)),"")</f>
        <v>1.72</v>
      </c>
      <c r="AW540" t="str">
        <f>IFERROR(INDEX(_ENGINE_Initiatives!$AE$5:$AE$532,MATCH(1,INDEX((_ENGINE_Initiatives!$B$5:$B$532=$C540)*(_ENGINE_Initiatives!$C$5:$C$532=$D540),0),0)),"")</f>
        <v>6-12 months</v>
      </c>
      <c r="AX540">
        <f>IF($B540="Yes",IFERROR((IF(SUMIFS(_REF_Model_Content!$E$1:$E$613,_REF_Model_Content!$A$1:$A$613,PV_Canonical_Industry,_REF_Model_Content!$B$1:$B$613,$C540)=0,1,SUMIFS(_REF_Model_Content!$E$1:$E$613,_REF_Model_Content!$A$1:$A$613,PV_Canonical_Industry,_REF_Model_Content!$B$1:$B$613,$C540))*IFERROR($BU540,1)),1),"")</f>
        <v>1</v>
      </c>
      <c r="AY540">
        <f t="shared" si="39"/>
        <v>15.7</v>
      </c>
      <c r="AZ540">
        <f t="shared" si="40"/>
        <v>1.6</v>
      </c>
      <c r="BB540" t="str">
        <f>IF($H540="","",IFERROR(INDEX(_ENGINE_Risk!$AE$5:$AE$499,MATCH($E540,_ENGINE_Risk!$A$5:$A$499,0)),"Medium"))</f>
        <v>Medium</v>
      </c>
      <c r="BC540">
        <f t="shared" si="41"/>
        <v>1</v>
      </c>
      <c r="BD540">
        <f t="shared" si="42"/>
        <v>1.6</v>
      </c>
      <c r="BF540">
        <f>IF(OR($H540="",$J540=""),"",IFERROR(VLOOKUP(ROUND($J540,0),_CONFIG_Model_Settings!$D$154:$E$158,2,0),""))</f>
        <v>0.5</v>
      </c>
      <c r="BG540">
        <f>IFERROR(IF(OR($H540="",$K540=""),"",ROUND('Company Profile'!$B$113*INDEX(_CONFIG_Model_Settings!$H$154:$H$158,MATCH(ROUND($K540,0),_CONFIG_Model_Settings!$G$154:$G$158,0)),0)),0)</f>
        <v>875</v>
      </c>
      <c r="BH540">
        <f t="shared" si="43"/>
        <v>437.5</v>
      </c>
      <c r="BI540">
        <f t="shared" si="44"/>
        <v>437.5</v>
      </c>
      <c r="BJ540">
        <f>IF($E540="","",IFERROR(VLOOKUP($C540,_CONFIG_Risk_Calibration!$A$5:$H$21,2,FALSE),3))</f>
        <v>3</v>
      </c>
      <c r="BK540">
        <f>IF($E540="","",IFERROR(VLOOKUP($C540,_CONFIG_Risk_Calibration!$A$5:$H$21,3,FALSE),0))</f>
        <v>0</v>
      </c>
      <c r="BL540">
        <f>IF($E540="","",IFERROR(VLOOKUP($C540,_CONFIG_Risk_Calibration!$A$5:$H$21,4,FALSE),3))</f>
        <v>3</v>
      </c>
      <c r="BM540">
        <f>IF($E540="","",IFERROR(VLOOKUP($C540,_CONFIG_Risk_Calibration!$A$5:$H$21,5,FALSE),3))</f>
        <v>3</v>
      </c>
      <c r="BN540" t="str">
        <f>IF($E540="","",IFERROR(VLOOKUP($C540,_CONFIG_Risk_Calibration!$A$5:$H$21,6,FALSE),"No"))</f>
        <v>No</v>
      </c>
      <c r="BO540">
        <f>IF($E540="","",IFERROR(VLOOKUP($C540,_CONFIG_Risk_Calibration!$A$5:$H$21,7,FALSE),1))</f>
        <v>1</v>
      </c>
      <c r="BP540">
        <f>IF($H540="","",MAX(1,MIN(5,((6-$H540)*0.45)+($BJ540*0.2)+('Resilience &amp; Risk Scenario'!$B$7*0.15)+($BK540*0.1)+($BL540*0.05)+(IF($BB540="Fast",5,IF($BB540="Slow",1,3))*0.05))))</f>
        <v>3.6</v>
      </c>
      <c r="BQ540">
        <f t="shared" si="45"/>
        <v>4.3500000000000005</v>
      </c>
      <c r="BR540">
        <f t="shared" si="46"/>
        <v>15.66</v>
      </c>
      <c r="BS540">
        <f t="shared" si="47"/>
        <v>15.66</v>
      </c>
      <c r="BT540" t="str">
        <f>IFERROR(INDEX(_REF_Capability_Bridge!$D:$D,MATCH($C540&amp;"|"&amp;$D540,_REF_Capability_Bridge!$J:$J,0)),IFERROR(INDEX(_REF_Capability_Bridge!$D:$D,MATCH($C540&amp;"|",_REF_Capability_Bridge!$J:$J,0)),"CAP_GENERIC"))</f>
        <v>CAP_POS_ECOMMERCE</v>
      </c>
      <c r="BU540">
        <f>IFERROR(IFERROR(INDEX(_ENGINE_Relevance!$L:$L,MATCH($BT540,_ENGINE_Relevance!$B:$B,0)),1),1)</f>
        <v>1</v>
      </c>
      <c r="BV540" t="str">
        <f>IFERROR(INDEX(_REF_Capability_Bridge!$A:$A,MATCH($C540&amp;"|"&amp;$D540,_REF_Capability_Bridge!$J:$J,0)),IFERROR(INDEX(_REF_Capability_Bridge!$A:$A,MATCH($C540&amp;"|",_REF_Capability_Bridge!$J:$J,0)),"No bridge"))</f>
        <v>BRG-085</v>
      </c>
      <c r="BW540" t="str">
        <f t="shared" si="48"/>
        <v>Capability relevance neutral</v>
      </c>
      <c r="BX540" t="str">
        <f t="shared" si="49"/>
        <v>Initial / absent</v>
      </c>
      <c r="BY540" t="str">
        <f>IF($E540="","",IFERROR(INDEX(_REF_Treatment_Library!$A$2:$A$296,MATCH(1,INDEX((_REF_Treatment_Library!$B$2:$B$296=$BT540)*(_REF_Treatment_Library!$C$2:$C$296=PV_Canonical_Industry)*(_REF_Treatment_Library!$E$2:$E$296&lt;=N($H540))*(_REF_Treatment_Library!$F$2:$F$296&gt;=N($H540))*(_REF_Treatment_Library!$O$2:$O$296="Yes"),0),0)),IFERROR(INDEX(_REF_Treatment_Library!$A$2:$A$296,MATCH(1,INDEX((_REF_Treatment_Library!$B$2:$B$296=$BT540)*(_REF_Treatment_Library!$C$2:$C$296="All")*(_REF_Treatment_Library!$E$2:$E$296&lt;=N($H540))*(_REF_Treatment_Library!$F$2:$F$296&gt;=N($H540))*(_REF_Treatment_Library!$O$2:$O$296="Yes"),0),0)),"")))</f>
        <v>TRT-POS_ECOMMERCE-INITIAL</v>
      </c>
      <c r="BZ540" t="str">
        <f>IF($BY540="","",IFERROR(INDEX(_REF_Treatment_Library!$H$2:$H$296,MATCH($BY540,_REF_Treatment_Library!$A$2:$A$296,0)),""))</f>
        <v>Establish</v>
      </c>
      <c r="CA540" t="str">
        <f>IF($BY540="","",IFERROR(INDEX(_REF_Treatment_Library!$I$2:$I$296,MATCH($BY540,_REF_Treatment_Library!$A$2:$A$296,0)),""))</f>
        <v>Establish baseline controls for POS / ecommerce</v>
      </c>
      <c r="CB540" t="str">
        <f>IF($BY540="","",IFERROR(INDEX(_REF_Treatment_Library!$K$2:$K$296,MATCH($BY540,_REF_Treatment_Library!$A$2:$A$296,0)),""))</f>
        <v>Named owner, baseline process, minimum control checklist, first evidence package</v>
      </c>
      <c r="CC540" t="str">
        <f>IF($BY540="","",IFERROR(INDEX(_REF_Treatment_Library!$L$2:$L$296,MATCH($BY540,_REF_Treatment_Library!$A$2:$A$296,0)),""))</f>
        <v>Owner assigned; baseline evidence coverage; open critical gaps</v>
      </c>
      <c r="CD540" t="str">
        <f t="shared" si="50"/>
        <v>Treatment by capability=CAP_POS_ECOMMERCE; band=Initial / absent; score=0.0; treatment=Establish</v>
      </c>
      <c r="CE540" t="str">
        <f>IF($E540="","",IFERROR(INDEX(_REF_Industry_Wording!$A$2:$A$70,MATCH(1,INDEX((_REF_Industry_Wording!$B$2:$B$70=$BT540)*(_REF_Industry_Wording!$C$2:$C$70=PV_Canonical_Industry)*(_REF_Industry_Wording!$K$2:$K$70="Yes"),0),0)),IFERROR(INDEX(_REF_Industry_Wording!$A$2:$A$70,MATCH(1,INDEX((_REF_Industry_Wording!$B$2:$B$70=$BT540)*(_REF_Industry_Wording!$C$2:$C$70="All")*(_REF_Industry_Wording!$K$2:$K$70="Yes"),0),0)),"")))</f>
        <v>IW-ALL-POS_ECOMMERCE</v>
      </c>
      <c r="CF540" t="str">
        <f>IF($CE540="","",IFERROR(INDEX(_REF_Industry_Wording!$E$2:$E$70,MATCH($CE540,_REF_Industry_Wording!$A$2:$A$70,0)),""))</f>
        <v>POS / ecommerce weakness</v>
      </c>
      <c r="CG540" t="str">
        <f>IF($CE540="","",IFERROR(INDEX(_REF_Industry_Wording!$F$2:$F$70,MATCH($CE540,_REF_Industry_Wording!$A$2:$A$70,0)),""))</f>
        <v>Strengthen POS / ecommerce</v>
      </c>
      <c r="CH540" t="str">
        <f>IF($CE540="","",IFERROR(INDEX(_REF_Industry_Wording!$G$2:$G$70,MATCH($CE540,_REF_Industry_Wording!$A$2:$A$70,0)),""))</f>
        <v>Strengthen POS / ecommerce using the selected maturity treatment, crisis scenario and evidence requirements.</v>
      </c>
      <c r="CI540" t="str">
        <f>IF($CE540="","",IFERROR(INDEX(_REF_Industry_Wording!$H$2:$H$70,MATCH($CE540,_REF_Industry_Wording!$A$2:$A$70,0)),""))</f>
        <v>POS / ecommerce</v>
      </c>
      <c r="CJ540">
        <f>IF($CE540="","",IFERROR(INDEX(_REF_Industry_Wording!$I$2:$I$70,MATCH($CE540,_REF_Industry_Wording!$A$2:$A$70,0)),""))</f>
        <v>0</v>
      </c>
      <c r="CK540" t="str">
        <f>IF($CE540="","",IFERROR(INDEX(_REF_Industry_Wording!$J$2:$J$70,MATCH($CE540,_REF_Industry_Wording!$A$2:$A$70,0)),""))</f>
        <v>POS / ecommerce</v>
      </c>
      <c r="CL540" t="str">
        <f t="shared" si="51"/>
        <v>Wording by industry=0; capability=CAP_POS_ECOMMERCE; risk label=POS / ecommerce weakness</v>
      </c>
      <c r="CM540" t="str">
        <f t="shared" si="52"/>
        <v>RISK-ONT-0041</v>
      </c>
      <c r="CN540" t="str">
        <f t="shared" si="53"/>
        <v>RISK-EVT-0041</v>
      </c>
      <c r="CO540" t="str">
        <f t="shared" si="54"/>
        <v>Strategy GTM|GTM execution|STRA-022|CAP_POS_ECOMMERCE</v>
      </c>
      <c r="CP540" t="str">
        <f t="shared" si="55"/>
        <v>Active</v>
      </c>
      <c r="CQ540" t="str">
        <f t="shared" si="56"/>
        <v>OK: capability-driven</v>
      </c>
      <c r="CR540" t="str">
        <f t="shared" si="57"/>
        <v>Risk ontology uses capability=CAP_POS_ECOMMERCE; bridge=BRG-085; treatment=TRT-POS_ECOMMERCE-INITIAL; wording=IW-ALL-POS_ECOMMERCE</v>
      </c>
      <c r="CS540" t="str">
        <f t="shared" si="58"/>
        <v>Yes</v>
      </c>
    </row>
    <row r="541" spans="1:97" ht="69.900000000000006" customHeight="1">
      <c r="A541">
        <f>IF(OR($B541&lt;&gt;"Yes",$BS541=""),"",SUMPRODUCT(($B$500:$B$923="Yes")*ISNUMBER($BS$500:$BS$923)*($BS$500:$BS$923&gt;$BS541))+COUNTIFS($B$500:$B541,"Yes",$BS$500:$BS541,$BS541))</f>
        <v>343</v>
      </c>
      <c r="B541" t="str">
        <f t="shared" si="21"/>
        <v>Yes</v>
      </c>
      <c r="C541" t="s">
        <v>949</v>
      </c>
      <c r="D541" t="s">
        <v>986</v>
      </c>
      <c r="E541" t="s">
        <v>1108</v>
      </c>
      <c r="F541" t="s">
        <v>3680</v>
      </c>
      <c r="G541" t="str">
        <f>IF($H541="","",IFERROR(INDEX(_ENGINE_Risk!$H$5:$M$499,MATCH($E541,_ENGINE_Risk!$A$5:$A$499,0),$H541+1),""))</f>
        <v>Severe risk: leading indicators for demand, churn, pricing pressure, conversion, sales velocity and customer health is not reliably controlled. During Demand shock; Financial / liquidity shock; Reputation crisis, the organization may face weak crisis positioning, poor prioritization of segments, revenue leakage and inability to adapt the offering with limited visibility or accountability.</v>
      </c>
      <c r="H541">
        <f>IFERROR(VALUE(INDEX(_DATA_Assessment_Model!$H$5:$H$884,MATCH($E541,_DATA_Assessment_Model!$A$5:$A$884,0))),"")</f>
        <v>0</v>
      </c>
      <c r="I541" t="str">
        <f>IF($H541="","",IFERROR(INDEX(_DATA_Assessment_Model!$L$5:$L$884,MATCH($E541,_DATA_Assessment_Model!$A$5:$A$884,0)),IF($H541&lt;=1,"Critical",IF($H541=2,"High",IF($H541=3,"Medium",IF($H541=4,"Low","Resilient"))))))</f>
        <v>Critical</v>
      </c>
      <c r="J541">
        <f t="shared" si="22"/>
        <v>3.6</v>
      </c>
      <c r="K541">
        <f t="shared" si="23"/>
        <v>4.1500000000000004</v>
      </c>
      <c r="L541">
        <f t="shared" si="24"/>
        <v>14.940000000000001</v>
      </c>
      <c r="M541">
        <f t="shared" si="25"/>
        <v>3</v>
      </c>
      <c r="N541">
        <f>IF($H541="","",IFERROR(INDEX(_ENGINE_Risk!$T$5:$Y$499,MATCH($E541,_ENGINE_Risk!$A$5:$A$499,0),$H541+1),""))</f>
        <v>3</v>
      </c>
      <c r="O541">
        <f t="shared" si="26"/>
        <v>4.333333333333333</v>
      </c>
      <c r="P541">
        <f t="shared" si="27"/>
        <v>5</v>
      </c>
      <c r="Q541">
        <f t="shared" si="28"/>
        <v>5</v>
      </c>
      <c r="R541">
        <f t="shared" si="29"/>
        <v>4.5</v>
      </c>
      <c r="S541">
        <f t="shared" si="30"/>
        <v>1.57</v>
      </c>
      <c r="T541" t="str">
        <f>IF($H541="","",IFERROR(INDEX(_ENGINE_Risk!$N$5:$S$499,MATCH($E541,_ENGINE_Risk!$A$5:$A$499,0),$H541+1),""))</f>
        <v>Create an immediate risk owner, minimum control baseline and fallback procedure for leading indicators for demand, churn, pricing pressure, conversion, sales velocity and customer health. Add it to the crisis risk register and collect first evidence.</v>
      </c>
      <c r="U541">
        <f>IFERROR(INDEX(_DATA_Assessment_Model!$G$5:$G$884,MATCH($E541,_DATA_Assessment_Model!$A$5:$A$884,0)),"")</f>
        <v>4</v>
      </c>
      <c r="V541">
        <f>IFERROR(INDEX(_DATA_Assessment_Model!$W$5:$W$884,MATCH($E541,_DATA_Assessment_Model!$A$5:$A$884,0)),"")</f>
        <v>4</v>
      </c>
      <c r="W541">
        <f>IFERROR(INDEX(_DATA_Assessment_Model!$X$5:$X$884,MATCH($E541,_DATA_Assessment_Model!$A$5:$A$884,0)),"")</f>
        <v>5</v>
      </c>
      <c r="X541">
        <f>IFERROR(INDEX(_DATA_Assessment_Model!$Y$5:$Y$884,MATCH($E541,_DATA_Assessment_Model!$A$5:$A$884,0)),"")</f>
        <v>5</v>
      </c>
      <c r="Y541" t="s">
        <v>962</v>
      </c>
      <c r="Z541" t="s">
        <v>4860</v>
      </c>
      <c r="AA541" t="s">
        <v>1110</v>
      </c>
      <c r="AB541">
        <f>IFERROR(INDEX(_DATA_Assessment_Model!$U$5:$U$884,MATCH($E541,_DATA_Assessment_Model!$A$5:$A$884,0)),"")</f>
        <v>0</v>
      </c>
      <c r="AF541" t="s">
        <v>1109</v>
      </c>
      <c r="AO541">
        <f>IF($B541="Yes",IF(IFERROR(INDEX(_ENGINE_Crisis!$F$501:$F$517,MATCH($C541,_ENGINE_Crisis!$A$501:$A$517,0)),1)=0,1,IFERROR(INDEX(_ENGINE_Crisis!$F$501:$F$517,MATCH($C541,_ENGINE_Crisis!$A$501:$A$517,0)),1)),"")</f>
        <v>1</v>
      </c>
      <c r="AP541">
        <f t="shared" si="37"/>
        <v>14.9</v>
      </c>
      <c r="AQ541">
        <f t="shared" si="38"/>
        <v>1.57</v>
      </c>
      <c r="AR541" t="str">
        <f>IFERROR(INDEX(_ENGINE_Crisis!$E$41:$E$700,MATCH('Resilience &amp; Risk Scenario'!$B$6&amp;"|"&amp;$C541,_ENGINE_Crisis!$I$41:$I$700,0)),"")</f>
        <v/>
      </c>
      <c r="AS541" t="str">
        <f>IFERROR(INDEX(_ENGINE_Crisis!$G$41:$G$700,MATCH('Resilience &amp; Risk Scenario'!$B$6&amp;"|"&amp;$C541,_ENGINE_Crisis!$I$41:$I$700,0)),"")</f>
        <v/>
      </c>
      <c r="AT541" t="str">
        <f>IFERROR(INDEX(_ENGINE_Initiatives!$A$5:$A$532,MATCH(1,INDEX((_ENGINE_Initiatives!$B$5:$B$532=$C541)*(_ENGINE_Initiatives!$C$5:$C$532=$D541),0),0)),"")</f>
        <v>INI-007</v>
      </c>
      <c r="AU541" t="str">
        <f>IFERROR(INDEX(_ENGINE_Initiatives!$F$5:$F$532,MATCH(1,INDEX((_ENGINE_Initiatives!$B$5:$B$532=$C541)*(_ENGINE_Initiatives!$C$5:$C$532=$D541),0),0)),"")</f>
        <v>Build resilient GTM execution cadence and channel plan</v>
      </c>
      <c r="AV541">
        <f>IFERROR(INDEX(_ENGINE_Initiatives!$AC$5:$AC$532,MATCH(1,INDEX((_ENGINE_Initiatives!$B$5:$B$532=$C541)*(_ENGINE_Initiatives!$C$5:$C$532=$D541),0),0)),"")</f>
        <v>1.72</v>
      </c>
      <c r="AW541" t="str">
        <f>IFERROR(INDEX(_ENGINE_Initiatives!$AE$5:$AE$532,MATCH(1,INDEX((_ENGINE_Initiatives!$B$5:$B$532=$C541)*(_ENGINE_Initiatives!$C$5:$C$532=$D541),0),0)),"")</f>
        <v>6-12 months</v>
      </c>
      <c r="AX541">
        <f>IF($B541="Yes",IFERROR((IF(SUMIFS(_REF_Model_Content!$E$1:$E$613,_REF_Model_Content!$A$1:$A$613,PV_Canonical_Industry,_REF_Model_Content!$B$1:$B$613,$C541)=0,1,SUMIFS(_REF_Model_Content!$E$1:$E$613,_REF_Model_Content!$A$1:$A$613,PV_Canonical_Industry,_REF_Model_Content!$B$1:$B$613,$C541))*IFERROR($BU541,1)),1),"")</f>
        <v>1</v>
      </c>
      <c r="AY541">
        <f t="shared" si="39"/>
        <v>14.9</v>
      </c>
      <c r="AZ541">
        <f t="shared" si="40"/>
        <v>1.57</v>
      </c>
      <c r="BB541" t="str">
        <f>IF($H541="","",IFERROR(INDEX(_ENGINE_Risk!$AE$5:$AE$499,MATCH($E541,_ENGINE_Risk!$A$5:$A$499,0)),"Medium"))</f>
        <v>Medium</v>
      </c>
      <c r="BC541">
        <f t="shared" si="41"/>
        <v>1</v>
      </c>
      <c r="BD541">
        <f t="shared" si="42"/>
        <v>1.57</v>
      </c>
      <c r="BF541">
        <f>IF(OR($H541="",$J541=""),"",IFERROR(VLOOKUP(ROUND($J541,0),_CONFIG_Model_Settings!$D$154:$E$158,2,0),""))</f>
        <v>0.5</v>
      </c>
      <c r="BG541">
        <f>IFERROR(IF(OR($H541="",$K541=""),"",ROUND('Company Profile'!$B$113*INDEX(_CONFIG_Model_Settings!$H$154:$H$158,MATCH(ROUND($K541,0),_CONFIG_Model_Settings!$G$154:$G$158,0)),0)),0)</f>
        <v>875</v>
      </c>
      <c r="BH541">
        <f t="shared" si="43"/>
        <v>437.5</v>
      </c>
      <c r="BI541">
        <f t="shared" si="44"/>
        <v>437.5</v>
      </c>
      <c r="BJ541">
        <f>IF($E541="","",IFERROR(VLOOKUP($C541,_CONFIG_Risk_Calibration!$A$5:$H$21,2,FALSE),3))</f>
        <v>3</v>
      </c>
      <c r="BK541">
        <f>IF($E541="","",IFERROR(VLOOKUP($C541,_CONFIG_Risk_Calibration!$A$5:$H$21,3,FALSE),0))</f>
        <v>0</v>
      </c>
      <c r="BL541">
        <f>IF($E541="","",IFERROR(VLOOKUP($C541,_CONFIG_Risk_Calibration!$A$5:$H$21,4,FALSE),3))</f>
        <v>3</v>
      </c>
      <c r="BM541">
        <f>IF($E541="","",IFERROR(VLOOKUP($C541,_CONFIG_Risk_Calibration!$A$5:$H$21,5,FALSE),3))</f>
        <v>3</v>
      </c>
      <c r="BN541" t="str">
        <f>IF($E541="","",IFERROR(VLOOKUP($C541,_CONFIG_Risk_Calibration!$A$5:$H$21,6,FALSE),"No"))</f>
        <v>No</v>
      </c>
      <c r="BO541">
        <f>IF($E541="","",IFERROR(VLOOKUP($C541,_CONFIG_Risk_Calibration!$A$5:$H$21,7,FALSE),1))</f>
        <v>1</v>
      </c>
      <c r="BP541">
        <f>IF($H541="","",MAX(1,MIN(5,((6-$H541)*0.45)+($BJ541*0.2)+('Resilience &amp; Risk Scenario'!$B$7*0.15)+($BK541*0.1)+($BL541*0.05)+(IF($BB541="Fast",5,IF($BB541="Slow",1,3))*0.05))))</f>
        <v>3.6</v>
      </c>
      <c r="BQ541">
        <f t="shared" si="45"/>
        <v>4.1500000000000004</v>
      </c>
      <c r="BR541">
        <f t="shared" si="46"/>
        <v>14.94</v>
      </c>
      <c r="BS541">
        <f t="shared" si="47"/>
        <v>14.94</v>
      </c>
      <c r="BT541" t="str">
        <f>IFERROR(INDEX(_REF_Capability_Bridge!$D:$D,MATCH($C541&amp;"|"&amp;$D541,_REF_Capability_Bridge!$J:$J,0)),IFERROR(INDEX(_REF_Capability_Bridge!$D:$D,MATCH($C541&amp;"|",_REF_Capability_Bridge!$J:$J,0)),"CAP_GENERIC"))</f>
        <v>CAP_POS_ECOMMERCE</v>
      </c>
      <c r="BU541">
        <f>IFERROR(IFERROR(INDEX(_ENGINE_Relevance!$L:$L,MATCH($BT541,_ENGINE_Relevance!$B:$B,0)),1),1)</f>
        <v>1</v>
      </c>
      <c r="BV541" t="str">
        <f>IFERROR(INDEX(_REF_Capability_Bridge!$A:$A,MATCH($C541&amp;"|"&amp;$D541,_REF_Capability_Bridge!$J:$J,0)),IFERROR(INDEX(_REF_Capability_Bridge!$A:$A,MATCH($C541&amp;"|",_REF_Capability_Bridge!$J:$J,0)),"No bridge"))</f>
        <v>BRG-085</v>
      </c>
      <c r="BW541" t="str">
        <f t="shared" si="48"/>
        <v>Capability relevance neutral</v>
      </c>
      <c r="BX541" t="str">
        <f t="shared" si="49"/>
        <v>Initial / absent</v>
      </c>
      <c r="BY541" t="str">
        <f>IF($E541="","",IFERROR(INDEX(_REF_Treatment_Library!$A$2:$A$296,MATCH(1,INDEX((_REF_Treatment_Library!$B$2:$B$296=$BT541)*(_REF_Treatment_Library!$C$2:$C$296=PV_Canonical_Industry)*(_REF_Treatment_Library!$E$2:$E$296&lt;=N($H541))*(_REF_Treatment_Library!$F$2:$F$296&gt;=N($H541))*(_REF_Treatment_Library!$O$2:$O$296="Yes"),0),0)),IFERROR(INDEX(_REF_Treatment_Library!$A$2:$A$296,MATCH(1,INDEX((_REF_Treatment_Library!$B$2:$B$296=$BT541)*(_REF_Treatment_Library!$C$2:$C$296="All")*(_REF_Treatment_Library!$E$2:$E$296&lt;=N($H541))*(_REF_Treatment_Library!$F$2:$F$296&gt;=N($H541))*(_REF_Treatment_Library!$O$2:$O$296="Yes"),0),0)),"")))</f>
        <v>TRT-POS_ECOMMERCE-INITIAL</v>
      </c>
      <c r="BZ541" t="str">
        <f>IF($BY541="","",IFERROR(INDEX(_REF_Treatment_Library!$H$2:$H$296,MATCH($BY541,_REF_Treatment_Library!$A$2:$A$296,0)),""))</f>
        <v>Establish</v>
      </c>
      <c r="CA541" t="str">
        <f>IF($BY541="","",IFERROR(INDEX(_REF_Treatment_Library!$I$2:$I$296,MATCH($BY541,_REF_Treatment_Library!$A$2:$A$296,0)),""))</f>
        <v>Establish baseline controls for POS / ecommerce</v>
      </c>
      <c r="CB541" t="str">
        <f>IF($BY541="","",IFERROR(INDEX(_REF_Treatment_Library!$K$2:$K$296,MATCH($BY541,_REF_Treatment_Library!$A$2:$A$296,0)),""))</f>
        <v>Named owner, baseline process, minimum control checklist, first evidence package</v>
      </c>
      <c r="CC541" t="str">
        <f>IF($BY541="","",IFERROR(INDEX(_REF_Treatment_Library!$L$2:$L$296,MATCH($BY541,_REF_Treatment_Library!$A$2:$A$296,0)),""))</f>
        <v>Owner assigned; baseline evidence coverage; open critical gaps</v>
      </c>
      <c r="CD541" t="str">
        <f t="shared" si="50"/>
        <v>Treatment by capability=CAP_POS_ECOMMERCE; band=Initial / absent; score=0.0; treatment=Establish</v>
      </c>
      <c r="CE541" t="str">
        <f>IF($E541="","",IFERROR(INDEX(_REF_Industry_Wording!$A$2:$A$70,MATCH(1,INDEX((_REF_Industry_Wording!$B$2:$B$70=$BT541)*(_REF_Industry_Wording!$C$2:$C$70=PV_Canonical_Industry)*(_REF_Industry_Wording!$K$2:$K$70="Yes"),0),0)),IFERROR(INDEX(_REF_Industry_Wording!$A$2:$A$70,MATCH(1,INDEX((_REF_Industry_Wording!$B$2:$B$70=$BT541)*(_REF_Industry_Wording!$C$2:$C$70="All")*(_REF_Industry_Wording!$K$2:$K$70="Yes"),0),0)),"")))</f>
        <v>IW-ALL-POS_ECOMMERCE</v>
      </c>
      <c r="CF541" t="str">
        <f>IF($CE541="","",IFERROR(INDEX(_REF_Industry_Wording!$E$2:$E$70,MATCH($CE541,_REF_Industry_Wording!$A$2:$A$70,0)),""))</f>
        <v>POS / ecommerce weakness</v>
      </c>
      <c r="CG541" t="str">
        <f>IF($CE541="","",IFERROR(INDEX(_REF_Industry_Wording!$F$2:$F$70,MATCH($CE541,_REF_Industry_Wording!$A$2:$A$70,0)),""))</f>
        <v>Strengthen POS / ecommerce</v>
      </c>
      <c r="CH541" t="str">
        <f>IF($CE541="","",IFERROR(INDEX(_REF_Industry_Wording!$G$2:$G$70,MATCH($CE541,_REF_Industry_Wording!$A$2:$A$70,0)),""))</f>
        <v>Strengthen POS / ecommerce using the selected maturity treatment, crisis scenario and evidence requirements.</v>
      </c>
      <c r="CI541" t="str">
        <f>IF($CE541="","",IFERROR(INDEX(_REF_Industry_Wording!$H$2:$H$70,MATCH($CE541,_REF_Industry_Wording!$A$2:$A$70,0)),""))</f>
        <v>POS / ecommerce</v>
      </c>
      <c r="CJ541">
        <f>IF($CE541="","",IFERROR(INDEX(_REF_Industry_Wording!$I$2:$I$70,MATCH($CE541,_REF_Industry_Wording!$A$2:$A$70,0)),""))</f>
        <v>0</v>
      </c>
      <c r="CK541" t="str">
        <f>IF($CE541="","",IFERROR(INDEX(_REF_Industry_Wording!$J$2:$J$70,MATCH($CE541,_REF_Industry_Wording!$A$2:$A$70,0)),""))</f>
        <v>POS / ecommerce</v>
      </c>
      <c r="CL541" t="str">
        <f t="shared" si="51"/>
        <v>Wording by industry=0; capability=CAP_POS_ECOMMERCE; risk label=POS / ecommerce weakness</v>
      </c>
      <c r="CM541" t="str">
        <f t="shared" si="52"/>
        <v>RISK-ONT-0042</v>
      </c>
      <c r="CN541" t="str">
        <f t="shared" si="53"/>
        <v>RISK-EVT-0042</v>
      </c>
      <c r="CO541" t="str">
        <f t="shared" si="54"/>
        <v>Strategy GTM|GTM execution|STRA-024|CAP_POS_ECOMMERCE</v>
      </c>
      <c r="CP541" t="str">
        <f t="shared" si="55"/>
        <v>Active</v>
      </c>
      <c r="CQ541" t="str">
        <f t="shared" si="56"/>
        <v>OK: capability-driven</v>
      </c>
      <c r="CR541" t="str">
        <f t="shared" si="57"/>
        <v>Risk ontology uses capability=CAP_POS_ECOMMERCE; bridge=BRG-085; treatment=TRT-POS_ECOMMERCE-INITIAL; wording=IW-ALL-POS_ECOMMERCE</v>
      </c>
      <c r="CS541" t="str">
        <f t="shared" si="58"/>
        <v>Yes</v>
      </c>
    </row>
    <row r="542" spans="1:97" ht="69.900000000000006" customHeight="1">
      <c r="A542">
        <f>IF(OR($B542&lt;&gt;"Yes",$BS542=""),"",SUMPRODUCT(($B$500:$B$923="Yes")*ISNUMBER($BS$500:$BS$923)*($BS$500:$BS$923&gt;$BS542))+COUNTIFS($B$500:$B542,"Yes",$BS$500:$BS542,$BS542))</f>
        <v>359</v>
      </c>
      <c r="B542" t="str">
        <f t="shared" si="21"/>
        <v>Yes</v>
      </c>
      <c r="C542" t="s">
        <v>949</v>
      </c>
      <c r="D542" t="s">
        <v>990</v>
      </c>
      <c r="E542" t="s">
        <v>1117</v>
      </c>
      <c r="F542" t="s">
        <v>5170</v>
      </c>
      <c r="G542" t="str">
        <f>IF($H542="","",IFERROR(INDEX(_ENGINE_Risk!$H$5:$M$499,MATCH($E542,_ENGINE_Risk!$A$5:$A$499,0),$H542+1),""))</f>
        <v>Severe risk: partner and alliance portfolio management with selection criteria, contracts, performance review and dependency control is not reliably controlled. During Demand shock; Supplier/logistics disruption; Reputation crisis, the organization may face partner-driven revenue loss, channel conflicts and unmanaged third-party dependencies with limited visibility or accountability.</v>
      </c>
      <c r="H542">
        <f>IFERROR(VALUE(INDEX(_DATA_Assessment_Model!$H$5:$H$884,MATCH($E542,_DATA_Assessment_Model!$A$5:$A$884,0))),"")</f>
        <v>0</v>
      </c>
      <c r="I542" t="str">
        <f>IF($H542="","",IFERROR(INDEX(_DATA_Assessment_Model!$L$5:$L$884,MATCH($E542,_DATA_Assessment_Model!$A$5:$A$884,0)),IF($H542&lt;=1,"Critical",IF($H542=2,"High",IF($H542=3,"Medium",IF($H542=4,"Low","Resilient"))))))</f>
        <v>Critical</v>
      </c>
      <c r="J542">
        <f t="shared" si="22"/>
        <v>3.6</v>
      </c>
      <c r="K542">
        <f t="shared" si="23"/>
        <v>3.6000000000000005</v>
      </c>
      <c r="L542">
        <f t="shared" si="24"/>
        <v>12.960000000000003</v>
      </c>
      <c r="M542">
        <f t="shared" si="25"/>
        <v>3</v>
      </c>
      <c r="N542">
        <f>IF($H542="","",IFERROR(INDEX(_ENGINE_Risk!$T$5:$Y$499,MATCH($E542,_ENGINE_Risk!$A$5:$A$499,0),$H542+1),""))</f>
        <v>3</v>
      </c>
      <c r="O542">
        <f t="shared" si="26"/>
        <v>3.6666666666666665</v>
      </c>
      <c r="P542">
        <f t="shared" si="27"/>
        <v>5</v>
      </c>
      <c r="Q542">
        <f t="shared" si="28"/>
        <v>4.6500000000000004</v>
      </c>
      <c r="R542">
        <f t="shared" si="29"/>
        <v>3.5</v>
      </c>
      <c r="S542">
        <f t="shared" si="30"/>
        <v>1.4</v>
      </c>
      <c r="T542" t="str">
        <f>IF($H542="","",IFERROR(INDEX(_ENGINE_Risk!$N$5:$S$499,MATCH($E542,_ENGINE_Risk!$A$5:$A$499,0),$H542+1),""))</f>
        <v>Create an immediate risk owner, minimum control baseline and fallback procedure for partner and alliance portfolio management with selection criteria, contracts, performance review and dependency control. Add it to the crisis risk register and collect first evidence.</v>
      </c>
      <c r="U542">
        <f>IFERROR(INDEX(_DATA_Assessment_Model!$G$5:$G$884,MATCH($E542,_DATA_Assessment_Model!$A$5:$A$884,0)),"")</f>
        <v>4</v>
      </c>
      <c r="V542">
        <f>IFERROR(INDEX(_DATA_Assessment_Model!$W$5:$W$884,MATCH($E542,_DATA_Assessment_Model!$A$5:$A$884,0)),"")</f>
        <v>3</v>
      </c>
      <c r="W542">
        <f>IFERROR(INDEX(_DATA_Assessment_Model!$X$5:$X$884,MATCH($E542,_DATA_Assessment_Model!$A$5:$A$884,0)),"")</f>
        <v>4</v>
      </c>
      <c r="X542">
        <f>IFERROR(INDEX(_DATA_Assessment_Model!$Y$5:$Y$884,MATCH($E542,_DATA_Assessment_Model!$A$5:$A$884,0)),"")</f>
        <v>4</v>
      </c>
      <c r="Y542" t="s">
        <v>1127</v>
      </c>
      <c r="Z542" t="s">
        <v>5185</v>
      </c>
      <c r="AA542" t="s">
        <v>5184</v>
      </c>
      <c r="AB542">
        <f>IFERROR(INDEX(_DATA_Assessment_Model!$U$5:$U$884,MATCH($E542,_DATA_Assessment_Model!$A$5:$A$884,0)),"")</f>
        <v>0</v>
      </c>
      <c r="AF542" t="s">
        <v>1118</v>
      </c>
      <c r="AO542">
        <f>IF($B542="Yes",IF(IFERROR(INDEX(_ENGINE_Crisis!$F$501:$F$517,MATCH($C542,_ENGINE_Crisis!$A$501:$A$517,0)),1)=0,1,IFERROR(INDEX(_ENGINE_Crisis!$F$501:$F$517,MATCH($C542,_ENGINE_Crisis!$A$501:$A$517,0)),1)),"")</f>
        <v>1</v>
      </c>
      <c r="AP542">
        <f t="shared" si="37"/>
        <v>13</v>
      </c>
      <c r="AQ542">
        <f t="shared" si="38"/>
        <v>1.4</v>
      </c>
      <c r="AR542" t="str">
        <f>IFERROR(INDEX(_ENGINE_Crisis!$E$41:$E$700,MATCH('Resilience &amp; Risk Scenario'!$B$6&amp;"|"&amp;$C542,_ENGINE_Crisis!$I$41:$I$700,0)),"")</f>
        <v/>
      </c>
      <c r="AS542" t="str">
        <f>IFERROR(INDEX(_ENGINE_Crisis!$G$41:$G$700,MATCH('Resilience &amp; Risk Scenario'!$B$6&amp;"|"&amp;$C542,_ENGINE_Crisis!$I$41:$I$700,0)),"")</f>
        <v/>
      </c>
      <c r="AT542" t="str">
        <f>IFERROR(INDEX(_ENGINE_Initiatives!$A$5:$A$532,MATCH(1,INDEX((_ENGINE_Initiatives!$B$5:$B$532=$C542)*(_ENGINE_Initiatives!$C$5:$C$532=$D542),0),0)),"")</f>
        <v/>
      </c>
      <c r="AU542" t="str">
        <f>IFERROR(INDEX(_ENGINE_Initiatives!$F$5:$F$532,MATCH(1,INDEX((_ENGINE_Initiatives!$B$5:$B$532=$C542)*(_ENGINE_Initiatives!$C$5:$C$532=$D542),0),0)),"")</f>
        <v/>
      </c>
      <c r="AV542" t="str">
        <f>IFERROR(INDEX(_ENGINE_Initiatives!$AC$5:$AC$532,MATCH(1,INDEX((_ENGINE_Initiatives!$B$5:$B$532=$C542)*(_ENGINE_Initiatives!$C$5:$C$532=$D542),0),0)),"")</f>
        <v/>
      </c>
      <c r="AW542" t="str">
        <f>IFERROR(INDEX(_ENGINE_Initiatives!$AE$5:$AE$532,MATCH(1,INDEX((_ENGINE_Initiatives!$B$5:$B$532=$C542)*(_ENGINE_Initiatives!$C$5:$C$532=$D542),0),0)),"")</f>
        <v/>
      </c>
      <c r="AX542">
        <f>IF($B542="Yes",IFERROR((IF(SUMIFS(_REF_Model_Content!$E$1:$E$613,_REF_Model_Content!$A$1:$A$613,PV_Canonical_Industry,_REF_Model_Content!$B$1:$B$613,$C542)=0,1,SUMIFS(_REF_Model_Content!$E$1:$E$613,_REF_Model_Content!$A$1:$A$613,PV_Canonical_Industry,_REF_Model_Content!$B$1:$B$613,$C542))*IFERROR($BU542,1)),1),"")</f>
        <v>1</v>
      </c>
      <c r="AY542">
        <f t="shared" si="39"/>
        <v>13</v>
      </c>
      <c r="AZ542">
        <f t="shared" si="40"/>
        <v>1.4</v>
      </c>
      <c r="BB542" t="str">
        <f>IF($H542="","",IFERROR(INDEX(_ENGINE_Risk!$AE$5:$AE$499,MATCH($E542,_ENGINE_Risk!$A$5:$A$499,0)),"Medium"))</f>
        <v>Medium</v>
      </c>
      <c r="BC542">
        <f t="shared" si="41"/>
        <v>1</v>
      </c>
      <c r="BD542">
        <f t="shared" si="42"/>
        <v>1.4</v>
      </c>
      <c r="BF542">
        <f>IF(OR($H542="",$J542=""),"",IFERROR(VLOOKUP(ROUND($J542,0),_CONFIG_Model_Settings!$D$154:$E$158,2,0),""))</f>
        <v>0.5</v>
      </c>
      <c r="BG542">
        <f>IFERROR(IF(OR($H542="",$K542=""),"",ROUND('Company Profile'!$B$113*INDEX(_CONFIG_Model_Settings!$H$154:$H$158,MATCH(ROUND($K542,0),_CONFIG_Model_Settings!$G$154:$G$158,0)),0)),0)</f>
        <v>875</v>
      </c>
      <c r="BH542">
        <f t="shared" si="43"/>
        <v>437.5</v>
      </c>
      <c r="BI542">
        <f t="shared" si="44"/>
        <v>437.5</v>
      </c>
      <c r="BJ542">
        <f>IF($E542="","",IFERROR(VLOOKUP($C542,_CONFIG_Risk_Calibration!$A$5:$H$21,2,FALSE),3))</f>
        <v>3</v>
      </c>
      <c r="BK542">
        <f>IF($E542="","",IFERROR(VLOOKUP($C542,_CONFIG_Risk_Calibration!$A$5:$H$21,3,FALSE),0))</f>
        <v>0</v>
      </c>
      <c r="BL542">
        <f>IF($E542="","",IFERROR(VLOOKUP($C542,_CONFIG_Risk_Calibration!$A$5:$H$21,4,FALSE),3))</f>
        <v>3</v>
      </c>
      <c r="BM542">
        <f>IF($E542="","",IFERROR(VLOOKUP($C542,_CONFIG_Risk_Calibration!$A$5:$H$21,5,FALSE),3))</f>
        <v>3</v>
      </c>
      <c r="BN542" t="str">
        <f>IF($E542="","",IFERROR(VLOOKUP($C542,_CONFIG_Risk_Calibration!$A$5:$H$21,6,FALSE),"No"))</f>
        <v>No</v>
      </c>
      <c r="BO542">
        <f>IF($E542="","",IFERROR(VLOOKUP($C542,_CONFIG_Risk_Calibration!$A$5:$H$21,7,FALSE),1))</f>
        <v>1</v>
      </c>
      <c r="BP542">
        <f>IF($H542="","",MAX(1,MIN(5,((6-$H542)*0.45)+($BJ542*0.2)+('Resilience &amp; Risk Scenario'!$B$7*0.15)+($BK542*0.1)+($BL542*0.05)+(IF($BB542="Fast",5,IF($BB542="Slow",1,3))*0.05))))</f>
        <v>3.6</v>
      </c>
      <c r="BQ542">
        <f t="shared" si="45"/>
        <v>3.6000000000000005</v>
      </c>
      <c r="BR542">
        <f t="shared" si="46"/>
        <v>12.96</v>
      </c>
      <c r="BS542">
        <f t="shared" si="47"/>
        <v>12.96</v>
      </c>
      <c r="BT542" t="str">
        <f>IFERROR(INDEX(_REF_Capability_Bridge!$D:$D,MATCH($C542&amp;"|"&amp;$D542,_REF_Capability_Bridge!$J:$J,0)),IFERROR(INDEX(_REF_Capability_Bridge!$D:$D,MATCH($C542&amp;"|",_REF_Capability_Bridge!$J:$J,0)),"CAP_GENERIC"))</f>
        <v>CAP_CUSTOMER_COMMUNICATION</v>
      </c>
      <c r="BU542">
        <f>IFERROR(IFERROR(INDEX(_ENGINE_Relevance!$L:$L,MATCH($BT542,_ENGINE_Relevance!$B:$B,0)),1),1)</f>
        <v>1</v>
      </c>
      <c r="BV542" t="str">
        <f>IFERROR(INDEX(_REF_Capability_Bridge!$A:$A,MATCH($C542&amp;"|"&amp;$D542,_REF_Capability_Bridge!$J:$J,0)),IFERROR(INDEX(_REF_Capability_Bridge!$A:$A,MATCH($C542&amp;"|",_REF_Capability_Bridge!$J:$J,0)),"No bridge"))</f>
        <v>BRG-084</v>
      </c>
      <c r="BW542" t="str">
        <f t="shared" si="48"/>
        <v>Capability relevance neutral</v>
      </c>
      <c r="BX542" t="str">
        <f t="shared" si="49"/>
        <v>Initial / absent</v>
      </c>
      <c r="BY542" t="str">
        <f>IF($E542="","",IFERROR(INDEX(_REF_Treatment_Library!$A$2:$A$296,MATCH(1,INDEX((_REF_Treatment_Library!$B$2:$B$296=$BT542)*(_REF_Treatment_Library!$C$2:$C$296=PV_Canonical_Industry)*(_REF_Treatment_Library!$E$2:$E$296&lt;=N($H542))*(_REF_Treatment_Library!$F$2:$F$296&gt;=N($H542))*(_REF_Treatment_Library!$O$2:$O$296="Yes"),0),0)),IFERROR(INDEX(_REF_Treatment_Library!$A$2:$A$296,MATCH(1,INDEX((_REF_Treatment_Library!$B$2:$B$296=$BT542)*(_REF_Treatment_Library!$C$2:$C$296="All")*(_REF_Treatment_Library!$E$2:$E$296&lt;=N($H542))*(_REF_Treatment_Library!$F$2:$F$296&gt;=N($H542))*(_REF_Treatment_Library!$O$2:$O$296="Yes"),0),0)),"")))</f>
        <v>TRT-CUSTOMER_COMMUNICATION-INITIAL</v>
      </c>
      <c r="BZ542" t="str">
        <f>IF($BY542="","",IFERROR(INDEX(_REF_Treatment_Library!$H$2:$H$296,MATCH($BY542,_REF_Treatment_Library!$A$2:$A$296,0)),""))</f>
        <v>Establish</v>
      </c>
      <c r="CA542" t="str">
        <f>IF($BY542="","",IFERROR(INDEX(_REF_Treatment_Library!$I$2:$I$296,MATCH($BY542,_REF_Treatment_Library!$A$2:$A$296,0)),""))</f>
        <v>Establish baseline controls for Customer communication</v>
      </c>
      <c r="CB542" t="str">
        <f>IF($BY542="","",IFERROR(INDEX(_REF_Treatment_Library!$K$2:$K$296,MATCH($BY542,_REF_Treatment_Library!$A$2:$A$296,0)),""))</f>
        <v>Named owner, baseline process, minimum control checklist, first evidence package</v>
      </c>
      <c r="CC542" t="str">
        <f>IF($BY542="","",IFERROR(INDEX(_REF_Treatment_Library!$L$2:$L$296,MATCH($BY542,_REF_Treatment_Library!$A$2:$A$296,0)),""))</f>
        <v>Owner assigned; baseline evidence coverage; open critical gaps</v>
      </c>
      <c r="CD542" t="str">
        <f t="shared" si="50"/>
        <v>Treatment by capability=CAP_CUSTOMER_COMMUNICATION; band=Initial / absent; score=0.0; treatment=Establish</v>
      </c>
      <c r="CE542" t="str">
        <f>IF($E542="","",IFERROR(INDEX(_REF_Industry_Wording!$A$2:$A$70,MATCH(1,INDEX((_REF_Industry_Wording!$B$2:$B$70=$BT542)*(_REF_Industry_Wording!$C$2:$C$70=PV_Canonical_Industry)*(_REF_Industry_Wording!$K$2:$K$70="Yes"),0),0)),IFERROR(INDEX(_REF_Industry_Wording!$A$2:$A$70,MATCH(1,INDEX((_REF_Industry_Wording!$B$2:$B$70=$BT542)*(_REF_Industry_Wording!$C$2:$C$70="All")*(_REF_Industry_Wording!$K$2:$K$70="Yes"),0),0)),"")))</f>
        <v>IW-ALL-CUSTOMER_COMMUNICATION</v>
      </c>
      <c r="CF542" t="str">
        <f>IF($CE542="","",IFERROR(INDEX(_REF_Industry_Wording!$E$2:$E$70,MATCH($CE542,_REF_Industry_Wording!$A$2:$A$70,0)),""))</f>
        <v>Customer communication weakness</v>
      </c>
      <c r="CG542" t="str">
        <f>IF($CE542="","",IFERROR(INDEX(_REF_Industry_Wording!$F$2:$F$70,MATCH($CE542,_REF_Industry_Wording!$A$2:$A$70,0)),""))</f>
        <v>Strengthen Customer communication</v>
      </c>
      <c r="CH542" t="str">
        <f>IF($CE542="","",IFERROR(INDEX(_REF_Industry_Wording!$G$2:$G$70,MATCH($CE542,_REF_Industry_Wording!$A$2:$A$70,0)),""))</f>
        <v>Strengthen Customer communication using the selected maturity treatment, crisis scenario and evidence requirements.</v>
      </c>
      <c r="CI542" t="str">
        <f>IF($CE542="","",IFERROR(INDEX(_REF_Industry_Wording!$H$2:$H$70,MATCH($CE542,_REF_Industry_Wording!$A$2:$A$70,0)),""))</f>
        <v>Customer communication</v>
      </c>
      <c r="CJ542">
        <f>IF($CE542="","",IFERROR(INDEX(_REF_Industry_Wording!$I$2:$I$70,MATCH($CE542,_REF_Industry_Wording!$A$2:$A$70,0)),""))</f>
        <v>0</v>
      </c>
      <c r="CK542" t="str">
        <f>IF($CE542="","",IFERROR(INDEX(_REF_Industry_Wording!$J$2:$J$70,MATCH($CE542,_REF_Industry_Wording!$A$2:$A$70,0)),""))</f>
        <v>Customer communication</v>
      </c>
      <c r="CL542" t="str">
        <f t="shared" si="51"/>
        <v>Wording by industry=0; capability=CAP_CUSTOMER_COMMUNICATION; risk label=Customer communication weakness</v>
      </c>
      <c r="CM542" t="str">
        <f t="shared" si="52"/>
        <v>RISK-ONT-0043</v>
      </c>
      <c r="CN542" t="str">
        <f t="shared" si="53"/>
        <v>RISK-EVT-0043</v>
      </c>
      <c r="CO542" t="str">
        <f t="shared" si="54"/>
        <v>Strategy GTM|External relations and partnerships|STRA-025|CAP_CUSTOMER_COMMUNICATION</v>
      </c>
      <c r="CP542" t="str">
        <f t="shared" si="55"/>
        <v>Active</v>
      </c>
      <c r="CQ542" t="str">
        <f t="shared" si="56"/>
        <v>OK: capability-driven</v>
      </c>
      <c r="CR542" t="str">
        <f t="shared" si="57"/>
        <v>Risk ontology uses capability=CAP_CUSTOMER_COMMUNICATION; bridge=BRG-084; treatment=TRT-CUSTOMER_COMMUNICATION-INITIAL; wording=IW-ALL-CUSTOMER_COMMUNICATION</v>
      </c>
      <c r="CS542" t="str">
        <f t="shared" si="58"/>
        <v>Yes</v>
      </c>
    </row>
    <row r="543" spans="1:97" ht="69.900000000000006" customHeight="1">
      <c r="A543">
        <f>IF(OR($B543&lt;&gt;"Yes",$BS543=""),"",SUMPRODUCT(($B$500:$B$923="Yes")*ISNUMBER($BS$500:$BS$923)*($BS$500:$BS$923&gt;$BS543))+COUNTIFS($B$500:$B543,"Yes",$BS$500:$BS543,$BS543))</f>
        <v>394</v>
      </c>
      <c r="B543" t="str">
        <f t="shared" si="21"/>
        <v>Yes</v>
      </c>
      <c r="C543" t="s">
        <v>949</v>
      </c>
      <c r="D543" t="s">
        <v>990</v>
      </c>
      <c r="E543" t="s">
        <v>1128</v>
      </c>
      <c r="F543" t="s">
        <v>5170</v>
      </c>
      <c r="G543" t="str">
        <f>IF($H543="","",IFERROR(INDEX(_ENGINE_Risk!$H$5:$M$499,MATCH($E543,_ENGINE_Risk!$A$5:$A$499,0),$H543+1),""))</f>
        <v>Severe risk: government and regulator relations with named owners, engagement plan and crisis escalation contacts is not reliably controlled. During Regulatory/legal shock; War/security crisis, the organization may face slow regulatory escalation, missed license or permit issues and weak institutional support during crisis with limited visibility or accountability.</v>
      </c>
      <c r="H543">
        <f>IFERROR(VALUE(INDEX(_DATA_Assessment_Model!$H$5:$H$884,MATCH($E543,_DATA_Assessment_Model!$A$5:$A$884,0))),"")</f>
        <v>0</v>
      </c>
      <c r="I543" t="str">
        <f>IF($H543="","",IFERROR(INDEX(_DATA_Assessment_Model!$L$5:$L$884,MATCH($E543,_DATA_Assessment_Model!$A$5:$A$884,0)),IF($H543&lt;=1,"Critical",IF($H543=2,"High",IF($H543=3,"Medium",IF($H543=4,"Low","Resilient"))))))</f>
        <v>Critical</v>
      </c>
      <c r="J543">
        <f t="shared" si="22"/>
        <v>3.6</v>
      </c>
      <c r="K543">
        <f t="shared" si="23"/>
        <v>3.1000000000000005</v>
      </c>
      <c r="L543">
        <f t="shared" si="24"/>
        <v>11.160000000000002</v>
      </c>
      <c r="M543">
        <f t="shared" si="25"/>
        <v>3</v>
      </c>
      <c r="N543">
        <f>IF($H543="","",IFERROR(INDEX(_ENGINE_Risk!$T$5:$Y$499,MATCH($E543,_ENGINE_Risk!$A$5:$A$499,0),$H543+1),""))</f>
        <v>2</v>
      </c>
      <c r="O543">
        <f t="shared" si="26"/>
        <v>2.6666666666666665</v>
      </c>
      <c r="P543">
        <f t="shared" si="27"/>
        <v>5</v>
      </c>
      <c r="Q543">
        <f t="shared" si="28"/>
        <v>4.6500000000000004</v>
      </c>
      <c r="R543">
        <f t="shared" si="29"/>
        <v>2.5</v>
      </c>
      <c r="S543">
        <f t="shared" si="30"/>
        <v>1.85</v>
      </c>
      <c r="T543" t="str">
        <f>IF($H543="","",IFERROR(INDEX(_ENGINE_Risk!$N$5:$S$499,MATCH($E543,_ENGINE_Risk!$A$5:$A$499,0),$H543+1),""))</f>
        <v>Create an immediate risk owner, minimum control baseline and fallback procedure for government and regulator relations with named owners, engagement plan and crisis escalation contacts. Add it to the crisis risk register and collect first evidence.</v>
      </c>
      <c r="U543">
        <f>IFERROR(INDEX(_DATA_Assessment_Model!$G$5:$G$884,MATCH($E543,_DATA_Assessment_Model!$A$5:$A$884,0)),"")</f>
        <v>3</v>
      </c>
      <c r="V543">
        <f>IFERROR(INDEX(_DATA_Assessment_Model!$W$5:$W$884,MATCH($E543,_DATA_Assessment_Model!$A$5:$A$884,0)),"")</f>
        <v>2</v>
      </c>
      <c r="W543">
        <f>IFERROR(INDEX(_DATA_Assessment_Model!$X$5:$X$884,MATCH($E543,_DATA_Assessment_Model!$A$5:$A$884,0)),"")</f>
        <v>4</v>
      </c>
      <c r="X543">
        <f>IFERROR(INDEX(_DATA_Assessment_Model!$Y$5:$Y$884,MATCH($E543,_DATA_Assessment_Model!$A$5:$A$884,0)),"")</f>
        <v>3</v>
      </c>
      <c r="Y543" t="s">
        <v>1138</v>
      </c>
      <c r="Z543" t="s">
        <v>4845</v>
      </c>
      <c r="AA543" t="s">
        <v>5200</v>
      </c>
      <c r="AB543">
        <f>IFERROR(INDEX(_DATA_Assessment_Model!$U$5:$U$884,MATCH($E543,_DATA_Assessment_Model!$A$5:$A$884,0)),"")</f>
        <v>0</v>
      </c>
      <c r="AF543" t="s">
        <v>1129</v>
      </c>
      <c r="AO543">
        <f>IF($B543="Yes",IF(IFERROR(INDEX(_ENGINE_Crisis!$F$501:$F$517,MATCH($C543,_ENGINE_Crisis!$A$501:$A$517,0)),1)=0,1,IFERROR(INDEX(_ENGINE_Crisis!$F$501:$F$517,MATCH($C543,_ENGINE_Crisis!$A$501:$A$517,0)),1)),"")</f>
        <v>1</v>
      </c>
      <c r="AP543">
        <f t="shared" si="37"/>
        <v>11.2</v>
      </c>
      <c r="AQ543">
        <f t="shared" si="38"/>
        <v>1.85</v>
      </c>
      <c r="AR543" t="str">
        <f>IFERROR(INDEX(_ENGINE_Crisis!$E$41:$E$700,MATCH('Resilience &amp; Risk Scenario'!$B$6&amp;"|"&amp;$C543,_ENGINE_Crisis!$I$41:$I$700,0)),"")</f>
        <v/>
      </c>
      <c r="AS543" t="str">
        <f>IFERROR(INDEX(_ENGINE_Crisis!$G$41:$G$700,MATCH('Resilience &amp; Risk Scenario'!$B$6&amp;"|"&amp;$C543,_ENGINE_Crisis!$I$41:$I$700,0)),"")</f>
        <v/>
      </c>
      <c r="AT543" t="str">
        <f>IFERROR(INDEX(_ENGINE_Initiatives!$A$5:$A$532,MATCH(1,INDEX((_ENGINE_Initiatives!$B$5:$B$532=$C543)*(_ENGINE_Initiatives!$C$5:$C$532=$D543),0),0)),"")</f>
        <v/>
      </c>
      <c r="AU543" t="str">
        <f>IFERROR(INDEX(_ENGINE_Initiatives!$F$5:$F$532,MATCH(1,INDEX((_ENGINE_Initiatives!$B$5:$B$532=$C543)*(_ENGINE_Initiatives!$C$5:$C$532=$D543),0),0)),"")</f>
        <v/>
      </c>
      <c r="AV543" t="str">
        <f>IFERROR(INDEX(_ENGINE_Initiatives!$AC$5:$AC$532,MATCH(1,INDEX((_ENGINE_Initiatives!$B$5:$B$532=$C543)*(_ENGINE_Initiatives!$C$5:$C$532=$D543),0),0)),"")</f>
        <v/>
      </c>
      <c r="AW543" t="str">
        <f>IFERROR(INDEX(_ENGINE_Initiatives!$AE$5:$AE$532,MATCH(1,INDEX((_ENGINE_Initiatives!$B$5:$B$532=$C543)*(_ENGINE_Initiatives!$C$5:$C$532=$D543),0),0)),"")</f>
        <v/>
      </c>
      <c r="AX543">
        <f>IF($B543="Yes",IFERROR((IF(SUMIFS(_REF_Model_Content!$E$1:$E$613,_REF_Model_Content!$A$1:$A$613,PV_Canonical_Industry,_REF_Model_Content!$B$1:$B$613,$C543)=0,1,SUMIFS(_REF_Model_Content!$E$1:$E$613,_REF_Model_Content!$A$1:$A$613,PV_Canonical_Industry,_REF_Model_Content!$B$1:$B$613,$C543))*IFERROR($BU543,1)),1),"")</f>
        <v>1</v>
      </c>
      <c r="AY543">
        <f t="shared" si="39"/>
        <v>11.2</v>
      </c>
      <c r="AZ543">
        <f t="shared" si="40"/>
        <v>1.85</v>
      </c>
      <c r="BB543" t="str">
        <f>IF($H543="","",IFERROR(INDEX(_ENGINE_Risk!$AE$5:$AE$499,MATCH($E543,_ENGINE_Risk!$A$5:$A$499,0)),"Medium"))</f>
        <v>Medium</v>
      </c>
      <c r="BC543">
        <f t="shared" si="41"/>
        <v>1</v>
      </c>
      <c r="BD543">
        <f t="shared" si="42"/>
        <v>1.85</v>
      </c>
      <c r="BF543">
        <f>IF(OR($H543="",$J543=""),"",IFERROR(VLOOKUP(ROUND($J543,0),_CONFIG_Model_Settings!$D$154:$E$158,2,0),""))</f>
        <v>0.5</v>
      </c>
      <c r="BG543">
        <f>IFERROR(IF(OR($H543="",$K543=""),"",ROUND('Company Profile'!$B$113*INDEX(_CONFIG_Model_Settings!$H$154:$H$158,MATCH(ROUND($K543,0),_CONFIG_Model_Settings!$G$154:$G$158,0)),0)),0)</f>
        <v>375</v>
      </c>
      <c r="BH543">
        <f t="shared" si="43"/>
        <v>187.5</v>
      </c>
      <c r="BI543">
        <f t="shared" si="44"/>
        <v>187.5</v>
      </c>
      <c r="BJ543">
        <f>IF($E543="","",IFERROR(VLOOKUP($C543,_CONFIG_Risk_Calibration!$A$5:$H$21,2,FALSE),3))</f>
        <v>3</v>
      </c>
      <c r="BK543">
        <f>IF($E543="","",IFERROR(VLOOKUP($C543,_CONFIG_Risk_Calibration!$A$5:$H$21,3,FALSE),0))</f>
        <v>0</v>
      </c>
      <c r="BL543">
        <f>IF($E543="","",IFERROR(VLOOKUP($C543,_CONFIG_Risk_Calibration!$A$5:$H$21,4,FALSE),3))</f>
        <v>3</v>
      </c>
      <c r="BM543">
        <f>IF($E543="","",IFERROR(VLOOKUP($C543,_CONFIG_Risk_Calibration!$A$5:$H$21,5,FALSE),3))</f>
        <v>3</v>
      </c>
      <c r="BN543" t="str">
        <f>IF($E543="","",IFERROR(VLOOKUP($C543,_CONFIG_Risk_Calibration!$A$5:$H$21,6,FALSE),"No"))</f>
        <v>No</v>
      </c>
      <c r="BO543">
        <f>IF($E543="","",IFERROR(VLOOKUP($C543,_CONFIG_Risk_Calibration!$A$5:$H$21,7,FALSE),1))</f>
        <v>1</v>
      </c>
      <c r="BP543">
        <f>IF($H543="","",MAX(1,MIN(5,((6-$H543)*0.45)+($BJ543*0.2)+('Resilience &amp; Risk Scenario'!$B$7*0.15)+($BK543*0.1)+($BL543*0.05)+(IF($BB543="Fast",5,IF($BB543="Slow",1,3))*0.05))))</f>
        <v>3.6</v>
      </c>
      <c r="BQ543">
        <f t="shared" si="45"/>
        <v>3.1000000000000005</v>
      </c>
      <c r="BR543">
        <f t="shared" si="46"/>
        <v>11.16</v>
      </c>
      <c r="BS543">
        <f t="shared" si="47"/>
        <v>11.16</v>
      </c>
      <c r="BT543" t="str">
        <f>IFERROR(INDEX(_REF_Capability_Bridge!$D:$D,MATCH($C543&amp;"|"&amp;$D543,_REF_Capability_Bridge!$J:$J,0)),IFERROR(INDEX(_REF_Capability_Bridge!$D:$D,MATCH($C543&amp;"|",_REF_Capability_Bridge!$J:$J,0)),"CAP_GENERIC"))</f>
        <v>CAP_CUSTOMER_COMMUNICATION</v>
      </c>
      <c r="BU543">
        <f>IFERROR(IFERROR(INDEX(_ENGINE_Relevance!$L:$L,MATCH($BT543,_ENGINE_Relevance!$B:$B,0)),1),1)</f>
        <v>1</v>
      </c>
      <c r="BV543" t="str">
        <f>IFERROR(INDEX(_REF_Capability_Bridge!$A:$A,MATCH($C543&amp;"|"&amp;$D543,_REF_Capability_Bridge!$J:$J,0)),IFERROR(INDEX(_REF_Capability_Bridge!$A:$A,MATCH($C543&amp;"|",_REF_Capability_Bridge!$J:$J,0)),"No bridge"))</f>
        <v>BRG-084</v>
      </c>
      <c r="BW543" t="str">
        <f t="shared" si="48"/>
        <v>Capability relevance neutral</v>
      </c>
      <c r="BX543" t="str">
        <f t="shared" si="49"/>
        <v>Initial / absent</v>
      </c>
      <c r="BY543" t="str">
        <f>IF($E543="","",IFERROR(INDEX(_REF_Treatment_Library!$A$2:$A$296,MATCH(1,INDEX((_REF_Treatment_Library!$B$2:$B$296=$BT543)*(_REF_Treatment_Library!$C$2:$C$296=PV_Canonical_Industry)*(_REF_Treatment_Library!$E$2:$E$296&lt;=N($H543))*(_REF_Treatment_Library!$F$2:$F$296&gt;=N($H543))*(_REF_Treatment_Library!$O$2:$O$296="Yes"),0),0)),IFERROR(INDEX(_REF_Treatment_Library!$A$2:$A$296,MATCH(1,INDEX((_REF_Treatment_Library!$B$2:$B$296=$BT543)*(_REF_Treatment_Library!$C$2:$C$296="All")*(_REF_Treatment_Library!$E$2:$E$296&lt;=N($H543))*(_REF_Treatment_Library!$F$2:$F$296&gt;=N($H543))*(_REF_Treatment_Library!$O$2:$O$296="Yes"),0),0)),"")))</f>
        <v>TRT-CUSTOMER_COMMUNICATION-INITIAL</v>
      </c>
      <c r="BZ543" t="str">
        <f>IF($BY543="","",IFERROR(INDEX(_REF_Treatment_Library!$H$2:$H$296,MATCH($BY543,_REF_Treatment_Library!$A$2:$A$296,0)),""))</f>
        <v>Establish</v>
      </c>
      <c r="CA543" t="str">
        <f>IF($BY543="","",IFERROR(INDEX(_REF_Treatment_Library!$I$2:$I$296,MATCH($BY543,_REF_Treatment_Library!$A$2:$A$296,0)),""))</f>
        <v>Establish baseline controls for Customer communication</v>
      </c>
      <c r="CB543" t="str">
        <f>IF($BY543="","",IFERROR(INDEX(_REF_Treatment_Library!$K$2:$K$296,MATCH($BY543,_REF_Treatment_Library!$A$2:$A$296,0)),""))</f>
        <v>Named owner, baseline process, minimum control checklist, first evidence package</v>
      </c>
      <c r="CC543" t="str">
        <f>IF($BY543="","",IFERROR(INDEX(_REF_Treatment_Library!$L$2:$L$296,MATCH($BY543,_REF_Treatment_Library!$A$2:$A$296,0)),""))</f>
        <v>Owner assigned; baseline evidence coverage; open critical gaps</v>
      </c>
      <c r="CD543" t="str">
        <f t="shared" si="50"/>
        <v>Treatment by capability=CAP_CUSTOMER_COMMUNICATION; band=Initial / absent; score=0.0; treatment=Establish</v>
      </c>
      <c r="CE543" t="str">
        <f>IF($E543="","",IFERROR(INDEX(_REF_Industry_Wording!$A$2:$A$70,MATCH(1,INDEX((_REF_Industry_Wording!$B$2:$B$70=$BT543)*(_REF_Industry_Wording!$C$2:$C$70=PV_Canonical_Industry)*(_REF_Industry_Wording!$K$2:$K$70="Yes"),0),0)),IFERROR(INDEX(_REF_Industry_Wording!$A$2:$A$70,MATCH(1,INDEX((_REF_Industry_Wording!$B$2:$B$70=$BT543)*(_REF_Industry_Wording!$C$2:$C$70="All")*(_REF_Industry_Wording!$K$2:$K$70="Yes"),0),0)),"")))</f>
        <v>IW-ALL-CUSTOMER_COMMUNICATION</v>
      </c>
      <c r="CF543" t="str">
        <f>IF($CE543="","",IFERROR(INDEX(_REF_Industry_Wording!$E$2:$E$70,MATCH($CE543,_REF_Industry_Wording!$A$2:$A$70,0)),""))</f>
        <v>Customer communication weakness</v>
      </c>
      <c r="CG543" t="str">
        <f>IF($CE543="","",IFERROR(INDEX(_REF_Industry_Wording!$F$2:$F$70,MATCH($CE543,_REF_Industry_Wording!$A$2:$A$70,0)),""))</f>
        <v>Strengthen Customer communication</v>
      </c>
      <c r="CH543" t="str">
        <f>IF($CE543="","",IFERROR(INDEX(_REF_Industry_Wording!$G$2:$G$70,MATCH($CE543,_REF_Industry_Wording!$A$2:$A$70,0)),""))</f>
        <v>Strengthen Customer communication using the selected maturity treatment, crisis scenario and evidence requirements.</v>
      </c>
      <c r="CI543" t="str">
        <f>IF($CE543="","",IFERROR(INDEX(_REF_Industry_Wording!$H$2:$H$70,MATCH($CE543,_REF_Industry_Wording!$A$2:$A$70,0)),""))</f>
        <v>Customer communication</v>
      </c>
      <c r="CJ543">
        <f>IF($CE543="","",IFERROR(INDEX(_REF_Industry_Wording!$I$2:$I$70,MATCH($CE543,_REF_Industry_Wording!$A$2:$A$70,0)),""))</f>
        <v>0</v>
      </c>
      <c r="CK543" t="str">
        <f>IF($CE543="","",IFERROR(INDEX(_REF_Industry_Wording!$J$2:$J$70,MATCH($CE543,_REF_Industry_Wording!$A$2:$A$70,0)),""))</f>
        <v>Customer communication</v>
      </c>
      <c r="CL543" t="str">
        <f t="shared" si="51"/>
        <v>Wording by industry=0; capability=CAP_CUSTOMER_COMMUNICATION; risk label=Customer communication weakness</v>
      </c>
      <c r="CM543" t="str">
        <f t="shared" si="52"/>
        <v>RISK-ONT-0044</v>
      </c>
      <c r="CN543" t="str">
        <f t="shared" si="53"/>
        <v>RISK-EVT-0044</v>
      </c>
      <c r="CO543" t="str">
        <f t="shared" si="54"/>
        <v>Strategy GTM|External relations and partnerships|STRA-026|CAP_CUSTOMER_COMMUNICATION</v>
      </c>
      <c r="CP543" t="str">
        <f t="shared" si="55"/>
        <v>Active</v>
      </c>
      <c r="CQ543" t="str">
        <f t="shared" si="56"/>
        <v>OK: capability-driven</v>
      </c>
      <c r="CR543" t="str">
        <f t="shared" si="57"/>
        <v>Risk ontology uses capability=CAP_CUSTOMER_COMMUNICATION; bridge=BRG-084; treatment=TRT-CUSTOMER_COMMUNICATION-INITIAL; wording=IW-ALL-CUSTOMER_COMMUNICATION</v>
      </c>
      <c r="CS543" t="str">
        <f t="shared" si="58"/>
        <v>Yes</v>
      </c>
    </row>
    <row r="544" spans="1:97" ht="69.900000000000006" customHeight="1">
      <c r="A544">
        <f>IF(OR($B544&lt;&gt;"Yes",$BS544=""),"",SUMPRODUCT(($B$500:$B$923="Yes")*ISNUMBER($BS$500:$BS$923)*($BS$500:$BS$923&gt;$BS544))+COUNTIFS($B$500:$B544,"Yes",$BS$500:$BS544,$BS544))</f>
        <v>371</v>
      </c>
      <c r="B544" t="str">
        <f t="shared" si="21"/>
        <v>Yes</v>
      </c>
      <c r="C544" t="s">
        <v>949</v>
      </c>
      <c r="D544" t="s">
        <v>990</v>
      </c>
      <c r="E544" t="s">
        <v>1139</v>
      </c>
      <c r="F544" t="s">
        <v>5170</v>
      </c>
      <c r="G544" t="str">
        <f>IF($H544="","",IFERROR(INDEX(_ENGINE_Risk!$H$5:$M$499,MATCH($E544,_ENGINE_Risk!$A$5:$A$499,0),$H544+1),""))</f>
        <v>Severe risk: owner, investor and lender communication discipline including bad-news protocols and crisis updates is not reliably controlled. During Financial/liquidity crisis; Reputation crisis, the organization may face loss of funding confidence, covenant surprises and shareholder conflict during downturn with limited visibility or accountability.</v>
      </c>
      <c r="H544">
        <f>IFERROR(VALUE(INDEX(_DATA_Assessment_Model!$H$5:$H$884,MATCH($E544,_DATA_Assessment_Model!$A$5:$A$884,0))),"")</f>
        <v>0</v>
      </c>
      <c r="I544" t="str">
        <f>IF($H544="","",IFERROR(INDEX(_DATA_Assessment_Model!$L$5:$L$884,MATCH($E544,_DATA_Assessment_Model!$A$5:$A$884,0)),IF($H544&lt;=1,"Critical",IF($H544=2,"High",IF($H544=3,"Medium",IF($H544=4,"Low","Resilient"))))))</f>
        <v>Critical</v>
      </c>
      <c r="J544">
        <f t="shared" si="22"/>
        <v>3.6</v>
      </c>
      <c r="K544">
        <f t="shared" si="23"/>
        <v>3.45</v>
      </c>
      <c r="L544">
        <f t="shared" si="24"/>
        <v>12.420000000000002</v>
      </c>
      <c r="M544">
        <f t="shared" si="25"/>
        <v>3</v>
      </c>
      <c r="N544">
        <f>IF($H544="","",IFERROR(INDEX(_ENGINE_Risk!$T$5:$Y$499,MATCH($E544,_ENGINE_Risk!$A$5:$A$499,0),$H544+1),""))</f>
        <v>2</v>
      </c>
      <c r="O544">
        <f t="shared" si="26"/>
        <v>3.3333333333333335</v>
      </c>
      <c r="P544">
        <f t="shared" si="27"/>
        <v>5</v>
      </c>
      <c r="Q544">
        <f t="shared" si="28"/>
        <v>4.6500000000000004</v>
      </c>
      <c r="R544">
        <f t="shared" si="29"/>
        <v>3</v>
      </c>
      <c r="S544">
        <f t="shared" si="30"/>
        <v>2</v>
      </c>
      <c r="T544" t="str">
        <f>IF($H544="","",IFERROR(INDEX(_ENGINE_Risk!$N$5:$S$499,MATCH($E544,_ENGINE_Risk!$A$5:$A$499,0),$H544+1),""))</f>
        <v>Create an immediate risk owner, minimum control baseline and fallback procedure for owner, investor and lender communication discipline including bad-news protocols and crisis updates. Add it to the crisis risk register and collect first evidence.</v>
      </c>
      <c r="U544">
        <f>IFERROR(INDEX(_DATA_Assessment_Model!$G$5:$G$884,MATCH($E544,_DATA_Assessment_Model!$A$5:$A$884,0)),"")</f>
        <v>4</v>
      </c>
      <c r="V544">
        <f>IFERROR(INDEX(_DATA_Assessment_Model!$W$5:$W$884,MATCH($E544,_DATA_Assessment_Model!$A$5:$A$884,0)),"")</f>
        <v>2</v>
      </c>
      <c r="W544">
        <f>IFERROR(INDEX(_DATA_Assessment_Model!$X$5:$X$884,MATCH($E544,_DATA_Assessment_Model!$A$5:$A$884,0)),"")</f>
        <v>4</v>
      </c>
      <c r="X544">
        <f>IFERROR(INDEX(_DATA_Assessment_Model!$Y$5:$Y$884,MATCH($E544,_DATA_Assessment_Model!$A$5:$A$884,0)),"")</f>
        <v>4</v>
      </c>
      <c r="Y544" t="s">
        <v>1149</v>
      </c>
      <c r="Z544" t="s">
        <v>5216</v>
      </c>
      <c r="AA544" t="s">
        <v>5215</v>
      </c>
      <c r="AB544">
        <f>IFERROR(INDEX(_DATA_Assessment_Model!$U$5:$U$884,MATCH($E544,_DATA_Assessment_Model!$A$5:$A$884,0)),"")</f>
        <v>0</v>
      </c>
      <c r="AF544" t="s">
        <v>1140</v>
      </c>
      <c r="AO544">
        <f>IF($B544="Yes",IF(IFERROR(INDEX(_ENGINE_Crisis!$F$501:$F$517,MATCH($C544,_ENGINE_Crisis!$A$501:$A$517,0)),1)=0,1,IFERROR(INDEX(_ENGINE_Crisis!$F$501:$F$517,MATCH($C544,_ENGINE_Crisis!$A$501:$A$517,0)),1)),"")</f>
        <v>1</v>
      </c>
      <c r="AP544">
        <f t="shared" si="37"/>
        <v>12.4</v>
      </c>
      <c r="AQ544">
        <f t="shared" si="38"/>
        <v>2</v>
      </c>
      <c r="AR544" t="str">
        <f>IFERROR(INDEX(_ENGINE_Crisis!$E$41:$E$700,MATCH('Resilience &amp; Risk Scenario'!$B$6&amp;"|"&amp;$C544,_ENGINE_Crisis!$I$41:$I$700,0)),"")</f>
        <v/>
      </c>
      <c r="AS544" t="str">
        <f>IFERROR(INDEX(_ENGINE_Crisis!$G$41:$G$700,MATCH('Resilience &amp; Risk Scenario'!$B$6&amp;"|"&amp;$C544,_ENGINE_Crisis!$I$41:$I$700,0)),"")</f>
        <v/>
      </c>
      <c r="AT544" t="str">
        <f>IFERROR(INDEX(_ENGINE_Initiatives!$A$5:$A$532,MATCH(1,INDEX((_ENGINE_Initiatives!$B$5:$B$532=$C544)*(_ENGINE_Initiatives!$C$5:$C$532=$D544),0),0)),"")</f>
        <v/>
      </c>
      <c r="AU544" t="str">
        <f>IFERROR(INDEX(_ENGINE_Initiatives!$F$5:$F$532,MATCH(1,INDEX((_ENGINE_Initiatives!$B$5:$B$532=$C544)*(_ENGINE_Initiatives!$C$5:$C$532=$D544),0),0)),"")</f>
        <v/>
      </c>
      <c r="AV544" t="str">
        <f>IFERROR(INDEX(_ENGINE_Initiatives!$AC$5:$AC$532,MATCH(1,INDEX((_ENGINE_Initiatives!$B$5:$B$532=$C544)*(_ENGINE_Initiatives!$C$5:$C$532=$D544),0),0)),"")</f>
        <v/>
      </c>
      <c r="AW544" t="str">
        <f>IFERROR(INDEX(_ENGINE_Initiatives!$AE$5:$AE$532,MATCH(1,INDEX((_ENGINE_Initiatives!$B$5:$B$532=$C544)*(_ENGINE_Initiatives!$C$5:$C$532=$D544),0),0)),"")</f>
        <v/>
      </c>
      <c r="AX544">
        <f>IF($B544="Yes",IFERROR((IF(SUMIFS(_REF_Model_Content!$E$1:$E$613,_REF_Model_Content!$A$1:$A$613,PV_Canonical_Industry,_REF_Model_Content!$B$1:$B$613,$C544)=0,1,SUMIFS(_REF_Model_Content!$E$1:$E$613,_REF_Model_Content!$A$1:$A$613,PV_Canonical_Industry,_REF_Model_Content!$B$1:$B$613,$C544))*IFERROR($BU544,1)),1),"")</f>
        <v>1</v>
      </c>
      <c r="AY544">
        <f t="shared" si="39"/>
        <v>12.4</v>
      </c>
      <c r="AZ544">
        <f t="shared" si="40"/>
        <v>2</v>
      </c>
      <c r="BB544" t="str">
        <f>IF($H544="","",IFERROR(INDEX(_ENGINE_Risk!$AE$5:$AE$499,MATCH($E544,_ENGINE_Risk!$A$5:$A$499,0)),"Medium"))</f>
        <v>Medium</v>
      </c>
      <c r="BC544">
        <f t="shared" si="41"/>
        <v>1</v>
      </c>
      <c r="BD544">
        <f t="shared" si="42"/>
        <v>2</v>
      </c>
      <c r="BF544">
        <f>IF(OR($H544="",$J544=""),"",IFERROR(VLOOKUP(ROUND($J544,0),_CONFIG_Model_Settings!$D$154:$E$158,2,0),""))</f>
        <v>0.5</v>
      </c>
      <c r="BG544">
        <f>IFERROR(IF(OR($H544="",$K544=""),"",ROUND('Company Profile'!$B$113*INDEX(_CONFIG_Model_Settings!$H$154:$H$158,MATCH(ROUND($K544,0),_CONFIG_Model_Settings!$G$154:$G$158,0)),0)),0)</f>
        <v>375</v>
      </c>
      <c r="BH544">
        <f t="shared" si="43"/>
        <v>187.5</v>
      </c>
      <c r="BI544">
        <f t="shared" si="44"/>
        <v>187.5</v>
      </c>
      <c r="BJ544">
        <f>IF($E544="","",IFERROR(VLOOKUP($C544,_CONFIG_Risk_Calibration!$A$5:$H$21,2,FALSE),3))</f>
        <v>3</v>
      </c>
      <c r="BK544">
        <f>IF($E544="","",IFERROR(VLOOKUP($C544,_CONFIG_Risk_Calibration!$A$5:$H$21,3,FALSE),0))</f>
        <v>0</v>
      </c>
      <c r="BL544">
        <f>IF($E544="","",IFERROR(VLOOKUP($C544,_CONFIG_Risk_Calibration!$A$5:$H$21,4,FALSE),3))</f>
        <v>3</v>
      </c>
      <c r="BM544">
        <f>IF($E544="","",IFERROR(VLOOKUP($C544,_CONFIG_Risk_Calibration!$A$5:$H$21,5,FALSE),3))</f>
        <v>3</v>
      </c>
      <c r="BN544" t="str">
        <f>IF($E544="","",IFERROR(VLOOKUP($C544,_CONFIG_Risk_Calibration!$A$5:$H$21,6,FALSE),"No"))</f>
        <v>No</v>
      </c>
      <c r="BO544">
        <f>IF($E544="","",IFERROR(VLOOKUP($C544,_CONFIG_Risk_Calibration!$A$5:$H$21,7,FALSE),1))</f>
        <v>1</v>
      </c>
      <c r="BP544">
        <f>IF($H544="","",MAX(1,MIN(5,((6-$H544)*0.45)+($BJ544*0.2)+('Resilience &amp; Risk Scenario'!$B$7*0.15)+($BK544*0.1)+($BL544*0.05)+(IF($BB544="Fast",5,IF($BB544="Slow",1,3))*0.05))))</f>
        <v>3.6</v>
      </c>
      <c r="BQ544">
        <f t="shared" si="45"/>
        <v>3.45</v>
      </c>
      <c r="BR544">
        <f t="shared" si="46"/>
        <v>12.42</v>
      </c>
      <c r="BS544">
        <f t="shared" si="47"/>
        <v>12.42</v>
      </c>
      <c r="BT544" t="str">
        <f>IFERROR(INDEX(_REF_Capability_Bridge!$D:$D,MATCH($C544&amp;"|"&amp;$D544,_REF_Capability_Bridge!$J:$J,0)),IFERROR(INDEX(_REF_Capability_Bridge!$D:$D,MATCH($C544&amp;"|",_REF_Capability_Bridge!$J:$J,0)),"CAP_GENERIC"))</f>
        <v>CAP_CUSTOMER_COMMUNICATION</v>
      </c>
      <c r="BU544">
        <f>IFERROR(IFERROR(INDEX(_ENGINE_Relevance!$L:$L,MATCH($BT544,_ENGINE_Relevance!$B:$B,0)),1),1)</f>
        <v>1</v>
      </c>
      <c r="BV544" t="str">
        <f>IFERROR(INDEX(_REF_Capability_Bridge!$A:$A,MATCH($C544&amp;"|"&amp;$D544,_REF_Capability_Bridge!$J:$J,0)),IFERROR(INDEX(_REF_Capability_Bridge!$A:$A,MATCH($C544&amp;"|",_REF_Capability_Bridge!$J:$J,0)),"No bridge"))</f>
        <v>BRG-084</v>
      </c>
      <c r="BW544" t="str">
        <f t="shared" si="48"/>
        <v>Capability relevance neutral</v>
      </c>
      <c r="BX544" t="str">
        <f t="shared" si="49"/>
        <v>Initial / absent</v>
      </c>
      <c r="BY544" t="str">
        <f>IF($E544="","",IFERROR(INDEX(_REF_Treatment_Library!$A$2:$A$296,MATCH(1,INDEX((_REF_Treatment_Library!$B$2:$B$296=$BT544)*(_REF_Treatment_Library!$C$2:$C$296=PV_Canonical_Industry)*(_REF_Treatment_Library!$E$2:$E$296&lt;=N($H544))*(_REF_Treatment_Library!$F$2:$F$296&gt;=N($H544))*(_REF_Treatment_Library!$O$2:$O$296="Yes"),0),0)),IFERROR(INDEX(_REF_Treatment_Library!$A$2:$A$296,MATCH(1,INDEX((_REF_Treatment_Library!$B$2:$B$296=$BT544)*(_REF_Treatment_Library!$C$2:$C$296="All")*(_REF_Treatment_Library!$E$2:$E$296&lt;=N($H544))*(_REF_Treatment_Library!$F$2:$F$296&gt;=N($H544))*(_REF_Treatment_Library!$O$2:$O$296="Yes"),0),0)),"")))</f>
        <v>TRT-CUSTOMER_COMMUNICATION-INITIAL</v>
      </c>
      <c r="BZ544" t="str">
        <f>IF($BY544="","",IFERROR(INDEX(_REF_Treatment_Library!$H$2:$H$296,MATCH($BY544,_REF_Treatment_Library!$A$2:$A$296,0)),""))</f>
        <v>Establish</v>
      </c>
      <c r="CA544" t="str">
        <f>IF($BY544="","",IFERROR(INDEX(_REF_Treatment_Library!$I$2:$I$296,MATCH($BY544,_REF_Treatment_Library!$A$2:$A$296,0)),""))</f>
        <v>Establish baseline controls for Customer communication</v>
      </c>
      <c r="CB544" t="str">
        <f>IF($BY544="","",IFERROR(INDEX(_REF_Treatment_Library!$K$2:$K$296,MATCH($BY544,_REF_Treatment_Library!$A$2:$A$296,0)),""))</f>
        <v>Named owner, baseline process, minimum control checklist, first evidence package</v>
      </c>
      <c r="CC544" t="str">
        <f>IF($BY544="","",IFERROR(INDEX(_REF_Treatment_Library!$L$2:$L$296,MATCH($BY544,_REF_Treatment_Library!$A$2:$A$296,0)),""))</f>
        <v>Owner assigned; baseline evidence coverage; open critical gaps</v>
      </c>
      <c r="CD544" t="str">
        <f t="shared" si="50"/>
        <v>Treatment by capability=CAP_CUSTOMER_COMMUNICATION; band=Initial / absent; score=0.0; treatment=Establish</v>
      </c>
      <c r="CE544" t="str">
        <f>IF($E544="","",IFERROR(INDEX(_REF_Industry_Wording!$A$2:$A$70,MATCH(1,INDEX((_REF_Industry_Wording!$B$2:$B$70=$BT544)*(_REF_Industry_Wording!$C$2:$C$70=PV_Canonical_Industry)*(_REF_Industry_Wording!$K$2:$K$70="Yes"),0),0)),IFERROR(INDEX(_REF_Industry_Wording!$A$2:$A$70,MATCH(1,INDEX((_REF_Industry_Wording!$B$2:$B$70=$BT544)*(_REF_Industry_Wording!$C$2:$C$70="All")*(_REF_Industry_Wording!$K$2:$K$70="Yes"),0),0)),"")))</f>
        <v>IW-ALL-CUSTOMER_COMMUNICATION</v>
      </c>
      <c r="CF544" t="str">
        <f>IF($CE544="","",IFERROR(INDEX(_REF_Industry_Wording!$E$2:$E$70,MATCH($CE544,_REF_Industry_Wording!$A$2:$A$70,0)),""))</f>
        <v>Customer communication weakness</v>
      </c>
      <c r="CG544" t="str">
        <f>IF($CE544="","",IFERROR(INDEX(_REF_Industry_Wording!$F$2:$F$70,MATCH($CE544,_REF_Industry_Wording!$A$2:$A$70,0)),""))</f>
        <v>Strengthen Customer communication</v>
      </c>
      <c r="CH544" t="str">
        <f>IF($CE544="","",IFERROR(INDEX(_REF_Industry_Wording!$G$2:$G$70,MATCH($CE544,_REF_Industry_Wording!$A$2:$A$70,0)),""))</f>
        <v>Strengthen Customer communication using the selected maturity treatment, crisis scenario and evidence requirements.</v>
      </c>
      <c r="CI544" t="str">
        <f>IF($CE544="","",IFERROR(INDEX(_REF_Industry_Wording!$H$2:$H$70,MATCH($CE544,_REF_Industry_Wording!$A$2:$A$70,0)),""))</f>
        <v>Customer communication</v>
      </c>
      <c r="CJ544">
        <f>IF($CE544="","",IFERROR(INDEX(_REF_Industry_Wording!$I$2:$I$70,MATCH($CE544,_REF_Industry_Wording!$A$2:$A$70,0)),""))</f>
        <v>0</v>
      </c>
      <c r="CK544" t="str">
        <f>IF($CE544="","",IFERROR(INDEX(_REF_Industry_Wording!$J$2:$J$70,MATCH($CE544,_REF_Industry_Wording!$A$2:$A$70,0)),""))</f>
        <v>Customer communication</v>
      </c>
      <c r="CL544" t="str">
        <f t="shared" si="51"/>
        <v>Wording by industry=0; capability=CAP_CUSTOMER_COMMUNICATION; risk label=Customer communication weakness</v>
      </c>
      <c r="CM544" t="str">
        <f t="shared" si="52"/>
        <v>RISK-ONT-0045</v>
      </c>
      <c r="CN544" t="str">
        <f t="shared" si="53"/>
        <v>RISK-EVT-0045</v>
      </c>
      <c r="CO544" t="str">
        <f t="shared" si="54"/>
        <v>Strategy GTM|External relations and partnerships|STRA-028|CAP_CUSTOMER_COMMUNICATION</v>
      </c>
      <c r="CP544" t="str">
        <f t="shared" si="55"/>
        <v>Active</v>
      </c>
      <c r="CQ544" t="str">
        <f t="shared" si="56"/>
        <v>OK: capability-driven</v>
      </c>
      <c r="CR544" t="str">
        <f t="shared" si="57"/>
        <v>Risk ontology uses capability=CAP_CUSTOMER_COMMUNICATION; bridge=BRG-084; treatment=TRT-CUSTOMER_COMMUNICATION-INITIAL; wording=IW-ALL-CUSTOMER_COMMUNICATION</v>
      </c>
      <c r="CS544" t="str">
        <f t="shared" si="58"/>
        <v>Yes</v>
      </c>
    </row>
    <row r="545" spans="1:97" ht="69.900000000000006" customHeight="1">
      <c r="A545">
        <f>IF(OR($B545&lt;&gt;"Yes",$BS545=""),"",SUMPRODUCT(($B$500:$B$923="Yes")*ISNUMBER($BS$500:$BS$923)*($BS$500:$BS$923&gt;$BS545))+COUNTIFS($B$500:$B545,"Yes",$BS$500:$BS545,$BS545))</f>
        <v>214</v>
      </c>
      <c r="B545" t="str">
        <f t="shared" si="21"/>
        <v>Yes</v>
      </c>
      <c r="C545" t="s">
        <v>1150</v>
      </c>
      <c r="D545" t="s">
        <v>1152</v>
      </c>
      <c r="E545" t="s">
        <v>1151</v>
      </c>
      <c r="F545" t="s">
        <v>3681</v>
      </c>
      <c r="G545" t="str">
        <f>IF($H545="","",IFERROR(INDEX(_ENGINE_Risk!$H$5:$M$499,MATCH($E545,_ENGINE_Risk!$A$5:$A$499,0),$H545+1),""))</f>
        <v>Severe risk: formal crisis management structure with named roles, deputies, escalation paths and decision authority is not reliably controlled. During All crisis types, the organization may face slow decisions, unclear escalation, duplicated actions and weak crisis command with limited visibility or accountability.</v>
      </c>
      <c r="H545">
        <f>IFERROR(VALUE(INDEX(_DATA_Assessment_Model!$H$5:$H$884,MATCH($E545,_DATA_Assessment_Model!$A$5:$A$884,0))),"")</f>
        <v>0</v>
      </c>
      <c r="I545" t="str">
        <f>IF($H545="","",IFERROR(INDEX(_DATA_Assessment_Model!$L$5:$L$884,MATCH($E545,_DATA_Assessment_Model!$A$5:$A$884,0)),IF($H545&lt;=1,"Critical",IF($H545=2,"High",IF($H545=3,"Medium",IF($H545=4,"Low","Resilient"))))))</f>
        <v>Critical</v>
      </c>
      <c r="J545">
        <f t="shared" si="22"/>
        <v>3.6</v>
      </c>
      <c r="K545">
        <f t="shared" si="23"/>
        <v>4.5</v>
      </c>
      <c r="L545">
        <f t="shared" si="24"/>
        <v>16.2</v>
      </c>
      <c r="M545">
        <f t="shared" si="25"/>
        <v>4</v>
      </c>
      <c r="N545">
        <f>IF($H545="","",IFERROR(INDEX(_ENGINE_Risk!$T$5:$Y$499,MATCH($E545,_ENGINE_Risk!$A$5:$A$499,0),$H545+1),""))</f>
        <v>3</v>
      </c>
      <c r="O545">
        <f t="shared" si="26"/>
        <v>4.666666666666667</v>
      </c>
      <c r="P545">
        <f t="shared" si="27"/>
        <v>5</v>
      </c>
      <c r="Q545">
        <f t="shared" si="28"/>
        <v>5</v>
      </c>
      <c r="R545">
        <f t="shared" si="29"/>
        <v>4.5</v>
      </c>
      <c r="S545">
        <f t="shared" si="30"/>
        <v>1.6</v>
      </c>
      <c r="T545" t="str">
        <f>IF($H545="","",IFERROR(INDEX(_ENGINE_Risk!$N$5:$S$499,MATCH($E545,_ENGINE_Risk!$A$5:$A$499,0),$H545+1),""))</f>
        <v>Create an immediate risk owner, minimum control baseline and fallback procedure for formal crisis management structure with named roles, deputies, escalation paths and decision authority. Add it to the crisis risk register and collect first evidence.</v>
      </c>
      <c r="U545">
        <f>IFERROR(INDEX(_DATA_Assessment_Model!$G$5:$G$884,MATCH($E545,_DATA_Assessment_Model!$A$5:$A$884,0)),"")</f>
        <v>5</v>
      </c>
      <c r="V545">
        <f>IFERROR(INDEX(_DATA_Assessment_Model!$W$5:$W$884,MATCH($E545,_DATA_Assessment_Model!$A$5:$A$884,0)),"")</f>
        <v>4</v>
      </c>
      <c r="W545">
        <f>IFERROR(INDEX(_DATA_Assessment_Model!$X$5:$X$884,MATCH($E545,_DATA_Assessment_Model!$A$5:$A$884,0)),"")</f>
        <v>5</v>
      </c>
      <c r="X545">
        <f>IFERROR(INDEX(_DATA_Assessment_Model!$Y$5:$Y$884,MATCH($E545,_DATA_Assessment_Model!$A$5:$A$884,0)),"")</f>
        <v>5</v>
      </c>
      <c r="Y545" t="s">
        <v>1157</v>
      </c>
      <c r="Z545" t="s">
        <v>4591</v>
      </c>
      <c r="AA545" t="s">
        <v>1156</v>
      </c>
      <c r="AB545">
        <f>IFERROR(INDEX(_DATA_Assessment_Model!$U$5:$U$884,MATCH($E545,_DATA_Assessment_Model!$A$5:$A$884,0)),"")</f>
        <v>0</v>
      </c>
      <c r="AF545" t="s">
        <v>1153</v>
      </c>
      <c r="AO545">
        <f>IF($B545="Yes",IF(IFERROR(INDEX(_ENGINE_Crisis!$F$501:$F$517,MATCH($C545,_ENGINE_Crisis!$A$501:$A$517,0)),1)=0,1,IFERROR(INDEX(_ENGINE_Crisis!$F$501:$F$517,MATCH($C545,_ENGINE_Crisis!$A$501:$A$517,0)),1)),"")</f>
        <v>1</v>
      </c>
      <c r="AP545">
        <f t="shared" si="37"/>
        <v>16.2</v>
      </c>
      <c r="AQ545">
        <f t="shared" si="38"/>
        <v>1.6</v>
      </c>
      <c r="AR545" t="str">
        <f>IFERROR(INDEX(_ENGINE_Crisis!$E$41:$E$700,MATCH('Resilience &amp; Risk Scenario'!$B$6&amp;"|"&amp;$C545,_ENGINE_Crisis!$I$41:$I$700,0)),"")</f>
        <v/>
      </c>
      <c r="AS545" t="str">
        <f>IFERROR(INDEX(_ENGINE_Crisis!$G$41:$G$700,MATCH('Resilience &amp; Risk Scenario'!$B$6&amp;"|"&amp;$C545,_ENGINE_Crisis!$I$41:$I$700,0)),"")</f>
        <v/>
      </c>
      <c r="AT545" t="str">
        <f>IFERROR(INDEX(_ENGINE_Initiatives!$A$5:$A$532,MATCH(1,INDEX((_ENGINE_Initiatives!$B$5:$B$532=$C545)*(_ENGINE_Initiatives!$C$5:$C$532=$D545),0),0)),"")</f>
        <v>INI-008</v>
      </c>
      <c r="AU545" t="str">
        <f>IFERROR(INDEX(_ENGINE_Initiatives!$F$5:$F$532,MATCH(1,INDEX((_ENGINE_Initiatives!$B$5:$B$532=$C545)*(_ENGINE_Initiatives!$C$5:$C$532=$D545),0),0)),"")</f>
        <v>Implement crisis governance, roles and escalation model</v>
      </c>
      <c r="AV545">
        <f>IFERROR(INDEX(_ENGINE_Initiatives!$AC$5:$AC$532,MATCH(1,INDEX((_ENGINE_Initiatives!$B$5:$B$532=$C545)*(_ENGINE_Initiatives!$C$5:$C$532=$D545),0),0)),"")</f>
        <v>2.62</v>
      </c>
      <c r="AW545" t="str">
        <f>IFERROR(INDEX(_ENGINE_Initiatives!$AE$5:$AE$532,MATCH(1,INDEX((_ENGINE_Initiatives!$B$5:$B$532=$C545)*(_ENGINE_Initiatives!$C$5:$C$532=$D545),0),0)),"")</f>
        <v>0-90 days</v>
      </c>
      <c r="AX545">
        <f>IF($B545="Yes",IFERROR((IF(SUMIFS(_REF_Model_Content!$E$1:$E$613,_REF_Model_Content!$A$1:$A$613,PV_Canonical_Industry,_REF_Model_Content!$B$1:$B$613,$C545)=0,1,SUMIFS(_REF_Model_Content!$E$1:$E$613,_REF_Model_Content!$A$1:$A$613,PV_Canonical_Industry,_REF_Model_Content!$B$1:$B$613,$C545))*IFERROR($BU545,1)),1),"")</f>
        <v>1</v>
      </c>
      <c r="AY545">
        <f t="shared" si="39"/>
        <v>16.2</v>
      </c>
      <c r="AZ545">
        <f t="shared" si="40"/>
        <v>1.6</v>
      </c>
      <c r="BB545" t="str">
        <f>IF($H545="","",IFERROR(INDEX(_ENGINE_Risk!$AE$5:$AE$499,MATCH($E545,_ENGINE_Risk!$A$5:$A$499,0)),"Medium"))</f>
        <v>Medium</v>
      </c>
      <c r="BC545">
        <f t="shared" si="41"/>
        <v>1</v>
      </c>
      <c r="BD545">
        <f t="shared" si="42"/>
        <v>1.6</v>
      </c>
      <c r="BF545">
        <f>IF(OR($H545="",$J545=""),"",IFERROR(VLOOKUP(ROUND($J545,0),_CONFIG_Model_Settings!$D$154:$E$158,2,0),""))</f>
        <v>0.5</v>
      </c>
      <c r="BG545">
        <f>IFERROR(IF(OR($H545="",$K545=""),"",ROUND('Company Profile'!$B$113*INDEX(_CONFIG_Model_Settings!$H$154:$H$158,MATCH(ROUND($K545,0),_CONFIG_Model_Settings!$G$154:$G$158,0)),0)),0)</f>
        <v>1875</v>
      </c>
      <c r="BH545">
        <f t="shared" si="43"/>
        <v>937.5</v>
      </c>
      <c r="BI545">
        <f t="shared" si="44"/>
        <v>937.5</v>
      </c>
      <c r="BJ545">
        <f>IF($E545="","",IFERROR(VLOOKUP($C545,_CONFIG_Risk_Calibration!$A$5:$H$21,2,FALSE),3))</f>
        <v>3</v>
      </c>
      <c r="BK545">
        <f>IF($E545="","",IFERROR(VLOOKUP($C545,_CONFIG_Risk_Calibration!$A$5:$H$21,3,FALSE),0))</f>
        <v>0</v>
      </c>
      <c r="BL545">
        <f>IF($E545="","",IFERROR(VLOOKUP($C545,_CONFIG_Risk_Calibration!$A$5:$H$21,4,FALSE),3))</f>
        <v>3</v>
      </c>
      <c r="BM545">
        <f>IF($E545="","",IFERROR(VLOOKUP($C545,_CONFIG_Risk_Calibration!$A$5:$H$21,5,FALSE),3))</f>
        <v>4</v>
      </c>
      <c r="BN545" t="str">
        <f>IF($E545="","",IFERROR(VLOOKUP($C545,_CONFIG_Risk_Calibration!$A$5:$H$21,6,FALSE),"No"))</f>
        <v>Yes</v>
      </c>
      <c r="BO545">
        <f>IF($E545="","",IFERROR(VLOOKUP($C545,_CONFIG_Risk_Calibration!$A$5:$H$21,7,FALSE),1))</f>
        <v>4</v>
      </c>
      <c r="BP545">
        <f>IF($H545="","",MAX(1,MIN(5,((6-$H545)*0.45)+($BJ545*0.2)+('Resilience &amp; Risk Scenario'!$B$7*0.15)+($BK545*0.1)+($BL545*0.05)+(IF($BB545="Fast",5,IF($BB545="Slow",1,3))*0.05))))</f>
        <v>3.6</v>
      </c>
      <c r="BQ545">
        <f t="shared" si="45"/>
        <v>4.5</v>
      </c>
      <c r="BR545">
        <f t="shared" si="46"/>
        <v>16.2</v>
      </c>
      <c r="BS545">
        <f t="shared" si="47"/>
        <v>17.82</v>
      </c>
      <c r="BT545" t="str">
        <f>IFERROR(INDEX(_REF_Capability_Bridge!$D:$D,MATCH($C545&amp;"|"&amp;$D545,_REF_Capability_Bridge!$J:$J,0)),IFERROR(INDEX(_REF_Capability_Bridge!$D:$D,MATCH($C545&amp;"|",_REF_Capability_Bridge!$J:$J,0)),"CAP_GENERIC"))</f>
        <v>CAP_INCIDENT_RESPONSE</v>
      </c>
      <c r="BU545">
        <f>IFERROR(IFERROR(INDEX(_ENGINE_Relevance!$L:$L,MATCH($BT545,_ENGINE_Relevance!$B:$B,0)),1),1)</f>
        <v>1</v>
      </c>
      <c r="BV545" t="str">
        <f>IFERROR(INDEX(_REF_Capability_Bridge!$A:$A,MATCH($C545&amp;"|"&amp;$D545,_REF_Capability_Bridge!$J:$J,0)),IFERROR(INDEX(_REF_Capability_Bridge!$A:$A,MATCH($C545&amp;"|",_REF_Capability_Bridge!$J:$J,0)),"No bridge"))</f>
        <v>BRG-035</v>
      </c>
      <c r="BW545" t="str">
        <f t="shared" si="48"/>
        <v>Capability relevance neutral</v>
      </c>
      <c r="BX545" t="str">
        <f t="shared" si="49"/>
        <v>Initial / absent</v>
      </c>
      <c r="BY545" t="str">
        <f>IF($E545="","",IFERROR(INDEX(_REF_Treatment_Library!$A$2:$A$296,MATCH(1,INDEX((_REF_Treatment_Library!$B$2:$B$296=$BT545)*(_REF_Treatment_Library!$C$2:$C$296=PV_Canonical_Industry)*(_REF_Treatment_Library!$E$2:$E$296&lt;=N($H545))*(_REF_Treatment_Library!$F$2:$F$296&gt;=N($H545))*(_REF_Treatment_Library!$O$2:$O$296="Yes"),0),0)),IFERROR(INDEX(_REF_Treatment_Library!$A$2:$A$296,MATCH(1,INDEX((_REF_Treatment_Library!$B$2:$B$296=$BT545)*(_REF_Treatment_Library!$C$2:$C$296="All")*(_REF_Treatment_Library!$E$2:$E$296&lt;=N($H545))*(_REF_Treatment_Library!$F$2:$F$296&gt;=N($H545))*(_REF_Treatment_Library!$O$2:$O$296="Yes"),0),0)),"")))</f>
        <v>TRT-INCIDENT_RESPONSE-INITIAL</v>
      </c>
      <c r="BZ545" t="str">
        <f>IF($BY545="","",IFERROR(INDEX(_REF_Treatment_Library!$H$2:$H$296,MATCH($BY545,_REF_Treatment_Library!$A$2:$A$296,0)),""))</f>
        <v>Establish</v>
      </c>
      <c r="CA545" t="str">
        <f>IF($BY545="","",IFERROR(INDEX(_REF_Treatment_Library!$I$2:$I$296,MATCH($BY545,_REF_Treatment_Library!$A$2:$A$296,0)),""))</f>
        <v>Establish baseline controls for Incident response</v>
      </c>
      <c r="CB545" t="str">
        <f>IF($BY545="","",IFERROR(INDEX(_REF_Treatment_Library!$K$2:$K$296,MATCH($BY545,_REF_Treatment_Library!$A$2:$A$296,0)),""))</f>
        <v>Named owner, baseline process, minimum control checklist, first evidence package</v>
      </c>
      <c r="CC545" t="str">
        <f>IF($BY545="","",IFERROR(INDEX(_REF_Treatment_Library!$L$2:$L$296,MATCH($BY545,_REF_Treatment_Library!$A$2:$A$296,0)),""))</f>
        <v>Owner assigned; baseline evidence coverage; open critical gaps</v>
      </c>
      <c r="CD545" t="str">
        <f t="shared" si="50"/>
        <v>Treatment by capability=CAP_INCIDENT_RESPONSE; band=Initial / absent; score=0.0; treatment=Establish</v>
      </c>
      <c r="CE545" t="str">
        <f>IF($E545="","",IFERROR(INDEX(_REF_Industry_Wording!$A$2:$A$70,MATCH(1,INDEX((_REF_Industry_Wording!$B$2:$B$70=$BT545)*(_REF_Industry_Wording!$C$2:$C$70=PV_Canonical_Industry)*(_REF_Industry_Wording!$K$2:$K$70="Yes"),0),0)),IFERROR(INDEX(_REF_Industry_Wording!$A$2:$A$70,MATCH(1,INDEX((_REF_Industry_Wording!$B$2:$B$70=$BT545)*(_REF_Industry_Wording!$C$2:$C$70="All")*(_REF_Industry_Wording!$K$2:$K$70="Yes"),0),0)),"")))</f>
        <v>IW-ALL-INCIDENT_RESPONSE</v>
      </c>
      <c r="CF545" t="str">
        <f>IF($CE545="","",IFERROR(INDEX(_REF_Industry_Wording!$E$2:$E$70,MATCH($CE545,_REF_Industry_Wording!$A$2:$A$70,0)),""))</f>
        <v>Incident response weakness</v>
      </c>
      <c r="CG545" t="str">
        <f>IF($CE545="","",IFERROR(INDEX(_REF_Industry_Wording!$F$2:$F$70,MATCH($CE545,_REF_Industry_Wording!$A$2:$A$70,0)),""))</f>
        <v>Strengthen Incident response</v>
      </c>
      <c r="CH545" t="str">
        <f>IF($CE545="","",IFERROR(INDEX(_REF_Industry_Wording!$G$2:$G$70,MATCH($CE545,_REF_Industry_Wording!$A$2:$A$70,0)),""))</f>
        <v>Strengthen Incident response using the selected maturity treatment, crisis scenario and evidence requirements.</v>
      </c>
      <c r="CI545" t="str">
        <f>IF($CE545="","",IFERROR(INDEX(_REF_Industry_Wording!$H$2:$H$70,MATCH($CE545,_REF_Industry_Wording!$A$2:$A$70,0)),""))</f>
        <v>Incident response</v>
      </c>
      <c r="CJ545">
        <f>IF($CE545="","",IFERROR(INDEX(_REF_Industry_Wording!$I$2:$I$70,MATCH($CE545,_REF_Industry_Wording!$A$2:$A$70,0)),""))</f>
        <v>0</v>
      </c>
      <c r="CK545" t="str">
        <f>IF($CE545="","",IFERROR(INDEX(_REF_Industry_Wording!$J$2:$J$70,MATCH($CE545,_REF_Industry_Wording!$A$2:$A$70,0)),""))</f>
        <v>Incident response</v>
      </c>
      <c r="CL545" t="str">
        <f t="shared" si="51"/>
        <v>Wording by industry=0; capability=CAP_INCIDENT_RESPONSE; risk label=Incident response weakness</v>
      </c>
      <c r="CM545" t="str">
        <f t="shared" si="52"/>
        <v>RISK-ONT-0046</v>
      </c>
      <c r="CN545" t="str">
        <f t="shared" si="53"/>
        <v>RISK-EVT-0046</v>
      </c>
      <c r="CO545" t="str">
        <f t="shared" si="54"/>
        <v>Governance Crisis|Crisis governance|GOVE-001|CAP_INCIDENT_RESPONSE</v>
      </c>
      <c r="CP545" t="str">
        <f t="shared" si="55"/>
        <v>Active</v>
      </c>
      <c r="CQ545" t="str">
        <f t="shared" si="56"/>
        <v>OK: capability-driven</v>
      </c>
      <c r="CR545" t="str">
        <f t="shared" si="57"/>
        <v>Risk ontology uses capability=CAP_INCIDENT_RESPONSE; bridge=BRG-035; treatment=TRT-INCIDENT_RESPONSE-INITIAL; wording=IW-ALL-INCIDENT_RESPONSE</v>
      </c>
      <c r="CS545" t="str">
        <f t="shared" si="58"/>
        <v>Yes</v>
      </c>
    </row>
    <row r="546" spans="1:97" ht="69.900000000000006" customHeight="1">
      <c r="A546">
        <f>IF(OR($B546&lt;&gt;"Yes",$BS546=""),"",SUMPRODUCT(($B$500:$B$923="Yes")*ISNUMBER($BS$500:$BS$923)*($BS$500:$BS$923&gt;$BS546))+COUNTIFS($B$500:$B546,"Yes",$BS$500:$BS546,$BS546))</f>
        <v>215</v>
      </c>
      <c r="B546" t="str">
        <f t="shared" si="21"/>
        <v>Yes</v>
      </c>
      <c r="C546" t="s">
        <v>1150</v>
      </c>
      <c r="D546" t="s">
        <v>1152</v>
      </c>
      <c r="E546" t="s">
        <v>1158</v>
      </c>
      <c r="F546" t="s">
        <v>3681</v>
      </c>
      <c r="G546" t="str">
        <f>IF($H546="","",IFERROR(INDEX(_ENGINE_Risk!$H$5:$M$499,MATCH($E546,_ENGINE_Risk!$A$5:$A$499,0),$H546+1),""))</f>
        <v>Severe risk: executive crisis team trained for cross-functional crisis response is not reliably controlled. During All crisis types, the organization may face slow decisions, unclear escalation, duplicated actions and weak crisis command with limited visibility or accountability.</v>
      </c>
      <c r="H546">
        <f>IFERROR(VALUE(INDEX(_DATA_Assessment_Model!$H$5:$H$884,MATCH($E546,_DATA_Assessment_Model!$A$5:$A$884,0))),"")</f>
        <v>0</v>
      </c>
      <c r="I546" t="str">
        <f>IF($H546="","",IFERROR(INDEX(_DATA_Assessment_Model!$L$5:$L$884,MATCH($E546,_DATA_Assessment_Model!$A$5:$A$884,0)),IF($H546&lt;=1,"Critical",IF($H546=2,"High",IF($H546=3,"Medium",IF($H546=4,"Low","Resilient"))))))</f>
        <v>Critical</v>
      </c>
      <c r="J546">
        <f t="shared" si="22"/>
        <v>3.6</v>
      </c>
      <c r="K546">
        <f t="shared" si="23"/>
        <v>4.5</v>
      </c>
      <c r="L546">
        <f t="shared" si="24"/>
        <v>16.2</v>
      </c>
      <c r="M546">
        <f t="shared" si="25"/>
        <v>4</v>
      </c>
      <c r="N546">
        <f>IF($H546="","",IFERROR(INDEX(_ENGINE_Risk!$T$5:$Y$499,MATCH($E546,_ENGINE_Risk!$A$5:$A$499,0),$H546+1),""))</f>
        <v>3</v>
      </c>
      <c r="O546">
        <f t="shared" si="26"/>
        <v>4.666666666666667</v>
      </c>
      <c r="P546">
        <f t="shared" si="27"/>
        <v>5</v>
      </c>
      <c r="Q546">
        <f t="shared" si="28"/>
        <v>5</v>
      </c>
      <c r="R546">
        <f t="shared" si="29"/>
        <v>4.5</v>
      </c>
      <c r="S546">
        <f t="shared" si="30"/>
        <v>1.6</v>
      </c>
      <c r="T546" t="str">
        <f>IF($H546="","",IFERROR(INDEX(_ENGINE_Risk!$N$5:$S$499,MATCH($E546,_ENGINE_Risk!$A$5:$A$499,0),$H546+1),""))</f>
        <v>Create an immediate risk owner, minimum control baseline and fallback procedure for executive crisis team trained for cross-functional crisis response. Add it to the crisis risk register and collect first evidence.</v>
      </c>
      <c r="U546">
        <f>IFERROR(INDEX(_DATA_Assessment_Model!$G$5:$G$884,MATCH($E546,_DATA_Assessment_Model!$A$5:$A$884,0)),"")</f>
        <v>5</v>
      </c>
      <c r="V546">
        <f>IFERROR(INDEX(_DATA_Assessment_Model!$W$5:$W$884,MATCH($E546,_DATA_Assessment_Model!$A$5:$A$884,0)),"")</f>
        <v>4</v>
      </c>
      <c r="W546">
        <f>IFERROR(INDEX(_DATA_Assessment_Model!$X$5:$X$884,MATCH($E546,_DATA_Assessment_Model!$A$5:$A$884,0)),"")</f>
        <v>5</v>
      </c>
      <c r="X546">
        <f>IFERROR(INDEX(_DATA_Assessment_Model!$Y$5:$Y$884,MATCH($E546,_DATA_Assessment_Model!$A$5:$A$884,0)),"")</f>
        <v>5</v>
      </c>
      <c r="Y546" t="s">
        <v>1157</v>
      </c>
      <c r="Z546" t="s">
        <v>4591</v>
      </c>
      <c r="AA546" t="s">
        <v>1160</v>
      </c>
      <c r="AB546">
        <f>IFERROR(INDEX(_DATA_Assessment_Model!$U$5:$U$884,MATCH($E546,_DATA_Assessment_Model!$A$5:$A$884,0)),"")</f>
        <v>0</v>
      </c>
      <c r="AF546" t="s">
        <v>1159</v>
      </c>
      <c r="AO546">
        <f>IF($B546="Yes",IF(IFERROR(INDEX(_ENGINE_Crisis!$F$501:$F$517,MATCH($C546,_ENGINE_Crisis!$A$501:$A$517,0)),1)=0,1,IFERROR(INDEX(_ENGINE_Crisis!$F$501:$F$517,MATCH($C546,_ENGINE_Crisis!$A$501:$A$517,0)),1)),"")</f>
        <v>1</v>
      </c>
      <c r="AP546">
        <f t="shared" si="37"/>
        <v>16.2</v>
      </c>
      <c r="AQ546">
        <f t="shared" si="38"/>
        <v>1.6</v>
      </c>
      <c r="AR546" t="str">
        <f>IFERROR(INDEX(_ENGINE_Crisis!$E$41:$E$700,MATCH('Resilience &amp; Risk Scenario'!$B$6&amp;"|"&amp;$C546,_ENGINE_Crisis!$I$41:$I$700,0)),"")</f>
        <v/>
      </c>
      <c r="AS546" t="str">
        <f>IFERROR(INDEX(_ENGINE_Crisis!$G$41:$G$700,MATCH('Resilience &amp; Risk Scenario'!$B$6&amp;"|"&amp;$C546,_ENGINE_Crisis!$I$41:$I$700,0)),"")</f>
        <v/>
      </c>
      <c r="AT546" t="str">
        <f>IFERROR(INDEX(_ENGINE_Initiatives!$A$5:$A$532,MATCH(1,INDEX((_ENGINE_Initiatives!$B$5:$B$532=$C546)*(_ENGINE_Initiatives!$C$5:$C$532=$D546),0),0)),"")</f>
        <v>INI-008</v>
      </c>
      <c r="AU546" t="str">
        <f>IFERROR(INDEX(_ENGINE_Initiatives!$F$5:$F$532,MATCH(1,INDEX((_ENGINE_Initiatives!$B$5:$B$532=$C546)*(_ENGINE_Initiatives!$C$5:$C$532=$D546),0),0)),"")</f>
        <v>Implement crisis governance, roles and escalation model</v>
      </c>
      <c r="AV546">
        <f>IFERROR(INDEX(_ENGINE_Initiatives!$AC$5:$AC$532,MATCH(1,INDEX((_ENGINE_Initiatives!$B$5:$B$532=$C546)*(_ENGINE_Initiatives!$C$5:$C$532=$D546),0),0)),"")</f>
        <v>2.62</v>
      </c>
      <c r="AW546" t="str">
        <f>IFERROR(INDEX(_ENGINE_Initiatives!$AE$5:$AE$532,MATCH(1,INDEX((_ENGINE_Initiatives!$B$5:$B$532=$C546)*(_ENGINE_Initiatives!$C$5:$C$532=$D546),0),0)),"")</f>
        <v>0-90 days</v>
      </c>
      <c r="AX546">
        <f>IF($B546="Yes",IFERROR((IF(SUMIFS(_REF_Model_Content!$E$1:$E$613,_REF_Model_Content!$A$1:$A$613,PV_Canonical_Industry,_REF_Model_Content!$B$1:$B$613,$C546)=0,1,SUMIFS(_REF_Model_Content!$E$1:$E$613,_REF_Model_Content!$A$1:$A$613,PV_Canonical_Industry,_REF_Model_Content!$B$1:$B$613,$C546))*IFERROR($BU546,1)),1),"")</f>
        <v>1</v>
      </c>
      <c r="AY546">
        <f t="shared" si="39"/>
        <v>16.2</v>
      </c>
      <c r="AZ546">
        <f t="shared" si="40"/>
        <v>1.6</v>
      </c>
      <c r="BB546" t="str">
        <f>IF($H546="","",IFERROR(INDEX(_ENGINE_Risk!$AE$5:$AE$499,MATCH($E546,_ENGINE_Risk!$A$5:$A$499,0)),"Medium"))</f>
        <v>Medium</v>
      </c>
      <c r="BC546">
        <f t="shared" si="41"/>
        <v>1</v>
      </c>
      <c r="BD546">
        <f t="shared" si="42"/>
        <v>1.6</v>
      </c>
      <c r="BF546">
        <f>IF(OR($H546="",$J546=""),"",IFERROR(VLOOKUP(ROUND($J546,0),_CONFIG_Model_Settings!$D$154:$E$158,2,0),""))</f>
        <v>0.5</v>
      </c>
      <c r="BG546">
        <f>IFERROR(IF(OR($H546="",$K546=""),"",ROUND('Company Profile'!$B$113*INDEX(_CONFIG_Model_Settings!$H$154:$H$158,MATCH(ROUND($K546,0),_CONFIG_Model_Settings!$G$154:$G$158,0)),0)),0)</f>
        <v>1875</v>
      </c>
      <c r="BH546">
        <f t="shared" si="43"/>
        <v>937.5</v>
      </c>
      <c r="BI546">
        <f t="shared" si="44"/>
        <v>937.5</v>
      </c>
      <c r="BJ546">
        <f>IF($E546="","",IFERROR(VLOOKUP($C546,_CONFIG_Risk_Calibration!$A$5:$H$21,2,FALSE),3))</f>
        <v>3</v>
      </c>
      <c r="BK546">
        <f>IF($E546="","",IFERROR(VLOOKUP($C546,_CONFIG_Risk_Calibration!$A$5:$H$21,3,FALSE),0))</f>
        <v>0</v>
      </c>
      <c r="BL546">
        <f>IF($E546="","",IFERROR(VLOOKUP($C546,_CONFIG_Risk_Calibration!$A$5:$H$21,4,FALSE),3))</f>
        <v>3</v>
      </c>
      <c r="BM546">
        <f>IF($E546="","",IFERROR(VLOOKUP($C546,_CONFIG_Risk_Calibration!$A$5:$H$21,5,FALSE),3))</f>
        <v>4</v>
      </c>
      <c r="BN546" t="str">
        <f>IF($E546="","",IFERROR(VLOOKUP($C546,_CONFIG_Risk_Calibration!$A$5:$H$21,6,FALSE),"No"))</f>
        <v>Yes</v>
      </c>
      <c r="BO546">
        <f>IF($E546="","",IFERROR(VLOOKUP($C546,_CONFIG_Risk_Calibration!$A$5:$H$21,7,FALSE),1))</f>
        <v>4</v>
      </c>
      <c r="BP546">
        <f>IF($H546="","",MAX(1,MIN(5,((6-$H546)*0.45)+($BJ546*0.2)+('Resilience &amp; Risk Scenario'!$B$7*0.15)+($BK546*0.1)+($BL546*0.05)+(IF($BB546="Fast",5,IF($BB546="Slow",1,3))*0.05))))</f>
        <v>3.6</v>
      </c>
      <c r="BQ546">
        <f t="shared" si="45"/>
        <v>4.5</v>
      </c>
      <c r="BR546">
        <f t="shared" si="46"/>
        <v>16.2</v>
      </c>
      <c r="BS546">
        <f t="shared" si="47"/>
        <v>17.82</v>
      </c>
      <c r="BT546" t="str">
        <f>IFERROR(INDEX(_REF_Capability_Bridge!$D:$D,MATCH($C546&amp;"|"&amp;$D546,_REF_Capability_Bridge!$J:$J,0)),IFERROR(INDEX(_REF_Capability_Bridge!$D:$D,MATCH($C546&amp;"|",_REF_Capability_Bridge!$J:$J,0)),"CAP_GENERIC"))</f>
        <v>CAP_INCIDENT_RESPONSE</v>
      </c>
      <c r="BU546">
        <f>IFERROR(IFERROR(INDEX(_ENGINE_Relevance!$L:$L,MATCH($BT546,_ENGINE_Relevance!$B:$B,0)),1),1)</f>
        <v>1</v>
      </c>
      <c r="BV546" t="str">
        <f>IFERROR(INDEX(_REF_Capability_Bridge!$A:$A,MATCH($C546&amp;"|"&amp;$D546,_REF_Capability_Bridge!$J:$J,0)),IFERROR(INDEX(_REF_Capability_Bridge!$A:$A,MATCH($C546&amp;"|",_REF_Capability_Bridge!$J:$J,0)),"No bridge"))</f>
        <v>BRG-035</v>
      </c>
      <c r="BW546" t="str">
        <f t="shared" si="48"/>
        <v>Capability relevance neutral</v>
      </c>
      <c r="BX546" t="str">
        <f t="shared" si="49"/>
        <v>Initial / absent</v>
      </c>
      <c r="BY546" t="str">
        <f>IF($E546="","",IFERROR(INDEX(_REF_Treatment_Library!$A$2:$A$296,MATCH(1,INDEX((_REF_Treatment_Library!$B$2:$B$296=$BT546)*(_REF_Treatment_Library!$C$2:$C$296=PV_Canonical_Industry)*(_REF_Treatment_Library!$E$2:$E$296&lt;=N($H546))*(_REF_Treatment_Library!$F$2:$F$296&gt;=N($H546))*(_REF_Treatment_Library!$O$2:$O$296="Yes"),0),0)),IFERROR(INDEX(_REF_Treatment_Library!$A$2:$A$296,MATCH(1,INDEX((_REF_Treatment_Library!$B$2:$B$296=$BT546)*(_REF_Treatment_Library!$C$2:$C$296="All")*(_REF_Treatment_Library!$E$2:$E$296&lt;=N($H546))*(_REF_Treatment_Library!$F$2:$F$296&gt;=N($H546))*(_REF_Treatment_Library!$O$2:$O$296="Yes"),0),0)),"")))</f>
        <v>TRT-INCIDENT_RESPONSE-INITIAL</v>
      </c>
      <c r="BZ546" t="str">
        <f>IF($BY546="","",IFERROR(INDEX(_REF_Treatment_Library!$H$2:$H$296,MATCH($BY546,_REF_Treatment_Library!$A$2:$A$296,0)),""))</f>
        <v>Establish</v>
      </c>
      <c r="CA546" t="str">
        <f>IF($BY546="","",IFERROR(INDEX(_REF_Treatment_Library!$I$2:$I$296,MATCH($BY546,_REF_Treatment_Library!$A$2:$A$296,0)),""))</f>
        <v>Establish baseline controls for Incident response</v>
      </c>
      <c r="CB546" t="str">
        <f>IF($BY546="","",IFERROR(INDEX(_REF_Treatment_Library!$K$2:$K$296,MATCH($BY546,_REF_Treatment_Library!$A$2:$A$296,0)),""))</f>
        <v>Named owner, baseline process, minimum control checklist, first evidence package</v>
      </c>
      <c r="CC546" t="str">
        <f>IF($BY546="","",IFERROR(INDEX(_REF_Treatment_Library!$L$2:$L$296,MATCH($BY546,_REF_Treatment_Library!$A$2:$A$296,0)),""))</f>
        <v>Owner assigned; baseline evidence coverage; open critical gaps</v>
      </c>
      <c r="CD546" t="str">
        <f t="shared" si="50"/>
        <v>Treatment by capability=CAP_INCIDENT_RESPONSE; band=Initial / absent; score=0.0; treatment=Establish</v>
      </c>
      <c r="CE546" t="str">
        <f>IF($E546="","",IFERROR(INDEX(_REF_Industry_Wording!$A$2:$A$70,MATCH(1,INDEX((_REF_Industry_Wording!$B$2:$B$70=$BT546)*(_REF_Industry_Wording!$C$2:$C$70=PV_Canonical_Industry)*(_REF_Industry_Wording!$K$2:$K$70="Yes"),0),0)),IFERROR(INDEX(_REF_Industry_Wording!$A$2:$A$70,MATCH(1,INDEX((_REF_Industry_Wording!$B$2:$B$70=$BT546)*(_REF_Industry_Wording!$C$2:$C$70="All")*(_REF_Industry_Wording!$K$2:$K$70="Yes"),0),0)),"")))</f>
        <v>IW-ALL-INCIDENT_RESPONSE</v>
      </c>
      <c r="CF546" t="str">
        <f>IF($CE546="","",IFERROR(INDEX(_REF_Industry_Wording!$E$2:$E$70,MATCH($CE546,_REF_Industry_Wording!$A$2:$A$70,0)),""))</f>
        <v>Incident response weakness</v>
      </c>
      <c r="CG546" t="str">
        <f>IF($CE546="","",IFERROR(INDEX(_REF_Industry_Wording!$F$2:$F$70,MATCH($CE546,_REF_Industry_Wording!$A$2:$A$70,0)),""))</f>
        <v>Strengthen Incident response</v>
      </c>
      <c r="CH546" t="str">
        <f>IF($CE546="","",IFERROR(INDEX(_REF_Industry_Wording!$G$2:$G$70,MATCH($CE546,_REF_Industry_Wording!$A$2:$A$70,0)),""))</f>
        <v>Strengthen Incident response using the selected maturity treatment, crisis scenario and evidence requirements.</v>
      </c>
      <c r="CI546" t="str">
        <f>IF($CE546="","",IFERROR(INDEX(_REF_Industry_Wording!$H$2:$H$70,MATCH($CE546,_REF_Industry_Wording!$A$2:$A$70,0)),""))</f>
        <v>Incident response</v>
      </c>
      <c r="CJ546">
        <f>IF($CE546="","",IFERROR(INDEX(_REF_Industry_Wording!$I$2:$I$70,MATCH($CE546,_REF_Industry_Wording!$A$2:$A$70,0)),""))</f>
        <v>0</v>
      </c>
      <c r="CK546" t="str">
        <f>IF($CE546="","",IFERROR(INDEX(_REF_Industry_Wording!$J$2:$J$70,MATCH($CE546,_REF_Industry_Wording!$A$2:$A$70,0)),""))</f>
        <v>Incident response</v>
      </c>
      <c r="CL546" t="str">
        <f t="shared" si="51"/>
        <v>Wording by industry=0; capability=CAP_INCIDENT_RESPONSE; risk label=Incident response weakness</v>
      </c>
      <c r="CM546" t="str">
        <f t="shared" si="52"/>
        <v>RISK-ONT-0047</v>
      </c>
      <c r="CN546" t="str">
        <f t="shared" si="53"/>
        <v>RISK-EVT-0047</v>
      </c>
      <c r="CO546" t="str">
        <f t="shared" si="54"/>
        <v>Governance Crisis|Crisis governance|GOVE-002|CAP_INCIDENT_RESPONSE</v>
      </c>
      <c r="CP546" t="str">
        <f t="shared" si="55"/>
        <v>Active</v>
      </c>
      <c r="CQ546" t="str">
        <f t="shared" si="56"/>
        <v>OK: capability-driven</v>
      </c>
      <c r="CR546" t="str">
        <f t="shared" si="57"/>
        <v>Risk ontology uses capability=CAP_INCIDENT_RESPONSE; bridge=BRG-035; treatment=TRT-INCIDENT_RESPONSE-INITIAL; wording=IW-ALL-INCIDENT_RESPONSE</v>
      </c>
      <c r="CS546" t="str">
        <f t="shared" si="58"/>
        <v>Yes</v>
      </c>
    </row>
    <row r="547" spans="1:97" ht="69.900000000000006" customHeight="1">
      <c r="A547">
        <f>IF(OR($B547&lt;&gt;"Yes",$BS547=""),"",SUMPRODUCT(($B$500:$B$923="Yes")*ISNUMBER($BS$500:$BS$923)*($BS$500:$BS$923&gt;$BS547))+COUNTIFS($B$500:$B547,"Yes",$BS$500:$BS547,$BS547))</f>
        <v>216</v>
      </c>
      <c r="B547" t="str">
        <f t="shared" si="21"/>
        <v>Yes</v>
      </c>
      <c r="C547" t="s">
        <v>1150</v>
      </c>
      <c r="D547" t="s">
        <v>1152</v>
      </c>
      <c r="E547" t="s">
        <v>1162</v>
      </c>
      <c r="F547" t="s">
        <v>3681</v>
      </c>
      <c r="G547" t="str">
        <f>IF($H547="","",IFERROR(INDEX(_ENGINE_Risk!$H$5:$M$499,MATCH($E547,_ENGINE_Risk!$A$5:$A$499,0),$H547+1),""))</f>
        <v>Severe risk: clear crisis decision rights for finance, people, operations, IT, legal, safety and communications is not reliably controlled. During All crisis types, the organization may face slow decisions, unclear escalation, duplicated actions and weak crisis command with limited visibility or accountability.</v>
      </c>
      <c r="H547">
        <f>IFERROR(VALUE(INDEX(_DATA_Assessment_Model!$H$5:$H$884,MATCH($E547,_DATA_Assessment_Model!$A$5:$A$884,0))),"")</f>
        <v>0</v>
      </c>
      <c r="I547" t="str">
        <f>IF($H547="","",IFERROR(INDEX(_DATA_Assessment_Model!$L$5:$L$884,MATCH($E547,_DATA_Assessment_Model!$A$5:$A$884,0)),IF($H547&lt;=1,"Critical",IF($H547=2,"High",IF($H547=3,"Medium",IF($H547=4,"Low","Resilient"))))))</f>
        <v>Critical</v>
      </c>
      <c r="J547">
        <f t="shared" si="22"/>
        <v>3.6</v>
      </c>
      <c r="K547">
        <f t="shared" si="23"/>
        <v>4.5</v>
      </c>
      <c r="L547">
        <f t="shared" si="24"/>
        <v>16.2</v>
      </c>
      <c r="M547">
        <f t="shared" si="25"/>
        <v>4</v>
      </c>
      <c r="N547">
        <f>IF($H547="","",IFERROR(INDEX(_ENGINE_Risk!$T$5:$Y$499,MATCH($E547,_ENGINE_Risk!$A$5:$A$499,0),$H547+1),""))</f>
        <v>3</v>
      </c>
      <c r="O547">
        <f t="shared" si="26"/>
        <v>4.666666666666667</v>
      </c>
      <c r="P547">
        <f t="shared" si="27"/>
        <v>5</v>
      </c>
      <c r="Q547">
        <f t="shared" si="28"/>
        <v>5</v>
      </c>
      <c r="R547">
        <f t="shared" si="29"/>
        <v>4.5</v>
      </c>
      <c r="S547">
        <f t="shared" si="30"/>
        <v>1.6</v>
      </c>
      <c r="T547" t="str">
        <f>IF($H547="","",IFERROR(INDEX(_ENGINE_Risk!$N$5:$S$499,MATCH($E547,_ENGINE_Risk!$A$5:$A$499,0),$H547+1),""))</f>
        <v>Create an immediate risk owner, minimum control baseline and fallback procedure for clear crisis decision rights for finance, people, operations, IT, legal, safety and communications. Add it to the crisis risk register and collect first evidence.</v>
      </c>
      <c r="U547">
        <f>IFERROR(INDEX(_DATA_Assessment_Model!$G$5:$G$884,MATCH($E547,_DATA_Assessment_Model!$A$5:$A$884,0)),"")</f>
        <v>5</v>
      </c>
      <c r="V547">
        <f>IFERROR(INDEX(_DATA_Assessment_Model!$W$5:$W$884,MATCH($E547,_DATA_Assessment_Model!$A$5:$A$884,0)),"")</f>
        <v>4</v>
      </c>
      <c r="W547">
        <f>IFERROR(INDEX(_DATA_Assessment_Model!$X$5:$X$884,MATCH($E547,_DATA_Assessment_Model!$A$5:$A$884,0)),"")</f>
        <v>5</v>
      </c>
      <c r="X547">
        <f>IFERROR(INDEX(_DATA_Assessment_Model!$Y$5:$Y$884,MATCH($E547,_DATA_Assessment_Model!$A$5:$A$884,0)),"")</f>
        <v>5</v>
      </c>
      <c r="Y547" t="s">
        <v>1157</v>
      </c>
      <c r="Z547" t="s">
        <v>4591</v>
      </c>
      <c r="AA547" t="s">
        <v>1164</v>
      </c>
      <c r="AB547">
        <f>IFERROR(INDEX(_DATA_Assessment_Model!$U$5:$U$884,MATCH($E547,_DATA_Assessment_Model!$A$5:$A$884,0)),"")</f>
        <v>0</v>
      </c>
      <c r="AF547" t="s">
        <v>1163</v>
      </c>
      <c r="AO547">
        <f>IF($B547="Yes",IF(IFERROR(INDEX(_ENGINE_Crisis!$F$501:$F$517,MATCH($C547,_ENGINE_Crisis!$A$501:$A$517,0)),1)=0,1,IFERROR(INDEX(_ENGINE_Crisis!$F$501:$F$517,MATCH($C547,_ENGINE_Crisis!$A$501:$A$517,0)),1)),"")</f>
        <v>1</v>
      </c>
      <c r="AP547">
        <f t="shared" si="37"/>
        <v>16.2</v>
      </c>
      <c r="AQ547">
        <f t="shared" si="38"/>
        <v>1.6</v>
      </c>
      <c r="AR547" t="str">
        <f>IFERROR(INDEX(_ENGINE_Crisis!$E$41:$E$700,MATCH('Resilience &amp; Risk Scenario'!$B$6&amp;"|"&amp;$C547,_ENGINE_Crisis!$I$41:$I$700,0)),"")</f>
        <v/>
      </c>
      <c r="AS547" t="str">
        <f>IFERROR(INDEX(_ENGINE_Crisis!$G$41:$G$700,MATCH('Resilience &amp; Risk Scenario'!$B$6&amp;"|"&amp;$C547,_ENGINE_Crisis!$I$41:$I$700,0)),"")</f>
        <v/>
      </c>
      <c r="AT547" t="str">
        <f>IFERROR(INDEX(_ENGINE_Initiatives!$A$5:$A$532,MATCH(1,INDEX((_ENGINE_Initiatives!$B$5:$B$532=$C547)*(_ENGINE_Initiatives!$C$5:$C$532=$D547),0),0)),"")</f>
        <v>INI-008</v>
      </c>
      <c r="AU547" t="str">
        <f>IFERROR(INDEX(_ENGINE_Initiatives!$F$5:$F$532,MATCH(1,INDEX((_ENGINE_Initiatives!$B$5:$B$532=$C547)*(_ENGINE_Initiatives!$C$5:$C$532=$D547),0),0)),"")</f>
        <v>Implement crisis governance, roles and escalation model</v>
      </c>
      <c r="AV547">
        <f>IFERROR(INDEX(_ENGINE_Initiatives!$AC$5:$AC$532,MATCH(1,INDEX((_ENGINE_Initiatives!$B$5:$B$532=$C547)*(_ENGINE_Initiatives!$C$5:$C$532=$D547),0),0)),"")</f>
        <v>2.62</v>
      </c>
      <c r="AW547" t="str">
        <f>IFERROR(INDEX(_ENGINE_Initiatives!$AE$5:$AE$532,MATCH(1,INDEX((_ENGINE_Initiatives!$B$5:$B$532=$C547)*(_ENGINE_Initiatives!$C$5:$C$532=$D547),0),0)),"")</f>
        <v>0-90 days</v>
      </c>
      <c r="AX547">
        <f>IF($B547="Yes",IFERROR((IF(SUMIFS(_REF_Model_Content!$E$1:$E$613,_REF_Model_Content!$A$1:$A$613,PV_Canonical_Industry,_REF_Model_Content!$B$1:$B$613,$C547)=0,1,SUMIFS(_REF_Model_Content!$E$1:$E$613,_REF_Model_Content!$A$1:$A$613,PV_Canonical_Industry,_REF_Model_Content!$B$1:$B$613,$C547))*IFERROR($BU547,1)),1),"")</f>
        <v>1</v>
      </c>
      <c r="AY547">
        <f t="shared" si="39"/>
        <v>16.2</v>
      </c>
      <c r="AZ547">
        <f t="shared" si="40"/>
        <v>1.6</v>
      </c>
      <c r="BB547" t="str">
        <f>IF($H547="","",IFERROR(INDEX(_ENGINE_Risk!$AE$5:$AE$499,MATCH($E547,_ENGINE_Risk!$A$5:$A$499,0)),"Medium"))</f>
        <v>Medium</v>
      </c>
      <c r="BC547">
        <f t="shared" si="41"/>
        <v>1</v>
      </c>
      <c r="BD547">
        <f t="shared" si="42"/>
        <v>1.6</v>
      </c>
      <c r="BF547">
        <f>IF(OR($H547="",$J547=""),"",IFERROR(VLOOKUP(ROUND($J547,0),_CONFIG_Model_Settings!$D$154:$E$158,2,0),""))</f>
        <v>0.5</v>
      </c>
      <c r="BG547">
        <f>IFERROR(IF(OR($H547="",$K547=""),"",ROUND('Company Profile'!$B$113*INDEX(_CONFIG_Model_Settings!$H$154:$H$158,MATCH(ROUND($K547,0),_CONFIG_Model_Settings!$G$154:$G$158,0)),0)),0)</f>
        <v>1875</v>
      </c>
      <c r="BH547">
        <f t="shared" si="43"/>
        <v>937.5</v>
      </c>
      <c r="BI547">
        <f t="shared" si="44"/>
        <v>937.5</v>
      </c>
      <c r="BJ547">
        <f>IF($E547="","",IFERROR(VLOOKUP($C547,_CONFIG_Risk_Calibration!$A$5:$H$21,2,FALSE),3))</f>
        <v>3</v>
      </c>
      <c r="BK547">
        <f>IF($E547="","",IFERROR(VLOOKUP($C547,_CONFIG_Risk_Calibration!$A$5:$H$21,3,FALSE),0))</f>
        <v>0</v>
      </c>
      <c r="BL547">
        <f>IF($E547="","",IFERROR(VLOOKUP($C547,_CONFIG_Risk_Calibration!$A$5:$H$21,4,FALSE),3))</f>
        <v>3</v>
      </c>
      <c r="BM547">
        <f>IF($E547="","",IFERROR(VLOOKUP($C547,_CONFIG_Risk_Calibration!$A$5:$H$21,5,FALSE),3))</f>
        <v>4</v>
      </c>
      <c r="BN547" t="str">
        <f>IF($E547="","",IFERROR(VLOOKUP($C547,_CONFIG_Risk_Calibration!$A$5:$H$21,6,FALSE),"No"))</f>
        <v>Yes</v>
      </c>
      <c r="BO547">
        <f>IF($E547="","",IFERROR(VLOOKUP($C547,_CONFIG_Risk_Calibration!$A$5:$H$21,7,FALSE),1))</f>
        <v>4</v>
      </c>
      <c r="BP547">
        <f>IF($H547="","",MAX(1,MIN(5,((6-$H547)*0.45)+($BJ547*0.2)+('Resilience &amp; Risk Scenario'!$B$7*0.15)+($BK547*0.1)+($BL547*0.05)+(IF($BB547="Fast",5,IF($BB547="Slow",1,3))*0.05))))</f>
        <v>3.6</v>
      </c>
      <c r="BQ547">
        <f t="shared" si="45"/>
        <v>4.5</v>
      </c>
      <c r="BR547">
        <f t="shared" si="46"/>
        <v>16.2</v>
      </c>
      <c r="BS547">
        <f t="shared" si="47"/>
        <v>17.82</v>
      </c>
      <c r="BT547" t="str">
        <f>IFERROR(INDEX(_REF_Capability_Bridge!$D:$D,MATCH($C547&amp;"|"&amp;$D547,_REF_Capability_Bridge!$J:$J,0)),IFERROR(INDEX(_REF_Capability_Bridge!$D:$D,MATCH($C547&amp;"|",_REF_Capability_Bridge!$J:$J,0)),"CAP_GENERIC"))</f>
        <v>CAP_INCIDENT_RESPONSE</v>
      </c>
      <c r="BU547">
        <f>IFERROR(IFERROR(INDEX(_ENGINE_Relevance!$L:$L,MATCH($BT547,_ENGINE_Relevance!$B:$B,0)),1),1)</f>
        <v>1</v>
      </c>
      <c r="BV547" t="str">
        <f>IFERROR(INDEX(_REF_Capability_Bridge!$A:$A,MATCH($C547&amp;"|"&amp;$D547,_REF_Capability_Bridge!$J:$J,0)),IFERROR(INDEX(_REF_Capability_Bridge!$A:$A,MATCH($C547&amp;"|",_REF_Capability_Bridge!$J:$J,0)),"No bridge"))</f>
        <v>BRG-035</v>
      </c>
      <c r="BW547" t="str">
        <f t="shared" si="48"/>
        <v>Capability relevance neutral</v>
      </c>
      <c r="BX547" t="str">
        <f t="shared" si="49"/>
        <v>Initial / absent</v>
      </c>
      <c r="BY547" t="str">
        <f>IF($E547="","",IFERROR(INDEX(_REF_Treatment_Library!$A$2:$A$296,MATCH(1,INDEX((_REF_Treatment_Library!$B$2:$B$296=$BT547)*(_REF_Treatment_Library!$C$2:$C$296=PV_Canonical_Industry)*(_REF_Treatment_Library!$E$2:$E$296&lt;=N($H547))*(_REF_Treatment_Library!$F$2:$F$296&gt;=N($H547))*(_REF_Treatment_Library!$O$2:$O$296="Yes"),0),0)),IFERROR(INDEX(_REF_Treatment_Library!$A$2:$A$296,MATCH(1,INDEX((_REF_Treatment_Library!$B$2:$B$296=$BT547)*(_REF_Treatment_Library!$C$2:$C$296="All")*(_REF_Treatment_Library!$E$2:$E$296&lt;=N($H547))*(_REF_Treatment_Library!$F$2:$F$296&gt;=N($H547))*(_REF_Treatment_Library!$O$2:$O$296="Yes"),0),0)),"")))</f>
        <v>TRT-INCIDENT_RESPONSE-INITIAL</v>
      </c>
      <c r="BZ547" t="str">
        <f>IF($BY547="","",IFERROR(INDEX(_REF_Treatment_Library!$H$2:$H$296,MATCH($BY547,_REF_Treatment_Library!$A$2:$A$296,0)),""))</f>
        <v>Establish</v>
      </c>
      <c r="CA547" t="str">
        <f>IF($BY547="","",IFERROR(INDEX(_REF_Treatment_Library!$I$2:$I$296,MATCH($BY547,_REF_Treatment_Library!$A$2:$A$296,0)),""))</f>
        <v>Establish baseline controls for Incident response</v>
      </c>
      <c r="CB547" t="str">
        <f>IF($BY547="","",IFERROR(INDEX(_REF_Treatment_Library!$K$2:$K$296,MATCH($BY547,_REF_Treatment_Library!$A$2:$A$296,0)),""))</f>
        <v>Named owner, baseline process, minimum control checklist, first evidence package</v>
      </c>
      <c r="CC547" t="str">
        <f>IF($BY547="","",IFERROR(INDEX(_REF_Treatment_Library!$L$2:$L$296,MATCH($BY547,_REF_Treatment_Library!$A$2:$A$296,0)),""))</f>
        <v>Owner assigned; baseline evidence coverage; open critical gaps</v>
      </c>
      <c r="CD547" t="str">
        <f t="shared" si="50"/>
        <v>Treatment by capability=CAP_INCIDENT_RESPONSE; band=Initial / absent; score=0.0; treatment=Establish</v>
      </c>
      <c r="CE547" t="str">
        <f>IF($E547="","",IFERROR(INDEX(_REF_Industry_Wording!$A$2:$A$70,MATCH(1,INDEX((_REF_Industry_Wording!$B$2:$B$70=$BT547)*(_REF_Industry_Wording!$C$2:$C$70=PV_Canonical_Industry)*(_REF_Industry_Wording!$K$2:$K$70="Yes"),0),0)),IFERROR(INDEX(_REF_Industry_Wording!$A$2:$A$70,MATCH(1,INDEX((_REF_Industry_Wording!$B$2:$B$70=$BT547)*(_REF_Industry_Wording!$C$2:$C$70="All")*(_REF_Industry_Wording!$K$2:$K$70="Yes"),0),0)),"")))</f>
        <v>IW-ALL-INCIDENT_RESPONSE</v>
      </c>
      <c r="CF547" t="str">
        <f>IF($CE547="","",IFERROR(INDEX(_REF_Industry_Wording!$E$2:$E$70,MATCH($CE547,_REF_Industry_Wording!$A$2:$A$70,0)),""))</f>
        <v>Incident response weakness</v>
      </c>
      <c r="CG547" t="str">
        <f>IF($CE547="","",IFERROR(INDEX(_REF_Industry_Wording!$F$2:$F$70,MATCH($CE547,_REF_Industry_Wording!$A$2:$A$70,0)),""))</f>
        <v>Strengthen Incident response</v>
      </c>
      <c r="CH547" t="str">
        <f>IF($CE547="","",IFERROR(INDEX(_REF_Industry_Wording!$G$2:$G$70,MATCH($CE547,_REF_Industry_Wording!$A$2:$A$70,0)),""))</f>
        <v>Strengthen Incident response using the selected maturity treatment, crisis scenario and evidence requirements.</v>
      </c>
      <c r="CI547" t="str">
        <f>IF($CE547="","",IFERROR(INDEX(_REF_Industry_Wording!$H$2:$H$70,MATCH($CE547,_REF_Industry_Wording!$A$2:$A$70,0)),""))</f>
        <v>Incident response</v>
      </c>
      <c r="CJ547">
        <f>IF($CE547="","",IFERROR(INDEX(_REF_Industry_Wording!$I$2:$I$70,MATCH($CE547,_REF_Industry_Wording!$A$2:$A$70,0)),""))</f>
        <v>0</v>
      </c>
      <c r="CK547" t="str">
        <f>IF($CE547="","",IFERROR(INDEX(_REF_Industry_Wording!$J$2:$J$70,MATCH($CE547,_REF_Industry_Wording!$A$2:$A$70,0)),""))</f>
        <v>Incident response</v>
      </c>
      <c r="CL547" t="str">
        <f t="shared" si="51"/>
        <v>Wording by industry=0; capability=CAP_INCIDENT_RESPONSE; risk label=Incident response weakness</v>
      </c>
      <c r="CM547" t="str">
        <f t="shared" si="52"/>
        <v>RISK-ONT-0048</v>
      </c>
      <c r="CN547" t="str">
        <f t="shared" si="53"/>
        <v>RISK-EVT-0048</v>
      </c>
      <c r="CO547" t="str">
        <f t="shared" si="54"/>
        <v>Governance Crisis|Crisis governance|GOVE-003|CAP_INCIDENT_RESPONSE</v>
      </c>
      <c r="CP547" t="str">
        <f t="shared" si="55"/>
        <v>Active</v>
      </c>
      <c r="CQ547" t="str">
        <f t="shared" si="56"/>
        <v>OK: capability-driven</v>
      </c>
      <c r="CR547" t="str">
        <f t="shared" si="57"/>
        <v>Risk ontology uses capability=CAP_INCIDENT_RESPONSE; bridge=BRG-035; treatment=TRT-INCIDENT_RESPONSE-INITIAL; wording=IW-ALL-INCIDENT_RESPONSE</v>
      </c>
      <c r="CS547" t="str">
        <f t="shared" si="58"/>
        <v>Yes</v>
      </c>
    </row>
    <row r="548" spans="1:97" ht="69.900000000000006" customHeight="1">
      <c r="A548">
        <f>IF(OR($B548&lt;&gt;"Yes",$BS548=""),"",SUMPRODUCT(($B$500:$B$923="Yes")*ISNUMBER($BS$500:$BS$923)*($BS$500:$BS$923&gt;$BS548))+COUNTIFS($B$500:$B548,"Yes",$BS$500:$BS548,$BS548))</f>
        <v>217</v>
      </c>
      <c r="B548" t="str">
        <f t="shared" si="21"/>
        <v>Yes</v>
      </c>
      <c r="C548" t="s">
        <v>1150</v>
      </c>
      <c r="D548" t="s">
        <v>1152</v>
      </c>
      <c r="E548" t="s">
        <v>1166</v>
      </c>
      <c r="F548" t="s">
        <v>3681</v>
      </c>
      <c r="G548" t="str">
        <f>IF($H548="","",IFERROR(INDEX(_ENGINE_Risk!$H$5:$M$499,MATCH($E548,_ENGINE_Risk!$A$5:$A$499,0),$H548+1),""))</f>
        <v>Severe risk: crisis cadence for situation reports, decisions, action owners, deadlines and follow-up is not reliably controlled. During All crisis types, the organization may face slow decisions, unclear escalation, duplicated actions and weak crisis command with limited visibility or accountability.</v>
      </c>
      <c r="H548">
        <f>IFERROR(VALUE(INDEX(_DATA_Assessment_Model!$H$5:$H$884,MATCH($E548,_DATA_Assessment_Model!$A$5:$A$884,0))),"")</f>
        <v>0</v>
      </c>
      <c r="I548" t="str">
        <f>IF($H548="","",IFERROR(INDEX(_DATA_Assessment_Model!$L$5:$L$884,MATCH($E548,_DATA_Assessment_Model!$A$5:$A$884,0)),IF($H548&lt;=1,"Critical",IF($H548=2,"High",IF($H548=3,"Medium",IF($H548=4,"Low","Resilient"))))))</f>
        <v>Critical</v>
      </c>
      <c r="J548">
        <f t="shared" si="22"/>
        <v>3.6</v>
      </c>
      <c r="K548">
        <f t="shared" si="23"/>
        <v>4.5</v>
      </c>
      <c r="L548">
        <f t="shared" si="24"/>
        <v>16.2</v>
      </c>
      <c r="M548">
        <f t="shared" si="25"/>
        <v>4</v>
      </c>
      <c r="N548">
        <f>IF($H548="","",IFERROR(INDEX(_ENGINE_Risk!$T$5:$Y$499,MATCH($E548,_ENGINE_Risk!$A$5:$A$499,0),$H548+1),""))</f>
        <v>3</v>
      </c>
      <c r="O548">
        <f t="shared" si="26"/>
        <v>4.666666666666667</v>
      </c>
      <c r="P548">
        <f t="shared" si="27"/>
        <v>5</v>
      </c>
      <c r="Q548">
        <f t="shared" si="28"/>
        <v>5</v>
      </c>
      <c r="R548">
        <f t="shared" si="29"/>
        <v>4.5</v>
      </c>
      <c r="S548">
        <f t="shared" si="30"/>
        <v>1.6</v>
      </c>
      <c r="T548" t="str">
        <f>IF($H548="","",IFERROR(INDEX(_ENGINE_Risk!$N$5:$S$499,MATCH($E548,_ENGINE_Risk!$A$5:$A$499,0),$H548+1),""))</f>
        <v>Create an immediate risk owner, minimum control baseline and fallback procedure for crisis cadence for situation reports, decisions, action owners, deadlines and follow-up. Add it to the crisis risk register and collect first evidence.</v>
      </c>
      <c r="U548">
        <f>IFERROR(INDEX(_DATA_Assessment_Model!$G$5:$G$884,MATCH($E548,_DATA_Assessment_Model!$A$5:$A$884,0)),"")</f>
        <v>5</v>
      </c>
      <c r="V548">
        <f>IFERROR(INDEX(_DATA_Assessment_Model!$W$5:$W$884,MATCH($E548,_DATA_Assessment_Model!$A$5:$A$884,0)),"")</f>
        <v>4</v>
      </c>
      <c r="W548">
        <f>IFERROR(INDEX(_DATA_Assessment_Model!$X$5:$X$884,MATCH($E548,_DATA_Assessment_Model!$A$5:$A$884,0)),"")</f>
        <v>5</v>
      </c>
      <c r="X548">
        <f>IFERROR(INDEX(_DATA_Assessment_Model!$Y$5:$Y$884,MATCH($E548,_DATA_Assessment_Model!$A$5:$A$884,0)),"")</f>
        <v>5</v>
      </c>
      <c r="Y548" t="s">
        <v>1157</v>
      </c>
      <c r="Z548" t="s">
        <v>4591</v>
      </c>
      <c r="AA548" t="s">
        <v>1168</v>
      </c>
      <c r="AB548">
        <f>IFERROR(INDEX(_DATA_Assessment_Model!$U$5:$U$884,MATCH($E548,_DATA_Assessment_Model!$A$5:$A$884,0)),"")</f>
        <v>0</v>
      </c>
      <c r="AF548" t="s">
        <v>1167</v>
      </c>
      <c r="AO548">
        <f>IF($B548="Yes",IF(IFERROR(INDEX(_ENGINE_Crisis!$F$501:$F$517,MATCH($C548,_ENGINE_Crisis!$A$501:$A$517,0)),1)=0,1,IFERROR(INDEX(_ENGINE_Crisis!$F$501:$F$517,MATCH($C548,_ENGINE_Crisis!$A$501:$A$517,0)),1)),"")</f>
        <v>1</v>
      </c>
      <c r="AP548">
        <f t="shared" si="37"/>
        <v>16.2</v>
      </c>
      <c r="AQ548">
        <f t="shared" si="38"/>
        <v>1.6</v>
      </c>
      <c r="AR548" t="str">
        <f>IFERROR(INDEX(_ENGINE_Crisis!$E$41:$E$700,MATCH('Resilience &amp; Risk Scenario'!$B$6&amp;"|"&amp;$C548,_ENGINE_Crisis!$I$41:$I$700,0)),"")</f>
        <v/>
      </c>
      <c r="AS548" t="str">
        <f>IFERROR(INDEX(_ENGINE_Crisis!$G$41:$G$700,MATCH('Resilience &amp; Risk Scenario'!$B$6&amp;"|"&amp;$C548,_ENGINE_Crisis!$I$41:$I$700,0)),"")</f>
        <v/>
      </c>
      <c r="AT548" t="str">
        <f>IFERROR(INDEX(_ENGINE_Initiatives!$A$5:$A$532,MATCH(1,INDEX((_ENGINE_Initiatives!$B$5:$B$532=$C548)*(_ENGINE_Initiatives!$C$5:$C$532=$D548),0),0)),"")</f>
        <v>INI-008</v>
      </c>
      <c r="AU548" t="str">
        <f>IFERROR(INDEX(_ENGINE_Initiatives!$F$5:$F$532,MATCH(1,INDEX((_ENGINE_Initiatives!$B$5:$B$532=$C548)*(_ENGINE_Initiatives!$C$5:$C$532=$D548),0),0)),"")</f>
        <v>Implement crisis governance, roles and escalation model</v>
      </c>
      <c r="AV548">
        <f>IFERROR(INDEX(_ENGINE_Initiatives!$AC$5:$AC$532,MATCH(1,INDEX((_ENGINE_Initiatives!$B$5:$B$532=$C548)*(_ENGINE_Initiatives!$C$5:$C$532=$D548),0),0)),"")</f>
        <v>2.62</v>
      </c>
      <c r="AW548" t="str">
        <f>IFERROR(INDEX(_ENGINE_Initiatives!$AE$5:$AE$532,MATCH(1,INDEX((_ENGINE_Initiatives!$B$5:$B$532=$C548)*(_ENGINE_Initiatives!$C$5:$C$532=$D548),0),0)),"")</f>
        <v>0-90 days</v>
      </c>
      <c r="AX548">
        <f>IF($B548="Yes",IFERROR((IF(SUMIFS(_REF_Model_Content!$E$1:$E$613,_REF_Model_Content!$A$1:$A$613,PV_Canonical_Industry,_REF_Model_Content!$B$1:$B$613,$C548)=0,1,SUMIFS(_REF_Model_Content!$E$1:$E$613,_REF_Model_Content!$A$1:$A$613,PV_Canonical_Industry,_REF_Model_Content!$B$1:$B$613,$C548))*IFERROR($BU548,1)),1),"")</f>
        <v>1</v>
      </c>
      <c r="AY548">
        <f t="shared" si="39"/>
        <v>16.2</v>
      </c>
      <c r="AZ548">
        <f t="shared" si="40"/>
        <v>1.6</v>
      </c>
      <c r="BB548" t="str">
        <f>IF($H548="","",IFERROR(INDEX(_ENGINE_Risk!$AE$5:$AE$499,MATCH($E548,_ENGINE_Risk!$A$5:$A$499,0)),"Medium"))</f>
        <v>Medium</v>
      </c>
      <c r="BC548">
        <f t="shared" si="41"/>
        <v>1</v>
      </c>
      <c r="BD548">
        <f t="shared" si="42"/>
        <v>1.6</v>
      </c>
      <c r="BF548">
        <f>IF(OR($H548="",$J548=""),"",IFERROR(VLOOKUP(ROUND($J548,0),_CONFIG_Model_Settings!$D$154:$E$158,2,0),""))</f>
        <v>0.5</v>
      </c>
      <c r="BG548">
        <f>IFERROR(IF(OR($H548="",$K548=""),"",ROUND('Company Profile'!$B$113*INDEX(_CONFIG_Model_Settings!$H$154:$H$158,MATCH(ROUND($K548,0),_CONFIG_Model_Settings!$G$154:$G$158,0)),0)),0)</f>
        <v>1875</v>
      </c>
      <c r="BH548">
        <f t="shared" si="43"/>
        <v>937.5</v>
      </c>
      <c r="BI548">
        <f t="shared" si="44"/>
        <v>937.5</v>
      </c>
      <c r="BJ548">
        <f>IF($E548="","",IFERROR(VLOOKUP($C548,_CONFIG_Risk_Calibration!$A$5:$H$21,2,FALSE),3))</f>
        <v>3</v>
      </c>
      <c r="BK548">
        <f>IF($E548="","",IFERROR(VLOOKUP($C548,_CONFIG_Risk_Calibration!$A$5:$H$21,3,FALSE),0))</f>
        <v>0</v>
      </c>
      <c r="BL548">
        <f>IF($E548="","",IFERROR(VLOOKUP($C548,_CONFIG_Risk_Calibration!$A$5:$H$21,4,FALSE),3))</f>
        <v>3</v>
      </c>
      <c r="BM548">
        <f>IF($E548="","",IFERROR(VLOOKUP($C548,_CONFIG_Risk_Calibration!$A$5:$H$21,5,FALSE),3))</f>
        <v>4</v>
      </c>
      <c r="BN548" t="str">
        <f>IF($E548="","",IFERROR(VLOOKUP($C548,_CONFIG_Risk_Calibration!$A$5:$H$21,6,FALSE),"No"))</f>
        <v>Yes</v>
      </c>
      <c r="BO548">
        <f>IF($E548="","",IFERROR(VLOOKUP($C548,_CONFIG_Risk_Calibration!$A$5:$H$21,7,FALSE),1))</f>
        <v>4</v>
      </c>
      <c r="BP548">
        <f>IF($H548="","",MAX(1,MIN(5,((6-$H548)*0.45)+($BJ548*0.2)+('Resilience &amp; Risk Scenario'!$B$7*0.15)+($BK548*0.1)+($BL548*0.05)+(IF($BB548="Fast",5,IF($BB548="Slow",1,3))*0.05))))</f>
        <v>3.6</v>
      </c>
      <c r="BQ548">
        <f t="shared" si="45"/>
        <v>4.5</v>
      </c>
      <c r="BR548">
        <f t="shared" si="46"/>
        <v>16.2</v>
      </c>
      <c r="BS548">
        <f t="shared" si="47"/>
        <v>17.82</v>
      </c>
      <c r="BT548" t="str">
        <f>IFERROR(INDEX(_REF_Capability_Bridge!$D:$D,MATCH($C548&amp;"|"&amp;$D548,_REF_Capability_Bridge!$J:$J,0)),IFERROR(INDEX(_REF_Capability_Bridge!$D:$D,MATCH($C548&amp;"|",_REF_Capability_Bridge!$J:$J,0)),"CAP_GENERIC"))</f>
        <v>CAP_INCIDENT_RESPONSE</v>
      </c>
      <c r="BU548">
        <f>IFERROR(IFERROR(INDEX(_ENGINE_Relevance!$L:$L,MATCH($BT548,_ENGINE_Relevance!$B:$B,0)),1),1)</f>
        <v>1</v>
      </c>
      <c r="BV548" t="str">
        <f>IFERROR(INDEX(_REF_Capability_Bridge!$A:$A,MATCH($C548&amp;"|"&amp;$D548,_REF_Capability_Bridge!$J:$J,0)),IFERROR(INDEX(_REF_Capability_Bridge!$A:$A,MATCH($C548&amp;"|",_REF_Capability_Bridge!$J:$J,0)),"No bridge"))</f>
        <v>BRG-035</v>
      </c>
      <c r="BW548" t="str">
        <f t="shared" si="48"/>
        <v>Capability relevance neutral</v>
      </c>
      <c r="BX548" t="str">
        <f t="shared" si="49"/>
        <v>Initial / absent</v>
      </c>
      <c r="BY548" t="str">
        <f>IF($E548="","",IFERROR(INDEX(_REF_Treatment_Library!$A$2:$A$296,MATCH(1,INDEX((_REF_Treatment_Library!$B$2:$B$296=$BT548)*(_REF_Treatment_Library!$C$2:$C$296=PV_Canonical_Industry)*(_REF_Treatment_Library!$E$2:$E$296&lt;=N($H548))*(_REF_Treatment_Library!$F$2:$F$296&gt;=N($H548))*(_REF_Treatment_Library!$O$2:$O$296="Yes"),0),0)),IFERROR(INDEX(_REF_Treatment_Library!$A$2:$A$296,MATCH(1,INDEX((_REF_Treatment_Library!$B$2:$B$296=$BT548)*(_REF_Treatment_Library!$C$2:$C$296="All")*(_REF_Treatment_Library!$E$2:$E$296&lt;=N($H548))*(_REF_Treatment_Library!$F$2:$F$296&gt;=N($H548))*(_REF_Treatment_Library!$O$2:$O$296="Yes"),0),0)),"")))</f>
        <v>TRT-INCIDENT_RESPONSE-INITIAL</v>
      </c>
      <c r="BZ548" t="str">
        <f>IF($BY548="","",IFERROR(INDEX(_REF_Treatment_Library!$H$2:$H$296,MATCH($BY548,_REF_Treatment_Library!$A$2:$A$296,0)),""))</f>
        <v>Establish</v>
      </c>
      <c r="CA548" t="str">
        <f>IF($BY548="","",IFERROR(INDEX(_REF_Treatment_Library!$I$2:$I$296,MATCH($BY548,_REF_Treatment_Library!$A$2:$A$296,0)),""))</f>
        <v>Establish baseline controls for Incident response</v>
      </c>
      <c r="CB548" t="str">
        <f>IF($BY548="","",IFERROR(INDEX(_REF_Treatment_Library!$K$2:$K$296,MATCH($BY548,_REF_Treatment_Library!$A$2:$A$296,0)),""))</f>
        <v>Named owner, baseline process, minimum control checklist, first evidence package</v>
      </c>
      <c r="CC548" t="str">
        <f>IF($BY548="","",IFERROR(INDEX(_REF_Treatment_Library!$L$2:$L$296,MATCH($BY548,_REF_Treatment_Library!$A$2:$A$296,0)),""))</f>
        <v>Owner assigned; baseline evidence coverage; open critical gaps</v>
      </c>
      <c r="CD548" t="str">
        <f t="shared" si="50"/>
        <v>Treatment by capability=CAP_INCIDENT_RESPONSE; band=Initial / absent; score=0.0; treatment=Establish</v>
      </c>
      <c r="CE548" t="str">
        <f>IF($E548="","",IFERROR(INDEX(_REF_Industry_Wording!$A$2:$A$70,MATCH(1,INDEX((_REF_Industry_Wording!$B$2:$B$70=$BT548)*(_REF_Industry_Wording!$C$2:$C$70=PV_Canonical_Industry)*(_REF_Industry_Wording!$K$2:$K$70="Yes"),0),0)),IFERROR(INDEX(_REF_Industry_Wording!$A$2:$A$70,MATCH(1,INDEX((_REF_Industry_Wording!$B$2:$B$70=$BT548)*(_REF_Industry_Wording!$C$2:$C$70="All")*(_REF_Industry_Wording!$K$2:$K$70="Yes"),0),0)),"")))</f>
        <v>IW-ALL-INCIDENT_RESPONSE</v>
      </c>
      <c r="CF548" t="str">
        <f>IF($CE548="","",IFERROR(INDEX(_REF_Industry_Wording!$E$2:$E$70,MATCH($CE548,_REF_Industry_Wording!$A$2:$A$70,0)),""))</f>
        <v>Incident response weakness</v>
      </c>
      <c r="CG548" t="str">
        <f>IF($CE548="","",IFERROR(INDEX(_REF_Industry_Wording!$F$2:$F$70,MATCH($CE548,_REF_Industry_Wording!$A$2:$A$70,0)),""))</f>
        <v>Strengthen Incident response</v>
      </c>
      <c r="CH548" t="str">
        <f>IF($CE548="","",IFERROR(INDEX(_REF_Industry_Wording!$G$2:$G$70,MATCH($CE548,_REF_Industry_Wording!$A$2:$A$70,0)),""))</f>
        <v>Strengthen Incident response using the selected maturity treatment, crisis scenario and evidence requirements.</v>
      </c>
      <c r="CI548" t="str">
        <f>IF($CE548="","",IFERROR(INDEX(_REF_Industry_Wording!$H$2:$H$70,MATCH($CE548,_REF_Industry_Wording!$A$2:$A$70,0)),""))</f>
        <v>Incident response</v>
      </c>
      <c r="CJ548">
        <f>IF($CE548="","",IFERROR(INDEX(_REF_Industry_Wording!$I$2:$I$70,MATCH($CE548,_REF_Industry_Wording!$A$2:$A$70,0)),""))</f>
        <v>0</v>
      </c>
      <c r="CK548" t="str">
        <f>IF($CE548="","",IFERROR(INDEX(_REF_Industry_Wording!$J$2:$J$70,MATCH($CE548,_REF_Industry_Wording!$A$2:$A$70,0)),""))</f>
        <v>Incident response</v>
      </c>
      <c r="CL548" t="str">
        <f t="shared" si="51"/>
        <v>Wording by industry=0; capability=CAP_INCIDENT_RESPONSE; risk label=Incident response weakness</v>
      </c>
      <c r="CM548" t="str">
        <f t="shared" si="52"/>
        <v>RISK-ONT-0049</v>
      </c>
      <c r="CN548" t="str">
        <f t="shared" si="53"/>
        <v>RISK-EVT-0049</v>
      </c>
      <c r="CO548" t="str">
        <f t="shared" si="54"/>
        <v>Governance Crisis|Crisis governance|GOVE-004|CAP_INCIDENT_RESPONSE</v>
      </c>
      <c r="CP548" t="str">
        <f t="shared" si="55"/>
        <v>Active</v>
      </c>
      <c r="CQ548" t="str">
        <f t="shared" si="56"/>
        <v>OK: capability-driven</v>
      </c>
      <c r="CR548" t="str">
        <f t="shared" si="57"/>
        <v>Risk ontology uses capability=CAP_INCIDENT_RESPONSE; bridge=BRG-035; treatment=TRT-INCIDENT_RESPONSE-INITIAL; wording=IW-ALL-INCIDENT_RESPONSE</v>
      </c>
      <c r="CS548" t="str">
        <f t="shared" si="58"/>
        <v>Yes</v>
      </c>
    </row>
    <row r="549" spans="1:97" ht="69.900000000000006" customHeight="1">
      <c r="A549">
        <f>IF(OR($B549&lt;&gt;"Yes",$BS549=""),"",SUMPRODUCT(($B$500:$B$923="Yes")*ISNUMBER($BS$500:$BS$923)*($BS$500:$BS$923&gt;$BS549))+COUNTIFS($B$500:$B549,"Yes",$BS$500:$BS549,$BS549))</f>
        <v>218</v>
      </c>
      <c r="B549" t="str">
        <f t="shared" si="21"/>
        <v>Yes</v>
      </c>
      <c r="C549" t="s">
        <v>1150</v>
      </c>
      <c r="D549" t="s">
        <v>1152</v>
      </c>
      <c r="E549" t="s">
        <v>1169</v>
      </c>
      <c r="F549" t="s">
        <v>3681</v>
      </c>
      <c r="G549" t="str">
        <f>IF($H549="","",IFERROR(INDEX(_ENGINE_Risk!$H$5:$M$499,MATCH($E549,_ENGINE_Risk!$A$5:$A$499,0),$H549+1),""))</f>
        <v>Severe risk: board or owner-level oversight of resilience, continuity and enterprise risk is not reliably controlled. During All crisis types, the organization may face slow decisions, unclear escalation, duplicated actions and weak crisis command with limited visibility or accountability.</v>
      </c>
      <c r="H549">
        <f>IFERROR(VALUE(INDEX(_DATA_Assessment_Model!$H$5:$H$884,MATCH($E549,_DATA_Assessment_Model!$A$5:$A$884,0))),"")</f>
        <v>0</v>
      </c>
      <c r="I549" t="str">
        <f>IF($H549="","",IFERROR(INDEX(_DATA_Assessment_Model!$L$5:$L$884,MATCH($E549,_DATA_Assessment_Model!$A$5:$A$884,0)),IF($H549&lt;=1,"Critical",IF($H549=2,"High",IF($H549=3,"Medium",IF($H549=4,"Low","Resilient"))))))</f>
        <v>Critical</v>
      </c>
      <c r="J549">
        <f t="shared" si="22"/>
        <v>3.6</v>
      </c>
      <c r="K549">
        <f t="shared" si="23"/>
        <v>4.5</v>
      </c>
      <c r="L549">
        <f t="shared" si="24"/>
        <v>16.2</v>
      </c>
      <c r="M549">
        <f t="shared" si="25"/>
        <v>4</v>
      </c>
      <c r="N549">
        <f>IF($H549="","",IFERROR(INDEX(_ENGINE_Risk!$T$5:$Y$499,MATCH($E549,_ENGINE_Risk!$A$5:$A$499,0),$H549+1),""))</f>
        <v>3</v>
      </c>
      <c r="O549">
        <f t="shared" si="26"/>
        <v>4.666666666666667</v>
      </c>
      <c r="P549">
        <f t="shared" si="27"/>
        <v>5</v>
      </c>
      <c r="Q549">
        <f t="shared" si="28"/>
        <v>5</v>
      </c>
      <c r="R549">
        <f t="shared" si="29"/>
        <v>4.5</v>
      </c>
      <c r="S549">
        <f t="shared" si="30"/>
        <v>1.6</v>
      </c>
      <c r="T549" t="str">
        <f>IF($H549="","",IFERROR(INDEX(_ENGINE_Risk!$N$5:$S$499,MATCH($E549,_ENGINE_Risk!$A$5:$A$499,0),$H549+1),""))</f>
        <v>Create an immediate risk owner, minimum control baseline and fallback procedure for board or owner-level oversight of resilience, continuity and enterprise risk. Add it to the crisis risk register and collect first evidence.</v>
      </c>
      <c r="U549">
        <f>IFERROR(INDEX(_DATA_Assessment_Model!$G$5:$G$884,MATCH($E549,_DATA_Assessment_Model!$A$5:$A$884,0)),"")</f>
        <v>5</v>
      </c>
      <c r="V549">
        <f>IFERROR(INDEX(_DATA_Assessment_Model!$W$5:$W$884,MATCH($E549,_DATA_Assessment_Model!$A$5:$A$884,0)),"")</f>
        <v>4</v>
      </c>
      <c r="W549">
        <f>IFERROR(INDEX(_DATA_Assessment_Model!$X$5:$X$884,MATCH($E549,_DATA_Assessment_Model!$A$5:$A$884,0)),"")</f>
        <v>5</v>
      </c>
      <c r="X549">
        <f>IFERROR(INDEX(_DATA_Assessment_Model!$Y$5:$Y$884,MATCH($E549,_DATA_Assessment_Model!$A$5:$A$884,0)),"")</f>
        <v>5</v>
      </c>
      <c r="Y549" t="s">
        <v>1157</v>
      </c>
      <c r="Z549" t="s">
        <v>4591</v>
      </c>
      <c r="AA549" t="s">
        <v>1171</v>
      </c>
      <c r="AB549">
        <f>IFERROR(INDEX(_DATA_Assessment_Model!$U$5:$U$884,MATCH($E549,_DATA_Assessment_Model!$A$5:$A$884,0)),"")</f>
        <v>0</v>
      </c>
      <c r="AF549" t="s">
        <v>1170</v>
      </c>
      <c r="AO549">
        <f>IF($B549="Yes",IF(IFERROR(INDEX(_ENGINE_Crisis!$F$501:$F$517,MATCH($C549,_ENGINE_Crisis!$A$501:$A$517,0)),1)=0,1,IFERROR(INDEX(_ENGINE_Crisis!$F$501:$F$517,MATCH($C549,_ENGINE_Crisis!$A$501:$A$517,0)),1)),"")</f>
        <v>1</v>
      </c>
      <c r="AP549">
        <f t="shared" si="37"/>
        <v>16.2</v>
      </c>
      <c r="AQ549">
        <f t="shared" si="38"/>
        <v>1.6</v>
      </c>
      <c r="AR549" t="str">
        <f>IFERROR(INDEX(_ENGINE_Crisis!$E$41:$E$700,MATCH('Resilience &amp; Risk Scenario'!$B$6&amp;"|"&amp;$C549,_ENGINE_Crisis!$I$41:$I$700,0)),"")</f>
        <v/>
      </c>
      <c r="AS549" t="str">
        <f>IFERROR(INDEX(_ENGINE_Crisis!$G$41:$G$700,MATCH('Resilience &amp; Risk Scenario'!$B$6&amp;"|"&amp;$C549,_ENGINE_Crisis!$I$41:$I$700,0)),"")</f>
        <v/>
      </c>
      <c r="AT549" t="str">
        <f>IFERROR(INDEX(_ENGINE_Initiatives!$A$5:$A$532,MATCH(1,INDEX((_ENGINE_Initiatives!$B$5:$B$532=$C549)*(_ENGINE_Initiatives!$C$5:$C$532=$D549),0),0)),"")</f>
        <v>INI-008</v>
      </c>
      <c r="AU549" t="str">
        <f>IFERROR(INDEX(_ENGINE_Initiatives!$F$5:$F$532,MATCH(1,INDEX((_ENGINE_Initiatives!$B$5:$B$532=$C549)*(_ENGINE_Initiatives!$C$5:$C$532=$D549),0),0)),"")</f>
        <v>Implement crisis governance, roles and escalation model</v>
      </c>
      <c r="AV549">
        <f>IFERROR(INDEX(_ENGINE_Initiatives!$AC$5:$AC$532,MATCH(1,INDEX((_ENGINE_Initiatives!$B$5:$B$532=$C549)*(_ENGINE_Initiatives!$C$5:$C$532=$D549),0),0)),"")</f>
        <v>2.62</v>
      </c>
      <c r="AW549" t="str">
        <f>IFERROR(INDEX(_ENGINE_Initiatives!$AE$5:$AE$532,MATCH(1,INDEX((_ENGINE_Initiatives!$B$5:$B$532=$C549)*(_ENGINE_Initiatives!$C$5:$C$532=$D549),0),0)),"")</f>
        <v>0-90 days</v>
      </c>
      <c r="AX549">
        <f>IF($B549="Yes",IFERROR((IF(SUMIFS(_REF_Model_Content!$E$1:$E$613,_REF_Model_Content!$A$1:$A$613,PV_Canonical_Industry,_REF_Model_Content!$B$1:$B$613,$C549)=0,1,SUMIFS(_REF_Model_Content!$E$1:$E$613,_REF_Model_Content!$A$1:$A$613,PV_Canonical_Industry,_REF_Model_Content!$B$1:$B$613,$C549))*IFERROR($BU549,1)),1),"")</f>
        <v>1</v>
      </c>
      <c r="AY549">
        <f t="shared" si="39"/>
        <v>16.2</v>
      </c>
      <c r="AZ549">
        <f t="shared" si="40"/>
        <v>1.6</v>
      </c>
      <c r="BB549" t="str">
        <f>IF($H549="","",IFERROR(INDEX(_ENGINE_Risk!$AE$5:$AE$499,MATCH($E549,_ENGINE_Risk!$A$5:$A$499,0)),"Medium"))</f>
        <v>Medium</v>
      </c>
      <c r="BC549">
        <f t="shared" si="41"/>
        <v>1</v>
      </c>
      <c r="BD549">
        <f t="shared" si="42"/>
        <v>1.6</v>
      </c>
      <c r="BF549">
        <f>IF(OR($H549="",$J549=""),"",IFERROR(VLOOKUP(ROUND($J549,0),_CONFIG_Model_Settings!$D$154:$E$158,2,0),""))</f>
        <v>0.5</v>
      </c>
      <c r="BG549">
        <f>IFERROR(IF(OR($H549="",$K549=""),"",ROUND('Company Profile'!$B$113*INDEX(_CONFIG_Model_Settings!$H$154:$H$158,MATCH(ROUND($K549,0),_CONFIG_Model_Settings!$G$154:$G$158,0)),0)),0)</f>
        <v>1875</v>
      </c>
      <c r="BH549">
        <f t="shared" si="43"/>
        <v>937.5</v>
      </c>
      <c r="BI549">
        <f t="shared" si="44"/>
        <v>937.5</v>
      </c>
      <c r="BJ549">
        <f>IF($E549="","",IFERROR(VLOOKUP($C549,_CONFIG_Risk_Calibration!$A$5:$H$21,2,FALSE),3))</f>
        <v>3</v>
      </c>
      <c r="BK549">
        <f>IF($E549="","",IFERROR(VLOOKUP($C549,_CONFIG_Risk_Calibration!$A$5:$H$21,3,FALSE),0))</f>
        <v>0</v>
      </c>
      <c r="BL549">
        <f>IF($E549="","",IFERROR(VLOOKUP($C549,_CONFIG_Risk_Calibration!$A$5:$H$21,4,FALSE),3))</f>
        <v>3</v>
      </c>
      <c r="BM549">
        <f>IF($E549="","",IFERROR(VLOOKUP($C549,_CONFIG_Risk_Calibration!$A$5:$H$21,5,FALSE),3))</f>
        <v>4</v>
      </c>
      <c r="BN549" t="str">
        <f>IF($E549="","",IFERROR(VLOOKUP($C549,_CONFIG_Risk_Calibration!$A$5:$H$21,6,FALSE),"No"))</f>
        <v>Yes</v>
      </c>
      <c r="BO549">
        <f>IF($E549="","",IFERROR(VLOOKUP($C549,_CONFIG_Risk_Calibration!$A$5:$H$21,7,FALSE),1))</f>
        <v>4</v>
      </c>
      <c r="BP549">
        <f>IF($H549="","",MAX(1,MIN(5,((6-$H549)*0.45)+($BJ549*0.2)+('Resilience &amp; Risk Scenario'!$B$7*0.15)+($BK549*0.1)+($BL549*0.05)+(IF($BB549="Fast",5,IF($BB549="Slow",1,3))*0.05))))</f>
        <v>3.6</v>
      </c>
      <c r="BQ549">
        <f t="shared" si="45"/>
        <v>4.5</v>
      </c>
      <c r="BR549">
        <f t="shared" si="46"/>
        <v>16.2</v>
      </c>
      <c r="BS549">
        <f t="shared" si="47"/>
        <v>17.82</v>
      </c>
      <c r="BT549" t="str">
        <f>IFERROR(INDEX(_REF_Capability_Bridge!$D:$D,MATCH($C549&amp;"|"&amp;$D549,_REF_Capability_Bridge!$J:$J,0)),IFERROR(INDEX(_REF_Capability_Bridge!$D:$D,MATCH($C549&amp;"|",_REF_Capability_Bridge!$J:$J,0)),"CAP_GENERIC"))</f>
        <v>CAP_INCIDENT_RESPONSE</v>
      </c>
      <c r="BU549">
        <f>IFERROR(IFERROR(INDEX(_ENGINE_Relevance!$L:$L,MATCH($BT549,_ENGINE_Relevance!$B:$B,0)),1),1)</f>
        <v>1</v>
      </c>
      <c r="BV549" t="str">
        <f>IFERROR(INDEX(_REF_Capability_Bridge!$A:$A,MATCH($C549&amp;"|"&amp;$D549,_REF_Capability_Bridge!$J:$J,0)),IFERROR(INDEX(_REF_Capability_Bridge!$A:$A,MATCH($C549&amp;"|",_REF_Capability_Bridge!$J:$J,0)),"No bridge"))</f>
        <v>BRG-035</v>
      </c>
      <c r="BW549" t="str">
        <f t="shared" si="48"/>
        <v>Capability relevance neutral</v>
      </c>
      <c r="BX549" t="str">
        <f t="shared" si="49"/>
        <v>Initial / absent</v>
      </c>
      <c r="BY549" t="str">
        <f>IF($E549="","",IFERROR(INDEX(_REF_Treatment_Library!$A$2:$A$296,MATCH(1,INDEX((_REF_Treatment_Library!$B$2:$B$296=$BT549)*(_REF_Treatment_Library!$C$2:$C$296=PV_Canonical_Industry)*(_REF_Treatment_Library!$E$2:$E$296&lt;=N($H549))*(_REF_Treatment_Library!$F$2:$F$296&gt;=N($H549))*(_REF_Treatment_Library!$O$2:$O$296="Yes"),0),0)),IFERROR(INDEX(_REF_Treatment_Library!$A$2:$A$296,MATCH(1,INDEX((_REF_Treatment_Library!$B$2:$B$296=$BT549)*(_REF_Treatment_Library!$C$2:$C$296="All")*(_REF_Treatment_Library!$E$2:$E$296&lt;=N($H549))*(_REF_Treatment_Library!$F$2:$F$296&gt;=N($H549))*(_REF_Treatment_Library!$O$2:$O$296="Yes"),0),0)),"")))</f>
        <v>TRT-INCIDENT_RESPONSE-INITIAL</v>
      </c>
      <c r="BZ549" t="str">
        <f>IF($BY549="","",IFERROR(INDEX(_REF_Treatment_Library!$H$2:$H$296,MATCH($BY549,_REF_Treatment_Library!$A$2:$A$296,0)),""))</f>
        <v>Establish</v>
      </c>
      <c r="CA549" t="str">
        <f>IF($BY549="","",IFERROR(INDEX(_REF_Treatment_Library!$I$2:$I$296,MATCH($BY549,_REF_Treatment_Library!$A$2:$A$296,0)),""))</f>
        <v>Establish baseline controls for Incident response</v>
      </c>
      <c r="CB549" t="str">
        <f>IF($BY549="","",IFERROR(INDEX(_REF_Treatment_Library!$K$2:$K$296,MATCH($BY549,_REF_Treatment_Library!$A$2:$A$296,0)),""))</f>
        <v>Named owner, baseline process, minimum control checklist, first evidence package</v>
      </c>
      <c r="CC549" t="str">
        <f>IF($BY549="","",IFERROR(INDEX(_REF_Treatment_Library!$L$2:$L$296,MATCH($BY549,_REF_Treatment_Library!$A$2:$A$296,0)),""))</f>
        <v>Owner assigned; baseline evidence coverage; open critical gaps</v>
      </c>
      <c r="CD549" t="str">
        <f t="shared" si="50"/>
        <v>Treatment by capability=CAP_INCIDENT_RESPONSE; band=Initial / absent; score=0.0; treatment=Establish</v>
      </c>
      <c r="CE549" t="str">
        <f>IF($E549="","",IFERROR(INDEX(_REF_Industry_Wording!$A$2:$A$70,MATCH(1,INDEX((_REF_Industry_Wording!$B$2:$B$70=$BT549)*(_REF_Industry_Wording!$C$2:$C$70=PV_Canonical_Industry)*(_REF_Industry_Wording!$K$2:$K$70="Yes"),0),0)),IFERROR(INDEX(_REF_Industry_Wording!$A$2:$A$70,MATCH(1,INDEX((_REF_Industry_Wording!$B$2:$B$70=$BT549)*(_REF_Industry_Wording!$C$2:$C$70="All")*(_REF_Industry_Wording!$K$2:$K$70="Yes"),0),0)),"")))</f>
        <v>IW-ALL-INCIDENT_RESPONSE</v>
      </c>
      <c r="CF549" t="str">
        <f>IF($CE549="","",IFERROR(INDEX(_REF_Industry_Wording!$E$2:$E$70,MATCH($CE549,_REF_Industry_Wording!$A$2:$A$70,0)),""))</f>
        <v>Incident response weakness</v>
      </c>
      <c r="CG549" t="str">
        <f>IF($CE549="","",IFERROR(INDEX(_REF_Industry_Wording!$F$2:$F$70,MATCH($CE549,_REF_Industry_Wording!$A$2:$A$70,0)),""))</f>
        <v>Strengthen Incident response</v>
      </c>
      <c r="CH549" t="str">
        <f>IF($CE549="","",IFERROR(INDEX(_REF_Industry_Wording!$G$2:$G$70,MATCH($CE549,_REF_Industry_Wording!$A$2:$A$70,0)),""))</f>
        <v>Strengthen Incident response using the selected maturity treatment, crisis scenario and evidence requirements.</v>
      </c>
      <c r="CI549" t="str">
        <f>IF($CE549="","",IFERROR(INDEX(_REF_Industry_Wording!$H$2:$H$70,MATCH($CE549,_REF_Industry_Wording!$A$2:$A$70,0)),""))</f>
        <v>Incident response</v>
      </c>
      <c r="CJ549">
        <f>IF($CE549="","",IFERROR(INDEX(_REF_Industry_Wording!$I$2:$I$70,MATCH($CE549,_REF_Industry_Wording!$A$2:$A$70,0)),""))</f>
        <v>0</v>
      </c>
      <c r="CK549" t="str">
        <f>IF($CE549="","",IFERROR(INDEX(_REF_Industry_Wording!$J$2:$J$70,MATCH($CE549,_REF_Industry_Wording!$A$2:$A$70,0)),""))</f>
        <v>Incident response</v>
      </c>
      <c r="CL549" t="str">
        <f t="shared" si="51"/>
        <v>Wording by industry=0; capability=CAP_INCIDENT_RESPONSE; risk label=Incident response weakness</v>
      </c>
      <c r="CM549" t="str">
        <f t="shared" si="52"/>
        <v>RISK-ONT-0050</v>
      </c>
      <c r="CN549" t="str">
        <f t="shared" si="53"/>
        <v>RISK-EVT-0050</v>
      </c>
      <c r="CO549" t="str">
        <f t="shared" si="54"/>
        <v>Governance Crisis|Crisis governance|GOVE-005|CAP_INCIDENT_RESPONSE</v>
      </c>
      <c r="CP549" t="str">
        <f t="shared" si="55"/>
        <v>Active</v>
      </c>
      <c r="CQ549" t="str">
        <f t="shared" si="56"/>
        <v>OK: capability-driven</v>
      </c>
      <c r="CR549" t="str">
        <f t="shared" si="57"/>
        <v>Risk ontology uses capability=CAP_INCIDENT_RESPONSE; bridge=BRG-035; treatment=TRT-INCIDENT_RESPONSE-INITIAL; wording=IW-ALL-INCIDENT_RESPONSE</v>
      </c>
      <c r="CS549" t="str">
        <f t="shared" si="58"/>
        <v>Yes</v>
      </c>
    </row>
    <row r="550" spans="1:97" ht="69.900000000000006" customHeight="1">
      <c r="A550">
        <f>IF(OR($B550&lt;&gt;"Yes",$BS550=""),"",SUMPRODUCT(($B$500:$B$923="Yes")*ISNUMBER($BS$500:$BS$923)*($BS$500:$BS$923&gt;$BS550))+COUNTIFS($B$500:$B550,"Yes",$BS$500:$BS550,$BS550))</f>
        <v>287</v>
      </c>
      <c r="B550" t="str">
        <f t="shared" si="21"/>
        <v>Yes</v>
      </c>
      <c r="C550" t="s">
        <v>1150</v>
      </c>
      <c r="D550" t="s">
        <v>1152</v>
      </c>
      <c r="E550" t="s">
        <v>1172</v>
      </c>
      <c r="F550" t="s">
        <v>3681</v>
      </c>
      <c r="G550" t="str">
        <f>IF($H550="","",IFERROR(INDEX(_ENGINE_Risk!$H$5:$M$499,MATCH($E550,_ENGINE_Risk!$A$5:$A$499,0),$H550+1),""))</f>
        <v>Severe risk: emergency spending authority and budget release rules is not reliably controlled. During All crisis types, the organization may face slow decisions, unclear escalation, duplicated actions and weak crisis command with limited visibility or accountability.</v>
      </c>
      <c r="H550">
        <f>IFERROR(VALUE(INDEX(_DATA_Assessment_Model!$H$5:$H$884,MATCH($E550,_DATA_Assessment_Model!$A$5:$A$884,0))),"")</f>
        <v>0</v>
      </c>
      <c r="I550" t="str">
        <f>IF($H550="","",IFERROR(INDEX(_DATA_Assessment_Model!$L$5:$L$884,MATCH($E550,_DATA_Assessment_Model!$A$5:$A$884,0)),IF($H550&lt;=1,"Critical",IF($H550=2,"High",IF($H550=3,"Medium",IF($H550=4,"Low","Resilient"))))))</f>
        <v>Critical</v>
      </c>
      <c r="J550">
        <f t="shared" si="22"/>
        <v>3.6</v>
      </c>
      <c r="K550">
        <f t="shared" si="23"/>
        <v>4.0999999999999996</v>
      </c>
      <c r="L550">
        <f t="shared" si="24"/>
        <v>14.76</v>
      </c>
      <c r="M550">
        <f t="shared" si="25"/>
        <v>3</v>
      </c>
      <c r="N550">
        <f>IF($H550="","",IFERROR(INDEX(_ENGINE_Risk!$T$5:$Y$499,MATCH($E550,_ENGINE_Risk!$A$5:$A$499,0),$H550+1),""))</f>
        <v>3</v>
      </c>
      <c r="O550">
        <f t="shared" si="26"/>
        <v>4</v>
      </c>
      <c r="P550">
        <f t="shared" si="27"/>
        <v>5</v>
      </c>
      <c r="Q550">
        <f t="shared" si="28"/>
        <v>5</v>
      </c>
      <c r="R550">
        <f t="shared" si="29"/>
        <v>4.5</v>
      </c>
      <c r="S550">
        <f t="shared" si="30"/>
        <v>1.54</v>
      </c>
      <c r="T550" t="str">
        <f>IF($H550="","",IFERROR(INDEX(_ENGINE_Risk!$N$5:$S$499,MATCH($E550,_ENGINE_Risk!$A$5:$A$499,0),$H550+1),""))</f>
        <v>Create an immediate risk owner, minimum control baseline and fallback procedure for emergency spending authority and budget release rules. Add it to the crisis risk register and collect first evidence.</v>
      </c>
      <c r="U550">
        <f>IFERROR(INDEX(_DATA_Assessment_Model!$G$5:$G$884,MATCH($E550,_DATA_Assessment_Model!$A$5:$A$884,0)),"")</f>
        <v>3</v>
      </c>
      <c r="V550">
        <f>IFERROR(INDEX(_DATA_Assessment_Model!$W$5:$W$884,MATCH($E550,_DATA_Assessment_Model!$A$5:$A$884,0)),"")</f>
        <v>4</v>
      </c>
      <c r="W550">
        <f>IFERROR(INDEX(_DATA_Assessment_Model!$X$5:$X$884,MATCH($E550,_DATA_Assessment_Model!$A$5:$A$884,0)),"")</f>
        <v>5</v>
      </c>
      <c r="X550">
        <f>IFERROR(INDEX(_DATA_Assessment_Model!$Y$5:$Y$884,MATCH($E550,_DATA_Assessment_Model!$A$5:$A$884,0)),"")</f>
        <v>5</v>
      </c>
      <c r="Y550" t="s">
        <v>1157</v>
      </c>
      <c r="Z550" t="s">
        <v>4591</v>
      </c>
      <c r="AA550" t="s">
        <v>1174</v>
      </c>
      <c r="AB550">
        <f>IFERROR(INDEX(_DATA_Assessment_Model!$U$5:$U$884,MATCH($E550,_DATA_Assessment_Model!$A$5:$A$884,0)),"")</f>
        <v>0</v>
      </c>
      <c r="AF550" t="s">
        <v>1173</v>
      </c>
      <c r="AO550">
        <f>IF($B550="Yes",IF(IFERROR(INDEX(_ENGINE_Crisis!$F$501:$F$517,MATCH($C550,_ENGINE_Crisis!$A$501:$A$517,0)),1)=0,1,IFERROR(INDEX(_ENGINE_Crisis!$F$501:$F$517,MATCH($C550,_ENGINE_Crisis!$A$501:$A$517,0)),1)),"")</f>
        <v>1</v>
      </c>
      <c r="AP550">
        <f t="shared" si="37"/>
        <v>14.8</v>
      </c>
      <c r="AQ550">
        <f t="shared" si="38"/>
        <v>1.54</v>
      </c>
      <c r="AR550" t="str">
        <f>IFERROR(INDEX(_ENGINE_Crisis!$E$41:$E$700,MATCH('Resilience &amp; Risk Scenario'!$B$6&amp;"|"&amp;$C550,_ENGINE_Crisis!$I$41:$I$700,0)),"")</f>
        <v/>
      </c>
      <c r="AS550" t="str">
        <f>IFERROR(INDEX(_ENGINE_Crisis!$G$41:$G$700,MATCH('Resilience &amp; Risk Scenario'!$B$6&amp;"|"&amp;$C550,_ENGINE_Crisis!$I$41:$I$700,0)),"")</f>
        <v/>
      </c>
      <c r="AT550" t="str">
        <f>IFERROR(INDEX(_ENGINE_Initiatives!$A$5:$A$532,MATCH(1,INDEX((_ENGINE_Initiatives!$B$5:$B$532=$C550)*(_ENGINE_Initiatives!$C$5:$C$532=$D550),0),0)),"")</f>
        <v>INI-008</v>
      </c>
      <c r="AU550" t="str">
        <f>IFERROR(INDEX(_ENGINE_Initiatives!$F$5:$F$532,MATCH(1,INDEX((_ENGINE_Initiatives!$B$5:$B$532=$C550)*(_ENGINE_Initiatives!$C$5:$C$532=$D550),0),0)),"")</f>
        <v>Implement crisis governance, roles and escalation model</v>
      </c>
      <c r="AV550">
        <f>IFERROR(INDEX(_ENGINE_Initiatives!$AC$5:$AC$532,MATCH(1,INDEX((_ENGINE_Initiatives!$B$5:$B$532=$C550)*(_ENGINE_Initiatives!$C$5:$C$532=$D550),0),0)),"")</f>
        <v>2.62</v>
      </c>
      <c r="AW550" t="str">
        <f>IFERROR(INDEX(_ENGINE_Initiatives!$AE$5:$AE$532,MATCH(1,INDEX((_ENGINE_Initiatives!$B$5:$B$532=$C550)*(_ENGINE_Initiatives!$C$5:$C$532=$D550),0),0)),"")</f>
        <v>0-90 days</v>
      </c>
      <c r="AX550">
        <f>IF($B550="Yes",IFERROR((IF(SUMIFS(_REF_Model_Content!$E$1:$E$613,_REF_Model_Content!$A$1:$A$613,PV_Canonical_Industry,_REF_Model_Content!$B$1:$B$613,$C550)=0,1,SUMIFS(_REF_Model_Content!$E$1:$E$613,_REF_Model_Content!$A$1:$A$613,PV_Canonical_Industry,_REF_Model_Content!$B$1:$B$613,$C550))*IFERROR($BU550,1)),1),"")</f>
        <v>1</v>
      </c>
      <c r="AY550">
        <f t="shared" si="39"/>
        <v>14.8</v>
      </c>
      <c r="AZ550">
        <f t="shared" si="40"/>
        <v>1.54</v>
      </c>
      <c r="BB550" t="str">
        <f>IF($H550="","",IFERROR(INDEX(_ENGINE_Risk!$AE$5:$AE$499,MATCH($E550,_ENGINE_Risk!$A$5:$A$499,0)),"Medium"))</f>
        <v>Medium</v>
      </c>
      <c r="BC550">
        <f t="shared" si="41"/>
        <v>1</v>
      </c>
      <c r="BD550">
        <f t="shared" si="42"/>
        <v>1.54</v>
      </c>
      <c r="BF550">
        <f>IF(OR($H550="",$J550=""),"",IFERROR(VLOOKUP(ROUND($J550,0),_CONFIG_Model_Settings!$D$154:$E$158,2,0),""))</f>
        <v>0.5</v>
      </c>
      <c r="BG550">
        <f>IFERROR(IF(OR($H550="",$K550=""),"",ROUND('Company Profile'!$B$113*INDEX(_CONFIG_Model_Settings!$H$154:$H$158,MATCH(ROUND($K550,0),_CONFIG_Model_Settings!$G$154:$G$158,0)),0)),0)</f>
        <v>875</v>
      </c>
      <c r="BH550">
        <f t="shared" si="43"/>
        <v>437.5</v>
      </c>
      <c r="BI550">
        <f t="shared" si="44"/>
        <v>437.5</v>
      </c>
      <c r="BJ550">
        <f>IF($E550="","",IFERROR(VLOOKUP($C550,_CONFIG_Risk_Calibration!$A$5:$H$21,2,FALSE),3))</f>
        <v>3</v>
      </c>
      <c r="BK550">
        <f>IF($E550="","",IFERROR(VLOOKUP($C550,_CONFIG_Risk_Calibration!$A$5:$H$21,3,FALSE),0))</f>
        <v>0</v>
      </c>
      <c r="BL550">
        <f>IF($E550="","",IFERROR(VLOOKUP($C550,_CONFIG_Risk_Calibration!$A$5:$H$21,4,FALSE),3))</f>
        <v>3</v>
      </c>
      <c r="BM550">
        <f>IF($E550="","",IFERROR(VLOOKUP($C550,_CONFIG_Risk_Calibration!$A$5:$H$21,5,FALSE),3))</f>
        <v>4</v>
      </c>
      <c r="BN550" t="str">
        <f>IF($E550="","",IFERROR(VLOOKUP($C550,_CONFIG_Risk_Calibration!$A$5:$H$21,6,FALSE),"No"))</f>
        <v>Yes</v>
      </c>
      <c r="BO550">
        <f>IF($E550="","",IFERROR(VLOOKUP($C550,_CONFIG_Risk_Calibration!$A$5:$H$21,7,FALSE),1))</f>
        <v>4</v>
      </c>
      <c r="BP550">
        <f>IF($H550="","",MAX(1,MIN(5,((6-$H550)*0.45)+($BJ550*0.2)+('Resilience &amp; Risk Scenario'!$B$7*0.15)+($BK550*0.1)+($BL550*0.05)+(IF($BB550="Fast",5,IF($BB550="Slow",1,3))*0.05))))</f>
        <v>3.6</v>
      </c>
      <c r="BQ550">
        <f t="shared" si="45"/>
        <v>4.0999999999999996</v>
      </c>
      <c r="BR550">
        <f t="shared" si="46"/>
        <v>14.76</v>
      </c>
      <c r="BS550">
        <f t="shared" si="47"/>
        <v>16.239999999999998</v>
      </c>
      <c r="BT550" t="str">
        <f>IFERROR(INDEX(_REF_Capability_Bridge!$D:$D,MATCH($C550&amp;"|"&amp;$D550,_REF_Capability_Bridge!$J:$J,0)),IFERROR(INDEX(_REF_Capability_Bridge!$D:$D,MATCH($C550&amp;"|",_REF_Capability_Bridge!$J:$J,0)),"CAP_GENERIC"))</f>
        <v>CAP_INCIDENT_RESPONSE</v>
      </c>
      <c r="BU550">
        <f>IFERROR(IFERROR(INDEX(_ENGINE_Relevance!$L:$L,MATCH($BT550,_ENGINE_Relevance!$B:$B,0)),1),1)</f>
        <v>1</v>
      </c>
      <c r="BV550" t="str">
        <f>IFERROR(INDEX(_REF_Capability_Bridge!$A:$A,MATCH($C550&amp;"|"&amp;$D550,_REF_Capability_Bridge!$J:$J,0)),IFERROR(INDEX(_REF_Capability_Bridge!$A:$A,MATCH($C550&amp;"|",_REF_Capability_Bridge!$J:$J,0)),"No bridge"))</f>
        <v>BRG-035</v>
      </c>
      <c r="BW550" t="str">
        <f t="shared" si="48"/>
        <v>Capability relevance neutral</v>
      </c>
      <c r="BX550" t="str">
        <f t="shared" si="49"/>
        <v>Initial / absent</v>
      </c>
      <c r="BY550" t="str">
        <f>IF($E550="","",IFERROR(INDEX(_REF_Treatment_Library!$A$2:$A$296,MATCH(1,INDEX((_REF_Treatment_Library!$B$2:$B$296=$BT550)*(_REF_Treatment_Library!$C$2:$C$296=PV_Canonical_Industry)*(_REF_Treatment_Library!$E$2:$E$296&lt;=N($H550))*(_REF_Treatment_Library!$F$2:$F$296&gt;=N($H550))*(_REF_Treatment_Library!$O$2:$O$296="Yes"),0),0)),IFERROR(INDEX(_REF_Treatment_Library!$A$2:$A$296,MATCH(1,INDEX((_REF_Treatment_Library!$B$2:$B$296=$BT550)*(_REF_Treatment_Library!$C$2:$C$296="All")*(_REF_Treatment_Library!$E$2:$E$296&lt;=N($H550))*(_REF_Treatment_Library!$F$2:$F$296&gt;=N($H550))*(_REF_Treatment_Library!$O$2:$O$296="Yes"),0),0)),"")))</f>
        <v>TRT-INCIDENT_RESPONSE-INITIAL</v>
      </c>
      <c r="BZ550" t="str">
        <f>IF($BY550="","",IFERROR(INDEX(_REF_Treatment_Library!$H$2:$H$296,MATCH($BY550,_REF_Treatment_Library!$A$2:$A$296,0)),""))</f>
        <v>Establish</v>
      </c>
      <c r="CA550" t="str">
        <f>IF($BY550="","",IFERROR(INDEX(_REF_Treatment_Library!$I$2:$I$296,MATCH($BY550,_REF_Treatment_Library!$A$2:$A$296,0)),""))</f>
        <v>Establish baseline controls for Incident response</v>
      </c>
      <c r="CB550" t="str">
        <f>IF($BY550="","",IFERROR(INDEX(_REF_Treatment_Library!$K$2:$K$296,MATCH($BY550,_REF_Treatment_Library!$A$2:$A$296,0)),""))</f>
        <v>Named owner, baseline process, minimum control checklist, first evidence package</v>
      </c>
      <c r="CC550" t="str">
        <f>IF($BY550="","",IFERROR(INDEX(_REF_Treatment_Library!$L$2:$L$296,MATCH($BY550,_REF_Treatment_Library!$A$2:$A$296,0)),""))</f>
        <v>Owner assigned; baseline evidence coverage; open critical gaps</v>
      </c>
      <c r="CD550" t="str">
        <f t="shared" si="50"/>
        <v>Treatment by capability=CAP_INCIDENT_RESPONSE; band=Initial / absent; score=0.0; treatment=Establish</v>
      </c>
      <c r="CE550" t="str">
        <f>IF($E550="","",IFERROR(INDEX(_REF_Industry_Wording!$A$2:$A$70,MATCH(1,INDEX((_REF_Industry_Wording!$B$2:$B$70=$BT550)*(_REF_Industry_Wording!$C$2:$C$70=PV_Canonical_Industry)*(_REF_Industry_Wording!$K$2:$K$70="Yes"),0),0)),IFERROR(INDEX(_REF_Industry_Wording!$A$2:$A$70,MATCH(1,INDEX((_REF_Industry_Wording!$B$2:$B$70=$BT550)*(_REF_Industry_Wording!$C$2:$C$70="All")*(_REF_Industry_Wording!$K$2:$K$70="Yes"),0),0)),"")))</f>
        <v>IW-ALL-INCIDENT_RESPONSE</v>
      </c>
      <c r="CF550" t="str">
        <f>IF($CE550="","",IFERROR(INDEX(_REF_Industry_Wording!$E$2:$E$70,MATCH($CE550,_REF_Industry_Wording!$A$2:$A$70,0)),""))</f>
        <v>Incident response weakness</v>
      </c>
      <c r="CG550" t="str">
        <f>IF($CE550="","",IFERROR(INDEX(_REF_Industry_Wording!$F$2:$F$70,MATCH($CE550,_REF_Industry_Wording!$A$2:$A$70,0)),""))</f>
        <v>Strengthen Incident response</v>
      </c>
      <c r="CH550" t="str">
        <f>IF($CE550="","",IFERROR(INDEX(_REF_Industry_Wording!$G$2:$G$70,MATCH($CE550,_REF_Industry_Wording!$A$2:$A$70,0)),""))</f>
        <v>Strengthen Incident response using the selected maturity treatment, crisis scenario and evidence requirements.</v>
      </c>
      <c r="CI550" t="str">
        <f>IF($CE550="","",IFERROR(INDEX(_REF_Industry_Wording!$H$2:$H$70,MATCH($CE550,_REF_Industry_Wording!$A$2:$A$70,0)),""))</f>
        <v>Incident response</v>
      </c>
      <c r="CJ550">
        <f>IF($CE550="","",IFERROR(INDEX(_REF_Industry_Wording!$I$2:$I$70,MATCH($CE550,_REF_Industry_Wording!$A$2:$A$70,0)),""))</f>
        <v>0</v>
      </c>
      <c r="CK550" t="str">
        <f>IF($CE550="","",IFERROR(INDEX(_REF_Industry_Wording!$J$2:$J$70,MATCH($CE550,_REF_Industry_Wording!$A$2:$A$70,0)),""))</f>
        <v>Incident response</v>
      </c>
      <c r="CL550" t="str">
        <f t="shared" si="51"/>
        <v>Wording by industry=0; capability=CAP_INCIDENT_RESPONSE; risk label=Incident response weakness</v>
      </c>
      <c r="CM550" t="str">
        <f t="shared" si="52"/>
        <v>RISK-ONT-0051</v>
      </c>
      <c r="CN550" t="str">
        <f t="shared" si="53"/>
        <v>RISK-EVT-0051</v>
      </c>
      <c r="CO550" t="str">
        <f t="shared" si="54"/>
        <v>Governance Crisis|Crisis governance|GOVE-006|CAP_INCIDENT_RESPONSE</v>
      </c>
      <c r="CP550" t="str">
        <f t="shared" si="55"/>
        <v>Active</v>
      </c>
      <c r="CQ550" t="str">
        <f t="shared" si="56"/>
        <v>OK: capability-driven</v>
      </c>
      <c r="CR550" t="str">
        <f t="shared" si="57"/>
        <v>Risk ontology uses capability=CAP_INCIDENT_RESPONSE; bridge=BRG-035; treatment=TRT-INCIDENT_RESPONSE-INITIAL; wording=IW-ALL-INCIDENT_RESPONSE</v>
      </c>
      <c r="CS550" t="str">
        <f t="shared" si="58"/>
        <v>Yes</v>
      </c>
    </row>
    <row r="551" spans="1:97" ht="69.900000000000006" customHeight="1">
      <c r="A551">
        <f>IF(OR($B551&lt;&gt;"Yes",$BS551=""),"",SUMPRODUCT(($B$500:$B$923="Yes")*ISNUMBER($BS$500:$BS$923)*($BS$500:$BS$923&gt;$BS551))+COUNTIFS($B$500:$B551,"Yes",$BS$500:$BS551,$BS551))</f>
        <v>219</v>
      </c>
      <c r="B551" t="str">
        <f t="shared" si="21"/>
        <v>Yes</v>
      </c>
      <c r="C551" t="s">
        <v>1150</v>
      </c>
      <c r="D551" t="s">
        <v>1161</v>
      </c>
      <c r="E551" t="s">
        <v>1181</v>
      </c>
      <c r="F551" t="s">
        <v>3681</v>
      </c>
      <c r="G551" t="str">
        <f>IF($H551="","",IFERROR(INDEX(_ENGINE_Risk!$H$5:$M$499,MATCH($E551,_ENGINE_Risk!$A$5:$A$499,0),$H551+1),""))</f>
        <v>Severe risk: enterprise risk register with owners, likelihood, impact, controls, triggers and residual risk is not reliably controlled. During All crisis types, the organization may face slow decisions, unclear escalation, duplicated actions and weak crisis command with limited visibility or accountability.</v>
      </c>
      <c r="H551">
        <f>IFERROR(VALUE(INDEX(_DATA_Assessment_Model!$H$5:$H$884,MATCH($E551,_DATA_Assessment_Model!$A$5:$A$884,0))),"")</f>
        <v>0</v>
      </c>
      <c r="I551" t="str">
        <f>IF($H551="","",IFERROR(INDEX(_DATA_Assessment_Model!$L$5:$L$884,MATCH($E551,_DATA_Assessment_Model!$A$5:$A$884,0)),IF($H551&lt;=1,"Critical",IF($H551=2,"High",IF($H551=3,"Medium",IF($H551=4,"Low","Resilient"))))))</f>
        <v>Critical</v>
      </c>
      <c r="J551">
        <f t="shared" si="22"/>
        <v>3.6</v>
      </c>
      <c r="K551">
        <f t="shared" si="23"/>
        <v>4.5</v>
      </c>
      <c r="L551">
        <f t="shared" si="24"/>
        <v>16.2</v>
      </c>
      <c r="M551">
        <f t="shared" si="25"/>
        <v>4</v>
      </c>
      <c r="N551">
        <f>IF($H551="","",IFERROR(INDEX(_ENGINE_Risk!$T$5:$Y$499,MATCH($E551,_ENGINE_Risk!$A$5:$A$499,0),$H551+1),""))</f>
        <v>3</v>
      </c>
      <c r="O551">
        <f t="shared" si="26"/>
        <v>4.666666666666667</v>
      </c>
      <c r="P551">
        <f t="shared" si="27"/>
        <v>5</v>
      </c>
      <c r="Q551">
        <f t="shared" si="28"/>
        <v>5</v>
      </c>
      <c r="R551">
        <f t="shared" si="29"/>
        <v>4.5</v>
      </c>
      <c r="S551">
        <f t="shared" si="30"/>
        <v>1.6</v>
      </c>
      <c r="T551" t="str">
        <f>IF($H551="","",IFERROR(INDEX(_ENGINE_Risk!$N$5:$S$499,MATCH($E551,_ENGINE_Risk!$A$5:$A$499,0),$H551+1),""))</f>
        <v>Create an immediate risk owner, minimum control baseline and fallback procedure for enterprise risk register with owners, likelihood, impact, controls, triggers and residual risk. Add it to the crisis risk register and collect first evidence.</v>
      </c>
      <c r="U551">
        <f>IFERROR(INDEX(_DATA_Assessment_Model!$G$5:$G$884,MATCH($E551,_DATA_Assessment_Model!$A$5:$A$884,0)),"")</f>
        <v>5</v>
      </c>
      <c r="V551">
        <f>IFERROR(INDEX(_DATA_Assessment_Model!$W$5:$W$884,MATCH($E551,_DATA_Assessment_Model!$A$5:$A$884,0)),"")</f>
        <v>4</v>
      </c>
      <c r="W551">
        <f>IFERROR(INDEX(_DATA_Assessment_Model!$X$5:$X$884,MATCH($E551,_DATA_Assessment_Model!$A$5:$A$884,0)),"")</f>
        <v>5</v>
      </c>
      <c r="X551">
        <f>IFERROR(INDEX(_DATA_Assessment_Model!$Y$5:$Y$884,MATCH($E551,_DATA_Assessment_Model!$A$5:$A$884,0)),"")</f>
        <v>5</v>
      </c>
      <c r="Y551" t="s">
        <v>1157</v>
      </c>
      <c r="Z551" t="s">
        <v>4591</v>
      </c>
      <c r="AA551" t="s">
        <v>1183</v>
      </c>
      <c r="AB551">
        <f>IFERROR(INDEX(_DATA_Assessment_Model!$U$5:$U$884,MATCH($E551,_DATA_Assessment_Model!$A$5:$A$884,0)),"")</f>
        <v>0</v>
      </c>
      <c r="AF551" t="s">
        <v>1182</v>
      </c>
      <c r="AO551">
        <f>IF($B551="Yes",IF(IFERROR(INDEX(_ENGINE_Crisis!$F$501:$F$517,MATCH($C551,_ENGINE_Crisis!$A$501:$A$517,0)),1)=0,1,IFERROR(INDEX(_ENGINE_Crisis!$F$501:$F$517,MATCH($C551,_ENGINE_Crisis!$A$501:$A$517,0)),1)),"")</f>
        <v>1</v>
      </c>
      <c r="AP551">
        <f t="shared" si="37"/>
        <v>16.2</v>
      </c>
      <c r="AQ551">
        <f t="shared" si="38"/>
        <v>1.6</v>
      </c>
      <c r="AR551" t="str">
        <f>IFERROR(INDEX(_ENGINE_Crisis!$E$41:$E$700,MATCH('Resilience &amp; Risk Scenario'!$B$6&amp;"|"&amp;$C551,_ENGINE_Crisis!$I$41:$I$700,0)),"")</f>
        <v/>
      </c>
      <c r="AS551" t="str">
        <f>IFERROR(INDEX(_ENGINE_Crisis!$G$41:$G$700,MATCH('Resilience &amp; Risk Scenario'!$B$6&amp;"|"&amp;$C551,_ENGINE_Crisis!$I$41:$I$700,0)),"")</f>
        <v/>
      </c>
      <c r="AT551" t="str">
        <f>IFERROR(INDEX(_ENGINE_Initiatives!$A$5:$A$532,MATCH(1,INDEX((_ENGINE_Initiatives!$B$5:$B$532=$C551)*(_ENGINE_Initiatives!$C$5:$C$532=$D551),0),0)),"")</f>
        <v>INI-009</v>
      </c>
      <c r="AU551" t="str">
        <f>IFERROR(INDEX(_ENGINE_Initiatives!$F$5:$F$532,MATCH(1,INDEX((_ENGINE_Initiatives!$B$5:$B$532=$C551)*(_ENGINE_Initiatives!$C$5:$C$532=$D551),0),0)),"")</f>
        <v>Build integrated risk, continuity and resilience control cycle</v>
      </c>
      <c r="AV551">
        <f>IFERROR(INDEX(_ENGINE_Initiatives!$AC$5:$AC$532,MATCH(1,INDEX((_ENGINE_Initiatives!$B$5:$B$532=$C551)*(_ENGINE_Initiatives!$C$5:$C$532=$D551),0),0)),"")</f>
        <v>2.63</v>
      </c>
      <c r="AW551" t="str">
        <f>IFERROR(INDEX(_ENGINE_Initiatives!$AE$5:$AE$532,MATCH(1,INDEX((_ENGINE_Initiatives!$B$5:$B$532=$C551)*(_ENGINE_Initiatives!$C$5:$C$532=$D551),0),0)),"")</f>
        <v>0-90 days</v>
      </c>
      <c r="AX551">
        <f>IF($B551="Yes",IFERROR((IF(SUMIFS(_REF_Model_Content!$E$1:$E$613,_REF_Model_Content!$A$1:$A$613,PV_Canonical_Industry,_REF_Model_Content!$B$1:$B$613,$C551)=0,1,SUMIFS(_REF_Model_Content!$E$1:$E$613,_REF_Model_Content!$A$1:$A$613,PV_Canonical_Industry,_REF_Model_Content!$B$1:$B$613,$C551))*IFERROR($BU551,1)),1),"")</f>
        <v>1</v>
      </c>
      <c r="AY551">
        <f t="shared" si="39"/>
        <v>16.2</v>
      </c>
      <c r="AZ551">
        <f t="shared" si="40"/>
        <v>1.6</v>
      </c>
      <c r="BB551" t="str">
        <f>IF($H551="","",IFERROR(INDEX(_ENGINE_Risk!$AE$5:$AE$499,MATCH($E551,_ENGINE_Risk!$A$5:$A$499,0)),"Medium"))</f>
        <v>Medium</v>
      </c>
      <c r="BC551">
        <f t="shared" si="41"/>
        <v>1</v>
      </c>
      <c r="BD551">
        <f t="shared" si="42"/>
        <v>1.6</v>
      </c>
      <c r="BF551">
        <f>IF(OR($H551="",$J551=""),"",IFERROR(VLOOKUP(ROUND($J551,0),_CONFIG_Model_Settings!$D$154:$E$158,2,0),""))</f>
        <v>0.5</v>
      </c>
      <c r="BG551">
        <f>IFERROR(IF(OR($H551="",$K551=""),"",ROUND('Company Profile'!$B$113*INDEX(_CONFIG_Model_Settings!$H$154:$H$158,MATCH(ROUND($K551,0),_CONFIG_Model_Settings!$G$154:$G$158,0)),0)),0)</f>
        <v>1875</v>
      </c>
      <c r="BH551">
        <f t="shared" si="43"/>
        <v>937.5</v>
      </c>
      <c r="BI551">
        <f t="shared" si="44"/>
        <v>937.5</v>
      </c>
      <c r="BJ551">
        <f>IF($E551="","",IFERROR(VLOOKUP($C551,_CONFIG_Risk_Calibration!$A$5:$H$21,2,FALSE),3))</f>
        <v>3</v>
      </c>
      <c r="BK551">
        <f>IF($E551="","",IFERROR(VLOOKUP($C551,_CONFIG_Risk_Calibration!$A$5:$H$21,3,FALSE),0))</f>
        <v>0</v>
      </c>
      <c r="BL551">
        <f>IF($E551="","",IFERROR(VLOOKUP($C551,_CONFIG_Risk_Calibration!$A$5:$H$21,4,FALSE),3))</f>
        <v>3</v>
      </c>
      <c r="BM551">
        <f>IF($E551="","",IFERROR(VLOOKUP($C551,_CONFIG_Risk_Calibration!$A$5:$H$21,5,FALSE),3))</f>
        <v>4</v>
      </c>
      <c r="BN551" t="str">
        <f>IF($E551="","",IFERROR(VLOOKUP($C551,_CONFIG_Risk_Calibration!$A$5:$H$21,6,FALSE),"No"))</f>
        <v>Yes</v>
      </c>
      <c r="BO551">
        <f>IF($E551="","",IFERROR(VLOOKUP($C551,_CONFIG_Risk_Calibration!$A$5:$H$21,7,FALSE),1))</f>
        <v>4</v>
      </c>
      <c r="BP551">
        <f>IF($H551="","",MAX(1,MIN(5,((6-$H551)*0.45)+($BJ551*0.2)+('Resilience &amp; Risk Scenario'!$B$7*0.15)+($BK551*0.1)+($BL551*0.05)+(IF($BB551="Fast",5,IF($BB551="Slow",1,3))*0.05))))</f>
        <v>3.6</v>
      </c>
      <c r="BQ551">
        <f t="shared" si="45"/>
        <v>4.5</v>
      </c>
      <c r="BR551">
        <f t="shared" si="46"/>
        <v>16.2</v>
      </c>
      <c r="BS551">
        <f t="shared" si="47"/>
        <v>17.82</v>
      </c>
      <c r="BT551" t="str">
        <f>IFERROR(INDEX(_REF_Capability_Bridge!$D:$D,MATCH($C551&amp;"|"&amp;$D551,_REF_Capability_Bridge!$J:$J,0)),IFERROR(INDEX(_REF_Capability_Bridge!$D:$D,MATCH($C551&amp;"|",_REF_Capability_Bridge!$J:$J,0)),"CAP_GENERIC"))</f>
        <v>CAP_BACKUP_RECOVERY</v>
      </c>
      <c r="BU551">
        <f>IFERROR(IFERROR(INDEX(_ENGINE_Relevance!$L:$L,MATCH($BT551,_ENGINE_Relevance!$B:$B,0)),1),1)</f>
        <v>1</v>
      </c>
      <c r="BV551" t="str">
        <f>IFERROR(INDEX(_REF_Capability_Bridge!$A:$A,MATCH($C551&amp;"|"&amp;$D551,_REF_Capability_Bridge!$J:$J,0)),IFERROR(INDEX(_REF_Capability_Bridge!$A:$A,MATCH($C551&amp;"|",_REF_Capability_Bridge!$J:$J,0)),"No bridge"))</f>
        <v>BRG-037</v>
      </c>
      <c r="BW551" t="str">
        <f t="shared" si="48"/>
        <v>Capability relevance neutral</v>
      </c>
      <c r="BX551" t="str">
        <f t="shared" si="49"/>
        <v>Initial / absent</v>
      </c>
      <c r="BY551" t="str">
        <f>IF($E551="","",IFERROR(INDEX(_REF_Treatment_Library!$A$2:$A$296,MATCH(1,INDEX((_REF_Treatment_Library!$B$2:$B$296=$BT551)*(_REF_Treatment_Library!$C$2:$C$296=PV_Canonical_Industry)*(_REF_Treatment_Library!$E$2:$E$296&lt;=N($H551))*(_REF_Treatment_Library!$F$2:$F$296&gt;=N($H551))*(_REF_Treatment_Library!$O$2:$O$296="Yes"),0),0)),IFERROR(INDEX(_REF_Treatment_Library!$A$2:$A$296,MATCH(1,INDEX((_REF_Treatment_Library!$B$2:$B$296=$BT551)*(_REF_Treatment_Library!$C$2:$C$296="All")*(_REF_Treatment_Library!$E$2:$E$296&lt;=N($H551))*(_REF_Treatment_Library!$F$2:$F$296&gt;=N($H551))*(_REF_Treatment_Library!$O$2:$O$296="Yes"),0),0)),"")))</f>
        <v>TRT-BACKUP_RECOVERY-INITIAL</v>
      </c>
      <c r="BZ551" t="str">
        <f>IF($BY551="","",IFERROR(INDEX(_REF_Treatment_Library!$H$2:$H$296,MATCH($BY551,_REF_Treatment_Library!$A$2:$A$296,0)),""))</f>
        <v>Establish</v>
      </c>
      <c r="CA551" t="str">
        <f>IF($BY551="","",IFERROR(INDEX(_REF_Treatment_Library!$I$2:$I$296,MATCH($BY551,_REF_Treatment_Library!$A$2:$A$296,0)),""))</f>
        <v>Establish baseline controls for Backup / recovery</v>
      </c>
      <c r="CB551" t="str">
        <f>IF($BY551="","",IFERROR(INDEX(_REF_Treatment_Library!$K$2:$K$296,MATCH($BY551,_REF_Treatment_Library!$A$2:$A$296,0)),""))</f>
        <v>Named owner, baseline process, minimum control checklist, first evidence package</v>
      </c>
      <c r="CC551" t="str">
        <f>IF($BY551="","",IFERROR(INDEX(_REF_Treatment_Library!$L$2:$L$296,MATCH($BY551,_REF_Treatment_Library!$A$2:$A$296,0)),""))</f>
        <v>Owner assigned; baseline evidence coverage; open critical gaps</v>
      </c>
      <c r="CD551" t="str">
        <f t="shared" si="50"/>
        <v>Treatment by capability=CAP_BACKUP_RECOVERY; band=Initial / absent; score=0.0; treatment=Establish</v>
      </c>
      <c r="CE551" t="str">
        <f>IF($E551="","",IFERROR(INDEX(_REF_Industry_Wording!$A$2:$A$70,MATCH(1,INDEX((_REF_Industry_Wording!$B$2:$B$70=$BT551)*(_REF_Industry_Wording!$C$2:$C$70=PV_Canonical_Industry)*(_REF_Industry_Wording!$K$2:$K$70="Yes"),0),0)),IFERROR(INDEX(_REF_Industry_Wording!$A$2:$A$70,MATCH(1,INDEX((_REF_Industry_Wording!$B$2:$B$70=$BT551)*(_REF_Industry_Wording!$C$2:$C$70="All")*(_REF_Industry_Wording!$K$2:$K$70="Yes"),0),0)),"")))</f>
        <v>IW-ALL-BACKUP_RECOVERY</v>
      </c>
      <c r="CF551" t="str">
        <f>IF($CE551="","",IFERROR(INDEX(_REF_Industry_Wording!$E$2:$E$70,MATCH($CE551,_REF_Industry_Wording!$A$2:$A$70,0)),""))</f>
        <v>Backup / recovery weakness</v>
      </c>
      <c r="CG551" t="str">
        <f>IF($CE551="","",IFERROR(INDEX(_REF_Industry_Wording!$F$2:$F$70,MATCH($CE551,_REF_Industry_Wording!$A$2:$A$70,0)),""))</f>
        <v>Strengthen Backup / recovery</v>
      </c>
      <c r="CH551" t="str">
        <f>IF($CE551="","",IFERROR(INDEX(_REF_Industry_Wording!$G$2:$G$70,MATCH($CE551,_REF_Industry_Wording!$A$2:$A$70,0)),""))</f>
        <v>Strengthen Backup / recovery using the selected maturity treatment, crisis scenario and evidence requirements.</v>
      </c>
      <c r="CI551" t="str">
        <f>IF($CE551="","",IFERROR(INDEX(_REF_Industry_Wording!$H$2:$H$70,MATCH($CE551,_REF_Industry_Wording!$A$2:$A$70,0)),""))</f>
        <v>Backup / recovery</v>
      </c>
      <c r="CJ551">
        <f>IF($CE551="","",IFERROR(INDEX(_REF_Industry_Wording!$I$2:$I$70,MATCH($CE551,_REF_Industry_Wording!$A$2:$A$70,0)),""))</f>
        <v>0</v>
      </c>
      <c r="CK551" t="str">
        <f>IF($CE551="","",IFERROR(INDEX(_REF_Industry_Wording!$J$2:$J$70,MATCH($CE551,_REF_Industry_Wording!$A$2:$A$70,0)),""))</f>
        <v>Backup / recovery</v>
      </c>
      <c r="CL551" t="str">
        <f t="shared" si="51"/>
        <v>Wording by industry=0; capability=CAP_BACKUP_RECOVERY; risk label=Backup / recovery weakness</v>
      </c>
      <c r="CM551" t="str">
        <f t="shared" si="52"/>
        <v>RISK-ONT-0052</v>
      </c>
      <c r="CN551" t="str">
        <f t="shared" si="53"/>
        <v>RISK-EVT-0052</v>
      </c>
      <c r="CO551" t="str">
        <f t="shared" si="54"/>
        <v>Governance Crisis|Risk and continuity|GOVE-007|CAP_BACKUP_RECOVERY</v>
      </c>
      <c r="CP551" t="str">
        <f t="shared" si="55"/>
        <v>Active</v>
      </c>
      <c r="CQ551" t="str">
        <f t="shared" si="56"/>
        <v>OK: capability-driven</v>
      </c>
      <c r="CR551" t="str">
        <f t="shared" si="57"/>
        <v>Risk ontology uses capability=CAP_BACKUP_RECOVERY; bridge=BRG-037; treatment=TRT-BACKUP_RECOVERY-INITIAL; wording=IW-ALL-BACKUP_RECOVERY</v>
      </c>
      <c r="CS551" t="str">
        <f t="shared" si="58"/>
        <v>Yes</v>
      </c>
    </row>
    <row r="552" spans="1:97" ht="69.900000000000006" customHeight="1">
      <c r="A552">
        <f>IF(OR($B552&lt;&gt;"Yes",$BS552=""),"",SUMPRODUCT(($B$500:$B$923="Yes")*ISNUMBER($BS$500:$BS$923)*($BS$500:$BS$923&gt;$BS552))+COUNTIFS($B$500:$B552,"Yes",$BS$500:$BS552,$BS552))</f>
        <v>178</v>
      </c>
      <c r="B552" t="str">
        <f t="shared" si="21"/>
        <v>Yes</v>
      </c>
      <c r="C552" t="s">
        <v>1150</v>
      </c>
      <c r="D552" t="s">
        <v>1161</v>
      </c>
      <c r="E552" t="s">
        <v>1184</v>
      </c>
      <c r="F552" t="s">
        <v>3681</v>
      </c>
      <c r="G552" t="str">
        <f>IF($H552="","",IFERROR(INDEX(_ENGINE_Risk!$H$5:$M$499,MATCH($E552,_ENGINE_Risk!$A$5:$A$499,0),$H552+1),""))</f>
        <v>Severe risk: risk appetite for safety, cash, cyber, delivery, compliance, reputation and operational continuity is not reliably controlled. During All crisis types, the organization may face slow decisions, unclear escalation, duplicated actions and weak crisis command with limited visibility or accountability.</v>
      </c>
      <c r="H552">
        <f>IFERROR(VALUE(INDEX(_DATA_Assessment_Model!$H$5:$H$884,MATCH($E552,_DATA_Assessment_Model!$A$5:$A$884,0))),"")</f>
        <v>0</v>
      </c>
      <c r="I552" t="str">
        <f>IF($H552="","",IFERROR(INDEX(_DATA_Assessment_Model!$L$5:$L$884,MATCH($E552,_DATA_Assessment_Model!$A$5:$A$884,0)),IF($H552&lt;=1,"Critical",IF($H552=2,"High",IF($H552=3,"Medium",IF($H552=4,"Low","Resilient"))))))</f>
        <v>Critical</v>
      </c>
      <c r="J552">
        <f t="shared" si="22"/>
        <v>3.6</v>
      </c>
      <c r="K552">
        <f t="shared" si="23"/>
        <v>4.6499999999999995</v>
      </c>
      <c r="L552">
        <f t="shared" si="24"/>
        <v>16.739999999999998</v>
      </c>
      <c r="M552">
        <f t="shared" si="25"/>
        <v>4</v>
      </c>
      <c r="N552">
        <f>IF($H552="","",IFERROR(INDEX(_ENGINE_Risk!$T$5:$Y$499,MATCH($E552,_ENGINE_Risk!$A$5:$A$499,0),$H552+1),""))</f>
        <v>3</v>
      </c>
      <c r="O552">
        <f t="shared" si="26"/>
        <v>5</v>
      </c>
      <c r="P552">
        <f t="shared" si="27"/>
        <v>5</v>
      </c>
      <c r="Q552">
        <f t="shared" si="28"/>
        <v>5</v>
      </c>
      <c r="R552">
        <f t="shared" si="29"/>
        <v>5</v>
      </c>
      <c r="S552">
        <f t="shared" si="30"/>
        <v>1.67</v>
      </c>
      <c r="T552" t="str">
        <f>IF($H552="","",IFERROR(INDEX(_ENGINE_Risk!$N$5:$S$499,MATCH($E552,_ENGINE_Risk!$A$5:$A$499,0),$H552+1),""))</f>
        <v>Create an immediate risk owner, minimum control baseline and fallback procedure for risk appetite for safety, cash, cyber, delivery, compliance, reputation and operational continuity. Add it to the crisis risk register and collect first evidence.</v>
      </c>
      <c r="U552">
        <f>IFERROR(INDEX(_DATA_Assessment_Model!$G$5:$G$884,MATCH($E552,_DATA_Assessment_Model!$A$5:$A$884,0)),"")</f>
        <v>5</v>
      </c>
      <c r="V552">
        <f>IFERROR(INDEX(_DATA_Assessment_Model!$W$5:$W$884,MATCH($E552,_DATA_Assessment_Model!$A$5:$A$884,0)),"")</f>
        <v>5</v>
      </c>
      <c r="W552">
        <f>IFERROR(INDEX(_DATA_Assessment_Model!$X$5:$X$884,MATCH($E552,_DATA_Assessment_Model!$A$5:$A$884,0)),"")</f>
        <v>5</v>
      </c>
      <c r="X552">
        <f>IFERROR(INDEX(_DATA_Assessment_Model!$Y$5:$Y$884,MATCH($E552,_DATA_Assessment_Model!$A$5:$A$884,0)),"")</f>
        <v>5</v>
      </c>
      <c r="Y552" t="s">
        <v>1157</v>
      </c>
      <c r="Z552" t="s">
        <v>4591</v>
      </c>
      <c r="AA552" t="s">
        <v>1186</v>
      </c>
      <c r="AB552">
        <f>IFERROR(INDEX(_DATA_Assessment_Model!$U$5:$U$884,MATCH($E552,_DATA_Assessment_Model!$A$5:$A$884,0)),"")</f>
        <v>0</v>
      </c>
      <c r="AF552" t="s">
        <v>1185</v>
      </c>
      <c r="AO552">
        <f>IF($B552="Yes",IF(IFERROR(INDEX(_ENGINE_Crisis!$F$501:$F$517,MATCH($C552,_ENGINE_Crisis!$A$501:$A$517,0)),1)=0,1,IFERROR(INDEX(_ENGINE_Crisis!$F$501:$F$517,MATCH($C552,_ENGINE_Crisis!$A$501:$A$517,0)),1)),"")</f>
        <v>1</v>
      </c>
      <c r="AP552">
        <f t="shared" si="37"/>
        <v>16.7</v>
      </c>
      <c r="AQ552">
        <f t="shared" si="38"/>
        <v>1.67</v>
      </c>
      <c r="AR552" t="str">
        <f>IFERROR(INDEX(_ENGINE_Crisis!$E$41:$E$700,MATCH('Resilience &amp; Risk Scenario'!$B$6&amp;"|"&amp;$C552,_ENGINE_Crisis!$I$41:$I$700,0)),"")</f>
        <v/>
      </c>
      <c r="AS552" t="str">
        <f>IFERROR(INDEX(_ENGINE_Crisis!$G$41:$G$700,MATCH('Resilience &amp; Risk Scenario'!$B$6&amp;"|"&amp;$C552,_ENGINE_Crisis!$I$41:$I$700,0)),"")</f>
        <v/>
      </c>
      <c r="AT552" t="str">
        <f>IFERROR(INDEX(_ENGINE_Initiatives!$A$5:$A$532,MATCH(1,INDEX((_ENGINE_Initiatives!$B$5:$B$532=$C552)*(_ENGINE_Initiatives!$C$5:$C$532=$D552),0),0)),"")</f>
        <v>INI-009</v>
      </c>
      <c r="AU552" t="str">
        <f>IFERROR(INDEX(_ENGINE_Initiatives!$F$5:$F$532,MATCH(1,INDEX((_ENGINE_Initiatives!$B$5:$B$532=$C552)*(_ENGINE_Initiatives!$C$5:$C$532=$D552),0),0)),"")</f>
        <v>Build integrated risk, continuity and resilience control cycle</v>
      </c>
      <c r="AV552">
        <f>IFERROR(INDEX(_ENGINE_Initiatives!$AC$5:$AC$532,MATCH(1,INDEX((_ENGINE_Initiatives!$B$5:$B$532=$C552)*(_ENGINE_Initiatives!$C$5:$C$532=$D552),0),0)),"")</f>
        <v>2.63</v>
      </c>
      <c r="AW552" t="str">
        <f>IFERROR(INDEX(_ENGINE_Initiatives!$AE$5:$AE$532,MATCH(1,INDEX((_ENGINE_Initiatives!$B$5:$B$532=$C552)*(_ENGINE_Initiatives!$C$5:$C$532=$D552),0),0)),"")</f>
        <v>0-90 days</v>
      </c>
      <c r="AX552">
        <f>IF($B552="Yes",IFERROR((IF(SUMIFS(_REF_Model_Content!$E$1:$E$613,_REF_Model_Content!$A$1:$A$613,PV_Canonical_Industry,_REF_Model_Content!$B$1:$B$613,$C552)=0,1,SUMIFS(_REF_Model_Content!$E$1:$E$613,_REF_Model_Content!$A$1:$A$613,PV_Canonical_Industry,_REF_Model_Content!$B$1:$B$613,$C552))*IFERROR($BU552,1)),1),"")</f>
        <v>1</v>
      </c>
      <c r="AY552">
        <f t="shared" si="39"/>
        <v>16.7</v>
      </c>
      <c r="AZ552">
        <f t="shared" si="40"/>
        <v>1.67</v>
      </c>
      <c r="BB552" t="str">
        <f>IF($H552="","",IFERROR(INDEX(_ENGINE_Risk!$AE$5:$AE$499,MATCH($E552,_ENGINE_Risk!$A$5:$A$499,0)),"Medium"))</f>
        <v>Medium</v>
      </c>
      <c r="BC552">
        <f t="shared" si="41"/>
        <v>1</v>
      </c>
      <c r="BD552">
        <f t="shared" si="42"/>
        <v>1.67</v>
      </c>
      <c r="BF552">
        <f>IF(OR($H552="",$J552=""),"",IFERROR(VLOOKUP(ROUND($J552,0),_CONFIG_Model_Settings!$D$154:$E$158,2,0),""))</f>
        <v>0.5</v>
      </c>
      <c r="BG552">
        <f>IFERROR(IF(OR($H552="",$K552=""),"",ROUND('Company Profile'!$B$113*INDEX(_CONFIG_Model_Settings!$H$154:$H$158,MATCH(ROUND($K552,0),_CONFIG_Model_Settings!$G$154:$G$158,0)),0)),0)</f>
        <v>1875</v>
      </c>
      <c r="BH552">
        <f t="shared" si="43"/>
        <v>937.5</v>
      </c>
      <c r="BI552">
        <f t="shared" si="44"/>
        <v>937.5</v>
      </c>
      <c r="BJ552">
        <f>IF($E552="","",IFERROR(VLOOKUP($C552,_CONFIG_Risk_Calibration!$A$5:$H$21,2,FALSE),3))</f>
        <v>3</v>
      </c>
      <c r="BK552">
        <f>IF($E552="","",IFERROR(VLOOKUP($C552,_CONFIG_Risk_Calibration!$A$5:$H$21,3,FALSE),0))</f>
        <v>0</v>
      </c>
      <c r="BL552">
        <f>IF($E552="","",IFERROR(VLOOKUP($C552,_CONFIG_Risk_Calibration!$A$5:$H$21,4,FALSE),3))</f>
        <v>3</v>
      </c>
      <c r="BM552">
        <f>IF($E552="","",IFERROR(VLOOKUP($C552,_CONFIG_Risk_Calibration!$A$5:$H$21,5,FALSE),3))</f>
        <v>4</v>
      </c>
      <c r="BN552" t="str">
        <f>IF($E552="","",IFERROR(VLOOKUP($C552,_CONFIG_Risk_Calibration!$A$5:$H$21,6,FALSE),"No"))</f>
        <v>Yes</v>
      </c>
      <c r="BO552">
        <f>IF($E552="","",IFERROR(VLOOKUP($C552,_CONFIG_Risk_Calibration!$A$5:$H$21,7,FALSE),1))</f>
        <v>4</v>
      </c>
      <c r="BP552">
        <f>IF($H552="","",MAX(1,MIN(5,((6-$H552)*0.45)+($BJ552*0.2)+('Resilience &amp; Risk Scenario'!$B$7*0.15)+($BK552*0.1)+($BL552*0.05)+(IF($BB552="Fast",5,IF($BB552="Slow",1,3))*0.05))))</f>
        <v>3.6</v>
      </c>
      <c r="BQ552">
        <f t="shared" si="45"/>
        <v>4.6499999999999995</v>
      </c>
      <c r="BR552">
        <f t="shared" si="46"/>
        <v>16.739999999999998</v>
      </c>
      <c r="BS552">
        <f t="shared" si="47"/>
        <v>18.41</v>
      </c>
      <c r="BT552" t="str">
        <f>IFERROR(INDEX(_REF_Capability_Bridge!$D:$D,MATCH($C552&amp;"|"&amp;$D552,_REF_Capability_Bridge!$J:$J,0)),IFERROR(INDEX(_REF_Capability_Bridge!$D:$D,MATCH($C552&amp;"|",_REF_Capability_Bridge!$J:$J,0)),"CAP_GENERIC"))</f>
        <v>CAP_BACKUP_RECOVERY</v>
      </c>
      <c r="BU552">
        <f>IFERROR(IFERROR(INDEX(_ENGINE_Relevance!$L:$L,MATCH($BT552,_ENGINE_Relevance!$B:$B,0)),1),1)</f>
        <v>1</v>
      </c>
      <c r="BV552" t="str">
        <f>IFERROR(INDEX(_REF_Capability_Bridge!$A:$A,MATCH($C552&amp;"|"&amp;$D552,_REF_Capability_Bridge!$J:$J,0)),IFERROR(INDEX(_REF_Capability_Bridge!$A:$A,MATCH($C552&amp;"|",_REF_Capability_Bridge!$J:$J,0)),"No bridge"))</f>
        <v>BRG-037</v>
      </c>
      <c r="BW552" t="str">
        <f t="shared" si="48"/>
        <v>Capability relevance neutral</v>
      </c>
      <c r="BX552" t="str">
        <f t="shared" si="49"/>
        <v>Initial / absent</v>
      </c>
      <c r="BY552" t="str">
        <f>IF($E552="","",IFERROR(INDEX(_REF_Treatment_Library!$A$2:$A$296,MATCH(1,INDEX((_REF_Treatment_Library!$B$2:$B$296=$BT552)*(_REF_Treatment_Library!$C$2:$C$296=PV_Canonical_Industry)*(_REF_Treatment_Library!$E$2:$E$296&lt;=N($H552))*(_REF_Treatment_Library!$F$2:$F$296&gt;=N($H552))*(_REF_Treatment_Library!$O$2:$O$296="Yes"),0),0)),IFERROR(INDEX(_REF_Treatment_Library!$A$2:$A$296,MATCH(1,INDEX((_REF_Treatment_Library!$B$2:$B$296=$BT552)*(_REF_Treatment_Library!$C$2:$C$296="All")*(_REF_Treatment_Library!$E$2:$E$296&lt;=N($H552))*(_REF_Treatment_Library!$F$2:$F$296&gt;=N($H552))*(_REF_Treatment_Library!$O$2:$O$296="Yes"),0),0)),"")))</f>
        <v>TRT-BACKUP_RECOVERY-INITIAL</v>
      </c>
      <c r="BZ552" t="str">
        <f>IF($BY552="","",IFERROR(INDEX(_REF_Treatment_Library!$H$2:$H$296,MATCH($BY552,_REF_Treatment_Library!$A$2:$A$296,0)),""))</f>
        <v>Establish</v>
      </c>
      <c r="CA552" t="str">
        <f>IF($BY552="","",IFERROR(INDEX(_REF_Treatment_Library!$I$2:$I$296,MATCH($BY552,_REF_Treatment_Library!$A$2:$A$296,0)),""))</f>
        <v>Establish baseline controls for Backup / recovery</v>
      </c>
      <c r="CB552" t="str">
        <f>IF($BY552="","",IFERROR(INDEX(_REF_Treatment_Library!$K$2:$K$296,MATCH($BY552,_REF_Treatment_Library!$A$2:$A$296,0)),""))</f>
        <v>Named owner, baseline process, minimum control checklist, first evidence package</v>
      </c>
      <c r="CC552" t="str">
        <f>IF($BY552="","",IFERROR(INDEX(_REF_Treatment_Library!$L$2:$L$296,MATCH($BY552,_REF_Treatment_Library!$A$2:$A$296,0)),""))</f>
        <v>Owner assigned; baseline evidence coverage; open critical gaps</v>
      </c>
      <c r="CD552" t="str">
        <f t="shared" si="50"/>
        <v>Treatment by capability=CAP_BACKUP_RECOVERY; band=Initial / absent; score=0.0; treatment=Establish</v>
      </c>
      <c r="CE552" t="str">
        <f>IF($E552="","",IFERROR(INDEX(_REF_Industry_Wording!$A$2:$A$70,MATCH(1,INDEX((_REF_Industry_Wording!$B$2:$B$70=$BT552)*(_REF_Industry_Wording!$C$2:$C$70=PV_Canonical_Industry)*(_REF_Industry_Wording!$K$2:$K$70="Yes"),0),0)),IFERROR(INDEX(_REF_Industry_Wording!$A$2:$A$70,MATCH(1,INDEX((_REF_Industry_Wording!$B$2:$B$70=$BT552)*(_REF_Industry_Wording!$C$2:$C$70="All")*(_REF_Industry_Wording!$K$2:$K$70="Yes"),0),0)),"")))</f>
        <v>IW-ALL-BACKUP_RECOVERY</v>
      </c>
      <c r="CF552" t="str">
        <f>IF($CE552="","",IFERROR(INDEX(_REF_Industry_Wording!$E$2:$E$70,MATCH($CE552,_REF_Industry_Wording!$A$2:$A$70,0)),""))</f>
        <v>Backup / recovery weakness</v>
      </c>
      <c r="CG552" t="str">
        <f>IF($CE552="","",IFERROR(INDEX(_REF_Industry_Wording!$F$2:$F$70,MATCH($CE552,_REF_Industry_Wording!$A$2:$A$70,0)),""))</f>
        <v>Strengthen Backup / recovery</v>
      </c>
      <c r="CH552" t="str">
        <f>IF($CE552="","",IFERROR(INDEX(_REF_Industry_Wording!$G$2:$G$70,MATCH($CE552,_REF_Industry_Wording!$A$2:$A$70,0)),""))</f>
        <v>Strengthen Backup / recovery using the selected maturity treatment, crisis scenario and evidence requirements.</v>
      </c>
      <c r="CI552" t="str">
        <f>IF($CE552="","",IFERROR(INDEX(_REF_Industry_Wording!$H$2:$H$70,MATCH($CE552,_REF_Industry_Wording!$A$2:$A$70,0)),""))</f>
        <v>Backup / recovery</v>
      </c>
      <c r="CJ552">
        <f>IF($CE552="","",IFERROR(INDEX(_REF_Industry_Wording!$I$2:$I$70,MATCH($CE552,_REF_Industry_Wording!$A$2:$A$70,0)),""))</f>
        <v>0</v>
      </c>
      <c r="CK552" t="str">
        <f>IF($CE552="","",IFERROR(INDEX(_REF_Industry_Wording!$J$2:$J$70,MATCH($CE552,_REF_Industry_Wording!$A$2:$A$70,0)),""))</f>
        <v>Backup / recovery</v>
      </c>
      <c r="CL552" t="str">
        <f t="shared" si="51"/>
        <v>Wording by industry=0; capability=CAP_BACKUP_RECOVERY; risk label=Backup / recovery weakness</v>
      </c>
      <c r="CM552" t="str">
        <f t="shared" si="52"/>
        <v>RISK-ONT-0053</v>
      </c>
      <c r="CN552" t="str">
        <f t="shared" si="53"/>
        <v>RISK-EVT-0053</v>
      </c>
      <c r="CO552" t="str">
        <f t="shared" si="54"/>
        <v>Governance Crisis|Risk and continuity|GOVE-008|CAP_BACKUP_RECOVERY</v>
      </c>
      <c r="CP552" t="str">
        <f t="shared" si="55"/>
        <v>Active</v>
      </c>
      <c r="CQ552" t="str">
        <f t="shared" si="56"/>
        <v>OK: capability-driven</v>
      </c>
      <c r="CR552" t="str">
        <f t="shared" si="57"/>
        <v>Risk ontology uses capability=CAP_BACKUP_RECOVERY; bridge=BRG-037; treatment=TRT-BACKUP_RECOVERY-INITIAL; wording=IW-ALL-BACKUP_RECOVERY</v>
      </c>
      <c r="CS552" t="str">
        <f t="shared" si="58"/>
        <v>Yes</v>
      </c>
    </row>
    <row r="553" spans="1:97" ht="69.900000000000006" customHeight="1">
      <c r="A553">
        <f>IF(OR($B553&lt;&gt;"Yes",$BS553=""),"",SUMPRODUCT(($B$500:$B$923="Yes")*ISNUMBER($BS$500:$BS$923)*($BS$500:$BS$923&gt;$BS553))+COUNTIFS($B$500:$B553,"Yes",$BS$500:$BS553,$BS553))</f>
        <v>220</v>
      </c>
      <c r="B553" t="str">
        <f t="shared" si="21"/>
        <v>Yes</v>
      </c>
      <c r="C553" t="s">
        <v>1150</v>
      </c>
      <c r="D553" t="s">
        <v>1161</v>
      </c>
      <c r="E553" t="s">
        <v>1187</v>
      </c>
      <c r="F553" t="s">
        <v>3681</v>
      </c>
      <c r="G553" t="str">
        <f>IF($H553="","",IFERROR(INDEX(_ENGINE_Risk!$H$5:$M$499,MATCH($E553,_ENGINE_Risk!$A$5:$A$499,0),$H553+1),""))</f>
        <v>Severe risk: early warning indicators for major crisis types and objective crisis activation triggers is not reliably controlled. During All crisis types, the organization may face slow decisions, unclear escalation, duplicated actions and weak crisis command with limited visibility or accountability.</v>
      </c>
      <c r="H553">
        <f>IFERROR(VALUE(INDEX(_DATA_Assessment_Model!$H$5:$H$884,MATCH($E553,_DATA_Assessment_Model!$A$5:$A$884,0))),"")</f>
        <v>0</v>
      </c>
      <c r="I553" t="str">
        <f>IF($H553="","",IFERROR(INDEX(_DATA_Assessment_Model!$L$5:$L$884,MATCH($E553,_DATA_Assessment_Model!$A$5:$A$884,0)),IF($H553&lt;=1,"Critical",IF($H553=2,"High",IF($H553=3,"Medium",IF($H553=4,"Low","Resilient"))))))</f>
        <v>Critical</v>
      </c>
      <c r="J553">
        <f t="shared" si="22"/>
        <v>3.6</v>
      </c>
      <c r="K553">
        <f t="shared" si="23"/>
        <v>4.5</v>
      </c>
      <c r="L553">
        <f t="shared" si="24"/>
        <v>16.2</v>
      </c>
      <c r="M553">
        <f t="shared" si="25"/>
        <v>4</v>
      </c>
      <c r="N553">
        <f>IF($H553="","",IFERROR(INDEX(_ENGINE_Risk!$T$5:$Y$499,MATCH($E553,_ENGINE_Risk!$A$5:$A$499,0),$H553+1),""))</f>
        <v>3</v>
      </c>
      <c r="O553">
        <f t="shared" si="26"/>
        <v>4.666666666666667</v>
      </c>
      <c r="P553">
        <f t="shared" si="27"/>
        <v>5</v>
      </c>
      <c r="Q553">
        <f t="shared" si="28"/>
        <v>5</v>
      </c>
      <c r="R553">
        <f t="shared" si="29"/>
        <v>4.5</v>
      </c>
      <c r="S553">
        <f t="shared" si="30"/>
        <v>1.6</v>
      </c>
      <c r="T553" t="str">
        <f>IF($H553="","",IFERROR(INDEX(_ENGINE_Risk!$N$5:$S$499,MATCH($E553,_ENGINE_Risk!$A$5:$A$499,0),$H553+1),""))</f>
        <v>Create an immediate risk owner, minimum control baseline and fallback procedure for early warning indicators for major crisis types and objective crisis activation triggers. Add it to the crisis risk register and collect first evidence.</v>
      </c>
      <c r="U553">
        <f>IFERROR(INDEX(_DATA_Assessment_Model!$G$5:$G$884,MATCH($E553,_DATA_Assessment_Model!$A$5:$A$884,0)),"")</f>
        <v>5</v>
      </c>
      <c r="V553">
        <f>IFERROR(INDEX(_DATA_Assessment_Model!$W$5:$W$884,MATCH($E553,_DATA_Assessment_Model!$A$5:$A$884,0)),"")</f>
        <v>4</v>
      </c>
      <c r="W553">
        <f>IFERROR(INDEX(_DATA_Assessment_Model!$X$5:$X$884,MATCH($E553,_DATA_Assessment_Model!$A$5:$A$884,0)),"")</f>
        <v>5</v>
      </c>
      <c r="X553">
        <f>IFERROR(INDEX(_DATA_Assessment_Model!$Y$5:$Y$884,MATCH($E553,_DATA_Assessment_Model!$A$5:$A$884,0)),"")</f>
        <v>5</v>
      </c>
      <c r="Y553" t="s">
        <v>1157</v>
      </c>
      <c r="Z553" t="s">
        <v>4591</v>
      </c>
      <c r="AA553" t="s">
        <v>1189</v>
      </c>
      <c r="AB553">
        <f>IFERROR(INDEX(_DATA_Assessment_Model!$U$5:$U$884,MATCH($E553,_DATA_Assessment_Model!$A$5:$A$884,0)),"")</f>
        <v>0</v>
      </c>
      <c r="AF553" t="s">
        <v>1188</v>
      </c>
      <c r="AO553">
        <f>IF($B553="Yes",IF(IFERROR(INDEX(_ENGINE_Crisis!$F$501:$F$517,MATCH($C553,_ENGINE_Crisis!$A$501:$A$517,0)),1)=0,1,IFERROR(INDEX(_ENGINE_Crisis!$F$501:$F$517,MATCH($C553,_ENGINE_Crisis!$A$501:$A$517,0)),1)),"")</f>
        <v>1</v>
      </c>
      <c r="AP553">
        <f t="shared" si="37"/>
        <v>16.2</v>
      </c>
      <c r="AQ553">
        <f t="shared" si="38"/>
        <v>1.6</v>
      </c>
      <c r="AR553" t="str">
        <f>IFERROR(INDEX(_ENGINE_Crisis!$E$41:$E$700,MATCH('Resilience &amp; Risk Scenario'!$B$6&amp;"|"&amp;$C553,_ENGINE_Crisis!$I$41:$I$700,0)),"")</f>
        <v/>
      </c>
      <c r="AS553" t="str">
        <f>IFERROR(INDEX(_ENGINE_Crisis!$G$41:$G$700,MATCH('Resilience &amp; Risk Scenario'!$B$6&amp;"|"&amp;$C553,_ENGINE_Crisis!$I$41:$I$700,0)),"")</f>
        <v/>
      </c>
      <c r="AT553" t="str">
        <f>IFERROR(INDEX(_ENGINE_Initiatives!$A$5:$A$532,MATCH(1,INDEX((_ENGINE_Initiatives!$B$5:$B$532=$C553)*(_ENGINE_Initiatives!$C$5:$C$532=$D553),0),0)),"")</f>
        <v>INI-009</v>
      </c>
      <c r="AU553" t="str">
        <f>IFERROR(INDEX(_ENGINE_Initiatives!$F$5:$F$532,MATCH(1,INDEX((_ENGINE_Initiatives!$B$5:$B$532=$C553)*(_ENGINE_Initiatives!$C$5:$C$532=$D553),0),0)),"")</f>
        <v>Build integrated risk, continuity and resilience control cycle</v>
      </c>
      <c r="AV553">
        <f>IFERROR(INDEX(_ENGINE_Initiatives!$AC$5:$AC$532,MATCH(1,INDEX((_ENGINE_Initiatives!$B$5:$B$532=$C553)*(_ENGINE_Initiatives!$C$5:$C$532=$D553),0),0)),"")</f>
        <v>2.63</v>
      </c>
      <c r="AW553" t="str">
        <f>IFERROR(INDEX(_ENGINE_Initiatives!$AE$5:$AE$532,MATCH(1,INDEX((_ENGINE_Initiatives!$B$5:$B$532=$C553)*(_ENGINE_Initiatives!$C$5:$C$532=$D553),0),0)),"")</f>
        <v>0-90 days</v>
      </c>
      <c r="AX553">
        <f>IF($B553="Yes",IFERROR((IF(SUMIFS(_REF_Model_Content!$E$1:$E$613,_REF_Model_Content!$A$1:$A$613,PV_Canonical_Industry,_REF_Model_Content!$B$1:$B$613,$C553)=0,1,SUMIFS(_REF_Model_Content!$E$1:$E$613,_REF_Model_Content!$A$1:$A$613,PV_Canonical_Industry,_REF_Model_Content!$B$1:$B$613,$C553))*IFERROR($BU553,1)),1),"")</f>
        <v>1</v>
      </c>
      <c r="AY553">
        <f t="shared" si="39"/>
        <v>16.2</v>
      </c>
      <c r="AZ553">
        <f t="shared" si="40"/>
        <v>1.6</v>
      </c>
      <c r="BB553" t="str">
        <f>IF($H553="","",IFERROR(INDEX(_ENGINE_Risk!$AE$5:$AE$499,MATCH($E553,_ENGINE_Risk!$A$5:$A$499,0)),"Medium"))</f>
        <v>Medium</v>
      </c>
      <c r="BC553">
        <f t="shared" si="41"/>
        <v>1</v>
      </c>
      <c r="BD553">
        <f t="shared" si="42"/>
        <v>1.6</v>
      </c>
      <c r="BF553">
        <f>IF(OR($H553="",$J553=""),"",IFERROR(VLOOKUP(ROUND($J553,0),_CONFIG_Model_Settings!$D$154:$E$158,2,0),""))</f>
        <v>0.5</v>
      </c>
      <c r="BG553">
        <f>IFERROR(IF(OR($H553="",$K553=""),"",ROUND('Company Profile'!$B$113*INDEX(_CONFIG_Model_Settings!$H$154:$H$158,MATCH(ROUND($K553,0),_CONFIG_Model_Settings!$G$154:$G$158,0)),0)),0)</f>
        <v>1875</v>
      </c>
      <c r="BH553">
        <f t="shared" si="43"/>
        <v>937.5</v>
      </c>
      <c r="BI553">
        <f t="shared" si="44"/>
        <v>937.5</v>
      </c>
      <c r="BJ553">
        <f>IF($E553="","",IFERROR(VLOOKUP($C553,_CONFIG_Risk_Calibration!$A$5:$H$21,2,FALSE),3))</f>
        <v>3</v>
      </c>
      <c r="BK553">
        <f>IF($E553="","",IFERROR(VLOOKUP($C553,_CONFIG_Risk_Calibration!$A$5:$H$21,3,FALSE),0))</f>
        <v>0</v>
      </c>
      <c r="BL553">
        <f>IF($E553="","",IFERROR(VLOOKUP($C553,_CONFIG_Risk_Calibration!$A$5:$H$21,4,FALSE),3))</f>
        <v>3</v>
      </c>
      <c r="BM553">
        <f>IF($E553="","",IFERROR(VLOOKUP($C553,_CONFIG_Risk_Calibration!$A$5:$H$21,5,FALSE),3))</f>
        <v>4</v>
      </c>
      <c r="BN553" t="str">
        <f>IF($E553="","",IFERROR(VLOOKUP($C553,_CONFIG_Risk_Calibration!$A$5:$H$21,6,FALSE),"No"))</f>
        <v>Yes</v>
      </c>
      <c r="BO553">
        <f>IF($E553="","",IFERROR(VLOOKUP($C553,_CONFIG_Risk_Calibration!$A$5:$H$21,7,FALSE),1))</f>
        <v>4</v>
      </c>
      <c r="BP553">
        <f>IF($H553="","",MAX(1,MIN(5,((6-$H553)*0.45)+($BJ553*0.2)+('Resilience &amp; Risk Scenario'!$B$7*0.15)+($BK553*0.1)+($BL553*0.05)+(IF($BB553="Fast",5,IF($BB553="Slow",1,3))*0.05))))</f>
        <v>3.6</v>
      </c>
      <c r="BQ553">
        <f t="shared" si="45"/>
        <v>4.5</v>
      </c>
      <c r="BR553">
        <f t="shared" si="46"/>
        <v>16.2</v>
      </c>
      <c r="BS553">
        <f t="shared" si="47"/>
        <v>17.82</v>
      </c>
      <c r="BT553" t="str">
        <f>IFERROR(INDEX(_REF_Capability_Bridge!$D:$D,MATCH($C553&amp;"|"&amp;$D553,_REF_Capability_Bridge!$J:$J,0)),IFERROR(INDEX(_REF_Capability_Bridge!$D:$D,MATCH($C553&amp;"|",_REF_Capability_Bridge!$J:$J,0)),"CAP_GENERIC"))</f>
        <v>CAP_BACKUP_RECOVERY</v>
      </c>
      <c r="BU553">
        <f>IFERROR(IFERROR(INDEX(_ENGINE_Relevance!$L:$L,MATCH($BT553,_ENGINE_Relevance!$B:$B,0)),1),1)</f>
        <v>1</v>
      </c>
      <c r="BV553" t="str">
        <f>IFERROR(INDEX(_REF_Capability_Bridge!$A:$A,MATCH($C553&amp;"|"&amp;$D553,_REF_Capability_Bridge!$J:$J,0)),IFERROR(INDEX(_REF_Capability_Bridge!$A:$A,MATCH($C553&amp;"|",_REF_Capability_Bridge!$J:$J,0)),"No bridge"))</f>
        <v>BRG-037</v>
      </c>
      <c r="BW553" t="str">
        <f t="shared" si="48"/>
        <v>Capability relevance neutral</v>
      </c>
      <c r="BX553" t="str">
        <f t="shared" si="49"/>
        <v>Initial / absent</v>
      </c>
      <c r="BY553" t="str">
        <f>IF($E553="","",IFERROR(INDEX(_REF_Treatment_Library!$A$2:$A$296,MATCH(1,INDEX((_REF_Treatment_Library!$B$2:$B$296=$BT553)*(_REF_Treatment_Library!$C$2:$C$296=PV_Canonical_Industry)*(_REF_Treatment_Library!$E$2:$E$296&lt;=N($H553))*(_REF_Treatment_Library!$F$2:$F$296&gt;=N($H553))*(_REF_Treatment_Library!$O$2:$O$296="Yes"),0),0)),IFERROR(INDEX(_REF_Treatment_Library!$A$2:$A$296,MATCH(1,INDEX((_REF_Treatment_Library!$B$2:$B$296=$BT553)*(_REF_Treatment_Library!$C$2:$C$296="All")*(_REF_Treatment_Library!$E$2:$E$296&lt;=N($H553))*(_REF_Treatment_Library!$F$2:$F$296&gt;=N($H553))*(_REF_Treatment_Library!$O$2:$O$296="Yes"),0),0)),"")))</f>
        <v>TRT-BACKUP_RECOVERY-INITIAL</v>
      </c>
      <c r="BZ553" t="str">
        <f>IF($BY553="","",IFERROR(INDEX(_REF_Treatment_Library!$H$2:$H$296,MATCH($BY553,_REF_Treatment_Library!$A$2:$A$296,0)),""))</f>
        <v>Establish</v>
      </c>
      <c r="CA553" t="str">
        <f>IF($BY553="","",IFERROR(INDEX(_REF_Treatment_Library!$I$2:$I$296,MATCH($BY553,_REF_Treatment_Library!$A$2:$A$296,0)),""))</f>
        <v>Establish baseline controls for Backup / recovery</v>
      </c>
      <c r="CB553" t="str">
        <f>IF($BY553="","",IFERROR(INDEX(_REF_Treatment_Library!$K$2:$K$296,MATCH($BY553,_REF_Treatment_Library!$A$2:$A$296,0)),""))</f>
        <v>Named owner, baseline process, minimum control checklist, first evidence package</v>
      </c>
      <c r="CC553" t="str">
        <f>IF($BY553="","",IFERROR(INDEX(_REF_Treatment_Library!$L$2:$L$296,MATCH($BY553,_REF_Treatment_Library!$A$2:$A$296,0)),""))</f>
        <v>Owner assigned; baseline evidence coverage; open critical gaps</v>
      </c>
      <c r="CD553" t="str">
        <f t="shared" si="50"/>
        <v>Treatment by capability=CAP_BACKUP_RECOVERY; band=Initial / absent; score=0.0; treatment=Establish</v>
      </c>
      <c r="CE553" t="str">
        <f>IF($E553="","",IFERROR(INDEX(_REF_Industry_Wording!$A$2:$A$70,MATCH(1,INDEX((_REF_Industry_Wording!$B$2:$B$70=$BT553)*(_REF_Industry_Wording!$C$2:$C$70=PV_Canonical_Industry)*(_REF_Industry_Wording!$K$2:$K$70="Yes"),0),0)),IFERROR(INDEX(_REF_Industry_Wording!$A$2:$A$70,MATCH(1,INDEX((_REF_Industry_Wording!$B$2:$B$70=$BT553)*(_REF_Industry_Wording!$C$2:$C$70="All")*(_REF_Industry_Wording!$K$2:$K$70="Yes"),0),0)),"")))</f>
        <v>IW-ALL-BACKUP_RECOVERY</v>
      </c>
      <c r="CF553" t="str">
        <f>IF($CE553="","",IFERROR(INDEX(_REF_Industry_Wording!$E$2:$E$70,MATCH($CE553,_REF_Industry_Wording!$A$2:$A$70,0)),""))</f>
        <v>Backup / recovery weakness</v>
      </c>
      <c r="CG553" t="str">
        <f>IF($CE553="","",IFERROR(INDEX(_REF_Industry_Wording!$F$2:$F$70,MATCH($CE553,_REF_Industry_Wording!$A$2:$A$70,0)),""))</f>
        <v>Strengthen Backup / recovery</v>
      </c>
      <c r="CH553" t="str">
        <f>IF($CE553="","",IFERROR(INDEX(_REF_Industry_Wording!$G$2:$G$70,MATCH($CE553,_REF_Industry_Wording!$A$2:$A$70,0)),""))</f>
        <v>Strengthen Backup / recovery using the selected maturity treatment, crisis scenario and evidence requirements.</v>
      </c>
      <c r="CI553" t="str">
        <f>IF($CE553="","",IFERROR(INDEX(_REF_Industry_Wording!$H$2:$H$70,MATCH($CE553,_REF_Industry_Wording!$A$2:$A$70,0)),""))</f>
        <v>Backup / recovery</v>
      </c>
      <c r="CJ553">
        <f>IF($CE553="","",IFERROR(INDEX(_REF_Industry_Wording!$I$2:$I$70,MATCH($CE553,_REF_Industry_Wording!$A$2:$A$70,0)),""))</f>
        <v>0</v>
      </c>
      <c r="CK553" t="str">
        <f>IF($CE553="","",IFERROR(INDEX(_REF_Industry_Wording!$J$2:$J$70,MATCH($CE553,_REF_Industry_Wording!$A$2:$A$70,0)),""))</f>
        <v>Backup / recovery</v>
      </c>
      <c r="CL553" t="str">
        <f t="shared" si="51"/>
        <v>Wording by industry=0; capability=CAP_BACKUP_RECOVERY; risk label=Backup / recovery weakness</v>
      </c>
      <c r="CM553" t="str">
        <f t="shared" si="52"/>
        <v>RISK-ONT-0054</v>
      </c>
      <c r="CN553" t="str">
        <f t="shared" si="53"/>
        <v>RISK-EVT-0054</v>
      </c>
      <c r="CO553" t="str">
        <f t="shared" si="54"/>
        <v>Governance Crisis|Risk and continuity|GOVE-009|CAP_BACKUP_RECOVERY</v>
      </c>
      <c r="CP553" t="str">
        <f t="shared" si="55"/>
        <v>Active</v>
      </c>
      <c r="CQ553" t="str">
        <f t="shared" si="56"/>
        <v>OK: capability-driven</v>
      </c>
      <c r="CR553" t="str">
        <f t="shared" si="57"/>
        <v>Risk ontology uses capability=CAP_BACKUP_RECOVERY; bridge=BRG-037; treatment=TRT-BACKUP_RECOVERY-INITIAL; wording=IW-ALL-BACKUP_RECOVERY</v>
      </c>
      <c r="CS553" t="str">
        <f t="shared" si="58"/>
        <v>Yes</v>
      </c>
    </row>
    <row r="554" spans="1:97" ht="69.900000000000006" customHeight="1">
      <c r="A554">
        <f>IF(OR($B554&lt;&gt;"Yes",$BS554=""),"",SUMPRODUCT(($B$500:$B$923="Yes")*ISNUMBER($BS$500:$BS$923)*($BS$500:$BS$923&gt;$BS554))+COUNTIFS($B$500:$B554,"Yes",$BS$500:$BS554,$BS554))</f>
        <v>221</v>
      </c>
      <c r="B554" t="str">
        <f t="shared" si="21"/>
        <v>Yes</v>
      </c>
      <c r="C554" t="s">
        <v>1150</v>
      </c>
      <c r="D554" t="s">
        <v>1161</v>
      </c>
      <c r="E554" t="s">
        <v>1190</v>
      </c>
      <c r="F554" t="s">
        <v>3681</v>
      </c>
      <c r="G554" t="str">
        <f>IF($H554="","",IFERROR(INDEX(_ENGINE_Risk!$H$5:$M$499,MATCH($E554,_ENGINE_Risk!$A$5:$A$499,0),$H554+1),""))</f>
        <v>Severe risk: business impact analysis across functions, sites, systems, people and suppliers is not reliably controlled. During All crisis types, the organization may face slow decisions, unclear escalation, duplicated actions and weak crisis command with limited visibility or accountability.</v>
      </c>
      <c r="H554">
        <f>IFERROR(VALUE(INDEX(_DATA_Assessment_Model!$H$5:$H$884,MATCH($E554,_DATA_Assessment_Model!$A$5:$A$884,0))),"")</f>
        <v>0</v>
      </c>
      <c r="I554" t="str">
        <f>IF($H554="","",IFERROR(INDEX(_DATA_Assessment_Model!$L$5:$L$884,MATCH($E554,_DATA_Assessment_Model!$A$5:$A$884,0)),IF($H554&lt;=1,"Critical",IF($H554=2,"High",IF($H554=3,"Medium",IF($H554=4,"Low","Resilient"))))))</f>
        <v>Critical</v>
      </c>
      <c r="J554">
        <f t="shared" si="22"/>
        <v>3.6</v>
      </c>
      <c r="K554">
        <f t="shared" si="23"/>
        <v>4.5</v>
      </c>
      <c r="L554">
        <f t="shared" si="24"/>
        <v>16.2</v>
      </c>
      <c r="M554">
        <f t="shared" si="25"/>
        <v>4</v>
      </c>
      <c r="N554">
        <f>IF($H554="","",IFERROR(INDEX(_ENGINE_Risk!$T$5:$Y$499,MATCH($E554,_ENGINE_Risk!$A$5:$A$499,0),$H554+1),""))</f>
        <v>3</v>
      </c>
      <c r="O554">
        <f t="shared" si="26"/>
        <v>4.666666666666667</v>
      </c>
      <c r="P554">
        <f t="shared" si="27"/>
        <v>5</v>
      </c>
      <c r="Q554">
        <f t="shared" si="28"/>
        <v>5</v>
      </c>
      <c r="R554">
        <f t="shared" si="29"/>
        <v>4.5</v>
      </c>
      <c r="S554">
        <f t="shared" si="30"/>
        <v>1.6</v>
      </c>
      <c r="T554" t="str">
        <f>IF($H554="","",IFERROR(INDEX(_ENGINE_Risk!$N$5:$S$499,MATCH($E554,_ENGINE_Risk!$A$5:$A$499,0),$H554+1),""))</f>
        <v>Create an immediate risk owner, minimum control baseline and fallback procedure for business impact analysis across functions, sites, systems, people and suppliers. Add it to the crisis risk register and collect first evidence.</v>
      </c>
      <c r="U554">
        <f>IFERROR(INDEX(_DATA_Assessment_Model!$G$5:$G$884,MATCH($E554,_DATA_Assessment_Model!$A$5:$A$884,0)),"")</f>
        <v>5</v>
      </c>
      <c r="V554">
        <f>IFERROR(INDEX(_DATA_Assessment_Model!$W$5:$W$884,MATCH($E554,_DATA_Assessment_Model!$A$5:$A$884,0)),"")</f>
        <v>4</v>
      </c>
      <c r="W554">
        <f>IFERROR(INDEX(_DATA_Assessment_Model!$X$5:$X$884,MATCH($E554,_DATA_Assessment_Model!$A$5:$A$884,0)),"")</f>
        <v>5</v>
      </c>
      <c r="X554">
        <f>IFERROR(INDEX(_DATA_Assessment_Model!$Y$5:$Y$884,MATCH($E554,_DATA_Assessment_Model!$A$5:$A$884,0)),"")</f>
        <v>5</v>
      </c>
      <c r="Y554" t="s">
        <v>1157</v>
      </c>
      <c r="Z554" t="s">
        <v>4591</v>
      </c>
      <c r="AA554" t="s">
        <v>1192</v>
      </c>
      <c r="AB554">
        <f>IFERROR(INDEX(_DATA_Assessment_Model!$U$5:$U$884,MATCH($E554,_DATA_Assessment_Model!$A$5:$A$884,0)),"")</f>
        <v>0</v>
      </c>
      <c r="AF554" t="s">
        <v>1191</v>
      </c>
      <c r="AO554">
        <f>IF($B554="Yes",IF(IFERROR(INDEX(_ENGINE_Crisis!$F$501:$F$517,MATCH($C554,_ENGINE_Crisis!$A$501:$A$517,0)),1)=0,1,IFERROR(INDEX(_ENGINE_Crisis!$F$501:$F$517,MATCH($C554,_ENGINE_Crisis!$A$501:$A$517,0)),1)),"")</f>
        <v>1</v>
      </c>
      <c r="AP554">
        <f t="shared" si="37"/>
        <v>16.2</v>
      </c>
      <c r="AQ554">
        <f t="shared" si="38"/>
        <v>1.6</v>
      </c>
      <c r="AR554" t="str">
        <f>IFERROR(INDEX(_ENGINE_Crisis!$E$41:$E$700,MATCH('Resilience &amp; Risk Scenario'!$B$6&amp;"|"&amp;$C554,_ENGINE_Crisis!$I$41:$I$700,0)),"")</f>
        <v/>
      </c>
      <c r="AS554" t="str">
        <f>IFERROR(INDEX(_ENGINE_Crisis!$G$41:$G$700,MATCH('Resilience &amp; Risk Scenario'!$B$6&amp;"|"&amp;$C554,_ENGINE_Crisis!$I$41:$I$700,0)),"")</f>
        <v/>
      </c>
      <c r="AT554" t="str">
        <f>IFERROR(INDEX(_ENGINE_Initiatives!$A$5:$A$532,MATCH(1,INDEX((_ENGINE_Initiatives!$B$5:$B$532=$C554)*(_ENGINE_Initiatives!$C$5:$C$532=$D554),0),0)),"")</f>
        <v>INI-009</v>
      </c>
      <c r="AU554" t="str">
        <f>IFERROR(INDEX(_ENGINE_Initiatives!$F$5:$F$532,MATCH(1,INDEX((_ENGINE_Initiatives!$B$5:$B$532=$C554)*(_ENGINE_Initiatives!$C$5:$C$532=$D554),0),0)),"")</f>
        <v>Build integrated risk, continuity and resilience control cycle</v>
      </c>
      <c r="AV554">
        <f>IFERROR(INDEX(_ENGINE_Initiatives!$AC$5:$AC$532,MATCH(1,INDEX((_ENGINE_Initiatives!$B$5:$B$532=$C554)*(_ENGINE_Initiatives!$C$5:$C$532=$D554),0),0)),"")</f>
        <v>2.63</v>
      </c>
      <c r="AW554" t="str">
        <f>IFERROR(INDEX(_ENGINE_Initiatives!$AE$5:$AE$532,MATCH(1,INDEX((_ENGINE_Initiatives!$B$5:$B$532=$C554)*(_ENGINE_Initiatives!$C$5:$C$532=$D554),0),0)),"")</f>
        <v>0-90 days</v>
      </c>
      <c r="AX554">
        <f>IF($B554="Yes",IFERROR((IF(SUMIFS(_REF_Model_Content!$E$1:$E$613,_REF_Model_Content!$A$1:$A$613,PV_Canonical_Industry,_REF_Model_Content!$B$1:$B$613,$C554)=0,1,SUMIFS(_REF_Model_Content!$E$1:$E$613,_REF_Model_Content!$A$1:$A$613,PV_Canonical_Industry,_REF_Model_Content!$B$1:$B$613,$C554))*IFERROR($BU554,1)),1),"")</f>
        <v>1</v>
      </c>
      <c r="AY554">
        <f t="shared" si="39"/>
        <v>16.2</v>
      </c>
      <c r="AZ554">
        <f t="shared" si="40"/>
        <v>1.6</v>
      </c>
      <c r="BB554" t="str">
        <f>IF($H554="","",IFERROR(INDEX(_ENGINE_Risk!$AE$5:$AE$499,MATCH($E554,_ENGINE_Risk!$A$5:$A$499,0)),"Medium"))</f>
        <v>Medium</v>
      </c>
      <c r="BC554">
        <f t="shared" si="41"/>
        <v>1</v>
      </c>
      <c r="BD554">
        <f t="shared" si="42"/>
        <v>1.6</v>
      </c>
      <c r="BF554">
        <f>IF(OR($H554="",$J554=""),"",IFERROR(VLOOKUP(ROUND($J554,0),_CONFIG_Model_Settings!$D$154:$E$158,2,0),""))</f>
        <v>0.5</v>
      </c>
      <c r="BG554">
        <f>IFERROR(IF(OR($H554="",$K554=""),"",ROUND('Company Profile'!$B$113*INDEX(_CONFIG_Model_Settings!$H$154:$H$158,MATCH(ROUND($K554,0),_CONFIG_Model_Settings!$G$154:$G$158,0)),0)),0)</f>
        <v>1875</v>
      </c>
      <c r="BH554">
        <f t="shared" si="43"/>
        <v>937.5</v>
      </c>
      <c r="BI554">
        <f t="shared" si="44"/>
        <v>937.5</v>
      </c>
      <c r="BJ554">
        <f>IF($E554="","",IFERROR(VLOOKUP($C554,_CONFIG_Risk_Calibration!$A$5:$H$21,2,FALSE),3))</f>
        <v>3</v>
      </c>
      <c r="BK554">
        <f>IF($E554="","",IFERROR(VLOOKUP($C554,_CONFIG_Risk_Calibration!$A$5:$H$21,3,FALSE),0))</f>
        <v>0</v>
      </c>
      <c r="BL554">
        <f>IF($E554="","",IFERROR(VLOOKUP($C554,_CONFIG_Risk_Calibration!$A$5:$H$21,4,FALSE),3))</f>
        <v>3</v>
      </c>
      <c r="BM554">
        <f>IF($E554="","",IFERROR(VLOOKUP($C554,_CONFIG_Risk_Calibration!$A$5:$H$21,5,FALSE),3))</f>
        <v>4</v>
      </c>
      <c r="BN554" t="str">
        <f>IF($E554="","",IFERROR(VLOOKUP($C554,_CONFIG_Risk_Calibration!$A$5:$H$21,6,FALSE),"No"))</f>
        <v>Yes</v>
      </c>
      <c r="BO554">
        <f>IF($E554="","",IFERROR(VLOOKUP($C554,_CONFIG_Risk_Calibration!$A$5:$H$21,7,FALSE),1))</f>
        <v>4</v>
      </c>
      <c r="BP554">
        <f>IF($H554="","",MAX(1,MIN(5,((6-$H554)*0.45)+($BJ554*0.2)+('Resilience &amp; Risk Scenario'!$B$7*0.15)+($BK554*0.1)+($BL554*0.05)+(IF($BB554="Fast",5,IF($BB554="Slow",1,3))*0.05))))</f>
        <v>3.6</v>
      </c>
      <c r="BQ554">
        <f t="shared" si="45"/>
        <v>4.5</v>
      </c>
      <c r="BR554">
        <f t="shared" si="46"/>
        <v>16.2</v>
      </c>
      <c r="BS554">
        <f t="shared" si="47"/>
        <v>17.82</v>
      </c>
      <c r="BT554" t="str">
        <f>IFERROR(INDEX(_REF_Capability_Bridge!$D:$D,MATCH($C554&amp;"|"&amp;$D554,_REF_Capability_Bridge!$J:$J,0)),IFERROR(INDEX(_REF_Capability_Bridge!$D:$D,MATCH($C554&amp;"|",_REF_Capability_Bridge!$J:$J,0)),"CAP_GENERIC"))</f>
        <v>CAP_BACKUP_RECOVERY</v>
      </c>
      <c r="BU554">
        <f>IFERROR(IFERROR(INDEX(_ENGINE_Relevance!$L:$L,MATCH($BT554,_ENGINE_Relevance!$B:$B,0)),1),1)</f>
        <v>1</v>
      </c>
      <c r="BV554" t="str">
        <f>IFERROR(INDEX(_REF_Capability_Bridge!$A:$A,MATCH($C554&amp;"|"&amp;$D554,_REF_Capability_Bridge!$J:$J,0)),IFERROR(INDEX(_REF_Capability_Bridge!$A:$A,MATCH($C554&amp;"|",_REF_Capability_Bridge!$J:$J,0)),"No bridge"))</f>
        <v>BRG-037</v>
      </c>
      <c r="BW554" t="str">
        <f t="shared" si="48"/>
        <v>Capability relevance neutral</v>
      </c>
      <c r="BX554" t="str">
        <f t="shared" si="49"/>
        <v>Initial / absent</v>
      </c>
      <c r="BY554" t="str">
        <f>IF($E554="","",IFERROR(INDEX(_REF_Treatment_Library!$A$2:$A$296,MATCH(1,INDEX((_REF_Treatment_Library!$B$2:$B$296=$BT554)*(_REF_Treatment_Library!$C$2:$C$296=PV_Canonical_Industry)*(_REF_Treatment_Library!$E$2:$E$296&lt;=N($H554))*(_REF_Treatment_Library!$F$2:$F$296&gt;=N($H554))*(_REF_Treatment_Library!$O$2:$O$296="Yes"),0),0)),IFERROR(INDEX(_REF_Treatment_Library!$A$2:$A$296,MATCH(1,INDEX((_REF_Treatment_Library!$B$2:$B$296=$BT554)*(_REF_Treatment_Library!$C$2:$C$296="All")*(_REF_Treatment_Library!$E$2:$E$296&lt;=N($H554))*(_REF_Treatment_Library!$F$2:$F$296&gt;=N($H554))*(_REF_Treatment_Library!$O$2:$O$296="Yes"),0),0)),"")))</f>
        <v>TRT-BACKUP_RECOVERY-INITIAL</v>
      </c>
      <c r="BZ554" t="str">
        <f>IF($BY554="","",IFERROR(INDEX(_REF_Treatment_Library!$H$2:$H$296,MATCH($BY554,_REF_Treatment_Library!$A$2:$A$296,0)),""))</f>
        <v>Establish</v>
      </c>
      <c r="CA554" t="str">
        <f>IF($BY554="","",IFERROR(INDEX(_REF_Treatment_Library!$I$2:$I$296,MATCH($BY554,_REF_Treatment_Library!$A$2:$A$296,0)),""))</f>
        <v>Establish baseline controls for Backup / recovery</v>
      </c>
      <c r="CB554" t="str">
        <f>IF($BY554="","",IFERROR(INDEX(_REF_Treatment_Library!$K$2:$K$296,MATCH($BY554,_REF_Treatment_Library!$A$2:$A$296,0)),""))</f>
        <v>Named owner, baseline process, minimum control checklist, first evidence package</v>
      </c>
      <c r="CC554" t="str">
        <f>IF($BY554="","",IFERROR(INDEX(_REF_Treatment_Library!$L$2:$L$296,MATCH($BY554,_REF_Treatment_Library!$A$2:$A$296,0)),""))</f>
        <v>Owner assigned; baseline evidence coverage; open critical gaps</v>
      </c>
      <c r="CD554" t="str">
        <f t="shared" si="50"/>
        <v>Treatment by capability=CAP_BACKUP_RECOVERY; band=Initial / absent; score=0.0; treatment=Establish</v>
      </c>
      <c r="CE554" t="str">
        <f>IF($E554="","",IFERROR(INDEX(_REF_Industry_Wording!$A$2:$A$70,MATCH(1,INDEX((_REF_Industry_Wording!$B$2:$B$70=$BT554)*(_REF_Industry_Wording!$C$2:$C$70=PV_Canonical_Industry)*(_REF_Industry_Wording!$K$2:$K$70="Yes"),0),0)),IFERROR(INDEX(_REF_Industry_Wording!$A$2:$A$70,MATCH(1,INDEX((_REF_Industry_Wording!$B$2:$B$70=$BT554)*(_REF_Industry_Wording!$C$2:$C$70="All")*(_REF_Industry_Wording!$K$2:$K$70="Yes"),0),0)),"")))</f>
        <v>IW-ALL-BACKUP_RECOVERY</v>
      </c>
      <c r="CF554" t="str">
        <f>IF($CE554="","",IFERROR(INDEX(_REF_Industry_Wording!$E$2:$E$70,MATCH($CE554,_REF_Industry_Wording!$A$2:$A$70,0)),""))</f>
        <v>Backup / recovery weakness</v>
      </c>
      <c r="CG554" t="str">
        <f>IF($CE554="","",IFERROR(INDEX(_REF_Industry_Wording!$F$2:$F$70,MATCH($CE554,_REF_Industry_Wording!$A$2:$A$70,0)),""))</f>
        <v>Strengthen Backup / recovery</v>
      </c>
      <c r="CH554" t="str">
        <f>IF($CE554="","",IFERROR(INDEX(_REF_Industry_Wording!$G$2:$G$70,MATCH($CE554,_REF_Industry_Wording!$A$2:$A$70,0)),""))</f>
        <v>Strengthen Backup / recovery using the selected maturity treatment, crisis scenario and evidence requirements.</v>
      </c>
      <c r="CI554" t="str">
        <f>IF($CE554="","",IFERROR(INDEX(_REF_Industry_Wording!$H$2:$H$70,MATCH($CE554,_REF_Industry_Wording!$A$2:$A$70,0)),""))</f>
        <v>Backup / recovery</v>
      </c>
      <c r="CJ554">
        <f>IF($CE554="","",IFERROR(INDEX(_REF_Industry_Wording!$I$2:$I$70,MATCH($CE554,_REF_Industry_Wording!$A$2:$A$70,0)),""))</f>
        <v>0</v>
      </c>
      <c r="CK554" t="str">
        <f>IF($CE554="","",IFERROR(INDEX(_REF_Industry_Wording!$J$2:$J$70,MATCH($CE554,_REF_Industry_Wording!$A$2:$A$70,0)),""))</f>
        <v>Backup / recovery</v>
      </c>
      <c r="CL554" t="str">
        <f t="shared" si="51"/>
        <v>Wording by industry=0; capability=CAP_BACKUP_RECOVERY; risk label=Backup / recovery weakness</v>
      </c>
      <c r="CM554" t="str">
        <f t="shared" si="52"/>
        <v>RISK-ONT-0055</v>
      </c>
      <c r="CN554" t="str">
        <f t="shared" si="53"/>
        <v>RISK-EVT-0055</v>
      </c>
      <c r="CO554" t="str">
        <f t="shared" si="54"/>
        <v>Governance Crisis|Risk and continuity|GOVE-010|CAP_BACKUP_RECOVERY</v>
      </c>
      <c r="CP554" t="str">
        <f t="shared" si="55"/>
        <v>Active</v>
      </c>
      <c r="CQ554" t="str">
        <f t="shared" si="56"/>
        <v>OK: capability-driven</v>
      </c>
      <c r="CR554" t="str">
        <f t="shared" si="57"/>
        <v>Risk ontology uses capability=CAP_BACKUP_RECOVERY; bridge=BRG-037; treatment=TRT-BACKUP_RECOVERY-INITIAL; wording=IW-ALL-BACKUP_RECOVERY</v>
      </c>
      <c r="CS554" t="str">
        <f t="shared" si="58"/>
        <v>Yes</v>
      </c>
    </row>
    <row r="555" spans="1:97" ht="69.900000000000006" customHeight="1">
      <c r="A555">
        <f>IF(OR($B555&lt;&gt;"Yes",$BS555=""),"",SUMPRODUCT(($B$500:$B$923="Yes")*ISNUMBER($BS$500:$BS$923)*($BS$500:$BS$923&gt;$BS555))+COUNTIFS($B$500:$B555,"Yes",$BS$500:$BS555,$BS555))</f>
        <v>222</v>
      </c>
      <c r="B555" t="str">
        <f t="shared" si="21"/>
        <v>Yes</v>
      </c>
      <c r="C555" t="s">
        <v>1150</v>
      </c>
      <c r="D555" t="s">
        <v>1161</v>
      </c>
      <c r="E555" t="s">
        <v>1193</v>
      </c>
      <c r="F555" t="s">
        <v>3681</v>
      </c>
      <c r="G555" t="str">
        <f>IF($H555="","",IFERROR(INDEX(_ENGINE_Risk!$H$5:$M$499,MATCH($E555,_ENGINE_Risk!$A$5:$A$499,0),$H555+1),""))</f>
        <v>Severe risk: business continuity plans covering critical processes, people, systems, sites, suppliers and communication is not reliably controlled. During All crisis types, the organization may face slow decisions, unclear escalation, duplicated actions and weak crisis command with limited visibility or accountability.</v>
      </c>
      <c r="H555">
        <f>IFERROR(VALUE(INDEX(_DATA_Assessment_Model!$H$5:$H$884,MATCH($E555,_DATA_Assessment_Model!$A$5:$A$884,0))),"")</f>
        <v>0</v>
      </c>
      <c r="I555" t="str">
        <f>IF($H555="","",IFERROR(INDEX(_DATA_Assessment_Model!$L$5:$L$884,MATCH($E555,_DATA_Assessment_Model!$A$5:$A$884,0)),IF($H555&lt;=1,"Critical",IF($H555=2,"High",IF($H555=3,"Medium",IF($H555=4,"Low","Resilient"))))))</f>
        <v>Critical</v>
      </c>
      <c r="J555">
        <f t="shared" si="22"/>
        <v>3.6</v>
      </c>
      <c r="K555">
        <f t="shared" si="23"/>
        <v>4.5</v>
      </c>
      <c r="L555">
        <f t="shared" si="24"/>
        <v>16.2</v>
      </c>
      <c r="M555">
        <f t="shared" si="25"/>
        <v>4</v>
      </c>
      <c r="N555">
        <f>IF($H555="","",IFERROR(INDEX(_ENGINE_Risk!$T$5:$Y$499,MATCH($E555,_ENGINE_Risk!$A$5:$A$499,0),$H555+1),""))</f>
        <v>3</v>
      </c>
      <c r="O555">
        <f t="shared" si="26"/>
        <v>4.666666666666667</v>
      </c>
      <c r="P555">
        <f t="shared" si="27"/>
        <v>5</v>
      </c>
      <c r="Q555">
        <f t="shared" si="28"/>
        <v>5</v>
      </c>
      <c r="R555">
        <f t="shared" si="29"/>
        <v>4.5</v>
      </c>
      <c r="S555">
        <f t="shared" si="30"/>
        <v>1.6</v>
      </c>
      <c r="T555" t="str">
        <f>IF($H555="","",IFERROR(INDEX(_ENGINE_Risk!$N$5:$S$499,MATCH($E555,_ENGINE_Risk!$A$5:$A$499,0),$H555+1),""))</f>
        <v>Create an immediate risk owner, minimum control baseline and fallback procedure for business continuity plans covering critical processes, people, systems, sites, suppliers and communication. Add it to the crisis risk register and collect first evidence.</v>
      </c>
      <c r="U555">
        <f>IFERROR(INDEX(_DATA_Assessment_Model!$G$5:$G$884,MATCH($E555,_DATA_Assessment_Model!$A$5:$A$884,0)),"")</f>
        <v>5</v>
      </c>
      <c r="V555">
        <f>IFERROR(INDEX(_DATA_Assessment_Model!$W$5:$W$884,MATCH($E555,_DATA_Assessment_Model!$A$5:$A$884,0)),"")</f>
        <v>4</v>
      </c>
      <c r="W555">
        <f>IFERROR(INDEX(_DATA_Assessment_Model!$X$5:$X$884,MATCH($E555,_DATA_Assessment_Model!$A$5:$A$884,0)),"")</f>
        <v>5</v>
      </c>
      <c r="X555">
        <f>IFERROR(INDEX(_DATA_Assessment_Model!$Y$5:$Y$884,MATCH($E555,_DATA_Assessment_Model!$A$5:$A$884,0)),"")</f>
        <v>5</v>
      </c>
      <c r="Y555" t="s">
        <v>1157</v>
      </c>
      <c r="Z555" t="s">
        <v>4591</v>
      </c>
      <c r="AA555" t="s">
        <v>1195</v>
      </c>
      <c r="AB555">
        <f>IFERROR(INDEX(_DATA_Assessment_Model!$U$5:$U$884,MATCH($E555,_DATA_Assessment_Model!$A$5:$A$884,0)),"")</f>
        <v>0</v>
      </c>
      <c r="AF555" t="s">
        <v>1194</v>
      </c>
      <c r="AO555">
        <f>IF($B555="Yes",IF(IFERROR(INDEX(_ENGINE_Crisis!$F$501:$F$517,MATCH($C555,_ENGINE_Crisis!$A$501:$A$517,0)),1)=0,1,IFERROR(INDEX(_ENGINE_Crisis!$F$501:$F$517,MATCH($C555,_ENGINE_Crisis!$A$501:$A$517,0)),1)),"")</f>
        <v>1</v>
      </c>
      <c r="AP555">
        <f t="shared" si="37"/>
        <v>16.2</v>
      </c>
      <c r="AQ555">
        <f t="shared" si="38"/>
        <v>1.6</v>
      </c>
      <c r="AR555" t="str">
        <f>IFERROR(INDEX(_ENGINE_Crisis!$E$41:$E$700,MATCH('Resilience &amp; Risk Scenario'!$B$6&amp;"|"&amp;$C555,_ENGINE_Crisis!$I$41:$I$700,0)),"")</f>
        <v/>
      </c>
      <c r="AS555" t="str">
        <f>IFERROR(INDEX(_ENGINE_Crisis!$G$41:$G$700,MATCH('Resilience &amp; Risk Scenario'!$B$6&amp;"|"&amp;$C555,_ENGINE_Crisis!$I$41:$I$700,0)),"")</f>
        <v/>
      </c>
      <c r="AT555" t="str">
        <f>IFERROR(INDEX(_ENGINE_Initiatives!$A$5:$A$532,MATCH(1,INDEX((_ENGINE_Initiatives!$B$5:$B$532=$C555)*(_ENGINE_Initiatives!$C$5:$C$532=$D555),0),0)),"")</f>
        <v>INI-009</v>
      </c>
      <c r="AU555" t="str">
        <f>IFERROR(INDEX(_ENGINE_Initiatives!$F$5:$F$532,MATCH(1,INDEX((_ENGINE_Initiatives!$B$5:$B$532=$C555)*(_ENGINE_Initiatives!$C$5:$C$532=$D555),0),0)),"")</f>
        <v>Build integrated risk, continuity and resilience control cycle</v>
      </c>
      <c r="AV555">
        <f>IFERROR(INDEX(_ENGINE_Initiatives!$AC$5:$AC$532,MATCH(1,INDEX((_ENGINE_Initiatives!$B$5:$B$532=$C555)*(_ENGINE_Initiatives!$C$5:$C$532=$D555),0),0)),"")</f>
        <v>2.63</v>
      </c>
      <c r="AW555" t="str">
        <f>IFERROR(INDEX(_ENGINE_Initiatives!$AE$5:$AE$532,MATCH(1,INDEX((_ENGINE_Initiatives!$B$5:$B$532=$C555)*(_ENGINE_Initiatives!$C$5:$C$532=$D555),0),0)),"")</f>
        <v>0-90 days</v>
      </c>
      <c r="AX555">
        <f>IF($B555="Yes",IFERROR((IF(SUMIFS(_REF_Model_Content!$E$1:$E$613,_REF_Model_Content!$A$1:$A$613,PV_Canonical_Industry,_REF_Model_Content!$B$1:$B$613,$C555)=0,1,SUMIFS(_REF_Model_Content!$E$1:$E$613,_REF_Model_Content!$A$1:$A$613,PV_Canonical_Industry,_REF_Model_Content!$B$1:$B$613,$C555))*IFERROR($BU555,1)),1),"")</f>
        <v>1</v>
      </c>
      <c r="AY555">
        <f t="shared" si="39"/>
        <v>16.2</v>
      </c>
      <c r="AZ555">
        <f t="shared" si="40"/>
        <v>1.6</v>
      </c>
      <c r="BB555" t="str">
        <f>IF($H555="","",IFERROR(INDEX(_ENGINE_Risk!$AE$5:$AE$499,MATCH($E555,_ENGINE_Risk!$A$5:$A$499,0)),"Medium"))</f>
        <v>Medium</v>
      </c>
      <c r="BC555">
        <f t="shared" si="41"/>
        <v>1</v>
      </c>
      <c r="BD555">
        <f t="shared" si="42"/>
        <v>1.6</v>
      </c>
      <c r="BF555">
        <f>IF(OR($H555="",$J555=""),"",IFERROR(VLOOKUP(ROUND($J555,0),_CONFIG_Model_Settings!$D$154:$E$158,2,0),""))</f>
        <v>0.5</v>
      </c>
      <c r="BG555">
        <f>IFERROR(IF(OR($H555="",$K555=""),"",ROUND('Company Profile'!$B$113*INDEX(_CONFIG_Model_Settings!$H$154:$H$158,MATCH(ROUND($K555,0),_CONFIG_Model_Settings!$G$154:$G$158,0)),0)),0)</f>
        <v>1875</v>
      </c>
      <c r="BH555">
        <f t="shared" si="43"/>
        <v>937.5</v>
      </c>
      <c r="BI555">
        <f t="shared" si="44"/>
        <v>937.5</v>
      </c>
      <c r="BJ555">
        <f>IF($E555="","",IFERROR(VLOOKUP($C555,_CONFIG_Risk_Calibration!$A$5:$H$21,2,FALSE),3))</f>
        <v>3</v>
      </c>
      <c r="BK555">
        <f>IF($E555="","",IFERROR(VLOOKUP($C555,_CONFIG_Risk_Calibration!$A$5:$H$21,3,FALSE),0))</f>
        <v>0</v>
      </c>
      <c r="BL555">
        <f>IF($E555="","",IFERROR(VLOOKUP($C555,_CONFIG_Risk_Calibration!$A$5:$H$21,4,FALSE),3))</f>
        <v>3</v>
      </c>
      <c r="BM555">
        <f>IF($E555="","",IFERROR(VLOOKUP($C555,_CONFIG_Risk_Calibration!$A$5:$H$21,5,FALSE),3))</f>
        <v>4</v>
      </c>
      <c r="BN555" t="str">
        <f>IF($E555="","",IFERROR(VLOOKUP($C555,_CONFIG_Risk_Calibration!$A$5:$H$21,6,FALSE),"No"))</f>
        <v>Yes</v>
      </c>
      <c r="BO555">
        <f>IF($E555="","",IFERROR(VLOOKUP($C555,_CONFIG_Risk_Calibration!$A$5:$H$21,7,FALSE),1))</f>
        <v>4</v>
      </c>
      <c r="BP555">
        <f>IF($H555="","",MAX(1,MIN(5,((6-$H555)*0.45)+($BJ555*0.2)+('Resilience &amp; Risk Scenario'!$B$7*0.15)+($BK555*0.1)+($BL555*0.05)+(IF($BB555="Fast",5,IF($BB555="Slow",1,3))*0.05))))</f>
        <v>3.6</v>
      </c>
      <c r="BQ555">
        <f t="shared" si="45"/>
        <v>4.5</v>
      </c>
      <c r="BR555">
        <f t="shared" si="46"/>
        <v>16.2</v>
      </c>
      <c r="BS555">
        <f t="shared" si="47"/>
        <v>17.82</v>
      </c>
      <c r="BT555" t="str">
        <f>IFERROR(INDEX(_REF_Capability_Bridge!$D:$D,MATCH($C555&amp;"|"&amp;$D555,_REF_Capability_Bridge!$J:$J,0)),IFERROR(INDEX(_REF_Capability_Bridge!$D:$D,MATCH($C555&amp;"|",_REF_Capability_Bridge!$J:$J,0)),"CAP_GENERIC"))</f>
        <v>CAP_BACKUP_RECOVERY</v>
      </c>
      <c r="BU555">
        <f>IFERROR(IFERROR(INDEX(_ENGINE_Relevance!$L:$L,MATCH($BT555,_ENGINE_Relevance!$B:$B,0)),1),1)</f>
        <v>1</v>
      </c>
      <c r="BV555" t="str">
        <f>IFERROR(INDEX(_REF_Capability_Bridge!$A:$A,MATCH($C555&amp;"|"&amp;$D555,_REF_Capability_Bridge!$J:$J,0)),IFERROR(INDEX(_REF_Capability_Bridge!$A:$A,MATCH($C555&amp;"|",_REF_Capability_Bridge!$J:$J,0)),"No bridge"))</f>
        <v>BRG-037</v>
      </c>
      <c r="BW555" t="str">
        <f t="shared" si="48"/>
        <v>Capability relevance neutral</v>
      </c>
      <c r="BX555" t="str">
        <f t="shared" si="49"/>
        <v>Initial / absent</v>
      </c>
      <c r="BY555" t="str">
        <f>IF($E555="","",IFERROR(INDEX(_REF_Treatment_Library!$A$2:$A$296,MATCH(1,INDEX((_REF_Treatment_Library!$B$2:$B$296=$BT555)*(_REF_Treatment_Library!$C$2:$C$296=PV_Canonical_Industry)*(_REF_Treatment_Library!$E$2:$E$296&lt;=N($H555))*(_REF_Treatment_Library!$F$2:$F$296&gt;=N($H555))*(_REF_Treatment_Library!$O$2:$O$296="Yes"),0),0)),IFERROR(INDEX(_REF_Treatment_Library!$A$2:$A$296,MATCH(1,INDEX((_REF_Treatment_Library!$B$2:$B$296=$BT555)*(_REF_Treatment_Library!$C$2:$C$296="All")*(_REF_Treatment_Library!$E$2:$E$296&lt;=N($H555))*(_REF_Treatment_Library!$F$2:$F$296&gt;=N($H555))*(_REF_Treatment_Library!$O$2:$O$296="Yes"),0),0)),"")))</f>
        <v>TRT-BACKUP_RECOVERY-INITIAL</v>
      </c>
      <c r="BZ555" t="str">
        <f>IF($BY555="","",IFERROR(INDEX(_REF_Treatment_Library!$H$2:$H$296,MATCH($BY555,_REF_Treatment_Library!$A$2:$A$296,0)),""))</f>
        <v>Establish</v>
      </c>
      <c r="CA555" t="str">
        <f>IF($BY555="","",IFERROR(INDEX(_REF_Treatment_Library!$I$2:$I$296,MATCH($BY555,_REF_Treatment_Library!$A$2:$A$296,0)),""))</f>
        <v>Establish baseline controls for Backup / recovery</v>
      </c>
      <c r="CB555" t="str">
        <f>IF($BY555="","",IFERROR(INDEX(_REF_Treatment_Library!$K$2:$K$296,MATCH($BY555,_REF_Treatment_Library!$A$2:$A$296,0)),""))</f>
        <v>Named owner, baseline process, minimum control checklist, first evidence package</v>
      </c>
      <c r="CC555" t="str">
        <f>IF($BY555="","",IFERROR(INDEX(_REF_Treatment_Library!$L$2:$L$296,MATCH($BY555,_REF_Treatment_Library!$A$2:$A$296,0)),""))</f>
        <v>Owner assigned; baseline evidence coverage; open critical gaps</v>
      </c>
      <c r="CD555" t="str">
        <f t="shared" si="50"/>
        <v>Treatment by capability=CAP_BACKUP_RECOVERY; band=Initial / absent; score=0.0; treatment=Establish</v>
      </c>
      <c r="CE555" t="str">
        <f>IF($E555="","",IFERROR(INDEX(_REF_Industry_Wording!$A$2:$A$70,MATCH(1,INDEX((_REF_Industry_Wording!$B$2:$B$70=$BT555)*(_REF_Industry_Wording!$C$2:$C$70=PV_Canonical_Industry)*(_REF_Industry_Wording!$K$2:$K$70="Yes"),0),0)),IFERROR(INDEX(_REF_Industry_Wording!$A$2:$A$70,MATCH(1,INDEX((_REF_Industry_Wording!$B$2:$B$70=$BT555)*(_REF_Industry_Wording!$C$2:$C$70="All")*(_REF_Industry_Wording!$K$2:$K$70="Yes"),0),0)),"")))</f>
        <v>IW-ALL-BACKUP_RECOVERY</v>
      </c>
      <c r="CF555" t="str">
        <f>IF($CE555="","",IFERROR(INDEX(_REF_Industry_Wording!$E$2:$E$70,MATCH($CE555,_REF_Industry_Wording!$A$2:$A$70,0)),""))</f>
        <v>Backup / recovery weakness</v>
      </c>
      <c r="CG555" t="str">
        <f>IF($CE555="","",IFERROR(INDEX(_REF_Industry_Wording!$F$2:$F$70,MATCH($CE555,_REF_Industry_Wording!$A$2:$A$70,0)),""))</f>
        <v>Strengthen Backup / recovery</v>
      </c>
      <c r="CH555" t="str">
        <f>IF($CE555="","",IFERROR(INDEX(_REF_Industry_Wording!$G$2:$G$70,MATCH($CE555,_REF_Industry_Wording!$A$2:$A$70,0)),""))</f>
        <v>Strengthen Backup / recovery using the selected maturity treatment, crisis scenario and evidence requirements.</v>
      </c>
      <c r="CI555" t="str">
        <f>IF($CE555="","",IFERROR(INDEX(_REF_Industry_Wording!$H$2:$H$70,MATCH($CE555,_REF_Industry_Wording!$A$2:$A$70,0)),""))</f>
        <v>Backup / recovery</v>
      </c>
      <c r="CJ555">
        <f>IF($CE555="","",IFERROR(INDEX(_REF_Industry_Wording!$I$2:$I$70,MATCH($CE555,_REF_Industry_Wording!$A$2:$A$70,0)),""))</f>
        <v>0</v>
      </c>
      <c r="CK555" t="str">
        <f>IF($CE555="","",IFERROR(INDEX(_REF_Industry_Wording!$J$2:$J$70,MATCH($CE555,_REF_Industry_Wording!$A$2:$A$70,0)),""))</f>
        <v>Backup / recovery</v>
      </c>
      <c r="CL555" t="str">
        <f t="shared" si="51"/>
        <v>Wording by industry=0; capability=CAP_BACKUP_RECOVERY; risk label=Backup / recovery weakness</v>
      </c>
      <c r="CM555" t="str">
        <f t="shared" si="52"/>
        <v>RISK-ONT-0056</v>
      </c>
      <c r="CN555" t="str">
        <f t="shared" si="53"/>
        <v>RISK-EVT-0056</v>
      </c>
      <c r="CO555" t="str">
        <f t="shared" si="54"/>
        <v>Governance Crisis|Risk and continuity|GOVE-011|CAP_BACKUP_RECOVERY</v>
      </c>
      <c r="CP555" t="str">
        <f t="shared" si="55"/>
        <v>Active</v>
      </c>
      <c r="CQ555" t="str">
        <f t="shared" si="56"/>
        <v>OK: capability-driven</v>
      </c>
      <c r="CR555" t="str">
        <f t="shared" si="57"/>
        <v>Risk ontology uses capability=CAP_BACKUP_RECOVERY; bridge=BRG-037; treatment=TRT-BACKUP_RECOVERY-INITIAL; wording=IW-ALL-BACKUP_RECOVERY</v>
      </c>
      <c r="CS555" t="str">
        <f t="shared" si="58"/>
        <v>Yes</v>
      </c>
    </row>
    <row r="556" spans="1:97" ht="69.900000000000006" customHeight="1">
      <c r="A556">
        <f>IF(OR($B556&lt;&gt;"Yes",$BS556=""),"",SUMPRODUCT(($B$500:$B$923="Yes")*ISNUMBER($BS$500:$BS$923)*($BS$500:$BS$923&gt;$BS556))+COUNTIFS($B$500:$B556,"Yes",$BS$500:$BS556,$BS556))</f>
        <v>179</v>
      </c>
      <c r="B556" t="str">
        <f t="shared" si="21"/>
        <v>Yes</v>
      </c>
      <c r="C556" t="s">
        <v>1150</v>
      </c>
      <c r="D556" t="s">
        <v>1161</v>
      </c>
      <c r="E556" t="s">
        <v>1196</v>
      </c>
      <c r="F556" t="s">
        <v>3681</v>
      </c>
      <c r="G556" t="str">
        <f>IF($H556="","",IFERROR(INDEX(_ENGINE_Risk!$H$5:$M$499,MATCH($E556,_ENGINE_Risk!$A$5:$A$499,0),$H556+1),""))</f>
        <v>Severe risk: scenario library covering cyberattack, war/security, site loss, supplier disruption, cloud outage, pandemic, demand shock and liquidity crisis is not reliably controlled. During All crisis types, the organization may face slow decisions, unclear escalation, duplicated actions and weak crisis command with limited visibility or accountability.</v>
      </c>
      <c r="H556">
        <f>IFERROR(VALUE(INDEX(_DATA_Assessment_Model!$H$5:$H$884,MATCH($E556,_DATA_Assessment_Model!$A$5:$A$884,0))),"")</f>
        <v>0</v>
      </c>
      <c r="I556" t="str">
        <f>IF($H556="","",IFERROR(INDEX(_DATA_Assessment_Model!$L$5:$L$884,MATCH($E556,_DATA_Assessment_Model!$A$5:$A$884,0)),IF($H556&lt;=1,"Critical",IF($H556=2,"High",IF($H556=3,"Medium",IF($H556=4,"Low","Resilient"))))))</f>
        <v>Critical</v>
      </c>
      <c r="J556">
        <f t="shared" si="22"/>
        <v>3.6</v>
      </c>
      <c r="K556">
        <f t="shared" si="23"/>
        <v>4.6499999999999995</v>
      </c>
      <c r="L556">
        <f t="shared" si="24"/>
        <v>16.739999999999998</v>
      </c>
      <c r="M556">
        <f t="shared" si="25"/>
        <v>4</v>
      </c>
      <c r="N556">
        <f>IF($H556="","",IFERROR(INDEX(_ENGINE_Risk!$T$5:$Y$499,MATCH($E556,_ENGINE_Risk!$A$5:$A$499,0),$H556+1),""))</f>
        <v>3</v>
      </c>
      <c r="O556">
        <f t="shared" si="26"/>
        <v>5</v>
      </c>
      <c r="P556">
        <f t="shared" si="27"/>
        <v>5</v>
      </c>
      <c r="Q556">
        <f t="shared" si="28"/>
        <v>5</v>
      </c>
      <c r="R556">
        <f t="shared" si="29"/>
        <v>5</v>
      </c>
      <c r="S556">
        <f t="shared" si="30"/>
        <v>1.67</v>
      </c>
      <c r="T556" t="str">
        <f>IF($H556="","",IFERROR(INDEX(_ENGINE_Risk!$N$5:$S$499,MATCH($E556,_ENGINE_Risk!$A$5:$A$499,0),$H556+1),""))</f>
        <v>Create an immediate risk owner, minimum control baseline and fallback procedure for scenario library covering cyberattack, war/security, site loss, supplier disruption, cloud outage, pandemic, demand shock and liquidity crisis. Add it to the crisis risk register and collect first evidence.</v>
      </c>
      <c r="U556">
        <f>IFERROR(INDEX(_DATA_Assessment_Model!$G$5:$G$884,MATCH($E556,_DATA_Assessment_Model!$A$5:$A$884,0)),"")</f>
        <v>5</v>
      </c>
      <c r="V556">
        <f>IFERROR(INDEX(_DATA_Assessment_Model!$W$5:$W$884,MATCH($E556,_DATA_Assessment_Model!$A$5:$A$884,0)),"")</f>
        <v>5</v>
      </c>
      <c r="W556">
        <f>IFERROR(INDEX(_DATA_Assessment_Model!$X$5:$X$884,MATCH($E556,_DATA_Assessment_Model!$A$5:$A$884,0)),"")</f>
        <v>5</v>
      </c>
      <c r="X556">
        <f>IFERROR(INDEX(_DATA_Assessment_Model!$Y$5:$Y$884,MATCH($E556,_DATA_Assessment_Model!$A$5:$A$884,0)),"")</f>
        <v>5</v>
      </c>
      <c r="Y556" t="s">
        <v>1157</v>
      </c>
      <c r="Z556" t="s">
        <v>4591</v>
      </c>
      <c r="AA556" t="s">
        <v>1198</v>
      </c>
      <c r="AB556">
        <f>IFERROR(INDEX(_DATA_Assessment_Model!$U$5:$U$884,MATCH($E556,_DATA_Assessment_Model!$A$5:$A$884,0)),"")</f>
        <v>0</v>
      </c>
      <c r="AF556" t="s">
        <v>1197</v>
      </c>
      <c r="AO556">
        <f>IF($B556="Yes",IF(IFERROR(INDEX(_ENGINE_Crisis!$F$501:$F$517,MATCH($C556,_ENGINE_Crisis!$A$501:$A$517,0)),1)=0,1,IFERROR(INDEX(_ENGINE_Crisis!$F$501:$F$517,MATCH($C556,_ENGINE_Crisis!$A$501:$A$517,0)),1)),"")</f>
        <v>1</v>
      </c>
      <c r="AP556">
        <f t="shared" si="37"/>
        <v>16.7</v>
      </c>
      <c r="AQ556">
        <f t="shared" si="38"/>
        <v>1.67</v>
      </c>
      <c r="AR556" t="str">
        <f>IFERROR(INDEX(_ENGINE_Crisis!$E$41:$E$700,MATCH('Resilience &amp; Risk Scenario'!$B$6&amp;"|"&amp;$C556,_ENGINE_Crisis!$I$41:$I$700,0)),"")</f>
        <v/>
      </c>
      <c r="AS556" t="str">
        <f>IFERROR(INDEX(_ENGINE_Crisis!$G$41:$G$700,MATCH('Resilience &amp; Risk Scenario'!$B$6&amp;"|"&amp;$C556,_ENGINE_Crisis!$I$41:$I$700,0)),"")</f>
        <v/>
      </c>
      <c r="AT556" t="str">
        <f>IFERROR(INDEX(_ENGINE_Initiatives!$A$5:$A$532,MATCH(1,INDEX((_ENGINE_Initiatives!$B$5:$B$532=$C556)*(_ENGINE_Initiatives!$C$5:$C$532=$D556),0),0)),"")</f>
        <v>INI-009</v>
      </c>
      <c r="AU556" t="str">
        <f>IFERROR(INDEX(_ENGINE_Initiatives!$F$5:$F$532,MATCH(1,INDEX((_ENGINE_Initiatives!$B$5:$B$532=$C556)*(_ENGINE_Initiatives!$C$5:$C$532=$D556),0),0)),"")</f>
        <v>Build integrated risk, continuity and resilience control cycle</v>
      </c>
      <c r="AV556">
        <f>IFERROR(INDEX(_ENGINE_Initiatives!$AC$5:$AC$532,MATCH(1,INDEX((_ENGINE_Initiatives!$B$5:$B$532=$C556)*(_ENGINE_Initiatives!$C$5:$C$532=$D556),0),0)),"")</f>
        <v>2.63</v>
      </c>
      <c r="AW556" t="str">
        <f>IFERROR(INDEX(_ENGINE_Initiatives!$AE$5:$AE$532,MATCH(1,INDEX((_ENGINE_Initiatives!$B$5:$B$532=$C556)*(_ENGINE_Initiatives!$C$5:$C$532=$D556),0),0)),"")</f>
        <v>0-90 days</v>
      </c>
      <c r="AX556">
        <f>IF($B556="Yes",IFERROR((IF(SUMIFS(_REF_Model_Content!$E$1:$E$613,_REF_Model_Content!$A$1:$A$613,PV_Canonical_Industry,_REF_Model_Content!$B$1:$B$613,$C556)=0,1,SUMIFS(_REF_Model_Content!$E$1:$E$613,_REF_Model_Content!$A$1:$A$613,PV_Canonical_Industry,_REF_Model_Content!$B$1:$B$613,$C556))*IFERROR($BU556,1)),1),"")</f>
        <v>1</v>
      </c>
      <c r="AY556">
        <f t="shared" si="39"/>
        <v>16.7</v>
      </c>
      <c r="AZ556">
        <f t="shared" si="40"/>
        <v>1.67</v>
      </c>
      <c r="BB556" t="str">
        <f>IF($H556="","",IFERROR(INDEX(_ENGINE_Risk!$AE$5:$AE$499,MATCH($E556,_ENGINE_Risk!$A$5:$A$499,0)),"Medium"))</f>
        <v>Medium</v>
      </c>
      <c r="BC556">
        <f t="shared" si="41"/>
        <v>1</v>
      </c>
      <c r="BD556">
        <f t="shared" si="42"/>
        <v>1.67</v>
      </c>
      <c r="BF556">
        <f>IF(OR($H556="",$J556=""),"",IFERROR(VLOOKUP(ROUND($J556,0),_CONFIG_Model_Settings!$D$154:$E$158,2,0),""))</f>
        <v>0.5</v>
      </c>
      <c r="BG556">
        <f>IFERROR(IF(OR($H556="",$K556=""),"",ROUND('Company Profile'!$B$113*INDEX(_CONFIG_Model_Settings!$H$154:$H$158,MATCH(ROUND($K556,0),_CONFIG_Model_Settings!$G$154:$G$158,0)),0)),0)</f>
        <v>1875</v>
      </c>
      <c r="BH556">
        <f t="shared" si="43"/>
        <v>937.5</v>
      </c>
      <c r="BI556">
        <f t="shared" si="44"/>
        <v>937.5</v>
      </c>
      <c r="BJ556">
        <f>IF($E556="","",IFERROR(VLOOKUP($C556,_CONFIG_Risk_Calibration!$A$5:$H$21,2,FALSE),3))</f>
        <v>3</v>
      </c>
      <c r="BK556">
        <f>IF($E556="","",IFERROR(VLOOKUP($C556,_CONFIG_Risk_Calibration!$A$5:$H$21,3,FALSE),0))</f>
        <v>0</v>
      </c>
      <c r="BL556">
        <f>IF($E556="","",IFERROR(VLOOKUP($C556,_CONFIG_Risk_Calibration!$A$5:$H$21,4,FALSE),3))</f>
        <v>3</v>
      </c>
      <c r="BM556">
        <f>IF($E556="","",IFERROR(VLOOKUP($C556,_CONFIG_Risk_Calibration!$A$5:$H$21,5,FALSE),3))</f>
        <v>4</v>
      </c>
      <c r="BN556" t="str">
        <f>IF($E556="","",IFERROR(VLOOKUP($C556,_CONFIG_Risk_Calibration!$A$5:$H$21,6,FALSE),"No"))</f>
        <v>Yes</v>
      </c>
      <c r="BO556">
        <f>IF($E556="","",IFERROR(VLOOKUP($C556,_CONFIG_Risk_Calibration!$A$5:$H$21,7,FALSE),1))</f>
        <v>4</v>
      </c>
      <c r="BP556">
        <f>IF($H556="","",MAX(1,MIN(5,((6-$H556)*0.45)+($BJ556*0.2)+('Resilience &amp; Risk Scenario'!$B$7*0.15)+($BK556*0.1)+($BL556*0.05)+(IF($BB556="Fast",5,IF($BB556="Slow",1,3))*0.05))))</f>
        <v>3.6</v>
      </c>
      <c r="BQ556">
        <f t="shared" si="45"/>
        <v>4.6499999999999995</v>
      </c>
      <c r="BR556">
        <f t="shared" si="46"/>
        <v>16.739999999999998</v>
      </c>
      <c r="BS556">
        <f t="shared" si="47"/>
        <v>18.41</v>
      </c>
      <c r="BT556" t="str">
        <f>IFERROR(INDEX(_REF_Capability_Bridge!$D:$D,MATCH($C556&amp;"|"&amp;$D556,_REF_Capability_Bridge!$J:$J,0)),IFERROR(INDEX(_REF_Capability_Bridge!$D:$D,MATCH($C556&amp;"|",_REF_Capability_Bridge!$J:$J,0)),"CAP_GENERIC"))</f>
        <v>CAP_BACKUP_RECOVERY</v>
      </c>
      <c r="BU556">
        <f>IFERROR(IFERROR(INDEX(_ENGINE_Relevance!$L:$L,MATCH($BT556,_ENGINE_Relevance!$B:$B,0)),1),1)</f>
        <v>1</v>
      </c>
      <c r="BV556" t="str">
        <f>IFERROR(INDEX(_REF_Capability_Bridge!$A:$A,MATCH($C556&amp;"|"&amp;$D556,_REF_Capability_Bridge!$J:$J,0)),IFERROR(INDEX(_REF_Capability_Bridge!$A:$A,MATCH($C556&amp;"|",_REF_Capability_Bridge!$J:$J,0)),"No bridge"))</f>
        <v>BRG-037</v>
      </c>
      <c r="BW556" t="str">
        <f t="shared" si="48"/>
        <v>Capability relevance neutral</v>
      </c>
      <c r="BX556" t="str">
        <f t="shared" si="49"/>
        <v>Initial / absent</v>
      </c>
      <c r="BY556" t="str">
        <f>IF($E556="","",IFERROR(INDEX(_REF_Treatment_Library!$A$2:$A$296,MATCH(1,INDEX((_REF_Treatment_Library!$B$2:$B$296=$BT556)*(_REF_Treatment_Library!$C$2:$C$296=PV_Canonical_Industry)*(_REF_Treatment_Library!$E$2:$E$296&lt;=N($H556))*(_REF_Treatment_Library!$F$2:$F$296&gt;=N($H556))*(_REF_Treatment_Library!$O$2:$O$296="Yes"),0),0)),IFERROR(INDEX(_REF_Treatment_Library!$A$2:$A$296,MATCH(1,INDEX((_REF_Treatment_Library!$B$2:$B$296=$BT556)*(_REF_Treatment_Library!$C$2:$C$296="All")*(_REF_Treatment_Library!$E$2:$E$296&lt;=N($H556))*(_REF_Treatment_Library!$F$2:$F$296&gt;=N($H556))*(_REF_Treatment_Library!$O$2:$O$296="Yes"),0),0)),"")))</f>
        <v>TRT-BACKUP_RECOVERY-INITIAL</v>
      </c>
      <c r="BZ556" t="str">
        <f>IF($BY556="","",IFERROR(INDEX(_REF_Treatment_Library!$H$2:$H$296,MATCH($BY556,_REF_Treatment_Library!$A$2:$A$296,0)),""))</f>
        <v>Establish</v>
      </c>
      <c r="CA556" t="str">
        <f>IF($BY556="","",IFERROR(INDEX(_REF_Treatment_Library!$I$2:$I$296,MATCH($BY556,_REF_Treatment_Library!$A$2:$A$296,0)),""))</f>
        <v>Establish baseline controls for Backup / recovery</v>
      </c>
      <c r="CB556" t="str">
        <f>IF($BY556="","",IFERROR(INDEX(_REF_Treatment_Library!$K$2:$K$296,MATCH($BY556,_REF_Treatment_Library!$A$2:$A$296,0)),""))</f>
        <v>Named owner, baseline process, minimum control checklist, first evidence package</v>
      </c>
      <c r="CC556" t="str">
        <f>IF($BY556="","",IFERROR(INDEX(_REF_Treatment_Library!$L$2:$L$296,MATCH($BY556,_REF_Treatment_Library!$A$2:$A$296,0)),""))</f>
        <v>Owner assigned; baseline evidence coverage; open critical gaps</v>
      </c>
      <c r="CD556" t="str">
        <f t="shared" si="50"/>
        <v>Treatment by capability=CAP_BACKUP_RECOVERY; band=Initial / absent; score=0.0; treatment=Establish</v>
      </c>
      <c r="CE556" t="str">
        <f>IF($E556="","",IFERROR(INDEX(_REF_Industry_Wording!$A$2:$A$70,MATCH(1,INDEX((_REF_Industry_Wording!$B$2:$B$70=$BT556)*(_REF_Industry_Wording!$C$2:$C$70=PV_Canonical_Industry)*(_REF_Industry_Wording!$K$2:$K$70="Yes"),0),0)),IFERROR(INDEX(_REF_Industry_Wording!$A$2:$A$70,MATCH(1,INDEX((_REF_Industry_Wording!$B$2:$B$70=$BT556)*(_REF_Industry_Wording!$C$2:$C$70="All")*(_REF_Industry_Wording!$K$2:$K$70="Yes"),0),0)),"")))</f>
        <v>IW-ALL-BACKUP_RECOVERY</v>
      </c>
      <c r="CF556" t="str">
        <f>IF($CE556="","",IFERROR(INDEX(_REF_Industry_Wording!$E$2:$E$70,MATCH($CE556,_REF_Industry_Wording!$A$2:$A$70,0)),""))</f>
        <v>Backup / recovery weakness</v>
      </c>
      <c r="CG556" t="str">
        <f>IF($CE556="","",IFERROR(INDEX(_REF_Industry_Wording!$F$2:$F$70,MATCH($CE556,_REF_Industry_Wording!$A$2:$A$70,0)),""))</f>
        <v>Strengthen Backup / recovery</v>
      </c>
      <c r="CH556" t="str">
        <f>IF($CE556="","",IFERROR(INDEX(_REF_Industry_Wording!$G$2:$G$70,MATCH($CE556,_REF_Industry_Wording!$A$2:$A$70,0)),""))</f>
        <v>Strengthen Backup / recovery using the selected maturity treatment, crisis scenario and evidence requirements.</v>
      </c>
      <c r="CI556" t="str">
        <f>IF($CE556="","",IFERROR(INDEX(_REF_Industry_Wording!$H$2:$H$70,MATCH($CE556,_REF_Industry_Wording!$A$2:$A$70,0)),""))</f>
        <v>Backup / recovery</v>
      </c>
      <c r="CJ556">
        <f>IF($CE556="","",IFERROR(INDEX(_REF_Industry_Wording!$I$2:$I$70,MATCH($CE556,_REF_Industry_Wording!$A$2:$A$70,0)),""))</f>
        <v>0</v>
      </c>
      <c r="CK556" t="str">
        <f>IF($CE556="","",IFERROR(INDEX(_REF_Industry_Wording!$J$2:$J$70,MATCH($CE556,_REF_Industry_Wording!$A$2:$A$70,0)),""))</f>
        <v>Backup / recovery</v>
      </c>
      <c r="CL556" t="str">
        <f t="shared" si="51"/>
        <v>Wording by industry=0; capability=CAP_BACKUP_RECOVERY; risk label=Backup / recovery weakness</v>
      </c>
      <c r="CM556" t="str">
        <f t="shared" si="52"/>
        <v>RISK-ONT-0057</v>
      </c>
      <c r="CN556" t="str">
        <f t="shared" si="53"/>
        <v>RISK-EVT-0057</v>
      </c>
      <c r="CO556" t="str">
        <f t="shared" si="54"/>
        <v>Governance Crisis|Risk and continuity|GOVE-012|CAP_BACKUP_RECOVERY</v>
      </c>
      <c r="CP556" t="str">
        <f t="shared" si="55"/>
        <v>Active</v>
      </c>
      <c r="CQ556" t="str">
        <f t="shared" si="56"/>
        <v>OK: capability-driven</v>
      </c>
      <c r="CR556" t="str">
        <f t="shared" si="57"/>
        <v>Risk ontology uses capability=CAP_BACKUP_RECOVERY; bridge=BRG-037; treatment=TRT-BACKUP_RECOVERY-INITIAL; wording=IW-ALL-BACKUP_RECOVERY</v>
      </c>
      <c r="CS556" t="str">
        <f t="shared" si="58"/>
        <v>Yes</v>
      </c>
    </row>
    <row r="557" spans="1:97" ht="69.900000000000006" customHeight="1">
      <c r="A557">
        <f>IF(OR($B557&lt;&gt;"Yes",$BS557=""),"",SUMPRODUCT(($B$500:$B$923="Yes")*ISNUMBER($BS$500:$BS$923)*($BS$500:$BS$923&gt;$BS557))+COUNTIFS($B$500:$B557,"Yes",$BS$500:$BS557,$BS557))</f>
        <v>223</v>
      </c>
      <c r="B557" t="str">
        <f t="shared" si="21"/>
        <v>Yes</v>
      </c>
      <c r="C557" t="s">
        <v>1150</v>
      </c>
      <c r="D557" t="s">
        <v>1161</v>
      </c>
      <c r="E557" t="s">
        <v>1199</v>
      </c>
      <c r="F557" t="s">
        <v>3681</v>
      </c>
      <c r="G557" t="str">
        <f>IF($H557="","",IFERROR(INDEX(_ENGINE_Risk!$H$5:$M$499,MATCH($E557,_ENGINE_Risk!$A$5:$A$499,0),$H557+1),""))</f>
        <v>Severe risk: continuity testing through tabletop exercises, simulations and real incident reviews is not reliably controlled. During All crisis types, the organization may face slow decisions, unclear escalation, duplicated actions and weak crisis command with limited visibility or accountability.</v>
      </c>
      <c r="H557">
        <f>IFERROR(VALUE(INDEX(_DATA_Assessment_Model!$H$5:$H$884,MATCH($E557,_DATA_Assessment_Model!$A$5:$A$884,0))),"")</f>
        <v>0</v>
      </c>
      <c r="I557" t="str">
        <f>IF($H557="","",IFERROR(INDEX(_DATA_Assessment_Model!$L$5:$L$884,MATCH($E557,_DATA_Assessment_Model!$A$5:$A$884,0)),IF($H557&lt;=1,"Critical",IF($H557=2,"High",IF($H557=3,"Medium",IF($H557=4,"Low","Resilient"))))))</f>
        <v>Critical</v>
      </c>
      <c r="J557">
        <f t="shared" si="22"/>
        <v>3.6</v>
      </c>
      <c r="K557">
        <f t="shared" si="23"/>
        <v>4.5</v>
      </c>
      <c r="L557">
        <f t="shared" si="24"/>
        <v>16.2</v>
      </c>
      <c r="M557">
        <f t="shared" si="25"/>
        <v>4</v>
      </c>
      <c r="N557">
        <f>IF($H557="","",IFERROR(INDEX(_ENGINE_Risk!$T$5:$Y$499,MATCH($E557,_ENGINE_Risk!$A$5:$A$499,0),$H557+1),""))</f>
        <v>3</v>
      </c>
      <c r="O557">
        <f t="shared" si="26"/>
        <v>4.666666666666667</v>
      </c>
      <c r="P557">
        <f t="shared" si="27"/>
        <v>5</v>
      </c>
      <c r="Q557">
        <f t="shared" si="28"/>
        <v>5</v>
      </c>
      <c r="R557">
        <f t="shared" si="29"/>
        <v>4.5</v>
      </c>
      <c r="S557">
        <f t="shared" si="30"/>
        <v>1.6</v>
      </c>
      <c r="T557" t="str">
        <f>IF($H557="","",IFERROR(INDEX(_ENGINE_Risk!$N$5:$S$499,MATCH($E557,_ENGINE_Risk!$A$5:$A$499,0),$H557+1),""))</f>
        <v>Create an immediate risk owner, minimum control baseline and fallback procedure for continuity testing through tabletop exercises, simulations and real incident reviews. Add it to the crisis risk register and collect first evidence.</v>
      </c>
      <c r="U557">
        <f>IFERROR(INDEX(_DATA_Assessment_Model!$G$5:$G$884,MATCH($E557,_DATA_Assessment_Model!$A$5:$A$884,0)),"")</f>
        <v>5</v>
      </c>
      <c r="V557">
        <f>IFERROR(INDEX(_DATA_Assessment_Model!$W$5:$W$884,MATCH($E557,_DATA_Assessment_Model!$A$5:$A$884,0)),"")</f>
        <v>4</v>
      </c>
      <c r="W557">
        <f>IFERROR(INDEX(_DATA_Assessment_Model!$X$5:$X$884,MATCH($E557,_DATA_Assessment_Model!$A$5:$A$884,0)),"")</f>
        <v>5</v>
      </c>
      <c r="X557">
        <f>IFERROR(INDEX(_DATA_Assessment_Model!$Y$5:$Y$884,MATCH($E557,_DATA_Assessment_Model!$A$5:$A$884,0)),"")</f>
        <v>5</v>
      </c>
      <c r="Y557" t="s">
        <v>1157</v>
      </c>
      <c r="Z557" t="s">
        <v>4591</v>
      </c>
      <c r="AA557" t="s">
        <v>1201</v>
      </c>
      <c r="AB557">
        <f>IFERROR(INDEX(_DATA_Assessment_Model!$U$5:$U$884,MATCH($E557,_DATA_Assessment_Model!$A$5:$A$884,0)),"")</f>
        <v>0</v>
      </c>
      <c r="AF557" t="s">
        <v>1200</v>
      </c>
      <c r="AO557">
        <f>IF($B557="Yes",IF(IFERROR(INDEX(_ENGINE_Crisis!$F$501:$F$517,MATCH($C557,_ENGINE_Crisis!$A$501:$A$517,0)),1)=0,1,IFERROR(INDEX(_ENGINE_Crisis!$F$501:$F$517,MATCH($C557,_ENGINE_Crisis!$A$501:$A$517,0)),1)),"")</f>
        <v>1</v>
      </c>
      <c r="AP557">
        <f t="shared" si="37"/>
        <v>16.2</v>
      </c>
      <c r="AQ557">
        <f t="shared" si="38"/>
        <v>1.6</v>
      </c>
      <c r="AR557" t="str">
        <f>IFERROR(INDEX(_ENGINE_Crisis!$E$41:$E$700,MATCH('Resilience &amp; Risk Scenario'!$B$6&amp;"|"&amp;$C557,_ENGINE_Crisis!$I$41:$I$700,0)),"")</f>
        <v/>
      </c>
      <c r="AS557" t="str">
        <f>IFERROR(INDEX(_ENGINE_Crisis!$G$41:$G$700,MATCH('Resilience &amp; Risk Scenario'!$B$6&amp;"|"&amp;$C557,_ENGINE_Crisis!$I$41:$I$700,0)),"")</f>
        <v/>
      </c>
      <c r="AT557" t="str">
        <f>IFERROR(INDEX(_ENGINE_Initiatives!$A$5:$A$532,MATCH(1,INDEX((_ENGINE_Initiatives!$B$5:$B$532=$C557)*(_ENGINE_Initiatives!$C$5:$C$532=$D557),0),0)),"")</f>
        <v>INI-009</v>
      </c>
      <c r="AU557" t="str">
        <f>IFERROR(INDEX(_ENGINE_Initiatives!$F$5:$F$532,MATCH(1,INDEX((_ENGINE_Initiatives!$B$5:$B$532=$C557)*(_ENGINE_Initiatives!$C$5:$C$532=$D557),0),0)),"")</f>
        <v>Build integrated risk, continuity and resilience control cycle</v>
      </c>
      <c r="AV557">
        <f>IFERROR(INDEX(_ENGINE_Initiatives!$AC$5:$AC$532,MATCH(1,INDEX((_ENGINE_Initiatives!$B$5:$B$532=$C557)*(_ENGINE_Initiatives!$C$5:$C$532=$D557),0),0)),"")</f>
        <v>2.63</v>
      </c>
      <c r="AW557" t="str">
        <f>IFERROR(INDEX(_ENGINE_Initiatives!$AE$5:$AE$532,MATCH(1,INDEX((_ENGINE_Initiatives!$B$5:$B$532=$C557)*(_ENGINE_Initiatives!$C$5:$C$532=$D557),0),0)),"")</f>
        <v>0-90 days</v>
      </c>
      <c r="AX557">
        <f>IF($B557="Yes",IFERROR((IF(SUMIFS(_REF_Model_Content!$E$1:$E$613,_REF_Model_Content!$A$1:$A$613,PV_Canonical_Industry,_REF_Model_Content!$B$1:$B$613,$C557)=0,1,SUMIFS(_REF_Model_Content!$E$1:$E$613,_REF_Model_Content!$A$1:$A$613,PV_Canonical_Industry,_REF_Model_Content!$B$1:$B$613,$C557))*IFERROR($BU557,1)),1),"")</f>
        <v>1</v>
      </c>
      <c r="AY557">
        <f t="shared" si="39"/>
        <v>16.2</v>
      </c>
      <c r="AZ557">
        <f t="shared" si="40"/>
        <v>1.6</v>
      </c>
      <c r="BB557" t="str">
        <f>IF($H557="","",IFERROR(INDEX(_ENGINE_Risk!$AE$5:$AE$499,MATCH($E557,_ENGINE_Risk!$A$5:$A$499,0)),"Medium"))</f>
        <v>Medium</v>
      </c>
      <c r="BC557">
        <f t="shared" si="41"/>
        <v>1</v>
      </c>
      <c r="BD557">
        <f t="shared" si="42"/>
        <v>1.6</v>
      </c>
      <c r="BF557">
        <f>IF(OR($H557="",$J557=""),"",IFERROR(VLOOKUP(ROUND($J557,0),_CONFIG_Model_Settings!$D$154:$E$158,2,0),""))</f>
        <v>0.5</v>
      </c>
      <c r="BG557">
        <f>IFERROR(IF(OR($H557="",$K557=""),"",ROUND('Company Profile'!$B$113*INDEX(_CONFIG_Model_Settings!$H$154:$H$158,MATCH(ROUND($K557,0),_CONFIG_Model_Settings!$G$154:$G$158,0)),0)),0)</f>
        <v>1875</v>
      </c>
      <c r="BH557">
        <f t="shared" si="43"/>
        <v>937.5</v>
      </c>
      <c r="BI557">
        <f t="shared" si="44"/>
        <v>937.5</v>
      </c>
      <c r="BJ557">
        <f>IF($E557="","",IFERROR(VLOOKUP($C557,_CONFIG_Risk_Calibration!$A$5:$H$21,2,FALSE),3))</f>
        <v>3</v>
      </c>
      <c r="BK557">
        <f>IF($E557="","",IFERROR(VLOOKUP($C557,_CONFIG_Risk_Calibration!$A$5:$H$21,3,FALSE),0))</f>
        <v>0</v>
      </c>
      <c r="BL557">
        <f>IF($E557="","",IFERROR(VLOOKUP($C557,_CONFIG_Risk_Calibration!$A$5:$H$21,4,FALSE),3))</f>
        <v>3</v>
      </c>
      <c r="BM557">
        <f>IF($E557="","",IFERROR(VLOOKUP($C557,_CONFIG_Risk_Calibration!$A$5:$H$21,5,FALSE),3))</f>
        <v>4</v>
      </c>
      <c r="BN557" t="str">
        <f>IF($E557="","",IFERROR(VLOOKUP($C557,_CONFIG_Risk_Calibration!$A$5:$H$21,6,FALSE),"No"))</f>
        <v>Yes</v>
      </c>
      <c r="BO557">
        <f>IF($E557="","",IFERROR(VLOOKUP($C557,_CONFIG_Risk_Calibration!$A$5:$H$21,7,FALSE),1))</f>
        <v>4</v>
      </c>
      <c r="BP557">
        <f>IF($H557="","",MAX(1,MIN(5,((6-$H557)*0.45)+($BJ557*0.2)+('Resilience &amp; Risk Scenario'!$B$7*0.15)+($BK557*0.1)+($BL557*0.05)+(IF($BB557="Fast",5,IF($BB557="Slow",1,3))*0.05))))</f>
        <v>3.6</v>
      </c>
      <c r="BQ557">
        <f t="shared" si="45"/>
        <v>4.5</v>
      </c>
      <c r="BR557">
        <f t="shared" si="46"/>
        <v>16.2</v>
      </c>
      <c r="BS557">
        <f t="shared" si="47"/>
        <v>17.82</v>
      </c>
      <c r="BT557" t="str">
        <f>IFERROR(INDEX(_REF_Capability_Bridge!$D:$D,MATCH($C557&amp;"|"&amp;$D557,_REF_Capability_Bridge!$J:$J,0)),IFERROR(INDEX(_REF_Capability_Bridge!$D:$D,MATCH($C557&amp;"|",_REF_Capability_Bridge!$J:$J,0)),"CAP_GENERIC"))</f>
        <v>CAP_BACKUP_RECOVERY</v>
      </c>
      <c r="BU557">
        <f>IFERROR(IFERROR(INDEX(_ENGINE_Relevance!$L:$L,MATCH($BT557,_ENGINE_Relevance!$B:$B,0)),1),1)</f>
        <v>1</v>
      </c>
      <c r="BV557" t="str">
        <f>IFERROR(INDEX(_REF_Capability_Bridge!$A:$A,MATCH($C557&amp;"|"&amp;$D557,_REF_Capability_Bridge!$J:$J,0)),IFERROR(INDEX(_REF_Capability_Bridge!$A:$A,MATCH($C557&amp;"|",_REF_Capability_Bridge!$J:$J,0)),"No bridge"))</f>
        <v>BRG-037</v>
      </c>
      <c r="BW557" t="str">
        <f t="shared" si="48"/>
        <v>Capability relevance neutral</v>
      </c>
      <c r="BX557" t="str">
        <f t="shared" si="49"/>
        <v>Initial / absent</v>
      </c>
      <c r="BY557" t="str">
        <f>IF($E557="","",IFERROR(INDEX(_REF_Treatment_Library!$A$2:$A$296,MATCH(1,INDEX((_REF_Treatment_Library!$B$2:$B$296=$BT557)*(_REF_Treatment_Library!$C$2:$C$296=PV_Canonical_Industry)*(_REF_Treatment_Library!$E$2:$E$296&lt;=N($H557))*(_REF_Treatment_Library!$F$2:$F$296&gt;=N($H557))*(_REF_Treatment_Library!$O$2:$O$296="Yes"),0),0)),IFERROR(INDEX(_REF_Treatment_Library!$A$2:$A$296,MATCH(1,INDEX((_REF_Treatment_Library!$B$2:$B$296=$BT557)*(_REF_Treatment_Library!$C$2:$C$296="All")*(_REF_Treatment_Library!$E$2:$E$296&lt;=N($H557))*(_REF_Treatment_Library!$F$2:$F$296&gt;=N($H557))*(_REF_Treatment_Library!$O$2:$O$296="Yes"),0),0)),"")))</f>
        <v>TRT-BACKUP_RECOVERY-INITIAL</v>
      </c>
      <c r="BZ557" t="str">
        <f>IF($BY557="","",IFERROR(INDEX(_REF_Treatment_Library!$H$2:$H$296,MATCH($BY557,_REF_Treatment_Library!$A$2:$A$296,0)),""))</f>
        <v>Establish</v>
      </c>
      <c r="CA557" t="str">
        <f>IF($BY557="","",IFERROR(INDEX(_REF_Treatment_Library!$I$2:$I$296,MATCH($BY557,_REF_Treatment_Library!$A$2:$A$296,0)),""))</f>
        <v>Establish baseline controls for Backup / recovery</v>
      </c>
      <c r="CB557" t="str">
        <f>IF($BY557="","",IFERROR(INDEX(_REF_Treatment_Library!$K$2:$K$296,MATCH($BY557,_REF_Treatment_Library!$A$2:$A$296,0)),""))</f>
        <v>Named owner, baseline process, minimum control checklist, first evidence package</v>
      </c>
      <c r="CC557" t="str">
        <f>IF($BY557="","",IFERROR(INDEX(_REF_Treatment_Library!$L$2:$L$296,MATCH($BY557,_REF_Treatment_Library!$A$2:$A$296,0)),""))</f>
        <v>Owner assigned; baseline evidence coverage; open critical gaps</v>
      </c>
      <c r="CD557" t="str">
        <f t="shared" si="50"/>
        <v>Treatment by capability=CAP_BACKUP_RECOVERY; band=Initial / absent; score=0.0; treatment=Establish</v>
      </c>
      <c r="CE557" t="str">
        <f>IF($E557="","",IFERROR(INDEX(_REF_Industry_Wording!$A$2:$A$70,MATCH(1,INDEX((_REF_Industry_Wording!$B$2:$B$70=$BT557)*(_REF_Industry_Wording!$C$2:$C$70=PV_Canonical_Industry)*(_REF_Industry_Wording!$K$2:$K$70="Yes"),0),0)),IFERROR(INDEX(_REF_Industry_Wording!$A$2:$A$70,MATCH(1,INDEX((_REF_Industry_Wording!$B$2:$B$70=$BT557)*(_REF_Industry_Wording!$C$2:$C$70="All")*(_REF_Industry_Wording!$K$2:$K$70="Yes"),0),0)),"")))</f>
        <v>IW-ALL-BACKUP_RECOVERY</v>
      </c>
      <c r="CF557" t="str">
        <f>IF($CE557="","",IFERROR(INDEX(_REF_Industry_Wording!$E$2:$E$70,MATCH($CE557,_REF_Industry_Wording!$A$2:$A$70,0)),""))</f>
        <v>Backup / recovery weakness</v>
      </c>
      <c r="CG557" t="str">
        <f>IF($CE557="","",IFERROR(INDEX(_REF_Industry_Wording!$F$2:$F$70,MATCH($CE557,_REF_Industry_Wording!$A$2:$A$70,0)),""))</f>
        <v>Strengthen Backup / recovery</v>
      </c>
      <c r="CH557" t="str">
        <f>IF($CE557="","",IFERROR(INDEX(_REF_Industry_Wording!$G$2:$G$70,MATCH($CE557,_REF_Industry_Wording!$A$2:$A$70,0)),""))</f>
        <v>Strengthen Backup / recovery using the selected maturity treatment, crisis scenario and evidence requirements.</v>
      </c>
      <c r="CI557" t="str">
        <f>IF($CE557="","",IFERROR(INDEX(_REF_Industry_Wording!$H$2:$H$70,MATCH($CE557,_REF_Industry_Wording!$A$2:$A$70,0)),""))</f>
        <v>Backup / recovery</v>
      </c>
      <c r="CJ557">
        <f>IF($CE557="","",IFERROR(INDEX(_REF_Industry_Wording!$I$2:$I$70,MATCH($CE557,_REF_Industry_Wording!$A$2:$A$70,0)),""))</f>
        <v>0</v>
      </c>
      <c r="CK557" t="str">
        <f>IF($CE557="","",IFERROR(INDEX(_REF_Industry_Wording!$J$2:$J$70,MATCH($CE557,_REF_Industry_Wording!$A$2:$A$70,0)),""))</f>
        <v>Backup / recovery</v>
      </c>
      <c r="CL557" t="str">
        <f t="shared" si="51"/>
        <v>Wording by industry=0; capability=CAP_BACKUP_RECOVERY; risk label=Backup / recovery weakness</v>
      </c>
      <c r="CM557" t="str">
        <f t="shared" si="52"/>
        <v>RISK-ONT-0058</v>
      </c>
      <c r="CN557" t="str">
        <f t="shared" si="53"/>
        <v>RISK-EVT-0058</v>
      </c>
      <c r="CO557" t="str">
        <f t="shared" si="54"/>
        <v>Governance Crisis|Risk and continuity|GOVE-013|CAP_BACKUP_RECOVERY</v>
      </c>
      <c r="CP557" t="str">
        <f t="shared" si="55"/>
        <v>Active</v>
      </c>
      <c r="CQ557" t="str">
        <f t="shared" si="56"/>
        <v>OK: capability-driven</v>
      </c>
      <c r="CR557" t="str">
        <f t="shared" si="57"/>
        <v>Risk ontology uses capability=CAP_BACKUP_RECOVERY; bridge=BRG-037; treatment=TRT-BACKUP_RECOVERY-INITIAL; wording=IW-ALL-BACKUP_RECOVERY</v>
      </c>
      <c r="CS557" t="str">
        <f t="shared" si="58"/>
        <v>Yes</v>
      </c>
    </row>
    <row r="558" spans="1:97" ht="69.900000000000006" customHeight="1">
      <c r="A558">
        <f>IF(OR($B558&lt;&gt;"Yes",$BS558=""),"",SUMPRODUCT(($B$500:$B$923="Yes")*ISNUMBER($BS$500:$BS$923)*($BS$500:$BS$923&gt;$BS558))+COUNTIFS($B$500:$B558,"Yes",$BS$500:$BS558,$BS558))</f>
        <v>224</v>
      </c>
      <c r="B558" t="str">
        <f t="shared" si="21"/>
        <v>Yes</v>
      </c>
      <c r="C558" t="s">
        <v>1150</v>
      </c>
      <c r="D558" t="s">
        <v>1165</v>
      </c>
      <c r="E558" t="s">
        <v>1208</v>
      </c>
      <c r="F558" t="s">
        <v>3681</v>
      </c>
      <c r="G558" t="str">
        <f>IF($H558="","",IFERROR(INDEX(_ENGINE_Risk!$H$5:$M$499,MATCH($E558,_ENGINE_Risk!$A$5:$A$499,0),$H558+1),""))</f>
        <v>Severe risk: common incident classification model for severity, impact, escalation and communication is not reliably controlled. During All crisis types, the organization may face slow decisions, unclear escalation, duplicated actions and weak crisis command with limited visibility or accountability.</v>
      </c>
      <c r="H558">
        <f>IFERROR(VALUE(INDEX(_DATA_Assessment_Model!$H$5:$H$884,MATCH($E558,_DATA_Assessment_Model!$A$5:$A$884,0))),"")</f>
        <v>0</v>
      </c>
      <c r="I558" t="str">
        <f>IF($H558="","",IFERROR(INDEX(_DATA_Assessment_Model!$L$5:$L$884,MATCH($E558,_DATA_Assessment_Model!$A$5:$A$884,0)),IF($H558&lt;=1,"Critical",IF($H558=2,"High",IF($H558=3,"Medium",IF($H558=4,"Low","Resilient"))))))</f>
        <v>Critical</v>
      </c>
      <c r="J558">
        <f t="shared" si="22"/>
        <v>3.6</v>
      </c>
      <c r="K558">
        <f t="shared" si="23"/>
        <v>4.5</v>
      </c>
      <c r="L558">
        <f t="shared" si="24"/>
        <v>16.2</v>
      </c>
      <c r="M558">
        <f t="shared" si="25"/>
        <v>4</v>
      </c>
      <c r="N558">
        <f>IF($H558="","",IFERROR(INDEX(_ENGINE_Risk!$T$5:$Y$499,MATCH($E558,_ENGINE_Risk!$A$5:$A$499,0),$H558+1),""))</f>
        <v>3</v>
      </c>
      <c r="O558">
        <f t="shared" si="26"/>
        <v>4.666666666666667</v>
      </c>
      <c r="P558">
        <f t="shared" si="27"/>
        <v>5</v>
      </c>
      <c r="Q558">
        <f t="shared" si="28"/>
        <v>5</v>
      </c>
      <c r="R558">
        <f t="shared" si="29"/>
        <v>4.5</v>
      </c>
      <c r="S558">
        <f t="shared" si="30"/>
        <v>1.6</v>
      </c>
      <c r="T558" t="str">
        <f>IF($H558="","",IFERROR(INDEX(_ENGINE_Risk!$N$5:$S$499,MATCH($E558,_ENGINE_Risk!$A$5:$A$499,0),$H558+1),""))</f>
        <v>Create an immediate risk owner, minimum control baseline and fallback procedure for common incident classification model for severity, impact, escalation and communication. Add it to the crisis risk register and collect first evidence.</v>
      </c>
      <c r="U558">
        <f>IFERROR(INDEX(_DATA_Assessment_Model!$G$5:$G$884,MATCH($E558,_DATA_Assessment_Model!$A$5:$A$884,0)),"")</f>
        <v>5</v>
      </c>
      <c r="V558">
        <f>IFERROR(INDEX(_DATA_Assessment_Model!$W$5:$W$884,MATCH($E558,_DATA_Assessment_Model!$A$5:$A$884,0)),"")</f>
        <v>4</v>
      </c>
      <c r="W558">
        <f>IFERROR(INDEX(_DATA_Assessment_Model!$X$5:$X$884,MATCH($E558,_DATA_Assessment_Model!$A$5:$A$884,0)),"")</f>
        <v>5</v>
      </c>
      <c r="X558">
        <f>IFERROR(INDEX(_DATA_Assessment_Model!$Y$5:$Y$884,MATCH($E558,_DATA_Assessment_Model!$A$5:$A$884,0)),"")</f>
        <v>5</v>
      </c>
      <c r="Y558" t="s">
        <v>1157</v>
      </c>
      <c r="Z558" t="s">
        <v>4591</v>
      </c>
      <c r="AA558" t="s">
        <v>1210</v>
      </c>
      <c r="AB558">
        <f>IFERROR(INDEX(_DATA_Assessment_Model!$U$5:$U$884,MATCH($E558,_DATA_Assessment_Model!$A$5:$A$884,0)),"")</f>
        <v>0</v>
      </c>
      <c r="AF558" t="s">
        <v>1209</v>
      </c>
      <c r="AO558">
        <f>IF($B558="Yes",IF(IFERROR(INDEX(_ENGINE_Crisis!$F$501:$F$517,MATCH($C558,_ENGINE_Crisis!$A$501:$A$517,0)),1)=0,1,IFERROR(INDEX(_ENGINE_Crisis!$F$501:$F$517,MATCH($C558,_ENGINE_Crisis!$A$501:$A$517,0)),1)),"")</f>
        <v>1</v>
      </c>
      <c r="AP558">
        <f t="shared" si="37"/>
        <v>16.2</v>
      </c>
      <c r="AQ558">
        <f t="shared" si="38"/>
        <v>1.6</v>
      </c>
      <c r="AR558" t="str">
        <f>IFERROR(INDEX(_ENGINE_Crisis!$E$41:$E$700,MATCH('Resilience &amp; Risk Scenario'!$B$6&amp;"|"&amp;$C558,_ENGINE_Crisis!$I$41:$I$700,0)),"")</f>
        <v/>
      </c>
      <c r="AS558" t="str">
        <f>IFERROR(INDEX(_ENGINE_Crisis!$G$41:$G$700,MATCH('Resilience &amp; Risk Scenario'!$B$6&amp;"|"&amp;$C558,_ENGINE_Crisis!$I$41:$I$700,0)),"")</f>
        <v/>
      </c>
      <c r="AT558" t="str">
        <f>IFERROR(INDEX(_ENGINE_Initiatives!$A$5:$A$532,MATCH(1,INDEX((_ENGINE_Initiatives!$B$5:$B$532=$C558)*(_ENGINE_Initiatives!$C$5:$C$532=$D558),0),0)),"")</f>
        <v>INI-010</v>
      </c>
      <c r="AU558" t="str">
        <f>IFERROR(INDEX(_ENGINE_Initiatives!$F$5:$F$532,MATCH(1,INDEX((_ENGINE_Initiatives!$B$5:$B$532=$C558)*(_ENGINE_Initiatives!$C$5:$C$532=$D558),0),0)),"")</f>
        <v>Implement incident command, escalation and after-action review</v>
      </c>
      <c r="AV558">
        <f>IFERROR(INDEX(_ENGINE_Initiatives!$AC$5:$AC$532,MATCH(1,INDEX((_ENGINE_Initiatives!$B$5:$B$532=$C558)*(_ENGINE_Initiatives!$C$5:$C$532=$D558),0),0)),"")</f>
        <v>2.61</v>
      </c>
      <c r="AW558" t="str">
        <f>IFERROR(INDEX(_ENGINE_Initiatives!$AE$5:$AE$532,MATCH(1,INDEX((_ENGINE_Initiatives!$B$5:$B$532=$C558)*(_ENGINE_Initiatives!$C$5:$C$532=$D558),0),0)),"")</f>
        <v>0-90 days</v>
      </c>
      <c r="AX558">
        <f>IF($B558="Yes",IFERROR((IF(SUMIFS(_REF_Model_Content!$E$1:$E$613,_REF_Model_Content!$A$1:$A$613,PV_Canonical_Industry,_REF_Model_Content!$B$1:$B$613,$C558)=0,1,SUMIFS(_REF_Model_Content!$E$1:$E$613,_REF_Model_Content!$A$1:$A$613,PV_Canonical_Industry,_REF_Model_Content!$B$1:$B$613,$C558))*IFERROR($BU558,1)),1),"")</f>
        <v>1</v>
      </c>
      <c r="AY558">
        <f t="shared" si="39"/>
        <v>16.2</v>
      </c>
      <c r="AZ558">
        <f t="shared" si="40"/>
        <v>1.6</v>
      </c>
      <c r="BB558" t="str">
        <f>IF($H558="","",IFERROR(INDEX(_ENGINE_Risk!$AE$5:$AE$499,MATCH($E558,_ENGINE_Risk!$A$5:$A$499,0)),"Medium"))</f>
        <v>Medium</v>
      </c>
      <c r="BC558">
        <f t="shared" si="41"/>
        <v>1</v>
      </c>
      <c r="BD558">
        <f t="shared" si="42"/>
        <v>1.6</v>
      </c>
      <c r="BF558">
        <f>IF(OR($H558="",$J558=""),"",IFERROR(VLOOKUP(ROUND($J558,0),_CONFIG_Model_Settings!$D$154:$E$158,2,0),""))</f>
        <v>0.5</v>
      </c>
      <c r="BG558">
        <f>IFERROR(IF(OR($H558="",$K558=""),"",ROUND('Company Profile'!$B$113*INDEX(_CONFIG_Model_Settings!$H$154:$H$158,MATCH(ROUND($K558,0),_CONFIG_Model_Settings!$G$154:$G$158,0)),0)),0)</f>
        <v>1875</v>
      </c>
      <c r="BH558">
        <f t="shared" si="43"/>
        <v>937.5</v>
      </c>
      <c r="BI558">
        <f t="shared" si="44"/>
        <v>937.5</v>
      </c>
      <c r="BJ558">
        <f>IF($E558="","",IFERROR(VLOOKUP($C558,_CONFIG_Risk_Calibration!$A$5:$H$21,2,FALSE),3))</f>
        <v>3</v>
      </c>
      <c r="BK558">
        <f>IF($E558="","",IFERROR(VLOOKUP($C558,_CONFIG_Risk_Calibration!$A$5:$H$21,3,FALSE),0))</f>
        <v>0</v>
      </c>
      <c r="BL558">
        <f>IF($E558="","",IFERROR(VLOOKUP($C558,_CONFIG_Risk_Calibration!$A$5:$H$21,4,FALSE),3))</f>
        <v>3</v>
      </c>
      <c r="BM558">
        <f>IF($E558="","",IFERROR(VLOOKUP($C558,_CONFIG_Risk_Calibration!$A$5:$H$21,5,FALSE),3))</f>
        <v>4</v>
      </c>
      <c r="BN558" t="str">
        <f>IF($E558="","",IFERROR(VLOOKUP($C558,_CONFIG_Risk_Calibration!$A$5:$H$21,6,FALSE),"No"))</f>
        <v>Yes</v>
      </c>
      <c r="BO558">
        <f>IF($E558="","",IFERROR(VLOOKUP($C558,_CONFIG_Risk_Calibration!$A$5:$H$21,7,FALSE),1))</f>
        <v>4</v>
      </c>
      <c r="BP558">
        <f>IF($H558="","",MAX(1,MIN(5,((6-$H558)*0.45)+($BJ558*0.2)+('Resilience &amp; Risk Scenario'!$B$7*0.15)+($BK558*0.1)+($BL558*0.05)+(IF($BB558="Fast",5,IF($BB558="Slow",1,3))*0.05))))</f>
        <v>3.6</v>
      </c>
      <c r="BQ558">
        <f t="shared" si="45"/>
        <v>4.5</v>
      </c>
      <c r="BR558">
        <f t="shared" si="46"/>
        <v>16.2</v>
      </c>
      <c r="BS558">
        <f t="shared" si="47"/>
        <v>17.82</v>
      </c>
      <c r="BT558" t="str">
        <f>IFERROR(INDEX(_REF_Capability_Bridge!$D:$D,MATCH($C558&amp;"|"&amp;$D558,_REF_Capability_Bridge!$J:$J,0)),IFERROR(INDEX(_REF_Capability_Bridge!$D:$D,MATCH($C558&amp;"|",_REF_Capability_Bridge!$J:$J,0)),"CAP_GENERIC"))</f>
        <v>CAP_INCIDENT_RESPONSE</v>
      </c>
      <c r="BU558">
        <f>IFERROR(IFERROR(INDEX(_ENGINE_Relevance!$L:$L,MATCH($BT558,_ENGINE_Relevance!$B:$B,0)),1),1)</f>
        <v>1</v>
      </c>
      <c r="BV558" t="str">
        <f>IFERROR(INDEX(_REF_Capability_Bridge!$A:$A,MATCH($C558&amp;"|"&amp;$D558,_REF_Capability_Bridge!$J:$J,0)),IFERROR(INDEX(_REF_Capability_Bridge!$A:$A,MATCH($C558&amp;"|",_REF_Capability_Bridge!$J:$J,0)),"No bridge"))</f>
        <v>BRG-036</v>
      </c>
      <c r="BW558" t="str">
        <f t="shared" si="48"/>
        <v>Capability relevance neutral</v>
      </c>
      <c r="BX558" t="str">
        <f t="shared" si="49"/>
        <v>Initial / absent</v>
      </c>
      <c r="BY558" t="str">
        <f>IF($E558="","",IFERROR(INDEX(_REF_Treatment_Library!$A$2:$A$296,MATCH(1,INDEX((_REF_Treatment_Library!$B$2:$B$296=$BT558)*(_REF_Treatment_Library!$C$2:$C$296=PV_Canonical_Industry)*(_REF_Treatment_Library!$E$2:$E$296&lt;=N($H558))*(_REF_Treatment_Library!$F$2:$F$296&gt;=N($H558))*(_REF_Treatment_Library!$O$2:$O$296="Yes"),0),0)),IFERROR(INDEX(_REF_Treatment_Library!$A$2:$A$296,MATCH(1,INDEX((_REF_Treatment_Library!$B$2:$B$296=$BT558)*(_REF_Treatment_Library!$C$2:$C$296="All")*(_REF_Treatment_Library!$E$2:$E$296&lt;=N($H558))*(_REF_Treatment_Library!$F$2:$F$296&gt;=N($H558))*(_REF_Treatment_Library!$O$2:$O$296="Yes"),0),0)),"")))</f>
        <v>TRT-INCIDENT_RESPONSE-INITIAL</v>
      </c>
      <c r="BZ558" t="str">
        <f>IF($BY558="","",IFERROR(INDEX(_REF_Treatment_Library!$H$2:$H$296,MATCH($BY558,_REF_Treatment_Library!$A$2:$A$296,0)),""))</f>
        <v>Establish</v>
      </c>
      <c r="CA558" t="str">
        <f>IF($BY558="","",IFERROR(INDEX(_REF_Treatment_Library!$I$2:$I$296,MATCH($BY558,_REF_Treatment_Library!$A$2:$A$296,0)),""))</f>
        <v>Establish baseline controls for Incident response</v>
      </c>
      <c r="CB558" t="str">
        <f>IF($BY558="","",IFERROR(INDEX(_REF_Treatment_Library!$K$2:$K$296,MATCH($BY558,_REF_Treatment_Library!$A$2:$A$296,0)),""))</f>
        <v>Named owner, baseline process, minimum control checklist, first evidence package</v>
      </c>
      <c r="CC558" t="str">
        <f>IF($BY558="","",IFERROR(INDEX(_REF_Treatment_Library!$L$2:$L$296,MATCH($BY558,_REF_Treatment_Library!$A$2:$A$296,0)),""))</f>
        <v>Owner assigned; baseline evidence coverage; open critical gaps</v>
      </c>
      <c r="CD558" t="str">
        <f t="shared" si="50"/>
        <v>Treatment by capability=CAP_INCIDENT_RESPONSE; band=Initial / absent; score=0.0; treatment=Establish</v>
      </c>
      <c r="CE558" t="str">
        <f>IF($E558="","",IFERROR(INDEX(_REF_Industry_Wording!$A$2:$A$70,MATCH(1,INDEX((_REF_Industry_Wording!$B$2:$B$70=$BT558)*(_REF_Industry_Wording!$C$2:$C$70=PV_Canonical_Industry)*(_REF_Industry_Wording!$K$2:$K$70="Yes"),0),0)),IFERROR(INDEX(_REF_Industry_Wording!$A$2:$A$70,MATCH(1,INDEX((_REF_Industry_Wording!$B$2:$B$70=$BT558)*(_REF_Industry_Wording!$C$2:$C$70="All")*(_REF_Industry_Wording!$K$2:$K$70="Yes"),0),0)),"")))</f>
        <v>IW-ALL-INCIDENT_RESPONSE</v>
      </c>
      <c r="CF558" t="str">
        <f>IF($CE558="","",IFERROR(INDEX(_REF_Industry_Wording!$E$2:$E$70,MATCH($CE558,_REF_Industry_Wording!$A$2:$A$70,0)),""))</f>
        <v>Incident response weakness</v>
      </c>
      <c r="CG558" t="str">
        <f>IF($CE558="","",IFERROR(INDEX(_REF_Industry_Wording!$F$2:$F$70,MATCH($CE558,_REF_Industry_Wording!$A$2:$A$70,0)),""))</f>
        <v>Strengthen Incident response</v>
      </c>
      <c r="CH558" t="str">
        <f>IF($CE558="","",IFERROR(INDEX(_REF_Industry_Wording!$G$2:$G$70,MATCH($CE558,_REF_Industry_Wording!$A$2:$A$70,0)),""))</f>
        <v>Strengthen Incident response using the selected maturity treatment, crisis scenario and evidence requirements.</v>
      </c>
      <c r="CI558" t="str">
        <f>IF($CE558="","",IFERROR(INDEX(_REF_Industry_Wording!$H$2:$H$70,MATCH($CE558,_REF_Industry_Wording!$A$2:$A$70,0)),""))</f>
        <v>Incident response</v>
      </c>
      <c r="CJ558">
        <f>IF($CE558="","",IFERROR(INDEX(_REF_Industry_Wording!$I$2:$I$70,MATCH($CE558,_REF_Industry_Wording!$A$2:$A$70,0)),""))</f>
        <v>0</v>
      </c>
      <c r="CK558" t="str">
        <f>IF($CE558="","",IFERROR(INDEX(_REF_Industry_Wording!$J$2:$J$70,MATCH($CE558,_REF_Industry_Wording!$A$2:$A$70,0)),""))</f>
        <v>Incident response</v>
      </c>
      <c r="CL558" t="str">
        <f t="shared" si="51"/>
        <v>Wording by industry=0; capability=CAP_INCIDENT_RESPONSE; risk label=Incident response weakness</v>
      </c>
      <c r="CM558" t="str">
        <f t="shared" si="52"/>
        <v>RISK-ONT-0059</v>
      </c>
      <c r="CN558" t="str">
        <f t="shared" si="53"/>
        <v>RISK-EVT-0059</v>
      </c>
      <c r="CO558" t="str">
        <f t="shared" si="54"/>
        <v>Governance Crisis|Incident management|GOVE-014|CAP_INCIDENT_RESPONSE</v>
      </c>
      <c r="CP558" t="str">
        <f t="shared" si="55"/>
        <v>Active</v>
      </c>
      <c r="CQ558" t="str">
        <f t="shared" si="56"/>
        <v>OK: capability-driven</v>
      </c>
      <c r="CR558" t="str">
        <f t="shared" si="57"/>
        <v>Risk ontology uses capability=CAP_INCIDENT_RESPONSE; bridge=BRG-036; treatment=TRT-INCIDENT_RESPONSE-INITIAL; wording=IW-ALL-INCIDENT_RESPONSE</v>
      </c>
      <c r="CS558" t="str">
        <f t="shared" si="58"/>
        <v>Yes</v>
      </c>
    </row>
    <row r="559" spans="1:97" ht="69.900000000000006" customHeight="1">
      <c r="A559">
        <f>IF(OR($B559&lt;&gt;"Yes",$BS559=""),"",SUMPRODUCT(($B$500:$B$923="Yes")*ISNUMBER($BS$500:$BS$923)*($BS$500:$BS$923&gt;$BS559))+COUNTIFS($B$500:$B559,"Yes",$BS$500:$BS559,$BS559))</f>
        <v>225</v>
      </c>
      <c r="B559" t="str">
        <f t="shared" si="21"/>
        <v>Yes</v>
      </c>
      <c r="C559" t="s">
        <v>1150</v>
      </c>
      <c r="D559" t="s">
        <v>1165</v>
      </c>
      <c r="E559" t="s">
        <v>1211</v>
      </c>
      <c r="F559" t="s">
        <v>3681</v>
      </c>
      <c r="G559" t="str">
        <f>IF($H559="","",IFERROR(INDEX(_ENGINE_Risk!$H$5:$M$499,MATCH($E559,_ENGINE_Risk!$A$5:$A$499,0),$H559+1),""))</f>
        <v>Severe risk: post-incident review process that converts incidents into corrective and preventive actions is not reliably controlled. During All crisis types, the organization may face slow decisions, unclear escalation, duplicated actions and weak crisis command with limited visibility or accountability.</v>
      </c>
      <c r="H559">
        <f>IFERROR(VALUE(INDEX(_DATA_Assessment_Model!$H$5:$H$884,MATCH($E559,_DATA_Assessment_Model!$A$5:$A$884,0))),"")</f>
        <v>0</v>
      </c>
      <c r="I559" t="str">
        <f>IF($H559="","",IFERROR(INDEX(_DATA_Assessment_Model!$L$5:$L$884,MATCH($E559,_DATA_Assessment_Model!$A$5:$A$884,0)),IF($H559&lt;=1,"Critical",IF($H559=2,"High",IF($H559=3,"Medium",IF($H559=4,"Low","Resilient"))))))</f>
        <v>Critical</v>
      </c>
      <c r="J559">
        <f t="shared" si="22"/>
        <v>3.6</v>
      </c>
      <c r="K559">
        <f t="shared" si="23"/>
        <v>4.5</v>
      </c>
      <c r="L559">
        <f t="shared" si="24"/>
        <v>16.2</v>
      </c>
      <c r="M559">
        <f t="shared" si="25"/>
        <v>4</v>
      </c>
      <c r="N559">
        <f>IF($H559="","",IFERROR(INDEX(_ENGINE_Risk!$T$5:$Y$499,MATCH($E559,_ENGINE_Risk!$A$5:$A$499,0),$H559+1),""))</f>
        <v>3</v>
      </c>
      <c r="O559">
        <f t="shared" si="26"/>
        <v>4.666666666666667</v>
      </c>
      <c r="P559">
        <f t="shared" si="27"/>
        <v>5</v>
      </c>
      <c r="Q559">
        <f t="shared" si="28"/>
        <v>5</v>
      </c>
      <c r="R559">
        <f t="shared" si="29"/>
        <v>4.5</v>
      </c>
      <c r="S559">
        <f t="shared" si="30"/>
        <v>1.6</v>
      </c>
      <c r="T559" t="str">
        <f>IF($H559="","",IFERROR(INDEX(_ENGINE_Risk!$N$5:$S$499,MATCH($E559,_ENGINE_Risk!$A$5:$A$499,0),$H559+1),""))</f>
        <v>Create an immediate risk owner, minimum control baseline and fallback procedure for post-incident review process that converts incidents into corrective and preventive actions. Add it to the crisis risk register and collect first evidence.</v>
      </c>
      <c r="U559">
        <f>IFERROR(INDEX(_DATA_Assessment_Model!$G$5:$G$884,MATCH($E559,_DATA_Assessment_Model!$A$5:$A$884,0)),"")</f>
        <v>5</v>
      </c>
      <c r="V559">
        <f>IFERROR(INDEX(_DATA_Assessment_Model!$W$5:$W$884,MATCH($E559,_DATA_Assessment_Model!$A$5:$A$884,0)),"")</f>
        <v>4</v>
      </c>
      <c r="W559">
        <f>IFERROR(INDEX(_DATA_Assessment_Model!$X$5:$X$884,MATCH($E559,_DATA_Assessment_Model!$A$5:$A$884,0)),"")</f>
        <v>5</v>
      </c>
      <c r="X559">
        <f>IFERROR(INDEX(_DATA_Assessment_Model!$Y$5:$Y$884,MATCH($E559,_DATA_Assessment_Model!$A$5:$A$884,0)),"")</f>
        <v>5</v>
      </c>
      <c r="Y559" t="s">
        <v>1157</v>
      </c>
      <c r="Z559" t="s">
        <v>4591</v>
      </c>
      <c r="AA559" t="s">
        <v>1213</v>
      </c>
      <c r="AB559">
        <f>IFERROR(INDEX(_DATA_Assessment_Model!$U$5:$U$884,MATCH($E559,_DATA_Assessment_Model!$A$5:$A$884,0)),"")</f>
        <v>0</v>
      </c>
      <c r="AF559" t="s">
        <v>1212</v>
      </c>
      <c r="AO559">
        <f>IF($B559="Yes",IF(IFERROR(INDEX(_ENGINE_Crisis!$F$501:$F$517,MATCH($C559,_ENGINE_Crisis!$A$501:$A$517,0)),1)=0,1,IFERROR(INDEX(_ENGINE_Crisis!$F$501:$F$517,MATCH($C559,_ENGINE_Crisis!$A$501:$A$517,0)),1)),"")</f>
        <v>1</v>
      </c>
      <c r="AP559">
        <f t="shared" si="37"/>
        <v>16.2</v>
      </c>
      <c r="AQ559">
        <f t="shared" si="38"/>
        <v>1.6</v>
      </c>
      <c r="AR559" t="str">
        <f>IFERROR(INDEX(_ENGINE_Crisis!$E$41:$E$700,MATCH('Resilience &amp; Risk Scenario'!$B$6&amp;"|"&amp;$C559,_ENGINE_Crisis!$I$41:$I$700,0)),"")</f>
        <v/>
      </c>
      <c r="AS559" t="str">
        <f>IFERROR(INDEX(_ENGINE_Crisis!$G$41:$G$700,MATCH('Resilience &amp; Risk Scenario'!$B$6&amp;"|"&amp;$C559,_ENGINE_Crisis!$I$41:$I$700,0)),"")</f>
        <v/>
      </c>
      <c r="AT559" t="str">
        <f>IFERROR(INDEX(_ENGINE_Initiatives!$A$5:$A$532,MATCH(1,INDEX((_ENGINE_Initiatives!$B$5:$B$532=$C559)*(_ENGINE_Initiatives!$C$5:$C$532=$D559),0),0)),"")</f>
        <v>INI-010</v>
      </c>
      <c r="AU559" t="str">
        <f>IFERROR(INDEX(_ENGINE_Initiatives!$F$5:$F$532,MATCH(1,INDEX((_ENGINE_Initiatives!$B$5:$B$532=$C559)*(_ENGINE_Initiatives!$C$5:$C$532=$D559),0),0)),"")</f>
        <v>Implement incident command, escalation and after-action review</v>
      </c>
      <c r="AV559">
        <f>IFERROR(INDEX(_ENGINE_Initiatives!$AC$5:$AC$532,MATCH(1,INDEX((_ENGINE_Initiatives!$B$5:$B$532=$C559)*(_ENGINE_Initiatives!$C$5:$C$532=$D559),0),0)),"")</f>
        <v>2.61</v>
      </c>
      <c r="AW559" t="str">
        <f>IFERROR(INDEX(_ENGINE_Initiatives!$AE$5:$AE$532,MATCH(1,INDEX((_ENGINE_Initiatives!$B$5:$B$532=$C559)*(_ENGINE_Initiatives!$C$5:$C$532=$D559),0),0)),"")</f>
        <v>0-90 days</v>
      </c>
      <c r="AX559">
        <f>IF($B559="Yes",IFERROR((IF(SUMIFS(_REF_Model_Content!$E$1:$E$613,_REF_Model_Content!$A$1:$A$613,PV_Canonical_Industry,_REF_Model_Content!$B$1:$B$613,$C559)=0,1,SUMIFS(_REF_Model_Content!$E$1:$E$613,_REF_Model_Content!$A$1:$A$613,PV_Canonical_Industry,_REF_Model_Content!$B$1:$B$613,$C559))*IFERROR($BU559,1)),1),"")</f>
        <v>1</v>
      </c>
      <c r="AY559">
        <f t="shared" si="39"/>
        <v>16.2</v>
      </c>
      <c r="AZ559">
        <f t="shared" si="40"/>
        <v>1.6</v>
      </c>
      <c r="BB559" t="str">
        <f>IF($H559="","",IFERROR(INDEX(_ENGINE_Risk!$AE$5:$AE$499,MATCH($E559,_ENGINE_Risk!$A$5:$A$499,0)),"Medium"))</f>
        <v>Medium</v>
      </c>
      <c r="BC559">
        <f t="shared" si="41"/>
        <v>1</v>
      </c>
      <c r="BD559">
        <f t="shared" si="42"/>
        <v>1.6</v>
      </c>
      <c r="BF559">
        <f>IF(OR($H559="",$J559=""),"",IFERROR(VLOOKUP(ROUND($J559,0),_CONFIG_Model_Settings!$D$154:$E$158,2,0),""))</f>
        <v>0.5</v>
      </c>
      <c r="BG559">
        <f>IFERROR(IF(OR($H559="",$K559=""),"",ROUND('Company Profile'!$B$113*INDEX(_CONFIG_Model_Settings!$H$154:$H$158,MATCH(ROUND($K559,0),_CONFIG_Model_Settings!$G$154:$G$158,0)),0)),0)</f>
        <v>1875</v>
      </c>
      <c r="BH559">
        <f t="shared" si="43"/>
        <v>937.5</v>
      </c>
      <c r="BI559">
        <f t="shared" si="44"/>
        <v>937.5</v>
      </c>
      <c r="BJ559">
        <f>IF($E559="","",IFERROR(VLOOKUP($C559,_CONFIG_Risk_Calibration!$A$5:$H$21,2,FALSE),3))</f>
        <v>3</v>
      </c>
      <c r="BK559">
        <f>IF($E559="","",IFERROR(VLOOKUP($C559,_CONFIG_Risk_Calibration!$A$5:$H$21,3,FALSE),0))</f>
        <v>0</v>
      </c>
      <c r="BL559">
        <f>IF($E559="","",IFERROR(VLOOKUP($C559,_CONFIG_Risk_Calibration!$A$5:$H$21,4,FALSE),3))</f>
        <v>3</v>
      </c>
      <c r="BM559">
        <f>IF($E559="","",IFERROR(VLOOKUP($C559,_CONFIG_Risk_Calibration!$A$5:$H$21,5,FALSE),3))</f>
        <v>4</v>
      </c>
      <c r="BN559" t="str">
        <f>IF($E559="","",IFERROR(VLOOKUP($C559,_CONFIG_Risk_Calibration!$A$5:$H$21,6,FALSE),"No"))</f>
        <v>Yes</v>
      </c>
      <c r="BO559">
        <f>IF($E559="","",IFERROR(VLOOKUP($C559,_CONFIG_Risk_Calibration!$A$5:$H$21,7,FALSE),1))</f>
        <v>4</v>
      </c>
      <c r="BP559">
        <f>IF($H559="","",MAX(1,MIN(5,((6-$H559)*0.45)+($BJ559*0.2)+('Resilience &amp; Risk Scenario'!$B$7*0.15)+($BK559*0.1)+($BL559*0.05)+(IF($BB559="Fast",5,IF($BB559="Slow",1,3))*0.05))))</f>
        <v>3.6</v>
      </c>
      <c r="BQ559">
        <f t="shared" si="45"/>
        <v>4.5</v>
      </c>
      <c r="BR559">
        <f t="shared" si="46"/>
        <v>16.2</v>
      </c>
      <c r="BS559">
        <f t="shared" si="47"/>
        <v>17.82</v>
      </c>
      <c r="BT559" t="str">
        <f>IFERROR(INDEX(_REF_Capability_Bridge!$D:$D,MATCH($C559&amp;"|"&amp;$D559,_REF_Capability_Bridge!$J:$J,0)),IFERROR(INDEX(_REF_Capability_Bridge!$D:$D,MATCH($C559&amp;"|",_REF_Capability_Bridge!$J:$J,0)),"CAP_GENERIC"))</f>
        <v>CAP_INCIDENT_RESPONSE</v>
      </c>
      <c r="BU559">
        <f>IFERROR(IFERROR(INDEX(_ENGINE_Relevance!$L:$L,MATCH($BT559,_ENGINE_Relevance!$B:$B,0)),1),1)</f>
        <v>1</v>
      </c>
      <c r="BV559" t="str">
        <f>IFERROR(INDEX(_REF_Capability_Bridge!$A:$A,MATCH($C559&amp;"|"&amp;$D559,_REF_Capability_Bridge!$J:$J,0)),IFERROR(INDEX(_REF_Capability_Bridge!$A:$A,MATCH($C559&amp;"|",_REF_Capability_Bridge!$J:$J,0)),"No bridge"))</f>
        <v>BRG-036</v>
      </c>
      <c r="BW559" t="str">
        <f t="shared" si="48"/>
        <v>Capability relevance neutral</v>
      </c>
      <c r="BX559" t="str">
        <f t="shared" si="49"/>
        <v>Initial / absent</v>
      </c>
      <c r="BY559" t="str">
        <f>IF($E559="","",IFERROR(INDEX(_REF_Treatment_Library!$A$2:$A$296,MATCH(1,INDEX((_REF_Treatment_Library!$B$2:$B$296=$BT559)*(_REF_Treatment_Library!$C$2:$C$296=PV_Canonical_Industry)*(_REF_Treatment_Library!$E$2:$E$296&lt;=N($H559))*(_REF_Treatment_Library!$F$2:$F$296&gt;=N($H559))*(_REF_Treatment_Library!$O$2:$O$296="Yes"),0),0)),IFERROR(INDEX(_REF_Treatment_Library!$A$2:$A$296,MATCH(1,INDEX((_REF_Treatment_Library!$B$2:$B$296=$BT559)*(_REF_Treatment_Library!$C$2:$C$296="All")*(_REF_Treatment_Library!$E$2:$E$296&lt;=N($H559))*(_REF_Treatment_Library!$F$2:$F$296&gt;=N($H559))*(_REF_Treatment_Library!$O$2:$O$296="Yes"),0),0)),"")))</f>
        <v>TRT-INCIDENT_RESPONSE-INITIAL</v>
      </c>
      <c r="BZ559" t="str">
        <f>IF($BY559="","",IFERROR(INDEX(_REF_Treatment_Library!$H$2:$H$296,MATCH($BY559,_REF_Treatment_Library!$A$2:$A$296,0)),""))</f>
        <v>Establish</v>
      </c>
      <c r="CA559" t="str">
        <f>IF($BY559="","",IFERROR(INDEX(_REF_Treatment_Library!$I$2:$I$296,MATCH($BY559,_REF_Treatment_Library!$A$2:$A$296,0)),""))</f>
        <v>Establish baseline controls for Incident response</v>
      </c>
      <c r="CB559" t="str">
        <f>IF($BY559="","",IFERROR(INDEX(_REF_Treatment_Library!$K$2:$K$296,MATCH($BY559,_REF_Treatment_Library!$A$2:$A$296,0)),""))</f>
        <v>Named owner, baseline process, minimum control checklist, first evidence package</v>
      </c>
      <c r="CC559" t="str">
        <f>IF($BY559="","",IFERROR(INDEX(_REF_Treatment_Library!$L$2:$L$296,MATCH($BY559,_REF_Treatment_Library!$A$2:$A$296,0)),""))</f>
        <v>Owner assigned; baseline evidence coverage; open critical gaps</v>
      </c>
      <c r="CD559" t="str">
        <f t="shared" si="50"/>
        <v>Treatment by capability=CAP_INCIDENT_RESPONSE; band=Initial / absent; score=0.0; treatment=Establish</v>
      </c>
      <c r="CE559" t="str">
        <f>IF($E559="","",IFERROR(INDEX(_REF_Industry_Wording!$A$2:$A$70,MATCH(1,INDEX((_REF_Industry_Wording!$B$2:$B$70=$BT559)*(_REF_Industry_Wording!$C$2:$C$70=PV_Canonical_Industry)*(_REF_Industry_Wording!$K$2:$K$70="Yes"),0),0)),IFERROR(INDEX(_REF_Industry_Wording!$A$2:$A$70,MATCH(1,INDEX((_REF_Industry_Wording!$B$2:$B$70=$BT559)*(_REF_Industry_Wording!$C$2:$C$70="All")*(_REF_Industry_Wording!$K$2:$K$70="Yes"),0),0)),"")))</f>
        <v>IW-ALL-INCIDENT_RESPONSE</v>
      </c>
      <c r="CF559" t="str">
        <f>IF($CE559="","",IFERROR(INDEX(_REF_Industry_Wording!$E$2:$E$70,MATCH($CE559,_REF_Industry_Wording!$A$2:$A$70,0)),""))</f>
        <v>Incident response weakness</v>
      </c>
      <c r="CG559" t="str">
        <f>IF($CE559="","",IFERROR(INDEX(_REF_Industry_Wording!$F$2:$F$70,MATCH($CE559,_REF_Industry_Wording!$A$2:$A$70,0)),""))</f>
        <v>Strengthen Incident response</v>
      </c>
      <c r="CH559" t="str">
        <f>IF($CE559="","",IFERROR(INDEX(_REF_Industry_Wording!$G$2:$G$70,MATCH($CE559,_REF_Industry_Wording!$A$2:$A$70,0)),""))</f>
        <v>Strengthen Incident response using the selected maturity treatment, crisis scenario and evidence requirements.</v>
      </c>
      <c r="CI559" t="str">
        <f>IF($CE559="","",IFERROR(INDEX(_REF_Industry_Wording!$H$2:$H$70,MATCH($CE559,_REF_Industry_Wording!$A$2:$A$70,0)),""))</f>
        <v>Incident response</v>
      </c>
      <c r="CJ559">
        <f>IF($CE559="","",IFERROR(INDEX(_REF_Industry_Wording!$I$2:$I$70,MATCH($CE559,_REF_Industry_Wording!$A$2:$A$70,0)),""))</f>
        <v>0</v>
      </c>
      <c r="CK559" t="str">
        <f>IF($CE559="","",IFERROR(INDEX(_REF_Industry_Wording!$J$2:$J$70,MATCH($CE559,_REF_Industry_Wording!$A$2:$A$70,0)),""))</f>
        <v>Incident response</v>
      </c>
      <c r="CL559" t="str">
        <f t="shared" si="51"/>
        <v>Wording by industry=0; capability=CAP_INCIDENT_RESPONSE; risk label=Incident response weakness</v>
      </c>
      <c r="CM559" t="str">
        <f t="shared" si="52"/>
        <v>RISK-ONT-0060</v>
      </c>
      <c r="CN559" t="str">
        <f t="shared" si="53"/>
        <v>RISK-EVT-0060</v>
      </c>
      <c r="CO559" t="str">
        <f t="shared" si="54"/>
        <v>Governance Crisis|Incident management|GOVE-015|CAP_INCIDENT_RESPONSE</v>
      </c>
      <c r="CP559" t="str">
        <f t="shared" si="55"/>
        <v>Active</v>
      </c>
      <c r="CQ559" t="str">
        <f t="shared" si="56"/>
        <v>OK: capability-driven</v>
      </c>
      <c r="CR559" t="str">
        <f t="shared" si="57"/>
        <v>Risk ontology uses capability=CAP_INCIDENT_RESPONSE; bridge=BRG-036; treatment=TRT-INCIDENT_RESPONSE-INITIAL; wording=IW-ALL-INCIDENT_RESPONSE</v>
      </c>
      <c r="CS559" t="str">
        <f t="shared" si="58"/>
        <v>Yes</v>
      </c>
    </row>
    <row r="560" spans="1:97" ht="69.900000000000006" customHeight="1">
      <c r="A560">
        <f>IF(OR($B560&lt;&gt;"Yes",$BS560=""),"",SUMPRODUCT(($B$500:$B$923="Yes")*ISNUMBER($BS$500:$BS$923)*($BS$500:$BS$923&gt;$BS560))+COUNTIFS($B$500:$B560,"Yes",$BS$500:$BS560,$BS560))</f>
        <v>226</v>
      </c>
      <c r="B560" t="str">
        <f t="shared" si="21"/>
        <v>Yes</v>
      </c>
      <c r="C560" t="s">
        <v>1150</v>
      </c>
      <c r="D560" t="s">
        <v>1165</v>
      </c>
      <c r="E560" t="s">
        <v>1214</v>
      </c>
      <c r="F560" t="s">
        <v>3681</v>
      </c>
      <c r="G560" t="str">
        <f>IF($H560="","",IFERROR(INDEX(_ENGINE_Risk!$H$5:$M$499,MATCH($E560,_ENGINE_Risk!$A$5:$A$499,0),$H560+1),""))</f>
        <v>Severe risk: interdependency map linking functions, sites, systems, people, suppliers and customers is not reliably controlled. During All crisis types, the organization may face slow decisions, unclear escalation, duplicated actions and weak crisis command with limited visibility or accountability.</v>
      </c>
      <c r="H560">
        <f>IFERROR(VALUE(INDEX(_DATA_Assessment_Model!$H$5:$H$884,MATCH($E560,_DATA_Assessment_Model!$A$5:$A$884,0))),"")</f>
        <v>0</v>
      </c>
      <c r="I560" t="str">
        <f>IF($H560="","",IFERROR(INDEX(_DATA_Assessment_Model!$L$5:$L$884,MATCH($E560,_DATA_Assessment_Model!$A$5:$A$884,0)),IF($H560&lt;=1,"Critical",IF($H560=2,"High",IF($H560=3,"Medium",IF($H560=4,"Low","Resilient"))))))</f>
        <v>Critical</v>
      </c>
      <c r="J560">
        <f t="shared" si="22"/>
        <v>3.6</v>
      </c>
      <c r="K560">
        <f t="shared" si="23"/>
        <v>4.5</v>
      </c>
      <c r="L560">
        <f t="shared" si="24"/>
        <v>16.2</v>
      </c>
      <c r="M560">
        <f t="shared" si="25"/>
        <v>4</v>
      </c>
      <c r="N560">
        <f>IF($H560="","",IFERROR(INDEX(_ENGINE_Risk!$T$5:$Y$499,MATCH($E560,_ENGINE_Risk!$A$5:$A$499,0),$H560+1),""))</f>
        <v>3</v>
      </c>
      <c r="O560">
        <f t="shared" si="26"/>
        <v>4.666666666666667</v>
      </c>
      <c r="P560">
        <f t="shared" si="27"/>
        <v>5</v>
      </c>
      <c r="Q560">
        <f t="shared" si="28"/>
        <v>5</v>
      </c>
      <c r="R560">
        <f t="shared" si="29"/>
        <v>4.5</v>
      </c>
      <c r="S560">
        <f t="shared" si="30"/>
        <v>1.6</v>
      </c>
      <c r="T560" t="str">
        <f>IF($H560="","",IFERROR(INDEX(_ENGINE_Risk!$N$5:$S$499,MATCH($E560,_ENGINE_Risk!$A$5:$A$499,0),$H560+1),""))</f>
        <v>Create an immediate risk owner, minimum control baseline and fallback procedure for interdependency map linking functions, sites, systems, people, suppliers and customers. Add it to the crisis risk register and collect first evidence.</v>
      </c>
      <c r="U560">
        <f>IFERROR(INDEX(_DATA_Assessment_Model!$G$5:$G$884,MATCH($E560,_DATA_Assessment_Model!$A$5:$A$884,0)),"")</f>
        <v>5</v>
      </c>
      <c r="V560">
        <f>IFERROR(INDEX(_DATA_Assessment_Model!$W$5:$W$884,MATCH($E560,_DATA_Assessment_Model!$A$5:$A$884,0)),"")</f>
        <v>4</v>
      </c>
      <c r="W560">
        <f>IFERROR(INDEX(_DATA_Assessment_Model!$X$5:$X$884,MATCH($E560,_DATA_Assessment_Model!$A$5:$A$884,0)),"")</f>
        <v>5</v>
      </c>
      <c r="X560">
        <f>IFERROR(INDEX(_DATA_Assessment_Model!$Y$5:$Y$884,MATCH($E560,_DATA_Assessment_Model!$A$5:$A$884,0)),"")</f>
        <v>5</v>
      </c>
      <c r="Y560" t="s">
        <v>1157</v>
      </c>
      <c r="Z560" t="s">
        <v>4591</v>
      </c>
      <c r="AA560" t="s">
        <v>1216</v>
      </c>
      <c r="AB560">
        <f>IFERROR(INDEX(_DATA_Assessment_Model!$U$5:$U$884,MATCH($E560,_DATA_Assessment_Model!$A$5:$A$884,0)),"")</f>
        <v>0</v>
      </c>
      <c r="AF560" t="s">
        <v>1215</v>
      </c>
      <c r="AO560">
        <f>IF($B560="Yes",IF(IFERROR(INDEX(_ENGINE_Crisis!$F$501:$F$517,MATCH($C560,_ENGINE_Crisis!$A$501:$A$517,0)),1)=0,1,IFERROR(INDEX(_ENGINE_Crisis!$F$501:$F$517,MATCH($C560,_ENGINE_Crisis!$A$501:$A$517,0)),1)),"")</f>
        <v>1</v>
      </c>
      <c r="AP560">
        <f t="shared" si="37"/>
        <v>16.2</v>
      </c>
      <c r="AQ560">
        <f t="shared" si="38"/>
        <v>1.6</v>
      </c>
      <c r="AR560" t="str">
        <f>IFERROR(INDEX(_ENGINE_Crisis!$E$41:$E$700,MATCH('Resilience &amp; Risk Scenario'!$B$6&amp;"|"&amp;$C560,_ENGINE_Crisis!$I$41:$I$700,0)),"")</f>
        <v/>
      </c>
      <c r="AS560" t="str">
        <f>IFERROR(INDEX(_ENGINE_Crisis!$G$41:$G$700,MATCH('Resilience &amp; Risk Scenario'!$B$6&amp;"|"&amp;$C560,_ENGINE_Crisis!$I$41:$I$700,0)),"")</f>
        <v/>
      </c>
      <c r="AT560" t="str">
        <f>IFERROR(INDEX(_ENGINE_Initiatives!$A$5:$A$532,MATCH(1,INDEX((_ENGINE_Initiatives!$B$5:$B$532=$C560)*(_ENGINE_Initiatives!$C$5:$C$532=$D560),0),0)),"")</f>
        <v>INI-010</v>
      </c>
      <c r="AU560" t="str">
        <f>IFERROR(INDEX(_ENGINE_Initiatives!$F$5:$F$532,MATCH(1,INDEX((_ENGINE_Initiatives!$B$5:$B$532=$C560)*(_ENGINE_Initiatives!$C$5:$C$532=$D560),0),0)),"")</f>
        <v>Implement incident command, escalation and after-action review</v>
      </c>
      <c r="AV560">
        <f>IFERROR(INDEX(_ENGINE_Initiatives!$AC$5:$AC$532,MATCH(1,INDEX((_ENGINE_Initiatives!$B$5:$B$532=$C560)*(_ENGINE_Initiatives!$C$5:$C$532=$D560),0),0)),"")</f>
        <v>2.61</v>
      </c>
      <c r="AW560" t="str">
        <f>IFERROR(INDEX(_ENGINE_Initiatives!$AE$5:$AE$532,MATCH(1,INDEX((_ENGINE_Initiatives!$B$5:$B$532=$C560)*(_ENGINE_Initiatives!$C$5:$C$532=$D560),0),0)),"")</f>
        <v>0-90 days</v>
      </c>
      <c r="AX560">
        <f>IF($B560="Yes",IFERROR((IF(SUMIFS(_REF_Model_Content!$E$1:$E$613,_REF_Model_Content!$A$1:$A$613,PV_Canonical_Industry,_REF_Model_Content!$B$1:$B$613,$C560)=0,1,SUMIFS(_REF_Model_Content!$E$1:$E$613,_REF_Model_Content!$A$1:$A$613,PV_Canonical_Industry,_REF_Model_Content!$B$1:$B$613,$C560))*IFERROR($BU560,1)),1),"")</f>
        <v>1</v>
      </c>
      <c r="AY560">
        <f t="shared" si="39"/>
        <v>16.2</v>
      </c>
      <c r="AZ560">
        <f t="shared" si="40"/>
        <v>1.6</v>
      </c>
      <c r="BB560" t="str">
        <f>IF($H560="","",IFERROR(INDEX(_ENGINE_Risk!$AE$5:$AE$499,MATCH($E560,_ENGINE_Risk!$A$5:$A$499,0)),"Medium"))</f>
        <v>Medium</v>
      </c>
      <c r="BC560">
        <f t="shared" si="41"/>
        <v>1</v>
      </c>
      <c r="BD560">
        <f t="shared" si="42"/>
        <v>1.6</v>
      </c>
      <c r="BF560">
        <f>IF(OR($H560="",$J560=""),"",IFERROR(VLOOKUP(ROUND($J560,0),_CONFIG_Model_Settings!$D$154:$E$158,2,0),""))</f>
        <v>0.5</v>
      </c>
      <c r="BG560">
        <f>IFERROR(IF(OR($H560="",$K560=""),"",ROUND('Company Profile'!$B$113*INDEX(_CONFIG_Model_Settings!$H$154:$H$158,MATCH(ROUND($K560,0),_CONFIG_Model_Settings!$G$154:$G$158,0)),0)),0)</f>
        <v>1875</v>
      </c>
      <c r="BH560">
        <f t="shared" si="43"/>
        <v>937.5</v>
      </c>
      <c r="BI560">
        <f t="shared" si="44"/>
        <v>937.5</v>
      </c>
      <c r="BJ560">
        <f>IF($E560="","",IFERROR(VLOOKUP($C560,_CONFIG_Risk_Calibration!$A$5:$H$21,2,FALSE),3))</f>
        <v>3</v>
      </c>
      <c r="BK560">
        <f>IF($E560="","",IFERROR(VLOOKUP($C560,_CONFIG_Risk_Calibration!$A$5:$H$21,3,FALSE),0))</f>
        <v>0</v>
      </c>
      <c r="BL560">
        <f>IF($E560="","",IFERROR(VLOOKUP($C560,_CONFIG_Risk_Calibration!$A$5:$H$21,4,FALSE),3))</f>
        <v>3</v>
      </c>
      <c r="BM560">
        <f>IF($E560="","",IFERROR(VLOOKUP($C560,_CONFIG_Risk_Calibration!$A$5:$H$21,5,FALSE),3))</f>
        <v>4</v>
      </c>
      <c r="BN560" t="str">
        <f>IF($E560="","",IFERROR(VLOOKUP($C560,_CONFIG_Risk_Calibration!$A$5:$H$21,6,FALSE),"No"))</f>
        <v>Yes</v>
      </c>
      <c r="BO560">
        <f>IF($E560="","",IFERROR(VLOOKUP($C560,_CONFIG_Risk_Calibration!$A$5:$H$21,7,FALSE),1))</f>
        <v>4</v>
      </c>
      <c r="BP560">
        <f>IF($H560="","",MAX(1,MIN(5,((6-$H560)*0.45)+($BJ560*0.2)+('Resilience &amp; Risk Scenario'!$B$7*0.15)+($BK560*0.1)+($BL560*0.05)+(IF($BB560="Fast",5,IF($BB560="Slow",1,3))*0.05))))</f>
        <v>3.6</v>
      </c>
      <c r="BQ560">
        <f t="shared" si="45"/>
        <v>4.5</v>
      </c>
      <c r="BR560">
        <f t="shared" si="46"/>
        <v>16.2</v>
      </c>
      <c r="BS560">
        <f t="shared" si="47"/>
        <v>17.82</v>
      </c>
      <c r="BT560" t="str">
        <f>IFERROR(INDEX(_REF_Capability_Bridge!$D:$D,MATCH($C560&amp;"|"&amp;$D560,_REF_Capability_Bridge!$J:$J,0)),IFERROR(INDEX(_REF_Capability_Bridge!$D:$D,MATCH($C560&amp;"|",_REF_Capability_Bridge!$J:$J,0)),"CAP_GENERIC"))</f>
        <v>CAP_INCIDENT_RESPONSE</v>
      </c>
      <c r="BU560">
        <f>IFERROR(IFERROR(INDEX(_ENGINE_Relevance!$L:$L,MATCH($BT560,_ENGINE_Relevance!$B:$B,0)),1),1)</f>
        <v>1</v>
      </c>
      <c r="BV560" t="str">
        <f>IFERROR(INDEX(_REF_Capability_Bridge!$A:$A,MATCH($C560&amp;"|"&amp;$D560,_REF_Capability_Bridge!$J:$J,0)),IFERROR(INDEX(_REF_Capability_Bridge!$A:$A,MATCH($C560&amp;"|",_REF_Capability_Bridge!$J:$J,0)),"No bridge"))</f>
        <v>BRG-036</v>
      </c>
      <c r="BW560" t="str">
        <f t="shared" si="48"/>
        <v>Capability relevance neutral</v>
      </c>
      <c r="BX560" t="str">
        <f t="shared" si="49"/>
        <v>Initial / absent</v>
      </c>
      <c r="BY560" t="str">
        <f>IF($E560="","",IFERROR(INDEX(_REF_Treatment_Library!$A$2:$A$296,MATCH(1,INDEX((_REF_Treatment_Library!$B$2:$B$296=$BT560)*(_REF_Treatment_Library!$C$2:$C$296=PV_Canonical_Industry)*(_REF_Treatment_Library!$E$2:$E$296&lt;=N($H560))*(_REF_Treatment_Library!$F$2:$F$296&gt;=N($H560))*(_REF_Treatment_Library!$O$2:$O$296="Yes"),0),0)),IFERROR(INDEX(_REF_Treatment_Library!$A$2:$A$296,MATCH(1,INDEX((_REF_Treatment_Library!$B$2:$B$296=$BT560)*(_REF_Treatment_Library!$C$2:$C$296="All")*(_REF_Treatment_Library!$E$2:$E$296&lt;=N($H560))*(_REF_Treatment_Library!$F$2:$F$296&gt;=N($H560))*(_REF_Treatment_Library!$O$2:$O$296="Yes"),0),0)),"")))</f>
        <v>TRT-INCIDENT_RESPONSE-INITIAL</v>
      </c>
      <c r="BZ560" t="str">
        <f>IF($BY560="","",IFERROR(INDEX(_REF_Treatment_Library!$H$2:$H$296,MATCH($BY560,_REF_Treatment_Library!$A$2:$A$296,0)),""))</f>
        <v>Establish</v>
      </c>
      <c r="CA560" t="str">
        <f>IF($BY560="","",IFERROR(INDEX(_REF_Treatment_Library!$I$2:$I$296,MATCH($BY560,_REF_Treatment_Library!$A$2:$A$296,0)),""))</f>
        <v>Establish baseline controls for Incident response</v>
      </c>
      <c r="CB560" t="str">
        <f>IF($BY560="","",IFERROR(INDEX(_REF_Treatment_Library!$K$2:$K$296,MATCH($BY560,_REF_Treatment_Library!$A$2:$A$296,0)),""))</f>
        <v>Named owner, baseline process, minimum control checklist, first evidence package</v>
      </c>
      <c r="CC560" t="str">
        <f>IF($BY560="","",IFERROR(INDEX(_REF_Treatment_Library!$L$2:$L$296,MATCH($BY560,_REF_Treatment_Library!$A$2:$A$296,0)),""))</f>
        <v>Owner assigned; baseline evidence coverage; open critical gaps</v>
      </c>
      <c r="CD560" t="str">
        <f t="shared" si="50"/>
        <v>Treatment by capability=CAP_INCIDENT_RESPONSE; band=Initial / absent; score=0.0; treatment=Establish</v>
      </c>
      <c r="CE560" t="str">
        <f>IF($E560="","",IFERROR(INDEX(_REF_Industry_Wording!$A$2:$A$70,MATCH(1,INDEX((_REF_Industry_Wording!$B$2:$B$70=$BT560)*(_REF_Industry_Wording!$C$2:$C$70=PV_Canonical_Industry)*(_REF_Industry_Wording!$K$2:$K$70="Yes"),0),0)),IFERROR(INDEX(_REF_Industry_Wording!$A$2:$A$70,MATCH(1,INDEX((_REF_Industry_Wording!$B$2:$B$70=$BT560)*(_REF_Industry_Wording!$C$2:$C$70="All")*(_REF_Industry_Wording!$K$2:$K$70="Yes"),0),0)),"")))</f>
        <v>IW-ALL-INCIDENT_RESPONSE</v>
      </c>
      <c r="CF560" t="str">
        <f>IF($CE560="","",IFERROR(INDEX(_REF_Industry_Wording!$E$2:$E$70,MATCH($CE560,_REF_Industry_Wording!$A$2:$A$70,0)),""))</f>
        <v>Incident response weakness</v>
      </c>
      <c r="CG560" t="str">
        <f>IF($CE560="","",IFERROR(INDEX(_REF_Industry_Wording!$F$2:$F$70,MATCH($CE560,_REF_Industry_Wording!$A$2:$A$70,0)),""))</f>
        <v>Strengthen Incident response</v>
      </c>
      <c r="CH560" t="str">
        <f>IF($CE560="","",IFERROR(INDEX(_REF_Industry_Wording!$G$2:$G$70,MATCH($CE560,_REF_Industry_Wording!$A$2:$A$70,0)),""))</f>
        <v>Strengthen Incident response using the selected maturity treatment, crisis scenario and evidence requirements.</v>
      </c>
      <c r="CI560" t="str">
        <f>IF($CE560="","",IFERROR(INDEX(_REF_Industry_Wording!$H$2:$H$70,MATCH($CE560,_REF_Industry_Wording!$A$2:$A$70,0)),""))</f>
        <v>Incident response</v>
      </c>
      <c r="CJ560">
        <f>IF($CE560="","",IFERROR(INDEX(_REF_Industry_Wording!$I$2:$I$70,MATCH($CE560,_REF_Industry_Wording!$A$2:$A$70,0)),""))</f>
        <v>0</v>
      </c>
      <c r="CK560" t="str">
        <f>IF($CE560="","",IFERROR(INDEX(_REF_Industry_Wording!$J$2:$J$70,MATCH($CE560,_REF_Industry_Wording!$A$2:$A$70,0)),""))</f>
        <v>Incident response</v>
      </c>
      <c r="CL560" t="str">
        <f t="shared" si="51"/>
        <v>Wording by industry=0; capability=CAP_INCIDENT_RESPONSE; risk label=Incident response weakness</v>
      </c>
      <c r="CM560" t="str">
        <f t="shared" si="52"/>
        <v>RISK-ONT-0061</v>
      </c>
      <c r="CN560" t="str">
        <f t="shared" si="53"/>
        <v>RISK-EVT-0061</v>
      </c>
      <c r="CO560" t="str">
        <f t="shared" si="54"/>
        <v>Governance Crisis|Incident management|GOVE-016|CAP_INCIDENT_RESPONSE</v>
      </c>
      <c r="CP560" t="str">
        <f t="shared" si="55"/>
        <v>Active</v>
      </c>
      <c r="CQ560" t="str">
        <f t="shared" si="56"/>
        <v>OK: capability-driven</v>
      </c>
      <c r="CR560" t="str">
        <f t="shared" si="57"/>
        <v>Risk ontology uses capability=CAP_INCIDENT_RESPONSE; bridge=BRG-036; treatment=TRT-INCIDENT_RESPONSE-INITIAL; wording=IW-ALL-INCIDENT_RESPONSE</v>
      </c>
      <c r="CS560" t="str">
        <f t="shared" si="58"/>
        <v>Yes</v>
      </c>
    </row>
    <row r="561" spans="1:97" ht="69.900000000000006" customHeight="1">
      <c r="A561">
        <f>IF(OR($B561&lt;&gt;"Yes",$BS561=""),"",SUMPRODUCT(($B$500:$B$923="Yes")*ISNUMBER($BS$500:$BS$923)*($BS$500:$BS$923&gt;$BS561))+COUNTIFS($B$500:$B561,"Yes",$BS$500:$BS561,$BS561))</f>
        <v>227</v>
      </c>
      <c r="B561" t="str">
        <f t="shared" si="21"/>
        <v>Yes</v>
      </c>
      <c r="C561" t="s">
        <v>1150</v>
      </c>
      <c r="D561" t="s">
        <v>1165</v>
      </c>
      <c r="E561" t="s">
        <v>1217</v>
      </c>
      <c r="F561" t="s">
        <v>3681</v>
      </c>
      <c r="G561" t="str">
        <f>IF($H561="","",IFERROR(INDEX(_ENGINE_Risk!$H$5:$M$499,MATCH($E561,_ENGINE_Risk!$A$5:$A$499,0),$H561+1),""))</f>
        <v>Severe risk: crisis communication protocol for employees, customers, suppliers, regulators, insurers and media is not reliably controlled. During All crisis types, the organization may face slow decisions, unclear escalation, duplicated actions and weak crisis command with limited visibility or accountability.</v>
      </c>
      <c r="H561">
        <f>IFERROR(VALUE(INDEX(_DATA_Assessment_Model!$H$5:$H$884,MATCH($E561,_DATA_Assessment_Model!$A$5:$A$884,0))),"")</f>
        <v>0</v>
      </c>
      <c r="I561" t="str">
        <f>IF($H561="","",IFERROR(INDEX(_DATA_Assessment_Model!$L$5:$L$884,MATCH($E561,_DATA_Assessment_Model!$A$5:$A$884,0)),IF($H561&lt;=1,"Critical",IF($H561=2,"High",IF($H561=3,"Medium",IF($H561=4,"Low","Resilient"))))))</f>
        <v>Critical</v>
      </c>
      <c r="J561">
        <f t="shared" si="22"/>
        <v>3.6</v>
      </c>
      <c r="K561">
        <f t="shared" si="23"/>
        <v>4.5</v>
      </c>
      <c r="L561">
        <f t="shared" si="24"/>
        <v>16.2</v>
      </c>
      <c r="M561">
        <f t="shared" si="25"/>
        <v>4</v>
      </c>
      <c r="N561">
        <f>IF($H561="","",IFERROR(INDEX(_ENGINE_Risk!$T$5:$Y$499,MATCH($E561,_ENGINE_Risk!$A$5:$A$499,0),$H561+1),""))</f>
        <v>3</v>
      </c>
      <c r="O561">
        <f t="shared" si="26"/>
        <v>4.666666666666667</v>
      </c>
      <c r="P561">
        <f t="shared" si="27"/>
        <v>5</v>
      </c>
      <c r="Q561">
        <f t="shared" si="28"/>
        <v>5</v>
      </c>
      <c r="R561">
        <f t="shared" si="29"/>
        <v>4.5</v>
      </c>
      <c r="S561">
        <f t="shared" si="30"/>
        <v>1.6</v>
      </c>
      <c r="T561" t="str">
        <f>IF($H561="","",IFERROR(INDEX(_ENGINE_Risk!$N$5:$S$499,MATCH($E561,_ENGINE_Risk!$A$5:$A$499,0),$H561+1),""))</f>
        <v>Create an immediate risk owner, minimum control baseline and fallback procedure for crisis communication protocol for employees, customers, suppliers, regulators, insurers and media. Add it to the crisis risk register and collect first evidence.</v>
      </c>
      <c r="U561">
        <f>IFERROR(INDEX(_DATA_Assessment_Model!$G$5:$G$884,MATCH($E561,_DATA_Assessment_Model!$A$5:$A$884,0)),"")</f>
        <v>5</v>
      </c>
      <c r="V561">
        <f>IFERROR(INDEX(_DATA_Assessment_Model!$W$5:$W$884,MATCH($E561,_DATA_Assessment_Model!$A$5:$A$884,0)),"")</f>
        <v>4</v>
      </c>
      <c r="W561">
        <f>IFERROR(INDEX(_DATA_Assessment_Model!$X$5:$X$884,MATCH($E561,_DATA_Assessment_Model!$A$5:$A$884,0)),"")</f>
        <v>5</v>
      </c>
      <c r="X561">
        <f>IFERROR(INDEX(_DATA_Assessment_Model!$Y$5:$Y$884,MATCH($E561,_DATA_Assessment_Model!$A$5:$A$884,0)),"")</f>
        <v>5</v>
      </c>
      <c r="Y561" t="s">
        <v>1157</v>
      </c>
      <c r="Z561" t="s">
        <v>4591</v>
      </c>
      <c r="AA561" t="s">
        <v>1219</v>
      </c>
      <c r="AB561">
        <f>IFERROR(INDEX(_DATA_Assessment_Model!$U$5:$U$884,MATCH($E561,_DATA_Assessment_Model!$A$5:$A$884,0)),"")</f>
        <v>0</v>
      </c>
      <c r="AF561" t="s">
        <v>1218</v>
      </c>
      <c r="AO561">
        <f>IF($B561="Yes",IF(IFERROR(INDEX(_ENGINE_Crisis!$F$501:$F$517,MATCH($C561,_ENGINE_Crisis!$A$501:$A$517,0)),1)=0,1,IFERROR(INDEX(_ENGINE_Crisis!$F$501:$F$517,MATCH($C561,_ENGINE_Crisis!$A$501:$A$517,0)),1)),"")</f>
        <v>1</v>
      </c>
      <c r="AP561">
        <f t="shared" si="37"/>
        <v>16.2</v>
      </c>
      <c r="AQ561">
        <f t="shared" si="38"/>
        <v>1.6</v>
      </c>
      <c r="AR561" t="str">
        <f>IFERROR(INDEX(_ENGINE_Crisis!$E$41:$E$700,MATCH('Resilience &amp; Risk Scenario'!$B$6&amp;"|"&amp;$C561,_ENGINE_Crisis!$I$41:$I$700,0)),"")</f>
        <v/>
      </c>
      <c r="AS561" t="str">
        <f>IFERROR(INDEX(_ENGINE_Crisis!$G$41:$G$700,MATCH('Resilience &amp; Risk Scenario'!$B$6&amp;"|"&amp;$C561,_ENGINE_Crisis!$I$41:$I$700,0)),"")</f>
        <v/>
      </c>
      <c r="AT561" t="str">
        <f>IFERROR(INDEX(_ENGINE_Initiatives!$A$5:$A$532,MATCH(1,INDEX((_ENGINE_Initiatives!$B$5:$B$532=$C561)*(_ENGINE_Initiatives!$C$5:$C$532=$D561),0),0)),"")</f>
        <v>INI-010</v>
      </c>
      <c r="AU561" t="str">
        <f>IFERROR(INDEX(_ENGINE_Initiatives!$F$5:$F$532,MATCH(1,INDEX((_ENGINE_Initiatives!$B$5:$B$532=$C561)*(_ENGINE_Initiatives!$C$5:$C$532=$D561),0),0)),"")</f>
        <v>Implement incident command, escalation and after-action review</v>
      </c>
      <c r="AV561">
        <f>IFERROR(INDEX(_ENGINE_Initiatives!$AC$5:$AC$532,MATCH(1,INDEX((_ENGINE_Initiatives!$B$5:$B$532=$C561)*(_ENGINE_Initiatives!$C$5:$C$532=$D561),0),0)),"")</f>
        <v>2.61</v>
      </c>
      <c r="AW561" t="str">
        <f>IFERROR(INDEX(_ENGINE_Initiatives!$AE$5:$AE$532,MATCH(1,INDEX((_ENGINE_Initiatives!$B$5:$B$532=$C561)*(_ENGINE_Initiatives!$C$5:$C$532=$D561),0),0)),"")</f>
        <v>0-90 days</v>
      </c>
      <c r="AX561">
        <f>IF($B561="Yes",IFERROR((IF(SUMIFS(_REF_Model_Content!$E$1:$E$613,_REF_Model_Content!$A$1:$A$613,PV_Canonical_Industry,_REF_Model_Content!$B$1:$B$613,$C561)=0,1,SUMIFS(_REF_Model_Content!$E$1:$E$613,_REF_Model_Content!$A$1:$A$613,PV_Canonical_Industry,_REF_Model_Content!$B$1:$B$613,$C561))*IFERROR($BU561,1)),1),"")</f>
        <v>1</v>
      </c>
      <c r="AY561">
        <f t="shared" si="39"/>
        <v>16.2</v>
      </c>
      <c r="AZ561">
        <f t="shared" si="40"/>
        <v>1.6</v>
      </c>
      <c r="BB561" t="str">
        <f>IF($H561="","",IFERROR(INDEX(_ENGINE_Risk!$AE$5:$AE$499,MATCH($E561,_ENGINE_Risk!$A$5:$A$499,0)),"Medium"))</f>
        <v>Medium</v>
      </c>
      <c r="BC561">
        <f t="shared" si="41"/>
        <v>1</v>
      </c>
      <c r="BD561">
        <f t="shared" si="42"/>
        <v>1.6</v>
      </c>
      <c r="BF561">
        <f>IF(OR($H561="",$J561=""),"",IFERROR(VLOOKUP(ROUND($J561,0),_CONFIG_Model_Settings!$D$154:$E$158,2,0),""))</f>
        <v>0.5</v>
      </c>
      <c r="BG561">
        <f>IFERROR(IF(OR($H561="",$K561=""),"",ROUND('Company Profile'!$B$113*INDEX(_CONFIG_Model_Settings!$H$154:$H$158,MATCH(ROUND($K561,0),_CONFIG_Model_Settings!$G$154:$G$158,0)),0)),0)</f>
        <v>1875</v>
      </c>
      <c r="BH561">
        <f t="shared" si="43"/>
        <v>937.5</v>
      </c>
      <c r="BI561">
        <f t="shared" si="44"/>
        <v>937.5</v>
      </c>
      <c r="BJ561">
        <f>IF($E561="","",IFERROR(VLOOKUP($C561,_CONFIG_Risk_Calibration!$A$5:$H$21,2,FALSE),3))</f>
        <v>3</v>
      </c>
      <c r="BK561">
        <f>IF($E561="","",IFERROR(VLOOKUP($C561,_CONFIG_Risk_Calibration!$A$5:$H$21,3,FALSE),0))</f>
        <v>0</v>
      </c>
      <c r="BL561">
        <f>IF($E561="","",IFERROR(VLOOKUP($C561,_CONFIG_Risk_Calibration!$A$5:$H$21,4,FALSE),3))</f>
        <v>3</v>
      </c>
      <c r="BM561">
        <f>IF($E561="","",IFERROR(VLOOKUP($C561,_CONFIG_Risk_Calibration!$A$5:$H$21,5,FALSE),3))</f>
        <v>4</v>
      </c>
      <c r="BN561" t="str">
        <f>IF($E561="","",IFERROR(VLOOKUP($C561,_CONFIG_Risk_Calibration!$A$5:$H$21,6,FALSE),"No"))</f>
        <v>Yes</v>
      </c>
      <c r="BO561">
        <f>IF($E561="","",IFERROR(VLOOKUP($C561,_CONFIG_Risk_Calibration!$A$5:$H$21,7,FALSE),1))</f>
        <v>4</v>
      </c>
      <c r="BP561">
        <f>IF($H561="","",MAX(1,MIN(5,((6-$H561)*0.45)+($BJ561*0.2)+('Resilience &amp; Risk Scenario'!$B$7*0.15)+($BK561*0.1)+($BL561*0.05)+(IF($BB561="Fast",5,IF($BB561="Slow",1,3))*0.05))))</f>
        <v>3.6</v>
      </c>
      <c r="BQ561">
        <f t="shared" si="45"/>
        <v>4.5</v>
      </c>
      <c r="BR561">
        <f t="shared" si="46"/>
        <v>16.2</v>
      </c>
      <c r="BS561">
        <f t="shared" si="47"/>
        <v>17.82</v>
      </c>
      <c r="BT561" t="str">
        <f>IFERROR(INDEX(_REF_Capability_Bridge!$D:$D,MATCH($C561&amp;"|"&amp;$D561,_REF_Capability_Bridge!$J:$J,0)),IFERROR(INDEX(_REF_Capability_Bridge!$D:$D,MATCH($C561&amp;"|",_REF_Capability_Bridge!$J:$J,0)),"CAP_GENERIC"))</f>
        <v>CAP_INCIDENT_RESPONSE</v>
      </c>
      <c r="BU561">
        <f>IFERROR(IFERROR(INDEX(_ENGINE_Relevance!$L:$L,MATCH($BT561,_ENGINE_Relevance!$B:$B,0)),1),1)</f>
        <v>1</v>
      </c>
      <c r="BV561" t="str">
        <f>IFERROR(INDEX(_REF_Capability_Bridge!$A:$A,MATCH($C561&amp;"|"&amp;$D561,_REF_Capability_Bridge!$J:$J,0)),IFERROR(INDEX(_REF_Capability_Bridge!$A:$A,MATCH($C561&amp;"|",_REF_Capability_Bridge!$J:$J,0)),"No bridge"))</f>
        <v>BRG-036</v>
      </c>
      <c r="BW561" t="str">
        <f t="shared" si="48"/>
        <v>Capability relevance neutral</v>
      </c>
      <c r="BX561" t="str">
        <f t="shared" si="49"/>
        <v>Initial / absent</v>
      </c>
      <c r="BY561" t="str">
        <f>IF($E561="","",IFERROR(INDEX(_REF_Treatment_Library!$A$2:$A$296,MATCH(1,INDEX((_REF_Treatment_Library!$B$2:$B$296=$BT561)*(_REF_Treatment_Library!$C$2:$C$296=PV_Canonical_Industry)*(_REF_Treatment_Library!$E$2:$E$296&lt;=N($H561))*(_REF_Treatment_Library!$F$2:$F$296&gt;=N($H561))*(_REF_Treatment_Library!$O$2:$O$296="Yes"),0),0)),IFERROR(INDEX(_REF_Treatment_Library!$A$2:$A$296,MATCH(1,INDEX((_REF_Treatment_Library!$B$2:$B$296=$BT561)*(_REF_Treatment_Library!$C$2:$C$296="All")*(_REF_Treatment_Library!$E$2:$E$296&lt;=N($H561))*(_REF_Treatment_Library!$F$2:$F$296&gt;=N($H561))*(_REF_Treatment_Library!$O$2:$O$296="Yes"),0),0)),"")))</f>
        <v>TRT-INCIDENT_RESPONSE-INITIAL</v>
      </c>
      <c r="BZ561" t="str">
        <f>IF($BY561="","",IFERROR(INDEX(_REF_Treatment_Library!$H$2:$H$296,MATCH($BY561,_REF_Treatment_Library!$A$2:$A$296,0)),""))</f>
        <v>Establish</v>
      </c>
      <c r="CA561" t="str">
        <f>IF($BY561="","",IFERROR(INDEX(_REF_Treatment_Library!$I$2:$I$296,MATCH($BY561,_REF_Treatment_Library!$A$2:$A$296,0)),""))</f>
        <v>Establish baseline controls for Incident response</v>
      </c>
      <c r="CB561" t="str">
        <f>IF($BY561="","",IFERROR(INDEX(_REF_Treatment_Library!$K$2:$K$296,MATCH($BY561,_REF_Treatment_Library!$A$2:$A$296,0)),""))</f>
        <v>Named owner, baseline process, minimum control checklist, first evidence package</v>
      </c>
      <c r="CC561" t="str">
        <f>IF($BY561="","",IFERROR(INDEX(_REF_Treatment_Library!$L$2:$L$296,MATCH($BY561,_REF_Treatment_Library!$A$2:$A$296,0)),""))</f>
        <v>Owner assigned; baseline evidence coverage; open critical gaps</v>
      </c>
      <c r="CD561" t="str">
        <f t="shared" si="50"/>
        <v>Treatment by capability=CAP_INCIDENT_RESPONSE; band=Initial / absent; score=0.0; treatment=Establish</v>
      </c>
      <c r="CE561" t="str">
        <f>IF($E561="","",IFERROR(INDEX(_REF_Industry_Wording!$A$2:$A$70,MATCH(1,INDEX((_REF_Industry_Wording!$B$2:$B$70=$BT561)*(_REF_Industry_Wording!$C$2:$C$70=PV_Canonical_Industry)*(_REF_Industry_Wording!$K$2:$K$70="Yes"),0),0)),IFERROR(INDEX(_REF_Industry_Wording!$A$2:$A$70,MATCH(1,INDEX((_REF_Industry_Wording!$B$2:$B$70=$BT561)*(_REF_Industry_Wording!$C$2:$C$70="All")*(_REF_Industry_Wording!$K$2:$K$70="Yes"),0),0)),"")))</f>
        <v>IW-ALL-INCIDENT_RESPONSE</v>
      </c>
      <c r="CF561" t="str">
        <f>IF($CE561="","",IFERROR(INDEX(_REF_Industry_Wording!$E$2:$E$70,MATCH($CE561,_REF_Industry_Wording!$A$2:$A$70,0)),""))</f>
        <v>Incident response weakness</v>
      </c>
      <c r="CG561" t="str">
        <f>IF($CE561="","",IFERROR(INDEX(_REF_Industry_Wording!$F$2:$F$70,MATCH($CE561,_REF_Industry_Wording!$A$2:$A$70,0)),""))</f>
        <v>Strengthen Incident response</v>
      </c>
      <c r="CH561" t="str">
        <f>IF($CE561="","",IFERROR(INDEX(_REF_Industry_Wording!$G$2:$G$70,MATCH($CE561,_REF_Industry_Wording!$A$2:$A$70,0)),""))</f>
        <v>Strengthen Incident response using the selected maturity treatment, crisis scenario and evidence requirements.</v>
      </c>
      <c r="CI561" t="str">
        <f>IF($CE561="","",IFERROR(INDEX(_REF_Industry_Wording!$H$2:$H$70,MATCH($CE561,_REF_Industry_Wording!$A$2:$A$70,0)),""))</f>
        <v>Incident response</v>
      </c>
      <c r="CJ561">
        <f>IF($CE561="","",IFERROR(INDEX(_REF_Industry_Wording!$I$2:$I$70,MATCH($CE561,_REF_Industry_Wording!$A$2:$A$70,0)),""))</f>
        <v>0</v>
      </c>
      <c r="CK561" t="str">
        <f>IF($CE561="","",IFERROR(INDEX(_REF_Industry_Wording!$J$2:$J$70,MATCH($CE561,_REF_Industry_Wording!$A$2:$A$70,0)),""))</f>
        <v>Incident response</v>
      </c>
      <c r="CL561" t="str">
        <f t="shared" si="51"/>
        <v>Wording by industry=0; capability=CAP_INCIDENT_RESPONSE; risk label=Incident response weakness</v>
      </c>
      <c r="CM561" t="str">
        <f t="shared" si="52"/>
        <v>RISK-ONT-0062</v>
      </c>
      <c r="CN561" t="str">
        <f t="shared" si="53"/>
        <v>RISK-EVT-0062</v>
      </c>
      <c r="CO561" t="str">
        <f t="shared" si="54"/>
        <v>Governance Crisis|Incident management|GOVE-017|CAP_INCIDENT_RESPONSE</v>
      </c>
      <c r="CP561" t="str">
        <f t="shared" si="55"/>
        <v>Active</v>
      </c>
      <c r="CQ561" t="str">
        <f t="shared" si="56"/>
        <v>OK: capability-driven</v>
      </c>
      <c r="CR561" t="str">
        <f t="shared" si="57"/>
        <v>Risk ontology uses capability=CAP_INCIDENT_RESPONSE; bridge=BRG-036; treatment=TRT-INCIDENT_RESPONSE-INITIAL; wording=IW-ALL-INCIDENT_RESPONSE</v>
      </c>
      <c r="CS561" t="str">
        <f t="shared" si="58"/>
        <v>Yes</v>
      </c>
    </row>
    <row r="562" spans="1:97" ht="69.900000000000006" customHeight="1">
      <c r="A562">
        <f>IF(OR($B562&lt;&gt;"Yes",$BS562=""),"",SUMPRODUCT(($B$500:$B$923="Yes")*ISNUMBER($BS$500:$BS$923)*($BS$500:$BS$923&gt;$BS562))+COUNTIFS($B$500:$B562,"Yes",$BS$500:$BS562,$BS562))</f>
        <v>288</v>
      </c>
      <c r="B562" t="str">
        <f t="shared" si="21"/>
        <v>Yes</v>
      </c>
      <c r="C562" t="s">
        <v>1150</v>
      </c>
      <c r="D562" t="s">
        <v>1165</v>
      </c>
      <c r="E562" t="s">
        <v>1220</v>
      </c>
      <c r="F562" t="s">
        <v>3681</v>
      </c>
      <c r="G562" t="str">
        <f>IF($H562="","",IFERROR(INDEX(_ENGINE_Risk!$H$5:$M$499,MATCH($E562,_ENGINE_Risk!$A$5:$A$499,0),$H562+1),""))</f>
        <v>Severe risk: mass notification and emergency coordination tools is not reliably controlled. During All crisis types, the organization may face slow decisions, unclear escalation, duplicated actions and weak crisis command with limited visibility or accountability.</v>
      </c>
      <c r="H562">
        <f>IFERROR(VALUE(INDEX(_DATA_Assessment_Model!$H$5:$H$884,MATCH($E562,_DATA_Assessment_Model!$A$5:$A$884,0))),"")</f>
        <v>0</v>
      </c>
      <c r="I562" t="str">
        <f>IF($H562="","",IFERROR(INDEX(_DATA_Assessment_Model!$L$5:$L$884,MATCH($E562,_DATA_Assessment_Model!$A$5:$A$884,0)),IF($H562&lt;=1,"Critical",IF($H562=2,"High",IF($H562=3,"Medium",IF($H562=4,"Low","Resilient"))))))</f>
        <v>Critical</v>
      </c>
      <c r="J562">
        <f t="shared" si="22"/>
        <v>3.6</v>
      </c>
      <c r="K562">
        <f t="shared" si="23"/>
        <v>4.0999999999999996</v>
      </c>
      <c r="L562">
        <f t="shared" si="24"/>
        <v>14.76</v>
      </c>
      <c r="M562">
        <f t="shared" si="25"/>
        <v>3</v>
      </c>
      <c r="N562">
        <f>IF($H562="","",IFERROR(INDEX(_ENGINE_Risk!$T$5:$Y$499,MATCH($E562,_ENGINE_Risk!$A$5:$A$499,0),$H562+1),""))</f>
        <v>3</v>
      </c>
      <c r="O562">
        <f t="shared" si="26"/>
        <v>4</v>
      </c>
      <c r="P562">
        <f t="shared" si="27"/>
        <v>5</v>
      </c>
      <c r="Q562">
        <f t="shared" si="28"/>
        <v>5</v>
      </c>
      <c r="R562">
        <f t="shared" si="29"/>
        <v>4.5</v>
      </c>
      <c r="S562">
        <f t="shared" si="30"/>
        <v>1.54</v>
      </c>
      <c r="T562" t="str">
        <f>IF($H562="","",IFERROR(INDEX(_ENGINE_Risk!$N$5:$S$499,MATCH($E562,_ENGINE_Risk!$A$5:$A$499,0),$H562+1),""))</f>
        <v>Create an immediate risk owner, minimum control baseline and fallback procedure for mass notification and emergency coordination tools. Add it to the crisis risk register and collect first evidence.</v>
      </c>
      <c r="U562">
        <f>IFERROR(INDEX(_DATA_Assessment_Model!$G$5:$G$884,MATCH($E562,_DATA_Assessment_Model!$A$5:$A$884,0)),"")</f>
        <v>3</v>
      </c>
      <c r="V562">
        <f>IFERROR(INDEX(_DATA_Assessment_Model!$W$5:$W$884,MATCH($E562,_DATA_Assessment_Model!$A$5:$A$884,0)),"")</f>
        <v>4</v>
      </c>
      <c r="W562">
        <f>IFERROR(INDEX(_DATA_Assessment_Model!$X$5:$X$884,MATCH($E562,_DATA_Assessment_Model!$A$5:$A$884,0)),"")</f>
        <v>5</v>
      </c>
      <c r="X562">
        <f>IFERROR(INDEX(_DATA_Assessment_Model!$Y$5:$Y$884,MATCH($E562,_DATA_Assessment_Model!$A$5:$A$884,0)),"")</f>
        <v>5</v>
      </c>
      <c r="Y562" t="s">
        <v>1157</v>
      </c>
      <c r="Z562" t="s">
        <v>4591</v>
      </c>
      <c r="AA562" t="s">
        <v>1222</v>
      </c>
      <c r="AB562">
        <f>IFERROR(INDEX(_DATA_Assessment_Model!$U$5:$U$884,MATCH($E562,_DATA_Assessment_Model!$A$5:$A$884,0)),"")</f>
        <v>0</v>
      </c>
      <c r="AF562" t="s">
        <v>1221</v>
      </c>
      <c r="AO562">
        <f>IF($B562="Yes",IF(IFERROR(INDEX(_ENGINE_Crisis!$F$501:$F$517,MATCH($C562,_ENGINE_Crisis!$A$501:$A$517,0)),1)=0,1,IFERROR(INDEX(_ENGINE_Crisis!$F$501:$F$517,MATCH($C562,_ENGINE_Crisis!$A$501:$A$517,0)),1)),"")</f>
        <v>1</v>
      </c>
      <c r="AP562">
        <f t="shared" si="37"/>
        <v>14.8</v>
      </c>
      <c r="AQ562">
        <f t="shared" si="38"/>
        <v>1.54</v>
      </c>
      <c r="AR562" t="str">
        <f>IFERROR(INDEX(_ENGINE_Crisis!$E$41:$E$700,MATCH('Resilience &amp; Risk Scenario'!$B$6&amp;"|"&amp;$C562,_ENGINE_Crisis!$I$41:$I$700,0)),"")</f>
        <v/>
      </c>
      <c r="AS562" t="str">
        <f>IFERROR(INDEX(_ENGINE_Crisis!$G$41:$G$700,MATCH('Resilience &amp; Risk Scenario'!$B$6&amp;"|"&amp;$C562,_ENGINE_Crisis!$I$41:$I$700,0)),"")</f>
        <v/>
      </c>
      <c r="AT562" t="str">
        <f>IFERROR(INDEX(_ENGINE_Initiatives!$A$5:$A$532,MATCH(1,INDEX((_ENGINE_Initiatives!$B$5:$B$532=$C562)*(_ENGINE_Initiatives!$C$5:$C$532=$D562),0),0)),"")</f>
        <v>INI-010</v>
      </c>
      <c r="AU562" t="str">
        <f>IFERROR(INDEX(_ENGINE_Initiatives!$F$5:$F$532,MATCH(1,INDEX((_ENGINE_Initiatives!$B$5:$B$532=$C562)*(_ENGINE_Initiatives!$C$5:$C$532=$D562),0),0)),"")</f>
        <v>Implement incident command, escalation and after-action review</v>
      </c>
      <c r="AV562">
        <f>IFERROR(INDEX(_ENGINE_Initiatives!$AC$5:$AC$532,MATCH(1,INDEX((_ENGINE_Initiatives!$B$5:$B$532=$C562)*(_ENGINE_Initiatives!$C$5:$C$532=$D562),0),0)),"")</f>
        <v>2.61</v>
      </c>
      <c r="AW562" t="str">
        <f>IFERROR(INDEX(_ENGINE_Initiatives!$AE$5:$AE$532,MATCH(1,INDEX((_ENGINE_Initiatives!$B$5:$B$532=$C562)*(_ENGINE_Initiatives!$C$5:$C$532=$D562),0),0)),"")</f>
        <v>0-90 days</v>
      </c>
      <c r="AX562">
        <f>IF($B562="Yes",IFERROR((IF(SUMIFS(_REF_Model_Content!$E$1:$E$613,_REF_Model_Content!$A$1:$A$613,PV_Canonical_Industry,_REF_Model_Content!$B$1:$B$613,$C562)=0,1,SUMIFS(_REF_Model_Content!$E$1:$E$613,_REF_Model_Content!$A$1:$A$613,PV_Canonical_Industry,_REF_Model_Content!$B$1:$B$613,$C562))*IFERROR($BU562,1)),1),"")</f>
        <v>1</v>
      </c>
      <c r="AY562">
        <f t="shared" si="39"/>
        <v>14.8</v>
      </c>
      <c r="AZ562">
        <f t="shared" si="40"/>
        <v>1.54</v>
      </c>
      <c r="BB562" t="str">
        <f>IF($H562="","",IFERROR(INDEX(_ENGINE_Risk!$AE$5:$AE$499,MATCH($E562,_ENGINE_Risk!$A$5:$A$499,0)),"Medium"))</f>
        <v>Medium</v>
      </c>
      <c r="BC562">
        <f t="shared" si="41"/>
        <v>1</v>
      </c>
      <c r="BD562">
        <f t="shared" si="42"/>
        <v>1.54</v>
      </c>
      <c r="BF562">
        <f>IF(OR($H562="",$J562=""),"",IFERROR(VLOOKUP(ROUND($J562,0),_CONFIG_Model_Settings!$D$154:$E$158,2,0),""))</f>
        <v>0.5</v>
      </c>
      <c r="BG562">
        <f>IFERROR(IF(OR($H562="",$K562=""),"",ROUND('Company Profile'!$B$113*INDEX(_CONFIG_Model_Settings!$H$154:$H$158,MATCH(ROUND($K562,0),_CONFIG_Model_Settings!$G$154:$G$158,0)),0)),0)</f>
        <v>875</v>
      </c>
      <c r="BH562">
        <f t="shared" si="43"/>
        <v>437.5</v>
      </c>
      <c r="BI562">
        <f t="shared" si="44"/>
        <v>437.5</v>
      </c>
      <c r="BJ562">
        <f>IF($E562="","",IFERROR(VLOOKUP($C562,_CONFIG_Risk_Calibration!$A$5:$H$21,2,FALSE),3))</f>
        <v>3</v>
      </c>
      <c r="BK562">
        <f>IF($E562="","",IFERROR(VLOOKUP($C562,_CONFIG_Risk_Calibration!$A$5:$H$21,3,FALSE),0))</f>
        <v>0</v>
      </c>
      <c r="BL562">
        <f>IF($E562="","",IFERROR(VLOOKUP($C562,_CONFIG_Risk_Calibration!$A$5:$H$21,4,FALSE),3))</f>
        <v>3</v>
      </c>
      <c r="BM562">
        <f>IF($E562="","",IFERROR(VLOOKUP($C562,_CONFIG_Risk_Calibration!$A$5:$H$21,5,FALSE),3))</f>
        <v>4</v>
      </c>
      <c r="BN562" t="str">
        <f>IF($E562="","",IFERROR(VLOOKUP($C562,_CONFIG_Risk_Calibration!$A$5:$H$21,6,FALSE),"No"))</f>
        <v>Yes</v>
      </c>
      <c r="BO562">
        <f>IF($E562="","",IFERROR(VLOOKUP($C562,_CONFIG_Risk_Calibration!$A$5:$H$21,7,FALSE),1))</f>
        <v>4</v>
      </c>
      <c r="BP562">
        <f>IF($H562="","",MAX(1,MIN(5,((6-$H562)*0.45)+($BJ562*0.2)+('Resilience &amp; Risk Scenario'!$B$7*0.15)+($BK562*0.1)+($BL562*0.05)+(IF($BB562="Fast",5,IF($BB562="Slow",1,3))*0.05))))</f>
        <v>3.6</v>
      </c>
      <c r="BQ562">
        <f t="shared" si="45"/>
        <v>4.0999999999999996</v>
      </c>
      <c r="BR562">
        <f t="shared" si="46"/>
        <v>14.76</v>
      </c>
      <c r="BS562">
        <f t="shared" si="47"/>
        <v>16.239999999999998</v>
      </c>
      <c r="BT562" t="str">
        <f>IFERROR(INDEX(_REF_Capability_Bridge!$D:$D,MATCH($C562&amp;"|"&amp;$D562,_REF_Capability_Bridge!$J:$J,0)),IFERROR(INDEX(_REF_Capability_Bridge!$D:$D,MATCH($C562&amp;"|",_REF_Capability_Bridge!$J:$J,0)),"CAP_GENERIC"))</f>
        <v>CAP_INCIDENT_RESPONSE</v>
      </c>
      <c r="BU562">
        <f>IFERROR(IFERROR(INDEX(_ENGINE_Relevance!$L:$L,MATCH($BT562,_ENGINE_Relevance!$B:$B,0)),1),1)</f>
        <v>1</v>
      </c>
      <c r="BV562" t="str">
        <f>IFERROR(INDEX(_REF_Capability_Bridge!$A:$A,MATCH($C562&amp;"|"&amp;$D562,_REF_Capability_Bridge!$J:$J,0)),IFERROR(INDEX(_REF_Capability_Bridge!$A:$A,MATCH($C562&amp;"|",_REF_Capability_Bridge!$J:$J,0)),"No bridge"))</f>
        <v>BRG-036</v>
      </c>
      <c r="BW562" t="str">
        <f t="shared" si="48"/>
        <v>Capability relevance neutral</v>
      </c>
      <c r="BX562" t="str">
        <f t="shared" si="49"/>
        <v>Initial / absent</v>
      </c>
      <c r="BY562" t="str">
        <f>IF($E562="","",IFERROR(INDEX(_REF_Treatment_Library!$A$2:$A$296,MATCH(1,INDEX((_REF_Treatment_Library!$B$2:$B$296=$BT562)*(_REF_Treatment_Library!$C$2:$C$296=PV_Canonical_Industry)*(_REF_Treatment_Library!$E$2:$E$296&lt;=N($H562))*(_REF_Treatment_Library!$F$2:$F$296&gt;=N($H562))*(_REF_Treatment_Library!$O$2:$O$296="Yes"),0),0)),IFERROR(INDEX(_REF_Treatment_Library!$A$2:$A$296,MATCH(1,INDEX((_REF_Treatment_Library!$B$2:$B$296=$BT562)*(_REF_Treatment_Library!$C$2:$C$296="All")*(_REF_Treatment_Library!$E$2:$E$296&lt;=N($H562))*(_REF_Treatment_Library!$F$2:$F$296&gt;=N($H562))*(_REF_Treatment_Library!$O$2:$O$296="Yes"),0),0)),"")))</f>
        <v>TRT-INCIDENT_RESPONSE-INITIAL</v>
      </c>
      <c r="BZ562" t="str">
        <f>IF($BY562="","",IFERROR(INDEX(_REF_Treatment_Library!$H$2:$H$296,MATCH($BY562,_REF_Treatment_Library!$A$2:$A$296,0)),""))</f>
        <v>Establish</v>
      </c>
      <c r="CA562" t="str">
        <f>IF($BY562="","",IFERROR(INDEX(_REF_Treatment_Library!$I$2:$I$296,MATCH($BY562,_REF_Treatment_Library!$A$2:$A$296,0)),""))</f>
        <v>Establish baseline controls for Incident response</v>
      </c>
      <c r="CB562" t="str">
        <f>IF($BY562="","",IFERROR(INDEX(_REF_Treatment_Library!$K$2:$K$296,MATCH($BY562,_REF_Treatment_Library!$A$2:$A$296,0)),""))</f>
        <v>Named owner, baseline process, minimum control checklist, first evidence package</v>
      </c>
      <c r="CC562" t="str">
        <f>IF($BY562="","",IFERROR(INDEX(_REF_Treatment_Library!$L$2:$L$296,MATCH($BY562,_REF_Treatment_Library!$A$2:$A$296,0)),""))</f>
        <v>Owner assigned; baseline evidence coverage; open critical gaps</v>
      </c>
      <c r="CD562" t="str">
        <f t="shared" si="50"/>
        <v>Treatment by capability=CAP_INCIDENT_RESPONSE; band=Initial / absent; score=0.0; treatment=Establish</v>
      </c>
      <c r="CE562" t="str">
        <f>IF($E562="","",IFERROR(INDEX(_REF_Industry_Wording!$A$2:$A$70,MATCH(1,INDEX((_REF_Industry_Wording!$B$2:$B$70=$BT562)*(_REF_Industry_Wording!$C$2:$C$70=PV_Canonical_Industry)*(_REF_Industry_Wording!$K$2:$K$70="Yes"),0),0)),IFERROR(INDEX(_REF_Industry_Wording!$A$2:$A$70,MATCH(1,INDEX((_REF_Industry_Wording!$B$2:$B$70=$BT562)*(_REF_Industry_Wording!$C$2:$C$70="All")*(_REF_Industry_Wording!$K$2:$K$70="Yes"),0),0)),"")))</f>
        <v>IW-ALL-INCIDENT_RESPONSE</v>
      </c>
      <c r="CF562" t="str">
        <f>IF($CE562="","",IFERROR(INDEX(_REF_Industry_Wording!$E$2:$E$70,MATCH($CE562,_REF_Industry_Wording!$A$2:$A$70,0)),""))</f>
        <v>Incident response weakness</v>
      </c>
      <c r="CG562" t="str">
        <f>IF($CE562="","",IFERROR(INDEX(_REF_Industry_Wording!$F$2:$F$70,MATCH($CE562,_REF_Industry_Wording!$A$2:$A$70,0)),""))</f>
        <v>Strengthen Incident response</v>
      </c>
      <c r="CH562" t="str">
        <f>IF($CE562="","",IFERROR(INDEX(_REF_Industry_Wording!$G$2:$G$70,MATCH($CE562,_REF_Industry_Wording!$A$2:$A$70,0)),""))</f>
        <v>Strengthen Incident response using the selected maturity treatment, crisis scenario and evidence requirements.</v>
      </c>
      <c r="CI562" t="str">
        <f>IF($CE562="","",IFERROR(INDEX(_REF_Industry_Wording!$H$2:$H$70,MATCH($CE562,_REF_Industry_Wording!$A$2:$A$70,0)),""))</f>
        <v>Incident response</v>
      </c>
      <c r="CJ562">
        <f>IF($CE562="","",IFERROR(INDEX(_REF_Industry_Wording!$I$2:$I$70,MATCH($CE562,_REF_Industry_Wording!$A$2:$A$70,0)),""))</f>
        <v>0</v>
      </c>
      <c r="CK562" t="str">
        <f>IF($CE562="","",IFERROR(INDEX(_REF_Industry_Wording!$J$2:$J$70,MATCH($CE562,_REF_Industry_Wording!$A$2:$A$70,0)),""))</f>
        <v>Incident response</v>
      </c>
      <c r="CL562" t="str">
        <f t="shared" si="51"/>
        <v>Wording by industry=0; capability=CAP_INCIDENT_RESPONSE; risk label=Incident response weakness</v>
      </c>
      <c r="CM562" t="str">
        <f t="shared" si="52"/>
        <v>RISK-ONT-0063</v>
      </c>
      <c r="CN562" t="str">
        <f t="shared" si="53"/>
        <v>RISK-EVT-0063</v>
      </c>
      <c r="CO562" t="str">
        <f t="shared" si="54"/>
        <v>Governance Crisis|Incident management|GOVE-018|CAP_INCIDENT_RESPONSE</v>
      </c>
      <c r="CP562" t="str">
        <f t="shared" si="55"/>
        <v>Active</v>
      </c>
      <c r="CQ562" t="str">
        <f t="shared" si="56"/>
        <v>OK: capability-driven</v>
      </c>
      <c r="CR562" t="str">
        <f t="shared" si="57"/>
        <v>Risk ontology uses capability=CAP_INCIDENT_RESPONSE; bridge=BRG-036; treatment=TRT-INCIDENT_RESPONSE-INITIAL; wording=IW-ALL-INCIDENT_RESPONSE</v>
      </c>
      <c r="CS562" t="str">
        <f t="shared" si="58"/>
        <v>Yes</v>
      </c>
    </row>
    <row r="563" spans="1:97" ht="69.900000000000006" customHeight="1">
      <c r="A563">
        <f>IF(OR($B563&lt;&gt;"Yes",$BS563=""),"",SUMPRODUCT(($B$500:$B$923="Yes")*ISNUMBER($BS$500:$BS$923)*($BS$500:$BS$923&gt;$BS563))+COUNTIFS($B$500:$B563,"Yes",$BS$500:$BS563,$BS563))</f>
        <v>228</v>
      </c>
      <c r="B563" t="str">
        <f t="shared" si="21"/>
        <v>Yes</v>
      </c>
      <c r="C563" t="s">
        <v>1150</v>
      </c>
      <c r="D563" t="s">
        <v>1165</v>
      </c>
      <c r="E563" t="s">
        <v>1229</v>
      </c>
      <c r="F563" t="s">
        <v>3681</v>
      </c>
      <c r="G563" t="str">
        <f>IF($H563="","",IFERROR(INDEX(_ENGINE_Risk!$H$5:$M$499,MATCH($E563,_ENGINE_Risk!$A$5:$A$499,0),$H563+1),""))</f>
        <v>Severe risk: crisis lessons-learned process tied to improvement backlog and management review is not reliably controlled. During All crisis types, the organization may face slow decisions, unclear escalation, duplicated actions and weak crisis command with limited visibility or accountability.</v>
      </c>
      <c r="H563">
        <f>IFERROR(VALUE(INDEX(_DATA_Assessment_Model!$H$5:$H$884,MATCH($E563,_DATA_Assessment_Model!$A$5:$A$884,0))),"")</f>
        <v>0</v>
      </c>
      <c r="I563" t="str">
        <f>IF($H563="","",IFERROR(INDEX(_DATA_Assessment_Model!$L$5:$L$884,MATCH($E563,_DATA_Assessment_Model!$A$5:$A$884,0)),IF($H563&lt;=1,"Critical",IF($H563=2,"High",IF($H563=3,"Medium",IF($H563=4,"Low","Resilient"))))))</f>
        <v>Critical</v>
      </c>
      <c r="J563">
        <f t="shared" si="22"/>
        <v>3.6</v>
      </c>
      <c r="K563">
        <f t="shared" si="23"/>
        <v>4.5</v>
      </c>
      <c r="L563">
        <f t="shared" si="24"/>
        <v>16.2</v>
      </c>
      <c r="M563">
        <f t="shared" si="25"/>
        <v>4</v>
      </c>
      <c r="N563">
        <f>IF($H563="","",IFERROR(INDEX(_ENGINE_Risk!$T$5:$Y$499,MATCH($E563,_ENGINE_Risk!$A$5:$A$499,0),$H563+1),""))</f>
        <v>3</v>
      </c>
      <c r="O563">
        <f t="shared" si="26"/>
        <v>4.666666666666667</v>
      </c>
      <c r="P563">
        <f t="shared" si="27"/>
        <v>5</v>
      </c>
      <c r="Q563">
        <f t="shared" si="28"/>
        <v>5</v>
      </c>
      <c r="R563">
        <f t="shared" si="29"/>
        <v>4.5</v>
      </c>
      <c r="S563">
        <f t="shared" si="30"/>
        <v>1.6</v>
      </c>
      <c r="T563" t="str">
        <f>IF($H563="","",IFERROR(INDEX(_ENGINE_Risk!$N$5:$S$499,MATCH($E563,_ENGINE_Risk!$A$5:$A$499,0),$H563+1),""))</f>
        <v>Create an immediate risk owner, minimum control baseline and fallback procedure for crisis lessons-learned process tied to improvement backlog and management review. Add it to the crisis risk register and collect first evidence.</v>
      </c>
      <c r="U563">
        <f>IFERROR(INDEX(_DATA_Assessment_Model!$G$5:$G$884,MATCH($E563,_DATA_Assessment_Model!$A$5:$A$884,0)),"")</f>
        <v>5</v>
      </c>
      <c r="V563">
        <f>IFERROR(INDEX(_DATA_Assessment_Model!$W$5:$W$884,MATCH($E563,_DATA_Assessment_Model!$A$5:$A$884,0)),"")</f>
        <v>4</v>
      </c>
      <c r="W563">
        <f>IFERROR(INDEX(_DATA_Assessment_Model!$X$5:$X$884,MATCH($E563,_DATA_Assessment_Model!$A$5:$A$884,0)),"")</f>
        <v>5</v>
      </c>
      <c r="X563">
        <f>IFERROR(INDEX(_DATA_Assessment_Model!$Y$5:$Y$884,MATCH($E563,_DATA_Assessment_Model!$A$5:$A$884,0)),"")</f>
        <v>5</v>
      </c>
      <c r="Y563" t="s">
        <v>1157</v>
      </c>
      <c r="Z563" t="s">
        <v>4591</v>
      </c>
      <c r="AA563" t="s">
        <v>1231</v>
      </c>
      <c r="AB563">
        <f>IFERROR(INDEX(_DATA_Assessment_Model!$U$5:$U$884,MATCH($E563,_DATA_Assessment_Model!$A$5:$A$884,0)),"")</f>
        <v>0</v>
      </c>
      <c r="AF563" t="s">
        <v>1230</v>
      </c>
      <c r="AO563">
        <f>IF($B563="Yes",IF(IFERROR(INDEX(_ENGINE_Crisis!$F$501:$F$517,MATCH($C563,_ENGINE_Crisis!$A$501:$A$517,0)),1)=0,1,IFERROR(INDEX(_ENGINE_Crisis!$F$501:$F$517,MATCH($C563,_ENGINE_Crisis!$A$501:$A$517,0)),1)),"")</f>
        <v>1</v>
      </c>
      <c r="AP563">
        <f t="shared" si="37"/>
        <v>16.2</v>
      </c>
      <c r="AQ563">
        <f t="shared" si="38"/>
        <v>1.6</v>
      </c>
      <c r="AR563" t="str">
        <f>IFERROR(INDEX(_ENGINE_Crisis!$E$41:$E$700,MATCH('Resilience &amp; Risk Scenario'!$B$6&amp;"|"&amp;$C563,_ENGINE_Crisis!$I$41:$I$700,0)),"")</f>
        <v/>
      </c>
      <c r="AS563" t="str">
        <f>IFERROR(INDEX(_ENGINE_Crisis!$G$41:$G$700,MATCH('Resilience &amp; Risk Scenario'!$B$6&amp;"|"&amp;$C563,_ENGINE_Crisis!$I$41:$I$700,0)),"")</f>
        <v/>
      </c>
      <c r="AT563" t="str">
        <f>IFERROR(INDEX(_ENGINE_Initiatives!$A$5:$A$532,MATCH(1,INDEX((_ENGINE_Initiatives!$B$5:$B$532=$C563)*(_ENGINE_Initiatives!$C$5:$C$532=$D563),0),0)),"")</f>
        <v>INI-010</v>
      </c>
      <c r="AU563" t="str">
        <f>IFERROR(INDEX(_ENGINE_Initiatives!$F$5:$F$532,MATCH(1,INDEX((_ENGINE_Initiatives!$B$5:$B$532=$C563)*(_ENGINE_Initiatives!$C$5:$C$532=$D563),0),0)),"")</f>
        <v>Implement incident command, escalation and after-action review</v>
      </c>
      <c r="AV563">
        <f>IFERROR(INDEX(_ENGINE_Initiatives!$AC$5:$AC$532,MATCH(1,INDEX((_ENGINE_Initiatives!$B$5:$B$532=$C563)*(_ENGINE_Initiatives!$C$5:$C$532=$D563),0),0)),"")</f>
        <v>2.61</v>
      </c>
      <c r="AW563" t="str">
        <f>IFERROR(INDEX(_ENGINE_Initiatives!$AE$5:$AE$532,MATCH(1,INDEX((_ENGINE_Initiatives!$B$5:$B$532=$C563)*(_ENGINE_Initiatives!$C$5:$C$532=$D563),0),0)),"")</f>
        <v>0-90 days</v>
      </c>
      <c r="AX563">
        <f>IF($B563="Yes",IFERROR((IF(SUMIFS(_REF_Model_Content!$E$1:$E$613,_REF_Model_Content!$A$1:$A$613,PV_Canonical_Industry,_REF_Model_Content!$B$1:$B$613,$C563)=0,1,SUMIFS(_REF_Model_Content!$E$1:$E$613,_REF_Model_Content!$A$1:$A$613,PV_Canonical_Industry,_REF_Model_Content!$B$1:$B$613,$C563))*IFERROR($BU563,1)),1),"")</f>
        <v>1</v>
      </c>
      <c r="AY563">
        <f t="shared" si="39"/>
        <v>16.2</v>
      </c>
      <c r="AZ563">
        <f t="shared" si="40"/>
        <v>1.6</v>
      </c>
      <c r="BB563" t="str">
        <f>IF($H563="","",IFERROR(INDEX(_ENGINE_Risk!$AE$5:$AE$499,MATCH($E563,_ENGINE_Risk!$A$5:$A$499,0)),"Medium"))</f>
        <v>Medium</v>
      </c>
      <c r="BC563">
        <f t="shared" si="41"/>
        <v>1</v>
      </c>
      <c r="BD563">
        <f t="shared" si="42"/>
        <v>1.6</v>
      </c>
      <c r="BF563">
        <f>IF(OR($H563="",$J563=""),"",IFERROR(VLOOKUP(ROUND($J563,0),_CONFIG_Model_Settings!$D$154:$E$158,2,0),""))</f>
        <v>0.5</v>
      </c>
      <c r="BG563">
        <f>IFERROR(IF(OR($H563="",$K563=""),"",ROUND('Company Profile'!$B$113*INDEX(_CONFIG_Model_Settings!$H$154:$H$158,MATCH(ROUND($K563,0),_CONFIG_Model_Settings!$G$154:$G$158,0)),0)),0)</f>
        <v>1875</v>
      </c>
      <c r="BH563">
        <f t="shared" si="43"/>
        <v>937.5</v>
      </c>
      <c r="BI563">
        <f t="shared" si="44"/>
        <v>937.5</v>
      </c>
      <c r="BJ563">
        <f>IF($E563="","",IFERROR(VLOOKUP($C563,_CONFIG_Risk_Calibration!$A$5:$H$21,2,FALSE),3))</f>
        <v>3</v>
      </c>
      <c r="BK563">
        <f>IF($E563="","",IFERROR(VLOOKUP($C563,_CONFIG_Risk_Calibration!$A$5:$H$21,3,FALSE),0))</f>
        <v>0</v>
      </c>
      <c r="BL563">
        <f>IF($E563="","",IFERROR(VLOOKUP($C563,_CONFIG_Risk_Calibration!$A$5:$H$21,4,FALSE),3))</f>
        <v>3</v>
      </c>
      <c r="BM563">
        <f>IF($E563="","",IFERROR(VLOOKUP($C563,_CONFIG_Risk_Calibration!$A$5:$H$21,5,FALSE),3))</f>
        <v>4</v>
      </c>
      <c r="BN563" t="str">
        <f>IF($E563="","",IFERROR(VLOOKUP($C563,_CONFIG_Risk_Calibration!$A$5:$H$21,6,FALSE),"No"))</f>
        <v>Yes</v>
      </c>
      <c r="BO563">
        <f>IF($E563="","",IFERROR(VLOOKUP($C563,_CONFIG_Risk_Calibration!$A$5:$H$21,7,FALSE),1))</f>
        <v>4</v>
      </c>
      <c r="BP563">
        <f>IF($H563="","",MAX(1,MIN(5,((6-$H563)*0.45)+($BJ563*0.2)+('Resilience &amp; Risk Scenario'!$B$7*0.15)+($BK563*0.1)+($BL563*0.05)+(IF($BB563="Fast",5,IF($BB563="Slow",1,3))*0.05))))</f>
        <v>3.6</v>
      </c>
      <c r="BQ563">
        <f t="shared" si="45"/>
        <v>4.5</v>
      </c>
      <c r="BR563">
        <f t="shared" si="46"/>
        <v>16.2</v>
      </c>
      <c r="BS563">
        <f t="shared" si="47"/>
        <v>17.82</v>
      </c>
      <c r="BT563" t="str">
        <f>IFERROR(INDEX(_REF_Capability_Bridge!$D:$D,MATCH($C563&amp;"|"&amp;$D563,_REF_Capability_Bridge!$J:$J,0)),IFERROR(INDEX(_REF_Capability_Bridge!$D:$D,MATCH($C563&amp;"|",_REF_Capability_Bridge!$J:$J,0)),"CAP_GENERIC"))</f>
        <v>CAP_INCIDENT_RESPONSE</v>
      </c>
      <c r="BU563">
        <f>IFERROR(IFERROR(INDEX(_ENGINE_Relevance!$L:$L,MATCH($BT563,_ENGINE_Relevance!$B:$B,0)),1),1)</f>
        <v>1</v>
      </c>
      <c r="BV563" t="str">
        <f>IFERROR(INDEX(_REF_Capability_Bridge!$A:$A,MATCH($C563&amp;"|"&amp;$D563,_REF_Capability_Bridge!$J:$J,0)),IFERROR(INDEX(_REF_Capability_Bridge!$A:$A,MATCH($C563&amp;"|",_REF_Capability_Bridge!$J:$J,0)),"No bridge"))</f>
        <v>BRG-036</v>
      </c>
      <c r="BW563" t="str">
        <f t="shared" si="48"/>
        <v>Capability relevance neutral</v>
      </c>
      <c r="BX563" t="str">
        <f t="shared" si="49"/>
        <v>Initial / absent</v>
      </c>
      <c r="BY563" t="str">
        <f>IF($E563="","",IFERROR(INDEX(_REF_Treatment_Library!$A$2:$A$296,MATCH(1,INDEX((_REF_Treatment_Library!$B$2:$B$296=$BT563)*(_REF_Treatment_Library!$C$2:$C$296=PV_Canonical_Industry)*(_REF_Treatment_Library!$E$2:$E$296&lt;=N($H563))*(_REF_Treatment_Library!$F$2:$F$296&gt;=N($H563))*(_REF_Treatment_Library!$O$2:$O$296="Yes"),0),0)),IFERROR(INDEX(_REF_Treatment_Library!$A$2:$A$296,MATCH(1,INDEX((_REF_Treatment_Library!$B$2:$B$296=$BT563)*(_REF_Treatment_Library!$C$2:$C$296="All")*(_REF_Treatment_Library!$E$2:$E$296&lt;=N($H563))*(_REF_Treatment_Library!$F$2:$F$296&gt;=N($H563))*(_REF_Treatment_Library!$O$2:$O$296="Yes"),0),0)),"")))</f>
        <v>TRT-INCIDENT_RESPONSE-INITIAL</v>
      </c>
      <c r="BZ563" t="str">
        <f>IF($BY563="","",IFERROR(INDEX(_REF_Treatment_Library!$H$2:$H$296,MATCH($BY563,_REF_Treatment_Library!$A$2:$A$296,0)),""))</f>
        <v>Establish</v>
      </c>
      <c r="CA563" t="str">
        <f>IF($BY563="","",IFERROR(INDEX(_REF_Treatment_Library!$I$2:$I$296,MATCH($BY563,_REF_Treatment_Library!$A$2:$A$296,0)),""))</f>
        <v>Establish baseline controls for Incident response</v>
      </c>
      <c r="CB563" t="str">
        <f>IF($BY563="","",IFERROR(INDEX(_REF_Treatment_Library!$K$2:$K$296,MATCH($BY563,_REF_Treatment_Library!$A$2:$A$296,0)),""))</f>
        <v>Named owner, baseline process, minimum control checklist, first evidence package</v>
      </c>
      <c r="CC563" t="str">
        <f>IF($BY563="","",IFERROR(INDEX(_REF_Treatment_Library!$L$2:$L$296,MATCH($BY563,_REF_Treatment_Library!$A$2:$A$296,0)),""))</f>
        <v>Owner assigned; baseline evidence coverage; open critical gaps</v>
      </c>
      <c r="CD563" t="str">
        <f t="shared" si="50"/>
        <v>Treatment by capability=CAP_INCIDENT_RESPONSE; band=Initial / absent; score=0.0; treatment=Establish</v>
      </c>
      <c r="CE563" t="str">
        <f>IF($E563="","",IFERROR(INDEX(_REF_Industry_Wording!$A$2:$A$70,MATCH(1,INDEX((_REF_Industry_Wording!$B$2:$B$70=$BT563)*(_REF_Industry_Wording!$C$2:$C$70=PV_Canonical_Industry)*(_REF_Industry_Wording!$K$2:$K$70="Yes"),0),0)),IFERROR(INDEX(_REF_Industry_Wording!$A$2:$A$70,MATCH(1,INDEX((_REF_Industry_Wording!$B$2:$B$70=$BT563)*(_REF_Industry_Wording!$C$2:$C$70="All")*(_REF_Industry_Wording!$K$2:$K$70="Yes"),0),0)),"")))</f>
        <v>IW-ALL-INCIDENT_RESPONSE</v>
      </c>
      <c r="CF563" t="str">
        <f>IF($CE563="","",IFERROR(INDEX(_REF_Industry_Wording!$E$2:$E$70,MATCH($CE563,_REF_Industry_Wording!$A$2:$A$70,0)),""))</f>
        <v>Incident response weakness</v>
      </c>
      <c r="CG563" t="str">
        <f>IF($CE563="","",IFERROR(INDEX(_REF_Industry_Wording!$F$2:$F$70,MATCH($CE563,_REF_Industry_Wording!$A$2:$A$70,0)),""))</f>
        <v>Strengthen Incident response</v>
      </c>
      <c r="CH563" t="str">
        <f>IF($CE563="","",IFERROR(INDEX(_REF_Industry_Wording!$G$2:$G$70,MATCH($CE563,_REF_Industry_Wording!$A$2:$A$70,0)),""))</f>
        <v>Strengthen Incident response using the selected maturity treatment, crisis scenario and evidence requirements.</v>
      </c>
      <c r="CI563" t="str">
        <f>IF($CE563="","",IFERROR(INDEX(_REF_Industry_Wording!$H$2:$H$70,MATCH($CE563,_REF_Industry_Wording!$A$2:$A$70,0)),""))</f>
        <v>Incident response</v>
      </c>
      <c r="CJ563">
        <f>IF($CE563="","",IFERROR(INDEX(_REF_Industry_Wording!$I$2:$I$70,MATCH($CE563,_REF_Industry_Wording!$A$2:$A$70,0)),""))</f>
        <v>0</v>
      </c>
      <c r="CK563" t="str">
        <f>IF($CE563="","",IFERROR(INDEX(_REF_Industry_Wording!$J$2:$J$70,MATCH($CE563,_REF_Industry_Wording!$A$2:$A$70,0)),""))</f>
        <v>Incident response</v>
      </c>
      <c r="CL563" t="str">
        <f t="shared" si="51"/>
        <v>Wording by industry=0; capability=CAP_INCIDENT_RESPONSE; risk label=Incident response weakness</v>
      </c>
      <c r="CM563" t="str">
        <f t="shared" si="52"/>
        <v>RISK-ONT-0064</v>
      </c>
      <c r="CN563" t="str">
        <f t="shared" si="53"/>
        <v>RISK-EVT-0064</v>
      </c>
      <c r="CO563" t="str">
        <f t="shared" si="54"/>
        <v>Governance Crisis|Incident management|GOVE-019|CAP_INCIDENT_RESPONSE</v>
      </c>
      <c r="CP563" t="str">
        <f t="shared" si="55"/>
        <v>Active</v>
      </c>
      <c r="CQ563" t="str">
        <f t="shared" si="56"/>
        <v>OK: capability-driven</v>
      </c>
      <c r="CR563" t="str">
        <f t="shared" si="57"/>
        <v>Risk ontology uses capability=CAP_INCIDENT_RESPONSE; bridge=BRG-036; treatment=TRT-INCIDENT_RESPONSE-INITIAL; wording=IW-ALL-INCIDENT_RESPONSE</v>
      </c>
      <c r="CS563" t="str">
        <f t="shared" si="58"/>
        <v>Yes</v>
      </c>
    </row>
    <row r="564" spans="1:97" ht="69.900000000000006" customHeight="1">
      <c r="A564">
        <f>IF(OR($B564&lt;&gt;"Yes",$BS564=""),"",SUMPRODUCT(($B$500:$B$923="Yes")*ISNUMBER($BS$500:$BS$923)*($BS$500:$BS$923&gt;$BS564))+COUNTIFS($B$500:$B564,"Yes",$BS$500:$BS564,$BS564))</f>
        <v>110</v>
      </c>
      <c r="B564" t="str">
        <f t="shared" ref="B564:B627" si="59">IF($H564="","",IF($BU564=0,"",IF($H564&lt;5,"Yes","Maintain")))</f>
        <v>Yes</v>
      </c>
      <c r="C564" t="s">
        <v>1150</v>
      </c>
      <c r="D564" t="s">
        <v>1161</v>
      </c>
      <c r="E564" t="s">
        <v>1232</v>
      </c>
      <c r="F564" t="s">
        <v>5484</v>
      </c>
      <c r="G564" t="str">
        <f>IF($H564="","",IFERROR(INDEX(_ENGINE_Risk!$H$5:$M$499,MATCH($E564,_ENGINE_Risk!$A$5:$A$499,0),$H564+1),""))</f>
        <v>Severe risk: offline availability of continuity plans, runbooks, contact lists and key contracts when core IT is unavailable is not reliably controlled. During Cyberattack/ransomware; Energy/utilities outage; Cloud/SaaS outage, the organization may face recovery plans locked inside failed systems, unreachable contacts and improvised crisis response with limited visibility or accountability.</v>
      </c>
      <c r="H564">
        <f>IFERROR(VALUE(INDEX(_DATA_Assessment_Model!$H$5:$H$884,MATCH($E564,_DATA_Assessment_Model!$A$5:$A$884,0))),"")</f>
        <v>0</v>
      </c>
      <c r="I564" t="str">
        <f>IF($H564="","",IFERROR(INDEX(_DATA_Assessment_Model!$L$5:$L$884,MATCH($E564,_DATA_Assessment_Model!$A$5:$A$884,0)),IF($H564&lt;=1,"Critical",IF($H564=2,"High",IF($H564=3,"Medium",IF($H564=4,"Low","Resilient"))))))</f>
        <v>Critical</v>
      </c>
      <c r="J564">
        <f t="shared" ref="J564:J627" si="60">IF($H564="","",$BP564)</f>
        <v>3.7</v>
      </c>
      <c r="K564">
        <f t="shared" ref="K564:K627" si="61">IF($H564="","",$BQ564)</f>
        <v>4</v>
      </c>
      <c r="L564">
        <f t="shared" ref="L564:L627" si="62">IF($H564="","",$J564*$K564)</f>
        <v>14.8</v>
      </c>
      <c r="M564">
        <f t="shared" ref="M564:M627" si="63">IF($H564="","",MAX(1,MIN(5,ROUNDUP($L564/5,0))))</f>
        <v>3</v>
      </c>
      <c r="N564">
        <f>IF($H564="","",IFERROR(INDEX(_ENGINE_Risk!$T$5:$Y$499,MATCH($E564,_ENGINE_Risk!$A$5:$A$499,0),$H564+1),""))</f>
        <v>2</v>
      </c>
      <c r="O564">
        <f t="shared" ref="O564:O627" si="64">IF($H564="","",MAX(1,MIN(5,($U564+$V564+$X564)/3)))</f>
        <v>3.3333333333333335</v>
      </c>
      <c r="P564">
        <f t="shared" ref="P564:P627" si="65">IF($H564="","",IF($I564="Critical",5,IF($I564="High",4,IF($I564="Medium",3,IF($I564="Low",2,1)))))</f>
        <v>5</v>
      </c>
      <c r="Q564">
        <f t="shared" ref="Q564:Q627" si="66">IF($H564="","",MAX(1,MIN(5,((5-$H564)*0.65)+($W564*0.35))))</f>
        <v>5</v>
      </c>
      <c r="R564">
        <f t="shared" ref="R564:R627" si="67">IF($H564="","",MAX(1,MIN(5,($V564+$X564)/2)))</f>
        <v>3</v>
      </c>
      <c r="S564">
        <f t="shared" ref="S564:S627" si="68">IF(OR($H564="",$N564=""),"",ROUND((($O564+$P564+$Q564+$R564)/4)/$N564,2))</f>
        <v>2.04</v>
      </c>
      <c r="T564" t="str">
        <f>IF($H564="","",IFERROR(INDEX(_ENGINE_Risk!$N$5:$S$499,MATCH($E564,_ENGINE_Risk!$A$5:$A$499,0),$H564+1),""))</f>
        <v>Create an immediate risk owner, minimum control baseline and fallback procedure for offline availability of continuity plans, runbooks, contact lists and key contracts when core IT is unavailable. Add it to the crisis risk register and collect first evidence.</v>
      </c>
      <c r="U564">
        <f>IFERROR(INDEX(_DATA_Assessment_Model!$G$5:$G$884,MATCH($E564,_DATA_Assessment_Model!$A$5:$A$884,0)),"")</f>
        <v>4</v>
      </c>
      <c r="V564">
        <f>IFERROR(INDEX(_DATA_Assessment_Model!$W$5:$W$884,MATCH($E564,_DATA_Assessment_Model!$A$5:$A$884,0)),"")</f>
        <v>2</v>
      </c>
      <c r="W564">
        <f>IFERROR(INDEX(_DATA_Assessment_Model!$X$5:$X$884,MATCH($E564,_DATA_Assessment_Model!$A$5:$A$884,0)),"")</f>
        <v>5</v>
      </c>
      <c r="X564">
        <f>IFERROR(INDEX(_DATA_Assessment_Model!$Y$5:$Y$884,MATCH($E564,_DATA_Assessment_Model!$A$5:$A$884,0)),"")</f>
        <v>4</v>
      </c>
      <c r="Y564" t="s">
        <v>1242</v>
      </c>
      <c r="Z564" t="s">
        <v>5499</v>
      </c>
      <c r="AA564" t="s">
        <v>5498</v>
      </c>
      <c r="AB564">
        <f>IFERROR(INDEX(_DATA_Assessment_Model!$U$5:$U$884,MATCH($E564,_DATA_Assessment_Model!$A$5:$A$884,0)),"")</f>
        <v>0</v>
      </c>
      <c r="AF564" t="s">
        <v>1233</v>
      </c>
      <c r="AO564">
        <f>IF($B564="Yes",IF(IFERROR(INDEX(_ENGINE_Crisis!$F$501:$F$517,MATCH($C564,_ENGINE_Crisis!$A$501:$A$517,0)),1)=0,1,IFERROR(INDEX(_ENGINE_Crisis!$F$501:$F$517,MATCH($C564,_ENGINE_Crisis!$A$501:$A$517,0)),1)),"")</f>
        <v>1</v>
      </c>
      <c r="AP564">
        <f t="shared" ref="AP564:AP627" si="69">IF(AO564="","",ROUND($L564*AO564,1))</f>
        <v>14.8</v>
      </c>
      <c r="AQ564">
        <f t="shared" ref="AQ564:AQ627" si="70">IF(OR(AO564="",$S564=""),"",ROUND($S564*(0.7+0.3*AO564),2))</f>
        <v>2.04</v>
      </c>
      <c r="AR564" t="str">
        <f>IFERROR(INDEX(_ENGINE_Crisis!$E$41:$E$700,MATCH('Resilience &amp; Risk Scenario'!$B$6&amp;"|"&amp;$C564,_ENGINE_Crisis!$I$41:$I$700,0)),"")</f>
        <v/>
      </c>
      <c r="AS564" t="str">
        <f>IFERROR(INDEX(_ENGINE_Crisis!$G$41:$G$700,MATCH('Resilience &amp; Risk Scenario'!$B$6&amp;"|"&amp;$C564,_ENGINE_Crisis!$I$41:$I$700,0)),"")</f>
        <v/>
      </c>
      <c r="AT564" t="str">
        <f>IFERROR(INDEX(_ENGINE_Initiatives!$A$5:$A$532,MATCH(1,INDEX((_ENGINE_Initiatives!$B$5:$B$532=$C564)*(_ENGINE_Initiatives!$C$5:$C$532=$D564),0),0)),"")</f>
        <v>INI-009</v>
      </c>
      <c r="AU564" t="str">
        <f>IFERROR(INDEX(_ENGINE_Initiatives!$F$5:$F$532,MATCH(1,INDEX((_ENGINE_Initiatives!$B$5:$B$532=$C564)*(_ENGINE_Initiatives!$C$5:$C$532=$D564),0),0)),"")</f>
        <v>Build integrated risk, continuity and resilience control cycle</v>
      </c>
      <c r="AV564">
        <f>IFERROR(INDEX(_ENGINE_Initiatives!$AC$5:$AC$532,MATCH(1,INDEX((_ENGINE_Initiatives!$B$5:$B$532=$C564)*(_ENGINE_Initiatives!$C$5:$C$532=$D564),0),0)),"")</f>
        <v>2.63</v>
      </c>
      <c r="AW564" t="str">
        <f>IFERROR(INDEX(_ENGINE_Initiatives!$AE$5:$AE$532,MATCH(1,INDEX((_ENGINE_Initiatives!$B$5:$B$532=$C564)*(_ENGINE_Initiatives!$C$5:$C$532=$D564),0),0)),"")</f>
        <v>0-90 days</v>
      </c>
      <c r="AX564">
        <f>IF($B564="Yes",IFERROR((IF(SUMIFS(_REF_Model_Content!$E$1:$E$613,_REF_Model_Content!$A$1:$A$613,PV_Canonical_Industry,_REF_Model_Content!$B$1:$B$613,$C564)=0,1,SUMIFS(_REF_Model_Content!$E$1:$E$613,_REF_Model_Content!$A$1:$A$613,PV_Canonical_Industry,_REF_Model_Content!$B$1:$B$613,$C564))*IFERROR($BU564,1)),1),"")</f>
        <v>1</v>
      </c>
      <c r="AY564">
        <f t="shared" ref="AY564:AY627" si="71">IF($L564="","",ROUND(IF($AP564="",$L564,$AP564)*IF($AX564="",1,$AX564),2))</f>
        <v>14.8</v>
      </c>
      <c r="AZ564">
        <f t="shared" ref="AZ564:AZ627" si="72">IF($S564="","",ROUND(IF($AQ564="",$S564,$AQ564)*IF($AX564="",1,$AX564),2))</f>
        <v>2.04</v>
      </c>
      <c r="BB564" t="str">
        <f>IF($H564="","",IFERROR(INDEX(_ENGINE_Risk!$AE$5:$AE$499,MATCH($E564,_ENGINE_Risk!$A$5:$A$499,0)),"Medium"))</f>
        <v>Fast</v>
      </c>
      <c r="BC564">
        <f t="shared" ref="BC564:BC627" si="73">IF($BB564="","",IF($BB564="Fast",1.25,IF($BB564="Slow",0.85,1)))</f>
        <v>1.25</v>
      </c>
      <c r="BD564">
        <f t="shared" ref="BD564:BD627" si="74">IF($S564="","",ROUND($S564*IF($AX564="",1,$AX564),2))</f>
        <v>2.04</v>
      </c>
      <c r="BF564">
        <f>IF(OR($H564="",$J564=""),"",IFERROR(VLOOKUP(ROUND($J564,0),_CONFIG_Model_Settings!$D$154:$E$158,2,0),""))</f>
        <v>0.5</v>
      </c>
      <c r="BG564">
        <f>IFERROR(IF(OR($H564="",$K564=""),"",ROUND('Company Profile'!$B$113*INDEX(_CONFIG_Model_Settings!$H$154:$H$158,MATCH(ROUND($K564,0),_CONFIG_Model_Settings!$G$154:$G$158,0)),0)),0)</f>
        <v>875</v>
      </c>
      <c r="BH564">
        <f t="shared" ref="BH564:BH627" si="75">IFERROR(IF(OR($BF564="",$BG564=""),"",ROUND($BF564*$BG564,1)),"")</f>
        <v>437.5</v>
      </c>
      <c r="BI564">
        <f t="shared" ref="BI564:BI627" si="76">IFERROR(IF($BH564="","",ROUND($BH564*IF(OR($AO564="",$AO564=0),1,$AO564),1)),"")</f>
        <v>437.5</v>
      </c>
      <c r="BJ564">
        <f>IF($E564="","",IFERROR(VLOOKUP($C564,_CONFIG_Risk_Calibration!$A$5:$H$21,2,FALSE),3))</f>
        <v>3</v>
      </c>
      <c r="BK564">
        <f>IF($E564="","",IFERROR(VLOOKUP($C564,_CONFIG_Risk_Calibration!$A$5:$H$21,3,FALSE),0))</f>
        <v>0</v>
      </c>
      <c r="BL564">
        <f>IF($E564="","",IFERROR(VLOOKUP($C564,_CONFIG_Risk_Calibration!$A$5:$H$21,4,FALSE),3))</f>
        <v>3</v>
      </c>
      <c r="BM564">
        <f>IF($E564="","",IFERROR(VLOOKUP($C564,_CONFIG_Risk_Calibration!$A$5:$H$21,5,FALSE),3))</f>
        <v>4</v>
      </c>
      <c r="BN564" t="str">
        <f>IF($E564="","",IFERROR(VLOOKUP($C564,_CONFIG_Risk_Calibration!$A$5:$H$21,6,FALSE),"No"))</f>
        <v>Yes</v>
      </c>
      <c r="BO564">
        <f>IF($E564="","",IFERROR(VLOOKUP($C564,_CONFIG_Risk_Calibration!$A$5:$H$21,7,FALSE),1))</f>
        <v>4</v>
      </c>
      <c r="BP564">
        <f>IF($H564="","",MAX(1,MIN(5,((6-$H564)*0.45)+($BJ564*0.2)+('Resilience &amp; Risk Scenario'!$B$7*0.15)+($BK564*0.1)+($BL564*0.05)+(IF($BB564="Fast",5,IF($BB564="Slow",1,3))*0.05))))</f>
        <v>3.7</v>
      </c>
      <c r="BQ564">
        <f t="shared" ref="BQ564:BQ627" si="77">IF($H564="","",MAX(IF($BN564="Yes",$BO564,1),MIN(5,($U564*0.2)+($V564*0.15)+($W564*0.25)+($X564*0.15)+($BJ564*0.1)+($BM564*0.15))))</f>
        <v>4</v>
      </c>
      <c r="BR564">
        <f t="shared" ref="BR564:BR627" si="78">IF(OR($BP564="",$BQ564=""),"",ROUND($BP564*$BQ564,2))</f>
        <v>14.8</v>
      </c>
      <c r="BS564">
        <f t="shared" ref="BS564:BS627" si="79">IF($BR564="","",ROUND($BR564*IF(OR($AO564="",$AO564=0),1,$AO564)*IF($AX564="",1,$AX564)*(1+(($BM564-3)*0.1))*IF($BC564="",1,$BC564),2))</f>
        <v>20.350000000000001</v>
      </c>
      <c r="BT564" t="str">
        <f>IFERROR(INDEX(_REF_Capability_Bridge!$D:$D,MATCH($C564&amp;"|"&amp;$D564,_REF_Capability_Bridge!$J:$J,0)),IFERROR(INDEX(_REF_Capability_Bridge!$D:$D,MATCH($C564&amp;"|",_REF_Capability_Bridge!$J:$J,0)),"CAP_GENERIC"))</f>
        <v>CAP_BACKUP_RECOVERY</v>
      </c>
      <c r="BU564">
        <f>IFERROR(IFERROR(INDEX(_ENGINE_Relevance!$L:$L,MATCH($BT564,_ENGINE_Relevance!$B:$B,0)),1),1)</f>
        <v>1</v>
      </c>
      <c r="BV564" t="str">
        <f>IFERROR(INDEX(_REF_Capability_Bridge!$A:$A,MATCH($C564&amp;"|"&amp;$D564,_REF_Capability_Bridge!$J:$J,0)),IFERROR(INDEX(_REF_Capability_Bridge!$A:$A,MATCH($C564&amp;"|",_REF_Capability_Bridge!$J:$J,0)),"No bridge"))</f>
        <v>BRG-037</v>
      </c>
      <c r="BW564" t="str">
        <f t="shared" ref="BW564:BW627" si="80">IF($BU564=0,"Hard-excluded at capability level",IF($BU564&gt;1,"Capability relevance increases risk priority",IF($BU564&lt;1,"Capability relevance lowers risk priority","Capability relevance neutral")))</f>
        <v>Capability relevance neutral</v>
      </c>
      <c r="BX564" t="str">
        <f t="shared" ref="BX564:BX627" si="81">IF($E564="","",IF(N($H564)&lt;1.5,"Initial / absent",IF(N($H564)&lt;2.5,"Basic",IF(N($H564)&lt;3.5,"Defined",IF(N($H564)&lt;4.3,"Managed","Optimized")))))</f>
        <v>Initial / absent</v>
      </c>
      <c r="BY564" t="str">
        <f>IF($E564="","",IFERROR(INDEX(_REF_Treatment_Library!$A$2:$A$296,MATCH(1,INDEX((_REF_Treatment_Library!$B$2:$B$296=$BT564)*(_REF_Treatment_Library!$C$2:$C$296=PV_Canonical_Industry)*(_REF_Treatment_Library!$E$2:$E$296&lt;=N($H564))*(_REF_Treatment_Library!$F$2:$F$296&gt;=N($H564))*(_REF_Treatment_Library!$O$2:$O$296="Yes"),0),0)),IFERROR(INDEX(_REF_Treatment_Library!$A$2:$A$296,MATCH(1,INDEX((_REF_Treatment_Library!$B$2:$B$296=$BT564)*(_REF_Treatment_Library!$C$2:$C$296="All")*(_REF_Treatment_Library!$E$2:$E$296&lt;=N($H564))*(_REF_Treatment_Library!$F$2:$F$296&gt;=N($H564))*(_REF_Treatment_Library!$O$2:$O$296="Yes"),0),0)),"")))</f>
        <v>TRT-BACKUP_RECOVERY-INITIAL</v>
      </c>
      <c r="BZ564" t="str">
        <f>IF($BY564="","",IFERROR(INDEX(_REF_Treatment_Library!$H$2:$H$296,MATCH($BY564,_REF_Treatment_Library!$A$2:$A$296,0)),""))</f>
        <v>Establish</v>
      </c>
      <c r="CA564" t="str">
        <f>IF($BY564="","",IFERROR(INDEX(_REF_Treatment_Library!$I$2:$I$296,MATCH($BY564,_REF_Treatment_Library!$A$2:$A$296,0)),""))</f>
        <v>Establish baseline controls for Backup / recovery</v>
      </c>
      <c r="CB564" t="str">
        <f>IF($BY564="","",IFERROR(INDEX(_REF_Treatment_Library!$K$2:$K$296,MATCH($BY564,_REF_Treatment_Library!$A$2:$A$296,0)),""))</f>
        <v>Named owner, baseline process, minimum control checklist, first evidence package</v>
      </c>
      <c r="CC564" t="str">
        <f>IF($BY564="","",IFERROR(INDEX(_REF_Treatment_Library!$L$2:$L$296,MATCH($BY564,_REF_Treatment_Library!$A$2:$A$296,0)),""))</f>
        <v>Owner assigned; baseline evidence coverage; open critical gaps</v>
      </c>
      <c r="CD564" t="str">
        <f t="shared" ref="CD564:CD627" si="82">IF($E564="","","Treatment by capability="&amp;$BT564&amp;"; band="&amp;$BX564&amp;"; score="&amp;TEXT(N($H564),"0.0")&amp;"; treatment="&amp;$BZ564)</f>
        <v>Treatment by capability=CAP_BACKUP_RECOVERY; band=Initial / absent; score=0.0; treatment=Establish</v>
      </c>
      <c r="CE564" t="str">
        <f>IF($E564="","",IFERROR(INDEX(_REF_Industry_Wording!$A$2:$A$70,MATCH(1,INDEX((_REF_Industry_Wording!$B$2:$B$70=$BT564)*(_REF_Industry_Wording!$C$2:$C$70=PV_Canonical_Industry)*(_REF_Industry_Wording!$K$2:$K$70="Yes"),0),0)),IFERROR(INDEX(_REF_Industry_Wording!$A$2:$A$70,MATCH(1,INDEX((_REF_Industry_Wording!$B$2:$B$70=$BT564)*(_REF_Industry_Wording!$C$2:$C$70="All")*(_REF_Industry_Wording!$K$2:$K$70="Yes"),0),0)),"")))</f>
        <v>IW-ALL-BACKUP_RECOVERY</v>
      </c>
      <c r="CF564" t="str">
        <f>IF($CE564="","",IFERROR(INDEX(_REF_Industry_Wording!$E$2:$E$70,MATCH($CE564,_REF_Industry_Wording!$A$2:$A$70,0)),""))</f>
        <v>Backup / recovery weakness</v>
      </c>
      <c r="CG564" t="str">
        <f>IF($CE564="","",IFERROR(INDEX(_REF_Industry_Wording!$F$2:$F$70,MATCH($CE564,_REF_Industry_Wording!$A$2:$A$70,0)),""))</f>
        <v>Strengthen Backup / recovery</v>
      </c>
      <c r="CH564" t="str">
        <f>IF($CE564="","",IFERROR(INDEX(_REF_Industry_Wording!$G$2:$G$70,MATCH($CE564,_REF_Industry_Wording!$A$2:$A$70,0)),""))</f>
        <v>Strengthen Backup / recovery using the selected maturity treatment, crisis scenario and evidence requirements.</v>
      </c>
      <c r="CI564" t="str">
        <f>IF($CE564="","",IFERROR(INDEX(_REF_Industry_Wording!$H$2:$H$70,MATCH($CE564,_REF_Industry_Wording!$A$2:$A$70,0)),""))</f>
        <v>Backup / recovery</v>
      </c>
      <c r="CJ564">
        <f>IF($CE564="","",IFERROR(INDEX(_REF_Industry_Wording!$I$2:$I$70,MATCH($CE564,_REF_Industry_Wording!$A$2:$A$70,0)),""))</f>
        <v>0</v>
      </c>
      <c r="CK564" t="str">
        <f>IF($CE564="","",IFERROR(INDEX(_REF_Industry_Wording!$J$2:$J$70,MATCH($CE564,_REF_Industry_Wording!$A$2:$A$70,0)),""))</f>
        <v>Backup / recovery</v>
      </c>
      <c r="CL564" t="str">
        <f t="shared" ref="CL564:CL627" si="83">IF($E564="","","Wording by industry="&amp;PV_Canonical_Industry&amp;"; capability="&amp;$BT564&amp;"; risk label="&amp;$CF564)</f>
        <v>Wording by industry=0; capability=CAP_BACKUP_RECOVERY; risk label=Backup / recovery weakness</v>
      </c>
      <c r="CM564" t="str">
        <f t="shared" ref="CM564:CM627" si="84">IF($E564="","","RISK-ONT-"&amp;TEXT(ROW()-499,"0000"))</f>
        <v>RISK-ONT-0065</v>
      </c>
      <c r="CN564" t="str">
        <f t="shared" ref="CN564:CN627" si="85">IF($E564="","","RISK-EVT-"&amp;TEXT(ROW()-499,"0000"))</f>
        <v>RISK-EVT-0065</v>
      </c>
      <c r="CO564" t="str">
        <f t="shared" ref="CO564:CO627" si="86">IF($E564="","",$C564&amp;"|"&amp;$D564&amp;"|"&amp;$E564&amp;"|"&amp;$BT564)</f>
        <v>Governance Crisis|Risk and continuity|GOVE-020|CAP_BACKUP_RECOVERY</v>
      </c>
      <c r="CP564" t="str">
        <f t="shared" ref="CP564:CP627" si="87">IF($E564="","",IF(OR($BT564="",$BT564="CAP_GENERIC"),"CHECK","Active"))</f>
        <v>Active</v>
      </c>
      <c r="CQ564" t="str">
        <f t="shared" ref="CQ564:CQ627" si="88">IF($E564="","",IF($BT564="CAP_GENERIC","CHECK: generic capability fallback","OK: capability-driven"))</f>
        <v>OK: capability-driven</v>
      </c>
      <c r="CR564" t="str">
        <f t="shared" ref="CR564:CR627" si="89">IF($E564="","","Risk ontology uses capability="&amp;$BT564&amp;"; bridge="&amp;$BV564&amp;"; treatment="&amp;$BY564&amp;"; wording="&amp;$CE564)</f>
        <v>Risk ontology uses capability=CAP_BACKUP_RECOVERY; bridge=BRG-037; treatment=TRT-BACKUP_RECOVERY-INITIAL; wording=IW-ALL-BACKUP_RECOVERY</v>
      </c>
      <c r="CS564" t="str">
        <f t="shared" ref="CS564:CS627" si="90">IF($E564="","",IF($CP564="Active","Yes","No"))</f>
        <v>Yes</v>
      </c>
    </row>
    <row r="565" spans="1:97" ht="69.900000000000006" customHeight="1">
      <c r="A565">
        <f>IF(OR($B565&lt;&gt;"Yes",$BS565=""),"",SUMPRODUCT(($B$500:$B$923="Yes")*ISNUMBER($BS$500:$BS$923)*($BS$500:$BS$923&gt;$BS565))+COUNTIFS($B$500:$B565,"Yes",$BS$500:$BS565,$BS565))</f>
        <v>111</v>
      </c>
      <c r="B565" t="str">
        <f t="shared" si="59"/>
        <v>Yes</v>
      </c>
      <c r="C565" t="s">
        <v>1150</v>
      </c>
      <c r="D565" t="s">
        <v>1152</v>
      </c>
      <c r="E565" t="s">
        <v>1243</v>
      </c>
      <c r="F565" t="s">
        <v>5484</v>
      </c>
      <c r="G565" t="str">
        <f>IF($H565="","",IFERROR(INDEX(_ENGINE_Risk!$H$5:$M$499,MATCH($E565,_ENGINE_Risk!$A$5:$A$499,0),$H565+1),""))</f>
        <v>Severe risk: primary and alternate crisis command arrangements with independent communications and access to crisis tools is not reliably controlled. During War/security crisis; Physical site loss; Energy/utilities outage, the organization may face no functioning command point when the main site or communications fail, delaying coordinated response with limited visibility or accountability.</v>
      </c>
      <c r="H565">
        <f>IFERROR(VALUE(INDEX(_DATA_Assessment_Model!$H$5:$H$884,MATCH($E565,_DATA_Assessment_Model!$A$5:$A$884,0))),"")</f>
        <v>0</v>
      </c>
      <c r="I565" t="str">
        <f>IF($H565="","",IFERROR(INDEX(_DATA_Assessment_Model!$L$5:$L$884,MATCH($E565,_DATA_Assessment_Model!$A$5:$A$884,0)),IF($H565&lt;=1,"Critical",IF($H565=2,"High",IF($H565=3,"Medium",IF($H565=4,"Low","Resilient"))))))</f>
        <v>Critical</v>
      </c>
      <c r="J565">
        <f t="shared" si="60"/>
        <v>3.7</v>
      </c>
      <c r="K565">
        <f t="shared" si="61"/>
        <v>4</v>
      </c>
      <c r="L565">
        <f t="shared" si="62"/>
        <v>14.8</v>
      </c>
      <c r="M565">
        <f t="shared" si="63"/>
        <v>3</v>
      </c>
      <c r="N565">
        <f>IF($H565="","",IFERROR(INDEX(_ENGINE_Risk!$T$5:$Y$499,MATCH($E565,_ENGINE_Risk!$A$5:$A$499,0),$H565+1),""))</f>
        <v>3</v>
      </c>
      <c r="O565">
        <f t="shared" si="64"/>
        <v>3.6666666666666665</v>
      </c>
      <c r="P565">
        <f t="shared" si="65"/>
        <v>5</v>
      </c>
      <c r="Q565">
        <f t="shared" si="66"/>
        <v>5</v>
      </c>
      <c r="R565">
        <f t="shared" si="67"/>
        <v>3.5</v>
      </c>
      <c r="S565">
        <f t="shared" si="68"/>
        <v>1.43</v>
      </c>
      <c r="T565" t="str">
        <f>IF($H565="","",IFERROR(INDEX(_ENGINE_Risk!$N$5:$S$499,MATCH($E565,_ENGINE_Risk!$A$5:$A$499,0),$H565+1),""))</f>
        <v>Create an immediate risk owner, minimum control baseline and fallback procedure for primary and alternate crisis command arrangements with independent communications and access to crisis tools. Add it to the crisis risk register and collect first evidence.</v>
      </c>
      <c r="U565">
        <f>IFERROR(INDEX(_DATA_Assessment_Model!$G$5:$G$884,MATCH($E565,_DATA_Assessment_Model!$A$5:$A$884,0)),"")</f>
        <v>4</v>
      </c>
      <c r="V565">
        <f>IFERROR(INDEX(_DATA_Assessment_Model!$W$5:$W$884,MATCH($E565,_DATA_Assessment_Model!$A$5:$A$884,0)),"")</f>
        <v>3</v>
      </c>
      <c r="W565">
        <f>IFERROR(INDEX(_DATA_Assessment_Model!$X$5:$X$884,MATCH($E565,_DATA_Assessment_Model!$A$5:$A$884,0)),"")</f>
        <v>5</v>
      </c>
      <c r="X565">
        <f>IFERROR(INDEX(_DATA_Assessment_Model!$Y$5:$Y$884,MATCH($E565,_DATA_Assessment_Model!$A$5:$A$884,0)),"")</f>
        <v>4</v>
      </c>
      <c r="Y565" t="s">
        <v>1253</v>
      </c>
      <c r="Z565" t="s">
        <v>5499</v>
      </c>
      <c r="AA565" t="s">
        <v>5514</v>
      </c>
      <c r="AB565">
        <f>IFERROR(INDEX(_DATA_Assessment_Model!$U$5:$U$884,MATCH($E565,_DATA_Assessment_Model!$A$5:$A$884,0)),"")</f>
        <v>0</v>
      </c>
      <c r="AF565" t="s">
        <v>1244</v>
      </c>
      <c r="AO565">
        <f>IF($B565="Yes",IF(IFERROR(INDEX(_ENGINE_Crisis!$F$501:$F$517,MATCH($C565,_ENGINE_Crisis!$A$501:$A$517,0)),1)=0,1,IFERROR(INDEX(_ENGINE_Crisis!$F$501:$F$517,MATCH($C565,_ENGINE_Crisis!$A$501:$A$517,0)),1)),"")</f>
        <v>1</v>
      </c>
      <c r="AP565">
        <f t="shared" si="69"/>
        <v>14.8</v>
      </c>
      <c r="AQ565">
        <f t="shared" si="70"/>
        <v>1.43</v>
      </c>
      <c r="AR565" t="str">
        <f>IFERROR(INDEX(_ENGINE_Crisis!$E$41:$E$700,MATCH('Resilience &amp; Risk Scenario'!$B$6&amp;"|"&amp;$C565,_ENGINE_Crisis!$I$41:$I$700,0)),"")</f>
        <v/>
      </c>
      <c r="AS565" t="str">
        <f>IFERROR(INDEX(_ENGINE_Crisis!$G$41:$G$700,MATCH('Resilience &amp; Risk Scenario'!$B$6&amp;"|"&amp;$C565,_ENGINE_Crisis!$I$41:$I$700,0)),"")</f>
        <v/>
      </c>
      <c r="AT565" t="str">
        <f>IFERROR(INDEX(_ENGINE_Initiatives!$A$5:$A$532,MATCH(1,INDEX((_ENGINE_Initiatives!$B$5:$B$532=$C565)*(_ENGINE_Initiatives!$C$5:$C$532=$D565),0),0)),"")</f>
        <v>INI-008</v>
      </c>
      <c r="AU565" t="str">
        <f>IFERROR(INDEX(_ENGINE_Initiatives!$F$5:$F$532,MATCH(1,INDEX((_ENGINE_Initiatives!$B$5:$B$532=$C565)*(_ENGINE_Initiatives!$C$5:$C$532=$D565),0),0)),"")</f>
        <v>Implement crisis governance, roles and escalation model</v>
      </c>
      <c r="AV565">
        <f>IFERROR(INDEX(_ENGINE_Initiatives!$AC$5:$AC$532,MATCH(1,INDEX((_ENGINE_Initiatives!$B$5:$B$532=$C565)*(_ENGINE_Initiatives!$C$5:$C$532=$D565),0),0)),"")</f>
        <v>2.62</v>
      </c>
      <c r="AW565" t="str">
        <f>IFERROR(INDEX(_ENGINE_Initiatives!$AE$5:$AE$532,MATCH(1,INDEX((_ENGINE_Initiatives!$B$5:$B$532=$C565)*(_ENGINE_Initiatives!$C$5:$C$532=$D565),0),0)),"")</f>
        <v>0-90 days</v>
      </c>
      <c r="AX565">
        <f>IF($B565="Yes",IFERROR((IF(SUMIFS(_REF_Model_Content!$E$1:$E$613,_REF_Model_Content!$A$1:$A$613,PV_Canonical_Industry,_REF_Model_Content!$B$1:$B$613,$C565)=0,1,SUMIFS(_REF_Model_Content!$E$1:$E$613,_REF_Model_Content!$A$1:$A$613,PV_Canonical_Industry,_REF_Model_Content!$B$1:$B$613,$C565))*IFERROR($BU565,1)),1),"")</f>
        <v>1</v>
      </c>
      <c r="AY565">
        <f t="shared" si="71"/>
        <v>14.8</v>
      </c>
      <c r="AZ565">
        <f t="shared" si="72"/>
        <v>1.43</v>
      </c>
      <c r="BB565" t="str">
        <f>IF($H565="","",IFERROR(INDEX(_ENGINE_Risk!$AE$5:$AE$499,MATCH($E565,_ENGINE_Risk!$A$5:$A$499,0)),"Medium"))</f>
        <v>Fast</v>
      </c>
      <c r="BC565">
        <f t="shared" si="73"/>
        <v>1.25</v>
      </c>
      <c r="BD565">
        <f t="shared" si="74"/>
        <v>1.43</v>
      </c>
      <c r="BF565">
        <f>IF(OR($H565="",$J565=""),"",IFERROR(VLOOKUP(ROUND($J565,0),_CONFIG_Model_Settings!$D$154:$E$158,2,0),""))</f>
        <v>0.5</v>
      </c>
      <c r="BG565">
        <f>IFERROR(IF(OR($H565="",$K565=""),"",ROUND('Company Profile'!$B$113*INDEX(_CONFIG_Model_Settings!$H$154:$H$158,MATCH(ROUND($K565,0),_CONFIG_Model_Settings!$G$154:$G$158,0)),0)),0)</f>
        <v>875</v>
      </c>
      <c r="BH565">
        <f t="shared" si="75"/>
        <v>437.5</v>
      </c>
      <c r="BI565">
        <f t="shared" si="76"/>
        <v>437.5</v>
      </c>
      <c r="BJ565">
        <f>IF($E565="","",IFERROR(VLOOKUP($C565,_CONFIG_Risk_Calibration!$A$5:$H$21,2,FALSE),3))</f>
        <v>3</v>
      </c>
      <c r="BK565">
        <f>IF($E565="","",IFERROR(VLOOKUP($C565,_CONFIG_Risk_Calibration!$A$5:$H$21,3,FALSE),0))</f>
        <v>0</v>
      </c>
      <c r="BL565">
        <f>IF($E565="","",IFERROR(VLOOKUP($C565,_CONFIG_Risk_Calibration!$A$5:$H$21,4,FALSE),3))</f>
        <v>3</v>
      </c>
      <c r="BM565">
        <f>IF($E565="","",IFERROR(VLOOKUP($C565,_CONFIG_Risk_Calibration!$A$5:$H$21,5,FALSE),3))</f>
        <v>4</v>
      </c>
      <c r="BN565" t="str">
        <f>IF($E565="","",IFERROR(VLOOKUP($C565,_CONFIG_Risk_Calibration!$A$5:$H$21,6,FALSE),"No"))</f>
        <v>Yes</v>
      </c>
      <c r="BO565">
        <f>IF($E565="","",IFERROR(VLOOKUP($C565,_CONFIG_Risk_Calibration!$A$5:$H$21,7,FALSE),1))</f>
        <v>4</v>
      </c>
      <c r="BP565">
        <f>IF($H565="","",MAX(1,MIN(5,((6-$H565)*0.45)+($BJ565*0.2)+('Resilience &amp; Risk Scenario'!$B$7*0.15)+($BK565*0.1)+($BL565*0.05)+(IF($BB565="Fast",5,IF($BB565="Slow",1,3))*0.05))))</f>
        <v>3.7</v>
      </c>
      <c r="BQ565">
        <f t="shared" si="77"/>
        <v>4</v>
      </c>
      <c r="BR565">
        <f t="shared" si="78"/>
        <v>14.8</v>
      </c>
      <c r="BS565">
        <f t="shared" si="79"/>
        <v>20.350000000000001</v>
      </c>
      <c r="BT565" t="str">
        <f>IFERROR(INDEX(_REF_Capability_Bridge!$D:$D,MATCH($C565&amp;"|"&amp;$D565,_REF_Capability_Bridge!$J:$J,0)),IFERROR(INDEX(_REF_Capability_Bridge!$D:$D,MATCH($C565&amp;"|",_REF_Capability_Bridge!$J:$J,0)),"CAP_GENERIC"))</f>
        <v>CAP_INCIDENT_RESPONSE</v>
      </c>
      <c r="BU565">
        <f>IFERROR(IFERROR(INDEX(_ENGINE_Relevance!$L:$L,MATCH($BT565,_ENGINE_Relevance!$B:$B,0)),1),1)</f>
        <v>1</v>
      </c>
      <c r="BV565" t="str">
        <f>IFERROR(INDEX(_REF_Capability_Bridge!$A:$A,MATCH($C565&amp;"|"&amp;$D565,_REF_Capability_Bridge!$J:$J,0)),IFERROR(INDEX(_REF_Capability_Bridge!$A:$A,MATCH($C565&amp;"|",_REF_Capability_Bridge!$J:$J,0)),"No bridge"))</f>
        <v>BRG-035</v>
      </c>
      <c r="BW565" t="str">
        <f t="shared" si="80"/>
        <v>Capability relevance neutral</v>
      </c>
      <c r="BX565" t="str">
        <f t="shared" si="81"/>
        <v>Initial / absent</v>
      </c>
      <c r="BY565" t="str">
        <f>IF($E565="","",IFERROR(INDEX(_REF_Treatment_Library!$A$2:$A$296,MATCH(1,INDEX((_REF_Treatment_Library!$B$2:$B$296=$BT565)*(_REF_Treatment_Library!$C$2:$C$296=PV_Canonical_Industry)*(_REF_Treatment_Library!$E$2:$E$296&lt;=N($H565))*(_REF_Treatment_Library!$F$2:$F$296&gt;=N($H565))*(_REF_Treatment_Library!$O$2:$O$296="Yes"),0),0)),IFERROR(INDEX(_REF_Treatment_Library!$A$2:$A$296,MATCH(1,INDEX((_REF_Treatment_Library!$B$2:$B$296=$BT565)*(_REF_Treatment_Library!$C$2:$C$296="All")*(_REF_Treatment_Library!$E$2:$E$296&lt;=N($H565))*(_REF_Treatment_Library!$F$2:$F$296&gt;=N($H565))*(_REF_Treatment_Library!$O$2:$O$296="Yes"),0),0)),"")))</f>
        <v>TRT-INCIDENT_RESPONSE-INITIAL</v>
      </c>
      <c r="BZ565" t="str">
        <f>IF($BY565="","",IFERROR(INDEX(_REF_Treatment_Library!$H$2:$H$296,MATCH($BY565,_REF_Treatment_Library!$A$2:$A$296,0)),""))</f>
        <v>Establish</v>
      </c>
      <c r="CA565" t="str">
        <f>IF($BY565="","",IFERROR(INDEX(_REF_Treatment_Library!$I$2:$I$296,MATCH($BY565,_REF_Treatment_Library!$A$2:$A$296,0)),""))</f>
        <v>Establish baseline controls for Incident response</v>
      </c>
      <c r="CB565" t="str">
        <f>IF($BY565="","",IFERROR(INDEX(_REF_Treatment_Library!$K$2:$K$296,MATCH($BY565,_REF_Treatment_Library!$A$2:$A$296,0)),""))</f>
        <v>Named owner, baseline process, minimum control checklist, first evidence package</v>
      </c>
      <c r="CC565" t="str">
        <f>IF($BY565="","",IFERROR(INDEX(_REF_Treatment_Library!$L$2:$L$296,MATCH($BY565,_REF_Treatment_Library!$A$2:$A$296,0)),""))</f>
        <v>Owner assigned; baseline evidence coverage; open critical gaps</v>
      </c>
      <c r="CD565" t="str">
        <f t="shared" si="82"/>
        <v>Treatment by capability=CAP_INCIDENT_RESPONSE; band=Initial / absent; score=0.0; treatment=Establish</v>
      </c>
      <c r="CE565" t="str">
        <f>IF($E565="","",IFERROR(INDEX(_REF_Industry_Wording!$A$2:$A$70,MATCH(1,INDEX((_REF_Industry_Wording!$B$2:$B$70=$BT565)*(_REF_Industry_Wording!$C$2:$C$70=PV_Canonical_Industry)*(_REF_Industry_Wording!$K$2:$K$70="Yes"),0),0)),IFERROR(INDEX(_REF_Industry_Wording!$A$2:$A$70,MATCH(1,INDEX((_REF_Industry_Wording!$B$2:$B$70=$BT565)*(_REF_Industry_Wording!$C$2:$C$70="All")*(_REF_Industry_Wording!$K$2:$K$70="Yes"),0),0)),"")))</f>
        <v>IW-ALL-INCIDENT_RESPONSE</v>
      </c>
      <c r="CF565" t="str">
        <f>IF($CE565="","",IFERROR(INDEX(_REF_Industry_Wording!$E$2:$E$70,MATCH($CE565,_REF_Industry_Wording!$A$2:$A$70,0)),""))</f>
        <v>Incident response weakness</v>
      </c>
      <c r="CG565" t="str">
        <f>IF($CE565="","",IFERROR(INDEX(_REF_Industry_Wording!$F$2:$F$70,MATCH($CE565,_REF_Industry_Wording!$A$2:$A$70,0)),""))</f>
        <v>Strengthen Incident response</v>
      </c>
      <c r="CH565" t="str">
        <f>IF($CE565="","",IFERROR(INDEX(_REF_Industry_Wording!$G$2:$G$70,MATCH($CE565,_REF_Industry_Wording!$A$2:$A$70,0)),""))</f>
        <v>Strengthen Incident response using the selected maturity treatment, crisis scenario and evidence requirements.</v>
      </c>
      <c r="CI565" t="str">
        <f>IF($CE565="","",IFERROR(INDEX(_REF_Industry_Wording!$H$2:$H$70,MATCH($CE565,_REF_Industry_Wording!$A$2:$A$70,0)),""))</f>
        <v>Incident response</v>
      </c>
      <c r="CJ565">
        <f>IF($CE565="","",IFERROR(INDEX(_REF_Industry_Wording!$I$2:$I$70,MATCH($CE565,_REF_Industry_Wording!$A$2:$A$70,0)),""))</f>
        <v>0</v>
      </c>
      <c r="CK565" t="str">
        <f>IF($CE565="","",IFERROR(INDEX(_REF_Industry_Wording!$J$2:$J$70,MATCH($CE565,_REF_Industry_Wording!$A$2:$A$70,0)),""))</f>
        <v>Incident response</v>
      </c>
      <c r="CL565" t="str">
        <f t="shared" si="83"/>
        <v>Wording by industry=0; capability=CAP_INCIDENT_RESPONSE; risk label=Incident response weakness</v>
      </c>
      <c r="CM565" t="str">
        <f t="shared" si="84"/>
        <v>RISK-ONT-0066</v>
      </c>
      <c r="CN565" t="str">
        <f t="shared" si="85"/>
        <v>RISK-EVT-0066</v>
      </c>
      <c r="CO565" t="str">
        <f t="shared" si="86"/>
        <v>Governance Crisis|Crisis governance|GOVE-021|CAP_INCIDENT_RESPONSE</v>
      </c>
      <c r="CP565" t="str">
        <f t="shared" si="87"/>
        <v>Active</v>
      </c>
      <c r="CQ565" t="str">
        <f t="shared" si="88"/>
        <v>OK: capability-driven</v>
      </c>
      <c r="CR565" t="str">
        <f t="shared" si="89"/>
        <v>Risk ontology uses capability=CAP_INCIDENT_RESPONSE; bridge=BRG-035; treatment=TRT-INCIDENT_RESPONSE-INITIAL; wording=IW-ALL-INCIDENT_RESPONSE</v>
      </c>
      <c r="CS565" t="str">
        <f t="shared" si="90"/>
        <v>Yes</v>
      </c>
    </row>
    <row r="566" spans="1:97" ht="69.900000000000006" customHeight="1">
      <c r="A566">
        <f>IF(OR($B566&lt;&gt;"Yes",$BS566=""),"",SUMPRODUCT(($B$500:$B$923="Yes")*ISNUMBER($BS$500:$BS$923)*($BS$500:$BS$923&gt;$BS566))+COUNTIFS($B$500:$B566,"Yes",$BS$500:$BS566,$BS566))</f>
        <v>112</v>
      </c>
      <c r="B566" t="str">
        <f t="shared" si="59"/>
        <v>Yes</v>
      </c>
      <c r="C566" t="s">
        <v>1150</v>
      </c>
      <c r="D566" t="s">
        <v>1161</v>
      </c>
      <c r="E566" t="s">
        <v>1254</v>
      </c>
      <c r="F566" t="s">
        <v>5484</v>
      </c>
      <c r="G566" t="str">
        <f>IF($H566="","",IFERROR(INDEX(_ENGINE_Risk!$H$5:$M$499,MATCH($E566,_ENGINE_Risk!$A$5:$A$499,0),$H566+1),""))</f>
        <v>Severe risk: joint crisis exercises with critical suppliers, customers, authorities and insurers is not reliably controlled. During Supplier/logistics disruption; War/security crisis; Cyberattack/ransomware, the organization may face untested cross-organizational response, conflicting assumptions and slow joint recovery in real events with limited visibility or accountability.</v>
      </c>
      <c r="H566">
        <f>IFERROR(VALUE(INDEX(_DATA_Assessment_Model!$H$5:$H$884,MATCH($E566,_DATA_Assessment_Model!$A$5:$A$884,0))),"")</f>
        <v>0</v>
      </c>
      <c r="I566" t="str">
        <f>IF($H566="","",IFERROR(INDEX(_DATA_Assessment_Model!$L$5:$L$884,MATCH($E566,_DATA_Assessment_Model!$A$5:$A$884,0)),IF($H566&lt;=1,"Critical",IF($H566=2,"High",IF($H566=3,"Medium",IF($H566=4,"Low","Resilient"))))))</f>
        <v>Critical</v>
      </c>
      <c r="J566">
        <f t="shared" si="60"/>
        <v>3.7</v>
      </c>
      <c r="K566">
        <f t="shared" si="61"/>
        <v>4</v>
      </c>
      <c r="L566">
        <f t="shared" si="62"/>
        <v>14.8</v>
      </c>
      <c r="M566">
        <f t="shared" si="63"/>
        <v>3</v>
      </c>
      <c r="N566">
        <f>IF($H566="","",IFERROR(INDEX(_ENGINE_Risk!$T$5:$Y$499,MATCH($E566,_ENGINE_Risk!$A$5:$A$499,0),$H566+1),""))</f>
        <v>3</v>
      </c>
      <c r="O566">
        <f t="shared" si="64"/>
        <v>2.6666666666666665</v>
      </c>
      <c r="P566">
        <f t="shared" si="65"/>
        <v>5</v>
      </c>
      <c r="Q566">
        <f t="shared" si="66"/>
        <v>5</v>
      </c>
      <c r="R566">
        <f t="shared" si="67"/>
        <v>2.5</v>
      </c>
      <c r="S566">
        <f t="shared" si="68"/>
        <v>1.26</v>
      </c>
      <c r="T566" t="str">
        <f>IF($H566="","",IFERROR(INDEX(_ENGINE_Risk!$N$5:$S$499,MATCH($E566,_ENGINE_Risk!$A$5:$A$499,0),$H566+1),""))</f>
        <v>Create an immediate risk owner, minimum control baseline and fallback procedure for joint crisis exercises with critical suppliers, customers, authorities and insurers. Add it to the crisis risk register and collect first evidence.</v>
      </c>
      <c r="U566">
        <f>IFERROR(INDEX(_DATA_Assessment_Model!$G$5:$G$884,MATCH($E566,_DATA_Assessment_Model!$A$5:$A$884,0)),"")</f>
        <v>3</v>
      </c>
      <c r="V566">
        <f>IFERROR(INDEX(_DATA_Assessment_Model!$W$5:$W$884,MATCH($E566,_DATA_Assessment_Model!$A$5:$A$884,0)),"")</f>
        <v>2</v>
      </c>
      <c r="W566">
        <f>IFERROR(INDEX(_DATA_Assessment_Model!$X$5:$X$884,MATCH($E566,_DATA_Assessment_Model!$A$5:$A$884,0)),"")</f>
        <v>5</v>
      </c>
      <c r="X566">
        <f>IFERROR(INDEX(_DATA_Assessment_Model!$Y$5:$Y$884,MATCH($E566,_DATA_Assessment_Model!$A$5:$A$884,0)),"")</f>
        <v>3</v>
      </c>
      <c r="Y566" t="s">
        <v>1258</v>
      </c>
      <c r="Z566" t="s">
        <v>5499</v>
      </c>
      <c r="AA566" t="s">
        <v>5529</v>
      </c>
      <c r="AB566">
        <f>IFERROR(INDEX(_DATA_Assessment_Model!$U$5:$U$884,MATCH($E566,_DATA_Assessment_Model!$A$5:$A$884,0)),"")</f>
        <v>0</v>
      </c>
      <c r="AF566" t="s">
        <v>1255</v>
      </c>
      <c r="AO566">
        <f>IF($B566="Yes",IF(IFERROR(INDEX(_ENGINE_Crisis!$F$501:$F$517,MATCH($C566,_ENGINE_Crisis!$A$501:$A$517,0)),1)=0,1,IFERROR(INDEX(_ENGINE_Crisis!$F$501:$F$517,MATCH($C566,_ENGINE_Crisis!$A$501:$A$517,0)),1)),"")</f>
        <v>1</v>
      </c>
      <c r="AP566">
        <f t="shared" si="69"/>
        <v>14.8</v>
      </c>
      <c r="AQ566">
        <f t="shared" si="70"/>
        <v>1.26</v>
      </c>
      <c r="AR566" t="str">
        <f>IFERROR(INDEX(_ENGINE_Crisis!$E$41:$E$700,MATCH('Resilience &amp; Risk Scenario'!$B$6&amp;"|"&amp;$C566,_ENGINE_Crisis!$I$41:$I$700,0)),"")</f>
        <v/>
      </c>
      <c r="AS566" t="str">
        <f>IFERROR(INDEX(_ENGINE_Crisis!$G$41:$G$700,MATCH('Resilience &amp; Risk Scenario'!$B$6&amp;"|"&amp;$C566,_ENGINE_Crisis!$I$41:$I$700,0)),"")</f>
        <v/>
      </c>
      <c r="AT566" t="str">
        <f>IFERROR(INDEX(_ENGINE_Initiatives!$A$5:$A$532,MATCH(1,INDEX((_ENGINE_Initiatives!$B$5:$B$532=$C566)*(_ENGINE_Initiatives!$C$5:$C$532=$D566),0),0)),"")</f>
        <v>INI-009</v>
      </c>
      <c r="AU566" t="str">
        <f>IFERROR(INDEX(_ENGINE_Initiatives!$F$5:$F$532,MATCH(1,INDEX((_ENGINE_Initiatives!$B$5:$B$532=$C566)*(_ENGINE_Initiatives!$C$5:$C$532=$D566),0),0)),"")</f>
        <v>Build integrated risk, continuity and resilience control cycle</v>
      </c>
      <c r="AV566">
        <f>IFERROR(INDEX(_ENGINE_Initiatives!$AC$5:$AC$532,MATCH(1,INDEX((_ENGINE_Initiatives!$B$5:$B$532=$C566)*(_ENGINE_Initiatives!$C$5:$C$532=$D566),0),0)),"")</f>
        <v>2.63</v>
      </c>
      <c r="AW566" t="str">
        <f>IFERROR(INDEX(_ENGINE_Initiatives!$AE$5:$AE$532,MATCH(1,INDEX((_ENGINE_Initiatives!$B$5:$B$532=$C566)*(_ENGINE_Initiatives!$C$5:$C$532=$D566),0),0)),"")</f>
        <v>0-90 days</v>
      </c>
      <c r="AX566">
        <f>IF($B566="Yes",IFERROR((IF(SUMIFS(_REF_Model_Content!$E$1:$E$613,_REF_Model_Content!$A$1:$A$613,PV_Canonical_Industry,_REF_Model_Content!$B$1:$B$613,$C566)=0,1,SUMIFS(_REF_Model_Content!$E$1:$E$613,_REF_Model_Content!$A$1:$A$613,PV_Canonical_Industry,_REF_Model_Content!$B$1:$B$613,$C566))*IFERROR($BU566,1)),1),"")</f>
        <v>1</v>
      </c>
      <c r="AY566">
        <f t="shared" si="71"/>
        <v>14.8</v>
      </c>
      <c r="AZ566">
        <f t="shared" si="72"/>
        <v>1.26</v>
      </c>
      <c r="BB566" t="str">
        <f>IF($H566="","",IFERROR(INDEX(_ENGINE_Risk!$AE$5:$AE$499,MATCH($E566,_ENGINE_Risk!$A$5:$A$499,0)),"Medium"))</f>
        <v>Fast</v>
      </c>
      <c r="BC566">
        <f t="shared" si="73"/>
        <v>1.25</v>
      </c>
      <c r="BD566">
        <f t="shared" si="74"/>
        <v>1.26</v>
      </c>
      <c r="BF566">
        <f>IF(OR($H566="",$J566=""),"",IFERROR(VLOOKUP(ROUND($J566,0),_CONFIG_Model_Settings!$D$154:$E$158,2,0),""))</f>
        <v>0.5</v>
      </c>
      <c r="BG566">
        <f>IFERROR(IF(OR($H566="",$K566=""),"",ROUND('Company Profile'!$B$113*INDEX(_CONFIG_Model_Settings!$H$154:$H$158,MATCH(ROUND($K566,0),_CONFIG_Model_Settings!$G$154:$G$158,0)),0)),0)</f>
        <v>875</v>
      </c>
      <c r="BH566">
        <f t="shared" si="75"/>
        <v>437.5</v>
      </c>
      <c r="BI566">
        <f t="shared" si="76"/>
        <v>437.5</v>
      </c>
      <c r="BJ566">
        <f>IF($E566="","",IFERROR(VLOOKUP($C566,_CONFIG_Risk_Calibration!$A$5:$H$21,2,FALSE),3))</f>
        <v>3</v>
      </c>
      <c r="BK566">
        <f>IF($E566="","",IFERROR(VLOOKUP($C566,_CONFIG_Risk_Calibration!$A$5:$H$21,3,FALSE),0))</f>
        <v>0</v>
      </c>
      <c r="BL566">
        <f>IF($E566="","",IFERROR(VLOOKUP($C566,_CONFIG_Risk_Calibration!$A$5:$H$21,4,FALSE),3))</f>
        <v>3</v>
      </c>
      <c r="BM566">
        <f>IF($E566="","",IFERROR(VLOOKUP($C566,_CONFIG_Risk_Calibration!$A$5:$H$21,5,FALSE),3))</f>
        <v>4</v>
      </c>
      <c r="BN566" t="str">
        <f>IF($E566="","",IFERROR(VLOOKUP($C566,_CONFIG_Risk_Calibration!$A$5:$H$21,6,FALSE),"No"))</f>
        <v>Yes</v>
      </c>
      <c r="BO566">
        <f>IF($E566="","",IFERROR(VLOOKUP($C566,_CONFIG_Risk_Calibration!$A$5:$H$21,7,FALSE),1))</f>
        <v>4</v>
      </c>
      <c r="BP566">
        <f>IF($H566="","",MAX(1,MIN(5,((6-$H566)*0.45)+($BJ566*0.2)+('Resilience &amp; Risk Scenario'!$B$7*0.15)+($BK566*0.1)+($BL566*0.05)+(IF($BB566="Fast",5,IF($BB566="Slow",1,3))*0.05))))</f>
        <v>3.7</v>
      </c>
      <c r="BQ566">
        <f t="shared" si="77"/>
        <v>4</v>
      </c>
      <c r="BR566">
        <f t="shared" si="78"/>
        <v>14.8</v>
      </c>
      <c r="BS566">
        <f t="shared" si="79"/>
        <v>20.350000000000001</v>
      </c>
      <c r="BT566" t="str">
        <f>IFERROR(INDEX(_REF_Capability_Bridge!$D:$D,MATCH($C566&amp;"|"&amp;$D566,_REF_Capability_Bridge!$J:$J,0)),IFERROR(INDEX(_REF_Capability_Bridge!$D:$D,MATCH($C566&amp;"|",_REF_Capability_Bridge!$J:$J,0)),"CAP_GENERIC"))</f>
        <v>CAP_BACKUP_RECOVERY</v>
      </c>
      <c r="BU566">
        <f>IFERROR(IFERROR(INDEX(_ENGINE_Relevance!$L:$L,MATCH($BT566,_ENGINE_Relevance!$B:$B,0)),1),1)</f>
        <v>1</v>
      </c>
      <c r="BV566" t="str">
        <f>IFERROR(INDEX(_REF_Capability_Bridge!$A:$A,MATCH($C566&amp;"|"&amp;$D566,_REF_Capability_Bridge!$J:$J,0)),IFERROR(INDEX(_REF_Capability_Bridge!$A:$A,MATCH($C566&amp;"|",_REF_Capability_Bridge!$J:$J,0)),"No bridge"))</f>
        <v>BRG-037</v>
      </c>
      <c r="BW566" t="str">
        <f t="shared" si="80"/>
        <v>Capability relevance neutral</v>
      </c>
      <c r="BX566" t="str">
        <f t="shared" si="81"/>
        <v>Initial / absent</v>
      </c>
      <c r="BY566" t="str">
        <f>IF($E566="","",IFERROR(INDEX(_REF_Treatment_Library!$A$2:$A$296,MATCH(1,INDEX((_REF_Treatment_Library!$B$2:$B$296=$BT566)*(_REF_Treatment_Library!$C$2:$C$296=PV_Canonical_Industry)*(_REF_Treatment_Library!$E$2:$E$296&lt;=N($H566))*(_REF_Treatment_Library!$F$2:$F$296&gt;=N($H566))*(_REF_Treatment_Library!$O$2:$O$296="Yes"),0),0)),IFERROR(INDEX(_REF_Treatment_Library!$A$2:$A$296,MATCH(1,INDEX((_REF_Treatment_Library!$B$2:$B$296=$BT566)*(_REF_Treatment_Library!$C$2:$C$296="All")*(_REF_Treatment_Library!$E$2:$E$296&lt;=N($H566))*(_REF_Treatment_Library!$F$2:$F$296&gt;=N($H566))*(_REF_Treatment_Library!$O$2:$O$296="Yes"),0),0)),"")))</f>
        <v>TRT-BACKUP_RECOVERY-INITIAL</v>
      </c>
      <c r="BZ566" t="str">
        <f>IF($BY566="","",IFERROR(INDEX(_REF_Treatment_Library!$H$2:$H$296,MATCH($BY566,_REF_Treatment_Library!$A$2:$A$296,0)),""))</f>
        <v>Establish</v>
      </c>
      <c r="CA566" t="str">
        <f>IF($BY566="","",IFERROR(INDEX(_REF_Treatment_Library!$I$2:$I$296,MATCH($BY566,_REF_Treatment_Library!$A$2:$A$296,0)),""))</f>
        <v>Establish baseline controls for Backup / recovery</v>
      </c>
      <c r="CB566" t="str">
        <f>IF($BY566="","",IFERROR(INDEX(_REF_Treatment_Library!$K$2:$K$296,MATCH($BY566,_REF_Treatment_Library!$A$2:$A$296,0)),""))</f>
        <v>Named owner, baseline process, minimum control checklist, first evidence package</v>
      </c>
      <c r="CC566" t="str">
        <f>IF($BY566="","",IFERROR(INDEX(_REF_Treatment_Library!$L$2:$L$296,MATCH($BY566,_REF_Treatment_Library!$A$2:$A$296,0)),""))</f>
        <v>Owner assigned; baseline evidence coverage; open critical gaps</v>
      </c>
      <c r="CD566" t="str">
        <f t="shared" si="82"/>
        <v>Treatment by capability=CAP_BACKUP_RECOVERY; band=Initial / absent; score=0.0; treatment=Establish</v>
      </c>
      <c r="CE566" t="str">
        <f>IF($E566="","",IFERROR(INDEX(_REF_Industry_Wording!$A$2:$A$70,MATCH(1,INDEX((_REF_Industry_Wording!$B$2:$B$70=$BT566)*(_REF_Industry_Wording!$C$2:$C$70=PV_Canonical_Industry)*(_REF_Industry_Wording!$K$2:$K$70="Yes"),0),0)),IFERROR(INDEX(_REF_Industry_Wording!$A$2:$A$70,MATCH(1,INDEX((_REF_Industry_Wording!$B$2:$B$70=$BT566)*(_REF_Industry_Wording!$C$2:$C$70="All")*(_REF_Industry_Wording!$K$2:$K$70="Yes"),0),0)),"")))</f>
        <v>IW-ALL-BACKUP_RECOVERY</v>
      </c>
      <c r="CF566" t="str">
        <f>IF($CE566="","",IFERROR(INDEX(_REF_Industry_Wording!$E$2:$E$70,MATCH($CE566,_REF_Industry_Wording!$A$2:$A$70,0)),""))</f>
        <v>Backup / recovery weakness</v>
      </c>
      <c r="CG566" t="str">
        <f>IF($CE566="","",IFERROR(INDEX(_REF_Industry_Wording!$F$2:$F$70,MATCH($CE566,_REF_Industry_Wording!$A$2:$A$70,0)),""))</f>
        <v>Strengthen Backup / recovery</v>
      </c>
      <c r="CH566" t="str">
        <f>IF($CE566="","",IFERROR(INDEX(_REF_Industry_Wording!$G$2:$G$70,MATCH($CE566,_REF_Industry_Wording!$A$2:$A$70,0)),""))</f>
        <v>Strengthen Backup / recovery using the selected maturity treatment, crisis scenario and evidence requirements.</v>
      </c>
      <c r="CI566" t="str">
        <f>IF($CE566="","",IFERROR(INDEX(_REF_Industry_Wording!$H$2:$H$70,MATCH($CE566,_REF_Industry_Wording!$A$2:$A$70,0)),""))</f>
        <v>Backup / recovery</v>
      </c>
      <c r="CJ566">
        <f>IF($CE566="","",IFERROR(INDEX(_REF_Industry_Wording!$I$2:$I$70,MATCH($CE566,_REF_Industry_Wording!$A$2:$A$70,0)),""))</f>
        <v>0</v>
      </c>
      <c r="CK566" t="str">
        <f>IF($CE566="","",IFERROR(INDEX(_REF_Industry_Wording!$J$2:$J$70,MATCH($CE566,_REF_Industry_Wording!$A$2:$A$70,0)),""))</f>
        <v>Backup / recovery</v>
      </c>
      <c r="CL566" t="str">
        <f t="shared" si="83"/>
        <v>Wording by industry=0; capability=CAP_BACKUP_RECOVERY; risk label=Backup / recovery weakness</v>
      </c>
      <c r="CM566" t="str">
        <f t="shared" si="84"/>
        <v>RISK-ONT-0067</v>
      </c>
      <c r="CN566" t="str">
        <f t="shared" si="85"/>
        <v>RISK-EVT-0067</v>
      </c>
      <c r="CO566" t="str">
        <f t="shared" si="86"/>
        <v>Governance Crisis|Risk and continuity|GOVE-022|CAP_BACKUP_RECOVERY</v>
      </c>
      <c r="CP566" t="str">
        <f t="shared" si="87"/>
        <v>Active</v>
      </c>
      <c r="CQ566" t="str">
        <f t="shared" si="88"/>
        <v>OK: capability-driven</v>
      </c>
      <c r="CR566" t="str">
        <f t="shared" si="89"/>
        <v>Risk ontology uses capability=CAP_BACKUP_RECOVERY; bridge=BRG-037; treatment=TRT-BACKUP_RECOVERY-INITIAL; wording=IW-ALL-BACKUP_RECOVERY</v>
      </c>
      <c r="CS566" t="str">
        <f t="shared" si="90"/>
        <v>Yes</v>
      </c>
    </row>
    <row r="567" spans="1:97" ht="69.900000000000006" customHeight="1">
      <c r="A567">
        <f>IF(OR($B567&lt;&gt;"Yes",$BS567=""),"",SUMPRODUCT(($B$500:$B$923="Yes")*ISNUMBER($BS$500:$BS$923)*($BS$500:$BS$923&gt;$BS567))+COUNTIFS($B$500:$B567,"Yes",$BS$500:$BS567,$BS567))</f>
        <v>113</v>
      </c>
      <c r="B567" t="str">
        <f t="shared" si="59"/>
        <v>Yes</v>
      </c>
      <c r="C567" t="s">
        <v>1259</v>
      </c>
      <c r="D567" t="s">
        <v>1261</v>
      </c>
      <c r="E567" t="s">
        <v>1260</v>
      </c>
      <c r="F567" t="s">
        <v>3682</v>
      </c>
      <c r="G567" t="str">
        <f>IF($H567="","",IFERROR(INDEX(_ENGINE_Risk!$H$5:$M$499,MATCH($E567,_ENGINE_Risk!$A$5:$A$499,0),$H567+1),""))</f>
        <v>Severe risk: workforce inventory by role, location, manager, contract type, employment entity, skill and criticality is not reliably controlled. During Workforce disruption; Pandemic/health crisis; War/security crisis, the organization may face loss of critical knowledge, reduced productivity, unmanaged absenteeism and inability to keep essential work running with limited visibility or accountability.</v>
      </c>
      <c r="H567">
        <f>IFERROR(VALUE(INDEX(_DATA_Assessment_Model!$H$5:$H$884,MATCH($E567,_DATA_Assessment_Model!$A$5:$A$884,0))),"")</f>
        <v>0</v>
      </c>
      <c r="I567" t="str">
        <f>IF($H567="","",IFERROR(INDEX(_DATA_Assessment_Model!$L$5:$L$884,MATCH($E567,_DATA_Assessment_Model!$A$5:$A$884,0)),IF($H567&lt;=1,"Critical",IF($H567=2,"High",IF($H567=3,"Medium",IF($H567=4,"Low","Resilient"))))))</f>
        <v>Critical</v>
      </c>
      <c r="J567">
        <f t="shared" si="60"/>
        <v>3.7</v>
      </c>
      <c r="K567">
        <f t="shared" si="61"/>
        <v>4.3500000000000005</v>
      </c>
      <c r="L567">
        <f t="shared" si="62"/>
        <v>16.095000000000002</v>
      </c>
      <c r="M567">
        <f t="shared" si="63"/>
        <v>4</v>
      </c>
      <c r="N567">
        <f>IF($H567="","",IFERROR(INDEX(_ENGINE_Risk!$T$5:$Y$499,MATCH($E567,_ENGINE_Risk!$A$5:$A$499,0),$H567+1),""))</f>
        <v>3</v>
      </c>
      <c r="O567">
        <f t="shared" si="64"/>
        <v>4.666666666666667</v>
      </c>
      <c r="P567">
        <f t="shared" si="65"/>
        <v>5</v>
      </c>
      <c r="Q567">
        <f t="shared" si="66"/>
        <v>5</v>
      </c>
      <c r="R567">
        <f t="shared" si="67"/>
        <v>4.5</v>
      </c>
      <c r="S567">
        <f t="shared" si="68"/>
        <v>1.6</v>
      </c>
      <c r="T567" t="str">
        <f>IF($H567="","",IFERROR(INDEX(_ENGINE_Risk!$N$5:$S$499,MATCH($E567,_ENGINE_Risk!$A$5:$A$499,0),$H567+1),""))</f>
        <v>Create an immediate risk owner, minimum control baseline and fallback procedure for workforce inventory by role, location, manager, contract type, employment entity, skill and criticality. Add it to the crisis risk register and collect first evidence.</v>
      </c>
      <c r="U567">
        <f>IFERROR(INDEX(_DATA_Assessment_Model!$G$5:$G$884,MATCH($E567,_DATA_Assessment_Model!$A$5:$A$884,0)),"")</f>
        <v>5</v>
      </c>
      <c r="V567">
        <f>IFERROR(INDEX(_DATA_Assessment_Model!$W$5:$W$884,MATCH($E567,_DATA_Assessment_Model!$A$5:$A$884,0)),"")</f>
        <v>4</v>
      </c>
      <c r="W567">
        <f>IFERROR(INDEX(_DATA_Assessment_Model!$X$5:$X$884,MATCH($E567,_DATA_Assessment_Model!$A$5:$A$884,0)),"")</f>
        <v>5</v>
      </c>
      <c r="X567">
        <f>IFERROR(INDEX(_DATA_Assessment_Model!$Y$5:$Y$884,MATCH($E567,_DATA_Assessment_Model!$A$5:$A$884,0)),"")</f>
        <v>5</v>
      </c>
      <c r="Y567" t="s">
        <v>1266</v>
      </c>
      <c r="Z567" t="s">
        <v>5544</v>
      </c>
      <c r="AA567" t="s">
        <v>1265</v>
      </c>
      <c r="AB567">
        <f>IFERROR(INDEX(_DATA_Assessment_Model!$U$5:$U$884,MATCH($E567,_DATA_Assessment_Model!$A$5:$A$884,0)),"")</f>
        <v>0</v>
      </c>
      <c r="AF567" t="s">
        <v>1262</v>
      </c>
      <c r="AO567">
        <f>IF($B567="Yes",IF(IFERROR(INDEX(_ENGINE_Crisis!$F$501:$F$517,MATCH($C567,_ENGINE_Crisis!$A$501:$A$517,0)),1)=0,1,IFERROR(INDEX(_ENGINE_Crisis!$F$501:$F$517,MATCH($C567,_ENGINE_Crisis!$A$501:$A$517,0)),1)),"")</f>
        <v>1</v>
      </c>
      <c r="AP567">
        <f t="shared" si="69"/>
        <v>16.100000000000001</v>
      </c>
      <c r="AQ567">
        <f t="shared" si="70"/>
        <v>1.6</v>
      </c>
      <c r="AR567" t="str">
        <f>IFERROR(INDEX(_ENGINE_Crisis!$E$41:$E$700,MATCH('Resilience &amp; Risk Scenario'!$B$6&amp;"|"&amp;$C567,_ENGINE_Crisis!$I$41:$I$700,0)),"")</f>
        <v/>
      </c>
      <c r="AS567" t="str">
        <f>IFERROR(INDEX(_ENGINE_Crisis!$G$41:$G$700,MATCH('Resilience &amp; Risk Scenario'!$B$6&amp;"|"&amp;$C567,_ENGINE_Crisis!$I$41:$I$700,0)),"")</f>
        <v/>
      </c>
      <c r="AT567" t="str">
        <f>IFERROR(INDEX(_ENGINE_Initiatives!$A$5:$A$532,MATCH(1,INDEX((_ENGINE_Initiatives!$B$5:$B$532=$C567)*(_ENGINE_Initiatives!$C$5:$C$532=$D567),0),0)),"")</f>
        <v>INI-011</v>
      </c>
      <c r="AU567" t="str">
        <f>IFERROR(INDEX(_ENGINE_Initiatives!$F$5:$F$532,MATCH(1,INDEX((_ENGINE_Initiatives!$B$5:$B$532=$C567)*(_ENGINE_Initiatives!$C$5:$C$532=$D567),0),0)),"")</f>
        <v>Create workforce visibility, critical-role and location dashboard</v>
      </c>
      <c r="AV567">
        <f>IFERROR(INDEX(_ENGINE_Initiatives!$AC$5:$AC$532,MATCH(1,INDEX((_ENGINE_Initiatives!$B$5:$B$532=$C567)*(_ENGINE_Initiatives!$C$5:$C$532=$D567),0),0)),"")</f>
        <v>1.77</v>
      </c>
      <c r="AW567" t="str">
        <f>IFERROR(INDEX(_ENGINE_Initiatives!$AE$5:$AE$532,MATCH(1,INDEX((_ENGINE_Initiatives!$B$5:$B$532=$C567)*(_ENGINE_Initiatives!$C$5:$C$532=$D567),0),0)),"")</f>
        <v>3-6 months</v>
      </c>
      <c r="AX567">
        <f>IF($B567="Yes",IFERROR((IF(SUMIFS(_REF_Model_Content!$E$1:$E$613,_REF_Model_Content!$A$1:$A$613,PV_Canonical_Industry,_REF_Model_Content!$B$1:$B$613,$C567)=0,1,SUMIFS(_REF_Model_Content!$E$1:$E$613,_REF_Model_Content!$A$1:$A$613,PV_Canonical_Industry,_REF_Model_Content!$B$1:$B$613,$C567))*IFERROR($BU567,1)),1),"")</f>
        <v>1</v>
      </c>
      <c r="AY567">
        <f t="shared" si="71"/>
        <v>16.100000000000001</v>
      </c>
      <c r="AZ567">
        <f t="shared" si="72"/>
        <v>1.6</v>
      </c>
      <c r="BB567" t="str">
        <f>IF($H567="","",IFERROR(INDEX(_ENGINE_Risk!$AE$5:$AE$499,MATCH($E567,_ENGINE_Risk!$A$5:$A$499,0)),"Medium"))</f>
        <v>Fast</v>
      </c>
      <c r="BC567">
        <f t="shared" si="73"/>
        <v>1.25</v>
      </c>
      <c r="BD567">
        <f t="shared" si="74"/>
        <v>1.6</v>
      </c>
      <c r="BF567">
        <f>IF(OR($H567="",$J567=""),"",IFERROR(VLOOKUP(ROUND($J567,0),_CONFIG_Model_Settings!$D$154:$E$158,2,0),""))</f>
        <v>0.5</v>
      </c>
      <c r="BG567">
        <f>IFERROR(IF(OR($H567="",$K567=""),"",ROUND('Company Profile'!$B$113*INDEX(_CONFIG_Model_Settings!$H$154:$H$158,MATCH(ROUND($K567,0),_CONFIG_Model_Settings!$G$154:$G$158,0)),0)),0)</f>
        <v>875</v>
      </c>
      <c r="BH567">
        <f t="shared" si="75"/>
        <v>437.5</v>
      </c>
      <c r="BI567">
        <f t="shared" si="76"/>
        <v>437.5</v>
      </c>
      <c r="BJ567">
        <f>IF($E567="","",IFERROR(VLOOKUP($C567,_CONFIG_Risk_Calibration!$A$5:$H$21,2,FALSE),3))</f>
        <v>3</v>
      </c>
      <c r="BK567">
        <f>IF($E567="","",IFERROR(VLOOKUP($C567,_CONFIG_Risk_Calibration!$A$5:$H$21,3,FALSE),0))</f>
        <v>0</v>
      </c>
      <c r="BL567">
        <f>IF($E567="","",IFERROR(VLOOKUP($C567,_CONFIG_Risk_Calibration!$A$5:$H$21,4,FALSE),3))</f>
        <v>3</v>
      </c>
      <c r="BM567">
        <f>IF($E567="","",IFERROR(VLOOKUP($C567,_CONFIG_Risk_Calibration!$A$5:$H$21,5,FALSE),3))</f>
        <v>3</v>
      </c>
      <c r="BN567" t="str">
        <f>IF($E567="","",IFERROR(VLOOKUP($C567,_CONFIG_Risk_Calibration!$A$5:$H$21,6,FALSE),"No"))</f>
        <v>No</v>
      </c>
      <c r="BO567">
        <f>IF($E567="","",IFERROR(VLOOKUP($C567,_CONFIG_Risk_Calibration!$A$5:$H$21,7,FALSE),1))</f>
        <v>1</v>
      </c>
      <c r="BP567">
        <f>IF($H567="","",MAX(1,MIN(5,((6-$H567)*0.45)+($BJ567*0.2)+('Resilience &amp; Risk Scenario'!$B$7*0.15)+($BK567*0.1)+($BL567*0.05)+(IF($BB567="Fast",5,IF($BB567="Slow",1,3))*0.05))))</f>
        <v>3.7</v>
      </c>
      <c r="BQ567">
        <f t="shared" si="77"/>
        <v>4.3500000000000005</v>
      </c>
      <c r="BR567">
        <f t="shared" si="78"/>
        <v>16.100000000000001</v>
      </c>
      <c r="BS567">
        <f t="shared" si="79"/>
        <v>20.13</v>
      </c>
      <c r="BT567" t="str">
        <f>IFERROR(INDEX(_REF_Capability_Bridge!$D:$D,MATCH($C567&amp;"|"&amp;$D567,_REF_Capability_Bridge!$J:$J,0)),IFERROR(INDEX(_REF_Capability_Bridge!$D:$D,MATCH($C567&amp;"|",_REF_Capability_Bridge!$J:$J,0)),"CAP_GENERIC"))</f>
        <v>CAP_BACKUP_RECOVERY</v>
      </c>
      <c r="BU567">
        <f>IFERROR(IFERROR(INDEX(_ENGINE_Relevance!$L:$L,MATCH($BT567,_ENGINE_Relevance!$B:$B,0)),1),1)</f>
        <v>1</v>
      </c>
      <c r="BV567" t="str">
        <f>IFERROR(INDEX(_REF_Capability_Bridge!$A:$A,MATCH($C567&amp;"|"&amp;$D567,_REF_Capability_Bridge!$J:$J,0)),IFERROR(INDEX(_REF_Capability_Bridge!$A:$A,MATCH($C567&amp;"|",_REF_Capability_Bridge!$J:$J,0)),"No bridge"))</f>
        <v>BRG-042</v>
      </c>
      <c r="BW567" t="str">
        <f t="shared" si="80"/>
        <v>Capability relevance neutral</v>
      </c>
      <c r="BX567" t="str">
        <f t="shared" si="81"/>
        <v>Initial / absent</v>
      </c>
      <c r="BY567" t="str">
        <f>IF($E567="","",IFERROR(INDEX(_REF_Treatment_Library!$A$2:$A$296,MATCH(1,INDEX((_REF_Treatment_Library!$B$2:$B$296=$BT567)*(_REF_Treatment_Library!$C$2:$C$296=PV_Canonical_Industry)*(_REF_Treatment_Library!$E$2:$E$296&lt;=N($H567))*(_REF_Treatment_Library!$F$2:$F$296&gt;=N($H567))*(_REF_Treatment_Library!$O$2:$O$296="Yes"),0),0)),IFERROR(INDEX(_REF_Treatment_Library!$A$2:$A$296,MATCH(1,INDEX((_REF_Treatment_Library!$B$2:$B$296=$BT567)*(_REF_Treatment_Library!$C$2:$C$296="All")*(_REF_Treatment_Library!$E$2:$E$296&lt;=N($H567))*(_REF_Treatment_Library!$F$2:$F$296&gt;=N($H567))*(_REF_Treatment_Library!$O$2:$O$296="Yes"),0),0)),"")))</f>
        <v>TRT-BACKUP_RECOVERY-INITIAL</v>
      </c>
      <c r="BZ567" t="str">
        <f>IF($BY567="","",IFERROR(INDEX(_REF_Treatment_Library!$H$2:$H$296,MATCH($BY567,_REF_Treatment_Library!$A$2:$A$296,0)),""))</f>
        <v>Establish</v>
      </c>
      <c r="CA567" t="str">
        <f>IF($BY567="","",IFERROR(INDEX(_REF_Treatment_Library!$I$2:$I$296,MATCH($BY567,_REF_Treatment_Library!$A$2:$A$296,0)),""))</f>
        <v>Establish baseline controls for Backup / recovery</v>
      </c>
      <c r="CB567" t="str">
        <f>IF($BY567="","",IFERROR(INDEX(_REF_Treatment_Library!$K$2:$K$296,MATCH($BY567,_REF_Treatment_Library!$A$2:$A$296,0)),""))</f>
        <v>Named owner, baseline process, minimum control checklist, first evidence package</v>
      </c>
      <c r="CC567" t="str">
        <f>IF($BY567="","",IFERROR(INDEX(_REF_Treatment_Library!$L$2:$L$296,MATCH($BY567,_REF_Treatment_Library!$A$2:$A$296,0)),""))</f>
        <v>Owner assigned; baseline evidence coverage; open critical gaps</v>
      </c>
      <c r="CD567" t="str">
        <f t="shared" si="82"/>
        <v>Treatment by capability=CAP_BACKUP_RECOVERY; band=Initial / absent; score=0.0; treatment=Establish</v>
      </c>
      <c r="CE567" t="str">
        <f>IF($E567="","",IFERROR(INDEX(_REF_Industry_Wording!$A$2:$A$70,MATCH(1,INDEX((_REF_Industry_Wording!$B$2:$B$70=$BT567)*(_REF_Industry_Wording!$C$2:$C$70=PV_Canonical_Industry)*(_REF_Industry_Wording!$K$2:$K$70="Yes"),0),0)),IFERROR(INDEX(_REF_Industry_Wording!$A$2:$A$70,MATCH(1,INDEX((_REF_Industry_Wording!$B$2:$B$70=$BT567)*(_REF_Industry_Wording!$C$2:$C$70="All")*(_REF_Industry_Wording!$K$2:$K$70="Yes"),0),0)),"")))</f>
        <v>IW-ALL-BACKUP_RECOVERY</v>
      </c>
      <c r="CF567" t="str">
        <f>IF($CE567="","",IFERROR(INDEX(_REF_Industry_Wording!$E$2:$E$70,MATCH($CE567,_REF_Industry_Wording!$A$2:$A$70,0)),""))</f>
        <v>Backup / recovery weakness</v>
      </c>
      <c r="CG567" t="str">
        <f>IF($CE567="","",IFERROR(INDEX(_REF_Industry_Wording!$F$2:$F$70,MATCH($CE567,_REF_Industry_Wording!$A$2:$A$70,0)),""))</f>
        <v>Strengthen Backup / recovery</v>
      </c>
      <c r="CH567" t="str">
        <f>IF($CE567="","",IFERROR(INDEX(_REF_Industry_Wording!$G$2:$G$70,MATCH($CE567,_REF_Industry_Wording!$A$2:$A$70,0)),""))</f>
        <v>Strengthen Backup / recovery using the selected maturity treatment, crisis scenario and evidence requirements.</v>
      </c>
      <c r="CI567" t="str">
        <f>IF($CE567="","",IFERROR(INDEX(_REF_Industry_Wording!$H$2:$H$70,MATCH($CE567,_REF_Industry_Wording!$A$2:$A$70,0)),""))</f>
        <v>Backup / recovery</v>
      </c>
      <c r="CJ567">
        <f>IF($CE567="","",IFERROR(INDEX(_REF_Industry_Wording!$I$2:$I$70,MATCH($CE567,_REF_Industry_Wording!$A$2:$A$70,0)),""))</f>
        <v>0</v>
      </c>
      <c r="CK567" t="str">
        <f>IF($CE567="","",IFERROR(INDEX(_REF_Industry_Wording!$J$2:$J$70,MATCH($CE567,_REF_Industry_Wording!$A$2:$A$70,0)),""))</f>
        <v>Backup / recovery</v>
      </c>
      <c r="CL567" t="str">
        <f t="shared" si="83"/>
        <v>Wording by industry=0; capability=CAP_BACKUP_RECOVERY; risk label=Backup / recovery weakness</v>
      </c>
      <c r="CM567" t="str">
        <f t="shared" si="84"/>
        <v>RISK-ONT-0068</v>
      </c>
      <c r="CN567" t="str">
        <f t="shared" si="85"/>
        <v>RISK-EVT-0068</v>
      </c>
      <c r="CO567" t="str">
        <f t="shared" si="86"/>
        <v>HR Workforce|Workforce visibility|HRWO-001|CAP_BACKUP_RECOVERY</v>
      </c>
      <c r="CP567" t="str">
        <f t="shared" si="87"/>
        <v>Active</v>
      </c>
      <c r="CQ567" t="str">
        <f t="shared" si="88"/>
        <v>OK: capability-driven</v>
      </c>
      <c r="CR567" t="str">
        <f t="shared" si="89"/>
        <v>Risk ontology uses capability=CAP_BACKUP_RECOVERY; bridge=BRG-042; treatment=TRT-BACKUP_RECOVERY-INITIAL; wording=IW-ALL-BACKUP_RECOVERY</v>
      </c>
      <c r="CS567" t="str">
        <f t="shared" si="90"/>
        <v>Yes</v>
      </c>
    </row>
    <row r="568" spans="1:97" ht="69.900000000000006" customHeight="1">
      <c r="A568">
        <f>IF(OR($B568&lt;&gt;"Yes",$BS568=""),"",SUMPRODUCT(($B$500:$B$923="Yes")*ISNUMBER($BS$500:$BS$923)*($BS$500:$BS$923&gt;$BS568))+COUNTIFS($B$500:$B568,"Yes",$BS$500:$BS568,$BS568))</f>
        <v>114</v>
      </c>
      <c r="B568" t="str">
        <f t="shared" si="59"/>
        <v>Yes</v>
      </c>
      <c r="C568" t="s">
        <v>1259</v>
      </c>
      <c r="D568" t="s">
        <v>1261</v>
      </c>
      <c r="E568" t="s">
        <v>1267</v>
      </c>
      <c r="F568" t="s">
        <v>3682</v>
      </c>
      <c r="G568" t="str">
        <f>IF($H568="","",IFERROR(INDEX(_ENGINE_Risk!$H$5:$M$499,MATCH($E568,_ENGINE_Risk!$A$5:$A$499,0),$H568+1),""))</f>
        <v>Severe risk: critical role mapping by process dependency, customer impact, system access and knowledge concentration is not reliably controlled. During Workforce disruption; Pandemic/health crisis; War/security crisis, the organization may face loss of critical knowledge, reduced productivity, unmanaged absenteeism and inability to keep essential work running with limited visibility or accountability.</v>
      </c>
      <c r="H568">
        <f>IFERROR(VALUE(INDEX(_DATA_Assessment_Model!$H$5:$H$884,MATCH($E568,_DATA_Assessment_Model!$A$5:$A$884,0))),"")</f>
        <v>0</v>
      </c>
      <c r="I568" t="str">
        <f>IF($H568="","",IFERROR(INDEX(_DATA_Assessment_Model!$L$5:$L$884,MATCH($E568,_DATA_Assessment_Model!$A$5:$A$884,0)),IF($H568&lt;=1,"Critical",IF($H568=2,"High",IF($H568=3,"Medium",IF($H568=4,"Low","Resilient"))))))</f>
        <v>Critical</v>
      </c>
      <c r="J568">
        <f t="shared" si="60"/>
        <v>3.7</v>
      </c>
      <c r="K568">
        <f t="shared" si="61"/>
        <v>4.3500000000000005</v>
      </c>
      <c r="L568">
        <f t="shared" si="62"/>
        <v>16.095000000000002</v>
      </c>
      <c r="M568">
        <f t="shared" si="63"/>
        <v>4</v>
      </c>
      <c r="N568">
        <f>IF($H568="","",IFERROR(INDEX(_ENGINE_Risk!$T$5:$Y$499,MATCH($E568,_ENGINE_Risk!$A$5:$A$499,0),$H568+1),""))</f>
        <v>3</v>
      </c>
      <c r="O568">
        <f t="shared" si="64"/>
        <v>4.666666666666667</v>
      </c>
      <c r="P568">
        <f t="shared" si="65"/>
        <v>5</v>
      </c>
      <c r="Q568">
        <f t="shared" si="66"/>
        <v>5</v>
      </c>
      <c r="R568">
        <f t="shared" si="67"/>
        <v>4.5</v>
      </c>
      <c r="S568">
        <f t="shared" si="68"/>
        <v>1.6</v>
      </c>
      <c r="T568" t="str">
        <f>IF($H568="","",IFERROR(INDEX(_ENGINE_Risk!$N$5:$S$499,MATCH($E568,_ENGINE_Risk!$A$5:$A$499,0),$H568+1),""))</f>
        <v>Create an immediate risk owner, minimum control baseline and fallback procedure for critical role mapping by process dependency, customer impact, system access and knowledge concentration. Add it to the crisis risk register and collect first evidence.</v>
      </c>
      <c r="U568">
        <f>IFERROR(INDEX(_DATA_Assessment_Model!$G$5:$G$884,MATCH($E568,_DATA_Assessment_Model!$A$5:$A$884,0)),"")</f>
        <v>5</v>
      </c>
      <c r="V568">
        <f>IFERROR(INDEX(_DATA_Assessment_Model!$W$5:$W$884,MATCH($E568,_DATA_Assessment_Model!$A$5:$A$884,0)),"")</f>
        <v>4</v>
      </c>
      <c r="W568">
        <f>IFERROR(INDEX(_DATA_Assessment_Model!$X$5:$X$884,MATCH($E568,_DATA_Assessment_Model!$A$5:$A$884,0)),"")</f>
        <v>5</v>
      </c>
      <c r="X568">
        <f>IFERROR(INDEX(_DATA_Assessment_Model!$Y$5:$Y$884,MATCH($E568,_DATA_Assessment_Model!$A$5:$A$884,0)),"")</f>
        <v>5</v>
      </c>
      <c r="Y568" t="s">
        <v>1266</v>
      </c>
      <c r="Z568" t="s">
        <v>5544</v>
      </c>
      <c r="AA568" t="s">
        <v>1269</v>
      </c>
      <c r="AB568">
        <f>IFERROR(INDEX(_DATA_Assessment_Model!$U$5:$U$884,MATCH($E568,_DATA_Assessment_Model!$A$5:$A$884,0)),"")</f>
        <v>0</v>
      </c>
      <c r="AF568" t="s">
        <v>1268</v>
      </c>
      <c r="AO568">
        <f>IF($B568="Yes",IF(IFERROR(INDEX(_ENGINE_Crisis!$F$501:$F$517,MATCH($C568,_ENGINE_Crisis!$A$501:$A$517,0)),1)=0,1,IFERROR(INDEX(_ENGINE_Crisis!$F$501:$F$517,MATCH($C568,_ENGINE_Crisis!$A$501:$A$517,0)),1)),"")</f>
        <v>1</v>
      </c>
      <c r="AP568">
        <f t="shared" si="69"/>
        <v>16.100000000000001</v>
      </c>
      <c r="AQ568">
        <f t="shared" si="70"/>
        <v>1.6</v>
      </c>
      <c r="AR568" t="str">
        <f>IFERROR(INDEX(_ENGINE_Crisis!$E$41:$E$700,MATCH('Resilience &amp; Risk Scenario'!$B$6&amp;"|"&amp;$C568,_ENGINE_Crisis!$I$41:$I$700,0)),"")</f>
        <v/>
      </c>
      <c r="AS568" t="str">
        <f>IFERROR(INDEX(_ENGINE_Crisis!$G$41:$G$700,MATCH('Resilience &amp; Risk Scenario'!$B$6&amp;"|"&amp;$C568,_ENGINE_Crisis!$I$41:$I$700,0)),"")</f>
        <v/>
      </c>
      <c r="AT568" t="str">
        <f>IFERROR(INDEX(_ENGINE_Initiatives!$A$5:$A$532,MATCH(1,INDEX((_ENGINE_Initiatives!$B$5:$B$532=$C568)*(_ENGINE_Initiatives!$C$5:$C$532=$D568),0),0)),"")</f>
        <v>INI-011</v>
      </c>
      <c r="AU568" t="str">
        <f>IFERROR(INDEX(_ENGINE_Initiatives!$F$5:$F$532,MATCH(1,INDEX((_ENGINE_Initiatives!$B$5:$B$532=$C568)*(_ENGINE_Initiatives!$C$5:$C$532=$D568),0),0)),"")</f>
        <v>Create workforce visibility, critical-role and location dashboard</v>
      </c>
      <c r="AV568">
        <f>IFERROR(INDEX(_ENGINE_Initiatives!$AC$5:$AC$532,MATCH(1,INDEX((_ENGINE_Initiatives!$B$5:$B$532=$C568)*(_ENGINE_Initiatives!$C$5:$C$532=$D568),0),0)),"")</f>
        <v>1.77</v>
      </c>
      <c r="AW568" t="str">
        <f>IFERROR(INDEX(_ENGINE_Initiatives!$AE$5:$AE$532,MATCH(1,INDEX((_ENGINE_Initiatives!$B$5:$B$532=$C568)*(_ENGINE_Initiatives!$C$5:$C$532=$D568),0),0)),"")</f>
        <v>3-6 months</v>
      </c>
      <c r="AX568">
        <f>IF($B568="Yes",IFERROR((IF(SUMIFS(_REF_Model_Content!$E$1:$E$613,_REF_Model_Content!$A$1:$A$613,PV_Canonical_Industry,_REF_Model_Content!$B$1:$B$613,$C568)=0,1,SUMIFS(_REF_Model_Content!$E$1:$E$613,_REF_Model_Content!$A$1:$A$613,PV_Canonical_Industry,_REF_Model_Content!$B$1:$B$613,$C568))*IFERROR($BU568,1)),1),"")</f>
        <v>1</v>
      </c>
      <c r="AY568">
        <f t="shared" si="71"/>
        <v>16.100000000000001</v>
      </c>
      <c r="AZ568">
        <f t="shared" si="72"/>
        <v>1.6</v>
      </c>
      <c r="BB568" t="str">
        <f>IF($H568="","",IFERROR(INDEX(_ENGINE_Risk!$AE$5:$AE$499,MATCH($E568,_ENGINE_Risk!$A$5:$A$499,0)),"Medium"))</f>
        <v>Fast</v>
      </c>
      <c r="BC568">
        <f t="shared" si="73"/>
        <v>1.25</v>
      </c>
      <c r="BD568">
        <f t="shared" si="74"/>
        <v>1.6</v>
      </c>
      <c r="BF568">
        <f>IF(OR($H568="",$J568=""),"",IFERROR(VLOOKUP(ROUND($J568,0),_CONFIG_Model_Settings!$D$154:$E$158,2,0),""))</f>
        <v>0.5</v>
      </c>
      <c r="BG568">
        <f>IFERROR(IF(OR($H568="",$K568=""),"",ROUND('Company Profile'!$B$113*INDEX(_CONFIG_Model_Settings!$H$154:$H$158,MATCH(ROUND($K568,0),_CONFIG_Model_Settings!$G$154:$G$158,0)),0)),0)</f>
        <v>875</v>
      </c>
      <c r="BH568">
        <f t="shared" si="75"/>
        <v>437.5</v>
      </c>
      <c r="BI568">
        <f t="shared" si="76"/>
        <v>437.5</v>
      </c>
      <c r="BJ568">
        <f>IF($E568="","",IFERROR(VLOOKUP($C568,_CONFIG_Risk_Calibration!$A$5:$H$21,2,FALSE),3))</f>
        <v>3</v>
      </c>
      <c r="BK568">
        <f>IF($E568="","",IFERROR(VLOOKUP($C568,_CONFIG_Risk_Calibration!$A$5:$H$21,3,FALSE),0))</f>
        <v>0</v>
      </c>
      <c r="BL568">
        <f>IF($E568="","",IFERROR(VLOOKUP($C568,_CONFIG_Risk_Calibration!$A$5:$H$21,4,FALSE),3))</f>
        <v>3</v>
      </c>
      <c r="BM568">
        <f>IF($E568="","",IFERROR(VLOOKUP($C568,_CONFIG_Risk_Calibration!$A$5:$H$21,5,FALSE),3))</f>
        <v>3</v>
      </c>
      <c r="BN568" t="str">
        <f>IF($E568="","",IFERROR(VLOOKUP($C568,_CONFIG_Risk_Calibration!$A$5:$H$21,6,FALSE),"No"))</f>
        <v>No</v>
      </c>
      <c r="BO568">
        <f>IF($E568="","",IFERROR(VLOOKUP($C568,_CONFIG_Risk_Calibration!$A$5:$H$21,7,FALSE),1))</f>
        <v>1</v>
      </c>
      <c r="BP568">
        <f>IF($H568="","",MAX(1,MIN(5,((6-$H568)*0.45)+($BJ568*0.2)+('Resilience &amp; Risk Scenario'!$B$7*0.15)+($BK568*0.1)+($BL568*0.05)+(IF($BB568="Fast",5,IF($BB568="Slow",1,3))*0.05))))</f>
        <v>3.7</v>
      </c>
      <c r="BQ568">
        <f t="shared" si="77"/>
        <v>4.3500000000000005</v>
      </c>
      <c r="BR568">
        <f t="shared" si="78"/>
        <v>16.100000000000001</v>
      </c>
      <c r="BS568">
        <f t="shared" si="79"/>
        <v>20.13</v>
      </c>
      <c r="BT568" t="str">
        <f>IFERROR(INDEX(_REF_Capability_Bridge!$D:$D,MATCH($C568&amp;"|"&amp;$D568,_REF_Capability_Bridge!$J:$J,0)),IFERROR(INDEX(_REF_Capability_Bridge!$D:$D,MATCH($C568&amp;"|",_REF_Capability_Bridge!$J:$J,0)),"CAP_GENERIC"))</f>
        <v>CAP_BACKUP_RECOVERY</v>
      </c>
      <c r="BU568">
        <f>IFERROR(IFERROR(INDEX(_ENGINE_Relevance!$L:$L,MATCH($BT568,_ENGINE_Relevance!$B:$B,0)),1),1)</f>
        <v>1</v>
      </c>
      <c r="BV568" t="str">
        <f>IFERROR(INDEX(_REF_Capability_Bridge!$A:$A,MATCH($C568&amp;"|"&amp;$D568,_REF_Capability_Bridge!$J:$J,0)),IFERROR(INDEX(_REF_Capability_Bridge!$A:$A,MATCH($C568&amp;"|",_REF_Capability_Bridge!$J:$J,0)),"No bridge"))</f>
        <v>BRG-042</v>
      </c>
      <c r="BW568" t="str">
        <f t="shared" si="80"/>
        <v>Capability relevance neutral</v>
      </c>
      <c r="BX568" t="str">
        <f t="shared" si="81"/>
        <v>Initial / absent</v>
      </c>
      <c r="BY568" t="str">
        <f>IF($E568="","",IFERROR(INDEX(_REF_Treatment_Library!$A$2:$A$296,MATCH(1,INDEX((_REF_Treatment_Library!$B$2:$B$296=$BT568)*(_REF_Treatment_Library!$C$2:$C$296=PV_Canonical_Industry)*(_REF_Treatment_Library!$E$2:$E$296&lt;=N($H568))*(_REF_Treatment_Library!$F$2:$F$296&gt;=N($H568))*(_REF_Treatment_Library!$O$2:$O$296="Yes"),0),0)),IFERROR(INDEX(_REF_Treatment_Library!$A$2:$A$296,MATCH(1,INDEX((_REF_Treatment_Library!$B$2:$B$296=$BT568)*(_REF_Treatment_Library!$C$2:$C$296="All")*(_REF_Treatment_Library!$E$2:$E$296&lt;=N($H568))*(_REF_Treatment_Library!$F$2:$F$296&gt;=N($H568))*(_REF_Treatment_Library!$O$2:$O$296="Yes"),0),0)),"")))</f>
        <v>TRT-BACKUP_RECOVERY-INITIAL</v>
      </c>
      <c r="BZ568" t="str">
        <f>IF($BY568="","",IFERROR(INDEX(_REF_Treatment_Library!$H$2:$H$296,MATCH($BY568,_REF_Treatment_Library!$A$2:$A$296,0)),""))</f>
        <v>Establish</v>
      </c>
      <c r="CA568" t="str">
        <f>IF($BY568="","",IFERROR(INDEX(_REF_Treatment_Library!$I$2:$I$296,MATCH($BY568,_REF_Treatment_Library!$A$2:$A$296,0)),""))</f>
        <v>Establish baseline controls for Backup / recovery</v>
      </c>
      <c r="CB568" t="str">
        <f>IF($BY568="","",IFERROR(INDEX(_REF_Treatment_Library!$K$2:$K$296,MATCH($BY568,_REF_Treatment_Library!$A$2:$A$296,0)),""))</f>
        <v>Named owner, baseline process, minimum control checklist, first evidence package</v>
      </c>
      <c r="CC568" t="str">
        <f>IF($BY568="","",IFERROR(INDEX(_REF_Treatment_Library!$L$2:$L$296,MATCH($BY568,_REF_Treatment_Library!$A$2:$A$296,0)),""))</f>
        <v>Owner assigned; baseline evidence coverage; open critical gaps</v>
      </c>
      <c r="CD568" t="str">
        <f t="shared" si="82"/>
        <v>Treatment by capability=CAP_BACKUP_RECOVERY; band=Initial / absent; score=0.0; treatment=Establish</v>
      </c>
      <c r="CE568" t="str">
        <f>IF($E568="","",IFERROR(INDEX(_REF_Industry_Wording!$A$2:$A$70,MATCH(1,INDEX((_REF_Industry_Wording!$B$2:$B$70=$BT568)*(_REF_Industry_Wording!$C$2:$C$70=PV_Canonical_Industry)*(_REF_Industry_Wording!$K$2:$K$70="Yes"),0),0)),IFERROR(INDEX(_REF_Industry_Wording!$A$2:$A$70,MATCH(1,INDEX((_REF_Industry_Wording!$B$2:$B$70=$BT568)*(_REF_Industry_Wording!$C$2:$C$70="All")*(_REF_Industry_Wording!$K$2:$K$70="Yes"),0),0)),"")))</f>
        <v>IW-ALL-BACKUP_RECOVERY</v>
      </c>
      <c r="CF568" t="str">
        <f>IF($CE568="","",IFERROR(INDEX(_REF_Industry_Wording!$E$2:$E$70,MATCH($CE568,_REF_Industry_Wording!$A$2:$A$70,0)),""))</f>
        <v>Backup / recovery weakness</v>
      </c>
      <c r="CG568" t="str">
        <f>IF($CE568="","",IFERROR(INDEX(_REF_Industry_Wording!$F$2:$F$70,MATCH($CE568,_REF_Industry_Wording!$A$2:$A$70,0)),""))</f>
        <v>Strengthen Backup / recovery</v>
      </c>
      <c r="CH568" t="str">
        <f>IF($CE568="","",IFERROR(INDEX(_REF_Industry_Wording!$G$2:$G$70,MATCH($CE568,_REF_Industry_Wording!$A$2:$A$70,0)),""))</f>
        <v>Strengthen Backup / recovery using the selected maturity treatment, crisis scenario and evidence requirements.</v>
      </c>
      <c r="CI568" t="str">
        <f>IF($CE568="","",IFERROR(INDEX(_REF_Industry_Wording!$H$2:$H$70,MATCH($CE568,_REF_Industry_Wording!$A$2:$A$70,0)),""))</f>
        <v>Backup / recovery</v>
      </c>
      <c r="CJ568">
        <f>IF($CE568="","",IFERROR(INDEX(_REF_Industry_Wording!$I$2:$I$70,MATCH($CE568,_REF_Industry_Wording!$A$2:$A$70,0)),""))</f>
        <v>0</v>
      </c>
      <c r="CK568" t="str">
        <f>IF($CE568="","",IFERROR(INDEX(_REF_Industry_Wording!$J$2:$J$70,MATCH($CE568,_REF_Industry_Wording!$A$2:$A$70,0)),""))</f>
        <v>Backup / recovery</v>
      </c>
      <c r="CL568" t="str">
        <f t="shared" si="83"/>
        <v>Wording by industry=0; capability=CAP_BACKUP_RECOVERY; risk label=Backup / recovery weakness</v>
      </c>
      <c r="CM568" t="str">
        <f t="shared" si="84"/>
        <v>RISK-ONT-0069</v>
      </c>
      <c r="CN568" t="str">
        <f t="shared" si="85"/>
        <v>RISK-EVT-0069</v>
      </c>
      <c r="CO568" t="str">
        <f t="shared" si="86"/>
        <v>HR Workforce|Workforce visibility|HRWO-002|CAP_BACKUP_RECOVERY</v>
      </c>
      <c r="CP568" t="str">
        <f t="shared" si="87"/>
        <v>Active</v>
      </c>
      <c r="CQ568" t="str">
        <f t="shared" si="88"/>
        <v>OK: capability-driven</v>
      </c>
      <c r="CR568" t="str">
        <f t="shared" si="89"/>
        <v>Risk ontology uses capability=CAP_BACKUP_RECOVERY; bridge=BRG-042; treatment=TRT-BACKUP_RECOVERY-INITIAL; wording=IW-ALL-BACKUP_RECOVERY</v>
      </c>
      <c r="CS568" t="str">
        <f t="shared" si="90"/>
        <v>Yes</v>
      </c>
    </row>
    <row r="569" spans="1:97" ht="69.900000000000006" customHeight="1">
      <c r="A569">
        <f>IF(OR($B569&lt;&gt;"Yes",$BS569=""),"",SUMPRODUCT(($B$500:$B$923="Yes")*ISNUMBER($BS$500:$BS$923)*($BS$500:$BS$923&gt;$BS569))+COUNTIFS($B$500:$B569,"Yes",$BS$500:$BS569,$BS569))</f>
        <v>115</v>
      </c>
      <c r="B569" t="str">
        <f t="shared" si="59"/>
        <v>Yes</v>
      </c>
      <c r="C569" t="s">
        <v>1259</v>
      </c>
      <c r="D569" t="s">
        <v>1261</v>
      </c>
      <c r="E569" t="s">
        <v>1271</v>
      </c>
      <c r="F569" t="s">
        <v>3682</v>
      </c>
      <c r="G569" t="str">
        <f>IF($H569="","",IFERROR(INDEX(_ENGINE_Risk!$H$5:$M$499,MATCH($E569,_ENGINE_Risk!$A$5:$A$499,0),$H569+1),""))</f>
        <v>Severe risk: key-person risk for executives, founders, architects, plant specialists, client owners and finance signatories is not reliably controlled. During Workforce disruption; Pandemic/health crisis; War/security crisis, the organization may face loss of critical knowledge, reduced productivity, unmanaged absenteeism and inability to keep essential work running with limited visibility or accountability.</v>
      </c>
      <c r="H569">
        <f>IFERROR(VALUE(INDEX(_DATA_Assessment_Model!$H$5:$H$884,MATCH($E569,_DATA_Assessment_Model!$A$5:$A$884,0))),"")</f>
        <v>0</v>
      </c>
      <c r="I569" t="str">
        <f>IF($H569="","",IFERROR(INDEX(_DATA_Assessment_Model!$L$5:$L$884,MATCH($E569,_DATA_Assessment_Model!$A$5:$A$884,0)),IF($H569&lt;=1,"Critical",IF($H569=2,"High",IF($H569=3,"Medium",IF($H569=4,"Low","Resilient"))))))</f>
        <v>Critical</v>
      </c>
      <c r="J569">
        <f t="shared" si="60"/>
        <v>3.7</v>
      </c>
      <c r="K569">
        <f t="shared" si="61"/>
        <v>4.3500000000000005</v>
      </c>
      <c r="L569">
        <f t="shared" si="62"/>
        <v>16.095000000000002</v>
      </c>
      <c r="M569">
        <f t="shared" si="63"/>
        <v>4</v>
      </c>
      <c r="N569">
        <f>IF($H569="","",IFERROR(INDEX(_ENGINE_Risk!$T$5:$Y$499,MATCH($E569,_ENGINE_Risk!$A$5:$A$499,0),$H569+1),""))</f>
        <v>3</v>
      </c>
      <c r="O569">
        <f t="shared" si="64"/>
        <v>4.666666666666667</v>
      </c>
      <c r="P569">
        <f t="shared" si="65"/>
        <v>5</v>
      </c>
      <c r="Q569">
        <f t="shared" si="66"/>
        <v>5</v>
      </c>
      <c r="R569">
        <f t="shared" si="67"/>
        <v>4.5</v>
      </c>
      <c r="S569">
        <f t="shared" si="68"/>
        <v>1.6</v>
      </c>
      <c r="T569" t="str">
        <f>IF($H569="","",IFERROR(INDEX(_ENGINE_Risk!$N$5:$S$499,MATCH($E569,_ENGINE_Risk!$A$5:$A$499,0),$H569+1),""))</f>
        <v>Create an immediate risk owner, minimum control baseline and fallback procedure for key-person risk for executives, founders, architects, plant specialists, client owners and finance signatories. Add it to the crisis risk register and collect first evidence.</v>
      </c>
      <c r="U569">
        <f>IFERROR(INDEX(_DATA_Assessment_Model!$G$5:$G$884,MATCH($E569,_DATA_Assessment_Model!$A$5:$A$884,0)),"")</f>
        <v>5</v>
      </c>
      <c r="V569">
        <f>IFERROR(INDEX(_DATA_Assessment_Model!$W$5:$W$884,MATCH($E569,_DATA_Assessment_Model!$A$5:$A$884,0)),"")</f>
        <v>4</v>
      </c>
      <c r="W569">
        <f>IFERROR(INDEX(_DATA_Assessment_Model!$X$5:$X$884,MATCH($E569,_DATA_Assessment_Model!$A$5:$A$884,0)),"")</f>
        <v>5</v>
      </c>
      <c r="X569">
        <f>IFERROR(INDEX(_DATA_Assessment_Model!$Y$5:$Y$884,MATCH($E569,_DATA_Assessment_Model!$A$5:$A$884,0)),"")</f>
        <v>5</v>
      </c>
      <c r="Y569" t="s">
        <v>1266</v>
      </c>
      <c r="Z569" t="s">
        <v>5544</v>
      </c>
      <c r="AA569" t="s">
        <v>1273</v>
      </c>
      <c r="AB569">
        <f>IFERROR(INDEX(_DATA_Assessment_Model!$U$5:$U$884,MATCH($E569,_DATA_Assessment_Model!$A$5:$A$884,0)),"")</f>
        <v>0</v>
      </c>
      <c r="AF569" t="s">
        <v>1272</v>
      </c>
      <c r="AO569">
        <f>IF($B569="Yes",IF(IFERROR(INDEX(_ENGINE_Crisis!$F$501:$F$517,MATCH($C569,_ENGINE_Crisis!$A$501:$A$517,0)),1)=0,1,IFERROR(INDEX(_ENGINE_Crisis!$F$501:$F$517,MATCH($C569,_ENGINE_Crisis!$A$501:$A$517,0)),1)),"")</f>
        <v>1</v>
      </c>
      <c r="AP569">
        <f t="shared" si="69"/>
        <v>16.100000000000001</v>
      </c>
      <c r="AQ569">
        <f t="shared" si="70"/>
        <v>1.6</v>
      </c>
      <c r="AR569" t="str">
        <f>IFERROR(INDEX(_ENGINE_Crisis!$E$41:$E$700,MATCH('Resilience &amp; Risk Scenario'!$B$6&amp;"|"&amp;$C569,_ENGINE_Crisis!$I$41:$I$700,0)),"")</f>
        <v/>
      </c>
      <c r="AS569" t="str">
        <f>IFERROR(INDEX(_ENGINE_Crisis!$G$41:$G$700,MATCH('Resilience &amp; Risk Scenario'!$B$6&amp;"|"&amp;$C569,_ENGINE_Crisis!$I$41:$I$700,0)),"")</f>
        <v/>
      </c>
      <c r="AT569" t="str">
        <f>IFERROR(INDEX(_ENGINE_Initiatives!$A$5:$A$532,MATCH(1,INDEX((_ENGINE_Initiatives!$B$5:$B$532=$C569)*(_ENGINE_Initiatives!$C$5:$C$532=$D569),0),0)),"")</f>
        <v>INI-011</v>
      </c>
      <c r="AU569" t="str">
        <f>IFERROR(INDEX(_ENGINE_Initiatives!$F$5:$F$532,MATCH(1,INDEX((_ENGINE_Initiatives!$B$5:$B$532=$C569)*(_ENGINE_Initiatives!$C$5:$C$532=$D569),0),0)),"")</f>
        <v>Create workforce visibility, critical-role and location dashboard</v>
      </c>
      <c r="AV569">
        <f>IFERROR(INDEX(_ENGINE_Initiatives!$AC$5:$AC$532,MATCH(1,INDEX((_ENGINE_Initiatives!$B$5:$B$532=$C569)*(_ENGINE_Initiatives!$C$5:$C$532=$D569),0),0)),"")</f>
        <v>1.77</v>
      </c>
      <c r="AW569" t="str">
        <f>IFERROR(INDEX(_ENGINE_Initiatives!$AE$5:$AE$532,MATCH(1,INDEX((_ENGINE_Initiatives!$B$5:$B$532=$C569)*(_ENGINE_Initiatives!$C$5:$C$532=$D569),0),0)),"")</f>
        <v>3-6 months</v>
      </c>
      <c r="AX569">
        <f>IF($B569="Yes",IFERROR((IF(SUMIFS(_REF_Model_Content!$E$1:$E$613,_REF_Model_Content!$A$1:$A$613,PV_Canonical_Industry,_REF_Model_Content!$B$1:$B$613,$C569)=0,1,SUMIFS(_REF_Model_Content!$E$1:$E$613,_REF_Model_Content!$A$1:$A$613,PV_Canonical_Industry,_REF_Model_Content!$B$1:$B$613,$C569))*IFERROR($BU569,1)),1),"")</f>
        <v>1</v>
      </c>
      <c r="AY569">
        <f t="shared" si="71"/>
        <v>16.100000000000001</v>
      </c>
      <c r="AZ569">
        <f t="shared" si="72"/>
        <v>1.6</v>
      </c>
      <c r="BB569" t="str">
        <f>IF($H569="","",IFERROR(INDEX(_ENGINE_Risk!$AE$5:$AE$499,MATCH($E569,_ENGINE_Risk!$A$5:$A$499,0)),"Medium"))</f>
        <v>Fast</v>
      </c>
      <c r="BC569">
        <f t="shared" si="73"/>
        <v>1.25</v>
      </c>
      <c r="BD569">
        <f t="shared" si="74"/>
        <v>1.6</v>
      </c>
      <c r="BF569">
        <f>IF(OR($H569="",$J569=""),"",IFERROR(VLOOKUP(ROUND($J569,0),_CONFIG_Model_Settings!$D$154:$E$158,2,0),""))</f>
        <v>0.5</v>
      </c>
      <c r="BG569">
        <f>IFERROR(IF(OR($H569="",$K569=""),"",ROUND('Company Profile'!$B$113*INDEX(_CONFIG_Model_Settings!$H$154:$H$158,MATCH(ROUND($K569,0),_CONFIG_Model_Settings!$G$154:$G$158,0)),0)),0)</f>
        <v>875</v>
      </c>
      <c r="BH569">
        <f t="shared" si="75"/>
        <v>437.5</v>
      </c>
      <c r="BI569">
        <f t="shared" si="76"/>
        <v>437.5</v>
      </c>
      <c r="BJ569">
        <f>IF($E569="","",IFERROR(VLOOKUP($C569,_CONFIG_Risk_Calibration!$A$5:$H$21,2,FALSE),3))</f>
        <v>3</v>
      </c>
      <c r="BK569">
        <f>IF($E569="","",IFERROR(VLOOKUP($C569,_CONFIG_Risk_Calibration!$A$5:$H$21,3,FALSE),0))</f>
        <v>0</v>
      </c>
      <c r="BL569">
        <f>IF($E569="","",IFERROR(VLOOKUP($C569,_CONFIG_Risk_Calibration!$A$5:$H$21,4,FALSE),3))</f>
        <v>3</v>
      </c>
      <c r="BM569">
        <f>IF($E569="","",IFERROR(VLOOKUP($C569,_CONFIG_Risk_Calibration!$A$5:$H$21,5,FALSE),3))</f>
        <v>3</v>
      </c>
      <c r="BN569" t="str">
        <f>IF($E569="","",IFERROR(VLOOKUP($C569,_CONFIG_Risk_Calibration!$A$5:$H$21,6,FALSE),"No"))</f>
        <v>No</v>
      </c>
      <c r="BO569">
        <f>IF($E569="","",IFERROR(VLOOKUP($C569,_CONFIG_Risk_Calibration!$A$5:$H$21,7,FALSE),1))</f>
        <v>1</v>
      </c>
      <c r="BP569">
        <f>IF($H569="","",MAX(1,MIN(5,((6-$H569)*0.45)+($BJ569*0.2)+('Resilience &amp; Risk Scenario'!$B$7*0.15)+($BK569*0.1)+($BL569*0.05)+(IF($BB569="Fast",5,IF($BB569="Slow",1,3))*0.05))))</f>
        <v>3.7</v>
      </c>
      <c r="BQ569">
        <f t="shared" si="77"/>
        <v>4.3500000000000005</v>
      </c>
      <c r="BR569">
        <f t="shared" si="78"/>
        <v>16.100000000000001</v>
      </c>
      <c r="BS569">
        <f t="shared" si="79"/>
        <v>20.13</v>
      </c>
      <c r="BT569" t="str">
        <f>IFERROR(INDEX(_REF_Capability_Bridge!$D:$D,MATCH($C569&amp;"|"&amp;$D569,_REF_Capability_Bridge!$J:$J,0)),IFERROR(INDEX(_REF_Capability_Bridge!$D:$D,MATCH($C569&amp;"|",_REF_Capability_Bridge!$J:$J,0)),"CAP_GENERIC"))</f>
        <v>CAP_BACKUP_RECOVERY</v>
      </c>
      <c r="BU569">
        <f>IFERROR(IFERROR(INDEX(_ENGINE_Relevance!$L:$L,MATCH($BT569,_ENGINE_Relevance!$B:$B,0)),1),1)</f>
        <v>1</v>
      </c>
      <c r="BV569" t="str">
        <f>IFERROR(INDEX(_REF_Capability_Bridge!$A:$A,MATCH($C569&amp;"|"&amp;$D569,_REF_Capability_Bridge!$J:$J,0)),IFERROR(INDEX(_REF_Capability_Bridge!$A:$A,MATCH($C569&amp;"|",_REF_Capability_Bridge!$J:$J,0)),"No bridge"))</f>
        <v>BRG-042</v>
      </c>
      <c r="BW569" t="str">
        <f t="shared" si="80"/>
        <v>Capability relevance neutral</v>
      </c>
      <c r="BX569" t="str">
        <f t="shared" si="81"/>
        <v>Initial / absent</v>
      </c>
      <c r="BY569" t="str">
        <f>IF($E569="","",IFERROR(INDEX(_REF_Treatment_Library!$A$2:$A$296,MATCH(1,INDEX((_REF_Treatment_Library!$B$2:$B$296=$BT569)*(_REF_Treatment_Library!$C$2:$C$296=PV_Canonical_Industry)*(_REF_Treatment_Library!$E$2:$E$296&lt;=N($H569))*(_REF_Treatment_Library!$F$2:$F$296&gt;=N($H569))*(_REF_Treatment_Library!$O$2:$O$296="Yes"),0),0)),IFERROR(INDEX(_REF_Treatment_Library!$A$2:$A$296,MATCH(1,INDEX((_REF_Treatment_Library!$B$2:$B$296=$BT569)*(_REF_Treatment_Library!$C$2:$C$296="All")*(_REF_Treatment_Library!$E$2:$E$296&lt;=N($H569))*(_REF_Treatment_Library!$F$2:$F$296&gt;=N($H569))*(_REF_Treatment_Library!$O$2:$O$296="Yes"),0),0)),"")))</f>
        <v>TRT-BACKUP_RECOVERY-INITIAL</v>
      </c>
      <c r="BZ569" t="str">
        <f>IF($BY569="","",IFERROR(INDEX(_REF_Treatment_Library!$H$2:$H$296,MATCH($BY569,_REF_Treatment_Library!$A$2:$A$296,0)),""))</f>
        <v>Establish</v>
      </c>
      <c r="CA569" t="str">
        <f>IF($BY569="","",IFERROR(INDEX(_REF_Treatment_Library!$I$2:$I$296,MATCH($BY569,_REF_Treatment_Library!$A$2:$A$296,0)),""))</f>
        <v>Establish baseline controls for Backup / recovery</v>
      </c>
      <c r="CB569" t="str">
        <f>IF($BY569="","",IFERROR(INDEX(_REF_Treatment_Library!$K$2:$K$296,MATCH($BY569,_REF_Treatment_Library!$A$2:$A$296,0)),""))</f>
        <v>Named owner, baseline process, minimum control checklist, first evidence package</v>
      </c>
      <c r="CC569" t="str">
        <f>IF($BY569="","",IFERROR(INDEX(_REF_Treatment_Library!$L$2:$L$296,MATCH($BY569,_REF_Treatment_Library!$A$2:$A$296,0)),""))</f>
        <v>Owner assigned; baseline evidence coverage; open critical gaps</v>
      </c>
      <c r="CD569" t="str">
        <f t="shared" si="82"/>
        <v>Treatment by capability=CAP_BACKUP_RECOVERY; band=Initial / absent; score=0.0; treatment=Establish</v>
      </c>
      <c r="CE569" t="str">
        <f>IF($E569="","",IFERROR(INDEX(_REF_Industry_Wording!$A$2:$A$70,MATCH(1,INDEX((_REF_Industry_Wording!$B$2:$B$70=$BT569)*(_REF_Industry_Wording!$C$2:$C$70=PV_Canonical_Industry)*(_REF_Industry_Wording!$K$2:$K$70="Yes"),0),0)),IFERROR(INDEX(_REF_Industry_Wording!$A$2:$A$70,MATCH(1,INDEX((_REF_Industry_Wording!$B$2:$B$70=$BT569)*(_REF_Industry_Wording!$C$2:$C$70="All")*(_REF_Industry_Wording!$K$2:$K$70="Yes"),0),0)),"")))</f>
        <v>IW-ALL-BACKUP_RECOVERY</v>
      </c>
      <c r="CF569" t="str">
        <f>IF($CE569="","",IFERROR(INDEX(_REF_Industry_Wording!$E$2:$E$70,MATCH($CE569,_REF_Industry_Wording!$A$2:$A$70,0)),""))</f>
        <v>Backup / recovery weakness</v>
      </c>
      <c r="CG569" t="str">
        <f>IF($CE569="","",IFERROR(INDEX(_REF_Industry_Wording!$F$2:$F$70,MATCH($CE569,_REF_Industry_Wording!$A$2:$A$70,0)),""))</f>
        <v>Strengthen Backup / recovery</v>
      </c>
      <c r="CH569" t="str">
        <f>IF($CE569="","",IFERROR(INDEX(_REF_Industry_Wording!$G$2:$G$70,MATCH($CE569,_REF_Industry_Wording!$A$2:$A$70,0)),""))</f>
        <v>Strengthen Backup / recovery using the selected maturity treatment, crisis scenario and evidence requirements.</v>
      </c>
      <c r="CI569" t="str">
        <f>IF($CE569="","",IFERROR(INDEX(_REF_Industry_Wording!$H$2:$H$70,MATCH($CE569,_REF_Industry_Wording!$A$2:$A$70,0)),""))</f>
        <v>Backup / recovery</v>
      </c>
      <c r="CJ569">
        <f>IF($CE569="","",IFERROR(INDEX(_REF_Industry_Wording!$I$2:$I$70,MATCH($CE569,_REF_Industry_Wording!$A$2:$A$70,0)),""))</f>
        <v>0</v>
      </c>
      <c r="CK569" t="str">
        <f>IF($CE569="","",IFERROR(INDEX(_REF_Industry_Wording!$J$2:$J$70,MATCH($CE569,_REF_Industry_Wording!$A$2:$A$70,0)),""))</f>
        <v>Backup / recovery</v>
      </c>
      <c r="CL569" t="str">
        <f t="shared" si="83"/>
        <v>Wording by industry=0; capability=CAP_BACKUP_RECOVERY; risk label=Backup / recovery weakness</v>
      </c>
      <c r="CM569" t="str">
        <f t="shared" si="84"/>
        <v>RISK-ONT-0070</v>
      </c>
      <c r="CN569" t="str">
        <f t="shared" si="85"/>
        <v>RISK-EVT-0070</v>
      </c>
      <c r="CO569" t="str">
        <f t="shared" si="86"/>
        <v>HR Workforce|Workforce visibility|HRWO-003|CAP_BACKUP_RECOVERY</v>
      </c>
      <c r="CP569" t="str">
        <f t="shared" si="87"/>
        <v>Active</v>
      </c>
      <c r="CQ569" t="str">
        <f t="shared" si="88"/>
        <v>OK: capability-driven</v>
      </c>
      <c r="CR569" t="str">
        <f t="shared" si="89"/>
        <v>Risk ontology uses capability=CAP_BACKUP_RECOVERY; bridge=BRG-042; treatment=TRT-BACKUP_RECOVERY-INITIAL; wording=IW-ALL-BACKUP_RECOVERY</v>
      </c>
      <c r="CS569" t="str">
        <f t="shared" si="90"/>
        <v>Yes</v>
      </c>
    </row>
    <row r="570" spans="1:97" ht="69.900000000000006" customHeight="1">
      <c r="A570">
        <f>IF(OR($B570&lt;&gt;"Yes",$BS570=""),"",SUMPRODUCT(($B$500:$B$923="Yes")*ISNUMBER($BS$500:$BS$923)*($BS$500:$BS$923&gt;$BS570))+COUNTIFS($B$500:$B570,"Yes",$BS$500:$BS570,$BS570))</f>
        <v>105</v>
      </c>
      <c r="B570" t="str">
        <f t="shared" si="59"/>
        <v>Yes</v>
      </c>
      <c r="C570" t="s">
        <v>1259</v>
      </c>
      <c r="D570" t="s">
        <v>1261</v>
      </c>
      <c r="E570" t="s">
        <v>1275</v>
      </c>
      <c r="F570" t="s">
        <v>3682</v>
      </c>
      <c r="G570" t="str">
        <f>IF($H570="","",IFERROR(INDEX(_ENGINE_Risk!$H$5:$M$499,MATCH($E570,_ENGINE_Risk!$A$5:$A$499,0),$H570+1),""))</f>
        <v>Severe risk: skills matrix linked to critical processes, systems, products, sites and backup coverage is not reliably controlled. During Workforce disruption; Pandemic/health crisis; War/security crisis, the organization may face loss of critical knowledge, reduced productivity, unmanaged absenteeism and inability to keep essential work running with limited visibility or accountability.</v>
      </c>
      <c r="H570">
        <f>IFERROR(VALUE(INDEX(_DATA_Assessment_Model!$H$5:$H$884,MATCH($E570,_DATA_Assessment_Model!$A$5:$A$884,0))),"")</f>
        <v>0</v>
      </c>
      <c r="I570" t="str">
        <f>IF($H570="","",IFERROR(INDEX(_DATA_Assessment_Model!$L$5:$L$884,MATCH($E570,_DATA_Assessment_Model!$A$5:$A$884,0)),IF($H570&lt;=1,"Critical",IF($H570=2,"High",IF($H570=3,"Medium",IF($H570=4,"Low","Resilient"))))))</f>
        <v>Critical</v>
      </c>
      <c r="J570">
        <f t="shared" si="60"/>
        <v>3.7</v>
      </c>
      <c r="K570">
        <f t="shared" si="61"/>
        <v>4.5</v>
      </c>
      <c r="L570">
        <f t="shared" si="62"/>
        <v>16.650000000000002</v>
      </c>
      <c r="M570">
        <f t="shared" si="63"/>
        <v>4</v>
      </c>
      <c r="N570">
        <f>IF($H570="","",IFERROR(INDEX(_ENGINE_Risk!$T$5:$Y$499,MATCH($E570,_ENGINE_Risk!$A$5:$A$499,0),$H570+1),""))</f>
        <v>3</v>
      </c>
      <c r="O570">
        <f t="shared" si="64"/>
        <v>5</v>
      </c>
      <c r="P570">
        <f t="shared" si="65"/>
        <v>5</v>
      </c>
      <c r="Q570">
        <f t="shared" si="66"/>
        <v>5</v>
      </c>
      <c r="R570">
        <f t="shared" si="67"/>
        <v>5</v>
      </c>
      <c r="S570">
        <f t="shared" si="68"/>
        <v>1.67</v>
      </c>
      <c r="T570" t="str">
        <f>IF($H570="","",IFERROR(INDEX(_ENGINE_Risk!$N$5:$S$499,MATCH($E570,_ENGINE_Risk!$A$5:$A$499,0),$H570+1),""))</f>
        <v>Create an immediate risk owner, minimum control baseline and fallback procedure for skills matrix linked to critical processes, systems, products, sites and backup coverage. Add it to the crisis risk register and collect first evidence.</v>
      </c>
      <c r="U570">
        <f>IFERROR(INDEX(_DATA_Assessment_Model!$G$5:$G$884,MATCH($E570,_DATA_Assessment_Model!$A$5:$A$884,0)),"")</f>
        <v>5</v>
      </c>
      <c r="V570">
        <f>IFERROR(INDEX(_DATA_Assessment_Model!$W$5:$W$884,MATCH($E570,_DATA_Assessment_Model!$A$5:$A$884,0)),"")</f>
        <v>5</v>
      </c>
      <c r="W570">
        <f>IFERROR(INDEX(_DATA_Assessment_Model!$X$5:$X$884,MATCH($E570,_DATA_Assessment_Model!$A$5:$A$884,0)),"")</f>
        <v>5</v>
      </c>
      <c r="X570">
        <f>IFERROR(INDEX(_DATA_Assessment_Model!$Y$5:$Y$884,MATCH($E570,_DATA_Assessment_Model!$A$5:$A$884,0)),"")</f>
        <v>5</v>
      </c>
      <c r="Y570" t="s">
        <v>1266</v>
      </c>
      <c r="Z570" t="s">
        <v>5544</v>
      </c>
      <c r="AA570" t="s">
        <v>1277</v>
      </c>
      <c r="AB570">
        <f>IFERROR(INDEX(_DATA_Assessment_Model!$U$5:$U$884,MATCH($E570,_DATA_Assessment_Model!$A$5:$A$884,0)),"")</f>
        <v>0</v>
      </c>
      <c r="AF570" t="s">
        <v>1276</v>
      </c>
      <c r="AO570">
        <f>IF($B570="Yes",IF(IFERROR(INDEX(_ENGINE_Crisis!$F$501:$F$517,MATCH($C570,_ENGINE_Crisis!$A$501:$A$517,0)),1)=0,1,IFERROR(INDEX(_ENGINE_Crisis!$F$501:$F$517,MATCH($C570,_ENGINE_Crisis!$A$501:$A$517,0)),1)),"")</f>
        <v>1</v>
      </c>
      <c r="AP570">
        <f t="shared" si="69"/>
        <v>16.7</v>
      </c>
      <c r="AQ570">
        <f t="shared" si="70"/>
        <v>1.67</v>
      </c>
      <c r="AR570" t="str">
        <f>IFERROR(INDEX(_ENGINE_Crisis!$E$41:$E$700,MATCH('Resilience &amp; Risk Scenario'!$B$6&amp;"|"&amp;$C570,_ENGINE_Crisis!$I$41:$I$700,0)),"")</f>
        <v/>
      </c>
      <c r="AS570" t="str">
        <f>IFERROR(INDEX(_ENGINE_Crisis!$G$41:$G$700,MATCH('Resilience &amp; Risk Scenario'!$B$6&amp;"|"&amp;$C570,_ENGINE_Crisis!$I$41:$I$700,0)),"")</f>
        <v/>
      </c>
      <c r="AT570" t="str">
        <f>IFERROR(INDEX(_ENGINE_Initiatives!$A$5:$A$532,MATCH(1,INDEX((_ENGINE_Initiatives!$B$5:$B$532=$C570)*(_ENGINE_Initiatives!$C$5:$C$532=$D570),0),0)),"")</f>
        <v>INI-011</v>
      </c>
      <c r="AU570" t="str">
        <f>IFERROR(INDEX(_ENGINE_Initiatives!$F$5:$F$532,MATCH(1,INDEX((_ENGINE_Initiatives!$B$5:$B$532=$C570)*(_ENGINE_Initiatives!$C$5:$C$532=$D570),0),0)),"")</f>
        <v>Create workforce visibility, critical-role and location dashboard</v>
      </c>
      <c r="AV570">
        <f>IFERROR(INDEX(_ENGINE_Initiatives!$AC$5:$AC$532,MATCH(1,INDEX((_ENGINE_Initiatives!$B$5:$B$532=$C570)*(_ENGINE_Initiatives!$C$5:$C$532=$D570),0),0)),"")</f>
        <v>1.77</v>
      </c>
      <c r="AW570" t="str">
        <f>IFERROR(INDEX(_ENGINE_Initiatives!$AE$5:$AE$532,MATCH(1,INDEX((_ENGINE_Initiatives!$B$5:$B$532=$C570)*(_ENGINE_Initiatives!$C$5:$C$532=$D570),0),0)),"")</f>
        <v>3-6 months</v>
      </c>
      <c r="AX570">
        <f>IF($B570="Yes",IFERROR((IF(SUMIFS(_REF_Model_Content!$E$1:$E$613,_REF_Model_Content!$A$1:$A$613,PV_Canonical_Industry,_REF_Model_Content!$B$1:$B$613,$C570)=0,1,SUMIFS(_REF_Model_Content!$E$1:$E$613,_REF_Model_Content!$A$1:$A$613,PV_Canonical_Industry,_REF_Model_Content!$B$1:$B$613,$C570))*IFERROR($BU570,1)),1),"")</f>
        <v>1</v>
      </c>
      <c r="AY570">
        <f t="shared" si="71"/>
        <v>16.7</v>
      </c>
      <c r="AZ570">
        <f t="shared" si="72"/>
        <v>1.67</v>
      </c>
      <c r="BB570" t="str">
        <f>IF($H570="","",IFERROR(INDEX(_ENGINE_Risk!$AE$5:$AE$499,MATCH($E570,_ENGINE_Risk!$A$5:$A$499,0)),"Medium"))</f>
        <v>Fast</v>
      </c>
      <c r="BC570">
        <f t="shared" si="73"/>
        <v>1.25</v>
      </c>
      <c r="BD570">
        <f t="shared" si="74"/>
        <v>1.67</v>
      </c>
      <c r="BF570">
        <f>IF(OR($H570="",$J570=""),"",IFERROR(VLOOKUP(ROUND($J570,0),_CONFIG_Model_Settings!$D$154:$E$158,2,0),""))</f>
        <v>0.5</v>
      </c>
      <c r="BG570">
        <f>IFERROR(IF(OR($H570="",$K570=""),"",ROUND('Company Profile'!$B$113*INDEX(_CONFIG_Model_Settings!$H$154:$H$158,MATCH(ROUND($K570,0),_CONFIG_Model_Settings!$G$154:$G$158,0)),0)),0)</f>
        <v>1875</v>
      </c>
      <c r="BH570">
        <f t="shared" si="75"/>
        <v>937.5</v>
      </c>
      <c r="BI570">
        <f t="shared" si="76"/>
        <v>937.5</v>
      </c>
      <c r="BJ570">
        <f>IF($E570="","",IFERROR(VLOOKUP($C570,_CONFIG_Risk_Calibration!$A$5:$H$21,2,FALSE),3))</f>
        <v>3</v>
      </c>
      <c r="BK570">
        <f>IF($E570="","",IFERROR(VLOOKUP($C570,_CONFIG_Risk_Calibration!$A$5:$H$21,3,FALSE),0))</f>
        <v>0</v>
      </c>
      <c r="BL570">
        <f>IF($E570="","",IFERROR(VLOOKUP($C570,_CONFIG_Risk_Calibration!$A$5:$H$21,4,FALSE),3))</f>
        <v>3</v>
      </c>
      <c r="BM570">
        <f>IF($E570="","",IFERROR(VLOOKUP($C570,_CONFIG_Risk_Calibration!$A$5:$H$21,5,FALSE),3))</f>
        <v>3</v>
      </c>
      <c r="BN570" t="str">
        <f>IF($E570="","",IFERROR(VLOOKUP($C570,_CONFIG_Risk_Calibration!$A$5:$H$21,6,FALSE),"No"))</f>
        <v>No</v>
      </c>
      <c r="BO570">
        <f>IF($E570="","",IFERROR(VLOOKUP($C570,_CONFIG_Risk_Calibration!$A$5:$H$21,7,FALSE),1))</f>
        <v>1</v>
      </c>
      <c r="BP570">
        <f>IF($H570="","",MAX(1,MIN(5,((6-$H570)*0.45)+($BJ570*0.2)+('Resilience &amp; Risk Scenario'!$B$7*0.15)+($BK570*0.1)+($BL570*0.05)+(IF($BB570="Fast",5,IF($BB570="Slow",1,3))*0.05))))</f>
        <v>3.7</v>
      </c>
      <c r="BQ570">
        <f t="shared" si="77"/>
        <v>4.5</v>
      </c>
      <c r="BR570">
        <f t="shared" si="78"/>
        <v>16.649999999999999</v>
      </c>
      <c r="BS570">
        <f t="shared" si="79"/>
        <v>20.81</v>
      </c>
      <c r="BT570" t="str">
        <f>IFERROR(INDEX(_REF_Capability_Bridge!$D:$D,MATCH($C570&amp;"|"&amp;$D570,_REF_Capability_Bridge!$J:$J,0)),IFERROR(INDEX(_REF_Capability_Bridge!$D:$D,MATCH($C570&amp;"|",_REF_Capability_Bridge!$J:$J,0)),"CAP_GENERIC"))</f>
        <v>CAP_BACKUP_RECOVERY</v>
      </c>
      <c r="BU570">
        <f>IFERROR(IFERROR(INDEX(_ENGINE_Relevance!$L:$L,MATCH($BT570,_ENGINE_Relevance!$B:$B,0)),1),1)</f>
        <v>1</v>
      </c>
      <c r="BV570" t="str">
        <f>IFERROR(INDEX(_REF_Capability_Bridge!$A:$A,MATCH($C570&amp;"|"&amp;$D570,_REF_Capability_Bridge!$J:$J,0)),IFERROR(INDEX(_REF_Capability_Bridge!$A:$A,MATCH($C570&amp;"|",_REF_Capability_Bridge!$J:$J,0)),"No bridge"))</f>
        <v>BRG-042</v>
      </c>
      <c r="BW570" t="str">
        <f t="shared" si="80"/>
        <v>Capability relevance neutral</v>
      </c>
      <c r="BX570" t="str">
        <f t="shared" si="81"/>
        <v>Initial / absent</v>
      </c>
      <c r="BY570" t="str">
        <f>IF($E570="","",IFERROR(INDEX(_REF_Treatment_Library!$A$2:$A$296,MATCH(1,INDEX((_REF_Treatment_Library!$B$2:$B$296=$BT570)*(_REF_Treatment_Library!$C$2:$C$296=PV_Canonical_Industry)*(_REF_Treatment_Library!$E$2:$E$296&lt;=N($H570))*(_REF_Treatment_Library!$F$2:$F$296&gt;=N($H570))*(_REF_Treatment_Library!$O$2:$O$296="Yes"),0),0)),IFERROR(INDEX(_REF_Treatment_Library!$A$2:$A$296,MATCH(1,INDEX((_REF_Treatment_Library!$B$2:$B$296=$BT570)*(_REF_Treatment_Library!$C$2:$C$296="All")*(_REF_Treatment_Library!$E$2:$E$296&lt;=N($H570))*(_REF_Treatment_Library!$F$2:$F$296&gt;=N($H570))*(_REF_Treatment_Library!$O$2:$O$296="Yes"),0),0)),"")))</f>
        <v>TRT-BACKUP_RECOVERY-INITIAL</v>
      </c>
      <c r="BZ570" t="str">
        <f>IF($BY570="","",IFERROR(INDEX(_REF_Treatment_Library!$H$2:$H$296,MATCH($BY570,_REF_Treatment_Library!$A$2:$A$296,0)),""))</f>
        <v>Establish</v>
      </c>
      <c r="CA570" t="str">
        <f>IF($BY570="","",IFERROR(INDEX(_REF_Treatment_Library!$I$2:$I$296,MATCH($BY570,_REF_Treatment_Library!$A$2:$A$296,0)),""))</f>
        <v>Establish baseline controls for Backup / recovery</v>
      </c>
      <c r="CB570" t="str">
        <f>IF($BY570="","",IFERROR(INDEX(_REF_Treatment_Library!$K$2:$K$296,MATCH($BY570,_REF_Treatment_Library!$A$2:$A$296,0)),""))</f>
        <v>Named owner, baseline process, minimum control checklist, first evidence package</v>
      </c>
      <c r="CC570" t="str">
        <f>IF($BY570="","",IFERROR(INDEX(_REF_Treatment_Library!$L$2:$L$296,MATCH($BY570,_REF_Treatment_Library!$A$2:$A$296,0)),""))</f>
        <v>Owner assigned; baseline evidence coverage; open critical gaps</v>
      </c>
      <c r="CD570" t="str">
        <f t="shared" si="82"/>
        <v>Treatment by capability=CAP_BACKUP_RECOVERY; band=Initial / absent; score=0.0; treatment=Establish</v>
      </c>
      <c r="CE570" t="str">
        <f>IF($E570="","",IFERROR(INDEX(_REF_Industry_Wording!$A$2:$A$70,MATCH(1,INDEX((_REF_Industry_Wording!$B$2:$B$70=$BT570)*(_REF_Industry_Wording!$C$2:$C$70=PV_Canonical_Industry)*(_REF_Industry_Wording!$K$2:$K$70="Yes"),0),0)),IFERROR(INDEX(_REF_Industry_Wording!$A$2:$A$70,MATCH(1,INDEX((_REF_Industry_Wording!$B$2:$B$70=$BT570)*(_REF_Industry_Wording!$C$2:$C$70="All")*(_REF_Industry_Wording!$K$2:$K$70="Yes"),0),0)),"")))</f>
        <v>IW-ALL-BACKUP_RECOVERY</v>
      </c>
      <c r="CF570" t="str">
        <f>IF($CE570="","",IFERROR(INDEX(_REF_Industry_Wording!$E$2:$E$70,MATCH($CE570,_REF_Industry_Wording!$A$2:$A$70,0)),""))</f>
        <v>Backup / recovery weakness</v>
      </c>
      <c r="CG570" t="str">
        <f>IF($CE570="","",IFERROR(INDEX(_REF_Industry_Wording!$F$2:$F$70,MATCH($CE570,_REF_Industry_Wording!$A$2:$A$70,0)),""))</f>
        <v>Strengthen Backup / recovery</v>
      </c>
      <c r="CH570" t="str">
        <f>IF($CE570="","",IFERROR(INDEX(_REF_Industry_Wording!$G$2:$G$70,MATCH($CE570,_REF_Industry_Wording!$A$2:$A$70,0)),""))</f>
        <v>Strengthen Backup / recovery using the selected maturity treatment, crisis scenario and evidence requirements.</v>
      </c>
      <c r="CI570" t="str">
        <f>IF($CE570="","",IFERROR(INDEX(_REF_Industry_Wording!$H$2:$H$70,MATCH($CE570,_REF_Industry_Wording!$A$2:$A$70,0)),""))</f>
        <v>Backup / recovery</v>
      </c>
      <c r="CJ570">
        <f>IF($CE570="","",IFERROR(INDEX(_REF_Industry_Wording!$I$2:$I$70,MATCH($CE570,_REF_Industry_Wording!$A$2:$A$70,0)),""))</f>
        <v>0</v>
      </c>
      <c r="CK570" t="str">
        <f>IF($CE570="","",IFERROR(INDEX(_REF_Industry_Wording!$J$2:$J$70,MATCH($CE570,_REF_Industry_Wording!$A$2:$A$70,0)),""))</f>
        <v>Backup / recovery</v>
      </c>
      <c r="CL570" t="str">
        <f t="shared" si="83"/>
        <v>Wording by industry=0; capability=CAP_BACKUP_RECOVERY; risk label=Backup / recovery weakness</v>
      </c>
      <c r="CM570" t="str">
        <f t="shared" si="84"/>
        <v>RISK-ONT-0071</v>
      </c>
      <c r="CN570" t="str">
        <f t="shared" si="85"/>
        <v>RISK-EVT-0071</v>
      </c>
      <c r="CO570" t="str">
        <f t="shared" si="86"/>
        <v>HR Workforce|Workforce visibility|HRWO-004|CAP_BACKUP_RECOVERY</v>
      </c>
      <c r="CP570" t="str">
        <f t="shared" si="87"/>
        <v>Active</v>
      </c>
      <c r="CQ570" t="str">
        <f t="shared" si="88"/>
        <v>OK: capability-driven</v>
      </c>
      <c r="CR570" t="str">
        <f t="shared" si="89"/>
        <v>Risk ontology uses capability=CAP_BACKUP_RECOVERY; bridge=BRG-042; treatment=TRT-BACKUP_RECOVERY-INITIAL; wording=IW-ALL-BACKUP_RECOVERY</v>
      </c>
      <c r="CS570" t="str">
        <f t="shared" si="90"/>
        <v>Yes</v>
      </c>
    </row>
    <row r="571" spans="1:97" ht="69.900000000000006" customHeight="1">
      <c r="A571">
        <f>IF(OR($B571&lt;&gt;"Yes",$BS571=""),"",SUMPRODUCT(($B$500:$B$923="Yes")*ISNUMBER($BS$500:$BS$923)*($BS$500:$BS$923&gt;$BS571))+COUNTIFS($B$500:$B571,"Yes",$BS$500:$BS571,$BS571))</f>
        <v>116</v>
      </c>
      <c r="B571" t="str">
        <f t="shared" si="59"/>
        <v>Yes</v>
      </c>
      <c r="C571" t="s">
        <v>1259</v>
      </c>
      <c r="D571" t="s">
        <v>1261</v>
      </c>
      <c r="E571" t="s">
        <v>1279</v>
      </c>
      <c r="F571" t="s">
        <v>3682</v>
      </c>
      <c r="G571" t="str">
        <f>IF($H571="","",IFERROR(INDEX(_ENGINE_Risk!$H$5:$M$499,MATCH($E571,_ENGINE_Risk!$A$5:$A$499,0),$H571+1),""))</f>
        <v>Severe risk: minimum staffing levels for critical functions, shifts, production lines and customer support is not reliably controlled. During Workforce disruption; Pandemic/health crisis; War/security crisis, the organization may face loss of critical knowledge, reduced productivity, unmanaged absenteeism and inability to keep essential work running with limited visibility or accountability.</v>
      </c>
      <c r="H571">
        <f>IFERROR(VALUE(INDEX(_DATA_Assessment_Model!$H$5:$H$884,MATCH($E571,_DATA_Assessment_Model!$A$5:$A$884,0))),"")</f>
        <v>0</v>
      </c>
      <c r="I571" t="str">
        <f>IF($H571="","",IFERROR(INDEX(_DATA_Assessment_Model!$L$5:$L$884,MATCH($E571,_DATA_Assessment_Model!$A$5:$A$884,0)),IF($H571&lt;=1,"Critical",IF($H571=2,"High",IF($H571=3,"Medium",IF($H571=4,"Low","Resilient"))))))</f>
        <v>Critical</v>
      </c>
      <c r="J571">
        <f t="shared" si="60"/>
        <v>3.7</v>
      </c>
      <c r="K571">
        <f t="shared" si="61"/>
        <v>4.3500000000000005</v>
      </c>
      <c r="L571">
        <f t="shared" si="62"/>
        <v>16.095000000000002</v>
      </c>
      <c r="M571">
        <f t="shared" si="63"/>
        <v>4</v>
      </c>
      <c r="N571">
        <f>IF($H571="","",IFERROR(INDEX(_ENGINE_Risk!$T$5:$Y$499,MATCH($E571,_ENGINE_Risk!$A$5:$A$499,0),$H571+1),""))</f>
        <v>3</v>
      </c>
      <c r="O571">
        <f t="shared" si="64"/>
        <v>4.666666666666667</v>
      </c>
      <c r="P571">
        <f t="shared" si="65"/>
        <v>5</v>
      </c>
      <c r="Q571">
        <f t="shared" si="66"/>
        <v>5</v>
      </c>
      <c r="R571">
        <f t="shared" si="67"/>
        <v>4.5</v>
      </c>
      <c r="S571">
        <f t="shared" si="68"/>
        <v>1.6</v>
      </c>
      <c r="T571" t="str">
        <f>IF($H571="","",IFERROR(INDEX(_ENGINE_Risk!$N$5:$S$499,MATCH($E571,_ENGINE_Risk!$A$5:$A$499,0),$H571+1),""))</f>
        <v>Create an immediate risk owner, minimum control baseline and fallback procedure for minimum staffing levels for critical functions, shifts, production lines and customer support. Add it to the crisis risk register and collect first evidence.</v>
      </c>
      <c r="U571">
        <f>IFERROR(INDEX(_DATA_Assessment_Model!$G$5:$G$884,MATCH($E571,_DATA_Assessment_Model!$A$5:$A$884,0)),"")</f>
        <v>5</v>
      </c>
      <c r="V571">
        <f>IFERROR(INDEX(_DATA_Assessment_Model!$W$5:$W$884,MATCH($E571,_DATA_Assessment_Model!$A$5:$A$884,0)),"")</f>
        <v>4</v>
      </c>
      <c r="W571">
        <f>IFERROR(INDEX(_DATA_Assessment_Model!$X$5:$X$884,MATCH($E571,_DATA_Assessment_Model!$A$5:$A$884,0)),"")</f>
        <v>5</v>
      </c>
      <c r="X571">
        <f>IFERROR(INDEX(_DATA_Assessment_Model!$Y$5:$Y$884,MATCH($E571,_DATA_Assessment_Model!$A$5:$A$884,0)),"")</f>
        <v>5</v>
      </c>
      <c r="Y571" t="s">
        <v>1266</v>
      </c>
      <c r="Z571" t="s">
        <v>5544</v>
      </c>
      <c r="AA571" t="s">
        <v>1281</v>
      </c>
      <c r="AB571">
        <f>IFERROR(INDEX(_DATA_Assessment_Model!$U$5:$U$884,MATCH($E571,_DATA_Assessment_Model!$A$5:$A$884,0)),"")</f>
        <v>0</v>
      </c>
      <c r="AF571" t="s">
        <v>1280</v>
      </c>
      <c r="AO571">
        <f>IF($B571="Yes",IF(IFERROR(INDEX(_ENGINE_Crisis!$F$501:$F$517,MATCH($C571,_ENGINE_Crisis!$A$501:$A$517,0)),1)=0,1,IFERROR(INDEX(_ENGINE_Crisis!$F$501:$F$517,MATCH($C571,_ENGINE_Crisis!$A$501:$A$517,0)),1)),"")</f>
        <v>1</v>
      </c>
      <c r="AP571">
        <f t="shared" si="69"/>
        <v>16.100000000000001</v>
      </c>
      <c r="AQ571">
        <f t="shared" si="70"/>
        <v>1.6</v>
      </c>
      <c r="AR571" t="str">
        <f>IFERROR(INDEX(_ENGINE_Crisis!$E$41:$E$700,MATCH('Resilience &amp; Risk Scenario'!$B$6&amp;"|"&amp;$C571,_ENGINE_Crisis!$I$41:$I$700,0)),"")</f>
        <v/>
      </c>
      <c r="AS571" t="str">
        <f>IFERROR(INDEX(_ENGINE_Crisis!$G$41:$G$700,MATCH('Resilience &amp; Risk Scenario'!$B$6&amp;"|"&amp;$C571,_ENGINE_Crisis!$I$41:$I$700,0)),"")</f>
        <v/>
      </c>
      <c r="AT571" t="str">
        <f>IFERROR(INDEX(_ENGINE_Initiatives!$A$5:$A$532,MATCH(1,INDEX((_ENGINE_Initiatives!$B$5:$B$532=$C571)*(_ENGINE_Initiatives!$C$5:$C$532=$D571),0),0)),"")</f>
        <v>INI-011</v>
      </c>
      <c r="AU571" t="str">
        <f>IFERROR(INDEX(_ENGINE_Initiatives!$F$5:$F$532,MATCH(1,INDEX((_ENGINE_Initiatives!$B$5:$B$532=$C571)*(_ENGINE_Initiatives!$C$5:$C$532=$D571),0),0)),"")</f>
        <v>Create workforce visibility, critical-role and location dashboard</v>
      </c>
      <c r="AV571">
        <f>IFERROR(INDEX(_ENGINE_Initiatives!$AC$5:$AC$532,MATCH(1,INDEX((_ENGINE_Initiatives!$B$5:$B$532=$C571)*(_ENGINE_Initiatives!$C$5:$C$532=$D571),0),0)),"")</f>
        <v>1.77</v>
      </c>
      <c r="AW571" t="str">
        <f>IFERROR(INDEX(_ENGINE_Initiatives!$AE$5:$AE$532,MATCH(1,INDEX((_ENGINE_Initiatives!$B$5:$B$532=$C571)*(_ENGINE_Initiatives!$C$5:$C$532=$D571),0),0)),"")</f>
        <v>3-6 months</v>
      </c>
      <c r="AX571">
        <f>IF($B571="Yes",IFERROR((IF(SUMIFS(_REF_Model_Content!$E$1:$E$613,_REF_Model_Content!$A$1:$A$613,PV_Canonical_Industry,_REF_Model_Content!$B$1:$B$613,$C571)=0,1,SUMIFS(_REF_Model_Content!$E$1:$E$613,_REF_Model_Content!$A$1:$A$613,PV_Canonical_Industry,_REF_Model_Content!$B$1:$B$613,$C571))*IFERROR($BU571,1)),1),"")</f>
        <v>1</v>
      </c>
      <c r="AY571">
        <f t="shared" si="71"/>
        <v>16.100000000000001</v>
      </c>
      <c r="AZ571">
        <f t="shared" si="72"/>
        <v>1.6</v>
      </c>
      <c r="BB571" t="str">
        <f>IF($H571="","",IFERROR(INDEX(_ENGINE_Risk!$AE$5:$AE$499,MATCH($E571,_ENGINE_Risk!$A$5:$A$499,0)),"Medium"))</f>
        <v>Fast</v>
      </c>
      <c r="BC571">
        <f t="shared" si="73"/>
        <v>1.25</v>
      </c>
      <c r="BD571">
        <f t="shared" si="74"/>
        <v>1.6</v>
      </c>
      <c r="BF571">
        <f>IF(OR($H571="",$J571=""),"",IFERROR(VLOOKUP(ROUND($J571,0),_CONFIG_Model_Settings!$D$154:$E$158,2,0),""))</f>
        <v>0.5</v>
      </c>
      <c r="BG571">
        <f>IFERROR(IF(OR($H571="",$K571=""),"",ROUND('Company Profile'!$B$113*INDEX(_CONFIG_Model_Settings!$H$154:$H$158,MATCH(ROUND($K571,0),_CONFIG_Model_Settings!$G$154:$G$158,0)),0)),0)</f>
        <v>875</v>
      </c>
      <c r="BH571">
        <f t="shared" si="75"/>
        <v>437.5</v>
      </c>
      <c r="BI571">
        <f t="shared" si="76"/>
        <v>437.5</v>
      </c>
      <c r="BJ571">
        <f>IF($E571="","",IFERROR(VLOOKUP($C571,_CONFIG_Risk_Calibration!$A$5:$H$21,2,FALSE),3))</f>
        <v>3</v>
      </c>
      <c r="BK571">
        <f>IF($E571="","",IFERROR(VLOOKUP($C571,_CONFIG_Risk_Calibration!$A$5:$H$21,3,FALSE),0))</f>
        <v>0</v>
      </c>
      <c r="BL571">
        <f>IF($E571="","",IFERROR(VLOOKUP($C571,_CONFIG_Risk_Calibration!$A$5:$H$21,4,FALSE),3))</f>
        <v>3</v>
      </c>
      <c r="BM571">
        <f>IF($E571="","",IFERROR(VLOOKUP($C571,_CONFIG_Risk_Calibration!$A$5:$H$21,5,FALSE),3))</f>
        <v>3</v>
      </c>
      <c r="BN571" t="str">
        <f>IF($E571="","",IFERROR(VLOOKUP($C571,_CONFIG_Risk_Calibration!$A$5:$H$21,6,FALSE),"No"))</f>
        <v>No</v>
      </c>
      <c r="BO571">
        <f>IF($E571="","",IFERROR(VLOOKUP($C571,_CONFIG_Risk_Calibration!$A$5:$H$21,7,FALSE),1))</f>
        <v>1</v>
      </c>
      <c r="BP571">
        <f>IF($H571="","",MAX(1,MIN(5,((6-$H571)*0.45)+($BJ571*0.2)+('Resilience &amp; Risk Scenario'!$B$7*0.15)+($BK571*0.1)+($BL571*0.05)+(IF($BB571="Fast",5,IF($BB571="Slow",1,3))*0.05))))</f>
        <v>3.7</v>
      </c>
      <c r="BQ571">
        <f t="shared" si="77"/>
        <v>4.3500000000000005</v>
      </c>
      <c r="BR571">
        <f t="shared" si="78"/>
        <v>16.100000000000001</v>
      </c>
      <c r="BS571">
        <f t="shared" si="79"/>
        <v>20.13</v>
      </c>
      <c r="BT571" t="str">
        <f>IFERROR(INDEX(_REF_Capability_Bridge!$D:$D,MATCH($C571&amp;"|"&amp;$D571,_REF_Capability_Bridge!$J:$J,0)),IFERROR(INDEX(_REF_Capability_Bridge!$D:$D,MATCH($C571&amp;"|",_REF_Capability_Bridge!$J:$J,0)),"CAP_GENERIC"))</f>
        <v>CAP_BACKUP_RECOVERY</v>
      </c>
      <c r="BU571">
        <f>IFERROR(IFERROR(INDEX(_ENGINE_Relevance!$L:$L,MATCH($BT571,_ENGINE_Relevance!$B:$B,0)),1),1)</f>
        <v>1</v>
      </c>
      <c r="BV571" t="str">
        <f>IFERROR(INDEX(_REF_Capability_Bridge!$A:$A,MATCH($C571&amp;"|"&amp;$D571,_REF_Capability_Bridge!$J:$J,0)),IFERROR(INDEX(_REF_Capability_Bridge!$A:$A,MATCH($C571&amp;"|",_REF_Capability_Bridge!$J:$J,0)),"No bridge"))</f>
        <v>BRG-042</v>
      </c>
      <c r="BW571" t="str">
        <f t="shared" si="80"/>
        <v>Capability relevance neutral</v>
      </c>
      <c r="BX571" t="str">
        <f t="shared" si="81"/>
        <v>Initial / absent</v>
      </c>
      <c r="BY571" t="str">
        <f>IF($E571="","",IFERROR(INDEX(_REF_Treatment_Library!$A$2:$A$296,MATCH(1,INDEX((_REF_Treatment_Library!$B$2:$B$296=$BT571)*(_REF_Treatment_Library!$C$2:$C$296=PV_Canonical_Industry)*(_REF_Treatment_Library!$E$2:$E$296&lt;=N($H571))*(_REF_Treatment_Library!$F$2:$F$296&gt;=N($H571))*(_REF_Treatment_Library!$O$2:$O$296="Yes"),0),0)),IFERROR(INDEX(_REF_Treatment_Library!$A$2:$A$296,MATCH(1,INDEX((_REF_Treatment_Library!$B$2:$B$296=$BT571)*(_REF_Treatment_Library!$C$2:$C$296="All")*(_REF_Treatment_Library!$E$2:$E$296&lt;=N($H571))*(_REF_Treatment_Library!$F$2:$F$296&gt;=N($H571))*(_REF_Treatment_Library!$O$2:$O$296="Yes"),0),0)),"")))</f>
        <v>TRT-BACKUP_RECOVERY-INITIAL</v>
      </c>
      <c r="BZ571" t="str">
        <f>IF($BY571="","",IFERROR(INDEX(_REF_Treatment_Library!$H$2:$H$296,MATCH($BY571,_REF_Treatment_Library!$A$2:$A$296,0)),""))</f>
        <v>Establish</v>
      </c>
      <c r="CA571" t="str">
        <f>IF($BY571="","",IFERROR(INDEX(_REF_Treatment_Library!$I$2:$I$296,MATCH($BY571,_REF_Treatment_Library!$A$2:$A$296,0)),""))</f>
        <v>Establish baseline controls for Backup / recovery</v>
      </c>
      <c r="CB571" t="str">
        <f>IF($BY571="","",IFERROR(INDEX(_REF_Treatment_Library!$K$2:$K$296,MATCH($BY571,_REF_Treatment_Library!$A$2:$A$296,0)),""))</f>
        <v>Named owner, baseline process, minimum control checklist, first evidence package</v>
      </c>
      <c r="CC571" t="str">
        <f>IF($BY571="","",IFERROR(INDEX(_REF_Treatment_Library!$L$2:$L$296,MATCH($BY571,_REF_Treatment_Library!$A$2:$A$296,0)),""))</f>
        <v>Owner assigned; baseline evidence coverage; open critical gaps</v>
      </c>
      <c r="CD571" t="str">
        <f t="shared" si="82"/>
        <v>Treatment by capability=CAP_BACKUP_RECOVERY; band=Initial / absent; score=0.0; treatment=Establish</v>
      </c>
      <c r="CE571" t="str">
        <f>IF($E571="","",IFERROR(INDEX(_REF_Industry_Wording!$A$2:$A$70,MATCH(1,INDEX((_REF_Industry_Wording!$B$2:$B$70=$BT571)*(_REF_Industry_Wording!$C$2:$C$70=PV_Canonical_Industry)*(_REF_Industry_Wording!$K$2:$K$70="Yes"),0),0)),IFERROR(INDEX(_REF_Industry_Wording!$A$2:$A$70,MATCH(1,INDEX((_REF_Industry_Wording!$B$2:$B$70=$BT571)*(_REF_Industry_Wording!$C$2:$C$70="All")*(_REF_Industry_Wording!$K$2:$K$70="Yes"),0),0)),"")))</f>
        <v>IW-ALL-BACKUP_RECOVERY</v>
      </c>
      <c r="CF571" t="str">
        <f>IF($CE571="","",IFERROR(INDEX(_REF_Industry_Wording!$E$2:$E$70,MATCH($CE571,_REF_Industry_Wording!$A$2:$A$70,0)),""))</f>
        <v>Backup / recovery weakness</v>
      </c>
      <c r="CG571" t="str">
        <f>IF($CE571="","",IFERROR(INDEX(_REF_Industry_Wording!$F$2:$F$70,MATCH($CE571,_REF_Industry_Wording!$A$2:$A$70,0)),""))</f>
        <v>Strengthen Backup / recovery</v>
      </c>
      <c r="CH571" t="str">
        <f>IF($CE571="","",IFERROR(INDEX(_REF_Industry_Wording!$G$2:$G$70,MATCH($CE571,_REF_Industry_Wording!$A$2:$A$70,0)),""))</f>
        <v>Strengthen Backup / recovery using the selected maturity treatment, crisis scenario and evidence requirements.</v>
      </c>
      <c r="CI571" t="str">
        <f>IF($CE571="","",IFERROR(INDEX(_REF_Industry_Wording!$H$2:$H$70,MATCH($CE571,_REF_Industry_Wording!$A$2:$A$70,0)),""))</f>
        <v>Backup / recovery</v>
      </c>
      <c r="CJ571">
        <f>IF($CE571="","",IFERROR(INDEX(_REF_Industry_Wording!$I$2:$I$70,MATCH($CE571,_REF_Industry_Wording!$A$2:$A$70,0)),""))</f>
        <v>0</v>
      </c>
      <c r="CK571" t="str">
        <f>IF($CE571="","",IFERROR(INDEX(_REF_Industry_Wording!$J$2:$J$70,MATCH($CE571,_REF_Industry_Wording!$A$2:$A$70,0)),""))</f>
        <v>Backup / recovery</v>
      </c>
      <c r="CL571" t="str">
        <f t="shared" si="83"/>
        <v>Wording by industry=0; capability=CAP_BACKUP_RECOVERY; risk label=Backup / recovery weakness</v>
      </c>
      <c r="CM571" t="str">
        <f t="shared" si="84"/>
        <v>RISK-ONT-0072</v>
      </c>
      <c r="CN571" t="str">
        <f t="shared" si="85"/>
        <v>RISK-EVT-0072</v>
      </c>
      <c r="CO571" t="str">
        <f t="shared" si="86"/>
        <v>HR Workforce|Workforce visibility|HRWO-005|CAP_BACKUP_RECOVERY</v>
      </c>
      <c r="CP571" t="str">
        <f t="shared" si="87"/>
        <v>Active</v>
      </c>
      <c r="CQ571" t="str">
        <f t="shared" si="88"/>
        <v>OK: capability-driven</v>
      </c>
      <c r="CR571" t="str">
        <f t="shared" si="89"/>
        <v>Risk ontology uses capability=CAP_BACKUP_RECOVERY; bridge=BRG-042; treatment=TRT-BACKUP_RECOVERY-INITIAL; wording=IW-ALL-BACKUP_RECOVERY</v>
      </c>
      <c r="CS571" t="str">
        <f t="shared" si="90"/>
        <v>Yes</v>
      </c>
    </row>
    <row r="572" spans="1:97" ht="69.900000000000006" customHeight="1">
      <c r="A572">
        <f>IF(OR($B572&lt;&gt;"Yes",$BS572=""),"",SUMPRODUCT(($B$500:$B$923="Yes")*ISNUMBER($BS$500:$BS$923)*($BS$500:$BS$923&gt;$BS572))+COUNTIFS($B$500:$B572,"Yes",$BS$500:$BS572,$BS572))</f>
        <v>203</v>
      </c>
      <c r="B572" t="str">
        <f t="shared" si="59"/>
        <v>Yes</v>
      </c>
      <c r="C572" t="s">
        <v>1259</v>
      </c>
      <c r="D572" t="s">
        <v>1261</v>
      </c>
      <c r="E572" t="s">
        <v>1282</v>
      </c>
      <c r="F572" t="s">
        <v>3682</v>
      </c>
      <c r="G572" t="str">
        <f>IF($H572="","",IFERROR(INDEX(_ENGINE_Risk!$H$5:$M$499,MATCH($E572,_ENGINE_Risk!$A$5:$A$499,0),$H572+1),""))</f>
        <v>Severe risk: absence trends, sick leave spikes and workforce availability monitoring is not reliably controlled. During Workforce disruption; Pandemic/health crisis; War/security crisis, the organization may face loss of critical knowledge, reduced productivity, unmanaged absenteeism and inability to keep essential work running with limited visibility or accountability.</v>
      </c>
      <c r="H572">
        <f>IFERROR(VALUE(INDEX(_DATA_Assessment_Model!$H$5:$H$884,MATCH($E572,_DATA_Assessment_Model!$A$5:$A$884,0))),"")</f>
        <v>0</v>
      </c>
      <c r="I572" t="str">
        <f>IF($H572="","",IFERROR(INDEX(_DATA_Assessment_Model!$L$5:$L$884,MATCH($E572,_DATA_Assessment_Model!$A$5:$A$884,0)),IF($H572&lt;=1,"Critical",IF($H572=2,"High",IF($H572=3,"Medium",IF($H572=4,"Low","Resilient"))))))</f>
        <v>Critical</v>
      </c>
      <c r="J572">
        <f t="shared" si="60"/>
        <v>3.7</v>
      </c>
      <c r="K572">
        <f t="shared" si="61"/>
        <v>3.95</v>
      </c>
      <c r="L572">
        <f t="shared" si="62"/>
        <v>14.615000000000002</v>
      </c>
      <c r="M572">
        <f t="shared" si="63"/>
        <v>3</v>
      </c>
      <c r="N572">
        <f>IF($H572="","",IFERROR(INDEX(_ENGINE_Risk!$T$5:$Y$499,MATCH($E572,_ENGINE_Risk!$A$5:$A$499,0),$H572+1),""))</f>
        <v>3</v>
      </c>
      <c r="O572">
        <f t="shared" si="64"/>
        <v>4</v>
      </c>
      <c r="P572">
        <f t="shared" si="65"/>
        <v>5</v>
      </c>
      <c r="Q572">
        <f t="shared" si="66"/>
        <v>5</v>
      </c>
      <c r="R572">
        <f t="shared" si="67"/>
        <v>4.5</v>
      </c>
      <c r="S572">
        <f t="shared" si="68"/>
        <v>1.54</v>
      </c>
      <c r="T572" t="str">
        <f>IF($H572="","",IFERROR(INDEX(_ENGINE_Risk!$N$5:$S$499,MATCH($E572,_ENGINE_Risk!$A$5:$A$499,0),$H572+1),""))</f>
        <v>Create an immediate risk owner, minimum control baseline and fallback procedure for absence trends, sick leave spikes and workforce availability monitoring. Add it to the crisis risk register and collect first evidence.</v>
      </c>
      <c r="U572">
        <f>IFERROR(INDEX(_DATA_Assessment_Model!$G$5:$G$884,MATCH($E572,_DATA_Assessment_Model!$A$5:$A$884,0)),"")</f>
        <v>3</v>
      </c>
      <c r="V572">
        <f>IFERROR(INDEX(_DATA_Assessment_Model!$W$5:$W$884,MATCH($E572,_DATA_Assessment_Model!$A$5:$A$884,0)),"")</f>
        <v>4</v>
      </c>
      <c r="W572">
        <f>IFERROR(INDEX(_DATA_Assessment_Model!$X$5:$X$884,MATCH($E572,_DATA_Assessment_Model!$A$5:$A$884,0)),"")</f>
        <v>5</v>
      </c>
      <c r="X572">
        <f>IFERROR(INDEX(_DATA_Assessment_Model!$Y$5:$Y$884,MATCH($E572,_DATA_Assessment_Model!$A$5:$A$884,0)),"")</f>
        <v>5</v>
      </c>
      <c r="Y572" t="s">
        <v>1266</v>
      </c>
      <c r="Z572" t="s">
        <v>5544</v>
      </c>
      <c r="AA572" t="s">
        <v>1284</v>
      </c>
      <c r="AB572">
        <f>IFERROR(INDEX(_DATA_Assessment_Model!$U$5:$U$884,MATCH($E572,_DATA_Assessment_Model!$A$5:$A$884,0)),"")</f>
        <v>0</v>
      </c>
      <c r="AF572" t="s">
        <v>1283</v>
      </c>
      <c r="AO572">
        <f>IF($B572="Yes",IF(IFERROR(INDEX(_ENGINE_Crisis!$F$501:$F$517,MATCH($C572,_ENGINE_Crisis!$A$501:$A$517,0)),1)=0,1,IFERROR(INDEX(_ENGINE_Crisis!$F$501:$F$517,MATCH($C572,_ENGINE_Crisis!$A$501:$A$517,0)),1)),"")</f>
        <v>1</v>
      </c>
      <c r="AP572">
        <f t="shared" si="69"/>
        <v>14.6</v>
      </c>
      <c r="AQ572">
        <f t="shared" si="70"/>
        <v>1.54</v>
      </c>
      <c r="AR572" t="str">
        <f>IFERROR(INDEX(_ENGINE_Crisis!$E$41:$E$700,MATCH('Resilience &amp; Risk Scenario'!$B$6&amp;"|"&amp;$C572,_ENGINE_Crisis!$I$41:$I$700,0)),"")</f>
        <v/>
      </c>
      <c r="AS572" t="str">
        <f>IFERROR(INDEX(_ENGINE_Crisis!$G$41:$G$700,MATCH('Resilience &amp; Risk Scenario'!$B$6&amp;"|"&amp;$C572,_ENGINE_Crisis!$I$41:$I$700,0)),"")</f>
        <v/>
      </c>
      <c r="AT572" t="str">
        <f>IFERROR(INDEX(_ENGINE_Initiatives!$A$5:$A$532,MATCH(1,INDEX((_ENGINE_Initiatives!$B$5:$B$532=$C572)*(_ENGINE_Initiatives!$C$5:$C$532=$D572),0),0)),"")</f>
        <v>INI-011</v>
      </c>
      <c r="AU572" t="str">
        <f>IFERROR(INDEX(_ENGINE_Initiatives!$F$5:$F$532,MATCH(1,INDEX((_ENGINE_Initiatives!$B$5:$B$532=$C572)*(_ENGINE_Initiatives!$C$5:$C$532=$D572),0),0)),"")</f>
        <v>Create workforce visibility, critical-role and location dashboard</v>
      </c>
      <c r="AV572">
        <f>IFERROR(INDEX(_ENGINE_Initiatives!$AC$5:$AC$532,MATCH(1,INDEX((_ENGINE_Initiatives!$B$5:$B$532=$C572)*(_ENGINE_Initiatives!$C$5:$C$532=$D572),0),0)),"")</f>
        <v>1.77</v>
      </c>
      <c r="AW572" t="str">
        <f>IFERROR(INDEX(_ENGINE_Initiatives!$AE$5:$AE$532,MATCH(1,INDEX((_ENGINE_Initiatives!$B$5:$B$532=$C572)*(_ENGINE_Initiatives!$C$5:$C$532=$D572),0),0)),"")</f>
        <v>3-6 months</v>
      </c>
      <c r="AX572">
        <f>IF($B572="Yes",IFERROR((IF(SUMIFS(_REF_Model_Content!$E$1:$E$613,_REF_Model_Content!$A$1:$A$613,PV_Canonical_Industry,_REF_Model_Content!$B$1:$B$613,$C572)=0,1,SUMIFS(_REF_Model_Content!$E$1:$E$613,_REF_Model_Content!$A$1:$A$613,PV_Canonical_Industry,_REF_Model_Content!$B$1:$B$613,$C572))*IFERROR($BU572,1)),1),"")</f>
        <v>1</v>
      </c>
      <c r="AY572">
        <f t="shared" si="71"/>
        <v>14.6</v>
      </c>
      <c r="AZ572">
        <f t="shared" si="72"/>
        <v>1.54</v>
      </c>
      <c r="BB572" t="str">
        <f>IF($H572="","",IFERROR(INDEX(_ENGINE_Risk!$AE$5:$AE$499,MATCH($E572,_ENGINE_Risk!$A$5:$A$499,0)),"Medium"))</f>
        <v>Fast</v>
      </c>
      <c r="BC572">
        <f t="shared" si="73"/>
        <v>1.25</v>
      </c>
      <c r="BD572">
        <f t="shared" si="74"/>
        <v>1.54</v>
      </c>
      <c r="BF572">
        <f>IF(OR($H572="",$J572=""),"",IFERROR(VLOOKUP(ROUND($J572,0),_CONFIG_Model_Settings!$D$154:$E$158,2,0),""))</f>
        <v>0.5</v>
      </c>
      <c r="BG572">
        <f>IFERROR(IF(OR($H572="",$K572=""),"",ROUND('Company Profile'!$B$113*INDEX(_CONFIG_Model_Settings!$H$154:$H$158,MATCH(ROUND($K572,0),_CONFIG_Model_Settings!$G$154:$G$158,0)),0)),0)</f>
        <v>875</v>
      </c>
      <c r="BH572">
        <f t="shared" si="75"/>
        <v>437.5</v>
      </c>
      <c r="BI572">
        <f t="shared" si="76"/>
        <v>437.5</v>
      </c>
      <c r="BJ572">
        <f>IF($E572="","",IFERROR(VLOOKUP($C572,_CONFIG_Risk_Calibration!$A$5:$H$21,2,FALSE),3))</f>
        <v>3</v>
      </c>
      <c r="BK572">
        <f>IF($E572="","",IFERROR(VLOOKUP($C572,_CONFIG_Risk_Calibration!$A$5:$H$21,3,FALSE),0))</f>
        <v>0</v>
      </c>
      <c r="BL572">
        <f>IF($E572="","",IFERROR(VLOOKUP($C572,_CONFIG_Risk_Calibration!$A$5:$H$21,4,FALSE),3))</f>
        <v>3</v>
      </c>
      <c r="BM572">
        <f>IF($E572="","",IFERROR(VLOOKUP($C572,_CONFIG_Risk_Calibration!$A$5:$H$21,5,FALSE),3))</f>
        <v>3</v>
      </c>
      <c r="BN572" t="str">
        <f>IF($E572="","",IFERROR(VLOOKUP($C572,_CONFIG_Risk_Calibration!$A$5:$H$21,6,FALSE),"No"))</f>
        <v>No</v>
      </c>
      <c r="BO572">
        <f>IF($E572="","",IFERROR(VLOOKUP($C572,_CONFIG_Risk_Calibration!$A$5:$H$21,7,FALSE),1))</f>
        <v>1</v>
      </c>
      <c r="BP572">
        <f>IF($H572="","",MAX(1,MIN(5,((6-$H572)*0.45)+($BJ572*0.2)+('Resilience &amp; Risk Scenario'!$B$7*0.15)+($BK572*0.1)+($BL572*0.05)+(IF($BB572="Fast",5,IF($BB572="Slow",1,3))*0.05))))</f>
        <v>3.7</v>
      </c>
      <c r="BQ572">
        <f t="shared" si="77"/>
        <v>3.95</v>
      </c>
      <c r="BR572">
        <f t="shared" si="78"/>
        <v>14.62</v>
      </c>
      <c r="BS572">
        <f t="shared" si="79"/>
        <v>18.28</v>
      </c>
      <c r="BT572" t="str">
        <f>IFERROR(INDEX(_REF_Capability_Bridge!$D:$D,MATCH($C572&amp;"|"&amp;$D572,_REF_Capability_Bridge!$J:$J,0)),IFERROR(INDEX(_REF_Capability_Bridge!$D:$D,MATCH($C572&amp;"|",_REF_Capability_Bridge!$J:$J,0)),"CAP_GENERIC"))</f>
        <v>CAP_BACKUP_RECOVERY</v>
      </c>
      <c r="BU572">
        <f>IFERROR(IFERROR(INDEX(_ENGINE_Relevance!$L:$L,MATCH($BT572,_ENGINE_Relevance!$B:$B,0)),1),1)</f>
        <v>1</v>
      </c>
      <c r="BV572" t="str">
        <f>IFERROR(INDEX(_REF_Capability_Bridge!$A:$A,MATCH($C572&amp;"|"&amp;$D572,_REF_Capability_Bridge!$J:$J,0)),IFERROR(INDEX(_REF_Capability_Bridge!$A:$A,MATCH($C572&amp;"|",_REF_Capability_Bridge!$J:$J,0)),"No bridge"))</f>
        <v>BRG-042</v>
      </c>
      <c r="BW572" t="str">
        <f t="shared" si="80"/>
        <v>Capability relevance neutral</v>
      </c>
      <c r="BX572" t="str">
        <f t="shared" si="81"/>
        <v>Initial / absent</v>
      </c>
      <c r="BY572" t="str">
        <f>IF($E572="","",IFERROR(INDEX(_REF_Treatment_Library!$A$2:$A$296,MATCH(1,INDEX((_REF_Treatment_Library!$B$2:$B$296=$BT572)*(_REF_Treatment_Library!$C$2:$C$296=PV_Canonical_Industry)*(_REF_Treatment_Library!$E$2:$E$296&lt;=N($H572))*(_REF_Treatment_Library!$F$2:$F$296&gt;=N($H572))*(_REF_Treatment_Library!$O$2:$O$296="Yes"),0),0)),IFERROR(INDEX(_REF_Treatment_Library!$A$2:$A$296,MATCH(1,INDEX((_REF_Treatment_Library!$B$2:$B$296=$BT572)*(_REF_Treatment_Library!$C$2:$C$296="All")*(_REF_Treatment_Library!$E$2:$E$296&lt;=N($H572))*(_REF_Treatment_Library!$F$2:$F$296&gt;=N($H572))*(_REF_Treatment_Library!$O$2:$O$296="Yes"),0),0)),"")))</f>
        <v>TRT-BACKUP_RECOVERY-INITIAL</v>
      </c>
      <c r="BZ572" t="str">
        <f>IF($BY572="","",IFERROR(INDEX(_REF_Treatment_Library!$H$2:$H$296,MATCH($BY572,_REF_Treatment_Library!$A$2:$A$296,0)),""))</f>
        <v>Establish</v>
      </c>
      <c r="CA572" t="str">
        <f>IF($BY572="","",IFERROR(INDEX(_REF_Treatment_Library!$I$2:$I$296,MATCH($BY572,_REF_Treatment_Library!$A$2:$A$296,0)),""))</f>
        <v>Establish baseline controls for Backup / recovery</v>
      </c>
      <c r="CB572" t="str">
        <f>IF($BY572="","",IFERROR(INDEX(_REF_Treatment_Library!$K$2:$K$296,MATCH($BY572,_REF_Treatment_Library!$A$2:$A$296,0)),""))</f>
        <v>Named owner, baseline process, minimum control checklist, first evidence package</v>
      </c>
      <c r="CC572" t="str">
        <f>IF($BY572="","",IFERROR(INDEX(_REF_Treatment_Library!$L$2:$L$296,MATCH($BY572,_REF_Treatment_Library!$A$2:$A$296,0)),""))</f>
        <v>Owner assigned; baseline evidence coverage; open critical gaps</v>
      </c>
      <c r="CD572" t="str">
        <f t="shared" si="82"/>
        <v>Treatment by capability=CAP_BACKUP_RECOVERY; band=Initial / absent; score=0.0; treatment=Establish</v>
      </c>
      <c r="CE572" t="str">
        <f>IF($E572="","",IFERROR(INDEX(_REF_Industry_Wording!$A$2:$A$70,MATCH(1,INDEX((_REF_Industry_Wording!$B$2:$B$70=$BT572)*(_REF_Industry_Wording!$C$2:$C$70=PV_Canonical_Industry)*(_REF_Industry_Wording!$K$2:$K$70="Yes"),0),0)),IFERROR(INDEX(_REF_Industry_Wording!$A$2:$A$70,MATCH(1,INDEX((_REF_Industry_Wording!$B$2:$B$70=$BT572)*(_REF_Industry_Wording!$C$2:$C$70="All")*(_REF_Industry_Wording!$K$2:$K$70="Yes"),0),0)),"")))</f>
        <v>IW-ALL-BACKUP_RECOVERY</v>
      </c>
      <c r="CF572" t="str">
        <f>IF($CE572="","",IFERROR(INDEX(_REF_Industry_Wording!$E$2:$E$70,MATCH($CE572,_REF_Industry_Wording!$A$2:$A$70,0)),""))</f>
        <v>Backup / recovery weakness</v>
      </c>
      <c r="CG572" t="str">
        <f>IF($CE572="","",IFERROR(INDEX(_REF_Industry_Wording!$F$2:$F$70,MATCH($CE572,_REF_Industry_Wording!$A$2:$A$70,0)),""))</f>
        <v>Strengthen Backup / recovery</v>
      </c>
      <c r="CH572" t="str">
        <f>IF($CE572="","",IFERROR(INDEX(_REF_Industry_Wording!$G$2:$G$70,MATCH($CE572,_REF_Industry_Wording!$A$2:$A$70,0)),""))</f>
        <v>Strengthen Backup / recovery using the selected maturity treatment, crisis scenario and evidence requirements.</v>
      </c>
      <c r="CI572" t="str">
        <f>IF($CE572="","",IFERROR(INDEX(_REF_Industry_Wording!$H$2:$H$70,MATCH($CE572,_REF_Industry_Wording!$A$2:$A$70,0)),""))</f>
        <v>Backup / recovery</v>
      </c>
      <c r="CJ572">
        <f>IF($CE572="","",IFERROR(INDEX(_REF_Industry_Wording!$I$2:$I$70,MATCH($CE572,_REF_Industry_Wording!$A$2:$A$70,0)),""))</f>
        <v>0</v>
      </c>
      <c r="CK572" t="str">
        <f>IF($CE572="","",IFERROR(INDEX(_REF_Industry_Wording!$J$2:$J$70,MATCH($CE572,_REF_Industry_Wording!$A$2:$A$70,0)),""))</f>
        <v>Backup / recovery</v>
      </c>
      <c r="CL572" t="str">
        <f t="shared" si="83"/>
        <v>Wording by industry=0; capability=CAP_BACKUP_RECOVERY; risk label=Backup / recovery weakness</v>
      </c>
      <c r="CM572" t="str">
        <f t="shared" si="84"/>
        <v>RISK-ONT-0073</v>
      </c>
      <c r="CN572" t="str">
        <f t="shared" si="85"/>
        <v>RISK-EVT-0073</v>
      </c>
      <c r="CO572" t="str">
        <f t="shared" si="86"/>
        <v>HR Workforce|Workforce visibility|HRWO-006|CAP_BACKUP_RECOVERY</v>
      </c>
      <c r="CP572" t="str">
        <f t="shared" si="87"/>
        <v>Active</v>
      </c>
      <c r="CQ572" t="str">
        <f t="shared" si="88"/>
        <v>OK: capability-driven</v>
      </c>
      <c r="CR572" t="str">
        <f t="shared" si="89"/>
        <v>Risk ontology uses capability=CAP_BACKUP_RECOVERY; bridge=BRG-042; treatment=TRT-BACKUP_RECOVERY-INITIAL; wording=IW-ALL-BACKUP_RECOVERY</v>
      </c>
      <c r="CS572" t="str">
        <f t="shared" si="90"/>
        <v>Yes</v>
      </c>
    </row>
    <row r="573" spans="1:97" ht="69.900000000000006" customHeight="1">
      <c r="A573">
        <f>IF(OR($B573&lt;&gt;"Yes",$BS573=""),"",SUMPRODUCT(($B$500:$B$923="Yes")*ISNUMBER($BS$500:$BS$923)*($BS$500:$BS$923&gt;$BS573))+COUNTIFS($B$500:$B573,"Yes",$BS$500:$BS573,$BS573))</f>
        <v>117</v>
      </c>
      <c r="B573" t="str">
        <f t="shared" si="59"/>
        <v>Yes</v>
      </c>
      <c r="C573" t="s">
        <v>1259</v>
      </c>
      <c r="D573" t="s">
        <v>1270</v>
      </c>
      <c r="E573" t="s">
        <v>1291</v>
      </c>
      <c r="F573" t="s">
        <v>3682</v>
      </c>
      <c r="G573" t="str">
        <f>IF($H573="","",IFERROR(INDEX(_ENGINE_Risk!$H$5:$M$499,MATCH($E573,_ENGINE_Risk!$A$5:$A$499,0),$H573+1),""))</f>
        <v>Severe risk: hiring pipeline resilience for critical roles under market shortage or geographic disruption is not reliably controlled. During Workforce disruption; Pandemic/health crisis; War/security crisis, the organization may face loss of critical knowledge, reduced productivity, unmanaged absenteeism and inability to keep essential work running with limited visibility or accountability.</v>
      </c>
      <c r="H573">
        <f>IFERROR(VALUE(INDEX(_DATA_Assessment_Model!$H$5:$H$884,MATCH($E573,_DATA_Assessment_Model!$A$5:$A$884,0))),"")</f>
        <v>0</v>
      </c>
      <c r="I573" t="str">
        <f>IF($H573="","",IFERROR(INDEX(_DATA_Assessment_Model!$L$5:$L$884,MATCH($E573,_DATA_Assessment_Model!$A$5:$A$884,0)),IF($H573&lt;=1,"Critical",IF($H573=2,"High",IF($H573=3,"Medium",IF($H573=4,"Low","Resilient"))))))</f>
        <v>Critical</v>
      </c>
      <c r="J573">
        <f t="shared" si="60"/>
        <v>3.7</v>
      </c>
      <c r="K573">
        <f t="shared" si="61"/>
        <v>4.3500000000000005</v>
      </c>
      <c r="L573">
        <f t="shared" si="62"/>
        <v>16.095000000000002</v>
      </c>
      <c r="M573">
        <f t="shared" si="63"/>
        <v>4</v>
      </c>
      <c r="N573">
        <f>IF($H573="","",IFERROR(INDEX(_ENGINE_Risk!$T$5:$Y$499,MATCH($E573,_ENGINE_Risk!$A$5:$A$499,0),$H573+1),""))</f>
        <v>3</v>
      </c>
      <c r="O573">
        <f t="shared" si="64"/>
        <v>4.666666666666667</v>
      </c>
      <c r="P573">
        <f t="shared" si="65"/>
        <v>5</v>
      </c>
      <c r="Q573">
        <f t="shared" si="66"/>
        <v>5</v>
      </c>
      <c r="R573">
        <f t="shared" si="67"/>
        <v>4.5</v>
      </c>
      <c r="S573">
        <f t="shared" si="68"/>
        <v>1.6</v>
      </c>
      <c r="T573" t="str">
        <f>IF($H573="","",IFERROR(INDEX(_ENGINE_Risk!$N$5:$S$499,MATCH($E573,_ENGINE_Risk!$A$5:$A$499,0),$H573+1),""))</f>
        <v>Create an immediate risk owner, minimum control baseline and fallback procedure for hiring pipeline resilience for critical roles under market shortage or geographic disruption. Add it to the crisis risk register and collect first evidence.</v>
      </c>
      <c r="U573">
        <f>IFERROR(INDEX(_DATA_Assessment_Model!$G$5:$G$884,MATCH($E573,_DATA_Assessment_Model!$A$5:$A$884,0)),"")</f>
        <v>5</v>
      </c>
      <c r="V573">
        <f>IFERROR(INDEX(_DATA_Assessment_Model!$W$5:$W$884,MATCH($E573,_DATA_Assessment_Model!$A$5:$A$884,0)),"")</f>
        <v>4</v>
      </c>
      <c r="W573">
        <f>IFERROR(INDEX(_DATA_Assessment_Model!$X$5:$X$884,MATCH($E573,_DATA_Assessment_Model!$A$5:$A$884,0)),"")</f>
        <v>5</v>
      </c>
      <c r="X573">
        <f>IFERROR(INDEX(_DATA_Assessment_Model!$Y$5:$Y$884,MATCH($E573,_DATA_Assessment_Model!$A$5:$A$884,0)),"")</f>
        <v>5</v>
      </c>
      <c r="Y573" t="s">
        <v>1266</v>
      </c>
      <c r="Z573" t="s">
        <v>5544</v>
      </c>
      <c r="AA573" t="s">
        <v>1293</v>
      </c>
      <c r="AB573">
        <f>IFERROR(INDEX(_DATA_Assessment_Model!$U$5:$U$884,MATCH($E573,_DATA_Assessment_Model!$A$5:$A$884,0)),"")</f>
        <v>0</v>
      </c>
      <c r="AF573" t="s">
        <v>1292</v>
      </c>
      <c r="AO573">
        <f>IF($B573="Yes",IF(IFERROR(INDEX(_ENGINE_Crisis!$F$501:$F$517,MATCH($C573,_ENGINE_Crisis!$A$501:$A$517,0)),1)=0,1,IFERROR(INDEX(_ENGINE_Crisis!$F$501:$F$517,MATCH($C573,_ENGINE_Crisis!$A$501:$A$517,0)),1)),"")</f>
        <v>1</v>
      </c>
      <c r="AP573">
        <f t="shared" si="69"/>
        <v>16.100000000000001</v>
      </c>
      <c r="AQ573">
        <f t="shared" si="70"/>
        <v>1.6</v>
      </c>
      <c r="AR573" t="str">
        <f>IFERROR(INDEX(_ENGINE_Crisis!$E$41:$E$700,MATCH('Resilience &amp; Risk Scenario'!$B$6&amp;"|"&amp;$C573,_ENGINE_Crisis!$I$41:$I$700,0)),"")</f>
        <v/>
      </c>
      <c r="AS573" t="str">
        <f>IFERROR(INDEX(_ENGINE_Crisis!$G$41:$G$700,MATCH('Resilience &amp; Risk Scenario'!$B$6&amp;"|"&amp;$C573,_ENGINE_Crisis!$I$41:$I$700,0)),"")</f>
        <v/>
      </c>
      <c r="AT573" t="str">
        <f>IFERROR(INDEX(_ENGINE_Initiatives!$A$5:$A$532,MATCH(1,INDEX((_ENGINE_Initiatives!$B$5:$B$532=$C573)*(_ENGINE_Initiatives!$C$5:$C$532=$D573),0),0)),"")</f>
        <v>INI-012</v>
      </c>
      <c r="AU573" t="str">
        <f>IFERROR(INDEX(_ENGINE_Initiatives!$F$5:$F$532,MATCH(1,INDEX((_ENGINE_Initiatives!$B$5:$B$532=$C573)*(_ENGINE_Initiatives!$C$5:$C$532=$D573),0),0)),"")</f>
        <v>Build recruitment, retention and succession resilience plan</v>
      </c>
      <c r="AV573">
        <f>IFERROR(INDEX(_ENGINE_Initiatives!$AC$5:$AC$532,MATCH(1,INDEX((_ENGINE_Initiatives!$B$5:$B$532=$C573)*(_ENGINE_Initiatives!$C$5:$C$532=$D573),0),0)),"")</f>
        <v>1.79</v>
      </c>
      <c r="AW573" t="str">
        <f>IFERROR(INDEX(_ENGINE_Initiatives!$AE$5:$AE$532,MATCH(1,INDEX((_ENGINE_Initiatives!$B$5:$B$532=$C573)*(_ENGINE_Initiatives!$C$5:$C$532=$D573),0),0)),"")</f>
        <v>3-6 months</v>
      </c>
      <c r="AX573">
        <f>IF($B573="Yes",IFERROR((IF(SUMIFS(_REF_Model_Content!$E$1:$E$613,_REF_Model_Content!$A$1:$A$613,PV_Canonical_Industry,_REF_Model_Content!$B$1:$B$613,$C573)=0,1,SUMIFS(_REF_Model_Content!$E$1:$E$613,_REF_Model_Content!$A$1:$A$613,PV_Canonical_Industry,_REF_Model_Content!$B$1:$B$613,$C573))*IFERROR($BU573,1)),1),"")</f>
        <v>1</v>
      </c>
      <c r="AY573">
        <f t="shared" si="71"/>
        <v>16.100000000000001</v>
      </c>
      <c r="AZ573">
        <f t="shared" si="72"/>
        <v>1.6</v>
      </c>
      <c r="BB573" t="str">
        <f>IF($H573="","",IFERROR(INDEX(_ENGINE_Risk!$AE$5:$AE$499,MATCH($E573,_ENGINE_Risk!$A$5:$A$499,0)),"Medium"))</f>
        <v>Fast</v>
      </c>
      <c r="BC573">
        <f t="shared" si="73"/>
        <v>1.25</v>
      </c>
      <c r="BD573">
        <f t="shared" si="74"/>
        <v>1.6</v>
      </c>
      <c r="BF573">
        <f>IF(OR($H573="",$J573=""),"",IFERROR(VLOOKUP(ROUND($J573,0),_CONFIG_Model_Settings!$D$154:$E$158,2,0),""))</f>
        <v>0.5</v>
      </c>
      <c r="BG573">
        <f>IFERROR(IF(OR($H573="",$K573=""),"",ROUND('Company Profile'!$B$113*INDEX(_CONFIG_Model_Settings!$H$154:$H$158,MATCH(ROUND($K573,0),_CONFIG_Model_Settings!$G$154:$G$158,0)),0)),0)</f>
        <v>875</v>
      </c>
      <c r="BH573">
        <f t="shared" si="75"/>
        <v>437.5</v>
      </c>
      <c r="BI573">
        <f t="shared" si="76"/>
        <v>437.5</v>
      </c>
      <c r="BJ573">
        <f>IF($E573="","",IFERROR(VLOOKUP($C573,_CONFIG_Risk_Calibration!$A$5:$H$21,2,FALSE),3))</f>
        <v>3</v>
      </c>
      <c r="BK573">
        <f>IF($E573="","",IFERROR(VLOOKUP($C573,_CONFIG_Risk_Calibration!$A$5:$H$21,3,FALSE),0))</f>
        <v>0</v>
      </c>
      <c r="BL573">
        <f>IF($E573="","",IFERROR(VLOOKUP($C573,_CONFIG_Risk_Calibration!$A$5:$H$21,4,FALSE),3))</f>
        <v>3</v>
      </c>
      <c r="BM573">
        <f>IF($E573="","",IFERROR(VLOOKUP($C573,_CONFIG_Risk_Calibration!$A$5:$H$21,5,FALSE),3))</f>
        <v>3</v>
      </c>
      <c r="BN573" t="str">
        <f>IF($E573="","",IFERROR(VLOOKUP($C573,_CONFIG_Risk_Calibration!$A$5:$H$21,6,FALSE),"No"))</f>
        <v>No</v>
      </c>
      <c r="BO573">
        <f>IF($E573="","",IFERROR(VLOOKUP($C573,_CONFIG_Risk_Calibration!$A$5:$H$21,7,FALSE),1))</f>
        <v>1</v>
      </c>
      <c r="BP573">
        <f>IF($H573="","",MAX(1,MIN(5,((6-$H573)*0.45)+($BJ573*0.2)+('Resilience &amp; Risk Scenario'!$B$7*0.15)+($BK573*0.1)+($BL573*0.05)+(IF($BB573="Fast",5,IF($BB573="Slow",1,3))*0.05))))</f>
        <v>3.7</v>
      </c>
      <c r="BQ573">
        <f t="shared" si="77"/>
        <v>4.3500000000000005</v>
      </c>
      <c r="BR573">
        <f t="shared" si="78"/>
        <v>16.100000000000001</v>
      </c>
      <c r="BS573">
        <f t="shared" si="79"/>
        <v>20.13</v>
      </c>
      <c r="BT573" t="str">
        <f>IFERROR(INDEX(_REF_Capability_Bridge!$D:$D,MATCH($C573&amp;"|"&amp;$D573,_REF_Capability_Bridge!$J:$J,0)),IFERROR(INDEX(_REF_Capability_Bridge!$D:$D,MATCH($C573&amp;"|",_REF_Capability_Bridge!$J:$J,0)),"CAP_GENERIC"))</f>
        <v>CAP_SRE_OBSERVABILITY</v>
      </c>
      <c r="BU573">
        <f>IFERROR(IFERROR(INDEX(_ENGINE_Relevance!$L:$L,MATCH($BT573,_ENGINE_Relevance!$B:$B,0)),1),1)</f>
        <v>1</v>
      </c>
      <c r="BV573" t="str">
        <f>IFERROR(INDEX(_REF_Capability_Bridge!$A:$A,MATCH($C573&amp;"|"&amp;$D573,_REF_Capability_Bridge!$J:$J,0)),IFERROR(INDEX(_REF_Capability_Bridge!$A:$A,MATCH($C573&amp;"|",_REF_Capability_Bridge!$J:$J,0)),"No bridge"))</f>
        <v>BRG-041</v>
      </c>
      <c r="BW573" t="str">
        <f t="shared" si="80"/>
        <v>Capability relevance neutral</v>
      </c>
      <c r="BX573" t="str">
        <f t="shared" si="81"/>
        <v>Initial / absent</v>
      </c>
      <c r="BY573" t="str">
        <f>IF($E573="","",IFERROR(INDEX(_REF_Treatment_Library!$A$2:$A$296,MATCH(1,INDEX((_REF_Treatment_Library!$B$2:$B$296=$BT573)*(_REF_Treatment_Library!$C$2:$C$296=PV_Canonical_Industry)*(_REF_Treatment_Library!$E$2:$E$296&lt;=N($H573))*(_REF_Treatment_Library!$F$2:$F$296&gt;=N($H573))*(_REF_Treatment_Library!$O$2:$O$296="Yes"),0),0)),IFERROR(INDEX(_REF_Treatment_Library!$A$2:$A$296,MATCH(1,INDEX((_REF_Treatment_Library!$B$2:$B$296=$BT573)*(_REF_Treatment_Library!$C$2:$C$296="All")*(_REF_Treatment_Library!$E$2:$E$296&lt;=N($H573))*(_REF_Treatment_Library!$F$2:$F$296&gt;=N($H573))*(_REF_Treatment_Library!$O$2:$O$296="Yes"),0),0)),"")))</f>
        <v>TRT-SRE_OBSERVABILITY-INITIAL</v>
      </c>
      <c r="BZ573" t="str">
        <f>IF($BY573="","",IFERROR(INDEX(_REF_Treatment_Library!$H$2:$H$296,MATCH($BY573,_REF_Treatment_Library!$A$2:$A$296,0)),""))</f>
        <v>Establish</v>
      </c>
      <c r="CA573" t="str">
        <f>IF($BY573="","",IFERROR(INDEX(_REF_Treatment_Library!$I$2:$I$296,MATCH($BY573,_REF_Treatment_Library!$A$2:$A$296,0)),""))</f>
        <v>Establish baseline controls for SRE / Observability</v>
      </c>
      <c r="CB573" t="str">
        <f>IF($BY573="","",IFERROR(INDEX(_REF_Treatment_Library!$K$2:$K$296,MATCH($BY573,_REF_Treatment_Library!$A$2:$A$296,0)),""))</f>
        <v>Named owner, baseline process, minimum control checklist, first evidence package</v>
      </c>
      <c r="CC573" t="str">
        <f>IF($BY573="","",IFERROR(INDEX(_REF_Treatment_Library!$L$2:$L$296,MATCH($BY573,_REF_Treatment_Library!$A$2:$A$296,0)),""))</f>
        <v>Owner assigned; baseline evidence coverage; open critical gaps</v>
      </c>
      <c r="CD573" t="str">
        <f t="shared" si="82"/>
        <v>Treatment by capability=CAP_SRE_OBSERVABILITY; band=Initial / absent; score=0.0; treatment=Establish</v>
      </c>
      <c r="CE573" t="str">
        <f>IF($E573="","",IFERROR(INDEX(_REF_Industry_Wording!$A$2:$A$70,MATCH(1,INDEX((_REF_Industry_Wording!$B$2:$B$70=$BT573)*(_REF_Industry_Wording!$C$2:$C$70=PV_Canonical_Industry)*(_REF_Industry_Wording!$K$2:$K$70="Yes"),0),0)),IFERROR(INDEX(_REF_Industry_Wording!$A$2:$A$70,MATCH(1,INDEX((_REF_Industry_Wording!$B$2:$B$70=$BT573)*(_REF_Industry_Wording!$C$2:$C$70="All")*(_REF_Industry_Wording!$K$2:$K$70="Yes"),0),0)),"")))</f>
        <v>IW-ALL-SRE_OBSERVABILITY</v>
      </c>
      <c r="CF573" t="str">
        <f>IF($CE573="","",IFERROR(INDEX(_REF_Industry_Wording!$E$2:$E$70,MATCH($CE573,_REF_Industry_Wording!$A$2:$A$70,0)),""))</f>
        <v>SRE / Observability weakness</v>
      </c>
      <c r="CG573" t="str">
        <f>IF($CE573="","",IFERROR(INDEX(_REF_Industry_Wording!$F$2:$F$70,MATCH($CE573,_REF_Industry_Wording!$A$2:$A$70,0)),""))</f>
        <v>Strengthen SRE / Observability</v>
      </c>
      <c r="CH573" t="str">
        <f>IF($CE573="","",IFERROR(INDEX(_REF_Industry_Wording!$G$2:$G$70,MATCH($CE573,_REF_Industry_Wording!$A$2:$A$70,0)),""))</f>
        <v>Strengthen SRE / Observability using the selected maturity treatment, crisis scenario and evidence requirements.</v>
      </c>
      <c r="CI573" t="str">
        <f>IF($CE573="","",IFERROR(INDEX(_REF_Industry_Wording!$H$2:$H$70,MATCH($CE573,_REF_Industry_Wording!$A$2:$A$70,0)),""))</f>
        <v>SRE / Observability</v>
      </c>
      <c r="CJ573">
        <f>IF($CE573="","",IFERROR(INDEX(_REF_Industry_Wording!$I$2:$I$70,MATCH($CE573,_REF_Industry_Wording!$A$2:$A$70,0)),""))</f>
        <v>0</v>
      </c>
      <c r="CK573" t="str">
        <f>IF($CE573="","",IFERROR(INDEX(_REF_Industry_Wording!$J$2:$J$70,MATCH($CE573,_REF_Industry_Wording!$A$2:$A$70,0)),""))</f>
        <v>SRE / Observability</v>
      </c>
      <c r="CL573" t="str">
        <f t="shared" si="83"/>
        <v>Wording by industry=0; capability=CAP_SRE_OBSERVABILITY; risk label=SRE / Observability weakness</v>
      </c>
      <c r="CM573" t="str">
        <f t="shared" si="84"/>
        <v>RISK-ONT-0074</v>
      </c>
      <c r="CN573" t="str">
        <f t="shared" si="85"/>
        <v>RISK-EVT-0074</v>
      </c>
      <c r="CO573" t="str">
        <f t="shared" si="86"/>
        <v>HR Workforce|Recruitment and retention|HRWO-007|CAP_SRE_OBSERVABILITY</v>
      </c>
      <c r="CP573" t="str">
        <f t="shared" si="87"/>
        <v>Active</v>
      </c>
      <c r="CQ573" t="str">
        <f t="shared" si="88"/>
        <v>OK: capability-driven</v>
      </c>
      <c r="CR573" t="str">
        <f t="shared" si="89"/>
        <v>Risk ontology uses capability=CAP_SRE_OBSERVABILITY; bridge=BRG-041; treatment=TRT-SRE_OBSERVABILITY-INITIAL; wording=IW-ALL-SRE_OBSERVABILITY</v>
      </c>
      <c r="CS573" t="str">
        <f t="shared" si="90"/>
        <v>Yes</v>
      </c>
    </row>
    <row r="574" spans="1:97" ht="69.900000000000006" customHeight="1">
      <c r="A574">
        <f>IF(OR($B574&lt;&gt;"Yes",$BS574=""),"",SUMPRODUCT(($B$500:$B$923="Yes")*ISNUMBER($BS$500:$BS$923)*($BS$500:$BS$923&gt;$BS574))+COUNTIFS($B$500:$B574,"Yes",$BS$500:$BS574,$BS574))</f>
        <v>118</v>
      </c>
      <c r="B574" t="str">
        <f t="shared" si="59"/>
        <v>Yes</v>
      </c>
      <c r="C574" t="s">
        <v>1259</v>
      </c>
      <c r="D574" t="s">
        <v>1270</v>
      </c>
      <c r="E574" t="s">
        <v>1294</v>
      </c>
      <c r="F574" t="s">
        <v>3682</v>
      </c>
      <c r="G574" t="str">
        <f>IF($H574="","",IFERROR(INDEX(_ENGINE_Risk!$H$5:$M$499,MATCH($E574,_ENGINE_Risk!$A$5:$A$499,0),$H574+1),""))</f>
        <v>Severe risk: time-to-hire tracking by critical role, geography and seniority is not reliably controlled. During Workforce disruption; Pandemic/health crisis; War/security crisis, the organization may face loss of critical knowledge, reduced productivity, unmanaged absenteeism and inability to keep essential work running with limited visibility or accountability.</v>
      </c>
      <c r="H574">
        <f>IFERROR(VALUE(INDEX(_DATA_Assessment_Model!$H$5:$H$884,MATCH($E574,_DATA_Assessment_Model!$A$5:$A$884,0))),"")</f>
        <v>0</v>
      </c>
      <c r="I574" t="str">
        <f>IF($H574="","",IFERROR(INDEX(_DATA_Assessment_Model!$L$5:$L$884,MATCH($E574,_DATA_Assessment_Model!$A$5:$A$884,0)),IF($H574&lt;=1,"Critical",IF($H574=2,"High",IF($H574=3,"Medium",IF($H574=4,"Low","Resilient"))))))</f>
        <v>Critical</v>
      </c>
      <c r="J574">
        <f t="shared" si="60"/>
        <v>3.7</v>
      </c>
      <c r="K574">
        <f t="shared" si="61"/>
        <v>4.3500000000000005</v>
      </c>
      <c r="L574">
        <f t="shared" si="62"/>
        <v>16.095000000000002</v>
      </c>
      <c r="M574">
        <f t="shared" si="63"/>
        <v>4</v>
      </c>
      <c r="N574">
        <f>IF($H574="","",IFERROR(INDEX(_ENGINE_Risk!$T$5:$Y$499,MATCH($E574,_ENGINE_Risk!$A$5:$A$499,0),$H574+1),""))</f>
        <v>3</v>
      </c>
      <c r="O574">
        <f t="shared" si="64"/>
        <v>4.666666666666667</v>
      </c>
      <c r="P574">
        <f t="shared" si="65"/>
        <v>5</v>
      </c>
      <c r="Q574">
        <f t="shared" si="66"/>
        <v>5</v>
      </c>
      <c r="R574">
        <f t="shared" si="67"/>
        <v>4.5</v>
      </c>
      <c r="S574">
        <f t="shared" si="68"/>
        <v>1.6</v>
      </c>
      <c r="T574" t="str">
        <f>IF($H574="","",IFERROR(INDEX(_ENGINE_Risk!$N$5:$S$499,MATCH($E574,_ENGINE_Risk!$A$5:$A$499,0),$H574+1),""))</f>
        <v>Create an immediate risk owner, minimum control baseline and fallback procedure for time-to-hire tracking by critical role, geography and seniority. Add it to the crisis risk register and collect first evidence.</v>
      </c>
      <c r="U574">
        <f>IFERROR(INDEX(_DATA_Assessment_Model!$G$5:$G$884,MATCH($E574,_DATA_Assessment_Model!$A$5:$A$884,0)),"")</f>
        <v>5</v>
      </c>
      <c r="V574">
        <f>IFERROR(INDEX(_DATA_Assessment_Model!$W$5:$W$884,MATCH($E574,_DATA_Assessment_Model!$A$5:$A$884,0)),"")</f>
        <v>4</v>
      </c>
      <c r="W574">
        <f>IFERROR(INDEX(_DATA_Assessment_Model!$X$5:$X$884,MATCH($E574,_DATA_Assessment_Model!$A$5:$A$884,0)),"")</f>
        <v>5</v>
      </c>
      <c r="X574">
        <f>IFERROR(INDEX(_DATA_Assessment_Model!$Y$5:$Y$884,MATCH($E574,_DATA_Assessment_Model!$A$5:$A$884,0)),"")</f>
        <v>5</v>
      </c>
      <c r="Y574" t="s">
        <v>1266</v>
      </c>
      <c r="Z574" t="s">
        <v>5544</v>
      </c>
      <c r="AA574" t="s">
        <v>1296</v>
      </c>
      <c r="AB574">
        <f>IFERROR(INDEX(_DATA_Assessment_Model!$U$5:$U$884,MATCH($E574,_DATA_Assessment_Model!$A$5:$A$884,0)),"")</f>
        <v>0</v>
      </c>
      <c r="AF574" t="s">
        <v>1295</v>
      </c>
      <c r="AO574">
        <f>IF($B574="Yes",IF(IFERROR(INDEX(_ENGINE_Crisis!$F$501:$F$517,MATCH($C574,_ENGINE_Crisis!$A$501:$A$517,0)),1)=0,1,IFERROR(INDEX(_ENGINE_Crisis!$F$501:$F$517,MATCH($C574,_ENGINE_Crisis!$A$501:$A$517,0)),1)),"")</f>
        <v>1</v>
      </c>
      <c r="AP574">
        <f t="shared" si="69"/>
        <v>16.100000000000001</v>
      </c>
      <c r="AQ574">
        <f t="shared" si="70"/>
        <v>1.6</v>
      </c>
      <c r="AR574" t="str">
        <f>IFERROR(INDEX(_ENGINE_Crisis!$E$41:$E$700,MATCH('Resilience &amp; Risk Scenario'!$B$6&amp;"|"&amp;$C574,_ENGINE_Crisis!$I$41:$I$700,0)),"")</f>
        <v/>
      </c>
      <c r="AS574" t="str">
        <f>IFERROR(INDEX(_ENGINE_Crisis!$G$41:$G$700,MATCH('Resilience &amp; Risk Scenario'!$B$6&amp;"|"&amp;$C574,_ENGINE_Crisis!$I$41:$I$700,0)),"")</f>
        <v/>
      </c>
      <c r="AT574" t="str">
        <f>IFERROR(INDEX(_ENGINE_Initiatives!$A$5:$A$532,MATCH(1,INDEX((_ENGINE_Initiatives!$B$5:$B$532=$C574)*(_ENGINE_Initiatives!$C$5:$C$532=$D574),0),0)),"")</f>
        <v>INI-012</v>
      </c>
      <c r="AU574" t="str">
        <f>IFERROR(INDEX(_ENGINE_Initiatives!$F$5:$F$532,MATCH(1,INDEX((_ENGINE_Initiatives!$B$5:$B$532=$C574)*(_ENGINE_Initiatives!$C$5:$C$532=$D574),0),0)),"")</f>
        <v>Build recruitment, retention and succession resilience plan</v>
      </c>
      <c r="AV574">
        <f>IFERROR(INDEX(_ENGINE_Initiatives!$AC$5:$AC$532,MATCH(1,INDEX((_ENGINE_Initiatives!$B$5:$B$532=$C574)*(_ENGINE_Initiatives!$C$5:$C$532=$D574),0),0)),"")</f>
        <v>1.79</v>
      </c>
      <c r="AW574" t="str">
        <f>IFERROR(INDEX(_ENGINE_Initiatives!$AE$5:$AE$532,MATCH(1,INDEX((_ENGINE_Initiatives!$B$5:$B$532=$C574)*(_ENGINE_Initiatives!$C$5:$C$532=$D574),0),0)),"")</f>
        <v>3-6 months</v>
      </c>
      <c r="AX574">
        <f>IF($B574="Yes",IFERROR((IF(SUMIFS(_REF_Model_Content!$E$1:$E$613,_REF_Model_Content!$A$1:$A$613,PV_Canonical_Industry,_REF_Model_Content!$B$1:$B$613,$C574)=0,1,SUMIFS(_REF_Model_Content!$E$1:$E$613,_REF_Model_Content!$A$1:$A$613,PV_Canonical_Industry,_REF_Model_Content!$B$1:$B$613,$C574))*IFERROR($BU574,1)),1),"")</f>
        <v>1</v>
      </c>
      <c r="AY574">
        <f t="shared" si="71"/>
        <v>16.100000000000001</v>
      </c>
      <c r="AZ574">
        <f t="shared" si="72"/>
        <v>1.6</v>
      </c>
      <c r="BB574" t="str">
        <f>IF($H574="","",IFERROR(INDEX(_ENGINE_Risk!$AE$5:$AE$499,MATCH($E574,_ENGINE_Risk!$A$5:$A$499,0)),"Medium"))</f>
        <v>Fast</v>
      </c>
      <c r="BC574">
        <f t="shared" si="73"/>
        <v>1.25</v>
      </c>
      <c r="BD574">
        <f t="shared" si="74"/>
        <v>1.6</v>
      </c>
      <c r="BF574">
        <f>IF(OR($H574="",$J574=""),"",IFERROR(VLOOKUP(ROUND($J574,0),_CONFIG_Model_Settings!$D$154:$E$158,2,0),""))</f>
        <v>0.5</v>
      </c>
      <c r="BG574">
        <f>IFERROR(IF(OR($H574="",$K574=""),"",ROUND('Company Profile'!$B$113*INDEX(_CONFIG_Model_Settings!$H$154:$H$158,MATCH(ROUND($K574,0),_CONFIG_Model_Settings!$G$154:$G$158,0)),0)),0)</f>
        <v>875</v>
      </c>
      <c r="BH574">
        <f t="shared" si="75"/>
        <v>437.5</v>
      </c>
      <c r="BI574">
        <f t="shared" si="76"/>
        <v>437.5</v>
      </c>
      <c r="BJ574">
        <f>IF($E574="","",IFERROR(VLOOKUP($C574,_CONFIG_Risk_Calibration!$A$5:$H$21,2,FALSE),3))</f>
        <v>3</v>
      </c>
      <c r="BK574">
        <f>IF($E574="","",IFERROR(VLOOKUP($C574,_CONFIG_Risk_Calibration!$A$5:$H$21,3,FALSE),0))</f>
        <v>0</v>
      </c>
      <c r="BL574">
        <f>IF($E574="","",IFERROR(VLOOKUP($C574,_CONFIG_Risk_Calibration!$A$5:$H$21,4,FALSE),3))</f>
        <v>3</v>
      </c>
      <c r="BM574">
        <f>IF($E574="","",IFERROR(VLOOKUP($C574,_CONFIG_Risk_Calibration!$A$5:$H$21,5,FALSE),3))</f>
        <v>3</v>
      </c>
      <c r="BN574" t="str">
        <f>IF($E574="","",IFERROR(VLOOKUP($C574,_CONFIG_Risk_Calibration!$A$5:$H$21,6,FALSE),"No"))</f>
        <v>No</v>
      </c>
      <c r="BO574">
        <f>IF($E574="","",IFERROR(VLOOKUP($C574,_CONFIG_Risk_Calibration!$A$5:$H$21,7,FALSE),1))</f>
        <v>1</v>
      </c>
      <c r="BP574">
        <f>IF($H574="","",MAX(1,MIN(5,((6-$H574)*0.45)+($BJ574*0.2)+('Resilience &amp; Risk Scenario'!$B$7*0.15)+($BK574*0.1)+($BL574*0.05)+(IF($BB574="Fast",5,IF($BB574="Slow",1,3))*0.05))))</f>
        <v>3.7</v>
      </c>
      <c r="BQ574">
        <f t="shared" si="77"/>
        <v>4.3500000000000005</v>
      </c>
      <c r="BR574">
        <f t="shared" si="78"/>
        <v>16.100000000000001</v>
      </c>
      <c r="BS574">
        <f t="shared" si="79"/>
        <v>20.13</v>
      </c>
      <c r="BT574" t="str">
        <f>IFERROR(INDEX(_REF_Capability_Bridge!$D:$D,MATCH($C574&amp;"|"&amp;$D574,_REF_Capability_Bridge!$J:$J,0)),IFERROR(INDEX(_REF_Capability_Bridge!$D:$D,MATCH($C574&amp;"|",_REF_Capability_Bridge!$J:$J,0)),"CAP_GENERIC"))</f>
        <v>CAP_SRE_OBSERVABILITY</v>
      </c>
      <c r="BU574">
        <f>IFERROR(IFERROR(INDEX(_ENGINE_Relevance!$L:$L,MATCH($BT574,_ENGINE_Relevance!$B:$B,0)),1),1)</f>
        <v>1</v>
      </c>
      <c r="BV574" t="str">
        <f>IFERROR(INDEX(_REF_Capability_Bridge!$A:$A,MATCH($C574&amp;"|"&amp;$D574,_REF_Capability_Bridge!$J:$J,0)),IFERROR(INDEX(_REF_Capability_Bridge!$A:$A,MATCH($C574&amp;"|",_REF_Capability_Bridge!$J:$J,0)),"No bridge"))</f>
        <v>BRG-041</v>
      </c>
      <c r="BW574" t="str">
        <f t="shared" si="80"/>
        <v>Capability relevance neutral</v>
      </c>
      <c r="BX574" t="str">
        <f t="shared" si="81"/>
        <v>Initial / absent</v>
      </c>
      <c r="BY574" t="str">
        <f>IF($E574="","",IFERROR(INDEX(_REF_Treatment_Library!$A$2:$A$296,MATCH(1,INDEX((_REF_Treatment_Library!$B$2:$B$296=$BT574)*(_REF_Treatment_Library!$C$2:$C$296=PV_Canonical_Industry)*(_REF_Treatment_Library!$E$2:$E$296&lt;=N($H574))*(_REF_Treatment_Library!$F$2:$F$296&gt;=N($H574))*(_REF_Treatment_Library!$O$2:$O$296="Yes"),0),0)),IFERROR(INDEX(_REF_Treatment_Library!$A$2:$A$296,MATCH(1,INDEX((_REF_Treatment_Library!$B$2:$B$296=$BT574)*(_REF_Treatment_Library!$C$2:$C$296="All")*(_REF_Treatment_Library!$E$2:$E$296&lt;=N($H574))*(_REF_Treatment_Library!$F$2:$F$296&gt;=N($H574))*(_REF_Treatment_Library!$O$2:$O$296="Yes"),0),0)),"")))</f>
        <v>TRT-SRE_OBSERVABILITY-INITIAL</v>
      </c>
      <c r="BZ574" t="str">
        <f>IF($BY574="","",IFERROR(INDEX(_REF_Treatment_Library!$H$2:$H$296,MATCH($BY574,_REF_Treatment_Library!$A$2:$A$296,0)),""))</f>
        <v>Establish</v>
      </c>
      <c r="CA574" t="str">
        <f>IF($BY574="","",IFERROR(INDEX(_REF_Treatment_Library!$I$2:$I$296,MATCH($BY574,_REF_Treatment_Library!$A$2:$A$296,0)),""))</f>
        <v>Establish baseline controls for SRE / Observability</v>
      </c>
      <c r="CB574" t="str">
        <f>IF($BY574="","",IFERROR(INDEX(_REF_Treatment_Library!$K$2:$K$296,MATCH($BY574,_REF_Treatment_Library!$A$2:$A$296,0)),""))</f>
        <v>Named owner, baseline process, minimum control checklist, first evidence package</v>
      </c>
      <c r="CC574" t="str">
        <f>IF($BY574="","",IFERROR(INDEX(_REF_Treatment_Library!$L$2:$L$296,MATCH($BY574,_REF_Treatment_Library!$A$2:$A$296,0)),""))</f>
        <v>Owner assigned; baseline evidence coverage; open critical gaps</v>
      </c>
      <c r="CD574" t="str">
        <f t="shared" si="82"/>
        <v>Treatment by capability=CAP_SRE_OBSERVABILITY; band=Initial / absent; score=0.0; treatment=Establish</v>
      </c>
      <c r="CE574" t="str">
        <f>IF($E574="","",IFERROR(INDEX(_REF_Industry_Wording!$A$2:$A$70,MATCH(1,INDEX((_REF_Industry_Wording!$B$2:$B$70=$BT574)*(_REF_Industry_Wording!$C$2:$C$70=PV_Canonical_Industry)*(_REF_Industry_Wording!$K$2:$K$70="Yes"),0),0)),IFERROR(INDEX(_REF_Industry_Wording!$A$2:$A$70,MATCH(1,INDEX((_REF_Industry_Wording!$B$2:$B$70=$BT574)*(_REF_Industry_Wording!$C$2:$C$70="All")*(_REF_Industry_Wording!$K$2:$K$70="Yes"),0),0)),"")))</f>
        <v>IW-ALL-SRE_OBSERVABILITY</v>
      </c>
      <c r="CF574" t="str">
        <f>IF($CE574="","",IFERROR(INDEX(_REF_Industry_Wording!$E$2:$E$70,MATCH($CE574,_REF_Industry_Wording!$A$2:$A$70,0)),""))</f>
        <v>SRE / Observability weakness</v>
      </c>
      <c r="CG574" t="str">
        <f>IF($CE574="","",IFERROR(INDEX(_REF_Industry_Wording!$F$2:$F$70,MATCH($CE574,_REF_Industry_Wording!$A$2:$A$70,0)),""))</f>
        <v>Strengthen SRE / Observability</v>
      </c>
      <c r="CH574" t="str">
        <f>IF($CE574="","",IFERROR(INDEX(_REF_Industry_Wording!$G$2:$G$70,MATCH($CE574,_REF_Industry_Wording!$A$2:$A$70,0)),""))</f>
        <v>Strengthen SRE / Observability using the selected maturity treatment, crisis scenario and evidence requirements.</v>
      </c>
      <c r="CI574" t="str">
        <f>IF($CE574="","",IFERROR(INDEX(_REF_Industry_Wording!$H$2:$H$70,MATCH($CE574,_REF_Industry_Wording!$A$2:$A$70,0)),""))</f>
        <v>SRE / Observability</v>
      </c>
      <c r="CJ574">
        <f>IF($CE574="","",IFERROR(INDEX(_REF_Industry_Wording!$I$2:$I$70,MATCH($CE574,_REF_Industry_Wording!$A$2:$A$70,0)),""))</f>
        <v>0</v>
      </c>
      <c r="CK574" t="str">
        <f>IF($CE574="","",IFERROR(INDEX(_REF_Industry_Wording!$J$2:$J$70,MATCH($CE574,_REF_Industry_Wording!$A$2:$A$70,0)),""))</f>
        <v>SRE / Observability</v>
      </c>
      <c r="CL574" t="str">
        <f t="shared" si="83"/>
        <v>Wording by industry=0; capability=CAP_SRE_OBSERVABILITY; risk label=SRE / Observability weakness</v>
      </c>
      <c r="CM574" t="str">
        <f t="shared" si="84"/>
        <v>RISK-ONT-0075</v>
      </c>
      <c r="CN574" t="str">
        <f t="shared" si="85"/>
        <v>RISK-EVT-0075</v>
      </c>
      <c r="CO574" t="str">
        <f t="shared" si="86"/>
        <v>HR Workforce|Recruitment and retention|HRWO-008|CAP_SRE_OBSERVABILITY</v>
      </c>
      <c r="CP574" t="str">
        <f t="shared" si="87"/>
        <v>Active</v>
      </c>
      <c r="CQ574" t="str">
        <f t="shared" si="88"/>
        <v>OK: capability-driven</v>
      </c>
      <c r="CR574" t="str">
        <f t="shared" si="89"/>
        <v>Risk ontology uses capability=CAP_SRE_OBSERVABILITY; bridge=BRG-041; treatment=TRT-SRE_OBSERVABILITY-INITIAL; wording=IW-ALL-SRE_OBSERVABILITY</v>
      </c>
      <c r="CS574" t="str">
        <f t="shared" si="90"/>
        <v>Yes</v>
      </c>
    </row>
    <row r="575" spans="1:97" ht="69.900000000000006" customHeight="1">
      <c r="A575">
        <f>IF(OR($B575&lt;&gt;"Yes",$BS575=""),"",SUMPRODUCT(($B$500:$B$923="Yes")*ISNUMBER($BS$500:$BS$923)*($BS$500:$BS$923&gt;$BS575))+COUNTIFS($B$500:$B575,"Yes",$BS$500:$BS575,$BS575))</f>
        <v>119</v>
      </c>
      <c r="B575" t="str">
        <f t="shared" si="59"/>
        <v>Yes</v>
      </c>
      <c r="C575" t="s">
        <v>1259</v>
      </c>
      <c r="D575" t="s">
        <v>1270</v>
      </c>
      <c r="E575" t="s">
        <v>1297</v>
      </c>
      <c r="F575" t="s">
        <v>3682</v>
      </c>
      <c r="G575" t="str">
        <f>IF($H575="","",IFERROR(INDEX(_ENGINE_Risk!$H$5:$M$499,MATCH($E575,_ENGINE_Risk!$A$5:$A$499,0),$H575+1),""))</f>
        <v>Severe risk: alternative sourcing channels for critical roles, geographies and rare skills is not reliably controlled. During Workforce disruption; Pandemic/health crisis; War/security crisis, the organization may face loss of critical knowledge, reduced productivity, unmanaged absenteeism and inability to keep essential work running with limited visibility or accountability.</v>
      </c>
      <c r="H575">
        <f>IFERROR(VALUE(INDEX(_DATA_Assessment_Model!$H$5:$H$884,MATCH($E575,_DATA_Assessment_Model!$A$5:$A$884,0))),"")</f>
        <v>0</v>
      </c>
      <c r="I575" t="str">
        <f>IF($H575="","",IFERROR(INDEX(_DATA_Assessment_Model!$L$5:$L$884,MATCH($E575,_DATA_Assessment_Model!$A$5:$A$884,0)),IF($H575&lt;=1,"Critical",IF($H575=2,"High",IF($H575=3,"Medium",IF($H575=4,"Low","Resilient"))))))</f>
        <v>Critical</v>
      </c>
      <c r="J575">
        <f t="shared" si="60"/>
        <v>3.7</v>
      </c>
      <c r="K575">
        <f t="shared" si="61"/>
        <v>4.3500000000000005</v>
      </c>
      <c r="L575">
        <f t="shared" si="62"/>
        <v>16.095000000000002</v>
      </c>
      <c r="M575">
        <f t="shared" si="63"/>
        <v>4</v>
      </c>
      <c r="N575">
        <f>IF($H575="","",IFERROR(INDEX(_ENGINE_Risk!$T$5:$Y$499,MATCH($E575,_ENGINE_Risk!$A$5:$A$499,0),$H575+1),""))</f>
        <v>3</v>
      </c>
      <c r="O575">
        <f t="shared" si="64"/>
        <v>4.666666666666667</v>
      </c>
      <c r="P575">
        <f t="shared" si="65"/>
        <v>5</v>
      </c>
      <c r="Q575">
        <f t="shared" si="66"/>
        <v>5</v>
      </c>
      <c r="R575">
        <f t="shared" si="67"/>
        <v>4.5</v>
      </c>
      <c r="S575">
        <f t="shared" si="68"/>
        <v>1.6</v>
      </c>
      <c r="T575" t="str">
        <f>IF($H575="","",IFERROR(INDEX(_ENGINE_Risk!$N$5:$S$499,MATCH($E575,_ENGINE_Risk!$A$5:$A$499,0),$H575+1),""))</f>
        <v>Create an immediate risk owner, minimum control baseline and fallback procedure for alternative sourcing channels for critical roles, geographies and rare skills. Add it to the crisis risk register and collect first evidence.</v>
      </c>
      <c r="U575">
        <f>IFERROR(INDEX(_DATA_Assessment_Model!$G$5:$G$884,MATCH($E575,_DATA_Assessment_Model!$A$5:$A$884,0)),"")</f>
        <v>5</v>
      </c>
      <c r="V575">
        <f>IFERROR(INDEX(_DATA_Assessment_Model!$W$5:$W$884,MATCH($E575,_DATA_Assessment_Model!$A$5:$A$884,0)),"")</f>
        <v>4</v>
      </c>
      <c r="W575">
        <f>IFERROR(INDEX(_DATA_Assessment_Model!$X$5:$X$884,MATCH($E575,_DATA_Assessment_Model!$A$5:$A$884,0)),"")</f>
        <v>5</v>
      </c>
      <c r="X575">
        <f>IFERROR(INDEX(_DATA_Assessment_Model!$Y$5:$Y$884,MATCH($E575,_DATA_Assessment_Model!$A$5:$A$884,0)),"")</f>
        <v>5</v>
      </c>
      <c r="Y575" t="s">
        <v>1266</v>
      </c>
      <c r="Z575" t="s">
        <v>5544</v>
      </c>
      <c r="AA575" t="s">
        <v>1299</v>
      </c>
      <c r="AB575">
        <f>IFERROR(INDEX(_DATA_Assessment_Model!$U$5:$U$884,MATCH($E575,_DATA_Assessment_Model!$A$5:$A$884,0)),"")</f>
        <v>0</v>
      </c>
      <c r="AF575" t="s">
        <v>1298</v>
      </c>
      <c r="AO575">
        <f>IF($B575="Yes",IF(IFERROR(INDEX(_ENGINE_Crisis!$F$501:$F$517,MATCH($C575,_ENGINE_Crisis!$A$501:$A$517,0)),1)=0,1,IFERROR(INDEX(_ENGINE_Crisis!$F$501:$F$517,MATCH($C575,_ENGINE_Crisis!$A$501:$A$517,0)),1)),"")</f>
        <v>1</v>
      </c>
      <c r="AP575">
        <f t="shared" si="69"/>
        <v>16.100000000000001</v>
      </c>
      <c r="AQ575">
        <f t="shared" si="70"/>
        <v>1.6</v>
      </c>
      <c r="AR575" t="str">
        <f>IFERROR(INDEX(_ENGINE_Crisis!$E$41:$E$700,MATCH('Resilience &amp; Risk Scenario'!$B$6&amp;"|"&amp;$C575,_ENGINE_Crisis!$I$41:$I$700,0)),"")</f>
        <v/>
      </c>
      <c r="AS575" t="str">
        <f>IFERROR(INDEX(_ENGINE_Crisis!$G$41:$G$700,MATCH('Resilience &amp; Risk Scenario'!$B$6&amp;"|"&amp;$C575,_ENGINE_Crisis!$I$41:$I$700,0)),"")</f>
        <v/>
      </c>
      <c r="AT575" t="str">
        <f>IFERROR(INDEX(_ENGINE_Initiatives!$A$5:$A$532,MATCH(1,INDEX((_ENGINE_Initiatives!$B$5:$B$532=$C575)*(_ENGINE_Initiatives!$C$5:$C$532=$D575),0),0)),"")</f>
        <v>INI-012</v>
      </c>
      <c r="AU575" t="str">
        <f>IFERROR(INDEX(_ENGINE_Initiatives!$F$5:$F$532,MATCH(1,INDEX((_ENGINE_Initiatives!$B$5:$B$532=$C575)*(_ENGINE_Initiatives!$C$5:$C$532=$D575),0),0)),"")</f>
        <v>Build recruitment, retention and succession resilience plan</v>
      </c>
      <c r="AV575">
        <f>IFERROR(INDEX(_ENGINE_Initiatives!$AC$5:$AC$532,MATCH(1,INDEX((_ENGINE_Initiatives!$B$5:$B$532=$C575)*(_ENGINE_Initiatives!$C$5:$C$532=$D575),0),0)),"")</f>
        <v>1.79</v>
      </c>
      <c r="AW575" t="str">
        <f>IFERROR(INDEX(_ENGINE_Initiatives!$AE$5:$AE$532,MATCH(1,INDEX((_ENGINE_Initiatives!$B$5:$B$532=$C575)*(_ENGINE_Initiatives!$C$5:$C$532=$D575),0),0)),"")</f>
        <v>3-6 months</v>
      </c>
      <c r="AX575">
        <f>IF($B575="Yes",IFERROR((IF(SUMIFS(_REF_Model_Content!$E$1:$E$613,_REF_Model_Content!$A$1:$A$613,PV_Canonical_Industry,_REF_Model_Content!$B$1:$B$613,$C575)=0,1,SUMIFS(_REF_Model_Content!$E$1:$E$613,_REF_Model_Content!$A$1:$A$613,PV_Canonical_Industry,_REF_Model_Content!$B$1:$B$613,$C575))*IFERROR($BU575,1)),1),"")</f>
        <v>1</v>
      </c>
      <c r="AY575">
        <f t="shared" si="71"/>
        <v>16.100000000000001</v>
      </c>
      <c r="AZ575">
        <f t="shared" si="72"/>
        <v>1.6</v>
      </c>
      <c r="BB575" t="str">
        <f>IF($H575="","",IFERROR(INDEX(_ENGINE_Risk!$AE$5:$AE$499,MATCH($E575,_ENGINE_Risk!$A$5:$A$499,0)),"Medium"))</f>
        <v>Fast</v>
      </c>
      <c r="BC575">
        <f t="shared" si="73"/>
        <v>1.25</v>
      </c>
      <c r="BD575">
        <f t="shared" si="74"/>
        <v>1.6</v>
      </c>
      <c r="BF575">
        <f>IF(OR($H575="",$J575=""),"",IFERROR(VLOOKUP(ROUND($J575,0),_CONFIG_Model_Settings!$D$154:$E$158,2,0),""))</f>
        <v>0.5</v>
      </c>
      <c r="BG575">
        <f>IFERROR(IF(OR($H575="",$K575=""),"",ROUND('Company Profile'!$B$113*INDEX(_CONFIG_Model_Settings!$H$154:$H$158,MATCH(ROUND($K575,0),_CONFIG_Model_Settings!$G$154:$G$158,0)),0)),0)</f>
        <v>875</v>
      </c>
      <c r="BH575">
        <f t="shared" si="75"/>
        <v>437.5</v>
      </c>
      <c r="BI575">
        <f t="shared" si="76"/>
        <v>437.5</v>
      </c>
      <c r="BJ575">
        <f>IF($E575="","",IFERROR(VLOOKUP($C575,_CONFIG_Risk_Calibration!$A$5:$H$21,2,FALSE),3))</f>
        <v>3</v>
      </c>
      <c r="BK575">
        <f>IF($E575="","",IFERROR(VLOOKUP($C575,_CONFIG_Risk_Calibration!$A$5:$H$21,3,FALSE),0))</f>
        <v>0</v>
      </c>
      <c r="BL575">
        <f>IF($E575="","",IFERROR(VLOOKUP($C575,_CONFIG_Risk_Calibration!$A$5:$H$21,4,FALSE),3))</f>
        <v>3</v>
      </c>
      <c r="BM575">
        <f>IF($E575="","",IFERROR(VLOOKUP($C575,_CONFIG_Risk_Calibration!$A$5:$H$21,5,FALSE),3))</f>
        <v>3</v>
      </c>
      <c r="BN575" t="str">
        <f>IF($E575="","",IFERROR(VLOOKUP($C575,_CONFIG_Risk_Calibration!$A$5:$H$21,6,FALSE),"No"))</f>
        <v>No</v>
      </c>
      <c r="BO575">
        <f>IF($E575="","",IFERROR(VLOOKUP($C575,_CONFIG_Risk_Calibration!$A$5:$H$21,7,FALSE),1))</f>
        <v>1</v>
      </c>
      <c r="BP575">
        <f>IF($H575="","",MAX(1,MIN(5,((6-$H575)*0.45)+($BJ575*0.2)+('Resilience &amp; Risk Scenario'!$B$7*0.15)+($BK575*0.1)+($BL575*0.05)+(IF($BB575="Fast",5,IF($BB575="Slow",1,3))*0.05))))</f>
        <v>3.7</v>
      </c>
      <c r="BQ575">
        <f t="shared" si="77"/>
        <v>4.3500000000000005</v>
      </c>
      <c r="BR575">
        <f t="shared" si="78"/>
        <v>16.100000000000001</v>
      </c>
      <c r="BS575">
        <f t="shared" si="79"/>
        <v>20.13</v>
      </c>
      <c r="BT575" t="str">
        <f>IFERROR(INDEX(_REF_Capability_Bridge!$D:$D,MATCH($C575&amp;"|"&amp;$D575,_REF_Capability_Bridge!$J:$J,0)),IFERROR(INDEX(_REF_Capability_Bridge!$D:$D,MATCH($C575&amp;"|",_REF_Capability_Bridge!$J:$J,0)),"CAP_GENERIC"))</f>
        <v>CAP_SRE_OBSERVABILITY</v>
      </c>
      <c r="BU575">
        <f>IFERROR(IFERROR(INDEX(_ENGINE_Relevance!$L:$L,MATCH($BT575,_ENGINE_Relevance!$B:$B,0)),1),1)</f>
        <v>1</v>
      </c>
      <c r="BV575" t="str">
        <f>IFERROR(INDEX(_REF_Capability_Bridge!$A:$A,MATCH($C575&amp;"|"&amp;$D575,_REF_Capability_Bridge!$J:$J,0)),IFERROR(INDEX(_REF_Capability_Bridge!$A:$A,MATCH($C575&amp;"|",_REF_Capability_Bridge!$J:$J,0)),"No bridge"))</f>
        <v>BRG-041</v>
      </c>
      <c r="BW575" t="str">
        <f t="shared" si="80"/>
        <v>Capability relevance neutral</v>
      </c>
      <c r="BX575" t="str">
        <f t="shared" si="81"/>
        <v>Initial / absent</v>
      </c>
      <c r="BY575" t="str">
        <f>IF($E575="","",IFERROR(INDEX(_REF_Treatment_Library!$A$2:$A$296,MATCH(1,INDEX((_REF_Treatment_Library!$B$2:$B$296=$BT575)*(_REF_Treatment_Library!$C$2:$C$296=PV_Canonical_Industry)*(_REF_Treatment_Library!$E$2:$E$296&lt;=N($H575))*(_REF_Treatment_Library!$F$2:$F$296&gt;=N($H575))*(_REF_Treatment_Library!$O$2:$O$296="Yes"),0),0)),IFERROR(INDEX(_REF_Treatment_Library!$A$2:$A$296,MATCH(1,INDEX((_REF_Treatment_Library!$B$2:$B$296=$BT575)*(_REF_Treatment_Library!$C$2:$C$296="All")*(_REF_Treatment_Library!$E$2:$E$296&lt;=N($H575))*(_REF_Treatment_Library!$F$2:$F$296&gt;=N($H575))*(_REF_Treatment_Library!$O$2:$O$296="Yes"),0),0)),"")))</f>
        <v>TRT-SRE_OBSERVABILITY-INITIAL</v>
      </c>
      <c r="BZ575" t="str">
        <f>IF($BY575="","",IFERROR(INDEX(_REF_Treatment_Library!$H$2:$H$296,MATCH($BY575,_REF_Treatment_Library!$A$2:$A$296,0)),""))</f>
        <v>Establish</v>
      </c>
      <c r="CA575" t="str">
        <f>IF($BY575="","",IFERROR(INDEX(_REF_Treatment_Library!$I$2:$I$296,MATCH($BY575,_REF_Treatment_Library!$A$2:$A$296,0)),""))</f>
        <v>Establish baseline controls for SRE / Observability</v>
      </c>
      <c r="CB575" t="str">
        <f>IF($BY575="","",IFERROR(INDEX(_REF_Treatment_Library!$K$2:$K$296,MATCH($BY575,_REF_Treatment_Library!$A$2:$A$296,0)),""))</f>
        <v>Named owner, baseline process, minimum control checklist, first evidence package</v>
      </c>
      <c r="CC575" t="str">
        <f>IF($BY575="","",IFERROR(INDEX(_REF_Treatment_Library!$L$2:$L$296,MATCH($BY575,_REF_Treatment_Library!$A$2:$A$296,0)),""))</f>
        <v>Owner assigned; baseline evidence coverage; open critical gaps</v>
      </c>
      <c r="CD575" t="str">
        <f t="shared" si="82"/>
        <v>Treatment by capability=CAP_SRE_OBSERVABILITY; band=Initial / absent; score=0.0; treatment=Establish</v>
      </c>
      <c r="CE575" t="str">
        <f>IF($E575="","",IFERROR(INDEX(_REF_Industry_Wording!$A$2:$A$70,MATCH(1,INDEX((_REF_Industry_Wording!$B$2:$B$70=$BT575)*(_REF_Industry_Wording!$C$2:$C$70=PV_Canonical_Industry)*(_REF_Industry_Wording!$K$2:$K$70="Yes"),0),0)),IFERROR(INDEX(_REF_Industry_Wording!$A$2:$A$70,MATCH(1,INDEX((_REF_Industry_Wording!$B$2:$B$70=$BT575)*(_REF_Industry_Wording!$C$2:$C$70="All")*(_REF_Industry_Wording!$K$2:$K$70="Yes"),0),0)),"")))</f>
        <v>IW-ALL-SRE_OBSERVABILITY</v>
      </c>
      <c r="CF575" t="str">
        <f>IF($CE575="","",IFERROR(INDEX(_REF_Industry_Wording!$E$2:$E$70,MATCH($CE575,_REF_Industry_Wording!$A$2:$A$70,0)),""))</f>
        <v>SRE / Observability weakness</v>
      </c>
      <c r="CG575" t="str">
        <f>IF($CE575="","",IFERROR(INDEX(_REF_Industry_Wording!$F$2:$F$70,MATCH($CE575,_REF_Industry_Wording!$A$2:$A$70,0)),""))</f>
        <v>Strengthen SRE / Observability</v>
      </c>
      <c r="CH575" t="str">
        <f>IF($CE575="","",IFERROR(INDEX(_REF_Industry_Wording!$G$2:$G$70,MATCH($CE575,_REF_Industry_Wording!$A$2:$A$70,0)),""))</f>
        <v>Strengthen SRE / Observability using the selected maturity treatment, crisis scenario and evidence requirements.</v>
      </c>
      <c r="CI575" t="str">
        <f>IF($CE575="","",IFERROR(INDEX(_REF_Industry_Wording!$H$2:$H$70,MATCH($CE575,_REF_Industry_Wording!$A$2:$A$70,0)),""))</f>
        <v>SRE / Observability</v>
      </c>
      <c r="CJ575">
        <f>IF($CE575="","",IFERROR(INDEX(_REF_Industry_Wording!$I$2:$I$70,MATCH($CE575,_REF_Industry_Wording!$A$2:$A$70,0)),""))</f>
        <v>0</v>
      </c>
      <c r="CK575" t="str">
        <f>IF($CE575="","",IFERROR(INDEX(_REF_Industry_Wording!$J$2:$J$70,MATCH($CE575,_REF_Industry_Wording!$A$2:$A$70,0)),""))</f>
        <v>SRE / Observability</v>
      </c>
      <c r="CL575" t="str">
        <f t="shared" si="83"/>
        <v>Wording by industry=0; capability=CAP_SRE_OBSERVABILITY; risk label=SRE / Observability weakness</v>
      </c>
      <c r="CM575" t="str">
        <f t="shared" si="84"/>
        <v>RISK-ONT-0076</v>
      </c>
      <c r="CN575" t="str">
        <f t="shared" si="85"/>
        <v>RISK-EVT-0076</v>
      </c>
      <c r="CO575" t="str">
        <f t="shared" si="86"/>
        <v>HR Workforce|Recruitment and retention|HRWO-009|CAP_SRE_OBSERVABILITY</v>
      </c>
      <c r="CP575" t="str">
        <f t="shared" si="87"/>
        <v>Active</v>
      </c>
      <c r="CQ575" t="str">
        <f t="shared" si="88"/>
        <v>OK: capability-driven</v>
      </c>
      <c r="CR575" t="str">
        <f t="shared" si="89"/>
        <v>Risk ontology uses capability=CAP_SRE_OBSERVABILITY; bridge=BRG-041; treatment=TRT-SRE_OBSERVABILITY-INITIAL; wording=IW-ALL-SRE_OBSERVABILITY</v>
      </c>
      <c r="CS575" t="str">
        <f t="shared" si="90"/>
        <v>Yes</v>
      </c>
    </row>
    <row r="576" spans="1:97" ht="69.900000000000006" customHeight="1">
      <c r="A576">
        <f>IF(OR($B576&lt;&gt;"Yes",$BS576=""),"",SUMPRODUCT(($B$500:$B$923="Yes")*ISNUMBER($BS$500:$BS$923)*($BS$500:$BS$923&gt;$BS576))+COUNTIFS($B$500:$B576,"Yes",$BS$500:$BS576,$BS576))</f>
        <v>120</v>
      </c>
      <c r="B576" t="str">
        <f t="shared" si="59"/>
        <v>Yes</v>
      </c>
      <c r="C576" t="s">
        <v>1259</v>
      </c>
      <c r="D576" t="s">
        <v>1270</v>
      </c>
      <c r="E576" t="s">
        <v>1300</v>
      </c>
      <c r="F576" t="s">
        <v>3682</v>
      </c>
      <c r="G576" t="str">
        <f>IF($H576="","",IFERROR(INDEX(_ENGINE_Risk!$H$5:$M$499,MATCH($E576,_ENGINE_Risk!$A$5:$A$499,0),$H576+1),""))</f>
        <v>Severe risk: retention risk monitoring for critical people, high performers and scarce-skill roles is not reliably controlled. During Workforce disruption; Pandemic/health crisis; War/security crisis, the organization may face loss of critical knowledge, reduced productivity, unmanaged absenteeism and inability to keep essential work running with limited visibility or accountability.</v>
      </c>
      <c r="H576">
        <f>IFERROR(VALUE(INDEX(_DATA_Assessment_Model!$H$5:$H$884,MATCH($E576,_DATA_Assessment_Model!$A$5:$A$884,0))),"")</f>
        <v>0</v>
      </c>
      <c r="I576" t="str">
        <f>IF($H576="","",IFERROR(INDEX(_DATA_Assessment_Model!$L$5:$L$884,MATCH($E576,_DATA_Assessment_Model!$A$5:$A$884,0)),IF($H576&lt;=1,"Critical",IF($H576=2,"High",IF($H576=3,"Medium",IF($H576=4,"Low","Resilient"))))))</f>
        <v>Critical</v>
      </c>
      <c r="J576">
        <f t="shared" si="60"/>
        <v>3.7</v>
      </c>
      <c r="K576">
        <f t="shared" si="61"/>
        <v>4.3500000000000005</v>
      </c>
      <c r="L576">
        <f t="shared" si="62"/>
        <v>16.095000000000002</v>
      </c>
      <c r="M576">
        <f t="shared" si="63"/>
        <v>4</v>
      </c>
      <c r="N576">
        <f>IF($H576="","",IFERROR(INDEX(_ENGINE_Risk!$T$5:$Y$499,MATCH($E576,_ENGINE_Risk!$A$5:$A$499,0),$H576+1),""))</f>
        <v>3</v>
      </c>
      <c r="O576">
        <f t="shared" si="64"/>
        <v>4.666666666666667</v>
      </c>
      <c r="P576">
        <f t="shared" si="65"/>
        <v>5</v>
      </c>
      <c r="Q576">
        <f t="shared" si="66"/>
        <v>5</v>
      </c>
      <c r="R576">
        <f t="shared" si="67"/>
        <v>4.5</v>
      </c>
      <c r="S576">
        <f t="shared" si="68"/>
        <v>1.6</v>
      </c>
      <c r="T576" t="str">
        <f>IF($H576="","",IFERROR(INDEX(_ENGINE_Risk!$N$5:$S$499,MATCH($E576,_ENGINE_Risk!$A$5:$A$499,0),$H576+1),""))</f>
        <v>Create an immediate risk owner, minimum control baseline and fallback procedure for retention risk monitoring for critical people, high performers and scarce-skill roles. Add it to the crisis risk register and collect first evidence.</v>
      </c>
      <c r="U576">
        <f>IFERROR(INDEX(_DATA_Assessment_Model!$G$5:$G$884,MATCH($E576,_DATA_Assessment_Model!$A$5:$A$884,0)),"")</f>
        <v>5</v>
      </c>
      <c r="V576">
        <f>IFERROR(INDEX(_DATA_Assessment_Model!$W$5:$W$884,MATCH($E576,_DATA_Assessment_Model!$A$5:$A$884,0)),"")</f>
        <v>4</v>
      </c>
      <c r="W576">
        <f>IFERROR(INDEX(_DATA_Assessment_Model!$X$5:$X$884,MATCH($E576,_DATA_Assessment_Model!$A$5:$A$884,0)),"")</f>
        <v>5</v>
      </c>
      <c r="X576">
        <f>IFERROR(INDEX(_DATA_Assessment_Model!$Y$5:$Y$884,MATCH($E576,_DATA_Assessment_Model!$A$5:$A$884,0)),"")</f>
        <v>5</v>
      </c>
      <c r="Y576" t="s">
        <v>1266</v>
      </c>
      <c r="Z576" t="s">
        <v>5544</v>
      </c>
      <c r="AA576" t="s">
        <v>1302</v>
      </c>
      <c r="AB576">
        <f>IFERROR(INDEX(_DATA_Assessment_Model!$U$5:$U$884,MATCH($E576,_DATA_Assessment_Model!$A$5:$A$884,0)),"")</f>
        <v>0</v>
      </c>
      <c r="AF576" t="s">
        <v>1301</v>
      </c>
      <c r="AO576">
        <f>IF($B576="Yes",IF(IFERROR(INDEX(_ENGINE_Crisis!$F$501:$F$517,MATCH($C576,_ENGINE_Crisis!$A$501:$A$517,0)),1)=0,1,IFERROR(INDEX(_ENGINE_Crisis!$F$501:$F$517,MATCH($C576,_ENGINE_Crisis!$A$501:$A$517,0)),1)),"")</f>
        <v>1</v>
      </c>
      <c r="AP576">
        <f t="shared" si="69"/>
        <v>16.100000000000001</v>
      </c>
      <c r="AQ576">
        <f t="shared" si="70"/>
        <v>1.6</v>
      </c>
      <c r="AR576" t="str">
        <f>IFERROR(INDEX(_ENGINE_Crisis!$E$41:$E$700,MATCH('Resilience &amp; Risk Scenario'!$B$6&amp;"|"&amp;$C576,_ENGINE_Crisis!$I$41:$I$700,0)),"")</f>
        <v/>
      </c>
      <c r="AS576" t="str">
        <f>IFERROR(INDEX(_ENGINE_Crisis!$G$41:$G$700,MATCH('Resilience &amp; Risk Scenario'!$B$6&amp;"|"&amp;$C576,_ENGINE_Crisis!$I$41:$I$700,0)),"")</f>
        <v/>
      </c>
      <c r="AT576" t="str">
        <f>IFERROR(INDEX(_ENGINE_Initiatives!$A$5:$A$532,MATCH(1,INDEX((_ENGINE_Initiatives!$B$5:$B$532=$C576)*(_ENGINE_Initiatives!$C$5:$C$532=$D576),0),0)),"")</f>
        <v>INI-012</v>
      </c>
      <c r="AU576" t="str">
        <f>IFERROR(INDEX(_ENGINE_Initiatives!$F$5:$F$532,MATCH(1,INDEX((_ENGINE_Initiatives!$B$5:$B$532=$C576)*(_ENGINE_Initiatives!$C$5:$C$532=$D576),0),0)),"")</f>
        <v>Build recruitment, retention and succession resilience plan</v>
      </c>
      <c r="AV576">
        <f>IFERROR(INDEX(_ENGINE_Initiatives!$AC$5:$AC$532,MATCH(1,INDEX((_ENGINE_Initiatives!$B$5:$B$532=$C576)*(_ENGINE_Initiatives!$C$5:$C$532=$D576),0),0)),"")</f>
        <v>1.79</v>
      </c>
      <c r="AW576" t="str">
        <f>IFERROR(INDEX(_ENGINE_Initiatives!$AE$5:$AE$532,MATCH(1,INDEX((_ENGINE_Initiatives!$B$5:$B$532=$C576)*(_ENGINE_Initiatives!$C$5:$C$532=$D576),0),0)),"")</f>
        <v>3-6 months</v>
      </c>
      <c r="AX576">
        <f>IF($B576="Yes",IFERROR((IF(SUMIFS(_REF_Model_Content!$E$1:$E$613,_REF_Model_Content!$A$1:$A$613,PV_Canonical_Industry,_REF_Model_Content!$B$1:$B$613,$C576)=0,1,SUMIFS(_REF_Model_Content!$E$1:$E$613,_REF_Model_Content!$A$1:$A$613,PV_Canonical_Industry,_REF_Model_Content!$B$1:$B$613,$C576))*IFERROR($BU576,1)),1),"")</f>
        <v>1</v>
      </c>
      <c r="AY576">
        <f t="shared" si="71"/>
        <v>16.100000000000001</v>
      </c>
      <c r="AZ576">
        <f t="shared" si="72"/>
        <v>1.6</v>
      </c>
      <c r="BB576" t="str">
        <f>IF($H576="","",IFERROR(INDEX(_ENGINE_Risk!$AE$5:$AE$499,MATCH($E576,_ENGINE_Risk!$A$5:$A$499,0)),"Medium"))</f>
        <v>Fast</v>
      </c>
      <c r="BC576">
        <f t="shared" si="73"/>
        <v>1.25</v>
      </c>
      <c r="BD576">
        <f t="shared" si="74"/>
        <v>1.6</v>
      </c>
      <c r="BF576">
        <f>IF(OR($H576="",$J576=""),"",IFERROR(VLOOKUP(ROUND($J576,0),_CONFIG_Model_Settings!$D$154:$E$158,2,0),""))</f>
        <v>0.5</v>
      </c>
      <c r="BG576">
        <f>IFERROR(IF(OR($H576="",$K576=""),"",ROUND('Company Profile'!$B$113*INDEX(_CONFIG_Model_Settings!$H$154:$H$158,MATCH(ROUND($K576,0),_CONFIG_Model_Settings!$G$154:$G$158,0)),0)),0)</f>
        <v>875</v>
      </c>
      <c r="BH576">
        <f t="shared" si="75"/>
        <v>437.5</v>
      </c>
      <c r="BI576">
        <f t="shared" si="76"/>
        <v>437.5</v>
      </c>
      <c r="BJ576">
        <f>IF($E576="","",IFERROR(VLOOKUP($C576,_CONFIG_Risk_Calibration!$A$5:$H$21,2,FALSE),3))</f>
        <v>3</v>
      </c>
      <c r="BK576">
        <f>IF($E576="","",IFERROR(VLOOKUP($C576,_CONFIG_Risk_Calibration!$A$5:$H$21,3,FALSE),0))</f>
        <v>0</v>
      </c>
      <c r="BL576">
        <f>IF($E576="","",IFERROR(VLOOKUP($C576,_CONFIG_Risk_Calibration!$A$5:$H$21,4,FALSE),3))</f>
        <v>3</v>
      </c>
      <c r="BM576">
        <f>IF($E576="","",IFERROR(VLOOKUP($C576,_CONFIG_Risk_Calibration!$A$5:$H$21,5,FALSE),3))</f>
        <v>3</v>
      </c>
      <c r="BN576" t="str">
        <f>IF($E576="","",IFERROR(VLOOKUP($C576,_CONFIG_Risk_Calibration!$A$5:$H$21,6,FALSE),"No"))</f>
        <v>No</v>
      </c>
      <c r="BO576">
        <f>IF($E576="","",IFERROR(VLOOKUP($C576,_CONFIG_Risk_Calibration!$A$5:$H$21,7,FALSE),1))</f>
        <v>1</v>
      </c>
      <c r="BP576">
        <f>IF($H576="","",MAX(1,MIN(5,((6-$H576)*0.45)+($BJ576*0.2)+('Resilience &amp; Risk Scenario'!$B$7*0.15)+($BK576*0.1)+($BL576*0.05)+(IF($BB576="Fast",5,IF($BB576="Slow",1,3))*0.05))))</f>
        <v>3.7</v>
      </c>
      <c r="BQ576">
        <f t="shared" si="77"/>
        <v>4.3500000000000005</v>
      </c>
      <c r="BR576">
        <f t="shared" si="78"/>
        <v>16.100000000000001</v>
      </c>
      <c r="BS576">
        <f t="shared" si="79"/>
        <v>20.13</v>
      </c>
      <c r="BT576" t="str">
        <f>IFERROR(INDEX(_REF_Capability_Bridge!$D:$D,MATCH($C576&amp;"|"&amp;$D576,_REF_Capability_Bridge!$J:$J,0)),IFERROR(INDEX(_REF_Capability_Bridge!$D:$D,MATCH($C576&amp;"|",_REF_Capability_Bridge!$J:$J,0)),"CAP_GENERIC"))</f>
        <v>CAP_SRE_OBSERVABILITY</v>
      </c>
      <c r="BU576">
        <f>IFERROR(IFERROR(INDEX(_ENGINE_Relevance!$L:$L,MATCH($BT576,_ENGINE_Relevance!$B:$B,0)),1),1)</f>
        <v>1</v>
      </c>
      <c r="BV576" t="str">
        <f>IFERROR(INDEX(_REF_Capability_Bridge!$A:$A,MATCH($C576&amp;"|"&amp;$D576,_REF_Capability_Bridge!$J:$J,0)),IFERROR(INDEX(_REF_Capability_Bridge!$A:$A,MATCH($C576&amp;"|",_REF_Capability_Bridge!$J:$J,0)),"No bridge"))</f>
        <v>BRG-041</v>
      </c>
      <c r="BW576" t="str">
        <f t="shared" si="80"/>
        <v>Capability relevance neutral</v>
      </c>
      <c r="BX576" t="str">
        <f t="shared" si="81"/>
        <v>Initial / absent</v>
      </c>
      <c r="BY576" t="str">
        <f>IF($E576="","",IFERROR(INDEX(_REF_Treatment_Library!$A$2:$A$296,MATCH(1,INDEX((_REF_Treatment_Library!$B$2:$B$296=$BT576)*(_REF_Treatment_Library!$C$2:$C$296=PV_Canonical_Industry)*(_REF_Treatment_Library!$E$2:$E$296&lt;=N($H576))*(_REF_Treatment_Library!$F$2:$F$296&gt;=N($H576))*(_REF_Treatment_Library!$O$2:$O$296="Yes"),0),0)),IFERROR(INDEX(_REF_Treatment_Library!$A$2:$A$296,MATCH(1,INDEX((_REF_Treatment_Library!$B$2:$B$296=$BT576)*(_REF_Treatment_Library!$C$2:$C$296="All")*(_REF_Treatment_Library!$E$2:$E$296&lt;=N($H576))*(_REF_Treatment_Library!$F$2:$F$296&gt;=N($H576))*(_REF_Treatment_Library!$O$2:$O$296="Yes"),0),0)),"")))</f>
        <v>TRT-SRE_OBSERVABILITY-INITIAL</v>
      </c>
      <c r="BZ576" t="str">
        <f>IF($BY576="","",IFERROR(INDEX(_REF_Treatment_Library!$H$2:$H$296,MATCH($BY576,_REF_Treatment_Library!$A$2:$A$296,0)),""))</f>
        <v>Establish</v>
      </c>
      <c r="CA576" t="str">
        <f>IF($BY576="","",IFERROR(INDEX(_REF_Treatment_Library!$I$2:$I$296,MATCH($BY576,_REF_Treatment_Library!$A$2:$A$296,0)),""))</f>
        <v>Establish baseline controls for SRE / Observability</v>
      </c>
      <c r="CB576" t="str">
        <f>IF($BY576="","",IFERROR(INDEX(_REF_Treatment_Library!$K$2:$K$296,MATCH($BY576,_REF_Treatment_Library!$A$2:$A$296,0)),""))</f>
        <v>Named owner, baseline process, minimum control checklist, first evidence package</v>
      </c>
      <c r="CC576" t="str">
        <f>IF($BY576="","",IFERROR(INDEX(_REF_Treatment_Library!$L$2:$L$296,MATCH($BY576,_REF_Treatment_Library!$A$2:$A$296,0)),""))</f>
        <v>Owner assigned; baseline evidence coverage; open critical gaps</v>
      </c>
      <c r="CD576" t="str">
        <f t="shared" si="82"/>
        <v>Treatment by capability=CAP_SRE_OBSERVABILITY; band=Initial / absent; score=0.0; treatment=Establish</v>
      </c>
      <c r="CE576" t="str">
        <f>IF($E576="","",IFERROR(INDEX(_REF_Industry_Wording!$A$2:$A$70,MATCH(1,INDEX((_REF_Industry_Wording!$B$2:$B$70=$BT576)*(_REF_Industry_Wording!$C$2:$C$70=PV_Canonical_Industry)*(_REF_Industry_Wording!$K$2:$K$70="Yes"),0),0)),IFERROR(INDEX(_REF_Industry_Wording!$A$2:$A$70,MATCH(1,INDEX((_REF_Industry_Wording!$B$2:$B$70=$BT576)*(_REF_Industry_Wording!$C$2:$C$70="All")*(_REF_Industry_Wording!$K$2:$K$70="Yes"),0),0)),"")))</f>
        <v>IW-ALL-SRE_OBSERVABILITY</v>
      </c>
      <c r="CF576" t="str">
        <f>IF($CE576="","",IFERROR(INDEX(_REF_Industry_Wording!$E$2:$E$70,MATCH($CE576,_REF_Industry_Wording!$A$2:$A$70,0)),""))</f>
        <v>SRE / Observability weakness</v>
      </c>
      <c r="CG576" t="str">
        <f>IF($CE576="","",IFERROR(INDEX(_REF_Industry_Wording!$F$2:$F$70,MATCH($CE576,_REF_Industry_Wording!$A$2:$A$70,0)),""))</f>
        <v>Strengthen SRE / Observability</v>
      </c>
      <c r="CH576" t="str">
        <f>IF($CE576="","",IFERROR(INDEX(_REF_Industry_Wording!$G$2:$G$70,MATCH($CE576,_REF_Industry_Wording!$A$2:$A$70,0)),""))</f>
        <v>Strengthen SRE / Observability using the selected maturity treatment, crisis scenario and evidence requirements.</v>
      </c>
      <c r="CI576" t="str">
        <f>IF($CE576="","",IFERROR(INDEX(_REF_Industry_Wording!$H$2:$H$70,MATCH($CE576,_REF_Industry_Wording!$A$2:$A$70,0)),""))</f>
        <v>SRE / Observability</v>
      </c>
      <c r="CJ576">
        <f>IF($CE576="","",IFERROR(INDEX(_REF_Industry_Wording!$I$2:$I$70,MATCH($CE576,_REF_Industry_Wording!$A$2:$A$70,0)),""))</f>
        <v>0</v>
      </c>
      <c r="CK576" t="str">
        <f>IF($CE576="","",IFERROR(INDEX(_REF_Industry_Wording!$J$2:$J$70,MATCH($CE576,_REF_Industry_Wording!$A$2:$A$70,0)),""))</f>
        <v>SRE / Observability</v>
      </c>
      <c r="CL576" t="str">
        <f t="shared" si="83"/>
        <v>Wording by industry=0; capability=CAP_SRE_OBSERVABILITY; risk label=SRE / Observability weakness</v>
      </c>
      <c r="CM576" t="str">
        <f t="shared" si="84"/>
        <v>RISK-ONT-0077</v>
      </c>
      <c r="CN576" t="str">
        <f t="shared" si="85"/>
        <v>RISK-EVT-0077</v>
      </c>
      <c r="CO576" t="str">
        <f t="shared" si="86"/>
        <v>HR Workforce|Recruitment and retention|HRWO-010|CAP_SRE_OBSERVABILITY</v>
      </c>
      <c r="CP576" t="str">
        <f t="shared" si="87"/>
        <v>Active</v>
      </c>
      <c r="CQ576" t="str">
        <f t="shared" si="88"/>
        <v>OK: capability-driven</v>
      </c>
      <c r="CR576" t="str">
        <f t="shared" si="89"/>
        <v>Risk ontology uses capability=CAP_SRE_OBSERVABILITY; bridge=BRG-041; treatment=TRT-SRE_OBSERVABILITY-INITIAL; wording=IW-ALL-SRE_OBSERVABILITY</v>
      </c>
      <c r="CS576" t="str">
        <f t="shared" si="90"/>
        <v>Yes</v>
      </c>
    </row>
    <row r="577" spans="1:97" ht="69.900000000000006" customHeight="1">
      <c r="A577">
        <f>IF(OR($B577&lt;&gt;"Yes",$BS577=""),"",SUMPRODUCT(($B$500:$B$923="Yes")*ISNUMBER($BS$500:$BS$923)*($BS$500:$BS$923&gt;$BS577))+COUNTIFS($B$500:$B577,"Yes",$BS$500:$BS577,$BS577))</f>
        <v>121</v>
      </c>
      <c r="B577" t="str">
        <f t="shared" si="59"/>
        <v>Yes</v>
      </c>
      <c r="C577" t="s">
        <v>1259</v>
      </c>
      <c r="D577" t="s">
        <v>1270</v>
      </c>
      <c r="E577" t="s">
        <v>1303</v>
      </c>
      <c r="F577" t="s">
        <v>3682</v>
      </c>
      <c r="G577" t="str">
        <f>IF($H577="","",IFERROR(INDEX(_ENGINE_Risk!$H$5:$M$499,MATCH($E577,_ENGINE_Risk!$A$5:$A$499,0),$H577+1),""))</f>
        <v>Severe risk: compensation and payroll continuity during banking, legal or system disruption is not reliably controlled. During Workforce disruption; Pandemic/health crisis; War/security crisis, the organization may face loss of critical knowledge, reduced productivity, unmanaged absenteeism and inability to keep essential work running with limited visibility or accountability.</v>
      </c>
      <c r="H577">
        <f>IFERROR(VALUE(INDEX(_DATA_Assessment_Model!$H$5:$H$884,MATCH($E577,_DATA_Assessment_Model!$A$5:$A$884,0))),"")</f>
        <v>0</v>
      </c>
      <c r="I577" t="str">
        <f>IF($H577="","",IFERROR(INDEX(_DATA_Assessment_Model!$L$5:$L$884,MATCH($E577,_DATA_Assessment_Model!$A$5:$A$884,0)),IF($H577&lt;=1,"Critical",IF($H577=2,"High",IF($H577=3,"Medium",IF($H577=4,"Low","Resilient"))))))</f>
        <v>Critical</v>
      </c>
      <c r="J577">
        <f t="shared" si="60"/>
        <v>3.7</v>
      </c>
      <c r="K577">
        <f t="shared" si="61"/>
        <v>4.3500000000000005</v>
      </c>
      <c r="L577">
        <f t="shared" si="62"/>
        <v>16.095000000000002</v>
      </c>
      <c r="M577">
        <f t="shared" si="63"/>
        <v>4</v>
      </c>
      <c r="N577">
        <f>IF($H577="","",IFERROR(INDEX(_ENGINE_Risk!$T$5:$Y$499,MATCH($E577,_ENGINE_Risk!$A$5:$A$499,0),$H577+1),""))</f>
        <v>3</v>
      </c>
      <c r="O577">
        <f t="shared" si="64"/>
        <v>4.666666666666667</v>
      </c>
      <c r="P577">
        <f t="shared" si="65"/>
        <v>5</v>
      </c>
      <c r="Q577">
        <f t="shared" si="66"/>
        <v>5</v>
      </c>
      <c r="R577">
        <f t="shared" si="67"/>
        <v>4.5</v>
      </c>
      <c r="S577">
        <f t="shared" si="68"/>
        <v>1.6</v>
      </c>
      <c r="T577" t="str">
        <f>IF($H577="","",IFERROR(INDEX(_ENGINE_Risk!$N$5:$S$499,MATCH($E577,_ENGINE_Risk!$A$5:$A$499,0),$H577+1),""))</f>
        <v>Create an immediate risk owner, minimum control baseline and fallback procedure for compensation and payroll continuity during banking, legal or system disruption. Add it to the crisis risk register and collect first evidence.</v>
      </c>
      <c r="U577">
        <f>IFERROR(INDEX(_DATA_Assessment_Model!$G$5:$G$884,MATCH($E577,_DATA_Assessment_Model!$A$5:$A$884,0)),"")</f>
        <v>5</v>
      </c>
      <c r="V577">
        <f>IFERROR(INDEX(_DATA_Assessment_Model!$W$5:$W$884,MATCH($E577,_DATA_Assessment_Model!$A$5:$A$884,0)),"")</f>
        <v>4</v>
      </c>
      <c r="W577">
        <f>IFERROR(INDEX(_DATA_Assessment_Model!$X$5:$X$884,MATCH($E577,_DATA_Assessment_Model!$A$5:$A$884,0)),"")</f>
        <v>5</v>
      </c>
      <c r="X577">
        <f>IFERROR(INDEX(_DATA_Assessment_Model!$Y$5:$Y$884,MATCH($E577,_DATA_Assessment_Model!$A$5:$A$884,0)),"")</f>
        <v>5</v>
      </c>
      <c r="Y577" t="s">
        <v>1266</v>
      </c>
      <c r="Z577" t="s">
        <v>5544</v>
      </c>
      <c r="AA577" t="s">
        <v>1305</v>
      </c>
      <c r="AB577">
        <f>IFERROR(INDEX(_DATA_Assessment_Model!$U$5:$U$884,MATCH($E577,_DATA_Assessment_Model!$A$5:$A$884,0)),"")</f>
        <v>0</v>
      </c>
      <c r="AF577" t="s">
        <v>1304</v>
      </c>
      <c r="AO577">
        <f>IF($B577="Yes",IF(IFERROR(INDEX(_ENGINE_Crisis!$F$501:$F$517,MATCH($C577,_ENGINE_Crisis!$A$501:$A$517,0)),1)=0,1,IFERROR(INDEX(_ENGINE_Crisis!$F$501:$F$517,MATCH($C577,_ENGINE_Crisis!$A$501:$A$517,0)),1)),"")</f>
        <v>1</v>
      </c>
      <c r="AP577">
        <f t="shared" si="69"/>
        <v>16.100000000000001</v>
      </c>
      <c r="AQ577">
        <f t="shared" si="70"/>
        <v>1.6</v>
      </c>
      <c r="AR577" t="str">
        <f>IFERROR(INDEX(_ENGINE_Crisis!$E$41:$E$700,MATCH('Resilience &amp; Risk Scenario'!$B$6&amp;"|"&amp;$C577,_ENGINE_Crisis!$I$41:$I$700,0)),"")</f>
        <v/>
      </c>
      <c r="AS577" t="str">
        <f>IFERROR(INDEX(_ENGINE_Crisis!$G$41:$G$700,MATCH('Resilience &amp; Risk Scenario'!$B$6&amp;"|"&amp;$C577,_ENGINE_Crisis!$I$41:$I$700,0)),"")</f>
        <v/>
      </c>
      <c r="AT577" t="str">
        <f>IFERROR(INDEX(_ENGINE_Initiatives!$A$5:$A$532,MATCH(1,INDEX((_ENGINE_Initiatives!$B$5:$B$532=$C577)*(_ENGINE_Initiatives!$C$5:$C$532=$D577),0),0)),"")</f>
        <v>INI-012</v>
      </c>
      <c r="AU577" t="str">
        <f>IFERROR(INDEX(_ENGINE_Initiatives!$F$5:$F$532,MATCH(1,INDEX((_ENGINE_Initiatives!$B$5:$B$532=$C577)*(_ENGINE_Initiatives!$C$5:$C$532=$D577),0),0)),"")</f>
        <v>Build recruitment, retention and succession resilience plan</v>
      </c>
      <c r="AV577">
        <f>IFERROR(INDEX(_ENGINE_Initiatives!$AC$5:$AC$532,MATCH(1,INDEX((_ENGINE_Initiatives!$B$5:$B$532=$C577)*(_ENGINE_Initiatives!$C$5:$C$532=$D577),0),0)),"")</f>
        <v>1.79</v>
      </c>
      <c r="AW577" t="str">
        <f>IFERROR(INDEX(_ENGINE_Initiatives!$AE$5:$AE$532,MATCH(1,INDEX((_ENGINE_Initiatives!$B$5:$B$532=$C577)*(_ENGINE_Initiatives!$C$5:$C$532=$D577),0),0)),"")</f>
        <v>3-6 months</v>
      </c>
      <c r="AX577">
        <f>IF($B577="Yes",IFERROR((IF(SUMIFS(_REF_Model_Content!$E$1:$E$613,_REF_Model_Content!$A$1:$A$613,PV_Canonical_Industry,_REF_Model_Content!$B$1:$B$613,$C577)=0,1,SUMIFS(_REF_Model_Content!$E$1:$E$613,_REF_Model_Content!$A$1:$A$613,PV_Canonical_Industry,_REF_Model_Content!$B$1:$B$613,$C577))*IFERROR($BU577,1)),1),"")</f>
        <v>1</v>
      </c>
      <c r="AY577">
        <f t="shared" si="71"/>
        <v>16.100000000000001</v>
      </c>
      <c r="AZ577">
        <f t="shared" si="72"/>
        <v>1.6</v>
      </c>
      <c r="BB577" t="str">
        <f>IF($H577="","",IFERROR(INDEX(_ENGINE_Risk!$AE$5:$AE$499,MATCH($E577,_ENGINE_Risk!$A$5:$A$499,0)),"Medium"))</f>
        <v>Fast</v>
      </c>
      <c r="BC577">
        <f t="shared" si="73"/>
        <v>1.25</v>
      </c>
      <c r="BD577">
        <f t="shared" si="74"/>
        <v>1.6</v>
      </c>
      <c r="BF577">
        <f>IF(OR($H577="",$J577=""),"",IFERROR(VLOOKUP(ROUND($J577,0),_CONFIG_Model_Settings!$D$154:$E$158,2,0),""))</f>
        <v>0.5</v>
      </c>
      <c r="BG577">
        <f>IFERROR(IF(OR($H577="",$K577=""),"",ROUND('Company Profile'!$B$113*INDEX(_CONFIG_Model_Settings!$H$154:$H$158,MATCH(ROUND($K577,0),_CONFIG_Model_Settings!$G$154:$G$158,0)),0)),0)</f>
        <v>875</v>
      </c>
      <c r="BH577">
        <f t="shared" si="75"/>
        <v>437.5</v>
      </c>
      <c r="BI577">
        <f t="shared" si="76"/>
        <v>437.5</v>
      </c>
      <c r="BJ577">
        <f>IF($E577="","",IFERROR(VLOOKUP($C577,_CONFIG_Risk_Calibration!$A$5:$H$21,2,FALSE),3))</f>
        <v>3</v>
      </c>
      <c r="BK577">
        <f>IF($E577="","",IFERROR(VLOOKUP($C577,_CONFIG_Risk_Calibration!$A$5:$H$21,3,FALSE),0))</f>
        <v>0</v>
      </c>
      <c r="BL577">
        <f>IF($E577="","",IFERROR(VLOOKUP($C577,_CONFIG_Risk_Calibration!$A$5:$H$21,4,FALSE),3))</f>
        <v>3</v>
      </c>
      <c r="BM577">
        <f>IF($E577="","",IFERROR(VLOOKUP($C577,_CONFIG_Risk_Calibration!$A$5:$H$21,5,FALSE),3))</f>
        <v>3</v>
      </c>
      <c r="BN577" t="str">
        <f>IF($E577="","",IFERROR(VLOOKUP($C577,_CONFIG_Risk_Calibration!$A$5:$H$21,6,FALSE),"No"))</f>
        <v>No</v>
      </c>
      <c r="BO577">
        <f>IF($E577="","",IFERROR(VLOOKUP($C577,_CONFIG_Risk_Calibration!$A$5:$H$21,7,FALSE),1))</f>
        <v>1</v>
      </c>
      <c r="BP577">
        <f>IF($H577="","",MAX(1,MIN(5,((6-$H577)*0.45)+($BJ577*0.2)+('Resilience &amp; Risk Scenario'!$B$7*0.15)+($BK577*0.1)+($BL577*0.05)+(IF($BB577="Fast",5,IF($BB577="Slow",1,3))*0.05))))</f>
        <v>3.7</v>
      </c>
      <c r="BQ577">
        <f t="shared" si="77"/>
        <v>4.3500000000000005</v>
      </c>
      <c r="BR577">
        <f t="shared" si="78"/>
        <v>16.100000000000001</v>
      </c>
      <c r="BS577">
        <f t="shared" si="79"/>
        <v>20.13</v>
      </c>
      <c r="BT577" t="str">
        <f>IFERROR(INDEX(_REF_Capability_Bridge!$D:$D,MATCH($C577&amp;"|"&amp;$D577,_REF_Capability_Bridge!$J:$J,0)),IFERROR(INDEX(_REF_Capability_Bridge!$D:$D,MATCH($C577&amp;"|",_REF_Capability_Bridge!$J:$J,0)),"CAP_GENERIC"))</f>
        <v>CAP_SRE_OBSERVABILITY</v>
      </c>
      <c r="BU577">
        <f>IFERROR(IFERROR(INDEX(_ENGINE_Relevance!$L:$L,MATCH($BT577,_ENGINE_Relevance!$B:$B,0)),1),1)</f>
        <v>1</v>
      </c>
      <c r="BV577" t="str">
        <f>IFERROR(INDEX(_REF_Capability_Bridge!$A:$A,MATCH($C577&amp;"|"&amp;$D577,_REF_Capability_Bridge!$J:$J,0)),IFERROR(INDEX(_REF_Capability_Bridge!$A:$A,MATCH($C577&amp;"|",_REF_Capability_Bridge!$J:$J,0)),"No bridge"))</f>
        <v>BRG-041</v>
      </c>
      <c r="BW577" t="str">
        <f t="shared" si="80"/>
        <v>Capability relevance neutral</v>
      </c>
      <c r="BX577" t="str">
        <f t="shared" si="81"/>
        <v>Initial / absent</v>
      </c>
      <c r="BY577" t="str">
        <f>IF($E577="","",IFERROR(INDEX(_REF_Treatment_Library!$A$2:$A$296,MATCH(1,INDEX((_REF_Treatment_Library!$B$2:$B$296=$BT577)*(_REF_Treatment_Library!$C$2:$C$296=PV_Canonical_Industry)*(_REF_Treatment_Library!$E$2:$E$296&lt;=N($H577))*(_REF_Treatment_Library!$F$2:$F$296&gt;=N($H577))*(_REF_Treatment_Library!$O$2:$O$296="Yes"),0),0)),IFERROR(INDEX(_REF_Treatment_Library!$A$2:$A$296,MATCH(1,INDEX((_REF_Treatment_Library!$B$2:$B$296=$BT577)*(_REF_Treatment_Library!$C$2:$C$296="All")*(_REF_Treatment_Library!$E$2:$E$296&lt;=N($H577))*(_REF_Treatment_Library!$F$2:$F$296&gt;=N($H577))*(_REF_Treatment_Library!$O$2:$O$296="Yes"),0),0)),"")))</f>
        <v>TRT-SRE_OBSERVABILITY-INITIAL</v>
      </c>
      <c r="BZ577" t="str">
        <f>IF($BY577="","",IFERROR(INDEX(_REF_Treatment_Library!$H$2:$H$296,MATCH($BY577,_REF_Treatment_Library!$A$2:$A$296,0)),""))</f>
        <v>Establish</v>
      </c>
      <c r="CA577" t="str">
        <f>IF($BY577="","",IFERROR(INDEX(_REF_Treatment_Library!$I$2:$I$296,MATCH($BY577,_REF_Treatment_Library!$A$2:$A$296,0)),""))</f>
        <v>Establish baseline controls for SRE / Observability</v>
      </c>
      <c r="CB577" t="str">
        <f>IF($BY577="","",IFERROR(INDEX(_REF_Treatment_Library!$K$2:$K$296,MATCH($BY577,_REF_Treatment_Library!$A$2:$A$296,0)),""))</f>
        <v>Named owner, baseline process, minimum control checklist, first evidence package</v>
      </c>
      <c r="CC577" t="str">
        <f>IF($BY577="","",IFERROR(INDEX(_REF_Treatment_Library!$L$2:$L$296,MATCH($BY577,_REF_Treatment_Library!$A$2:$A$296,0)),""))</f>
        <v>Owner assigned; baseline evidence coverage; open critical gaps</v>
      </c>
      <c r="CD577" t="str">
        <f t="shared" si="82"/>
        <v>Treatment by capability=CAP_SRE_OBSERVABILITY; band=Initial / absent; score=0.0; treatment=Establish</v>
      </c>
      <c r="CE577" t="str">
        <f>IF($E577="","",IFERROR(INDEX(_REF_Industry_Wording!$A$2:$A$70,MATCH(1,INDEX((_REF_Industry_Wording!$B$2:$B$70=$BT577)*(_REF_Industry_Wording!$C$2:$C$70=PV_Canonical_Industry)*(_REF_Industry_Wording!$K$2:$K$70="Yes"),0),0)),IFERROR(INDEX(_REF_Industry_Wording!$A$2:$A$70,MATCH(1,INDEX((_REF_Industry_Wording!$B$2:$B$70=$BT577)*(_REF_Industry_Wording!$C$2:$C$70="All")*(_REF_Industry_Wording!$K$2:$K$70="Yes"),0),0)),"")))</f>
        <v>IW-ALL-SRE_OBSERVABILITY</v>
      </c>
      <c r="CF577" t="str">
        <f>IF($CE577="","",IFERROR(INDEX(_REF_Industry_Wording!$E$2:$E$70,MATCH($CE577,_REF_Industry_Wording!$A$2:$A$70,0)),""))</f>
        <v>SRE / Observability weakness</v>
      </c>
      <c r="CG577" t="str">
        <f>IF($CE577="","",IFERROR(INDEX(_REF_Industry_Wording!$F$2:$F$70,MATCH($CE577,_REF_Industry_Wording!$A$2:$A$70,0)),""))</f>
        <v>Strengthen SRE / Observability</v>
      </c>
      <c r="CH577" t="str">
        <f>IF($CE577="","",IFERROR(INDEX(_REF_Industry_Wording!$G$2:$G$70,MATCH($CE577,_REF_Industry_Wording!$A$2:$A$70,0)),""))</f>
        <v>Strengthen SRE / Observability using the selected maturity treatment, crisis scenario and evidence requirements.</v>
      </c>
      <c r="CI577" t="str">
        <f>IF($CE577="","",IFERROR(INDEX(_REF_Industry_Wording!$H$2:$H$70,MATCH($CE577,_REF_Industry_Wording!$A$2:$A$70,0)),""))</f>
        <v>SRE / Observability</v>
      </c>
      <c r="CJ577">
        <f>IF($CE577="","",IFERROR(INDEX(_REF_Industry_Wording!$I$2:$I$70,MATCH($CE577,_REF_Industry_Wording!$A$2:$A$70,0)),""))</f>
        <v>0</v>
      </c>
      <c r="CK577" t="str">
        <f>IF($CE577="","",IFERROR(INDEX(_REF_Industry_Wording!$J$2:$J$70,MATCH($CE577,_REF_Industry_Wording!$A$2:$A$70,0)),""))</f>
        <v>SRE / Observability</v>
      </c>
      <c r="CL577" t="str">
        <f t="shared" si="83"/>
        <v>Wording by industry=0; capability=CAP_SRE_OBSERVABILITY; risk label=SRE / Observability weakness</v>
      </c>
      <c r="CM577" t="str">
        <f t="shared" si="84"/>
        <v>RISK-ONT-0078</v>
      </c>
      <c r="CN577" t="str">
        <f t="shared" si="85"/>
        <v>RISK-EVT-0078</v>
      </c>
      <c r="CO577" t="str">
        <f t="shared" si="86"/>
        <v>HR Workforce|Recruitment and retention|HRWO-011|CAP_SRE_OBSERVABILITY</v>
      </c>
      <c r="CP577" t="str">
        <f t="shared" si="87"/>
        <v>Active</v>
      </c>
      <c r="CQ577" t="str">
        <f t="shared" si="88"/>
        <v>OK: capability-driven</v>
      </c>
      <c r="CR577" t="str">
        <f t="shared" si="89"/>
        <v>Risk ontology uses capability=CAP_SRE_OBSERVABILITY; bridge=BRG-041; treatment=TRT-SRE_OBSERVABILITY-INITIAL; wording=IW-ALL-SRE_OBSERVABILITY</v>
      </c>
      <c r="CS577" t="str">
        <f t="shared" si="90"/>
        <v>Yes</v>
      </c>
    </row>
    <row r="578" spans="1:97" ht="69.900000000000006" customHeight="1">
      <c r="A578">
        <f>IF(OR($B578&lt;&gt;"Yes",$BS578=""),"",SUMPRODUCT(($B$500:$B$923="Yes")*ISNUMBER($BS$500:$BS$923)*($BS$500:$BS$923&gt;$BS578))+COUNTIFS($B$500:$B578,"Yes",$BS$500:$BS578,$BS578))</f>
        <v>122</v>
      </c>
      <c r="B578" t="str">
        <f t="shared" si="59"/>
        <v>Yes</v>
      </c>
      <c r="C578" t="s">
        <v>1259</v>
      </c>
      <c r="D578" t="s">
        <v>1270</v>
      </c>
      <c r="E578" t="s">
        <v>1306</v>
      </c>
      <c r="F578" t="s">
        <v>3682</v>
      </c>
      <c r="G578" t="str">
        <f>IF($H578="","",IFERROR(INDEX(_ENGINE_Risk!$H$5:$M$499,MATCH($E578,_ENGINE_Risk!$A$5:$A$499,0),$H578+1),""))</f>
        <v>Severe risk: succession planning and deputies for all critical leadership and operational roles is not reliably controlled. During Workforce disruption; Pandemic/health crisis; War/security crisis, the organization may face loss of critical knowledge, reduced productivity, unmanaged absenteeism and inability to keep essential work running with limited visibility or accountability.</v>
      </c>
      <c r="H578">
        <f>IFERROR(VALUE(INDEX(_DATA_Assessment_Model!$H$5:$H$884,MATCH($E578,_DATA_Assessment_Model!$A$5:$A$884,0))),"")</f>
        <v>0</v>
      </c>
      <c r="I578" t="str">
        <f>IF($H578="","",IFERROR(INDEX(_DATA_Assessment_Model!$L$5:$L$884,MATCH($E578,_DATA_Assessment_Model!$A$5:$A$884,0)),IF($H578&lt;=1,"Critical",IF($H578=2,"High",IF($H578=3,"Medium",IF($H578=4,"Low","Resilient"))))))</f>
        <v>Critical</v>
      </c>
      <c r="J578">
        <f t="shared" si="60"/>
        <v>3.7</v>
      </c>
      <c r="K578">
        <f t="shared" si="61"/>
        <v>4.3500000000000005</v>
      </c>
      <c r="L578">
        <f t="shared" si="62"/>
        <v>16.095000000000002</v>
      </c>
      <c r="M578">
        <f t="shared" si="63"/>
        <v>4</v>
      </c>
      <c r="N578">
        <f>IF($H578="","",IFERROR(INDEX(_ENGINE_Risk!$T$5:$Y$499,MATCH($E578,_ENGINE_Risk!$A$5:$A$499,0),$H578+1),""))</f>
        <v>3</v>
      </c>
      <c r="O578">
        <f t="shared" si="64"/>
        <v>4.666666666666667</v>
      </c>
      <c r="P578">
        <f t="shared" si="65"/>
        <v>5</v>
      </c>
      <c r="Q578">
        <f t="shared" si="66"/>
        <v>5</v>
      </c>
      <c r="R578">
        <f t="shared" si="67"/>
        <v>4.5</v>
      </c>
      <c r="S578">
        <f t="shared" si="68"/>
        <v>1.6</v>
      </c>
      <c r="T578" t="str">
        <f>IF($H578="","",IFERROR(INDEX(_ENGINE_Risk!$N$5:$S$499,MATCH($E578,_ENGINE_Risk!$A$5:$A$499,0),$H578+1),""))</f>
        <v>Create an immediate risk owner, minimum control baseline and fallback procedure for succession planning and deputies for all critical leadership and operational roles. Add it to the crisis risk register and collect first evidence.</v>
      </c>
      <c r="U578">
        <f>IFERROR(INDEX(_DATA_Assessment_Model!$G$5:$G$884,MATCH($E578,_DATA_Assessment_Model!$A$5:$A$884,0)),"")</f>
        <v>5</v>
      </c>
      <c r="V578">
        <f>IFERROR(INDEX(_DATA_Assessment_Model!$W$5:$W$884,MATCH($E578,_DATA_Assessment_Model!$A$5:$A$884,0)),"")</f>
        <v>4</v>
      </c>
      <c r="W578">
        <f>IFERROR(INDEX(_DATA_Assessment_Model!$X$5:$X$884,MATCH($E578,_DATA_Assessment_Model!$A$5:$A$884,0)),"")</f>
        <v>5</v>
      </c>
      <c r="X578">
        <f>IFERROR(INDEX(_DATA_Assessment_Model!$Y$5:$Y$884,MATCH($E578,_DATA_Assessment_Model!$A$5:$A$884,0)),"")</f>
        <v>5</v>
      </c>
      <c r="Y578" t="s">
        <v>1266</v>
      </c>
      <c r="Z578" t="s">
        <v>5544</v>
      </c>
      <c r="AA578" t="s">
        <v>1308</v>
      </c>
      <c r="AB578">
        <f>IFERROR(INDEX(_DATA_Assessment_Model!$U$5:$U$884,MATCH($E578,_DATA_Assessment_Model!$A$5:$A$884,0)),"")</f>
        <v>0</v>
      </c>
      <c r="AF578" t="s">
        <v>1307</v>
      </c>
      <c r="AO578">
        <f>IF($B578="Yes",IF(IFERROR(INDEX(_ENGINE_Crisis!$F$501:$F$517,MATCH($C578,_ENGINE_Crisis!$A$501:$A$517,0)),1)=0,1,IFERROR(INDEX(_ENGINE_Crisis!$F$501:$F$517,MATCH($C578,_ENGINE_Crisis!$A$501:$A$517,0)),1)),"")</f>
        <v>1</v>
      </c>
      <c r="AP578">
        <f t="shared" si="69"/>
        <v>16.100000000000001</v>
      </c>
      <c r="AQ578">
        <f t="shared" si="70"/>
        <v>1.6</v>
      </c>
      <c r="AR578" t="str">
        <f>IFERROR(INDEX(_ENGINE_Crisis!$E$41:$E$700,MATCH('Resilience &amp; Risk Scenario'!$B$6&amp;"|"&amp;$C578,_ENGINE_Crisis!$I$41:$I$700,0)),"")</f>
        <v/>
      </c>
      <c r="AS578" t="str">
        <f>IFERROR(INDEX(_ENGINE_Crisis!$G$41:$G$700,MATCH('Resilience &amp; Risk Scenario'!$B$6&amp;"|"&amp;$C578,_ENGINE_Crisis!$I$41:$I$700,0)),"")</f>
        <v/>
      </c>
      <c r="AT578" t="str">
        <f>IFERROR(INDEX(_ENGINE_Initiatives!$A$5:$A$532,MATCH(1,INDEX((_ENGINE_Initiatives!$B$5:$B$532=$C578)*(_ENGINE_Initiatives!$C$5:$C$532=$D578),0),0)),"")</f>
        <v>INI-012</v>
      </c>
      <c r="AU578" t="str">
        <f>IFERROR(INDEX(_ENGINE_Initiatives!$F$5:$F$532,MATCH(1,INDEX((_ENGINE_Initiatives!$B$5:$B$532=$C578)*(_ENGINE_Initiatives!$C$5:$C$532=$D578),0),0)),"")</f>
        <v>Build recruitment, retention and succession resilience plan</v>
      </c>
      <c r="AV578">
        <f>IFERROR(INDEX(_ENGINE_Initiatives!$AC$5:$AC$532,MATCH(1,INDEX((_ENGINE_Initiatives!$B$5:$B$532=$C578)*(_ENGINE_Initiatives!$C$5:$C$532=$D578),0),0)),"")</f>
        <v>1.79</v>
      </c>
      <c r="AW578" t="str">
        <f>IFERROR(INDEX(_ENGINE_Initiatives!$AE$5:$AE$532,MATCH(1,INDEX((_ENGINE_Initiatives!$B$5:$B$532=$C578)*(_ENGINE_Initiatives!$C$5:$C$532=$D578),0),0)),"")</f>
        <v>3-6 months</v>
      </c>
      <c r="AX578">
        <f>IF($B578="Yes",IFERROR((IF(SUMIFS(_REF_Model_Content!$E$1:$E$613,_REF_Model_Content!$A$1:$A$613,PV_Canonical_Industry,_REF_Model_Content!$B$1:$B$613,$C578)=0,1,SUMIFS(_REF_Model_Content!$E$1:$E$613,_REF_Model_Content!$A$1:$A$613,PV_Canonical_Industry,_REF_Model_Content!$B$1:$B$613,$C578))*IFERROR($BU578,1)),1),"")</f>
        <v>1</v>
      </c>
      <c r="AY578">
        <f t="shared" si="71"/>
        <v>16.100000000000001</v>
      </c>
      <c r="AZ578">
        <f t="shared" si="72"/>
        <v>1.6</v>
      </c>
      <c r="BB578" t="str">
        <f>IF($H578="","",IFERROR(INDEX(_ENGINE_Risk!$AE$5:$AE$499,MATCH($E578,_ENGINE_Risk!$A$5:$A$499,0)),"Medium"))</f>
        <v>Fast</v>
      </c>
      <c r="BC578">
        <f t="shared" si="73"/>
        <v>1.25</v>
      </c>
      <c r="BD578">
        <f t="shared" si="74"/>
        <v>1.6</v>
      </c>
      <c r="BF578">
        <f>IF(OR($H578="",$J578=""),"",IFERROR(VLOOKUP(ROUND($J578,0),_CONFIG_Model_Settings!$D$154:$E$158,2,0),""))</f>
        <v>0.5</v>
      </c>
      <c r="BG578">
        <f>IFERROR(IF(OR($H578="",$K578=""),"",ROUND('Company Profile'!$B$113*INDEX(_CONFIG_Model_Settings!$H$154:$H$158,MATCH(ROUND($K578,0),_CONFIG_Model_Settings!$G$154:$G$158,0)),0)),0)</f>
        <v>875</v>
      </c>
      <c r="BH578">
        <f t="shared" si="75"/>
        <v>437.5</v>
      </c>
      <c r="BI578">
        <f t="shared" si="76"/>
        <v>437.5</v>
      </c>
      <c r="BJ578">
        <f>IF($E578="","",IFERROR(VLOOKUP($C578,_CONFIG_Risk_Calibration!$A$5:$H$21,2,FALSE),3))</f>
        <v>3</v>
      </c>
      <c r="BK578">
        <f>IF($E578="","",IFERROR(VLOOKUP($C578,_CONFIG_Risk_Calibration!$A$5:$H$21,3,FALSE),0))</f>
        <v>0</v>
      </c>
      <c r="BL578">
        <f>IF($E578="","",IFERROR(VLOOKUP($C578,_CONFIG_Risk_Calibration!$A$5:$H$21,4,FALSE),3))</f>
        <v>3</v>
      </c>
      <c r="BM578">
        <f>IF($E578="","",IFERROR(VLOOKUP($C578,_CONFIG_Risk_Calibration!$A$5:$H$21,5,FALSE),3))</f>
        <v>3</v>
      </c>
      <c r="BN578" t="str">
        <f>IF($E578="","",IFERROR(VLOOKUP($C578,_CONFIG_Risk_Calibration!$A$5:$H$21,6,FALSE),"No"))</f>
        <v>No</v>
      </c>
      <c r="BO578">
        <f>IF($E578="","",IFERROR(VLOOKUP($C578,_CONFIG_Risk_Calibration!$A$5:$H$21,7,FALSE),1))</f>
        <v>1</v>
      </c>
      <c r="BP578">
        <f>IF($H578="","",MAX(1,MIN(5,((6-$H578)*0.45)+($BJ578*0.2)+('Resilience &amp; Risk Scenario'!$B$7*0.15)+($BK578*0.1)+($BL578*0.05)+(IF($BB578="Fast",5,IF($BB578="Slow",1,3))*0.05))))</f>
        <v>3.7</v>
      </c>
      <c r="BQ578">
        <f t="shared" si="77"/>
        <v>4.3500000000000005</v>
      </c>
      <c r="BR578">
        <f t="shared" si="78"/>
        <v>16.100000000000001</v>
      </c>
      <c r="BS578">
        <f t="shared" si="79"/>
        <v>20.13</v>
      </c>
      <c r="BT578" t="str">
        <f>IFERROR(INDEX(_REF_Capability_Bridge!$D:$D,MATCH($C578&amp;"|"&amp;$D578,_REF_Capability_Bridge!$J:$J,0)),IFERROR(INDEX(_REF_Capability_Bridge!$D:$D,MATCH($C578&amp;"|",_REF_Capability_Bridge!$J:$J,0)),"CAP_GENERIC"))</f>
        <v>CAP_SRE_OBSERVABILITY</v>
      </c>
      <c r="BU578">
        <f>IFERROR(IFERROR(INDEX(_ENGINE_Relevance!$L:$L,MATCH($BT578,_ENGINE_Relevance!$B:$B,0)),1),1)</f>
        <v>1</v>
      </c>
      <c r="BV578" t="str">
        <f>IFERROR(INDEX(_REF_Capability_Bridge!$A:$A,MATCH($C578&amp;"|"&amp;$D578,_REF_Capability_Bridge!$J:$J,0)),IFERROR(INDEX(_REF_Capability_Bridge!$A:$A,MATCH($C578&amp;"|",_REF_Capability_Bridge!$J:$J,0)),"No bridge"))</f>
        <v>BRG-041</v>
      </c>
      <c r="BW578" t="str">
        <f t="shared" si="80"/>
        <v>Capability relevance neutral</v>
      </c>
      <c r="BX578" t="str">
        <f t="shared" si="81"/>
        <v>Initial / absent</v>
      </c>
      <c r="BY578" t="str">
        <f>IF($E578="","",IFERROR(INDEX(_REF_Treatment_Library!$A$2:$A$296,MATCH(1,INDEX((_REF_Treatment_Library!$B$2:$B$296=$BT578)*(_REF_Treatment_Library!$C$2:$C$296=PV_Canonical_Industry)*(_REF_Treatment_Library!$E$2:$E$296&lt;=N($H578))*(_REF_Treatment_Library!$F$2:$F$296&gt;=N($H578))*(_REF_Treatment_Library!$O$2:$O$296="Yes"),0),0)),IFERROR(INDEX(_REF_Treatment_Library!$A$2:$A$296,MATCH(1,INDEX((_REF_Treatment_Library!$B$2:$B$296=$BT578)*(_REF_Treatment_Library!$C$2:$C$296="All")*(_REF_Treatment_Library!$E$2:$E$296&lt;=N($H578))*(_REF_Treatment_Library!$F$2:$F$296&gt;=N($H578))*(_REF_Treatment_Library!$O$2:$O$296="Yes"),0),0)),"")))</f>
        <v>TRT-SRE_OBSERVABILITY-INITIAL</v>
      </c>
      <c r="BZ578" t="str">
        <f>IF($BY578="","",IFERROR(INDEX(_REF_Treatment_Library!$H$2:$H$296,MATCH($BY578,_REF_Treatment_Library!$A$2:$A$296,0)),""))</f>
        <v>Establish</v>
      </c>
      <c r="CA578" t="str">
        <f>IF($BY578="","",IFERROR(INDEX(_REF_Treatment_Library!$I$2:$I$296,MATCH($BY578,_REF_Treatment_Library!$A$2:$A$296,0)),""))</f>
        <v>Establish baseline controls for SRE / Observability</v>
      </c>
      <c r="CB578" t="str">
        <f>IF($BY578="","",IFERROR(INDEX(_REF_Treatment_Library!$K$2:$K$296,MATCH($BY578,_REF_Treatment_Library!$A$2:$A$296,0)),""))</f>
        <v>Named owner, baseline process, minimum control checklist, first evidence package</v>
      </c>
      <c r="CC578" t="str">
        <f>IF($BY578="","",IFERROR(INDEX(_REF_Treatment_Library!$L$2:$L$296,MATCH($BY578,_REF_Treatment_Library!$A$2:$A$296,0)),""))</f>
        <v>Owner assigned; baseline evidence coverage; open critical gaps</v>
      </c>
      <c r="CD578" t="str">
        <f t="shared" si="82"/>
        <v>Treatment by capability=CAP_SRE_OBSERVABILITY; band=Initial / absent; score=0.0; treatment=Establish</v>
      </c>
      <c r="CE578" t="str">
        <f>IF($E578="","",IFERROR(INDEX(_REF_Industry_Wording!$A$2:$A$70,MATCH(1,INDEX((_REF_Industry_Wording!$B$2:$B$70=$BT578)*(_REF_Industry_Wording!$C$2:$C$70=PV_Canonical_Industry)*(_REF_Industry_Wording!$K$2:$K$70="Yes"),0),0)),IFERROR(INDEX(_REF_Industry_Wording!$A$2:$A$70,MATCH(1,INDEX((_REF_Industry_Wording!$B$2:$B$70=$BT578)*(_REF_Industry_Wording!$C$2:$C$70="All")*(_REF_Industry_Wording!$K$2:$K$70="Yes"),0),0)),"")))</f>
        <v>IW-ALL-SRE_OBSERVABILITY</v>
      </c>
      <c r="CF578" t="str">
        <f>IF($CE578="","",IFERROR(INDEX(_REF_Industry_Wording!$E$2:$E$70,MATCH($CE578,_REF_Industry_Wording!$A$2:$A$70,0)),""))</f>
        <v>SRE / Observability weakness</v>
      </c>
      <c r="CG578" t="str">
        <f>IF($CE578="","",IFERROR(INDEX(_REF_Industry_Wording!$F$2:$F$70,MATCH($CE578,_REF_Industry_Wording!$A$2:$A$70,0)),""))</f>
        <v>Strengthen SRE / Observability</v>
      </c>
      <c r="CH578" t="str">
        <f>IF($CE578="","",IFERROR(INDEX(_REF_Industry_Wording!$G$2:$G$70,MATCH($CE578,_REF_Industry_Wording!$A$2:$A$70,0)),""))</f>
        <v>Strengthen SRE / Observability using the selected maturity treatment, crisis scenario and evidence requirements.</v>
      </c>
      <c r="CI578" t="str">
        <f>IF($CE578="","",IFERROR(INDEX(_REF_Industry_Wording!$H$2:$H$70,MATCH($CE578,_REF_Industry_Wording!$A$2:$A$70,0)),""))</f>
        <v>SRE / Observability</v>
      </c>
      <c r="CJ578">
        <f>IF($CE578="","",IFERROR(INDEX(_REF_Industry_Wording!$I$2:$I$70,MATCH($CE578,_REF_Industry_Wording!$A$2:$A$70,0)),""))</f>
        <v>0</v>
      </c>
      <c r="CK578" t="str">
        <f>IF($CE578="","",IFERROR(INDEX(_REF_Industry_Wording!$J$2:$J$70,MATCH($CE578,_REF_Industry_Wording!$A$2:$A$70,0)),""))</f>
        <v>SRE / Observability</v>
      </c>
      <c r="CL578" t="str">
        <f t="shared" si="83"/>
        <v>Wording by industry=0; capability=CAP_SRE_OBSERVABILITY; risk label=SRE / Observability weakness</v>
      </c>
      <c r="CM578" t="str">
        <f t="shared" si="84"/>
        <v>RISK-ONT-0079</v>
      </c>
      <c r="CN578" t="str">
        <f t="shared" si="85"/>
        <v>RISK-EVT-0079</v>
      </c>
      <c r="CO578" t="str">
        <f t="shared" si="86"/>
        <v>HR Workforce|Recruitment and retention|HRWO-012|CAP_SRE_OBSERVABILITY</v>
      </c>
      <c r="CP578" t="str">
        <f t="shared" si="87"/>
        <v>Active</v>
      </c>
      <c r="CQ578" t="str">
        <f t="shared" si="88"/>
        <v>OK: capability-driven</v>
      </c>
      <c r="CR578" t="str">
        <f t="shared" si="89"/>
        <v>Risk ontology uses capability=CAP_SRE_OBSERVABILITY; bridge=BRG-041; treatment=TRT-SRE_OBSERVABILITY-INITIAL; wording=IW-ALL-SRE_OBSERVABILITY</v>
      </c>
      <c r="CS578" t="str">
        <f t="shared" si="90"/>
        <v>Yes</v>
      </c>
    </row>
    <row r="579" spans="1:97" ht="69.900000000000006" customHeight="1">
      <c r="A579">
        <f>IF(OR($B579&lt;&gt;"Yes",$BS579=""),"",SUMPRODUCT(($B$500:$B$923="Yes")*ISNUMBER($BS$500:$BS$923)*($BS$500:$BS$923&gt;$BS579))+COUNTIFS($B$500:$B579,"Yes",$BS$500:$BS579,$BS579))</f>
        <v>158</v>
      </c>
      <c r="B579" t="str">
        <f t="shared" si="59"/>
        <v>Yes</v>
      </c>
      <c r="C579" t="s">
        <v>1259</v>
      </c>
      <c r="D579" t="s">
        <v>1274</v>
      </c>
      <c r="E579" t="s">
        <v>1309</v>
      </c>
      <c r="F579" t="s">
        <v>3682</v>
      </c>
      <c r="G579" t="str">
        <f>IF($H579="","",IFERROR(INDEX(_ENGINE_Risk!$H$5:$M$499,MATCH($E579,_ENGINE_Risk!$A$5:$A$499,0),$H579+1),""))</f>
        <v>Severe risk: remote onboarding with secure access, equipment, training and manager support is not reliably controlled. During Workforce disruption; Pandemic/health crisis; War/security crisis, the organization may face loss of critical knowledge, reduced productivity, unmanaged absenteeism and inability to keep essential work running with limited visibility or accountability.</v>
      </c>
      <c r="H579">
        <f>IFERROR(VALUE(INDEX(_DATA_Assessment_Model!$H$5:$H$884,MATCH($E579,_DATA_Assessment_Model!$A$5:$A$884,0))),"")</f>
        <v>0</v>
      </c>
      <c r="I579" t="str">
        <f>IF($H579="","",IFERROR(INDEX(_DATA_Assessment_Model!$L$5:$L$884,MATCH($E579,_DATA_Assessment_Model!$A$5:$A$884,0)),IF($H579&lt;=1,"Critical",IF($H579=2,"High",IF($H579=3,"Medium",IF($H579=4,"Low","Resilient"))))))</f>
        <v>Critical</v>
      </c>
      <c r="J579">
        <f t="shared" si="60"/>
        <v>3.7</v>
      </c>
      <c r="K579">
        <f t="shared" si="61"/>
        <v>4.1500000000000004</v>
      </c>
      <c r="L579">
        <f t="shared" si="62"/>
        <v>15.355000000000002</v>
      </c>
      <c r="M579">
        <f t="shared" si="63"/>
        <v>4</v>
      </c>
      <c r="N579">
        <f>IF($H579="","",IFERROR(INDEX(_ENGINE_Risk!$T$5:$Y$499,MATCH($E579,_ENGINE_Risk!$A$5:$A$499,0),$H579+1),""))</f>
        <v>3</v>
      </c>
      <c r="O579">
        <f t="shared" si="64"/>
        <v>4.333333333333333</v>
      </c>
      <c r="P579">
        <f t="shared" si="65"/>
        <v>5</v>
      </c>
      <c r="Q579">
        <f t="shared" si="66"/>
        <v>5</v>
      </c>
      <c r="R579">
        <f t="shared" si="67"/>
        <v>4.5</v>
      </c>
      <c r="S579">
        <f t="shared" si="68"/>
        <v>1.57</v>
      </c>
      <c r="T579" t="str">
        <f>IF($H579="","",IFERROR(INDEX(_ENGINE_Risk!$N$5:$S$499,MATCH($E579,_ENGINE_Risk!$A$5:$A$499,0),$H579+1),""))</f>
        <v>Create an immediate risk owner, minimum control baseline and fallback procedure for remote onboarding with secure access, equipment, training and manager support. Add it to the crisis risk register and collect first evidence.</v>
      </c>
      <c r="U579">
        <f>IFERROR(INDEX(_DATA_Assessment_Model!$G$5:$G$884,MATCH($E579,_DATA_Assessment_Model!$A$5:$A$884,0)),"")</f>
        <v>4</v>
      </c>
      <c r="V579">
        <f>IFERROR(INDEX(_DATA_Assessment_Model!$W$5:$W$884,MATCH($E579,_DATA_Assessment_Model!$A$5:$A$884,0)),"")</f>
        <v>4</v>
      </c>
      <c r="W579">
        <f>IFERROR(INDEX(_DATA_Assessment_Model!$X$5:$X$884,MATCH($E579,_DATA_Assessment_Model!$A$5:$A$884,0)),"")</f>
        <v>5</v>
      </c>
      <c r="X579">
        <f>IFERROR(INDEX(_DATA_Assessment_Model!$Y$5:$Y$884,MATCH($E579,_DATA_Assessment_Model!$A$5:$A$884,0)),"")</f>
        <v>5</v>
      </c>
      <c r="Y579" t="s">
        <v>1266</v>
      </c>
      <c r="Z579" t="s">
        <v>5544</v>
      </c>
      <c r="AA579" t="s">
        <v>1311</v>
      </c>
      <c r="AB579">
        <f>IFERROR(INDEX(_DATA_Assessment_Model!$U$5:$U$884,MATCH($E579,_DATA_Assessment_Model!$A$5:$A$884,0)),"")</f>
        <v>0</v>
      </c>
      <c r="AF579" t="s">
        <v>1310</v>
      </c>
      <c r="AO579">
        <f>IF($B579="Yes",IF(IFERROR(INDEX(_ENGINE_Crisis!$F$501:$F$517,MATCH($C579,_ENGINE_Crisis!$A$501:$A$517,0)),1)=0,1,IFERROR(INDEX(_ENGINE_Crisis!$F$501:$F$517,MATCH($C579,_ENGINE_Crisis!$A$501:$A$517,0)),1)),"")</f>
        <v>1</v>
      </c>
      <c r="AP579">
        <f t="shared" si="69"/>
        <v>15.4</v>
      </c>
      <c r="AQ579">
        <f t="shared" si="70"/>
        <v>1.57</v>
      </c>
      <c r="AR579" t="str">
        <f>IFERROR(INDEX(_ENGINE_Crisis!$E$41:$E$700,MATCH('Resilience &amp; Risk Scenario'!$B$6&amp;"|"&amp;$C579,_ENGINE_Crisis!$I$41:$I$700,0)),"")</f>
        <v/>
      </c>
      <c r="AS579" t="str">
        <f>IFERROR(INDEX(_ENGINE_Crisis!$G$41:$G$700,MATCH('Resilience &amp; Risk Scenario'!$B$6&amp;"|"&amp;$C579,_ENGINE_Crisis!$I$41:$I$700,0)),"")</f>
        <v/>
      </c>
      <c r="AT579" t="str">
        <f>IFERROR(INDEX(_ENGINE_Initiatives!$A$5:$A$532,MATCH(1,INDEX((_ENGINE_Initiatives!$B$5:$B$532=$C579)*(_ENGINE_Initiatives!$C$5:$C$532=$D579),0),0)),"")</f>
        <v>INI-013</v>
      </c>
      <c r="AU579" t="str">
        <f>IFERROR(INDEX(_ENGINE_Initiatives!$F$5:$F$532,MATCH(1,INDEX((_ENGINE_Initiatives!$B$5:$B$532=$C579)*(_ENGINE_Initiatives!$C$5:$C$532=$D579),0),0)),"")</f>
        <v>Implement workforce continuity, wellbeing and availability playbook</v>
      </c>
      <c r="AV579">
        <f>IFERROR(INDEX(_ENGINE_Initiatives!$AC$5:$AC$532,MATCH(1,INDEX((_ENGINE_Initiatives!$B$5:$B$532=$C579)*(_ENGINE_Initiatives!$C$5:$C$532=$D579),0),0)),"")</f>
        <v>1.78</v>
      </c>
      <c r="AW579" t="str">
        <f>IFERROR(INDEX(_ENGINE_Initiatives!$AE$5:$AE$532,MATCH(1,INDEX((_ENGINE_Initiatives!$B$5:$B$532=$C579)*(_ENGINE_Initiatives!$C$5:$C$532=$D579),0),0)),"")</f>
        <v>3-6 months</v>
      </c>
      <c r="AX579">
        <f>IF($B579="Yes",IFERROR((IF(SUMIFS(_REF_Model_Content!$E$1:$E$613,_REF_Model_Content!$A$1:$A$613,PV_Canonical_Industry,_REF_Model_Content!$B$1:$B$613,$C579)=0,1,SUMIFS(_REF_Model_Content!$E$1:$E$613,_REF_Model_Content!$A$1:$A$613,PV_Canonical_Industry,_REF_Model_Content!$B$1:$B$613,$C579))*IFERROR($BU579,1)),1),"")</f>
        <v>1</v>
      </c>
      <c r="AY579">
        <f t="shared" si="71"/>
        <v>15.4</v>
      </c>
      <c r="AZ579">
        <f t="shared" si="72"/>
        <v>1.57</v>
      </c>
      <c r="BB579" t="str">
        <f>IF($H579="","",IFERROR(INDEX(_ENGINE_Risk!$AE$5:$AE$499,MATCH($E579,_ENGINE_Risk!$A$5:$A$499,0)),"Medium"))</f>
        <v>Fast</v>
      </c>
      <c r="BC579">
        <f t="shared" si="73"/>
        <v>1.25</v>
      </c>
      <c r="BD579">
        <f t="shared" si="74"/>
        <v>1.57</v>
      </c>
      <c r="BF579">
        <f>IF(OR($H579="",$J579=""),"",IFERROR(VLOOKUP(ROUND($J579,0),_CONFIG_Model_Settings!$D$154:$E$158,2,0),""))</f>
        <v>0.5</v>
      </c>
      <c r="BG579">
        <f>IFERROR(IF(OR($H579="",$K579=""),"",ROUND('Company Profile'!$B$113*INDEX(_CONFIG_Model_Settings!$H$154:$H$158,MATCH(ROUND($K579,0),_CONFIG_Model_Settings!$G$154:$G$158,0)),0)),0)</f>
        <v>875</v>
      </c>
      <c r="BH579">
        <f t="shared" si="75"/>
        <v>437.5</v>
      </c>
      <c r="BI579">
        <f t="shared" si="76"/>
        <v>437.5</v>
      </c>
      <c r="BJ579">
        <f>IF($E579="","",IFERROR(VLOOKUP($C579,_CONFIG_Risk_Calibration!$A$5:$H$21,2,FALSE),3))</f>
        <v>3</v>
      </c>
      <c r="BK579">
        <f>IF($E579="","",IFERROR(VLOOKUP($C579,_CONFIG_Risk_Calibration!$A$5:$H$21,3,FALSE),0))</f>
        <v>0</v>
      </c>
      <c r="BL579">
        <f>IF($E579="","",IFERROR(VLOOKUP($C579,_CONFIG_Risk_Calibration!$A$5:$H$21,4,FALSE),3))</f>
        <v>3</v>
      </c>
      <c r="BM579">
        <f>IF($E579="","",IFERROR(VLOOKUP($C579,_CONFIG_Risk_Calibration!$A$5:$H$21,5,FALSE),3))</f>
        <v>3</v>
      </c>
      <c r="BN579" t="str">
        <f>IF($E579="","",IFERROR(VLOOKUP($C579,_CONFIG_Risk_Calibration!$A$5:$H$21,6,FALSE),"No"))</f>
        <v>No</v>
      </c>
      <c r="BO579">
        <f>IF($E579="","",IFERROR(VLOOKUP($C579,_CONFIG_Risk_Calibration!$A$5:$H$21,7,FALSE),1))</f>
        <v>1</v>
      </c>
      <c r="BP579">
        <f>IF($H579="","",MAX(1,MIN(5,((6-$H579)*0.45)+($BJ579*0.2)+('Resilience &amp; Risk Scenario'!$B$7*0.15)+($BK579*0.1)+($BL579*0.05)+(IF($BB579="Fast",5,IF($BB579="Slow",1,3))*0.05))))</f>
        <v>3.7</v>
      </c>
      <c r="BQ579">
        <f t="shared" si="77"/>
        <v>4.1500000000000004</v>
      </c>
      <c r="BR579">
        <f t="shared" si="78"/>
        <v>15.36</v>
      </c>
      <c r="BS579">
        <f t="shared" si="79"/>
        <v>19.2</v>
      </c>
      <c r="BT579" t="str">
        <f>IFERROR(INDEX(_REF_Capability_Bridge!$D:$D,MATCH($C579&amp;"|"&amp;$D579,_REF_Capability_Bridge!$J:$J,0)),IFERROR(INDEX(_REF_Capability_Bridge!$D:$D,MATCH($C579&amp;"|",_REF_Capability_Bridge!$J:$J,0)),"CAP_GENERIC"))</f>
        <v>CAP_BACKUP_RECOVERY</v>
      </c>
      <c r="BU579">
        <f>IFERROR(IFERROR(INDEX(_ENGINE_Relevance!$L:$L,MATCH($BT579,_ENGINE_Relevance!$B:$B,0)),1),1)</f>
        <v>1</v>
      </c>
      <c r="BV579" t="str">
        <f>IFERROR(INDEX(_REF_Capability_Bridge!$A:$A,MATCH($C579&amp;"|"&amp;$D579,_REF_Capability_Bridge!$J:$J,0)),IFERROR(INDEX(_REF_Capability_Bridge!$A:$A,MATCH($C579&amp;"|",_REF_Capability_Bridge!$J:$J,0)),"No bridge"))</f>
        <v>BRG-039</v>
      </c>
      <c r="BW579" t="str">
        <f t="shared" si="80"/>
        <v>Capability relevance neutral</v>
      </c>
      <c r="BX579" t="str">
        <f t="shared" si="81"/>
        <v>Initial / absent</v>
      </c>
      <c r="BY579" t="str">
        <f>IF($E579="","",IFERROR(INDEX(_REF_Treatment_Library!$A$2:$A$296,MATCH(1,INDEX((_REF_Treatment_Library!$B$2:$B$296=$BT579)*(_REF_Treatment_Library!$C$2:$C$296=PV_Canonical_Industry)*(_REF_Treatment_Library!$E$2:$E$296&lt;=N($H579))*(_REF_Treatment_Library!$F$2:$F$296&gt;=N($H579))*(_REF_Treatment_Library!$O$2:$O$296="Yes"),0),0)),IFERROR(INDEX(_REF_Treatment_Library!$A$2:$A$296,MATCH(1,INDEX((_REF_Treatment_Library!$B$2:$B$296=$BT579)*(_REF_Treatment_Library!$C$2:$C$296="All")*(_REF_Treatment_Library!$E$2:$E$296&lt;=N($H579))*(_REF_Treatment_Library!$F$2:$F$296&gt;=N($H579))*(_REF_Treatment_Library!$O$2:$O$296="Yes"),0),0)),"")))</f>
        <v>TRT-BACKUP_RECOVERY-INITIAL</v>
      </c>
      <c r="BZ579" t="str">
        <f>IF($BY579="","",IFERROR(INDEX(_REF_Treatment_Library!$H$2:$H$296,MATCH($BY579,_REF_Treatment_Library!$A$2:$A$296,0)),""))</f>
        <v>Establish</v>
      </c>
      <c r="CA579" t="str">
        <f>IF($BY579="","",IFERROR(INDEX(_REF_Treatment_Library!$I$2:$I$296,MATCH($BY579,_REF_Treatment_Library!$A$2:$A$296,0)),""))</f>
        <v>Establish baseline controls for Backup / recovery</v>
      </c>
      <c r="CB579" t="str">
        <f>IF($BY579="","",IFERROR(INDEX(_REF_Treatment_Library!$K$2:$K$296,MATCH($BY579,_REF_Treatment_Library!$A$2:$A$296,0)),""))</f>
        <v>Named owner, baseline process, minimum control checklist, first evidence package</v>
      </c>
      <c r="CC579" t="str">
        <f>IF($BY579="","",IFERROR(INDEX(_REF_Treatment_Library!$L$2:$L$296,MATCH($BY579,_REF_Treatment_Library!$A$2:$A$296,0)),""))</f>
        <v>Owner assigned; baseline evidence coverage; open critical gaps</v>
      </c>
      <c r="CD579" t="str">
        <f t="shared" si="82"/>
        <v>Treatment by capability=CAP_BACKUP_RECOVERY; band=Initial / absent; score=0.0; treatment=Establish</v>
      </c>
      <c r="CE579" t="str">
        <f>IF($E579="","",IFERROR(INDEX(_REF_Industry_Wording!$A$2:$A$70,MATCH(1,INDEX((_REF_Industry_Wording!$B$2:$B$70=$BT579)*(_REF_Industry_Wording!$C$2:$C$70=PV_Canonical_Industry)*(_REF_Industry_Wording!$K$2:$K$70="Yes"),0),0)),IFERROR(INDEX(_REF_Industry_Wording!$A$2:$A$70,MATCH(1,INDEX((_REF_Industry_Wording!$B$2:$B$70=$BT579)*(_REF_Industry_Wording!$C$2:$C$70="All")*(_REF_Industry_Wording!$K$2:$K$70="Yes"),0),0)),"")))</f>
        <v>IW-ALL-BACKUP_RECOVERY</v>
      </c>
      <c r="CF579" t="str">
        <f>IF($CE579="","",IFERROR(INDEX(_REF_Industry_Wording!$E$2:$E$70,MATCH($CE579,_REF_Industry_Wording!$A$2:$A$70,0)),""))</f>
        <v>Backup / recovery weakness</v>
      </c>
      <c r="CG579" t="str">
        <f>IF($CE579="","",IFERROR(INDEX(_REF_Industry_Wording!$F$2:$F$70,MATCH($CE579,_REF_Industry_Wording!$A$2:$A$70,0)),""))</f>
        <v>Strengthen Backup / recovery</v>
      </c>
      <c r="CH579" t="str">
        <f>IF($CE579="","",IFERROR(INDEX(_REF_Industry_Wording!$G$2:$G$70,MATCH($CE579,_REF_Industry_Wording!$A$2:$A$70,0)),""))</f>
        <v>Strengthen Backup / recovery using the selected maturity treatment, crisis scenario and evidence requirements.</v>
      </c>
      <c r="CI579" t="str">
        <f>IF($CE579="","",IFERROR(INDEX(_REF_Industry_Wording!$H$2:$H$70,MATCH($CE579,_REF_Industry_Wording!$A$2:$A$70,0)),""))</f>
        <v>Backup / recovery</v>
      </c>
      <c r="CJ579">
        <f>IF($CE579="","",IFERROR(INDEX(_REF_Industry_Wording!$I$2:$I$70,MATCH($CE579,_REF_Industry_Wording!$A$2:$A$70,0)),""))</f>
        <v>0</v>
      </c>
      <c r="CK579" t="str">
        <f>IF($CE579="","",IFERROR(INDEX(_REF_Industry_Wording!$J$2:$J$70,MATCH($CE579,_REF_Industry_Wording!$A$2:$A$70,0)),""))</f>
        <v>Backup / recovery</v>
      </c>
      <c r="CL579" t="str">
        <f t="shared" si="83"/>
        <v>Wording by industry=0; capability=CAP_BACKUP_RECOVERY; risk label=Backup / recovery weakness</v>
      </c>
      <c r="CM579" t="str">
        <f t="shared" si="84"/>
        <v>RISK-ONT-0080</v>
      </c>
      <c r="CN579" t="str">
        <f t="shared" si="85"/>
        <v>RISK-EVT-0080</v>
      </c>
      <c r="CO579" t="str">
        <f t="shared" si="86"/>
        <v>HR Workforce|Continuity and wellbeing|HRWO-013|CAP_BACKUP_RECOVERY</v>
      </c>
      <c r="CP579" t="str">
        <f t="shared" si="87"/>
        <v>Active</v>
      </c>
      <c r="CQ579" t="str">
        <f t="shared" si="88"/>
        <v>OK: capability-driven</v>
      </c>
      <c r="CR579" t="str">
        <f t="shared" si="89"/>
        <v>Risk ontology uses capability=CAP_BACKUP_RECOVERY; bridge=BRG-039; treatment=TRT-BACKUP_RECOVERY-INITIAL; wording=IW-ALL-BACKUP_RECOVERY</v>
      </c>
      <c r="CS579" t="str">
        <f t="shared" si="90"/>
        <v>Yes</v>
      </c>
    </row>
    <row r="580" spans="1:97" ht="69.900000000000006" customHeight="1">
      <c r="A580">
        <f>IF(OR($B580&lt;&gt;"Yes",$BS580=""),"",SUMPRODUCT(($B$500:$B$923="Yes")*ISNUMBER($BS$500:$BS$923)*($BS$500:$BS$923&gt;$BS580))+COUNTIFS($B$500:$B580,"Yes",$BS$500:$BS580,$BS580))</f>
        <v>159</v>
      </c>
      <c r="B580" t="str">
        <f t="shared" si="59"/>
        <v>Yes</v>
      </c>
      <c r="C580" t="s">
        <v>1259</v>
      </c>
      <c r="D580" t="s">
        <v>1274</v>
      </c>
      <c r="E580" t="s">
        <v>1312</v>
      </c>
      <c r="F580" t="s">
        <v>3682</v>
      </c>
      <c r="G580" t="str">
        <f>IF($H580="","",IFERROR(INDEX(_ENGINE_Risk!$H$5:$M$499,MATCH($E580,_ENGINE_Risk!$A$5:$A$499,0),$H580+1),""))</f>
        <v>Severe risk: remote work capability with secure access, connectivity, equipment and documented procedures is not reliably controlled. During Workforce disruption; Pandemic/health crisis; War/security crisis, the organization may face loss of critical knowledge, reduced productivity, unmanaged absenteeism and inability to keep essential work running with limited visibility or accountability.</v>
      </c>
      <c r="H580">
        <f>IFERROR(VALUE(INDEX(_DATA_Assessment_Model!$H$5:$H$884,MATCH($E580,_DATA_Assessment_Model!$A$5:$A$884,0))),"")</f>
        <v>0</v>
      </c>
      <c r="I580" t="str">
        <f>IF($H580="","",IFERROR(INDEX(_DATA_Assessment_Model!$L$5:$L$884,MATCH($E580,_DATA_Assessment_Model!$A$5:$A$884,0)),IF($H580&lt;=1,"Critical",IF($H580=2,"High",IF($H580=3,"Medium",IF($H580=4,"Low","Resilient"))))))</f>
        <v>Critical</v>
      </c>
      <c r="J580">
        <f t="shared" si="60"/>
        <v>3.7</v>
      </c>
      <c r="K580">
        <f t="shared" si="61"/>
        <v>4.1500000000000004</v>
      </c>
      <c r="L580">
        <f t="shared" si="62"/>
        <v>15.355000000000002</v>
      </c>
      <c r="M580">
        <f t="shared" si="63"/>
        <v>4</v>
      </c>
      <c r="N580">
        <f>IF($H580="","",IFERROR(INDEX(_ENGINE_Risk!$T$5:$Y$499,MATCH($E580,_ENGINE_Risk!$A$5:$A$499,0),$H580+1),""))</f>
        <v>3</v>
      </c>
      <c r="O580">
        <f t="shared" si="64"/>
        <v>4.333333333333333</v>
      </c>
      <c r="P580">
        <f t="shared" si="65"/>
        <v>5</v>
      </c>
      <c r="Q580">
        <f t="shared" si="66"/>
        <v>5</v>
      </c>
      <c r="R580">
        <f t="shared" si="67"/>
        <v>4.5</v>
      </c>
      <c r="S580">
        <f t="shared" si="68"/>
        <v>1.57</v>
      </c>
      <c r="T580" t="str">
        <f>IF($H580="","",IFERROR(INDEX(_ENGINE_Risk!$N$5:$S$499,MATCH($E580,_ENGINE_Risk!$A$5:$A$499,0),$H580+1),""))</f>
        <v>Create an immediate risk owner, minimum control baseline and fallback procedure for remote work capability with secure access, connectivity, equipment and documented procedures. Add it to the crisis risk register and collect first evidence.</v>
      </c>
      <c r="U580">
        <f>IFERROR(INDEX(_DATA_Assessment_Model!$G$5:$G$884,MATCH($E580,_DATA_Assessment_Model!$A$5:$A$884,0)),"")</f>
        <v>4</v>
      </c>
      <c r="V580">
        <f>IFERROR(INDEX(_DATA_Assessment_Model!$W$5:$W$884,MATCH($E580,_DATA_Assessment_Model!$A$5:$A$884,0)),"")</f>
        <v>4</v>
      </c>
      <c r="W580">
        <f>IFERROR(INDEX(_DATA_Assessment_Model!$X$5:$X$884,MATCH($E580,_DATA_Assessment_Model!$A$5:$A$884,0)),"")</f>
        <v>5</v>
      </c>
      <c r="X580">
        <f>IFERROR(INDEX(_DATA_Assessment_Model!$Y$5:$Y$884,MATCH($E580,_DATA_Assessment_Model!$A$5:$A$884,0)),"")</f>
        <v>5</v>
      </c>
      <c r="Y580" t="s">
        <v>1266</v>
      </c>
      <c r="Z580" t="s">
        <v>5544</v>
      </c>
      <c r="AA580" t="s">
        <v>1314</v>
      </c>
      <c r="AB580">
        <f>IFERROR(INDEX(_DATA_Assessment_Model!$U$5:$U$884,MATCH($E580,_DATA_Assessment_Model!$A$5:$A$884,0)),"")</f>
        <v>0</v>
      </c>
      <c r="AF580" t="s">
        <v>1313</v>
      </c>
      <c r="AO580">
        <f>IF($B580="Yes",IF(IFERROR(INDEX(_ENGINE_Crisis!$F$501:$F$517,MATCH($C580,_ENGINE_Crisis!$A$501:$A$517,0)),1)=0,1,IFERROR(INDEX(_ENGINE_Crisis!$F$501:$F$517,MATCH($C580,_ENGINE_Crisis!$A$501:$A$517,0)),1)),"")</f>
        <v>1</v>
      </c>
      <c r="AP580">
        <f t="shared" si="69"/>
        <v>15.4</v>
      </c>
      <c r="AQ580">
        <f t="shared" si="70"/>
        <v>1.57</v>
      </c>
      <c r="AR580" t="str">
        <f>IFERROR(INDEX(_ENGINE_Crisis!$E$41:$E$700,MATCH('Resilience &amp; Risk Scenario'!$B$6&amp;"|"&amp;$C580,_ENGINE_Crisis!$I$41:$I$700,0)),"")</f>
        <v/>
      </c>
      <c r="AS580" t="str">
        <f>IFERROR(INDEX(_ENGINE_Crisis!$G$41:$G$700,MATCH('Resilience &amp; Risk Scenario'!$B$6&amp;"|"&amp;$C580,_ENGINE_Crisis!$I$41:$I$700,0)),"")</f>
        <v/>
      </c>
      <c r="AT580" t="str">
        <f>IFERROR(INDEX(_ENGINE_Initiatives!$A$5:$A$532,MATCH(1,INDEX((_ENGINE_Initiatives!$B$5:$B$532=$C580)*(_ENGINE_Initiatives!$C$5:$C$532=$D580),0),0)),"")</f>
        <v>INI-013</v>
      </c>
      <c r="AU580" t="str">
        <f>IFERROR(INDEX(_ENGINE_Initiatives!$F$5:$F$532,MATCH(1,INDEX((_ENGINE_Initiatives!$B$5:$B$532=$C580)*(_ENGINE_Initiatives!$C$5:$C$532=$D580),0),0)),"")</f>
        <v>Implement workforce continuity, wellbeing and availability playbook</v>
      </c>
      <c r="AV580">
        <f>IFERROR(INDEX(_ENGINE_Initiatives!$AC$5:$AC$532,MATCH(1,INDEX((_ENGINE_Initiatives!$B$5:$B$532=$C580)*(_ENGINE_Initiatives!$C$5:$C$532=$D580),0),0)),"")</f>
        <v>1.78</v>
      </c>
      <c r="AW580" t="str">
        <f>IFERROR(INDEX(_ENGINE_Initiatives!$AE$5:$AE$532,MATCH(1,INDEX((_ENGINE_Initiatives!$B$5:$B$532=$C580)*(_ENGINE_Initiatives!$C$5:$C$532=$D580),0),0)),"")</f>
        <v>3-6 months</v>
      </c>
      <c r="AX580">
        <f>IF($B580="Yes",IFERROR((IF(SUMIFS(_REF_Model_Content!$E$1:$E$613,_REF_Model_Content!$A$1:$A$613,PV_Canonical_Industry,_REF_Model_Content!$B$1:$B$613,$C580)=0,1,SUMIFS(_REF_Model_Content!$E$1:$E$613,_REF_Model_Content!$A$1:$A$613,PV_Canonical_Industry,_REF_Model_Content!$B$1:$B$613,$C580))*IFERROR($BU580,1)),1),"")</f>
        <v>1</v>
      </c>
      <c r="AY580">
        <f t="shared" si="71"/>
        <v>15.4</v>
      </c>
      <c r="AZ580">
        <f t="shared" si="72"/>
        <v>1.57</v>
      </c>
      <c r="BB580" t="str">
        <f>IF($H580="","",IFERROR(INDEX(_ENGINE_Risk!$AE$5:$AE$499,MATCH($E580,_ENGINE_Risk!$A$5:$A$499,0)),"Medium"))</f>
        <v>Fast</v>
      </c>
      <c r="BC580">
        <f t="shared" si="73"/>
        <v>1.25</v>
      </c>
      <c r="BD580">
        <f t="shared" si="74"/>
        <v>1.57</v>
      </c>
      <c r="BF580">
        <f>IF(OR($H580="",$J580=""),"",IFERROR(VLOOKUP(ROUND($J580,0),_CONFIG_Model_Settings!$D$154:$E$158,2,0),""))</f>
        <v>0.5</v>
      </c>
      <c r="BG580">
        <f>IFERROR(IF(OR($H580="",$K580=""),"",ROUND('Company Profile'!$B$113*INDEX(_CONFIG_Model_Settings!$H$154:$H$158,MATCH(ROUND($K580,0),_CONFIG_Model_Settings!$G$154:$G$158,0)),0)),0)</f>
        <v>875</v>
      </c>
      <c r="BH580">
        <f t="shared" si="75"/>
        <v>437.5</v>
      </c>
      <c r="BI580">
        <f t="shared" si="76"/>
        <v>437.5</v>
      </c>
      <c r="BJ580">
        <f>IF($E580="","",IFERROR(VLOOKUP($C580,_CONFIG_Risk_Calibration!$A$5:$H$21,2,FALSE),3))</f>
        <v>3</v>
      </c>
      <c r="BK580">
        <f>IF($E580="","",IFERROR(VLOOKUP($C580,_CONFIG_Risk_Calibration!$A$5:$H$21,3,FALSE),0))</f>
        <v>0</v>
      </c>
      <c r="BL580">
        <f>IF($E580="","",IFERROR(VLOOKUP($C580,_CONFIG_Risk_Calibration!$A$5:$H$21,4,FALSE),3))</f>
        <v>3</v>
      </c>
      <c r="BM580">
        <f>IF($E580="","",IFERROR(VLOOKUP($C580,_CONFIG_Risk_Calibration!$A$5:$H$21,5,FALSE),3))</f>
        <v>3</v>
      </c>
      <c r="BN580" t="str">
        <f>IF($E580="","",IFERROR(VLOOKUP($C580,_CONFIG_Risk_Calibration!$A$5:$H$21,6,FALSE),"No"))</f>
        <v>No</v>
      </c>
      <c r="BO580">
        <f>IF($E580="","",IFERROR(VLOOKUP($C580,_CONFIG_Risk_Calibration!$A$5:$H$21,7,FALSE),1))</f>
        <v>1</v>
      </c>
      <c r="BP580">
        <f>IF($H580="","",MAX(1,MIN(5,((6-$H580)*0.45)+($BJ580*0.2)+('Resilience &amp; Risk Scenario'!$B$7*0.15)+($BK580*0.1)+($BL580*0.05)+(IF($BB580="Fast",5,IF($BB580="Slow",1,3))*0.05))))</f>
        <v>3.7</v>
      </c>
      <c r="BQ580">
        <f t="shared" si="77"/>
        <v>4.1500000000000004</v>
      </c>
      <c r="BR580">
        <f t="shared" si="78"/>
        <v>15.36</v>
      </c>
      <c r="BS580">
        <f t="shared" si="79"/>
        <v>19.2</v>
      </c>
      <c r="BT580" t="str">
        <f>IFERROR(INDEX(_REF_Capability_Bridge!$D:$D,MATCH($C580&amp;"|"&amp;$D580,_REF_Capability_Bridge!$J:$J,0)),IFERROR(INDEX(_REF_Capability_Bridge!$D:$D,MATCH($C580&amp;"|",_REF_Capability_Bridge!$J:$J,0)),"CAP_GENERIC"))</f>
        <v>CAP_BACKUP_RECOVERY</v>
      </c>
      <c r="BU580">
        <f>IFERROR(IFERROR(INDEX(_ENGINE_Relevance!$L:$L,MATCH($BT580,_ENGINE_Relevance!$B:$B,0)),1),1)</f>
        <v>1</v>
      </c>
      <c r="BV580" t="str">
        <f>IFERROR(INDEX(_REF_Capability_Bridge!$A:$A,MATCH($C580&amp;"|"&amp;$D580,_REF_Capability_Bridge!$J:$J,0)),IFERROR(INDEX(_REF_Capability_Bridge!$A:$A,MATCH($C580&amp;"|",_REF_Capability_Bridge!$J:$J,0)),"No bridge"))</f>
        <v>BRG-039</v>
      </c>
      <c r="BW580" t="str">
        <f t="shared" si="80"/>
        <v>Capability relevance neutral</v>
      </c>
      <c r="BX580" t="str">
        <f t="shared" si="81"/>
        <v>Initial / absent</v>
      </c>
      <c r="BY580" t="str">
        <f>IF($E580="","",IFERROR(INDEX(_REF_Treatment_Library!$A$2:$A$296,MATCH(1,INDEX((_REF_Treatment_Library!$B$2:$B$296=$BT580)*(_REF_Treatment_Library!$C$2:$C$296=PV_Canonical_Industry)*(_REF_Treatment_Library!$E$2:$E$296&lt;=N($H580))*(_REF_Treatment_Library!$F$2:$F$296&gt;=N($H580))*(_REF_Treatment_Library!$O$2:$O$296="Yes"),0),0)),IFERROR(INDEX(_REF_Treatment_Library!$A$2:$A$296,MATCH(1,INDEX((_REF_Treatment_Library!$B$2:$B$296=$BT580)*(_REF_Treatment_Library!$C$2:$C$296="All")*(_REF_Treatment_Library!$E$2:$E$296&lt;=N($H580))*(_REF_Treatment_Library!$F$2:$F$296&gt;=N($H580))*(_REF_Treatment_Library!$O$2:$O$296="Yes"),0),0)),"")))</f>
        <v>TRT-BACKUP_RECOVERY-INITIAL</v>
      </c>
      <c r="BZ580" t="str">
        <f>IF($BY580="","",IFERROR(INDEX(_REF_Treatment_Library!$H$2:$H$296,MATCH($BY580,_REF_Treatment_Library!$A$2:$A$296,0)),""))</f>
        <v>Establish</v>
      </c>
      <c r="CA580" t="str">
        <f>IF($BY580="","",IFERROR(INDEX(_REF_Treatment_Library!$I$2:$I$296,MATCH($BY580,_REF_Treatment_Library!$A$2:$A$296,0)),""))</f>
        <v>Establish baseline controls for Backup / recovery</v>
      </c>
      <c r="CB580" t="str">
        <f>IF($BY580="","",IFERROR(INDEX(_REF_Treatment_Library!$K$2:$K$296,MATCH($BY580,_REF_Treatment_Library!$A$2:$A$296,0)),""))</f>
        <v>Named owner, baseline process, minimum control checklist, first evidence package</v>
      </c>
      <c r="CC580" t="str">
        <f>IF($BY580="","",IFERROR(INDEX(_REF_Treatment_Library!$L$2:$L$296,MATCH($BY580,_REF_Treatment_Library!$A$2:$A$296,0)),""))</f>
        <v>Owner assigned; baseline evidence coverage; open critical gaps</v>
      </c>
      <c r="CD580" t="str">
        <f t="shared" si="82"/>
        <v>Treatment by capability=CAP_BACKUP_RECOVERY; band=Initial / absent; score=0.0; treatment=Establish</v>
      </c>
      <c r="CE580" t="str">
        <f>IF($E580="","",IFERROR(INDEX(_REF_Industry_Wording!$A$2:$A$70,MATCH(1,INDEX((_REF_Industry_Wording!$B$2:$B$70=$BT580)*(_REF_Industry_Wording!$C$2:$C$70=PV_Canonical_Industry)*(_REF_Industry_Wording!$K$2:$K$70="Yes"),0),0)),IFERROR(INDEX(_REF_Industry_Wording!$A$2:$A$70,MATCH(1,INDEX((_REF_Industry_Wording!$B$2:$B$70=$BT580)*(_REF_Industry_Wording!$C$2:$C$70="All")*(_REF_Industry_Wording!$K$2:$K$70="Yes"),0),0)),"")))</f>
        <v>IW-ALL-BACKUP_RECOVERY</v>
      </c>
      <c r="CF580" t="str">
        <f>IF($CE580="","",IFERROR(INDEX(_REF_Industry_Wording!$E$2:$E$70,MATCH($CE580,_REF_Industry_Wording!$A$2:$A$70,0)),""))</f>
        <v>Backup / recovery weakness</v>
      </c>
      <c r="CG580" t="str">
        <f>IF($CE580="","",IFERROR(INDEX(_REF_Industry_Wording!$F$2:$F$70,MATCH($CE580,_REF_Industry_Wording!$A$2:$A$70,0)),""))</f>
        <v>Strengthen Backup / recovery</v>
      </c>
      <c r="CH580" t="str">
        <f>IF($CE580="","",IFERROR(INDEX(_REF_Industry_Wording!$G$2:$G$70,MATCH($CE580,_REF_Industry_Wording!$A$2:$A$70,0)),""))</f>
        <v>Strengthen Backup / recovery using the selected maturity treatment, crisis scenario and evidence requirements.</v>
      </c>
      <c r="CI580" t="str">
        <f>IF($CE580="","",IFERROR(INDEX(_REF_Industry_Wording!$H$2:$H$70,MATCH($CE580,_REF_Industry_Wording!$A$2:$A$70,0)),""))</f>
        <v>Backup / recovery</v>
      </c>
      <c r="CJ580">
        <f>IF($CE580="","",IFERROR(INDEX(_REF_Industry_Wording!$I$2:$I$70,MATCH($CE580,_REF_Industry_Wording!$A$2:$A$70,0)),""))</f>
        <v>0</v>
      </c>
      <c r="CK580" t="str">
        <f>IF($CE580="","",IFERROR(INDEX(_REF_Industry_Wording!$J$2:$J$70,MATCH($CE580,_REF_Industry_Wording!$A$2:$A$70,0)),""))</f>
        <v>Backup / recovery</v>
      </c>
      <c r="CL580" t="str">
        <f t="shared" si="83"/>
        <v>Wording by industry=0; capability=CAP_BACKUP_RECOVERY; risk label=Backup / recovery weakness</v>
      </c>
      <c r="CM580" t="str">
        <f t="shared" si="84"/>
        <v>RISK-ONT-0081</v>
      </c>
      <c r="CN580" t="str">
        <f t="shared" si="85"/>
        <v>RISK-EVT-0081</v>
      </c>
      <c r="CO580" t="str">
        <f t="shared" si="86"/>
        <v>HR Workforce|Continuity and wellbeing|HRWO-014|CAP_BACKUP_RECOVERY</v>
      </c>
      <c r="CP580" t="str">
        <f t="shared" si="87"/>
        <v>Active</v>
      </c>
      <c r="CQ580" t="str">
        <f t="shared" si="88"/>
        <v>OK: capability-driven</v>
      </c>
      <c r="CR580" t="str">
        <f t="shared" si="89"/>
        <v>Risk ontology uses capability=CAP_BACKUP_RECOVERY; bridge=BRG-039; treatment=TRT-BACKUP_RECOVERY-INITIAL; wording=IW-ALL-BACKUP_RECOVERY</v>
      </c>
      <c r="CS580" t="str">
        <f t="shared" si="90"/>
        <v>Yes</v>
      </c>
    </row>
    <row r="581" spans="1:97" ht="69.900000000000006" customHeight="1">
      <c r="A581">
        <f>IF(OR($B581&lt;&gt;"Yes",$BS581=""),"",SUMPRODUCT(($B$500:$B$923="Yes")*ISNUMBER($BS$500:$BS$923)*($BS$500:$BS$923&gt;$BS581))+COUNTIFS($B$500:$B581,"Yes",$BS$500:$BS581,$BS581))</f>
        <v>106</v>
      </c>
      <c r="B581" t="str">
        <f t="shared" si="59"/>
        <v>Yes</v>
      </c>
      <c r="C581" t="s">
        <v>1259</v>
      </c>
      <c r="D581" t="s">
        <v>1274</v>
      </c>
      <c r="E581" t="s">
        <v>1321</v>
      </c>
      <c r="F581" t="s">
        <v>3682</v>
      </c>
      <c r="G581" t="str">
        <f>IF($H581="","",IFERROR(INDEX(_ENGINE_Risk!$H$5:$M$499,MATCH($E581,_ENGINE_Risk!$A$5:$A$499,0),$H581+1),""))</f>
        <v>Severe risk: backup connectivity options for critical staff and locations is not reliably controlled. During Workforce disruption; Pandemic/health crisis; War/security crisis, the organization may face loss of critical knowledge, reduced productivity, unmanaged absenteeism and inability to keep essential work running with limited visibility or accountability.</v>
      </c>
      <c r="H581">
        <f>IFERROR(VALUE(INDEX(_DATA_Assessment_Model!$H$5:$H$884,MATCH($E581,_DATA_Assessment_Model!$A$5:$A$884,0))),"")</f>
        <v>0</v>
      </c>
      <c r="I581" t="str">
        <f>IF($H581="","",IFERROR(INDEX(_DATA_Assessment_Model!$L$5:$L$884,MATCH($E581,_DATA_Assessment_Model!$A$5:$A$884,0)),IF($H581&lt;=1,"Critical",IF($H581=2,"High",IF($H581=3,"Medium",IF($H581=4,"Low","Resilient"))))))</f>
        <v>Critical</v>
      </c>
      <c r="J581">
        <f t="shared" si="60"/>
        <v>3.7</v>
      </c>
      <c r="K581">
        <f t="shared" si="61"/>
        <v>4.5</v>
      </c>
      <c r="L581">
        <f t="shared" si="62"/>
        <v>16.650000000000002</v>
      </c>
      <c r="M581">
        <f t="shared" si="63"/>
        <v>4</v>
      </c>
      <c r="N581">
        <f>IF($H581="","",IFERROR(INDEX(_ENGINE_Risk!$T$5:$Y$499,MATCH($E581,_ENGINE_Risk!$A$5:$A$499,0),$H581+1),""))</f>
        <v>3</v>
      </c>
      <c r="O581">
        <f t="shared" si="64"/>
        <v>5</v>
      </c>
      <c r="P581">
        <f t="shared" si="65"/>
        <v>5</v>
      </c>
      <c r="Q581">
        <f t="shared" si="66"/>
        <v>5</v>
      </c>
      <c r="R581">
        <f t="shared" si="67"/>
        <v>5</v>
      </c>
      <c r="S581">
        <f t="shared" si="68"/>
        <v>1.67</v>
      </c>
      <c r="T581" t="str">
        <f>IF($H581="","",IFERROR(INDEX(_ENGINE_Risk!$N$5:$S$499,MATCH($E581,_ENGINE_Risk!$A$5:$A$499,0),$H581+1),""))</f>
        <v>Create an immediate risk owner, minimum control baseline and fallback procedure for backup connectivity options for critical staff and locations. Add it to the crisis risk register and collect first evidence.</v>
      </c>
      <c r="U581">
        <f>IFERROR(INDEX(_DATA_Assessment_Model!$G$5:$G$884,MATCH($E581,_DATA_Assessment_Model!$A$5:$A$884,0)),"")</f>
        <v>5</v>
      </c>
      <c r="V581">
        <f>IFERROR(INDEX(_DATA_Assessment_Model!$W$5:$W$884,MATCH($E581,_DATA_Assessment_Model!$A$5:$A$884,0)),"")</f>
        <v>5</v>
      </c>
      <c r="W581">
        <f>IFERROR(INDEX(_DATA_Assessment_Model!$X$5:$X$884,MATCH($E581,_DATA_Assessment_Model!$A$5:$A$884,0)),"")</f>
        <v>5</v>
      </c>
      <c r="X581">
        <f>IFERROR(INDEX(_DATA_Assessment_Model!$Y$5:$Y$884,MATCH($E581,_DATA_Assessment_Model!$A$5:$A$884,0)),"")</f>
        <v>5</v>
      </c>
      <c r="Y581" t="s">
        <v>1266</v>
      </c>
      <c r="Z581" t="s">
        <v>5544</v>
      </c>
      <c r="AA581" t="s">
        <v>1323</v>
      </c>
      <c r="AB581">
        <f>IFERROR(INDEX(_DATA_Assessment_Model!$U$5:$U$884,MATCH($E581,_DATA_Assessment_Model!$A$5:$A$884,0)),"")</f>
        <v>0</v>
      </c>
      <c r="AF581" t="s">
        <v>1322</v>
      </c>
      <c r="AO581">
        <f>IF($B581="Yes",IF(IFERROR(INDEX(_ENGINE_Crisis!$F$501:$F$517,MATCH($C581,_ENGINE_Crisis!$A$501:$A$517,0)),1)=0,1,IFERROR(INDEX(_ENGINE_Crisis!$F$501:$F$517,MATCH($C581,_ENGINE_Crisis!$A$501:$A$517,0)),1)),"")</f>
        <v>1</v>
      </c>
      <c r="AP581">
        <f t="shared" si="69"/>
        <v>16.7</v>
      </c>
      <c r="AQ581">
        <f t="shared" si="70"/>
        <v>1.67</v>
      </c>
      <c r="AR581" t="str">
        <f>IFERROR(INDEX(_ENGINE_Crisis!$E$41:$E$700,MATCH('Resilience &amp; Risk Scenario'!$B$6&amp;"|"&amp;$C581,_ENGINE_Crisis!$I$41:$I$700,0)),"")</f>
        <v/>
      </c>
      <c r="AS581" t="str">
        <f>IFERROR(INDEX(_ENGINE_Crisis!$G$41:$G$700,MATCH('Resilience &amp; Risk Scenario'!$B$6&amp;"|"&amp;$C581,_ENGINE_Crisis!$I$41:$I$700,0)),"")</f>
        <v/>
      </c>
      <c r="AT581" t="str">
        <f>IFERROR(INDEX(_ENGINE_Initiatives!$A$5:$A$532,MATCH(1,INDEX((_ENGINE_Initiatives!$B$5:$B$532=$C581)*(_ENGINE_Initiatives!$C$5:$C$532=$D581),0),0)),"")</f>
        <v>INI-013</v>
      </c>
      <c r="AU581" t="str">
        <f>IFERROR(INDEX(_ENGINE_Initiatives!$F$5:$F$532,MATCH(1,INDEX((_ENGINE_Initiatives!$B$5:$B$532=$C581)*(_ENGINE_Initiatives!$C$5:$C$532=$D581),0),0)),"")</f>
        <v>Implement workforce continuity, wellbeing and availability playbook</v>
      </c>
      <c r="AV581">
        <f>IFERROR(INDEX(_ENGINE_Initiatives!$AC$5:$AC$532,MATCH(1,INDEX((_ENGINE_Initiatives!$B$5:$B$532=$C581)*(_ENGINE_Initiatives!$C$5:$C$532=$D581),0),0)),"")</f>
        <v>1.78</v>
      </c>
      <c r="AW581" t="str">
        <f>IFERROR(INDEX(_ENGINE_Initiatives!$AE$5:$AE$532,MATCH(1,INDEX((_ENGINE_Initiatives!$B$5:$B$532=$C581)*(_ENGINE_Initiatives!$C$5:$C$532=$D581),0),0)),"")</f>
        <v>3-6 months</v>
      </c>
      <c r="AX581">
        <f>IF($B581="Yes",IFERROR((IF(SUMIFS(_REF_Model_Content!$E$1:$E$613,_REF_Model_Content!$A$1:$A$613,PV_Canonical_Industry,_REF_Model_Content!$B$1:$B$613,$C581)=0,1,SUMIFS(_REF_Model_Content!$E$1:$E$613,_REF_Model_Content!$A$1:$A$613,PV_Canonical_Industry,_REF_Model_Content!$B$1:$B$613,$C581))*IFERROR($BU581,1)),1),"")</f>
        <v>1</v>
      </c>
      <c r="AY581">
        <f t="shared" si="71"/>
        <v>16.7</v>
      </c>
      <c r="AZ581">
        <f t="shared" si="72"/>
        <v>1.67</v>
      </c>
      <c r="BB581" t="str">
        <f>IF($H581="","",IFERROR(INDEX(_ENGINE_Risk!$AE$5:$AE$499,MATCH($E581,_ENGINE_Risk!$A$5:$A$499,0)),"Medium"))</f>
        <v>Fast</v>
      </c>
      <c r="BC581">
        <f t="shared" si="73"/>
        <v>1.25</v>
      </c>
      <c r="BD581">
        <f t="shared" si="74"/>
        <v>1.67</v>
      </c>
      <c r="BF581">
        <f>IF(OR($H581="",$J581=""),"",IFERROR(VLOOKUP(ROUND($J581,0),_CONFIG_Model_Settings!$D$154:$E$158,2,0),""))</f>
        <v>0.5</v>
      </c>
      <c r="BG581">
        <f>IFERROR(IF(OR($H581="",$K581=""),"",ROUND('Company Profile'!$B$113*INDEX(_CONFIG_Model_Settings!$H$154:$H$158,MATCH(ROUND($K581,0),_CONFIG_Model_Settings!$G$154:$G$158,0)),0)),0)</f>
        <v>1875</v>
      </c>
      <c r="BH581">
        <f t="shared" si="75"/>
        <v>937.5</v>
      </c>
      <c r="BI581">
        <f t="shared" si="76"/>
        <v>937.5</v>
      </c>
      <c r="BJ581">
        <f>IF($E581="","",IFERROR(VLOOKUP($C581,_CONFIG_Risk_Calibration!$A$5:$H$21,2,FALSE),3))</f>
        <v>3</v>
      </c>
      <c r="BK581">
        <f>IF($E581="","",IFERROR(VLOOKUP($C581,_CONFIG_Risk_Calibration!$A$5:$H$21,3,FALSE),0))</f>
        <v>0</v>
      </c>
      <c r="BL581">
        <f>IF($E581="","",IFERROR(VLOOKUP($C581,_CONFIG_Risk_Calibration!$A$5:$H$21,4,FALSE),3))</f>
        <v>3</v>
      </c>
      <c r="BM581">
        <f>IF($E581="","",IFERROR(VLOOKUP($C581,_CONFIG_Risk_Calibration!$A$5:$H$21,5,FALSE),3))</f>
        <v>3</v>
      </c>
      <c r="BN581" t="str">
        <f>IF($E581="","",IFERROR(VLOOKUP($C581,_CONFIG_Risk_Calibration!$A$5:$H$21,6,FALSE),"No"))</f>
        <v>No</v>
      </c>
      <c r="BO581">
        <f>IF($E581="","",IFERROR(VLOOKUP($C581,_CONFIG_Risk_Calibration!$A$5:$H$21,7,FALSE),1))</f>
        <v>1</v>
      </c>
      <c r="BP581">
        <f>IF($H581="","",MAX(1,MIN(5,((6-$H581)*0.45)+($BJ581*0.2)+('Resilience &amp; Risk Scenario'!$B$7*0.15)+($BK581*0.1)+($BL581*0.05)+(IF($BB581="Fast",5,IF($BB581="Slow",1,3))*0.05))))</f>
        <v>3.7</v>
      </c>
      <c r="BQ581">
        <f t="shared" si="77"/>
        <v>4.5</v>
      </c>
      <c r="BR581">
        <f t="shared" si="78"/>
        <v>16.649999999999999</v>
      </c>
      <c r="BS581">
        <f t="shared" si="79"/>
        <v>20.81</v>
      </c>
      <c r="BT581" t="str">
        <f>IFERROR(INDEX(_REF_Capability_Bridge!$D:$D,MATCH($C581&amp;"|"&amp;$D581,_REF_Capability_Bridge!$J:$J,0)),IFERROR(INDEX(_REF_Capability_Bridge!$D:$D,MATCH($C581&amp;"|",_REF_Capability_Bridge!$J:$J,0)),"CAP_GENERIC"))</f>
        <v>CAP_BACKUP_RECOVERY</v>
      </c>
      <c r="BU581">
        <f>IFERROR(IFERROR(INDEX(_ENGINE_Relevance!$L:$L,MATCH($BT581,_ENGINE_Relevance!$B:$B,0)),1),1)</f>
        <v>1</v>
      </c>
      <c r="BV581" t="str">
        <f>IFERROR(INDEX(_REF_Capability_Bridge!$A:$A,MATCH($C581&amp;"|"&amp;$D581,_REF_Capability_Bridge!$J:$J,0)),IFERROR(INDEX(_REF_Capability_Bridge!$A:$A,MATCH($C581&amp;"|",_REF_Capability_Bridge!$J:$J,0)),"No bridge"))</f>
        <v>BRG-039</v>
      </c>
      <c r="BW581" t="str">
        <f t="shared" si="80"/>
        <v>Capability relevance neutral</v>
      </c>
      <c r="BX581" t="str">
        <f t="shared" si="81"/>
        <v>Initial / absent</v>
      </c>
      <c r="BY581" t="str">
        <f>IF($E581="","",IFERROR(INDEX(_REF_Treatment_Library!$A$2:$A$296,MATCH(1,INDEX((_REF_Treatment_Library!$B$2:$B$296=$BT581)*(_REF_Treatment_Library!$C$2:$C$296=PV_Canonical_Industry)*(_REF_Treatment_Library!$E$2:$E$296&lt;=N($H581))*(_REF_Treatment_Library!$F$2:$F$296&gt;=N($H581))*(_REF_Treatment_Library!$O$2:$O$296="Yes"),0),0)),IFERROR(INDEX(_REF_Treatment_Library!$A$2:$A$296,MATCH(1,INDEX((_REF_Treatment_Library!$B$2:$B$296=$BT581)*(_REF_Treatment_Library!$C$2:$C$296="All")*(_REF_Treatment_Library!$E$2:$E$296&lt;=N($H581))*(_REF_Treatment_Library!$F$2:$F$296&gt;=N($H581))*(_REF_Treatment_Library!$O$2:$O$296="Yes"),0),0)),"")))</f>
        <v>TRT-BACKUP_RECOVERY-INITIAL</v>
      </c>
      <c r="BZ581" t="str">
        <f>IF($BY581="","",IFERROR(INDEX(_REF_Treatment_Library!$H$2:$H$296,MATCH($BY581,_REF_Treatment_Library!$A$2:$A$296,0)),""))</f>
        <v>Establish</v>
      </c>
      <c r="CA581" t="str">
        <f>IF($BY581="","",IFERROR(INDEX(_REF_Treatment_Library!$I$2:$I$296,MATCH($BY581,_REF_Treatment_Library!$A$2:$A$296,0)),""))</f>
        <v>Establish baseline controls for Backup / recovery</v>
      </c>
      <c r="CB581" t="str">
        <f>IF($BY581="","",IFERROR(INDEX(_REF_Treatment_Library!$K$2:$K$296,MATCH($BY581,_REF_Treatment_Library!$A$2:$A$296,0)),""))</f>
        <v>Named owner, baseline process, minimum control checklist, first evidence package</v>
      </c>
      <c r="CC581" t="str">
        <f>IF($BY581="","",IFERROR(INDEX(_REF_Treatment_Library!$L$2:$L$296,MATCH($BY581,_REF_Treatment_Library!$A$2:$A$296,0)),""))</f>
        <v>Owner assigned; baseline evidence coverage; open critical gaps</v>
      </c>
      <c r="CD581" t="str">
        <f t="shared" si="82"/>
        <v>Treatment by capability=CAP_BACKUP_RECOVERY; band=Initial / absent; score=0.0; treatment=Establish</v>
      </c>
      <c r="CE581" t="str">
        <f>IF($E581="","",IFERROR(INDEX(_REF_Industry_Wording!$A$2:$A$70,MATCH(1,INDEX((_REF_Industry_Wording!$B$2:$B$70=$BT581)*(_REF_Industry_Wording!$C$2:$C$70=PV_Canonical_Industry)*(_REF_Industry_Wording!$K$2:$K$70="Yes"),0),0)),IFERROR(INDEX(_REF_Industry_Wording!$A$2:$A$70,MATCH(1,INDEX((_REF_Industry_Wording!$B$2:$B$70=$BT581)*(_REF_Industry_Wording!$C$2:$C$70="All")*(_REF_Industry_Wording!$K$2:$K$70="Yes"),0),0)),"")))</f>
        <v>IW-ALL-BACKUP_RECOVERY</v>
      </c>
      <c r="CF581" t="str">
        <f>IF($CE581="","",IFERROR(INDEX(_REF_Industry_Wording!$E$2:$E$70,MATCH($CE581,_REF_Industry_Wording!$A$2:$A$70,0)),""))</f>
        <v>Backup / recovery weakness</v>
      </c>
      <c r="CG581" t="str">
        <f>IF($CE581="","",IFERROR(INDEX(_REF_Industry_Wording!$F$2:$F$70,MATCH($CE581,_REF_Industry_Wording!$A$2:$A$70,0)),""))</f>
        <v>Strengthen Backup / recovery</v>
      </c>
      <c r="CH581" t="str">
        <f>IF($CE581="","",IFERROR(INDEX(_REF_Industry_Wording!$G$2:$G$70,MATCH($CE581,_REF_Industry_Wording!$A$2:$A$70,0)),""))</f>
        <v>Strengthen Backup / recovery using the selected maturity treatment, crisis scenario and evidence requirements.</v>
      </c>
      <c r="CI581" t="str">
        <f>IF($CE581="","",IFERROR(INDEX(_REF_Industry_Wording!$H$2:$H$70,MATCH($CE581,_REF_Industry_Wording!$A$2:$A$70,0)),""))</f>
        <v>Backup / recovery</v>
      </c>
      <c r="CJ581">
        <f>IF($CE581="","",IFERROR(INDEX(_REF_Industry_Wording!$I$2:$I$70,MATCH($CE581,_REF_Industry_Wording!$A$2:$A$70,0)),""))</f>
        <v>0</v>
      </c>
      <c r="CK581" t="str">
        <f>IF($CE581="","",IFERROR(INDEX(_REF_Industry_Wording!$J$2:$J$70,MATCH($CE581,_REF_Industry_Wording!$A$2:$A$70,0)),""))</f>
        <v>Backup / recovery</v>
      </c>
      <c r="CL581" t="str">
        <f t="shared" si="83"/>
        <v>Wording by industry=0; capability=CAP_BACKUP_RECOVERY; risk label=Backup / recovery weakness</v>
      </c>
      <c r="CM581" t="str">
        <f t="shared" si="84"/>
        <v>RISK-ONT-0082</v>
      </c>
      <c r="CN581" t="str">
        <f t="shared" si="85"/>
        <v>RISK-EVT-0082</v>
      </c>
      <c r="CO581" t="str">
        <f t="shared" si="86"/>
        <v>HR Workforce|Continuity and wellbeing|HRWO-015|CAP_BACKUP_RECOVERY</v>
      </c>
      <c r="CP581" t="str">
        <f t="shared" si="87"/>
        <v>Active</v>
      </c>
      <c r="CQ581" t="str">
        <f t="shared" si="88"/>
        <v>OK: capability-driven</v>
      </c>
      <c r="CR581" t="str">
        <f t="shared" si="89"/>
        <v>Risk ontology uses capability=CAP_BACKUP_RECOVERY; bridge=BRG-039; treatment=TRT-BACKUP_RECOVERY-INITIAL; wording=IW-ALL-BACKUP_RECOVERY</v>
      </c>
      <c r="CS581" t="str">
        <f t="shared" si="90"/>
        <v>Yes</v>
      </c>
    </row>
    <row r="582" spans="1:97" ht="69.900000000000006" customHeight="1">
      <c r="A582">
        <f>IF(OR($B582&lt;&gt;"Yes",$BS582=""),"",SUMPRODUCT(($B$500:$B$923="Yes")*ISNUMBER($BS$500:$BS$923)*($BS$500:$BS$923&gt;$BS582))+COUNTIFS($B$500:$B582,"Yes",$BS$500:$BS582,$BS582))</f>
        <v>123</v>
      </c>
      <c r="B582" t="str">
        <f t="shared" si="59"/>
        <v>Yes</v>
      </c>
      <c r="C582" t="s">
        <v>1259</v>
      </c>
      <c r="D582" t="s">
        <v>1274</v>
      </c>
      <c r="E582" t="s">
        <v>1324</v>
      </c>
      <c r="F582" t="s">
        <v>3682</v>
      </c>
      <c r="G582" t="str">
        <f>IF($H582="","",IFERROR(INDEX(_ENGINE_Risk!$H$5:$M$499,MATCH($E582,_ENGINE_Risk!$A$5:$A$499,0),$H582+1),""))</f>
        <v>Severe risk: employee location and safety check process during severe incidents is not reliably controlled. During Workforce disruption; Pandemic/health crisis; War/security crisis, the organization may face loss of critical knowledge, reduced productivity, unmanaged absenteeism and inability to keep essential work running with limited visibility or accountability.</v>
      </c>
      <c r="H582">
        <f>IFERROR(VALUE(INDEX(_DATA_Assessment_Model!$H$5:$H$884,MATCH($E582,_DATA_Assessment_Model!$A$5:$A$884,0))),"")</f>
        <v>0</v>
      </c>
      <c r="I582" t="str">
        <f>IF($H582="","",IFERROR(INDEX(_DATA_Assessment_Model!$L$5:$L$884,MATCH($E582,_DATA_Assessment_Model!$A$5:$A$884,0)),IF($H582&lt;=1,"Critical",IF($H582=2,"High",IF($H582=3,"Medium",IF($H582=4,"Low","Resilient"))))))</f>
        <v>Critical</v>
      </c>
      <c r="J582">
        <f t="shared" si="60"/>
        <v>3.7</v>
      </c>
      <c r="K582">
        <f t="shared" si="61"/>
        <v>4.3500000000000005</v>
      </c>
      <c r="L582">
        <f t="shared" si="62"/>
        <v>16.095000000000002</v>
      </c>
      <c r="M582">
        <f t="shared" si="63"/>
        <v>4</v>
      </c>
      <c r="N582">
        <f>IF($H582="","",IFERROR(INDEX(_ENGINE_Risk!$T$5:$Y$499,MATCH($E582,_ENGINE_Risk!$A$5:$A$499,0),$H582+1),""))</f>
        <v>3</v>
      </c>
      <c r="O582">
        <f t="shared" si="64"/>
        <v>4.666666666666667</v>
      </c>
      <c r="P582">
        <f t="shared" si="65"/>
        <v>5</v>
      </c>
      <c r="Q582">
        <f t="shared" si="66"/>
        <v>5</v>
      </c>
      <c r="R582">
        <f t="shared" si="67"/>
        <v>4.5</v>
      </c>
      <c r="S582">
        <f t="shared" si="68"/>
        <v>1.6</v>
      </c>
      <c r="T582" t="str">
        <f>IF($H582="","",IFERROR(INDEX(_ENGINE_Risk!$N$5:$S$499,MATCH($E582,_ENGINE_Risk!$A$5:$A$499,0),$H582+1),""))</f>
        <v>Create an immediate risk owner, minimum control baseline and fallback procedure for employee location and safety check process during severe incidents. Add it to the crisis risk register and collect first evidence.</v>
      </c>
      <c r="U582">
        <f>IFERROR(INDEX(_DATA_Assessment_Model!$G$5:$G$884,MATCH($E582,_DATA_Assessment_Model!$A$5:$A$884,0)),"")</f>
        <v>5</v>
      </c>
      <c r="V582">
        <f>IFERROR(INDEX(_DATA_Assessment_Model!$W$5:$W$884,MATCH($E582,_DATA_Assessment_Model!$A$5:$A$884,0)),"")</f>
        <v>4</v>
      </c>
      <c r="W582">
        <f>IFERROR(INDEX(_DATA_Assessment_Model!$X$5:$X$884,MATCH($E582,_DATA_Assessment_Model!$A$5:$A$884,0)),"")</f>
        <v>5</v>
      </c>
      <c r="X582">
        <f>IFERROR(INDEX(_DATA_Assessment_Model!$Y$5:$Y$884,MATCH($E582,_DATA_Assessment_Model!$A$5:$A$884,0)),"")</f>
        <v>5</v>
      </c>
      <c r="Y582" t="s">
        <v>1266</v>
      </c>
      <c r="Z582" t="s">
        <v>5544</v>
      </c>
      <c r="AA582" t="s">
        <v>1326</v>
      </c>
      <c r="AB582">
        <f>IFERROR(INDEX(_DATA_Assessment_Model!$U$5:$U$884,MATCH($E582,_DATA_Assessment_Model!$A$5:$A$884,0)),"")</f>
        <v>0</v>
      </c>
      <c r="AF582" t="s">
        <v>1325</v>
      </c>
      <c r="AO582">
        <f>IF($B582="Yes",IF(IFERROR(INDEX(_ENGINE_Crisis!$F$501:$F$517,MATCH($C582,_ENGINE_Crisis!$A$501:$A$517,0)),1)=0,1,IFERROR(INDEX(_ENGINE_Crisis!$F$501:$F$517,MATCH($C582,_ENGINE_Crisis!$A$501:$A$517,0)),1)),"")</f>
        <v>1</v>
      </c>
      <c r="AP582">
        <f t="shared" si="69"/>
        <v>16.100000000000001</v>
      </c>
      <c r="AQ582">
        <f t="shared" si="70"/>
        <v>1.6</v>
      </c>
      <c r="AR582" t="str">
        <f>IFERROR(INDEX(_ENGINE_Crisis!$E$41:$E$700,MATCH('Resilience &amp; Risk Scenario'!$B$6&amp;"|"&amp;$C582,_ENGINE_Crisis!$I$41:$I$700,0)),"")</f>
        <v/>
      </c>
      <c r="AS582" t="str">
        <f>IFERROR(INDEX(_ENGINE_Crisis!$G$41:$G$700,MATCH('Resilience &amp; Risk Scenario'!$B$6&amp;"|"&amp;$C582,_ENGINE_Crisis!$I$41:$I$700,0)),"")</f>
        <v/>
      </c>
      <c r="AT582" t="str">
        <f>IFERROR(INDEX(_ENGINE_Initiatives!$A$5:$A$532,MATCH(1,INDEX((_ENGINE_Initiatives!$B$5:$B$532=$C582)*(_ENGINE_Initiatives!$C$5:$C$532=$D582),0),0)),"")</f>
        <v>INI-013</v>
      </c>
      <c r="AU582" t="str">
        <f>IFERROR(INDEX(_ENGINE_Initiatives!$F$5:$F$532,MATCH(1,INDEX((_ENGINE_Initiatives!$B$5:$B$532=$C582)*(_ENGINE_Initiatives!$C$5:$C$532=$D582),0),0)),"")</f>
        <v>Implement workforce continuity, wellbeing and availability playbook</v>
      </c>
      <c r="AV582">
        <f>IFERROR(INDEX(_ENGINE_Initiatives!$AC$5:$AC$532,MATCH(1,INDEX((_ENGINE_Initiatives!$B$5:$B$532=$C582)*(_ENGINE_Initiatives!$C$5:$C$532=$D582),0),0)),"")</f>
        <v>1.78</v>
      </c>
      <c r="AW582" t="str">
        <f>IFERROR(INDEX(_ENGINE_Initiatives!$AE$5:$AE$532,MATCH(1,INDEX((_ENGINE_Initiatives!$B$5:$B$532=$C582)*(_ENGINE_Initiatives!$C$5:$C$532=$D582),0),0)),"")</f>
        <v>3-6 months</v>
      </c>
      <c r="AX582">
        <f>IF($B582="Yes",IFERROR((IF(SUMIFS(_REF_Model_Content!$E$1:$E$613,_REF_Model_Content!$A$1:$A$613,PV_Canonical_Industry,_REF_Model_Content!$B$1:$B$613,$C582)=0,1,SUMIFS(_REF_Model_Content!$E$1:$E$613,_REF_Model_Content!$A$1:$A$613,PV_Canonical_Industry,_REF_Model_Content!$B$1:$B$613,$C582))*IFERROR($BU582,1)),1),"")</f>
        <v>1</v>
      </c>
      <c r="AY582">
        <f t="shared" si="71"/>
        <v>16.100000000000001</v>
      </c>
      <c r="AZ582">
        <f t="shared" si="72"/>
        <v>1.6</v>
      </c>
      <c r="BB582" t="str">
        <f>IF($H582="","",IFERROR(INDEX(_ENGINE_Risk!$AE$5:$AE$499,MATCH($E582,_ENGINE_Risk!$A$5:$A$499,0)),"Medium"))</f>
        <v>Fast</v>
      </c>
      <c r="BC582">
        <f t="shared" si="73"/>
        <v>1.25</v>
      </c>
      <c r="BD582">
        <f t="shared" si="74"/>
        <v>1.6</v>
      </c>
      <c r="BF582">
        <f>IF(OR($H582="",$J582=""),"",IFERROR(VLOOKUP(ROUND($J582,0),_CONFIG_Model_Settings!$D$154:$E$158,2,0),""))</f>
        <v>0.5</v>
      </c>
      <c r="BG582">
        <f>IFERROR(IF(OR($H582="",$K582=""),"",ROUND('Company Profile'!$B$113*INDEX(_CONFIG_Model_Settings!$H$154:$H$158,MATCH(ROUND($K582,0),_CONFIG_Model_Settings!$G$154:$G$158,0)),0)),0)</f>
        <v>875</v>
      </c>
      <c r="BH582">
        <f t="shared" si="75"/>
        <v>437.5</v>
      </c>
      <c r="BI582">
        <f t="shared" si="76"/>
        <v>437.5</v>
      </c>
      <c r="BJ582">
        <f>IF($E582="","",IFERROR(VLOOKUP($C582,_CONFIG_Risk_Calibration!$A$5:$H$21,2,FALSE),3))</f>
        <v>3</v>
      </c>
      <c r="BK582">
        <f>IF($E582="","",IFERROR(VLOOKUP($C582,_CONFIG_Risk_Calibration!$A$5:$H$21,3,FALSE),0))</f>
        <v>0</v>
      </c>
      <c r="BL582">
        <f>IF($E582="","",IFERROR(VLOOKUP($C582,_CONFIG_Risk_Calibration!$A$5:$H$21,4,FALSE),3))</f>
        <v>3</v>
      </c>
      <c r="BM582">
        <f>IF($E582="","",IFERROR(VLOOKUP($C582,_CONFIG_Risk_Calibration!$A$5:$H$21,5,FALSE),3))</f>
        <v>3</v>
      </c>
      <c r="BN582" t="str">
        <f>IF($E582="","",IFERROR(VLOOKUP($C582,_CONFIG_Risk_Calibration!$A$5:$H$21,6,FALSE),"No"))</f>
        <v>No</v>
      </c>
      <c r="BO582">
        <f>IF($E582="","",IFERROR(VLOOKUP($C582,_CONFIG_Risk_Calibration!$A$5:$H$21,7,FALSE),1))</f>
        <v>1</v>
      </c>
      <c r="BP582">
        <f>IF($H582="","",MAX(1,MIN(5,((6-$H582)*0.45)+($BJ582*0.2)+('Resilience &amp; Risk Scenario'!$B$7*0.15)+($BK582*0.1)+($BL582*0.05)+(IF($BB582="Fast",5,IF($BB582="Slow",1,3))*0.05))))</f>
        <v>3.7</v>
      </c>
      <c r="BQ582">
        <f t="shared" si="77"/>
        <v>4.3500000000000005</v>
      </c>
      <c r="BR582">
        <f t="shared" si="78"/>
        <v>16.100000000000001</v>
      </c>
      <c r="BS582">
        <f t="shared" si="79"/>
        <v>20.13</v>
      </c>
      <c r="BT582" t="str">
        <f>IFERROR(INDEX(_REF_Capability_Bridge!$D:$D,MATCH($C582&amp;"|"&amp;$D582,_REF_Capability_Bridge!$J:$J,0)),IFERROR(INDEX(_REF_Capability_Bridge!$D:$D,MATCH($C582&amp;"|",_REF_Capability_Bridge!$J:$J,0)),"CAP_GENERIC"))</f>
        <v>CAP_BACKUP_RECOVERY</v>
      </c>
      <c r="BU582">
        <f>IFERROR(IFERROR(INDEX(_ENGINE_Relevance!$L:$L,MATCH($BT582,_ENGINE_Relevance!$B:$B,0)),1),1)</f>
        <v>1</v>
      </c>
      <c r="BV582" t="str">
        <f>IFERROR(INDEX(_REF_Capability_Bridge!$A:$A,MATCH($C582&amp;"|"&amp;$D582,_REF_Capability_Bridge!$J:$J,0)),IFERROR(INDEX(_REF_Capability_Bridge!$A:$A,MATCH($C582&amp;"|",_REF_Capability_Bridge!$J:$J,0)),"No bridge"))</f>
        <v>BRG-039</v>
      </c>
      <c r="BW582" t="str">
        <f t="shared" si="80"/>
        <v>Capability relevance neutral</v>
      </c>
      <c r="BX582" t="str">
        <f t="shared" si="81"/>
        <v>Initial / absent</v>
      </c>
      <c r="BY582" t="str">
        <f>IF($E582="","",IFERROR(INDEX(_REF_Treatment_Library!$A$2:$A$296,MATCH(1,INDEX((_REF_Treatment_Library!$B$2:$B$296=$BT582)*(_REF_Treatment_Library!$C$2:$C$296=PV_Canonical_Industry)*(_REF_Treatment_Library!$E$2:$E$296&lt;=N($H582))*(_REF_Treatment_Library!$F$2:$F$296&gt;=N($H582))*(_REF_Treatment_Library!$O$2:$O$296="Yes"),0),0)),IFERROR(INDEX(_REF_Treatment_Library!$A$2:$A$296,MATCH(1,INDEX((_REF_Treatment_Library!$B$2:$B$296=$BT582)*(_REF_Treatment_Library!$C$2:$C$296="All")*(_REF_Treatment_Library!$E$2:$E$296&lt;=N($H582))*(_REF_Treatment_Library!$F$2:$F$296&gt;=N($H582))*(_REF_Treatment_Library!$O$2:$O$296="Yes"),0),0)),"")))</f>
        <v>TRT-BACKUP_RECOVERY-INITIAL</v>
      </c>
      <c r="BZ582" t="str">
        <f>IF($BY582="","",IFERROR(INDEX(_REF_Treatment_Library!$H$2:$H$296,MATCH($BY582,_REF_Treatment_Library!$A$2:$A$296,0)),""))</f>
        <v>Establish</v>
      </c>
      <c r="CA582" t="str">
        <f>IF($BY582="","",IFERROR(INDEX(_REF_Treatment_Library!$I$2:$I$296,MATCH($BY582,_REF_Treatment_Library!$A$2:$A$296,0)),""))</f>
        <v>Establish baseline controls for Backup / recovery</v>
      </c>
      <c r="CB582" t="str">
        <f>IF($BY582="","",IFERROR(INDEX(_REF_Treatment_Library!$K$2:$K$296,MATCH($BY582,_REF_Treatment_Library!$A$2:$A$296,0)),""))</f>
        <v>Named owner, baseline process, minimum control checklist, first evidence package</v>
      </c>
      <c r="CC582" t="str">
        <f>IF($BY582="","",IFERROR(INDEX(_REF_Treatment_Library!$L$2:$L$296,MATCH($BY582,_REF_Treatment_Library!$A$2:$A$296,0)),""))</f>
        <v>Owner assigned; baseline evidence coverage; open critical gaps</v>
      </c>
      <c r="CD582" t="str">
        <f t="shared" si="82"/>
        <v>Treatment by capability=CAP_BACKUP_RECOVERY; band=Initial / absent; score=0.0; treatment=Establish</v>
      </c>
      <c r="CE582" t="str">
        <f>IF($E582="","",IFERROR(INDEX(_REF_Industry_Wording!$A$2:$A$70,MATCH(1,INDEX((_REF_Industry_Wording!$B$2:$B$70=$BT582)*(_REF_Industry_Wording!$C$2:$C$70=PV_Canonical_Industry)*(_REF_Industry_Wording!$K$2:$K$70="Yes"),0),0)),IFERROR(INDEX(_REF_Industry_Wording!$A$2:$A$70,MATCH(1,INDEX((_REF_Industry_Wording!$B$2:$B$70=$BT582)*(_REF_Industry_Wording!$C$2:$C$70="All")*(_REF_Industry_Wording!$K$2:$K$70="Yes"),0),0)),"")))</f>
        <v>IW-ALL-BACKUP_RECOVERY</v>
      </c>
      <c r="CF582" t="str">
        <f>IF($CE582="","",IFERROR(INDEX(_REF_Industry_Wording!$E$2:$E$70,MATCH($CE582,_REF_Industry_Wording!$A$2:$A$70,0)),""))</f>
        <v>Backup / recovery weakness</v>
      </c>
      <c r="CG582" t="str">
        <f>IF($CE582="","",IFERROR(INDEX(_REF_Industry_Wording!$F$2:$F$70,MATCH($CE582,_REF_Industry_Wording!$A$2:$A$70,0)),""))</f>
        <v>Strengthen Backup / recovery</v>
      </c>
      <c r="CH582" t="str">
        <f>IF($CE582="","",IFERROR(INDEX(_REF_Industry_Wording!$G$2:$G$70,MATCH($CE582,_REF_Industry_Wording!$A$2:$A$70,0)),""))</f>
        <v>Strengthen Backup / recovery using the selected maturity treatment, crisis scenario and evidence requirements.</v>
      </c>
      <c r="CI582" t="str">
        <f>IF($CE582="","",IFERROR(INDEX(_REF_Industry_Wording!$H$2:$H$70,MATCH($CE582,_REF_Industry_Wording!$A$2:$A$70,0)),""))</f>
        <v>Backup / recovery</v>
      </c>
      <c r="CJ582">
        <f>IF($CE582="","",IFERROR(INDEX(_REF_Industry_Wording!$I$2:$I$70,MATCH($CE582,_REF_Industry_Wording!$A$2:$A$70,0)),""))</f>
        <v>0</v>
      </c>
      <c r="CK582" t="str">
        <f>IF($CE582="","",IFERROR(INDEX(_REF_Industry_Wording!$J$2:$J$70,MATCH($CE582,_REF_Industry_Wording!$A$2:$A$70,0)),""))</f>
        <v>Backup / recovery</v>
      </c>
      <c r="CL582" t="str">
        <f t="shared" si="83"/>
        <v>Wording by industry=0; capability=CAP_BACKUP_RECOVERY; risk label=Backup / recovery weakness</v>
      </c>
      <c r="CM582" t="str">
        <f t="shared" si="84"/>
        <v>RISK-ONT-0083</v>
      </c>
      <c r="CN582" t="str">
        <f t="shared" si="85"/>
        <v>RISK-EVT-0083</v>
      </c>
      <c r="CO582" t="str">
        <f t="shared" si="86"/>
        <v>HR Workforce|Continuity and wellbeing|HRWO-016|CAP_BACKUP_RECOVERY</v>
      </c>
      <c r="CP582" t="str">
        <f t="shared" si="87"/>
        <v>Active</v>
      </c>
      <c r="CQ582" t="str">
        <f t="shared" si="88"/>
        <v>OK: capability-driven</v>
      </c>
      <c r="CR582" t="str">
        <f t="shared" si="89"/>
        <v>Risk ontology uses capability=CAP_BACKUP_RECOVERY; bridge=BRG-039; treatment=TRT-BACKUP_RECOVERY-INITIAL; wording=IW-ALL-BACKUP_RECOVERY</v>
      </c>
      <c r="CS582" t="str">
        <f t="shared" si="90"/>
        <v>Yes</v>
      </c>
    </row>
    <row r="583" spans="1:97" ht="69.900000000000006" customHeight="1">
      <c r="A583">
        <f>IF(OR($B583&lt;&gt;"Yes",$BS583=""),"",SUMPRODUCT(($B$500:$B$923="Yes")*ISNUMBER($BS$500:$BS$923)*($BS$500:$BS$923&gt;$BS583))+COUNTIFS($B$500:$B583,"Yes",$BS$500:$BS583,$BS583))</f>
        <v>124</v>
      </c>
      <c r="B583" t="str">
        <f t="shared" si="59"/>
        <v>Yes</v>
      </c>
      <c r="C583" t="s">
        <v>1259</v>
      </c>
      <c r="D583" t="s">
        <v>1274</v>
      </c>
      <c r="E583" t="s">
        <v>1327</v>
      </c>
      <c r="F583" t="s">
        <v>3682</v>
      </c>
      <c r="G583" t="str">
        <f>IF($H583="","",IFERROR(INDEX(_ENGINE_Risk!$H$5:$M$499,MATCH($E583,_ENGINE_Risk!$A$5:$A$499,0),$H583+1),""))</f>
        <v>Severe risk: wellbeing, fatigue, burnout and psychological safety monitoring during prolonged crisis is not reliably controlled. During Workforce disruption; Pandemic/health crisis; War/security crisis, the organization may face loss of critical knowledge, reduced productivity, unmanaged absenteeism and inability to keep essential work running with limited visibility or accountability.</v>
      </c>
      <c r="H583">
        <f>IFERROR(VALUE(INDEX(_DATA_Assessment_Model!$H$5:$H$884,MATCH($E583,_DATA_Assessment_Model!$A$5:$A$884,0))),"")</f>
        <v>0</v>
      </c>
      <c r="I583" t="str">
        <f>IF($H583="","",IFERROR(INDEX(_DATA_Assessment_Model!$L$5:$L$884,MATCH($E583,_DATA_Assessment_Model!$A$5:$A$884,0)),IF($H583&lt;=1,"Critical",IF($H583=2,"High",IF($H583=3,"Medium",IF($H583=4,"Low","Resilient"))))))</f>
        <v>Critical</v>
      </c>
      <c r="J583">
        <f t="shared" si="60"/>
        <v>3.7</v>
      </c>
      <c r="K583">
        <f t="shared" si="61"/>
        <v>4.3500000000000005</v>
      </c>
      <c r="L583">
        <f t="shared" si="62"/>
        <v>16.095000000000002</v>
      </c>
      <c r="M583">
        <f t="shared" si="63"/>
        <v>4</v>
      </c>
      <c r="N583">
        <f>IF($H583="","",IFERROR(INDEX(_ENGINE_Risk!$T$5:$Y$499,MATCH($E583,_ENGINE_Risk!$A$5:$A$499,0),$H583+1),""))</f>
        <v>3</v>
      </c>
      <c r="O583">
        <f t="shared" si="64"/>
        <v>4.666666666666667</v>
      </c>
      <c r="P583">
        <f t="shared" si="65"/>
        <v>5</v>
      </c>
      <c r="Q583">
        <f t="shared" si="66"/>
        <v>5</v>
      </c>
      <c r="R583">
        <f t="shared" si="67"/>
        <v>4.5</v>
      </c>
      <c r="S583">
        <f t="shared" si="68"/>
        <v>1.6</v>
      </c>
      <c r="T583" t="str">
        <f>IF($H583="","",IFERROR(INDEX(_ENGINE_Risk!$N$5:$S$499,MATCH($E583,_ENGINE_Risk!$A$5:$A$499,0),$H583+1),""))</f>
        <v>Create an immediate risk owner, minimum control baseline and fallback procedure for wellbeing, fatigue, burnout and psychological safety monitoring during prolonged crisis. Add it to the crisis risk register and collect first evidence.</v>
      </c>
      <c r="U583">
        <f>IFERROR(INDEX(_DATA_Assessment_Model!$G$5:$G$884,MATCH($E583,_DATA_Assessment_Model!$A$5:$A$884,0)),"")</f>
        <v>5</v>
      </c>
      <c r="V583">
        <f>IFERROR(INDEX(_DATA_Assessment_Model!$W$5:$W$884,MATCH($E583,_DATA_Assessment_Model!$A$5:$A$884,0)),"")</f>
        <v>4</v>
      </c>
      <c r="W583">
        <f>IFERROR(INDEX(_DATA_Assessment_Model!$X$5:$X$884,MATCH($E583,_DATA_Assessment_Model!$A$5:$A$884,0)),"")</f>
        <v>5</v>
      </c>
      <c r="X583">
        <f>IFERROR(INDEX(_DATA_Assessment_Model!$Y$5:$Y$884,MATCH($E583,_DATA_Assessment_Model!$A$5:$A$884,0)),"")</f>
        <v>5</v>
      </c>
      <c r="Y583" t="s">
        <v>1266</v>
      </c>
      <c r="Z583" t="s">
        <v>5544</v>
      </c>
      <c r="AA583" t="s">
        <v>1329</v>
      </c>
      <c r="AB583">
        <f>IFERROR(INDEX(_DATA_Assessment_Model!$U$5:$U$884,MATCH($E583,_DATA_Assessment_Model!$A$5:$A$884,0)),"")</f>
        <v>0</v>
      </c>
      <c r="AF583" t="s">
        <v>1328</v>
      </c>
      <c r="AO583">
        <f>IF($B583="Yes",IF(IFERROR(INDEX(_ENGINE_Crisis!$F$501:$F$517,MATCH($C583,_ENGINE_Crisis!$A$501:$A$517,0)),1)=0,1,IFERROR(INDEX(_ENGINE_Crisis!$F$501:$F$517,MATCH($C583,_ENGINE_Crisis!$A$501:$A$517,0)),1)),"")</f>
        <v>1</v>
      </c>
      <c r="AP583">
        <f t="shared" si="69"/>
        <v>16.100000000000001</v>
      </c>
      <c r="AQ583">
        <f t="shared" si="70"/>
        <v>1.6</v>
      </c>
      <c r="AR583" t="str">
        <f>IFERROR(INDEX(_ENGINE_Crisis!$E$41:$E$700,MATCH('Resilience &amp; Risk Scenario'!$B$6&amp;"|"&amp;$C583,_ENGINE_Crisis!$I$41:$I$700,0)),"")</f>
        <v/>
      </c>
      <c r="AS583" t="str">
        <f>IFERROR(INDEX(_ENGINE_Crisis!$G$41:$G$700,MATCH('Resilience &amp; Risk Scenario'!$B$6&amp;"|"&amp;$C583,_ENGINE_Crisis!$I$41:$I$700,0)),"")</f>
        <v/>
      </c>
      <c r="AT583" t="str">
        <f>IFERROR(INDEX(_ENGINE_Initiatives!$A$5:$A$532,MATCH(1,INDEX((_ENGINE_Initiatives!$B$5:$B$532=$C583)*(_ENGINE_Initiatives!$C$5:$C$532=$D583),0),0)),"")</f>
        <v>INI-013</v>
      </c>
      <c r="AU583" t="str">
        <f>IFERROR(INDEX(_ENGINE_Initiatives!$F$5:$F$532,MATCH(1,INDEX((_ENGINE_Initiatives!$B$5:$B$532=$C583)*(_ENGINE_Initiatives!$C$5:$C$532=$D583),0),0)),"")</f>
        <v>Implement workforce continuity, wellbeing and availability playbook</v>
      </c>
      <c r="AV583">
        <f>IFERROR(INDEX(_ENGINE_Initiatives!$AC$5:$AC$532,MATCH(1,INDEX((_ENGINE_Initiatives!$B$5:$B$532=$C583)*(_ENGINE_Initiatives!$C$5:$C$532=$D583),0),0)),"")</f>
        <v>1.78</v>
      </c>
      <c r="AW583" t="str">
        <f>IFERROR(INDEX(_ENGINE_Initiatives!$AE$5:$AE$532,MATCH(1,INDEX((_ENGINE_Initiatives!$B$5:$B$532=$C583)*(_ENGINE_Initiatives!$C$5:$C$532=$D583),0),0)),"")</f>
        <v>3-6 months</v>
      </c>
      <c r="AX583">
        <f>IF($B583="Yes",IFERROR((IF(SUMIFS(_REF_Model_Content!$E$1:$E$613,_REF_Model_Content!$A$1:$A$613,PV_Canonical_Industry,_REF_Model_Content!$B$1:$B$613,$C583)=0,1,SUMIFS(_REF_Model_Content!$E$1:$E$613,_REF_Model_Content!$A$1:$A$613,PV_Canonical_Industry,_REF_Model_Content!$B$1:$B$613,$C583))*IFERROR($BU583,1)),1),"")</f>
        <v>1</v>
      </c>
      <c r="AY583">
        <f t="shared" si="71"/>
        <v>16.100000000000001</v>
      </c>
      <c r="AZ583">
        <f t="shared" si="72"/>
        <v>1.6</v>
      </c>
      <c r="BB583" t="str">
        <f>IF($H583="","",IFERROR(INDEX(_ENGINE_Risk!$AE$5:$AE$499,MATCH($E583,_ENGINE_Risk!$A$5:$A$499,0)),"Medium"))</f>
        <v>Fast</v>
      </c>
      <c r="BC583">
        <f t="shared" si="73"/>
        <v>1.25</v>
      </c>
      <c r="BD583">
        <f t="shared" si="74"/>
        <v>1.6</v>
      </c>
      <c r="BF583">
        <f>IF(OR($H583="",$J583=""),"",IFERROR(VLOOKUP(ROUND($J583,0),_CONFIG_Model_Settings!$D$154:$E$158,2,0),""))</f>
        <v>0.5</v>
      </c>
      <c r="BG583">
        <f>IFERROR(IF(OR($H583="",$K583=""),"",ROUND('Company Profile'!$B$113*INDEX(_CONFIG_Model_Settings!$H$154:$H$158,MATCH(ROUND($K583,0),_CONFIG_Model_Settings!$G$154:$G$158,0)),0)),0)</f>
        <v>875</v>
      </c>
      <c r="BH583">
        <f t="shared" si="75"/>
        <v>437.5</v>
      </c>
      <c r="BI583">
        <f t="shared" si="76"/>
        <v>437.5</v>
      </c>
      <c r="BJ583">
        <f>IF($E583="","",IFERROR(VLOOKUP($C583,_CONFIG_Risk_Calibration!$A$5:$H$21,2,FALSE),3))</f>
        <v>3</v>
      </c>
      <c r="BK583">
        <f>IF($E583="","",IFERROR(VLOOKUP($C583,_CONFIG_Risk_Calibration!$A$5:$H$21,3,FALSE),0))</f>
        <v>0</v>
      </c>
      <c r="BL583">
        <f>IF($E583="","",IFERROR(VLOOKUP($C583,_CONFIG_Risk_Calibration!$A$5:$H$21,4,FALSE),3))</f>
        <v>3</v>
      </c>
      <c r="BM583">
        <f>IF($E583="","",IFERROR(VLOOKUP($C583,_CONFIG_Risk_Calibration!$A$5:$H$21,5,FALSE),3))</f>
        <v>3</v>
      </c>
      <c r="BN583" t="str">
        <f>IF($E583="","",IFERROR(VLOOKUP($C583,_CONFIG_Risk_Calibration!$A$5:$H$21,6,FALSE),"No"))</f>
        <v>No</v>
      </c>
      <c r="BO583">
        <f>IF($E583="","",IFERROR(VLOOKUP($C583,_CONFIG_Risk_Calibration!$A$5:$H$21,7,FALSE),1))</f>
        <v>1</v>
      </c>
      <c r="BP583">
        <f>IF($H583="","",MAX(1,MIN(5,((6-$H583)*0.45)+($BJ583*0.2)+('Resilience &amp; Risk Scenario'!$B$7*0.15)+($BK583*0.1)+($BL583*0.05)+(IF($BB583="Fast",5,IF($BB583="Slow",1,3))*0.05))))</f>
        <v>3.7</v>
      </c>
      <c r="BQ583">
        <f t="shared" si="77"/>
        <v>4.3500000000000005</v>
      </c>
      <c r="BR583">
        <f t="shared" si="78"/>
        <v>16.100000000000001</v>
      </c>
      <c r="BS583">
        <f t="shared" si="79"/>
        <v>20.13</v>
      </c>
      <c r="BT583" t="str">
        <f>IFERROR(INDEX(_REF_Capability_Bridge!$D:$D,MATCH($C583&amp;"|"&amp;$D583,_REF_Capability_Bridge!$J:$J,0)),IFERROR(INDEX(_REF_Capability_Bridge!$D:$D,MATCH($C583&amp;"|",_REF_Capability_Bridge!$J:$J,0)),"CAP_GENERIC"))</f>
        <v>CAP_BACKUP_RECOVERY</v>
      </c>
      <c r="BU583">
        <f>IFERROR(IFERROR(INDEX(_ENGINE_Relevance!$L:$L,MATCH($BT583,_ENGINE_Relevance!$B:$B,0)),1),1)</f>
        <v>1</v>
      </c>
      <c r="BV583" t="str">
        <f>IFERROR(INDEX(_REF_Capability_Bridge!$A:$A,MATCH($C583&amp;"|"&amp;$D583,_REF_Capability_Bridge!$J:$J,0)),IFERROR(INDEX(_REF_Capability_Bridge!$A:$A,MATCH($C583&amp;"|",_REF_Capability_Bridge!$J:$J,0)),"No bridge"))</f>
        <v>BRG-039</v>
      </c>
      <c r="BW583" t="str">
        <f t="shared" si="80"/>
        <v>Capability relevance neutral</v>
      </c>
      <c r="BX583" t="str">
        <f t="shared" si="81"/>
        <v>Initial / absent</v>
      </c>
      <c r="BY583" t="str">
        <f>IF($E583="","",IFERROR(INDEX(_REF_Treatment_Library!$A$2:$A$296,MATCH(1,INDEX((_REF_Treatment_Library!$B$2:$B$296=$BT583)*(_REF_Treatment_Library!$C$2:$C$296=PV_Canonical_Industry)*(_REF_Treatment_Library!$E$2:$E$296&lt;=N($H583))*(_REF_Treatment_Library!$F$2:$F$296&gt;=N($H583))*(_REF_Treatment_Library!$O$2:$O$296="Yes"),0),0)),IFERROR(INDEX(_REF_Treatment_Library!$A$2:$A$296,MATCH(1,INDEX((_REF_Treatment_Library!$B$2:$B$296=$BT583)*(_REF_Treatment_Library!$C$2:$C$296="All")*(_REF_Treatment_Library!$E$2:$E$296&lt;=N($H583))*(_REF_Treatment_Library!$F$2:$F$296&gt;=N($H583))*(_REF_Treatment_Library!$O$2:$O$296="Yes"),0),0)),"")))</f>
        <v>TRT-BACKUP_RECOVERY-INITIAL</v>
      </c>
      <c r="BZ583" t="str">
        <f>IF($BY583="","",IFERROR(INDEX(_REF_Treatment_Library!$H$2:$H$296,MATCH($BY583,_REF_Treatment_Library!$A$2:$A$296,0)),""))</f>
        <v>Establish</v>
      </c>
      <c r="CA583" t="str">
        <f>IF($BY583="","",IFERROR(INDEX(_REF_Treatment_Library!$I$2:$I$296,MATCH($BY583,_REF_Treatment_Library!$A$2:$A$296,0)),""))</f>
        <v>Establish baseline controls for Backup / recovery</v>
      </c>
      <c r="CB583" t="str">
        <f>IF($BY583="","",IFERROR(INDEX(_REF_Treatment_Library!$K$2:$K$296,MATCH($BY583,_REF_Treatment_Library!$A$2:$A$296,0)),""))</f>
        <v>Named owner, baseline process, minimum control checklist, first evidence package</v>
      </c>
      <c r="CC583" t="str">
        <f>IF($BY583="","",IFERROR(INDEX(_REF_Treatment_Library!$L$2:$L$296,MATCH($BY583,_REF_Treatment_Library!$A$2:$A$296,0)),""))</f>
        <v>Owner assigned; baseline evidence coverage; open critical gaps</v>
      </c>
      <c r="CD583" t="str">
        <f t="shared" si="82"/>
        <v>Treatment by capability=CAP_BACKUP_RECOVERY; band=Initial / absent; score=0.0; treatment=Establish</v>
      </c>
      <c r="CE583" t="str">
        <f>IF($E583="","",IFERROR(INDEX(_REF_Industry_Wording!$A$2:$A$70,MATCH(1,INDEX((_REF_Industry_Wording!$B$2:$B$70=$BT583)*(_REF_Industry_Wording!$C$2:$C$70=PV_Canonical_Industry)*(_REF_Industry_Wording!$K$2:$K$70="Yes"),0),0)),IFERROR(INDEX(_REF_Industry_Wording!$A$2:$A$70,MATCH(1,INDEX((_REF_Industry_Wording!$B$2:$B$70=$BT583)*(_REF_Industry_Wording!$C$2:$C$70="All")*(_REF_Industry_Wording!$K$2:$K$70="Yes"),0),0)),"")))</f>
        <v>IW-ALL-BACKUP_RECOVERY</v>
      </c>
      <c r="CF583" t="str">
        <f>IF($CE583="","",IFERROR(INDEX(_REF_Industry_Wording!$E$2:$E$70,MATCH($CE583,_REF_Industry_Wording!$A$2:$A$70,0)),""))</f>
        <v>Backup / recovery weakness</v>
      </c>
      <c r="CG583" t="str">
        <f>IF($CE583="","",IFERROR(INDEX(_REF_Industry_Wording!$F$2:$F$70,MATCH($CE583,_REF_Industry_Wording!$A$2:$A$70,0)),""))</f>
        <v>Strengthen Backup / recovery</v>
      </c>
      <c r="CH583" t="str">
        <f>IF($CE583="","",IFERROR(INDEX(_REF_Industry_Wording!$G$2:$G$70,MATCH($CE583,_REF_Industry_Wording!$A$2:$A$70,0)),""))</f>
        <v>Strengthen Backup / recovery using the selected maturity treatment, crisis scenario and evidence requirements.</v>
      </c>
      <c r="CI583" t="str">
        <f>IF($CE583="","",IFERROR(INDEX(_REF_Industry_Wording!$H$2:$H$70,MATCH($CE583,_REF_Industry_Wording!$A$2:$A$70,0)),""))</f>
        <v>Backup / recovery</v>
      </c>
      <c r="CJ583">
        <f>IF($CE583="","",IFERROR(INDEX(_REF_Industry_Wording!$I$2:$I$70,MATCH($CE583,_REF_Industry_Wording!$A$2:$A$70,0)),""))</f>
        <v>0</v>
      </c>
      <c r="CK583" t="str">
        <f>IF($CE583="","",IFERROR(INDEX(_REF_Industry_Wording!$J$2:$J$70,MATCH($CE583,_REF_Industry_Wording!$A$2:$A$70,0)),""))</f>
        <v>Backup / recovery</v>
      </c>
      <c r="CL583" t="str">
        <f t="shared" si="83"/>
        <v>Wording by industry=0; capability=CAP_BACKUP_RECOVERY; risk label=Backup / recovery weakness</v>
      </c>
      <c r="CM583" t="str">
        <f t="shared" si="84"/>
        <v>RISK-ONT-0084</v>
      </c>
      <c r="CN583" t="str">
        <f t="shared" si="85"/>
        <v>RISK-EVT-0084</v>
      </c>
      <c r="CO583" t="str">
        <f t="shared" si="86"/>
        <v>HR Workforce|Continuity and wellbeing|HRWO-017|CAP_BACKUP_RECOVERY</v>
      </c>
      <c r="CP583" t="str">
        <f t="shared" si="87"/>
        <v>Active</v>
      </c>
      <c r="CQ583" t="str">
        <f t="shared" si="88"/>
        <v>OK: capability-driven</v>
      </c>
      <c r="CR583" t="str">
        <f t="shared" si="89"/>
        <v>Risk ontology uses capability=CAP_BACKUP_RECOVERY; bridge=BRG-039; treatment=TRT-BACKUP_RECOVERY-INITIAL; wording=IW-ALL-BACKUP_RECOVERY</v>
      </c>
      <c r="CS583" t="str">
        <f t="shared" si="90"/>
        <v>Yes</v>
      </c>
    </row>
    <row r="584" spans="1:97" ht="69.900000000000006" customHeight="1">
      <c r="A584">
        <f>IF(OR($B584&lt;&gt;"Yes",$BS584=""),"",SUMPRODUCT(($B$500:$B$923="Yes")*ISNUMBER($BS$500:$BS$923)*($BS$500:$BS$923&gt;$BS584))+COUNTIFS($B$500:$B584,"Yes",$BS$500:$BS584,$BS584))</f>
        <v>204</v>
      </c>
      <c r="B584" t="str">
        <f t="shared" si="59"/>
        <v>Yes</v>
      </c>
      <c r="C584" t="s">
        <v>1259</v>
      </c>
      <c r="D584" t="s">
        <v>1274</v>
      </c>
      <c r="E584" t="s">
        <v>1330</v>
      </c>
      <c r="F584" t="s">
        <v>3682</v>
      </c>
      <c r="G584" t="str">
        <f>IF($H584="","",IFERROR(INDEX(_ENGINE_Risk!$H$5:$M$499,MATCH($E584,_ENGINE_Risk!$A$5:$A$499,0),$H584+1),""))</f>
        <v>Severe risk: emergency HR policies for relocation, evacuation, hardship support, flexible work and temporary staffing is not reliably controlled. During Workforce disruption; Pandemic/health crisis; War/security crisis, the organization may face loss of critical knowledge, reduced productivity, unmanaged absenteeism and inability to keep essential work running with limited visibility or accountability.</v>
      </c>
      <c r="H584">
        <f>IFERROR(VALUE(INDEX(_DATA_Assessment_Model!$H$5:$H$884,MATCH($E584,_DATA_Assessment_Model!$A$5:$A$884,0))),"")</f>
        <v>0</v>
      </c>
      <c r="I584" t="str">
        <f>IF($H584="","",IFERROR(INDEX(_DATA_Assessment_Model!$L$5:$L$884,MATCH($E584,_DATA_Assessment_Model!$A$5:$A$884,0)),IF($H584&lt;=1,"Critical",IF($H584=2,"High",IF($H584=3,"Medium",IF($H584=4,"Low","Resilient"))))))</f>
        <v>Critical</v>
      </c>
      <c r="J584">
        <f t="shared" si="60"/>
        <v>3.7</v>
      </c>
      <c r="K584">
        <f t="shared" si="61"/>
        <v>3.95</v>
      </c>
      <c r="L584">
        <f t="shared" si="62"/>
        <v>14.615000000000002</v>
      </c>
      <c r="M584">
        <f t="shared" si="63"/>
        <v>3</v>
      </c>
      <c r="N584">
        <f>IF($H584="","",IFERROR(INDEX(_ENGINE_Risk!$T$5:$Y$499,MATCH($E584,_ENGINE_Risk!$A$5:$A$499,0),$H584+1),""))</f>
        <v>3</v>
      </c>
      <c r="O584">
        <f t="shared" si="64"/>
        <v>4</v>
      </c>
      <c r="P584">
        <f t="shared" si="65"/>
        <v>5</v>
      </c>
      <c r="Q584">
        <f t="shared" si="66"/>
        <v>5</v>
      </c>
      <c r="R584">
        <f t="shared" si="67"/>
        <v>4.5</v>
      </c>
      <c r="S584">
        <f t="shared" si="68"/>
        <v>1.54</v>
      </c>
      <c r="T584" t="str">
        <f>IF($H584="","",IFERROR(INDEX(_ENGINE_Risk!$N$5:$S$499,MATCH($E584,_ENGINE_Risk!$A$5:$A$499,0),$H584+1),""))</f>
        <v>Create an immediate risk owner, minimum control baseline and fallback procedure for emergency HR policies for relocation, evacuation, hardship support, flexible work and temporary staffing. Add it to the crisis risk register and collect first evidence.</v>
      </c>
      <c r="U584">
        <f>IFERROR(INDEX(_DATA_Assessment_Model!$G$5:$G$884,MATCH($E584,_DATA_Assessment_Model!$A$5:$A$884,0)),"")</f>
        <v>3</v>
      </c>
      <c r="V584">
        <f>IFERROR(INDEX(_DATA_Assessment_Model!$W$5:$W$884,MATCH($E584,_DATA_Assessment_Model!$A$5:$A$884,0)),"")</f>
        <v>4</v>
      </c>
      <c r="W584">
        <f>IFERROR(INDEX(_DATA_Assessment_Model!$X$5:$X$884,MATCH($E584,_DATA_Assessment_Model!$A$5:$A$884,0)),"")</f>
        <v>5</v>
      </c>
      <c r="X584">
        <f>IFERROR(INDEX(_DATA_Assessment_Model!$Y$5:$Y$884,MATCH($E584,_DATA_Assessment_Model!$A$5:$A$884,0)),"")</f>
        <v>5</v>
      </c>
      <c r="Y584" t="s">
        <v>1266</v>
      </c>
      <c r="Z584" t="s">
        <v>5544</v>
      </c>
      <c r="AA584" t="s">
        <v>1332</v>
      </c>
      <c r="AB584">
        <f>IFERROR(INDEX(_DATA_Assessment_Model!$U$5:$U$884,MATCH($E584,_DATA_Assessment_Model!$A$5:$A$884,0)),"")</f>
        <v>0</v>
      </c>
      <c r="AF584" t="s">
        <v>1331</v>
      </c>
      <c r="AO584">
        <f>IF($B584="Yes",IF(IFERROR(INDEX(_ENGINE_Crisis!$F$501:$F$517,MATCH($C584,_ENGINE_Crisis!$A$501:$A$517,0)),1)=0,1,IFERROR(INDEX(_ENGINE_Crisis!$F$501:$F$517,MATCH($C584,_ENGINE_Crisis!$A$501:$A$517,0)),1)),"")</f>
        <v>1</v>
      </c>
      <c r="AP584">
        <f t="shared" si="69"/>
        <v>14.6</v>
      </c>
      <c r="AQ584">
        <f t="shared" si="70"/>
        <v>1.54</v>
      </c>
      <c r="AR584" t="str">
        <f>IFERROR(INDEX(_ENGINE_Crisis!$E$41:$E$700,MATCH('Resilience &amp; Risk Scenario'!$B$6&amp;"|"&amp;$C584,_ENGINE_Crisis!$I$41:$I$700,0)),"")</f>
        <v/>
      </c>
      <c r="AS584" t="str">
        <f>IFERROR(INDEX(_ENGINE_Crisis!$G$41:$G$700,MATCH('Resilience &amp; Risk Scenario'!$B$6&amp;"|"&amp;$C584,_ENGINE_Crisis!$I$41:$I$700,0)),"")</f>
        <v/>
      </c>
      <c r="AT584" t="str">
        <f>IFERROR(INDEX(_ENGINE_Initiatives!$A$5:$A$532,MATCH(1,INDEX((_ENGINE_Initiatives!$B$5:$B$532=$C584)*(_ENGINE_Initiatives!$C$5:$C$532=$D584),0),0)),"")</f>
        <v>INI-013</v>
      </c>
      <c r="AU584" t="str">
        <f>IFERROR(INDEX(_ENGINE_Initiatives!$F$5:$F$532,MATCH(1,INDEX((_ENGINE_Initiatives!$B$5:$B$532=$C584)*(_ENGINE_Initiatives!$C$5:$C$532=$D584),0),0)),"")</f>
        <v>Implement workforce continuity, wellbeing and availability playbook</v>
      </c>
      <c r="AV584">
        <f>IFERROR(INDEX(_ENGINE_Initiatives!$AC$5:$AC$532,MATCH(1,INDEX((_ENGINE_Initiatives!$B$5:$B$532=$C584)*(_ENGINE_Initiatives!$C$5:$C$532=$D584),0),0)),"")</f>
        <v>1.78</v>
      </c>
      <c r="AW584" t="str">
        <f>IFERROR(INDEX(_ENGINE_Initiatives!$AE$5:$AE$532,MATCH(1,INDEX((_ENGINE_Initiatives!$B$5:$B$532=$C584)*(_ENGINE_Initiatives!$C$5:$C$532=$D584),0),0)),"")</f>
        <v>3-6 months</v>
      </c>
      <c r="AX584">
        <f>IF($B584="Yes",IFERROR((IF(SUMIFS(_REF_Model_Content!$E$1:$E$613,_REF_Model_Content!$A$1:$A$613,PV_Canonical_Industry,_REF_Model_Content!$B$1:$B$613,$C584)=0,1,SUMIFS(_REF_Model_Content!$E$1:$E$613,_REF_Model_Content!$A$1:$A$613,PV_Canonical_Industry,_REF_Model_Content!$B$1:$B$613,$C584))*IFERROR($BU584,1)),1),"")</f>
        <v>1</v>
      </c>
      <c r="AY584">
        <f t="shared" si="71"/>
        <v>14.6</v>
      </c>
      <c r="AZ584">
        <f t="shared" si="72"/>
        <v>1.54</v>
      </c>
      <c r="BB584" t="str">
        <f>IF($H584="","",IFERROR(INDEX(_ENGINE_Risk!$AE$5:$AE$499,MATCH($E584,_ENGINE_Risk!$A$5:$A$499,0)),"Medium"))</f>
        <v>Fast</v>
      </c>
      <c r="BC584">
        <f t="shared" si="73"/>
        <v>1.25</v>
      </c>
      <c r="BD584">
        <f t="shared" si="74"/>
        <v>1.54</v>
      </c>
      <c r="BF584">
        <f>IF(OR($H584="",$J584=""),"",IFERROR(VLOOKUP(ROUND($J584,0),_CONFIG_Model_Settings!$D$154:$E$158,2,0),""))</f>
        <v>0.5</v>
      </c>
      <c r="BG584">
        <f>IFERROR(IF(OR($H584="",$K584=""),"",ROUND('Company Profile'!$B$113*INDEX(_CONFIG_Model_Settings!$H$154:$H$158,MATCH(ROUND($K584,0),_CONFIG_Model_Settings!$G$154:$G$158,0)),0)),0)</f>
        <v>875</v>
      </c>
      <c r="BH584">
        <f t="shared" si="75"/>
        <v>437.5</v>
      </c>
      <c r="BI584">
        <f t="shared" si="76"/>
        <v>437.5</v>
      </c>
      <c r="BJ584">
        <f>IF($E584="","",IFERROR(VLOOKUP($C584,_CONFIG_Risk_Calibration!$A$5:$H$21,2,FALSE),3))</f>
        <v>3</v>
      </c>
      <c r="BK584">
        <f>IF($E584="","",IFERROR(VLOOKUP($C584,_CONFIG_Risk_Calibration!$A$5:$H$21,3,FALSE),0))</f>
        <v>0</v>
      </c>
      <c r="BL584">
        <f>IF($E584="","",IFERROR(VLOOKUP($C584,_CONFIG_Risk_Calibration!$A$5:$H$21,4,FALSE),3))</f>
        <v>3</v>
      </c>
      <c r="BM584">
        <f>IF($E584="","",IFERROR(VLOOKUP($C584,_CONFIG_Risk_Calibration!$A$5:$H$21,5,FALSE),3))</f>
        <v>3</v>
      </c>
      <c r="BN584" t="str">
        <f>IF($E584="","",IFERROR(VLOOKUP($C584,_CONFIG_Risk_Calibration!$A$5:$H$21,6,FALSE),"No"))</f>
        <v>No</v>
      </c>
      <c r="BO584">
        <f>IF($E584="","",IFERROR(VLOOKUP($C584,_CONFIG_Risk_Calibration!$A$5:$H$21,7,FALSE),1))</f>
        <v>1</v>
      </c>
      <c r="BP584">
        <f>IF($H584="","",MAX(1,MIN(5,((6-$H584)*0.45)+($BJ584*0.2)+('Resilience &amp; Risk Scenario'!$B$7*0.15)+($BK584*0.1)+($BL584*0.05)+(IF($BB584="Fast",5,IF($BB584="Slow",1,3))*0.05))))</f>
        <v>3.7</v>
      </c>
      <c r="BQ584">
        <f t="shared" si="77"/>
        <v>3.95</v>
      </c>
      <c r="BR584">
        <f t="shared" si="78"/>
        <v>14.62</v>
      </c>
      <c r="BS584">
        <f t="shared" si="79"/>
        <v>18.28</v>
      </c>
      <c r="BT584" t="str">
        <f>IFERROR(INDEX(_REF_Capability_Bridge!$D:$D,MATCH($C584&amp;"|"&amp;$D584,_REF_Capability_Bridge!$J:$J,0)),IFERROR(INDEX(_REF_Capability_Bridge!$D:$D,MATCH($C584&amp;"|",_REF_Capability_Bridge!$J:$J,0)),"CAP_GENERIC"))</f>
        <v>CAP_BACKUP_RECOVERY</v>
      </c>
      <c r="BU584">
        <f>IFERROR(IFERROR(INDEX(_ENGINE_Relevance!$L:$L,MATCH($BT584,_ENGINE_Relevance!$B:$B,0)),1),1)</f>
        <v>1</v>
      </c>
      <c r="BV584" t="str">
        <f>IFERROR(INDEX(_REF_Capability_Bridge!$A:$A,MATCH($C584&amp;"|"&amp;$D584,_REF_Capability_Bridge!$J:$J,0)),IFERROR(INDEX(_REF_Capability_Bridge!$A:$A,MATCH($C584&amp;"|",_REF_Capability_Bridge!$J:$J,0)),"No bridge"))</f>
        <v>BRG-039</v>
      </c>
      <c r="BW584" t="str">
        <f t="shared" si="80"/>
        <v>Capability relevance neutral</v>
      </c>
      <c r="BX584" t="str">
        <f t="shared" si="81"/>
        <v>Initial / absent</v>
      </c>
      <c r="BY584" t="str">
        <f>IF($E584="","",IFERROR(INDEX(_REF_Treatment_Library!$A$2:$A$296,MATCH(1,INDEX((_REF_Treatment_Library!$B$2:$B$296=$BT584)*(_REF_Treatment_Library!$C$2:$C$296=PV_Canonical_Industry)*(_REF_Treatment_Library!$E$2:$E$296&lt;=N($H584))*(_REF_Treatment_Library!$F$2:$F$296&gt;=N($H584))*(_REF_Treatment_Library!$O$2:$O$296="Yes"),0),0)),IFERROR(INDEX(_REF_Treatment_Library!$A$2:$A$296,MATCH(1,INDEX((_REF_Treatment_Library!$B$2:$B$296=$BT584)*(_REF_Treatment_Library!$C$2:$C$296="All")*(_REF_Treatment_Library!$E$2:$E$296&lt;=N($H584))*(_REF_Treatment_Library!$F$2:$F$296&gt;=N($H584))*(_REF_Treatment_Library!$O$2:$O$296="Yes"),0),0)),"")))</f>
        <v>TRT-BACKUP_RECOVERY-INITIAL</v>
      </c>
      <c r="BZ584" t="str">
        <f>IF($BY584="","",IFERROR(INDEX(_REF_Treatment_Library!$H$2:$H$296,MATCH($BY584,_REF_Treatment_Library!$A$2:$A$296,0)),""))</f>
        <v>Establish</v>
      </c>
      <c r="CA584" t="str">
        <f>IF($BY584="","",IFERROR(INDEX(_REF_Treatment_Library!$I$2:$I$296,MATCH($BY584,_REF_Treatment_Library!$A$2:$A$296,0)),""))</f>
        <v>Establish baseline controls for Backup / recovery</v>
      </c>
      <c r="CB584" t="str">
        <f>IF($BY584="","",IFERROR(INDEX(_REF_Treatment_Library!$K$2:$K$296,MATCH($BY584,_REF_Treatment_Library!$A$2:$A$296,0)),""))</f>
        <v>Named owner, baseline process, minimum control checklist, first evidence package</v>
      </c>
      <c r="CC584" t="str">
        <f>IF($BY584="","",IFERROR(INDEX(_REF_Treatment_Library!$L$2:$L$296,MATCH($BY584,_REF_Treatment_Library!$A$2:$A$296,0)),""))</f>
        <v>Owner assigned; baseline evidence coverage; open critical gaps</v>
      </c>
      <c r="CD584" t="str">
        <f t="shared" si="82"/>
        <v>Treatment by capability=CAP_BACKUP_RECOVERY; band=Initial / absent; score=0.0; treatment=Establish</v>
      </c>
      <c r="CE584" t="str">
        <f>IF($E584="","",IFERROR(INDEX(_REF_Industry_Wording!$A$2:$A$70,MATCH(1,INDEX((_REF_Industry_Wording!$B$2:$B$70=$BT584)*(_REF_Industry_Wording!$C$2:$C$70=PV_Canonical_Industry)*(_REF_Industry_Wording!$K$2:$K$70="Yes"),0),0)),IFERROR(INDEX(_REF_Industry_Wording!$A$2:$A$70,MATCH(1,INDEX((_REF_Industry_Wording!$B$2:$B$70=$BT584)*(_REF_Industry_Wording!$C$2:$C$70="All")*(_REF_Industry_Wording!$K$2:$K$70="Yes"),0),0)),"")))</f>
        <v>IW-ALL-BACKUP_RECOVERY</v>
      </c>
      <c r="CF584" t="str">
        <f>IF($CE584="","",IFERROR(INDEX(_REF_Industry_Wording!$E$2:$E$70,MATCH($CE584,_REF_Industry_Wording!$A$2:$A$70,0)),""))</f>
        <v>Backup / recovery weakness</v>
      </c>
      <c r="CG584" t="str">
        <f>IF($CE584="","",IFERROR(INDEX(_REF_Industry_Wording!$F$2:$F$70,MATCH($CE584,_REF_Industry_Wording!$A$2:$A$70,0)),""))</f>
        <v>Strengthen Backup / recovery</v>
      </c>
      <c r="CH584" t="str">
        <f>IF($CE584="","",IFERROR(INDEX(_REF_Industry_Wording!$G$2:$G$70,MATCH($CE584,_REF_Industry_Wording!$A$2:$A$70,0)),""))</f>
        <v>Strengthen Backup / recovery using the selected maturity treatment, crisis scenario and evidence requirements.</v>
      </c>
      <c r="CI584" t="str">
        <f>IF($CE584="","",IFERROR(INDEX(_REF_Industry_Wording!$H$2:$H$70,MATCH($CE584,_REF_Industry_Wording!$A$2:$A$70,0)),""))</f>
        <v>Backup / recovery</v>
      </c>
      <c r="CJ584">
        <f>IF($CE584="","",IFERROR(INDEX(_REF_Industry_Wording!$I$2:$I$70,MATCH($CE584,_REF_Industry_Wording!$A$2:$A$70,0)),""))</f>
        <v>0</v>
      </c>
      <c r="CK584" t="str">
        <f>IF($CE584="","",IFERROR(INDEX(_REF_Industry_Wording!$J$2:$J$70,MATCH($CE584,_REF_Industry_Wording!$A$2:$A$70,0)),""))</f>
        <v>Backup / recovery</v>
      </c>
      <c r="CL584" t="str">
        <f t="shared" si="83"/>
        <v>Wording by industry=0; capability=CAP_BACKUP_RECOVERY; risk label=Backup / recovery weakness</v>
      </c>
      <c r="CM584" t="str">
        <f t="shared" si="84"/>
        <v>RISK-ONT-0085</v>
      </c>
      <c r="CN584" t="str">
        <f t="shared" si="85"/>
        <v>RISK-EVT-0085</v>
      </c>
      <c r="CO584" t="str">
        <f t="shared" si="86"/>
        <v>HR Workforce|Continuity and wellbeing|HRWO-018|CAP_BACKUP_RECOVERY</v>
      </c>
      <c r="CP584" t="str">
        <f t="shared" si="87"/>
        <v>Active</v>
      </c>
      <c r="CQ584" t="str">
        <f t="shared" si="88"/>
        <v>OK: capability-driven</v>
      </c>
      <c r="CR584" t="str">
        <f t="shared" si="89"/>
        <v>Risk ontology uses capability=CAP_BACKUP_RECOVERY; bridge=BRG-039; treatment=TRT-BACKUP_RECOVERY-INITIAL; wording=IW-ALL-BACKUP_RECOVERY</v>
      </c>
      <c r="CS584" t="str">
        <f t="shared" si="90"/>
        <v>Yes</v>
      </c>
    </row>
    <row r="585" spans="1:97" ht="69.900000000000006" customHeight="1">
      <c r="A585">
        <f>IF(OR($B585&lt;&gt;"Yes",$BS585=""),"",SUMPRODUCT(($B$500:$B$923="Yes")*ISNUMBER($BS$500:$BS$923)*($BS$500:$BS$923&gt;$BS585))+COUNTIFS($B$500:$B585,"Yes",$BS$500:$BS585,$BS585))</f>
        <v>125</v>
      </c>
      <c r="B585" t="str">
        <f t="shared" si="59"/>
        <v>Yes</v>
      </c>
      <c r="C585" t="s">
        <v>1259</v>
      </c>
      <c r="D585" t="s">
        <v>1274</v>
      </c>
      <c r="E585" t="s">
        <v>1339</v>
      </c>
      <c r="F585" t="s">
        <v>3682</v>
      </c>
      <c r="G585" t="str">
        <f>IF($H585="","",IFERROR(INDEX(_ENGINE_Risk!$H$5:$M$499,MATCH($E585,_ENGINE_Risk!$A$5:$A$499,0),$H585+1),""))</f>
        <v>Severe risk: cross-training and knowledge transfer for critical operations and rare skills is not reliably controlled. During Workforce disruption; Pandemic/health crisis; War/security crisis, the organization may face loss of critical knowledge, reduced productivity, unmanaged absenteeism and inability to keep essential work running with limited visibility or accountability.</v>
      </c>
      <c r="H585">
        <f>IFERROR(VALUE(INDEX(_DATA_Assessment_Model!$H$5:$H$884,MATCH($E585,_DATA_Assessment_Model!$A$5:$A$884,0))),"")</f>
        <v>0</v>
      </c>
      <c r="I585" t="str">
        <f>IF($H585="","",IFERROR(INDEX(_DATA_Assessment_Model!$L$5:$L$884,MATCH($E585,_DATA_Assessment_Model!$A$5:$A$884,0)),IF($H585&lt;=1,"Critical",IF($H585=2,"High",IF($H585=3,"Medium",IF($H585=4,"Low","Resilient"))))))</f>
        <v>Critical</v>
      </c>
      <c r="J585">
        <f t="shared" si="60"/>
        <v>3.7</v>
      </c>
      <c r="K585">
        <f t="shared" si="61"/>
        <v>4.3500000000000005</v>
      </c>
      <c r="L585">
        <f t="shared" si="62"/>
        <v>16.095000000000002</v>
      </c>
      <c r="M585">
        <f t="shared" si="63"/>
        <v>4</v>
      </c>
      <c r="N585">
        <f>IF($H585="","",IFERROR(INDEX(_ENGINE_Risk!$T$5:$Y$499,MATCH($E585,_ENGINE_Risk!$A$5:$A$499,0),$H585+1),""))</f>
        <v>3</v>
      </c>
      <c r="O585">
        <f t="shared" si="64"/>
        <v>4.666666666666667</v>
      </c>
      <c r="P585">
        <f t="shared" si="65"/>
        <v>5</v>
      </c>
      <c r="Q585">
        <f t="shared" si="66"/>
        <v>5</v>
      </c>
      <c r="R585">
        <f t="shared" si="67"/>
        <v>4.5</v>
      </c>
      <c r="S585">
        <f t="shared" si="68"/>
        <v>1.6</v>
      </c>
      <c r="T585" t="str">
        <f>IF($H585="","",IFERROR(INDEX(_ENGINE_Risk!$N$5:$S$499,MATCH($E585,_ENGINE_Risk!$A$5:$A$499,0),$H585+1),""))</f>
        <v>Create an immediate risk owner, minimum control baseline and fallback procedure for cross-training and knowledge transfer for critical operations and rare skills. Add it to the crisis risk register and collect first evidence.</v>
      </c>
      <c r="U585">
        <f>IFERROR(INDEX(_DATA_Assessment_Model!$G$5:$G$884,MATCH($E585,_DATA_Assessment_Model!$A$5:$A$884,0)),"")</f>
        <v>5</v>
      </c>
      <c r="V585">
        <f>IFERROR(INDEX(_DATA_Assessment_Model!$W$5:$W$884,MATCH($E585,_DATA_Assessment_Model!$A$5:$A$884,0)),"")</f>
        <v>4</v>
      </c>
      <c r="W585">
        <f>IFERROR(INDEX(_DATA_Assessment_Model!$X$5:$X$884,MATCH($E585,_DATA_Assessment_Model!$A$5:$A$884,0)),"")</f>
        <v>5</v>
      </c>
      <c r="X585">
        <f>IFERROR(INDEX(_DATA_Assessment_Model!$Y$5:$Y$884,MATCH($E585,_DATA_Assessment_Model!$A$5:$A$884,0)),"")</f>
        <v>5</v>
      </c>
      <c r="Y585" t="s">
        <v>1266</v>
      </c>
      <c r="Z585" t="s">
        <v>5544</v>
      </c>
      <c r="AA585" t="s">
        <v>1341</v>
      </c>
      <c r="AB585">
        <f>IFERROR(INDEX(_DATA_Assessment_Model!$U$5:$U$884,MATCH($E585,_DATA_Assessment_Model!$A$5:$A$884,0)),"")</f>
        <v>0</v>
      </c>
      <c r="AF585" t="s">
        <v>1340</v>
      </c>
      <c r="AO585">
        <f>IF($B585="Yes",IF(IFERROR(INDEX(_ENGINE_Crisis!$F$501:$F$517,MATCH($C585,_ENGINE_Crisis!$A$501:$A$517,0)),1)=0,1,IFERROR(INDEX(_ENGINE_Crisis!$F$501:$F$517,MATCH($C585,_ENGINE_Crisis!$A$501:$A$517,0)),1)),"")</f>
        <v>1</v>
      </c>
      <c r="AP585">
        <f t="shared" si="69"/>
        <v>16.100000000000001</v>
      </c>
      <c r="AQ585">
        <f t="shared" si="70"/>
        <v>1.6</v>
      </c>
      <c r="AR585" t="str">
        <f>IFERROR(INDEX(_ENGINE_Crisis!$E$41:$E$700,MATCH('Resilience &amp; Risk Scenario'!$B$6&amp;"|"&amp;$C585,_ENGINE_Crisis!$I$41:$I$700,0)),"")</f>
        <v/>
      </c>
      <c r="AS585" t="str">
        <f>IFERROR(INDEX(_ENGINE_Crisis!$G$41:$G$700,MATCH('Resilience &amp; Risk Scenario'!$B$6&amp;"|"&amp;$C585,_ENGINE_Crisis!$I$41:$I$700,0)),"")</f>
        <v/>
      </c>
      <c r="AT585" t="str">
        <f>IFERROR(INDEX(_ENGINE_Initiatives!$A$5:$A$532,MATCH(1,INDEX((_ENGINE_Initiatives!$B$5:$B$532=$C585)*(_ENGINE_Initiatives!$C$5:$C$532=$D585),0),0)),"")</f>
        <v>INI-013</v>
      </c>
      <c r="AU585" t="str">
        <f>IFERROR(INDEX(_ENGINE_Initiatives!$F$5:$F$532,MATCH(1,INDEX((_ENGINE_Initiatives!$B$5:$B$532=$C585)*(_ENGINE_Initiatives!$C$5:$C$532=$D585),0),0)),"")</f>
        <v>Implement workforce continuity, wellbeing and availability playbook</v>
      </c>
      <c r="AV585">
        <f>IFERROR(INDEX(_ENGINE_Initiatives!$AC$5:$AC$532,MATCH(1,INDEX((_ENGINE_Initiatives!$B$5:$B$532=$C585)*(_ENGINE_Initiatives!$C$5:$C$532=$D585),0),0)),"")</f>
        <v>1.78</v>
      </c>
      <c r="AW585" t="str">
        <f>IFERROR(INDEX(_ENGINE_Initiatives!$AE$5:$AE$532,MATCH(1,INDEX((_ENGINE_Initiatives!$B$5:$B$532=$C585)*(_ENGINE_Initiatives!$C$5:$C$532=$D585),0),0)),"")</f>
        <v>3-6 months</v>
      </c>
      <c r="AX585">
        <f>IF($B585="Yes",IFERROR((IF(SUMIFS(_REF_Model_Content!$E$1:$E$613,_REF_Model_Content!$A$1:$A$613,PV_Canonical_Industry,_REF_Model_Content!$B$1:$B$613,$C585)=0,1,SUMIFS(_REF_Model_Content!$E$1:$E$613,_REF_Model_Content!$A$1:$A$613,PV_Canonical_Industry,_REF_Model_Content!$B$1:$B$613,$C585))*IFERROR($BU585,1)),1),"")</f>
        <v>1</v>
      </c>
      <c r="AY585">
        <f t="shared" si="71"/>
        <v>16.100000000000001</v>
      </c>
      <c r="AZ585">
        <f t="shared" si="72"/>
        <v>1.6</v>
      </c>
      <c r="BB585" t="str">
        <f>IF($H585="","",IFERROR(INDEX(_ENGINE_Risk!$AE$5:$AE$499,MATCH($E585,_ENGINE_Risk!$A$5:$A$499,0)),"Medium"))</f>
        <v>Fast</v>
      </c>
      <c r="BC585">
        <f t="shared" si="73"/>
        <v>1.25</v>
      </c>
      <c r="BD585">
        <f t="shared" si="74"/>
        <v>1.6</v>
      </c>
      <c r="BF585">
        <f>IF(OR($H585="",$J585=""),"",IFERROR(VLOOKUP(ROUND($J585,0),_CONFIG_Model_Settings!$D$154:$E$158,2,0),""))</f>
        <v>0.5</v>
      </c>
      <c r="BG585">
        <f>IFERROR(IF(OR($H585="",$K585=""),"",ROUND('Company Profile'!$B$113*INDEX(_CONFIG_Model_Settings!$H$154:$H$158,MATCH(ROUND($K585,0),_CONFIG_Model_Settings!$G$154:$G$158,0)),0)),0)</f>
        <v>875</v>
      </c>
      <c r="BH585">
        <f t="shared" si="75"/>
        <v>437.5</v>
      </c>
      <c r="BI585">
        <f t="shared" si="76"/>
        <v>437.5</v>
      </c>
      <c r="BJ585">
        <f>IF($E585="","",IFERROR(VLOOKUP($C585,_CONFIG_Risk_Calibration!$A$5:$H$21,2,FALSE),3))</f>
        <v>3</v>
      </c>
      <c r="BK585">
        <f>IF($E585="","",IFERROR(VLOOKUP($C585,_CONFIG_Risk_Calibration!$A$5:$H$21,3,FALSE),0))</f>
        <v>0</v>
      </c>
      <c r="BL585">
        <f>IF($E585="","",IFERROR(VLOOKUP($C585,_CONFIG_Risk_Calibration!$A$5:$H$21,4,FALSE),3))</f>
        <v>3</v>
      </c>
      <c r="BM585">
        <f>IF($E585="","",IFERROR(VLOOKUP($C585,_CONFIG_Risk_Calibration!$A$5:$H$21,5,FALSE),3))</f>
        <v>3</v>
      </c>
      <c r="BN585" t="str">
        <f>IF($E585="","",IFERROR(VLOOKUP($C585,_CONFIG_Risk_Calibration!$A$5:$H$21,6,FALSE),"No"))</f>
        <v>No</v>
      </c>
      <c r="BO585">
        <f>IF($E585="","",IFERROR(VLOOKUP($C585,_CONFIG_Risk_Calibration!$A$5:$H$21,7,FALSE),1))</f>
        <v>1</v>
      </c>
      <c r="BP585">
        <f>IF($H585="","",MAX(1,MIN(5,((6-$H585)*0.45)+($BJ585*0.2)+('Resilience &amp; Risk Scenario'!$B$7*0.15)+($BK585*0.1)+($BL585*0.05)+(IF($BB585="Fast",5,IF($BB585="Slow",1,3))*0.05))))</f>
        <v>3.7</v>
      </c>
      <c r="BQ585">
        <f t="shared" si="77"/>
        <v>4.3500000000000005</v>
      </c>
      <c r="BR585">
        <f t="shared" si="78"/>
        <v>16.100000000000001</v>
      </c>
      <c r="BS585">
        <f t="shared" si="79"/>
        <v>20.13</v>
      </c>
      <c r="BT585" t="str">
        <f>IFERROR(INDEX(_REF_Capability_Bridge!$D:$D,MATCH($C585&amp;"|"&amp;$D585,_REF_Capability_Bridge!$J:$J,0)),IFERROR(INDEX(_REF_Capability_Bridge!$D:$D,MATCH($C585&amp;"|",_REF_Capability_Bridge!$J:$J,0)),"CAP_GENERIC"))</f>
        <v>CAP_BACKUP_RECOVERY</v>
      </c>
      <c r="BU585">
        <f>IFERROR(IFERROR(INDEX(_ENGINE_Relevance!$L:$L,MATCH($BT585,_ENGINE_Relevance!$B:$B,0)),1),1)</f>
        <v>1</v>
      </c>
      <c r="BV585" t="str">
        <f>IFERROR(INDEX(_REF_Capability_Bridge!$A:$A,MATCH($C585&amp;"|"&amp;$D585,_REF_Capability_Bridge!$J:$J,0)),IFERROR(INDEX(_REF_Capability_Bridge!$A:$A,MATCH($C585&amp;"|",_REF_Capability_Bridge!$J:$J,0)),"No bridge"))</f>
        <v>BRG-039</v>
      </c>
      <c r="BW585" t="str">
        <f t="shared" si="80"/>
        <v>Capability relevance neutral</v>
      </c>
      <c r="BX585" t="str">
        <f t="shared" si="81"/>
        <v>Initial / absent</v>
      </c>
      <c r="BY585" t="str">
        <f>IF($E585="","",IFERROR(INDEX(_REF_Treatment_Library!$A$2:$A$296,MATCH(1,INDEX((_REF_Treatment_Library!$B$2:$B$296=$BT585)*(_REF_Treatment_Library!$C$2:$C$296=PV_Canonical_Industry)*(_REF_Treatment_Library!$E$2:$E$296&lt;=N($H585))*(_REF_Treatment_Library!$F$2:$F$296&gt;=N($H585))*(_REF_Treatment_Library!$O$2:$O$296="Yes"),0),0)),IFERROR(INDEX(_REF_Treatment_Library!$A$2:$A$296,MATCH(1,INDEX((_REF_Treatment_Library!$B$2:$B$296=$BT585)*(_REF_Treatment_Library!$C$2:$C$296="All")*(_REF_Treatment_Library!$E$2:$E$296&lt;=N($H585))*(_REF_Treatment_Library!$F$2:$F$296&gt;=N($H585))*(_REF_Treatment_Library!$O$2:$O$296="Yes"),0),0)),"")))</f>
        <v>TRT-BACKUP_RECOVERY-INITIAL</v>
      </c>
      <c r="BZ585" t="str">
        <f>IF($BY585="","",IFERROR(INDEX(_REF_Treatment_Library!$H$2:$H$296,MATCH($BY585,_REF_Treatment_Library!$A$2:$A$296,0)),""))</f>
        <v>Establish</v>
      </c>
      <c r="CA585" t="str">
        <f>IF($BY585="","",IFERROR(INDEX(_REF_Treatment_Library!$I$2:$I$296,MATCH($BY585,_REF_Treatment_Library!$A$2:$A$296,0)),""))</f>
        <v>Establish baseline controls for Backup / recovery</v>
      </c>
      <c r="CB585" t="str">
        <f>IF($BY585="","",IFERROR(INDEX(_REF_Treatment_Library!$K$2:$K$296,MATCH($BY585,_REF_Treatment_Library!$A$2:$A$296,0)),""))</f>
        <v>Named owner, baseline process, minimum control checklist, first evidence package</v>
      </c>
      <c r="CC585" t="str">
        <f>IF($BY585="","",IFERROR(INDEX(_REF_Treatment_Library!$L$2:$L$296,MATCH($BY585,_REF_Treatment_Library!$A$2:$A$296,0)),""))</f>
        <v>Owner assigned; baseline evidence coverage; open critical gaps</v>
      </c>
      <c r="CD585" t="str">
        <f t="shared" si="82"/>
        <v>Treatment by capability=CAP_BACKUP_RECOVERY; band=Initial / absent; score=0.0; treatment=Establish</v>
      </c>
      <c r="CE585" t="str">
        <f>IF($E585="","",IFERROR(INDEX(_REF_Industry_Wording!$A$2:$A$70,MATCH(1,INDEX((_REF_Industry_Wording!$B$2:$B$70=$BT585)*(_REF_Industry_Wording!$C$2:$C$70=PV_Canonical_Industry)*(_REF_Industry_Wording!$K$2:$K$70="Yes"),0),0)),IFERROR(INDEX(_REF_Industry_Wording!$A$2:$A$70,MATCH(1,INDEX((_REF_Industry_Wording!$B$2:$B$70=$BT585)*(_REF_Industry_Wording!$C$2:$C$70="All")*(_REF_Industry_Wording!$K$2:$K$70="Yes"),0),0)),"")))</f>
        <v>IW-ALL-BACKUP_RECOVERY</v>
      </c>
      <c r="CF585" t="str">
        <f>IF($CE585="","",IFERROR(INDEX(_REF_Industry_Wording!$E$2:$E$70,MATCH($CE585,_REF_Industry_Wording!$A$2:$A$70,0)),""))</f>
        <v>Backup / recovery weakness</v>
      </c>
      <c r="CG585" t="str">
        <f>IF($CE585="","",IFERROR(INDEX(_REF_Industry_Wording!$F$2:$F$70,MATCH($CE585,_REF_Industry_Wording!$A$2:$A$70,0)),""))</f>
        <v>Strengthen Backup / recovery</v>
      </c>
      <c r="CH585" t="str">
        <f>IF($CE585="","",IFERROR(INDEX(_REF_Industry_Wording!$G$2:$G$70,MATCH($CE585,_REF_Industry_Wording!$A$2:$A$70,0)),""))</f>
        <v>Strengthen Backup / recovery using the selected maturity treatment, crisis scenario and evidence requirements.</v>
      </c>
      <c r="CI585" t="str">
        <f>IF($CE585="","",IFERROR(INDEX(_REF_Industry_Wording!$H$2:$H$70,MATCH($CE585,_REF_Industry_Wording!$A$2:$A$70,0)),""))</f>
        <v>Backup / recovery</v>
      </c>
      <c r="CJ585">
        <f>IF($CE585="","",IFERROR(INDEX(_REF_Industry_Wording!$I$2:$I$70,MATCH($CE585,_REF_Industry_Wording!$A$2:$A$70,0)),""))</f>
        <v>0</v>
      </c>
      <c r="CK585" t="str">
        <f>IF($CE585="","",IFERROR(INDEX(_REF_Industry_Wording!$J$2:$J$70,MATCH($CE585,_REF_Industry_Wording!$A$2:$A$70,0)),""))</f>
        <v>Backup / recovery</v>
      </c>
      <c r="CL585" t="str">
        <f t="shared" si="83"/>
        <v>Wording by industry=0; capability=CAP_BACKUP_RECOVERY; risk label=Backup / recovery weakness</v>
      </c>
      <c r="CM585" t="str">
        <f t="shared" si="84"/>
        <v>RISK-ONT-0086</v>
      </c>
      <c r="CN585" t="str">
        <f t="shared" si="85"/>
        <v>RISK-EVT-0086</v>
      </c>
      <c r="CO585" t="str">
        <f t="shared" si="86"/>
        <v>HR Workforce|Continuity and wellbeing|HRWO-019|CAP_BACKUP_RECOVERY</v>
      </c>
      <c r="CP585" t="str">
        <f t="shared" si="87"/>
        <v>Active</v>
      </c>
      <c r="CQ585" t="str">
        <f t="shared" si="88"/>
        <v>OK: capability-driven</v>
      </c>
      <c r="CR585" t="str">
        <f t="shared" si="89"/>
        <v>Risk ontology uses capability=CAP_BACKUP_RECOVERY; bridge=BRG-039; treatment=TRT-BACKUP_RECOVERY-INITIAL; wording=IW-ALL-BACKUP_RECOVERY</v>
      </c>
      <c r="CS585" t="str">
        <f t="shared" si="90"/>
        <v>Yes</v>
      </c>
    </row>
    <row r="586" spans="1:97" ht="69.900000000000006" customHeight="1">
      <c r="A586">
        <f>IF(OR($B586&lt;&gt;"Yes",$BS586=""),"",SUMPRODUCT(($B$500:$B$923="Yes")*ISNUMBER($BS$500:$BS$923)*($BS$500:$BS$923&gt;$BS586))+COUNTIFS($B$500:$B586,"Yes",$BS$500:$BS586,$BS586))</f>
        <v>107</v>
      </c>
      <c r="B586" t="str">
        <f t="shared" si="59"/>
        <v>Yes</v>
      </c>
      <c r="C586" t="s">
        <v>1259</v>
      </c>
      <c r="D586" t="s">
        <v>1278</v>
      </c>
      <c r="E586" t="s">
        <v>1342</v>
      </c>
      <c r="F586" t="s">
        <v>3682</v>
      </c>
      <c r="G586" t="str">
        <f>IF($H586="","",IFERROR(INDEX(_ENGINE_Risk!$H$5:$M$499,MATCH($E586,_ENGINE_Risk!$A$5:$A$499,0),$H586+1),""))</f>
        <v>Severe risk: HRMS reliability, backup, manual fallback and data quality for employee records and emergency contacts is not reliably controlled. During Workforce disruption; Pandemic/health crisis; War/security crisis, the organization may face loss of critical knowledge, reduced productivity, unmanaged absenteeism and inability to keep essential work running with limited visibility or accountability.</v>
      </c>
      <c r="H586">
        <f>IFERROR(VALUE(INDEX(_DATA_Assessment_Model!$H$5:$H$884,MATCH($E586,_DATA_Assessment_Model!$A$5:$A$884,0))),"")</f>
        <v>0</v>
      </c>
      <c r="I586" t="str">
        <f>IF($H586="","",IFERROR(INDEX(_DATA_Assessment_Model!$L$5:$L$884,MATCH($E586,_DATA_Assessment_Model!$A$5:$A$884,0)),IF($H586&lt;=1,"Critical",IF($H586=2,"High",IF($H586=3,"Medium",IF($H586=4,"Low","Resilient"))))))</f>
        <v>Critical</v>
      </c>
      <c r="J586">
        <f t="shared" si="60"/>
        <v>3.7</v>
      </c>
      <c r="K586">
        <f t="shared" si="61"/>
        <v>4.5</v>
      </c>
      <c r="L586">
        <f t="shared" si="62"/>
        <v>16.650000000000002</v>
      </c>
      <c r="M586">
        <f t="shared" si="63"/>
        <v>4</v>
      </c>
      <c r="N586">
        <f>IF($H586="","",IFERROR(INDEX(_ENGINE_Risk!$T$5:$Y$499,MATCH($E586,_ENGINE_Risk!$A$5:$A$499,0),$H586+1),""))</f>
        <v>3</v>
      </c>
      <c r="O586">
        <f t="shared" si="64"/>
        <v>5</v>
      </c>
      <c r="P586">
        <f t="shared" si="65"/>
        <v>5</v>
      </c>
      <c r="Q586">
        <f t="shared" si="66"/>
        <v>5</v>
      </c>
      <c r="R586">
        <f t="shared" si="67"/>
        <v>5</v>
      </c>
      <c r="S586">
        <f t="shared" si="68"/>
        <v>1.67</v>
      </c>
      <c r="T586" t="str">
        <f>IF($H586="","",IFERROR(INDEX(_ENGINE_Risk!$N$5:$S$499,MATCH($E586,_ENGINE_Risk!$A$5:$A$499,0),$H586+1),""))</f>
        <v>Create an immediate risk owner, minimum control baseline and fallback procedure for HRMS reliability, backup, manual fallback and data quality for employee records and emergency contacts. Add it to the crisis risk register and collect first evidence.</v>
      </c>
      <c r="U586">
        <f>IFERROR(INDEX(_DATA_Assessment_Model!$G$5:$G$884,MATCH($E586,_DATA_Assessment_Model!$A$5:$A$884,0)),"")</f>
        <v>5</v>
      </c>
      <c r="V586">
        <f>IFERROR(INDEX(_DATA_Assessment_Model!$W$5:$W$884,MATCH($E586,_DATA_Assessment_Model!$A$5:$A$884,0)),"")</f>
        <v>5</v>
      </c>
      <c r="W586">
        <f>IFERROR(INDEX(_DATA_Assessment_Model!$X$5:$X$884,MATCH($E586,_DATA_Assessment_Model!$A$5:$A$884,0)),"")</f>
        <v>5</v>
      </c>
      <c r="X586">
        <f>IFERROR(INDEX(_DATA_Assessment_Model!$Y$5:$Y$884,MATCH($E586,_DATA_Assessment_Model!$A$5:$A$884,0)),"")</f>
        <v>5</v>
      </c>
      <c r="Y586" t="s">
        <v>1266</v>
      </c>
      <c r="Z586" t="s">
        <v>5544</v>
      </c>
      <c r="AA586" t="s">
        <v>1344</v>
      </c>
      <c r="AB586">
        <f>IFERROR(INDEX(_DATA_Assessment_Model!$U$5:$U$884,MATCH($E586,_DATA_Assessment_Model!$A$5:$A$884,0)),"")</f>
        <v>0</v>
      </c>
      <c r="AF586" t="s">
        <v>1343</v>
      </c>
      <c r="AO586">
        <f>IF($B586="Yes",IF(IFERROR(INDEX(_ENGINE_Crisis!$F$501:$F$517,MATCH($C586,_ENGINE_Crisis!$A$501:$A$517,0)),1)=0,1,IFERROR(INDEX(_ENGINE_Crisis!$F$501:$F$517,MATCH($C586,_ENGINE_Crisis!$A$501:$A$517,0)),1)),"")</f>
        <v>1</v>
      </c>
      <c r="AP586">
        <f t="shared" si="69"/>
        <v>16.7</v>
      </c>
      <c r="AQ586">
        <f t="shared" si="70"/>
        <v>1.67</v>
      </c>
      <c r="AR586" t="str">
        <f>IFERROR(INDEX(_ENGINE_Crisis!$E$41:$E$700,MATCH('Resilience &amp; Risk Scenario'!$B$6&amp;"|"&amp;$C586,_ENGINE_Crisis!$I$41:$I$700,0)),"")</f>
        <v/>
      </c>
      <c r="AS586" t="str">
        <f>IFERROR(INDEX(_ENGINE_Crisis!$G$41:$G$700,MATCH('Resilience &amp; Risk Scenario'!$B$6&amp;"|"&amp;$C586,_ENGINE_Crisis!$I$41:$I$700,0)),"")</f>
        <v/>
      </c>
      <c r="AT586" t="str">
        <f>IFERROR(INDEX(_ENGINE_Initiatives!$A$5:$A$532,MATCH(1,INDEX((_ENGINE_Initiatives!$B$5:$B$532=$C586)*(_ENGINE_Initiatives!$C$5:$C$532=$D586),0),0)),"")</f>
        <v>INI-014</v>
      </c>
      <c r="AU586" t="str">
        <f>IFERROR(INDEX(_ENGINE_Initiatives!$F$5:$F$532,MATCH(1,INDEX((_ENGINE_Initiatives!$B$5:$B$532=$C586)*(_ENGINE_Initiatives!$C$5:$C$532=$D586),0),0)),"")</f>
        <v>Stabilize HRMS, workforce data and HR compliance controls</v>
      </c>
      <c r="AV586">
        <f>IFERROR(INDEX(_ENGINE_Initiatives!$AC$5:$AC$532,MATCH(1,INDEX((_ENGINE_Initiatives!$B$5:$B$532=$C586)*(_ENGINE_Initiatives!$C$5:$C$532=$D586),0),0)),"")</f>
        <v>1.77</v>
      </c>
      <c r="AW586" t="str">
        <f>IFERROR(INDEX(_ENGINE_Initiatives!$AE$5:$AE$532,MATCH(1,INDEX((_ENGINE_Initiatives!$B$5:$B$532=$C586)*(_ENGINE_Initiatives!$C$5:$C$532=$D586),0),0)),"")</f>
        <v>3-6 months</v>
      </c>
      <c r="AX586">
        <f>IF($B586="Yes",IFERROR((IF(SUMIFS(_REF_Model_Content!$E$1:$E$613,_REF_Model_Content!$A$1:$A$613,PV_Canonical_Industry,_REF_Model_Content!$B$1:$B$613,$C586)=0,1,SUMIFS(_REF_Model_Content!$E$1:$E$613,_REF_Model_Content!$A$1:$A$613,PV_Canonical_Industry,_REF_Model_Content!$B$1:$B$613,$C586))*IFERROR($BU586,1)),1),"")</f>
        <v>1</v>
      </c>
      <c r="AY586">
        <f t="shared" si="71"/>
        <v>16.7</v>
      </c>
      <c r="AZ586">
        <f t="shared" si="72"/>
        <v>1.67</v>
      </c>
      <c r="BB586" t="str">
        <f>IF($H586="","",IFERROR(INDEX(_ENGINE_Risk!$AE$5:$AE$499,MATCH($E586,_ENGINE_Risk!$A$5:$A$499,0)),"Medium"))</f>
        <v>Fast</v>
      </c>
      <c r="BC586">
        <f t="shared" si="73"/>
        <v>1.25</v>
      </c>
      <c r="BD586">
        <f t="shared" si="74"/>
        <v>1.67</v>
      </c>
      <c r="BF586">
        <f>IF(OR($H586="",$J586=""),"",IFERROR(VLOOKUP(ROUND($J586,0),_CONFIG_Model_Settings!$D$154:$E$158,2,0),""))</f>
        <v>0.5</v>
      </c>
      <c r="BG586">
        <f>IFERROR(IF(OR($H586="",$K586=""),"",ROUND('Company Profile'!$B$113*INDEX(_CONFIG_Model_Settings!$H$154:$H$158,MATCH(ROUND($K586,0),_CONFIG_Model_Settings!$G$154:$G$158,0)),0)),0)</f>
        <v>1875</v>
      </c>
      <c r="BH586">
        <f t="shared" si="75"/>
        <v>937.5</v>
      </c>
      <c r="BI586">
        <f t="shared" si="76"/>
        <v>937.5</v>
      </c>
      <c r="BJ586">
        <f>IF($E586="","",IFERROR(VLOOKUP($C586,_CONFIG_Risk_Calibration!$A$5:$H$21,2,FALSE),3))</f>
        <v>3</v>
      </c>
      <c r="BK586">
        <f>IF($E586="","",IFERROR(VLOOKUP($C586,_CONFIG_Risk_Calibration!$A$5:$H$21,3,FALSE),0))</f>
        <v>0</v>
      </c>
      <c r="BL586">
        <f>IF($E586="","",IFERROR(VLOOKUP($C586,_CONFIG_Risk_Calibration!$A$5:$H$21,4,FALSE),3))</f>
        <v>3</v>
      </c>
      <c r="BM586">
        <f>IF($E586="","",IFERROR(VLOOKUP($C586,_CONFIG_Risk_Calibration!$A$5:$H$21,5,FALSE),3))</f>
        <v>3</v>
      </c>
      <c r="BN586" t="str">
        <f>IF($E586="","",IFERROR(VLOOKUP($C586,_CONFIG_Risk_Calibration!$A$5:$H$21,6,FALSE),"No"))</f>
        <v>No</v>
      </c>
      <c r="BO586">
        <f>IF($E586="","",IFERROR(VLOOKUP($C586,_CONFIG_Risk_Calibration!$A$5:$H$21,7,FALSE),1))</f>
        <v>1</v>
      </c>
      <c r="BP586">
        <f>IF($H586="","",MAX(1,MIN(5,((6-$H586)*0.45)+($BJ586*0.2)+('Resilience &amp; Risk Scenario'!$B$7*0.15)+($BK586*0.1)+($BL586*0.05)+(IF($BB586="Fast",5,IF($BB586="Slow",1,3))*0.05))))</f>
        <v>3.7</v>
      </c>
      <c r="BQ586">
        <f t="shared" si="77"/>
        <v>4.5</v>
      </c>
      <c r="BR586">
        <f t="shared" si="78"/>
        <v>16.649999999999999</v>
      </c>
      <c r="BS586">
        <f t="shared" si="79"/>
        <v>20.81</v>
      </c>
      <c r="BT586" t="str">
        <f>IFERROR(INDEX(_REF_Capability_Bridge!$D:$D,MATCH($C586&amp;"|"&amp;$D586,_REF_Capability_Bridge!$J:$J,0)),IFERROR(INDEX(_REF_Capability_Bridge!$D:$D,MATCH($C586&amp;"|",_REF_Capability_Bridge!$J:$J,0)),"CAP_GENERIC"))</f>
        <v>CAP_WORKFORCE_CONTINUITY</v>
      </c>
      <c r="BU586">
        <f>IFERROR(IFERROR(INDEX(_ENGINE_Relevance!$L:$L,MATCH($BT586,_ENGINE_Relevance!$B:$B,0)),1),1)</f>
        <v>1</v>
      </c>
      <c r="BV586" t="str">
        <f>IFERROR(INDEX(_REF_Capability_Bridge!$A:$A,MATCH($C586&amp;"|"&amp;$D586,_REF_Capability_Bridge!$J:$J,0)),IFERROR(INDEX(_REF_Capability_Bridge!$A:$A,MATCH($C586&amp;"|",_REF_Capability_Bridge!$J:$J,0)),"No bridge"))</f>
        <v>BRG-040</v>
      </c>
      <c r="BW586" t="str">
        <f t="shared" si="80"/>
        <v>Capability relevance neutral</v>
      </c>
      <c r="BX586" t="str">
        <f t="shared" si="81"/>
        <v>Initial / absent</v>
      </c>
      <c r="BY586" t="str">
        <f>IF($E586="","",IFERROR(INDEX(_REF_Treatment_Library!$A$2:$A$296,MATCH(1,INDEX((_REF_Treatment_Library!$B$2:$B$296=$BT586)*(_REF_Treatment_Library!$C$2:$C$296=PV_Canonical_Industry)*(_REF_Treatment_Library!$E$2:$E$296&lt;=N($H586))*(_REF_Treatment_Library!$F$2:$F$296&gt;=N($H586))*(_REF_Treatment_Library!$O$2:$O$296="Yes"),0),0)),IFERROR(INDEX(_REF_Treatment_Library!$A$2:$A$296,MATCH(1,INDEX((_REF_Treatment_Library!$B$2:$B$296=$BT586)*(_REF_Treatment_Library!$C$2:$C$296="All")*(_REF_Treatment_Library!$E$2:$E$296&lt;=N($H586))*(_REF_Treatment_Library!$F$2:$F$296&gt;=N($H586))*(_REF_Treatment_Library!$O$2:$O$296="Yes"),0),0)),"")))</f>
        <v>TRT-WORKFORCE_CONTINUITY-INITIAL</v>
      </c>
      <c r="BZ586" t="str">
        <f>IF($BY586="","",IFERROR(INDEX(_REF_Treatment_Library!$H$2:$H$296,MATCH($BY586,_REF_Treatment_Library!$A$2:$A$296,0)),""))</f>
        <v>Establish</v>
      </c>
      <c r="CA586" t="str">
        <f>IF($BY586="","",IFERROR(INDEX(_REF_Treatment_Library!$I$2:$I$296,MATCH($BY586,_REF_Treatment_Library!$A$2:$A$296,0)),""))</f>
        <v>Establish baseline controls for Workforce continuity</v>
      </c>
      <c r="CB586" t="str">
        <f>IF($BY586="","",IFERROR(INDEX(_REF_Treatment_Library!$K$2:$K$296,MATCH($BY586,_REF_Treatment_Library!$A$2:$A$296,0)),""))</f>
        <v>Named owner, baseline process, minimum control checklist, first evidence package</v>
      </c>
      <c r="CC586" t="str">
        <f>IF($BY586="","",IFERROR(INDEX(_REF_Treatment_Library!$L$2:$L$296,MATCH($BY586,_REF_Treatment_Library!$A$2:$A$296,0)),""))</f>
        <v>Owner assigned; baseline evidence coverage; open critical gaps</v>
      </c>
      <c r="CD586" t="str">
        <f t="shared" si="82"/>
        <v>Treatment by capability=CAP_WORKFORCE_CONTINUITY; band=Initial / absent; score=0.0; treatment=Establish</v>
      </c>
      <c r="CE586" t="str">
        <f>IF($E586="","",IFERROR(INDEX(_REF_Industry_Wording!$A$2:$A$70,MATCH(1,INDEX((_REF_Industry_Wording!$B$2:$B$70=$BT586)*(_REF_Industry_Wording!$C$2:$C$70=PV_Canonical_Industry)*(_REF_Industry_Wording!$K$2:$K$70="Yes"),0),0)),IFERROR(INDEX(_REF_Industry_Wording!$A$2:$A$70,MATCH(1,INDEX((_REF_Industry_Wording!$B$2:$B$70=$BT586)*(_REF_Industry_Wording!$C$2:$C$70="All")*(_REF_Industry_Wording!$K$2:$K$70="Yes"),0),0)),"")))</f>
        <v>IW-ALL-WORKFORCE_CONTINUITY</v>
      </c>
      <c r="CF586" t="str">
        <f>IF($CE586="","",IFERROR(INDEX(_REF_Industry_Wording!$E$2:$E$70,MATCH($CE586,_REF_Industry_Wording!$A$2:$A$70,0)),""))</f>
        <v>Workforce continuity weakness</v>
      </c>
      <c r="CG586" t="str">
        <f>IF($CE586="","",IFERROR(INDEX(_REF_Industry_Wording!$F$2:$F$70,MATCH($CE586,_REF_Industry_Wording!$A$2:$A$70,0)),""))</f>
        <v>Strengthen Workforce continuity</v>
      </c>
      <c r="CH586" t="str">
        <f>IF($CE586="","",IFERROR(INDEX(_REF_Industry_Wording!$G$2:$G$70,MATCH($CE586,_REF_Industry_Wording!$A$2:$A$70,0)),""))</f>
        <v>Strengthen Workforce continuity using the selected maturity treatment, crisis scenario and evidence requirements.</v>
      </c>
      <c r="CI586" t="str">
        <f>IF($CE586="","",IFERROR(INDEX(_REF_Industry_Wording!$H$2:$H$70,MATCH($CE586,_REF_Industry_Wording!$A$2:$A$70,0)),""))</f>
        <v>Workforce continuity</v>
      </c>
      <c r="CJ586">
        <f>IF($CE586="","",IFERROR(INDEX(_REF_Industry_Wording!$I$2:$I$70,MATCH($CE586,_REF_Industry_Wording!$A$2:$A$70,0)),""))</f>
        <v>0</v>
      </c>
      <c r="CK586" t="str">
        <f>IF($CE586="","",IFERROR(INDEX(_REF_Industry_Wording!$J$2:$J$70,MATCH($CE586,_REF_Industry_Wording!$A$2:$A$70,0)),""))</f>
        <v>Workforce continuity</v>
      </c>
      <c r="CL586" t="str">
        <f t="shared" si="83"/>
        <v>Wording by industry=0; capability=CAP_WORKFORCE_CONTINUITY; risk label=Workforce continuity weakness</v>
      </c>
      <c r="CM586" t="str">
        <f t="shared" si="84"/>
        <v>RISK-ONT-0087</v>
      </c>
      <c r="CN586" t="str">
        <f t="shared" si="85"/>
        <v>RISK-EVT-0087</v>
      </c>
      <c r="CO586" t="str">
        <f t="shared" si="86"/>
        <v>HR Workforce|HR systems and compliance|HRWO-020|CAP_WORKFORCE_CONTINUITY</v>
      </c>
      <c r="CP586" t="str">
        <f t="shared" si="87"/>
        <v>Active</v>
      </c>
      <c r="CQ586" t="str">
        <f t="shared" si="88"/>
        <v>OK: capability-driven</v>
      </c>
      <c r="CR586" t="str">
        <f t="shared" si="89"/>
        <v>Risk ontology uses capability=CAP_WORKFORCE_CONTINUITY; bridge=BRG-040; treatment=TRT-WORKFORCE_CONTINUITY-INITIAL; wording=IW-ALL-WORKFORCE_CONTINUITY</v>
      </c>
      <c r="CS586" t="str">
        <f t="shared" si="90"/>
        <v>Yes</v>
      </c>
    </row>
    <row r="587" spans="1:97" ht="69.900000000000006" customHeight="1">
      <c r="A587">
        <f>IF(OR($B587&lt;&gt;"Yes",$BS587=""),"",SUMPRODUCT(($B$500:$B$923="Yes")*ISNUMBER($BS$500:$BS$923)*($BS$500:$BS$923&gt;$BS587))+COUNTIFS($B$500:$B587,"Yes",$BS$500:$BS587,$BS587))</f>
        <v>160</v>
      </c>
      <c r="B587" t="str">
        <f t="shared" si="59"/>
        <v>Yes</v>
      </c>
      <c r="C587" t="s">
        <v>1259</v>
      </c>
      <c r="D587" t="s">
        <v>1278</v>
      </c>
      <c r="E587" t="s">
        <v>1345</v>
      </c>
      <c r="F587" t="s">
        <v>3682</v>
      </c>
      <c r="G587" t="str">
        <f>IF($H587="","",IFERROR(INDEX(_ENGINE_Risk!$H$5:$M$499,MATCH($E587,_ENGINE_Risk!$A$5:$A$499,0),$H587+1),""))</f>
        <v>Severe risk: employment compliance by country, contract type, working hours and emergency measures is not reliably controlled. During Workforce disruption; Pandemic/health crisis; War/security crisis, the organization may face loss of critical knowledge, reduced productivity, unmanaged absenteeism and inability to keep essential work running with limited visibility or accountability.</v>
      </c>
      <c r="H587">
        <f>IFERROR(VALUE(INDEX(_DATA_Assessment_Model!$H$5:$H$884,MATCH($E587,_DATA_Assessment_Model!$A$5:$A$884,0))),"")</f>
        <v>0</v>
      </c>
      <c r="I587" t="str">
        <f>IF($H587="","",IFERROR(INDEX(_DATA_Assessment_Model!$L$5:$L$884,MATCH($E587,_DATA_Assessment_Model!$A$5:$A$884,0)),IF($H587&lt;=1,"Critical",IF($H587=2,"High",IF($H587=3,"Medium",IF($H587=4,"Low","Resilient"))))))</f>
        <v>Critical</v>
      </c>
      <c r="J587">
        <f t="shared" si="60"/>
        <v>3.7</v>
      </c>
      <c r="K587">
        <f t="shared" si="61"/>
        <v>4.1500000000000004</v>
      </c>
      <c r="L587">
        <f t="shared" si="62"/>
        <v>15.355000000000002</v>
      </c>
      <c r="M587">
        <f t="shared" si="63"/>
        <v>4</v>
      </c>
      <c r="N587">
        <f>IF($H587="","",IFERROR(INDEX(_ENGINE_Risk!$T$5:$Y$499,MATCH($E587,_ENGINE_Risk!$A$5:$A$499,0),$H587+1),""))</f>
        <v>3</v>
      </c>
      <c r="O587">
        <f t="shared" si="64"/>
        <v>4.333333333333333</v>
      </c>
      <c r="P587">
        <f t="shared" si="65"/>
        <v>5</v>
      </c>
      <c r="Q587">
        <f t="shared" si="66"/>
        <v>5</v>
      </c>
      <c r="R587">
        <f t="shared" si="67"/>
        <v>4.5</v>
      </c>
      <c r="S587">
        <f t="shared" si="68"/>
        <v>1.57</v>
      </c>
      <c r="T587" t="str">
        <f>IF($H587="","",IFERROR(INDEX(_ENGINE_Risk!$N$5:$S$499,MATCH($E587,_ENGINE_Risk!$A$5:$A$499,0),$H587+1),""))</f>
        <v>Create an immediate risk owner, minimum control baseline and fallback procedure for employment compliance by country, contract type, working hours and emergency measures. Add it to the crisis risk register and collect first evidence.</v>
      </c>
      <c r="U587">
        <f>IFERROR(INDEX(_DATA_Assessment_Model!$G$5:$G$884,MATCH($E587,_DATA_Assessment_Model!$A$5:$A$884,0)),"")</f>
        <v>4</v>
      </c>
      <c r="V587">
        <f>IFERROR(INDEX(_DATA_Assessment_Model!$W$5:$W$884,MATCH($E587,_DATA_Assessment_Model!$A$5:$A$884,0)),"")</f>
        <v>4</v>
      </c>
      <c r="W587">
        <f>IFERROR(INDEX(_DATA_Assessment_Model!$X$5:$X$884,MATCH($E587,_DATA_Assessment_Model!$A$5:$A$884,0)),"")</f>
        <v>5</v>
      </c>
      <c r="X587">
        <f>IFERROR(INDEX(_DATA_Assessment_Model!$Y$5:$Y$884,MATCH($E587,_DATA_Assessment_Model!$A$5:$A$884,0)),"")</f>
        <v>5</v>
      </c>
      <c r="Y587" t="s">
        <v>1266</v>
      </c>
      <c r="Z587" t="s">
        <v>5544</v>
      </c>
      <c r="AA587" t="s">
        <v>1347</v>
      </c>
      <c r="AB587">
        <f>IFERROR(INDEX(_DATA_Assessment_Model!$U$5:$U$884,MATCH($E587,_DATA_Assessment_Model!$A$5:$A$884,0)),"")</f>
        <v>0</v>
      </c>
      <c r="AF587" t="s">
        <v>1346</v>
      </c>
      <c r="AO587">
        <f>IF($B587="Yes",IF(IFERROR(INDEX(_ENGINE_Crisis!$F$501:$F$517,MATCH($C587,_ENGINE_Crisis!$A$501:$A$517,0)),1)=0,1,IFERROR(INDEX(_ENGINE_Crisis!$F$501:$F$517,MATCH($C587,_ENGINE_Crisis!$A$501:$A$517,0)),1)),"")</f>
        <v>1</v>
      </c>
      <c r="AP587">
        <f t="shared" si="69"/>
        <v>15.4</v>
      </c>
      <c r="AQ587">
        <f t="shared" si="70"/>
        <v>1.57</v>
      </c>
      <c r="AR587" t="str">
        <f>IFERROR(INDEX(_ENGINE_Crisis!$E$41:$E$700,MATCH('Resilience &amp; Risk Scenario'!$B$6&amp;"|"&amp;$C587,_ENGINE_Crisis!$I$41:$I$700,0)),"")</f>
        <v/>
      </c>
      <c r="AS587" t="str">
        <f>IFERROR(INDEX(_ENGINE_Crisis!$G$41:$G$700,MATCH('Resilience &amp; Risk Scenario'!$B$6&amp;"|"&amp;$C587,_ENGINE_Crisis!$I$41:$I$700,0)),"")</f>
        <v/>
      </c>
      <c r="AT587" t="str">
        <f>IFERROR(INDEX(_ENGINE_Initiatives!$A$5:$A$532,MATCH(1,INDEX((_ENGINE_Initiatives!$B$5:$B$532=$C587)*(_ENGINE_Initiatives!$C$5:$C$532=$D587),0),0)),"")</f>
        <v>INI-014</v>
      </c>
      <c r="AU587" t="str">
        <f>IFERROR(INDEX(_ENGINE_Initiatives!$F$5:$F$532,MATCH(1,INDEX((_ENGINE_Initiatives!$B$5:$B$532=$C587)*(_ENGINE_Initiatives!$C$5:$C$532=$D587),0),0)),"")</f>
        <v>Stabilize HRMS, workforce data and HR compliance controls</v>
      </c>
      <c r="AV587">
        <f>IFERROR(INDEX(_ENGINE_Initiatives!$AC$5:$AC$532,MATCH(1,INDEX((_ENGINE_Initiatives!$B$5:$B$532=$C587)*(_ENGINE_Initiatives!$C$5:$C$532=$D587),0),0)),"")</f>
        <v>1.77</v>
      </c>
      <c r="AW587" t="str">
        <f>IFERROR(INDEX(_ENGINE_Initiatives!$AE$5:$AE$532,MATCH(1,INDEX((_ENGINE_Initiatives!$B$5:$B$532=$C587)*(_ENGINE_Initiatives!$C$5:$C$532=$D587),0),0)),"")</f>
        <v>3-6 months</v>
      </c>
      <c r="AX587">
        <f>IF($B587="Yes",IFERROR((IF(SUMIFS(_REF_Model_Content!$E$1:$E$613,_REF_Model_Content!$A$1:$A$613,PV_Canonical_Industry,_REF_Model_Content!$B$1:$B$613,$C587)=0,1,SUMIFS(_REF_Model_Content!$E$1:$E$613,_REF_Model_Content!$A$1:$A$613,PV_Canonical_Industry,_REF_Model_Content!$B$1:$B$613,$C587))*IFERROR($BU587,1)),1),"")</f>
        <v>1</v>
      </c>
      <c r="AY587">
        <f t="shared" si="71"/>
        <v>15.4</v>
      </c>
      <c r="AZ587">
        <f t="shared" si="72"/>
        <v>1.57</v>
      </c>
      <c r="BB587" t="str">
        <f>IF($H587="","",IFERROR(INDEX(_ENGINE_Risk!$AE$5:$AE$499,MATCH($E587,_ENGINE_Risk!$A$5:$A$499,0)),"Medium"))</f>
        <v>Fast</v>
      </c>
      <c r="BC587">
        <f t="shared" si="73"/>
        <v>1.25</v>
      </c>
      <c r="BD587">
        <f t="shared" si="74"/>
        <v>1.57</v>
      </c>
      <c r="BF587">
        <f>IF(OR($H587="",$J587=""),"",IFERROR(VLOOKUP(ROUND($J587,0),_CONFIG_Model_Settings!$D$154:$E$158,2,0),""))</f>
        <v>0.5</v>
      </c>
      <c r="BG587">
        <f>IFERROR(IF(OR($H587="",$K587=""),"",ROUND('Company Profile'!$B$113*INDEX(_CONFIG_Model_Settings!$H$154:$H$158,MATCH(ROUND($K587,0),_CONFIG_Model_Settings!$G$154:$G$158,0)),0)),0)</f>
        <v>875</v>
      </c>
      <c r="BH587">
        <f t="shared" si="75"/>
        <v>437.5</v>
      </c>
      <c r="BI587">
        <f t="shared" si="76"/>
        <v>437.5</v>
      </c>
      <c r="BJ587">
        <f>IF($E587="","",IFERROR(VLOOKUP($C587,_CONFIG_Risk_Calibration!$A$5:$H$21,2,FALSE),3))</f>
        <v>3</v>
      </c>
      <c r="BK587">
        <f>IF($E587="","",IFERROR(VLOOKUP($C587,_CONFIG_Risk_Calibration!$A$5:$H$21,3,FALSE),0))</f>
        <v>0</v>
      </c>
      <c r="BL587">
        <f>IF($E587="","",IFERROR(VLOOKUP($C587,_CONFIG_Risk_Calibration!$A$5:$H$21,4,FALSE),3))</f>
        <v>3</v>
      </c>
      <c r="BM587">
        <f>IF($E587="","",IFERROR(VLOOKUP($C587,_CONFIG_Risk_Calibration!$A$5:$H$21,5,FALSE),3))</f>
        <v>3</v>
      </c>
      <c r="BN587" t="str">
        <f>IF($E587="","",IFERROR(VLOOKUP($C587,_CONFIG_Risk_Calibration!$A$5:$H$21,6,FALSE),"No"))</f>
        <v>No</v>
      </c>
      <c r="BO587">
        <f>IF($E587="","",IFERROR(VLOOKUP($C587,_CONFIG_Risk_Calibration!$A$5:$H$21,7,FALSE),1))</f>
        <v>1</v>
      </c>
      <c r="BP587">
        <f>IF($H587="","",MAX(1,MIN(5,((6-$H587)*0.45)+($BJ587*0.2)+('Resilience &amp; Risk Scenario'!$B$7*0.15)+($BK587*0.1)+($BL587*0.05)+(IF($BB587="Fast",5,IF($BB587="Slow",1,3))*0.05))))</f>
        <v>3.7</v>
      </c>
      <c r="BQ587">
        <f t="shared" si="77"/>
        <v>4.1500000000000004</v>
      </c>
      <c r="BR587">
        <f t="shared" si="78"/>
        <v>15.36</v>
      </c>
      <c r="BS587">
        <f t="shared" si="79"/>
        <v>19.2</v>
      </c>
      <c r="BT587" t="str">
        <f>IFERROR(INDEX(_REF_Capability_Bridge!$D:$D,MATCH($C587&amp;"|"&amp;$D587,_REF_Capability_Bridge!$J:$J,0)),IFERROR(INDEX(_REF_Capability_Bridge!$D:$D,MATCH($C587&amp;"|",_REF_Capability_Bridge!$J:$J,0)),"CAP_GENERIC"))</f>
        <v>CAP_WORKFORCE_CONTINUITY</v>
      </c>
      <c r="BU587">
        <f>IFERROR(IFERROR(INDEX(_ENGINE_Relevance!$L:$L,MATCH($BT587,_ENGINE_Relevance!$B:$B,0)),1),1)</f>
        <v>1</v>
      </c>
      <c r="BV587" t="str">
        <f>IFERROR(INDEX(_REF_Capability_Bridge!$A:$A,MATCH($C587&amp;"|"&amp;$D587,_REF_Capability_Bridge!$J:$J,0)),IFERROR(INDEX(_REF_Capability_Bridge!$A:$A,MATCH($C587&amp;"|",_REF_Capability_Bridge!$J:$J,0)),"No bridge"))</f>
        <v>BRG-040</v>
      </c>
      <c r="BW587" t="str">
        <f t="shared" si="80"/>
        <v>Capability relevance neutral</v>
      </c>
      <c r="BX587" t="str">
        <f t="shared" si="81"/>
        <v>Initial / absent</v>
      </c>
      <c r="BY587" t="str">
        <f>IF($E587="","",IFERROR(INDEX(_REF_Treatment_Library!$A$2:$A$296,MATCH(1,INDEX((_REF_Treatment_Library!$B$2:$B$296=$BT587)*(_REF_Treatment_Library!$C$2:$C$296=PV_Canonical_Industry)*(_REF_Treatment_Library!$E$2:$E$296&lt;=N($H587))*(_REF_Treatment_Library!$F$2:$F$296&gt;=N($H587))*(_REF_Treatment_Library!$O$2:$O$296="Yes"),0),0)),IFERROR(INDEX(_REF_Treatment_Library!$A$2:$A$296,MATCH(1,INDEX((_REF_Treatment_Library!$B$2:$B$296=$BT587)*(_REF_Treatment_Library!$C$2:$C$296="All")*(_REF_Treatment_Library!$E$2:$E$296&lt;=N($H587))*(_REF_Treatment_Library!$F$2:$F$296&gt;=N($H587))*(_REF_Treatment_Library!$O$2:$O$296="Yes"),0),0)),"")))</f>
        <v>TRT-WORKFORCE_CONTINUITY-INITIAL</v>
      </c>
      <c r="BZ587" t="str">
        <f>IF($BY587="","",IFERROR(INDEX(_REF_Treatment_Library!$H$2:$H$296,MATCH($BY587,_REF_Treatment_Library!$A$2:$A$296,0)),""))</f>
        <v>Establish</v>
      </c>
      <c r="CA587" t="str">
        <f>IF($BY587="","",IFERROR(INDEX(_REF_Treatment_Library!$I$2:$I$296,MATCH($BY587,_REF_Treatment_Library!$A$2:$A$296,0)),""))</f>
        <v>Establish baseline controls for Workforce continuity</v>
      </c>
      <c r="CB587" t="str">
        <f>IF($BY587="","",IFERROR(INDEX(_REF_Treatment_Library!$K$2:$K$296,MATCH($BY587,_REF_Treatment_Library!$A$2:$A$296,0)),""))</f>
        <v>Named owner, baseline process, minimum control checklist, first evidence package</v>
      </c>
      <c r="CC587" t="str">
        <f>IF($BY587="","",IFERROR(INDEX(_REF_Treatment_Library!$L$2:$L$296,MATCH($BY587,_REF_Treatment_Library!$A$2:$A$296,0)),""))</f>
        <v>Owner assigned; baseline evidence coverage; open critical gaps</v>
      </c>
      <c r="CD587" t="str">
        <f t="shared" si="82"/>
        <v>Treatment by capability=CAP_WORKFORCE_CONTINUITY; band=Initial / absent; score=0.0; treatment=Establish</v>
      </c>
      <c r="CE587" t="str">
        <f>IF($E587="","",IFERROR(INDEX(_REF_Industry_Wording!$A$2:$A$70,MATCH(1,INDEX((_REF_Industry_Wording!$B$2:$B$70=$BT587)*(_REF_Industry_Wording!$C$2:$C$70=PV_Canonical_Industry)*(_REF_Industry_Wording!$K$2:$K$70="Yes"),0),0)),IFERROR(INDEX(_REF_Industry_Wording!$A$2:$A$70,MATCH(1,INDEX((_REF_Industry_Wording!$B$2:$B$70=$BT587)*(_REF_Industry_Wording!$C$2:$C$70="All")*(_REF_Industry_Wording!$K$2:$K$70="Yes"),0),0)),"")))</f>
        <v>IW-ALL-WORKFORCE_CONTINUITY</v>
      </c>
      <c r="CF587" t="str">
        <f>IF($CE587="","",IFERROR(INDEX(_REF_Industry_Wording!$E$2:$E$70,MATCH($CE587,_REF_Industry_Wording!$A$2:$A$70,0)),""))</f>
        <v>Workforce continuity weakness</v>
      </c>
      <c r="CG587" t="str">
        <f>IF($CE587="","",IFERROR(INDEX(_REF_Industry_Wording!$F$2:$F$70,MATCH($CE587,_REF_Industry_Wording!$A$2:$A$70,0)),""))</f>
        <v>Strengthen Workforce continuity</v>
      </c>
      <c r="CH587" t="str">
        <f>IF($CE587="","",IFERROR(INDEX(_REF_Industry_Wording!$G$2:$G$70,MATCH($CE587,_REF_Industry_Wording!$A$2:$A$70,0)),""))</f>
        <v>Strengthen Workforce continuity using the selected maturity treatment, crisis scenario and evidence requirements.</v>
      </c>
      <c r="CI587" t="str">
        <f>IF($CE587="","",IFERROR(INDEX(_REF_Industry_Wording!$H$2:$H$70,MATCH($CE587,_REF_Industry_Wording!$A$2:$A$70,0)),""))</f>
        <v>Workforce continuity</v>
      </c>
      <c r="CJ587">
        <f>IF($CE587="","",IFERROR(INDEX(_REF_Industry_Wording!$I$2:$I$70,MATCH($CE587,_REF_Industry_Wording!$A$2:$A$70,0)),""))</f>
        <v>0</v>
      </c>
      <c r="CK587" t="str">
        <f>IF($CE587="","",IFERROR(INDEX(_REF_Industry_Wording!$J$2:$J$70,MATCH($CE587,_REF_Industry_Wording!$A$2:$A$70,0)),""))</f>
        <v>Workforce continuity</v>
      </c>
      <c r="CL587" t="str">
        <f t="shared" si="83"/>
        <v>Wording by industry=0; capability=CAP_WORKFORCE_CONTINUITY; risk label=Workforce continuity weakness</v>
      </c>
      <c r="CM587" t="str">
        <f t="shared" si="84"/>
        <v>RISK-ONT-0088</v>
      </c>
      <c r="CN587" t="str">
        <f t="shared" si="85"/>
        <v>RISK-EVT-0088</v>
      </c>
      <c r="CO587" t="str">
        <f t="shared" si="86"/>
        <v>HR Workforce|HR systems and compliance|HRWO-022|CAP_WORKFORCE_CONTINUITY</v>
      </c>
      <c r="CP587" t="str">
        <f t="shared" si="87"/>
        <v>Active</v>
      </c>
      <c r="CQ587" t="str">
        <f t="shared" si="88"/>
        <v>OK: capability-driven</v>
      </c>
      <c r="CR587" t="str">
        <f t="shared" si="89"/>
        <v>Risk ontology uses capability=CAP_WORKFORCE_CONTINUITY; bridge=BRG-040; treatment=TRT-WORKFORCE_CONTINUITY-INITIAL; wording=IW-ALL-WORKFORCE_CONTINUITY</v>
      </c>
      <c r="CS587" t="str">
        <f t="shared" si="90"/>
        <v>Yes</v>
      </c>
    </row>
    <row r="588" spans="1:97" ht="69.900000000000006" customHeight="1">
      <c r="A588">
        <f>IF(OR($B588&lt;&gt;"Yes",$BS588=""),"",SUMPRODUCT(($B$500:$B$923="Yes")*ISNUMBER($BS$500:$BS$923)*($BS$500:$BS$923&gt;$BS588))+COUNTIFS($B$500:$B588,"Yes",$BS$500:$BS588,$BS588))</f>
        <v>205</v>
      </c>
      <c r="B588" t="str">
        <f t="shared" si="59"/>
        <v>Yes</v>
      </c>
      <c r="C588" t="s">
        <v>1259</v>
      </c>
      <c r="D588" t="s">
        <v>1278</v>
      </c>
      <c r="E588" t="s">
        <v>1354</v>
      </c>
      <c r="F588" t="s">
        <v>3682</v>
      </c>
      <c r="G588" t="str">
        <f>IF($H588="","",IFERROR(INDEX(_ENGINE_Risk!$H$5:$M$499,MATCH($E588,_ENGINE_Risk!$A$5:$A$499,0),$H588+1),""))</f>
        <v>Severe risk: health emergency protocols for infectious disease, injury, evacuation and return-to-work is not reliably controlled. During Workforce disruption; Pandemic/health crisis; War/security crisis, the organization may face loss of critical knowledge, reduced productivity, unmanaged absenteeism and inability to keep essential work running with limited visibility or accountability.</v>
      </c>
      <c r="H588">
        <f>IFERROR(VALUE(INDEX(_DATA_Assessment_Model!$H$5:$H$884,MATCH($E588,_DATA_Assessment_Model!$A$5:$A$884,0))),"")</f>
        <v>0</v>
      </c>
      <c r="I588" t="str">
        <f>IF($H588="","",IFERROR(INDEX(_DATA_Assessment_Model!$L$5:$L$884,MATCH($E588,_DATA_Assessment_Model!$A$5:$A$884,0)),IF($H588&lt;=1,"Critical",IF($H588=2,"High",IF($H588=3,"Medium",IF($H588=4,"Low","Resilient"))))))</f>
        <v>Critical</v>
      </c>
      <c r="J588">
        <f t="shared" si="60"/>
        <v>3.7</v>
      </c>
      <c r="K588">
        <f t="shared" si="61"/>
        <v>3.95</v>
      </c>
      <c r="L588">
        <f t="shared" si="62"/>
        <v>14.615000000000002</v>
      </c>
      <c r="M588">
        <f t="shared" si="63"/>
        <v>3</v>
      </c>
      <c r="N588">
        <f>IF($H588="","",IFERROR(INDEX(_ENGINE_Risk!$T$5:$Y$499,MATCH($E588,_ENGINE_Risk!$A$5:$A$499,0),$H588+1),""))</f>
        <v>3</v>
      </c>
      <c r="O588">
        <f t="shared" si="64"/>
        <v>4</v>
      </c>
      <c r="P588">
        <f t="shared" si="65"/>
        <v>5</v>
      </c>
      <c r="Q588">
        <f t="shared" si="66"/>
        <v>5</v>
      </c>
      <c r="R588">
        <f t="shared" si="67"/>
        <v>4.5</v>
      </c>
      <c r="S588">
        <f t="shared" si="68"/>
        <v>1.54</v>
      </c>
      <c r="T588" t="str">
        <f>IF($H588="","",IFERROR(INDEX(_ENGINE_Risk!$N$5:$S$499,MATCH($E588,_ENGINE_Risk!$A$5:$A$499,0),$H588+1),""))</f>
        <v>Create an immediate risk owner, minimum control baseline and fallback procedure for health emergency protocols for infectious disease, injury, evacuation and return-to-work. Add it to the crisis risk register and collect first evidence.</v>
      </c>
      <c r="U588">
        <f>IFERROR(INDEX(_DATA_Assessment_Model!$G$5:$G$884,MATCH($E588,_DATA_Assessment_Model!$A$5:$A$884,0)),"")</f>
        <v>3</v>
      </c>
      <c r="V588">
        <f>IFERROR(INDEX(_DATA_Assessment_Model!$W$5:$W$884,MATCH($E588,_DATA_Assessment_Model!$A$5:$A$884,0)),"")</f>
        <v>4</v>
      </c>
      <c r="W588">
        <f>IFERROR(INDEX(_DATA_Assessment_Model!$X$5:$X$884,MATCH($E588,_DATA_Assessment_Model!$A$5:$A$884,0)),"")</f>
        <v>5</v>
      </c>
      <c r="X588">
        <f>IFERROR(INDEX(_DATA_Assessment_Model!$Y$5:$Y$884,MATCH($E588,_DATA_Assessment_Model!$A$5:$A$884,0)),"")</f>
        <v>5</v>
      </c>
      <c r="Y588" t="s">
        <v>1266</v>
      </c>
      <c r="Z588" t="s">
        <v>5544</v>
      </c>
      <c r="AA588" t="s">
        <v>1356</v>
      </c>
      <c r="AB588">
        <f>IFERROR(INDEX(_DATA_Assessment_Model!$U$5:$U$884,MATCH($E588,_DATA_Assessment_Model!$A$5:$A$884,0)),"")</f>
        <v>0</v>
      </c>
      <c r="AF588" t="s">
        <v>1355</v>
      </c>
      <c r="AO588">
        <f>IF($B588="Yes",IF(IFERROR(INDEX(_ENGINE_Crisis!$F$501:$F$517,MATCH($C588,_ENGINE_Crisis!$A$501:$A$517,0)),1)=0,1,IFERROR(INDEX(_ENGINE_Crisis!$F$501:$F$517,MATCH($C588,_ENGINE_Crisis!$A$501:$A$517,0)),1)),"")</f>
        <v>1</v>
      </c>
      <c r="AP588">
        <f t="shared" si="69"/>
        <v>14.6</v>
      </c>
      <c r="AQ588">
        <f t="shared" si="70"/>
        <v>1.54</v>
      </c>
      <c r="AR588" t="str">
        <f>IFERROR(INDEX(_ENGINE_Crisis!$E$41:$E$700,MATCH('Resilience &amp; Risk Scenario'!$B$6&amp;"|"&amp;$C588,_ENGINE_Crisis!$I$41:$I$700,0)),"")</f>
        <v/>
      </c>
      <c r="AS588" t="str">
        <f>IFERROR(INDEX(_ENGINE_Crisis!$G$41:$G$700,MATCH('Resilience &amp; Risk Scenario'!$B$6&amp;"|"&amp;$C588,_ENGINE_Crisis!$I$41:$I$700,0)),"")</f>
        <v/>
      </c>
      <c r="AT588" t="str">
        <f>IFERROR(INDEX(_ENGINE_Initiatives!$A$5:$A$532,MATCH(1,INDEX((_ENGINE_Initiatives!$B$5:$B$532=$C588)*(_ENGINE_Initiatives!$C$5:$C$532=$D588),0),0)),"")</f>
        <v>INI-014</v>
      </c>
      <c r="AU588" t="str">
        <f>IFERROR(INDEX(_ENGINE_Initiatives!$F$5:$F$532,MATCH(1,INDEX((_ENGINE_Initiatives!$B$5:$B$532=$C588)*(_ENGINE_Initiatives!$C$5:$C$532=$D588),0),0)),"")</f>
        <v>Stabilize HRMS, workforce data and HR compliance controls</v>
      </c>
      <c r="AV588">
        <f>IFERROR(INDEX(_ENGINE_Initiatives!$AC$5:$AC$532,MATCH(1,INDEX((_ENGINE_Initiatives!$B$5:$B$532=$C588)*(_ENGINE_Initiatives!$C$5:$C$532=$D588),0),0)),"")</f>
        <v>1.77</v>
      </c>
      <c r="AW588" t="str">
        <f>IFERROR(INDEX(_ENGINE_Initiatives!$AE$5:$AE$532,MATCH(1,INDEX((_ENGINE_Initiatives!$B$5:$B$532=$C588)*(_ENGINE_Initiatives!$C$5:$C$532=$D588),0),0)),"")</f>
        <v>3-6 months</v>
      </c>
      <c r="AX588">
        <f>IF($B588="Yes",IFERROR((IF(SUMIFS(_REF_Model_Content!$E$1:$E$613,_REF_Model_Content!$A$1:$A$613,PV_Canonical_Industry,_REF_Model_Content!$B$1:$B$613,$C588)=0,1,SUMIFS(_REF_Model_Content!$E$1:$E$613,_REF_Model_Content!$A$1:$A$613,PV_Canonical_Industry,_REF_Model_Content!$B$1:$B$613,$C588))*IFERROR($BU588,1)),1),"")</f>
        <v>1</v>
      </c>
      <c r="AY588">
        <f t="shared" si="71"/>
        <v>14.6</v>
      </c>
      <c r="AZ588">
        <f t="shared" si="72"/>
        <v>1.54</v>
      </c>
      <c r="BB588" t="str">
        <f>IF($H588="","",IFERROR(INDEX(_ENGINE_Risk!$AE$5:$AE$499,MATCH($E588,_ENGINE_Risk!$A$5:$A$499,0)),"Medium"))</f>
        <v>Fast</v>
      </c>
      <c r="BC588">
        <f t="shared" si="73"/>
        <v>1.25</v>
      </c>
      <c r="BD588">
        <f t="shared" si="74"/>
        <v>1.54</v>
      </c>
      <c r="BF588">
        <f>IF(OR($H588="",$J588=""),"",IFERROR(VLOOKUP(ROUND($J588,0),_CONFIG_Model_Settings!$D$154:$E$158,2,0),""))</f>
        <v>0.5</v>
      </c>
      <c r="BG588">
        <f>IFERROR(IF(OR($H588="",$K588=""),"",ROUND('Company Profile'!$B$113*INDEX(_CONFIG_Model_Settings!$H$154:$H$158,MATCH(ROUND($K588,0),_CONFIG_Model_Settings!$G$154:$G$158,0)),0)),0)</f>
        <v>875</v>
      </c>
      <c r="BH588">
        <f t="shared" si="75"/>
        <v>437.5</v>
      </c>
      <c r="BI588">
        <f t="shared" si="76"/>
        <v>437.5</v>
      </c>
      <c r="BJ588">
        <f>IF($E588="","",IFERROR(VLOOKUP($C588,_CONFIG_Risk_Calibration!$A$5:$H$21,2,FALSE),3))</f>
        <v>3</v>
      </c>
      <c r="BK588">
        <f>IF($E588="","",IFERROR(VLOOKUP($C588,_CONFIG_Risk_Calibration!$A$5:$H$21,3,FALSE),0))</f>
        <v>0</v>
      </c>
      <c r="BL588">
        <f>IF($E588="","",IFERROR(VLOOKUP($C588,_CONFIG_Risk_Calibration!$A$5:$H$21,4,FALSE),3))</f>
        <v>3</v>
      </c>
      <c r="BM588">
        <f>IF($E588="","",IFERROR(VLOOKUP($C588,_CONFIG_Risk_Calibration!$A$5:$H$21,5,FALSE),3))</f>
        <v>3</v>
      </c>
      <c r="BN588" t="str">
        <f>IF($E588="","",IFERROR(VLOOKUP($C588,_CONFIG_Risk_Calibration!$A$5:$H$21,6,FALSE),"No"))</f>
        <v>No</v>
      </c>
      <c r="BO588">
        <f>IF($E588="","",IFERROR(VLOOKUP($C588,_CONFIG_Risk_Calibration!$A$5:$H$21,7,FALSE),1))</f>
        <v>1</v>
      </c>
      <c r="BP588">
        <f>IF($H588="","",MAX(1,MIN(5,((6-$H588)*0.45)+($BJ588*0.2)+('Resilience &amp; Risk Scenario'!$B$7*0.15)+($BK588*0.1)+($BL588*0.05)+(IF($BB588="Fast",5,IF($BB588="Slow",1,3))*0.05))))</f>
        <v>3.7</v>
      </c>
      <c r="BQ588">
        <f t="shared" si="77"/>
        <v>3.95</v>
      </c>
      <c r="BR588">
        <f t="shared" si="78"/>
        <v>14.62</v>
      </c>
      <c r="BS588">
        <f t="shared" si="79"/>
        <v>18.28</v>
      </c>
      <c r="BT588" t="str">
        <f>IFERROR(INDEX(_REF_Capability_Bridge!$D:$D,MATCH($C588&amp;"|"&amp;$D588,_REF_Capability_Bridge!$J:$J,0)),IFERROR(INDEX(_REF_Capability_Bridge!$D:$D,MATCH($C588&amp;"|",_REF_Capability_Bridge!$J:$J,0)),"CAP_GENERIC"))</f>
        <v>CAP_WORKFORCE_CONTINUITY</v>
      </c>
      <c r="BU588">
        <f>IFERROR(IFERROR(INDEX(_ENGINE_Relevance!$L:$L,MATCH($BT588,_ENGINE_Relevance!$B:$B,0)),1),1)</f>
        <v>1</v>
      </c>
      <c r="BV588" t="str">
        <f>IFERROR(INDEX(_REF_Capability_Bridge!$A:$A,MATCH($C588&amp;"|"&amp;$D588,_REF_Capability_Bridge!$J:$J,0)),IFERROR(INDEX(_REF_Capability_Bridge!$A:$A,MATCH($C588&amp;"|",_REF_Capability_Bridge!$J:$J,0)),"No bridge"))</f>
        <v>BRG-040</v>
      </c>
      <c r="BW588" t="str">
        <f t="shared" si="80"/>
        <v>Capability relevance neutral</v>
      </c>
      <c r="BX588" t="str">
        <f t="shared" si="81"/>
        <v>Initial / absent</v>
      </c>
      <c r="BY588" t="str">
        <f>IF($E588="","",IFERROR(INDEX(_REF_Treatment_Library!$A$2:$A$296,MATCH(1,INDEX((_REF_Treatment_Library!$B$2:$B$296=$BT588)*(_REF_Treatment_Library!$C$2:$C$296=PV_Canonical_Industry)*(_REF_Treatment_Library!$E$2:$E$296&lt;=N($H588))*(_REF_Treatment_Library!$F$2:$F$296&gt;=N($H588))*(_REF_Treatment_Library!$O$2:$O$296="Yes"),0),0)),IFERROR(INDEX(_REF_Treatment_Library!$A$2:$A$296,MATCH(1,INDEX((_REF_Treatment_Library!$B$2:$B$296=$BT588)*(_REF_Treatment_Library!$C$2:$C$296="All")*(_REF_Treatment_Library!$E$2:$E$296&lt;=N($H588))*(_REF_Treatment_Library!$F$2:$F$296&gt;=N($H588))*(_REF_Treatment_Library!$O$2:$O$296="Yes"),0),0)),"")))</f>
        <v>TRT-WORKFORCE_CONTINUITY-INITIAL</v>
      </c>
      <c r="BZ588" t="str">
        <f>IF($BY588="","",IFERROR(INDEX(_REF_Treatment_Library!$H$2:$H$296,MATCH($BY588,_REF_Treatment_Library!$A$2:$A$296,0)),""))</f>
        <v>Establish</v>
      </c>
      <c r="CA588" t="str">
        <f>IF($BY588="","",IFERROR(INDEX(_REF_Treatment_Library!$I$2:$I$296,MATCH($BY588,_REF_Treatment_Library!$A$2:$A$296,0)),""))</f>
        <v>Establish baseline controls for Workforce continuity</v>
      </c>
      <c r="CB588" t="str">
        <f>IF($BY588="","",IFERROR(INDEX(_REF_Treatment_Library!$K$2:$K$296,MATCH($BY588,_REF_Treatment_Library!$A$2:$A$296,0)),""))</f>
        <v>Named owner, baseline process, minimum control checklist, first evidence package</v>
      </c>
      <c r="CC588" t="str">
        <f>IF($BY588="","",IFERROR(INDEX(_REF_Treatment_Library!$L$2:$L$296,MATCH($BY588,_REF_Treatment_Library!$A$2:$A$296,0)),""))</f>
        <v>Owner assigned; baseline evidence coverage; open critical gaps</v>
      </c>
      <c r="CD588" t="str">
        <f t="shared" si="82"/>
        <v>Treatment by capability=CAP_WORKFORCE_CONTINUITY; band=Initial / absent; score=0.0; treatment=Establish</v>
      </c>
      <c r="CE588" t="str">
        <f>IF($E588="","",IFERROR(INDEX(_REF_Industry_Wording!$A$2:$A$70,MATCH(1,INDEX((_REF_Industry_Wording!$B$2:$B$70=$BT588)*(_REF_Industry_Wording!$C$2:$C$70=PV_Canonical_Industry)*(_REF_Industry_Wording!$K$2:$K$70="Yes"),0),0)),IFERROR(INDEX(_REF_Industry_Wording!$A$2:$A$70,MATCH(1,INDEX((_REF_Industry_Wording!$B$2:$B$70=$BT588)*(_REF_Industry_Wording!$C$2:$C$70="All")*(_REF_Industry_Wording!$K$2:$K$70="Yes"),0),0)),"")))</f>
        <v>IW-ALL-WORKFORCE_CONTINUITY</v>
      </c>
      <c r="CF588" t="str">
        <f>IF($CE588="","",IFERROR(INDEX(_REF_Industry_Wording!$E$2:$E$70,MATCH($CE588,_REF_Industry_Wording!$A$2:$A$70,0)),""))</f>
        <v>Workforce continuity weakness</v>
      </c>
      <c r="CG588" t="str">
        <f>IF($CE588="","",IFERROR(INDEX(_REF_Industry_Wording!$F$2:$F$70,MATCH($CE588,_REF_Industry_Wording!$A$2:$A$70,0)),""))</f>
        <v>Strengthen Workforce continuity</v>
      </c>
      <c r="CH588" t="str">
        <f>IF($CE588="","",IFERROR(INDEX(_REF_Industry_Wording!$G$2:$G$70,MATCH($CE588,_REF_Industry_Wording!$A$2:$A$70,0)),""))</f>
        <v>Strengthen Workforce continuity using the selected maturity treatment, crisis scenario and evidence requirements.</v>
      </c>
      <c r="CI588" t="str">
        <f>IF($CE588="","",IFERROR(INDEX(_REF_Industry_Wording!$H$2:$H$70,MATCH($CE588,_REF_Industry_Wording!$A$2:$A$70,0)),""))</f>
        <v>Workforce continuity</v>
      </c>
      <c r="CJ588">
        <f>IF($CE588="","",IFERROR(INDEX(_REF_Industry_Wording!$I$2:$I$70,MATCH($CE588,_REF_Industry_Wording!$A$2:$A$70,0)),""))</f>
        <v>0</v>
      </c>
      <c r="CK588" t="str">
        <f>IF($CE588="","",IFERROR(INDEX(_REF_Industry_Wording!$J$2:$J$70,MATCH($CE588,_REF_Industry_Wording!$A$2:$A$70,0)),""))</f>
        <v>Workforce continuity</v>
      </c>
      <c r="CL588" t="str">
        <f t="shared" si="83"/>
        <v>Wording by industry=0; capability=CAP_WORKFORCE_CONTINUITY; risk label=Workforce continuity weakness</v>
      </c>
      <c r="CM588" t="str">
        <f t="shared" si="84"/>
        <v>RISK-ONT-0089</v>
      </c>
      <c r="CN588" t="str">
        <f t="shared" si="85"/>
        <v>RISK-EVT-0089</v>
      </c>
      <c r="CO588" t="str">
        <f t="shared" si="86"/>
        <v>HR Workforce|HR systems and compliance|HRWO-024|CAP_WORKFORCE_CONTINUITY</v>
      </c>
      <c r="CP588" t="str">
        <f t="shared" si="87"/>
        <v>Active</v>
      </c>
      <c r="CQ588" t="str">
        <f t="shared" si="88"/>
        <v>OK: capability-driven</v>
      </c>
      <c r="CR588" t="str">
        <f t="shared" si="89"/>
        <v>Risk ontology uses capability=CAP_WORKFORCE_CONTINUITY; bridge=BRG-040; treatment=TRT-WORKFORCE_CONTINUITY-INITIAL; wording=IW-ALL-WORKFORCE_CONTINUITY</v>
      </c>
      <c r="CS588" t="str">
        <f t="shared" si="90"/>
        <v>Yes</v>
      </c>
    </row>
    <row r="589" spans="1:97" ht="69.900000000000006" customHeight="1">
      <c r="A589">
        <f>IF(OR($B589&lt;&gt;"Yes",$BS589=""),"",SUMPRODUCT(($B$500:$B$923="Yes")*ISNUMBER($BS$500:$BS$923)*($BS$500:$BS$923&gt;$BS589))+COUNTIFS($B$500:$B589,"Yes",$BS$500:$BS589,$BS589))</f>
        <v>308</v>
      </c>
      <c r="B589" t="str">
        <f t="shared" si="59"/>
        <v>Yes</v>
      </c>
      <c r="C589" t="s">
        <v>1259</v>
      </c>
      <c r="D589" t="s">
        <v>1278</v>
      </c>
      <c r="E589" t="s">
        <v>1363</v>
      </c>
      <c r="F589" t="s">
        <v>5840</v>
      </c>
      <c r="G589" t="str">
        <f>IF($H589="","",IFERROR(INDEX(_ENGINE_Risk!$H$5:$M$499,MATCH($E589,_ENGINE_Risk!$A$5:$A$499,0),$H589+1),""))</f>
        <v>Severe risk: background verification and vetting for roles with access to funds, sensitive data or critical systems is not reliably controlled. During Cyberattack/ransomware; Regulatory/legal shock, the organization may face insider risk in critical roles, fraud exposure and compliance gaps in regulated engagements with limited visibility or accountability.</v>
      </c>
      <c r="H589">
        <f>IFERROR(VALUE(INDEX(_DATA_Assessment_Model!$H$5:$H$884,MATCH($E589,_DATA_Assessment_Model!$A$5:$A$884,0))),"")</f>
        <v>0</v>
      </c>
      <c r="I589" t="str">
        <f>IF($H589="","",IFERROR(INDEX(_DATA_Assessment_Model!$L$5:$L$884,MATCH($E589,_DATA_Assessment_Model!$A$5:$A$884,0)),IF($H589&lt;=1,"Critical",IF($H589=2,"High",IF($H589=3,"Medium",IF($H589=4,"Low","Resilient"))))))</f>
        <v>Critical</v>
      </c>
      <c r="J589">
        <f t="shared" si="60"/>
        <v>3.7</v>
      </c>
      <c r="K589">
        <f t="shared" si="61"/>
        <v>3.45</v>
      </c>
      <c r="L589">
        <f t="shared" si="62"/>
        <v>12.765000000000001</v>
      </c>
      <c r="M589">
        <f t="shared" si="63"/>
        <v>3</v>
      </c>
      <c r="N589">
        <f>IF($H589="","",IFERROR(INDEX(_ENGINE_Risk!$T$5:$Y$499,MATCH($E589,_ENGINE_Risk!$A$5:$A$499,0),$H589+1),""))</f>
        <v>2</v>
      </c>
      <c r="O589">
        <f t="shared" si="64"/>
        <v>3.3333333333333335</v>
      </c>
      <c r="P589">
        <f t="shared" si="65"/>
        <v>5</v>
      </c>
      <c r="Q589">
        <f t="shared" si="66"/>
        <v>4.6500000000000004</v>
      </c>
      <c r="R589">
        <f t="shared" si="67"/>
        <v>3</v>
      </c>
      <c r="S589">
        <f t="shared" si="68"/>
        <v>2</v>
      </c>
      <c r="T589" t="str">
        <f>IF($H589="","",IFERROR(INDEX(_ENGINE_Risk!$N$5:$S$499,MATCH($E589,_ENGINE_Risk!$A$5:$A$499,0),$H589+1),""))</f>
        <v>Create an immediate risk owner, minimum control baseline and fallback procedure for background verification and vetting for roles with access to funds, sensitive data or critical systems. Add it to the crisis risk register and collect first evidence.</v>
      </c>
      <c r="U589">
        <f>IFERROR(INDEX(_DATA_Assessment_Model!$G$5:$G$884,MATCH($E589,_DATA_Assessment_Model!$A$5:$A$884,0)),"")</f>
        <v>4</v>
      </c>
      <c r="V589">
        <f>IFERROR(INDEX(_DATA_Assessment_Model!$W$5:$W$884,MATCH($E589,_DATA_Assessment_Model!$A$5:$A$884,0)),"")</f>
        <v>2</v>
      </c>
      <c r="W589">
        <f>IFERROR(INDEX(_DATA_Assessment_Model!$X$5:$X$884,MATCH($E589,_DATA_Assessment_Model!$A$5:$A$884,0)),"")</f>
        <v>4</v>
      </c>
      <c r="X589">
        <f>IFERROR(INDEX(_DATA_Assessment_Model!$Y$5:$Y$884,MATCH($E589,_DATA_Assessment_Model!$A$5:$A$884,0)),"")</f>
        <v>4</v>
      </c>
      <c r="Y589" t="s">
        <v>1373</v>
      </c>
      <c r="Z589" t="s">
        <v>5855</v>
      </c>
      <c r="AA589" t="s">
        <v>5854</v>
      </c>
      <c r="AB589">
        <f>IFERROR(INDEX(_DATA_Assessment_Model!$U$5:$U$884,MATCH($E589,_DATA_Assessment_Model!$A$5:$A$884,0)),"")</f>
        <v>0</v>
      </c>
      <c r="AF589" t="s">
        <v>1364</v>
      </c>
      <c r="AO589">
        <f>IF($B589="Yes",IF(IFERROR(INDEX(_ENGINE_Crisis!$F$501:$F$517,MATCH($C589,_ENGINE_Crisis!$A$501:$A$517,0)),1)=0,1,IFERROR(INDEX(_ENGINE_Crisis!$F$501:$F$517,MATCH($C589,_ENGINE_Crisis!$A$501:$A$517,0)),1)),"")</f>
        <v>1</v>
      </c>
      <c r="AP589">
        <f t="shared" si="69"/>
        <v>12.8</v>
      </c>
      <c r="AQ589">
        <f t="shared" si="70"/>
        <v>2</v>
      </c>
      <c r="AR589" t="str">
        <f>IFERROR(INDEX(_ENGINE_Crisis!$E$41:$E$700,MATCH('Resilience &amp; Risk Scenario'!$B$6&amp;"|"&amp;$C589,_ENGINE_Crisis!$I$41:$I$700,0)),"")</f>
        <v/>
      </c>
      <c r="AS589" t="str">
        <f>IFERROR(INDEX(_ENGINE_Crisis!$G$41:$G$700,MATCH('Resilience &amp; Risk Scenario'!$B$6&amp;"|"&amp;$C589,_ENGINE_Crisis!$I$41:$I$700,0)),"")</f>
        <v/>
      </c>
      <c r="AT589" t="str">
        <f>IFERROR(INDEX(_ENGINE_Initiatives!$A$5:$A$532,MATCH(1,INDEX((_ENGINE_Initiatives!$B$5:$B$532=$C589)*(_ENGINE_Initiatives!$C$5:$C$532=$D589),0),0)),"")</f>
        <v>INI-014</v>
      </c>
      <c r="AU589" t="str">
        <f>IFERROR(INDEX(_ENGINE_Initiatives!$F$5:$F$532,MATCH(1,INDEX((_ENGINE_Initiatives!$B$5:$B$532=$C589)*(_ENGINE_Initiatives!$C$5:$C$532=$D589),0),0)),"")</f>
        <v>Stabilize HRMS, workforce data and HR compliance controls</v>
      </c>
      <c r="AV589">
        <f>IFERROR(INDEX(_ENGINE_Initiatives!$AC$5:$AC$532,MATCH(1,INDEX((_ENGINE_Initiatives!$B$5:$B$532=$C589)*(_ENGINE_Initiatives!$C$5:$C$532=$D589),0),0)),"")</f>
        <v>1.77</v>
      </c>
      <c r="AW589" t="str">
        <f>IFERROR(INDEX(_ENGINE_Initiatives!$AE$5:$AE$532,MATCH(1,INDEX((_ENGINE_Initiatives!$B$5:$B$532=$C589)*(_ENGINE_Initiatives!$C$5:$C$532=$D589),0),0)),"")</f>
        <v>3-6 months</v>
      </c>
      <c r="AX589">
        <f>IF($B589="Yes",IFERROR((IF(SUMIFS(_REF_Model_Content!$E$1:$E$613,_REF_Model_Content!$A$1:$A$613,PV_Canonical_Industry,_REF_Model_Content!$B$1:$B$613,$C589)=0,1,SUMIFS(_REF_Model_Content!$E$1:$E$613,_REF_Model_Content!$A$1:$A$613,PV_Canonical_Industry,_REF_Model_Content!$B$1:$B$613,$C589))*IFERROR($BU589,1)),1),"")</f>
        <v>1</v>
      </c>
      <c r="AY589">
        <f t="shared" si="71"/>
        <v>12.8</v>
      </c>
      <c r="AZ589">
        <f t="shared" si="72"/>
        <v>2</v>
      </c>
      <c r="BB589" t="str">
        <f>IF($H589="","",IFERROR(INDEX(_ENGINE_Risk!$AE$5:$AE$499,MATCH($E589,_ENGINE_Risk!$A$5:$A$499,0)),"Medium"))</f>
        <v>Fast</v>
      </c>
      <c r="BC589">
        <f t="shared" si="73"/>
        <v>1.25</v>
      </c>
      <c r="BD589">
        <f t="shared" si="74"/>
        <v>2</v>
      </c>
      <c r="BF589">
        <f>IF(OR($H589="",$J589=""),"",IFERROR(VLOOKUP(ROUND($J589,0),_CONFIG_Model_Settings!$D$154:$E$158,2,0),""))</f>
        <v>0.5</v>
      </c>
      <c r="BG589">
        <f>IFERROR(IF(OR($H589="",$K589=""),"",ROUND('Company Profile'!$B$113*INDEX(_CONFIG_Model_Settings!$H$154:$H$158,MATCH(ROUND($K589,0),_CONFIG_Model_Settings!$G$154:$G$158,0)),0)),0)</f>
        <v>375</v>
      </c>
      <c r="BH589">
        <f t="shared" si="75"/>
        <v>187.5</v>
      </c>
      <c r="BI589">
        <f t="shared" si="76"/>
        <v>187.5</v>
      </c>
      <c r="BJ589">
        <f>IF($E589="","",IFERROR(VLOOKUP($C589,_CONFIG_Risk_Calibration!$A$5:$H$21,2,FALSE),3))</f>
        <v>3</v>
      </c>
      <c r="BK589">
        <f>IF($E589="","",IFERROR(VLOOKUP($C589,_CONFIG_Risk_Calibration!$A$5:$H$21,3,FALSE),0))</f>
        <v>0</v>
      </c>
      <c r="BL589">
        <f>IF($E589="","",IFERROR(VLOOKUP($C589,_CONFIG_Risk_Calibration!$A$5:$H$21,4,FALSE),3))</f>
        <v>3</v>
      </c>
      <c r="BM589">
        <f>IF($E589="","",IFERROR(VLOOKUP($C589,_CONFIG_Risk_Calibration!$A$5:$H$21,5,FALSE),3))</f>
        <v>3</v>
      </c>
      <c r="BN589" t="str">
        <f>IF($E589="","",IFERROR(VLOOKUP($C589,_CONFIG_Risk_Calibration!$A$5:$H$21,6,FALSE),"No"))</f>
        <v>No</v>
      </c>
      <c r="BO589">
        <f>IF($E589="","",IFERROR(VLOOKUP($C589,_CONFIG_Risk_Calibration!$A$5:$H$21,7,FALSE),1))</f>
        <v>1</v>
      </c>
      <c r="BP589">
        <f>IF($H589="","",MAX(1,MIN(5,((6-$H589)*0.45)+($BJ589*0.2)+('Resilience &amp; Risk Scenario'!$B$7*0.15)+($BK589*0.1)+($BL589*0.05)+(IF($BB589="Fast",5,IF($BB589="Slow",1,3))*0.05))))</f>
        <v>3.7</v>
      </c>
      <c r="BQ589">
        <f t="shared" si="77"/>
        <v>3.45</v>
      </c>
      <c r="BR589">
        <f t="shared" si="78"/>
        <v>12.77</v>
      </c>
      <c r="BS589">
        <f t="shared" si="79"/>
        <v>15.96</v>
      </c>
      <c r="BT589" t="str">
        <f>IFERROR(INDEX(_REF_Capability_Bridge!$D:$D,MATCH($C589&amp;"|"&amp;$D589,_REF_Capability_Bridge!$J:$J,0)),IFERROR(INDEX(_REF_Capability_Bridge!$D:$D,MATCH($C589&amp;"|",_REF_Capability_Bridge!$J:$J,0)),"CAP_GENERIC"))</f>
        <v>CAP_WORKFORCE_CONTINUITY</v>
      </c>
      <c r="BU589">
        <f>IFERROR(IFERROR(INDEX(_ENGINE_Relevance!$L:$L,MATCH($BT589,_ENGINE_Relevance!$B:$B,0)),1),1)</f>
        <v>1</v>
      </c>
      <c r="BV589" t="str">
        <f>IFERROR(INDEX(_REF_Capability_Bridge!$A:$A,MATCH($C589&amp;"|"&amp;$D589,_REF_Capability_Bridge!$J:$J,0)),IFERROR(INDEX(_REF_Capability_Bridge!$A:$A,MATCH($C589&amp;"|",_REF_Capability_Bridge!$J:$J,0)),"No bridge"))</f>
        <v>BRG-040</v>
      </c>
      <c r="BW589" t="str">
        <f t="shared" si="80"/>
        <v>Capability relevance neutral</v>
      </c>
      <c r="BX589" t="str">
        <f t="shared" si="81"/>
        <v>Initial / absent</v>
      </c>
      <c r="BY589" t="str">
        <f>IF($E589="","",IFERROR(INDEX(_REF_Treatment_Library!$A$2:$A$296,MATCH(1,INDEX((_REF_Treatment_Library!$B$2:$B$296=$BT589)*(_REF_Treatment_Library!$C$2:$C$296=PV_Canonical_Industry)*(_REF_Treatment_Library!$E$2:$E$296&lt;=N($H589))*(_REF_Treatment_Library!$F$2:$F$296&gt;=N($H589))*(_REF_Treatment_Library!$O$2:$O$296="Yes"),0),0)),IFERROR(INDEX(_REF_Treatment_Library!$A$2:$A$296,MATCH(1,INDEX((_REF_Treatment_Library!$B$2:$B$296=$BT589)*(_REF_Treatment_Library!$C$2:$C$296="All")*(_REF_Treatment_Library!$E$2:$E$296&lt;=N($H589))*(_REF_Treatment_Library!$F$2:$F$296&gt;=N($H589))*(_REF_Treatment_Library!$O$2:$O$296="Yes"),0),0)),"")))</f>
        <v>TRT-WORKFORCE_CONTINUITY-INITIAL</v>
      </c>
      <c r="BZ589" t="str">
        <f>IF($BY589="","",IFERROR(INDEX(_REF_Treatment_Library!$H$2:$H$296,MATCH($BY589,_REF_Treatment_Library!$A$2:$A$296,0)),""))</f>
        <v>Establish</v>
      </c>
      <c r="CA589" t="str">
        <f>IF($BY589="","",IFERROR(INDEX(_REF_Treatment_Library!$I$2:$I$296,MATCH($BY589,_REF_Treatment_Library!$A$2:$A$296,0)),""))</f>
        <v>Establish baseline controls for Workforce continuity</v>
      </c>
      <c r="CB589" t="str">
        <f>IF($BY589="","",IFERROR(INDEX(_REF_Treatment_Library!$K$2:$K$296,MATCH($BY589,_REF_Treatment_Library!$A$2:$A$296,0)),""))</f>
        <v>Named owner, baseline process, minimum control checklist, first evidence package</v>
      </c>
      <c r="CC589" t="str">
        <f>IF($BY589="","",IFERROR(INDEX(_REF_Treatment_Library!$L$2:$L$296,MATCH($BY589,_REF_Treatment_Library!$A$2:$A$296,0)),""))</f>
        <v>Owner assigned; baseline evidence coverage; open critical gaps</v>
      </c>
      <c r="CD589" t="str">
        <f t="shared" si="82"/>
        <v>Treatment by capability=CAP_WORKFORCE_CONTINUITY; band=Initial / absent; score=0.0; treatment=Establish</v>
      </c>
      <c r="CE589" t="str">
        <f>IF($E589="","",IFERROR(INDEX(_REF_Industry_Wording!$A$2:$A$70,MATCH(1,INDEX((_REF_Industry_Wording!$B$2:$B$70=$BT589)*(_REF_Industry_Wording!$C$2:$C$70=PV_Canonical_Industry)*(_REF_Industry_Wording!$K$2:$K$70="Yes"),0),0)),IFERROR(INDEX(_REF_Industry_Wording!$A$2:$A$70,MATCH(1,INDEX((_REF_Industry_Wording!$B$2:$B$70=$BT589)*(_REF_Industry_Wording!$C$2:$C$70="All")*(_REF_Industry_Wording!$K$2:$K$70="Yes"),0),0)),"")))</f>
        <v>IW-ALL-WORKFORCE_CONTINUITY</v>
      </c>
      <c r="CF589" t="str">
        <f>IF($CE589="","",IFERROR(INDEX(_REF_Industry_Wording!$E$2:$E$70,MATCH($CE589,_REF_Industry_Wording!$A$2:$A$70,0)),""))</f>
        <v>Workforce continuity weakness</v>
      </c>
      <c r="CG589" t="str">
        <f>IF($CE589="","",IFERROR(INDEX(_REF_Industry_Wording!$F$2:$F$70,MATCH($CE589,_REF_Industry_Wording!$A$2:$A$70,0)),""))</f>
        <v>Strengthen Workforce continuity</v>
      </c>
      <c r="CH589" t="str">
        <f>IF($CE589="","",IFERROR(INDEX(_REF_Industry_Wording!$G$2:$G$70,MATCH($CE589,_REF_Industry_Wording!$A$2:$A$70,0)),""))</f>
        <v>Strengthen Workforce continuity using the selected maturity treatment, crisis scenario and evidence requirements.</v>
      </c>
      <c r="CI589" t="str">
        <f>IF($CE589="","",IFERROR(INDEX(_REF_Industry_Wording!$H$2:$H$70,MATCH($CE589,_REF_Industry_Wording!$A$2:$A$70,0)),""))</f>
        <v>Workforce continuity</v>
      </c>
      <c r="CJ589">
        <f>IF($CE589="","",IFERROR(INDEX(_REF_Industry_Wording!$I$2:$I$70,MATCH($CE589,_REF_Industry_Wording!$A$2:$A$70,0)),""))</f>
        <v>0</v>
      </c>
      <c r="CK589" t="str">
        <f>IF($CE589="","",IFERROR(INDEX(_REF_Industry_Wording!$J$2:$J$70,MATCH($CE589,_REF_Industry_Wording!$A$2:$A$70,0)),""))</f>
        <v>Workforce continuity</v>
      </c>
      <c r="CL589" t="str">
        <f t="shared" si="83"/>
        <v>Wording by industry=0; capability=CAP_WORKFORCE_CONTINUITY; risk label=Workforce continuity weakness</v>
      </c>
      <c r="CM589" t="str">
        <f t="shared" si="84"/>
        <v>RISK-ONT-0090</v>
      </c>
      <c r="CN589" t="str">
        <f t="shared" si="85"/>
        <v>RISK-EVT-0090</v>
      </c>
      <c r="CO589" t="str">
        <f t="shared" si="86"/>
        <v>HR Workforce|HR systems and compliance|HRWO-025|CAP_WORKFORCE_CONTINUITY</v>
      </c>
      <c r="CP589" t="str">
        <f t="shared" si="87"/>
        <v>Active</v>
      </c>
      <c r="CQ589" t="str">
        <f t="shared" si="88"/>
        <v>OK: capability-driven</v>
      </c>
      <c r="CR589" t="str">
        <f t="shared" si="89"/>
        <v>Risk ontology uses capability=CAP_WORKFORCE_CONTINUITY; bridge=BRG-040; treatment=TRT-WORKFORCE_CONTINUITY-INITIAL; wording=IW-ALL-WORKFORCE_CONTINUITY</v>
      </c>
      <c r="CS589" t="str">
        <f t="shared" si="90"/>
        <v>Yes</v>
      </c>
    </row>
    <row r="590" spans="1:97" ht="69.900000000000006" customHeight="1">
      <c r="A590">
        <f>IF(OR($B590&lt;&gt;"Yes",$BS590=""),"",SUMPRODUCT(($B$500:$B$923="Yes")*ISNUMBER($BS$500:$BS$923)*($BS$500:$BS$923&gt;$BS590))+COUNTIFS($B$500:$B590,"Yes",$BS$500:$BS590,$BS590))</f>
        <v>313</v>
      </c>
      <c r="B590" t="str">
        <f t="shared" si="59"/>
        <v>Yes</v>
      </c>
      <c r="C590" t="s">
        <v>1259</v>
      </c>
      <c r="D590" t="s">
        <v>1278</v>
      </c>
      <c r="E590" t="s">
        <v>1374</v>
      </c>
      <c r="F590" t="s">
        <v>5840</v>
      </c>
      <c r="G590" t="str">
        <f>IF($H590="","",IFERROR(INDEX(_ENGINE_Risk!$H$5:$M$499,MATCH($E590,_ENGINE_Risk!$A$5:$A$499,0),$H590+1),""))</f>
        <v>Severe risk: role-specific security responsibilities embedded in job descriptions with specialized training for high-risk roles is not reliably controlled. During Cyberattack/ransomware; Workforce disruption, the organization may face critical-role employees unaware of security duties and untrained for role-specific threats with limited visibility or accountability.</v>
      </c>
      <c r="H590">
        <f>IFERROR(VALUE(INDEX(_DATA_Assessment_Model!$H$5:$H$884,MATCH($E590,_DATA_Assessment_Model!$A$5:$A$884,0))),"")</f>
        <v>0</v>
      </c>
      <c r="I590" t="str">
        <f>IF($H590="","",IFERROR(INDEX(_DATA_Assessment_Model!$L$5:$L$884,MATCH($E590,_DATA_Assessment_Model!$A$5:$A$884,0)),IF($H590&lt;=1,"Critical",IF($H590=2,"High",IF($H590=3,"Medium",IF($H590=4,"Low","Resilient"))))))</f>
        <v>Critical</v>
      </c>
      <c r="J590">
        <f t="shared" si="60"/>
        <v>3.7</v>
      </c>
      <c r="K590">
        <f t="shared" si="61"/>
        <v>3.4000000000000004</v>
      </c>
      <c r="L590">
        <f t="shared" si="62"/>
        <v>12.580000000000002</v>
      </c>
      <c r="M590">
        <f t="shared" si="63"/>
        <v>3</v>
      </c>
      <c r="N590">
        <f>IF($H590="","",IFERROR(INDEX(_ENGINE_Risk!$T$5:$Y$499,MATCH($E590,_ENGINE_Risk!$A$5:$A$499,0),$H590+1),""))</f>
        <v>2</v>
      </c>
      <c r="O590">
        <f t="shared" si="64"/>
        <v>3.3333333333333335</v>
      </c>
      <c r="P590">
        <f t="shared" si="65"/>
        <v>5</v>
      </c>
      <c r="Q590">
        <f t="shared" si="66"/>
        <v>4.6500000000000004</v>
      </c>
      <c r="R590">
        <f t="shared" si="67"/>
        <v>3.5</v>
      </c>
      <c r="S590">
        <f t="shared" si="68"/>
        <v>2.06</v>
      </c>
      <c r="T590" t="str">
        <f>IF($H590="","",IFERROR(INDEX(_ENGINE_Risk!$N$5:$S$499,MATCH($E590,_ENGINE_Risk!$A$5:$A$499,0),$H590+1),""))</f>
        <v>Create an immediate risk owner, minimum control baseline and fallback procedure for role-specific security responsibilities embedded in job descriptions with specialized training for high-risk roles. Add it to the crisis risk register and collect first evidence.</v>
      </c>
      <c r="U590">
        <f>IFERROR(INDEX(_DATA_Assessment_Model!$G$5:$G$884,MATCH($E590,_DATA_Assessment_Model!$A$5:$A$884,0)),"")</f>
        <v>3</v>
      </c>
      <c r="V590">
        <f>IFERROR(INDEX(_DATA_Assessment_Model!$W$5:$W$884,MATCH($E590,_DATA_Assessment_Model!$A$5:$A$884,0)),"")</f>
        <v>3</v>
      </c>
      <c r="W590">
        <f>IFERROR(INDEX(_DATA_Assessment_Model!$X$5:$X$884,MATCH($E590,_DATA_Assessment_Model!$A$5:$A$884,0)),"")</f>
        <v>4</v>
      </c>
      <c r="X590">
        <f>IFERROR(INDEX(_DATA_Assessment_Model!$Y$5:$Y$884,MATCH($E590,_DATA_Assessment_Model!$A$5:$A$884,0)),"")</f>
        <v>4</v>
      </c>
      <c r="Y590" t="s">
        <v>1378</v>
      </c>
      <c r="Z590" t="s">
        <v>5855</v>
      </c>
      <c r="AA590" t="s">
        <v>5870</v>
      </c>
      <c r="AB590">
        <f>IFERROR(INDEX(_DATA_Assessment_Model!$U$5:$U$884,MATCH($E590,_DATA_Assessment_Model!$A$5:$A$884,0)),"")</f>
        <v>0</v>
      </c>
      <c r="AF590" t="s">
        <v>1375</v>
      </c>
      <c r="AO590">
        <f>IF($B590="Yes",IF(IFERROR(INDEX(_ENGINE_Crisis!$F$501:$F$517,MATCH($C590,_ENGINE_Crisis!$A$501:$A$517,0)),1)=0,1,IFERROR(INDEX(_ENGINE_Crisis!$F$501:$F$517,MATCH($C590,_ENGINE_Crisis!$A$501:$A$517,0)),1)),"")</f>
        <v>1</v>
      </c>
      <c r="AP590">
        <f t="shared" si="69"/>
        <v>12.6</v>
      </c>
      <c r="AQ590">
        <f t="shared" si="70"/>
        <v>2.06</v>
      </c>
      <c r="AR590" t="str">
        <f>IFERROR(INDEX(_ENGINE_Crisis!$E$41:$E$700,MATCH('Resilience &amp; Risk Scenario'!$B$6&amp;"|"&amp;$C590,_ENGINE_Crisis!$I$41:$I$700,0)),"")</f>
        <v/>
      </c>
      <c r="AS590" t="str">
        <f>IFERROR(INDEX(_ENGINE_Crisis!$G$41:$G$700,MATCH('Resilience &amp; Risk Scenario'!$B$6&amp;"|"&amp;$C590,_ENGINE_Crisis!$I$41:$I$700,0)),"")</f>
        <v/>
      </c>
      <c r="AT590" t="str">
        <f>IFERROR(INDEX(_ENGINE_Initiatives!$A$5:$A$532,MATCH(1,INDEX((_ENGINE_Initiatives!$B$5:$B$532=$C590)*(_ENGINE_Initiatives!$C$5:$C$532=$D590),0),0)),"")</f>
        <v>INI-014</v>
      </c>
      <c r="AU590" t="str">
        <f>IFERROR(INDEX(_ENGINE_Initiatives!$F$5:$F$532,MATCH(1,INDEX((_ENGINE_Initiatives!$B$5:$B$532=$C590)*(_ENGINE_Initiatives!$C$5:$C$532=$D590),0),0)),"")</f>
        <v>Stabilize HRMS, workforce data and HR compliance controls</v>
      </c>
      <c r="AV590">
        <f>IFERROR(INDEX(_ENGINE_Initiatives!$AC$5:$AC$532,MATCH(1,INDEX((_ENGINE_Initiatives!$B$5:$B$532=$C590)*(_ENGINE_Initiatives!$C$5:$C$532=$D590),0),0)),"")</f>
        <v>1.77</v>
      </c>
      <c r="AW590" t="str">
        <f>IFERROR(INDEX(_ENGINE_Initiatives!$AE$5:$AE$532,MATCH(1,INDEX((_ENGINE_Initiatives!$B$5:$B$532=$C590)*(_ENGINE_Initiatives!$C$5:$C$532=$D590),0),0)),"")</f>
        <v>3-6 months</v>
      </c>
      <c r="AX590">
        <f>IF($B590="Yes",IFERROR((IF(SUMIFS(_REF_Model_Content!$E$1:$E$613,_REF_Model_Content!$A$1:$A$613,PV_Canonical_Industry,_REF_Model_Content!$B$1:$B$613,$C590)=0,1,SUMIFS(_REF_Model_Content!$E$1:$E$613,_REF_Model_Content!$A$1:$A$613,PV_Canonical_Industry,_REF_Model_Content!$B$1:$B$613,$C590))*IFERROR($BU590,1)),1),"")</f>
        <v>1</v>
      </c>
      <c r="AY590">
        <f t="shared" si="71"/>
        <v>12.6</v>
      </c>
      <c r="AZ590">
        <f t="shared" si="72"/>
        <v>2.06</v>
      </c>
      <c r="BB590" t="str">
        <f>IF($H590="","",IFERROR(INDEX(_ENGINE_Risk!$AE$5:$AE$499,MATCH($E590,_ENGINE_Risk!$A$5:$A$499,0)),"Medium"))</f>
        <v>Fast</v>
      </c>
      <c r="BC590">
        <f t="shared" si="73"/>
        <v>1.25</v>
      </c>
      <c r="BD590">
        <f t="shared" si="74"/>
        <v>2.06</v>
      </c>
      <c r="BF590">
        <f>IF(OR($H590="",$J590=""),"",IFERROR(VLOOKUP(ROUND($J590,0),_CONFIG_Model_Settings!$D$154:$E$158,2,0),""))</f>
        <v>0.5</v>
      </c>
      <c r="BG590">
        <f>IFERROR(IF(OR($H590="",$K590=""),"",ROUND('Company Profile'!$B$113*INDEX(_CONFIG_Model_Settings!$H$154:$H$158,MATCH(ROUND($K590,0),_CONFIG_Model_Settings!$G$154:$G$158,0)),0)),0)</f>
        <v>375</v>
      </c>
      <c r="BH590">
        <f t="shared" si="75"/>
        <v>187.5</v>
      </c>
      <c r="BI590">
        <f t="shared" si="76"/>
        <v>187.5</v>
      </c>
      <c r="BJ590">
        <f>IF($E590="","",IFERROR(VLOOKUP($C590,_CONFIG_Risk_Calibration!$A$5:$H$21,2,FALSE),3))</f>
        <v>3</v>
      </c>
      <c r="BK590">
        <f>IF($E590="","",IFERROR(VLOOKUP($C590,_CONFIG_Risk_Calibration!$A$5:$H$21,3,FALSE),0))</f>
        <v>0</v>
      </c>
      <c r="BL590">
        <f>IF($E590="","",IFERROR(VLOOKUP($C590,_CONFIG_Risk_Calibration!$A$5:$H$21,4,FALSE),3))</f>
        <v>3</v>
      </c>
      <c r="BM590">
        <f>IF($E590="","",IFERROR(VLOOKUP($C590,_CONFIG_Risk_Calibration!$A$5:$H$21,5,FALSE),3))</f>
        <v>3</v>
      </c>
      <c r="BN590" t="str">
        <f>IF($E590="","",IFERROR(VLOOKUP($C590,_CONFIG_Risk_Calibration!$A$5:$H$21,6,FALSE),"No"))</f>
        <v>No</v>
      </c>
      <c r="BO590">
        <f>IF($E590="","",IFERROR(VLOOKUP($C590,_CONFIG_Risk_Calibration!$A$5:$H$21,7,FALSE),1))</f>
        <v>1</v>
      </c>
      <c r="BP590">
        <f>IF($H590="","",MAX(1,MIN(5,((6-$H590)*0.45)+($BJ590*0.2)+('Resilience &amp; Risk Scenario'!$B$7*0.15)+($BK590*0.1)+($BL590*0.05)+(IF($BB590="Fast",5,IF($BB590="Slow",1,3))*0.05))))</f>
        <v>3.7</v>
      </c>
      <c r="BQ590">
        <f t="shared" si="77"/>
        <v>3.4000000000000004</v>
      </c>
      <c r="BR590">
        <f t="shared" si="78"/>
        <v>12.58</v>
      </c>
      <c r="BS590">
        <f t="shared" si="79"/>
        <v>15.73</v>
      </c>
      <c r="BT590" t="str">
        <f>IFERROR(INDEX(_REF_Capability_Bridge!$D:$D,MATCH($C590&amp;"|"&amp;$D590,_REF_Capability_Bridge!$J:$J,0)),IFERROR(INDEX(_REF_Capability_Bridge!$D:$D,MATCH($C590&amp;"|",_REF_Capability_Bridge!$J:$J,0)),"CAP_GENERIC"))</f>
        <v>CAP_WORKFORCE_CONTINUITY</v>
      </c>
      <c r="BU590">
        <f>IFERROR(IFERROR(INDEX(_ENGINE_Relevance!$L:$L,MATCH($BT590,_ENGINE_Relevance!$B:$B,0)),1),1)</f>
        <v>1</v>
      </c>
      <c r="BV590" t="str">
        <f>IFERROR(INDEX(_REF_Capability_Bridge!$A:$A,MATCH($C590&amp;"|"&amp;$D590,_REF_Capability_Bridge!$J:$J,0)),IFERROR(INDEX(_REF_Capability_Bridge!$A:$A,MATCH($C590&amp;"|",_REF_Capability_Bridge!$J:$J,0)),"No bridge"))</f>
        <v>BRG-040</v>
      </c>
      <c r="BW590" t="str">
        <f t="shared" si="80"/>
        <v>Capability relevance neutral</v>
      </c>
      <c r="BX590" t="str">
        <f t="shared" si="81"/>
        <v>Initial / absent</v>
      </c>
      <c r="BY590" t="str">
        <f>IF($E590="","",IFERROR(INDEX(_REF_Treatment_Library!$A$2:$A$296,MATCH(1,INDEX((_REF_Treatment_Library!$B$2:$B$296=$BT590)*(_REF_Treatment_Library!$C$2:$C$296=PV_Canonical_Industry)*(_REF_Treatment_Library!$E$2:$E$296&lt;=N($H590))*(_REF_Treatment_Library!$F$2:$F$296&gt;=N($H590))*(_REF_Treatment_Library!$O$2:$O$296="Yes"),0),0)),IFERROR(INDEX(_REF_Treatment_Library!$A$2:$A$296,MATCH(1,INDEX((_REF_Treatment_Library!$B$2:$B$296=$BT590)*(_REF_Treatment_Library!$C$2:$C$296="All")*(_REF_Treatment_Library!$E$2:$E$296&lt;=N($H590))*(_REF_Treatment_Library!$F$2:$F$296&gt;=N($H590))*(_REF_Treatment_Library!$O$2:$O$296="Yes"),0),0)),"")))</f>
        <v>TRT-WORKFORCE_CONTINUITY-INITIAL</v>
      </c>
      <c r="BZ590" t="str">
        <f>IF($BY590="","",IFERROR(INDEX(_REF_Treatment_Library!$H$2:$H$296,MATCH($BY590,_REF_Treatment_Library!$A$2:$A$296,0)),""))</f>
        <v>Establish</v>
      </c>
      <c r="CA590" t="str">
        <f>IF($BY590="","",IFERROR(INDEX(_REF_Treatment_Library!$I$2:$I$296,MATCH($BY590,_REF_Treatment_Library!$A$2:$A$296,0)),""))</f>
        <v>Establish baseline controls for Workforce continuity</v>
      </c>
      <c r="CB590" t="str">
        <f>IF($BY590="","",IFERROR(INDEX(_REF_Treatment_Library!$K$2:$K$296,MATCH($BY590,_REF_Treatment_Library!$A$2:$A$296,0)),""))</f>
        <v>Named owner, baseline process, minimum control checklist, first evidence package</v>
      </c>
      <c r="CC590" t="str">
        <f>IF($BY590="","",IFERROR(INDEX(_REF_Treatment_Library!$L$2:$L$296,MATCH($BY590,_REF_Treatment_Library!$A$2:$A$296,0)),""))</f>
        <v>Owner assigned; baseline evidence coverage; open critical gaps</v>
      </c>
      <c r="CD590" t="str">
        <f t="shared" si="82"/>
        <v>Treatment by capability=CAP_WORKFORCE_CONTINUITY; band=Initial / absent; score=0.0; treatment=Establish</v>
      </c>
      <c r="CE590" t="str">
        <f>IF($E590="","",IFERROR(INDEX(_REF_Industry_Wording!$A$2:$A$70,MATCH(1,INDEX((_REF_Industry_Wording!$B$2:$B$70=$BT590)*(_REF_Industry_Wording!$C$2:$C$70=PV_Canonical_Industry)*(_REF_Industry_Wording!$K$2:$K$70="Yes"),0),0)),IFERROR(INDEX(_REF_Industry_Wording!$A$2:$A$70,MATCH(1,INDEX((_REF_Industry_Wording!$B$2:$B$70=$BT590)*(_REF_Industry_Wording!$C$2:$C$70="All")*(_REF_Industry_Wording!$K$2:$K$70="Yes"),0),0)),"")))</f>
        <v>IW-ALL-WORKFORCE_CONTINUITY</v>
      </c>
      <c r="CF590" t="str">
        <f>IF($CE590="","",IFERROR(INDEX(_REF_Industry_Wording!$E$2:$E$70,MATCH($CE590,_REF_Industry_Wording!$A$2:$A$70,0)),""))</f>
        <v>Workforce continuity weakness</v>
      </c>
      <c r="CG590" t="str">
        <f>IF($CE590="","",IFERROR(INDEX(_REF_Industry_Wording!$F$2:$F$70,MATCH($CE590,_REF_Industry_Wording!$A$2:$A$70,0)),""))</f>
        <v>Strengthen Workforce continuity</v>
      </c>
      <c r="CH590" t="str">
        <f>IF($CE590="","",IFERROR(INDEX(_REF_Industry_Wording!$G$2:$G$70,MATCH($CE590,_REF_Industry_Wording!$A$2:$A$70,0)),""))</f>
        <v>Strengthen Workforce continuity using the selected maturity treatment, crisis scenario and evidence requirements.</v>
      </c>
      <c r="CI590" t="str">
        <f>IF($CE590="","",IFERROR(INDEX(_REF_Industry_Wording!$H$2:$H$70,MATCH($CE590,_REF_Industry_Wording!$A$2:$A$70,0)),""))</f>
        <v>Workforce continuity</v>
      </c>
      <c r="CJ590">
        <f>IF($CE590="","",IFERROR(INDEX(_REF_Industry_Wording!$I$2:$I$70,MATCH($CE590,_REF_Industry_Wording!$A$2:$A$70,0)),""))</f>
        <v>0</v>
      </c>
      <c r="CK590" t="str">
        <f>IF($CE590="","",IFERROR(INDEX(_REF_Industry_Wording!$J$2:$J$70,MATCH($CE590,_REF_Industry_Wording!$A$2:$A$70,0)),""))</f>
        <v>Workforce continuity</v>
      </c>
      <c r="CL590" t="str">
        <f t="shared" si="83"/>
        <v>Wording by industry=0; capability=CAP_WORKFORCE_CONTINUITY; risk label=Workforce continuity weakness</v>
      </c>
      <c r="CM590" t="str">
        <f t="shared" si="84"/>
        <v>RISK-ONT-0091</v>
      </c>
      <c r="CN590" t="str">
        <f t="shared" si="85"/>
        <v>RISK-EVT-0091</v>
      </c>
      <c r="CO590" t="str">
        <f t="shared" si="86"/>
        <v>HR Workforce|HR systems and compliance|HRWO-026|CAP_WORKFORCE_CONTINUITY</v>
      </c>
      <c r="CP590" t="str">
        <f t="shared" si="87"/>
        <v>Active</v>
      </c>
      <c r="CQ590" t="str">
        <f t="shared" si="88"/>
        <v>OK: capability-driven</v>
      </c>
      <c r="CR590" t="str">
        <f t="shared" si="89"/>
        <v>Risk ontology uses capability=CAP_WORKFORCE_CONTINUITY; bridge=BRG-040; treatment=TRT-WORKFORCE_CONTINUITY-INITIAL; wording=IW-ALL-WORKFORCE_CONTINUITY</v>
      </c>
      <c r="CS590" t="str">
        <f t="shared" si="90"/>
        <v>Yes</v>
      </c>
    </row>
    <row r="591" spans="1:97" ht="69.900000000000006" customHeight="1">
      <c r="A591">
        <f>IF(OR($B591&lt;&gt;"Yes",$BS591=""),"",SUMPRODUCT(($B$500:$B$923="Yes")*ISNUMBER($BS$500:$BS$923)*($BS$500:$BS$923&gt;$BS591))+COUNTIFS($B$500:$B591,"Yes",$BS$500:$BS591,$BS591))</f>
        <v>345</v>
      </c>
      <c r="B591" t="str">
        <f t="shared" si="59"/>
        <v>Yes</v>
      </c>
      <c r="C591" t="s">
        <v>1259</v>
      </c>
      <c r="D591" t="s">
        <v>1274</v>
      </c>
      <c r="E591" t="s">
        <v>1379</v>
      </c>
      <c r="F591" t="s">
        <v>5840</v>
      </c>
      <c r="G591" t="str">
        <f>IF($H591="","",IFERROR(INDEX(_ENGINE_Risk!$H$5:$M$499,MATCH($E591,_ENGINE_Risk!$A$5:$A$499,0),$H591+1),""))</f>
        <v>Severe risk: systematic employee engagement measurement with trends, segmentation and follow-up actions is not reliably controlled. During Workforce disruption; Pandemic/health crisis, the organization may face invisible morale erosion, late attrition warnings and unverified people-related claims with limited visibility or accountability.</v>
      </c>
      <c r="H591">
        <f>IFERROR(VALUE(INDEX(_DATA_Assessment_Model!$H$5:$H$884,MATCH($E591,_DATA_Assessment_Model!$A$5:$A$884,0))),"")</f>
        <v>0</v>
      </c>
      <c r="I591" t="str">
        <f>IF($H591="","",IFERROR(INDEX(_DATA_Assessment_Model!$L$5:$L$884,MATCH($E591,_DATA_Assessment_Model!$A$5:$A$884,0)),IF($H591&lt;=1,"Critical",IF($H591=2,"High",IF($H591=3,"Medium",IF($H591=4,"Low","Resilient"))))))</f>
        <v>Critical</v>
      </c>
      <c r="J591">
        <f t="shared" si="60"/>
        <v>3.7</v>
      </c>
      <c r="K591">
        <f t="shared" si="61"/>
        <v>3.1500000000000004</v>
      </c>
      <c r="L591">
        <f t="shared" si="62"/>
        <v>11.655000000000001</v>
      </c>
      <c r="M591">
        <f t="shared" si="63"/>
        <v>3</v>
      </c>
      <c r="N591">
        <f>IF($H591="","",IFERROR(INDEX(_ENGINE_Risk!$T$5:$Y$499,MATCH($E591,_ENGINE_Risk!$A$5:$A$499,0),$H591+1),""))</f>
        <v>2</v>
      </c>
      <c r="O591">
        <f t="shared" si="64"/>
        <v>3.3333333333333335</v>
      </c>
      <c r="P591">
        <f t="shared" si="65"/>
        <v>5</v>
      </c>
      <c r="Q591">
        <f t="shared" si="66"/>
        <v>4.3</v>
      </c>
      <c r="R591">
        <f t="shared" si="67"/>
        <v>3.5</v>
      </c>
      <c r="S591">
        <f t="shared" si="68"/>
        <v>2.02</v>
      </c>
      <c r="T591" t="str">
        <f>IF($H591="","",IFERROR(INDEX(_ENGINE_Risk!$N$5:$S$499,MATCH($E591,_ENGINE_Risk!$A$5:$A$499,0),$H591+1),""))</f>
        <v>Create an immediate risk owner, minimum control baseline and fallback procedure for systematic employee engagement measurement with trends, segmentation and follow-up actions. Add it to the crisis risk register and collect first evidence.</v>
      </c>
      <c r="U591">
        <f>IFERROR(INDEX(_DATA_Assessment_Model!$G$5:$G$884,MATCH($E591,_DATA_Assessment_Model!$A$5:$A$884,0)),"")</f>
        <v>3</v>
      </c>
      <c r="V591">
        <f>IFERROR(INDEX(_DATA_Assessment_Model!$W$5:$W$884,MATCH($E591,_DATA_Assessment_Model!$A$5:$A$884,0)),"")</f>
        <v>3</v>
      </c>
      <c r="W591">
        <f>IFERROR(INDEX(_DATA_Assessment_Model!$X$5:$X$884,MATCH($E591,_DATA_Assessment_Model!$A$5:$A$884,0)),"")</f>
        <v>3</v>
      </c>
      <c r="X591">
        <f>IFERROR(INDEX(_DATA_Assessment_Model!$Y$5:$Y$884,MATCH($E591,_DATA_Assessment_Model!$A$5:$A$884,0)),"")</f>
        <v>4</v>
      </c>
      <c r="Y591" t="s">
        <v>1389</v>
      </c>
      <c r="Z591" t="s">
        <v>5886</v>
      </c>
      <c r="AA591" t="s">
        <v>5885</v>
      </c>
      <c r="AB591">
        <f>IFERROR(INDEX(_DATA_Assessment_Model!$U$5:$U$884,MATCH($E591,_DATA_Assessment_Model!$A$5:$A$884,0)),"")</f>
        <v>0</v>
      </c>
      <c r="AF591" t="s">
        <v>1380</v>
      </c>
      <c r="AO591">
        <f>IF($B591="Yes",IF(IFERROR(INDEX(_ENGINE_Crisis!$F$501:$F$517,MATCH($C591,_ENGINE_Crisis!$A$501:$A$517,0)),1)=0,1,IFERROR(INDEX(_ENGINE_Crisis!$F$501:$F$517,MATCH($C591,_ENGINE_Crisis!$A$501:$A$517,0)),1)),"")</f>
        <v>1</v>
      </c>
      <c r="AP591">
        <f t="shared" si="69"/>
        <v>11.7</v>
      </c>
      <c r="AQ591">
        <f t="shared" si="70"/>
        <v>2.02</v>
      </c>
      <c r="AR591" t="str">
        <f>IFERROR(INDEX(_ENGINE_Crisis!$E$41:$E$700,MATCH('Resilience &amp; Risk Scenario'!$B$6&amp;"|"&amp;$C591,_ENGINE_Crisis!$I$41:$I$700,0)),"")</f>
        <v/>
      </c>
      <c r="AS591" t="str">
        <f>IFERROR(INDEX(_ENGINE_Crisis!$G$41:$G$700,MATCH('Resilience &amp; Risk Scenario'!$B$6&amp;"|"&amp;$C591,_ENGINE_Crisis!$I$41:$I$700,0)),"")</f>
        <v/>
      </c>
      <c r="AT591" t="str">
        <f>IFERROR(INDEX(_ENGINE_Initiatives!$A$5:$A$532,MATCH(1,INDEX((_ENGINE_Initiatives!$B$5:$B$532=$C591)*(_ENGINE_Initiatives!$C$5:$C$532=$D591),0),0)),"")</f>
        <v>INI-013</v>
      </c>
      <c r="AU591" t="str">
        <f>IFERROR(INDEX(_ENGINE_Initiatives!$F$5:$F$532,MATCH(1,INDEX((_ENGINE_Initiatives!$B$5:$B$532=$C591)*(_ENGINE_Initiatives!$C$5:$C$532=$D591),0),0)),"")</f>
        <v>Implement workforce continuity, wellbeing and availability playbook</v>
      </c>
      <c r="AV591">
        <f>IFERROR(INDEX(_ENGINE_Initiatives!$AC$5:$AC$532,MATCH(1,INDEX((_ENGINE_Initiatives!$B$5:$B$532=$C591)*(_ENGINE_Initiatives!$C$5:$C$532=$D591),0),0)),"")</f>
        <v>1.78</v>
      </c>
      <c r="AW591" t="str">
        <f>IFERROR(INDEX(_ENGINE_Initiatives!$AE$5:$AE$532,MATCH(1,INDEX((_ENGINE_Initiatives!$B$5:$B$532=$C591)*(_ENGINE_Initiatives!$C$5:$C$532=$D591),0),0)),"")</f>
        <v>3-6 months</v>
      </c>
      <c r="AX591">
        <f>IF($B591="Yes",IFERROR((IF(SUMIFS(_REF_Model_Content!$E$1:$E$613,_REF_Model_Content!$A$1:$A$613,PV_Canonical_Industry,_REF_Model_Content!$B$1:$B$613,$C591)=0,1,SUMIFS(_REF_Model_Content!$E$1:$E$613,_REF_Model_Content!$A$1:$A$613,PV_Canonical_Industry,_REF_Model_Content!$B$1:$B$613,$C591))*IFERROR($BU591,1)),1),"")</f>
        <v>1</v>
      </c>
      <c r="AY591">
        <f t="shared" si="71"/>
        <v>11.7</v>
      </c>
      <c r="AZ591">
        <f t="shared" si="72"/>
        <v>2.02</v>
      </c>
      <c r="BB591" t="str">
        <f>IF($H591="","",IFERROR(INDEX(_ENGINE_Risk!$AE$5:$AE$499,MATCH($E591,_ENGINE_Risk!$A$5:$A$499,0)),"Medium"))</f>
        <v>Fast</v>
      </c>
      <c r="BC591">
        <f t="shared" si="73"/>
        <v>1.25</v>
      </c>
      <c r="BD591">
        <f t="shared" si="74"/>
        <v>2.02</v>
      </c>
      <c r="BF591">
        <f>IF(OR($H591="",$J591=""),"",IFERROR(VLOOKUP(ROUND($J591,0),_CONFIG_Model_Settings!$D$154:$E$158,2,0),""))</f>
        <v>0.5</v>
      </c>
      <c r="BG591">
        <f>IFERROR(IF(OR($H591="",$K591=""),"",ROUND('Company Profile'!$B$113*INDEX(_CONFIG_Model_Settings!$H$154:$H$158,MATCH(ROUND($K591,0),_CONFIG_Model_Settings!$G$154:$G$158,0)),0)),0)</f>
        <v>375</v>
      </c>
      <c r="BH591">
        <f t="shared" si="75"/>
        <v>187.5</v>
      </c>
      <c r="BI591">
        <f t="shared" si="76"/>
        <v>187.5</v>
      </c>
      <c r="BJ591">
        <f>IF($E591="","",IFERROR(VLOOKUP($C591,_CONFIG_Risk_Calibration!$A$5:$H$21,2,FALSE),3))</f>
        <v>3</v>
      </c>
      <c r="BK591">
        <f>IF($E591="","",IFERROR(VLOOKUP($C591,_CONFIG_Risk_Calibration!$A$5:$H$21,3,FALSE),0))</f>
        <v>0</v>
      </c>
      <c r="BL591">
        <f>IF($E591="","",IFERROR(VLOOKUP($C591,_CONFIG_Risk_Calibration!$A$5:$H$21,4,FALSE),3))</f>
        <v>3</v>
      </c>
      <c r="BM591">
        <f>IF($E591="","",IFERROR(VLOOKUP($C591,_CONFIG_Risk_Calibration!$A$5:$H$21,5,FALSE),3))</f>
        <v>3</v>
      </c>
      <c r="BN591" t="str">
        <f>IF($E591="","",IFERROR(VLOOKUP($C591,_CONFIG_Risk_Calibration!$A$5:$H$21,6,FALSE),"No"))</f>
        <v>No</v>
      </c>
      <c r="BO591">
        <f>IF($E591="","",IFERROR(VLOOKUP($C591,_CONFIG_Risk_Calibration!$A$5:$H$21,7,FALSE),1))</f>
        <v>1</v>
      </c>
      <c r="BP591">
        <f>IF($H591="","",MAX(1,MIN(5,((6-$H591)*0.45)+($BJ591*0.2)+('Resilience &amp; Risk Scenario'!$B$7*0.15)+($BK591*0.1)+($BL591*0.05)+(IF($BB591="Fast",5,IF($BB591="Slow",1,3))*0.05))))</f>
        <v>3.7</v>
      </c>
      <c r="BQ591">
        <f t="shared" si="77"/>
        <v>3.1500000000000004</v>
      </c>
      <c r="BR591">
        <f t="shared" si="78"/>
        <v>11.66</v>
      </c>
      <c r="BS591">
        <f t="shared" si="79"/>
        <v>14.58</v>
      </c>
      <c r="BT591" t="str">
        <f>IFERROR(INDEX(_REF_Capability_Bridge!$D:$D,MATCH($C591&amp;"|"&amp;$D591,_REF_Capability_Bridge!$J:$J,0)),IFERROR(INDEX(_REF_Capability_Bridge!$D:$D,MATCH($C591&amp;"|",_REF_Capability_Bridge!$J:$J,0)),"CAP_GENERIC"))</f>
        <v>CAP_BACKUP_RECOVERY</v>
      </c>
      <c r="BU591">
        <f>IFERROR(IFERROR(INDEX(_ENGINE_Relevance!$L:$L,MATCH($BT591,_ENGINE_Relevance!$B:$B,0)),1),1)</f>
        <v>1</v>
      </c>
      <c r="BV591" t="str">
        <f>IFERROR(INDEX(_REF_Capability_Bridge!$A:$A,MATCH($C591&amp;"|"&amp;$D591,_REF_Capability_Bridge!$J:$J,0)),IFERROR(INDEX(_REF_Capability_Bridge!$A:$A,MATCH($C591&amp;"|",_REF_Capability_Bridge!$J:$J,0)),"No bridge"))</f>
        <v>BRG-039</v>
      </c>
      <c r="BW591" t="str">
        <f t="shared" si="80"/>
        <v>Capability relevance neutral</v>
      </c>
      <c r="BX591" t="str">
        <f t="shared" si="81"/>
        <v>Initial / absent</v>
      </c>
      <c r="BY591" t="str">
        <f>IF($E591="","",IFERROR(INDEX(_REF_Treatment_Library!$A$2:$A$296,MATCH(1,INDEX((_REF_Treatment_Library!$B$2:$B$296=$BT591)*(_REF_Treatment_Library!$C$2:$C$296=PV_Canonical_Industry)*(_REF_Treatment_Library!$E$2:$E$296&lt;=N($H591))*(_REF_Treatment_Library!$F$2:$F$296&gt;=N($H591))*(_REF_Treatment_Library!$O$2:$O$296="Yes"),0),0)),IFERROR(INDEX(_REF_Treatment_Library!$A$2:$A$296,MATCH(1,INDEX((_REF_Treatment_Library!$B$2:$B$296=$BT591)*(_REF_Treatment_Library!$C$2:$C$296="All")*(_REF_Treatment_Library!$E$2:$E$296&lt;=N($H591))*(_REF_Treatment_Library!$F$2:$F$296&gt;=N($H591))*(_REF_Treatment_Library!$O$2:$O$296="Yes"),0),0)),"")))</f>
        <v>TRT-BACKUP_RECOVERY-INITIAL</v>
      </c>
      <c r="BZ591" t="str">
        <f>IF($BY591="","",IFERROR(INDEX(_REF_Treatment_Library!$H$2:$H$296,MATCH($BY591,_REF_Treatment_Library!$A$2:$A$296,0)),""))</f>
        <v>Establish</v>
      </c>
      <c r="CA591" t="str">
        <f>IF($BY591="","",IFERROR(INDEX(_REF_Treatment_Library!$I$2:$I$296,MATCH($BY591,_REF_Treatment_Library!$A$2:$A$296,0)),""))</f>
        <v>Establish baseline controls for Backup / recovery</v>
      </c>
      <c r="CB591" t="str">
        <f>IF($BY591="","",IFERROR(INDEX(_REF_Treatment_Library!$K$2:$K$296,MATCH($BY591,_REF_Treatment_Library!$A$2:$A$296,0)),""))</f>
        <v>Named owner, baseline process, minimum control checklist, first evidence package</v>
      </c>
      <c r="CC591" t="str">
        <f>IF($BY591="","",IFERROR(INDEX(_REF_Treatment_Library!$L$2:$L$296,MATCH($BY591,_REF_Treatment_Library!$A$2:$A$296,0)),""))</f>
        <v>Owner assigned; baseline evidence coverage; open critical gaps</v>
      </c>
      <c r="CD591" t="str">
        <f t="shared" si="82"/>
        <v>Treatment by capability=CAP_BACKUP_RECOVERY; band=Initial / absent; score=0.0; treatment=Establish</v>
      </c>
      <c r="CE591" t="str">
        <f>IF($E591="","",IFERROR(INDEX(_REF_Industry_Wording!$A$2:$A$70,MATCH(1,INDEX((_REF_Industry_Wording!$B$2:$B$70=$BT591)*(_REF_Industry_Wording!$C$2:$C$70=PV_Canonical_Industry)*(_REF_Industry_Wording!$K$2:$K$70="Yes"),0),0)),IFERROR(INDEX(_REF_Industry_Wording!$A$2:$A$70,MATCH(1,INDEX((_REF_Industry_Wording!$B$2:$B$70=$BT591)*(_REF_Industry_Wording!$C$2:$C$70="All")*(_REF_Industry_Wording!$K$2:$K$70="Yes"),0),0)),"")))</f>
        <v>IW-ALL-BACKUP_RECOVERY</v>
      </c>
      <c r="CF591" t="str">
        <f>IF($CE591="","",IFERROR(INDEX(_REF_Industry_Wording!$E$2:$E$70,MATCH($CE591,_REF_Industry_Wording!$A$2:$A$70,0)),""))</f>
        <v>Backup / recovery weakness</v>
      </c>
      <c r="CG591" t="str">
        <f>IF($CE591="","",IFERROR(INDEX(_REF_Industry_Wording!$F$2:$F$70,MATCH($CE591,_REF_Industry_Wording!$A$2:$A$70,0)),""))</f>
        <v>Strengthen Backup / recovery</v>
      </c>
      <c r="CH591" t="str">
        <f>IF($CE591="","",IFERROR(INDEX(_REF_Industry_Wording!$G$2:$G$70,MATCH($CE591,_REF_Industry_Wording!$A$2:$A$70,0)),""))</f>
        <v>Strengthen Backup / recovery using the selected maturity treatment, crisis scenario and evidence requirements.</v>
      </c>
      <c r="CI591" t="str">
        <f>IF($CE591="","",IFERROR(INDEX(_REF_Industry_Wording!$H$2:$H$70,MATCH($CE591,_REF_Industry_Wording!$A$2:$A$70,0)),""))</f>
        <v>Backup / recovery</v>
      </c>
      <c r="CJ591">
        <f>IF($CE591="","",IFERROR(INDEX(_REF_Industry_Wording!$I$2:$I$70,MATCH($CE591,_REF_Industry_Wording!$A$2:$A$70,0)),""))</f>
        <v>0</v>
      </c>
      <c r="CK591" t="str">
        <f>IF($CE591="","",IFERROR(INDEX(_REF_Industry_Wording!$J$2:$J$70,MATCH($CE591,_REF_Industry_Wording!$A$2:$A$70,0)),""))</f>
        <v>Backup / recovery</v>
      </c>
      <c r="CL591" t="str">
        <f t="shared" si="83"/>
        <v>Wording by industry=0; capability=CAP_BACKUP_RECOVERY; risk label=Backup / recovery weakness</v>
      </c>
      <c r="CM591" t="str">
        <f t="shared" si="84"/>
        <v>RISK-ONT-0092</v>
      </c>
      <c r="CN591" t="str">
        <f t="shared" si="85"/>
        <v>RISK-EVT-0092</v>
      </c>
      <c r="CO591" t="str">
        <f t="shared" si="86"/>
        <v>HR Workforce|Continuity and wellbeing|HRWO-027|CAP_BACKUP_RECOVERY</v>
      </c>
      <c r="CP591" t="str">
        <f t="shared" si="87"/>
        <v>Active</v>
      </c>
      <c r="CQ591" t="str">
        <f t="shared" si="88"/>
        <v>OK: capability-driven</v>
      </c>
      <c r="CR591" t="str">
        <f t="shared" si="89"/>
        <v>Risk ontology uses capability=CAP_BACKUP_RECOVERY; bridge=BRG-039; treatment=TRT-BACKUP_RECOVERY-INITIAL; wording=IW-ALL-BACKUP_RECOVERY</v>
      </c>
      <c r="CS591" t="str">
        <f t="shared" si="90"/>
        <v>Yes</v>
      </c>
    </row>
    <row r="592" spans="1:97" ht="69.900000000000006" customHeight="1">
      <c r="A592">
        <f>IF(OR($B592&lt;&gt;"Yes",$BS592=""),"",SUMPRODUCT(($B$500:$B$923="Yes")*ISNUMBER($BS$500:$BS$923)*($BS$500:$BS$923&gt;$BS592))+COUNTIFS($B$500:$B592,"Yes",$BS$500:$BS592,$BS592))</f>
        <v>358</v>
      </c>
      <c r="B592" t="str">
        <f t="shared" si="59"/>
        <v>Yes</v>
      </c>
      <c r="C592" t="s">
        <v>1259</v>
      </c>
      <c r="D592" t="s">
        <v>1261</v>
      </c>
      <c r="E592" t="s">
        <v>1390</v>
      </c>
      <c r="F592" t="s">
        <v>5888</v>
      </c>
      <c r="G592" t="str">
        <f>IF($H592="","",IFERROR(INDEX(_ENGINE_Risk!$H$5:$M$499,MATCH($E592,_ENGINE_Risk!$A$5:$A$499,0),$H592+1),""))</f>
        <v>Severe risk: workforce exposure to national emergency duties such as conscription, reservist service or civil mobilization, including exemption processes and continuity planning is not reliably controlled. During War/security crisis; Workforce disruption, the organization may face sudden loss of critical staff to state duties, unplanned absence waves and stalled critical operations with limited visibility or accountability.</v>
      </c>
      <c r="H592">
        <f>IFERROR(VALUE(INDEX(_DATA_Assessment_Model!$H$5:$H$884,MATCH($E592,_DATA_Assessment_Model!$A$5:$A$884,0))),"")</f>
        <v>0</v>
      </c>
      <c r="I592" t="str">
        <f>IF($H592="","",IFERROR(INDEX(_DATA_Assessment_Model!$L$5:$L$884,MATCH($E592,_DATA_Assessment_Model!$A$5:$A$884,0)),IF($H592&lt;=1,"Critical",IF($H592=2,"High",IF($H592=3,"Medium",IF($H592=4,"Low","Resilient"))))))</f>
        <v>Critical</v>
      </c>
      <c r="J592">
        <f t="shared" si="60"/>
        <v>3.6</v>
      </c>
      <c r="K592">
        <f t="shared" si="61"/>
        <v>3.7</v>
      </c>
      <c r="L592">
        <f t="shared" si="62"/>
        <v>13.32</v>
      </c>
      <c r="M592">
        <f t="shared" si="63"/>
        <v>3</v>
      </c>
      <c r="N592">
        <f>IF($H592="","",IFERROR(INDEX(_ENGINE_Risk!$T$5:$Y$499,MATCH($E592,_ENGINE_Risk!$A$5:$A$499,0),$H592+1),""))</f>
        <v>3</v>
      </c>
      <c r="O592">
        <f t="shared" si="64"/>
        <v>3.3333333333333335</v>
      </c>
      <c r="P592">
        <f t="shared" si="65"/>
        <v>5</v>
      </c>
      <c r="Q592">
        <f t="shared" si="66"/>
        <v>5</v>
      </c>
      <c r="R592">
        <f t="shared" si="67"/>
        <v>3</v>
      </c>
      <c r="S592">
        <f t="shared" si="68"/>
        <v>1.36</v>
      </c>
      <c r="T592" t="str">
        <f>IF($H592="","",IFERROR(INDEX(_ENGINE_Risk!$N$5:$S$499,MATCH($E592,_ENGINE_Risk!$A$5:$A$499,0),$H592+1),""))</f>
        <v>Create an immediate risk owner, minimum control baseline and fallback procedure for workforce exposure to national emergency duties such as conscription, reservist service or civil mobilization, including exemption processes and continuity planning. Add it to the crisis risk register and collect first evidence.</v>
      </c>
      <c r="U592">
        <f>IFERROR(INDEX(_DATA_Assessment_Model!$G$5:$G$884,MATCH($E592,_DATA_Assessment_Model!$A$5:$A$884,0)),"")</f>
        <v>4</v>
      </c>
      <c r="V592">
        <f>IFERROR(INDEX(_DATA_Assessment_Model!$W$5:$W$884,MATCH($E592,_DATA_Assessment_Model!$A$5:$A$884,0)),"")</f>
        <v>2</v>
      </c>
      <c r="W592">
        <f>IFERROR(INDEX(_DATA_Assessment_Model!$X$5:$X$884,MATCH($E592,_DATA_Assessment_Model!$A$5:$A$884,0)),"")</f>
        <v>5</v>
      </c>
      <c r="X592">
        <f>IFERROR(INDEX(_DATA_Assessment_Model!$Y$5:$Y$884,MATCH($E592,_DATA_Assessment_Model!$A$5:$A$884,0)),"")</f>
        <v>4</v>
      </c>
      <c r="Y592" t="s">
        <v>1400</v>
      </c>
      <c r="Z592" t="s">
        <v>5903</v>
      </c>
      <c r="AA592" t="s">
        <v>5902</v>
      </c>
      <c r="AB592">
        <f>IFERROR(INDEX(_DATA_Assessment_Model!$U$5:$U$884,MATCH($E592,_DATA_Assessment_Model!$A$5:$A$884,0)),"")</f>
        <v>0</v>
      </c>
      <c r="AF592" t="s">
        <v>1391</v>
      </c>
      <c r="AO592">
        <f>IF($B592="Yes",IF(IFERROR(INDEX(_ENGINE_Crisis!$F$501:$F$517,MATCH($C592,_ENGINE_Crisis!$A$501:$A$517,0)),1)=0,1,IFERROR(INDEX(_ENGINE_Crisis!$F$501:$F$517,MATCH($C592,_ENGINE_Crisis!$A$501:$A$517,0)),1)),"")</f>
        <v>1</v>
      </c>
      <c r="AP592">
        <f t="shared" si="69"/>
        <v>13.3</v>
      </c>
      <c r="AQ592">
        <f t="shared" si="70"/>
        <v>1.36</v>
      </c>
      <c r="AR592" t="str">
        <f>IFERROR(INDEX(_ENGINE_Crisis!$E$41:$E$700,MATCH('Resilience &amp; Risk Scenario'!$B$6&amp;"|"&amp;$C592,_ENGINE_Crisis!$I$41:$I$700,0)),"")</f>
        <v/>
      </c>
      <c r="AS592" t="str">
        <f>IFERROR(INDEX(_ENGINE_Crisis!$G$41:$G$700,MATCH('Resilience &amp; Risk Scenario'!$B$6&amp;"|"&amp;$C592,_ENGINE_Crisis!$I$41:$I$700,0)),"")</f>
        <v/>
      </c>
      <c r="AT592" t="str">
        <f>IFERROR(INDEX(_ENGINE_Initiatives!$A$5:$A$532,MATCH(1,INDEX((_ENGINE_Initiatives!$B$5:$B$532=$C592)*(_ENGINE_Initiatives!$C$5:$C$532=$D592),0),0)),"")</f>
        <v>INI-011</v>
      </c>
      <c r="AU592" t="str">
        <f>IFERROR(INDEX(_ENGINE_Initiatives!$F$5:$F$532,MATCH(1,INDEX((_ENGINE_Initiatives!$B$5:$B$532=$C592)*(_ENGINE_Initiatives!$C$5:$C$532=$D592),0),0)),"")</f>
        <v>Create workforce visibility, critical-role and location dashboard</v>
      </c>
      <c r="AV592">
        <f>IFERROR(INDEX(_ENGINE_Initiatives!$AC$5:$AC$532,MATCH(1,INDEX((_ENGINE_Initiatives!$B$5:$B$532=$C592)*(_ENGINE_Initiatives!$C$5:$C$532=$D592),0),0)),"")</f>
        <v>1.77</v>
      </c>
      <c r="AW592" t="str">
        <f>IFERROR(INDEX(_ENGINE_Initiatives!$AE$5:$AE$532,MATCH(1,INDEX((_ENGINE_Initiatives!$B$5:$B$532=$C592)*(_ENGINE_Initiatives!$C$5:$C$532=$D592),0),0)),"")</f>
        <v>3-6 months</v>
      </c>
      <c r="AX592">
        <f>IF($B592="Yes",IFERROR((IF(SUMIFS(_REF_Model_Content!$E$1:$E$613,_REF_Model_Content!$A$1:$A$613,PV_Canonical_Industry,_REF_Model_Content!$B$1:$B$613,$C592)=0,1,SUMIFS(_REF_Model_Content!$E$1:$E$613,_REF_Model_Content!$A$1:$A$613,PV_Canonical_Industry,_REF_Model_Content!$B$1:$B$613,$C592))*IFERROR($BU592,1)),1),"")</f>
        <v>1</v>
      </c>
      <c r="AY592">
        <f t="shared" si="71"/>
        <v>13.3</v>
      </c>
      <c r="AZ592">
        <f t="shared" si="72"/>
        <v>1.36</v>
      </c>
      <c r="BB592" t="str">
        <f>IF($H592="","",IFERROR(INDEX(_ENGINE_Risk!$AE$5:$AE$499,MATCH($E592,_ENGINE_Risk!$A$5:$A$499,0)),"Medium"))</f>
        <v>Medium</v>
      </c>
      <c r="BC592">
        <f t="shared" si="73"/>
        <v>1</v>
      </c>
      <c r="BD592">
        <f t="shared" si="74"/>
        <v>1.36</v>
      </c>
      <c r="BF592">
        <f>IF(OR($H592="",$J592=""),"",IFERROR(VLOOKUP(ROUND($J592,0),_CONFIG_Model_Settings!$D$154:$E$158,2,0),""))</f>
        <v>0.5</v>
      </c>
      <c r="BG592">
        <f>IFERROR(IF(OR($H592="",$K592=""),"",ROUND('Company Profile'!$B$113*INDEX(_CONFIG_Model_Settings!$H$154:$H$158,MATCH(ROUND($K592,0),_CONFIG_Model_Settings!$G$154:$G$158,0)),0)),0)</f>
        <v>875</v>
      </c>
      <c r="BH592">
        <f t="shared" si="75"/>
        <v>437.5</v>
      </c>
      <c r="BI592">
        <f t="shared" si="76"/>
        <v>437.5</v>
      </c>
      <c r="BJ592">
        <f>IF($E592="","",IFERROR(VLOOKUP($C592,_CONFIG_Risk_Calibration!$A$5:$H$21,2,FALSE),3))</f>
        <v>3</v>
      </c>
      <c r="BK592">
        <f>IF($E592="","",IFERROR(VLOOKUP($C592,_CONFIG_Risk_Calibration!$A$5:$H$21,3,FALSE),0))</f>
        <v>0</v>
      </c>
      <c r="BL592">
        <f>IF($E592="","",IFERROR(VLOOKUP($C592,_CONFIG_Risk_Calibration!$A$5:$H$21,4,FALSE),3))</f>
        <v>3</v>
      </c>
      <c r="BM592">
        <f>IF($E592="","",IFERROR(VLOOKUP($C592,_CONFIG_Risk_Calibration!$A$5:$H$21,5,FALSE),3))</f>
        <v>3</v>
      </c>
      <c r="BN592" t="str">
        <f>IF($E592="","",IFERROR(VLOOKUP($C592,_CONFIG_Risk_Calibration!$A$5:$H$21,6,FALSE),"No"))</f>
        <v>No</v>
      </c>
      <c r="BO592">
        <f>IF($E592="","",IFERROR(VLOOKUP($C592,_CONFIG_Risk_Calibration!$A$5:$H$21,7,FALSE),1))</f>
        <v>1</v>
      </c>
      <c r="BP592">
        <f>IF($H592="","",MAX(1,MIN(5,((6-$H592)*0.45)+($BJ592*0.2)+('Resilience &amp; Risk Scenario'!$B$7*0.15)+($BK592*0.1)+($BL592*0.05)+(IF($BB592="Fast",5,IF($BB592="Slow",1,3))*0.05))))</f>
        <v>3.6</v>
      </c>
      <c r="BQ592">
        <f t="shared" si="77"/>
        <v>3.7</v>
      </c>
      <c r="BR592">
        <f t="shared" si="78"/>
        <v>13.32</v>
      </c>
      <c r="BS592">
        <f t="shared" si="79"/>
        <v>13.32</v>
      </c>
      <c r="BT592" t="str">
        <f>IFERROR(INDEX(_REF_Capability_Bridge!$D:$D,MATCH($C592&amp;"|"&amp;$D592,_REF_Capability_Bridge!$J:$J,0)),IFERROR(INDEX(_REF_Capability_Bridge!$D:$D,MATCH($C592&amp;"|",_REF_Capability_Bridge!$J:$J,0)),"CAP_GENERIC"))</f>
        <v>CAP_BACKUP_RECOVERY</v>
      </c>
      <c r="BU592">
        <f>IFERROR(IFERROR(INDEX(_ENGINE_Relevance!$L:$L,MATCH($BT592,_ENGINE_Relevance!$B:$B,0)),1),1)</f>
        <v>1</v>
      </c>
      <c r="BV592" t="str">
        <f>IFERROR(INDEX(_REF_Capability_Bridge!$A:$A,MATCH($C592&amp;"|"&amp;$D592,_REF_Capability_Bridge!$J:$J,0)),IFERROR(INDEX(_REF_Capability_Bridge!$A:$A,MATCH($C592&amp;"|",_REF_Capability_Bridge!$J:$J,0)),"No bridge"))</f>
        <v>BRG-042</v>
      </c>
      <c r="BW592" t="str">
        <f t="shared" si="80"/>
        <v>Capability relevance neutral</v>
      </c>
      <c r="BX592" t="str">
        <f t="shared" si="81"/>
        <v>Initial / absent</v>
      </c>
      <c r="BY592" t="str">
        <f>IF($E592="","",IFERROR(INDEX(_REF_Treatment_Library!$A$2:$A$296,MATCH(1,INDEX((_REF_Treatment_Library!$B$2:$B$296=$BT592)*(_REF_Treatment_Library!$C$2:$C$296=PV_Canonical_Industry)*(_REF_Treatment_Library!$E$2:$E$296&lt;=N($H592))*(_REF_Treatment_Library!$F$2:$F$296&gt;=N($H592))*(_REF_Treatment_Library!$O$2:$O$296="Yes"),0),0)),IFERROR(INDEX(_REF_Treatment_Library!$A$2:$A$296,MATCH(1,INDEX((_REF_Treatment_Library!$B$2:$B$296=$BT592)*(_REF_Treatment_Library!$C$2:$C$296="All")*(_REF_Treatment_Library!$E$2:$E$296&lt;=N($H592))*(_REF_Treatment_Library!$F$2:$F$296&gt;=N($H592))*(_REF_Treatment_Library!$O$2:$O$296="Yes"),0),0)),"")))</f>
        <v>TRT-BACKUP_RECOVERY-INITIAL</v>
      </c>
      <c r="BZ592" t="str">
        <f>IF($BY592="","",IFERROR(INDEX(_REF_Treatment_Library!$H$2:$H$296,MATCH($BY592,_REF_Treatment_Library!$A$2:$A$296,0)),""))</f>
        <v>Establish</v>
      </c>
      <c r="CA592" t="str">
        <f>IF($BY592="","",IFERROR(INDEX(_REF_Treatment_Library!$I$2:$I$296,MATCH($BY592,_REF_Treatment_Library!$A$2:$A$296,0)),""))</f>
        <v>Establish baseline controls for Backup / recovery</v>
      </c>
      <c r="CB592" t="str">
        <f>IF($BY592="","",IFERROR(INDEX(_REF_Treatment_Library!$K$2:$K$296,MATCH($BY592,_REF_Treatment_Library!$A$2:$A$296,0)),""))</f>
        <v>Named owner, baseline process, minimum control checklist, first evidence package</v>
      </c>
      <c r="CC592" t="str">
        <f>IF($BY592="","",IFERROR(INDEX(_REF_Treatment_Library!$L$2:$L$296,MATCH($BY592,_REF_Treatment_Library!$A$2:$A$296,0)),""))</f>
        <v>Owner assigned; baseline evidence coverage; open critical gaps</v>
      </c>
      <c r="CD592" t="str">
        <f t="shared" si="82"/>
        <v>Treatment by capability=CAP_BACKUP_RECOVERY; band=Initial / absent; score=0.0; treatment=Establish</v>
      </c>
      <c r="CE592" t="str">
        <f>IF($E592="","",IFERROR(INDEX(_REF_Industry_Wording!$A$2:$A$70,MATCH(1,INDEX((_REF_Industry_Wording!$B$2:$B$70=$BT592)*(_REF_Industry_Wording!$C$2:$C$70=PV_Canonical_Industry)*(_REF_Industry_Wording!$K$2:$K$70="Yes"),0),0)),IFERROR(INDEX(_REF_Industry_Wording!$A$2:$A$70,MATCH(1,INDEX((_REF_Industry_Wording!$B$2:$B$70=$BT592)*(_REF_Industry_Wording!$C$2:$C$70="All")*(_REF_Industry_Wording!$K$2:$K$70="Yes"),0),0)),"")))</f>
        <v>IW-ALL-BACKUP_RECOVERY</v>
      </c>
      <c r="CF592" t="str">
        <f>IF($CE592="","",IFERROR(INDEX(_REF_Industry_Wording!$E$2:$E$70,MATCH($CE592,_REF_Industry_Wording!$A$2:$A$70,0)),""))</f>
        <v>Backup / recovery weakness</v>
      </c>
      <c r="CG592" t="str">
        <f>IF($CE592="","",IFERROR(INDEX(_REF_Industry_Wording!$F$2:$F$70,MATCH($CE592,_REF_Industry_Wording!$A$2:$A$70,0)),""))</f>
        <v>Strengthen Backup / recovery</v>
      </c>
      <c r="CH592" t="str">
        <f>IF($CE592="","",IFERROR(INDEX(_REF_Industry_Wording!$G$2:$G$70,MATCH($CE592,_REF_Industry_Wording!$A$2:$A$70,0)),""))</f>
        <v>Strengthen Backup / recovery using the selected maturity treatment, crisis scenario and evidence requirements.</v>
      </c>
      <c r="CI592" t="str">
        <f>IF($CE592="","",IFERROR(INDEX(_REF_Industry_Wording!$H$2:$H$70,MATCH($CE592,_REF_Industry_Wording!$A$2:$A$70,0)),""))</f>
        <v>Backup / recovery</v>
      </c>
      <c r="CJ592">
        <f>IF($CE592="","",IFERROR(INDEX(_REF_Industry_Wording!$I$2:$I$70,MATCH($CE592,_REF_Industry_Wording!$A$2:$A$70,0)),""))</f>
        <v>0</v>
      </c>
      <c r="CK592" t="str">
        <f>IF($CE592="","",IFERROR(INDEX(_REF_Industry_Wording!$J$2:$J$70,MATCH($CE592,_REF_Industry_Wording!$A$2:$A$70,0)),""))</f>
        <v>Backup / recovery</v>
      </c>
      <c r="CL592" t="str">
        <f t="shared" si="83"/>
        <v>Wording by industry=0; capability=CAP_BACKUP_RECOVERY; risk label=Backup / recovery weakness</v>
      </c>
      <c r="CM592" t="str">
        <f t="shared" si="84"/>
        <v>RISK-ONT-0093</v>
      </c>
      <c r="CN592" t="str">
        <f t="shared" si="85"/>
        <v>RISK-EVT-0093</v>
      </c>
      <c r="CO592" t="str">
        <f t="shared" si="86"/>
        <v>HR Workforce|Workforce visibility|HRWO-028|CAP_BACKUP_RECOVERY</v>
      </c>
      <c r="CP592" t="str">
        <f t="shared" si="87"/>
        <v>Active</v>
      </c>
      <c r="CQ592" t="str">
        <f t="shared" si="88"/>
        <v>OK: capability-driven</v>
      </c>
      <c r="CR592" t="str">
        <f t="shared" si="89"/>
        <v>Risk ontology uses capability=CAP_BACKUP_RECOVERY; bridge=BRG-042; treatment=TRT-BACKUP_RECOVERY-INITIAL; wording=IW-ALL-BACKUP_RECOVERY</v>
      </c>
      <c r="CS592" t="str">
        <f t="shared" si="90"/>
        <v>Yes</v>
      </c>
    </row>
    <row r="593" spans="1:97" ht="69.900000000000006" customHeight="1">
      <c r="A593">
        <f>IF(OR($B593&lt;&gt;"Yes",$BS593=""),"",SUMPRODUCT(($B$500:$B$923="Yes")*ISNUMBER($BS$500:$BS$923)*($BS$500:$BS$923&gt;$BS593))+COUNTIFS($B$500:$B593,"Yes",$BS$500:$BS593,$BS593))</f>
        <v>229</v>
      </c>
      <c r="B593" t="str">
        <f t="shared" si="59"/>
        <v>Yes</v>
      </c>
      <c r="C593" t="s">
        <v>1401</v>
      </c>
      <c r="D593" t="s">
        <v>1403</v>
      </c>
      <c r="E593" t="s">
        <v>1402</v>
      </c>
      <c r="F593" t="s">
        <v>3683</v>
      </c>
      <c r="G593" t="str">
        <f>IF($H593="","",IFERROR(INDEX(_ENGINE_Risk!$H$5:$M$499,MATCH($E593,_ENGINE_Risk!$A$5:$A$499,0),$H593+1),""))</f>
        <v>Severe risk: cash visibility by legal entity, bank, currency, restrictions and emergency access is not reliably controlled. During Financial / liquidity shock; Supplier disruption; Fraud risk, the organization may face cash-flow stress, uncontrolled spend, supplier payment disruption and weak financial visibility with limited visibility or accountability.</v>
      </c>
      <c r="H593">
        <f>IFERROR(VALUE(INDEX(_DATA_Assessment_Model!$H$5:$H$884,MATCH($E593,_DATA_Assessment_Model!$A$5:$A$884,0))),"")</f>
        <v>0</v>
      </c>
      <c r="I593" t="str">
        <f>IF($H593="","",IFERROR(INDEX(_DATA_Assessment_Model!$L$5:$L$884,MATCH($E593,_DATA_Assessment_Model!$A$5:$A$884,0)),IF($H593&lt;=1,"Critical",IF($H593=2,"High",IF($H593=3,"Medium",IF($H593=4,"Low","Resilient"))))))</f>
        <v>Critical</v>
      </c>
      <c r="J593">
        <f t="shared" si="60"/>
        <v>3.6</v>
      </c>
      <c r="K593">
        <f t="shared" si="61"/>
        <v>4.5</v>
      </c>
      <c r="L593">
        <f t="shared" si="62"/>
        <v>16.2</v>
      </c>
      <c r="M593">
        <f t="shared" si="63"/>
        <v>4</v>
      </c>
      <c r="N593">
        <f>IF($H593="","",IFERROR(INDEX(_ENGINE_Risk!$T$5:$Y$499,MATCH($E593,_ENGINE_Risk!$A$5:$A$499,0),$H593+1),""))</f>
        <v>3</v>
      </c>
      <c r="O593">
        <f t="shared" si="64"/>
        <v>4.666666666666667</v>
      </c>
      <c r="P593">
        <f t="shared" si="65"/>
        <v>5</v>
      </c>
      <c r="Q593">
        <f t="shared" si="66"/>
        <v>5</v>
      </c>
      <c r="R593">
        <f t="shared" si="67"/>
        <v>4.5</v>
      </c>
      <c r="S593">
        <f t="shared" si="68"/>
        <v>1.6</v>
      </c>
      <c r="T593" t="str">
        <f>IF($H593="","",IFERROR(INDEX(_ENGINE_Risk!$N$5:$S$499,MATCH($E593,_ENGINE_Risk!$A$5:$A$499,0),$H593+1),""))</f>
        <v>Create an immediate risk owner, minimum control baseline and fallback procedure for cash visibility by legal entity, bank, currency, restrictions and emergency access. Add it to the crisis risk register and collect first evidence.</v>
      </c>
      <c r="U593">
        <f>IFERROR(INDEX(_DATA_Assessment_Model!$G$5:$G$884,MATCH($E593,_DATA_Assessment_Model!$A$5:$A$884,0)),"")</f>
        <v>5</v>
      </c>
      <c r="V593">
        <f>IFERROR(INDEX(_DATA_Assessment_Model!$W$5:$W$884,MATCH($E593,_DATA_Assessment_Model!$A$5:$A$884,0)),"")</f>
        <v>4</v>
      </c>
      <c r="W593">
        <f>IFERROR(INDEX(_DATA_Assessment_Model!$X$5:$X$884,MATCH($E593,_DATA_Assessment_Model!$A$5:$A$884,0)),"")</f>
        <v>5</v>
      </c>
      <c r="X593">
        <f>IFERROR(INDEX(_DATA_Assessment_Model!$Y$5:$Y$884,MATCH($E593,_DATA_Assessment_Model!$A$5:$A$884,0)),"")</f>
        <v>5</v>
      </c>
      <c r="Y593" t="s">
        <v>1408</v>
      </c>
      <c r="Z593" t="s">
        <v>5918</v>
      </c>
      <c r="AA593" t="s">
        <v>1407</v>
      </c>
      <c r="AB593">
        <f>IFERROR(INDEX(_DATA_Assessment_Model!$U$5:$U$884,MATCH($E593,_DATA_Assessment_Model!$A$5:$A$884,0)),"")</f>
        <v>0</v>
      </c>
      <c r="AF593" t="s">
        <v>1404</v>
      </c>
      <c r="AO593">
        <f>IF($B593="Yes",IF(IFERROR(INDEX(_ENGINE_Crisis!$F$501:$F$517,MATCH($C593,_ENGINE_Crisis!$A$501:$A$517,0)),1)=0,1,IFERROR(INDEX(_ENGINE_Crisis!$F$501:$F$517,MATCH($C593,_ENGINE_Crisis!$A$501:$A$517,0)),1)),"")</f>
        <v>1</v>
      </c>
      <c r="AP593">
        <f t="shared" si="69"/>
        <v>16.2</v>
      </c>
      <c r="AQ593">
        <f t="shared" si="70"/>
        <v>1.6</v>
      </c>
      <c r="AR593" t="str">
        <f>IFERROR(INDEX(_ENGINE_Crisis!$E$41:$E$700,MATCH('Resilience &amp; Risk Scenario'!$B$6&amp;"|"&amp;$C593,_ENGINE_Crisis!$I$41:$I$700,0)),"")</f>
        <v/>
      </c>
      <c r="AS593" t="str">
        <f>IFERROR(INDEX(_ENGINE_Crisis!$G$41:$G$700,MATCH('Resilience &amp; Risk Scenario'!$B$6&amp;"|"&amp;$C593,_ENGINE_Crisis!$I$41:$I$700,0)),"")</f>
        <v/>
      </c>
      <c r="AT593" t="str">
        <f>IFERROR(INDEX(_ENGINE_Initiatives!$A$5:$A$532,MATCH(1,INDEX((_ENGINE_Initiatives!$B$5:$B$532=$C593)*(_ENGINE_Initiatives!$C$5:$C$532=$D593),0),0)),"")</f>
        <v>INI-015</v>
      </c>
      <c r="AU593" t="str">
        <f>IFERROR(INDEX(_ENGINE_Initiatives!$F$5:$F$532,MATCH(1,INDEX((_ENGINE_Initiatives!$B$5:$B$532=$C593)*(_ENGINE_Initiatives!$C$5:$C$532=$D593),0),0)),"")</f>
        <v>Implement cash-flow resilience and financial scenario planning</v>
      </c>
      <c r="AV593">
        <f>IFERROR(INDEX(_ENGINE_Initiatives!$AC$5:$AC$532,MATCH(1,INDEX((_ENGINE_Initiatives!$B$5:$B$532=$C593)*(_ENGINE_Initiatives!$C$5:$C$532=$D593),0),0)),"")</f>
        <v>1.74</v>
      </c>
      <c r="AW593" t="str">
        <f>IFERROR(INDEX(_ENGINE_Initiatives!$AE$5:$AE$532,MATCH(1,INDEX((_ENGINE_Initiatives!$B$5:$B$532=$C593)*(_ENGINE_Initiatives!$C$5:$C$532=$D593),0),0)),"")</f>
        <v>6-12 months</v>
      </c>
      <c r="AX593">
        <f>IF($B593="Yes",IFERROR((IF(SUMIFS(_REF_Model_Content!$E$1:$E$613,_REF_Model_Content!$A$1:$A$613,PV_Canonical_Industry,_REF_Model_Content!$B$1:$B$613,$C593)=0,1,SUMIFS(_REF_Model_Content!$E$1:$E$613,_REF_Model_Content!$A$1:$A$613,PV_Canonical_Industry,_REF_Model_Content!$B$1:$B$613,$C593))*IFERROR($BU593,1)),1),"")</f>
        <v>1</v>
      </c>
      <c r="AY593">
        <f t="shared" si="71"/>
        <v>16.2</v>
      </c>
      <c r="AZ593">
        <f t="shared" si="72"/>
        <v>1.6</v>
      </c>
      <c r="BB593" t="str">
        <f>IF($H593="","",IFERROR(INDEX(_ENGINE_Risk!$AE$5:$AE$499,MATCH($E593,_ENGINE_Risk!$A$5:$A$499,0)),"Medium"))</f>
        <v>Medium</v>
      </c>
      <c r="BC593">
        <f t="shared" si="73"/>
        <v>1</v>
      </c>
      <c r="BD593">
        <f t="shared" si="74"/>
        <v>1.6</v>
      </c>
      <c r="BF593">
        <f>IF(OR($H593="",$J593=""),"",IFERROR(VLOOKUP(ROUND($J593,0),_CONFIG_Model_Settings!$D$154:$E$158,2,0),""))</f>
        <v>0.5</v>
      </c>
      <c r="BG593">
        <f>IFERROR(IF(OR($H593="",$K593=""),"",ROUND('Company Profile'!$B$113*INDEX(_CONFIG_Model_Settings!$H$154:$H$158,MATCH(ROUND($K593,0),_CONFIG_Model_Settings!$G$154:$G$158,0)),0)),0)</f>
        <v>1875</v>
      </c>
      <c r="BH593">
        <f t="shared" si="75"/>
        <v>937.5</v>
      </c>
      <c r="BI593">
        <f t="shared" si="76"/>
        <v>937.5</v>
      </c>
      <c r="BJ593">
        <f>IF($E593="","",IFERROR(VLOOKUP($C593,_CONFIG_Risk_Calibration!$A$5:$H$21,2,FALSE),3))</f>
        <v>3</v>
      </c>
      <c r="BK593">
        <f>IF($E593="","",IFERROR(VLOOKUP($C593,_CONFIG_Risk_Calibration!$A$5:$H$21,3,FALSE),0))</f>
        <v>0</v>
      </c>
      <c r="BL593">
        <f>IF($E593="","",IFERROR(VLOOKUP($C593,_CONFIG_Risk_Calibration!$A$5:$H$21,4,FALSE),3))</f>
        <v>3</v>
      </c>
      <c r="BM593">
        <f>IF($E593="","",IFERROR(VLOOKUP($C593,_CONFIG_Risk_Calibration!$A$5:$H$21,5,FALSE),3))</f>
        <v>4</v>
      </c>
      <c r="BN593" t="str">
        <f>IF($E593="","",IFERROR(VLOOKUP($C593,_CONFIG_Risk_Calibration!$A$5:$H$21,6,FALSE),"No"))</f>
        <v>Yes</v>
      </c>
      <c r="BO593">
        <f>IF($E593="","",IFERROR(VLOOKUP($C593,_CONFIG_Risk_Calibration!$A$5:$H$21,7,FALSE),1))</f>
        <v>4</v>
      </c>
      <c r="BP593">
        <f>IF($H593="","",MAX(1,MIN(5,((6-$H593)*0.45)+($BJ593*0.2)+('Resilience &amp; Risk Scenario'!$B$7*0.15)+($BK593*0.1)+($BL593*0.05)+(IF($BB593="Fast",5,IF($BB593="Slow",1,3))*0.05))))</f>
        <v>3.6</v>
      </c>
      <c r="BQ593">
        <f t="shared" si="77"/>
        <v>4.5</v>
      </c>
      <c r="BR593">
        <f t="shared" si="78"/>
        <v>16.2</v>
      </c>
      <c r="BS593">
        <f t="shared" si="79"/>
        <v>17.82</v>
      </c>
      <c r="BT593" t="str">
        <f>IFERROR(INDEX(_REF_Capability_Bridge!$D:$D,MATCH($C593&amp;"|"&amp;$D593,_REF_Capability_Bridge!$J:$J,0)),IFERROR(INDEX(_REF_Capability_Bridge!$D:$D,MATCH($C593&amp;"|",_REF_Capability_Bridge!$J:$J,0)),"CAP_GENERIC"))</f>
        <v>CAP_FRAUD_MONITORING</v>
      </c>
      <c r="BU593">
        <f>IFERROR(IFERROR(INDEX(_ENGINE_Relevance!$L:$L,MATCH($BT593,_ENGINE_Relevance!$B:$B,0)),1),1)</f>
        <v>1</v>
      </c>
      <c r="BV593" t="str">
        <f>IFERROR(INDEX(_REF_Capability_Bridge!$A:$A,MATCH($C593&amp;"|"&amp;$D593,_REF_Capability_Bridge!$J:$J,0)),IFERROR(INDEX(_REF_Capability_Bridge!$A:$A,MATCH($C593&amp;"|",_REF_Capability_Bridge!$J:$J,0)),"No bridge"))</f>
        <v>BRG-031</v>
      </c>
      <c r="BW593" t="str">
        <f t="shared" si="80"/>
        <v>Capability relevance neutral</v>
      </c>
      <c r="BX593" t="str">
        <f t="shared" si="81"/>
        <v>Initial / absent</v>
      </c>
      <c r="BY593" t="str">
        <f>IF($E593="","",IFERROR(INDEX(_REF_Treatment_Library!$A$2:$A$296,MATCH(1,INDEX((_REF_Treatment_Library!$B$2:$B$296=$BT593)*(_REF_Treatment_Library!$C$2:$C$296=PV_Canonical_Industry)*(_REF_Treatment_Library!$E$2:$E$296&lt;=N($H593))*(_REF_Treatment_Library!$F$2:$F$296&gt;=N($H593))*(_REF_Treatment_Library!$O$2:$O$296="Yes"),0),0)),IFERROR(INDEX(_REF_Treatment_Library!$A$2:$A$296,MATCH(1,INDEX((_REF_Treatment_Library!$B$2:$B$296=$BT593)*(_REF_Treatment_Library!$C$2:$C$296="All")*(_REF_Treatment_Library!$E$2:$E$296&lt;=N($H593))*(_REF_Treatment_Library!$F$2:$F$296&gt;=N($H593))*(_REF_Treatment_Library!$O$2:$O$296="Yes"),0),0)),"")))</f>
        <v>TRT-FRAUD_MONITORING-INITIAL</v>
      </c>
      <c r="BZ593" t="str">
        <f>IF($BY593="","",IFERROR(INDEX(_REF_Treatment_Library!$H$2:$H$296,MATCH($BY593,_REF_Treatment_Library!$A$2:$A$296,0)),""))</f>
        <v>Establish</v>
      </c>
      <c r="CA593" t="str">
        <f>IF($BY593="","",IFERROR(INDEX(_REF_Treatment_Library!$I$2:$I$296,MATCH($BY593,_REF_Treatment_Library!$A$2:$A$296,0)),""))</f>
        <v>Establish baseline controls for Fraud monitoring</v>
      </c>
      <c r="CB593" t="str">
        <f>IF($BY593="","",IFERROR(INDEX(_REF_Treatment_Library!$K$2:$K$296,MATCH($BY593,_REF_Treatment_Library!$A$2:$A$296,0)),""))</f>
        <v>Named owner, baseline process, minimum control checklist, first evidence package</v>
      </c>
      <c r="CC593" t="str">
        <f>IF($BY593="","",IFERROR(INDEX(_REF_Treatment_Library!$L$2:$L$296,MATCH($BY593,_REF_Treatment_Library!$A$2:$A$296,0)),""))</f>
        <v>Owner assigned; baseline evidence coverage; open critical gaps</v>
      </c>
      <c r="CD593" t="str">
        <f t="shared" si="82"/>
        <v>Treatment by capability=CAP_FRAUD_MONITORING; band=Initial / absent; score=0.0; treatment=Establish</v>
      </c>
      <c r="CE593" t="str">
        <f>IF($E593="","",IFERROR(INDEX(_REF_Industry_Wording!$A$2:$A$70,MATCH(1,INDEX((_REF_Industry_Wording!$B$2:$B$70=$BT593)*(_REF_Industry_Wording!$C$2:$C$70=PV_Canonical_Industry)*(_REF_Industry_Wording!$K$2:$K$70="Yes"),0),0)),IFERROR(INDEX(_REF_Industry_Wording!$A$2:$A$70,MATCH(1,INDEX((_REF_Industry_Wording!$B$2:$B$70=$BT593)*(_REF_Industry_Wording!$C$2:$C$70="All")*(_REF_Industry_Wording!$K$2:$K$70="Yes"),0),0)),"")))</f>
        <v>IW-ALL-FRAUD_MONITORING</v>
      </c>
      <c r="CF593" t="str">
        <f>IF($CE593="","",IFERROR(INDEX(_REF_Industry_Wording!$E$2:$E$70,MATCH($CE593,_REF_Industry_Wording!$A$2:$A$70,0)),""))</f>
        <v>Fraud monitoring weakness</v>
      </c>
      <c r="CG593" t="str">
        <f>IF($CE593="","",IFERROR(INDEX(_REF_Industry_Wording!$F$2:$F$70,MATCH($CE593,_REF_Industry_Wording!$A$2:$A$70,0)),""))</f>
        <v>Strengthen Fraud monitoring</v>
      </c>
      <c r="CH593" t="str">
        <f>IF($CE593="","",IFERROR(INDEX(_REF_Industry_Wording!$G$2:$G$70,MATCH($CE593,_REF_Industry_Wording!$A$2:$A$70,0)),""))</f>
        <v>Strengthen Fraud monitoring using the selected maturity treatment, crisis scenario and evidence requirements.</v>
      </c>
      <c r="CI593" t="str">
        <f>IF($CE593="","",IFERROR(INDEX(_REF_Industry_Wording!$H$2:$H$70,MATCH($CE593,_REF_Industry_Wording!$A$2:$A$70,0)),""))</f>
        <v>Fraud monitoring</v>
      </c>
      <c r="CJ593">
        <f>IF($CE593="","",IFERROR(INDEX(_REF_Industry_Wording!$I$2:$I$70,MATCH($CE593,_REF_Industry_Wording!$A$2:$A$70,0)),""))</f>
        <v>0</v>
      </c>
      <c r="CK593" t="str">
        <f>IF($CE593="","",IFERROR(INDEX(_REF_Industry_Wording!$J$2:$J$70,MATCH($CE593,_REF_Industry_Wording!$A$2:$A$70,0)),""))</f>
        <v>Fraud monitoring</v>
      </c>
      <c r="CL593" t="str">
        <f t="shared" si="83"/>
        <v>Wording by industry=0; capability=CAP_FRAUD_MONITORING; risk label=Fraud monitoring weakness</v>
      </c>
      <c r="CM593" t="str">
        <f t="shared" si="84"/>
        <v>RISK-ONT-0094</v>
      </c>
      <c r="CN593" t="str">
        <f t="shared" si="85"/>
        <v>RISK-EVT-0094</v>
      </c>
      <c r="CO593" t="str">
        <f t="shared" si="86"/>
        <v>Finance Procurement|Financial resilience|FINA-001|CAP_FRAUD_MONITORING</v>
      </c>
      <c r="CP593" t="str">
        <f t="shared" si="87"/>
        <v>Active</v>
      </c>
      <c r="CQ593" t="str">
        <f t="shared" si="88"/>
        <v>OK: capability-driven</v>
      </c>
      <c r="CR593" t="str">
        <f t="shared" si="89"/>
        <v>Risk ontology uses capability=CAP_FRAUD_MONITORING; bridge=BRG-031; treatment=TRT-FRAUD_MONITORING-INITIAL; wording=IW-ALL-FRAUD_MONITORING</v>
      </c>
      <c r="CS593" t="str">
        <f t="shared" si="90"/>
        <v>Yes</v>
      </c>
    </row>
    <row r="594" spans="1:97" ht="69.900000000000006" customHeight="1">
      <c r="A594">
        <f>IF(OR($B594&lt;&gt;"Yes",$BS594=""),"",SUMPRODUCT(($B$500:$B$923="Yes")*ISNUMBER($BS$500:$BS$923)*($BS$500:$BS$923&gt;$BS594))+COUNTIFS($B$500:$B594,"Yes",$BS$500:$BS594,$BS594))</f>
        <v>230</v>
      </c>
      <c r="B594" t="str">
        <f t="shared" si="59"/>
        <v>Yes</v>
      </c>
      <c r="C594" t="s">
        <v>1401</v>
      </c>
      <c r="D594" t="s">
        <v>1403</v>
      </c>
      <c r="E594" t="s">
        <v>1409</v>
      </c>
      <c r="F594" t="s">
        <v>3683</v>
      </c>
      <c r="G594" t="str">
        <f>IF($H594="","",IFERROR(INDEX(_ENGINE_Risk!$H$5:$M$499,MATCH($E594,_ENGINE_Risk!$A$5:$A$499,0),$H594+1),""))</f>
        <v>Severe risk: cash-flow forecasting under base, downside and severe crisis scenarios is not reliably controlled. During Financial / liquidity shock; Supplier disruption; Fraud risk, the organization may face cash-flow stress, uncontrolled spend, supplier payment disruption and weak financial visibility with limited visibility or accountability.</v>
      </c>
      <c r="H594">
        <f>IFERROR(VALUE(INDEX(_DATA_Assessment_Model!$H$5:$H$884,MATCH($E594,_DATA_Assessment_Model!$A$5:$A$884,0))),"")</f>
        <v>0</v>
      </c>
      <c r="I594" t="str">
        <f>IF($H594="","",IFERROR(INDEX(_DATA_Assessment_Model!$L$5:$L$884,MATCH($E594,_DATA_Assessment_Model!$A$5:$A$884,0)),IF($H594&lt;=1,"Critical",IF($H594=2,"High",IF($H594=3,"Medium",IF($H594=4,"Low","Resilient"))))))</f>
        <v>Critical</v>
      </c>
      <c r="J594">
        <f t="shared" si="60"/>
        <v>3.6</v>
      </c>
      <c r="K594">
        <f t="shared" si="61"/>
        <v>4.5</v>
      </c>
      <c r="L594">
        <f t="shared" si="62"/>
        <v>16.2</v>
      </c>
      <c r="M594">
        <f t="shared" si="63"/>
        <v>4</v>
      </c>
      <c r="N594">
        <f>IF($H594="","",IFERROR(INDEX(_ENGINE_Risk!$T$5:$Y$499,MATCH($E594,_ENGINE_Risk!$A$5:$A$499,0),$H594+1),""))</f>
        <v>3</v>
      </c>
      <c r="O594">
        <f t="shared" si="64"/>
        <v>4.666666666666667</v>
      </c>
      <c r="P594">
        <f t="shared" si="65"/>
        <v>5</v>
      </c>
      <c r="Q594">
        <f t="shared" si="66"/>
        <v>5</v>
      </c>
      <c r="R594">
        <f t="shared" si="67"/>
        <v>4.5</v>
      </c>
      <c r="S594">
        <f t="shared" si="68"/>
        <v>1.6</v>
      </c>
      <c r="T594" t="str">
        <f>IF($H594="","",IFERROR(INDEX(_ENGINE_Risk!$N$5:$S$499,MATCH($E594,_ENGINE_Risk!$A$5:$A$499,0),$H594+1),""))</f>
        <v>Create an immediate risk owner, minimum control baseline and fallback procedure for cash-flow forecasting under base, downside and severe crisis scenarios. Add it to the crisis risk register and collect first evidence.</v>
      </c>
      <c r="U594">
        <f>IFERROR(INDEX(_DATA_Assessment_Model!$G$5:$G$884,MATCH($E594,_DATA_Assessment_Model!$A$5:$A$884,0)),"")</f>
        <v>5</v>
      </c>
      <c r="V594">
        <f>IFERROR(INDEX(_DATA_Assessment_Model!$W$5:$W$884,MATCH($E594,_DATA_Assessment_Model!$A$5:$A$884,0)),"")</f>
        <v>4</v>
      </c>
      <c r="W594">
        <f>IFERROR(INDEX(_DATA_Assessment_Model!$X$5:$X$884,MATCH($E594,_DATA_Assessment_Model!$A$5:$A$884,0)),"")</f>
        <v>5</v>
      </c>
      <c r="X594">
        <f>IFERROR(INDEX(_DATA_Assessment_Model!$Y$5:$Y$884,MATCH($E594,_DATA_Assessment_Model!$A$5:$A$884,0)),"")</f>
        <v>5</v>
      </c>
      <c r="Y594" t="s">
        <v>1408</v>
      </c>
      <c r="Z594" t="s">
        <v>5918</v>
      </c>
      <c r="AA594" t="s">
        <v>1411</v>
      </c>
      <c r="AB594">
        <f>IFERROR(INDEX(_DATA_Assessment_Model!$U$5:$U$884,MATCH($E594,_DATA_Assessment_Model!$A$5:$A$884,0)),"")</f>
        <v>0</v>
      </c>
      <c r="AF594" t="s">
        <v>1410</v>
      </c>
      <c r="AO594">
        <f>IF($B594="Yes",IF(IFERROR(INDEX(_ENGINE_Crisis!$F$501:$F$517,MATCH($C594,_ENGINE_Crisis!$A$501:$A$517,0)),1)=0,1,IFERROR(INDEX(_ENGINE_Crisis!$F$501:$F$517,MATCH($C594,_ENGINE_Crisis!$A$501:$A$517,0)),1)),"")</f>
        <v>1</v>
      </c>
      <c r="AP594">
        <f t="shared" si="69"/>
        <v>16.2</v>
      </c>
      <c r="AQ594">
        <f t="shared" si="70"/>
        <v>1.6</v>
      </c>
      <c r="AR594" t="str">
        <f>IFERROR(INDEX(_ENGINE_Crisis!$E$41:$E$700,MATCH('Resilience &amp; Risk Scenario'!$B$6&amp;"|"&amp;$C594,_ENGINE_Crisis!$I$41:$I$700,0)),"")</f>
        <v/>
      </c>
      <c r="AS594" t="str">
        <f>IFERROR(INDEX(_ENGINE_Crisis!$G$41:$G$700,MATCH('Resilience &amp; Risk Scenario'!$B$6&amp;"|"&amp;$C594,_ENGINE_Crisis!$I$41:$I$700,0)),"")</f>
        <v/>
      </c>
      <c r="AT594" t="str">
        <f>IFERROR(INDEX(_ENGINE_Initiatives!$A$5:$A$532,MATCH(1,INDEX((_ENGINE_Initiatives!$B$5:$B$532=$C594)*(_ENGINE_Initiatives!$C$5:$C$532=$D594),0),0)),"")</f>
        <v>INI-015</v>
      </c>
      <c r="AU594" t="str">
        <f>IFERROR(INDEX(_ENGINE_Initiatives!$F$5:$F$532,MATCH(1,INDEX((_ENGINE_Initiatives!$B$5:$B$532=$C594)*(_ENGINE_Initiatives!$C$5:$C$532=$D594),0),0)),"")</f>
        <v>Implement cash-flow resilience and financial scenario planning</v>
      </c>
      <c r="AV594">
        <f>IFERROR(INDEX(_ENGINE_Initiatives!$AC$5:$AC$532,MATCH(1,INDEX((_ENGINE_Initiatives!$B$5:$B$532=$C594)*(_ENGINE_Initiatives!$C$5:$C$532=$D594),0),0)),"")</f>
        <v>1.74</v>
      </c>
      <c r="AW594" t="str">
        <f>IFERROR(INDEX(_ENGINE_Initiatives!$AE$5:$AE$532,MATCH(1,INDEX((_ENGINE_Initiatives!$B$5:$B$532=$C594)*(_ENGINE_Initiatives!$C$5:$C$532=$D594),0),0)),"")</f>
        <v>6-12 months</v>
      </c>
      <c r="AX594">
        <f>IF($B594="Yes",IFERROR((IF(SUMIFS(_REF_Model_Content!$E$1:$E$613,_REF_Model_Content!$A$1:$A$613,PV_Canonical_Industry,_REF_Model_Content!$B$1:$B$613,$C594)=0,1,SUMIFS(_REF_Model_Content!$E$1:$E$613,_REF_Model_Content!$A$1:$A$613,PV_Canonical_Industry,_REF_Model_Content!$B$1:$B$613,$C594))*IFERROR($BU594,1)),1),"")</f>
        <v>1</v>
      </c>
      <c r="AY594">
        <f t="shared" si="71"/>
        <v>16.2</v>
      </c>
      <c r="AZ594">
        <f t="shared" si="72"/>
        <v>1.6</v>
      </c>
      <c r="BB594" t="str">
        <f>IF($H594="","",IFERROR(INDEX(_ENGINE_Risk!$AE$5:$AE$499,MATCH($E594,_ENGINE_Risk!$A$5:$A$499,0)),"Medium"))</f>
        <v>Medium</v>
      </c>
      <c r="BC594">
        <f t="shared" si="73"/>
        <v>1</v>
      </c>
      <c r="BD594">
        <f t="shared" si="74"/>
        <v>1.6</v>
      </c>
      <c r="BF594">
        <f>IF(OR($H594="",$J594=""),"",IFERROR(VLOOKUP(ROUND($J594,0),_CONFIG_Model_Settings!$D$154:$E$158,2,0),""))</f>
        <v>0.5</v>
      </c>
      <c r="BG594">
        <f>IFERROR(IF(OR($H594="",$K594=""),"",ROUND('Company Profile'!$B$113*INDEX(_CONFIG_Model_Settings!$H$154:$H$158,MATCH(ROUND($K594,0),_CONFIG_Model_Settings!$G$154:$G$158,0)),0)),0)</f>
        <v>1875</v>
      </c>
      <c r="BH594">
        <f t="shared" si="75"/>
        <v>937.5</v>
      </c>
      <c r="BI594">
        <f t="shared" si="76"/>
        <v>937.5</v>
      </c>
      <c r="BJ594">
        <f>IF($E594="","",IFERROR(VLOOKUP($C594,_CONFIG_Risk_Calibration!$A$5:$H$21,2,FALSE),3))</f>
        <v>3</v>
      </c>
      <c r="BK594">
        <f>IF($E594="","",IFERROR(VLOOKUP($C594,_CONFIG_Risk_Calibration!$A$5:$H$21,3,FALSE),0))</f>
        <v>0</v>
      </c>
      <c r="BL594">
        <f>IF($E594="","",IFERROR(VLOOKUP($C594,_CONFIG_Risk_Calibration!$A$5:$H$21,4,FALSE),3))</f>
        <v>3</v>
      </c>
      <c r="BM594">
        <f>IF($E594="","",IFERROR(VLOOKUP($C594,_CONFIG_Risk_Calibration!$A$5:$H$21,5,FALSE),3))</f>
        <v>4</v>
      </c>
      <c r="BN594" t="str">
        <f>IF($E594="","",IFERROR(VLOOKUP($C594,_CONFIG_Risk_Calibration!$A$5:$H$21,6,FALSE),"No"))</f>
        <v>Yes</v>
      </c>
      <c r="BO594">
        <f>IF($E594="","",IFERROR(VLOOKUP($C594,_CONFIG_Risk_Calibration!$A$5:$H$21,7,FALSE),1))</f>
        <v>4</v>
      </c>
      <c r="BP594">
        <f>IF($H594="","",MAX(1,MIN(5,((6-$H594)*0.45)+($BJ594*0.2)+('Resilience &amp; Risk Scenario'!$B$7*0.15)+($BK594*0.1)+($BL594*0.05)+(IF($BB594="Fast",5,IF($BB594="Slow",1,3))*0.05))))</f>
        <v>3.6</v>
      </c>
      <c r="BQ594">
        <f t="shared" si="77"/>
        <v>4.5</v>
      </c>
      <c r="BR594">
        <f t="shared" si="78"/>
        <v>16.2</v>
      </c>
      <c r="BS594">
        <f t="shared" si="79"/>
        <v>17.82</v>
      </c>
      <c r="BT594" t="str">
        <f>IFERROR(INDEX(_REF_Capability_Bridge!$D:$D,MATCH($C594&amp;"|"&amp;$D594,_REF_Capability_Bridge!$J:$J,0)),IFERROR(INDEX(_REF_Capability_Bridge!$D:$D,MATCH($C594&amp;"|",_REF_Capability_Bridge!$J:$J,0)),"CAP_GENERIC"))</f>
        <v>CAP_FRAUD_MONITORING</v>
      </c>
      <c r="BU594">
        <f>IFERROR(IFERROR(INDEX(_ENGINE_Relevance!$L:$L,MATCH($BT594,_ENGINE_Relevance!$B:$B,0)),1),1)</f>
        <v>1</v>
      </c>
      <c r="BV594" t="str">
        <f>IFERROR(INDEX(_REF_Capability_Bridge!$A:$A,MATCH($C594&amp;"|"&amp;$D594,_REF_Capability_Bridge!$J:$J,0)),IFERROR(INDEX(_REF_Capability_Bridge!$A:$A,MATCH($C594&amp;"|",_REF_Capability_Bridge!$J:$J,0)),"No bridge"))</f>
        <v>BRG-031</v>
      </c>
      <c r="BW594" t="str">
        <f t="shared" si="80"/>
        <v>Capability relevance neutral</v>
      </c>
      <c r="BX594" t="str">
        <f t="shared" si="81"/>
        <v>Initial / absent</v>
      </c>
      <c r="BY594" t="str">
        <f>IF($E594="","",IFERROR(INDEX(_REF_Treatment_Library!$A$2:$A$296,MATCH(1,INDEX((_REF_Treatment_Library!$B$2:$B$296=$BT594)*(_REF_Treatment_Library!$C$2:$C$296=PV_Canonical_Industry)*(_REF_Treatment_Library!$E$2:$E$296&lt;=N($H594))*(_REF_Treatment_Library!$F$2:$F$296&gt;=N($H594))*(_REF_Treatment_Library!$O$2:$O$296="Yes"),0),0)),IFERROR(INDEX(_REF_Treatment_Library!$A$2:$A$296,MATCH(1,INDEX((_REF_Treatment_Library!$B$2:$B$296=$BT594)*(_REF_Treatment_Library!$C$2:$C$296="All")*(_REF_Treatment_Library!$E$2:$E$296&lt;=N($H594))*(_REF_Treatment_Library!$F$2:$F$296&gt;=N($H594))*(_REF_Treatment_Library!$O$2:$O$296="Yes"),0),0)),"")))</f>
        <v>TRT-FRAUD_MONITORING-INITIAL</v>
      </c>
      <c r="BZ594" t="str">
        <f>IF($BY594="","",IFERROR(INDEX(_REF_Treatment_Library!$H$2:$H$296,MATCH($BY594,_REF_Treatment_Library!$A$2:$A$296,0)),""))</f>
        <v>Establish</v>
      </c>
      <c r="CA594" t="str">
        <f>IF($BY594="","",IFERROR(INDEX(_REF_Treatment_Library!$I$2:$I$296,MATCH($BY594,_REF_Treatment_Library!$A$2:$A$296,0)),""))</f>
        <v>Establish baseline controls for Fraud monitoring</v>
      </c>
      <c r="CB594" t="str">
        <f>IF($BY594="","",IFERROR(INDEX(_REF_Treatment_Library!$K$2:$K$296,MATCH($BY594,_REF_Treatment_Library!$A$2:$A$296,0)),""))</f>
        <v>Named owner, baseline process, minimum control checklist, first evidence package</v>
      </c>
      <c r="CC594" t="str">
        <f>IF($BY594="","",IFERROR(INDEX(_REF_Treatment_Library!$L$2:$L$296,MATCH($BY594,_REF_Treatment_Library!$A$2:$A$296,0)),""))</f>
        <v>Owner assigned; baseline evidence coverage; open critical gaps</v>
      </c>
      <c r="CD594" t="str">
        <f t="shared" si="82"/>
        <v>Treatment by capability=CAP_FRAUD_MONITORING; band=Initial / absent; score=0.0; treatment=Establish</v>
      </c>
      <c r="CE594" t="str">
        <f>IF($E594="","",IFERROR(INDEX(_REF_Industry_Wording!$A$2:$A$70,MATCH(1,INDEX((_REF_Industry_Wording!$B$2:$B$70=$BT594)*(_REF_Industry_Wording!$C$2:$C$70=PV_Canonical_Industry)*(_REF_Industry_Wording!$K$2:$K$70="Yes"),0),0)),IFERROR(INDEX(_REF_Industry_Wording!$A$2:$A$70,MATCH(1,INDEX((_REF_Industry_Wording!$B$2:$B$70=$BT594)*(_REF_Industry_Wording!$C$2:$C$70="All")*(_REF_Industry_Wording!$K$2:$K$70="Yes"),0),0)),"")))</f>
        <v>IW-ALL-FRAUD_MONITORING</v>
      </c>
      <c r="CF594" t="str">
        <f>IF($CE594="","",IFERROR(INDEX(_REF_Industry_Wording!$E$2:$E$70,MATCH($CE594,_REF_Industry_Wording!$A$2:$A$70,0)),""))</f>
        <v>Fraud monitoring weakness</v>
      </c>
      <c r="CG594" t="str">
        <f>IF($CE594="","",IFERROR(INDEX(_REF_Industry_Wording!$F$2:$F$70,MATCH($CE594,_REF_Industry_Wording!$A$2:$A$70,0)),""))</f>
        <v>Strengthen Fraud monitoring</v>
      </c>
      <c r="CH594" t="str">
        <f>IF($CE594="","",IFERROR(INDEX(_REF_Industry_Wording!$G$2:$G$70,MATCH($CE594,_REF_Industry_Wording!$A$2:$A$70,0)),""))</f>
        <v>Strengthen Fraud monitoring using the selected maturity treatment, crisis scenario and evidence requirements.</v>
      </c>
      <c r="CI594" t="str">
        <f>IF($CE594="","",IFERROR(INDEX(_REF_Industry_Wording!$H$2:$H$70,MATCH($CE594,_REF_Industry_Wording!$A$2:$A$70,0)),""))</f>
        <v>Fraud monitoring</v>
      </c>
      <c r="CJ594">
        <f>IF($CE594="","",IFERROR(INDEX(_REF_Industry_Wording!$I$2:$I$70,MATCH($CE594,_REF_Industry_Wording!$A$2:$A$70,0)),""))</f>
        <v>0</v>
      </c>
      <c r="CK594" t="str">
        <f>IF($CE594="","",IFERROR(INDEX(_REF_Industry_Wording!$J$2:$J$70,MATCH($CE594,_REF_Industry_Wording!$A$2:$A$70,0)),""))</f>
        <v>Fraud monitoring</v>
      </c>
      <c r="CL594" t="str">
        <f t="shared" si="83"/>
        <v>Wording by industry=0; capability=CAP_FRAUD_MONITORING; risk label=Fraud monitoring weakness</v>
      </c>
      <c r="CM594" t="str">
        <f t="shared" si="84"/>
        <v>RISK-ONT-0095</v>
      </c>
      <c r="CN594" t="str">
        <f t="shared" si="85"/>
        <v>RISK-EVT-0095</v>
      </c>
      <c r="CO594" t="str">
        <f t="shared" si="86"/>
        <v>Finance Procurement|Financial resilience|FINA-002|CAP_FRAUD_MONITORING</v>
      </c>
      <c r="CP594" t="str">
        <f t="shared" si="87"/>
        <v>Active</v>
      </c>
      <c r="CQ594" t="str">
        <f t="shared" si="88"/>
        <v>OK: capability-driven</v>
      </c>
      <c r="CR594" t="str">
        <f t="shared" si="89"/>
        <v>Risk ontology uses capability=CAP_FRAUD_MONITORING; bridge=BRG-031; treatment=TRT-FRAUD_MONITORING-INITIAL; wording=IW-ALL-FRAUD_MONITORING</v>
      </c>
      <c r="CS594" t="str">
        <f t="shared" si="90"/>
        <v>Yes</v>
      </c>
    </row>
    <row r="595" spans="1:97" ht="69.900000000000006" customHeight="1">
      <c r="A595">
        <f>IF(OR($B595&lt;&gt;"Yes",$BS595=""),"",SUMPRODUCT(($B$500:$B$923="Yes")*ISNUMBER($BS$500:$BS$923)*($BS$500:$BS$923&gt;$BS595))+COUNTIFS($B$500:$B595,"Yes",$BS$500:$BS595,$BS595))</f>
        <v>289</v>
      </c>
      <c r="B595" t="str">
        <f t="shared" si="59"/>
        <v>Yes</v>
      </c>
      <c r="C595" t="s">
        <v>1401</v>
      </c>
      <c r="D595" t="s">
        <v>1403</v>
      </c>
      <c r="E595" t="s">
        <v>1413</v>
      </c>
      <c r="F595" t="s">
        <v>3683</v>
      </c>
      <c r="G595" t="str">
        <f>IF($H595="","",IFERROR(INDEX(_ENGINE_Risk!$H$5:$M$499,MATCH($E595,_ENGINE_Risk!$A$5:$A$499,0),$H595+1),""))</f>
        <v>Severe risk: liquidity buffers, credit lines, emergency funding options and covenant monitoring is not reliably controlled. During Financial / liquidity shock; Supplier disruption; Fraud risk, the organization may face cash-flow stress, uncontrolled spend, supplier payment disruption and weak financial visibility with limited visibility or accountability.</v>
      </c>
      <c r="H595">
        <f>IFERROR(VALUE(INDEX(_DATA_Assessment_Model!$H$5:$H$884,MATCH($E595,_DATA_Assessment_Model!$A$5:$A$884,0))),"")</f>
        <v>0</v>
      </c>
      <c r="I595" t="str">
        <f>IF($H595="","",IFERROR(INDEX(_DATA_Assessment_Model!$L$5:$L$884,MATCH($E595,_DATA_Assessment_Model!$A$5:$A$884,0)),IF($H595&lt;=1,"Critical",IF($H595=2,"High",IF($H595=3,"Medium",IF($H595=4,"Low","Resilient"))))))</f>
        <v>Critical</v>
      </c>
      <c r="J595">
        <f t="shared" si="60"/>
        <v>3.6</v>
      </c>
      <c r="K595">
        <f t="shared" si="61"/>
        <v>4.0999999999999996</v>
      </c>
      <c r="L595">
        <f t="shared" si="62"/>
        <v>14.76</v>
      </c>
      <c r="M595">
        <f t="shared" si="63"/>
        <v>3</v>
      </c>
      <c r="N595">
        <f>IF($H595="","",IFERROR(INDEX(_ENGINE_Risk!$T$5:$Y$499,MATCH($E595,_ENGINE_Risk!$A$5:$A$499,0),$H595+1),""))</f>
        <v>3</v>
      </c>
      <c r="O595">
        <f t="shared" si="64"/>
        <v>4</v>
      </c>
      <c r="P595">
        <f t="shared" si="65"/>
        <v>5</v>
      </c>
      <c r="Q595">
        <f t="shared" si="66"/>
        <v>5</v>
      </c>
      <c r="R595">
        <f t="shared" si="67"/>
        <v>4.5</v>
      </c>
      <c r="S595">
        <f t="shared" si="68"/>
        <v>1.54</v>
      </c>
      <c r="T595" t="str">
        <f>IF($H595="","",IFERROR(INDEX(_ENGINE_Risk!$N$5:$S$499,MATCH($E595,_ENGINE_Risk!$A$5:$A$499,0),$H595+1),""))</f>
        <v>Create an immediate risk owner, minimum control baseline and fallback procedure for liquidity buffers, credit lines, emergency funding options and covenant monitoring. Add it to the crisis risk register and collect first evidence.</v>
      </c>
      <c r="U595">
        <f>IFERROR(INDEX(_DATA_Assessment_Model!$G$5:$G$884,MATCH($E595,_DATA_Assessment_Model!$A$5:$A$884,0)),"")</f>
        <v>3</v>
      </c>
      <c r="V595">
        <f>IFERROR(INDEX(_DATA_Assessment_Model!$W$5:$W$884,MATCH($E595,_DATA_Assessment_Model!$A$5:$A$884,0)),"")</f>
        <v>4</v>
      </c>
      <c r="W595">
        <f>IFERROR(INDEX(_DATA_Assessment_Model!$X$5:$X$884,MATCH($E595,_DATA_Assessment_Model!$A$5:$A$884,0)),"")</f>
        <v>5</v>
      </c>
      <c r="X595">
        <f>IFERROR(INDEX(_DATA_Assessment_Model!$Y$5:$Y$884,MATCH($E595,_DATA_Assessment_Model!$A$5:$A$884,0)),"")</f>
        <v>5</v>
      </c>
      <c r="Y595" t="s">
        <v>1408</v>
      </c>
      <c r="Z595" t="s">
        <v>5918</v>
      </c>
      <c r="AA595" t="s">
        <v>1415</v>
      </c>
      <c r="AB595">
        <f>IFERROR(INDEX(_DATA_Assessment_Model!$U$5:$U$884,MATCH($E595,_DATA_Assessment_Model!$A$5:$A$884,0)),"")</f>
        <v>0</v>
      </c>
      <c r="AF595" t="s">
        <v>1414</v>
      </c>
      <c r="AO595">
        <f>IF($B595="Yes",IF(IFERROR(INDEX(_ENGINE_Crisis!$F$501:$F$517,MATCH($C595,_ENGINE_Crisis!$A$501:$A$517,0)),1)=0,1,IFERROR(INDEX(_ENGINE_Crisis!$F$501:$F$517,MATCH($C595,_ENGINE_Crisis!$A$501:$A$517,0)),1)),"")</f>
        <v>1</v>
      </c>
      <c r="AP595">
        <f t="shared" si="69"/>
        <v>14.8</v>
      </c>
      <c r="AQ595">
        <f t="shared" si="70"/>
        <v>1.54</v>
      </c>
      <c r="AR595" t="str">
        <f>IFERROR(INDEX(_ENGINE_Crisis!$E$41:$E$700,MATCH('Resilience &amp; Risk Scenario'!$B$6&amp;"|"&amp;$C595,_ENGINE_Crisis!$I$41:$I$700,0)),"")</f>
        <v/>
      </c>
      <c r="AS595" t="str">
        <f>IFERROR(INDEX(_ENGINE_Crisis!$G$41:$G$700,MATCH('Resilience &amp; Risk Scenario'!$B$6&amp;"|"&amp;$C595,_ENGINE_Crisis!$I$41:$I$700,0)),"")</f>
        <v/>
      </c>
      <c r="AT595" t="str">
        <f>IFERROR(INDEX(_ENGINE_Initiatives!$A$5:$A$532,MATCH(1,INDEX((_ENGINE_Initiatives!$B$5:$B$532=$C595)*(_ENGINE_Initiatives!$C$5:$C$532=$D595),0),0)),"")</f>
        <v>INI-015</v>
      </c>
      <c r="AU595" t="str">
        <f>IFERROR(INDEX(_ENGINE_Initiatives!$F$5:$F$532,MATCH(1,INDEX((_ENGINE_Initiatives!$B$5:$B$532=$C595)*(_ENGINE_Initiatives!$C$5:$C$532=$D595),0),0)),"")</f>
        <v>Implement cash-flow resilience and financial scenario planning</v>
      </c>
      <c r="AV595">
        <f>IFERROR(INDEX(_ENGINE_Initiatives!$AC$5:$AC$532,MATCH(1,INDEX((_ENGINE_Initiatives!$B$5:$B$532=$C595)*(_ENGINE_Initiatives!$C$5:$C$532=$D595),0),0)),"")</f>
        <v>1.74</v>
      </c>
      <c r="AW595" t="str">
        <f>IFERROR(INDEX(_ENGINE_Initiatives!$AE$5:$AE$532,MATCH(1,INDEX((_ENGINE_Initiatives!$B$5:$B$532=$C595)*(_ENGINE_Initiatives!$C$5:$C$532=$D595),0),0)),"")</f>
        <v>6-12 months</v>
      </c>
      <c r="AX595">
        <f>IF($B595="Yes",IFERROR((IF(SUMIFS(_REF_Model_Content!$E$1:$E$613,_REF_Model_Content!$A$1:$A$613,PV_Canonical_Industry,_REF_Model_Content!$B$1:$B$613,$C595)=0,1,SUMIFS(_REF_Model_Content!$E$1:$E$613,_REF_Model_Content!$A$1:$A$613,PV_Canonical_Industry,_REF_Model_Content!$B$1:$B$613,$C595))*IFERROR($BU595,1)),1),"")</f>
        <v>1</v>
      </c>
      <c r="AY595">
        <f t="shared" si="71"/>
        <v>14.8</v>
      </c>
      <c r="AZ595">
        <f t="shared" si="72"/>
        <v>1.54</v>
      </c>
      <c r="BB595" t="str">
        <f>IF($H595="","",IFERROR(INDEX(_ENGINE_Risk!$AE$5:$AE$499,MATCH($E595,_ENGINE_Risk!$A$5:$A$499,0)),"Medium"))</f>
        <v>Medium</v>
      </c>
      <c r="BC595">
        <f t="shared" si="73"/>
        <v>1</v>
      </c>
      <c r="BD595">
        <f t="shared" si="74"/>
        <v>1.54</v>
      </c>
      <c r="BF595">
        <f>IF(OR($H595="",$J595=""),"",IFERROR(VLOOKUP(ROUND($J595,0),_CONFIG_Model_Settings!$D$154:$E$158,2,0),""))</f>
        <v>0.5</v>
      </c>
      <c r="BG595">
        <f>IFERROR(IF(OR($H595="",$K595=""),"",ROUND('Company Profile'!$B$113*INDEX(_CONFIG_Model_Settings!$H$154:$H$158,MATCH(ROUND($K595,0),_CONFIG_Model_Settings!$G$154:$G$158,0)),0)),0)</f>
        <v>875</v>
      </c>
      <c r="BH595">
        <f t="shared" si="75"/>
        <v>437.5</v>
      </c>
      <c r="BI595">
        <f t="shared" si="76"/>
        <v>437.5</v>
      </c>
      <c r="BJ595">
        <f>IF($E595="","",IFERROR(VLOOKUP($C595,_CONFIG_Risk_Calibration!$A$5:$H$21,2,FALSE),3))</f>
        <v>3</v>
      </c>
      <c r="BK595">
        <f>IF($E595="","",IFERROR(VLOOKUP($C595,_CONFIG_Risk_Calibration!$A$5:$H$21,3,FALSE),0))</f>
        <v>0</v>
      </c>
      <c r="BL595">
        <f>IF($E595="","",IFERROR(VLOOKUP($C595,_CONFIG_Risk_Calibration!$A$5:$H$21,4,FALSE),3))</f>
        <v>3</v>
      </c>
      <c r="BM595">
        <f>IF($E595="","",IFERROR(VLOOKUP($C595,_CONFIG_Risk_Calibration!$A$5:$H$21,5,FALSE),3))</f>
        <v>4</v>
      </c>
      <c r="BN595" t="str">
        <f>IF($E595="","",IFERROR(VLOOKUP($C595,_CONFIG_Risk_Calibration!$A$5:$H$21,6,FALSE),"No"))</f>
        <v>Yes</v>
      </c>
      <c r="BO595">
        <f>IF($E595="","",IFERROR(VLOOKUP($C595,_CONFIG_Risk_Calibration!$A$5:$H$21,7,FALSE),1))</f>
        <v>4</v>
      </c>
      <c r="BP595">
        <f>IF($H595="","",MAX(1,MIN(5,((6-$H595)*0.45)+($BJ595*0.2)+('Resilience &amp; Risk Scenario'!$B$7*0.15)+($BK595*0.1)+($BL595*0.05)+(IF($BB595="Fast",5,IF($BB595="Slow",1,3))*0.05))))</f>
        <v>3.6</v>
      </c>
      <c r="BQ595">
        <f t="shared" si="77"/>
        <v>4.0999999999999996</v>
      </c>
      <c r="BR595">
        <f t="shared" si="78"/>
        <v>14.76</v>
      </c>
      <c r="BS595">
        <f t="shared" si="79"/>
        <v>16.239999999999998</v>
      </c>
      <c r="BT595" t="str">
        <f>IFERROR(INDEX(_REF_Capability_Bridge!$D:$D,MATCH($C595&amp;"|"&amp;$D595,_REF_Capability_Bridge!$J:$J,0)),IFERROR(INDEX(_REF_Capability_Bridge!$D:$D,MATCH($C595&amp;"|",_REF_Capability_Bridge!$J:$J,0)),"CAP_GENERIC"))</f>
        <v>CAP_FRAUD_MONITORING</v>
      </c>
      <c r="BU595">
        <f>IFERROR(IFERROR(INDEX(_ENGINE_Relevance!$L:$L,MATCH($BT595,_ENGINE_Relevance!$B:$B,0)),1),1)</f>
        <v>1</v>
      </c>
      <c r="BV595" t="str">
        <f>IFERROR(INDEX(_REF_Capability_Bridge!$A:$A,MATCH($C595&amp;"|"&amp;$D595,_REF_Capability_Bridge!$J:$J,0)),IFERROR(INDEX(_REF_Capability_Bridge!$A:$A,MATCH($C595&amp;"|",_REF_Capability_Bridge!$J:$J,0)),"No bridge"))</f>
        <v>BRG-031</v>
      </c>
      <c r="BW595" t="str">
        <f t="shared" si="80"/>
        <v>Capability relevance neutral</v>
      </c>
      <c r="BX595" t="str">
        <f t="shared" si="81"/>
        <v>Initial / absent</v>
      </c>
      <c r="BY595" t="str">
        <f>IF($E595="","",IFERROR(INDEX(_REF_Treatment_Library!$A$2:$A$296,MATCH(1,INDEX((_REF_Treatment_Library!$B$2:$B$296=$BT595)*(_REF_Treatment_Library!$C$2:$C$296=PV_Canonical_Industry)*(_REF_Treatment_Library!$E$2:$E$296&lt;=N($H595))*(_REF_Treatment_Library!$F$2:$F$296&gt;=N($H595))*(_REF_Treatment_Library!$O$2:$O$296="Yes"),0),0)),IFERROR(INDEX(_REF_Treatment_Library!$A$2:$A$296,MATCH(1,INDEX((_REF_Treatment_Library!$B$2:$B$296=$BT595)*(_REF_Treatment_Library!$C$2:$C$296="All")*(_REF_Treatment_Library!$E$2:$E$296&lt;=N($H595))*(_REF_Treatment_Library!$F$2:$F$296&gt;=N($H595))*(_REF_Treatment_Library!$O$2:$O$296="Yes"),0),0)),"")))</f>
        <v>TRT-FRAUD_MONITORING-INITIAL</v>
      </c>
      <c r="BZ595" t="str">
        <f>IF($BY595="","",IFERROR(INDEX(_REF_Treatment_Library!$H$2:$H$296,MATCH($BY595,_REF_Treatment_Library!$A$2:$A$296,0)),""))</f>
        <v>Establish</v>
      </c>
      <c r="CA595" t="str">
        <f>IF($BY595="","",IFERROR(INDEX(_REF_Treatment_Library!$I$2:$I$296,MATCH($BY595,_REF_Treatment_Library!$A$2:$A$296,0)),""))</f>
        <v>Establish baseline controls for Fraud monitoring</v>
      </c>
      <c r="CB595" t="str">
        <f>IF($BY595="","",IFERROR(INDEX(_REF_Treatment_Library!$K$2:$K$296,MATCH($BY595,_REF_Treatment_Library!$A$2:$A$296,0)),""))</f>
        <v>Named owner, baseline process, minimum control checklist, first evidence package</v>
      </c>
      <c r="CC595" t="str">
        <f>IF($BY595="","",IFERROR(INDEX(_REF_Treatment_Library!$L$2:$L$296,MATCH($BY595,_REF_Treatment_Library!$A$2:$A$296,0)),""))</f>
        <v>Owner assigned; baseline evidence coverage; open critical gaps</v>
      </c>
      <c r="CD595" t="str">
        <f t="shared" si="82"/>
        <v>Treatment by capability=CAP_FRAUD_MONITORING; band=Initial / absent; score=0.0; treatment=Establish</v>
      </c>
      <c r="CE595" t="str">
        <f>IF($E595="","",IFERROR(INDEX(_REF_Industry_Wording!$A$2:$A$70,MATCH(1,INDEX((_REF_Industry_Wording!$B$2:$B$70=$BT595)*(_REF_Industry_Wording!$C$2:$C$70=PV_Canonical_Industry)*(_REF_Industry_Wording!$K$2:$K$70="Yes"),0),0)),IFERROR(INDEX(_REF_Industry_Wording!$A$2:$A$70,MATCH(1,INDEX((_REF_Industry_Wording!$B$2:$B$70=$BT595)*(_REF_Industry_Wording!$C$2:$C$70="All")*(_REF_Industry_Wording!$K$2:$K$70="Yes"),0),0)),"")))</f>
        <v>IW-ALL-FRAUD_MONITORING</v>
      </c>
      <c r="CF595" t="str">
        <f>IF($CE595="","",IFERROR(INDEX(_REF_Industry_Wording!$E$2:$E$70,MATCH($CE595,_REF_Industry_Wording!$A$2:$A$70,0)),""))</f>
        <v>Fraud monitoring weakness</v>
      </c>
      <c r="CG595" t="str">
        <f>IF($CE595="","",IFERROR(INDEX(_REF_Industry_Wording!$F$2:$F$70,MATCH($CE595,_REF_Industry_Wording!$A$2:$A$70,0)),""))</f>
        <v>Strengthen Fraud monitoring</v>
      </c>
      <c r="CH595" t="str">
        <f>IF($CE595="","",IFERROR(INDEX(_REF_Industry_Wording!$G$2:$G$70,MATCH($CE595,_REF_Industry_Wording!$A$2:$A$70,0)),""))</f>
        <v>Strengthen Fraud monitoring using the selected maturity treatment, crisis scenario and evidence requirements.</v>
      </c>
      <c r="CI595" t="str">
        <f>IF($CE595="","",IFERROR(INDEX(_REF_Industry_Wording!$H$2:$H$70,MATCH($CE595,_REF_Industry_Wording!$A$2:$A$70,0)),""))</f>
        <v>Fraud monitoring</v>
      </c>
      <c r="CJ595">
        <f>IF($CE595="","",IFERROR(INDEX(_REF_Industry_Wording!$I$2:$I$70,MATCH($CE595,_REF_Industry_Wording!$A$2:$A$70,0)),""))</f>
        <v>0</v>
      </c>
      <c r="CK595" t="str">
        <f>IF($CE595="","",IFERROR(INDEX(_REF_Industry_Wording!$J$2:$J$70,MATCH($CE595,_REF_Industry_Wording!$A$2:$A$70,0)),""))</f>
        <v>Fraud monitoring</v>
      </c>
      <c r="CL595" t="str">
        <f t="shared" si="83"/>
        <v>Wording by industry=0; capability=CAP_FRAUD_MONITORING; risk label=Fraud monitoring weakness</v>
      </c>
      <c r="CM595" t="str">
        <f t="shared" si="84"/>
        <v>RISK-ONT-0096</v>
      </c>
      <c r="CN595" t="str">
        <f t="shared" si="85"/>
        <v>RISK-EVT-0096</v>
      </c>
      <c r="CO595" t="str">
        <f t="shared" si="86"/>
        <v>Finance Procurement|Financial resilience|FINA-003|CAP_FRAUD_MONITORING</v>
      </c>
      <c r="CP595" t="str">
        <f t="shared" si="87"/>
        <v>Active</v>
      </c>
      <c r="CQ595" t="str">
        <f t="shared" si="88"/>
        <v>OK: capability-driven</v>
      </c>
      <c r="CR595" t="str">
        <f t="shared" si="89"/>
        <v>Risk ontology uses capability=CAP_FRAUD_MONITORING; bridge=BRG-031; treatment=TRT-FRAUD_MONITORING-INITIAL; wording=IW-ALL-FRAUD_MONITORING</v>
      </c>
      <c r="CS595" t="str">
        <f t="shared" si="90"/>
        <v>Yes</v>
      </c>
    </row>
    <row r="596" spans="1:97" ht="69.900000000000006" customHeight="1">
      <c r="A596">
        <f>IF(OR($B596&lt;&gt;"Yes",$BS596=""),"",SUMPRODUCT(($B$500:$B$923="Yes")*ISNUMBER($BS$500:$BS$923)*($BS$500:$BS$923&gt;$BS596))+COUNTIFS($B$500:$B596,"Yes",$BS$500:$BS596,$BS596))</f>
        <v>231</v>
      </c>
      <c r="B596" t="str">
        <f t="shared" si="59"/>
        <v>Yes</v>
      </c>
      <c r="C596" t="s">
        <v>1401</v>
      </c>
      <c r="D596" t="s">
        <v>1403</v>
      </c>
      <c r="E596" t="s">
        <v>1423</v>
      </c>
      <c r="F596" t="s">
        <v>3683</v>
      </c>
      <c r="G596" t="str">
        <f>IF($H596="","",IFERROR(INDEX(_ENGINE_Risk!$H$5:$M$499,MATCH($E596,_ENGINE_Risk!$A$5:$A$499,0),$H596+1),""))</f>
        <v>Severe risk: driver-based financial forecasting linked to sales, delivery, workforce, inventory and production is not reliably controlled. During Financial / liquidity shock; Supplier disruption; Fraud risk, the organization may face cash-flow stress, uncontrolled spend, supplier payment disruption and weak financial visibility with limited visibility or accountability.</v>
      </c>
      <c r="H596">
        <f>IFERROR(VALUE(INDEX(_DATA_Assessment_Model!$H$5:$H$884,MATCH($E596,_DATA_Assessment_Model!$A$5:$A$884,0))),"")</f>
        <v>0</v>
      </c>
      <c r="I596" t="str">
        <f>IF($H596="","",IFERROR(INDEX(_DATA_Assessment_Model!$L$5:$L$884,MATCH($E596,_DATA_Assessment_Model!$A$5:$A$884,0)),IF($H596&lt;=1,"Critical",IF($H596=2,"High",IF($H596=3,"Medium",IF($H596=4,"Low","Resilient"))))))</f>
        <v>Critical</v>
      </c>
      <c r="J596">
        <f t="shared" si="60"/>
        <v>3.6</v>
      </c>
      <c r="K596">
        <f t="shared" si="61"/>
        <v>4.5</v>
      </c>
      <c r="L596">
        <f t="shared" si="62"/>
        <v>16.2</v>
      </c>
      <c r="M596">
        <f t="shared" si="63"/>
        <v>4</v>
      </c>
      <c r="N596">
        <f>IF($H596="","",IFERROR(INDEX(_ENGINE_Risk!$T$5:$Y$499,MATCH($E596,_ENGINE_Risk!$A$5:$A$499,0),$H596+1),""))</f>
        <v>3</v>
      </c>
      <c r="O596">
        <f t="shared" si="64"/>
        <v>4.666666666666667</v>
      </c>
      <c r="P596">
        <f t="shared" si="65"/>
        <v>5</v>
      </c>
      <c r="Q596">
        <f t="shared" si="66"/>
        <v>5</v>
      </c>
      <c r="R596">
        <f t="shared" si="67"/>
        <v>4.5</v>
      </c>
      <c r="S596">
        <f t="shared" si="68"/>
        <v>1.6</v>
      </c>
      <c r="T596" t="str">
        <f>IF($H596="","",IFERROR(INDEX(_ENGINE_Risk!$N$5:$S$499,MATCH($E596,_ENGINE_Risk!$A$5:$A$499,0),$H596+1),""))</f>
        <v>Create an immediate risk owner, minimum control baseline and fallback procedure for driver-based financial forecasting linked to sales, delivery, workforce, inventory and production. Add it to the crisis risk register and collect first evidence.</v>
      </c>
      <c r="U596">
        <f>IFERROR(INDEX(_DATA_Assessment_Model!$G$5:$G$884,MATCH($E596,_DATA_Assessment_Model!$A$5:$A$884,0)),"")</f>
        <v>5</v>
      </c>
      <c r="V596">
        <f>IFERROR(INDEX(_DATA_Assessment_Model!$W$5:$W$884,MATCH($E596,_DATA_Assessment_Model!$A$5:$A$884,0)),"")</f>
        <v>4</v>
      </c>
      <c r="W596">
        <f>IFERROR(INDEX(_DATA_Assessment_Model!$X$5:$X$884,MATCH($E596,_DATA_Assessment_Model!$A$5:$A$884,0)),"")</f>
        <v>5</v>
      </c>
      <c r="X596">
        <f>IFERROR(INDEX(_DATA_Assessment_Model!$Y$5:$Y$884,MATCH($E596,_DATA_Assessment_Model!$A$5:$A$884,0)),"")</f>
        <v>5</v>
      </c>
      <c r="Y596" t="s">
        <v>1408</v>
      </c>
      <c r="Z596" t="s">
        <v>5918</v>
      </c>
      <c r="AA596" t="s">
        <v>1425</v>
      </c>
      <c r="AB596">
        <f>IFERROR(INDEX(_DATA_Assessment_Model!$U$5:$U$884,MATCH($E596,_DATA_Assessment_Model!$A$5:$A$884,0)),"")</f>
        <v>0</v>
      </c>
      <c r="AF596" t="s">
        <v>1424</v>
      </c>
      <c r="AO596">
        <f>IF($B596="Yes",IF(IFERROR(INDEX(_ENGINE_Crisis!$F$501:$F$517,MATCH($C596,_ENGINE_Crisis!$A$501:$A$517,0)),1)=0,1,IFERROR(INDEX(_ENGINE_Crisis!$F$501:$F$517,MATCH($C596,_ENGINE_Crisis!$A$501:$A$517,0)),1)),"")</f>
        <v>1</v>
      </c>
      <c r="AP596">
        <f t="shared" si="69"/>
        <v>16.2</v>
      </c>
      <c r="AQ596">
        <f t="shared" si="70"/>
        <v>1.6</v>
      </c>
      <c r="AR596" t="str">
        <f>IFERROR(INDEX(_ENGINE_Crisis!$E$41:$E$700,MATCH('Resilience &amp; Risk Scenario'!$B$6&amp;"|"&amp;$C596,_ENGINE_Crisis!$I$41:$I$700,0)),"")</f>
        <v/>
      </c>
      <c r="AS596" t="str">
        <f>IFERROR(INDEX(_ENGINE_Crisis!$G$41:$G$700,MATCH('Resilience &amp; Risk Scenario'!$B$6&amp;"|"&amp;$C596,_ENGINE_Crisis!$I$41:$I$700,0)),"")</f>
        <v/>
      </c>
      <c r="AT596" t="str">
        <f>IFERROR(INDEX(_ENGINE_Initiatives!$A$5:$A$532,MATCH(1,INDEX((_ENGINE_Initiatives!$B$5:$B$532=$C596)*(_ENGINE_Initiatives!$C$5:$C$532=$D596),0),0)),"")</f>
        <v>INI-015</v>
      </c>
      <c r="AU596" t="str">
        <f>IFERROR(INDEX(_ENGINE_Initiatives!$F$5:$F$532,MATCH(1,INDEX((_ENGINE_Initiatives!$B$5:$B$532=$C596)*(_ENGINE_Initiatives!$C$5:$C$532=$D596),0),0)),"")</f>
        <v>Implement cash-flow resilience and financial scenario planning</v>
      </c>
      <c r="AV596">
        <f>IFERROR(INDEX(_ENGINE_Initiatives!$AC$5:$AC$532,MATCH(1,INDEX((_ENGINE_Initiatives!$B$5:$B$532=$C596)*(_ENGINE_Initiatives!$C$5:$C$532=$D596),0),0)),"")</f>
        <v>1.74</v>
      </c>
      <c r="AW596" t="str">
        <f>IFERROR(INDEX(_ENGINE_Initiatives!$AE$5:$AE$532,MATCH(1,INDEX((_ENGINE_Initiatives!$B$5:$B$532=$C596)*(_ENGINE_Initiatives!$C$5:$C$532=$D596),0),0)),"")</f>
        <v>6-12 months</v>
      </c>
      <c r="AX596">
        <f>IF($B596="Yes",IFERROR((IF(SUMIFS(_REF_Model_Content!$E$1:$E$613,_REF_Model_Content!$A$1:$A$613,PV_Canonical_Industry,_REF_Model_Content!$B$1:$B$613,$C596)=0,1,SUMIFS(_REF_Model_Content!$E$1:$E$613,_REF_Model_Content!$A$1:$A$613,PV_Canonical_Industry,_REF_Model_Content!$B$1:$B$613,$C596))*IFERROR($BU596,1)),1),"")</f>
        <v>1</v>
      </c>
      <c r="AY596">
        <f t="shared" si="71"/>
        <v>16.2</v>
      </c>
      <c r="AZ596">
        <f t="shared" si="72"/>
        <v>1.6</v>
      </c>
      <c r="BB596" t="str">
        <f>IF($H596="","",IFERROR(INDEX(_ENGINE_Risk!$AE$5:$AE$499,MATCH($E596,_ENGINE_Risk!$A$5:$A$499,0)),"Medium"))</f>
        <v>Medium</v>
      </c>
      <c r="BC596">
        <f t="shared" si="73"/>
        <v>1</v>
      </c>
      <c r="BD596">
        <f t="shared" si="74"/>
        <v>1.6</v>
      </c>
      <c r="BF596">
        <f>IF(OR($H596="",$J596=""),"",IFERROR(VLOOKUP(ROUND($J596,0),_CONFIG_Model_Settings!$D$154:$E$158,2,0),""))</f>
        <v>0.5</v>
      </c>
      <c r="BG596">
        <f>IFERROR(IF(OR($H596="",$K596=""),"",ROUND('Company Profile'!$B$113*INDEX(_CONFIG_Model_Settings!$H$154:$H$158,MATCH(ROUND($K596,0),_CONFIG_Model_Settings!$G$154:$G$158,0)),0)),0)</f>
        <v>1875</v>
      </c>
      <c r="BH596">
        <f t="shared" si="75"/>
        <v>937.5</v>
      </c>
      <c r="BI596">
        <f t="shared" si="76"/>
        <v>937.5</v>
      </c>
      <c r="BJ596">
        <f>IF($E596="","",IFERROR(VLOOKUP($C596,_CONFIG_Risk_Calibration!$A$5:$H$21,2,FALSE),3))</f>
        <v>3</v>
      </c>
      <c r="BK596">
        <f>IF($E596="","",IFERROR(VLOOKUP($C596,_CONFIG_Risk_Calibration!$A$5:$H$21,3,FALSE),0))</f>
        <v>0</v>
      </c>
      <c r="BL596">
        <f>IF($E596="","",IFERROR(VLOOKUP($C596,_CONFIG_Risk_Calibration!$A$5:$H$21,4,FALSE),3))</f>
        <v>3</v>
      </c>
      <c r="BM596">
        <f>IF($E596="","",IFERROR(VLOOKUP($C596,_CONFIG_Risk_Calibration!$A$5:$H$21,5,FALSE),3))</f>
        <v>4</v>
      </c>
      <c r="BN596" t="str">
        <f>IF($E596="","",IFERROR(VLOOKUP($C596,_CONFIG_Risk_Calibration!$A$5:$H$21,6,FALSE),"No"))</f>
        <v>Yes</v>
      </c>
      <c r="BO596">
        <f>IF($E596="","",IFERROR(VLOOKUP($C596,_CONFIG_Risk_Calibration!$A$5:$H$21,7,FALSE),1))</f>
        <v>4</v>
      </c>
      <c r="BP596">
        <f>IF($H596="","",MAX(1,MIN(5,((6-$H596)*0.45)+($BJ596*0.2)+('Resilience &amp; Risk Scenario'!$B$7*0.15)+($BK596*0.1)+($BL596*0.05)+(IF($BB596="Fast",5,IF($BB596="Slow",1,3))*0.05))))</f>
        <v>3.6</v>
      </c>
      <c r="BQ596">
        <f t="shared" si="77"/>
        <v>4.5</v>
      </c>
      <c r="BR596">
        <f t="shared" si="78"/>
        <v>16.2</v>
      </c>
      <c r="BS596">
        <f t="shared" si="79"/>
        <v>17.82</v>
      </c>
      <c r="BT596" t="str">
        <f>IFERROR(INDEX(_REF_Capability_Bridge!$D:$D,MATCH($C596&amp;"|"&amp;$D596,_REF_Capability_Bridge!$J:$J,0)),IFERROR(INDEX(_REF_Capability_Bridge!$D:$D,MATCH($C596&amp;"|",_REF_Capability_Bridge!$J:$J,0)),"CAP_GENERIC"))</f>
        <v>CAP_FRAUD_MONITORING</v>
      </c>
      <c r="BU596">
        <f>IFERROR(IFERROR(INDEX(_ENGINE_Relevance!$L:$L,MATCH($BT596,_ENGINE_Relevance!$B:$B,0)),1),1)</f>
        <v>1</v>
      </c>
      <c r="BV596" t="str">
        <f>IFERROR(INDEX(_REF_Capability_Bridge!$A:$A,MATCH($C596&amp;"|"&amp;$D596,_REF_Capability_Bridge!$J:$J,0)),IFERROR(INDEX(_REF_Capability_Bridge!$A:$A,MATCH($C596&amp;"|",_REF_Capability_Bridge!$J:$J,0)),"No bridge"))</f>
        <v>BRG-031</v>
      </c>
      <c r="BW596" t="str">
        <f t="shared" si="80"/>
        <v>Capability relevance neutral</v>
      </c>
      <c r="BX596" t="str">
        <f t="shared" si="81"/>
        <v>Initial / absent</v>
      </c>
      <c r="BY596" t="str">
        <f>IF($E596="","",IFERROR(INDEX(_REF_Treatment_Library!$A$2:$A$296,MATCH(1,INDEX((_REF_Treatment_Library!$B$2:$B$296=$BT596)*(_REF_Treatment_Library!$C$2:$C$296=PV_Canonical_Industry)*(_REF_Treatment_Library!$E$2:$E$296&lt;=N($H596))*(_REF_Treatment_Library!$F$2:$F$296&gt;=N($H596))*(_REF_Treatment_Library!$O$2:$O$296="Yes"),0),0)),IFERROR(INDEX(_REF_Treatment_Library!$A$2:$A$296,MATCH(1,INDEX((_REF_Treatment_Library!$B$2:$B$296=$BT596)*(_REF_Treatment_Library!$C$2:$C$296="All")*(_REF_Treatment_Library!$E$2:$E$296&lt;=N($H596))*(_REF_Treatment_Library!$F$2:$F$296&gt;=N($H596))*(_REF_Treatment_Library!$O$2:$O$296="Yes"),0),0)),"")))</f>
        <v>TRT-FRAUD_MONITORING-INITIAL</v>
      </c>
      <c r="BZ596" t="str">
        <f>IF($BY596="","",IFERROR(INDEX(_REF_Treatment_Library!$H$2:$H$296,MATCH($BY596,_REF_Treatment_Library!$A$2:$A$296,0)),""))</f>
        <v>Establish</v>
      </c>
      <c r="CA596" t="str">
        <f>IF($BY596="","",IFERROR(INDEX(_REF_Treatment_Library!$I$2:$I$296,MATCH($BY596,_REF_Treatment_Library!$A$2:$A$296,0)),""))</f>
        <v>Establish baseline controls for Fraud monitoring</v>
      </c>
      <c r="CB596" t="str">
        <f>IF($BY596="","",IFERROR(INDEX(_REF_Treatment_Library!$K$2:$K$296,MATCH($BY596,_REF_Treatment_Library!$A$2:$A$296,0)),""))</f>
        <v>Named owner, baseline process, minimum control checklist, first evidence package</v>
      </c>
      <c r="CC596" t="str">
        <f>IF($BY596="","",IFERROR(INDEX(_REF_Treatment_Library!$L$2:$L$296,MATCH($BY596,_REF_Treatment_Library!$A$2:$A$296,0)),""))</f>
        <v>Owner assigned; baseline evidence coverage; open critical gaps</v>
      </c>
      <c r="CD596" t="str">
        <f t="shared" si="82"/>
        <v>Treatment by capability=CAP_FRAUD_MONITORING; band=Initial / absent; score=0.0; treatment=Establish</v>
      </c>
      <c r="CE596" t="str">
        <f>IF($E596="","",IFERROR(INDEX(_REF_Industry_Wording!$A$2:$A$70,MATCH(1,INDEX((_REF_Industry_Wording!$B$2:$B$70=$BT596)*(_REF_Industry_Wording!$C$2:$C$70=PV_Canonical_Industry)*(_REF_Industry_Wording!$K$2:$K$70="Yes"),0),0)),IFERROR(INDEX(_REF_Industry_Wording!$A$2:$A$70,MATCH(1,INDEX((_REF_Industry_Wording!$B$2:$B$70=$BT596)*(_REF_Industry_Wording!$C$2:$C$70="All")*(_REF_Industry_Wording!$K$2:$K$70="Yes"),0),0)),"")))</f>
        <v>IW-ALL-FRAUD_MONITORING</v>
      </c>
      <c r="CF596" t="str">
        <f>IF($CE596="","",IFERROR(INDEX(_REF_Industry_Wording!$E$2:$E$70,MATCH($CE596,_REF_Industry_Wording!$A$2:$A$70,0)),""))</f>
        <v>Fraud monitoring weakness</v>
      </c>
      <c r="CG596" t="str">
        <f>IF($CE596="","",IFERROR(INDEX(_REF_Industry_Wording!$F$2:$F$70,MATCH($CE596,_REF_Industry_Wording!$A$2:$A$70,0)),""))</f>
        <v>Strengthen Fraud monitoring</v>
      </c>
      <c r="CH596" t="str">
        <f>IF($CE596="","",IFERROR(INDEX(_REF_Industry_Wording!$G$2:$G$70,MATCH($CE596,_REF_Industry_Wording!$A$2:$A$70,0)),""))</f>
        <v>Strengthen Fraud monitoring using the selected maturity treatment, crisis scenario and evidence requirements.</v>
      </c>
      <c r="CI596" t="str">
        <f>IF($CE596="","",IFERROR(INDEX(_REF_Industry_Wording!$H$2:$H$70,MATCH($CE596,_REF_Industry_Wording!$A$2:$A$70,0)),""))</f>
        <v>Fraud monitoring</v>
      </c>
      <c r="CJ596">
        <f>IF($CE596="","",IFERROR(INDEX(_REF_Industry_Wording!$I$2:$I$70,MATCH($CE596,_REF_Industry_Wording!$A$2:$A$70,0)),""))</f>
        <v>0</v>
      </c>
      <c r="CK596" t="str">
        <f>IF($CE596="","",IFERROR(INDEX(_REF_Industry_Wording!$J$2:$J$70,MATCH($CE596,_REF_Industry_Wording!$A$2:$A$70,0)),""))</f>
        <v>Fraud monitoring</v>
      </c>
      <c r="CL596" t="str">
        <f t="shared" si="83"/>
        <v>Wording by industry=0; capability=CAP_FRAUD_MONITORING; risk label=Fraud monitoring weakness</v>
      </c>
      <c r="CM596" t="str">
        <f t="shared" si="84"/>
        <v>RISK-ONT-0097</v>
      </c>
      <c r="CN596" t="str">
        <f t="shared" si="85"/>
        <v>RISK-EVT-0097</v>
      </c>
      <c r="CO596" t="str">
        <f t="shared" si="86"/>
        <v>Finance Procurement|Financial resilience|FINA-004|CAP_FRAUD_MONITORING</v>
      </c>
      <c r="CP596" t="str">
        <f t="shared" si="87"/>
        <v>Active</v>
      </c>
      <c r="CQ596" t="str">
        <f t="shared" si="88"/>
        <v>OK: capability-driven</v>
      </c>
      <c r="CR596" t="str">
        <f t="shared" si="89"/>
        <v>Risk ontology uses capability=CAP_FRAUD_MONITORING; bridge=BRG-031; treatment=TRT-FRAUD_MONITORING-INITIAL; wording=IW-ALL-FRAUD_MONITORING</v>
      </c>
      <c r="CS596" t="str">
        <f t="shared" si="90"/>
        <v>Yes</v>
      </c>
    </row>
    <row r="597" spans="1:97" ht="69.900000000000006" customHeight="1">
      <c r="A597">
        <f>IF(OR($B597&lt;&gt;"Yes",$BS597=""),"",SUMPRODUCT(($B$500:$B$923="Yes")*ISNUMBER($BS$500:$BS$923)*($BS$500:$BS$923&gt;$BS597))+COUNTIFS($B$500:$B597,"Yes",$BS$500:$BS597,$BS597))</f>
        <v>290</v>
      </c>
      <c r="B597" t="str">
        <f t="shared" si="59"/>
        <v>Yes</v>
      </c>
      <c r="C597" t="s">
        <v>1401</v>
      </c>
      <c r="D597" t="s">
        <v>1403</v>
      </c>
      <c r="E597" t="s">
        <v>1427</v>
      </c>
      <c r="F597" t="s">
        <v>3683</v>
      </c>
      <c r="G597" t="str">
        <f>IF($H597="","",IFERROR(INDEX(_ENGINE_Risk!$H$5:$M$499,MATCH($E597,_ENGINE_Risk!$A$5:$A$499,0),$H597+1),""))</f>
        <v>Severe risk: budget flexibility and emergency reallocation rules is not reliably controlled. During Financial / liquidity shock; Supplier disruption; Fraud risk, the organization may face cash-flow stress, uncontrolled spend, supplier payment disruption and weak financial visibility with limited visibility or accountability.</v>
      </c>
      <c r="H597">
        <f>IFERROR(VALUE(INDEX(_DATA_Assessment_Model!$H$5:$H$884,MATCH($E597,_DATA_Assessment_Model!$A$5:$A$884,0))),"")</f>
        <v>0</v>
      </c>
      <c r="I597" t="str">
        <f>IF($H597="","",IFERROR(INDEX(_DATA_Assessment_Model!$L$5:$L$884,MATCH($E597,_DATA_Assessment_Model!$A$5:$A$884,0)),IF($H597&lt;=1,"Critical",IF($H597=2,"High",IF($H597=3,"Medium",IF($H597=4,"Low","Resilient"))))))</f>
        <v>Critical</v>
      </c>
      <c r="J597">
        <f t="shared" si="60"/>
        <v>3.6</v>
      </c>
      <c r="K597">
        <f t="shared" si="61"/>
        <v>4.0999999999999996</v>
      </c>
      <c r="L597">
        <f t="shared" si="62"/>
        <v>14.76</v>
      </c>
      <c r="M597">
        <f t="shared" si="63"/>
        <v>3</v>
      </c>
      <c r="N597">
        <f>IF($H597="","",IFERROR(INDEX(_ENGINE_Risk!$T$5:$Y$499,MATCH($E597,_ENGINE_Risk!$A$5:$A$499,0),$H597+1),""))</f>
        <v>3</v>
      </c>
      <c r="O597">
        <f t="shared" si="64"/>
        <v>4</v>
      </c>
      <c r="P597">
        <f t="shared" si="65"/>
        <v>5</v>
      </c>
      <c r="Q597">
        <f t="shared" si="66"/>
        <v>5</v>
      </c>
      <c r="R597">
        <f t="shared" si="67"/>
        <v>4.5</v>
      </c>
      <c r="S597">
        <f t="shared" si="68"/>
        <v>1.54</v>
      </c>
      <c r="T597" t="str">
        <f>IF($H597="","",IFERROR(INDEX(_ENGINE_Risk!$N$5:$S$499,MATCH($E597,_ENGINE_Risk!$A$5:$A$499,0),$H597+1),""))</f>
        <v>Create an immediate risk owner, minimum control baseline and fallback procedure for budget flexibility and emergency reallocation rules. Add it to the crisis risk register and collect first evidence.</v>
      </c>
      <c r="U597">
        <f>IFERROR(INDEX(_DATA_Assessment_Model!$G$5:$G$884,MATCH($E597,_DATA_Assessment_Model!$A$5:$A$884,0)),"")</f>
        <v>3</v>
      </c>
      <c r="V597">
        <f>IFERROR(INDEX(_DATA_Assessment_Model!$W$5:$W$884,MATCH($E597,_DATA_Assessment_Model!$A$5:$A$884,0)),"")</f>
        <v>4</v>
      </c>
      <c r="W597">
        <f>IFERROR(INDEX(_DATA_Assessment_Model!$X$5:$X$884,MATCH($E597,_DATA_Assessment_Model!$A$5:$A$884,0)),"")</f>
        <v>5</v>
      </c>
      <c r="X597">
        <f>IFERROR(INDEX(_DATA_Assessment_Model!$Y$5:$Y$884,MATCH($E597,_DATA_Assessment_Model!$A$5:$A$884,0)),"")</f>
        <v>5</v>
      </c>
      <c r="Y597" t="s">
        <v>1408</v>
      </c>
      <c r="Z597" t="s">
        <v>5918</v>
      </c>
      <c r="AA597" t="s">
        <v>1429</v>
      </c>
      <c r="AB597">
        <f>IFERROR(INDEX(_DATA_Assessment_Model!$U$5:$U$884,MATCH($E597,_DATA_Assessment_Model!$A$5:$A$884,0)),"")</f>
        <v>0</v>
      </c>
      <c r="AF597" t="s">
        <v>1428</v>
      </c>
      <c r="AO597">
        <f>IF($B597="Yes",IF(IFERROR(INDEX(_ENGINE_Crisis!$F$501:$F$517,MATCH($C597,_ENGINE_Crisis!$A$501:$A$517,0)),1)=0,1,IFERROR(INDEX(_ENGINE_Crisis!$F$501:$F$517,MATCH($C597,_ENGINE_Crisis!$A$501:$A$517,0)),1)),"")</f>
        <v>1</v>
      </c>
      <c r="AP597">
        <f t="shared" si="69"/>
        <v>14.8</v>
      </c>
      <c r="AQ597">
        <f t="shared" si="70"/>
        <v>1.54</v>
      </c>
      <c r="AR597" t="str">
        <f>IFERROR(INDEX(_ENGINE_Crisis!$E$41:$E$700,MATCH('Resilience &amp; Risk Scenario'!$B$6&amp;"|"&amp;$C597,_ENGINE_Crisis!$I$41:$I$700,0)),"")</f>
        <v/>
      </c>
      <c r="AS597" t="str">
        <f>IFERROR(INDEX(_ENGINE_Crisis!$G$41:$G$700,MATCH('Resilience &amp; Risk Scenario'!$B$6&amp;"|"&amp;$C597,_ENGINE_Crisis!$I$41:$I$700,0)),"")</f>
        <v/>
      </c>
      <c r="AT597" t="str">
        <f>IFERROR(INDEX(_ENGINE_Initiatives!$A$5:$A$532,MATCH(1,INDEX((_ENGINE_Initiatives!$B$5:$B$532=$C597)*(_ENGINE_Initiatives!$C$5:$C$532=$D597),0),0)),"")</f>
        <v>INI-015</v>
      </c>
      <c r="AU597" t="str">
        <f>IFERROR(INDEX(_ENGINE_Initiatives!$F$5:$F$532,MATCH(1,INDEX((_ENGINE_Initiatives!$B$5:$B$532=$C597)*(_ENGINE_Initiatives!$C$5:$C$532=$D597),0),0)),"")</f>
        <v>Implement cash-flow resilience and financial scenario planning</v>
      </c>
      <c r="AV597">
        <f>IFERROR(INDEX(_ENGINE_Initiatives!$AC$5:$AC$532,MATCH(1,INDEX((_ENGINE_Initiatives!$B$5:$B$532=$C597)*(_ENGINE_Initiatives!$C$5:$C$532=$D597),0),0)),"")</f>
        <v>1.74</v>
      </c>
      <c r="AW597" t="str">
        <f>IFERROR(INDEX(_ENGINE_Initiatives!$AE$5:$AE$532,MATCH(1,INDEX((_ENGINE_Initiatives!$B$5:$B$532=$C597)*(_ENGINE_Initiatives!$C$5:$C$532=$D597),0),0)),"")</f>
        <v>6-12 months</v>
      </c>
      <c r="AX597">
        <f>IF($B597="Yes",IFERROR((IF(SUMIFS(_REF_Model_Content!$E$1:$E$613,_REF_Model_Content!$A$1:$A$613,PV_Canonical_Industry,_REF_Model_Content!$B$1:$B$613,$C597)=0,1,SUMIFS(_REF_Model_Content!$E$1:$E$613,_REF_Model_Content!$A$1:$A$613,PV_Canonical_Industry,_REF_Model_Content!$B$1:$B$613,$C597))*IFERROR($BU597,1)),1),"")</f>
        <v>1</v>
      </c>
      <c r="AY597">
        <f t="shared" si="71"/>
        <v>14.8</v>
      </c>
      <c r="AZ597">
        <f t="shared" si="72"/>
        <v>1.54</v>
      </c>
      <c r="BB597" t="str">
        <f>IF($H597="","",IFERROR(INDEX(_ENGINE_Risk!$AE$5:$AE$499,MATCH($E597,_ENGINE_Risk!$A$5:$A$499,0)),"Medium"))</f>
        <v>Medium</v>
      </c>
      <c r="BC597">
        <f t="shared" si="73"/>
        <v>1</v>
      </c>
      <c r="BD597">
        <f t="shared" si="74"/>
        <v>1.54</v>
      </c>
      <c r="BF597">
        <f>IF(OR($H597="",$J597=""),"",IFERROR(VLOOKUP(ROUND($J597,0),_CONFIG_Model_Settings!$D$154:$E$158,2,0),""))</f>
        <v>0.5</v>
      </c>
      <c r="BG597">
        <f>IFERROR(IF(OR($H597="",$K597=""),"",ROUND('Company Profile'!$B$113*INDEX(_CONFIG_Model_Settings!$H$154:$H$158,MATCH(ROUND($K597,0),_CONFIG_Model_Settings!$G$154:$G$158,0)),0)),0)</f>
        <v>875</v>
      </c>
      <c r="BH597">
        <f t="shared" si="75"/>
        <v>437.5</v>
      </c>
      <c r="BI597">
        <f t="shared" si="76"/>
        <v>437.5</v>
      </c>
      <c r="BJ597">
        <f>IF($E597="","",IFERROR(VLOOKUP($C597,_CONFIG_Risk_Calibration!$A$5:$H$21,2,FALSE),3))</f>
        <v>3</v>
      </c>
      <c r="BK597">
        <f>IF($E597="","",IFERROR(VLOOKUP($C597,_CONFIG_Risk_Calibration!$A$5:$H$21,3,FALSE),0))</f>
        <v>0</v>
      </c>
      <c r="BL597">
        <f>IF($E597="","",IFERROR(VLOOKUP($C597,_CONFIG_Risk_Calibration!$A$5:$H$21,4,FALSE),3))</f>
        <v>3</v>
      </c>
      <c r="BM597">
        <f>IF($E597="","",IFERROR(VLOOKUP($C597,_CONFIG_Risk_Calibration!$A$5:$H$21,5,FALSE),3))</f>
        <v>4</v>
      </c>
      <c r="BN597" t="str">
        <f>IF($E597="","",IFERROR(VLOOKUP($C597,_CONFIG_Risk_Calibration!$A$5:$H$21,6,FALSE),"No"))</f>
        <v>Yes</v>
      </c>
      <c r="BO597">
        <f>IF($E597="","",IFERROR(VLOOKUP($C597,_CONFIG_Risk_Calibration!$A$5:$H$21,7,FALSE),1))</f>
        <v>4</v>
      </c>
      <c r="BP597">
        <f>IF($H597="","",MAX(1,MIN(5,((6-$H597)*0.45)+($BJ597*0.2)+('Resilience &amp; Risk Scenario'!$B$7*0.15)+($BK597*0.1)+($BL597*0.05)+(IF($BB597="Fast",5,IF($BB597="Slow",1,3))*0.05))))</f>
        <v>3.6</v>
      </c>
      <c r="BQ597">
        <f t="shared" si="77"/>
        <v>4.0999999999999996</v>
      </c>
      <c r="BR597">
        <f t="shared" si="78"/>
        <v>14.76</v>
      </c>
      <c r="BS597">
        <f t="shared" si="79"/>
        <v>16.239999999999998</v>
      </c>
      <c r="BT597" t="str">
        <f>IFERROR(INDEX(_REF_Capability_Bridge!$D:$D,MATCH($C597&amp;"|"&amp;$D597,_REF_Capability_Bridge!$J:$J,0)),IFERROR(INDEX(_REF_Capability_Bridge!$D:$D,MATCH($C597&amp;"|",_REF_Capability_Bridge!$J:$J,0)),"CAP_GENERIC"))</f>
        <v>CAP_FRAUD_MONITORING</v>
      </c>
      <c r="BU597">
        <f>IFERROR(IFERROR(INDEX(_ENGINE_Relevance!$L:$L,MATCH($BT597,_ENGINE_Relevance!$B:$B,0)),1),1)</f>
        <v>1</v>
      </c>
      <c r="BV597" t="str">
        <f>IFERROR(INDEX(_REF_Capability_Bridge!$A:$A,MATCH($C597&amp;"|"&amp;$D597,_REF_Capability_Bridge!$J:$J,0)),IFERROR(INDEX(_REF_Capability_Bridge!$A:$A,MATCH($C597&amp;"|",_REF_Capability_Bridge!$J:$J,0)),"No bridge"))</f>
        <v>BRG-031</v>
      </c>
      <c r="BW597" t="str">
        <f t="shared" si="80"/>
        <v>Capability relevance neutral</v>
      </c>
      <c r="BX597" t="str">
        <f t="shared" si="81"/>
        <v>Initial / absent</v>
      </c>
      <c r="BY597" t="str">
        <f>IF($E597="","",IFERROR(INDEX(_REF_Treatment_Library!$A$2:$A$296,MATCH(1,INDEX((_REF_Treatment_Library!$B$2:$B$296=$BT597)*(_REF_Treatment_Library!$C$2:$C$296=PV_Canonical_Industry)*(_REF_Treatment_Library!$E$2:$E$296&lt;=N($H597))*(_REF_Treatment_Library!$F$2:$F$296&gt;=N($H597))*(_REF_Treatment_Library!$O$2:$O$296="Yes"),0),0)),IFERROR(INDEX(_REF_Treatment_Library!$A$2:$A$296,MATCH(1,INDEX((_REF_Treatment_Library!$B$2:$B$296=$BT597)*(_REF_Treatment_Library!$C$2:$C$296="All")*(_REF_Treatment_Library!$E$2:$E$296&lt;=N($H597))*(_REF_Treatment_Library!$F$2:$F$296&gt;=N($H597))*(_REF_Treatment_Library!$O$2:$O$296="Yes"),0),0)),"")))</f>
        <v>TRT-FRAUD_MONITORING-INITIAL</v>
      </c>
      <c r="BZ597" t="str">
        <f>IF($BY597="","",IFERROR(INDEX(_REF_Treatment_Library!$H$2:$H$296,MATCH($BY597,_REF_Treatment_Library!$A$2:$A$296,0)),""))</f>
        <v>Establish</v>
      </c>
      <c r="CA597" t="str">
        <f>IF($BY597="","",IFERROR(INDEX(_REF_Treatment_Library!$I$2:$I$296,MATCH($BY597,_REF_Treatment_Library!$A$2:$A$296,0)),""))</f>
        <v>Establish baseline controls for Fraud monitoring</v>
      </c>
      <c r="CB597" t="str">
        <f>IF($BY597="","",IFERROR(INDEX(_REF_Treatment_Library!$K$2:$K$296,MATCH($BY597,_REF_Treatment_Library!$A$2:$A$296,0)),""))</f>
        <v>Named owner, baseline process, minimum control checklist, first evidence package</v>
      </c>
      <c r="CC597" t="str">
        <f>IF($BY597="","",IFERROR(INDEX(_REF_Treatment_Library!$L$2:$L$296,MATCH($BY597,_REF_Treatment_Library!$A$2:$A$296,0)),""))</f>
        <v>Owner assigned; baseline evidence coverage; open critical gaps</v>
      </c>
      <c r="CD597" t="str">
        <f t="shared" si="82"/>
        <v>Treatment by capability=CAP_FRAUD_MONITORING; band=Initial / absent; score=0.0; treatment=Establish</v>
      </c>
      <c r="CE597" t="str">
        <f>IF($E597="","",IFERROR(INDEX(_REF_Industry_Wording!$A$2:$A$70,MATCH(1,INDEX((_REF_Industry_Wording!$B$2:$B$70=$BT597)*(_REF_Industry_Wording!$C$2:$C$70=PV_Canonical_Industry)*(_REF_Industry_Wording!$K$2:$K$70="Yes"),0),0)),IFERROR(INDEX(_REF_Industry_Wording!$A$2:$A$70,MATCH(1,INDEX((_REF_Industry_Wording!$B$2:$B$70=$BT597)*(_REF_Industry_Wording!$C$2:$C$70="All")*(_REF_Industry_Wording!$K$2:$K$70="Yes"),0),0)),"")))</f>
        <v>IW-ALL-FRAUD_MONITORING</v>
      </c>
      <c r="CF597" t="str">
        <f>IF($CE597="","",IFERROR(INDEX(_REF_Industry_Wording!$E$2:$E$70,MATCH($CE597,_REF_Industry_Wording!$A$2:$A$70,0)),""))</f>
        <v>Fraud monitoring weakness</v>
      </c>
      <c r="CG597" t="str">
        <f>IF($CE597="","",IFERROR(INDEX(_REF_Industry_Wording!$F$2:$F$70,MATCH($CE597,_REF_Industry_Wording!$A$2:$A$70,0)),""))</f>
        <v>Strengthen Fraud monitoring</v>
      </c>
      <c r="CH597" t="str">
        <f>IF($CE597="","",IFERROR(INDEX(_REF_Industry_Wording!$G$2:$G$70,MATCH($CE597,_REF_Industry_Wording!$A$2:$A$70,0)),""))</f>
        <v>Strengthen Fraud monitoring using the selected maturity treatment, crisis scenario and evidence requirements.</v>
      </c>
      <c r="CI597" t="str">
        <f>IF($CE597="","",IFERROR(INDEX(_REF_Industry_Wording!$H$2:$H$70,MATCH($CE597,_REF_Industry_Wording!$A$2:$A$70,0)),""))</f>
        <v>Fraud monitoring</v>
      </c>
      <c r="CJ597">
        <f>IF($CE597="","",IFERROR(INDEX(_REF_Industry_Wording!$I$2:$I$70,MATCH($CE597,_REF_Industry_Wording!$A$2:$A$70,0)),""))</f>
        <v>0</v>
      </c>
      <c r="CK597" t="str">
        <f>IF($CE597="","",IFERROR(INDEX(_REF_Industry_Wording!$J$2:$J$70,MATCH($CE597,_REF_Industry_Wording!$A$2:$A$70,0)),""))</f>
        <v>Fraud monitoring</v>
      </c>
      <c r="CL597" t="str">
        <f t="shared" si="83"/>
        <v>Wording by industry=0; capability=CAP_FRAUD_MONITORING; risk label=Fraud monitoring weakness</v>
      </c>
      <c r="CM597" t="str">
        <f t="shared" si="84"/>
        <v>RISK-ONT-0098</v>
      </c>
      <c r="CN597" t="str">
        <f t="shared" si="85"/>
        <v>RISK-EVT-0098</v>
      </c>
      <c r="CO597" t="str">
        <f t="shared" si="86"/>
        <v>Finance Procurement|Financial resilience|FINA-005|CAP_FRAUD_MONITORING</v>
      </c>
      <c r="CP597" t="str">
        <f t="shared" si="87"/>
        <v>Active</v>
      </c>
      <c r="CQ597" t="str">
        <f t="shared" si="88"/>
        <v>OK: capability-driven</v>
      </c>
      <c r="CR597" t="str">
        <f t="shared" si="89"/>
        <v>Risk ontology uses capability=CAP_FRAUD_MONITORING; bridge=BRG-031; treatment=TRT-FRAUD_MONITORING-INITIAL; wording=IW-ALL-FRAUD_MONITORING</v>
      </c>
      <c r="CS597" t="str">
        <f t="shared" si="90"/>
        <v>Yes</v>
      </c>
    </row>
    <row r="598" spans="1:97" ht="69.900000000000006" customHeight="1">
      <c r="A598">
        <f>IF(OR($B598&lt;&gt;"Yes",$BS598=""),"",SUMPRODUCT(($B$500:$B$923="Yes")*ISNUMBER($BS$500:$BS$923)*($BS$500:$BS$923&gt;$BS598))+COUNTIFS($B$500:$B598,"Yes",$BS$500:$BS598,$BS598))</f>
        <v>232</v>
      </c>
      <c r="B598" t="str">
        <f t="shared" si="59"/>
        <v>Yes</v>
      </c>
      <c r="C598" t="s">
        <v>1401</v>
      </c>
      <c r="D598" t="s">
        <v>1403</v>
      </c>
      <c r="E598" t="s">
        <v>1436</v>
      </c>
      <c r="F598" t="s">
        <v>3683</v>
      </c>
      <c r="G598" t="str">
        <f>IF($H598="","",IFERROR(INDEX(_ENGINE_Risk!$H$5:$M$499,MATCH($E598,_ENGINE_Risk!$A$5:$A$499,0),$H598+1),""))</f>
        <v>Severe risk: financial stress tests for revenue collapse, currency shock, supplier price spikes, debt pressure and delayed receivables is not reliably controlled. During Financial / liquidity shock; Supplier disruption; Fraud risk, the organization may face cash-flow stress, uncontrolled spend, supplier payment disruption and weak financial visibility with limited visibility or accountability.</v>
      </c>
      <c r="H598">
        <f>IFERROR(VALUE(INDEX(_DATA_Assessment_Model!$H$5:$H$884,MATCH($E598,_DATA_Assessment_Model!$A$5:$A$884,0))),"")</f>
        <v>0</v>
      </c>
      <c r="I598" t="str">
        <f>IF($H598="","",IFERROR(INDEX(_DATA_Assessment_Model!$L$5:$L$884,MATCH($E598,_DATA_Assessment_Model!$A$5:$A$884,0)),IF($H598&lt;=1,"Critical",IF($H598=2,"High",IF($H598=3,"Medium",IF($H598=4,"Low","Resilient"))))))</f>
        <v>Critical</v>
      </c>
      <c r="J598">
        <f t="shared" si="60"/>
        <v>3.6</v>
      </c>
      <c r="K598">
        <f t="shared" si="61"/>
        <v>4.5</v>
      </c>
      <c r="L598">
        <f t="shared" si="62"/>
        <v>16.2</v>
      </c>
      <c r="M598">
        <f t="shared" si="63"/>
        <v>4</v>
      </c>
      <c r="N598">
        <f>IF($H598="","",IFERROR(INDEX(_ENGINE_Risk!$T$5:$Y$499,MATCH($E598,_ENGINE_Risk!$A$5:$A$499,0),$H598+1),""))</f>
        <v>3</v>
      </c>
      <c r="O598">
        <f t="shared" si="64"/>
        <v>4.666666666666667</v>
      </c>
      <c r="P598">
        <f t="shared" si="65"/>
        <v>5</v>
      </c>
      <c r="Q598">
        <f t="shared" si="66"/>
        <v>5</v>
      </c>
      <c r="R598">
        <f t="shared" si="67"/>
        <v>4.5</v>
      </c>
      <c r="S598">
        <f t="shared" si="68"/>
        <v>1.6</v>
      </c>
      <c r="T598" t="str">
        <f>IF($H598="","",IFERROR(INDEX(_ENGINE_Risk!$N$5:$S$499,MATCH($E598,_ENGINE_Risk!$A$5:$A$499,0),$H598+1),""))</f>
        <v>Create an immediate risk owner, minimum control baseline and fallback procedure for financial stress tests for revenue collapse, currency shock, supplier price spikes, debt pressure and delayed receivables. Add it to the crisis risk register and collect first evidence.</v>
      </c>
      <c r="U598">
        <f>IFERROR(INDEX(_DATA_Assessment_Model!$G$5:$G$884,MATCH($E598,_DATA_Assessment_Model!$A$5:$A$884,0)),"")</f>
        <v>5</v>
      </c>
      <c r="V598">
        <f>IFERROR(INDEX(_DATA_Assessment_Model!$W$5:$W$884,MATCH($E598,_DATA_Assessment_Model!$A$5:$A$884,0)),"")</f>
        <v>4</v>
      </c>
      <c r="W598">
        <f>IFERROR(INDEX(_DATA_Assessment_Model!$X$5:$X$884,MATCH($E598,_DATA_Assessment_Model!$A$5:$A$884,0)),"")</f>
        <v>5</v>
      </c>
      <c r="X598">
        <f>IFERROR(INDEX(_DATA_Assessment_Model!$Y$5:$Y$884,MATCH($E598,_DATA_Assessment_Model!$A$5:$A$884,0)),"")</f>
        <v>5</v>
      </c>
      <c r="Y598" t="s">
        <v>1408</v>
      </c>
      <c r="Z598" t="s">
        <v>5918</v>
      </c>
      <c r="AA598" t="s">
        <v>1438</v>
      </c>
      <c r="AB598">
        <f>IFERROR(INDEX(_DATA_Assessment_Model!$U$5:$U$884,MATCH($E598,_DATA_Assessment_Model!$A$5:$A$884,0)),"")</f>
        <v>0</v>
      </c>
      <c r="AF598" t="s">
        <v>1437</v>
      </c>
      <c r="AO598">
        <f>IF($B598="Yes",IF(IFERROR(INDEX(_ENGINE_Crisis!$F$501:$F$517,MATCH($C598,_ENGINE_Crisis!$A$501:$A$517,0)),1)=0,1,IFERROR(INDEX(_ENGINE_Crisis!$F$501:$F$517,MATCH($C598,_ENGINE_Crisis!$A$501:$A$517,0)),1)),"")</f>
        <v>1</v>
      </c>
      <c r="AP598">
        <f t="shared" si="69"/>
        <v>16.2</v>
      </c>
      <c r="AQ598">
        <f t="shared" si="70"/>
        <v>1.6</v>
      </c>
      <c r="AR598" t="str">
        <f>IFERROR(INDEX(_ENGINE_Crisis!$E$41:$E$700,MATCH('Resilience &amp; Risk Scenario'!$B$6&amp;"|"&amp;$C598,_ENGINE_Crisis!$I$41:$I$700,0)),"")</f>
        <v/>
      </c>
      <c r="AS598" t="str">
        <f>IFERROR(INDEX(_ENGINE_Crisis!$G$41:$G$700,MATCH('Resilience &amp; Risk Scenario'!$B$6&amp;"|"&amp;$C598,_ENGINE_Crisis!$I$41:$I$700,0)),"")</f>
        <v/>
      </c>
      <c r="AT598" t="str">
        <f>IFERROR(INDEX(_ENGINE_Initiatives!$A$5:$A$532,MATCH(1,INDEX((_ENGINE_Initiatives!$B$5:$B$532=$C598)*(_ENGINE_Initiatives!$C$5:$C$532=$D598),0),0)),"")</f>
        <v>INI-015</v>
      </c>
      <c r="AU598" t="str">
        <f>IFERROR(INDEX(_ENGINE_Initiatives!$F$5:$F$532,MATCH(1,INDEX((_ENGINE_Initiatives!$B$5:$B$532=$C598)*(_ENGINE_Initiatives!$C$5:$C$532=$D598),0),0)),"")</f>
        <v>Implement cash-flow resilience and financial scenario planning</v>
      </c>
      <c r="AV598">
        <f>IFERROR(INDEX(_ENGINE_Initiatives!$AC$5:$AC$532,MATCH(1,INDEX((_ENGINE_Initiatives!$B$5:$B$532=$C598)*(_ENGINE_Initiatives!$C$5:$C$532=$D598),0),0)),"")</f>
        <v>1.74</v>
      </c>
      <c r="AW598" t="str">
        <f>IFERROR(INDEX(_ENGINE_Initiatives!$AE$5:$AE$532,MATCH(1,INDEX((_ENGINE_Initiatives!$B$5:$B$532=$C598)*(_ENGINE_Initiatives!$C$5:$C$532=$D598),0),0)),"")</f>
        <v>6-12 months</v>
      </c>
      <c r="AX598">
        <f>IF($B598="Yes",IFERROR((IF(SUMIFS(_REF_Model_Content!$E$1:$E$613,_REF_Model_Content!$A$1:$A$613,PV_Canonical_Industry,_REF_Model_Content!$B$1:$B$613,$C598)=0,1,SUMIFS(_REF_Model_Content!$E$1:$E$613,_REF_Model_Content!$A$1:$A$613,PV_Canonical_Industry,_REF_Model_Content!$B$1:$B$613,$C598))*IFERROR($BU598,1)),1),"")</f>
        <v>1</v>
      </c>
      <c r="AY598">
        <f t="shared" si="71"/>
        <v>16.2</v>
      </c>
      <c r="AZ598">
        <f t="shared" si="72"/>
        <v>1.6</v>
      </c>
      <c r="BB598" t="str">
        <f>IF($H598="","",IFERROR(INDEX(_ENGINE_Risk!$AE$5:$AE$499,MATCH($E598,_ENGINE_Risk!$A$5:$A$499,0)),"Medium"))</f>
        <v>Medium</v>
      </c>
      <c r="BC598">
        <f t="shared" si="73"/>
        <v>1</v>
      </c>
      <c r="BD598">
        <f t="shared" si="74"/>
        <v>1.6</v>
      </c>
      <c r="BF598">
        <f>IF(OR($H598="",$J598=""),"",IFERROR(VLOOKUP(ROUND($J598,0),_CONFIG_Model_Settings!$D$154:$E$158,2,0),""))</f>
        <v>0.5</v>
      </c>
      <c r="BG598">
        <f>IFERROR(IF(OR($H598="",$K598=""),"",ROUND('Company Profile'!$B$113*INDEX(_CONFIG_Model_Settings!$H$154:$H$158,MATCH(ROUND($K598,0),_CONFIG_Model_Settings!$G$154:$G$158,0)),0)),0)</f>
        <v>1875</v>
      </c>
      <c r="BH598">
        <f t="shared" si="75"/>
        <v>937.5</v>
      </c>
      <c r="BI598">
        <f t="shared" si="76"/>
        <v>937.5</v>
      </c>
      <c r="BJ598">
        <f>IF($E598="","",IFERROR(VLOOKUP($C598,_CONFIG_Risk_Calibration!$A$5:$H$21,2,FALSE),3))</f>
        <v>3</v>
      </c>
      <c r="BK598">
        <f>IF($E598="","",IFERROR(VLOOKUP($C598,_CONFIG_Risk_Calibration!$A$5:$H$21,3,FALSE),0))</f>
        <v>0</v>
      </c>
      <c r="BL598">
        <f>IF($E598="","",IFERROR(VLOOKUP($C598,_CONFIG_Risk_Calibration!$A$5:$H$21,4,FALSE),3))</f>
        <v>3</v>
      </c>
      <c r="BM598">
        <f>IF($E598="","",IFERROR(VLOOKUP($C598,_CONFIG_Risk_Calibration!$A$5:$H$21,5,FALSE),3))</f>
        <v>4</v>
      </c>
      <c r="BN598" t="str">
        <f>IF($E598="","",IFERROR(VLOOKUP($C598,_CONFIG_Risk_Calibration!$A$5:$H$21,6,FALSE),"No"))</f>
        <v>Yes</v>
      </c>
      <c r="BO598">
        <f>IF($E598="","",IFERROR(VLOOKUP($C598,_CONFIG_Risk_Calibration!$A$5:$H$21,7,FALSE),1))</f>
        <v>4</v>
      </c>
      <c r="BP598">
        <f>IF($H598="","",MAX(1,MIN(5,((6-$H598)*0.45)+($BJ598*0.2)+('Resilience &amp; Risk Scenario'!$B$7*0.15)+($BK598*0.1)+($BL598*0.05)+(IF($BB598="Fast",5,IF($BB598="Slow",1,3))*0.05))))</f>
        <v>3.6</v>
      </c>
      <c r="BQ598">
        <f t="shared" si="77"/>
        <v>4.5</v>
      </c>
      <c r="BR598">
        <f t="shared" si="78"/>
        <v>16.2</v>
      </c>
      <c r="BS598">
        <f t="shared" si="79"/>
        <v>17.82</v>
      </c>
      <c r="BT598" t="str">
        <f>IFERROR(INDEX(_REF_Capability_Bridge!$D:$D,MATCH($C598&amp;"|"&amp;$D598,_REF_Capability_Bridge!$J:$J,0)),IFERROR(INDEX(_REF_Capability_Bridge!$D:$D,MATCH($C598&amp;"|",_REF_Capability_Bridge!$J:$J,0)),"CAP_GENERIC"))</f>
        <v>CAP_FRAUD_MONITORING</v>
      </c>
      <c r="BU598">
        <f>IFERROR(IFERROR(INDEX(_ENGINE_Relevance!$L:$L,MATCH($BT598,_ENGINE_Relevance!$B:$B,0)),1),1)</f>
        <v>1</v>
      </c>
      <c r="BV598" t="str">
        <f>IFERROR(INDEX(_REF_Capability_Bridge!$A:$A,MATCH($C598&amp;"|"&amp;$D598,_REF_Capability_Bridge!$J:$J,0)),IFERROR(INDEX(_REF_Capability_Bridge!$A:$A,MATCH($C598&amp;"|",_REF_Capability_Bridge!$J:$J,0)),"No bridge"))</f>
        <v>BRG-031</v>
      </c>
      <c r="BW598" t="str">
        <f t="shared" si="80"/>
        <v>Capability relevance neutral</v>
      </c>
      <c r="BX598" t="str">
        <f t="shared" si="81"/>
        <v>Initial / absent</v>
      </c>
      <c r="BY598" t="str">
        <f>IF($E598="","",IFERROR(INDEX(_REF_Treatment_Library!$A$2:$A$296,MATCH(1,INDEX((_REF_Treatment_Library!$B$2:$B$296=$BT598)*(_REF_Treatment_Library!$C$2:$C$296=PV_Canonical_Industry)*(_REF_Treatment_Library!$E$2:$E$296&lt;=N($H598))*(_REF_Treatment_Library!$F$2:$F$296&gt;=N($H598))*(_REF_Treatment_Library!$O$2:$O$296="Yes"),0),0)),IFERROR(INDEX(_REF_Treatment_Library!$A$2:$A$296,MATCH(1,INDEX((_REF_Treatment_Library!$B$2:$B$296=$BT598)*(_REF_Treatment_Library!$C$2:$C$296="All")*(_REF_Treatment_Library!$E$2:$E$296&lt;=N($H598))*(_REF_Treatment_Library!$F$2:$F$296&gt;=N($H598))*(_REF_Treatment_Library!$O$2:$O$296="Yes"),0),0)),"")))</f>
        <v>TRT-FRAUD_MONITORING-INITIAL</v>
      </c>
      <c r="BZ598" t="str">
        <f>IF($BY598="","",IFERROR(INDEX(_REF_Treatment_Library!$H$2:$H$296,MATCH($BY598,_REF_Treatment_Library!$A$2:$A$296,0)),""))</f>
        <v>Establish</v>
      </c>
      <c r="CA598" t="str">
        <f>IF($BY598="","",IFERROR(INDEX(_REF_Treatment_Library!$I$2:$I$296,MATCH($BY598,_REF_Treatment_Library!$A$2:$A$296,0)),""))</f>
        <v>Establish baseline controls for Fraud monitoring</v>
      </c>
      <c r="CB598" t="str">
        <f>IF($BY598="","",IFERROR(INDEX(_REF_Treatment_Library!$K$2:$K$296,MATCH($BY598,_REF_Treatment_Library!$A$2:$A$296,0)),""))</f>
        <v>Named owner, baseline process, minimum control checklist, first evidence package</v>
      </c>
      <c r="CC598" t="str">
        <f>IF($BY598="","",IFERROR(INDEX(_REF_Treatment_Library!$L$2:$L$296,MATCH($BY598,_REF_Treatment_Library!$A$2:$A$296,0)),""))</f>
        <v>Owner assigned; baseline evidence coverage; open critical gaps</v>
      </c>
      <c r="CD598" t="str">
        <f t="shared" si="82"/>
        <v>Treatment by capability=CAP_FRAUD_MONITORING; band=Initial / absent; score=0.0; treatment=Establish</v>
      </c>
      <c r="CE598" t="str">
        <f>IF($E598="","",IFERROR(INDEX(_REF_Industry_Wording!$A$2:$A$70,MATCH(1,INDEX((_REF_Industry_Wording!$B$2:$B$70=$BT598)*(_REF_Industry_Wording!$C$2:$C$70=PV_Canonical_Industry)*(_REF_Industry_Wording!$K$2:$K$70="Yes"),0),0)),IFERROR(INDEX(_REF_Industry_Wording!$A$2:$A$70,MATCH(1,INDEX((_REF_Industry_Wording!$B$2:$B$70=$BT598)*(_REF_Industry_Wording!$C$2:$C$70="All")*(_REF_Industry_Wording!$K$2:$K$70="Yes"),0),0)),"")))</f>
        <v>IW-ALL-FRAUD_MONITORING</v>
      </c>
      <c r="CF598" t="str">
        <f>IF($CE598="","",IFERROR(INDEX(_REF_Industry_Wording!$E$2:$E$70,MATCH($CE598,_REF_Industry_Wording!$A$2:$A$70,0)),""))</f>
        <v>Fraud monitoring weakness</v>
      </c>
      <c r="CG598" t="str">
        <f>IF($CE598="","",IFERROR(INDEX(_REF_Industry_Wording!$F$2:$F$70,MATCH($CE598,_REF_Industry_Wording!$A$2:$A$70,0)),""))</f>
        <v>Strengthen Fraud monitoring</v>
      </c>
      <c r="CH598" t="str">
        <f>IF($CE598="","",IFERROR(INDEX(_REF_Industry_Wording!$G$2:$G$70,MATCH($CE598,_REF_Industry_Wording!$A$2:$A$70,0)),""))</f>
        <v>Strengthen Fraud monitoring using the selected maturity treatment, crisis scenario and evidence requirements.</v>
      </c>
      <c r="CI598" t="str">
        <f>IF($CE598="","",IFERROR(INDEX(_REF_Industry_Wording!$H$2:$H$70,MATCH($CE598,_REF_Industry_Wording!$A$2:$A$70,0)),""))</f>
        <v>Fraud monitoring</v>
      </c>
      <c r="CJ598">
        <f>IF($CE598="","",IFERROR(INDEX(_REF_Industry_Wording!$I$2:$I$70,MATCH($CE598,_REF_Industry_Wording!$A$2:$A$70,0)),""))</f>
        <v>0</v>
      </c>
      <c r="CK598" t="str">
        <f>IF($CE598="","",IFERROR(INDEX(_REF_Industry_Wording!$J$2:$J$70,MATCH($CE598,_REF_Industry_Wording!$A$2:$A$70,0)),""))</f>
        <v>Fraud monitoring</v>
      </c>
      <c r="CL598" t="str">
        <f t="shared" si="83"/>
        <v>Wording by industry=0; capability=CAP_FRAUD_MONITORING; risk label=Fraud monitoring weakness</v>
      </c>
      <c r="CM598" t="str">
        <f t="shared" si="84"/>
        <v>RISK-ONT-0099</v>
      </c>
      <c r="CN598" t="str">
        <f t="shared" si="85"/>
        <v>RISK-EVT-0099</v>
      </c>
      <c r="CO598" t="str">
        <f t="shared" si="86"/>
        <v>Finance Procurement|Financial resilience|FINA-006|CAP_FRAUD_MONITORING</v>
      </c>
      <c r="CP598" t="str">
        <f t="shared" si="87"/>
        <v>Active</v>
      </c>
      <c r="CQ598" t="str">
        <f t="shared" si="88"/>
        <v>OK: capability-driven</v>
      </c>
      <c r="CR598" t="str">
        <f t="shared" si="89"/>
        <v>Risk ontology uses capability=CAP_FRAUD_MONITORING; bridge=BRG-031; treatment=TRT-FRAUD_MONITORING-INITIAL; wording=IW-ALL-FRAUD_MONITORING</v>
      </c>
      <c r="CS598" t="str">
        <f t="shared" si="90"/>
        <v>Yes</v>
      </c>
    </row>
    <row r="599" spans="1:97" ht="69.900000000000006" customHeight="1">
      <c r="A599">
        <f>IF(OR($B599&lt;&gt;"Yes",$BS599=""),"",SUMPRODUCT(($B$500:$B$923="Yes")*ISNUMBER($BS$500:$BS$923)*($BS$500:$BS$923&gt;$BS599))+COUNTIFS($B$500:$B599,"Yes",$BS$500:$BS599,$BS599))</f>
        <v>291</v>
      </c>
      <c r="B599" t="str">
        <f t="shared" si="59"/>
        <v>Yes</v>
      </c>
      <c r="C599" t="s">
        <v>1401</v>
      </c>
      <c r="D599" t="s">
        <v>1412</v>
      </c>
      <c r="E599" t="s">
        <v>1439</v>
      </c>
      <c r="F599" t="s">
        <v>3683</v>
      </c>
      <c r="G599" t="str">
        <f>IF($H599="","",IFERROR(INDEX(_ENGINE_Risk!$H$5:$M$499,MATCH($E599,_ENGINE_Risk!$A$5:$A$499,0),$H599+1),""))</f>
        <v>Severe risk: approval limits and emergency approvals resilient if key approvers are unavailable is not reliably controlled. During Financial / liquidity shock; Supplier disruption; Fraud risk, the organization may face cash-flow stress, uncontrolled spend, supplier payment disruption and weak financial visibility with limited visibility or accountability.</v>
      </c>
      <c r="H599">
        <f>IFERROR(VALUE(INDEX(_DATA_Assessment_Model!$H$5:$H$884,MATCH($E599,_DATA_Assessment_Model!$A$5:$A$884,0))),"")</f>
        <v>0</v>
      </c>
      <c r="I599" t="str">
        <f>IF($H599="","",IFERROR(INDEX(_DATA_Assessment_Model!$L$5:$L$884,MATCH($E599,_DATA_Assessment_Model!$A$5:$A$884,0)),IF($H599&lt;=1,"Critical",IF($H599=2,"High",IF($H599=3,"Medium",IF($H599=4,"Low","Resilient"))))))</f>
        <v>Critical</v>
      </c>
      <c r="J599">
        <f t="shared" si="60"/>
        <v>3.6</v>
      </c>
      <c r="K599">
        <f t="shared" si="61"/>
        <v>4.0999999999999996</v>
      </c>
      <c r="L599">
        <f t="shared" si="62"/>
        <v>14.76</v>
      </c>
      <c r="M599">
        <f t="shared" si="63"/>
        <v>3</v>
      </c>
      <c r="N599">
        <f>IF($H599="","",IFERROR(INDEX(_ENGINE_Risk!$T$5:$Y$499,MATCH($E599,_ENGINE_Risk!$A$5:$A$499,0),$H599+1),""))</f>
        <v>3</v>
      </c>
      <c r="O599">
        <f t="shared" si="64"/>
        <v>4</v>
      </c>
      <c r="P599">
        <f t="shared" si="65"/>
        <v>5</v>
      </c>
      <c r="Q599">
        <f t="shared" si="66"/>
        <v>5</v>
      </c>
      <c r="R599">
        <f t="shared" si="67"/>
        <v>4.5</v>
      </c>
      <c r="S599">
        <f t="shared" si="68"/>
        <v>1.54</v>
      </c>
      <c r="T599" t="str">
        <f>IF($H599="","",IFERROR(INDEX(_ENGINE_Risk!$N$5:$S$499,MATCH($E599,_ENGINE_Risk!$A$5:$A$499,0),$H599+1),""))</f>
        <v>Create an immediate risk owner, minimum control baseline and fallback procedure for approval limits and emergency approvals resilient if key approvers are unavailable. Add it to the crisis risk register and collect first evidence.</v>
      </c>
      <c r="U599">
        <f>IFERROR(INDEX(_DATA_Assessment_Model!$G$5:$G$884,MATCH($E599,_DATA_Assessment_Model!$A$5:$A$884,0)),"")</f>
        <v>3</v>
      </c>
      <c r="V599">
        <f>IFERROR(INDEX(_DATA_Assessment_Model!$W$5:$W$884,MATCH($E599,_DATA_Assessment_Model!$A$5:$A$884,0)),"")</f>
        <v>4</v>
      </c>
      <c r="W599">
        <f>IFERROR(INDEX(_DATA_Assessment_Model!$X$5:$X$884,MATCH($E599,_DATA_Assessment_Model!$A$5:$A$884,0)),"")</f>
        <v>5</v>
      </c>
      <c r="X599">
        <f>IFERROR(INDEX(_DATA_Assessment_Model!$Y$5:$Y$884,MATCH($E599,_DATA_Assessment_Model!$A$5:$A$884,0)),"")</f>
        <v>5</v>
      </c>
      <c r="Y599" t="s">
        <v>1408</v>
      </c>
      <c r="Z599" t="s">
        <v>5918</v>
      </c>
      <c r="AA599" t="s">
        <v>1441</v>
      </c>
      <c r="AB599">
        <f>IFERROR(INDEX(_DATA_Assessment_Model!$U$5:$U$884,MATCH($E599,_DATA_Assessment_Model!$A$5:$A$884,0)),"")</f>
        <v>0</v>
      </c>
      <c r="AF599" t="s">
        <v>1440</v>
      </c>
      <c r="AO599">
        <f>IF($B599="Yes",IF(IFERROR(INDEX(_ENGINE_Crisis!$F$501:$F$517,MATCH($C599,_ENGINE_Crisis!$A$501:$A$517,0)),1)=0,1,IFERROR(INDEX(_ENGINE_Crisis!$F$501:$F$517,MATCH($C599,_ENGINE_Crisis!$A$501:$A$517,0)),1)),"")</f>
        <v>1</v>
      </c>
      <c r="AP599">
        <f t="shared" si="69"/>
        <v>14.8</v>
      </c>
      <c r="AQ599">
        <f t="shared" si="70"/>
        <v>1.54</v>
      </c>
      <c r="AR599" t="str">
        <f>IFERROR(INDEX(_ENGINE_Crisis!$E$41:$E$700,MATCH('Resilience &amp; Risk Scenario'!$B$6&amp;"|"&amp;$C599,_ENGINE_Crisis!$I$41:$I$700,0)),"")</f>
        <v/>
      </c>
      <c r="AS599" t="str">
        <f>IFERROR(INDEX(_ENGINE_Crisis!$G$41:$G$700,MATCH('Resilience &amp; Risk Scenario'!$B$6&amp;"|"&amp;$C599,_ENGINE_Crisis!$I$41:$I$700,0)),"")</f>
        <v/>
      </c>
      <c r="AT599" t="str">
        <f>IFERROR(INDEX(_ENGINE_Initiatives!$A$5:$A$532,MATCH(1,INDEX((_ENGINE_Initiatives!$B$5:$B$532=$C599)*(_ENGINE_Initiatives!$C$5:$C$532=$D599),0),0)),"")</f>
        <v>INI-016</v>
      </c>
      <c r="AU599" t="str">
        <f>IFERROR(INDEX(_ENGINE_Initiatives!$F$5:$F$532,MATCH(1,INDEX((_ENGINE_Initiatives!$B$5:$B$532=$C599)*(_ENGINE_Initiatives!$C$5:$C$532=$D599),0),0)),"")</f>
        <v>Strengthen financial controls, approvals and accounting continuity</v>
      </c>
      <c r="AV599">
        <f>IFERROR(INDEX(_ENGINE_Initiatives!$AC$5:$AC$532,MATCH(1,INDEX((_ENGINE_Initiatives!$B$5:$B$532=$C599)*(_ENGINE_Initiatives!$C$5:$C$532=$D599),0),0)),"")</f>
        <v>1.75</v>
      </c>
      <c r="AW599" t="str">
        <f>IFERROR(INDEX(_ENGINE_Initiatives!$AE$5:$AE$532,MATCH(1,INDEX((_ENGINE_Initiatives!$B$5:$B$532=$C599)*(_ENGINE_Initiatives!$C$5:$C$532=$D599),0),0)),"")</f>
        <v>3-6 months</v>
      </c>
      <c r="AX599">
        <f>IF($B599="Yes",IFERROR((IF(SUMIFS(_REF_Model_Content!$E$1:$E$613,_REF_Model_Content!$A$1:$A$613,PV_Canonical_Industry,_REF_Model_Content!$B$1:$B$613,$C599)=0,1,SUMIFS(_REF_Model_Content!$E$1:$E$613,_REF_Model_Content!$A$1:$A$613,PV_Canonical_Industry,_REF_Model_Content!$B$1:$B$613,$C599))*IFERROR($BU599,1)),1),"")</f>
        <v>1</v>
      </c>
      <c r="AY599">
        <f t="shared" si="71"/>
        <v>14.8</v>
      </c>
      <c r="AZ599">
        <f t="shared" si="72"/>
        <v>1.54</v>
      </c>
      <c r="BB599" t="str">
        <f>IF($H599="","",IFERROR(INDEX(_ENGINE_Risk!$AE$5:$AE$499,MATCH($E599,_ENGINE_Risk!$A$5:$A$499,0)),"Medium"))</f>
        <v>Medium</v>
      </c>
      <c r="BC599">
        <f t="shared" si="73"/>
        <v>1</v>
      </c>
      <c r="BD599">
        <f t="shared" si="74"/>
        <v>1.54</v>
      </c>
      <c r="BF599">
        <f>IF(OR($H599="",$J599=""),"",IFERROR(VLOOKUP(ROUND($J599,0),_CONFIG_Model_Settings!$D$154:$E$158,2,0),""))</f>
        <v>0.5</v>
      </c>
      <c r="BG599">
        <f>IFERROR(IF(OR($H599="",$K599=""),"",ROUND('Company Profile'!$B$113*INDEX(_CONFIG_Model_Settings!$H$154:$H$158,MATCH(ROUND($K599,0),_CONFIG_Model_Settings!$G$154:$G$158,0)),0)),0)</f>
        <v>875</v>
      </c>
      <c r="BH599">
        <f t="shared" si="75"/>
        <v>437.5</v>
      </c>
      <c r="BI599">
        <f t="shared" si="76"/>
        <v>437.5</v>
      </c>
      <c r="BJ599">
        <f>IF($E599="","",IFERROR(VLOOKUP($C599,_CONFIG_Risk_Calibration!$A$5:$H$21,2,FALSE),3))</f>
        <v>3</v>
      </c>
      <c r="BK599">
        <f>IF($E599="","",IFERROR(VLOOKUP($C599,_CONFIG_Risk_Calibration!$A$5:$H$21,3,FALSE),0))</f>
        <v>0</v>
      </c>
      <c r="BL599">
        <f>IF($E599="","",IFERROR(VLOOKUP($C599,_CONFIG_Risk_Calibration!$A$5:$H$21,4,FALSE),3))</f>
        <v>3</v>
      </c>
      <c r="BM599">
        <f>IF($E599="","",IFERROR(VLOOKUP($C599,_CONFIG_Risk_Calibration!$A$5:$H$21,5,FALSE),3))</f>
        <v>4</v>
      </c>
      <c r="BN599" t="str">
        <f>IF($E599="","",IFERROR(VLOOKUP($C599,_CONFIG_Risk_Calibration!$A$5:$H$21,6,FALSE),"No"))</f>
        <v>Yes</v>
      </c>
      <c r="BO599">
        <f>IF($E599="","",IFERROR(VLOOKUP($C599,_CONFIG_Risk_Calibration!$A$5:$H$21,7,FALSE),1))</f>
        <v>4</v>
      </c>
      <c r="BP599">
        <f>IF($H599="","",MAX(1,MIN(5,((6-$H599)*0.45)+($BJ599*0.2)+('Resilience &amp; Risk Scenario'!$B$7*0.15)+($BK599*0.1)+($BL599*0.05)+(IF($BB599="Fast",5,IF($BB599="Slow",1,3))*0.05))))</f>
        <v>3.6</v>
      </c>
      <c r="BQ599">
        <f t="shared" si="77"/>
        <v>4.0999999999999996</v>
      </c>
      <c r="BR599">
        <f t="shared" si="78"/>
        <v>14.76</v>
      </c>
      <c r="BS599">
        <f t="shared" si="79"/>
        <v>16.239999999999998</v>
      </c>
      <c r="BT599" t="str">
        <f>IFERROR(INDEX(_REF_Capability_Bridge!$D:$D,MATCH($C599&amp;"|"&amp;$D599,_REF_Capability_Bridge!$J:$J,0)),IFERROR(INDEX(_REF_Capability_Bridge!$D:$D,MATCH($C599&amp;"|",_REF_Capability_Bridge!$J:$J,0)),"CAP_GENERIC"))</f>
        <v>CAP_PAYMENT_CONTINUITY</v>
      </c>
      <c r="BU599">
        <f>IFERROR(IFERROR(INDEX(_ENGINE_Relevance!$L:$L,MATCH($BT599,_ENGINE_Relevance!$B:$B,0)),1),1)</f>
        <v>1</v>
      </c>
      <c r="BV599" t="str">
        <f>IFERROR(INDEX(_REF_Capability_Bridge!$A:$A,MATCH($C599&amp;"|"&amp;$D599,_REF_Capability_Bridge!$J:$J,0)),IFERROR(INDEX(_REF_Capability_Bridge!$A:$A,MATCH($C599&amp;"|",_REF_Capability_Bridge!$J:$J,0)),"No bridge"))</f>
        <v>BRG-030</v>
      </c>
      <c r="BW599" t="str">
        <f t="shared" si="80"/>
        <v>Capability relevance neutral</v>
      </c>
      <c r="BX599" t="str">
        <f t="shared" si="81"/>
        <v>Initial / absent</v>
      </c>
      <c r="BY599" t="str">
        <f>IF($E599="","",IFERROR(INDEX(_REF_Treatment_Library!$A$2:$A$296,MATCH(1,INDEX((_REF_Treatment_Library!$B$2:$B$296=$BT599)*(_REF_Treatment_Library!$C$2:$C$296=PV_Canonical_Industry)*(_REF_Treatment_Library!$E$2:$E$296&lt;=N($H599))*(_REF_Treatment_Library!$F$2:$F$296&gt;=N($H599))*(_REF_Treatment_Library!$O$2:$O$296="Yes"),0),0)),IFERROR(INDEX(_REF_Treatment_Library!$A$2:$A$296,MATCH(1,INDEX((_REF_Treatment_Library!$B$2:$B$296=$BT599)*(_REF_Treatment_Library!$C$2:$C$296="All")*(_REF_Treatment_Library!$E$2:$E$296&lt;=N($H599))*(_REF_Treatment_Library!$F$2:$F$296&gt;=N($H599))*(_REF_Treatment_Library!$O$2:$O$296="Yes"),0),0)),"")))</f>
        <v>TRT-PAYMENT_CONTINUITY-INITIAL</v>
      </c>
      <c r="BZ599" t="str">
        <f>IF($BY599="","",IFERROR(INDEX(_REF_Treatment_Library!$H$2:$H$296,MATCH($BY599,_REF_Treatment_Library!$A$2:$A$296,0)),""))</f>
        <v>Establish</v>
      </c>
      <c r="CA599" t="str">
        <f>IF($BY599="","",IFERROR(INDEX(_REF_Treatment_Library!$I$2:$I$296,MATCH($BY599,_REF_Treatment_Library!$A$2:$A$296,0)),""))</f>
        <v>Establish baseline controls for Payment continuity</v>
      </c>
      <c r="CB599" t="str">
        <f>IF($BY599="","",IFERROR(INDEX(_REF_Treatment_Library!$K$2:$K$296,MATCH($BY599,_REF_Treatment_Library!$A$2:$A$296,0)),""))</f>
        <v>Named owner, baseline process, minimum control checklist, first evidence package</v>
      </c>
      <c r="CC599" t="str">
        <f>IF($BY599="","",IFERROR(INDEX(_REF_Treatment_Library!$L$2:$L$296,MATCH($BY599,_REF_Treatment_Library!$A$2:$A$296,0)),""))</f>
        <v>Owner assigned; baseline evidence coverage; open critical gaps</v>
      </c>
      <c r="CD599" t="str">
        <f t="shared" si="82"/>
        <v>Treatment by capability=CAP_PAYMENT_CONTINUITY; band=Initial / absent; score=0.0; treatment=Establish</v>
      </c>
      <c r="CE599" t="str">
        <f>IF($E599="","",IFERROR(INDEX(_REF_Industry_Wording!$A$2:$A$70,MATCH(1,INDEX((_REF_Industry_Wording!$B$2:$B$70=$BT599)*(_REF_Industry_Wording!$C$2:$C$70=PV_Canonical_Industry)*(_REF_Industry_Wording!$K$2:$K$70="Yes"),0),0)),IFERROR(INDEX(_REF_Industry_Wording!$A$2:$A$70,MATCH(1,INDEX((_REF_Industry_Wording!$B$2:$B$70=$BT599)*(_REF_Industry_Wording!$C$2:$C$70="All")*(_REF_Industry_Wording!$K$2:$K$70="Yes"),0),0)),"")))</f>
        <v>IW-ALL-PAYMENT_CONTINUITY</v>
      </c>
      <c r="CF599" t="str">
        <f>IF($CE599="","",IFERROR(INDEX(_REF_Industry_Wording!$E$2:$E$70,MATCH($CE599,_REF_Industry_Wording!$A$2:$A$70,0)),""))</f>
        <v>Payment continuity weakness</v>
      </c>
      <c r="CG599" t="str">
        <f>IF($CE599="","",IFERROR(INDEX(_REF_Industry_Wording!$F$2:$F$70,MATCH($CE599,_REF_Industry_Wording!$A$2:$A$70,0)),""))</f>
        <v>Strengthen Payment continuity</v>
      </c>
      <c r="CH599" t="str">
        <f>IF($CE599="","",IFERROR(INDEX(_REF_Industry_Wording!$G$2:$G$70,MATCH($CE599,_REF_Industry_Wording!$A$2:$A$70,0)),""))</f>
        <v>Strengthen Payment continuity using the selected maturity treatment, crisis scenario and evidence requirements.</v>
      </c>
      <c r="CI599" t="str">
        <f>IF($CE599="","",IFERROR(INDEX(_REF_Industry_Wording!$H$2:$H$70,MATCH($CE599,_REF_Industry_Wording!$A$2:$A$70,0)),""))</f>
        <v>Payment continuity</v>
      </c>
      <c r="CJ599">
        <f>IF($CE599="","",IFERROR(INDEX(_REF_Industry_Wording!$I$2:$I$70,MATCH($CE599,_REF_Industry_Wording!$A$2:$A$70,0)),""))</f>
        <v>0</v>
      </c>
      <c r="CK599" t="str">
        <f>IF($CE599="","",IFERROR(INDEX(_REF_Industry_Wording!$J$2:$J$70,MATCH($CE599,_REF_Industry_Wording!$A$2:$A$70,0)),""))</f>
        <v>Payment continuity</v>
      </c>
      <c r="CL599" t="str">
        <f t="shared" si="83"/>
        <v>Wording by industry=0; capability=CAP_PAYMENT_CONTINUITY; risk label=Payment continuity weakness</v>
      </c>
      <c r="CM599" t="str">
        <f t="shared" si="84"/>
        <v>RISK-ONT-0100</v>
      </c>
      <c r="CN599" t="str">
        <f t="shared" si="85"/>
        <v>RISK-EVT-0100</v>
      </c>
      <c r="CO599" t="str">
        <f t="shared" si="86"/>
        <v>Finance Procurement|Controls and accounting|FINA-007|CAP_PAYMENT_CONTINUITY</v>
      </c>
      <c r="CP599" t="str">
        <f t="shared" si="87"/>
        <v>Active</v>
      </c>
      <c r="CQ599" t="str">
        <f t="shared" si="88"/>
        <v>OK: capability-driven</v>
      </c>
      <c r="CR599" t="str">
        <f t="shared" si="89"/>
        <v>Risk ontology uses capability=CAP_PAYMENT_CONTINUITY; bridge=BRG-030; treatment=TRT-PAYMENT_CONTINUITY-INITIAL; wording=IW-ALL-PAYMENT_CONTINUITY</v>
      </c>
      <c r="CS599" t="str">
        <f t="shared" si="90"/>
        <v>Yes</v>
      </c>
    </row>
    <row r="600" spans="1:97" ht="69.900000000000006" customHeight="1">
      <c r="A600">
        <f>IF(OR($B600&lt;&gt;"Yes",$BS600=""),"",SUMPRODUCT(($B$500:$B$923="Yes")*ISNUMBER($BS$500:$BS$923)*($BS$500:$BS$923&gt;$BS600))+COUNTIFS($B$500:$B600,"Yes",$BS$500:$BS600,$BS600))</f>
        <v>180</v>
      </c>
      <c r="B600" t="str">
        <f t="shared" si="59"/>
        <v>Yes</v>
      </c>
      <c r="C600" t="s">
        <v>1401</v>
      </c>
      <c r="D600" t="s">
        <v>1412</v>
      </c>
      <c r="E600" t="s">
        <v>1448</v>
      </c>
      <c r="F600" t="s">
        <v>3683</v>
      </c>
      <c r="G600" t="str">
        <f>IF($H600="","",IFERROR(INDEX(_ENGINE_Risk!$H$5:$M$499,MATCH($E600,_ENGINE_Risk!$A$5:$A$499,0),$H600+1),""))</f>
        <v>Severe risk: segregation of duties in finance, procurement, ERP and payment processes is not reliably controlled. During Financial / liquidity shock; Supplier disruption; Fraud risk, the organization may face cash-flow stress, uncontrolled spend, supplier payment disruption and weak financial visibility with limited visibility or accountability.</v>
      </c>
      <c r="H600">
        <f>IFERROR(VALUE(INDEX(_DATA_Assessment_Model!$H$5:$H$884,MATCH($E600,_DATA_Assessment_Model!$A$5:$A$884,0))),"")</f>
        <v>0</v>
      </c>
      <c r="I600" t="str">
        <f>IF($H600="","",IFERROR(INDEX(_DATA_Assessment_Model!$L$5:$L$884,MATCH($E600,_DATA_Assessment_Model!$A$5:$A$884,0)),IF($H600&lt;=1,"Critical",IF($H600=2,"High",IF($H600=3,"Medium",IF($H600=4,"Low","Resilient"))))))</f>
        <v>Critical</v>
      </c>
      <c r="J600">
        <f t="shared" si="60"/>
        <v>3.6</v>
      </c>
      <c r="K600">
        <f t="shared" si="61"/>
        <v>4.6499999999999995</v>
      </c>
      <c r="L600">
        <f t="shared" si="62"/>
        <v>16.739999999999998</v>
      </c>
      <c r="M600">
        <f t="shared" si="63"/>
        <v>4</v>
      </c>
      <c r="N600">
        <f>IF($H600="","",IFERROR(INDEX(_ENGINE_Risk!$T$5:$Y$499,MATCH($E600,_ENGINE_Risk!$A$5:$A$499,0),$H600+1),""))</f>
        <v>3</v>
      </c>
      <c r="O600">
        <f t="shared" si="64"/>
        <v>5</v>
      </c>
      <c r="P600">
        <f t="shared" si="65"/>
        <v>5</v>
      </c>
      <c r="Q600">
        <f t="shared" si="66"/>
        <v>5</v>
      </c>
      <c r="R600">
        <f t="shared" si="67"/>
        <v>5</v>
      </c>
      <c r="S600">
        <f t="shared" si="68"/>
        <v>1.67</v>
      </c>
      <c r="T600" t="str">
        <f>IF($H600="","",IFERROR(INDEX(_ENGINE_Risk!$N$5:$S$499,MATCH($E600,_ENGINE_Risk!$A$5:$A$499,0),$H600+1),""))</f>
        <v>Create an immediate risk owner, minimum control baseline and fallback procedure for segregation of duties in finance, procurement, ERP and payment processes. Add it to the crisis risk register and collect first evidence.</v>
      </c>
      <c r="U600">
        <f>IFERROR(INDEX(_DATA_Assessment_Model!$G$5:$G$884,MATCH($E600,_DATA_Assessment_Model!$A$5:$A$884,0)),"")</f>
        <v>5</v>
      </c>
      <c r="V600">
        <f>IFERROR(INDEX(_DATA_Assessment_Model!$W$5:$W$884,MATCH($E600,_DATA_Assessment_Model!$A$5:$A$884,0)),"")</f>
        <v>5</v>
      </c>
      <c r="W600">
        <f>IFERROR(INDEX(_DATA_Assessment_Model!$X$5:$X$884,MATCH($E600,_DATA_Assessment_Model!$A$5:$A$884,0)),"")</f>
        <v>5</v>
      </c>
      <c r="X600">
        <f>IFERROR(INDEX(_DATA_Assessment_Model!$Y$5:$Y$884,MATCH($E600,_DATA_Assessment_Model!$A$5:$A$884,0)),"")</f>
        <v>5</v>
      </c>
      <c r="Y600" t="s">
        <v>1408</v>
      </c>
      <c r="Z600" t="s">
        <v>5918</v>
      </c>
      <c r="AA600" t="s">
        <v>1450</v>
      </c>
      <c r="AB600">
        <f>IFERROR(INDEX(_DATA_Assessment_Model!$U$5:$U$884,MATCH($E600,_DATA_Assessment_Model!$A$5:$A$884,0)),"")</f>
        <v>0</v>
      </c>
      <c r="AF600" t="s">
        <v>1449</v>
      </c>
      <c r="AO600">
        <f>IF($B600="Yes",IF(IFERROR(INDEX(_ENGINE_Crisis!$F$501:$F$517,MATCH($C600,_ENGINE_Crisis!$A$501:$A$517,0)),1)=0,1,IFERROR(INDEX(_ENGINE_Crisis!$F$501:$F$517,MATCH($C600,_ENGINE_Crisis!$A$501:$A$517,0)),1)),"")</f>
        <v>1</v>
      </c>
      <c r="AP600">
        <f t="shared" si="69"/>
        <v>16.7</v>
      </c>
      <c r="AQ600">
        <f t="shared" si="70"/>
        <v>1.67</v>
      </c>
      <c r="AR600" t="str">
        <f>IFERROR(INDEX(_ENGINE_Crisis!$E$41:$E$700,MATCH('Resilience &amp; Risk Scenario'!$B$6&amp;"|"&amp;$C600,_ENGINE_Crisis!$I$41:$I$700,0)),"")</f>
        <v/>
      </c>
      <c r="AS600" t="str">
        <f>IFERROR(INDEX(_ENGINE_Crisis!$G$41:$G$700,MATCH('Resilience &amp; Risk Scenario'!$B$6&amp;"|"&amp;$C600,_ENGINE_Crisis!$I$41:$I$700,0)),"")</f>
        <v/>
      </c>
      <c r="AT600" t="str">
        <f>IFERROR(INDEX(_ENGINE_Initiatives!$A$5:$A$532,MATCH(1,INDEX((_ENGINE_Initiatives!$B$5:$B$532=$C600)*(_ENGINE_Initiatives!$C$5:$C$532=$D600),0),0)),"")</f>
        <v>INI-016</v>
      </c>
      <c r="AU600" t="str">
        <f>IFERROR(INDEX(_ENGINE_Initiatives!$F$5:$F$532,MATCH(1,INDEX((_ENGINE_Initiatives!$B$5:$B$532=$C600)*(_ENGINE_Initiatives!$C$5:$C$532=$D600),0),0)),"")</f>
        <v>Strengthen financial controls, approvals and accounting continuity</v>
      </c>
      <c r="AV600">
        <f>IFERROR(INDEX(_ENGINE_Initiatives!$AC$5:$AC$532,MATCH(1,INDEX((_ENGINE_Initiatives!$B$5:$B$532=$C600)*(_ENGINE_Initiatives!$C$5:$C$532=$D600),0),0)),"")</f>
        <v>1.75</v>
      </c>
      <c r="AW600" t="str">
        <f>IFERROR(INDEX(_ENGINE_Initiatives!$AE$5:$AE$532,MATCH(1,INDEX((_ENGINE_Initiatives!$B$5:$B$532=$C600)*(_ENGINE_Initiatives!$C$5:$C$532=$D600),0),0)),"")</f>
        <v>3-6 months</v>
      </c>
      <c r="AX600">
        <f>IF($B600="Yes",IFERROR((IF(SUMIFS(_REF_Model_Content!$E$1:$E$613,_REF_Model_Content!$A$1:$A$613,PV_Canonical_Industry,_REF_Model_Content!$B$1:$B$613,$C600)=0,1,SUMIFS(_REF_Model_Content!$E$1:$E$613,_REF_Model_Content!$A$1:$A$613,PV_Canonical_Industry,_REF_Model_Content!$B$1:$B$613,$C600))*IFERROR($BU600,1)),1),"")</f>
        <v>1</v>
      </c>
      <c r="AY600">
        <f t="shared" si="71"/>
        <v>16.7</v>
      </c>
      <c r="AZ600">
        <f t="shared" si="72"/>
        <v>1.67</v>
      </c>
      <c r="BB600" t="str">
        <f>IF($H600="","",IFERROR(INDEX(_ENGINE_Risk!$AE$5:$AE$499,MATCH($E600,_ENGINE_Risk!$A$5:$A$499,0)),"Medium"))</f>
        <v>Medium</v>
      </c>
      <c r="BC600">
        <f t="shared" si="73"/>
        <v>1</v>
      </c>
      <c r="BD600">
        <f t="shared" si="74"/>
        <v>1.67</v>
      </c>
      <c r="BF600">
        <f>IF(OR($H600="",$J600=""),"",IFERROR(VLOOKUP(ROUND($J600,0),_CONFIG_Model_Settings!$D$154:$E$158,2,0),""))</f>
        <v>0.5</v>
      </c>
      <c r="BG600">
        <f>IFERROR(IF(OR($H600="",$K600=""),"",ROUND('Company Profile'!$B$113*INDEX(_CONFIG_Model_Settings!$H$154:$H$158,MATCH(ROUND($K600,0),_CONFIG_Model_Settings!$G$154:$G$158,0)),0)),0)</f>
        <v>1875</v>
      </c>
      <c r="BH600">
        <f t="shared" si="75"/>
        <v>937.5</v>
      </c>
      <c r="BI600">
        <f t="shared" si="76"/>
        <v>937.5</v>
      </c>
      <c r="BJ600">
        <f>IF($E600="","",IFERROR(VLOOKUP($C600,_CONFIG_Risk_Calibration!$A$5:$H$21,2,FALSE),3))</f>
        <v>3</v>
      </c>
      <c r="BK600">
        <f>IF($E600="","",IFERROR(VLOOKUP($C600,_CONFIG_Risk_Calibration!$A$5:$H$21,3,FALSE),0))</f>
        <v>0</v>
      </c>
      <c r="BL600">
        <f>IF($E600="","",IFERROR(VLOOKUP($C600,_CONFIG_Risk_Calibration!$A$5:$H$21,4,FALSE),3))</f>
        <v>3</v>
      </c>
      <c r="BM600">
        <f>IF($E600="","",IFERROR(VLOOKUP($C600,_CONFIG_Risk_Calibration!$A$5:$H$21,5,FALSE),3))</f>
        <v>4</v>
      </c>
      <c r="BN600" t="str">
        <f>IF($E600="","",IFERROR(VLOOKUP($C600,_CONFIG_Risk_Calibration!$A$5:$H$21,6,FALSE),"No"))</f>
        <v>Yes</v>
      </c>
      <c r="BO600">
        <f>IF($E600="","",IFERROR(VLOOKUP($C600,_CONFIG_Risk_Calibration!$A$5:$H$21,7,FALSE),1))</f>
        <v>4</v>
      </c>
      <c r="BP600">
        <f>IF($H600="","",MAX(1,MIN(5,((6-$H600)*0.45)+($BJ600*0.2)+('Resilience &amp; Risk Scenario'!$B$7*0.15)+($BK600*0.1)+($BL600*0.05)+(IF($BB600="Fast",5,IF($BB600="Slow",1,3))*0.05))))</f>
        <v>3.6</v>
      </c>
      <c r="BQ600">
        <f t="shared" si="77"/>
        <v>4.6499999999999995</v>
      </c>
      <c r="BR600">
        <f t="shared" si="78"/>
        <v>16.739999999999998</v>
      </c>
      <c r="BS600">
        <f t="shared" si="79"/>
        <v>18.41</v>
      </c>
      <c r="BT600" t="str">
        <f>IFERROR(INDEX(_REF_Capability_Bridge!$D:$D,MATCH($C600&amp;"|"&amp;$D600,_REF_Capability_Bridge!$J:$J,0)),IFERROR(INDEX(_REF_Capability_Bridge!$D:$D,MATCH($C600&amp;"|",_REF_Capability_Bridge!$J:$J,0)),"CAP_GENERIC"))</f>
        <v>CAP_PAYMENT_CONTINUITY</v>
      </c>
      <c r="BU600">
        <f>IFERROR(IFERROR(INDEX(_ENGINE_Relevance!$L:$L,MATCH($BT600,_ENGINE_Relevance!$B:$B,0)),1),1)</f>
        <v>1</v>
      </c>
      <c r="BV600" t="str">
        <f>IFERROR(INDEX(_REF_Capability_Bridge!$A:$A,MATCH($C600&amp;"|"&amp;$D600,_REF_Capability_Bridge!$J:$J,0)),IFERROR(INDEX(_REF_Capability_Bridge!$A:$A,MATCH($C600&amp;"|",_REF_Capability_Bridge!$J:$J,0)),"No bridge"))</f>
        <v>BRG-030</v>
      </c>
      <c r="BW600" t="str">
        <f t="shared" si="80"/>
        <v>Capability relevance neutral</v>
      </c>
      <c r="BX600" t="str">
        <f t="shared" si="81"/>
        <v>Initial / absent</v>
      </c>
      <c r="BY600" t="str">
        <f>IF($E600="","",IFERROR(INDEX(_REF_Treatment_Library!$A$2:$A$296,MATCH(1,INDEX((_REF_Treatment_Library!$B$2:$B$296=$BT600)*(_REF_Treatment_Library!$C$2:$C$296=PV_Canonical_Industry)*(_REF_Treatment_Library!$E$2:$E$296&lt;=N($H600))*(_REF_Treatment_Library!$F$2:$F$296&gt;=N($H600))*(_REF_Treatment_Library!$O$2:$O$296="Yes"),0),0)),IFERROR(INDEX(_REF_Treatment_Library!$A$2:$A$296,MATCH(1,INDEX((_REF_Treatment_Library!$B$2:$B$296=$BT600)*(_REF_Treatment_Library!$C$2:$C$296="All")*(_REF_Treatment_Library!$E$2:$E$296&lt;=N($H600))*(_REF_Treatment_Library!$F$2:$F$296&gt;=N($H600))*(_REF_Treatment_Library!$O$2:$O$296="Yes"),0),0)),"")))</f>
        <v>TRT-PAYMENT_CONTINUITY-INITIAL</v>
      </c>
      <c r="BZ600" t="str">
        <f>IF($BY600="","",IFERROR(INDEX(_REF_Treatment_Library!$H$2:$H$296,MATCH($BY600,_REF_Treatment_Library!$A$2:$A$296,0)),""))</f>
        <v>Establish</v>
      </c>
      <c r="CA600" t="str">
        <f>IF($BY600="","",IFERROR(INDEX(_REF_Treatment_Library!$I$2:$I$296,MATCH($BY600,_REF_Treatment_Library!$A$2:$A$296,0)),""))</f>
        <v>Establish baseline controls for Payment continuity</v>
      </c>
      <c r="CB600" t="str">
        <f>IF($BY600="","",IFERROR(INDEX(_REF_Treatment_Library!$K$2:$K$296,MATCH($BY600,_REF_Treatment_Library!$A$2:$A$296,0)),""))</f>
        <v>Named owner, baseline process, minimum control checklist, first evidence package</v>
      </c>
      <c r="CC600" t="str">
        <f>IF($BY600="","",IFERROR(INDEX(_REF_Treatment_Library!$L$2:$L$296,MATCH($BY600,_REF_Treatment_Library!$A$2:$A$296,0)),""))</f>
        <v>Owner assigned; baseline evidence coverage; open critical gaps</v>
      </c>
      <c r="CD600" t="str">
        <f t="shared" si="82"/>
        <v>Treatment by capability=CAP_PAYMENT_CONTINUITY; band=Initial / absent; score=0.0; treatment=Establish</v>
      </c>
      <c r="CE600" t="str">
        <f>IF($E600="","",IFERROR(INDEX(_REF_Industry_Wording!$A$2:$A$70,MATCH(1,INDEX((_REF_Industry_Wording!$B$2:$B$70=$BT600)*(_REF_Industry_Wording!$C$2:$C$70=PV_Canonical_Industry)*(_REF_Industry_Wording!$K$2:$K$70="Yes"),0),0)),IFERROR(INDEX(_REF_Industry_Wording!$A$2:$A$70,MATCH(1,INDEX((_REF_Industry_Wording!$B$2:$B$70=$BT600)*(_REF_Industry_Wording!$C$2:$C$70="All")*(_REF_Industry_Wording!$K$2:$K$70="Yes"),0),0)),"")))</f>
        <v>IW-ALL-PAYMENT_CONTINUITY</v>
      </c>
      <c r="CF600" t="str">
        <f>IF($CE600="","",IFERROR(INDEX(_REF_Industry_Wording!$E$2:$E$70,MATCH($CE600,_REF_Industry_Wording!$A$2:$A$70,0)),""))</f>
        <v>Payment continuity weakness</v>
      </c>
      <c r="CG600" t="str">
        <f>IF($CE600="","",IFERROR(INDEX(_REF_Industry_Wording!$F$2:$F$70,MATCH($CE600,_REF_Industry_Wording!$A$2:$A$70,0)),""))</f>
        <v>Strengthen Payment continuity</v>
      </c>
      <c r="CH600" t="str">
        <f>IF($CE600="","",IFERROR(INDEX(_REF_Industry_Wording!$G$2:$G$70,MATCH($CE600,_REF_Industry_Wording!$A$2:$A$70,0)),""))</f>
        <v>Strengthen Payment continuity using the selected maturity treatment, crisis scenario and evidence requirements.</v>
      </c>
      <c r="CI600" t="str">
        <f>IF($CE600="","",IFERROR(INDEX(_REF_Industry_Wording!$H$2:$H$70,MATCH($CE600,_REF_Industry_Wording!$A$2:$A$70,0)),""))</f>
        <v>Payment continuity</v>
      </c>
      <c r="CJ600">
        <f>IF($CE600="","",IFERROR(INDEX(_REF_Industry_Wording!$I$2:$I$70,MATCH($CE600,_REF_Industry_Wording!$A$2:$A$70,0)),""))</f>
        <v>0</v>
      </c>
      <c r="CK600" t="str">
        <f>IF($CE600="","",IFERROR(INDEX(_REF_Industry_Wording!$J$2:$J$70,MATCH($CE600,_REF_Industry_Wording!$A$2:$A$70,0)),""))</f>
        <v>Payment continuity</v>
      </c>
      <c r="CL600" t="str">
        <f t="shared" si="83"/>
        <v>Wording by industry=0; capability=CAP_PAYMENT_CONTINUITY; risk label=Payment continuity weakness</v>
      </c>
      <c r="CM600" t="str">
        <f t="shared" si="84"/>
        <v>RISK-ONT-0101</v>
      </c>
      <c r="CN600" t="str">
        <f t="shared" si="85"/>
        <v>RISK-EVT-0101</v>
      </c>
      <c r="CO600" t="str">
        <f t="shared" si="86"/>
        <v>Finance Procurement|Controls and accounting|FINA-008|CAP_PAYMENT_CONTINUITY</v>
      </c>
      <c r="CP600" t="str">
        <f t="shared" si="87"/>
        <v>Active</v>
      </c>
      <c r="CQ600" t="str">
        <f t="shared" si="88"/>
        <v>OK: capability-driven</v>
      </c>
      <c r="CR600" t="str">
        <f t="shared" si="89"/>
        <v>Risk ontology uses capability=CAP_PAYMENT_CONTINUITY; bridge=BRG-030; treatment=TRT-PAYMENT_CONTINUITY-INITIAL; wording=IW-ALL-PAYMENT_CONTINUITY</v>
      </c>
      <c r="CS600" t="str">
        <f t="shared" si="90"/>
        <v>Yes</v>
      </c>
    </row>
    <row r="601" spans="1:97" ht="69.900000000000006" customHeight="1">
      <c r="A601">
        <f>IF(OR($B601&lt;&gt;"Yes",$BS601=""),"",SUMPRODUCT(($B$500:$B$923="Yes")*ISNUMBER($BS$500:$BS$923)*($BS$500:$BS$923&gt;$BS601))+COUNTIFS($B$500:$B601,"Yes",$BS$500:$BS601,$BS601))</f>
        <v>233</v>
      </c>
      <c r="B601" t="str">
        <f t="shared" si="59"/>
        <v>Yes</v>
      </c>
      <c r="C601" t="s">
        <v>1401</v>
      </c>
      <c r="D601" t="s">
        <v>1412</v>
      </c>
      <c r="E601" t="s">
        <v>1451</v>
      </c>
      <c r="F601" t="s">
        <v>3683</v>
      </c>
      <c r="G601" t="str">
        <f>IF($H601="","",IFERROR(INDEX(_ENGINE_Risk!$H$5:$M$499,MATCH($E601,_ENGINE_Risk!$A$5:$A$499,0),$H601+1),""))</f>
        <v>Severe risk: month-end close continuity under remote work, system outage or unavailable finance staff is not reliably controlled. During Financial / liquidity shock; Supplier disruption; Fraud risk, the organization may face cash-flow stress, uncontrolled spend, supplier payment disruption and weak financial visibility with limited visibility or accountability.</v>
      </c>
      <c r="H601">
        <f>IFERROR(VALUE(INDEX(_DATA_Assessment_Model!$H$5:$H$884,MATCH($E601,_DATA_Assessment_Model!$A$5:$A$884,0))),"")</f>
        <v>0</v>
      </c>
      <c r="I601" t="str">
        <f>IF($H601="","",IFERROR(INDEX(_DATA_Assessment_Model!$L$5:$L$884,MATCH($E601,_DATA_Assessment_Model!$A$5:$A$884,0)),IF($H601&lt;=1,"Critical",IF($H601=2,"High",IF($H601=3,"Medium",IF($H601=4,"Low","Resilient"))))))</f>
        <v>Critical</v>
      </c>
      <c r="J601">
        <f t="shared" si="60"/>
        <v>3.6</v>
      </c>
      <c r="K601">
        <f t="shared" si="61"/>
        <v>4.5</v>
      </c>
      <c r="L601">
        <f t="shared" si="62"/>
        <v>16.2</v>
      </c>
      <c r="M601">
        <f t="shared" si="63"/>
        <v>4</v>
      </c>
      <c r="N601">
        <f>IF($H601="","",IFERROR(INDEX(_ENGINE_Risk!$T$5:$Y$499,MATCH($E601,_ENGINE_Risk!$A$5:$A$499,0),$H601+1),""))</f>
        <v>3</v>
      </c>
      <c r="O601">
        <f t="shared" si="64"/>
        <v>4.666666666666667</v>
      </c>
      <c r="P601">
        <f t="shared" si="65"/>
        <v>5</v>
      </c>
      <c r="Q601">
        <f t="shared" si="66"/>
        <v>5</v>
      </c>
      <c r="R601">
        <f t="shared" si="67"/>
        <v>4.5</v>
      </c>
      <c r="S601">
        <f t="shared" si="68"/>
        <v>1.6</v>
      </c>
      <c r="T601" t="str">
        <f>IF($H601="","",IFERROR(INDEX(_ENGINE_Risk!$N$5:$S$499,MATCH($E601,_ENGINE_Risk!$A$5:$A$499,0),$H601+1),""))</f>
        <v>Create an immediate risk owner, minimum control baseline and fallback procedure for month-end close continuity under remote work, system outage or unavailable finance staff. Add it to the crisis risk register and collect first evidence.</v>
      </c>
      <c r="U601">
        <f>IFERROR(INDEX(_DATA_Assessment_Model!$G$5:$G$884,MATCH($E601,_DATA_Assessment_Model!$A$5:$A$884,0)),"")</f>
        <v>5</v>
      </c>
      <c r="V601">
        <f>IFERROR(INDEX(_DATA_Assessment_Model!$W$5:$W$884,MATCH($E601,_DATA_Assessment_Model!$A$5:$A$884,0)),"")</f>
        <v>4</v>
      </c>
      <c r="W601">
        <f>IFERROR(INDEX(_DATA_Assessment_Model!$X$5:$X$884,MATCH($E601,_DATA_Assessment_Model!$A$5:$A$884,0)),"")</f>
        <v>5</v>
      </c>
      <c r="X601">
        <f>IFERROR(INDEX(_DATA_Assessment_Model!$Y$5:$Y$884,MATCH($E601,_DATA_Assessment_Model!$A$5:$A$884,0)),"")</f>
        <v>5</v>
      </c>
      <c r="Y601" t="s">
        <v>1408</v>
      </c>
      <c r="Z601" t="s">
        <v>5918</v>
      </c>
      <c r="AA601" t="s">
        <v>1453</v>
      </c>
      <c r="AB601">
        <f>IFERROR(INDEX(_DATA_Assessment_Model!$U$5:$U$884,MATCH($E601,_DATA_Assessment_Model!$A$5:$A$884,0)),"")</f>
        <v>0</v>
      </c>
      <c r="AF601" t="s">
        <v>1452</v>
      </c>
      <c r="AO601">
        <f>IF($B601="Yes",IF(IFERROR(INDEX(_ENGINE_Crisis!$F$501:$F$517,MATCH($C601,_ENGINE_Crisis!$A$501:$A$517,0)),1)=0,1,IFERROR(INDEX(_ENGINE_Crisis!$F$501:$F$517,MATCH($C601,_ENGINE_Crisis!$A$501:$A$517,0)),1)),"")</f>
        <v>1</v>
      </c>
      <c r="AP601">
        <f t="shared" si="69"/>
        <v>16.2</v>
      </c>
      <c r="AQ601">
        <f t="shared" si="70"/>
        <v>1.6</v>
      </c>
      <c r="AR601" t="str">
        <f>IFERROR(INDEX(_ENGINE_Crisis!$E$41:$E$700,MATCH('Resilience &amp; Risk Scenario'!$B$6&amp;"|"&amp;$C601,_ENGINE_Crisis!$I$41:$I$700,0)),"")</f>
        <v/>
      </c>
      <c r="AS601" t="str">
        <f>IFERROR(INDEX(_ENGINE_Crisis!$G$41:$G$700,MATCH('Resilience &amp; Risk Scenario'!$B$6&amp;"|"&amp;$C601,_ENGINE_Crisis!$I$41:$I$700,0)),"")</f>
        <v/>
      </c>
      <c r="AT601" t="str">
        <f>IFERROR(INDEX(_ENGINE_Initiatives!$A$5:$A$532,MATCH(1,INDEX((_ENGINE_Initiatives!$B$5:$B$532=$C601)*(_ENGINE_Initiatives!$C$5:$C$532=$D601),0),0)),"")</f>
        <v>INI-016</v>
      </c>
      <c r="AU601" t="str">
        <f>IFERROR(INDEX(_ENGINE_Initiatives!$F$5:$F$532,MATCH(1,INDEX((_ENGINE_Initiatives!$B$5:$B$532=$C601)*(_ENGINE_Initiatives!$C$5:$C$532=$D601),0),0)),"")</f>
        <v>Strengthen financial controls, approvals and accounting continuity</v>
      </c>
      <c r="AV601">
        <f>IFERROR(INDEX(_ENGINE_Initiatives!$AC$5:$AC$532,MATCH(1,INDEX((_ENGINE_Initiatives!$B$5:$B$532=$C601)*(_ENGINE_Initiatives!$C$5:$C$532=$D601),0),0)),"")</f>
        <v>1.75</v>
      </c>
      <c r="AW601" t="str">
        <f>IFERROR(INDEX(_ENGINE_Initiatives!$AE$5:$AE$532,MATCH(1,INDEX((_ENGINE_Initiatives!$B$5:$B$532=$C601)*(_ENGINE_Initiatives!$C$5:$C$532=$D601),0),0)),"")</f>
        <v>3-6 months</v>
      </c>
      <c r="AX601">
        <f>IF($B601="Yes",IFERROR((IF(SUMIFS(_REF_Model_Content!$E$1:$E$613,_REF_Model_Content!$A$1:$A$613,PV_Canonical_Industry,_REF_Model_Content!$B$1:$B$613,$C601)=0,1,SUMIFS(_REF_Model_Content!$E$1:$E$613,_REF_Model_Content!$A$1:$A$613,PV_Canonical_Industry,_REF_Model_Content!$B$1:$B$613,$C601))*IFERROR($BU601,1)),1),"")</f>
        <v>1</v>
      </c>
      <c r="AY601">
        <f t="shared" si="71"/>
        <v>16.2</v>
      </c>
      <c r="AZ601">
        <f t="shared" si="72"/>
        <v>1.6</v>
      </c>
      <c r="BB601" t="str">
        <f>IF($H601="","",IFERROR(INDEX(_ENGINE_Risk!$AE$5:$AE$499,MATCH($E601,_ENGINE_Risk!$A$5:$A$499,0)),"Medium"))</f>
        <v>Medium</v>
      </c>
      <c r="BC601">
        <f t="shared" si="73"/>
        <v>1</v>
      </c>
      <c r="BD601">
        <f t="shared" si="74"/>
        <v>1.6</v>
      </c>
      <c r="BF601">
        <f>IF(OR($H601="",$J601=""),"",IFERROR(VLOOKUP(ROUND($J601,0),_CONFIG_Model_Settings!$D$154:$E$158,2,0),""))</f>
        <v>0.5</v>
      </c>
      <c r="BG601">
        <f>IFERROR(IF(OR($H601="",$K601=""),"",ROUND('Company Profile'!$B$113*INDEX(_CONFIG_Model_Settings!$H$154:$H$158,MATCH(ROUND($K601,0),_CONFIG_Model_Settings!$G$154:$G$158,0)),0)),0)</f>
        <v>1875</v>
      </c>
      <c r="BH601">
        <f t="shared" si="75"/>
        <v>937.5</v>
      </c>
      <c r="BI601">
        <f t="shared" si="76"/>
        <v>937.5</v>
      </c>
      <c r="BJ601">
        <f>IF($E601="","",IFERROR(VLOOKUP($C601,_CONFIG_Risk_Calibration!$A$5:$H$21,2,FALSE),3))</f>
        <v>3</v>
      </c>
      <c r="BK601">
        <f>IF($E601="","",IFERROR(VLOOKUP($C601,_CONFIG_Risk_Calibration!$A$5:$H$21,3,FALSE),0))</f>
        <v>0</v>
      </c>
      <c r="BL601">
        <f>IF($E601="","",IFERROR(VLOOKUP($C601,_CONFIG_Risk_Calibration!$A$5:$H$21,4,FALSE),3))</f>
        <v>3</v>
      </c>
      <c r="BM601">
        <f>IF($E601="","",IFERROR(VLOOKUP($C601,_CONFIG_Risk_Calibration!$A$5:$H$21,5,FALSE),3))</f>
        <v>4</v>
      </c>
      <c r="BN601" t="str">
        <f>IF($E601="","",IFERROR(VLOOKUP($C601,_CONFIG_Risk_Calibration!$A$5:$H$21,6,FALSE),"No"))</f>
        <v>Yes</v>
      </c>
      <c r="BO601">
        <f>IF($E601="","",IFERROR(VLOOKUP($C601,_CONFIG_Risk_Calibration!$A$5:$H$21,7,FALSE),1))</f>
        <v>4</v>
      </c>
      <c r="BP601">
        <f>IF($H601="","",MAX(1,MIN(5,((6-$H601)*0.45)+($BJ601*0.2)+('Resilience &amp; Risk Scenario'!$B$7*0.15)+($BK601*0.1)+($BL601*0.05)+(IF($BB601="Fast",5,IF($BB601="Slow",1,3))*0.05))))</f>
        <v>3.6</v>
      </c>
      <c r="BQ601">
        <f t="shared" si="77"/>
        <v>4.5</v>
      </c>
      <c r="BR601">
        <f t="shared" si="78"/>
        <v>16.2</v>
      </c>
      <c r="BS601">
        <f t="shared" si="79"/>
        <v>17.82</v>
      </c>
      <c r="BT601" t="str">
        <f>IFERROR(INDEX(_REF_Capability_Bridge!$D:$D,MATCH($C601&amp;"|"&amp;$D601,_REF_Capability_Bridge!$J:$J,0)),IFERROR(INDEX(_REF_Capability_Bridge!$D:$D,MATCH($C601&amp;"|",_REF_Capability_Bridge!$J:$J,0)),"CAP_GENERIC"))</f>
        <v>CAP_PAYMENT_CONTINUITY</v>
      </c>
      <c r="BU601">
        <f>IFERROR(IFERROR(INDEX(_ENGINE_Relevance!$L:$L,MATCH($BT601,_ENGINE_Relevance!$B:$B,0)),1),1)</f>
        <v>1</v>
      </c>
      <c r="BV601" t="str">
        <f>IFERROR(INDEX(_REF_Capability_Bridge!$A:$A,MATCH($C601&amp;"|"&amp;$D601,_REF_Capability_Bridge!$J:$J,0)),IFERROR(INDEX(_REF_Capability_Bridge!$A:$A,MATCH($C601&amp;"|",_REF_Capability_Bridge!$J:$J,0)),"No bridge"))</f>
        <v>BRG-030</v>
      </c>
      <c r="BW601" t="str">
        <f t="shared" si="80"/>
        <v>Capability relevance neutral</v>
      </c>
      <c r="BX601" t="str">
        <f t="shared" si="81"/>
        <v>Initial / absent</v>
      </c>
      <c r="BY601" t="str">
        <f>IF($E601="","",IFERROR(INDEX(_REF_Treatment_Library!$A$2:$A$296,MATCH(1,INDEX((_REF_Treatment_Library!$B$2:$B$296=$BT601)*(_REF_Treatment_Library!$C$2:$C$296=PV_Canonical_Industry)*(_REF_Treatment_Library!$E$2:$E$296&lt;=N($H601))*(_REF_Treatment_Library!$F$2:$F$296&gt;=N($H601))*(_REF_Treatment_Library!$O$2:$O$296="Yes"),0),0)),IFERROR(INDEX(_REF_Treatment_Library!$A$2:$A$296,MATCH(1,INDEX((_REF_Treatment_Library!$B$2:$B$296=$BT601)*(_REF_Treatment_Library!$C$2:$C$296="All")*(_REF_Treatment_Library!$E$2:$E$296&lt;=N($H601))*(_REF_Treatment_Library!$F$2:$F$296&gt;=N($H601))*(_REF_Treatment_Library!$O$2:$O$296="Yes"),0),0)),"")))</f>
        <v>TRT-PAYMENT_CONTINUITY-INITIAL</v>
      </c>
      <c r="BZ601" t="str">
        <f>IF($BY601="","",IFERROR(INDEX(_REF_Treatment_Library!$H$2:$H$296,MATCH($BY601,_REF_Treatment_Library!$A$2:$A$296,0)),""))</f>
        <v>Establish</v>
      </c>
      <c r="CA601" t="str">
        <f>IF($BY601="","",IFERROR(INDEX(_REF_Treatment_Library!$I$2:$I$296,MATCH($BY601,_REF_Treatment_Library!$A$2:$A$296,0)),""))</f>
        <v>Establish baseline controls for Payment continuity</v>
      </c>
      <c r="CB601" t="str">
        <f>IF($BY601="","",IFERROR(INDEX(_REF_Treatment_Library!$K$2:$K$296,MATCH($BY601,_REF_Treatment_Library!$A$2:$A$296,0)),""))</f>
        <v>Named owner, baseline process, minimum control checklist, first evidence package</v>
      </c>
      <c r="CC601" t="str">
        <f>IF($BY601="","",IFERROR(INDEX(_REF_Treatment_Library!$L$2:$L$296,MATCH($BY601,_REF_Treatment_Library!$A$2:$A$296,0)),""))</f>
        <v>Owner assigned; baseline evidence coverage; open critical gaps</v>
      </c>
      <c r="CD601" t="str">
        <f t="shared" si="82"/>
        <v>Treatment by capability=CAP_PAYMENT_CONTINUITY; band=Initial / absent; score=0.0; treatment=Establish</v>
      </c>
      <c r="CE601" t="str">
        <f>IF($E601="","",IFERROR(INDEX(_REF_Industry_Wording!$A$2:$A$70,MATCH(1,INDEX((_REF_Industry_Wording!$B$2:$B$70=$BT601)*(_REF_Industry_Wording!$C$2:$C$70=PV_Canonical_Industry)*(_REF_Industry_Wording!$K$2:$K$70="Yes"),0),0)),IFERROR(INDEX(_REF_Industry_Wording!$A$2:$A$70,MATCH(1,INDEX((_REF_Industry_Wording!$B$2:$B$70=$BT601)*(_REF_Industry_Wording!$C$2:$C$70="All")*(_REF_Industry_Wording!$K$2:$K$70="Yes"),0),0)),"")))</f>
        <v>IW-ALL-PAYMENT_CONTINUITY</v>
      </c>
      <c r="CF601" t="str">
        <f>IF($CE601="","",IFERROR(INDEX(_REF_Industry_Wording!$E$2:$E$70,MATCH($CE601,_REF_Industry_Wording!$A$2:$A$70,0)),""))</f>
        <v>Payment continuity weakness</v>
      </c>
      <c r="CG601" t="str">
        <f>IF($CE601="","",IFERROR(INDEX(_REF_Industry_Wording!$F$2:$F$70,MATCH($CE601,_REF_Industry_Wording!$A$2:$A$70,0)),""))</f>
        <v>Strengthen Payment continuity</v>
      </c>
      <c r="CH601" t="str">
        <f>IF($CE601="","",IFERROR(INDEX(_REF_Industry_Wording!$G$2:$G$70,MATCH($CE601,_REF_Industry_Wording!$A$2:$A$70,0)),""))</f>
        <v>Strengthen Payment continuity using the selected maturity treatment, crisis scenario and evidence requirements.</v>
      </c>
      <c r="CI601" t="str">
        <f>IF($CE601="","",IFERROR(INDEX(_REF_Industry_Wording!$H$2:$H$70,MATCH($CE601,_REF_Industry_Wording!$A$2:$A$70,0)),""))</f>
        <v>Payment continuity</v>
      </c>
      <c r="CJ601">
        <f>IF($CE601="","",IFERROR(INDEX(_REF_Industry_Wording!$I$2:$I$70,MATCH($CE601,_REF_Industry_Wording!$A$2:$A$70,0)),""))</f>
        <v>0</v>
      </c>
      <c r="CK601" t="str">
        <f>IF($CE601="","",IFERROR(INDEX(_REF_Industry_Wording!$J$2:$J$70,MATCH($CE601,_REF_Industry_Wording!$A$2:$A$70,0)),""))</f>
        <v>Payment continuity</v>
      </c>
      <c r="CL601" t="str">
        <f t="shared" si="83"/>
        <v>Wording by industry=0; capability=CAP_PAYMENT_CONTINUITY; risk label=Payment continuity weakness</v>
      </c>
      <c r="CM601" t="str">
        <f t="shared" si="84"/>
        <v>RISK-ONT-0102</v>
      </c>
      <c r="CN601" t="str">
        <f t="shared" si="85"/>
        <v>RISK-EVT-0102</v>
      </c>
      <c r="CO601" t="str">
        <f t="shared" si="86"/>
        <v>Finance Procurement|Controls and accounting|FINA-009|CAP_PAYMENT_CONTINUITY</v>
      </c>
      <c r="CP601" t="str">
        <f t="shared" si="87"/>
        <v>Active</v>
      </c>
      <c r="CQ601" t="str">
        <f t="shared" si="88"/>
        <v>OK: capability-driven</v>
      </c>
      <c r="CR601" t="str">
        <f t="shared" si="89"/>
        <v>Risk ontology uses capability=CAP_PAYMENT_CONTINUITY; bridge=BRG-030; treatment=TRT-PAYMENT_CONTINUITY-INITIAL; wording=IW-ALL-PAYMENT_CONTINUITY</v>
      </c>
      <c r="CS601" t="str">
        <f t="shared" si="90"/>
        <v>Yes</v>
      </c>
    </row>
    <row r="602" spans="1:97" ht="69.900000000000006" customHeight="1">
      <c r="A602">
        <f>IF(OR($B602&lt;&gt;"Yes",$BS602=""),"",SUMPRODUCT(($B$500:$B$923="Yes")*ISNUMBER($BS$500:$BS$923)*($BS$500:$BS$923&gt;$BS602))+COUNTIFS($B$500:$B602,"Yes",$BS$500:$BS602,$BS602))</f>
        <v>234</v>
      </c>
      <c r="B602" t="str">
        <f t="shared" si="59"/>
        <v>Yes</v>
      </c>
      <c r="C602" t="s">
        <v>1401</v>
      </c>
      <c r="D602" t="s">
        <v>1412</v>
      </c>
      <c r="E602" t="s">
        <v>1454</v>
      </c>
      <c r="F602" t="s">
        <v>3683</v>
      </c>
      <c r="G602" t="str">
        <f>IF($H602="","",IFERROR(INDEX(_ENGINE_Risk!$H$5:$M$499,MATCH($E602,_ENGINE_Risk!$A$5:$A$499,0),$H602+1),""))</f>
        <v>Severe risk: manual fallback procedures for billing, payments, payroll, procurement and accounting close is not reliably controlled. During Financial / liquidity shock; Supplier disruption; Fraud risk, the organization may face cash-flow stress, uncontrolled spend, supplier payment disruption and weak financial visibility with limited visibility or accountability.</v>
      </c>
      <c r="H602">
        <f>IFERROR(VALUE(INDEX(_DATA_Assessment_Model!$H$5:$H$884,MATCH($E602,_DATA_Assessment_Model!$A$5:$A$884,0))),"")</f>
        <v>0</v>
      </c>
      <c r="I602" t="str">
        <f>IF($H602="","",IFERROR(INDEX(_DATA_Assessment_Model!$L$5:$L$884,MATCH($E602,_DATA_Assessment_Model!$A$5:$A$884,0)),IF($H602&lt;=1,"Critical",IF($H602=2,"High",IF($H602=3,"Medium",IF($H602=4,"Low","Resilient"))))))</f>
        <v>Critical</v>
      </c>
      <c r="J602">
        <f t="shared" si="60"/>
        <v>3.6</v>
      </c>
      <c r="K602">
        <f t="shared" si="61"/>
        <v>4.5</v>
      </c>
      <c r="L602">
        <f t="shared" si="62"/>
        <v>16.2</v>
      </c>
      <c r="M602">
        <f t="shared" si="63"/>
        <v>4</v>
      </c>
      <c r="N602">
        <f>IF($H602="","",IFERROR(INDEX(_ENGINE_Risk!$T$5:$Y$499,MATCH($E602,_ENGINE_Risk!$A$5:$A$499,0),$H602+1),""))</f>
        <v>3</v>
      </c>
      <c r="O602">
        <f t="shared" si="64"/>
        <v>4.666666666666667</v>
      </c>
      <c r="P602">
        <f t="shared" si="65"/>
        <v>5</v>
      </c>
      <c r="Q602">
        <f t="shared" si="66"/>
        <v>5</v>
      </c>
      <c r="R602">
        <f t="shared" si="67"/>
        <v>4.5</v>
      </c>
      <c r="S602">
        <f t="shared" si="68"/>
        <v>1.6</v>
      </c>
      <c r="T602" t="str">
        <f>IF($H602="","",IFERROR(INDEX(_ENGINE_Risk!$N$5:$S$499,MATCH($E602,_ENGINE_Risk!$A$5:$A$499,0),$H602+1),""))</f>
        <v>Create an immediate risk owner, minimum control baseline and fallback procedure for manual fallback procedures for billing, payments, payroll, procurement and accounting close. Add it to the crisis risk register and collect first evidence.</v>
      </c>
      <c r="U602">
        <f>IFERROR(INDEX(_DATA_Assessment_Model!$G$5:$G$884,MATCH($E602,_DATA_Assessment_Model!$A$5:$A$884,0)),"")</f>
        <v>5</v>
      </c>
      <c r="V602">
        <f>IFERROR(INDEX(_DATA_Assessment_Model!$W$5:$W$884,MATCH($E602,_DATA_Assessment_Model!$A$5:$A$884,0)),"")</f>
        <v>4</v>
      </c>
      <c r="W602">
        <f>IFERROR(INDEX(_DATA_Assessment_Model!$X$5:$X$884,MATCH($E602,_DATA_Assessment_Model!$A$5:$A$884,0)),"")</f>
        <v>5</v>
      </c>
      <c r="X602">
        <f>IFERROR(INDEX(_DATA_Assessment_Model!$Y$5:$Y$884,MATCH($E602,_DATA_Assessment_Model!$A$5:$A$884,0)),"")</f>
        <v>5</v>
      </c>
      <c r="Y602" t="s">
        <v>1408</v>
      </c>
      <c r="Z602" t="s">
        <v>5918</v>
      </c>
      <c r="AA602" t="s">
        <v>1456</v>
      </c>
      <c r="AB602">
        <f>IFERROR(INDEX(_DATA_Assessment_Model!$U$5:$U$884,MATCH($E602,_DATA_Assessment_Model!$A$5:$A$884,0)),"")</f>
        <v>0</v>
      </c>
      <c r="AF602" t="s">
        <v>1455</v>
      </c>
      <c r="AO602">
        <f>IF($B602="Yes",IF(IFERROR(INDEX(_ENGINE_Crisis!$F$501:$F$517,MATCH($C602,_ENGINE_Crisis!$A$501:$A$517,0)),1)=0,1,IFERROR(INDEX(_ENGINE_Crisis!$F$501:$F$517,MATCH($C602,_ENGINE_Crisis!$A$501:$A$517,0)),1)),"")</f>
        <v>1</v>
      </c>
      <c r="AP602">
        <f t="shared" si="69"/>
        <v>16.2</v>
      </c>
      <c r="AQ602">
        <f t="shared" si="70"/>
        <v>1.6</v>
      </c>
      <c r="AR602" t="str">
        <f>IFERROR(INDEX(_ENGINE_Crisis!$E$41:$E$700,MATCH('Resilience &amp; Risk Scenario'!$B$6&amp;"|"&amp;$C602,_ENGINE_Crisis!$I$41:$I$700,0)),"")</f>
        <v/>
      </c>
      <c r="AS602" t="str">
        <f>IFERROR(INDEX(_ENGINE_Crisis!$G$41:$G$700,MATCH('Resilience &amp; Risk Scenario'!$B$6&amp;"|"&amp;$C602,_ENGINE_Crisis!$I$41:$I$700,0)),"")</f>
        <v/>
      </c>
      <c r="AT602" t="str">
        <f>IFERROR(INDEX(_ENGINE_Initiatives!$A$5:$A$532,MATCH(1,INDEX((_ENGINE_Initiatives!$B$5:$B$532=$C602)*(_ENGINE_Initiatives!$C$5:$C$532=$D602),0),0)),"")</f>
        <v>INI-016</v>
      </c>
      <c r="AU602" t="str">
        <f>IFERROR(INDEX(_ENGINE_Initiatives!$F$5:$F$532,MATCH(1,INDEX((_ENGINE_Initiatives!$B$5:$B$532=$C602)*(_ENGINE_Initiatives!$C$5:$C$532=$D602),0),0)),"")</f>
        <v>Strengthen financial controls, approvals and accounting continuity</v>
      </c>
      <c r="AV602">
        <f>IFERROR(INDEX(_ENGINE_Initiatives!$AC$5:$AC$532,MATCH(1,INDEX((_ENGINE_Initiatives!$B$5:$B$532=$C602)*(_ENGINE_Initiatives!$C$5:$C$532=$D602),0),0)),"")</f>
        <v>1.75</v>
      </c>
      <c r="AW602" t="str">
        <f>IFERROR(INDEX(_ENGINE_Initiatives!$AE$5:$AE$532,MATCH(1,INDEX((_ENGINE_Initiatives!$B$5:$B$532=$C602)*(_ENGINE_Initiatives!$C$5:$C$532=$D602),0),0)),"")</f>
        <v>3-6 months</v>
      </c>
      <c r="AX602">
        <f>IF($B602="Yes",IFERROR((IF(SUMIFS(_REF_Model_Content!$E$1:$E$613,_REF_Model_Content!$A$1:$A$613,PV_Canonical_Industry,_REF_Model_Content!$B$1:$B$613,$C602)=0,1,SUMIFS(_REF_Model_Content!$E$1:$E$613,_REF_Model_Content!$A$1:$A$613,PV_Canonical_Industry,_REF_Model_Content!$B$1:$B$613,$C602))*IFERROR($BU602,1)),1),"")</f>
        <v>1</v>
      </c>
      <c r="AY602">
        <f t="shared" si="71"/>
        <v>16.2</v>
      </c>
      <c r="AZ602">
        <f t="shared" si="72"/>
        <v>1.6</v>
      </c>
      <c r="BB602" t="str">
        <f>IF($H602="","",IFERROR(INDEX(_ENGINE_Risk!$AE$5:$AE$499,MATCH($E602,_ENGINE_Risk!$A$5:$A$499,0)),"Medium"))</f>
        <v>Medium</v>
      </c>
      <c r="BC602">
        <f t="shared" si="73"/>
        <v>1</v>
      </c>
      <c r="BD602">
        <f t="shared" si="74"/>
        <v>1.6</v>
      </c>
      <c r="BF602">
        <f>IF(OR($H602="",$J602=""),"",IFERROR(VLOOKUP(ROUND($J602,0),_CONFIG_Model_Settings!$D$154:$E$158,2,0),""))</f>
        <v>0.5</v>
      </c>
      <c r="BG602">
        <f>IFERROR(IF(OR($H602="",$K602=""),"",ROUND('Company Profile'!$B$113*INDEX(_CONFIG_Model_Settings!$H$154:$H$158,MATCH(ROUND($K602,0),_CONFIG_Model_Settings!$G$154:$G$158,0)),0)),0)</f>
        <v>1875</v>
      </c>
      <c r="BH602">
        <f t="shared" si="75"/>
        <v>937.5</v>
      </c>
      <c r="BI602">
        <f t="shared" si="76"/>
        <v>937.5</v>
      </c>
      <c r="BJ602">
        <f>IF($E602="","",IFERROR(VLOOKUP($C602,_CONFIG_Risk_Calibration!$A$5:$H$21,2,FALSE),3))</f>
        <v>3</v>
      </c>
      <c r="BK602">
        <f>IF($E602="","",IFERROR(VLOOKUP($C602,_CONFIG_Risk_Calibration!$A$5:$H$21,3,FALSE),0))</f>
        <v>0</v>
      </c>
      <c r="BL602">
        <f>IF($E602="","",IFERROR(VLOOKUP($C602,_CONFIG_Risk_Calibration!$A$5:$H$21,4,FALSE),3))</f>
        <v>3</v>
      </c>
      <c r="BM602">
        <f>IF($E602="","",IFERROR(VLOOKUP($C602,_CONFIG_Risk_Calibration!$A$5:$H$21,5,FALSE),3))</f>
        <v>4</v>
      </c>
      <c r="BN602" t="str">
        <f>IF($E602="","",IFERROR(VLOOKUP($C602,_CONFIG_Risk_Calibration!$A$5:$H$21,6,FALSE),"No"))</f>
        <v>Yes</v>
      </c>
      <c r="BO602">
        <f>IF($E602="","",IFERROR(VLOOKUP($C602,_CONFIG_Risk_Calibration!$A$5:$H$21,7,FALSE),1))</f>
        <v>4</v>
      </c>
      <c r="BP602">
        <f>IF($H602="","",MAX(1,MIN(5,((6-$H602)*0.45)+($BJ602*0.2)+('Resilience &amp; Risk Scenario'!$B$7*0.15)+($BK602*0.1)+($BL602*0.05)+(IF($BB602="Fast",5,IF($BB602="Slow",1,3))*0.05))))</f>
        <v>3.6</v>
      </c>
      <c r="BQ602">
        <f t="shared" si="77"/>
        <v>4.5</v>
      </c>
      <c r="BR602">
        <f t="shared" si="78"/>
        <v>16.2</v>
      </c>
      <c r="BS602">
        <f t="shared" si="79"/>
        <v>17.82</v>
      </c>
      <c r="BT602" t="str">
        <f>IFERROR(INDEX(_REF_Capability_Bridge!$D:$D,MATCH($C602&amp;"|"&amp;$D602,_REF_Capability_Bridge!$J:$J,0)),IFERROR(INDEX(_REF_Capability_Bridge!$D:$D,MATCH($C602&amp;"|",_REF_Capability_Bridge!$J:$J,0)),"CAP_GENERIC"))</f>
        <v>CAP_PAYMENT_CONTINUITY</v>
      </c>
      <c r="BU602">
        <f>IFERROR(IFERROR(INDEX(_ENGINE_Relevance!$L:$L,MATCH($BT602,_ENGINE_Relevance!$B:$B,0)),1),1)</f>
        <v>1</v>
      </c>
      <c r="BV602" t="str">
        <f>IFERROR(INDEX(_REF_Capability_Bridge!$A:$A,MATCH($C602&amp;"|"&amp;$D602,_REF_Capability_Bridge!$J:$J,0)),IFERROR(INDEX(_REF_Capability_Bridge!$A:$A,MATCH($C602&amp;"|",_REF_Capability_Bridge!$J:$J,0)),"No bridge"))</f>
        <v>BRG-030</v>
      </c>
      <c r="BW602" t="str">
        <f t="shared" si="80"/>
        <v>Capability relevance neutral</v>
      </c>
      <c r="BX602" t="str">
        <f t="shared" si="81"/>
        <v>Initial / absent</v>
      </c>
      <c r="BY602" t="str">
        <f>IF($E602="","",IFERROR(INDEX(_REF_Treatment_Library!$A$2:$A$296,MATCH(1,INDEX((_REF_Treatment_Library!$B$2:$B$296=$BT602)*(_REF_Treatment_Library!$C$2:$C$296=PV_Canonical_Industry)*(_REF_Treatment_Library!$E$2:$E$296&lt;=N($H602))*(_REF_Treatment_Library!$F$2:$F$296&gt;=N($H602))*(_REF_Treatment_Library!$O$2:$O$296="Yes"),0),0)),IFERROR(INDEX(_REF_Treatment_Library!$A$2:$A$296,MATCH(1,INDEX((_REF_Treatment_Library!$B$2:$B$296=$BT602)*(_REF_Treatment_Library!$C$2:$C$296="All")*(_REF_Treatment_Library!$E$2:$E$296&lt;=N($H602))*(_REF_Treatment_Library!$F$2:$F$296&gt;=N($H602))*(_REF_Treatment_Library!$O$2:$O$296="Yes"),0),0)),"")))</f>
        <v>TRT-PAYMENT_CONTINUITY-INITIAL</v>
      </c>
      <c r="BZ602" t="str">
        <f>IF($BY602="","",IFERROR(INDEX(_REF_Treatment_Library!$H$2:$H$296,MATCH($BY602,_REF_Treatment_Library!$A$2:$A$296,0)),""))</f>
        <v>Establish</v>
      </c>
      <c r="CA602" t="str">
        <f>IF($BY602="","",IFERROR(INDEX(_REF_Treatment_Library!$I$2:$I$296,MATCH($BY602,_REF_Treatment_Library!$A$2:$A$296,0)),""))</f>
        <v>Establish baseline controls for Payment continuity</v>
      </c>
      <c r="CB602" t="str">
        <f>IF($BY602="","",IFERROR(INDEX(_REF_Treatment_Library!$K$2:$K$296,MATCH($BY602,_REF_Treatment_Library!$A$2:$A$296,0)),""))</f>
        <v>Named owner, baseline process, minimum control checklist, first evidence package</v>
      </c>
      <c r="CC602" t="str">
        <f>IF($BY602="","",IFERROR(INDEX(_REF_Treatment_Library!$L$2:$L$296,MATCH($BY602,_REF_Treatment_Library!$A$2:$A$296,0)),""))</f>
        <v>Owner assigned; baseline evidence coverage; open critical gaps</v>
      </c>
      <c r="CD602" t="str">
        <f t="shared" si="82"/>
        <v>Treatment by capability=CAP_PAYMENT_CONTINUITY; band=Initial / absent; score=0.0; treatment=Establish</v>
      </c>
      <c r="CE602" t="str">
        <f>IF($E602="","",IFERROR(INDEX(_REF_Industry_Wording!$A$2:$A$70,MATCH(1,INDEX((_REF_Industry_Wording!$B$2:$B$70=$BT602)*(_REF_Industry_Wording!$C$2:$C$70=PV_Canonical_Industry)*(_REF_Industry_Wording!$K$2:$K$70="Yes"),0),0)),IFERROR(INDEX(_REF_Industry_Wording!$A$2:$A$70,MATCH(1,INDEX((_REF_Industry_Wording!$B$2:$B$70=$BT602)*(_REF_Industry_Wording!$C$2:$C$70="All")*(_REF_Industry_Wording!$K$2:$K$70="Yes"),0),0)),"")))</f>
        <v>IW-ALL-PAYMENT_CONTINUITY</v>
      </c>
      <c r="CF602" t="str">
        <f>IF($CE602="","",IFERROR(INDEX(_REF_Industry_Wording!$E$2:$E$70,MATCH($CE602,_REF_Industry_Wording!$A$2:$A$70,0)),""))</f>
        <v>Payment continuity weakness</v>
      </c>
      <c r="CG602" t="str">
        <f>IF($CE602="","",IFERROR(INDEX(_REF_Industry_Wording!$F$2:$F$70,MATCH($CE602,_REF_Industry_Wording!$A$2:$A$70,0)),""))</f>
        <v>Strengthen Payment continuity</v>
      </c>
      <c r="CH602" t="str">
        <f>IF($CE602="","",IFERROR(INDEX(_REF_Industry_Wording!$G$2:$G$70,MATCH($CE602,_REF_Industry_Wording!$A$2:$A$70,0)),""))</f>
        <v>Strengthen Payment continuity using the selected maturity treatment, crisis scenario and evidence requirements.</v>
      </c>
      <c r="CI602" t="str">
        <f>IF($CE602="","",IFERROR(INDEX(_REF_Industry_Wording!$H$2:$H$70,MATCH($CE602,_REF_Industry_Wording!$A$2:$A$70,0)),""))</f>
        <v>Payment continuity</v>
      </c>
      <c r="CJ602">
        <f>IF($CE602="","",IFERROR(INDEX(_REF_Industry_Wording!$I$2:$I$70,MATCH($CE602,_REF_Industry_Wording!$A$2:$A$70,0)),""))</f>
        <v>0</v>
      </c>
      <c r="CK602" t="str">
        <f>IF($CE602="","",IFERROR(INDEX(_REF_Industry_Wording!$J$2:$J$70,MATCH($CE602,_REF_Industry_Wording!$A$2:$A$70,0)),""))</f>
        <v>Payment continuity</v>
      </c>
      <c r="CL602" t="str">
        <f t="shared" si="83"/>
        <v>Wording by industry=0; capability=CAP_PAYMENT_CONTINUITY; risk label=Payment continuity weakness</v>
      </c>
      <c r="CM602" t="str">
        <f t="shared" si="84"/>
        <v>RISK-ONT-0103</v>
      </c>
      <c r="CN602" t="str">
        <f t="shared" si="85"/>
        <v>RISK-EVT-0103</v>
      </c>
      <c r="CO602" t="str">
        <f t="shared" si="86"/>
        <v>Finance Procurement|Controls and accounting|FINA-010|CAP_PAYMENT_CONTINUITY</v>
      </c>
      <c r="CP602" t="str">
        <f t="shared" si="87"/>
        <v>Active</v>
      </c>
      <c r="CQ602" t="str">
        <f t="shared" si="88"/>
        <v>OK: capability-driven</v>
      </c>
      <c r="CR602" t="str">
        <f t="shared" si="89"/>
        <v>Risk ontology uses capability=CAP_PAYMENT_CONTINUITY; bridge=BRG-030; treatment=TRT-PAYMENT_CONTINUITY-INITIAL; wording=IW-ALL-PAYMENT_CONTINUITY</v>
      </c>
      <c r="CS602" t="str">
        <f t="shared" si="90"/>
        <v>Yes</v>
      </c>
    </row>
    <row r="603" spans="1:97" ht="69.900000000000006" customHeight="1">
      <c r="A603">
        <f>IF(OR($B603&lt;&gt;"Yes",$BS603=""),"",SUMPRODUCT(($B$500:$B$923="Yes")*ISNUMBER($BS$500:$BS$923)*($BS$500:$BS$923&gt;$BS603))+COUNTIFS($B$500:$B603,"Yes",$BS$500:$BS603,$BS603))</f>
        <v>235</v>
      </c>
      <c r="B603" t="str">
        <f t="shared" si="59"/>
        <v>Yes</v>
      </c>
      <c r="C603" t="s">
        <v>1401</v>
      </c>
      <c r="D603" t="s">
        <v>1412</v>
      </c>
      <c r="E603" t="s">
        <v>1457</v>
      </c>
      <c r="F603" t="s">
        <v>3683</v>
      </c>
      <c r="G603" t="str">
        <f>IF($H603="","",IFERROR(INDEX(_ENGINE_Risk!$H$5:$M$499,MATCH($E603,_ENGINE_Risk!$A$5:$A$499,0),$H603+1),""))</f>
        <v>Severe risk: fraud risk controls for fake invoices, payment diversion, supplier impersonation and business email compromise is not reliably controlled. During Financial / liquidity shock; Supplier disruption; Fraud risk, the organization may face cash-flow stress, uncontrolled spend, supplier payment disruption and weak financial visibility with limited visibility or accountability.</v>
      </c>
      <c r="H603">
        <f>IFERROR(VALUE(INDEX(_DATA_Assessment_Model!$H$5:$H$884,MATCH($E603,_DATA_Assessment_Model!$A$5:$A$884,0))),"")</f>
        <v>0</v>
      </c>
      <c r="I603" t="str">
        <f>IF($H603="","",IFERROR(INDEX(_DATA_Assessment_Model!$L$5:$L$884,MATCH($E603,_DATA_Assessment_Model!$A$5:$A$884,0)),IF($H603&lt;=1,"Critical",IF($H603=2,"High",IF($H603=3,"Medium",IF($H603=4,"Low","Resilient"))))))</f>
        <v>Critical</v>
      </c>
      <c r="J603">
        <f t="shared" si="60"/>
        <v>3.6</v>
      </c>
      <c r="K603">
        <f t="shared" si="61"/>
        <v>4.5</v>
      </c>
      <c r="L603">
        <f t="shared" si="62"/>
        <v>16.2</v>
      </c>
      <c r="M603">
        <f t="shared" si="63"/>
        <v>4</v>
      </c>
      <c r="N603">
        <f>IF($H603="","",IFERROR(INDEX(_ENGINE_Risk!$T$5:$Y$499,MATCH($E603,_ENGINE_Risk!$A$5:$A$499,0),$H603+1),""))</f>
        <v>3</v>
      </c>
      <c r="O603">
        <f t="shared" si="64"/>
        <v>4.666666666666667</v>
      </c>
      <c r="P603">
        <f t="shared" si="65"/>
        <v>5</v>
      </c>
      <c r="Q603">
        <f t="shared" si="66"/>
        <v>5</v>
      </c>
      <c r="R603">
        <f t="shared" si="67"/>
        <v>4.5</v>
      </c>
      <c r="S603">
        <f t="shared" si="68"/>
        <v>1.6</v>
      </c>
      <c r="T603" t="str">
        <f>IF($H603="","",IFERROR(INDEX(_ENGINE_Risk!$N$5:$S$499,MATCH($E603,_ENGINE_Risk!$A$5:$A$499,0),$H603+1),""))</f>
        <v>Create an immediate risk owner, minimum control baseline and fallback procedure for fraud risk controls for fake invoices, payment diversion, supplier impersonation and business email compromise. Add it to the crisis risk register and collect first evidence.</v>
      </c>
      <c r="U603">
        <f>IFERROR(INDEX(_DATA_Assessment_Model!$G$5:$G$884,MATCH($E603,_DATA_Assessment_Model!$A$5:$A$884,0)),"")</f>
        <v>5</v>
      </c>
      <c r="V603">
        <f>IFERROR(INDEX(_DATA_Assessment_Model!$W$5:$W$884,MATCH($E603,_DATA_Assessment_Model!$A$5:$A$884,0)),"")</f>
        <v>4</v>
      </c>
      <c r="W603">
        <f>IFERROR(INDEX(_DATA_Assessment_Model!$X$5:$X$884,MATCH($E603,_DATA_Assessment_Model!$A$5:$A$884,0)),"")</f>
        <v>5</v>
      </c>
      <c r="X603">
        <f>IFERROR(INDEX(_DATA_Assessment_Model!$Y$5:$Y$884,MATCH($E603,_DATA_Assessment_Model!$A$5:$A$884,0)),"")</f>
        <v>5</v>
      </c>
      <c r="Y603" t="s">
        <v>1408</v>
      </c>
      <c r="Z603" t="s">
        <v>5918</v>
      </c>
      <c r="AA603" t="s">
        <v>1459</v>
      </c>
      <c r="AB603">
        <f>IFERROR(INDEX(_DATA_Assessment_Model!$U$5:$U$884,MATCH($E603,_DATA_Assessment_Model!$A$5:$A$884,0)),"")</f>
        <v>0</v>
      </c>
      <c r="AF603" t="s">
        <v>1458</v>
      </c>
      <c r="AO603">
        <f>IF($B603="Yes",IF(IFERROR(INDEX(_ENGINE_Crisis!$F$501:$F$517,MATCH($C603,_ENGINE_Crisis!$A$501:$A$517,0)),1)=0,1,IFERROR(INDEX(_ENGINE_Crisis!$F$501:$F$517,MATCH($C603,_ENGINE_Crisis!$A$501:$A$517,0)),1)),"")</f>
        <v>1</v>
      </c>
      <c r="AP603">
        <f t="shared" si="69"/>
        <v>16.2</v>
      </c>
      <c r="AQ603">
        <f t="shared" si="70"/>
        <v>1.6</v>
      </c>
      <c r="AR603" t="str">
        <f>IFERROR(INDEX(_ENGINE_Crisis!$E$41:$E$700,MATCH('Resilience &amp; Risk Scenario'!$B$6&amp;"|"&amp;$C603,_ENGINE_Crisis!$I$41:$I$700,0)),"")</f>
        <v/>
      </c>
      <c r="AS603" t="str">
        <f>IFERROR(INDEX(_ENGINE_Crisis!$G$41:$G$700,MATCH('Resilience &amp; Risk Scenario'!$B$6&amp;"|"&amp;$C603,_ENGINE_Crisis!$I$41:$I$700,0)),"")</f>
        <v/>
      </c>
      <c r="AT603" t="str">
        <f>IFERROR(INDEX(_ENGINE_Initiatives!$A$5:$A$532,MATCH(1,INDEX((_ENGINE_Initiatives!$B$5:$B$532=$C603)*(_ENGINE_Initiatives!$C$5:$C$532=$D603),0),0)),"")</f>
        <v>INI-016</v>
      </c>
      <c r="AU603" t="str">
        <f>IFERROR(INDEX(_ENGINE_Initiatives!$F$5:$F$532,MATCH(1,INDEX((_ENGINE_Initiatives!$B$5:$B$532=$C603)*(_ENGINE_Initiatives!$C$5:$C$532=$D603),0),0)),"")</f>
        <v>Strengthen financial controls, approvals and accounting continuity</v>
      </c>
      <c r="AV603">
        <f>IFERROR(INDEX(_ENGINE_Initiatives!$AC$5:$AC$532,MATCH(1,INDEX((_ENGINE_Initiatives!$B$5:$B$532=$C603)*(_ENGINE_Initiatives!$C$5:$C$532=$D603),0),0)),"")</f>
        <v>1.75</v>
      </c>
      <c r="AW603" t="str">
        <f>IFERROR(INDEX(_ENGINE_Initiatives!$AE$5:$AE$532,MATCH(1,INDEX((_ENGINE_Initiatives!$B$5:$B$532=$C603)*(_ENGINE_Initiatives!$C$5:$C$532=$D603),0),0)),"")</f>
        <v>3-6 months</v>
      </c>
      <c r="AX603">
        <f>IF($B603="Yes",IFERROR((IF(SUMIFS(_REF_Model_Content!$E$1:$E$613,_REF_Model_Content!$A$1:$A$613,PV_Canonical_Industry,_REF_Model_Content!$B$1:$B$613,$C603)=0,1,SUMIFS(_REF_Model_Content!$E$1:$E$613,_REF_Model_Content!$A$1:$A$613,PV_Canonical_Industry,_REF_Model_Content!$B$1:$B$613,$C603))*IFERROR($BU603,1)),1),"")</f>
        <v>1</v>
      </c>
      <c r="AY603">
        <f t="shared" si="71"/>
        <v>16.2</v>
      </c>
      <c r="AZ603">
        <f t="shared" si="72"/>
        <v>1.6</v>
      </c>
      <c r="BB603" t="str">
        <f>IF($H603="","",IFERROR(INDEX(_ENGINE_Risk!$AE$5:$AE$499,MATCH($E603,_ENGINE_Risk!$A$5:$A$499,0)),"Medium"))</f>
        <v>Medium</v>
      </c>
      <c r="BC603">
        <f t="shared" si="73"/>
        <v>1</v>
      </c>
      <c r="BD603">
        <f t="shared" si="74"/>
        <v>1.6</v>
      </c>
      <c r="BF603">
        <f>IF(OR($H603="",$J603=""),"",IFERROR(VLOOKUP(ROUND($J603,0),_CONFIG_Model_Settings!$D$154:$E$158,2,0),""))</f>
        <v>0.5</v>
      </c>
      <c r="BG603">
        <f>IFERROR(IF(OR($H603="",$K603=""),"",ROUND('Company Profile'!$B$113*INDEX(_CONFIG_Model_Settings!$H$154:$H$158,MATCH(ROUND($K603,0),_CONFIG_Model_Settings!$G$154:$G$158,0)),0)),0)</f>
        <v>1875</v>
      </c>
      <c r="BH603">
        <f t="shared" si="75"/>
        <v>937.5</v>
      </c>
      <c r="BI603">
        <f t="shared" si="76"/>
        <v>937.5</v>
      </c>
      <c r="BJ603">
        <f>IF($E603="","",IFERROR(VLOOKUP($C603,_CONFIG_Risk_Calibration!$A$5:$H$21,2,FALSE),3))</f>
        <v>3</v>
      </c>
      <c r="BK603">
        <f>IF($E603="","",IFERROR(VLOOKUP($C603,_CONFIG_Risk_Calibration!$A$5:$H$21,3,FALSE),0))</f>
        <v>0</v>
      </c>
      <c r="BL603">
        <f>IF($E603="","",IFERROR(VLOOKUP($C603,_CONFIG_Risk_Calibration!$A$5:$H$21,4,FALSE),3))</f>
        <v>3</v>
      </c>
      <c r="BM603">
        <f>IF($E603="","",IFERROR(VLOOKUP($C603,_CONFIG_Risk_Calibration!$A$5:$H$21,5,FALSE),3))</f>
        <v>4</v>
      </c>
      <c r="BN603" t="str">
        <f>IF($E603="","",IFERROR(VLOOKUP($C603,_CONFIG_Risk_Calibration!$A$5:$H$21,6,FALSE),"No"))</f>
        <v>Yes</v>
      </c>
      <c r="BO603">
        <f>IF($E603="","",IFERROR(VLOOKUP($C603,_CONFIG_Risk_Calibration!$A$5:$H$21,7,FALSE),1))</f>
        <v>4</v>
      </c>
      <c r="BP603">
        <f>IF($H603="","",MAX(1,MIN(5,((6-$H603)*0.45)+($BJ603*0.2)+('Resilience &amp; Risk Scenario'!$B$7*0.15)+($BK603*0.1)+($BL603*0.05)+(IF($BB603="Fast",5,IF($BB603="Slow",1,3))*0.05))))</f>
        <v>3.6</v>
      </c>
      <c r="BQ603">
        <f t="shared" si="77"/>
        <v>4.5</v>
      </c>
      <c r="BR603">
        <f t="shared" si="78"/>
        <v>16.2</v>
      </c>
      <c r="BS603">
        <f t="shared" si="79"/>
        <v>17.82</v>
      </c>
      <c r="BT603" t="str">
        <f>IFERROR(INDEX(_REF_Capability_Bridge!$D:$D,MATCH($C603&amp;"|"&amp;$D603,_REF_Capability_Bridge!$J:$J,0)),IFERROR(INDEX(_REF_Capability_Bridge!$D:$D,MATCH($C603&amp;"|",_REF_Capability_Bridge!$J:$J,0)),"CAP_GENERIC"))</f>
        <v>CAP_PAYMENT_CONTINUITY</v>
      </c>
      <c r="BU603">
        <f>IFERROR(IFERROR(INDEX(_ENGINE_Relevance!$L:$L,MATCH($BT603,_ENGINE_Relevance!$B:$B,0)),1),1)</f>
        <v>1</v>
      </c>
      <c r="BV603" t="str">
        <f>IFERROR(INDEX(_REF_Capability_Bridge!$A:$A,MATCH($C603&amp;"|"&amp;$D603,_REF_Capability_Bridge!$J:$J,0)),IFERROR(INDEX(_REF_Capability_Bridge!$A:$A,MATCH($C603&amp;"|",_REF_Capability_Bridge!$J:$J,0)),"No bridge"))</f>
        <v>BRG-030</v>
      </c>
      <c r="BW603" t="str">
        <f t="shared" si="80"/>
        <v>Capability relevance neutral</v>
      </c>
      <c r="BX603" t="str">
        <f t="shared" si="81"/>
        <v>Initial / absent</v>
      </c>
      <c r="BY603" t="str">
        <f>IF($E603="","",IFERROR(INDEX(_REF_Treatment_Library!$A$2:$A$296,MATCH(1,INDEX((_REF_Treatment_Library!$B$2:$B$296=$BT603)*(_REF_Treatment_Library!$C$2:$C$296=PV_Canonical_Industry)*(_REF_Treatment_Library!$E$2:$E$296&lt;=N($H603))*(_REF_Treatment_Library!$F$2:$F$296&gt;=N($H603))*(_REF_Treatment_Library!$O$2:$O$296="Yes"),0),0)),IFERROR(INDEX(_REF_Treatment_Library!$A$2:$A$296,MATCH(1,INDEX((_REF_Treatment_Library!$B$2:$B$296=$BT603)*(_REF_Treatment_Library!$C$2:$C$296="All")*(_REF_Treatment_Library!$E$2:$E$296&lt;=N($H603))*(_REF_Treatment_Library!$F$2:$F$296&gt;=N($H603))*(_REF_Treatment_Library!$O$2:$O$296="Yes"),0),0)),"")))</f>
        <v>TRT-PAYMENT_CONTINUITY-INITIAL</v>
      </c>
      <c r="BZ603" t="str">
        <f>IF($BY603="","",IFERROR(INDEX(_REF_Treatment_Library!$H$2:$H$296,MATCH($BY603,_REF_Treatment_Library!$A$2:$A$296,0)),""))</f>
        <v>Establish</v>
      </c>
      <c r="CA603" t="str">
        <f>IF($BY603="","",IFERROR(INDEX(_REF_Treatment_Library!$I$2:$I$296,MATCH($BY603,_REF_Treatment_Library!$A$2:$A$296,0)),""))</f>
        <v>Establish baseline controls for Payment continuity</v>
      </c>
      <c r="CB603" t="str">
        <f>IF($BY603="","",IFERROR(INDEX(_REF_Treatment_Library!$K$2:$K$296,MATCH($BY603,_REF_Treatment_Library!$A$2:$A$296,0)),""))</f>
        <v>Named owner, baseline process, minimum control checklist, first evidence package</v>
      </c>
      <c r="CC603" t="str">
        <f>IF($BY603="","",IFERROR(INDEX(_REF_Treatment_Library!$L$2:$L$296,MATCH($BY603,_REF_Treatment_Library!$A$2:$A$296,0)),""))</f>
        <v>Owner assigned; baseline evidence coverage; open critical gaps</v>
      </c>
      <c r="CD603" t="str">
        <f t="shared" si="82"/>
        <v>Treatment by capability=CAP_PAYMENT_CONTINUITY; band=Initial / absent; score=0.0; treatment=Establish</v>
      </c>
      <c r="CE603" t="str">
        <f>IF($E603="","",IFERROR(INDEX(_REF_Industry_Wording!$A$2:$A$70,MATCH(1,INDEX((_REF_Industry_Wording!$B$2:$B$70=$BT603)*(_REF_Industry_Wording!$C$2:$C$70=PV_Canonical_Industry)*(_REF_Industry_Wording!$K$2:$K$70="Yes"),0),0)),IFERROR(INDEX(_REF_Industry_Wording!$A$2:$A$70,MATCH(1,INDEX((_REF_Industry_Wording!$B$2:$B$70=$BT603)*(_REF_Industry_Wording!$C$2:$C$70="All")*(_REF_Industry_Wording!$K$2:$K$70="Yes"),0),0)),"")))</f>
        <v>IW-ALL-PAYMENT_CONTINUITY</v>
      </c>
      <c r="CF603" t="str">
        <f>IF($CE603="","",IFERROR(INDEX(_REF_Industry_Wording!$E$2:$E$70,MATCH($CE603,_REF_Industry_Wording!$A$2:$A$70,0)),""))</f>
        <v>Payment continuity weakness</v>
      </c>
      <c r="CG603" t="str">
        <f>IF($CE603="","",IFERROR(INDEX(_REF_Industry_Wording!$F$2:$F$70,MATCH($CE603,_REF_Industry_Wording!$A$2:$A$70,0)),""))</f>
        <v>Strengthen Payment continuity</v>
      </c>
      <c r="CH603" t="str">
        <f>IF($CE603="","",IFERROR(INDEX(_REF_Industry_Wording!$G$2:$G$70,MATCH($CE603,_REF_Industry_Wording!$A$2:$A$70,0)),""))</f>
        <v>Strengthen Payment continuity using the selected maturity treatment, crisis scenario and evidence requirements.</v>
      </c>
      <c r="CI603" t="str">
        <f>IF($CE603="","",IFERROR(INDEX(_REF_Industry_Wording!$H$2:$H$70,MATCH($CE603,_REF_Industry_Wording!$A$2:$A$70,0)),""))</f>
        <v>Payment continuity</v>
      </c>
      <c r="CJ603">
        <f>IF($CE603="","",IFERROR(INDEX(_REF_Industry_Wording!$I$2:$I$70,MATCH($CE603,_REF_Industry_Wording!$A$2:$A$70,0)),""))</f>
        <v>0</v>
      </c>
      <c r="CK603" t="str">
        <f>IF($CE603="","",IFERROR(INDEX(_REF_Industry_Wording!$J$2:$J$70,MATCH($CE603,_REF_Industry_Wording!$A$2:$A$70,0)),""))</f>
        <v>Payment continuity</v>
      </c>
      <c r="CL603" t="str">
        <f t="shared" si="83"/>
        <v>Wording by industry=0; capability=CAP_PAYMENT_CONTINUITY; risk label=Payment continuity weakness</v>
      </c>
      <c r="CM603" t="str">
        <f t="shared" si="84"/>
        <v>RISK-ONT-0104</v>
      </c>
      <c r="CN603" t="str">
        <f t="shared" si="85"/>
        <v>RISK-EVT-0104</v>
      </c>
      <c r="CO603" t="str">
        <f t="shared" si="86"/>
        <v>Finance Procurement|Controls and accounting|FINA-011|CAP_PAYMENT_CONTINUITY</v>
      </c>
      <c r="CP603" t="str">
        <f t="shared" si="87"/>
        <v>Active</v>
      </c>
      <c r="CQ603" t="str">
        <f t="shared" si="88"/>
        <v>OK: capability-driven</v>
      </c>
      <c r="CR603" t="str">
        <f t="shared" si="89"/>
        <v>Risk ontology uses capability=CAP_PAYMENT_CONTINUITY; bridge=BRG-030; treatment=TRT-PAYMENT_CONTINUITY-INITIAL; wording=IW-ALL-PAYMENT_CONTINUITY</v>
      </c>
      <c r="CS603" t="str">
        <f t="shared" si="90"/>
        <v>Yes</v>
      </c>
    </row>
    <row r="604" spans="1:97" ht="69.900000000000006" customHeight="1">
      <c r="A604">
        <f>IF(OR($B604&lt;&gt;"Yes",$BS604=""),"",SUMPRODUCT(($B$500:$B$923="Yes")*ISNUMBER($BS$500:$BS$923)*($BS$500:$BS$923&gt;$BS604))+COUNTIFS($B$500:$B604,"Yes",$BS$500:$BS604,$BS604))</f>
        <v>243</v>
      </c>
      <c r="B604" t="str">
        <f t="shared" si="59"/>
        <v>Yes</v>
      </c>
      <c r="C604" t="s">
        <v>1401</v>
      </c>
      <c r="D604" t="s">
        <v>1412</v>
      </c>
      <c r="E604" t="s">
        <v>1460</v>
      </c>
      <c r="F604" t="s">
        <v>3683</v>
      </c>
      <c r="G604" t="str">
        <f>IF($H604="","",IFERROR(INDEX(_ENGINE_Risk!$H$5:$M$499,MATCH($E604,_ENGINE_Risk!$A$5:$A$499,0),$H604+1),""))</f>
        <v>Severe risk: finance master data controls for chart of accounts, cost centers, vendors, customers and reporting dimensions is not reliably controlled. During Financial / liquidity shock; Supplier disruption; Fraud risk, the organization may face cash-flow stress, uncontrolled spend, supplier payment disruption and weak financial visibility with limited visibility or accountability.</v>
      </c>
      <c r="H604">
        <f>IFERROR(VALUE(INDEX(_DATA_Assessment_Model!$H$5:$H$884,MATCH($E604,_DATA_Assessment_Model!$A$5:$A$884,0))),"")</f>
        <v>0</v>
      </c>
      <c r="I604" t="str">
        <f>IF($H604="","",IFERROR(INDEX(_DATA_Assessment_Model!$L$5:$L$884,MATCH($E604,_DATA_Assessment_Model!$A$5:$A$884,0)),IF($H604&lt;=1,"Critical",IF($H604=2,"High",IF($H604=3,"Medium",IF($H604=4,"Low","Resilient"))))))</f>
        <v>Critical</v>
      </c>
      <c r="J604">
        <f t="shared" si="60"/>
        <v>3.6</v>
      </c>
      <c r="K604">
        <f t="shared" si="61"/>
        <v>4.4499999999999993</v>
      </c>
      <c r="L604">
        <f t="shared" si="62"/>
        <v>16.02</v>
      </c>
      <c r="M604">
        <f t="shared" si="63"/>
        <v>4</v>
      </c>
      <c r="N604">
        <f>IF($H604="","",IFERROR(INDEX(_ENGINE_Risk!$T$5:$Y$499,MATCH($E604,_ENGINE_Risk!$A$5:$A$499,0),$H604+1),""))</f>
        <v>3</v>
      </c>
      <c r="O604">
        <f t="shared" si="64"/>
        <v>4.666666666666667</v>
      </c>
      <c r="P604">
        <f t="shared" si="65"/>
        <v>5</v>
      </c>
      <c r="Q604">
        <f t="shared" si="66"/>
        <v>5</v>
      </c>
      <c r="R604">
        <f t="shared" si="67"/>
        <v>5</v>
      </c>
      <c r="S604">
        <f t="shared" si="68"/>
        <v>1.64</v>
      </c>
      <c r="T604" t="str">
        <f>IF($H604="","",IFERROR(INDEX(_ENGINE_Risk!$N$5:$S$499,MATCH($E604,_ENGINE_Risk!$A$5:$A$499,0),$H604+1),""))</f>
        <v>Create an immediate risk owner, minimum control baseline and fallback procedure for finance master data controls for chart of accounts, cost centers, vendors, customers and reporting dimensions. Add it to the crisis risk register and collect first evidence.</v>
      </c>
      <c r="U604">
        <f>IFERROR(INDEX(_DATA_Assessment_Model!$G$5:$G$884,MATCH($E604,_DATA_Assessment_Model!$A$5:$A$884,0)),"")</f>
        <v>4</v>
      </c>
      <c r="V604">
        <f>IFERROR(INDEX(_DATA_Assessment_Model!$W$5:$W$884,MATCH($E604,_DATA_Assessment_Model!$A$5:$A$884,0)),"")</f>
        <v>5</v>
      </c>
      <c r="W604">
        <f>IFERROR(INDEX(_DATA_Assessment_Model!$X$5:$X$884,MATCH($E604,_DATA_Assessment_Model!$A$5:$A$884,0)),"")</f>
        <v>5</v>
      </c>
      <c r="X604">
        <f>IFERROR(INDEX(_DATA_Assessment_Model!$Y$5:$Y$884,MATCH($E604,_DATA_Assessment_Model!$A$5:$A$884,0)),"")</f>
        <v>5</v>
      </c>
      <c r="Y604" t="s">
        <v>1408</v>
      </c>
      <c r="Z604" t="s">
        <v>5918</v>
      </c>
      <c r="AA604" t="s">
        <v>1462</v>
      </c>
      <c r="AB604">
        <f>IFERROR(INDEX(_DATA_Assessment_Model!$U$5:$U$884,MATCH($E604,_DATA_Assessment_Model!$A$5:$A$884,0)),"")</f>
        <v>0</v>
      </c>
      <c r="AF604" t="s">
        <v>1461</v>
      </c>
      <c r="AO604">
        <f>IF($B604="Yes",IF(IFERROR(INDEX(_ENGINE_Crisis!$F$501:$F$517,MATCH($C604,_ENGINE_Crisis!$A$501:$A$517,0)),1)=0,1,IFERROR(INDEX(_ENGINE_Crisis!$F$501:$F$517,MATCH($C604,_ENGINE_Crisis!$A$501:$A$517,0)),1)),"")</f>
        <v>1</v>
      </c>
      <c r="AP604">
        <f t="shared" si="69"/>
        <v>16</v>
      </c>
      <c r="AQ604">
        <f t="shared" si="70"/>
        <v>1.64</v>
      </c>
      <c r="AR604" t="str">
        <f>IFERROR(INDEX(_ENGINE_Crisis!$E$41:$E$700,MATCH('Resilience &amp; Risk Scenario'!$B$6&amp;"|"&amp;$C604,_ENGINE_Crisis!$I$41:$I$700,0)),"")</f>
        <v/>
      </c>
      <c r="AS604" t="str">
        <f>IFERROR(INDEX(_ENGINE_Crisis!$G$41:$G$700,MATCH('Resilience &amp; Risk Scenario'!$B$6&amp;"|"&amp;$C604,_ENGINE_Crisis!$I$41:$I$700,0)),"")</f>
        <v/>
      </c>
      <c r="AT604" t="str">
        <f>IFERROR(INDEX(_ENGINE_Initiatives!$A$5:$A$532,MATCH(1,INDEX((_ENGINE_Initiatives!$B$5:$B$532=$C604)*(_ENGINE_Initiatives!$C$5:$C$532=$D604),0),0)),"")</f>
        <v>INI-016</v>
      </c>
      <c r="AU604" t="str">
        <f>IFERROR(INDEX(_ENGINE_Initiatives!$F$5:$F$532,MATCH(1,INDEX((_ENGINE_Initiatives!$B$5:$B$532=$C604)*(_ENGINE_Initiatives!$C$5:$C$532=$D604),0),0)),"")</f>
        <v>Strengthen financial controls, approvals and accounting continuity</v>
      </c>
      <c r="AV604">
        <f>IFERROR(INDEX(_ENGINE_Initiatives!$AC$5:$AC$532,MATCH(1,INDEX((_ENGINE_Initiatives!$B$5:$B$532=$C604)*(_ENGINE_Initiatives!$C$5:$C$532=$D604),0),0)),"")</f>
        <v>1.75</v>
      </c>
      <c r="AW604" t="str">
        <f>IFERROR(INDEX(_ENGINE_Initiatives!$AE$5:$AE$532,MATCH(1,INDEX((_ENGINE_Initiatives!$B$5:$B$532=$C604)*(_ENGINE_Initiatives!$C$5:$C$532=$D604),0),0)),"")</f>
        <v>3-6 months</v>
      </c>
      <c r="AX604">
        <f>IF($B604="Yes",IFERROR((IF(SUMIFS(_REF_Model_Content!$E$1:$E$613,_REF_Model_Content!$A$1:$A$613,PV_Canonical_Industry,_REF_Model_Content!$B$1:$B$613,$C604)=0,1,SUMIFS(_REF_Model_Content!$E$1:$E$613,_REF_Model_Content!$A$1:$A$613,PV_Canonical_Industry,_REF_Model_Content!$B$1:$B$613,$C604))*IFERROR($BU604,1)),1),"")</f>
        <v>1</v>
      </c>
      <c r="AY604">
        <f t="shared" si="71"/>
        <v>16</v>
      </c>
      <c r="AZ604">
        <f t="shared" si="72"/>
        <v>1.64</v>
      </c>
      <c r="BB604" t="str">
        <f>IF($H604="","",IFERROR(INDEX(_ENGINE_Risk!$AE$5:$AE$499,MATCH($E604,_ENGINE_Risk!$A$5:$A$499,0)),"Medium"))</f>
        <v>Medium</v>
      </c>
      <c r="BC604">
        <f t="shared" si="73"/>
        <v>1</v>
      </c>
      <c r="BD604">
        <f t="shared" si="74"/>
        <v>1.64</v>
      </c>
      <c r="BF604">
        <f>IF(OR($H604="",$J604=""),"",IFERROR(VLOOKUP(ROUND($J604,0),_CONFIG_Model_Settings!$D$154:$E$158,2,0),""))</f>
        <v>0.5</v>
      </c>
      <c r="BG604">
        <f>IFERROR(IF(OR($H604="",$K604=""),"",ROUND('Company Profile'!$B$113*INDEX(_CONFIG_Model_Settings!$H$154:$H$158,MATCH(ROUND($K604,0),_CONFIG_Model_Settings!$G$154:$G$158,0)),0)),0)</f>
        <v>875</v>
      </c>
      <c r="BH604">
        <f t="shared" si="75"/>
        <v>437.5</v>
      </c>
      <c r="BI604">
        <f t="shared" si="76"/>
        <v>437.5</v>
      </c>
      <c r="BJ604">
        <f>IF($E604="","",IFERROR(VLOOKUP($C604,_CONFIG_Risk_Calibration!$A$5:$H$21,2,FALSE),3))</f>
        <v>3</v>
      </c>
      <c r="BK604">
        <f>IF($E604="","",IFERROR(VLOOKUP($C604,_CONFIG_Risk_Calibration!$A$5:$H$21,3,FALSE),0))</f>
        <v>0</v>
      </c>
      <c r="BL604">
        <f>IF($E604="","",IFERROR(VLOOKUP($C604,_CONFIG_Risk_Calibration!$A$5:$H$21,4,FALSE),3))</f>
        <v>3</v>
      </c>
      <c r="BM604">
        <f>IF($E604="","",IFERROR(VLOOKUP($C604,_CONFIG_Risk_Calibration!$A$5:$H$21,5,FALSE),3))</f>
        <v>4</v>
      </c>
      <c r="BN604" t="str">
        <f>IF($E604="","",IFERROR(VLOOKUP($C604,_CONFIG_Risk_Calibration!$A$5:$H$21,6,FALSE),"No"))</f>
        <v>Yes</v>
      </c>
      <c r="BO604">
        <f>IF($E604="","",IFERROR(VLOOKUP($C604,_CONFIG_Risk_Calibration!$A$5:$H$21,7,FALSE),1))</f>
        <v>4</v>
      </c>
      <c r="BP604">
        <f>IF($H604="","",MAX(1,MIN(5,((6-$H604)*0.45)+($BJ604*0.2)+('Resilience &amp; Risk Scenario'!$B$7*0.15)+($BK604*0.1)+($BL604*0.05)+(IF($BB604="Fast",5,IF($BB604="Slow",1,3))*0.05))))</f>
        <v>3.6</v>
      </c>
      <c r="BQ604">
        <f t="shared" si="77"/>
        <v>4.4499999999999993</v>
      </c>
      <c r="BR604">
        <f t="shared" si="78"/>
        <v>16.02</v>
      </c>
      <c r="BS604">
        <f t="shared" si="79"/>
        <v>17.62</v>
      </c>
      <c r="BT604" t="str">
        <f>IFERROR(INDEX(_REF_Capability_Bridge!$D:$D,MATCH($C604&amp;"|"&amp;$D604,_REF_Capability_Bridge!$J:$J,0)),IFERROR(INDEX(_REF_Capability_Bridge!$D:$D,MATCH($C604&amp;"|",_REF_Capability_Bridge!$J:$J,0)),"CAP_GENERIC"))</f>
        <v>CAP_PAYMENT_CONTINUITY</v>
      </c>
      <c r="BU604">
        <f>IFERROR(IFERROR(INDEX(_ENGINE_Relevance!$L:$L,MATCH($BT604,_ENGINE_Relevance!$B:$B,0)),1),1)</f>
        <v>1</v>
      </c>
      <c r="BV604" t="str">
        <f>IFERROR(INDEX(_REF_Capability_Bridge!$A:$A,MATCH($C604&amp;"|"&amp;$D604,_REF_Capability_Bridge!$J:$J,0)),IFERROR(INDEX(_REF_Capability_Bridge!$A:$A,MATCH($C604&amp;"|",_REF_Capability_Bridge!$J:$J,0)),"No bridge"))</f>
        <v>BRG-030</v>
      </c>
      <c r="BW604" t="str">
        <f t="shared" si="80"/>
        <v>Capability relevance neutral</v>
      </c>
      <c r="BX604" t="str">
        <f t="shared" si="81"/>
        <v>Initial / absent</v>
      </c>
      <c r="BY604" t="str">
        <f>IF($E604="","",IFERROR(INDEX(_REF_Treatment_Library!$A$2:$A$296,MATCH(1,INDEX((_REF_Treatment_Library!$B$2:$B$296=$BT604)*(_REF_Treatment_Library!$C$2:$C$296=PV_Canonical_Industry)*(_REF_Treatment_Library!$E$2:$E$296&lt;=N($H604))*(_REF_Treatment_Library!$F$2:$F$296&gt;=N($H604))*(_REF_Treatment_Library!$O$2:$O$296="Yes"),0),0)),IFERROR(INDEX(_REF_Treatment_Library!$A$2:$A$296,MATCH(1,INDEX((_REF_Treatment_Library!$B$2:$B$296=$BT604)*(_REF_Treatment_Library!$C$2:$C$296="All")*(_REF_Treatment_Library!$E$2:$E$296&lt;=N($H604))*(_REF_Treatment_Library!$F$2:$F$296&gt;=N($H604))*(_REF_Treatment_Library!$O$2:$O$296="Yes"),0),0)),"")))</f>
        <v>TRT-PAYMENT_CONTINUITY-INITIAL</v>
      </c>
      <c r="BZ604" t="str">
        <f>IF($BY604="","",IFERROR(INDEX(_REF_Treatment_Library!$H$2:$H$296,MATCH($BY604,_REF_Treatment_Library!$A$2:$A$296,0)),""))</f>
        <v>Establish</v>
      </c>
      <c r="CA604" t="str">
        <f>IF($BY604="","",IFERROR(INDEX(_REF_Treatment_Library!$I$2:$I$296,MATCH($BY604,_REF_Treatment_Library!$A$2:$A$296,0)),""))</f>
        <v>Establish baseline controls for Payment continuity</v>
      </c>
      <c r="CB604" t="str">
        <f>IF($BY604="","",IFERROR(INDEX(_REF_Treatment_Library!$K$2:$K$296,MATCH($BY604,_REF_Treatment_Library!$A$2:$A$296,0)),""))</f>
        <v>Named owner, baseline process, minimum control checklist, first evidence package</v>
      </c>
      <c r="CC604" t="str">
        <f>IF($BY604="","",IFERROR(INDEX(_REF_Treatment_Library!$L$2:$L$296,MATCH($BY604,_REF_Treatment_Library!$A$2:$A$296,0)),""))</f>
        <v>Owner assigned; baseline evidence coverage; open critical gaps</v>
      </c>
      <c r="CD604" t="str">
        <f t="shared" si="82"/>
        <v>Treatment by capability=CAP_PAYMENT_CONTINUITY; band=Initial / absent; score=0.0; treatment=Establish</v>
      </c>
      <c r="CE604" t="str">
        <f>IF($E604="","",IFERROR(INDEX(_REF_Industry_Wording!$A$2:$A$70,MATCH(1,INDEX((_REF_Industry_Wording!$B$2:$B$70=$BT604)*(_REF_Industry_Wording!$C$2:$C$70=PV_Canonical_Industry)*(_REF_Industry_Wording!$K$2:$K$70="Yes"),0),0)),IFERROR(INDEX(_REF_Industry_Wording!$A$2:$A$70,MATCH(1,INDEX((_REF_Industry_Wording!$B$2:$B$70=$BT604)*(_REF_Industry_Wording!$C$2:$C$70="All")*(_REF_Industry_Wording!$K$2:$K$70="Yes"),0),0)),"")))</f>
        <v>IW-ALL-PAYMENT_CONTINUITY</v>
      </c>
      <c r="CF604" t="str">
        <f>IF($CE604="","",IFERROR(INDEX(_REF_Industry_Wording!$E$2:$E$70,MATCH($CE604,_REF_Industry_Wording!$A$2:$A$70,0)),""))</f>
        <v>Payment continuity weakness</v>
      </c>
      <c r="CG604" t="str">
        <f>IF($CE604="","",IFERROR(INDEX(_REF_Industry_Wording!$F$2:$F$70,MATCH($CE604,_REF_Industry_Wording!$A$2:$A$70,0)),""))</f>
        <v>Strengthen Payment continuity</v>
      </c>
      <c r="CH604" t="str">
        <f>IF($CE604="","",IFERROR(INDEX(_REF_Industry_Wording!$G$2:$G$70,MATCH($CE604,_REF_Industry_Wording!$A$2:$A$70,0)),""))</f>
        <v>Strengthen Payment continuity using the selected maturity treatment, crisis scenario and evidence requirements.</v>
      </c>
      <c r="CI604" t="str">
        <f>IF($CE604="","",IFERROR(INDEX(_REF_Industry_Wording!$H$2:$H$70,MATCH($CE604,_REF_Industry_Wording!$A$2:$A$70,0)),""))</f>
        <v>Payment continuity</v>
      </c>
      <c r="CJ604">
        <f>IF($CE604="","",IFERROR(INDEX(_REF_Industry_Wording!$I$2:$I$70,MATCH($CE604,_REF_Industry_Wording!$A$2:$A$70,0)),""))</f>
        <v>0</v>
      </c>
      <c r="CK604" t="str">
        <f>IF($CE604="","",IFERROR(INDEX(_REF_Industry_Wording!$J$2:$J$70,MATCH($CE604,_REF_Industry_Wording!$A$2:$A$70,0)),""))</f>
        <v>Payment continuity</v>
      </c>
      <c r="CL604" t="str">
        <f t="shared" si="83"/>
        <v>Wording by industry=0; capability=CAP_PAYMENT_CONTINUITY; risk label=Payment continuity weakness</v>
      </c>
      <c r="CM604" t="str">
        <f t="shared" si="84"/>
        <v>RISK-ONT-0105</v>
      </c>
      <c r="CN604" t="str">
        <f t="shared" si="85"/>
        <v>RISK-EVT-0105</v>
      </c>
      <c r="CO604" t="str">
        <f t="shared" si="86"/>
        <v>Finance Procurement|Controls and accounting|FINA-012|CAP_PAYMENT_CONTINUITY</v>
      </c>
      <c r="CP604" t="str">
        <f t="shared" si="87"/>
        <v>Active</v>
      </c>
      <c r="CQ604" t="str">
        <f t="shared" si="88"/>
        <v>OK: capability-driven</v>
      </c>
      <c r="CR604" t="str">
        <f t="shared" si="89"/>
        <v>Risk ontology uses capability=CAP_PAYMENT_CONTINUITY; bridge=BRG-030; treatment=TRT-PAYMENT_CONTINUITY-INITIAL; wording=IW-ALL-PAYMENT_CONTINUITY</v>
      </c>
      <c r="CS604" t="str">
        <f t="shared" si="90"/>
        <v>Yes</v>
      </c>
    </row>
    <row r="605" spans="1:97" ht="69.900000000000006" customHeight="1">
      <c r="A605">
        <f>IF(OR($B605&lt;&gt;"Yes",$BS605=""),"",SUMPRODUCT(($B$500:$B$923="Yes")*ISNUMBER($BS$500:$BS$923)*($BS$500:$BS$923&gt;$BS605))+COUNTIFS($B$500:$B605,"Yes",$BS$500:$BS605,$BS605))</f>
        <v>292</v>
      </c>
      <c r="B605" t="str">
        <f t="shared" si="59"/>
        <v>Yes</v>
      </c>
      <c r="C605" t="s">
        <v>1401</v>
      </c>
      <c r="D605" t="s">
        <v>1422</v>
      </c>
      <c r="E605" t="s">
        <v>1469</v>
      </c>
      <c r="F605" t="s">
        <v>3683</v>
      </c>
      <c r="G605" t="str">
        <f>IF($H605="","",IFERROR(INDEX(_ENGINE_Risk!$H$5:$M$499,MATCH($E605,_ENGINE_Risk!$A$5:$A$499,0),$H605+1),""))</f>
        <v>Severe risk: procurement policy covering sourcing, approvals, conflicts of interest and emergency purchasing is not reliably controlled. During Financial / liquidity shock; Supplier disruption; Fraud risk, the organization may face cash-flow stress, uncontrolled spend, supplier payment disruption and weak financial visibility with limited visibility or accountability.</v>
      </c>
      <c r="H605">
        <f>IFERROR(VALUE(INDEX(_DATA_Assessment_Model!$H$5:$H$884,MATCH($E605,_DATA_Assessment_Model!$A$5:$A$884,0))),"")</f>
        <v>0</v>
      </c>
      <c r="I605" t="str">
        <f>IF($H605="","",IFERROR(INDEX(_DATA_Assessment_Model!$L$5:$L$884,MATCH($E605,_DATA_Assessment_Model!$A$5:$A$884,0)),IF($H605&lt;=1,"Critical",IF($H605=2,"High",IF($H605=3,"Medium",IF($H605=4,"Low","Resilient"))))))</f>
        <v>Critical</v>
      </c>
      <c r="J605">
        <f t="shared" si="60"/>
        <v>3.6</v>
      </c>
      <c r="K605">
        <f t="shared" si="61"/>
        <v>4.0999999999999996</v>
      </c>
      <c r="L605">
        <f t="shared" si="62"/>
        <v>14.76</v>
      </c>
      <c r="M605">
        <f t="shared" si="63"/>
        <v>3</v>
      </c>
      <c r="N605">
        <f>IF($H605="","",IFERROR(INDEX(_ENGINE_Risk!$T$5:$Y$499,MATCH($E605,_ENGINE_Risk!$A$5:$A$499,0),$H605+1),""))</f>
        <v>3</v>
      </c>
      <c r="O605">
        <f t="shared" si="64"/>
        <v>4</v>
      </c>
      <c r="P605">
        <f t="shared" si="65"/>
        <v>5</v>
      </c>
      <c r="Q605">
        <f t="shared" si="66"/>
        <v>5</v>
      </c>
      <c r="R605">
        <f t="shared" si="67"/>
        <v>4.5</v>
      </c>
      <c r="S605">
        <f t="shared" si="68"/>
        <v>1.54</v>
      </c>
      <c r="T605" t="str">
        <f>IF($H605="","",IFERROR(INDEX(_ENGINE_Risk!$N$5:$S$499,MATCH($E605,_ENGINE_Risk!$A$5:$A$499,0),$H605+1),""))</f>
        <v>Create an immediate risk owner, minimum control baseline and fallback procedure for procurement policy covering sourcing, approvals, conflicts of interest and emergency purchasing. Add it to the crisis risk register and collect first evidence.</v>
      </c>
      <c r="U605">
        <f>IFERROR(INDEX(_DATA_Assessment_Model!$G$5:$G$884,MATCH($E605,_DATA_Assessment_Model!$A$5:$A$884,0)),"")</f>
        <v>3</v>
      </c>
      <c r="V605">
        <f>IFERROR(INDEX(_DATA_Assessment_Model!$W$5:$W$884,MATCH($E605,_DATA_Assessment_Model!$A$5:$A$884,0)),"")</f>
        <v>4</v>
      </c>
      <c r="W605">
        <f>IFERROR(INDEX(_DATA_Assessment_Model!$X$5:$X$884,MATCH($E605,_DATA_Assessment_Model!$A$5:$A$884,0)),"")</f>
        <v>5</v>
      </c>
      <c r="X605">
        <f>IFERROR(INDEX(_DATA_Assessment_Model!$Y$5:$Y$884,MATCH($E605,_DATA_Assessment_Model!$A$5:$A$884,0)),"")</f>
        <v>5</v>
      </c>
      <c r="Y605" t="s">
        <v>1408</v>
      </c>
      <c r="Z605" t="s">
        <v>5918</v>
      </c>
      <c r="AA605" t="s">
        <v>1471</v>
      </c>
      <c r="AB605">
        <f>IFERROR(INDEX(_DATA_Assessment_Model!$U$5:$U$884,MATCH($E605,_DATA_Assessment_Model!$A$5:$A$884,0)),"")</f>
        <v>0</v>
      </c>
      <c r="AF605" t="s">
        <v>1470</v>
      </c>
      <c r="AO605">
        <f>IF($B605="Yes",IF(IFERROR(INDEX(_ENGINE_Crisis!$F$501:$F$517,MATCH($C605,_ENGINE_Crisis!$A$501:$A$517,0)),1)=0,1,IFERROR(INDEX(_ENGINE_Crisis!$F$501:$F$517,MATCH($C605,_ENGINE_Crisis!$A$501:$A$517,0)),1)),"")</f>
        <v>1</v>
      </c>
      <c r="AP605">
        <f t="shared" si="69"/>
        <v>14.8</v>
      </c>
      <c r="AQ605">
        <f t="shared" si="70"/>
        <v>1.54</v>
      </c>
      <c r="AR605" t="str">
        <f>IFERROR(INDEX(_ENGINE_Crisis!$E$41:$E$700,MATCH('Resilience &amp; Risk Scenario'!$B$6&amp;"|"&amp;$C605,_ENGINE_Crisis!$I$41:$I$700,0)),"")</f>
        <v/>
      </c>
      <c r="AS605" t="str">
        <f>IFERROR(INDEX(_ENGINE_Crisis!$G$41:$G$700,MATCH('Resilience &amp; Risk Scenario'!$B$6&amp;"|"&amp;$C605,_ENGINE_Crisis!$I$41:$I$700,0)),"")</f>
        <v/>
      </c>
      <c r="AT605" t="str">
        <f>IFERROR(INDEX(_ENGINE_Initiatives!$A$5:$A$532,MATCH(1,INDEX((_ENGINE_Initiatives!$B$5:$B$532=$C605)*(_ENGINE_Initiatives!$C$5:$C$532=$D605),0),0)),"")</f>
        <v>INI-017</v>
      </c>
      <c r="AU605" t="str">
        <f>IFERROR(INDEX(_ENGINE_Initiatives!$F$5:$F$532,MATCH(1,INDEX((_ENGINE_Initiatives!$B$5:$B$532=$C605)*(_ENGINE_Initiatives!$C$5:$C$532=$D605),0),0)),"")</f>
        <v>Build resilient procurement governance and supplier risk controls</v>
      </c>
      <c r="AV605">
        <f>IFERROR(INDEX(_ENGINE_Initiatives!$AC$5:$AC$532,MATCH(1,INDEX((_ENGINE_Initiatives!$B$5:$B$532=$C605)*(_ENGINE_Initiatives!$C$5:$C$532=$D605),0),0)),"")</f>
        <v>1.76</v>
      </c>
      <c r="AW605" t="str">
        <f>IFERROR(INDEX(_ENGINE_Initiatives!$AE$5:$AE$532,MATCH(1,INDEX((_ENGINE_Initiatives!$B$5:$B$532=$C605)*(_ENGINE_Initiatives!$C$5:$C$532=$D605),0),0)),"")</f>
        <v>3-6 months</v>
      </c>
      <c r="AX605">
        <f>IF($B605="Yes",IFERROR((IF(SUMIFS(_REF_Model_Content!$E$1:$E$613,_REF_Model_Content!$A$1:$A$613,PV_Canonical_Industry,_REF_Model_Content!$B$1:$B$613,$C605)=0,1,SUMIFS(_REF_Model_Content!$E$1:$E$613,_REF_Model_Content!$A$1:$A$613,PV_Canonical_Industry,_REF_Model_Content!$B$1:$B$613,$C605))*IFERROR($BU605,1)),1),"")</f>
        <v>1</v>
      </c>
      <c r="AY605">
        <f t="shared" si="71"/>
        <v>14.8</v>
      </c>
      <c r="AZ605">
        <f t="shared" si="72"/>
        <v>1.54</v>
      </c>
      <c r="BB605" t="str">
        <f>IF($H605="","",IFERROR(INDEX(_ENGINE_Risk!$AE$5:$AE$499,MATCH($E605,_ENGINE_Risk!$A$5:$A$499,0)),"Medium"))</f>
        <v>Medium</v>
      </c>
      <c r="BC605">
        <f t="shared" si="73"/>
        <v>1</v>
      </c>
      <c r="BD605">
        <f t="shared" si="74"/>
        <v>1.54</v>
      </c>
      <c r="BF605">
        <f>IF(OR($H605="",$J605=""),"",IFERROR(VLOOKUP(ROUND($J605,0),_CONFIG_Model_Settings!$D$154:$E$158,2,0),""))</f>
        <v>0.5</v>
      </c>
      <c r="BG605">
        <f>IFERROR(IF(OR($H605="",$K605=""),"",ROUND('Company Profile'!$B$113*INDEX(_CONFIG_Model_Settings!$H$154:$H$158,MATCH(ROUND($K605,0),_CONFIG_Model_Settings!$G$154:$G$158,0)),0)),0)</f>
        <v>875</v>
      </c>
      <c r="BH605">
        <f t="shared" si="75"/>
        <v>437.5</v>
      </c>
      <c r="BI605">
        <f t="shared" si="76"/>
        <v>437.5</v>
      </c>
      <c r="BJ605">
        <f>IF($E605="","",IFERROR(VLOOKUP($C605,_CONFIG_Risk_Calibration!$A$5:$H$21,2,FALSE),3))</f>
        <v>3</v>
      </c>
      <c r="BK605">
        <f>IF($E605="","",IFERROR(VLOOKUP($C605,_CONFIG_Risk_Calibration!$A$5:$H$21,3,FALSE),0))</f>
        <v>0</v>
      </c>
      <c r="BL605">
        <f>IF($E605="","",IFERROR(VLOOKUP($C605,_CONFIG_Risk_Calibration!$A$5:$H$21,4,FALSE),3))</f>
        <v>3</v>
      </c>
      <c r="BM605">
        <f>IF($E605="","",IFERROR(VLOOKUP($C605,_CONFIG_Risk_Calibration!$A$5:$H$21,5,FALSE),3))</f>
        <v>4</v>
      </c>
      <c r="BN605" t="str">
        <f>IF($E605="","",IFERROR(VLOOKUP($C605,_CONFIG_Risk_Calibration!$A$5:$H$21,6,FALSE),"No"))</f>
        <v>Yes</v>
      </c>
      <c r="BO605">
        <f>IF($E605="","",IFERROR(VLOOKUP($C605,_CONFIG_Risk_Calibration!$A$5:$H$21,7,FALSE),1))</f>
        <v>4</v>
      </c>
      <c r="BP605">
        <f>IF($H605="","",MAX(1,MIN(5,((6-$H605)*0.45)+($BJ605*0.2)+('Resilience &amp; Risk Scenario'!$B$7*0.15)+($BK605*0.1)+($BL605*0.05)+(IF($BB605="Fast",5,IF($BB605="Slow",1,3))*0.05))))</f>
        <v>3.6</v>
      </c>
      <c r="BQ605">
        <f t="shared" si="77"/>
        <v>4.0999999999999996</v>
      </c>
      <c r="BR605">
        <f t="shared" si="78"/>
        <v>14.76</v>
      </c>
      <c r="BS605">
        <f t="shared" si="79"/>
        <v>16.239999999999998</v>
      </c>
      <c r="BT605" t="str">
        <f>IFERROR(INDEX(_REF_Capability_Bridge!$D:$D,MATCH($C605&amp;"|"&amp;$D605,_REF_Capability_Bridge!$J:$J,0)),IFERROR(INDEX(_REF_Capability_Bridge!$D:$D,MATCH($C605&amp;"|",_REF_Capability_Bridge!$J:$J,0)),"CAP_GENERIC"))</f>
        <v>CAP_FRAUD_MONITORING</v>
      </c>
      <c r="BU605">
        <f>IFERROR(IFERROR(INDEX(_ENGINE_Relevance!$L:$L,MATCH($BT605,_ENGINE_Relevance!$B:$B,0)),1),1)</f>
        <v>1</v>
      </c>
      <c r="BV605" t="str">
        <f>IFERROR(INDEX(_REF_Capability_Bridge!$A:$A,MATCH($C605&amp;"|"&amp;$D605,_REF_Capability_Bridge!$J:$J,0)),IFERROR(INDEX(_REF_Capability_Bridge!$A:$A,MATCH($C605&amp;"|",_REF_Capability_Bridge!$J:$J,0)),"No bridge"))</f>
        <v>BRG-032</v>
      </c>
      <c r="BW605" t="str">
        <f t="shared" si="80"/>
        <v>Capability relevance neutral</v>
      </c>
      <c r="BX605" t="str">
        <f t="shared" si="81"/>
        <v>Initial / absent</v>
      </c>
      <c r="BY605" t="str">
        <f>IF($E605="","",IFERROR(INDEX(_REF_Treatment_Library!$A$2:$A$296,MATCH(1,INDEX((_REF_Treatment_Library!$B$2:$B$296=$BT605)*(_REF_Treatment_Library!$C$2:$C$296=PV_Canonical_Industry)*(_REF_Treatment_Library!$E$2:$E$296&lt;=N($H605))*(_REF_Treatment_Library!$F$2:$F$296&gt;=N($H605))*(_REF_Treatment_Library!$O$2:$O$296="Yes"),0),0)),IFERROR(INDEX(_REF_Treatment_Library!$A$2:$A$296,MATCH(1,INDEX((_REF_Treatment_Library!$B$2:$B$296=$BT605)*(_REF_Treatment_Library!$C$2:$C$296="All")*(_REF_Treatment_Library!$E$2:$E$296&lt;=N($H605))*(_REF_Treatment_Library!$F$2:$F$296&gt;=N($H605))*(_REF_Treatment_Library!$O$2:$O$296="Yes"),0),0)),"")))</f>
        <v>TRT-FRAUD_MONITORING-INITIAL</v>
      </c>
      <c r="BZ605" t="str">
        <f>IF($BY605="","",IFERROR(INDEX(_REF_Treatment_Library!$H$2:$H$296,MATCH($BY605,_REF_Treatment_Library!$A$2:$A$296,0)),""))</f>
        <v>Establish</v>
      </c>
      <c r="CA605" t="str">
        <f>IF($BY605="","",IFERROR(INDEX(_REF_Treatment_Library!$I$2:$I$296,MATCH($BY605,_REF_Treatment_Library!$A$2:$A$296,0)),""))</f>
        <v>Establish baseline controls for Fraud monitoring</v>
      </c>
      <c r="CB605" t="str">
        <f>IF($BY605="","",IFERROR(INDEX(_REF_Treatment_Library!$K$2:$K$296,MATCH($BY605,_REF_Treatment_Library!$A$2:$A$296,0)),""))</f>
        <v>Named owner, baseline process, minimum control checklist, first evidence package</v>
      </c>
      <c r="CC605" t="str">
        <f>IF($BY605="","",IFERROR(INDEX(_REF_Treatment_Library!$L$2:$L$296,MATCH($BY605,_REF_Treatment_Library!$A$2:$A$296,0)),""))</f>
        <v>Owner assigned; baseline evidence coverage; open critical gaps</v>
      </c>
      <c r="CD605" t="str">
        <f t="shared" si="82"/>
        <v>Treatment by capability=CAP_FRAUD_MONITORING; band=Initial / absent; score=0.0; treatment=Establish</v>
      </c>
      <c r="CE605" t="str">
        <f>IF($E605="","",IFERROR(INDEX(_REF_Industry_Wording!$A$2:$A$70,MATCH(1,INDEX((_REF_Industry_Wording!$B$2:$B$70=$BT605)*(_REF_Industry_Wording!$C$2:$C$70=PV_Canonical_Industry)*(_REF_Industry_Wording!$K$2:$K$70="Yes"),0),0)),IFERROR(INDEX(_REF_Industry_Wording!$A$2:$A$70,MATCH(1,INDEX((_REF_Industry_Wording!$B$2:$B$70=$BT605)*(_REF_Industry_Wording!$C$2:$C$70="All")*(_REF_Industry_Wording!$K$2:$K$70="Yes"),0),0)),"")))</f>
        <v>IW-ALL-FRAUD_MONITORING</v>
      </c>
      <c r="CF605" t="str">
        <f>IF($CE605="","",IFERROR(INDEX(_REF_Industry_Wording!$E$2:$E$70,MATCH($CE605,_REF_Industry_Wording!$A$2:$A$70,0)),""))</f>
        <v>Fraud monitoring weakness</v>
      </c>
      <c r="CG605" t="str">
        <f>IF($CE605="","",IFERROR(INDEX(_REF_Industry_Wording!$F$2:$F$70,MATCH($CE605,_REF_Industry_Wording!$A$2:$A$70,0)),""))</f>
        <v>Strengthen Fraud monitoring</v>
      </c>
      <c r="CH605" t="str">
        <f>IF($CE605="","",IFERROR(INDEX(_REF_Industry_Wording!$G$2:$G$70,MATCH($CE605,_REF_Industry_Wording!$A$2:$A$70,0)),""))</f>
        <v>Strengthen Fraud monitoring using the selected maturity treatment, crisis scenario and evidence requirements.</v>
      </c>
      <c r="CI605" t="str">
        <f>IF($CE605="","",IFERROR(INDEX(_REF_Industry_Wording!$H$2:$H$70,MATCH($CE605,_REF_Industry_Wording!$A$2:$A$70,0)),""))</f>
        <v>Fraud monitoring</v>
      </c>
      <c r="CJ605">
        <f>IF($CE605="","",IFERROR(INDEX(_REF_Industry_Wording!$I$2:$I$70,MATCH($CE605,_REF_Industry_Wording!$A$2:$A$70,0)),""))</f>
        <v>0</v>
      </c>
      <c r="CK605" t="str">
        <f>IF($CE605="","",IFERROR(INDEX(_REF_Industry_Wording!$J$2:$J$70,MATCH($CE605,_REF_Industry_Wording!$A$2:$A$70,0)),""))</f>
        <v>Fraud monitoring</v>
      </c>
      <c r="CL605" t="str">
        <f t="shared" si="83"/>
        <v>Wording by industry=0; capability=CAP_FRAUD_MONITORING; risk label=Fraud monitoring weakness</v>
      </c>
      <c r="CM605" t="str">
        <f t="shared" si="84"/>
        <v>RISK-ONT-0106</v>
      </c>
      <c r="CN605" t="str">
        <f t="shared" si="85"/>
        <v>RISK-EVT-0106</v>
      </c>
      <c r="CO605" t="str">
        <f t="shared" si="86"/>
        <v>Finance Procurement|Procurement and suppliers|FINA-013|CAP_FRAUD_MONITORING</v>
      </c>
      <c r="CP605" t="str">
        <f t="shared" si="87"/>
        <v>Active</v>
      </c>
      <c r="CQ605" t="str">
        <f t="shared" si="88"/>
        <v>OK: capability-driven</v>
      </c>
      <c r="CR605" t="str">
        <f t="shared" si="89"/>
        <v>Risk ontology uses capability=CAP_FRAUD_MONITORING; bridge=BRG-032; treatment=TRT-FRAUD_MONITORING-INITIAL; wording=IW-ALL-FRAUD_MONITORING</v>
      </c>
      <c r="CS605" t="str">
        <f t="shared" si="90"/>
        <v>Yes</v>
      </c>
    </row>
    <row r="606" spans="1:97" ht="69.900000000000006" customHeight="1">
      <c r="A606">
        <f>IF(OR($B606&lt;&gt;"Yes",$BS606=""),"",SUMPRODUCT(($B$500:$B$923="Yes")*ISNUMBER($BS$500:$BS$923)*($BS$500:$BS$923&gt;$BS606))+COUNTIFS($B$500:$B606,"Yes",$BS$500:$BS606,$BS606))</f>
        <v>236</v>
      </c>
      <c r="B606" t="str">
        <f t="shared" si="59"/>
        <v>Yes</v>
      </c>
      <c r="C606" t="s">
        <v>1401</v>
      </c>
      <c r="D606" t="s">
        <v>1422</v>
      </c>
      <c r="E606" t="s">
        <v>1478</v>
      </c>
      <c r="F606" t="s">
        <v>3683</v>
      </c>
      <c r="G606" t="str">
        <f>IF($H606="","",IFERROR(INDEX(_ENGINE_Risk!$H$5:$M$499,MATCH($E606,_ENGINE_Risk!$A$5:$A$499,0),$H606+1),""))</f>
        <v>Severe risk: critical supplier classification by business impact, replaceability, geography, financial health and SLA is not reliably controlled. During Financial / liquidity shock; Supplier disruption; Fraud risk, the organization may face cash-flow stress, uncontrolled spend, supplier payment disruption and weak financial visibility with limited visibility or accountability.</v>
      </c>
      <c r="H606">
        <f>IFERROR(VALUE(INDEX(_DATA_Assessment_Model!$H$5:$H$884,MATCH($E606,_DATA_Assessment_Model!$A$5:$A$884,0))),"")</f>
        <v>0</v>
      </c>
      <c r="I606" t="str">
        <f>IF($H606="","",IFERROR(INDEX(_DATA_Assessment_Model!$L$5:$L$884,MATCH($E606,_DATA_Assessment_Model!$A$5:$A$884,0)),IF($H606&lt;=1,"Critical",IF($H606=2,"High",IF($H606=3,"Medium",IF($H606=4,"Low","Resilient"))))))</f>
        <v>Critical</v>
      </c>
      <c r="J606">
        <f t="shared" si="60"/>
        <v>3.6</v>
      </c>
      <c r="K606">
        <f t="shared" si="61"/>
        <v>4.5</v>
      </c>
      <c r="L606">
        <f t="shared" si="62"/>
        <v>16.2</v>
      </c>
      <c r="M606">
        <f t="shared" si="63"/>
        <v>4</v>
      </c>
      <c r="N606">
        <f>IF($H606="","",IFERROR(INDEX(_ENGINE_Risk!$T$5:$Y$499,MATCH($E606,_ENGINE_Risk!$A$5:$A$499,0),$H606+1),""))</f>
        <v>3</v>
      </c>
      <c r="O606">
        <f t="shared" si="64"/>
        <v>4.666666666666667</v>
      </c>
      <c r="P606">
        <f t="shared" si="65"/>
        <v>5</v>
      </c>
      <c r="Q606">
        <f t="shared" si="66"/>
        <v>5</v>
      </c>
      <c r="R606">
        <f t="shared" si="67"/>
        <v>4.5</v>
      </c>
      <c r="S606">
        <f t="shared" si="68"/>
        <v>1.6</v>
      </c>
      <c r="T606" t="str">
        <f>IF($H606="","",IFERROR(INDEX(_ENGINE_Risk!$N$5:$S$499,MATCH($E606,_ENGINE_Risk!$A$5:$A$499,0),$H606+1),""))</f>
        <v>Create an immediate risk owner, minimum control baseline and fallback procedure for critical supplier classification by business impact, replaceability, geography, financial health and SLA. Add it to the crisis risk register and collect first evidence.</v>
      </c>
      <c r="U606">
        <f>IFERROR(INDEX(_DATA_Assessment_Model!$G$5:$G$884,MATCH($E606,_DATA_Assessment_Model!$A$5:$A$884,0)),"")</f>
        <v>5</v>
      </c>
      <c r="V606">
        <f>IFERROR(INDEX(_DATA_Assessment_Model!$W$5:$W$884,MATCH($E606,_DATA_Assessment_Model!$A$5:$A$884,0)),"")</f>
        <v>4</v>
      </c>
      <c r="W606">
        <f>IFERROR(INDEX(_DATA_Assessment_Model!$X$5:$X$884,MATCH($E606,_DATA_Assessment_Model!$A$5:$A$884,0)),"")</f>
        <v>5</v>
      </c>
      <c r="X606">
        <f>IFERROR(INDEX(_DATA_Assessment_Model!$Y$5:$Y$884,MATCH($E606,_DATA_Assessment_Model!$A$5:$A$884,0)),"")</f>
        <v>5</v>
      </c>
      <c r="Y606" t="s">
        <v>1408</v>
      </c>
      <c r="Z606" t="s">
        <v>5918</v>
      </c>
      <c r="AA606" t="s">
        <v>1480</v>
      </c>
      <c r="AB606">
        <f>IFERROR(INDEX(_DATA_Assessment_Model!$U$5:$U$884,MATCH($E606,_DATA_Assessment_Model!$A$5:$A$884,0)),"")</f>
        <v>0</v>
      </c>
      <c r="AF606" t="s">
        <v>1479</v>
      </c>
      <c r="AO606">
        <f>IF($B606="Yes",IF(IFERROR(INDEX(_ENGINE_Crisis!$F$501:$F$517,MATCH($C606,_ENGINE_Crisis!$A$501:$A$517,0)),1)=0,1,IFERROR(INDEX(_ENGINE_Crisis!$F$501:$F$517,MATCH($C606,_ENGINE_Crisis!$A$501:$A$517,0)),1)),"")</f>
        <v>1</v>
      </c>
      <c r="AP606">
        <f t="shared" si="69"/>
        <v>16.2</v>
      </c>
      <c r="AQ606">
        <f t="shared" si="70"/>
        <v>1.6</v>
      </c>
      <c r="AR606" t="str">
        <f>IFERROR(INDEX(_ENGINE_Crisis!$E$41:$E$700,MATCH('Resilience &amp; Risk Scenario'!$B$6&amp;"|"&amp;$C606,_ENGINE_Crisis!$I$41:$I$700,0)),"")</f>
        <v/>
      </c>
      <c r="AS606" t="str">
        <f>IFERROR(INDEX(_ENGINE_Crisis!$G$41:$G$700,MATCH('Resilience &amp; Risk Scenario'!$B$6&amp;"|"&amp;$C606,_ENGINE_Crisis!$I$41:$I$700,0)),"")</f>
        <v/>
      </c>
      <c r="AT606" t="str">
        <f>IFERROR(INDEX(_ENGINE_Initiatives!$A$5:$A$532,MATCH(1,INDEX((_ENGINE_Initiatives!$B$5:$B$532=$C606)*(_ENGINE_Initiatives!$C$5:$C$532=$D606),0),0)),"")</f>
        <v>INI-017</v>
      </c>
      <c r="AU606" t="str">
        <f>IFERROR(INDEX(_ENGINE_Initiatives!$F$5:$F$532,MATCH(1,INDEX((_ENGINE_Initiatives!$B$5:$B$532=$C606)*(_ENGINE_Initiatives!$C$5:$C$532=$D606),0),0)),"")</f>
        <v>Build resilient procurement governance and supplier risk controls</v>
      </c>
      <c r="AV606">
        <f>IFERROR(INDEX(_ENGINE_Initiatives!$AC$5:$AC$532,MATCH(1,INDEX((_ENGINE_Initiatives!$B$5:$B$532=$C606)*(_ENGINE_Initiatives!$C$5:$C$532=$D606),0),0)),"")</f>
        <v>1.76</v>
      </c>
      <c r="AW606" t="str">
        <f>IFERROR(INDEX(_ENGINE_Initiatives!$AE$5:$AE$532,MATCH(1,INDEX((_ENGINE_Initiatives!$B$5:$B$532=$C606)*(_ENGINE_Initiatives!$C$5:$C$532=$D606),0),0)),"")</f>
        <v>3-6 months</v>
      </c>
      <c r="AX606">
        <f>IF($B606="Yes",IFERROR((IF(SUMIFS(_REF_Model_Content!$E$1:$E$613,_REF_Model_Content!$A$1:$A$613,PV_Canonical_Industry,_REF_Model_Content!$B$1:$B$613,$C606)=0,1,SUMIFS(_REF_Model_Content!$E$1:$E$613,_REF_Model_Content!$A$1:$A$613,PV_Canonical_Industry,_REF_Model_Content!$B$1:$B$613,$C606))*IFERROR($BU606,1)),1),"")</f>
        <v>1</v>
      </c>
      <c r="AY606">
        <f t="shared" si="71"/>
        <v>16.2</v>
      </c>
      <c r="AZ606">
        <f t="shared" si="72"/>
        <v>1.6</v>
      </c>
      <c r="BB606" t="str">
        <f>IF($H606="","",IFERROR(INDEX(_ENGINE_Risk!$AE$5:$AE$499,MATCH($E606,_ENGINE_Risk!$A$5:$A$499,0)),"Medium"))</f>
        <v>Medium</v>
      </c>
      <c r="BC606">
        <f t="shared" si="73"/>
        <v>1</v>
      </c>
      <c r="BD606">
        <f t="shared" si="74"/>
        <v>1.6</v>
      </c>
      <c r="BF606">
        <f>IF(OR($H606="",$J606=""),"",IFERROR(VLOOKUP(ROUND($J606,0),_CONFIG_Model_Settings!$D$154:$E$158,2,0),""))</f>
        <v>0.5</v>
      </c>
      <c r="BG606">
        <f>IFERROR(IF(OR($H606="",$K606=""),"",ROUND('Company Profile'!$B$113*INDEX(_CONFIG_Model_Settings!$H$154:$H$158,MATCH(ROUND($K606,0),_CONFIG_Model_Settings!$G$154:$G$158,0)),0)),0)</f>
        <v>1875</v>
      </c>
      <c r="BH606">
        <f t="shared" si="75"/>
        <v>937.5</v>
      </c>
      <c r="BI606">
        <f t="shared" si="76"/>
        <v>937.5</v>
      </c>
      <c r="BJ606">
        <f>IF($E606="","",IFERROR(VLOOKUP($C606,_CONFIG_Risk_Calibration!$A$5:$H$21,2,FALSE),3))</f>
        <v>3</v>
      </c>
      <c r="BK606">
        <f>IF($E606="","",IFERROR(VLOOKUP($C606,_CONFIG_Risk_Calibration!$A$5:$H$21,3,FALSE),0))</f>
        <v>0</v>
      </c>
      <c r="BL606">
        <f>IF($E606="","",IFERROR(VLOOKUP($C606,_CONFIG_Risk_Calibration!$A$5:$H$21,4,FALSE),3))</f>
        <v>3</v>
      </c>
      <c r="BM606">
        <f>IF($E606="","",IFERROR(VLOOKUP($C606,_CONFIG_Risk_Calibration!$A$5:$H$21,5,FALSE),3))</f>
        <v>4</v>
      </c>
      <c r="BN606" t="str">
        <f>IF($E606="","",IFERROR(VLOOKUP($C606,_CONFIG_Risk_Calibration!$A$5:$H$21,6,FALSE),"No"))</f>
        <v>Yes</v>
      </c>
      <c r="BO606">
        <f>IF($E606="","",IFERROR(VLOOKUP($C606,_CONFIG_Risk_Calibration!$A$5:$H$21,7,FALSE),1))</f>
        <v>4</v>
      </c>
      <c r="BP606">
        <f>IF($H606="","",MAX(1,MIN(5,((6-$H606)*0.45)+($BJ606*0.2)+('Resilience &amp; Risk Scenario'!$B$7*0.15)+($BK606*0.1)+($BL606*0.05)+(IF($BB606="Fast",5,IF($BB606="Slow",1,3))*0.05))))</f>
        <v>3.6</v>
      </c>
      <c r="BQ606">
        <f t="shared" si="77"/>
        <v>4.5</v>
      </c>
      <c r="BR606">
        <f t="shared" si="78"/>
        <v>16.2</v>
      </c>
      <c r="BS606">
        <f t="shared" si="79"/>
        <v>17.82</v>
      </c>
      <c r="BT606" t="str">
        <f>IFERROR(INDEX(_REF_Capability_Bridge!$D:$D,MATCH($C606&amp;"|"&amp;$D606,_REF_Capability_Bridge!$J:$J,0)),IFERROR(INDEX(_REF_Capability_Bridge!$D:$D,MATCH($C606&amp;"|",_REF_Capability_Bridge!$J:$J,0)),"CAP_GENERIC"))</f>
        <v>CAP_FRAUD_MONITORING</v>
      </c>
      <c r="BU606">
        <f>IFERROR(IFERROR(INDEX(_ENGINE_Relevance!$L:$L,MATCH($BT606,_ENGINE_Relevance!$B:$B,0)),1),1)</f>
        <v>1</v>
      </c>
      <c r="BV606" t="str">
        <f>IFERROR(INDEX(_REF_Capability_Bridge!$A:$A,MATCH($C606&amp;"|"&amp;$D606,_REF_Capability_Bridge!$J:$J,0)),IFERROR(INDEX(_REF_Capability_Bridge!$A:$A,MATCH($C606&amp;"|",_REF_Capability_Bridge!$J:$J,0)),"No bridge"))</f>
        <v>BRG-032</v>
      </c>
      <c r="BW606" t="str">
        <f t="shared" si="80"/>
        <v>Capability relevance neutral</v>
      </c>
      <c r="BX606" t="str">
        <f t="shared" si="81"/>
        <v>Initial / absent</v>
      </c>
      <c r="BY606" t="str">
        <f>IF($E606="","",IFERROR(INDEX(_REF_Treatment_Library!$A$2:$A$296,MATCH(1,INDEX((_REF_Treatment_Library!$B$2:$B$296=$BT606)*(_REF_Treatment_Library!$C$2:$C$296=PV_Canonical_Industry)*(_REF_Treatment_Library!$E$2:$E$296&lt;=N($H606))*(_REF_Treatment_Library!$F$2:$F$296&gt;=N($H606))*(_REF_Treatment_Library!$O$2:$O$296="Yes"),0),0)),IFERROR(INDEX(_REF_Treatment_Library!$A$2:$A$296,MATCH(1,INDEX((_REF_Treatment_Library!$B$2:$B$296=$BT606)*(_REF_Treatment_Library!$C$2:$C$296="All")*(_REF_Treatment_Library!$E$2:$E$296&lt;=N($H606))*(_REF_Treatment_Library!$F$2:$F$296&gt;=N($H606))*(_REF_Treatment_Library!$O$2:$O$296="Yes"),0),0)),"")))</f>
        <v>TRT-FRAUD_MONITORING-INITIAL</v>
      </c>
      <c r="BZ606" t="str">
        <f>IF($BY606="","",IFERROR(INDEX(_REF_Treatment_Library!$H$2:$H$296,MATCH($BY606,_REF_Treatment_Library!$A$2:$A$296,0)),""))</f>
        <v>Establish</v>
      </c>
      <c r="CA606" t="str">
        <f>IF($BY606="","",IFERROR(INDEX(_REF_Treatment_Library!$I$2:$I$296,MATCH($BY606,_REF_Treatment_Library!$A$2:$A$296,0)),""))</f>
        <v>Establish baseline controls for Fraud monitoring</v>
      </c>
      <c r="CB606" t="str">
        <f>IF($BY606="","",IFERROR(INDEX(_REF_Treatment_Library!$K$2:$K$296,MATCH($BY606,_REF_Treatment_Library!$A$2:$A$296,0)),""))</f>
        <v>Named owner, baseline process, minimum control checklist, first evidence package</v>
      </c>
      <c r="CC606" t="str">
        <f>IF($BY606="","",IFERROR(INDEX(_REF_Treatment_Library!$L$2:$L$296,MATCH($BY606,_REF_Treatment_Library!$A$2:$A$296,0)),""))</f>
        <v>Owner assigned; baseline evidence coverage; open critical gaps</v>
      </c>
      <c r="CD606" t="str">
        <f t="shared" si="82"/>
        <v>Treatment by capability=CAP_FRAUD_MONITORING; band=Initial / absent; score=0.0; treatment=Establish</v>
      </c>
      <c r="CE606" t="str">
        <f>IF($E606="","",IFERROR(INDEX(_REF_Industry_Wording!$A$2:$A$70,MATCH(1,INDEX((_REF_Industry_Wording!$B$2:$B$70=$BT606)*(_REF_Industry_Wording!$C$2:$C$70=PV_Canonical_Industry)*(_REF_Industry_Wording!$K$2:$K$70="Yes"),0),0)),IFERROR(INDEX(_REF_Industry_Wording!$A$2:$A$70,MATCH(1,INDEX((_REF_Industry_Wording!$B$2:$B$70=$BT606)*(_REF_Industry_Wording!$C$2:$C$70="All")*(_REF_Industry_Wording!$K$2:$K$70="Yes"),0),0)),"")))</f>
        <v>IW-ALL-FRAUD_MONITORING</v>
      </c>
      <c r="CF606" t="str">
        <f>IF($CE606="","",IFERROR(INDEX(_REF_Industry_Wording!$E$2:$E$70,MATCH($CE606,_REF_Industry_Wording!$A$2:$A$70,0)),""))</f>
        <v>Fraud monitoring weakness</v>
      </c>
      <c r="CG606" t="str">
        <f>IF($CE606="","",IFERROR(INDEX(_REF_Industry_Wording!$F$2:$F$70,MATCH($CE606,_REF_Industry_Wording!$A$2:$A$70,0)),""))</f>
        <v>Strengthen Fraud monitoring</v>
      </c>
      <c r="CH606" t="str">
        <f>IF($CE606="","",IFERROR(INDEX(_REF_Industry_Wording!$G$2:$G$70,MATCH($CE606,_REF_Industry_Wording!$A$2:$A$70,0)),""))</f>
        <v>Strengthen Fraud monitoring using the selected maturity treatment, crisis scenario and evidence requirements.</v>
      </c>
      <c r="CI606" t="str">
        <f>IF($CE606="","",IFERROR(INDEX(_REF_Industry_Wording!$H$2:$H$70,MATCH($CE606,_REF_Industry_Wording!$A$2:$A$70,0)),""))</f>
        <v>Fraud monitoring</v>
      </c>
      <c r="CJ606">
        <f>IF($CE606="","",IFERROR(INDEX(_REF_Industry_Wording!$I$2:$I$70,MATCH($CE606,_REF_Industry_Wording!$A$2:$A$70,0)),""))</f>
        <v>0</v>
      </c>
      <c r="CK606" t="str">
        <f>IF($CE606="","",IFERROR(INDEX(_REF_Industry_Wording!$J$2:$J$70,MATCH($CE606,_REF_Industry_Wording!$A$2:$A$70,0)),""))</f>
        <v>Fraud monitoring</v>
      </c>
      <c r="CL606" t="str">
        <f t="shared" si="83"/>
        <v>Wording by industry=0; capability=CAP_FRAUD_MONITORING; risk label=Fraud monitoring weakness</v>
      </c>
      <c r="CM606" t="str">
        <f t="shared" si="84"/>
        <v>RISK-ONT-0107</v>
      </c>
      <c r="CN606" t="str">
        <f t="shared" si="85"/>
        <v>RISK-EVT-0107</v>
      </c>
      <c r="CO606" t="str">
        <f t="shared" si="86"/>
        <v>Finance Procurement|Procurement and suppliers|FINA-014|CAP_FRAUD_MONITORING</v>
      </c>
      <c r="CP606" t="str">
        <f t="shared" si="87"/>
        <v>Active</v>
      </c>
      <c r="CQ606" t="str">
        <f t="shared" si="88"/>
        <v>OK: capability-driven</v>
      </c>
      <c r="CR606" t="str">
        <f t="shared" si="89"/>
        <v>Risk ontology uses capability=CAP_FRAUD_MONITORING; bridge=BRG-032; treatment=TRT-FRAUD_MONITORING-INITIAL; wording=IW-ALL-FRAUD_MONITORING</v>
      </c>
      <c r="CS606" t="str">
        <f t="shared" si="90"/>
        <v>Yes</v>
      </c>
    </row>
    <row r="607" spans="1:97" ht="69.900000000000006" customHeight="1">
      <c r="A607">
        <f>IF(OR($B607&lt;&gt;"Yes",$BS607=""),"",SUMPRODUCT(($B$500:$B$923="Yes")*ISNUMBER($BS$500:$BS$923)*($BS$500:$BS$923&gt;$BS607))+COUNTIFS($B$500:$B607,"Yes",$BS$500:$BS607,$BS607))</f>
        <v>237</v>
      </c>
      <c r="B607" t="str">
        <f t="shared" si="59"/>
        <v>Yes</v>
      </c>
      <c r="C607" t="s">
        <v>1401</v>
      </c>
      <c r="D607" t="s">
        <v>1422</v>
      </c>
      <c r="E607" t="s">
        <v>1481</v>
      </c>
      <c r="F607" t="s">
        <v>3683</v>
      </c>
      <c r="G607" t="str">
        <f>IF($H607="","",IFERROR(INDEX(_ENGINE_Risk!$H$5:$M$499,MATCH($E607,_ENGINE_Risk!$A$5:$A$499,0),$H607+1),""))</f>
        <v>Severe risk: single-source and sole-source supplier exposure and mitigation plans is not reliably controlled. During Financial / liquidity shock; Supplier disruption; Fraud risk, the organization may face cash-flow stress, uncontrolled spend, supplier payment disruption and weak financial visibility with limited visibility or accountability.</v>
      </c>
      <c r="H607">
        <f>IFERROR(VALUE(INDEX(_DATA_Assessment_Model!$H$5:$H$884,MATCH($E607,_DATA_Assessment_Model!$A$5:$A$884,0))),"")</f>
        <v>0</v>
      </c>
      <c r="I607" t="str">
        <f>IF($H607="","",IFERROR(INDEX(_DATA_Assessment_Model!$L$5:$L$884,MATCH($E607,_DATA_Assessment_Model!$A$5:$A$884,0)),IF($H607&lt;=1,"Critical",IF($H607=2,"High",IF($H607=3,"Medium",IF($H607=4,"Low","Resilient"))))))</f>
        <v>Critical</v>
      </c>
      <c r="J607">
        <f t="shared" si="60"/>
        <v>3.6</v>
      </c>
      <c r="K607">
        <f t="shared" si="61"/>
        <v>4.5</v>
      </c>
      <c r="L607">
        <f t="shared" si="62"/>
        <v>16.2</v>
      </c>
      <c r="M607">
        <f t="shared" si="63"/>
        <v>4</v>
      </c>
      <c r="N607">
        <f>IF($H607="","",IFERROR(INDEX(_ENGINE_Risk!$T$5:$Y$499,MATCH($E607,_ENGINE_Risk!$A$5:$A$499,0),$H607+1),""))</f>
        <v>3</v>
      </c>
      <c r="O607">
        <f t="shared" si="64"/>
        <v>4.666666666666667</v>
      </c>
      <c r="P607">
        <f t="shared" si="65"/>
        <v>5</v>
      </c>
      <c r="Q607">
        <f t="shared" si="66"/>
        <v>5</v>
      </c>
      <c r="R607">
        <f t="shared" si="67"/>
        <v>4.5</v>
      </c>
      <c r="S607">
        <f t="shared" si="68"/>
        <v>1.6</v>
      </c>
      <c r="T607" t="str">
        <f>IF($H607="","",IFERROR(INDEX(_ENGINE_Risk!$N$5:$S$499,MATCH($E607,_ENGINE_Risk!$A$5:$A$499,0),$H607+1),""))</f>
        <v>Create an immediate risk owner, minimum control baseline and fallback procedure for single-source and sole-source supplier exposure and mitigation plans. Add it to the crisis risk register and collect first evidence.</v>
      </c>
      <c r="U607">
        <f>IFERROR(INDEX(_DATA_Assessment_Model!$G$5:$G$884,MATCH($E607,_DATA_Assessment_Model!$A$5:$A$884,0)),"")</f>
        <v>5</v>
      </c>
      <c r="V607">
        <f>IFERROR(INDEX(_DATA_Assessment_Model!$W$5:$W$884,MATCH($E607,_DATA_Assessment_Model!$A$5:$A$884,0)),"")</f>
        <v>4</v>
      </c>
      <c r="W607">
        <f>IFERROR(INDEX(_DATA_Assessment_Model!$X$5:$X$884,MATCH($E607,_DATA_Assessment_Model!$A$5:$A$884,0)),"")</f>
        <v>5</v>
      </c>
      <c r="X607">
        <f>IFERROR(INDEX(_DATA_Assessment_Model!$Y$5:$Y$884,MATCH($E607,_DATA_Assessment_Model!$A$5:$A$884,0)),"")</f>
        <v>5</v>
      </c>
      <c r="Y607" t="s">
        <v>1408</v>
      </c>
      <c r="Z607" t="s">
        <v>5918</v>
      </c>
      <c r="AA607" t="s">
        <v>1483</v>
      </c>
      <c r="AB607">
        <f>IFERROR(INDEX(_DATA_Assessment_Model!$U$5:$U$884,MATCH($E607,_DATA_Assessment_Model!$A$5:$A$884,0)),"")</f>
        <v>0</v>
      </c>
      <c r="AF607" t="s">
        <v>1482</v>
      </c>
      <c r="AO607">
        <f>IF($B607="Yes",IF(IFERROR(INDEX(_ENGINE_Crisis!$F$501:$F$517,MATCH($C607,_ENGINE_Crisis!$A$501:$A$517,0)),1)=0,1,IFERROR(INDEX(_ENGINE_Crisis!$F$501:$F$517,MATCH($C607,_ENGINE_Crisis!$A$501:$A$517,0)),1)),"")</f>
        <v>1</v>
      </c>
      <c r="AP607">
        <f t="shared" si="69"/>
        <v>16.2</v>
      </c>
      <c r="AQ607">
        <f t="shared" si="70"/>
        <v>1.6</v>
      </c>
      <c r="AR607" t="str">
        <f>IFERROR(INDEX(_ENGINE_Crisis!$E$41:$E$700,MATCH('Resilience &amp; Risk Scenario'!$B$6&amp;"|"&amp;$C607,_ENGINE_Crisis!$I$41:$I$700,0)),"")</f>
        <v/>
      </c>
      <c r="AS607" t="str">
        <f>IFERROR(INDEX(_ENGINE_Crisis!$G$41:$G$700,MATCH('Resilience &amp; Risk Scenario'!$B$6&amp;"|"&amp;$C607,_ENGINE_Crisis!$I$41:$I$700,0)),"")</f>
        <v/>
      </c>
      <c r="AT607" t="str">
        <f>IFERROR(INDEX(_ENGINE_Initiatives!$A$5:$A$532,MATCH(1,INDEX((_ENGINE_Initiatives!$B$5:$B$532=$C607)*(_ENGINE_Initiatives!$C$5:$C$532=$D607),0),0)),"")</f>
        <v>INI-017</v>
      </c>
      <c r="AU607" t="str">
        <f>IFERROR(INDEX(_ENGINE_Initiatives!$F$5:$F$532,MATCH(1,INDEX((_ENGINE_Initiatives!$B$5:$B$532=$C607)*(_ENGINE_Initiatives!$C$5:$C$532=$D607),0),0)),"")</f>
        <v>Build resilient procurement governance and supplier risk controls</v>
      </c>
      <c r="AV607">
        <f>IFERROR(INDEX(_ENGINE_Initiatives!$AC$5:$AC$532,MATCH(1,INDEX((_ENGINE_Initiatives!$B$5:$B$532=$C607)*(_ENGINE_Initiatives!$C$5:$C$532=$D607),0),0)),"")</f>
        <v>1.76</v>
      </c>
      <c r="AW607" t="str">
        <f>IFERROR(INDEX(_ENGINE_Initiatives!$AE$5:$AE$532,MATCH(1,INDEX((_ENGINE_Initiatives!$B$5:$B$532=$C607)*(_ENGINE_Initiatives!$C$5:$C$532=$D607),0),0)),"")</f>
        <v>3-6 months</v>
      </c>
      <c r="AX607">
        <f>IF($B607="Yes",IFERROR((IF(SUMIFS(_REF_Model_Content!$E$1:$E$613,_REF_Model_Content!$A$1:$A$613,PV_Canonical_Industry,_REF_Model_Content!$B$1:$B$613,$C607)=0,1,SUMIFS(_REF_Model_Content!$E$1:$E$613,_REF_Model_Content!$A$1:$A$613,PV_Canonical_Industry,_REF_Model_Content!$B$1:$B$613,$C607))*IFERROR($BU607,1)),1),"")</f>
        <v>1</v>
      </c>
      <c r="AY607">
        <f t="shared" si="71"/>
        <v>16.2</v>
      </c>
      <c r="AZ607">
        <f t="shared" si="72"/>
        <v>1.6</v>
      </c>
      <c r="BB607" t="str">
        <f>IF($H607="","",IFERROR(INDEX(_ENGINE_Risk!$AE$5:$AE$499,MATCH($E607,_ENGINE_Risk!$A$5:$A$499,0)),"Medium"))</f>
        <v>Medium</v>
      </c>
      <c r="BC607">
        <f t="shared" si="73"/>
        <v>1</v>
      </c>
      <c r="BD607">
        <f t="shared" si="74"/>
        <v>1.6</v>
      </c>
      <c r="BF607">
        <f>IF(OR($H607="",$J607=""),"",IFERROR(VLOOKUP(ROUND($J607,0),_CONFIG_Model_Settings!$D$154:$E$158,2,0),""))</f>
        <v>0.5</v>
      </c>
      <c r="BG607">
        <f>IFERROR(IF(OR($H607="",$K607=""),"",ROUND('Company Profile'!$B$113*INDEX(_CONFIG_Model_Settings!$H$154:$H$158,MATCH(ROUND($K607,0),_CONFIG_Model_Settings!$G$154:$G$158,0)),0)),0)</f>
        <v>1875</v>
      </c>
      <c r="BH607">
        <f t="shared" si="75"/>
        <v>937.5</v>
      </c>
      <c r="BI607">
        <f t="shared" si="76"/>
        <v>937.5</v>
      </c>
      <c r="BJ607">
        <f>IF($E607="","",IFERROR(VLOOKUP($C607,_CONFIG_Risk_Calibration!$A$5:$H$21,2,FALSE),3))</f>
        <v>3</v>
      </c>
      <c r="BK607">
        <f>IF($E607="","",IFERROR(VLOOKUP($C607,_CONFIG_Risk_Calibration!$A$5:$H$21,3,FALSE),0))</f>
        <v>0</v>
      </c>
      <c r="BL607">
        <f>IF($E607="","",IFERROR(VLOOKUP($C607,_CONFIG_Risk_Calibration!$A$5:$H$21,4,FALSE),3))</f>
        <v>3</v>
      </c>
      <c r="BM607">
        <f>IF($E607="","",IFERROR(VLOOKUP($C607,_CONFIG_Risk_Calibration!$A$5:$H$21,5,FALSE),3))</f>
        <v>4</v>
      </c>
      <c r="BN607" t="str">
        <f>IF($E607="","",IFERROR(VLOOKUP($C607,_CONFIG_Risk_Calibration!$A$5:$H$21,6,FALSE),"No"))</f>
        <v>Yes</v>
      </c>
      <c r="BO607">
        <f>IF($E607="","",IFERROR(VLOOKUP($C607,_CONFIG_Risk_Calibration!$A$5:$H$21,7,FALSE),1))</f>
        <v>4</v>
      </c>
      <c r="BP607">
        <f>IF($H607="","",MAX(1,MIN(5,((6-$H607)*0.45)+($BJ607*0.2)+('Resilience &amp; Risk Scenario'!$B$7*0.15)+($BK607*0.1)+($BL607*0.05)+(IF($BB607="Fast",5,IF($BB607="Slow",1,3))*0.05))))</f>
        <v>3.6</v>
      </c>
      <c r="BQ607">
        <f t="shared" si="77"/>
        <v>4.5</v>
      </c>
      <c r="BR607">
        <f t="shared" si="78"/>
        <v>16.2</v>
      </c>
      <c r="BS607">
        <f t="shared" si="79"/>
        <v>17.82</v>
      </c>
      <c r="BT607" t="str">
        <f>IFERROR(INDEX(_REF_Capability_Bridge!$D:$D,MATCH($C607&amp;"|"&amp;$D607,_REF_Capability_Bridge!$J:$J,0)),IFERROR(INDEX(_REF_Capability_Bridge!$D:$D,MATCH($C607&amp;"|",_REF_Capability_Bridge!$J:$J,0)),"CAP_GENERIC"))</f>
        <v>CAP_FRAUD_MONITORING</v>
      </c>
      <c r="BU607">
        <f>IFERROR(IFERROR(INDEX(_ENGINE_Relevance!$L:$L,MATCH($BT607,_ENGINE_Relevance!$B:$B,0)),1),1)</f>
        <v>1</v>
      </c>
      <c r="BV607" t="str">
        <f>IFERROR(INDEX(_REF_Capability_Bridge!$A:$A,MATCH($C607&amp;"|"&amp;$D607,_REF_Capability_Bridge!$J:$J,0)),IFERROR(INDEX(_REF_Capability_Bridge!$A:$A,MATCH($C607&amp;"|",_REF_Capability_Bridge!$J:$J,0)),"No bridge"))</f>
        <v>BRG-032</v>
      </c>
      <c r="BW607" t="str">
        <f t="shared" si="80"/>
        <v>Capability relevance neutral</v>
      </c>
      <c r="BX607" t="str">
        <f t="shared" si="81"/>
        <v>Initial / absent</v>
      </c>
      <c r="BY607" t="str">
        <f>IF($E607="","",IFERROR(INDEX(_REF_Treatment_Library!$A$2:$A$296,MATCH(1,INDEX((_REF_Treatment_Library!$B$2:$B$296=$BT607)*(_REF_Treatment_Library!$C$2:$C$296=PV_Canonical_Industry)*(_REF_Treatment_Library!$E$2:$E$296&lt;=N($H607))*(_REF_Treatment_Library!$F$2:$F$296&gt;=N($H607))*(_REF_Treatment_Library!$O$2:$O$296="Yes"),0),0)),IFERROR(INDEX(_REF_Treatment_Library!$A$2:$A$296,MATCH(1,INDEX((_REF_Treatment_Library!$B$2:$B$296=$BT607)*(_REF_Treatment_Library!$C$2:$C$296="All")*(_REF_Treatment_Library!$E$2:$E$296&lt;=N($H607))*(_REF_Treatment_Library!$F$2:$F$296&gt;=N($H607))*(_REF_Treatment_Library!$O$2:$O$296="Yes"),0),0)),"")))</f>
        <v>TRT-FRAUD_MONITORING-INITIAL</v>
      </c>
      <c r="BZ607" t="str">
        <f>IF($BY607="","",IFERROR(INDEX(_REF_Treatment_Library!$H$2:$H$296,MATCH($BY607,_REF_Treatment_Library!$A$2:$A$296,0)),""))</f>
        <v>Establish</v>
      </c>
      <c r="CA607" t="str">
        <f>IF($BY607="","",IFERROR(INDEX(_REF_Treatment_Library!$I$2:$I$296,MATCH($BY607,_REF_Treatment_Library!$A$2:$A$296,0)),""))</f>
        <v>Establish baseline controls for Fraud monitoring</v>
      </c>
      <c r="CB607" t="str">
        <f>IF($BY607="","",IFERROR(INDEX(_REF_Treatment_Library!$K$2:$K$296,MATCH($BY607,_REF_Treatment_Library!$A$2:$A$296,0)),""))</f>
        <v>Named owner, baseline process, minimum control checklist, first evidence package</v>
      </c>
      <c r="CC607" t="str">
        <f>IF($BY607="","",IFERROR(INDEX(_REF_Treatment_Library!$L$2:$L$296,MATCH($BY607,_REF_Treatment_Library!$A$2:$A$296,0)),""))</f>
        <v>Owner assigned; baseline evidence coverage; open critical gaps</v>
      </c>
      <c r="CD607" t="str">
        <f t="shared" si="82"/>
        <v>Treatment by capability=CAP_FRAUD_MONITORING; band=Initial / absent; score=0.0; treatment=Establish</v>
      </c>
      <c r="CE607" t="str">
        <f>IF($E607="","",IFERROR(INDEX(_REF_Industry_Wording!$A$2:$A$70,MATCH(1,INDEX((_REF_Industry_Wording!$B$2:$B$70=$BT607)*(_REF_Industry_Wording!$C$2:$C$70=PV_Canonical_Industry)*(_REF_Industry_Wording!$K$2:$K$70="Yes"),0),0)),IFERROR(INDEX(_REF_Industry_Wording!$A$2:$A$70,MATCH(1,INDEX((_REF_Industry_Wording!$B$2:$B$70=$BT607)*(_REF_Industry_Wording!$C$2:$C$70="All")*(_REF_Industry_Wording!$K$2:$K$70="Yes"),0),0)),"")))</f>
        <v>IW-ALL-FRAUD_MONITORING</v>
      </c>
      <c r="CF607" t="str">
        <f>IF($CE607="","",IFERROR(INDEX(_REF_Industry_Wording!$E$2:$E$70,MATCH($CE607,_REF_Industry_Wording!$A$2:$A$70,0)),""))</f>
        <v>Fraud monitoring weakness</v>
      </c>
      <c r="CG607" t="str">
        <f>IF($CE607="","",IFERROR(INDEX(_REF_Industry_Wording!$F$2:$F$70,MATCH($CE607,_REF_Industry_Wording!$A$2:$A$70,0)),""))</f>
        <v>Strengthen Fraud monitoring</v>
      </c>
      <c r="CH607" t="str">
        <f>IF($CE607="","",IFERROR(INDEX(_REF_Industry_Wording!$G$2:$G$70,MATCH($CE607,_REF_Industry_Wording!$A$2:$A$70,0)),""))</f>
        <v>Strengthen Fraud monitoring using the selected maturity treatment, crisis scenario and evidence requirements.</v>
      </c>
      <c r="CI607" t="str">
        <f>IF($CE607="","",IFERROR(INDEX(_REF_Industry_Wording!$H$2:$H$70,MATCH($CE607,_REF_Industry_Wording!$A$2:$A$70,0)),""))</f>
        <v>Fraud monitoring</v>
      </c>
      <c r="CJ607">
        <f>IF($CE607="","",IFERROR(INDEX(_REF_Industry_Wording!$I$2:$I$70,MATCH($CE607,_REF_Industry_Wording!$A$2:$A$70,0)),""))</f>
        <v>0</v>
      </c>
      <c r="CK607" t="str">
        <f>IF($CE607="","",IFERROR(INDEX(_REF_Industry_Wording!$J$2:$J$70,MATCH($CE607,_REF_Industry_Wording!$A$2:$A$70,0)),""))</f>
        <v>Fraud monitoring</v>
      </c>
      <c r="CL607" t="str">
        <f t="shared" si="83"/>
        <v>Wording by industry=0; capability=CAP_FRAUD_MONITORING; risk label=Fraud monitoring weakness</v>
      </c>
      <c r="CM607" t="str">
        <f t="shared" si="84"/>
        <v>RISK-ONT-0108</v>
      </c>
      <c r="CN607" t="str">
        <f t="shared" si="85"/>
        <v>RISK-EVT-0108</v>
      </c>
      <c r="CO607" t="str">
        <f t="shared" si="86"/>
        <v>Finance Procurement|Procurement and suppliers|FINA-015|CAP_FRAUD_MONITORING</v>
      </c>
      <c r="CP607" t="str">
        <f t="shared" si="87"/>
        <v>Active</v>
      </c>
      <c r="CQ607" t="str">
        <f t="shared" si="88"/>
        <v>OK: capability-driven</v>
      </c>
      <c r="CR607" t="str">
        <f t="shared" si="89"/>
        <v>Risk ontology uses capability=CAP_FRAUD_MONITORING; bridge=BRG-032; treatment=TRT-FRAUD_MONITORING-INITIAL; wording=IW-ALL-FRAUD_MONITORING</v>
      </c>
      <c r="CS607" t="str">
        <f t="shared" si="90"/>
        <v>Yes</v>
      </c>
    </row>
    <row r="608" spans="1:97" ht="69.900000000000006" customHeight="1">
      <c r="A608">
        <f>IF(OR($B608&lt;&gt;"Yes",$BS608=""),"",SUMPRODUCT(($B$500:$B$923="Yes")*ISNUMBER($BS$500:$BS$923)*($BS$500:$BS$923&gt;$BS608))+COUNTIFS($B$500:$B608,"Yes",$BS$500:$BS608,$BS608))</f>
        <v>238</v>
      </c>
      <c r="B608" t="str">
        <f t="shared" si="59"/>
        <v>Yes</v>
      </c>
      <c r="C608" t="s">
        <v>1401</v>
      </c>
      <c r="D608" t="s">
        <v>1422</v>
      </c>
      <c r="E608" t="s">
        <v>1484</v>
      </c>
      <c r="F608" t="s">
        <v>3683</v>
      </c>
      <c r="G608" t="str">
        <f>IF($H608="","",IFERROR(INDEX(_ENGINE_Risk!$H$5:$M$499,MATCH($E608,_ENGINE_Risk!$A$5:$A$499,0),$H608+1),""))</f>
        <v>Severe risk: supplier financial health, sanctions, insurance, delivery reliability and crisis exposure monitoring is not reliably controlled. During Financial / liquidity shock; Supplier disruption; Fraud risk, the organization may face cash-flow stress, uncontrolled spend, supplier payment disruption and weak financial visibility with limited visibility or accountability.</v>
      </c>
      <c r="H608">
        <f>IFERROR(VALUE(INDEX(_DATA_Assessment_Model!$H$5:$H$884,MATCH($E608,_DATA_Assessment_Model!$A$5:$A$884,0))),"")</f>
        <v>0</v>
      </c>
      <c r="I608" t="str">
        <f>IF($H608="","",IFERROR(INDEX(_DATA_Assessment_Model!$L$5:$L$884,MATCH($E608,_DATA_Assessment_Model!$A$5:$A$884,0)),IF($H608&lt;=1,"Critical",IF($H608=2,"High",IF($H608=3,"Medium",IF($H608=4,"Low","Resilient"))))))</f>
        <v>Critical</v>
      </c>
      <c r="J608">
        <f t="shared" si="60"/>
        <v>3.6</v>
      </c>
      <c r="K608">
        <f t="shared" si="61"/>
        <v>4.5</v>
      </c>
      <c r="L608">
        <f t="shared" si="62"/>
        <v>16.2</v>
      </c>
      <c r="M608">
        <f t="shared" si="63"/>
        <v>4</v>
      </c>
      <c r="N608">
        <f>IF($H608="","",IFERROR(INDEX(_ENGINE_Risk!$T$5:$Y$499,MATCH($E608,_ENGINE_Risk!$A$5:$A$499,0),$H608+1),""))</f>
        <v>3</v>
      </c>
      <c r="O608">
        <f t="shared" si="64"/>
        <v>4.666666666666667</v>
      </c>
      <c r="P608">
        <f t="shared" si="65"/>
        <v>5</v>
      </c>
      <c r="Q608">
        <f t="shared" si="66"/>
        <v>5</v>
      </c>
      <c r="R608">
        <f t="shared" si="67"/>
        <v>4.5</v>
      </c>
      <c r="S608">
        <f t="shared" si="68"/>
        <v>1.6</v>
      </c>
      <c r="T608" t="str">
        <f>IF($H608="","",IFERROR(INDEX(_ENGINE_Risk!$N$5:$S$499,MATCH($E608,_ENGINE_Risk!$A$5:$A$499,0),$H608+1),""))</f>
        <v>Create an immediate risk owner, minimum control baseline and fallback procedure for supplier financial health, sanctions, insurance, delivery reliability and crisis exposure monitoring. Add it to the crisis risk register and collect first evidence.</v>
      </c>
      <c r="U608">
        <f>IFERROR(INDEX(_DATA_Assessment_Model!$G$5:$G$884,MATCH($E608,_DATA_Assessment_Model!$A$5:$A$884,0)),"")</f>
        <v>5</v>
      </c>
      <c r="V608">
        <f>IFERROR(INDEX(_DATA_Assessment_Model!$W$5:$W$884,MATCH($E608,_DATA_Assessment_Model!$A$5:$A$884,0)),"")</f>
        <v>4</v>
      </c>
      <c r="W608">
        <f>IFERROR(INDEX(_DATA_Assessment_Model!$X$5:$X$884,MATCH($E608,_DATA_Assessment_Model!$A$5:$A$884,0)),"")</f>
        <v>5</v>
      </c>
      <c r="X608">
        <f>IFERROR(INDEX(_DATA_Assessment_Model!$Y$5:$Y$884,MATCH($E608,_DATA_Assessment_Model!$A$5:$A$884,0)),"")</f>
        <v>5</v>
      </c>
      <c r="Y608" t="s">
        <v>1408</v>
      </c>
      <c r="Z608" t="s">
        <v>5918</v>
      </c>
      <c r="AA608" t="s">
        <v>1486</v>
      </c>
      <c r="AB608">
        <f>IFERROR(INDEX(_DATA_Assessment_Model!$U$5:$U$884,MATCH($E608,_DATA_Assessment_Model!$A$5:$A$884,0)),"")</f>
        <v>0</v>
      </c>
      <c r="AF608" t="s">
        <v>1485</v>
      </c>
      <c r="AO608">
        <f>IF($B608="Yes",IF(IFERROR(INDEX(_ENGINE_Crisis!$F$501:$F$517,MATCH($C608,_ENGINE_Crisis!$A$501:$A$517,0)),1)=0,1,IFERROR(INDEX(_ENGINE_Crisis!$F$501:$F$517,MATCH($C608,_ENGINE_Crisis!$A$501:$A$517,0)),1)),"")</f>
        <v>1</v>
      </c>
      <c r="AP608">
        <f t="shared" si="69"/>
        <v>16.2</v>
      </c>
      <c r="AQ608">
        <f t="shared" si="70"/>
        <v>1.6</v>
      </c>
      <c r="AR608" t="str">
        <f>IFERROR(INDEX(_ENGINE_Crisis!$E$41:$E$700,MATCH('Resilience &amp; Risk Scenario'!$B$6&amp;"|"&amp;$C608,_ENGINE_Crisis!$I$41:$I$700,0)),"")</f>
        <v/>
      </c>
      <c r="AS608" t="str">
        <f>IFERROR(INDEX(_ENGINE_Crisis!$G$41:$G$700,MATCH('Resilience &amp; Risk Scenario'!$B$6&amp;"|"&amp;$C608,_ENGINE_Crisis!$I$41:$I$700,0)),"")</f>
        <v/>
      </c>
      <c r="AT608" t="str">
        <f>IFERROR(INDEX(_ENGINE_Initiatives!$A$5:$A$532,MATCH(1,INDEX((_ENGINE_Initiatives!$B$5:$B$532=$C608)*(_ENGINE_Initiatives!$C$5:$C$532=$D608),0),0)),"")</f>
        <v>INI-017</v>
      </c>
      <c r="AU608" t="str">
        <f>IFERROR(INDEX(_ENGINE_Initiatives!$F$5:$F$532,MATCH(1,INDEX((_ENGINE_Initiatives!$B$5:$B$532=$C608)*(_ENGINE_Initiatives!$C$5:$C$532=$D608),0),0)),"")</f>
        <v>Build resilient procurement governance and supplier risk controls</v>
      </c>
      <c r="AV608">
        <f>IFERROR(INDEX(_ENGINE_Initiatives!$AC$5:$AC$532,MATCH(1,INDEX((_ENGINE_Initiatives!$B$5:$B$532=$C608)*(_ENGINE_Initiatives!$C$5:$C$532=$D608),0),0)),"")</f>
        <v>1.76</v>
      </c>
      <c r="AW608" t="str">
        <f>IFERROR(INDEX(_ENGINE_Initiatives!$AE$5:$AE$532,MATCH(1,INDEX((_ENGINE_Initiatives!$B$5:$B$532=$C608)*(_ENGINE_Initiatives!$C$5:$C$532=$D608),0),0)),"")</f>
        <v>3-6 months</v>
      </c>
      <c r="AX608">
        <f>IF($B608="Yes",IFERROR((IF(SUMIFS(_REF_Model_Content!$E$1:$E$613,_REF_Model_Content!$A$1:$A$613,PV_Canonical_Industry,_REF_Model_Content!$B$1:$B$613,$C608)=0,1,SUMIFS(_REF_Model_Content!$E$1:$E$613,_REF_Model_Content!$A$1:$A$613,PV_Canonical_Industry,_REF_Model_Content!$B$1:$B$613,$C608))*IFERROR($BU608,1)),1),"")</f>
        <v>1</v>
      </c>
      <c r="AY608">
        <f t="shared" si="71"/>
        <v>16.2</v>
      </c>
      <c r="AZ608">
        <f t="shared" si="72"/>
        <v>1.6</v>
      </c>
      <c r="BB608" t="str">
        <f>IF($H608="","",IFERROR(INDEX(_ENGINE_Risk!$AE$5:$AE$499,MATCH($E608,_ENGINE_Risk!$A$5:$A$499,0)),"Medium"))</f>
        <v>Medium</v>
      </c>
      <c r="BC608">
        <f t="shared" si="73"/>
        <v>1</v>
      </c>
      <c r="BD608">
        <f t="shared" si="74"/>
        <v>1.6</v>
      </c>
      <c r="BF608">
        <f>IF(OR($H608="",$J608=""),"",IFERROR(VLOOKUP(ROUND($J608,0),_CONFIG_Model_Settings!$D$154:$E$158,2,0),""))</f>
        <v>0.5</v>
      </c>
      <c r="BG608">
        <f>IFERROR(IF(OR($H608="",$K608=""),"",ROUND('Company Profile'!$B$113*INDEX(_CONFIG_Model_Settings!$H$154:$H$158,MATCH(ROUND($K608,0),_CONFIG_Model_Settings!$G$154:$G$158,0)),0)),0)</f>
        <v>1875</v>
      </c>
      <c r="BH608">
        <f t="shared" si="75"/>
        <v>937.5</v>
      </c>
      <c r="BI608">
        <f t="shared" si="76"/>
        <v>937.5</v>
      </c>
      <c r="BJ608">
        <f>IF($E608="","",IFERROR(VLOOKUP($C608,_CONFIG_Risk_Calibration!$A$5:$H$21,2,FALSE),3))</f>
        <v>3</v>
      </c>
      <c r="BK608">
        <f>IF($E608="","",IFERROR(VLOOKUP($C608,_CONFIG_Risk_Calibration!$A$5:$H$21,3,FALSE),0))</f>
        <v>0</v>
      </c>
      <c r="BL608">
        <f>IF($E608="","",IFERROR(VLOOKUP($C608,_CONFIG_Risk_Calibration!$A$5:$H$21,4,FALSE),3))</f>
        <v>3</v>
      </c>
      <c r="BM608">
        <f>IF($E608="","",IFERROR(VLOOKUP($C608,_CONFIG_Risk_Calibration!$A$5:$H$21,5,FALSE),3))</f>
        <v>4</v>
      </c>
      <c r="BN608" t="str">
        <f>IF($E608="","",IFERROR(VLOOKUP($C608,_CONFIG_Risk_Calibration!$A$5:$H$21,6,FALSE),"No"))</f>
        <v>Yes</v>
      </c>
      <c r="BO608">
        <f>IF($E608="","",IFERROR(VLOOKUP($C608,_CONFIG_Risk_Calibration!$A$5:$H$21,7,FALSE),1))</f>
        <v>4</v>
      </c>
      <c r="BP608">
        <f>IF($H608="","",MAX(1,MIN(5,((6-$H608)*0.45)+($BJ608*0.2)+('Resilience &amp; Risk Scenario'!$B$7*0.15)+($BK608*0.1)+($BL608*0.05)+(IF($BB608="Fast",5,IF($BB608="Slow",1,3))*0.05))))</f>
        <v>3.6</v>
      </c>
      <c r="BQ608">
        <f t="shared" si="77"/>
        <v>4.5</v>
      </c>
      <c r="BR608">
        <f t="shared" si="78"/>
        <v>16.2</v>
      </c>
      <c r="BS608">
        <f t="shared" si="79"/>
        <v>17.82</v>
      </c>
      <c r="BT608" t="str">
        <f>IFERROR(INDEX(_REF_Capability_Bridge!$D:$D,MATCH($C608&amp;"|"&amp;$D608,_REF_Capability_Bridge!$J:$J,0)),IFERROR(INDEX(_REF_Capability_Bridge!$D:$D,MATCH($C608&amp;"|",_REF_Capability_Bridge!$J:$J,0)),"CAP_GENERIC"))</f>
        <v>CAP_FRAUD_MONITORING</v>
      </c>
      <c r="BU608">
        <f>IFERROR(IFERROR(INDEX(_ENGINE_Relevance!$L:$L,MATCH($BT608,_ENGINE_Relevance!$B:$B,0)),1),1)</f>
        <v>1</v>
      </c>
      <c r="BV608" t="str">
        <f>IFERROR(INDEX(_REF_Capability_Bridge!$A:$A,MATCH($C608&amp;"|"&amp;$D608,_REF_Capability_Bridge!$J:$J,0)),IFERROR(INDEX(_REF_Capability_Bridge!$A:$A,MATCH($C608&amp;"|",_REF_Capability_Bridge!$J:$J,0)),"No bridge"))</f>
        <v>BRG-032</v>
      </c>
      <c r="BW608" t="str">
        <f t="shared" si="80"/>
        <v>Capability relevance neutral</v>
      </c>
      <c r="BX608" t="str">
        <f t="shared" si="81"/>
        <v>Initial / absent</v>
      </c>
      <c r="BY608" t="str">
        <f>IF($E608="","",IFERROR(INDEX(_REF_Treatment_Library!$A$2:$A$296,MATCH(1,INDEX((_REF_Treatment_Library!$B$2:$B$296=$BT608)*(_REF_Treatment_Library!$C$2:$C$296=PV_Canonical_Industry)*(_REF_Treatment_Library!$E$2:$E$296&lt;=N($H608))*(_REF_Treatment_Library!$F$2:$F$296&gt;=N($H608))*(_REF_Treatment_Library!$O$2:$O$296="Yes"),0),0)),IFERROR(INDEX(_REF_Treatment_Library!$A$2:$A$296,MATCH(1,INDEX((_REF_Treatment_Library!$B$2:$B$296=$BT608)*(_REF_Treatment_Library!$C$2:$C$296="All")*(_REF_Treatment_Library!$E$2:$E$296&lt;=N($H608))*(_REF_Treatment_Library!$F$2:$F$296&gt;=N($H608))*(_REF_Treatment_Library!$O$2:$O$296="Yes"),0),0)),"")))</f>
        <v>TRT-FRAUD_MONITORING-INITIAL</v>
      </c>
      <c r="BZ608" t="str">
        <f>IF($BY608="","",IFERROR(INDEX(_REF_Treatment_Library!$H$2:$H$296,MATCH($BY608,_REF_Treatment_Library!$A$2:$A$296,0)),""))</f>
        <v>Establish</v>
      </c>
      <c r="CA608" t="str">
        <f>IF($BY608="","",IFERROR(INDEX(_REF_Treatment_Library!$I$2:$I$296,MATCH($BY608,_REF_Treatment_Library!$A$2:$A$296,0)),""))</f>
        <v>Establish baseline controls for Fraud monitoring</v>
      </c>
      <c r="CB608" t="str">
        <f>IF($BY608="","",IFERROR(INDEX(_REF_Treatment_Library!$K$2:$K$296,MATCH($BY608,_REF_Treatment_Library!$A$2:$A$296,0)),""))</f>
        <v>Named owner, baseline process, minimum control checklist, first evidence package</v>
      </c>
      <c r="CC608" t="str">
        <f>IF($BY608="","",IFERROR(INDEX(_REF_Treatment_Library!$L$2:$L$296,MATCH($BY608,_REF_Treatment_Library!$A$2:$A$296,0)),""))</f>
        <v>Owner assigned; baseline evidence coverage; open critical gaps</v>
      </c>
      <c r="CD608" t="str">
        <f t="shared" si="82"/>
        <v>Treatment by capability=CAP_FRAUD_MONITORING; band=Initial / absent; score=0.0; treatment=Establish</v>
      </c>
      <c r="CE608" t="str">
        <f>IF($E608="","",IFERROR(INDEX(_REF_Industry_Wording!$A$2:$A$70,MATCH(1,INDEX((_REF_Industry_Wording!$B$2:$B$70=$BT608)*(_REF_Industry_Wording!$C$2:$C$70=PV_Canonical_Industry)*(_REF_Industry_Wording!$K$2:$K$70="Yes"),0),0)),IFERROR(INDEX(_REF_Industry_Wording!$A$2:$A$70,MATCH(1,INDEX((_REF_Industry_Wording!$B$2:$B$70=$BT608)*(_REF_Industry_Wording!$C$2:$C$70="All")*(_REF_Industry_Wording!$K$2:$K$70="Yes"),0),0)),"")))</f>
        <v>IW-ALL-FRAUD_MONITORING</v>
      </c>
      <c r="CF608" t="str">
        <f>IF($CE608="","",IFERROR(INDEX(_REF_Industry_Wording!$E$2:$E$70,MATCH($CE608,_REF_Industry_Wording!$A$2:$A$70,0)),""))</f>
        <v>Fraud monitoring weakness</v>
      </c>
      <c r="CG608" t="str">
        <f>IF($CE608="","",IFERROR(INDEX(_REF_Industry_Wording!$F$2:$F$70,MATCH($CE608,_REF_Industry_Wording!$A$2:$A$70,0)),""))</f>
        <v>Strengthen Fraud monitoring</v>
      </c>
      <c r="CH608" t="str">
        <f>IF($CE608="","",IFERROR(INDEX(_REF_Industry_Wording!$G$2:$G$70,MATCH($CE608,_REF_Industry_Wording!$A$2:$A$70,0)),""))</f>
        <v>Strengthen Fraud monitoring using the selected maturity treatment, crisis scenario and evidence requirements.</v>
      </c>
      <c r="CI608" t="str">
        <f>IF($CE608="","",IFERROR(INDEX(_REF_Industry_Wording!$H$2:$H$70,MATCH($CE608,_REF_Industry_Wording!$A$2:$A$70,0)),""))</f>
        <v>Fraud monitoring</v>
      </c>
      <c r="CJ608">
        <f>IF($CE608="","",IFERROR(INDEX(_REF_Industry_Wording!$I$2:$I$70,MATCH($CE608,_REF_Industry_Wording!$A$2:$A$70,0)),""))</f>
        <v>0</v>
      </c>
      <c r="CK608" t="str">
        <f>IF($CE608="","",IFERROR(INDEX(_REF_Industry_Wording!$J$2:$J$70,MATCH($CE608,_REF_Industry_Wording!$A$2:$A$70,0)),""))</f>
        <v>Fraud monitoring</v>
      </c>
      <c r="CL608" t="str">
        <f t="shared" si="83"/>
        <v>Wording by industry=0; capability=CAP_FRAUD_MONITORING; risk label=Fraud monitoring weakness</v>
      </c>
      <c r="CM608" t="str">
        <f t="shared" si="84"/>
        <v>RISK-ONT-0109</v>
      </c>
      <c r="CN608" t="str">
        <f t="shared" si="85"/>
        <v>RISK-EVT-0109</v>
      </c>
      <c r="CO608" t="str">
        <f t="shared" si="86"/>
        <v>Finance Procurement|Procurement and suppliers|FINA-016|CAP_FRAUD_MONITORING</v>
      </c>
      <c r="CP608" t="str">
        <f t="shared" si="87"/>
        <v>Active</v>
      </c>
      <c r="CQ608" t="str">
        <f t="shared" si="88"/>
        <v>OK: capability-driven</v>
      </c>
      <c r="CR608" t="str">
        <f t="shared" si="89"/>
        <v>Risk ontology uses capability=CAP_FRAUD_MONITORING; bridge=BRG-032; treatment=TRT-FRAUD_MONITORING-INITIAL; wording=IW-ALL-FRAUD_MONITORING</v>
      </c>
      <c r="CS608" t="str">
        <f t="shared" si="90"/>
        <v>Yes</v>
      </c>
    </row>
    <row r="609" spans="1:97" ht="69.900000000000006" customHeight="1">
      <c r="A609">
        <f>IF(OR($B609&lt;&gt;"Yes",$BS609=""),"",SUMPRODUCT(($B$500:$B$923="Yes")*ISNUMBER($BS$500:$BS$923)*($BS$500:$BS$923&gt;$BS609))+COUNTIFS($B$500:$B609,"Yes",$BS$500:$BS609,$BS609))</f>
        <v>293</v>
      </c>
      <c r="B609" t="str">
        <f t="shared" si="59"/>
        <v>Yes</v>
      </c>
      <c r="C609" t="s">
        <v>1401</v>
      </c>
      <c r="D609" t="s">
        <v>1422</v>
      </c>
      <c r="E609" t="s">
        <v>1487</v>
      </c>
      <c r="F609" t="s">
        <v>3683</v>
      </c>
      <c r="G609" t="str">
        <f>IF($H609="","",IFERROR(INDEX(_ENGINE_Risk!$H$5:$M$499,MATCH($E609,_ENGINE_Risk!$A$5:$A$499,0),$H609+1),""))</f>
        <v>Severe risk: emergency purchasing process that preserves essential controls and fraud prevention is not reliably controlled. During Financial / liquidity shock; Supplier disruption; Fraud risk, the organization may face cash-flow stress, uncontrolled spend, supplier payment disruption and weak financial visibility with limited visibility or accountability.</v>
      </c>
      <c r="H609">
        <f>IFERROR(VALUE(INDEX(_DATA_Assessment_Model!$H$5:$H$884,MATCH($E609,_DATA_Assessment_Model!$A$5:$A$884,0))),"")</f>
        <v>0</v>
      </c>
      <c r="I609" t="str">
        <f>IF($H609="","",IFERROR(INDEX(_DATA_Assessment_Model!$L$5:$L$884,MATCH($E609,_DATA_Assessment_Model!$A$5:$A$884,0)),IF($H609&lt;=1,"Critical",IF($H609=2,"High",IF($H609=3,"Medium",IF($H609=4,"Low","Resilient"))))))</f>
        <v>Critical</v>
      </c>
      <c r="J609">
        <f t="shared" si="60"/>
        <v>3.6</v>
      </c>
      <c r="K609">
        <f t="shared" si="61"/>
        <v>4.0999999999999996</v>
      </c>
      <c r="L609">
        <f t="shared" si="62"/>
        <v>14.76</v>
      </c>
      <c r="M609">
        <f t="shared" si="63"/>
        <v>3</v>
      </c>
      <c r="N609">
        <f>IF($H609="","",IFERROR(INDEX(_ENGINE_Risk!$T$5:$Y$499,MATCH($E609,_ENGINE_Risk!$A$5:$A$499,0),$H609+1),""))</f>
        <v>3</v>
      </c>
      <c r="O609">
        <f t="shared" si="64"/>
        <v>4</v>
      </c>
      <c r="P609">
        <f t="shared" si="65"/>
        <v>5</v>
      </c>
      <c r="Q609">
        <f t="shared" si="66"/>
        <v>5</v>
      </c>
      <c r="R609">
        <f t="shared" si="67"/>
        <v>4.5</v>
      </c>
      <c r="S609">
        <f t="shared" si="68"/>
        <v>1.54</v>
      </c>
      <c r="T609" t="str">
        <f>IF($H609="","",IFERROR(INDEX(_ENGINE_Risk!$N$5:$S$499,MATCH($E609,_ENGINE_Risk!$A$5:$A$499,0),$H609+1),""))</f>
        <v>Create an immediate risk owner, minimum control baseline and fallback procedure for emergency purchasing process that preserves essential controls and fraud prevention. Add it to the crisis risk register and collect first evidence.</v>
      </c>
      <c r="U609">
        <f>IFERROR(INDEX(_DATA_Assessment_Model!$G$5:$G$884,MATCH($E609,_DATA_Assessment_Model!$A$5:$A$884,0)),"")</f>
        <v>3</v>
      </c>
      <c r="V609">
        <f>IFERROR(INDEX(_DATA_Assessment_Model!$W$5:$W$884,MATCH($E609,_DATA_Assessment_Model!$A$5:$A$884,0)),"")</f>
        <v>4</v>
      </c>
      <c r="W609">
        <f>IFERROR(INDEX(_DATA_Assessment_Model!$X$5:$X$884,MATCH($E609,_DATA_Assessment_Model!$A$5:$A$884,0)),"")</f>
        <v>5</v>
      </c>
      <c r="X609">
        <f>IFERROR(INDEX(_DATA_Assessment_Model!$Y$5:$Y$884,MATCH($E609,_DATA_Assessment_Model!$A$5:$A$884,0)),"")</f>
        <v>5</v>
      </c>
      <c r="Y609" t="s">
        <v>1408</v>
      </c>
      <c r="Z609" t="s">
        <v>5918</v>
      </c>
      <c r="AA609" t="s">
        <v>1489</v>
      </c>
      <c r="AB609">
        <f>IFERROR(INDEX(_DATA_Assessment_Model!$U$5:$U$884,MATCH($E609,_DATA_Assessment_Model!$A$5:$A$884,0)),"")</f>
        <v>0</v>
      </c>
      <c r="AF609" t="s">
        <v>1488</v>
      </c>
      <c r="AO609">
        <f>IF($B609="Yes",IF(IFERROR(INDEX(_ENGINE_Crisis!$F$501:$F$517,MATCH($C609,_ENGINE_Crisis!$A$501:$A$517,0)),1)=0,1,IFERROR(INDEX(_ENGINE_Crisis!$F$501:$F$517,MATCH($C609,_ENGINE_Crisis!$A$501:$A$517,0)),1)),"")</f>
        <v>1</v>
      </c>
      <c r="AP609">
        <f t="shared" si="69"/>
        <v>14.8</v>
      </c>
      <c r="AQ609">
        <f t="shared" si="70"/>
        <v>1.54</v>
      </c>
      <c r="AR609" t="str">
        <f>IFERROR(INDEX(_ENGINE_Crisis!$E$41:$E$700,MATCH('Resilience &amp; Risk Scenario'!$B$6&amp;"|"&amp;$C609,_ENGINE_Crisis!$I$41:$I$700,0)),"")</f>
        <v/>
      </c>
      <c r="AS609" t="str">
        <f>IFERROR(INDEX(_ENGINE_Crisis!$G$41:$G$700,MATCH('Resilience &amp; Risk Scenario'!$B$6&amp;"|"&amp;$C609,_ENGINE_Crisis!$I$41:$I$700,0)),"")</f>
        <v/>
      </c>
      <c r="AT609" t="str">
        <f>IFERROR(INDEX(_ENGINE_Initiatives!$A$5:$A$532,MATCH(1,INDEX((_ENGINE_Initiatives!$B$5:$B$532=$C609)*(_ENGINE_Initiatives!$C$5:$C$532=$D609),0),0)),"")</f>
        <v>INI-017</v>
      </c>
      <c r="AU609" t="str">
        <f>IFERROR(INDEX(_ENGINE_Initiatives!$F$5:$F$532,MATCH(1,INDEX((_ENGINE_Initiatives!$B$5:$B$532=$C609)*(_ENGINE_Initiatives!$C$5:$C$532=$D609),0),0)),"")</f>
        <v>Build resilient procurement governance and supplier risk controls</v>
      </c>
      <c r="AV609">
        <f>IFERROR(INDEX(_ENGINE_Initiatives!$AC$5:$AC$532,MATCH(1,INDEX((_ENGINE_Initiatives!$B$5:$B$532=$C609)*(_ENGINE_Initiatives!$C$5:$C$532=$D609),0),0)),"")</f>
        <v>1.76</v>
      </c>
      <c r="AW609" t="str">
        <f>IFERROR(INDEX(_ENGINE_Initiatives!$AE$5:$AE$532,MATCH(1,INDEX((_ENGINE_Initiatives!$B$5:$B$532=$C609)*(_ENGINE_Initiatives!$C$5:$C$532=$D609),0),0)),"")</f>
        <v>3-6 months</v>
      </c>
      <c r="AX609">
        <f>IF($B609="Yes",IFERROR((IF(SUMIFS(_REF_Model_Content!$E$1:$E$613,_REF_Model_Content!$A$1:$A$613,PV_Canonical_Industry,_REF_Model_Content!$B$1:$B$613,$C609)=0,1,SUMIFS(_REF_Model_Content!$E$1:$E$613,_REF_Model_Content!$A$1:$A$613,PV_Canonical_Industry,_REF_Model_Content!$B$1:$B$613,$C609))*IFERROR($BU609,1)),1),"")</f>
        <v>1</v>
      </c>
      <c r="AY609">
        <f t="shared" si="71"/>
        <v>14.8</v>
      </c>
      <c r="AZ609">
        <f t="shared" si="72"/>
        <v>1.54</v>
      </c>
      <c r="BB609" t="str">
        <f>IF($H609="","",IFERROR(INDEX(_ENGINE_Risk!$AE$5:$AE$499,MATCH($E609,_ENGINE_Risk!$A$5:$A$499,0)),"Medium"))</f>
        <v>Medium</v>
      </c>
      <c r="BC609">
        <f t="shared" si="73"/>
        <v>1</v>
      </c>
      <c r="BD609">
        <f t="shared" si="74"/>
        <v>1.54</v>
      </c>
      <c r="BF609">
        <f>IF(OR($H609="",$J609=""),"",IFERROR(VLOOKUP(ROUND($J609,0),_CONFIG_Model_Settings!$D$154:$E$158,2,0),""))</f>
        <v>0.5</v>
      </c>
      <c r="BG609">
        <f>IFERROR(IF(OR($H609="",$K609=""),"",ROUND('Company Profile'!$B$113*INDEX(_CONFIG_Model_Settings!$H$154:$H$158,MATCH(ROUND($K609,0),_CONFIG_Model_Settings!$G$154:$G$158,0)),0)),0)</f>
        <v>875</v>
      </c>
      <c r="BH609">
        <f t="shared" si="75"/>
        <v>437.5</v>
      </c>
      <c r="BI609">
        <f t="shared" si="76"/>
        <v>437.5</v>
      </c>
      <c r="BJ609">
        <f>IF($E609="","",IFERROR(VLOOKUP($C609,_CONFIG_Risk_Calibration!$A$5:$H$21,2,FALSE),3))</f>
        <v>3</v>
      </c>
      <c r="BK609">
        <f>IF($E609="","",IFERROR(VLOOKUP($C609,_CONFIG_Risk_Calibration!$A$5:$H$21,3,FALSE),0))</f>
        <v>0</v>
      </c>
      <c r="BL609">
        <f>IF($E609="","",IFERROR(VLOOKUP($C609,_CONFIG_Risk_Calibration!$A$5:$H$21,4,FALSE),3))</f>
        <v>3</v>
      </c>
      <c r="BM609">
        <f>IF($E609="","",IFERROR(VLOOKUP($C609,_CONFIG_Risk_Calibration!$A$5:$H$21,5,FALSE),3))</f>
        <v>4</v>
      </c>
      <c r="BN609" t="str">
        <f>IF($E609="","",IFERROR(VLOOKUP($C609,_CONFIG_Risk_Calibration!$A$5:$H$21,6,FALSE),"No"))</f>
        <v>Yes</v>
      </c>
      <c r="BO609">
        <f>IF($E609="","",IFERROR(VLOOKUP($C609,_CONFIG_Risk_Calibration!$A$5:$H$21,7,FALSE),1))</f>
        <v>4</v>
      </c>
      <c r="BP609">
        <f>IF($H609="","",MAX(1,MIN(5,((6-$H609)*0.45)+($BJ609*0.2)+('Resilience &amp; Risk Scenario'!$B$7*0.15)+($BK609*0.1)+($BL609*0.05)+(IF($BB609="Fast",5,IF($BB609="Slow",1,3))*0.05))))</f>
        <v>3.6</v>
      </c>
      <c r="BQ609">
        <f t="shared" si="77"/>
        <v>4.0999999999999996</v>
      </c>
      <c r="BR609">
        <f t="shared" si="78"/>
        <v>14.76</v>
      </c>
      <c r="BS609">
        <f t="shared" si="79"/>
        <v>16.239999999999998</v>
      </c>
      <c r="BT609" t="str">
        <f>IFERROR(INDEX(_REF_Capability_Bridge!$D:$D,MATCH($C609&amp;"|"&amp;$D609,_REF_Capability_Bridge!$J:$J,0)),IFERROR(INDEX(_REF_Capability_Bridge!$D:$D,MATCH($C609&amp;"|",_REF_Capability_Bridge!$J:$J,0)),"CAP_GENERIC"))</f>
        <v>CAP_FRAUD_MONITORING</v>
      </c>
      <c r="BU609">
        <f>IFERROR(IFERROR(INDEX(_ENGINE_Relevance!$L:$L,MATCH($BT609,_ENGINE_Relevance!$B:$B,0)),1),1)</f>
        <v>1</v>
      </c>
      <c r="BV609" t="str">
        <f>IFERROR(INDEX(_REF_Capability_Bridge!$A:$A,MATCH($C609&amp;"|"&amp;$D609,_REF_Capability_Bridge!$J:$J,0)),IFERROR(INDEX(_REF_Capability_Bridge!$A:$A,MATCH($C609&amp;"|",_REF_Capability_Bridge!$J:$J,0)),"No bridge"))</f>
        <v>BRG-032</v>
      </c>
      <c r="BW609" t="str">
        <f t="shared" si="80"/>
        <v>Capability relevance neutral</v>
      </c>
      <c r="BX609" t="str">
        <f t="shared" si="81"/>
        <v>Initial / absent</v>
      </c>
      <c r="BY609" t="str">
        <f>IF($E609="","",IFERROR(INDEX(_REF_Treatment_Library!$A$2:$A$296,MATCH(1,INDEX((_REF_Treatment_Library!$B$2:$B$296=$BT609)*(_REF_Treatment_Library!$C$2:$C$296=PV_Canonical_Industry)*(_REF_Treatment_Library!$E$2:$E$296&lt;=N($H609))*(_REF_Treatment_Library!$F$2:$F$296&gt;=N($H609))*(_REF_Treatment_Library!$O$2:$O$296="Yes"),0),0)),IFERROR(INDEX(_REF_Treatment_Library!$A$2:$A$296,MATCH(1,INDEX((_REF_Treatment_Library!$B$2:$B$296=$BT609)*(_REF_Treatment_Library!$C$2:$C$296="All")*(_REF_Treatment_Library!$E$2:$E$296&lt;=N($H609))*(_REF_Treatment_Library!$F$2:$F$296&gt;=N($H609))*(_REF_Treatment_Library!$O$2:$O$296="Yes"),0),0)),"")))</f>
        <v>TRT-FRAUD_MONITORING-INITIAL</v>
      </c>
      <c r="BZ609" t="str">
        <f>IF($BY609="","",IFERROR(INDEX(_REF_Treatment_Library!$H$2:$H$296,MATCH($BY609,_REF_Treatment_Library!$A$2:$A$296,0)),""))</f>
        <v>Establish</v>
      </c>
      <c r="CA609" t="str">
        <f>IF($BY609="","",IFERROR(INDEX(_REF_Treatment_Library!$I$2:$I$296,MATCH($BY609,_REF_Treatment_Library!$A$2:$A$296,0)),""))</f>
        <v>Establish baseline controls for Fraud monitoring</v>
      </c>
      <c r="CB609" t="str">
        <f>IF($BY609="","",IFERROR(INDEX(_REF_Treatment_Library!$K$2:$K$296,MATCH($BY609,_REF_Treatment_Library!$A$2:$A$296,0)),""))</f>
        <v>Named owner, baseline process, minimum control checklist, first evidence package</v>
      </c>
      <c r="CC609" t="str">
        <f>IF($BY609="","",IFERROR(INDEX(_REF_Treatment_Library!$L$2:$L$296,MATCH($BY609,_REF_Treatment_Library!$A$2:$A$296,0)),""))</f>
        <v>Owner assigned; baseline evidence coverage; open critical gaps</v>
      </c>
      <c r="CD609" t="str">
        <f t="shared" si="82"/>
        <v>Treatment by capability=CAP_FRAUD_MONITORING; band=Initial / absent; score=0.0; treatment=Establish</v>
      </c>
      <c r="CE609" t="str">
        <f>IF($E609="","",IFERROR(INDEX(_REF_Industry_Wording!$A$2:$A$70,MATCH(1,INDEX((_REF_Industry_Wording!$B$2:$B$70=$BT609)*(_REF_Industry_Wording!$C$2:$C$70=PV_Canonical_Industry)*(_REF_Industry_Wording!$K$2:$K$70="Yes"),0),0)),IFERROR(INDEX(_REF_Industry_Wording!$A$2:$A$70,MATCH(1,INDEX((_REF_Industry_Wording!$B$2:$B$70=$BT609)*(_REF_Industry_Wording!$C$2:$C$70="All")*(_REF_Industry_Wording!$K$2:$K$70="Yes"),0),0)),"")))</f>
        <v>IW-ALL-FRAUD_MONITORING</v>
      </c>
      <c r="CF609" t="str">
        <f>IF($CE609="","",IFERROR(INDEX(_REF_Industry_Wording!$E$2:$E$70,MATCH($CE609,_REF_Industry_Wording!$A$2:$A$70,0)),""))</f>
        <v>Fraud monitoring weakness</v>
      </c>
      <c r="CG609" t="str">
        <f>IF($CE609="","",IFERROR(INDEX(_REF_Industry_Wording!$F$2:$F$70,MATCH($CE609,_REF_Industry_Wording!$A$2:$A$70,0)),""))</f>
        <v>Strengthen Fraud monitoring</v>
      </c>
      <c r="CH609" t="str">
        <f>IF($CE609="","",IFERROR(INDEX(_REF_Industry_Wording!$G$2:$G$70,MATCH($CE609,_REF_Industry_Wording!$A$2:$A$70,0)),""))</f>
        <v>Strengthen Fraud monitoring using the selected maturity treatment, crisis scenario and evidence requirements.</v>
      </c>
      <c r="CI609" t="str">
        <f>IF($CE609="","",IFERROR(INDEX(_REF_Industry_Wording!$H$2:$H$70,MATCH($CE609,_REF_Industry_Wording!$A$2:$A$70,0)),""))</f>
        <v>Fraud monitoring</v>
      </c>
      <c r="CJ609">
        <f>IF($CE609="","",IFERROR(INDEX(_REF_Industry_Wording!$I$2:$I$70,MATCH($CE609,_REF_Industry_Wording!$A$2:$A$70,0)),""))</f>
        <v>0</v>
      </c>
      <c r="CK609" t="str">
        <f>IF($CE609="","",IFERROR(INDEX(_REF_Industry_Wording!$J$2:$J$70,MATCH($CE609,_REF_Industry_Wording!$A$2:$A$70,0)),""))</f>
        <v>Fraud monitoring</v>
      </c>
      <c r="CL609" t="str">
        <f t="shared" si="83"/>
        <v>Wording by industry=0; capability=CAP_FRAUD_MONITORING; risk label=Fraud monitoring weakness</v>
      </c>
      <c r="CM609" t="str">
        <f t="shared" si="84"/>
        <v>RISK-ONT-0110</v>
      </c>
      <c r="CN609" t="str">
        <f t="shared" si="85"/>
        <v>RISK-EVT-0110</v>
      </c>
      <c r="CO609" t="str">
        <f t="shared" si="86"/>
        <v>Finance Procurement|Procurement and suppliers|FINA-018|CAP_FRAUD_MONITORING</v>
      </c>
      <c r="CP609" t="str">
        <f t="shared" si="87"/>
        <v>Active</v>
      </c>
      <c r="CQ609" t="str">
        <f t="shared" si="88"/>
        <v>OK: capability-driven</v>
      </c>
      <c r="CR609" t="str">
        <f t="shared" si="89"/>
        <v>Risk ontology uses capability=CAP_FRAUD_MONITORING; bridge=BRG-032; treatment=TRT-FRAUD_MONITORING-INITIAL; wording=IW-ALL-FRAUD_MONITORING</v>
      </c>
      <c r="CS609" t="str">
        <f t="shared" si="90"/>
        <v>Yes</v>
      </c>
    </row>
    <row r="610" spans="1:97" ht="69.900000000000006" customHeight="1">
      <c r="A610">
        <f>IF(OR($B610&lt;&gt;"Yes",$BS610=""),"",SUMPRODUCT(($B$500:$B$923="Yes")*ISNUMBER($BS$500:$BS$923)*($BS$500:$BS$923&gt;$BS610))+COUNTIFS($B$500:$B610,"Yes",$BS$500:$BS610,$BS610))</f>
        <v>239</v>
      </c>
      <c r="B610" t="str">
        <f t="shared" si="59"/>
        <v>Yes</v>
      </c>
      <c r="C610" t="s">
        <v>1401</v>
      </c>
      <c r="D610" t="s">
        <v>1422</v>
      </c>
      <c r="E610" t="s">
        <v>1496</v>
      </c>
      <c r="F610" t="s">
        <v>3683</v>
      </c>
      <c r="G610" t="str">
        <f>IF($H610="","",IFERROR(INDEX(_ENGINE_Risk!$H$5:$M$499,MATCH($E610,_ENGINE_Risk!$A$5:$A$499,0),$H610+1),""))</f>
        <v>Severe risk: purchasing triggers linked to demand, lead time, minimum stock and crisis buffers is not reliably controlled. During Financial / liquidity shock; Supplier disruption; Fraud risk, the organization may face cash-flow stress, uncontrolled spend, supplier payment disruption and weak financial visibility with limited visibility or accountability.</v>
      </c>
      <c r="H610">
        <f>IFERROR(VALUE(INDEX(_DATA_Assessment_Model!$H$5:$H$884,MATCH($E610,_DATA_Assessment_Model!$A$5:$A$884,0))),"")</f>
        <v>0</v>
      </c>
      <c r="I610" t="str">
        <f>IF($H610="","",IFERROR(INDEX(_DATA_Assessment_Model!$L$5:$L$884,MATCH($E610,_DATA_Assessment_Model!$A$5:$A$884,0)),IF($H610&lt;=1,"Critical",IF($H610=2,"High",IF($H610=3,"Medium",IF($H610=4,"Low","Resilient"))))))</f>
        <v>Critical</v>
      </c>
      <c r="J610">
        <f t="shared" si="60"/>
        <v>3.6</v>
      </c>
      <c r="K610">
        <f t="shared" si="61"/>
        <v>4.5</v>
      </c>
      <c r="L610">
        <f t="shared" si="62"/>
        <v>16.2</v>
      </c>
      <c r="M610">
        <f t="shared" si="63"/>
        <v>4</v>
      </c>
      <c r="N610">
        <f>IF($H610="","",IFERROR(INDEX(_ENGINE_Risk!$T$5:$Y$499,MATCH($E610,_ENGINE_Risk!$A$5:$A$499,0),$H610+1),""))</f>
        <v>3</v>
      </c>
      <c r="O610">
        <f t="shared" si="64"/>
        <v>4.666666666666667</v>
      </c>
      <c r="P610">
        <f t="shared" si="65"/>
        <v>5</v>
      </c>
      <c r="Q610">
        <f t="shared" si="66"/>
        <v>5</v>
      </c>
      <c r="R610">
        <f t="shared" si="67"/>
        <v>4.5</v>
      </c>
      <c r="S610">
        <f t="shared" si="68"/>
        <v>1.6</v>
      </c>
      <c r="T610" t="str">
        <f>IF($H610="","",IFERROR(INDEX(_ENGINE_Risk!$N$5:$S$499,MATCH($E610,_ENGINE_Risk!$A$5:$A$499,0),$H610+1),""))</f>
        <v>Create an immediate risk owner, minimum control baseline and fallback procedure for purchasing triggers linked to demand, lead time, minimum stock and crisis buffers. Add it to the crisis risk register and collect first evidence.</v>
      </c>
      <c r="U610">
        <f>IFERROR(INDEX(_DATA_Assessment_Model!$G$5:$G$884,MATCH($E610,_DATA_Assessment_Model!$A$5:$A$884,0)),"")</f>
        <v>5</v>
      </c>
      <c r="V610">
        <f>IFERROR(INDEX(_DATA_Assessment_Model!$W$5:$W$884,MATCH($E610,_DATA_Assessment_Model!$A$5:$A$884,0)),"")</f>
        <v>4</v>
      </c>
      <c r="W610">
        <f>IFERROR(INDEX(_DATA_Assessment_Model!$X$5:$X$884,MATCH($E610,_DATA_Assessment_Model!$A$5:$A$884,0)),"")</f>
        <v>5</v>
      </c>
      <c r="X610">
        <f>IFERROR(INDEX(_DATA_Assessment_Model!$Y$5:$Y$884,MATCH($E610,_DATA_Assessment_Model!$A$5:$A$884,0)),"")</f>
        <v>5</v>
      </c>
      <c r="Y610" t="s">
        <v>1408</v>
      </c>
      <c r="Z610" t="s">
        <v>5918</v>
      </c>
      <c r="AA610" t="s">
        <v>1498</v>
      </c>
      <c r="AB610">
        <f>IFERROR(INDEX(_DATA_Assessment_Model!$U$5:$U$884,MATCH($E610,_DATA_Assessment_Model!$A$5:$A$884,0)),"")</f>
        <v>0</v>
      </c>
      <c r="AF610" t="s">
        <v>1497</v>
      </c>
      <c r="AO610">
        <f>IF($B610="Yes",IF(IFERROR(INDEX(_ENGINE_Crisis!$F$501:$F$517,MATCH($C610,_ENGINE_Crisis!$A$501:$A$517,0)),1)=0,1,IFERROR(INDEX(_ENGINE_Crisis!$F$501:$F$517,MATCH($C610,_ENGINE_Crisis!$A$501:$A$517,0)),1)),"")</f>
        <v>1</v>
      </c>
      <c r="AP610">
        <f t="shared" si="69"/>
        <v>16.2</v>
      </c>
      <c r="AQ610">
        <f t="shared" si="70"/>
        <v>1.6</v>
      </c>
      <c r="AR610" t="str">
        <f>IFERROR(INDEX(_ENGINE_Crisis!$E$41:$E$700,MATCH('Resilience &amp; Risk Scenario'!$B$6&amp;"|"&amp;$C610,_ENGINE_Crisis!$I$41:$I$700,0)),"")</f>
        <v/>
      </c>
      <c r="AS610" t="str">
        <f>IFERROR(INDEX(_ENGINE_Crisis!$G$41:$G$700,MATCH('Resilience &amp; Risk Scenario'!$B$6&amp;"|"&amp;$C610,_ENGINE_Crisis!$I$41:$I$700,0)),"")</f>
        <v/>
      </c>
      <c r="AT610" t="str">
        <f>IFERROR(INDEX(_ENGINE_Initiatives!$A$5:$A$532,MATCH(1,INDEX((_ENGINE_Initiatives!$B$5:$B$532=$C610)*(_ENGINE_Initiatives!$C$5:$C$532=$D610),0),0)),"")</f>
        <v>INI-017</v>
      </c>
      <c r="AU610" t="str">
        <f>IFERROR(INDEX(_ENGINE_Initiatives!$F$5:$F$532,MATCH(1,INDEX((_ENGINE_Initiatives!$B$5:$B$532=$C610)*(_ENGINE_Initiatives!$C$5:$C$532=$D610),0),0)),"")</f>
        <v>Build resilient procurement governance and supplier risk controls</v>
      </c>
      <c r="AV610">
        <f>IFERROR(INDEX(_ENGINE_Initiatives!$AC$5:$AC$532,MATCH(1,INDEX((_ENGINE_Initiatives!$B$5:$B$532=$C610)*(_ENGINE_Initiatives!$C$5:$C$532=$D610),0),0)),"")</f>
        <v>1.76</v>
      </c>
      <c r="AW610" t="str">
        <f>IFERROR(INDEX(_ENGINE_Initiatives!$AE$5:$AE$532,MATCH(1,INDEX((_ENGINE_Initiatives!$B$5:$B$532=$C610)*(_ENGINE_Initiatives!$C$5:$C$532=$D610),0),0)),"")</f>
        <v>3-6 months</v>
      </c>
      <c r="AX610">
        <f>IF($B610="Yes",IFERROR((IF(SUMIFS(_REF_Model_Content!$E$1:$E$613,_REF_Model_Content!$A$1:$A$613,PV_Canonical_Industry,_REF_Model_Content!$B$1:$B$613,$C610)=0,1,SUMIFS(_REF_Model_Content!$E$1:$E$613,_REF_Model_Content!$A$1:$A$613,PV_Canonical_Industry,_REF_Model_Content!$B$1:$B$613,$C610))*IFERROR($BU610,1)),1),"")</f>
        <v>1</v>
      </c>
      <c r="AY610">
        <f t="shared" si="71"/>
        <v>16.2</v>
      </c>
      <c r="AZ610">
        <f t="shared" si="72"/>
        <v>1.6</v>
      </c>
      <c r="BB610" t="str">
        <f>IF($H610="","",IFERROR(INDEX(_ENGINE_Risk!$AE$5:$AE$499,MATCH($E610,_ENGINE_Risk!$A$5:$A$499,0)),"Medium"))</f>
        <v>Medium</v>
      </c>
      <c r="BC610">
        <f t="shared" si="73"/>
        <v>1</v>
      </c>
      <c r="BD610">
        <f t="shared" si="74"/>
        <v>1.6</v>
      </c>
      <c r="BF610">
        <f>IF(OR($H610="",$J610=""),"",IFERROR(VLOOKUP(ROUND($J610,0),_CONFIG_Model_Settings!$D$154:$E$158,2,0),""))</f>
        <v>0.5</v>
      </c>
      <c r="BG610">
        <f>IFERROR(IF(OR($H610="",$K610=""),"",ROUND('Company Profile'!$B$113*INDEX(_CONFIG_Model_Settings!$H$154:$H$158,MATCH(ROUND($K610,0),_CONFIG_Model_Settings!$G$154:$G$158,0)),0)),0)</f>
        <v>1875</v>
      </c>
      <c r="BH610">
        <f t="shared" si="75"/>
        <v>937.5</v>
      </c>
      <c r="BI610">
        <f t="shared" si="76"/>
        <v>937.5</v>
      </c>
      <c r="BJ610">
        <f>IF($E610="","",IFERROR(VLOOKUP($C610,_CONFIG_Risk_Calibration!$A$5:$H$21,2,FALSE),3))</f>
        <v>3</v>
      </c>
      <c r="BK610">
        <f>IF($E610="","",IFERROR(VLOOKUP($C610,_CONFIG_Risk_Calibration!$A$5:$H$21,3,FALSE),0))</f>
        <v>0</v>
      </c>
      <c r="BL610">
        <f>IF($E610="","",IFERROR(VLOOKUP($C610,_CONFIG_Risk_Calibration!$A$5:$H$21,4,FALSE),3))</f>
        <v>3</v>
      </c>
      <c r="BM610">
        <f>IF($E610="","",IFERROR(VLOOKUP($C610,_CONFIG_Risk_Calibration!$A$5:$H$21,5,FALSE),3))</f>
        <v>4</v>
      </c>
      <c r="BN610" t="str">
        <f>IF($E610="","",IFERROR(VLOOKUP($C610,_CONFIG_Risk_Calibration!$A$5:$H$21,6,FALSE),"No"))</f>
        <v>Yes</v>
      </c>
      <c r="BO610">
        <f>IF($E610="","",IFERROR(VLOOKUP($C610,_CONFIG_Risk_Calibration!$A$5:$H$21,7,FALSE),1))</f>
        <v>4</v>
      </c>
      <c r="BP610">
        <f>IF($H610="","",MAX(1,MIN(5,((6-$H610)*0.45)+($BJ610*0.2)+('Resilience &amp; Risk Scenario'!$B$7*0.15)+($BK610*0.1)+($BL610*0.05)+(IF($BB610="Fast",5,IF($BB610="Slow",1,3))*0.05))))</f>
        <v>3.6</v>
      </c>
      <c r="BQ610">
        <f t="shared" si="77"/>
        <v>4.5</v>
      </c>
      <c r="BR610">
        <f t="shared" si="78"/>
        <v>16.2</v>
      </c>
      <c r="BS610">
        <f t="shared" si="79"/>
        <v>17.82</v>
      </c>
      <c r="BT610" t="str">
        <f>IFERROR(INDEX(_REF_Capability_Bridge!$D:$D,MATCH($C610&amp;"|"&amp;$D610,_REF_Capability_Bridge!$J:$J,0)),IFERROR(INDEX(_REF_Capability_Bridge!$D:$D,MATCH($C610&amp;"|",_REF_Capability_Bridge!$J:$J,0)),"CAP_GENERIC"))</f>
        <v>CAP_FRAUD_MONITORING</v>
      </c>
      <c r="BU610">
        <f>IFERROR(IFERROR(INDEX(_ENGINE_Relevance!$L:$L,MATCH($BT610,_ENGINE_Relevance!$B:$B,0)),1),1)</f>
        <v>1</v>
      </c>
      <c r="BV610" t="str">
        <f>IFERROR(INDEX(_REF_Capability_Bridge!$A:$A,MATCH($C610&amp;"|"&amp;$D610,_REF_Capability_Bridge!$J:$J,0)),IFERROR(INDEX(_REF_Capability_Bridge!$A:$A,MATCH($C610&amp;"|",_REF_Capability_Bridge!$J:$J,0)),"No bridge"))</f>
        <v>BRG-032</v>
      </c>
      <c r="BW610" t="str">
        <f t="shared" si="80"/>
        <v>Capability relevance neutral</v>
      </c>
      <c r="BX610" t="str">
        <f t="shared" si="81"/>
        <v>Initial / absent</v>
      </c>
      <c r="BY610" t="str">
        <f>IF($E610="","",IFERROR(INDEX(_REF_Treatment_Library!$A$2:$A$296,MATCH(1,INDEX((_REF_Treatment_Library!$B$2:$B$296=$BT610)*(_REF_Treatment_Library!$C$2:$C$296=PV_Canonical_Industry)*(_REF_Treatment_Library!$E$2:$E$296&lt;=N($H610))*(_REF_Treatment_Library!$F$2:$F$296&gt;=N($H610))*(_REF_Treatment_Library!$O$2:$O$296="Yes"),0),0)),IFERROR(INDEX(_REF_Treatment_Library!$A$2:$A$296,MATCH(1,INDEX((_REF_Treatment_Library!$B$2:$B$296=$BT610)*(_REF_Treatment_Library!$C$2:$C$296="All")*(_REF_Treatment_Library!$E$2:$E$296&lt;=N($H610))*(_REF_Treatment_Library!$F$2:$F$296&gt;=N($H610))*(_REF_Treatment_Library!$O$2:$O$296="Yes"),0),0)),"")))</f>
        <v>TRT-FRAUD_MONITORING-INITIAL</v>
      </c>
      <c r="BZ610" t="str">
        <f>IF($BY610="","",IFERROR(INDEX(_REF_Treatment_Library!$H$2:$H$296,MATCH($BY610,_REF_Treatment_Library!$A$2:$A$296,0)),""))</f>
        <v>Establish</v>
      </c>
      <c r="CA610" t="str">
        <f>IF($BY610="","",IFERROR(INDEX(_REF_Treatment_Library!$I$2:$I$296,MATCH($BY610,_REF_Treatment_Library!$A$2:$A$296,0)),""))</f>
        <v>Establish baseline controls for Fraud monitoring</v>
      </c>
      <c r="CB610" t="str">
        <f>IF($BY610="","",IFERROR(INDEX(_REF_Treatment_Library!$K$2:$K$296,MATCH($BY610,_REF_Treatment_Library!$A$2:$A$296,0)),""))</f>
        <v>Named owner, baseline process, minimum control checklist, first evidence package</v>
      </c>
      <c r="CC610" t="str">
        <f>IF($BY610="","",IFERROR(INDEX(_REF_Treatment_Library!$L$2:$L$296,MATCH($BY610,_REF_Treatment_Library!$A$2:$A$296,0)),""))</f>
        <v>Owner assigned; baseline evidence coverage; open critical gaps</v>
      </c>
      <c r="CD610" t="str">
        <f t="shared" si="82"/>
        <v>Treatment by capability=CAP_FRAUD_MONITORING; band=Initial / absent; score=0.0; treatment=Establish</v>
      </c>
      <c r="CE610" t="str">
        <f>IF($E610="","",IFERROR(INDEX(_REF_Industry_Wording!$A$2:$A$70,MATCH(1,INDEX((_REF_Industry_Wording!$B$2:$B$70=$BT610)*(_REF_Industry_Wording!$C$2:$C$70=PV_Canonical_Industry)*(_REF_Industry_Wording!$K$2:$K$70="Yes"),0),0)),IFERROR(INDEX(_REF_Industry_Wording!$A$2:$A$70,MATCH(1,INDEX((_REF_Industry_Wording!$B$2:$B$70=$BT610)*(_REF_Industry_Wording!$C$2:$C$70="All")*(_REF_Industry_Wording!$K$2:$K$70="Yes"),0),0)),"")))</f>
        <v>IW-ALL-FRAUD_MONITORING</v>
      </c>
      <c r="CF610" t="str">
        <f>IF($CE610="","",IFERROR(INDEX(_REF_Industry_Wording!$E$2:$E$70,MATCH($CE610,_REF_Industry_Wording!$A$2:$A$70,0)),""))</f>
        <v>Fraud monitoring weakness</v>
      </c>
      <c r="CG610" t="str">
        <f>IF($CE610="","",IFERROR(INDEX(_REF_Industry_Wording!$F$2:$F$70,MATCH($CE610,_REF_Industry_Wording!$A$2:$A$70,0)),""))</f>
        <v>Strengthen Fraud monitoring</v>
      </c>
      <c r="CH610" t="str">
        <f>IF($CE610="","",IFERROR(INDEX(_REF_Industry_Wording!$G$2:$G$70,MATCH($CE610,_REF_Industry_Wording!$A$2:$A$70,0)),""))</f>
        <v>Strengthen Fraud monitoring using the selected maturity treatment, crisis scenario and evidence requirements.</v>
      </c>
      <c r="CI610" t="str">
        <f>IF($CE610="","",IFERROR(INDEX(_REF_Industry_Wording!$H$2:$H$70,MATCH($CE610,_REF_Industry_Wording!$A$2:$A$70,0)),""))</f>
        <v>Fraud monitoring</v>
      </c>
      <c r="CJ610">
        <f>IF($CE610="","",IFERROR(INDEX(_REF_Industry_Wording!$I$2:$I$70,MATCH($CE610,_REF_Industry_Wording!$A$2:$A$70,0)),""))</f>
        <v>0</v>
      </c>
      <c r="CK610" t="str">
        <f>IF($CE610="","",IFERROR(INDEX(_REF_Industry_Wording!$J$2:$J$70,MATCH($CE610,_REF_Industry_Wording!$A$2:$A$70,0)),""))</f>
        <v>Fraud monitoring</v>
      </c>
      <c r="CL610" t="str">
        <f t="shared" si="83"/>
        <v>Wording by industry=0; capability=CAP_FRAUD_MONITORING; risk label=Fraud monitoring weakness</v>
      </c>
      <c r="CM610" t="str">
        <f t="shared" si="84"/>
        <v>RISK-ONT-0111</v>
      </c>
      <c r="CN610" t="str">
        <f t="shared" si="85"/>
        <v>RISK-EVT-0111</v>
      </c>
      <c r="CO610" t="str">
        <f t="shared" si="86"/>
        <v>Finance Procurement|Procurement and suppliers|FINA-019|CAP_FRAUD_MONITORING</v>
      </c>
      <c r="CP610" t="str">
        <f t="shared" si="87"/>
        <v>Active</v>
      </c>
      <c r="CQ610" t="str">
        <f t="shared" si="88"/>
        <v>OK: capability-driven</v>
      </c>
      <c r="CR610" t="str">
        <f t="shared" si="89"/>
        <v>Risk ontology uses capability=CAP_FRAUD_MONITORING; bridge=BRG-032; treatment=TRT-FRAUD_MONITORING-INITIAL; wording=IW-ALL-FRAUD_MONITORING</v>
      </c>
      <c r="CS610" t="str">
        <f t="shared" si="90"/>
        <v>Yes</v>
      </c>
    </row>
    <row r="611" spans="1:97" ht="69.900000000000006" customHeight="1">
      <c r="A611">
        <f>IF(OR($B611&lt;&gt;"Yes",$BS611=""),"",SUMPRODUCT(($B$500:$B$923="Yes")*ISNUMBER($BS$500:$BS$923)*($BS$500:$BS$923&gt;$BS611))+COUNTIFS($B$500:$B611,"Yes",$BS$500:$BS611,$BS611))</f>
        <v>246</v>
      </c>
      <c r="B611" t="str">
        <f t="shared" si="59"/>
        <v>Yes</v>
      </c>
      <c r="C611" t="s">
        <v>1401</v>
      </c>
      <c r="D611" t="s">
        <v>1426</v>
      </c>
      <c r="E611" t="s">
        <v>1499</v>
      </c>
      <c r="F611" t="s">
        <v>3683</v>
      </c>
      <c r="G611" t="str">
        <f>IF($H611="","",IFERROR(INDEX(_ENGINE_Risk!$H$5:$M$499,MATCH($E611,_ENGINE_Risk!$A$5:$A$499,0),$H611+1),""))</f>
        <v>Severe risk: receivables aging, customer payment risk and collection scenarios is not reliably controlled. During Financial / liquidity shock; Supplier disruption; Fraud risk, the organization may face cash-flow stress, uncontrolled spend, supplier payment disruption and weak financial visibility with limited visibility or accountability.</v>
      </c>
      <c r="H611">
        <f>IFERROR(VALUE(INDEX(_DATA_Assessment_Model!$H$5:$H$884,MATCH($E611,_DATA_Assessment_Model!$A$5:$A$884,0))),"")</f>
        <v>0</v>
      </c>
      <c r="I611" t="str">
        <f>IF($H611="","",IFERROR(INDEX(_DATA_Assessment_Model!$L$5:$L$884,MATCH($E611,_DATA_Assessment_Model!$A$5:$A$884,0)),IF($H611&lt;=1,"Critical",IF($H611=2,"High",IF($H611=3,"Medium",IF($H611=4,"Low","Resilient"))))))</f>
        <v>Critical</v>
      </c>
      <c r="J611">
        <f t="shared" si="60"/>
        <v>3.6</v>
      </c>
      <c r="K611">
        <f t="shared" si="61"/>
        <v>4.3</v>
      </c>
      <c r="L611">
        <f t="shared" si="62"/>
        <v>15.48</v>
      </c>
      <c r="M611">
        <f t="shared" si="63"/>
        <v>4</v>
      </c>
      <c r="N611">
        <f>IF($H611="","",IFERROR(INDEX(_ENGINE_Risk!$T$5:$Y$499,MATCH($E611,_ENGINE_Risk!$A$5:$A$499,0),$H611+1),""))</f>
        <v>3</v>
      </c>
      <c r="O611">
        <f t="shared" si="64"/>
        <v>4.333333333333333</v>
      </c>
      <c r="P611">
        <f t="shared" si="65"/>
        <v>5</v>
      </c>
      <c r="Q611">
        <f t="shared" si="66"/>
        <v>5</v>
      </c>
      <c r="R611">
        <f t="shared" si="67"/>
        <v>4.5</v>
      </c>
      <c r="S611">
        <f t="shared" si="68"/>
        <v>1.57</v>
      </c>
      <c r="T611" t="str">
        <f>IF($H611="","",IFERROR(INDEX(_ENGINE_Risk!$N$5:$S$499,MATCH($E611,_ENGINE_Risk!$A$5:$A$499,0),$H611+1),""))</f>
        <v>Create an immediate risk owner, minimum control baseline and fallback procedure for receivables aging, customer payment risk and collection scenarios. Add it to the crisis risk register and collect first evidence.</v>
      </c>
      <c r="U611">
        <f>IFERROR(INDEX(_DATA_Assessment_Model!$G$5:$G$884,MATCH($E611,_DATA_Assessment_Model!$A$5:$A$884,0)),"")</f>
        <v>4</v>
      </c>
      <c r="V611">
        <f>IFERROR(INDEX(_DATA_Assessment_Model!$W$5:$W$884,MATCH($E611,_DATA_Assessment_Model!$A$5:$A$884,0)),"")</f>
        <v>4</v>
      </c>
      <c r="W611">
        <f>IFERROR(INDEX(_DATA_Assessment_Model!$X$5:$X$884,MATCH($E611,_DATA_Assessment_Model!$A$5:$A$884,0)),"")</f>
        <v>5</v>
      </c>
      <c r="X611">
        <f>IFERROR(INDEX(_DATA_Assessment_Model!$Y$5:$Y$884,MATCH($E611,_DATA_Assessment_Model!$A$5:$A$884,0)),"")</f>
        <v>5</v>
      </c>
      <c r="Y611" t="s">
        <v>1408</v>
      </c>
      <c r="Z611" t="s">
        <v>5918</v>
      </c>
      <c r="AA611" t="s">
        <v>1501</v>
      </c>
      <c r="AB611">
        <f>IFERROR(INDEX(_DATA_Assessment_Model!$U$5:$U$884,MATCH($E611,_DATA_Assessment_Model!$A$5:$A$884,0)),"")</f>
        <v>0</v>
      </c>
      <c r="AF611" t="s">
        <v>1500</v>
      </c>
      <c r="AO611">
        <f>IF($B611="Yes",IF(IFERROR(INDEX(_ENGINE_Crisis!$F$501:$F$517,MATCH($C611,_ENGINE_Crisis!$A$501:$A$517,0)),1)=0,1,IFERROR(INDEX(_ENGINE_Crisis!$F$501:$F$517,MATCH($C611,_ENGINE_Crisis!$A$501:$A$517,0)),1)),"")</f>
        <v>1</v>
      </c>
      <c r="AP611">
        <f t="shared" si="69"/>
        <v>15.5</v>
      </c>
      <c r="AQ611">
        <f t="shared" si="70"/>
        <v>1.57</v>
      </c>
      <c r="AR611" t="str">
        <f>IFERROR(INDEX(_ENGINE_Crisis!$E$41:$E$700,MATCH('Resilience &amp; Risk Scenario'!$B$6&amp;"|"&amp;$C611,_ENGINE_Crisis!$I$41:$I$700,0)),"")</f>
        <v/>
      </c>
      <c r="AS611" t="str">
        <f>IFERROR(INDEX(_ENGINE_Crisis!$G$41:$G$700,MATCH('Resilience &amp; Risk Scenario'!$B$6&amp;"|"&amp;$C611,_ENGINE_Crisis!$I$41:$I$700,0)),"")</f>
        <v/>
      </c>
      <c r="AT611" t="str">
        <f>IFERROR(INDEX(_ENGINE_Initiatives!$A$5:$A$532,MATCH(1,INDEX((_ENGINE_Initiatives!$B$5:$B$532=$C611)*(_ENGINE_Initiatives!$C$5:$C$532=$D611),0),0)),"")</f>
        <v>INI-018</v>
      </c>
      <c r="AU611" t="str">
        <f>IFERROR(INDEX(_ENGINE_Initiatives!$F$5:$F$532,MATCH(1,INDEX((_ENGINE_Initiatives!$B$5:$B$532=$C611)*(_ENGINE_Initiatives!$C$5:$C$532=$D611),0),0)),"")</f>
        <v>Optimize working capital and liquidity early-warning controls</v>
      </c>
      <c r="AV611">
        <f>IFERROR(INDEX(_ENGINE_Initiatives!$AC$5:$AC$532,MATCH(1,INDEX((_ENGINE_Initiatives!$B$5:$B$532=$C611)*(_ENGINE_Initiatives!$C$5:$C$532=$D611),0),0)),"")</f>
        <v>1.75</v>
      </c>
      <c r="AW611" t="str">
        <f>IFERROR(INDEX(_ENGINE_Initiatives!$AE$5:$AE$532,MATCH(1,INDEX((_ENGINE_Initiatives!$B$5:$B$532=$C611)*(_ENGINE_Initiatives!$C$5:$C$532=$D611),0),0)),"")</f>
        <v>6-12 months</v>
      </c>
      <c r="AX611">
        <f>IF($B611="Yes",IFERROR((IF(SUMIFS(_REF_Model_Content!$E$1:$E$613,_REF_Model_Content!$A$1:$A$613,PV_Canonical_Industry,_REF_Model_Content!$B$1:$B$613,$C611)=0,1,SUMIFS(_REF_Model_Content!$E$1:$E$613,_REF_Model_Content!$A$1:$A$613,PV_Canonical_Industry,_REF_Model_Content!$B$1:$B$613,$C611))*IFERROR($BU611,1)),1),"")</f>
        <v>1</v>
      </c>
      <c r="AY611">
        <f t="shared" si="71"/>
        <v>15.5</v>
      </c>
      <c r="AZ611">
        <f t="shared" si="72"/>
        <v>1.57</v>
      </c>
      <c r="BB611" t="str">
        <f>IF($H611="","",IFERROR(INDEX(_ENGINE_Risk!$AE$5:$AE$499,MATCH($E611,_ENGINE_Risk!$A$5:$A$499,0)),"Medium"))</f>
        <v>Medium</v>
      </c>
      <c r="BC611">
        <f t="shared" si="73"/>
        <v>1</v>
      </c>
      <c r="BD611">
        <f t="shared" si="74"/>
        <v>1.57</v>
      </c>
      <c r="BF611">
        <f>IF(OR($H611="",$J611=""),"",IFERROR(VLOOKUP(ROUND($J611,0),_CONFIG_Model_Settings!$D$154:$E$158,2,0),""))</f>
        <v>0.5</v>
      </c>
      <c r="BG611">
        <f>IFERROR(IF(OR($H611="",$K611=""),"",ROUND('Company Profile'!$B$113*INDEX(_CONFIG_Model_Settings!$H$154:$H$158,MATCH(ROUND($K611,0),_CONFIG_Model_Settings!$G$154:$G$158,0)),0)),0)</f>
        <v>875</v>
      </c>
      <c r="BH611">
        <f t="shared" si="75"/>
        <v>437.5</v>
      </c>
      <c r="BI611">
        <f t="shared" si="76"/>
        <v>437.5</v>
      </c>
      <c r="BJ611">
        <f>IF($E611="","",IFERROR(VLOOKUP($C611,_CONFIG_Risk_Calibration!$A$5:$H$21,2,FALSE),3))</f>
        <v>3</v>
      </c>
      <c r="BK611">
        <f>IF($E611="","",IFERROR(VLOOKUP($C611,_CONFIG_Risk_Calibration!$A$5:$H$21,3,FALSE),0))</f>
        <v>0</v>
      </c>
      <c r="BL611">
        <f>IF($E611="","",IFERROR(VLOOKUP($C611,_CONFIG_Risk_Calibration!$A$5:$H$21,4,FALSE),3))</f>
        <v>3</v>
      </c>
      <c r="BM611">
        <f>IF($E611="","",IFERROR(VLOOKUP($C611,_CONFIG_Risk_Calibration!$A$5:$H$21,5,FALSE),3))</f>
        <v>4</v>
      </c>
      <c r="BN611" t="str">
        <f>IF($E611="","",IFERROR(VLOOKUP($C611,_CONFIG_Risk_Calibration!$A$5:$H$21,6,FALSE),"No"))</f>
        <v>Yes</v>
      </c>
      <c r="BO611">
        <f>IF($E611="","",IFERROR(VLOOKUP($C611,_CONFIG_Risk_Calibration!$A$5:$H$21,7,FALSE),1))</f>
        <v>4</v>
      </c>
      <c r="BP611">
        <f>IF($H611="","",MAX(1,MIN(5,((6-$H611)*0.45)+($BJ611*0.2)+('Resilience &amp; Risk Scenario'!$B$7*0.15)+($BK611*0.1)+($BL611*0.05)+(IF($BB611="Fast",5,IF($BB611="Slow",1,3))*0.05))))</f>
        <v>3.6</v>
      </c>
      <c r="BQ611">
        <f t="shared" si="77"/>
        <v>4.3</v>
      </c>
      <c r="BR611">
        <f t="shared" si="78"/>
        <v>15.48</v>
      </c>
      <c r="BS611">
        <f t="shared" si="79"/>
        <v>17.03</v>
      </c>
      <c r="BT611" t="str">
        <f>IFERROR(INDEX(_REF_Capability_Bridge!$D:$D,MATCH($C611&amp;"|"&amp;$D611,_REF_Capability_Bridge!$J:$J,0)),IFERROR(INDEX(_REF_Capability_Bridge!$D:$D,MATCH($C611&amp;"|",_REF_Capability_Bridge!$J:$J,0)),"CAP_GENERIC"))</f>
        <v>CAP_PAYMENT_CONTINUITY</v>
      </c>
      <c r="BU611">
        <f>IFERROR(IFERROR(INDEX(_ENGINE_Relevance!$L:$L,MATCH($BT611,_ENGINE_Relevance!$B:$B,0)),1),1)</f>
        <v>1</v>
      </c>
      <c r="BV611" t="str">
        <f>IFERROR(INDEX(_REF_Capability_Bridge!$A:$A,MATCH($C611&amp;"|"&amp;$D611,_REF_Capability_Bridge!$J:$J,0)),IFERROR(INDEX(_REF_Capability_Bridge!$A:$A,MATCH($C611&amp;"|",_REF_Capability_Bridge!$J:$J,0)),"No bridge"))</f>
        <v>BRG-033</v>
      </c>
      <c r="BW611" t="str">
        <f t="shared" si="80"/>
        <v>Capability relevance neutral</v>
      </c>
      <c r="BX611" t="str">
        <f t="shared" si="81"/>
        <v>Initial / absent</v>
      </c>
      <c r="BY611" t="str">
        <f>IF($E611="","",IFERROR(INDEX(_REF_Treatment_Library!$A$2:$A$296,MATCH(1,INDEX((_REF_Treatment_Library!$B$2:$B$296=$BT611)*(_REF_Treatment_Library!$C$2:$C$296=PV_Canonical_Industry)*(_REF_Treatment_Library!$E$2:$E$296&lt;=N($H611))*(_REF_Treatment_Library!$F$2:$F$296&gt;=N($H611))*(_REF_Treatment_Library!$O$2:$O$296="Yes"),0),0)),IFERROR(INDEX(_REF_Treatment_Library!$A$2:$A$296,MATCH(1,INDEX((_REF_Treatment_Library!$B$2:$B$296=$BT611)*(_REF_Treatment_Library!$C$2:$C$296="All")*(_REF_Treatment_Library!$E$2:$E$296&lt;=N($H611))*(_REF_Treatment_Library!$F$2:$F$296&gt;=N($H611))*(_REF_Treatment_Library!$O$2:$O$296="Yes"),0),0)),"")))</f>
        <v>TRT-PAYMENT_CONTINUITY-INITIAL</v>
      </c>
      <c r="BZ611" t="str">
        <f>IF($BY611="","",IFERROR(INDEX(_REF_Treatment_Library!$H$2:$H$296,MATCH($BY611,_REF_Treatment_Library!$A$2:$A$296,0)),""))</f>
        <v>Establish</v>
      </c>
      <c r="CA611" t="str">
        <f>IF($BY611="","",IFERROR(INDEX(_REF_Treatment_Library!$I$2:$I$296,MATCH($BY611,_REF_Treatment_Library!$A$2:$A$296,0)),""))</f>
        <v>Establish baseline controls for Payment continuity</v>
      </c>
      <c r="CB611" t="str">
        <f>IF($BY611="","",IFERROR(INDEX(_REF_Treatment_Library!$K$2:$K$296,MATCH($BY611,_REF_Treatment_Library!$A$2:$A$296,0)),""))</f>
        <v>Named owner, baseline process, minimum control checklist, first evidence package</v>
      </c>
      <c r="CC611" t="str">
        <f>IF($BY611="","",IFERROR(INDEX(_REF_Treatment_Library!$L$2:$L$296,MATCH($BY611,_REF_Treatment_Library!$A$2:$A$296,0)),""))</f>
        <v>Owner assigned; baseline evidence coverage; open critical gaps</v>
      </c>
      <c r="CD611" t="str">
        <f t="shared" si="82"/>
        <v>Treatment by capability=CAP_PAYMENT_CONTINUITY; band=Initial / absent; score=0.0; treatment=Establish</v>
      </c>
      <c r="CE611" t="str">
        <f>IF($E611="","",IFERROR(INDEX(_REF_Industry_Wording!$A$2:$A$70,MATCH(1,INDEX((_REF_Industry_Wording!$B$2:$B$70=$BT611)*(_REF_Industry_Wording!$C$2:$C$70=PV_Canonical_Industry)*(_REF_Industry_Wording!$K$2:$K$70="Yes"),0),0)),IFERROR(INDEX(_REF_Industry_Wording!$A$2:$A$70,MATCH(1,INDEX((_REF_Industry_Wording!$B$2:$B$70=$BT611)*(_REF_Industry_Wording!$C$2:$C$70="All")*(_REF_Industry_Wording!$K$2:$K$70="Yes"),0),0)),"")))</f>
        <v>IW-ALL-PAYMENT_CONTINUITY</v>
      </c>
      <c r="CF611" t="str">
        <f>IF($CE611="","",IFERROR(INDEX(_REF_Industry_Wording!$E$2:$E$70,MATCH($CE611,_REF_Industry_Wording!$A$2:$A$70,0)),""))</f>
        <v>Payment continuity weakness</v>
      </c>
      <c r="CG611" t="str">
        <f>IF($CE611="","",IFERROR(INDEX(_REF_Industry_Wording!$F$2:$F$70,MATCH($CE611,_REF_Industry_Wording!$A$2:$A$70,0)),""))</f>
        <v>Strengthen Payment continuity</v>
      </c>
      <c r="CH611" t="str">
        <f>IF($CE611="","",IFERROR(INDEX(_REF_Industry_Wording!$G$2:$G$70,MATCH($CE611,_REF_Industry_Wording!$A$2:$A$70,0)),""))</f>
        <v>Strengthen Payment continuity using the selected maturity treatment, crisis scenario and evidence requirements.</v>
      </c>
      <c r="CI611" t="str">
        <f>IF($CE611="","",IFERROR(INDEX(_REF_Industry_Wording!$H$2:$H$70,MATCH($CE611,_REF_Industry_Wording!$A$2:$A$70,0)),""))</f>
        <v>Payment continuity</v>
      </c>
      <c r="CJ611">
        <f>IF($CE611="","",IFERROR(INDEX(_REF_Industry_Wording!$I$2:$I$70,MATCH($CE611,_REF_Industry_Wording!$A$2:$A$70,0)),""))</f>
        <v>0</v>
      </c>
      <c r="CK611" t="str">
        <f>IF($CE611="","",IFERROR(INDEX(_REF_Industry_Wording!$J$2:$J$70,MATCH($CE611,_REF_Industry_Wording!$A$2:$A$70,0)),""))</f>
        <v>Payment continuity</v>
      </c>
      <c r="CL611" t="str">
        <f t="shared" si="83"/>
        <v>Wording by industry=0; capability=CAP_PAYMENT_CONTINUITY; risk label=Payment continuity weakness</v>
      </c>
      <c r="CM611" t="str">
        <f t="shared" si="84"/>
        <v>RISK-ONT-0112</v>
      </c>
      <c r="CN611" t="str">
        <f t="shared" si="85"/>
        <v>RISK-EVT-0112</v>
      </c>
      <c r="CO611" t="str">
        <f t="shared" si="86"/>
        <v>Finance Procurement|Working capital|FINA-020|CAP_PAYMENT_CONTINUITY</v>
      </c>
      <c r="CP611" t="str">
        <f t="shared" si="87"/>
        <v>Active</v>
      </c>
      <c r="CQ611" t="str">
        <f t="shared" si="88"/>
        <v>OK: capability-driven</v>
      </c>
      <c r="CR611" t="str">
        <f t="shared" si="89"/>
        <v>Risk ontology uses capability=CAP_PAYMENT_CONTINUITY; bridge=BRG-033; treatment=TRT-PAYMENT_CONTINUITY-INITIAL; wording=IW-ALL-PAYMENT_CONTINUITY</v>
      </c>
      <c r="CS611" t="str">
        <f t="shared" si="90"/>
        <v>Yes</v>
      </c>
    </row>
    <row r="612" spans="1:97" ht="69.900000000000006" customHeight="1">
      <c r="A612">
        <f>IF(OR($B612&lt;&gt;"Yes",$BS612=""),"",SUMPRODUCT(($B$500:$B$923="Yes")*ISNUMBER($BS$500:$BS$923)*($BS$500:$BS$923&gt;$BS612))+COUNTIFS($B$500:$B612,"Yes",$BS$500:$BS612,$BS612))</f>
        <v>240</v>
      </c>
      <c r="B612" t="str">
        <f t="shared" si="59"/>
        <v>Yes</v>
      </c>
      <c r="C612" t="s">
        <v>1401</v>
      </c>
      <c r="D612" t="s">
        <v>1426</v>
      </c>
      <c r="E612" t="s">
        <v>1508</v>
      </c>
      <c r="F612" t="s">
        <v>3683</v>
      </c>
      <c r="G612" t="str">
        <f>IF($H612="","",IFERROR(INDEX(_ENGINE_Risk!$H$5:$M$499,MATCH($E612,_ENGINE_Risk!$A$5:$A$499,0),$H612+1),""))</f>
        <v>Severe risk: supplier payment priority rules during cash constraint is not reliably controlled. During Financial / liquidity shock; Supplier disruption; Fraud risk, the organization may face cash-flow stress, uncontrolled spend, supplier payment disruption and weak financial visibility with limited visibility or accountability.</v>
      </c>
      <c r="H612">
        <f>IFERROR(VALUE(INDEX(_DATA_Assessment_Model!$H$5:$H$884,MATCH($E612,_DATA_Assessment_Model!$A$5:$A$884,0))),"")</f>
        <v>0</v>
      </c>
      <c r="I612" t="str">
        <f>IF($H612="","",IFERROR(INDEX(_DATA_Assessment_Model!$L$5:$L$884,MATCH($E612,_DATA_Assessment_Model!$A$5:$A$884,0)),IF($H612&lt;=1,"Critical",IF($H612=2,"High",IF($H612=3,"Medium",IF($H612=4,"Low","Resilient"))))))</f>
        <v>Critical</v>
      </c>
      <c r="J612">
        <f t="shared" si="60"/>
        <v>3.6</v>
      </c>
      <c r="K612">
        <f t="shared" si="61"/>
        <v>4.5</v>
      </c>
      <c r="L612">
        <f t="shared" si="62"/>
        <v>16.2</v>
      </c>
      <c r="M612">
        <f t="shared" si="63"/>
        <v>4</v>
      </c>
      <c r="N612">
        <f>IF($H612="","",IFERROR(INDEX(_ENGINE_Risk!$T$5:$Y$499,MATCH($E612,_ENGINE_Risk!$A$5:$A$499,0),$H612+1),""))</f>
        <v>3</v>
      </c>
      <c r="O612">
        <f t="shared" si="64"/>
        <v>4.666666666666667</v>
      </c>
      <c r="P612">
        <f t="shared" si="65"/>
        <v>5</v>
      </c>
      <c r="Q612">
        <f t="shared" si="66"/>
        <v>5</v>
      </c>
      <c r="R612">
        <f t="shared" si="67"/>
        <v>4.5</v>
      </c>
      <c r="S612">
        <f t="shared" si="68"/>
        <v>1.6</v>
      </c>
      <c r="T612" t="str">
        <f>IF($H612="","",IFERROR(INDEX(_ENGINE_Risk!$N$5:$S$499,MATCH($E612,_ENGINE_Risk!$A$5:$A$499,0),$H612+1),""))</f>
        <v>Create an immediate risk owner, minimum control baseline and fallback procedure for supplier payment priority rules during cash constraint. Add it to the crisis risk register and collect first evidence.</v>
      </c>
      <c r="U612">
        <f>IFERROR(INDEX(_DATA_Assessment_Model!$G$5:$G$884,MATCH($E612,_DATA_Assessment_Model!$A$5:$A$884,0)),"")</f>
        <v>5</v>
      </c>
      <c r="V612">
        <f>IFERROR(INDEX(_DATA_Assessment_Model!$W$5:$W$884,MATCH($E612,_DATA_Assessment_Model!$A$5:$A$884,0)),"")</f>
        <v>4</v>
      </c>
      <c r="W612">
        <f>IFERROR(INDEX(_DATA_Assessment_Model!$X$5:$X$884,MATCH($E612,_DATA_Assessment_Model!$A$5:$A$884,0)),"")</f>
        <v>5</v>
      </c>
      <c r="X612">
        <f>IFERROR(INDEX(_DATA_Assessment_Model!$Y$5:$Y$884,MATCH($E612,_DATA_Assessment_Model!$A$5:$A$884,0)),"")</f>
        <v>5</v>
      </c>
      <c r="Y612" t="s">
        <v>1408</v>
      </c>
      <c r="Z612" t="s">
        <v>5918</v>
      </c>
      <c r="AA612" t="s">
        <v>1510</v>
      </c>
      <c r="AB612">
        <f>IFERROR(INDEX(_DATA_Assessment_Model!$U$5:$U$884,MATCH($E612,_DATA_Assessment_Model!$A$5:$A$884,0)),"")</f>
        <v>0</v>
      </c>
      <c r="AF612" t="s">
        <v>1509</v>
      </c>
      <c r="AO612">
        <f>IF($B612="Yes",IF(IFERROR(INDEX(_ENGINE_Crisis!$F$501:$F$517,MATCH($C612,_ENGINE_Crisis!$A$501:$A$517,0)),1)=0,1,IFERROR(INDEX(_ENGINE_Crisis!$F$501:$F$517,MATCH($C612,_ENGINE_Crisis!$A$501:$A$517,0)),1)),"")</f>
        <v>1</v>
      </c>
      <c r="AP612">
        <f t="shared" si="69"/>
        <v>16.2</v>
      </c>
      <c r="AQ612">
        <f t="shared" si="70"/>
        <v>1.6</v>
      </c>
      <c r="AR612" t="str">
        <f>IFERROR(INDEX(_ENGINE_Crisis!$E$41:$E$700,MATCH('Resilience &amp; Risk Scenario'!$B$6&amp;"|"&amp;$C612,_ENGINE_Crisis!$I$41:$I$700,0)),"")</f>
        <v/>
      </c>
      <c r="AS612" t="str">
        <f>IFERROR(INDEX(_ENGINE_Crisis!$G$41:$G$700,MATCH('Resilience &amp; Risk Scenario'!$B$6&amp;"|"&amp;$C612,_ENGINE_Crisis!$I$41:$I$700,0)),"")</f>
        <v/>
      </c>
      <c r="AT612" t="str">
        <f>IFERROR(INDEX(_ENGINE_Initiatives!$A$5:$A$532,MATCH(1,INDEX((_ENGINE_Initiatives!$B$5:$B$532=$C612)*(_ENGINE_Initiatives!$C$5:$C$532=$D612),0),0)),"")</f>
        <v>INI-018</v>
      </c>
      <c r="AU612" t="str">
        <f>IFERROR(INDEX(_ENGINE_Initiatives!$F$5:$F$532,MATCH(1,INDEX((_ENGINE_Initiatives!$B$5:$B$532=$C612)*(_ENGINE_Initiatives!$C$5:$C$532=$D612),0),0)),"")</f>
        <v>Optimize working capital and liquidity early-warning controls</v>
      </c>
      <c r="AV612">
        <f>IFERROR(INDEX(_ENGINE_Initiatives!$AC$5:$AC$532,MATCH(1,INDEX((_ENGINE_Initiatives!$B$5:$B$532=$C612)*(_ENGINE_Initiatives!$C$5:$C$532=$D612),0),0)),"")</f>
        <v>1.75</v>
      </c>
      <c r="AW612" t="str">
        <f>IFERROR(INDEX(_ENGINE_Initiatives!$AE$5:$AE$532,MATCH(1,INDEX((_ENGINE_Initiatives!$B$5:$B$532=$C612)*(_ENGINE_Initiatives!$C$5:$C$532=$D612),0),0)),"")</f>
        <v>6-12 months</v>
      </c>
      <c r="AX612">
        <f>IF($B612="Yes",IFERROR((IF(SUMIFS(_REF_Model_Content!$E$1:$E$613,_REF_Model_Content!$A$1:$A$613,PV_Canonical_Industry,_REF_Model_Content!$B$1:$B$613,$C612)=0,1,SUMIFS(_REF_Model_Content!$E$1:$E$613,_REF_Model_Content!$A$1:$A$613,PV_Canonical_Industry,_REF_Model_Content!$B$1:$B$613,$C612))*IFERROR($BU612,1)),1),"")</f>
        <v>1</v>
      </c>
      <c r="AY612">
        <f t="shared" si="71"/>
        <v>16.2</v>
      </c>
      <c r="AZ612">
        <f t="shared" si="72"/>
        <v>1.6</v>
      </c>
      <c r="BB612" t="str">
        <f>IF($H612="","",IFERROR(INDEX(_ENGINE_Risk!$AE$5:$AE$499,MATCH($E612,_ENGINE_Risk!$A$5:$A$499,0)),"Medium"))</f>
        <v>Medium</v>
      </c>
      <c r="BC612">
        <f t="shared" si="73"/>
        <v>1</v>
      </c>
      <c r="BD612">
        <f t="shared" si="74"/>
        <v>1.6</v>
      </c>
      <c r="BF612">
        <f>IF(OR($H612="",$J612=""),"",IFERROR(VLOOKUP(ROUND($J612,0),_CONFIG_Model_Settings!$D$154:$E$158,2,0),""))</f>
        <v>0.5</v>
      </c>
      <c r="BG612">
        <f>IFERROR(IF(OR($H612="",$K612=""),"",ROUND('Company Profile'!$B$113*INDEX(_CONFIG_Model_Settings!$H$154:$H$158,MATCH(ROUND($K612,0),_CONFIG_Model_Settings!$G$154:$G$158,0)),0)),0)</f>
        <v>1875</v>
      </c>
      <c r="BH612">
        <f t="shared" si="75"/>
        <v>937.5</v>
      </c>
      <c r="BI612">
        <f t="shared" si="76"/>
        <v>937.5</v>
      </c>
      <c r="BJ612">
        <f>IF($E612="","",IFERROR(VLOOKUP($C612,_CONFIG_Risk_Calibration!$A$5:$H$21,2,FALSE),3))</f>
        <v>3</v>
      </c>
      <c r="BK612">
        <f>IF($E612="","",IFERROR(VLOOKUP($C612,_CONFIG_Risk_Calibration!$A$5:$H$21,3,FALSE),0))</f>
        <v>0</v>
      </c>
      <c r="BL612">
        <f>IF($E612="","",IFERROR(VLOOKUP($C612,_CONFIG_Risk_Calibration!$A$5:$H$21,4,FALSE),3))</f>
        <v>3</v>
      </c>
      <c r="BM612">
        <f>IF($E612="","",IFERROR(VLOOKUP($C612,_CONFIG_Risk_Calibration!$A$5:$H$21,5,FALSE),3))</f>
        <v>4</v>
      </c>
      <c r="BN612" t="str">
        <f>IF($E612="","",IFERROR(VLOOKUP($C612,_CONFIG_Risk_Calibration!$A$5:$H$21,6,FALSE),"No"))</f>
        <v>Yes</v>
      </c>
      <c r="BO612">
        <f>IF($E612="","",IFERROR(VLOOKUP($C612,_CONFIG_Risk_Calibration!$A$5:$H$21,7,FALSE),1))</f>
        <v>4</v>
      </c>
      <c r="BP612">
        <f>IF($H612="","",MAX(1,MIN(5,((6-$H612)*0.45)+($BJ612*0.2)+('Resilience &amp; Risk Scenario'!$B$7*0.15)+($BK612*0.1)+($BL612*0.05)+(IF($BB612="Fast",5,IF($BB612="Slow",1,3))*0.05))))</f>
        <v>3.6</v>
      </c>
      <c r="BQ612">
        <f t="shared" si="77"/>
        <v>4.5</v>
      </c>
      <c r="BR612">
        <f t="shared" si="78"/>
        <v>16.2</v>
      </c>
      <c r="BS612">
        <f t="shared" si="79"/>
        <v>17.82</v>
      </c>
      <c r="BT612" t="str">
        <f>IFERROR(INDEX(_REF_Capability_Bridge!$D:$D,MATCH($C612&amp;"|"&amp;$D612,_REF_Capability_Bridge!$J:$J,0)),IFERROR(INDEX(_REF_Capability_Bridge!$D:$D,MATCH($C612&amp;"|",_REF_Capability_Bridge!$J:$J,0)),"CAP_GENERIC"))</f>
        <v>CAP_PAYMENT_CONTINUITY</v>
      </c>
      <c r="BU612">
        <f>IFERROR(IFERROR(INDEX(_ENGINE_Relevance!$L:$L,MATCH($BT612,_ENGINE_Relevance!$B:$B,0)),1),1)</f>
        <v>1</v>
      </c>
      <c r="BV612" t="str">
        <f>IFERROR(INDEX(_REF_Capability_Bridge!$A:$A,MATCH($C612&amp;"|"&amp;$D612,_REF_Capability_Bridge!$J:$J,0)),IFERROR(INDEX(_REF_Capability_Bridge!$A:$A,MATCH($C612&amp;"|",_REF_Capability_Bridge!$J:$J,0)),"No bridge"))</f>
        <v>BRG-033</v>
      </c>
      <c r="BW612" t="str">
        <f t="shared" si="80"/>
        <v>Capability relevance neutral</v>
      </c>
      <c r="BX612" t="str">
        <f t="shared" si="81"/>
        <v>Initial / absent</v>
      </c>
      <c r="BY612" t="str">
        <f>IF($E612="","",IFERROR(INDEX(_REF_Treatment_Library!$A$2:$A$296,MATCH(1,INDEX((_REF_Treatment_Library!$B$2:$B$296=$BT612)*(_REF_Treatment_Library!$C$2:$C$296=PV_Canonical_Industry)*(_REF_Treatment_Library!$E$2:$E$296&lt;=N($H612))*(_REF_Treatment_Library!$F$2:$F$296&gt;=N($H612))*(_REF_Treatment_Library!$O$2:$O$296="Yes"),0),0)),IFERROR(INDEX(_REF_Treatment_Library!$A$2:$A$296,MATCH(1,INDEX((_REF_Treatment_Library!$B$2:$B$296=$BT612)*(_REF_Treatment_Library!$C$2:$C$296="All")*(_REF_Treatment_Library!$E$2:$E$296&lt;=N($H612))*(_REF_Treatment_Library!$F$2:$F$296&gt;=N($H612))*(_REF_Treatment_Library!$O$2:$O$296="Yes"),0),0)),"")))</f>
        <v>TRT-PAYMENT_CONTINUITY-INITIAL</v>
      </c>
      <c r="BZ612" t="str">
        <f>IF($BY612="","",IFERROR(INDEX(_REF_Treatment_Library!$H$2:$H$296,MATCH($BY612,_REF_Treatment_Library!$A$2:$A$296,0)),""))</f>
        <v>Establish</v>
      </c>
      <c r="CA612" t="str">
        <f>IF($BY612="","",IFERROR(INDEX(_REF_Treatment_Library!$I$2:$I$296,MATCH($BY612,_REF_Treatment_Library!$A$2:$A$296,0)),""))</f>
        <v>Establish baseline controls for Payment continuity</v>
      </c>
      <c r="CB612" t="str">
        <f>IF($BY612="","",IFERROR(INDEX(_REF_Treatment_Library!$K$2:$K$296,MATCH($BY612,_REF_Treatment_Library!$A$2:$A$296,0)),""))</f>
        <v>Named owner, baseline process, minimum control checklist, first evidence package</v>
      </c>
      <c r="CC612" t="str">
        <f>IF($BY612="","",IFERROR(INDEX(_REF_Treatment_Library!$L$2:$L$296,MATCH($BY612,_REF_Treatment_Library!$A$2:$A$296,0)),""))</f>
        <v>Owner assigned; baseline evidence coverage; open critical gaps</v>
      </c>
      <c r="CD612" t="str">
        <f t="shared" si="82"/>
        <v>Treatment by capability=CAP_PAYMENT_CONTINUITY; band=Initial / absent; score=0.0; treatment=Establish</v>
      </c>
      <c r="CE612" t="str">
        <f>IF($E612="","",IFERROR(INDEX(_REF_Industry_Wording!$A$2:$A$70,MATCH(1,INDEX((_REF_Industry_Wording!$B$2:$B$70=$BT612)*(_REF_Industry_Wording!$C$2:$C$70=PV_Canonical_Industry)*(_REF_Industry_Wording!$K$2:$K$70="Yes"),0),0)),IFERROR(INDEX(_REF_Industry_Wording!$A$2:$A$70,MATCH(1,INDEX((_REF_Industry_Wording!$B$2:$B$70=$BT612)*(_REF_Industry_Wording!$C$2:$C$70="All")*(_REF_Industry_Wording!$K$2:$K$70="Yes"),0),0)),"")))</f>
        <v>IW-ALL-PAYMENT_CONTINUITY</v>
      </c>
      <c r="CF612" t="str">
        <f>IF($CE612="","",IFERROR(INDEX(_REF_Industry_Wording!$E$2:$E$70,MATCH($CE612,_REF_Industry_Wording!$A$2:$A$70,0)),""))</f>
        <v>Payment continuity weakness</v>
      </c>
      <c r="CG612" t="str">
        <f>IF($CE612="","",IFERROR(INDEX(_REF_Industry_Wording!$F$2:$F$70,MATCH($CE612,_REF_Industry_Wording!$A$2:$A$70,0)),""))</f>
        <v>Strengthen Payment continuity</v>
      </c>
      <c r="CH612" t="str">
        <f>IF($CE612="","",IFERROR(INDEX(_REF_Industry_Wording!$G$2:$G$70,MATCH($CE612,_REF_Industry_Wording!$A$2:$A$70,0)),""))</f>
        <v>Strengthen Payment continuity using the selected maturity treatment, crisis scenario and evidence requirements.</v>
      </c>
      <c r="CI612" t="str">
        <f>IF($CE612="","",IFERROR(INDEX(_REF_Industry_Wording!$H$2:$H$70,MATCH($CE612,_REF_Industry_Wording!$A$2:$A$70,0)),""))</f>
        <v>Payment continuity</v>
      </c>
      <c r="CJ612">
        <f>IF($CE612="","",IFERROR(INDEX(_REF_Industry_Wording!$I$2:$I$70,MATCH($CE612,_REF_Industry_Wording!$A$2:$A$70,0)),""))</f>
        <v>0</v>
      </c>
      <c r="CK612" t="str">
        <f>IF($CE612="","",IFERROR(INDEX(_REF_Industry_Wording!$J$2:$J$70,MATCH($CE612,_REF_Industry_Wording!$A$2:$A$70,0)),""))</f>
        <v>Payment continuity</v>
      </c>
      <c r="CL612" t="str">
        <f t="shared" si="83"/>
        <v>Wording by industry=0; capability=CAP_PAYMENT_CONTINUITY; risk label=Payment continuity weakness</v>
      </c>
      <c r="CM612" t="str">
        <f t="shared" si="84"/>
        <v>RISK-ONT-0113</v>
      </c>
      <c r="CN612" t="str">
        <f t="shared" si="85"/>
        <v>RISK-EVT-0113</v>
      </c>
      <c r="CO612" t="str">
        <f t="shared" si="86"/>
        <v>Finance Procurement|Working capital|FINA-021|CAP_PAYMENT_CONTINUITY</v>
      </c>
      <c r="CP612" t="str">
        <f t="shared" si="87"/>
        <v>Active</v>
      </c>
      <c r="CQ612" t="str">
        <f t="shared" si="88"/>
        <v>OK: capability-driven</v>
      </c>
      <c r="CR612" t="str">
        <f t="shared" si="89"/>
        <v>Risk ontology uses capability=CAP_PAYMENT_CONTINUITY; bridge=BRG-033; treatment=TRT-PAYMENT_CONTINUITY-INITIAL; wording=IW-ALL-PAYMENT_CONTINUITY</v>
      </c>
      <c r="CS612" t="str">
        <f t="shared" si="90"/>
        <v>Yes</v>
      </c>
    </row>
    <row r="613" spans="1:97" ht="69.900000000000006" customHeight="1">
      <c r="A613">
        <f>IF(OR($B613&lt;&gt;"Yes",$BS613=""),"",SUMPRODUCT(($B$500:$B$923="Yes")*ISNUMBER($BS$500:$BS$923)*($BS$500:$BS$923&gt;$BS613))+COUNTIFS($B$500:$B613,"Yes",$BS$500:$BS613,$BS613))</f>
        <v>181</v>
      </c>
      <c r="B613" t="str">
        <f t="shared" si="59"/>
        <v>Yes</v>
      </c>
      <c r="C613" t="s">
        <v>1401</v>
      </c>
      <c r="D613" t="s">
        <v>1426</v>
      </c>
      <c r="E613" t="s">
        <v>1511</v>
      </c>
      <c r="F613" t="s">
        <v>3683</v>
      </c>
      <c r="G613" t="str">
        <f>IF($H613="","",IFERROR(INDEX(_ENGINE_Risk!$H$5:$M$499,MATCH($E613,_ENGINE_Risk!$A$5:$A$499,0),$H613+1),""))</f>
        <v>Severe risk: banking resilience with backup banks, signatories, online access and payment release fallback is not reliably controlled. During Financial / liquidity shock; Supplier disruption; Fraud risk, the organization may face cash-flow stress, uncontrolled spend, supplier payment disruption and weak financial visibility with limited visibility or accountability.</v>
      </c>
      <c r="H613">
        <f>IFERROR(VALUE(INDEX(_DATA_Assessment_Model!$H$5:$H$884,MATCH($E613,_DATA_Assessment_Model!$A$5:$A$884,0))),"")</f>
        <v>0</v>
      </c>
      <c r="I613" t="str">
        <f>IF($H613="","",IFERROR(INDEX(_DATA_Assessment_Model!$L$5:$L$884,MATCH($E613,_DATA_Assessment_Model!$A$5:$A$884,0)),IF($H613&lt;=1,"Critical",IF($H613=2,"High",IF($H613=3,"Medium",IF($H613=4,"Low","Resilient"))))))</f>
        <v>Critical</v>
      </c>
      <c r="J613">
        <f t="shared" si="60"/>
        <v>3.6</v>
      </c>
      <c r="K613">
        <f t="shared" si="61"/>
        <v>4.6499999999999995</v>
      </c>
      <c r="L613">
        <f t="shared" si="62"/>
        <v>16.739999999999998</v>
      </c>
      <c r="M613">
        <f t="shared" si="63"/>
        <v>4</v>
      </c>
      <c r="N613">
        <f>IF($H613="","",IFERROR(INDEX(_ENGINE_Risk!$T$5:$Y$499,MATCH($E613,_ENGINE_Risk!$A$5:$A$499,0),$H613+1),""))</f>
        <v>3</v>
      </c>
      <c r="O613">
        <f t="shared" si="64"/>
        <v>5</v>
      </c>
      <c r="P613">
        <f t="shared" si="65"/>
        <v>5</v>
      </c>
      <c r="Q613">
        <f t="shared" si="66"/>
        <v>5</v>
      </c>
      <c r="R613">
        <f t="shared" si="67"/>
        <v>5</v>
      </c>
      <c r="S613">
        <f t="shared" si="68"/>
        <v>1.67</v>
      </c>
      <c r="T613" t="str">
        <f>IF($H613="","",IFERROR(INDEX(_ENGINE_Risk!$N$5:$S$499,MATCH($E613,_ENGINE_Risk!$A$5:$A$499,0),$H613+1),""))</f>
        <v>Create an immediate risk owner, minimum control baseline and fallback procedure for banking resilience with backup banks, signatories, online access and payment release fallback. Add it to the crisis risk register and collect first evidence.</v>
      </c>
      <c r="U613">
        <f>IFERROR(INDEX(_DATA_Assessment_Model!$G$5:$G$884,MATCH($E613,_DATA_Assessment_Model!$A$5:$A$884,0)),"")</f>
        <v>5</v>
      </c>
      <c r="V613">
        <f>IFERROR(INDEX(_DATA_Assessment_Model!$W$5:$W$884,MATCH($E613,_DATA_Assessment_Model!$A$5:$A$884,0)),"")</f>
        <v>5</v>
      </c>
      <c r="W613">
        <f>IFERROR(INDEX(_DATA_Assessment_Model!$X$5:$X$884,MATCH($E613,_DATA_Assessment_Model!$A$5:$A$884,0)),"")</f>
        <v>5</v>
      </c>
      <c r="X613">
        <f>IFERROR(INDEX(_DATA_Assessment_Model!$Y$5:$Y$884,MATCH($E613,_DATA_Assessment_Model!$A$5:$A$884,0)),"")</f>
        <v>5</v>
      </c>
      <c r="Y613" t="s">
        <v>1408</v>
      </c>
      <c r="Z613" t="s">
        <v>5918</v>
      </c>
      <c r="AA613" t="s">
        <v>1513</v>
      </c>
      <c r="AB613">
        <f>IFERROR(INDEX(_DATA_Assessment_Model!$U$5:$U$884,MATCH($E613,_DATA_Assessment_Model!$A$5:$A$884,0)),"")</f>
        <v>0</v>
      </c>
      <c r="AF613" t="s">
        <v>1512</v>
      </c>
      <c r="AO613">
        <f>IF($B613="Yes",IF(IFERROR(INDEX(_ENGINE_Crisis!$F$501:$F$517,MATCH($C613,_ENGINE_Crisis!$A$501:$A$517,0)),1)=0,1,IFERROR(INDEX(_ENGINE_Crisis!$F$501:$F$517,MATCH($C613,_ENGINE_Crisis!$A$501:$A$517,0)),1)),"")</f>
        <v>1</v>
      </c>
      <c r="AP613">
        <f t="shared" si="69"/>
        <v>16.7</v>
      </c>
      <c r="AQ613">
        <f t="shared" si="70"/>
        <v>1.67</v>
      </c>
      <c r="AR613" t="str">
        <f>IFERROR(INDEX(_ENGINE_Crisis!$E$41:$E$700,MATCH('Resilience &amp; Risk Scenario'!$B$6&amp;"|"&amp;$C613,_ENGINE_Crisis!$I$41:$I$700,0)),"")</f>
        <v/>
      </c>
      <c r="AS613" t="str">
        <f>IFERROR(INDEX(_ENGINE_Crisis!$G$41:$G$700,MATCH('Resilience &amp; Risk Scenario'!$B$6&amp;"|"&amp;$C613,_ENGINE_Crisis!$I$41:$I$700,0)),"")</f>
        <v/>
      </c>
      <c r="AT613" t="str">
        <f>IFERROR(INDEX(_ENGINE_Initiatives!$A$5:$A$532,MATCH(1,INDEX((_ENGINE_Initiatives!$B$5:$B$532=$C613)*(_ENGINE_Initiatives!$C$5:$C$532=$D613),0),0)),"")</f>
        <v>INI-018</v>
      </c>
      <c r="AU613" t="str">
        <f>IFERROR(INDEX(_ENGINE_Initiatives!$F$5:$F$532,MATCH(1,INDEX((_ENGINE_Initiatives!$B$5:$B$532=$C613)*(_ENGINE_Initiatives!$C$5:$C$532=$D613),0),0)),"")</f>
        <v>Optimize working capital and liquidity early-warning controls</v>
      </c>
      <c r="AV613">
        <f>IFERROR(INDEX(_ENGINE_Initiatives!$AC$5:$AC$532,MATCH(1,INDEX((_ENGINE_Initiatives!$B$5:$B$532=$C613)*(_ENGINE_Initiatives!$C$5:$C$532=$D613),0),0)),"")</f>
        <v>1.75</v>
      </c>
      <c r="AW613" t="str">
        <f>IFERROR(INDEX(_ENGINE_Initiatives!$AE$5:$AE$532,MATCH(1,INDEX((_ENGINE_Initiatives!$B$5:$B$532=$C613)*(_ENGINE_Initiatives!$C$5:$C$532=$D613),0),0)),"")</f>
        <v>6-12 months</v>
      </c>
      <c r="AX613">
        <f>IF($B613="Yes",IFERROR((IF(SUMIFS(_REF_Model_Content!$E$1:$E$613,_REF_Model_Content!$A$1:$A$613,PV_Canonical_Industry,_REF_Model_Content!$B$1:$B$613,$C613)=0,1,SUMIFS(_REF_Model_Content!$E$1:$E$613,_REF_Model_Content!$A$1:$A$613,PV_Canonical_Industry,_REF_Model_Content!$B$1:$B$613,$C613))*IFERROR($BU613,1)),1),"")</f>
        <v>1</v>
      </c>
      <c r="AY613">
        <f t="shared" si="71"/>
        <v>16.7</v>
      </c>
      <c r="AZ613">
        <f t="shared" si="72"/>
        <v>1.67</v>
      </c>
      <c r="BB613" t="str">
        <f>IF($H613="","",IFERROR(INDEX(_ENGINE_Risk!$AE$5:$AE$499,MATCH($E613,_ENGINE_Risk!$A$5:$A$499,0)),"Medium"))</f>
        <v>Medium</v>
      </c>
      <c r="BC613">
        <f t="shared" si="73"/>
        <v>1</v>
      </c>
      <c r="BD613">
        <f t="shared" si="74"/>
        <v>1.67</v>
      </c>
      <c r="BF613">
        <f>IF(OR($H613="",$J613=""),"",IFERROR(VLOOKUP(ROUND($J613,0),_CONFIG_Model_Settings!$D$154:$E$158,2,0),""))</f>
        <v>0.5</v>
      </c>
      <c r="BG613">
        <f>IFERROR(IF(OR($H613="",$K613=""),"",ROUND('Company Profile'!$B$113*INDEX(_CONFIG_Model_Settings!$H$154:$H$158,MATCH(ROUND($K613,0),_CONFIG_Model_Settings!$G$154:$G$158,0)),0)),0)</f>
        <v>1875</v>
      </c>
      <c r="BH613">
        <f t="shared" si="75"/>
        <v>937.5</v>
      </c>
      <c r="BI613">
        <f t="shared" si="76"/>
        <v>937.5</v>
      </c>
      <c r="BJ613">
        <f>IF($E613="","",IFERROR(VLOOKUP($C613,_CONFIG_Risk_Calibration!$A$5:$H$21,2,FALSE),3))</f>
        <v>3</v>
      </c>
      <c r="BK613">
        <f>IF($E613="","",IFERROR(VLOOKUP($C613,_CONFIG_Risk_Calibration!$A$5:$H$21,3,FALSE),0))</f>
        <v>0</v>
      </c>
      <c r="BL613">
        <f>IF($E613="","",IFERROR(VLOOKUP($C613,_CONFIG_Risk_Calibration!$A$5:$H$21,4,FALSE),3))</f>
        <v>3</v>
      </c>
      <c r="BM613">
        <f>IF($E613="","",IFERROR(VLOOKUP($C613,_CONFIG_Risk_Calibration!$A$5:$H$21,5,FALSE),3))</f>
        <v>4</v>
      </c>
      <c r="BN613" t="str">
        <f>IF($E613="","",IFERROR(VLOOKUP($C613,_CONFIG_Risk_Calibration!$A$5:$H$21,6,FALSE),"No"))</f>
        <v>Yes</v>
      </c>
      <c r="BO613">
        <f>IF($E613="","",IFERROR(VLOOKUP($C613,_CONFIG_Risk_Calibration!$A$5:$H$21,7,FALSE),1))</f>
        <v>4</v>
      </c>
      <c r="BP613">
        <f>IF($H613="","",MAX(1,MIN(5,((6-$H613)*0.45)+($BJ613*0.2)+('Resilience &amp; Risk Scenario'!$B$7*0.15)+($BK613*0.1)+($BL613*0.05)+(IF($BB613="Fast",5,IF($BB613="Slow",1,3))*0.05))))</f>
        <v>3.6</v>
      </c>
      <c r="BQ613">
        <f t="shared" si="77"/>
        <v>4.6499999999999995</v>
      </c>
      <c r="BR613">
        <f t="shared" si="78"/>
        <v>16.739999999999998</v>
      </c>
      <c r="BS613">
        <f t="shared" si="79"/>
        <v>18.41</v>
      </c>
      <c r="BT613" t="str">
        <f>IFERROR(INDEX(_REF_Capability_Bridge!$D:$D,MATCH($C613&amp;"|"&amp;$D613,_REF_Capability_Bridge!$J:$J,0)),IFERROR(INDEX(_REF_Capability_Bridge!$D:$D,MATCH($C613&amp;"|",_REF_Capability_Bridge!$J:$J,0)),"CAP_GENERIC"))</f>
        <v>CAP_PAYMENT_CONTINUITY</v>
      </c>
      <c r="BU613">
        <f>IFERROR(IFERROR(INDEX(_ENGINE_Relevance!$L:$L,MATCH($BT613,_ENGINE_Relevance!$B:$B,0)),1),1)</f>
        <v>1</v>
      </c>
      <c r="BV613" t="str">
        <f>IFERROR(INDEX(_REF_Capability_Bridge!$A:$A,MATCH($C613&amp;"|"&amp;$D613,_REF_Capability_Bridge!$J:$J,0)),IFERROR(INDEX(_REF_Capability_Bridge!$A:$A,MATCH($C613&amp;"|",_REF_Capability_Bridge!$J:$J,0)),"No bridge"))</f>
        <v>BRG-033</v>
      </c>
      <c r="BW613" t="str">
        <f t="shared" si="80"/>
        <v>Capability relevance neutral</v>
      </c>
      <c r="BX613" t="str">
        <f t="shared" si="81"/>
        <v>Initial / absent</v>
      </c>
      <c r="BY613" t="str">
        <f>IF($E613="","",IFERROR(INDEX(_REF_Treatment_Library!$A$2:$A$296,MATCH(1,INDEX((_REF_Treatment_Library!$B$2:$B$296=$BT613)*(_REF_Treatment_Library!$C$2:$C$296=PV_Canonical_Industry)*(_REF_Treatment_Library!$E$2:$E$296&lt;=N($H613))*(_REF_Treatment_Library!$F$2:$F$296&gt;=N($H613))*(_REF_Treatment_Library!$O$2:$O$296="Yes"),0),0)),IFERROR(INDEX(_REF_Treatment_Library!$A$2:$A$296,MATCH(1,INDEX((_REF_Treatment_Library!$B$2:$B$296=$BT613)*(_REF_Treatment_Library!$C$2:$C$296="All")*(_REF_Treatment_Library!$E$2:$E$296&lt;=N($H613))*(_REF_Treatment_Library!$F$2:$F$296&gt;=N($H613))*(_REF_Treatment_Library!$O$2:$O$296="Yes"),0),0)),"")))</f>
        <v>TRT-PAYMENT_CONTINUITY-INITIAL</v>
      </c>
      <c r="BZ613" t="str">
        <f>IF($BY613="","",IFERROR(INDEX(_REF_Treatment_Library!$H$2:$H$296,MATCH($BY613,_REF_Treatment_Library!$A$2:$A$296,0)),""))</f>
        <v>Establish</v>
      </c>
      <c r="CA613" t="str">
        <f>IF($BY613="","",IFERROR(INDEX(_REF_Treatment_Library!$I$2:$I$296,MATCH($BY613,_REF_Treatment_Library!$A$2:$A$296,0)),""))</f>
        <v>Establish baseline controls for Payment continuity</v>
      </c>
      <c r="CB613" t="str">
        <f>IF($BY613="","",IFERROR(INDEX(_REF_Treatment_Library!$K$2:$K$296,MATCH($BY613,_REF_Treatment_Library!$A$2:$A$296,0)),""))</f>
        <v>Named owner, baseline process, minimum control checklist, first evidence package</v>
      </c>
      <c r="CC613" t="str">
        <f>IF($BY613="","",IFERROR(INDEX(_REF_Treatment_Library!$L$2:$L$296,MATCH($BY613,_REF_Treatment_Library!$A$2:$A$296,0)),""))</f>
        <v>Owner assigned; baseline evidence coverage; open critical gaps</v>
      </c>
      <c r="CD613" t="str">
        <f t="shared" si="82"/>
        <v>Treatment by capability=CAP_PAYMENT_CONTINUITY; band=Initial / absent; score=0.0; treatment=Establish</v>
      </c>
      <c r="CE613" t="str">
        <f>IF($E613="","",IFERROR(INDEX(_REF_Industry_Wording!$A$2:$A$70,MATCH(1,INDEX((_REF_Industry_Wording!$B$2:$B$70=$BT613)*(_REF_Industry_Wording!$C$2:$C$70=PV_Canonical_Industry)*(_REF_Industry_Wording!$K$2:$K$70="Yes"),0),0)),IFERROR(INDEX(_REF_Industry_Wording!$A$2:$A$70,MATCH(1,INDEX((_REF_Industry_Wording!$B$2:$B$70=$BT613)*(_REF_Industry_Wording!$C$2:$C$70="All")*(_REF_Industry_Wording!$K$2:$K$70="Yes"),0),0)),"")))</f>
        <v>IW-ALL-PAYMENT_CONTINUITY</v>
      </c>
      <c r="CF613" t="str">
        <f>IF($CE613="","",IFERROR(INDEX(_REF_Industry_Wording!$E$2:$E$70,MATCH($CE613,_REF_Industry_Wording!$A$2:$A$70,0)),""))</f>
        <v>Payment continuity weakness</v>
      </c>
      <c r="CG613" t="str">
        <f>IF($CE613="","",IFERROR(INDEX(_REF_Industry_Wording!$F$2:$F$70,MATCH($CE613,_REF_Industry_Wording!$A$2:$A$70,0)),""))</f>
        <v>Strengthen Payment continuity</v>
      </c>
      <c r="CH613" t="str">
        <f>IF($CE613="","",IFERROR(INDEX(_REF_Industry_Wording!$G$2:$G$70,MATCH($CE613,_REF_Industry_Wording!$A$2:$A$70,0)),""))</f>
        <v>Strengthen Payment continuity using the selected maturity treatment, crisis scenario and evidence requirements.</v>
      </c>
      <c r="CI613" t="str">
        <f>IF($CE613="","",IFERROR(INDEX(_REF_Industry_Wording!$H$2:$H$70,MATCH($CE613,_REF_Industry_Wording!$A$2:$A$70,0)),""))</f>
        <v>Payment continuity</v>
      </c>
      <c r="CJ613">
        <f>IF($CE613="","",IFERROR(INDEX(_REF_Industry_Wording!$I$2:$I$70,MATCH($CE613,_REF_Industry_Wording!$A$2:$A$70,0)),""))</f>
        <v>0</v>
      </c>
      <c r="CK613" t="str">
        <f>IF($CE613="","",IFERROR(INDEX(_REF_Industry_Wording!$J$2:$J$70,MATCH($CE613,_REF_Industry_Wording!$A$2:$A$70,0)),""))</f>
        <v>Payment continuity</v>
      </c>
      <c r="CL613" t="str">
        <f t="shared" si="83"/>
        <v>Wording by industry=0; capability=CAP_PAYMENT_CONTINUITY; risk label=Payment continuity weakness</v>
      </c>
      <c r="CM613" t="str">
        <f t="shared" si="84"/>
        <v>RISK-ONT-0114</v>
      </c>
      <c r="CN613" t="str">
        <f t="shared" si="85"/>
        <v>RISK-EVT-0114</v>
      </c>
      <c r="CO613" t="str">
        <f t="shared" si="86"/>
        <v>Finance Procurement|Working capital|FINA-022|CAP_PAYMENT_CONTINUITY</v>
      </c>
      <c r="CP613" t="str">
        <f t="shared" si="87"/>
        <v>Active</v>
      </c>
      <c r="CQ613" t="str">
        <f t="shared" si="88"/>
        <v>OK: capability-driven</v>
      </c>
      <c r="CR613" t="str">
        <f t="shared" si="89"/>
        <v>Risk ontology uses capability=CAP_PAYMENT_CONTINUITY; bridge=BRG-033; treatment=TRT-PAYMENT_CONTINUITY-INITIAL; wording=IW-ALL-PAYMENT_CONTINUITY</v>
      </c>
      <c r="CS613" t="str">
        <f t="shared" si="90"/>
        <v>Yes</v>
      </c>
    </row>
    <row r="614" spans="1:97" ht="69.900000000000006" customHeight="1">
      <c r="A614">
        <f>IF(OR($B614&lt;&gt;"Yes",$BS614=""),"",SUMPRODUCT(($B$500:$B$923="Yes")*ISNUMBER($BS$500:$BS$923)*($BS$500:$BS$923&gt;$BS614))+COUNTIFS($B$500:$B614,"Yes",$BS$500:$BS614,$BS614))</f>
        <v>241</v>
      </c>
      <c r="B614" t="str">
        <f t="shared" si="59"/>
        <v>Yes</v>
      </c>
      <c r="C614" t="s">
        <v>1401</v>
      </c>
      <c r="D614" t="s">
        <v>1426</v>
      </c>
      <c r="E614" t="s">
        <v>1514</v>
      </c>
      <c r="F614" t="s">
        <v>3683</v>
      </c>
      <c r="G614" t="str">
        <f>IF($H614="","",IFERROR(INDEX(_ENGINE_Risk!$H$5:$M$499,MATCH($E614,_ENGINE_Risk!$A$5:$A$499,0),$H614+1),""))</f>
        <v>Severe risk: tax compliance calendar and statutory reporting continuity is not reliably controlled. During Financial / liquidity shock; Supplier disruption; Fraud risk, the organization may face cash-flow stress, uncontrolled spend, supplier payment disruption and weak financial visibility with limited visibility or accountability.</v>
      </c>
      <c r="H614">
        <f>IFERROR(VALUE(INDEX(_DATA_Assessment_Model!$H$5:$H$884,MATCH($E614,_DATA_Assessment_Model!$A$5:$A$884,0))),"")</f>
        <v>0</v>
      </c>
      <c r="I614" t="str">
        <f>IF($H614="","",IFERROR(INDEX(_DATA_Assessment_Model!$L$5:$L$884,MATCH($E614,_DATA_Assessment_Model!$A$5:$A$884,0)),IF($H614&lt;=1,"Critical",IF($H614=2,"High",IF($H614=3,"Medium",IF($H614=4,"Low","Resilient"))))))</f>
        <v>Critical</v>
      </c>
      <c r="J614">
        <f t="shared" si="60"/>
        <v>3.6</v>
      </c>
      <c r="K614">
        <f t="shared" si="61"/>
        <v>4.5</v>
      </c>
      <c r="L614">
        <f t="shared" si="62"/>
        <v>16.2</v>
      </c>
      <c r="M614">
        <f t="shared" si="63"/>
        <v>4</v>
      </c>
      <c r="N614">
        <f>IF($H614="","",IFERROR(INDEX(_ENGINE_Risk!$T$5:$Y$499,MATCH($E614,_ENGINE_Risk!$A$5:$A$499,0),$H614+1),""))</f>
        <v>3</v>
      </c>
      <c r="O614">
        <f t="shared" si="64"/>
        <v>4.666666666666667</v>
      </c>
      <c r="P614">
        <f t="shared" si="65"/>
        <v>5</v>
      </c>
      <c r="Q614">
        <f t="shared" si="66"/>
        <v>5</v>
      </c>
      <c r="R614">
        <f t="shared" si="67"/>
        <v>4.5</v>
      </c>
      <c r="S614">
        <f t="shared" si="68"/>
        <v>1.6</v>
      </c>
      <c r="T614" t="str">
        <f>IF($H614="","",IFERROR(INDEX(_ENGINE_Risk!$N$5:$S$499,MATCH($E614,_ENGINE_Risk!$A$5:$A$499,0),$H614+1),""))</f>
        <v>Create an immediate risk owner, minimum control baseline and fallback procedure for tax compliance calendar and statutory reporting continuity. Add it to the crisis risk register and collect first evidence.</v>
      </c>
      <c r="U614">
        <f>IFERROR(INDEX(_DATA_Assessment_Model!$G$5:$G$884,MATCH($E614,_DATA_Assessment_Model!$A$5:$A$884,0)),"")</f>
        <v>5</v>
      </c>
      <c r="V614">
        <f>IFERROR(INDEX(_DATA_Assessment_Model!$W$5:$W$884,MATCH($E614,_DATA_Assessment_Model!$A$5:$A$884,0)),"")</f>
        <v>4</v>
      </c>
      <c r="W614">
        <f>IFERROR(INDEX(_DATA_Assessment_Model!$X$5:$X$884,MATCH($E614,_DATA_Assessment_Model!$A$5:$A$884,0)),"")</f>
        <v>5</v>
      </c>
      <c r="X614">
        <f>IFERROR(INDEX(_DATA_Assessment_Model!$Y$5:$Y$884,MATCH($E614,_DATA_Assessment_Model!$A$5:$A$884,0)),"")</f>
        <v>5</v>
      </c>
      <c r="Y614" t="s">
        <v>1408</v>
      </c>
      <c r="Z614" t="s">
        <v>5918</v>
      </c>
      <c r="AA614" t="s">
        <v>1516</v>
      </c>
      <c r="AB614">
        <f>IFERROR(INDEX(_DATA_Assessment_Model!$U$5:$U$884,MATCH($E614,_DATA_Assessment_Model!$A$5:$A$884,0)),"")</f>
        <v>0</v>
      </c>
      <c r="AF614" t="s">
        <v>1515</v>
      </c>
      <c r="AO614">
        <f>IF($B614="Yes",IF(IFERROR(INDEX(_ENGINE_Crisis!$F$501:$F$517,MATCH($C614,_ENGINE_Crisis!$A$501:$A$517,0)),1)=0,1,IFERROR(INDEX(_ENGINE_Crisis!$F$501:$F$517,MATCH($C614,_ENGINE_Crisis!$A$501:$A$517,0)),1)),"")</f>
        <v>1</v>
      </c>
      <c r="AP614">
        <f t="shared" si="69"/>
        <v>16.2</v>
      </c>
      <c r="AQ614">
        <f t="shared" si="70"/>
        <v>1.6</v>
      </c>
      <c r="AR614" t="str">
        <f>IFERROR(INDEX(_ENGINE_Crisis!$E$41:$E$700,MATCH('Resilience &amp; Risk Scenario'!$B$6&amp;"|"&amp;$C614,_ENGINE_Crisis!$I$41:$I$700,0)),"")</f>
        <v/>
      </c>
      <c r="AS614" t="str">
        <f>IFERROR(INDEX(_ENGINE_Crisis!$G$41:$G$700,MATCH('Resilience &amp; Risk Scenario'!$B$6&amp;"|"&amp;$C614,_ENGINE_Crisis!$I$41:$I$700,0)),"")</f>
        <v/>
      </c>
      <c r="AT614" t="str">
        <f>IFERROR(INDEX(_ENGINE_Initiatives!$A$5:$A$532,MATCH(1,INDEX((_ENGINE_Initiatives!$B$5:$B$532=$C614)*(_ENGINE_Initiatives!$C$5:$C$532=$D614),0),0)),"")</f>
        <v>INI-018</v>
      </c>
      <c r="AU614" t="str">
        <f>IFERROR(INDEX(_ENGINE_Initiatives!$F$5:$F$532,MATCH(1,INDEX((_ENGINE_Initiatives!$B$5:$B$532=$C614)*(_ENGINE_Initiatives!$C$5:$C$532=$D614),0),0)),"")</f>
        <v>Optimize working capital and liquidity early-warning controls</v>
      </c>
      <c r="AV614">
        <f>IFERROR(INDEX(_ENGINE_Initiatives!$AC$5:$AC$532,MATCH(1,INDEX((_ENGINE_Initiatives!$B$5:$B$532=$C614)*(_ENGINE_Initiatives!$C$5:$C$532=$D614),0),0)),"")</f>
        <v>1.75</v>
      </c>
      <c r="AW614" t="str">
        <f>IFERROR(INDEX(_ENGINE_Initiatives!$AE$5:$AE$532,MATCH(1,INDEX((_ENGINE_Initiatives!$B$5:$B$532=$C614)*(_ENGINE_Initiatives!$C$5:$C$532=$D614),0),0)),"")</f>
        <v>6-12 months</v>
      </c>
      <c r="AX614">
        <f>IF($B614="Yes",IFERROR((IF(SUMIFS(_REF_Model_Content!$E$1:$E$613,_REF_Model_Content!$A$1:$A$613,PV_Canonical_Industry,_REF_Model_Content!$B$1:$B$613,$C614)=0,1,SUMIFS(_REF_Model_Content!$E$1:$E$613,_REF_Model_Content!$A$1:$A$613,PV_Canonical_Industry,_REF_Model_Content!$B$1:$B$613,$C614))*IFERROR($BU614,1)),1),"")</f>
        <v>1</v>
      </c>
      <c r="AY614">
        <f t="shared" si="71"/>
        <v>16.2</v>
      </c>
      <c r="AZ614">
        <f t="shared" si="72"/>
        <v>1.6</v>
      </c>
      <c r="BB614" t="str">
        <f>IF($H614="","",IFERROR(INDEX(_ENGINE_Risk!$AE$5:$AE$499,MATCH($E614,_ENGINE_Risk!$A$5:$A$499,0)),"Medium"))</f>
        <v>Medium</v>
      </c>
      <c r="BC614">
        <f t="shared" si="73"/>
        <v>1</v>
      </c>
      <c r="BD614">
        <f t="shared" si="74"/>
        <v>1.6</v>
      </c>
      <c r="BF614">
        <f>IF(OR($H614="",$J614=""),"",IFERROR(VLOOKUP(ROUND($J614,0),_CONFIG_Model_Settings!$D$154:$E$158,2,0),""))</f>
        <v>0.5</v>
      </c>
      <c r="BG614">
        <f>IFERROR(IF(OR($H614="",$K614=""),"",ROUND('Company Profile'!$B$113*INDEX(_CONFIG_Model_Settings!$H$154:$H$158,MATCH(ROUND($K614,0),_CONFIG_Model_Settings!$G$154:$G$158,0)),0)),0)</f>
        <v>1875</v>
      </c>
      <c r="BH614">
        <f t="shared" si="75"/>
        <v>937.5</v>
      </c>
      <c r="BI614">
        <f t="shared" si="76"/>
        <v>937.5</v>
      </c>
      <c r="BJ614">
        <f>IF($E614="","",IFERROR(VLOOKUP($C614,_CONFIG_Risk_Calibration!$A$5:$H$21,2,FALSE),3))</f>
        <v>3</v>
      </c>
      <c r="BK614">
        <f>IF($E614="","",IFERROR(VLOOKUP($C614,_CONFIG_Risk_Calibration!$A$5:$H$21,3,FALSE),0))</f>
        <v>0</v>
      </c>
      <c r="BL614">
        <f>IF($E614="","",IFERROR(VLOOKUP($C614,_CONFIG_Risk_Calibration!$A$5:$H$21,4,FALSE),3))</f>
        <v>3</v>
      </c>
      <c r="BM614">
        <f>IF($E614="","",IFERROR(VLOOKUP($C614,_CONFIG_Risk_Calibration!$A$5:$H$21,5,FALSE),3))</f>
        <v>4</v>
      </c>
      <c r="BN614" t="str">
        <f>IF($E614="","",IFERROR(VLOOKUP($C614,_CONFIG_Risk_Calibration!$A$5:$H$21,6,FALSE),"No"))</f>
        <v>Yes</v>
      </c>
      <c r="BO614">
        <f>IF($E614="","",IFERROR(VLOOKUP($C614,_CONFIG_Risk_Calibration!$A$5:$H$21,7,FALSE),1))</f>
        <v>4</v>
      </c>
      <c r="BP614">
        <f>IF($H614="","",MAX(1,MIN(5,((6-$H614)*0.45)+($BJ614*0.2)+('Resilience &amp; Risk Scenario'!$B$7*0.15)+($BK614*0.1)+($BL614*0.05)+(IF($BB614="Fast",5,IF($BB614="Slow",1,3))*0.05))))</f>
        <v>3.6</v>
      </c>
      <c r="BQ614">
        <f t="shared" si="77"/>
        <v>4.5</v>
      </c>
      <c r="BR614">
        <f t="shared" si="78"/>
        <v>16.2</v>
      </c>
      <c r="BS614">
        <f t="shared" si="79"/>
        <v>17.82</v>
      </c>
      <c r="BT614" t="str">
        <f>IFERROR(INDEX(_REF_Capability_Bridge!$D:$D,MATCH($C614&amp;"|"&amp;$D614,_REF_Capability_Bridge!$J:$J,0)),IFERROR(INDEX(_REF_Capability_Bridge!$D:$D,MATCH($C614&amp;"|",_REF_Capability_Bridge!$J:$J,0)),"CAP_GENERIC"))</f>
        <v>CAP_PAYMENT_CONTINUITY</v>
      </c>
      <c r="BU614">
        <f>IFERROR(IFERROR(INDEX(_ENGINE_Relevance!$L:$L,MATCH($BT614,_ENGINE_Relevance!$B:$B,0)),1),1)</f>
        <v>1</v>
      </c>
      <c r="BV614" t="str">
        <f>IFERROR(INDEX(_REF_Capability_Bridge!$A:$A,MATCH($C614&amp;"|"&amp;$D614,_REF_Capability_Bridge!$J:$J,0)),IFERROR(INDEX(_REF_Capability_Bridge!$A:$A,MATCH($C614&amp;"|",_REF_Capability_Bridge!$J:$J,0)),"No bridge"))</f>
        <v>BRG-033</v>
      </c>
      <c r="BW614" t="str">
        <f t="shared" si="80"/>
        <v>Capability relevance neutral</v>
      </c>
      <c r="BX614" t="str">
        <f t="shared" si="81"/>
        <v>Initial / absent</v>
      </c>
      <c r="BY614" t="str">
        <f>IF($E614="","",IFERROR(INDEX(_REF_Treatment_Library!$A$2:$A$296,MATCH(1,INDEX((_REF_Treatment_Library!$B$2:$B$296=$BT614)*(_REF_Treatment_Library!$C$2:$C$296=PV_Canonical_Industry)*(_REF_Treatment_Library!$E$2:$E$296&lt;=N($H614))*(_REF_Treatment_Library!$F$2:$F$296&gt;=N($H614))*(_REF_Treatment_Library!$O$2:$O$296="Yes"),0),0)),IFERROR(INDEX(_REF_Treatment_Library!$A$2:$A$296,MATCH(1,INDEX((_REF_Treatment_Library!$B$2:$B$296=$BT614)*(_REF_Treatment_Library!$C$2:$C$296="All")*(_REF_Treatment_Library!$E$2:$E$296&lt;=N($H614))*(_REF_Treatment_Library!$F$2:$F$296&gt;=N($H614))*(_REF_Treatment_Library!$O$2:$O$296="Yes"),0),0)),"")))</f>
        <v>TRT-PAYMENT_CONTINUITY-INITIAL</v>
      </c>
      <c r="BZ614" t="str">
        <f>IF($BY614="","",IFERROR(INDEX(_REF_Treatment_Library!$H$2:$H$296,MATCH($BY614,_REF_Treatment_Library!$A$2:$A$296,0)),""))</f>
        <v>Establish</v>
      </c>
      <c r="CA614" t="str">
        <f>IF($BY614="","",IFERROR(INDEX(_REF_Treatment_Library!$I$2:$I$296,MATCH($BY614,_REF_Treatment_Library!$A$2:$A$296,0)),""))</f>
        <v>Establish baseline controls for Payment continuity</v>
      </c>
      <c r="CB614" t="str">
        <f>IF($BY614="","",IFERROR(INDEX(_REF_Treatment_Library!$K$2:$K$296,MATCH($BY614,_REF_Treatment_Library!$A$2:$A$296,0)),""))</f>
        <v>Named owner, baseline process, minimum control checklist, first evidence package</v>
      </c>
      <c r="CC614" t="str">
        <f>IF($BY614="","",IFERROR(INDEX(_REF_Treatment_Library!$L$2:$L$296,MATCH($BY614,_REF_Treatment_Library!$A$2:$A$296,0)),""))</f>
        <v>Owner assigned; baseline evidence coverage; open critical gaps</v>
      </c>
      <c r="CD614" t="str">
        <f t="shared" si="82"/>
        <v>Treatment by capability=CAP_PAYMENT_CONTINUITY; band=Initial / absent; score=0.0; treatment=Establish</v>
      </c>
      <c r="CE614" t="str">
        <f>IF($E614="","",IFERROR(INDEX(_REF_Industry_Wording!$A$2:$A$70,MATCH(1,INDEX((_REF_Industry_Wording!$B$2:$B$70=$BT614)*(_REF_Industry_Wording!$C$2:$C$70=PV_Canonical_Industry)*(_REF_Industry_Wording!$K$2:$K$70="Yes"),0),0)),IFERROR(INDEX(_REF_Industry_Wording!$A$2:$A$70,MATCH(1,INDEX((_REF_Industry_Wording!$B$2:$B$70=$BT614)*(_REF_Industry_Wording!$C$2:$C$70="All")*(_REF_Industry_Wording!$K$2:$K$70="Yes"),0),0)),"")))</f>
        <v>IW-ALL-PAYMENT_CONTINUITY</v>
      </c>
      <c r="CF614" t="str">
        <f>IF($CE614="","",IFERROR(INDEX(_REF_Industry_Wording!$E$2:$E$70,MATCH($CE614,_REF_Industry_Wording!$A$2:$A$70,0)),""))</f>
        <v>Payment continuity weakness</v>
      </c>
      <c r="CG614" t="str">
        <f>IF($CE614="","",IFERROR(INDEX(_REF_Industry_Wording!$F$2:$F$70,MATCH($CE614,_REF_Industry_Wording!$A$2:$A$70,0)),""))</f>
        <v>Strengthen Payment continuity</v>
      </c>
      <c r="CH614" t="str">
        <f>IF($CE614="","",IFERROR(INDEX(_REF_Industry_Wording!$G$2:$G$70,MATCH($CE614,_REF_Industry_Wording!$A$2:$A$70,0)),""))</f>
        <v>Strengthen Payment continuity using the selected maturity treatment, crisis scenario and evidence requirements.</v>
      </c>
      <c r="CI614" t="str">
        <f>IF($CE614="","",IFERROR(INDEX(_REF_Industry_Wording!$H$2:$H$70,MATCH($CE614,_REF_Industry_Wording!$A$2:$A$70,0)),""))</f>
        <v>Payment continuity</v>
      </c>
      <c r="CJ614">
        <f>IF($CE614="","",IFERROR(INDEX(_REF_Industry_Wording!$I$2:$I$70,MATCH($CE614,_REF_Industry_Wording!$A$2:$A$70,0)),""))</f>
        <v>0</v>
      </c>
      <c r="CK614" t="str">
        <f>IF($CE614="","",IFERROR(INDEX(_REF_Industry_Wording!$J$2:$J$70,MATCH($CE614,_REF_Industry_Wording!$A$2:$A$70,0)),""))</f>
        <v>Payment continuity</v>
      </c>
      <c r="CL614" t="str">
        <f t="shared" si="83"/>
        <v>Wording by industry=0; capability=CAP_PAYMENT_CONTINUITY; risk label=Payment continuity weakness</v>
      </c>
      <c r="CM614" t="str">
        <f t="shared" si="84"/>
        <v>RISK-ONT-0115</v>
      </c>
      <c r="CN614" t="str">
        <f t="shared" si="85"/>
        <v>RISK-EVT-0115</v>
      </c>
      <c r="CO614" t="str">
        <f t="shared" si="86"/>
        <v>Finance Procurement|Working capital|FINA-023|CAP_PAYMENT_CONTINUITY</v>
      </c>
      <c r="CP614" t="str">
        <f t="shared" si="87"/>
        <v>Active</v>
      </c>
      <c r="CQ614" t="str">
        <f t="shared" si="88"/>
        <v>OK: capability-driven</v>
      </c>
      <c r="CR614" t="str">
        <f t="shared" si="89"/>
        <v>Risk ontology uses capability=CAP_PAYMENT_CONTINUITY; bridge=BRG-033; treatment=TRT-PAYMENT_CONTINUITY-INITIAL; wording=IW-ALL-PAYMENT_CONTINUITY</v>
      </c>
      <c r="CS614" t="str">
        <f t="shared" si="90"/>
        <v>Yes</v>
      </c>
    </row>
    <row r="615" spans="1:97" ht="69.900000000000006" customHeight="1">
      <c r="A615">
        <f>IF(OR($B615&lt;&gt;"Yes",$BS615=""),"",SUMPRODUCT(($B$500:$B$923="Yes")*ISNUMBER($BS$500:$BS$923)*($BS$500:$BS$923&gt;$BS615))+COUNTIFS($B$500:$B615,"Yes",$BS$500:$BS615,$BS615))</f>
        <v>242</v>
      </c>
      <c r="B615" t="str">
        <f t="shared" si="59"/>
        <v>Yes</v>
      </c>
      <c r="C615" t="s">
        <v>1401</v>
      </c>
      <c r="D615" t="s">
        <v>1426</v>
      </c>
      <c r="E615" t="s">
        <v>1517</v>
      </c>
      <c r="F615" t="s">
        <v>3683</v>
      </c>
      <c r="G615" t="str">
        <f>IF($H615="","",IFERROR(INDEX(_ENGINE_Risk!$H$5:$M$499,MATCH($E615,_ENGINE_Risk!$A$5:$A$499,0),$H615+1),""))</f>
        <v>Severe risk: business interruption insurance fit against realistic recovery scenarios is not reliably controlled. During Financial / liquidity shock; Supplier disruption; Fraud risk, the organization may face cash-flow stress, uncontrolled spend, supplier payment disruption and weak financial visibility with limited visibility or accountability.</v>
      </c>
      <c r="H615">
        <f>IFERROR(VALUE(INDEX(_DATA_Assessment_Model!$H$5:$H$884,MATCH($E615,_DATA_Assessment_Model!$A$5:$A$884,0))),"")</f>
        <v>0</v>
      </c>
      <c r="I615" t="str">
        <f>IF($H615="","",IFERROR(INDEX(_DATA_Assessment_Model!$L$5:$L$884,MATCH($E615,_DATA_Assessment_Model!$A$5:$A$884,0)),IF($H615&lt;=1,"Critical",IF($H615=2,"High",IF($H615=3,"Medium",IF($H615=4,"Low","Resilient"))))))</f>
        <v>Critical</v>
      </c>
      <c r="J615">
        <f t="shared" si="60"/>
        <v>3.6</v>
      </c>
      <c r="K615">
        <f t="shared" si="61"/>
        <v>4.5</v>
      </c>
      <c r="L615">
        <f t="shared" si="62"/>
        <v>16.2</v>
      </c>
      <c r="M615">
        <f t="shared" si="63"/>
        <v>4</v>
      </c>
      <c r="N615">
        <f>IF($H615="","",IFERROR(INDEX(_ENGINE_Risk!$T$5:$Y$499,MATCH($E615,_ENGINE_Risk!$A$5:$A$499,0),$H615+1),""))</f>
        <v>3</v>
      </c>
      <c r="O615">
        <f t="shared" si="64"/>
        <v>4.666666666666667</v>
      </c>
      <c r="P615">
        <f t="shared" si="65"/>
        <v>5</v>
      </c>
      <c r="Q615">
        <f t="shared" si="66"/>
        <v>5</v>
      </c>
      <c r="R615">
        <f t="shared" si="67"/>
        <v>4.5</v>
      </c>
      <c r="S615">
        <f t="shared" si="68"/>
        <v>1.6</v>
      </c>
      <c r="T615" t="str">
        <f>IF($H615="","",IFERROR(INDEX(_ENGINE_Risk!$N$5:$S$499,MATCH($E615,_ENGINE_Risk!$A$5:$A$499,0),$H615+1),""))</f>
        <v>Create an immediate risk owner, minimum control baseline and fallback procedure for business interruption insurance fit against realistic recovery scenarios. Add it to the crisis risk register and collect first evidence.</v>
      </c>
      <c r="U615">
        <f>IFERROR(INDEX(_DATA_Assessment_Model!$G$5:$G$884,MATCH($E615,_DATA_Assessment_Model!$A$5:$A$884,0)),"")</f>
        <v>5</v>
      </c>
      <c r="V615">
        <f>IFERROR(INDEX(_DATA_Assessment_Model!$W$5:$W$884,MATCH($E615,_DATA_Assessment_Model!$A$5:$A$884,0)),"")</f>
        <v>4</v>
      </c>
      <c r="W615">
        <f>IFERROR(INDEX(_DATA_Assessment_Model!$X$5:$X$884,MATCH($E615,_DATA_Assessment_Model!$A$5:$A$884,0)),"")</f>
        <v>5</v>
      </c>
      <c r="X615">
        <f>IFERROR(INDEX(_DATA_Assessment_Model!$Y$5:$Y$884,MATCH($E615,_DATA_Assessment_Model!$A$5:$A$884,0)),"")</f>
        <v>5</v>
      </c>
      <c r="Y615" t="s">
        <v>1408</v>
      </c>
      <c r="Z615" t="s">
        <v>5918</v>
      </c>
      <c r="AA615" t="s">
        <v>1519</v>
      </c>
      <c r="AB615">
        <f>IFERROR(INDEX(_DATA_Assessment_Model!$U$5:$U$884,MATCH($E615,_DATA_Assessment_Model!$A$5:$A$884,0)),"")</f>
        <v>0</v>
      </c>
      <c r="AF615" t="s">
        <v>1518</v>
      </c>
      <c r="AO615">
        <f>IF($B615="Yes",IF(IFERROR(INDEX(_ENGINE_Crisis!$F$501:$F$517,MATCH($C615,_ENGINE_Crisis!$A$501:$A$517,0)),1)=0,1,IFERROR(INDEX(_ENGINE_Crisis!$F$501:$F$517,MATCH($C615,_ENGINE_Crisis!$A$501:$A$517,0)),1)),"")</f>
        <v>1</v>
      </c>
      <c r="AP615">
        <f t="shared" si="69"/>
        <v>16.2</v>
      </c>
      <c r="AQ615">
        <f t="shared" si="70"/>
        <v>1.6</v>
      </c>
      <c r="AR615" t="str">
        <f>IFERROR(INDEX(_ENGINE_Crisis!$E$41:$E$700,MATCH('Resilience &amp; Risk Scenario'!$B$6&amp;"|"&amp;$C615,_ENGINE_Crisis!$I$41:$I$700,0)),"")</f>
        <v/>
      </c>
      <c r="AS615" t="str">
        <f>IFERROR(INDEX(_ENGINE_Crisis!$G$41:$G$700,MATCH('Resilience &amp; Risk Scenario'!$B$6&amp;"|"&amp;$C615,_ENGINE_Crisis!$I$41:$I$700,0)),"")</f>
        <v/>
      </c>
      <c r="AT615" t="str">
        <f>IFERROR(INDEX(_ENGINE_Initiatives!$A$5:$A$532,MATCH(1,INDEX((_ENGINE_Initiatives!$B$5:$B$532=$C615)*(_ENGINE_Initiatives!$C$5:$C$532=$D615),0),0)),"")</f>
        <v>INI-018</v>
      </c>
      <c r="AU615" t="str">
        <f>IFERROR(INDEX(_ENGINE_Initiatives!$F$5:$F$532,MATCH(1,INDEX((_ENGINE_Initiatives!$B$5:$B$532=$C615)*(_ENGINE_Initiatives!$C$5:$C$532=$D615),0),0)),"")</f>
        <v>Optimize working capital and liquidity early-warning controls</v>
      </c>
      <c r="AV615">
        <f>IFERROR(INDEX(_ENGINE_Initiatives!$AC$5:$AC$532,MATCH(1,INDEX((_ENGINE_Initiatives!$B$5:$B$532=$C615)*(_ENGINE_Initiatives!$C$5:$C$532=$D615),0),0)),"")</f>
        <v>1.75</v>
      </c>
      <c r="AW615" t="str">
        <f>IFERROR(INDEX(_ENGINE_Initiatives!$AE$5:$AE$532,MATCH(1,INDEX((_ENGINE_Initiatives!$B$5:$B$532=$C615)*(_ENGINE_Initiatives!$C$5:$C$532=$D615),0),0)),"")</f>
        <v>6-12 months</v>
      </c>
      <c r="AX615">
        <f>IF($B615="Yes",IFERROR((IF(SUMIFS(_REF_Model_Content!$E$1:$E$613,_REF_Model_Content!$A$1:$A$613,PV_Canonical_Industry,_REF_Model_Content!$B$1:$B$613,$C615)=0,1,SUMIFS(_REF_Model_Content!$E$1:$E$613,_REF_Model_Content!$A$1:$A$613,PV_Canonical_Industry,_REF_Model_Content!$B$1:$B$613,$C615))*IFERROR($BU615,1)),1),"")</f>
        <v>1</v>
      </c>
      <c r="AY615">
        <f t="shared" si="71"/>
        <v>16.2</v>
      </c>
      <c r="AZ615">
        <f t="shared" si="72"/>
        <v>1.6</v>
      </c>
      <c r="BB615" t="str">
        <f>IF($H615="","",IFERROR(INDEX(_ENGINE_Risk!$AE$5:$AE$499,MATCH($E615,_ENGINE_Risk!$A$5:$A$499,0)),"Medium"))</f>
        <v>Medium</v>
      </c>
      <c r="BC615">
        <f t="shared" si="73"/>
        <v>1</v>
      </c>
      <c r="BD615">
        <f t="shared" si="74"/>
        <v>1.6</v>
      </c>
      <c r="BF615">
        <f>IF(OR($H615="",$J615=""),"",IFERROR(VLOOKUP(ROUND($J615,0),_CONFIG_Model_Settings!$D$154:$E$158,2,0),""))</f>
        <v>0.5</v>
      </c>
      <c r="BG615">
        <f>IFERROR(IF(OR($H615="",$K615=""),"",ROUND('Company Profile'!$B$113*INDEX(_CONFIG_Model_Settings!$H$154:$H$158,MATCH(ROUND($K615,0),_CONFIG_Model_Settings!$G$154:$G$158,0)),0)),0)</f>
        <v>1875</v>
      </c>
      <c r="BH615">
        <f t="shared" si="75"/>
        <v>937.5</v>
      </c>
      <c r="BI615">
        <f t="shared" si="76"/>
        <v>937.5</v>
      </c>
      <c r="BJ615">
        <f>IF($E615="","",IFERROR(VLOOKUP($C615,_CONFIG_Risk_Calibration!$A$5:$H$21,2,FALSE),3))</f>
        <v>3</v>
      </c>
      <c r="BK615">
        <f>IF($E615="","",IFERROR(VLOOKUP($C615,_CONFIG_Risk_Calibration!$A$5:$H$21,3,FALSE),0))</f>
        <v>0</v>
      </c>
      <c r="BL615">
        <f>IF($E615="","",IFERROR(VLOOKUP($C615,_CONFIG_Risk_Calibration!$A$5:$H$21,4,FALSE),3))</f>
        <v>3</v>
      </c>
      <c r="BM615">
        <f>IF($E615="","",IFERROR(VLOOKUP($C615,_CONFIG_Risk_Calibration!$A$5:$H$21,5,FALSE),3))</f>
        <v>4</v>
      </c>
      <c r="BN615" t="str">
        <f>IF($E615="","",IFERROR(VLOOKUP($C615,_CONFIG_Risk_Calibration!$A$5:$H$21,6,FALSE),"No"))</f>
        <v>Yes</v>
      </c>
      <c r="BO615">
        <f>IF($E615="","",IFERROR(VLOOKUP($C615,_CONFIG_Risk_Calibration!$A$5:$H$21,7,FALSE),1))</f>
        <v>4</v>
      </c>
      <c r="BP615">
        <f>IF($H615="","",MAX(1,MIN(5,((6-$H615)*0.45)+($BJ615*0.2)+('Resilience &amp; Risk Scenario'!$B$7*0.15)+($BK615*0.1)+($BL615*0.05)+(IF($BB615="Fast",5,IF($BB615="Slow",1,3))*0.05))))</f>
        <v>3.6</v>
      </c>
      <c r="BQ615">
        <f t="shared" si="77"/>
        <v>4.5</v>
      </c>
      <c r="BR615">
        <f t="shared" si="78"/>
        <v>16.2</v>
      </c>
      <c r="BS615">
        <f t="shared" si="79"/>
        <v>17.82</v>
      </c>
      <c r="BT615" t="str">
        <f>IFERROR(INDEX(_REF_Capability_Bridge!$D:$D,MATCH($C615&amp;"|"&amp;$D615,_REF_Capability_Bridge!$J:$J,0)),IFERROR(INDEX(_REF_Capability_Bridge!$D:$D,MATCH($C615&amp;"|",_REF_Capability_Bridge!$J:$J,0)),"CAP_GENERIC"))</f>
        <v>CAP_PAYMENT_CONTINUITY</v>
      </c>
      <c r="BU615">
        <f>IFERROR(IFERROR(INDEX(_ENGINE_Relevance!$L:$L,MATCH($BT615,_ENGINE_Relevance!$B:$B,0)),1),1)</f>
        <v>1</v>
      </c>
      <c r="BV615" t="str">
        <f>IFERROR(INDEX(_REF_Capability_Bridge!$A:$A,MATCH($C615&amp;"|"&amp;$D615,_REF_Capability_Bridge!$J:$J,0)),IFERROR(INDEX(_REF_Capability_Bridge!$A:$A,MATCH($C615&amp;"|",_REF_Capability_Bridge!$J:$J,0)),"No bridge"))</f>
        <v>BRG-033</v>
      </c>
      <c r="BW615" t="str">
        <f t="shared" si="80"/>
        <v>Capability relevance neutral</v>
      </c>
      <c r="BX615" t="str">
        <f t="shared" si="81"/>
        <v>Initial / absent</v>
      </c>
      <c r="BY615" t="str">
        <f>IF($E615="","",IFERROR(INDEX(_REF_Treatment_Library!$A$2:$A$296,MATCH(1,INDEX((_REF_Treatment_Library!$B$2:$B$296=$BT615)*(_REF_Treatment_Library!$C$2:$C$296=PV_Canonical_Industry)*(_REF_Treatment_Library!$E$2:$E$296&lt;=N($H615))*(_REF_Treatment_Library!$F$2:$F$296&gt;=N($H615))*(_REF_Treatment_Library!$O$2:$O$296="Yes"),0),0)),IFERROR(INDEX(_REF_Treatment_Library!$A$2:$A$296,MATCH(1,INDEX((_REF_Treatment_Library!$B$2:$B$296=$BT615)*(_REF_Treatment_Library!$C$2:$C$296="All")*(_REF_Treatment_Library!$E$2:$E$296&lt;=N($H615))*(_REF_Treatment_Library!$F$2:$F$296&gt;=N($H615))*(_REF_Treatment_Library!$O$2:$O$296="Yes"),0),0)),"")))</f>
        <v>TRT-PAYMENT_CONTINUITY-INITIAL</v>
      </c>
      <c r="BZ615" t="str">
        <f>IF($BY615="","",IFERROR(INDEX(_REF_Treatment_Library!$H$2:$H$296,MATCH($BY615,_REF_Treatment_Library!$A$2:$A$296,0)),""))</f>
        <v>Establish</v>
      </c>
      <c r="CA615" t="str">
        <f>IF($BY615="","",IFERROR(INDEX(_REF_Treatment_Library!$I$2:$I$296,MATCH($BY615,_REF_Treatment_Library!$A$2:$A$296,0)),""))</f>
        <v>Establish baseline controls for Payment continuity</v>
      </c>
      <c r="CB615" t="str">
        <f>IF($BY615="","",IFERROR(INDEX(_REF_Treatment_Library!$K$2:$K$296,MATCH($BY615,_REF_Treatment_Library!$A$2:$A$296,0)),""))</f>
        <v>Named owner, baseline process, minimum control checklist, first evidence package</v>
      </c>
      <c r="CC615" t="str">
        <f>IF($BY615="","",IFERROR(INDEX(_REF_Treatment_Library!$L$2:$L$296,MATCH($BY615,_REF_Treatment_Library!$A$2:$A$296,0)),""))</f>
        <v>Owner assigned; baseline evidence coverage; open critical gaps</v>
      </c>
      <c r="CD615" t="str">
        <f t="shared" si="82"/>
        <v>Treatment by capability=CAP_PAYMENT_CONTINUITY; band=Initial / absent; score=0.0; treatment=Establish</v>
      </c>
      <c r="CE615" t="str">
        <f>IF($E615="","",IFERROR(INDEX(_REF_Industry_Wording!$A$2:$A$70,MATCH(1,INDEX((_REF_Industry_Wording!$B$2:$B$70=$BT615)*(_REF_Industry_Wording!$C$2:$C$70=PV_Canonical_Industry)*(_REF_Industry_Wording!$K$2:$K$70="Yes"),0),0)),IFERROR(INDEX(_REF_Industry_Wording!$A$2:$A$70,MATCH(1,INDEX((_REF_Industry_Wording!$B$2:$B$70=$BT615)*(_REF_Industry_Wording!$C$2:$C$70="All")*(_REF_Industry_Wording!$K$2:$K$70="Yes"),0),0)),"")))</f>
        <v>IW-ALL-PAYMENT_CONTINUITY</v>
      </c>
      <c r="CF615" t="str">
        <f>IF($CE615="","",IFERROR(INDEX(_REF_Industry_Wording!$E$2:$E$70,MATCH($CE615,_REF_Industry_Wording!$A$2:$A$70,0)),""))</f>
        <v>Payment continuity weakness</v>
      </c>
      <c r="CG615" t="str">
        <f>IF($CE615="","",IFERROR(INDEX(_REF_Industry_Wording!$F$2:$F$70,MATCH($CE615,_REF_Industry_Wording!$A$2:$A$70,0)),""))</f>
        <v>Strengthen Payment continuity</v>
      </c>
      <c r="CH615" t="str">
        <f>IF($CE615="","",IFERROR(INDEX(_REF_Industry_Wording!$G$2:$G$70,MATCH($CE615,_REF_Industry_Wording!$A$2:$A$70,0)),""))</f>
        <v>Strengthen Payment continuity using the selected maturity treatment, crisis scenario and evidence requirements.</v>
      </c>
      <c r="CI615" t="str">
        <f>IF($CE615="","",IFERROR(INDEX(_REF_Industry_Wording!$H$2:$H$70,MATCH($CE615,_REF_Industry_Wording!$A$2:$A$70,0)),""))</f>
        <v>Payment continuity</v>
      </c>
      <c r="CJ615">
        <f>IF($CE615="","",IFERROR(INDEX(_REF_Industry_Wording!$I$2:$I$70,MATCH($CE615,_REF_Industry_Wording!$A$2:$A$70,0)),""))</f>
        <v>0</v>
      </c>
      <c r="CK615" t="str">
        <f>IF($CE615="","",IFERROR(INDEX(_REF_Industry_Wording!$J$2:$J$70,MATCH($CE615,_REF_Industry_Wording!$A$2:$A$70,0)),""))</f>
        <v>Payment continuity</v>
      </c>
      <c r="CL615" t="str">
        <f t="shared" si="83"/>
        <v>Wording by industry=0; capability=CAP_PAYMENT_CONTINUITY; risk label=Payment continuity weakness</v>
      </c>
      <c r="CM615" t="str">
        <f t="shared" si="84"/>
        <v>RISK-ONT-0116</v>
      </c>
      <c r="CN615" t="str">
        <f t="shared" si="85"/>
        <v>RISK-EVT-0116</v>
      </c>
      <c r="CO615" t="str">
        <f t="shared" si="86"/>
        <v>Finance Procurement|Working capital|FINA-024|CAP_PAYMENT_CONTINUITY</v>
      </c>
      <c r="CP615" t="str">
        <f t="shared" si="87"/>
        <v>Active</v>
      </c>
      <c r="CQ615" t="str">
        <f t="shared" si="88"/>
        <v>OK: capability-driven</v>
      </c>
      <c r="CR615" t="str">
        <f t="shared" si="89"/>
        <v>Risk ontology uses capability=CAP_PAYMENT_CONTINUITY; bridge=BRG-033; treatment=TRT-PAYMENT_CONTINUITY-INITIAL; wording=IW-ALL-PAYMENT_CONTINUITY</v>
      </c>
      <c r="CS615" t="str">
        <f t="shared" si="90"/>
        <v>Yes</v>
      </c>
    </row>
    <row r="616" spans="1:97" ht="69.900000000000006" customHeight="1">
      <c r="A616">
        <f>IF(OR($B616&lt;&gt;"Yes",$BS616=""),"",SUMPRODUCT(($B$500:$B$923="Yes")*ISNUMBER($BS$500:$BS$923)*($BS$500:$BS$923&gt;$BS616))+COUNTIFS($B$500:$B616,"Yes",$BS$500:$BS616,$BS616))</f>
        <v>309</v>
      </c>
      <c r="B616" t="str">
        <f t="shared" si="59"/>
        <v>Yes</v>
      </c>
      <c r="C616" t="s">
        <v>1401</v>
      </c>
      <c r="D616" t="s">
        <v>1403</v>
      </c>
      <c r="E616" t="s">
        <v>1520</v>
      </c>
      <c r="F616" t="s">
        <v>6228</v>
      </c>
      <c r="G616" t="str">
        <f>IF($H616="","",IFERROR(INDEX(_ENGINE_Risk!$H$5:$M$499,MATCH($E616,_ENGINE_Risk!$A$5:$A$499,0),$H616+1),""))</f>
        <v>Severe risk: currency risk management using natural hedges, contract indexation or hedging instruments is not reliably controlled. During Financial/liquidity crisis; Demand shock, the organization may face margin erosion from currency mismatch between revenue and cost base and unbudgeted FX losses with limited visibility or accountability.</v>
      </c>
      <c r="H616">
        <f>IFERROR(VALUE(INDEX(_DATA_Assessment_Model!$H$5:$H$884,MATCH($E616,_DATA_Assessment_Model!$A$5:$A$884,0))),"")</f>
        <v>0</v>
      </c>
      <c r="I616" t="str">
        <f>IF($H616="","",IFERROR(INDEX(_DATA_Assessment_Model!$L$5:$L$884,MATCH($E616,_DATA_Assessment_Model!$A$5:$A$884,0)),IF($H616&lt;=1,"Critical",IF($H616=2,"High",IF($H616=3,"Medium",IF($H616=4,"Low","Resilient"))))))</f>
        <v>Critical</v>
      </c>
      <c r="J616">
        <f t="shared" si="60"/>
        <v>3.6</v>
      </c>
      <c r="K616">
        <f t="shared" si="61"/>
        <v>4</v>
      </c>
      <c r="L616">
        <f t="shared" si="62"/>
        <v>14.4</v>
      </c>
      <c r="M616">
        <f t="shared" si="63"/>
        <v>3</v>
      </c>
      <c r="N616">
        <f>IF($H616="","",IFERROR(INDEX(_ENGINE_Risk!$T$5:$Y$499,MATCH($E616,_ENGINE_Risk!$A$5:$A$499,0),$H616+1),""))</f>
        <v>3</v>
      </c>
      <c r="O616">
        <f t="shared" si="64"/>
        <v>3.6666666666666665</v>
      </c>
      <c r="P616">
        <f t="shared" si="65"/>
        <v>5</v>
      </c>
      <c r="Q616">
        <f t="shared" si="66"/>
        <v>4.6500000000000004</v>
      </c>
      <c r="R616">
        <f t="shared" si="67"/>
        <v>3.5</v>
      </c>
      <c r="S616">
        <f t="shared" si="68"/>
        <v>1.4</v>
      </c>
      <c r="T616" t="str">
        <f>IF($H616="","",IFERROR(INDEX(_ENGINE_Risk!$N$5:$S$499,MATCH($E616,_ENGINE_Risk!$A$5:$A$499,0),$H616+1),""))</f>
        <v>Create an immediate risk owner, minimum control baseline and fallback procedure for currency risk management using natural hedges, contract indexation or hedging instruments. Add it to the crisis risk register and collect first evidence.</v>
      </c>
      <c r="U616">
        <f>IFERROR(INDEX(_DATA_Assessment_Model!$G$5:$G$884,MATCH($E616,_DATA_Assessment_Model!$A$5:$A$884,0)),"")</f>
        <v>4</v>
      </c>
      <c r="V616">
        <f>IFERROR(INDEX(_DATA_Assessment_Model!$W$5:$W$884,MATCH($E616,_DATA_Assessment_Model!$A$5:$A$884,0)),"")</f>
        <v>3</v>
      </c>
      <c r="W616">
        <f>IFERROR(INDEX(_DATA_Assessment_Model!$X$5:$X$884,MATCH($E616,_DATA_Assessment_Model!$A$5:$A$884,0)),"")</f>
        <v>4</v>
      </c>
      <c r="X616">
        <f>IFERROR(INDEX(_DATA_Assessment_Model!$Y$5:$Y$884,MATCH($E616,_DATA_Assessment_Model!$A$5:$A$884,0)),"")</f>
        <v>4</v>
      </c>
      <c r="Y616" t="s">
        <v>1530</v>
      </c>
      <c r="Z616" t="s">
        <v>6243</v>
      </c>
      <c r="AA616" t="s">
        <v>6242</v>
      </c>
      <c r="AB616">
        <f>IFERROR(INDEX(_DATA_Assessment_Model!$U$5:$U$884,MATCH($E616,_DATA_Assessment_Model!$A$5:$A$884,0)),"")</f>
        <v>0</v>
      </c>
      <c r="AF616" t="s">
        <v>1521</v>
      </c>
      <c r="AO616">
        <f>IF($B616="Yes",IF(IFERROR(INDEX(_ENGINE_Crisis!$F$501:$F$517,MATCH($C616,_ENGINE_Crisis!$A$501:$A$517,0)),1)=0,1,IFERROR(INDEX(_ENGINE_Crisis!$F$501:$F$517,MATCH($C616,_ENGINE_Crisis!$A$501:$A$517,0)),1)),"")</f>
        <v>1</v>
      </c>
      <c r="AP616">
        <f t="shared" si="69"/>
        <v>14.4</v>
      </c>
      <c r="AQ616">
        <f t="shared" si="70"/>
        <v>1.4</v>
      </c>
      <c r="AR616" t="str">
        <f>IFERROR(INDEX(_ENGINE_Crisis!$E$41:$E$700,MATCH('Resilience &amp; Risk Scenario'!$B$6&amp;"|"&amp;$C616,_ENGINE_Crisis!$I$41:$I$700,0)),"")</f>
        <v/>
      </c>
      <c r="AS616" t="str">
        <f>IFERROR(INDEX(_ENGINE_Crisis!$G$41:$G$700,MATCH('Resilience &amp; Risk Scenario'!$B$6&amp;"|"&amp;$C616,_ENGINE_Crisis!$I$41:$I$700,0)),"")</f>
        <v/>
      </c>
      <c r="AT616" t="str">
        <f>IFERROR(INDEX(_ENGINE_Initiatives!$A$5:$A$532,MATCH(1,INDEX((_ENGINE_Initiatives!$B$5:$B$532=$C616)*(_ENGINE_Initiatives!$C$5:$C$532=$D616),0),0)),"")</f>
        <v>INI-015</v>
      </c>
      <c r="AU616" t="str">
        <f>IFERROR(INDEX(_ENGINE_Initiatives!$F$5:$F$532,MATCH(1,INDEX((_ENGINE_Initiatives!$B$5:$B$532=$C616)*(_ENGINE_Initiatives!$C$5:$C$532=$D616),0),0)),"")</f>
        <v>Implement cash-flow resilience and financial scenario planning</v>
      </c>
      <c r="AV616">
        <f>IFERROR(INDEX(_ENGINE_Initiatives!$AC$5:$AC$532,MATCH(1,INDEX((_ENGINE_Initiatives!$B$5:$B$532=$C616)*(_ENGINE_Initiatives!$C$5:$C$532=$D616),0),0)),"")</f>
        <v>1.74</v>
      </c>
      <c r="AW616" t="str">
        <f>IFERROR(INDEX(_ENGINE_Initiatives!$AE$5:$AE$532,MATCH(1,INDEX((_ENGINE_Initiatives!$B$5:$B$532=$C616)*(_ENGINE_Initiatives!$C$5:$C$532=$D616),0),0)),"")</f>
        <v>6-12 months</v>
      </c>
      <c r="AX616">
        <f>IF($B616="Yes",IFERROR((IF(SUMIFS(_REF_Model_Content!$E$1:$E$613,_REF_Model_Content!$A$1:$A$613,PV_Canonical_Industry,_REF_Model_Content!$B$1:$B$613,$C616)=0,1,SUMIFS(_REF_Model_Content!$E$1:$E$613,_REF_Model_Content!$A$1:$A$613,PV_Canonical_Industry,_REF_Model_Content!$B$1:$B$613,$C616))*IFERROR($BU616,1)),1),"")</f>
        <v>1</v>
      </c>
      <c r="AY616">
        <f t="shared" si="71"/>
        <v>14.4</v>
      </c>
      <c r="AZ616">
        <f t="shared" si="72"/>
        <v>1.4</v>
      </c>
      <c r="BB616" t="str">
        <f>IF($H616="","",IFERROR(INDEX(_ENGINE_Risk!$AE$5:$AE$499,MATCH($E616,_ENGINE_Risk!$A$5:$A$499,0)),"Medium"))</f>
        <v>Medium</v>
      </c>
      <c r="BC616">
        <f t="shared" si="73"/>
        <v>1</v>
      </c>
      <c r="BD616">
        <f t="shared" si="74"/>
        <v>1.4</v>
      </c>
      <c r="BF616">
        <f>IF(OR($H616="",$J616=""),"",IFERROR(VLOOKUP(ROUND($J616,0),_CONFIG_Model_Settings!$D$154:$E$158,2,0),""))</f>
        <v>0.5</v>
      </c>
      <c r="BG616">
        <f>IFERROR(IF(OR($H616="",$K616=""),"",ROUND('Company Profile'!$B$113*INDEX(_CONFIG_Model_Settings!$H$154:$H$158,MATCH(ROUND($K616,0),_CONFIG_Model_Settings!$G$154:$G$158,0)),0)),0)</f>
        <v>875</v>
      </c>
      <c r="BH616">
        <f t="shared" si="75"/>
        <v>437.5</v>
      </c>
      <c r="BI616">
        <f t="shared" si="76"/>
        <v>437.5</v>
      </c>
      <c r="BJ616">
        <f>IF($E616="","",IFERROR(VLOOKUP($C616,_CONFIG_Risk_Calibration!$A$5:$H$21,2,FALSE),3))</f>
        <v>3</v>
      </c>
      <c r="BK616">
        <f>IF($E616="","",IFERROR(VLOOKUP($C616,_CONFIG_Risk_Calibration!$A$5:$H$21,3,FALSE),0))</f>
        <v>0</v>
      </c>
      <c r="BL616">
        <f>IF($E616="","",IFERROR(VLOOKUP($C616,_CONFIG_Risk_Calibration!$A$5:$H$21,4,FALSE),3))</f>
        <v>3</v>
      </c>
      <c r="BM616">
        <f>IF($E616="","",IFERROR(VLOOKUP($C616,_CONFIG_Risk_Calibration!$A$5:$H$21,5,FALSE),3))</f>
        <v>4</v>
      </c>
      <c r="BN616" t="str">
        <f>IF($E616="","",IFERROR(VLOOKUP($C616,_CONFIG_Risk_Calibration!$A$5:$H$21,6,FALSE),"No"))</f>
        <v>Yes</v>
      </c>
      <c r="BO616">
        <f>IF($E616="","",IFERROR(VLOOKUP($C616,_CONFIG_Risk_Calibration!$A$5:$H$21,7,FALSE),1))</f>
        <v>4</v>
      </c>
      <c r="BP616">
        <f>IF($H616="","",MAX(1,MIN(5,((6-$H616)*0.45)+($BJ616*0.2)+('Resilience &amp; Risk Scenario'!$B$7*0.15)+($BK616*0.1)+($BL616*0.05)+(IF($BB616="Fast",5,IF($BB616="Slow",1,3))*0.05))))</f>
        <v>3.6</v>
      </c>
      <c r="BQ616">
        <f t="shared" si="77"/>
        <v>4</v>
      </c>
      <c r="BR616">
        <f t="shared" si="78"/>
        <v>14.4</v>
      </c>
      <c r="BS616">
        <f t="shared" si="79"/>
        <v>15.84</v>
      </c>
      <c r="BT616" t="str">
        <f>IFERROR(INDEX(_REF_Capability_Bridge!$D:$D,MATCH($C616&amp;"|"&amp;$D616,_REF_Capability_Bridge!$J:$J,0)),IFERROR(INDEX(_REF_Capability_Bridge!$D:$D,MATCH($C616&amp;"|",_REF_Capability_Bridge!$J:$J,0)),"CAP_GENERIC"))</f>
        <v>CAP_FRAUD_MONITORING</v>
      </c>
      <c r="BU616">
        <f>IFERROR(IFERROR(INDEX(_ENGINE_Relevance!$L:$L,MATCH($BT616,_ENGINE_Relevance!$B:$B,0)),1),1)</f>
        <v>1</v>
      </c>
      <c r="BV616" t="str">
        <f>IFERROR(INDEX(_REF_Capability_Bridge!$A:$A,MATCH($C616&amp;"|"&amp;$D616,_REF_Capability_Bridge!$J:$J,0)),IFERROR(INDEX(_REF_Capability_Bridge!$A:$A,MATCH($C616&amp;"|",_REF_Capability_Bridge!$J:$J,0)),"No bridge"))</f>
        <v>BRG-031</v>
      </c>
      <c r="BW616" t="str">
        <f t="shared" si="80"/>
        <v>Capability relevance neutral</v>
      </c>
      <c r="BX616" t="str">
        <f t="shared" si="81"/>
        <v>Initial / absent</v>
      </c>
      <c r="BY616" t="str">
        <f>IF($E616="","",IFERROR(INDEX(_REF_Treatment_Library!$A$2:$A$296,MATCH(1,INDEX((_REF_Treatment_Library!$B$2:$B$296=$BT616)*(_REF_Treatment_Library!$C$2:$C$296=PV_Canonical_Industry)*(_REF_Treatment_Library!$E$2:$E$296&lt;=N($H616))*(_REF_Treatment_Library!$F$2:$F$296&gt;=N($H616))*(_REF_Treatment_Library!$O$2:$O$296="Yes"),0),0)),IFERROR(INDEX(_REF_Treatment_Library!$A$2:$A$296,MATCH(1,INDEX((_REF_Treatment_Library!$B$2:$B$296=$BT616)*(_REF_Treatment_Library!$C$2:$C$296="All")*(_REF_Treatment_Library!$E$2:$E$296&lt;=N($H616))*(_REF_Treatment_Library!$F$2:$F$296&gt;=N($H616))*(_REF_Treatment_Library!$O$2:$O$296="Yes"),0),0)),"")))</f>
        <v>TRT-FRAUD_MONITORING-INITIAL</v>
      </c>
      <c r="BZ616" t="str">
        <f>IF($BY616="","",IFERROR(INDEX(_REF_Treatment_Library!$H$2:$H$296,MATCH($BY616,_REF_Treatment_Library!$A$2:$A$296,0)),""))</f>
        <v>Establish</v>
      </c>
      <c r="CA616" t="str">
        <f>IF($BY616="","",IFERROR(INDEX(_REF_Treatment_Library!$I$2:$I$296,MATCH($BY616,_REF_Treatment_Library!$A$2:$A$296,0)),""))</f>
        <v>Establish baseline controls for Fraud monitoring</v>
      </c>
      <c r="CB616" t="str">
        <f>IF($BY616="","",IFERROR(INDEX(_REF_Treatment_Library!$K$2:$K$296,MATCH($BY616,_REF_Treatment_Library!$A$2:$A$296,0)),""))</f>
        <v>Named owner, baseline process, minimum control checklist, first evidence package</v>
      </c>
      <c r="CC616" t="str">
        <f>IF($BY616="","",IFERROR(INDEX(_REF_Treatment_Library!$L$2:$L$296,MATCH($BY616,_REF_Treatment_Library!$A$2:$A$296,0)),""))</f>
        <v>Owner assigned; baseline evidence coverage; open critical gaps</v>
      </c>
      <c r="CD616" t="str">
        <f t="shared" si="82"/>
        <v>Treatment by capability=CAP_FRAUD_MONITORING; band=Initial / absent; score=0.0; treatment=Establish</v>
      </c>
      <c r="CE616" t="str">
        <f>IF($E616="","",IFERROR(INDEX(_REF_Industry_Wording!$A$2:$A$70,MATCH(1,INDEX((_REF_Industry_Wording!$B$2:$B$70=$BT616)*(_REF_Industry_Wording!$C$2:$C$70=PV_Canonical_Industry)*(_REF_Industry_Wording!$K$2:$K$70="Yes"),0),0)),IFERROR(INDEX(_REF_Industry_Wording!$A$2:$A$70,MATCH(1,INDEX((_REF_Industry_Wording!$B$2:$B$70=$BT616)*(_REF_Industry_Wording!$C$2:$C$70="All")*(_REF_Industry_Wording!$K$2:$K$70="Yes"),0),0)),"")))</f>
        <v>IW-ALL-FRAUD_MONITORING</v>
      </c>
      <c r="CF616" t="str">
        <f>IF($CE616="","",IFERROR(INDEX(_REF_Industry_Wording!$E$2:$E$70,MATCH($CE616,_REF_Industry_Wording!$A$2:$A$70,0)),""))</f>
        <v>Fraud monitoring weakness</v>
      </c>
      <c r="CG616" t="str">
        <f>IF($CE616="","",IFERROR(INDEX(_REF_Industry_Wording!$F$2:$F$70,MATCH($CE616,_REF_Industry_Wording!$A$2:$A$70,0)),""))</f>
        <v>Strengthen Fraud monitoring</v>
      </c>
      <c r="CH616" t="str">
        <f>IF($CE616="","",IFERROR(INDEX(_REF_Industry_Wording!$G$2:$G$70,MATCH($CE616,_REF_Industry_Wording!$A$2:$A$70,0)),""))</f>
        <v>Strengthen Fraud monitoring using the selected maturity treatment, crisis scenario and evidence requirements.</v>
      </c>
      <c r="CI616" t="str">
        <f>IF($CE616="","",IFERROR(INDEX(_REF_Industry_Wording!$H$2:$H$70,MATCH($CE616,_REF_Industry_Wording!$A$2:$A$70,0)),""))</f>
        <v>Fraud monitoring</v>
      </c>
      <c r="CJ616">
        <f>IF($CE616="","",IFERROR(INDEX(_REF_Industry_Wording!$I$2:$I$70,MATCH($CE616,_REF_Industry_Wording!$A$2:$A$70,0)),""))</f>
        <v>0</v>
      </c>
      <c r="CK616" t="str">
        <f>IF($CE616="","",IFERROR(INDEX(_REF_Industry_Wording!$J$2:$J$70,MATCH($CE616,_REF_Industry_Wording!$A$2:$A$70,0)),""))</f>
        <v>Fraud monitoring</v>
      </c>
      <c r="CL616" t="str">
        <f t="shared" si="83"/>
        <v>Wording by industry=0; capability=CAP_FRAUD_MONITORING; risk label=Fraud monitoring weakness</v>
      </c>
      <c r="CM616" t="str">
        <f t="shared" si="84"/>
        <v>RISK-ONT-0117</v>
      </c>
      <c r="CN616" t="str">
        <f t="shared" si="85"/>
        <v>RISK-EVT-0117</v>
      </c>
      <c r="CO616" t="str">
        <f t="shared" si="86"/>
        <v>Finance Procurement|Financial resilience|FINA-025|CAP_FRAUD_MONITORING</v>
      </c>
      <c r="CP616" t="str">
        <f t="shared" si="87"/>
        <v>Active</v>
      </c>
      <c r="CQ616" t="str">
        <f t="shared" si="88"/>
        <v>OK: capability-driven</v>
      </c>
      <c r="CR616" t="str">
        <f t="shared" si="89"/>
        <v>Risk ontology uses capability=CAP_FRAUD_MONITORING; bridge=BRG-031; treatment=TRT-FRAUD_MONITORING-INITIAL; wording=IW-ALL-FRAUD_MONITORING</v>
      </c>
      <c r="CS616" t="str">
        <f t="shared" si="90"/>
        <v>Yes</v>
      </c>
    </row>
    <row r="617" spans="1:97" ht="69.900000000000006" customHeight="1">
      <c r="A617">
        <f>IF(OR($B617&lt;&gt;"Yes",$BS617=""),"",SUMPRODUCT(($B$500:$B$923="Yes")*ISNUMBER($BS$500:$BS$923)*($BS$500:$BS$923&gt;$BS617))+COUNTIFS($B$500:$B617,"Yes",$BS$500:$BS617,$BS617))</f>
        <v>310</v>
      </c>
      <c r="B617" t="str">
        <f t="shared" si="59"/>
        <v>Yes</v>
      </c>
      <c r="C617" t="s">
        <v>1401</v>
      </c>
      <c r="D617" t="s">
        <v>1403</v>
      </c>
      <c r="E617" t="s">
        <v>1531</v>
      </c>
      <c r="F617" t="s">
        <v>6228</v>
      </c>
      <c r="G617" t="str">
        <f>IF($H617="","",IFERROR(INDEX(_ENGINE_Risk!$H$5:$M$499,MATCH($E617,_ENGINE_Risk!$A$5:$A$499,0),$H617+1),""))</f>
        <v>Severe risk: cost structure flexibility with fixed-to-variable ratio visibility and cost reduction levers ranked by speed and impact is not reliably controlled. During Financial/liquidity crisis; Demand shock, the organization may face slow and unfocused cost response to revenue decline and overcutting of value-critical spend with limited visibility or accountability.</v>
      </c>
      <c r="H617">
        <f>IFERROR(VALUE(INDEX(_DATA_Assessment_Model!$H$5:$H$884,MATCH($E617,_DATA_Assessment_Model!$A$5:$A$884,0))),"")</f>
        <v>0</v>
      </c>
      <c r="I617" t="str">
        <f>IF($H617="","",IFERROR(INDEX(_DATA_Assessment_Model!$L$5:$L$884,MATCH($E617,_DATA_Assessment_Model!$A$5:$A$884,0)),IF($H617&lt;=1,"Critical",IF($H617=2,"High",IF($H617=3,"Medium",IF($H617=4,"Low","Resilient"))))))</f>
        <v>Critical</v>
      </c>
      <c r="J617">
        <f t="shared" si="60"/>
        <v>3.6</v>
      </c>
      <c r="K617">
        <f t="shared" si="61"/>
        <v>4</v>
      </c>
      <c r="L617">
        <f t="shared" si="62"/>
        <v>14.4</v>
      </c>
      <c r="M617">
        <f t="shared" si="63"/>
        <v>3</v>
      </c>
      <c r="N617">
        <f>IF($H617="","",IFERROR(INDEX(_ENGINE_Risk!$T$5:$Y$499,MATCH($E617,_ENGINE_Risk!$A$5:$A$499,0),$H617+1),""))</f>
        <v>2</v>
      </c>
      <c r="O617">
        <f t="shared" si="64"/>
        <v>3.6666666666666665</v>
      </c>
      <c r="P617">
        <f t="shared" si="65"/>
        <v>5</v>
      </c>
      <c r="Q617">
        <f t="shared" si="66"/>
        <v>4.6500000000000004</v>
      </c>
      <c r="R617">
        <f t="shared" si="67"/>
        <v>3.5</v>
      </c>
      <c r="S617">
        <f t="shared" si="68"/>
        <v>2.1</v>
      </c>
      <c r="T617" t="str">
        <f>IF($H617="","",IFERROR(INDEX(_ENGINE_Risk!$N$5:$S$499,MATCH($E617,_ENGINE_Risk!$A$5:$A$499,0),$H617+1),""))</f>
        <v>Create an immediate risk owner, minimum control baseline and fallback procedure for cost structure flexibility with fixed-to-variable ratio visibility and cost reduction levers ranked by speed and impact. Add it to the crisis risk register and collect first evidence.</v>
      </c>
      <c r="U617">
        <f>IFERROR(INDEX(_DATA_Assessment_Model!$G$5:$G$884,MATCH($E617,_DATA_Assessment_Model!$A$5:$A$884,0)),"")</f>
        <v>4</v>
      </c>
      <c r="V617">
        <f>IFERROR(INDEX(_DATA_Assessment_Model!$W$5:$W$884,MATCH($E617,_DATA_Assessment_Model!$A$5:$A$884,0)),"")</f>
        <v>3</v>
      </c>
      <c r="W617">
        <f>IFERROR(INDEX(_DATA_Assessment_Model!$X$5:$X$884,MATCH($E617,_DATA_Assessment_Model!$A$5:$A$884,0)),"")</f>
        <v>4</v>
      </c>
      <c r="X617">
        <f>IFERROR(INDEX(_DATA_Assessment_Model!$Y$5:$Y$884,MATCH($E617,_DATA_Assessment_Model!$A$5:$A$884,0)),"")</f>
        <v>4</v>
      </c>
      <c r="Y617" t="s">
        <v>1530</v>
      </c>
      <c r="Z617" t="s">
        <v>6243</v>
      </c>
      <c r="AA617" t="s">
        <v>6258</v>
      </c>
      <c r="AB617">
        <f>IFERROR(INDEX(_DATA_Assessment_Model!$U$5:$U$884,MATCH($E617,_DATA_Assessment_Model!$A$5:$A$884,0)),"")</f>
        <v>0</v>
      </c>
      <c r="AF617" t="s">
        <v>1532</v>
      </c>
      <c r="AO617">
        <f>IF($B617="Yes",IF(IFERROR(INDEX(_ENGINE_Crisis!$F$501:$F$517,MATCH($C617,_ENGINE_Crisis!$A$501:$A$517,0)),1)=0,1,IFERROR(INDEX(_ENGINE_Crisis!$F$501:$F$517,MATCH($C617,_ENGINE_Crisis!$A$501:$A$517,0)),1)),"")</f>
        <v>1</v>
      </c>
      <c r="AP617">
        <f t="shared" si="69"/>
        <v>14.4</v>
      </c>
      <c r="AQ617">
        <f t="shared" si="70"/>
        <v>2.1</v>
      </c>
      <c r="AR617" t="str">
        <f>IFERROR(INDEX(_ENGINE_Crisis!$E$41:$E$700,MATCH('Resilience &amp; Risk Scenario'!$B$6&amp;"|"&amp;$C617,_ENGINE_Crisis!$I$41:$I$700,0)),"")</f>
        <v/>
      </c>
      <c r="AS617" t="str">
        <f>IFERROR(INDEX(_ENGINE_Crisis!$G$41:$G$700,MATCH('Resilience &amp; Risk Scenario'!$B$6&amp;"|"&amp;$C617,_ENGINE_Crisis!$I$41:$I$700,0)),"")</f>
        <v/>
      </c>
      <c r="AT617" t="str">
        <f>IFERROR(INDEX(_ENGINE_Initiatives!$A$5:$A$532,MATCH(1,INDEX((_ENGINE_Initiatives!$B$5:$B$532=$C617)*(_ENGINE_Initiatives!$C$5:$C$532=$D617),0),0)),"")</f>
        <v>INI-015</v>
      </c>
      <c r="AU617" t="str">
        <f>IFERROR(INDEX(_ENGINE_Initiatives!$F$5:$F$532,MATCH(1,INDEX((_ENGINE_Initiatives!$B$5:$B$532=$C617)*(_ENGINE_Initiatives!$C$5:$C$532=$D617),0),0)),"")</f>
        <v>Implement cash-flow resilience and financial scenario planning</v>
      </c>
      <c r="AV617">
        <f>IFERROR(INDEX(_ENGINE_Initiatives!$AC$5:$AC$532,MATCH(1,INDEX((_ENGINE_Initiatives!$B$5:$B$532=$C617)*(_ENGINE_Initiatives!$C$5:$C$532=$D617),0),0)),"")</f>
        <v>1.74</v>
      </c>
      <c r="AW617" t="str">
        <f>IFERROR(INDEX(_ENGINE_Initiatives!$AE$5:$AE$532,MATCH(1,INDEX((_ENGINE_Initiatives!$B$5:$B$532=$C617)*(_ENGINE_Initiatives!$C$5:$C$532=$D617),0),0)),"")</f>
        <v>6-12 months</v>
      </c>
      <c r="AX617">
        <f>IF($B617="Yes",IFERROR((IF(SUMIFS(_REF_Model_Content!$E$1:$E$613,_REF_Model_Content!$A$1:$A$613,PV_Canonical_Industry,_REF_Model_Content!$B$1:$B$613,$C617)=0,1,SUMIFS(_REF_Model_Content!$E$1:$E$613,_REF_Model_Content!$A$1:$A$613,PV_Canonical_Industry,_REF_Model_Content!$B$1:$B$613,$C617))*IFERROR($BU617,1)),1),"")</f>
        <v>1</v>
      </c>
      <c r="AY617">
        <f t="shared" si="71"/>
        <v>14.4</v>
      </c>
      <c r="AZ617">
        <f t="shared" si="72"/>
        <v>2.1</v>
      </c>
      <c r="BB617" t="str">
        <f>IF($H617="","",IFERROR(INDEX(_ENGINE_Risk!$AE$5:$AE$499,MATCH($E617,_ENGINE_Risk!$A$5:$A$499,0)),"Medium"))</f>
        <v>Medium</v>
      </c>
      <c r="BC617">
        <f t="shared" si="73"/>
        <v>1</v>
      </c>
      <c r="BD617">
        <f t="shared" si="74"/>
        <v>2.1</v>
      </c>
      <c r="BF617">
        <f>IF(OR($H617="",$J617=""),"",IFERROR(VLOOKUP(ROUND($J617,0),_CONFIG_Model_Settings!$D$154:$E$158,2,0),""))</f>
        <v>0.5</v>
      </c>
      <c r="BG617">
        <f>IFERROR(IF(OR($H617="",$K617=""),"",ROUND('Company Profile'!$B$113*INDEX(_CONFIG_Model_Settings!$H$154:$H$158,MATCH(ROUND($K617,0),_CONFIG_Model_Settings!$G$154:$G$158,0)),0)),0)</f>
        <v>875</v>
      </c>
      <c r="BH617">
        <f t="shared" si="75"/>
        <v>437.5</v>
      </c>
      <c r="BI617">
        <f t="shared" si="76"/>
        <v>437.5</v>
      </c>
      <c r="BJ617">
        <f>IF($E617="","",IFERROR(VLOOKUP($C617,_CONFIG_Risk_Calibration!$A$5:$H$21,2,FALSE),3))</f>
        <v>3</v>
      </c>
      <c r="BK617">
        <f>IF($E617="","",IFERROR(VLOOKUP($C617,_CONFIG_Risk_Calibration!$A$5:$H$21,3,FALSE),0))</f>
        <v>0</v>
      </c>
      <c r="BL617">
        <f>IF($E617="","",IFERROR(VLOOKUP($C617,_CONFIG_Risk_Calibration!$A$5:$H$21,4,FALSE),3))</f>
        <v>3</v>
      </c>
      <c r="BM617">
        <f>IF($E617="","",IFERROR(VLOOKUP($C617,_CONFIG_Risk_Calibration!$A$5:$H$21,5,FALSE),3))</f>
        <v>4</v>
      </c>
      <c r="BN617" t="str">
        <f>IF($E617="","",IFERROR(VLOOKUP($C617,_CONFIG_Risk_Calibration!$A$5:$H$21,6,FALSE),"No"))</f>
        <v>Yes</v>
      </c>
      <c r="BO617">
        <f>IF($E617="","",IFERROR(VLOOKUP($C617,_CONFIG_Risk_Calibration!$A$5:$H$21,7,FALSE),1))</f>
        <v>4</v>
      </c>
      <c r="BP617">
        <f>IF($H617="","",MAX(1,MIN(5,((6-$H617)*0.45)+($BJ617*0.2)+('Resilience &amp; Risk Scenario'!$B$7*0.15)+($BK617*0.1)+($BL617*0.05)+(IF($BB617="Fast",5,IF($BB617="Slow",1,3))*0.05))))</f>
        <v>3.6</v>
      </c>
      <c r="BQ617">
        <f t="shared" si="77"/>
        <v>4</v>
      </c>
      <c r="BR617">
        <f t="shared" si="78"/>
        <v>14.4</v>
      </c>
      <c r="BS617">
        <f t="shared" si="79"/>
        <v>15.84</v>
      </c>
      <c r="BT617" t="str">
        <f>IFERROR(INDEX(_REF_Capability_Bridge!$D:$D,MATCH($C617&amp;"|"&amp;$D617,_REF_Capability_Bridge!$J:$J,0)),IFERROR(INDEX(_REF_Capability_Bridge!$D:$D,MATCH($C617&amp;"|",_REF_Capability_Bridge!$J:$J,0)),"CAP_GENERIC"))</f>
        <v>CAP_FRAUD_MONITORING</v>
      </c>
      <c r="BU617">
        <f>IFERROR(IFERROR(INDEX(_ENGINE_Relevance!$L:$L,MATCH($BT617,_ENGINE_Relevance!$B:$B,0)),1),1)</f>
        <v>1</v>
      </c>
      <c r="BV617" t="str">
        <f>IFERROR(INDEX(_REF_Capability_Bridge!$A:$A,MATCH($C617&amp;"|"&amp;$D617,_REF_Capability_Bridge!$J:$J,0)),IFERROR(INDEX(_REF_Capability_Bridge!$A:$A,MATCH($C617&amp;"|",_REF_Capability_Bridge!$J:$J,0)),"No bridge"))</f>
        <v>BRG-031</v>
      </c>
      <c r="BW617" t="str">
        <f t="shared" si="80"/>
        <v>Capability relevance neutral</v>
      </c>
      <c r="BX617" t="str">
        <f t="shared" si="81"/>
        <v>Initial / absent</v>
      </c>
      <c r="BY617" t="str">
        <f>IF($E617="","",IFERROR(INDEX(_REF_Treatment_Library!$A$2:$A$296,MATCH(1,INDEX((_REF_Treatment_Library!$B$2:$B$296=$BT617)*(_REF_Treatment_Library!$C$2:$C$296=PV_Canonical_Industry)*(_REF_Treatment_Library!$E$2:$E$296&lt;=N($H617))*(_REF_Treatment_Library!$F$2:$F$296&gt;=N($H617))*(_REF_Treatment_Library!$O$2:$O$296="Yes"),0),0)),IFERROR(INDEX(_REF_Treatment_Library!$A$2:$A$296,MATCH(1,INDEX((_REF_Treatment_Library!$B$2:$B$296=$BT617)*(_REF_Treatment_Library!$C$2:$C$296="All")*(_REF_Treatment_Library!$E$2:$E$296&lt;=N($H617))*(_REF_Treatment_Library!$F$2:$F$296&gt;=N($H617))*(_REF_Treatment_Library!$O$2:$O$296="Yes"),0),0)),"")))</f>
        <v>TRT-FRAUD_MONITORING-INITIAL</v>
      </c>
      <c r="BZ617" t="str">
        <f>IF($BY617="","",IFERROR(INDEX(_REF_Treatment_Library!$H$2:$H$296,MATCH($BY617,_REF_Treatment_Library!$A$2:$A$296,0)),""))</f>
        <v>Establish</v>
      </c>
      <c r="CA617" t="str">
        <f>IF($BY617="","",IFERROR(INDEX(_REF_Treatment_Library!$I$2:$I$296,MATCH($BY617,_REF_Treatment_Library!$A$2:$A$296,0)),""))</f>
        <v>Establish baseline controls for Fraud monitoring</v>
      </c>
      <c r="CB617" t="str">
        <f>IF($BY617="","",IFERROR(INDEX(_REF_Treatment_Library!$K$2:$K$296,MATCH($BY617,_REF_Treatment_Library!$A$2:$A$296,0)),""))</f>
        <v>Named owner, baseline process, minimum control checklist, first evidence package</v>
      </c>
      <c r="CC617" t="str">
        <f>IF($BY617="","",IFERROR(INDEX(_REF_Treatment_Library!$L$2:$L$296,MATCH($BY617,_REF_Treatment_Library!$A$2:$A$296,0)),""))</f>
        <v>Owner assigned; baseline evidence coverage; open critical gaps</v>
      </c>
      <c r="CD617" t="str">
        <f t="shared" si="82"/>
        <v>Treatment by capability=CAP_FRAUD_MONITORING; band=Initial / absent; score=0.0; treatment=Establish</v>
      </c>
      <c r="CE617" t="str">
        <f>IF($E617="","",IFERROR(INDEX(_REF_Industry_Wording!$A$2:$A$70,MATCH(1,INDEX((_REF_Industry_Wording!$B$2:$B$70=$BT617)*(_REF_Industry_Wording!$C$2:$C$70=PV_Canonical_Industry)*(_REF_Industry_Wording!$K$2:$K$70="Yes"),0),0)),IFERROR(INDEX(_REF_Industry_Wording!$A$2:$A$70,MATCH(1,INDEX((_REF_Industry_Wording!$B$2:$B$70=$BT617)*(_REF_Industry_Wording!$C$2:$C$70="All")*(_REF_Industry_Wording!$K$2:$K$70="Yes"),0),0)),"")))</f>
        <v>IW-ALL-FRAUD_MONITORING</v>
      </c>
      <c r="CF617" t="str">
        <f>IF($CE617="","",IFERROR(INDEX(_REF_Industry_Wording!$E$2:$E$70,MATCH($CE617,_REF_Industry_Wording!$A$2:$A$70,0)),""))</f>
        <v>Fraud monitoring weakness</v>
      </c>
      <c r="CG617" t="str">
        <f>IF($CE617="","",IFERROR(INDEX(_REF_Industry_Wording!$F$2:$F$70,MATCH($CE617,_REF_Industry_Wording!$A$2:$A$70,0)),""))</f>
        <v>Strengthen Fraud monitoring</v>
      </c>
      <c r="CH617" t="str">
        <f>IF($CE617="","",IFERROR(INDEX(_REF_Industry_Wording!$G$2:$G$70,MATCH($CE617,_REF_Industry_Wording!$A$2:$A$70,0)),""))</f>
        <v>Strengthen Fraud monitoring using the selected maturity treatment, crisis scenario and evidence requirements.</v>
      </c>
      <c r="CI617" t="str">
        <f>IF($CE617="","",IFERROR(INDEX(_REF_Industry_Wording!$H$2:$H$70,MATCH($CE617,_REF_Industry_Wording!$A$2:$A$70,0)),""))</f>
        <v>Fraud monitoring</v>
      </c>
      <c r="CJ617">
        <f>IF($CE617="","",IFERROR(INDEX(_REF_Industry_Wording!$I$2:$I$70,MATCH($CE617,_REF_Industry_Wording!$A$2:$A$70,0)),""))</f>
        <v>0</v>
      </c>
      <c r="CK617" t="str">
        <f>IF($CE617="","",IFERROR(INDEX(_REF_Industry_Wording!$J$2:$J$70,MATCH($CE617,_REF_Industry_Wording!$A$2:$A$70,0)),""))</f>
        <v>Fraud monitoring</v>
      </c>
      <c r="CL617" t="str">
        <f t="shared" si="83"/>
        <v>Wording by industry=0; capability=CAP_FRAUD_MONITORING; risk label=Fraud monitoring weakness</v>
      </c>
      <c r="CM617" t="str">
        <f t="shared" si="84"/>
        <v>RISK-ONT-0118</v>
      </c>
      <c r="CN617" t="str">
        <f t="shared" si="85"/>
        <v>RISK-EVT-0118</v>
      </c>
      <c r="CO617" t="str">
        <f t="shared" si="86"/>
        <v>Finance Procurement|Financial resilience|FINA-026|CAP_FRAUD_MONITORING</v>
      </c>
      <c r="CP617" t="str">
        <f t="shared" si="87"/>
        <v>Active</v>
      </c>
      <c r="CQ617" t="str">
        <f t="shared" si="88"/>
        <v>OK: capability-driven</v>
      </c>
      <c r="CR617" t="str">
        <f t="shared" si="89"/>
        <v>Risk ontology uses capability=CAP_FRAUD_MONITORING; bridge=BRG-031; treatment=TRT-FRAUD_MONITORING-INITIAL; wording=IW-ALL-FRAUD_MONITORING</v>
      </c>
      <c r="CS617" t="str">
        <f t="shared" si="90"/>
        <v>Yes</v>
      </c>
    </row>
    <row r="618" spans="1:97" ht="69.900000000000006" customHeight="1">
      <c r="A618">
        <f>IF(OR($B618&lt;&gt;"Yes",$BS618=""),"",SUMPRODUCT(($B$500:$B$923="Yes")*ISNUMBER($BS$500:$BS$923)*($BS$500:$BS$923&gt;$BS618))+COUNTIFS($B$500:$B618,"Yes",$BS$500:$BS618,$BS618))</f>
        <v>311</v>
      </c>
      <c r="B618" t="str">
        <f t="shared" si="59"/>
        <v>Yes</v>
      </c>
      <c r="C618" t="s">
        <v>1401</v>
      </c>
      <c r="D618" t="s">
        <v>1426</v>
      </c>
      <c r="E618" t="s">
        <v>1540</v>
      </c>
      <c r="F618" t="s">
        <v>6228</v>
      </c>
      <c r="G618" t="str">
        <f>IF($H618="","",IFERROR(INDEX(_ENGINE_Risk!$H$5:$M$499,MATCH($E618,_ENGINE_Risk!$A$5:$A$499,0),$H618+1),""))</f>
        <v>Severe risk: customer credit risk assessment with credit checks, limits and payment terms control before contracting is not reliably controlled. During Financial/liquidity crisis; Key customer loss, the organization may face revenue converted into bad debt, cash gaps from defaulting customers and unpriced credit exposure with limited visibility or accountability.</v>
      </c>
      <c r="H618">
        <f>IFERROR(VALUE(INDEX(_DATA_Assessment_Model!$H$5:$H$884,MATCH($E618,_DATA_Assessment_Model!$A$5:$A$884,0))),"")</f>
        <v>0</v>
      </c>
      <c r="I618" t="str">
        <f>IF($H618="","",IFERROR(INDEX(_DATA_Assessment_Model!$L$5:$L$884,MATCH($E618,_DATA_Assessment_Model!$A$5:$A$884,0)),IF($H618&lt;=1,"Critical",IF($H618=2,"High",IF($H618=3,"Medium",IF($H618=4,"Low","Resilient"))))))</f>
        <v>Critical</v>
      </c>
      <c r="J618">
        <f t="shared" si="60"/>
        <v>3.6</v>
      </c>
      <c r="K618">
        <f t="shared" si="61"/>
        <v>4</v>
      </c>
      <c r="L618">
        <f t="shared" si="62"/>
        <v>14.4</v>
      </c>
      <c r="M618">
        <f t="shared" si="63"/>
        <v>3</v>
      </c>
      <c r="N618">
        <f>IF($H618="","",IFERROR(INDEX(_ENGINE_Risk!$T$5:$Y$499,MATCH($E618,_ENGINE_Risk!$A$5:$A$499,0),$H618+1),""))</f>
        <v>2</v>
      </c>
      <c r="O618">
        <f t="shared" si="64"/>
        <v>3.3333333333333335</v>
      </c>
      <c r="P618">
        <f t="shared" si="65"/>
        <v>5</v>
      </c>
      <c r="Q618">
        <f t="shared" si="66"/>
        <v>4.3</v>
      </c>
      <c r="R618">
        <f t="shared" si="67"/>
        <v>3.5</v>
      </c>
      <c r="S618">
        <f t="shared" si="68"/>
        <v>2.02</v>
      </c>
      <c r="T618" t="str">
        <f>IF($H618="","",IFERROR(INDEX(_ENGINE_Risk!$N$5:$S$499,MATCH($E618,_ENGINE_Risk!$A$5:$A$499,0),$H618+1),""))</f>
        <v>Create an immediate risk owner, minimum control baseline and fallback procedure for customer credit risk assessment with credit checks, limits and payment terms control before contracting. Add it to the crisis risk register and collect first evidence.</v>
      </c>
      <c r="U618">
        <f>IFERROR(INDEX(_DATA_Assessment_Model!$G$5:$G$884,MATCH($E618,_DATA_Assessment_Model!$A$5:$A$884,0)),"")</f>
        <v>3</v>
      </c>
      <c r="V618">
        <f>IFERROR(INDEX(_DATA_Assessment_Model!$W$5:$W$884,MATCH($E618,_DATA_Assessment_Model!$A$5:$A$884,0)),"")</f>
        <v>3</v>
      </c>
      <c r="W618">
        <f>IFERROR(INDEX(_DATA_Assessment_Model!$X$5:$X$884,MATCH($E618,_DATA_Assessment_Model!$A$5:$A$884,0)),"")</f>
        <v>3</v>
      </c>
      <c r="X618">
        <f>IFERROR(INDEX(_DATA_Assessment_Model!$Y$5:$Y$884,MATCH($E618,_DATA_Assessment_Model!$A$5:$A$884,0)),"")</f>
        <v>4</v>
      </c>
      <c r="Y618" t="s">
        <v>1550</v>
      </c>
      <c r="Z618" t="s">
        <v>6274</v>
      </c>
      <c r="AA618" t="s">
        <v>6273</v>
      </c>
      <c r="AB618">
        <f>IFERROR(INDEX(_DATA_Assessment_Model!$U$5:$U$884,MATCH($E618,_DATA_Assessment_Model!$A$5:$A$884,0)),"")</f>
        <v>0</v>
      </c>
      <c r="AF618" t="s">
        <v>1541</v>
      </c>
      <c r="AO618">
        <f>IF($B618="Yes",IF(IFERROR(INDEX(_ENGINE_Crisis!$F$501:$F$517,MATCH($C618,_ENGINE_Crisis!$A$501:$A$517,0)),1)=0,1,IFERROR(INDEX(_ENGINE_Crisis!$F$501:$F$517,MATCH($C618,_ENGINE_Crisis!$A$501:$A$517,0)),1)),"")</f>
        <v>1</v>
      </c>
      <c r="AP618">
        <f t="shared" si="69"/>
        <v>14.4</v>
      </c>
      <c r="AQ618">
        <f t="shared" si="70"/>
        <v>2.02</v>
      </c>
      <c r="AR618" t="str">
        <f>IFERROR(INDEX(_ENGINE_Crisis!$E$41:$E$700,MATCH('Resilience &amp; Risk Scenario'!$B$6&amp;"|"&amp;$C618,_ENGINE_Crisis!$I$41:$I$700,0)),"")</f>
        <v/>
      </c>
      <c r="AS618" t="str">
        <f>IFERROR(INDEX(_ENGINE_Crisis!$G$41:$G$700,MATCH('Resilience &amp; Risk Scenario'!$B$6&amp;"|"&amp;$C618,_ENGINE_Crisis!$I$41:$I$700,0)),"")</f>
        <v/>
      </c>
      <c r="AT618" t="str">
        <f>IFERROR(INDEX(_ENGINE_Initiatives!$A$5:$A$532,MATCH(1,INDEX((_ENGINE_Initiatives!$B$5:$B$532=$C618)*(_ENGINE_Initiatives!$C$5:$C$532=$D618),0),0)),"")</f>
        <v>INI-018</v>
      </c>
      <c r="AU618" t="str">
        <f>IFERROR(INDEX(_ENGINE_Initiatives!$F$5:$F$532,MATCH(1,INDEX((_ENGINE_Initiatives!$B$5:$B$532=$C618)*(_ENGINE_Initiatives!$C$5:$C$532=$D618),0),0)),"")</f>
        <v>Optimize working capital and liquidity early-warning controls</v>
      </c>
      <c r="AV618">
        <f>IFERROR(INDEX(_ENGINE_Initiatives!$AC$5:$AC$532,MATCH(1,INDEX((_ENGINE_Initiatives!$B$5:$B$532=$C618)*(_ENGINE_Initiatives!$C$5:$C$532=$D618),0),0)),"")</f>
        <v>1.75</v>
      </c>
      <c r="AW618" t="str">
        <f>IFERROR(INDEX(_ENGINE_Initiatives!$AE$5:$AE$532,MATCH(1,INDEX((_ENGINE_Initiatives!$B$5:$B$532=$C618)*(_ENGINE_Initiatives!$C$5:$C$532=$D618),0),0)),"")</f>
        <v>6-12 months</v>
      </c>
      <c r="AX618">
        <f>IF($B618="Yes",IFERROR((IF(SUMIFS(_REF_Model_Content!$E$1:$E$613,_REF_Model_Content!$A$1:$A$613,PV_Canonical_Industry,_REF_Model_Content!$B$1:$B$613,$C618)=0,1,SUMIFS(_REF_Model_Content!$E$1:$E$613,_REF_Model_Content!$A$1:$A$613,PV_Canonical_Industry,_REF_Model_Content!$B$1:$B$613,$C618))*IFERROR($BU618,1)),1),"")</f>
        <v>1</v>
      </c>
      <c r="AY618">
        <f t="shared" si="71"/>
        <v>14.4</v>
      </c>
      <c r="AZ618">
        <f t="shared" si="72"/>
        <v>2.02</v>
      </c>
      <c r="BB618" t="str">
        <f>IF($H618="","",IFERROR(INDEX(_ENGINE_Risk!$AE$5:$AE$499,MATCH($E618,_ENGINE_Risk!$A$5:$A$499,0)),"Medium"))</f>
        <v>Medium</v>
      </c>
      <c r="BC618">
        <f t="shared" si="73"/>
        <v>1</v>
      </c>
      <c r="BD618">
        <f t="shared" si="74"/>
        <v>2.02</v>
      </c>
      <c r="BF618">
        <f>IF(OR($H618="",$J618=""),"",IFERROR(VLOOKUP(ROUND($J618,0),_CONFIG_Model_Settings!$D$154:$E$158,2,0),""))</f>
        <v>0.5</v>
      </c>
      <c r="BG618">
        <f>IFERROR(IF(OR($H618="",$K618=""),"",ROUND('Company Profile'!$B$113*INDEX(_CONFIG_Model_Settings!$H$154:$H$158,MATCH(ROUND($K618,0),_CONFIG_Model_Settings!$G$154:$G$158,0)),0)),0)</f>
        <v>875</v>
      </c>
      <c r="BH618">
        <f t="shared" si="75"/>
        <v>437.5</v>
      </c>
      <c r="BI618">
        <f t="shared" si="76"/>
        <v>437.5</v>
      </c>
      <c r="BJ618">
        <f>IF($E618="","",IFERROR(VLOOKUP($C618,_CONFIG_Risk_Calibration!$A$5:$H$21,2,FALSE),3))</f>
        <v>3</v>
      </c>
      <c r="BK618">
        <f>IF($E618="","",IFERROR(VLOOKUP($C618,_CONFIG_Risk_Calibration!$A$5:$H$21,3,FALSE),0))</f>
        <v>0</v>
      </c>
      <c r="BL618">
        <f>IF($E618="","",IFERROR(VLOOKUP($C618,_CONFIG_Risk_Calibration!$A$5:$H$21,4,FALSE),3))</f>
        <v>3</v>
      </c>
      <c r="BM618">
        <f>IF($E618="","",IFERROR(VLOOKUP($C618,_CONFIG_Risk_Calibration!$A$5:$H$21,5,FALSE),3))</f>
        <v>4</v>
      </c>
      <c r="BN618" t="str">
        <f>IF($E618="","",IFERROR(VLOOKUP($C618,_CONFIG_Risk_Calibration!$A$5:$H$21,6,FALSE),"No"))</f>
        <v>Yes</v>
      </c>
      <c r="BO618">
        <f>IF($E618="","",IFERROR(VLOOKUP($C618,_CONFIG_Risk_Calibration!$A$5:$H$21,7,FALSE),1))</f>
        <v>4</v>
      </c>
      <c r="BP618">
        <f>IF($H618="","",MAX(1,MIN(5,((6-$H618)*0.45)+($BJ618*0.2)+('Resilience &amp; Risk Scenario'!$B$7*0.15)+($BK618*0.1)+($BL618*0.05)+(IF($BB618="Fast",5,IF($BB618="Slow",1,3))*0.05))))</f>
        <v>3.6</v>
      </c>
      <c r="BQ618">
        <f t="shared" si="77"/>
        <v>4</v>
      </c>
      <c r="BR618">
        <f t="shared" si="78"/>
        <v>14.4</v>
      </c>
      <c r="BS618">
        <f t="shared" si="79"/>
        <v>15.84</v>
      </c>
      <c r="BT618" t="str">
        <f>IFERROR(INDEX(_REF_Capability_Bridge!$D:$D,MATCH($C618&amp;"|"&amp;$D618,_REF_Capability_Bridge!$J:$J,0)),IFERROR(INDEX(_REF_Capability_Bridge!$D:$D,MATCH($C618&amp;"|",_REF_Capability_Bridge!$J:$J,0)),"CAP_GENERIC"))</f>
        <v>CAP_PAYMENT_CONTINUITY</v>
      </c>
      <c r="BU618">
        <f>IFERROR(IFERROR(INDEX(_ENGINE_Relevance!$L:$L,MATCH($BT618,_ENGINE_Relevance!$B:$B,0)),1),1)</f>
        <v>1</v>
      </c>
      <c r="BV618" t="str">
        <f>IFERROR(INDEX(_REF_Capability_Bridge!$A:$A,MATCH($C618&amp;"|"&amp;$D618,_REF_Capability_Bridge!$J:$J,0)),IFERROR(INDEX(_REF_Capability_Bridge!$A:$A,MATCH($C618&amp;"|",_REF_Capability_Bridge!$J:$J,0)),"No bridge"))</f>
        <v>BRG-033</v>
      </c>
      <c r="BW618" t="str">
        <f t="shared" si="80"/>
        <v>Capability relevance neutral</v>
      </c>
      <c r="BX618" t="str">
        <f t="shared" si="81"/>
        <v>Initial / absent</v>
      </c>
      <c r="BY618" t="str">
        <f>IF($E618="","",IFERROR(INDEX(_REF_Treatment_Library!$A$2:$A$296,MATCH(1,INDEX((_REF_Treatment_Library!$B$2:$B$296=$BT618)*(_REF_Treatment_Library!$C$2:$C$296=PV_Canonical_Industry)*(_REF_Treatment_Library!$E$2:$E$296&lt;=N($H618))*(_REF_Treatment_Library!$F$2:$F$296&gt;=N($H618))*(_REF_Treatment_Library!$O$2:$O$296="Yes"),0),0)),IFERROR(INDEX(_REF_Treatment_Library!$A$2:$A$296,MATCH(1,INDEX((_REF_Treatment_Library!$B$2:$B$296=$BT618)*(_REF_Treatment_Library!$C$2:$C$296="All")*(_REF_Treatment_Library!$E$2:$E$296&lt;=N($H618))*(_REF_Treatment_Library!$F$2:$F$296&gt;=N($H618))*(_REF_Treatment_Library!$O$2:$O$296="Yes"),0),0)),"")))</f>
        <v>TRT-PAYMENT_CONTINUITY-INITIAL</v>
      </c>
      <c r="BZ618" t="str">
        <f>IF($BY618="","",IFERROR(INDEX(_REF_Treatment_Library!$H$2:$H$296,MATCH($BY618,_REF_Treatment_Library!$A$2:$A$296,0)),""))</f>
        <v>Establish</v>
      </c>
      <c r="CA618" t="str">
        <f>IF($BY618="","",IFERROR(INDEX(_REF_Treatment_Library!$I$2:$I$296,MATCH($BY618,_REF_Treatment_Library!$A$2:$A$296,0)),""))</f>
        <v>Establish baseline controls for Payment continuity</v>
      </c>
      <c r="CB618" t="str">
        <f>IF($BY618="","",IFERROR(INDEX(_REF_Treatment_Library!$K$2:$K$296,MATCH($BY618,_REF_Treatment_Library!$A$2:$A$296,0)),""))</f>
        <v>Named owner, baseline process, minimum control checklist, first evidence package</v>
      </c>
      <c r="CC618" t="str">
        <f>IF($BY618="","",IFERROR(INDEX(_REF_Treatment_Library!$L$2:$L$296,MATCH($BY618,_REF_Treatment_Library!$A$2:$A$296,0)),""))</f>
        <v>Owner assigned; baseline evidence coverage; open critical gaps</v>
      </c>
      <c r="CD618" t="str">
        <f t="shared" si="82"/>
        <v>Treatment by capability=CAP_PAYMENT_CONTINUITY; band=Initial / absent; score=0.0; treatment=Establish</v>
      </c>
      <c r="CE618" t="str">
        <f>IF($E618="","",IFERROR(INDEX(_REF_Industry_Wording!$A$2:$A$70,MATCH(1,INDEX((_REF_Industry_Wording!$B$2:$B$70=$BT618)*(_REF_Industry_Wording!$C$2:$C$70=PV_Canonical_Industry)*(_REF_Industry_Wording!$K$2:$K$70="Yes"),0),0)),IFERROR(INDEX(_REF_Industry_Wording!$A$2:$A$70,MATCH(1,INDEX((_REF_Industry_Wording!$B$2:$B$70=$BT618)*(_REF_Industry_Wording!$C$2:$C$70="All")*(_REF_Industry_Wording!$K$2:$K$70="Yes"),0),0)),"")))</f>
        <v>IW-ALL-PAYMENT_CONTINUITY</v>
      </c>
      <c r="CF618" t="str">
        <f>IF($CE618="","",IFERROR(INDEX(_REF_Industry_Wording!$E$2:$E$70,MATCH($CE618,_REF_Industry_Wording!$A$2:$A$70,0)),""))</f>
        <v>Payment continuity weakness</v>
      </c>
      <c r="CG618" t="str">
        <f>IF($CE618="","",IFERROR(INDEX(_REF_Industry_Wording!$F$2:$F$70,MATCH($CE618,_REF_Industry_Wording!$A$2:$A$70,0)),""))</f>
        <v>Strengthen Payment continuity</v>
      </c>
      <c r="CH618" t="str">
        <f>IF($CE618="","",IFERROR(INDEX(_REF_Industry_Wording!$G$2:$G$70,MATCH($CE618,_REF_Industry_Wording!$A$2:$A$70,0)),""))</f>
        <v>Strengthen Payment continuity using the selected maturity treatment, crisis scenario and evidence requirements.</v>
      </c>
      <c r="CI618" t="str">
        <f>IF($CE618="","",IFERROR(INDEX(_REF_Industry_Wording!$H$2:$H$70,MATCH($CE618,_REF_Industry_Wording!$A$2:$A$70,0)),""))</f>
        <v>Payment continuity</v>
      </c>
      <c r="CJ618">
        <f>IF($CE618="","",IFERROR(INDEX(_REF_Industry_Wording!$I$2:$I$70,MATCH($CE618,_REF_Industry_Wording!$A$2:$A$70,0)),""))</f>
        <v>0</v>
      </c>
      <c r="CK618" t="str">
        <f>IF($CE618="","",IFERROR(INDEX(_REF_Industry_Wording!$J$2:$J$70,MATCH($CE618,_REF_Industry_Wording!$A$2:$A$70,0)),""))</f>
        <v>Payment continuity</v>
      </c>
      <c r="CL618" t="str">
        <f t="shared" si="83"/>
        <v>Wording by industry=0; capability=CAP_PAYMENT_CONTINUITY; risk label=Payment continuity weakness</v>
      </c>
      <c r="CM618" t="str">
        <f t="shared" si="84"/>
        <v>RISK-ONT-0119</v>
      </c>
      <c r="CN618" t="str">
        <f t="shared" si="85"/>
        <v>RISK-EVT-0119</v>
      </c>
      <c r="CO618" t="str">
        <f t="shared" si="86"/>
        <v>Finance Procurement|Working capital|FINA-027|CAP_PAYMENT_CONTINUITY</v>
      </c>
      <c r="CP618" t="str">
        <f t="shared" si="87"/>
        <v>Active</v>
      </c>
      <c r="CQ618" t="str">
        <f t="shared" si="88"/>
        <v>OK: capability-driven</v>
      </c>
      <c r="CR618" t="str">
        <f t="shared" si="89"/>
        <v>Risk ontology uses capability=CAP_PAYMENT_CONTINUITY; bridge=BRG-033; treatment=TRT-PAYMENT_CONTINUITY-INITIAL; wording=IW-ALL-PAYMENT_CONTINUITY</v>
      </c>
      <c r="CS618" t="str">
        <f t="shared" si="90"/>
        <v>Yes</v>
      </c>
    </row>
    <row r="619" spans="1:97" ht="69.900000000000006" customHeight="1">
      <c r="A619">
        <f>IF(OR($B619&lt;&gt;"Yes",$BS619=""),"",SUMPRODUCT(($B$500:$B$923="Yes")*ISNUMBER($BS$500:$BS$923)*($BS$500:$BS$923&gt;$BS619))+COUNTIFS($B$500:$B619,"Yes",$BS$500:$BS619,$BS619))</f>
        <v>267</v>
      </c>
      <c r="B619" t="str">
        <f t="shared" si="59"/>
        <v>Yes</v>
      </c>
      <c r="C619" t="s">
        <v>1551</v>
      </c>
      <c r="D619" t="s">
        <v>1553</v>
      </c>
      <c r="E619" t="s">
        <v>1552</v>
      </c>
      <c r="F619" t="s">
        <v>3684</v>
      </c>
      <c r="G619" t="str">
        <f>IF($H619="","",IFERROR(INDEX(_ENGINE_Risk!$H$5:$M$499,MATCH($E619,_ENGINE_Risk!$A$5:$A$499,0),$H619+1),""))</f>
        <v>Severe risk: compliance obligations register by jurisdiction, license, customer, industry and function is not reliably controlled. During Regulatory/legal shock; Contractual exposure; Data breach, the organization may face contractual disputes, compliance breaches, regulatory penalties and delayed legal response with limited visibility or accountability.</v>
      </c>
      <c r="H619">
        <f>IFERROR(VALUE(INDEX(_DATA_Assessment_Model!$H$5:$H$884,MATCH($E619,_DATA_Assessment_Model!$A$5:$A$884,0))),"")</f>
        <v>0</v>
      </c>
      <c r="I619" t="str">
        <f>IF($H619="","",IFERROR(INDEX(_DATA_Assessment_Model!$L$5:$L$884,MATCH($E619,_DATA_Assessment_Model!$A$5:$A$884,0)),IF($H619&lt;=1,"Critical",IF($H619=2,"High",IF($H619=3,"Medium",IF($H619=4,"Low","Resilient"))))))</f>
        <v>Critical</v>
      </c>
      <c r="J619">
        <f t="shared" si="60"/>
        <v>3.5</v>
      </c>
      <c r="K619">
        <f t="shared" si="61"/>
        <v>5</v>
      </c>
      <c r="L619">
        <f t="shared" si="62"/>
        <v>17.5</v>
      </c>
      <c r="M619">
        <f t="shared" si="63"/>
        <v>4</v>
      </c>
      <c r="N619">
        <f>IF($H619="","",IFERROR(INDEX(_ENGINE_Risk!$T$5:$Y$499,MATCH($E619,_ENGINE_Risk!$A$5:$A$499,0),$H619+1),""))</f>
        <v>3</v>
      </c>
      <c r="O619">
        <f t="shared" si="64"/>
        <v>4.666666666666667</v>
      </c>
      <c r="P619">
        <f t="shared" si="65"/>
        <v>5</v>
      </c>
      <c r="Q619">
        <f t="shared" si="66"/>
        <v>5</v>
      </c>
      <c r="R619">
        <f t="shared" si="67"/>
        <v>5</v>
      </c>
      <c r="S619">
        <f t="shared" si="68"/>
        <v>1.64</v>
      </c>
      <c r="T619" t="str">
        <f>IF($H619="","",IFERROR(INDEX(_ENGINE_Risk!$N$5:$S$499,MATCH($E619,_ENGINE_Risk!$A$5:$A$499,0),$H619+1),""))</f>
        <v>Create an immediate risk owner, minimum control baseline and fallback procedure for compliance obligations register by jurisdiction, license, customer, industry and function. Add it to the crisis risk register and collect first evidence.</v>
      </c>
      <c r="U619">
        <f>IFERROR(INDEX(_DATA_Assessment_Model!$G$5:$G$884,MATCH($E619,_DATA_Assessment_Model!$A$5:$A$884,0)),"")</f>
        <v>4</v>
      </c>
      <c r="V619">
        <f>IFERROR(INDEX(_DATA_Assessment_Model!$W$5:$W$884,MATCH($E619,_DATA_Assessment_Model!$A$5:$A$884,0)),"")</f>
        <v>5</v>
      </c>
      <c r="W619">
        <f>IFERROR(INDEX(_DATA_Assessment_Model!$X$5:$X$884,MATCH($E619,_DATA_Assessment_Model!$A$5:$A$884,0)),"")</f>
        <v>5</v>
      </c>
      <c r="X619">
        <f>IFERROR(INDEX(_DATA_Assessment_Model!$Y$5:$Y$884,MATCH($E619,_DATA_Assessment_Model!$A$5:$A$884,0)),"")</f>
        <v>5</v>
      </c>
      <c r="Y619" t="s">
        <v>1564</v>
      </c>
      <c r="Z619" t="s">
        <v>6289</v>
      </c>
      <c r="AA619" t="s">
        <v>1557</v>
      </c>
      <c r="AB619">
        <f>IFERROR(INDEX(_DATA_Assessment_Model!$U$5:$U$884,MATCH($E619,_DATA_Assessment_Model!$A$5:$A$884,0)),"")</f>
        <v>0</v>
      </c>
      <c r="AF619" t="s">
        <v>1554</v>
      </c>
      <c r="AO619">
        <f>IF($B619="Yes",IF(IFERROR(INDEX(_ENGINE_Crisis!$F$501:$F$517,MATCH($C619,_ENGINE_Crisis!$A$501:$A$517,0)),1)=0,1,IFERROR(INDEX(_ENGINE_Crisis!$F$501:$F$517,MATCH($C619,_ENGINE_Crisis!$A$501:$A$517,0)),1)),"")</f>
        <v>1</v>
      </c>
      <c r="AP619">
        <f t="shared" si="69"/>
        <v>17.5</v>
      </c>
      <c r="AQ619">
        <f t="shared" si="70"/>
        <v>1.64</v>
      </c>
      <c r="AR619" t="str">
        <f>IFERROR(INDEX(_ENGINE_Crisis!$E$41:$E$700,MATCH('Resilience &amp; Risk Scenario'!$B$6&amp;"|"&amp;$C619,_ENGINE_Crisis!$I$41:$I$700,0)),"")</f>
        <v/>
      </c>
      <c r="AS619" t="str">
        <f>IFERROR(INDEX(_ENGINE_Crisis!$G$41:$G$700,MATCH('Resilience &amp; Risk Scenario'!$B$6&amp;"|"&amp;$C619,_ENGINE_Crisis!$I$41:$I$700,0)),"")</f>
        <v/>
      </c>
      <c r="AT619" t="str">
        <f>IFERROR(INDEX(_ENGINE_Initiatives!$A$5:$A$532,MATCH(1,INDEX((_ENGINE_Initiatives!$B$5:$B$532=$C619)*(_ENGINE_Initiatives!$C$5:$C$532=$D619),0),0)),"")</f>
        <v>INI-019</v>
      </c>
      <c r="AU619" t="str">
        <f>IFERROR(INDEX(_ENGINE_Initiatives!$F$5:$F$532,MATCH(1,INDEX((_ENGINE_Initiatives!$B$5:$B$532=$C619)*(_ENGINE_Initiatives!$C$5:$C$532=$D619),0),0)),"")</f>
        <v>Implement compliance obligation monitoring and crisis legal controls</v>
      </c>
      <c r="AV619">
        <f>IFERROR(INDEX(_ENGINE_Initiatives!$AC$5:$AC$532,MATCH(1,INDEX((_ENGINE_Initiatives!$B$5:$B$532=$C619)*(_ENGINE_Initiatives!$C$5:$C$532=$D619),0),0)),"")</f>
        <v>2.61</v>
      </c>
      <c r="AW619" t="str">
        <f>IFERROR(INDEX(_ENGINE_Initiatives!$AE$5:$AE$532,MATCH(1,INDEX((_ENGINE_Initiatives!$B$5:$B$532=$C619)*(_ENGINE_Initiatives!$C$5:$C$532=$D619),0),0)),"")</f>
        <v>0-90 days</v>
      </c>
      <c r="AX619">
        <f>IF($B619="Yes",IFERROR((IF(SUMIFS(_REF_Model_Content!$E$1:$E$613,_REF_Model_Content!$A$1:$A$613,PV_Canonical_Industry,_REF_Model_Content!$B$1:$B$613,$C619)=0,1,SUMIFS(_REF_Model_Content!$E$1:$E$613,_REF_Model_Content!$A$1:$A$613,PV_Canonical_Industry,_REF_Model_Content!$B$1:$B$613,$C619))*IFERROR($BU619,1)),1),"")</f>
        <v>1</v>
      </c>
      <c r="AY619">
        <f t="shared" si="71"/>
        <v>17.5</v>
      </c>
      <c r="AZ619">
        <f t="shared" si="72"/>
        <v>1.64</v>
      </c>
      <c r="BB619" t="str">
        <f>IF($H619="","",IFERROR(INDEX(_ENGINE_Risk!$AE$5:$AE$499,MATCH($E619,_ENGINE_Risk!$A$5:$A$499,0)),"Medium"))</f>
        <v>Slow</v>
      </c>
      <c r="BC619">
        <f t="shared" si="73"/>
        <v>0.85</v>
      </c>
      <c r="BD619">
        <f t="shared" si="74"/>
        <v>1.64</v>
      </c>
      <c r="BF619">
        <f>IF(OR($H619="",$J619=""),"",IFERROR(VLOOKUP(ROUND($J619,0),_CONFIG_Model_Settings!$D$154:$E$158,2,0),""))</f>
        <v>0.5</v>
      </c>
      <c r="BG619">
        <f>IFERROR(IF(OR($H619="",$K619=""),"",ROUND('Company Profile'!$B$113*INDEX(_CONFIG_Model_Settings!$H$154:$H$158,MATCH(ROUND($K619,0),_CONFIG_Model_Settings!$G$154:$G$158,0)),0)),0)</f>
        <v>1875</v>
      </c>
      <c r="BH619">
        <f t="shared" si="75"/>
        <v>937.5</v>
      </c>
      <c r="BI619">
        <f t="shared" si="76"/>
        <v>937.5</v>
      </c>
      <c r="BJ619">
        <f>IF($E619="","",IFERROR(VLOOKUP($C619,_CONFIG_Risk_Calibration!$A$5:$H$21,2,FALSE),3))</f>
        <v>3</v>
      </c>
      <c r="BK619">
        <f>IF($E619="","",IFERROR(VLOOKUP($C619,_CONFIG_Risk_Calibration!$A$5:$H$21,3,FALSE),0))</f>
        <v>0</v>
      </c>
      <c r="BL619">
        <f>IF($E619="","",IFERROR(VLOOKUP($C619,_CONFIG_Risk_Calibration!$A$5:$H$21,4,FALSE),3))</f>
        <v>3</v>
      </c>
      <c r="BM619">
        <f>IF($E619="","",IFERROR(VLOOKUP($C619,_CONFIG_Risk_Calibration!$A$5:$H$21,5,FALSE),3))</f>
        <v>4</v>
      </c>
      <c r="BN619" t="str">
        <f>IF($E619="","",IFERROR(VLOOKUP($C619,_CONFIG_Risk_Calibration!$A$5:$H$21,6,FALSE),"No"))</f>
        <v>Yes</v>
      </c>
      <c r="BO619">
        <f>IF($E619="","",IFERROR(VLOOKUP($C619,_CONFIG_Risk_Calibration!$A$5:$H$21,7,FALSE),1))</f>
        <v>5</v>
      </c>
      <c r="BP619">
        <f>IF($H619="","",MAX(1,MIN(5,((6-$H619)*0.45)+($BJ619*0.2)+('Resilience &amp; Risk Scenario'!$B$7*0.15)+($BK619*0.1)+($BL619*0.05)+(IF($BB619="Fast",5,IF($BB619="Slow",1,3))*0.05))))</f>
        <v>3.5</v>
      </c>
      <c r="BQ619">
        <f t="shared" si="77"/>
        <v>5</v>
      </c>
      <c r="BR619">
        <f t="shared" si="78"/>
        <v>17.5</v>
      </c>
      <c r="BS619">
        <f t="shared" si="79"/>
        <v>16.36</v>
      </c>
      <c r="BT619" t="str">
        <f>IFERROR(INDEX(_REF_Capability_Bridge!$D:$D,MATCH($C619&amp;"|"&amp;$D619,_REF_Capability_Bridge!$J:$J,0)),IFERROR(INDEX(_REF_Capability_Bridge!$D:$D,MATCH($C619&amp;"|",_REF_Capability_Bridge!$J:$J,0)),"CAP_GENERIC"))</f>
        <v>CAP_PAYMENT_CONTINUITY</v>
      </c>
      <c r="BU619">
        <f>IFERROR(IFERROR(INDEX(_ENGINE_Relevance!$L:$L,MATCH($BT619,_ENGINE_Relevance!$B:$B,0)),1),1)</f>
        <v>1</v>
      </c>
      <c r="BV619" t="str">
        <f>IFERROR(INDEX(_REF_Capability_Bridge!$A:$A,MATCH($C619&amp;"|"&amp;$D619,_REF_Capability_Bridge!$J:$J,0)),IFERROR(INDEX(_REF_Capability_Bridge!$A:$A,MATCH($C619&amp;"|",_REF_Capability_Bridge!$J:$J,0)),"No bridge"))</f>
        <v>BRG-050</v>
      </c>
      <c r="BW619" t="str">
        <f t="shared" si="80"/>
        <v>Capability relevance neutral</v>
      </c>
      <c r="BX619" t="str">
        <f t="shared" si="81"/>
        <v>Initial / absent</v>
      </c>
      <c r="BY619" t="str">
        <f>IF($E619="","",IFERROR(INDEX(_REF_Treatment_Library!$A$2:$A$296,MATCH(1,INDEX((_REF_Treatment_Library!$B$2:$B$296=$BT619)*(_REF_Treatment_Library!$C$2:$C$296=PV_Canonical_Industry)*(_REF_Treatment_Library!$E$2:$E$296&lt;=N($H619))*(_REF_Treatment_Library!$F$2:$F$296&gt;=N($H619))*(_REF_Treatment_Library!$O$2:$O$296="Yes"),0),0)),IFERROR(INDEX(_REF_Treatment_Library!$A$2:$A$296,MATCH(1,INDEX((_REF_Treatment_Library!$B$2:$B$296=$BT619)*(_REF_Treatment_Library!$C$2:$C$296="All")*(_REF_Treatment_Library!$E$2:$E$296&lt;=N($H619))*(_REF_Treatment_Library!$F$2:$F$296&gt;=N($H619))*(_REF_Treatment_Library!$O$2:$O$296="Yes"),0),0)),"")))</f>
        <v>TRT-PAYMENT_CONTINUITY-INITIAL</v>
      </c>
      <c r="BZ619" t="str">
        <f>IF($BY619="","",IFERROR(INDEX(_REF_Treatment_Library!$H$2:$H$296,MATCH($BY619,_REF_Treatment_Library!$A$2:$A$296,0)),""))</f>
        <v>Establish</v>
      </c>
      <c r="CA619" t="str">
        <f>IF($BY619="","",IFERROR(INDEX(_REF_Treatment_Library!$I$2:$I$296,MATCH($BY619,_REF_Treatment_Library!$A$2:$A$296,0)),""))</f>
        <v>Establish baseline controls for Payment continuity</v>
      </c>
      <c r="CB619" t="str">
        <f>IF($BY619="","",IFERROR(INDEX(_REF_Treatment_Library!$K$2:$K$296,MATCH($BY619,_REF_Treatment_Library!$A$2:$A$296,0)),""))</f>
        <v>Named owner, baseline process, minimum control checklist, first evidence package</v>
      </c>
      <c r="CC619" t="str">
        <f>IF($BY619="","",IFERROR(INDEX(_REF_Treatment_Library!$L$2:$L$296,MATCH($BY619,_REF_Treatment_Library!$A$2:$A$296,0)),""))</f>
        <v>Owner assigned; baseline evidence coverage; open critical gaps</v>
      </c>
      <c r="CD619" t="str">
        <f t="shared" si="82"/>
        <v>Treatment by capability=CAP_PAYMENT_CONTINUITY; band=Initial / absent; score=0.0; treatment=Establish</v>
      </c>
      <c r="CE619" t="str">
        <f>IF($E619="","",IFERROR(INDEX(_REF_Industry_Wording!$A$2:$A$70,MATCH(1,INDEX((_REF_Industry_Wording!$B$2:$B$70=$BT619)*(_REF_Industry_Wording!$C$2:$C$70=PV_Canonical_Industry)*(_REF_Industry_Wording!$K$2:$K$70="Yes"),0),0)),IFERROR(INDEX(_REF_Industry_Wording!$A$2:$A$70,MATCH(1,INDEX((_REF_Industry_Wording!$B$2:$B$70=$BT619)*(_REF_Industry_Wording!$C$2:$C$70="All")*(_REF_Industry_Wording!$K$2:$K$70="Yes"),0),0)),"")))</f>
        <v>IW-ALL-PAYMENT_CONTINUITY</v>
      </c>
      <c r="CF619" t="str">
        <f>IF($CE619="","",IFERROR(INDEX(_REF_Industry_Wording!$E$2:$E$70,MATCH($CE619,_REF_Industry_Wording!$A$2:$A$70,0)),""))</f>
        <v>Payment continuity weakness</v>
      </c>
      <c r="CG619" t="str">
        <f>IF($CE619="","",IFERROR(INDEX(_REF_Industry_Wording!$F$2:$F$70,MATCH($CE619,_REF_Industry_Wording!$A$2:$A$70,0)),""))</f>
        <v>Strengthen Payment continuity</v>
      </c>
      <c r="CH619" t="str">
        <f>IF($CE619="","",IFERROR(INDEX(_REF_Industry_Wording!$G$2:$G$70,MATCH($CE619,_REF_Industry_Wording!$A$2:$A$70,0)),""))</f>
        <v>Strengthen Payment continuity using the selected maturity treatment, crisis scenario and evidence requirements.</v>
      </c>
      <c r="CI619" t="str">
        <f>IF($CE619="","",IFERROR(INDEX(_REF_Industry_Wording!$H$2:$H$70,MATCH($CE619,_REF_Industry_Wording!$A$2:$A$70,0)),""))</f>
        <v>Payment continuity</v>
      </c>
      <c r="CJ619">
        <f>IF($CE619="","",IFERROR(INDEX(_REF_Industry_Wording!$I$2:$I$70,MATCH($CE619,_REF_Industry_Wording!$A$2:$A$70,0)),""))</f>
        <v>0</v>
      </c>
      <c r="CK619" t="str">
        <f>IF($CE619="","",IFERROR(INDEX(_REF_Industry_Wording!$J$2:$J$70,MATCH($CE619,_REF_Industry_Wording!$A$2:$A$70,0)),""))</f>
        <v>Payment continuity</v>
      </c>
      <c r="CL619" t="str">
        <f t="shared" si="83"/>
        <v>Wording by industry=0; capability=CAP_PAYMENT_CONTINUITY; risk label=Payment continuity weakness</v>
      </c>
      <c r="CM619" t="str">
        <f t="shared" si="84"/>
        <v>RISK-ONT-0120</v>
      </c>
      <c r="CN619" t="str">
        <f t="shared" si="85"/>
        <v>RISK-EVT-0120</v>
      </c>
      <c r="CO619" t="str">
        <f t="shared" si="86"/>
        <v>Legal Risk|Compliance|LEGA-001|CAP_PAYMENT_CONTINUITY</v>
      </c>
      <c r="CP619" t="str">
        <f t="shared" si="87"/>
        <v>Active</v>
      </c>
      <c r="CQ619" t="str">
        <f t="shared" si="88"/>
        <v>OK: capability-driven</v>
      </c>
      <c r="CR619" t="str">
        <f t="shared" si="89"/>
        <v>Risk ontology uses capability=CAP_PAYMENT_CONTINUITY; bridge=BRG-050; treatment=TRT-PAYMENT_CONTINUITY-INITIAL; wording=IW-ALL-PAYMENT_CONTINUITY</v>
      </c>
      <c r="CS619" t="str">
        <f t="shared" si="90"/>
        <v>Yes</v>
      </c>
    </row>
    <row r="620" spans="1:97" ht="69.900000000000006" customHeight="1">
      <c r="A620">
        <f>IF(OR($B620&lt;&gt;"Yes",$BS620=""),"",SUMPRODUCT(($B$500:$B$923="Yes")*ISNUMBER($BS$500:$BS$923)*($BS$500:$BS$923&gt;$BS620))+COUNTIFS($B$500:$B620,"Yes",$BS$500:$BS620,$BS620))</f>
        <v>268</v>
      </c>
      <c r="B620" t="str">
        <f t="shared" si="59"/>
        <v>Yes</v>
      </c>
      <c r="C620" t="s">
        <v>1551</v>
      </c>
      <c r="D620" t="s">
        <v>1553</v>
      </c>
      <c r="E620" t="s">
        <v>1565</v>
      </c>
      <c r="F620" t="s">
        <v>3684</v>
      </c>
      <c r="G620" t="str">
        <f>IF($H620="","",IFERROR(INDEX(_ENGINE_Risk!$H$5:$M$499,MATCH($E620,_ENGINE_Risk!$A$5:$A$499,0),$H620+1),""))</f>
        <v>Severe risk: regulatory reporting calendar and emergency reporting triggers for cyber, safety, finance, environment and privacy is not reliably controlled. During Regulatory/legal shock; Contractual exposure; Data breach, the organization may face contractual disputes, compliance breaches, regulatory penalties and delayed legal response with limited visibility or accountability.</v>
      </c>
      <c r="H620">
        <f>IFERROR(VALUE(INDEX(_DATA_Assessment_Model!$H$5:$H$884,MATCH($E620,_DATA_Assessment_Model!$A$5:$A$884,0))),"")</f>
        <v>0</v>
      </c>
      <c r="I620" t="str">
        <f>IF($H620="","",IFERROR(INDEX(_DATA_Assessment_Model!$L$5:$L$884,MATCH($E620,_DATA_Assessment_Model!$A$5:$A$884,0)),IF($H620&lt;=1,"Critical",IF($H620=2,"High",IF($H620=3,"Medium",IF($H620=4,"Low","Resilient"))))))</f>
        <v>Critical</v>
      </c>
      <c r="J620">
        <f t="shared" si="60"/>
        <v>3.5</v>
      </c>
      <c r="K620">
        <f t="shared" si="61"/>
        <v>5</v>
      </c>
      <c r="L620">
        <f t="shared" si="62"/>
        <v>17.5</v>
      </c>
      <c r="M620">
        <f t="shared" si="63"/>
        <v>4</v>
      </c>
      <c r="N620">
        <f>IF($H620="","",IFERROR(INDEX(_ENGINE_Risk!$T$5:$Y$499,MATCH($E620,_ENGINE_Risk!$A$5:$A$499,0),$H620+1),""))</f>
        <v>3</v>
      </c>
      <c r="O620">
        <f t="shared" si="64"/>
        <v>5</v>
      </c>
      <c r="P620">
        <f t="shared" si="65"/>
        <v>5</v>
      </c>
      <c r="Q620">
        <f t="shared" si="66"/>
        <v>5</v>
      </c>
      <c r="R620">
        <f t="shared" si="67"/>
        <v>5</v>
      </c>
      <c r="S620">
        <f t="shared" si="68"/>
        <v>1.67</v>
      </c>
      <c r="T620" t="str">
        <f>IF($H620="","",IFERROR(INDEX(_ENGINE_Risk!$N$5:$S$499,MATCH($E620,_ENGINE_Risk!$A$5:$A$499,0),$H620+1),""))</f>
        <v>Create an immediate risk owner, minimum control baseline and fallback procedure for regulatory reporting calendar and emergency reporting triggers for cyber, safety, finance, environment and privacy. Add it to the crisis risk register and collect first evidence.</v>
      </c>
      <c r="U620">
        <f>IFERROR(INDEX(_DATA_Assessment_Model!$G$5:$G$884,MATCH($E620,_DATA_Assessment_Model!$A$5:$A$884,0)),"")</f>
        <v>5</v>
      </c>
      <c r="V620">
        <f>IFERROR(INDEX(_DATA_Assessment_Model!$W$5:$W$884,MATCH($E620,_DATA_Assessment_Model!$A$5:$A$884,0)),"")</f>
        <v>5</v>
      </c>
      <c r="W620">
        <f>IFERROR(INDEX(_DATA_Assessment_Model!$X$5:$X$884,MATCH($E620,_DATA_Assessment_Model!$A$5:$A$884,0)),"")</f>
        <v>5</v>
      </c>
      <c r="X620">
        <f>IFERROR(INDEX(_DATA_Assessment_Model!$Y$5:$Y$884,MATCH($E620,_DATA_Assessment_Model!$A$5:$A$884,0)),"")</f>
        <v>5</v>
      </c>
      <c r="Y620" t="s">
        <v>1564</v>
      </c>
      <c r="Z620" t="s">
        <v>6289</v>
      </c>
      <c r="AA620" t="s">
        <v>1567</v>
      </c>
      <c r="AB620">
        <f>IFERROR(INDEX(_DATA_Assessment_Model!$U$5:$U$884,MATCH($E620,_DATA_Assessment_Model!$A$5:$A$884,0)),"")</f>
        <v>0</v>
      </c>
      <c r="AF620" t="s">
        <v>1566</v>
      </c>
      <c r="AO620">
        <f>IF($B620="Yes",IF(IFERROR(INDEX(_ENGINE_Crisis!$F$501:$F$517,MATCH($C620,_ENGINE_Crisis!$A$501:$A$517,0)),1)=0,1,IFERROR(INDEX(_ENGINE_Crisis!$F$501:$F$517,MATCH($C620,_ENGINE_Crisis!$A$501:$A$517,0)),1)),"")</f>
        <v>1</v>
      </c>
      <c r="AP620">
        <f t="shared" si="69"/>
        <v>17.5</v>
      </c>
      <c r="AQ620">
        <f t="shared" si="70"/>
        <v>1.67</v>
      </c>
      <c r="AR620" t="str">
        <f>IFERROR(INDEX(_ENGINE_Crisis!$E$41:$E$700,MATCH('Resilience &amp; Risk Scenario'!$B$6&amp;"|"&amp;$C620,_ENGINE_Crisis!$I$41:$I$700,0)),"")</f>
        <v/>
      </c>
      <c r="AS620" t="str">
        <f>IFERROR(INDEX(_ENGINE_Crisis!$G$41:$G$700,MATCH('Resilience &amp; Risk Scenario'!$B$6&amp;"|"&amp;$C620,_ENGINE_Crisis!$I$41:$I$700,0)),"")</f>
        <v/>
      </c>
      <c r="AT620" t="str">
        <f>IFERROR(INDEX(_ENGINE_Initiatives!$A$5:$A$532,MATCH(1,INDEX((_ENGINE_Initiatives!$B$5:$B$532=$C620)*(_ENGINE_Initiatives!$C$5:$C$532=$D620),0),0)),"")</f>
        <v>INI-019</v>
      </c>
      <c r="AU620" t="str">
        <f>IFERROR(INDEX(_ENGINE_Initiatives!$F$5:$F$532,MATCH(1,INDEX((_ENGINE_Initiatives!$B$5:$B$532=$C620)*(_ENGINE_Initiatives!$C$5:$C$532=$D620),0),0)),"")</f>
        <v>Implement compliance obligation monitoring and crisis legal controls</v>
      </c>
      <c r="AV620">
        <f>IFERROR(INDEX(_ENGINE_Initiatives!$AC$5:$AC$532,MATCH(1,INDEX((_ENGINE_Initiatives!$B$5:$B$532=$C620)*(_ENGINE_Initiatives!$C$5:$C$532=$D620),0),0)),"")</f>
        <v>2.61</v>
      </c>
      <c r="AW620" t="str">
        <f>IFERROR(INDEX(_ENGINE_Initiatives!$AE$5:$AE$532,MATCH(1,INDEX((_ENGINE_Initiatives!$B$5:$B$532=$C620)*(_ENGINE_Initiatives!$C$5:$C$532=$D620),0),0)),"")</f>
        <v>0-90 days</v>
      </c>
      <c r="AX620">
        <f>IF($B620="Yes",IFERROR((IF(SUMIFS(_REF_Model_Content!$E$1:$E$613,_REF_Model_Content!$A$1:$A$613,PV_Canonical_Industry,_REF_Model_Content!$B$1:$B$613,$C620)=0,1,SUMIFS(_REF_Model_Content!$E$1:$E$613,_REF_Model_Content!$A$1:$A$613,PV_Canonical_Industry,_REF_Model_Content!$B$1:$B$613,$C620))*IFERROR($BU620,1)),1),"")</f>
        <v>1</v>
      </c>
      <c r="AY620">
        <f t="shared" si="71"/>
        <v>17.5</v>
      </c>
      <c r="AZ620">
        <f t="shared" si="72"/>
        <v>1.67</v>
      </c>
      <c r="BB620" t="str">
        <f>IF($H620="","",IFERROR(INDEX(_ENGINE_Risk!$AE$5:$AE$499,MATCH($E620,_ENGINE_Risk!$A$5:$A$499,0)),"Medium"))</f>
        <v>Slow</v>
      </c>
      <c r="BC620">
        <f t="shared" si="73"/>
        <v>0.85</v>
      </c>
      <c r="BD620">
        <f t="shared" si="74"/>
        <v>1.67</v>
      </c>
      <c r="BF620">
        <f>IF(OR($H620="",$J620=""),"",IFERROR(VLOOKUP(ROUND($J620,0),_CONFIG_Model_Settings!$D$154:$E$158,2,0),""))</f>
        <v>0.5</v>
      </c>
      <c r="BG620">
        <f>IFERROR(IF(OR($H620="",$K620=""),"",ROUND('Company Profile'!$B$113*INDEX(_CONFIG_Model_Settings!$H$154:$H$158,MATCH(ROUND($K620,0),_CONFIG_Model_Settings!$G$154:$G$158,0)),0)),0)</f>
        <v>1875</v>
      </c>
      <c r="BH620">
        <f t="shared" si="75"/>
        <v>937.5</v>
      </c>
      <c r="BI620">
        <f t="shared" si="76"/>
        <v>937.5</v>
      </c>
      <c r="BJ620">
        <f>IF($E620="","",IFERROR(VLOOKUP($C620,_CONFIG_Risk_Calibration!$A$5:$H$21,2,FALSE),3))</f>
        <v>3</v>
      </c>
      <c r="BK620">
        <f>IF($E620="","",IFERROR(VLOOKUP($C620,_CONFIG_Risk_Calibration!$A$5:$H$21,3,FALSE),0))</f>
        <v>0</v>
      </c>
      <c r="BL620">
        <f>IF($E620="","",IFERROR(VLOOKUP($C620,_CONFIG_Risk_Calibration!$A$5:$H$21,4,FALSE),3))</f>
        <v>3</v>
      </c>
      <c r="BM620">
        <f>IF($E620="","",IFERROR(VLOOKUP($C620,_CONFIG_Risk_Calibration!$A$5:$H$21,5,FALSE),3))</f>
        <v>4</v>
      </c>
      <c r="BN620" t="str">
        <f>IF($E620="","",IFERROR(VLOOKUP($C620,_CONFIG_Risk_Calibration!$A$5:$H$21,6,FALSE),"No"))</f>
        <v>Yes</v>
      </c>
      <c r="BO620">
        <f>IF($E620="","",IFERROR(VLOOKUP($C620,_CONFIG_Risk_Calibration!$A$5:$H$21,7,FALSE),1))</f>
        <v>5</v>
      </c>
      <c r="BP620">
        <f>IF($H620="","",MAX(1,MIN(5,((6-$H620)*0.45)+($BJ620*0.2)+('Resilience &amp; Risk Scenario'!$B$7*0.15)+($BK620*0.1)+($BL620*0.05)+(IF($BB620="Fast",5,IF($BB620="Slow",1,3))*0.05))))</f>
        <v>3.5</v>
      </c>
      <c r="BQ620">
        <f t="shared" si="77"/>
        <v>5</v>
      </c>
      <c r="BR620">
        <f t="shared" si="78"/>
        <v>17.5</v>
      </c>
      <c r="BS620">
        <f t="shared" si="79"/>
        <v>16.36</v>
      </c>
      <c r="BT620" t="str">
        <f>IFERROR(INDEX(_REF_Capability_Bridge!$D:$D,MATCH($C620&amp;"|"&amp;$D620,_REF_Capability_Bridge!$J:$J,0)),IFERROR(INDEX(_REF_Capability_Bridge!$D:$D,MATCH($C620&amp;"|",_REF_Capability_Bridge!$J:$J,0)),"CAP_GENERIC"))</f>
        <v>CAP_PAYMENT_CONTINUITY</v>
      </c>
      <c r="BU620">
        <f>IFERROR(IFERROR(INDEX(_ENGINE_Relevance!$L:$L,MATCH($BT620,_ENGINE_Relevance!$B:$B,0)),1),1)</f>
        <v>1</v>
      </c>
      <c r="BV620" t="str">
        <f>IFERROR(INDEX(_REF_Capability_Bridge!$A:$A,MATCH($C620&amp;"|"&amp;$D620,_REF_Capability_Bridge!$J:$J,0)),IFERROR(INDEX(_REF_Capability_Bridge!$A:$A,MATCH($C620&amp;"|",_REF_Capability_Bridge!$J:$J,0)),"No bridge"))</f>
        <v>BRG-050</v>
      </c>
      <c r="BW620" t="str">
        <f t="shared" si="80"/>
        <v>Capability relevance neutral</v>
      </c>
      <c r="BX620" t="str">
        <f t="shared" si="81"/>
        <v>Initial / absent</v>
      </c>
      <c r="BY620" t="str">
        <f>IF($E620="","",IFERROR(INDEX(_REF_Treatment_Library!$A$2:$A$296,MATCH(1,INDEX((_REF_Treatment_Library!$B$2:$B$296=$BT620)*(_REF_Treatment_Library!$C$2:$C$296=PV_Canonical_Industry)*(_REF_Treatment_Library!$E$2:$E$296&lt;=N($H620))*(_REF_Treatment_Library!$F$2:$F$296&gt;=N($H620))*(_REF_Treatment_Library!$O$2:$O$296="Yes"),0),0)),IFERROR(INDEX(_REF_Treatment_Library!$A$2:$A$296,MATCH(1,INDEX((_REF_Treatment_Library!$B$2:$B$296=$BT620)*(_REF_Treatment_Library!$C$2:$C$296="All")*(_REF_Treatment_Library!$E$2:$E$296&lt;=N($H620))*(_REF_Treatment_Library!$F$2:$F$296&gt;=N($H620))*(_REF_Treatment_Library!$O$2:$O$296="Yes"),0),0)),"")))</f>
        <v>TRT-PAYMENT_CONTINUITY-INITIAL</v>
      </c>
      <c r="BZ620" t="str">
        <f>IF($BY620="","",IFERROR(INDEX(_REF_Treatment_Library!$H$2:$H$296,MATCH($BY620,_REF_Treatment_Library!$A$2:$A$296,0)),""))</f>
        <v>Establish</v>
      </c>
      <c r="CA620" t="str">
        <f>IF($BY620="","",IFERROR(INDEX(_REF_Treatment_Library!$I$2:$I$296,MATCH($BY620,_REF_Treatment_Library!$A$2:$A$296,0)),""))</f>
        <v>Establish baseline controls for Payment continuity</v>
      </c>
      <c r="CB620" t="str">
        <f>IF($BY620="","",IFERROR(INDEX(_REF_Treatment_Library!$K$2:$K$296,MATCH($BY620,_REF_Treatment_Library!$A$2:$A$296,0)),""))</f>
        <v>Named owner, baseline process, minimum control checklist, first evidence package</v>
      </c>
      <c r="CC620" t="str">
        <f>IF($BY620="","",IFERROR(INDEX(_REF_Treatment_Library!$L$2:$L$296,MATCH($BY620,_REF_Treatment_Library!$A$2:$A$296,0)),""))</f>
        <v>Owner assigned; baseline evidence coverage; open critical gaps</v>
      </c>
      <c r="CD620" t="str">
        <f t="shared" si="82"/>
        <v>Treatment by capability=CAP_PAYMENT_CONTINUITY; band=Initial / absent; score=0.0; treatment=Establish</v>
      </c>
      <c r="CE620" t="str">
        <f>IF($E620="","",IFERROR(INDEX(_REF_Industry_Wording!$A$2:$A$70,MATCH(1,INDEX((_REF_Industry_Wording!$B$2:$B$70=$BT620)*(_REF_Industry_Wording!$C$2:$C$70=PV_Canonical_Industry)*(_REF_Industry_Wording!$K$2:$K$70="Yes"),0),0)),IFERROR(INDEX(_REF_Industry_Wording!$A$2:$A$70,MATCH(1,INDEX((_REF_Industry_Wording!$B$2:$B$70=$BT620)*(_REF_Industry_Wording!$C$2:$C$70="All")*(_REF_Industry_Wording!$K$2:$K$70="Yes"),0),0)),"")))</f>
        <v>IW-ALL-PAYMENT_CONTINUITY</v>
      </c>
      <c r="CF620" t="str">
        <f>IF($CE620="","",IFERROR(INDEX(_REF_Industry_Wording!$E$2:$E$70,MATCH($CE620,_REF_Industry_Wording!$A$2:$A$70,0)),""))</f>
        <v>Payment continuity weakness</v>
      </c>
      <c r="CG620" t="str">
        <f>IF($CE620="","",IFERROR(INDEX(_REF_Industry_Wording!$F$2:$F$70,MATCH($CE620,_REF_Industry_Wording!$A$2:$A$70,0)),""))</f>
        <v>Strengthen Payment continuity</v>
      </c>
      <c r="CH620" t="str">
        <f>IF($CE620="","",IFERROR(INDEX(_REF_Industry_Wording!$G$2:$G$70,MATCH($CE620,_REF_Industry_Wording!$A$2:$A$70,0)),""))</f>
        <v>Strengthen Payment continuity using the selected maturity treatment, crisis scenario and evidence requirements.</v>
      </c>
      <c r="CI620" t="str">
        <f>IF($CE620="","",IFERROR(INDEX(_REF_Industry_Wording!$H$2:$H$70,MATCH($CE620,_REF_Industry_Wording!$A$2:$A$70,0)),""))</f>
        <v>Payment continuity</v>
      </c>
      <c r="CJ620">
        <f>IF($CE620="","",IFERROR(INDEX(_REF_Industry_Wording!$I$2:$I$70,MATCH($CE620,_REF_Industry_Wording!$A$2:$A$70,0)),""))</f>
        <v>0</v>
      </c>
      <c r="CK620" t="str">
        <f>IF($CE620="","",IFERROR(INDEX(_REF_Industry_Wording!$J$2:$J$70,MATCH($CE620,_REF_Industry_Wording!$A$2:$A$70,0)),""))</f>
        <v>Payment continuity</v>
      </c>
      <c r="CL620" t="str">
        <f t="shared" si="83"/>
        <v>Wording by industry=0; capability=CAP_PAYMENT_CONTINUITY; risk label=Payment continuity weakness</v>
      </c>
      <c r="CM620" t="str">
        <f t="shared" si="84"/>
        <v>RISK-ONT-0121</v>
      </c>
      <c r="CN620" t="str">
        <f t="shared" si="85"/>
        <v>RISK-EVT-0121</v>
      </c>
      <c r="CO620" t="str">
        <f t="shared" si="86"/>
        <v>Legal Risk|Compliance|LEGA-002|CAP_PAYMENT_CONTINUITY</v>
      </c>
      <c r="CP620" t="str">
        <f t="shared" si="87"/>
        <v>Active</v>
      </c>
      <c r="CQ620" t="str">
        <f t="shared" si="88"/>
        <v>OK: capability-driven</v>
      </c>
      <c r="CR620" t="str">
        <f t="shared" si="89"/>
        <v>Risk ontology uses capability=CAP_PAYMENT_CONTINUITY; bridge=BRG-050; treatment=TRT-PAYMENT_CONTINUITY-INITIAL; wording=IW-ALL-PAYMENT_CONTINUITY</v>
      </c>
      <c r="CS620" t="str">
        <f t="shared" si="90"/>
        <v>Yes</v>
      </c>
    </row>
    <row r="621" spans="1:97" ht="69.900000000000006" customHeight="1">
      <c r="A621">
        <f>IF(OR($B621&lt;&gt;"Yes",$BS621=""),"",SUMPRODUCT(($B$500:$B$923="Yes")*ISNUMBER($BS$500:$BS$923)*($BS$500:$BS$923&gt;$BS621))+COUNTIFS($B$500:$B621,"Yes",$BS$500:$BS621,$BS621))</f>
        <v>269</v>
      </c>
      <c r="B621" t="str">
        <f t="shared" si="59"/>
        <v>Yes</v>
      </c>
      <c r="C621" t="s">
        <v>1551</v>
      </c>
      <c r="D621" t="s">
        <v>1553</v>
      </c>
      <c r="E621" t="s">
        <v>1569</v>
      </c>
      <c r="F621" t="s">
        <v>3684</v>
      </c>
      <c r="G621" t="str">
        <f>IF($H621="","",IFERROR(INDEX(_ENGINE_Risk!$H$5:$M$499,MATCH($E621,_ENGINE_Risk!$A$5:$A$499,0),$H621+1),""))</f>
        <v>Severe risk: sanctions and restricted-party screening for customers, suppliers, owners and payments is not reliably controlled. During Regulatory/legal shock; Contractual exposure; Data breach, the organization may face contractual disputes, compliance breaches, regulatory penalties and delayed legal response with limited visibility or accountability.</v>
      </c>
      <c r="H621">
        <f>IFERROR(VALUE(INDEX(_DATA_Assessment_Model!$H$5:$H$884,MATCH($E621,_DATA_Assessment_Model!$A$5:$A$884,0))),"")</f>
        <v>0</v>
      </c>
      <c r="I621" t="str">
        <f>IF($H621="","",IFERROR(INDEX(_DATA_Assessment_Model!$L$5:$L$884,MATCH($E621,_DATA_Assessment_Model!$A$5:$A$884,0)),IF($H621&lt;=1,"Critical",IF($H621=2,"High",IF($H621=3,"Medium",IF($H621=4,"Low","Resilient"))))))</f>
        <v>Critical</v>
      </c>
      <c r="J621">
        <f t="shared" si="60"/>
        <v>3.5</v>
      </c>
      <c r="K621">
        <f t="shared" si="61"/>
        <v>5</v>
      </c>
      <c r="L621">
        <f t="shared" si="62"/>
        <v>17.5</v>
      </c>
      <c r="M621">
        <f t="shared" si="63"/>
        <v>4</v>
      </c>
      <c r="N621">
        <f>IF($H621="","",IFERROR(INDEX(_ENGINE_Risk!$T$5:$Y$499,MATCH($E621,_ENGINE_Risk!$A$5:$A$499,0),$H621+1),""))</f>
        <v>3</v>
      </c>
      <c r="O621">
        <f t="shared" si="64"/>
        <v>5</v>
      </c>
      <c r="P621">
        <f t="shared" si="65"/>
        <v>5</v>
      </c>
      <c r="Q621">
        <f t="shared" si="66"/>
        <v>5</v>
      </c>
      <c r="R621">
        <f t="shared" si="67"/>
        <v>5</v>
      </c>
      <c r="S621">
        <f t="shared" si="68"/>
        <v>1.67</v>
      </c>
      <c r="T621" t="str">
        <f>IF($H621="","",IFERROR(INDEX(_ENGINE_Risk!$N$5:$S$499,MATCH($E621,_ENGINE_Risk!$A$5:$A$499,0),$H621+1),""))</f>
        <v>Create an immediate risk owner, minimum control baseline and fallback procedure for sanctions and restricted-party screening for customers, suppliers, owners and payments. Add it to the crisis risk register and collect first evidence.</v>
      </c>
      <c r="U621">
        <f>IFERROR(INDEX(_DATA_Assessment_Model!$G$5:$G$884,MATCH($E621,_DATA_Assessment_Model!$A$5:$A$884,0)),"")</f>
        <v>5</v>
      </c>
      <c r="V621">
        <f>IFERROR(INDEX(_DATA_Assessment_Model!$W$5:$W$884,MATCH($E621,_DATA_Assessment_Model!$A$5:$A$884,0)),"")</f>
        <v>5</v>
      </c>
      <c r="W621">
        <f>IFERROR(INDEX(_DATA_Assessment_Model!$X$5:$X$884,MATCH($E621,_DATA_Assessment_Model!$A$5:$A$884,0)),"")</f>
        <v>5</v>
      </c>
      <c r="X621">
        <f>IFERROR(INDEX(_DATA_Assessment_Model!$Y$5:$Y$884,MATCH($E621,_DATA_Assessment_Model!$A$5:$A$884,0)),"")</f>
        <v>5</v>
      </c>
      <c r="Y621" t="s">
        <v>1564</v>
      </c>
      <c r="Z621" t="s">
        <v>6289</v>
      </c>
      <c r="AA621" t="s">
        <v>1571</v>
      </c>
      <c r="AB621">
        <f>IFERROR(INDEX(_DATA_Assessment_Model!$U$5:$U$884,MATCH($E621,_DATA_Assessment_Model!$A$5:$A$884,0)),"")</f>
        <v>0</v>
      </c>
      <c r="AF621" t="s">
        <v>1570</v>
      </c>
      <c r="AO621">
        <f>IF($B621="Yes",IF(IFERROR(INDEX(_ENGINE_Crisis!$F$501:$F$517,MATCH($C621,_ENGINE_Crisis!$A$501:$A$517,0)),1)=0,1,IFERROR(INDEX(_ENGINE_Crisis!$F$501:$F$517,MATCH($C621,_ENGINE_Crisis!$A$501:$A$517,0)),1)),"")</f>
        <v>1</v>
      </c>
      <c r="AP621">
        <f t="shared" si="69"/>
        <v>17.5</v>
      </c>
      <c r="AQ621">
        <f t="shared" si="70"/>
        <v>1.67</v>
      </c>
      <c r="AR621" t="str">
        <f>IFERROR(INDEX(_ENGINE_Crisis!$E$41:$E$700,MATCH('Resilience &amp; Risk Scenario'!$B$6&amp;"|"&amp;$C621,_ENGINE_Crisis!$I$41:$I$700,0)),"")</f>
        <v/>
      </c>
      <c r="AS621" t="str">
        <f>IFERROR(INDEX(_ENGINE_Crisis!$G$41:$G$700,MATCH('Resilience &amp; Risk Scenario'!$B$6&amp;"|"&amp;$C621,_ENGINE_Crisis!$I$41:$I$700,0)),"")</f>
        <v/>
      </c>
      <c r="AT621" t="str">
        <f>IFERROR(INDEX(_ENGINE_Initiatives!$A$5:$A$532,MATCH(1,INDEX((_ENGINE_Initiatives!$B$5:$B$532=$C621)*(_ENGINE_Initiatives!$C$5:$C$532=$D621),0),0)),"")</f>
        <v>INI-019</v>
      </c>
      <c r="AU621" t="str">
        <f>IFERROR(INDEX(_ENGINE_Initiatives!$F$5:$F$532,MATCH(1,INDEX((_ENGINE_Initiatives!$B$5:$B$532=$C621)*(_ENGINE_Initiatives!$C$5:$C$532=$D621),0),0)),"")</f>
        <v>Implement compliance obligation monitoring and crisis legal controls</v>
      </c>
      <c r="AV621">
        <f>IFERROR(INDEX(_ENGINE_Initiatives!$AC$5:$AC$532,MATCH(1,INDEX((_ENGINE_Initiatives!$B$5:$B$532=$C621)*(_ENGINE_Initiatives!$C$5:$C$532=$D621),0),0)),"")</f>
        <v>2.61</v>
      </c>
      <c r="AW621" t="str">
        <f>IFERROR(INDEX(_ENGINE_Initiatives!$AE$5:$AE$532,MATCH(1,INDEX((_ENGINE_Initiatives!$B$5:$B$532=$C621)*(_ENGINE_Initiatives!$C$5:$C$532=$D621),0),0)),"")</f>
        <v>0-90 days</v>
      </c>
      <c r="AX621">
        <f>IF($B621="Yes",IFERROR((IF(SUMIFS(_REF_Model_Content!$E$1:$E$613,_REF_Model_Content!$A$1:$A$613,PV_Canonical_Industry,_REF_Model_Content!$B$1:$B$613,$C621)=0,1,SUMIFS(_REF_Model_Content!$E$1:$E$613,_REF_Model_Content!$A$1:$A$613,PV_Canonical_Industry,_REF_Model_Content!$B$1:$B$613,$C621))*IFERROR($BU621,1)),1),"")</f>
        <v>1</v>
      </c>
      <c r="AY621">
        <f t="shared" si="71"/>
        <v>17.5</v>
      </c>
      <c r="AZ621">
        <f t="shared" si="72"/>
        <v>1.67</v>
      </c>
      <c r="BB621" t="str">
        <f>IF($H621="","",IFERROR(INDEX(_ENGINE_Risk!$AE$5:$AE$499,MATCH($E621,_ENGINE_Risk!$A$5:$A$499,0)),"Medium"))</f>
        <v>Slow</v>
      </c>
      <c r="BC621">
        <f t="shared" si="73"/>
        <v>0.85</v>
      </c>
      <c r="BD621">
        <f t="shared" si="74"/>
        <v>1.67</v>
      </c>
      <c r="BF621">
        <f>IF(OR($H621="",$J621=""),"",IFERROR(VLOOKUP(ROUND($J621,0),_CONFIG_Model_Settings!$D$154:$E$158,2,0),""))</f>
        <v>0.5</v>
      </c>
      <c r="BG621">
        <f>IFERROR(IF(OR($H621="",$K621=""),"",ROUND('Company Profile'!$B$113*INDEX(_CONFIG_Model_Settings!$H$154:$H$158,MATCH(ROUND($K621,0),_CONFIG_Model_Settings!$G$154:$G$158,0)),0)),0)</f>
        <v>1875</v>
      </c>
      <c r="BH621">
        <f t="shared" si="75"/>
        <v>937.5</v>
      </c>
      <c r="BI621">
        <f t="shared" si="76"/>
        <v>937.5</v>
      </c>
      <c r="BJ621">
        <f>IF($E621="","",IFERROR(VLOOKUP($C621,_CONFIG_Risk_Calibration!$A$5:$H$21,2,FALSE),3))</f>
        <v>3</v>
      </c>
      <c r="BK621">
        <f>IF($E621="","",IFERROR(VLOOKUP($C621,_CONFIG_Risk_Calibration!$A$5:$H$21,3,FALSE),0))</f>
        <v>0</v>
      </c>
      <c r="BL621">
        <f>IF($E621="","",IFERROR(VLOOKUP($C621,_CONFIG_Risk_Calibration!$A$5:$H$21,4,FALSE),3))</f>
        <v>3</v>
      </c>
      <c r="BM621">
        <f>IF($E621="","",IFERROR(VLOOKUP($C621,_CONFIG_Risk_Calibration!$A$5:$H$21,5,FALSE),3))</f>
        <v>4</v>
      </c>
      <c r="BN621" t="str">
        <f>IF($E621="","",IFERROR(VLOOKUP($C621,_CONFIG_Risk_Calibration!$A$5:$H$21,6,FALSE),"No"))</f>
        <v>Yes</v>
      </c>
      <c r="BO621">
        <f>IF($E621="","",IFERROR(VLOOKUP($C621,_CONFIG_Risk_Calibration!$A$5:$H$21,7,FALSE),1))</f>
        <v>5</v>
      </c>
      <c r="BP621">
        <f>IF($H621="","",MAX(1,MIN(5,((6-$H621)*0.45)+($BJ621*0.2)+('Resilience &amp; Risk Scenario'!$B$7*0.15)+($BK621*0.1)+($BL621*0.05)+(IF($BB621="Fast",5,IF($BB621="Slow",1,3))*0.05))))</f>
        <v>3.5</v>
      </c>
      <c r="BQ621">
        <f t="shared" si="77"/>
        <v>5</v>
      </c>
      <c r="BR621">
        <f t="shared" si="78"/>
        <v>17.5</v>
      </c>
      <c r="BS621">
        <f t="shared" si="79"/>
        <v>16.36</v>
      </c>
      <c r="BT621" t="str">
        <f>IFERROR(INDEX(_REF_Capability_Bridge!$D:$D,MATCH($C621&amp;"|"&amp;$D621,_REF_Capability_Bridge!$J:$J,0)),IFERROR(INDEX(_REF_Capability_Bridge!$D:$D,MATCH($C621&amp;"|",_REF_Capability_Bridge!$J:$J,0)),"CAP_GENERIC"))</f>
        <v>CAP_PAYMENT_CONTINUITY</v>
      </c>
      <c r="BU621">
        <f>IFERROR(IFERROR(INDEX(_ENGINE_Relevance!$L:$L,MATCH($BT621,_ENGINE_Relevance!$B:$B,0)),1),1)</f>
        <v>1</v>
      </c>
      <c r="BV621" t="str">
        <f>IFERROR(INDEX(_REF_Capability_Bridge!$A:$A,MATCH($C621&amp;"|"&amp;$D621,_REF_Capability_Bridge!$J:$J,0)),IFERROR(INDEX(_REF_Capability_Bridge!$A:$A,MATCH($C621&amp;"|",_REF_Capability_Bridge!$J:$J,0)),"No bridge"))</f>
        <v>BRG-050</v>
      </c>
      <c r="BW621" t="str">
        <f t="shared" si="80"/>
        <v>Capability relevance neutral</v>
      </c>
      <c r="BX621" t="str">
        <f t="shared" si="81"/>
        <v>Initial / absent</v>
      </c>
      <c r="BY621" t="str">
        <f>IF($E621="","",IFERROR(INDEX(_REF_Treatment_Library!$A$2:$A$296,MATCH(1,INDEX((_REF_Treatment_Library!$B$2:$B$296=$BT621)*(_REF_Treatment_Library!$C$2:$C$296=PV_Canonical_Industry)*(_REF_Treatment_Library!$E$2:$E$296&lt;=N($H621))*(_REF_Treatment_Library!$F$2:$F$296&gt;=N($H621))*(_REF_Treatment_Library!$O$2:$O$296="Yes"),0),0)),IFERROR(INDEX(_REF_Treatment_Library!$A$2:$A$296,MATCH(1,INDEX((_REF_Treatment_Library!$B$2:$B$296=$BT621)*(_REF_Treatment_Library!$C$2:$C$296="All")*(_REF_Treatment_Library!$E$2:$E$296&lt;=N($H621))*(_REF_Treatment_Library!$F$2:$F$296&gt;=N($H621))*(_REF_Treatment_Library!$O$2:$O$296="Yes"),0),0)),"")))</f>
        <v>TRT-PAYMENT_CONTINUITY-INITIAL</v>
      </c>
      <c r="BZ621" t="str">
        <f>IF($BY621="","",IFERROR(INDEX(_REF_Treatment_Library!$H$2:$H$296,MATCH($BY621,_REF_Treatment_Library!$A$2:$A$296,0)),""))</f>
        <v>Establish</v>
      </c>
      <c r="CA621" t="str">
        <f>IF($BY621="","",IFERROR(INDEX(_REF_Treatment_Library!$I$2:$I$296,MATCH($BY621,_REF_Treatment_Library!$A$2:$A$296,0)),""))</f>
        <v>Establish baseline controls for Payment continuity</v>
      </c>
      <c r="CB621" t="str">
        <f>IF($BY621="","",IFERROR(INDEX(_REF_Treatment_Library!$K$2:$K$296,MATCH($BY621,_REF_Treatment_Library!$A$2:$A$296,0)),""))</f>
        <v>Named owner, baseline process, minimum control checklist, first evidence package</v>
      </c>
      <c r="CC621" t="str">
        <f>IF($BY621="","",IFERROR(INDEX(_REF_Treatment_Library!$L$2:$L$296,MATCH($BY621,_REF_Treatment_Library!$A$2:$A$296,0)),""))</f>
        <v>Owner assigned; baseline evidence coverage; open critical gaps</v>
      </c>
      <c r="CD621" t="str">
        <f t="shared" si="82"/>
        <v>Treatment by capability=CAP_PAYMENT_CONTINUITY; band=Initial / absent; score=0.0; treatment=Establish</v>
      </c>
      <c r="CE621" t="str">
        <f>IF($E621="","",IFERROR(INDEX(_REF_Industry_Wording!$A$2:$A$70,MATCH(1,INDEX((_REF_Industry_Wording!$B$2:$B$70=$BT621)*(_REF_Industry_Wording!$C$2:$C$70=PV_Canonical_Industry)*(_REF_Industry_Wording!$K$2:$K$70="Yes"),0),0)),IFERROR(INDEX(_REF_Industry_Wording!$A$2:$A$70,MATCH(1,INDEX((_REF_Industry_Wording!$B$2:$B$70=$BT621)*(_REF_Industry_Wording!$C$2:$C$70="All")*(_REF_Industry_Wording!$K$2:$K$70="Yes"),0),0)),"")))</f>
        <v>IW-ALL-PAYMENT_CONTINUITY</v>
      </c>
      <c r="CF621" t="str">
        <f>IF($CE621="","",IFERROR(INDEX(_REF_Industry_Wording!$E$2:$E$70,MATCH($CE621,_REF_Industry_Wording!$A$2:$A$70,0)),""))</f>
        <v>Payment continuity weakness</v>
      </c>
      <c r="CG621" t="str">
        <f>IF($CE621="","",IFERROR(INDEX(_REF_Industry_Wording!$F$2:$F$70,MATCH($CE621,_REF_Industry_Wording!$A$2:$A$70,0)),""))</f>
        <v>Strengthen Payment continuity</v>
      </c>
      <c r="CH621" t="str">
        <f>IF($CE621="","",IFERROR(INDEX(_REF_Industry_Wording!$G$2:$G$70,MATCH($CE621,_REF_Industry_Wording!$A$2:$A$70,0)),""))</f>
        <v>Strengthen Payment continuity using the selected maturity treatment, crisis scenario and evidence requirements.</v>
      </c>
      <c r="CI621" t="str">
        <f>IF($CE621="","",IFERROR(INDEX(_REF_Industry_Wording!$H$2:$H$70,MATCH($CE621,_REF_Industry_Wording!$A$2:$A$70,0)),""))</f>
        <v>Payment continuity</v>
      </c>
      <c r="CJ621">
        <f>IF($CE621="","",IFERROR(INDEX(_REF_Industry_Wording!$I$2:$I$70,MATCH($CE621,_REF_Industry_Wording!$A$2:$A$70,0)),""))</f>
        <v>0</v>
      </c>
      <c r="CK621" t="str">
        <f>IF($CE621="","",IFERROR(INDEX(_REF_Industry_Wording!$J$2:$J$70,MATCH($CE621,_REF_Industry_Wording!$A$2:$A$70,0)),""))</f>
        <v>Payment continuity</v>
      </c>
      <c r="CL621" t="str">
        <f t="shared" si="83"/>
        <v>Wording by industry=0; capability=CAP_PAYMENT_CONTINUITY; risk label=Payment continuity weakness</v>
      </c>
      <c r="CM621" t="str">
        <f t="shared" si="84"/>
        <v>RISK-ONT-0122</v>
      </c>
      <c r="CN621" t="str">
        <f t="shared" si="85"/>
        <v>RISK-EVT-0122</v>
      </c>
      <c r="CO621" t="str">
        <f t="shared" si="86"/>
        <v>Legal Risk|Compliance|LEGA-003|CAP_PAYMENT_CONTINUITY</v>
      </c>
      <c r="CP621" t="str">
        <f t="shared" si="87"/>
        <v>Active</v>
      </c>
      <c r="CQ621" t="str">
        <f t="shared" si="88"/>
        <v>OK: capability-driven</v>
      </c>
      <c r="CR621" t="str">
        <f t="shared" si="89"/>
        <v>Risk ontology uses capability=CAP_PAYMENT_CONTINUITY; bridge=BRG-050; treatment=TRT-PAYMENT_CONTINUITY-INITIAL; wording=IW-ALL-PAYMENT_CONTINUITY</v>
      </c>
      <c r="CS621" t="str">
        <f t="shared" si="90"/>
        <v>Yes</v>
      </c>
    </row>
    <row r="622" spans="1:97" ht="69.900000000000006" customHeight="1">
      <c r="A622">
        <f>IF(OR($B622&lt;&gt;"Yes",$BS622=""),"",SUMPRODUCT(($B$500:$B$923="Yes")*ISNUMBER($BS$500:$BS$923)*($BS$500:$BS$923&gt;$BS622))+COUNTIFS($B$500:$B622,"Yes",$BS$500:$BS622,$BS622))</f>
        <v>270</v>
      </c>
      <c r="B622" t="str">
        <f t="shared" si="59"/>
        <v>Yes</v>
      </c>
      <c r="C622" t="s">
        <v>1551</v>
      </c>
      <c r="D622" t="s">
        <v>1553</v>
      </c>
      <c r="E622" t="s">
        <v>1573</v>
      </c>
      <c r="F622" t="s">
        <v>3684</v>
      </c>
      <c r="G622" t="str">
        <f>IF($H622="","",IFERROR(INDEX(_ENGINE_Risk!$H$5:$M$499,MATCH($E622,_ENGINE_Risk!$A$5:$A$499,0),$H622+1),""))</f>
        <v>Severe risk: anti-bribery and corruption controls during emergency procurement and high-pressure sales is not reliably controlled. During Regulatory/legal shock; Contractual exposure; Data breach, the organization may face contractual disputes, compliance breaches, regulatory penalties and delayed legal response with limited visibility or accountability.</v>
      </c>
      <c r="H622">
        <f>IFERROR(VALUE(INDEX(_DATA_Assessment_Model!$H$5:$H$884,MATCH($E622,_DATA_Assessment_Model!$A$5:$A$884,0))),"")</f>
        <v>0</v>
      </c>
      <c r="I622" t="str">
        <f>IF($H622="","",IFERROR(INDEX(_DATA_Assessment_Model!$L$5:$L$884,MATCH($E622,_DATA_Assessment_Model!$A$5:$A$884,0)),IF($H622&lt;=1,"Critical",IF($H622=2,"High",IF($H622=3,"Medium",IF($H622=4,"Low","Resilient"))))))</f>
        <v>Critical</v>
      </c>
      <c r="J622">
        <f t="shared" si="60"/>
        <v>3.5</v>
      </c>
      <c r="K622">
        <f t="shared" si="61"/>
        <v>5</v>
      </c>
      <c r="L622">
        <f t="shared" si="62"/>
        <v>17.5</v>
      </c>
      <c r="M622">
        <f t="shared" si="63"/>
        <v>4</v>
      </c>
      <c r="N622">
        <f>IF($H622="","",IFERROR(INDEX(_ENGINE_Risk!$T$5:$Y$499,MATCH($E622,_ENGINE_Risk!$A$5:$A$499,0),$H622+1),""))</f>
        <v>3</v>
      </c>
      <c r="O622">
        <f t="shared" si="64"/>
        <v>4.333333333333333</v>
      </c>
      <c r="P622">
        <f t="shared" si="65"/>
        <v>5</v>
      </c>
      <c r="Q622">
        <f t="shared" si="66"/>
        <v>5</v>
      </c>
      <c r="R622">
        <f t="shared" si="67"/>
        <v>5</v>
      </c>
      <c r="S622">
        <f t="shared" si="68"/>
        <v>1.61</v>
      </c>
      <c r="T622" t="str">
        <f>IF($H622="","",IFERROR(INDEX(_ENGINE_Risk!$N$5:$S$499,MATCH($E622,_ENGINE_Risk!$A$5:$A$499,0),$H622+1),""))</f>
        <v>Create an immediate risk owner, minimum control baseline and fallback procedure for anti-bribery and corruption controls during emergency procurement and high-pressure sales. Add it to the crisis risk register and collect first evidence.</v>
      </c>
      <c r="U622">
        <f>IFERROR(INDEX(_DATA_Assessment_Model!$G$5:$G$884,MATCH($E622,_DATA_Assessment_Model!$A$5:$A$884,0)),"")</f>
        <v>3</v>
      </c>
      <c r="V622">
        <f>IFERROR(INDEX(_DATA_Assessment_Model!$W$5:$W$884,MATCH($E622,_DATA_Assessment_Model!$A$5:$A$884,0)),"")</f>
        <v>5</v>
      </c>
      <c r="W622">
        <f>IFERROR(INDEX(_DATA_Assessment_Model!$X$5:$X$884,MATCH($E622,_DATA_Assessment_Model!$A$5:$A$884,0)),"")</f>
        <v>5</v>
      </c>
      <c r="X622">
        <f>IFERROR(INDEX(_DATA_Assessment_Model!$Y$5:$Y$884,MATCH($E622,_DATA_Assessment_Model!$A$5:$A$884,0)),"")</f>
        <v>5</v>
      </c>
      <c r="Y622" t="s">
        <v>1564</v>
      </c>
      <c r="Z622" t="s">
        <v>6289</v>
      </c>
      <c r="AA622" t="s">
        <v>1575</v>
      </c>
      <c r="AB622">
        <f>IFERROR(INDEX(_DATA_Assessment_Model!$U$5:$U$884,MATCH($E622,_DATA_Assessment_Model!$A$5:$A$884,0)),"")</f>
        <v>0</v>
      </c>
      <c r="AF622" t="s">
        <v>1574</v>
      </c>
      <c r="AO622">
        <f>IF($B622="Yes",IF(IFERROR(INDEX(_ENGINE_Crisis!$F$501:$F$517,MATCH($C622,_ENGINE_Crisis!$A$501:$A$517,0)),1)=0,1,IFERROR(INDEX(_ENGINE_Crisis!$F$501:$F$517,MATCH($C622,_ENGINE_Crisis!$A$501:$A$517,0)),1)),"")</f>
        <v>1</v>
      </c>
      <c r="AP622">
        <f t="shared" si="69"/>
        <v>17.5</v>
      </c>
      <c r="AQ622">
        <f t="shared" si="70"/>
        <v>1.61</v>
      </c>
      <c r="AR622" t="str">
        <f>IFERROR(INDEX(_ENGINE_Crisis!$E$41:$E$700,MATCH('Resilience &amp; Risk Scenario'!$B$6&amp;"|"&amp;$C622,_ENGINE_Crisis!$I$41:$I$700,0)),"")</f>
        <v/>
      </c>
      <c r="AS622" t="str">
        <f>IFERROR(INDEX(_ENGINE_Crisis!$G$41:$G$700,MATCH('Resilience &amp; Risk Scenario'!$B$6&amp;"|"&amp;$C622,_ENGINE_Crisis!$I$41:$I$700,0)),"")</f>
        <v/>
      </c>
      <c r="AT622" t="str">
        <f>IFERROR(INDEX(_ENGINE_Initiatives!$A$5:$A$532,MATCH(1,INDEX((_ENGINE_Initiatives!$B$5:$B$532=$C622)*(_ENGINE_Initiatives!$C$5:$C$532=$D622),0),0)),"")</f>
        <v>INI-019</v>
      </c>
      <c r="AU622" t="str">
        <f>IFERROR(INDEX(_ENGINE_Initiatives!$F$5:$F$532,MATCH(1,INDEX((_ENGINE_Initiatives!$B$5:$B$532=$C622)*(_ENGINE_Initiatives!$C$5:$C$532=$D622),0),0)),"")</f>
        <v>Implement compliance obligation monitoring and crisis legal controls</v>
      </c>
      <c r="AV622">
        <f>IFERROR(INDEX(_ENGINE_Initiatives!$AC$5:$AC$532,MATCH(1,INDEX((_ENGINE_Initiatives!$B$5:$B$532=$C622)*(_ENGINE_Initiatives!$C$5:$C$532=$D622),0),0)),"")</f>
        <v>2.61</v>
      </c>
      <c r="AW622" t="str">
        <f>IFERROR(INDEX(_ENGINE_Initiatives!$AE$5:$AE$532,MATCH(1,INDEX((_ENGINE_Initiatives!$B$5:$B$532=$C622)*(_ENGINE_Initiatives!$C$5:$C$532=$D622),0),0)),"")</f>
        <v>0-90 days</v>
      </c>
      <c r="AX622">
        <f>IF($B622="Yes",IFERROR((IF(SUMIFS(_REF_Model_Content!$E$1:$E$613,_REF_Model_Content!$A$1:$A$613,PV_Canonical_Industry,_REF_Model_Content!$B$1:$B$613,$C622)=0,1,SUMIFS(_REF_Model_Content!$E$1:$E$613,_REF_Model_Content!$A$1:$A$613,PV_Canonical_Industry,_REF_Model_Content!$B$1:$B$613,$C622))*IFERROR($BU622,1)),1),"")</f>
        <v>1</v>
      </c>
      <c r="AY622">
        <f t="shared" si="71"/>
        <v>17.5</v>
      </c>
      <c r="AZ622">
        <f t="shared" si="72"/>
        <v>1.61</v>
      </c>
      <c r="BB622" t="str">
        <f>IF($H622="","",IFERROR(INDEX(_ENGINE_Risk!$AE$5:$AE$499,MATCH($E622,_ENGINE_Risk!$A$5:$A$499,0)),"Medium"))</f>
        <v>Slow</v>
      </c>
      <c r="BC622">
        <f t="shared" si="73"/>
        <v>0.85</v>
      </c>
      <c r="BD622">
        <f t="shared" si="74"/>
        <v>1.61</v>
      </c>
      <c r="BF622">
        <f>IF(OR($H622="",$J622=""),"",IFERROR(VLOOKUP(ROUND($J622,0),_CONFIG_Model_Settings!$D$154:$E$158,2,0),""))</f>
        <v>0.5</v>
      </c>
      <c r="BG622">
        <f>IFERROR(IF(OR($H622="",$K622=""),"",ROUND('Company Profile'!$B$113*INDEX(_CONFIG_Model_Settings!$H$154:$H$158,MATCH(ROUND($K622,0),_CONFIG_Model_Settings!$G$154:$G$158,0)),0)),0)</f>
        <v>1875</v>
      </c>
      <c r="BH622">
        <f t="shared" si="75"/>
        <v>937.5</v>
      </c>
      <c r="BI622">
        <f t="shared" si="76"/>
        <v>937.5</v>
      </c>
      <c r="BJ622">
        <f>IF($E622="","",IFERROR(VLOOKUP($C622,_CONFIG_Risk_Calibration!$A$5:$H$21,2,FALSE),3))</f>
        <v>3</v>
      </c>
      <c r="BK622">
        <f>IF($E622="","",IFERROR(VLOOKUP($C622,_CONFIG_Risk_Calibration!$A$5:$H$21,3,FALSE),0))</f>
        <v>0</v>
      </c>
      <c r="BL622">
        <f>IF($E622="","",IFERROR(VLOOKUP($C622,_CONFIG_Risk_Calibration!$A$5:$H$21,4,FALSE),3))</f>
        <v>3</v>
      </c>
      <c r="BM622">
        <f>IF($E622="","",IFERROR(VLOOKUP($C622,_CONFIG_Risk_Calibration!$A$5:$H$21,5,FALSE),3))</f>
        <v>4</v>
      </c>
      <c r="BN622" t="str">
        <f>IF($E622="","",IFERROR(VLOOKUP($C622,_CONFIG_Risk_Calibration!$A$5:$H$21,6,FALSE),"No"))</f>
        <v>Yes</v>
      </c>
      <c r="BO622">
        <f>IF($E622="","",IFERROR(VLOOKUP($C622,_CONFIG_Risk_Calibration!$A$5:$H$21,7,FALSE),1))</f>
        <v>5</v>
      </c>
      <c r="BP622">
        <f>IF($H622="","",MAX(1,MIN(5,((6-$H622)*0.45)+($BJ622*0.2)+('Resilience &amp; Risk Scenario'!$B$7*0.15)+($BK622*0.1)+($BL622*0.05)+(IF($BB622="Fast",5,IF($BB622="Slow",1,3))*0.05))))</f>
        <v>3.5</v>
      </c>
      <c r="BQ622">
        <f t="shared" si="77"/>
        <v>5</v>
      </c>
      <c r="BR622">
        <f t="shared" si="78"/>
        <v>17.5</v>
      </c>
      <c r="BS622">
        <f t="shared" si="79"/>
        <v>16.36</v>
      </c>
      <c r="BT622" t="str">
        <f>IFERROR(INDEX(_REF_Capability_Bridge!$D:$D,MATCH($C622&amp;"|"&amp;$D622,_REF_Capability_Bridge!$J:$J,0)),IFERROR(INDEX(_REF_Capability_Bridge!$D:$D,MATCH($C622&amp;"|",_REF_Capability_Bridge!$J:$J,0)),"CAP_GENERIC"))</f>
        <v>CAP_PAYMENT_CONTINUITY</v>
      </c>
      <c r="BU622">
        <f>IFERROR(IFERROR(INDEX(_ENGINE_Relevance!$L:$L,MATCH($BT622,_ENGINE_Relevance!$B:$B,0)),1),1)</f>
        <v>1</v>
      </c>
      <c r="BV622" t="str">
        <f>IFERROR(INDEX(_REF_Capability_Bridge!$A:$A,MATCH($C622&amp;"|"&amp;$D622,_REF_Capability_Bridge!$J:$J,0)),IFERROR(INDEX(_REF_Capability_Bridge!$A:$A,MATCH($C622&amp;"|",_REF_Capability_Bridge!$J:$J,0)),"No bridge"))</f>
        <v>BRG-050</v>
      </c>
      <c r="BW622" t="str">
        <f t="shared" si="80"/>
        <v>Capability relevance neutral</v>
      </c>
      <c r="BX622" t="str">
        <f t="shared" si="81"/>
        <v>Initial / absent</v>
      </c>
      <c r="BY622" t="str">
        <f>IF($E622="","",IFERROR(INDEX(_REF_Treatment_Library!$A$2:$A$296,MATCH(1,INDEX((_REF_Treatment_Library!$B$2:$B$296=$BT622)*(_REF_Treatment_Library!$C$2:$C$296=PV_Canonical_Industry)*(_REF_Treatment_Library!$E$2:$E$296&lt;=N($H622))*(_REF_Treatment_Library!$F$2:$F$296&gt;=N($H622))*(_REF_Treatment_Library!$O$2:$O$296="Yes"),0),0)),IFERROR(INDEX(_REF_Treatment_Library!$A$2:$A$296,MATCH(1,INDEX((_REF_Treatment_Library!$B$2:$B$296=$BT622)*(_REF_Treatment_Library!$C$2:$C$296="All")*(_REF_Treatment_Library!$E$2:$E$296&lt;=N($H622))*(_REF_Treatment_Library!$F$2:$F$296&gt;=N($H622))*(_REF_Treatment_Library!$O$2:$O$296="Yes"),0),0)),"")))</f>
        <v>TRT-PAYMENT_CONTINUITY-INITIAL</v>
      </c>
      <c r="BZ622" t="str">
        <f>IF($BY622="","",IFERROR(INDEX(_REF_Treatment_Library!$H$2:$H$296,MATCH($BY622,_REF_Treatment_Library!$A$2:$A$296,0)),""))</f>
        <v>Establish</v>
      </c>
      <c r="CA622" t="str">
        <f>IF($BY622="","",IFERROR(INDEX(_REF_Treatment_Library!$I$2:$I$296,MATCH($BY622,_REF_Treatment_Library!$A$2:$A$296,0)),""))</f>
        <v>Establish baseline controls for Payment continuity</v>
      </c>
      <c r="CB622" t="str">
        <f>IF($BY622="","",IFERROR(INDEX(_REF_Treatment_Library!$K$2:$K$296,MATCH($BY622,_REF_Treatment_Library!$A$2:$A$296,0)),""))</f>
        <v>Named owner, baseline process, minimum control checklist, first evidence package</v>
      </c>
      <c r="CC622" t="str">
        <f>IF($BY622="","",IFERROR(INDEX(_REF_Treatment_Library!$L$2:$L$296,MATCH($BY622,_REF_Treatment_Library!$A$2:$A$296,0)),""))</f>
        <v>Owner assigned; baseline evidence coverage; open critical gaps</v>
      </c>
      <c r="CD622" t="str">
        <f t="shared" si="82"/>
        <v>Treatment by capability=CAP_PAYMENT_CONTINUITY; band=Initial / absent; score=0.0; treatment=Establish</v>
      </c>
      <c r="CE622" t="str">
        <f>IF($E622="","",IFERROR(INDEX(_REF_Industry_Wording!$A$2:$A$70,MATCH(1,INDEX((_REF_Industry_Wording!$B$2:$B$70=$BT622)*(_REF_Industry_Wording!$C$2:$C$70=PV_Canonical_Industry)*(_REF_Industry_Wording!$K$2:$K$70="Yes"),0),0)),IFERROR(INDEX(_REF_Industry_Wording!$A$2:$A$70,MATCH(1,INDEX((_REF_Industry_Wording!$B$2:$B$70=$BT622)*(_REF_Industry_Wording!$C$2:$C$70="All")*(_REF_Industry_Wording!$K$2:$K$70="Yes"),0),0)),"")))</f>
        <v>IW-ALL-PAYMENT_CONTINUITY</v>
      </c>
      <c r="CF622" t="str">
        <f>IF($CE622="","",IFERROR(INDEX(_REF_Industry_Wording!$E$2:$E$70,MATCH($CE622,_REF_Industry_Wording!$A$2:$A$70,0)),""))</f>
        <v>Payment continuity weakness</v>
      </c>
      <c r="CG622" t="str">
        <f>IF($CE622="","",IFERROR(INDEX(_REF_Industry_Wording!$F$2:$F$70,MATCH($CE622,_REF_Industry_Wording!$A$2:$A$70,0)),""))</f>
        <v>Strengthen Payment continuity</v>
      </c>
      <c r="CH622" t="str">
        <f>IF($CE622="","",IFERROR(INDEX(_REF_Industry_Wording!$G$2:$G$70,MATCH($CE622,_REF_Industry_Wording!$A$2:$A$70,0)),""))</f>
        <v>Strengthen Payment continuity using the selected maturity treatment, crisis scenario and evidence requirements.</v>
      </c>
      <c r="CI622" t="str">
        <f>IF($CE622="","",IFERROR(INDEX(_REF_Industry_Wording!$H$2:$H$70,MATCH($CE622,_REF_Industry_Wording!$A$2:$A$70,0)),""))</f>
        <v>Payment continuity</v>
      </c>
      <c r="CJ622">
        <f>IF($CE622="","",IFERROR(INDEX(_REF_Industry_Wording!$I$2:$I$70,MATCH($CE622,_REF_Industry_Wording!$A$2:$A$70,0)),""))</f>
        <v>0</v>
      </c>
      <c r="CK622" t="str">
        <f>IF($CE622="","",IFERROR(INDEX(_REF_Industry_Wording!$J$2:$J$70,MATCH($CE622,_REF_Industry_Wording!$A$2:$A$70,0)),""))</f>
        <v>Payment continuity</v>
      </c>
      <c r="CL622" t="str">
        <f t="shared" si="83"/>
        <v>Wording by industry=0; capability=CAP_PAYMENT_CONTINUITY; risk label=Payment continuity weakness</v>
      </c>
      <c r="CM622" t="str">
        <f t="shared" si="84"/>
        <v>RISK-ONT-0123</v>
      </c>
      <c r="CN622" t="str">
        <f t="shared" si="85"/>
        <v>RISK-EVT-0123</v>
      </c>
      <c r="CO622" t="str">
        <f t="shared" si="86"/>
        <v>Legal Risk|Compliance|LEGA-004|CAP_PAYMENT_CONTINUITY</v>
      </c>
      <c r="CP622" t="str">
        <f t="shared" si="87"/>
        <v>Active</v>
      </c>
      <c r="CQ622" t="str">
        <f t="shared" si="88"/>
        <v>OK: capability-driven</v>
      </c>
      <c r="CR622" t="str">
        <f t="shared" si="89"/>
        <v>Risk ontology uses capability=CAP_PAYMENT_CONTINUITY; bridge=BRG-050; treatment=TRT-PAYMENT_CONTINUITY-INITIAL; wording=IW-ALL-PAYMENT_CONTINUITY</v>
      </c>
      <c r="CS622" t="str">
        <f t="shared" si="90"/>
        <v>Yes</v>
      </c>
    </row>
    <row r="623" spans="1:97" ht="69.900000000000006" customHeight="1">
      <c r="A623">
        <f>IF(OR($B623&lt;&gt;"Yes",$BS623=""),"",SUMPRODUCT(($B$500:$B$923="Yes")*ISNUMBER($BS$500:$BS$923)*($BS$500:$BS$923&gt;$BS623))+COUNTIFS($B$500:$B623,"Yes",$BS$500:$BS623,$BS623))</f>
        <v>271</v>
      </c>
      <c r="B623" t="str">
        <f t="shared" si="59"/>
        <v>Yes</v>
      </c>
      <c r="C623" t="s">
        <v>1551</v>
      </c>
      <c r="D623" t="s">
        <v>1553</v>
      </c>
      <c r="E623" t="s">
        <v>1583</v>
      </c>
      <c r="F623" t="s">
        <v>3684</v>
      </c>
      <c r="G623" t="str">
        <f>IF($H623="","",IFERROR(INDEX(_ENGINE_Risk!$H$5:$M$499,MATCH($E623,_ENGINE_Risk!$A$5:$A$499,0),$H623+1),""))</f>
        <v>Severe risk: whistleblowing and misconduct reporting mechanism with investigation process is not reliably controlled. During Regulatory/legal shock; Contractual exposure; Data breach, the organization may face contractual disputes, compliance breaches, regulatory penalties and delayed legal response with limited visibility or accountability.</v>
      </c>
      <c r="H623">
        <f>IFERROR(VALUE(INDEX(_DATA_Assessment_Model!$H$5:$H$884,MATCH($E623,_DATA_Assessment_Model!$A$5:$A$884,0))),"")</f>
        <v>0</v>
      </c>
      <c r="I623" t="str">
        <f>IF($H623="","",IFERROR(INDEX(_DATA_Assessment_Model!$L$5:$L$884,MATCH($E623,_DATA_Assessment_Model!$A$5:$A$884,0)),IF($H623&lt;=1,"Critical",IF($H623=2,"High",IF($H623=3,"Medium",IF($H623=4,"Low","Resilient"))))))</f>
        <v>Critical</v>
      </c>
      <c r="J623">
        <f t="shared" si="60"/>
        <v>3.5</v>
      </c>
      <c r="K623">
        <f t="shared" si="61"/>
        <v>5</v>
      </c>
      <c r="L623">
        <f t="shared" si="62"/>
        <v>17.5</v>
      </c>
      <c r="M623">
        <f t="shared" si="63"/>
        <v>4</v>
      </c>
      <c r="N623">
        <f>IF($H623="","",IFERROR(INDEX(_ENGINE_Risk!$T$5:$Y$499,MATCH($E623,_ENGINE_Risk!$A$5:$A$499,0),$H623+1),""))</f>
        <v>3</v>
      </c>
      <c r="O623">
        <f t="shared" si="64"/>
        <v>4.333333333333333</v>
      </c>
      <c r="P623">
        <f t="shared" si="65"/>
        <v>5</v>
      </c>
      <c r="Q623">
        <f t="shared" si="66"/>
        <v>5</v>
      </c>
      <c r="R623">
        <f t="shared" si="67"/>
        <v>5</v>
      </c>
      <c r="S623">
        <f t="shared" si="68"/>
        <v>1.61</v>
      </c>
      <c r="T623" t="str">
        <f>IF($H623="","",IFERROR(INDEX(_ENGINE_Risk!$N$5:$S$499,MATCH($E623,_ENGINE_Risk!$A$5:$A$499,0),$H623+1),""))</f>
        <v>Create an immediate risk owner, minimum control baseline and fallback procedure for whistleblowing and misconduct reporting mechanism with investigation process. Add it to the crisis risk register and collect first evidence.</v>
      </c>
      <c r="U623">
        <f>IFERROR(INDEX(_DATA_Assessment_Model!$G$5:$G$884,MATCH($E623,_DATA_Assessment_Model!$A$5:$A$884,0)),"")</f>
        <v>3</v>
      </c>
      <c r="V623">
        <f>IFERROR(INDEX(_DATA_Assessment_Model!$W$5:$W$884,MATCH($E623,_DATA_Assessment_Model!$A$5:$A$884,0)),"")</f>
        <v>5</v>
      </c>
      <c r="W623">
        <f>IFERROR(INDEX(_DATA_Assessment_Model!$X$5:$X$884,MATCH($E623,_DATA_Assessment_Model!$A$5:$A$884,0)),"")</f>
        <v>5</v>
      </c>
      <c r="X623">
        <f>IFERROR(INDEX(_DATA_Assessment_Model!$Y$5:$Y$884,MATCH($E623,_DATA_Assessment_Model!$A$5:$A$884,0)),"")</f>
        <v>5</v>
      </c>
      <c r="Y623" t="s">
        <v>1564</v>
      </c>
      <c r="Z623" t="s">
        <v>6289</v>
      </c>
      <c r="AA623" t="s">
        <v>1585</v>
      </c>
      <c r="AB623">
        <f>IFERROR(INDEX(_DATA_Assessment_Model!$U$5:$U$884,MATCH($E623,_DATA_Assessment_Model!$A$5:$A$884,0)),"")</f>
        <v>0</v>
      </c>
      <c r="AF623" t="s">
        <v>1584</v>
      </c>
      <c r="AO623">
        <f>IF($B623="Yes",IF(IFERROR(INDEX(_ENGINE_Crisis!$F$501:$F$517,MATCH($C623,_ENGINE_Crisis!$A$501:$A$517,0)),1)=0,1,IFERROR(INDEX(_ENGINE_Crisis!$F$501:$F$517,MATCH($C623,_ENGINE_Crisis!$A$501:$A$517,0)),1)),"")</f>
        <v>1</v>
      </c>
      <c r="AP623">
        <f t="shared" si="69"/>
        <v>17.5</v>
      </c>
      <c r="AQ623">
        <f t="shared" si="70"/>
        <v>1.61</v>
      </c>
      <c r="AR623" t="str">
        <f>IFERROR(INDEX(_ENGINE_Crisis!$E$41:$E$700,MATCH('Resilience &amp; Risk Scenario'!$B$6&amp;"|"&amp;$C623,_ENGINE_Crisis!$I$41:$I$700,0)),"")</f>
        <v/>
      </c>
      <c r="AS623" t="str">
        <f>IFERROR(INDEX(_ENGINE_Crisis!$G$41:$G$700,MATCH('Resilience &amp; Risk Scenario'!$B$6&amp;"|"&amp;$C623,_ENGINE_Crisis!$I$41:$I$700,0)),"")</f>
        <v/>
      </c>
      <c r="AT623" t="str">
        <f>IFERROR(INDEX(_ENGINE_Initiatives!$A$5:$A$532,MATCH(1,INDEX((_ENGINE_Initiatives!$B$5:$B$532=$C623)*(_ENGINE_Initiatives!$C$5:$C$532=$D623),0),0)),"")</f>
        <v>INI-019</v>
      </c>
      <c r="AU623" t="str">
        <f>IFERROR(INDEX(_ENGINE_Initiatives!$F$5:$F$532,MATCH(1,INDEX((_ENGINE_Initiatives!$B$5:$B$532=$C623)*(_ENGINE_Initiatives!$C$5:$C$532=$D623),0),0)),"")</f>
        <v>Implement compliance obligation monitoring and crisis legal controls</v>
      </c>
      <c r="AV623">
        <f>IFERROR(INDEX(_ENGINE_Initiatives!$AC$5:$AC$532,MATCH(1,INDEX((_ENGINE_Initiatives!$B$5:$B$532=$C623)*(_ENGINE_Initiatives!$C$5:$C$532=$D623),0),0)),"")</f>
        <v>2.61</v>
      </c>
      <c r="AW623" t="str">
        <f>IFERROR(INDEX(_ENGINE_Initiatives!$AE$5:$AE$532,MATCH(1,INDEX((_ENGINE_Initiatives!$B$5:$B$532=$C623)*(_ENGINE_Initiatives!$C$5:$C$532=$D623),0),0)),"")</f>
        <v>0-90 days</v>
      </c>
      <c r="AX623">
        <f>IF($B623="Yes",IFERROR((IF(SUMIFS(_REF_Model_Content!$E$1:$E$613,_REF_Model_Content!$A$1:$A$613,PV_Canonical_Industry,_REF_Model_Content!$B$1:$B$613,$C623)=0,1,SUMIFS(_REF_Model_Content!$E$1:$E$613,_REF_Model_Content!$A$1:$A$613,PV_Canonical_Industry,_REF_Model_Content!$B$1:$B$613,$C623))*IFERROR($BU623,1)),1),"")</f>
        <v>1</v>
      </c>
      <c r="AY623">
        <f t="shared" si="71"/>
        <v>17.5</v>
      </c>
      <c r="AZ623">
        <f t="shared" si="72"/>
        <v>1.61</v>
      </c>
      <c r="BB623" t="str">
        <f>IF($H623="","",IFERROR(INDEX(_ENGINE_Risk!$AE$5:$AE$499,MATCH($E623,_ENGINE_Risk!$A$5:$A$499,0)),"Medium"))</f>
        <v>Slow</v>
      </c>
      <c r="BC623">
        <f t="shared" si="73"/>
        <v>0.85</v>
      </c>
      <c r="BD623">
        <f t="shared" si="74"/>
        <v>1.61</v>
      </c>
      <c r="BF623">
        <f>IF(OR($H623="",$J623=""),"",IFERROR(VLOOKUP(ROUND($J623,0),_CONFIG_Model_Settings!$D$154:$E$158,2,0),""))</f>
        <v>0.5</v>
      </c>
      <c r="BG623">
        <f>IFERROR(IF(OR($H623="",$K623=""),"",ROUND('Company Profile'!$B$113*INDEX(_CONFIG_Model_Settings!$H$154:$H$158,MATCH(ROUND($K623,0),_CONFIG_Model_Settings!$G$154:$G$158,0)),0)),0)</f>
        <v>1875</v>
      </c>
      <c r="BH623">
        <f t="shared" si="75"/>
        <v>937.5</v>
      </c>
      <c r="BI623">
        <f t="shared" si="76"/>
        <v>937.5</v>
      </c>
      <c r="BJ623">
        <f>IF($E623="","",IFERROR(VLOOKUP($C623,_CONFIG_Risk_Calibration!$A$5:$H$21,2,FALSE),3))</f>
        <v>3</v>
      </c>
      <c r="BK623">
        <f>IF($E623="","",IFERROR(VLOOKUP($C623,_CONFIG_Risk_Calibration!$A$5:$H$21,3,FALSE),0))</f>
        <v>0</v>
      </c>
      <c r="BL623">
        <f>IF($E623="","",IFERROR(VLOOKUP($C623,_CONFIG_Risk_Calibration!$A$5:$H$21,4,FALSE),3))</f>
        <v>3</v>
      </c>
      <c r="BM623">
        <f>IF($E623="","",IFERROR(VLOOKUP($C623,_CONFIG_Risk_Calibration!$A$5:$H$21,5,FALSE),3))</f>
        <v>4</v>
      </c>
      <c r="BN623" t="str">
        <f>IF($E623="","",IFERROR(VLOOKUP($C623,_CONFIG_Risk_Calibration!$A$5:$H$21,6,FALSE),"No"))</f>
        <v>Yes</v>
      </c>
      <c r="BO623">
        <f>IF($E623="","",IFERROR(VLOOKUP($C623,_CONFIG_Risk_Calibration!$A$5:$H$21,7,FALSE),1))</f>
        <v>5</v>
      </c>
      <c r="BP623">
        <f>IF($H623="","",MAX(1,MIN(5,((6-$H623)*0.45)+($BJ623*0.2)+('Resilience &amp; Risk Scenario'!$B$7*0.15)+($BK623*0.1)+($BL623*0.05)+(IF($BB623="Fast",5,IF($BB623="Slow",1,3))*0.05))))</f>
        <v>3.5</v>
      </c>
      <c r="BQ623">
        <f t="shared" si="77"/>
        <v>5</v>
      </c>
      <c r="BR623">
        <f t="shared" si="78"/>
        <v>17.5</v>
      </c>
      <c r="BS623">
        <f t="shared" si="79"/>
        <v>16.36</v>
      </c>
      <c r="BT623" t="str">
        <f>IFERROR(INDEX(_REF_Capability_Bridge!$D:$D,MATCH($C623&amp;"|"&amp;$D623,_REF_Capability_Bridge!$J:$J,0)),IFERROR(INDEX(_REF_Capability_Bridge!$D:$D,MATCH($C623&amp;"|",_REF_Capability_Bridge!$J:$J,0)),"CAP_GENERIC"))</f>
        <v>CAP_PAYMENT_CONTINUITY</v>
      </c>
      <c r="BU623">
        <f>IFERROR(IFERROR(INDEX(_ENGINE_Relevance!$L:$L,MATCH($BT623,_ENGINE_Relevance!$B:$B,0)),1),1)</f>
        <v>1</v>
      </c>
      <c r="BV623" t="str">
        <f>IFERROR(INDEX(_REF_Capability_Bridge!$A:$A,MATCH($C623&amp;"|"&amp;$D623,_REF_Capability_Bridge!$J:$J,0)),IFERROR(INDEX(_REF_Capability_Bridge!$A:$A,MATCH($C623&amp;"|",_REF_Capability_Bridge!$J:$J,0)),"No bridge"))</f>
        <v>BRG-050</v>
      </c>
      <c r="BW623" t="str">
        <f t="shared" si="80"/>
        <v>Capability relevance neutral</v>
      </c>
      <c r="BX623" t="str">
        <f t="shared" si="81"/>
        <v>Initial / absent</v>
      </c>
      <c r="BY623" t="str">
        <f>IF($E623="","",IFERROR(INDEX(_REF_Treatment_Library!$A$2:$A$296,MATCH(1,INDEX((_REF_Treatment_Library!$B$2:$B$296=$BT623)*(_REF_Treatment_Library!$C$2:$C$296=PV_Canonical_Industry)*(_REF_Treatment_Library!$E$2:$E$296&lt;=N($H623))*(_REF_Treatment_Library!$F$2:$F$296&gt;=N($H623))*(_REF_Treatment_Library!$O$2:$O$296="Yes"),0),0)),IFERROR(INDEX(_REF_Treatment_Library!$A$2:$A$296,MATCH(1,INDEX((_REF_Treatment_Library!$B$2:$B$296=$BT623)*(_REF_Treatment_Library!$C$2:$C$296="All")*(_REF_Treatment_Library!$E$2:$E$296&lt;=N($H623))*(_REF_Treatment_Library!$F$2:$F$296&gt;=N($H623))*(_REF_Treatment_Library!$O$2:$O$296="Yes"),0),0)),"")))</f>
        <v>TRT-PAYMENT_CONTINUITY-INITIAL</v>
      </c>
      <c r="BZ623" t="str">
        <f>IF($BY623="","",IFERROR(INDEX(_REF_Treatment_Library!$H$2:$H$296,MATCH($BY623,_REF_Treatment_Library!$A$2:$A$296,0)),""))</f>
        <v>Establish</v>
      </c>
      <c r="CA623" t="str">
        <f>IF($BY623="","",IFERROR(INDEX(_REF_Treatment_Library!$I$2:$I$296,MATCH($BY623,_REF_Treatment_Library!$A$2:$A$296,0)),""))</f>
        <v>Establish baseline controls for Payment continuity</v>
      </c>
      <c r="CB623" t="str">
        <f>IF($BY623="","",IFERROR(INDEX(_REF_Treatment_Library!$K$2:$K$296,MATCH($BY623,_REF_Treatment_Library!$A$2:$A$296,0)),""))</f>
        <v>Named owner, baseline process, minimum control checklist, first evidence package</v>
      </c>
      <c r="CC623" t="str">
        <f>IF($BY623="","",IFERROR(INDEX(_REF_Treatment_Library!$L$2:$L$296,MATCH($BY623,_REF_Treatment_Library!$A$2:$A$296,0)),""))</f>
        <v>Owner assigned; baseline evidence coverage; open critical gaps</v>
      </c>
      <c r="CD623" t="str">
        <f t="shared" si="82"/>
        <v>Treatment by capability=CAP_PAYMENT_CONTINUITY; band=Initial / absent; score=0.0; treatment=Establish</v>
      </c>
      <c r="CE623" t="str">
        <f>IF($E623="","",IFERROR(INDEX(_REF_Industry_Wording!$A$2:$A$70,MATCH(1,INDEX((_REF_Industry_Wording!$B$2:$B$70=$BT623)*(_REF_Industry_Wording!$C$2:$C$70=PV_Canonical_Industry)*(_REF_Industry_Wording!$K$2:$K$70="Yes"),0),0)),IFERROR(INDEX(_REF_Industry_Wording!$A$2:$A$70,MATCH(1,INDEX((_REF_Industry_Wording!$B$2:$B$70=$BT623)*(_REF_Industry_Wording!$C$2:$C$70="All")*(_REF_Industry_Wording!$K$2:$K$70="Yes"),0),0)),"")))</f>
        <v>IW-ALL-PAYMENT_CONTINUITY</v>
      </c>
      <c r="CF623" t="str">
        <f>IF($CE623="","",IFERROR(INDEX(_REF_Industry_Wording!$E$2:$E$70,MATCH($CE623,_REF_Industry_Wording!$A$2:$A$70,0)),""))</f>
        <v>Payment continuity weakness</v>
      </c>
      <c r="CG623" t="str">
        <f>IF($CE623="","",IFERROR(INDEX(_REF_Industry_Wording!$F$2:$F$70,MATCH($CE623,_REF_Industry_Wording!$A$2:$A$70,0)),""))</f>
        <v>Strengthen Payment continuity</v>
      </c>
      <c r="CH623" t="str">
        <f>IF($CE623="","",IFERROR(INDEX(_REF_Industry_Wording!$G$2:$G$70,MATCH($CE623,_REF_Industry_Wording!$A$2:$A$70,0)),""))</f>
        <v>Strengthen Payment continuity using the selected maturity treatment, crisis scenario and evidence requirements.</v>
      </c>
      <c r="CI623" t="str">
        <f>IF($CE623="","",IFERROR(INDEX(_REF_Industry_Wording!$H$2:$H$70,MATCH($CE623,_REF_Industry_Wording!$A$2:$A$70,0)),""))</f>
        <v>Payment continuity</v>
      </c>
      <c r="CJ623">
        <f>IF($CE623="","",IFERROR(INDEX(_REF_Industry_Wording!$I$2:$I$70,MATCH($CE623,_REF_Industry_Wording!$A$2:$A$70,0)),""))</f>
        <v>0</v>
      </c>
      <c r="CK623" t="str">
        <f>IF($CE623="","",IFERROR(INDEX(_REF_Industry_Wording!$J$2:$J$70,MATCH($CE623,_REF_Industry_Wording!$A$2:$A$70,0)),""))</f>
        <v>Payment continuity</v>
      </c>
      <c r="CL623" t="str">
        <f t="shared" si="83"/>
        <v>Wording by industry=0; capability=CAP_PAYMENT_CONTINUITY; risk label=Payment continuity weakness</v>
      </c>
      <c r="CM623" t="str">
        <f t="shared" si="84"/>
        <v>RISK-ONT-0124</v>
      </c>
      <c r="CN623" t="str">
        <f t="shared" si="85"/>
        <v>RISK-EVT-0124</v>
      </c>
      <c r="CO623" t="str">
        <f t="shared" si="86"/>
        <v>Legal Risk|Compliance|LEGA-005|CAP_PAYMENT_CONTINUITY</v>
      </c>
      <c r="CP623" t="str">
        <f t="shared" si="87"/>
        <v>Active</v>
      </c>
      <c r="CQ623" t="str">
        <f t="shared" si="88"/>
        <v>OK: capability-driven</v>
      </c>
      <c r="CR623" t="str">
        <f t="shared" si="89"/>
        <v>Risk ontology uses capability=CAP_PAYMENT_CONTINUITY; bridge=BRG-050; treatment=TRT-PAYMENT_CONTINUITY-INITIAL; wording=IW-ALL-PAYMENT_CONTINUITY</v>
      </c>
      <c r="CS623" t="str">
        <f t="shared" si="90"/>
        <v>Yes</v>
      </c>
    </row>
    <row r="624" spans="1:97" ht="69.900000000000006" customHeight="1">
      <c r="A624">
        <f>IF(OR($B624&lt;&gt;"Yes",$BS624=""),"",SUMPRODUCT(($B$500:$B$923="Yes")*ISNUMBER($BS$500:$BS$923)*($BS$500:$BS$923&gt;$BS624))+COUNTIFS($B$500:$B624,"Yes",$BS$500:$BS624,$BS624))</f>
        <v>272</v>
      </c>
      <c r="B624" t="str">
        <f t="shared" si="59"/>
        <v>Yes</v>
      </c>
      <c r="C624" t="s">
        <v>1551</v>
      </c>
      <c r="D624" t="s">
        <v>1553</v>
      </c>
      <c r="E624" t="s">
        <v>1592</v>
      </c>
      <c r="F624" t="s">
        <v>3684</v>
      </c>
      <c r="G624" t="str">
        <f>IF($H624="","",IFERROR(INDEX(_ENGINE_Risk!$H$5:$M$499,MATCH($E624,_ENGINE_Risk!$A$5:$A$499,0),$H624+1),""))</f>
        <v>Severe risk: legal support continuity if internal or external counsel is unavailable is not reliably controlled. During Regulatory/legal shock; Contractual exposure; Data breach, the organization may face contractual disputes, compliance breaches, regulatory penalties and delayed legal response with limited visibility or accountability.</v>
      </c>
      <c r="H624">
        <f>IFERROR(VALUE(INDEX(_DATA_Assessment_Model!$H$5:$H$884,MATCH($E624,_DATA_Assessment_Model!$A$5:$A$884,0))),"")</f>
        <v>0</v>
      </c>
      <c r="I624" t="str">
        <f>IF($H624="","",IFERROR(INDEX(_DATA_Assessment_Model!$L$5:$L$884,MATCH($E624,_DATA_Assessment_Model!$A$5:$A$884,0)),IF($H624&lt;=1,"Critical",IF($H624=2,"High",IF($H624=3,"Medium",IF($H624=4,"Low","Resilient"))))))</f>
        <v>Critical</v>
      </c>
      <c r="J624">
        <f t="shared" si="60"/>
        <v>3.5</v>
      </c>
      <c r="K624">
        <f t="shared" si="61"/>
        <v>5</v>
      </c>
      <c r="L624">
        <f t="shared" si="62"/>
        <v>17.5</v>
      </c>
      <c r="M624">
        <f t="shared" si="63"/>
        <v>4</v>
      </c>
      <c r="N624">
        <f>IF($H624="","",IFERROR(INDEX(_ENGINE_Risk!$T$5:$Y$499,MATCH($E624,_ENGINE_Risk!$A$5:$A$499,0),$H624+1),""))</f>
        <v>3</v>
      </c>
      <c r="O624">
        <f t="shared" si="64"/>
        <v>5</v>
      </c>
      <c r="P624">
        <f t="shared" si="65"/>
        <v>5</v>
      </c>
      <c r="Q624">
        <f t="shared" si="66"/>
        <v>5</v>
      </c>
      <c r="R624">
        <f t="shared" si="67"/>
        <v>5</v>
      </c>
      <c r="S624">
        <f t="shared" si="68"/>
        <v>1.67</v>
      </c>
      <c r="T624" t="str">
        <f>IF($H624="","",IFERROR(INDEX(_ENGINE_Risk!$N$5:$S$499,MATCH($E624,_ENGINE_Risk!$A$5:$A$499,0),$H624+1),""))</f>
        <v>Create an immediate risk owner, minimum control baseline and fallback procedure for legal support continuity if internal or external counsel is unavailable. Add it to the crisis risk register and collect first evidence.</v>
      </c>
      <c r="U624">
        <f>IFERROR(INDEX(_DATA_Assessment_Model!$G$5:$G$884,MATCH($E624,_DATA_Assessment_Model!$A$5:$A$884,0)),"")</f>
        <v>5</v>
      </c>
      <c r="V624">
        <f>IFERROR(INDEX(_DATA_Assessment_Model!$W$5:$W$884,MATCH($E624,_DATA_Assessment_Model!$A$5:$A$884,0)),"")</f>
        <v>5</v>
      </c>
      <c r="W624">
        <f>IFERROR(INDEX(_DATA_Assessment_Model!$X$5:$X$884,MATCH($E624,_DATA_Assessment_Model!$A$5:$A$884,0)),"")</f>
        <v>5</v>
      </c>
      <c r="X624">
        <f>IFERROR(INDEX(_DATA_Assessment_Model!$Y$5:$Y$884,MATCH($E624,_DATA_Assessment_Model!$A$5:$A$884,0)),"")</f>
        <v>5</v>
      </c>
      <c r="Y624" t="s">
        <v>1564</v>
      </c>
      <c r="Z624" t="s">
        <v>6289</v>
      </c>
      <c r="AA624" t="s">
        <v>1594</v>
      </c>
      <c r="AB624">
        <f>IFERROR(INDEX(_DATA_Assessment_Model!$U$5:$U$884,MATCH($E624,_DATA_Assessment_Model!$A$5:$A$884,0)),"")</f>
        <v>0</v>
      </c>
      <c r="AF624" t="s">
        <v>1593</v>
      </c>
      <c r="AO624">
        <f>IF($B624="Yes",IF(IFERROR(INDEX(_ENGINE_Crisis!$F$501:$F$517,MATCH($C624,_ENGINE_Crisis!$A$501:$A$517,0)),1)=0,1,IFERROR(INDEX(_ENGINE_Crisis!$F$501:$F$517,MATCH($C624,_ENGINE_Crisis!$A$501:$A$517,0)),1)),"")</f>
        <v>1</v>
      </c>
      <c r="AP624">
        <f t="shared" si="69"/>
        <v>17.5</v>
      </c>
      <c r="AQ624">
        <f t="shared" si="70"/>
        <v>1.67</v>
      </c>
      <c r="AR624" t="str">
        <f>IFERROR(INDEX(_ENGINE_Crisis!$E$41:$E$700,MATCH('Resilience &amp; Risk Scenario'!$B$6&amp;"|"&amp;$C624,_ENGINE_Crisis!$I$41:$I$700,0)),"")</f>
        <v/>
      </c>
      <c r="AS624" t="str">
        <f>IFERROR(INDEX(_ENGINE_Crisis!$G$41:$G$700,MATCH('Resilience &amp; Risk Scenario'!$B$6&amp;"|"&amp;$C624,_ENGINE_Crisis!$I$41:$I$700,0)),"")</f>
        <v/>
      </c>
      <c r="AT624" t="str">
        <f>IFERROR(INDEX(_ENGINE_Initiatives!$A$5:$A$532,MATCH(1,INDEX((_ENGINE_Initiatives!$B$5:$B$532=$C624)*(_ENGINE_Initiatives!$C$5:$C$532=$D624),0),0)),"")</f>
        <v>INI-019</v>
      </c>
      <c r="AU624" t="str">
        <f>IFERROR(INDEX(_ENGINE_Initiatives!$F$5:$F$532,MATCH(1,INDEX((_ENGINE_Initiatives!$B$5:$B$532=$C624)*(_ENGINE_Initiatives!$C$5:$C$532=$D624),0),0)),"")</f>
        <v>Implement compliance obligation monitoring and crisis legal controls</v>
      </c>
      <c r="AV624">
        <f>IFERROR(INDEX(_ENGINE_Initiatives!$AC$5:$AC$532,MATCH(1,INDEX((_ENGINE_Initiatives!$B$5:$B$532=$C624)*(_ENGINE_Initiatives!$C$5:$C$532=$D624),0),0)),"")</f>
        <v>2.61</v>
      </c>
      <c r="AW624" t="str">
        <f>IFERROR(INDEX(_ENGINE_Initiatives!$AE$5:$AE$532,MATCH(1,INDEX((_ENGINE_Initiatives!$B$5:$B$532=$C624)*(_ENGINE_Initiatives!$C$5:$C$532=$D624),0),0)),"")</f>
        <v>0-90 days</v>
      </c>
      <c r="AX624">
        <f>IF($B624="Yes",IFERROR((IF(SUMIFS(_REF_Model_Content!$E$1:$E$613,_REF_Model_Content!$A$1:$A$613,PV_Canonical_Industry,_REF_Model_Content!$B$1:$B$613,$C624)=0,1,SUMIFS(_REF_Model_Content!$E$1:$E$613,_REF_Model_Content!$A$1:$A$613,PV_Canonical_Industry,_REF_Model_Content!$B$1:$B$613,$C624))*IFERROR($BU624,1)),1),"")</f>
        <v>1</v>
      </c>
      <c r="AY624">
        <f t="shared" si="71"/>
        <v>17.5</v>
      </c>
      <c r="AZ624">
        <f t="shared" si="72"/>
        <v>1.67</v>
      </c>
      <c r="BB624" t="str">
        <f>IF($H624="","",IFERROR(INDEX(_ENGINE_Risk!$AE$5:$AE$499,MATCH($E624,_ENGINE_Risk!$A$5:$A$499,0)),"Medium"))</f>
        <v>Slow</v>
      </c>
      <c r="BC624">
        <f t="shared" si="73"/>
        <v>0.85</v>
      </c>
      <c r="BD624">
        <f t="shared" si="74"/>
        <v>1.67</v>
      </c>
      <c r="BF624">
        <f>IF(OR($H624="",$J624=""),"",IFERROR(VLOOKUP(ROUND($J624,0),_CONFIG_Model_Settings!$D$154:$E$158,2,0),""))</f>
        <v>0.5</v>
      </c>
      <c r="BG624">
        <f>IFERROR(IF(OR($H624="",$K624=""),"",ROUND('Company Profile'!$B$113*INDEX(_CONFIG_Model_Settings!$H$154:$H$158,MATCH(ROUND($K624,0),_CONFIG_Model_Settings!$G$154:$G$158,0)),0)),0)</f>
        <v>1875</v>
      </c>
      <c r="BH624">
        <f t="shared" si="75"/>
        <v>937.5</v>
      </c>
      <c r="BI624">
        <f t="shared" si="76"/>
        <v>937.5</v>
      </c>
      <c r="BJ624">
        <f>IF($E624="","",IFERROR(VLOOKUP($C624,_CONFIG_Risk_Calibration!$A$5:$H$21,2,FALSE),3))</f>
        <v>3</v>
      </c>
      <c r="BK624">
        <f>IF($E624="","",IFERROR(VLOOKUP($C624,_CONFIG_Risk_Calibration!$A$5:$H$21,3,FALSE),0))</f>
        <v>0</v>
      </c>
      <c r="BL624">
        <f>IF($E624="","",IFERROR(VLOOKUP($C624,_CONFIG_Risk_Calibration!$A$5:$H$21,4,FALSE),3))</f>
        <v>3</v>
      </c>
      <c r="BM624">
        <f>IF($E624="","",IFERROR(VLOOKUP($C624,_CONFIG_Risk_Calibration!$A$5:$H$21,5,FALSE),3))</f>
        <v>4</v>
      </c>
      <c r="BN624" t="str">
        <f>IF($E624="","",IFERROR(VLOOKUP($C624,_CONFIG_Risk_Calibration!$A$5:$H$21,6,FALSE),"No"))</f>
        <v>Yes</v>
      </c>
      <c r="BO624">
        <f>IF($E624="","",IFERROR(VLOOKUP($C624,_CONFIG_Risk_Calibration!$A$5:$H$21,7,FALSE),1))</f>
        <v>5</v>
      </c>
      <c r="BP624">
        <f>IF($H624="","",MAX(1,MIN(5,((6-$H624)*0.45)+($BJ624*0.2)+('Resilience &amp; Risk Scenario'!$B$7*0.15)+($BK624*0.1)+($BL624*0.05)+(IF($BB624="Fast",5,IF($BB624="Slow",1,3))*0.05))))</f>
        <v>3.5</v>
      </c>
      <c r="BQ624">
        <f t="shared" si="77"/>
        <v>5</v>
      </c>
      <c r="BR624">
        <f t="shared" si="78"/>
        <v>17.5</v>
      </c>
      <c r="BS624">
        <f t="shared" si="79"/>
        <v>16.36</v>
      </c>
      <c r="BT624" t="str">
        <f>IFERROR(INDEX(_REF_Capability_Bridge!$D:$D,MATCH($C624&amp;"|"&amp;$D624,_REF_Capability_Bridge!$J:$J,0)),IFERROR(INDEX(_REF_Capability_Bridge!$D:$D,MATCH($C624&amp;"|",_REF_Capability_Bridge!$J:$J,0)),"CAP_GENERIC"))</f>
        <v>CAP_PAYMENT_CONTINUITY</v>
      </c>
      <c r="BU624">
        <f>IFERROR(IFERROR(INDEX(_ENGINE_Relevance!$L:$L,MATCH($BT624,_ENGINE_Relevance!$B:$B,0)),1),1)</f>
        <v>1</v>
      </c>
      <c r="BV624" t="str">
        <f>IFERROR(INDEX(_REF_Capability_Bridge!$A:$A,MATCH($C624&amp;"|"&amp;$D624,_REF_Capability_Bridge!$J:$J,0)),IFERROR(INDEX(_REF_Capability_Bridge!$A:$A,MATCH($C624&amp;"|",_REF_Capability_Bridge!$J:$J,0)),"No bridge"))</f>
        <v>BRG-050</v>
      </c>
      <c r="BW624" t="str">
        <f t="shared" si="80"/>
        <v>Capability relevance neutral</v>
      </c>
      <c r="BX624" t="str">
        <f t="shared" si="81"/>
        <v>Initial / absent</v>
      </c>
      <c r="BY624" t="str">
        <f>IF($E624="","",IFERROR(INDEX(_REF_Treatment_Library!$A$2:$A$296,MATCH(1,INDEX((_REF_Treatment_Library!$B$2:$B$296=$BT624)*(_REF_Treatment_Library!$C$2:$C$296=PV_Canonical_Industry)*(_REF_Treatment_Library!$E$2:$E$296&lt;=N($H624))*(_REF_Treatment_Library!$F$2:$F$296&gt;=N($H624))*(_REF_Treatment_Library!$O$2:$O$296="Yes"),0),0)),IFERROR(INDEX(_REF_Treatment_Library!$A$2:$A$296,MATCH(1,INDEX((_REF_Treatment_Library!$B$2:$B$296=$BT624)*(_REF_Treatment_Library!$C$2:$C$296="All")*(_REF_Treatment_Library!$E$2:$E$296&lt;=N($H624))*(_REF_Treatment_Library!$F$2:$F$296&gt;=N($H624))*(_REF_Treatment_Library!$O$2:$O$296="Yes"),0),0)),"")))</f>
        <v>TRT-PAYMENT_CONTINUITY-INITIAL</v>
      </c>
      <c r="BZ624" t="str">
        <f>IF($BY624="","",IFERROR(INDEX(_REF_Treatment_Library!$H$2:$H$296,MATCH($BY624,_REF_Treatment_Library!$A$2:$A$296,0)),""))</f>
        <v>Establish</v>
      </c>
      <c r="CA624" t="str">
        <f>IF($BY624="","",IFERROR(INDEX(_REF_Treatment_Library!$I$2:$I$296,MATCH($BY624,_REF_Treatment_Library!$A$2:$A$296,0)),""))</f>
        <v>Establish baseline controls for Payment continuity</v>
      </c>
      <c r="CB624" t="str">
        <f>IF($BY624="","",IFERROR(INDEX(_REF_Treatment_Library!$K$2:$K$296,MATCH($BY624,_REF_Treatment_Library!$A$2:$A$296,0)),""))</f>
        <v>Named owner, baseline process, minimum control checklist, first evidence package</v>
      </c>
      <c r="CC624" t="str">
        <f>IF($BY624="","",IFERROR(INDEX(_REF_Treatment_Library!$L$2:$L$296,MATCH($BY624,_REF_Treatment_Library!$A$2:$A$296,0)),""))</f>
        <v>Owner assigned; baseline evidence coverage; open critical gaps</v>
      </c>
      <c r="CD624" t="str">
        <f t="shared" si="82"/>
        <v>Treatment by capability=CAP_PAYMENT_CONTINUITY; band=Initial / absent; score=0.0; treatment=Establish</v>
      </c>
      <c r="CE624" t="str">
        <f>IF($E624="","",IFERROR(INDEX(_REF_Industry_Wording!$A$2:$A$70,MATCH(1,INDEX((_REF_Industry_Wording!$B$2:$B$70=$BT624)*(_REF_Industry_Wording!$C$2:$C$70=PV_Canonical_Industry)*(_REF_Industry_Wording!$K$2:$K$70="Yes"),0),0)),IFERROR(INDEX(_REF_Industry_Wording!$A$2:$A$70,MATCH(1,INDEX((_REF_Industry_Wording!$B$2:$B$70=$BT624)*(_REF_Industry_Wording!$C$2:$C$70="All")*(_REF_Industry_Wording!$K$2:$K$70="Yes"),0),0)),"")))</f>
        <v>IW-ALL-PAYMENT_CONTINUITY</v>
      </c>
      <c r="CF624" t="str">
        <f>IF($CE624="","",IFERROR(INDEX(_REF_Industry_Wording!$E$2:$E$70,MATCH($CE624,_REF_Industry_Wording!$A$2:$A$70,0)),""))</f>
        <v>Payment continuity weakness</v>
      </c>
      <c r="CG624" t="str">
        <f>IF($CE624="","",IFERROR(INDEX(_REF_Industry_Wording!$F$2:$F$70,MATCH($CE624,_REF_Industry_Wording!$A$2:$A$70,0)),""))</f>
        <v>Strengthen Payment continuity</v>
      </c>
      <c r="CH624" t="str">
        <f>IF($CE624="","",IFERROR(INDEX(_REF_Industry_Wording!$G$2:$G$70,MATCH($CE624,_REF_Industry_Wording!$A$2:$A$70,0)),""))</f>
        <v>Strengthen Payment continuity using the selected maturity treatment, crisis scenario and evidence requirements.</v>
      </c>
      <c r="CI624" t="str">
        <f>IF($CE624="","",IFERROR(INDEX(_REF_Industry_Wording!$H$2:$H$70,MATCH($CE624,_REF_Industry_Wording!$A$2:$A$70,0)),""))</f>
        <v>Payment continuity</v>
      </c>
      <c r="CJ624">
        <f>IF($CE624="","",IFERROR(INDEX(_REF_Industry_Wording!$I$2:$I$70,MATCH($CE624,_REF_Industry_Wording!$A$2:$A$70,0)),""))</f>
        <v>0</v>
      </c>
      <c r="CK624" t="str">
        <f>IF($CE624="","",IFERROR(INDEX(_REF_Industry_Wording!$J$2:$J$70,MATCH($CE624,_REF_Industry_Wording!$A$2:$A$70,0)),""))</f>
        <v>Payment continuity</v>
      </c>
      <c r="CL624" t="str">
        <f t="shared" si="83"/>
        <v>Wording by industry=0; capability=CAP_PAYMENT_CONTINUITY; risk label=Payment continuity weakness</v>
      </c>
      <c r="CM624" t="str">
        <f t="shared" si="84"/>
        <v>RISK-ONT-0125</v>
      </c>
      <c r="CN624" t="str">
        <f t="shared" si="85"/>
        <v>RISK-EVT-0125</v>
      </c>
      <c r="CO624" t="str">
        <f t="shared" si="86"/>
        <v>Legal Risk|Compliance|LEGA-006|CAP_PAYMENT_CONTINUITY</v>
      </c>
      <c r="CP624" t="str">
        <f t="shared" si="87"/>
        <v>Active</v>
      </c>
      <c r="CQ624" t="str">
        <f t="shared" si="88"/>
        <v>OK: capability-driven</v>
      </c>
      <c r="CR624" t="str">
        <f t="shared" si="89"/>
        <v>Risk ontology uses capability=CAP_PAYMENT_CONTINUITY; bridge=BRG-050; treatment=TRT-PAYMENT_CONTINUITY-INITIAL; wording=IW-ALL-PAYMENT_CONTINUITY</v>
      </c>
      <c r="CS624" t="str">
        <f t="shared" si="90"/>
        <v>Yes</v>
      </c>
    </row>
    <row r="625" spans="1:97" ht="69.900000000000006" customHeight="1">
      <c r="A625">
        <f>IF(OR($B625&lt;&gt;"Yes",$BS625=""),"",SUMPRODUCT(($B$500:$B$923="Yes")*ISNUMBER($BS$500:$BS$923)*($BS$500:$BS$923&gt;$BS625))+COUNTIFS($B$500:$B625,"Yes",$BS$500:$BS625,$BS625))</f>
        <v>273</v>
      </c>
      <c r="B625" t="str">
        <f t="shared" si="59"/>
        <v>Yes</v>
      </c>
      <c r="C625" t="s">
        <v>1551</v>
      </c>
      <c r="D625" t="s">
        <v>1568</v>
      </c>
      <c r="E625" t="s">
        <v>1595</v>
      </c>
      <c r="F625" t="s">
        <v>3684</v>
      </c>
      <c r="G625" t="str">
        <f>IF($H625="","",IFERROR(INDEX(_ENGINE_Risk!$H$5:$M$499,MATCH($E625,_ENGINE_Risk!$A$5:$A$499,0),$H625+1),""))</f>
        <v>Severe risk: complete contract register for customers, suppliers, leases, loans, employment, insurance and IP is not reliably controlled. During Regulatory/legal shock; Contractual exposure; Data breach, the organization may face contractual disputes, compliance breaches, regulatory penalties and delayed legal response with limited visibility or accountability.</v>
      </c>
      <c r="H625">
        <f>IFERROR(VALUE(INDEX(_DATA_Assessment_Model!$H$5:$H$884,MATCH($E625,_DATA_Assessment_Model!$A$5:$A$884,0))),"")</f>
        <v>0</v>
      </c>
      <c r="I625" t="str">
        <f>IF($H625="","",IFERROR(INDEX(_DATA_Assessment_Model!$L$5:$L$884,MATCH($E625,_DATA_Assessment_Model!$A$5:$A$884,0)),IF($H625&lt;=1,"Critical",IF($H625=2,"High",IF($H625=3,"Medium",IF($H625=4,"Low","Resilient"))))))</f>
        <v>Critical</v>
      </c>
      <c r="J625">
        <f t="shared" si="60"/>
        <v>3.5</v>
      </c>
      <c r="K625">
        <f t="shared" si="61"/>
        <v>5</v>
      </c>
      <c r="L625">
        <f t="shared" si="62"/>
        <v>17.5</v>
      </c>
      <c r="M625">
        <f t="shared" si="63"/>
        <v>4</v>
      </c>
      <c r="N625">
        <f>IF($H625="","",IFERROR(INDEX(_ENGINE_Risk!$T$5:$Y$499,MATCH($E625,_ENGINE_Risk!$A$5:$A$499,0),$H625+1),""))</f>
        <v>3</v>
      </c>
      <c r="O625">
        <f t="shared" si="64"/>
        <v>5</v>
      </c>
      <c r="P625">
        <f t="shared" si="65"/>
        <v>5</v>
      </c>
      <c r="Q625">
        <f t="shared" si="66"/>
        <v>5</v>
      </c>
      <c r="R625">
        <f t="shared" si="67"/>
        <v>5</v>
      </c>
      <c r="S625">
        <f t="shared" si="68"/>
        <v>1.67</v>
      </c>
      <c r="T625" t="str">
        <f>IF($H625="","",IFERROR(INDEX(_ENGINE_Risk!$N$5:$S$499,MATCH($E625,_ENGINE_Risk!$A$5:$A$499,0),$H625+1),""))</f>
        <v>Create an immediate risk owner, minimum control baseline and fallback procedure for complete contract register for customers, suppliers, leases, loans, employment, insurance and IP. Add it to the crisis risk register and collect first evidence.</v>
      </c>
      <c r="U625">
        <f>IFERROR(INDEX(_DATA_Assessment_Model!$G$5:$G$884,MATCH($E625,_DATA_Assessment_Model!$A$5:$A$884,0)),"")</f>
        <v>5</v>
      </c>
      <c r="V625">
        <f>IFERROR(INDEX(_DATA_Assessment_Model!$W$5:$W$884,MATCH($E625,_DATA_Assessment_Model!$A$5:$A$884,0)),"")</f>
        <v>5</v>
      </c>
      <c r="W625">
        <f>IFERROR(INDEX(_DATA_Assessment_Model!$X$5:$X$884,MATCH($E625,_DATA_Assessment_Model!$A$5:$A$884,0)),"")</f>
        <v>5</v>
      </c>
      <c r="X625">
        <f>IFERROR(INDEX(_DATA_Assessment_Model!$Y$5:$Y$884,MATCH($E625,_DATA_Assessment_Model!$A$5:$A$884,0)),"")</f>
        <v>5</v>
      </c>
      <c r="Y625" t="s">
        <v>1564</v>
      </c>
      <c r="Z625" t="s">
        <v>6289</v>
      </c>
      <c r="AA625" t="s">
        <v>1597</v>
      </c>
      <c r="AB625">
        <f>IFERROR(INDEX(_DATA_Assessment_Model!$U$5:$U$884,MATCH($E625,_DATA_Assessment_Model!$A$5:$A$884,0)),"")</f>
        <v>0</v>
      </c>
      <c r="AF625" t="s">
        <v>1596</v>
      </c>
      <c r="AO625">
        <f>IF($B625="Yes",IF(IFERROR(INDEX(_ENGINE_Crisis!$F$501:$F$517,MATCH($C625,_ENGINE_Crisis!$A$501:$A$517,0)),1)=0,1,IFERROR(INDEX(_ENGINE_Crisis!$F$501:$F$517,MATCH($C625,_ENGINE_Crisis!$A$501:$A$517,0)),1)),"")</f>
        <v>1</v>
      </c>
      <c r="AP625">
        <f t="shared" si="69"/>
        <v>17.5</v>
      </c>
      <c r="AQ625">
        <f t="shared" si="70"/>
        <v>1.67</v>
      </c>
      <c r="AR625" t="str">
        <f>IFERROR(INDEX(_ENGINE_Crisis!$E$41:$E$700,MATCH('Resilience &amp; Risk Scenario'!$B$6&amp;"|"&amp;$C625,_ENGINE_Crisis!$I$41:$I$700,0)),"")</f>
        <v/>
      </c>
      <c r="AS625" t="str">
        <f>IFERROR(INDEX(_ENGINE_Crisis!$G$41:$G$700,MATCH('Resilience &amp; Risk Scenario'!$B$6&amp;"|"&amp;$C625,_ENGINE_Crisis!$I$41:$I$700,0)),"")</f>
        <v/>
      </c>
      <c r="AT625" t="str">
        <f>IFERROR(INDEX(_ENGINE_Initiatives!$A$5:$A$532,MATCH(1,INDEX((_ENGINE_Initiatives!$B$5:$B$532=$C625)*(_ENGINE_Initiatives!$C$5:$C$532=$D625),0),0)),"")</f>
        <v>INI-020</v>
      </c>
      <c r="AU625" t="str">
        <f>IFERROR(INDEX(_ENGINE_Initiatives!$F$5:$F$532,MATCH(1,INDEX((_ENGINE_Initiatives!$B$5:$B$532=$C625)*(_ENGINE_Initiatives!$C$5:$C$532=$D625),0),0)),"")</f>
        <v>Build contract register, obligations and force-majeure response model</v>
      </c>
      <c r="AV625">
        <f>IFERROR(INDEX(_ENGINE_Initiatives!$AC$5:$AC$532,MATCH(1,INDEX((_ENGINE_Initiatives!$B$5:$B$532=$C625)*(_ENGINE_Initiatives!$C$5:$C$532=$D625),0),0)),"")</f>
        <v>2.6</v>
      </c>
      <c r="AW625" t="str">
        <f>IFERROR(INDEX(_ENGINE_Initiatives!$AE$5:$AE$532,MATCH(1,INDEX((_ENGINE_Initiatives!$B$5:$B$532=$C625)*(_ENGINE_Initiatives!$C$5:$C$532=$D625),0),0)),"")</f>
        <v>0-90 days</v>
      </c>
      <c r="AX625">
        <f>IF($B625="Yes",IFERROR((IF(SUMIFS(_REF_Model_Content!$E$1:$E$613,_REF_Model_Content!$A$1:$A$613,PV_Canonical_Industry,_REF_Model_Content!$B$1:$B$613,$C625)=0,1,SUMIFS(_REF_Model_Content!$E$1:$E$613,_REF_Model_Content!$A$1:$A$613,PV_Canonical_Industry,_REF_Model_Content!$B$1:$B$613,$C625))*IFERROR($BU625,1)),1),"")</f>
        <v>1</v>
      </c>
      <c r="AY625">
        <f t="shared" si="71"/>
        <v>17.5</v>
      </c>
      <c r="AZ625">
        <f t="shared" si="72"/>
        <v>1.67</v>
      </c>
      <c r="BB625" t="str">
        <f>IF($H625="","",IFERROR(INDEX(_ENGINE_Risk!$AE$5:$AE$499,MATCH($E625,_ENGINE_Risk!$A$5:$A$499,0)),"Medium"))</f>
        <v>Slow</v>
      </c>
      <c r="BC625">
        <f t="shared" si="73"/>
        <v>0.85</v>
      </c>
      <c r="BD625">
        <f t="shared" si="74"/>
        <v>1.67</v>
      </c>
      <c r="BF625">
        <f>IF(OR($H625="",$J625=""),"",IFERROR(VLOOKUP(ROUND($J625,0),_CONFIG_Model_Settings!$D$154:$E$158,2,0),""))</f>
        <v>0.5</v>
      </c>
      <c r="BG625">
        <f>IFERROR(IF(OR($H625="",$K625=""),"",ROUND('Company Profile'!$B$113*INDEX(_CONFIG_Model_Settings!$H$154:$H$158,MATCH(ROUND($K625,0),_CONFIG_Model_Settings!$G$154:$G$158,0)),0)),0)</f>
        <v>1875</v>
      </c>
      <c r="BH625">
        <f t="shared" si="75"/>
        <v>937.5</v>
      </c>
      <c r="BI625">
        <f t="shared" si="76"/>
        <v>937.5</v>
      </c>
      <c r="BJ625">
        <f>IF($E625="","",IFERROR(VLOOKUP($C625,_CONFIG_Risk_Calibration!$A$5:$H$21,2,FALSE),3))</f>
        <v>3</v>
      </c>
      <c r="BK625">
        <f>IF($E625="","",IFERROR(VLOOKUP($C625,_CONFIG_Risk_Calibration!$A$5:$H$21,3,FALSE),0))</f>
        <v>0</v>
      </c>
      <c r="BL625">
        <f>IF($E625="","",IFERROR(VLOOKUP($C625,_CONFIG_Risk_Calibration!$A$5:$H$21,4,FALSE),3))</f>
        <v>3</v>
      </c>
      <c r="BM625">
        <f>IF($E625="","",IFERROR(VLOOKUP($C625,_CONFIG_Risk_Calibration!$A$5:$H$21,5,FALSE),3))</f>
        <v>4</v>
      </c>
      <c r="BN625" t="str">
        <f>IF($E625="","",IFERROR(VLOOKUP($C625,_CONFIG_Risk_Calibration!$A$5:$H$21,6,FALSE),"No"))</f>
        <v>Yes</v>
      </c>
      <c r="BO625">
        <f>IF($E625="","",IFERROR(VLOOKUP($C625,_CONFIG_Risk_Calibration!$A$5:$H$21,7,FALSE),1))</f>
        <v>5</v>
      </c>
      <c r="BP625">
        <f>IF($H625="","",MAX(1,MIN(5,((6-$H625)*0.45)+($BJ625*0.2)+('Resilience &amp; Risk Scenario'!$B$7*0.15)+($BK625*0.1)+($BL625*0.05)+(IF($BB625="Fast",5,IF($BB625="Slow",1,3))*0.05))))</f>
        <v>3.5</v>
      </c>
      <c r="BQ625">
        <f t="shared" si="77"/>
        <v>5</v>
      </c>
      <c r="BR625">
        <f t="shared" si="78"/>
        <v>17.5</v>
      </c>
      <c r="BS625">
        <f t="shared" si="79"/>
        <v>16.36</v>
      </c>
      <c r="BT625" t="str">
        <f>IFERROR(INDEX(_REF_Capability_Bridge!$D:$D,MATCH($C625&amp;"|"&amp;$D625,_REF_Capability_Bridge!$J:$J,0)),IFERROR(INDEX(_REF_Capability_Bridge!$D:$D,MATCH($C625&amp;"|",_REF_Capability_Bridge!$J:$J,0)),"CAP_GENERIC"))</f>
        <v>CAP_REGULATORY_CONTINUITY</v>
      </c>
      <c r="BU625">
        <f>IFERROR(IFERROR(INDEX(_ENGINE_Relevance!$L:$L,MATCH($BT625,_ENGINE_Relevance!$B:$B,0)),1),1)</f>
        <v>1</v>
      </c>
      <c r="BV625" t="str">
        <f>IFERROR(INDEX(_REF_Capability_Bridge!$A:$A,MATCH($C625&amp;"|"&amp;$D625,_REF_Capability_Bridge!$J:$J,0)),IFERROR(INDEX(_REF_Capability_Bridge!$A:$A,MATCH($C625&amp;"|",_REF_Capability_Bridge!$J:$J,0)),"No bridge"))</f>
        <v>BRG-051</v>
      </c>
      <c r="BW625" t="str">
        <f t="shared" si="80"/>
        <v>Capability relevance neutral</v>
      </c>
      <c r="BX625" t="str">
        <f t="shared" si="81"/>
        <v>Initial / absent</v>
      </c>
      <c r="BY625" t="str">
        <f>IF($E625="","",IFERROR(INDEX(_REF_Treatment_Library!$A$2:$A$296,MATCH(1,INDEX((_REF_Treatment_Library!$B$2:$B$296=$BT625)*(_REF_Treatment_Library!$C$2:$C$296=PV_Canonical_Industry)*(_REF_Treatment_Library!$E$2:$E$296&lt;=N($H625))*(_REF_Treatment_Library!$F$2:$F$296&gt;=N($H625))*(_REF_Treatment_Library!$O$2:$O$296="Yes"),0),0)),IFERROR(INDEX(_REF_Treatment_Library!$A$2:$A$296,MATCH(1,INDEX((_REF_Treatment_Library!$B$2:$B$296=$BT625)*(_REF_Treatment_Library!$C$2:$C$296="All")*(_REF_Treatment_Library!$E$2:$E$296&lt;=N($H625))*(_REF_Treatment_Library!$F$2:$F$296&gt;=N($H625))*(_REF_Treatment_Library!$O$2:$O$296="Yes"),0),0)),"")))</f>
        <v>TRT-REGULATORY_CONTINUITY-INITIAL</v>
      </c>
      <c r="BZ625" t="str">
        <f>IF($BY625="","",IFERROR(INDEX(_REF_Treatment_Library!$H$2:$H$296,MATCH($BY625,_REF_Treatment_Library!$A$2:$A$296,0)),""))</f>
        <v>Establish</v>
      </c>
      <c r="CA625" t="str">
        <f>IF($BY625="","",IFERROR(INDEX(_REF_Treatment_Library!$I$2:$I$296,MATCH($BY625,_REF_Treatment_Library!$A$2:$A$296,0)),""))</f>
        <v>Establish baseline controls for Regulatory continuity</v>
      </c>
      <c r="CB625" t="str">
        <f>IF($BY625="","",IFERROR(INDEX(_REF_Treatment_Library!$K$2:$K$296,MATCH($BY625,_REF_Treatment_Library!$A$2:$A$296,0)),""))</f>
        <v>Named owner, baseline process, minimum control checklist, first evidence package</v>
      </c>
      <c r="CC625" t="str">
        <f>IF($BY625="","",IFERROR(INDEX(_REF_Treatment_Library!$L$2:$L$296,MATCH($BY625,_REF_Treatment_Library!$A$2:$A$296,0)),""))</f>
        <v>Owner assigned; baseline evidence coverage; open critical gaps</v>
      </c>
      <c r="CD625" t="str">
        <f t="shared" si="82"/>
        <v>Treatment by capability=CAP_REGULATORY_CONTINUITY; band=Initial / absent; score=0.0; treatment=Establish</v>
      </c>
      <c r="CE625" t="str">
        <f>IF($E625="","",IFERROR(INDEX(_REF_Industry_Wording!$A$2:$A$70,MATCH(1,INDEX((_REF_Industry_Wording!$B$2:$B$70=$BT625)*(_REF_Industry_Wording!$C$2:$C$70=PV_Canonical_Industry)*(_REF_Industry_Wording!$K$2:$K$70="Yes"),0),0)),IFERROR(INDEX(_REF_Industry_Wording!$A$2:$A$70,MATCH(1,INDEX((_REF_Industry_Wording!$B$2:$B$70=$BT625)*(_REF_Industry_Wording!$C$2:$C$70="All")*(_REF_Industry_Wording!$K$2:$K$70="Yes"),0),0)),"")))</f>
        <v>IW-ALL-REGULATORY_CONTINUITY</v>
      </c>
      <c r="CF625" t="str">
        <f>IF($CE625="","",IFERROR(INDEX(_REF_Industry_Wording!$E$2:$E$70,MATCH($CE625,_REF_Industry_Wording!$A$2:$A$70,0)),""))</f>
        <v>Regulatory continuity weakness</v>
      </c>
      <c r="CG625" t="str">
        <f>IF($CE625="","",IFERROR(INDEX(_REF_Industry_Wording!$F$2:$F$70,MATCH($CE625,_REF_Industry_Wording!$A$2:$A$70,0)),""))</f>
        <v>Strengthen Regulatory continuity</v>
      </c>
      <c r="CH625" t="str">
        <f>IF($CE625="","",IFERROR(INDEX(_REF_Industry_Wording!$G$2:$G$70,MATCH($CE625,_REF_Industry_Wording!$A$2:$A$70,0)),""))</f>
        <v>Strengthen Regulatory continuity using the selected maturity treatment, crisis scenario and evidence requirements.</v>
      </c>
      <c r="CI625" t="str">
        <f>IF($CE625="","",IFERROR(INDEX(_REF_Industry_Wording!$H$2:$H$70,MATCH($CE625,_REF_Industry_Wording!$A$2:$A$70,0)),""))</f>
        <v>Regulatory continuity</v>
      </c>
      <c r="CJ625">
        <f>IF($CE625="","",IFERROR(INDEX(_REF_Industry_Wording!$I$2:$I$70,MATCH($CE625,_REF_Industry_Wording!$A$2:$A$70,0)),""))</f>
        <v>0</v>
      </c>
      <c r="CK625" t="str">
        <f>IF($CE625="","",IFERROR(INDEX(_REF_Industry_Wording!$J$2:$J$70,MATCH($CE625,_REF_Industry_Wording!$A$2:$A$70,0)),""))</f>
        <v>Regulatory continuity</v>
      </c>
      <c r="CL625" t="str">
        <f t="shared" si="83"/>
        <v>Wording by industry=0; capability=CAP_REGULATORY_CONTINUITY; risk label=Regulatory continuity weakness</v>
      </c>
      <c r="CM625" t="str">
        <f t="shared" si="84"/>
        <v>RISK-ONT-0126</v>
      </c>
      <c r="CN625" t="str">
        <f t="shared" si="85"/>
        <v>RISK-EVT-0126</v>
      </c>
      <c r="CO625" t="str">
        <f t="shared" si="86"/>
        <v>Legal Risk|Contracts|LEGA-007|CAP_REGULATORY_CONTINUITY</v>
      </c>
      <c r="CP625" t="str">
        <f t="shared" si="87"/>
        <v>Active</v>
      </c>
      <c r="CQ625" t="str">
        <f t="shared" si="88"/>
        <v>OK: capability-driven</v>
      </c>
      <c r="CR625" t="str">
        <f t="shared" si="89"/>
        <v>Risk ontology uses capability=CAP_REGULATORY_CONTINUITY; bridge=BRG-051; treatment=TRT-REGULATORY_CONTINUITY-INITIAL; wording=IW-ALL-REGULATORY_CONTINUITY</v>
      </c>
      <c r="CS625" t="str">
        <f t="shared" si="90"/>
        <v>Yes</v>
      </c>
    </row>
    <row r="626" spans="1:97" ht="69.900000000000006" customHeight="1">
      <c r="A626">
        <f>IF(OR($B626&lt;&gt;"Yes",$BS626=""),"",SUMPRODUCT(($B$500:$B$923="Yes")*ISNUMBER($BS$500:$BS$923)*($BS$500:$BS$923&gt;$BS626))+COUNTIFS($B$500:$B626,"Yes",$BS$500:$BS626,$BS626))</f>
        <v>274</v>
      </c>
      <c r="B626" t="str">
        <f t="shared" si="59"/>
        <v>Yes</v>
      </c>
      <c r="C626" t="s">
        <v>1551</v>
      </c>
      <c r="D626" t="s">
        <v>1568</v>
      </c>
      <c r="E626" t="s">
        <v>1598</v>
      </c>
      <c r="F626" t="s">
        <v>3684</v>
      </c>
      <c r="G626" t="str">
        <f>IF($H626="","",IFERROR(INDEX(_ENGINE_Risk!$H$5:$M$499,MATCH($E626,_ENGINE_Risk!$A$5:$A$499,0),$H626+1),""))</f>
        <v>Severe risk: analysis of force majeure, hardship, termination, liability and continuity clauses in critical contracts is not reliably controlled. During Regulatory/legal shock; Contractual exposure; Data breach, the organization may face contractual disputes, compliance breaches, regulatory penalties and delayed legal response with limited visibility or accountability.</v>
      </c>
      <c r="H626">
        <f>IFERROR(VALUE(INDEX(_DATA_Assessment_Model!$H$5:$H$884,MATCH($E626,_DATA_Assessment_Model!$A$5:$A$884,0))),"")</f>
        <v>0</v>
      </c>
      <c r="I626" t="str">
        <f>IF($H626="","",IFERROR(INDEX(_DATA_Assessment_Model!$L$5:$L$884,MATCH($E626,_DATA_Assessment_Model!$A$5:$A$884,0)),IF($H626&lt;=1,"Critical",IF($H626=2,"High",IF($H626=3,"Medium",IF($H626=4,"Low","Resilient"))))))</f>
        <v>Critical</v>
      </c>
      <c r="J626">
        <f t="shared" si="60"/>
        <v>3.5</v>
      </c>
      <c r="K626">
        <f t="shared" si="61"/>
        <v>5</v>
      </c>
      <c r="L626">
        <f t="shared" si="62"/>
        <v>17.5</v>
      </c>
      <c r="M626">
        <f t="shared" si="63"/>
        <v>4</v>
      </c>
      <c r="N626">
        <f>IF($H626="","",IFERROR(INDEX(_ENGINE_Risk!$T$5:$Y$499,MATCH($E626,_ENGINE_Risk!$A$5:$A$499,0),$H626+1),""))</f>
        <v>3</v>
      </c>
      <c r="O626">
        <f t="shared" si="64"/>
        <v>5</v>
      </c>
      <c r="P626">
        <f t="shared" si="65"/>
        <v>5</v>
      </c>
      <c r="Q626">
        <f t="shared" si="66"/>
        <v>5</v>
      </c>
      <c r="R626">
        <f t="shared" si="67"/>
        <v>5</v>
      </c>
      <c r="S626">
        <f t="shared" si="68"/>
        <v>1.67</v>
      </c>
      <c r="T626" t="str">
        <f>IF($H626="","",IFERROR(INDEX(_ENGINE_Risk!$N$5:$S$499,MATCH($E626,_ENGINE_Risk!$A$5:$A$499,0),$H626+1),""))</f>
        <v>Create an immediate risk owner, minimum control baseline and fallback procedure for analysis of force majeure, hardship, termination, liability and continuity clauses in critical contracts. Add it to the crisis risk register and collect first evidence.</v>
      </c>
      <c r="U626">
        <f>IFERROR(INDEX(_DATA_Assessment_Model!$G$5:$G$884,MATCH($E626,_DATA_Assessment_Model!$A$5:$A$884,0)),"")</f>
        <v>5</v>
      </c>
      <c r="V626">
        <f>IFERROR(INDEX(_DATA_Assessment_Model!$W$5:$W$884,MATCH($E626,_DATA_Assessment_Model!$A$5:$A$884,0)),"")</f>
        <v>5</v>
      </c>
      <c r="W626">
        <f>IFERROR(INDEX(_DATA_Assessment_Model!$X$5:$X$884,MATCH($E626,_DATA_Assessment_Model!$A$5:$A$884,0)),"")</f>
        <v>5</v>
      </c>
      <c r="X626">
        <f>IFERROR(INDEX(_DATA_Assessment_Model!$Y$5:$Y$884,MATCH($E626,_DATA_Assessment_Model!$A$5:$A$884,0)),"")</f>
        <v>5</v>
      </c>
      <c r="Y626" t="s">
        <v>1564</v>
      </c>
      <c r="Z626" t="s">
        <v>6289</v>
      </c>
      <c r="AA626" t="s">
        <v>1600</v>
      </c>
      <c r="AB626">
        <f>IFERROR(INDEX(_DATA_Assessment_Model!$U$5:$U$884,MATCH($E626,_DATA_Assessment_Model!$A$5:$A$884,0)),"")</f>
        <v>0</v>
      </c>
      <c r="AF626" t="s">
        <v>1599</v>
      </c>
      <c r="AO626">
        <f>IF($B626="Yes",IF(IFERROR(INDEX(_ENGINE_Crisis!$F$501:$F$517,MATCH($C626,_ENGINE_Crisis!$A$501:$A$517,0)),1)=0,1,IFERROR(INDEX(_ENGINE_Crisis!$F$501:$F$517,MATCH($C626,_ENGINE_Crisis!$A$501:$A$517,0)),1)),"")</f>
        <v>1</v>
      </c>
      <c r="AP626">
        <f t="shared" si="69"/>
        <v>17.5</v>
      </c>
      <c r="AQ626">
        <f t="shared" si="70"/>
        <v>1.67</v>
      </c>
      <c r="AR626" t="str">
        <f>IFERROR(INDEX(_ENGINE_Crisis!$E$41:$E$700,MATCH('Resilience &amp; Risk Scenario'!$B$6&amp;"|"&amp;$C626,_ENGINE_Crisis!$I$41:$I$700,0)),"")</f>
        <v/>
      </c>
      <c r="AS626" t="str">
        <f>IFERROR(INDEX(_ENGINE_Crisis!$G$41:$G$700,MATCH('Resilience &amp; Risk Scenario'!$B$6&amp;"|"&amp;$C626,_ENGINE_Crisis!$I$41:$I$700,0)),"")</f>
        <v/>
      </c>
      <c r="AT626" t="str">
        <f>IFERROR(INDEX(_ENGINE_Initiatives!$A$5:$A$532,MATCH(1,INDEX((_ENGINE_Initiatives!$B$5:$B$532=$C626)*(_ENGINE_Initiatives!$C$5:$C$532=$D626),0),0)),"")</f>
        <v>INI-020</v>
      </c>
      <c r="AU626" t="str">
        <f>IFERROR(INDEX(_ENGINE_Initiatives!$F$5:$F$532,MATCH(1,INDEX((_ENGINE_Initiatives!$B$5:$B$532=$C626)*(_ENGINE_Initiatives!$C$5:$C$532=$D626),0),0)),"")</f>
        <v>Build contract register, obligations and force-majeure response model</v>
      </c>
      <c r="AV626">
        <f>IFERROR(INDEX(_ENGINE_Initiatives!$AC$5:$AC$532,MATCH(1,INDEX((_ENGINE_Initiatives!$B$5:$B$532=$C626)*(_ENGINE_Initiatives!$C$5:$C$532=$D626),0),0)),"")</f>
        <v>2.6</v>
      </c>
      <c r="AW626" t="str">
        <f>IFERROR(INDEX(_ENGINE_Initiatives!$AE$5:$AE$532,MATCH(1,INDEX((_ENGINE_Initiatives!$B$5:$B$532=$C626)*(_ENGINE_Initiatives!$C$5:$C$532=$D626),0),0)),"")</f>
        <v>0-90 days</v>
      </c>
      <c r="AX626">
        <f>IF($B626="Yes",IFERROR((IF(SUMIFS(_REF_Model_Content!$E$1:$E$613,_REF_Model_Content!$A$1:$A$613,PV_Canonical_Industry,_REF_Model_Content!$B$1:$B$613,$C626)=0,1,SUMIFS(_REF_Model_Content!$E$1:$E$613,_REF_Model_Content!$A$1:$A$613,PV_Canonical_Industry,_REF_Model_Content!$B$1:$B$613,$C626))*IFERROR($BU626,1)),1),"")</f>
        <v>1</v>
      </c>
      <c r="AY626">
        <f t="shared" si="71"/>
        <v>17.5</v>
      </c>
      <c r="AZ626">
        <f t="shared" si="72"/>
        <v>1.67</v>
      </c>
      <c r="BB626" t="str">
        <f>IF($H626="","",IFERROR(INDEX(_ENGINE_Risk!$AE$5:$AE$499,MATCH($E626,_ENGINE_Risk!$A$5:$A$499,0)),"Medium"))</f>
        <v>Slow</v>
      </c>
      <c r="BC626">
        <f t="shared" si="73"/>
        <v>0.85</v>
      </c>
      <c r="BD626">
        <f t="shared" si="74"/>
        <v>1.67</v>
      </c>
      <c r="BF626">
        <f>IF(OR($H626="",$J626=""),"",IFERROR(VLOOKUP(ROUND($J626,0),_CONFIG_Model_Settings!$D$154:$E$158,2,0),""))</f>
        <v>0.5</v>
      </c>
      <c r="BG626">
        <f>IFERROR(IF(OR($H626="",$K626=""),"",ROUND('Company Profile'!$B$113*INDEX(_CONFIG_Model_Settings!$H$154:$H$158,MATCH(ROUND($K626,0),_CONFIG_Model_Settings!$G$154:$G$158,0)),0)),0)</f>
        <v>1875</v>
      </c>
      <c r="BH626">
        <f t="shared" si="75"/>
        <v>937.5</v>
      </c>
      <c r="BI626">
        <f t="shared" si="76"/>
        <v>937.5</v>
      </c>
      <c r="BJ626">
        <f>IF($E626="","",IFERROR(VLOOKUP($C626,_CONFIG_Risk_Calibration!$A$5:$H$21,2,FALSE),3))</f>
        <v>3</v>
      </c>
      <c r="BK626">
        <f>IF($E626="","",IFERROR(VLOOKUP($C626,_CONFIG_Risk_Calibration!$A$5:$H$21,3,FALSE),0))</f>
        <v>0</v>
      </c>
      <c r="BL626">
        <f>IF($E626="","",IFERROR(VLOOKUP($C626,_CONFIG_Risk_Calibration!$A$5:$H$21,4,FALSE),3))</f>
        <v>3</v>
      </c>
      <c r="BM626">
        <f>IF($E626="","",IFERROR(VLOOKUP($C626,_CONFIG_Risk_Calibration!$A$5:$H$21,5,FALSE),3))</f>
        <v>4</v>
      </c>
      <c r="BN626" t="str">
        <f>IF($E626="","",IFERROR(VLOOKUP($C626,_CONFIG_Risk_Calibration!$A$5:$H$21,6,FALSE),"No"))</f>
        <v>Yes</v>
      </c>
      <c r="BO626">
        <f>IF($E626="","",IFERROR(VLOOKUP($C626,_CONFIG_Risk_Calibration!$A$5:$H$21,7,FALSE),1))</f>
        <v>5</v>
      </c>
      <c r="BP626">
        <f>IF($H626="","",MAX(1,MIN(5,((6-$H626)*0.45)+($BJ626*0.2)+('Resilience &amp; Risk Scenario'!$B$7*0.15)+($BK626*0.1)+($BL626*0.05)+(IF($BB626="Fast",5,IF($BB626="Slow",1,3))*0.05))))</f>
        <v>3.5</v>
      </c>
      <c r="BQ626">
        <f t="shared" si="77"/>
        <v>5</v>
      </c>
      <c r="BR626">
        <f t="shared" si="78"/>
        <v>17.5</v>
      </c>
      <c r="BS626">
        <f t="shared" si="79"/>
        <v>16.36</v>
      </c>
      <c r="BT626" t="str">
        <f>IFERROR(INDEX(_REF_Capability_Bridge!$D:$D,MATCH($C626&amp;"|"&amp;$D626,_REF_Capability_Bridge!$J:$J,0)),IFERROR(INDEX(_REF_Capability_Bridge!$D:$D,MATCH($C626&amp;"|",_REF_Capability_Bridge!$J:$J,0)),"CAP_GENERIC"))</f>
        <v>CAP_REGULATORY_CONTINUITY</v>
      </c>
      <c r="BU626">
        <f>IFERROR(IFERROR(INDEX(_ENGINE_Relevance!$L:$L,MATCH($BT626,_ENGINE_Relevance!$B:$B,0)),1),1)</f>
        <v>1</v>
      </c>
      <c r="BV626" t="str">
        <f>IFERROR(INDEX(_REF_Capability_Bridge!$A:$A,MATCH($C626&amp;"|"&amp;$D626,_REF_Capability_Bridge!$J:$J,0)),IFERROR(INDEX(_REF_Capability_Bridge!$A:$A,MATCH($C626&amp;"|",_REF_Capability_Bridge!$J:$J,0)),"No bridge"))</f>
        <v>BRG-051</v>
      </c>
      <c r="BW626" t="str">
        <f t="shared" si="80"/>
        <v>Capability relevance neutral</v>
      </c>
      <c r="BX626" t="str">
        <f t="shared" si="81"/>
        <v>Initial / absent</v>
      </c>
      <c r="BY626" t="str">
        <f>IF($E626="","",IFERROR(INDEX(_REF_Treatment_Library!$A$2:$A$296,MATCH(1,INDEX((_REF_Treatment_Library!$B$2:$B$296=$BT626)*(_REF_Treatment_Library!$C$2:$C$296=PV_Canonical_Industry)*(_REF_Treatment_Library!$E$2:$E$296&lt;=N($H626))*(_REF_Treatment_Library!$F$2:$F$296&gt;=N($H626))*(_REF_Treatment_Library!$O$2:$O$296="Yes"),0),0)),IFERROR(INDEX(_REF_Treatment_Library!$A$2:$A$296,MATCH(1,INDEX((_REF_Treatment_Library!$B$2:$B$296=$BT626)*(_REF_Treatment_Library!$C$2:$C$296="All")*(_REF_Treatment_Library!$E$2:$E$296&lt;=N($H626))*(_REF_Treatment_Library!$F$2:$F$296&gt;=N($H626))*(_REF_Treatment_Library!$O$2:$O$296="Yes"),0),0)),"")))</f>
        <v>TRT-REGULATORY_CONTINUITY-INITIAL</v>
      </c>
      <c r="BZ626" t="str">
        <f>IF($BY626="","",IFERROR(INDEX(_REF_Treatment_Library!$H$2:$H$296,MATCH($BY626,_REF_Treatment_Library!$A$2:$A$296,0)),""))</f>
        <v>Establish</v>
      </c>
      <c r="CA626" t="str">
        <f>IF($BY626="","",IFERROR(INDEX(_REF_Treatment_Library!$I$2:$I$296,MATCH($BY626,_REF_Treatment_Library!$A$2:$A$296,0)),""))</f>
        <v>Establish baseline controls for Regulatory continuity</v>
      </c>
      <c r="CB626" t="str">
        <f>IF($BY626="","",IFERROR(INDEX(_REF_Treatment_Library!$K$2:$K$296,MATCH($BY626,_REF_Treatment_Library!$A$2:$A$296,0)),""))</f>
        <v>Named owner, baseline process, minimum control checklist, first evidence package</v>
      </c>
      <c r="CC626" t="str">
        <f>IF($BY626="","",IFERROR(INDEX(_REF_Treatment_Library!$L$2:$L$296,MATCH($BY626,_REF_Treatment_Library!$A$2:$A$296,0)),""))</f>
        <v>Owner assigned; baseline evidence coverage; open critical gaps</v>
      </c>
      <c r="CD626" t="str">
        <f t="shared" si="82"/>
        <v>Treatment by capability=CAP_REGULATORY_CONTINUITY; band=Initial / absent; score=0.0; treatment=Establish</v>
      </c>
      <c r="CE626" t="str">
        <f>IF($E626="","",IFERROR(INDEX(_REF_Industry_Wording!$A$2:$A$70,MATCH(1,INDEX((_REF_Industry_Wording!$B$2:$B$70=$BT626)*(_REF_Industry_Wording!$C$2:$C$70=PV_Canonical_Industry)*(_REF_Industry_Wording!$K$2:$K$70="Yes"),0),0)),IFERROR(INDEX(_REF_Industry_Wording!$A$2:$A$70,MATCH(1,INDEX((_REF_Industry_Wording!$B$2:$B$70=$BT626)*(_REF_Industry_Wording!$C$2:$C$70="All")*(_REF_Industry_Wording!$K$2:$K$70="Yes"),0),0)),"")))</f>
        <v>IW-ALL-REGULATORY_CONTINUITY</v>
      </c>
      <c r="CF626" t="str">
        <f>IF($CE626="","",IFERROR(INDEX(_REF_Industry_Wording!$E$2:$E$70,MATCH($CE626,_REF_Industry_Wording!$A$2:$A$70,0)),""))</f>
        <v>Regulatory continuity weakness</v>
      </c>
      <c r="CG626" t="str">
        <f>IF($CE626="","",IFERROR(INDEX(_REF_Industry_Wording!$F$2:$F$70,MATCH($CE626,_REF_Industry_Wording!$A$2:$A$70,0)),""))</f>
        <v>Strengthen Regulatory continuity</v>
      </c>
      <c r="CH626" t="str">
        <f>IF($CE626="","",IFERROR(INDEX(_REF_Industry_Wording!$G$2:$G$70,MATCH($CE626,_REF_Industry_Wording!$A$2:$A$70,0)),""))</f>
        <v>Strengthen Regulatory continuity using the selected maturity treatment, crisis scenario and evidence requirements.</v>
      </c>
      <c r="CI626" t="str">
        <f>IF($CE626="","",IFERROR(INDEX(_REF_Industry_Wording!$H$2:$H$70,MATCH($CE626,_REF_Industry_Wording!$A$2:$A$70,0)),""))</f>
        <v>Regulatory continuity</v>
      </c>
      <c r="CJ626">
        <f>IF($CE626="","",IFERROR(INDEX(_REF_Industry_Wording!$I$2:$I$70,MATCH($CE626,_REF_Industry_Wording!$A$2:$A$70,0)),""))</f>
        <v>0</v>
      </c>
      <c r="CK626" t="str">
        <f>IF($CE626="","",IFERROR(INDEX(_REF_Industry_Wording!$J$2:$J$70,MATCH($CE626,_REF_Industry_Wording!$A$2:$A$70,0)),""))</f>
        <v>Regulatory continuity</v>
      </c>
      <c r="CL626" t="str">
        <f t="shared" si="83"/>
        <v>Wording by industry=0; capability=CAP_REGULATORY_CONTINUITY; risk label=Regulatory continuity weakness</v>
      </c>
      <c r="CM626" t="str">
        <f t="shared" si="84"/>
        <v>RISK-ONT-0127</v>
      </c>
      <c r="CN626" t="str">
        <f t="shared" si="85"/>
        <v>RISK-EVT-0127</v>
      </c>
      <c r="CO626" t="str">
        <f t="shared" si="86"/>
        <v>Legal Risk|Contracts|LEGA-008|CAP_REGULATORY_CONTINUITY</v>
      </c>
      <c r="CP626" t="str">
        <f t="shared" si="87"/>
        <v>Active</v>
      </c>
      <c r="CQ626" t="str">
        <f t="shared" si="88"/>
        <v>OK: capability-driven</v>
      </c>
      <c r="CR626" t="str">
        <f t="shared" si="89"/>
        <v>Risk ontology uses capability=CAP_REGULATORY_CONTINUITY; bridge=BRG-051; treatment=TRT-REGULATORY_CONTINUITY-INITIAL; wording=IW-ALL-REGULATORY_CONTINUITY</v>
      </c>
      <c r="CS626" t="str">
        <f t="shared" si="90"/>
        <v>Yes</v>
      </c>
    </row>
    <row r="627" spans="1:97" ht="69.900000000000006" customHeight="1">
      <c r="A627">
        <f>IF(OR($B627&lt;&gt;"Yes",$BS627=""),"",SUMPRODUCT(($B$500:$B$923="Yes")*ISNUMBER($BS$500:$BS$923)*($BS$500:$BS$923&gt;$BS627))+COUNTIFS($B$500:$B627,"Yes",$BS$500:$BS627,$BS627))</f>
        <v>275</v>
      </c>
      <c r="B627" t="str">
        <f t="shared" si="59"/>
        <v>Yes</v>
      </c>
      <c r="C627" t="s">
        <v>1551</v>
      </c>
      <c r="D627" t="s">
        <v>1568</v>
      </c>
      <c r="E627" t="s">
        <v>1601</v>
      </c>
      <c r="F627" t="s">
        <v>3684</v>
      </c>
      <c r="G627" t="str">
        <f>IF($H627="","",IFERROR(INDEX(_ENGINE_Risk!$H$5:$M$499,MATCH($E627,_ENGINE_Risk!$A$5:$A$499,0),$H627+1),""))</f>
        <v>Severe risk: customer SLA obligations, penalties, notification timelines and service credits during disruption is not reliably controlled. During Regulatory/legal shock; Contractual exposure; Data breach, the organization may face contractual disputes, compliance breaches, regulatory penalties and delayed legal response with limited visibility or accountability.</v>
      </c>
      <c r="H627">
        <f>IFERROR(VALUE(INDEX(_DATA_Assessment_Model!$H$5:$H$884,MATCH($E627,_DATA_Assessment_Model!$A$5:$A$884,0))),"")</f>
        <v>0</v>
      </c>
      <c r="I627" t="str">
        <f>IF($H627="","",IFERROR(INDEX(_DATA_Assessment_Model!$L$5:$L$884,MATCH($E627,_DATA_Assessment_Model!$A$5:$A$884,0)),IF($H627&lt;=1,"Critical",IF($H627=2,"High",IF($H627=3,"Medium",IF($H627=4,"Low","Resilient"))))))</f>
        <v>Critical</v>
      </c>
      <c r="J627">
        <f t="shared" si="60"/>
        <v>3.5</v>
      </c>
      <c r="K627">
        <f t="shared" si="61"/>
        <v>5</v>
      </c>
      <c r="L627">
        <f t="shared" si="62"/>
        <v>17.5</v>
      </c>
      <c r="M627">
        <f t="shared" si="63"/>
        <v>4</v>
      </c>
      <c r="N627">
        <f>IF($H627="","",IFERROR(INDEX(_ENGINE_Risk!$T$5:$Y$499,MATCH($E627,_ENGINE_Risk!$A$5:$A$499,0),$H627+1),""))</f>
        <v>3</v>
      </c>
      <c r="O627">
        <f t="shared" si="64"/>
        <v>4.666666666666667</v>
      </c>
      <c r="P627">
        <f t="shared" si="65"/>
        <v>5</v>
      </c>
      <c r="Q627">
        <f t="shared" si="66"/>
        <v>5</v>
      </c>
      <c r="R627">
        <f t="shared" si="67"/>
        <v>5</v>
      </c>
      <c r="S627">
        <f t="shared" si="68"/>
        <v>1.64</v>
      </c>
      <c r="T627" t="str">
        <f>IF($H627="","",IFERROR(INDEX(_ENGINE_Risk!$N$5:$S$499,MATCH($E627,_ENGINE_Risk!$A$5:$A$499,0),$H627+1),""))</f>
        <v>Create an immediate risk owner, minimum control baseline and fallback procedure for customer SLA obligations, penalties, notification timelines and service credits during disruption. Add it to the crisis risk register and collect first evidence.</v>
      </c>
      <c r="U627">
        <f>IFERROR(INDEX(_DATA_Assessment_Model!$G$5:$G$884,MATCH($E627,_DATA_Assessment_Model!$A$5:$A$884,0)),"")</f>
        <v>4</v>
      </c>
      <c r="V627">
        <f>IFERROR(INDEX(_DATA_Assessment_Model!$W$5:$W$884,MATCH($E627,_DATA_Assessment_Model!$A$5:$A$884,0)),"")</f>
        <v>5</v>
      </c>
      <c r="W627">
        <f>IFERROR(INDEX(_DATA_Assessment_Model!$X$5:$X$884,MATCH($E627,_DATA_Assessment_Model!$A$5:$A$884,0)),"")</f>
        <v>5</v>
      </c>
      <c r="X627">
        <f>IFERROR(INDEX(_DATA_Assessment_Model!$Y$5:$Y$884,MATCH($E627,_DATA_Assessment_Model!$A$5:$A$884,0)),"")</f>
        <v>5</v>
      </c>
      <c r="Y627" t="s">
        <v>1564</v>
      </c>
      <c r="Z627" t="s">
        <v>6289</v>
      </c>
      <c r="AA627" t="s">
        <v>1603</v>
      </c>
      <c r="AB627">
        <f>IFERROR(INDEX(_DATA_Assessment_Model!$U$5:$U$884,MATCH($E627,_DATA_Assessment_Model!$A$5:$A$884,0)),"")</f>
        <v>0</v>
      </c>
      <c r="AF627" t="s">
        <v>1602</v>
      </c>
      <c r="AO627">
        <f>IF($B627="Yes",IF(IFERROR(INDEX(_ENGINE_Crisis!$F$501:$F$517,MATCH($C627,_ENGINE_Crisis!$A$501:$A$517,0)),1)=0,1,IFERROR(INDEX(_ENGINE_Crisis!$F$501:$F$517,MATCH($C627,_ENGINE_Crisis!$A$501:$A$517,0)),1)),"")</f>
        <v>1</v>
      </c>
      <c r="AP627">
        <f t="shared" si="69"/>
        <v>17.5</v>
      </c>
      <c r="AQ627">
        <f t="shared" si="70"/>
        <v>1.64</v>
      </c>
      <c r="AR627" t="str">
        <f>IFERROR(INDEX(_ENGINE_Crisis!$E$41:$E$700,MATCH('Resilience &amp; Risk Scenario'!$B$6&amp;"|"&amp;$C627,_ENGINE_Crisis!$I$41:$I$700,0)),"")</f>
        <v/>
      </c>
      <c r="AS627" t="str">
        <f>IFERROR(INDEX(_ENGINE_Crisis!$G$41:$G$700,MATCH('Resilience &amp; Risk Scenario'!$B$6&amp;"|"&amp;$C627,_ENGINE_Crisis!$I$41:$I$700,0)),"")</f>
        <v/>
      </c>
      <c r="AT627" t="str">
        <f>IFERROR(INDEX(_ENGINE_Initiatives!$A$5:$A$532,MATCH(1,INDEX((_ENGINE_Initiatives!$B$5:$B$532=$C627)*(_ENGINE_Initiatives!$C$5:$C$532=$D627),0),0)),"")</f>
        <v>INI-020</v>
      </c>
      <c r="AU627" t="str">
        <f>IFERROR(INDEX(_ENGINE_Initiatives!$F$5:$F$532,MATCH(1,INDEX((_ENGINE_Initiatives!$B$5:$B$532=$C627)*(_ENGINE_Initiatives!$C$5:$C$532=$D627),0),0)),"")</f>
        <v>Build contract register, obligations and force-majeure response model</v>
      </c>
      <c r="AV627">
        <f>IFERROR(INDEX(_ENGINE_Initiatives!$AC$5:$AC$532,MATCH(1,INDEX((_ENGINE_Initiatives!$B$5:$B$532=$C627)*(_ENGINE_Initiatives!$C$5:$C$532=$D627),0),0)),"")</f>
        <v>2.6</v>
      </c>
      <c r="AW627" t="str">
        <f>IFERROR(INDEX(_ENGINE_Initiatives!$AE$5:$AE$532,MATCH(1,INDEX((_ENGINE_Initiatives!$B$5:$B$532=$C627)*(_ENGINE_Initiatives!$C$5:$C$532=$D627),0),0)),"")</f>
        <v>0-90 days</v>
      </c>
      <c r="AX627">
        <f>IF($B627="Yes",IFERROR((IF(SUMIFS(_REF_Model_Content!$E$1:$E$613,_REF_Model_Content!$A$1:$A$613,PV_Canonical_Industry,_REF_Model_Content!$B$1:$B$613,$C627)=0,1,SUMIFS(_REF_Model_Content!$E$1:$E$613,_REF_Model_Content!$A$1:$A$613,PV_Canonical_Industry,_REF_Model_Content!$B$1:$B$613,$C627))*IFERROR($BU627,1)),1),"")</f>
        <v>1</v>
      </c>
      <c r="AY627">
        <f t="shared" si="71"/>
        <v>17.5</v>
      </c>
      <c r="AZ627">
        <f t="shared" si="72"/>
        <v>1.64</v>
      </c>
      <c r="BB627" t="str">
        <f>IF($H627="","",IFERROR(INDEX(_ENGINE_Risk!$AE$5:$AE$499,MATCH($E627,_ENGINE_Risk!$A$5:$A$499,0)),"Medium"))</f>
        <v>Slow</v>
      </c>
      <c r="BC627">
        <f t="shared" si="73"/>
        <v>0.85</v>
      </c>
      <c r="BD627">
        <f t="shared" si="74"/>
        <v>1.64</v>
      </c>
      <c r="BF627">
        <f>IF(OR($H627="",$J627=""),"",IFERROR(VLOOKUP(ROUND($J627,0),_CONFIG_Model_Settings!$D$154:$E$158,2,0),""))</f>
        <v>0.5</v>
      </c>
      <c r="BG627">
        <f>IFERROR(IF(OR($H627="",$K627=""),"",ROUND('Company Profile'!$B$113*INDEX(_CONFIG_Model_Settings!$H$154:$H$158,MATCH(ROUND($K627,0),_CONFIG_Model_Settings!$G$154:$G$158,0)),0)),0)</f>
        <v>1875</v>
      </c>
      <c r="BH627">
        <f t="shared" si="75"/>
        <v>937.5</v>
      </c>
      <c r="BI627">
        <f t="shared" si="76"/>
        <v>937.5</v>
      </c>
      <c r="BJ627">
        <f>IF($E627="","",IFERROR(VLOOKUP($C627,_CONFIG_Risk_Calibration!$A$5:$H$21,2,FALSE),3))</f>
        <v>3</v>
      </c>
      <c r="BK627">
        <f>IF($E627="","",IFERROR(VLOOKUP($C627,_CONFIG_Risk_Calibration!$A$5:$H$21,3,FALSE),0))</f>
        <v>0</v>
      </c>
      <c r="BL627">
        <f>IF($E627="","",IFERROR(VLOOKUP($C627,_CONFIG_Risk_Calibration!$A$5:$H$21,4,FALSE),3))</f>
        <v>3</v>
      </c>
      <c r="BM627">
        <f>IF($E627="","",IFERROR(VLOOKUP($C627,_CONFIG_Risk_Calibration!$A$5:$H$21,5,FALSE),3))</f>
        <v>4</v>
      </c>
      <c r="BN627" t="str">
        <f>IF($E627="","",IFERROR(VLOOKUP($C627,_CONFIG_Risk_Calibration!$A$5:$H$21,6,FALSE),"No"))</f>
        <v>Yes</v>
      </c>
      <c r="BO627">
        <f>IF($E627="","",IFERROR(VLOOKUP($C627,_CONFIG_Risk_Calibration!$A$5:$H$21,7,FALSE),1))</f>
        <v>5</v>
      </c>
      <c r="BP627">
        <f>IF($H627="","",MAX(1,MIN(5,((6-$H627)*0.45)+($BJ627*0.2)+('Resilience &amp; Risk Scenario'!$B$7*0.15)+($BK627*0.1)+($BL627*0.05)+(IF($BB627="Fast",5,IF($BB627="Slow",1,3))*0.05))))</f>
        <v>3.5</v>
      </c>
      <c r="BQ627">
        <f t="shared" si="77"/>
        <v>5</v>
      </c>
      <c r="BR627">
        <f t="shared" si="78"/>
        <v>17.5</v>
      </c>
      <c r="BS627">
        <f t="shared" si="79"/>
        <v>16.36</v>
      </c>
      <c r="BT627" t="str">
        <f>IFERROR(INDEX(_REF_Capability_Bridge!$D:$D,MATCH($C627&amp;"|"&amp;$D627,_REF_Capability_Bridge!$J:$J,0)),IFERROR(INDEX(_REF_Capability_Bridge!$D:$D,MATCH($C627&amp;"|",_REF_Capability_Bridge!$J:$J,0)),"CAP_GENERIC"))</f>
        <v>CAP_REGULATORY_CONTINUITY</v>
      </c>
      <c r="BU627">
        <f>IFERROR(IFERROR(INDEX(_ENGINE_Relevance!$L:$L,MATCH($BT627,_ENGINE_Relevance!$B:$B,0)),1),1)</f>
        <v>1</v>
      </c>
      <c r="BV627" t="str">
        <f>IFERROR(INDEX(_REF_Capability_Bridge!$A:$A,MATCH($C627&amp;"|"&amp;$D627,_REF_Capability_Bridge!$J:$J,0)),IFERROR(INDEX(_REF_Capability_Bridge!$A:$A,MATCH($C627&amp;"|",_REF_Capability_Bridge!$J:$J,0)),"No bridge"))</f>
        <v>BRG-051</v>
      </c>
      <c r="BW627" t="str">
        <f t="shared" si="80"/>
        <v>Capability relevance neutral</v>
      </c>
      <c r="BX627" t="str">
        <f t="shared" si="81"/>
        <v>Initial / absent</v>
      </c>
      <c r="BY627" t="str">
        <f>IF($E627="","",IFERROR(INDEX(_REF_Treatment_Library!$A$2:$A$296,MATCH(1,INDEX((_REF_Treatment_Library!$B$2:$B$296=$BT627)*(_REF_Treatment_Library!$C$2:$C$296=PV_Canonical_Industry)*(_REF_Treatment_Library!$E$2:$E$296&lt;=N($H627))*(_REF_Treatment_Library!$F$2:$F$296&gt;=N($H627))*(_REF_Treatment_Library!$O$2:$O$296="Yes"),0),0)),IFERROR(INDEX(_REF_Treatment_Library!$A$2:$A$296,MATCH(1,INDEX((_REF_Treatment_Library!$B$2:$B$296=$BT627)*(_REF_Treatment_Library!$C$2:$C$296="All")*(_REF_Treatment_Library!$E$2:$E$296&lt;=N($H627))*(_REF_Treatment_Library!$F$2:$F$296&gt;=N($H627))*(_REF_Treatment_Library!$O$2:$O$296="Yes"),0),0)),"")))</f>
        <v>TRT-REGULATORY_CONTINUITY-INITIAL</v>
      </c>
      <c r="BZ627" t="str">
        <f>IF($BY627="","",IFERROR(INDEX(_REF_Treatment_Library!$H$2:$H$296,MATCH($BY627,_REF_Treatment_Library!$A$2:$A$296,0)),""))</f>
        <v>Establish</v>
      </c>
      <c r="CA627" t="str">
        <f>IF($BY627="","",IFERROR(INDEX(_REF_Treatment_Library!$I$2:$I$296,MATCH($BY627,_REF_Treatment_Library!$A$2:$A$296,0)),""))</f>
        <v>Establish baseline controls for Regulatory continuity</v>
      </c>
      <c r="CB627" t="str">
        <f>IF($BY627="","",IFERROR(INDEX(_REF_Treatment_Library!$K$2:$K$296,MATCH($BY627,_REF_Treatment_Library!$A$2:$A$296,0)),""))</f>
        <v>Named owner, baseline process, minimum control checklist, first evidence package</v>
      </c>
      <c r="CC627" t="str">
        <f>IF($BY627="","",IFERROR(INDEX(_REF_Treatment_Library!$L$2:$L$296,MATCH($BY627,_REF_Treatment_Library!$A$2:$A$296,0)),""))</f>
        <v>Owner assigned; baseline evidence coverage; open critical gaps</v>
      </c>
      <c r="CD627" t="str">
        <f t="shared" si="82"/>
        <v>Treatment by capability=CAP_REGULATORY_CONTINUITY; band=Initial / absent; score=0.0; treatment=Establish</v>
      </c>
      <c r="CE627" t="str">
        <f>IF($E627="","",IFERROR(INDEX(_REF_Industry_Wording!$A$2:$A$70,MATCH(1,INDEX((_REF_Industry_Wording!$B$2:$B$70=$BT627)*(_REF_Industry_Wording!$C$2:$C$70=PV_Canonical_Industry)*(_REF_Industry_Wording!$K$2:$K$70="Yes"),0),0)),IFERROR(INDEX(_REF_Industry_Wording!$A$2:$A$70,MATCH(1,INDEX((_REF_Industry_Wording!$B$2:$B$70=$BT627)*(_REF_Industry_Wording!$C$2:$C$70="All")*(_REF_Industry_Wording!$K$2:$K$70="Yes"),0),0)),"")))</f>
        <v>IW-ALL-REGULATORY_CONTINUITY</v>
      </c>
      <c r="CF627" t="str">
        <f>IF($CE627="","",IFERROR(INDEX(_REF_Industry_Wording!$E$2:$E$70,MATCH($CE627,_REF_Industry_Wording!$A$2:$A$70,0)),""))</f>
        <v>Regulatory continuity weakness</v>
      </c>
      <c r="CG627" t="str">
        <f>IF($CE627="","",IFERROR(INDEX(_REF_Industry_Wording!$F$2:$F$70,MATCH($CE627,_REF_Industry_Wording!$A$2:$A$70,0)),""))</f>
        <v>Strengthen Regulatory continuity</v>
      </c>
      <c r="CH627" t="str">
        <f>IF($CE627="","",IFERROR(INDEX(_REF_Industry_Wording!$G$2:$G$70,MATCH($CE627,_REF_Industry_Wording!$A$2:$A$70,0)),""))</f>
        <v>Strengthen Regulatory continuity using the selected maturity treatment, crisis scenario and evidence requirements.</v>
      </c>
      <c r="CI627" t="str">
        <f>IF($CE627="","",IFERROR(INDEX(_REF_Industry_Wording!$H$2:$H$70,MATCH($CE627,_REF_Industry_Wording!$A$2:$A$70,0)),""))</f>
        <v>Regulatory continuity</v>
      </c>
      <c r="CJ627">
        <f>IF($CE627="","",IFERROR(INDEX(_REF_Industry_Wording!$I$2:$I$70,MATCH($CE627,_REF_Industry_Wording!$A$2:$A$70,0)),""))</f>
        <v>0</v>
      </c>
      <c r="CK627" t="str">
        <f>IF($CE627="","",IFERROR(INDEX(_REF_Industry_Wording!$J$2:$J$70,MATCH($CE627,_REF_Industry_Wording!$A$2:$A$70,0)),""))</f>
        <v>Regulatory continuity</v>
      </c>
      <c r="CL627" t="str">
        <f t="shared" si="83"/>
        <v>Wording by industry=0; capability=CAP_REGULATORY_CONTINUITY; risk label=Regulatory continuity weakness</v>
      </c>
      <c r="CM627" t="str">
        <f t="shared" si="84"/>
        <v>RISK-ONT-0128</v>
      </c>
      <c r="CN627" t="str">
        <f t="shared" si="85"/>
        <v>RISK-EVT-0128</v>
      </c>
      <c r="CO627" t="str">
        <f t="shared" si="86"/>
        <v>Legal Risk|Contracts|LEGA-009|CAP_REGULATORY_CONTINUITY</v>
      </c>
      <c r="CP627" t="str">
        <f t="shared" si="87"/>
        <v>Active</v>
      </c>
      <c r="CQ627" t="str">
        <f t="shared" si="88"/>
        <v>OK: capability-driven</v>
      </c>
      <c r="CR627" t="str">
        <f t="shared" si="89"/>
        <v>Risk ontology uses capability=CAP_REGULATORY_CONTINUITY; bridge=BRG-051; treatment=TRT-REGULATORY_CONTINUITY-INITIAL; wording=IW-ALL-REGULATORY_CONTINUITY</v>
      </c>
      <c r="CS627" t="str">
        <f t="shared" si="90"/>
        <v>Yes</v>
      </c>
    </row>
    <row r="628" spans="1:97" ht="69.900000000000006" customHeight="1">
      <c r="A628">
        <f>IF(OR($B628&lt;&gt;"Yes",$BS628=""),"",SUMPRODUCT(($B$500:$B$923="Yes")*ISNUMBER($BS$500:$BS$923)*($BS$500:$BS$923&gt;$BS628))+COUNTIFS($B$500:$B628,"Yes",$BS$500:$BS628,$BS628))</f>
        <v>276</v>
      </c>
      <c r="B628" t="str">
        <f t="shared" ref="B628:B691" si="91">IF($H628="","",IF($BU628=0,"",IF($H628&lt;5,"Yes","Maintain")))</f>
        <v>Yes</v>
      </c>
      <c r="C628" t="s">
        <v>1551</v>
      </c>
      <c r="D628" t="s">
        <v>1568</v>
      </c>
      <c r="E628" t="s">
        <v>1610</v>
      </c>
      <c r="F628" t="s">
        <v>3684</v>
      </c>
      <c r="G628" t="str">
        <f>IF($H628="","",IFERROR(INDEX(_ENGINE_Risk!$H$5:$M$499,MATCH($E628,_ENGINE_Risk!$A$5:$A$499,0),$H628+1),""))</f>
        <v>Severe risk: supplier continuity, security, audit, subcontractor and incident notification clauses is not reliably controlled. During Regulatory/legal shock; Contractual exposure; Data breach, the organization may face contractual disputes, compliance breaches, regulatory penalties and delayed legal response with limited visibility or accountability.</v>
      </c>
      <c r="H628">
        <f>IFERROR(VALUE(INDEX(_DATA_Assessment_Model!$H$5:$H$884,MATCH($E628,_DATA_Assessment_Model!$A$5:$A$884,0))),"")</f>
        <v>0</v>
      </c>
      <c r="I628" t="str">
        <f>IF($H628="","",IFERROR(INDEX(_DATA_Assessment_Model!$L$5:$L$884,MATCH($E628,_DATA_Assessment_Model!$A$5:$A$884,0)),IF($H628&lt;=1,"Critical",IF($H628=2,"High",IF($H628=3,"Medium",IF($H628=4,"Low","Resilient"))))))</f>
        <v>Critical</v>
      </c>
      <c r="J628">
        <f t="shared" ref="J628:J691" si="92">IF($H628="","",$BP628)</f>
        <v>3.5</v>
      </c>
      <c r="K628">
        <f t="shared" ref="K628:K691" si="93">IF($H628="","",$BQ628)</f>
        <v>5</v>
      </c>
      <c r="L628">
        <f t="shared" ref="L628:L691" si="94">IF($H628="","",$J628*$K628)</f>
        <v>17.5</v>
      </c>
      <c r="M628">
        <f t="shared" ref="M628:M691" si="95">IF($H628="","",MAX(1,MIN(5,ROUNDUP($L628/5,0))))</f>
        <v>4</v>
      </c>
      <c r="N628">
        <f>IF($H628="","",IFERROR(INDEX(_ENGINE_Risk!$T$5:$Y$499,MATCH($E628,_ENGINE_Risk!$A$5:$A$499,0),$H628+1),""))</f>
        <v>3</v>
      </c>
      <c r="O628">
        <f t="shared" ref="O628:O691" si="96">IF($H628="","",MAX(1,MIN(5,($U628+$V628+$X628)/3)))</f>
        <v>5</v>
      </c>
      <c r="P628">
        <f t="shared" ref="P628:P691" si="97">IF($H628="","",IF($I628="Critical",5,IF($I628="High",4,IF($I628="Medium",3,IF($I628="Low",2,1)))))</f>
        <v>5</v>
      </c>
      <c r="Q628">
        <f t="shared" ref="Q628:Q691" si="98">IF($H628="","",MAX(1,MIN(5,((5-$H628)*0.65)+($W628*0.35))))</f>
        <v>5</v>
      </c>
      <c r="R628">
        <f t="shared" ref="R628:R691" si="99">IF($H628="","",MAX(1,MIN(5,($V628+$X628)/2)))</f>
        <v>5</v>
      </c>
      <c r="S628">
        <f t="shared" ref="S628:S691" si="100">IF(OR($H628="",$N628=""),"",ROUND((($O628+$P628+$Q628+$R628)/4)/$N628,2))</f>
        <v>1.67</v>
      </c>
      <c r="T628" t="str">
        <f>IF($H628="","",IFERROR(INDEX(_ENGINE_Risk!$N$5:$S$499,MATCH($E628,_ENGINE_Risk!$A$5:$A$499,0),$H628+1),""))</f>
        <v>Create an immediate risk owner, minimum control baseline and fallback procedure for supplier continuity, security, audit, subcontractor and incident notification clauses. Add it to the crisis risk register and collect first evidence.</v>
      </c>
      <c r="U628">
        <f>IFERROR(INDEX(_DATA_Assessment_Model!$G$5:$G$884,MATCH($E628,_DATA_Assessment_Model!$A$5:$A$884,0)),"")</f>
        <v>5</v>
      </c>
      <c r="V628">
        <f>IFERROR(INDEX(_DATA_Assessment_Model!$W$5:$W$884,MATCH($E628,_DATA_Assessment_Model!$A$5:$A$884,0)),"")</f>
        <v>5</v>
      </c>
      <c r="W628">
        <f>IFERROR(INDEX(_DATA_Assessment_Model!$X$5:$X$884,MATCH($E628,_DATA_Assessment_Model!$A$5:$A$884,0)),"")</f>
        <v>5</v>
      </c>
      <c r="X628">
        <f>IFERROR(INDEX(_DATA_Assessment_Model!$Y$5:$Y$884,MATCH($E628,_DATA_Assessment_Model!$A$5:$A$884,0)),"")</f>
        <v>5</v>
      </c>
      <c r="Y628" t="s">
        <v>1564</v>
      </c>
      <c r="Z628" t="s">
        <v>6289</v>
      </c>
      <c r="AA628" t="s">
        <v>1612</v>
      </c>
      <c r="AB628">
        <f>IFERROR(INDEX(_DATA_Assessment_Model!$U$5:$U$884,MATCH($E628,_DATA_Assessment_Model!$A$5:$A$884,0)),"")</f>
        <v>0</v>
      </c>
      <c r="AF628" t="s">
        <v>1611</v>
      </c>
      <c r="AO628">
        <f>IF($B628="Yes",IF(IFERROR(INDEX(_ENGINE_Crisis!$F$501:$F$517,MATCH($C628,_ENGINE_Crisis!$A$501:$A$517,0)),1)=0,1,IFERROR(INDEX(_ENGINE_Crisis!$F$501:$F$517,MATCH($C628,_ENGINE_Crisis!$A$501:$A$517,0)),1)),"")</f>
        <v>1</v>
      </c>
      <c r="AP628">
        <f t="shared" ref="AP628:AP691" si="101">IF(AO628="","",ROUND($L628*AO628,1))</f>
        <v>17.5</v>
      </c>
      <c r="AQ628">
        <f t="shared" ref="AQ628:AQ691" si="102">IF(OR(AO628="",$S628=""),"",ROUND($S628*(0.7+0.3*AO628),2))</f>
        <v>1.67</v>
      </c>
      <c r="AR628" t="str">
        <f>IFERROR(INDEX(_ENGINE_Crisis!$E$41:$E$700,MATCH('Resilience &amp; Risk Scenario'!$B$6&amp;"|"&amp;$C628,_ENGINE_Crisis!$I$41:$I$700,0)),"")</f>
        <v/>
      </c>
      <c r="AS628" t="str">
        <f>IFERROR(INDEX(_ENGINE_Crisis!$G$41:$G$700,MATCH('Resilience &amp; Risk Scenario'!$B$6&amp;"|"&amp;$C628,_ENGINE_Crisis!$I$41:$I$700,0)),"")</f>
        <v/>
      </c>
      <c r="AT628" t="str">
        <f>IFERROR(INDEX(_ENGINE_Initiatives!$A$5:$A$532,MATCH(1,INDEX((_ENGINE_Initiatives!$B$5:$B$532=$C628)*(_ENGINE_Initiatives!$C$5:$C$532=$D628),0),0)),"")</f>
        <v>INI-020</v>
      </c>
      <c r="AU628" t="str">
        <f>IFERROR(INDEX(_ENGINE_Initiatives!$F$5:$F$532,MATCH(1,INDEX((_ENGINE_Initiatives!$B$5:$B$532=$C628)*(_ENGINE_Initiatives!$C$5:$C$532=$D628),0),0)),"")</f>
        <v>Build contract register, obligations and force-majeure response model</v>
      </c>
      <c r="AV628">
        <f>IFERROR(INDEX(_ENGINE_Initiatives!$AC$5:$AC$532,MATCH(1,INDEX((_ENGINE_Initiatives!$B$5:$B$532=$C628)*(_ENGINE_Initiatives!$C$5:$C$532=$D628),0),0)),"")</f>
        <v>2.6</v>
      </c>
      <c r="AW628" t="str">
        <f>IFERROR(INDEX(_ENGINE_Initiatives!$AE$5:$AE$532,MATCH(1,INDEX((_ENGINE_Initiatives!$B$5:$B$532=$C628)*(_ENGINE_Initiatives!$C$5:$C$532=$D628),0),0)),"")</f>
        <v>0-90 days</v>
      </c>
      <c r="AX628">
        <f>IF($B628="Yes",IFERROR((IF(SUMIFS(_REF_Model_Content!$E$1:$E$613,_REF_Model_Content!$A$1:$A$613,PV_Canonical_Industry,_REF_Model_Content!$B$1:$B$613,$C628)=0,1,SUMIFS(_REF_Model_Content!$E$1:$E$613,_REF_Model_Content!$A$1:$A$613,PV_Canonical_Industry,_REF_Model_Content!$B$1:$B$613,$C628))*IFERROR($BU628,1)),1),"")</f>
        <v>1</v>
      </c>
      <c r="AY628">
        <f t="shared" ref="AY628:AY691" si="103">IF($L628="","",ROUND(IF($AP628="",$L628,$AP628)*IF($AX628="",1,$AX628),2))</f>
        <v>17.5</v>
      </c>
      <c r="AZ628">
        <f t="shared" ref="AZ628:AZ691" si="104">IF($S628="","",ROUND(IF($AQ628="",$S628,$AQ628)*IF($AX628="",1,$AX628),2))</f>
        <v>1.67</v>
      </c>
      <c r="BB628" t="str">
        <f>IF($H628="","",IFERROR(INDEX(_ENGINE_Risk!$AE$5:$AE$499,MATCH($E628,_ENGINE_Risk!$A$5:$A$499,0)),"Medium"))</f>
        <v>Slow</v>
      </c>
      <c r="BC628">
        <f t="shared" ref="BC628:BC691" si="105">IF($BB628="","",IF($BB628="Fast",1.25,IF($BB628="Slow",0.85,1)))</f>
        <v>0.85</v>
      </c>
      <c r="BD628">
        <f t="shared" ref="BD628:BD691" si="106">IF($S628="","",ROUND($S628*IF($AX628="",1,$AX628),2))</f>
        <v>1.67</v>
      </c>
      <c r="BF628">
        <f>IF(OR($H628="",$J628=""),"",IFERROR(VLOOKUP(ROUND($J628,0),_CONFIG_Model_Settings!$D$154:$E$158,2,0),""))</f>
        <v>0.5</v>
      </c>
      <c r="BG628">
        <f>IFERROR(IF(OR($H628="",$K628=""),"",ROUND('Company Profile'!$B$113*INDEX(_CONFIG_Model_Settings!$H$154:$H$158,MATCH(ROUND($K628,0),_CONFIG_Model_Settings!$G$154:$G$158,0)),0)),0)</f>
        <v>1875</v>
      </c>
      <c r="BH628">
        <f t="shared" ref="BH628:BH691" si="107">IFERROR(IF(OR($BF628="",$BG628=""),"",ROUND($BF628*$BG628,1)),"")</f>
        <v>937.5</v>
      </c>
      <c r="BI628">
        <f t="shared" ref="BI628:BI691" si="108">IFERROR(IF($BH628="","",ROUND($BH628*IF(OR($AO628="",$AO628=0),1,$AO628),1)),"")</f>
        <v>937.5</v>
      </c>
      <c r="BJ628">
        <f>IF($E628="","",IFERROR(VLOOKUP($C628,_CONFIG_Risk_Calibration!$A$5:$H$21,2,FALSE),3))</f>
        <v>3</v>
      </c>
      <c r="BK628">
        <f>IF($E628="","",IFERROR(VLOOKUP($C628,_CONFIG_Risk_Calibration!$A$5:$H$21,3,FALSE),0))</f>
        <v>0</v>
      </c>
      <c r="BL628">
        <f>IF($E628="","",IFERROR(VLOOKUP($C628,_CONFIG_Risk_Calibration!$A$5:$H$21,4,FALSE),3))</f>
        <v>3</v>
      </c>
      <c r="BM628">
        <f>IF($E628="","",IFERROR(VLOOKUP($C628,_CONFIG_Risk_Calibration!$A$5:$H$21,5,FALSE),3))</f>
        <v>4</v>
      </c>
      <c r="BN628" t="str">
        <f>IF($E628="","",IFERROR(VLOOKUP($C628,_CONFIG_Risk_Calibration!$A$5:$H$21,6,FALSE),"No"))</f>
        <v>Yes</v>
      </c>
      <c r="BO628">
        <f>IF($E628="","",IFERROR(VLOOKUP($C628,_CONFIG_Risk_Calibration!$A$5:$H$21,7,FALSE),1))</f>
        <v>5</v>
      </c>
      <c r="BP628">
        <f>IF($H628="","",MAX(1,MIN(5,((6-$H628)*0.45)+($BJ628*0.2)+('Resilience &amp; Risk Scenario'!$B$7*0.15)+($BK628*0.1)+($BL628*0.05)+(IF($BB628="Fast",5,IF($BB628="Slow",1,3))*0.05))))</f>
        <v>3.5</v>
      </c>
      <c r="BQ628">
        <f t="shared" ref="BQ628:BQ691" si="109">IF($H628="","",MAX(IF($BN628="Yes",$BO628,1),MIN(5,($U628*0.2)+($V628*0.15)+($W628*0.25)+($X628*0.15)+($BJ628*0.1)+($BM628*0.15))))</f>
        <v>5</v>
      </c>
      <c r="BR628">
        <f t="shared" ref="BR628:BR691" si="110">IF(OR($BP628="",$BQ628=""),"",ROUND($BP628*$BQ628,2))</f>
        <v>17.5</v>
      </c>
      <c r="BS628">
        <f t="shared" ref="BS628:BS691" si="111">IF($BR628="","",ROUND($BR628*IF(OR($AO628="",$AO628=0),1,$AO628)*IF($AX628="",1,$AX628)*(1+(($BM628-3)*0.1))*IF($BC628="",1,$BC628),2))</f>
        <v>16.36</v>
      </c>
      <c r="BT628" t="str">
        <f>IFERROR(INDEX(_REF_Capability_Bridge!$D:$D,MATCH($C628&amp;"|"&amp;$D628,_REF_Capability_Bridge!$J:$J,0)),IFERROR(INDEX(_REF_Capability_Bridge!$D:$D,MATCH($C628&amp;"|",_REF_Capability_Bridge!$J:$J,0)),"CAP_GENERIC"))</f>
        <v>CAP_REGULATORY_CONTINUITY</v>
      </c>
      <c r="BU628">
        <f>IFERROR(IFERROR(INDEX(_ENGINE_Relevance!$L:$L,MATCH($BT628,_ENGINE_Relevance!$B:$B,0)),1),1)</f>
        <v>1</v>
      </c>
      <c r="BV628" t="str">
        <f>IFERROR(INDEX(_REF_Capability_Bridge!$A:$A,MATCH($C628&amp;"|"&amp;$D628,_REF_Capability_Bridge!$J:$J,0)),IFERROR(INDEX(_REF_Capability_Bridge!$A:$A,MATCH($C628&amp;"|",_REF_Capability_Bridge!$J:$J,0)),"No bridge"))</f>
        <v>BRG-051</v>
      </c>
      <c r="BW628" t="str">
        <f t="shared" ref="BW628:BW691" si="112">IF($BU628=0,"Hard-excluded at capability level",IF($BU628&gt;1,"Capability relevance increases risk priority",IF($BU628&lt;1,"Capability relevance lowers risk priority","Capability relevance neutral")))</f>
        <v>Capability relevance neutral</v>
      </c>
      <c r="BX628" t="str">
        <f t="shared" ref="BX628:BX691" si="113">IF($E628="","",IF(N($H628)&lt;1.5,"Initial / absent",IF(N($H628)&lt;2.5,"Basic",IF(N($H628)&lt;3.5,"Defined",IF(N($H628)&lt;4.3,"Managed","Optimized")))))</f>
        <v>Initial / absent</v>
      </c>
      <c r="BY628" t="str">
        <f>IF($E628="","",IFERROR(INDEX(_REF_Treatment_Library!$A$2:$A$296,MATCH(1,INDEX((_REF_Treatment_Library!$B$2:$B$296=$BT628)*(_REF_Treatment_Library!$C$2:$C$296=PV_Canonical_Industry)*(_REF_Treatment_Library!$E$2:$E$296&lt;=N($H628))*(_REF_Treatment_Library!$F$2:$F$296&gt;=N($H628))*(_REF_Treatment_Library!$O$2:$O$296="Yes"),0),0)),IFERROR(INDEX(_REF_Treatment_Library!$A$2:$A$296,MATCH(1,INDEX((_REF_Treatment_Library!$B$2:$B$296=$BT628)*(_REF_Treatment_Library!$C$2:$C$296="All")*(_REF_Treatment_Library!$E$2:$E$296&lt;=N($H628))*(_REF_Treatment_Library!$F$2:$F$296&gt;=N($H628))*(_REF_Treatment_Library!$O$2:$O$296="Yes"),0),0)),"")))</f>
        <v>TRT-REGULATORY_CONTINUITY-INITIAL</v>
      </c>
      <c r="BZ628" t="str">
        <f>IF($BY628="","",IFERROR(INDEX(_REF_Treatment_Library!$H$2:$H$296,MATCH($BY628,_REF_Treatment_Library!$A$2:$A$296,0)),""))</f>
        <v>Establish</v>
      </c>
      <c r="CA628" t="str">
        <f>IF($BY628="","",IFERROR(INDEX(_REF_Treatment_Library!$I$2:$I$296,MATCH($BY628,_REF_Treatment_Library!$A$2:$A$296,0)),""))</f>
        <v>Establish baseline controls for Regulatory continuity</v>
      </c>
      <c r="CB628" t="str">
        <f>IF($BY628="","",IFERROR(INDEX(_REF_Treatment_Library!$K$2:$K$296,MATCH($BY628,_REF_Treatment_Library!$A$2:$A$296,0)),""))</f>
        <v>Named owner, baseline process, minimum control checklist, first evidence package</v>
      </c>
      <c r="CC628" t="str">
        <f>IF($BY628="","",IFERROR(INDEX(_REF_Treatment_Library!$L$2:$L$296,MATCH($BY628,_REF_Treatment_Library!$A$2:$A$296,0)),""))</f>
        <v>Owner assigned; baseline evidence coverage; open critical gaps</v>
      </c>
      <c r="CD628" t="str">
        <f t="shared" ref="CD628:CD691" si="114">IF($E628="","","Treatment by capability="&amp;$BT628&amp;"; band="&amp;$BX628&amp;"; score="&amp;TEXT(N($H628),"0.0")&amp;"; treatment="&amp;$BZ628)</f>
        <v>Treatment by capability=CAP_REGULATORY_CONTINUITY; band=Initial / absent; score=0.0; treatment=Establish</v>
      </c>
      <c r="CE628" t="str">
        <f>IF($E628="","",IFERROR(INDEX(_REF_Industry_Wording!$A$2:$A$70,MATCH(1,INDEX((_REF_Industry_Wording!$B$2:$B$70=$BT628)*(_REF_Industry_Wording!$C$2:$C$70=PV_Canonical_Industry)*(_REF_Industry_Wording!$K$2:$K$70="Yes"),0),0)),IFERROR(INDEX(_REF_Industry_Wording!$A$2:$A$70,MATCH(1,INDEX((_REF_Industry_Wording!$B$2:$B$70=$BT628)*(_REF_Industry_Wording!$C$2:$C$70="All")*(_REF_Industry_Wording!$K$2:$K$70="Yes"),0),0)),"")))</f>
        <v>IW-ALL-REGULATORY_CONTINUITY</v>
      </c>
      <c r="CF628" t="str">
        <f>IF($CE628="","",IFERROR(INDEX(_REF_Industry_Wording!$E$2:$E$70,MATCH($CE628,_REF_Industry_Wording!$A$2:$A$70,0)),""))</f>
        <v>Regulatory continuity weakness</v>
      </c>
      <c r="CG628" t="str">
        <f>IF($CE628="","",IFERROR(INDEX(_REF_Industry_Wording!$F$2:$F$70,MATCH($CE628,_REF_Industry_Wording!$A$2:$A$70,0)),""))</f>
        <v>Strengthen Regulatory continuity</v>
      </c>
      <c r="CH628" t="str">
        <f>IF($CE628="","",IFERROR(INDEX(_REF_Industry_Wording!$G$2:$G$70,MATCH($CE628,_REF_Industry_Wording!$A$2:$A$70,0)),""))</f>
        <v>Strengthen Regulatory continuity using the selected maturity treatment, crisis scenario and evidence requirements.</v>
      </c>
      <c r="CI628" t="str">
        <f>IF($CE628="","",IFERROR(INDEX(_REF_Industry_Wording!$H$2:$H$70,MATCH($CE628,_REF_Industry_Wording!$A$2:$A$70,0)),""))</f>
        <v>Regulatory continuity</v>
      </c>
      <c r="CJ628">
        <f>IF($CE628="","",IFERROR(INDEX(_REF_Industry_Wording!$I$2:$I$70,MATCH($CE628,_REF_Industry_Wording!$A$2:$A$70,0)),""))</f>
        <v>0</v>
      </c>
      <c r="CK628" t="str">
        <f>IF($CE628="","",IFERROR(INDEX(_REF_Industry_Wording!$J$2:$J$70,MATCH($CE628,_REF_Industry_Wording!$A$2:$A$70,0)),""))</f>
        <v>Regulatory continuity</v>
      </c>
      <c r="CL628" t="str">
        <f t="shared" ref="CL628:CL691" si="115">IF($E628="","","Wording by industry="&amp;PV_Canonical_Industry&amp;"; capability="&amp;$BT628&amp;"; risk label="&amp;$CF628)</f>
        <v>Wording by industry=0; capability=CAP_REGULATORY_CONTINUITY; risk label=Regulatory continuity weakness</v>
      </c>
      <c r="CM628" t="str">
        <f t="shared" ref="CM628:CM691" si="116">IF($E628="","","RISK-ONT-"&amp;TEXT(ROW()-499,"0000"))</f>
        <v>RISK-ONT-0129</v>
      </c>
      <c r="CN628" t="str">
        <f t="shared" ref="CN628:CN691" si="117">IF($E628="","","RISK-EVT-"&amp;TEXT(ROW()-499,"0000"))</f>
        <v>RISK-EVT-0129</v>
      </c>
      <c r="CO628" t="str">
        <f t="shared" ref="CO628:CO691" si="118">IF($E628="","",$C628&amp;"|"&amp;$D628&amp;"|"&amp;$E628&amp;"|"&amp;$BT628)</f>
        <v>Legal Risk|Contracts|LEGA-010|CAP_REGULATORY_CONTINUITY</v>
      </c>
      <c r="CP628" t="str">
        <f t="shared" ref="CP628:CP691" si="119">IF($E628="","",IF(OR($BT628="",$BT628="CAP_GENERIC"),"CHECK","Active"))</f>
        <v>Active</v>
      </c>
      <c r="CQ628" t="str">
        <f t="shared" ref="CQ628:CQ691" si="120">IF($E628="","",IF($BT628="CAP_GENERIC","CHECK: generic capability fallback","OK: capability-driven"))</f>
        <v>OK: capability-driven</v>
      </c>
      <c r="CR628" t="str">
        <f t="shared" ref="CR628:CR691" si="121">IF($E628="","","Risk ontology uses capability="&amp;$BT628&amp;"; bridge="&amp;$BV628&amp;"; treatment="&amp;$BY628&amp;"; wording="&amp;$CE628)</f>
        <v>Risk ontology uses capability=CAP_REGULATORY_CONTINUITY; bridge=BRG-051; treatment=TRT-REGULATORY_CONTINUITY-INITIAL; wording=IW-ALL-REGULATORY_CONTINUITY</v>
      </c>
      <c r="CS628" t="str">
        <f t="shared" ref="CS628:CS691" si="122">IF($E628="","",IF($CP628="Active","Yes","No"))</f>
        <v>Yes</v>
      </c>
    </row>
    <row r="629" spans="1:97" ht="69.900000000000006" customHeight="1">
      <c r="A629">
        <f>IF(OR($B629&lt;&gt;"Yes",$BS629=""),"",SUMPRODUCT(($B$500:$B$923="Yes")*ISNUMBER($BS$500:$BS$923)*($BS$500:$BS$923&gt;$BS629))+COUNTIFS($B$500:$B629,"Yes",$BS$500:$BS629,$BS629))</f>
        <v>277</v>
      </c>
      <c r="B629" t="str">
        <f t="shared" si="91"/>
        <v>Yes</v>
      </c>
      <c r="C629" t="s">
        <v>1551</v>
      </c>
      <c r="D629" t="s">
        <v>1568</v>
      </c>
      <c r="E629" t="s">
        <v>1613</v>
      </c>
      <c r="F629" t="s">
        <v>3684</v>
      </c>
      <c r="G629" t="str">
        <f>IF($H629="","",IFERROR(INDEX(_ENGINE_Risk!$H$5:$M$499,MATCH($E629,_ENGINE_Risk!$A$5:$A$499,0),$H629+1),""))</f>
        <v>Severe risk: signatory continuity with powers of attorney, board approvals and emergency delegation is not reliably controlled. During Regulatory/legal shock; Contractual exposure; Data breach, the organization may face contractual disputes, compliance breaches, regulatory penalties and delayed legal response with limited visibility or accountability.</v>
      </c>
      <c r="H629">
        <f>IFERROR(VALUE(INDEX(_DATA_Assessment_Model!$H$5:$H$884,MATCH($E629,_DATA_Assessment_Model!$A$5:$A$884,0))),"")</f>
        <v>0</v>
      </c>
      <c r="I629" t="str">
        <f>IF($H629="","",IFERROR(INDEX(_DATA_Assessment_Model!$L$5:$L$884,MATCH($E629,_DATA_Assessment_Model!$A$5:$A$884,0)),IF($H629&lt;=1,"Critical",IF($H629=2,"High",IF($H629=3,"Medium",IF($H629=4,"Low","Resilient"))))))</f>
        <v>Critical</v>
      </c>
      <c r="J629">
        <f t="shared" si="92"/>
        <v>3.5</v>
      </c>
      <c r="K629">
        <f t="shared" si="93"/>
        <v>5</v>
      </c>
      <c r="L629">
        <f t="shared" si="94"/>
        <v>17.5</v>
      </c>
      <c r="M629">
        <f t="shared" si="95"/>
        <v>4</v>
      </c>
      <c r="N629">
        <f>IF($H629="","",IFERROR(INDEX(_ENGINE_Risk!$T$5:$Y$499,MATCH($E629,_ENGINE_Risk!$A$5:$A$499,0),$H629+1),""))</f>
        <v>3</v>
      </c>
      <c r="O629">
        <f t="shared" si="96"/>
        <v>5</v>
      </c>
      <c r="P629">
        <f t="shared" si="97"/>
        <v>5</v>
      </c>
      <c r="Q629">
        <f t="shared" si="98"/>
        <v>5</v>
      </c>
      <c r="R629">
        <f t="shared" si="99"/>
        <v>5</v>
      </c>
      <c r="S629">
        <f t="shared" si="100"/>
        <v>1.67</v>
      </c>
      <c r="T629" t="str">
        <f>IF($H629="","",IFERROR(INDEX(_ENGINE_Risk!$N$5:$S$499,MATCH($E629,_ENGINE_Risk!$A$5:$A$499,0),$H629+1),""))</f>
        <v>Create an immediate risk owner, minimum control baseline and fallback procedure for signatory continuity with powers of attorney, board approvals and emergency delegation. Add it to the crisis risk register and collect first evidence.</v>
      </c>
      <c r="U629">
        <f>IFERROR(INDEX(_DATA_Assessment_Model!$G$5:$G$884,MATCH($E629,_DATA_Assessment_Model!$A$5:$A$884,0)),"")</f>
        <v>5</v>
      </c>
      <c r="V629">
        <f>IFERROR(INDEX(_DATA_Assessment_Model!$W$5:$W$884,MATCH($E629,_DATA_Assessment_Model!$A$5:$A$884,0)),"")</f>
        <v>5</v>
      </c>
      <c r="W629">
        <f>IFERROR(INDEX(_DATA_Assessment_Model!$X$5:$X$884,MATCH($E629,_DATA_Assessment_Model!$A$5:$A$884,0)),"")</f>
        <v>5</v>
      </c>
      <c r="X629">
        <f>IFERROR(INDEX(_DATA_Assessment_Model!$Y$5:$Y$884,MATCH($E629,_DATA_Assessment_Model!$A$5:$A$884,0)),"")</f>
        <v>5</v>
      </c>
      <c r="Y629" t="s">
        <v>1564</v>
      </c>
      <c r="Z629" t="s">
        <v>6289</v>
      </c>
      <c r="AA629" t="s">
        <v>1615</v>
      </c>
      <c r="AB629">
        <f>IFERROR(INDEX(_DATA_Assessment_Model!$U$5:$U$884,MATCH($E629,_DATA_Assessment_Model!$A$5:$A$884,0)),"")</f>
        <v>0</v>
      </c>
      <c r="AF629" t="s">
        <v>1614</v>
      </c>
      <c r="AO629">
        <f>IF($B629="Yes",IF(IFERROR(INDEX(_ENGINE_Crisis!$F$501:$F$517,MATCH($C629,_ENGINE_Crisis!$A$501:$A$517,0)),1)=0,1,IFERROR(INDEX(_ENGINE_Crisis!$F$501:$F$517,MATCH($C629,_ENGINE_Crisis!$A$501:$A$517,0)),1)),"")</f>
        <v>1</v>
      </c>
      <c r="AP629">
        <f t="shared" si="101"/>
        <v>17.5</v>
      </c>
      <c r="AQ629">
        <f t="shared" si="102"/>
        <v>1.67</v>
      </c>
      <c r="AR629" t="str">
        <f>IFERROR(INDEX(_ENGINE_Crisis!$E$41:$E$700,MATCH('Resilience &amp; Risk Scenario'!$B$6&amp;"|"&amp;$C629,_ENGINE_Crisis!$I$41:$I$700,0)),"")</f>
        <v/>
      </c>
      <c r="AS629" t="str">
        <f>IFERROR(INDEX(_ENGINE_Crisis!$G$41:$G$700,MATCH('Resilience &amp; Risk Scenario'!$B$6&amp;"|"&amp;$C629,_ENGINE_Crisis!$I$41:$I$700,0)),"")</f>
        <v/>
      </c>
      <c r="AT629" t="str">
        <f>IFERROR(INDEX(_ENGINE_Initiatives!$A$5:$A$532,MATCH(1,INDEX((_ENGINE_Initiatives!$B$5:$B$532=$C629)*(_ENGINE_Initiatives!$C$5:$C$532=$D629),0),0)),"")</f>
        <v>INI-020</v>
      </c>
      <c r="AU629" t="str">
        <f>IFERROR(INDEX(_ENGINE_Initiatives!$F$5:$F$532,MATCH(1,INDEX((_ENGINE_Initiatives!$B$5:$B$532=$C629)*(_ENGINE_Initiatives!$C$5:$C$532=$D629),0),0)),"")</f>
        <v>Build contract register, obligations and force-majeure response model</v>
      </c>
      <c r="AV629">
        <f>IFERROR(INDEX(_ENGINE_Initiatives!$AC$5:$AC$532,MATCH(1,INDEX((_ENGINE_Initiatives!$B$5:$B$532=$C629)*(_ENGINE_Initiatives!$C$5:$C$532=$D629),0),0)),"")</f>
        <v>2.6</v>
      </c>
      <c r="AW629" t="str">
        <f>IFERROR(INDEX(_ENGINE_Initiatives!$AE$5:$AE$532,MATCH(1,INDEX((_ENGINE_Initiatives!$B$5:$B$532=$C629)*(_ENGINE_Initiatives!$C$5:$C$532=$D629),0),0)),"")</f>
        <v>0-90 days</v>
      </c>
      <c r="AX629">
        <f>IF($B629="Yes",IFERROR((IF(SUMIFS(_REF_Model_Content!$E$1:$E$613,_REF_Model_Content!$A$1:$A$613,PV_Canonical_Industry,_REF_Model_Content!$B$1:$B$613,$C629)=0,1,SUMIFS(_REF_Model_Content!$E$1:$E$613,_REF_Model_Content!$A$1:$A$613,PV_Canonical_Industry,_REF_Model_Content!$B$1:$B$613,$C629))*IFERROR($BU629,1)),1),"")</f>
        <v>1</v>
      </c>
      <c r="AY629">
        <f t="shared" si="103"/>
        <v>17.5</v>
      </c>
      <c r="AZ629">
        <f t="shared" si="104"/>
        <v>1.67</v>
      </c>
      <c r="BB629" t="str">
        <f>IF($H629="","",IFERROR(INDEX(_ENGINE_Risk!$AE$5:$AE$499,MATCH($E629,_ENGINE_Risk!$A$5:$A$499,0)),"Medium"))</f>
        <v>Slow</v>
      </c>
      <c r="BC629">
        <f t="shared" si="105"/>
        <v>0.85</v>
      </c>
      <c r="BD629">
        <f t="shared" si="106"/>
        <v>1.67</v>
      </c>
      <c r="BF629">
        <f>IF(OR($H629="",$J629=""),"",IFERROR(VLOOKUP(ROUND($J629,0),_CONFIG_Model_Settings!$D$154:$E$158,2,0),""))</f>
        <v>0.5</v>
      </c>
      <c r="BG629">
        <f>IFERROR(IF(OR($H629="",$K629=""),"",ROUND('Company Profile'!$B$113*INDEX(_CONFIG_Model_Settings!$H$154:$H$158,MATCH(ROUND($K629,0),_CONFIG_Model_Settings!$G$154:$G$158,0)),0)),0)</f>
        <v>1875</v>
      </c>
      <c r="BH629">
        <f t="shared" si="107"/>
        <v>937.5</v>
      </c>
      <c r="BI629">
        <f t="shared" si="108"/>
        <v>937.5</v>
      </c>
      <c r="BJ629">
        <f>IF($E629="","",IFERROR(VLOOKUP($C629,_CONFIG_Risk_Calibration!$A$5:$H$21,2,FALSE),3))</f>
        <v>3</v>
      </c>
      <c r="BK629">
        <f>IF($E629="","",IFERROR(VLOOKUP($C629,_CONFIG_Risk_Calibration!$A$5:$H$21,3,FALSE),0))</f>
        <v>0</v>
      </c>
      <c r="BL629">
        <f>IF($E629="","",IFERROR(VLOOKUP($C629,_CONFIG_Risk_Calibration!$A$5:$H$21,4,FALSE),3))</f>
        <v>3</v>
      </c>
      <c r="BM629">
        <f>IF($E629="","",IFERROR(VLOOKUP($C629,_CONFIG_Risk_Calibration!$A$5:$H$21,5,FALSE),3))</f>
        <v>4</v>
      </c>
      <c r="BN629" t="str">
        <f>IF($E629="","",IFERROR(VLOOKUP($C629,_CONFIG_Risk_Calibration!$A$5:$H$21,6,FALSE),"No"))</f>
        <v>Yes</v>
      </c>
      <c r="BO629">
        <f>IF($E629="","",IFERROR(VLOOKUP($C629,_CONFIG_Risk_Calibration!$A$5:$H$21,7,FALSE),1))</f>
        <v>5</v>
      </c>
      <c r="BP629">
        <f>IF($H629="","",MAX(1,MIN(5,((6-$H629)*0.45)+($BJ629*0.2)+('Resilience &amp; Risk Scenario'!$B$7*0.15)+($BK629*0.1)+($BL629*0.05)+(IF($BB629="Fast",5,IF($BB629="Slow",1,3))*0.05))))</f>
        <v>3.5</v>
      </c>
      <c r="BQ629">
        <f t="shared" si="109"/>
        <v>5</v>
      </c>
      <c r="BR629">
        <f t="shared" si="110"/>
        <v>17.5</v>
      </c>
      <c r="BS629">
        <f t="shared" si="111"/>
        <v>16.36</v>
      </c>
      <c r="BT629" t="str">
        <f>IFERROR(INDEX(_REF_Capability_Bridge!$D:$D,MATCH($C629&amp;"|"&amp;$D629,_REF_Capability_Bridge!$J:$J,0)),IFERROR(INDEX(_REF_Capability_Bridge!$D:$D,MATCH($C629&amp;"|",_REF_Capability_Bridge!$J:$J,0)),"CAP_GENERIC"))</f>
        <v>CAP_REGULATORY_CONTINUITY</v>
      </c>
      <c r="BU629">
        <f>IFERROR(IFERROR(INDEX(_ENGINE_Relevance!$L:$L,MATCH($BT629,_ENGINE_Relevance!$B:$B,0)),1),1)</f>
        <v>1</v>
      </c>
      <c r="BV629" t="str">
        <f>IFERROR(INDEX(_REF_Capability_Bridge!$A:$A,MATCH($C629&amp;"|"&amp;$D629,_REF_Capability_Bridge!$J:$J,0)),IFERROR(INDEX(_REF_Capability_Bridge!$A:$A,MATCH($C629&amp;"|",_REF_Capability_Bridge!$J:$J,0)),"No bridge"))</f>
        <v>BRG-051</v>
      </c>
      <c r="BW629" t="str">
        <f t="shared" si="112"/>
        <v>Capability relevance neutral</v>
      </c>
      <c r="BX629" t="str">
        <f t="shared" si="113"/>
        <v>Initial / absent</v>
      </c>
      <c r="BY629" t="str">
        <f>IF($E629="","",IFERROR(INDEX(_REF_Treatment_Library!$A$2:$A$296,MATCH(1,INDEX((_REF_Treatment_Library!$B$2:$B$296=$BT629)*(_REF_Treatment_Library!$C$2:$C$296=PV_Canonical_Industry)*(_REF_Treatment_Library!$E$2:$E$296&lt;=N($H629))*(_REF_Treatment_Library!$F$2:$F$296&gt;=N($H629))*(_REF_Treatment_Library!$O$2:$O$296="Yes"),0),0)),IFERROR(INDEX(_REF_Treatment_Library!$A$2:$A$296,MATCH(1,INDEX((_REF_Treatment_Library!$B$2:$B$296=$BT629)*(_REF_Treatment_Library!$C$2:$C$296="All")*(_REF_Treatment_Library!$E$2:$E$296&lt;=N($H629))*(_REF_Treatment_Library!$F$2:$F$296&gt;=N($H629))*(_REF_Treatment_Library!$O$2:$O$296="Yes"),0),0)),"")))</f>
        <v>TRT-REGULATORY_CONTINUITY-INITIAL</v>
      </c>
      <c r="BZ629" t="str">
        <f>IF($BY629="","",IFERROR(INDEX(_REF_Treatment_Library!$H$2:$H$296,MATCH($BY629,_REF_Treatment_Library!$A$2:$A$296,0)),""))</f>
        <v>Establish</v>
      </c>
      <c r="CA629" t="str">
        <f>IF($BY629="","",IFERROR(INDEX(_REF_Treatment_Library!$I$2:$I$296,MATCH($BY629,_REF_Treatment_Library!$A$2:$A$296,0)),""))</f>
        <v>Establish baseline controls for Regulatory continuity</v>
      </c>
      <c r="CB629" t="str">
        <f>IF($BY629="","",IFERROR(INDEX(_REF_Treatment_Library!$K$2:$K$296,MATCH($BY629,_REF_Treatment_Library!$A$2:$A$296,0)),""))</f>
        <v>Named owner, baseline process, minimum control checklist, first evidence package</v>
      </c>
      <c r="CC629" t="str">
        <f>IF($BY629="","",IFERROR(INDEX(_REF_Treatment_Library!$L$2:$L$296,MATCH($BY629,_REF_Treatment_Library!$A$2:$A$296,0)),""))</f>
        <v>Owner assigned; baseline evidence coverage; open critical gaps</v>
      </c>
      <c r="CD629" t="str">
        <f t="shared" si="114"/>
        <v>Treatment by capability=CAP_REGULATORY_CONTINUITY; band=Initial / absent; score=0.0; treatment=Establish</v>
      </c>
      <c r="CE629" t="str">
        <f>IF($E629="","",IFERROR(INDEX(_REF_Industry_Wording!$A$2:$A$70,MATCH(1,INDEX((_REF_Industry_Wording!$B$2:$B$70=$BT629)*(_REF_Industry_Wording!$C$2:$C$70=PV_Canonical_Industry)*(_REF_Industry_Wording!$K$2:$K$70="Yes"),0),0)),IFERROR(INDEX(_REF_Industry_Wording!$A$2:$A$70,MATCH(1,INDEX((_REF_Industry_Wording!$B$2:$B$70=$BT629)*(_REF_Industry_Wording!$C$2:$C$70="All")*(_REF_Industry_Wording!$K$2:$K$70="Yes"),0),0)),"")))</f>
        <v>IW-ALL-REGULATORY_CONTINUITY</v>
      </c>
      <c r="CF629" t="str">
        <f>IF($CE629="","",IFERROR(INDEX(_REF_Industry_Wording!$E$2:$E$70,MATCH($CE629,_REF_Industry_Wording!$A$2:$A$70,0)),""))</f>
        <v>Regulatory continuity weakness</v>
      </c>
      <c r="CG629" t="str">
        <f>IF($CE629="","",IFERROR(INDEX(_REF_Industry_Wording!$F$2:$F$70,MATCH($CE629,_REF_Industry_Wording!$A$2:$A$70,0)),""))</f>
        <v>Strengthen Regulatory continuity</v>
      </c>
      <c r="CH629" t="str">
        <f>IF($CE629="","",IFERROR(INDEX(_REF_Industry_Wording!$G$2:$G$70,MATCH($CE629,_REF_Industry_Wording!$A$2:$A$70,0)),""))</f>
        <v>Strengthen Regulatory continuity using the selected maturity treatment, crisis scenario and evidence requirements.</v>
      </c>
      <c r="CI629" t="str">
        <f>IF($CE629="","",IFERROR(INDEX(_REF_Industry_Wording!$H$2:$H$70,MATCH($CE629,_REF_Industry_Wording!$A$2:$A$70,0)),""))</f>
        <v>Regulatory continuity</v>
      </c>
      <c r="CJ629">
        <f>IF($CE629="","",IFERROR(INDEX(_REF_Industry_Wording!$I$2:$I$70,MATCH($CE629,_REF_Industry_Wording!$A$2:$A$70,0)),""))</f>
        <v>0</v>
      </c>
      <c r="CK629" t="str">
        <f>IF($CE629="","",IFERROR(INDEX(_REF_Industry_Wording!$J$2:$J$70,MATCH($CE629,_REF_Industry_Wording!$A$2:$A$70,0)),""))</f>
        <v>Regulatory continuity</v>
      </c>
      <c r="CL629" t="str">
        <f t="shared" si="115"/>
        <v>Wording by industry=0; capability=CAP_REGULATORY_CONTINUITY; risk label=Regulatory continuity weakness</v>
      </c>
      <c r="CM629" t="str">
        <f t="shared" si="116"/>
        <v>RISK-ONT-0130</v>
      </c>
      <c r="CN629" t="str">
        <f t="shared" si="117"/>
        <v>RISK-EVT-0130</v>
      </c>
      <c r="CO629" t="str">
        <f t="shared" si="118"/>
        <v>Legal Risk|Contracts|LEGA-011|CAP_REGULATORY_CONTINUITY</v>
      </c>
      <c r="CP629" t="str">
        <f t="shared" si="119"/>
        <v>Active</v>
      </c>
      <c r="CQ629" t="str">
        <f t="shared" si="120"/>
        <v>OK: capability-driven</v>
      </c>
      <c r="CR629" t="str">
        <f t="shared" si="121"/>
        <v>Risk ontology uses capability=CAP_REGULATORY_CONTINUITY; bridge=BRG-051; treatment=TRT-REGULATORY_CONTINUITY-INITIAL; wording=IW-ALL-REGULATORY_CONTINUITY</v>
      </c>
      <c r="CS629" t="str">
        <f t="shared" si="122"/>
        <v>Yes</v>
      </c>
    </row>
    <row r="630" spans="1:97" ht="69.900000000000006" customHeight="1">
      <c r="A630">
        <f>IF(OR($B630&lt;&gt;"Yes",$BS630=""),"",SUMPRODUCT(($B$500:$B$923="Yes")*ISNUMBER($BS$500:$BS$923)*($BS$500:$BS$923&gt;$BS630))+COUNTIFS($B$500:$B630,"Yes",$BS$500:$BS630,$BS630))</f>
        <v>278</v>
      </c>
      <c r="B630" t="str">
        <f t="shared" si="91"/>
        <v>Yes</v>
      </c>
      <c r="C630" t="s">
        <v>1551</v>
      </c>
      <c r="D630" t="s">
        <v>1568</v>
      </c>
      <c r="E630" t="s">
        <v>1616</v>
      </c>
      <c r="F630" t="s">
        <v>3684</v>
      </c>
      <c r="G630" t="str">
        <f>IF($H630="","",IFERROR(INDEX(_ENGINE_Risk!$H$5:$M$499,MATCH($E630,_ENGINE_Risk!$A$5:$A$499,0),$H630+1),""))</f>
        <v>Severe risk: insurance claims process linked to incident evidence collection is not reliably controlled. During Regulatory/legal shock; Contractual exposure; Data breach, the organization may face contractual disputes, compliance breaches, regulatory penalties and delayed legal response with limited visibility or accountability.</v>
      </c>
      <c r="H630">
        <f>IFERROR(VALUE(INDEX(_DATA_Assessment_Model!$H$5:$H$884,MATCH($E630,_DATA_Assessment_Model!$A$5:$A$884,0))),"")</f>
        <v>0</v>
      </c>
      <c r="I630" t="str">
        <f>IF($H630="","",IFERROR(INDEX(_DATA_Assessment_Model!$L$5:$L$884,MATCH($E630,_DATA_Assessment_Model!$A$5:$A$884,0)),IF($H630&lt;=1,"Critical",IF($H630=2,"High",IF($H630=3,"Medium",IF($H630=4,"Low","Resilient"))))))</f>
        <v>Critical</v>
      </c>
      <c r="J630">
        <f t="shared" si="92"/>
        <v>3.5</v>
      </c>
      <c r="K630">
        <f t="shared" si="93"/>
        <v>5</v>
      </c>
      <c r="L630">
        <f t="shared" si="94"/>
        <v>17.5</v>
      </c>
      <c r="M630">
        <f t="shared" si="95"/>
        <v>4</v>
      </c>
      <c r="N630">
        <f>IF($H630="","",IFERROR(INDEX(_ENGINE_Risk!$T$5:$Y$499,MATCH($E630,_ENGINE_Risk!$A$5:$A$499,0),$H630+1),""))</f>
        <v>3</v>
      </c>
      <c r="O630">
        <f t="shared" si="96"/>
        <v>5</v>
      </c>
      <c r="P630">
        <f t="shared" si="97"/>
        <v>5</v>
      </c>
      <c r="Q630">
        <f t="shared" si="98"/>
        <v>5</v>
      </c>
      <c r="R630">
        <f t="shared" si="99"/>
        <v>5</v>
      </c>
      <c r="S630">
        <f t="shared" si="100"/>
        <v>1.67</v>
      </c>
      <c r="T630" t="str">
        <f>IF($H630="","",IFERROR(INDEX(_ENGINE_Risk!$N$5:$S$499,MATCH($E630,_ENGINE_Risk!$A$5:$A$499,0),$H630+1),""))</f>
        <v>Create an immediate risk owner, minimum control baseline and fallback procedure for insurance claims process linked to incident evidence collection. Add it to the crisis risk register and collect first evidence.</v>
      </c>
      <c r="U630">
        <f>IFERROR(INDEX(_DATA_Assessment_Model!$G$5:$G$884,MATCH($E630,_DATA_Assessment_Model!$A$5:$A$884,0)),"")</f>
        <v>5</v>
      </c>
      <c r="V630">
        <f>IFERROR(INDEX(_DATA_Assessment_Model!$W$5:$W$884,MATCH($E630,_DATA_Assessment_Model!$A$5:$A$884,0)),"")</f>
        <v>5</v>
      </c>
      <c r="W630">
        <f>IFERROR(INDEX(_DATA_Assessment_Model!$X$5:$X$884,MATCH($E630,_DATA_Assessment_Model!$A$5:$A$884,0)),"")</f>
        <v>5</v>
      </c>
      <c r="X630">
        <f>IFERROR(INDEX(_DATA_Assessment_Model!$Y$5:$Y$884,MATCH($E630,_DATA_Assessment_Model!$A$5:$A$884,0)),"")</f>
        <v>5</v>
      </c>
      <c r="Y630" t="s">
        <v>1564</v>
      </c>
      <c r="Z630" t="s">
        <v>6289</v>
      </c>
      <c r="AA630" t="s">
        <v>1618</v>
      </c>
      <c r="AB630">
        <f>IFERROR(INDEX(_DATA_Assessment_Model!$U$5:$U$884,MATCH($E630,_DATA_Assessment_Model!$A$5:$A$884,0)),"")</f>
        <v>0</v>
      </c>
      <c r="AF630" t="s">
        <v>1617</v>
      </c>
      <c r="AO630">
        <f>IF($B630="Yes",IF(IFERROR(INDEX(_ENGINE_Crisis!$F$501:$F$517,MATCH($C630,_ENGINE_Crisis!$A$501:$A$517,0)),1)=0,1,IFERROR(INDEX(_ENGINE_Crisis!$F$501:$F$517,MATCH($C630,_ENGINE_Crisis!$A$501:$A$517,0)),1)),"")</f>
        <v>1</v>
      </c>
      <c r="AP630">
        <f t="shared" si="101"/>
        <v>17.5</v>
      </c>
      <c r="AQ630">
        <f t="shared" si="102"/>
        <v>1.67</v>
      </c>
      <c r="AR630" t="str">
        <f>IFERROR(INDEX(_ENGINE_Crisis!$E$41:$E$700,MATCH('Resilience &amp; Risk Scenario'!$B$6&amp;"|"&amp;$C630,_ENGINE_Crisis!$I$41:$I$700,0)),"")</f>
        <v/>
      </c>
      <c r="AS630" t="str">
        <f>IFERROR(INDEX(_ENGINE_Crisis!$G$41:$G$700,MATCH('Resilience &amp; Risk Scenario'!$B$6&amp;"|"&amp;$C630,_ENGINE_Crisis!$I$41:$I$700,0)),"")</f>
        <v/>
      </c>
      <c r="AT630" t="str">
        <f>IFERROR(INDEX(_ENGINE_Initiatives!$A$5:$A$532,MATCH(1,INDEX((_ENGINE_Initiatives!$B$5:$B$532=$C630)*(_ENGINE_Initiatives!$C$5:$C$532=$D630),0),0)),"")</f>
        <v>INI-020</v>
      </c>
      <c r="AU630" t="str">
        <f>IFERROR(INDEX(_ENGINE_Initiatives!$F$5:$F$532,MATCH(1,INDEX((_ENGINE_Initiatives!$B$5:$B$532=$C630)*(_ENGINE_Initiatives!$C$5:$C$532=$D630),0),0)),"")</f>
        <v>Build contract register, obligations and force-majeure response model</v>
      </c>
      <c r="AV630">
        <f>IFERROR(INDEX(_ENGINE_Initiatives!$AC$5:$AC$532,MATCH(1,INDEX((_ENGINE_Initiatives!$B$5:$B$532=$C630)*(_ENGINE_Initiatives!$C$5:$C$532=$D630),0),0)),"")</f>
        <v>2.6</v>
      </c>
      <c r="AW630" t="str">
        <f>IFERROR(INDEX(_ENGINE_Initiatives!$AE$5:$AE$532,MATCH(1,INDEX((_ENGINE_Initiatives!$B$5:$B$532=$C630)*(_ENGINE_Initiatives!$C$5:$C$532=$D630),0),0)),"")</f>
        <v>0-90 days</v>
      </c>
      <c r="AX630">
        <f>IF($B630="Yes",IFERROR((IF(SUMIFS(_REF_Model_Content!$E$1:$E$613,_REF_Model_Content!$A$1:$A$613,PV_Canonical_Industry,_REF_Model_Content!$B$1:$B$613,$C630)=0,1,SUMIFS(_REF_Model_Content!$E$1:$E$613,_REF_Model_Content!$A$1:$A$613,PV_Canonical_Industry,_REF_Model_Content!$B$1:$B$613,$C630))*IFERROR($BU630,1)),1),"")</f>
        <v>1</v>
      </c>
      <c r="AY630">
        <f t="shared" si="103"/>
        <v>17.5</v>
      </c>
      <c r="AZ630">
        <f t="shared" si="104"/>
        <v>1.67</v>
      </c>
      <c r="BB630" t="str">
        <f>IF($H630="","",IFERROR(INDEX(_ENGINE_Risk!$AE$5:$AE$499,MATCH($E630,_ENGINE_Risk!$A$5:$A$499,0)),"Medium"))</f>
        <v>Slow</v>
      </c>
      <c r="BC630">
        <f t="shared" si="105"/>
        <v>0.85</v>
      </c>
      <c r="BD630">
        <f t="shared" si="106"/>
        <v>1.67</v>
      </c>
      <c r="BF630">
        <f>IF(OR($H630="",$J630=""),"",IFERROR(VLOOKUP(ROUND($J630,0),_CONFIG_Model_Settings!$D$154:$E$158,2,0),""))</f>
        <v>0.5</v>
      </c>
      <c r="BG630">
        <f>IFERROR(IF(OR($H630="",$K630=""),"",ROUND('Company Profile'!$B$113*INDEX(_CONFIG_Model_Settings!$H$154:$H$158,MATCH(ROUND($K630,0),_CONFIG_Model_Settings!$G$154:$G$158,0)),0)),0)</f>
        <v>1875</v>
      </c>
      <c r="BH630">
        <f t="shared" si="107"/>
        <v>937.5</v>
      </c>
      <c r="BI630">
        <f t="shared" si="108"/>
        <v>937.5</v>
      </c>
      <c r="BJ630">
        <f>IF($E630="","",IFERROR(VLOOKUP($C630,_CONFIG_Risk_Calibration!$A$5:$H$21,2,FALSE),3))</f>
        <v>3</v>
      </c>
      <c r="BK630">
        <f>IF($E630="","",IFERROR(VLOOKUP($C630,_CONFIG_Risk_Calibration!$A$5:$H$21,3,FALSE),0))</f>
        <v>0</v>
      </c>
      <c r="BL630">
        <f>IF($E630="","",IFERROR(VLOOKUP($C630,_CONFIG_Risk_Calibration!$A$5:$H$21,4,FALSE),3))</f>
        <v>3</v>
      </c>
      <c r="BM630">
        <f>IF($E630="","",IFERROR(VLOOKUP($C630,_CONFIG_Risk_Calibration!$A$5:$H$21,5,FALSE),3))</f>
        <v>4</v>
      </c>
      <c r="BN630" t="str">
        <f>IF($E630="","",IFERROR(VLOOKUP($C630,_CONFIG_Risk_Calibration!$A$5:$H$21,6,FALSE),"No"))</f>
        <v>Yes</v>
      </c>
      <c r="BO630">
        <f>IF($E630="","",IFERROR(VLOOKUP($C630,_CONFIG_Risk_Calibration!$A$5:$H$21,7,FALSE),1))</f>
        <v>5</v>
      </c>
      <c r="BP630">
        <f>IF($H630="","",MAX(1,MIN(5,((6-$H630)*0.45)+($BJ630*0.2)+('Resilience &amp; Risk Scenario'!$B$7*0.15)+($BK630*0.1)+($BL630*0.05)+(IF($BB630="Fast",5,IF($BB630="Slow",1,3))*0.05))))</f>
        <v>3.5</v>
      </c>
      <c r="BQ630">
        <f t="shared" si="109"/>
        <v>5</v>
      </c>
      <c r="BR630">
        <f t="shared" si="110"/>
        <v>17.5</v>
      </c>
      <c r="BS630">
        <f t="shared" si="111"/>
        <v>16.36</v>
      </c>
      <c r="BT630" t="str">
        <f>IFERROR(INDEX(_REF_Capability_Bridge!$D:$D,MATCH($C630&amp;"|"&amp;$D630,_REF_Capability_Bridge!$J:$J,0)),IFERROR(INDEX(_REF_Capability_Bridge!$D:$D,MATCH($C630&amp;"|",_REF_Capability_Bridge!$J:$J,0)),"CAP_GENERIC"))</f>
        <v>CAP_REGULATORY_CONTINUITY</v>
      </c>
      <c r="BU630">
        <f>IFERROR(IFERROR(INDEX(_ENGINE_Relevance!$L:$L,MATCH($BT630,_ENGINE_Relevance!$B:$B,0)),1),1)</f>
        <v>1</v>
      </c>
      <c r="BV630" t="str">
        <f>IFERROR(INDEX(_REF_Capability_Bridge!$A:$A,MATCH($C630&amp;"|"&amp;$D630,_REF_Capability_Bridge!$J:$J,0)),IFERROR(INDEX(_REF_Capability_Bridge!$A:$A,MATCH($C630&amp;"|",_REF_Capability_Bridge!$J:$J,0)),"No bridge"))</f>
        <v>BRG-051</v>
      </c>
      <c r="BW630" t="str">
        <f t="shared" si="112"/>
        <v>Capability relevance neutral</v>
      </c>
      <c r="BX630" t="str">
        <f t="shared" si="113"/>
        <v>Initial / absent</v>
      </c>
      <c r="BY630" t="str">
        <f>IF($E630="","",IFERROR(INDEX(_REF_Treatment_Library!$A$2:$A$296,MATCH(1,INDEX((_REF_Treatment_Library!$B$2:$B$296=$BT630)*(_REF_Treatment_Library!$C$2:$C$296=PV_Canonical_Industry)*(_REF_Treatment_Library!$E$2:$E$296&lt;=N($H630))*(_REF_Treatment_Library!$F$2:$F$296&gt;=N($H630))*(_REF_Treatment_Library!$O$2:$O$296="Yes"),0),0)),IFERROR(INDEX(_REF_Treatment_Library!$A$2:$A$296,MATCH(1,INDEX((_REF_Treatment_Library!$B$2:$B$296=$BT630)*(_REF_Treatment_Library!$C$2:$C$296="All")*(_REF_Treatment_Library!$E$2:$E$296&lt;=N($H630))*(_REF_Treatment_Library!$F$2:$F$296&gt;=N($H630))*(_REF_Treatment_Library!$O$2:$O$296="Yes"),0),0)),"")))</f>
        <v>TRT-REGULATORY_CONTINUITY-INITIAL</v>
      </c>
      <c r="BZ630" t="str">
        <f>IF($BY630="","",IFERROR(INDEX(_REF_Treatment_Library!$H$2:$H$296,MATCH($BY630,_REF_Treatment_Library!$A$2:$A$296,0)),""))</f>
        <v>Establish</v>
      </c>
      <c r="CA630" t="str">
        <f>IF($BY630="","",IFERROR(INDEX(_REF_Treatment_Library!$I$2:$I$296,MATCH($BY630,_REF_Treatment_Library!$A$2:$A$296,0)),""))</f>
        <v>Establish baseline controls for Regulatory continuity</v>
      </c>
      <c r="CB630" t="str">
        <f>IF($BY630="","",IFERROR(INDEX(_REF_Treatment_Library!$K$2:$K$296,MATCH($BY630,_REF_Treatment_Library!$A$2:$A$296,0)),""))</f>
        <v>Named owner, baseline process, minimum control checklist, first evidence package</v>
      </c>
      <c r="CC630" t="str">
        <f>IF($BY630="","",IFERROR(INDEX(_REF_Treatment_Library!$L$2:$L$296,MATCH($BY630,_REF_Treatment_Library!$A$2:$A$296,0)),""))</f>
        <v>Owner assigned; baseline evidence coverage; open critical gaps</v>
      </c>
      <c r="CD630" t="str">
        <f t="shared" si="114"/>
        <v>Treatment by capability=CAP_REGULATORY_CONTINUITY; band=Initial / absent; score=0.0; treatment=Establish</v>
      </c>
      <c r="CE630" t="str">
        <f>IF($E630="","",IFERROR(INDEX(_REF_Industry_Wording!$A$2:$A$70,MATCH(1,INDEX((_REF_Industry_Wording!$B$2:$B$70=$BT630)*(_REF_Industry_Wording!$C$2:$C$70=PV_Canonical_Industry)*(_REF_Industry_Wording!$K$2:$K$70="Yes"),0),0)),IFERROR(INDEX(_REF_Industry_Wording!$A$2:$A$70,MATCH(1,INDEX((_REF_Industry_Wording!$B$2:$B$70=$BT630)*(_REF_Industry_Wording!$C$2:$C$70="All")*(_REF_Industry_Wording!$K$2:$K$70="Yes"),0),0)),"")))</f>
        <v>IW-ALL-REGULATORY_CONTINUITY</v>
      </c>
      <c r="CF630" t="str">
        <f>IF($CE630="","",IFERROR(INDEX(_REF_Industry_Wording!$E$2:$E$70,MATCH($CE630,_REF_Industry_Wording!$A$2:$A$70,0)),""))</f>
        <v>Regulatory continuity weakness</v>
      </c>
      <c r="CG630" t="str">
        <f>IF($CE630="","",IFERROR(INDEX(_REF_Industry_Wording!$F$2:$F$70,MATCH($CE630,_REF_Industry_Wording!$A$2:$A$70,0)),""))</f>
        <v>Strengthen Regulatory continuity</v>
      </c>
      <c r="CH630" t="str">
        <f>IF($CE630="","",IFERROR(INDEX(_REF_Industry_Wording!$G$2:$G$70,MATCH($CE630,_REF_Industry_Wording!$A$2:$A$70,0)),""))</f>
        <v>Strengthen Regulatory continuity using the selected maturity treatment, crisis scenario and evidence requirements.</v>
      </c>
      <c r="CI630" t="str">
        <f>IF($CE630="","",IFERROR(INDEX(_REF_Industry_Wording!$H$2:$H$70,MATCH($CE630,_REF_Industry_Wording!$A$2:$A$70,0)),""))</f>
        <v>Regulatory continuity</v>
      </c>
      <c r="CJ630">
        <f>IF($CE630="","",IFERROR(INDEX(_REF_Industry_Wording!$I$2:$I$70,MATCH($CE630,_REF_Industry_Wording!$A$2:$A$70,0)),""))</f>
        <v>0</v>
      </c>
      <c r="CK630" t="str">
        <f>IF($CE630="","",IFERROR(INDEX(_REF_Industry_Wording!$J$2:$J$70,MATCH($CE630,_REF_Industry_Wording!$A$2:$A$70,0)),""))</f>
        <v>Regulatory continuity</v>
      </c>
      <c r="CL630" t="str">
        <f t="shared" si="115"/>
        <v>Wording by industry=0; capability=CAP_REGULATORY_CONTINUITY; risk label=Regulatory continuity weakness</v>
      </c>
      <c r="CM630" t="str">
        <f t="shared" si="116"/>
        <v>RISK-ONT-0131</v>
      </c>
      <c r="CN630" t="str">
        <f t="shared" si="117"/>
        <v>RISK-EVT-0131</v>
      </c>
      <c r="CO630" t="str">
        <f t="shared" si="118"/>
        <v>Legal Risk|Contracts|LEGA-012|CAP_REGULATORY_CONTINUITY</v>
      </c>
      <c r="CP630" t="str">
        <f t="shared" si="119"/>
        <v>Active</v>
      </c>
      <c r="CQ630" t="str">
        <f t="shared" si="120"/>
        <v>OK: capability-driven</v>
      </c>
      <c r="CR630" t="str">
        <f t="shared" si="121"/>
        <v>Risk ontology uses capability=CAP_REGULATORY_CONTINUITY; bridge=BRG-051; treatment=TRT-REGULATORY_CONTINUITY-INITIAL; wording=IW-ALL-REGULATORY_CONTINUITY</v>
      </c>
      <c r="CS630" t="str">
        <f t="shared" si="122"/>
        <v>Yes</v>
      </c>
    </row>
    <row r="631" spans="1:97" ht="69.900000000000006" customHeight="1">
      <c r="A631">
        <f>IF(OR($B631&lt;&gt;"Yes",$BS631=""),"",SUMPRODUCT(($B$500:$B$923="Yes")*ISNUMBER($BS$500:$BS$923)*($BS$500:$BS$923&gt;$BS631))+COUNTIFS($B$500:$B631,"Yes",$BS$500:$BS631,$BS631))</f>
        <v>279</v>
      </c>
      <c r="B631" t="str">
        <f t="shared" si="91"/>
        <v>Yes</v>
      </c>
      <c r="C631" t="s">
        <v>1551</v>
      </c>
      <c r="D631" t="s">
        <v>1572</v>
      </c>
      <c r="E631" t="s">
        <v>1619</v>
      </c>
      <c r="F631" t="s">
        <v>3684</v>
      </c>
      <c r="G631" t="str">
        <f>IF($H631="","",IFERROR(INDEX(_ENGINE_Risk!$H$5:$M$499,MATCH($E631,_ENGINE_Risk!$A$5:$A$499,0),$H631+1),""))</f>
        <v>Severe risk: personal data processing map by system, purpose, location, processor and transfer mechanism is not reliably controlled. During Regulatory/legal shock; Contractual exposure; Data breach, the organization may face contractual disputes, compliance breaches, regulatory penalties and delayed legal response with limited visibility or accountability.</v>
      </c>
      <c r="H631">
        <f>IFERROR(VALUE(INDEX(_DATA_Assessment_Model!$H$5:$H$884,MATCH($E631,_DATA_Assessment_Model!$A$5:$A$884,0))),"")</f>
        <v>0</v>
      </c>
      <c r="I631" t="str">
        <f>IF($H631="","",IFERROR(INDEX(_DATA_Assessment_Model!$L$5:$L$884,MATCH($E631,_DATA_Assessment_Model!$A$5:$A$884,0)),IF($H631&lt;=1,"Critical",IF($H631=2,"High",IF($H631=3,"Medium",IF($H631=4,"Low","Resilient"))))))</f>
        <v>Critical</v>
      </c>
      <c r="J631">
        <f t="shared" si="92"/>
        <v>3.5</v>
      </c>
      <c r="K631">
        <f t="shared" si="93"/>
        <v>5</v>
      </c>
      <c r="L631">
        <f t="shared" si="94"/>
        <v>17.5</v>
      </c>
      <c r="M631">
        <f t="shared" si="95"/>
        <v>4</v>
      </c>
      <c r="N631">
        <f>IF($H631="","",IFERROR(INDEX(_ENGINE_Risk!$T$5:$Y$499,MATCH($E631,_ENGINE_Risk!$A$5:$A$499,0),$H631+1),""))</f>
        <v>3</v>
      </c>
      <c r="O631">
        <f t="shared" si="96"/>
        <v>5</v>
      </c>
      <c r="P631">
        <f t="shared" si="97"/>
        <v>5</v>
      </c>
      <c r="Q631">
        <f t="shared" si="98"/>
        <v>5</v>
      </c>
      <c r="R631">
        <f t="shared" si="99"/>
        <v>5</v>
      </c>
      <c r="S631">
        <f t="shared" si="100"/>
        <v>1.67</v>
      </c>
      <c r="T631" t="str">
        <f>IF($H631="","",IFERROR(INDEX(_ENGINE_Risk!$N$5:$S$499,MATCH($E631,_ENGINE_Risk!$A$5:$A$499,0),$H631+1),""))</f>
        <v>Create an immediate risk owner, minimum control baseline and fallback procedure for personal data processing map by system, purpose, location, processor and transfer mechanism. Add it to the crisis risk register and collect first evidence.</v>
      </c>
      <c r="U631">
        <f>IFERROR(INDEX(_DATA_Assessment_Model!$G$5:$G$884,MATCH($E631,_DATA_Assessment_Model!$A$5:$A$884,0)),"")</f>
        <v>5</v>
      </c>
      <c r="V631">
        <f>IFERROR(INDEX(_DATA_Assessment_Model!$W$5:$W$884,MATCH($E631,_DATA_Assessment_Model!$A$5:$A$884,0)),"")</f>
        <v>5</v>
      </c>
      <c r="W631">
        <f>IFERROR(INDEX(_DATA_Assessment_Model!$X$5:$X$884,MATCH($E631,_DATA_Assessment_Model!$A$5:$A$884,0)),"")</f>
        <v>5</v>
      </c>
      <c r="X631">
        <f>IFERROR(INDEX(_DATA_Assessment_Model!$Y$5:$Y$884,MATCH($E631,_DATA_Assessment_Model!$A$5:$A$884,0)),"")</f>
        <v>5</v>
      </c>
      <c r="Y631" t="s">
        <v>1564</v>
      </c>
      <c r="Z631" t="s">
        <v>6289</v>
      </c>
      <c r="AA631" t="s">
        <v>1621</v>
      </c>
      <c r="AB631">
        <f>IFERROR(INDEX(_DATA_Assessment_Model!$U$5:$U$884,MATCH($E631,_DATA_Assessment_Model!$A$5:$A$884,0)),"")</f>
        <v>0</v>
      </c>
      <c r="AF631" t="s">
        <v>1620</v>
      </c>
      <c r="AO631">
        <f>IF($B631="Yes",IF(IFERROR(INDEX(_ENGINE_Crisis!$F$501:$F$517,MATCH($C631,_ENGINE_Crisis!$A$501:$A$517,0)),1)=0,1,IFERROR(INDEX(_ENGINE_Crisis!$F$501:$F$517,MATCH($C631,_ENGINE_Crisis!$A$501:$A$517,0)),1)),"")</f>
        <v>1</v>
      </c>
      <c r="AP631">
        <f t="shared" si="101"/>
        <v>17.5</v>
      </c>
      <c r="AQ631">
        <f t="shared" si="102"/>
        <v>1.67</v>
      </c>
      <c r="AR631" t="str">
        <f>IFERROR(INDEX(_ENGINE_Crisis!$E$41:$E$700,MATCH('Resilience &amp; Risk Scenario'!$B$6&amp;"|"&amp;$C631,_ENGINE_Crisis!$I$41:$I$700,0)),"")</f>
        <v/>
      </c>
      <c r="AS631" t="str">
        <f>IFERROR(INDEX(_ENGINE_Crisis!$G$41:$G$700,MATCH('Resilience &amp; Risk Scenario'!$B$6&amp;"|"&amp;$C631,_ENGINE_Crisis!$I$41:$I$700,0)),"")</f>
        <v/>
      </c>
      <c r="AT631" t="str">
        <f>IFERROR(INDEX(_ENGINE_Initiatives!$A$5:$A$532,MATCH(1,INDEX((_ENGINE_Initiatives!$B$5:$B$532=$C631)*(_ENGINE_Initiatives!$C$5:$C$532=$D631),0),0)),"")</f>
        <v>INI-021</v>
      </c>
      <c r="AU631" t="str">
        <f>IFERROR(INDEX(_ENGINE_Initiatives!$F$5:$F$532,MATCH(1,INDEX((_ENGINE_Initiatives!$B$5:$B$532=$C631)*(_ENGINE_Initiatives!$C$5:$C$532=$D631),0),0)),"")</f>
        <v>Strengthen data, IP and confidentiality legal safeguards</v>
      </c>
      <c r="AV631">
        <f>IFERROR(INDEX(_ENGINE_Initiatives!$AC$5:$AC$532,MATCH(1,INDEX((_ENGINE_Initiatives!$B$5:$B$532=$C631)*(_ENGINE_Initiatives!$C$5:$C$532=$D631),0),0)),"")</f>
        <v>2.6</v>
      </c>
      <c r="AW631" t="str">
        <f>IFERROR(INDEX(_ENGINE_Initiatives!$AE$5:$AE$532,MATCH(1,INDEX((_ENGINE_Initiatives!$B$5:$B$532=$C631)*(_ENGINE_Initiatives!$C$5:$C$532=$D631),0),0)),"")</f>
        <v>0-90 days</v>
      </c>
      <c r="AX631">
        <f>IF($B631="Yes",IFERROR((IF(SUMIFS(_REF_Model_Content!$E$1:$E$613,_REF_Model_Content!$A$1:$A$613,PV_Canonical_Industry,_REF_Model_Content!$B$1:$B$613,$C631)=0,1,SUMIFS(_REF_Model_Content!$E$1:$E$613,_REF_Model_Content!$A$1:$A$613,PV_Canonical_Industry,_REF_Model_Content!$B$1:$B$613,$C631))*IFERROR($BU631,1)),1),"")</f>
        <v>1</v>
      </c>
      <c r="AY631">
        <f t="shared" si="103"/>
        <v>17.5</v>
      </c>
      <c r="AZ631">
        <f t="shared" si="104"/>
        <v>1.67</v>
      </c>
      <c r="BB631" t="str">
        <f>IF($H631="","",IFERROR(INDEX(_ENGINE_Risk!$AE$5:$AE$499,MATCH($E631,_ENGINE_Risk!$A$5:$A$499,0)),"Medium"))</f>
        <v>Slow</v>
      </c>
      <c r="BC631">
        <f t="shared" si="105"/>
        <v>0.85</v>
      </c>
      <c r="BD631">
        <f t="shared" si="106"/>
        <v>1.67</v>
      </c>
      <c r="BF631">
        <f>IF(OR($H631="",$J631=""),"",IFERROR(VLOOKUP(ROUND($J631,0),_CONFIG_Model_Settings!$D$154:$E$158,2,0),""))</f>
        <v>0.5</v>
      </c>
      <c r="BG631">
        <f>IFERROR(IF(OR($H631="",$K631=""),"",ROUND('Company Profile'!$B$113*INDEX(_CONFIG_Model_Settings!$H$154:$H$158,MATCH(ROUND($K631,0),_CONFIG_Model_Settings!$G$154:$G$158,0)),0)),0)</f>
        <v>1875</v>
      </c>
      <c r="BH631">
        <f t="shared" si="107"/>
        <v>937.5</v>
      </c>
      <c r="BI631">
        <f t="shared" si="108"/>
        <v>937.5</v>
      </c>
      <c r="BJ631">
        <f>IF($E631="","",IFERROR(VLOOKUP($C631,_CONFIG_Risk_Calibration!$A$5:$H$21,2,FALSE),3))</f>
        <v>3</v>
      </c>
      <c r="BK631">
        <f>IF($E631="","",IFERROR(VLOOKUP($C631,_CONFIG_Risk_Calibration!$A$5:$H$21,3,FALSE),0))</f>
        <v>0</v>
      </c>
      <c r="BL631">
        <f>IF($E631="","",IFERROR(VLOOKUP($C631,_CONFIG_Risk_Calibration!$A$5:$H$21,4,FALSE),3))</f>
        <v>3</v>
      </c>
      <c r="BM631">
        <f>IF($E631="","",IFERROR(VLOOKUP($C631,_CONFIG_Risk_Calibration!$A$5:$H$21,5,FALSE),3))</f>
        <v>4</v>
      </c>
      <c r="BN631" t="str">
        <f>IF($E631="","",IFERROR(VLOOKUP($C631,_CONFIG_Risk_Calibration!$A$5:$H$21,6,FALSE),"No"))</f>
        <v>Yes</v>
      </c>
      <c r="BO631">
        <f>IF($E631="","",IFERROR(VLOOKUP($C631,_CONFIG_Risk_Calibration!$A$5:$H$21,7,FALSE),1))</f>
        <v>5</v>
      </c>
      <c r="BP631">
        <f>IF($H631="","",MAX(1,MIN(5,((6-$H631)*0.45)+($BJ631*0.2)+('Resilience &amp; Risk Scenario'!$B$7*0.15)+($BK631*0.1)+($BL631*0.05)+(IF($BB631="Fast",5,IF($BB631="Slow",1,3))*0.05))))</f>
        <v>3.5</v>
      </c>
      <c r="BQ631">
        <f t="shared" si="109"/>
        <v>5</v>
      </c>
      <c r="BR631">
        <f t="shared" si="110"/>
        <v>17.5</v>
      </c>
      <c r="BS631">
        <f t="shared" si="111"/>
        <v>16.36</v>
      </c>
      <c r="BT631" t="str">
        <f>IFERROR(INDEX(_REF_Capability_Bridge!$D:$D,MATCH($C631&amp;"|"&amp;$D631,_REF_Capability_Bridge!$J:$J,0)),IFERROR(INDEX(_REF_Capability_Bridge!$D:$D,MATCH($C631&amp;"|",_REF_Capability_Bridge!$J:$J,0)),"CAP_GENERIC"))</f>
        <v>CAP_REGULATORY_CONTINUITY</v>
      </c>
      <c r="BU631">
        <f>IFERROR(IFERROR(INDEX(_ENGINE_Relevance!$L:$L,MATCH($BT631,_ENGINE_Relevance!$B:$B,0)),1),1)</f>
        <v>1</v>
      </c>
      <c r="BV631" t="str">
        <f>IFERROR(INDEX(_REF_Capability_Bridge!$A:$A,MATCH($C631&amp;"|"&amp;$D631,_REF_Capability_Bridge!$J:$J,0)),IFERROR(INDEX(_REF_Capability_Bridge!$A:$A,MATCH($C631&amp;"|",_REF_Capability_Bridge!$J:$J,0)),"No bridge"))</f>
        <v>BRG-052</v>
      </c>
      <c r="BW631" t="str">
        <f t="shared" si="112"/>
        <v>Capability relevance neutral</v>
      </c>
      <c r="BX631" t="str">
        <f t="shared" si="113"/>
        <v>Initial / absent</v>
      </c>
      <c r="BY631" t="str">
        <f>IF($E631="","",IFERROR(INDEX(_REF_Treatment_Library!$A$2:$A$296,MATCH(1,INDEX((_REF_Treatment_Library!$B$2:$B$296=$BT631)*(_REF_Treatment_Library!$C$2:$C$296=PV_Canonical_Industry)*(_REF_Treatment_Library!$E$2:$E$296&lt;=N($H631))*(_REF_Treatment_Library!$F$2:$F$296&gt;=N($H631))*(_REF_Treatment_Library!$O$2:$O$296="Yes"),0),0)),IFERROR(INDEX(_REF_Treatment_Library!$A$2:$A$296,MATCH(1,INDEX((_REF_Treatment_Library!$B$2:$B$296=$BT631)*(_REF_Treatment_Library!$C$2:$C$296="All")*(_REF_Treatment_Library!$E$2:$E$296&lt;=N($H631))*(_REF_Treatment_Library!$F$2:$F$296&gt;=N($H631))*(_REF_Treatment_Library!$O$2:$O$296="Yes"),0),0)),"")))</f>
        <v>TRT-REGULATORY_CONTINUITY-INITIAL</v>
      </c>
      <c r="BZ631" t="str">
        <f>IF($BY631="","",IFERROR(INDEX(_REF_Treatment_Library!$H$2:$H$296,MATCH($BY631,_REF_Treatment_Library!$A$2:$A$296,0)),""))</f>
        <v>Establish</v>
      </c>
      <c r="CA631" t="str">
        <f>IF($BY631="","",IFERROR(INDEX(_REF_Treatment_Library!$I$2:$I$296,MATCH($BY631,_REF_Treatment_Library!$A$2:$A$296,0)),""))</f>
        <v>Establish baseline controls for Regulatory continuity</v>
      </c>
      <c r="CB631" t="str">
        <f>IF($BY631="","",IFERROR(INDEX(_REF_Treatment_Library!$K$2:$K$296,MATCH($BY631,_REF_Treatment_Library!$A$2:$A$296,0)),""))</f>
        <v>Named owner, baseline process, minimum control checklist, first evidence package</v>
      </c>
      <c r="CC631" t="str">
        <f>IF($BY631="","",IFERROR(INDEX(_REF_Treatment_Library!$L$2:$L$296,MATCH($BY631,_REF_Treatment_Library!$A$2:$A$296,0)),""))</f>
        <v>Owner assigned; baseline evidence coverage; open critical gaps</v>
      </c>
      <c r="CD631" t="str">
        <f t="shared" si="114"/>
        <v>Treatment by capability=CAP_REGULATORY_CONTINUITY; band=Initial / absent; score=0.0; treatment=Establish</v>
      </c>
      <c r="CE631" t="str">
        <f>IF($E631="","",IFERROR(INDEX(_REF_Industry_Wording!$A$2:$A$70,MATCH(1,INDEX((_REF_Industry_Wording!$B$2:$B$70=$BT631)*(_REF_Industry_Wording!$C$2:$C$70=PV_Canonical_Industry)*(_REF_Industry_Wording!$K$2:$K$70="Yes"),0),0)),IFERROR(INDEX(_REF_Industry_Wording!$A$2:$A$70,MATCH(1,INDEX((_REF_Industry_Wording!$B$2:$B$70=$BT631)*(_REF_Industry_Wording!$C$2:$C$70="All")*(_REF_Industry_Wording!$K$2:$K$70="Yes"),0),0)),"")))</f>
        <v>IW-ALL-REGULATORY_CONTINUITY</v>
      </c>
      <c r="CF631" t="str">
        <f>IF($CE631="","",IFERROR(INDEX(_REF_Industry_Wording!$E$2:$E$70,MATCH($CE631,_REF_Industry_Wording!$A$2:$A$70,0)),""))</f>
        <v>Regulatory continuity weakness</v>
      </c>
      <c r="CG631" t="str">
        <f>IF($CE631="","",IFERROR(INDEX(_REF_Industry_Wording!$F$2:$F$70,MATCH($CE631,_REF_Industry_Wording!$A$2:$A$70,0)),""))</f>
        <v>Strengthen Regulatory continuity</v>
      </c>
      <c r="CH631" t="str">
        <f>IF($CE631="","",IFERROR(INDEX(_REF_Industry_Wording!$G$2:$G$70,MATCH($CE631,_REF_Industry_Wording!$A$2:$A$70,0)),""))</f>
        <v>Strengthen Regulatory continuity using the selected maturity treatment, crisis scenario and evidence requirements.</v>
      </c>
      <c r="CI631" t="str">
        <f>IF($CE631="","",IFERROR(INDEX(_REF_Industry_Wording!$H$2:$H$70,MATCH($CE631,_REF_Industry_Wording!$A$2:$A$70,0)),""))</f>
        <v>Regulatory continuity</v>
      </c>
      <c r="CJ631">
        <f>IF($CE631="","",IFERROR(INDEX(_REF_Industry_Wording!$I$2:$I$70,MATCH($CE631,_REF_Industry_Wording!$A$2:$A$70,0)),""))</f>
        <v>0</v>
      </c>
      <c r="CK631" t="str">
        <f>IF($CE631="","",IFERROR(INDEX(_REF_Industry_Wording!$J$2:$J$70,MATCH($CE631,_REF_Industry_Wording!$A$2:$A$70,0)),""))</f>
        <v>Regulatory continuity</v>
      </c>
      <c r="CL631" t="str">
        <f t="shared" si="115"/>
        <v>Wording by industry=0; capability=CAP_REGULATORY_CONTINUITY; risk label=Regulatory continuity weakness</v>
      </c>
      <c r="CM631" t="str">
        <f t="shared" si="116"/>
        <v>RISK-ONT-0132</v>
      </c>
      <c r="CN631" t="str">
        <f t="shared" si="117"/>
        <v>RISK-EVT-0132</v>
      </c>
      <c r="CO631" t="str">
        <f t="shared" si="118"/>
        <v>Legal Risk|Data and IP|LEGA-013|CAP_REGULATORY_CONTINUITY</v>
      </c>
      <c r="CP631" t="str">
        <f t="shared" si="119"/>
        <v>Active</v>
      </c>
      <c r="CQ631" t="str">
        <f t="shared" si="120"/>
        <v>OK: capability-driven</v>
      </c>
      <c r="CR631" t="str">
        <f t="shared" si="121"/>
        <v>Risk ontology uses capability=CAP_REGULATORY_CONTINUITY; bridge=BRG-052; treatment=TRT-REGULATORY_CONTINUITY-INITIAL; wording=IW-ALL-REGULATORY_CONTINUITY</v>
      </c>
      <c r="CS631" t="str">
        <f t="shared" si="122"/>
        <v>Yes</v>
      </c>
    </row>
    <row r="632" spans="1:97" ht="69.900000000000006" customHeight="1">
      <c r="A632">
        <f>IF(OR($B632&lt;&gt;"Yes",$BS632=""),"",SUMPRODUCT(($B$500:$B$923="Yes")*ISNUMBER($BS$500:$BS$923)*($BS$500:$BS$923&gt;$BS632))+COUNTIFS($B$500:$B632,"Yes",$BS$500:$BS632,$BS632))</f>
        <v>280</v>
      </c>
      <c r="B632" t="str">
        <f t="shared" si="91"/>
        <v>Yes</v>
      </c>
      <c r="C632" t="s">
        <v>1551</v>
      </c>
      <c r="D632" t="s">
        <v>1572</v>
      </c>
      <c r="E632" t="s">
        <v>1622</v>
      </c>
      <c r="F632" t="s">
        <v>3684</v>
      </c>
      <c r="G632" t="str">
        <f>IF($H632="","",IFERROR(INDEX(_ENGINE_Risk!$H$5:$M$499,MATCH($E632,_ENGINE_Risk!$A$5:$A$499,0),$H632+1),""))</f>
        <v>Severe risk: breach notification readiness for personal data and customer contractual obligations is not reliably controlled. During Regulatory/legal shock; Contractual exposure; Data breach, the organization may face contractual disputes, compliance breaches, regulatory penalties and delayed legal response with limited visibility or accountability.</v>
      </c>
      <c r="H632">
        <f>IFERROR(VALUE(INDEX(_DATA_Assessment_Model!$H$5:$H$884,MATCH($E632,_DATA_Assessment_Model!$A$5:$A$884,0))),"")</f>
        <v>0</v>
      </c>
      <c r="I632" t="str">
        <f>IF($H632="","",IFERROR(INDEX(_DATA_Assessment_Model!$L$5:$L$884,MATCH($E632,_DATA_Assessment_Model!$A$5:$A$884,0)),IF($H632&lt;=1,"Critical",IF($H632=2,"High",IF($H632=3,"Medium",IF($H632=4,"Low","Resilient"))))))</f>
        <v>Critical</v>
      </c>
      <c r="J632">
        <f t="shared" si="92"/>
        <v>3.5</v>
      </c>
      <c r="K632">
        <f t="shared" si="93"/>
        <v>5</v>
      </c>
      <c r="L632">
        <f t="shared" si="94"/>
        <v>17.5</v>
      </c>
      <c r="M632">
        <f t="shared" si="95"/>
        <v>4</v>
      </c>
      <c r="N632">
        <f>IF($H632="","",IFERROR(INDEX(_ENGINE_Risk!$T$5:$Y$499,MATCH($E632,_ENGINE_Risk!$A$5:$A$499,0),$H632+1),""))</f>
        <v>3</v>
      </c>
      <c r="O632">
        <f t="shared" si="96"/>
        <v>4.666666666666667</v>
      </c>
      <c r="P632">
        <f t="shared" si="97"/>
        <v>5</v>
      </c>
      <c r="Q632">
        <f t="shared" si="98"/>
        <v>5</v>
      </c>
      <c r="R632">
        <f t="shared" si="99"/>
        <v>5</v>
      </c>
      <c r="S632">
        <f t="shared" si="100"/>
        <v>1.64</v>
      </c>
      <c r="T632" t="str">
        <f>IF($H632="","",IFERROR(INDEX(_ENGINE_Risk!$N$5:$S$499,MATCH($E632,_ENGINE_Risk!$A$5:$A$499,0),$H632+1),""))</f>
        <v>Create an immediate risk owner, minimum control baseline and fallback procedure for breach notification readiness for personal data and customer contractual obligations. Add it to the crisis risk register and collect first evidence.</v>
      </c>
      <c r="U632">
        <f>IFERROR(INDEX(_DATA_Assessment_Model!$G$5:$G$884,MATCH($E632,_DATA_Assessment_Model!$A$5:$A$884,0)),"")</f>
        <v>4</v>
      </c>
      <c r="V632">
        <f>IFERROR(INDEX(_DATA_Assessment_Model!$W$5:$W$884,MATCH($E632,_DATA_Assessment_Model!$A$5:$A$884,0)),"")</f>
        <v>5</v>
      </c>
      <c r="W632">
        <f>IFERROR(INDEX(_DATA_Assessment_Model!$X$5:$X$884,MATCH($E632,_DATA_Assessment_Model!$A$5:$A$884,0)),"")</f>
        <v>5</v>
      </c>
      <c r="X632">
        <f>IFERROR(INDEX(_DATA_Assessment_Model!$Y$5:$Y$884,MATCH($E632,_DATA_Assessment_Model!$A$5:$A$884,0)),"")</f>
        <v>5</v>
      </c>
      <c r="Y632" t="s">
        <v>1564</v>
      </c>
      <c r="Z632" t="s">
        <v>6289</v>
      </c>
      <c r="AA632" t="s">
        <v>1624</v>
      </c>
      <c r="AB632">
        <f>IFERROR(INDEX(_DATA_Assessment_Model!$U$5:$U$884,MATCH($E632,_DATA_Assessment_Model!$A$5:$A$884,0)),"")</f>
        <v>0</v>
      </c>
      <c r="AF632" t="s">
        <v>1623</v>
      </c>
      <c r="AO632">
        <f>IF($B632="Yes",IF(IFERROR(INDEX(_ENGINE_Crisis!$F$501:$F$517,MATCH($C632,_ENGINE_Crisis!$A$501:$A$517,0)),1)=0,1,IFERROR(INDEX(_ENGINE_Crisis!$F$501:$F$517,MATCH($C632,_ENGINE_Crisis!$A$501:$A$517,0)),1)),"")</f>
        <v>1</v>
      </c>
      <c r="AP632">
        <f t="shared" si="101"/>
        <v>17.5</v>
      </c>
      <c r="AQ632">
        <f t="shared" si="102"/>
        <v>1.64</v>
      </c>
      <c r="AR632" t="str">
        <f>IFERROR(INDEX(_ENGINE_Crisis!$E$41:$E$700,MATCH('Resilience &amp; Risk Scenario'!$B$6&amp;"|"&amp;$C632,_ENGINE_Crisis!$I$41:$I$700,0)),"")</f>
        <v/>
      </c>
      <c r="AS632" t="str">
        <f>IFERROR(INDEX(_ENGINE_Crisis!$G$41:$G$700,MATCH('Resilience &amp; Risk Scenario'!$B$6&amp;"|"&amp;$C632,_ENGINE_Crisis!$I$41:$I$700,0)),"")</f>
        <v/>
      </c>
      <c r="AT632" t="str">
        <f>IFERROR(INDEX(_ENGINE_Initiatives!$A$5:$A$532,MATCH(1,INDEX((_ENGINE_Initiatives!$B$5:$B$532=$C632)*(_ENGINE_Initiatives!$C$5:$C$532=$D632),0),0)),"")</f>
        <v>INI-021</v>
      </c>
      <c r="AU632" t="str">
        <f>IFERROR(INDEX(_ENGINE_Initiatives!$F$5:$F$532,MATCH(1,INDEX((_ENGINE_Initiatives!$B$5:$B$532=$C632)*(_ENGINE_Initiatives!$C$5:$C$532=$D632),0),0)),"")</f>
        <v>Strengthen data, IP and confidentiality legal safeguards</v>
      </c>
      <c r="AV632">
        <f>IFERROR(INDEX(_ENGINE_Initiatives!$AC$5:$AC$532,MATCH(1,INDEX((_ENGINE_Initiatives!$B$5:$B$532=$C632)*(_ENGINE_Initiatives!$C$5:$C$532=$D632),0),0)),"")</f>
        <v>2.6</v>
      </c>
      <c r="AW632" t="str">
        <f>IFERROR(INDEX(_ENGINE_Initiatives!$AE$5:$AE$532,MATCH(1,INDEX((_ENGINE_Initiatives!$B$5:$B$532=$C632)*(_ENGINE_Initiatives!$C$5:$C$532=$D632),0),0)),"")</f>
        <v>0-90 days</v>
      </c>
      <c r="AX632">
        <f>IF($B632="Yes",IFERROR((IF(SUMIFS(_REF_Model_Content!$E$1:$E$613,_REF_Model_Content!$A$1:$A$613,PV_Canonical_Industry,_REF_Model_Content!$B$1:$B$613,$C632)=0,1,SUMIFS(_REF_Model_Content!$E$1:$E$613,_REF_Model_Content!$A$1:$A$613,PV_Canonical_Industry,_REF_Model_Content!$B$1:$B$613,$C632))*IFERROR($BU632,1)),1),"")</f>
        <v>1</v>
      </c>
      <c r="AY632">
        <f t="shared" si="103"/>
        <v>17.5</v>
      </c>
      <c r="AZ632">
        <f t="shared" si="104"/>
        <v>1.64</v>
      </c>
      <c r="BB632" t="str">
        <f>IF($H632="","",IFERROR(INDEX(_ENGINE_Risk!$AE$5:$AE$499,MATCH($E632,_ENGINE_Risk!$A$5:$A$499,0)),"Medium"))</f>
        <v>Slow</v>
      </c>
      <c r="BC632">
        <f t="shared" si="105"/>
        <v>0.85</v>
      </c>
      <c r="BD632">
        <f t="shared" si="106"/>
        <v>1.64</v>
      </c>
      <c r="BF632">
        <f>IF(OR($H632="",$J632=""),"",IFERROR(VLOOKUP(ROUND($J632,0),_CONFIG_Model_Settings!$D$154:$E$158,2,0),""))</f>
        <v>0.5</v>
      </c>
      <c r="BG632">
        <f>IFERROR(IF(OR($H632="",$K632=""),"",ROUND('Company Profile'!$B$113*INDEX(_CONFIG_Model_Settings!$H$154:$H$158,MATCH(ROUND($K632,0),_CONFIG_Model_Settings!$G$154:$G$158,0)),0)),0)</f>
        <v>1875</v>
      </c>
      <c r="BH632">
        <f t="shared" si="107"/>
        <v>937.5</v>
      </c>
      <c r="BI632">
        <f t="shared" si="108"/>
        <v>937.5</v>
      </c>
      <c r="BJ632">
        <f>IF($E632="","",IFERROR(VLOOKUP($C632,_CONFIG_Risk_Calibration!$A$5:$H$21,2,FALSE),3))</f>
        <v>3</v>
      </c>
      <c r="BK632">
        <f>IF($E632="","",IFERROR(VLOOKUP($C632,_CONFIG_Risk_Calibration!$A$5:$H$21,3,FALSE),0))</f>
        <v>0</v>
      </c>
      <c r="BL632">
        <f>IF($E632="","",IFERROR(VLOOKUP($C632,_CONFIG_Risk_Calibration!$A$5:$H$21,4,FALSE),3))</f>
        <v>3</v>
      </c>
      <c r="BM632">
        <f>IF($E632="","",IFERROR(VLOOKUP($C632,_CONFIG_Risk_Calibration!$A$5:$H$21,5,FALSE),3))</f>
        <v>4</v>
      </c>
      <c r="BN632" t="str">
        <f>IF($E632="","",IFERROR(VLOOKUP($C632,_CONFIG_Risk_Calibration!$A$5:$H$21,6,FALSE),"No"))</f>
        <v>Yes</v>
      </c>
      <c r="BO632">
        <f>IF($E632="","",IFERROR(VLOOKUP($C632,_CONFIG_Risk_Calibration!$A$5:$H$21,7,FALSE),1))</f>
        <v>5</v>
      </c>
      <c r="BP632">
        <f>IF($H632="","",MAX(1,MIN(5,((6-$H632)*0.45)+($BJ632*0.2)+('Resilience &amp; Risk Scenario'!$B$7*0.15)+($BK632*0.1)+($BL632*0.05)+(IF($BB632="Fast",5,IF($BB632="Slow",1,3))*0.05))))</f>
        <v>3.5</v>
      </c>
      <c r="BQ632">
        <f t="shared" si="109"/>
        <v>5</v>
      </c>
      <c r="BR632">
        <f t="shared" si="110"/>
        <v>17.5</v>
      </c>
      <c r="BS632">
        <f t="shared" si="111"/>
        <v>16.36</v>
      </c>
      <c r="BT632" t="str">
        <f>IFERROR(INDEX(_REF_Capability_Bridge!$D:$D,MATCH($C632&amp;"|"&amp;$D632,_REF_Capability_Bridge!$J:$J,0)),IFERROR(INDEX(_REF_Capability_Bridge!$D:$D,MATCH($C632&amp;"|",_REF_Capability_Bridge!$J:$J,0)),"CAP_GENERIC"))</f>
        <v>CAP_REGULATORY_CONTINUITY</v>
      </c>
      <c r="BU632">
        <f>IFERROR(IFERROR(INDEX(_ENGINE_Relevance!$L:$L,MATCH($BT632,_ENGINE_Relevance!$B:$B,0)),1),1)</f>
        <v>1</v>
      </c>
      <c r="BV632" t="str">
        <f>IFERROR(INDEX(_REF_Capability_Bridge!$A:$A,MATCH($C632&amp;"|"&amp;$D632,_REF_Capability_Bridge!$J:$J,0)),IFERROR(INDEX(_REF_Capability_Bridge!$A:$A,MATCH($C632&amp;"|",_REF_Capability_Bridge!$J:$J,0)),"No bridge"))</f>
        <v>BRG-052</v>
      </c>
      <c r="BW632" t="str">
        <f t="shared" si="112"/>
        <v>Capability relevance neutral</v>
      </c>
      <c r="BX632" t="str">
        <f t="shared" si="113"/>
        <v>Initial / absent</v>
      </c>
      <c r="BY632" t="str">
        <f>IF($E632="","",IFERROR(INDEX(_REF_Treatment_Library!$A$2:$A$296,MATCH(1,INDEX((_REF_Treatment_Library!$B$2:$B$296=$BT632)*(_REF_Treatment_Library!$C$2:$C$296=PV_Canonical_Industry)*(_REF_Treatment_Library!$E$2:$E$296&lt;=N($H632))*(_REF_Treatment_Library!$F$2:$F$296&gt;=N($H632))*(_REF_Treatment_Library!$O$2:$O$296="Yes"),0),0)),IFERROR(INDEX(_REF_Treatment_Library!$A$2:$A$296,MATCH(1,INDEX((_REF_Treatment_Library!$B$2:$B$296=$BT632)*(_REF_Treatment_Library!$C$2:$C$296="All")*(_REF_Treatment_Library!$E$2:$E$296&lt;=N($H632))*(_REF_Treatment_Library!$F$2:$F$296&gt;=N($H632))*(_REF_Treatment_Library!$O$2:$O$296="Yes"),0),0)),"")))</f>
        <v>TRT-REGULATORY_CONTINUITY-INITIAL</v>
      </c>
      <c r="BZ632" t="str">
        <f>IF($BY632="","",IFERROR(INDEX(_REF_Treatment_Library!$H$2:$H$296,MATCH($BY632,_REF_Treatment_Library!$A$2:$A$296,0)),""))</f>
        <v>Establish</v>
      </c>
      <c r="CA632" t="str">
        <f>IF($BY632="","",IFERROR(INDEX(_REF_Treatment_Library!$I$2:$I$296,MATCH($BY632,_REF_Treatment_Library!$A$2:$A$296,0)),""))</f>
        <v>Establish baseline controls for Regulatory continuity</v>
      </c>
      <c r="CB632" t="str">
        <f>IF($BY632="","",IFERROR(INDEX(_REF_Treatment_Library!$K$2:$K$296,MATCH($BY632,_REF_Treatment_Library!$A$2:$A$296,0)),""))</f>
        <v>Named owner, baseline process, minimum control checklist, first evidence package</v>
      </c>
      <c r="CC632" t="str">
        <f>IF($BY632="","",IFERROR(INDEX(_REF_Treatment_Library!$L$2:$L$296,MATCH($BY632,_REF_Treatment_Library!$A$2:$A$296,0)),""))</f>
        <v>Owner assigned; baseline evidence coverage; open critical gaps</v>
      </c>
      <c r="CD632" t="str">
        <f t="shared" si="114"/>
        <v>Treatment by capability=CAP_REGULATORY_CONTINUITY; band=Initial / absent; score=0.0; treatment=Establish</v>
      </c>
      <c r="CE632" t="str">
        <f>IF($E632="","",IFERROR(INDEX(_REF_Industry_Wording!$A$2:$A$70,MATCH(1,INDEX((_REF_Industry_Wording!$B$2:$B$70=$BT632)*(_REF_Industry_Wording!$C$2:$C$70=PV_Canonical_Industry)*(_REF_Industry_Wording!$K$2:$K$70="Yes"),0),0)),IFERROR(INDEX(_REF_Industry_Wording!$A$2:$A$70,MATCH(1,INDEX((_REF_Industry_Wording!$B$2:$B$70=$BT632)*(_REF_Industry_Wording!$C$2:$C$70="All")*(_REF_Industry_Wording!$K$2:$K$70="Yes"),0),0)),"")))</f>
        <v>IW-ALL-REGULATORY_CONTINUITY</v>
      </c>
      <c r="CF632" t="str">
        <f>IF($CE632="","",IFERROR(INDEX(_REF_Industry_Wording!$E$2:$E$70,MATCH($CE632,_REF_Industry_Wording!$A$2:$A$70,0)),""))</f>
        <v>Regulatory continuity weakness</v>
      </c>
      <c r="CG632" t="str">
        <f>IF($CE632="","",IFERROR(INDEX(_REF_Industry_Wording!$F$2:$F$70,MATCH($CE632,_REF_Industry_Wording!$A$2:$A$70,0)),""))</f>
        <v>Strengthen Regulatory continuity</v>
      </c>
      <c r="CH632" t="str">
        <f>IF($CE632="","",IFERROR(INDEX(_REF_Industry_Wording!$G$2:$G$70,MATCH($CE632,_REF_Industry_Wording!$A$2:$A$70,0)),""))</f>
        <v>Strengthen Regulatory continuity using the selected maturity treatment, crisis scenario and evidence requirements.</v>
      </c>
      <c r="CI632" t="str">
        <f>IF($CE632="","",IFERROR(INDEX(_REF_Industry_Wording!$H$2:$H$70,MATCH($CE632,_REF_Industry_Wording!$A$2:$A$70,0)),""))</f>
        <v>Regulatory continuity</v>
      </c>
      <c r="CJ632">
        <f>IF($CE632="","",IFERROR(INDEX(_REF_Industry_Wording!$I$2:$I$70,MATCH($CE632,_REF_Industry_Wording!$A$2:$A$70,0)),""))</f>
        <v>0</v>
      </c>
      <c r="CK632" t="str">
        <f>IF($CE632="","",IFERROR(INDEX(_REF_Industry_Wording!$J$2:$J$70,MATCH($CE632,_REF_Industry_Wording!$A$2:$A$70,0)),""))</f>
        <v>Regulatory continuity</v>
      </c>
      <c r="CL632" t="str">
        <f t="shared" si="115"/>
        <v>Wording by industry=0; capability=CAP_REGULATORY_CONTINUITY; risk label=Regulatory continuity weakness</v>
      </c>
      <c r="CM632" t="str">
        <f t="shared" si="116"/>
        <v>RISK-ONT-0133</v>
      </c>
      <c r="CN632" t="str">
        <f t="shared" si="117"/>
        <v>RISK-EVT-0133</v>
      </c>
      <c r="CO632" t="str">
        <f t="shared" si="118"/>
        <v>Legal Risk|Data and IP|LEGA-014|CAP_REGULATORY_CONTINUITY</v>
      </c>
      <c r="CP632" t="str">
        <f t="shared" si="119"/>
        <v>Active</v>
      </c>
      <c r="CQ632" t="str">
        <f t="shared" si="120"/>
        <v>OK: capability-driven</v>
      </c>
      <c r="CR632" t="str">
        <f t="shared" si="121"/>
        <v>Risk ontology uses capability=CAP_REGULATORY_CONTINUITY; bridge=BRG-052; treatment=TRT-REGULATORY_CONTINUITY-INITIAL; wording=IW-ALL-REGULATORY_CONTINUITY</v>
      </c>
      <c r="CS632" t="str">
        <f t="shared" si="122"/>
        <v>Yes</v>
      </c>
    </row>
    <row r="633" spans="1:97" ht="69.900000000000006" customHeight="1">
      <c r="A633">
        <f>IF(OR($B633&lt;&gt;"Yes",$BS633=""),"",SUMPRODUCT(($B$500:$B$923="Yes")*ISNUMBER($BS$500:$BS$923)*($BS$500:$BS$923&gt;$BS633))+COUNTIFS($B$500:$B633,"Yes",$BS$500:$BS633,$BS633))</f>
        <v>281</v>
      </c>
      <c r="B633" t="str">
        <f t="shared" si="91"/>
        <v>Yes</v>
      </c>
      <c r="C633" t="s">
        <v>1551</v>
      </c>
      <c r="D633" t="s">
        <v>1572</v>
      </c>
      <c r="E633" t="s">
        <v>1631</v>
      </c>
      <c r="F633" t="s">
        <v>3684</v>
      </c>
      <c r="G633" t="str">
        <f>IF($H633="","",IFERROR(INDEX(_ENGINE_Risk!$H$5:$M$499,MATCH($E633,_ENGINE_Risk!$A$5:$A$499,0),$H633+1),""))</f>
        <v>Severe risk: data processing agreements with vendors covering security, incident response, sub-processors and continuity is not reliably controlled. During Regulatory/legal shock; Contractual exposure; Data breach, the organization may face contractual disputes, compliance breaches, regulatory penalties and delayed legal response with limited visibility or accountability.</v>
      </c>
      <c r="H633">
        <f>IFERROR(VALUE(INDEX(_DATA_Assessment_Model!$H$5:$H$884,MATCH($E633,_DATA_Assessment_Model!$A$5:$A$884,0))),"")</f>
        <v>0</v>
      </c>
      <c r="I633" t="str">
        <f>IF($H633="","",IFERROR(INDEX(_DATA_Assessment_Model!$L$5:$L$884,MATCH($E633,_DATA_Assessment_Model!$A$5:$A$884,0)),IF($H633&lt;=1,"Critical",IF($H633=2,"High",IF($H633=3,"Medium",IF($H633=4,"Low","Resilient"))))))</f>
        <v>Critical</v>
      </c>
      <c r="J633">
        <f t="shared" si="92"/>
        <v>3.5</v>
      </c>
      <c r="K633">
        <f t="shared" si="93"/>
        <v>5</v>
      </c>
      <c r="L633">
        <f t="shared" si="94"/>
        <v>17.5</v>
      </c>
      <c r="M633">
        <f t="shared" si="95"/>
        <v>4</v>
      </c>
      <c r="N633">
        <f>IF($H633="","",IFERROR(INDEX(_ENGINE_Risk!$T$5:$Y$499,MATCH($E633,_ENGINE_Risk!$A$5:$A$499,0),$H633+1),""))</f>
        <v>3</v>
      </c>
      <c r="O633">
        <f t="shared" si="96"/>
        <v>5</v>
      </c>
      <c r="P633">
        <f t="shared" si="97"/>
        <v>5</v>
      </c>
      <c r="Q633">
        <f t="shared" si="98"/>
        <v>5</v>
      </c>
      <c r="R633">
        <f t="shared" si="99"/>
        <v>5</v>
      </c>
      <c r="S633">
        <f t="shared" si="100"/>
        <v>1.67</v>
      </c>
      <c r="T633" t="str">
        <f>IF($H633="","",IFERROR(INDEX(_ENGINE_Risk!$N$5:$S$499,MATCH($E633,_ENGINE_Risk!$A$5:$A$499,0),$H633+1),""))</f>
        <v>Create an immediate risk owner, minimum control baseline and fallback procedure for data processing agreements with vendors covering security, incident response, sub-processors and continuity. Add it to the crisis risk register and collect first evidence.</v>
      </c>
      <c r="U633">
        <f>IFERROR(INDEX(_DATA_Assessment_Model!$G$5:$G$884,MATCH($E633,_DATA_Assessment_Model!$A$5:$A$884,0)),"")</f>
        <v>5</v>
      </c>
      <c r="V633">
        <f>IFERROR(INDEX(_DATA_Assessment_Model!$W$5:$W$884,MATCH($E633,_DATA_Assessment_Model!$A$5:$A$884,0)),"")</f>
        <v>5</v>
      </c>
      <c r="W633">
        <f>IFERROR(INDEX(_DATA_Assessment_Model!$X$5:$X$884,MATCH($E633,_DATA_Assessment_Model!$A$5:$A$884,0)),"")</f>
        <v>5</v>
      </c>
      <c r="X633">
        <f>IFERROR(INDEX(_DATA_Assessment_Model!$Y$5:$Y$884,MATCH($E633,_DATA_Assessment_Model!$A$5:$A$884,0)),"")</f>
        <v>5</v>
      </c>
      <c r="Y633" t="s">
        <v>1564</v>
      </c>
      <c r="Z633" t="s">
        <v>6289</v>
      </c>
      <c r="AA633" t="s">
        <v>1633</v>
      </c>
      <c r="AB633">
        <f>IFERROR(INDEX(_DATA_Assessment_Model!$U$5:$U$884,MATCH($E633,_DATA_Assessment_Model!$A$5:$A$884,0)),"")</f>
        <v>0</v>
      </c>
      <c r="AF633" t="s">
        <v>1632</v>
      </c>
      <c r="AO633">
        <f>IF($B633="Yes",IF(IFERROR(INDEX(_ENGINE_Crisis!$F$501:$F$517,MATCH($C633,_ENGINE_Crisis!$A$501:$A$517,0)),1)=0,1,IFERROR(INDEX(_ENGINE_Crisis!$F$501:$F$517,MATCH($C633,_ENGINE_Crisis!$A$501:$A$517,0)),1)),"")</f>
        <v>1</v>
      </c>
      <c r="AP633">
        <f t="shared" si="101"/>
        <v>17.5</v>
      </c>
      <c r="AQ633">
        <f t="shared" si="102"/>
        <v>1.67</v>
      </c>
      <c r="AR633" t="str">
        <f>IFERROR(INDEX(_ENGINE_Crisis!$E$41:$E$700,MATCH('Resilience &amp; Risk Scenario'!$B$6&amp;"|"&amp;$C633,_ENGINE_Crisis!$I$41:$I$700,0)),"")</f>
        <v/>
      </c>
      <c r="AS633" t="str">
        <f>IFERROR(INDEX(_ENGINE_Crisis!$G$41:$G$700,MATCH('Resilience &amp; Risk Scenario'!$B$6&amp;"|"&amp;$C633,_ENGINE_Crisis!$I$41:$I$700,0)),"")</f>
        <v/>
      </c>
      <c r="AT633" t="str">
        <f>IFERROR(INDEX(_ENGINE_Initiatives!$A$5:$A$532,MATCH(1,INDEX((_ENGINE_Initiatives!$B$5:$B$532=$C633)*(_ENGINE_Initiatives!$C$5:$C$532=$D633),0),0)),"")</f>
        <v>INI-021</v>
      </c>
      <c r="AU633" t="str">
        <f>IFERROR(INDEX(_ENGINE_Initiatives!$F$5:$F$532,MATCH(1,INDEX((_ENGINE_Initiatives!$B$5:$B$532=$C633)*(_ENGINE_Initiatives!$C$5:$C$532=$D633),0),0)),"")</f>
        <v>Strengthen data, IP and confidentiality legal safeguards</v>
      </c>
      <c r="AV633">
        <f>IFERROR(INDEX(_ENGINE_Initiatives!$AC$5:$AC$532,MATCH(1,INDEX((_ENGINE_Initiatives!$B$5:$B$532=$C633)*(_ENGINE_Initiatives!$C$5:$C$532=$D633),0),0)),"")</f>
        <v>2.6</v>
      </c>
      <c r="AW633" t="str">
        <f>IFERROR(INDEX(_ENGINE_Initiatives!$AE$5:$AE$532,MATCH(1,INDEX((_ENGINE_Initiatives!$B$5:$B$532=$C633)*(_ENGINE_Initiatives!$C$5:$C$532=$D633),0),0)),"")</f>
        <v>0-90 days</v>
      </c>
      <c r="AX633">
        <f>IF($B633="Yes",IFERROR((IF(SUMIFS(_REF_Model_Content!$E$1:$E$613,_REF_Model_Content!$A$1:$A$613,PV_Canonical_Industry,_REF_Model_Content!$B$1:$B$613,$C633)=0,1,SUMIFS(_REF_Model_Content!$E$1:$E$613,_REF_Model_Content!$A$1:$A$613,PV_Canonical_Industry,_REF_Model_Content!$B$1:$B$613,$C633))*IFERROR($BU633,1)),1),"")</f>
        <v>1</v>
      </c>
      <c r="AY633">
        <f t="shared" si="103"/>
        <v>17.5</v>
      </c>
      <c r="AZ633">
        <f t="shared" si="104"/>
        <v>1.67</v>
      </c>
      <c r="BB633" t="str">
        <f>IF($H633="","",IFERROR(INDEX(_ENGINE_Risk!$AE$5:$AE$499,MATCH($E633,_ENGINE_Risk!$A$5:$A$499,0)),"Medium"))</f>
        <v>Slow</v>
      </c>
      <c r="BC633">
        <f t="shared" si="105"/>
        <v>0.85</v>
      </c>
      <c r="BD633">
        <f t="shared" si="106"/>
        <v>1.67</v>
      </c>
      <c r="BF633">
        <f>IF(OR($H633="",$J633=""),"",IFERROR(VLOOKUP(ROUND($J633,0),_CONFIG_Model_Settings!$D$154:$E$158,2,0),""))</f>
        <v>0.5</v>
      </c>
      <c r="BG633">
        <f>IFERROR(IF(OR($H633="",$K633=""),"",ROUND('Company Profile'!$B$113*INDEX(_CONFIG_Model_Settings!$H$154:$H$158,MATCH(ROUND($K633,0),_CONFIG_Model_Settings!$G$154:$G$158,0)),0)),0)</f>
        <v>1875</v>
      </c>
      <c r="BH633">
        <f t="shared" si="107"/>
        <v>937.5</v>
      </c>
      <c r="BI633">
        <f t="shared" si="108"/>
        <v>937.5</v>
      </c>
      <c r="BJ633">
        <f>IF($E633="","",IFERROR(VLOOKUP($C633,_CONFIG_Risk_Calibration!$A$5:$H$21,2,FALSE),3))</f>
        <v>3</v>
      </c>
      <c r="BK633">
        <f>IF($E633="","",IFERROR(VLOOKUP($C633,_CONFIG_Risk_Calibration!$A$5:$H$21,3,FALSE),0))</f>
        <v>0</v>
      </c>
      <c r="BL633">
        <f>IF($E633="","",IFERROR(VLOOKUP($C633,_CONFIG_Risk_Calibration!$A$5:$H$21,4,FALSE),3))</f>
        <v>3</v>
      </c>
      <c r="BM633">
        <f>IF($E633="","",IFERROR(VLOOKUP($C633,_CONFIG_Risk_Calibration!$A$5:$H$21,5,FALSE),3))</f>
        <v>4</v>
      </c>
      <c r="BN633" t="str">
        <f>IF($E633="","",IFERROR(VLOOKUP($C633,_CONFIG_Risk_Calibration!$A$5:$H$21,6,FALSE),"No"))</f>
        <v>Yes</v>
      </c>
      <c r="BO633">
        <f>IF($E633="","",IFERROR(VLOOKUP($C633,_CONFIG_Risk_Calibration!$A$5:$H$21,7,FALSE),1))</f>
        <v>5</v>
      </c>
      <c r="BP633">
        <f>IF($H633="","",MAX(1,MIN(5,((6-$H633)*0.45)+($BJ633*0.2)+('Resilience &amp; Risk Scenario'!$B$7*0.15)+($BK633*0.1)+($BL633*0.05)+(IF($BB633="Fast",5,IF($BB633="Slow",1,3))*0.05))))</f>
        <v>3.5</v>
      </c>
      <c r="BQ633">
        <f t="shared" si="109"/>
        <v>5</v>
      </c>
      <c r="BR633">
        <f t="shared" si="110"/>
        <v>17.5</v>
      </c>
      <c r="BS633">
        <f t="shared" si="111"/>
        <v>16.36</v>
      </c>
      <c r="BT633" t="str">
        <f>IFERROR(INDEX(_REF_Capability_Bridge!$D:$D,MATCH($C633&amp;"|"&amp;$D633,_REF_Capability_Bridge!$J:$J,0)),IFERROR(INDEX(_REF_Capability_Bridge!$D:$D,MATCH($C633&amp;"|",_REF_Capability_Bridge!$J:$J,0)),"CAP_GENERIC"))</f>
        <v>CAP_REGULATORY_CONTINUITY</v>
      </c>
      <c r="BU633">
        <f>IFERROR(IFERROR(INDEX(_ENGINE_Relevance!$L:$L,MATCH($BT633,_ENGINE_Relevance!$B:$B,0)),1),1)</f>
        <v>1</v>
      </c>
      <c r="BV633" t="str">
        <f>IFERROR(INDEX(_REF_Capability_Bridge!$A:$A,MATCH($C633&amp;"|"&amp;$D633,_REF_Capability_Bridge!$J:$J,0)),IFERROR(INDEX(_REF_Capability_Bridge!$A:$A,MATCH($C633&amp;"|",_REF_Capability_Bridge!$J:$J,0)),"No bridge"))</f>
        <v>BRG-052</v>
      </c>
      <c r="BW633" t="str">
        <f t="shared" si="112"/>
        <v>Capability relevance neutral</v>
      </c>
      <c r="BX633" t="str">
        <f t="shared" si="113"/>
        <v>Initial / absent</v>
      </c>
      <c r="BY633" t="str">
        <f>IF($E633="","",IFERROR(INDEX(_REF_Treatment_Library!$A$2:$A$296,MATCH(1,INDEX((_REF_Treatment_Library!$B$2:$B$296=$BT633)*(_REF_Treatment_Library!$C$2:$C$296=PV_Canonical_Industry)*(_REF_Treatment_Library!$E$2:$E$296&lt;=N($H633))*(_REF_Treatment_Library!$F$2:$F$296&gt;=N($H633))*(_REF_Treatment_Library!$O$2:$O$296="Yes"),0),0)),IFERROR(INDEX(_REF_Treatment_Library!$A$2:$A$296,MATCH(1,INDEX((_REF_Treatment_Library!$B$2:$B$296=$BT633)*(_REF_Treatment_Library!$C$2:$C$296="All")*(_REF_Treatment_Library!$E$2:$E$296&lt;=N($H633))*(_REF_Treatment_Library!$F$2:$F$296&gt;=N($H633))*(_REF_Treatment_Library!$O$2:$O$296="Yes"),0),0)),"")))</f>
        <v>TRT-REGULATORY_CONTINUITY-INITIAL</v>
      </c>
      <c r="BZ633" t="str">
        <f>IF($BY633="","",IFERROR(INDEX(_REF_Treatment_Library!$H$2:$H$296,MATCH($BY633,_REF_Treatment_Library!$A$2:$A$296,0)),""))</f>
        <v>Establish</v>
      </c>
      <c r="CA633" t="str">
        <f>IF($BY633="","",IFERROR(INDEX(_REF_Treatment_Library!$I$2:$I$296,MATCH($BY633,_REF_Treatment_Library!$A$2:$A$296,0)),""))</f>
        <v>Establish baseline controls for Regulatory continuity</v>
      </c>
      <c r="CB633" t="str">
        <f>IF($BY633="","",IFERROR(INDEX(_REF_Treatment_Library!$K$2:$K$296,MATCH($BY633,_REF_Treatment_Library!$A$2:$A$296,0)),""))</f>
        <v>Named owner, baseline process, minimum control checklist, first evidence package</v>
      </c>
      <c r="CC633" t="str">
        <f>IF($BY633="","",IFERROR(INDEX(_REF_Treatment_Library!$L$2:$L$296,MATCH($BY633,_REF_Treatment_Library!$A$2:$A$296,0)),""))</f>
        <v>Owner assigned; baseline evidence coverage; open critical gaps</v>
      </c>
      <c r="CD633" t="str">
        <f t="shared" si="114"/>
        <v>Treatment by capability=CAP_REGULATORY_CONTINUITY; band=Initial / absent; score=0.0; treatment=Establish</v>
      </c>
      <c r="CE633" t="str">
        <f>IF($E633="","",IFERROR(INDEX(_REF_Industry_Wording!$A$2:$A$70,MATCH(1,INDEX((_REF_Industry_Wording!$B$2:$B$70=$BT633)*(_REF_Industry_Wording!$C$2:$C$70=PV_Canonical_Industry)*(_REF_Industry_Wording!$K$2:$K$70="Yes"),0),0)),IFERROR(INDEX(_REF_Industry_Wording!$A$2:$A$70,MATCH(1,INDEX((_REF_Industry_Wording!$B$2:$B$70=$BT633)*(_REF_Industry_Wording!$C$2:$C$70="All")*(_REF_Industry_Wording!$K$2:$K$70="Yes"),0),0)),"")))</f>
        <v>IW-ALL-REGULATORY_CONTINUITY</v>
      </c>
      <c r="CF633" t="str">
        <f>IF($CE633="","",IFERROR(INDEX(_REF_Industry_Wording!$E$2:$E$70,MATCH($CE633,_REF_Industry_Wording!$A$2:$A$70,0)),""))</f>
        <v>Regulatory continuity weakness</v>
      </c>
      <c r="CG633" t="str">
        <f>IF($CE633="","",IFERROR(INDEX(_REF_Industry_Wording!$F$2:$F$70,MATCH($CE633,_REF_Industry_Wording!$A$2:$A$70,0)),""))</f>
        <v>Strengthen Regulatory continuity</v>
      </c>
      <c r="CH633" t="str">
        <f>IF($CE633="","",IFERROR(INDEX(_REF_Industry_Wording!$G$2:$G$70,MATCH($CE633,_REF_Industry_Wording!$A$2:$A$70,0)),""))</f>
        <v>Strengthen Regulatory continuity using the selected maturity treatment, crisis scenario and evidence requirements.</v>
      </c>
      <c r="CI633" t="str">
        <f>IF($CE633="","",IFERROR(INDEX(_REF_Industry_Wording!$H$2:$H$70,MATCH($CE633,_REF_Industry_Wording!$A$2:$A$70,0)),""))</f>
        <v>Regulatory continuity</v>
      </c>
      <c r="CJ633">
        <f>IF($CE633="","",IFERROR(INDEX(_REF_Industry_Wording!$I$2:$I$70,MATCH($CE633,_REF_Industry_Wording!$A$2:$A$70,0)),""))</f>
        <v>0</v>
      </c>
      <c r="CK633" t="str">
        <f>IF($CE633="","",IFERROR(INDEX(_REF_Industry_Wording!$J$2:$J$70,MATCH($CE633,_REF_Industry_Wording!$A$2:$A$70,0)),""))</f>
        <v>Regulatory continuity</v>
      </c>
      <c r="CL633" t="str">
        <f t="shared" si="115"/>
        <v>Wording by industry=0; capability=CAP_REGULATORY_CONTINUITY; risk label=Regulatory continuity weakness</v>
      </c>
      <c r="CM633" t="str">
        <f t="shared" si="116"/>
        <v>RISK-ONT-0134</v>
      </c>
      <c r="CN633" t="str">
        <f t="shared" si="117"/>
        <v>RISK-EVT-0134</v>
      </c>
      <c r="CO633" t="str">
        <f t="shared" si="118"/>
        <v>Legal Risk|Data and IP|LEGA-015|CAP_REGULATORY_CONTINUITY</v>
      </c>
      <c r="CP633" t="str">
        <f t="shared" si="119"/>
        <v>Active</v>
      </c>
      <c r="CQ633" t="str">
        <f t="shared" si="120"/>
        <v>OK: capability-driven</v>
      </c>
      <c r="CR633" t="str">
        <f t="shared" si="121"/>
        <v>Risk ontology uses capability=CAP_REGULATORY_CONTINUITY; bridge=BRG-052; treatment=TRT-REGULATORY_CONTINUITY-INITIAL; wording=IW-ALL-REGULATORY_CONTINUITY</v>
      </c>
      <c r="CS633" t="str">
        <f t="shared" si="122"/>
        <v>Yes</v>
      </c>
    </row>
    <row r="634" spans="1:97" ht="69.900000000000006" customHeight="1">
      <c r="A634">
        <f>IF(OR($B634&lt;&gt;"Yes",$BS634=""),"",SUMPRODUCT(($B$500:$B$923="Yes")*ISNUMBER($BS$500:$BS$923)*($BS$500:$BS$923&gt;$BS634))+COUNTIFS($B$500:$B634,"Yes",$BS$500:$BS634,$BS634))</f>
        <v>282</v>
      </c>
      <c r="B634" t="str">
        <f t="shared" si="91"/>
        <v>Yes</v>
      </c>
      <c r="C634" t="s">
        <v>1551</v>
      </c>
      <c r="D634" t="s">
        <v>1572</v>
      </c>
      <c r="E634" t="s">
        <v>1634</v>
      </c>
      <c r="F634" t="s">
        <v>3684</v>
      </c>
      <c r="G634" t="str">
        <f>IF($H634="","",IFERROR(INDEX(_ENGINE_Risk!$H$5:$M$499,MATCH($E634,_ENGINE_Risk!$A$5:$A$499,0),$H634+1),""))</f>
        <v>Severe risk: intellectual property ownership for employees, contractors, suppliers, software, designs, data and AI models is not reliably controlled. During Regulatory/legal shock; Contractual exposure; Data breach, the organization may face contractual disputes, compliance breaches, regulatory penalties and delayed legal response with limited visibility or accountability.</v>
      </c>
      <c r="H634">
        <f>IFERROR(VALUE(INDEX(_DATA_Assessment_Model!$H$5:$H$884,MATCH($E634,_DATA_Assessment_Model!$A$5:$A$884,0))),"")</f>
        <v>0</v>
      </c>
      <c r="I634" t="str">
        <f>IF($H634="","",IFERROR(INDEX(_DATA_Assessment_Model!$L$5:$L$884,MATCH($E634,_DATA_Assessment_Model!$A$5:$A$884,0)),IF($H634&lt;=1,"Critical",IF($H634=2,"High",IF($H634=3,"Medium",IF($H634=4,"Low","Resilient"))))))</f>
        <v>Critical</v>
      </c>
      <c r="J634">
        <f t="shared" si="92"/>
        <v>3.5</v>
      </c>
      <c r="K634">
        <f t="shared" si="93"/>
        <v>5</v>
      </c>
      <c r="L634">
        <f t="shared" si="94"/>
        <v>17.5</v>
      </c>
      <c r="M634">
        <f t="shared" si="95"/>
        <v>4</v>
      </c>
      <c r="N634">
        <f>IF($H634="","",IFERROR(INDEX(_ENGINE_Risk!$T$5:$Y$499,MATCH($E634,_ENGINE_Risk!$A$5:$A$499,0),$H634+1),""))</f>
        <v>3</v>
      </c>
      <c r="O634">
        <f t="shared" si="96"/>
        <v>5</v>
      </c>
      <c r="P634">
        <f t="shared" si="97"/>
        <v>5</v>
      </c>
      <c r="Q634">
        <f t="shared" si="98"/>
        <v>5</v>
      </c>
      <c r="R634">
        <f t="shared" si="99"/>
        <v>5</v>
      </c>
      <c r="S634">
        <f t="shared" si="100"/>
        <v>1.67</v>
      </c>
      <c r="T634" t="str">
        <f>IF($H634="","",IFERROR(INDEX(_ENGINE_Risk!$N$5:$S$499,MATCH($E634,_ENGINE_Risk!$A$5:$A$499,0),$H634+1),""))</f>
        <v>Create an immediate risk owner, minimum control baseline and fallback procedure for intellectual property ownership for employees, contractors, suppliers, software, designs, data and AI models. Add it to the crisis risk register and collect first evidence.</v>
      </c>
      <c r="U634">
        <f>IFERROR(INDEX(_DATA_Assessment_Model!$G$5:$G$884,MATCH($E634,_DATA_Assessment_Model!$A$5:$A$884,0)),"")</f>
        <v>5</v>
      </c>
      <c r="V634">
        <f>IFERROR(INDEX(_DATA_Assessment_Model!$W$5:$W$884,MATCH($E634,_DATA_Assessment_Model!$A$5:$A$884,0)),"")</f>
        <v>5</v>
      </c>
      <c r="W634">
        <f>IFERROR(INDEX(_DATA_Assessment_Model!$X$5:$X$884,MATCH($E634,_DATA_Assessment_Model!$A$5:$A$884,0)),"")</f>
        <v>5</v>
      </c>
      <c r="X634">
        <f>IFERROR(INDEX(_DATA_Assessment_Model!$Y$5:$Y$884,MATCH($E634,_DATA_Assessment_Model!$A$5:$A$884,0)),"")</f>
        <v>5</v>
      </c>
      <c r="Y634" t="s">
        <v>1564</v>
      </c>
      <c r="Z634" t="s">
        <v>6289</v>
      </c>
      <c r="AA634" t="s">
        <v>1636</v>
      </c>
      <c r="AB634">
        <f>IFERROR(INDEX(_DATA_Assessment_Model!$U$5:$U$884,MATCH($E634,_DATA_Assessment_Model!$A$5:$A$884,0)),"")</f>
        <v>0</v>
      </c>
      <c r="AF634" t="s">
        <v>1635</v>
      </c>
      <c r="AO634">
        <f>IF($B634="Yes",IF(IFERROR(INDEX(_ENGINE_Crisis!$F$501:$F$517,MATCH($C634,_ENGINE_Crisis!$A$501:$A$517,0)),1)=0,1,IFERROR(INDEX(_ENGINE_Crisis!$F$501:$F$517,MATCH($C634,_ENGINE_Crisis!$A$501:$A$517,0)),1)),"")</f>
        <v>1</v>
      </c>
      <c r="AP634">
        <f t="shared" si="101"/>
        <v>17.5</v>
      </c>
      <c r="AQ634">
        <f t="shared" si="102"/>
        <v>1.67</v>
      </c>
      <c r="AR634" t="str">
        <f>IFERROR(INDEX(_ENGINE_Crisis!$E$41:$E$700,MATCH('Resilience &amp; Risk Scenario'!$B$6&amp;"|"&amp;$C634,_ENGINE_Crisis!$I$41:$I$700,0)),"")</f>
        <v/>
      </c>
      <c r="AS634" t="str">
        <f>IFERROR(INDEX(_ENGINE_Crisis!$G$41:$G$700,MATCH('Resilience &amp; Risk Scenario'!$B$6&amp;"|"&amp;$C634,_ENGINE_Crisis!$I$41:$I$700,0)),"")</f>
        <v/>
      </c>
      <c r="AT634" t="str">
        <f>IFERROR(INDEX(_ENGINE_Initiatives!$A$5:$A$532,MATCH(1,INDEX((_ENGINE_Initiatives!$B$5:$B$532=$C634)*(_ENGINE_Initiatives!$C$5:$C$532=$D634),0),0)),"")</f>
        <v>INI-021</v>
      </c>
      <c r="AU634" t="str">
        <f>IFERROR(INDEX(_ENGINE_Initiatives!$F$5:$F$532,MATCH(1,INDEX((_ENGINE_Initiatives!$B$5:$B$532=$C634)*(_ENGINE_Initiatives!$C$5:$C$532=$D634),0),0)),"")</f>
        <v>Strengthen data, IP and confidentiality legal safeguards</v>
      </c>
      <c r="AV634">
        <f>IFERROR(INDEX(_ENGINE_Initiatives!$AC$5:$AC$532,MATCH(1,INDEX((_ENGINE_Initiatives!$B$5:$B$532=$C634)*(_ENGINE_Initiatives!$C$5:$C$532=$D634),0),0)),"")</f>
        <v>2.6</v>
      </c>
      <c r="AW634" t="str">
        <f>IFERROR(INDEX(_ENGINE_Initiatives!$AE$5:$AE$532,MATCH(1,INDEX((_ENGINE_Initiatives!$B$5:$B$532=$C634)*(_ENGINE_Initiatives!$C$5:$C$532=$D634),0),0)),"")</f>
        <v>0-90 days</v>
      </c>
      <c r="AX634">
        <f>IF($B634="Yes",IFERROR((IF(SUMIFS(_REF_Model_Content!$E$1:$E$613,_REF_Model_Content!$A$1:$A$613,PV_Canonical_Industry,_REF_Model_Content!$B$1:$B$613,$C634)=0,1,SUMIFS(_REF_Model_Content!$E$1:$E$613,_REF_Model_Content!$A$1:$A$613,PV_Canonical_Industry,_REF_Model_Content!$B$1:$B$613,$C634))*IFERROR($BU634,1)),1),"")</f>
        <v>1</v>
      </c>
      <c r="AY634">
        <f t="shared" si="103"/>
        <v>17.5</v>
      </c>
      <c r="AZ634">
        <f t="shared" si="104"/>
        <v>1.67</v>
      </c>
      <c r="BB634" t="str">
        <f>IF($H634="","",IFERROR(INDEX(_ENGINE_Risk!$AE$5:$AE$499,MATCH($E634,_ENGINE_Risk!$A$5:$A$499,0)),"Medium"))</f>
        <v>Slow</v>
      </c>
      <c r="BC634">
        <f t="shared" si="105"/>
        <v>0.85</v>
      </c>
      <c r="BD634">
        <f t="shared" si="106"/>
        <v>1.67</v>
      </c>
      <c r="BF634">
        <f>IF(OR($H634="",$J634=""),"",IFERROR(VLOOKUP(ROUND($J634,0),_CONFIG_Model_Settings!$D$154:$E$158,2,0),""))</f>
        <v>0.5</v>
      </c>
      <c r="BG634">
        <f>IFERROR(IF(OR($H634="",$K634=""),"",ROUND('Company Profile'!$B$113*INDEX(_CONFIG_Model_Settings!$H$154:$H$158,MATCH(ROUND($K634,0),_CONFIG_Model_Settings!$G$154:$G$158,0)),0)),0)</f>
        <v>1875</v>
      </c>
      <c r="BH634">
        <f t="shared" si="107"/>
        <v>937.5</v>
      </c>
      <c r="BI634">
        <f t="shared" si="108"/>
        <v>937.5</v>
      </c>
      <c r="BJ634">
        <f>IF($E634="","",IFERROR(VLOOKUP($C634,_CONFIG_Risk_Calibration!$A$5:$H$21,2,FALSE),3))</f>
        <v>3</v>
      </c>
      <c r="BK634">
        <f>IF($E634="","",IFERROR(VLOOKUP($C634,_CONFIG_Risk_Calibration!$A$5:$H$21,3,FALSE),0))</f>
        <v>0</v>
      </c>
      <c r="BL634">
        <f>IF($E634="","",IFERROR(VLOOKUP($C634,_CONFIG_Risk_Calibration!$A$5:$H$21,4,FALSE),3))</f>
        <v>3</v>
      </c>
      <c r="BM634">
        <f>IF($E634="","",IFERROR(VLOOKUP($C634,_CONFIG_Risk_Calibration!$A$5:$H$21,5,FALSE),3))</f>
        <v>4</v>
      </c>
      <c r="BN634" t="str">
        <f>IF($E634="","",IFERROR(VLOOKUP($C634,_CONFIG_Risk_Calibration!$A$5:$H$21,6,FALSE),"No"))</f>
        <v>Yes</v>
      </c>
      <c r="BO634">
        <f>IF($E634="","",IFERROR(VLOOKUP($C634,_CONFIG_Risk_Calibration!$A$5:$H$21,7,FALSE),1))</f>
        <v>5</v>
      </c>
      <c r="BP634">
        <f>IF($H634="","",MAX(1,MIN(5,((6-$H634)*0.45)+($BJ634*0.2)+('Resilience &amp; Risk Scenario'!$B$7*0.15)+($BK634*0.1)+($BL634*0.05)+(IF($BB634="Fast",5,IF($BB634="Slow",1,3))*0.05))))</f>
        <v>3.5</v>
      </c>
      <c r="BQ634">
        <f t="shared" si="109"/>
        <v>5</v>
      </c>
      <c r="BR634">
        <f t="shared" si="110"/>
        <v>17.5</v>
      </c>
      <c r="BS634">
        <f t="shared" si="111"/>
        <v>16.36</v>
      </c>
      <c r="BT634" t="str">
        <f>IFERROR(INDEX(_REF_Capability_Bridge!$D:$D,MATCH($C634&amp;"|"&amp;$D634,_REF_Capability_Bridge!$J:$J,0)),IFERROR(INDEX(_REF_Capability_Bridge!$D:$D,MATCH($C634&amp;"|",_REF_Capability_Bridge!$J:$J,0)),"CAP_GENERIC"))</f>
        <v>CAP_REGULATORY_CONTINUITY</v>
      </c>
      <c r="BU634">
        <f>IFERROR(IFERROR(INDEX(_ENGINE_Relevance!$L:$L,MATCH($BT634,_ENGINE_Relevance!$B:$B,0)),1),1)</f>
        <v>1</v>
      </c>
      <c r="BV634" t="str">
        <f>IFERROR(INDEX(_REF_Capability_Bridge!$A:$A,MATCH($C634&amp;"|"&amp;$D634,_REF_Capability_Bridge!$J:$J,0)),IFERROR(INDEX(_REF_Capability_Bridge!$A:$A,MATCH($C634&amp;"|",_REF_Capability_Bridge!$J:$J,0)),"No bridge"))</f>
        <v>BRG-052</v>
      </c>
      <c r="BW634" t="str">
        <f t="shared" si="112"/>
        <v>Capability relevance neutral</v>
      </c>
      <c r="BX634" t="str">
        <f t="shared" si="113"/>
        <v>Initial / absent</v>
      </c>
      <c r="BY634" t="str">
        <f>IF($E634="","",IFERROR(INDEX(_REF_Treatment_Library!$A$2:$A$296,MATCH(1,INDEX((_REF_Treatment_Library!$B$2:$B$296=$BT634)*(_REF_Treatment_Library!$C$2:$C$296=PV_Canonical_Industry)*(_REF_Treatment_Library!$E$2:$E$296&lt;=N($H634))*(_REF_Treatment_Library!$F$2:$F$296&gt;=N($H634))*(_REF_Treatment_Library!$O$2:$O$296="Yes"),0),0)),IFERROR(INDEX(_REF_Treatment_Library!$A$2:$A$296,MATCH(1,INDEX((_REF_Treatment_Library!$B$2:$B$296=$BT634)*(_REF_Treatment_Library!$C$2:$C$296="All")*(_REF_Treatment_Library!$E$2:$E$296&lt;=N($H634))*(_REF_Treatment_Library!$F$2:$F$296&gt;=N($H634))*(_REF_Treatment_Library!$O$2:$O$296="Yes"),0),0)),"")))</f>
        <v>TRT-REGULATORY_CONTINUITY-INITIAL</v>
      </c>
      <c r="BZ634" t="str">
        <f>IF($BY634="","",IFERROR(INDEX(_REF_Treatment_Library!$H$2:$H$296,MATCH($BY634,_REF_Treatment_Library!$A$2:$A$296,0)),""))</f>
        <v>Establish</v>
      </c>
      <c r="CA634" t="str">
        <f>IF($BY634="","",IFERROR(INDEX(_REF_Treatment_Library!$I$2:$I$296,MATCH($BY634,_REF_Treatment_Library!$A$2:$A$296,0)),""))</f>
        <v>Establish baseline controls for Regulatory continuity</v>
      </c>
      <c r="CB634" t="str">
        <f>IF($BY634="","",IFERROR(INDEX(_REF_Treatment_Library!$K$2:$K$296,MATCH($BY634,_REF_Treatment_Library!$A$2:$A$296,0)),""))</f>
        <v>Named owner, baseline process, minimum control checklist, first evidence package</v>
      </c>
      <c r="CC634" t="str">
        <f>IF($BY634="","",IFERROR(INDEX(_REF_Treatment_Library!$L$2:$L$296,MATCH($BY634,_REF_Treatment_Library!$A$2:$A$296,0)),""))</f>
        <v>Owner assigned; baseline evidence coverage; open critical gaps</v>
      </c>
      <c r="CD634" t="str">
        <f t="shared" si="114"/>
        <v>Treatment by capability=CAP_REGULATORY_CONTINUITY; band=Initial / absent; score=0.0; treatment=Establish</v>
      </c>
      <c r="CE634" t="str">
        <f>IF($E634="","",IFERROR(INDEX(_REF_Industry_Wording!$A$2:$A$70,MATCH(1,INDEX((_REF_Industry_Wording!$B$2:$B$70=$BT634)*(_REF_Industry_Wording!$C$2:$C$70=PV_Canonical_Industry)*(_REF_Industry_Wording!$K$2:$K$70="Yes"),0),0)),IFERROR(INDEX(_REF_Industry_Wording!$A$2:$A$70,MATCH(1,INDEX((_REF_Industry_Wording!$B$2:$B$70=$BT634)*(_REF_Industry_Wording!$C$2:$C$70="All")*(_REF_Industry_Wording!$K$2:$K$70="Yes"),0),0)),"")))</f>
        <v>IW-ALL-REGULATORY_CONTINUITY</v>
      </c>
      <c r="CF634" t="str">
        <f>IF($CE634="","",IFERROR(INDEX(_REF_Industry_Wording!$E$2:$E$70,MATCH($CE634,_REF_Industry_Wording!$A$2:$A$70,0)),""))</f>
        <v>Regulatory continuity weakness</v>
      </c>
      <c r="CG634" t="str">
        <f>IF($CE634="","",IFERROR(INDEX(_REF_Industry_Wording!$F$2:$F$70,MATCH($CE634,_REF_Industry_Wording!$A$2:$A$70,0)),""))</f>
        <v>Strengthen Regulatory continuity</v>
      </c>
      <c r="CH634" t="str">
        <f>IF($CE634="","",IFERROR(INDEX(_REF_Industry_Wording!$G$2:$G$70,MATCH($CE634,_REF_Industry_Wording!$A$2:$A$70,0)),""))</f>
        <v>Strengthen Regulatory continuity using the selected maturity treatment, crisis scenario and evidence requirements.</v>
      </c>
      <c r="CI634" t="str">
        <f>IF($CE634="","",IFERROR(INDEX(_REF_Industry_Wording!$H$2:$H$70,MATCH($CE634,_REF_Industry_Wording!$A$2:$A$70,0)),""))</f>
        <v>Regulatory continuity</v>
      </c>
      <c r="CJ634">
        <f>IF($CE634="","",IFERROR(INDEX(_REF_Industry_Wording!$I$2:$I$70,MATCH($CE634,_REF_Industry_Wording!$A$2:$A$70,0)),""))</f>
        <v>0</v>
      </c>
      <c r="CK634" t="str">
        <f>IF($CE634="","",IFERROR(INDEX(_REF_Industry_Wording!$J$2:$J$70,MATCH($CE634,_REF_Industry_Wording!$A$2:$A$70,0)),""))</f>
        <v>Regulatory continuity</v>
      </c>
      <c r="CL634" t="str">
        <f t="shared" si="115"/>
        <v>Wording by industry=0; capability=CAP_REGULATORY_CONTINUITY; risk label=Regulatory continuity weakness</v>
      </c>
      <c r="CM634" t="str">
        <f t="shared" si="116"/>
        <v>RISK-ONT-0135</v>
      </c>
      <c r="CN634" t="str">
        <f t="shared" si="117"/>
        <v>RISK-EVT-0135</v>
      </c>
      <c r="CO634" t="str">
        <f t="shared" si="118"/>
        <v>Legal Risk|Data and IP|LEGA-016|CAP_REGULATORY_CONTINUITY</v>
      </c>
      <c r="CP634" t="str">
        <f t="shared" si="119"/>
        <v>Active</v>
      </c>
      <c r="CQ634" t="str">
        <f t="shared" si="120"/>
        <v>OK: capability-driven</v>
      </c>
      <c r="CR634" t="str">
        <f t="shared" si="121"/>
        <v>Risk ontology uses capability=CAP_REGULATORY_CONTINUITY; bridge=BRG-052; treatment=TRT-REGULATORY_CONTINUITY-INITIAL; wording=IW-ALL-REGULATORY_CONTINUITY</v>
      </c>
      <c r="CS634" t="str">
        <f t="shared" si="122"/>
        <v>Yes</v>
      </c>
    </row>
    <row r="635" spans="1:97" ht="69.900000000000006" customHeight="1">
      <c r="A635">
        <f>IF(OR($B635&lt;&gt;"Yes",$BS635=""),"",SUMPRODUCT(($B$500:$B$923="Yes")*ISNUMBER($BS$500:$BS$923)*($BS$500:$BS$923&gt;$BS635))+COUNTIFS($B$500:$B635,"Yes",$BS$500:$BS635,$BS635))</f>
        <v>283</v>
      </c>
      <c r="B635" t="str">
        <f t="shared" si="91"/>
        <v>Yes</v>
      </c>
      <c r="C635" t="s">
        <v>1551</v>
      </c>
      <c r="D635" t="s">
        <v>1572</v>
      </c>
      <c r="E635" t="s">
        <v>1637</v>
      </c>
      <c r="F635" t="s">
        <v>3684</v>
      </c>
      <c r="G635" t="str">
        <f>IF($H635="","",IFERROR(INDEX(_ENGINE_Risk!$H$5:$M$499,MATCH($E635,_ENGINE_Risk!$A$5:$A$499,0),$H635+1),""))</f>
        <v>Severe risk: software license and open-source compliance for critical systems and products is not reliably controlled. During Regulatory/legal shock; Contractual exposure; Data breach, the organization may face contractual disputes, compliance breaches, regulatory penalties and delayed legal response with limited visibility or accountability.</v>
      </c>
      <c r="H635">
        <f>IFERROR(VALUE(INDEX(_DATA_Assessment_Model!$H$5:$H$884,MATCH($E635,_DATA_Assessment_Model!$A$5:$A$884,0))),"")</f>
        <v>0</v>
      </c>
      <c r="I635" t="str">
        <f>IF($H635="","",IFERROR(INDEX(_DATA_Assessment_Model!$L$5:$L$884,MATCH($E635,_DATA_Assessment_Model!$A$5:$A$884,0)),IF($H635&lt;=1,"Critical",IF($H635=2,"High",IF($H635=3,"Medium",IF($H635=4,"Low","Resilient"))))))</f>
        <v>Critical</v>
      </c>
      <c r="J635">
        <f t="shared" si="92"/>
        <v>3.5</v>
      </c>
      <c r="K635">
        <f t="shared" si="93"/>
        <v>5</v>
      </c>
      <c r="L635">
        <f t="shared" si="94"/>
        <v>17.5</v>
      </c>
      <c r="M635">
        <f t="shared" si="95"/>
        <v>4</v>
      </c>
      <c r="N635">
        <f>IF($H635="","",IFERROR(INDEX(_ENGINE_Risk!$T$5:$Y$499,MATCH($E635,_ENGINE_Risk!$A$5:$A$499,0),$H635+1),""))</f>
        <v>3</v>
      </c>
      <c r="O635">
        <f t="shared" si="96"/>
        <v>5</v>
      </c>
      <c r="P635">
        <f t="shared" si="97"/>
        <v>5</v>
      </c>
      <c r="Q635">
        <f t="shared" si="98"/>
        <v>5</v>
      </c>
      <c r="R635">
        <f t="shared" si="99"/>
        <v>5</v>
      </c>
      <c r="S635">
        <f t="shared" si="100"/>
        <v>1.67</v>
      </c>
      <c r="T635" t="str">
        <f>IF($H635="","",IFERROR(INDEX(_ENGINE_Risk!$N$5:$S$499,MATCH($E635,_ENGINE_Risk!$A$5:$A$499,0),$H635+1),""))</f>
        <v>Create an immediate risk owner, minimum control baseline and fallback procedure for software license and open-source compliance for critical systems and products. Add it to the crisis risk register and collect first evidence.</v>
      </c>
      <c r="U635">
        <f>IFERROR(INDEX(_DATA_Assessment_Model!$G$5:$G$884,MATCH($E635,_DATA_Assessment_Model!$A$5:$A$884,0)),"")</f>
        <v>5</v>
      </c>
      <c r="V635">
        <f>IFERROR(INDEX(_DATA_Assessment_Model!$W$5:$W$884,MATCH($E635,_DATA_Assessment_Model!$A$5:$A$884,0)),"")</f>
        <v>5</v>
      </c>
      <c r="W635">
        <f>IFERROR(INDEX(_DATA_Assessment_Model!$X$5:$X$884,MATCH($E635,_DATA_Assessment_Model!$A$5:$A$884,0)),"")</f>
        <v>5</v>
      </c>
      <c r="X635">
        <f>IFERROR(INDEX(_DATA_Assessment_Model!$Y$5:$Y$884,MATCH($E635,_DATA_Assessment_Model!$A$5:$A$884,0)),"")</f>
        <v>5</v>
      </c>
      <c r="Y635" t="s">
        <v>1564</v>
      </c>
      <c r="Z635" t="s">
        <v>6289</v>
      </c>
      <c r="AA635" t="s">
        <v>1639</v>
      </c>
      <c r="AB635">
        <f>IFERROR(INDEX(_DATA_Assessment_Model!$U$5:$U$884,MATCH($E635,_DATA_Assessment_Model!$A$5:$A$884,0)),"")</f>
        <v>0</v>
      </c>
      <c r="AF635" t="s">
        <v>1638</v>
      </c>
      <c r="AO635">
        <f>IF($B635="Yes",IF(IFERROR(INDEX(_ENGINE_Crisis!$F$501:$F$517,MATCH($C635,_ENGINE_Crisis!$A$501:$A$517,0)),1)=0,1,IFERROR(INDEX(_ENGINE_Crisis!$F$501:$F$517,MATCH($C635,_ENGINE_Crisis!$A$501:$A$517,0)),1)),"")</f>
        <v>1</v>
      </c>
      <c r="AP635">
        <f t="shared" si="101"/>
        <v>17.5</v>
      </c>
      <c r="AQ635">
        <f t="shared" si="102"/>
        <v>1.67</v>
      </c>
      <c r="AR635" t="str">
        <f>IFERROR(INDEX(_ENGINE_Crisis!$E$41:$E$700,MATCH('Resilience &amp; Risk Scenario'!$B$6&amp;"|"&amp;$C635,_ENGINE_Crisis!$I$41:$I$700,0)),"")</f>
        <v/>
      </c>
      <c r="AS635" t="str">
        <f>IFERROR(INDEX(_ENGINE_Crisis!$G$41:$G$700,MATCH('Resilience &amp; Risk Scenario'!$B$6&amp;"|"&amp;$C635,_ENGINE_Crisis!$I$41:$I$700,0)),"")</f>
        <v/>
      </c>
      <c r="AT635" t="str">
        <f>IFERROR(INDEX(_ENGINE_Initiatives!$A$5:$A$532,MATCH(1,INDEX((_ENGINE_Initiatives!$B$5:$B$532=$C635)*(_ENGINE_Initiatives!$C$5:$C$532=$D635),0),0)),"")</f>
        <v>INI-021</v>
      </c>
      <c r="AU635" t="str">
        <f>IFERROR(INDEX(_ENGINE_Initiatives!$F$5:$F$532,MATCH(1,INDEX((_ENGINE_Initiatives!$B$5:$B$532=$C635)*(_ENGINE_Initiatives!$C$5:$C$532=$D635),0),0)),"")</f>
        <v>Strengthen data, IP and confidentiality legal safeguards</v>
      </c>
      <c r="AV635">
        <f>IFERROR(INDEX(_ENGINE_Initiatives!$AC$5:$AC$532,MATCH(1,INDEX((_ENGINE_Initiatives!$B$5:$B$532=$C635)*(_ENGINE_Initiatives!$C$5:$C$532=$D635),0),0)),"")</f>
        <v>2.6</v>
      </c>
      <c r="AW635" t="str">
        <f>IFERROR(INDEX(_ENGINE_Initiatives!$AE$5:$AE$532,MATCH(1,INDEX((_ENGINE_Initiatives!$B$5:$B$532=$C635)*(_ENGINE_Initiatives!$C$5:$C$532=$D635),0),0)),"")</f>
        <v>0-90 days</v>
      </c>
      <c r="AX635">
        <f>IF($B635="Yes",IFERROR((IF(SUMIFS(_REF_Model_Content!$E$1:$E$613,_REF_Model_Content!$A$1:$A$613,PV_Canonical_Industry,_REF_Model_Content!$B$1:$B$613,$C635)=0,1,SUMIFS(_REF_Model_Content!$E$1:$E$613,_REF_Model_Content!$A$1:$A$613,PV_Canonical_Industry,_REF_Model_Content!$B$1:$B$613,$C635))*IFERROR($BU635,1)),1),"")</f>
        <v>1</v>
      </c>
      <c r="AY635">
        <f t="shared" si="103"/>
        <v>17.5</v>
      </c>
      <c r="AZ635">
        <f t="shared" si="104"/>
        <v>1.67</v>
      </c>
      <c r="BB635" t="str">
        <f>IF($H635="","",IFERROR(INDEX(_ENGINE_Risk!$AE$5:$AE$499,MATCH($E635,_ENGINE_Risk!$A$5:$A$499,0)),"Medium"))</f>
        <v>Slow</v>
      </c>
      <c r="BC635">
        <f t="shared" si="105"/>
        <v>0.85</v>
      </c>
      <c r="BD635">
        <f t="shared" si="106"/>
        <v>1.67</v>
      </c>
      <c r="BF635">
        <f>IF(OR($H635="",$J635=""),"",IFERROR(VLOOKUP(ROUND($J635,0),_CONFIG_Model_Settings!$D$154:$E$158,2,0),""))</f>
        <v>0.5</v>
      </c>
      <c r="BG635">
        <f>IFERROR(IF(OR($H635="",$K635=""),"",ROUND('Company Profile'!$B$113*INDEX(_CONFIG_Model_Settings!$H$154:$H$158,MATCH(ROUND($K635,0),_CONFIG_Model_Settings!$G$154:$G$158,0)),0)),0)</f>
        <v>1875</v>
      </c>
      <c r="BH635">
        <f t="shared" si="107"/>
        <v>937.5</v>
      </c>
      <c r="BI635">
        <f t="shared" si="108"/>
        <v>937.5</v>
      </c>
      <c r="BJ635">
        <f>IF($E635="","",IFERROR(VLOOKUP($C635,_CONFIG_Risk_Calibration!$A$5:$H$21,2,FALSE),3))</f>
        <v>3</v>
      </c>
      <c r="BK635">
        <f>IF($E635="","",IFERROR(VLOOKUP($C635,_CONFIG_Risk_Calibration!$A$5:$H$21,3,FALSE),0))</f>
        <v>0</v>
      </c>
      <c r="BL635">
        <f>IF($E635="","",IFERROR(VLOOKUP($C635,_CONFIG_Risk_Calibration!$A$5:$H$21,4,FALSE),3))</f>
        <v>3</v>
      </c>
      <c r="BM635">
        <f>IF($E635="","",IFERROR(VLOOKUP($C635,_CONFIG_Risk_Calibration!$A$5:$H$21,5,FALSE),3))</f>
        <v>4</v>
      </c>
      <c r="BN635" t="str">
        <f>IF($E635="","",IFERROR(VLOOKUP($C635,_CONFIG_Risk_Calibration!$A$5:$H$21,6,FALSE),"No"))</f>
        <v>Yes</v>
      </c>
      <c r="BO635">
        <f>IF($E635="","",IFERROR(VLOOKUP($C635,_CONFIG_Risk_Calibration!$A$5:$H$21,7,FALSE),1))</f>
        <v>5</v>
      </c>
      <c r="BP635">
        <f>IF($H635="","",MAX(1,MIN(5,((6-$H635)*0.45)+($BJ635*0.2)+('Resilience &amp; Risk Scenario'!$B$7*0.15)+($BK635*0.1)+($BL635*0.05)+(IF($BB635="Fast",5,IF($BB635="Slow",1,3))*0.05))))</f>
        <v>3.5</v>
      </c>
      <c r="BQ635">
        <f t="shared" si="109"/>
        <v>5</v>
      </c>
      <c r="BR635">
        <f t="shared" si="110"/>
        <v>17.5</v>
      </c>
      <c r="BS635">
        <f t="shared" si="111"/>
        <v>16.36</v>
      </c>
      <c r="BT635" t="str">
        <f>IFERROR(INDEX(_REF_Capability_Bridge!$D:$D,MATCH($C635&amp;"|"&amp;$D635,_REF_Capability_Bridge!$J:$J,0)),IFERROR(INDEX(_REF_Capability_Bridge!$D:$D,MATCH($C635&amp;"|",_REF_Capability_Bridge!$J:$J,0)),"CAP_GENERIC"))</f>
        <v>CAP_REGULATORY_CONTINUITY</v>
      </c>
      <c r="BU635">
        <f>IFERROR(IFERROR(INDEX(_ENGINE_Relevance!$L:$L,MATCH($BT635,_ENGINE_Relevance!$B:$B,0)),1),1)</f>
        <v>1</v>
      </c>
      <c r="BV635" t="str">
        <f>IFERROR(INDEX(_REF_Capability_Bridge!$A:$A,MATCH($C635&amp;"|"&amp;$D635,_REF_Capability_Bridge!$J:$J,0)),IFERROR(INDEX(_REF_Capability_Bridge!$A:$A,MATCH($C635&amp;"|",_REF_Capability_Bridge!$J:$J,0)),"No bridge"))</f>
        <v>BRG-052</v>
      </c>
      <c r="BW635" t="str">
        <f t="shared" si="112"/>
        <v>Capability relevance neutral</v>
      </c>
      <c r="BX635" t="str">
        <f t="shared" si="113"/>
        <v>Initial / absent</v>
      </c>
      <c r="BY635" t="str">
        <f>IF($E635="","",IFERROR(INDEX(_REF_Treatment_Library!$A$2:$A$296,MATCH(1,INDEX((_REF_Treatment_Library!$B$2:$B$296=$BT635)*(_REF_Treatment_Library!$C$2:$C$296=PV_Canonical_Industry)*(_REF_Treatment_Library!$E$2:$E$296&lt;=N($H635))*(_REF_Treatment_Library!$F$2:$F$296&gt;=N($H635))*(_REF_Treatment_Library!$O$2:$O$296="Yes"),0),0)),IFERROR(INDEX(_REF_Treatment_Library!$A$2:$A$296,MATCH(1,INDEX((_REF_Treatment_Library!$B$2:$B$296=$BT635)*(_REF_Treatment_Library!$C$2:$C$296="All")*(_REF_Treatment_Library!$E$2:$E$296&lt;=N($H635))*(_REF_Treatment_Library!$F$2:$F$296&gt;=N($H635))*(_REF_Treatment_Library!$O$2:$O$296="Yes"),0),0)),"")))</f>
        <v>TRT-REGULATORY_CONTINUITY-INITIAL</v>
      </c>
      <c r="BZ635" t="str">
        <f>IF($BY635="","",IFERROR(INDEX(_REF_Treatment_Library!$H$2:$H$296,MATCH($BY635,_REF_Treatment_Library!$A$2:$A$296,0)),""))</f>
        <v>Establish</v>
      </c>
      <c r="CA635" t="str">
        <f>IF($BY635="","",IFERROR(INDEX(_REF_Treatment_Library!$I$2:$I$296,MATCH($BY635,_REF_Treatment_Library!$A$2:$A$296,0)),""))</f>
        <v>Establish baseline controls for Regulatory continuity</v>
      </c>
      <c r="CB635" t="str">
        <f>IF($BY635="","",IFERROR(INDEX(_REF_Treatment_Library!$K$2:$K$296,MATCH($BY635,_REF_Treatment_Library!$A$2:$A$296,0)),""))</f>
        <v>Named owner, baseline process, minimum control checklist, first evidence package</v>
      </c>
      <c r="CC635" t="str">
        <f>IF($BY635="","",IFERROR(INDEX(_REF_Treatment_Library!$L$2:$L$296,MATCH($BY635,_REF_Treatment_Library!$A$2:$A$296,0)),""))</f>
        <v>Owner assigned; baseline evidence coverage; open critical gaps</v>
      </c>
      <c r="CD635" t="str">
        <f t="shared" si="114"/>
        <v>Treatment by capability=CAP_REGULATORY_CONTINUITY; band=Initial / absent; score=0.0; treatment=Establish</v>
      </c>
      <c r="CE635" t="str">
        <f>IF($E635="","",IFERROR(INDEX(_REF_Industry_Wording!$A$2:$A$70,MATCH(1,INDEX((_REF_Industry_Wording!$B$2:$B$70=$BT635)*(_REF_Industry_Wording!$C$2:$C$70=PV_Canonical_Industry)*(_REF_Industry_Wording!$K$2:$K$70="Yes"),0),0)),IFERROR(INDEX(_REF_Industry_Wording!$A$2:$A$70,MATCH(1,INDEX((_REF_Industry_Wording!$B$2:$B$70=$BT635)*(_REF_Industry_Wording!$C$2:$C$70="All")*(_REF_Industry_Wording!$K$2:$K$70="Yes"),0),0)),"")))</f>
        <v>IW-ALL-REGULATORY_CONTINUITY</v>
      </c>
      <c r="CF635" t="str">
        <f>IF($CE635="","",IFERROR(INDEX(_REF_Industry_Wording!$E$2:$E$70,MATCH($CE635,_REF_Industry_Wording!$A$2:$A$70,0)),""))</f>
        <v>Regulatory continuity weakness</v>
      </c>
      <c r="CG635" t="str">
        <f>IF($CE635="","",IFERROR(INDEX(_REF_Industry_Wording!$F$2:$F$70,MATCH($CE635,_REF_Industry_Wording!$A$2:$A$70,0)),""))</f>
        <v>Strengthen Regulatory continuity</v>
      </c>
      <c r="CH635" t="str">
        <f>IF($CE635="","",IFERROR(INDEX(_REF_Industry_Wording!$G$2:$G$70,MATCH($CE635,_REF_Industry_Wording!$A$2:$A$70,0)),""))</f>
        <v>Strengthen Regulatory continuity using the selected maturity treatment, crisis scenario and evidence requirements.</v>
      </c>
      <c r="CI635" t="str">
        <f>IF($CE635="","",IFERROR(INDEX(_REF_Industry_Wording!$H$2:$H$70,MATCH($CE635,_REF_Industry_Wording!$A$2:$A$70,0)),""))</f>
        <v>Regulatory continuity</v>
      </c>
      <c r="CJ635">
        <f>IF($CE635="","",IFERROR(INDEX(_REF_Industry_Wording!$I$2:$I$70,MATCH($CE635,_REF_Industry_Wording!$A$2:$A$70,0)),""))</f>
        <v>0</v>
      </c>
      <c r="CK635" t="str">
        <f>IF($CE635="","",IFERROR(INDEX(_REF_Industry_Wording!$J$2:$J$70,MATCH($CE635,_REF_Industry_Wording!$A$2:$A$70,0)),""))</f>
        <v>Regulatory continuity</v>
      </c>
      <c r="CL635" t="str">
        <f t="shared" si="115"/>
        <v>Wording by industry=0; capability=CAP_REGULATORY_CONTINUITY; risk label=Regulatory continuity weakness</v>
      </c>
      <c r="CM635" t="str">
        <f t="shared" si="116"/>
        <v>RISK-ONT-0136</v>
      </c>
      <c r="CN635" t="str">
        <f t="shared" si="117"/>
        <v>RISK-EVT-0136</v>
      </c>
      <c r="CO635" t="str">
        <f t="shared" si="118"/>
        <v>Legal Risk|Data and IP|LEGA-017|CAP_REGULATORY_CONTINUITY</v>
      </c>
      <c r="CP635" t="str">
        <f t="shared" si="119"/>
        <v>Active</v>
      </c>
      <c r="CQ635" t="str">
        <f t="shared" si="120"/>
        <v>OK: capability-driven</v>
      </c>
      <c r="CR635" t="str">
        <f t="shared" si="121"/>
        <v>Risk ontology uses capability=CAP_REGULATORY_CONTINUITY; bridge=BRG-052; treatment=TRT-REGULATORY_CONTINUITY-INITIAL; wording=IW-ALL-REGULATORY_CONTINUITY</v>
      </c>
      <c r="CS635" t="str">
        <f t="shared" si="122"/>
        <v>Yes</v>
      </c>
    </row>
    <row r="636" spans="1:97" ht="69.900000000000006" customHeight="1">
      <c r="A636">
        <f>IF(OR($B636&lt;&gt;"Yes",$BS636=""),"",SUMPRODUCT(($B$500:$B$923="Yes")*ISNUMBER($BS$500:$BS$923)*($BS$500:$BS$923&gt;$BS636))+COUNTIFS($B$500:$B636,"Yes",$BS$500:$BS636,$BS636))</f>
        <v>284</v>
      </c>
      <c r="B636" t="str">
        <f t="shared" si="91"/>
        <v>Yes</v>
      </c>
      <c r="C636" t="s">
        <v>1551</v>
      </c>
      <c r="D636" t="s">
        <v>1572</v>
      </c>
      <c r="E636" t="s">
        <v>1640</v>
      </c>
      <c r="F636" t="s">
        <v>3684</v>
      </c>
      <c r="G636" t="str">
        <f>IF($H636="","",IFERROR(INDEX(_ENGINE_Risk!$H$5:$M$499,MATCH($E636,_ENGINE_Risk!$A$5:$A$499,0),$H636+1),""))</f>
        <v>Severe risk: records retention rules for legal, finance, HR, contracts, safety, customer and technical records is not reliably controlled. During Regulatory/legal shock; Contractual exposure; Data breach, the organization may face contractual disputes, compliance breaches, regulatory penalties and delayed legal response with limited visibility or accountability.</v>
      </c>
      <c r="H636">
        <f>IFERROR(VALUE(INDEX(_DATA_Assessment_Model!$H$5:$H$884,MATCH($E636,_DATA_Assessment_Model!$A$5:$A$884,0))),"")</f>
        <v>0</v>
      </c>
      <c r="I636" t="str">
        <f>IF($H636="","",IFERROR(INDEX(_DATA_Assessment_Model!$L$5:$L$884,MATCH($E636,_DATA_Assessment_Model!$A$5:$A$884,0)),IF($H636&lt;=1,"Critical",IF($H636=2,"High",IF($H636=3,"Medium",IF($H636=4,"Low","Resilient"))))))</f>
        <v>Critical</v>
      </c>
      <c r="J636">
        <f t="shared" si="92"/>
        <v>3.5</v>
      </c>
      <c r="K636">
        <f t="shared" si="93"/>
        <v>5</v>
      </c>
      <c r="L636">
        <f t="shared" si="94"/>
        <v>17.5</v>
      </c>
      <c r="M636">
        <f t="shared" si="95"/>
        <v>4</v>
      </c>
      <c r="N636">
        <f>IF($H636="","",IFERROR(INDEX(_ENGINE_Risk!$T$5:$Y$499,MATCH($E636,_ENGINE_Risk!$A$5:$A$499,0),$H636+1),""))</f>
        <v>3</v>
      </c>
      <c r="O636">
        <f t="shared" si="96"/>
        <v>5</v>
      </c>
      <c r="P636">
        <f t="shared" si="97"/>
        <v>5</v>
      </c>
      <c r="Q636">
        <f t="shared" si="98"/>
        <v>5</v>
      </c>
      <c r="R636">
        <f t="shared" si="99"/>
        <v>5</v>
      </c>
      <c r="S636">
        <f t="shared" si="100"/>
        <v>1.67</v>
      </c>
      <c r="T636" t="str">
        <f>IF($H636="","",IFERROR(INDEX(_ENGINE_Risk!$N$5:$S$499,MATCH($E636,_ENGINE_Risk!$A$5:$A$499,0),$H636+1),""))</f>
        <v>Create an immediate risk owner, minimum control baseline and fallback procedure for records retention rules for legal, finance, HR, contracts, safety, customer and technical records. Add it to the crisis risk register and collect first evidence.</v>
      </c>
      <c r="U636">
        <f>IFERROR(INDEX(_DATA_Assessment_Model!$G$5:$G$884,MATCH($E636,_DATA_Assessment_Model!$A$5:$A$884,0)),"")</f>
        <v>5</v>
      </c>
      <c r="V636">
        <f>IFERROR(INDEX(_DATA_Assessment_Model!$W$5:$W$884,MATCH($E636,_DATA_Assessment_Model!$A$5:$A$884,0)),"")</f>
        <v>5</v>
      </c>
      <c r="W636">
        <f>IFERROR(INDEX(_DATA_Assessment_Model!$X$5:$X$884,MATCH($E636,_DATA_Assessment_Model!$A$5:$A$884,0)),"")</f>
        <v>5</v>
      </c>
      <c r="X636">
        <f>IFERROR(INDEX(_DATA_Assessment_Model!$Y$5:$Y$884,MATCH($E636,_DATA_Assessment_Model!$A$5:$A$884,0)),"")</f>
        <v>5</v>
      </c>
      <c r="Y636" t="s">
        <v>1564</v>
      </c>
      <c r="Z636" t="s">
        <v>6289</v>
      </c>
      <c r="AA636" t="s">
        <v>1642</v>
      </c>
      <c r="AB636">
        <f>IFERROR(INDEX(_DATA_Assessment_Model!$U$5:$U$884,MATCH($E636,_DATA_Assessment_Model!$A$5:$A$884,0)),"")</f>
        <v>0</v>
      </c>
      <c r="AF636" t="s">
        <v>1641</v>
      </c>
      <c r="AO636">
        <f>IF($B636="Yes",IF(IFERROR(INDEX(_ENGINE_Crisis!$F$501:$F$517,MATCH($C636,_ENGINE_Crisis!$A$501:$A$517,0)),1)=0,1,IFERROR(INDEX(_ENGINE_Crisis!$F$501:$F$517,MATCH($C636,_ENGINE_Crisis!$A$501:$A$517,0)),1)),"")</f>
        <v>1</v>
      </c>
      <c r="AP636">
        <f t="shared" si="101"/>
        <v>17.5</v>
      </c>
      <c r="AQ636">
        <f t="shared" si="102"/>
        <v>1.67</v>
      </c>
      <c r="AR636" t="str">
        <f>IFERROR(INDEX(_ENGINE_Crisis!$E$41:$E$700,MATCH('Resilience &amp; Risk Scenario'!$B$6&amp;"|"&amp;$C636,_ENGINE_Crisis!$I$41:$I$700,0)),"")</f>
        <v/>
      </c>
      <c r="AS636" t="str">
        <f>IFERROR(INDEX(_ENGINE_Crisis!$G$41:$G$700,MATCH('Resilience &amp; Risk Scenario'!$B$6&amp;"|"&amp;$C636,_ENGINE_Crisis!$I$41:$I$700,0)),"")</f>
        <v/>
      </c>
      <c r="AT636" t="str">
        <f>IFERROR(INDEX(_ENGINE_Initiatives!$A$5:$A$532,MATCH(1,INDEX((_ENGINE_Initiatives!$B$5:$B$532=$C636)*(_ENGINE_Initiatives!$C$5:$C$532=$D636),0),0)),"")</f>
        <v>INI-021</v>
      </c>
      <c r="AU636" t="str">
        <f>IFERROR(INDEX(_ENGINE_Initiatives!$F$5:$F$532,MATCH(1,INDEX((_ENGINE_Initiatives!$B$5:$B$532=$C636)*(_ENGINE_Initiatives!$C$5:$C$532=$D636),0),0)),"")</f>
        <v>Strengthen data, IP and confidentiality legal safeguards</v>
      </c>
      <c r="AV636">
        <f>IFERROR(INDEX(_ENGINE_Initiatives!$AC$5:$AC$532,MATCH(1,INDEX((_ENGINE_Initiatives!$B$5:$B$532=$C636)*(_ENGINE_Initiatives!$C$5:$C$532=$D636),0),0)),"")</f>
        <v>2.6</v>
      </c>
      <c r="AW636" t="str">
        <f>IFERROR(INDEX(_ENGINE_Initiatives!$AE$5:$AE$532,MATCH(1,INDEX((_ENGINE_Initiatives!$B$5:$B$532=$C636)*(_ENGINE_Initiatives!$C$5:$C$532=$D636),0),0)),"")</f>
        <v>0-90 days</v>
      </c>
      <c r="AX636">
        <f>IF($B636="Yes",IFERROR((IF(SUMIFS(_REF_Model_Content!$E$1:$E$613,_REF_Model_Content!$A$1:$A$613,PV_Canonical_Industry,_REF_Model_Content!$B$1:$B$613,$C636)=0,1,SUMIFS(_REF_Model_Content!$E$1:$E$613,_REF_Model_Content!$A$1:$A$613,PV_Canonical_Industry,_REF_Model_Content!$B$1:$B$613,$C636))*IFERROR($BU636,1)),1),"")</f>
        <v>1</v>
      </c>
      <c r="AY636">
        <f t="shared" si="103"/>
        <v>17.5</v>
      </c>
      <c r="AZ636">
        <f t="shared" si="104"/>
        <v>1.67</v>
      </c>
      <c r="BB636" t="str">
        <f>IF($H636="","",IFERROR(INDEX(_ENGINE_Risk!$AE$5:$AE$499,MATCH($E636,_ENGINE_Risk!$A$5:$A$499,0)),"Medium"))</f>
        <v>Slow</v>
      </c>
      <c r="BC636">
        <f t="shared" si="105"/>
        <v>0.85</v>
      </c>
      <c r="BD636">
        <f t="shared" si="106"/>
        <v>1.67</v>
      </c>
      <c r="BF636">
        <f>IF(OR($H636="",$J636=""),"",IFERROR(VLOOKUP(ROUND($J636,0),_CONFIG_Model_Settings!$D$154:$E$158,2,0),""))</f>
        <v>0.5</v>
      </c>
      <c r="BG636">
        <f>IFERROR(IF(OR($H636="",$K636=""),"",ROUND('Company Profile'!$B$113*INDEX(_CONFIG_Model_Settings!$H$154:$H$158,MATCH(ROUND($K636,0),_CONFIG_Model_Settings!$G$154:$G$158,0)),0)),0)</f>
        <v>1875</v>
      </c>
      <c r="BH636">
        <f t="shared" si="107"/>
        <v>937.5</v>
      </c>
      <c r="BI636">
        <f t="shared" si="108"/>
        <v>937.5</v>
      </c>
      <c r="BJ636">
        <f>IF($E636="","",IFERROR(VLOOKUP($C636,_CONFIG_Risk_Calibration!$A$5:$H$21,2,FALSE),3))</f>
        <v>3</v>
      </c>
      <c r="BK636">
        <f>IF($E636="","",IFERROR(VLOOKUP($C636,_CONFIG_Risk_Calibration!$A$5:$H$21,3,FALSE),0))</f>
        <v>0</v>
      </c>
      <c r="BL636">
        <f>IF($E636="","",IFERROR(VLOOKUP($C636,_CONFIG_Risk_Calibration!$A$5:$H$21,4,FALSE),3))</f>
        <v>3</v>
      </c>
      <c r="BM636">
        <f>IF($E636="","",IFERROR(VLOOKUP($C636,_CONFIG_Risk_Calibration!$A$5:$H$21,5,FALSE),3))</f>
        <v>4</v>
      </c>
      <c r="BN636" t="str">
        <f>IF($E636="","",IFERROR(VLOOKUP($C636,_CONFIG_Risk_Calibration!$A$5:$H$21,6,FALSE),"No"))</f>
        <v>Yes</v>
      </c>
      <c r="BO636">
        <f>IF($E636="","",IFERROR(VLOOKUP($C636,_CONFIG_Risk_Calibration!$A$5:$H$21,7,FALSE),1))</f>
        <v>5</v>
      </c>
      <c r="BP636">
        <f>IF($H636="","",MAX(1,MIN(5,((6-$H636)*0.45)+($BJ636*0.2)+('Resilience &amp; Risk Scenario'!$B$7*0.15)+($BK636*0.1)+($BL636*0.05)+(IF($BB636="Fast",5,IF($BB636="Slow",1,3))*0.05))))</f>
        <v>3.5</v>
      </c>
      <c r="BQ636">
        <f t="shared" si="109"/>
        <v>5</v>
      </c>
      <c r="BR636">
        <f t="shared" si="110"/>
        <v>17.5</v>
      </c>
      <c r="BS636">
        <f t="shared" si="111"/>
        <v>16.36</v>
      </c>
      <c r="BT636" t="str">
        <f>IFERROR(INDEX(_REF_Capability_Bridge!$D:$D,MATCH($C636&amp;"|"&amp;$D636,_REF_Capability_Bridge!$J:$J,0)),IFERROR(INDEX(_REF_Capability_Bridge!$D:$D,MATCH($C636&amp;"|",_REF_Capability_Bridge!$J:$J,0)),"CAP_GENERIC"))</f>
        <v>CAP_REGULATORY_CONTINUITY</v>
      </c>
      <c r="BU636">
        <f>IFERROR(IFERROR(INDEX(_ENGINE_Relevance!$L:$L,MATCH($BT636,_ENGINE_Relevance!$B:$B,0)),1),1)</f>
        <v>1</v>
      </c>
      <c r="BV636" t="str">
        <f>IFERROR(INDEX(_REF_Capability_Bridge!$A:$A,MATCH($C636&amp;"|"&amp;$D636,_REF_Capability_Bridge!$J:$J,0)),IFERROR(INDEX(_REF_Capability_Bridge!$A:$A,MATCH($C636&amp;"|",_REF_Capability_Bridge!$J:$J,0)),"No bridge"))</f>
        <v>BRG-052</v>
      </c>
      <c r="BW636" t="str">
        <f t="shared" si="112"/>
        <v>Capability relevance neutral</v>
      </c>
      <c r="BX636" t="str">
        <f t="shared" si="113"/>
        <v>Initial / absent</v>
      </c>
      <c r="BY636" t="str">
        <f>IF($E636="","",IFERROR(INDEX(_REF_Treatment_Library!$A$2:$A$296,MATCH(1,INDEX((_REF_Treatment_Library!$B$2:$B$296=$BT636)*(_REF_Treatment_Library!$C$2:$C$296=PV_Canonical_Industry)*(_REF_Treatment_Library!$E$2:$E$296&lt;=N($H636))*(_REF_Treatment_Library!$F$2:$F$296&gt;=N($H636))*(_REF_Treatment_Library!$O$2:$O$296="Yes"),0),0)),IFERROR(INDEX(_REF_Treatment_Library!$A$2:$A$296,MATCH(1,INDEX((_REF_Treatment_Library!$B$2:$B$296=$BT636)*(_REF_Treatment_Library!$C$2:$C$296="All")*(_REF_Treatment_Library!$E$2:$E$296&lt;=N($H636))*(_REF_Treatment_Library!$F$2:$F$296&gt;=N($H636))*(_REF_Treatment_Library!$O$2:$O$296="Yes"),0),0)),"")))</f>
        <v>TRT-REGULATORY_CONTINUITY-INITIAL</v>
      </c>
      <c r="BZ636" t="str">
        <f>IF($BY636="","",IFERROR(INDEX(_REF_Treatment_Library!$H$2:$H$296,MATCH($BY636,_REF_Treatment_Library!$A$2:$A$296,0)),""))</f>
        <v>Establish</v>
      </c>
      <c r="CA636" t="str">
        <f>IF($BY636="","",IFERROR(INDEX(_REF_Treatment_Library!$I$2:$I$296,MATCH($BY636,_REF_Treatment_Library!$A$2:$A$296,0)),""))</f>
        <v>Establish baseline controls for Regulatory continuity</v>
      </c>
      <c r="CB636" t="str">
        <f>IF($BY636="","",IFERROR(INDEX(_REF_Treatment_Library!$K$2:$K$296,MATCH($BY636,_REF_Treatment_Library!$A$2:$A$296,0)),""))</f>
        <v>Named owner, baseline process, minimum control checklist, first evidence package</v>
      </c>
      <c r="CC636" t="str">
        <f>IF($BY636="","",IFERROR(INDEX(_REF_Treatment_Library!$L$2:$L$296,MATCH($BY636,_REF_Treatment_Library!$A$2:$A$296,0)),""))</f>
        <v>Owner assigned; baseline evidence coverage; open critical gaps</v>
      </c>
      <c r="CD636" t="str">
        <f t="shared" si="114"/>
        <v>Treatment by capability=CAP_REGULATORY_CONTINUITY; band=Initial / absent; score=0.0; treatment=Establish</v>
      </c>
      <c r="CE636" t="str">
        <f>IF($E636="","",IFERROR(INDEX(_REF_Industry_Wording!$A$2:$A$70,MATCH(1,INDEX((_REF_Industry_Wording!$B$2:$B$70=$BT636)*(_REF_Industry_Wording!$C$2:$C$70=PV_Canonical_Industry)*(_REF_Industry_Wording!$K$2:$K$70="Yes"),0),0)),IFERROR(INDEX(_REF_Industry_Wording!$A$2:$A$70,MATCH(1,INDEX((_REF_Industry_Wording!$B$2:$B$70=$BT636)*(_REF_Industry_Wording!$C$2:$C$70="All")*(_REF_Industry_Wording!$K$2:$K$70="Yes"),0),0)),"")))</f>
        <v>IW-ALL-REGULATORY_CONTINUITY</v>
      </c>
      <c r="CF636" t="str">
        <f>IF($CE636="","",IFERROR(INDEX(_REF_Industry_Wording!$E$2:$E$70,MATCH($CE636,_REF_Industry_Wording!$A$2:$A$70,0)),""))</f>
        <v>Regulatory continuity weakness</v>
      </c>
      <c r="CG636" t="str">
        <f>IF($CE636="","",IFERROR(INDEX(_REF_Industry_Wording!$F$2:$F$70,MATCH($CE636,_REF_Industry_Wording!$A$2:$A$70,0)),""))</f>
        <v>Strengthen Regulatory continuity</v>
      </c>
      <c r="CH636" t="str">
        <f>IF($CE636="","",IFERROR(INDEX(_REF_Industry_Wording!$G$2:$G$70,MATCH($CE636,_REF_Industry_Wording!$A$2:$A$70,0)),""))</f>
        <v>Strengthen Regulatory continuity using the selected maturity treatment, crisis scenario and evidence requirements.</v>
      </c>
      <c r="CI636" t="str">
        <f>IF($CE636="","",IFERROR(INDEX(_REF_Industry_Wording!$H$2:$H$70,MATCH($CE636,_REF_Industry_Wording!$A$2:$A$70,0)),""))</f>
        <v>Regulatory continuity</v>
      </c>
      <c r="CJ636">
        <f>IF($CE636="","",IFERROR(INDEX(_REF_Industry_Wording!$I$2:$I$70,MATCH($CE636,_REF_Industry_Wording!$A$2:$A$70,0)),""))</f>
        <v>0</v>
      </c>
      <c r="CK636" t="str">
        <f>IF($CE636="","",IFERROR(INDEX(_REF_Industry_Wording!$J$2:$J$70,MATCH($CE636,_REF_Industry_Wording!$A$2:$A$70,0)),""))</f>
        <v>Regulatory continuity</v>
      </c>
      <c r="CL636" t="str">
        <f t="shared" si="115"/>
        <v>Wording by industry=0; capability=CAP_REGULATORY_CONTINUITY; risk label=Regulatory continuity weakness</v>
      </c>
      <c r="CM636" t="str">
        <f t="shared" si="116"/>
        <v>RISK-ONT-0137</v>
      </c>
      <c r="CN636" t="str">
        <f t="shared" si="117"/>
        <v>RISK-EVT-0137</v>
      </c>
      <c r="CO636" t="str">
        <f t="shared" si="118"/>
        <v>Legal Risk|Data and IP|LEGA-018|CAP_REGULATORY_CONTINUITY</v>
      </c>
      <c r="CP636" t="str">
        <f t="shared" si="119"/>
        <v>Active</v>
      </c>
      <c r="CQ636" t="str">
        <f t="shared" si="120"/>
        <v>OK: capability-driven</v>
      </c>
      <c r="CR636" t="str">
        <f t="shared" si="121"/>
        <v>Risk ontology uses capability=CAP_REGULATORY_CONTINUITY; bridge=BRG-052; treatment=TRT-REGULATORY_CONTINUITY-INITIAL; wording=IW-ALL-REGULATORY_CONTINUITY</v>
      </c>
      <c r="CS636" t="str">
        <f t="shared" si="122"/>
        <v>Yes</v>
      </c>
    </row>
    <row r="637" spans="1:97" ht="69.900000000000006" customHeight="1">
      <c r="A637">
        <f>IF(OR($B637&lt;&gt;"Yes",$BS637=""),"",SUMPRODUCT(($B$500:$B$923="Yes")*ISNUMBER($BS$500:$BS$923)*($BS$500:$BS$923&gt;$BS637))+COUNTIFS($B$500:$B637,"Yes",$BS$500:$BS637,$BS637))</f>
        <v>285</v>
      </c>
      <c r="B637" t="str">
        <f t="shared" si="91"/>
        <v>Yes</v>
      </c>
      <c r="C637" t="s">
        <v>1551</v>
      </c>
      <c r="D637" t="s">
        <v>1582</v>
      </c>
      <c r="E637" t="s">
        <v>1643</v>
      </c>
      <c r="F637" t="s">
        <v>3684</v>
      </c>
      <c r="G637" t="str">
        <f>IF($H637="","",IFERROR(INDEX(_ENGINE_Risk!$H$5:$M$499,MATCH($E637,_ENGINE_Risk!$A$5:$A$499,0),$H637+1),""))</f>
        <v>Severe risk: legal options for relocation, evacuation, furlough, flexible work, terminations or hardship support by country is not reliably controlled. During Regulatory/legal shock; Contractual exposure; Data breach, the organization may face contractual disputes, compliance breaches, regulatory penalties and delayed legal response with limited visibility or accountability.</v>
      </c>
      <c r="H637">
        <f>IFERROR(VALUE(INDEX(_DATA_Assessment_Model!$H$5:$H$884,MATCH($E637,_DATA_Assessment_Model!$A$5:$A$884,0))),"")</f>
        <v>0</v>
      </c>
      <c r="I637" t="str">
        <f>IF($H637="","",IFERROR(INDEX(_DATA_Assessment_Model!$L$5:$L$884,MATCH($E637,_DATA_Assessment_Model!$A$5:$A$884,0)),IF($H637&lt;=1,"Critical",IF($H637=2,"High",IF($H637=3,"Medium",IF($H637=4,"Low","Resilient"))))))</f>
        <v>Critical</v>
      </c>
      <c r="J637">
        <f t="shared" si="92"/>
        <v>3.5</v>
      </c>
      <c r="K637">
        <f t="shared" si="93"/>
        <v>5</v>
      </c>
      <c r="L637">
        <f t="shared" si="94"/>
        <v>17.5</v>
      </c>
      <c r="M637">
        <f t="shared" si="95"/>
        <v>4</v>
      </c>
      <c r="N637">
        <f>IF($H637="","",IFERROR(INDEX(_ENGINE_Risk!$T$5:$Y$499,MATCH($E637,_ENGINE_Risk!$A$5:$A$499,0),$H637+1),""))</f>
        <v>3</v>
      </c>
      <c r="O637">
        <f t="shared" si="96"/>
        <v>4.333333333333333</v>
      </c>
      <c r="P637">
        <f t="shared" si="97"/>
        <v>5</v>
      </c>
      <c r="Q637">
        <f t="shared" si="98"/>
        <v>5</v>
      </c>
      <c r="R637">
        <f t="shared" si="99"/>
        <v>5</v>
      </c>
      <c r="S637">
        <f t="shared" si="100"/>
        <v>1.61</v>
      </c>
      <c r="T637" t="str">
        <f>IF($H637="","",IFERROR(INDEX(_ENGINE_Risk!$N$5:$S$499,MATCH($E637,_ENGINE_Risk!$A$5:$A$499,0),$H637+1),""))</f>
        <v>Create an immediate risk owner, minimum control baseline and fallback procedure for legal options for relocation, evacuation, furlough, flexible work, terminations or hardship support by country. Add it to the crisis risk register and collect first evidence.</v>
      </c>
      <c r="U637">
        <f>IFERROR(INDEX(_DATA_Assessment_Model!$G$5:$G$884,MATCH($E637,_DATA_Assessment_Model!$A$5:$A$884,0)),"")</f>
        <v>3</v>
      </c>
      <c r="V637">
        <f>IFERROR(INDEX(_DATA_Assessment_Model!$W$5:$W$884,MATCH($E637,_DATA_Assessment_Model!$A$5:$A$884,0)),"")</f>
        <v>5</v>
      </c>
      <c r="W637">
        <f>IFERROR(INDEX(_DATA_Assessment_Model!$X$5:$X$884,MATCH($E637,_DATA_Assessment_Model!$A$5:$A$884,0)),"")</f>
        <v>5</v>
      </c>
      <c r="X637">
        <f>IFERROR(INDEX(_DATA_Assessment_Model!$Y$5:$Y$884,MATCH($E637,_DATA_Assessment_Model!$A$5:$A$884,0)),"")</f>
        <v>5</v>
      </c>
      <c r="Y637" t="s">
        <v>1564</v>
      </c>
      <c r="Z637" t="s">
        <v>6289</v>
      </c>
      <c r="AA637" t="s">
        <v>1645</v>
      </c>
      <c r="AB637">
        <f>IFERROR(INDEX(_DATA_Assessment_Model!$U$5:$U$884,MATCH($E637,_DATA_Assessment_Model!$A$5:$A$884,0)),"")</f>
        <v>0</v>
      </c>
      <c r="AF637" t="s">
        <v>1644</v>
      </c>
      <c r="AO637">
        <f>IF($B637="Yes",IF(IFERROR(INDEX(_ENGINE_Crisis!$F$501:$F$517,MATCH($C637,_ENGINE_Crisis!$A$501:$A$517,0)),1)=0,1,IFERROR(INDEX(_ENGINE_Crisis!$F$501:$F$517,MATCH($C637,_ENGINE_Crisis!$A$501:$A$517,0)),1)),"")</f>
        <v>1</v>
      </c>
      <c r="AP637">
        <f t="shared" si="101"/>
        <v>17.5</v>
      </c>
      <c r="AQ637">
        <f t="shared" si="102"/>
        <v>1.61</v>
      </c>
      <c r="AR637" t="str">
        <f>IFERROR(INDEX(_ENGINE_Crisis!$E$41:$E$700,MATCH('Resilience &amp; Risk Scenario'!$B$6&amp;"|"&amp;$C637,_ENGINE_Crisis!$I$41:$I$700,0)),"")</f>
        <v/>
      </c>
      <c r="AS637" t="str">
        <f>IFERROR(INDEX(_ENGINE_Crisis!$G$41:$G$700,MATCH('Resilience &amp; Risk Scenario'!$B$6&amp;"|"&amp;$C637,_ENGINE_Crisis!$I$41:$I$700,0)),"")</f>
        <v/>
      </c>
      <c r="AT637" t="str">
        <f>IFERROR(INDEX(_ENGINE_Initiatives!$A$5:$A$532,MATCH(1,INDEX((_ENGINE_Initiatives!$B$5:$B$532=$C637)*(_ENGINE_Initiatives!$C$5:$C$532=$D637),0),0)),"")</f>
        <v>INI-022</v>
      </c>
      <c r="AU637" t="str">
        <f>IFERROR(INDEX(_ENGINE_Initiatives!$F$5:$F$532,MATCH(1,INDEX((_ENGINE_Initiatives!$B$5:$B$532=$C637)*(_ENGINE_Initiatives!$C$5:$C$532=$D637),0),0)),"")</f>
        <v>Prepare employment-law continuity and workforce-location compliance</v>
      </c>
      <c r="AV637">
        <f>IFERROR(INDEX(_ENGINE_Initiatives!$AC$5:$AC$532,MATCH(1,INDEX((_ENGINE_Initiatives!$B$5:$B$532=$C637)*(_ENGINE_Initiatives!$C$5:$C$532=$D637),0),0)),"")</f>
        <v>2.4700000000000002</v>
      </c>
      <c r="AW637" t="str">
        <f>IFERROR(INDEX(_ENGINE_Initiatives!$AE$5:$AE$532,MATCH(1,INDEX((_ENGINE_Initiatives!$B$5:$B$532=$C637)*(_ENGINE_Initiatives!$C$5:$C$532=$D637),0),0)),"")</f>
        <v>3-6 months</v>
      </c>
      <c r="AX637">
        <f>IF($B637="Yes",IFERROR((IF(SUMIFS(_REF_Model_Content!$E$1:$E$613,_REF_Model_Content!$A$1:$A$613,PV_Canonical_Industry,_REF_Model_Content!$B$1:$B$613,$C637)=0,1,SUMIFS(_REF_Model_Content!$E$1:$E$613,_REF_Model_Content!$A$1:$A$613,PV_Canonical_Industry,_REF_Model_Content!$B$1:$B$613,$C637))*IFERROR($BU637,1)),1),"")</f>
        <v>1</v>
      </c>
      <c r="AY637">
        <f t="shared" si="103"/>
        <v>17.5</v>
      </c>
      <c r="AZ637">
        <f t="shared" si="104"/>
        <v>1.61</v>
      </c>
      <c r="BB637" t="str">
        <f>IF($H637="","",IFERROR(INDEX(_ENGINE_Risk!$AE$5:$AE$499,MATCH($E637,_ENGINE_Risk!$A$5:$A$499,0)),"Medium"))</f>
        <v>Slow</v>
      </c>
      <c r="BC637">
        <f t="shared" si="105"/>
        <v>0.85</v>
      </c>
      <c r="BD637">
        <f t="shared" si="106"/>
        <v>1.61</v>
      </c>
      <c r="BF637">
        <f>IF(OR($H637="",$J637=""),"",IFERROR(VLOOKUP(ROUND($J637,0),_CONFIG_Model_Settings!$D$154:$E$158,2,0),""))</f>
        <v>0.5</v>
      </c>
      <c r="BG637">
        <f>IFERROR(IF(OR($H637="",$K637=""),"",ROUND('Company Profile'!$B$113*INDEX(_CONFIG_Model_Settings!$H$154:$H$158,MATCH(ROUND($K637,0),_CONFIG_Model_Settings!$G$154:$G$158,0)),0)),0)</f>
        <v>1875</v>
      </c>
      <c r="BH637">
        <f t="shared" si="107"/>
        <v>937.5</v>
      </c>
      <c r="BI637">
        <f t="shared" si="108"/>
        <v>937.5</v>
      </c>
      <c r="BJ637">
        <f>IF($E637="","",IFERROR(VLOOKUP($C637,_CONFIG_Risk_Calibration!$A$5:$H$21,2,FALSE),3))</f>
        <v>3</v>
      </c>
      <c r="BK637">
        <f>IF($E637="","",IFERROR(VLOOKUP($C637,_CONFIG_Risk_Calibration!$A$5:$H$21,3,FALSE),0))</f>
        <v>0</v>
      </c>
      <c r="BL637">
        <f>IF($E637="","",IFERROR(VLOOKUP($C637,_CONFIG_Risk_Calibration!$A$5:$H$21,4,FALSE),3))</f>
        <v>3</v>
      </c>
      <c r="BM637">
        <f>IF($E637="","",IFERROR(VLOOKUP($C637,_CONFIG_Risk_Calibration!$A$5:$H$21,5,FALSE),3))</f>
        <v>4</v>
      </c>
      <c r="BN637" t="str">
        <f>IF($E637="","",IFERROR(VLOOKUP($C637,_CONFIG_Risk_Calibration!$A$5:$H$21,6,FALSE),"No"))</f>
        <v>Yes</v>
      </c>
      <c r="BO637">
        <f>IF($E637="","",IFERROR(VLOOKUP($C637,_CONFIG_Risk_Calibration!$A$5:$H$21,7,FALSE),1))</f>
        <v>5</v>
      </c>
      <c r="BP637">
        <f>IF($H637="","",MAX(1,MIN(5,((6-$H637)*0.45)+($BJ637*0.2)+('Resilience &amp; Risk Scenario'!$B$7*0.15)+($BK637*0.1)+($BL637*0.05)+(IF($BB637="Fast",5,IF($BB637="Slow",1,3))*0.05))))</f>
        <v>3.5</v>
      </c>
      <c r="BQ637">
        <f t="shared" si="109"/>
        <v>5</v>
      </c>
      <c r="BR637">
        <f t="shared" si="110"/>
        <v>17.5</v>
      </c>
      <c r="BS637">
        <f t="shared" si="111"/>
        <v>16.36</v>
      </c>
      <c r="BT637" t="str">
        <f>IFERROR(INDEX(_REF_Capability_Bridge!$D:$D,MATCH($C637&amp;"|"&amp;$D637,_REF_Capability_Bridge!$J:$J,0)),IFERROR(INDEX(_REF_Capability_Bridge!$D:$D,MATCH($C637&amp;"|",_REF_Capability_Bridge!$J:$J,0)),"CAP_GENERIC"))</f>
        <v>CAP_REGULATORY_CONTINUITY</v>
      </c>
      <c r="BU637">
        <f>IFERROR(IFERROR(INDEX(_ENGINE_Relevance!$L:$L,MATCH($BT637,_ENGINE_Relevance!$B:$B,0)),1),1)</f>
        <v>1</v>
      </c>
      <c r="BV637" t="str">
        <f>IFERROR(INDEX(_REF_Capability_Bridge!$A:$A,MATCH($C637&amp;"|"&amp;$D637,_REF_Capability_Bridge!$J:$J,0)),IFERROR(INDEX(_REF_Capability_Bridge!$A:$A,MATCH($C637&amp;"|",_REF_Capability_Bridge!$J:$J,0)),"No bridge"))</f>
        <v>BRG-053</v>
      </c>
      <c r="BW637" t="str">
        <f t="shared" si="112"/>
        <v>Capability relevance neutral</v>
      </c>
      <c r="BX637" t="str">
        <f t="shared" si="113"/>
        <v>Initial / absent</v>
      </c>
      <c r="BY637" t="str">
        <f>IF($E637="","",IFERROR(INDEX(_REF_Treatment_Library!$A$2:$A$296,MATCH(1,INDEX((_REF_Treatment_Library!$B$2:$B$296=$BT637)*(_REF_Treatment_Library!$C$2:$C$296=PV_Canonical_Industry)*(_REF_Treatment_Library!$E$2:$E$296&lt;=N($H637))*(_REF_Treatment_Library!$F$2:$F$296&gt;=N($H637))*(_REF_Treatment_Library!$O$2:$O$296="Yes"),0),0)),IFERROR(INDEX(_REF_Treatment_Library!$A$2:$A$296,MATCH(1,INDEX((_REF_Treatment_Library!$B$2:$B$296=$BT637)*(_REF_Treatment_Library!$C$2:$C$296="All")*(_REF_Treatment_Library!$E$2:$E$296&lt;=N($H637))*(_REF_Treatment_Library!$F$2:$F$296&gt;=N($H637))*(_REF_Treatment_Library!$O$2:$O$296="Yes"),0),0)),"")))</f>
        <v>TRT-REGULATORY_CONTINUITY-INITIAL</v>
      </c>
      <c r="BZ637" t="str">
        <f>IF($BY637="","",IFERROR(INDEX(_REF_Treatment_Library!$H$2:$H$296,MATCH($BY637,_REF_Treatment_Library!$A$2:$A$296,0)),""))</f>
        <v>Establish</v>
      </c>
      <c r="CA637" t="str">
        <f>IF($BY637="","",IFERROR(INDEX(_REF_Treatment_Library!$I$2:$I$296,MATCH($BY637,_REF_Treatment_Library!$A$2:$A$296,0)),""))</f>
        <v>Establish baseline controls for Regulatory continuity</v>
      </c>
      <c r="CB637" t="str">
        <f>IF($BY637="","",IFERROR(INDEX(_REF_Treatment_Library!$K$2:$K$296,MATCH($BY637,_REF_Treatment_Library!$A$2:$A$296,0)),""))</f>
        <v>Named owner, baseline process, minimum control checklist, first evidence package</v>
      </c>
      <c r="CC637" t="str">
        <f>IF($BY637="","",IFERROR(INDEX(_REF_Treatment_Library!$L$2:$L$296,MATCH($BY637,_REF_Treatment_Library!$A$2:$A$296,0)),""))</f>
        <v>Owner assigned; baseline evidence coverage; open critical gaps</v>
      </c>
      <c r="CD637" t="str">
        <f t="shared" si="114"/>
        <v>Treatment by capability=CAP_REGULATORY_CONTINUITY; band=Initial / absent; score=0.0; treatment=Establish</v>
      </c>
      <c r="CE637" t="str">
        <f>IF($E637="","",IFERROR(INDEX(_REF_Industry_Wording!$A$2:$A$70,MATCH(1,INDEX((_REF_Industry_Wording!$B$2:$B$70=$BT637)*(_REF_Industry_Wording!$C$2:$C$70=PV_Canonical_Industry)*(_REF_Industry_Wording!$K$2:$K$70="Yes"),0),0)),IFERROR(INDEX(_REF_Industry_Wording!$A$2:$A$70,MATCH(1,INDEX((_REF_Industry_Wording!$B$2:$B$70=$BT637)*(_REF_Industry_Wording!$C$2:$C$70="All")*(_REF_Industry_Wording!$K$2:$K$70="Yes"),0),0)),"")))</f>
        <v>IW-ALL-REGULATORY_CONTINUITY</v>
      </c>
      <c r="CF637" t="str">
        <f>IF($CE637="","",IFERROR(INDEX(_REF_Industry_Wording!$E$2:$E$70,MATCH($CE637,_REF_Industry_Wording!$A$2:$A$70,0)),""))</f>
        <v>Regulatory continuity weakness</v>
      </c>
      <c r="CG637" t="str">
        <f>IF($CE637="","",IFERROR(INDEX(_REF_Industry_Wording!$F$2:$F$70,MATCH($CE637,_REF_Industry_Wording!$A$2:$A$70,0)),""))</f>
        <v>Strengthen Regulatory continuity</v>
      </c>
      <c r="CH637" t="str">
        <f>IF($CE637="","",IFERROR(INDEX(_REF_Industry_Wording!$G$2:$G$70,MATCH($CE637,_REF_Industry_Wording!$A$2:$A$70,0)),""))</f>
        <v>Strengthen Regulatory continuity using the selected maturity treatment, crisis scenario and evidence requirements.</v>
      </c>
      <c r="CI637" t="str">
        <f>IF($CE637="","",IFERROR(INDEX(_REF_Industry_Wording!$H$2:$H$70,MATCH($CE637,_REF_Industry_Wording!$A$2:$A$70,0)),""))</f>
        <v>Regulatory continuity</v>
      </c>
      <c r="CJ637">
        <f>IF($CE637="","",IFERROR(INDEX(_REF_Industry_Wording!$I$2:$I$70,MATCH($CE637,_REF_Industry_Wording!$A$2:$A$70,0)),""))</f>
        <v>0</v>
      </c>
      <c r="CK637" t="str">
        <f>IF($CE637="","",IFERROR(INDEX(_REF_Industry_Wording!$J$2:$J$70,MATCH($CE637,_REF_Industry_Wording!$A$2:$A$70,0)),""))</f>
        <v>Regulatory continuity</v>
      </c>
      <c r="CL637" t="str">
        <f t="shared" si="115"/>
        <v>Wording by industry=0; capability=CAP_REGULATORY_CONTINUITY; risk label=Regulatory continuity weakness</v>
      </c>
      <c r="CM637" t="str">
        <f t="shared" si="116"/>
        <v>RISK-ONT-0138</v>
      </c>
      <c r="CN637" t="str">
        <f t="shared" si="117"/>
        <v>RISK-EVT-0138</v>
      </c>
      <c r="CO637" t="str">
        <f t="shared" si="118"/>
        <v>Legal Risk|Employment law|LEGA-019|CAP_REGULATORY_CONTINUITY</v>
      </c>
      <c r="CP637" t="str">
        <f t="shared" si="119"/>
        <v>Active</v>
      </c>
      <c r="CQ637" t="str">
        <f t="shared" si="120"/>
        <v>OK: capability-driven</v>
      </c>
      <c r="CR637" t="str">
        <f t="shared" si="121"/>
        <v>Risk ontology uses capability=CAP_REGULATORY_CONTINUITY; bridge=BRG-053; treatment=TRT-REGULATORY_CONTINUITY-INITIAL; wording=IW-ALL-REGULATORY_CONTINUITY</v>
      </c>
      <c r="CS637" t="str">
        <f t="shared" si="122"/>
        <v>Yes</v>
      </c>
    </row>
    <row r="638" spans="1:97" ht="69.900000000000006" customHeight="1">
      <c r="A638">
        <f>IF(OR($B638&lt;&gt;"Yes",$BS638=""),"",SUMPRODUCT(($B$500:$B$923="Yes")*ISNUMBER($BS$500:$BS$923)*($BS$500:$BS$923&gt;$BS638))+COUNTIFS($B$500:$B638,"Yes",$BS$500:$BS638,$BS638))</f>
        <v>286</v>
      </c>
      <c r="B638" t="str">
        <f t="shared" si="91"/>
        <v>Yes</v>
      </c>
      <c r="C638" t="s">
        <v>1551</v>
      </c>
      <c r="D638" t="s">
        <v>1582</v>
      </c>
      <c r="E638" t="s">
        <v>1652</v>
      </c>
      <c r="F638" t="s">
        <v>3684</v>
      </c>
      <c r="G638" t="str">
        <f>IF($H638="","",IFERROR(INDEX(_ENGINE_Risk!$H$5:$M$499,MATCH($E638,_ENGINE_Risk!$A$5:$A$499,0),$H638+1),""))</f>
        <v>Severe risk: labor relations, works council or union obligations during restructuring or crisis measures is not reliably controlled. During Regulatory/legal shock; Contractual exposure; Data breach, the organization may face contractual disputes, compliance breaches, regulatory penalties and delayed legal response with limited visibility or accountability.</v>
      </c>
      <c r="H638">
        <f>IFERROR(VALUE(INDEX(_DATA_Assessment_Model!$H$5:$H$884,MATCH($E638,_DATA_Assessment_Model!$A$5:$A$884,0))),"")</f>
        <v>0</v>
      </c>
      <c r="I638" t="str">
        <f>IF($H638="","",IFERROR(INDEX(_DATA_Assessment_Model!$L$5:$L$884,MATCH($E638,_DATA_Assessment_Model!$A$5:$A$884,0)),IF($H638&lt;=1,"Critical",IF($H638=2,"High",IF($H638=3,"Medium",IF($H638=4,"Low","Resilient"))))))</f>
        <v>Critical</v>
      </c>
      <c r="J638">
        <f t="shared" si="92"/>
        <v>3.5</v>
      </c>
      <c r="K638">
        <f t="shared" si="93"/>
        <v>5</v>
      </c>
      <c r="L638">
        <f t="shared" si="94"/>
        <v>17.5</v>
      </c>
      <c r="M638">
        <f t="shared" si="95"/>
        <v>4</v>
      </c>
      <c r="N638">
        <f>IF($H638="","",IFERROR(INDEX(_ENGINE_Risk!$T$5:$Y$499,MATCH($E638,_ENGINE_Risk!$A$5:$A$499,0),$H638+1),""))</f>
        <v>3</v>
      </c>
      <c r="O638">
        <f t="shared" si="96"/>
        <v>5</v>
      </c>
      <c r="P638">
        <f t="shared" si="97"/>
        <v>5</v>
      </c>
      <c r="Q638">
        <f t="shared" si="98"/>
        <v>5</v>
      </c>
      <c r="R638">
        <f t="shared" si="99"/>
        <v>5</v>
      </c>
      <c r="S638">
        <f t="shared" si="100"/>
        <v>1.67</v>
      </c>
      <c r="T638" t="str">
        <f>IF($H638="","",IFERROR(INDEX(_ENGINE_Risk!$N$5:$S$499,MATCH($E638,_ENGINE_Risk!$A$5:$A$499,0),$H638+1),""))</f>
        <v>Create an immediate risk owner, minimum control baseline and fallback procedure for labor relations, works council or union obligations during restructuring or crisis measures. Add it to the crisis risk register and collect first evidence.</v>
      </c>
      <c r="U638">
        <f>IFERROR(INDEX(_DATA_Assessment_Model!$G$5:$G$884,MATCH($E638,_DATA_Assessment_Model!$A$5:$A$884,0)),"")</f>
        <v>5</v>
      </c>
      <c r="V638">
        <f>IFERROR(INDEX(_DATA_Assessment_Model!$W$5:$W$884,MATCH($E638,_DATA_Assessment_Model!$A$5:$A$884,0)),"")</f>
        <v>5</v>
      </c>
      <c r="W638">
        <f>IFERROR(INDEX(_DATA_Assessment_Model!$X$5:$X$884,MATCH($E638,_DATA_Assessment_Model!$A$5:$A$884,0)),"")</f>
        <v>5</v>
      </c>
      <c r="X638">
        <f>IFERROR(INDEX(_DATA_Assessment_Model!$Y$5:$Y$884,MATCH($E638,_DATA_Assessment_Model!$A$5:$A$884,0)),"")</f>
        <v>5</v>
      </c>
      <c r="Y638" t="s">
        <v>1564</v>
      </c>
      <c r="Z638" t="s">
        <v>6289</v>
      </c>
      <c r="AA638" t="s">
        <v>1654</v>
      </c>
      <c r="AB638">
        <f>IFERROR(INDEX(_DATA_Assessment_Model!$U$5:$U$884,MATCH($E638,_DATA_Assessment_Model!$A$5:$A$884,0)),"")</f>
        <v>0</v>
      </c>
      <c r="AF638" t="s">
        <v>1653</v>
      </c>
      <c r="AO638">
        <f>IF($B638="Yes",IF(IFERROR(INDEX(_ENGINE_Crisis!$F$501:$F$517,MATCH($C638,_ENGINE_Crisis!$A$501:$A$517,0)),1)=0,1,IFERROR(INDEX(_ENGINE_Crisis!$F$501:$F$517,MATCH($C638,_ENGINE_Crisis!$A$501:$A$517,0)),1)),"")</f>
        <v>1</v>
      </c>
      <c r="AP638">
        <f t="shared" si="101"/>
        <v>17.5</v>
      </c>
      <c r="AQ638">
        <f t="shared" si="102"/>
        <v>1.67</v>
      </c>
      <c r="AR638" t="str">
        <f>IFERROR(INDEX(_ENGINE_Crisis!$E$41:$E$700,MATCH('Resilience &amp; Risk Scenario'!$B$6&amp;"|"&amp;$C638,_ENGINE_Crisis!$I$41:$I$700,0)),"")</f>
        <v/>
      </c>
      <c r="AS638" t="str">
        <f>IFERROR(INDEX(_ENGINE_Crisis!$G$41:$G$700,MATCH('Resilience &amp; Risk Scenario'!$B$6&amp;"|"&amp;$C638,_ENGINE_Crisis!$I$41:$I$700,0)),"")</f>
        <v/>
      </c>
      <c r="AT638" t="str">
        <f>IFERROR(INDEX(_ENGINE_Initiatives!$A$5:$A$532,MATCH(1,INDEX((_ENGINE_Initiatives!$B$5:$B$532=$C638)*(_ENGINE_Initiatives!$C$5:$C$532=$D638),0),0)),"")</f>
        <v>INI-022</v>
      </c>
      <c r="AU638" t="str">
        <f>IFERROR(INDEX(_ENGINE_Initiatives!$F$5:$F$532,MATCH(1,INDEX((_ENGINE_Initiatives!$B$5:$B$532=$C638)*(_ENGINE_Initiatives!$C$5:$C$532=$D638),0),0)),"")</f>
        <v>Prepare employment-law continuity and workforce-location compliance</v>
      </c>
      <c r="AV638">
        <f>IFERROR(INDEX(_ENGINE_Initiatives!$AC$5:$AC$532,MATCH(1,INDEX((_ENGINE_Initiatives!$B$5:$B$532=$C638)*(_ENGINE_Initiatives!$C$5:$C$532=$D638),0),0)),"")</f>
        <v>2.4700000000000002</v>
      </c>
      <c r="AW638" t="str">
        <f>IFERROR(INDEX(_ENGINE_Initiatives!$AE$5:$AE$532,MATCH(1,INDEX((_ENGINE_Initiatives!$B$5:$B$532=$C638)*(_ENGINE_Initiatives!$C$5:$C$532=$D638),0),0)),"")</f>
        <v>3-6 months</v>
      </c>
      <c r="AX638">
        <f>IF($B638="Yes",IFERROR((IF(SUMIFS(_REF_Model_Content!$E$1:$E$613,_REF_Model_Content!$A$1:$A$613,PV_Canonical_Industry,_REF_Model_Content!$B$1:$B$613,$C638)=0,1,SUMIFS(_REF_Model_Content!$E$1:$E$613,_REF_Model_Content!$A$1:$A$613,PV_Canonical_Industry,_REF_Model_Content!$B$1:$B$613,$C638))*IFERROR($BU638,1)),1),"")</f>
        <v>1</v>
      </c>
      <c r="AY638">
        <f t="shared" si="103"/>
        <v>17.5</v>
      </c>
      <c r="AZ638">
        <f t="shared" si="104"/>
        <v>1.67</v>
      </c>
      <c r="BB638" t="str">
        <f>IF($H638="","",IFERROR(INDEX(_ENGINE_Risk!$AE$5:$AE$499,MATCH($E638,_ENGINE_Risk!$A$5:$A$499,0)),"Medium"))</f>
        <v>Slow</v>
      </c>
      <c r="BC638">
        <f t="shared" si="105"/>
        <v>0.85</v>
      </c>
      <c r="BD638">
        <f t="shared" si="106"/>
        <v>1.67</v>
      </c>
      <c r="BF638">
        <f>IF(OR($H638="",$J638=""),"",IFERROR(VLOOKUP(ROUND($J638,0),_CONFIG_Model_Settings!$D$154:$E$158,2,0),""))</f>
        <v>0.5</v>
      </c>
      <c r="BG638">
        <f>IFERROR(IF(OR($H638="",$K638=""),"",ROUND('Company Profile'!$B$113*INDEX(_CONFIG_Model_Settings!$H$154:$H$158,MATCH(ROUND($K638,0),_CONFIG_Model_Settings!$G$154:$G$158,0)),0)),0)</f>
        <v>1875</v>
      </c>
      <c r="BH638">
        <f t="shared" si="107"/>
        <v>937.5</v>
      </c>
      <c r="BI638">
        <f t="shared" si="108"/>
        <v>937.5</v>
      </c>
      <c r="BJ638">
        <f>IF($E638="","",IFERROR(VLOOKUP($C638,_CONFIG_Risk_Calibration!$A$5:$H$21,2,FALSE),3))</f>
        <v>3</v>
      </c>
      <c r="BK638">
        <f>IF($E638="","",IFERROR(VLOOKUP($C638,_CONFIG_Risk_Calibration!$A$5:$H$21,3,FALSE),0))</f>
        <v>0</v>
      </c>
      <c r="BL638">
        <f>IF($E638="","",IFERROR(VLOOKUP($C638,_CONFIG_Risk_Calibration!$A$5:$H$21,4,FALSE),3))</f>
        <v>3</v>
      </c>
      <c r="BM638">
        <f>IF($E638="","",IFERROR(VLOOKUP($C638,_CONFIG_Risk_Calibration!$A$5:$H$21,5,FALSE),3))</f>
        <v>4</v>
      </c>
      <c r="BN638" t="str">
        <f>IF($E638="","",IFERROR(VLOOKUP($C638,_CONFIG_Risk_Calibration!$A$5:$H$21,6,FALSE),"No"))</f>
        <v>Yes</v>
      </c>
      <c r="BO638">
        <f>IF($E638="","",IFERROR(VLOOKUP($C638,_CONFIG_Risk_Calibration!$A$5:$H$21,7,FALSE),1))</f>
        <v>5</v>
      </c>
      <c r="BP638">
        <f>IF($H638="","",MAX(1,MIN(5,((6-$H638)*0.45)+($BJ638*0.2)+('Resilience &amp; Risk Scenario'!$B$7*0.15)+($BK638*0.1)+($BL638*0.05)+(IF($BB638="Fast",5,IF($BB638="Slow",1,3))*0.05))))</f>
        <v>3.5</v>
      </c>
      <c r="BQ638">
        <f t="shared" si="109"/>
        <v>5</v>
      </c>
      <c r="BR638">
        <f t="shared" si="110"/>
        <v>17.5</v>
      </c>
      <c r="BS638">
        <f t="shared" si="111"/>
        <v>16.36</v>
      </c>
      <c r="BT638" t="str">
        <f>IFERROR(INDEX(_REF_Capability_Bridge!$D:$D,MATCH($C638&amp;"|"&amp;$D638,_REF_Capability_Bridge!$J:$J,0)),IFERROR(INDEX(_REF_Capability_Bridge!$D:$D,MATCH($C638&amp;"|",_REF_Capability_Bridge!$J:$J,0)),"CAP_GENERIC"))</f>
        <v>CAP_REGULATORY_CONTINUITY</v>
      </c>
      <c r="BU638">
        <f>IFERROR(IFERROR(INDEX(_ENGINE_Relevance!$L:$L,MATCH($BT638,_ENGINE_Relevance!$B:$B,0)),1),1)</f>
        <v>1</v>
      </c>
      <c r="BV638" t="str">
        <f>IFERROR(INDEX(_REF_Capability_Bridge!$A:$A,MATCH($C638&amp;"|"&amp;$D638,_REF_Capability_Bridge!$J:$J,0)),IFERROR(INDEX(_REF_Capability_Bridge!$A:$A,MATCH($C638&amp;"|",_REF_Capability_Bridge!$J:$J,0)),"No bridge"))</f>
        <v>BRG-053</v>
      </c>
      <c r="BW638" t="str">
        <f t="shared" si="112"/>
        <v>Capability relevance neutral</v>
      </c>
      <c r="BX638" t="str">
        <f t="shared" si="113"/>
        <v>Initial / absent</v>
      </c>
      <c r="BY638" t="str">
        <f>IF($E638="","",IFERROR(INDEX(_REF_Treatment_Library!$A$2:$A$296,MATCH(1,INDEX((_REF_Treatment_Library!$B$2:$B$296=$BT638)*(_REF_Treatment_Library!$C$2:$C$296=PV_Canonical_Industry)*(_REF_Treatment_Library!$E$2:$E$296&lt;=N($H638))*(_REF_Treatment_Library!$F$2:$F$296&gt;=N($H638))*(_REF_Treatment_Library!$O$2:$O$296="Yes"),0),0)),IFERROR(INDEX(_REF_Treatment_Library!$A$2:$A$296,MATCH(1,INDEX((_REF_Treatment_Library!$B$2:$B$296=$BT638)*(_REF_Treatment_Library!$C$2:$C$296="All")*(_REF_Treatment_Library!$E$2:$E$296&lt;=N($H638))*(_REF_Treatment_Library!$F$2:$F$296&gt;=N($H638))*(_REF_Treatment_Library!$O$2:$O$296="Yes"),0),0)),"")))</f>
        <v>TRT-REGULATORY_CONTINUITY-INITIAL</v>
      </c>
      <c r="BZ638" t="str">
        <f>IF($BY638="","",IFERROR(INDEX(_REF_Treatment_Library!$H$2:$H$296,MATCH($BY638,_REF_Treatment_Library!$A$2:$A$296,0)),""))</f>
        <v>Establish</v>
      </c>
      <c r="CA638" t="str">
        <f>IF($BY638="","",IFERROR(INDEX(_REF_Treatment_Library!$I$2:$I$296,MATCH($BY638,_REF_Treatment_Library!$A$2:$A$296,0)),""))</f>
        <v>Establish baseline controls for Regulatory continuity</v>
      </c>
      <c r="CB638" t="str">
        <f>IF($BY638="","",IFERROR(INDEX(_REF_Treatment_Library!$K$2:$K$296,MATCH($BY638,_REF_Treatment_Library!$A$2:$A$296,0)),""))</f>
        <v>Named owner, baseline process, minimum control checklist, first evidence package</v>
      </c>
      <c r="CC638" t="str">
        <f>IF($BY638="","",IFERROR(INDEX(_REF_Treatment_Library!$L$2:$L$296,MATCH($BY638,_REF_Treatment_Library!$A$2:$A$296,0)),""))</f>
        <v>Owner assigned; baseline evidence coverage; open critical gaps</v>
      </c>
      <c r="CD638" t="str">
        <f t="shared" si="114"/>
        <v>Treatment by capability=CAP_REGULATORY_CONTINUITY; band=Initial / absent; score=0.0; treatment=Establish</v>
      </c>
      <c r="CE638" t="str">
        <f>IF($E638="","",IFERROR(INDEX(_REF_Industry_Wording!$A$2:$A$70,MATCH(1,INDEX((_REF_Industry_Wording!$B$2:$B$70=$BT638)*(_REF_Industry_Wording!$C$2:$C$70=PV_Canonical_Industry)*(_REF_Industry_Wording!$K$2:$K$70="Yes"),0),0)),IFERROR(INDEX(_REF_Industry_Wording!$A$2:$A$70,MATCH(1,INDEX((_REF_Industry_Wording!$B$2:$B$70=$BT638)*(_REF_Industry_Wording!$C$2:$C$70="All")*(_REF_Industry_Wording!$K$2:$K$70="Yes"),0),0)),"")))</f>
        <v>IW-ALL-REGULATORY_CONTINUITY</v>
      </c>
      <c r="CF638" t="str">
        <f>IF($CE638="","",IFERROR(INDEX(_REF_Industry_Wording!$E$2:$E$70,MATCH($CE638,_REF_Industry_Wording!$A$2:$A$70,0)),""))</f>
        <v>Regulatory continuity weakness</v>
      </c>
      <c r="CG638" t="str">
        <f>IF($CE638="","",IFERROR(INDEX(_REF_Industry_Wording!$F$2:$F$70,MATCH($CE638,_REF_Industry_Wording!$A$2:$A$70,0)),""))</f>
        <v>Strengthen Regulatory continuity</v>
      </c>
      <c r="CH638" t="str">
        <f>IF($CE638="","",IFERROR(INDEX(_REF_Industry_Wording!$G$2:$G$70,MATCH($CE638,_REF_Industry_Wording!$A$2:$A$70,0)),""))</f>
        <v>Strengthen Regulatory continuity using the selected maturity treatment, crisis scenario and evidence requirements.</v>
      </c>
      <c r="CI638" t="str">
        <f>IF($CE638="","",IFERROR(INDEX(_REF_Industry_Wording!$H$2:$H$70,MATCH($CE638,_REF_Industry_Wording!$A$2:$A$70,0)),""))</f>
        <v>Regulatory continuity</v>
      </c>
      <c r="CJ638">
        <f>IF($CE638="","",IFERROR(INDEX(_REF_Industry_Wording!$I$2:$I$70,MATCH($CE638,_REF_Industry_Wording!$A$2:$A$70,0)),""))</f>
        <v>0</v>
      </c>
      <c r="CK638" t="str">
        <f>IF($CE638="","",IFERROR(INDEX(_REF_Industry_Wording!$J$2:$J$70,MATCH($CE638,_REF_Industry_Wording!$A$2:$A$70,0)),""))</f>
        <v>Regulatory continuity</v>
      </c>
      <c r="CL638" t="str">
        <f t="shared" si="115"/>
        <v>Wording by industry=0; capability=CAP_REGULATORY_CONTINUITY; risk label=Regulatory continuity weakness</v>
      </c>
      <c r="CM638" t="str">
        <f t="shared" si="116"/>
        <v>RISK-ONT-0139</v>
      </c>
      <c r="CN638" t="str">
        <f t="shared" si="117"/>
        <v>RISK-EVT-0139</v>
      </c>
      <c r="CO638" t="str">
        <f t="shared" si="118"/>
        <v>Legal Risk|Employment law|LEGA-020|CAP_REGULATORY_CONTINUITY</v>
      </c>
      <c r="CP638" t="str">
        <f t="shared" si="119"/>
        <v>Active</v>
      </c>
      <c r="CQ638" t="str">
        <f t="shared" si="120"/>
        <v>OK: capability-driven</v>
      </c>
      <c r="CR638" t="str">
        <f t="shared" si="121"/>
        <v>Risk ontology uses capability=CAP_REGULATORY_CONTINUITY; bridge=BRG-053; treatment=TRT-REGULATORY_CONTINUITY-INITIAL; wording=IW-ALL-REGULATORY_CONTINUITY</v>
      </c>
      <c r="CS638" t="str">
        <f t="shared" si="122"/>
        <v>Yes</v>
      </c>
    </row>
    <row r="639" spans="1:97" ht="69.900000000000006" customHeight="1">
      <c r="A639">
        <f>IF(OR($B639&lt;&gt;"Yes",$BS639=""),"",SUMPRODUCT(($B$500:$B$923="Yes")*ISNUMBER($BS$500:$BS$923)*($BS$500:$BS$923&gt;$BS639))+COUNTIFS($B$500:$B639,"Yes",$BS$500:$BS639,$BS639))</f>
        <v>150</v>
      </c>
      <c r="B639" t="str">
        <f t="shared" si="91"/>
        <v>Yes</v>
      </c>
      <c r="C639" t="s">
        <v>1551</v>
      </c>
      <c r="D639" t="s">
        <v>1553</v>
      </c>
      <c r="E639" t="s">
        <v>1655</v>
      </c>
      <c r="F639" t="s">
        <v>6557</v>
      </c>
      <c r="G639" t="str">
        <f>IF($H639="","",IFERROR(INDEX(_ENGINE_Risk!$H$5:$M$499,MATCH($E639,_ENGINE_Risk!$A$5:$A$499,0),$H639+1),""))</f>
        <v>Severe risk: litigation and dispute portfolio management with a dispute register, external counsel panel and budget control is not reliably controlled. During Regulatory/legal shock; Financial/liquidity crisis, the organization may face unmanaged dispute exposure, surprise legal costs and weak positions in crisis-driven conflicts with limited visibility or accountability.</v>
      </c>
      <c r="H639">
        <f>IFERROR(VALUE(INDEX(_DATA_Assessment_Model!$H$5:$H$884,MATCH($E639,_DATA_Assessment_Model!$A$5:$A$884,0))),"")</f>
        <v>0</v>
      </c>
      <c r="I639" t="str">
        <f>IF($H639="","",IFERROR(INDEX(_DATA_Assessment_Model!$L$5:$L$884,MATCH($E639,_DATA_Assessment_Model!$A$5:$A$884,0)),IF($H639&lt;=1,"Critical",IF($H639=2,"High",IF($H639=3,"Medium",IF($H639=4,"Low","Resilient"))))))</f>
        <v>Critical</v>
      </c>
      <c r="J639">
        <f t="shared" si="92"/>
        <v>3.6</v>
      </c>
      <c r="K639">
        <f t="shared" si="93"/>
        <v>5</v>
      </c>
      <c r="L639">
        <f t="shared" si="94"/>
        <v>18</v>
      </c>
      <c r="M639">
        <f t="shared" si="95"/>
        <v>4</v>
      </c>
      <c r="N639">
        <f>IF($H639="","",IFERROR(INDEX(_ENGINE_Risk!$T$5:$Y$499,MATCH($E639,_ENGINE_Risk!$A$5:$A$499,0),$H639+1),""))</f>
        <v>2</v>
      </c>
      <c r="O639">
        <f t="shared" si="96"/>
        <v>3.3333333333333335</v>
      </c>
      <c r="P639">
        <f t="shared" si="97"/>
        <v>5</v>
      </c>
      <c r="Q639">
        <f t="shared" si="98"/>
        <v>4.3</v>
      </c>
      <c r="R639">
        <f t="shared" si="99"/>
        <v>3.5</v>
      </c>
      <c r="S639">
        <f t="shared" si="100"/>
        <v>2.02</v>
      </c>
      <c r="T639" t="str">
        <f>IF($H639="","",IFERROR(INDEX(_ENGINE_Risk!$N$5:$S$499,MATCH($E639,_ENGINE_Risk!$A$5:$A$499,0),$H639+1),""))</f>
        <v>Create an immediate risk owner, minimum control baseline and fallback procedure for litigation and dispute portfolio management with a dispute register, external counsel panel and budget control. Add it to the crisis risk register and collect first evidence.</v>
      </c>
      <c r="U639">
        <f>IFERROR(INDEX(_DATA_Assessment_Model!$G$5:$G$884,MATCH($E639,_DATA_Assessment_Model!$A$5:$A$884,0)),"")</f>
        <v>3</v>
      </c>
      <c r="V639">
        <f>IFERROR(INDEX(_DATA_Assessment_Model!$W$5:$W$884,MATCH($E639,_DATA_Assessment_Model!$A$5:$A$884,0)),"")</f>
        <v>3</v>
      </c>
      <c r="W639">
        <f>IFERROR(INDEX(_DATA_Assessment_Model!$X$5:$X$884,MATCH($E639,_DATA_Assessment_Model!$A$5:$A$884,0)),"")</f>
        <v>3</v>
      </c>
      <c r="X639">
        <f>IFERROR(INDEX(_DATA_Assessment_Model!$Y$5:$Y$884,MATCH($E639,_DATA_Assessment_Model!$A$5:$A$884,0)),"")</f>
        <v>4</v>
      </c>
      <c r="Y639" t="s">
        <v>1665</v>
      </c>
      <c r="Z639" t="s">
        <v>6572</v>
      </c>
      <c r="AA639" t="s">
        <v>6571</v>
      </c>
      <c r="AB639">
        <f>IFERROR(INDEX(_DATA_Assessment_Model!$U$5:$U$884,MATCH($E639,_DATA_Assessment_Model!$A$5:$A$884,0)),"")</f>
        <v>0</v>
      </c>
      <c r="AF639" t="s">
        <v>1656</v>
      </c>
      <c r="AO639">
        <f>IF($B639="Yes",IF(IFERROR(INDEX(_ENGINE_Crisis!$F$501:$F$517,MATCH($C639,_ENGINE_Crisis!$A$501:$A$517,0)),1)=0,1,IFERROR(INDEX(_ENGINE_Crisis!$F$501:$F$517,MATCH($C639,_ENGINE_Crisis!$A$501:$A$517,0)),1)),"")</f>
        <v>1</v>
      </c>
      <c r="AP639">
        <f t="shared" si="101"/>
        <v>18</v>
      </c>
      <c r="AQ639">
        <f t="shared" si="102"/>
        <v>2.02</v>
      </c>
      <c r="AR639" t="str">
        <f>IFERROR(INDEX(_ENGINE_Crisis!$E$41:$E$700,MATCH('Resilience &amp; Risk Scenario'!$B$6&amp;"|"&amp;$C639,_ENGINE_Crisis!$I$41:$I$700,0)),"")</f>
        <v/>
      </c>
      <c r="AS639" t="str">
        <f>IFERROR(INDEX(_ENGINE_Crisis!$G$41:$G$700,MATCH('Resilience &amp; Risk Scenario'!$B$6&amp;"|"&amp;$C639,_ENGINE_Crisis!$I$41:$I$700,0)),"")</f>
        <v/>
      </c>
      <c r="AT639" t="str">
        <f>IFERROR(INDEX(_ENGINE_Initiatives!$A$5:$A$532,MATCH(1,INDEX((_ENGINE_Initiatives!$B$5:$B$532=$C639)*(_ENGINE_Initiatives!$C$5:$C$532=$D639),0),0)),"")</f>
        <v>INI-019</v>
      </c>
      <c r="AU639" t="str">
        <f>IFERROR(INDEX(_ENGINE_Initiatives!$F$5:$F$532,MATCH(1,INDEX((_ENGINE_Initiatives!$B$5:$B$532=$C639)*(_ENGINE_Initiatives!$C$5:$C$532=$D639),0),0)),"")</f>
        <v>Implement compliance obligation monitoring and crisis legal controls</v>
      </c>
      <c r="AV639">
        <f>IFERROR(INDEX(_ENGINE_Initiatives!$AC$5:$AC$532,MATCH(1,INDEX((_ENGINE_Initiatives!$B$5:$B$532=$C639)*(_ENGINE_Initiatives!$C$5:$C$532=$D639),0),0)),"")</f>
        <v>2.61</v>
      </c>
      <c r="AW639" t="str">
        <f>IFERROR(INDEX(_ENGINE_Initiatives!$AE$5:$AE$532,MATCH(1,INDEX((_ENGINE_Initiatives!$B$5:$B$532=$C639)*(_ENGINE_Initiatives!$C$5:$C$532=$D639),0),0)),"")</f>
        <v>0-90 days</v>
      </c>
      <c r="AX639">
        <f>IF($B639="Yes",IFERROR((IF(SUMIFS(_REF_Model_Content!$E$1:$E$613,_REF_Model_Content!$A$1:$A$613,PV_Canonical_Industry,_REF_Model_Content!$B$1:$B$613,$C639)=0,1,SUMIFS(_REF_Model_Content!$E$1:$E$613,_REF_Model_Content!$A$1:$A$613,PV_Canonical_Industry,_REF_Model_Content!$B$1:$B$613,$C639))*IFERROR($BU639,1)),1),"")</f>
        <v>1</v>
      </c>
      <c r="AY639">
        <f t="shared" si="103"/>
        <v>18</v>
      </c>
      <c r="AZ639">
        <f t="shared" si="104"/>
        <v>2.02</v>
      </c>
      <c r="BB639" t="str">
        <f>IF($H639="","",IFERROR(INDEX(_ENGINE_Risk!$AE$5:$AE$499,MATCH($E639,_ENGINE_Risk!$A$5:$A$499,0)),"Medium"))</f>
        <v>Medium</v>
      </c>
      <c r="BC639">
        <f t="shared" si="105"/>
        <v>1</v>
      </c>
      <c r="BD639">
        <f t="shared" si="106"/>
        <v>2.02</v>
      </c>
      <c r="BF639">
        <f>IF(OR($H639="",$J639=""),"",IFERROR(VLOOKUP(ROUND($J639,0),_CONFIG_Model_Settings!$D$154:$E$158,2,0),""))</f>
        <v>0.5</v>
      </c>
      <c r="BG639">
        <f>IFERROR(IF(OR($H639="",$K639=""),"",ROUND('Company Profile'!$B$113*INDEX(_CONFIG_Model_Settings!$H$154:$H$158,MATCH(ROUND($K639,0),_CONFIG_Model_Settings!$G$154:$G$158,0)),0)),0)</f>
        <v>1875</v>
      </c>
      <c r="BH639">
        <f t="shared" si="107"/>
        <v>937.5</v>
      </c>
      <c r="BI639">
        <f t="shared" si="108"/>
        <v>937.5</v>
      </c>
      <c r="BJ639">
        <f>IF($E639="","",IFERROR(VLOOKUP($C639,_CONFIG_Risk_Calibration!$A$5:$H$21,2,FALSE),3))</f>
        <v>3</v>
      </c>
      <c r="BK639">
        <f>IF($E639="","",IFERROR(VLOOKUP($C639,_CONFIG_Risk_Calibration!$A$5:$H$21,3,FALSE),0))</f>
        <v>0</v>
      </c>
      <c r="BL639">
        <f>IF($E639="","",IFERROR(VLOOKUP($C639,_CONFIG_Risk_Calibration!$A$5:$H$21,4,FALSE),3))</f>
        <v>3</v>
      </c>
      <c r="BM639">
        <f>IF($E639="","",IFERROR(VLOOKUP($C639,_CONFIG_Risk_Calibration!$A$5:$H$21,5,FALSE),3))</f>
        <v>4</v>
      </c>
      <c r="BN639" t="str">
        <f>IF($E639="","",IFERROR(VLOOKUP($C639,_CONFIG_Risk_Calibration!$A$5:$H$21,6,FALSE),"No"))</f>
        <v>Yes</v>
      </c>
      <c r="BO639">
        <f>IF($E639="","",IFERROR(VLOOKUP($C639,_CONFIG_Risk_Calibration!$A$5:$H$21,7,FALSE),1))</f>
        <v>5</v>
      </c>
      <c r="BP639">
        <f>IF($H639="","",MAX(1,MIN(5,((6-$H639)*0.45)+($BJ639*0.2)+('Resilience &amp; Risk Scenario'!$B$7*0.15)+($BK639*0.1)+($BL639*0.05)+(IF($BB639="Fast",5,IF($BB639="Slow",1,3))*0.05))))</f>
        <v>3.6</v>
      </c>
      <c r="BQ639">
        <f t="shared" si="109"/>
        <v>5</v>
      </c>
      <c r="BR639">
        <f t="shared" si="110"/>
        <v>18</v>
      </c>
      <c r="BS639">
        <f t="shared" si="111"/>
        <v>19.8</v>
      </c>
      <c r="BT639" t="str">
        <f>IFERROR(INDEX(_REF_Capability_Bridge!$D:$D,MATCH($C639&amp;"|"&amp;$D639,_REF_Capability_Bridge!$J:$J,0)),IFERROR(INDEX(_REF_Capability_Bridge!$D:$D,MATCH($C639&amp;"|",_REF_Capability_Bridge!$J:$J,0)),"CAP_GENERIC"))</f>
        <v>CAP_PAYMENT_CONTINUITY</v>
      </c>
      <c r="BU639">
        <f>IFERROR(IFERROR(INDEX(_ENGINE_Relevance!$L:$L,MATCH($BT639,_ENGINE_Relevance!$B:$B,0)),1),1)</f>
        <v>1</v>
      </c>
      <c r="BV639" t="str">
        <f>IFERROR(INDEX(_REF_Capability_Bridge!$A:$A,MATCH($C639&amp;"|"&amp;$D639,_REF_Capability_Bridge!$J:$J,0)),IFERROR(INDEX(_REF_Capability_Bridge!$A:$A,MATCH($C639&amp;"|",_REF_Capability_Bridge!$J:$J,0)),"No bridge"))</f>
        <v>BRG-050</v>
      </c>
      <c r="BW639" t="str">
        <f t="shared" si="112"/>
        <v>Capability relevance neutral</v>
      </c>
      <c r="BX639" t="str">
        <f t="shared" si="113"/>
        <v>Initial / absent</v>
      </c>
      <c r="BY639" t="str">
        <f>IF($E639="","",IFERROR(INDEX(_REF_Treatment_Library!$A$2:$A$296,MATCH(1,INDEX((_REF_Treatment_Library!$B$2:$B$296=$BT639)*(_REF_Treatment_Library!$C$2:$C$296=PV_Canonical_Industry)*(_REF_Treatment_Library!$E$2:$E$296&lt;=N($H639))*(_REF_Treatment_Library!$F$2:$F$296&gt;=N($H639))*(_REF_Treatment_Library!$O$2:$O$296="Yes"),0),0)),IFERROR(INDEX(_REF_Treatment_Library!$A$2:$A$296,MATCH(1,INDEX((_REF_Treatment_Library!$B$2:$B$296=$BT639)*(_REF_Treatment_Library!$C$2:$C$296="All")*(_REF_Treatment_Library!$E$2:$E$296&lt;=N($H639))*(_REF_Treatment_Library!$F$2:$F$296&gt;=N($H639))*(_REF_Treatment_Library!$O$2:$O$296="Yes"),0),0)),"")))</f>
        <v>TRT-PAYMENT_CONTINUITY-INITIAL</v>
      </c>
      <c r="BZ639" t="str">
        <f>IF($BY639="","",IFERROR(INDEX(_REF_Treatment_Library!$H$2:$H$296,MATCH($BY639,_REF_Treatment_Library!$A$2:$A$296,0)),""))</f>
        <v>Establish</v>
      </c>
      <c r="CA639" t="str">
        <f>IF($BY639="","",IFERROR(INDEX(_REF_Treatment_Library!$I$2:$I$296,MATCH($BY639,_REF_Treatment_Library!$A$2:$A$296,0)),""))</f>
        <v>Establish baseline controls for Payment continuity</v>
      </c>
      <c r="CB639" t="str">
        <f>IF($BY639="","",IFERROR(INDEX(_REF_Treatment_Library!$K$2:$K$296,MATCH($BY639,_REF_Treatment_Library!$A$2:$A$296,0)),""))</f>
        <v>Named owner, baseline process, minimum control checklist, first evidence package</v>
      </c>
      <c r="CC639" t="str">
        <f>IF($BY639="","",IFERROR(INDEX(_REF_Treatment_Library!$L$2:$L$296,MATCH($BY639,_REF_Treatment_Library!$A$2:$A$296,0)),""))</f>
        <v>Owner assigned; baseline evidence coverage; open critical gaps</v>
      </c>
      <c r="CD639" t="str">
        <f t="shared" si="114"/>
        <v>Treatment by capability=CAP_PAYMENT_CONTINUITY; band=Initial / absent; score=0.0; treatment=Establish</v>
      </c>
      <c r="CE639" t="str">
        <f>IF($E639="","",IFERROR(INDEX(_REF_Industry_Wording!$A$2:$A$70,MATCH(1,INDEX((_REF_Industry_Wording!$B$2:$B$70=$BT639)*(_REF_Industry_Wording!$C$2:$C$70=PV_Canonical_Industry)*(_REF_Industry_Wording!$K$2:$K$70="Yes"),0),0)),IFERROR(INDEX(_REF_Industry_Wording!$A$2:$A$70,MATCH(1,INDEX((_REF_Industry_Wording!$B$2:$B$70=$BT639)*(_REF_Industry_Wording!$C$2:$C$70="All")*(_REF_Industry_Wording!$K$2:$K$70="Yes"),0),0)),"")))</f>
        <v>IW-ALL-PAYMENT_CONTINUITY</v>
      </c>
      <c r="CF639" t="str">
        <f>IF($CE639="","",IFERROR(INDEX(_REF_Industry_Wording!$E$2:$E$70,MATCH($CE639,_REF_Industry_Wording!$A$2:$A$70,0)),""))</f>
        <v>Payment continuity weakness</v>
      </c>
      <c r="CG639" t="str">
        <f>IF($CE639="","",IFERROR(INDEX(_REF_Industry_Wording!$F$2:$F$70,MATCH($CE639,_REF_Industry_Wording!$A$2:$A$70,0)),""))</f>
        <v>Strengthen Payment continuity</v>
      </c>
      <c r="CH639" t="str">
        <f>IF($CE639="","",IFERROR(INDEX(_REF_Industry_Wording!$G$2:$G$70,MATCH($CE639,_REF_Industry_Wording!$A$2:$A$70,0)),""))</f>
        <v>Strengthen Payment continuity using the selected maturity treatment, crisis scenario and evidence requirements.</v>
      </c>
      <c r="CI639" t="str">
        <f>IF($CE639="","",IFERROR(INDEX(_REF_Industry_Wording!$H$2:$H$70,MATCH($CE639,_REF_Industry_Wording!$A$2:$A$70,0)),""))</f>
        <v>Payment continuity</v>
      </c>
      <c r="CJ639">
        <f>IF($CE639="","",IFERROR(INDEX(_REF_Industry_Wording!$I$2:$I$70,MATCH($CE639,_REF_Industry_Wording!$A$2:$A$70,0)),""))</f>
        <v>0</v>
      </c>
      <c r="CK639" t="str">
        <f>IF($CE639="","",IFERROR(INDEX(_REF_Industry_Wording!$J$2:$J$70,MATCH($CE639,_REF_Industry_Wording!$A$2:$A$70,0)),""))</f>
        <v>Payment continuity</v>
      </c>
      <c r="CL639" t="str">
        <f t="shared" si="115"/>
        <v>Wording by industry=0; capability=CAP_PAYMENT_CONTINUITY; risk label=Payment continuity weakness</v>
      </c>
      <c r="CM639" t="str">
        <f t="shared" si="116"/>
        <v>RISK-ONT-0140</v>
      </c>
      <c r="CN639" t="str">
        <f t="shared" si="117"/>
        <v>RISK-EVT-0140</v>
      </c>
      <c r="CO639" t="str">
        <f t="shared" si="118"/>
        <v>Legal Risk|Compliance|LEGA-021|CAP_PAYMENT_CONTINUITY</v>
      </c>
      <c r="CP639" t="str">
        <f t="shared" si="119"/>
        <v>Active</v>
      </c>
      <c r="CQ639" t="str">
        <f t="shared" si="120"/>
        <v>OK: capability-driven</v>
      </c>
      <c r="CR639" t="str">
        <f t="shared" si="121"/>
        <v>Risk ontology uses capability=CAP_PAYMENT_CONTINUITY; bridge=BRG-050; treatment=TRT-PAYMENT_CONTINUITY-INITIAL; wording=IW-ALL-PAYMENT_CONTINUITY</v>
      </c>
      <c r="CS639" t="str">
        <f t="shared" si="122"/>
        <v>Yes</v>
      </c>
    </row>
    <row r="640" spans="1:97" ht="69.900000000000006" customHeight="1">
      <c r="A640">
        <f>IF(OR($B640&lt;&gt;"Yes",$BS640=""),"",SUMPRODUCT(($B$500:$B$923="Yes")*ISNUMBER($BS$500:$BS$923)*($BS$500:$BS$923&gt;$BS640))+COUNTIFS($B$500:$B640,"Yes",$BS$500:$BS640,$BS640))</f>
        <v>395</v>
      </c>
      <c r="B640" t="str">
        <f t="shared" si="91"/>
        <v>Yes</v>
      </c>
      <c r="C640" t="s">
        <v>1666</v>
      </c>
      <c r="D640" t="s">
        <v>1668</v>
      </c>
      <c r="E640" t="s">
        <v>1667</v>
      </c>
      <c r="F640" t="s">
        <v>3685</v>
      </c>
      <c r="G640" t="str">
        <f>IF($H640="","",IFERROR(INDEX(_ENGINE_Risk!$H$5:$M$499,MATCH($E640,_ENGINE_Risk!$A$5:$A$499,0),$H640+1),""))</f>
        <v>Severe risk: occupational health and safety management system with owners, objectives, audits and management review is not reliably controlled. During Safety incident; Physical site loss; War/security crisis; Natural disaster, the organization may face injury, unsafe facilities, uncontrolled access, asset loss and failure to protect people during incidents with limited visibility or accountability.</v>
      </c>
      <c r="H640">
        <f>IFERROR(VALUE(INDEX(_DATA_Assessment_Model!$H$5:$H$884,MATCH($E640,_DATA_Assessment_Model!$A$5:$A$884,0))),"")</f>
        <v>0</v>
      </c>
      <c r="I640" t="str">
        <f>IF($H640="","",IFERROR(INDEX(_DATA_Assessment_Model!$L$5:$L$884,MATCH($E640,_DATA_Assessment_Model!$A$5:$A$884,0)),IF($H640&lt;=1,"Critical",IF($H640=2,"High",IF($H640=3,"Medium",IF($H640=4,"Low","Resilient"))))))</f>
        <v>Critical</v>
      </c>
      <c r="J640">
        <f t="shared" si="92"/>
        <v>3.7</v>
      </c>
      <c r="K640">
        <f t="shared" si="93"/>
        <v>5</v>
      </c>
      <c r="L640">
        <f t="shared" si="94"/>
        <v>18.5</v>
      </c>
      <c r="M640">
        <f t="shared" si="95"/>
        <v>4</v>
      </c>
      <c r="N640">
        <f>IF($H640="","",IFERROR(INDEX(_ENGINE_Risk!$T$5:$Y$499,MATCH($E640,_ENGINE_Risk!$A$5:$A$499,0),$H640+1),""))</f>
        <v>4</v>
      </c>
      <c r="O640">
        <f t="shared" si="96"/>
        <v>4.666666666666667</v>
      </c>
      <c r="P640">
        <f t="shared" si="97"/>
        <v>5</v>
      </c>
      <c r="Q640">
        <f t="shared" si="98"/>
        <v>5</v>
      </c>
      <c r="R640">
        <f t="shared" si="99"/>
        <v>4.5</v>
      </c>
      <c r="S640">
        <f t="shared" si="100"/>
        <v>1.2</v>
      </c>
      <c r="T640" t="str">
        <f>IF($H640="","",IFERROR(INDEX(_ENGINE_Risk!$N$5:$S$499,MATCH($E640,_ENGINE_Risk!$A$5:$A$499,0),$H640+1),""))</f>
        <v>Create an immediate risk owner, minimum control baseline and fallback procedure for occupational health and safety management system with owners, objectives, audits and management review. Add it to the crisis risk register and collect first evidence.</v>
      </c>
      <c r="U640">
        <f>IFERROR(INDEX(_DATA_Assessment_Model!$G$5:$G$884,MATCH($E640,_DATA_Assessment_Model!$A$5:$A$884,0)),"")</f>
        <v>5</v>
      </c>
      <c r="V640">
        <f>IFERROR(INDEX(_DATA_Assessment_Model!$W$5:$W$884,MATCH($E640,_DATA_Assessment_Model!$A$5:$A$884,0)),"")</f>
        <v>4</v>
      </c>
      <c r="W640">
        <f>IFERROR(INDEX(_DATA_Assessment_Model!$X$5:$X$884,MATCH($E640,_DATA_Assessment_Model!$A$5:$A$884,0)),"")</f>
        <v>5</v>
      </c>
      <c r="X640">
        <f>IFERROR(INDEX(_DATA_Assessment_Model!$Y$5:$Y$884,MATCH($E640,_DATA_Assessment_Model!$A$5:$A$884,0)),"")</f>
        <v>5</v>
      </c>
      <c r="Y640" t="s">
        <v>1673</v>
      </c>
      <c r="Z640" t="s">
        <v>6587</v>
      </c>
      <c r="AA640" t="s">
        <v>1672</v>
      </c>
      <c r="AB640">
        <f>IFERROR(INDEX(_DATA_Assessment_Model!$U$5:$U$884,MATCH($E640,_DATA_Assessment_Model!$A$5:$A$884,0)),"")</f>
        <v>0</v>
      </c>
      <c r="AF640" t="s">
        <v>1669</v>
      </c>
      <c r="AO640">
        <f>IF($B640="Yes",IF(IFERROR(INDEX(_ENGINE_Crisis!$F$501:$F$517,MATCH($C640,_ENGINE_Crisis!$A$501:$A$517,0)),1)=0,1,IFERROR(INDEX(_ENGINE_Crisis!$F$501:$F$517,MATCH($C640,_ENGINE_Crisis!$A$501:$A$517,0)),1)),"")</f>
        <v>1</v>
      </c>
      <c r="AP640">
        <f t="shared" si="101"/>
        <v>18.5</v>
      </c>
      <c r="AQ640">
        <f t="shared" si="102"/>
        <v>1.2</v>
      </c>
      <c r="AR640" t="str">
        <f>IFERROR(INDEX(_ENGINE_Crisis!$E$41:$E$700,MATCH('Resilience &amp; Risk Scenario'!$B$6&amp;"|"&amp;$C640,_ENGINE_Crisis!$I$41:$I$700,0)),"")</f>
        <v/>
      </c>
      <c r="AS640" t="str">
        <f>IFERROR(INDEX(_ENGINE_Crisis!$G$41:$G$700,MATCH('Resilience &amp; Risk Scenario'!$B$6&amp;"|"&amp;$C640,_ENGINE_Crisis!$I$41:$I$700,0)),"")</f>
        <v/>
      </c>
      <c r="AT640" t="str">
        <f>IFERROR(INDEX(_ENGINE_Initiatives!$A$5:$A$532,MATCH(1,INDEX((_ENGINE_Initiatives!$B$5:$B$532=$C640)*(_ENGINE_Initiatives!$C$5:$C$532=$D640),0),0)),"")</f>
        <v>INI-023</v>
      </c>
      <c r="AU640" t="str">
        <f>IFERROR(INDEX(_ENGINE_Initiatives!$F$5:$F$532,MATCH(1,INDEX((_ENGINE_Initiatives!$B$5:$B$532=$C640)*(_ENGINE_Initiatives!$C$5:$C$532=$D640),0),0)),"")</f>
        <v>Implement occupational health and safety governance system</v>
      </c>
      <c r="AV640">
        <f>IFERROR(INDEX(_ENGINE_Initiatives!$AC$5:$AC$532,MATCH(1,INDEX((_ENGINE_Initiatives!$B$5:$B$532=$C640)*(_ENGINE_Initiatives!$C$5:$C$532=$D640),0),0)),"")</f>
        <v>1.71</v>
      </c>
      <c r="AW640" t="str">
        <f>IFERROR(INDEX(_ENGINE_Initiatives!$AE$5:$AE$532,MATCH(1,INDEX((_ENGINE_Initiatives!$B$5:$B$532=$C640)*(_ENGINE_Initiatives!$C$5:$C$532=$D640),0),0)),"")</f>
        <v>6-12 months</v>
      </c>
      <c r="AX640">
        <f>IF($B640="Yes",IFERROR((IF(SUMIFS(_REF_Model_Content!$E$1:$E$613,_REF_Model_Content!$A$1:$A$613,PV_Canonical_Industry,_REF_Model_Content!$B$1:$B$613,$C640)=0,1,SUMIFS(_REF_Model_Content!$E$1:$E$613,_REF_Model_Content!$A$1:$A$613,PV_Canonical_Industry,_REF_Model_Content!$B$1:$B$613,$C640))*IFERROR($BU640,1)),1),"")</f>
        <v>0.4</v>
      </c>
      <c r="AY640">
        <f t="shared" si="103"/>
        <v>7.4</v>
      </c>
      <c r="AZ640">
        <f t="shared" si="104"/>
        <v>0.48</v>
      </c>
      <c r="BB640" t="str">
        <f>IF($H640="","",IFERROR(INDEX(_ENGINE_Risk!$AE$5:$AE$499,MATCH($E640,_ENGINE_Risk!$A$5:$A$499,0)),"Medium"))</f>
        <v>Fast</v>
      </c>
      <c r="BC640">
        <f t="shared" si="105"/>
        <v>1.25</v>
      </c>
      <c r="BD640">
        <f t="shared" si="106"/>
        <v>0.48</v>
      </c>
      <c r="BF640">
        <f>IF(OR($H640="",$J640=""),"",IFERROR(VLOOKUP(ROUND($J640,0),_CONFIG_Model_Settings!$D$154:$E$158,2,0),""))</f>
        <v>0.5</v>
      </c>
      <c r="BG640">
        <f>IFERROR(IF(OR($H640="",$K640=""),"",ROUND('Company Profile'!$B$113*INDEX(_CONFIG_Model_Settings!$H$154:$H$158,MATCH(ROUND($K640,0),_CONFIG_Model_Settings!$G$154:$G$158,0)),0)),0)</f>
        <v>1875</v>
      </c>
      <c r="BH640">
        <f t="shared" si="107"/>
        <v>937.5</v>
      </c>
      <c r="BI640">
        <f t="shared" si="108"/>
        <v>937.5</v>
      </c>
      <c r="BJ640">
        <f>IF($E640="","",IFERROR(VLOOKUP($C640,_CONFIG_Risk_Calibration!$A$5:$H$21,2,FALSE),3))</f>
        <v>3</v>
      </c>
      <c r="BK640">
        <f>IF($E640="","",IFERROR(VLOOKUP($C640,_CONFIG_Risk_Calibration!$A$5:$H$21,3,FALSE),0))</f>
        <v>0</v>
      </c>
      <c r="BL640">
        <f>IF($E640="","",IFERROR(VLOOKUP($C640,_CONFIG_Risk_Calibration!$A$5:$H$21,4,FALSE),3))</f>
        <v>3</v>
      </c>
      <c r="BM640">
        <f>IF($E640="","",IFERROR(VLOOKUP($C640,_CONFIG_Risk_Calibration!$A$5:$H$21,5,FALSE),3))</f>
        <v>4</v>
      </c>
      <c r="BN640" t="str">
        <f>IF($E640="","",IFERROR(VLOOKUP($C640,_CONFIG_Risk_Calibration!$A$5:$H$21,6,FALSE),"No"))</f>
        <v>Yes</v>
      </c>
      <c r="BO640">
        <f>IF($E640="","",IFERROR(VLOOKUP($C640,_CONFIG_Risk_Calibration!$A$5:$H$21,7,FALSE),1))</f>
        <v>5</v>
      </c>
      <c r="BP640">
        <f>IF($H640="","",MAX(1,MIN(5,((6-$H640)*0.45)+($BJ640*0.2)+('Resilience &amp; Risk Scenario'!$B$7*0.15)+($BK640*0.1)+($BL640*0.05)+(IF($BB640="Fast",5,IF($BB640="Slow",1,3))*0.05))))</f>
        <v>3.7</v>
      </c>
      <c r="BQ640">
        <f t="shared" si="109"/>
        <v>5</v>
      </c>
      <c r="BR640">
        <f t="shared" si="110"/>
        <v>18.5</v>
      </c>
      <c r="BS640">
        <f t="shared" si="111"/>
        <v>10.18</v>
      </c>
      <c r="BT640" t="str">
        <f>IFERROR(INDEX(_REF_Capability_Bridge!$D:$D,MATCH($C640&amp;"|"&amp;$D640,_REF_Capability_Bridge!$J:$J,0)),IFERROR(INDEX(_REF_Capability_Bridge!$D:$D,MATCH($C640&amp;"|",_REF_Capability_Bridge!$J:$J,0)),"CAP_GENERIC"))</f>
        <v>CAP_PHYSICAL_SITE_SAFETY</v>
      </c>
      <c r="BU640">
        <f>IFERROR(IFERROR(INDEX(_ENGINE_Relevance!$L:$L,MATCH($BT640,_ENGINE_Relevance!$B:$B,0)),1),1)</f>
        <v>0.4</v>
      </c>
      <c r="BV640" t="str">
        <f>IFERROR(INDEX(_REF_Capability_Bridge!$A:$A,MATCH($C640&amp;"|"&amp;$D640,_REF_Capability_Bridge!$J:$J,0)),IFERROR(INDEX(_REF_Capability_Bridge!$A:$A,MATCH($C640&amp;"|",_REF_Capability_Bridge!$J:$J,0)),"No bridge"))</f>
        <v>BRG-068</v>
      </c>
      <c r="BW640" t="str">
        <f t="shared" si="112"/>
        <v>Capability relevance lowers risk priority</v>
      </c>
      <c r="BX640" t="str">
        <f t="shared" si="113"/>
        <v>Initial / absent</v>
      </c>
      <c r="BY640" t="str">
        <f>IF($E640="","",IFERROR(INDEX(_REF_Treatment_Library!$A$2:$A$296,MATCH(1,INDEX((_REF_Treatment_Library!$B$2:$B$296=$BT640)*(_REF_Treatment_Library!$C$2:$C$296=PV_Canonical_Industry)*(_REF_Treatment_Library!$E$2:$E$296&lt;=N($H640))*(_REF_Treatment_Library!$F$2:$F$296&gt;=N($H640))*(_REF_Treatment_Library!$O$2:$O$296="Yes"),0),0)),IFERROR(INDEX(_REF_Treatment_Library!$A$2:$A$296,MATCH(1,INDEX((_REF_Treatment_Library!$B$2:$B$296=$BT640)*(_REF_Treatment_Library!$C$2:$C$296="All")*(_REF_Treatment_Library!$E$2:$E$296&lt;=N($H640))*(_REF_Treatment_Library!$F$2:$F$296&gt;=N($H640))*(_REF_Treatment_Library!$O$2:$O$296="Yes"),0),0)),"")))</f>
        <v>TRT-PHYSICAL_SITE_SAFETY-INITIAL</v>
      </c>
      <c r="BZ640" t="str">
        <f>IF($BY640="","",IFERROR(INDEX(_REF_Treatment_Library!$H$2:$H$296,MATCH($BY640,_REF_Treatment_Library!$A$2:$A$296,0)),""))</f>
        <v>Establish</v>
      </c>
      <c r="CA640" t="str">
        <f>IF($BY640="","",IFERROR(INDEX(_REF_Treatment_Library!$I$2:$I$296,MATCH($BY640,_REF_Treatment_Library!$A$2:$A$296,0)),""))</f>
        <v>Establish baseline controls for Physical site safety</v>
      </c>
      <c r="CB640" t="str">
        <f>IF($BY640="","",IFERROR(INDEX(_REF_Treatment_Library!$K$2:$K$296,MATCH($BY640,_REF_Treatment_Library!$A$2:$A$296,0)),""))</f>
        <v>Named owner, baseline process, minimum control checklist, first evidence package</v>
      </c>
      <c r="CC640" t="str">
        <f>IF($BY640="","",IFERROR(INDEX(_REF_Treatment_Library!$L$2:$L$296,MATCH($BY640,_REF_Treatment_Library!$A$2:$A$296,0)),""))</f>
        <v>Owner assigned; baseline evidence coverage; open critical gaps</v>
      </c>
      <c r="CD640" t="str">
        <f t="shared" si="114"/>
        <v>Treatment by capability=CAP_PHYSICAL_SITE_SAFETY; band=Initial / absent; score=0.0; treatment=Establish</v>
      </c>
      <c r="CE640" t="str">
        <f>IF($E640="","",IFERROR(INDEX(_REF_Industry_Wording!$A$2:$A$70,MATCH(1,INDEX((_REF_Industry_Wording!$B$2:$B$70=$BT640)*(_REF_Industry_Wording!$C$2:$C$70=PV_Canonical_Industry)*(_REF_Industry_Wording!$K$2:$K$70="Yes"),0),0)),IFERROR(INDEX(_REF_Industry_Wording!$A$2:$A$70,MATCH(1,INDEX((_REF_Industry_Wording!$B$2:$B$70=$BT640)*(_REF_Industry_Wording!$C$2:$C$70="All")*(_REF_Industry_Wording!$K$2:$K$70="Yes"),0),0)),"")))</f>
        <v>IW-ALL-PHYSICAL_SITE_SAFETY</v>
      </c>
      <c r="CF640" t="str">
        <f>IF($CE640="","",IFERROR(INDEX(_REF_Industry_Wording!$E$2:$E$70,MATCH($CE640,_REF_Industry_Wording!$A$2:$A$70,0)),""))</f>
        <v>Physical site safety weakness</v>
      </c>
      <c r="CG640" t="str">
        <f>IF($CE640="","",IFERROR(INDEX(_REF_Industry_Wording!$F$2:$F$70,MATCH($CE640,_REF_Industry_Wording!$A$2:$A$70,0)),""))</f>
        <v>Strengthen Physical site safety</v>
      </c>
      <c r="CH640" t="str">
        <f>IF($CE640="","",IFERROR(INDEX(_REF_Industry_Wording!$G$2:$G$70,MATCH($CE640,_REF_Industry_Wording!$A$2:$A$70,0)),""))</f>
        <v>Strengthen Physical site safety using the selected maturity treatment, crisis scenario and evidence requirements.</v>
      </c>
      <c r="CI640" t="str">
        <f>IF($CE640="","",IFERROR(INDEX(_REF_Industry_Wording!$H$2:$H$70,MATCH($CE640,_REF_Industry_Wording!$A$2:$A$70,0)),""))</f>
        <v>Physical site safety</v>
      </c>
      <c r="CJ640">
        <f>IF($CE640="","",IFERROR(INDEX(_REF_Industry_Wording!$I$2:$I$70,MATCH($CE640,_REF_Industry_Wording!$A$2:$A$70,0)),""))</f>
        <v>0</v>
      </c>
      <c r="CK640" t="str">
        <f>IF($CE640="","",IFERROR(INDEX(_REF_Industry_Wording!$J$2:$J$70,MATCH($CE640,_REF_Industry_Wording!$A$2:$A$70,0)),""))</f>
        <v>Physical site safety</v>
      </c>
      <c r="CL640" t="str">
        <f t="shared" si="115"/>
        <v>Wording by industry=0; capability=CAP_PHYSICAL_SITE_SAFETY; risk label=Physical site safety weakness</v>
      </c>
      <c r="CM640" t="str">
        <f t="shared" si="116"/>
        <v>RISK-ONT-0141</v>
      </c>
      <c r="CN640" t="str">
        <f t="shared" si="117"/>
        <v>RISK-EVT-0141</v>
      </c>
      <c r="CO640" t="str">
        <f t="shared" si="118"/>
        <v>Physical Safety|OH&amp;S governance|PHYS-001|CAP_PHYSICAL_SITE_SAFETY</v>
      </c>
      <c r="CP640" t="str">
        <f t="shared" si="119"/>
        <v>Active</v>
      </c>
      <c r="CQ640" t="str">
        <f t="shared" si="120"/>
        <v>OK: capability-driven</v>
      </c>
      <c r="CR640" t="str">
        <f t="shared" si="121"/>
        <v>Risk ontology uses capability=CAP_PHYSICAL_SITE_SAFETY; bridge=BRG-068; treatment=TRT-PHYSICAL_SITE_SAFETY-INITIAL; wording=IW-ALL-PHYSICAL_SITE_SAFETY</v>
      </c>
      <c r="CS640" t="str">
        <f t="shared" si="122"/>
        <v>Yes</v>
      </c>
    </row>
    <row r="641" spans="1:97" ht="69.900000000000006" customHeight="1">
      <c r="A641">
        <f>IF(OR($B641&lt;&gt;"Yes",$BS641=""),"",SUMPRODUCT(($B$500:$B$923="Yes")*ISNUMBER($BS$500:$BS$923)*($BS$500:$BS$923&gt;$BS641))+COUNTIFS($B$500:$B641,"Yes",$BS$500:$BS641,$BS641))</f>
        <v>396</v>
      </c>
      <c r="B641" t="str">
        <f t="shared" si="91"/>
        <v>Yes</v>
      </c>
      <c r="C641" t="s">
        <v>1666</v>
      </c>
      <c r="D641" t="s">
        <v>1668</v>
      </c>
      <c r="E641" t="s">
        <v>1674</v>
      </c>
      <c r="F641" t="s">
        <v>3685</v>
      </c>
      <c r="G641" t="str">
        <f>IF($H641="","",IFERROR(INDEX(_ENGINE_Risk!$H$5:$M$499,MATCH($E641,_ENGINE_Risk!$A$5:$A$499,0),$H641+1),""))</f>
        <v>Severe risk: site risk assessments for fire, structure, utilities, hazardous materials, crime, weather, war/security and access is not reliably controlled. During Safety incident; Physical site loss; War/security crisis; Natural disaster, the organization may face injury, unsafe facilities, uncontrolled access, asset loss and failure to protect people during incidents with limited visibility or accountability.</v>
      </c>
      <c r="H641">
        <f>IFERROR(VALUE(INDEX(_DATA_Assessment_Model!$H$5:$H$884,MATCH($E641,_DATA_Assessment_Model!$A$5:$A$884,0))),"")</f>
        <v>0</v>
      </c>
      <c r="I641" t="str">
        <f>IF($H641="","",IFERROR(INDEX(_DATA_Assessment_Model!$L$5:$L$884,MATCH($E641,_DATA_Assessment_Model!$A$5:$A$884,0)),IF($H641&lt;=1,"Critical",IF($H641=2,"High",IF($H641=3,"Medium",IF($H641=4,"Low","Resilient"))))))</f>
        <v>Critical</v>
      </c>
      <c r="J641">
        <f t="shared" si="92"/>
        <v>3.7</v>
      </c>
      <c r="K641">
        <f t="shared" si="93"/>
        <v>5</v>
      </c>
      <c r="L641">
        <f t="shared" si="94"/>
        <v>18.5</v>
      </c>
      <c r="M641">
        <f t="shared" si="95"/>
        <v>4</v>
      </c>
      <c r="N641">
        <f>IF($H641="","",IFERROR(INDEX(_ENGINE_Risk!$T$5:$Y$499,MATCH($E641,_ENGINE_Risk!$A$5:$A$499,0),$H641+1),""))</f>
        <v>4</v>
      </c>
      <c r="O641">
        <f t="shared" si="96"/>
        <v>4.666666666666667</v>
      </c>
      <c r="P641">
        <f t="shared" si="97"/>
        <v>5</v>
      </c>
      <c r="Q641">
        <f t="shared" si="98"/>
        <v>5</v>
      </c>
      <c r="R641">
        <f t="shared" si="99"/>
        <v>4.5</v>
      </c>
      <c r="S641">
        <f t="shared" si="100"/>
        <v>1.2</v>
      </c>
      <c r="T641" t="str">
        <f>IF($H641="","",IFERROR(INDEX(_ENGINE_Risk!$N$5:$S$499,MATCH($E641,_ENGINE_Risk!$A$5:$A$499,0),$H641+1),""))</f>
        <v>Create an immediate risk owner, minimum control baseline and fallback procedure for site risk assessments for fire, structure, utilities, hazardous materials, crime, weather, war/security and access. Add it to the crisis risk register and collect first evidence.</v>
      </c>
      <c r="U641">
        <f>IFERROR(INDEX(_DATA_Assessment_Model!$G$5:$G$884,MATCH($E641,_DATA_Assessment_Model!$A$5:$A$884,0)),"")</f>
        <v>5</v>
      </c>
      <c r="V641">
        <f>IFERROR(INDEX(_DATA_Assessment_Model!$W$5:$W$884,MATCH($E641,_DATA_Assessment_Model!$A$5:$A$884,0)),"")</f>
        <v>4</v>
      </c>
      <c r="W641">
        <f>IFERROR(INDEX(_DATA_Assessment_Model!$X$5:$X$884,MATCH($E641,_DATA_Assessment_Model!$A$5:$A$884,0)),"")</f>
        <v>5</v>
      </c>
      <c r="X641">
        <f>IFERROR(INDEX(_DATA_Assessment_Model!$Y$5:$Y$884,MATCH($E641,_DATA_Assessment_Model!$A$5:$A$884,0)),"")</f>
        <v>5</v>
      </c>
      <c r="Y641" t="s">
        <v>1673</v>
      </c>
      <c r="Z641" t="s">
        <v>6587</v>
      </c>
      <c r="AA641" t="s">
        <v>1676</v>
      </c>
      <c r="AB641">
        <f>IFERROR(INDEX(_DATA_Assessment_Model!$U$5:$U$884,MATCH($E641,_DATA_Assessment_Model!$A$5:$A$884,0)),"")</f>
        <v>0</v>
      </c>
      <c r="AF641" t="s">
        <v>1675</v>
      </c>
      <c r="AO641">
        <f>IF($B641="Yes",IF(IFERROR(INDEX(_ENGINE_Crisis!$F$501:$F$517,MATCH($C641,_ENGINE_Crisis!$A$501:$A$517,0)),1)=0,1,IFERROR(INDEX(_ENGINE_Crisis!$F$501:$F$517,MATCH($C641,_ENGINE_Crisis!$A$501:$A$517,0)),1)),"")</f>
        <v>1</v>
      </c>
      <c r="AP641">
        <f t="shared" si="101"/>
        <v>18.5</v>
      </c>
      <c r="AQ641">
        <f t="shared" si="102"/>
        <v>1.2</v>
      </c>
      <c r="AR641" t="str">
        <f>IFERROR(INDEX(_ENGINE_Crisis!$E$41:$E$700,MATCH('Resilience &amp; Risk Scenario'!$B$6&amp;"|"&amp;$C641,_ENGINE_Crisis!$I$41:$I$700,0)),"")</f>
        <v/>
      </c>
      <c r="AS641" t="str">
        <f>IFERROR(INDEX(_ENGINE_Crisis!$G$41:$G$700,MATCH('Resilience &amp; Risk Scenario'!$B$6&amp;"|"&amp;$C641,_ENGINE_Crisis!$I$41:$I$700,0)),"")</f>
        <v/>
      </c>
      <c r="AT641" t="str">
        <f>IFERROR(INDEX(_ENGINE_Initiatives!$A$5:$A$532,MATCH(1,INDEX((_ENGINE_Initiatives!$B$5:$B$532=$C641)*(_ENGINE_Initiatives!$C$5:$C$532=$D641),0),0)),"")</f>
        <v>INI-023</v>
      </c>
      <c r="AU641" t="str">
        <f>IFERROR(INDEX(_ENGINE_Initiatives!$F$5:$F$532,MATCH(1,INDEX((_ENGINE_Initiatives!$B$5:$B$532=$C641)*(_ENGINE_Initiatives!$C$5:$C$532=$D641),0),0)),"")</f>
        <v>Implement occupational health and safety governance system</v>
      </c>
      <c r="AV641">
        <f>IFERROR(INDEX(_ENGINE_Initiatives!$AC$5:$AC$532,MATCH(1,INDEX((_ENGINE_Initiatives!$B$5:$B$532=$C641)*(_ENGINE_Initiatives!$C$5:$C$532=$D641),0),0)),"")</f>
        <v>1.71</v>
      </c>
      <c r="AW641" t="str">
        <f>IFERROR(INDEX(_ENGINE_Initiatives!$AE$5:$AE$532,MATCH(1,INDEX((_ENGINE_Initiatives!$B$5:$B$532=$C641)*(_ENGINE_Initiatives!$C$5:$C$532=$D641),0),0)),"")</f>
        <v>6-12 months</v>
      </c>
      <c r="AX641">
        <f>IF($B641="Yes",IFERROR((IF(SUMIFS(_REF_Model_Content!$E$1:$E$613,_REF_Model_Content!$A$1:$A$613,PV_Canonical_Industry,_REF_Model_Content!$B$1:$B$613,$C641)=0,1,SUMIFS(_REF_Model_Content!$E$1:$E$613,_REF_Model_Content!$A$1:$A$613,PV_Canonical_Industry,_REF_Model_Content!$B$1:$B$613,$C641))*IFERROR($BU641,1)),1),"")</f>
        <v>0.4</v>
      </c>
      <c r="AY641">
        <f t="shared" si="103"/>
        <v>7.4</v>
      </c>
      <c r="AZ641">
        <f t="shared" si="104"/>
        <v>0.48</v>
      </c>
      <c r="BB641" t="str">
        <f>IF($H641="","",IFERROR(INDEX(_ENGINE_Risk!$AE$5:$AE$499,MATCH($E641,_ENGINE_Risk!$A$5:$A$499,0)),"Medium"))</f>
        <v>Fast</v>
      </c>
      <c r="BC641">
        <f t="shared" si="105"/>
        <v>1.25</v>
      </c>
      <c r="BD641">
        <f t="shared" si="106"/>
        <v>0.48</v>
      </c>
      <c r="BF641">
        <f>IF(OR($H641="",$J641=""),"",IFERROR(VLOOKUP(ROUND($J641,0),_CONFIG_Model_Settings!$D$154:$E$158,2,0),""))</f>
        <v>0.5</v>
      </c>
      <c r="BG641">
        <f>IFERROR(IF(OR($H641="",$K641=""),"",ROUND('Company Profile'!$B$113*INDEX(_CONFIG_Model_Settings!$H$154:$H$158,MATCH(ROUND($K641,0),_CONFIG_Model_Settings!$G$154:$G$158,0)),0)),0)</f>
        <v>1875</v>
      </c>
      <c r="BH641">
        <f t="shared" si="107"/>
        <v>937.5</v>
      </c>
      <c r="BI641">
        <f t="shared" si="108"/>
        <v>937.5</v>
      </c>
      <c r="BJ641">
        <f>IF($E641="","",IFERROR(VLOOKUP($C641,_CONFIG_Risk_Calibration!$A$5:$H$21,2,FALSE),3))</f>
        <v>3</v>
      </c>
      <c r="BK641">
        <f>IF($E641="","",IFERROR(VLOOKUP($C641,_CONFIG_Risk_Calibration!$A$5:$H$21,3,FALSE),0))</f>
        <v>0</v>
      </c>
      <c r="BL641">
        <f>IF($E641="","",IFERROR(VLOOKUP($C641,_CONFIG_Risk_Calibration!$A$5:$H$21,4,FALSE),3))</f>
        <v>3</v>
      </c>
      <c r="BM641">
        <f>IF($E641="","",IFERROR(VLOOKUP($C641,_CONFIG_Risk_Calibration!$A$5:$H$21,5,FALSE),3))</f>
        <v>4</v>
      </c>
      <c r="BN641" t="str">
        <f>IF($E641="","",IFERROR(VLOOKUP($C641,_CONFIG_Risk_Calibration!$A$5:$H$21,6,FALSE),"No"))</f>
        <v>Yes</v>
      </c>
      <c r="BO641">
        <f>IF($E641="","",IFERROR(VLOOKUP($C641,_CONFIG_Risk_Calibration!$A$5:$H$21,7,FALSE),1))</f>
        <v>5</v>
      </c>
      <c r="BP641">
        <f>IF($H641="","",MAX(1,MIN(5,((6-$H641)*0.45)+($BJ641*0.2)+('Resilience &amp; Risk Scenario'!$B$7*0.15)+($BK641*0.1)+($BL641*0.05)+(IF($BB641="Fast",5,IF($BB641="Slow",1,3))*0.05))))</f>
        <v>3.7</v>
      </c>
      <c r="BQ641">
        <f t="shared" si="109"/>
        <v>5</v>
      </c>
      <c r="BR641">
        <f t="shared" si="110"/>
        <v>18.5</v>
      </c>
      <c r="BS641">
        <f t="shared" si="111"/>
        <v>10.18</v>
      </c>
      <c r="BT641" t="str">
        <f>IFERROR(INDEX(_REF_Capability_Bridge!$D:$D,MATCH($C641&amp;"|"&amp;$D641,_REF_Capability_Bridge!$J:$J,0)),IFERROR(INDEX(_REF_Capability_Bridge!$D:$D,MATCH($C641&amp;"|",_REF_Capability_Bridge!$J:$J,0)),"CAP_GENERIC"))</f>
        <v>CAP_PHYSICAL_SITE_SAFETY</v>
      </c>
      <c r="BU641">
        <f>IFERROR(IFERROR(INDEX(_ENGINE_Relevance!$L:$L,MATCH($BT641,_ENGINE_Relevance!$B:$B,0)),1),1)</f>
        <v>0.4</v>
      </c>
      <c r="BV641" t="str">
        <f>IFERROR(INDEX(_REF_Capability_Bridge!$A:$A,MATCH($C641&amp;"|"&amp;$D641,_REF_Capability_Bridge!$J:$J,0)),IFERROR(INDEX(_REF_Capability_Bridge!$A:$A,MATCH($C641&amp;"|",_REF_Capability_Bridge!$J:$J,0)),"No bridge"))</f>
        <v>BRG-068</v>
      </c>
      <c r="BW641" t="str">
        <f t="shared" si="112"/>
        <v>Capability relevance lowers risk priority</v>
      </c>
      <c r="BX641" t="str">
        <f t="shared" si="113"/>
        <v>Initial / absent</v>
      </c>
      <c r="BY641" t="str">
        <f>IF($E641="","",IFERROR(INDEX(_REF_Treatment_Library!$A$2:$A$296,MATCH(1,INDEX((_REF_Treatment_Library!$B$2:$B$296=$BT641)*(_REF_Treatment_Library!$C$2:$C$296=PV_Canonical_Industry)*(_REF_Treatment_Library!$E$2:$E$296&lt;=N($H641))*(_REF_Treatment_Library!$F$2:$F$296&gt;=N($H641))*(_REF_Treatment_Library!$O$2:$O$296="Yes"),0),0)),IFERROR(INDEX(_REF_Treatment_Library!$A$2:$A$296,MATCH(1,INDEX((_REF_Treatment_Library!$B$2:$B$296=$BT641)*(_REF_Treatment_Library!$C$2:$C$296="All")*(_REF_Treatment_Library!$E$2:$E$296&lt;=N($H641))*(_REF_Treatment_Library!$F$2:$F$296&gt;=N($H641))*(_REF_Treatment_Library!$O$2:$O$296="Yes"),0),0)),"")))</f>
        <v>TRT-PHYSICAL_SITE_SAFETY-INITIAL</v>
      </c>
      <c r="BZ641" t="str">
        <f>IF($BY641="","",IFERROR(INDEX(_REF_Treatment_Library!$H$2:$H$296,MATCH($BY641,_REF_Treatment_Library!$A$2:$A$296,0)),""))</f>
        <v>Establish</v>
      </c>
      <c r="CA641" t="str">
        <f>IF($BY641="","",IFERROR(INDEX(_REF_Treatment_Library!$I$2:$I$296,MATCH($BY641,_REF_Treatment_Library!$A$2:$A$296,0)),""))</f>
        <v>Establish baseline controls for Physical site safety</v>
      </c>
      <c r="CB641" t="str">
        <f>IF($BY641="","",IFERROR(INDEX(_REF_Treatment_Library!$K$2:$K$296,MATCH($BY641,_REF_Treatment_Library!$A$2:$A$296,0)),""))</f>
        <v>Named owner, baseline process, minimum control checklist, first evidence package</v>
      </c>
      <c r="CC641" t="str">
        <f>IF($BY641="","",IFERROR(INDEX(_REF_Treatment_Library!$L$2:$L$296,MATCH($BY641,_REF_Treatment_Library!$A$2:$A$296,0)),""))</f>
        <v>Owner assigned; baseline evidence coverage; open critical gaps</v>
      </c>
      <c r="CD641" t="str">
        <f t="shared" si="114"/>
        <v>Treatment by capability=CAP_PHYSICAL_SITE_SAFETY; band=Initial / absent; score=0.0; treatment=Establish</v>
      </c>
      <c r="CE641" t="str">
        <f>IF($E641="","",IFERROR(INDEX(_REF_Industry_Wording!$A$2:$A$70,MATCH(1,INDEX((_REF_Industry_Wording!$B$2:$B$70=$BT641)*(_REF_Industry_Wording!$C$2:$C$70=PV_Canonical_Industry)*(_REF_Industry_Wording!$K$2:$K$70="Yes"),0),0)),IFERROR(INDEX(_REF_Industry_Wording!$A$2:$A$70,MATCH(1,INDEX((_REF_Industry_Wording!$B$2:$B$70=$BT641)*(_REF_Industry_Wording!$C$2:$C$70="All")*(_REF_Industry_Wording!$K$2:$K$70="Yes"),0),0)),"")))</f>
        <v>IW-ALL-PHYSICAL_SITE_SAFETY</v>
      </c>
      <c r="CF641" t="str">
        <f>IF($CE641="","",IFERROR(INDEX(_REF_Industry_Wording!$E$2:$E$70,MATCH($CE641,_REF_Industry_Wording!$A$2:$A$70,0)),""))</f>
        <v>Physical site safety weakness</v>
      </c>
      <c r="CG641" t="str">
        <f>IF($CE641="","",IFERROR(INDEX(_REF_Industry_Wording!$F$2:$F$70,MATCH($CE641,_REF_Industry_Wording!$A$2:$A$70,0)),""))</f>
        <v>Strengthen Physical site safety</v>
      </c>
      <c r="CH641" t="str">
        <f>IF($CE641="","",IFERROR(INDEX(_REF_Industry_Wording!$G$2:$G$70,MATCH($CE641,_REF_Industry_Wording!$A$2:$A$70,0)),""))</f>
        <v>Strengthen Physical site safety using the selected maturity treatment, crisis scenario and evidence requirements.</v>
      </c>
      <c r="CI641" t="str">
        <f>IF($CE641="","",IFERROR(INDEX(_REF_Industry_Wording!$H$2:$H$70,MATCH($CE641,_REF_Industry_Wording!$A$2:$A$70,0)),""))</f>
        <v>Physical site safety</v>
      </c>
      <c r="CJ641">
        <f>IF($CE641="","",IFERROR(INDEX(_REF_Industry_Wording!$I$2:$I$70,MATCH($CE641,_REF_Industry_Wording!$A$2:$A$70,0)),""))</f>
        <v>0</v>
      </c>
      <c r="CK641" t="str">
        <f>IF($CE641="","",IFERROR(INDEX(_REF_Industry_Wording!$J$2:$J$70,MATCH($CE641,_REF_Industry_Wording!$A$2:$A$70,0)),""))</f>
        <v>Physical site safety</v>
      </c>
      <c r="CL641" t="str">
        <f t="shared" si="115"/>
        <v>Wording by industry=0; capability=CAP_PHYSICAL_SITE_SAFETY; risk label=Physical site safety weakness</v>
      </c>
      <c r="CM641" t="str">
        <f t="shared" si="116"/>
        <v>RISK-ONT-0142</v>
      </c>
      <c r="CN641" t="str">
        <f t="shared" si="117"/>
        <v>RISK-EVT-0142</v>
      </c>
      <c r="CO641" t="str">
        <f t="shared" si="118"/>
        <v>Physical Safety|OH&amp;S governance|PHYS-002|CAP_PHYSICAL_SITE_SAFETY</v>
      </c>
      <c r="CP641" t="str">
        <f t="shared" si="119"/>
        <v>Active</v>
      </c>
      <c r="CQ641" t="str">
        <f t="shared" si="120"/>
        <v>OK: capability-driven</v>
      </c>
      <c r="CR641" t="str">
        <f t="shared" si="121"/>
        <v>Risk ontology uses capability=CAP_PHYSICAL_SITE_SAFETY; bridge=BRG-068; treatment=TRT-PHYSICAL_SITE_SAFETY-INITIAL; wording=IW-ALL-PHYSICAL_SITE_SAFETY</v>
      </c>
      <c r="CS641" t="str">
        <f t="shared" si="122"/>
        <v>Yes</v>
      </c>
    </row>
    <row r="642" spans="1:97" ht="69.900000000000006" customHeight="1">
      <c r="A642">
        <f>IF(OR($B642&lt;&gt;"Yes",$BS642=""),"",SUMPRODUCT(($B$500:$B$923="Yes")*ISNUMBER($BS$500:$BS$923)*($BS$500:$BS$923&gt;$BS642))+COUNTIFS($B$500:$B642,"Yes",$BS$500:$BS642,$BS642))</f>
        <v>397</v>
      </c>
      <c r="B642" t="str">
        <f t="shared" si="91"/>
        <v>Yes</v>
      </c>
      <c r="C642" t="s">
        <v>1666</v>
      </c>
      <c r="D642" t="s">
        <v>1668</v>
      </c>
      <c r="E642" t="s">
        <v>1678</v>
      </c>
      <c r="F642" t="s">
        <v>3685</v>
      </c>
      <c r="G642" t="str">
        <f>IF($H642="","",IFERROR(INDEX(_ENGINE_Risk!$H$5:$M$499,MATCH($E642,_ENGINE_Risk!$A$5:$A$499,0),$H642+1),""))</f>
        <v>Severe risk: job hazard analysis for roles, tasks, production activities and field work is not reliably controlled. During Safety incident; Physical site loss; War/security crisis; Natural disaster, the organization may face injury, unsafe facilities, uncontrolled access, asset loss and failure to protect people during incidents with limited visibility or accountability.</v>
      </c>
      <c r="H642">
        <f>IFERROR(VALUE(INDEX(_DATA_Assessment_Model!$H$5:$H$884,MATCH($E642,_DATA_Assessment_Model!$A$5:$A$884,0))),"")</f>
        <v>0</v>
      </c>
      <c r="I642" t="str">
        <f>IF($H642="","",IFERROR(INDEX(_DATA_Assessment_Model!$L$5:$L$884,MATCH($E642,_DATA_Assessment_Model!$A$5:$A$884,0)),IF($H642&lt;=1,"Critical",IF($H642=2,"High",IF($H642=3,"Medium",IF($H642=4,"Low","Resilient"))))))</f>
        <v>Critical</v>
      </c>
      <c r="J642">
        <f t="shared" si="92"/>
        <v>3.7</v>
      </c>
      <c r="K642">
        <f t="shared" si="93"/>
        <v>5</v>
      </c>
      <c r="L642">
        <f t="shared" si="94"/>
        <v>18.5</v>
      </c>
      <c r="M642">
        <f t="shared" si="95"/>
        <v>4</v>
      </c>
      <c r="N642">
        <f>IF($H642="","",IFERROR(INDEX(_ENGINE_Risk!$T$5:$Y$499,MATCH($E642,_ENGINE_Risk!$A$5:$A$499,0),$H642+1),""))</f>
        <v>4</v>
      </c>
      <c r="O642">
        <f t="shared" si="96"/>
        <v>4.666666666666667</v>
      </c>
      <c r="P642">
        <f t="shared" si="97"/>
        <v>5</v>
      </c>
      <c r="Q642">
        <f t="shared" si="98"/>
        <v>5</v>
      </c>
      <c r="R642">
        <f t="shared" si="99"/>
        <v>4.5</v>
      </c>
      <c r="S642">
        <f t="shared" si="100"/>
        <v>1.2</v>
      </c>
      <c r="T642" t="str">
        <f>IF($H642="","",IFERROR(INDEX(_ENGINE_Risk!$N$5:$S$499,MATCH($E642,_ENGINE_Risk!$A$5:$A$499,0),$H642+1),""))</f>
        <v>Create an immediate risk owner, minimum control baseline and fallback procedure for job hazard analysis for roles, tasks, production activities and field work. Add it to the crisis risk register and collect first evidence.</v>
      </c>
      <c r="U642">
        <f>IFERROR(INDEX(_DATA_Assessment_Model!$G$5:$G$884,MATCH($E642,_DATA_Assessment_Model!$A$5:$A$884,0)),"")</f>
        <v>5</v>
      </c>
      <c r="V642">
        <f>IFERROR(INDEX(_DATA_Assessment_Model!$W$5:$W$884,MATCH($E642,_DATA_Assessment_Model!$A$5:$A$884,0)),"")</f>
        <v>4</v>
      </c>
      <c r="W642">
        <f>IFERROR(INDEX(_DATA_Assessment_Model!$X$5:$X$884,MATCH($E642,_DATA_Assessment_Model!$A$5:$A$884,0)),"")</f>
        <v>5</v>
      </c>
      <c r="X642">
        <f>IFERROR(INDEX(_DATA_Assessment_Model!$Y$5:$Y$884,MATCH($E642,_DATA_Assessment_Model!$A$5:$A$884,0)),"")</f>
        <v>5</v>
      </c>
      <c r="Y642" t="s">
        <v>1673</v>
      </c>
      <c r="Z642" t="s">
        <v>6587</v>
      </c>
      <c r="AA642" t="s">
        <v>1680</v>
      </c>
      <c r="AB642">
        <f>IFERROR(INDEX(_DATA_Assessment_Model!$U$5:$U$884,MATCH($E642,_DATA_Assessment_Model!$A$5:$A$884,0)),"")</f>
        <v>0</v>
      </c>
      <c r="AF642" t="s">
        <v>1679</v>
      </c>
      <c r="AO642">
        <f>IF($B642="Yes",IF(IFERROR(INDEX(_ENGINE_Crisis!$F$501:$F$517,MATCH($C642,_ENGINE_Crisis!$A$501:$A$517,0)),1)=0,1,IFERROR(INDEX(_ENGINE_Crisis!$F$501:$F$517,MATCH($C642,_ENGINE_Crisis!$A$501:$A$517,0)),1)),"")</f>
        <v>1</v>
      </c>
      <c r="AP642">
        <f t="shared" si="101"/>
        <v>18.5</v>
      </c>
      <c r="AQ642">
        <f t="shared" si="102"/>
        <v>1.2</v>
      </c>
      <c r="AR642" t="str">
        <f>IFERROR(INDEX(_ENGINE_Crisis!$E$41:$E$700,MATCH('Resilience &amp; Risk Scenario'!$B$6&amp;"|"&amp;$C642,_ENGINE_Crisis!$I$41:$I$700,0)),"")</f>
        <v/>
      </c>
      <c r="AS642" t="str">
        <f>IFERROR(INDEX(_ENGINE_Crisis!$G$41:$G$700,MATCH('Resilience &amp; Risk Scenario'!$B$6&amp;"|"&amp;$C642,_ENGINE_Crisis!$I$41:$I$700,0)),"")</f>
        <v/>
      </c>
      <c r="AT642" t="str">
        <f>IFERROR(INDEX(_ENGINE_Initiatives!$A$5:$A$532,MATCH(1,INDEX((_ENGINE_Initiatives!$B$5:$B$532=$C642)*(_ENGINE_Initiatives!$C$5:$C$532=$D642),0),0)),"")</f>
        <v>INI-023</v>
      </c>
      <c r="AU642" t="str">
        <f>IFERROR(INDEX(_ENGINE_Initiatives!$F$5:$F$532,MATCH(1,INDEX((_ENGINE_Initiatives!$B$5:$B$532=$C642)*(_ENGINE_Initiatives!$C$5:$C$532=$D642),0),0)),"")</f>
        <v>Implement occupational health and safety governance system</v>
      </c>
      <c r="AV642">
        <f>IFERROR(INDEX(_ENGINE_Initiatives!$AC$5:$AC$532,MATCH(1,INDEX((_ENGINE_Initiatives!$B$5:$B$532=$C642)*(_ENGINE_Initiatives!$C$5:$C$532=$D642),0),0)),"")</f>
        <v>1.71</v>
      </c>
      <c r="AW642" t="str">
        <f>IFERROR(INDEX(_ENGINE_Initiatives!$AE$5:$AE$532,MATCH(1,INDEX((_ENGINE_Initiatives!$B$5:$B$532=$C642)*(_ENGINE_Initiatives!$C$5:$C$532=$D642),0),0)),"")</f>
        <v>6-12 months</v>
      </c>
      <c r="AX642">
        <f>IF($B642="Yes",IFERROR((IF(SUMIFS(_REF_Model_Content!$E$1:$E$613,_REF_Model_Content!$A$1:$A$613,PV_Canonical_Industry,_REF_Model_Content!$B$1:$B$613,$C642)=0,1,SUMIFS(_REF_Model_Content!$E$1:$E$613,_REF_Model_Content!$A$1:$A$613,PV_Canonical_Industry,_REF_Model_Content!$B$1:$B$613,$C642))*IFERROR($BU642,1)),1),"")</f>
        <v>0.4</v>
      </c>
      <c r="AY642">
        <f t="shared" si="103"/>
        <v>7.4</v>
      </c>
      <c r="AZ642">
        <f t="shared" si="104"/>
        <v>0.48</v>
      </c>
      <c r="BB642" t="str">
        <f>IF($H642="","",IFERROR(INDEX(_ENGINE_Risk!$AE$5:$AE$499,MATCH($E642,_ENGINE_Risk!$A$5:$A$499,0)),"Medium"))</f>
        <v>Fast</v>
      </c>
      <c r="BC642">
        <f t="shared" si="105"/>
        <v>1.25</v>
      </c>
      <c r="BD642">
        <f t="shared" si="106"/>
        <v>0.48</v>
      </c>
      <c r="BF642">
        <f>IF(OR($H642="",$J642=""),"",IFERROR(VLOOKUP(ROUND($J642,0),_CONFIG_Model_Settings!$D$154:$E$158,2,0),""))</f>
        <v>0.5</v>
      </c>
      <c r="BG642">
        <f>IFERROR(IF(OR($H642="",$K642=""),"",ROUND('Company Profile'!$B$113*INDEX(_CONFIG_Model_Settings!$H$154:$H$158,MATCH(ROUND($K642,0),_CONFIG_Model_Settings!$G$154:$G$158,0)),0)),0)</f>
        <v>1875</v>
      </c>
      <c r="BH642">
        <f t="shared" si="107"/>
        <v>937.5</v>
      </c>
      <c r="BI642">
        <f t="shared" si="108"/>
        <v>937.5</v>
      </c>
      <c r="BJ642">
        <f>IF($E642="","",IFERROR(VLOOKUP($C642,_CONFIG_Risk_Calibration!$A$5:$H$21,2,FALSE),3))</f>
        <v>3</v>
      </c>
      <c r="BK642">
        <f>IF($E642="","",IFERROR(VLOOKUP($C642,_CONFIG_Risk_Calibration!$A$5:$H$21,3,FALSE),0))</f>
        <v>0</v>
      </c>
      <c r="BL642">
        <f>IF($E642="","",IFERROR(VLOOKUP($C642,_CONFIG_Risk_Calibration!$A$5:$H$21,4,FALSE),3))</f>
        <v>3</v>
      </c>
      <c r="BM642">
        <f>IF($E642="","",IFERROR(VLOOKUP($C642,_CONFIG_Risk_Calibration!$A$5:$H$21,5,FALSE),3))</f>
        <v>4</v>
      </c>
      <c r="BN642" t="str">
        <f>IF($E642="","",IFERROR(VLOOKUP($C642,_CONFIG_Risk_Calibration!$A$5:$H$21,6,FALSE),"No"))</f>
        <v>Yes</v>
      </c>
      <c r="BO642">
        <f>IF($E642="","",IFERROR(VLOOKUP($C642,_CONFIG_Risk_Calibration!$A$5:$H$21,7,FALSE),1))</f>
        <v>5</v>
      </c>
      <c r="BP642">
        <f>IF($H642="","",MAX(1,MIN(5,((6-$H642)*0.45)+($BJ642*0.2)+('Resilience &amp; Risk Scenario'!$B$7*0.15)+($BK642*0.1)+($BL642*0.05)+(IF($BB642="Fast",5,IF($BB642="Slow",1,3))*0.05))))</f>
        <v>3.7</v>
      </c>
      <c r="BQ642">
        <f t="shared" si="109"/>
        <v>5</v>
      </c>
      <c r="BR642">
        <f t="shared" si="110"/>
        <v>18.5</v>
      </c>
      <c r="BS642">
        <f t="shared" si="111"/>
        <v>10.18</v>
      </c>
      <c r="BT642" t="str">
        <f>IFERROR(INDEX(_REF_Capability_Bridge!$D:$D,MATCH($C642&amp;"|"&amp;$D642,_REF_Capability_Bridge!$J:$J,0)),IFERROR(INDEX(_REF_Capability_Bridge!$D:$D,MATCH($C642&amp;"|",_REF_Capability_Bridge!$J:$J,0)),"CAP_GENERIC"))</f>
        <v>CAP_PHYSICAL_SITE_SAFETY</v>
      </c>
      <c r="BU642">
        <f>IFERROR(IFERROR(INDEX(_ENGINE_Relevance!$L:$L,MATCH($BT642,_ENGINE_Relevance!$B:$B,0)),1),1)</f>
        <v>0.4</v>
      </c>
      <c r="BV642" t="str">
        <f>IFERROR(INDEX(_REF_Capability_Bridge!$A:$A,MATCH($C642&amp;"|"&amp;$D642,_REF_Capability_Bridge!$J:$J,0)),IFERROR(INDEX(_REF_Capability_Bridge!$A:$A,MATCH($C642&amp;"|",_REF_Capability_Bridge!$J:$J,0)),"No bridge"))</f>
        <v>BRG-068</v>
      </c>
      <c r="BW642" t="str">
        <f t="shared" si="112"/>
        <v>Capability relevance lowers risk priority</v>
      </c>
      <c r="BX642" t="str">
        <f t="shared" si="113"/>
        <v>Initial / absent</v>
      </c>
      <c r="BY642" t="str">
        <f>IF($E642="","",IFERROR(INDEX(_REF_Treatment_Library!$A$2:$A$296,MATCH(1,INDEX((_REF_Treatment_Library!$B$2:$B$296=$BT642)*(_REF_Treatment_Library!$C$2:$C$296=PV_Canonical_Industry)*(_REF_Treatment_Library!$E$2:$E$296&lt;=N($H642))*(_REF_Treatment_Library!$F$2:$F$296&gt;=N($H642))*(_REF_Treatment_Library!$O$2:$O$296="Yes"),0),0)),IFERROR(INDEX(_REF_Treatment_Library!$A$2:$A$296,MATCH(1,INDEX((_REF_Treatment_Library!$B$2:$B$296=$BT642)*(_REF_Treatment_Library!$C$2:$C$296="All")*(_REF_Treatment_Library!$E$2:$E$296&lt;=N($H642))*(_REF_Treatment_Library!$F$2:$F$296&gt;=N($H642))*(_REF_Treatment_Library!$O$2:$O$296="Yes"),0),0)),"")))</f>
        <v>TRT-PHYSICAL_SITE_SAFETY-INITIAL</v>
      </c>
      <c r="BZ642" t="str">
        <f>IF($BY642="","",IFERROR(INDEX(_REF_Treatment_Library!$H$2:$H$296,MATCH($BY642,_REF_Treatment_Library!$A$2:$A$296,0)),""))</f>
        <v>Establish</v>
      </c>
      <c r="CA642" t="str">
        <f>IF($BY642="","",IFERROR(INDEX(_REF_Treatment_Library!$I$2:$I$296,MATCH($BY642,_REF_Treatment_Library!$A$2:$A$296,0)),""))</f>
        <v>Establish baseline controls for Physical site safety</v>
      </c>
      <c r="CB642" t="str">
        <f>IF($BY642="","",IFERROR(INDEX(_REF_Treatment_Library!$K$2:$K$296,MATCH($BY642,_REF_Treatment_Library!$A$2:$A$296,0)),""))</f>
        <v>Named owner, baseline process, minimum control checklist, first evidence package</v>
      </c>
      <c r="CC642" t="str">
        <f>IF($BY642="","",IFERROR(INDEX(_REF_Treatment_Library!$L$2:$L$296,MATCH($BY642,_REF_Treatment_Library!$A$2:$A$296,0)),""))</f>
        <v>Owner assigned; baseline evidence coverage; open critical gaps</v>
      </c>
      <c r="CD642" t="str">
        <f t="shared" si="114"/>
        <v>Treatment by capability=CAP_PHYSICAL_SITE_SAFETY; band=Initial / absent; score=0.0; treatment=Establish</v>
      </c>
      <c r="CE642" t="str">
        <f>IF($E642="","",IFERROR(INDEX(_REF_Industry_Wording!$A$2:$A$70,MATCH(1,INDEX((_REF_Industry_Wording!$B$2:$B$70=$BT642)*(_REF_Industry_Wording!$C$2:$C$70=PV_Canonical_Industry)*(_REF_Industry_Wording!$K$2:$K$70="Yes"),0),0)),IFERROR(INDEX(_REF_Industry_Wording!$A$2:$A$70,MATCH(1,INDEX((_REF_Industry_Wording!$B$2:$B$70=$BT642)*(_REF_Industry_Wording!$C$2:$C$70="All")*(_REF_Industry_Wording!$K$2:$K$70="Yes"),0),0)),"")))</f>
        <v>IW-ALL-PHYSICAL_SITE_SAFETY</v>
      </c>
      <c r="CF642" t="str">
        <f>IF($CE642="","",IFERROR(INDEX(_REF_Industry_Wording!$E$2:$E$70,MATCH($CE642,_REF_Industry_Wording!$A$2:$A$70,0)),""))</f>
        <v>Physical site safety weakness</v>
      </c>
      <c r="CG642" t="str">
        <f>IF($CE642="","",IFERROR(INDEX(_REF_Industry_Wording!$F$2:$F$70,MATCH($CE642,_REF_Industry_Wording!$A$2:$A$70,0)),""))</f>
        <v>Strengthen Physical site safety</v>
      </c>
      <c r="CH642" t="str">
        <f>IF($CE642="","",IFERROR(INDEX(_REF_Industry_Wording!$G$2:$G$70,MATCH($CE642,_REF_Industry_Wording!$A$2:$A$70,0)),""))</f>
        <v>Strengthen Physical site safety using the selected maturity treatment, crisis scenario and evidence requirements.</v>
      </c>
      <c r="CI642" t="str">
        <f>IF($CE642="","",IFERROR(INDEX(_REF_Industry_Wording!$H$2:$H$70,MATCH($CE642,_REF_Industry_Wording!$A$2:$A$70,0)),""))</f>
        <v>Physical site safety</v>
      </c>
      <c r="CJ642">
        <f>IF($CE642="","",IFERROR(INDEX(_REF_Industry_Wording!$I$2:$I$70,MATCH($CE642,_REF_Industry_Wording!$A$2:$A$70,0)),""))</f>
        <v>0</v>
      </c>
      <c r="CK642" t="str">
        <f>IF($CE642="","",IFERROR(INDEX(_REF_Industry_Wording!$J$2:$J$70,MATCH($CE642,_REF_Industry_Wording!$A$2:$A$70,0)),""))</f>
        <v>Physical site safety</v>
      </c>
      <c r="CL642" t="str">
        <f t="shared" si="115"/>
        <v>Wording by industry=0; capability=CAP_PHYSICAL_SITE_SAFETY; risk label=Physical site safety weakness</v>
      </c>
      <c r="CM642" t="str">
        <f t="shared" si="116"/>
        <v>RISK-ONT-0143</v>
      </c>
      <c r="CN642" t="str">
        <f t="shared" si="117"/>
        <v>RISK-EVT-0143</v>
      </c>
      <c r="CO642" t="str">
        <f t="shared" si="118"/>
        <v>Physical Safety|OH&amp;S governance|PHYS-003|CAP_PHYSICAL_SITE_SAFETY</v>
      </c>
      <c r="CP642" t="str">
        <f t="shared" si="119"/>
        <v>Active</v>
      </c>
      <c r="CQ642" t="str">
        <f t="shared" si="120"/>
        <v>OK: capability-driven</v>
      </c>
      <c r="CR642" t="str">
        <f t="shared" si="121"/>
        <v>Risk ontology uses capability=CAP_PHYSICAL_SITE_SAFETY; bridge=BRG-068; treatment=TRT-PHYSICAL_SITE_SAFETY-INITIAL; wording=IW-ALL-PHYSICAL_SITE_SAFETY</v>
      </c>
      <c r="CS642" t="str">
        <f t="shared" si="122"/>
        <v>Yes</v>
      </c>
    </row>
    <row r="643" spans="1:97" ht="69.900000000000006" customHeight="1">
      <c r="A643">
        <f>IF(OR($B643&lt;&gt;"Yes",$BS643=""),"",SUMPRODUCT(($B$500:$B$923="Yes")*ISNUMBER($BS$500:$BS$923)*($BS$500:$BS$923&gt;$BS643))+COUNTIFS($B$500:$B643,"Yes",$BS$500:$BS643,$BS643))</f>
        <v>398</v>
      </c>
      <c r="B643" t="str">
        <f t="shared" si="91"/>
        <v>Yes</v>
      </c>
      <c r="C643" t="s">
        <v>1666</v>
      </c>
      <c r="D643" t="s">
        <v>1668</v>
      </c>
      <c r="E643" t="s">
        <v>1682</v>
      </c>
      <c r="F643" t="s">
        <v>3685</v>
      </c>
      <c r="G643" t="str">
        <f>IF($H643="","",IFERROR(INDEX(_ENGINE_Risk!$H$5:$M$499,MATCH($E643,_ENGINE_Risk!$A$5:$A$499,0),$H643+1),""))</f>
        <v>Severe risk: contractor and visitor safety induction, permits-to-work, site rules and emergency procedures is not reliably controlled. During Safety incident; Physical site loss; War/security crisis; Natural disaster, the organization may face injury, unsafe facilities, uncontrolled access, asset loss and failure to protect people during incidents with limited visibility or accountability.</v>
      </c>
      <c r="H643">
        <f>IFERROR(VALUE(INDEX(_DATA_Assessment_Model!$H$5:$H$884,MATCH($E643,_DATA_Assessment_Model!$A$5:$A$884,0))),"")</f>
        <v>0</v>
      </c>
      <c r="I643" t="str">
        <f>IF($H643="","",IFERROR(INDEX(_DATA_Assessment_Model!$L$5:$L$884,MATCH($E643,_DATA_Assessment_Model!$A$5:$A$884,0)),IF($H643&lt;=1,"Critical",IF($H643=2,"High",IF($H643=3,"Medium",IF($H643=4,"Low","Resilient"))))))</f>
        <v>Critical</v>
      </c>
      <c r="J643">
        <f t="shared" si="92"/>
        <v>3.7</v>
      </c>
      <c r="K643">
        <f t="shared" si="93"/>
        <v>5</v>
      </c>
      <c r="L643">
        <f t="shared" si="94"/>
        <v>18.5</v>
      </c>
      <c r="M643">
        <f t="shared" si="95"/>
        <v>4</v>
      </c>
      <c r="N643">
        <f>IF($H643="","",IFERROR(INDEX(_ENGINE_Risk!$T$5:$Y$499,MATCH($E643,_ENGINE_Risk!$A$5:$A$499,0),$H643+1),""))</f>
        <v>4</v>
      </c>
      <c r="O643">
        <f t="shared" si="96"/>
        <v>4.666666666666667</v>
      </c>
      <c r="P643">
        <f t="shared" si="97"/>
        <v>5</v>
      </c>
      <c r="Q643">
        <f t="shared" si="98"/>
        <v>5</v>
      </c>
      <c r="R643">
        <f t="shared" si="99"/>
        <v>4.5</v>
      </c>
      <c r="S643">
        <f t="shared" si="100"/>
        <v>1.2</v>
      </c>
      <c r="T643" t="str">
        <f>IF($H643="","",IFERROR(INDEX(_ENGINE_Risk!$N$5:$S$499,MATCH($E643,_ENGINE_Risk!$A$5:$A$499,0),$H643+1),""))</f>
        <v>Create an immediate risk owner, minimum control baseline and fallback procedure for contractor and visitor safety induction, permits-to-work, site rules and emergency procedures. Add it to the crisis risk register and collect first evidence.</v>
      </c>
      <c r="U643">
        <f>IFERROR(INDEX(_DATA_Assessment_Model!$G$5:$G$884,MATCH($E643,_DATA_Assessment_Model!$A$5:$A$884,0)),"")</f>
        <v>5</v>
      </c>
      <c r="V643">
        <f>IFERROR(INDEX(_DATA_Assessment_Model!$W$5:$W$884,MATCH($E643,_DATA_Assessment_Model!$A$5:$A$884,0)),"")</f>
        <v>4</v>
      </c>
      <c r="W643">
        <f>IFERROR(INDEX(_DATA_Assessment_Model!$X$5:$X$884,MATCH($E643,_DATA_Assessment_Model!$A$5:$A$884,0)),"")</f>
        <v>5</v>
      </c>
      <c r="X643">
        <f>IFERROR(INDEX(_DATA_Assessment_Model!$Y$5:$Y$884,MATCH($E643,_DATA_Assessment_Model!$A$5:$A$884,0)),"")</f>
        <v>5</v>
      </c>
      <c r="Y643" t="s">
        <v>1673</v>
      </c>
      <c r="Z643" t="s">
        <v>6587</v>
      </c>
      <c r="AA643" t="s">
        <v>1684</v>
      </c>
      <c r="AB643">
        <f>IFERROR(INDEX(_DATA_Assessment_Model!$U$5:$U$884,MATCH($E643,_DATA_Assessment_Model!$A$5:$A$884,0)),"")</f>
        <v>0</v>
      </c>
      <c r="AF643" t="s">
        <v>1683</v>
      </c>
      <c r="AO643">
        <f>IF($B643="Yes",IF(IFERROR(INDEX(_ENGINE_Crisis!$F$501:$F$517,MATCH($C643,_ENGINE_Crisis!$A$501:$A$517,0)),1)=0,1,IFERROR(INDEX(_ENGINE_Crisis!$F$501:$F$517,MATCH($C643,_ENGINE_Crisis!$A$501:$A$517,0)),1)),"")</f>
        <v>1</v>
      </c>
      <c r="AP643">
        <f t="shared" si="101"/>
        <v>18.5</v>
      </c>
      <c r="AQ643">
        <f t="shared" si="102"/>
        <v>1.2</v>
      </c>
      <c r="AR643" t="str">
        <f>IFERROR(INDEX(_ENGINE_Crisis!$E$41:$E$700,MATCH('Resilience &amp; Risk Scenario'!$B$6&amp;"|"&amp;$C643,_ENGINE_Crisis!$I$41:$I$700,0)),"")</f>
        <v/>
      </c>
      <c r="AS643" t="str">
        <f>IFERROR(INDEX(_ENGINE_Crisis!$G$41:$G$700,MATCH('Resilience &amp; Risk Scenario'!$B$6&amp;"|"&amp;$C643,_ENGINE_Crisis!$I$41:$I$700,0)),"")</f>
        <v/>
      </c>
      <c r="AT643" t="str">
        <f>IFERROR(INDEX(_ENGINE_Initiatives!$A$5:$A$532,MATCH(1,INDEX((_ENGINE_Initiatives!$B$5:$B$532=$C643)*(_ENGINE_Initiatives!$C$5:$C$532=$D643),0),0)),"")</f>
        <v>INI-023</v>
      </c>
      <c r="AU643" t="str">
        <f>IFERROR(INDEX(_ENGINE_Initiatives!$F$5:$F$532,MATCH(1,INDEX((_ENGINE_Initiatives!$B$5:$B$532=$C643)*(_ENGINE_Initiatives!$C$5:$C$532=$D643),0),0)),"")</f>
        <v>Implement occupational health and safety governance system</v>
      </c>
      <c r="AV643">
        <f>IFERROR(INDEX(_ENGINE_Initiatives!$AC$5:$AC$532,MATCH(1,INDEX((_ENGINE_Initiatives!$B$5:$B$532=$C643)*(_ENGINE_Initiatives!$C$5:$C$532=$D643),0),0)),"")</f>
        <v>1.71</v>
      </c>
      <c r="AW643" t="str">
        <f>IFERROR(INDEX(_ENGINE_Initiatives!$AE$5:$AE$532,MATCH(1,INDEX((_ENGINE_Initiatives!$B$5:$B$532=$C643)*(_ENGINE_Initiatives!$C$5:$C$532=$D643),0),0)),"")</f>
        <v>6-12 months</v>
      </c>
      <c r="AX643">
        <f>IF($B643="Yes",IFERROR((IF(SUMIFS(_REF_Model_Content!$E$1:$E$613,_REF_Model_Content!$A$1:$A$613,PV_Canonical_Industry,_REF_Model_Content!$B$1:$B$613,$C643)=0,1,SUMIFS(_REF_Model_Content!$E$1:$E$613,_REF_Model_Content!$A$1:$A$613,PV_Canonical_Industry,_REF_Model_Content!$B$1:$B$613,$C643))*IFERROR($BU643,1)),1),"")</f>
        <v>0.4</v>
      </c>
      <c r="AY643">
        <f t="shared" si="103"/>
        <v>7.4</v>
      </c>
      <c r="AZ643">
        <f t="shared" si="104"/>
        <v>0.48</v>
      </c>
      <c r="BB643" t="str">
        <f>IF($H643="","",IFERROR(INDEX(_ENGINE_Risk!$AE$5:$AE$499,MATCH($E643,_ENGINE_Risk!$A$5:$A$499,0)),"Medium"))</f>
        <v>Fast</v>
      </c>
      <c r="BC643">
        <f t="shared" si="105"/>
        <v>1.25</v>
      </c>
      <c r="BD643">
        <f t="shared" si="106"/>
        <v>0.48</v>
      </c>
      <c r="BF643">
        <f>IF(OR($H643="",$J643=""),"",IFERROR(VLOOKUP(ROUND($J643,0),_CONFIG_Model_Settings!$D$154:$E$158,2,0),""))</f>
        <v>0.5</v>
      </c>
      <c r="BG643">
        <f>IFERROR(IF(OR($H643="",$K643=""),"",ROUND('Company Profile'!$B$113*INDEX(_CONFIG_Model_Settings!$H$154:$H$158,MATCH(ROUND($K643,0),_CONFIG_Model_Settings!$G$154:$G$158,0)),0)),0)</f>
        <v>1875</v>
      </c>
      <c r="BH643">
        <f t="shared" si="107"/>
        <v>937.5</v>
      </c>
      <c r="BI643">
        <f t="shared" si="108"/>
        <v>937.5</v>
      </c>
      <c r="BJ643">
        <f>IF($E643="","",IFERROR(VLOOKUP($C643,_CONFIG_Risk_Calibration!$A$5:$H$21,2,FALSE),3))</f>
        <v>3</v>
      </c>
      <c r="BK643">
        <f>IF($E643="","",IFERROR(VLOOKUP($C643,_CONFIG_Risk_Calibration!$A$5:$H$21,3,FALSE),0))</f>
        <v>0</v>
      </c>
      <c r="BL643">
        <f>IF($E643="","",IFERROR(VLOOKUP($C643,_CONFIG_Risk_Calibration!$A$5:$H$21,4,FALSE),3))</f>
        <v>3</v>
      </c>
      <c r="BM643">
        <f>IF($E643="","",IFERROR(VLOOKUP($C643,_CONFIG_Risk_Calibration!$A$5:$H$21,5,FALSE),3))</f>
        <v>4</v>
      </c>
      <c r="BN643" t="str">
        <f>IF($E643="","",IFERROR(VLOOKUP($C643,_CONFIG_Risk_Calibration!$A$5:$H$21,6,FALSE),"No"))</f>
        <v>Yes</v>
      </c>
      <c r="BO643">
        <f>IF($E643="","",IFERROR(VLOOKUP($C643,_CONFIG_Risk_Calibration!$A$5:$H$21,7,FALSE),1))</f>
        <v>5</v>
      </c>
      <c r="BP643">
        <f>IF($H643="","",MAX(1,MIN(5,((6-$H643)*0.45)+($BJ643*0.2)+('Resilience &amp; Risk Scenario'!$B$7*0.15)+($BK643*0.1)+($BL643*0.05)+(IF($BB643="Fast",5,IF($BB643="Slow",1,3))*0.05))))</f>
        <v>3.7</v>
      </c>
      <c r="BQ643">
        <f t="shared" si="109"/>
        <v>5</v>
      </c>
      <c r="BR643">
        <f t="shared" si="110"/>
        <v>18.5</v>
      </c>
      <c r="BS643">
        <f t="shared" si="111"/>
        <v>10.18</v>
      </c>
      <c r="BT643" t="str">
        <f>IFERROR(INDEX(_REF_Capability_Bridge!$D:$D,MATCH($C643&amp;"|"&amp;$D643,_REF_Capability_Bridge!$J:$J,0)),IFERROR(INDEX(_REF_Capability_Bridge!$D:$D,MATCH($C643&amp;"|",_REF_Capability_Bridge!$J:$J,0)),"CAP_GENERIC"))</f>
        <v>CAP_PHYSICAL_SITE_SAFETY</v>
      </c>
      <c r="BU643">
        <f>IFERROR(IFERROR(INDEX(_ENGINE_Relevance!$L:$L,MATCH($BT643,_ENGINE_Relevance!$B:$B,0)),1),1)</f>
        <v>0.4</v>
      </c>
      <c r="BV643" t="str">
        <f>IFERROR(INDEX(_REF_Capability_Bridge!$A:$A,MATCH($C643&amp;"|"&amp;$D643,_REF_Capability_Bridge!$J:$J,0)),IFERROR(INDEX(_REF_Capability_Bridge!$A:$A,MATCH($C643&amp;"|",_REF_Capability_Bridge!$J:$J,0)),"No bridge"))</f>
        <v>BRG-068</v>
      </c>
      <c r="BW643" t="str">
        <f t="shared" si="112"/>
        <v>Capability relevance lowers risk priority</v>
      </c>
      <c r="BX643" t="str">
        <f t="shared" si="113"/>
        <v>Initial / absent</v>
      </c>
      <c r="BY643" t="str">
        <f>IF($E643="","",IFERROR(INDEX(_REF_Treatment_Library!$A$2:$A$296,MATCH(1,INDEX((_REF_Treatment_Library!$B$2:$B$296=$BT643)*(_REF_Treatment_Library!$C$2:$C$296=PV_Canonical_Industry)*(_REF_Treatment_Library!$E$2:$E$296&lt;=N($H643))*(_REF_Treatment_Library!$F$2:$F$296&gt;=N($H643))*(_REF_Treatment_Library!$O$2:$O$296="Yes"),0),0)),IFERROR(INDEX(_REF_Treatment_Library!$A$2:$A$296,MATCH(1,INDEX((_REF_Treatment_Library!$B$2:$B$296=$BT643)*(_REF_Treatment_Library!$C$2:$C$296="All")*(_REF_Treatment_Library!$E$2:$E$296&lt;=N($H643))*(_REF_Treatment_Library!$F$2:$F$296&gt;=N($H643))*(_REF_Treatment_Library!$O$2:$O$296="Yes"),0),0)),"")))</f>
        <v>TRT-PHYSICAL_SITE_SAFETY-INITIAL</v>
      </c>
      <c r="BZ643" t="str">
        <f>IF($BY643="","",IFERROR(INDEX(_REF_Treatment_Library!$H$2:$H$296,MATCH($BY643,_REF_Treatment_Library!$A$2:$A$296,0)),""))</f>
        <v>Establish</v>
      </c>
      <c r="CA643" t="str">
        <f>IF($BY643="","",IFERROR(INDEX(_REF_Treatment_Library!$I$2:$I$296,MATCH($BY643,_REF_Treatment_Library!$A$2:$A$296,0)),""))</f>
        <v>Establish baseline controls for Physical site safety</v>
      </c>
      <c r="CB643" t="str">
        <f>IF($BY643="","",IFERROR(INDEX(_REF_Treatment_Library!$K$2:$K$296,MATCH($BY643,_REF_Treatment_Library!$A$2:$A$296,0)),""))</f>
        <v>Named owner, baseline process, minimum control checklist, first evidence package</v>
      </c>
      <c r="CC643" t="str">
        <f>IF($BY643="","",IFERROR(INDEX(_REF_Treatment_Library!$L$2:$L$296,MATCH($BY643,_REF_Treatment_Library!$A$2:$A$296,0)),""))</f>
        <v>Owner assigned; baseline evidence coverage; open critical gaps</v>
      </c>
      <c r="CD643" t="str">
        <f t="shared" si="114"/>
        <v>Treatment by capability=CAP_PHYSICAL_SITE_SAFETY; band=Initial / absent; score=0.0; treatment=Establish</v>
      </c>
      <c r="CE643" t="str">
        <f>IF($E643="","",IFERROR(INDEX(_REF_Industry_Wording!$A$2:$A$70,MATCH(1,INDEX((_REF_Industry_Wording!$B$2:$B$70=$BT643)*(_REF_Industry_Wording!$C$2:$C$70=PV_Canonical_Industry)*(_REF_Industry_Wording!$K$2:$K$70="Yes"),0),0)),IFERROR(INDEX(_REF_Industry_Wording!$A$2:$A$70,MATCH(1,INDEX((_REF_Industry_Wording!$B$2:$B$70=$BT643)*(_REF_Industry_Wording!$C$2:$C$70="All")*(_REF_Industry_Wording!$K$2:$K$70="Yes"),0),0)),"")))</f>
        <v>IW-ALL-PHYSICAL_SITE_SAFETY</v>
      </c>
      <c r="CF643" t="str">
        <f>IF($CE643="","",IFERROR(INDEX(_REF_Industry_Wording!$E$2:$E$70,MATCH($CE643,_REF_Industry_Wording!$A$2:$A$70,0)),""))</f>
        <v>Physical site safety weakness</v>
      </c>
      <c r="CG643" t="str">
        <f>IF($CE643="","",IFERROR(INDEX(_REF_Industry_Wording!$F$2:$F$70,MATCH($CE643,_REF_Industry_Wording!$A$2:$A$70,0)),""))</f>
        <v>Strengthen Physical site safety</v>
      </c>
      <c r="CH643" t="str">
        <f>IF($CE643="","",IFERROR(INDEX(_REF_Industry_Wording!$G$2:$G$70,MATCH($CE643,_REF_Industry_Wording!$A$2:$A$70,0)),""))</f>
        <v>Strengthen Physical site safety using the selected maturity treatment, crisis scenario and evidence requirements.</v>
      </c>
      <c r="CI643" t="str">
        <f>IF($CE643="","",IFERROR(INDEX(_REF_Industry_Wording!$H$2:$H$70,MATCH($CE643,_REF_Industry_Wording!$A$2:$A$70,0)),""))</f>
        <v>Physical site safety</v>
      </c>
      <c r="CJ643">
        <f>IF($CE643="","",IFERROR(INDEX(_REF_Industry_Wording!$I$2:$I$70,MATCH($CE643,_REF_Industry_Wording!$A$2:$A$70,0)),""))</f>
        <v>0</v>
      </c>
      <c r="CK643" t="str">
        <f>IF($CE643="","",IFERROR(INDEX(_REF_Industry_Wording!$J$2:$J$70,MATCH($CE643,_REF_Industry_Wording!$A$2:$A$70,0)),""))</f>
        <v>Physical site safety</v>
      </c>
      <c r="CL643" t="str">
        <f t="shared" si="115"/>
        <v>Wording by industry=0; capability=CAP_PHYSICAL_SITE_SAFETY; risk label=Physical site safety weakness</v>
      </c>
      <c r="CM643" t="str">
        <f t="shared" si="116"/>
        <v>RISK-ONT-0144</v>
      </c>
      <c r="CN643" t="str">
        <f t="shared" si="117"/>
        <v>RISK-EVT-0144</v>
      </c>
      <c r="CO643" t="str">
        <f t="shared" si="118"/>
        <v>Physical Safety|OH&amp;S governance|PHYS-004|CAP_PHYSICAL_SITE_SAFETY</v>
      </c>
      <c r="CP643" t="str">
        <f t="shared" si="119"/>
        <v>Active</v>
      </c>
      <c r="CQ643" t="str">
        <f t="shared" si="120"/>
        <v>OK: capability-driven</v>
      </c>
      <c r="CR643" t="str">
        <f t="shared" si="121"/>
        <v>Risk ontology uses capability=CAP_PHYSICAL_SITE_SAFETY; bridge=BRG-068; treatment=TRT-PHYSICAL_SITE_SAFETY-INITIAL; wording=IW-ALL-PHYSICAL_SITE_SAFETY</v>
      </c>
      <c r="CS643" t="str">
        <f t="shared" si="122"/>
        <v>Yes</v>
      </c>
    </row>
    <row r="644" spans="1:97" ht="69.900000000000006" customHeight="1">
      <c r="A644">
        <f>IF(OR($B644&lt;&gt;"Yes",$BS644=""),"",SUMPRODUCT(($B$500:$B$923="Yes")*ISNUMBER($BS$500:$BS$923)*($BS$500:$BS$923&gt;$BS644))+COUNTIFS($B$500:$B644,"Yes",$BS$500:$BS644,$BS644))</f>
        <v>399</v>
      </c>
      <c r="B644" t="str">
        <f t="shared" si="91"/>
        <v>Yes</v>
      </c>
      <c r="C644" t="s">
        <v>1666</v>
      </c>
      <c r="D644" t="s">
        <v>1668</v>
      </c>
      <c r="E644" t="s">
        <v>1686</v>
      </c>
      <c r="F644" t="s">
        <v>3685</v>
      </c>
      <c r="G644" t="str">
        <f>IF($H644="","",IFERROR(INDEX(_ENGINE_Risk!$H$5:$M$499,MATCH($E644,_ENGINE_Risk!$A$5:$A$499,0),$H644+1),""))</f>
        <v>Severe risk: near-miss and safety incident reporting, investigation and corrective action is not reliably controlled. During Safety incident; Physical site loss; War/security crisis; Natural disaster, the organization may face injury, unsafe facilities, uncontrolled access, asset loss and failure to protect people during incidents with limited visibility or accountability.</v>
      </c>
      <c r="H644">
        <f>IFERROR(VALUE(INDEX(_DATA_Assessment_Model!$H$5:$H$884,MATCH($E644,_DATA_Assessment_Model!$A$5:$A$884,0))),"")</f>
        <v>0</v>
      </c>
      <c r="I644" t="str">
        <f>IF($H644="","",IFERROR(INDEX(_DATA_Assessment_Model!$L$5:$L$884,MATCH($E644,_DATA_Assessment_Model!$A$5:$A$884,0)),IF($H644&lt;=1,"Critical",IF($H644=2,"High",IF($H644=3,"Medium",IF($H644=4,"Low","Resilient"))))))</f>
        <v>Critical</v>
      </c>
      <c r="J644">
        <f t="shared" si="92"/>
        <v>3.7</v>
      </c>
      <c r="K644">
        <f t="shared" si="93"/>
        <v>5</v>
      </c>
      <c r="L644">
        <f t="shared" si="94"/>
        <v>18.5</v>
      </c>
      <c r="M644">
        <f t="shared" si="95"/>
        <v>4</v>
      </c>
      <c r="N644">
        <f>IF($H644="","",IFERROR(INDEX(_ENGINE_Risk!$T$5:$Y$499,MATCH($E644,_ENGINE_Risk!$A$5:$A$499,0),$H644+1),""))</f>
        <v>4</v>
      </c>
      <c r="O644">
        <f t="shared" si="96"/>
        <v>4.666666666666667</v>
      </c>
      <c r="P644">
        <f t="shared" si="97"/>
        <v>5</v>
      </c>
      <c r="Q644">
        <f t="shared" si="98"/>
        <v>5</v>
      </c>
      <c r="R644">
        <f t="shared" si="99"/>
        <v>4.5</v>
      </c>
      <c r="S644">
        <f t="shared" si="100"/>
        <v>1.2</v>
      </c>
      <c r="T644" t="str">
        <f>IF($H644="","",IFERROR(INDEX(_ENGINE_Risk!$N$5:$S$499,MATCH($E644,_ENGINE_Risk!$A$5:$A$499,0),$H644+1),""))</f>
        <v>Create an immediate risk owner, minimum control baseline and fallback procedure for near-miss and safety incident reporting, investigation and corrective action. Add it to the crisis risk register and collect first evidence.</v>
      </c>
      <c r="U644">
        <f>IFERROR(INDEX(_DATA_Assessment_Model!$G$5:$G$884,MATCH($E644,_DATA_Assessment_Model!$A$5:$A$884,0)),"")</f>
        <v>5</v>
      </c>
      <c r="V644">
        <f>IFERROR(INDEX(_DATA_Assessment_Model!$W$5:$W$884,MATCH($E644,_DATA_Assessment_Model!$A$5:$A$884,0)),"")</f>
        <v>4</v>
      </c>
      <c r="W644">
        <f>IFERROR(INDEX(_DATA_Assessment_Model!$X$5:$X$884,MATCH($E644,_DATA_Assessment_Model!$A$5:$A$884,0)),"")</f>
        <v>5</v>
      </c>
      <c r="X644">
        <f>IFERROR(INDEX(_DATA_Assessment_Model!$Y$5:$Y$884,MATCH($E644,_DATA_Assessment_Model!$A$5:$A$884,0)),"")</f>
        <v>5</v>
      </c>
      <c r="Y644" t="s">
        <v>1673</v>
      </c>
      <c r="Z644" t="s">
        <v>6587</v>
      </c>
      <c r="AA644" t="s">
        <v>1688</v>
      </c>
      <c r="AB644">
        <f>IFERROR(INDEX(_DATA_Assessment_Model!$U$5:$U$884,MATCH($E644,_DATA_Assessment_Model!$A$5:$A$884,0)),"")</f>
        <v>0</v>
      </c>
      <c r="AF644" t="s">
        <v>1687</v>
      </c>
      <c r="AO644">
        <f>IF($B644="Yes",IF(IFERROR(INDEX(_ENGINE_Crisis!$F$501:$F$517,MATCH($C644,_ENGINE_Crisis!$A$501:$A$517,0)),1)=0,1,IFERROR(INDEX(_ENGINE_Crisis!$F$501:$F$517,MATCH($C644,_ENGINE_Crisis!$A$501:$A$517,0)),1)),"")</f>
        <v>1</v>
      </c>
      <c r="AP644">
        <f t="shared" si="101"/>
        <v>18.5</v>
      </c>
      <c r="AQ644">
        <f t="shared" si="102"/>
        <v>1.2</v>
      </c>
      <c r="AR644" t="str">
        <f>IFERROR(INDEX(_ENGINE_Crisis!$E$41:$E$700,MATCH('Resilience &amp; Risk Scenario'!$B$6&amp;"|"&amp;$C644,_ENGINE_Crisis!$I$41:$I$700,0)),"")</f>
        <v/>
      </c>
      <c r="AS644" t="str">
        <f>IFERROR(INDEX(_ENGINE_Crisis!$G$41:$G$700,MATCH('Resilience &amp; Risk Scenario'!$B$6&amp;"|"&amp;$C644,_ENGINE_Crisis!$I$41:$I$700,0)),"")</f>
        <v/>
      </c>
      <c r="AT644" t="str">
        <f>IFERROR(INDEX(_ENGINE_Initiatives!$A$5:$A$532,MATCH(1,INDEX((_ENGINE_Initiatives!$B$5:$B$532=$C644)*(_ENGINE_Initiatives!$C$5:$C$532=$D644),0),0)),"")</f>
        <v>INI-023</v>
      </c>
      <c r="AU644" t="str">
        <f>IFERROR(INDEX(_ENGINE_Initiatives!$F$5:$F$532,MATCH(1,INDEX((_ENGINE_Initiatives!$B$5:$B$532=$C644)*(_ENGINE_Initiatives!$C$5:$C$532=$D644),0),0)),"")</f>
        <v>Implement occupational health and safety governance system</v>
      </c>
      <c r="AV644">
        <f>IFERROR(INDEX(_ENGINE_Initiatives!$AC$5:$AC$532,MATCH(1,INDEX((_ENGINE_Initiatives!$B$5:$B$532=$C644)*(_ENGINE_Initiatives!$C$5:$C$532=$D644),0),0)),"")</f>
        <v>1.71</v>
      </c>
      <c r="AW644" t="str">
        <f>IFERROR(INDEX(_ENGINE_Initiatives!$AE$5:$AE$532,MATCH(1,INDEX((_ENGINE_Initiatives!$B$5:$B$532=$C644)*(_ENGINE_Initiatives!$C$5:$C$532=$D644),0),0)),"")</f>
        <v>6-12 months</v>
      </c>
      <c r="AX644">
        <f>IF($B644="Yes",IFERROR((IF(SUMIFS(_REF_Model_Content!$E$1:$E$613,_REF_Model_Content!$A$1:$A$613,PV_Canonical_Industry,_REF_Model_Content!$B$1:$B$613,$C644)=0,1,SUMIFS(_REF_Model_Content!$E$1:$E$613,_REF_Model_Content!$A$1:$A$613,PV_Canonical_Industry,_REF_Model_Content!$B$1:$B$613,$C644))*IFERROR($BU644,1)),1),"")</f>
        <v>0.4</v>
      </c>
      <c r="AY644">
        <f t="shared" si="103"/>
        <v>7.4</v>
      </c>
      <c r="AZ644">
        <f t="shared" si="104"/>
        <v>0.48</v>
      </c>
      <c r="BB644" t="str">
        <f>IF($H644="","",IFERROR(INDEX(_ENGINE_Risk!$AE$5:$AE$499,MATCH($E644,_ENGINE_Risk!$A$5:$A$499,0)),"Medium"))</f>
        <v>Fast</v>
      </c>
      <c r="BC644">
        <f t="shared" si="105"/>
        <v>1.25</v>
      </c>
      <c r="BD644">
        <f t="shared" si="106"/>
        <v>0.48</v>
      </c>
      <c r="BF644">
        <f>IF(OR($H644="",$J644=""),"",IFERROR(VLOOKUP(ROUND($J644,0),_CONFIG_Model_Settings!$D$154:$E$158,2,0),""))</f>
        <v>0.5</v>
      </c>
      <c r="BG644">
        <f>IFERROR(IF(OR($H644="",$K644=""),"",ROUND('Company Profile'!$B$113*INDEX(_CONFIG_Model_Settings!$H$154:$H$158,MATCH(ROUND($K644,0),_CONFIG_Model_Settings!$G$154:$G$158,0)),0)),0)</f>
        <v>1875</v>
      </c>
      <c r="BH644">
        <f t="shared" si="107"/>
        <v>937.5</v>
      </c>
      <c r="BI644">
        <f t="shared" si="108"/>
        <v>937.5</v>
      </c>
      <c r="BJ644">
        <f>IF($E644="","",IFERROR(VLOOKUP($C644,_CONFIG_Risk_Calibration!$A$5:$H$21,2,FALSE),3))</f>
        <v>3</v>
      </c>
      <c r="BK644">
        <f>IF($E644="","",IFERROR(VLOOKUP($C644,_CONFIG_Risk_Calibration!$A$5:$H$21,3,FALSE),0))</f>
        <v>0</v>
      </c>
      <c r="BL644">
        <f>IF($E644="","",IFERROR(VLOOKUP($C644,_CONFIG_Risk_Calibration!$A$5:$H$21,4,FALSE),3))</f>
        <v>3</v>
      </c>
      <c r="BM644">
        <f>IF($E644="","",IFERROR(VLOOKUP($C644,_CONFIG_Risk_Calibration!$A$5:$H$21,5,FALSE),3))</f>
        <v>4</v>
      </c>
      <c r="BN644" t="str">
        <f>IF($E644="","",IFERROR(VLOOKUP($C644,_CONFIG_Risk_Calibration!$A$5:$H$21,6,FALSE),"No"))</f>
        <v>Yes</v>
      </c>
      <c r="BO644">
        <f>IF($E644="","",IFERROR(VLOOKUP($C644,_CONFIG_Risk_Calibration!$A$5:$H$21,7,FALSE),1))</f>
        <v>5</v>
      </c>
      <c r="BP644">
        <f>IF($H644="","",MAX(1,MIN(5,((6-$H644)*0.45)+($BJ644*0.2)+('Resilience &amp; Risk Scenario'!$B$7*0.15)+($BK644*0.1)+($BL644*0.05)+(IF($BB644="Fast",5,IF($BB644="Slow",1,3))*0.05))))</f>
        <v>3.7</v>
      </c>
      <c r="BQ644">
        <f t="shared" si="109"/>
        <v>5</v>
      </c>
      <c r="BR644">
        <f t="shared" si="110"/>
        <v>18.5</v>
      </c>
      <c r="BS644">
        <f t="shared" si="111"/>
        <v>10.18</v>
      </c>
      <c r="BT644" t="str">
        <f>IFERROR(INDEX(_REF_Capability_Bridge!$D:$D,MATCH($C644&amp;"|"&amp;$D644,_REF_Capability_Bridge!$J:$J,0)),IFERROR(INDEX(_REF_Capability_Bridge!$D:$D,MATCH($C644&amp;"|",_REF_Capability_Bridge!$J:$J,0)),"CAP_GENERIC"))</f>
        <v>CAP_PHYSICAL_SITE_SAFETY</v>
      </c>
      <c r="BU644">
        <f>IFERROR(IFERROR(INDEX(_ENGINE_Relevance!$L:$L,MATCH($BT644,_ENGINE_Relevance!$B:$B,0)),1),1)</f>
        <v>0.4</v>
      </c>
      <c r="BV644" t="str">
        <f>IFERROR(INDEX(_REF_Capability_Bridge!$A:$A,MATCH($C644&amp;"|"&amp;$D644,_REF_Capability_Bridge!$J:$J,0)),IFERROR(INDEX(_REF_Capability_Bridge!$A:$A,MATCH($C644&amp;"|",_REF_Capability_Bridge!$J:$J,0)),"No bridge"))</f>
        <v>BRG-068</v>
      </c>
      <c r="BW644" t="str">
        <f t="shared" si="112"/>
        <v>Capability relevance lowers risk priority</v>
      </c>
      <c r="BX644" t="str">
        <f t="shared" si="113"/>
        <v>Initial / absent</v>
      </c>
      <c r="BY644" t="str">
        <f>IF($E644="","",IFERROR(INDEX(_REF_Treatment_Library!$A$2:$A$296,MATCH(1,INDEX((_REF_Treatment_Library!$B$2:$B$296=$BT644)*(_REF_Treatment_Library!$C$2:$C$296=PV_Canonical_Industry)*(_REF_Treatment_Library!$E$2:$E$296&lt;=N($H644))*(_REF_Treatment_Library!$F$2:$F$296&gt;=N($H644))*(_REF_Treatment_Library!$O$2:$O$296="Yes"),0),0)),IFERROR(INDEX(_REF_Treatment_Library!$A$2:$A$296,MATCH(1,INDEX((_REF_Treatment_Library!$B$2:$B$296=$BT644)*(_REF_Treatment_Library!$C$2:$C$296="All")*(_REF_Treatment_Library!$E$2:$E$296&lt;=N($H644))*(_REF_Treatment_Library!$F$2:$F$296&gt;=N($H644))*(_REF_Treatment_Library!$O$2:$O$296="Yes"),0),0)),"")))</f>
        <v>TRT-PHYSICAL_SITE_SAFETY-INITIAL</v>
      </c>
      <c r="BZ644" t="str">
        <f>IF($BY644="","",IFERROR(INDEX(_REF_Treatment_Library!$H$2:$H$296,MATCH($BY644,_REF_Treatment_Library!$A$2:$A$296,0)),""))</f>
        <v>Establish</v>
      </c>
      <c r="CA644" t="str">
        <f>IF($BY644="","",IFERROR(INDEX(_REF_Treatment_Library!$I$2:$I$296,MATCH($BY644,_REF_Treatment_Library!$A$2:$A$296,0)),""))</f>
        <v>Establish baseline controls for Physical site safety</v>
      </c>
      <c r="CB644" t="str">
        <f>IF($BY644="","",IFERROR(INDEX(_REF_Treatment_Library!$K$2:$K$296,MATCH($BY644,_REF_Treatment_Library!$A$2:$A$296,0)),""))</f>
        <v>Named owner, baseline process, minimum control checklist, first evidence package</v>
      </c>
      <c r="CC644" t="str">
        <f>IF($BY644="","",IFERROR(INDEX(_REF_Treatment_Library!$L$2:$L$296,MATCH($BY644,_REF_Treatment_Library!$A$2:$A$296,0)),""))</f>
        <v>Owner assigned; baseline evidence coverage; open critical gaps</v>
      </c>
      <c r="CD644" t="str">
        <f t="shared" si="114"/>
        <v>Treatment by capability=CAP_PHYSICAL_SITE_SAFETY; band=Initial / absent; score=0.0; treatment=Establish</v>
      </c>
      <c r="CE644" t="str">
        <f>IF($E644="","",IFERROR(INDEX(_REF_Industry_Wording!$A$2:$A$70,MATCH(1,INDEX((_REF_Industry_Wording!$B$2:$B$70=$BT644)*(_REF_Industry_Wording!$C$2:$C$70=PV_Canonical_Industry)*(_REF_Industry_Wording!$K$2:$K$70="Yes"),0),0)),IFERROR(INDEX(_REF_Industry_Wording!$A$2:$A$70,MATCH(1,INDEX((_REF_Industry_Wording!$B$2:$B$70=$BT644)*(_REF_Industry_Wording!$C$2:$C$70="All")*(_REF_Industry_Wording!$K$2:$K$70="Yes"),0),0)),"")))</f>
        <v>IW-ALL-PHYSICAL_SITE_SAFETY</v>
      </c>
      <c r="CF644" t="str">
        <f>IF($CE644="","",IFERROR(INDEX(_REF_Industry_Wording!$E$2:$E$70,MATCH($CE644,_REF_Industry_Wording!$A$2:$A$70,0)),""))</f>
        <v>Physical site safety weakness</v>
      </c>
      <c r="CG644" t="str">
        <f>IF($CE644="","",IFERROR(INDEX(_REF_Industry_Wording!$F$2:$F$70,MATCH($CE644,_REF_Industry_Wording!$A$2:$A$70,0)),""))</f>
        <v>Strengthen Physical site safety</v>
      </c>
      <c r="CH644" t="str">
        <f>IF($CE644="","",IFERROR(INDEX(_REF_Industry_Wording!$G$2:$G$70,MATCH($CE644,_REF_Industry_Wording!$A$2:$A$70,0)),""))</f>
        <v>Strengthen Physical site safety using the selected maturity treatment, crisis scenario and evidence requirements.</v>
      </c>
      <c r="CI644" t="str">
        <f>IF($CE644="","",IFERROR(INDEX(_REF_Industry_Wording!$H$2:$H$70,MATCH($CE644,_REF_Industry_Wording!$A$2:$A$70,0)),""))</f>
        <v>Physical site safety</v>
      </c>
      <c r="CJ644">
        <f>IF($CE644="","",IFERROR(INDEX(_REF_Industry_Wording!$I$2:$I$70,MATCH($CE644,_REF_Industry_Wording!$A$2:$A$70,0)),""))</f>
        <v>0</v>
      </c>
      <c r="CK644" t="str">
        <f>IF($CE644="","",IFERROR(INDEX(_REF_Industry_Wording!$J$2:$J$70,MATCH($CE644,_REF_Industry_Wording!$A$2:$A$70,0)),""))</f>
        <v>Physical site safety</v>
      </c>
      <c r="CL644" t="str">
        <f t="shared" si="115"/>
        <v>Wording by industry=0; capability=CAP_PHYSICAL_SITE_SAFETY; risk label=Physical site safety weakness</v>
      </c>
      <c r="CM644" t="str">
        <f t="shared" si="116"/>
        <v>RISK-ONT-0145</v>
      </c>
      <c r="CN644" t="str">
        <f t="shared" si="117"/>
        <v>RISK-EVT-0145</v>
      </c>
      <c r="CO644" t="str">
        <f t="shared" si="118"/>
        <v>Physical Safety|OH&amp;S governance|PHYS-005|CAP_PHYSICAL_SITE_SAFETY</v>
      </c>
      <c r="CP644" t="str">
        <f t="shared" si="119"/>
        <v>Active</v>
      </c>
      <c r="CQ644" t="str">
        <f t="shared" si="120"/>
        <v>OK: capability-driven</v>
      </c>
      <c r="CR644" t="str">
        <f t="shared" si="121"/>
        <v>Risk ontology uses capability=CAP_PHYSICAL_SITE_SAFETY; bridge=BRG-068; treatment=TRT-PHYSICAL_SITE_SAFETY-INITIAL; wording=IW-ALL-PHYSICAL_SITE_SAFETY</v>
      </c>
      <c r="CS644" t="str">
        <f t="shared" si="122"/>
        <v>Yes</v>
      </c>
    </row>
    <row r="645" spans="1:97" ht="69.900000000000006" customHeight="1">
      <c r="A645">
        <f>IF(OR($B645&lt;&gt;"Yes",$BS645=""),"",SUMPRODUCT(($B$500:$B$923="Yes")*ISNUMBER($BS$500:$BS$923)*($BS$500:$BS$923&gt;$BS645))+COUNTIFS($B$500:$B645,"Yes",$BS$500:$BS645,$BS645))</f>
        <v>400</v>
      </c>
      <c r="B645" t="str">
        <f t="shared" si="91"/>
        <v>Yes</v>
      </c>
      <c r="C645" t="s">
        <v>1666</v>
      </c>
      <c r="D645" t="s">
        <v>1668</v>
      </c>
      <c r="E645" t="s">
        <v>1690</v>
      </c>
      <c r="F645" t="s">
        <v>3685</v>
      </c>
      <c r="G645" t="str">
        <f>IF($H645="","",IFERROR(INDEX(_ENGINE_Risk!$H$5:$M$499,MATCH($E645,_ENGINE_Risk!$A$5:$A$499,0),$H645+1),""))</f>
        <v>Severe risk: serious incident escalation to executives, legal, insurers and regulators is not reliably controlled. During Safety incident; Physical site loss; War/security crisis; Natural disaster, the organization may face injury, unsafe facilities, uncontrolled access, asset loss and failure to protect people during incidents with limited visibility or accountability.</v>
      </c>
      <c r="H645">
        <f>IFERROR(VALUE(INDEX(_DATA_Assessment_Model!$H$5:$H$884,MATCH($E645,_DATA_Assessment_Model!$A$5:$A$884,0))),"")</f>
        <v>0</v>
      </c>
      <c r="I645" t="str">
        <f>IF($H645="","",IFERROR(INDEX(_DATA_Assessment_Model!$L$5:$L$884,MATCH($E645,_DATA_Assessment_Model!$A$5:$A$884,0)),IF($H645&lt;=1,"Critical",IF($H645=2,"High",IF($H645=3,"Medium",IF($H645=4,"Low","Resilient"))))))</f>
        <v>Critical</v>
      </c>
      <c r="J645">
        <f t="shared" si="92"/>
        <v>3.7</v>
      </c>
      <c r="K645">
        <f t="shared" si="93"/>
        <v>5</v>
      </c>
      <c r="L645">
        <f t="shared" si="94"/>
        <v>18.5</v>
      </c>
      <c r="M645">
        <f t="shared" si="95"/>
        <v>4</v>
      </c>
      <c r="N645">
        <f>IF($H645="","",IFERROR(INDEX(_ENGINE_Risk!$T$5:$Y$499,MATCH($E645,_ENGINE_Risk!$A$5:$A$499,0),$H645+1),""))</f>
        <v>4</v>
      </c>
      <c r="O645">
        <f t="shared" si="96"/>
        <v>4.666666666666667</v>
      </c>
      <c r="P645">
        <f t="shared" si="97"/>
        <v>5</v>
      </c>
      <c r="Q645">
        <f t="shared" si="98"/>
        <v>5</v>
      </c>
      <c r="R645">
        <f t="shared" si="99"/>
        <v>4.5</v>
      </c>
      <c r="S645">
        <f t="shared" si="100"/>
        <v>1.2</v>
      </c>
      <c r="T645" t="str">
        <f>IF($H645="","",IFERROR(INDEX(_ENGINE_Risk!$N$5:$S$499,MATCH($E645,_ENGINE_Risk!$A$5:$A$499,0),$H645+1),""))</f>
        <v>Create an immediate risk owner, minimum control baseline and fallback procedure for serious incident escalation to executives, legal, insurers and regulators. Add it to the crisis risk register and collect first evidence.</v>
      </c>
      <c r="U645">
        <f>IFERROR(INDEX(_DATA_Assessment_Model!$G$5:$G$884,MATCH($E645,_DATA_Assessment_Model!$A$5:$A$884,0)),"")</f>
        <v>5</v>
      </c>
      <c r="V645">
        <f>IFERROR(INDEX(_DATA_Assessment_Model!$W$5:$W$884,MATCH($E645,_DATA_Assessment_Model!$A$5:$A$884,0)),"")</f>
        <v>4</v>
      </c>
      <c r="W645">
        <f>IFERROR(INDEX(_DATA_Assessment_Model!$X$5:$X$884,MATCH($E645,_DATA_Assessment_Model!$A$5:$A$884,0)),"")</f>
        <v>5</v>
      </c>
      <c r="X645">
        <f>IFERROR(INDEX(_DATA_Assessment_Model!$Y$5:$Y$884,MATCH($E645,_DATA_Assessment_Model!$A$5:$A$884,0)),"")</f>
        <v>5</v>
      </c>
      <c r="Y645" t="s">
        <v>1673</v>
      </c>
      <c r="Z645" t="s">
        <v>6587</v>
      </c>
      <c r="AA645" t="s">
        <v>1692</v>
      </c>
      <c r="AB645">
        <f>IFERROR(INDEX(_DATA_Assessment_Model!$U$5:$U$884,MATCH($E645,_DATA_Assessment_Model!$A$5:$A$884,0)),"")</f>
        <v>0</v>
      </c>
      <c r="AF645" t="s">
        <v>1691</v>
      </c>
      <c r="AO645">
        <f>IF($B645="Yes",IF(IFERROR(INDEX(_ENGINE_Crisis!$F$501:$F$517,MATCH($C645,_ENGINE_Crisis!$A$501:$A$517,0)),1)=0,1,IFERROR(INDEX(_ENGINE_Crisis!$F$501:$F$517,MATCH($C645,_ENGINE_Crisis!$A$501:$A$517,0)),1)),"")</f>
        <v>1</v>
      </c>
      <c r="AP645">
        <f t="shared" si="101"/>
        <v>18.5</v>
      </c>
      <c r="AQ645">
        <f t="shared" si="102"/>
        <v>1.2</v>
      </c>
      <c r="AR645" t="str">
        <f>IFERROR(INDEX(_ENGINE_Crisis!$E$41:$E$700,MATCH('Resilience &amp; Risk Scenario'!$B$6&amp;"|"&amp;$C645,_ENGINE_Crisis!$I$41:$I$700,0)),"")</f>
        <v/>
      </c>
      <c r="AS645" t="str">
        <f>IFERROR(INDEX(_ENGINE_Crisis!$G$41:$G$700,MATCH('Resilience &amp; Risk Scenario'!$B$6&amp;"|"&amp;$C645,_ENGINE_Crisis!$I$41:$I$700,0)),"")</f>
        <v/>
      </c>
      <c r="AT645" t="str">
        <f>IFERROR(INDEX(_ENGINE_Initiatives!$A$5:$A$532,MATCH(1,INDEX((_ENGINE_Initiatives!$B$5:$B$532=$C645)*(_ENGINE_Initiatives!$C$5:$C$532=$D645),0),0)),"")</f>
        <v>INI-023</v>
      </c>
      <c r="AU645" t="str">
        <f>IFERROR(INDEX(_ENGINE_Initiatives!$F$5:$F$532,MATCH(1,INDEX((_ENGINE_Initiatives!$B$5:$B$532=$C645)*(_ENGINE_Initiatives!$C$5:$C$532=$D645),0),0)),"")</f>
        <v>Implement occupational health and safety governance system</v>
      </c>
      <c r="AV645">
        <f>IFERROR(INDEX(_ENGINE_Initiatives!$AC$5:$AC$532,MATCH(1,INDEX((_ENGINE_Initiatives!$B$5:$B$532=$C645)*(_ENGINE_Initiatives!$C$5:$C$532=$D645),0),0)),"")</f>
        <v>1.71</v>
      </c>
      <c r="AW645" t="str">
        <f>IFERROR(INDEX(_ENGINE_Initiatives!$AE$5:$AE$532,MATCH(1,INDEX((_ENGINE_Initiatives!$B$5:$B$532=$C645)*(_ENGINE_Initiatives!$C$5:$C$532=$D645),0),0)),"")</f>
        <v>6-12 months</v>
      </c>
      <c r="AX645">
        <f>IF($B645="Yes",IFERROR((IF(SUMIFS(_REF_Model_Content!$E$1:$E$613,_REF_Model_Content!$A$1:$A$613,PV_Canonical_Industry,_REF_Model_Content!$B$1:$B$613,$C645)=0,1,SUMIFS(_REF_Model_Content!$E$1:$E$613,_REF_Model_Content!$A$1:$A$613,PV_Canonical_Industry,_REF_Model_Content!$B$1:$B$613,$C645))*IFERROR($BU645,1)),1),"")</f>
        <v>0.4</v>
      </c>
      <c r="AY645">
        <f t="shared" si="103"/>
        <v>7.4</v>
      </c>
      <c r="AZ645">
        <f t="shared" si="104"/>
        <v>0.48</v>
      </c>
      <c r="BB645" t="str">
        <f>IF($H645="","",IFERROR(INDEX(_ENGINE_Risk!$AE$5:$AE$499,MATCH($E645,_ENGINE_Risk!$A$5:$A$499,0)),"Medium"))</f>
        <v>Fast</v>
      </c>
      <c r="BC645">
        <f t="shared" si="105"/>
        <v>1.25</v>
      </c>
      <c r="BD645">
        <f t="shared" si="106"/>
        <v>0.48</v>
      </c>
      <c r="BF645">
        <f>IF(OR($H645="",$J645=""),"",IFERROR(VLOOKUP(ROUND($J645,0),_CONFIG_Model_Settings!$D$154:$E$158,2,0),""))</f>
        <v>0.5</v>
      </c>
      <c r="BG645">
        <f>IFERROR(IF(OR($H645="",$K645=""),"",ROUND('Company Profile'!$B$113*INDEX(_CONFIG_Model_Settings!$H$154:$H$158,MATCH(ROUND($K645,0),_CONFIG_Model_Settings!$G$154:$G$158,0)),0)),0)</f>
        <v>1875</v>
      </c>
      <c r="BH645">
        <f t="shared" si="107"/>
        <v>937.5</v>
      </c>
      <c r="BI645">
        <f t="shared" si="108"/>
        <v>937.5</v>
      </c>
      <c r="BJ645">
        <f>IF($E645="","",IFERROR(VLOOKUP($C645,_CONFIG_Risk_Calibration!$A$5:$H$21,2,FALSE),3))</f>
        <v>3</v>
      </c>
      <c r="BK645">
        <f>IF($E645="","",IFERROR(VLOOKUP($C645,_CONFIG_Risk_Calibration!$A$5:$H$21,3,FALSE),0))</f>
        <v>0</v>
      </c>
      <c r="BL645">
        <f>IF($E645="","",IFERROR(VLOOKUP($C645,_CONFIG_Risk_Calibration!$A$5:$H$21,4,FALSE),3))</f>
        <v>3</v>
      </c>
      <c r="BM645">
        <f>IF($E645="","",IFERROR(VLOOKUP($C645,_CONFIG_Risk_Calibration!$A$5:$H$21,5,FALSE),3))</f>
        <v>4</v>
      </c>
      <c r="BN645" t="str">
        <f>IF($E645="","",IFERROR(VLOOKUP($C645,_CONFIG_Risk_Calibration!$A$5:$H$21,6,FALSE),"No"))</f>
        <v>Yes</v>
      </c>
      <c r="BO645">
        <f>IF($E645="","",IFERROR(VLOOKUP($C645,_CONFIG_Risk_Calibration!$A$5:$H$21,7,FALSE),1))</f>
        <v>5</v>
      </c>
      <c r="BP645">
        <f>IF($H645="","",MAX(1,MIN(5,((6-$H645)*0.45)+($BJ645*0.2)+('Resilience &amp; Risk Scenario'!$B$7*0.15)+($BK645*0.1)+($BL645*0.05)+(IF($BB645="Fast",5,IF($BB645="Slow",1,3))*0.05))))</f>
        <v>3.7</v>
      </c>
      <c r="BQ645">
        <f t="shared" si="109"/>
        <v>5</v>
      </c>
      <c r="BR645">
        <f t="shared" si="110"/>
        <v>18.5</v>
      </c>
      <c r="BS645">
        <f t="shared" si="111"/>
        <v>10.18</v>
      </c>
      <c r="BT645" t="str">
        <f>IFERROR(INDEX(_REF_Capability_Bridge!$D:$D,MATCH($C645&amp;"|"&amp;$D645,_REF_Capability_Bridge!$J:$J,0)),IFERROR(INDEX(_REF_Capability_Bridge!$D:$D,MATCH($C645&amp;"|",_REF_Capability_Bridge!$J:$J,0)),"CAP_GENERIC"))</f>
        <v>CAP_PHYSICAL_SITE_SAFETY</v>
      </c>
      <c r="BU645">
        <f>IFERROR(IFERROR(INDEX(_ENGINE_Relevance!$L:$L,MATCH($BT645,_ENGINE_Relevance!$B:$B,0)),1),1)</f>
        <v>0.4</v>
      </c>
      <c r="BV645" t="str">
        <f>IFERROR(INDEX(_REF_Capability_Bridge!$A:$A,MATCH($C645&amp;"|"&amp;$D645,_REF_Capability_Bridge!$J:$J,0)),IFERROR(INDEX(_REF_Capability_Bridge!$A:$A,MATCH($C645&amp;"|",_REF_Capability_Bridge!$J:$J,0)),"No bridge"))</f>
        <v>BRG-068</v>
      </c>
      <c r="BW645" t="str">
        <f t="shared" si="112"/>
        <v>Capability relevance lowers risk priority</v>
      </c>
      <c r="BX645" t="str">
        <f t="shared" si="113"/>
        <v>Initial / absent</v>
      </c>
      <c r="BY645" t="str">
        <f>IF($E645="","",IFERROR(INDEX(_REF_Treatment_Library!$A$2:$A$296,MATCH(1,INDEX((_REF_Treatment_Library!$B$2:$B$296=$BT645)*(_REF_Treatment_Library!$C$2:$C$296=PV_Canonical_Industry)*(_REF_Treatment_Library!$E$2:$E$296&lt;=N($H645))*(_REF_Treatment_Library!$F$2:$F$296&gt;=N($H645))*(_REF_Treatment_Library!$O$2:$O$296="Yes"),0),0)),IFERROR(INDEX(_REF_Treatment_Library!$A$2:$A$296,MATCH(1,INDEX((_REF_Treatment_Library!$B$2:$B$296=$BT645)*(_REF_Treatment_Library!$C$2:$C$296="All")*(_REF_Treatment_Library!$E$2:$E$296&lt;=N($H645))*(_REF_Treatment_Library!$F$2:$F$296&gt;=N($H645))*(_REF_Treatment_Library!$O$2:$O$296="Yes"),0),0)),"")))</f>
        <v>TRT-PHYSICAL_SITE_SAFETY-INITIAL</v>
      </c>
      <c r="BZ645" t="str">
        <f>IF($BY645="","",IFERROR(INDEX(_REF_Treatment_Library!$H$2:$H$296,MATCH($BY645,_REF_Treatment_Library!$A$2:$A$296,0)),""))</f>
        <v>Establish</v>
      </c>
      <c r="CA645" t="str">
        <f>IF($BY645="","",IFERROR(INDEX(_REF_Treatment_Library!$I$2:$I$296,MATCH($BY645,_REF_Treatment_Library!$A$2:$A$296,0)),""))</f>
        <v>Establish baseline controls for Physical site safety</v>
      </c>
      <c r="CB645" t="str">
        <f>IF($BY645="","",IFERROR(INDEX(_REF_Treatment_Library!$K$2:$K$296,MATCH($BY645,_REF_Treatment_Library!$A$2:$A$296,0)),""))</f>
        <v>Named owner, baseline process, minimum control checklist, first evidence package</v>
      </c>
      <c r="CC645" t="str">
        <f>IF($BY645="","",IFERROR(INDEX(_REF_Treatment_Library!$L$2:$L$296,MATCH($BY645,_REF_Treatment_Library!$A$2:$A$296,0)),""))</f>
        <v>Owner assigned; baseline evidence coverage; open critical gaps</v>
      </c>
      <c r="CD645" t="str">
        <f t="shared" si="114"/>
        <v>Treatment by capability=CAP_PHYSICAL_SITE_SAFETY; band=Initial / absent; score=0.0; treatment=Establish</v>
      </c>
      <c r="CE645" t="str">
        <f>IF($E645="","",IFERROR(INDEX(_REF_Industry_Wording!$A$2:$A$70,MATCH(1,INDEX((_REF_Industry_Wording!$B$2:$B$70=$BT645)*(_REF_Industry_Wording!$C$2:$C$70=PV_Canonical_Industry)*(_REF_Industry_Wording!$K$2:$K$70="Yes"),0),0)),IFERROR(INDEX(_REF_Industry_Wording!$A$2:$A$70,MATCH(1,INDEX((_REF_Industry_Wording!$B$2:$B$70=$BT645)*(_REF_Industry_Wording!$C$2:$C$70="All")*(_REF_Industry_Wording!$K$2:$K$70="Yes"),0),0)),"")))</f>
        <v>IW-ALL-PHYSICAL_SITE_SAFETY</v>
      </c>
      <c r="CF645" t="str">
        <f>IF($CE645="","",IFERROR(INDEX(_REF_Industry_Wording!$E$2:$E$70,MATCH($CE645,_REF_Industry_Wording!$A$2:$A$70,0)),""))</f>
        <v>Physical site safety weakness</v>
      </c>
      <c r="CG645" t="str">
        <f>IF($CE645="","",IFERROR(INDEX(_REF_Industry_Wording!$F$2:$F$70,MATCH($CE645,_REF_Industry_Wording!$A$2:$A$70,0)),""))</f>
        <v>Strengthen Physical site safety</v>
      </c>
      <c r="CH645" t="str">
        <f>IF($CE645="","",IFERROR(INDEX(_REF_Industry_Wording!$G$2:$G$70,MATCH($CE645,_REF_Industry_Wording!$A$2:$A$70,0)),""))</f>
        <v>Strengthen Physical site safety using the selected maturity treatment, crisis scenario and evidence requirements.</v>
      </c>
      <c r="CI645" t="str">
        <f>IF($CE645="","",IFERROR(INDEX(_REF_Industry_Wording!$H$2:$H$70,MATCH($CE645,_REF_Industry_Wording!$A$2:$A$70,0)),""))</f>
        <v>Physical site safety</v>
      </c>
      <c r="CJ645">
        <f>IF($CE645="","",IFERROR(INDEX(_REF_Industry_Wording!$I$2:$I$70,MATCH($CE645,_REF_Industry_Wording!$A$2:$A$70,0)),""))</f>
        <v>0</v>
      </c>
      <c r="CK645" t="str">
        <f>IF($CE645="","",IFERROR(INDEX(_REF_Industry_Wording!$J$2:$J$70,MATCH($CE645,_REF_Industry_Wording!$A$2:$A$70,0)),""))</f>
        <v>Physical site safety</v>
      </c>
      <c r="CL645" t="str">
        <f t="shared" si="115"/>
        <v>Wording by industry=0; capability=CAP_PHYSICAL_SITE_SAFETY; risk label=Physical site safety weakness</v>
      </c>
      <c r="CM645" t="str">
        <f t="shared" si="116"/>
        <v>RISK-ONT-0146</v>
      </c>
      <c r="CN645" t="str">
        <f t="shared" si="117"/>
        <v>RISK-EVT-0146</v>
      </c>
      <c r="CO645" t="str">
        <f t="shared" si="118"/>
        <v>Physical Safety|OH&amp;S governance|PHYS-006|CAP_PHYSICAL_SITE_SAFETY</v>
      </c>
      <c r="CP645" t="str">
        <f t="shared" si="119"/>
        <v>Active</v>
      </c>
      <c r="CQ645" t="str">
        <f t="shared" si="120"/>
        <v>OK: capability-driven</v>
      </c>
      <c r="CR645" t="str">
        <f t="shared" si="121"/>
        <v>Risk ontology uses capability=CAP_PHYSICAL_SITE_SAFETY; bridge=BRG-068; treatment=TRT-PHYSICAL_SITE_SAFETY-INITIAL; wording=IW-ALL-PHYSICAL_SITE_SAFETY</v>
      </c>
      <c r="CS645" t="str">
        <f t="shared" si="122"/>
        <v>Yes</v>
      </c>
    </row>
    <row r="646" spans="1:97" ht="69.900000000000006" customHeight="1">
      <c r="A646">
        <f>IF(OR($B646&lt;&gt;"Yes",$BS646=""),"",SUMPRODUCT(($B$500:$B$923="Yes")*ISNUMBER($BS$500:$BS$923)*($BS$500:$BS$923&gt;$BS646))+COUNTIFS($B$500:$B646,"Yes",$BS$500:$BS646,$BS646))</f>
        <v>1</v>
      </c>
      <c r="B646" t="str">
        <f t="shared" si="91"/>
        <v>Yes</v>
      </c>
      <c r="C646" t="s">
        <v>1666</v>
      </c>
      <c r="D646" t="s">
        <v>1677</v>
      </c>
      <c r="E646" t="s">
        <v>1694</v>
      </c>
      <c r="F646" t="s">
        <v>3685</v>
      </c>
      <c r="G646" t="str">
        <f>IF($H646="","",IFERROR(INDEX(_ENGINE_Risk!$H$5:$M$499,MATCH($E646,_ENGINE_Risk!$A$5:$A$499,0),$H646+1),""))</f>
        <v>Severe risk: critical facility register with occupancy, business processes, utilities, safety risks and recovery priority is not reliably controlled. During Safety incident; Physical site loss; War/security crisis; Natural disaster, the organization may face injury, unsafe facilities, uncontrolled access, asset loss and failure to protect people during incidents with limited visibility or accountability.</v>
      </c>
      <c r="H646">
        <f>IFERROR(VALUE(INDEX(_DATA_Assessment_Model!$H$5:$H$884,MATCH($E646,_DATA_Assessment_Model!$A$5:$A$884,0))),"")</f>
        <v>0</v>
      </c>
      <c r="I646" t="str">
        <f>IF($H646="","",IFERROR(INDEX(_DATA_Assessment_Model!$L$5:$L$884,MATCH($E646,_DATA_Assessment_Model!$A$5:$A$884,0)),IF($H646&lt;=1,"Critical",IF($H646=2,"High",IF($H646=3,"Medium",IF($H646=4,"Low","Resilient"))))))</f>
        <v>Critical</v>
      </c>
      <c r="J646">
        <f t="shared" si="92"/>
        <v>3.7</v>
      </c>
      <c r="K646">
        <f t="shared" si="93"/>
        <v>5</v>
      </c>
      <c r="L646">
        <f t="shared" si="94"/>
        <v>18.5</v>
      </c>
      <c r="M646">
        <f t="shared" si="95"/>
        <v>4</v>
      </c>
      <c r="N646">
        <f>IF($H646="","",IFERROR(INDEX(_ENGINE_Risk!$T$5:$Y$499,MATCH($E646,_ENGINE_Risk!$A$5:$A$499,0),$H646+1),""))</f>
        <v>4</v>
      </c>
      <c r="O646">
        <f t="shared" si="96"/>
        <v>4.666666666666667</v>
      </c>
      <c r="P646">
        <f t="shared" si="97"/>
        <v>5</v>
      </c>
      <c r="Q646">
        <f t="shared" si="98"/>
        <v>5</v>
      </c>
      <c r="R646">
        <f t="shared" si="99"/>
        <v>4.5</v>
      </c>
      <c r="S646">
        <f t="shared" si="100"/>
        <v>1.2</v>
      </c>
      <c r="T646" t="str">
        <f>IF($H646="","",IFERROR(INDEX(_ENGINE_Risk!$N$5:$S$499,MATCH($E646,_ENGINE_Risk!$A$5:$A$499,0),$H646+1),""))</f>
        <v>Create an immediate risk owner, minimum control baseline and fallback procedure for critical facility register with occupancy, business processes, utilities, safety risks and recovery priority. Add it to the crisis risk register and collect first evidence.</v>
      </c>
      <c r="U646">
        <f>IFERROR(INDEX(_DATA_Assessment_Model!$G$5:$G$884,MATCH($E646,_DATA_Assessment_Model!$A$5:$A$884,0)),"")</f>
        <v>5</v>
      </c>
      <c r="V646">
        <f>IFERROR(INDEX(_DATA_Assessment_Model!$W$5:$W$884,MATCH($E646,_DATA_Assessment_Model!$A$5:$A$884,0)),"")</f>
        <v>4</v>
      </c>
      <c r="W646">
        <f>IFERROR(INDEX(_DATA_Assessment_Model!$X$5:$X$884,MATCH($E646,_DATA_Assessment_Model!$A$5:$A$884,0)),"")</f>
        <v>5</v>
      </c>
      <c r="X646">
        <f>IFERROR(INDEX(_DATA_Assessment_Model!$Y$5:$Y$884,MATCH($E646,_DATA_Assessment_Model!$A$5:$A$884,0)),"")</f>
        <v>5</v>
      </c>
      <c r="Y646" t="s">
        <v>1673</v>
      </c>
      <c r="Z646" t="s">
        <v>6587</v>
      </c>
      <c r="AA646" t="s">
        <v>1696</v>
      </c>
      <c r="AB646">
        <f>IFERROR(INDEX(_DATA_Assessment_Model!$U$5:$U$884,MATCH($E646,_DATA_Assessment_Model!$A$5:$A$884,0)),"")</f>
        <v>0</v>
      </c>
      <c r="AF646" t="s">
        <v>1695</v>
      </c>
      <c r="AO646">
        <f>IF($B646="Yes",IF(IFERROR(INDEX(_ENGINE_Crisis!$F$501:$F$517,MATCH($C646,_ENGINE_Crisis!$A$501:$A$517,0)),1)=0,1,IFERROR(INDEX(_ENGINE_Crisis!$F$501:$F$517,MATCH($C646,_ENGINE_Crisis!$A$501:$A$517,0)),1)),"")</f>
        <v>1</v>
      </c>
      <c r="AP646">
        <f t="shared" si="101"/>
        <v>18.5</v>
      </c>
      <c r="AQ646">
        <f t="shared" si="102"/>
        <v>1.2</v>
      </c>
      <c r="AR646" t="str">
        <f>IFERROR(INDEX(_ENGINE_Crisis!$E$41:$E$700,MATCH('Resilience &amp; Risk Scenario'!$B$6&amp;"|"&amp;$C646,_ENGINE_Crisis!$I$41:$I$700,0)),"")</f>
        <v/>
      </c>
      <c r="AS646" t="str">
        <f>IFERROR(INDEX(_ENGINE_Crisis!$G$41:$G$700,MATCH('Resilience &amp; Risk Scenario'!$B$6&amp;"|"&amp;$C646,_ENGINE_Crisis!$I$41:$I$700,0)),"")</f>
        <v/>
      </c>
      <c r="AT646" t="str">
        <f>IFERROR(INDEX(_ENGINE_Initiatives!$A$5:$A$532,MATCH(1,INDEX((_ENGINE_Initiatives!$B$5:$B$532=$C646)*(_ENGINE_Initiatives!$C$5:$C$532=$D646),0),0)),"")</f>
        <v>INI-024</v>
      </c>
      <c r="AU646" t="str">
        <f>IFERROR(INDEX(_ENGINE_Initiatives!$F$5:$F$532,MATCH(1,INDEX((_ENGINE_Initiatives!$B$5:$B$532=$C646)*(_ENGINE_Initiatives!$C$5:$C$532=$D646),0),0)),"")</f>
        <v>Secure facilities, physical access and site protection controls</v>
      </c>
      <c r="AV646">
        <f>IFERROR(INDEX(_ENGINE_Initiatives!$AC$5:$AC$532,MATCH(1,INDEX((_ENGINE_Initiatives!$B$5:$B$532=$C646)*(_ENGINE_Initiatives!$C$5:$C$532=$D646),0),0)),"")</f>
        <v>1.82</v>
      </c>
      <c r="AW646" t="str">
        <f>IFERROR(INDEX(_ENGINE_Initiatives!$AE$5:$AE$532,MATCH(1,INDEX((_ENGINE_Initiatives!$B$5:$B$532=$C646)*(_ENGINE_Initiatives!$C$5:$C$532=$D646),0),0)),"")</f>
        <v>3-6 months</v>
      </c>
      <c r="AX646">
        <f>IF($B646="Yes",IFERROR((IF(SUMIFS(_REF_Model_Content!$E$1:$E$613,_REF_Model_Content!$A$1:$A$613,PV_Canonical_Industry,_REF_Model_Content!$B$1:$B$613,$C646)=0,1,SUMIFS(_REF_Model_Content!$E$1:$E$613,_REF_Model_Content!$A$1:$A$613,PV_Canonical_Industry,_REF_Model_Content!$B$1:$B$613,$C646))*IFERROR($BU646,1)),1),"")</f>
        <v>1</v>
      </c>
      <c r="AY646">
        <f t="shared" si="103"/>
        <v>18.5</v>
      </c>
      <c r="AZ646">
        <f t="shared" si="104"/>
        <v>1.2</v>
      </c>
      <c r="BB646" t="str">
        <f>IF($H646="","",IFERROR(INDEX(_ENGINE_Risk!$AE$5:$AE$499,MATCH($E646,_ENGINE_Risk!$A$5:$A$499,0)),"Medium"))</f>
        <v>Fast</v>
      </c>
      <c r="BC646">
        <f t="shared" si="105"/>
        <v>1.25</v>
      </c>
      <c r="BD646">
        <f t="shared" si="106"/>
        <v>1.2</v>
      </c>
      <c r="BF646">
        <f>IF(OR($H646="",$J646=""),"",IFERROR(VLOOKUP(ROUND($J646,0),_CONFIG_Model_Settings!$D$154:$E$158,2,0),""))</f>
        <v>0.5</v>
      </c>
      <c r="BG646">
        <f>IFERROR(IF(OR($H646="",$K646=""),"",ROUND('Company Profile'!$B$113*INDEX(_CONFIG_Model_Settings!$H$154:$H$158,MATCH(ROUND($K646,0),_CONFIG_Model_Settings!$G$154:$G$158,0)),0)),0)</f>
        <v>1875</v>
      </c>
      <c r="BH646">
        <f t="shared" si="107"/>
        <v>937.5</v>
      </c>
      <c r="BI646">
        <f t="shared" si="108"/>
        <v>937.5</v>
      </c>
      <c r="BJ646">
        <f>IF($E646="","",IFERROR(VLOOKUP($C646,_CONFIG_Risk_Calibration!$A$5:$H$21,2,FALSE),3))</f>
        <v>3</v>
      </c>
      <c r="BK646">
        <f>IF($E646="","",IFERROR(VLOOKUP($C646,_CONFIG_Risk_Calibration!$A$5:$H$21,3,FALSE),0))</f>
        <v>0</v>
      </c>
      <c r="BL646">
        <f>IF($E646="","",IFERROR(VLOOKUP($C646,_CONFIG_Risk_Calibration!$A$5:$H$21,4,FALSE),3))</f>
        <v>3</v>
      </c>
      <c r="BM646">
        <f>IF($E646="","",IFERROR(VLOOKUP($C646,_CONFIG_Risk_Calibration!$A$5:$H$21,5,FALSE),3))</f>
        <v>4</v>
      </c>
      <c r="BN646" t="str">
        <f>IF($E646="","",IFERROR(VLOOKUP($C646,_CONFIG_Risk_Calibration!$A$5:$H$21,6,FALSE),"No"))</f>
        <v>Yes</v>
      </c>
      <c r="BO646">
        <f>IF($E646="","",IFERROR(VLOOKUP($C646,_CONFIG_Risk_Calibration!$A$5:$H$21,7,FALSE),1))</f>
        <v>5</v>
      </c>
      <c r="BP646">
        <f>IF($H646="","",MAX(1,MIN(5,((6-$H646)*0.45)+($BJ646*0.2)+('Resilience &amp; Risk Scenario'!$B$7*0.15)+($BK646*0.1)+($BL646*0.05)+(IF($BB646="Fast",5,IF($BB646="Slow",1,3))*0.05))))</f>
        <v>3.7</v>
      </c>
      <c r="BQ646">
        <f t="shared" si="109"/>
        <v>5</v>
      </c>
      <c r="BR646">
        <f t="shared" si="110"/>
        <v>18.5</v>
      </c>
      <c r="BS646">
        <f t="shared" si="111"/>
        <v>25.44</v>
      </c>
      <c r="BT646" t="str">
        <f>IFERROR(INDEX(_REF_Capability_Bridge!$D:$D,MATCH($C646&amp;"|"&amp;$D646,_REF_Capability_Bridge!$J:$J,0)),IFERROR(INDEX(_REF_Capability_Bridge!$D:$D,MATCH($C646&amp;"|",_REF_Capability_Bridge!$J:$J,0)),"CAP_GENERIC"))</f>
        <v>CAP_IAM_PAM</v>
      </c>
      <c r="BU646">
        <f>IFERROR(IFERROR(INDEX(_ENGINE_Relevance!$L:$L,MATCH($BT646,_ENGINE_Relevance!$B:$B,0)),1),1)</f>
        <v>1</v>
      </c>
      <c r="BV646" t="str">
        <f>IFERROR(INDEX(_REF_Capability_Bridge!$A:$A,MATCH($C646&amp;"|"&amp;$D646,_REF_Capability_Bridge!$J:$J,0)),IFERROR(INDEX(_REF_Capability_Bridge!$A:$A,MATCH($C646&amp;"|",_REF_Capability_Bridge!$J:$J,0)),"No bridge"))</f>
        <v>BRG-067</v>
      </c>
      <c r="BW646" t="str">
        <f t="shared" si="112"/>
        <v>Capability relevance neutral</v>
      </c>
      <c r="BX646" t="str">
        <f t="shared" si="113"/>
        <v>Initial / absent</v>
      </c>
      <c r="BY646" t="str">
        <f>IF($E646="","",IFERROR(INDEX(_REF_Treatment_Library!$A$2:$A$296,MATCH(1,INDEX((_REF_Treatment_Library!$B$2:$B$296=$BT646)*(_REF_Treatment_Library!$C$2:$C$296=PV_Canonical_Industry)*(_REF_Treatment_Library!$E$2:$E$296&lt;=N($H646))*(_REF_Treatment_Library!$F$2:$F$296&gt;=N($H646))*(_REF_Treatment_Library!$O$2:$O$296="Yes"),0),0)),IFERROR(INDEX(_REF_Treatment_Library!$A$2:$A$296,MATCH(1,INDEX((_REF_Treatment_Library!$B$2:$B$296=$BT646)*(_REF_Treatment_Library!$C$2:$C$296="All")*(_REF_Treatment_Library!$E$2:$E$296&lt;=N($H646))*(_REF_Treatment_Library!$F$2:$F$296&gt;=N($H646))*(_REF_Treatment_Library!$O$2:$O$296="Yes"),0),0)),"")))</f>
        <v>TRT-IAM_PAM-INITIAL</v>
      </c>
      <c r="BZ646" t="str">
        <f>IF($BY646="","",IFERROR(INDEX(_REF_Treatment_Library!$H$2:$H$296,MATCH($BY646,_REF_Treatment_Library!$A$2:$A$296,0)),""))</f>
        <v>Establish</v>
      </c>
      <c r="CA646" t="str">
        <f>IF($BY646="","",IFERROR(INDEX(_REF_Treatment_Library!$I$2:$I$296,MATCH($BY646,_REF_Treatment_Library!$A$2:$A$296,0)),""))</f>
        <v>Establish baseline controls for Identity / PAM</v>
      </c>
      <c r="CB646" t="str">
        <f>IF($BY646="","",IFERROR(INDEX(_REF_Treatment_Library!$K$2:$K$296,MATCH($BY646,_REF_Treatment_Library!$A$2:$A$296,0)),""))</f>
        <v>Named owner, baseline process, minimum control checklist, first evidence package</v>
      </c>
      <c r="CC646" t="str">
        <f>IF($BY646="","",IFERROR(INDEX(_REF_Treatment_Library!$L$2:$L$296,MATCH($BY646,_REF_Treatment_Library!$A$2:$A$296,0)),""))</f>
        <v>Owner assigned; baseline evidence coverage; open critical gaps</v>
      </c>
      <c r="CD646" t="str">
        <f t="shared" si="114"/>
        <v>Treatment by capability=CAP_IAM_PAM; band=Initial / absent; score=0.0; treatment=Establish</v>
      </c>
      <c r="CE646" t="str">
        <f>IF($E646="","",IFERROR(INDEX(_REF_Industry_Wording!$A$2:$A$70,MATCH(1,INDEX((_REF_Industry_Wording!$B$2:$B$70=$BT646)*(_REF_Industry_Wording!$C$2:$C$70=PV_Canonical_Industry)*(_REF_Industry_Wording!$K$2:$K$70="Yes"),0),0)),IFERROR(INDEX(_REF_Industry_Wording!$A$2:$A$70,MATCH(1,INDEX((_REF_Industry_Wording!$B$2:$B$70=$BT646)*(_REF_Industry_Wording!$C$2:$C$70="All")*(_REF_Industry_Wording!$K$2:$K$70="Yes"),0),0)),"")))</f>
        <v>IW-ALL-IAM_PAM</v>
      </c>
      <c r="CF646" t="str">
        <f>IF($CE646="","",IFERROR(INDEX(_REF_Industry_Wording!$E$2:$E$70,MATCH($CE646,_REF_Industry_Wording!$A$2:$A$70,0)),""))</f>
        <v>Identity / PAM weakness</v>
      </c>
      <c r="CG646" t="str">
        <f>IF($CE646="","",IFERROR(INDEX(_REF_Industry_Wording!$F$2:$F$70,MATCH($CE646,_REF_Industry_Wording!$A$2:$A$70,0)),""))</f>
        <v>Strengthen Identity / PAM</v>
      </c>
      <c r="CH646" t="str">
        <f>IF($CE646="","",IFERROR(INDEX(_REF_Industry_Wording!$G$2:$G$70,MATCH($CE646,_REF_Industry_Wording!$A$2:$A$70,0)),""))</f>
        <v>Strengthen Identity / PAM using the selected maturity treatment, crisis scenario and evidence requirements.</v>
      </c>
      <c r="CI646" t="str">
        <f>IF($CE646="","",IFERROR(INDEX(_REF_Industry_Wording!$H$2:$H$70,MATCH($CE646,_REF_Industry_Wording!$A$2:$A$70,0)),""))</f>
        <v>Identity / PAM</v>
      </c>
      <c r="CJ646">
        <f>IF($CE646="","",IFERROR(INDEX(_REF_Industry_Wording!$I$2:$I$70,MATCH($CE646,_REF_Industry_Wording!$A$2:$A$70,0)),""))</f>
        <v>0</v>
      </c>
      <c r="CK646" t="str">
        <f>IF($CE646="","",IFERROR(INDEX(_REF_Industry_Wording!$J$2:$J$70,MATCH($CE646,_REF_Industry_Wording!$A$2:$A$70,0)),""))</f>
        <v>Identity / PAM</v>
      </c>
      <c r="CL646" t="str">
        <f t="shared" si="115"/>
        <v>Wording by industry=0; capability=CAP_IAM_PAM; risk label=Identity / PAM weakness</v>
      </c>
      <c r="CM646" t="str">
        <f t="shared" si="116"/>
        <v>RISK-ONT-0147</v>
      </c>
      <c r="CN646" t="str">
        <f t="shared" si="117"/>
        <v>RISK-EVT-0147</v>
      </c>
      <c r="CO646" t="str">
        <f t="shared" si="118"/>
        <v>Physical Safety|Facilities and access|PHYS-007|CAP_IAM_PAM</v>
      </c>
      <c r="CP646" t="str">
        <f t="shared" si="119"/>
        <v>Active</v>
      </c>
      <c r="CQ646" t="str">
        <f t="shared" si="120"/>
        <v>OK: capability-driven</v>
      </c>
      <c r="CR646" t="str">
        <f t="shared" si="121"/>
        <v>Risk ontology uses capability=CAP_IAM_PAM; bridge=BRG-067; treatment=TRT-IAM_PAM-INITIAL; wording=IW-ALL-IAM_PAM</v>
      </c>
      <c r="CS646" t="str">
        <f t="shared" si="122"/>
        <v>Yes</v>
      </c>
    </row>
    <row r="647" spans="1:97" ht="69.900000000000006" customHeight="1">
      <c r="A647">
        <f>IF(OR($B647&lt;&gt;"Yes",$BS647=""),"",SUMPRODUCT(($B$500:$B$923="Yes")*ISNUMBER($BS$500:$BS$923)*($BS$500:$BS$923&gt;$BS647))+COUNTIFS($B$500:$B647,"Yes",$BS$500:$BS647,$BS647))</f>
        <v>2</v>
      </c>
      <c r="B647" t="str">
        <f t="shared" si="91"/>
        <v>Yes</v>
      </c>
      <c r="C647" t="s">
        <v>1666</v>
      </c>
      <c r="D647" t="s">
        <v>1677</v>
      </c>
      <c r="E647" t="s">
        <v>1697</v>
      </c>
      <c r="F647" t="s">
        <v>3685</v>
      </c>
      <c r="G647" t="str">
        <f>IF($H647="","",IFERROR(INDEX(_ENGINE_Risk!$H$5:$M$499,MATCH($E647,_ENGINE_Risk!$A$5:$A$499,0),$H647+1),""))</f>
        <v>Severe risk: building integrity, fire systems, emergency exits, shelters, alarms, lighting and backup power inspection is not reliably controlled. During Safety incident; Physical site loss; War/security crisis; Natural disaster, the organization may face injury, unsafe facilities, uncontrolled access, asset loss and failure to protect people during incidents with limited visibility or accountability.</v>
      </c>
      <c r="H647">
        <f>IFERROR(VALUE(INDEX(_DATA_Assessment_Model!$H$5:$H$884,MATCH($E647,_DATA_Assessment_Model!$A$5:$A$884,0))),"")</f>
        <v>0</v>
      </c>
      <c r="I647" t="str">
        <f>IF($H647="","",IFERROR(INDEX(_DATA_Assessment_Model!$L$5:$L$884,MATCH($E647,_DATA_Assessment_Model!$A$5:$A$884,0)),IF($H647&lt;=1,"Critical",IF($H647=2,"High",IF($H647=3,"Medium",IF($H647=4,"Low","Resilient"))))))</f>
        <v>Critical</v>
      </c>
      <c r="J647">
        <f t="shared" si="92"/>
        <v>3.7</v>
      </c>
      <c r="K647">
        <f t="shared" si="93"/>
        <v>5</v>
      </c>
      <c r="L647">
        <f t="shared" si="94"/>
        <v>18.5</v>
      </c>
      <c r="M647">
        <f t="shared" si="95"/>
        <v>4</v>
      </c>
      <c r="N647">
        <f>IF($H647="","",IFERROR(INDEX(_ENGINE_Risk!$T$5:$Y$499,MATCH($E647,_ENGINE_Risk!$A$5:$A$499,0),$H647+1),""))</f>
        <v>4</v>
      </c>
      <c r="O647">
        <f t="shared" si="96"/>
        <v>5</v>
      </c>
      <c r="P647">
        <f t="shared" si="97"/>
        <v>5</v>
      </c>
      <c r="Q647">
        <f t="shared" si="98"/>
        <v>5</v>
      </c>
      <c r="R647">
        <f t="shared" si="99"/>
        <v>5</v>
      </c>
      <c r="S647">
        <f t="shared" si="100"/>
        <v>1.25</v>
      </c>
      <c r="T647" t="str">
        <f>IF($H647="","",IFERROR(INDEX(_ENGINE_Risk!$N$5:$S$499,MATCH($E647,_ENGINE_Risk!$A$5:$A$499,0),$H647+1),""))</f>
        <v>Create an immediate risk owner, minimum control baseline and fallback procedure for building integrity, fire systems, emergency exits, shelters, alarms, lighting and backup power inspection. Add it to the crisis risk register and collect first evidence.</v>
      </c>
      <c r="U647">
        <f>IFERROR(INDEX(_DATA_Assessment_Model!$G$5:$G$884,MATCH($E647,_DATA_Assessment_Model!$A$5:$A$884,0)),"")</f>
        <v>5</v>
      </c>
      <c r="V647">
        <f>IFERROR(INDEX(_DATA_Assessment_Model!$W$5:$W$884,MATCH($E647,_DATA_Assessment_Model!$A$5:$A$884,0)),"")</f>
        <v>5</v>
      </c>
      <c r="W647">
        <f>IFERROR(INDEX(_DATA_Assessment_Model!$X$5:$X$884,MATCH($E647,_DATA_Assessment_Model!$A$5:$A$884,0)),"")</f>
        <v>5</v>
      </c>
      <c r="X647">
        <f>IFERROR(INDEX(_DATA_Assessment_Model!$Y$5:$Y$884,MATCH($E647,_DATA_Assessment_Model!$A$5:$A$884,0)),"")</f>
        <v>5</v>
      </c>
      <c r="Y647" t="s">
        <v>1673</v>
      </c>
      <c r="Z647" t="s">
        <v>6587</v>
      </c>
      <c r="AA647" t="s">
        <v>1699</v>
      </c>
      <c r="AB647">
        <f>IFERROR(INDEX(_DATA_Assessment_Model!$U$5:$U$884,MATCH($E647,_DATA_Assessment_Model!$A$5:$A$884,0)),"")</f>
        <v>0</v>
      </c>
      <c r="AF647" t="s">
        <v>1698</v>
      </c>
      <c r="AO647">
        <f>IF($B647="Yes",IF(IFERROR(INDEX(_ENGINE_Crisis!$F$501:$F$517,MATCH($C647,_ENGINE_Crisis!$A$501:$A$517,0)),1)=0,1,IFERROR(INDEX(_ENGINE_Crisis!$F$501:$F$517,MATCH($C647,_ENGINE_Crisis!$A$501:$A$517,0)),1)),"")</f>
        <v>1</v>
      </c>
      <c r="AP647">
        <f t="shared" si="101"/>
        <v>18.5</v>
      </c>
      <c r="AQ647">
        <f t="shared" si="102"/>
        <v>1.25</v>
      </c>
      <c r="AR647" t="str">
        <f>IFERROR(INDEX(_ENGINE_Crisis!$E$41:$E$700,MATCH('Resilience &amp; Risk Scenario'!$B$6&amp;"|"&amp;$C647,_ENGINE_Crisis!$I$41:$I$700,0)),"")</f>
        <v/>
      </c>
      <c r="AS647" t="str">
        <f>IFERROR(INDEX(_ENGINE_Crisis!$G$41:$G$700,MATCH('Resilience &amp; Risk Scenario'!$B$6&amp;"|"&amp;$C647,_ENGINE_Crisis!$I$41:$I$700,0)),"")</f>
        <v/>
      </c>
      <c r="AT647" t="str">
        <f>IFERROR(INDEX(_ENGINE_Initiatives!$A$5:$A$532,MATCH(1,INDEX((_ENGINE_Initiatives!$B$5:$B$532=$C647)*(_ENGINE_Initiatives!$C$5:$C$532=$D647),0),0)),"")</f>
        <v>INI-024</v>
      </c>
      <c r="AU647" t="str">
        <f>IFERROR(INDEX(_ENGINE_Initiatives!$F$5:$F$532,MATCH(1,INDEX((_ENGINE_Initiatives!$B$5:$B$532=$C647)*(_ENGINE_Initiatives!$C$5:$C$532=$D647),0),0)),"")</f>
        <v>Secure facilities, physical access and site protection controls</v>
      </c>
      <c r="AV647">
        <f>IFERROR(INDEX(_ENGINE_Initiatives!$AC$5:$AC$532,MATCH(1,INDEX((_ENGINE_Initiatives!$B$5:$B$532=$C647)*(_ENGINE_Initiatives!$C$5:$C$532=$D647),0),0)),"")</f>
        <v>1.82</v>
      </c>
      <c r="AW647" t="str">
        <f>IFERROR(INDEX(_ENGINE_Initiatives!$AE$5:$AE$532,MATCH(1,INDEX((_ENGINE_Initiatives!$B$5:$B$532=$C647)*(_ENGINE_Initiatives!$C$5:$C$532=$D647),0),0)),"")</f>
        <v>3-6 months</v>
      </c>
      <c r="AX647">
        <f>IF($B647="Yes",IFERROR((IF(SUMIFS(_REF_Model_Content!$E$1:$E$613,_REF_Model_Content!$A$1:$A$613,PV_Canonical_Industry,_REF_Model_Content!$B$1:$B$613,$C647)=0,1,SUMIFS(_REF_Model_Content!$E$1:$E$613,_REF_Model_Content!$A$1:$A$613,PV_Canonical_Industry,_REF_Model_Content!$B$1:$B$613,$C647))*IFERROR($BU647,1)),1),"")</f>
        <v>1</v>
      </c>
      <c r="AY647">
        <f t="shared" si="103"/>
        <v>18.5</v>
      </c>
      <c r="AZ647">
        <f t="shared" si="104"/>
        <v>1.25</v>
      </c>
      <c r="BB647" t="str">
        <f>IF($H647="","",IFERROR(INDEX(_ENGINE_Risk!$AE$5:$AE$499,MATCH($E647,_ENGINE_Risk!$A$5:$A$499,0)),"Medium"))</f>
        <v>Fast</v>
      </c>
      <c r="BC647">
        <f t="shared" si="105"/>
        <v>1.25</v>
      </c>
      <c r="BD647">
        <f t="shared" si="106"/>
        <v>1.25</v>
      </c>
      <c r="BF647">
        <f>IF(OR($H647="",$J647=""),"",IFERROR(VLOOKUP(ROUND($J647,0),_CONFIG_Model_Settings!$D$154:$E$158,2,0),""))</f>
        <v>0.5</v>
      </c>
      <c r="BG647">
        <f>IFERROR(IF(OR($H647="",$K647=""),"",ROUND('Company Profile'!$B$113*INDEX(_CONFIG_Model_Settings!$H$154:$H$158,MATCH(ROUND($K647,0),_CONFIG_Model_Settings!$G$154:$G$158,0)),0)),0)</f>
        <v>1875</v>
      </c>
      <c r="BH647">
        <f t="shared" si="107"/>
        <v>937.5</v>
      </c>
      <c r="BI647">
        <f t="shared" si="108"/>
        <v>937.5</v>
      </c>
      <c r="BJ647">
        <f>IF($E647="","",IFERROR(VLOOKUP($C647,_CONFIG_Risk_Calibration!$A$5:$H$21,2,FALSE),3))</f>
        <v>3</v>
      </c>
      <c r="BK647">
        <f>IF($E647="","",IFERROR(VLOOKUP($C647,_CONFIG_Risk_Calibration!$A$5:$H$21,3,FALSE),0))</f>
        <v>0</v>
      </c>
      <c r="BL647">
        <f>IF($E647="","",IFERROR(VLOOKUP($C647,_CONFIG_Risk_Calibration!$A$5:$H$21,4,FALSE),3))</f>
        <v>3</v>
      </c>
      <c r="BM647">
        <f>IF($E647="","",IFERROR(VLOOKUP($C647,_CONFIG_Risk_Calibration!$A$5:$H$21,5,FALSE),3))</f>
        <v>4</v>
      </c>
      <c r="BN647" t="str">
        <f>IF($E647="","",IFERROR(VLOOKUP($C647,_CONFIG_Risk_Calibration!$A$5:$H$21,6,FALSE),"No"))</f>
        <v>Yes</v>
      </c>
      <c r="BO647">
        <f>IF($E647="","",IFERROR(VLOOKUP($C647,_CONFIG_Risk_Calibration!$A$5:$H$21,7,FALSE),1))</f>
        <v>5</v>
      </c>
      <c r="BP647">
        <f>IF($H647="","",MAX(1,MIN(5,((6-$H647)*0.45)+($BJ647*0.2)+('Resilience &amp; Risk Scenario'!$B$7*0.15)+($BK647*0.1)+($BL647*0.05)+(IF($BB647="Fast",5,IF($BB647="Slow",1,3))*0.05))))</f>
        <v>3.7</v>
      </c>
      <c r="BQ647">
        <f t="shared" si="109"/>
        <v>5</v>
      </c>
      <c r="BR647">
        <f t="shared" si="110"/>
        <v>18.5</v>
      </c>
      <c r="BS647">
        <f t="shared" si="111"/>
        <v>25.44</v>
      </c>
      <c r="BT647" t="str">
        <f>IFERROR(INDEX(_REF_Capability_Bridge!$D:$D,MATCH($C647&amp;"|"&amp;$D647,_REF_Capability_Bridge!$J:$J,0)),IFERROR(INDEX(_REF_Capability_Bridge!$D:$D,MATCH($C647&amp;"|",_REF_Capability_Bridge!$J:$J,0)),"CAP_GENERIC"))</f>
        <v>CAP_IAM_PAM</v>
      </c>
      <c r="BU647">
        <f>IFERROR(IFERROR(INDEX(_ENGINE_Relevance!$L:$L,MATCH($BT647,_ENGINE_Relevance!$B:$B,0)),1),1)</f>
        <v>1</v>
      </c>
      <c r="BV647" t="str">
        <f>IFERROR(INDEX(_REF_Capability_Bridge!$A:$A,MATCH($C647&amp;"|"&amp;$D647,_REF_Capability_Bridge!$J:$J,0)),IFERROR(INDEX(_REF_Capability_Bridge!$A:$A,MATCH($C647&amp;"|",_REF_Capability_Bridge!$J:$J,0)),"No bridge"))</f>
        <v>BRG-067</v>
      </c>
      <c r="BW647" t="str">
        <f t="shared" si="112"/>
        <v>Capability relevance neutral</v>
      </c>
      <c r="BX647" t="str">
        <f t="shared" si="113"/>
        <v>Initial / absent</v>
      </c>
      <c r="BY647" t="str">
        <f>IF($E647="","",IFERROR(INDEX(_REF_Treatment_Library!$A$2:$A$296,MATCH(1,INDEX((_REF_Treatment_Library!$B$2:$B$296=$BT647)*(_REF_Treatment_Library!$C$2:$C$296=PV_Canonical_Industry)*(_REF_Treatment_Library!$E$2:$E$296&lt;=N($H647))*(_REF_Treatment_Library!$F$2:$F$296&gt;=N($H647))*(_REF_Treatment_Library!$O$2:$O$296="Yes"),0),0)),IFERROR(INDEX(_REF_Treatment_Library!$A$2:$A$296,MATCH(1,INDEX((_REF_Treatment_Library!$B$2:$B$296=$BT647)*(_REF_Treatment_Library!$C$2:$C$296="All")*(_REF_Treatment_Library!$E$2:$E$296&lt;=N($H647))*(_REF_Treatment_Library!$F$2:$F$296&gt;=N($H647))*(_REF_Treatment_Library!$O$2:$O$296="Yes"),0),0)),"")))</f>
        <v>TRT-IAM_PAM-INITIAL</v>
      </c>
      <c r="BZ647" t="str">
        <f>IF($BY647="","",IFERROR(INDEX(_REF_Treatment_Library!$H$2:$H$296,MATCH($BY647,_REF_Treatment_Library!$A$2:$A$296,0)),""))</f>
        <v>Establish</v>
      </c>
      <c r="CA647" t="str">
        <f>IF($BY647="","",IFERROR(INDEX(_REF_Treatment_Library!$I$2:$I$296,MATCH($BY647,_REF_Treatment_Library!$A$2:$A$296,0)),""))</f>
        <v>Establish baseline controls for Identity / PAM</v>
      </c>
      <c r="CB647" t="str">
        <f>IF($BY647="","",IFERROR(INDEX(_REF_Treatment_Library!$K$2:$K$296,MATCH($BY647,_REF_Treatment_Library!$A$2:$A$296,0)),""))</f>
        <v>Named owner, baseline process, minimum control checklist, first evidence package</v>
      </c>
      <c r="CC647" t="str">
        <f>IF($BY647="","",IFERROR(INDEX(_REF_Treatment_Library!$L$2:$L$296,MATCH($BY647,_REF_Treatment_Library!$A$2:$A$296,0)),""))</f>
        <v>Owner assigned; baseline evidence coverage; open critical gaps</v>
      </c>
      <c r="CD647" t="str">
        <f t="shared" si="114"/>
        <v>Treatment by capability=CAP_IAM_PAM; band=Initial / absent; score=0.0; treatment=Establish</v>
      </c>
      <c r="CE647" t="str">
        <f>IF($E647="","",IFERROR(INDEX(_REF_Industry_Wording!$A$2:$A$70,MATCH(1,INDEX((_REF_Industry_Wording!$B$2:$B$70=$BT647)*(_REF_Industry_Wording!$C$2:$C$70=PV_Canonical_Industry)*(_REF_Industry_Wording!$K$2:$K$70="Yes"),0),0)),IFERROR(INDEX(_REF_Industry_Wording!$A$2:$A$70,MATCH(1,INDEX((_REF_Industry_Wording!$B$2:$B$70=$BT647)*(_REF_Industry_Wording!$C$2:$C$70="All")*(_REF_Industry_Wording!$K$2:$K$70="Yes"),0),0)),"")))</f>
        <v>IW-ALL-IAM_PAM</v>
      </c>
      <c r="CF647" t="str">
        <f>IF($CE647="","",IFERROR(INDEX(_REF_Industry_Wording!$E$2:$E$70,MATCH($CE647,_REF_Industry_Wording!$A$2:$A$70,0)),""))</f>
        <v>Identity / PAM weakness</v>
      </c>
      <c r="CG647" t="str">
        <f>IF($CE647="","",IFERROR(INDEX(_REF_Industry_Wording!$F$2:$F$70,MATCH($CE647,_REF_Industry_Wording!$A$2:$A$70,0)),""))</f>
        <v>Strengthen Identity / PAM</v>
      </c>
      <c r="CH647" t="str">
        <f>IF($CE647="","",IFERROR(INDEX(_REF_Industry_Wording!$G$2:$G$70,MATCH($CE647,_REF_Industry_Wording!$A$2:$A$70,0)),""))</f>
        <v>Strengthen Identity / PAM using the selected maturity treatment, crisis scenario and evidence requirements.</v>
      </c>
      <c r="CI647" t="str">
        <f>IF($CE647="","",IFERROR(INDEX(_REF_Industry_Wording!$H$2:$H$70,MATCH($CE647,_REF_Industry_Wording!$A$2:$A$70,0)),""))</f>
        <v>Identity / PAM</v>
      </c>
      <c r="CJ647">
        <f>IF($CE647="","",IFERROR(INDEX(_REF_Industry_Wording!$I$2:$I$70,MATCH($CE647,_REF_Industry_Wording!$A$2:$A$70,0)),""))</f>
        <v>0</v>
      </c>
      <c r="CK647" t="str">
        <f>IF($CE647="","",IFERROR(INDEX(_REF_Industry_Wording!$J$2:$J$70,MATCH($CE647,_REF_Industry_Wording!$A$2:$A$70,0)),""))</f>
        <v>Identity / PAM</v>
      </c>
      <c r="CL647" t="str">
        <f t="shared" si="115"/>
        <v>Wording by industry=0; capability=CAP_IAM_PAM; risk label=Identity / PAM weakness</v>
      </c>
      <c r="CM647" t="str">
        <f t="shared" si="116"/>
        <v>RISK-ONT-0148</v>
      </c>
      <c r="CN647" t="str">
        <f t="shared" si="117"/>
        <v>RISK-EVT-0148</v>
      </c>
      <c r="CO647" t="str">
        <f t="shared" si="118"/>
        <v>Physical Safety|Facilities and access|PHYS-008|CAP_IAM_PAM</v>
      </c>
      <c r="CP647" t="str">
        <f t="shared" si="119"/>
        <v>Active</v>
      </c>
      <c r="CQ647" t="str">
        <f t="shared" si="120"/>
        <v>OK: capability-driven</v>
      </c>
      <c r="CR647" t="str">
        <f t="shared" si="121"/>
        <v>Risk ontology uses capability=CAP_IAM_PAM; bridge=BRG-067; treatment=TRT-IAM_PAM-INITIAL; wording=IW-ALL-IAM_PAM</v>
      </c>
      <c r="CS647" t="str">
        <f t="shared" si="122"/>
        <v>Yes</v>
      </c>
    </row>
    <row r="648" spans="1:97" ht="69.900000000000006" customHeight="1">
      <c r="A648">
        <f>IF(OR($B648&lt;&gt;"Yes",$BS648=""),"",SUMPRODUCT(($B$500:$B$923="Yes")*ISNUMBER($BS$500:$BS$923)*($BS$500:$BS$923&gt;$BS648))+COUNTIFS($B$500:$B648,"Yes",$BS$500:$BS648,$BS648))</f>
        <v>3</v>
      </c>
      <c r="B648" t="str">
        <f t="shared" si="91"/>
        <v>Yes</v>
      </c>
      <c r="C648" t="s">
        <v>1666</v>
      </c>
      <c r="D648" t="s">
        <v>1677</v>
      </c>
      <c r="E648" t="s">
        <v>1700</v>
      </c>
      <c r="F648" t="s">
        <v>3685</v>
      </c>
      <c r="G648" t="str">
        <f>IF($H648="","",IFERROR(INDEX(_ENGINE_Risk!$H$5:$M$499,MATCH($E648,_ENGINE_Risk!$A$5:$A$499,0),$H648+1),""))</f>
        <v>Severe risk: physical access control linked to HR onboarding, offboarding and periodic access review is not reliably controlled. During Safety incident; Physical site loss; War/security crisis; Natural disaster, the organization may face injury, unsafe facilities, uncontrolled access, asset loss and failure to protect people during incidents with limited visibility or accountability.</v>
      </c>
      <c r="H648">
        <f>IFERROR(VALUE(INDEX(_DATA_Assessment_Model!$H$5:$H$884,MATCH($E648,_DATA_Assessment_Model!$A$5:$A$884,0))),"")</f>
        <v>0</v>
      </c>
      <c r="I648" t="str">
        <f>IF($H648="","",IFERROR(INDEX(_DATA_Assessment_Model!$L$5:$L$884,MATCH($E648,_DATA_Assessment_Model!$A$5:$A$884,0)),IF($H648&lt;=1,"Critical",IF($H648=2,"High",IF($H648=3,"Medium",IF($H648=4,"Low","Resilient"))))))</f>
        <v>Critical</v>
      </c>
      <c r="J648">
        <f t="shared" si="92"/>
        <v>3.7</v>
      </c>
      <c r="K648">
        <f t="shared" si="93"/>
        <v>5</v>
      </c>
      <c r="L648">
        <f t="shared" si="94"/>
        <v>18.5</v>
      </c>
      <c r="M648">
        <f t="shared" si="95"/>
        <v>4</v>
      </c>
      <c r="N648">
        <f>IF($H648="","",IFERROR(INDEX(_ENGINE_Risk!$T$5:$Y$499,MATCH($E648,_ENGINE_Risk!$A$5:$A$499,0),$H648+1),""))</f>
        <v>4</v>
      </c>
      <c r="O648">
        <f t="shared" si="96"/>
        <v>4.333333333333333</v>
      </c>
      <c r="P648">
        <f t="shared" si="97"/>
        <v>5</v>
      </c>
      <c r="Q648">
        <f t="shared" si="98"/>
        <v>5</v>
      </c>
      <c r="R648">
        <f t="shared" si="99"/>
        <v>4.5</v>
      </c>
      <c r="S648">
        <f t="shared" si="100"/>
        <v>1.18</v>
      </c>
      <c r="T648" t="str">
        <f>IF($H648="","",IFERROR(INDEX(_ENGINE_Risk!$N$5:$S$499,MATCH($E648,_ENGINE_Risk!$A$5:$A$499,0),$H648+1),""))</f>
        <v>Create an immediate risk owner, minimum control baseline and fallback procedure for physical access control linked to HR onboarding, offboarding and periodic access review. Add it to the crisis risk register and collect first evidence.</v>
      </c>
      <c r="U648">
        <f>IFERROR(INDEX(_DATA_Assessment_Model!$G$5:$G$884,MATCH($E648,_DATA_Assessment_Model!$A$5:$A$884,0)),"")</f>
        <v>4</v>
      </c>
      <c r="V648">
        <f>IFERROR(INDEX(_DATA_Assessment_Model!$W$5:$W$884,MATCH($E648,_DATA_Assessment_Model!$A$5:$A$884,0)),"")</f>
        <v>4</v>
      </c>
      <c r="W648">
        <f>IFERROR(INDEX(_DATA_Assessment_Model!$X$5:$X$884,MATCH($E648,_DATA_Assessment_Model!$A$5:$A$884,0)),"")</f>
        <v>5</v>
      </c>
      <c r="X648">
        <f>IFERROR(INDEX(_DATA_Assessment_Model!$Y$5:$Y$884,MATCH($E648,_DATA_Assessment_Model!$A$5:$A$884,0)),"")</f>
        <v>5</v>
      </c>
      <c r="Y648" t="s">
        <v>1673</v>
      </c>
      <c r="Z648" t="s">
        <v>6587</v>
      </c>
      <c r="AA648" t="s">
        <v>1702</v>
      </c>
      <c r="AB648">
        <f>IFERROR(INDEX(_DATA_Assessment_Model!$U$5:$U$884,MATCH($E648,_DATA_Assessment_Model!$A$5:$A$884,0)),"")</f>
        <v>0</v>
      </c>
      <c r="AF648" t="s">
        <v>1701</v>
      </c>
      <c r="AO648">
        <f>IF($B648="Yes",IF(IFERROR(INDEX(_ENGINE_Crisis!$F$501:$F$517,MATCH($C648,_ENGINE_Crisis!$A$501:$A$517,0)),1)=0,1,IFERROR(INDEX(_ENGINE_Crisis!$F$501:$F$517,MATCH($C648,_ENGINE_Crisis!$A$501:$A$517,0)),1)),"")</f>
        <v>1</v>
      </c>
      <c r="AP648">
        <f t="shared" si="101"/>
        <v>18.5</v>
      </c>
      <c r="AQ648">
        <f t="shared" si="102"/>
        <v>1.18</v>
      </c>
      <c r="AR648" t="str">
        <f>IFERROR(INDEX(_ENGINE_Crisis!$E$41:$E$700,MATCH('Resilience &amp; Risk Scenario'!$B$6&amp;"|"&amp;$C648,_ENGINE_Crisis!$I$41:$I$700,0)),"")</f>
        <v/>
      </c>
      <c r="AS648" t="str">
        <f>IFERROR(INDEX(_ENGINE_Crisis!$G$41:$G$700,MATCH('Resilience &amp; Risk Scenario'!$B$6&amp;"|"&amp;$C648,_ENGINE_Crisis!$I$41:$I$700,0)),"")</f>
        <v/>
      </c>
      <c r="AT648" t="str">
        <f>IFERROR(INDEX(_ENGINE_Initiatives!$A$5:$A$532,MATCH(1,INDEX((_ENGINE_Initiatives!$B$5:$B$532=$C648)*(_ENGINE_Initiatives!$C$5:$C$532=$D648),0),0)),"")</f>
        <v>INI-024</v>
      </c>
      <c r="AU648" t="str">
        <f>IFERROR(INDEX(_ENGINE_Initiatives!$F$5:$F$532,MATCH(1,INDEX((_ENGINE_Initiatives!$B$5:$B$532=$C648)*(_ENGINE_Initiatives!$C$5:$C$532=$D648),0),0)),"")</f>
        <v>Secure facilities, physical access and site protection controls</v>
      </c>
      <c r="AV648">
        <f>IFERROR(INDEX(_ENGINE_Initiatives!$AC$5:$AC$532,MATCH(1,INDEX((_ENGINE_Initiatives!$B$5:$B$532=$C648)*(_ENGINE_Initiatives!$C$5:$C$532=$D648),0),0)),"")</f>
        <v>1.82</v>
      </c>
      <c r="AW648" t="str">
        <f>IFERROR(INDEX(_ENGINE_Initiatives!$AE$5:$AE$532,MATCH(1,INDEX((_ENGINE_Initiatives!$B$5:$B$532=$C648)*(_ENGINE_Initiatives!$C$5:$C$532=$D648),0),0)),"")</f>
        <v>3-6 months</v>
      </c>
      <c r="AX648">
        <f>IF($B648="Yes",IFERROR((IF(SUMIFS(_REF_Model_Content!$E$1:$E$613,_REF_Model_Content!$A$1:$A$613,PV_Canonical_Industry,_REF_Model_Content!$B$1:$B$613,$C648)=0,1,SUMIFS(_REF_Model_Content!$E$1:$E$613,_REF_Model_Content!$A$1:$A$613,PV_Canonical_Industry,_REF_Model_Content!$B$1:$B$613,$C648))*IFERROR($BU648,1)),1),"")</f>
        <v>1</v>
      </c>
      <c r="AY648">
        <f t="shared" si="103"/>
        <v>18.5</v>
      </c>
      <c r="AZ648">
        <f t="shared" si="104"/>
        <v>1.18</v>
      </c>
      <c r="BB648" t="str">
        <f>IF($H648="","",IFERROR(INDEX(_ENGINE_Risk!$AE$5:$AE$499,MATCH($E648,_ENGINE_Risk!$A$5:$A$499,0)),"Medium"))</f>
        <v>Fast</v>
      </c>
      <c r="BC648">
        <f t="shared" si="105"/>
        <v>1.25</v>
      </c>
      <c r="BD648">
        <f t="shared" si="106"/>
        <v>1.18</v>
      </c>
      <c r="BF648">
        <f>IF(OR($H648="",$J648=""),"",IFERROR(VLOOKUP(ROUND($J648,0),_CONFIG_Model_Settings!$D$154:$E$158,2,0),""))</f>
        <v>0.5</v>
      </c>
      <c r="BG648">
        <f>IFERROR(IF(OR($H648="",$K648=""),"",ROUND('Company Profile'!$B$113*INDEX(_CONFIG_Model_Settings!$H$154:$H$158,MATCH(ROUND($K648,0),_CONFIG_Model_Settings!$G$154:$G$158,0)),0)),0)</f>
        <v>1875</v>
      </c>
      <c r="BH648">
        <f t="shared" si="107"/>
        <v>937.5</v>
      </c>
      <c r="BI648">
        <f t="shared" si="108"/>
        <v>937.5</v>
      </c>
      <c r="BJ648">
        <f>IF($E648="","",IFERROR(VLOOKUP($C648,_CONFIG_Risk_Calibration!$A$5:$H$21,2,FALSE),3))</f>
        <v>3</v>
      </c>
      <c r="BK648">
        <f>IF($E648="","",IFERROR(VLOOKUP($C648,_CONFIG_Risk_Calibration!$A$5:$H$21,3,FALSE),0))</f>
        <v>0</v>
      </c>
      <c r="BL648">
        <f>IF($E648="","",IFERROR(VLOOKUP($C648,_CONFIG_Risk_Calibration!$A$5:$H$21,4,FALSE),3))</f>
        <v>3</v>
      </c>
      <c r="BM648">
        <f>IF($E648="","",IFERROR(VLOOKUP($C648,_CONFIG_Risk_Calibration!$A$5:$H$21,5,FALSE),3))</f>
        <v>4</v>
      </c>
      <c r="BN648" t="str">
        <f>IF($E648="","",IFERROR(VLOOKUP($C648,_CONFIG_Risk_Calibration!$A$5:$H$21,6,FALSE),"No"))</f>
        <v>Yes</v>
      </c>
      <c r="BO648">
        <f>IF($E648="","",IFERROR(VLOOKUP($C648,_CONFIG_Risk_Calibration!$A$5:$H$21,7,FALSE),1))</f>
        <v>5</v>
      </c>
      <c r="BP648">
        <f>IF($H648="","",MAX(1,MIN(5,((6-$H648)*0.45)+($BJ648*0.2)+('Resilience &amp; Risk Scenario'!$B$7*0.15)+($BK648*0.1)+($BL648*0.05)+(IF($BB648="Fast",5,IF($BB648="Slow",1,3))*0.05))))</f>
        <v>3.7</v>
      </c>
      <c r="BQ648">
        <f t="shared" si="109"/>
        <v>5</v>
      </c>
      <c r="BR648">
        <f t="shared" si="110"/>
        <v>18.5</v>
      </c>
      <c r="BS648">
        <f t="shared" si="111"/>
        <v>25.44</v>
      </c>
      <c r="BT648" t="str">
        <f>IFERROR(INDEX(_REF_Capability_Bridge!$D:$D,MATCH($C648&amp;"|"&amp;$D648,_REF_Capability_Bridge!$J:$J,0)),IFERROR(INDEX(_REF_Capability_Bridge!$D:$D,MATCH($C648&amp;"|",_REF_Capability_Bridge!$J:$J,0)),"CAP_GENERIC"))</f>
        <v>CAP_IAM_PAM</v>
      </c>
      <c r="BU648">
        <f>IFERROR(IFERROR(INDEX(_ENGINE_Relevance!$L:$L,MATCH($BT648,_ENGINE_Relevance!$B:$B,0)),1),1)</f>
        <v>1</v>
      </c>
      <c r="BV648" t="str">
        <f>IFERROR(INDEX(_REF_Capability_Bridge!$A:$A,MATCH($C648&amp;"|"&amp;$D648,_REF_Capability_Bridge!$J:$J,0)),IFERROR(INDEX(_REF_Capability_Bridge!$A:$A,MATCH($C648&amp;"|",_REF_Capability_Bridge!$J:$J,0)),"No bridge"))</f>
        <v>BRG-067</v>
      </c>
      <c r="BW648" t="str">
        <f t="shared" si="112"/>
        <v>Capability relevance neutral</v>
      </c>
      <c r="BX648" t="str">
        <f t="shared" si="113"/>
        <v>Initial / absent</v>
      </c>
      <c r="BY648" t="str">
        <f>IF($E648="","",IFERROR(INDEX(_REF_Treatment_Library!$A$2:$A$296,MATCH(1,INDEX((_REF_Treatment_Library!$B$2:$B$296=$BT648)*(_REF_Treatment_Library!$C$2:$C$296=PV_Canonical_Industry)*(_REF_Treatment_Library!$E$2:$E$296&lt;=N($H648))*(_REF_Treatment_Library!$F$2:$F$296&gt;=N($H648))*(_REF_Treatment_Library!$O$2:$O$296="Yes"),0),0)),IFERROR(INDEX(_REF_Treatment_Library!$A$2:$A$296,MATCH(1,INDEX((_REF_Treatment_Library!$B$2:$B$296=$BT648)*(_REF_Treatment_Library!$C$2:$C$296="All")*(_REF_Treatment_Library!$E$2:$E$296&lt;=N($H648))*(_REF_Treatment_Library!$F$2:$F$296&gt;=N($H648))*(_REF_Treatment_Library!$O$2:$O$296="Yes"),0),0)),"")))</f>
        <v>TRT-IAM_PAM-INITIAL</v>
      </c>
      <c r="BZ648" t="str">
        <f>IF($BY648="","",IFERROR(INDEX(_REF_Treatment_Library!$H$2:$H$296,MATCH($BY648,_REF_Treatment_Library!$A$2:$A$296,0)),""))</f>
        <v>Establish</v>
      </c>
      <c r="CA648" t="str">
        <f>IF($BY648="","",IFERROR(INDEX(_REF_Treatment_Library!$I$2:$I$296,MATCH($BY648,_REF_Treatment_Library!$A$2:$A$296,0)),""))</f>
        <v>Establish baseline controls for Identity / PAM</v>
      </c>
      <c r="CB648" t="str">
        <f>IF($BY648="","",IFERROR(INDEX(_REF_Treatment_Library!$K$2:$K$296,MATCH($BY648,_REF_Treatment_Library!$A$2:$A$296,0)),""))</f>
        <v>Named owner, baseline process, minimum control checklist, first evidence package</v>
      </c>
      <c r="CC648" t="str">
        <f>IF($BY648="","",IFERROR(INDEX(_REF_Treatment_Library!$L$2:$L$296,MATCH($BY648,_REF_Treatment_Library!$A$2:$A$296,0)),""))</f>
        <v>Owner assigned; baseline evidence coverage; open critical gaps</v>
      </c>
      <c r="CD648" t="str">
        <f t="shared" si="114"/>
        <v>Treatment by capability=CAP_IAM_PAM; band=Initial / absent; score=0.0; treatment=Establish</v>
      </c>
      <c r="CE648" t="str">
        <f>IF($E648="","",IFERROR(INDEX(_REF_Industry_Wording!$A$2:$A$70,MATCH(1,INDEX((_REF_Industry_Wording!$B$2:$B$70=$BT648)*(_REF_Industry_Wording!$C$2:$C$70=PV_Canonical_Industry)*(_REF_Industry_Wording!$K$2:$K$70="Yes"),0),0)),IFERROR(INDEX(_REF_Industry_Wording!$A$2:$A$70,MATCH(1,INDEX((_REF_Industry_Wording!$B$2:$B$70=$BT648)*(_REF_Industry_Wording!$C$2:$C$70="All")*(_REF_Industry_Wording!$K$2:$K$70="Yes"),0),0)),"")))</f>
        <v>IW-ALL-IAM_PAM</v>
      </c>
      <c r="CF648" t="str">
        <f>IF($CE648="","",IFERROR(INDEX(_REF_Industry_Wording!$E$2:$E$70,MATCH($CE648,_REF_Industry_Wording!$A$2:$A$70,0)),""))</f>
        <v>Identity / PAM weakness</v>
      </c>
      <c r="CG648" t="str">
        <f>IF($CE648="","",IFERROR(INDEX(_REF_Industry_Wording!$F$2:$F$70,MATCH($CE648,_REF_Industry_Wording!$A$2:$A$70,0)),""))</f>
        <v>Strengthen Identity / PAM</v>
      </c>
      <c r="CH648" t="str">
        <f>IF($CE648="","",IFERROR(INDEX(_REF_Industry_Wording!$G$2:$G$70,MATCH($CE648,_REF_Industry_Wording!$A$2:$A$70,0)),""))</f>
        <v>Strengthen Identity / PAM using the selected maturity treatment, crisis scenario and evidence requirements.</v>
      </c>
      <c r="CI648" t="str">
        <f>IF($CE648="","",IFERROR(INDEX(_REF_Industry_Wording!$H$2:$H$70,MATCH($CE648,_REF_Industry_Wording!$A$2:$A$70,0)),""))</f>
        <v>Identity / PAM</v>
      </c>
      <c r="CJ648">
        <f>IF($CE648="","",IFERROR(INDEX(_REF_Industry_Wording!$I$2:$I$70,MATCH($CE648,_REF_Industry_Wording!$A$2:$A$70,0)),""))</f>
        <v>0</v>
      </c>
      <c r="CK648" t="str">
        <f>IF($CE648="","",IFERROR(INDEX(_REF_Industry_Wording!$J$2:$J$70,MATCH($CE648,_REF_Industry_Wording!$A$2:$A$70,0)),""))</f>
        <v>Identity / PAM</v>
      </c>
      <c r="CL648" t="str">
        <f t="shared" si="115"/>
        <v>Wording by industry=0; capability=CAP_IAM_PAM; risk label=Identity / PAM weakness</v>
      </c>
      <c r="CM648" t="str">
        <f t="shared" si="116"/>
        <v>RISK-ONT-0149</v>
      </c>
      <c r="CN648" t="str">
        <f t="shared" si="117"/>
        <v>RISK-EVT-0149</v>
      </c>
      <c r="CO648" t="str">
        <f t="shared" si="118"/>
        <v>Physical Safety|Facilities and access|PHYS-009|CAP_IAM_PAM</v>
      </c>
      <c r="CP648" t="str">
        <f t="shared" si="119"/>
        <v>Active</v>
      </c>
      <c r="CQ648" t="str">
        <f t="shared" si="120"/>
        <v>OK: capability-driven</v>
      </c>
      <c r="CR648" t="str">
        <f t="shared" si="121"/>
        <v>Risk ontology uses capability=CAP_IAM_PAM; bridge=BRG-067; treatment=TRT-IAM_PAM-INITIAL; wording=IW-ALL-IAM_PAM</v>
      </c>
      <c r="CS648" t="str">
        <f t="shared" si="122"/>
        <v>Yes</v>
      </c>
    </row>
    <row r="649" spans="1:97" ht="69.900000000000006" customHeight="1">
      <c r="A649">
        <f>IF(OR($B649&lt;&gt;"Yes",$BS649=""),"",SUMPRODUCT(($B$500:$B$923="Yes")*ISNUMBER($BS$500:$BS$923)*($BS$500:$BS$923&gt;$BS649))+COUNTIFS($B$500:$B649,"Yes",$BS$500:$BS649,$BS649))</f>
        <v>4</v>
      </c>
      <c r="B649" t="str">
        <f t="shared" si="91"/>
        <v>Yes</v>
      </c>
      <c r="C649" t="s">
        <v>1666</v>
      </c>
      <c r="D649" t="s">
        <v>1677</v>
      </c>
      <c r="E649" t="s">
        <v>1709</v>
      </c>
      <c r="F649" t="s">
        <v>3685</v>
      </c>
      <c r="G649" t="str">
        <f>IF($H649="","",IFERROR(INDEX(_ENGINE_Risk!$H$5:$M$499,MATCH($E649,_ENGINE_Risk!$A$5:$A$499,0),$H649+1),""))</f>
        <v>Severe risk: visitor management covering identity checks, escorting, sensitive areas and evacuation accountability is not reliably controlled. During Safety incident; Physical site loss; War/security crisis; Natural disaster, the organization may face injury, unsafe facilities, uncontrolled access, asset loss and failure to protect people during incidents with limited visibility or accountability.</v>
      </c>
      <c r="H649">
        <f>IFERROR(VALUE(INDEX(_DATA_Assessment_Model!$H$5:$H$884,MATCH($E649,_DATA_Assessment_Model!$A$5:$A$884,0))),"")</f>
        <v>0</v>
      </c>
      <c r="I649" t="str">
        <f>IF($H649="","",IFERROR(INDEX(_DATA_Assessment_Model!$L$5:$L$884,MATCH($E649,_DATA_Assessment_Model!$A$5:$A$884,0)),IF($H649&lt;=1,"Critical",IF($H649=2,"High",IF($H649=3,"Medium",IF($H649=4,"Low","Resilient"))))))</f>
        <v>Critical</v>
      </c>
      <c r="J649">
        <f t="shared" si="92"/>
        <v>3.7</v>
      </c>
      <c r="K649">
        <f t="shared" si="93"/>
        <v>5</v>
      </c>
      <c r="L649">
        <f t="shared" si="94"/>
        <v>18.5</v>
      </c>
      <c r="M649">
        <f t="shared" si="95"/>
        <v>4</v>
      </c>
      <c r="N649">
        <f>IF($H649="","",IFERROR(INDEX(_ENGINE_Risk!$T$5:$Y$499,MATCH($E649,_ENGINE_Risk!$A$5:$A$499,0),$H649+1),""))</f>
        <v>4</v>
      </c>
      <c r="O649">
        <f t="shared" si="96"/>
        <v>4</v>
      </c>
      <c r="P649">
        <f t="shared" si="97"/>
        <v>5</v>
      </c>
      <c r="Q649">
        <f t="shared" si="98"/>
        <v>5</v>
      </c>
      <c r="R649">
        <f t="shared" si="99"/>
        <v>4.5</v>
      </c>
      <c r="S649">
        <f t="shared" si="100"/>
        <v>1.1599999999999999</v>
      </c>
      <c r="T649" t="str">
        <f>IF($H649="","",IFERROR(INDEX(_ENGINE_Risk!$N$5:$S$499,MATCH($E649,_ENGINE_Risk!$A$5:$A$499,0),$H649+1),""))</f>
        <v>Create an immediate risk owner, minimum control baseline and fallback procedure for visitor management covering identity checks, escorting, sensitive areas and evacuation accountability. Add it to the crisis risk register and collect first evidence.</v>
      </c>
      <c r="U649">
        <f>IFERROR(INDEX(_DATA_Assessment_Model!$G$5:$G$884,MATCH($E649,_DATA_Assessment_Model!$A$5:$A$884,0)),"")</f>
        <v>3</v>
      </c>
      <c r="V649">
        <f>IFERROR(INDEX(_DATA_Assessment_Model!$W$5:$W$884,MATCH($E649,_DATA_Assessment_Model!$A$5:$A$884,0)),"")</f>
        <v>4</v>
      </c>
      <c r="W649">
        <f>IFERROR(INDEX(_DATA_Assessment_Model!$X$5:$X$884,MATCH($E649,_DATA_Assessment_Model!$A$5:$A$884,0)),"")</f>
        <v>5</v>
      </c>
      <c r="X649">
        <f>IFERROR(INDEX(_DATA_Assessment_Model!$Y$5:$Y$884,MATCH($E649,_DATA_Assessment_Model!$A$5:$A$884,0)),"")</f>
        <v>5</v>
      </c>
      <c r="Y649" t="s">
        <v>1673</v>
      </c>
      <c r="Z649" t="s">
        <v>6587</v>
      </c>
      <c r="AA649" t="s">
        <v>1711</v>
      </c>
      <c r="AB649">
        <f>IFERROR(INDEX(_DATA_Assessment_Model!$U$5:$U$884,MATCH($E649,_DATA_Assessment_Model!$A$5:$A$884,0)),"")</f>
        <v>0</v>
      </c>
      <c r="AF649" t="s">
        <v>1710</v>
      </c>
      <c r="AO649">
        <f>IF($B649="Yes",IF(IFERROR(INDEX(_ENGINE_Crisis!$F$501:$F$517,MATCH($C649,_ENGINE_Crisis!$A$501:$A$517,0)),1)=0,1,IFERROR(INDEX(_ENGINE_Crisis!$F$501:$F$517,MATCH($C649,_ENGINE_Crisis!$A$501:$A$517,0)),1)),"")</f>
        <v>1</v>
      </c>
      <c r="AP649">
        <f t="shared" si="101"/>
        <v>18.5</v>
      </c>
      <c r="AQ649">
        <f t="shared" si="102"/>
        <v>1.1599999999999999</v>
      </c>
      <c r="AR649" t="str">
        <f>IFERROR(INDEX(_ENGINE_Crisis!$E$41:$E$700,MATCH('Resilience &amp; Risk Scenario'!$B$6&amp;"|"&amp;$C649,_ENGINE_Crisis!$I$41:$I$700,0)),"")</f>
        <v/>
      </c>
      <c r="AS649" t="str">
        <f>IFERROR(INDEX(_ENGINE_Crisis!$G$41:$G$700,MATCH('Resilience &amp; Risk Scenario'!$B$6&amp;"|"&amp;$C649,_ENGINE_Crisis!$I$41:$I$700,0)),"")</f>
        <v/>
      </c>
      <c r="AT649" t="str">
        <f>IFERROR(INDEX(_ENGINE_Initiatives!$A$5:$A$532,MATCH(1,INDEX((_ENGINE_Initiatives!$B$5:$B$532=$C649)*(_ENGINE_Initiatives!$C$5:$C$532=$D649),0),0)),"")</f>
        <v>INI-024</v>
      </c>
      <c r="AU649" t="str">
        <f>IFERROR(INDEX(_ENGINE_Initiatives!$F$5:$F$532,MATCH(1,INDEX((_ENGINE_Initiatives!$B$5:$B$532=$C649)*(_ENGINE_Initiatives!$C$5:$C$532=$D649),0),0)),"")</f>
        <v>Secure facilities, physical access and site protection controls</v>
      </c>
      <c r="AV649">
        <f>IFERROR(INDEX(_ENGINE_Initiatives!$AC$5:$AC$532,MATCH(1,INDEX((_ENGINE_Initiatives!$B$5:$B$532=$C649)*(_ENGINE_Initiatives!$C$5:$C$532=$D649),0),0)),"")</f>
        <v>1.82</v>
      </c>
      <c r="AW649" t="str">
        <f>IFERROR(INDEX(_ENGINE_Initiatives!$AE$5:$AE$532,MATCH(1,INDEX((_ENGINE_Initiatives!$B$5:$B$532=$C649)*(_ENGINE_Initiatives!$C$5:$C$532=$D649),0),0)),"")</f>
        <v>3-6 months</v>
      </c>
      <c r="AX649">
        <f>IF($B649="Yes",IFERROR((IF(SUMIFS(_REF_Model_Content!$E$1:$E$613,_REF_Model_Content!$A$1:$A$613,PV_Canonical_Industry,_REF_Model_Content!$B$1:$B$613,$C649)=0,1,SUMIFS(_REF_Model_Content!$E$1:$E$613,_REF_Model_Content!$A$1:$A$613,PV_Canonical_Industry,_REF_Model_Content!$B$1:$B$613,$C649))*IFERROR($BU649,1)),1),"")</f>
        <v>1</v>
      </c>
      <c r="AY649">
        <f t="shared" si="103"/>
        <v>18.5</v>
      </c>
      <c r="AZ649">
        <f t="shared" si="104"/>
        <v>1.1599999999999999</v>
      </c>
      <c r="BB649" t="str">
        <f>IF($H649="","",IFERROR(INDEX(_ENGINE_Risk!$AE$5:$AE$499,MATCH($E649,_ENGINE_Risk!$A$5:$A$499,0)),"Medium"))</f>
        <v>Fast</v>
      </c>
      <c r="BC649">
        <f t="shared" si="105"/>
        <v>1.25</v>
      </c>
      <c r="BD649">
        <f t="shared" si="106"/>
        <v>1.1599999999999999</v>
      </c>
      <c r="BF649">
        <f>IF(OR($H649="",$J649=""),"",IFERROR(VLOOKUP(ROUND($J649,0),_CONFIG_Model_Settings!$D$154:$E$158,2,0),""))</f>
        <v>0.5</v>
      </c>
      <c r="BG649">
        <f>IFERROR(IF(OR($H649="",$K649=""),"",ROUND('Company Profile'!$B$113*INDEX(_CONFIG_Model_Settings!$H$154:$H$158,MATCH(ROUND($K649,0),_CONFIG_Model_Settings!$G$154:$G$158,0)),0)),0)</f>
        <v>1875</v>
      </c>
      <c r="BH649">
        <f t="shared" si="107"/>
        <v>937.5</v>
      </c>
      <c r="BI649">
        <f t="shared" si="108"/>
        <v>937.5</v>
      </c>
      <c r="BJ649">
        <f>IF($E649="","",IFERROR(VLOOKUP($C649,_CONFIG_Risk_Calibration!$A$5:$H$21,2,FALSE),3))</f>
        <v>3</v>
      </c>
      <c r="BK649">
        <f>IF($E649="","",IFERROR(VLOOKUP($C649,_CONFIG_Risk_Calibration!$A$5:$H$21,3,FALSE),0))</f>
        <v>0</v>
      </c>
      <c r="BL649">
        <f>IF($E649="","",IFERROR(VLOOKUP($C649,_CONFIG_Risk_Calibration!$A$5:$H$21,4,FALSE),3))</f>
        <v>3</v>
      </c>
      <c r="BM649">
        <f>IF($E649="","",IFERROR(VLOOKUP($C649,_CONFIG_Risk_Calibration!$A$5:$H$21,5,FALSE),3))</f>
        <v>4</v>
      </c>
      <c r="BN649" t="str">
        <f>IF($E649="","",IFERROR(VLOOKUP($C649,_CONFIG_Risk_Calibration!$A$5:$H$21,6,FALSE),"No"))</f>
        <v>Yes</v>
      </c>
      <c r="BO649">
        <f>IF($E649="","",IFERROR(VLOOKUP($C649,_CONFIG_Risk_Calibration!$A$5:$H$21,7,FALSE),1))</f>
        <v>5</v>
      </c>
      <c r="BP649">
        <f>IF($H649="","",MAX(1,MIN(5,((6-$H649)*0.45)+($BJ649*0.2)+('Resilience &amp; Risk Scenario'!$B$7*0.15)+($BK649*0.1)+($BL649*0.05)+(IF($BB649="Fast",5,IF($BB649="Slow",1,3))*0.05))))</f>
        <v>3.7</v>
      </c>
      <c r="BQ649">
        <f t="shared" si="109"/>
        <v>5</v>
      </c>
      <c r="BR649">
        <f t="shared" si="110"/>
        <v>18.5</v>
      </c>
      <c r="BS649">
        <f t="shared" si="111"/>
        <v>25.44</v>
      </c>
      <c r="BT649" t="str">
        <f>IFERROR(INDEX(_REF_Capability_Bridge!$D:$D,MATCH($C649&amp;"|"&amp;$D649,_REF_Capability_Bridge!$J:$J,0)),IFERROR(INDEX(_REF_Capability_Bridge!$D:$D,MATCH($C649&amp;"|",_REF_Capability_Bridge!$J:$J,0)),"CAP_GENERIC"))</f>
        <v>CAP_IAM_PAM</v>
      </c>
      <c r="BU649">
        <f>IFERROR(IFERROR(INDEX(_ENGINE_Relevance!$L:$L,MATCH($BT649,_ENGINE_Relevance!$B:$B,0)),1),1)</f>
        <v>1</v>
      </c>
      <c r="BV649" t="str">
        <f>IFERROR(INDEX(_REF_Capability_Bridge!$A:$A,MATCH($C649&amp;"|"&amp;$D649,_REF_Capability_Bridge!$J:$J,0)),IFERROR(INDEX(_REF_Capability_Bridge!$A:$A,MATCH($C649&amp;"|",_REF_Capability_Bridge!$J:$J,0)),"No bridge"))</f>
        <v>BRG-067</v>
      </c>
      <c r="BW649" t="str">
        <f t="shared" si="112"/>
        <v>Capability relevance neutral</v>
      </c>
      <c r="BX649" t="str">
        <f t="shared" si="113"/>
        <v>Initial / absent</v>
      </c>
      <c r="BY649" t="str">
        <f>IF($E649="","",IFERROR(INDEX(_REF_Treatment_Library!$A$2:$A$296,MATCH(1,INDEX((_REF_Treatment_Library!$B$2:$B$296=$BT649)*(_REF_Treatment_Library!$C$2:$C$296=PV_Canonical_Industry)*(_REF_Treatment_Library!$E$2:$E$296&lt;=N($H649))*(_REF_Treatment_Library!$F$2:$F$296&gt;=N($H649))*(_REF_Treatment_Library!$O$2:$O$296="Yes"),0),0)),IFERROR(INDEX(_REF_Treatment_Library!$A$2:$A$296,MATCH(1,INDEX((_REF_Treatment_Library!$B$2:$B$296=$BT649)*(_REF_Treatment_Library!$C$2:$C$296="All")*(_REF_Treatment_Library!$E$2:$E$296&lt;=N($H649))*(_REF_Treatment_Library!$F$2:$F$296&gt;=N($H649))*(_REF_Treatment_Library!$O$2:$O$296="Yes"),0),0)),"")))</f>
        <v>TRT-IAM_PAM-INITIAL</v>
      </c>
      <c r="BZ649" t="str">
        <f>IF($BY649="","",IFERROR(INDEX(_REF_Treatment_Library!$H$2:$H$296,MATCH($BY649,_REF_Treatment_Library!$A$2:$A$296,0)),""))</f>
        <v>Establish</v>
      </c>
      <c r="CA649" t="str">
        <f>IF($BY649="","",IFERROR(INDEX(_REF_Treatment_Library!$I$2:$I$296,MATCH($BY649,_REF_Treatment_Library!$A$2:$A$296,0)),""))</f>
        <v>Establish baseline controls for Identity / PAM</v>
      </c>
      <c r="CB649" t="str">
        <f>IF($BY649="","",IFERROR(INDEX(_REF_Treatment_Library!$K$2:$K$296,MATCH($BY649,_REF_Treatment_Library!$A$2:$A$296,0)),""))</f>
        <v>Named owner, baseline process, minimum control checklist, first evidence package</v>
      </c>
      <c r="CC649" t="str">
        <f>IF($BY649="","",IFERROR(INDEX(_REF_Treatment_Library!$L$2:$L$296,MATCH($BY649,_REF_Treatment_Library!$A$2:$A$296,0)),""))</f>
        <v>Owner assigned; baseline evidence coverage; open critical gaps</v>
      </c>
      <c r="CD649" t="str">
        <f t="shared" si="114"/>
        <v>Treatment by capability=CAP_IAM_PAM; band=Initial / absent; score=0.0; treatment=Establish</v>
      </c>
      <c r="CE649" t="str">
        <f>IF($E649="","",IFERROR(INDEX(_REF_Industry_Wording!$A$2:$A$70,MATCH(1,INDEX((_REF_Industry_Wording!$B$2:$B$70=$BT649)*(_REF_Industry_Wording!$C$2:$C$70=PV_Canonical_Industry)*(_REF_Industry_Wording!$K$2:$K$70="Yes"),0),0)),IFERROR(INDEX(_REF_Industry_Wording!$A$2:$A$70,MATCH(1,INDEX((_REF_Industry_Wording!$B$2:$B$70=$BT649)*(_REF_Industry_Wording!$C$2:$C$70="All")*(_REF_Industry_Wording!$K$2:$K$70="Yes"),0),0)),"")))</f>
        <v>IW-ALL-IAM_PAM</v>
      </c>
      <c r="CF649" t="str">
        <f>IF($CE649="","",IFERROR(INDEX(_REF_Industry_Wording!$E$2:$E$70,MATCH($CE649,_REF_Industry_Wording!$A$2:$A$70,0)),""))</f>
        <v>Identity / PAM weakness</v>
      </c>
      <c r="CG649" t="str">
        <f>IF($CE649="","",IFERROR(INDEX(_REF_Industry_Wording!$F$2:$F$70,MATCH($CE649,_REF_Industry_Wording!$A$2:$A$70,0)),""))</f>
        <v>Strengthen Identity / PAM</v>
      </c>
      <c r="CH649" t="str">
        <f>IF($CE649="","",IFERROR(INDEX(_REF_Industry_Wording!$G$2:$G$70,MATCH($CE649,_REF_Industry_Wording!$A$2:$A$70,0)),""))</f>
        <v>Strengthen Identity / PAM using the selected maturity treatment, crisis scenario and evidence requirements.</v>
      </c>
      <c r="CI649" t="str">
        <f>IF($CE649="","",IFERROR(INDEX(_REF_Industry_Wording!$H$2:$H$70,MATCH($CE649,_REF_Industry_Wording!$A$2:$A$70,0)),""))</f>
        <v>Identity / PAM</v>
      </c>
      <c r="CJ649">
        <f>IF($CE649="","",IFERROR(INDEX(_REF_Industry_Wording!$I$2:$I$70,MATCH($CE649,_REF_Industry_Wording!$A$2:$A$70,0)),""))</f>
        <v>0</v>
      </c>
      <c r="CK649" t="str">
        <f>IF($CE649="","",IFERROR(INDEX(_REF_Industry_Wording!$J$2:$J$70,MATCH($CE649,_REF_Industry_Wording!$A$2:$A$70,0)),""))</f>
        <v>Identity / PAM</v>
      </c>
      <c r="CL649" t="str">
        <f t="shared" si="115"/>
        <v>Wording by industry=0; capability=CAP_IAM_PAM; risk label=Identity / PAM weakness</v>
      </c>
      <c r="CM649" t="str">
        <f t="shared" si="116"/>
        <v>RISK-ONT-0150</v>
      </c>
      <c r="CN649" t="str">
        <f t="shared" si="117"/>
        <v>RISK-EVT-0150</v>
      </c>
      <c r="CO649" t="str">
        <f t="shared" si="118"/>
        <v>Physical Safety|Facilities and access|PHYS-010|CAP_IAM_PAM</v>
      </c>
      <c r="CP649" t="str">
        <f t="shared" si="119"/>
        <v>Active</v>
      </c>
      <c r="CQ649" t="str">
        <f t="shared" si="120"/>
        <v>OK: capability-driven</v>
      </c>
      <c r="CR649" t="str">
        <f t="shared" si="121"/>
        <v>Risk ontology uses capability=CAP_IAM_PAM; bridge=BRG-067; treatment=TRT-IAM_PAM-INITIAL; wording=IW-ALL-IAM_PAM</v>
      </c>
      <c r="CS649" t="str">
        <f t="shared" si="122"/>
        <v>Yes</v>
      </c>
    </row>
    <row r="650" spans="1:97" ht="69.900000000000006" customHeight="1">
      <c r="A650">
        <f>IF(OR($B650&lt;&gt;"Yes",$BS650=""),"",SUMPRODUCT(($B$500:$B$923="Yes")*ISNUMBER($BS$500:$BS$923)*($BS$500:$BS$923&gt;$BS650))+COUNTIFS($B$500:$B650,"Yes",$BS$500:$BS650,$BS650))</f>
        <v>5</v>
      </c>
      <c r="B650" t="str">
        <f t="shared" si="91"/>
        <v>Yes</v>
      </c>
      <c r="C650" t="s">
        <v>1666</v>
      </c>
      <c r="D650" t="s">
        <v>1677</v>
      </c>
      <c r="E650" t="s">
        <v>1718</v>
      </c>
      <c r="F650" t="s">
        <v>3685</v>
      </c>
      <c r="G650" t="str">
        <f>IF($H650="","",IFERROR(INDEX(_ENGINE_Risk!$H$5:$M$499,MATCH($E650,_ENGINE_Risk!$A$5:$A$499,0),$H650+1),""))</f>
        <v>Severe risk: security guarding, CCTV, alarm monitoring and response procedures is not reliably controlled. During Safety incident; Physical site loss; War/security crisis; Natural disaster, the organization may face injury, unsafe facilities, uncontrolled access, asset loss and failure to protect people during incidents with limited visibility or accountability.</v>
      </c>
      <c r="H650">
        <f>IFERROR(VALUE(INDEX(_DATA_Assessment_Model!$H$5:$H$884,MATCH($E650,_DATA_Assessment_Model!$A$5:$A$884,0))),"")</f>
        <v>0</v>
      </c>
      <c r="I650" t="str">
        <f>IF($H650="","",IFERROR(INDEX(_DATA_Assessment_Model!$L$5:$L$884,MATCH($E650,_DATA_Assessment_Model!$A$5:$A$884,0)),IF($H650&lt;=1,"Critical",IF($H650=2,"High",IF($H650=3,"Medium",IF($H650=4,"Low","Resilient"))))))</f>
        <v>Critical</v>
      </c>
      <c r="J650">
        <f t="shared" si="92"/>
        <v>3.7</v>
      </c>
      <c r="K650">
        <f t="shared" si="93"/>
        <v>5</v>
      </c>
      <c r="L650">
        <f t="shared" si="94"/>
        <v>18.5</v>
      </c>
      <c r="M650">
        <f t="shared" si="95"/>
        <v>4</v>
      </c>
      <c r="N650">
        <f>IF($H650="","",IFERROR(INDEX(_ENGINE_Risk!$T$5:$Y$499,MATCH($E650,_ENGINE_Risk!$A$5:$A$499,0),$H650+1),""))</f>
        <v>4</v>
      </c>
      <c r="O650">
        <f t="shared" si="96"/>
        <v>4</v>
      </c>
      <c r="P650">
        <f t="shared" si="97"/>
        <v>5</v>
      </c>
      <c r="Q650">
        <f t="shared" si="98"/>
        <v>5</v>
      </c>
      <c r="R650">
        <f t="shared" si="99"/>
        <v>4.5</v>
      </c>
      <c r="S650">
        <f t="shared" si="100"/>
        <v>1.1599999999999999</v>
      </c>
      <c r="T650" t="str">
        <f>IF($H650="","",IFERROR(INDEX(_ENGINE_Risk!$N$5:$S$499,MATCH($E650,_ENGINE_Risk!$A$5:$A$499,0),$H650+1),""))</f>
        <v>Create an immediate risk owner, minimum control baseline and fallback procedure for security guarding, CCTV, alarm monitoring and response procedures. Add it to the crisis risk register and collect first evidence.</v>
      </c>
      <c r="U650">
        <f>IFERROR(INDEX(_DATA_Assessment_Model!$G$5:$G$884,MATCH($E650,_DATA_Assessment_Model!$A$5:$A$884,0)),"")</f>
        <v>3</v>
      </c>
      <c r="V650">
        <f>IFERROR(INDEX(_DATA_Assessment_Model!$W$5:$W$884,MATCH($E650,_DATA_Assessment_Model!$A$5:$A$884,0)),"")</f>
        <v>4</v>
      </c>
      <c r="W650">
        <f>IFERROR(INDEX(_DATA_Assessment_Model!$X$5:$X$884,MATCH($E650,_DATA_Assessment_Model!$A$5:$A$884,0)),"")</f>
        <v>5</v>
      </c>
      <c r="X650">
        <f>IFERROR(INDEX(_DATA_Assessment_Model!$Y$5:$Y$884,MATCH($E650,_DATA_Assessment_Model!$A$5:$A$884,0)),"")</f>
        <v>5</v>
      </c>
      <c r="Y650" t="s">
        <v>1673</v>
      </c>
      <c r="Z650" t="s">
        <v>6587</v>
      </c>
      <c r="AA650" t="s">
        <v>1720</v>
      </c>
      <c r="AB650">
        <f>IFERROR(INDEX(_DATA_Assessment_Model!$U$5:$U$884,MATCH($E650,_DATA_Assessment_Model!$A$5:$A$884,0)),"")</f>
        <v>0</v>
      </c>
      <c r="AF650" t="s">
        <v>1719</v>
      </c>
      <c r="AO650">
        <f>IF($B650="Yes",IF(IFERROR(INDEX(_ENGINE_Crisis!$F$501:$F$517,MATCH($C650,_ENGINE_Crisis!$A$501:$A$517,0)),1)=0,1,IFERROR(INDEX(_ENGINE_Crisis!$F$501:$F$517,MATCH($C650,_ENGINE_Crisis!$A$501:$A$517,0)),1)),"")</f>
        <v>1</v>
      </c>
      <c r="AP650">
        <f t="shared" si="101"/>
        <v>18.5</v>
      </c>
      <c r="AQ650">
        <f t="shared" si="102"/>
        <v>1.1599999999999999</v>
      </c>
      <c r="AR650" t="str">
        <f>IFERROR(INDEX(_ENGINE_Crisis!$E$41:$E$700,MATCH('Resilience &amp; Risk Scenario'!$B$6&amp;"|"&amp;$C650,_ENGINE_Crisis!$I$41:$I$700,0)),"")</f>
        <v/>
      </c>
      <c r="AS650" t="str">
        <f>IFERROR(INDEX(_ENGINE_Crisis!$G$41:$G$700,MATCH('Resilience &amp; Risk Scenario'!$B$6&amp;"|"&amp;$C650,_ENGINE_Crisis!$I$41:$I$700,0)),"")</f>
        <v/>
      </c>
      <c r="AT650" t="str">
        <f>IFERROR(INDEX(_ENGINE_Initiatives!$A$5:$A$532,MATCH(1,INDEX((_ENGINE_Initiatives!$B$5:$B$532=$C650)*(_ENGINE_Initiatives!$C$5:$C$532=$D650),0),0)),"")</f>
        <v>INI-024</v>
      </c>
      <c r="AU650" t="str">
        <f>IFERROR(INDEX(_ENGINE_Initiatives!$F$5:$F$532,MATCH(1,INDEX((_ENGINE_Initiatives!$B$5:$B$532=$C650)*(_ENGINE_Initiatives!$C$5:$C$532=$D650),0),0)),"")</f>
        <v>Secure facilities, physical access and site protection controls</v>
      </c>
      <c r="AV650">
        <f>IFERROR(INDEX(_ENGINE_Initiatives!$AC$5:$AC$532,MATCH(1,INDEX((_ENGINE_Initiatives!$B$5:$B$532=$C650)*(_ENGINE_Initiatives!$C$5:$C$532=$D650),0),0)),"")</f>
        <v>1.82</v>
      </c>
      <c r="AW650" t="str">
        <f>IFERROR(INDEX(_ENGINE_Initiatives!$AE$5:$AE$532,MATCH(1,INDEX((_ENGINE_Initiatives!$B$5:$B$532=$C650)*(_ENGINE_Initiatives!$C$5:$C$532=$D650),0),0)),"")</f>
        <v>3-6 months</v>
      </c>
      <c r="AX650">
        <f>IF($B650="Yes",IFERROR((IF(SUMIFS(_REF_Model_Content!$E$1:$E$613,_REF_Model_Content!$A$1:$A$613,PV_Canonical_Industry,_REF_Model_Content!$B$1:$B$613,$C650)=0,1,SUMIFS(_REF_Model_Content!$E$1:$E$613,_REF_Model_Content!$A$1:$A$613,PV_Canonical_Industry,_REF_Model_Content!$B$1:$B$613,$C650))*IFERROR($BU650,1)),1),"")</f>
        <v>1</v>
      </c>
      <c r="AY650">
        <f t="shared" si="103"/>
        <v>18.5</v>
      </c>
      <c r="AZ650">
        <f t="shared" si="104"/>
        <v>1.1599999999999999</v>
      </c>
      <c r="BB650" t="str">
        <f>IF($H650="","",IFERROR(INDEX(_ENGINE_Risk!$AE$5:$AE$499,MATCH($E650,_ENGINE_Risk!$A$5:$A$499,0)),"Medium"))</f>
        <v>Fast</v>
      </c>
      <c r="BC650">
        <f t="shared" si="105"/>
        <v>1.25</v>
      </c>
      <c r="BD650">
        <f t="shared" si="106"/>
        <v>1.1599999999999999</v>
      </c>
      <c r="BF650">
        <f>IF(OR($H650="",$J650=""),"",IFERROR(VLOOKUP(ROUND($J650,0),_CONFIG_Model_Settings!$D$154:$E$158,2,0),""))</f>
        <v>0.5</v>
      </c>
      <c r="BG650">
        <f>IFERROR(IF(OR($H650="",$K650=""),"",ROUND('Company Profile'!$B$113*INDEX(_CONFIG_Model_Settings!$H$154:$H$158,MATCH(ROUND($K650,0),_CONFIG_Model_Settings!$G$154:$G$158,0)),0)),0)</f>
        <v>1875</v>
      </c>
      <c r="BH650">
        <f t="shared" si="107"/>
        <v>937.5</v>
      </c>
      <c r="BI650">
        <f t="shared" si="108"/>
        <v>937.5</v>
      </c>
      <c r="BJ650">
        <f>IF($E650="","",IFERROR(VLOOKUP($C650,_CONFIG_Risk_Calibration!$A$5:$H$21,2,FALSE),3))</f>
        <v>3</v>
      </c>
      <c r="BK650">
        <f>IF($E650="","",IFERROR(VLOOKUP($C650,_CONFIG_Risk_Calibration!$A$5:$H$21,3,FALSE),0))</f>
        <v>0</v>
      </c>
      <c r="BL650">
        <f>IF($E650="","",IFERROR(VLOOKUP($C650,_CONFIG_Risk_Calibration!$A$5:$H$21,4,FALSE),3))</f>
        <v>3</v>
      </c>
      <c r="BM650">
        <f>IF($E650="","",IFERROR(VLOOKUP($C650,_CONFIG_Risk_Calibration!$A$5:$H$21,5,FALSE),3))</f>
        <v>4</v>
      </c>
      <c r="BN650" t="str">
        <f>IF($E650="","",IFERROR(VLOOKUP($C650,_CONFIG_Risk_Calibration!$A$5:$H$21,6,FALSE),"No"))</f>
        <v>Yes</v>
      </c>
      <c r="BO650">
        <f>IF($E650="","",IFERROR(VLOOKUP($C650,_CONFIG_Risk_Calibration!$A$5:$H$21,7,FALSE),1))</f>
        <v>5</v>
      </c>
      <c r="BP650">
        <f>IF($H650="","",MAX(1,MIN(5,((6-$H650)*0.45)+($BJ650*0.2)+('Resilience &amp; Risk Scenario'!$B$7*0.15)+($BK650*0.1)+($BL650*0.05)+(IF($BB650="Fast",5,IF($BB650="Slow",1,3))*0.05))))</f>
        <v>3.7</v>
      </c>
      <c r="BQ650">
        <f t="shared" si="109"/>
        <v>5</v>
      </c>
      <c r="BR650">
        <f t="shared" si="110"/>
        <v>18.5</v>
      </c>
      <c r="BS650">
        <f t="shared" si="111"/>
        <v>25.44</v>
      </c>
      <c r="BT650" t="str">
        <f>IFERROR(INDEX(_REF_Capability_Bridge!$D:$D,MATCH($C650&amp;"|"&amp;$D650,_REF_Capability_Bridge!$J:$J,0)),IFERROR(INDEX(_REF_Capability_Bridge!$D:$D,MATCH($C650&amp;"|",_REF_Capability_Bridge!$J:$J,0)),"CAP_GENERIC"))</f>
        <v>CAP_IAM_PAM</v>
      </c>
      <c r="BU650">
        <f>IFERROR(IFERROR(INDEX(_ENGINE_Relevance!$L:$L,MATCH($BT650,_ENGINE_Relevance!$B:$B,0)),1),1)</f>
        <v>1</v>
      </c>
      <c r="BV650" t="str">
        <f>IFERROR(INDEX(_REF_Capability_Bridge!$A:$A,MATCH($C650&amp;"|"&amp;$D650,_REF_Capability_Bridge!$J:$J,0)),IFERROR(INDEX(_REF_Capability_Bridge!$A:$A,MATCH($C650&amp;"|",_REF_Capability_Bridge!$J:$J,0)),"No bridge"))</f>
        <v>BRG-067</v>
      </c>
      <c r="BW650" t="str">
        <f t="shared" si="112"/>
        <v>Capability relevance neutral</v>
      </c>
      <c r="BX650" t="str">
        <f t="shared" si="113"/>
        <v>Initial / absent</v>
      </c>
      <c r="BY650" t="str">
        <f>IF($E650="","",IFERROR(INDEX(_REF_Treatment_Library!$A$2:$A$296,MATCH(1,INDEX((_REF_Treatment_Library!$B$2:$B$296=$BT650)*(_REF_Treatment_Library!$C$2:$C$296=PV_Canonical_Industry)*(_REF_Treatment_Library!$E$2:$E$296&lt;=N($H650))*(_REF_Treatment_Library!$F$2:$F$296&gt;=N($H650))*(_REF_Treatment_Library!$O$2:$O$296="Yes"),0),0)),IFERROR(INDEX(_REF_Treatment_Library!$A$2:$A$296,MATCH(1,INDEX((_REF_Treatment_Library!$B$2:$B$296=$BT650)*(_REF_Treatment_Library!$C$2:$C$296="All")*(_REF_Treatment_Library!$E$2:$E$296&lt;=N($H650))*(_REF_Treatment_Library!$F$2:$F$296&gt;=N($H650))*(_REF_Treatment_Library!$O$2:$O$296="Yes"),0),0)),"")))</f>
        <v>TRT-IAM_PAM-INITIAL</v>
      </c>
      <c r="BZ650" t="str">
        <f>IF($BY650="","",IFERROR(INDEX(_REF_Treatment_Library!$H$2:$H$296,MATCH($BY650,_REF_Treatment_Library!$A$2:$A$296,0)),""))</f>
        <v>Establish</v>
      </c>
      <c r="CA650" t="str">
        <f>IF($BY650="","",IFERROR(INDEX(_REF_Treatment_Library!$I$2:$I$296,MATCH($BY650,_REF_Treatment_Library!$A$2:$A$296,0)),""))</f>
        <v>Establish baseline controls for Identity / PAM</v>
      </c>
      <c r="CB650" t="str">
        <f>IF($BY650="","",IFERROR(INDEX(_REF_Treatment_Library!$K$2:$K$296,MATCH($BY650,_REF_Treatment_Library!$A$2:$A$296,0)),""))</f>
        <v>Named owner, baseline process, minimum control checklist, first evidence package</v>
      </c>
      <c r="CC650" t="str">
        <f>IF($BY650="","",IFERROR(INDEX(_REF_Treatment_Library!$L$2:$L$296,MATCH($BY650,_REF_Treatment_Library!$A$2:$A$296,0)),""))</f>
        <v>Owner assigned; baseline evidence coverage; open critical gaps</v>
      </c>
      <c r="CD650" t="str">
        <f t="shared" si="114"/>
        <v>Treatment by capability=CAP_IAM_PAM; band=Initial / absent; score=0.0; treatment=Establish</v>
      </c>
      <c r="CE650" t="str">
        <f>IF($E650="","",IFERROR(INDEX(_REF_Industry_Wording!$A$2:$A$70,MATCH(1,INDEX((_REF_Industry_Wording!$B$2:$B$70=$BT650)*(_REF_Industry_Wording!$C$2:$C$70=PV_Canonical_Industry)*(_REF_Industry_Wording!$K$2:$K$70="Yes"),0),0)),IFERROR(INDEX(_REF_Industry_Wording!$A$2:$A$70,MATCH(1,INDEX((_REF_Industry_Wording!$B$2:$B$70=$BT650)*(_REF_Industry_Wording!$C$2:$C$70="All")*(_REF_Industry_Wording!$K$2:$K$70="Yes"),0),0)),"")))</f>
        <v>IW-ALL-IAM_PAM</v>
      </c>
      <c r="CF650" t="str">
        <f>IF($CE650="","",IFERROR(INDEX(_REF_Industry_Wording!$E$2:$E$70,MATCH($CE650,_REF_Industry_Wording!$A$2:$A$70,0)),""))</f>
        <v>Identity / PAM weakness</v>
      </c>
      <c r="CG650" t="str">
        <f>IF($CE650="","",IFERROR(INDEX(_REF_Industry_Wording!$F$2:$F$70,MATCH($CE650,_REF_Industry_Wording!$A$2:$A$70,0)),""))</f>
        <v>Strengthen Identity / PAM</v>
      </c>
      <c r="CH650" t="str">
        <f>IF($CE650="","",IFERROR(INDEX(_REF_Industry_Wording!$G$2:$G$70,MATCH($CE650,_REF_Industry_Wording!$A$2:$A$70,0)),""))</f>
        <v>Strengthen Identity / PAM using the selected maturity treatment, crisis scenario and evidence requirements.</v>
      </c>
      <c r="CI650" t="str">
        <f>IF($CE650="","",IFERROR(INDEX(_REF_Industry_Wording!$H$2:$H$70,MATCH($CE650,_REF_Industry_Wording!$A$2:$A$70,0)),""))</f>
        <v>Identity / PAM</v>
      </c>
      <c r="CJ650">
        <f>IF($CE650="","",IFERROR(INDEX(_REF_Industry_Wording!$I$2:$I$70,MATCH($CE650,_REF_Industry_Wording!$A$2:$A$70,0)),""))</f>
        <v>0</v>
      </c>
      <c r="CK650" t="str">
        <f>IF($CE650="","",IFERROR(INDEX(_REF_Industry_Wording!$J$2:$J$70,MATCH($CE650,_REF_Industry_Wording!$A$2:$A$70,0)),""))</f>
        <v>Identity / PAM</v>
      </c>
      <c r="CL650" t="str">
        <f t="shared" si="115"/>
        <v>Wording by industry=0; capability=CAP_IAM_PAM; risk label=Identity / PAM weakness</v>
      </c>
      <c r="CM650" t="str">
        <f t="shared" si="116"/>
        <v>RISK-ONT-0151</v>
      </c>
      <c r="CN650" t="str">
        <f t="shared" si="117"/>
        <v>RISK-EVT-0151</v>
      </c>
      <c r="CO650" t="str">
        <f t="shared" si="118"/>
        <v>Physical Safety|Facilities and access|PHYS-011|CAP_IAM_PAM</v>
      </c>
      <c r="CP650" t="str">
        <f t="shared" si="119"/>
        <v>Active</v>
      </c>
      <c r="CQ650" t="str">
        <f t="shared" si="120"/>
        <v>OK: capability-driven</v>
      </c>
      <c r="CR650" t="str">
        <f t="shared" si="121"/>
        <v>Risk ontology uses capability=CAP_IAM_PAM; bridge=BRG-067; treatment=TRT-IAM_PAM-INITIAL; wording=IW-ALL-IAM_PAM</v>
      </c>
      <c r="CS650" t="str">
        <f t="shared" si="122"/>
        <v>Yes</v>
      </c>
    </row>
    <row r="651" spans="1:97" ht="69.900000000000006" customHeight="1">
      <c r="A651">
        <f>IF(OR($B651&lt;&gt;"Yes",$BS651=""),"",SUMPRODUCT(($B$500:$B$923="Yes")*ISNUMBER($BS$500:$BS$923)*($BS$500:$BS$923&gt;$BS651))+COUNTIFS($B$500:$B651,"Yes",$BS$500:$BS651,$BS651))</f>
        <v>6</v>
      </c>
      <c r="B651" t="str">
        <f t="shared" si="91"/>
        <v>Yes</v>
      </c>
      <c r="C651" t="s">
        <v>1666</v>
      </c>
      <c r="D651" t="s">
        <v>1677</v>
      </c>
      <c r="E651" t="s">
        <v>1727</v>
      </c>
      <c r="F651" t="s">
        <v>3685</v>
      </c>
      <c r="G651" t="str">
        <f>IF($H651="","",IFERROR(INDEX(_ENGINE_Risk!$H$5:$M$499,MATCH($E651,_ENGINE_Risk!$A$5:$A$499,0),$H651+1),""))</f>
        <v>Severe risk: physical asset protection against theft, sabotage, environmental damage and unauthorized access is not reliably controlled. During Safety incident; Physical site loss; War/security crisis; Natural disaster, the organization may face injury, unsafe facilities, uncontrolled access, asset loss and failure to protect people during incidents with limited visibility or accountability.</v>
      </c>
      <c r="H651">
        <f>IFERROR(VALUE(INDEX(_DATA_Assessment_Model!$H$5:$H$884,MATCH($E651,_DATA_Assessment_Model!$A$5:$A$884,0))),"")</f>
        <v>0</v>
      </c>
      <c r="I651" t="str">
        <f>IF($H651="","",IFERROR(INDEX(_DATA_Assessment_Model!$L$5:$L$884,MATCH($E651,_DATA_Assessment_Model!$A$5:$A$884,0)),IF($H651&lt;=1,"Critical",IF($H651=2,"High",IF($H651=3,"Medium",IF($H651=4,"Low","Resilient"))))))</f>
        <v>Critical</v>
      </c>
      <c r="J651">
        <f t="shared" si="92"/>
        <v>3.7</v>
      </c>
      <c r="K651">
        <f t="shared" si="93"/>
        <v>5</v>
      </c>
      <c r="L651">
        <f t="shared" si="94"/>
        <v>18.5</v>
      </c>
      <c r="M651">
        <f t="shared" si="95"/>
        <v>4</v>
      </c>
      <c r="N651">
        <f>IF($H651="","",IFERROR(INDEX(_ENGINE_Risk!$T$5:$Y$499,MATCH($E651,_ENGINE_Risk!$A$5:$A$499,0),$H651+1),""))</f>
        <v>4</v>
      </c>
      <c r="O651">
        <f t="shared" si="96"/>
        <v>4.333333333333333</v>
      </c>
      <c r="P651">
        <f t="shared" si="97"/>
        <v>5</v>
      </c>
      <c r="Q651">
        <f t="shared" si="98"/>
        <v>5</v>
      </c>
      <c r="R651">
        <f t="shared" si="99"/>
        <v>4.5</v>
      </c>
      <c r="S651">
        <f t="shared" si="100"/>
        <v>1.18</v>
      </c>
      <c r="T651" t="str">
        <f>IF($H651="","",IFERROR(INDEX(_ENGINE_Risk!$N$5:$S$499,MATCH($E651,_ENGINE_Risk!$A$5:$A$499,0),$H651+1),""))</f>
        <v>Create an immediate risk owner, minimum control baseline and fallback procedure for physical asset protection against theft, sabotage, environmental damage and unauthorized access. Add it to the crisis risk register and collect first evidence.</v>
      </c>
      <c r="U651">
        <f>IFERROR(INDEX(_DATA_Assessment_Model!$G$5:$G$884,MATCH($E651,_DATA_Assessment_Model!$A$5:$A$884,0)),"")</f>
        <v>4</v>
      </c>
      <c r="V651">
        <f>IFERROR(INDEX(_DATA_Assessment_Model!$W$5:$W$884,MATCH($E651,_DATA_Assessment_Model!$A$5:$A$884,0)),"")</f>
        <v>4</v>
      </c>
      <c r="W651">
        <f>IFERROR(INDEX(_DATA_Assessment_Model!$X$5:$X$884,MATCH($E651,_DATA_Assessment_Model!$A$5:$A$884,0)),"")</f>
        <v>5</v>
      </c>
      <c r="X651">
        <f>IFERROR(INDEX(_DATA_Assessment_Model!$Y$5:$Y$884,MATCH($E651,_DATA_Assessment_Model!$A$5:$A$884,0)),"")</f>
        <v>5</v>
      </c>
      <c r="Y651" t="s">
        <v>1673</v>
      </c>
      <c r="Z651" t="s">
        <v>6587</v>
      </c>
      <c r="AA651" t="s">
        <v>1729</v>
      </c>
      <c r="AB651">
        <f>IFERROR(INDEX(_DATA_Assessment_Model!$U$5:$U$884,MATCH($E651,_DATA_Assessment_Model!$A$5:$A$884,0)),"")</f>
        <v>0</v>
      </c>
      <c r="AF651" t="s">
        <v>1728</v>
      </c>
      <c r="AO651">
        <f>IF($B651="Yes",IF(IFERROR(INDEX(_ENGINE_Crisis!$F$501:$F$517,MATCH($C651,_ENGINE_Crisis!$A$501:$A$517,0)),1)=0,1,IFERROR(INDEX(_ENGINE_Crisis!$F$501:$F$517,MATCH($C651,_ENGINE_Crisis!$A$501:$A$517,0)),1)),"")</f>
        <v>1</v>
      </c>
      <c r="AP651">
        <f t="shared" si="101"/>
        <v>18.5</v>
      </c>
      <c r="AQ651">
        <f t="shared" si="102"/>
        <v>1.18</v>
      </c>
      <c r="AR651" t="str">
        <f>IFERROR(INDEX(_ENGINE_Crisis!$E$41:$E$700,MATCH('Resilience &amp; Risk Scenario'!$B$6&amp;"|"&amp;$C651,_ENGINE_Crisis!$I$41:$I$700,0)),"")</f>
        <v/>
      </c>
      <c r="AS651" t="str">
        <f>IFERROR(INDEX(_ENGINE_Crisis!$G$41:$G$700,MATCH('Resilience &amp; Risk Scenario'!$B$6&amp;"|"&amp;$C651,_ENGINE_Crisis!$I$41:$I$700,0)),"")</f>
        <v/>
      </c>
      <c r="AT651" t="str">
        <f>IFERROR(INDEX(_ENGINE_Initiatives!$A$5:$A$532,MATCH(1,INDEX((_ENGINE_Initiatives!$B$5:$B$532=$C651)*(_ENGINE_Initiatives!$C$5:$C$532=$D651),0),0)),"")</f>
        <v>INI-024</v>
      </c>
      <c r="AU651" t="str">
        <f>IFERROR(INDEX(_ENGINE_Initiatives!$F$5:$F$532,MATCH(1,INDEX((_ENGINE_Initiatives!$B$5:$B$532=$C651)*(_ENGINE_Initiatives!$C$5:$C$532=$D651),0),0)),"")</f>
        <v>Secure facilities, physical access and site protection controls</v>
      </c>
      <c r="AV651">
        <f>IFERROR(INDEX(_ENGINE_Initiatives!$AC$5:$AC$532,MATCH(1,INDEX((_ENGINE_Initiatives!$B$5:$B$532=$C651)*(_ENGINE_Initiatives!$C$5:$C$532=$D651),0),0)),"")</f>
        <v>1.82</v>
      </c>
      <c r="AW651" t="str">
        <f>IFERROR(INDEX(_ENGINE_Initiatives!$AE$5:$AE$532,MATCH(1,INDEX((_ENGINE_Initiatives!$B$5:$B$532=$C651)*(_ENGINE_Initiatives!$C$5:$C$532=$D651),0),0)),"")</f>
        <v>3-6 months</v>
      </c>
      <c r="AX651">
        <f>IF($B651="Yes",IFERROR((IF(SUMIFS(_REF_Model_Content!$E$1:$E$613,_REF_Model_Content!$A$1:$A$613,PV_Canonical_Industry,_REF_Model_Content!$B$1:$B$613,$C651)=0,1,SUMIFS(_REF_Model_Content!$E$1:$E$613,_REF_Model_Content!$A$1:$A$613,PV_Canonical_Industry,_REF_Model_Content!$B$1:$B$613,$C651))*IFERROR($BU651,1)),1),"")</f>
        <v>1</v>
      </c>
      <c r="AY651">
        <f t="shared" si="103"/>
        <v>18.5</v>
      </c>
      <c r="AZ651">
        <f t="shared" si="104"/>
        <v>1.18</v>
      </c>
      <c r="BB651" t="str">
        <f>IF($H651="","",IFERROR(INDEX(_ENGINE_Risk!$AE$5:$AE$499,MATCH($E651,_ENGINE_Risk!$A$5:$A$499,0)),"Medium"))</f>
        <v>Fast</v>
      </c>
      <c r="BC651">
        <f t="shared" si="105"/>
        <v>1.25</v>
      </c>
      <c r="BD651">
        <f t="shared" si="106"/>
        <v>1.18</v>
      </c>
      <c r="BF651">
        <f>IF(OR($H651="",$J651=""),"",IFERROR(VLOOKUP(ROUND($J651,0),_CONFIG_Model_Settings!$D$154:$E$158,2,0),""))</f>
        <v>0.5</v>
      </c>
      <c r="BG651">
        <f>IFERROR(IF(OR($H651="",$K651=""),"",ROUND('Company Profile'!$B$113*INDEX(_CONFIG_Model_Settings!$H$154:$H$158,MATCH(ROUND($K651,0),_CONFIG_Model_Settings!$G$154:$G$158,0)),0)),0)</f>
        <v>1875</v>
      </c>
      <c r="BH651">
        <f t="shared" si="107"/>
        <v>937.5</v>
      </c>
      <c r="BI651">
        <f t="shared" si="108"/>
        <v>937.5</v>
      </c>
      <c r="BJ651">
        <f>IF($E651="","",IFERROR(VLOOKUP($C651,_CONFIG_Risk_Calibration!$A$5:$H$21,2,FALSE),3))</f>
        <v>3</v>
      </c>
      <c r="BK651">
        <f>IF($E651="","",IFERROR(VLOOKUP($C651,_CONFIG_Risk_Calibration!$A$5:$H$21,3,FALSE),0))</f>
        <v>0</v>
      </c>
      <c r="BL651">
        <f>IF($E651="","",IFERROR(VLOOKUP($C651,_CONFIG_Risk_Calibration!$A$5:$H$21,4,FALSE),3))</f>
        <v>3</v>
      </c>
      <c r="BM651">
        <f>IF($E651="","",IFERROR(VLOOKUP($C651,_CONFIG_Risk_Calibration!$A$5:$H$21,5,FALSE),3))</f>
        <v>4</v>
      </c>
      <c r="BN651" t="str">
        <f>IF($E651="","",IFERROR(VLOOKUP($C651,_CONFIG_Risk_Calibration!$A$5:$H$21,6,FALSE),"No"))</f>
        <v>Yes</v>
      </c>
      <c r="BO651">
        <f>IF($E651="","",IFERROR(VLOOKUP($C651,_CONFIG_Risk_Calibration!$A$5:$H$21,7,FALSE),1))</f>
        <v>5</v>
      </c>
      <c r="BP651">
        <f>IF($H651="","",MAX(1,MIN(5,((6-$H651)*0.45)+($BJ651*0.2)+('Resilience &amp; Risk Scenario'!$B$7*0.15)+($BK651*0.1)+($BL651*0.05)+(IF($BB651="Fast",5,IF($BB651="Slow",1,3))*0.05))))</f>
        <v>3.7</v>
      </c>
      <c r="BQ651">
        <f t="shared" si="109"/>
        <v>5</v>
      </c>
      <c r="BR651">
        <f t="shared" si="110"/>
        <v>18.5</v>
      </c>
      <c r="BS651">
        <f t="shared" si="111"/>
        <v>25.44</v>
      </c>
      <c r="BT651" t="str">
        <f>IFERROR(INDEX(_REF_Capability_Bridge!$D:$D,MATCH($C651&amp;"|"&amp;$D651,_REF_Capability_Bridge!$J:$J,0)),IFERROR(INDEX(_REF_Capability_Bridge!$D:$D,MATCH($C651&amp;"|",_REF_Capability_Bridge!$J:$J,0)),"CAP_GENERIC"))</f>
        <v>CAP_IAM_PAM</v>
      </c>
      <c r="BU651">
        <f>IFERROR(IFERROR(INDEX(_ENGINE_Relevance!$L:$L,MATCH($BT651,_ENGINE_Relevance!$B:$B,0)),1),1)</f>
        <v>1</v>
      </c>
      <c r="BV651" t="str">
        <f>IFERROR(INDEX(_REF_Capability_Bridge!$A:$A,MATCH($C651&amp;"|"&amp;$D651,_REF_Capability_Bridge!$J:$J,0)),IFERROR(INDEX(_REF_Capability_Bridge!$A:$A,MATCH($C651&amp;"|",_REF_Capability_Bridge!$J:$J,0)),"No bridge"))</f>
        <v>BRG-067</v>
      </c>
      <c r="BW651" t="str">
        <f t="shared" si="112"/>
        <v>Capability relevance neutral</v>
      </c>
      <c r="BX651" t="str">
        <f t="shared" si="113"/>
        <v>Initial / absent</v>
      </c>
      <c r="BY651" t="str">
        <f>IF($E651="","",IFERROR(INDEX(_REF_Treatment_Library!$A$2:$A$296,MATCH(1,INDEX((_REF_Treatment_Library!$B$2:$B$296=$BT651)*(_REF_Treatment_Library!$C$2:$C$296=PV_Canonical_Industry)*(_REF_Treatment_Library!$E$2:$E$296&lt;=N($H651))*(_REF_Treatment_Library!$F$2:$F$296&gt;=N($H651))*(_REF_Treatment_Library!$O$2:$O$296="Yes"),0),0)),IFERROR(INDEX(_REF_Treatment_Library!$A$2:$A$296,MATCH(1,INDEX((_REF_Treatment_Library!$B$2:$B$296=$BT651)*(_REF_Treatment_Library!$C$2:$C$296="All")*(_REF_Treatment_Library!$E$2:$E$296&lt;=N($H651))*(_REF_Treatment_Library!$F$2:$F$296&gt;=N($H651))*(_REF_Treatment_Library!$O$2:$O$296="Yes"),0),0)),"")))</f>
        <v>TRT-IAM_PAM-INITIAL</v>
      </c>
      <c r="BZ651" t="str">
        <f>IF($BY651="","",IFERROR(INDEX(_REF_Treatment_Library!$H$2:$H$296,MATCH($BY651,_REF_Treatment_Library!$A$2:$A$296,0)),""))</f>
        <v>Establish</v>
      </c>
      <c r="CA651" t="str">
        <f>IF($BY651="","",IFERROR(INDEX(_REF_Treatment_Library!$I$2:$I$296,MATCH($BY651,_REF_Treatment_Library!$A$2:$A$296,0)),""))</f>
        <v>Establish baseline controls for Identity / PAM</v>
      </c>
      <c r="CB651" t="str">
        <f>IF($BY651="","",IFERROR(INDEX(_REF_Treatment_Library!$K$2:$K$296,MATCH($BY651,_REF_Treatment_Library!$A$2:$A$296,0)),""))</f>
        <v>Named owner, baseline process, minimum control checklist, first evidence package</v>
      </c>
      <c r="CC651" t="str">
        <f>IF($BY651="","",IFERROR(INDEX(_REF_Treatment_Library!$L$2:$L$296,MATCH($BY651,_REF_Treatment_Library!$A$2:$A$296,0)),""))</f>
        <v>Owner assigned; baseline evidence coverage; open critical gaps</v>
      </c>
      <c r="CD651" t="str">
        <f t="shared" si="114"/>
        <v>Treatment by capability=CAP_IAM_PAM; band=Initial / absent; score=0.0; treatment=Establish</v>
      </c>
      <c r="CE651" t="str">
        <f>IF($E651="","",IFERROR(INDEX(_REF_Industry_Wording!$A$2:$A$70,MATCH(1,INDEX((_REF_Industry_Wording!$B$2:$B$70=$BT651)*(_REF_Industry_Wording!$C$2:$C$70=PV_Canonical_Industry)*(_REF_Industry_Wording!$K$2:$K$70="Yes"),0),0)),IFERROR(INDEX(_REF_Industry_Wording!$A$2:$A$70,MATCH(1,INDEX((_REF_Industry_Wording!$B$2:$B$70=$BT651)*(_REF_Industry_Wording!$C$2:$C$70="All")*(_REF_Industry_Wording!$K$2:$K$70="Yes"),0),0)),"")))</f>
        <v>IW-ALL-IAM_PAM</v>
      </c>
      <c r="CF651" t="str">
        <f>IF($CE651="","",IFERROR(INDEX(_REF_Industry_Wording!$E$2:$E$70,MATCH($CE651,_REF_Industry_Wording!$A$2:$A$70,0)),""))</f>
        <v>Identity / PAM weakness</v>
      </c>
      <c r="CG651" t="str">
        <f>IF($CE651="","",IFERROR(INDEX(_REF_Industry_Wording!$F$2:$F$70,MATCH($CE651,_REF_Industry_Wording!$A$2:$A$70,0)),""))</f>
        <v>Strengthen Identity / PAM</v>
      </c>
      <c r="CH651" t="str">
        <f>IF($CE651="","",IFERROR(INDEX(_REF_Industry_Wording!$G$2:$G$70,MATCH($CE651,_REF_Industry_Wording!$A$2:$A$70,0)),""))</f>
        <v>Strengthen Identity / PAM using the selected maturity treatment, crisis scenario and evidence requirements.</v>
      </c>
      <c r="CI651" t="str">
        <f>IF($CE651="","",IFERROR(INDEX(_REF_Industry_Wording!$H$2:$H$70,MATCH($CE651,_REF_Industry_Wording!$A$2:$A$70,0)),""))</f>
        <v>Identity / PAM</v>
      </c>
      <c r="CJ651">
        <f>IF($CE651="","",IFERROR(INDEX(_REF_Industry_Wording!$I$2:$I$70,MATCH($CE651,_REF_Industry_Wording!$A$2:$A$70,0)),""))</f>
        <v>0</v>
      </c>
      <c r="CK651" t="str">
        <f>IF($CE651="","",IFERROR(INDEX(_REF_Industry_Wording!$J$2:$J$70,MATCH($CE651,_REF_Industry_Wording!$A$2:$A$70,0)),""))</f>
        <v>Identity / PAM</v>
      </c>
      <c r="CL651" t="str">
        <f t="shared" si="115"/>
        <v>Wording by industry=0; capability=CAP_IAM_PAM; risk label=Identity / PAM weakness</v>
      </c>
      <c r="CM651" t="str">
        <f t="shared" si="116"/>
        <v>RISK-ONT-0152</v>
      </c>
      <c r="CN651" t="str">
        <f t="shared" si="117"/>
        <v>RISK-EVT-0152</v>
      </c>
      <c r="CO651" t="str">
        <f t="shared" si="118"/>
        <v>Physical Safety|Facilities and access|PHYS-012|CAP_IAM_PAM</v>
      </c>
      <c r="CP651" t="str">
        <f t="shared" si="119"/>
        <v>Active</v>
      </c>
      <c r="CQ651" t="str">
        <f t="shared" si="120"/>
        <v>OK: capability-driven</v>
      </c>
      <c r="CR651" t="str">
        <f t="shared" si="121"/>
        <v>Risk ontology uses capability=CAP_IAM_PAM; bridge=BRG-067; treatment=TRT-IAM_PAM-INITIAL; wording=IW-ALL-IAM_PAM</v>
      </c>
      <c r="CS651" t="str">
        <f t="shared" si="122"/>
        <v>Yes</v>
      </c>
    </row>
    <row r="652" spans="1:97" ht="69.900000000000006" customHeight="1">
      <c r="A652">
        <f>IF(OR($B652&lt;&gt;"Yes",$BS652=""),"",SUMPRODUCT(($B$500:$B$923="Yes")*ISNUMBER($BS$500:$BS$923)*($BS$500:$BS$923&gt;$BS652))+COUNTIFS($B$500:$B652,"Yes",$BS$500:$BS652,$BS652))</f>
        <v>401</v>
      </c>
      <c r="B652" t="str">
        <f t="shared" si="91"/>
        <v>Yes</v>
      </c>
      <c r="C652" t="s">
        <v>1666</v>
      </c>
      <c r="D652" t="s">
        <v>1681</v>
      </c>
      <c r="E652" t="s">
        <v>1736</v>
      </c>
      <c r="F652" t="s">
        <v>3685</v>
      </c>
      <c r="G652" t="str">
        <f>IF($H652="","",IFERROR(INDEX(_ENGINE_Risk!$H$5:$M$499,MATCH($E652,_ENGINE_Risk!$A$5:$A$499,0),$H652+1),""))</f>
        <v>Severe risk: emergency response plans for fire, medical emergency, violence, bomb threat, shelling, evacuation, shelter-in-place and utility failure is not reliably controlled. During Safety incident; Physical site loss; War/security crisis; Natural disaster, the organization may face injury, unsafe facilities, uncontrolled access, asset loss and failure to protect people during incidents with limited visibility or accountability.</v>
      </c>
      <c r="H652">
        <f>IFERROR(VALUE(INDEX(_DATA_Assessment_Model!$H$5:$H$884,MATCH($E652,_DATA_Assessment_Model!$A$5:$A$884,0))),"")</f>
        <v>0</v>
      </c>
      <c r="I652" t="str">
        <f>IF($H652="","",IFERROR(INDEX(_DATA_Assessment_Model!$L$5:$L$884,MATCH($E652,_DATA_Assessment_Model!$A$5:$A$884,0)),IF($H652&lt;=1,"Critical",IF($H652=2,"High",IF($H652=3,"Medium",IF($H652=4,"Low","Resilient"))))))</f>
        <v>Critical</v>
      </c>
      <c r="J652">
        <f t="shared" si="92"/>
        <v>3.7</v>
      </c>
      <c r="K652">
        <f t="shared" si="93"/>
        <v>5</v>
      </c>
      <c r="L652">
        <f t="shared" si="94"/>
        <v>18.5</v>
      </c>
      <c r="M652">
        <f t="shared" si="95"/>
        <v>4</v>
      </c>
      <c r="N652">
        <f>IF($H652="","",IFERROR(INDEX(_ENGINE_Risk!$T$5:$Y$499,MATCH($E652,_ENGINE_Risk!$A$5:$A$499,0),$H652+1),""))</f>
        <v>4</v>
      </c>
      <c r="O652">
        <f t="shared" si="96"/>
        <v>4</v>
      </c>
      <c r="P652">
        <f t="shared" si="97"/>
        <v>5</v>
      </c>
      <c r="Q652">
        <f t="shared" si="98"/>
        <v>5</v>
      </c>
      <c r="R652">
        <f t="shared" si="99"/>
        <v>4.5</v>
      </c>
      <c r="S652">
        <f t="shared" si="100"/>
        <v>1.1599999999999999</v>
      </c>
      <c r="T652" t="str">
        <f>IF($H652="","",IFERROR(INDEX(_ENGINE_Risk!$N$5:$S$499,MATCH($E652,_ENGINE_Risk!$A$5:$A$499,0),$H652+1),""))</f>
        <v>Create an immediate risk owner, minimum control baseline and fallback procedure for emergency response plans for fire, medical emergency, violence, bomb threat, shelling, evacuation, shelter-in-place and utility failure. Add it to the crisis risk register and collect first evidence.</v>
      </c>
      <c r="U652">
        <f>IFERROR(INDEX(_DATA_Assessment_Model!$G$5:$G$884,MATCH($E652,_DATA_Assessment_Model!$A$5:$A$884,0)),"")</f>
        <v>3</v>
      </c>
      <c r="V652">
        <f>IFERROR(INDEX(_DATA_Assessment_Model!$W$5:$W$884,MATCH($E652,_DATA_Assessment_Model!$A$5:$A$884,0)),"")</f>
        <v>4</v>
      </c>
      <c r="W652">
        <f>IFERROR(INDEX(_DATA_Assessment_Model!$X$5:$X$884,MATCH($E652,_DATA_Assessment_Model!$A$5:$A$884,0)),"")</f>
        <v>5</v>
      </c>
      <c r="X652">
        <f>IFERROR(INDEX(_DATA_Assessment_Model!$Y$5:$Y$884,MATCH($E652,_DATA_Assessment_Model!$A$5:$A$884,0)),"")</f>
        <v>5</v>
      </c>
      <c r="Y652" t="s">
        <v>1673</v>
      </c>
      <c r="Z652" t="s">
        <v>6587</v>
      </c>
      <c r="AA652" t="s">
        <v>1738</v>
      </c>
      <c r="AB652">
        <f>IFERROR(INDEX(_DATA_Assessment_Model!$U$5:$U$884,MATCH($E652,_DATA_Assessment_Model!$A$5:$A$884,0)),"")</f>
        <v>0</v>
      </c>
      <c r="AF652" t="s">
        <v>1737</v>
      </c>
      <c r="AO652">
        <f>IF($B652="Yes",IF(IFERROR(INDEX(_ENGINE_Crisis!$F$501:$F$517,MATCH($C652,_ENGINE_Crisis!$A$501:$A$517,0)),1)=0,1,IFERROR(INDEX(_ENGINE_Crisis!$F$501:$F$517,MATCH($C652,_ENGINE_Crisis!$A$501:$A$517,0)),1)),"")</f>
        <v>1</v>
      </c>
      <c r="AP652">
        <f t="shared" si="101"/>
        <v>18.5</v>
      </c>
      <c r="AQ652">
        <f t="shared" si="102"/>
        <v>1.1599999999999999</v>
      </c>
      <c r="AR652" t="str">
        <f>IFERROR(INDEX(_ENGINE_Crisis!$E$41:$E$700,MATCH('Resilience &amp; Risk Scenario'!$B$6&amp;"|"&amp;$C652,_ENGINE_Crisis!$I$41:$I$700,0)),"")</f>
        <v/>
      </c>
      <c r="AS652" t="str">
        <f>IFERROR(INDEX(_ENGINE_Crisis!$G$41:$G$700,MATCH('Resilience &amp; Risk Scenario'!$B$6&amp;"|"&amp;$C652,_ENGINE_Crisis!$I$41:$I$700,0)),"")</f>
        <v/>
      </c>
      <c r="AT652" t="str">
        <f>IFERROR(INDEX(_ENGINE_Initiatives!$A$5:$A$532,MATCH(1,INDEX((_ENGINE_Initiatives!$B$5:$B$532=$C652)*(_ENGINE_Initiatives!$C$5:$C$532=$D652),0),0)),"")</f>
        <v>INI-025</v>
      </c>
      <c r="AU652" t="str">
        <f>IFERROR(INDEX(_ENGINE_Initiatives!$F$5:$F$532,MATCH(1,INDEX((_ENGINE_Initiatives!$B$5:$B$532=$C652)*(_ENGINE_Initiatives!$C$5:$C$532=$D652),0),0)),"")</f>
        <v>Build emergency response, evacuation and shelter procedures</v>
      </c>
      <c r="AV652">
        <f>IFERROR(INDEX(_ENGINE_Initiatives!$AC$5:$AC$532,MATCH(1,INDEX((_ENGINE_Initiatives!$B$5:$B$532=$C652)*(_ENGINE_Initiatives!$C$5:$C$532=$D652),0),0)),"")</f>
        <v>1.68</v>
      </c>
      <c r="AW652" t="str">
        <f>IFERROR(INDEX(_ENGINE_Initiatives!$AE$5:$AE$532,MATCH(1,INDEX((_ENGINE_Initiatives!$B$5:$B$532=$C652)*(_ENGINE_Initiatives!$C$5:$C$532=$D652),0),0)),"")</f>
        <v>6-12 months</v>
      </c>
      <c r="AX652">
        <f>IF($B652="Yes",IFERROR((IF(SUMIFS(_REF_Model_Content!$E$1:$E$613,_REF_Model_Content!$A$1:$A$613,PV_Canonical_Industry,_REF_Model_Content!$B$1:$B$613,$C652)=0,1,SUMIFS(_REF_Model_Content!$E$1:$E$613,_REF_Model_Content!$A$1:$A$613,PV_Canonical_Industry,_REF_Model_Content!$B$1:$B$613,$C652))*IFERROR($BU652,1)),1),"")</f>
        <v>0.4</v>
      </c>
      <c r="AY652">
        <f t="shared" si="103"/>
        <v>7.4</v>
      </c>
      <c r="AZ652">
        <f t="shared" si="104"/>
        <v>0.46</v>
      </c>
      <c r="BB652" t="str">
        <f>IF($H652="","",IFERROR(INDEX(_ENGINE_Risk!$AE$5:$AE$499,MATCH($E652,_ENGINE_Risk!$A$5:$A$499,0)),"Medium"))</f>
        <v>Fast</v>
      </c>
      <c r="BC652">
        <f t="shared" si="105"/>
        <v>1.25</v>
      </c>
      <c r="BD652">
        <f t="shared" si="106"/>
        <v>0.46</v>
      </c>
      <c r="BF652">
        <f>IF(OR($H652="",$J652=""),"",IFERROR(VLOOKUP(ROUND($J652,0),_CONFIG_Model_Settings!$D$154:$E$158,2,0),""))</f>
        <v>0.5</v>
      </c>
      <c r="BG652">
        <f>IFERROR(IF(OR($H652="",$K652=""),"",ROUND('Company Profile'!$B$113*INDEX(_CONFIG_Model_Settings!$H$154:$H$158,MATCH(ROUND($K652,0),_CONFIG_Model_Settings!$G$154:$G$158,0)),0)),0)</f>
        <v>1875</v>
      </c>
      <c r="BH652">
        <f t="shared" si="107"/>
        <v>937.5</v>
      </c>
      <c r="BI652">
        <f t="shared" si="108"/>
        <v>937.5</v>
      </c>
      <c r="BJ652">
        <f>IF($E652="","",IFERROR(VLOOKUP($C652,_CONFIG_Risk_Calibration!$A$5:$H$21,2,FALSE),3))</f>
        <v>3</v>
      </c>
      <c r="BK652">
        <f>IF($E652="","",IFERROR(VLOOKUP($C652,_CONFIG_Risk_Calibration!$A$5:$H$21,3,FALSE),0))</f>
        <v>0</v>
      </c>
      <c r="BL652">
        <f>IF($E652="","",IFERROR(VLOOKUP($C652,_CONFIG_Risk_Calibration!$A$5:$H$21,4,FALSE),3))</f>
        <v>3</v>
      </c>
      <c r="BM652">
        <f>IF($E652="","",IFERROR(VLOOKUP($C652,_CONFIG_Risk_Calibration!$A$5:$H$21,5,FALSE),3))</f>
        <v>4</v>
      </c>
      <c r="BN652" t="str">
        <f>IF($E652="","",IFERROR(VLOOKUP($C652,_CONFIG_Risk_Calibration!$A$5:$H$21,6,FALSE),"No"))</f>
        <v>Yes</v>
      </c>
      <c r="BO652">
        <f>IF($E652="","",IFERROR(VLOOKUP($C652,_CONFIG_Risk_Calibration!$A$5:$H$21,7,FALSE),1))</f>
        <v>5</v>
      </c>
      <c r="BP652">
        <f>IF($H652="","",MAX(1,MIN(5,((6-$H652)*0.45)+($BJ652*0.2)+('Resilience &amp; Risk Scenario'!$B$7*0.15)+($BK652*0.1)+($BL652*0.05)+(IF($BB652="Fast",5,IF($BB652="Slow",1,3))*0.05))))</f>
        <v>3.7</v>
      </c>
      <c r="BQ652">
        <f t="shared" si="109"/>
        <v>5</v>
      </c>
      <c r="BR652">
        <f t="shared" si="110"/>
        <v>18.5</v>
      </c>
      <c r="BS652">
        <f t="shared" si="111"/>
        <v>10.18</v>
      </c>
      <c r="BT652" t="str">
        <f>IFERROR(INDEX(_REF_Capability_Bridge!$D:$D,MATCH($C652&amp;"|"&amp;$D652,_REF_Capability_Bridge!$J:$J,0)),IFERROR(INDEX(_REF_Capability_Bridge!$D:$D,MATCH($C652&amp;"|",_REF_Capability_Bridge!$J:$J,0)),"CAP_GENERIC"))</f>
        <v>CAP_MES_SHOPFLOOR</v>
      </c>
      <c r="BU652">
        <f>IFERROR(IFERROR(INDEX(_ENGINE_Relevance!$L:$L,MATCH($BT652,_ENGINE_Relevance!$B:$B,0)),1),1)</f>
        <v>0.4</v>
      </c>
      <c r="BV652" t="str">
        <f>IFERROR(INDEX(_REF_Capability_Bridge!$A:$A,MATCH($C652&amp;"|"&amp;$D652,_REF_Capability_Bridge!$J:$J,0)),IFERROR(INDEX(_REF_Capability_Bridge!$A:$A,MATCH($C652&amp;"|",_REF_Capability_Bridge!$J:$J,0)),"No bridge"))</f>
        <v>BRG-066</v>
      </c>
      <c r="BW652" t="str">
        <f t="shared" si="112"/>
        <v>Capability relevance lowers risk priority</v>
      </c>
      <c r="BX652" t="str">
        <f t="shared" si="113"/>
        <v>Initial / absent</v>
      </c>
      <c r="BY652" t="str">
        <f>IF($E652="","",IFERROR(INDEX(_REF_Treatment_Library!$A$2:$A$296,MATCH(1,INDEX((_REF_Treatment_Library!$B$2:$B$296=$BT652)*(_REF_Treatment_Library!$C$2:$C$296=PV_Canonical_Industry)*(_REF_Treatment_Library!$E$2:$E$296&lt;=N($H652))*(_REF_Treatment_Library!$F$2:$F$296&gt;=N($H652))*(_REF_Treatment_Library!$O$2:$O$296="Yes"),0),0)),IFERROR(INDEX(_REF_Treatment_Library!$A$2:$A$296,MATCH(1,INDEX((_REF_Treatment_Library!$B$2:$B$296=$BT652)*(_REF_Treatment_Library!$C$2:$C$296="All")*(_REF_Treatment_Library!$E$2:$E$296&lt;=N($H652))*(_REF_Treatment_Library!$F$2:$F$296&gt;=N($H652))*(_REF_Treatment_Library!$O$2:$O$296="Yes"),0),0)),"")))</f>
        <v>TRT-MES_SHOPFLOOR-INITIAL</v>
      </c>
      <c r="BZ652" t="str">
        <f>IF($BY652="","",IFERROR(INDEX(_REF_Treatment_Library!$H$2:$H$296,MATCH($BY652,_REF_Treatment_Library!$A$2:$A$296,0)),""))</f>
        <v>Establish</v>
      </c>
      <c r="CA652" t="str">
        <f>IF($BY652="","",IFERROR(INDEX(_REF_Treatment_Library!$I$2:$I$296,MATCH($BY652,_REF_Treatment_Library!$A$2:$A$296,0)),""))</f>
        <v>Establish baseline controls for MES / shop-floor</v>
      </c>
      <c r="CB652" t="str">
        <f>IF($BY652="","",IFERROR(INDEX(_REF_Treatment_Library!$K$2:$K$296,MATCH($BY652,_REF_Treatment_Library!$A$2:$A$296,0)),""))</f>
        <v>Named owner, baseline process, minimum control checklist, first evidence package</v>
      </c>
      <c r="CC652" t="str">
        <f>IF($BY652="","",IFERROR(INDEX(_REF_Treatment_Library!$L$2:$L$296,MATCH($BY652,_REF_Treatment_Library!$A$2:$A$296,0)),""))</f>
        <v>Owner assigned; baseline evidence coverage; open critical gaps</v>
      </c>
      <c r="CD652" t="str">
        <f t="shared" si="114"/>
        <v>Treatment by capability=CAP_MES_SHOPFLOOR; band=Initial / absent; score=0.0; treatment=Establish</v>
      </c>
      <c r="CE652" t="str">
        <f>IF($E652="","",IFERROR(INDEX(_REF_Industry_Wording!$A$2:$A$70,MATCH(1,INDEX((_REF_Industry_Wording!$B$2:$B$70=$BT652)*(_REF_Industry_Wording!$C$2:$C$70=PV_Canonical_Industry)*(_REF_Industry_Wording!$K$2:$K$70="Yes"),0),0)),IFERROR(INDEX(_REF_Industry_Wording!$A$2:$A$70,MATCH(1,INDEX((_REF_Industry_Wording!$B$2:$B$70=$BT652)*(_REF_Industry_Wording!$C$2:$C$70="All")*(_REF_Industry_Wording!$K$2:$K$70="Yes"),0),0)),"")))</f>
        <v>IW-ALL-MES_SHOPFLOOR</v>
      </c>
      <c r="CF652" t="str">
        <f>IF($CE652="","",IFERROR(INDEX(_REF_Industry_Wording!$E$2:$E$70,MATCH($CE652,_REF_Industry_Wording!$A$2:$A$70,0)),""))</f>
        <v>MES / shop-floor weakness</v>
      </c>
      <c r="CG652" t="str">
        <f>IF($CE652="","",IFERROR(INDEX(_REF_Industry_Wording!$F$2:$F$70,MATCH($CE652,_REF_Industry_Wording!$A$2:$A$70,0)),""))</f>
        <v>Strengthen MES / shop-floor</v>
      </c>
      <c r="CH652" t="str">
        <f>IF($CE652="","",IFERROR(INDEX(_REF_Industry_Wording!$G$2:$G$70,MATCH($CE652,_REF_Industry_Wording!$A$2:$A$70,0)),""))</f>
        <v>Strengthen MES / shop-floor using the selected maturity treatment, crisis scenario and evidence requirements.</v>
      </c>
      <c r="CI652" t="str">
        <f>IF($CE652="","",IFERROR(INDEX(_REF_Industry_Wording!$H$2:$H$70,MATCH($CE652,_REF_Industry_Wording!$A$2:$A$70,0)),""))</f>
        <v>MES / shop-floor</v>
      </c>
      <c r="CJ652">
        <f>IF($CE652="","",IFERROR(INDEX(_REF_Industry_Wording!$I$2:$I$70,MATCH($CE652,_REF_Industry_Wording!$A$2:$A$70,0)),""))</f>
        <v>0</v>
      </c>
      <c r="CK652" t="str">
        <f>IF($CE652="","",IFERROR(INDEX(_REF_Industry_Wording!$J$2:$J$70,MATCH($CE652,_REF_Industry_Wording!$A$2:$A$70,0)),""))</f>
        <v>MES / shop-floor</v>
      </c>
      <c r="CL652" t="str">
        <f t="shared" si="115"/>
        <v>Wording by industry=0; capability=CAP_MES_SHOPFLOOR; risk label=MES / shop-floor weakness</v>
      </c>
      <c r="CM652" t="str">
        <f t="shared" si="116"/>
        <v>RISK-ONT-0153</v>
      </c>
      <c r="CN652" t="str">
        <f t="shared" si="117"/>
        <v>RISK-EVT-0153</v>
      </c>
      <c r="CO652" t="str">
        <f t="shared" si="118"/>
        <v>Physical Safety|Emergency response|PHYS-013|CAP_MES_SHOPFLOOR</v>
      </c>
      <c r="CP652" t="str">
        <f t="shared" si="119"/>
        <v>Active</v>
      </c>
      <c r="CQ652" t="str">
        <f t="shared" si="120"/>
        <v>OK: capability-driven</v>
      </c>
      <c r="CR652" t="str">
        <f t="shared" si="121"/>
        <v>Risk ontology uses capability=CAP_MES_SHOPFLOOR; bridge=BRG-066; treatment=TRT-MES_SHOPFLOOR-INITIAL; wording=IW-ALL-MES_SHOPFLOOR</v>
      </c>
      <c r="CS652" t="str">
        <f t="shared" si="122"/>
        <v>Yes</v>
      </c>
    </row>
    <row r="653" spans="1:97" ht="69.900000000000006" customHeight="1">
      <c r="A653">
        <f>IF(OR($B653&lt;&gt;"Yes",$BS653=""),"",SUMPRODUCT(($B$500:$B$923="Yes")*ISNUMBER($BS$500:$BS$923)*($BS$500:$BS$923&gt;$BS653))+COUNTIFS($B$500:$B653,"Yes",$BS$500:$BS653,$BS653))</f>
        <v>402</v>
      </c>
      <c r="B653" t="str">
        <f t="shared" si="91"/>
        <v>Yes</v>
      </c>
      <c r="C653" t="s">
        <v>1666</v>
      </c>
      <c r="D653" t="s">
        <v>1681</v>
      </c>
      <c r="E653" t="s">
        <v>1745</v>
      </c>
      <c r="F653" t="s">
        <v>3685</v>
      </c>
      <c r="G653" t="str">
        <f>IF($H653="","",IFERROR(INDEX(_ENGINE_Risk!$H$5:$M$499,MATCH($E653,_ENGINE_Risk!$A$5:$A$499,0),$H653+1),""))</f>
        <v>Severe risk: evacuation and shelter drills with attendance, outcomes and corrective actions is not reliably controlled. During Safety incident; Physical site loss; War/security crisis; Natural disaster, the organization may face injury, unsafe facilities, uncontrolled access, asset loss and failure to protect people during incidents with limited visibility or accountability.</v>
      </c>
      <c r="H653">
        <f>IFERROR(VALUE(INDEX(_DATA_Assessment_Model!$H$5:$H$884,MATCH($E653,_DATA_Assessment_Model!$A$5:$A$884,0))),"")</f>
        <v>0</v>
      </c>
      <c r="I653" t="str">
        <f>IF($H653="","",IFERROR(INDEX(_DATA_Assessment_Model!$L$5:$L$884,MATCH($E653,_DATA_Assessment_Model!$A$5:$A$884,0)),IF($H653&lt;=1,"Critical",IF($H653=2,"High",IF($H653=3,"Medium",IF($H653=4,"Low","Resilient"))))))</f>
        <v>Critical</v>
      </c>
      <c r="J653">
        <f t="shared" si="92"/>
        <v>3.7</v>
      </c>
      <c r="K653">
        <f t="shared" si="93"/>
        <v>5</v>
      </c>
      <c r="L653">
        <f t="shared" si="94"/>
        <v>18.5</v>
      </c>
      <c r="M653">
        <f t="shared" si="95"/>
        <v>4</v>
      </c>
      <c r="N653">
        <f>IF($H653="","",IFERROR(INDEX(_ENGINE_Risk!$T$5:$Y$499,MATCH($E653,_ENGINE_Risk!$A$5:$A$499,0),$H653+1),""))</f>
        <v>4</v>
      </c>
      <c r="O653">
        <f t="shared" si="96"/>
        <v>4.666666666666667</v>
      </c>
      <c r="P653">
        <f t="shared" si="97"/>
        <v>5</v>
      </c>
      <c r="Q653">
        <f t="shared" si="98"/>
        <v>5</v>
      </c>
      <c r="R653">
        <f t="shared" si="99"/>
        <v>4.5</v>
      </c>
      <c r="S653">
        <f t="shared" si="100"/>
        <v>1.2</v>
      </c>
      <c r="T653" t="str">
        <f>IF($H653="","",IFERROR(INDEX(_ENGINE_Risk!$N$5:$S$499,MATCH($E653,_ENGINE_Risk!$A$5:$A$499,0),$H653+1),""))</f>
        <v>Create an immediate risk owner, minimum control baseline and fallback procedure for evacuation and shelter drills with attendance, outcomes and corrective actions. Add it to the crisis risk register and collect first evidence.</v>
      </c>
      <c r="U653">
        <f>IFERROR(INDEX(_DATA_Assessment_Model!$G$5:$G$884,MATCH($E653,_DATA_Assessment_Model!$A$5:$A$884,0)),"")</f>
        <v>5</v>
      </c>
      <c r="V653">
        <f>IFERROR(INDEX(_DATA_Assessment_Model!$W$5:$W$884,MATCH($E653,_DATA_Assessment_Model!$A$5:$A$884,0)),"")</f>
        <v>4</v>
      </c>
      <c r="W653">
        <f>IFERROR(INDEX(_DATA_Assessment_Model!$X$5:$X$884,MATCH($E653,_DATA_Assessment_Model!$A$5:$A$884,0)),"")</f>
        <v>5</v>
      </c>
      <c r="X653">
        <f>IFERROR(INDEX(_DATA_Assessment_Model!$Y$5:$Y$884,MATCH($E653,_DATA_Assessment_Model!$A$5:$A$884,0)),"")</f>
        <v>5</v>
      </c>
      <c r="Y653" t="s">
        <v>1673</v>
      </c>
      <c r="Z653" t="s">
        <v>6587</v>
      </c>
      <c r="AA653" t="s">
        <v>1747</v>
      </c>
      <c r="AB653">
        <f>IFERROR(INDEX(_DATA_Assessment_Model!$U$5:$U$884,MATCH($E653,_DATA_Assessment_Model!$A$5:$A$884,0)),"")</f>
        <v>0</v>
      </c>
      <c r="AF653" t="s">
        <v>1746</v>
      </c>
      <c r="AO653">
        <f>IF($B653="Yes",IF(IFERROR(INDEX(_ENGINE_Crisis!$F$501:$F$517,MATCH($C653,_ENGINE_Crisis!$A$501:$A$517,0)),1)=0,1,IFERROR(INDEX(_ENGINE_Crisis!$F$501:$F$517,MATCH($C653,_ENGINE_Crisis!$A$501:$A$517,0)),1)),"")</f>
        <v>1</v>
      </c>
      <c r="AP653">
        <f t="shared" si="101"/>
        <v>18.5</v>
      </c>
      <c r="AQ653">
        <f t="shared" si="102"/>
        <v>1.2</v>
      </c>
      <c r="AR653" t="str">
        <f>IFERROR(INDEX(_ENGINE_Crisis!$E$41:$E$700,MATCH('Resilience &amp; Risk Scenario'!$B$6&amp;"|"&amp;$C653,_ENGINE_Crisis!$I$41:$I$700,0)),"")</f>
        <v/>
      </c>
      <c r="AS653" t="str">
        <f>IFERROR(INDEX(_ENGINE_Crisis!$G$41:$G$700,MATCH('Resilience &amp; Risk Scenario'!$B$6&amp;"|"&amp;$C653,_ENGINE_Crisis!$I$41:$I$700,0)),"")</f>
        <v/>
      </c>
      <c r="AT653" t="str">
        <f>IFERROR(INDEX(_ENGINE_Initiatives!$A$5:$A$532,MATCH(1,INDEX((_ENGINE_Initiatives!$B$5:$B$532=$C653)*(_ENGINE_Initiatives!$C$5:$C$532=$D653),0),0)),"")</f>
        <v>INI-025</v>
      </c>
      <c r="AU653" t="str">
        <f>IFERROR(INDEX(_ENGINE_Initiatives!$F$5:$F$532,MATCH(1,INDEX((_ENGINE_Initiatives!$B$5:$B$532=$C653)*(_ENGINE_Initiatives!$C$5:$C$532=$D653),0),0)),"")</f>
        <v>Build emergency response, evacuation and shelter procedures</v>
      </c>
      <c r="AV653">
        <f>IFERROR(INDEX(_ENGINE_Initiatives!$AC$5:$AC$532,MATCH(1,INDEX((_ENGINE_Initiatives!$B$5:$B$532=$C653)*(_ENGINE_Initiatives!$C$5:$C$532=$D653),0),0)),"")</f>
        <v>1.68</v>
      </c>
      <c r="AW653" t="str">
        <f>IFERROR(INDEX(_ENGINE_Initiatives!$AE$5:$AE$532,MATCH(1,INDEX((_ENGINE_Initiatives!$B$5:$B$532=$C653)*(_ENGINE_Initiatives!$C$5:$C$532=$D653),0),0)),"")</f>
        <v>6-12 months</v>
      </c>
      <c r="AX653">
        <f>IF($B653="Yes",IFERROR((IF(SUMIFS(_REF_Model_Content!$E$1:$E$613,_REF_Model_Content!$A$1:$A$613,PV_Canonical_Industry,_REF_Model_Content!$B$1:$B$613,$C653)=0,1,SUMIFS(_REF_Model_Content!$E$1:$E$613,_REF_Model_Content!$A$1:$A$613,PV_Canonical_Industry,_REF_Model_Content!$B$1:$B$613,$C653))*IFERROR($BU653,1)),1),"")</f>
        <v>0.4</v>
      </c>
      <c r="AY653">
        <f t="shared" si="103"/>
        <v>7.4</v>
      </c>
      <c r="AZ653">
        <f t="shared" si="104"/>
        <v>0.48</v>
      </c>
      <c r="BB653" t="str">
        <f>IF($H653="","",IFERROR(INDEX(_ENGINE_Risk!$AE$5:$AE$499,MATCH($E653,_ENGINE_Risk!$A$5:$A$499,0)),"Medium"))</f>
        <v>Fast</v>
      </c>
      <c r="BC653">
        <f t="shared" si="105"/>
        <v>1.25</v>
      </c>
      <c r="BD653">
        <f t="shared" si="106"/>
        <v>0.48</v>
      </c>
      <c r="BF653">
        <f>IF(OR($H653="",$J653=""),"",IFERROR(VLOOKUP(ROUND($J653,0),_CONFIG_Model_Settings!$D$154:$E$158,2,0),""))</f>
        <v>0.5</v>
      </c>
      <c r="BG653">
        <f>IFERROR(IF(OR($H653="",$K653=""),"",ROUND('Company Profile'!$B$113*INDEX(_CONFIG_Model_Settings!$H$154:$H$158,MATCH(ROUND($K653,0),_CONFIG_Model_Settings!$G$154:$G$158,0)),0)),0)</f>
        <v>1875</v>
      </c>
      <c r="BH653">
        <f t="shared" si="107"/>
        <v>937.5</v>
      </c>
      <c r="BI653">
        <f t="shared" si="108"/>
        <v>937.5</v>
      </c>
      <c r="BJ653">
        <f>IF($E653="","",IFERROR(VLOOKUP($C653,_CONFIG_Risk_Calibration!$A$5:$H$21,2,FALSE),3))</f>
        <v>3</v>
      </c>
      <c r="BK653">
        <f>IF($E653="","",IFERROR(VLOOKUP($C653,_CONFIG_Risk_Calibration!$A$5:$H$21,3,FALSE),0))</f>
        <v>0</v>
      </c>
      <c r="BL653">
        <f>IF($E653="","",IFERROR(VLOOKUP($C653,_CONFIG_Risk_Calibration!$A$5:$H$21,4,FALSE),3))</f>
        <v>3</v>
      </c>
      <c r="BM653">
        <f>IF($E653="","",IFERROR(VLOOKUP($C653,_CONFIG_Risk_Calibration!$A$5:$H$21,5,FALSE),3))</f>
        <v>4</v>
      </c>
      <c r="BN653" t="str">
        <f>IF($E653="","",IFERROR(VLOOKUP($C653,_CONFIG_Risk_Calibration!$A$5:$H$21,6,FALSE),"No"))</f>
        <v>Yes</v>
      </c>
      <c r="BO653">
        <f>IF($E653="","",IFERROR(VLOOKUP($C653,_CONFIG_Risk_Calibration!$A$5:$H$21,7,FALSE),1))</f>
        <v>5</v>
      </c>
      <c r="BP653">
        <f>IF($H653="","",MAX(1,MIN(5,((6-$H653)*0.45)+($BJ653*0.2)+('Resilience &amp; Risk Scenario'!$B$7*0.15)+($BK653*0.1)+($BL653*0.05)+(IF($BB653="Fast",5,IF($BB653="Slow",1,3))*0.05))))</f>
        <v>3.7</v>
      </c>
      <c r="BQ653">
        <f t="shared" si="109"/>
        <v>5</v>
      </c>
      <c r="BR653">
        <f t="shared" si="110"/>
        <v>18.5</v>
      </c>
      <c r="BS653">
        <f t="shared" si="111"/>
        <v>10.18</v>
      </c>
      <c r="BT653" t="str">
        <f>IFERROR(INDEX(_REF_Capability_Bridge!$D:$D,MATCH($C653&amp;"|"&amp;$D653,_REF_Capability_Bridge!$J:$J,0)),IFERROR(INDEX(_REF_Capability_Bridge!$D:$D,MATCH($C653&amp;"|",_REF_Capability_Bridge!$J:$J,0)),"CAP_GENERIC"))</f>
        <v>CAP_MES_SHOPFLOOR</v>
      </c>
      <c r="BU653">
        <f>IFERROR(IFERROR(INDEX(_ENGINE_Relevance!$L:$L,MATCH($BT653,_ENGINE_Relevance!$B:$B,0)),1),1)</f>
        <v>0.4</v>
      </c>
      <c r="BV653" t="str">
        <f>IFERROR(INDEX(_REF_Capability_Bridge!$A:$A,MATCH($C653&amp;"|"&amp;$D653,_REF_Capability_Bridge!$J:$J,0)),IFERROR(INDEX(_REF_Capability_Bridge!$A:$A,MATCH($C653&amp;"|",_REF_Capability_Bridge!$J:$J,0)),"No bridge"))</f>
        <v>BRG-066</v>
      </c>
      <c r="BW653" t="str">
        <f t="shared" si="112"/>
        <v>Capability relevance lowers risk priority</v>
      </c>
      <c r="BX653" t="str">
        <f t="shared" si="113"/>
        <v>Initial / absent</v>
      </c>
      <c r="BY653" t="str">
        <f>IF($E653="","",IFERROR(INDEX(_REF_Treatment_Library!$A$2:$A$296,MATCH(1,INDEX((_REF_Treatment_Library!$B$2:$B$296=$BT653)*(_REF_Treatment_Library!$C$2:$C$296=PV_Canonical_Industry)*(_REF_Treatment_Library!$E$2:$E$296&lt;=N($H653))*(_REF_Treatment_Library!$F$2:$F$296&gt;=N($H653))*(_REF_Treatment_Library!$O$2:$O$296="Yes"),0),0)),IFERROR(INDEX(_REF_Treatment_Library!$A$2:$A$296,MATCH(1,INDEX((_REF_Treatment_Library!$B$2:$B$296=$BT653)*(_REF_Treatment_Library!$C$2:$C$296="All")*(_REF_Treatment_Library!$E$2:$E$296&lt;=N($H653))*(_REF_Treatment_Library!$F$2:$F$296&gt;=N($H653))*(_REF_Treatment_Library!$O$2:$O$296="Yes"),0),0)),"")))</f>
        <v>TRT-MES_SHOPFLOOR-INITIAL</v>
      </c>
      <c r="BZ653" t="str">
        <f>IF($BY653="","",IFERROR(INDEX(_REF_Treatment_Library!$H$2:$H$296,MATCH($BY653,_REF_Treatment_Library!$A$2:$A$296,0)),""))</f>
        <v>Establish</v>
      </c>
      <c r="CA653" t="str">
        <f>IF($BY653="","",IFERROR(INDEX(_REF_Treatment_Library!$I$2:$I$296,MATCH($BY653,_REF_Treatment_Library!$A$2:$A$296,0)),""))</f>
        <v>Establish baseline controls for MES / shop-floor</v>
      </c>
      <c r="CB653" t="str">
        <f>IF($BY653="","",IFERROR(INDEX(_REF_Treatment_Library!$K$2:$K$296,MATCH($BY653,_REF_Treatment_Library!$A$2:$A$296,0)),""))</f>
        <v>Named owner, baseline process, minimum control checklist, first evidence package</v>
      </c>
      <c r="CC653" t="str">
        <f>IF($BY653="","",IFERROR(INDEX(_REF_Treatment_Library!$L$2:$L$296,MATCH($BY653,_REF_Treatment_Library!$A$2:$A$296,0)),""))</f>
        <v>Owner assigned; baseline evidence coverage; open critical gaps</v>
      </c>
      <c r="CD653" t="str">
        <f t="shared" si="114"/>
        <v>Treatment by capability=CAP_MES_SHOPFLOOR; band=Initial / absent; score=0.0; treatment=Establish</v>
      </c>
      <c r="CE653" t="str">
        <f>IF($E653="","",IFERROR(INDEX(_REF_Industry_Wording!$A$2:$A$70,MATCH(1,INDEX((_REF_Industry_Wording!$B$2:$B$70=$BT653)*(_REF_Industry_Wording!$C$2:$C$70=PV_Canonical_Industry)*(_REF_Industry_Wording!$K$2:$K$70="Yes"),0),0)),IFERROR(INDEX(_REF_Industry_Wording!$A$2:$A$70,MATCH(1,INDEX((_REF_Industry_Wording!$B$2:$B$70=$BT653)*(_REF_Industry_Wording!$C$2:$C$70="All")*(_REF_Industry_Wording!$K$2:$K$70="Yes"),0),0)),"")))</f>
        <v>IW-ALL-MES_SHOPFLOOR</v>
      </c>
      <c r="CF653" t="str">
        <f>IF($CE653="","",IFERROR(INDEX(_REF_Industry_Wording!$E$2:$E$70,MATCH($CE653,_REF_Industry_Wording!$A$2:$A$70,0)),""))</f>
        <v>MES / shop-floor weakness</v>
      </c>
      <c r="CG653" t="str">
        <f>IF($CE653="","",IFERROR(INDEX(_REF_Industry_Wording!$F$2:$F$70,MATCH($CE653,_REF_Industry_Wording!$A$2:$A$70,0)),""))</f>
        <v>Strengthen MES / shop-floor</v>
      </c>
      <c r="CH653" t="str">
        <f>IF($CE653="","",IFERROR(INDEX(_REF_Industry_Wording!$G$2:$G$70,MATCH($CE653,_REF_Industry_Wording!$A$2:$A$70,0)),""))</f>
        <v>Strengthen MES / shop-floor using the selected maturity treatment, crisis scenario and evidence requirements.</v>
      </c>
      <c r="CI653" t="str">
        <f>IF($CE653="","",IFERROR(INDEX(_REF_Industry_Wording!$H$2:$H$70,MATCH($CE653,_REF_Industry_Wording!$A$2:$A$70,0)),""))</f>
        <v>MES / shop-floor</v>
      </c>
      <c r="CJ653">
        <f>IF($CE653="","",IFERROR(INDEX(_REF_Industry_Wording!$I$2:$I$70,MATCH($CE653,_REF_Industry_Wording!$A$2:$A$70,0)),""))</f>
        <v>0</v>
      </c>
      <c r="CK653" t="str">
        <f>IF($CE653="","",IFERROR(INDEX(_REF_Industry_Wording!$J$2:$J$70,MATCH($CE653,_REF_Industry_Wording!$A$2:$A$70,0)),""))</f>
        <v>MES / shop-floor</v>
      </c>
      <c r="CL653" t="str">
        <f t="shared" si="115"/>
        <v>Wording by industry=0; capability=CAP_MES_SHOPFLOOR; risk label=MES / shop-floor weakness</v>
      </c>
      <c r="CM653" t="str">
        <f t="shared" si="116"/>
        <v>RISK-ONT-0154</v>
      </c>
      <c r="CN653" t="str">
        <f t="shared" si="117"/>
        <v>RISK-EVT-0154</v>
      </c>
      <c r="CO653" t="str">
        <f t="shared" si="118"/>
        <v>Physical Safety|Emergency response|PHYS-014|CAP_MES_SHOPFLOOR</v>
      </c>
      <c r="CP653" t="str">
        <f t="shared" si="119"/>
        <v>Active</v>
      </c>
      <c r="CQ653" t="str">
        <f t="shared" si="120"/>
        <v>OK: capability-driven</v>
      </c>
      <c r="CR653" t="str">
        <f t="shared" si="121"/>
        <v>Risk ontology uses capability=CAP_MES_SHOPFLOOR; bridge=BRG-066; treatment=TRT-MES_SHOPFLOOR-INITIAL; wording=IW-ALL-MES_SHOPFLOOR</v>
      </c>
      <c r="CS653" t="str">
        <f t="shared" si="122"/>
        <v>Yes</v>
      </c>
    </row>
    <row r="654" spans="1:97" ht="69.900000000000006" customHeight="1">
      <c r="A654">
        <f>IF(OR($B654&lt;&gt;"Yes",$BS654=""),"",SUMPRODUCT(($B$500:$B$923="Yes")*ISNUMBER($BS$500:$BS$923)*($BS$500:$BS$923&gt;$BS654))+COUNTIFS($B$500:$B654,"Yes",$BS$500:$BS654,$BS654))</f>
        <v>403</v>
      </c>
      <c r="B654" t="str">
        <f t="shared" si="91"/>
        <v>Yes</v>
      </c>
      <c r="C654" t="s">
        <v>1666</v>
      </c>
      <c r="D654" t="s">
        <v>1681</v>
      </c>
      <c r="E654" t="s">
        <v>1754</v>
      </c>
      <c r="F654" t="s">
        <v>3685</v>
      </c>
      <c r="G654" t="str">
        <f>IF($H654="","",IFERROR(INDEX(_ENGINE_Risk!$H$5:$M$499,MATCH($E654,_ENGINE_Risk!$A$5:$A$499,0),$H654+1),""))</f>
        <v>Severe risk: first aid readiness with trained responders, AEDs, medical contacts and first aid supplies is not reliably controlled. During Safety incident; Physical site loss; War/security crisis; Natural disaster, the organization may face injury, unsafe facilities, uncontrolled access, asset loss and failure to protect people during incidents with limited visibility or accountability.</v>
      </c>
      <c r="H654">
        <f>IFERROR(VALUE(INDEX(_DATA_Assessment_Model!$H$5:$H$884,MATCH($E654,_DATA_Assessment_Model!$A$5:$A$884,0))),"")</f>
        <v>0</v>
      </c>
      <c r="I654" t="str">
        <f>IF($H654="","",IFERROR(INDEX(_DATA_Assessment_Model!$L$5:$L$884,MATCH($E654,_DATA_Assessment_Model!$A$5:$A$884,0)),IF($H654&lt;=1,"Critical",IF($H654=2,"High",IF($H654=3,"Medium",IF($H654=4,"Low","Resilient"))))))</f>
        <v>Critical</v>
      </c>
      <c r="J654">
        <f t="shared" si="92"/>
        <v>3.7</v>
      </c>
      <c r="K654">
        <f t="shared" si="93"/>
        <v>5</v>
      </c>
      <c r="L654">
        <f t="shared" si="94"/>
        <v>18.5</v>
      </c>
      <c r="M654">
        <f t="shared" si="95"/>
        <v>4</v>
      </c>
      <c r="N654">
        <f>IF($H654="","",IFERROR(INDEX(_ENGINE_Risk!$T$5:$Y$499,MATCH($E654,_ENGINE_Risk!$A$5:$A$499,0),$H654+1),""))</f>
        <v>4</v>
      </c>
      <c r="O654">
        <f t="shared" si="96"/>
        <v>4</v>
      </c>
      <c r="P654">
        <f t="shared" si="97"/>
        <v>5</v>
      </c>
      <c r="Q654">
        <f t="shared" si="98"/>
        <v>5</v>
      </c>
      <c r="R654">
        <f t="shared" si="99"/>
        <v>4.5</v>
      </c>
      <c r="S654">
        <f t="shared" si="100"/>
        <v>1.1599999999999999</v>
      </c>
      <c r="T654" t="str">
        <f>IF($H654="","",IFERROR(INDEX(_ENGINE_Risk!$N$5:$S$499,MATCH($E654,_ENGINE_Risk!$A$5:$A$499,0),$H654+1),""))</f>
        <v>Create an immediate risk owner, minimum control baseline and fallback procedure for first aid readiness with trained responders, AEDs, medical contacts and first aid supplies. Add it to the crisis risk register and collect first evidence.</v>
      </c>
      <c r="U654">
        <f>IFERROR(INDEX(_DATA_Assessment_Model!$G$5:$G$884,MATCH($E654,_DATA_Assessment_Model!$A$5:$A$884,0)),"")</f>
        <v>3</v>
      </c>
      <c r="V654">
        <f>IFERROR(INDEX(_DATA_Assessment_Model!$W$5:$W$884,MATCH($E654,_DATA_Assessment_Model!$A$5:$A$884,0)),"")</f>
        <v>4</v>
      </c>
      <c r="W654">
        <f>IFERROR(INDEX(_DATA_Assessment_Model!$X$5:$X$884,MATCH($E654,_DATA_Assessment_Model!$A$5:$A$884,0)),"")</f>
        <v>5</v>
      </c>
      <c r="X654">
        <f>IFERROR(INDEX(_DATA_Assessment_Model!$Y$5:$Y$884,MATCH($E654,_DATA_Assessment_Model!$A$5:$A$884,0)),"")</f>
        <v>5</v>
      </c>
      <c r="Y654" t="s">
        <v>1673</v>
      </c>
      <c r="Z654" t="s">
        <v>6587</v>
      </c>
      <c r="AA654" t="s">
        <v>1756</v>
      </c>
      <c r="AB654">
        <f>IFERROR(INDEX(_DATA_Assessment_Model!$U$5:$U$884,MATCH($E654,_DATA_Assessment_Model!$A$5:$A$884,0)),"")</f>
        <v>0</v>
      </c>
      <c r="AF654" t="s">
        <v>1755</v>
      </c>
      <c r="AO654">
        <f>IF($B654="Yes",IF(IFERROR(INDEX(_ENGINE_Crisis!$F$501:$F$517,MATCH($C654,_ENGINE_Crisis!$A$501:$A$517,0)),1)=0,1,IFERROR(INDEX(_ENGINE_Crisis!$F$501:$F$517,MATCH($C654,_ENGINE_Crisis!$A$501:$A$517,0)),1)),"")</f>
        <v>1</v>
      </c>
      <c r="AP654">
        <f t="shared" si="101"/>
        <v>18.5</v>
      </c>
      <c r="AQ654">
        <f t="shared" si="102"/>
        <v>1.1599999999999999</v>
      </c>
      <c r="AR654" t="str">
        <f>IFERROR(INDEX(_ENGINE_Crisis!$E$41:$E$700,MATCH('Resilience &amp; Risk Scenario'!$B$6&amp;"|"&amp;$C654,_ENGINE_Crisis!$I$41:$I$700,0)),"")</f>
        <v/>
      </c>
      <c r="AS654" t="str">
        <f>IFERROR(INDEX(_ENGINE_Crisis!$G$41:$G$700,MATCH('Resilience &amp; Risk Scenario'!$B$6&amp;"|"&amp;$C654,_ENGINE_Crisis!$I$41:$I$700,0)),"")</f>
        <v/>
      </c>
      <c r="AT654" t="str">
        <f>IFERROR(INDEX(_ENGINE_Initiatives!$A$5:$A$532,MATCH(1,INDEX((_ENGINE_Initiatives!$B$5:$B$532=$C654)*(_ENGINE_Initiatives!$C$5:$C$532=$D654),0),0)),"")</f>
        <v>INI-025</v>
      </c>
      <c r="AU654" t="str">
        <f>IFERROR(INDEX(_ENGINE_Initiatives!$F$5:$F$532,MATCH(1,INDEX((_ENGINE_Initiatives!$B$5:$B$532=$C654)*(_ENGINE_Initiatives!$C$5:$C$532=$D654),0),0)),"")</f>
        <v>Build emergency response, evacuation and shelter procedures</v>
      </c>
      <c r="AV654">
        <f>IFERROR(INDEX(_ENGINE_Initiatives!$AC$5:$AC$532,MATCH(1,INDEX((_ENGINE_Initiatives!$B$5:$B$532=$C654)*(_ENGINE_Initiatives!$C$5:$C$532=$D654),0),0)),"")</f>
        <v>1.68</v>
      </c>
      <c r="AW654" t="str">
        <f>IFERROR(INDEX(_ENGINE_Initiatives!$AE$5:$AE$532,MATCH(1,INDEX((_ENGINE_Initiatives!$B$5:$B$532=$C654)*(_ENGINE_Initiatives!$C$5:$C$532=$D654),0),0)),"")</f>
        <v>6-12 months</v>
      </c>
      <c r="AX654">
        <f>IF($B654="Yes",IFERROR((IF(SUMIFS(_REF_Model_Content!$E$1:$E$613,_REF_Model_Content!$A$1:$A$613,PV_Canonical_Industry,_REF_Model_Content!$B$1:$B$613,$C654)=0,1,SUMIFS(_REF_Model_Content!$E$1:$E$613,_REF_Model_Content!$A$1:$A$613,PV_Canonical_Industry,_REF_Model_Content!$B$1:$B$613,$C654))*IFERROR($BU654,1)),1),"")</f>
        <v>0.4</v>
      </c>
      <c r="AY654">
        <f t="shared" si="103"/>
        <v>7.4</v>
      </c>
      <c r="AZ654">
        <f t="shared" si="104"/>
        <v>0.46</v>
      </c>
      <c r="BB654" t="str">
        <f>IF($H654="","",IFERROR(INDEX(_ENGINE_Risk!$AE$5:$AE$499,MATCH($E654,_ENGINE_Risk!$A$5:$A$499,0)),"Medium"))</f>
        <v>Fast</v>
      </c>
      <c r="BC654">
        <f t="shared" si="105"/>
        <v>1.25</v>
      </c>
      <c r="BD654">
        <f t="shared" si="106"/>
        <v>0.46</v>
      </c>
      <c r="BF654">
        <f>IF(OR($H654="",$J654=""),"",IFERROR(VLOOKUP(ROUND($J654,0),_CONFIG_Model_Settings!$D$154:$E$158,2,0),""))</f>
        <v>0.5</v>
      </c>
      <c r="BG654">
        <f>IFERROR(IF(OR($H654="",$K654=""),"",ROUND('Company Profile'!$B$113*INDEX(_CONFIG_Model_Settings!$H$154:$H$158,MATCH(ROUND($K654,0),_CONFIG_Model_Settings!$G$154:$G$158,0)),0)),0)</f>
        <v>1875</v>
      </c>
      <c r="BH654">
        <f t="shared" si="107"/>
        <v>937.5</v>
      </c>
      <c r="BI654">
        <f t="shared" si="108"/>
        <v>937.5</v>
      </c>
      <c r="BJ654">
        <f>IF($E654="","",IFERROR(VLOOKUP($C654,_CONFIG_Risk_Calibration!$A$5:$H$21,2,FALSE),3))</f>
        <v>3</v>
      </c>
      <c r="BK654">
        <f>IF($E654="","",IFERROR(VLOOKUP($C654,_CONFIG_Risk_Calibration!$A$5:$H$21,3,FALSE),0))</f>
        <v>0</v>
      </c>
      <c r="BL654">
        <f>IF($E654="","",IFERROR(VLOOKUP($C654,_CONFIG_Risk_Calibration!$A$5:$H$21,4,FALSE),3))</f>
        <v>3</v>
      </c>
      <c r="BM654">
        <f>IF($E654="","",IFERROR(VLOOKUP($C654,_CONFIG_Risk_Calibration!$A$5:$H$21,5,FALSE),3))</f>
        <v>4</v>
      </c>
      <c r="BN654" t="str">
        <f>IF($E654="","",IFERROR(VLOOKUP($C654,_CONFIG_Risk_Calibration!$A$5:$H$21,6,FALSE),"No"))</f>
        <v>Yes</v>
      </c>
      <c r="BO654">
        <f>IF($E654="","",IFERROR(VLOOKUP($C654,_CONFIG_Risk_Calibration!$A$5:$H$21,7,FALSE),1))</f>
        <v>5</v>
      </c>
      <c r="BP654">
        <f>IF($H654="","",MAX(1,MIN(5,((6-$H654)*0.45)+($BJ654*0.2)+('Resilience &amp; Risk Scenario'!$B$7*0.15)+($BK654*0.1)+($BL654*0.05)+(IF($BB654="Fast",5,IF($BB654="Slow",1,3))*0.05))))</f>
        <v>3.7</v>
      </c>
      <c r="BQ654">
        <f t="shared" si="109"/>
        <v>5</v>
      </c>
      <c r="BR654">
        <f t="shared" si="110"/>
        <v>18.5</v>
      </c>
      <c r="BS654">
        <f t="shared" si="111"/>
        <v>10.18</v>
      </c>
      <c r="BT654" t="str">
        <f>IFERROR(INDEX(_REF_Capability_Bridge!$D:$D,MATCH($C654&amp;"|"&amp;$D654,_REF_Capability_Bridge!$J:$J,0)),IFERROR(INDEX(_REF_Capability_Bridge!$D:$D,MATCH($C654&amp;"|",_REF_Capability_Bridge!$J:$J,0)),"CAP_GENERIC"))</f>
        <v>CAP_MES_SHOPFLOOR</v>
      </c>
      <c r="BU654">
        <f>IFERROR(IFERROR(INDEX(_ENGINE_Relevance!$L:$L,MATCH($BT654,_ENGINE_Relevance!$B:$B,0)),1),1)</f>
        <v>0.4</v>
      </c>
      <c r="BV654" t="str">
        <f>IFERROR(INDEX(_REF_Capability_Bridge!$A:$A,MATCH($C654&amp;"|"&amp;$D654,_REF_Capability_Bridge!$J:$J,0)),IFERROR(INDEX(_REF_Capability_Bridge!$A:$A,MATCH($C654&amp;"|",_REF_Capability_Bridge!$J:$J,0)),"No bridge"))</f>
        <v>BRG-066</v>
      </c>
      <c r="BW654" t="str">
        <f t="shared" si="112"/>
        <v>Capability relevance lowers risk priority</v>
      </c>
      <c r="BX654" t="str">
        <f t="shared" si="113"/>
        <v>Initial / absent</v>
      </c>
      <c r="BY654" t="str">
        <f>IF($E654="","",IFERROR(INDEX(_REF_Treatment_Library!$A$2:$A$296,MATCH(1,INDEX((_REF_Treatment_Library!$B$2:$B$296=$BT654)*(_REF_Treatment_Library!$C$2:$C$296=PV_Canonical_Industry)*(_REF_Treatment_Library!$E$2:$E$296&lt;=N($H654))*(_REF_Treatment_Library!$F$2:$F$296&gt;=N($H654))*(_REF_Treatment_Library!$O$2:$O$296="Yes"),0),0)),IFERROR(INDEX(_REF_Treatment_Library!$A$2:$A$296,MATCH(1,INDEX((_REF_Treatment_Library!$B$2:$B$296=$BT654)*(_REF_Treatment_Library!$C$2:$C$296="All")*(_REF_Treatment_Library!$E$2:$E$296&lt;=N($H654))*(_REF_Treatment_Library!$F$2:$F$296&gt;=N($H654))*(_REF_Treatment_Library!$O$2:$O$296="Yes"),0),0)),"")))</f>
        <v>TRT-MES_SHOPFLOOR-INITIAL</v>
      </c>
      <c r="BZ654" t="str">
        <f>IF($BY654="","",IFERROR(INDEX(_REF_Treatment_Library!$H$2:$H$296,MATCH($BY654,_REF_Treatment_Library!$A$2:$A$296,0)),""))</f>
        <v>Establish</v>
      </c>
      <c r="CA654" t="str">
        <f>IF($BY654="","",IFERROR(INDEX(_REF_Treatment_Library!$I$2:$I$296,MATCH($BY654,_REF_Treatment_Library!$A$2:$A$296,0)),""))</f>
        <v>Establish baseline controls for MES / shop-floor</v>
      </c>
      <c r="CB654" t="str">
        <f>IF($BY654="","",IFERROR(INDEX(_REF_Treatment_Library!$K$2:$K$296,MATCH($BY654,_REF_Treatment_Library!$A$2:$A$296,0)),""))</f>
        <v>Named owner, baseline process, minimum control checklist, first evidence package</v>
      </c>
      <c r="CC654" t="str">
        <f>IF($BY654="","",IFERROR(INDEX(_REF_Treatment_Library!$L$2:$L$296,MATCH($BY654,_REF_Treatment_Library!$A$2:$A$296,0)),""))</f>
        <v>Owner assigned; baseline evidence coverage; open critical gaps</v>
      </c>
      <c r="CD654" t="str">
        <f t="shared" si="114"/>
        <v>Treatment by capability=CAP_MES_SHOPFLOOR; band=Initial / absent; score=0.0; treatment=Establish</v>
      </c>
      <c r="CE654" t="str">
        <f>IF($E654="","",IFERROR(INDEX(_REF_Industry_Wording!$A$2:$A$70,MATCH(1,INDEX((_REF_Industry_Wording!$B$2:$B$70=$BT654)*(_REF_Industry_Wording!$C$2:$C$70=PV_Canonical_Industry)*(_REF_Industry_Wording!$K$2:$K$70="Yes"),0),0)),IFERROR(INDEX(_REF_Industry_Wording!$A$2:$A$70,MATCH(1,INDEX((_REF_Industry_Wording!$B$2:$B$70=$BT654)*(_REF_Industry_Wording!$C$2:$C$70="All")*(_REF_Industry_Wording!$K$2:$K$70="Yes"),0),0)),"")))</f>
        <v>IW-ALL-MES_SHOPFLOOR</v>
      </c>
      <c r="CF654" t="str">
        <f>IF($CE654="","",IFERROR(INDEX(_REF_Industry_Wording!$E$2:$E$70,MATCH($CE654,_REF_Industry_Wording!$A$2:$A$70,0)),""))</f>
        <v>MES / shop-floor weakness</v>
      </c>
      <c r="CG654" t="str">
        <f>IF($CE654="","",IFERROR(INDEX(_REF_Industry_Wording!$F$2:$F$70,MATCH($CE654,_REF_Industry_Wording!$A$2:$A$70,0)),""))</f>
        <v>Strengthen MES / shop-floor</v>
      </c>
      <c r="CH654" t="str">
        <f>IF($CE654="","",IFERROR(INDEX(_REF_Industry_Wording!$G$2:$G$70,MATCH($CE654,_REF_Industry_Wording!$A$2:$A$70,0)),""))</f>
        <v>Strengthen MES / shop-floor using the selected maturity treatment, crisis scenario and evidence requirements.</v>
      </c>
      <c r="CI654" t="str">
        <f>IF($CE654="","",IFERROR(INDEX(_REF_Industry_Wording!$H$2:$H$70,MATCH($CE654,_REF_Industry_Wording!$A$2:$A$70,0)),""))</f>
        <v>MES / shop-floor</v>
      </c>
      <c r="CJ654">
        <f>IF($CE654="","",IFERROR(INDEX(_REF_Industry_Wording!$I$2:$I$70,MATCH($CE654,_REF_Industry_Wording!$A$2:$A$70,0)),""))</f>
        <v>0</v>
      </c>
      <c r="CK654" t="str">
        <f>IF($CE654="","",IFERROR(INDEX(_REF_Industry_Wording!$J$2:$J$70,MATCH($CE654,_REF_Industry_Wording!$A$2:$A$70,0)),""))</f>
        <v>MES / shop-floor</v>
      </c>
      <c r="CL654" t="str">
        <f t="shared" si="115"/>
        <v>Wording by industry=0; capability=CAP_MES_SHOPFLOOR; risk label=MES / shop-floor weakness</v>
      </c>
      <c r="CM654" t="str">
        <f t="shared" si="116"/>
        <v>RISK-ONT-0155</v>
      </c>
      <c r="CN654" t="str">
        <f t="shared" si="117"/>
        <v>RISK-EVT-0155</v>
      </c>
      <c r="CO654" t="str">
        <f t="shared" si="118"/>
        <v>Physical Safety|Emergency response|PHYS-015|CAP_MES_SHOPFLOOR</v>
      </c>
      <c r="CP654" t="str">
        <f t="shared" si="119"/>
        <v>Active</v>
      </c>
      <c r="CQ654" t="str">
        <f t="shared" si="120"/>
        <v>OK: capability-driven</v>
      </c>
      <c r="CR654" t="str">
        <f t="shared" si="121"/>
        <v>Risk ontology uses capability=CAP_MES_SHOPFLOOR; bridge=BRG-066; treatment=TRT-MES_SHOPFLOOR-INITIAL; wording=IW-ALL-MES_SHOPFLOOR</v>
      </c>
      <c r="CS654" t="str">
        <f t="shared" si="122"/>
        <v>Yes</v>
      </c>
    </row>
    <row r="655" spans="1:97" ht="69.900000000000006" customHeight="1">
      <c r="A655">
        <f>IF(OR($B655&lt;&gt;"Yes",$BS655=""),"",SUMPRODUCT(($B$500:$B$923="Yes")*ISNUMBER($BS$500:$BS$923)*($BS$500:$BS$923&gt;$BS655))+COUNTIFS($B$500:$B655,"Yes",$BS$500:$BS655,$BS655))</f>
        <v>404</v>
      </c>
      <c r="B655" t="str">
        <f t="shared" si="91"/>
        <v>Yes</v>
      </c>
      <c r="C655" t="s">
        <v>1666</v>
      </c>
      <c r="D655" t="s">
        <v>1681</v>
      </c>
      <c r="E655" t="s">
        <v>1763</v>
      </c>
      <c r="F655" t="s">
        <v>3685</v>
      </c>
      <c r="G655" t="str">
        <f>IF($H655="","",IFERROR(INDEX(_ENGINE_Risk!$H$5:$M$499,MATCH($E655,_ENGINE_Risk!$A$5:$A$499,0),$H655+1),""))</f>
        <v>Severe risk: mass notification to employees, visitors and contractors during site emergencies is not reliably controlled. During Safety incident; Physical site loss; War/security crisis; Natural disaster, the organization may face injury, unsafe facilities, uncontrolled access, asset loss and failure to protect people during incidents with limited visibility or accountability.</v>
      </c>
      <c r="H655">
        <f>IFERROR(VALUE(INDEX(_DATA_Assessment_Model!$H$5:$H$884,MATCH($E655,_DATA_Assessment_Model!$A$5:$A$884,0))),"")</f>
        <v>0</v>
      </c>
      <c r="I655" t="str">
        <f>IF($H655="","",IFERROR(INDEX(_DATA_Assessment_Model!$L$5:$L$884,MATCH($E655,_DATA_Assessment_Model!$A$5:$A$884,0)),IF($H655&lt;=1,"Critical",IF($H655=2,"High",IF($H655=3,"Medium",IF($H655=4,"Low","Resilient"))))))</f>
        <v>Critical</v>
      </c>
      <c r="J655">
        <f t="shared" si="92"/>
        <v>3.7</v>
      </c>
      <c r="K655">
        <f t="shared" si="93"/>
        <v>5</v>
      </c>
      <c r="L655">
        <f t="shared" si="94"/>
        <v>18.5</v>
      </c>
      <c r="M655">
        <f t="shared" si="95"/>
        <v>4</v>
      </c>
      <c r="N655">
        <f>IF($H655="","",IFERROR(INDEX(_ENGINE_Risk!$T$5:$Y$499,MATCH($E655,_ENGINE_Risk!$A$5:$A$499,0),$H655+1),""))</f>
        <v>4</v>
      </c>
      <c r="O655">
        <f t="shared" si="96"/>
        <v>4.666666666666667</v>
      </c>
      <c r="P655">
        <f t="shared" si="97"/>
        <v>5</v>
      </c>
      <c r="Q655">
        <f t="shared" si="98"/>
        <v>5</v>
      </c>
      <c r="R655">
        <f t="shared" si="99"/>
        <v>4.5</v>
      </c>
      <c r="S655">
        <f t="shared" si="100"/>
        <v>1.2</v>
      </c>
      <c r="T655" t="str">
        <f>IF($H655="","",IFERROR(INDEX(_ENGINE_Risk!$N$5:$S$499,MATCH($E655,_ENGINE_Risk!$A$5:$A$499,0),$H655+1),""))</f>
        <v>Create an immediate risk owner, minimum control baseline and fallback procedure for mass notification to employees, visitors and contractors during site emergencies. Add it to the crisis risk register and collect first evidence.</v>
      </c>
      <c r="U655">
        <f>IFERROR(INDEX(_DATA_Assessment_Model!$G$5:$G$884,MATCH($E655,_DATA_Assessment_Model!$A$5:$A$884,0)),"")</f>
        <v>5</v>
      </c>
      <c r="V655">
        <f>IFERROR(INDEX(_DATA_Assessment_Model!$W$5:$W$884,MATCH($E655,_DATA_Assessment_Model!$A$5:$A$884,0)),"")</f>
        <v>4</v>
      </c>
      <c r="W655">
        <f>IFERROR(INDEX(_DATA_Assessment_Model!$X$5:$X$884,MATCH($E655,_DATA_Assessment_Model!$A$5:$A$884,0)),"")</f>
        <v>5</v>
      </c>
      <c r="X655">
        <f>IFERROR(INDEX(_DATA_Assessment_Model!$Y$5:$Y$884,MATCH($E655,_DATA_Assessment_Model!$A$5:$A$884,0)),"")</f>
        <v>5</v>
      </c>
      <c r="Y655" t="s">
        <v>1673</v>
      </c>
      <c r="Z655" t="s">
        <v>6587</v>
      </c>
      <c r="AA655" t="s">
        <v>1765</v>
      </c>
      <c r="AB655">
        <f>IFERROR(INDEX(_DATA_Assessment_Model!$U$5:$U$884,MATCH($E655,_DATA_Assessment_Model!$A$5:$A$884,0)),"")</f>
        <v>0</v>
      </c>
      <c r="AF655" t="s">
        <v>1764</v>
      </c>
      <c r="AO655">
        <f>IF($B655="Yes",IF(IFERROR(INDEX(_ENGINE_Crisis!$F$501:$F$517,MATCH($C655,_ENGINE_Crisis!$A$501:$A$517,0)),1)=0,1,IFERROR(INDEX(_ENGINE_Crisis!$F$501:$F$517,MATCH($C655,_ENGINE_Crisis!$A$501:$A$517,0)),1)),"")</f>
        <v>1</v>
      </c>
      <c r="AP655">
        <f t="shared" si="101"/>
        <v>18.5</v>
      </c>
      <c r="AQ655">
        <f t="shared" si="102"/>
        <v>1.2</v>
      </c>
      <c r="AR655" t="str">
        <f>IFERROR(INDEX(_ENGINE_Crisis!$E$41:$E$700,MATCH('Resilience &amp; Risk Scenario'!$B$6&amp;"|"&amp;$C655,_ENGINE_Crisis!$I$41:$I$700,0)),"")</f>
        <v/>
      </c>
      <c r="AS655" t="str">
        <f>IFERROR(INDEX(_ENGINE_Crisis!$G$41:$G$700,MATCH('Resilience &amp; Risk Scenario'!$B$6&amp;"|"&amp;$C655,_ENGINE_Crisis!$I$41:$I$700,0)),"")</f>
        <v/>
      </c>
      <c r="AT655" t="str">
        <f>IFERROR(INDEX(_ENGINE_Initiatives!$A$5:$A$532,MATCH(1,INDEX((_ENGINE_Initiatives!$B$5:$B$532=$C655)*(_ENGINE_Initiatives!$C$5:$C$532=$D655),0),0)),"")</f>
        <v>INI-025</v>
      </c>
      <c r="AU655" t="str">
        <f>IFERROR(INDEX(_ENGINE_Initiatives!$F$5:$F$532,MATCH(1,INDEX((_ENGINE_Initiatives!$B$5:$B$532=$C655)*(_ENGINE_Initiatives!$C$5:$C$532=$D655),0),0)),"")</f>
        <v>Build emergency response, evacuation and shelter procedures</v>
      </c>
      <c r="AV655">
        <f>IFERROR(INDEX(_ENGINE_Initiatives!$AC$5:$AC$532,MATCH(1,INDEX((_ENGINE_Initiatives!$B$5:$B$532=$C655)*(_ENGINE_Initiatives!$C$5:$C$532=$D655),0),0)),"")</f>
        <v>1.68</v>
      </c>
      <c r="AW655" t="str">
        <f>IFERROR(INDEX(_ENGINE_Initiatives!$AE$5:$AE$532,MATCH(1,INDEX((_ENGINE_Initiatives!$B$5:$B$532=$C655)*(_ENGINE_Initiatives!$C$5:$C$532=$D655),0),0)),"")</f>
        <v>6-12 months</v>
      </c>
      <c r="AX655">
        <f>IF($B655="Yes",IFERROR((IF(SUMIFS(_REF_Model_Content!$E$1:$E$613,_REF_Model_Content!$A$1:$A$613,PV_Canonical_Industry,_REF_Model_Content!$B$1:$B$613,$C655)=0,1,SUMIFS(_REF_Model_Content!$E$1:$E$613,_REF_Model_Content!$A$1:$A$613,PV_Canonical_Industry,_REF_Model_Content!$B$1:$B$613,$C655))*IFERROR($BU655,1)),1),"")</f>
        <v>0.4</v>
      </c>
      <c r="AY655">
        <f t="shared" si="103"/>
        <v>7.4</v>
      </c>
      <c r="AZ655">
        <f t="shared" si="104"/>
        <v>0.48</v>
      </c>
      <c r="BB655" t="str">
        <f>IF($H655="","",IFERROR(INDEX(_ENGINE_Risk!$AE$5:$AE$499,MATCH($E655,_ENGINE_Risk!$A$5:$A$499,0)),"Medium"))</f>
        <v>Fast</v>
      </c>
      <c r="BC655">
        <f t="shared" si="105"/>
        <v>1.25</v>
      </c>
      <c r="BD655">
        <f t="shared" si="106"/>
        <v>0.48</v>
      </c>
      <c r="BF655">
        <f>IF(OR($H655="",$J655=""),"",IFERROR(VLOOKUP(ROUND($J655,0),_CONFIG_Model_Settings!$D$154:$E$158,2,0),""))</f>
        <v>0.5</v>
      </c>
      <c r="BG655">
        <f>IFERROR(IF(OR($H655="",$K655=""),"",ROUND('Company Profile'!$B$113*INDEX(_CONFIG_Model_Settings!$H$154:$H$158,MATCH(ROUND($K655,0),_CONFIG_Model_Settings!$G$154:$G$158,0)),0)),0)</f>
        <v>1875</v>
      </c>
      <c r="BH655">
        <f t="shared" si="107"/>
        <v>937.5</v>
      </c>
      <c r="BI655">
        <f t="shared" si="108"/>
        <v>937.5</v>
      </c>
      <c r="BJ655">
        <f>IF($E655="","",IFERROR(VLOOKUP($C655,_CONFIG_Risk_Calibration!$A$5:$H$21,2,FALSE),3))</f>
        <v>3</v>
      </c>
      <c r="BK655">
        <f>IF($E655="","",IFERROR(VLOOKUP($C655,_CONFIG_Risk_Calibration!$A$5:$H$21,3,FALSE),0))</f>
        <v>0</v>
      </c>
      <c r="BL655">
        <f>IF($E655="","",IFERROR(VLOOKUP($C655,_CONFIG_Risk_Calibration!$A$5:$H$21,4,FALSE),3))</f>
        <v>3</v>
      </c>
      <c r="BM655">
        <f>IF($E655="","",IFERROR(VLOOKUP($C655,_CONFIG_Risk_Calibration!$A$5:$H$21,5,FALSE),3))</f>
        <v>4</v>
      </c>
      <c r="BN655" t="str">
        <f>IF($E655="","",IFERROR(VLOOKUP($C655,_CONFIG_Risk_Calibration!$A$5:$H$21,6,FALSE),"No"))</f>
        <v>Yes</v>
      </c>
      <c r="BO655">
        <f>IF($E655="","",IFERROR(VLOOKUP($C655,_CONFIG_Risk_Calibration!$A$5:$H$21,7,FALSE),1))</f>
        <v>5</v>
      </c>
      <c r="BP655">
        <f>IF($H655="","",MAX(1,MIN(5,((6-$H655)*0.45)+($BJ655*0.2)+('Resilience &amp; Risk Scenario'!$B$7*0.15)+($BK655*0.1)+($BL655*0.05)+(IF($BB655="Fast",5,IF($BB655="Slow",1,3))*0.05))))</f>
        <v>3.7</v>
      </c>
      <c r="BQ655">
        <f t="shared" si="109"/>
        <v>5</v>
      </c>
      <c r="BR655">
        <f t="shared" si="110"/>
        <v>18.5</v>
      </c>
      <c r="BS655">
        <f t="shared" si="111"/>
        <v>10.18</v>
      </c>
      <c r="BT655" t="str">
        <f>IFERROR(INDEX(_REF_Capability_Bridge!$D:$D,MATCH($C655&amp;"|"&amp;$D655,_REF_Capability_Bridge!$J:$J,0)),IFERROR(INDEX(_REF_Capability_Bridge!$D:$D,MATCH($C655&amp;"|",_REF_Capability_Bridge!$J:$J,0)),"CAP_GENERIC"))</f>
        <v>CAP_MES_SHOPFLOOR</v>
      </c>
      <c r="BU655">
        <f>IFERROR(IFERROR(INDEX(_ENGINE_Relevance!$L:$L,MATCH($BT655,_ENGINE_Relevance!$B:$B,0)),1),1)</f>
        <v>0.4</v>
      </c>
      <c r="BV655" t="str">
        <f>IFERROR(INDEX(_REF_Capability_Bridge!$A:$A,MATCH($C655&amp;"|"&amp;$D655,_REF_Capability_Bridge!$J:$J,0)),IFERROR(INDEX(_REF_Capability_Bridge!$A:$A,MATCH($C655&amp;"|",_REF_Capability_Bridge!$J:$J,0)),"No bridge"))</f>
        <v>BRG-066</v>
      </c>
      <c r="BW655" t="str">
        <f t="shared" si="112"/>
        <v>Capability relevance lowers risk priority</v>
      </c>
      <c r="BX655" t="str">
        <f t="shared" si="113"/>
        <v>Initial / absent</v>
      </c>
      <c r="BY655" t="str">
        <f>IF($E655="","",IFERROR(INDEX(_REF_Treatment_Library!$A$2:$A$296,MATCH(1,INDEX((_REF_Treatment_Library!$B$2:$B$296=$BT655)*(_REF_Treatment_Library!$C$2:$C$296=PV_Canonical_Industry)*(_REF_Treatment_Library!$E$2:$E$296&lt;=N($H655))*(_REF_Treatment_Library!$F$2:$F$296&gt;=N($H655))*(_REF_Treatment_Library!$O$2:$O$296="Yes"),0),0)),IFERROR(INDEX(_REF_Treatment_Library!$A$2:$A$296,MATCH(1,INDEX((_REF_Treatment_Library!$B$2:$B$296=$BT655)*(_REF_Treatment_Library!$C$2:$C$296="All")*(_REF_Treatment_Library!$E$2:$E$296&lt;=N($H655))*(_REF_Treatment_Library!$F$2:$F$296&gt;=N($H655))*(_REF_Treatment_Library!$O$2:$O$296="Yes"),0),0)),"")))</f>
        <v>TRT-MES_SHOPFLOOR-INITIAL</v>
      </c>
      <c r="BZ655" t="str">
        <f>IF($BY655="","",IFERROR(INDEX(_REF_Treatment_Library!$H$2:$H$296,MATCH($BY655,_REF_Treatment_Library!$A$2:$A$296,0)),""))</f>
        <v>Establish</v>
      </c>
      <c r="CA655" t="str">
        <f>IF($BY655="","",IFERROR(INDEX(_REF_Treatment_Library!$I$2:$I$296,MATCH($BY655,_REF_Treatment_Library!$A$2:$A$296,0)),""))</f>
        <v>Establish baseline controls for MES / shop-floor</v>
      </c>
      <c r="CB655" t="str">
        <f>IF($BY655="","",IFERROR(INDEX(_REF_Treatment_Library!$K$2:$K$296,MATCH($BY655,_REF_Treatment_Library!$A$2:$A$296,0)),""))</f>
        <v>Named owner, baseline process, minimum control checklist, first evidence package</v>
      </c>
      <c r="CC655" t="str">
        <f>IF($BY655="","",IFERROR(INDEX(_REF_Treatment_Library!$L$2:$L$296,MATCH($BY655,_REF_Treatment_Library!$A$2:$A$296,0)),""))</f>
        <v>Owner assigned; baseline evidence coverage; open critical gaps</v>
      </c>
      <c r="CD655" t="str">
        <f t="shared" si="114"/>
        <v>Treatment by capability=CAP_MES_SHOPFLOOR; band=Initial / absent; score=0.0; treatment=Establish</v>
      </c>
      <c r="CE655" t="str">
        <f>IF($E655="","",IFERROR(INDEX(_REF_Industry_Wording!$A$2:$A$70,MATCH(1,INDEX((_REF_Industry_Wording!$B$2:$B$70=$BT655)*(_REF_Industry_Wording!$C$2:$C$70=PV_Canonical_Industry)*(_REF_Industry_Wording!$K$2:$K$70="Yes"),0),0)),IFERROR(INDEX(_REF_Industry_Wording!$A$2:$A$70,MATCH(1,INDEX((_REF_Industry_Wording!$B$2:$B$70=$BT655)*(_REF_Industry_Wording!$C$2:$C$70="All")*(_REF_Industry_Wording!$K$2:$K$70="Yes"),0),0)),"")))</f>
        <v>IW-ALL-MES_SHOPFLOOR</v>
      </c>
      <c r="CF655" t="str">
        <f>IF($CE655="","",IFERROR(INDEX(_REF_Industry_Wording!$E$2:$E$70,MATCH($CE655,_REF_Industry_Wording!$A$2:$A$70,0)),""))</f>
        <v>MES / shop-floor weakness</v>
      </c>
      <c r="CG655" t="str">
        <f>IF($CE655="","",IFERROR(INDEX(_REF_Industry_Wording!$F$2:$F$70,MATCH($CE655,_REF_Industry_Wording!$A$2:$A$70,0)),""))</f>
        <v>Strengthen MES / shop-floor</v>
      </c>
      <c r="CH655" t="str">
        <f>IF($CE655="","",IFERROR(INDEX(_REF_Industry_Wording!$G$2:$G$70,MATCH($CE655,_REF_Industry_Wording!$A$2:$A$70,0)),""))</f>
        <v>Strengthen MES / shop-floor using the selected maturity treatment, crisis scenario and evidence requirements.</v>
      </c>
      <c r="CI655" t="str">
        <f>IF($CE655="","",IFERROR(INDEX(_REF_Industry_Wording!$H$2:$H$70,MATCH($CE655,_REF_Industry_Wording!$A$2:$A$70,0)),""))</f>
        <v>MES / shop-floor</v>
      </c>
      <c r="CJ655">
        <f>IF($CE655="","",IFERROR(INDEX(_REF_Industry_Wording!$I$2:$I$70,MATCH($CE655,_REF_Industry_Wording!$A$2:$A$70,0)),""))</f>
        <v>0</v>
      </c>
      <c r="CK655" t="str">
        <f>IF($CE655="","",IFERROR(INDEX(_REF_Industry_Wording!$J$2:$J$70,MATCH($CE655,_REF_Industry_Wording!$A$2:$A$70,0)),""))</f>
        <v>MES / shop-floor</v>
      </c>
      <c r="CL655" t="str">
        <f t="shared" si="115"/>
        <v>Wording by industry=0; capability=CAP_MES_SHOPFLOOR; risk label=MES / shop-floor weakness</v>
      </c>
      <c r="CM655" t="str">
        <f t="shared" si="116"/>
        <v>RISK-ONT-0156</v>
      </c>
      <c r="CN655" t="str">
        <f t="shared" si="117"/>
        <v>RISK-EVT-0156</v>
      </c>
      <c r="CO655" t="str">
        <f t="shared" si="118"/>
        <v>Physical Safety|Emergency response|PHYS-016|CAP_MES_SHOPFLOOR</v>
      </c>
      <c r="CP655" t="str">
        <f t="shared" si="119"/>
        <v>Active</v>
      </c>
      <c r="CQ655" t="str">
        <f t="shared" si="120"/>
        <v>OK: capability-driven</v>
      </c>
      <c r="CR655" t="str">
        <f t="shared" si="121"/>
        <v>Risk ontology uses capability=CAP_MES_SHOPFLOOR; bridge=BRG-066; treatment=TRT-MES_SHOPFLOOR-INITIAL; wording=IW-ALL-MES_SHOPFLOOR</v>
      </c>
      <c r="CS655" t="str">
        <f t="shared" si="122"/>
        <v>Yes</v>
      </c>
    </row>
    <row r="656" spans="1:97" ht="69.900000000000006" customHeight="1">
      <c r="A656">
        <f>IF(OR($B656&lt;&gt;"Yes",$BS656=""),"",SUMPRODUCT(($B$500:$B$923="Yes")*ISNUMBER($BS$500:$BS$923)*($BS$500:$BS$923&gt;$BS656))+COUNTIFS($B$500:$B656,"Yes",$BS$500:$BS656,$BS656))</f>
        <v>405</v>
      </c>
      <c r="B656" t="str">
        <f t="shared" si="91"/>
        <v>Yes</v>
      </c>
      <c r="C656" t="s">
        <v>1666</v>
      </c>
      <c r="D656" t="s">
        <v>1681</v>
      </c>
      <c r="E656" t="s">
        <v>1766</v>
      </c>
      <c r="F656" t="s">
        <v>3685</v>
      </c>
      <c r="G656" t="str">
        <f>IF($H656="","",IFERROR(INDEX(_ENGINE_Risk!$H$5:$M$499,MATCH($E656,_ENGINE_Risk!$A$5:$A$499,0),$H656+1),""))</f>
        <v>Severe risk: employee and visitor accountability after evacuation or sheltering is not reliably controlled. During Safety incident; Physical site loss; War/security crisis; Natural disaster, the organization may face injury, unsafe facilities, uncontrolled access, asset loss and failure to protect people during incidents with limited visibility or accountability.</v>
      </c>
      <c r="H656">
        <f>IFERROR(VALUE(INDEX(_DATA_Assessment_Model!$H$5:$H$884,MATCH($E656,_DATA_Assessment_Model!$A$5:$A$884,0))),"")</f>
        <v>0</v>
      </c>
      <c r="I656" t="str">
        <f>IF($H656="","",IFERROR(INDEX(_DATA_Assessment_Model!$L$5:$L$884,MATCH($E656,_DATA_Assessment_Model!$A$5:$A$884,0)),IF($H656&lt;=1,"Critical",IF($H656=2,"High",IF($H656=3,"Medium",IF($H656=4,"Low","Resilient"))))))</f>
        <v>Critical</v>
      </c>
      <c r="J656">
        <f t="shared" si="92"/>
        <v>3.7</v>
      </c>
      <c r="K656">
        <f t="shared" si="93"/>
        <v>5</v>
      </c>
      <c r="L656">
        <f t="shared" si="94"/>
        <v>18.5</v>
      </c>
      <c r="M656">
        <f t="shared" si="95"/>
        <v>4</v>
      </c>
      <c r="N656">
        <f>IF($H656="","",IFERROR(INDEX(_ENGINE_Risk!$T$5:$Y$499,MATCH($E656,_ENGINE_Risk!$A$5:$A$499,0),$H656+1),""))</f>
        <v>4</v>
      </c>
      <c r="O656">
        <f t="shared" si="96"/>
        <v>4</v>
      </c>
      <c r="P656">
        <f t="shared" si="97"/>
        <v>5</v>
      </c>
      <c r="Q656">
        <f t="shared" si="98"/>
        <v>5</v>
      </c>
      <c r="R656">
        <f t="shared" si="99"/>
        <v>4.5</v>
      </c>
      <c r="S656">
        <f t="shared" si="100"/>
        <v>1.1599999999999999</v>
      </c>
      <c r="T656" t="str">
        <f>IF($H656="","",IFERROR(INDEX(_ENGINE_Risk!$N$5:$S$499,MATCH($E656,_ENGINE_Risk!$A$5:$A$499,0),$H656+1),""))</f>
        <v>Create an immediate risk owner, minimum control baseline and fallback procedure for employee and visitor accountability after evacuation or sheltering. Add it to the crisis risk register and collect first evidence.</v>
      </c>
      <c r="U656">
        <f>IFERROR(INDEX(_DATA_Assessment_Model!$G$5:$G$884,MATCH($E656,_DATA_Assessment_Model!$A$5:$A$884,0)),"")</f>
        <v>3</v>
      </c>
      <c r="V656">
        <f>IFERROR(INDEX(_DATA_Assessment_Model!$W$5:$W$884,MATCH($E656,_DATA_Assessment_Model!$A$5:$A$884,0)),"")</f>
        <v>4</v>
      </c>
      <c r="W656">
        <f>IFERROR(INDEX(_DATA_Assessment_Model!$X$5:$X$884,MATCH($E656,_DATA_Assessment_Model!$A$5:$A$884,0)),"")</f>
        <v>5</v>
      </c>
      <c r="X656">
        <f>IFERROR(INDEX(_DATA_Assessment_Model!$Y$5:$Y$884,MATCH($E656,_DATA_Assessment_Model!$A$5:$A$884,0)),"")</f>
        <v>5</v>
      </c>
      <c r="Y656" t="s">
        <v>1673</v>
      </c>
      <c r="Z656" t="s">
        <v>6587</v>
      </c>
      <c r="AA656" t="s">
        <v>1768</v>
      </c>
      <c r="AB656">
        <f>IFERROR(INDEX(_DATA_Assessment_Model!$U$5:$U$884,MATCH($E656,_DATA_Assessment_Model!$A$5:$A$884,0)),"")</f>
        <v>0</v>
      </c>
      <c r="AF656" t="s">
        <v>1767</v>
      </c>
      <c r="AO656">
        <f>IF($B656="Yes",IF(IFERROR(INDEX(_ENGINE_Crisis!$F$501:$F$517,MATCH($C656,_ENGINE_Crisis!$A$501:$A$517,0)),1)=0,1,IFERROR(INDEX(_ENGINE_Crisis!$F$501:$F$517,MATCH($C656,_ENGINE_Crisis!$A$501:$A$517,0)),1)),"")</f>
        <v>1</v>
      </c>
      <c r="AP656">
        <f t="shared" si="101"/>
        <v>18.5</v>
      </c>
      <c r="AQ656">
        <f t="shared" si="102"/>
        <v>1.1599999999999999</v>
      </c>
      <c r="AR656" t="str">
        <f>IFERROR(INDEX(_ENGINE_Crisis!$E$41:$E$700,MATCH('Resilience &amp; Risk Scenario'!$B$6&amp;"|"&amp;$C656,_ENGINE_Crisis!$I$41:$I$700,0)),"")</f>
        <v/>
      </c>
      <c r="AS656" t="str">
        <f>IFERROR(INDEX(_ENGINE_Crisis!$G$41:$G$700,MATCH('Resilience &amp; Risk Scenario'!$B$6&amp;"|"&amp;$C656,_ENGINE_Crisis!$I$41:$I$700,0)),"")</f>
        <v/>
      </c>
      <c r="AT656" t="str">
        <f>IFERROR(INDEX(_ENGINE_Initiatives!$A$5:$A$532,MATCH(1,INDEX((_ENGINE_Initiatives!$B$5:$B$532=$C656)*(_ENGINE_Initiatives!$C$5:$C$532=$D656),0),0)),"")</f>
        <v>INI-025</v>
      </c>
      <c r="AU656" t="str">
        <f>IFERROR(INDEX(_ENGINE_Initiatives!$F$5:$F$532,MATCH(1,INDEX((_ENGINE_Initiatives!$B$5:$B$532=$C656)*(_ENGINE_Initiatives!$C$5:$C$532=$D656),0),0)),"")</f>
        <v>Build emergency response, evacuation and shelter procedures</v>
      </c>
      <c r="AV656">
        <f>IFERROR(INDEX(_ENGINE_Initiatives!$AC$5:$AC$532,MATCH(1,INDEX((_ENGINE_Initiatives!$B$5:$B$532=$C656)*(_ENGINE_Initiatives!$C$5:$C$532=$D656),0),0)),"")</f>
        <v>1.68</v>
      </c>
      <c r="AW656" t="str">
        <f>IFERROR(INDEX(_ENGINE_Initiatives!$AE$5:$AE$532,MATCH(1,INDEX((_ENGINE_Initiatives!$B$5:$B$532=$C656)*(_ENGINE_Initiatives!$C$5:$C$532=$D656),0),0)),"")</f>
        <v>6-12 months</v>
      </c>
      <c r="AX656">
        <f>IF($B656="Yes",IFERROR((IF(SUMIFS(_REF_Model_Content!$E$1:$E$613,_REF_Model_Content!$A$1:$A$613,PV_Canonical_Industry,_REF_Model_Content!$B$1:$B$613,$C656)=0,1,SUMIFS(_REF_Model_Content!$E$1:$E$613,_REF_Model_Content!$A$1:$A$613,PV_Canonical_Industry,_REF_Model_Content!$B$1:$B$613,$C656))*IFERROR($BU656,1)),1),"")</f>
        <v>0.4</v>
      </c>
      <c r="AY656">
        <f t="shared" si="103"/>
        <v>7.4</v>
      </c>
      <c r="AZ656">
        <f t="shared" si="104"/>
        <v>0.46</v>
      </c>
      <c r="BB656" t="str">
        <f>IF($H656="","",IFERROR(INDEX(_ENGINE_Risk!$AE$5:$AE$499,MATCH($E656,_ENGINE_Risk!$A$5:$A$499,0)),"Medium"))</f>
        <v>Fast</v>
      </c>
      <c r="BC656">
        <f t="shared" si="105"/>
        <v>1.25</v>
      </c>
      <c r="BD656">
        <f t="shared" si="106"/>
        <v>0.46</v>
      </c>
      <c r="BF656">
        <f>IF(OR($H656="",$J656=""),"",IFERROR(VLOOKUP(ROUND($J656,0),_CONFIG_Model_Settings!$D$154:$E$158,2,0),""))</f>
        <v>0.5</v>
      </c>
      <c r="BG656">
        <f>IFERROR(IF(OR($H656="",$K656=""),"",ROUND('Company Profile'!$B$113*INDEX(_CONFIG_Model_Settings!$H$154:$H$158,MATCH(ROUND($K656,0),_CONFIG_Model_Settings!$G$154:$G$158,0)),0)),0)</f>
        <v>1875</v>
      </c>
      <c r="BH656">
        <f t="shared" si="107"/>
        <v>937.5</v>
      </c>
      <c r="BI656">
        <f t="shared" si="108"/>
        <v>937.5</v>
      </c>
      <c r="BJ656">
        <f>IF($E656="","",IFERROR(VLOOKUP($C656,_CONFIG_Risk_Calibration!$A$5:$H$21,2,FALSE),3))</f>
        <v>3</v>
      </c>
      <c r="BK656">
        <f>IF($E656="","",IFERROR(VLOOKUP($C656,_CONFIG_Risk_Calibration!$A$5:$H$21,3,FALSE),0))</f>
        <v>0</v>
      </c>
      <c r="BL656">
        <f>IF($E656="","",IFERROR(VLOOKUP($C656,_CONFIG_Risk_Calibration!$A$5:$H$21,4,FALSE),3))</f>
        <v>3</v>
      </c>
      <c r="BM656">
        <f>IF($E656="","",IFERROR(VLOOKUP($C656,_CONFIG_Risk_Calibration!$A$5:$H$21,5,FALSE),3))</f>
        <v>4</v>
      </c>
      <c r="BN656" t="str">
        <f>IF($E656="","",IFERROR(VLOOKUP($C656,_CONFIG_Risk_Calibration!$A$5:$H$21,6,FALSE),"No"))</f>
        <v>Yes</v>
      </c>
      <c r="BO656">
        <f>IF($E656="","",IFERROR(VLOOKUP($C656,_CONFIG_Risk_Calibration!$A$5:$H$21,7,FALSE),1))</f>
        <v>5</v>
      </c>
      <c r="BP656">
        <f>IF($H656="","",MAX(1,MIN(5,((6-$H656)*0.45)+($BJ656*0.2)+('Resilience &amp; Risk Scenario'!$B$7*0.15)+($BK656*0.1)+($BL656*0.05)+(IF($BB656="Fast",5,IF($BB656="Slow",1,3))*0.05))))</f>
        <v>3.7</v>
      </c>
      <c r="BQ656">
        <f t="shared" si="109"/>
        <v>5</v>
      </c>
      <c r="BR656">
        <f t="shared" si="110"/>
        <v>18.5</v>
      </c>
      <c r="BS656">
        <f t="shared" si="111"/>
        <v>10.18</v>
      </c>
      <c r="BT656" t="str">
        <f>IFERROR(INDEX(_REF_Capability_Bridge!$D:$D,MATCH($C656&amp;"|"&amp;$D656,_REF_Capability_Bridge!$J:$J,0)),IFERROR(INDEX(_REF_Capability_Bridge!$D:$D,MATCH($C656&amp;"|",_REF_Capability_Bridge!$J:$J,0)),"CAP_GENERIC"))</f>
        <v>CAP_MES_SHOPFLOOR</v>
      </c>
      <c r="BU656">
        <f>IFERROR(IFERROR(INDEX(_ENGINE_Relevance!$L:$L,MATCH($BT656,_ENGINE_Relevance!$B:$B,0)),1),1)</f>
        <v>0.4</v>
      </c>
      <c r="BV656" t="str">
        <f>IFERROR(INDEX(_REF_Capability_Bridge!$A:$A,MATCH($C656&amp;"|"&amp;$D656,_REF_Capability_Bridge!$J:$J,0)),IFERROR(INDEX(_REF_Capability_Bridge!$A:$A,MATCH($C656&amp;"|",_REF_Capability_Bridge!$J:$J,0)),"No bridge"))</f>
        <v>BRG-066</v>
      </c>
      <c r="BW656" t="str">
        <f t="shared" si="112"/>
        <v>Capability relevance lowers risk priority</v>
      </c>
      <c r="BX656" t="str">
        <f t="shared" si="113"/>
        <v>Initial / absent</v>
      </c>
      <c r="BY656" t="str">
        <f>IF($E656="","",IFERROR(INDEX(_REF_Treatment_Library!$A$2:$A$296,MATCH(1,INDEX((_REF_Treatment_Library!$B$2:$B$296=$BT656)*(_REF_Treatment_Library!$C$2:$C$296=PV_Canonical_Industry)*(_REF_Treatment_Library!$E$2:$E$296&lt;=N($H656))*(_REF_Treatment_Library!$F$2:$F$296&gt;=N($H656))*(_REF_Treatment_Library!$O$2:$O$296="Yes"),0),0)),IFERROR(INDEX(_REF_Treatment_Library!$A$2:$A$296,MATCH(1,INDEX((_REF_Treatment_Library!$B$2:$B$296=$BT656)*(_REF_Treatment_Library!$C$2:$C$296="All")*(_REF_Treatment_Library!$E$2:$E$296&lt;=N($H656))*(_REF_Treatment_Library!$F$2:$F$296&gt;=N($H656))*(_REF_Treatment_Library!$O$2:$O$296="Yes"),0),0)),"")))</f>
        <v>TRT-MES_SHOPFLOOR-INITIAL</v>
      </c>
      <c r="BZ656" t="str">
        <f>IF($BY656="","",IFERROR(INDEX(_REF_Treatment_Library!$H$2:$H$296,MATCH($BY656,_REF_Treatment_Library!$A$2:$A$296,0)),""))</f>
        <v>Establish</v>
      </c>
      <c r="CA656" t="str">
        <f>IF($BY656="","",IFERROR(INDEX(_REF_Treatment_Library!$I$2:$I$296,MATCH($BY656,_REF_Treatment_Library!$A$2:$A$296,0)),""))</f>
        <v>Establish baseline controls for MES / shop-floor</v>
      </c>
      <c r="CB656" t="str">
        <f>IF($BY656="","",IFERROR(INDEX(_REF_Treatment_Library!$K$2:$K$296,MATCH($BY656,_REF_Treatment_Library!$A$2:$A$296,0)),""))</f>
        <v>Named owner, baseline process, minimum control checklist, first evidence package</v>
      </c>
      <c r="CC656" t="str">
        <f>IF($BY656="","",IFERROR(INDEX(_REF_Treatment_Library!$L$2:$L$296,MATCH($BY656,_REF_Treatment_Library!$A$2:$A$296,0)),""))</f>
        <v>Owner assigned; baseline evidence coverage; open critical gaps</v>
      </c>
      <c r="CD656" t="str">
        <f t="shared" si="114"/>
        <v>Treatment by capability=CAP_MES_SHOPFLOOR; band=Initial / absent; score=0.0; treatment=Establish</v>
      </c>
      <c r="CE656" t="str">
        <f>IF($E656="","",IFERROR(INDEX(_REF_Industry_Wording!$A$2:$A$70,MATCH(1,INDEX((_REF_Industry_Wording!$B$2:$B$70=$BT656)*(_REF_Industry_Wording!$C$2:$C$70=PV_Canonical_Industry)*(_REF_Industry_Wording!$K$2:$K$70="Yes"),0),0)),IFERROR(INDEX(_REF_Industry_Wording!$A$2:$A$70,MATCH(1,INDEX((_REF_Industry_Wording!$B$2:$B$70=$BT656)*(_REF_Industry_Wording!$C$2:$C$70="All")*(_REF_Industry_Wording!$K$2:$K$70="Yes"),0),0)),"")))</f>
        <v>IW-ALL-MES_SHOPFLOOR</v>
      </c>
      <c r="CF656" t="str">
        <f>IF($CE656="","",IFERROR(INDEX(_REF_Industry_Wording!$E$2:$E$70,MATCH($CE656,_REF_Industry_Wording!$A$2:$A$70,0)),""))</f>
        <v>MES / shop-floor weakness</v>
      </c>
      <c r="CG656" t="str">
        <f>IF($CE656="","",IFERROR(INDEX(_REF_Industry_Wording!$F$2:$F$70,MATCH($CE656,_REF_Industry_Wording!$A$2:$A$70,0)),""))</f>
        <v>Strengthen MES / shop-floor</v>
      </c>
      <c r="CH656" t="str">
        <f>IF($CE656="","",IFERROR(INDEX(_REF_Industry_Wording!$G$2:$G$70,MATCH($CE656,_REF_Industry_Wording!$A$2:$A$70,0)),""))</f>
        <v>Strengthen MES / shop-floor using the selected maturity treatment, crisis scenario and evidence requirements.</v>
      </c>
      <c r="CI656" t="str">
        <f>IF($CE656="","",IFERROR(INDEX(_REF_Industry_Wording!$H$2:$H$70,MATCH($CE656,_REF_Industry_Wording!$A$2:$A$70,0)),""))</f>
        <v>MES / shop-floor</v>
      </c>
      <c r="CJ656">
        <f>IF($CE656="","",IFERROR(INDEX(_REF_Industry_Wording!$I$2:$I$70,MATCH($CE656,_REF_Industry_Wording!$A$2:$A$70,0)),""))</f>
        <v>0</v>
      </c>
      <c r="CK656" t="str">
        <f>IF($CE656="","",IFERROR(INDEX(_REF_Industry_Wording!$J$2:$J$70,MATCH($CE656,_REF_Industry_Wording!$A$2:$A$70,0)),""))</f>
        <v>MES / shop-floor</v>
      </c>
      <c r="CL656" t="str">
        <f t="shared" si="115"/>
        <v>Wording by industry=0; capability=CAP_MES_SHOPFLOOR; risk label=MES / shop-floor weakness</v>
      </c>
      <c r="CM656" t="str">
        <f t="shared" si="116"/>
        <v>RISK-ONT-0157</v>
      </c>
      <c r="CN656" t="str">
        <f t="shared" si="117"/>
        <v>RISK-EVT-0157</v>
      </c>
      <c r="CO656" t="str">
        <f t="shared" si="118"/>
        <v>Physical Safety|Emergency response|PHYS-017|CAP_MES_SHOPFLOOR</v>
      </c>
      <c r="CP656" t="str">
        <f t="shared" si="119"/>
        <v>Active</v>
      </c>
      <c r="CQ656" t="str">
        <f t="shared" si="120"/>
        <v>OK: capability-driven</v>
      </c>
      <c r="CR656" t="str">
        <f t="shared" si="121"/>
        <v>Risk ontology uses capability=CAP_MES_SHOPFLOOR; bridge=BRG-066; treatment=TRT-MES_SHOPFLOOR-INITIAL; wording=IW-ALL-MES_SHOPFLOOR</v>
      </c>
      <c r="CS656" t="str">
        <f t="shared" si="122"/>
        <v>Yes</v>
      </c>
    </row>
    <row r="657" spans="1:97" ht="69.900000000000006" customHeight="1">
      <c r="A657">
        <f>IF(OR($B657&lt;&gt;"Yes",$BS657=""),"",SUMPRODUCT(($B$500:$B$923="Yes")*ISNUMBER($BS$500:$BS$923)*($BS$500:$BS$923&gt;$BS657))+COUNTIFS($B$500:$B657,"Yes",$BS$500:$BS657,$BS657))</f>
        <v>406</v>
      </c>
      <c r="B657" t="str">
        <f t="shared" si="91"/>
        <v>Yes</v>
      </c>
      <c r="C657" t="s">
        <v>1666</v>
      </c>
      <c r="D657" t="s">
        <v>1681</v>
      </c>
      <c r="E657" t="s">
        <v>1775</v>
      </c>
      <c r="F657" t="s">
        <v>3685</v>
      </c>
      <c r="G657" t="str">
        <f>IF($H657="","",IFERROR(INDEX(_ENGINE_Risk!$H$5:$M$499,MATCH($E657,_ENGINE_Risk!$A$5:$A$499,0),$H657+1),""))</f>
        <v>Severe risk: emergency supplies such as water, batteries, power banks, fuel, PPE, radios and flashlights is not reliably controlled. During Safety incident; Physical site loss; War/security crisis; Natural disaster, the organization may face injury, unsafe facilities, uncontrolled access, asset loss and failure to protect people during incidents with limited visibility or accountability.</v>
      </c>
      <c r="H657">
        <f>IFERROR(VALUE(INDEX(_DATA_Assessment_Model!$H$5:$H$884,MATCH($E657,_DATA_Assessment_Model!$A$5:$A$884,0))),"")</f>
        <v>0</v>
      </c>
      <c r="I657" t="str">
        <f>IF($H657="","",IFERROR(INDEX(_DATA_Assessment_Model!$L$5:$L$884,MATCH($E657,_DATA_Assessment_Model!$A$5:$A$884,0)),IF($H657&lt;=1,"Critical",IF($H657=2,"High",IF($H657=3,"Medium",IF($H657=4,"Low","Resilient"))))))</f>
        <v>Critical</v>
      </c>
      <c r="J657">
        <f t="shared" si="92"/>
        <v>3.7</v>
      </c>
      <c r="K657">
        <f t="shared" si="93"/>
        <v>5</v>
      </c>
      <c r="L657">
        <f t="shared" si="94"/>
        <v>18.5</v>
      </c>
      <c r="M657">
        <f t="shared" si="95"/>
        <v>4</v>
      </c>
      <c r="N657">
        <f>IF($H657="","",IFERROR(INDEX(_ENGINE_Risk!$T$5:$Y$499,MATCH($E657,_ENGINE_Risk!$A$5:$A$499,0),$H657+1),""))</f>
        <v>4</v>
      </c>
      <c r="O657">
        <f t="shared" si="96"/>
        <v>4</v>
      </c>
      <c r="P657">
        <f t="shared" si="97"/>
        <v>5</v>
      </c>
      <c r="Q657">
        <f t="shared" si="98"/>
        <v>5</v>
      </c>
      <c r="R657">
        <f t="shared" si="99"/>
        <v>4.5</v>
      </c>
      <c r="S657">
        <f t="shared" si="100"/>
        <v>1.1599999999999999</v>
      </c>
      <c r="T657" t="str">
        <f>IF($H657="","",IFERROR(INDEX(_ENGINE_Risk!$N$5:$S$499,MATCH($E657,_ENGINE_Risk!$A$5:$A$499,0),$H657+1),""))</f>
        <v>Create an immediate risk owner, minimum control baseline and fallback procedure for emergency supplies such as water, batteries, power banks, fuel, PPE, radios and flashlights. Add it to the crisis risk register and collect first evidence.</v>
      </c>
      <c r="U657">
        <f>IFERROR(INDEX(_DATA_Assessment_Model!$G$5:$G$884,MATCH($E657,_DATA_Assessment_Model!$A$5:$A$884,0)),"")</f>
        <v>3</v>
      </c>
      <c r="V657">
        <f>IFERROR(INDEX(_DATA_Assessment_Model!$W$5:$W$884,MATCH($E657,_DATA_Assessment_Model!$A$5:$A$884,0)),"")</f>
        <v>4</v>
      </c>
      <c r="W657">
        <f>IFERROR(INDEX(_DATA_Assessment_Model!$X$5:$X$884,MATCH($E657,_DATA_Assessment_Model!$A$5:$A$884,0)),"")</f>
        <v>5</v>
      </c>
      <c r="X657">
        <f>IFERROR(INDEX(_DATA_Assessment_Model!$Y$5:$Y$884,MATCH($E657,_DATA_Assessment_Model!$A$5:$A$884,0)),"")</f>
        <v>5</v>
      </c>
      <c r="Y657" t="s">
        <v>1673</v>
      </c>
      <c r="Z657" t="s">
        <v>6587</v>
      </c>
      <c r="AA657" t="s">
        <v>1777</v>
      </c>
      <c r="AB657">
        <f>IFERROR(INDEX(_DATA_Assessment_Model!$U$5:$U$884,MATCH($E657,_DATA_Assessment_Model!$A$5:$A$884,0)),"")</f>
        <v>0</v>
      </c>
      <c r="AF657" t="s">
        <v>1776</v>
      </c>
      <c r="AO657">
        <f>IF($B657="Yes",IF(IFERROR(INDEX(_ENGINE_Crisis!$F$501:$F$517,MATCH($C657,_ENGINE_Crisis!$A$501:$A$517,0)),1)=0,1,IFERROR(INDEX(_ENGINE_Crisis!$F$501:$F$517,MATCH($C657,_ENGINE_Crisis!$A$501:$A$517,0)),1)),"")</f>
        <v>1</v>
      </c>
      <c r="AP657">
        <f t="shared" si="101"/>
        <v>18.5</v>
      </c>
      <c r="AQ657">
        <f t="shared" si="102"/>
        <v>1.1599999999999999</v>
      </c>
      <c r="AR657" t="str">
        <f>IFERROR(INDEX(_ENGINE_Crisis!$E$41:$E$700,MATCH('Resilience &amp; Risk Scenario'!$B$6&amp;"|"&amp;$C657,_ENGINE_Crisis!$I$41:$I$700,0)),"")</f>
        <v/>
      </c>
      <c r="AS657" t="str">
        <f>IFERROR(INDEX(_ENGINE_Crisis!$G$41:$G$700,MATCH('Resilience &amp; Risk Scenario'!$B$6&amp;"|"&amp;$C657,_ENGINE_Crisis!$I$41:$I$700,0)),"")</f>
        <v/>
      </c>
      <c r="AT657" t="str">
        <f>IFERROR(INDEX(_ENGINE_Initiatives!$A$5:$A$532,MATCH(1,INDEX((_ENGINE_Initiatives!$B$5:$B$532=$C657)*(_ENGINE_Initiatives!$C$5:$C$532=$D657),0),0)),"")</f>
        <v>INI-025</v>
      </c>
      <c r="AU657" t="str">
        <f>IFERROR(INDEX(_ENGINE_Initiatives!$F$5:$F$532,MATCH(1,INDEX((_ENGINE_Initiatives!$B$5:$B$532=$C657)*(_ENGINE_Initiatives!$C$5:$C$532=$D657),0),0)),"")</f>
        <v>Build emergency response, evacuation and shelter procedures</v>
      </c>
      <c r="AV657">
        <f>IFERROR(INDEX(_ENGINE_Initiatives!$AC$5:$AC$532,MATCH(1,INDEX((_ENGINE_Initiatives!$B$5:$B$532=$C657)*(_ENGINE_Initiatives!$C$5:$C$532=$D657),0),0)),"")</f>
        <v>1.68</v>
      </c>
      <c r="AW657" t="str">
        <f>IFERROR(INDEX(_ENGINE_Initiatives!$AE$5:$AE$532,MATCH(1,INDEX((_ENGINE_Initiatives!$B$5:$B$532=$C657)*(_ENGINE_Initiatives!$C$5:$C$532=$D657),0),0)),"")</f>
        <v>6-12 months</v>
      </c>
      <c r="AX657">
        <f>IF($B657="Yes",IFERROR((IF(SUMIFS(_REF_Model_Content!$E$1:$E$613,_REF_Model_Content!$A$1:$A$613,PV_Canonical_Industry,_REF_Model_Content!$B$1:$B$613,$C657)=0,1,SUMIFS(_REF_Model_Content!$E$1:$E$613,_REF_Model_Content!$A$1:$A$613,PV_Canonical_Industry,_REF_Model_Content!$B$1:$B$613,$C657))*IFERROR($BU657,1)),1),"")</f>
        <v>0.4</v>
      </c>
      <c r="AY657">
        <f t="shared" si="103"/>
        <v>7.4</v>
      </c>
      <c r="AZ657">
        <f t="shared" si="104"/>
        <v>0.46</v>
      </c>
      <c r="BB657" t="str">
        <f>IF($H657="","",IFERROR(INDEX(_ENGINE_Risk!$AE$5:$AE$499,MATCH($E657,_ENGINE_Risk!$A$5:$A$499,0)),"Medium"))</f>
        <v>Fast</v>
      </c>
      <c r="BC657">
        <f t="shared" si="105"/>
        <v>1.25</v>
      </c>
      <c r="BD657">
        <f t="shared" si="106"/>
        <v>0.46</v>
      </c>
      <c r="BF657">
        <f>IF(OR($H657="",$J657=""),"",IFERROR(VLOOKUP(ROUND($J657,0),_CONFIG_Model_Settings!$D$154:$E$158,2,0),""))</f>
        <v>0.5</v>
      </c>
      <c r="BG657">
        <f>IFERROR(IF(OR($H657="",$K657=""),"",ROUND('Company Profile'!$B$113*INDEX(_CONFIG_Model_Settings!$H$154:$H$158,MATCH(ROUND($K657,0),_CONFIG_Model_Settings!$G$154:$G$158,0)),0)),0)</f>
        <v>1875</v>
      </c>
      <c r="BH657">
        <f t="shared" si="107"/>
        <v>937.5</v>
      </c>
      <c r="BI657">
        <f t="shared" si="108"/>
        <v>937.5</v>
      </c>
      <c r="BJ657">
        <f>IF($E657="","",IFERROR(VLOOKUP($C657,_CONFIG_Risk_Calibration!$A$5:$H$21,2,FALSE),3))</f>
        <v>3</v>
      </c>
      <c r="BK657">
        <f>IF($E657="","",IFERROR(VLOOKUP($C657,_CONFIG_Risk_Calibration!$A$5:$H$21,3,FALSE),0))</f>
        <v>0</v>
      </c>
      <c r="BL657">
        <f>IF($E657="","",IFERROR(VLOOKUP($C657,_CONFIG_Risk_Calibration!$A$5:$H$21,4,FALSE),3))</f>
        <v>3</v>
      </c>
      <c r="BM657">
        <f>IF($E657="","",IFERROR(VLOOKUP($C657,_CONFIG_Risk_Calibration!$A$5:$H$21,5,FALSE),3))</f>
        <v>4</v>
      </c>
      <c r="BN657" t="str">
        <f>IF($E657="","",IFERROR(VLOOKUP($C657,_CONFIG_Risk_Calibration!$A$5:$H$21,6,FALSE),"No"))</f>
        <v>Yes</v>
      </c>
      <c r="BO657">
        <f>IF($E657="","",IFERROR(VLOOKUP($C657,_CONFIG_Risk_Calibration!$A$5:$H$21,7,FALSE),1))</f>
        <v>5</v>
      </c>
      <c r="BP657">
        <f>IF($H657="","",MAX(1,MIN(5,((6-$H657)*0.45)+($BJ657*0.2)+('Resilience &amp; Risk Scenario'!$B$7*0.15)+($BK657*0.1)+($BL657*0.05)+(IF($BB657="Fast",5,IF($BB657="Slow",1,3))*0.05))))</f>
        <v>3.7</v>
      </c>
      <c r="BQ657">
        <f t="shared" si="109"/>
        <v>5</v>
      </c>
      <c r="BR657">
        <f t="shared" si="110"/>
        <v>18.5</v>
      </c>
      <c r="BS657">
        <f t="shared" si="111"/>
        <v>10.18</v>
      </c>
      <c r="BT657" t="str">
        <f>IFERROR(INDEX(_REF_Capability_Bridge!$D:$D,MATCH($C657&amp;"|"&amp;$D657,_REF_Capability_Bridge!$J:$J,0)),IFERROR(INDEX(_REF_Capability_Bridge!$D:$D,MATCH($C657&amp;"|",_REF_Capability_Bridge!$J:$J,0)),"CAP_GENERIC"))</f>
        <v>CAP_MES_SHOPFLOOR</v>
      </c>
      <c r="BU657">
        <f>IFERROR(IFERROR(INDEX(_ENGINE_Relevance!$L:$L,MATCH($BT657,_ENGINE_Relevance!$B:$B,0)),1),1)</f>
        <v>0.4</v>
      </c>
      <c r="BV657" t="str">
        <f>IFERROR(INDEX(_REF_Capability_Bridge!$A:$A,MATCH($C657&amp;"|"&amp;$D657,_REF_Capability_Bridge!$J:$J,0)),IFERROR(INDEX(_REF_Capability_Bridge!$A:$A,MATCH($C657&amp;"|",_REF_Capability_Bridge!$J:$J,0)),"No bridge"))</f>
        <v>BRG-066</v>
      </c>
      <c r="BW657" t="str">
        <f t="shared" si="112"/>
        <v>Capability relevance lowers risk priority</v>
      </c>
      <c r="BX657" t="str">
        <f t="shared" si="113"/>
        <v>Initial / absent</v>
      </c>
      <c r="BY657" t="str">
        <f>IF($E657="","",IFERROR(INDEX(_REF_Treatment_Library!$A$2:$A$296,MATCH(1,INDEX((_REF_Treatment_Library!$B$2:$B$296=$BT657)*(_REF_Treatment_Library!$C$2:$C$296=PV_Canonical_Industry)*(_REF_Treatment_Library!$E$2:$E$296&lt;=N($H657))*(_REF_Treatment_Library!$F$2:$F$296&gt;=N($H657))*(_REF_Treatment_Library!$O$2:$O$296="Yes"),0),0)),IFERROR(INDEX(_REF_Treatment_Library!$A$2:$A$296,MATCH(1,INDEX((_REF_Treatment_Library!$B$2:$B$296=$BT657)*(_REF_Treatment_Library!$C$2:$C$296="All")*(_REF_Treatment_Library!$E$2:$E$296&lt;=N($H657))*(_REF_Treatment_Library!$F$2:$F$296&gt;=N($H657))*(_REF_Treatment_Library!$O$2:$O$296="Yes"),0),0)),"")))</f>
        <v>TRT-MES_SHOPFLOOR-INITIAL</v>
      </c>
      <c r="BZ657" t="str">
        <f>IF($BY657="","",IFERROR(INDEX(_REF_Treatment_Library!$H$2:$H$296,MATCH($BY657,_REF_Treatment_Library!$A$2:$A$296,0)),""))</f>
        <v>Establish</v>
      </c>
      <c r="CA657" t="str">
        <f>IF($BY657="","",IFERROR(INDEX(_REF_Treatment_Library!$I$2:$I$296,MATCH($BY657,_REF_Treatment_Library!$A$2:$A$296,0)),""))</f>
        <v>Establish baseline controls for MES / shop-floor</v>
      </c>
      <c r="CB657" t="str">
        <f>IF($BY657="","",IFERROR(INDEX(_REF_Treatment_Library!$K$2:$K$296,MATCH($BY657,_REF_Treatment_Library!$A$2:$A$296,0)),""))</f>
        <v>Named owner, baseline process, minimum control checklist, first evidence package</v>
      </c>
      <c r="CC657" t="str">
        <f>IF($BY657="","",IFERROR(INDEX(_REF_Treatment_Library!$L$2:$L$296,MATCH($BY657,_REF_Treatment_Library!$A$2:$A$296,0)),""))</f>
        <v>Owner assigned; baseline evidence coverage; open critical gaps</v>
      </c>
      <c r="CD657" t="str">
        <f t="shared" si="114"/>
        <v>Treatment by capability=CAP_MES_SHOPFLOOR; band=Initial / absent; score=0.0; treatment=Establish</v>
      </c>
      <c r="CE657" t="str">
        <f>IF($E657="","",IFERROR(INDEX(_REF_Industry_Wording!$A$2:$A$70,MATCH(1,INDEX((_REF_Industry_Wording!$B$2:$B$70=$BT657)*(_REF_Industry_Wording!$C$2:$C$70=PV_Canonical_Industry)*(_REF_Industry_Wording!$K$2:$K$70="Yes"),0),0)),IFERROR(INDEX(_REF_Industry_Wording!$A$2:$A$70,MATCH(1,INDEX((_REF_Industry_Wording!$B$2:$B$70=$BT657)*(_REF_Industry_Wording!$C$2:$C$70="All")*(_REF_Industry_Wording!$K$2:$K$70="Yes"),0),0)),"")))</f>
        <v>IW-ALL-MES_SHOPFLOOR</v>
      </c>
      <c r="CF657" t="str">
        <f>IF($CE657="","",IFERROR(INDEX(_REF_Industry_Wording!$E$2:$E$70,MATCH($CE657,_REF_Industry_Wording!$A$2:$A$70,0)),""))</f>
        <v>MES / shop-floor weakness</v>
      </c>
      <c r="CG657" t="str">
        <f>IF($CE657="","",IFERROR(INDEX(_REF_Industry_Wording!$F$2:$F$70,MATCH($CE657,_REF_Industry_Wording!$A$2:$A$70,0)),""))</f>
        <v>Strengthen MES / shop-floor</v>
      </c>
      <c r="CH657" t="str">
        <f>IF($CE657="","",IFERROR(INDEX(_REF_Industry_Wording!$G$2:$G$70,MATCH($CE657,_REF_Industry_Wording!$A$2:$A$70,0)),""))</f>
        <v>Strengthen MES / shop-floor using the selected maturity treatment, crisis scenario and evidence requirements.</v>
      </c>
      <c r="CI657" t="str">
        <f>IF($CE657="","",IFERROR(INDEX(_REF_Industry_Wording!$H$2:$H$70,MATCH($CE657,_REF_Industry_Wording!$A$2:$A$70,0)),""))</f>
        <v>MES / shop-floor</v>
      </c>
      <c r="CJ657">
        <f>IF($CE657="","",IFERROR(INDEX(_REF_Industry_Wording!$I$2:$I$70,MATCH($CE657,_REF_Industry_Wording!$A$2:$A$70,0)),""))</f>
        <v>0</v>
      </c>
      <c r="CK657" t="str">
        <f>IF($CE657="","",IFERROR(INDEX(_REF_Industry_Wording!$J$2:$J$70,MATCH($CE657,_REF_Industry_Wording!$A$2:$A$70,0)),""))</f>
        <v>MES / shop-floor</v>
      </c>
      <c r="CL657" t="str">
        <f t="shared" si="115"/>
        <v>Wording by industry=0; capability=CAP_MES_SHOPFLOOR; risk label=MES / shop-floor weakness</v>
      </c>
      <c r="CM657" t="str">
        <f t="shared" si="116"/>
        <v>RISK-ONT-0158</v>
      </c>
      <c r="CN657" t="str">
        <f t="shared" si="117"/>
        <v>RISK-EVT-0158</v>
      </c>
      <c r="CO657" t="str">
        <f t="shared" si="118"/>
        <v>Physical Safety|Emergency response|PHYS-018|CAP_MES_SHOPFLOOR</v>
      </c>
      <c r="CP657" t="str">
        <f t="shared" si="119"/>
        <v>Active</v>
      </c>
      <c r="CQ657" t="str">
        <f t="shared" si="120"/>
        <v>OK: capability-driven</v>
      </c>
      <c r="CR657" t="str">
        <f t="shared" si="121"/>
        <v>Risk ontology uses capability=CAP_MES_SHOPFLOOR; bridge=BRG-066; treatment=TRT-MES_SHOPFLOOR-INITIAL; wording=IW-ALL-MES_SHOPFLOOR</v>
      </c>
      <c r="CS657" t="str">
        <f t="shared" si="122"/>
        <v>Yes</v>
      </c>
    </row>
    <row r="658" spans="1:97" ht="69.900000000000006" customHeight="1">
      <c r="A658">
        <f>IF(OR($B658&lt;&gt;"Yes",$BS658=""),"",SUMPRODUCT(($B$500:$B$923="Yes")*ISNUMBER($BS$500:$BS$923)*($BS$500:$BS$923&gt;$BS658))+COUNTIFS($B$500:$B658,"Yes",$BS$500:$BS658,$BS658))</f>
        <v>7</v>
      </c>
      <c r="B658" t="str">
        <f t="shared" si="91"/>
        <v>Yes</v>
      </c>
      <c r="C658" t="s">
        <v>1666</v>
      </c>
      <c r="D658" t="s">
        <v>1685</v>
      </c>
      <c r="E658" t="s">
        <v>1784</v>
      </c>
      <c r="F658" t="s">
        <v>3685</v>
      </c>
      <c r="G658" t="str">
        <f>IF($H658="","",IFERROR(INDEX(_ENGINE_Risk!$H$5:$M$499,MATCH($E658,_ENGINE_Risk!$A$5:$A$499,0),$H658+1),""))</f>
        <v>Severe risk: air raid, shelling, curfew, checkpoints, movement restriction and shelter procedures for high-risk geographies is not reliably controlled. During Safety incident; Physical site loss; War/security crisis; Natural disaster, the organization may face injury, unsafe facilities, uncontrolled access, asset loss and failure to protect people during incidents with limited visibility or accountability.</v>
      </c>
      <c r="H658">
        <f>IFERROR(VALUE(INDEX(_DATA_Assessment_Model!$H$5:$H$884,MATCH($E658,_DATA_Assessment_Model!$A$5:$A$884,0))),"")</f>
        <v>0</v>
      </c>
      <c r="I658" t="str">
        <f>IF($H658="","",IFERROR(INDEX(_DATA_Assessment_Model!$L$5:$L$884,MATCH($E658,_DATA_Assessment_Model!$A$5:$A$884,0)),IF($H658&lt;=1,"Critical",IF($H658=2,"High",IF($H658=3,"Medium",IF($H658=4,"Low","Resilient"))))))</f>
        <v>Critical</v>
      </c>
      <c r="J658">
        <f t="shared" si="92"/>
        <v>3.7</v>
      </c>
      <c r="K658">
        <f t="shared" si="93"/>
        <v>5</v>
      </c>
      <c r="L658">
        <f t="shared" si="94"/>
        <v>18.5</v>
      </c>
      <c r="M658">
        <f t="shared" si="95"/>
        <v>4</v>
      </c>
      <c r="N658">
        <f>IF($H658="","",IFERROR(INDEX(_ENGINE_Risk!$T$5:$Y$499,MATCH($E658,_ENGINE_Risk!$A$5:$A$499,0),$H658+1),""))</f>
        <v>4</v>
      </c>
      <c r="O658">
        <f t="shared" si="96"/>
        <v>4.333333333333333</v>
      </c>
      <c r="P658">
        <f t="shared" si="97"/>
        <v>5</v>
      </c>
      <c r="Q658">
        <f t="shared" si="98"/>
        <v>5</v>
      </c>
      <c r="R658">
        <f t="shared" si="99"/>
        <v>4.5</v>
      </c>
      <c r="S658">
        <f t="shared" si="100"/>
        <v>1.18</v>
      </c>
      <c r="T658" t="str">
        <f>IF($H658="","",IFERROR(INDEX(_ENGINE_Risk!$N$5:$S$499,MATCH($E658,_ENGINE_Risk!$A$5:$A$499,0),$H658+1),""))</f>
        <v>Create an immediate risk owner, minimum control baseline and fallback procedure for air raid, shelling, curfew, checkpoints, movement restriction and shelter procedures for high-risk geographies. Add it to the crisis risk register and collect first evidence.</v>
      </c>
      <c r="U658">
        <f>IFERROR(INDEX(_DATA_Assessment_Model!$G$5:$G$884,MATCH($E658,_DATA_Assessment_Model!$A$5:$A$884,0)),"")</f>
        <v>4</v>
      </c>
      <c r="V658">
        <f>IFERROR(INDEX(_DATA_Assessment_Model!$W$5:$W$884,MATCH($E658,_DATA_Assessment_Model!$A$5:$A$884,0)),"")</f>
        <v>4</v>
      </c>
      <c r="W658">
        <f>IFERROR(INDEX(_DATA_Assessment_Model!$X$5:$X$884,MATCH($E658,_DATA_Assessment_Model!$A$5:$A$884,0)),"")</f>
        <v>5</v>
      </c>
      <c r="X658">
        <f>IFERROR(INDEX(_DATA_Assessment_Model!$Y$5:$Y$884,MATCH($E658,_DATA_Assessment_Model!$A$5:$A$884,0)),"")</f>
        <v>5</v>
      </c>
      <c r="Y658" t="s">
        <v>1673</v>
      </c>
      <c r="Z658" t="s">
        <v>6587</v>
      </c>
      <c r="AA658" t="s">
        <v>1786</v>
      </c>
      <c r="AB658">
        <f>IFERROR(INDEX(_DATA_Assessment_Model!$U$5:$U$884,MATCH($E658,_DATA_Assessment_Model!$A$5:$A$884,0)),"")</f>
        <v>0</v>
      </c>
      <c r="AF658" t="s">
        <v>1785</v>
      </c>
      <c r="AO658">
        <f>IF($B658="Yes",IF(IFERROR(INDEX(_ENGINE_Crisis!$F$501:$F$517,MATCH($C658,_ENGINE_Crisis!$A$501:$A$517,0)),1)=0,1,IFERROR(INDEX(_ENGINE_Crisis!$F$501:$F$517,MATCH($C658,_ENGINE_Crisis!$A$501:$A$517,0)),1)),"")</f>
        <v>1</v>
      </c>
      <c r="AP658">
        <f t="shared" si="101"/>
        <v>18.5</v>
      </c>
      <c r="AQ658">
        <f t="shared" si="102"/>
        <v>1.18</v>
      </c>
      <c r="AR658" t="str">
        <f>IFERROR(INDEX(_ENGINE_Crisis!$E$41:$E$700,MATCH('Resilience &amp; Risk Scenario'!$B$6&amp;"|"&amp;$C658,_ENGINE_Crisis!$I$41:$I$700,0)),"")</f>
        <v/>
      </c>
      <c r="AS658" t="str">
        <f>IFERROR(INDEX(_ENGINE_Crisis!$G$41:$G$700,MATCH('Resilience &amp; Risk Scenario'!$B$6&amp;"|"&amp;$C658,_ENGINE_Crisis!$I$41:$I$700,0)),"")</f>
        <v/>
      </c>
      <c r="AT658" t="str">
        <f>IFERROR(INDEX(_ENGINE_Initiatives!$A$5:$A$532,MATCH(1,INDEX((_ENGINE_Initiatives!$B$5:$B$532=$C658)*(_ENGINE_Initiatives!$C$5:$C$532=$D658),0),0)),"")</f>
        <v>INI-026</v>
      </c>
      <c r="AU658" t="str">
        <f>IFERROR(INDEX(_ENGINE_Initiatives!$F$5:$F$532,MATCH(1,INDEX((_ENGINE_Initiatives!$B$5:$B$532=$C658)*(_ENGINE_Initiatives!$C$5:$C$532=$D658),0),0)),"")</f>
        <v>Implement physical security and travel risk management</v>
      </c>
      <c r="AV658">
        <f>IFERROR(INDEX(_ENGINE_Initiatives!$AC$5:$AC$532,MATCH(1,INDEX((_ENGINE_Initiatives!$B$5:$B$532=$C658)*(_ENGINE_Initiatives!$C$5:$C$532=$D658),0),0)),"")</f>
        <v>1.82</v>
      </c>
      <c r="AW658" t="str">
        <f>IFERROR(INDEX(_ENGINE_Initiatives!$AE$5:$AE$532,MATCH(1,INDEX((_ENGINE_Initiatives!$B$5:$B$532=$C658)*(_ENGINE_Initiatives!$C$5:$C$532=$D658),0),0)),"")</f>
        <v>3-6 months</v>
      </c>
      <c r="AX658">
        <f>IF($B658="Yes",IFERROR((IF(SUMIFS(_REF_Model_Content!$E$1:$E$613,_REF_Model_Content!$A$1:$A$613,PV_Canonical_Industry,_REF_Model_Content!$B$1:$B$613,$C658)=0,1,SUMIFS(_REF_Model_Content!$E$1:$E$613,_REF_Model_Content!$A$1:$A$613,PV_Canonical_Industry,_REF_Model_Content!$B$1:$B$613,$C658))*IFERROR($BU658,1)),1),"")</f>
        <v>1</v>
      </c>
      <c r="AY658">
        <f t="shared" si="103"/>
        <v>18.5</v>
      </c>
      <c r="AZ658">
        <f t="shared" si="104"/>
        <v>1.18</v>
      </c>
      <c r="BB658" t="str">
        <f>IF($H658="","",IFERROR(INDEX(_ENGINE_Risk!$AE$5:$AE$499,MATCH($E658,_ENGINE_Risk!$A$5:$A$499,0)),"Medium"))</f>
        <v>Fast</v>
      </c>
      <c r="BC658">
        <f t="shared" si="105"/>
        <v>1.25</v>
      </c>
      <c r="BD658">
        <f t="shared" si="106"/>
        <v>1.18</v>
      </c>
      <c r="BF658">
        <f>IF(OR($H658="",$J658=""),"",IFERROR(VLOOKUP(ROUND($J658,0),_CONFIG_Model_Settings!$D$154:$E$158,2,0),""))</f>
        <v>0.5</v>
      </c>
      <c r="BG658">
        <f>IFERROR(IF(OR($H658="",$K658=""),"",ROUND('Company Profile'!$B$113*INDEX(_CONFIG_Model_Settings!$H$154:$H$158,MATCH(ROUND($K658,0),_CONFIG_Model_Settings!$G$154:$G$158,0)),0)),0)</f>
        <v>1875</v>
      </c>
      <c r="BH658">
        <f t="shared" si="107"/>
        <v>937.5</v>
      </c>
      <c r="BI658">
        <f t="shared" si="108"/>
        <v>937.5</v>
      </c>
      <c r="BJ658">
        <f>IF($E658="","",IFERROR(VLOOKUP($C658,_CONFIG_Risk_Calibration!$A$5:$H$21,2,FALSE),3))</f>
        <v>3</v>
      </c>
      <c r="BK658">
        <f>IF($E658="","",IFERROR(VLOOKUP($C658,_CONFIG_Risk_Calibration!$A$5:$H$21,3,FALSE),0))</f>
        <v>0</v>
      </c>
      <c r="BL658">
        <f>IF($E658="","",IFERROR(VLOOKUP($C658,_CONFIG_Risk_Calibration!$A$5:$H$21,4,FALSE),3))</f>
        <v>3</v>
      </c>
      <c r="BM658">
        <f>IF($E658="","",IFERROR(VLOOKUP($C658,_CONFIG_Risk_Calibration!$A$5:$H$21,5,FALSE),3))</f>
        <v>4</v>
      </c>
      <c r="BN658" t="str">
        <f>IF($E658="","",IFERROR(VLOOKUP($C658,_CONFIG_Risk_Calibration!$A$5:$H$21,6,FALSE),"No"))</f>
        <v>Yes</v>
      </c>
      <c r="BO658">
        <f>IF($E658="","",IFERROR(VLOOKUP($C658,_CONFIG_Risk_Calibration!$A$5:$H$21,7,FALSE),1))</f>
        <v>5</v>
      </c>
      <c r="BP658">
        <f>IF($H658="","",MAX(1,MIN(5,((6-$H658)*0.45)+($BJ658*0.2)+('Resilience &amp; Risk Scenario'!$B$7*0.15)+($BK658*0.1)+($BL658*0.05)+(IF($BB658="Fast",5,IF($BB658="Slow",1,3))*0.05))))</f>
        <v>3.7</v>
      </c>
      <c r="BQ658">
        <f t="shared" si="109"/>
        <v>5</v>
      </c>
      <c r="BR658">
        <f t="shared" si="110"/>
        <v>18.5</v>
      </c>
      <c r="BS658">
        <f t="shared" si="111"/>
        <v>25.44</v>
      </c>
      <c r="BT658" t="str">
        <f>IFERROR(INDEX(_REF_Capability_Bridge!$D:$D,MATCH($C658&amp;"|"&amp;$D658,_REF_Capability_Bridge!$J:$J,0)),IFERROR(INDEX(_REF_Capability_Bridge!$D:$D,MATCH($C658&amp;"|",_REF_Capability_Bridge!$J:$J,0)),"CAP_GENERIC"))</f>
        <v>CAP_BACKUP_RECOVERY</v>
      </c>
      <c r="BU658">
        <f>IFERROR(IFERROR(INDEX(_ENGINE_Relevance!$L:$L,MATCH($BT658,_ENGINE_Relevance!$B:$B,0)),1),1)</f>
        <v>1</v>
      </c>
      <c r="BV658" t="str">
        <f>IFERROR(INDEX(_REF_Capability_Bridge!$A:$A,MATCH($C658&amp;"|"&amp;$D658,_REF_Capability_Bridge!$J:$J,0)),IFERROR(INDEX(_REF_Capability_Bridge!$A:$A,MATCH($C658&amp;"|",_REF_Capability_Bridge!$J:$J,0)),"No bridge"))</f>
        <v>BRG-069</v>
      </c>
      <c r="BW658" t="str">
        <f t="shared" si="112"/>
        <v>Capability relevance neutral</v>
      </c>
      <c r="BX658" t="str">
        <f t="shared" si="113"/>
        <v>Initial / absent</v>
      </c>
      <c r="BY658" t="str">
        <f>IF($E658="","",IFERROR(INDEX(_REF_Treatment_Library!$A$2:$A$296,MATCH(1,INDEX((_REF_Treatment_Library!$B$2:$B$296=$BT658)*(_REF_Treatment_Library!$C$2:$C$296=PV_Canonical_Industry)*(_REF_Treatment_Library!$E$2:$E$296&lt;=N($H658))*(_REF_Treatment_Library!$F$2:$F$296&gt;=N($H658))*(_REF_Treatment_Library!$O$2:$O$296="Yes"),0),0)),IFERROR(INDEX(_REF_Treatment_Library!$A$2:$A$296,MATCH(1,INDEX((_REF_Treatment_Library!$B$2:$B$296=$BT658)*(_REF_Treatment_Library!$C$2:$C$296="All")*(_REF_Treatment_Library!$E$2:$E$296&lt;=N($H658))*(_REF_Treatment_Library!$F$2:$F$296&gt;=N($H658))*(_REF_Treatment_Library!$O$2:$O$296="Yes"),0),0)),"")))</f>
        <v>TRT-BACKUP_RECOVERY-INITIAL</v>
      </c>
      <c r="BZ658" t="str">
        <f>IF($BY658="","",IFERROR(INDEX(_REF_Treatment_Library!$H$2:$H$296,MATCH($BY658,_REF_Treatment_Library!$A$2:$A$296,0)),""))</f>
        <v>Establish</v>
      </c>
      <c r="CA658" t="str">
        <f>IF($BY658="","",IFERROR(INDEX(_REF_Treatment_Library!$I$2:$I$296,MATCH($BY658,_REF_Treatment_Library!$A$2:$A$296,0)),""))</f>
        <v>Establish baseline controls for Backup / recovery</v>
      </c>
      <c r="CB658" t="str">
        <f>IF($BY658="","",IFERROR(INDEX(_REF_Treatment_Library!$K$2:$K$296,MATCH($BY658,_REF_Treatment_Library!$A$2:$A$296,0)),""))</f>
        <v>Named owner, baseline process, minimum control checklist, first evidence package</v>
      </c>
      <c r="CC658" t="str">
        <f>IF($BY658="","",IFERROR(INDEX(_REF_Treatment_Library!$L$2:$L$296,MATCH($BY658,_REF_Treatment_Library!$A$2:$A$296,0)),""))</f>
        <v>Owner assigned; baseline evidence coverage; open critical gaps</v>
      </c>
      <c r="CD658" t="str">
        <f t="shared" si="114"/>
        <v>Treatment by capability=CAP_BACKUP_RECOVERY; band=Initial / absent; score=0.0; treatment=Establish</v>
      </c>
      <c r="CE658" t="str">
        <f>IF($E658="","",IFERROR(INDEX(_REF_Industry_Wording!$A$2:$A$70,MATCH(1,INDEX((_REF_Industry_Wording!$B$2:$B$70=$BT658)*(_REF_Industry_Wording!$C$2:$C$70=PV_Canonical_Industry)*(_REF_Industry_Wording!$K$2:$K$70="Yes"),0),0)),IFERROR(INDEX(_REF_Industry_Wording!$A$2:$A$70,MATCH(1,INDEX((_REF_Industry_Wording!$B$2:$B$70=$BT658)*(_REF_Industry_Wording!$C$2:$C$70="All")*(_REF_Industry_Wording!$K$2:$K$70="Yes"),0),0)),"")))</f>
        <v>IW-ALL-BACKUP_RECOVERY</v>
      </c>
      <c r="CF658" t="str">
        <f>IF($CE658="","",IFERROR(INDEX(_REF_Industry_Wording!$E$2:$E$70,MATCH($CE658,_REF_Industry_Wording!$A$2:$A$70,0)),""))</f>
        <v>Backup / recovery weakness</v>
      </c>
      <c r="CG658" t="str">
        <f>IF($CE658="","",IFERROR(INDEX(_REF_Industry_Wording!$F$2:$F$70,MATCH($CE658,_REF_Industry_Wording!$A$2:$A$70,0)),""))</f>
        <v>Strengthen Backup / recovery</v>
      </c>
      <c r="CH658" t="str">
        <f>IF($CE658="","",IFERROR(INDEX(_REF_Industry_Wording!$G$2:$G$70,MATCH($CE658,_REF_Industry_Wording!$A$2:$A$70,0)),""))</f>
        <v>Strengthen Backup / recovery using the selected maturity treatment, crisis scenario and evidence requirements.</v>
      </c>
      <c r="CI658" t="str">
        <f>IF($CE658="","",IFERROR(INDEX(_REF_Industry_Wording!$H$2:$H$70,MATCH($CE658,_REF_Industry_Wording!$A$2:$A$70,0)),""))</f>
        <v>Backup / recovery</v>
      </c>
      <c r="CJ658">
        <f>IF($CE658="","",IFERROR(INDEX(_REF_Industry_Wording!$I$2:$I$70,MATCH($CE658,_REF_Industry_Wording!$A$2:$A$70,0)),""))</f>
        <v>0</v>
      </c>
      <c r="CK658" t="str">
        <f>IF($CE658="","",IFERROR(INDEX(_REF_Industry_Wording!$J$2:$J$70,MATCH($CE658,_REF_Industry_Wording!$A$2:$A$70,0)),""))</f>
        <v>Backup / recovery</v>
      </c>
      <c r="CL658" t="str">
        <f t="shared" si="115"/>
        <v>Wording by industry=0; capability=CAP_BACKUP_RECOVERY; risk label=Backup / recovery weakness</v>
      </c>
      <c r="CM658" t="str">
        <f t="shared" si="116"/>
        <v>RISK-ONT-0159</v>
      </c>
      <c r="CN658" t="str">
        <f t="shared" si="117"/>
        <v>RISK-EVT-0159</v>
      </c>
      <c r="CO658" t="str">
        <f t="shared" si="118"/>
        <v>Physical Safety|Security and travel|PHYS-019|CAP_BACKUP_RECOVERY</v>
      </c>
      <c r="CP658" t="str">
        <f t="shared" si="119"/>
        <v>Active</v>
      </c>
      <c r="CQ658" t="str">
        <f t="shared" si="120"/>
        <v>OK: capability-driven</v>
      </c>
      <c r="CR658" t="str">
        <f t="shared" si="121"/>
        <v>Risk ontology uses capability=CAP_BACKUP_RECOVERY; bridge=BRG-069; treatment=TRT-BACKUP_RECOVERY-INITIAL; wording=IW-ALL-BACKUP_RECOVERY</v>
      </c>
      <c r="CS658" t="str">
        <f t="shared" si="122"/>
        <v>Yes</v>
      </c>
    </row>
    <row r="659" spans="1:97" ht="69.900000000000006" customHeight="1">
      <c r="A659">
        <f>IF(OR($B659&lt;&gt;"Yes",$BS659=""),"",SUMPRODUCT(($B$500:$B$923="Yes")*ISNUMBER($BS$500:$BS$923)*($BS$500:$BS$923&gt;$BS659))+COUNTIFS($B$500:$B659,"Yes",$BS$500:$BS659,$BS659))</f>
        <v>8</v>
      </c>
      <c r="B659" t="str">
        <f t="shared" si="91"/>
        <v>Yes</v>
      </c>
      <c r="C659" t="s">
        <v>1666</v>
      </c>
      <c r="D659" t="s">
        <v>1685</v>
      </c>
      <c r="E659" t="s">
        <v>1793</v>
      </c>
      <c r="F659" t="s">
        <v>3685</v>
      </c>
      <c r="G659" t="str">
        <f>IF($H659="","",IFERROR(INDEX(_ENGINE_Risk!$H$5:$M$499,MATCH($E659,_ENGINE_Risk!$A$5:$A$499,0),$H659+1),""))</f>
        <v>Severe risk: relocation and evacuation options for employees and critical teams is not reliably controlled. During Safety incident; Physical site loss; War/security crisis; Natural disaster, the organization may face injury, unsafe facilities, uncontrolled access, asset loss and failure to protect people during incidents with limited visibility or accountability.</v>
      </c>
      <c r="H659">
        <f>IFERROR(VALUE(INDEX(_DATA_Assessment_Model!$H$5:$H$884,MATCH($E659,_DATA_Assessment_Model!$A$5:$A$884,0))),"")</f>
        <v>0</v>
      </c>
      <c r="I659" t="str">
        <f>IF($H659="","",IFERROR(INDEX(_DATA_Assessment_Model!$L$5:$L$884,MATCH($E659,_DATA_Assessment_Model!$A$5:$A$884,0)),IF($H659&lt;=1,"Critical",IF($H659=2,"High",IF($H659=3,"Medium",IF($H659=4,"Low","Resilient"))))))</f>
        <v>Critical</v>
      </c>
      <c r="J659">
        <f t="shared" si="92"/>
        <v>3.7</v>
      </c>
      <c r="K659">
        <f t="shared" si="93"/>
        <v>5</v>
      </c>
      <c r="L659">
        <f t="shared" si="94"/>
        <v>18.5</v>
      </c>
      <c r="M659">
        <f t="shared" si="95"/>
        <v>4</v>
      </c>
      <c r="N659">
        <f>IF($H659="","",IFERROR(INDEX(_ENGINE_Risk!$T$5:$Y$499,MATCH($E659,_ENGINE_Risk!$A$5:$A$499,0),$H659+1),""))</f>
        <v>4</v>
      </c>
      <c r="O659">
        <f t="shared" si="96"/>
        <v>4.666666666666667</v>
      </c>
      <c r="P659">
        <f t="shared" si="97"/>
        <v>5</v>
      </c>
      <c r="Q659">
        <f t="shared" si="98"/>
        <v>5</v>
      </c>
      <c r="R659">
        <f t="shared" si="99"/>
        <v>4.5</v>
      </c>
      <c r="S659">
        <f t="shared" si="100"/>
        <v>1.2</v>
      </c>
      <c r="T659" t="str">
        <f>IF($H659="","",IFERROR(INDEX(_ENGINE_Risk!$N$5:$S$499,MATCH($E659,_ENGINE_Risk!$A$5:$A$499,0),$H659+1),""))</f>
        <v>Create an immediate risk owner, minimum control baseline and fallback procedure for relocation and evacuation options for employees and critical teams. Add it to the crisis risk register and collect first evidence.</v>
      </c>
      <c r="U659">
        <f>IFERROR(INDEX(_DATA_Assessment_Model!$G$5:$G$884,MATCH($E659,_DATA_Assessment_Model!$A$5:$A$884,0)),"")</f>
        <v>5</v>
      </c>
      <c r="V659">
        <f>IFERROR(INDEX(_DATA_Assessment_Model!$W$5:$W$884,MATCH($E659,_DATA_Assessment_Model!$A$5:$A$884,0)),"")</f>
        <v>4</v>
      </c>
      <c r="W659">
        <f>IFERROR(INDEX(_DATA_Assessment_Model!$X$5:$X$884,MATCH($E659,_DATA_Assessment_Model!$A$5:$A$884,0)),"")</f>
        <v>5</v>
      </c>
      <c r="X659">
        <f>IFERROR(INDEX(_DATA_Assessment_Model!$Y$5:$Y$884,MATCH($E659,_DATA_Assessment_Model!$A$5:$A$884,0)),"")</f>
        <v>5</v>
      </c>
      <c r="Y659" t="s">
        <v>1673</v>
      </c>
      <c r="Z659" t="s">
        <v>6587</v>
      </c>
      <c r="AA659" t="s">
        <v>1795</v>
      </c>
      <c r="AB659">
        <f>IFERROR(INDEX(_DATA_Assessment_Model!$U$5:$U$884,MATCH($E659,_DATA_Assessment_Model!$A$5:$A$884,0)),"")</f>
        <v>0</v>
      </c>
      <c r="AF659" t="s">
        <v>1794</v>
      </c>
      <c r="AO659">
        <f>IF($B659="Yes",IF(IFERROR(INDEX(_ENGINE_Crisis!$F$501:$F$517,MATCH($C659,_ENGINE_Crisis!$A$501:$A$517,0)),1)=0,1,IFERROR(INDEX(_ENGINE_Crisis!$F$501:$F$517,MATCH($C659,_ENGINE_Crisis!$A$501:$A$517,0)),1)),"")</f>
        <v>1</v>
      </c>
      <c r="AP659">
        <f t="shared" si="101"/>
        <v>18.5</v>
      </c>
      <c r="AQ659">
        <f t="shared" si="102"/>
        <v>1.2</v>
      </c>
      <c r="AR659" t="str">
        <f>IFERROR(INDEX(_ENGINE_Crisis!$E$41:$E$700,MATCH('Resilience &amp; Risk Scenario'!$B$6&amp;"|"&amp;$C659,_ENGINE_Crisis!$I$41:$I$700,0)),"")</f>
        <v/>
      </c>
      <c r="AS659" t="str">
        <f>IFERROR(INDEX(_ENGINE_Crisis!$G$41:$G$700,MATCH('Resilience &amp; Risk Scenario'!$B$6&amp;"|"&amp;$C659,_ENGINE_Crisis!$I$41:$I$700,0)),"")</f>
        <v/>
      </c>
      <c r="AT659" t="str">
        <f>IFERROR(INDEX(_ENGINE_Initiatives!$A$5:$A$532,MATCH(1,INDEX((_ENGINE_Initiatives!$B$5:$B$532=$C659)*(_ENGINE_Initiatives!$C$5:$C$532=$D659),0),0)),"")</f>
        <v>INI-026</v>
      </c>
      <c r="AU659" t="str">
        <f>IFERROR(INDEX(_ENGINE_Initiatives!$F$5:$F$532,MATCH(1,INDEX((_ENGINE_Initiatives!$B$5:$B$532=$C659)*(_ENGINE_Initiatives!$C$5:$C$532=$D659),0),0)),"")</f>
        <v>Implement physical security and travel risk management</v>
      </c>
      <c r="AV659">
        <f>IFERROR(INDEX(_ENGINE_Initiatives!$AC$5:$AC$532,MATCH(1,INDEX((_ENGINE_Initiatives!$B$5:$B$532=$C659)*(_ENGINE_Initiatives!$C$5:$C$532=$D659),0),0)),"")</f>
        <v>1.82</v>
      </c>
      <c r="AW659" t="str">
        <f>IFERROR(INDEX(_ENGINE_Initiatives!$AE$5:$AE$532,MATCH(1,INDEX((_ENGINE_Initiatives!$B$5:$B$532=$C659)*(_ENGINE_Initiatives!$C$5:$C$532=$D659),0),0)),"")</f>
        <v>3-6 months</v>
      </c>
      <c r="AX659">
        <f>IF($B659="Yes",IFERROR((IF(SUMIFS(_REF_Model_Content!$E$1:$E$613,_REF_Model_Content!$A$1:$A$613,PV_Canonical_Industry,_REF_Model_Content!$B$1:$B$613,$C659)=0,1,SUMIFS(_REF_Model_Content!$E$1:$E$613,_REF_Model_Content!$A$1:$A$613,PV_Canonical_Industry,_REF_Model_Content!$B$1:$B$613,$C659))*IFERROR($BU659,1)),1),"")</f>
        <v>1</v>
      </c>
      <c r="AY659">
        <f t="shared" si="103"/>
        <v>18.5</v>
      </c>
      <c r="AZ659">
        <f t="shared" si="104"/>
        <v>1.2</v>
      </c>
      <c r="BB659" t="str">
        <f>IF($H659="","",IFERROR(INDEX(_ENGINE_Risk!$AE$5:$AE$499,MATCH($E659,_ENGINE_Risk!$A$5:$A$499,0)),"Medium"))</f>
        <v>Fast</v>
      </c>
      <c r="BC659">
        <f t="shared" si="105"/>
        <v>1.25</v>
      </c>
      <c r="BD659">
        <f t="shared" si="106"/>
        <v>1.2</v>
      </c>
      <c r="BF659">
        <f>IF(OR($H659="",$J659=""),"",IFERROR(VLOOKUP(ROUND($J659,0),_CONFIG_Model_Settings!$D$154:$E$158,2,0),""))</f>
        <v>0.5</v>
      </c>
      <c r="BG659">
        <f>IFERROR(IF(OR($H659="",$K659=""),"",ROUND('Company Profile'!$B$113*INDEX(_CONFIG_Model_Settings!$H$154:$H$158,MATCH(ROUND($K659,0),_CONFIG_Model_Settings!$G$154:$G$158,0)),0)),0)</f>
        <v>1875</v>
      </c>
      <c r="BH659">
        <f t="shared" si="107"/>
        <v>937.5</v>
      </c>
      <c r="BI659">
        <f t="shared" si="108"/>
        <v>937.5</v>
      </c>
      <c r="BJ659">
        <f>IF($E659="","",IFERROR(VLOOKUP($C659,_CONFIG_Risk_Calibration!$A$5:$H$21,2,FALSE),3))</f>
        <v>3</v>
      </c>
      <c r="BK659">
        <f>IF($E659="","",IFERROR(VLOOKUP($C659,_CONFIG_Risk_Calibration!$A$5:$H$21,3,FALSE),0))</f>
        <v>0</v>
      </c>
      <c r="BL659">
        <f>IF($E659="","",IFERROR(VLOOKUP($C659,_CONFIG_Risk_Calibration!$A$5:$H$21,4,FALSE),3))</f>
        <v>3</v>
      </c>
      <c r="BM659">
        <f>IF($E659="","",IFERROR(VLOOKUP($C659,_CONFIG_Risk_Calibration!$A$5:$H$21,5,FALSE),3))</f>
        <v>4</v>
      </c>
      <c r="BN659" t="str">
        <f>IF($E659="","",IFERROR(VLOOKUP($C659,_CONFIG_Risk_Calibration!$A$5:$H$21,6,FALSE),"No"))</f>
        <v>Yes</v>
      </c>
      <c r="BO659">
        <f>IF($E659="","",IFERROR(VLOOKUP($C659,_CONFIG_Risk_Calibration!$A$5:$H$21,7,FALSE),1))</f>
        <v>5</v>
      </c>
      <c r="BP659">
        <f>IF($H659="","",MAX(1,MIN(5,((6-$H659)*0.45)+($BJ659*0.2)+('Resilience &amp; Risk Scenario'!$B$7*0.15)+($BK659*0.1)+($BL659*0.05)+(IF($BB659="Fast",5,IF($BB659="Slow",1,3))*0.05))))</f>
        <v>3.7</v>
      </c>
      <c r="BQ659">
        <f t="shared" si="109"/>
        <v>5</v>
      </c>
      <c r="BR659">
        <f t="shared" si="110"/>
        <v>18.5</v>
      </c>
      <c r="BS659">
        <f t="shared" si="111"/>
        <v>25.44</v>
      </c>
      <c r="BT659" t="str">
        <f>IFERROR(INDEX(_REF_Capability_Bridge!$D:$D,MATCH($C659&amp;"|"&amp;$D659,_REF_Capability_Bridge!$J:$J,0)),IFERROR(INDEX(_REF_Capability_Bridge!$D:$D,MATCH($C659&amp;"|",_REF_Capability_Bridge!$J:$J,0)),"CAP_GENERIC"))</f>
        <v>CAP_BACKUP_RECOVERY</v>
      </c>
      <c r="BU659">
        <f>IFERROR(IFERROR(INDEX(_ENGINE_Relevance!$L:$L,MATCH($BT659,_ENGINE_Relevance!$B:$B,0)),1),1)</f>
        <v>1</v>
      </c>
      <c r="BV659" t="str">
        <f>IFERROR(INDEX(_REF_Capability_Bridge!$A:$A,MATCH($C659&amp;"|"&amp;$D659,_REF_Capability_Bridge!$J:$J,0)),IFERROR(INDEX(_REF_Capability_Bridge!$A:$A,MATCH($C659&amp;"|",_REF_Capability_Bridge!$J:$J,0)),"No bridge"))</f>
        <v>BRG-069</v>
      </c>
      <c r="BW659" t="str">
        <f t="shared" si="112"/>
        <v>Capability relevance neutral</v>
      </c>
      <c r="BX659" t="str">
        <f t="shared" si="113"/>
        <v>Initial / absent</v>
      </c>
      <c r="BY659" t="str">
        <f>IF($E659="","",IFERROR(INDEX(_REF_Treatment_Library!$A$2:$A$296,MATCH(1,INDEX((_REF_Treatment_Library!$B$2:$B$296=$BT659)*(_REF_Treatment_Library!$C$2:$C$296=PV_Canonical_Industry)*(_REF_Treatment_Library!$E$2:$E$296&lt;=N($H659))*(_REF_Treatment_Library!$F$2:$F$296&gt;=N($H659))*(_REF_Treatment_Library!$O$2:$O$296="Yes"),0),0)),IFERROR(INDEX(_REF_Treatment_Library!$A$2:$A$296,MATCH(1,INDEX((_REF_Treatment_Library!$B$2:$B$296=$BT659)*(_REF_Treatment_Library!$C$2:$C$296="All")*(_REF_Treatment_Library!$E$2:$E$296&lt;=N($H659))*(_REF_Treatment_Library!$F$2:$F$296&gt;=N($H659))*(_REF_Treatment_Library!$O$2:$O$296="Yes"),0),0)),"")))</f>
        <v>TRT-BACKUP_RECOVERY-INITIAL</v>
      </c>
      <c r="BZ659" t="str">
        <f>IF($BY659="","",IFERROR(INDEX(_REF_Treatment_Library!$H$2:$H$296,MATCH($BY659,_REF_Treatment_Library!$A$2:$A$296,0)),""))</f>
        <v>Establish</v>
      </c>
      <c r="CA659" t="str">
        <f>IF($BY659="","",IFERROR(INDEX(_REF_Treatment_Library!$I$2:$I$296,MATCH($BY659,_REF_Treatment_Library!$A$2:$A$296,0)),""))</f>
        <v>Establish baseline controls for Backup / recovery</v>
      </c>
      <c r="CB659" t="str">
        <f>IF($BY659="","",IFERROR(INDEX(_REF_Treatment_Library!$K$2:$K$296,MATCH($BY659,_REF_Treatment_Library!$A$2:$A$296,0)),""))</f>
        <v>Named owner, baseline process, minimum control checklist, first evidence package</v>
      </c>
      <c r="CC659" t="str">
        <f>IF($BY659="","",IFERROR(INDEX(_REF_Treatment_Library!$L$2:$L$296,MATCH($BY659,_REF_Treatment_Library!$A$2:$A$296,0)),""))</f>
        <v>Owner assigned; baseline evidence coverage; open critical gaps</v>
      </c>
      <c r="CD659" t="str">
        <f t="shared" si="114"/>
        <v>Treatment by capability=CAP_BACKUP_RECOVERY; band=Initial / absent; score=0.0; treatment=Establish</v>
      </c>
      <c r="CE659" t="str">
        <f>IF($E659="","",IFERROR(INDEX(_REF_Industry_Wording!$A$2:$A$70,MATCH(1,INDEX((_REF_Industry_Wording!$B$2:$B$70=$BT659)*(_REF_Industry_Wording!$C$2:$C$70=PV_Canonical_Industry)*(_REF_Industry_Wording!$K$2:$K$70="Yes"),0),0)),IFERROR(INDEX(_REF_Industry_Wording!$A$2:$A$70,MATCH(1,INDEX((_REF_Industry_Wording!$B$2:$B$70=$BT659)*(_REF_Industry_Wording!$C$2:$C$70="All")*(_REF_Industry_Wording!$K$2:$K$70="Yes"),0),0)),"")))</f>
        <v>IW-ALL-BACKUP_RECOVERY</v>
      </c>
      <c r="CF659" t="str">
        <f>IF($CE659="","",IFERROR(INDEX(_REF_Industry_Wording!$E$2:$E$70,MATCH($CE659,_REF_Industry_Wording!$A$2:$A$70,0)),""))</f>
        <v>Backup / recovery weakness</v>
      </c>
      <c r="CG659" t="str">
        <f>IF($CE659="","",IFERROR(INDEX(_REF_Industry_Wording!$F$2:$F$70,MATCH($CE659,_REF_Industry_Wording!$A$2:$A$70,0)),""))</f>
        <v>Strengthen Backup / recovery</v>
      </c>
      <c r="CH659" t="str">
        <f>IF($CE659="","",IFERROR(INDEX(_REF_Industry_Wording!$G$2:$G$70,MATCH($CE659,_REF_Industry_Wording!$A$2:$A$70,0)),""))</f>
        <v>Strengthen Backup / recovery using the selected maturity treatment, crisis scenario and evidence requirements.</v>
      </c>
      <c r="CI659" t="str">
        <f>IF($CE659="","",IFERROR(INDEX(_REF_Industry_Wording!$H$2:$H$70,MATCH($CE659,_REF_Industry_Wording!$A$2:$A$70,0)),""))</f>
        <v>Backup / recovery</v>
      </c>
      <c r="CJ659">
        <f>IF($CE659="","",IFERROR(INDEX(_REF_Industry_Wording!$I$2:$I$70,MATCH($CE659,_REF_Industry_Wording!$A$2:$A$70,0)),""))</f>
        <v>0</v>
      </c>
      <c r="CK659" t="str">
        <f>IF($CE659="","",IFERROR(INDEX(_REF_Industry_Wording!$J$2:$J$70,MATCH($CE659,_REF_Industry_Wording!$A$2:$A$70,0)),""))</f>
        <v>Backup / recovery</v>
      </c>
      <c r="CL659" t="str">
        <f t="shared" si="115"/>
        <v>Wording by industry=0; capability=CAP_BACKUP_RECOVERY; risk label=Backup / recovery weakness</v>
      </c>
      <c r="CM659" t="str">
        <f t="shared" si="116"/>
        <v>RISK-ONT-0160</v>
      </c>
      <c r="CN659" t="str">
        <f t="shared" si="117"/>
        <v>RISK-EVT-0160</v>
      </c>
      <c r="CO659" t="str">
        <f t="shared" si="118"/>
        <v>Physical Safety|Security and travel|PHYS-020|CAP_BACKUP_RECOVERY</v>
      </c>
      <c r="CP659" t="str">
        <f t="shared" si="119"/>
        <v>Active</v>
      </c>
      <c r="CQ659" t="str">
        <f t="shared" si="120"/>
        <v>OK: capability-driven</v>
      </c>
      <c r="CR659" t="str">
        <f t="shared" si="121"/>
        <v>Risk ontology uses capability=CAP_BACKUP_RECOVERY; bridge=BRG-069; treatment=TRT-BACKUP_RECOVERY-INITIAL; wording=IW-ALL-BACKUP_RECOVERY</v>
      </c>
      <c r="CS659" t="str">
        <f t="shared" si="122"/>
        <v>Yes</v>
      </c>
    </row>
    <row r="660" spans="1:97" ht="69.900000000000006" customHeight="1">
      <c r="A660">
        <f>IF(OR($B660&lt;&gt;"Yes",$BS660=""),"",SUMPRODUCT(($B$500:$B$923="Yes")*ISNUMBER($BS$500:$BS$923)*($BS$500:$BS$923&gt;$BS660))+COUNTIFS($B$500:$B660,"Yes",$BS$500:$BS660,$BS660))</f>
        <v>9</v>
      </c>
      <c r="B660" t="str">
        <f t="shared" si="91"/>
        <v>Yes</v>
      </c>
      <c r="C660" t="s">
        <v>1666</v>
      </c>
      <c r="D660" t="s">
        <v>1685</v>
      </c>
      <c r="E660" t="s">
        <v>1796</v>
      </c>
      <c r="F660" t="s">
        <v>3685</v>
      </c>
      <c r="G660" t="str">
        <f>IF($H660="","",IFERROR(INDEX(_ENGINE_Risk!$H$5:$M$499,MATCH($E660,_ENGINE_Risk!$A$5:$A$499,0),$H660+1),""))</f>
        <v>Severe risk: travel risk assessment by destination, route, purpose, employee profile and emergency support is not reliably controlled. During Safety incident; Physical site loss; War/security crisis; Natural disaster, the organization may face injury, unsafe facilities, uncontrolled access, asset loss and failure to protect people during incidents with limited visibility or accountability.</v>
      </c>
      <c r="H660">
        <f>IFERROR(VALUE(INDEX(_DATA_Assessment_Model!$H$5:$H$884,MATCH($E660,_DATA_Assessment_Model!$A$5:$A$884,0))),"")</f>
        <v>0</v>
      </c>
      <c r="I660" t="str">
        <f>IF($H660="","",IFERROR(INDEX(_DATA_Assessment_Model!$L$5:$L$884,MATCH($E660,_DATA_Assessment_Model!$A$5:$A$884,0)),IF($H660&lt;=1,"Critical",IF($H660=2,"High",IF($H660=3,"Medium",IF($H660=4,"Low","Resilient"))))))</f>
        <v>Critical</v>
      </c>
      <c r="J660">
        <f t="shared" si="92"/>
        <v>3.7</v>
      </c>
      <c r="K660">
        <f t="shared" si="93"/>
        <v>5</v>
      </c>
      <c r="L660">
        <f t="shared" si="94"/>
        <v>18.5</v>
      </c>
      <c r="M660">
        <f t="shared" si="95"/>
        <v>4</v>
      </c>
      <c r="N660">
        <f>IF($H660="","",IFERROR(INDEX(_ENGINE_Risk!$T$5:$Y$499,MATCH($E660,_ENGINE_Risk!$A$5:$A$499,0),$H660+1),""))</f>
        <v>4</v>
      </c>
      <c r="O660">
        <f t="shared" si="96"/>
        <v>4.666666666666667</v>
      </c>
      <c r="P660">
        <f t="shared" si="97"/>
        <v>5</v>
      </c>
      <c r="Q660">
        <f t="shared" si="98"/>
        <v>5</v>
      </c>
      <c r="R660">
        <f t="shared" si="99"/>
        <v>4.5</v>
      </c>
      <c r="S660">
        <f t="shared" si="100"/>
        <v>1.2</v>
      </c>
      <c r="T660" t="str">
        <f>IF($H660="","",IFERROR(INDEX(_ENGINE_Risk!$N$5:$S$499,MATCH($E660,_ENGINE_Risk!$A$5:$A$499,0),$H660+1),""))</f>
        <v>Create an immediate risk owner, minimum control baseline and fallback procedure for travel risk assessment by destination, route, purpose, employee profile and emergency support. Add it to the crisis risk register and collect first evidence.</v>
      </c>
      <c r="U660">
        <f>IFERROR(INDEX(_DATA_Assessment_Model!$G$5:$G$884,MATCH($E660,_DATA_Assessment_Model!$A$5:$A$884,0)),"")</f>
        <v>5</v>
      </c>
      <c r="V660">
        <f>IFERROR(INDEX(_DATA_Assessment_Model!$W$5:$W$884,MATCH($E660,_DATA_Assessment_Model!$A$5:$A$884,0)),"")</f>
        <v>4</v>
      </c>
      <c r="W660">
        <f>IFERROR(INDEX(_DATA_Assessment_Model!$X$5:$X$884,MATCH($E660,_DATA_Assessment_Model!$A$5:$A$884,0)),"")</f>
        <v>5</v>
      </c>
      <c r="X660">
        <f>IFERROR(INDEX(_DATA_Assessment_Model!$Y$5:$Y$884,MATCH($E660,_DATA_Assessment_Model!$A$5:$A$884,0)),"")</f>
        <v>5</v>
      </c>
      <c r="Y660" t="s">
        <v>1673</v>
      </c>
      <c r="Z660" t="s">
        <v>6587</v>
      </c>
      <c r="AA660" t="s">
        <v>1798</v>
      </c>
      <c r="AB660">
        <f>IFERROR(INDEX(_DATA_Assessment_Model!$U$5:$U$884,MATCH($E660,_DATA_Assessment_Model!$A$5:$A$884,0)),"")</f>
        <v>0</v>
      </c>
      <c r="AF660" t="s">
        <v>1797</v>
      </c>
      <c r="AO660">
        <f>IF($B660="Yes",IF(IFERROR(INDEX(_ENGINE_Crisis!$F$501:$F$517,MATCH($C660,_ENGINE_Crisis!$A$501:$A$517,0)),1)=0,1,IFERROR(INDEX(_ENGINE_Crisis!$F$501:$F$517,MATCH($C660,_ENGINE_Crisis!$A$501:$A$517,0)),1)),"")</f>
        <v>1</v>
      </c>
      <c r="AP660">
        <f t="shared" si="101"/>
        <v>18.5</v>
      </c>
      <c r="AQ660">
        <f t="shared" si="102"/>
        <v>1.2</v>
      </c>
      <c r="AR660" t="str">
        <f>IFERROR(INDEX(_ENGINE_Crisis!$E$41:$E$700,MATCH('Resilience &amp; Risk Scenario'!$B$6&amp;"|"&amp;$C660,_ENGINE_Crisis!$I$41:$I$700,0)),"")</f>
        <v/>
      </c>
      <c r="AS660" t="str">
        <f>IFERROR(INDEX(_ENGINE_Crisis!$G$41:$G$700,MATCH('Resilience &amp; Risk Scenario'!$B$6&amp;"|"&amp;$C660,_ENGINE_Crisis!$I$41:$I$700,0)),"")</f>
        <v/>
      </c>
      <c r="AT660" t="str">
        <f>IFERROR(INDEX(_ENGINE_Initiatives!$A$5:$A$532,MATCH(1,INDEX((_ENGINE_Initiatives!$B$5:$B$532=$C660)*(_ENGINE_Initiatives!$C$5:$C$532=$D660),0),0)),"")</f>
        <v>INI-026</v>
      </c>
      <c r="AU660" t="str">
        <f>IFERROR(INDEX(_ENGINE_Initiatives!$F$5:$F$532,MATCH(1,INDEX((_ENGINE_Initiatives!$B$5:$B$532=$C660)*(_ENGINE_Initiatives!$C$5:$C$532=$D660),0),0)),"")</f>
        <v>Implement physical security and travel risk management</v>
      </c>
      <c r="AV660">
        <f>IFERROR(INDEX(_ENGINE_Initiatives!$AC$5:$AC$532,MATCH(1,INDEX((_ENGINE_Initiatives!$B$5:$B$532=$C660)*(_ENGINE_Initiatives!$C$5:$C$532=$D660),0),0)),"")</f>
        <v>1.82</v>
      </c>
      <c r="AW660" t="str">
        <f>IFERROR(INDEX(_ENGINE_Initiatives!$AE$5:$AE$532,MATCH(1,INDEX((_ENGINE_Initiatives!$B$5:$B$532=$C660)*(_ENGINE_Initiatives!$C$5:$C$532=$D660),0),0)),"")</f>
        <v>3-6 months</v>
      </c>
      <c r="AX660">
        <f>IF($B660="Yes",IFERROR((IF(SUMIFS(_REF_Model_Content!$E$1:$E$613,_REF_Model_Content!$A$1:$A$613,PV_Canonical_Industry,_REF_Model_Content!$B$1:$B$613,$C660)=0,1,SUMIFS(_REF_Model_Content!$E$1:$E$613,_REF_Model_Content!$A$1:$A$613,PV_Canonical_Industry,_REF_Model_Content!$B$1:$B$613,$C660))*IFERROR($BU660,1)),1),"")</f>
        <v>1</v>
      </c>
      <c r="AY660">
        <f t="shared" si="103"/>
        <v>18.5</v>
      </c>
      <c r="AZ660">
        <f t="shared" si="104"/>
        <v>1.2</v>
      </c>
      <c r="BB660" t="str">
        <f>IF($H660="","",IFERROR(INDEX(_ENGINE_Risk!$AE$5:$AE$499,MATCH($E660,_ENGINE_Risk!$A$5:$A$499,0)),"Medium"))</f>
        <v>Fast</v>
      </c>
      <c r="BC660">
        <f t="shared" si="105"/>
        <v>1.25</v>
      </c>
      <c r="BD660">
        <f t="shared" si="106"/>
        <v>1.2</v>
      </c>
      <c r="BF660">
        <f>IF(OR($H660="",$J660=""),"",IFERROR(VLOOKUP(ROUND($J660,0),_CONFIG_Model_Settings!$D$154:$E$158,2,0),""))</f>
        <v>0.5</v>
      </c>
      <c r="BG660">
        <f>IFERROR(IF(OR($H660="",$K660=""),"",ROUND('Company Profile'!$B$113*INDEX(_CONFIG_Model_Settings!$H$154:$H$158,MATCH(ROUND($K660,0),_CONFIG_Model_Settings!$G$154:$G$158,0)),0)),0)</f>
        <v>1875</v>
      </c>
      <c r="BH660">
        <f t="shared" si="107"/>
        <v>937.5</v>
      </c>
      <c r="BI660">
        <f t="shared" si="108"/>
        <v>937.5</v>
      </c>
      <c r="BJ660">
        <f>IF($E660="","",IFERROR(VLOOKUP($C660,_CONFIG_Risk_Calibration!$A$5:$H$21,2,FALSE),3))</f>
        <v>3</v>
      </c>
      <c r="BK660">
        <f>IF($E660="","",IFERROR(VLOOKUP($C660,_CONFIG_Risk_Calibration!$A$5:$H$21,3,FALSE),0))</f>
        <v>0</v>
      </c>
      <c r="BL660">
        <f>IF($E660="","",IFERROR(VLOOKUP($C660,_CONFIG_Risk_Calibration!$A$5:$H$21,4,FALSE),3))</f>
        <v>3</v>
      </c>
      <c r="BM660">
        <f>IF($E660="","",IFERROR(VLOOKUP($C660,_CONFIG_Risk_Calibration!$A$5:$H$21,5,FALSE),3))</f>
        <v>4</v>
      </c>
      <c r="BN660" t="str">
        <f>IF($E660="","",IFERROR(VLOOKUP($C660,_CONFIG_Risk_Calibration!$A$5:$H$21,6,FALSE),"No"))</f>
        <v>Yes</v>
      </c>
      <c r="BO660">
        <f>IF($E660="","",IFERROR(VLOOKUP($C660,_CONFIG_Risk_Calibration!$A$5:$H$21,7,FALSE),1))</f>
        <v>5</v>
      </c>
      <c r="BP660">
        <f>IF($H660="","",MAX(1,MIN(5,((6-$H660)*0.45)+($BJ660*0.2)+('Resilience &amp; Risk Scenario'!$B$7*0.15)+($BK660*0.1)+($BL660*0.05)+(IF($BB660="Fast",5,IF($BB660="Slow",1,3))*0.05))))</f>
        <v>3.7</v>
      </c>
      <c r="BQ660">
        <f t="shared" si="109"/>
        <v>5</v>
      </c>
      <c r="BR660">
        <f t="shared" si="110"/>
        <v>18.5</v>
      </c>
      <c r="BS660">
        <f t="shared" si="111"/>
        <v>25.44</v>
      </c>
      <c r="BT660" t="str">
        <f>IFERROR(INDEX(_REF_Capability_Bridge!$D:$D,MATCH($C660&amp;"|"&amp;$D660,_REF_Capability_Bridge!$J:$J,0)),IFERROR(INDEX(_REF_Capability_Bridge!$D:$D,MATCH($C660&amp;"|",_REF_Capability_Bridge!$J:$J,0)),"CAP_GENERIC"))</f>
        <v>CAP_BACKUP_RECOVERY</v>
      </c>
      <c r="BU660">
        <f>IFERROR(IFERROR(INDEX(_ENGINE_Relevance!$L:$L,MATCH($BT660,_ENGINE_Relevance!$B:$B,0)),1),1)</f>
        <v>1</v>
      </c>
      <c r="BV660" t="str">
        <f>IFERROR(INDEX(_REF_Capability_Bridge!$A:$A,MATCH($C660&amp;"|"&amp;$D660,_REF_Capability_Bridge!$J:$J,0)),IFERROR(INDEX(_REF_Capability_Bridge!$A:$A,MATCH($C660&amp;"|",_REF_Capability_Bridge!$J:$J,0)),"No bridge"))</f>
        <v>BRG-069</v>
      </c>
      <c r="BW660" t="str">
        <f t="shared" si="112"/>
        <v>Capability relevance neutral</v>
      </c>
      <c r="BX660" t="str">
        <f t="shared" si="113"/>
        <v>Initial / absent</v>
      </c>
      <c r="BY660" t="str">
        <f>IF($E660="","",IFERROR(INDEX(_REF_Treatment_Library!$A$2:$A$296,MATCH(1,INDEX((_REF_Treatment_Library!$B$2:$B$296=$BT660)*(_REF_Treatment_Library!$C$2:$C$296=PV_Canonical_Industry)*(_REF_Treatment_Library!$E$2:$E$296&lt;=N($H660))*(_REF_Treatment_Library!$F$2:$F$296&gt;=N($H660))*(_REF_Treatment_Library!$O$2:$O$296="Yes"),0),0)),IFERROR(INDEX(_REF_Treatment_Library!$A$2:$A$296,MATCH(1,INDEX((_REF_Treatment_Library!$B$2:$B$296=$BT660)*(_REF_Treatment_Library!$C$2:$C$296="All")*(_REF_Treatment_Library!$E$2:$E$296&lt;=N($H660))*(_REF_Treatment_Library!$F$2:$F$296&gt;=N($H660))*(_REF_Treatment_Library!$O$2:$O$296="Yes"),0),0)),"")))</f>
        <v>TRT-BACKUP_RECOVERY-INITIAL</v>
      </c>
      <c r="BZ660" t="str">
        <f>IF($BY660="","",IFERROR(INDEX(_REF_Treatment_Library!$H$2:$H$296,MATCH($BY660,_REF_Treatment_Library!$A$2:$A$296,0)),""))</f>
        <v>Establish</v>
      </c>
      <c r="CA660" t="str">
        <f>IF($BY660="","",IFERROR(INDEX(_REF_Treatment_Library!$I$2:$I$296,MATCH($BY660,_REF_Treatment_Library!$A$2:$A$296,0)),""))</f>
        <v>Establish baseline controls for Backup / recovery</v>
      </c>
      <c r="CB660" t="str">
        <f>IF($BY660="","",IFERROR(INDEX(_REF_Treatment_Library!$K$2:$K$296,MATCH($BY660,_REF_Treatment_Library!$A$2:$A$296,0)),""))</f>
        <v>Named owner, baseline process, minimum control checklist, first evidence package</v>
      </c>
      <c r="CC660" t="str">
        <f>IF($BY660="","",IFERROR(INDEX(_REF_Treatment_Library!$L$2:$L$296,MATCH($BY660,_REF_Treatment_Library!$A$2:$A$296,0)),""))</f>
        <v>Owner assigned; baseline evidence coverage; open critical gaps</v>
      </c>
      <c r="CD660" t="str">
        <f t="shared" si="114"/>
        <v>Treatment by capability=CAP_BACKUP_RECOVERY; band=Initial / absent; score=0.0; treatment=Establish</v>
      </c>
      <c r="CE660" t="str">
        <f>IF($E660="","",IFERROR(INDEX(_REF_Industry_Wording!$A$2:$A$70,MATCH(1,INDEX((_REF_Industry_Wording!$B$2:$B$70=$BT660)*(_REF_Industry_Wording!$C$2:$C$70=PV_Canonical_Industry)*(_REF_Industry_Wording!$K$2:$K$70="Yes"),0),0)),IFERROR(INDEX(_REF_Industry_Wording!$A$2:$A$70,MATCH(1,INDEX((_REF_Industry_Wording!$B$2:$B$70=$BT660)*(_REF_Industry_Wording!$C$2:$C$70="All")*(_REF_Industry_Wording!$K$2:$K$70="Yes"),0),0)),"")))</f>
        <v>IW-ALL-BACKUP_RECOVERY</v>
      </c>
      <c r="CF660" t="str">
        <f>IF($CE660="","",IFERROR(INDEX(_REF_Industry_Wording!$E$2:$E$70,MATCH($CE660,_REF_Industry_Wording!$A$2:$A$70,0)),""))</f>
        <v>Backup / recovery weakness</v>
      </c>
      <c r="CG660" t="str">
        <f>IF($CE660="","",IFERROR(INDEX(_REF_Industry_Wording!$F$2:$F$70,MATCH($CE660,_REF_Industry_Wording!$A$2:$A$70,0)),""))</f>
        <v>Strengthen Backup / recovery</v>
      </c>
      <c r="CH660" t="str">
        <f>IF($CE660="","",IFERROR(INDEX(_REF_Industry_Wording!$G$2:$G$70,MATCH($CE660,_REF_Industry_Wording!$A$2:$A$70,0)),""))</f>
        <v>Strengthen Backup / recovery using the selected maturity treatment, crisis scenario and evidence requirements.</v>
      </c>
      <c r="CI660" t="str">
        <f>IF($CE660="","",IFERROR(INDEX(_REF_Industry_Wording!$H$2:$H$70,MATCH($CE660,_REF_Industry_Wording!$A$2:$A$70,0)),""))</f>
        <v>Backup / recovery</v>
      </c>
      <c r="CJ660">
        <f>IF($CE660="","",IFERROR(INDEX(_REF_Industry_Wording!$I$2:$I$70,MATCH($CE660,_REF_Industry_Wording!$A$2:$A$70,0)),""))</f>
        <v>0</v>
      </c>
      <c r="CK660" t="str">
        <f>IF($CE660="","",IFERROR(INDEX(_REF_Industry_Wording!$J$2:$J$70,MATCH($CE660,_REF_Industry_Wording!$A$2:$A$70,0)),""))</f>
        <v>Backup / recovery</v>
      </c>
      <c r="CL660" t="str">
        <f t="shared" si="115"/>
        <v>Wording by industry=0; capability=CAP_BACKUP_RECOVERY; risk label=Backup / recovery weakness</v>
      </c>
      <c r="CM660" t="str">
        <f t="shared" si="116"/>
        <v>RISK-ONT-0161</v>
      </c>
      <c r="CN660" t="str">
        <f t="shared" si="117"/>
        <v>RISK-EVT-0161</v>
      </c>
      <c r="CO660" t="str">
        <f t="shared" si="118"/>
        <v>Physical Safety|Security and travel|PHYS-021|CAP_BACKUP_RECOVERY</v>
      </c>
      <c r="CP660" t="str">
        <f t="shared" si="119"/>
        <v>Active</v>
      </c>
      <c r="CQ660" t="str">
        <f t="shared" si="120"/>
        <v>OK: capability-driven</v>
      </c>
      <c r="CR660" t="str">
        <f t="shared" si="121"/>
        <v>Risk ontology uses capability=CAP_BACKUP_RECOVERY; bridge=BRG-069; treatment=TRT-BACKUP_RECOVERY-INITIAL; wording=IW-ALL-BACKUP_RECOVERY</v>
      </c>
      <c r="CS660" t="str">
        <f t="shared" si="122"/>
        <v>Yes</v>
      </c>
    </row>
    <row r="661" spans="1:97" ht="69.900000000000006" customHeight="1">
      <c r="A661">
        <f>IF(OR($B661&lt;&gt;"Yes",$BS661=""),"",SUMPRODUCT(($B$500:$B$923="Yes")*ISNUMBER($BS$500:$BS$923)*($BS$500:$BS$923&gt;$BS661))+COUNTIFS($B$500:$B661,"Yes",$BS$500:$BS661,$BS661))</f>
        <v>10</v>
      </c>
      <c r="B661" t="str">
        <f t="shared" si="91"/>
        <v>Yes</v>
      </c>
      <c r="C661" t="s">
        <v>1666</v>
      </c>
      <c r="D661" t="s">
        <v>1685</v>
      </c>
      <c r="E661" t="s">
        <v>1799</v>
      </c>
      <c r="F661" t="s">
        <v>3685</v>
      </c>
      <c r="G661" t="str">
        <f>IF($H661="","",IFERROR(INDEX(_ENGINE_Risk!$H$5:$M$499,MATCH($E661,_ENGINE_Risk!$A$5:$A$499,0),$H661+1),""))</f>
        <v>Severe risk: local threat monitoring for critical sites and geographies is not reliably controlled. During Safety incident; Physical site loss; War/security crisis; Natural disaster, the organization may face injury, unsafe facilities, uncontrolled access, asset loss and failure to protect people during incidents with limited visibility or accountability.</v>
      </c>
      <c r="H661">
        <f>IFERROR(VALUE(INDEX(_DATA_Assessment_Model!$H$5:$H$884,MATCH($E661,_DATA_Assessment_Model!$A$5:$A$884,0))),"")</f>
        <v>0</v>
      </c>
      <c r="I661" t="str">
        <f>IF($H661="","",IFERROR(INDEX(_DATA_Assessment_Model!$L$5:$L$884,MATCH($E661,_DATA_Assessment_Model!$A$5:$A$884,0)),IF($H661&lt;=1,"Critical",IF($H661=2,"High",IF($H661=3,"Medium",IF($H661=4,"Low","Resilient"))))))</f>
        <v>Critical</v>
      </c>
      <c r="J661">
        <f t="shared" si="92"/>
        <v>3.7</v>
      </c>
      <c r="K661">
        <f t="shared" si="93"/>
        <v>5</v>
      </c>
      <c r="L661">
        <f t="shared" si="94"/>
        <v>18.5</v>
      </c>
      <c r="M661">
        <f t="shared" si="95"/>
        <v>4</v>
      </c>
      <c r="N661">
        <f>IF($H661="","",IFERROR(INDEX(_ENGINE_Risk!$T$5:$Y$499,MATCH($E661,_ENGINE_Risk!$A$5:$A$499,0),$H661+1),""))</f>
        <v>4</v>
      </c>
      <c r="O661">
        <f t="shared" si="96"/>
        <v>4.666666666666667</v>
      </c>
      <c r="P661">
        <f t="shared" si="97"/>
        <v>5</v>
      </c>
      <c r="Q661">
        <f t="shared" si="98"/>
        <v>5</v>
      </c>
      <c r="R661">
        <f t="shared" si="99"/>
        <v>4.5</v>
      </c>
      <c r="S661">
        <f t="shared" si="100"/>
        <v>1.2</v>
      </c>
      <c r="T661" t="str">
        <f>IF($H661="","",IFERROR(INDEX(_ENGINE_Risk!$N$5:$S$499,MATCH($E661,_ENGINE_Risk!$A$5:$A$499,0),$H661+1),""))</f>
        <v>Create an immediate risk owner, minimum control baseline and fallback procedure for local threat monitoring for critical sites and geographies. Add it to the crisis risk register and collect first evidence.</v>
      </c>
      <c r="U661">
        <f>IFERROR(INDEX(_DATA_Assessment_Model!$G$5:$G$884,MATCH($E661,_DATA_Assessment_Model!$A$5:$A$884,0)),"")</f>
        <v>5</v>
      </c>
      <c r="V661">
        <f>IFERROR(INDEX(_DATA_Assessment_Model!$W$5:$W$884,MATCH($E661,_DATA_Assessment_Model!$A$5:$A$884,0)),"")</f>
        <v>4</v>
      </c>
      <c r="W661">
        <f>IFERROR(INDEX(_DATA_Assessment_Model!$X$5:$X$884,MATCH($E661,_DATA_Assessment_Model!$A$5:$A$884,0)),"")</f>
        <v>5</v>
      </c>
      <c r="X661">
        <f>IFERROR(INDEX(_DATA_Assessment_Model!$Y$5:$Y$884,MATCH($E661,_DATA_Assessment_Model!$A$5:$A$884,0)),"")</f>
        <v>5</v>
      </c>
      <c r="Y661" t="s">
        <v>1673</v>
      </c>
      <c r="Z661" t="s">
        <v>6587</v>
      </c>
      <c r="AA661" t="s">
        <v>1801</v>
      </c>
      <c r="AB661">
        <f>IFERROR(INDEX(_DATA_Assessment_Model!$U$5:$U$884,MATCH($E661,_DATA_Assessment_Model!$A$5:$A$884,0)),"")</f>
        <v>0</v>
      </c>
      <c r="AF661" t="s">
        <v>1800</v>
      </c>
      <c r="AO661">
        <f>IF($B661="Yes",IF(IFERROR(INDEX(_ENGINE_Crisis!$F$501:$F$517,MATCH($C661,_ENGINE_Crisis!$A$501:$A$517,0)),1)=0,1,IFERROR(INDEX(_ENGINE_Crisis!$F$501:$F$517,MATCH($C661,_ENGINE_Crisis!$A$501:$A$517,0)),1)),"")</f>
        <v>1</v>
      </c>
      <c r="AP661">
        <f t="shared" si="101"/>
        <v>18.5</v>
      </c>
      <c r="AQ661">
        <f t="shared" si="102"/>
        <v>1.2</v>
      </c>
      <c r="AR661" t="str">
        <f>IFERROR(INDEX(_ENGINE_Crisis!$E$41:$E$700,MATCH('Resilience &amp; Risk Scenario'!$B$6&amp;"|"&amp;$C661,_ENGINE_Crisis!$I$41:$I$700,0)),"")</f>
        <v/>
      </c>
      <c r="AS661" t="str">
        <f>IFERROR(INDEX(_ENGINE_Crisis!$G$41:$G$700,MATCH('Resilience &amp; Risk Scenario'!$B$6&amp;"|"&amp;$C661,_ENGINE_Crisis!$I$41:$I$700,0)),"")</f>
        <v/>
      </c>
      <c r="AT661" t="str">
        <f>IFERROR(INDEX(_ENGINE_Initiatives!$A$5:$A$532,MATCH(1,INDEX((_ENGINE_Initiatives!$B$5:$B$532=$C661)*(_ENGINE_Initiatives!$C$5:$C$532=$D661),0),0)),"")</f>
        <v>INI-026</v>
      </c>
      <c r="AU661" t="str">
        <f>IFERROR(INDEX(_ENGINE_Initiatives!$F$5:$F$532,MATCH(1,INDEX((_ENGINE_Initiatives!$B$5:$B$532=$C661)*(_ENGINE_Initiatives!$C$5:$C$532=$D661),0),0)),"")</f>
        <v>Implement physical security and travel risk management</v>
      </c>
      <c r="AV661">
        <f>IFERROR(INDEX(_ENGINE_Initiatives!$AC$5:$AC$532,MATCH(1,INDEX((_ENGINE_Initiatives!$B$5:$B$532=$C661)*(_ENGINE_Initiatives!$C$5:$C$532=$D661),0),0)),"")</f>
        <v>1.82</v>
      </c>
      <c r="AW661" t="str">
        <f>IFERROR(INDEX(_ENGINE_Initiatives!$AE$5:$AE$532,MATCH(1,INDEX((_ENGINE_Initiatives!$B$5:$B$532=$C661)*(_ENGINE_Initiatives!$C$5:$C$532=$D661),0),0)),"")</f>
        <v>3-6 months</v>
      </c>
      <c r="AX661">
        <f>IF($B661="Yes",IFERROR((IF(SUMIFS(_REF_Model_Content!$E$1:$E$613,_REF_Model_Content!$A$1:$A$613,PV_Canonical_Industry,_REF_Model_Content!$B$1:$B$613,$C661)=0,1,SUMIFS(_REF_Model_Content!$E$1:$E$613,_REF_Model_Content!$A$1:$A$613,PV_Canonical_Industry,_REF_Model_Content!$B$1:$B$613,$C661))*IFERROR($BU661,1)),1),"")</f>
        <v>1</v>
      </c>
      <c r="AY661">
        <f t="shared" si="103"/>
        <v>18.5</v>
      </c>
      <c r="AZ661">
        <f t="shared" si="104"/>
        <v>1.2</v>
      </c>
      <c r="BB661" t="str">
        <f>IF($H661="","",IFERROR(INDEX(_ENGINE_Risk!$AE$5:$AE$499,MATCH($E661,_ENGINE_Risk!$A$5:$A$499,0)),"Medium"))</f>
        <v>Fast</v>
      </c>
      <c r="BC661">
        <f t="shared" si="105"/>
        <v>1.25</v>
      </c>
      <c r="BD661">
        <f t="shared" si="106"/>
        <v>1.2</v>
      </c>
      <c r="BF661">
        <f>IF(OR($H661="",$J661=""),"",IFERROR(VLOOKUP(ROUND($J661,0),_CONFIG_Model_Settings!$D$154:$E$158,2,0),""))</f>
        <v>0.5</v>
      </c>
      <c r="BG661">
        <f>IFERROR(IF(OR($H661="",$K661=""),"",ROUND('Company Profile'!$B$113*INDEX(_CONFIG_Model_Settings!$H$154:$H$158,MATCH(ROUND($K661,0),_CONFIG_Model_Settings!$G$154:$G$158,0)),0)),0)</f>
        <v>1875</v>
      </c>
      <c r="BH661">
        <f t="shared" si="107"/>
        <v>937.5</v>
      </c>
      <c r="BI661">
        <f t="shared" si="108"/>
        <v>937.5</v>
      </c>
      <c r="BJ661">
        <f>IF($E661="","",IFERROR(VLOOKUP($C661,_CONFIG_Risk_Calibration!$A$5:$H$21,2,FALSE),3))</f>
        <v>3</v>
      </c>
      <c r="BK661">
        <f>IF($E661="","",IFERROR(VLOOKUP($C661,_CONFIG_Risk_Calibration!$A$5:$H$21,3,FALSE),0))</f>
        <v>0</v>
      </c>
      <c r="BL661">
        <f>IF($E661="","",IFERROR(VLOOKUP($C661,_CONFIG_Risk_Calibration!$A$5:$H$21,4,FALSE),3))</f>
        <v>3</v>
      </c>
      <c r="BM661">
        <f>IF($E661="","",IFERROR(VLOOKUP($C661,_CONFIG_Risk_Calibration!$A$5:$H$21,5,FALSE),3))</f>
        <v>4</v>
      </c>
      <c r="BN661" t="str">
        <f>IF($E661="","",IFERROR(VLOOKUP($C661,_CONFIG_Risk_Calibration!$A$5:$H$21,6,FALSE),"No"))</f>
        <v>Yes</v>
      </c>
      <c r="BO661">
        <f>IF($E661="","",IFERROR(VLOOKUP($C661,_CONFIG_Risk_Calibration!$A$5:$H$21,7,FALSE),1))</f>
        <v>5</v>
      </c>
      <c r="BP661">
        <f>IF($H661="","",MAX(1,MIN(5,((6-$H661)*0.45)+($BJ661*0.2)+('Resilience &amp; Risk Scenario'!$B$7*0.15)+($BK661*0.1)+($BL661*0.05)+(IF($BB661="Fast",5,IF($BB661="Slow",1,3))*0.05))))</f>
        <v>3.7</v>
      </c>
      <c r="BQ661">
        <f t="shared" si="109"/>
        <v>5</v>
      </c>
      <c r="BR661">
        <f t="shared" si="110"/>
        <v>18.5</v>
      </c>
      <c r="BS661">
        <f t="shared" si="111"/>
        <v>25.44</v>
      </c>
      <c r="BT661" t="str">
        <f>IFERROR(INDEX(_REF_Capability_Bridge!$D:$D,MATCH($C661&amp;"|"&amp;$D661,_REF_Capability_Bridge!$J:$J,0)),IFERROR(INDEX(_REF_Capability_Bridge!$D:$D,MATCH($C661&amp;"|",_REF_Capability_Bridge!$J:$J,0)),"CAP_GENERIC"))</f>
        <v>CAP_BACKUP_RECOVERY</v>
      </c>
      <c r="BU661">
        <f>IFERROR(IFERROR(INDEX(_ENGINE_Relevance!$L:$L,MATCH($BT661,_ENGINE_Relevance!$B:$B,0)),1),1)</f>
        <v>1</v>
      </c>
      <c r="BV661" t="str">
        <f>IFERROR(INDEX(_REF_Capability_Bridge!$A:$A,MATCH($C661&amp;"|"&amp;$D661,_REF_Capability_Bridge!$J:$J,0)),IFERROR(INDEX(_REF_Capability_Bridge!$A:$A,MATCH($C661&amp;"|",_REF_Capability_Bridge!$J:$J,0)),"No bridge"))</f>
        <v>BRG-069</v>
      </c>
      <c r="BW661" t="str">
        <f t="shared" si="112"/>
        <v>Capability relevance neutral</v>
      </c>
      <c r="BX661" t="str">
        <f t="shared" si="113"/>
        <v>Initial / absent</v>
      </c>
      <c r="BY661" t="str">
        <f>IF($E661="","",IFERROR(INDEX(_REF_Treatment_Library!$A$2:$A$296,MATCH(1,INDEX((_REF_Treatment_Library!$B$2:$B$296=$BT661)*(_REF_Treatment_Library!$C$2:$C$296=PV_Canonical_Industry)*(_REF_Treatment_Library!$E$2:$E$296&lt;=N($H661))*(_REF_Treatment_Library!$F$2:$F$296&gt;=N($H661))*(_REF_Treatment_Library!$O$2:$O$296="Yes"),0),0)),IFERROR(INDEX(_REF_Treatment_Library!$A$2:$A$296,MATCH(1,INDEX((_REF_Treatment_Library!$B$2:$B$296=$BT661)*(_REF_Treatment_Library!$C$2:$C$296="All")*(_REF_Treatment_Library!$E$2:$E$296&lt;=N($H661))*(_REF_Treatment_Library!$F$2:$F$296&gt;=N($H661))*(_REF_Treatment_Library!$O$2:$O$296="Yes"),0),0)),"")))</f>
        <v>TRT-BACKUP_RECOVERY-INITIAL</v>
      </c>
      <c r="BZ661" t="str">
        <f>IF($BY661="","",IFERROR(INDEX(_REF_Treatment_Library!$H$2:$H$296,MATCH($BY661,_REF_Treatment_Library!$A$2:$A$296,0)),""))</f>
        <v>Establish</v>
      </c>
      <c r="CA661" t="str">
        <f>IF($BY661="","",IFERROR(INDEX(_REF_Treatment_Library!$I$2:$I$296,MATCH($BY661,_REF_Treatment_Library!$A$2:$A$296,0)),""))</f>
        <v>Establish baseline controls for Backup / recovery</v>
      </c>
      <c r="CB661" t="str">
        <f>IF($BY661="","",IFERROR(INDEX(_REF_Treatment_Library!$K$2:$K$296,MATCH($BY661,_REF_Treatment_Library!$A$2:$A$296,0)),""))</f>
        <v>Named owner, baseline process, minimum control checklist, first evidence package</v>
      </c>
      <c r="CC661" t="str">
        <f>IF($BY661="","",IFERROR(INDEX(_REF_Treatment_Library!$L$2:$L$296,MATCH($BY661,_REF_Treatment_Library!$A$2:$A$296,0)),""))</f>
        <v>Owner assigned; baseline evidence coverage; open critical gaps</v>
      </c>
      <c r="CD661" t="str">
        <f t="shared" si="114"/>
        <v>Treatment by capability=CAP_BACKUP_RECOVERY; band=Initial / absent; score=0.0; treatment=Establish</v>
      </c>
      <c r="CE661" t="str">
        <f>IF($E661="","",IFERROR(INDEX(_REF_Industry_Wording!$A$2:$A$70,MATCH(1,INDEX((_REF_Industry_Wording!$B$2:$B$70=$BT661)*(_REF_Industry_Wording!$C$2:$C$70=PV_Canonical_Industry)*(_REF_Industry_Wording!$K$2:$K$70="Yes"),0),0)),IFERROR(INDEX(_REF_Industry_Wording!$A$2:$A$70,MATCH(1,INDEX((_REF_Industry_Wording!$B$2:$B$70=$BT661)*(_REF_Industry_Wording!$C$2:$C$70="All")*(_REF_Industry_Wording!$K$2:$K$70="Yes"),0),0)),"")))</f>
        <v>IW-ALL-BACKUP_RECOVERY</v>
      </c>
      <c r="CF661" t="str">
        <f>IF($CE661="","",IFERROR(INDEX(_REF_Industry_Wording!$E$2:$E$70,MATCH($CE661,_REF_Industry_Wording!$A$2:$A$70,0)),""))</f>
        <v>Backup / recovery weakness</v>
      </c>
      <c r="CG661" t="str">
        <f>IF($CE661="","",IFERROR(INDEX(_REF_Industry_Wording!$F$2:$F$70,MATCH($CE661,_REF_Industry_Wording!$A$2:$A$70,0)),""))</f>
        <v>Strengthen Backup / recovery</v>
      </c>
      <c r="CH661" t="str">
        <f>IF($CE661="","",IFERROR(INDEX(_REF_Industry_Wording!$G$2:$G$70,MATCH($CE661,_REF_Industry_Wording!$A$2:$A$70,0)),""))</f>
        <v>Strengthen Backup / recovery using the selected maturity treatment, crisis scenario and evidence requirements.</v>
      </c>
      <c r="CI661" t="str">
        <f>IF($CE661="","",IFERROR(INDEX(_REF_Industry_Wording!$H$2:$H$70,MATCH($CE661,_REF_Industry_Wording!$A$2:$A$70,0)),""))</f>
        <v>Backup / recovery</v>
      </c>
      <c r="CJ661">
        <f>IF($CE661="","",IFERROR(INDEX(_REF_Industry_Wording!$I$2:$I$70,MATCH($CE661,_REF_Industry_Wording!$A$2:$A$70,0)),""))</f>
        <v>0</v>
      </c>
      <c r="CK661" t="str">
        <f>IF($CE661="","",IFERROR(INDEX(_REF_Industry_Wording!$J$2:$J$70,MATCH($CE661,_REF_Industry_Wording!$A$2:$A$70,0)),""))</f>
        <v>Backup / recovery</v>
      </c>
      <c r="CL661" t="str">
        <f t="shared" si="115"/>
        <v>Wording by industry=0; capability=CAP_BACKUP_RECOVERY; risk label=Backup / recovery weakness</v>
      </c>
      <c r="CM661" t="str">
        <f t="shared" si="116"/>
        <v>RISK-ONT-0162</v>
      </c>
      <c r="CN661" t="str">
        <f t="shared" si="117"/>
        <v>RISK-EVT-0162</v>
      </c>
      <c r="CO661" t="str">
        <f t="shared" si="118"/>
        <v>Physical Safety|Security and travel|PHYS-022|CAP_BACKUP_RECOVERY</v>
      </c>
      <c r="CP661" t="str">
        <f t="shared" si="119"/>
        <v>Active</v>
      </c>
      <c r="CQ661" t="str">
        <f t="shared" si="120"/>
        <v>OK: capability-driven</v>
      </c>
      <c r="CR661" t="str">
        <f t="shared" si="121"/>
        <v>Risk ontology uses capability=CAP_BACKUP_RECOVERY; bridge=BRG-069; treatment=TRT-BACKUP_RECOVERY-INITIAL; wording=IW-ALL-BACKUP_RECOVERY</v>
      </c>
      <c r="CS661" t="str">
        <f t="shared" si="122"/>
        <v>Yes</v>
      </c>
    </row>
    <row r="662" spans="1:97" ht="69.900000000000006" customHeight="1">
      <c r="A662">
        <f>IF(OR($B662&lt;&gt;"Yes",$BS662=""),"",SUMPRODUCT(($B$500:$B$923="Yes")*ISNUMBER($BS$500:$BS$923)*($BS$500:$BS$923&gt;$BS662))+COUNTIFS($B$500:$B662,"Yes",$BS$500:$BS662,$BS662))</f>
        <v>11</v>
      </c>
      <c r="B662" t="str">
        <f t="shared" si="91"/>
        <v>Yes</v>
      </c>
      <c r="C662" t="s">
        <v>1666</v>
      </c>
      <c r="D662" t="s">
        <v>1685</v>
      </c>
      <c r="E662" t="s">
        <v>1802</v>
      </c>
      <c r="F662" t="s">
        <v>3685</v>
      </c>
      <c r="G662" t="str">
        <f>IF($H662="","",IFERROR(INDEX(_ENGINE_Risk!$H$5:$M$499,MATCH($E662,_ENGINE_Risk!$A$5:$A$499,0),$H662+1),""))</f>
        <v>Severe risk: coordination with fire, police, medical, local administration and utility providers is not reliably controlled. During Safety incident; Physical site loss; War/security crisis; Natural disaster, the organization may face injury, unsafe facilities, uncontrolled access, asset loss and failure to protect people during incidents with limited visibility or accountability.</v>
      </c>
      <c r="H662">
        <f>IFERROR(VALUE(INDEX(_DATA_Assessment_Model!$H$5:$H$884,MATCH($E662,_DATA_Assessment_Model!$A$5:$A$884,0))),"")</f>
        <v>0</v>
      </c>
      <c r="I662" t="str">
        <f>IF($H662="","",IFERROR(INDEX(_DATA_Assessment_Model!$L$5:$L$884,MATCH($E662,_DATA_Assessment_Model!$A$5:$A$884,0)),IF($H662&lt;=1,"Critical",IF($H662=2,"High",IF($H662=3,"Medium",IF($H662=4,"Low","Resilient"))))))</f>
        <v>Critical</v>
      </c>
      <c r="J662">
        <f t="shared" si="92"/>
        <v>3.7</v>
      </c>
      <c r="K662">
        <f t="shared" si="93"/>
        <v>5</v>
      </c>
      <c r="L662">
        <f t="shared" si="94"/>
        <v>18.5</v>
      </c>
      <c r="M662">
        <f t="shared" si="95"/>
        <v>4</v>
      </c>
      <c r="N662">
        <f>IF($H662="","",IFERROR(INDEX(_ENGINE_Risk!$T$5:$Y$499,MATCH($E662,_ENGINE_Risk!$A$5:$A$499,0),$H662+1),""))</f>
        <v>4</v>
      </c>
      <c r="O662">
        <f t="shared" si="96"/>
        <v>4</v>
      </c>
      <c r="P662">
        <f t="shared" si="97"/>
        <v>5</v>
      </c>
      <c r="Q662">
        <f t="shared" si="98"/>
        <v>5</v>
      </c>
      <c r="R662">
        <f t="shared" si="99"/>
        <v>4.5</v>
      </c>
      <c r="S662">
        <f t="shared" si="100"/>
        <v>1.1599999999999999</v>
      </c>
      <c r="T662" t="str">
        <f>IF($H662="","",IFERROR(INDEX(_ENGINE_Risk!$N$5:$S$499,MATCH($E662,_ENGINE_Risk!$A$5:$A$499,0),$H662+1),""))</f>
        <v>Create an immediate risk owner, minimum control baseline and fallback procedure for coordination with fire, police, medical, local administration and utility providers. Add it to the crisis risk register and collect first evidence.</v>
      </c>
      <c r="U662">
        <f>IFERROR(INDEX(_DATA_Assessment_Model!$G$5:$G$884,MATCH($E662,_DATA_Assessment_Model!$A$5:$A$884,0)),"")</f>
        <v>3</v>
      </c>
      <c r="V662">
        <f>IFERROR(INDEX(_DATA_Assessment_Model!$W$5:$W$884,MATCH($E662,_DATA_Assessment_Model!$A$5:$A$884,0)),"")</f>
        <v>4</v>
      </c>
      <c r="W662">
        <f>IFERROR(INDEX(_DATA_Assessment_Model!$X$5:$X$884,MATCH($E662,_DATA_Assessment_Model!$A$5:$A$884,0)),"")</f>
        <v>5</v>
      </c>
      <c r="X662">
        <f>IFERROR(INDEX(_DATA_Assessment_Model!$Y$5:$Y$884,MATCH($E662,_DATA_Assessment_Model!$A$5:$A$884,0)),"")</f>
        <v>5</v>
      </c>
      <c r="Y662" t="s">
        <v>1673</v>
      </c>
      <c r="Z662" t="s">
        <v>6587</v>
      </c>
      <c r="AA662" t="s">
        <v>1804</v>
      </c>
      <c r="AB662">
        <f>IFERROR(INDEX(_DATA_Assessment_Model!$U$5:$U$884,MATCH($E662,_DATA_Assessment_Model!$A$5:$A$884,0)),"")</f>
        <v>0</v>
      </c>
      <c r="AF662" t="s">
        <v>1803</v>
      </c>
      <c r="AO662">
        <f>IF($B662="Yes",IF(IFERROR(INDEX(_ENGINE_Crisis!$F$501:$F$517,MATCH($C662,_ENGINE_Crisis!$A$501:$A$517,0)),1)=0,1,IFERROR(INDEX(_ENGINE_Crisis!$F$501:$F$517,MATCH($C662,_ENGINE_Crisis!$A$501:$A$517,0)),1)),"")</f>
        <v>1</v>
      </c>
      <c r="AP662">
        <f t="shared" si="101"/>
        <v>18.5</v>
      </c>
      <c r="AQ662">
        <f t="shared" si="102"/>
        <v>1.1599999999999999</v>
      </c>
      <c r="AR662" t="str">
        <f>IFERROR(INDEX(_ENGINE_Crisis!$E$41:$E$700,MATCH('Resilience &amp; Risk Scenario'!$B$6&amp;"|"&amp;$C662,_ENGINE_Crisis!$I$41:$I$700,0)),"")</f>
        <v/>
      </c>
      <c r="AS662" t="str">
        <f>IFERROR(INDEX(_ENGINE_Crisis!$G$41:$G$700,MATCH('Resilience &amp; Risk Scenario'!$B$6&amp;"|"&amp;$C662,_ENGINE_Crisis!$I$41:$I$700,0)),"")</f>
        <v/>
      </c>
      <c r="AT662" t="str">
        <f>IFERROR(INDEX(_ENGINE_Initiatives!$A$5:$A$532,MATCH(1,INDEX((_ENGINE_Initiatives!$B$5:$B$532=$C662)*(_ENGINE_Initiatives!$C$5:$C$532=$D662),0),0)),"")</f>
        <v>INI-026</v>
      </c>
      <c r="AU662" t="str">
        <f>IFERROR(INDEX(_ENGINE_Initiatives!$F$5:$F$532,MATCH(1,INDEX((_ENGINE_Initiatives!$B$5:$B$532=$C662)*(_ENGINE_Initiatives!$C$5:$C$532=$D662),0),0)),"")</f>
        <v>Implement physical security and travel risk management</v>
      </c>
      <c r="AV662">
        <f>IFERROR(INDEX(_ENGINE_Initiatives!$AC$5:$AC$532,MATCH(1,INDEX((_ENGINE_Initiatives!$B$5:$B$532=$C662)*(_ENGINE_Initiatives!$C$5:$C$532=$D662),0),0)),"")</f>
        <v>1.82</v>
      </c>
      <c r="AW662" t="str">
        <f>IFERROR(INDEX(_ENGINE_Initiatives!$AE$5:$AE$532,MATCH(1,INDEX((_ENGINE_Initiatives!$B$5:$B$532=$C662)*(_ENGINE_Initiatives!$C$5:$C$532=$D662),0),0)),"")</f>
        <v>3-6 months</v>
      </c>
      <c r="AX662">
        <f>IF($B662="Yes",IFERROR((IF(SUMIFS(_REF_Model_Content!$E$1:$E$613,_REF_Model_Content!$A$1:$A$613,PV_Canonical_Industry,_REF_Model_Content!$B$1:$B$613,$C662)=0,1,SUMIFS(_REF_Model_Content!$E$1:$E$613,_REF_Model_Content!$A$1:$A$613,PV_Canonical_Industry,_REF_Model_Content!$B$1:$B$613,$C662))*IFERROR($BU662,1)),1),"")</f>
        <v>1</v>
      </c>
      <c r="AY662">
        <f t="shared" si="103"/>
        <v>18.5</v>
      </c>
      <c r="AZ662">
        <f t="shared" si="104"/>
        <v>1.1599999999999999</v>
      </c>
      <c r="BB662" t="str">
        <f>IF($H662="","",IFERROR(INDEX(_ENGINE_Risk!$AE$5:$AE$499,MATCH($E662,_ENGINE_Risk!$A$5:$A$499,0)),"Medium"))</f>
        <v>Fast</v>
      </c>
      <c r="BC662">
        <f t="shared" si="105"/>
        <v>1.25</v>
      </c>
      <c r="BD662">
        <f t="shared" si="106"/>
        <v>1.1599999999999999</v>
      </c>
      <c r="BF662">
        <f>IF(OR($H662="",$J662=""),"",IFERROR(VLOOKUP(ROUND($J662,0),_CONFIG_Model_Settings!$D$154:$E$158,2,0),""))</f>
        <v>0.5</v>
      </c>
      <c r="BG662">
        <f>IFERROR(IF(OR($H662="",$K662=""),"",ROUND('Company Profile'!$B$113*INDEX(_CONFIG_Model_Settings!$H$154:$H$158,MATCH(ROUND($K662,0),_CONFIG_Model_Settings!$G$154:$G$158,0)),0)),0)</f>
        <v>1875</v>
      </c>
      <c r="BH662">
        <f t="shared" si="107"/>
        <v>937.5</v>
      </c>
      <c r="BI662">
        <f t="shared" si="108"/>
        <v>937.5</v>
      </c>
      <c r="BJ662">
        <f>IF($E662="","",IFERROR(VLOOKUP($C662,_CONFIG_Risk_Calibration!$A$5:$H$21,2,FALSE),3))</f>
        <v>3</v>
      </c>
      <c r="BK662">
        <f>IF($E662="","",IFERROR(VLOOKUP($C662,_CONFIG_Risk_Calibration!$A$5:$H$21,3,FALSE),0))</f>
        <v>0</v>
      </c>
      <c r="BL662">
        <f>IF($E662="","",IFERROR(VLOOKUP($C662,_CONFIG_Risk_Calibration!$A$5:$H$21,4,FALSE),3))</f>
        <v>3</v>
      </c>
      <c r="BM662">
        <f>IF($E662="","",IFERROR(VLOOKUP($C662,_CONFIG_Risk_Calibration!$A$5:$H$21,5,FALSE),3))</f>
        <v>4</v>
      </c>
      <c r="BN662" t="str">
        <f>IF($E662="","",IFERROR(VLOOKUP($C662,_CONFIG_Risk_Calibration!$A$5:$H$21,6,FALSE),"No"))</f>
        <v>Yes</v>
      </c>
      <c r="BO662">
        <f>IF($E662="","",IFERROR(VLOOKUP($C662,_CONFIG_Risk_Calibration!$A$5:$H$21,7,FALSE),1))</f>
        <v>5</v>
      </c>
      <c r="BP662">
        <f>IF($H662="","",MAX(1,MIN(5,((6-$H662)*0.45)+($BJ662*0.2)+('Resilience &amp; Risk Scenario'!$B$7*0.15)+($BK662*0.1)+($BL662*0.05)+(IF($BB662="Fast",5,IF($BB662="Slow",1,3))*0.05))))</f>
        <v>3.7</v>
      </c>
      <c r="BQ662">
        <f t="shared" si="109"/>
        <v>5</v>
      </c>
      <c r="BR662">
        <f t="shared" si="110"/>
        <v>18.5</v>
      </c>
      <c r="BS662">
        <f t="shared" si="111"/>
        <v>25.44</v>
      </c>
      <c r="BT662" t="str">
        <f>IFERROR(INDEX(_REF_Capability_Bridge!$D:$D,MATCH($C662&amp;"|"&amp;$D662,_REF_Capability_Bridge!$J:$J,0)),IFERROR(INDEX(_REF_Capability_Bridge!$D:$D,MATCH($C662&amp;"|",_REF_Capability_Bridge!$J:$J,0)),"CAP_GENERIC"))</f>
        <v>CAP_BACKUP_RECOVERY</v>
      </c>
      <c r="BU662">
        <f>IFERROR(IFERROR(INDEX(_ENGINE_Relevance!$L:$L,MATCH($BT662,_ENGINE_Relevance!$B:$B,0)),1),1)</f>
        <v>1</v>
      </c>
      <c r="BV662" t="str">
        <f>IFERROR(INDEX(_REF_Capability_Bridge!$A:$A,MATCH($C662&amp;"|"&amp;$D662,_REF_Capability_Bridge!$J:$J,0)),IFERROR(INDEX(_REF_Capability_Bridge!$A:$A,MATCH($C662&amp;"|",_REF_Capability_Bridge!$J:$J,0)),"No bridge"))</f>
        <v>BRG-069</v>
      </c>
      <c r="BW662" t="str">
        <f t="shared" si="112"/>
        <v>Capability relevance neutral</v>
      </c>
      <c r="BX662" t="str">
        <f t="shared" si="113"/>
        <v>Initial / absent</v>
      </c>
      <c r="BY662" t="str">
        <f>IF($E662="","",IFERROR(INDEX(_REF_Treatment_Library!$A$2:$A$296,MATCH(1,INDEX((_REF_Treatment_Library!$B$2:$B$296=$BT662)*(_REF_Treatment_Library!$C$2:$C$296=PV_Canonical_Industry)*(_REF_Treatment_Library!$E$2:$E$296&lt;=N($H662))*(_REF_Treatment_Library!$F$2:$F$296&gt;=N($H662))*(_REF_Treatment_Library!$O$2:$O$296="Yes"),0),0)),IFERROR(INDEX(_REF_Treatment_Library!$A$2:$A$296,MATCH(1,INDEX((_REF_Treatment_Library!$B$2:$B$296=$BT662)*(_REF_Treatment_Library!$C$2:$C$296="All")*(_REF_Treatment_Library!$E$2:$E$296&lt;=N($H662))*(_REF_Treatment_Library!$F$2:$F$296&gt;=N($H662))*(_REF_Treatment_Library!$O$2:$O$296="Yes"),0),0)),"")))</f>
        <v>TRT-BACKUP_RECOVERY-INITIAL</v>
      </c>
      <c r="BZ662" t="str">
        <f>IF($BY662="","",IFERROR(INDEX(_REF_Treatment_Library!$H$2:$H$296,MATCH($BY662,_REF_Treatment_Library!$A$2:$A$296,0)),""))</f>
        <v>Establish</v>
      </c>
      <c r="CA662" t="str">
        <f>IF($BY662="","",IFERROR(INDEX(_REF_Treatment_Library!$I$2:$I$296,MATCH($BY662,_REF_Treatment_Library!$A$2:$A$296,0)),""))</f>
        <v>Establish baseline controls for Backup / recovery</v>
      </c>
      <c r="CB662" t="str">
        <f>IF($BY662="","",IFERROR(INDEX(_REF_Treatment_Library!$K$2:$K$296,MATCH($BY662,_REF_Treatment_Library!$A$2:$A$296,0)),""))</f>
        <v>Named owner, baseline process, minimum control checklist, first evidence package</v>
      </c>
      <c r="CC662" t="str">
        <f>IF($BY662="","",IFERROR(INDEX(_REF_Treatment_Library!$L$2:$L$296,MATCH($BY662,_REF_Treatment_Library!$A$2:$A$296,0)),""))</f>
        <v>Owner assigned; baseline evidence coverage; open critical gaps</v>
      </c>
      <c r="CD662" t="str">
        <f t="shared" si="114"/>
        <v>Treatment by capability=CAP_BACKUP_RECOVERY; band=Initial / absent; score=0.0; treatment=Establish</v>
      </c>
      <c r="CE662" t="str">
        <f>IF($E662="","",IFERROR(INDEX(_REF_Industry_Wording!$A$2:$A$70,MATCH(1,INDEX((_REF_Industry_Wording!$B$2:$B$70=$BT662)*(_REF_Industry_Wording!$C$2:$C$70=PV_Canonical_Industry)*(_REF_Industry_Wording!$K$2:$K$70="Yes"),0),0)),IFERROR(INDEX(_REF_Industry_Wording!$A$2:$A$70,MATCH(1,INDEX((_REF_Industry_Wording!$B$2:$B$70=$BT662)*(_REF_Industry_Wording!$C$2:$C$70="All")*(_REF_Industry_Wording!$K$2:$K$70="Yes"),0),0)),"")))</f>
        <v>IW-ALL-BACKUP_RECOVERY</v>
      </c>
      <c r="CF662" t="str">
        <f>IF($CE662="","",IFERROR(INDEX(_REF_Industry_Wording!$E$2:$E$70,MATCH($CE662,_REF_Industry_Wording!$A$2:$A$70,0)),""))</f>
        <v>Backup / recovery weakness</v>
      </c>
      <c r="CG662" t="str">
        <f>IF($CE662="","",IFERROR(INDEX(_REF_Industry_Wording!$F$2:$F$70,MATCH($CE662,_REF_Industry_Wording!$A$2:$A$70,0)),""))</f>
        <v>Strengthen Backup / recovery</v>
      </c>
      <c r="CH662" t="str">
        <f>IF($CE662="","",IFERROR(INDEX(_REF_Industry_Wording!$G$2:$G$70,MATCH($CE662,_REF_Industry_Wording!$A$2:$A$70,0)),""))</f>
        <v>Strengthen Backup / recovery using the selected maturity treatment, crisis scenario and evidence requirements.</v>
      </c>
      <c r="CI662" t="str">
        <f>IF($CE662="","",IFERROR(INDEX(_REF_Industry_Wording!$H$2:$H$70,MATCH($CE662,_REF_Industry_Wording!$A$2:$A$70,0)),""))</f>
        <v>Backup / recovery</v>
      </c>
      <c r="CJ662">
        <f>IF($CE662="","",IFERROR(INDEX(_REF_Industry_Wording!$I$2:$I$70,MATCH($CE662,_REF_Industry_Wording!$A$2:$A$70,0)),""))</f>
        <v>0</v>
      </c>
      <c r="CK662" t="str">
        <f>IF($CE662="","",IFERROR(INDEX(_REF_Industry_Wording!$J$2:$J$70,MATCH($CE662,_REF_Industry_Wording!$A$2:$A$70,0)),""))</f>
        <v>Backup / recovery</v>
      </c>
      <c r="CL662" t="str">
        <f t="shared" si="115"/>
        <v>Wording by industry=0; capability=CAP_BACKUP_RECOVERY; risk label=Backup / recovery weakness</v>
      </c>
      <c r="CM662" t="str">
        <f t="shared" si="116"/>
        <v>RISK-ONT-0163</v>
      </c>
      <c r="CN662" t="str">
        <f t="shared" si="117"/>
        <v>RISK-EVT-0163</v>
      </c>
      <c r="CO662" t="str">
        <f t="shared" si="118"/>
        <v>Physical Safety|Security and travel|PHYS-023|CAP_BACKUP_RECOVERY</v>
      </c>
      <c r="CP662" t="str">
        <f t="shared" si="119"/>
        <v>Active</v>
      </c>
      <c r="CQ662" t="str">
        <f t="shared" si="120"/>
        <v>OK: capability-driven</v>
      </c>
      <c r="CR662" t="str">
        <f t="shared" si="121"/>
        <v>Risk ontology uses capability=CAP_BACKUP_RECOVERY; bridge=BRG-069; treatment=TRT-BACKUP_RECOVERY-INITIAL; wording=IW-ALL-BACKUP_RECOVERY</v>
      </c>
      <c r="CS662" t="str">
        <f t="shared" si="122"/>
        <v>Yes</v>
      </c>
    </row>
    <row r="663" spans="1:97" ht="69.900000000000006" customHeight="1">
      <c r="A663">
        <f>IF(OR($B663&lt;&gt;"Yes",$BS663=""),"",SUMPRODUCT(($B$500:$B$923="Yes")*ISNUMBER($BS$500:$BS$923)*($BS$500:$BS$923&gt;$BS663))+COUNTIFS($B$500:$B663,"Yes",$BS$500:$BS663,$BS663))</f>
        <v>12</v>
      </c>
      <c r="B663" t="str">
        <f t="shared" si="91"/>
        <v>Yes</v>
      </c>
      <c r="C663" t="s">
        <v>1666</v>
      </c>
      <c r="D663" t="s">
        <v>1689</v>
      </c>
      <c r="E663" t="s">
        <v>1811</v>
      </c>
      <c r="F663" t="s">
        <v>3685</v>
      </c>
      <c r="G663" t="str">
        <f>IF($H663="","",IFERROR(INDEX(_ENGINE_Risk!$H$5:$M$499,MATCH($E663,_ENGINE_Risk!$A$5:$A$499,0),$H663+1),""))</f>
        <v>Severe risk: backup power for critical sites with capacity, maintenance, fuel and test records is not reliably controlled. During Safety incident; Physical site loss; War/security crisis; Natural disaster, the organization may face injury, unsafe facilities, uncontrolled access, asset loss and failure to protect people during incidents with limited visibility or accountability.</v>
      </c>
      <c r="H663">
        <f>IFERROR(VALUE(INDEX(_DATA_Assessment_Model!$H$5:$H$884,MATCH($E663,_DATA_Assessment_Model!$A$5:$A$884,0))),"")</f>
        <v>0</v>
      </c>
      <c r="I663" t="str">
        <f>IF($H663="","",IFERROR(INDEX(_DATA_Assessment_Model!$L$5:$L$884,MATCH($E663,_DATA_Assessment_Model!$A$5:$A$884,0)),IF($H663&lt;=1,"Critical",IF($H663=2,"High",IF($H663=3,"Medium",IF($H663=4,"Low","Resilient"))))))</f>
        <v>Critical</v>
      </c>
      <c r="J663">
        <f t="shared" si="92"/>
        <v>3.7</v>
      </c>
      <c r="K663">
        <f t="shared" si="93"/>
        <v>5</v>
      </c>
      <c r="L663">
        <f t="shared" si="94"/>
        <v>18.5</v>
      </c>
      <c r="M663">
        <f t="shared" si="95"/>
        <v>4</v>
      </c>
      <c r="N663">
        <f>IF($H663="","",IFERROR(INDEX(_ENGINE_Risk!$T$5:$Y$499,MATCH($E663,_ENGINE_Risk!$A$5:$A$499,0),$H663+1),""))</f>
        <v>4</v>
      </c>
      <c r="O663">
        <f t="shared" si="96"/>
        <v>5</v>
      </c>
      <c r="P663">
        <f t="shared" si="97"/>
        <v>5</v>
      </c>
      <c r="Q663">
        <f t="shared" si="98"/>
        <v>5</v>
      </c>
      <c r="R663">
        <f t="shared" si="99"/>
        <v>5</v>
      </c>
      <c r="S663">
        <f t="shared" si="100"/>
        <v>1.25</v>
      </c>
      <c r="T663" t="str">
        <f>IF($H663="","",IFERROR(INDEX(_ENGINE_Risk!$N$5:$S$499,MATCH($E663,_ENGINE_Risk!$A$5:$A$499,0),$H663+1),""))</f>
        <v>Create an immediate risk owner, minimum control baseline and fallback procedure for backup power for critical sites with capacity, maintenance, fuel and test records. Add it to the crisis risk register and collect first evidence.</v>
      </c>
      <c r="U663">
        <f>IFERROR(INDEX(_DATA_Assessment_Model!$G$5:$G$884,MATCH($E663,_DATA_Assessment_Model!$A$5:$A$884,0)),"")</f>
        <v>5</v>
      </c>
      <c r="V663">
        <f>IFERROR(INDEX(_DATA_Assessment_Model!$W$5:$W$884,MATCH($E663,_DATA_Assessment_Model!$A$5:$A$884,0)),"")</f>
        <v>5</v>
      </c>
      <c r="W663">
        <f>IFERROR(INDEX(_DATA_Assessment_Model!$X$5:$X$884,MATCH($E663,_DATA_Assessment_Model!$A$5:$A$884,0)),"")</f>
        <v>5</v>
      </c>
      <c r="X663">
        <f>IFERROR(INDEX(_DATA_Assessment_Model!$Y$5:$Y$884,MATCH($E663,_DATA_Assessment_Model!$A$5:$A$884,0)),"")</f>
        <v>5</v>
      </c>
      <c r="Y663" t="s">
        <v>1673</v>
      </c>
      <c r="Z663" t="s">
        <v>6587</v>
      </c>
      <c r="AA663" t="s">
        <v>1813</v>
      </c>
      <c r="AB663">
        <f>IFERROR(INDEX(_DATA_Assessment_Model!$U$5:$U$884,MATCH($E663,_DATA_Assessment_Model!$A$5:$A$884,0)),"")</f>
        <v>0</v>
      </c>
      <c r="AF663" t="s">
        <v>1812</v>
      </c>
      <c r="AO663">
        <f>IF($B663="Yes",IF(IFERROR(INDEX(_ENGINE_Crisis!$F$501:$F$517,MATCH($C663,_ENGINE_Crisis!$A$501:$A$517,0)),1)=0,1,IFERROR(INDEX(_ENGINE_Crisis!$F$501:$F$517,MATCH($C663,_ENGINE_Crisis!$A$501:$A$517,0)),1)),"")</f>
        <v>1</v>
      </c>
      <c r="AP663">
        <f t="shared" si="101"/>
        <v>18.5</v>
      </c>
      <c r="AQ663">
        <f t="shared" si="102"/>
        <v>1.25</v>
      </c>
      <c r="AR663" t="str">
        <f>IFERROR(INDEX(_ENGINE_Crisis!$E$41:$E$700,MATCH('Resilience &amp; Risk Scenario'!$B$6&amp;"|"&amp;$C663,_ENGINE_Crisis!$I$41:$I$700,0)),"")</f>
        <v/>
      </c>
      <c r="AS663" t="str">
        <f>IFERROR(INDEX(_ENGINE_Crisis!$G$41:$G$700,MATCH('Resilience &amp; Risk Scenario'!$B$6&amp;"|"&amp;$C663,_ENGINE_Crisis!$I$41:$I$700,0)),"")</f>
        <v/>
      </c>
      <c r="AT663" t="str">
        <f>IFERROR(INDEX(_ENGINE_Initiatives!$A$5:$A$532,MATCH(1,INDEX((_ENGINE_Initiatives!$B$5:$B$532=$C663)*(_ENGINE_Initiatives!$C$5:$C$532=$D663),0),0)),"")</f>
        <v>INI-027</v>
      </c>
      <c r="AU663" t="str">
        <f>IFERROR(INDEX(_ENGINE_Initiatives!$F$5:$F$532,MATCH(1,INDEX((_ENGINE_Initiatives!$B$5:$B$532=$C663)*(_ENGINE_Initiatives!$C$5:$C$532=$D663),0),0)),"")</f>
        <v>Build utilities backup and facility resilience plan</v>
      </c>
      <c r="AV663">
        <f>IFERROR(INDEX(_ENGINE_Initiatives!$AC$5:$AC$532,MATCH(1,INDEX((_ENGINE_Initiatives!$B$5:$B$532=$C663)*(_ENGINE_Initiatives!$C$5:$C$532=$D663),0),0)),"")</f>
        <v>1.82</v>
      </c>
      <c r="AW663" t="str">
        <f>IFERROR(INDEX(_ENGINE_Initiatives!$AE$5:$AE$532,MATCH(1,INDEX((_ENGINE_Initiatives!$B$5:$B$532=$C663)*(_ENGINE_Initiatives!$C$5:$C$532=$D663),0),0)),"")</f>
        <v>3-6 months</v>
      </c>
      <c r="AX663">
        <f>IF($B663="Yes",IFERROR((IF(SUMIFS(_REF_Model_Content!$E$1:$E$613,_REF_Model_Content!$A$1:$A$613,PV_Canonical_Industry,_REF_Model_Content!$B$1:$B$613,$C663)=0,1,SUMIFS(_REF_Model_Content!$E$1:$E$613,_REF_Model_Content!$A$1:$A$613,PV_Canonical_Industry,_REF_Model_Content!$B$1:$B$613,$C663))*IFERROR($BU663,1)),1),"")</f>
        <v>1</v>
      </c>
      <c r="AY663">
        <f t="shared" si="103"/>
        <v>18.5</v>
      </c>
      <c r="AZ663">
        <f t="shared" si="104"/>
        <v>1.25</v>
      </c>
      <c r="BB663" t="str">
        <f>IF($H663="","",IFERROR(INDEX(_ENGINE_Risk!$AE$5:$AE$499,MATCH($E663,_ENGINE_Risk!$A$5:$A$499,0)),"Medium"))</f>
        <v>Fast</v>
      </c>
      <c r="BC663">
        <f t="shared" si="105"/>
        <v>1.25</v>
      </c>
      <c r="BD663">
        <f t="shared" si="106"/>
        <v>1.25</v>
      </c>
      <c r="BF663">
        <f>IF(OR($H663="",$J663=""),"",IFERROR(VLOOKUP(ROUND($J663,0),_CONFIG_Model_Settings!$D$154:$E$158,2,0),""))</f>
        <v>0.5</v>
      </c>
      <c r="BG663">
        <f>IFERROR(IF(OR($H663="",$K663=""),"",ROUND('Company Profile'!$B$113*INDEX(_CONFIG_Model_Settings!$H$154:$H$158,MATCH(ROUND($K663,0),_CONFIG_Model_Settings!$G$154:$G$158,0)),0)),0)</f>
        <v>1875</v>
      </c>
      <c r="BH663">
        <f t="shared" si="107"/>
        <v>937.5</v>
      </c>
      <c r="BI663">
        <f t="shared" si="108"/>
        <v>937.5</v>
      </c>
      <c r="BJ663">
        <f>IF($E663="","",IFERROR(VLOOKUP($C663,_CONFIG_Risk_Calibration!$A$5:$H$21,2,FALSE),3))</f>
        <v>3</v>
      </c>
      <c r="BK663">
        <f>IF($E663="","",IFERROR(VLOOKUP($C663,_CONFIG_Risk_Calibration!$A$5:$H$21,3,FALSE),0))</f>
        <v>0</v>
      </c>
      <c r="BL663">
        <f>IF($E663="","",IFERROR(VLOOKUP($C663,_CONFIG_Risk_Calibration!$A$5:$H$21,4,FALSE),3))</f>
        <v>3</v>
      </c>
      <c r="BM663">
        <f>IF($E663="","",IFERROR(VLOOKUP($C663,_CONFIG_Risk_Calibration!$A$5:$H$21,5,FALSE),3))</f>
        <v>4</v>
      </c>
      <c r="BN663" t="str">
        <f>IF($E663="","",IFERROR(VLOOKUP($C663,_CONFIG_Risk_Calibration!$A$5:$H$21,6,FALSE),"No"))</f>
        <v>Yes</v>
      </c>
      <c r="BO663">
        <f>IF($E663="","",IFERROR(VLOOKUP($C663,_CONFIG_Risk_Calibration!$A$5:$H$21,7,FALSE),1))</f>
        <v>5</v>
      </c>
      <c r="BP663">
        <f>IF($H663="","",MAX(1,MIN(5,((6-$H663)*0.45)+($BJ663*0.2)+('Resilience &amp; Risk Scenario'!$B$7*0.15)+($BK663*0.1)+($BL663*0.05)+(IF($BB663="Fast",5,IF($BB663="Slow",1,3))*0.05))))</f>
        <v>3.7</v>
      </c>
      <c r="BQ663">
        <f t="shared" si="109"/>
        <v>5</v>
      </c>
      <c r="BR663">
        <f t="shared" si="110"/>
        <v>18.5</v>
      </c>
      <c r="BS663">
        <f t="shared" si="111"/>
        <v>25.44</v>
      </c>
      <c r="BT663" t="str">
        <f>IFERROR(INDEX(_REF_Capability_Bridge!$D:$D,MATCH($C663&amp;"|"&amp;$D663,_REF_Capability_Bridge!$J:$J,0)),IFERROR(INDEX(_REF_Capability_Bridge!$D:$D,MATCH($C663&amp;"|",_REF_Capability_Bridge!$J:$J,0)),"CAP_GENERIC"))</f>
        <v>CAP_BACKUP_RECOVERY</v>
      </c>
      <c r="BU663">
        <f>IFERROR(IFERROR(INDEX(_ENGINE_Relevance!$L:$L,MATCH($BT663,_ENGINE_Relevance!$B:$B,0)),1),1)</f>
        <v>1</v>
      </c>
      <c r="BV663" t="str">
        <f>IFERROR(INDEX(_REF_Capability_Bridge!$A:$A,MATCH($C663&amp;"|"&amp;$D663,_REF_Capability_Bridge!$J:$J,0)),IFERROR(INDEX(_REF_Capability_Bridge!$A:$A,MATCH($C663&amp;"|",_REF_Capability_Bridge!$J:$J,0)),"No bridge"))</f>
        <v>BRG-070</v>
      </c>
      <c r="BW663" t="str">
        <f t="shared" si="112"/>
        <v>Capability relevance neutral</v>
      </c>
      <c r="BX663" t="str">
        <f t="shared" si="113"/>
        <v>Initial / absent</v>
      </c>
      <c r="BY663" t="str">
        <f>IF($E663="","",IFERROR(INDEX(_REF_Treatment_Library!$A$2:$A$296,MATCH(1,INDEX((_REF_Treatment_Library!$B$2:$B$296=$BT663)*(_REF_Treatment_Library!$C$2:$C$296=PV_Canonical_Industry)*(_REF_Treatment_Library!$E$2:$E$296&lt;=N($H663))*(_REF_Treatment_Library!$F$2:$F$296&gt;=N($H663))*(_REF_Treatment_Library!$O$2:$O$296="Yes"),0),0)),IFERROR(INDEX(_REF_Treatment_Library!$A$2:$A$296,MATCH(1,INDEX((_REF_Treatment_Library!$B$2:$B$296=$BT663)*(_REF_Treatment_Library!$C$2:$C$296="All")*(_REF_Treatment_Library!$E$2:$E$296&lt;=N($H663))*(_REF_Treatment_Library!$F$2:$F$296&gt;=N($H663))*(_REF_Treatment_Library!$O$2:$O$296="Yes"),0),0)),"")))</f>
        <v>TRT-BACKUP_RECOVERY-INITIAL</v>
      </c>
      <c r="BZ663" t="str">
        <f>IF($BY663="","",IFERROR(INDEX(_REF_Treatment_Library!$H$2:$H$296,MATCH($BY663,_REF_Treatment_Library!$A$2:$A$296,0)),""))</f>
        <v>Establish</v>
      </c>
      <c r="CA663" t="str">
        <f>IF($BY663="","",IFERROR(INDEX(_REF_Treatment_Library!$I$2:$I$296,MATCH($BY663,_REF_Treatment_Library!$A$2:$A$296,0)),""))</f>
        <v>Establish baseline controls for Backup / recovery</v>
      </c>
      <c r="CB663" t="str">
        <f>IF($BY663="","",IFERROR(INDEX(_REF_Treatment_Library!$K$2:$K$296,MATCH($BY663,_REF_Treatment_Library!$A$2:$A$296,0)),""))</f>
        <v>Named owner, baseline process, minimum control checklist, first evidence package</v>
      </c>
      <c r="CC663" t="str">
        <f>IF($BY663="","",IFERROR(INDEX(_REF_Treatment_Library!$L$2:$L$296,MATCH($BY663,_REF_Treatment_Library!$A$2:$A$296,0)),""))</f>
        <v>Owner assigned; baseline evidence coverage; open critical gaps</v>
      </c>
      <c r="CD663" t="str">
        <f t="shared" si="114"/>
        <v>Treatment by capability=CAP_BACKUP_RECOVERY; band=Initial / absent; score=0.0; treatment=Establish</v>
      </c>
      <c r="CE663" t="str">
        <f>IF($E663="","",IFERROR(INDEX(_REF_Industry_Wording!$A$2:$A$70,MATCH(1,INDEX((_REF_Industry_Wording!$B$2:$B$70=$BT663)*(_REF_Industry_Wording!$C$2:$C$70=PV_Canonical_Industry)*(_REF_Industry_Wording!$K$2:$K$70="Yes"),0),0)),IFERROR(INDEX(_REF_Industry_Wording!$A$2:$A$70,MATCH(1,INDEX((_REF_Industry_Wording!$B$2:$B$70=$BT663)*(_REF_Industry_Wording!$C$2:$C$70="All")*(_REF_Industry_Wording!$K$2:$K$70="Yes"),0),0)),"")))</f>
        <v>IW-ALL-BACKUP_RECOVERY</v>
      </c>
      <c r="CF663" t="str">
        <f>IF($CE663="","",IFERROR(INDEX(_REF_Industry_Wording!$E$2:$E$70,MATCH($CE663,_REF_Industry_Wording!$A$2:$A$70,0)),""))</f>
        <v>Backup / recovery weakness</v>
      </c>
      <c r="CG663" t="str">
        <f>IF($CE663="","",IFERROR(INDEX(_REF_Industry_Wording!$F$2:$F$70,MATCH($CE663,_REF_Industry_Wording!$A$2:$A$70,0)),""))</f>
        <v>Strengthen Backup / recovery</v>
      </c>
      <c r="CH663" t="str">
        <f>IF($CE663="","",IFERROR(INDEX(_REF_Industry_Wording!$G$2:$G$70,MATCH($CE663,_REF_Industry_Wording!$A$2:$A$70,0)),""))</f>
        <v>Strengthen Backup / recovery using the selected maturity treatment, crisis scenario and evidence requirements.</v>
      </c>
      <c r="CI663" t="str">
        <f>IF($CE663="","",IFERROR(INDEX(_REF_Industry_Wording!$H$2:$H$70,MATCH($CE663,_REF_Industry_Wording!$A$2:$A$70,0)),""))</f>
        <v>Backup / recovery</v>
      </c>
      <c r="CJ663">
        <f>IF($CE663="","",IFERROR(INDEX(_REF_Industry_Wording!$I$2:$I$70,MATCH($CE663,_REF_Industry_Wording!$A$2:$A$70,0)),""))</f>
        <v>0</v>
      </c>
      <c r="CK663" t="str">
        <f>IF($CE663="","",IFERROR(INDEX(_REF_Industry_Wording!$J$2:$J$70,MATCH($CE663,_REF_Industry_Wording!$A$2:$A$70,0)),""))</f>
        <v>Backup / recovery</v>
      </c>
      <c r="CL663" t="str">
        <f t="shared" si="115"/>
        <v>Wording by industry=0; capability=CAP_BACKUP_RECOVERY; risk label=Backup / recovery weakness</v>
      </c>
      <c r="CM663" t="str">
        <f t="shared" si="116"/>
        <v>RISK-ONT-0164</v>
      </c>
      <c r="CN663" t="str">
        <f t="shared" si="117"/>
        <v>RISK-EVT-0164</v>
      </c>
      <c r="CO663" t="str">
        <f t="shared" si="118"/>
        <v>Physical Safety|Utilities and resilience|PHYS-024|CAP_BACKUP_RECOVERY</v>
      </c>
      <c r="CP663" t="str">
        <f t="shared" si="119"/>
        <v>Active</v>
      </c>
      <c r="CQ663" t="str">
        <f t="shared" si="120"/>
        <v>OK: capability-driven</v>
      </c>
      <c r="CR663" t="str">
        <f t="shared" si="121"/>
        <v>Risk ontology uses capability=CAP_BACKUP_RECOVERY; bridge=BRG-070; treatment=TRT-BACKUP_RECOVERY-INITIAL; wording=IW-ALL-BACKUP_RECOVERY</v>
      </c>
      <c r="CS663" t="str">
        <f t="shared" si="122"/>
        <v>Yes</v>
      </c>
    </row>
    <row r="664" spans="1:97" ht="69.900000000000006" customHeight="1">
      <c r="A664">
        <f>IF(OR($B664&lt;&gt;"Yes",$BS664=""),"",SUMPRODUCT(($B$500:$B$923="Yes")*ISNUMBER($BS$500:$BS$923)*($BS$500:$BS$923&gt;$BS664))+COUNTIFS($B$500:$B664,"Yes",$BS$500:$BS664,$BS664))</f>
        <v>13</v>
      </c>
      <c r="B664" t="str">
        <f t="shared" si="91"/>
        <v>Yes</v>
      </c>
      <c r="C664" t="s">
        <v>1666</v>
      </c>
      <c r="D664" t="s">
        <v>1689</v>
      </c>
      <c r="E664" t="s">
        <v>1814</v>
      </c>
      <c r="F664" t="s">
        <v>3685</v>
      </c>
      <c r="G664" t="str">
        <f>IF($H664="","",IFERROR(INDEX(_ENGINE_Risk!$H$5:$M$499,MATCH($E664,_ENGINE_Risk!$A$5:$A$499,0),$H664+1),""))</f>
        <v>Severe risk: water, sanitation, HVAC and environmental controls in facility continuity plans is not reliably controlled. During Safety incident; Physical site loss; War/security crisis; Natural disaster, the organization may face injury, unsafe facilities, uncontrolled access, asset loss and failure to protect people during incidents with limited visibility or accountability.</v>
      </c>
      <c r="H664">
        <f>IFERROR(VALUE(INDEX(_DATA_Assessment_Model!$H$5:$H$884,MATCH($E664,_DATA_Assessment_Model!$A$5:$A$884,0))),"")</f>
        <v>0</v>
      </c>
      <c r="I664" t="str">
        <f>IF($H664="","",IFERROR(INDEX(_DATA_Assessment_Model!$L$5:$L$884,MATCH($E664,_DATA_Assessment_Model!$A$5:$A$884,0)),IF($H664&lt;=1,"Critical",IF($H664=2,"High",IF($H664=3,"Medium",IF($H664=4,"Low","Resilient"))))))</f>
        <v>Critical</v>
      </c>
      <c r="J664">
        <f t="shared" si="92"/>
        <v>3.7</v>
      </c>
      <c r="K664">
        <f t="shared" si="93"/>
        <v>5</v>
      </c>
      <c r="L664">
        <f t="shared" si="94"/>
        <v>18.5</v>
      </c>
      <c r="M664">
        <f t="shared" si="95"/>
        <v>4</v>
      </c>
      <c r="N664">
        <f>IF($H664="","",IFERROR(INDEX(_ENGINE_Risk!$T$5:$Y$499,MATCH($E664,_ENGINE_Risk!$A$5:$A$499,0),$H664+1),""))</f>
        <v>4</v>
      </c>
      <c r="O664">
        <f t="shared" si="96"/>
        <v>4.666666666666667</v>
      </c>
      <c r="P664">
        <f t="shared" si="97"/>
        <v>5</v>
      </c>
      <c r="Q664">
        <f t="shared" si="98"/>
        <v>5</v>
      </c>
      <c r="R664">
        <f t="shared" si="99"/>
        <v>4.5</v>
      </c>
      <c r="S664">
        <f t="shared" si="100"/>
        <v>1.2</v>
      </c>
      <c r="T664" t="str">
        <f>IF($H664="","",IFERROR(INDEX(_ENGINE_Risk!$N$5:$S$499,MATCH($E664,_ENGINE_Risk!$A$5:$A$499,0),$H664+1),""))</f>
        <v>Create an immediate risk owner, minimum control baseline and fallback procedure for water, sanitation, HVAC and environmental controls in facility continuity plans. Add it to the crisis risk register and collect first evidence.</v>
      </c>
      <c r="U664">
        <f>IFERROR(INDEX(_DATA_Assessment_Model!$G$5:$G$884,MATCH($E664,_DATA_Assessment_Model!$A$5:$A$884,0)),"")</f>
        <v>5</v>
      </c>
      <c r="V664">
        <f>IFERROR(INDEX(_DATA_Assessment_Model!$W$5:$W$884,MATCH($E664,_DATA_Assessment_Model!$A$5:$A$884,0)),"")</f>
        <v>4</v>
      </c>
      <c r="W664">
        <f>IFERROR(INDEX(_DATA_Assessment_Model!$X$5:$X$884,MATCH($E664,_DATA_Assessment_Model!$A$5:$A$884,0)),"")</f>
        <v>5</v>
      </c>
      <c r="X664">
        <f>IFERROR(INDEX(_DATA_Assessment_Model!$Y$5:$Y$884,MATCH($E664,_DATA_Assessment_Model!$A$5:$A$884,0)),"")</f>
        <v>5</v>
      </c>
      <c r="Y664" t="s">
        <v>1673</v>
      </c>
      <c r="Z664" t="s">
        <v>6587</v>
      </c>
      <c r="AA664" t="s">
        <v>1816</v>
      </c>
      <c r="AB664">
        <f>IFERROR(INDEX(_DATA_Assessment_Model!$U$5:$U$884,MATCH($E664,_DATA_Assessment_Model!$A$5:$A$884,0)),"")</f>
        <v>0</v>
      </c>
      <c r="AF664" t="s">
        <v>1815</v>
      </c>
      <c r="AO664">
        <f>IF($B664="Yes",IF(IFERROR(INDEX(_ENGINE_Crisis!$F$501:$F$517,MATCH($C664,_ENGINE_Crisis!$A$501:$A$517,0)),1)=0,1,IFERROR(INDEX(_ENGINE_Crisis!$F$501:$F$517,MATCH($C664,_ENGINE_Crisis!$A$501:$A$517,0)),1)),"")</f>
        <v>1</v>
      </c>
      <c r="AP664">
        <f t="shared" si="101"/>
        <v>18.5</v>
      </c>
      <c r="AQ664">
        <f t="shared" si="102"/>
        <v>1.2</v>
      </c>
      <c r="AR664" t="str">
        <f>IFERROR(INDEX(_ENGINE_Crisis!$E$41:$E$700,MATCH('Resilience &amp; Risk Scenario'!$B$6&amp;"|"&amp;$C664,_ENGINE_Crisis!$I$41:$I$700,0)),"")</f>
        <v/>
      </c>
      <c r="AS664" t="str">
        <f>IFERROR(INDEX(_ENGINE_Crisis!$G$41:$G$700,MATCH('Resilience &amp; Risk Scenario'!$B$6&amp;"|"&amp;$C664,_ENGINE_Crisis!$I$41:$I$700,0)),"")</f>
        <v/>
      </c>
      <c r="AT664" t="str">
        <f>IFERROR(INDEX(_ENGINE_Initiatives!$A$5:$A$532,MATCH(1,INDEX((_ENGINE_Initiatives!$B$5:$B$532=$C664)*(_ENGINE_Initiatives!$C$5:$C$532=$D664),0),0)),"")</f>
        <v>INI-027</v>
      </c>
      <c r="AU664" t="str">
        <f>IFERROR(INDEX(_ENGINE_Initiatives!$F$5:$F$532,MATCH(1,INDEX((_ENGINE_Initiatives!$B$5:$B$532=$C664)*(_ENGINE_Initiatives!$C$5:$C$532=$D664),0),0)),"")</f>
        <v>Build utilities backup and facility resilience plan</v>
      </c>
      <c r="AV664">
        <f>IFERROR(INDEX(_ENGINE_Initiatives!$AC$5:$AC$532,MATCH(1,INDEX((_ENGINE_Initiatives!$B$5:$B$532=$C664)*(_ENGINE_Initiatives!$C$5:$C$532=$D664),0),0)),"")</f>
        <v>1.82</v>
      </c>
      <c r="AW664" t="str">
        <f>IFERROR(INDEX(_ENGINE_Initiatives!$AE$5:$AE$532,MATCH(1,INDEX((_ENGINE_Initiatives!$B$5:$B$532=$C664)*(_ENGINE_Initiatives!$C$5:$C$532=$D664),0),0)),"")</f>
        <v>3-6 months</v>
      </c>
      <c r="AX664">
        <f>IF($B664="Yes",IFERROR((IF(SUMIFS(_REF_Model_Content!$E$1:$E$613,_REF_Model_Content!$A$1:$A$613,PV_Canonical_Industry,_REF_Model_Content!$B$1:$B$613,$C664)=0,1,SUMIFS(_REF_Model_Content!$E$1:$E$613,_REF_Model_Content!$A$1:$A$613,PV_Canonical_Industry,_REF_Model_Content!$B$1:$B$613,$C664))*IFERROR($BU664,1)),1),"")</f>
        <v>1</v>
      </c>
      <c r="AY664">
        <f t="shared" si="103"/>
        <v>18.5</v>
      </c>
      <c r="AZ664">
        <f t="shared" si="104"/>
        <v>1.2</v>
      </c>
      <c r="BB664" t="str">
        <f>IF($H664="","",IFERROR(INDEX(_ENGINE_Risk!$AE$5:$AE$499,MATCH($E664,_ENGINE_Risk!$A$5:$A$499,0)),"Medium"))</f>
        <v>Fast</v>
      </c>
      <c r="BC664">
        <f t="shared" si="105"/>
        <v>1.25</v>
      </c>
      <c r="BD664">
        <f t="shared" si="106"/>
        <v>1.2</v>
      </c>
      <c r="BF664">
        <f>IF(OR($H664="",$J664=""),"",IFERROR(VLOOKUP(ROUND($J664,0),_CONFIG_Model_Settings!$D$154:$E$158,2,0),""))</f>
        <v>0.5</v>
      </c>
      <c r="BG664">
        <f>IFERROR(IF(OR($H664="",$K664=""),"",ROUND('Company Profile'!$B$113*INDEX(_CONFIG_Model_Settings!$H$154:$H$158,MATCH(ROUND($K664,0),_CONFIG_Model_Settings!$G$154:$G$158,0)),0)),0)</f>
        <v>1875</v>
      </c>
      <c r="BH664">
        <f t="shared" si="107"/>
        <v>937.5</v>
      </c>
      <c r="BI664">
        <f t="shared" si="108"/>
        <v>937.5</v>
      </c>
      <c r="BJ664">
        <f>IF($E664="","",IFERROR(VLOOKUP($C664,_CONFIG_Risk_Calibration!$A$5:$H$21,2,FALSE),3))</f>
        <v>3</v>
      </c>
      <c r="BK664">
        <f>IF($E664="","",IFERROR(VLOOKUP($C664,_CONFIG_Risk_Calibration!$A$5:$H$21,3,FALSE),0))</f>
        <v>0</v>
      </c>
      <c r="BL664">
        <f>IF($E664="","",IFERROR(VLOOKUP($C664,_CONFIG_Risk_Calibration!$A$5:$H$21,4,FALSE),3))</f>
        <v>3</v>
      </c>
      <c r="BM664">
        <f>IF($E664="","",IFERROR(VLOOKUP($C664,_CONFIG_Risk_Calibration!$A$5:$H$21,5,FALSE),3))</f>
        <v>4</v>
      </c>
      <c r="BN664" t="str">
        <f>IF($E664="","",IFERROR(VLOOKUP($C664,_CONFIG_Risk_Calibration!$A$5:$H$21,6,FALSE),"No"))</f>
        <v>Yes</v>
      </c>
      <c r="BO664">
        <f>IF($E664="","",IFERROR(VLOOKUP($C664,_CONFIG_Risk_Calibration!$A$5:$H$21,7,FALSE),1))</f>
        <v>5</v>
      </c>
      <c r="BP664">
        <f>IF($H664="","",MAX(1,MIN(5,((6-$H664)*0.45)+($BJ664*0.2)+('Resilience &amp; Risk Scenario'!$B$7*0.15)+($BK664*0.1)+($BL664*0.05)+(IF($BB664="Fast",5,IF($BB664="Slow",1,3))*0.05))))</f>
        <v>3.7</v>
      </c>
      <c r="BQ664">
        <f t="shared" si="109"/>
        <v>5</v>
      </c>
      <c r="BR664">
        <f t="shared" si="110"/>
        <v>18.5</v>
      </c>
      <c r="BS664">
        <f t="shared" si="111"/>
        <v>25.44</v>
      </c>
      <c r="BT664" t="str">
        <f>IFERROR(INDEX(_REF_Capability_Bridge!$D:$D,MATCH($C664&amp;"|"&amp;$D664,_REF_Capability_Bridge!$J:$J,0)),IFERROR(INDEX(_REF_Capability_Bridge!$D:$D,MATCH($C664&amp;"|",_REF_Capability_Bridge!$J:$J,0)),"CAP_GENERIC"))</f>
        <v>CAP_BACKUP_RECOVERY</v>
      </c>
      <c r="BU664">
        <f>IFERROR(IFERROR(INDEX(_ENGINE_Relevance!$L:$L,MATCH($BT664,_ENGINE_Relevance!$B:$B,0)),1),1)</f>
        <v>1</v>
      </c>
      <c r="BV664" t="str">
        <f>IFERROR(INDEX(_REF_Capability_Bridge!$A:$A,MATCH($C664&amp;"|"&amp;$D664,_REF_Capability_Bridge!$J:$J,0)),IFERROR(INDEX(_REF_Capability_Bridge!$A:$A,MATCH($C664&amp;"|",_REF_Capability_Bridge!$J:$J,0)),"No bridge"))</f>
        <v>BRG-070</v>
      </c>
      <c r="BW664" t="str">
        <f t="shared" si="112"/>
        <v>Capability relevance neutral</v>
      </c>
      <c r="BX664" t="str">
        <f t="shared" si="113"/>
        <v>Initial / absent</v>
      </c>
      <c r="BY664" t="str">
        <f>IF($E664="","",IFERROR(INDEX(_REF_Treatment_Library!$A$2:$A$296,MATCH(1,INDEX((_REF_Treatment_Library!$B$2:$B$296=$BT664)*(_REF_Treatment_Library!$C$2:$C$296=PV_Canonical_Industry)*(_REF_Treatment_Library!$E$2:$E$296&lt;=N($H664))*(_REF_Treatment_Library!$F$2:$F$296&gt;=N($H664))*(_REF_Treatment_Library!$O$2:$O$296="Yes"),0),0)),IFERROR(INDEX(_REF_Treatment_Library!$A$2:$A$296,MATCH(1,INDEX((_REF_Treatment_Library!$B$2:$B$296=$BT664)*(_REF_Treatment_Library!$C$2:$C$296="All")*(_REF_Treatment_Library!$E$2:$E$296&lt;=N($H664))*(_REF_Treatment_Library!$F$2:$F$296&gt;=N($H664))*(_REF_Treatment_Library!$O$2:$O$296="Yes"),0),0)),"")))</f>
        <v>TRT-BACKUP_RECOVERY-INITIAL</v>
      </c>
      <c r="BZ664" t="str">
        <f>IF($BY664="","",IFERROR(INDEX(_REF_Treatment_Library!$H$2:$H$296,MATCH($BY664,_REF_Treatment_Library!$A$2:$A$296,0)),""))</f>
        <v>Establish</v>
      </c>
      <c r="CA664" t="str">
        <f>IF($BY664="","",IFERROR(INDEX(_REF_Treatment_Library!$I$2:$I$296,MATCH($BY664,_REF_Treatment_Library!$A$2:$A$296,0)),""))</f>
        <v>Establish baseline controls for Backup / recovery</v>
      </c>
      <c r="CB664" t="str">
        <f>IF($BY664="","",IFERROR(INDEX(_REF_Treatment_Library!$K$2:$K$296,MATCH($BY664,_REF_Treatment_Library!$A$2:$A$296,0)),""))</f>
        <v>Named owner, baseline process, minimum control checklist, first evidence package</v>
      </c>
      <c r="CC664" t="str">
        <f>IF($BY664="","",IFERROR(INDEX(_REF_Treatment_Library!$L$2:$L$296,MATCH($BY664,_REF_Treatment_Library!$A$2:$A$296,0)),""))</f>
        <v>Owner assigned; baseline evidence coverage; open critical gaps</v>
      </c>
      <c r="CD664" t="str">
        <f t="shared" si="114"/>
        <v>Treatment by capability=CAP_BACKUP_RECOVERY; band=Initial / absent; score=0.0; treatment=Establish</v>
      </c>
      <c r="CE664" t="str">
        <f>IF($E664="","",IFERROR(INDEX(_REF_Industry_Wording!$A$2:$A$70,MATCH(1,INDEX((_REF_Industry_Wording!$B$2:$B$70=$BT664)*(_REF_Industry_Wording!$C$2:$C$70=PV_Canonical_Industry)*(_REF_Industry_Wording!$K$2:$K$70="Yes"),0),0)),IFERROR(INDEX(_REF_Industry_Wording!$A$2:$A$70,MATCH(1,INDEX((_REF_Industry_Wording!$B$2:$B$70=$BT664)*(_REF_Industry_Wording!$C$2:$C$70="All")*(_REF_Industry_Wording!$K$2:$K$70="Yes"),0),0)),"")))</f>
        <v>IW-ALL-BACKUP_RECOVERY</v>
      </c>
      <c r="CF664" t="str">
        <f>IF($CE664="","",IFERROR(INDEX(_REF_Industry_Wording!$E$2:$E$70,MATCH($CE664,_REF_Industry_Wording!$A$2:$A$70,0)),""))</f>
        <v>Backup / recovery weakness</v>
      </c>
      <c r="CG664" t="str">
        <f>IF($CE664="","",IFERROR(INDEX(_REF_Industry_Wording!$F$2:$F$70,MATCH($CE664,_REF_Industry_Wording!$A$2:$A$70,0)),""))</f>
        <v>Strengthen Backup / recovery</v>
      </c>
      <c r="CH664" t="str">
        <f>IF($CE664="","",IFERROR(INDEX(_REF_Industry_Wording!$G$2:$G$70,MATCH($CE664,_REF_Industry_Wording!$A$2:$A$70,0)),""))</f>
        <v>Strengthen Backup / recovery using the selected maturity treatment, crisis scenario and evidence requirements.</v>
      </c>
      <c r="CI664" t="str">
        <f>IF($CE664="","",IFERROR(INDEX(_REF_Industry_Wording!$H$2:$H$70,MATCH($CE664,_REF_Industry_Wording!$A$2:$A$70,0)),""))</f>
        <v>Backup / recovery</v>
      </c>
      <c r="CJ664">
        <f>IF($CE664="","",IFERROR(INDEX(_REF_Industry_Wording!$I$2:$I$70,MATCH($CE664,_REF_Industry_Wording!$A$2:$A$70,0)),""))</f>
        <v>0</v>
      </c>
      <c r="CK664" t="str">
        <f>IF($CE664="","",IFERROR(INDEX(_REF_Industry_Wording!$J$2:$J$70,MATCH($CE664,_REF_Industry_Wording!$A$2:$A$70,0)),""))</f>
        <v>Backup / recovery</v>
      </c>
      <c r="CL664" t="str">
        <f t="shared" si="115"/>
        <v>Wording by industry=0; capability=CAP_BACKUP_RECOVERY; risk label=Backup / recovery weakness</v>
      </c>
      <c r="CM664" t="str">
        <f t="shared" si="116"/>
        <v>RISK-ONT-0165</v>
      </c>
      <c r="CN664" t="str">
        <f t="shared" si="117"/>
        <v>RISK-EVT-0165</v>
      </c>
      <c r="CO664" t="str">
        <f t="shared" si="118"/>
        <v>Physical Safety|Utilities and resilience|PHYS-025|CAP_BACKUP_RECOVERY</v>
      </c>
      <c r="CP664" t="str">
        <f t="shared" si="119"/>
        <v>Active</v>
      </c>
      <c r="CQ664" t="str">
        <f t="shared" si="120"/>
        <v>OK: capability-driven</v>
      </c>
      <c r="CR664" t="str">
        <f t="shared" si="121"/>
        <v>Risk ontology uses capability=CAP_BACKUP_RECOVERY; bridge=BRG-070; treatment=TRT-BACKUP_RECOVERY-INITIAL; wording=IW-ALL-BACKUP_RECOVERY</v>
      </c>
      <c r="CS664" t="str">
        <f t="shared" si="122"/>
        <v>Yes</v>
      </c>
    </row>
    <row r="665" spans="1:97" ht="69.900000000000006" customHeight="1">
      <c r="A665">
        <f>IF(OR($B665&lt;&gt;"Yes",$BS665=""),"",SUMPRODUCT(($B$500:$B$923="Yes")*ISNUMBER($BS$500:$BS$923)*($BS$500:$BS$923&gt;$BS665))+COUNTIFS($B$500:$B665,"Yes",$BS$500:$BS665,$BS665))</f>
        <v>14</v>
      </c>
      <c r="B665" t="str">
        <f t="shared" si="91"/>
        <v>Yes</v>
      </c>
      <c r="C665" t="s">
        <v>1666</v>
      </c>
      <c r="D665" t="s">
        <v>1689</v>
      </c>
      <c r="E665" t="s">
        <v>1817</v>
      </c>
      <c r="F665" t="s">
        <v>3685</v>
      </c>
      <c r="G665" t="str">
        <f>IF($H665="","",IFERROR(INDEX(_ENGINE_Risk!$H$5:$M$499,MATCH($E665,_ENGINE_Risk!$A$5:$A$499,0),$H665+1),""))</f>
        <v>Severe risk: backup internet and telecom connectivity at critical sites is not reliably controlled. During Safety incident; Physical site loss; War/security crisis; Natural disaster, the organization may face injury, unsafe facilities, uncontrolled access, asset loss and failure to protect people during incidents with limited visibility or accountability.</v>
      </c>
      <c r="H665">
        <f>IFERROR(VALUE(INDEX(_DATA_Assessment_Model!$H$5:$H$884,MATCH($E665,_DATA_Assessment_Model!$A$5:$A$884,0))),"")</f>
        <v>0</v>
      </c>
      <c r="I665" t="str">
        <f>IF($H665="","",IFERROR(INDEX(_DATA_Assessment_Model!$L$5:$L$884,MATCH($E665,_DATA_Assessment_Model!$A$5:$A$884,0)),IF($H665&lt;=1,"Critical",IF($H665=2,"High",IF($H665=3,"Medium",IF($H665=4,"Low","Resilient"))))))</f>
        <v>Critical</v>
      </c>
      <c r="J665">
        <f t="shared" si="92"/>
        <v>3.7</v>
      </c>
      <c r="K665">
        <f t="shared" si="93"/>
        <v>5</v>
      </c>
      <c r="L665">
        <f t="shared" si="94"/>
        <v>18.5</v>
      </c>
      <c r="M665">
        <f t="shared" si="95"/>
        <v>4</v>
      </c>
      <c r="N665">
        <f>IF($H665="","",IFERROR(INDEX(_ENGINE_Risk!$T$5:$Y$499,MATCH($E665,_ENGINE_Risk!$A$5:$A$499,0),$H665+1),""))</f>
        <v>4</v>
      </c>
      <c r="O665">
        <f t="shared" si="96"/>
        <v>5</v>
      </c>
      <c r="P665">
        <f t="shared" si="97"/>
        <v>5</v>
      </c>
      <c r="Q665">
        <f t="shared" si="98"/>
        <v>5</v>
      </c>
      <c r="R665">
        <f t="shared" si="99"/>
        <v>5</v>
      </c>
      <c r="S665">
        <f t="shared" si="100"/>
        <v>1.25</v>
      </c>
      <c r="T665" t="str">
        <f>IF($H665="","",IFERROR(INDEX(_ENGINE_Risk!$N$5:$S$499,MATCH($E665,_ENGINE_Risk!$A$5:$A$499,0),$H665+1),""))</f>
        <v>Create an immediate risk owner, minimum control baseline and fallback procedure for backup internet and telecom connectivity at critical sites. Add it to the crisis risk register and collect first evidence.</v>
      </c>
      <c r="U665">
        <f>IFERROR(INDEX(_DATA_Assessment_Model!$G$5:$G$884,MATCH($E665,_DATA_Assessment_Model!$A$5:$A$884,0)),"")</f>
        <v>5</v>
      </c>
      <c r="V665">
        <f>IFERROR(INDEX(_DATA_Assessment_Model!$W$5:$W$884,MATCH($E665,_DATA_Assessment_Model!$A$5:$A$884,0)),"")</f>
        <v>5</v>
      </c>
      <c r="W665">
        <f>IFERROR(INDEX(_DATA_Assessment_Model!$X$5:$X$884,MATCH($E665,_DATA_Assessment_Model!$A$5:$A$884,0)),"")</f>
        <v>5</v>
      </c>
      <c r="X665">
        <f>IFERROR(INDEX(_DATA_Assessment_Model!$Y$5:$Y$884,MATCH($E665,_DATA_Assessment_Model!$A$5:$A$884,0)),"")</f>
        <v>5</v>
      </c>
      <c r="Y665" t="s">
        <v>1673</v>
      </c>
      <c r="Z665" t="s">
        <v>6587</v>
      </c>
      <c r="AA665" t="s">
        <v>1819</v>
      </c>
      <c r="AB665">
        <f>IFERROR(INDEX(_DATA_Assessment_Model!$U$5:$U$884,MATCH($E665,_DATA_Assessment_Model!$A$5:$A$884,0)),"")</f>
        <v>0</v>
      </c>
      <c r="AF665" t="s">
        <v>1818</v>
      </c>
      <c r="AO665">
        <f>IF($B665="Yes",IF(IFERROR(INDEX(_ENGINE_Crisis!$F$501:$F$517,MATCH($C665,_ENGINE_Crisis!$A$501:$A$517,0)),1)=0,1,IFERROR(INDEX(_ENGINE_Crisis!$F$501:$F$517,MATCH($C665,_ENGINE_Crisis!$A$501:$A$517,0)),1)),"")</f>
        <v>1</v>
      </c>
      <c r="AP665">
        <f t="shared" si="101"/>
        <v>18.5</v>
      </c>
      <c r="AQ665">
        <f t="shared" si="102"/>
        <v>1.25</v>
      </c>
      <c r="AR665" t="str">
        <f>IFERROR(INDEX(_ENGINE_Crisis!$E$41:$E$700,MATCH('Resilience &amp; Risk Scenario'!$B$6&amp;"|"&amp;$C665,_ENGINE_Crisis!$I$41:$I$700,0)),"")</f>
        <v/>
      </c>
      <c r="AS665" t="str">
        <f>IFERROR(INDEX(_ENGINE_Crisis!$G$41:$G$700,MATCH('Resilience &amp; Risk Scenario'!$B$6&amp;"|"&amp;$C665,_ENGINE_Crisis!$I$41:$I$700,0)),"")</f>
        <v/>
      </c>
      <c r="AT665" t="str">
        <f>IFERROR(INDEX(_ENGINE_Initiatives!$A$5:$A$532,MATCH(1,INDEX((_ENGINE_Initiatives!$B$5:$B$532=$C665)*(_ENGINE_Initiatives!$C$5:$C$532=$D665),0),0)),"")</f>
        <v>INI-027</v>
      </c>
      <c r="AU665" t="str">
        <f>IFERROR(INDEX(_ENGINE_Initiatives!$F$5:$F$532,MATCH(1,INDEX((_ENGINE_Initiatives!$B$5:$B$532=$C665)*(_ENGINE_Initiatives!$C$5:$C$532=$D665),0),0)),"")</f>
        <v>Build utilities backup and facility resilience plan</v>
      </c>
      <c r="AV665">
        <f>IFERROR(INDEX(_ENGINE_Initiatives!$AC$5:$AC$532,MATCH(1,INDEX((_ENGINE_Initiatives!$B$5:$B$532=$C665)*(_ENGINE_Initiatives!$C$5:$C$532=$D665),0),0)),"")</f>
        <v>1.82</v>
      </c>
      <c r="AW665" t="str">
        <f>IFERROR(INDEX(_ENGINE_Initiatives!$AE$5:$AE$532,MATCH(1,INDEX((_ENGINE_Initiatives!$B$5:$B$532=$C665)*(_ENGINE_Initiatives!$C$5:$C$532=$D665),0),0)),"")</f>
        <v>3-6 months</v>
      </c>
      <c r="AX665">
        <f>IF($B665="Yes",IFERROR((IF(SUMIFS(_REF_Model_Content!$E$1:$E$613,_REF_Model_Content!$A$1:$A$613,PV_Canonical_Industry,_REF_Model_Content!$B$1:$B$613,$C665)=0,1,SUMIFS(_REF_Model_Content!$E$1:$E$613,_REF_Model_Content!$A$1:$A$613,PV_Canonical_Industry,_REF_Model_Content!$B$1:$B$613,$C665))*IFERROR($BU665,1)),1),"")</f>
        <v>1</v>
      </c>
      <c r="AY665">
        <f t="shared" si="103"/>
        <v>18.5</v>
      </c>
      <c r="AZ665">
        <f t="shared" si="104"/>
        <v>1.25</v>
      </c>
      <c r="BB665" t="str">
        <f>IF($H665="","",IFERROR(INDEX(_ENGINE_Risk!$AE$5:$AE$499,MATCH($E665,_ENGINE_Risk!$A$5:$A$499,0)),"Medium"))</f>
        <v>Fast</v>
      </c>
      <c r="BC665">
        <f t="shared" si="105"/>
        <v>1.25</v>
      </c>
      <c r="BD665">
        <f t="shared" si="106"/>
        <v>1.25</v>
      </c>
      <c r="BF665">
        <f>IF(OR($H665="",$J665=""),"",IFERROR(VLOOKUP(ROUND($J665,0),_CONFIG_Model_Settings!$D$154:$E$158,2,0),""))</f>
        <v>0.5</v>
      </c>
      <c r="BG665">
        <f>IFERROR(IF(OR($H665="",$K665=""),"",ROUND('Company Profile'!$B$113*INDEX(_CONFIG_Model_Settings!$H$154:$H$158,MATCH(ROUND($K665,0),_CONFIG_Model_Settings!$G$154:$G$158,0)),0)),0)</f>
        <v>1875</v>
      </c>
      <c r="BH665">
        <f t="shared" si="107"/>
        <v>937.5</v>
      </c>
      <c r="BI665">
        <f t="shared" si="108"/>
        <v>937.5</v>
      </c>
      <c r="BJ665">
        <f>IF($E665="","",IFERROR(VLOOKUP($C665,_CONFIG_Risk_Calibration!$A$5:$H$21,2,FALSE),3))</f>
        <v>3</v>
      </c>
      <c r="BK665">
        <f>IF($E665="","",IFERROR(VLOOKUP($C665,_CONFIG_Risk_Calibration!$A$5:$H$21,3,FALSE),0))</f>
        <v>0</v>
      </c>
      <c r="BL665">
        <f>IF($E665="","",IFERROR(VLOOKUP($C665,_CONFIG_Risk_Calibration!$A$5:$H$21,4,FALSE),3))</f>
        <v>3</v>
      </c>
      <c r="BM665">
        <f>IF($E665="","",IFERROR(VLOOKUP($C665,_CONFIG_Risk_Calibration!$A$5:$H$21,5,FALSE),3))</f>
        <v>4</v>
      </c>
      <c r="BN665" t="str">
        <f>IF($E665="","",IFERROR(VLOOKUP($C665,_CONFIG_Risk_Calibration!$A$5:$H$21,6,FALSE),"No"))</f>
        <v>Yes</v>
      </c>
      <c r="BO665">
        <f>IF($E665="","",IFERROR(VLOOKUP($C665,_CONFIG_Risk_Calibration!$A$5:$H$21,7,FALSE),1))</f>
        <v>5</v>
      </c>
      <c r="BP665">
        <f>IF($H665="","",MAX(1,MIN(5,((6-$H665)*0.45)+($BJ665*0.2)+('Resilience &amp; Risk Scenario'!$B$7*0.15)+($BK665*0.1)+($BL665*0.05)+(IF($BB665="Fast",5,IF($BB665="Slow",1,3))*0.05))))</f>
        <v>3.7</v>
      </c>
      <c r="BQ665">
        <f t="shared" si="109"/>
        <v>5</v>
      </c>
      <c r="BR665">
        <f t="shared" si="110"/>
        <v>18.5</v>
      </c>
      <c r="BS665">
        <f t="shared" si="111"/>
        <v>25.44</v>
      </c>
      <c r="BT665" t="str">
        <f>IFERROR(INDEX(_REF_Capability_Bridge!$D:$D,MATCH($C665&amp;"|"&amp;$D665,_REF_Capability_Bridge!$J:$J,0)),IFERROR(INDEX(_REF_Capability_Bridge!$D:$D,MATCH($C665&amp;"|",_REF_Capability_Bridge!$J:$J,0)),"CAP_GENERIC"))</f>
        <v>CAP_BACKUP_RECOVERY</v>
      </c>
      <c r="BU665">
        <f>IFERROR(IFERROR(INDEX(_ENGINE_Relevance!$L:$L,MATCH($BT665,_ENGINE_Relevance!$B:$B,0)),1),1)</f>
        <v>1</v>
      </c>
      <c r="BV665" t="str">
        <f>IFERROR(INDEX(_REF_Capability_Bridge!$A:$A,MATCH($C665&amp;"|"&amp;$D665,_REF_Capability_Bridge!$J:$J,0)),IFERROR(INDEX(_REF_Capability_Bridge!$A:$A,MATCH($C665&amp;"|",_REF_Capability_Bridge!$J:$J,0)),"No bridge"))</f>
        <v>BRG-070</v>
      </c>
      <c r="BW665" t="str">
        <f t="shared" si="112"/>
        <v>Capability relevance neutral</v>
      </c>
      <c r="BX665" t="str">
        <f t="shared" si="113"/>
        <v>Initial / absent</v>
      </c>
      <c r="BY665" t="str">
        <f>IF($E665="","",IFERROR(INDEX(_REF_Treatment_Library!$A$2:$A$296,MATCH(1,INDEX((_REF_Treatment_Library!$B$2:$B$296=$BT665)*(_REF_Treatment_Library!$C$2:$C$296=PV_Canonical_Industry)*(_REF_Treatment_Library!$E$2:$E$296&lt;=N($H665))*(_REF_Treatment_Library!$F$2:$F$296&gt;=N($H665))*(_REF_Treatment_Library!$O$2:$O$296="Yes"),0),0)),IFERROR(INDEX(_REF_Treatment_Library!$A$2:$A$296,MATCH(1,INDEX((_REF_Treatment_Library!$B$2:$B$296=$BT665)*(_REF_Treatment_Library!$C$2:$C$296="All")*(_REF_Treatment_Library!$E$2:$E$296&lt;=N($H665))*(_REF_Treatment_Library!$F$2:$F$296&gt;=N($H665))*(_REF_Treatment_Library!$O$2:$O$296="Yes"),0),0)),"")))</f>
        <v>TRT-BACKUP_RECOVERY-INITIAL</v>
      </c>
      <c r="BZ665" t="str">
        <f>IF($BY665="","",IFERROR(INDEX(_REF_Treatment_Library!$H$2:$H$296,MATCH($BY665,_REF_Treatment_Library!$A$2:$A$296,0)),""))</f>
        <v>Establish</v>
      </c>
      <c r="CA665" t="str">
        <f>IF($BY665="","",IFERROR(INDEX(_REF_Treatment_Library!$I$2:$I$296,MATCH($BY665,_REF_Treatment_Library!$A$2:$A$296,0)),""))</f>
        <v>Establish baseline controls for Backup / recovery</v>
      </c>
      <c r="CB665" t="str">
        <f>IF($BY665="","",IFERROR(INDEX(_REF_Treatment_Library!$K$2:$K$296,MATCH($BY665,_REF_Treatment_Library!$A$2:$A$296,0)),""))</f>
        <v>Named owner, baseline process, minimum control checklist, first evidence package</v>
      </c>
      <c r="CC665" t="str">
        <f>IF($BY665="","",IFERROR(INDEX(_REF_Treatment_Library!$L$2:$L$296,MATCH($BY665,_REF_Treatment_Library!$A$2:$A$296,0)),""))</f>
        <v>Owner assigned; baseline evidence coverage; open critical gaps</v>
      </c>
      <c r="CD665" t="str">
        <f t="shared" si="114"/>
        <v>Treatment by capability=CAP_BACKUP_RECOVERY; band=Initial / absent; score=0.0; treatment=Establish</v>
      </c>
      <c r="CE665" t="str">
        <f>IF($E665="","",IFERROR(INDEX(_REF_Industry_Wording!$A$2:$A$70,MATCH(1,INDEX((_REF_Industry_Wording!$B$2:$B$70=$BT665)*(_REF_Industry_Wording!$C$2:$C$70=PV_Canonical_Industry)*(_REF_Industry_Wording!$K$2:$K$70="Yes"),0),0)),IFERROR(INDEX(_REF_Industry_Wording!$A$2:$A$70,MATCH(1,INDEX((_REF_Industry_Wording!$B$2:$B$70=$BT665)*(_REF_Industry_Wording!$C$2:$C$70="All")*(_REF_Industry_Wording!$K$2:$K$70="Yes"),0),0)),"")))</f>
        <v>IW-ALL-BACKUP_RECOVERY</v>
      </c>
      <c r="CF665" t="str">
        <f>IF($CE665="","",IFERROR(INDEX(_REF_Industry_Wording!$E$2:$E$70,MATCH($CE665,_REF_Industry_Wording!$A$2:$A$70,0)),""))</f>
        <v>Backup / recovery weakness</v>
      </c>
      <c r="CG665" t="str">
        <f>IF($CE665="","",IFERROR(INDEX(_REF_Industry_Wording!$F$2:$F$70,MATCH($CE665,_REF_Industry_Wording!$A$2:$A$70,0)),""))</f>
        <v>Strengthen Backup / recovery</v>
      </c>
      <c r="CH665" t="str">
        <f>IF($CE665="","",IFERROR(INDEX(_REF_Industry_Wording!$G$2:$G$70,MATCH($CE665,_REF_Industry_Wording!$A$2:$A$70,0)),""))</f>
        <v>Strengthen Backup / recovery using the selected maturity treatment, crisis scenario and evidence requirements.</v>
      </c>
      <c r="CI665" t="str">
        <f>IF($CE665="","",IFERROR(INDEX(_REF_Industry_Wording!$H$2:$H$70,MATCH($CE665,_REF_Industry_Wording!$A$2:$A$70,0)),""))</f>
        <v>Backup / recovery</v>
      </c>
      <c r="CJ665">
        <f>IF($CE665="","",IFERROR(INDEX(_REF_Industry_Wording!$I$2:$I$70,MATCH($CE665,_REF_Industry_Wording!$A$2:$A$70,0)),""))</f>
        <v>0</v>
      </c>
      <c r="CK665" t="str">
        <f>IF($CE665="","",IFERROR(INDEX(_REF_Industry_Wording!$J$2:$J$70,MATCH($CE665,_REF_Industry_Wording!$A$2:$A$70,0)),""))</f>
        <v>Backup / recovery</v>
      </c>
      <c r="CL665" t="str">
        <f t="shared" si="115"/>
        <v>Wording by industry=0; capability=CAP_BACKUP_RECOVERY; risk label=Backup / recovery weakness</v>
      </c>
      <c r="CM665" t="str">
        <f t="shared" si="116"/>
        <v>RISK-ONT-0166</v>
      </c>
      <c r="CN665" t="str">
        <f t="shared" si="117"/>
        <v>RISK-EVT-0166</v>
      </c>
      <c r="CO665" t="str">
        <f t="shared" si="118"/>
        <v>Physical Safety|Utilities and resilience|PHYS-026|CAP_BACKUP_RECOVERY</v>
      </c>
      <c r="CP665" t="str">
        <f t="shared" si="119"/>
        <v>Active</v>
      </c>
      <c r="CQ665" t="str">
        <f t="shared" si="120"/>
        <v>OK: capability-driven</v>
      </c>
      <c r="CR665" t="str">
        <f t="shared" si="121"/>
        <v>Risk ontology uses capability=CAP_BACKUP_RECOVERY; bridge=BRG-070; treatment=TRT-BACKUP_RECOVERY-INITIAL; wording=IW-ALL-BACKUP_RECOVERY</v>
      </c>
      <c r="CS665" t="str">
        <f t="shared" si="122"/>
        <v>Yes</v>
      </c>
    </row>
    <row r="666" spans="1:97" ht="69.900000000000006" customHeight="1">
      <c r="A666">
        <f>IF(OR($B666&lt;&gt;"Yes",$BS666=""),"",SUMPRODUCT(($B$500:$B$923="Yes")*ISNUMBER($BS$500:$BS$923)*($BS$500:$BS$923&gt;$BS666))+COUNTIFS($B$500:$B666,"Yes",$BS$500:$BS666,$BS666))</f>
        <v>15</v>
      </c>
      <c r="B666" t="str">
        <f t="shared" si="91"/>
        <v>Yes</v>
      </c>
      <c r="C666" t="s">
        <v>1666</v>
      </c>
      <c r="D666" t="s">
        <v>1689</v>
      </c>
      <c r="E666" t="s">
        <v>1820</v>
      </c>
      <c r="F666" t="s">
        <v>3685</v>
      </c>
      <c r="G666" t="str">
        <f>IF($H666="","",IFERROR(INDEX(_ENGINE_Risk!$H$5:$M$499,MATCH($E666,_ENGINE_Risk!$A$5:$A$499,0),$H666+1),""))</f>
        <v>Severe risk: preventive maintenance for safety-critical facility systems is not reliably controlled. During Safety incident; Physical site loss; War/security crisis; Natural disaster, the organization may face injury, unsafe facilities, uncontrolled access, asset loss and failure to protect people during incidents with limited visibility or accountability.</v>
      </c>
      <c r="H666">
        <f>IFERROR(VALUE(INDEX(_DATA_Assessment_Model!$H$5:$H$884,MATCH($E666,_DATA_Assessment_Model!$A$5:$A$884,0))),"")</f>
        <v>0</v>
      </c>
      <c r="I666" t="str">
        <f>IF($H666="","",IFERROR(INDEX(_DATA_Assessment_Model!$L$5:$L$884,MATCH($E666,_DATA_Assessment_Model!$A$5:$A$884,0)),IF($H666&lt;=1,"Critical",IF($H666=2,"High",IF($H666=3,"Medium",IF($H666=4,"Low","Resilient"))))))</f>
        <v>Critical</v>
      </c>
      <c r="J666">
        <f t="shared" si="92"/>
        <v>3.7</v>
      </c>
      <c r="K666">
        <f t="shared" si="93"/>
        <v>5</v>
      </c>
      <c r="L666">
        <f t="shared" si="94"/>
        <v>18.5</v>
      </c>
      <c r="M666">
        <f t="shared" si="95"/>
        <v>4</v>
      </c>
      <c r="N666">
        <f>IF($H666="","",IFERROR(INDEX(_ENGINE_Risk!$T$5:$Y$499,MATCH($E666,_ENGINE_Risk!$A$5:$A$499,0),$H666+1),""))</f>
        <v>4</v>
      </c>
      <c r="O666">
        <f t="shared" si="96"/>
        <v>4.666666666666667</v>
      </c>
      <c r="P666">
        <f t="shared" si="97"/>
        <v>5</v>
      </c>
      <c r="Q666">
        <f t="shared" si="98"/>
        <v>5</v>
      </c>
      <c r="R666">
        <f t="shared" si="99"/>
        <v>4.5</v>
      </c>
      <c r="S666">
        <f t="shared" si="100"/>
        <v>1.2</v>
      </c>
      <c r="T666" t="str">
        <f>IF($H666="","",IFERROR(INDEX(_ENGINE_Risk!$N$5:$S$499,MATCH($E666,_ENGINE_Risk!$A$5:$A$499,0),$H666+1),""))</f>
        <v>Create an immediate risk owner, minimum control baseline and fallback procedure for preventive maintenance for safety-critical facility systems. Add it to the crisis risk register and collect first evidence.</v>
      </c>
      <c r="U666">
        <f>IFERROR(INDEX(_DATA_Assessment_Model!$G$5:$G$884,MATCH($E666,_DATA_Assessment_Model!$A$5:$A$884,0)),"")</f>
        <v>5</v>
      </c>
      <c r="V666">
        <f>IFERROR(INDEX(_DATA_Assessment_Model!$W$5:$W$884,MATCH($E666,_DATA_Assessment_Model!$A$5:$A$884,0)),"")</f>
        <v>4</v>
      </c>
      <c r="W666">
        <f>IFERROR(INDEX(_DATA_Assessment_Model!$X$5:$X$884,MATCH($E666,_DATA_Assessment_Model!$A$5:$A$884,0)),"")</f>
        <v>5</v>
      </c>
      <c r="X666">
        <f>IFERROR(INDEX(_DATA_Assessment_Model!$Y$5:$Y$884,MATCH($E666,_DATA_Assessment_Model!$A$5:$A$884,0)),"")</f>
        <v>5</v>
      </c>
      <c r="Y666" t="s">
        <v>1673</v>
      </c>
      <c r="Z666" t="s">
        <v>6587</v>
      </c>
      <c r="AA666" t="s">
        <v>1822</v>
      </c>
      <c r="AB666">
        <f>IFERROR(INDEX(_DATA_Assessment_Model!$U$5:$U$884,MATCH($E666,_DATA_Assessment_Model!$A$5:$A$884,0)),"")</f>
        <v>0</v>
      </c>
      <c r="AF666" t="s">
        <v>1821</v>
      </c>
      <c r="AO666">
        <f>IF($B666="Yes",IF(IFERROR(INDEX(_ENGINE_Crisis!$F$501:$F$517,MATCH($C666,_ENGINE_Crisis!$A$501:$A$517,0)),1)=0,1,IFERROR(INDEX(_ENGINE_Crisis!$F$501:$F$517,MATCH($C666,_ENGINE_Crisis!$A$501:$A$517,0)),1)),"")</f>
        <v>1</v>
      </c>
      <c r="AP666">
        <f t="shared" si="101"/>
        <v>18.5</v>
      </c>
      <c r="AQ666">
        <f t="shared" si="102"/>
        <v>1.2</v>
      </c>
      <c r="AR666" t="str">
        <f>IFERROR(INDEX(_ENGINE_Crisis!$E$41:$E$700,MATCH('Resilience &amp; Risk Scenario'!$B$6&amp;"|"&amp;$C666,_ENGINE_Crisis!$I$41:$I$700,0)),"")</f>
        <v/>
      </c>
      <c r="AS666" t="str">
        <f>IFERROR(INDEX(_ENGINE_Crisis!$G$41:$G$700,MATCH('Resilience &amp; Risk Scenario'!$B$6&amp;"|"&amp;$C666,_ENGINE_Crisis!$I$41:$I$700,0)),"")</f>
        <v/>
      </c>
      <c r="AT666" t="str">
        <f>IFERROR(INDEX(_ENGINE_Initiatives!$A$5:$A$532,MATCH(1,INDEX((_ENGINE_Initiatives!$B$5:$B$532=$C666)*(_ENGINE_Initiatives!$C$5:$C$532=$D666),0),0)),"")</f>
        <v>INI-027</v>
      </c>
      <c r="AU666" t="str">
        <f>IFERROR(INDEX(_ENGINE_Initiatives!$F$5:$F$532,MATCH(1,INDEX((_ENGINE_Initiatives!$B$5:$B$532=$C666)*(_ENGINE_Initiatives!$C$5:$C$532=$D666),0),0)),"")</f>
        <v>Build utilities backup and facility resilience plan</v>
      </c>
      <c r="AV666">
        <f>IFERROR(INDEX(_ENGINE_Initiatives!$AC$5:$AC$532,MATCH(1,INDEX((_ENGINE_Initiatives!$B$5:$B$532=$C666)*(_ENGINE_Initiatives!$C$5:$C$532=$D666),0),0)),"")</f>
        <v>1.82</v>
      </c>
      <c r="AW666" t="str">
        <f>IFERROR(INDEX(_ENGINE_Initiatives!$AE$5:$AE$532,MATCH(1,INDEX((_ENGINE_Initiatives!$B$5:$B$532=$C666)*(_ENGINE_Initiatives!$C$5:$C$532=$D666),0),0)),"")</f>
        <v>3-6 months</v>
      </c>
      <c r="AX666">
        <f>IF($B666="Yes",IFERROR((IF(SUMIFS(_REF_Model_Content!$E$1:$E$613,_REF_Model_Content!$A$1:$A$613,PV_Canonical_Industry,_REF_Model_Content!$B$1:$B$613,$C666)=0,1,SUMIFS(_REF_Model_Content!$E$1:$E$613,_REF_Model_Content!$A$1:$A$613,PV_Canonical_Industry,_REF_Model_Content!$B$1:$B$613,$C666))*IFERROR($BU666,1)),1),"")</f>
        <v>1</v>
      </c>
      <c r="AY666">
        <f t="shared" si="103"/>
        <v>18.5</v>
      </c>
      <c r="AZ666">
        <f t="shared" si="104"/>
        <v>1.2</v>
      </c>
      <c r="BB666" t="str">
        <f>IF($H666="","",IFERROR(INDEX(_ENGINE_Risk!$AE$5:$AE$499,MATCH($E666,_ENGINE_Risk!$A$5:$A$499,0)),"Medium"))</f>
        <v>Fast</v>
      </c>
      <c r="BC666">
        <f t="shared" si="105"/>
        <v>1.25</v>
      </c>
      <c r="BD666">
        <f t="shared" si="106"/>
        <v>1.2</v>
      </c>
      <c r="BF666">
        <f>IF(OR($H666="",$J666=""),"",IFERROR(VLOOKUP(ROUND($J666,0),_CONFIG_Model_Settings!$D$154:$E$158,2,0),""))</f>
        <v>0.5</v>
      </c>
      <c r="BG666">
        <f>IFERROR(IF(OR($H666="",$K666=""),"",ROUND('Company Profile'!$B$113*INDEX(_CONFIG_Model_Settings!$H$154:$H$158,MATCH(ROUND($K666,0),_CONFIG_Model_Settings!$G$154:$G$158,0)),0)),0)</f>
        <v>1875</v>
      </c>
      <c r="BH666">
        <f t="shared" si="107"/>
        <v>937.5</v>
      </c>
      <c r="BI666">
        <f t="shared" si="108"/>
        <v>937.5</v>
      </c>
      <c r="BJ666">
        <f>IF($E666="","",IFERROR(VLOOKUP($C666,_CONFIG_Risk_Calibration!$A$5:$H$21,2,FALSE),3))</f>
        <v>3</v>
      </c>
      <c r="BK666">
        <f>IF($E666="","",IFERROR(VLOOKUP($C666,_CONFIG_Risk_Calibration!$A$5:$H$21,3,FALSE),0))</f>
        <v>0</v>
      </c>
      <c r="BL666">
        <f>IF($E666="","",IFERROR(VLOOKUP($C666,_CONFIG_Risk_Calibration!$A$5:$H$21,4,FALSE),3))</f>
        <v>3</v>
      </c>
      <c r="BM666">
        <f>IF($E666="","",IFERROR(VLOOKUP($C666,_CONFIG_Risk_Calibration!$A$5:$H$21,5,FALSE),3))</f>
        <v>4</v>
      </c>
      <c r="BN666" t="str">
        <f>IF($E666="","",IFERROR(VLOOKUP($C666,_CONFIG_Risk_Calibration!$A$5:$H$21,6,FALSE),"No"))</f>
        <v>Yes</v>
      </c>
      <c r="BO666">
        <f>IF($E666="","",IFERROR(VLOOKUP($C666,_CONFIG_Risk_Calibration!$A$5:$H$21,7,FALSE),1))</f>
        <v>5</v>
      </c>
      <c r="BP666">
        <f>IF($H666="","",MAX(1,MIN(5,((6-$H666)*0.45)+($BJ666*0.2)+('Resilience &amp; Risk Scenario'!$B$7*0.15)+($BK666*0.1)+($BL666*0.05)+(IF($BB666="Fast",5,IF($BB666="Slow",1,3))*0.05))))</f>
        <v>3.7</v>
      </c>
      <c r="BQ666">
        <f t="shared" si="109"/>
        <v>5</v>
      </c>
      <c r="BR666">
        <f t="shared" si="110"/>
        <v>18.5</v>
      </c>
      <c r="BS666">
        <f t="shared" si="111"/>
        <v>25.44</v>
      </c>
      <c r="BT666" t="str">
        <f>IFERROR(INDEX(_REF_Capability_Bridge!$D:$D,MATCH($C666&amp;"|"&amp;$D666,_REF_Capability_Bridge!$J:$J,0)),IFERROR(INDEX(_REF_Capability_Bridge!$D:$D,MATCH($C666&amp;"|",_REF_Capability_Bridge!$J:$J,0)),"CAP_GENERIC"))</f>
        <v>CAP_BACKUP_RECOVERY</v>
      </c>
      <c r="BU666">
        <f>IFERROR(IFERROR(INDEX(_ENGINE_Relevance!$L:$L,MATCH($BT666,_ENGINE_Relevance!$B:$B,0)),1),1)</f>
        <v>1</v>
      </c>
      <c r="BV666" t="str">
        <f>IFERROR(INDEX(_REF_Capability_Bridge!$A:$A,MATCH($C666&amp;"|"&amp;$D666,_REF_Capability_Bridge!$J:$J,0)),IFERROR(INDEX(_REF_Capability_Bridge!$A:$A,MATCH($C666&amp;"|",_REF_Capability_Bridge!$J:$J,0)),"No bridge"))</f>
        <v>BRG-070</v>
      </c>
      <c r="BW666" t="str">
        <f t="shared" si="112"/>
        <v>Capability relevance neutral</v>
      </c>
      <c r="BX666" t="str">
        <f t="shared" si="113"/>
        <v>Initial / absent</v>
      </c>
      <c r="BY666" t="str">
        <f>IF($E666="","",IFERROR(INDEX(_REF_Treatment_Library!$A$2:$A$296,MATCH(1,INDEX((_REF_Treatment_Library!$B$2:$B$296=$BT666)*(_REF_Treatment_Library!$C$2:$C$296=PV_Canonical_Industry)*(_REF_Treatment_Library!$E$2:$E$296&lt;=N($H666))*(_REF_Treatment_Library!$F$2:$F$296&gt;=N($H666))*(_REF_Treatment_Library!$O$2:$O$296="Yes"),0),0)),IFERROR(INDEX(_REF_Treatment_Library!$A$2:$A$296,MATCH(1,INDEX((_REF_Treatment_Library!$B$2:$B$296=$BT666)*(_REF_Treatment_Library!$C$2:$C$296="All")*(_REF_Treatment_Library!$E$2:$E$296&lt;=N($H666))*(_REF_Treatment_Library!$F$2:$F$296&gt;=N($H666))*(_REF_Treatment_Library!$O$2:$O$296="Yes"),0),0)),"")))</f>
        <v>TRT-BACKUP_RECOVERY-INITIAL</v>
      </c>
      <c r="BZ666" t="str">
        <f>IF($BY666="","",IFERROR(INDEX(_REF_Treatment_Library!$H$2:$H$296,MATCH($BY666,_REF_Treatment_Library!$A$2:$A$296,0)),""))</f>
        <v>Establish</v>
      </c>
      <c r="CA666" t="str">
        <f>IF($BY666="","",IFERROR(INDEX(_REF_Treatment_Library!$I$2:$I$296,MATCH($BY666,_REF_Treatment_Library!$A$2:$A$296,0)),""))</f>
        <v>Establish baseline controls for Backup / recovery</v>
      </c>
      <c r="CB666" t="str">
        <f>IF($BY666="","",IFERROR(INDEX(_REF_Treatment_Library!$K$2:$K$296,MATCH($BY666,_REF_Treatment_Library!$A$2:$A$296,0)),""))</f>
        <v>Named owner, baseline process, minimum control checklist, first evidence package</v>
      </c>
      <c r="CC666" t="str">
        <f>IF($BY666="","",IFERROR(INDEX(_REF_Treatment_Library!$L$2:$L$296,MATCH($BY666,_REF_Treatment_Library!$A$2:$A$296,0)),""))</f>
        <v>Owner assigned; baseline evidence coverage; open critical gaps</v>
      </c>
      <c r="CD666" t="str">
        <f t="shared" si="114"/>
        <v>Treatment by capability=CAP_BACKUP_RECOVERY; band=Initial / absent; score=0.0; treatment=Establish</v>
      </c>
      <c r="CE666" t="str">
        <f>IF($E666="","",IFERROR(INDEX(_REF_Industry_Wording!$A$2:$A$70,MATCH(1,INDEX((_REF_Industry_Wording!$B$2:$B$70=$BT666)*(_REF_Industry_Wording!$C$2:$C$70=PV_Canonical_Industry)*(_REF_Industry_Wording!$K$2:$K$70="Yes"),0),0)),IFERROR(INDEX(_REF_Industry_Wording!$A$2:$A$70,MATCH(1,INDEX((_REF_Industry_Wording!$B$2:$B$70=$BT666)*(_REF_Industry_Wording!$C$2:$C$70="All")*(_REF_Industry_Wording!$K$2:$K$70="Yes"),0),0)),"")))</f>
        <v>IW-ALL-BACKUP_RECOVERY</v>
      </c>
      <c r="CF666" t="str">
        <f>IF($CE666="","",IFERROR(INDEX(_REF_Industry_Wording!$E$2:$E$70,MATCH($CE666,_REF_Industry_Wording!$A$2:$A$70,0)),""))</f>
        <v>Backup / recovery weakness</v>
      </c>
      <c r="CG666" t="str">
        <f>IF($CE666="","",IFERROR(INDEX(_REF_Industry_Wording!$F$2:$F$70,MATCH($CE666,_REF_Industry_Wording!$A$2:$A$70,0)),""))</f>
        <v>Strengthen Backup / recovery</v>
      </c>
      <c r="CH666" t="str">
        <f>IF($CE666="","",IFERROR(INDEX(_REF_Industry_Wording!$G$2:$G$70,MATCH($CE666,_REF_Industry_Wording!$A$2:$A$70,0)),""))</f>
        <v>Strengthen Backup / recovery using the selected maturity treatment, crisis scenario and evidence requirements.</v>
      </c>
      <c r="CI666" t="str">
        <f>IF($CE666="","",IFERROR(INDEX(_REF_Industry_Wording!$H$2:$H$70,MATCH($CE666,_REF_Industry_Wording!$A$2:$A$70,0)),""))</f>
        <v>Backup / recovery</v>
      </c>
      <c r="CJ666">
        <f>IF($CE666="","",IFERROR(INDEX(_REF_Industry_Wording!$I$2:$I$70,MATCH($CE666,_REF_Industry_Wording!$A$2:$A$70,0)),""))</f>
        <v>0</v>
      </c>
      <c r="CK666" t="str">
        <f>IF($CE666="","",IFERROR(INDEX(_REF_Industry_Wording!$J$2:$J$70,MATCH($CE666,_REF_Industry_Wording!$A$2:$A$70,0)),""))</f>
        <v>Backup / recovery</v>
      </c>
      <c r="CL666" t="str">
        <f t="shared" si="115"/>
        <v>Wording by industry=0; capability=CAP_BACKUP_RECOVERY; risk label=Backup / recovery weakness</v>
      </c>
      <c r="CM666" t="str">
        <f t="shared" si="116"/>
        <v>RISK-ONT-0167</v>
      </c>
      <c r="CN666" t="str">
        <f t="shared" si="117"/>
        <v>RISK-EVT-0167</v>
      </c>
      <c r="CO666" t="str">
        <f t="shared" si="118"/>
        <v>Physical Safety|Utilities and resilience|PHYS-027|CAP_BACKUP_RECOVERY</v>
      </c>
      <c r="CP666" t="str">
        <f t="shared" si="119"/>
        <v>Active</v>
      </c>
      <c r="CQ666" t="str">
        <f t="shared" si="120"/>
        <v>OK: capability-driven</v>
      </c>
      <c r="CR666" t="str">
        <f t="shared" si="121"/>
        <v>Risk ontology uses capability=CAP_BACKUP_RECOVERY; bridge=BRG-070; treatment=TRT-BACKUP_RECOVERY-INITIAL; wording=IW-ALL-BACKUP_RECOVERY</v>
      </c>
      <c r="CS666" t="str">
        <f t="shared" si="122"/>
        <v>Yes</v>
      </c>
    </row>
    <row r="667" spans="1:97" ht="69.900000000000006" customHeight="1">
      <c r="A667">
        <f>IF(OR($B667&lt;&gt;"Yes",$BS667=""),"",SUMPRODUCT(($B$500:$B$923="Yes")*ISNUMBER($BS$500:$BS$923)*($BS$500:$BS$923&gt;$BS667))+COUNTIFS($B$500:$B667,"Yes",$BS$500:$BS667,$BS667))</f>
        <v>16</v>
      </c>
      <c r="B667" t="str">
        <f t="shared" si="91"/>
        <v>Yes</v>
      </c>
      <c r="C667" t="s">
        <v>1666</v>
      </c>
      <c r="D667" t="s">
        <v>1689</v>
      </c>
      <c r="E667" t="s">
        <v>1823</v>
      </c>
      <c r="F667" t="s">
        <v>3685</v>
      </c>
      <c r="G667" t="str">
        <f>IF($H667="","",IFERROR(INDEX(_ENGINE_Risk!$H$5:$M$499,MATCH($E667,_ENGINE_Risk!$A$5:$A$499,0),$H667+1),""))</f>
        <v>Severe risk: alternative worksites, temporary facilities, coworking spaces or remote-work options if a site is lost is not reliably controlled. During Safety incident; Physical site loss; War/security crisis; Natural disaster, the organization may face injury, unsafe facilities, uncontrolled access, asset loss and failure to protect people during incidents with limited visibility or accountability.</v>
      </c>
      <c r="H667">
        <f>IFERROR(VALUE(INDEX(_DATA_Assessment_Model!$H$5:$H$884,MATCH($E667,_DATA_Assessment_Model!$A$5:$A$884,0))),"")</f>
        <v>0</v>
      </c>
      <c r="I667" t="str">
        <f>IF($H667="","",IFERROR(INDEX(_DATA_Assessment_Model!$L$5:$L$884,MATCH($E667,_DATA_Assessment_Model!$A$5:$A$884,0)),IF($H667&lt;=1,"Critical",IF($H667=2,"High",IF($H667=3,"Medium",IF($H667=4,"Low","Resilient"))))))</f>
        <v>Critical</v>
      </c>
      <c r="J667">
        <f t="shared" si="92"/>
        <v>3.7</v>
      </c>
      <c r="K667">
        <f t="shared" si="93"/>
        <v>5</v>
      </c>
      <c r="L667">
        <f t="shared" si="94"/>
        <v>18.5</v>
      </c>
      <c r="M667">
        <f t="shared" si="95"/>
        <v>4</v>
      </c>
      <c r="N667">
        <f>IF($H667="","",IFERROR(INDEX(_ENGINE_Risk!$T$5:$Y$499,MATCH($E667,_ENGINE_Risk!$A$5:$A$499,0),$H667+1),""))</f>
        <v>4</v>
      </c>
      <c r="O667">
        <f t="shared" si="96"/>
        <v>4.666666666666667</v>
      </c>
      <c r="P667">
        <f t="shared" si="97"/>
        <v>5</v>
      </c>
      <c r="Q667">
        <f t="shared" si="98"/>
        <v>5</v>
      </c>
      <c r="R667">
        <f t="shared" si="99"/>
        <v>4.5</v>
      </c>
      <c r="S667">
        <f t="shared" si="100"/>
        <v>1.2</v>
      </c>
      <c r="T667" t="str">
        <f>IF($H667="","",IFERROR(INDEX(_ENGINE_Risk!$N$5:$S$499,MATCH($E667,_ENGINE_Risk!$A$5:$A$499,0),$H667+1),""))</f>
        <v>Create an immediate risk owner, minimum control baseline and fallback procedure for alternative worksites, temporary facilities, coworking spaces or remote-work options if a site is lost. Add it to the crisis risk register and collect first evidence.</v>
      </c>
      <c r="U667">
        <f>IFERROR(INDEX(_DATA_Assessment_Model!$G$5:$G$884,MATCH($E667,_DATA_Assessment_Model!$A$5:$A$884,0)),"")</f>
        <v>5</v>
      </c>
      <c r="V667">
        <f>IFERROR(INDEX(_DATA_Assessment_Model!$W$5:$W$884,MATCH($E667,_DATA_Assessment_Model!$A$5:$A$884,0)),"")</f>
        <v>4</v>
      </c>
      <c r="W667">
        <f>IFERROR(INDEX(_DATA_Assessment_Model!$X$5:$X$884,MATCH($E667,_DATA_Assessment_Model!$A$5:$A$884,0)),"")</f>
        <v>5</v>
      </c>
      <c r="X667">
        <f>IFERROR(INDEX(_DATA_Assessment_Model!$Y$5:$Y$884,MATCH($E667,_DATA_Assessment_Model!$A$5:$A$884,0)),"")</f>
        <v>5</v>
      </c>
      <c r="Y667" t="s">
        <v>1673</v>
      </c>
      <c r="Z667" t="s">
        <v>6587</v>
      </c>
      <c r="AA667" t="s">
        <v>1825</v>
      </c>
      <c r="AB667">
        <f>IFERROR(INDEX(_DATA_Assessment_Model!$U$5:$U$884,MATCH($E667,_DATA_Assessment_Model!$A$5:$A$884,0)),"")</f>
        <v>0</v>
      </c>
      <c r="AF667" t="s">
        <v>1824</v>
      </c>
      <c r="AO667">
        <f>IF($B667="Yes",IF(IFERROR(INDEX(_ENGINE_Crisis!$F$501:$F$517,MATCH($C667,_ENGINE_Crisis!$A$501:$A$517,0)),1)=0,1,IFERROR(INDEX(_ENGINE_Crisis!$F$501:$F$517,MATCH($C667,_ENGINE_Crisis!$A$501:$A$517,0)),1)),"")</f>
        <v>1</v>
      </c>
      <c r="AP667">
        <f t="shared" si="101"/>
        <v>18.5</v>
      </c>
      <c r="AQ667">
        <f t="shared" si="102"/>
        <v>1.2</v>
      </c>
      <c r="AR667" t="str">
        <f>IFERROR(INDEX(_ENGINE_Crisis!$E$41:$E$700,MATCH('Resilience &amp; Risk Scenario'!$B$6&amp;"|"&amp;$C667,_ENGINE_Crisis!$I$41:$I$700,0)),"")</f>
        <v/>
      </c>
      <c r="AS667" t="str">
        <f>IFERROR(INDEX(_ENGINE_Crisis!$G$41:$G$700,MATCH('Resilience &amp; Risk Scenario'!$B$6&amp;"|"&amp;$C667,_ENGINE_Crisis!$I$41:$I$700,0)),"")</f>
        <v/>
      </c>
      <c r="AT667" t="str">
        <f>IFERROR(INDEX(_ENGINE_Initiatives!$A$5:$A$532,MATCH(1,INDEX((_ENGINE_Initiatives!$B$5:$B$532=$C667)*(_ENGINE_Initiatives!$C$5:$C$532=$D667),0),0)),"")</f>
        <v>INI-027</v>
      </c>
      <c r="AU667" t="str">
        <f>IFERROR(INDEX(_ENGINE_Initiatives!$F$5:$F$532,MATCH(1,INDEX((_ENGINE_Initiatives!$B$5:$B$532=$C667)*(_ENGINE_Initiatives!$C$5:$C$532=$D667),0),0)),"")</f>
        <v>Build utilities backup and facility resilience plan</v>
      </c>
      <c r="AV667">
        <f>IFERROR(INDEX(_ENGINE_Initiatives!$AC$5:$AC$532,MATCH(1,INDEX((_ENGINE_Initiatives!$B$5:$B$532=$C667)*(_ENGINE_Initiatives!$C$5:$C$532=$D667),0),0)),"")</f>
        <v>1.82</v>
      </c>
      <c r="AW667" t="str">
        <f>IFERROR(INDEX(_ENGINE_Initiatives!$AE$5:$AE$532,MATCH(1,INDEX((_ENGINE_Initiatives!$B$5:$B$532=$C667)*(_ENGINE_Initiatives!$C$5:$C$532=$D667),0),0)),"")</f>
        <v>3-6 months</v>
      </c>
      <c r="AX667">
        <f>IF($B667="Yes",IFERROR((IF(SUMIFS(_REF_Model_Content!$E$1:$E$613,_REF_Model_Content!$A$1:$A$613,PV_Canonical_Industry,_REF_Model_Content!$B$1:$B$613,$C667)=0,1,SUMIFS(_REF_Model_Content!$E$1:$E$613,_REF_Model_Content!$A$1:$A$613,PV_Canonical_Industry,_REF_Model_Content!$B$1:$B$613,$C667))*IFERROR($BU667,1)),1),"")</f>
        <v>1</v>
      </c>
      <c r="AY667">
        <f t="shared" si="103"/>
        <v>18.5</v>
      </c>
      <c r="AZ667">
        <f t="shared" si="104"/>
        <v>1.2</v>
      </c>
      <c r="BB667" t="str">
        <f>IF($H667="","",IFERROR(INDEX(_ENGINE_Risk!$AE$5:$AE$499,MATCH($E667,_ENGINE_Risk!$A$5:$A$499,0)),"Medium"))</f>
        <v>Fast</v>
      </c>
      <c r="BC667">
        <f t="shared" si="105"/>
        <v>1.25</v>
      </c>
      <c r="BD667">
        <f t="shared" si="106"/>
        <v>1.2</v>
      </c>
      <c r="BF667">
        <f>IF(OR($H667="",$J667=""),"",IFERROR(VLOOKUP(ROUND($J667,0),_CONFIG_Model_Settings!$D$154:$E$158,2,0),""))</f>
        <v>0.5</v>
      </c>
      <c r="BG667">
        <f>IFERROR(IF(OR($H667="",$K667=""),"",ROUND('Company Profile'!$B$113*INDEX(_CONFIG_Model_Settings!$H$154:$H$158,MATCH(ROUND($K667,0),_CONFIG_Model_Settings!$G$154:$G$158,0)),0)),0)</f>
        <v>1875</v>
      </c>
      <c r="BH667">
        <f t="shared" si="107"/>
        <v>937.5</v>
      </c>
      <c r="BI667">
        <f t="shared" si="108"/>
        <v>937.5</v>
      </c>
      <c r="BJ667">
        <f>IF($E667="","",IFERROR(VLOOKUP($C667,_CONFIG_Risk_Calibration!$A$5:$H$21,2,FALSE),3))</f>
        <v>3</v>
      </c>
      <c r="BK667">
        <f>IF($E667="","",IFERROR(VLOOKUP($C667,_CONFIG_Risk_Calibration!$A$5:$H$21,3,FALSE),0))</f>
        <v>0</v>
      </c>
      <c r="BL667">
        <f>IF($E667="","",IFERROR(VLOOKUP($C667,_CONFIG_Risk_Calibration!$A$5:$H$21,4,FALSE),3))</f>
        <v>3</v>
      </c>
      <c r="BM667">
        <f>IF($E667="","",IFERROR(VLOOKUP($C667,_CONFIG_Risk_Calibration!$A$5:$H$21,5,FALSE),3))</f>
        <v>4</v>
      </c>
      <c r="BN667" t="str">
        <f>IF($E667="","",IFERROR(VLOOKUP($C667,_CONFIG_Risk_Calibration!$A$5:$H$21,6,FALSE),"No"))</f>
        <v>Yes</v>
      </c>
      <c r="BO667">
        <f>IF($E667="","",IFERROR(VLOOKUP($C667,_CONFIG_Risk_Calibration!$A$5:$H$21,7,FALSE),1))</f>
        <v>5</v>
      </c>
      <c r="BP667">
        <f>IF($H667="","",MAX(1,MIN(5,((6-$H667)*0.45)+($BJ667*0.2)+('Resilience &amp; Risk Scenario'!$B$7*0.15)+($BK667*0.1)+($BL667*0.05)+(IF($BB667="Fast",5,IF($BB667="Slow",1,3))*0.05))))</f>
        <v>3.7</v>
      </c>
      <c r="BQ667">
        <f t="shared" si="109"/>
        <v>5</v>
      </c>
      <c r="BR667">
        <f t="shared" si="110"/>
        <v>18.5</v>
      </c>
      <c r="BS667">
        <f t="shared" si="111"/>
        <v>25.44</v>
      </c>
      <c r="BT667" t="str">
        <f>IFERROR(INDEX(_REF_Capability_Bridge!$D:$D,MATCH($C667&amp;"|"&amp;$D667,_REF_Capability_Bridge!$J:$J,0)),IFERROR(INDEX(_REF_Capability_Bridge!$D:$D,MATCH($C667&amp;"|",_REF_Capability_Bridge!$J:$J,0)),"CAP_GENERIC"))</f>
        <v>CAP_BACKUP_RECOVERY</v>
      </c>
      <c r="BU667">
        <f>IFERROR(IFERROR(INDEX(_ENGINE_Relevance!$L:$L,MATCH($BT667,_ENGINE_Relevance!$B:$B,0)),1),1)</f>
        <v>1</v>
      </c>
      <c r="BV667" t="str">
        <f>IFERROR(INDEX(_REF_Capability_Bridge!$A:$A,MATCH($C667&amp;"|"&amp;$D667,_REF_Capability_Bridge!$J:$J,0)),IFERROR(INDEX(_REF_Capability_Bridge!$A:$A,MATCH($C667&amp;"|",_REF_Capability_Bridge!$J:$J,0)),"No bridge"))</f>
        <v>BRG-070</v>
      </c>
      <c r="BW667" t="str">
        <f t="shared" si="112"/>
        <v>Capability relevance neutral</v>
      </c>
      <c r="BX667" t="str">
        <f t="shared" si="113"/>
        <v>Initial / absent</v>
      </c>
      <c r="BY667" t="str">
        <f>IF($E667="","",IFERROR(INDEX(_REF_Treatment_Library!$A$2:$A$296,MATCH(1,INDEX((_REF_Treatment_Library!$B$2:$B$296=$BT667)*(_REF_Treatment_Library!$C$2:$C$296=PV_Canonical_Industry)*(_REF_Treatment_Library!$E$2:$E$296&lt;=N($H667))*(_REF_Treatment_Library!$F$2:$F$296&gt;=N($H667))*(_REF_Treatment_Library!$O$2:$O$296="Yes"),0),0)),IFERROR(INDEX(_REF_Treatment_Library!$A$2:$A$296,MATCH(1,INDEX((_REF_Treatment_Library!$B$2:$B$296=$BT667)*(_REF_Treatment_Library!$C$2:$C$296="All")*(_REF_Treatment_Library!$E$2:$E$296&lt;=N($H667))*(_REF_Treatment_Library!$F$2:$F$296&gt;=N($H667))*(_REF_Treatment_Library!$O$2:$O$296="Yes"),0),0)),"")))</f>
        <v>TRT-BACKUP_RECOVERY-INITIAL</v>
      </c>
      <c r="BZ667" t="str">
        <f>IF($BY667="","",IFERROR(INDEX(_REF_Treatment_Library!$H$2:$H$296,MATCH($BY667,_REF_Treatment_Library!$A$2:$A$296,0)),""))</f>
        <v>Establish</v>
      </c>
      <c r="CA667" t="str">
        <f>IF($BY667="","",IFERROR(INDEX(_REF_Treatment_Library!$I$2:$I$296,MATCH($BY667,_REF_Treatment_Library!$A$2:$A$296,0)),""))</f>
        <v>Establish baseline controls for Backup / recovery</v>
      </c>
      <c r="CB667" t="str">
        <f>IF($BY667="","",IFERROR(INDEX(_REF_Treatment_Library!$K$2:$K$296,MATCH($BY667,_REF_Treatment_Library!$A$2:$A$296,0)),""))</f>
        <v>Named owner, baseline process, minimum control checklist, first evidence package</v>
      </c>
      <c r="CC667" t="str">
        <f>IF($BY667="","",IFERROR(INDEX(_REF_Treatment_Library!$L$2:$L$296,MATCH($BY667,_REF_Treatment_Library!$A$2:$A$296,0)),""))</f>
        <v>Owner assigned; baseline evidence coverage; open critical gaps</v>
      </c>
      <c r="CD667" t="str">
        <f t="shared" si="114"/>
        <v>Treatment by capability=CAP_BACKUP_RECOVERY; band=Initial / absent; score=0.0; treatment=Establish</v>
      </c>
      <c r="CE667" t="str">
        <f>IF($E667="","",IFERROR(INDEX(_REF_Industry_Wording!$A$2:$A$70,MATCH(1,INDEX((_REF_Industry_Wording!$B$2:$B$70=$BT667)*(_REF_Industry_Wording!$C$2:$C$70=PV_Canonical_Industry)*(_REF_Industry_Wording!$K$2:$K$70="Yes"),0),0)),IFERROR(INDEX(_REF_Industry_Wording!$A$2:$A$70,MATCH(1,INDEX((_REF_Industry_Wording!$B$2:$B$70=$BT667)*(_REF_Industry_Wording!$C$2:$C$70="All")*(_REF_Industry_Wording!$K$2:$K$70="Yes"),0),0)),"")))</f>
        <v>IW-ALL-BACKUP_RECOVERY</v>
      </c>
      <c r="CF667" t="str">
        <f>IF($CE667="","",IFERROR(INDEX(_REF_Industry_Wording!$E$2:$E$70,MATCH($CE667,_REF_Industry_Wording!$A$2:$A$70,0)),""))</f>
        <v>Backup / recovery weakness</v>
      </c>
      <c r="CG667" t="str">
        <f>IF($CE667="","",IFERROR(INDEX(_REF_Industry_Wording!$F$2:$F$70,MATCH($CE667,_REF_Industry_Wording!$A$2:$A$70,0)),""))</f>
        <v>Strengthen Backup / recovery</v>
      </c>
      <c r="CH667" t="str">
        <f>IF($CE667="","",IFERROR(INDEX(_REF_Industry_Wording!$G$2:$G$70,MATCH($CE667,_REF_Industry_Wording!$A$2:$A$70,0)),""))</f>
        <v>Strengthen Backup / recovery using the selected maturity treatment, crisis scenario and evidence requirements.</v>
      </c>
      <c r="CI667" t="str">
        <f>IF($CE667="","",IFERROR(INDEX(_REF_Industry_Wording!$H$2:$H$70,MATCH($CE667,_REF_Industry_Wording!$A$2:$A$70,0)),""))</f>
        <v>Backup / recovery</v>
      </c>
      <c r="CJ667">
        <f>IF($CE667="","",IFERROR(INDEX(_REF_Industry_Wording!$I$2:$I$70,MATCH($CE667,_REF_Industry_Wording!$A$2:$A$70,0)),""))</f>
        <v>0</v>
      </c>
      <c r="CK667" t="str">
        <f>IF($CE667="","",IFERROR(INDEX(_REF_Industry_Wording!$J$2:$J$70,MATCH($CE667,_REF_Industry_Wording!$A$2:$A$70,0)),""))</f>
        <v>Backup / recovery</v>
      </c>
      <c r="CL667" t="str">
        <f t="shared" si="115"/>
        <v>Wording by industry=0; capability=CAP_BACKUP_RECOVERY; risk label=Backup / recovery weakness</v>
      </c>
      <c r="CM667" t="str">
        <f t="shared" si="116"/>
        <v>RISK-ONT-0168</v>
      </c>
      <c r="CN667" t="str">
        <f t="shared" si="117"/>
        <v>RISK-EVT-0168</v>
      </c>
      <c r="CO667" t="str">
        <f t="shared" si="118"/>
        <v>Physical Safety|Utilities and resilience|PHYS-028|CAP_BACKUP_RECOVERY</v>
      </c>
      <c r="CP667" t="str">
        <f t="shared" si="119"/>
        <v>Active</v>
      </c>
      <c r="CQ667" t="str">
        <f t="shared" si="120"/>
        <v>OK: capability-driven</v>
      </c>
      <c r="CR667" t="str">
        <f t="shared" si="121"/>
        <v>Risk ontology uses capability=CAP_BACKUP_RECOVERY; bridge=BRG-070; treatment=TRT-BACKUP_RECOVERY-INITIAL; wording=IW-ALL-BACKUP_RECOVERY</v>
      </c>
      <c r="CS667" t="str">
        <f t="shared" si="122"/>
        <v>Yes</v>
      </c>
    </row>
    <row r="668" spans="1:97" ht="69.900000000000006" customHeight="1">
      <c r="A668">
        <f>IF(OR($B668&lt;&gt;"Yes",$BS668=""),"",SUMPRODUCT(($B$500:$B$923="Yes")*ISNUMBER($BS$500:$BS$923)*($BS$500:$BS$923&gt;$BS668))+COUNTIFS($B$500:$B668,"Yes",$BS$500:$BS668,$BS668))</f>
        <v>151</v>
      </c>
      <c r="B668" t="str">
        <f t="shared" si="91"/>
        <v>Yes</v>
      </c>
      <c r="C668" t="s">
        <v>1666</v>
      </c>
      <c r="D668" t="s">
        <v>1693</v>
      </c>
      <c r="E668" t="s">
        <v>1826</v>
      </c>
      <c r="F668" t="s">
        <v>6967</v>
      </c>
      <c r="G668" t="str">
        <f>IF($H668="","",IFERROR(INDEX(_ENGINE_Risk!$H$5:$M$499,MATCH($E668,_ENGINE_Risk!$A$5:$A$499,0),$H668+1),""))</f>
        <v>Severe risk: enterprise asset register covering ownership, location, condition, replacement value and insurance linkage is not reliably controlled. During Physical site loss; Natural disaster; War/security crisis, the organization may face unknown asset exposure, slow insurance claims and uninformed recovery investment decisions with limited visibility or accountability.</v>
      </c>
      <c r="H668">
        <f>IFERROR(VALUE(INDEX(_DATA_Assessment_Model!$H$5:$H$884,MATCH($E668,_DATA_Assessment_Model!$A$5:$A$884,0))),"")</f>
        <v>0</v>
      </c>
      <c r="I668" t="str">
        <f>IF($H668="","",IFERROR(INDEX(_DATA_Assessment_Model!$L$5:$L$884,MATCH($E668,_DATA_Assessment_Model!$A$5:$A$884,0)),IF($H668&lt;=1,"Critical",IF($H668=2,"High",IF($H668=3,"Medium",IF($H668=4,"Low","Resilient"))))))</f>
        <v>Critical</v>
      </c>
      <c r="J668">
        <f t="shared" si="92"/>
        <v>3.6</v>
      </c>
      <c r="K668">
        <f t="shared" si="93"/>
        <v>5</v>
      </c>
      <c r="L668">
        <f t="shared" si="94"/>
        <v>18</v>
      </c>
      <c r="M668">
        <f t="shared" si="95"/>
        <v>4</v>
      </c>
      <c r="N668">
        <f>IF($H668="","",IFERROR(INDEX(_ENGINE_Risk!$T$5:$Y$499,MATCH($E668,_ENGINE_Risk!$A$5:$A$499,0),$H668+1),""))</f>
        <v>3</v>
      </c>
      <c r="O668">
        <f t="shared" si="96"/>
        <v>4.333333333333333</v>
      </c>
      <c r="P668">
        <f t="shared" si="97"/>
        <v>5</v>
      </c>
      <c r="Q668">
        <f t="shared" si="98"/>
        <v>4.6500000000000004</v>
      </c>
      <c r="R668">
        <f t="shared" si="99"/>
        <v>4.5</v>
      </c>
      <c r="S668">
        <f t="shared" si="100"/>
        <v>1.54</v>
      </c>
      <c r="T668" t="str">
        <f>IF($H668="","",IFERROR(INDEX(_ENGINE_Risk!$N$5:$S$499,MATCH($E668,_ENGINE_Risk!$A$5:$A$499,0),$H668+1),""))</f>
        <v>Create an immediate risk owner, minimum control baseline and fallback procedure for enterprise asset register covering ownership, location, condition, replacement value and insurance linkage. Add it to the crisis risk register and collect first evidence.</v>
      </c>
      <c r="U668">
        <f>IFERROR(INDEX(_DATA_Assessment_Model!$G$5:$G$884,MATCH($E668,_DATA_Assessment_Model!$A$5:$A$884,0)),"")</f>
        <v>4</v>
      </c>
      <c r="V668">
        <f>IFERROR(INDEX(_DATA_Assessment_Model!$W$5:$W$884,MATCH($E668,_DATA_Assessment_Model!$A$5:$A$884,0)),"")</f>
        <v>4</v>
      </c>
      <c r="W668">
        <f>IFERROR(INDEX(_DATA_Assessment_Model!$X$5:$X$884,MATCH($E668,_DATA_Assessment_Model!$A$5:$A$884,0)),"")</f>
        <v>4</v>
      </c>
      <c r="X668">
        <f>IFERROR(INDEX(_DATA_Assessment_Model!$Y$5:$Y$884,MATCH($E668,_DATA_Assessment_Model!$A$5:$A$884,0)),"")</f>
        <v>5</v>
      </c>
      <c r="Y668" t="s">
        <v>1836</v>
      </c>
      <c r="Z668" t="s">
        <v>6982</v>
      </c>
      <c r="AA668" t="s">
        <v>6981</v>
      </c>
      <c r="AB668">
        <f>IFERROR(INDEX(_DATA_Assessment_Model!$U$5:$U$884,MATCH($E668,_DATA_Assessment_Model!$A$5:$A$884,0)),"")</f>
        <v>0</v>
      </c>
      <c r="AF668" t="s">
        <v>1827</v>
      </c>
      <c r="AO668">
        <f>IF($B668="Yes",IF(IFERROR(INDEX(_ENGINE_Crisis!$F$501:$F$517,MATCH($C668,_ENGINE_Crisis!$A$501:$A$517,0)),1)=0,1,IFERROR(INDEX(_ENGINE_Crisis!$F$501:$F$517,MATCH($C668,_ENGINE_Crisis!$A$501:$A$517,0)),1)),"")</f>
        <v>1</v>
      </c>
      <c r="AP668">
        <f t="shared" si="101"/>
        <v>18</v>
      </c>
      <c r="AQ668">
        <f t="shared" si="102"/>
        <v>1.54</v>
      </c>
      <c r="AR668" t="str">
        <f>IFERROR(INDEX(_ENGINE_Crisis!$E$41:$E$700,MATCH('Resilience &amp; Risk Scenario'!$B$6&amp;"|"&amp;$C668,_ENGINE_Crisis!$I$41:$I$700,0)),"")</f>
        <v/>
      </c>
      <c r="AS668" t="str">
        <f>IFERROR(INDEX(_ENGINE_Crisis!$G$41:$G$700,MATCH('Resilience &amp; Risk Scenario'!$B$6&amp;"|"&amp;$C668,_ENGINE_Crisis!$I$41:$I$700,0)),"")</f>
        <v/>
      </c>
      <c r="AT668" t="str">
        <f>IFERROR(INDEX(_ENGINE_Initiatives!$A$5:$A$532,MATCH(1,INDEX((_ENGINE_Initiatives!$B$5:$B$532=$C668)*(_ENGINE_Initiatives!$C$5:$C$532=$D668),0),0)),"")</f>
        <v/>
      </c>
      <c r="AU668" t="str">
        <f>IFERROR(INDEX(_ENGINE_Initiatives!$F$5:$F$532,MATCH(1,INDEX((_ENGINE_Initiatives!$B$5:$B$532=$C668)*(_ENGINE_Initiatives!$C$5:$C$532=$D668),0),0)),"")</f>
        <v/>
      </c>
      <c r="AV668" t="str">
        <f>IFERROR(INDEX(_ENGINE_Initiatives!$AC$5:$AC$532,MATCH(1,INDEX((_ENGINE_Initiatives!$B$5:$B$532=$C668)*(_ENGINE_Initiatives!$C$5:$C$532=$D668),0),0)),"")</f>
        <v/>
      </c>
      <c r="AW668" t="str">
        <f>IFERROR(INDEX(_ENGINE_Initiatives!$AE$5:$AE$532,MATCH(1,INDEX((_ENGINE_Initiatives!$B$5:$B$532=$C668)*(_ENGINE_Initiatives!$C$5:$C$532=$D668),0),0)),"")</f>
        <v/>
      </c>
      <c r="AX668">
        <f>IF($B668="Yes",IFERROR((IF(SUMIFS(_REF_Model_Content!$E$1:$E$613,_REF_Model_Content!$A$1:$A$613,PV_Canonical_Industry,_REF_Model_Content!$B$1:$B$613,$C668)=0,1,SUMIFS(_REF_Model_Content!$E$1:$E$613,_REF_Model_Content!$A$1:$A$613,PV_Canonical_Industry,_REF_Model_Content!$B$1:$B$613,$C668))*IFERROR($BU668,1)),1),"")</f>
        <v>1</v>
      </c>
      <c r="AY668">
        <f t="shared" si="103"/>
        <v>18</v>
      </c>
      <c r="AZ668">
        <f t="shared" si="104"/>
        <v>1.54</v>
      </c>
      <c r="BB668" t="str">
        <f>IF($H668="","",IFERROR(INDEX(_ENGINE_Risk!$AE$5:$AE$499,MATCH($E668,_ENGINE_Risk!$A$5:$A$499,0)),"Medium"))</f>
        <v>Medium</v>
      </c>
      <c r="BC668">
        <f t="shared" si="105"/>
        <v>1</v>
      </c>
      <c r="BD668">
        <f t="shared" si="106"/>
        <v>1.54</v>
      </c>
      <c r="BF668">
        <f>IF(OR($H668="",$J668=""),"",IFERROR(VLOOKUP(ROUND($J668,0),_CONFIG_Model_Settings!$D$154:$E$158,2,0),""))</f>
        <v>0.5</v>
      </c>
      <c r="BG668">
        <f>IFERROR(IF(OR($H668="",$K668=""),"",ROUND('Company Profile'!$B$113*INDEX(_CONFIG_Model_Settings!$H$154:$H$158,MATCH(ROUND($K668,0),_CONFIG_Model_Settings!$G$154:$G$158,0)),0)),0)</f>
        <v>1875</v>
      </c>
      <c r="BH668">
        <f t="shared" si="107"/>
        <v>937.5</v>
      </c>
      <c r="BI668">
        <f t="shared" si="108"/>
        <v>937.5</v>
      </c>
      <c r="BJ668">
        <f>IF($E668="","",IFERROR(VLOOKUP($C668,_CONFIG_Risk_Calibration!$A$5:$H$21,2,FALSE),3))</f>
        <v>3</v>
      </c>
      <c r="BK668">
        <f>IF($E668="","",IFERROR(VLOOKUP($C668,_CONFIG_Risk_Calibration!$A$5:$H$21,3,FALSE),0))</f>
        <v>0</v>
      </c>
      <c r="BL668">
        <f>IF($E668="","",IFERROR(VLOOKUP($C668,_CONFIG_Risk_Calibration!$A$5:$H$21,4,FALSE),3))</f>
        <v>3</v>
      </c>
      <c r="BM668">
        <f>IF($E668="","",IFERROR(VLOOKUP($C668,_CONFIG_Risk_Calibration!$A$5:$H$21,5,FALSE),3))</f>
        <v>4</v>
      </c>
      <c r="BN668" t="str">
        <f>IF($E668="","",IFERROR(VLOOKUP($C668,_CONFIG_Risk_Calibration!$A$5:$H$21,6,FALSE),"No"))</f>
        <v>Yes</v>
      </c>
      <c r="BO668">
        <f>IF($E668="","",IFERROR(VLOOKUP($C668,_CONFIG_Risk_Calibration!$A$5:$H$21,7,FALSE),1))</f>
        <v>5</v>
      </c>
      <c r="BP668">
        <f>IF($H668="","",MAX(1,MIN(5,((6-$H668)*0.45)+($BJ668*0.2)+('Resilience &amp; Risk Scenario'!$B$7*0.15)+($BK668*0.1)+($BL668*0.05)+(IF($BB668="Fast",5,IF($BB668="Slow",1,3))*0.05))))</f>
        <v>3.6</v>
      </c>
      <c r="BQ668">
        <f t="shared" si="109"/>
        <v>5</v>
      </c>
      <c r="BR668">
        <f t="shared" si="110"/>
        <v>18</v>
      </c>
      <c r="BS668">
        <f t="shared" si="111"/>
        <v>19.8</v>
      </c>
      <c r="BT668" t="str">
        <f>IFERROR(INDEX(_REF_Capability_Bridge!$D:$D,MATCH($C668&amp;"|"&amp;$D668,_REF_Capability_Bridge!$J:$J,0)),IFERROR(INDEX(_REF_Capability_Bridge!$D:$D,MATCH($C668&amp;"|",_REF_Capability_Bridge!$J:$J,0)),"CAP_GENERIC"))</f>
        <v>CAP_POS_ECOMMERCE</v>
      </c>
      <c r="BU668">
        <f>IFERROR(IFERROR(INDEX(_ENGINE_Relevance!$L:$L,MATCH($BT668,_ENGINE_Relevance!$B:$B,0)),1),1)</f>
        <v>1</v>
      </c>
      <c r="BV668" t="str">
        <f>IFERROR(INDEX(_REF_Capability_Bridge!$A:$A,MATCH($C668&amp;"|"&amp;$D668,_REF_Capability_Bridge!$J:$J,0)),IFERROR(INDEX(_REF_Capability_Bridge!$A:$A,MATCH($C668&amp;"|",_REF_Capability_Bridge!$J:$J,0)),"No bridge"))</f>
        <v>BRG-065</v>
      </c>
      <c r="BW668" t="str">
        <f t="shared" si="112"/>
        <v>Capability relevance neutral</v>
      </c>
      <c r="BX668" t="str">
        <f t="shared" si="113"/>
        <v>Initial / absent</v>
      </c>
      <c r="BY668" t="str">
        <f>IF($E668="","",IFERROR(INDEX(_REF_Treatment_Library!$A$2:$A$296,MATCH(1,INDEX((_REF_Treatment_Library!$B$2:$B$296=$BT668)*(_REF_Treatment_Library!$C$2:$C$296=PV_Canonical_Industry)*(_REF_Treatment_Library!$E$2:$E$296&lt;=N($H668))*(_REF_Treatment_Library!$F$2:$F$296&gt;=N($H668))*(_REF_Treatment_Library!$O$2:$O$296="Yes"),0),0)),IFERROR(INDEX(_REF_Treatment_Library!$A$2:$A$296,MATCH(1,INDEX((_REF_Treatment_Library!$B$2:$B$296=$BT668)*(_REF_Treatment_Library!$C$2:$C$296="All")*(_REF_Treatment_Library!$E$2:$E$296&lt;=N($H668))*(_REF_Treatment_Library!$F$2:$F$296&gt;=N($H668))*(_REF_Treatment_Library!$O$2:$O$296="Yes"),0),0)),"")))</f>
        <v>TRT-POS_ECOMMERCE-INITIAL</v>
      </c>
      <c r="BZ668" t="str">
        <f>IF($BY668="","",IFERROR(INDEX(_REF_Treatment_Library!$H$2:$H$296,MATCH($BY668,_REF_Treatment_Library!$A$2:$A$296,0)),""))</f>
        <v>Establish</v>
      </c>
      <c r="CA668" t="str">
        <f>IF($BY668="","",IFERROR(INDEX(_REF_Treatment_Library!$I$2:$I$296,MATCH($BY668,_REF_Treatment_Library!$A$2:$A$296,0)),""))</f>
        <v>Establish baseline controls for POS / ecommerce</v>
      </c>
      <c r="CB668" t="str">
        <f>IF($BY668="","",IFERROR(INDEX(_REF_Treatment_Library!$K$2:$K$296,MATCH($BY668,_REF_Treatment_Library!$A$2:$A$296,0)),""))</f>
        <v>Named owner, baseline process, minimum control checklist, first evidence package</v>
      </c>
      <c r="CC668" t="str">
        <f>IF($BY668="","",IFERROR(INDEX(_REF_Treatment_Library!$L$2:$L$296,MATCH($BY668,_REF_Treatment_Library!$A$2:$A$296,0)),""))</f>
        <v>Owner assigned; baseline evidence coverage; open critical gaps</v>
      </c>
      <c r="CD668" t="str">
        <f t="shared" si="114"/>
        <v>Treatment by capability=CAP_POS_ECOMMERCE; band=Initial / absent; score=0.0; treatment=Establish</v>
      </c>
      <c r="CE668" t="str">
        <f>IF($E668="","",IFERROR(INDEX(_REF_Industry_Wording!$A$2:$A$70,MATCH(1,INDEX((_REF_Industry_Wording!$B$2:$B$70=$BT668)*(_REF_Industry_Wording!$C$2:$C$70=PV_Canonical_Industry)*(_REF_Industry_Wording!$K$2:$K$70="Yes"),0),0)),IFERROR(INDEX(_REF_Industry_Wording!$A$2:$A$70,MATCH(1,INDEX((_REF_Industry_Wording!$B$2:$B$70=$BT668)*(_REF_Industry_Wording!$C$2:$C$70="All")*(_REF_Industry_Wording!$K$2:$K$70="Yes"),0),0)),"")))</f>
        <v>IW-ALL-POS_ECOMMERCE</v>
      </c>
      <c r="CF668" t="str">
        <f>IF($CE668="","",IFERROR(INDEX(_REF_Industry_Wording!$E$2:$E$70,MATCH($CE668,_REF_Industry_Wording!$A$2:$A$70,0)),""))</f>
        <v>POS / ecommerce weakness</v>
      </c>
      <c r="CG668" t="str">
        <f>IF($CE668="","",IFERROR(INDEX(_REF_Industry_Wording!$F$2:$F$70,MATCH($CE668,_REF_Industry_Wording!$A$2:$A$70,0)),""))</f>
        <v>Strengthen POS / ecommerce</v>
      </c>
      <c r="CH668" t="str">
        <f>IF($CE668="","",IFERROR(INDEX(_REF_Industry_Wording!$G$2:$G$70,MATCH($CE668,_REF_Industry_Wording!$A$2:$A$70,0)),""))</f>
        <v>Strengthen POS / ecommerce using the selected maturity treatment, crisis scenario and evidence requirements.</v>
      </c>
      <c r="CI668" t="str">
        <f>IF($CE668="","",IFERROR(INDEX(_REF_Industry_Wording!$H$2:$H$70,MATCH($CE668,_REF_Industry_Wording!$A$2:$A$70,0)),""))</f>
        <v>POS / ecommerce</v>
      </c>
      <c r="CJ668">
        <f>IF($CE668="","",IFERROR(INDEX(_REF_Industry_Wording!$I$2:$I$70,MATCH($CE668,_REF_Industry_Wording!$A$2:$A$70,0)),""))</f>
        <v>0</v>
      </c>
      <c r="CK668" t="str">
        <f>IF($CE668="","",IFERROR(INDEX(_REF_Industry_Wording!$J$2:$J$70,MATCH($CE668,_REF_Industry_Wording!$A$2:$A$70,0)),""))</f>
        <v>POS / ecommerce</v>
      </c>
      <c r="CL668" t="str">
        <f t="shared" si="115"/>
        <v>Wording by industry=0; capability=CAP_POS_ECOMMERCE; risk label=POS / ecommerce weakness</v>
      </c>
      <c r="CM668" t="str">
        <f t="shared" si="116"/>
        <v>RISK-ONT-0169</v>
      </c>
      <c r="CN668" t="str">
        <f t="shared" si="117"/>
        <v>RISK-EVT-0169</v>
      </c>
      <c r="CO668" t="str">
        <f t="shared" si="118"/>
        <v>Physical Safety|Asset management|PHYS-029|CAP_POS_ECOMMERCE</v>
      </c>
      <c r="CP668" t="str">
        <f t="shared" si="119"/>
        <v>Active</v>
      </c>
      <c r="CQ668" t="str">
        <f t="shared" si="120"/>
        <v>OK: capability-driven</v>
      </c>
      <c r="CR668" t="str">
        <f t="shared" si="121"/>
        <v>Risk ontology uses capability=CAP_POS_ECOMMERCE; bridge=BRG-065; treatment=TRT-POS_ECOMMERCE-INITIAL; wording=IW-ALL-POS_ECOMMERCE</v>
      </c>
      <c r="CS668" t="str">
        <f t="shared" si="122"/>
        <v>Yes</v>
      </c>
    </row>
    <row r="669" spans="1:97" ht="69.900000000000006" customHeight="1">
      <c r="A669">
        <f>IF(OR($B669&lt;&gt;"Yes",$BS669=""),"",SUMPRODUCT(($B$500:$B$923="Yes")*ISNUMBER($BS$500:$BS$923)*($BS$500:$BS$923&gt;$BS669))+COUNTIFS($B$500:$B669,"Yes",$BS$500:$BS669,$BS669))</f>
        <v>152</v>
      </c>
      <c r="B669" t="str">
        <f t="shared" si="91"/>
        <v>Yes</v>
      </c>
      <c r="C669" t="s">
        <v>1666</v>
      </c>
      <c r="D669" t="s">
        <v>1693</v>
      </c>
      <c r="E669" t="s">
        <v>1837</v>
      </c>
      <c r="F669" t="s">
        <v>6967</v>
      </c>
      <c r="G669" t="str">
        <f>IF($H669="","",IFERROR(INDEX(_ENGINE_Risk!$H$5:$M$499,MATCH($E669,_ENGINE_Risk!$A$5:$A$499,0),$H669+1),""))</f>
        <v>Severe risk: asset lifecycle planning for acquisition, maintenance, renewal and disposal of critical equipment and facilities is not reliably controlled. During Physical site loss; Energy/utilities outage; Financial/liquidity crisis, the organization may face aging critical assets, unplanned failures and capex surprises under cash constraints with limited visibility or accountability.</v>
      </c>
      <c r="H669">
        <f>IFERROR(VALUE(INDEX(_DATA_Assessment_Model!$H$5:$H$884,MATCH($E669,_DATA_Assessment_Model!$A$5:$A$884,0))),"")</f>
        <v>0</v>
      </c>
      <c r="I669" t="str">
        <f>IF($H669="","",IFERROR(INDEX(_DATA_Assessment_Model!$L$5:$L$884,MATCH($E669,_DATA_Assessment_Model!$A$5:$A$884,0)),IF($H669&lt;=1,"Critical",IF($H669=2,"High",IF($H669=3,"Medium",IF($H669=4,"Low","Resilient"))))))</f>
        <v>Critical</v>
      </c>
      <c r="J669">
        <f t="shared" si="92"/>
        <v>3.6</v>
      </c>
      <c r="K669">
        <f t="shared" si="93"/>
        <v>5</v>
      </c>
      <c r="L669">
        <f t="shared" si="94"/>
        <v>18</v>
      </c>
      <c r="M669">
        <f t="shared" si="95"/>
        <v>4</v>
      </c>
      <c r="N669">
        <f>IF($H669="","",IFERROR(INDEX(_ENGINE_Risk!$T$5:$Y$499,MATCH($E669,_ENGINE_Risk!$A$5:$A$499,0),$H669+1),""))</f>
        <v>3</v>
      </c>
      <c r="O669">
        <f t="shared" si="96"/>
        <v>3.3333333333333335</v>
      </c>
      <c r="P669">
        <f t="shared" si="97"/>
        <v>5</v>
      </c>
      <c r="Q669">
        <f t="shared" si="98"/>
        <v>4.6500000000000004</v>
      </c>
      <c r="R669">
        <f t="shared" si="99"/>
        <v>3.5</v>
      </c>
      <c r="S669">
        <f t="shared" si="100"/>
        <v>1.37</v>
      </c>
      <c r="T669" t="str">
        <f>IF($H669="","",IFERROR(INDEX(_ENGINE_Risk!$N$5:$S$499,MATCH($E669,_ENGINE_Risk!$A$5:$A$499,0),$H669+1),""))</f>
        <v>Create an immediate risk owner, minimum control baseline and fallback procedure for asset lifecycle planning for acquisition, maintenance, renewal and disposal of critical equipment and facilities. Add it to the crisis risk register and collect first evidence.</v>
      </c>
      <c r="U669">
        <f>IFERROR(INDEX(_DATA_Assessment_Model!$G$5:$G$884,MATCH($E669,_DATA_Assessment_Model!$A$5:$A$884,0)),"")</f>
        <v>3</v>
      </c>
      <c r="V669">
        <f>IFERROR(INDEX(_DATA_Assessment_Model!$W$5:$W$884,MATCH($E669,_DATA_Assessment_Model!$A$5:$A$884,0)),"")</f>
        <v>3</v>
      </c>
      <c r="W669">
        <f>IFERROR(INDEX(_DATA_Assessment_Model!$X$5:$X$884,MATCH($E669,_DATA_Assessment_Model!$A$5:$A$884,0)),"")</f>
        <v>4</v>
      </c>
      <c r="X669">
        <f>IFERROR(INDEX(_DATA_Assessment_Model!$Y$5:$Y$884,MATCH($E669,_DATA_Assessment_Model!$A$5:$A$884,0)),"")</f>
        <v>4</v>
      </c>
      <c r="Y669" t="s">
        <v>1847</v>
      </c>
      <c r="Z669" t="s">
        <v>6982</v>
      </c>
      <c r="AA669" t="s">
        <v>6997</v>
      </c>
      <c r="AB669">
        <f>IFERROR(INDEX(_DATA_Assessment_Model!$U$5:$U$884,MATCH($E669,_DATA_Assessment_Model!$A$5:$A$884,0)),"")</f>
        <v>0</v>
      </c>
      <c r="AF669" t="s">
        <v>1838</v>
      </c>
      <c r="AO669">
        <f>IF($B669="Yes",IF(IFERROR(INDEX(_ENGINE_Crisis!$F$501:$F$517,MATCH($C669,_ENGINE_Crisis!$A$501:$A$517,0)),1)=0,1,IFERROR(INDEX(_ENGINE_Crisis!$F$501:$F$517,MATCH($C669,_ENGINE_Crisis!$A$501:$A$517,0)),1)),"")</f>
        <v>1</v>
      </c>
      <c r="AP669">
        <f t="shared" si="101"/>
        <v>18</v>
      </c>
      <c r="AQ669">
        <f t="shared" si="102"/>
        <v>1.37</v>
      </c>
      <c r="AR669" t="str">
        <f>IFERROR(INDEX(_ENGINE_Crisis!$E$41:$E$700,MATCH('Resilience &amp; Risk Scenario'!$B$6&amp;"|"&amp;$C669,_ENGINE_Crisis!$I$41:$I$700,0)),"")</f>
        <v/>
      </c>
      <c r="AS669" t="str">
        <f>IFERROR(INDEX(_ENGINE_Crisis!$G$41:$G$700,MATCH('Resilience &amp; Risk Scenario'!$B$6&amp;"|"&amp;$C669,_ENGINE_Crisis!$I$41:$I$700,0)),"")</f>
        <v/>
      </c>
      <c r="AT669" t="str">
        <f>IFERROR(INDEX(_ENGINE_Initiatives!$A$5:$A$532,MATCH(1,INDEX((_ENGINE_Initiatives!$B$5:$B$532=$C669)*(_ENGINE_Initiatives!$C$5:$C$532=$D669),0),0)),"")</f>
        <v/>
      </c>
      <c r="AU669" t="str">
        <f>IFERROR(INDEX(_ENGINE_Initiatives!$F$5:$F$532,MATCH(1,INDEX((_ENGINE_Initiatives!$B$5:$B$532=$C669)*(_ENGINE_Initiatives!$C$5:$C$532=$D669),0),0)),"")</f>
        <v/>
      </c>
      <c r="AV669" t="str">
        <f>IFERROR(INDEX(_ENGINE_Initiatives!$AC$5:$AC$532,MATCH(1,INDEX((_ENGINE_Initiatives!$B$5:$B$532=$C669)*(_ENGINE_Initiatives!$C$5:$C$532=$D669),0),0)),"")</f>
        <v/>
      </c>
      <c r="AW669" t="str">
        <f>IFERROR(INDEX(_ENGINE_Initiatives!$AE$5:$AE$532,MATCH(1,INDEX((_ENGINE_Initiatives!$B$5:$B$532=$C669)*(_ENGINE_Initiatives!$C$5:$C$532=$D669),0),0)),"")</f>
        <v/>
      </c>
      <c r="AX669">
        <f>IF($B669="Yes",IFERROR((IF(SUMIFS(_REF_Model_Content!$E$1:$E$613,_REF_Model_Content!$A$1:$A$613,PV_Canonical_Industry,_REF_Model_Content!$B$1:$B$613,$C669)=0,1,SUMIFS(_REF_Model_Content!$E$1:$E$613,_REF_Model_Content!$A$1:$A$613,PV_Canonical_Industry,_REF_Model_Content!$B$1:$B$613,$C669))*IFERROR($BU669,1)),1),"")</f>
        <v>1</v>
      </c>
      <c r="AY669">
        <f t="shared" si="103"/>
        <v>18</v>
      </c>
      <c r="AZ669">
        <f t="shared" si="104"/>
        <v>1.37</v>
      </c>
      <c r="BB669" t="str">
        <f>IF($H669="","",IFERROR(INDEX(_ENGINE_Risk!$AE$5:$AE$499,MATCH($E669,_ENGINE_Risk!$A$5:$A$499,0)),"Medium"))</f>
        <v>Medium</v>
      </c>
      <c r="BC669">
        <f t="shared" si="105"/>
        <v>1</v>
      </c>
      <c r="BD669">
        <f t="shared" si="106"/>
        <v>1.37</v>
      </c>
      <c r="BF669">
        <f>IF(OR($H669="",$J669=""),"",IFERROR(VLOOKUP(ROUND($J669,0),_CONFIG_Model_Settings!$D$154:$E$158,2,0),""))</f>
        <v>0.5</v>
      </c>
      <c r="BG669">
        <f>IFERROR(IF(OR($H669="",$K669=""),"",ROUND('Company Profile'!$B$113*INDEX(_CONFIG_Model_Settings!$H$154:$H$158,MATCH(ROUND($K669,0),_CONFIG_Model_Settings!$G$154:$G$158,0)),0)),0)</f>
        <v>1875</v>
      </c>
      <c r="BH669">
        <f t="shared" si="107"/>
        <v>937.5</v>
      </c>
      <c r="BI669">
        <f t="shared" si="108"/>
        <v>937.5</v>
      </c>
      <c r="BJ669">
        <f>IF($E669="","",IFERROR(VLOOKUP($C669,_CONFIG_Risk_Calibration!$A$5:$H$21,2,FALSE),3))</f>
        <v>3</v>
      </c>
      <c r="BK669">
        <f>IF($E669="","",IFERROR(VLOOKUP($C669,_CONFIG_Risk_Calibration!$A$5:$H$21,3,FALSE),0))</f>
        <v>0</v>
      </c>
      <c r="BL669">
        <f>IF($E669="","",IFERROR(VLOOKUP($C669,_CONFIG_Risk_Calibration!$A$5:$H$21,4,FALSE),3))</f>
        <v>3</v>
      </c>
      <c r="BM669">
        <f>IF($E669="","",IFERROR(VLOOKUP($C669,_CONFIG_Risk_Calibration!$A$5:$H$21,5,FALSE),3))</f>
        <v>4</v>
      </c>
      <c r="BN669" t="str">
        <f>IF($E669="","",IFERROR(VLOOKUP($C669,_CONFIG_Risk_Calibration!$A$5:$H$21,6,FALSE),"No"))</f>
        <v>Yes</v>
      </c>
      <c r="BO669">
        <f>IF($E669="","",IFERROR(VLOOKUP($C669,_CONFIG_Risk_Calibration!$A$5:$H$21,7,FALSE),1))</f>
        <v>5</v>
      </c>
      <c r="BP669">
        <f>IF($H669="","",MAX(1,MIN(5,((6-$H669)*0.45)+($BJ669*0.2)+('Resilience &amp; Risk Scenario'!$B$7*0.15)+($BK669*0.1)+($BL669*0.05)+(IF($BB669="Fast",5,IF($BB669="Slow",1,3))*0.05))))</f>
        <v>3.6</v>
      </c>
      <c r="BQ669">
        <f t="shared" si="109"/>
        <v>5</v>
      </c>
      <c r="BR669">
        <f t="shared" si="110"/>
        <v>18</v>
      </c>
      <c r="BS669">
        <f t="shared" si="111"/>
        <v>19.8</v>
      </c>
      <c r="BT669" t="str">
        <f>IFERROR(INDEX(_REF_Capability_Bridge!$D:$D,MATCH($C669&amp;"|"&amp;$D669,_REF_Capability_Bridge!$J:$J,0)),IFERROR(INDEX(_REF_Capability_Bridge!$D:$D,MATCH($C669&amp;"|",_REF_Capability_Bridge!$J:$J,0)),"CAP_GENERIC"))</f>
        <v>CAP_POS_ECOMMERCE</v>
      </c>
      <c r="BU669">
        <f>IFERROR(IFERROR(INDEX(_ENGINE_Relevance!$L:$L,MATCH($BT669,_ENGINE_Relevance!$B:$B,0)),1),1)</f>
        <v>1</v>
      </c>
      <c r="BV669" t="str">
        <f>IFERROR(INDEX(_REF_Capability_Bridge!$A:$A,MATCH($C669&amp;"|"&amp;$D669,_REF_Capability_Bridge!$J:$J,0)),IFERROR(INDEX(_REF_Capability_Bridge!$A:$A,MATCH($C669&amp;"|",_REF_Capability_Bridge!$J:$J,0)),"No bridge"))</f>
        <v>BRG-065</v>
      </c>
      <c r="BW669" t="str">
        <f t="shared" si="112"/>
        <v>Capability relevance neutral</v>
      </c>
      <c r="BX669" t="str">
        <f t="shared" si="113"/>
        <v>Initial / absent</v>
      </c>
      <c r="BY669" t="str">
        <f>IF($E669="","",IFERROR(INDEX(_REF_Treatment_Library!$A$2:$A$296,MATCH(1,INDEX((_REF_Treatment_Library!$B$2:$B$296=$BT669)*(_REF_Treatment_Library!$C$2:$C$296=PV_Canonical_Industry)*(_REF_Treatment_Library!$E$2:$E$296&lt;=N($H669))*(_REF_Treatment_Library!$F$2:$F$296&gt;=N($H669))*(_REF_Treatment_Library!$O$2:$O$296="Yes"),0),0)),IFERROR(INDEX(_REF_Treatment_Library!$A$2:$A$296,MATCH(1,INDEX((_REF_Treatment_Library!$B$2:$B$296=$BT669)*(_REF_Treatment_Library!$C$2:$C$296="All")*(_REF_Treatment_Library!$E$2:$E$296&lt;=N($H669))*(_REF_Treatment_Library!$F$2:$F$296&gt;=N($H669))*(_REF_Treatment_Library!$O$2:$O$296="Yes"),0),0)),"")))</f>
        <v>TRT-POS_ECOMMERCE-INITIAL</v>
      </c>
      <c r="BZ669" t="str">
        <f>IF($BY669="","",IFERROR(INDEX(_REF_Treatment_Library!$H$2:$H$296,MATCH($BY669,_REF_Treatment_Library!$A$2:$A$296,0)),""))</f>
        <v>Establish</v>
      </c>
      <c r="CA669" t="str">
        <f>IF($BY669="","",IFERROR(INDEX(_REF_Treatment_Library!$I$2:$I$296,MATCH($BY669,_REF_Treatment_Library!$A$2:$A$296,0)),""))</f>
        <v>Establish baseline controls for POS / ecommerce</v>
      </c>
      <c r="CB669" t="str">
        <f>IF($BY669="","",IFERROR(INDEX(_REF_Treatment_Library!$K$2:$K$296,MATCH($BY669,_REF_Treatment_Library!$A$2:$A$296,0)),""))</f>
        <v>Named owner, baseline process, minimum control checklist, first evidence package</v>
      </c>
      <c r="CC669" t="str">
        <f>IF($BY669="","",IFERROR(INDEX(_REF_Treatment_Library!$L$2:$L$296,MATCH($BY669,_REF_Treatment_Library!$A$2:$A$296,0)),""))</f>
        <v>Owner assigned; baseline evidence coverage; open critical gaps</v>
      </c>
      <c r="CD669" t="str">
        <f t="shared" si="114"/>
        <v>Treatment by capability=CAP_POS_ECOMMERCE; band=Initial / absent; score=0.0; treatment=Establish</v>
      </c>
      <c r="CE669" t="str">
        <f>IF($E669="","",IFERROR(INDEX(_REF_Industry_Wording!$A$2:$A$70,MATCH(1,INDEX((_REF_Industry_Wording!$B$2:$B$70=$BT669)*(_REF_Industry_Wording!$C$2:$C$70=PV_Canonical_Industry)*(_REF_Industry_Wording!$K$2:$K$70="Yes"),0),0)),IFERROR(INDEX(_REF_Industry_Wording!$A$2:$A$70,MATCH(1,INDEX((_REF_Industry_Wording!$B$2:$B$70=$BT669)*(_REF_Industry_Wording!$C$2:$C$70="All")*(_REF_Industry_Wording!$K$2:$K$70="Yes"),0),0)),"")))</f>
        <v>IW-ALL-POS_ECOMMERCE</v>
      </c>
      <c r="CF669" t="str">
        <f>IF($CE669="","",IFERROR(INDEX(_REF_Industry_Wording!$E$2:$E$70,MATCH($CE669,_REF_Industry_Wording!$A$2:$A$70,0)),""))</f>
        <v>POS / ecommerce weakness</v>
      </c>
      <c r="CG669" t="str">
        <f>IF($CE669="","",IFERROR(INDEX(_REF_Industry_Wording!$F$2:$F$70,MATCH($CE669,_REF_Industry_Wording!$A$2:$A$70,0)),""))</f>
        <v>Strengthen POS / ecommerce</v>
      </c>
      <c r="CH669" t="str">
        <f>IF($CE669="","",IFERROR(INDEX(_REF_Industry_Wording!$G$2:$G$70,MATCH($CE669,_REF_Industry_Wording!$A$2:$A$70,0)),""))</f>
        <v>Strengthen POS / ecommerce using the selected maturity treatment, crisis scenario and evidence requirements.</v>
      </c>
      <c r="CI669" t="str">
        <f>IF($CE669="","",IFERROR(INDEX(_REF_Industry_Wording!$H$2:$H$70,MATCH($CE669,_REF_Industry_Wording!$A$2:$A$70,0)),""))</f>
        <v>POS / ecommerce</v>
      </c>
      <c r="CJ669">
        <f>IF($CE669="","",IFERROR(INDEX(_REF_Industry_Wording!$I$2:$I$70,MATCH($CE669,_REF_Industry_Wording!$A$2:$A$70,0)),""))</f>
        <v>0</v>
      </c>
      <c r="CK669" t="str">
        <f>IF($CE669="","",IFERROR(INDEX(_REF_Industry_Wording!$J$2:$J$70,MATCH($CE669,_REF_Industry_Wording!$A$2:$A$70,0)),""))</f>
        <v>POS / ecommerce</v>
      </c>
      <c r="CL669" t="str">
        <f t="shared" si="115"/>
        <v>Wording by industry=0; capability=CAP_POS_ECOMMERCE; risk label=POS / ecommerce weakness</v>
      </c>
      <c r="CM669" t="str">
        <f t="shared" si="116"/>
        <v>RISK-ONT-0170</v>
      </c>
      <c r="CN669" t="str">
        <f t="shared" si="117"/>
        <v>RISK-EVT-0170</v>
      </c>
      <c r="CO669" t="str">
        <f t="shared" si="118"/>
        <v>Physical Safety|Asset management|PHYS-030|CAP_POS_ECOMMERCE</v>
      </c>
      <c r="CP669" t="str">
        <f t="shared" si="119"/>
        <v>Active</v>
      </c>
      <c r="CQ669" t="str">
        <f t="shared" si="120"/>
        <v>OK: capability-driven</v>
      </c>
      <c r="CR669" t="str">
        <f t="shared" si="121"/>
        <v>Risk ontology uses capability=CAP_POS_ECOMMERCE; bridge=BRG-065; treatment=TRT-POS_ECOMMERCE-INITIAL; wording=IW-ALL-POS_ECOMMERCE</v>
      </c>
      <c r="CS669" t="str">
        <f t="shared" si="122"/>
        <v>Yes</v>
      </c>
    </row>
    <row r="670" spans="1:97" ht="69.900000000000006" customHeight="1">
      <c r="A670">
        <f>IF(OR($B670&lt;&gt;"Yes",$BS670=""),"",SUMPRODUCT(($B$500:$B$923="Yes")*ISNUMBER($BS$500:$BS$923)*($BS$500:$BS$923&gt;$BS670))+COUNTIFS($B$500:$B670,"Yes",$BS$500:$BS670,$BS670))</f>
        <v>153</v>
      </c>
      <c r="B670" t="str">
        <f t="shared" si="91"/>
        <v>Yes</v>
      </c>
      <c r="C670" t="s">
        <v>1666</v>
      </c>
      <c r="D670" t="s">
        <v>1693</v>
      </c>
      <c r="E670" t="s">
        <v>1848</v>
      </c>
      <c r="F670" t="s">
        <v>6967</v>
      </c>
      <c r="G670" t="str">
        <f>IF($H670="","",IFERROR(INDEX(_ENGINE_Risk!$H$5:$M$499,MATCH($E670,_ENGINE_Risk!$A$5:$A$499,0),$H670+1),""))</f>
        <v>Severe risk: property and lease portfolio management with obligations, expiry dates, exit options and flexibility is not reliably controlled. During Physical site loss; Financial/liquidity crisis; War/security crisis, the organization may face rigid site costs, missed exit windows and contractual exposure when the footprint must change fast with limited visibility or accountability.</v>
      </c>
      <c r="H670">
        <f>IFERROR(VALUE(INDEX(_DATA_Assessment_Model!$H$5:$H$884,MATCH($E670,_DATA_Assessment_Model!$A$5:$A$884,0))),"")</f>
        <v>0</v>
      </c>
      <c r="I670" t="str">
        <f>IF($H670="","",IFERROR(INDEX(_DATA_Assessment_Model!$L$5:$L$884,MATCH($E670,_DATA_Assessment_Model!$A$5:$A$884,0)),IF($H670&lt;=1,"Critical",IF($H670=2,"High",IF($H670=3,"Medium",IF($H670=4,"Low","Resilient"))))))</f>
        <v>Critical</v>
      </c>
      <c r="J670">
        <f t="shared" si="92"/>
        <v>3.6</v>
      </c>
      <c r="K670">
        <f t="shared" si="93"/>
        <v>5</v>
      </c>
      <c r="L670">
        <f t="shared" si="94"/>
        <v>18</v>
      </c>
      <c r="M670">
        <f t="shared" si="95"/>
        <v>4</v>
      </c>
      <c r="N670">
        <f>IF($H670="","",IFERROR(INDEX(_ENGINE_Risk!$T$5:$Y$499,MATCH($E670,_ENGINE_Risk!$A$5:$A$499,0),$H670+1),""))</f>
        <v>2</v>
      </c>
      <c r="O670">
        <f t="shared" si="96"/>
        <v>3.3333333333333335</v>
      </c>
      <c r="P670">
        <f t="shared" si="97"/>
        <v>5</v>
      </c>
      <c r="Q670">
        <f t="shared" si="98"/>
        <v>4.3</v>
      </c>
      <c r="R670">
        <f t="shared" si="99"/>
        <v>3.5</v>
      </c>
      <c r="S670">
        <f t="shared" si="100"/>
        <v>2.02</v>
      </c>
      <c r="T670" t="str">
        <f>IF($H670="","",IFERROR(INDEX(_ENGINE_Risk!$N$5:$S$499,MATCH($E670,_ENGINE_Risk!$A$5:$A$499,0),$H670+1),""))</f>
        <v>Create an immediate risk owner, minimum control baseline and fallback procedure for property and lease portfolio management with obligations, expiry dates, exit options and flexibility. Add it to the crisis risk register and collect first evidence.</v>
      </c>
      <c r="U670">
        <f>IFERROR(INDEX(_DATA_Assessment_Model!$G$5:$G$884,MATCH($E670,_DATA_Assessment_Model!$A$5:$A$884,0)),"")</f>
        <v>3</v>
      </c>
      <c r="V670">
        <f>IFERROR(INDEX(_DATA_Assessment_Model!$W$5:$W$884,MATCH($E670,_DATA_Assessment_Model!$A$5:$A$884,0)),"")</f>
        <v>3</v>
      </c>
      <c r="W670">
        <f>IFERROR(INDEX(_DATA_Assessment_Model!$X$5:$X$884,MATCH($E670,_DATA_Assessment_Model!$A$5:$A$884,0)),"")</f>
        <v>3</v>
      </c>
      <c r="X670">
        <f>IFERROR(INDEX(_DATA_Assessment_Model!$Y$5:$Y$884,MATCH($E670,_DATA_Assessment_Model!$A$5:$A$884,0)),"")</f>
        <v>4</v>
      </c>
      <c r="Y670" t="s">
        <v>1858</v>
      </c>
      <c r="Z670" t="s">
        <v>7013</v>
      </c>
      <c r="AA670" t="s">
        <v>7012</v>
      </c>
      <c r="AB670">
        <f>IFERROR(INDEX(_DATA_Assessment_Model!$U$5:$U$884,MATCH($E670,_DATA_Assessment_Model!$A$5:$A$884,0)),"")</f>
        <v>0</v>
      </c>
      <c r="AF670" t="s">
        <v>1849</v>
      </c>
      <c r="AO670">
        <f>IF($B670="Yes",IF(IFERROR(INDEX(_ENGINE_Crisis!$F$501:$F$517,MATCH($C670,_ENGINE_Crisis!$A$501:$A$517,0)),1)=0,1,IFERROR(INDEX(_ENGINE_Crisis!$F$501:$F$517,MATCH($C670,_ENGINE_Crisis!$A$501:$A$517,0)),1)),"")</f>
        <v>1</v>
      </c>
      <c r="AP670">
        <f t="shared" si="101"/>
        <v>18</v>
      </c>
      <c r="AQ670">
        <f t="shared" si="102"/>
        <v>2.02</v>
      </c>
      <c r="AR670" t="str">
        <f>IFERROR(INDEX(_ENGINE_Crisis!$E$41:$E$700,MATCH('Resilience &amp; Risk Scenario'!$B$6&amp;"|"&amp;$C670,_ENGINE_Crisis!$I$41:$I$700,0)),"")</f>
        <v/>
      </c>
      <c r="AS670" t="str">
        <f>IFERROR(INDEX(_ENGINE_Crisis!$G$41:$G$700,MATCH('Resilience &amp; Risk Scenario'!$B$6&amp;"|"&amp;$C670,_ENGINE_Crisis!$I$41:$I$700,0)),"")</f>
        <v/>
      </c>
      <c r="AT670" t="str">
        <f>IFERROR(INDEX(_ENGINE_Initiatives!$A$5:$A$532,MATCH(1,INDEX((_ENGINE_Initiatives!$B$5:$B$532=$C670)*(_ENGINE_Initiatives!$C$5:$C$532=$D670),0),0)),"")</f>
        <v/>
      </c>
      <c r="AU670" t="str">
        <f>IFERROR(INDEX(_ENGINE_Initiatives!$F$5:$F$532,MATCH(1,INDEX((_ENGINE_Initiatives!$B$5:$B$532=$C670)*(_ENGINE_Initiatives!$C$5:$C$532=$D670),0),0)),"")</f>
        <v/>
      </c>
      <c r="AV670" t="str">
        <f>IFERROR(INDEX(_ENGINE_Initiatives!$AC$5:$AC$532,MATCH(1,INDEX((_ENGINE_Initiatives!$B$5:$B$532=$C670)*(_ENGINE_Initiatives!$C$5:$C$532=$D670),0),0)),"")</f>
        <v/>
      </c>
      <c r="AW670" t="str">
        <f>IFERROR(INDEX(_ENGINE_Initiatives!$AE$5:$AE$532,MATCH(1,INDEX((_ENGINE_Initiatives!$B$5:$B$532=$C670)*(_ENGINE_Initiatives!$C$5:$C$532=$D670),0),0)),"")</f>
        <v/>
      </c>
      <c r="AX670">
        <f>IF($B670="Yes",IFERROR((IF(SUMIFS(_REF_Model_Content!$E$1:$E$613,_REF_Model_Content!$A$1:$A$613,PV_Canonical_Industry,_REF_Model_Content!$B$1:$B$613,$C670)=0,1,SUMIFS(_REF_Model_Content!$E$1:$E$613,_REF_Model_Content!$A$1:$A$613,PV_Canonical_Industry,_REF_Model_Content!$B$1:$B$613,$C670))*IFERROR($BU670,1)),1),"")</f>
        <v>1</v>
      </c>
      <c r="AY670">
        <f t="shared" si="103"/>
        <v>18</v>
      </c>
      <c r="AZ670">
        <f t="shared" si="104"/>
        <v>2.02</v>
      </c>
      <c r="BB670" t="str">
        <f>IF($H670="","",IFERROR(INDEX(_ENGINE_Risk!$AE$5:$AE$499,MATCH($E670,_ENGINE_Risk!$A$5:$A$499,0)),"Medium"))</f>
        <v>Medium</v>
      </c>
      <c r="BC670">
        <f t="shared" si="105"/>
        <v>1</v>
      </c>
      <c r="BD670">
        <f t="shared" si="106"/>
        <v>2.02</v>
      </c>
      <c r="BF670">
        <f>IF(OR($H670="",$J670=""),"",IFERROR(VLOOKUP(ROUND($J670,0),_CONFIG_Model_Settings!$D$154:$E$158,2,0),""))</f>
        <v>0.5</v>
      </c>
      <c r="BG670">
        <f>IFERROR(IF(OR($H670="",$K670=""),"",ROUND('Company Profile'!$B$113*INDEX(_CONFIG_Model_Settings!$H$154:$H$158,MATCH(ROUND($K670,0),_CONFIG_Model_Settings!$G$154:$G$158,0)),0)),0)</f>
        <v>1875</v>
      </c>
      <c r="BH670">
        <f t="shared" si="107"/>
        <v>937.5</v>
      </c>
      <c r="BI670">
        <f t="shared" si="108"/>
        <v>937.5</v>
      </c>
      <c r="BJ670">
        <f>IF($E670="","",IFERROR(VLOOKUP($C670,_CONFIG_Risk_Calibration!$A$5:$H$21,2,FALSE),3))</f>
        <v>3</v>
      </c>
      <c r="BK670">
        <f>IF($E670="","",IFERROR(VLOOKUP($C670,_CONFIG_Risk_Calibration!$A$5:$H$21,3,FALSE),0))</f>
        <v>0</v>
      </c>
      <c r="BL670">
        <f>IF($E670="","",IFERROR(VLOOKUP($C670,_CONFIG_Risk_Calibration!$A$5:$H$21,4,FALSE),3))</f>
        <v>3</v>
      </c>
      <c r="BM670">
        <f>IF($E670="","",IFERROR(VLOOKUP($C670,_CONFIG_Risk_Calibration!$A$5:$H$21,5,FALSE),3))</f>
        <v>4</v>
      </c>
      <c r="BN670" t="str">
        <f>IF($E670="","",IFERROR(VLOOKUP($C670,_CONFIG_Risk_Calibration!$A$5:$H$21,6,FALSE),"No"))</f>
        <v>Yes</v>
      </c>
      <c r="BO670">
        <f>IF($E670="","",IFERROR(VLOOKUP($C670,_CONFIG_Risk_Calibration!$A$5:$H$21,7,FALSE),1))</f>
        <v>5</v>
      </c>
      <c r="BP670">
        <f>IF($H670="","",MAX(1,MIN(5,((6-$H670)*0.45)+($BJ670*0.2)+('Resilience &amp; Risk Scenario'!$B$7*0.15)+($BK670*0.1)+($BL670*0.05)+(IF($BB670="Fast",5,IF($BB670="Slow",1,3))*0.05))))</f>
        <v>3.6</v>
      </c>
      <c r="BQ670">
        <f t="shared" si="109"/>
        <v>5</v>
      </c>
      <c r="BR670">
        <f t="shared" si="110"/>
        <v>18</v>
      </c>
      <c r="BS670">
        <f t="shared" si="111"/>
        <v>19.8</v>
      </c>
      <c r="BT670" t="str">
        <f>IFERROR(INDEX(_REF_Capability_Bridge!$D:$D,MATCH($C670&amp;"|"&amp;$D670,_REF_Capability_Bridge!$J:$J,0)),IFERROR(INDEX(_REF_Capability_Bridge!$D:$D,MATCH($C670&amp;"|",_REF_Capability_Bridge!$J:$J,0)),"CAP_GENERIC"))</f>
        <v>CAP_POS_ECOMMERCE</v>
      </c>
      <c r="BU670">
        <f>IFERROR(IFERROR(INDEX(_ENGINE_Relevance!$L:$L,MATCH($BT670,_ENGINE_Relevance!$B:$B,0)),1),1)</f>
        <v>1</v>
      </c>
      <c r="BV670" t="str">
        <f>IFERROR(INDEX(_REF_Capability_Bridge!$A:$A,MATCH($C670&amp;"|"&amp;$D670,_REF_Capability_Bridge!$J:$J,0)),IFERROR(INDEX(_REF_Capability_Bridge!$A:$A,MATCH($C670&amp;"|",_REF_Capability_Bridge!$J:$J,0)),"No bridge"))</f>
        <v>BRG-065</v>
      </c>
      <c r="BW670" t="str">
        <f t="shared" si="112"/>
        <v>Capability relevance neutral</v>
      </c>
      <c r="BX670" t="str">
        <f t="shared" si="113"/>
        <v>Initial / absent</v>
      </c>
      <c r="BY670" t="str">
        <f>IF($E670="","",IFERROR(INDEX(_REF_Treatment_Library!$A$2:$A$296,MATCH(1,INDEX((_REF_Treatment_Library!$B$2:$B$296=$BT670)*(_REF_Treatment_Library!$C$2:$C$296=PV_Canonical_Industry)*(_REF_Treatment_Library!$E$2:$E$296&lt;=N($H670))*(_REF_Treatment_Library!$F$2:$F$296&gt;=N($H670))*(_REF_Treatment_Library!$O$2:$O$296="Yes"),0),0)),IFERROR(INDEX(_REF_Treatment_Library!$A$2:$A$296,MATCH(1,INDEX((_REF_Treatment_Library!$B$2:$B$296=$BT670)*(_REF_Treatment_Library!$C$2:$C$296="All")*(_REF_Treatment_Library!$E$2:$E$296&lt;=N($H670))*(_REF_Treatment_Library!$F$2:$F$296&gt;=N($H670))*(_REF_Treatment_Library!$O$2:$O$296="Yes"),0),0)),"")))</f>
        <v>TRT-POS_ECOMMERCE-INITIAL</v>
      </c>
      <c r="BZ670" t="str">
        <f>IF($BY670="","",IFERROR(INDEX(_REF_Treatment_Library!$H$2:$H$296,MATCH($BY670,_REF_Treatment_Library!$A$2:$A$296,0)),""))</f>
        <v>Establish</v>
      </c>
      <c r="CA670" t="str">
        <f>IF($BY670="","",IFERROR(INDEX(_REF_Treatment_Library!$I$2:$I$296,MATCH($BY670,_REF_Treatment_Library!$A$2:$A$296,0)),""))</f>
        <v>Establish baseline controls for POS / ecommerce</v>
      </c>
      <c r="CB670" t="str">
        <f>IF($BY670="","",IFERROR(INDEX(_REF_Treatment_Library!$K$2:$K$296,MATCH($BY670,_REF_Treatment_Library!$A$2:$A$296,0)),""))</f>
        <v>Named owner, baseline process, minimum control checklist, first evidence package</v>
      </c>
      <c r="CC670" t="str">
        <f>IF($BY670="","",IFERROR(INDEX(_REF_Treatment_Library!$L$2:$L$296,MATCH($BY670,_REF_Treatment_Library!$A$2:$A$296,0)),""))</f>
        <v>Owner assigned; baseline evidence coverage; open critical gaps</v>
      </c>
      <c r="CD670" t="str">
        <f t="shared" si="114"/>
        <v>Treatment by capability=CAP_POS_ECOMMERCE; band=Initial / absent; score=0.0; treatment=Establish</v>
      </c>
      <c r="CE670" t="str">
        <f>IF($E670="","",IFERROR(INDEX(_REF_Industry_Wording!$A$2:$A$70,MATCH(1,INDEX((_REF_Industry_Wording!$B$2:$B$70=$BT670)*(_REF_Industry_Wording!$C$2:$C$70=PV_Canonical_Industry)*(_REF_Industry_Wording!$K$2:$K$70="Yes"),0),0)),IFERROR(INDEX(_REF_Industry_Wording!$A$2:$A$70,MATCH(1,INDEX((_REF_Industry_Wording!$B$2:$B$70=$BT670)*(_REF_Industry_Wording!$C$2:$C$70="All")*(_REF_Industry_Wording!$K$2:$K$70="Yes"),0),0)),"")))</f>
        <v>IW-ALL-POS_ECOMMERCE</v>
      </c>
      <c r="CF670" t="str">
        <f>IF($CE670="","",IFERROR(INDEX(_REF_Industry_Wording!$E$2:$E$70,MATCH($CE670,_REF_Industry_Wording!$A$2:$A$70,0)),""))</f>
        <v>POS / ecommerce weakness</v>
      </c>
      <c r="CG670" t="str">
        <f>IF($CE670="","",IFERROR(INDEX(_REF_Industry_Wording!$F$2:$F$70,MATCH($CE670,_REF_Industry_Wording!$A$2:$A$70,0)),""))</f>
        <v>Strengthen POS / ecommerce</v>
      </c>
      <c r="CH670" t="str">
        <f>IF($CE670="","",IFERROR(INDEX(_REF_Industry_Wording!$G$2:$G$70,MATCH($CE670,_REF_Industry_Wording!$A$2:$A$70,0)),""))</f>
        <v>Strengthen POS / ecommerce using the selected maturity treatment, crisis scenario and evidence requirements.</v>
      </c>
      <c r="CI670" t="str">
        <f>IF($CE670="","",IFERROR(INDEX(_REF_Industry_Wording!$H$2:$H$70,MATCH($CE670,_REF_Industry_Wording!$A$2:$A$70,0)),""))</f>
        <v>POS / ecommerce</v>
      </c>
      <c r="CJ670">
        <f>IF($CE670="","",IFERROR(INDEX(_REF_Industry_Wording!$I$2:$I$70,MATCH($CE670,_REF_Industry_Wording!$A$2:$A$70,0)),""))</f>
        <v>0</v>
      </c>
      <c r="CK670" t="str">
        <f>IF($CE670="","",IFERROR(INDEX(_REF_Industry_Wording!$J$2:$J$70,MATCH($CE670,_REF_Industry_Wording!$A$2:$A$70,0)),""))</f>
        <v>POS / ecommerce</v>
      </c>
      <c r="CL670" t="str">
        <f t="shared" si="115"/>
        <v>Wording by industry=0; capability=CAP_POS_ECOMMERCE; risk label=POS / ecommerce weakness</v>
      </c>
      <c r="CM670" t="str">
        <f t="shared" si="116"/>
        <v>RISK-ONT-0171</v>
      </c>
      <c r="CN670" t="str">
        <f t="shared" si="117"/>
        <v>RISK-EVT-0171</v>
      </c>
      <c r="CO670" t="str">
        <f t="shared" si="118"/>
        <v>Physical Safety|Asset management|PHYS-031|CAP_POS_ECOMMERCE</v>
      </c>
      <c r="CP670" t="str">
        <f t="shared" si="119"/>
        <v>Active</v>
      </c>
      <c r="CQ670" t="str">
        <f t="shared" si="120"/>
        <v>OK: capability-driven</v>
      </c>
      <c r="CR670" t="str">
        <f t="shared" si="121"/>
        <v>Risk ontology uses capability=CAP_POS_ECOMMERCE; bridge=BRG-065; treatment=TRT-POS_ECOMMERCE-INITIAL; wording=IW-ALL-POS_ECOMMERCE</v>
      </c>
      <c r="CS670" t="str">
        <f t="shared" si="122"/>
        <v>Yes</v>
      </c>
    </row>
    <row r="671" spans="1:97" ht="69.900000000000006" customHeight="1">
      <c r="A671">
        <f>IF(OR($B671&lt;&gt;"Yes",$BS671=""),"",SUMPRODUCT(($B$500:$B$923="Yes")*ISNUMBER($BS$500:$BS$923)*($BS$500:$BS$923&gt;$BS671))+COUNTIFS($B$500:$B671,"Yes",$BS$500:$BS671,$BS671))</f>
        <v>126</v>
      </c>
      <c r="B671" t="str">
        <f t="shared" si="91"/>
        <v>Yes</v>
      </c>
      <c r="C671" t="s">
        <v>1859</v>
      </c>
      <c r="D671" t="s">
        <v>1861</v>
      </c>
      <c r="E671" t="s">
        <v>1860</v>
      </c>
      <c r="F671" t="s">
        <v>3686</v>
      </c>
      <c r="G671" t="str">
        <f>IF($H671="","",IFERROR(INDEX(_ENGINE_Risk!$H$5:$M$499,MATCH($E671,_ENGINE_Risk!$A$5:$A$499,0),$H671+1),""))</f>
        <v>Severe risk: documented delivery operating model across functions, teams, sites, vendors and customer interfaces is not reliably controlled. During Delivery disruption; Customer impact; Workforce disruption, the organization may face missed commitments, SLA breaches, service interruption and weak customer recovery with limited visibility or accountability.</v>
      </c>
      <c r="H671">
        <f>IFERROR(VALUE(INDEX(_DATA_Assessment_Model!$H$5:$H$884,MATCH($E671,_DATA_Assessment_Model!$A$5:$A$884,0))),"")</f>
        <v>0</v>
      </c>
      <c r="I671" t="str">
        <f>IF($H671="","",IFERROR(INDEX(_DATA_Assessment_Model!$L$5:$L$884,MATCH($E671,_DATA_Assessment_Model!$A$5:$A$884,0)),IF($H671&lt;=1,"Critical",IF($H671=2,"High",IF($H671=3,"Medium",IF($H671=4,"Low","Resilient"))))))</f>
        <v>Critical</v>
      </c>
      <c r="J671">
        <f t="shared" si="92"/>
        <v>3.7</v>
      </c>
      <c r="K671">
        <f t="shared" si="93"/>
        <v>4.3500000000000005</v>
      </c>
      <c r="L671">
        <f t="shared" si="94"/>
        <v>16.095000000000002</v>
      </c>
      <c r="M671">
        <f t="shared" si="95"/>
        <v>4</v>
      </c>
      <c r="N671">
        <f>IF($H671="","",IFERROR(INDEX(_ENGINE_Risk!$T$5:$Y$499,MATCH($E671,_ENGINE_Risk!$A$5:$A$499,0),$H671+1),""))</f>
        <v>3</v>
      </c>
      <c r="O671">
        <f t="shared" si="96"/>
        <v>4.666666666666667</v>
      </c>
      <c r="P671">
        <f t="shared" si="97"/>
        <v>5</v>
      </c>
      <c r="Q671">
        <f t="shared" si="98"/>
        <v>5</v>
      </c>
      <c r="R671">
        <f t="shared" si="99"/>
        <v>4.5</v>
      </c>
      <c r="S671">
        <f t="shared" si="100"/>
        <v>1.6</v>
      </c>
      <c r="T671" t="str">
        <f>IF($H671="","",IFERROR(INDEX(_ENGINE_Risk!$N$5:$S$499,MATCH($E671,_ENGINE_Risk!$A$5:$A$499,0),$H671+1),""))</f>
        <v>Create an immediate risk owner, minimum control baseline and fallback procedure for documented delivery operating model across functions, teams, sites, vendors and customer interfaces. Add it to the crisis risk register and collect first evidence.</v>
      </c>
      <c r="U671">
        <f>IFERROR(INDEX(_DATA_Assessment_Model!$G$5:$G$884,MATCH($E671,_DATA_Assessment_Model!$A$5:$A$884,0)),"")</f>
        <v>5</v>
      </c>
      <c r="V671">
        <f>IFERROR(INDEX(_DATA_Assessment_Model!$W$5:$W$884,MATCH($E671,_DATA_Assessment_Model!$A$5:$A$884,0)),"")</f>
        <v>4</v>
      </c>
      <c r="W671">
        <f>IFERROR(INDEX(_DATA_Assessment_Model!$X$5:$X$884,MATCH($E671,_DATA_Assessment_Model!$A$5:$A$884,0)),"")</f>
        <v>5</v>
      </c>
      <c r="X671">
        <f>IFERROR(INDEX(_DATA_Assessment_Model!$Y$5:$Y$884,MATCH($E671,_DATA_Assessment_Model!$A$5:$A$884,0)),"")</f>
        <v>5</v>
      </c>
      <c r="Y671" t="s">
        <v>1866</v>
      </c>
      <c r="Z671" t="s">
        <v>7028</v>
      </c>
      <c r="AA671" t="s">
        <v>1865</v>
      </c>
      <c r="AB671">
        <f>IFERROR(INDEX(_DATA_Assessment_Model!$U$5:$U$884,MATCH($E671,_DATA_Assessment_Model!$A$5:$A$884,0)),"")</f>
        <v>0</v>
      </c>
      <c r="AF671" t="s">
        <v>1862</v>
      </c>
      <c r="AO671">
        <f>IF($B671="Yes",IF(IFERROR(INDEX(_ENGINE_Crisis!$F$501:$F$517,MATCH($C671,_ENGINE_Crisis!$A$501:$A$517,0)),1)=0,1,IFERROR(INDEX(_ENGINE_Crisis!$F$501:$F$517,MATCH($C671,_ENGINE_Crisis!$A$501:$A$517,0)),1)),"")</f>
        <v>1</v>
      </c>
      <c r="AP671">
        <f t="shared" si="101"/>
        <v>16.100000000000001</v>
      </c>
      <c r="AQ671">
        <f t="shared" si="102"/>
        <v>1.6</v>
      </c>
      <c r="AR671" t="str">
        <f>IFERROR(INDEX(_ENGINE_Crisis!$E$41:$E$700,MATCH('Resilience &amp; Risk Scenario'!$B$6&amp;"|"&amp;$C671,_ENGINE_Crisis!$I$41:$I$700,0)),"")</f>
        <v/>
      </c>
      <c r="AS671" t="str">
        <f>IFERROR(INDEX(_ENGINE_Crisis!$G$41:$G$700,MATCH('Resilience &amp; Risk Scenario'!$B$6&amp;"|"&amp;$C671,_ENGINE_Crisis!$I$41:$I$700,0)),"")</f>
        <v/>
      </c>
      <c r="AT671" t="str">
        <f>IFERROR(INDEX(_ENGINE_Initiatives!$A$5:$A$532,MATCH(1,INDEX((_ENGINE_Initiatives!$B$5:$B$532=$C671)*(_ENGINE_Initiatives!$C$5:$C$532=$D671),0),0)),"")</f>
        <v>INI-028</v>
      </c>
      <c r="AU671" t="str">
        <f>IFERROR(INDEX(_ENGINE_Initiatives!$F$5:$F$532,MATCH(1,INDEX((_ENGINE_Initiatives!$B$5:$B$532=$C671)*(_ENGINE_Initiatives!$C$5:$C$532=$D671),0),0)),"")</f>
        <v>Standardize delivery governance, ownership and escalation</v>
      </c>
      <c r="AV671">
        <f>IFERROR(INDEX(_ENGINE_Initiatives!$AC$5:$AC$532,MATCH(1,INDEX((_ENGINE_Initiatives!$B$5:$B$532=$C671)*(_ENGINE_Initiatives!$C$5:$C$532=$D671),0),0)),"")</f>
        <v>1.79</v>
      </c>
      <c r="AW671" t="str">
        <f>IFERROR(INDEX(_ENGINE_Initiatives!$AE$5:$AE$532,MATCH(1,INDEX((_ENGINE_Initiatives!$B$5:$B$532=$C671)*(_ENGINE_Initiatives!$C$5:$C$532=$D671),0),0)),"")</f>
        <v>3-6 months</v>
      </c>
      <c r="AX671">
        <f>IF($B671="Yes",IFERROR((IF(SUMIFS(_REF_Model_Content!$E$1:$E$613,_REF_Model_Content!$A$1:$A$613,PV_Canonical_Industry,_REF_Model_Content!$B$1:$B$613,$C671)=0,1,SUMIFS(_REF_Model_Content!$E$1:$E$613,_REF_Model_Content!$A$1:$A$613,PV_Canonical_Industry,_REF_Model_Content!$B$1:$B$613,$C671))*IFERROR($BU671,1)),1),"")</f>
        <v>1</v>
      </c>
      <c r="AY671">
        <f t="shared" si="103"/>
        <v>16.100000000000001</v>
      </c>
      <c r="AZ671">
        <f t="shared" si="104"/>
        <v>1.6</v>
      </c>
      <c r="BB671" t="str">
        <f>IF($H671="","",IFERROR(INDEX(_ENGINE_Risk!$AE$5:$AE$499,MATCH($E671,_ENGINE_Risk!$A$5:$A$499,0)),"Medium"))</f>
        <v>Fast</v>
      </c>
      <c r="BC671">
        <f t="shared" si="105"/>
        <v>1.25</v>
      </c>
      <c r="BD671">
        <f t="shared" si="106"/>
        <v>1.6</v>
      </c>
      <c r="BF671">
        <f>IF(OR($H671="",$J671=""),"",IFERROR(VLOOKUP(ROUND($J671,0),_CONFIG_Model_Settings!$D$154:$E$158,2,0),""))</f>
        <v>0.5</v>
      </c>
      <c r="BG671">
        <f>IFERROR(IF(OR($H671="",$K671=""),"",ROUND('Company Profile'!$B$113*INDEX(_CONFIG_Model_Settings!$H$154:$H$158,MATCH(ROUND($K671,0),_CONFIG_Model_Settings!$G$154:$G$158,0)),0)),0)</f>
        <v>875</v>
      </c>
      <c r="BH671">
        <f t="shared" si="107"/>
        <v>437.5</v>
      </c>
      <c r="BI671">
        <f t="shared" si="108"/>
        <v>437.5</v>
      </c>
      <c r="BJ671">
        <f>IF($E671="","",IFERROR(VLOOKUP($C671,_CONFIG_Risk_Calibration!$A$5:$H$21,2,FALSE),3))</f>
        <v>3</v>
      </c>
      <c r="BK671">
        <f>IF($E671="","",IFERROR(VLOOKUP($C671,_CONFIG_Risk_Calibration!$A$5:$H$21,3,FALSE),0))</f>
        <v>0</v>
      </c>
      <c r="BL671">
        <f>IF($E671="","",IFERROR(VLOOKUP($C671,_CONFIG_Risk_Calibration!$A$5:$H$21,4,FALSE),3))</f>
        <v>3</v>
      </c>
      <c r="BM671">
        <f>IF($E671="","",IFERROR(VLOOKUP($C671,_CONFIG_Risk_Calibration!$A$5:$H$21,5,FALSE),3))</f>
        <v>3</v>
      </c>
      <c r="BN671" t="str">
        <f>IF($E671="","",IFERROR(VLOOKUP($C671,_CONFIG_Risk_Calibration!$A$5:$H$21,6,FALSE),"No"))</f>
        <v>No</v>
      </c>
      <c r="BO671">
        <f>IF($E671="","",IFERROR(VLOOKUP($C671,_CONFIG_Risk_Calibration!$A$5:$H$21,7,FALSE),1))</f>
        <v>1</v>
      </c>
      <c r="BP671">
        <f>IF($H671="","",MAX(1,MIN(5,((6-$H671)*0.45)+($BJ671*0.2)+('Resilience &amp; Risk Scenario'!$B$7*0.15)+($BK671*0.1)+($BL671*0.05)+(IF($BB671="Fast",5,IF($BB671="Slow",1,3))*0.05))))</f>
        <v>3.7</v>
      </c>
      <c r="BQ671">
        <f t="shared" si="109"/>
        <v>4.3500000000000005</v>
      </c>
      <c r="BR671">
        <f t="shared" si="110"/>
        <v>16.100000000000001</v>
      </c>
      <c r="BS671">
        <f t="shared" si="111"/>
        <v>20.13</v>
      </c>
      <c r="BT671" t="str">
        <f>IFERROR(INDEX(_REF_Capability_Bridge!$D:$D,MATCH($C671&amp;"|"&amp;$D671,_REF_Capability_Bridge!$J:$J,0)),IFERROR(INDEX(_REF_Capability_Bridge!$D:$D,MATCH($C671&amp;"|",_REF_Capability_Bridge!$J:$J,0)),"CAP_GENERIC"))</f>
        <v>CAP_SRE_OBSERVABILITY</v>
      </c>
      <c r="BU671">
        <f>IFERROR(IFERROR(INDEX(_ENGINE_Relevance!$L:$L,MATCH($BT671,_ENGINE_Relevance!$B:$B,0)),1),1)</f>
        <v>1</v>
      </c>
      <c r="BV671" t="str">
        <f>IFERROR(INDEX(_REF_Capability_Bridge!$A:$A,MATCH($C671&amp;"|"&amp;$D671,_REF_Capability_Bridge!$J:$J,0)),IFERROR(INDEX(_REF_Capability_Bridge!$A:$A,MATCH($C671&amp;"|",_REF_Capability_Bridge!$J:$J,0)),"No bridge"))</f>
        <v>BRG-026</v>
      </c>
      <c r="BW671" t="str">
        <f t="shared" si="112"/>
        <v>Capability relevance neutral</v>
      </c>
      <c r="BX671" t="str">
        <f t="shared" si="113"/>
        <v>Initial / absent</v>
      </c>
      <c r="BY671" t="str">
        <f>IF($E671="","",IFERROR(INDEX(_REF_Treatment_Library!$A$2:$A$296,MATCH(1,INDEX((_REF_Treatment_Library!$B$2:$B$296=$BT671)*(_REF_Treatment_Library!$C$2:$C$296=PV_Canonical_Industry)*(_REF_Treatment_Library!$E$2:$E$296&lt;=N($H671))*(_REF_Treatment_Library!$F$2:$F$296&gt;=N($H671))*(_REF_Treatment_Library!$O$2:$O$296="Yes"),0),0)),IFERROR(INDEX(_REF_Treatment_Library!$A$2:$A$296,MATCH(1,INDEX((_REF_Treatment_Library!$B$2:$B$296=$BT671)*(_REF_Treatment_Library!$C$2:$C$296="All")*(_REF_Treatment_Library!$E$2:$E$296&lt;=N($H671))*(_REF_Treatment_Library!$F$2:$F$296&gt;=N($H671))*(_REF_Treatment_Library!$O$2:$O$296="Yes"),0),0)),"")))</f>
        <v>TRT-SRE_OBSERVABILITY-INITIAL</v>
      </c>
      <c r="BZ671" t="str">
        <f>IF($BY671="","",IFERROR(INDEX(_REF_Treatment_Library!$H$2:$H$296,MATCH($BY671,_REF_Treatment_Library!$A$2:$A$296,0)),""))</f>
        <v>Establish</v>
      </c>
      <c r="CA671" t="str">
        <f>IF($BY671="","",IFERROR(INDEX(_REF_Treatment_Library!$I$2:$I$296,MATCH($BY671,_REF_Treatment_Library!$A$2:$A$296,0)),""))</f>
        <v>Establish baseline controls for SRE / Observability</v>
      </c>
      <c r="CB671" t="str">
        <f>IF($BY671="","",IFERROR(INDEX(_REF_Treatment_Library!$K$2:$K$296,MATCH($BY671,_REF_Treatment_Library!$A$2:$A$296,0)),""))</f>
        <v>Named owner, baseline process, minimum control checklist, first evidence package</v>
      </c>
      <c r="CC671" t="str">
        <f>IF($BY671="","",IFERROR(INDEX(_REF_Treatment_Library!$L$2:$L$296,MATCH($BY671,_REF_Treatment_Library!$A$2:$A$296,0)),""))</f>
        <v>Owner assigned; baseline evidence coverage; open critical gaps</v>
      </c>
      <c r="CD671" t="str">
        <f t="shared" si="114"/>
        <v>Treatment by capability=CAP_SRE_OBSERVABILITY; band=Initial / absent; score=0.0; treatment=Establish</v>
      </c>
      <c r="CE671" t="str">
        <f>IF($E671="","",IFERROR(INDEX(_REF_Industry_Wording!$A$2:$A$70,MATCH(1,INDEX((_REF_Industry_Wording!$B$2:$B$70=$BT671)*(_REF_Industry_Wording!$C$2:$C$70=PV_Canonical_Industry)*(_REF_Industry_Wording!$K$2:$K$70="Yes"),0),0)),IFERROR(INDEX(_REF_Industry_Wording!$A$2:$A$70,MATCH(1,INDEX((_REF_Industry_Wording!$B$2:$B$70=$BT671)*(_REF_Industry_Wording!$C$2:$C$70="All")*(_REF_Industry_Wording!$K$2:$K$70="Yes"),0),0)),"")))</f>
        <v>IW-ALL-SRE_OBSERVABILITY</v>
      </c>
      <c r="CF671" t="str">
        <f>IF($CE671="","",IFERROR(INDEX(_REF_Industry_Wording!$E$2:$E$70,MATCH($CE671,_REF_Industry_Wording!$A$2:$A$70,0)),""))</f>
        <v>SRE / Observability weakness</v>
      </c>
      <c r="CG671" t="str">
        <f>IF($CE671="","",IFERROR(INDEX(_REF_Industry_Wording!$F$2:$F$70,MATCH($CE671,_REF_Industry_Wording!$A$2:$A$70,0)),""))</f>
        <v>Strengthen SRE / Observability</v>
      </c>
      <c r="CH671" t="str">
        <f>IF($CE671="","",IFERROR(INDEX(_REF_Industry_Wording!$G$2:$G$70,MATCH($CE671,_REF_Industry_Wording!$A$2:$A$70,0)),""))</f>
        <v>Strengthen SRE / Observability using the selected maturity treatment, crisis scenario and evidence requirements.</v>
      </c>
      <c r="CI671" t="str">
        <f>IF($CE671="","",IFERROR(INDEX(_REF_Industry_Wording!$H$2:$H$70,MATCH($CE671,_REF_Industry_Wording!$A$2:$A$70,0)),""))</f>
        <v>SRE / Observability</v>
      </c>
      <c r="CJ671">
        <f>IF($CE671="","",IFERROR(INDEX(_REF_Industry_Wording!$I$2:$I$70,MATCH($CE671,_REF_Industry_Wording!$A$2:$A$70,0)),""))</f>
        <v>0</v>
      </c>
      <c r="CK671" t="str">
        <f>IF($CE671="","",IFERROR(INDEX(_REF_Industry_Wording!$J$2:$J$70,MATCH($CE671,_REF_Industry_Wording!$A$2:$A$70,0)),""))</f>
        <v>SRE / Observability</v>
      </c>
      <c r="CL671" t="str">
        <f t="shared" si="115"/>
        <v>Wording by industry=0; capability=CAP_SRE_OBSERVABILITY; risk label=SRE / Observability weakness</v>
      </c>
      <c r="CM671" t="str">
        <f t="shared" si="116"/>
        <v>RISK-ONT-0172</v>
      </c>
      <c r="CN671" t="str">
        <f t="shared" si="117"/>
        <v>RISK-EVT-0172</v>
      </c>
      <c r="CO671" t="str">
        <f t="shared" si="118"/>
        <v>Delivery Ops|Delivery governance|DELI-001|CAP_SRE_OBSERVABILITY</v>
      </c>
      <c r="CP671" t="str">
        <f t="shared" si="119"/>
        <v>Active</v>
      </c>
      <c r="CQ671" t="str">
        <f t="shared" si="120"/>
        <v>OK: capability-driven</v>
      </c>
      <c r="CR671" t="str">
        <f t="shared" si="121"/>
        <v>Risk ontology uses capability=CAP_SRE_OBSERVABILITY; bridge=BRG-026; treatment=TRT-SRE_OBSERVABILITY-INITIAL; wording=IW-ALL-SRE_OBSERVABILITY</v>
      </c>
      <c r="CS671" t="str">
        <f t="shared" si="122"/>
        <v>Yes</v>
      </c>
    </row>
    <row r="672" spans="1:97" ht="69.900000000000006" customHeight="1">
      <c r="A672">
        <f>IF(OR($B672&lt;&gt;"Yes",$BS672=""),"",SUMPRODUCT(($B$500:$B$923="Yes")*ISNUMBER($BS$500:$BS$923)*($BS$500:$BS$923&gt;$BS672))+COUNTIFS($B$500:$B672,"Yes",$BS$500:$BS672,$BS672))</f>
        <v>127</v>
      </c>
      <c r="B672" t="str">
        <f t="shared" si="91"/>
        <v>Yes</v>
      </c>
      <c r="C672" t="s">
        <v>1859</v>
      </c>
      <c r="D672" t="s">
        <v>1861</v>
      </c>
      <c r="E672" t="s">
        <v>1867</v>
      </c>
      <c r="F672" t="s">
        <v>3686</v>
      </c>
      <c r="G672" t="str">
        <f>IF($H672="","",IFERROR(INDEX(_ENGINE_Risk!$H$5:$M$499,MATCH($E672,_ENGINE_Risk!$A$5:$A$499,0),$H672+1),""))</f>
        <v>Severe risk: critical delivery processes ranked by customer, revenue, safety and contractual impact is not reliably controlled. During Delivery disruption; Customer impact; Workforce disruption, the organization may face missed commitments, SLA breaches, service interruption and weak customer recovery with limited visibility or accountability.</v>
      </c>
      <c r="H672">
        <f>IFERROR(VALUE(INDEX(_DATA_Assessment_Model!$H$5:$H$884,MATCH($E672,_DATA_Assessment_Model!$A$5:$A$884,0))),"")</f>
        <v>0</v>
      </c>
      <c r="I672" t="str">
        <f>IF($H672="","",IFERROR(INDEX(_DATA_Assessment_Model!$L$5:$L$884,MATCH($E672,_DATA_Assessment_Model!$A$5:$A$884,0)),IF($H672&lt;=1,"Critical",IF($H672=2,"High",IF($H672=3,"Medium",IF($H672=4,"Low","Resilient"))))))</f>
        <v>Critical</v>
      </c>
      <c r="J672">
        <f t="shared" si="92"/>
        <v>3.7</v>
      </c>
      <c r="K672">
        <f t="shared" si="93"/>
        <v>4.3500000000000005</v>
      </c>
      <c r="L672">
        <f t="shared" si="94"/>
        <v>16.095000000000002</v>
      </c>
      <c r="M672">
        <f t="shared" si="95"/>
        <v>4</v>
      </c>
      <c r="N672">
        <f>IF($H672="","",IFERROR(INDEX(_ENGINE_Risk!$T$5:$Y$499,MATCH($E672,_ENGINE_Risk!$A$5:$A$499,0),$H672+1),""))</f>
        <v>3</v>
      </c>
      <c r="O672">
        <f t="shared" si="96"/>
        <v>4.666666666666667</v>
      </c>
      <c r="P672">
        <f t="shared" si="97"/>
        <v>5</v>
      </c>
      <c r="Q672">
        <f t="shared" si="98"/>
        <v>5</v>
      </c>
      <c r="R672">
        <f t="shared" si="99"/>
        <v>4.5</v>
      </c>
      <c r="S672">
        <f t="shared" si="100"/>
        <v>1.6</v>
      </c>
      <c r="T672" t="str">
        <f>IF($H672="","",IFERROR(INDEX(_ENGINE_Risk!$N$5:$S$499,MATCH($E672,_ENGINE_Risk!$A$5:$A$499,0),$H672+1),""))</f>
        <v>Create an immediate risk owner, minimum control baseline and fallback procedure for critical delivery processes ranked by customer, revenue, safety and contractual impact. Add it to the crisis risk register and collect first evidence.</v>
      </c>
      <c r="U672">
        <f>IFERROR(INDEX(_DATA_Assessment_Model!$G$5:$G$884,MATCH($E672,_DATA_Assessment_Model!$A$5:$A$884,0)),"")</f>
        <v>5</v>
      </c>
      <c r="V672">
        <f>IFERROR(INDEX(_DATA_Assessment_Model!$W$5:$W$884,MATCH($E672,_DATA_Assessment_Model!$A$5:$A$884,0)),"")</f>
        <v>4</v>
      </c>
      <c r="W672">
        <f>IFERROR(INDEX(_DATA_Assessment_Model!$X$5:$X$884,MATCH($E672,_DATA_Assessment_Model!$A$5:$A$884,0)),"")</f>
        <v>5</v>
      </c>
      <c r="X672">
        <f>IFERROR(INDEX(_DATA_Assessment_Model!$Y$5:$Y$884,MATCH($E672,_DATA_Assessment_Model!$A$5:$A$884,0)),"")</f>
        <v>5</v>
      </c>
      <c r="Y672" t="s">
        <v>1866</v>
      </c>
      <c r="Z672" t="s">
        <v>7028</v>
      </c>
      <c r="AA672" t="s">
        <v>1869</v>
      </c>
      <c r="AB672">
        <f>IFERROR(INDEX(_DATA_Assessment_Model!$U$5:$U$884,MATCH($E672,_DATA_Assessment_Model!$A$5:$A$884,0)),"")</f>
        <v>0</v>
      </c>
      <c r="AF672" t="s">
        <v>1868</v>
      </c>
      <c r="AO672">
        <f>IF($B672="Yes",IF(IFERROR(INDEX(_ENGINE_Crisis!$F$501:$F$517,MATCH($C672,_ENGINE_Crisis!$A$501:$A$517,0)),1)=0,1,IFERROR(INDEX(_ENGINE_Crisis!$F$501:$F$517,MATCH($C672,_ENGINE_Crisis!$A$501:$A$517,0)),1)),"")</f>
        <v>1</v>
      </c>
      <c r="AP672">
        <f t="shared" si="101"/>
        <v>16.100000000000001</v>
      </c>
      <c r="AQ672">
        <f t="shared" si="102"/>
        <v>1.6</v>
      </c>
      <c r="AR672" t="str">
        <f>IFERROR(INDEX(_ENGINE_Crisis!$E$41:$E$700,MATCH('Resilience &amp; Risk Scenario'!$B$6&amp;"|"&amp;$C672,_ENGINE_Crisis!$I$41:$I$700,0)),"")</f>
        <v/>
      </c>
      <c r="AS672" t="str">
        <f>IFERROR(INDEX(_ENGINE_Crisis!$G$41:$G$700,MATCH('Resilience &amp; Risk Scenario'!$B$6&amp;"|"&amp;$C672,_ENGINE_Crisis!$I$41:$I$700,0)),"")</f>
        <v/>
      </c>
      <c r="AT672" t="str">
        <f>IFERROR(INDEX(_ENGINE_Initiatives!$A$5:$A$532,MATCH(1,INDEX((_ENGINE_Initiatives!$B$5:$B$532=$C672)*(_ENGINE_Initiatives!$C$5:$C$532=$D672),0),0)),"")</f>
        <v>INI-028</v>
      </c>
      <c r="AU672" t="str">
        <f>IFERROR(INDEX(_ENGINE_Initiatives!$F$5:$F$532,MATCH(1,INDEX((_ENGINE_Initiatives!$B$5:$B$532=$C672)*(_ENGINE_Initiatives!$C$5:$C$532=$D672),0),0)),"")</f>
        <v>Standardize delivery governance, ownership and escalation</v>
      </c>
      <c r="AV672">
        <f>IFERROR(INDEX(_ENGINE_Initiatives!$AC$5:$AC$532,MATCH(1,INDEX((_ENGINE_Initiatives!$B$5:$B$532=$C672)*(_ENGINE_Initiatives!$C$5:$C$532=$D672),0),0)),"")</f>
        <v>1.79</v>
      </c>
      <c r="AW672" t="str">
        <f>IFERROR(INDEX(_ENGINE_Initiatives!$AE$5:$AE$532,MATCH(1,INDEX((_ENGINE_Initiatives!$B$5:$B$532=$C672)*(_ENGINE_Initiatives!$C$5:$C$532=$D672),0),0)),"")</f>
        <v>3-6 months</v>
      </c>
      <c r="AX672">
        <f>IF($B672="Yes",IFERROR((IF(SUMIFS(_REF_Model_Content!$E$1:$E$613,_REF_Model_Content!$A$1:$A$613,PV_Canonical_Industry,_REF_Model_Content!$B$1:$B$613,$C672)=0,1,SUMIFS(_REF_Model_Content!$E$1:$E$613,_REF_Model_Content!$A$1:$A$613,PV_Canonical_Industry,_REF_Model_Content!$B$1:$B$613,$C672))*IFERROR($BU672,1)),1),"")</f>
        <v>1</v>
      </c>
      <c r="AY672">
        <f t="shared" si="103"/>
        <v>16.100000000000001</v>
      </c>
      <c r="AZ672">
        <f t="shared" si="104"/>
        <v>1.6</v>
      </c>
      <c r="BB672" t="str">
        <f>IF($H672="","",IFERROR(INDEX(_ENGINE_Risk!$AE$5:$AE$499,MATCH($E672,_ENGINE_Risk!$A$5:$A$499,0)),"Medium"))</f>
        <v>Fast</v>
      </c>
      <c r="BC672">
        <f t="shared" si="105"/>
        <v>1.25</v>
      </c>
      <c r="BD672">
        <f t="shared" si="106"/>
        <v>1.6</v>
      </c>
      <c r="BF672">
        <f>IF(OR($H672="",$J672=""),"",IFERROR(VLOOKUP(ROUND($J672,0),_CONFIG_Model_Settings!$D$154:$E$158,2,0),""))</f>
        <v>0.5</v>
      </c>
      <c r="BG672">
        <f>IFERROR(IF(OR($H672="",$K672=""),"",ROUND('Company Profile'!$B$113*INDEX(_CONFIG_Model_Settings!$H$154:$H$158,MATCH(ROUND($K672,0),_CONFIG_Model_Settings!$G$154:$G$158,0)),0)),0)</f>
        <v>875</v>
      </c>
      <c r="BH672">
        <f t="shared" si="107"/>
        <v>437.5</v>
      </c>
      <c r="BI672">
        <f t="shared" si="108"/>
        <v>437.5</v>
      </c>
      <c r="BJ672">
        <f>IF($E672="","",IFERROR(VLOOKUP($C672,_CONFIG_Risk_Calibration!$A$5:$H$21,2,FALSE),3))</f>
        <v>3</v>
      </c>
      <c r="BK672">
        <f>IF($E672="","",IFERROR(VLOOKUP($C672,_CONFIG_Risk_Calibration!$A$5:$H$21,3,FALSE),0))</f>
        <v>0</v>
      </c>
      <c r="BL672">
        <f>IF($E672="","",IFERROR(VLOOKUP($C672,_CONFIG_Risk_Calibration!$A$5:$H$21,4,FALSE),3))</f>
        <v>3</v>
      </c>
      <c r="BM672">
        <f>IF($E672="","",IFERROR(VLOOKUP($C672,_CONFIG_Risk_Calibration!$A$5:$H$21,5,FALSE),3))</f>
        <v>3</v>
      </c>
      <c r="BN672" t="str">
        <f>IF($E672="","",IFERROR(VLOOKUP($C672,_CONFIG_Risk_Calibration!$A$5:$H$21,6,FALSE),"No"))</f>
        <v>No</v>
      </c>
      <c r="BO672">
        <f>IF($E672="","",IFERROR(VLOOKUP($C672,_CONFIG_Risk_Calibration!$A$5:$H$21,7,FALSE),1))</f>
        <v>1</v>
      </c>
      <c r="BP672">
        <f>IF($H672="","",MAX(1,MIN(5,((6-$H672)*0.45)+($BJ672*0.2)+('Resilience &amp; Risk Scenario'!$B$7*0.15)+($BK672*0.1)+($BL672*0.05)+(IF($BB672="Fast",5,IF($BB672="Slow",1,3))*0.05))))</f>
        <v>3.7</v>
      </c>
      <c r="BQ672">
        <f t="shared" si="109"/>
        <v>4.3500000000000005</v>
      </c>
      <c r="BR672">
        <f t="shared" si="110"/>
        <v>16.100000000000001</v>
      </c>
      <c r="BS672">
        <f t="shared" si="111"/>
        <v>20.13</v>
      </c>
      <c r="BT672" t="str">
        <f>IFERROR(INDEX(_REF_Capability_Bridge!$D:$D,MATCH($C672&amp;"|"&amp;$D672,_REF_Capability_Bridge!$J:$J,0)),IFERROR(INDEX(_REF_Capability_Bridge!$D:$D,MATCH($C672&amp;"|",_REF_Capability_Bridge!$J:$J,0)),"CAP_GENERIC"))</f>
        <v>CAP_SRE_OBSERVABILITY</v>
      </c>
      <c r="BU672">
        <f>IFERROR(IFERROR(INDEX(_ENGINE_Relevance!$L:$L,MATCH($BT672,_ENGINE_Relevance!$B:$B,0)),1),1)</f>
        <v>1</v>
      </c>
      <c r="BV672" t="str">
        <f>IFERROR(INDEX(_REF_Capability_Bridge!$A:$A,MATCH($C672&amp;"|"&amp;$D672,_REF_Capability_Bridge!$J:$J,0)),IFERROR(INDEX(_REF_Capability_Bridge!$A:$A,MATCH($C672&amp;"|",_REF_Capability_Bridge!$J:$J,0)),"No bridge"))</f>
        <v>BRG-026</v>
      </c>
      <c r="BW672" t="str">
        <f t="shared" si="112"/>
        <v>Capability relevance neutral</v>
      </c>
      <c r="BX672" t="str">
        <f t="shared" si="113"/>
        <v>Initial / absent</v>
      </c>
      <c r="BY672" t="str">
        <f>IF($E672="","",IFERROR(INDEX(_REF_Treatment_Library!$A$2:$A$296,MATCH(1,INDEX((_REF_Treatment_Library!$B$2:$B$296=$BT672)*(_REF_Treatment_Library!$C$2:$C$296=PV_Canonical_Industry)*(_REF_Treatment_Library!$E$2:$E$296&lt;=N($H672))*(_REF_Treatment_Library!$F$2:$F$296&gt;=N($H672))*(_REF_Treatment_Library!$O$2:$O$296="Yes"),0),0)),IFERROR(INDEX(_REF_Treatment_Library!$A$2:$A$296,MATCH(1,INDEX((_REF_Treatment_Library!$B$2:$B$296=$BT672)*(_REF_Treatment_Library!$C$2:$C$296="All")*(_REF_Treatment_Library!$E$2:$E$296&lt;=N($H672))*(_REF_Treatment_Library!$F$2:$F$296&gt;=N($H672))*(_REF_Treatment_Library!$O$2:$O$296="Yes"),0),0)),"")))</f>
        <v>TRT-SRE_OBSERVABILITY-INITIAL</v>
      </c>
      <c r="BZ672" t="str">
        <f>IF($BY672="","",IFERROR(INDEX(_REF_Treatment_Library!$H$2:$H$296,MATCH($BY672,_REF_Treatment_Library!$A$2:$A$296,0)),""))</f>
        <v>Establish</v>
      </c>
      <c r="CA672" t="str">
        <f>IF($BY672="","",IFERROR(INDEX(_REF_Treatment_Library!$I$2:$I$296,MATCH($BY672,_REF_Treatment_Library!$A$2:$A$296,0)),""))</f>
        <v>Establish baseline controls for SRE / Observability</v>
      </c>
      <c r="CB672" t="str">
        <f>IF($BY672="","",IFERROR(INDEX(_REF_Treatment_Library!$K$2:$K$296,MATCH($BY672,_REF_Treatment_Library!$A$2:$A$296,0)),""))</f>
        <v>Named owner, baseline process, minimum control checklist, first evidence package</v>
      </c>
      <c r="CC672" t="str">
        <f>IF($BY672="","",IFERROR(INDEX(_REF_Treatment_Library!$L$2:$L$296,MATCH($BY672,_REF_Treatment_Library!$A$2:$A$296,0)),""))</f>
        <v>Owner assigned; baseline evidence coverage; open critical gaps</v>
      </c>
      <c r="CD672" t="str">
        <f t="shared" si="114"/>
        <v>Treatment by capability=CAP_SRE_OBSERVABILITY; band=Initial / absent; score=0.0; treatment=Establish</v>
      </c>
      <c r="CE672" t="str">
        <f>IF($E672="","",IFERROR(INDEX(_REF_Industry_Wording!$A$2:$A$70,MATCH(1,INDEX((_REF_Industry_Wording!$B$2:$B$70=$BT672)*(_REF_Industry_Wording!$C$2:$C$70=PV_Canonical_Industry)*(_REF_Industry_Wording!$K$2:$K$70="Yes"),0),0)),IFERROR(INDEX(_REF_Industry_Wording!$A$2:$A$70,MATCH(1,INDEX((_REF_Industry_Wording!$B$2:$B$70=$BT672)*(_REF_Industry_Wording!$C$2:$C$70="All")*(_REF_Industry_Wording!$K$2:$K$70="Yes"),0),0)),"")))</f>
        <v>IW-ALL-SRE_OBSERVABILITY</v>
      </c>
      <c r="CF672" t="str">
        <f>IF($CE672="","",IFERROR(INDEX(_REF_Industry_Wording!$E$2:$E$70,MATCH($CE672,_REF_Industry_Wording!$A$2:$A$70,0)),""))</f>
        <v>SRE / Observability weakness</v>
      </c>
      <c r="CG672" t="str">
        <f>IF($CE672="","",IFERROR(INDEX(_REF_Industry_Wording!$F$2:$F$70,MATCH($CE672,_REF_Industry_Wording!$A$2:$A$70,0)),""))</f>
        <v>Strengthen SRE / Observability</v>
      </c>
      <c r="CH672" t="str">
        <f>IF($CE672="","",IFERROR(INDEX(_REF_Industry_Wording!$G$2:$G$70,MATCH($CE672,_REF_Industry_Wording!$A$2:$A$70,0)),""))</f>
        <v>Strengthen SRE / Observability using the selected maturity treatment, crisis scenario and evidence requirements.</v>
      </c>
      <c r="CI672" t="str">
        <f>IF($CE672="","",IFERROR(INDEX(_REF_Industry_Wording!$H$2:$H$70,MATCH($CE672,_REF_Industry_Wording!$A$2:$A$70,0)),""))</f>
        <v>SRE / Observability</v>
      </c>
      <c r="CJ672">
        <f>IF($CE672="","",IFERROR(INDEX(_REF_Industry_Wording!$I$2:$I$70,MATCH($CE672,_REF_Industry_Wording!$A$2:$A$70,0)),""))</f>
        <v>0</v>
      </c>
      <c r="CK672" t="str">
        <f>IF($CE672="","",IFERROR(INDEX(_REF_Industry_Wording!$J$2:$J$70,MATCH($CE672,_REF_Industry_Wording!$A$2:$A$70,0)),""))</f>
        <v>SRE / Observability</v>
      </c>
      <c r="CL672" t="str">
        <f t="shared" si="115"/>
        <v>Wording by industry=0; capability=CAP_SRE_OBSERVABILITY; risk label=SRE / Observability weakness</v>
      </c>
      <c r="CM672" t="str">
        <f t="shared" si="116"/>
        <v>RISK-ONT-0173</v>
      </c>
      <c r="CN672" t="str">
        <f t="shared" si="117"/>
        <v>RISK-EVT-0173</v>
      </c>
      <c r="CO672" t="str">
        <f t="shared" si="118"/>
        <v>Delivery Ops|Delivery governance|DELI-002|CAP_SRE_OBSERVABILITY</v>
      </c>
      <c r="CP672" t="str">
        <f t="shared" si="119"/>
        <v>Active</v>
      </c>
      <c r="CQ672" t="str">
        <f t="shared" si="120"/>
        <v>OK: capability-driven</v>
      </c>
      <c r="CR672" t="str">
        <f t="shared" si="121"/>
        <v>Risk ontology uses capability=CAP_SRE_OBSERVABILITY; bridge=BRG-026; treatment=TRT-SRE_OBSERVABILITY-INITIAL; wording=IW-ALL-SRE_OBSERVABILITY</v>
      </c>
      <c r="CS672" t="str">
        <f t="shared" si="122"/>
        <v>Yes</v>
      </c>
    </row>
    <row r="673" spans="1:97" ht="69.900000000000006" customHeight="1">
      <c r="A673">
        <f>IF(OR($B673&lt;&gt;"Yes",$BS673=""),"",SUMPRODUCT(($B$500:$B$923="Yes")*ISNUMBER($BS$500:$BS$923)*($BS$500:$BS$923&gt;$BS673))+COUNTIFS($B$500:$B673,"Yes",$BS$500:$BS673,$BS673))</f>
        <v>161</v>
      </c>
      <c r="B673" t="str">
        <f t="shared" si="91"/>
        <v>Yes</v>
      </c>
      <c r="C673" t="s">
        <v>1859</v>
      </c>
      <c r="D673" t="s">
        <v>1861</v>
      </c>
      <c r="E673" t="s">
        <v>1871</v>
      </c>
      <c r="F673" t="s">
        <v>3686</v>
      </c>
      <c r="G673" t="str">
        <f>IF($H673="","",IFERROR(INDEX(_ENGINE_Risk!$H$5:$M$499,MATCH($E673,_ENGINE_Risk!$A$5:$A$499,0),$H673+1),""))</f>
        <v>Severe risk: SLA and OLA management with owners, escalation rules and customer communication is not reliably controlled. During Delivery disruption; Customer impact; Workforce disruption, the organization may face missed commitments, SLA breaches, service interruption and weak customer recovery with limited visibility or accountability.</v>
      </c>
      <c r="H673">
        <f>IFERROR(VALUE(INDEX(_DATA_Assessment_Model!$H$5:$H$884,MATCH($E673,_DATA_Assessment_Model!$A$5:$A$884,0))),"")</f>
        <v>0</v>
      </c>
      <c r="I673" t="str">
        <f>IF($H673="","",IFERROR(INDEX(_DATA_Assessment_Model!$L$5:$L$884,MATCH($E673,_DATA_Assessment_Model!$A$5:$A$884,0)),IF($H673&lt;=1,"Critical",IF($H673=2,"High",IF($H673=3,"Medium",IF($H673=4,"Low","Resilient"))))))</f>
        <v>Critical</v>
      </c>
      <c r="J673">
        <f t="shared" si="92"/>
        <v>3.7</v>
      </c>
      <c r="K673">
        <f t="shared" si="93"/>
        <v>4.1500000000000004</v>
      </c>
      <c r="L673">
        <f t="shared" si="94"/>
        <v>15.355000000000002</v>
      </c>
      <c r="M673">
        <f t="shared" si="95"/>
        <v>4</v>
      </c>
      <c r="N673">
        <f>IF($H673="","",IFERROR(INDEX(_ENGINE_Risk!$T$5:$Y$499,MATCH($E673,_ENGINE_Risk!$A$5:$A$499,0),$H673+1),""))</f>
        <v>3</v>
      </c>
      <c r="O673">
        <f t="shared" si="96"/>
        <v>4.333333333333333</v>
      </c>
      <c r="P673">
        <f t="shared" si="97"/>
        <v>5</v>
      </c>
      <c r="Q673">
        <f t="shared" si="98"/>
        <v>5</v>
      </c>
      <c r="R673">
        <f t="shared" si="99"/>
        <v>4.5</v>
      </c>
      <c r="S673">
        <f t="shared" si="100"/>
        <v>1.57</v>
      </c>
      <c r="T673" t="str">
        <f>IF($H673="","",IFERROR(INDEX(_ENGINE_Risk!$N$5:$S$499,MATCH($E673,_ENGINE_Risk!$A$5:$A$499,0),$H673+1),""))</f>
        <v>Create an immediate risk owner, minimum control baseline and fallback procedure for SLA and OLA management with owners, escalation rules and customer communication. Add it to the crisis risk register and collect first evidence.</v>
      </c>
      <c r="U673">
        <f>IFERROR(INDEX(_DATA_Assessment_Model!$G$5:$G$884,MATCH($E673,_DATA_Assessment_Model!$A$5:$A$884,0)),"")</f>
        <v>4</v>
      </c>
      <c r="V673">
        <f>IFERROR(INDEX(_DATA_Assessment_Model!$W$5:$W$884,MATCH($E673,_DATA_Assessment_Model!$A$5:$A$884,0)),"")</f>
        <v>4</v>
      </c>
      <c r="W673">
        <f>IFERROR(INDEX(_DATA_Assessment_Model!$X$5:$X$884,MATCH($E673,_DATA_Assessment_Model!$A$5:$A$884,0)),"")</f>
        <v>5</v>
      </c>
      <c r="X673">
        <f>IFERROR(INDEX(_DATA_Assessment_Model!$Y$5:$Y$884,MATCH($E673,_DATA_Assessment_Model!$A$5:$A$884,0)),"")</f>
        <v>5</v>
      </c>
      <c r="Y673" t="s">
        <v>1866</v>
      </c>
      <c r="Z673" t="s">
        <v>7028</v>
      </c>
      <c r="AA673" t="s">
        <v>1873</v>
      </c>
      <c r="AB673">
        <f>IFERROR(INDEX(_DATA_Assessment_Model!$U$5:$U$884,MATCH($E673,_DATA_Assessment_Model!$A$5:$A$884,0)),"")</f>
        <v>0</v>
      </c>
      <c r="AF673" t="s">
        <v>1872</v>
      </c>
      <c r="AO673">
        <f>IF($B673="Yes",IF(IFERROR(INDEX(_ENGINE_Crisis!$F$501:$F$517,MATCH($C673,_ENGINE_Crisis!$A$501:$A$517,0)),1)=0,1,IFERROR(INDEX(_ENGINE_Crisis!$F$501:$F$517,MATCH($C673,_ENGINE_Crisis!$A$501:$A$517,0)),1)),"")</f>
        <v>1</v>
      </c>
      <c r="AP673">
        <f t="shared" si="101"/>
        <v>15.4</v>
      </c>
      <c r="AQ673">
        <f t="shared" si="102"/>
        <v>1.57</v>
      </c>
      <c r="AR673" t="str">
        <f>IFERROR(INDEX(_ENGINE_Crisis!$E$41:$E$700,MATCH('Resilience &amp; Risk Scenario'!$B$6&amp;"|"&amp;$C673,_ENGINE_Crisis!$I$41:$I$700,0)),"")</f>
        <v/>
      </c>
      <c r="AS673" t="str">
        <f>IFERROR(INDEX(_ENGINE_Crisis!$G$41:$G$700,MATCH('Resilience &amp; Risk Scenario'!$B$6&amp;"|"&amp;$C673,_ENGINE_Crisis!$I$41:$I$700,0)),"")</f>
        <v/>
      </c>
      <c r="AT673" t="str">
        <f>IFERROR(INDEX(_ENGINE_Initiatives!$A$5:$A$532,MATCH(1,INDEX((_ENGINE_Initiatives!$B$5:$B$532=$C673)*(_ENGINE_Initiatives!$C$5:$C$532=$D673),0),0)),"")</f>
        <v>INI-028</v>
      </c>
      <c r="AU673" t="str">
        <f>IFERROR(INDEX(_ENGINE_Initiatives!$F$5:$F$532,MATCH(1,INDEX((_ENGINE_Initiatives!$B$5:$B$532=$C673)*(_ENGINE_Initiatives!$C$5:$C$532=$D673),0),0)),"")</f>
        <v>Standardize delivery governance, ownership and escalation</v>
      </c>
      <c r="AV673">
        <f>IFERROR(INDEX(_ENGINE_Initiatives!$AC$5:$AC$532,MATCH(1,INDEX((_ENGINE_Initiatives!$B$5:$B$532=$C673)*(_ENGINE_Initiatives!$C$5:$C$532=$D673),0),0)),"")</f>
        <v>1.79</v>
      </c>
      <c r="AW673" t="str">
        <f>IFERROR(INDEX(_ENGINE_Initiatives!$AE$5:$AE$532,MATCH(1,INDEX((_ENGINE_Initiatives!$B$5:$B$532=$C673)*(_ENGINE_Initiatives!$C$5:$C$532=$D673),0),0)),"")</f>
        <v>3-6 months</v>
      </c>
      <c r="AX673">
        <f>IF($B673="Yes",IFERROR((IF(SUMIFS(_REF_Model_Content!$E$1:$E$613,_REF_Model_Content!$A$1:$A$613,PV_Canonical_Industry,_REF_Model_Content!$B$1:$B$613,$C673)=0,1,SUMIFS(_REF_Model_Content!$E$1:$E$613,_REF_Model_Content!$A$1:$A$613,PV_Canonical_Industry,_REF_Model_Content!$B$1:$B$613,$C673))*IFERROR($BU673,1)),1),"")</f>
        <v>1</v>
      </c>
      <c r="AY673">
        <f t="shared" si="103"/>
        <v>15.4</v>
      </c>
      <c r="AZ673">
        <f t="shared" si="104"/>
        <v>1.57</v>
      </c>
      <c r="BB673" t="str">
        <f>IF($H673="","",IFERROR(INDEX(_ENGINE_Risk!$AE$5:$AE$499,MATCH($E673,_ENGINE_Risk!$A$5:$A$499,0)),"Medium"))</f>
        <v>Fast</v>
      </c>
      <c r="BC673">
        <f t="shared" si="105"/>
        <v>1.25</v>
      </c>
      <c r="BD673">
        <f t="shared" si="106"/>
        <v>1.57</v>
      </c>
      <c r="BF673">
        <f>IF(OR($H673="",$J673=""),"",IFERROR(VLOOKUP(ROUND($J673,0),_CONFIG_Model_Settings!$D$154:$E$158,2,0),""))</f>
        <v>0.5</v>
      </c>
      <c r="BG673">
        <f>IFERROR(IF(OR($H673="",$K673=""),"",ROUND('Company Profile'!$B$113*INDEX(_CONFIG_Model_Settings!$H$154:$H$158,MATCH(ROUND($K673,0),_CONFIG_Model_Settings!$G$154:$G$158,0)),0)),0)</f>
        <v>875</v>
      </c>
      <c r="BH673">
        <f t="shared" si="107"/>
        <v>437.5</v>
      </c>
      <c r="BI673">
        <f t="shared" si="108"/>
        <v>437.5</v>
      </c>
      <c r="BJ673">
        <f>IF($E673="","",IFERROR(VLOOKUP($C673,_CONFIG_Risk_Calibration!$A$5:$H$21,2,FALSE),3))</f>
        <v>3</v>
      </c>
      <c r="BK673">
        <f>IF($E673="","",IFERROR(VLOOKUP($C673,_CONFIG_Risk_Calibration!$A$5:$H$21,3,FALSE),0))</f>
        <v>0</v>
      </c>
      <c r="BL673">
        <f>IF($E673="","",IFERROR(VLOOKUP($C673,_CONFIG_Risk_Calibration!$A$5:$H$21,4,FALSE),3))</f>
        <v>3</v>
      </c>
      <c r="BM673">
        <f>IF($E673="","",IFERROR(VLOOKUP($C673,_CONFIG_Risk_Calibration!$A$5:$H$21,5,FALSE),3))</f>
        <v>3</v>
      </c>
      <c r="BN673" t="str">
        <f>IF($E673="","",IFERROR(VLOOKUP($C673,_CONFIG_Risk_Calibration!$A$5:$H$21,6,FALSE),"No"))</f>
        <v>No</v>
      </c>
      <c r="BO673">
        <f>IF($E673="","",IFERROR(VLOOKUP($C673,_CONFIG_Risk_Calibration!$A$5:$H$21,7,FALSE),1))</f>
        <v>1</v>
      </c>
      <c r="BP673">
        <f>IF($H673="","",MAX(1,MIN(5,((6-$H673)*0.45)+($BJ673*0.2)+('Resilience &amp; Risk Scenario'!$B$7*0.15)+($BK673*0.1)+($BL673*0.05)+(IF($BB673="Fast",5,IF($BB673="Slow",1,3))*0.05))))</f>
        <v>3.7</v>
      </c>
      <c r="BQ673">
        <f t="shared" si="109"/>
        <v>4.1500000000000004</v>
      </c>
      <c r="BR673">
        <f t="shared" si="110"/>
        <v>15.36</v>
      </c>
      <c r="BS673">
        <f t="shared" si="111"/>
        <v>19.2</v>
      </c>
      <c r="BT673" t="str">
        <f>IFERROR(INDEX(_REF_Capability_Bridge!$D:$D,MATCH($C673&amp;"|"&amp;$D673,_REF_Capability_Bridge!$J:$J,0)),IFERROR(INDEX(_REF_Capability_Bridge!$D:$D,MATCH($C673&amp;"|",_REF_Capability_Bridge!$J:$J,0)),"CAP_GENERIC"))</f>
        <v>CAP_SRE_OBSERVABILITY</v>
      </c>
      <c r="BU673">
        <f>IFERROR(IFERROR(INDEX(_ENGINE_Relevance!$L:$L,MATCH($BT673,_ENGINE_Relevance!$B:$B,0)),1),1)</f>
        <v>1</v>
      </c>
      <c r="BV673" t="str">
        <f>IFERROR(INDEX(_REF_Capability_Bridge!$A:$A,MATCH($C673&amp;"|"&amp;$D673,_REF_Capability_Bridge!$J:$J,0)),IFERROR(INDEX(_REF_Capability_Bridge!$A:$A,MATCH($C673&amp;"|",_REF_Capability_Bridge!$J:$J,0)),"No bridge"))</f>
        <v>BRG-026</v>
      </c>
      <c r="BW673" t="str">
        <f t="shared" si="112"/>
        <v>Capability relevance neutral</v>
      </c>
      <c r="BX673" t="str">
        <f t="shared" si="113"/>
        <v>Initial / absent</v>
      </c>
      <c r="BY673" t="str">
        <f>IF($E673="","",IFERROR(INDEX(_REF_Treatment_Library!$A$2:$A$296,MATCH(1,INDEX((_REF_Treatment_Library!$B$2:$B$296=$BT673)*(_REF_Treatment_Library!$C$2:$C$296=PV_Canonical_Industry)*(_REF_Treatment_Library!$E$2:$E$296&lt;=N($H673))*(_REF_Treatment_Library!$F$2:$F$296&gt;=N($H673))*(_REF_Treatment_Library!$O$2:$O$296="Yes"),0),0)),IFERROR(INDEX(_REF_Treatment_Library!$A$2:$A$296,MATCH(1,INDEX((_REF_Treatment_Library!$B$2:$B$296=$BT673)*(_REF_Treatment_Library!$C$2:$C$296="All")*(_REF_Treatment_Library!$E$2:$E$296&lt;=N($H673))*(_REF_Treatment_Library!$F$2:$F$296&gt;=N($H673))*(_REF_Treatment_Library!$O$2:$O$296="Yes"),0),0)),"")))</f>
        <v>TRT-SRE_OBSERVABILITY-INITIAL</v>
      </c>
      <c r="BZ673" t="str">
        <f>IF($BY673="","",IFERROR(INDEX(_REF_Treatment_Library!$H$2:$H$296,MATCH($BY673,_REF_Treatment_Library!$A$2:$A$296,0)),""))</f>
        <v>Establish</v>
      </c>
      <c r="CA673" t="str">
        <f>IF($BY673="","",IFERROR(INDEX(_REF_Treatment_Library!$I$2:$I$296,MATCH($BY673,_REF_Treatment_Library!$A$2:$A$296,0)),""))</f>
        <v>Establish baseline controls for SRE / Observability</v>
      </c>
      <c r="CB673" t="str">
        <f>IF($BY673="","",IFERROR(INDEX(_REF_Treatment_Library!$K$2:$K$296,MATCH($BY673,_REF_Treatment_Library!$A$2:$A$296,0)),""))</f>
        <v>Named owner, baseline process, minimum control checklist, first evidence package</v>
      </c>
      <c r="CC673" t="str">
        <f>IF($BY673="","",IFERROR(INDEX(_REF_Treatment_Library!$L$2:$L$296,MATCH($BY673,_REF_Treatment_Library!$A$2:$A$296,0)),""))</f>
        <v>Owner assigned; baseline evidence coverage; open critical gaps</v>
      </c>
      <c r="CD673" t="str">
        <f t="shared" si="114"/>
        <v>Treatment by capability=CAP_SRE_OBSERVABILITY; band=Initial / absent; score=0.0; treatment=Establish</v>
      </c>
      <c r="CE673" t="str">
        <f>IF($E673="","",IFERROR(INDEX(_REF_Industry_Wording!$A$2:$A$70,MATCH(1,INDEX((_REF_Industry_Wording!$B$2:$B$70=$BT673)*(_REF_Industry_Wording!$C$2:$C$70=PV_Canonical_Industry)*(_REF_Industry_Wording!$K$2:$K$70="Yes"),0),0)),IFERROR(INDEX(_REF_Industry_Wording!$A$2:$A$70,MATCH(1,INDEX((_REF_Industry_Wording!$B$2:$B$70=$BT673)*(_REF_Industry_Wording!$C$2:$C$70="All")*(_REF_Industry_Wording!$K$2:$K$70="Yes"),0),0)),"")))</f>
        <v>IW-ALL-SRE_OBSERVABILITY</v>
      </c>
      <c r="CF673" t="str">
        <f>IF($CE673="","",IFERROR(INDEX(_REF_Industry_Wording!$E$2:$E$70,MATCH($CE673,_REF_Industry_Wording!$A$2:$A$70,0)),""))</f>
        <v>SRE / Observability weakness</v>
      </c>
      <c r="CG673" t="str">
        <f>IF($CE673="","",IFERROR(INDEX(_REF_Industry_Wording!$F$2:$F$70,MATCH($CE673,_REF_Industry_Wording!$A$2:$A$70,0)),""))</f>
        <v>Strengthen SRE / Observability</v>
      </c>
      <c r="CH673" t="str">
        <f>IF($CE673="","",IFERROR(INDEX(_REF_Industry_Wording!$G$2:$G$70,MATCH($CE673,_REF_Industry_Wording!$A$2:$A$70,0)),""))</f>
        <v>Strengthen SRE / Observability using the selected maturity treatment, crisis scenario and evidence requirements.</v>
      </c>
      <c r="CI673" t="str">
        <f>IF($CE673="","",IFERROR(INDEX(_REF_Industry_Wording!$H$2:$H$70,MATCH($CE673,_REF_Industry_Wording!$A$2:$A$70,0)),""))</f>
        <v>SRE / Observability</v>
      </c>
      <c r="CJ673">
        <f>IF($CE673="","",IFERROR(INDEX(_REF_Industry_Wording!$I$2:$I$70,MATCH($CE673,_REF_Industry_Wording!$A$2:$A$70,0)),""))</f>
        <v>0</v>
      </c>
      <c r="CK673" t="str">
        <f>IF($CE673="","",IFERROR(INDEX(_REF_Industry_Wording!$J$2:$J$70,MATCH($CE673,_REF_Industry_Wording!$A$2:$A$70,0)),""))</f>
        <v>SRE / Observability</v>
      </c>
      <c r="CL673" t="str">
        <f t="shared" si="115"/>
        <v>Wording by industry=0; capability=CAP_SRE_OBSERVABILITY; risk label=SRE / Observability weakness</v>
      </c>
      <c r="CM673" t="str">
        <f t="shared" si="116"/>
        <v>RISK-ONT-0174</v>
      </c>
      <c r="CN673" t="str">
        <f t="shared" si="117"/>
        <v>RISK-EVT-0174</v>
      </c>
      <c r="CO673" t="str">
        <f t="shared" si="118"/>
        <v>Delivery Ops|Delivery governance|DELI-003|CAP_SRE_OBSERVABILITY</v>
      </c>
      <c r="CP673" t="str">
        <f t="shared" si="119"/>
        <v>Active</v>
      </c>
      <c r="CQ673" t="str">
        <f t="shared" si="120"/>
        <v>OK: capability-driven</v>
      </c>
      <c r="CR673" t="str">
        <f t="shared" si="121"/>
        <v>Risk ontology uses capability=CAP_SRE_OBSERVABILITY; bridge=BRG-026; treatment=TRT-SRE_OBSERVABILITY-INITIAL; wording=IW-ALL-SRE_OBSERVABILITY</v>
      </c>
      <c r="CS673" t="str">
        <f t="shared" si="122"/>
        <v>Yes</v>
      </c>
    </row>
    <row r="674" spans="1:97" ht="69.900000000000006" customHeight="1">
      <c r="A674">
        <f>IF(OR($B674&lt;&gt;"Yes",$BS674=""),"",SUMPRODUCT(($B$500:$B$923="Yes")*ISNUMBER($BS$500:$BS$923)*($BS$500:$BS$923&gt;$BS674))+COUNTIFS($B$500:$B674,"Yes",$BS$500:$BS674,$BS674))</f>
        <v>128</v>
      </c>
      <c r="B674" t="str">
        <f t="shared" si="91"/>
        <v>Yes</v>
      </c>
      <c r="C674" t="s">
        <v>1859</v>
      </c>
      <c r="D674" t="s">
        <v>1861</v>
      </c>
      <c r="E674" t="s">
        <v>1881</v>
      </c>
      <c r="F674" t="s">
        <v>3686</v>
      </c>
      <c r="G674" t="str">
        <f>IF($H674="","",IFERROR(INDEX(_ENGINE_Risk!$H$5:$M$499,MATCH($E674,_ENGINE_Risk!$A$5:$A$499,0),$H674+1),""))</f>
        <v>Severe risk: operational incident link to delivery impact, customer communication and corrective action is not reliably controlled. During Delivery disruption; Customer impact; Workforce disruption, the organization may face missed commitments, SLA breaches, service interruption and weak customer recovery with limited visibility or accountability.</v>
      </c>
      <c r="H674">
        <f>IFERROR(VALUE(INDEX(_DATA_Assessment_Model!$H$5:$H$884,MATCH($E674,_DATA_Assessment_Model!$A$5:$A$884,0))),"")</f>
        <v>0</v>
      </c>
      <c r="I674" t="str">
        <f>IF($H674="","",IFERROR(INDEX(_DATA_Assessment_Model!$L$5:$L$884,MATCH($E674,_DATA_Assessment_Model!$A$5:$A$884,0)),IF($H674&lt;=1,"Critical",IF($H674=2,"High",IF($H674=3,"Medium",IF($H674=4,"Low","Resilient"))))))</f>
        <v>Critical</v>
      </c>
      <c r="J674">
        <f t="shared" si="92"/>
        <v>3.7</v>
      </c>
      <c r="K674">
        <f t="shared" si="93"/>
        <v>4.3500000000000005</v>
      </c>
      <c r="L674">
        <f t="shared" si="94"/>
        <v>16.095000000000002</v>
      </c>
      <c r="M674">
        <f t="shared" si="95"/>
        <v>4</v>
      </c>
      <c r="N674">
        <f>IF($H674="","",IFERROR(INDEX(_ENGINE_Risk!$T$5:$Y$499,MATCH($E674,_ENGINE_Risk!$A$5:$A$499,0),$H674+1),""))</f>
        <v>3</v>
      </c>
      <c r="O674">
        <f t="shared" si="96"/>
        <v>4.666666666666667</v>
      </c>
      <c r="P674">
        <f t="shared" si="97"/>
        <v>5</v>
      </c>
      <c r="Q674">
        <f t="shared" si="98"/>
        <v>5</v>
      </c>
      <c r="R674">
        <f t="shared" si="99"/>
        <v>4.5</v>
      </c>
      <c r="S674">
        <f t="shared" si="100"/>
        <v>1.6</v>
      </c>
      <c r="T674" t="str">
        <f>IF($H674="","",IFERROR(INDEX(_ENGINE_Risk!$N$5:$S$499,MATCH($E674,_ENGINE_Risk!$A$5:$A$499,0),$H674+1),""))</f>
        <v>Create an immediate risk owner, minimum control baseline and fallback procedure for operational incident link to delivery impact, customer communication and corrective action. Add it to the crisis risk register and collect first evidence.</v>
      </c>
      <c r="U674">
        <f>IFERROR(INDEX(_DATA_Assessment_Model!$G$5:$G$884,MATCH($E674,_DATA_Assessment_Model!$A$5:$A$884,0)),"")</f>
        <v>5</v>
      </c>
      <c r="V674">
        <f>IFERROR(INDEX(_DATA_Assessment_Model!$W$5:$W$884,MATCH($E674,_DATA_Assessment_Model!$A$5:$A$884,0)),"")</f>
        <v>4</v>
      </c>
      <c r="W674">
        <f>IFERROR(INDEX(_DATA_Assessment_Model!$X$5:$X$884,MATCH($E674,_DATA_Assessment_Model!$A$5:$A$884,0)),"")</f>
        <v>5</v>
      </c>
      <c r="X674">
        <f>IFERROR(INDEX(_DATA_Assessment_Model!$Y$5:$Y$884,MATCH($E674,_DATA_Assessment_Model!$A$5:$A$884,0)),"")</f>
        <v>5</v>
      </c>
      <c r="Y674" t="s">
        <v>1866</v>
      </c>
      <c r="Z674" t="s">
        <v>7028</v>
      </c>
      <c r="AA674" t="s">
        <v>1883</v>
      </c>
      <c r="AB674">
        <f>IFERROR(INDEX(_DATA_Assessment_Model!$U$5:$U$884,MATCH($E674,_DATA_Assessment_Model!$A$5:$A$884,0)),"")</f>
        <v>0</v>
      </c>
      <c r="AF674" t="s">
        <v>1882</v>
      </c>
      <c r="AO674">
        <f>IF($B674="Yes",IF(IFERROR(INDEX(_ENGINE_Crisis!$F$501:$F$517,MATCH($C674,_ENGINE_Crisis!$A$501:$A$517,0)),1)=0,1,IFERROR(INDEX(_ENGINE_Crisis!$F$501:$F$517,MATCH($C674,_ENGINE_Crisis!$A$501:$A$517,0)),1)),"")</f>
        <v>1</v>
      </c>
      <c r="AP674">
        <f t="shared" si="101"/>
        <v>16.100000000000001</v>
      </c>
      <c r="AQ674">
        <f t="shared" si="102"/>
        <v>1.6</v>
      </c>
      <c r="AR674" t="str">
        <f>IFERROR(INDEX(_ENGINE_Crisis!$E$41:$E$700,MATCH('Resilience &amp; Risk Scenario'!$B$6&amp;"|"&amp;$C674,_ENGINE_Crisis!$I$41:$I$700,0)),"")</f>
        <v/>
      </c>
      <c r="AS674" t="str">
        <f>IFERROR(INDEX(_ENGINE_Crisis!$G$41:$G$700,MATCH('Resilience &amp; Risk Scenario'!$B$6&amp;"|"&amp;$C674,_ENGINE_Crisis!$I$41:$I$700,0)),"")</f>
        <v/>
      </c>
      <c r="AT674" t="str">
        <f>IFERROR(INDEX(_ENGINE_Initiatives!$A$5:$A$532,MATCH(1,INDEX((_ENGINE_Initiatives!$B$5:$B$532=$C674)*(_ENGINE_Initiatives!$C$5:$C$532=$D674),0),0)),"")</f>
        <v>INI-028</v>
      </c>
      <c r="AU674" t="str">
        <f>IFERROR(INDEX(_ENGINE_Initiatives!$F$5:$F$532,MATCH(1,INDEX((_ENGINE_Initiatives!$B$5:$B$532=$C674)*(_ENGINE_Initiatives!$C$5:$C$532=$D674),0),0)),"")</f>
        <v>Standardize delivery governance, ownership and escalation</v>
      </c>
      <c r="AV674">
        <f>IFERROR(INDEX(_ENGINE_Initiatives!$AC$5:$AC$532,MATCH(1,INDEX((_ENGINE_Initiatives!$B$5:$B$532=$C674)*(_ENGINE_Initiatives!$C$5:$C$532=$D674),0),0)),"")</f>
        <v>1.79</v>
      </c>
      <c r="AW674" t="str">
        <f>IFERROR(INDEX(_ENGINE_Initiatives!$AE$5:$AE$532,MATCH(1,INDEX((_ENGINE_Initiatives!$B$5:$B$532=$C674)*(_ENGINE_Initiatives!$C$5:$C$532=$D674),0),0)),"")</f>
        <v>3-6 months</v>
      </c>
      <c r="AX674">
        <f>IF($B674="Yes",IFERROR((IF(SUMIFS(_REF_Model_Content!$E$1:$E$613,_REF_Model_Content!$A$1:$A$613,PV_Canonical_Industry,_REF_Model_Content!$B$1:$B$613,$C674)=0,1,SUMIFS(_REF_Model_Content!$E$1:$E$613,_REF_Model_Content!$A$1:$A$613,PV_Canonical_Industry,_REF_Model_Content!$B$1:$B$613,$C674))*IFERROR($BU674,1)),1),"")</f>
        <v>1</v>
      </c>
      <c r="AY674">
        <f t="shared" si="103"/>
        <v>16.100000000000001</v>
      </c>
      <c r="AZ674">
        <f t="shared" si="104"/>
        <v>1.6</v>
      </c>
      <c r="BB674" t="str">
        <f>IF($H674="","",IFERROR(INDEX(_ENGINE_Risk!$AE$5:$AE$499,MATCH($E674,_ENGINE_Risk!$A$5:$A$499,0)),"Medium"))</f>
        <v>Fast</v>
      </c>
      <c r="BC674">
        <f t="shared" si="105"/>
        <v>1.25</v>
      </c>
      <c r="BD674">
        <f t="shared" si="106"/>
        <v>1.6</v>
      </c>
      <c r="BF674">
        <f>IF(OR($H674="",$J674=""),"",IFERROR(VLOOKUP(ROUND($J674,0),_CONFIG_Model_Settings!$D$154:$E$158,2,0),""))</f>
        <v>0.5</v>
      </c>
      <c r="BG674">
        <f>IFERROR(IF(OR($H674="",$K674=""),"",ROUND('Company Profile'!$B$113*INDEX(_CONFIG_Model_Settings!$H$154:$H$158,MATCH(ROUND($K674,0),_CONFIG_Model_Settings!$G$154:$G$158,0)),0)),0)</f>
        <v>875</v>
      </c>
      <c r="BH674">
        <f t="shared" si="107"/>
        <v>437.5</v>
      </c>
      <c r="BI674">
        <f t="shared" si="108"/>
        <v>437.5</v>
      </c>
      <c r="BJ674">
        <f>IF($E674="","",IFERROR(VLOOKUP($C674,_CONFIG_Risk_Calibration!$A$5:$H$21,2,FALSE),3))</f>
        <v>3</v>
      </c>
      <c r="BK674">
        <f>IF($E674="","",IFERROR(VLOOKUP($C674,_CONFIG_Risk_Calibration!$A$5:$H$21,3,FALSE),0))</f>
        <v>0</v>
      </c>
      <c r="BL674">
        <f>IF($E674="","",IFERROR(VLOOKUP($C674,_CONFIG_Risk_Calibration!$A$5:$H$21,4,FALSE),3))</f>
        <v>3</v>
      </c>
      <c r="BM674">
        <f>IF($E674="","",IFERROR(VLOOKUP($C674,_CONFIG_Risk_Calibration!$A$5:$H$21,5,FALSE),3))</f>
        <v>3</v>
      </c>
      <c r="BN674" t="str">
        <f>IF($E674="","",IFERROR(VLOOKUP($C674,_CONFIG_Risk_Calibration!$A$5:$H$21,6,FALSE),"No"))</f>
        <v>No</v>
      </c>
      <c r="BO674">
        <f>IF($E674="","",IFERROR(VLOOKUP($C674,_CONFIG_Risk_Calibration!$A$5:$H$21,7,FALSE),1))</f>
        <v>1</v>
      </c>
      <c r="BP674">
        <f>IF($H674="","",MAX(1,MIN(5,((6-$H674)*0.45)+($BJ674*0.2)+('Resilience &amp; Risk Scenario'!$B$7*0.15)+($BK674*0.1)+($BL674*0.05)+(IF($BB674="Fast",5,IF($BB674="Slow",1,3))*0.05))))</f>
        <v>3.7</v>
      </c>
      <c r="BQ674">
        <f t="shared" si="109"/>
        <v>4.3500000000000005</v>
      </c>
      <c r="BR674">
        <f t="shared" si="110"/>
        <v>16.100000000000001</v>
      </c>
      <c r="BS674">
        <f t="shared" si="111"/>
        <v>20.13</v>
      </c>
      <c r="BT674" t="str">
        <f>IFERROR(INDEX(_REF_Capability_Bridge!$D:$D,MATCH($C674&amp;"|"&amp;$D674,_REF_Capability_Bridge!$J:$J,0)),IFERROR(INDEX(_REF_Capability_Bridge!$D:$D,MATCH($C674&amp;"|",_REF_Capability_Bridge!$J:$J,0)),"CAP_GENERIC"))</f>
        <v>CAP_SRE_OBSERVABILITY</v>
      </c>
      <c r="BU674">
        <f>IFERROR(IFERROR(INDEX(_ENGINE_Relevance!$L:$L,MATCH($BT674,_ENGINE_Relevance!$B:$B,0)),1),1)</f>
        <v>1</v>
      </c>
      <c r="BV674" t="str">
        <f>IFERROR(INDEX(_REF_Capability_Bridge!$A:$A,MATCH($C674&amp;"|"&amp;$D674,_REF_Capability_Bridge!$J:$J,0)),IFERROR(INDEX(_REF_Capability_Bridge!$A:$A,MATCH($C674&amp;"|",_REF_Capability_Bridge!$J:$J,0)),"No bridge"))</f>
        <v>BRG-026</v>
      </c>
      <c r="BW674" t="str">
        <f t="shared" si="112"/>
        <v>Capability relevance neutral</v>
      </c>
      <c r="BX674" t="str">
        <f t="shared" si="113"/>
        <v>Initial / absent</v>
      </c>
      <c r="BY674" t="str">
        <f>IF($E674="","",IFERROR(INDEX(_REF_Treatment_Library!$A$2:$A$296,MATCH(1,INDEX((_REF_Treatment_Library!$B$2:$B$296=$BT674)*(_REF_Treatment_Library!$C$2:$C$296=PV_Canonical_Industry)*(_REF_Treatment_Library!$E$2:$E$296&lt;=N($H674))*(_REF_Treatment_Library!$F$2:$F$296&gt;=N($H674))*(_REF_Treatment_Library!$O$2:$O$296="Yes"),0),0)),IFERROR(INDEX(_REF_Treatment_Library!$A$2:$A$296,MATCH(1,INDEX((_REF_Treatment_Library!$B$2:$B$296=$BT674)*(_REF_Treatment_Library!$C$2:$C$296="All")*(_REF_Treatment_Library!$E$2:$E$296&lt;=N($H674))*(_REF_Treatment_Library!$F$2:$F$296&gt;=N($H674))*(_REF_Treatment_Library!$O$2:$O$296="Yes"),0),0)),"")))</f>
        <v>TRT-SRE_OBSERVABILITY-INITIAL</v>
      </c>
      <c r="BZ674" t="str">
        <f>IF($BY674="","",IFERROR(INDEX(_REF_Treatment_Library!$H$2:$H$296,MATCH($BY674,_REF_Treatment_Library!$A$2:$A$296,0)),""))</f>
        <v>Establish</v>
      </c>
      <c r="CA674" t="str">
        <f>IF($BY674="","",IFERROR(INDEX(_REF_Treatment_Library!$I$2:$I$296,MATCH($BY674,_REF_Treatment_Library!$A$2:$A$296,0)),""))</f>
        <v>Establish baseline controls for SRE / Observability</v>
      </c>
      <c r="CB674" t="str">
        <f>IF($BY674="","",IFERROR(INDEX(_REF_Treatment_Library!$K$2:$K$296,MATCH($BY674,_REF_Treatment_Library!$A$2:$A$296,0)),""))</f>
        <v>Named owner, baseline process, minimum control checklist, first evidence package</v>
      </c>
      <c r="CC674" t="str">
        <f>IF($BY674="","",IFERROR(INDEX(_REF_Treatment_Library!$L$2:$L$296,MATCH($BY674,_REF_Treatment_Library!$A$2:$A$296,0)),""))</f>
        <v>Owner assigned; baseline evidence coverage; open critical gaps</v>
      </c>
      <c r="CD674" t="str">
        <f t="shared" si="114"/>
        <v>Treatment by capability=CAP_SRE_OBSERVABILITY; band=Initial / absent; score=0.0; treatment=Establish</v>
      </c>
      <c r="CE674" t="str">
        <f>IF($E674="","",IFERROR(INDEX(_REF_Industry_Wording!$A$2:$A$70,MATCH(1,INDEX((_REF_Industry_Wording!$B$2:$B$70=$BT674)*(_REF_Industry_Wording!$C$2:$C$70=PV_Canonical_Industry)*(_REF_Industry_Wording!$K$2:$K$70="Yes"),0),0)),IFERROR(INDEX(_REF_Industry_Wording!$A$2:$A$70,MATCH(1,INDEX((_REF_Industry_Wording!$B$2:$B$70=$BT674)*(_REF_Industry_Wording!$C$2:$C$70="All")*(_REF_Industry_Wording!$K$2:$K$70="Yes"),0),0)),"")))</f>
        <v>IW-ALL-SRE_OBSERVABILITY</v>
      </c>
      <c r="CF674" t="str">
        <f>IF($CE674="","",IFERROR(INDEX(_REF_Industry_Wording!$E$2:$E$70,MATCH($CE674,_REF_Industry_Wording!$A$2:$A$70,0)),""))</f>
        <v>SRE / Observability weakness</v>
      </c>
      <c r="CG674" t="str">
        <f>IF($CE674="","",IFERROR(INDEX(_REF_Industry_Wording!$F$2:$F$70,MATCH($CE674,_REF_Industry_Wording!$A$2:$A$70,0)),""))</f>
        <v>Strengthen SRE / Observability</v>
      </c>
      <c r="CH674" t="str">
        <f>IF($CE674="","",IFERROR(INDEX(_REF_Industry_Wording!$G$2:$G$70,MATCH($CE674,_REF_Industry_Wording!$A$2:$A$70,0)),""))</f>
        <v>Strengthen SRE / Observability using the selected maturity treatment, crisis scenario and evidence requirements.</v>
      </c>
      <c r="CI674" t="str">
        <f>IF($CE674="","",IFERROR(INDEX(_REF_Industry_Wording!$H$2:$H$70,MATCH($CE674,_REF_Industry_Wording!$A$2:$A$70,0)),""))</f>
        <v>SRE / Observability</v>
      </c>
      <c r="CJ674">
        <f>IF($CE674="","",IFERROR(INDEX(_REF_Industry_Wording!$I$2:$I$70,MATCH($CE674,_REF_Industry_Wording!$A$2:$A$70,0)),""))</f>
        <v>0</v>
      </c>
      <c r="CK674" t="str">
        <f>IF($CE674="","",IFERROR(INDEX(_REF_Industry_Wording!$J$2:$J$70,MATCH($CE674,_REF_Industry_Wording!$A$2:$A$70,0)),""))</f>
        <v>SRE / Observability</v>
      </c>
      <c r="CL674" t="str">
        <f t="shared" si="115"/>
        <v>Wording by industry=0; capability=CAP_SRE_OBSERVABILITY; risk label=SRE / Observability weakness</v>
      </c>
      <c r="CM674" t="str">
        <f t="shared" si="116"/>
        <v>RISK-ONT-0175</v>
      </c>
      <c r="CN674" t="str">
        <f t="shared" si="117"/>
        <v>RISK-EVT-0175</v>
      </c>
      <c r="CO674" t="str">
        <f t="shared" si="118"/>
        <v>Delivery Ops|Delivery governance|DELI-004|CAP_SRE_OBSERVABILITY</v>
      </c>
      <c r="CP674" t="str">
        <f t="shared" si="119"/>
        <v>Active</v>
      </c>
      <c r="CQ674" t="str">
        <f t="shared" si="120"/>
        <v>OK: capability-driven</v>
      </c>
      <c r="CR674" t="str">
        <f t="shared" si="121"/>
        <v>Risk ontology uses capability=CAP_SRE_OBSERVABILITY; bridge=BRG-026; treatment=TRT-SRE_OBSERVABILITY-INITIAL; wording=IW-ALL-SRE_OBSERVABILITY</v>
      </c>
      <c r="CS674" t="str">
        <f t="shared" si="122"/>
        <v>Yes</v>
      </c>
    </row>
    <row r="675" spans="1:97" ht="69.900000000000006" customHeight="1">
      <c r="A675">
        <f>IF(OR($B675&lt;&gt;"Yes",$BS675=""),"",SUMPRODUCT(($B$500:$B$923="Yes")*ISNUMBER($BS$500:$BS$923)*($BS$500:$BS$923&gt;$BS675))+COUNTIFS($B$500:$B675,"Yes",$BS$500:$BS675,$BS675))</f>
        <v>162</v>
      </c>
      <c r="B675" t="str">
        <f t="shared" si="91"/>
        <v>Yes</v>
      </c>
      <c r="C675" t="s">
        <v>1859</v>
      </c>
      <c r="D675" t="s">
        <v>1861</v>
      </c>
      <c r="E675" t="s">
        <v>1885</v>
      </c>
      <c r="F675" t="s">
        <v>3686</v>
      </c>
      <c r="G675" t="str">
        <f>IF($H675="","",IFERROR(INDEX(_ENGINE_Risk!$H$5:$M$499,MATCH($E675,_ENGINE_Risk!$A$5:$A$499,0),$H675+1),""))</f>
        <v>Severe risk: customer prioritization rules during capacity constraints is not reliably controlled. During Delivery disruption; Customer impact; Workforce disruption, the organization may face missed commitments, SLA breaches, service interruption and weak customer recovery with limited visibility or accountability.</v>
      </c>
      <c r="H675">
        <f>IFERROR(VALUE(INDEX(_DATA_Assessment_Model!$H$5:$H$884,MATCH($E675,_DATA_Assessment_Model!$A$5:$A$884,0))),"")</f>
        <v>0</v>
      </c>
      <c r="I675" t="str">
        <f>IF($H675="","",IFERROR(INDEX(_DATA_Assessment_Model!$L$5:$L$884,MATCH($E675,_DATA_Assessment_Model!$A$5:$A$884,0)),IF($H675&lt;=1,"Critical",IF($H675=2,"High",IF($H675=3,"Medium",IF($H675=4,"Low","Resilient"))))))</f>
        <v>Critical</v>
      </c>
      <c r="J675">
        <f t="shared" si="92"/>
        <v>3.7</v>
      </c>
      <c r="K675">
        <f t="shared" si="93"/>
        <v>4.1500000000000004</v>
      </c>
      <c r="L675">
        <f t="shared" si="94"/>
        <v>15.355000000000002</v>
      </c>
      <c r="M675">
        <f t="shared" si="95"/>
        <v>4</v>
      </c>
      <c r="N675">
        <f>IF($H675="","",IFERROR(INDEX(_ENGINE_Risk!$T$5:$Y$499,MATCH($E675,_ENGINE_Risk!$A$5:$A$499,0),$H675+1),""))</f>
        <v>3</v>
      </c>
      <c r="O675">
        <f t="shared" si="96"/>
        <v>4.333333333333333</v>
      </c>
      <c r="P675">
        <f t="shared" si="97"/>
        <v>5</v>
      </c>
      <c r="Q675">
        <f t="shared" si="98"/>
        <v>5</v>
      </c>
      <c r="R675">
        <f t="shared" si="99"/>
        <v>4.5</v>
      </c>
      <c r="S675">
        <f t="shared" si="100"/>
        <v>1.57</v>
      </c>
      <c r="T675" t="str">
        <f>IF($H675="","",IFERROR(INDEX(_ENGINE_Risk!$N$5:$S$499,MATCH($E675,_ENGINE_Risk!$A$5:$A$499,0),$H675+1),""))</f>
        <v>Create an immediate risk owner, minimum control baseline and fallback procedure for customer prioritization rules during capacity constraints. Add it to the crisis risk register and collect first evidence.</v>
      </c>
      <c r="U675">
        <f>IFERROR(INDEX(_DATA_Assessment_Model!$G$5:$G$884,MATCH($E675,_DATA_Assessment_Model!$A$5:$A$884,0)),"")</f>
        <v>4</v>
      </c>
      <c r="V675">
        <f>IFERROR(INDEX(_DATA_Assessment_Model!$W$5:$W$884,MATCH($E675,_DATA_Assessment_Model!$A$5:$A$884,0)),"")</f>
        <v>4</v>
      </c>
      <c r="W675">
        <f>IFERROR(INDEX(_DATA_Assessment_Model!$X$5:$X$884,MATCH($E675,_DATA_Assessment_Model!$A$5:$A$884,0)),"")</f>
        <v>5</v>
      </c>
      <c r="X675">
        <f>IFERROR(INDEX(_DATA_Assessment_Model!$Y$5:$Y$884,MATCH($E675,_DATA_Assessment_Model!$A$5:$A$884,0)),"")</f>
        <v>5</v>
      </c>
      <c r="Y675" t="s">
        <v>1866</v>
      </c>
      <c r="Z675" t="s">
        <v>7028</v>
      </c>
      <c r="AA675" t="s">
        <v>1887</v>
      </c>
      <c r="AB675">
        <f>IFERROR(INDEX(_DATA_Assessment_Model!$U$5:$U$884,MATCH($E675,_DATA_Assessment_Model!$A$5:$A$884,0)),"")</f>
        <v>0</v>
      </c>
      <c r="AF675" t="s">
        <v>1886</v>
      </c>
      <c r="AO675">
        <f>IF($B675="Yes",IF(IFERROR(INDEX(_ENGINE_Crisis!$F$501:$F$517,MATCH($C675,_ENGINE_Crisis!$A$501:$A$517,0)),1)=0,1,IFERROR(INDEX(_ENGINE_Crisis!$F$501:$F$517,MATCH($C675,_ENGINE_Crisis!$A$501:$A$517,0)),1)),"")</f>
        <v>1</v>
      </c>
      <c r="AP675">
        <f t="shared" si="101"/>
        <v>15.4</v>
      </c>
      <c r="AQ675">
        <f t="shared" si="102"/>
        <v>1.57</v>
      </c>
      <c r="AR675" t="str">
        <f>IFERROR(INDEX(_ENGINE_Crisis!$E$41:$E$700,MATCH('Resilience &amp; Risk Scenario'!$B$6&amp;"|"&amp;$C675,_ENGINE_Crisis!$I$41:$I$700,0)),"")</f>
        <v/>
      </c>
      <c r="AS675" t="str">
        <f>IFERROR(INDEX(_ENGINE_Crisis!$G$41:$G$700,MATCH('Resilience &amp; Risk Scenario'!$B$6&amp;"|"&amp;$C675,_ENGINE_Crisis!$I$41:$I$700,0)),"")</f>
        <v/>
      </c>
      <c r="AT675" t="str">
        <f>IFERROR(INDEX(_ENGINE_Initiatives!$A$5:$A$532,MATCH(1,INDEX((_ENGINE_Initiatives!$B$5:$B$532=$C675)*(_ENGINE_Initiatives!$C$5:$C$532=$D675),0),0)),"")</f>
        <v>INI-028</v>
      </c>
      <c r="AU675" t="str">
        <f>IFERROR(INDEX(_ENGINE_Initiatives!$F$5:$F$532,MATCH(1,INDEX((_ENGINE_Initiatives!$B$5:$B$532=$C675)*(_ENGINE_Initiatives!$C$5:$C$532=$D675),0),0)),"")</f>
        <v>Standardize delivery governance, ownership and escalation</v>
      </c>
      <c r="AV675">
        <f>IFERROR(INDEX(_ENGINE_Initiatives!$AC$5:$AC$532,MATCH(1,INDEX((_ENGINE_Initiatives!$B$5:$B$532=$C675)*(_ENGINE_Initiatives!$C$5:$C$532=$D675),0),0)),"")</f>
        <v>1.79</v>
      </c>
      <c r="AW675" t="str">
        <f>IFERROR(INDEX(_ENGINE_Initiatives!$AE$5:$AE$532,MATCH(1,INDEX((_ENGINE_Initiatives!$B$5:$B$532=$C675)*(_ENGINE_Initiatives!$C$5:$C$532=$D675),0),0)),"")</f>
        <v>3-6 months</v>
      </c>
      <c r="AX675">
        <f>IF($B675="Yes",IFERROR((IF(SUMIFS(_REF_Model_Content!$E$1:$E$613,_REF_Model_Content!$A$1:$A$613,PV_Canonical_Industry,_REF_Model_Content!$B$1:$B$613,$C675)=0,1,SUMIFS(_REF_Model_Content!$E$1:$E$613,_REF_Model_Content!$A$1:$A$613,PV_Canonical_Industry,_REF_Model_Content!$B$1:$B$613,$C675))*IFERROR($BU675,1)),1),"")</f>
        <v>1</v>
      </c>
      <c r="AY675">
        <f t="shared" si="103"/>
        <v>15.4</v>
      </c>
      <c r="AZ675">
        <f t="shared" si="104"/>
        <v>1.57</v>
      </c>
      <c r="BB675" t="str">
        <f>IF($H675="","",IFERROR(INDEX(_ENGINE_Risk!$AE$5:$AE$499,MATCH($E675,_ENGINE_Risk!$A$5:$A$499,0)),"Medium"))</f>
        <v>Fast</v>
      </c>
      <c r="BC675">
        <f t="shared" si="105"/>
        <v>1.25</v>
      </c>
      <c r="BD675">
        <f t="shared" si="106"/>
        <v>1.57</v>
      </c>
      <c r="BF675">
        <f>IF(OR($H675="",$J675=""),"",IFERROR(VLOOKUP(ROUND($J675,0),_CONFIG_Model_Settings!$D$154:$E$158,2,0),""))</f>
        <v>0.5</v>
      </c>
      <c r="BG675">
        <f>IFERROR(IF(OR($H675="",$K675=""),"",ROUND('Company Profile'!$B$113*INDEX(_CONFIG_Model_Settings!$H$154:$H$158,MATCH(ROUND($K675,0),_CONFIG_Model_Settings!$G$154:$G$158,0)),0)),0)</f>
        <v>875</v>
      </c>
      <c r="BH675">
        <f t="shared" si="107"/>
        <v>437.5</v>
      </c>
      <c r="BI675">
        <f t="shared" si="108"/>
        <v>437.5</v>
      </c>
      <c r="BJ675">
        <f>IF($E675="","",IFERROR(VLOOKUP($C675,_CONFIG_Risk_Calibration!$A$5:$H$21,2,FALSE),3))</f>
        <v>3</v>
      </c>
      <c r="BK675">
        <f>IF($E675="","",IFERROR(VLOOKUP($C675,_CONFIG_Risk_Calibration!$A$5:$H$21,3,FALSE),0))</f>
        <v>0</v>
      </c>
      <c r="BL675">
        <f>IF($E675="","",IFERROR(VLOOKUP($C675,_CONFIG_Risk_Calibration!$A$5:$H$21,4,FALSE),3))</f>
        <v>3</v>
      </c>
      <c r="BM675">
        <f>IF($E675="","",IFERROR(VLOOKUP($C675,_CONFIG_Risk_Calibration!$A$5:$H$21,5,FALSE),3))</f>
        <v>3</v>
      </c>
      <c r="BN675" t="str">
        <f>IF($E675="","",IFERROR(VLOOKUP($C675,_CONFIG_Risk_Calibration!$A$5:$H$21,6,FALSE),"No"))</f>
        <v>No</v>
      </c>
      <c r="BO675">
        <f>IF($E675="","",IFERROR(VLOOKUP($C675,_CONFIG_Risk_Calibration!$A$5:$H$21,7,FALSE),1))</f>
        <v>1</v>
      </c>
      <c r="BP675">
        <f>IF($H675="","",MAX(1,MIN(5,((6-$H675)*0.45)+($BJ675*0.2)+('Resilience &amp; Risk Scenario'!$B$7*0.15)+($BK675*0.1)+($BL675*0.05)+(IF($BB675="Fast",5,IF($BB675="Slow",1,3))*0.05))))</f>
        <v>3.7</v>
      </c>
      <c r="BQ675">
        <f t="shared" si="109"/>
        <v>4.1500000000000004</v>
      </c>
      <c r="BR675">
        <f t="shared" si="110"/>
        <v>15.36</v>
      </c>
      <c r="BS675">
        <f t="shared" si="111"/>
        <v>19.2</v>
      </c>
      <c r="BT675" t="str">
        <f>IFERROR(INDEX(_REF_Capability_Bridge!$D:$D,MATCH($C675&amp;"|"&amp;$D675,_REF_Capability_Bridge!$J:$J,0)),IFERROR(INDEX(_REF_Capability_Bridge!$D:$D,MATCH($C675&amp;"|",_REF_Capability_Bridge!$J:$J,0)),"CAP_GENERIC"))</f>
        <v>CAP_SRE_OBSERVABILITY</v>
      </c>
      <c r="BU675">
        <f>IFERROR(IFERROR(INDEX(_ENGINE_Relevance!$L:$L,MATCH($BT675,_ENGINE_Relevance!$B:$B,0)),1),1)</f>
        <v>1</v>
      </c>
      <c r="BV675" t="str">
        <f>IFERROR(INDEX(_REF_Capability_Bridge!$A:$A,MATCH($C675&amp;"|"&amp;$D675,_REF_Capability_Bridge!$J:$J,0)),IFERROR(INDEX(_REF_Capability_Bridge!$A:$A,MATCH($C675&amp;"|",_REF_Capability_Bridge!$J:$J,0)),"No bridge"))</f>
        <v>BRG-026</v>
      </c>
      <c r="BW675" t="str">
        <f t="shared" si="112"/>
        <v>Capability relevance neutral</v>
      </c>
      <c r="BX675" t="str">
        <f t="shared" si="113"/>
        <v>Initial / absent</v>
      </c>
      <c r="BY675" t="str">
        <f>IF($E675="","",IFERROR(INDEX(_REF_Treatment_Library!$A$2:$A$296,MATCH(1,INDEX((_REF_Treatment_Library!$B$2:$B$296=$BT675)*(_REF_Treatment_Library!$C$2:$C$296=PV_Canonical_Industry)*(_REF_Treatment_Library!$E$2:$E$296&lt;=N($H675))*(_REF_Treatment_Library!$F$2:$F$296&gt;=N($H675))*(_REF_Treatment_Library!$O$2:$O$296="Yes"),0),0)),IFERROR(INDEX(_REF_Treatment_Library!$A$2:$A$296,MATCH(1,INDEX((_REF_Treatment_Library!$B$2:$B$296=$BT675)*(_REF_Treatment_Library!$C$2:$C$296="All")*(_REF_Treatment_Library!$E$2:$E$296&lt;=N($H675))*(_REF_Treatment_Library!$F$2:$F$296&gt;=N($H675))*(_REF_Treatment_Library!$O$2:$O$296="Yes"),0),0)),"")))</f>
        <v>TRT-SRE_OBSERVABILITY-INITIAL</v>
      </c>
      <c r="BZ675" t="str">
        <f>IF($BY675="","",IFERROR(INDEX(_REF_Treatment_Library!$H$2:$H$296,MATCH($BY675,_REF_Treatment_Library!$A$2:$A$296,0)),""))</f>
        <v>Establish</v>
      </c>
      <c r="CA675" t="str">
        <f>IF($BY675="","",IFERROR(INDEX(_REF_Treatment_Library!$I$2:$I$296,MATCH($BY675,_REF_Treatment_Library!$A$2:$A$296,0)),""))</f>
        <v>Establish baseline controls for SRE / Observability</v>
      </c>
      <c r="CB675" t="str">
        <f>IF($BY675="","",IFERROR(INDEX(_REF_Treatment_Library!$K$2:$K$296,MATCH($BY675,_REF_Treatment_Library!$A$2:$A$296,0)),""))</f>
        <v>Named owner, baseline process, minimum control checklist, first evidence package</v>
      </c>
      <c r="CC675" t="str">
        <f>IF($BY675="","",IFERROR(INDEX(_REF_Treatment_Library!$L$2:$L$296,MATCH($BY675,_REF_Treatment_Library!$A$2:$A$296,0)),""))</f>
        <v>Owner assigned; baseline evidence coverage; open critical gaps</v>
      </c>
      <c r="CD675" t="str">
        <f t="shared" si="114"/>
        <v>Treatment by capability=CAP_SRE_OBSERVABILITY; band=Initial / absent; score=0.0; treatment=Establish</v>
      </c>
      <c r="CE675" t="str">
        <f>IF($E675="","",IFERROR(INDEX(_REF_Industry_Wording!$A$2:$A$70,MATCH(1,INDEX((_REF_Industry_Wording!$B$2:$B$70=$BT675)*(_REF_Industry_Wording!$C$2:$C$70=PV_Canonical_Industry)*(_REF_Industry_Wording!$K$2:$K$70="Yes"),0),0)),IFERROR(INDEX(_REF_Industry_Wording!$A$2:$A$70,MATCH(1,INDEX((_REF_Industry_Wording!$B$2:$B$70=$BT675)*(_REF_Industry_Wording!$C$2:$C$70="All")*(_REF_Industry_Wording!$K$2:$K$70="Yes"),0),0)),"")))</f>
        <v>IW-ALL-SRE_OBSERVABILITY</v>
      </c>
      <c r="CF675" t="str">
        <f>IF($CE675="","",IFERROR(INDEX(_REF_Industry_Wording!$E$2:$E$70,MATCH($CE675,_REF_Industry_Wording!$A$2:$A$70,0)),""))</f>
        <v>SRE / Observability weakness</v>
      </c>
      <c r="CG675" t="str">
        <f>IF($CE675="","",IFERROR(INDEX(_REF_Industry_Wording!$F$2:$F$70,MATCH($CE675,_REF_Industry_Wording!$A$2:$A$70,0)),""))</f>
        <v>Strengthen SRE / Observability</v>
      </c>
      <c r="CH675" t="str">
        <f>IF($CE675="","",IFERROR(INDEX(_REF_Industry_Wording!$G$2:$G$70,MATCH($CE675,_REF_Industry_Wording!$A$2:$A$70,0)),""))</f>
        <v>Strengthen SRE / Observability using the selected maturity treatment, crisis scenario and evidence requirements.</v>
      </c>
      <c r="CI675" t="str">
        <f>IF($CE675="","",IFERROR(INDEX(_REF_Industry_Wording!$H$2:$H$70,MATCH($CE675,_REF_Industry_Wording!$A$2:$A$70,0)),""))</f>
        <v>SRE / Observability</v>
      </c>
      <c r="CJ675">
        <f>IF($CE675="","",IFERROR(INDEX(_REF_Industry_Wording!$I$2:$I$70,MATCH($CE675,_REF_Industry_Wording!$A$2:$A$70,0)),""))</f>
        <v>0</v>
      </c>
      <c r="CK675" t="str">
        <f>IF($CE675="","",IFERROR(INDEX(_REF_Industry_Wording!$J$2:$J$70,MATCH($CE675,_REF_Industry_Wording!$A$2:$A$70,0)),""))</f>
        <v>SRE / Observability</v>
      </c>
      <c r="CL675" t="str">
        <f t="shared" si="115"/>
        <v>Wording by industry=0; capability=CAP_SRE_OBSERVABILITY; risk label=SRE / Observability weakness</v>
      </c>
      <c r="CM675" t="str">
        <f t="shared" si="116"/>
        <v>RISK-ONT-0176</v>
      </c>
      <c r="CN675" t="str">
        <f t="shared" si="117"/>
        <v>RISK-EVT-0176</v>
      </c>
      <c r="CO675" t="str">
        <f t="shared" si="118"/>
        <v>Delivery Ops|Delivery governance|DELI-005|CAP_SRE_OBSERVABILITY</v>
      </c>
      <c r="CP675" t="str">
        <f t="shared" si="119"/>
        <v>Active</v>
      </c>
      <c r="CQ675" t="str">
        <f t="shared" si="120"/>
        <v>OK: capability-driven</v>
      </c>
      <c r="CR675" t="str">
        <f t="shared" si="121"/>
        <v>Risk ontology uses capability=CAP_SRE_OBSERVABILITY; bridge=BRG-026; treatment=TRT-SRE_OBSERVABILITY-INITIAL; wording=IW-ALL-SRE_OBSERVABILITY</v>
      </c>
      <c r="CS675" t="str">
        <f t="shared" si="122"/>
        <v>Yes</v>
      </c>
    </row>
    <row r="676" spans="1:97" ht="69.900000000000006" customHeight="1">
      <c r="A676">
        <f>IF(OR($B676&lt;&gt;"Yes",$BS676=""),"",SUMPRODUCT(($B$500:$B$923="Yes")*ISNUMBER($BS$500:$BS$923)*($BS$500:$BS$923&gt;$BS676))+COUNTIFS($B$500:$B676,"Yes",$BS$500:$BS676,$BS676))</f>
        <v>129</v>
      </c>
      <c r="B676" t="str">
        <f t="shared" si="91"/>
        <v>Yes</v>
      </c>
      <c r="C676" t="s">
        <v>1859</v>
      </c>
      <c r="D676" t="s">
        <v>1861</v>
      </c>
      <c r="E676" t="s">
        <v>1894</v>
      </c>
      <c r="F676" t="s">
        <v>3686</v>
      </c>
      <c r="G676" t="str">
        <f>IF($H676="","",IFERROR(INDEX(_ENGINE_Risk!$H$5:$M$499,MATCH($E676,_ENGINE_Risk!$A$5:$A$499,0),$H676+1),""))</f>
        <v>Severe risk: delivery transparency to customers during delays, incidents or disruption is not reliably controlled. During Delivery disruption; Customer impact; Workforce disruption, the organization may face missed commitments, SLA breaches, service interruption and weak customer recovery with limited visibility or accountability.</v>
      </c>
      <c r="H676">
        <f>IFERROR(VALUE(INDEX(_DATA_Assessment_Model!$H$5:$H$884,MATCH($E676,_DATA_Assessment_Model!$A$5:$A$884,0))),"")</f>
        <v>0</v>
      </c>
      <c r="I676" t="str">
        <f>IF($H676="","",IFERROR(INDEX(_DATA_Assessment_Model!$L$5:$L$884,MATCH($E676,_DATA_Assessment_Model!$A$5:$A$884,0)),IF($H676&lt;=1,"Critical",IF($H676=2,"High",IF($H676=3,"Medium",IF($H676=4,"Low","Resilient"))))))</f>
        <v>Critical</v>
      </c>
      <c r="J676">
        <f t="shared" si="92"/>
        <v>3.7</v>
      </c>
      <c r="K676">
        <f t="shared" si="93"/>
        <v>4.3500000000000005</v>
      </c>
      <c r="L676">
        <f t="shared" si="94"/>
        <v>16.095000000000002</v>
      </c>
      <c r="M676">
        <f t="shared" si="95"/>
        <v>4</v>
      </c>
      <c r="N676">
        <f>IF($H676="","",IFERROR(INDEX(_ENGINE_Risk!$T$5:$Y$499,MATCH($E676,_ENGINE_Risk!$A$5:$A$499,0),$H676+1),""))</f>
        <v>3</v>
      </c>
      <c r="O676">
        <f t="shared" si="96"/>
        <v>4.666666666666667</v>
      </c>
      <c r="P676">
        <f t="shared" si="97"/>
        <v>5</v>
      </c>
      <c r="Q676">
        <f t="shared" si="98"/>
        <v>5</v>
      </c>
      <c r="R676">
        <f t="shared" si="99"/>
        <v>4.5</v>
      </c>
      <c r="S676">
        <f t="shared" si="100"/>
        <v>1.6</v>
      </c>
      <c r="T676" t="str">
        <f>IF($H676="","",IFERROR(INDEX(_ENGINE_Risk!$N$5:$S$499,MATCH($E676,_ENGINE_Risk!$A$5:$A$499,0),$H676+1),""))</f>
        <v>Create an immediate risk owner, minimum control baseline and fallback procedure for delivery transparency to customers during delays, incidents or disruption. Add it to the crisis risk register and collect first evidence.</v>
      </c>
      <c r="U676">
        <f>IFERROR(INDEX(_DATA_Assessment_Model!$G$5:$G$884,MATCH($E676,_DATA_Assessment_Model!$A$5:$A$884,0)),"")</f>
        <v>5</v>
      </c>
      <c r="V676">
        <f>IFERROR(INDEX(_DATA_Assessment_Model!$W$5:$W$884,MATCH($E676,_DATA_Assessment_Model!$A$5:$A$884,0)),"")</f>
        <v>4</v>
      </c>
      <c r="W676">
        <f>IFERROR(INDEX(_DATA_Assessment_Model!$X$5:$X$884,MATCH($E676,_DATA_Assessment_Model!$A$5:$A$884,0)),"")</f>
        <v>5</v>
      </c>
      <c r="X676">
        <f>IFERROR(INDEX(_DATA_Assessment_Model!$Y$5:$Y$884,MATCH($E676,_DATA_Assessment_Model!$A$5:$A$884,0)),"")</f>
        <v>5</v>
      </c>
      <c r="Y676" t="s">
        <v>1866</v>
      </c>
      <c r="Z676" t="s">
        <v>7028</v>
      </c>
      <c r="AA676" t="s">
        <v>1896</v>
      </c>
      <c r="AB676">
        <f>IFERROR(INDEX(_DATA_Assessment_Model!$U$5:$U$884,MATCH($E676,_DATA_Assessment_Model!$A$5:$A$884,0)),"")</f>
        <v>0</v>
      </c>
      <c r="AF676" t="s">
        <v>1895</v>
      </c>
      <c r="AO676">
        <f>IF($B676="Yes",IF(IFERROR(INDEX(_ENGINE_Crisis!$F$501:$F$517,MATCH($C676,_ENGINE_Crisis!$A$501:$A$517,0)),1)=0,1,IFERROR(INDEX(_ENGINE_Crisis!$F$501:$F$517,MATCH($C676,_ENGINE_Crisis!$A$501:$A$517,0)),1)),"")</f>
        <v>1</v>
      </c>
      <c r="AP676">
        <f t="shared" si="101"/>
        <v>16.100000000000001</v>
      </c>
      <c r="AQ676">
        <f t="shared" si="102"/>
        <v>1.6</v>
      </c>
      <c r="AR676" t="str">
        <f>IFERROR(INDEX(_ENGINE_Crisis!$E$41:$E$700,MATCH('Resilience &amp; Risk Scenario'!$B$6&amp;"|"&amp;$C676,_ENGINE_Crisis!$I$41:$I$700,0)),"")</f>
        <v/>
      </c>
      <c r="AS676" t="str">
        <f>IFERROR(INDEX(_ENGINE_Crisis!$G$41:$G$700,MATCH('Resilience &amp; Risk Scenario'!$B$6&amp;"|"&amp;$C676,_ENGINE_Crisis!$I$41:$I$700,0)),"")</f>
        <v/>
      </c>
      <c r="AT676" t="str">
        <f>IFERROR(INDEX(_ENGINE_Initiatives!$A$5:$A$532,MATCH(1,INDEX((_ENGINE_Initiatives!$B$5:$B$532=$C676)*(_ENGINE_Initiatives!$C$5:$C$532=$D676),0),0)),"")</f>
        <v>INI-028</v>
      </c>
      <c r="AU676" t="str">
        <f>IFERROR(INDEX(_ENGINE_Initiatives!$F$5:$F$532,MATCH(1,INDEX((_ENGINE_Initiatives!$B$5:$B$532=$C676)*(_ENGINE_Initiatives!$C$5:$C$532=$D676),0),0)),"")</f>
        <v>Standardize delivery governance, ownership and escalation</v>
      </c>
      <c r="AV676">
        <f>IFERROR(INDEX(_ENGINE_Initiatives!$AC$5:$AC$532,MATCH(1,INDEX((_ENGINE_Initiatives!$B$5:$B$532=$C676)*(_ENGINE_Initiatives!$C$5:$C$532=$D676),0),0)),"")</f>
        <v>1.79</v>
      </c>
      <c r="AW676" t="str">
        <f>IFERROR(INDEX(_ENGINE_Initiatives!$AE$5:$AE$532,MATCH(1,INDEX((_ENGINE_Initiatives!$B$5:$B$532=$C676)*(_ENGINE_Initiatives!$C$5:$C$532=$D676),0),0)),"")</f>
        <v>3-6 months</v>
      </c>
      <c r="AX676">
        <f>IF($B676="Yes",IFERROR((IF(SUMIFS(_REF_Model_Content!$E$1:$E$613,_REF_Model_Content!$A$1:$A$613,PV_Canonical_Industry,_REF_Model_Content!$B$1:$B$613,$C676)=0,1,SUMIFS(_REF_Model_Content!$E$1:$E$613,_REF_Model_Content!$A$1:$A$613,PV_Canonical_Industry,_REF_Model_Content!$B$1:$B$613,$C676))*IFERROR($BU676,1)),1),"")</f>
        <v>1</v>
      </c>
      <c r="AY676">
        <f t="shared" si="103"/>
        <v>16.100000000000001</v>
      </c>
      <c r="AZ676">
        <f t="shared" si="104"/>
        <v>1.6</v>
      </c>
      <c r="BB676" t="str">
        <f>IF($H676="","",IFERROR(INDEX(_ENGINE_Risk!$AE$5:$AE$499,MATCH($E676,_ENGINE_Risk!$A$5:$A$499,0)),"Medium"))</f>
        <v>Fast</v>
      </c>
      <c r="BC676">
        <f t="shared" si="105"/>
        <v>1.25</v>
      </c>
      <c r="BD676">
        <f t="shared" si="106"/>
        <v>1.6</v>
      </c>
      <c r="BF676">
        <f>IF(OR($H676="",$J676=""),"",IFERROR(VLOOKUP(ROUND($J676,0),_CONFIG_Model_Settings!$D$154:$E$158,2,0),""))</f>
        <v>0.5</v>
      </c>
      <c r="BG676">
        <f>IFERROR(IF(OR($H676="",$K676=""),"",ROUND('Company Profile'!$B$113*INDEX(_CONFIG_Model_Settings!$H$154:$H$158,MATCH(ROUND($K676,0),_CONFIG_Model_Settings!$G$154:$G$158,0)),0)),0)</f>
        <v>875</v>
      </c>
      <c r="BH676">
        <f t="shared" si="107"/>
        <v>437.5</v>
      </c>
      <c r="BI676">
        <f t="shared" si="108"/>
        <v>437.5</v>
      </c>
      <c r="BJ676">
        <f>IF($E676="","",IFERROR(VLOOKUP($C676,_CONFIG_Risk_Calibration!$A$5:$H$21,2,FALSE),3))</f>
        <v>3</v>
      </c>
      <c r="BK676">
        <f>IF($E676="","",IFERROR(VLOOKUP($C676,_CONFIG_Risk_Calibration!$A$5:$H$21,3,FALSE),0))</f>
        <v>0</v>
      </c>
      <c r="BL676">
        <f>IF($E676="","",IFERROR(VLOOKUP($C676,_CONFIG_Risk_Calibration!$A$5:$H$21,4,FALSE),3))</f>
        <v>3</v>
      </c>
      <c r="BM676">
        <f>IF($E676="","",IFERROR(VLOOKUP($C676,_CONFIG_Risk_Calibration!$A$5:$H$21,5,FALSE),3))</f>
        <v>3</v>
      </c>
      <c r="BN676" t="str">
        <f>IF($E676="","",IFERROR(VLOOKUP($C676,_CONFIG_Risk_Calibration!$A$5:$H$21,6,FALSE),"No"))</f>
        <v>No</v>
      </c>
      <c r="BO676">
        <f>IF($E676="","",IFERROR(VLOOKUP($C676,_CONFIG_Risk_Calibration!$A$5:$H$21,7,FALSE),1))</f>
        <v>1</v>
      </c>
      <c r="BP676">
        <f>IF($H676="","",MAX(1,MIN(5,((6-$H676)*0.45)+($BJ676*0.2)+('Resilience &amp; Risk Scenario'!$B$7*0.15)+($BK676*0.1)+($BL676*0.05)+(IF($BB676="Fast",5,IF($BB676="Slow",1,3))*0.05))))</f>
        <v>3.7</v>
      </c>
      <c r="BQ676">
        <f t="shared" si="109"/>
        <v>4.3500000000000005</v>
      </c>
      <c r="BR676">
        <f t="shared" si="110"/>
        <v>16.100000000000001</v>
      </c>
      <c r="BS676">
        <f t="shared" si="111"/>
        <v>20.13</v>
      </c>
      <c r="BT676" t="str">
        <f>IFERROR(INDEX(_REF_Capability_Bridge!$D:$D,MATCH($C676&amp;"|"&amp;$D676,_REF_Capability_Bridge!$J:$J,0)),IFERROR(INDEX(_REF_Capability_Bridge!$D:$D,MATCH($C676&amp;"|",_REF_Capability_Bridge!$J:$J,0)),"CAP_GENERIC"))</f>
        <v>CAP_SRE_OBSERVABILITY</v>
      </c>
      <c r="BU676">
        <f>IFERROR(IFERROR(INDEX(_ENGINE_Relevance!$L:$L,MATCH($BT676,_ENGINE_Relevance!$B:$B,0)),1),1)</f>
        <v>1</v>
      </c>
      <c r="BV676" t="str">
        <f>IFERROR(INDEX(_REF_Capability_Bridge!$A:$A,MATCH($C676&amp;"|"&amp;$D676,_REF_Capability_Bridge!$J:$J,0)),IFERROR(INDEX(_REF_Capability_Bridge!$A:$A,MATCH($C676&amp;"|",_REF_Capability_Bridge!$J:$J,0)),"No bridge"))</f>
        <v>BRG-026</v>
      </c>
      <c r="BW676" t="str">
        <f t="shared" si="112"/>
        <v>Capability relevance neutral</v>
      </c>
      <c r="BX676" t="str">
        <f t="shared" si="113"/>
        <v>Initial / absent</v>
      </c>
      <c r="BY676" t="str">
        <f>IF($E676="","",IFERROR(INDEX(_REF_Treatment_Library!$A$2:$A$296,MATCH(1,INDEX((_REF_Treatment_Library!$B$2:$B$296=$BT676)*(_REF_Treatment_Library!$C$2:$C$296=PV_Canonical_Industry)*(_REF_Treatment_Library!$E$2:$E$296&lt;=N($H676))*(_REF_Treatment_Library!$F$2:$F$296&gt;=N($H676))*(_REF_Treatment_Library!$O$2:$O$296="Yes"),0),0)),IFERROR(INDEX(_REF_Treatment_Library!$A$2:$A$296,MATCH(1,INDEX((_REF_Treatment_Library!$B$2:$B$296=$BT676)*(_REF_Treatment_Library!$C$2:$C$296="All")*(_REF_Treatment_Library!$E$2:$E$296&lt;=N($H676))*(_REF_Treatment_Library!$F$2:$F$296&gt;=N($H676))*(_REF_Treatment_Library!$O$2:$O$296="Yes"),0),0)),"")))</f>
        <v>TRT-SRE_OBSERVABILITY-INITIAL</v>
      </c>
      <c r="BZ676" t="str">
        <f>IF($BY676="","",IFERROR(INDEX(_REF_Treatment_Library!$H$2:$H$296,MATCH($BY676,_REF_Treatment_Library!$A$2:$A$296,0)),""))</f>
        <v>Establish</v>
      </c>
      <c r="CA676" t="str">
        <f>IF($BY676="","",IFERROR(INDEX(_REF_Treatment_Library!$I$2:$I$296,MATCH($BY676,_REF_Treatment_Library!$A$2:$A$296,0)),""))</f>
        <v>Establish baseline controls for SRE / Observability</v>
      </c>
      <c r="CB676" t="str">
        <f>IF($BY676="","",IFERROR(INDEX(_REF_Treatment_Library!$K$2:$K$296,MATCH($BY676,_REF_Treatment_Library!$A$2:$A$296,0)),""))</f>
        <v>Named owner, baseline process, minimum control checklist, first evidence package</v>
      </c>
      <c r="CC676" t="str">
        <f>IF($BY676="","",IFERROR(INDEX(_REF_Treatment_Library!$L$2:$L$296,MATCH($BY676,_REF_Treatment_Library!$A$2:$A$296,0)),""))</f>
        <v>Owner assigned; baseline evidence coverage; open critical gaps</v>
      </c>
      <c r="CD676" t="str">
        <f t="shared" si="114"/>
        <v>Treatment by capability=CAP_SRE_OBSERVABILITY; band=Initial / absent; score=0.0; treatment=Establish</v>
      </c>
      <c r="CE676" t="str">
        <f>IF($E676="","",IFERROR(INDEX(_REF_Industry_Wording!$A$2:$A$70,MATCH(1,INDEX((_REF_Industry_Wording!$B$2:$B$70=$BT676)*(_REF_Industry_Wording!$C$2:$C$70=PV_Canonical_Industry)*(_REF_Industry_Wording!$K$2:$K$70="Yes"),0),0)),IFERROR(INDEX(_REF_Industry_Wording!$A$2:$A$70,MATCH(1,INDEX((_REF_Industry_Wording!$B$2:$B$70=$BT676)*(_REF_Industry_Wording!$C$2:$C$70="All")*(_REF_Industry_Wording!$K$2:$K$70="Yes"),0),0)),"")))</f>
        <v>IW-ALL-SRE_OBSERVABILITY</v>
      </c>
      <c r="CF676" t="str">
        <f>IF($CE676="","",IFERROR(INDEX(_REF_Industry_Wording!$E$2:$E$70,MATCH($CE676,_REF_Industry_Wording!$A$2:$A$70,0)),""))</f>
        <v>SRE / Observability weakness</v>
      </c>
      <c r="CG676" t="str">
        <f>IF($CE676="","",IFERROR(INDEX(_REF_Industry_Wording!$F$2:$F$70,MATCH($CE676,_REF_Industry_Wording!$A$2:$A$70,0)),""))</f>
        <v>Strengthen SRE / Observability</v>
      </c>
      <c r="CH676" t="str">
        <f>IF($CE676="","",IFERROR(INDEX(_REF_Industry_Wording!$G$2:$G$70,MATCH($CE676,_REF_Industry_Wording!$A$2:$A$70,0)),""))</f>
        <v>Strengthen SRE / Observability using the selected maturity treatment, crisis scenario and evidence requirements.</v>
      </c>
      <c r="CI676" t="str">
        <f>IF($CE676="","",IFERROR(INDEX(_REF_Industry_Wording!$H$2:$H$70,MATCH($CE676,_REF_Industry_Wording!$A$2:$A$70,0)),""))</f>
        <v>SRE / Observability</v>
      </c>
      <c r="CJ676">
        <f>IF($CE676="","",IFERROR(INDEX(_REF_Industry_Wording!$I$2:$I$70,MATCH($CE676,_REF_Industry_Wording!$A$2:$A$70,0)),""))</f>
        <v>0</v>
      </c>
      <c r="CK676" t="str">
        <f>IF($CE676="","",IFERROR(INDEX(_REF_Industry_Wording!$J$2:$J$70,MATCH($CE676,_REF_Industry_Wording!$A$2:$A$70,0)),""))</f>
        <v>SRE / Observability</v>
      </c>
      <c r="CL676" t="str">
        <f t="shared" si="115"/>
        <v>Wording by industry=0; capability=CAP_SRE_OBSERVABILITY; risk label=SRE / Observability weakness</v>
      </c>
      <c r="CM676" t="str">
        <f t="shared" si="116"/>
        <v>RISK-ONT-0177</v>
      </c>
      <c r="CN676" t="str">
        <f t="shared" si="117"/>
        <v>RISK-EVT-0177</v>
      </c>
      <c r="CO676" t="str">
        <f t="shared" si="118"/>
        <v>Delivery Ops|Delivery governance|DELI-006|CAP_SRE_OBSERVABILITY</v>
      </c>
      <c r="CP676" t="str">
        <f t="shared" si="119"/>
        <v>Active</v>
      </c>
      <c r="CQ676" t="str">
        <f t="shared" si="120"/>
        <v>OK: capability-driven</v>
      </c>
      <c r="CR676" t="str">
        <f t="shared" si="121"/>
        <v>Risk ontology uses capability=CAP_SRE_OBSERVABILITY; bridge=BRG-026; treatment=TRT-SRE_OBSERVABILITY-INITIAL; wording=IW-ALL-SRE_OBSERVABILITY</v>
      </c>
      <c r="CS676" t="str">
        <f t="shared" si="122"/>
        <v>Yes</v>
      </c>
    </row>
    <row r="677" spans="1:97" ht="69.900000000000006" customHeight="1">
      <c r="A677">
        <f>IF(OR($B677&lt;&gt;"Yes",$BS677=""),"",SUMPRODUCT(($B$500:$B$923="Yes")*ISNUMBER($BS$500:$BS$923)*($BS$500:$BS$923&gt;$BS677))+COUNTIFS($B$500:$B677,"Yes",$BS$500:$BS677,$BS677))</f>
        <v>108</v>
      </c>
      <c r="B677" t="str">
        <f t="shared" si="91"/>
        <v>Yes</v>
      </c>
      <c r="C677" t="s">
        <v>1859</v>
      </c>
      <c r="D677" t="s">
        <v>1870</v>
      </c>
      <c r="E677" t="s">
        <v>1897</v>
      </c>
      <c r="F677" t="s">
        <v>3686</v>
      </c>
      <c r="G677" t="str">
        <f>IF($H677="","",IFERROR(INDEX(_ENGINE_Risk!$H$5:$M$499,MATCH($E677,_ENGINE_Risk!$A$5:$A$499,0),$H677+1),""))</f>
        <v>Severe risk: capacity planning for people, equipment, production lines, cloud resources, warehouses and suppliers is not reliably controlled. During Delivery disruption; Customer impact; Workforce disruption, the organization may face missed commitments, SLA breaches, service interruption and weak customer recovery with limited visibility or accountability.</v>
      </c>
      <c r="H677">
        <f>IFERROR(VALUE(INDEX(_DATA_Assessment_Model!$H$5:$H$884,MATCH($E677,_DATA_Assessment_Model!$A$5:$A$884,0))),"")</f>
        <v>0</v>
      </c>
      <c r="I677" t="str">
        <f>IF($H677="","",IFERROR(INDEX(_DATA_Assessment_Model!$L$5:$L$884,MATCH($E677,_DATA_Assessment_Model!$A$5:$A$884,0)),IF($H677&lt;=1,"Critical",IF($H677=2,"High",IF($H677=3,"Medium",IF($H677=4,"Low","Resilient"))))))</f>
        <v>Critical</v>
      </c>
      <c r="J677">
        <f t="shared" si="92"/>
        <v>3.7</v>
      </c>
      <c r="K677">
        <f t="shared" si="93"/>
        <v>4.5</v>
      </c>
      <c r="L677">
        <f t="shared" si="94"/>
        <v>16.650000000000002</v>
      </c>
      <c r="M677">
        <f t="shared" si="95"/>
        <v>4</v>
      </c>
      <c r="N677">
        <f>IF($H677="","",IFERROR(INDEX(_ENGINE_Risk!$T$5:$Y$499,MATCH($E677,_ENGINE_Risk!$A$5:$A$499,0),$H677+1),""))</f>
        <v>3</v>
      </c>
      <c r="O677">
        <f t="shared" si="96"/>
        <v>5</v>
      </c>
      <c r="P677">
        <f t="shared" si="97"/>
        <v>5</v>
      </c>
      <c r="Q677">
        <f t="shared" si="98"/>
        <v>5</v>
      </c>
      <c r="R677">
        <f t="shared" si="99"/>
        <v>5</v>
      </c>
      <c r="S677">
        <f t="shared" si="100"/>
        <v>1.67</v>
      </c>
      <c r="T677" t="str">
        <f>IF($H677="","",IFERROR(INDEX(_ENGINE_Risk!$N$5:$S$499,MATCH($E677,_ENGINE_Risk!$A$5:$A$499,0),$H677+1),""))</f>
        <v>Create an immediate risk owner, minimum control baseline and fallback procedure for capacity planning for people, equipment, production lines, cloud resources, warehouses and suppliers. Add it to the crisis risk register and collect first evidence.</v>
      </c>
      <c r="U677">
        <f>IFERROR(INDEX(_DATA_Assessment_Model!$G$5:$G$884,MATCH($E677,_DATA_Assessment_Model!$A$5:$A$884,0)),"")</f>
        <v>5</v>
      </c>
      <c r="V677">
        <f>IFERROR(INDEX(_DATA_Assessment_Model!$W$5:$W$884,MATCH($E677,_DATA_Assessment_Model!$A$5:$A$884,0)),"")</f>
        <v>5</v>
      </c>
      <c r="W677">
        <f>IFERROR(INDEX(_DATA_Assessment_Model!$X$5:$X$884,MATCH($E677,_DATA_Assessment_Model!$A$5:$A$884,0)),"")</f>
        <v>5</v>
      </c>
      <c r="X677">
        <f>IFERROR(INDEX(_DATA_Assessment_Model!$Y$5:$Y$884,MATCH($E677,_DATA_Assessment_Model!$A$5:$A$884,0)),"")</f>
        <v>5</v>
      </c>
      <c r="Y677" t="s">
        <v>1866</v>
      </c>
      <c r="Z677" t="s">
        <v>7028</v>
      </c>
      <c r="AA677" t="s">
        <v>1899</v>
      </c>
      <c r="AB677">
        <f>IFERROR(INDEX(_DATA_Assessment_Model!$U$5:$U$884,MATCH($E677,_DATA_Assessment_Model!$A$5:$A$884,0)),"")</f>
        <v>0</v>
      </c>
      <c r="AF677" t="s">
        <v>1898</v>
      </c>
      <c r="AO677">
        <f>IF($B677="Yes",IF(IFERROR(INDEX(_ENGINE_Crisis!$F$501:$F$517,MATCH($C677,_ENGINE_Crisis!$A$501:$A$517,0)),1)=0,1,IFERROR(INDEX(_ENGINE_Crisis!$F$501:$F$517,MATCH($C677,_ENGINE_Crisis!$A$501:$A$517,0)),1)),"")</f>
        <v>1</v>
      </c>
      <c r="AP677">
        <f t="shared" si="101"/>
        <v>16.7</v>
      </c>
      <c r="AQ677">
        <f t="shared" si="102"/>
        <v>1.67</v>
      </c>
      <c r="AR677" t="str">
        <f>IFERROR(INDEX(_ENGINE_Crisis!$E$41:$E$700,MATCH('Resilience &amp; Risk Scenario'!$B$6&amp;"|"&amp;$C677,_ENGINE_Crisis!$I$41:$I$700,0)),"")</f>
        <v/>
      </c>
      <c r="AS677" t="str">
        <f>IFERROR(INDEX(_ENGINE_Crisis!$G$41:$G$700,MATCH('Resilience &amp; Risk Scenario'!$B$6&amp;"|"&amp;$C677,_ENGINE_Crisis!$I$41:$I$700,0)),"")</f>
        <v/>
      </c>
      <c r="AT677" t="str">
        <f>IFERROR(INDEX(_ENGINE_Initiatives!$A$5:$A$532,MATCH(1,INDEX((_ENGINE_Initiatives!$B$5:$B$532=$C677)*(_ENGINE_Initiatives!$C$5:$C$532=$D677),0),0)),"")</f>
        <v>INI-029</v>
      </c>
      <c r="AU677" t="str">
        <f>IFERROR(INDEX(_ENGINE_Initiatives!$F$5:$F$532,MATCH(1,INDEX((_ENGINE_Initiatives!$B$5:$B$532=$C677)*(_ENGINE_Initiatives!$C$5:$C$532=$D677),0),0)),"")</f>
        <v>Build capacity resilience and delivery continuity model</v>
      </c>
      <c r="AV677">
        <f>IFERROR(INDEX(_ENGINE_Initiatives!$AC$5:$AC$532,MATCH(1,INDEX((_ENGINE_Initiatives!$B$5:$B$532=$C677)*(_ENGINE_Initiatives!$C$5:$C$532=$D677),0),0)),"")</f>
        <v>1.79</v>
      </c>
      <c r="AW677" t="str">
        <f>IFERROR(INDEX(_ENGINE_Initiatives!$AE$5:$AE$532,MATCH(1,INDEX((_ENGINE_Initiatives!$B$5:$B$532=$C677)*(_ENGINE_Initiatives!$C$5:$C$532=$D677),0),0)),"")</f>
        <v>3-6 months</v>
      </c>
      <c r="AX677">
        <f>IF($B677="Yes",IFERROR((IF(SUMIFS(_REF_Model_Content!$E$1:$E$613,_REF_Model_Content!$A$1:$A$613,PV_Canonical_Industry,_REF_Model_Content!$B$1:$B$613,$C677)=0,1,SUMIFS(_REF_Model_Content!$E$1:$E$613,_REF_Model_Content!$A$1:$A$613,PV_Canonical_Industry,_REF_Model_Content!$B$1:$B$613,$C677))*IFERROR($BU677,1)),1),"")</f>
        <v>1</v>
      </c>
      <c r="AY677">
        <f t="shared" si="103"/>
        <v>16.7</v>
      </c>
      <c r="AZ677">
        <f t="shared" si="104"/>
        <v>1.67</v>
      </c>
      <c r="BB677" t="str">
        <f>IF($H677="","",IFERROR(INDEX(_ENGINE_Risk!$AE$5:$AE$499,MATCH($E677,_ENGINE_Risk!$A$5:$A$499,0)),"Medium"))</f>
        <v>Fast</v>
      </c>
      <c r="BC677">
        <f t="shared" si="105"/>
        <v>1.25</v>
      </c>
      <c r="BD677">
        <f t="shared" si="106"/>
        <v>1.67</v>
      </c>
      <c r="BF677">
        <f>IF(OR($H677="",$J677=""),"",IFERROR(VLOOKUP(ROUND($J677,0),_CONFIG_Model_Settings!$D$154:$E$158,2,0),""))</f>
        <v>0.5</v>
      </c>
      <c r="BG677">
        <f>IFERROR(IF(OR($H677="",$K677=""),"",ROUND('Company Profile'!$B$113*INDEX(_CONFIG_Model_Settings!$H$154:$H$158,MATCH(ROUND($K677,0),_CONFIG_Model_Settings!$G$154:$G$158,0)),0)),0)</f>
        <v>1875</v>
      </c>
      <c r="BH677">
        <f t="shared" si="107"/>
        <v>937.5</v>
      </c>
      <c r="BI677">
        <f t="shared" si="108"/>
        <v>937.5</v>
      </c>
      <c r="BJ677">
        <f>IF($E677="","",IFERROR(VLOOKUP($C677,_CONFIG_Risk_Calibration!$A$5:$H$21,2,FALSE),3))</f>
        <v>3</v>
      </c>
      <c r="BK677">
        <f>IF($E677="","",IFERROR(VLOOKUP($C677,_CONFIG_Risk_Calibration!$A$5:$H$21,3,FALSE),0))</f>
        <v>0</v>
      </c>
      <c r="BL677">
        <f>IF($E677="","",IFERROR(VLOOKUP($C677,_CONFIG_Risk_Calibration!$A$5:$H$21,4,FALSE),3))</f>
        <v>3</v>
      </c>
      <c r="BM677">
        <f>IF($E677="","",IFERROR(VLOOKUP($C677,_CONFIG_Risk_Calibration!$A$5:$H$21,5,FALSE),3))</f>
        <v>3</v>
      </c>
      <c r="BN677" t="str">
        <f>IF($E677="","",IFERROR(VLOOKUP($C677,_CONFIG_Risk_Calibration!$A$5:$H$21,6,FALSE),"No"))</f>
        <v>No</v>
      </c>
      <c r="BO677">
        <f>IF($E677="","",IFERROR(VLOOKUP($C677,_CONFIG_Risk_Calibration!$A$5:$H$21,7,FALSE),1))</f>
        <v>1</v>
      </c>
      <c r="BP677">
        <f>IF($H677="","",MAX(1,MIN(5,((6-$H677)*0.45)+($BJ677*0.2)+('Resilience &amp; Risk Scenario'!$B$7*0.15)+($BK677*0.1)+($BL677*0.05)+(IF($BB677="Fast",5,IF($BB677="Slow",1,3))*0.05))))</f>
        <v>3.7</v>
      </c>
      <c r="BQ677">
        <f t="shared" si="109"/>
        <v>4.5</v>
      </c>
      <c r="BR677">
        <f t="shared" si="110"/>
        <v>16.649999999999999</v>
      </c>
      <c r="BS677">
        <f t="shared" si="111"/>
        <v>20.81</v>
      </c>
      <c r="BT677" t="str">
        <f>IFERROR(INDEX(_REF_Capability_Bridge!$D:$D,MATCH($C677&amp;"|"&amp;$D677,_REF_Capability_Bridge!$J:$J,0)),IFERROR(INDEX(_REF_Capability_Bridge!$D:$D,MATCH($C677&amp;"|",_REF_Capability_Bridge!$J:$J,0)),"CAP_GENERIC"))</f>
        <v>CAP_BACKUP_RECOVERY</v>
      </c>
      <c r="BU677">
        <f>IFERROR(IFERROR(INDEX(_ENGINE_Relevance!$L:$L,MATCH($BT677,_ENGINE_Relevance!$B:$B,0)),1),1)</f>
        <v>1</v>
      </c>
      <c r="BV677" t="str">
        <f>IFERROR(INDEX(_REF_Capability_Bridge!$A:$A,MATCH($C677&amp;"|"&amp;$D677,_REF_Capability_Bridge!$J:$J,0)),IFERROR(INDEX(_REF_Capability_Bridge!$A:$A,MATCH($C677&amp;"|",_REF_Capability_Bridge!$J:$J,0)),"No bridge"))</f>
        <v>BRG-025</v>
      </c>
      <c r="BW677" t="str">
        <f t="shared" si="112"/>
        <v>Capability relevance neutral</v>
      </c>
      <c r="BX677" t="str">
        <f t="shared" si="113"/>
        <v>Initial / absent</v>
      </c>
      <c r="BY677" t="str">
        <f>IF($E677="","",IFERROR(INDEX(_REF_Treatment_Library!$A$2:$A$296,MATCH(1,INDEX((_REF_Treatment_Library!$B$2:$B$296=$BT677)*(_REF_Treatment_Library!$C$2:$C$296=PV_Canonical_Industry)*(_REF_Treatment_Library!$E$2:$E$296&lt;=N($H677))*(_REF_Treatment_Library!$F$2:$F$296&gt;=N($H677))*(_REF_Treatment_Library!$O$2:$O$296="Yes"),0),0)),IFERROR(INDEX(_REF_Treatment_Library!$A$2:$A$296,MATCH(1,INDEX((_REF_Treatment_Library!$B$2:$B$296=$BT677)*(_REF_Treatment_Library!$C$2:$C$296="All")*(_REF_Treatment_Library!$E$2:$E$296&lt;=N($H677))*(_REF_Treatment_Library!$F$2:$F$296&gt;=N($H677))*(_REF_Treatment_Library!$O$2:$O$296="Yes"),0),0)),"")))</f>
        <v>TRT-BACKUP_RECOVERY-INITIAL</v>
      </c>
      <c r="BZ677" t="str">
        <f>IF($BY677="","",IFERROR(INDEX(_REF_Treatment_Library!$H$2:$H$296,MATCH($BY677,_REF_Treatment_Library!$A$2:$A$296,0)),""))</f>
        <v>Establish</v>
      </c>
      <c r="CA677" t="str">
        <f>IF($BY677="","",IFERROR(INDEX(_REF_Treatment_Library!$I$2:$I$296,MATCH($BY677,_REF_Treatment_Library!$A$2:$A$296,0)),""))</f>
        <v>Establish baseline controls for Backup / recovery</v>
      </c>
      <c r="CB677" t="str">
        <f>IF($BY677="","",IFERROR(INDEX(_REF_Treatment_Library!$K$2:$K$296,MATCH($BY677,_REF_Treatment_Library!$A$2:$A$296,0)),""))</f>
        <v>Named owner, baseline process, minimum control checklist, first evidence package</v>
      </c>
      <c r="CC677" t="str">
        <f>IF($BY677="","",IFERROR(INDEX(_REF_Treatment_Library!$L$2:$L$296,MATCH($BY677,_REF_Treatment_Library!$A$2:$A$296,0)),""))</f>
        <v>Owner assigned; baseline evidence coverage; open critical gaps</v>
      </c>
      <c r="CD677" t="str">
        <f t="shared" si="114"/>
        <v>Treatment by capability=CAP_BACKUP_RECOVERY; band=Initial / absent; score=0.0; treatment=Establish</v>
      </c>
      <c r="CE677" t="str">
        <f>IF($E677="","",IFERROR(INDEX(_REF_Industry_Wording!$A$2:$A$70,MATCH(1,INDEX((_REF_Industry_Wording!$B$2:$B$70=$BT677)*(_REF_Industry_Wording!$C$2:$C$70=PV_Canonical_Industry)*(_REF_Industry_Wording!$K$2:$K$70="Yes"),0),0)),IFERROR(INDEX(_REF_Industry_Wording!$A$2:$A$70,MATCH(1,INDEX((_REF_Industry_Wording!$B$2:$B$70=$BT677)*(_REF_Industry_Wording!$C$2:$C$70="All")*(_REF_Industry_Wording!$K$2:$K$70="Yes"),0),0)),"")))</f>
        <v>IW-ALL-BACKUP_RECOVERY</v>
      </c>
      <c r="CF677" t="str">
        <f>IF($CE677="","",IFERROR(INDEX(_REF_Industry_Wording!$E$2:$E$70,MATCH($CE677,_REF_Industry_Wording!$A$2:$A$70,0)),""))</f>
        <v>Backup / recovery weakness</v>
      </c>
      <c r="CG677" t="str">
        <f>IF($CE677="","",IFERROR(INDEX(_REF_Industry_Wording!$F$2:$F$70,MATCH($CE677,_REF_Industry_Wording!$A$2:$A$70,0)),""))</f>
        <v>Strengthen Backup / recovery</v>
      </c>
      <c r="CH677" t="str">
        <f>IF($CE677="","",IFERROR(INDEX(_REF_Industry_Wording!$G$2:$G$70,MATCH($CE677,_REF_Industry_Wording!$A$2:$A$70,0)),""))</f>
        <v>Strengthen Backup / recovery using the selected maturity treatment, crisis scenario and evidence requirements.</v>
      </c>
      <c r="CI677" t="str">
        <f>IF($CE677="","",IFERROR(INDEX(_REF_Industry_Wording!$H$2:$H$70,MATCH($CE677,_REF_Industry_Wording!$A$2:$A$70,0)),""))</f>
        <v>Backup / recovery</v>
      </c>
      <c r="CJ677">
        <f>IF($CE677="","",IFERROR(INDEX(_REF_Industry_Wording!$I$2:$I$70,MATCH($CE677,_REF_Industry_Wording!$A$2:$A$70,0)),""))</f>
        <v>0</v>
      </c>
      <c r="CK677" t="str">
        <f>IF($CE677="","",IFERROR(INDEX(_REF_Industry_Wording!$J$2:$J$70,MATCH($CE677,_REF_Industry_Wording!$A$2:$A$70,0)),""))</f>
        <v>Backup / recovery</v>
      </c>
      <c r="CL677" t="str">
        <f t="shared" si="115"/>
        <v>Wording by industry=0; capability=CAP_BACKUP_RECOVERY; risk label=Backup / recovery weakness</v>
      </c>
      <c r="CM677" t="str">
        <f t="shared" si="116"/>
        <v>RISK-ONT-0178</v>
      </c>
      <c r="CN677" t="str">
        <f t="shared" si="117"/>
        <v>RISK-EVT-0178</v>
      </c>
      <c r="CO677" t="str">
        <f t="shared" si="118"/>
        <v>Delivery Ops|Capacity and continuity|DELI-007|CAP_BACKUP_RECOVERY</v>
      </c>
      <c r="CP677" t="str">
        <f t="shared" si="119"/>
        <v>Active</v>
      </c>
      <c r="CQ677" t="str">
        <f t="shared" si="120"/>
        <v>OK: capability-driven</v>
      </c>
      <c r="CR677" t="str">
        <f t="shared" si="121"/>
        <v>Risk ontology uses capability=CAP_BACKUP_RECOVERY; bridge=BRG-025; treatment=TRT-BACKUP_RECOVERY-INITIAL; wording=IW-ALL-BACKUP_RECOVERY</v>
      </c>
      <c r="CS677" t="str">
        <f t="shared" si="122"/>
        <v>Yes</v>
      </c>
    </row>
    <row r="678" spans="1:97" ht="69.900000000000006" customHeight="1">
      <c r="A678">
        <f>IF(OR($B678&lt;&gt;"Yes",$BS678=""),"",SUMPRODUCT(($B$500:$B$923="Yes")*ISNUMBER($BS$500:$BS$923)*($BS$500:$BS$923&gt;$BS678))+COUNTIFS($B$500:$B678,"Yes",$BS$500:$BS678,$BS678))</f>
        <v>130</v>
      </c>
      <c r="B678" t="str">
        <f t="shared" si="91"/>
        <v>Yes</v>
      </c>
      <c r="C678" t="s">
        <v>1859</v>
      </c>
      <c r="D678" t="s">
        <v>1870</v>
      </c>
      <c r="E678" t="s">
        <v>1900</v>
      </c>
      <c r="F678" t="s">
        <v>3686</v>
      </c>
      <c r="G678" t="str">
        <f>IF($H678="","",IFERROR(INDEX(_ENGINE_Risk!$H$5:$M$499,MATCH($E678,_ENGINE_Risk!$A$5:$A$499,0),$H678+1),""))</f>
        <v>Severe risk: surge capacity for demand spikes, backlog recovery and emergency orders is not reliably controlled. During Delivery disruption; Customer impact; Workforce disruption, the organization may face missed commitments, SLA breaches, service interruption and weak customer recovery with limited visibility or accountability.</v>
      </c>
      <c r="H678">
        <f>IFERROR(VALUE(INDEX(_DATA_Assessment_Model!$H$5:$H$884,MATCH($E678,_DATA_Assessment_Model!$A$5:$A$884,0))),"")</f>
        <v>0</v>
      </c>
      <c r="I678" t="str">
        <f>IF($H678="","",IFERROR(INDEX(_DATA_Assessment_Model!$L$5:$L$884,MATCH($E678,_DATA_Assessment_Model!$A$5:$A$884,0)),IF($H678&lt;=1,"Critical",IF($H678=2,"High",IF($H678=3,"Medium",IF($H678=4,"Low","Resilient"))))))</f>
        <v>Critical</v>
      </c>
      <c r="J678">
        <f t="shared" si="92"/>
        <v>3.7</v>
      </c>
      <c r="K678">
        <f t="shared" si="93"/>
        <v>4.3500000000000005</v>
      </c>
      <c r="L678">
        <f t="shared" si="94"/>
        <v>16.095000000000002</v>
      </c>
      <c r="M678">
        <f t="shared" si="95"/>
        <v>4</v>
      </c>
      <c r="N678">
        <f>IF($H678="","",IFERROR(INDEX(_ENGINE_Risk!$T$5:$Y$499,MATCH($E678,_ENGINE_Risk!$A$5:$A$499,0),$H678+1),""))</f>
        <v>3</v>
      </c>
      <c r="O678">
        <f t="shared" si="96"/>
        <v>4.666666666666667</v>
      </c>
      <c r="P678">
        <f t="shared" si="97"/>
        <v>5</v>
      </c>
      <c r="Q678">
        <f t="shared" si="98"/>
        <v>5</v>
      </c>
      <c r="R678">
        <f t="shared" si="99"/>
        <v>4.5</v>
      </c>
      <c r="S678">
        <f t="shared" si="100"/>
        <v>1.6</v>
      </c>
      <c r="T678" t="str">
        <f>IF($H678="","",IFERROR(INDEX(_ENGINE_Risk!$N$5:$S$499,MATCH($E678,_ENGINE_Risk!$A$5:$A$499,0),$H678+1),""))</f>
        <v>Create an immediate risk owner, minimum control baseline and fallback procedure for surge capacity for demand spikes, backlog recovery and emergency orders. Add it to the crisis risk register and collect first evidence.</v>
      </c>
      <c r="U678">
        <f>IFERROR(INDEX(_DATA_Assessment_Model!$G$5:$G$884,MATCH($E678,_DATA_Assessment_Model!$A$5:$A$884,0)),"")</f>
        <v>5</v>
      </c>
      <c r="V678">
        <f>IFERROR(INDEX(_DATA_Assessment_Model!$W$5:$W$884,MATCH($E678,_DATA_Assessment_Model!$A$5:$A$884,0)),"")</f>
        <v>4</v>
      </c>
      <c r="W678">
        <f>IFERROR(INDEX(_DATA_Assessment_Model!$X$5:$X$884,MATCH($E678,_DATA_Assessment_Model!$A$5:$A$884,0)),"")</f>
        <v>5</v>
      </c>
      <c r="X678">
        <f>IFERROR(INDEX(_DATA_Assessment_Model!$Y$5:$Y$884,MATCH($E678,_DATA_Assessment_Model!$A$5:$A$884,0)),"")</f>
        <v>5</v>
      </c>
      <c r="Y678" t="s">
        <v>1866</v>
      </c>
      <c r="Z678" t="s">
        <v>7028</v>
      </c>
      <c r="AA678" t="s">
        <v>1902</v>
      </c>
      <c r="AB678">
        <f>IFERROR(INDEX(_DATA_Assessment_Model!$U$5:$U$884,MATCH($E678,_DATA_Assessment_Model!$A$5:$A$884,0)),"")</f>
        <v>0</v>
      </c>
      <c r="AF678" t="s">
        <v>1901</v>
      </c>
      <c r="AO678">
        <f>IF($B678="Yes",IF(IFERROR(INDEX(_ENGINE_Crisis!$F$501:$F$517,MATCH($C678,_ENGINE_Crisis!$A$501:$A$517,0)),1)=0,1,IFERROR(INDEX(_ENGINE_Crisis!$F$501:$F$517,MATCH($C678,_ENGINE_Crisis!$A$501:$A$517,0)),1)),"")</f>
        <v>1</v>
      </c>
      <c r="AP678">
        <f t="shared" si="101"/>
        <v>16.100000000000001</v>
      </c>
      <c r="AQ678">
        <f t="shared" si="102"/>
        <v>1.6</v>
      </c>
      <c r="AR678" t="str">
        <f>IFERROR(INDEX(_ENGINE_Crisis!$E$41:$E$700,MATCH('Resilience &amp; Risk Scenario'!$B$6&amp;"|"&amp;$C678,_ENGINE_Crisis!$I$41:$I$700,0)),"")</f>
        <v/>
      </c>
      <c r="AS678" t="str">
        <f>IFERROR(INDEX(_ENGINE_Crisis!$G$41:$G$700,MATCH('Resilience &amp; Risk Scenario'!$B$6&amp;"|"&amp;$C678,_ENGINE_Crisis!$I$41:$I$700,0)),"")</f>
        <v/>
      </c>
      <c r="AT678" t="str">
        <f>IFERROR(INDEX(_ENGINE_Initiatives!$A$5:$A$532,MATCH(1,INDEX((_ENGINE_Initiatives!$B$5:$B$532=$C678)*(_ENGINE_Initiatives!$C$5:$C$532=$D678),0),0)),"")</f>
        <v>INI-029</v>
      </c>
      <c r="AU678" t="str">
        <f>IFERROR(INDEX(_ENGINE_Initiatives!$F$5:$F$532,MATCH(1,INDEX((_ENGINE_Initiatives!$B$5:$B$532=$C678)*(_ENGINE_Initiatives!$C$5:$C$532=$D678),0),0)),"")</f>
        <v>Build capacity resilience and delivery continuity model</v>
      </c>
      <c r="AV678">
        <f>IFERROR(INDEX(_ENGINE_Initiatives!$AC$5:$AC$532,MATCH(1,INDEX((_ENGINE_Initiatives!$B$5:$B$532=$C678)*(_ENGINE_Initiatives!$C$5:$C$532=$D678),0),0)),"")</f>
        <v>1.79</v>
      </c>
      <c r="AW678" t="str">
        <f>IFERROR(INDEX(_ENGINE_Initiatives!$AE$5:$AE$532,MATCH(1,INDEX((_ENGINE_Initiatives!$B$5:$B$532=$C678)*(_ENGINE_Initiatives!$C$5:$C$532=$D678),0),0)),"")</f>
        <v>3-6 months</v>
      </c>
      <c r="AX678">
        <f>IF($B678="Yes",IFERROR((IF(SUMIFS(_REF_Model_Content!$E$1:$E$613,_REF_Model_Content!$A$1:$A$613,PV_Canonical_Industry,_REF_Model_Content!$B$1:$B$613,$C678)=0,1,SUMIFS(_REF_Model_Content!$E$1:$E$613,_REF_Model_Content!$A$1:$A$613,PV_Canonical_Industry,_REF_Model_Content!$B$1:$B$613,$C678))*IFERROR($BU678,1)),1),"")</f>
        <v>1</v>
      </c>
      <c r="AY678">
        <f t="shared" si="103"/>
        <v>16.100000000000001</v>
      </c>
      <c r="AZ678">
        <f t="shared" si="104"/>
        <v>1.6</v>
      </c>
      <c r="BB678" t="str">
        <f>IF($H678="","",IFERROR(INDEX(_ENGINE_Risk!$AE$5:$AE$499,MATCH($E678,_ENGINE_Risk!$A$5:$A$499,0)),"Medium"))</f>
        <v>Fast</v>
      </c>
      <c r="BC678">
        <f t="shared" si="105"/>
        <v>1.25</v>
      </c>
      <c r="BD678">
        <f t="shared" si="106"/>
        <v>1.6</v>
      </c>
      <c r="BF678">
        <f>IF(OR($H678="",$J678=""),"",IFERROR(VLOOKUP(ROUND($J678,0),_CONFIG_Model_Settings!$D$154:$E$158,2,0),""))</f>
        <v>0.5</v>
      </c>
      <c r="BG678">
        <f>IFERROR(IF(OR($H678="",$K678=""),"",ROUND('Company Profile'!$B$113*INDEX(_CONFIG_Model_Settings!$H$154:$H$158,MATCH(ROUND($K678,0),_CONFIG_Model_Settings!$G$154:$G$158,0)),0)),0)</f>
        <v>875</v>
      </c>
      <c r="BH678">
        <f t="shared" si="107"/>
        <v>437.5</v>
      </c>
      <c r="BI678">
        <f t="shared" si="108"/>
        <v>437.5</v>
      </c>
      <c r="BJ678">
        <f>IF($E678="","",IFERROR(VLOOKUP($C678,_CONFIG_Risk_Calibration!$A$5:$H$21,2,FALSE),3))</f>
        <v>3</v>
      </c>
      <c r="BK678">
        <f>IF($E678="","",IFERROR(VLOOKUP($C678,_CONFIG_Risk_Calibration!$A$5:$H$21,3,FALSE),0))</f>
        <v>0</v>
      </c>
      <c r="BL678">
        <f>IF($E678="","",IFERROR(VLOOKUP($C678,_CONFIG_Risk_Calibration!$A$5:$H$21,4,FALSE),3))</f>
        <v>3</v>
      </c>
      <c r="BM678">
        <f>IF($E678="","",IFERROR(VLOOKUP($C678,_CONFIG_Risk_Calibration!$A$5:$H$21,5,FALSE),3))</f>
        <v>3</v>
      </c>
      <c r="BN678" t="str">
        <f>IF($E678="","",IFERROR(VLOOKUP($C678,_CONFIG_Risk_Calibration!$A$5:$H$21,6,FALSE),"No"))</f>
        <v>No</v>
      </c>
      <c r="BO678">
        <f>IF($E678="","",IFERROR(VLOOKUP($C678,_CONFIG_Risk_Calibration!$A$5:$H$21,7,FALSE),1))</f>
        <v>1</v>
      </c>
      <c r="BP678">
        <f>IF($H678="","",MAX(1,MIN(5,((6-$H678)*0.45)+($BJ678*0.2)+('Resilience &amp; Risk Scenario'!$B$7*0.15)+($BK678*0.1)+($BL678*0.05)+(IF($BB678="Fast",5,IF($BB678="Slow",1,3))*0.05))))</f>
        <v>3.7</v>
      </c>
      <c r="BQ678">
        <f t="shared" si="109"/>
        <v>4.3500000000000005</v>
      </c>
      <c r="BR678">
        <f t="shared" si="110"/>
        <v>16.100000000000001</v>
      </c>
      <c r="BS678">
        <f t="shared" si="111"/>
        <v>20.13</v>
      </c>
      <c r="BT678" t="str">
        <f>IFERROR(INDEX(_REF_Capability_Bridge!$D:$D,MATCH($C678&amp;"|"&amp;$D678,_REF_Capability_Bridge!$J:$J,0)),IFERROR(INDEX(_REF_Capability_Bridge!$D:$D,MATCH($C678&amp;"|",_REF_Capability_Bridge!$J:$J,0)),"CAP_GENERIC"))</f>
        <v>CAP_BACKUP_RECOVERY</v>
      </c>
      <c r="BU678">
        <f>IFERROR(IFERROR(INDEX(_ENGINE_Relevance!$L:$L,MATCH($BT678,_ENGINE_Relevance!$B:$B,0)),1),1)</f>
        <v>1</v>
      </c>
      <c r="BV678" t="str">
        <f>IFERROR(INDEX(_REF_Capability_Bridge!$A:$A,MATCH($C678&amp;"|"&amp;$D678,_REF_Capability_Bridge!$J:$J,0)),IFERROR(INDEX(_REF_Capability_Bridge!$A:$A,MATCH($C678&amp;"|",_REF_Capability_Bridge!$J:$J,0)),"No bridge"))</f>
        <v>BRG-025</v>
      </c>
      <c r="BW678" t="str">
        <f t="shared" si="112"/>
        <v>Capability relevance neutral</v>
      </c>
      <c r="BX678" t="str">
        <f t="shared" si="113"/>
        <v>Initial / absent</v>
      </c>
      <c r="BY678" t="str">
        <f>IF($E678="","",IFERROR(INDEX(_REF_Treatment_Library!$A$2:$A$296,MATCH(1,INDEX((_REF_Treatment_Library!$B$2:$B$296=$BT678)*(_REF_Treatment_Library!$C$2:$C$296=PV_Canonical_Industry)*(_REF_Treatment_Library!$E$2:$E$296&lt;=N($H678))*(_REF_Treatment_Library!$F$2:$F$296&gt;=N($H678))*(_REF_Treatment_Library!$O$2:$O$296="Yes"),0),0)),IFERROR(INDEX(_REF_Treatment_Library!$A$2:$A$296,MATCH(1,INDEX((_REF_Treatment_Library!$B$2:$B$296=$BT678)*(_REF_Treatment_Library!$C$2:$C$296="All")*(_REF_Treatment_Library!$E$2:$E$296&lt;=N($H678))*(_REF_Treatment_Library!$F$2:$F$296&gt;=N($H678))*(_REF_Treatment_Library!$O$2:$O$296="Yes"),0),0)),"")))</f>
        <v>TRT-BACKUP_RECOVERY-INITIAL</v>
      </c>
      <c r="BZ678" t="str">
        <f>IF($BY678="","",IFERROR(INDEX(_REF_Treatment_Library!$H$2:$H$296,MATCH($BY678,_REF_Treatment_Library!$A$2:$A$296,0)),""))</f>
        <v>Establish</v>
      </c>
      <c r="CA678" t="str">
        <f>IF($BY678="","",IFERROR(INDEX(_REF_Treatment_Library!$I$2:$I$296,MATCH($BY678,_REF_Treatment_Library!$A$2:$A$296,0)),""))</f>
        <v>Establish baseline controls for Backup / recovery</v>
      </c>
      <c r="CB678" t="str">
        <f>IF($BY678="","",IFERROR(INDEX(_REF_Treatment_Library!$K$2:$K$296,MATCH($BY678,_REF_Treatment_Library!$A$2:$A$296,0)),""))</f>
        <v>Named owner, baseline process, minimum control checklist, first evidence package</v>
      </c>
      <c r="CC678" t="str">
        <f>IF($BY678="","",IFERROR(INDEX(_REF_Treatment_Library!$L$2:$L$296,MATCH($BY678,_REF_Treatment_Library!$A$2:$A$296,0)),""))</f>
        <v>Owner assigned; baseline evidence coverage; open critical gaps</v>
      </c>
      <c r="CD678" t="str">
        <f t="shared" si="114"/>
        <v>Treatment by capability=CAP_BACKUP_RECOVERY; band=Initial / absent; score=0.0; treatment=Establish</v>
      </c>
      <c r="CE678" t="str">
        <f>IF($E678="","",IFERROR(INDEX(_REF_Industry_Wording!$A$2:$A$70,MATCH(1,INDEX((_REF_Industry_Wording!$B$2:$B$70=$BT678)*(_REF_Industry_Wording!$C$2:$C$70=PV_Canonical_Industry)*(_REF_Industry_Wording!$K$2:$K$70="Yes"),0),0)),IFERROR(INDEX(_REF_Industry_Wording!$A$2:$A$70,MATCH(1,INDEX((_REF_Industry_Wording!$B$2:$B$70=$BT678)*(_REF_Industry_Wording!$C$2:$C$70="All")*(_REF_Industry_Wording!$K$2:$K$70="Yes"),0),0)),"")))</f>
        <v>IW-ALL-BACKUP_RECOVERY</v>
      </c>
      <c r="CF678" t="str">
        <f>IF($CE678="","",IFERROR(INDEX(_REF_Industry_Wording!$E$2:$E$70,MATCH($CE678,_REF_Industry_Wording!$A$2:$A$70,0)),""))</f>
        <v>Backup / recovery weakness</v>
      </c>
      <c r="CG678" t="str">
        <f>IF($CE678="","",IFERROR(INDEX(_REF_Industry_Wording!$F$2:$F$70,MATCH($CE678,_REF_Industry_Wording!$A$2:$A$70,0)),""))</f>
        <v>Strengthen Backup / recovery</v>
      </c>
      <c r="CH678" t="str">
        <f>IF($CE678="","",IFERROR(INDEX(_REF_Industry_Wording!$G$2:$G$70,MATCH($CE678,_REF_Industry_Wording!$A$2:$A$70,0)),""))</f>
        <v>Strengthen Backup / recovery using the selected maturity treatment, crisis scenario and evidence requirements.</v>
      </c>
      <c r="CI678" t="str">
        <f>IF($CE678="","",IFERROR(INDEX(_REF_Industry_Wording!$H$2:$H$70,MATCH($CE678,_REF_Industry_Wording!$A$2:$A$70,0)),""))</f>
        <v>Backup / recovery</v>
      </c>
      <c r="CJ678">
        <f>IF($CE678="","",IFERROR(INDEX(_REF_Industry_Wording!$I$2:$I$70,MATCH($CE678,_REF_Industry_Wording!$A$2:$A$70,0)),""))</f>
        <v>0</v>
      </c>
      <c r="CK678" t="str">
        <f>IF($CE678="","",IFERROR(INDEX(_REF_Industry_Wording!$J$2:$J$70,MATCH($CE678,_REF_Industry_Wording!$A$2:$A$70,0)),""))</f>
        <v>Backup / recovery</v>
      </c>
      <c r="CL678" t="str">
        <f t="shared" si="115"/>
        <v>Wording by industry=0; capability=CAP_BACKUP_RECOVERY; risk label=Backup / recovery weakness</v>
      </c>
      <c r="CM678" t="str">
        <f t="shared" si="116"/>
        <v>RISK-ONT-0179</v>
      </c>
      <c r="CN678" t="str">
        <f t="shared" si="117"/>
        <v>RISK-EVT-0179</v>
      </c>
      <c r="CO678" t="str">
        <f t="shared" si="118"/>
        <v>Delivery Ops|Capacity and continuity|DELI-008|CAP_BACKUP_RECOVERY</v>
      </c>
      <c r="CP678" t="str">
        <f t="shared" si="119"/>
        <v>Active</v>
      </c>
      <c r="CQ678" t="str">
        <f t="shared" si="120"/>
        <v>OK: capability-driven</v>
      </c>
      <c r="CR678" t="str">
        <f t="shared" si="121"/>
        <v>Risk ontology uses capability=CAP_BACKUP_RECOVERY; bridge=BRG-025; treatment=TRT-BACKUP_RECOVERY-INITIAL; wording=IW-ALL-BACKUP_RECOVERY</v>
      </c>
      <c r="CS678" t="str">
        <f t="shared" si="122"/>
        <v>Yes</v>
      </c>
    </row>
    <row r="679" spans="1:97" ht="69.900000000000006" customHeight="1">
      <c r="A679">
        <f>IF(OR($B679&lt;&gt;"Yes",$BS679=""),"",SUMPRODUCT(($B$500:$B$923="Yes")*ISNUMBER($BS$500:$BS$923)*($BS$500:$BS$923&gt;$BS679))+COUNTIFS($B$500:$B679,"Yes",$BS$500:$BS679,$BS679))</f>
        <v>206</v>
      </c>
      <c r="B679" t="str">
        <f t="shared" si="91"/>
        <v>Yes</v>
      </c>
      <c r="C679" t="s">
        <v>1859</v>
      </c>
      <c r="D679" t="s">
        <v>1870</v>
      </c>
      <c r="E679" t="s">
        <v>1903</v>
      </c>
      <c r="F679" t="s">
        <v>3686</v>
      </c>
      <c r="G679" t="str">
        <f>IF($H679="","",IFERROR(INDEX(_ENGINE_Risk!$H$5:$M$499,MATCH($E679,_ENGINE_Risk!$A$5:$A$499,0),$H679+1),""))</f>
        <v>Severe risk: minimum viable operating model for severe constraints is not reliably controlled. During Delivery disruption; Customer impact; Workforce disruption, the organization may face missed commitments, SLA breaches, service interruption and weak customer recovery with limited visibility or accountability.</v>
      </c>
      <c r="H679">
        <f>IFERROR(VALUE(INDEX(_DATA_Assessment_Model!$H$5:$H$884,MATCH($E679,_DATA_Assessment_Model!$A$5:$A$884,0))),"")</f>
        <v>0</v>
      </c>
      <c r="I679" t="str">
        <f>IF($H679="","",IFERROR(INDEX(_DATA_Assessment_Model!$L$5:$L$884,MATCH($E679,_DATA_Assessment_Model!$A$5:$A$884,0)),IF($H679&lt;=1,"Critical",IF($H679=2,"High",IF($H679=3,"Medium",IF($H679=4,"Low","Resilient"))))))</f>
        <v>Critical</v>
      </c>
      <c r="J679">
        <f t="shared" si="92"/>
        <v>3.7</v>
      </c>
      <c r="K679">
        <f t="shared" si="93"/>
        <v>3.95</v>
      </c>
      <c r="L679">
        <f t="shared" si="94"/>
        <v>14.615000000000002</v>
      </c>
      <c r="M679">
        <f t="shared" si="95"/>
        <v>3</v>
      </c>
      <c r="N679">
        <f>IF($H679="","",IFERROR(INDEX(_ENGINE_Risk!$T$5:$Y$499,MATCH($E679,_ENGINE_Risk!$A$5:$A$499,0),$H679+1),""))</f>
        <v>3</v>
      </c>
      <c r="O679">
        <f t="shared" si="96"/>
        <v>4</v>
      </c>
      <c r="P679">
        <f t="shared" si="97"/>
        <v>5</v>
      </c>
      <c r="Q679">
        <f t="shared" si="98"/>
        <v>5</v>
      </c>
      <c r="R679">
        <f t="shared" si="99"/>
        <v>4.5</v>
      </c>
      <c r="S679">
        <f t="shared" si="100"/>
        <v>1.54</v>
      </c>
      <c r="T679" t="str">
        <f>IF($H679="","",IFERROR(INDEX(_ENGINE_Risk!$N$5:$S$499,MATCH($E679,_ENGINE_Risk!$A$5:$A$499,0),$H679+1),""))</f>
        <v>Create an immediate risk owner, minimum control baseline and fallback procedure for minimum viable operating model for severe constraints. Add it to the crisis risk register and collect first evidence.</v>
      </c>
      <c r="U679">
        <f>IFERROR(INDEX(_DATA_Assessment_Model!$G$5:$G$884,MATCH($E679,_DATA_Assessment_Model!$A$5:$A$884,0)),"")</f>
        <v>3</v>
      </c>
      <c r="V679">
        <f>IFERROR(INDEX(_DATA_Assessment_Model!$W$5:$W$884,MATCH($E679,_DATA_Assessment_Model!$A$5:$A$884,0)),"")</f>
        <v>4</v>
      </c>
      <c r="W679">
        <f>IFERROR(INDEX(_DATA_Assessment_Model!$X$5:$X$884,MATCH($E679,_DATA_Assessment_Model!$A$5:$A$884,0)),"")</f>
        <v>5</v>
      </c>
      <c r="X679">
        <f>IFERROR(INDEX(_DATA_Assessment_Model!$Y$5:$Y$884,MATCH($E679,_DATA_Assessment_Model!$A$5:$A$884,0)),"")</f>
        <v>5</v>
      </c>
      <c r="Y679" t="s">
        <v>1866</v>
      </c>
      <c r="Z679" t="s">
        <v>7028</v>
      </c>
      <c r="AA679" t="s">
        <v>1905</v>
      </c>
      <c r="AB679">
        <f>IFERROR(INDEX(_DATA_Assessment_Model!$U$5:$U$884,MATCH($E679,_DATA_Assessment_Model!$A$5:$A$884,0)),"")</f>
        <v>0</v>
      </c>
      <c r="AF679" t="s">
        <v>1904</v>
      </c>
      <c r="AO679">
        <f>IF($B679="Yes",IF(IFERROR(INDEX(_ENGINE_Crisis!$F$501:$F$517,MATCH($C679,_ENGINE_Crisis!$A$501:$A$517,0)),1)=0,1,IFERROR(INDEX(_ENGINE_Crisis!$F$501:$F$517,MATCH($C679,_ENGINE_Crisis!$A$501:$A$517,0)),1)),"")</f>
        <v>1</v>
      </c>
      <c r="AP679">
        <f t="shared" si="101"/>
        <v>14.6</v>
      </c>
      <c r="AQ679">
        <f t="shared" si="102"/>
        <v>1.54</v>
      </c>
      <c r="AR679" t="str">
        <f>IFERROR(INDEX(_ENGINE_Crisis!$E$41:$E$700,MATCH('Resilience &amp; Risk Scenario'!$B$6&amp;"|"&amp;$C679,_ENGINE_Crisis!$I$41:$I$700,0)),"")</f>
        <v/>
      </c>
      <c r="AS679" t="str">
        <f>IFERROR(INDEX(_ENGINE_Crisis!$G$41:$G$700,MATCH('Resilience &amp; Risk Scenario'!$B$6&amp;"|"&amp;$C679,_ENGINE_Crisis!$I$41:$I$700,0)),"")</f>
        <v/>
      </c>
      <c r="AT679" t="str">
        <f>IFERROR(INDEX(_ENGINE_Initiatives!$A$5:$A$532,MATCH(1,INDEX((_ENGINE_Initiatives!$B$5:$B$532=$C679)*(_ENGINE_Initiatives!$C$5:$C$532=$D679),0),0)),"")</f>
        <v>INI-029</v>
      </c>
      <c r="AU679" t="str">
        <f>IFERROR(INDEX(_ENGINE_Initiatives!$F$5:$F$532,MATCH(1,INDEX((_ENGINE_Initiatives!$B$5:$B$532=$C679)*(_ENGINE_Initiatives!$C$5:$C$532=$D679),0),0)),"")</f>
        <v>Build capacity resilience and delivery continuity model</v>
      </c>
      <c r="AV679">
        <f>IFERROR(INDEX(_ENGINE_Initiatives!$AC$5:$AC$532,MATCH(1,INDEX((_ENGINE_Initiatives!$B$5:$B$532=$C679)*(_ENGINE_Initiatives!$C$5:$C$532=$D679),0),0)),"")</f>
        <v>1.79</v>
      </c>
      <c r="AW679" t="str">
        <f>IFERROR(INDEX(_ENGINE_Initiatives!$AE$5:$AE$532,MATCH(1,INDEX((_ENGINE_Initiatives!$B$5:$B$532=$C679)*(_ENGINE_Initiatives!$C$5:$C$532=$D679),0),0)),"")</f>
        <v>3-6 months</v>
      </c>
      <c r="AX679">
        <f>IF($B679="Yes",IFERROR((IF(SUMIFS(_REF_Model_Content!$E$1:$E$613,_REF_Model_Content!$A$1:$A$613,PV_Canonical_Industry,_REF_Model_Content!$B$1:$B$613,$C679)=0,1,SUMIFS(_REF_Model_Content!$E$1:$E$613,_REF_Model_Content!$A$1:$A$613,PV_Canonical_Industry,_REF_Model_Content!$B$1:$B$613,$C679))*IFERROR($BU679,1)),1),"")</f>
        <v>1</v>
      </c>
      <c r="AY679">
        <f t="shared" si="103"/>
        <v>14.6</v>
      </c>
      <c r="AZ679">
        <f t="shared" si="104"/>
        <v>1.54</v>
      </c>
      <c r="BB679" t="str">
        <f>IF($H679="","",IFERROR(INDEX(_ENGINE_Risk!$AE$5:$AE$499,MATCH($E679,_ENGINE_Risk!$A$5:$A$499,0)),"Medium"))</f>
        <v>Fast</v>
      </c>
      <c r="BC679">
        <f t="shared" si="105"/>
        <v>1.25</v>
      </c>
      <c r="BD679">
        <f t="shared" si="106"/>
        <v>1.54</v>
      </c>
      <c r="BF679">
        <f>IF(OR($H679="",$J679=""),"",IFERROR(VLOOKUP(ROUND($J679,0),_CONFIG_Model_Settings!$D$154:$E$158,2,0),""))</f>
        <v>0.5</v>
      </c>
      <c r="BG679">
        <f>IFERROR(IF(OR($H679="",$K679=""),"",ROUND('Company Profile'!$B$113*INDEX(_CONFIG_Model_Settings!$H$154:$H$158,MATCH(ROUND($K679,0),_CONFIG_Model_Settings!$G$154:$G$158,0)),0)),0)</f>
        <v>875</v>
      </c>
      <c r="BH679">
        <f t="shared" si="107"/>
        <v>437.5</v>
      </c>
      <c r="BI679">
        <f t="shared" si="108"/>
        <v>437.5</v>
      </c>
      <c r="BJ679">
        <f>IF($E679="","",IFERROR(VLOOKUP($C679,_CONFIG_Risk_Calibration!$A$5:$H$21,2,FALSE),3))</f>
        <v>3</v>
      </c>
      <c r="BK679">
        <f>IF($E679="","",IFERROR(VLOOKUP($C679,_CONFIG_Risk_Calibration!$A$5:$H$21,3,FALSE),0))</f>
        <v>0</v>
      </c>
      <c r="BL679">
        <f>IF($E679="","",IFERROR(VLOOKUP($C679,_CONFIG_Risk_Calibration!$A$5:$H$21,4,FALSE),3))</f>
        <v>3</v>
      </c>
      <c r="BM679">
        <f>IF($E679="","",IFERROR(VLOOKUP($C679,_CONFIG_Risk_Calibration!$A$5:$H$21,5,FALSE),3))</f>
        <v>3</v>
      </c>
      <c r="BN679" t="str">
        <f>IF($E679="","",IFERROR(VLOOKUP($C679,_CONFIG_Risk_Calibration!$A$5:$H$21,6,FALSE),"No"))</f>
        <v>No</v>
      </c>
      <c r="BO679">
        <f>IF($E679="","",IFERROR(VLOOKUP($C679,_CONFIG_Risk_Calibration!$A$5:$H$21,7,FALSE),1))</f>
        <v>1</v>
      </c>
      <c r="BP679">
        <f>IF($H679="","",MAX(1,MIN(5,((6-$H679)*0.45)+($BJ679*0.2)+('Resilience &amp; Risk Scenario'!$B$7*0.15)+($BK679*0.1)+($BL679*0.05)+(IF($BB679="Fast",5,IF($BB679="Slow",1,3))*0.05))))</f>
        <v>3.7</v>
      </c>
      <c r="BQ679">
        <f t="shared" si="109"/>
        <v>3.95</v>
      </c>
      <c r="BR679">
        <f t="shared" si="110"/>
        <v>14.62</v>
      </c>
      <c r="BS679">
        <f t="shared" si="111"/>
        <v>18.28</v>
      </c>
      <c r="BT679" t="str">
        <f>IFERROR(INDEX(_REF_Capability_Bridge!$D:$D,MATCH($C679&amp;"|"&amp;$D679,_REF_Capability_Bridge!$J:$J,0)),IFERROR(INDEX(_REF_Capability_Bridge!$D:$D,MATCH($C679&amp;"|",_REF_Capability_Bridge!$J:$J,0)),"CAP_GENERIC"))</f>
        <v>CAP_BACKUP_RECOVERY</v>
      </c>
      <c r="BU679">
        <f>IFERROR(IFERROR(INDEX(_ENGINE_Relevance!$L:$L,MATCH($BT679,_ENGINE_Relevance!$B:$B,0)),1),1)</f>
        <v>1</v>
      </c>
      <c r="BV679" t="str">
        <f>IFERROR(INDEX(_REF_Capability_Bridge!$A:$A,MATCH($C679&amp;"|"&amp;$D679,_REF_Capability_Bridge!$J:$J,0)),IFERROR(INDEX(_REF_Capability_Bridge!$A:$A,MATCH($C679&amp;"|",_REF_Capability_Bridge!$J:$J,0)),"No bridge"))</f>
        <v>BRG-025</v>
      </c>
      <c r="BW679" t="str">
        <f t="shared" si="112"/>
        <v>Capability relevance neutral</v>
      </c>
      <c r="BX679" t="str">
        <f t="shared" si="113"/>
        <v>Initial / absent</v>
      </c>
      <c r="BY679" t="str">
        <f>IF($E679="","",IFERROR(INDEX(_REF_Treatment_Library!$A$2:$A$296,MATCH(1,INDEX((_REF_Treatment_Library!$B$2:$B$296=$BT679)*(_REF_Treatment_Library!$C$2:$C$296=PV_Canonical_Industry)*(_REF_Treatment_Library!$E$2:$E$296&lt;=N($H679))*(_REF_Treatment_Library!$F$2:$F$296&gt;=N($H679))*(_REF_Treatment_Library!$O$2:$O$296="Yes"),0),0)),IFERROR(INDEX(_REF_Treatment_Library!$A$2:$A$296,MATCH(1,INDEX((_REF_Treatment_Library!$B$2:$B$296=$BT679)*(_REF_Treatment_Library!$C$2:$C$296="All")*(_REF_Treatment_Library!$E$2:$E$296&lt;=N($H679))*(_REF_Treatment_Library!$F$2:$F$296&gt;=N($H679))*(_REF_Treatment_Library!$O$2:$O$296="Yes"),0),0)),"")))</f>
        <v>TRT-BACKUP_RECOVERY-INITIAL</v>
      </c>
      <c r="BZ679" t="str">
        <f>IF($BY679="","",IFERROR(INDEX(_REF_Treatment_Library!$H$2:$H$296,MATCH($BY679,_REF_Treatment_Library!$A$2:$A$296,0)),""))</f>
        <v>Establish</v>
      </c>
      <c r="CA679" t="str">
        <f>IF($BY679="","",IFERROR(INDEX(_REF_Treatment_Library!$I$2:$I$296,MATCH($BY679,_REF_Treatment_Library!$A$2:$A$296,0)),""))</f>
        <v>Establish baseline controls for Backup / recovery</v>
      </c>
      <c r="CB679" t="str">
        <f>IF($BY679="","",IFERROR(INDEX(_REF_Treatment_Library!$K$2:$K$296,MATCH($BY679,_REF_Treatment_Library!$A$2:$A$296,0)),""))</f>
        <v>Named owner, baseline process, minimum control checklist, first evidence package</v>
      </c>
      <c r="CC679" t="str">
        <f>IF($BY679="","",IFERROR(INDEX(_REF_Treatment_Library!$L$2:$L$296,MATCH($BY679,_REF_Treatment_Library!$A$2:$A$296,0)),""))</f>
        <v>Owner assigned; baseline evidence coverage; open critical gaps</v>
      </c>
      <c r="CD679" t="str">
        <f t="shared" si="114"/>
        <v>Treatment by capability=CAP_BACKUP_RECOVERY; band=Initial / absent; score=0.0; treatment=Establish</v>
      </c>
      <c r="CE679" t="str">
        <f>IF($E679="","",IFERROR(INDEX(_REF_Industry_Wording!$A$2:$A$70,MATCH(1,INDEX((_REF_Industry_Wording!$B$2:$B$70=$BT679)*(_REF_Industry_Wording!$C$2:$C$70=PV_Canonical_Industry)*(_REF_Industry_Wording!$K$2:$K$70="Yes"),0),0)),IFERROR(INDEX(_REF_Industry_Wording!$A$2:$A$70,MATCH(1,INDEX((_REF_Industry_Wording!$B$2:$B$70=$BT679)*(_REF_Industry_Wording!$C$2:$C$70="All")*(_REF_Industry_Wording!$K$2:$K$70="Yes"),0),0)),"")))</f>
        <v>IW-ALL-BACKUP_RECOVERY</v>
      </c>
      <c r="CF679" t="str">
        <f>IF($CE679="","",IFERROR(INDEX(_REF_Industry_Wording!$E$2:$E$70,MATCH($CE679,_REF_Industry_Wording!$A$2:$A$70,0)),""))</f>
        <v>Backup / recovery weakness</v>
      </c>
      <c r="CG679" t="str">
        <f>IF($CE679="","",IFERROR(INDEX(_REF_Industry_Wording!$F$2:$F$70,MATCH($CE679,_REF_Industry_Wording!$A$2:$A$70,0)),""))</f>
        <v>Strengthen Backup / recovery</v>
      </c>
      <c r="CH679" t="str">
        <f>IF($CE679="","",IFERROR(INDEX(_REF_Industry_Wording!$G$2:$G$70,MATCH($CE679,_REF_Industry_Wording!$A$2:$A$70,0)),""))</f>
        <v>Strengthen Backup / recovery using the selected maturity treatment, crisis scenario and evidence requirements.</v>
      </c>
      <c r="CI679" t="str">
        <f>IF($CE679="","",IFERROR(INDEX(_REF_Industry_Wording!$H$2:$H$70,MATCH($CE679,_REF_Industry_Wording!$A$2:$A$70,0)),""))</f>
        <v>Backup / recovery</v>
      </c>
      <c r="CJ679">
        <f>IF($CE679="","",IFERROR(INDEX(_REF_Industry_Wording!$I$2:$I$70,MATCH($CE679,_REF_Industry_Wording!$A$2:$A$70,0)),""))</f>
        <v>0</v>
      </c>
      <c r="CK679" t="str">
        <f>IF($CE679="","",IFERROR(INDEX(_REF_Industry_Wording!$J$2:$J$70,MATCH($CE679,_REF_Industry_Wording!$A$2:$A$70,0)),""))</f>
        <v>Backup / recovery</v>
      </c>
      <c r="CL679" t="str">
        <f t="shared" si="115"/>
        <v>Wording by industry=0; capability=CAP_BACKUP_RECOVERY; risk label=Backup / recovery weakness</v>
      </c>
      <c r="CM679" t="str">
        <f t="shared" si="116"/>
        <v>RISK-ONT-0180</v>
      </c>
      <c r="CN679" t="str">
        <f t="shared" si="117"/>
        <v>RISK-EVT-0180</v>
      </c>
      <c r="CO679" t="str">
        <f t="shared" si="118"/>
        <v>Delivery Ops|Capacity and continuity|DELI-009|CAP_BACKUP_RECOVERY</v>
      </c>
      <c r="CP679" t="str">
        <f t="shared" si="119"/>
        <v>Active</v>
      </c>
      <c r="CQ679" t="str">
        <f t="shared" si="120"/>
        <v>OK: capability-driven</v>
      </c>
      <c r="CR679" t="str">
        <f t="shared" si="121"/>
        <v>Risk ontology uses capability=CAP_BACKUP_RECOVERY; bridge=BRG-025; treatment=TRT-BACKUP_RECOVERY-INITIAL; wording=IW-ALL-BACKUP_RECOVERY</v>
      </c>
      <c r="CS679" t="str">
        <f t="shared" si="122"/>
        <v>Yes</v>
      </c>
    </row>
    <row r="680" spans="1:97" ht="69.900000000000006" customHeight="1">
      <c r="A680">
        <f>IF(OR($B680&lt;&gt;"Yes",$BS680=""),"",SUMPRODUCT(($B$500:$B$923="Yes")*ISNUMBER($BS$500:$BS$923)*($BS$500:$BS$923&gt;$BS680))+COUNTIFS($B$500:$B680,"Yes",$BS$500:$BS680,$BS680))</f>
        <v>131</v>
      </c>
      <c r="B680" t="str">
        <f t="shared" si="91"/>
        <v>Yes</v>
      </c>
      <c r="C680" t="s">
        <v>1859</v>
      </c>
      <c r="D680" t="s">
        <v>1870</v>
      </c>
      <c r="E680" t="s">
        <v>1912</v>
      </c>
      <c r="F680" t="s">
        <v>3686</v>
      </c>
      <c r="G680" t="str">
        <f>IF($H680="","",IFERROR(INDEX(_ENGINE_Risk!$H$5:$M$499,MATCH($E680,_ENGINE_Risk!$A$5:$A$499,0),$H680+1),""))</f>
        <v>Severe risk: cross-site or cross-team work transfer if one location or team fails is not reliably controlled. During Delivery disruption; Customer impact; Workforce disruption, the organization may face missed commitments, SLA breaches, service interruption and weak customer recovery with limited visibility or accountability.</v>
      </c>
      <c r="H680">
        <f>IFERROR(VALUE(INDEX(_DATA_Assessment_Model!$H$5:$H$884,MATCH($E680,_DATA_Assessment_Model!$A$5:$A$884,0))),"")</f>
        <v>0</v>
      </c>
      <c r="I680" t="str">
        <f>IF($H680="","",IFERROR(INDEX(_DATA_Assessment_Model!$L$5:$L$884,MATCH($E680,_DATA_Assessment_Model!$A$5:$A$884,0)),IF($H680&lt;=1,"Critical",IF($H680=2,"High",IF($H680=3,"Medium",IF($H680=4,"Low","Resilient"))))))</f>
        <v>Critical</v>
      </c>
      <c r="J680">
        <f t="shared" si="92"/>
        <v>3.7</v>
      </c>
      <c r="K680">
        <f t="shared" si="93"/>
        <v>4.3500000000000005</v>
      </c>
      <c r="L680">
        <f t="shared" si="94"/>
        <v>16.095000000000002</v>
      </c>
      <c r="M680">
        <f t="shared" si="95"/>
        <v>4</v>
      </c>
      <c r="N680">
        <f>IF($H680="","",IFERROR(INDEX(_ENGINE_Risk!$T$5:$Y$499,MATCH($E680,_ENGINE_Risk!$A$5:$A$499,0),$H680+1),""))</f>
        <v>3</v>
      </c>
      <c r="O680">
        <f t="shared" si="96"/>
        <v>4.666666666666667</v>
      </c>
      <c r="P680">
        <f t="shared" si="97"/>
        <v>5</v>
      </c>
      <c r="Q680">
        <f t="shared" si="98"/>
        <v>5</v>
      </c>
      <c r="R680">
        <f t="shared" si="99"/>
        <v>4.5</v>
      </c>
      <c r="S680">
        <f t="shared" si="100"/>
        <v>1.6</v>
      </c>
      <c r="T680" t="str">
        <f>IF($H680="","",IFERROR(INDEX(_ENGINE_Risk!$N$5:$S$499,MATCH($E680,_ENGINE_Risk!$A$5:$A$499,0),$H680+1),""))</f>
        <v>Create an immediate risk owner, minimum control baseline and fallback procedure for cross-site or cross-team work transfer if one location or team fails. Add it to the crisis risk register and collect first evidence.</v>
      </c>
      <c r="U680">
        <f>IFERROR(INDEX(_DATA_Assessment_Model!$G$5:$G$884,MATCH($E680,_DATA_Assessment_Model!$A$5:$A$884,0)),"")</f>
        <v>5</v>
      </c>
      <c r="V680">
        <f>IFERROR(INDEX(_DATA_Assessment_Model!$W$5:$W$884,MATCH($E680,_DATA_Assessment_Model!$A$5:$A$884,0)),"")</f>
        <v>4</v>
      </c>
      <c r="W680">
        <f>IFERROR(INDEX(_DATA_Assessment_Model!$X$5:$X$884,MATCH($E680,_DATA_Assessment_Model!$A$5:$A$884,0)),"")</f>
        <v>5</v>
      </c>
      <c r="X680">
        <f>IFERROR(INDEX(_DATA_Assessment_Model!$Y$5:$Y$884,MATCH($E680,_DATA_Assessment_Model!$A$5:$A$884,0)),"")</f>
        <v>5</v>
      </c>
      <c r="Y680" t="s">
        <v>1866</v>
      </c>
      <c r="Z680" t="s">
        <v>7028</v>
      </c>
      <c r="AA680" t="s">
        <v>1914</v>
      </c>
      <c r="AB680">
        <f>IFERROR(INDEX(_DATA_Assessment_Model!$U$5:$U$884,MATCH($E680,_DATA_Assessment_Model!$A$5:$A$884,0)),"")</f>
        <v>0</v>
      </c>
      <c r="AF680" t="s">
        <v>1913</v>
      </c>
      <c r="AO680">
        <f>IF($B680="Yes",IF(IFERROR(INDEX(_ENGINE_Crisis!$F$501:$F$517,MATCH($C680,_ENGINE_Crisis!$A$501:$A$517,0)),1)=0,1,IFERROR(INDEX(_ENGINE_Crisis!$F$501:$F$517,MATCH($C680,_ENGINE_Crisis!$A$501:$A$517,0)),1)),"")</f>
        <v>1</v>
      </c>
      <c r="AP680">
        <f t="shared" si="101"/>
        <v>16.100000000000001</v>
      </c>
      <c r="AQ680">
        <f t="shared" si="102"/>
        <v>1.6</v>
      </c>
      <c r="AR680" t="str">
        <f>IFERROR(INDEX(_ENGINE_Crisis!$E$41:$E$700,MATCH('Resilience &amp; Risk Scenario'!$B$6&amp;"|"&amp;$C680,_ENGINE_Crisis!$I$41:$I$700,0)),"")</f>
        <v/>
      </c>
      <c r="AS680" t="str">
        <f>IFERROR(INDEX(_ENGINE_Crisis!$G$41:$G$700,MATCH('Resilience &amp; Risk Scenario'!$B$6&amp;"|"&amp;$C680,_ENGINE_Crisis!$I$41:$I$700,0)),"")</f>
        <v/>
      </c>
      <c r="AT680" t="str">
        <f>IFERROR(INDEX(_ENGINE_Initiatives!$A$5:$A$532,MATCH(1,INDEX((_ENGINE_Initiatives!$B$5:$B$532=$C680)*(_ENGINE_Initiatives!$C$5:$C$532=$D680),0),0)),"")</f>
        <v>INI-029</v>
      </c>
      <c r="AU680" t="str">
        <f>IFERROR(INDEX(_ENGINE_Initiatives!$F$5:$F$532,MATCH(1,INDEX((_ENGINE_Initiatives!$B$5:$B$532=$C680)*(_ENGINE_Initiatives!$C$5:$C$532=$D680),0),0)),"")</f>
        <v>Build capacity resilience and delivery continuity model</v>
      </c>
      <c r="AV680">
        <f>IFERROR(INDEX(_ENGINE_Initiatives!$AC$5:$AC$532,MATCH(1,INDEX((_ENGINE_Initiatives!$B$5:$B$532=$C680)*(_ENGINE_Initiatives!$C$5:$C$532=$D680),0),0)),"")</f>
        <v>1.79</v>
      </c>
      <c r="AW680" t="str">
        <f>IFERROR(INDEX(_ENGINE_Initiatives!$AE$5:$AE$532,MATCH(1,INDEX((_ENGINE_Initiatives!$B$5:$B$532=$C680)*(_ENGINE_Initiatives!$C$5:$C$532=$D680),0),0)),"")</f>
        <v>3-6 months</v>
      </c>
      <c r="AX680">
        <f>IF($B680="Yes",IFERROR((IF(SUMIFS(_REF_Model_Content!$E$1:$E$613,_REF_Model_Content!$A$1:$A$613,PV_Canonical_Industry,_REF_Model_Content!$B$1:$B$613,$C680)=0,1,SUMIFS(_REF_Model_Content!$E$1:$E$613,_REF_Model_Content!$A$1:$A$613,PV_Canonical_Industry,_REF_Model_Content!$B$1:$B$613,$C680))*IFERROR($BU680,1)),1),"")</f>
        <v>1</v>
      </c>
      <c r="AY680">
        <f t="shared" si="103"/>
        <v>16.100000000000001</v>
      </c>
      <c r="AZ680">
        <f t="shared" si="104"/>
        <v>1.6</v>
      </c>
      <c r="BB680" t="str">
        <f>IF($H680="","",IFERROR(INDEX(_ENGINE_Risk!$AE$5:$AE$499,MATCH($E680,_ENGINE_Risk!$A$5:$A$499,0)),"Medium"))</f>
        <v>Fast</v>
      </c>
      <c r="BC680">
        <f t="shared" si="105"/>
        <v>1.25</v>
      </c>
      <c r="BD680">
        <f t="shared" si="106"/>
        <v>1.6</v>
      </c>
      <c r="BF680">
        <f>IF(OR($H680="",$J680=""),"",IFERROR(VLOOKUP(ROUND($J680,0),_CONFIG_Model_Settings!$D$154:$E$158,2,0),""))</f>
        <v>0.5</v>
      </c>
      <c r="BG680">
        <f>IFERROR(IF(OR($H680="",$K680=""),"",ROUND('Company Profile'!$B$113*INDEX(_CONFIG_Model_Settings!$H$154:$H$158,MATCH(ROUND($K680,0),_CONFIG_Model_Settings!$G$154:$G$158,0)),0)),0)</f>
        <v>875</v>
      </c>
      <c r="BH680">
        <f t="shared" si="107"/>
        <v>437.5</v>
      </c>
      <c r="BI680">
        <f t="shared" si="108"/>
        <v>437.5</v>
      </c>
      <c r="BJ680">
        <f>IF($E680="","",IFERROR(VLOOKUP($C680,_CONFIG_Risk_Calibration!$A$5:$H$21,2,FALSE),3))</f>
        <v>3</v>
      </c>
      <c r="BK680">
        <f>IF($E680="","",IFERROR(VLOOKUP($C680,_CONFIG_Risk_Calibration!$A$5:$H$21,3,FALSE),0))</f>
        <v>0</v>
      </c>
      <c r="BL680">
        <f>IF($E680="","",IFERROR(VLOOKUP($C680,_CONFIG_Risk_Calibration!$A$5:$H$21,4,FALSE),3))</f>
        <v>3</v>
      </c>
      <c r="BM680">
        <f>IF($E680="","",IFERROR(VLOOKUP($C680,_CONFIG_Risk_Calibration!$A$5:$H$21,5,FALSE),3))</f>
        <v>3</v>
      </c>
      <c r="BN680" t="str">
        <f>IF($E680="","",IFERROR(VLOOKUP($C680,_CONFIG_Risk_Calibration!$A$5:$H$21,6,FALSE),"No"))</f>
        <v>No</v>
      </c>
      <c r="BO680">
        <f>IF($E680="","",IFERROR(VLOOKUP($C680,_CONFIG_Risk_Calibration!$A$5:$H$21,7,FALSE),1))</f>
        <v>1</v>
      </c>
      <c r="BP680">
        <f>IF($H680="","",MAX(1,MIN(5,((6-$H680)*0.45)+($BJ680*0.2)+('Resilience &amp; Risk Scenario'!$B$7*0.15)+($BK680*0.1)+($BL680*0.05)+(IF($BB680="Fast",5,IF($BB680="Slow",1,3))*0.05))))</f>
        <v>3.7</v>
      </c>
      <c r="BQ680">
        <f t="shared" si="109"/>
        <v>4.3500000000000005</v>
      </c>
      <c r="BR680">
        <f t="shared" si="110"/>
        <v>16.100000000000001</v>
      </c>
      <c r="BS680">
        <f t="shared" si="111"/>
        <v>20.13</v>
      </c>
      <c r="BT680" t="str">
        <f>IFERROR(INDEX(_REF_Capability_Bridge!$D:$D,MATCH($C680&amp;"|"&amp;$D680,_REF_Capability_Bridge!$J:$J,0)),IFERROR(INDEX(_REF_Capability_Bridge!$D:$D,MATCH($C680&amp;"|",_REF_Capability_Bridge!$J:$J,0)),"CAP_GENERIC"))</f>
        <v>CAP_BACKUP_RECOVERY</v>
      </c>
      <c r="BU680">
        <f>IFERROR(IFERROR(INDEX(_ENGINE_Relevance!$L:$L,MATCH($BT680,_ENGINE_Relevance!$B:$B,0)),1),1)</f>
        <v>1</v>
      </c>
      <c r="BV680" t="str">
        <f>IFERROR(INDEX(_REF_Capability_Bridge!$A:$A,MATCH($C680&amp;"|"&amp;$D680,_REF_Capability_Bridge!$J:$J,0)),IFERROR(INDEX(_REF_Capability_Bridge!$A:$A,MATCH($C680&amp;"|",_REF_Capability_Bridge!$J:$J,0)),"No bridge"))</f>
        <v>BRG-025</v>
      </c>
      <c r="BW680" t="str">
        <f t="shared" si="112"/>
        <v>Capability relevance neutral</v>
      </c>
      <c r="BX680" t="str">
        <f t="shared" si="113"/>
        <v>Initial / absent</v>
      </c>
      <c r="BY680" t="str">
        <f>IF($E680="","",IFERROR(INDEX(_REF_Treatment_Library!$A$2:$A$296,MATCH(1,INDEX((_REF_Treatment_Library!$B$2:$B$296=$BT680)*(_REF_Treatment_Library!$C$2:$C$296=PV_Canonical_Industry)*(_REF_Treatment_Library!$E$2:$E$296&lt;=N($H680))*(_REF_Treatment_Library!$F$2:$F$296&gt;=N($H680))*(_REF_Treatment_Library!$O$2:$O$296="Yes"),0),0)),IFERROR(INDEX(_REF_Treatment_Library!$A$2:$A$296,MATCH(1,INDEX((_REF_Treatment_Library!$B$2:$B$296=$BT680)*(_REF_Treatment_Library!$C$2:$C$296="All")*(_REF_Treatment_Library!$E$2:$E$296&lt;=N($H680))*(_REF_Treatment_Library!$F$2:$F$296&gt;=N($H680))*(_REF_Treatment_Library!$O$2:$O$296="Yes"),0),0)),"")))</f>
        <v>TRT-BACKUP_RECOVERY-INITIAL</v>
      </c>
      <c r="BZ680" t="str">
        <f>IF($BY680="","",IFERROR(INDEX(_REF_Treatment_Library!$H$2:$H$296,MATCH($BY680,_REF_Treatment_Library!$A$2:$A$296,0)),""))</f>
        <v>Establish</v>
      </c>
      <c r="CA680" t="str">
        <f>IF($BY680="","",IFERROR(INDEX(_REF_Treatment_Library!$I$2:$I$296,MATCH($BY680,_REF_Treatment_Library!$A$2:$A$296,0)),""))</f>
        <v>Establish baseline controls for Backup / recovery</v>
      </c>
      <c r="CB680" t="str">
        <f>IF($BY680="","",IFERROR(INDEX(_REF_Treatment_Library!$K$2:$K$296,MATCH($BY680,_REF_Treatment_Library!$A$2:$A$296,0)),""))</f>
        <v>Named owner, baseline process, minimum control checklist, first evidence package</v>
      </c>
      <c r="CC680" t="str">
        <f>IF($BY680="","",IFERROR(INDEX(_REF_Treatment_Library!$L$2:$L$296,MATCH($BY680,_REF_Treatment_Library!$A$2:$A$296,0)),""))</f>
        <v>Owner assigned; baseline evidence coverage; open critical gaps</v>
      </c>
      <c r="CD680" t="str">
        <f t="shared" si="114"/>
        <v>Treatment by capability=CAP_BACKUP_RECOVERY; band=Initial / absent; score=0.0; treatment=Establish</v>
      </c>
      <c r="CE680" t="str">
        <f>IF($E680="","",IFERROR(INDEX(_REF_Industry_Wording!$A$2:$A$70,MATCH(1,INDEX((_REF_Industry_Wording!$B$2:$B$70=$BT680)*(_REF_Industry_Wording!$C$2:$C$70=PV_Canonical_Industry)*(_REF_Industry_Wording!$K$2:$K$70="Yes"),0),0)),IFERROR(INDEX(_REF_Industry_Wording!$A$2:$A$70,MATCH(1,INDEX((_REF_Industry_Wording!$B$2:$B$70=$BT680)*(_REF_Industry_Wording!$C$2:$C$70="All")*(_REF_Industry_Wording!$K$2:$K$70="Yes"),0),0)),"")))</f>
        <v>IW-ALL-BACKUP_RECOVERY</v>
      </c>
      <c r="CF680" t="str">
        <f>IF($CE680="","",IFERROR(INDEX(_REF_Industry_Wording!$E$2:$E$70,MATCH($CE680,_REF_Industry_Wording!$A$2:$A$70,0)),""))</f>
        <v>Backup / recovery weakness</v>
      </c>
      <c r="CG680" t="str">
        <f>IF($CE680="","",IFERROR(INDEX(_REF_Industry_Wording!$F$2:$F$70,MATCH($CE680,_REF_Industry_Wording!$A$2:$A$70,0)),""))</f>
        <v>Strengthen Backup / recovery</v>
      </c>
      <c r="CH680" t="str">
        <f>IF($CE680="","",IFERROR(INDEX(_REF_Industry_Wording!$G$2:$G$70,MATCH($CE680,_REF_Industry_Wording!$A$2:$A$70,0)),""))</f>
        <v>Strengthen Backup / recovery using the selected maturity treatment, crisis scenario and evidence requirements.</v>
      </c>
      <c r="CI680" t="str">
        <f>IF($CE680="","",IFERROR(INDEX(_REF_Industry_Wording!$H$2:$H$70,MATCH($CE680,_REF_Industry_Wording!$A$2:$A$70,0)),""))</f>
        <v>Backup / recovery</v>
      </c>
      <c r="CJ680">
        <f>IF($CE680="","",IFERROR(INDEX(_REF_Industry_Wording!$I$2:$I$70,MATCH($CE680,_REF_Industry_Wording!$A$2:$A$70,0)),""))</f>
        <v>0</v>
      </c>
      <c r="CK680" t="str">
        <f>IF($CE680="","",IFERROR(INDEX(_REF_Industry_Wording!$J$2:$J$70,MATCH($CE680,_REF_Industry_Wording!$A$2:$A$70,0)),""))</f>
        <v>Backup / recovery</v>
      </c>
      <c r="CL680" t="str">
        <f t="shared" si="115"/>
        <v>Wording by industry=0; capability=CAP_BACKUP_RECOVERY; risk label=Backup / recovery weakness</v>
      </c>
      <c r="CM680" t="str">
        <f t="shared" si="116"/>
        <v>RISK-ONT-0181</v>
      </c>
      <c r="CN680" t="str">
        <f t="shared" si="117"/>
        <v>RISK-EVT-0181</v>
      </c>
      <c r="CO680" t="str">
        <f t="shared" si="118"/>
        <v>Delivery Ops|Capacity and continuity|DELI-010|CAP_BACKUP_RECOVERY</v>
      </c>
      <c r="CP680" t="str">
        <f t="shared" si="119"/>
        <v>Active</v>
      </c>
      <c r="CQ680" t="str">
        <f t="shared" si="120"/>
        <v>OK: capability-driven</v>
      </c>
      <c r="CR680" t="str">
        <f t="shared" si="121"/>
        <v>Risk ontology uses capability=CAP_BACKUP_RECOVERY; bridge=BRG-025; treatment=TRT-BACKUP_RECOVERY-INITIAL; wording=IW-ALL-BACKUP_RECOVERY</v>
      </c>
      <c r="CS680" t="str">
        <f t="shared" si="122"/>
        <v>Yes</v>
      </c>
    </row>
    <row r="681" spans="1:97" ht="69.900000000000006" customHeight="1">
      <c r="A681">
        <f>IF(OR($B681&lt;&gt;"Yes",$BS681=""),"",SUMPRODUCT(($B$500:$B$923="Yes")*ISNUMBER($BS$500:$BS$923)*($BS$500:$BS$923&gt;$BS681))+COUNTIFS($B$500:$B681,"Yes",$BS$500:$BS681,$BS681))</f>
        <v>132</v>
      </c>
      <c r="B681" t="str">
        <f t="shared" si="91"/>
        <v>Yes</v>
      </c>
      <c r="C681" t="s">
        <v>1859</v>
      </c>
      <c r="D681" t="s">
        <v>1870</v>
      </c>
      <c r="E681" t="s">
        <v>1915</v>
      </c>
      <c r="F681" t="s">
        <v>3686</v>
      </c>
      <c r="G681" t="str">
        <f>IF($H681="","",IFERROR(INDEX(_ENGINE_Risk!$H$5:$M$499,MATCH($E681,_ENGINE_Risk!$A$5:$A$499,0),$H681+1),""))</f>
        <v>Severe risk: recovery sequencing for processes, systems, teams, sites and customers is not reliably controlled. During Delivery disruption; Customer impact; Workforce disruption, the organization may face missed commitments, SLA breaches, service interruption and weak customer recovery with limited visibility or accountability.</v>
      </c>
      <c r="H681">
        <f>IFERROR(VALUE(INDEX(_DATA_Assessment_Model!$H$5:$H$884,MATCH($E681,_DATA_Assessment_Model!$A$5:$A$884,0))),"")</f>
        <v>0</v>
      </c>
      <c r="I681" t="str">
        <f>IF($H681="","",IFERROR(INDEX(_DATA_Assessment_Model!$L$5:$L$884,MATCH($E681,_DATA_Assessment_Model!$A$5:$A$884,0)),IF($H681&lt;=1,"Critical",IF($H681=2,"High",IF($H681=3,"Medium",IF($H681=4,"Low","Resilient"))))))</f>
        <v>Critical</v>
      </c>
      <c r="J681">
        <f t="shared" si="92"/>
        <v>3.7</v>
      </c>
      <c r="K681">
        <f t="shared" si="93"/>
        <v>4.3500000000000005</v>
      </c>
      <c r="L681">
        <f t="shared" si="94"/>
        <v>16.095000000000002</v>
      </c>
      <c r="M681">
        <f t="shared" si="95"/>
        <v>4</v>
      </c>
      <c r="N681">
        <f>IF($H681="","",IFERROR(INDEX(_ENGINE_Risk!$T$5:$Y$499,MATCH($E681,_ENGINE_Risk!$A$5:$A$499,0),$H681+1),""))</f>
        <v>3</v>
      </c>
      <c r="O681">
        <f t="shared" si="96"/>
        <v>4.666666666666667</v>
      </c>
      <c r="P681">
        <f t="shared" si="97"/>
        <v>5</v>
      </c>
      <c r="Q681">
        <f t="shared" si="98"/>
        <v>5</v>
      </c>
      <c r="R681">
        <f t="shared" si="99"/>
        <v>4.5</v>
      </c>
      <c r="S681">
        <f t="shared" si="100"/>
        <v>1.6</v>
      </c>
      <c r="T681" t="str">
        <f>IF($H681="","",IFERROR(INDEX(_ENGINE_Risk!$N$5:$S$499,MATCH($E681,_ENGINE_Risk!$A$5:$A$499,0),$H681+1),""))</f>
        <v>Create an immediate risk owner, minimum control baseline and fallback procedure for recovery sequencing for processes, systems, teams, sites and customers. Add it to the crisis risk register and collect first evidence.</v>
      </c>
      <c r="U681">
        <f>IFERROR(INDEX(_DATA_Assessment_Model!$G$5:$G$884,MATCH($E681,_DATA_Assessment_Model!$A$5:$A$884,0)),"")</f>
        <v>5</v>
      </c>
      <c r="V681">
        <f>IFERROR(INDEX(_DATA_Assessment_Model!$W$5:$W$884,MATCH($E681,_DATA_Assessment_Model!$A$5:$A$884,0)),"")</f>
        <v>4</v>
      </c>
      <c r="W681">
        <f>IFERROR(INDEX(_DATA_Assessment_Model!$X$5:$X$884,MATCH($E681,_DATA_Assessment_Model!$A$5:$A$884,0)),"")</f>
        <v>5</v>
      </c>
      <c r="X681">
        <f>IFERROR(INDEX(_DATA_Assessment_Model!$Y$5:$Y$884,MATCH($E681,_DATA_Assessment_Model!$A$5:$A$884,0)),"")</f>
        <v>5</v>
      </c>
      <c r="Y681" t="s">
        <v>1866</v>
      </c>
      <c r="Z681" t="s">
        <v>7028</v>
      </c>
      <c r="AA681" t="s">
        <v>1917</v>
      </c>
      <c r="AB681">
        <f>IFERROR(INDEX(_DATA_Assessment_Model!$U$5:$U$884,MATCH($E681,_DATA_Assessment_Model!$A$5:$A$884,0)),"")</f>
        <v>0</v>
      </c>
      <c r="AF681" t="s">
        <v>1916</v>
      </c>
      <c r="AO681">
        <f>IF($B681="Yes",IF(IFERROR(INDEX(_ENGINE_Crisis!$F$501:$F$517,MATCH($C681,_ENGINE_Crisis!$A$501:$A$517,0)),1)=0,1,IFERROR(INDEX(_ENGINE_Crisis!$F$501:$F$517,MATCH($C681,_ENGINE_Crisis!$A$501:$A$517,0)),1)),"")</f>
        <v>1</v>
      </c>
      <c r="AP681">
        <f t="shared" si="101"/>
        <v>16.100000000000001</v>
      </c>
      <c r="AQ681">
        <f t="shared" si="102"/>
        <v>1.6</v>
      </c>
      <c r="AR681" t="str">
        <f>IFERROR(INDEX(_ENGINE_Crisis!$E$41:$E$700,MATCH('Resilience &amp; Risk Scenario'!$B$6&amp;"|"&amp;$C681,_ENGINE_Crisis!$I$41:$I$700,0)),"")</f>
        <v/>
      </c>
      <c r="AS681" t="str">
        <f>IFERROR(INDEX(_ENGINE_Crisis!$G$41:$G$700,MATCH('Resilience &amp; Risk Scenario'!$B$6&amp;"|"&amp;$C681,_ENGINE_Crisis!$I$41:$I$700,0)),"")</f>
        <v/>
      </c>
      <c r="AT681" t="str">
        <f>IFERROR(INDEX(_ENGINE_Initiatives!$A$5:$A$532,MATCH(1,INDEX((_ENGINE_Initiatives!$B$5:$B$532=$C681)*(_ENGINE_Initiatives!$C$5:$C$532=$D681),0),0)),"")</f>
        <v>INI-029</v>
      </c>
      <c r="AU681" t="str">
        <f>IFERROR(INDEX(_ENGINE_Initiatives!$F$5:$F$532,MATCH(1,INDEX((_ENGINE_Initiatives!$B$5:$B$532=$C681)*(_ENGINE_Initiatives!$C$5:$C$532=$D681),0),0)),"")</f>
        <v>Build capacity resilience and delivery continuity model</v>
      </c>
      <c r="AV681">
        <f>IFERROR(INDEX(_ENGINE_Initiatives!$AC$5:$AC$532,MATCH(1,INDEX((_ENGINE_Initiatives!$B$5:$B$532=$C681)*(_ENGINE_Initiatives!$C$5:$C$532=$D681),0),0)),"")</f>
        <v>1.79</v>
      </c>
      <c r="AW681" t="str">
        <f>IFERROR(INDEX(_ENGINE_Initiatives!$AE$5:$AE$532,MATCH(1,INDEX((_ENGINE_Initiatives!$B$5:$B$532=$C681)*(_ENGINE_Initiatives!$C$5:$C$532=$D681),0),0)),"")</f>
        <v>3-6 months</v>
      </c>
      <c r="AX681">
        <f>IF($B681="Yes",IFERROR((IF(SUMIFS(_REF_Model_Content!$E$1:$E$613,_REF_Model_Content!$A$1:$A$613,PV_Canonical_Industry,_REF_Model_Content!$B$1:$B$613,$C681)=0,1,SUMIFS(_REF_Model_Content!$E$1:$E$613,_REF_Model_Content!$A$1:$A$613,PV_Canonical_Industry,_REF_Model_Content!$B$1:$B$613,$C681))*IFERROR($BU681,1)),1),"")</f>
        <v>1</v>
      </c>
      <c r="AY681">
        <f t="shared" si="103"/>
        <v>16.100000000000001</v>
      </c>
      <c r="AZ681">
        <f t="shared" si="104"/>
        <v>1.6</v>
      </c>
      <c r="BB681" t="str">
        <f>IF($H681="","",IFERROR(INDEX(_ENGINE_Risk!$AE$5:$AE$499,MATCH($E681,_ENGINE_Risk!$A$5:$A$499,0)),"Medium"))</f>
        <v>Fast</v>
      </c>
      <c r="BC681">
        <f t="shared" si="105"/>
        <v>1.25</v>
      </c>
      <c r="BD681">
        <f t="shared" si="106"/>
        <v>1.6</v>
      </c>
      <c r="BF681">
        <f>IF(OR($H681="",$J681=""),"",IFERROR(VLOOKUP(ROUND($J681,0),_CONFIG_Model_Settings!$D$154:$E$158,2,0),""))</f>
        <v>0.5</v>
      </c>
      <c r="BG681">
        <f>IFERROR(IF(OR($H681="",$K681=""),"",ROUND('Company Profile'!$B$113*INDEX(_CONFIG_Model_Settings!$H$154:$H$158,MATCH(ROUND($K681,0),_CONFIG_Model_Settings!$G$154:$G$158,0)),0)),0)</f>
        <v>875</v>
      </c>
      <c r="BH681">
        <f t="shared" si="107"/>
        <v>437.5</v>
      </c>
      <c r="BI681">
        <f t="shared" si="108"/>
        <v>437.5</v>
      </c>
      <c r="BJ681">
        <f>IF($E681="","",IFERROR(VLOOKUP($C681,_CONFIG_Risk_Calibration!$A$5:$H$21,2,FALSE),3))</f>
        <v>3</v>
      </c>
      <c r="BK681">
        <f>IF($E681="","",IFERROR(VLOOKUP($C681,_CONFIG_Risk_Calibration!$A$5:$H$21,3,FALSE),0))</f>
        <v>0</v>
      </c>
      <c r="BL681">
        <f>IF($E681="","",IFERROR(VLOOKUP($C681,_CONFIG_Risk_Calibration!$A$5:$H$21,4,FALSE),3))</f>
        <v>3</v>
      </c>
      <c r="BM681">
        <f>IF($E681="","",IFERROR(VLOOKUP($C681,_CONFIG_Risk_Calibration!$A$5:$H$21,5,FALSE),3))</f>
        <v>3</v>
      </c>
      <c r="BN681" t="str">
        <f>IF($E681="","",IFERROR(VLOOKUP($C681,_CONFIG_Risk_Calibration!$A$5:$H$21,6,FALSE),"No"))</f>
        <v>No</v>
      </c>
      <c r="BO681">
        <f>IF($E681="","",IFERROR(VLOOKUP($C681,_CONFIG_Risk_Calibration!$A$5:$H$21,7,FALSE),1))</f>
        <v>1</v>
      </c>
      <c r="BP681">
        <f>IF($H681="","",MAX(1,MIN(5,((6-$H681)*0.45)+($BJ681*0.2)+('Resilience &amp; Risk Scenario'!$B$7*0.15)+($BK681*0.1)+($BL681*0.05)+(IF($BB681="Fast",5,IF($BB681="Slow",1,3))*0.05))))</f>
        <v>3.7</v>
      </c>
      <c r="BQ681">
        <f t="shared" si="109"/>
        <v>4.3500000000000005</v>
      </c>
      <c r="BR681">
        <f t="shared" si="110"/>
        <v>16.100000000000001</v>
      </c>
      <c r="BS681">
        <f t="shared" si="111"/>
        <v>20.13</v>
      </c>
      <c r="BT681" t="str">
        <f>IFERROR(INDEX(_REF_Capability_Bridge!$D:$D,MATCH($C681&amp;"|"&amp;$D681,_REF_Capability_Bridge!$J:$J,0)),IFERROR(INDEX(_REF_Capability_Bridge!$D:$D,MATCH($C681&amp;"|",_REF_Capability_Bridge!$J:$J,0)),"CAP_GENERIC"))</f>
        <v>CAP_BACKUP_RECOVERY</v>
      </c>
      <c r="BU681">
        <f>IFERROR(IFERROR(INDEX(_ENGINE_Relevance!$L:$L,MATCH($BT681,_ENGINE_Relevance!$B:$B,0)),1),1)</f>
        <v>1</v>
      </c>
      <c r="BV681" t="str">
        <f>IFERROR(INDEX(_REF_Capability_Bridge!$A:$A,MATCH($C681&amp;"|"&amp;$D681,_REF_Capability_Bridge!$J:$J,0)),IFERROR(INDEX(_REF_Capability_Bridge!$A:$A,MATCH($C681&amp;"|",_REF_Capability_Bridge!$J:$J,0)),"No bridge"))</f>
        <v>BRG-025</v>
      </c>
      <c r="BW681" t="str">
        <f t="shared" si="112"/>
        <v>Capability relevance neutral</v>
      </c>
      <c r="BX681" t="str">
        <f t="shared" si="113"/>
        <v>Initial / absent</v>
      </c>
      <c r="BY681" t="str">
        <f>IF($E681="","",IFERROR(INDEX(_REF_Treatment_Library!$A$2:$A$296,MATCH(1,INDEX((_REF_Treatment_Library!$B$2:$B$296=$BT681)*(_REF_Treatment_Library!$C$2:$C$296=PV_Canonical_Industry)*(_REF_Treatment_Library!$E$2:$E$296&lt;=N($H681))*(_REF_Treatment_Library!$F$2:$F$296&gt;=N($H681))*(_REF_Treatment_Library!$O$2:$O$296="Yes"),0),0)),IFERROR(INDEX(_REF_Treatment_Library!$A$2:$A$296,MATCH(1,INDEX((_REF_Treatment_Library!$B$2:$B$296=$BT681)*(_REF_Treatment_Library!$C$2:$C$296="All")*(_REF_Treatment_Library!$E$2:$E$296&lt;=N($H681))*(_REF_Treatment_Library!$F$2:$F$296&gt;=N($H681))*(_REF_Treatment_Library!$O$2:$O$296="Yes"),0),0)),"")))</f>
        <v>TRT-BACKUP_RECOVERY-INITIAL</v>
      </c>
      <c r="BZ681" t="str">
        <f>IF($BY681="","",IFERROR(INDEX(_REF_Treatment_Library!$H$2:$H$296,MATCH($BY681,_REF_Treatment_Library!$A$2:$A$296,0)),""))</f>
        <v>Establish</v>
      </c>
      <c r="CA681" t="str">
        <f>IF($BY681="","",IFERROR(INDEX(_REF_Treatment_Library!$I$2:$I$296,MATCH($BY681,_REF_Treatment_Library!$A$2:$A$296,0)),""))</f>
        <v>Establish baseline controls for Backup / recovery</v>
      </c>
      <c r="CB681" t="str">
        <f>IF($BY681="","",IFERROR(INDEX(_REF_Treatment_Library!$K$2:$K$296,MATCH($BY681,_REF_Treatment_Library!$A$2:$A$296,0)),""))</f>
        <v>Named owner, baseline process, minimum control checklist, first evidence package</v>
      </c>
      <c r="CC681" t="str">
        <f>IF($BY681="","",IFERROR(INDEX(_REF_Treatment_Library!$L$2:$L$296,MATCH($BY681,_REF_Treatment_Library!$A$2:$A$296,0)),""))</f>
        <v>Owner assigned; baseline evidence coverage; open critical gaps</v>
      </c>
      <c r="CD681" t="str">
        <f t="shared" si="114"/>
        <v>Treatment by capability=CAP_BACKUP_RECOVERY; band=Initial / absent; score=0.0; treatment=Establish</v>
      </c>
      <c r="CE681" t="str">
        <f>IF($E681="","",IFERROR(INDEX(_REF_Industry_Wording!$A$2:$A$70,MATCH(1,INDEX((_REF_Industry_Wording!$B$2:$B$70=$BT681)*(_REF_Industry_Wording!$C$2:$C$70=PV_Canonical_Industry)*(_REF_Industry_Wording!$K$2:$K$70="Yes"),0),0)),IFERROR(INDEX(_REF_Industry_Wording!$A$2:$A$70,MATCH(1,INDEX((_REF_Industry_Wording!$B$2:$B$70=$BT681)*(_REF_Industry_Wording!$C$2:$C$70="All")*(_REF_Industry_Wording!$K$2:$K$70="Yes"),0),0)),"")))</f>
        <v>IW-ALL-BACKUP_RECOVERY</v>
      </c>
      <c r="CF681" t="str">
        <f>IF($CE681="","",IFERROR(INDEX(_REF_Industry_Wording!$E$2:$E$70,MATCH($CE681,_REF_Industry_Wording!$A$2:$A$70,0)),""))</f>
        <v>Backup / recovery weakness</v>
      </c>
      <c r="CG681" t="str">
        <f>IF($CE681="","",IFERROR(INDEX(_REF_Industry_Wording!$F$2:$F$70,MATCH($CE681,_REF_Industry_Wording!$A$2:$A$70,0)),""))</f>
        <v>Strengthen Backup / recovery</v>
      </c>
      <c r="CH681" t="str">
        <f>IF($CE681="","",IFERROR(INDEX(_REF_Industry_Wording!$G$2:$G$70,MATCH($CE681,_REF_Industry_Wording!$A$2:$A$70,0)),""))</f>
        <v>Strengthen Backup / recovery using the selected maturity treatment, crisis scenario and evidence requirements.</v>
      </c>
      <c r="CI681" t="str">
        <f>IF($CE681="","",IFERROR(INDEX(_REF_Industry_Wording!$H$2:$H$70,MATCH($CE681,_REF_Industry_Wording!$A$2:$A$70,0)),""))</f>
        <v>Backup / recovery</v>
      </c>
      <c r="CJ681">
        <f>IF($CE681="","",IFERROR(INDEX(_REF_Industry_Wording!$I$2:$I$70,MATCH($CE681,_REF_Industry_Wording!$A$2:$A$70,0)),""))</f>
        <v>0</v>
      </c>
      <c r="CK681" t="str">
        <f>IF($CE681="","",IFERROR(INDEX(_REF_Industry_Wording!$J$2:$J$70,MATCH($CE681,_REF_Industry_Wording!$A$2:$A$70,0)),""))</f>
        <v>Backup / recovery</v>
      </c>
      <c r="CL681" t="str">
        <f t="shared" si="115"/>
        <v>Wording by industry=0; capability=CAP_BACKUP_RECOVERY; risk label=Backup / recovery weakness</v>
      </c>
      <c r="CM681" t="str">
        <f t="shared" si="116"/>
        <v>RISK-ONT-0182</v>
      </c>
      <c r="CN681" t="str">
        <f t="shared" si="117"/>
        <v>RISK-EVT-0182</v>
      </c>
      <c r="CO681" t="str">
        <f t="shared" si="118"/>
        <v>Delivery Ops|Capacity and continuity|DELI-011|CAP_BACKUP_RECOVERY</v>
      </c>
      <c r="CP681" t="str">
        <f t="shared" si="119"/>
        <v>Active</v>
      </c>
      <c r="CQ681" t="str">
        <f t="shared" si="120"/>
        <v>OK: capability-driven</v>
      </c>
      <c r="CR681" t="str">
        <f t="shared" si="121"/>
        <v>Risk ontology uses capability=CAP_BACKUP_RECOVERY; bridge=BRG-025; treatment=TRT-BACKUP_RECOVERY-INITIAL; wording=IW-ALL-BACKUP_RECOVERY</v>
      </c>
      <c r="CS681" t="str">
        <f t="shared" si="122"/>
        <v>Yes</v>
      </c>
    </row>
    <row r="682" spans="1:97" ht="69.900000000000006" customHeight="1">
      <c r="A682">
        <f>IF(OR($B682&lt;&gt;"Yes",$BS682=""),"",SUMPRODUCT(($B$500:$B$923="Yes")*ISNUMBER($BS$500:$BS$923)*($BS$500:$BS$923&gt;$BS682))+COUNTIFS($B$500:$B682,"Yes",$BS$500:$BS682,$BS682))</f>
        <v>133</v>
      </c>
      <c r="B682" t="str">
        <f t="shared" si="91"/>
        <v>Yes</v>
      </c>
      <c r="C682" t="s">
        <v>1859</v>
      </c>
      <c r="D682" t="s">
        <v>1870</v>
      </c>
      <c r="E682" t="s">
        <v>1918</v>
      </c>
      <c r="F682" t="s">
        <v>3686</v>
      </c>
      <c r="G682" t="str">
        <f>IF($H682="","",IFERROR(INDEX(_ENGINE_Risk!$H$5:$M$499,MATCH($E682,_ENGINE_Risk!$A$5:$A$499,0),$H682+1),""))</f>
        <v>Severe risk: delivery tabletop exercises with absent people, unavailable systems or supplier failure is not reliably controlled. During Delivery disruption; Customer impact; Workforce disruption, the organization may face missed commitments, SLA breaches, service interruption and weak customer recovery with limited visibility or accountability.</v>
      </c>
      <c r="H682">
        <f>IFERROR(VALUE(INDEX(_DATA_Assessment_Model!$H$5:$H$884,MATCH($E682,_DATA_Assessment_Model!$A$5:$A$884,0))),"")</f>
        <v>0</v>
      </c>
      <c r="I682" t="str">
        <f>IF($H682="","",IFERROR(INDEX(_DATA_Assessment_Model!$L$5:$L$884,MATCH($E682,_DATA_Assessment_Model!$A$5:$A$884,0)),IF($H682&lt;=1,"Critical",IF($H682=2,"High",IF($H682=3,"Medium",IF($H682=4,"Low","Resilient"))))))</f>
        <v>Critical</v>
      </c>
      <c r="J682">
        <f t="shared" si="92"/>
        <v>3.7</v>
      </c>
      <c r="K682">
        <f t="shared" si="93"/>
        <v>4.3500000000000005</v>
      </c>
      <c r="L682">
        <f t="shared" si="94"/>
        <v>16.095000000000002</v>
      </c>
      <c r="M682">
        <f t="shared" si="95"/>
        <v>4</v>
      </c>
      <c r="N682">
        <f>IF($H682="","",IFERROR(INDEX(_ENGINE_Risk!$T$5:$Y$499,MATCH($E682,_ENGINE_Risk!$A$5:$A$499,0),$H682+1),""))</f>
        <v>3</v>
      </c>
      <c r="O682">
        <f t="shared" si="96"/>
        <v>4.666666666666667</v>
      </c>
      <c r="P682">
        <f t="shared" si="97"/>
        <v>5</v>
      </c>
      <c r="Q682">
        <f t="shared" si="98"/>
        <v>5</v>
      </c>
      <c r="R682">
        <f t="shared" si="99"/>
        <v>4.5</v>
      </c>
      <c r="S682">
        <f t="shared" si="100"/>
        <v>1.6</v>
      </c>
      <c r="T682" t="str">
        <f>IF($H682="","",IFERROR(INDEX(_ENGINE_Risk!$N$5:$S$499,MATCH($E682,_ENGINE_Risk!$A$5:$A$499,0),$H682+1),""))</f>
        <v>Create an immediate risk owner, minimum control baseline and fallback procedure for delivery tabletop exercises with absent people, unavailable systems or supplier failure. Add it to the crisis risk register and collect first evidence.</v>
      </c>
      <c r="U682">
        <f>IFERROR(INDEX(_DATA_Assessment_Model!$G$5:$G$884,MATCH($E682,_DATA_Assessment_Model!$A$5:$A$884,0)),"")</f>
        <v>5</v>
      </c>
      <c r="V682">
        <f>IFERROR(INDEX(_DATA_Assessment_Model!$W$5:$W$884,MATCH($E682,_DATA_Assessment_Model!$A$5:$A$884,0)),"")</f>
        <v>4</v>
      </c>
      <c r="W682">
        <f>IFERROR(INDEX(_DATA_Assessment_Model!$X$5:$X$884,MATCH($E682,_DATA_Assessment_Model!$A$5:$A$884,0)),"")</f>
        <v>5</v>
      </c>
      <c r="X682">
        <f>IFERROR(INDEX(_DATA_Assessment_Model!$Y$5:$Y$884,MATCH($E682,_DATA_Assessment_Model!$A$5:$A$884,0)),"")</f>
        <v>5</v>
      </c>
      <c r="Y682" t="s">
        <v>1866</v>
      </c>
      <c r="Z682" t="s">
        <v>7028</v>
      </c>
      <c r="AA682" t="s">
        <v>1920</v>
      </c>
      <c r="AB682">
        <f>IFERROR(INDEX(_DATA_Assessment_Model!$U$5:$U$884,MATCH($E682,_DATA_Assessment_Model!$A$5:$A$884,0)),"")</f>
        <v>0</v>
      </c>
      <c r="AF682" t="s">
        <v>1919</v>
      </c>
      <c r="AO682">
        <f>IF($B682="Yes",IF(IFERROR(INDEX(_ENGINE_Crisis!$F$501:$F$517,MATCH($C682,_ENGINE_Crisis!$A$501:$A$517,0)),1)=0,1,IFERROR(INDEX(_ENGINE_Crisis!$F$501:$F$517,MATCH($C682,_ENGINE_Crisis!$A$501:$A$517,0)),1)),"")</f>
        <v>1</v>
      </c>
      <c r="AP682">
        <f t="shared" si="101"/>
        <v>16.100000000000001</v>
      </c>
      <c r="AQ682">
        <f t="shared" si="102"/>
        <v>1.6</v>
      </c>
      <c r="AR682" t="str">
        <f>IFERROR(INDEX(_ENGINE_Crisis!$E$41:$E$700,MATCH('Resilience &amp; Risk Scenario'!$B$6&amp;"|"&amp;$C682,_ENGINE_Crisis!$I$41:$I$700,0)),"")</f>
        <v/>
      </c>
      <c r="AS682" t="str">
        <f>IFERROR(INDEX(_ENGINE_Crisis!$G$41:$G$700,MATCH('Resilience &amp; Risk Scenario'!$B$6&amp;"|"&amp;$C682,_ENGINE_Crisis!$I$41:$I$700,0)),"")</f>
        <v/>
      </c>
      <c r="AT682" t="str">
        <f>IFERROR(INDEX(_ENGINE_Initiatives!$A$5:$A$532,MATCH(1,INDEX((_ENGINE_Initiatives!$B$5:$B$532=$C682)*(_ENGINE_Initiatives!$C$5:$C$532=$D682),0),0)),"")</f>
        <v>INI-029</v>
      </c>
      <c r="AU682" t="str">
        <f>IFERROR(INDEX(_ENGINE_Initiatives!$F$5:$F$532,MATCH(1,INDEX((_ENGINE_Initiatives!$B$5:$B$532=$C682)*(_ENGINE_Initiatives!$C$5:$C$532=$D682),0),0)),"")</f>
        <v>Build capacity resilience and delivery continuity model</v>
      </c>
      <c r="AV682">
        <f>IFERROR(INDEX(_ENGINE_Initiatives!$AC$5:$AC$532,MATCH(1,INDEX((_ENGINE_Initiatives!$B$5:$B$532=$C682)*(_ENGINE_Initiatives!$C$5:$C$532=$D682),0),0)),"")</f>
        <v>1.79</v>
      </c>
      <c r="AW682" t="str">
        <f>IFERROR(INDEX(_ENGINE_Initiatives!$AE$5:$AE$532,MATCH(1,INDEX((_ENGINE_Initiatives!$B$5:$B$532=$C682)*(_ENGINE_Initiatives!$C$5:$C$532=$D682),0),0)),"")</f>
        <v>3-6 months</v>
      </c>
      <c r="AX682">
        <f>IF($B682="Yes",IFERROR((IF(SUMIFS(_REF_Model_Content!$E$1:$E$613,_REF_Model_Content!$A$1:$A$613,PV_Canonical_Industry,_REF_Model_Content!$B$1:$B$613,$C682)=0,1,SUMIFS(_REF_Model_Content!$E$1:$E$613,_REF_Model_Content!$A$1:$A$613,PV_Canonical_Industry,_REF_Model_Content!$B$1:$B$613,$C682))*IFERROR($BU682,1)),1),"")</f>
        <v>1</v>
      </c>
      <c r="AY682">
        <f t="shared" si="103"/>
        <v>16.100000000000001</v>
      </c>
      <c r="AZ682">
        <f t="shared" si="104"/>
        <v>1.6</v>
      </c>
      <c r="BB682" t="str">
        <f>IF($H682="","",IFERROR(INDEX(_ENGINE_Risk!$AE$5:$AE$499,MATCH($E682,_ENGINE_Risk!$A$5:$A$499,0)),"Medium"))</f>
        <v>Fast</v>
      </c>
      <c r="BC682">
        <f t="shared" si="105"/>
        <v>1.25</v>
      </c>
      <c r="BD682">
        <f t="shared" si="106"/>
        <v>1.6</v>
      </c>
      <c r="BF682">
        <f>IF(OR($H682="",$J682=""),"",IFERROR(VLOOKUP(ROUND($J682,0),_CONFIG_Model_Settings!$D$154:$E$158,2,0),""))</f>
        <v>0.5</v>
      </c>
      <c r="BG682">
        <f>IFERROR(IF(OR($H682="",$K682=""),"",ROUND('Company Profile'!$B$113*INDEX(_CONFIG_Model_Settings!$H$154:$H$158,MATCH(ROUND($K682,0),_CONFIG_Model_Settings!$G$154:$G$158,0)),0)),0)</f>
        <v>875</v>
      </c>
      <c r="BH682">
        <f t="shared" si="107"/>
        <v>437.5</v>
      </c>
      <c r="BI682">
        <f t="shared" si="108"/>
        <v>437.5</v>
      </c>
      <c r="BJ682">
        <f>IF($E682="","",IFERROR(VLOOKUP($C682,_CONFIG_Risk_Calibration!$A$5:$H$21,2,FALSE),3))</f>
        <v>3</v>
      </c>
      <c r="BK682">
        <f>IF($E682="","",IFERROR(VLOOKUP($C682,_CONFIG_Risk_Calibration!$A$5:$H$21,3,FALSE),0))</f>
        <v>0</v>
      </c>
      <c r="BL682">
        <f>IF($E682="","",IFERROR(VLOOKUP($C682,_CONFIG_Risk_Calibration!$A$5:$H$21,4,FALSE),3))</f>
        <v>3</v>
      </c>
      <c r="BM682">
        <f>IF($E682="","",IFERROR(VLOOKUP($C682,_CONFIG_Risk_Calibration!$A$5:$H$21,5,FALSE),3))</f>
        <v>3</v>
      </c>
      <c r="BN682" t="str">
        <f>IF($E682="","",IFERROR(VLOOKUP($C682,_CONFIG_Risk_Calibration!$A$5:$H$21,6,FALSE),"No"))</f>
        <v>No</v>
      </c>
      <c r="BO682">
        <f>IF($E682="","",IFERROR(VLOOKUP($C682,_CONFIG_Risk_Calibration!$A$5:$H$21,7,FALSE),1))</f>
        <v>1</v>
      </c>
      <c r="BP682">
        <f>IF($H682="","",MAX(1,MIN(5,((6-$H682)*0.45)+($BJ682*0.2)+('Resilience &amp; Risk Scenario'!$B$7*0.15)+($BK682*0.1)+($BL682*0.05)+(IF($BB682="Fast",5,IF($BB682="Slow",1,3))*0.05))))</f>
        <v>3.7</v>
      </c>
      <c r="BQ682">
        <f t="shared" si="109"/>
        <v>4.3500000000000005</v>
      </c>
      <c r="BR682">
        <f t="shared" si="110"/>
        <v>16.100000000000001</v>
      </c>
      <c r="BS682">
        <f t="shared" si="111"/>
        <v>20.13</v>
      </c>
      <c r="BT682" t="str">
        <f>IFERROR(INDEX(_REF_Capability_Bridge!$D:$D,MATCH($C682&amp;"|"&amp;$D682,_REF_Capability_Bridge!$J:$J,0)),IFERROR(INDEX(_REF_Capability_Bridge!$D:$D,MATCH($C682&amp;"|",_REF_Capability_Bridge!$J:$J,0)),"CAP_GENERIC"))</f>
        <v>CAP_BACKUP_RECOVERY</v>
      </c>
      <c r="BU682">
        <f>IFERROR(IFERROR(INDEX(_ENGINE_Relevance!$L:$L,MATCH($BT682,_ENGINE_Relevance!$B:$B,0)),1),1)</f>
        <v>1</v>
      </c>
      <c r="BV682" t="str">
        <f>IFERROR(INDEX(_REF_Capability_Bridge!$A:$A,MATCH($C682&amp;"|"&amp;$D682,_REF_Capability_Bridge!$J:$J,0)),IFERROR(INDEX(_REF_Capability_Bridge!$A:$A,MATCH($C682&amp;"|",_REF_Capability_Bridge!$J:$J,0)),"No bridge"))</f>
        <v>BRG-025</v>
      </c>
      <c r="BW682" t="str">
        <f t="shared" si="112"/>
        <v>Capability relevance neutral</v>
      </c>
      <c r="BX682" t="str">
        <f t="shared" si="113"/>
        <v>Initial / absent</v>
      </c>
      <c r="BY682" t="str">
        <f>IF($E682="","",IFERROR(INDEX(_REF_Treatment_Library!$A$2:$A$296,MATCH(1,INDEX((_REF_Treatment_Library!$B$2:$B$296=$BT682)*(_REF_Treatment_Library!$C$2:$C$296=PV_Canonical_Industry)*(_REF_Treatment_Library!$E$2:$E$296&lt;=N($H682))*(_REF_Treatment_Library!$F$2:$F$296&gt;=N($H682))*(_REF_Treatment_Library!$O$2:$O$296="Yes"),0),0)),IFERROR(INDEX(_REF_Treatment_Library!$A$2:$A$296,MATCH(1,INDEX((_REF_Treatment_Library!$B$2:$B$296=$BT682)*(_REF_Treatment_Library!$C$2:$C$296="All")*(_REF_Treatment_Library!$E$2:$E$296&lt;=N($H682))*(_REF_Treatment_Library!$F$2:$F$296&gt;=N($H682))*(_REF_Treatment_Library!$O$2:$O$296="Yes"),0),0)),"")))</f>
        <v>TRT-BACKUP_RECOVERY-INITIAL</v>
      </c>
      <c r="BZ682" t="str">
        <f>IF($BY682="","",IFERROR(INDEX(_REF_Treatment_Library!$H$2:$H$296,MATCH($BY682,_REF_Treatment_Library!$A$2:$A$296,0)),""))</f>
        <v>Establish</v>
      </c>
      <c r="CA682" t="str">
        <f>IF($BY682="","",IFERROR(INDEX(_REF_Treatment_Library!$I$2:$I$296,MATCH($BY682,_REF_Treatment_Library!$A$2:$A$296,0)),""))</f>
        <v>Establish baseline controls for Backup / recovery</v>
      </c>
      <c r="CB682" t="str">
        <f>IF($BY682="","",IFERROR(INDEX(_REF_Treatment_Library!$K$2:$K$296,MATCH($BY682,_REF_Treatment_Library!$A$2:$A$296,0)),""))</f>
        <v>Named owner, baseline process, minimum control checklist, first evidence package</v>
      </c>
      <c r="CC682" t="str">
        <f>IF($BY682="","",IFERROR(INDEX(_REF_Treatment_Library!$L$2:$L$296,MATCH($BY682,_REF_Treatment_Library!$A$2:$A$296,0)),""))</f>
        <v>Owner assigned; baseline evidence coverage; open critical gaps</v>
      </c>
      <c r="CD682" t="str">
        <f t="shared" si="114"/>
        <v>Treatment by capability=CAP_BACKUP_RECOVERY; band=Initial / absent; score=0.0; treatment=Establish</v>
      </c>
      <c r="CE682" t="str">
        <f>IF($E682="","",IFERROR(INDEX(_REF_Industry_Wording!$A$2:$A$70,MATCH(1,INDEX((_REF_Industry_Wording!$B$2:$B$70=$BT682)*(_REF_Industry_Wording!$C$2:$C$70=PV_Canonical_Industry)*(_REF_Industry_Wording!$K$2:$K$70="Yes"),0),0)),IFERROR(INDEX(_REF_Industry_Wording!$A$2:$A$70,MATCH(1,INDEX((_REF_Industry_Wording!$B$2:$B$70=$BT682)*(_REF_Industry_Wording!$C$2:$C$70="All")*(_REF_Industry_Wording!$K$2:$K$70="Yes"),0),0)),"")))</f>
        <v>IW-ALL-BACKUP_RECOVERY</v>
      </c>
      <c r="CF682" t="str">
        <f>IF($CE682="","",IFERROR(INDEX(_REF_Industry_Wording!$E$2:$E$70,MATCH($CE682,_REF_Industry_Wording!$A$2:$A$70,0)),""))</f>
        <v>Backup / recovery weakness</v>
      </c>
      <c r="CG682" t="str">
        <f>IF($CE682="","",IFERROR(INDEX(_REF_Industry_Wording!$F$2:$F$70,MATCH($CE682,_REF_Industry_Wording!$A$2:$A$70,0)),""))</f>
        <v>Strengthen Backup / recovery</v>
      </c>
      <c r="CH682" t="str">
        <f>IF($CE682="","",IFERROR(INDEX(_REF_Industry_Wording!$G$2:$G$70,MATCH($CE682,_REF_Industry_Wording!$A$2:$A$70,0)),""))</f>
        <v>Strengthen Backup / recovery using the selected maturity treatment, crisis scenario and evidence requirements.</v>
      </c>
      <c r="CI682" t="str">
        <f>IF($CE682="","",IFERROR(INDEX(_REF_Industry_Wording!$H$2:$H$70,MATCH($CE682,_REF_Industry_Wording!$A$2:$A$70,0)),""))</f>
        <v>Backup / recovery</v>
      </c>
      <c r="CJ682">
        <f>IF($CE682="","",IFERROR(INDEX(_REF_Industry_Wording!$I$2:$I$70,MATCH($CE682,_REF_Industry_Wording!$A$2:$A$70,0)),""))</f>
        <v>0</v>
      </c>
      <c r="CK682" t="str">
        <f>IF($CE682="","",IFERROR(INDEX(_REF_Industry_Wording!$J$2:$J$70,MATCH($CE682,_REF_Industry_Wording!$A$2:$A$70,0)),""))</f>
        <v>Backup / recovery</v>
      </c>
      <c r="CL682" t="str">
        <f t="shared" si="115"/>
        <v>Wording by industry=0; capability=CAP_BACKUP_RECOVERY; risk label=Backup / recovery weakness</v>
      </c>
      <c r="CM682" t="str">
        <f t="shared" si="116"/>
        <v>RISK-ONT-0183</v>
      </c>
      <c r="CN682" t="str">
        <f t="shared" si="117"/>
        <v>RISK-EVT-0183</v>
      </c>
      <c r="CO682" t="str">
        <f t="shared" si="118"/>
        <v>Delivery Ops|Capacity and continuity|DELI-012|CAP_BACKUP_RECOVERY</v>
      </c>
      <c r="CP682" t="str">
        <f t="shared" si="119"/>
        <v>Active</v>
      </c>
      <c r="CQ682" t="str">
        <f t="shared" si="120"/>
        <v>OK: capability-driven</v>
      </c>
      <c r="CR682" t="str">
        <f t="shared" si="121"/>
        <v>Risk ontology uses capability=CAP_BACKUP_RECOVERY; bridge=BRG-025; treatment=TRT-BACKUP_RECOVERY-INITIAL; wording=IW-ALL-BACKUP_RECOVERY</v>
      </c>
      <c r="CS682" t="str">
        <f t="shared" si="122"/>
        <v>Yes</v>
      </c>
    </row>
    <row r="683" spans="1:97" ht="69.900000000000006" customHeight="1">
      <c r="A683">
        <f>IF(OR($B683&lt;&gt;"Yes",$BS683=""),"",SUMPRODUCT(($B$500:$B$923="Yes")*ISNUMBER($BS$500:$BS$923)*($BS$500:$BS$923&gt;$BS683))+COUNTIFS($B$500:$B683,"Yes",$BS$500:$BS683,$BS683))</f>
        <v>134</v>
      </c>
      <c r="B683" t="str">
        <f t="shared" si="91"/>
        <v>Yes</v>
      </c>
      <c r="C683" t="s">
        <v>1859</v>
      </c>
      <c r="D683" t="s">
        <v>1880</v>
      </c>
      <c r="E683" t="s">
        <v>1921</v>
      </c>
      <c r="F683" t="s">
        <v>3686</v>
      </c>
      <c r="G683" t="str">
        <f>IF($H683="","",IFERROR(INDEX(_ENGINE_Risk!$H$5:$M$499,MATCH($E683,_ENGINE_Risk!$A$5:$A$499,0),$H683+1),""))</f>
        <v>Severe risk: SOP documentation for critical delivery activities is not reliably controlled. During Delivery disruption; Customer impact; Workforce disruption, the organization may face missed commitments, SLA breaches, service interruption and weak customer recovery with limited visibility or accountability.</v>
      </c>
      <c r="H683">
        <f>IFERROR(VALUE(INDEX(_DATA_Assessment_Model!$H$5:$H$884,MATCH($E683,_DATA_Assessment_Model!$A$5:$A$884,0))),"")</f>
        <v>0</v>
      </c>
      <c r="I683" t="str">
        <f>IF($H683="","",IFERROR(INDEX(_DATA_Assessment_Model!$L$5:$L$884,MATCH($E683,_DATA_Assessment_Model!$A$5:$A$884,0)),IF($H683&lt;=1,"Critical",IF($H683=2,"High",IF($H683=3,"Medium",IF($H683=4,"Low","Resilient"))))))</f>
        <v>Critical</v>
      </c>
      <c r="J683">
        <f t="shared" si="92"/>
        <v>3.7</v>
      </c>
      <c r="K683">
        <f t="shared" si="93"/>
        <v>4.3500000000000005</v>
      </c>
      <c r="L683">
        <f t="shared" si="94"/>
        <v>16.095000000000002</v>
      </c>
      <c r="M683">
        <f t="shared" si="95"/>
        <v>4</v>
      </c>
      <c r="N683">
        <f>IF($H683="","",IFERROR(INDEX(_ENGINE_Risk!$T$5:$Y$499,MATCH($E683,_ENGINE_Risk!$A$5:$A$499,0),$H683+1),""))</f>
        <v>3</v>
      </c>
      <c r="O683">
        <f t="shared" si="96"/>
        <v>4.666666666666667</v>
      </c>
      <c r="P683">
        <f t="shared" si="97"/>
        <v>5</v>
      </c>
      <c r="Q683">
        <f t="shared" si="98"/>
        <v>5</v>
      </c>
      <c r="R683">
        <f t="shared" si="99"/>
        <v>4.5</v>
      </c>
      <c r="S683">
        <f t="shared" si="100"/>
        <v>1.6</v>
      </c>
      <c r="T683" t="str">
        <f>IF($H683="","",IFERROR(INDEX(_ENGINE_Risk!$N$5:$S$499,MATCH($E683,_ENGINE_Risk!$A$5:$A$499,0),$H683+1),""))</f>
        <v>Create an immediate risk owner, minimum control baseline and fallback procedure for SOP documentation for critical delivery activities. Add it to the crisis risk register and collect first evidence.</v>
      </c>
      <c r="U683">
        <f>IFERROR(INDEX(_DATA_Assessment_Model!$G$5:$G$884,MATCH($E683,_DATA_Assessment_Model!$A$5:$A$884,0)),"")</f>
        <v>5</v>
      </c>
      <c r="V683">
        <f>IFERROR(INDEX(_DATA_Assessment_Model!$W$5:$W$884,MATCH($E683,_DATA_Assessment_Model!$A$5:$A$884,0)),"")</f>
        <v>4</v>
      </c>
      <c r="W683">
        <f>IFERROR(INDEX(_DATA_Assessment_Model!$X$5:$X$884,MATCH($E683,_DATA_Assessment_Model!$A$5:$A$884,0)),"")</f>
        <v>5</v>
      </c>
      <c r="X683">
        <f>IFERROR(INDEX(_DATA_Assessment_Model!$Y$5:$Y$884,MATCH($E683,_DATA_Assessment_Model!$A$5:$A$884,0)),"")</f>
        <v>5</v>
      </c>
      <c r="Y683" t="s">
        <v>1866</v>
      </c>
      <c r="Z683" t="s">
        <v>7028</v>
      </c>
      <c r="AA683" t="s">
        <v>1923</v>
      </c>
      <c r="AB683">
        <f>IFERROR(INDEX(_DATA_Assessment_Model!$U$5:$U$884,MATCH($E683,_DATA_Assessment_Model!$A$5:$A$884,0)),"")</f>
        <v>0</v>
      </c>
      <c r="AF683" t="s">
        <v>1922</v>
      </c>
      <c r="AO683">
        <f>IF($B683="Yes",IF(IFERROR(INDEX(_ENGINE_Crisis!$F$501:$F$517,MATCH($C683,_ENGINE_Crisis!$A$501:$A$517,0)),1)=0,1,IFERROR(INDEX(_ENGINE_Crisis!$F$501:$F$517,MATCH($C683,_ENGINE_Crisis!$A$501:$A$517,0)),1)),"")</f>
        <v>1</v>
      </c>
      <c r="AP683">
        <f t="shared" si="101"/>
        <v>16.100000000000001</v>
      </c>
      <c r="AQ683">
        <f t="shared" si="102"/>
        <v>1.6</v>
      </c>
      <c r="AR683" t="str">
        <f>IFERROR(INDEX(_ENGINE_Crisis!$E$41:$E$700,MATCH('Resilience &amp; Risk Scenario'!$B$6&amp;"|"&amp;$C683,_ENGINE_Crisis!$I$41:$I$700,0)),"")</f>
        <v/>
      </c>
      <c r="AS683" t="str">
        <f>IFERROR(INDEX(_ENGINE_Crisis!$G$41:$G$700,MATCH('Resilience &amp; Risk Scenario'!$B$6&amp;"|"&amp;$C683,_ENGINE_Crisis!$I$41:$I$700,0)),"")</f>
        <v/>
      </c>
      <c r="AT683" t="str">
        <f>IFERROR(INDEX(_ENGINE_Initiatives!$A$5:$A$532,MATCH(1,INDEX((_ENGINE_Initiatives!$B$5:$B$532=$C683)*(_ENGINE_Initiatives!$C$5:$C$532=$D683),0),0)),"")</f>
        <v>INI-030</v>
      </c>
      <c r="AU683" t="str">
        <f>IFERROR(INDEX(_ENGINE_Initiatives!$F$5:$F$532,MATCH(1,INDEX((_ENGINE_Initiatives!$B$5:$B$532=$C683)*(_ENGINE_Initiatives!$C$5:$C$532=$D683),0),0)),"")</f>
        <v>Strengthen process control, SOPs and operational quality gates</v>
      </c>
      <c r="AV683">
        <f>IFERROR(INDEX(_ENGINE_Initiatives!$AC$5:$AC$532,MATCH(1,INDEX((_ENGINE_Initiatives!$B$5:$B$532=$C683)*(_ENGINE_Initiatives!$C$5:$C$532=$D683),0),0)),"")</f>
        <v>1.79</v>
      </c>
      <c r="AW683" t="str">
        <f>IFERROR(INDEX(_ENGINE_Initiatives!$AE$5:$AE$532,MATCH(1,INDEX((_ENGINE_Initiatives!$B$5:$B$532=$C683)*(_ENGINE_Initiatives!$C$5:$C$532=$D683),0),0)),"")</f>
        <v>3-6 months</v>
      </c>
      <c r="AX683">
        <f>IF($B683="Yes",IFERROR((IF(SUMIFS(_REF_Model_Content!$E$1:$E$613,_REF_Model_Content!$A$1:$A$613,PV_Canonical_Industry,_REF_Model_Content!$B$1:$B$613,$C683)=0,1,SUMIFS(_REF_Model_Content!$E$1:$E$613,_REF_Model_Content!$A$1:$A$613,PV_Canonical_Industry,_REF_Model_Content!$B$1:$B$613,$C683))*IFERROR($BU683,1)),1),"")</f>
        <v>1</v>
      </c>
      <c r="AY683">
        <f t="shared" si="103"/>
        <v>16.100000000000001</v>
      </c>
      <c r="AZ683">
        <f t="shared" si="104"/>
        <v>1.6</v>
      </c>
      <c r="BB683" t="str">
        <f>IF($H683="","",IFERROR(INDEX(_ENGINE_Risk!$AE$5:$AE$499,MATCH($E683,_ENGINE_Risk!$A$5:$A$499,0)),"Medium"))</f>
        <v>Fast</v>
      </c>
      <c r="BC683">
        <f t="shared" si="105"/>
        <v>1.25</v>
      </c>
      <c r="BD683">
        <f t="shared" si="106"/>
        <v>1.6</v>
      </c>
      <c r="BF683">
        <f>IF(OR($H683="",$J683=""),"",IFERROR(VLOOKUP(ROUND($J683,0),_CONFIG_Model_Settings!$D$154:$E$158,2,0),""))</f>
        <v>0.5</v>
      </c>
      <c r="BG683">
        <f>IFERROR(IF(OR($H683="",$K683=""),"",ROUND('Company Profile'!$B$113*INDEX(_CONFIG_Model_Settings!$H$154:$H$158,MATCH(ROUND($K683,0),_CONFIG_Model_Settings!$G$154:$G$158,0)),0)),0)</f>
        <v>875</v>
      </c>
      <c r="BH683">
        <f t="shared" si="107"/>
        <v>437.5</v>
      </c>
      <c r="BI683">
        <f t="shared" si="108"/>
        <v>437.5</v>
      </c>
      <c r="BJ683">
        <f>IF($E683="","",IFERROR(VLOOKUP($C683,_CONFIG_Risk_Calibration!$A$5:$H$21,2,FALSE),3))</f>
        <v>3</v>
      </c>
      <c r="BK683">
        <f>IF($E683="","",IFERROR(VLOOKUP($C683,_CONFIG_Risk_Calibration!$A$5:$H$21,3,FALSE),0))</f>
        <v>0</v>
      </c>
      <c r="BL683">
        <f>IF($E683="","",IFERROR(VLOOKUP($C683,_CONFIG_Risk_Calibration!$A$5:$H$21,4,FALSE),3))</f>
        <v>3</v>
      </c>
      <c r="BM683">
        <f>IF($E683="","",IFERROR(VLOOKUP($C683,_CONFIG_Risk_Calibration!$A$5:$H$21,5,FALSE),3))</f>
        <v>3</v>
      </c>
      <c r="BN683" t="str">
        <f>IF($E683="","",IFERROR(VLOOKUP($C683,_CONFIG_Risk_Calibration!$A$5:$H$21,6,FALSE),"No"))</f>
        <v>No</v>
      </c>
      <c r="BO683">
        <f>IF($E683="","",IFERROR(VLOOKUP($C683,_CONFIG_Risk_Calibration!$A$5:$H$21,7,FALSE),1))</f>
        <v>1</v>
      </c>
      <c r="BP683">
        <f>IF($H683="","",MAX(1,MIN(5,((6-$H683)*0.45)+($BJ683*0.2)+('Resilience &amp; Risk Scenario'!$B$7*0.15)+($BK683*0.1)+($BL683*0.05)+(IF($BB683="Fast",5,IF($BB683="Slow",1,3))*0.05))))</f>
        <v>3.7</v>
      </c>
      <c r="BQ683">
        <f t="shared" si="109"/>
        <v>4.3500000000000005</v>
      </c>
      <c r="BR683">
        <f t="shared" si="110"/>
        <v>16.100000000000001</v>
      </c>
      <c r="BS683">
        <f t="shared" si="111"/>
        <v>20.13</v>
      </c>
      <c r="BT683" t="str">
        <f>IFERROR(INDEX(_REF_Capability_Bridge!$D:$D,MATCH($C683&amp;"|"&amp;$D683,_REF_Capability_Bridge!$J:$J,0)),IFERROR(INDEX(_REF_Capability_Bridge!$D:$D,MATCH($C683&amp;"|",_REF_Capability_Bridge!$J:$J,0)),"CAP_GENERIC"))</f>
        <v>CAP_INVENTORY_PLANNING</v>
      </c>
      <c r="BU683">
        <f>IFERROR(IFERROR(INDEX(_ENGINE_Relevance!$L:$L,MATCH($BT683,_ENGINE_Relevance!$B:$B,0)),1),1)</f>
        <v>1</v>
      </c>
      <c r="BV683" t="str">
        <f>IFERROR(INDEX(_REF_Capability_Bridge!$A:$A,MATCH($C683&amp;"|"&amp;$D683,_REF_Capability_Bridge!$J:$J,0)),IFERROR(INDEX(_REF_Capability_Bridge!$A:$A,MATCH($C683&amp;"|",_REF_Capability_Bridge!$J:$J,0)),"No bridge"))</f>
        <v>BRG-028</v>
      </c>
      <c r="BW683" t="str">
        <f t="shared" si="112"/>
        <v>Capability relevance neutral</v>
      </c>
      <c r="BX683" t="str">
        <f t="shared" si="113"/>
        <v>Initial / absent</v>
      </c>
      <c r="BY683" t="str">
        <f>IF($E683="","",IFERROR(INDEX(_REF_Treatment_Library!$A$2:$A$296,MATCH(1,INDEX((_REF_Treatment_Library!$B$2:$B$296=$BT683)*(_REF_Treatment_Library!$C$2:$C$296=PV_Canonical_Industry)*(_REF_Treatment_Library!$E$2:$E$296&lt;=N($H683))*(_REF_Treatment_Library!$F$2:$F$296&gt;=N($H683))*(_REF_Treatment_Library!$O$2:$O$296="Yes"),0),0)),IFERROR(INDEX(_REF_Treatment_Library!$A$2:$A$296,MATCH(1,INDEX((_REF_Treatment_Library!$B$2:$B$296=$BT683)*(_REF_Treatment_Library!$C$2:$C$296="All")*(_REF_Treatment_Library!$E$2:$E$296&lt;=N($H683))*(_REF_Treatment_Library!$F$2:$F$296&gt;=N($H683))*(_REF_Treatment_Library!$O$2:$O$296="Yes"),0),0)),"")))</f>
        <v>TRT-INVENTORY_PLANNING-INITIAL</v>
      </c>
      <c r="BZ683" t="str">
        <f>IF($BY683="","",IFERROR(INDEX(_REF_Treatment_Library!$H$2:$H$296,MATCH($BY683,_REF_Treatment_Library!$A$2:$A$296,0)),""))</f>
        <v>Establish</v>
      </c>
      <c r="CA683" t="str">
        <f>IF($BY683="","",IFERROR(INDEX(_REF_Treatment_Library!$I$2:$I$296,MATCH($BY683,_REF_Treatment_Library!$A$2:$A$296,0)),""))</f>
        <v>Establish baseline controls for Inventory planning</v>
      </c>
      <c r="CB683" t="str">
        <f>IF($BY683="","",IFERROR(INDEX(_REF_Treatment_Library!$K$2:$K$296,MATCH($BY683,_REF_Treatment_Library!$A$2:$A$296,0)),""))</f>
        <v>Named owner, baseline process, minimum control checklist, first evidence package</v>
      </c>
      <c r="CC683" t="str">
        <f>IF($BY683="","",IFERROR(INDEX(_REF_Treatment_Library!$L$2:$L$296,MATCH($BY683,_REF_Treatment_Library!$A$2:$A$296,0)),""))</f>
        <v>Owner assigned; baseline evidence coverage; open critical gaps</v>
      </c>
      <c r="CD683" t="str">
        <f t="shared" si="114"/>
        <v>Treatment by capability=CAP_INVENTORY_PLANNING; band=Initial / absent; score=0.0; treatment=Establish</v>
      </c>
      <c r="CE683" t="str">
        <f>IF($E683="","",IFERROR(INDEX(_REF_Industry_Wording!$A$2:$A$70,MATCH(1,INDEX((_REF_Industry_Wording!$B$2:$B$70=$BT683)*(_REF_Industry_Wording!$C$2:$C$70=PV_Canonical_Industry)*(_REF_Industry_Wording!$K$2:$K$70="Yes"),0),0)),IFERROR(INDEX(_REF_Industry_Wording!$A$2:$A$70,MATCH(1,INDEX((_REF_Industry_Wording!$B$2:$B$70=$BT683)*(_REF_Industry_Wording!$C$2:$C$70="All")*(_REF_Industry_Wording!$K$2:$K$70="Yes"),0),0)),"")))</f>
        <v>IW-ALL-INVENTORY_PLANNING</v>
      </c>
      <c r="CF683" t="str">
        <f>IF($CE683="","",IFERROR(INDEX(_REF_Industry_Wording!$E$2:$E$70,MATCH($CE683,_REF_Industry_Wording!$A$2:$A$70,0)),""))</f>
        <v>Inventory planning weakness</v>
      </c>
      <c r="CG683" t="str">
        <f>IF($CE683="","",IFERROR(INDEX(_REF_Industry_Wording!$F$2:$F$70,MATCH($CE683,_REF_Industry_Wording!$A$2:$A$70,0)),""))</f>
        <v>Strengthen Inventory planning</v>
      </c>
      <c r="CH683" t="str">
        <f>IF($CE683="","",IFERROR(INDEX(_REF_Industry_Wording!$G$2:$G$70,MATCH($CE683,_REF_Industry_Wording!$A$2:$A$70,0)),""))</f>
        <v>Strengthen Inventory planning using the selected maturity treatment, crisis scenario and evidence requirements.</v>
      </c>
      <c r="CI683" t="str">
        <f>IF($CE683="","",IFERROR(INDEX(_REF_Industry_Wording!$H$2:$H$70,MATCH($CE683,_REF_Industry_Wording!$A$2:$A$70,0)),""))</f>
        <v>Inventory planning</v>
      </c>
      <c r="CJ683">
        <f>IF($CE683="","",IFERROR(INDEX(_REF_Industry_Wording!$I$2:$I$70,MATCH($CE683,_REF_Industry_Wording!$A$2:$A$70,0)),""))</f>
        <v>0</v>
      </c>
      <c r="CK683" t="str">
        <f>IF($CE683="","",IFERROR(INDEX(_REF_Industry_Wording!$J$2:$J$70,MATCH($CE683,_REF_Industry_Wording!$A$2:$A$70,0)),""))</f>
        <v>Inventory planning</v>
      </c>
      <c r="CL683" t="str">
        <f t="shared" si="115"/>
        <v>Wording by industry=0; capability=CAP_INVENTORY_PLANNING; risk label=Inventory planning weakness</v>
      </c>
      <c r="CM683" t="str">
        <f t="shared" si="116"/>
        <v>RISK-ONT-0184</v>
      </c>
      <c r="CN683" t="str">
        <f t="shared" si="117"/>
        <v>RISK-EVT-0184</v>
      </c>
      <c r="CO683" t="str">
        <f t="shared" si="118"/>
        <v>Delivery Ops|Process control|DELI-013|CAP_INVENTORY_PLANNING</v>
      </c>
      <c r="CP683" t="str">
        <f t="shared" si="119"/>
        <v>Active</v>
      </c>
      <c r="CQ683" t="str">
        <f t="shared" si="120"/>
        <v>OK: capability-driven</v>
      </c>
      <c r="CR683" t="str">
        <f t="shared" si="121"/>
        <v>Risk ontology uses capability=CAP_INVENTORY_PLANNING; bridge=BRG-028; treatment=TRT-INVENTORY_PLANNING-INITIAL; wording=IW-ALL-INVENTORY_PLANNING</v>
      </c>
      <c r="CS683" t="str">
        <f t="shared" si="122"/>
        <v>Yes</v>
      </c>
    </row>
    <row r="684" spans="1:97" ht="69.900000000000006" customHeight="1">
      <c r="A684">
        <f>IF(OR($B684&lt;&gt;"Yes",$BS684=""),"",SUMPRODUCT(($B$500:$B$923="Yes")*ISNUMBER($BS$500:$BS$923)*($BS$500:$BS$923&gt;$BS684))+COUNTIFS($B$500:$B684,"Yes",$BS$500:$BS684,$BS684))</f>
        <v>163</v>
      </c>
      <c r="B684" t="str">
        <f t="shared" si="91"/>
        <v>Yes</v>
      </c>
      <c r="C684" t="s">
        <v>1859</v>
      </c>
      <c r="D684" t="s">
        <v>1880</v>
      </c>
      <c r="E684" t="s">
        <v>1924</v>
      </c>
      <c r="F684" t="s">
        <v>3686</v>
      </c>
      <c r="G684" t="str">
        <f>IF($H684="","",IFERROR(INDEX(_ENGINE_Risk!$H$5:$M$499,MATCH($E684,_ENGINE_Risk!$A$5:$A$499,0),$H684+1),""))</f>
        <v>Severe risk: handover procedures between shifts, teams, vendors and customers is not reliably controlled. During Delivery disruption; Customer impact; Workforce disruption, the organization may face missed commitments, SLA breaches, service interruption and weak customer recovery with limited visibility or accountability.</v>
      </c>
      <c r="H684">
        <f>IFERROR(VALUE(INDEX(_DATA_Assessment_Model!$H$5:$H$884,MATCH($E684,_DATA_Assessment_Model!$A$5:$A$884,0))),"")</f>
        <v>0</v>
      </c>
      <c r="I684" t="str">
        <f>IF($H684="","",IFERROR(INDEX(_DATA_Assessment_Model!$L$5:$L$884,MATCH($E684,_DATA_Assessment_Model!$A$5:$A$884,0)),IF($H684&lt;=1,"Critical",IF($H684=2,"High",IF($H684=3,"Medium",IF($H684=4,"Low","Resilient"))))))</f>
        <v>Critical</v>
      </c>
      <c r="J684">
        <f t="shared" si="92"/>
        <v>3.7</v>
      </c>
      <c r="K684">
        <f t="shared" si="93"/>
        <v>4.1500000000000004</v>
      </c>
      <c r="L684">
        <f t="shared" si="94"/>
        <v>15.355000000000002</v>
      </c>
      <c r="M684">
        <f t="shared" si="95"/>
        <v>4</v>
      </c>
      <c r="N684">
        <f>IF($H684="","",IFERROR(INDEX(_ENGINE_Risk!$T$5:$Y$499,MATCH($E684,_ENGINE_Risk!$A$5:$A$499,0),$H684+1),""))</f>
        <v>3</v>
      </c>
      <c r="O684">
        <f t="shared" si="96"/>
        <v>4.333333333333333</v>
      </c>
      <c r="P684">
        <f t="shared" si="97"/>
        <v>5</v>
      </c>
      <c r="Q684">
        <f t="shared" si="98"/>
        <v>5</v>
      </c>
      <c r="R684">
        <f t="shared" si="99"/>
        <v>4.5</v>
      </c>
      <c r="S684">
        <f t="shared" si="100"/>
        <v>1.57</v>
      </c>
      <c r="T684" t="str">
        <f>IF($H684="","",IFERROR(INDEX(_ENGINE_Risk!$N$5:$S$499,MATCH($E684,_ENGINE_Risk!$A$5:$A$499,0),$H684+1),""))</f>
        <v>Create an immediate risk owner, minimum control baseline and fallback procedure for handover procedures between shifts, teams, vendors and customers. Add it to the crisis risk register and collect first evidence.</v>
      </c>
      <c r="U684">
        <f>IFERROR(INDEX(_DATA_Assessment_Model!$G$5:$G$884,MATCH($E684,_DATA_Assessment_Model!$A$5:$A$884,0)),"")</f>
        <v>4</v>
      </c>
      <c r="V684">
        <f>IFERROR(INDEX(_DATA_Assessment_Model!$W$5:$W$884,MATCH($E684,_DATA_Assessment_Model!$A$5:$A$884,0)),"")</f>
        <v>4</v>
      </c>
      <c r="W684">
        <f>IFERROR(INDEX(_DATA_Assessment_Model!$X$5:$X$884,MATCH($E684,_DATA_Assessment_Model!$A$5:$A$884,0)),"")</f>
        <v>5</v>
      </c>
      <c r="X684">
        <f>IFERROR(INDEX(_DATA_Assessment_Model!$Y$5:$Y$884,MATCH($E684,_DATA_Assessment_Model!$A$5:$A$884,0)),"")</f>
        <v>5</v>
      </c>
      <c r="Y684" t="s">
        <v>1866</v>
      </c>
      <c r="Z684" t="s">
        <v>7028</v>
      </c>
      <c r="AA684" t="s">
        <v>1926</v>
      </c>
      <c r="AB684">
        <f>IFERROR(INDEX(_DATA_Assessment_Model!$U$5:$U$884,MATCH($E684,_DATA_Assessment_Model!$A$5:$A$884,0)),"")</f>
        <v>0</v>
      </c>
      <c r="AF684" t="s">
        <v>1925</v>
      </c>
      <c r="AO684">
        <f>IF($B684="Yes",IF(IFERROR(INDEX(_ENGINE_Crisis!$F$501:$F$517,MATCH($C684,_ENGINE_Crisis!$A$501:$A$517,0)),1)=0,1,IFERROR(INDEX(_ENGINE_Crisis!$F$501:$F$517,MATCH($C684,_ENGINE_Crisis!$A$501:$A$517,0)),1)),"")</f>
        <v>1</v>
      </c>
      <c r="AP684">
        <f t="shared" si="101"/>
        <v>15.4</v>
      </c>
      <c r="AQ684">
        <f t="shared" si="102"/>
        <v>1.57</v>
      </c>
      <c r="AR684" t="str">
        <f>IFERROR(INDEX(_ENGINE_Crisis!$E$41:$E$700,MATCH('Resilience &amp; Risk Scenario'!$B$6&amp;"|"&amp;$C684,_ENGINE_Crisis!$I$41:$I$700,0)),"")</f>
        <v/>
      </c>
      <c r="AS684" t="str">
        <f>IFERROR(INDEX(_ENGINE_Crisis!$G$41:$G$700,MATCH('Resilience &amp; Risk Scenario'!$B$6&amp;"|"&amp;$C684,_ENGINE_Crisis!$I$41:$I$700,0)),"")</f>
        <v/>
      </c>
      <c r="AT684" t="str">
        <f>IFERROR(INDEX(_ENGINE_Initiatives!$A$5:$A$532,MATCH(1,INDEX((_ENGINE_Initiatives!$B$5:$B$532=$C684)*(_ENGINE_Initiatives!$C$5:$C$532=$D684),0),0)),"")</f>
        <v>INI-030</v>
      </c>
      <c r="AU684" t="str">
        <f>IFERROR(INDEX(_ENGINE_Initiatives!$F$5:$F$532,MATCH(1,INDEX((_ENGINE_Initiatives!$B$5:$B$532=$C684)*(_ENGINE_Initiatives!$C$5:$C$532=$D684),0),0)),"")</f>
        <v>Strengthen process control, SOPs and operational quality gates</v>
      </c>
      <c r="AV684">
        <f>IFERROR(INDEX(_ENGINE_Initiatives!$AC$5:$AC$532,MATCH(1,INDEX((_ENGINE_Initiatives!$B$5:$B$532=$C684)*(_ENGINE_Initiatives!$C$5:$C$532=$D684),0),0)),"")</f>
        <v>1.79</v>
      </c>
      <c r="AW684" t="str">
        <f>IFERROR(INDEX(_ENGINE_Initiatives!$AE$5:$AE$532,MATCH(1,INDEX((_ENGINE_Initiatives!$B$5:$B$532=$C684)*(_ENGINE_Initiatives!$C$5:$C$532=$D684),0),0)),"")</f>
        <v>3-6 months</v>
      </c>
      <c r="AX684">
        <f>IF($B684="Yes",IFERROR((IF(SUMIFS(_REF_Model_Content!$E$1:$E$613,_REF_Model_Content!$A$1:$A$613,PV_Canonical_Industry,_REF_Model_Content!$B$1:$B$613,$C684)=0,1,SUMIFS(_REF_Model_Content!$E$1:$E$613,_REF_Model_Content!$A$1:$A$613,PV_Canonical_Industry,_REF_Model_Content!$B$1:$B$613,$C684))*IFERROR($BU684,1)),1),"")</f>
        <v>1</v>
      </c>
      <c r="AY684">
        <f t="shared" si="103"/>
        <v>15.4</v>
      </c>
      <c r="AZ684">
        <f t="shared" si="104"/>
        <v>1.57</v>
      </c>
      <c r="BB684" t="str">
        <f>IF($H684="","",IFERROR(INDEX(_ENGINE_Risk!$AE$5:$AE$499,MATCH($E684,_ENGINE_Risk!$A$5:$A$499,0)),"Medium"))</f>
        <v>Fast</v>
      </c>
      <c r="BC684">
        <f t="shared" si="105"/>
        <v>1.25</v>
      </c>
      <c r="BD684">
        <f t="shared" si="106"/>
        <v>1.57</v>
      </c>
      <c r="BF684">
        <f>IF(OR($H684="",$J684=""),"",IFERROR(VLOOKUP(ROUND($J684,0),_CONFIG_Model_Settings!$D$154:$E$158,2,0),""))</f>
        <v>0.5</v>
      </c>
      <c r="BG684">
        <f>IFERROR(IF(OR($H684="",$K684=""),"",ROUND('Company Profile'!$B$113*INDEX(_CONFIG_Model_Settings!$H$154:$H$158,MATCH(ROUND($K684,0),_CONFIG_Model_Settings!$G$154:$G$158,0)),0)),0)</f>
        <v>875</v>
      </c>
      <c r="BH684">
        <f t="shared" si="107"/>
        <v>437.5</v>
      </c>
      <c r="BI684">
        <f t="shared" si="108"/>
        <v>437.5</v>
      </c>
      <c r="BJ684">
        <f>IF($E684="","",IFERROR(VLOOKUP($C684,_CONFIG_Risk_Calibration!$A$5:$H$21,2,FALSE),3))</f>
        <v>3</v>
      </c>
      <c r="BK684">
        <f>IF($E684="","",IFERROR(VLOOKUP($C684,_CONFIG_Risk_Calibration!$A$5:$H$21,3,FALSE),0))</f>
        <v>0</v>
      </c>
      <c r="BL684">
        <f>IF($E684="","",IFERROR(VLOOKUP($C684,_CONFIG_Risk_Calibration!$A$5:$H$21,4,FALSE),3))</f>
        <v>3</v>
      </c>
      <c r="BM684">
        <f>IF($E684="","",IFERROR(VLOOKUP($C684,_CONFIG_Risk_Calibration!$A$5:$H$21,5,FALSE),3))</f>
        <v>3</v>
      </c>
      <c r="BN684" t="str">
        <f>IF($E684="","",IFERROR(VLOOKUP($C684,_CONFIG_Risk_Calibration!$A$5:$H$21,6,FALSE),"No"))</f>
        <v>No</v>
      </c>
      <c r="BO684">
        <f>IF($E684="","",IFERROR(VLOOKUP($C684,_CONFIG_Risk_Calibration!$A$5:$H$21,7,FALSE),1))</f>
        <v>1</v>
      </c>
      <c r="BP684">
        <f>IF($H684="","",MAX(1,MIN(5,((6-$H684)*0.45)+($BJ684*0.2)+('Resilience &amp; Risk Scenario'!$B$7*0.15)+($BK684*0.1)+($BL684*0.05)+(IF($BB684="Fast",5,IF($BB684="Slow",1,3))*0.05))))</f>
        <v>3.7</v>
      </c>
      <c r="BQ684">
        <f t="shared" si="109"/>
        <v>4.1500000000000004</v>
      </c>
      <c r="BR684">
        <f t="shared" si="110"/>
        <v>15.36</v>
      </c>
      <c r="BS684">
        <f t="shared" si="111"/>
        <v>19.2</v>
      </c>
      <c r="BT684" t="str">
        <f>IFERROR(INDEX(_REF_Capability_Bridge!$D:$D,MATCH($C684&amp;"|"&amp;$D684,_REF_Capability_Bridge!$J:$J,0)),IFERROR(INDEX(_REF_Capability_Bridge!$D:$D,MATCH($C684&amp;"|",_REF_Capability_Bridge!$J:$J,0)),"CAP_GENERIC"))</f>
        <v>CAP_INVENTORY_PLANNING</v>
      </c>
      <c r="BU684">
        <f>IFERROR(IFERROR(INDEX(_ENGINE_Relevance!$L:$L,MATCH($BT684,_ENGINE_Relevance!$B:$B,0)),1),1)</f>
        <v>1</v>
      </c>
      <c r="BV684" t="str">
        <f>IFERROR(INDEX(_REF_Capability_Bridge!$A:$A,MATCH($C684&amp;"|"&amp;$D684,_REF_Capability_Bridge!$J:$J,0)),IFERROR(INDEX(_REF_Capability_Bridge!$A:$A,MATCH($C684&amp;"|",_REF_Capability_Bridge!$J:$J,0)),"No bridge"))</f>
        <v>BRG-028</v>
      </c>
      <c r="BW684" t="str">
        <f t="shared" si="112"/>
        <v>Capability relevance neutral</v>
      </c>
      <c r="BX684" t="str">
        <f t="shared" si="113"/>
        <v>Initial / absent</v>
      </c>
      <c r="BY684" t="str">
        <f>IF($E684="","",IFERROR(INDEX(_REF_Treatment_Library!$A$2:$A$296,MATCH(1,INDEX((_REF_Treatment_Library!$B$2:$B$296=$BT684)*(_REF_Treatment_Library!$C$2:$C$296=PV_Canonical_Industry)*(_REF_Treatment_Library!$E$2:$E$296&lt;=N($H684))*(_REF_Treatment_Library!$F$2:$F$296&gt;=N($H684))*(_REF_Treatment_Library!$O$2:$O$296="Yes"),0),0)),IFERROR(INDEX(_REF_Treatment_Library!$A$2:$A$296,MATCH(1,INDEX((_REF_Treatment_Library!$B$2:$B$296=$BT684)*(_REF_Treatment_Library!$C$2:$C$296="All")*(_REF_Treatment_Library!$E$2:$E$296&lt;=N($H684))*(_REF_Treatment_Library!$F$2:$F$296&gt;=N($H684))*(_REF_Treatment_Library!$O$2:$O$296="Yes"),0),0)),"")))</f>
        <v>TRT-INVENTORY_PLANNING-INITIAL</v>
      </c>
      <c r="BZ684" t="str">
        <f>IF($BY684="","",IFERROR(INDEX(_REF_Treatment_Library!$H$2:$H$296,MATCH($BY684,_REF_Treatment_Library!$A$2:$A$296,0)),""))</f>
        <v>Establish</v>
      </c>
      <c r="CA684" t="str">
        <f>IF($BY684="","",IFERROR(INDEX(_REF_Treatment_Library!$I$2:$I$296,MATCH($BY684,_REF_Treatment_Library!$A$2:$A$296,0)),""))</f>
        <v>Establish baseline controls for Inventory planning</v>
      </c>
      <c r="CB684" t="str">
        <f>IF($BY684="","",IFERROR(INDEX(_REF_Treatment_Library!$K$2:$K$296,MATCH($BY684,_REF_Treatment_Library!$A$2:$A$296,0)),""))</f>
        <v>Named owner, baseline process, minimum control checklist, first evidence package</v>
      </c>
      <c r="CC684" t="str">
        <f>IF($BY684="","",IFERROR(INDEX(_REF_Treatment_Library!$L$2:$L$296,MATCH($BY684,_REF_Treatment_Library!$A$2:$A$296,0)),""))</f>
        <v>Owner assigned; baseline evidence coverage; open critical gaps</v>
      </c>
      <c r="CD684" t="str">
        <f t="shared" si="114"/>
        <v>Treatment by capability=CAP_INVENTORY_PLANNING; band=Initial / absent; score=0.0; treatment=Establish</v>
      </c>
      <c r="CE684" t="str">
        <f>IF($E684="","",IFERROR(INDEX(_REF_Industry_Wording!$A$2:$A$70,MATCH(1,INDEX((_REF_Industry_Wording!$B$2:$B$70=$BT684)*(_REF_Industry_Wording!$C$2:$C$70=PV_Canonical_Industry)*(_REF_Industry_Wording!$K$2:$K$70="Yes"),0),0)),IFERROR(INDEX(_REF_Industry_Wording!$A$2:$A$70,MATCH(1,INDEX((_REF_Industry_Wording!$B$2:$B$70=$BT684)*(_REF_Industry_Wording!$C$2:$C$70="All")*(_REF_Industry_Wording!$K$2:$K$70="Yes"),0),0)),"")))</f>
        <v>IW-ALL-INVENTORY_PLANNING</v>
      </c>
      <c r="CF684" t="str">
        <f>IF($CE684="","",IFERROR(INDEX(_REF_Industry_Wording!$E$2:$E$70,MATCH($CE684,_REF_Industry_Wording!$A$2:$A$70,0)),""))</f>
        <v>Inventory planning weakness</v>
      </c>
      <c r="CG684" t="str">
        <f>IF($CE684="","",IFERROR(INDEX(_REF_Industry_Wording!$F$2:$F$70,MATCH($CE684,_REF_Industry_Wording!$A$2:$A$70,0)),""))</f>
        <v>Strengthen Inventory planning</v>
      </c>
      <c r="CH684" t="str">
        <f>IF($CE684="","",IFERROR(INDEX(_REF_Industry_Wording!$G$2:$G$70,MATCH($CE684,_REF_Industry_Wording!$A$2:$A$70,0)),""))</f>
        <v>Strengthen Inventory planning using the selected maturity treatment, crisis scenario and evidence requirements.</v>
      </c>
      <c r="CI684" t="str">
        <f>IF($CE684="","",IFERROR(INDEX(_REF_Industry_Wording!$H$2:$H$70,MATCH($CE684,_REF_Industry_Wording!$A$2:$A$70,0)),""))</f>
        <v>Inventory planning</v>
      </c>
      <c r="CJ684">
        <f>IF($CE684="","",IFERROR(INDEX(_REF_Industry_Wording!$I$2:$I$70,MATCH($CE684,_REF_Industry_Wording!$A$2:$A$70,0)),""))</f>
        <v>0</v>
      </c>
      <c r="CK684" t="str">
        <f>IF($CE684="","",IFERROR(INDEX(_REF_Industry_Wording!$J$2:$J$70,MATCH($CE684,_REF_Industry_Wording!$A$2:$A$70,0)),""))</f>
        <v>Inventory planning</v>
      </c>
      <c r="CL684" t="str">
        <f t="shared" si="115"/>
        <v>Wording by industry=0; capability=CAP_INVENTORY_PLANNING; risk label=Inventory planning weakness</v>
      </c>
      <c r="CM684" t="str">
        <f t="shared" si="116"/>
        <v>RISK-ONT-0185</v>
      </c>
      <c r="CN684" t="str">
        <f t="shared" si="117"/>
        <v>RISK-EVT-0185</v>
      </c>
      <c r="CO684" t="str">
        <f t="shared" si="118"/>
        <v>Delivery Ops|Process control|DELI-014|CAP_INVENTORY_PLANNING</v>
      </c>
      <c r="CP684" t="str">
        <f t="shared" si="119"/>
        <v>Active</v>
      </c>
      <c r="CQ684" t="str">
        <f t="shared" si="120"/>
        <v>OK: capability-driven</v>
      </c>
      <c r="CR684" t="str">
        <f t="shared" si="121"/>
        <v>Risk ontology uses capability=CAP_INVENTORY_PLANNING; bridge=BRG-028; treatment=TRT-INVENTORY_PLANNING-INITIAL; wording=IW-ALL-INVENTORY_PLANNING</v>
      </c>
      <c r="CS684" t="str">
        <f t="shared" si="122"/>
        <v>Yes</v>
      </c>
    </row>
    <row r="685" spans="1:97" ht="69.900000000000006" customHeight="1">
      <c r="A685">
        <f>IF(OR($B685&lt;&gt;"Yes",$BS685=""),"",SUMPRODUCT(($B$500:$B$923="Yes")*ISNUMBER($BS$500:$BS$923)*($BS$500:$BS$923&gt;$BS685))+COUNTIFS($B$500:$B685,"Yes",$BS$500:$BS685,$BS685))</f>
        <v>135</v>
      </c>
      <c r="B685" t="str">
        <f t="shared" si="91"/>
        <v>Yes</v>
      </c>
      <c r="C685" t="s">
        <v>1859</v>
      </c>
      <c r="D685" t="s">
        <v>1880</v>
      </c>
      <c r="E685" t="s">
        <v>1933</v>
      </c>
      <c r="F685" t="s">
        <v>3686</v>
      </c>
      <c r="G685" t="str">
        <f>IF($H685="","",IFERROR(INDEX(_ENGINE_Risk!$H$5:$M$499,MATCH($E685,_ENGINE_Risk!$A$5:$A$499,0),$H685+1),""))</f>
        <v>Severe risk: quality gates across delivery, production, release or service lifecycle is not reliably controlled. During Delivery disruption; Customer impact; Workforce disruption, the organization may face missed commitments, SLA breaches, service interruption and weak customer recovery with limited visibility or accountability.</v>
      </c>
      <c r="H685">
        <f>IFERROR(VALUE(INDEX(_DATA_Assessment_Model!$H$5:$H$884,MATCH($E685,_DATA_Assessment_Model!$A$5:$A$884,0))),"")</f>
        <v>0</v>
      </c>
      <c r="I685" t="str">
        <f>IF($H685="","",IFERROR(INDEX(_DATA_Assessment_Model!$L$5:$L$884,MATCH($E685,_DATA_Assessment_Model!$A$5:$A$884,0)),IF($H685&lt;=1,"Critical",IF($H685=2,"High",IF($H685=3,"Medium",IF($H685=4,"Low","Resilient"))))))</f>
        <v>Critical</v>
      </c>
      <c r="J685">
        <f t="shared" si="92"/>
        <v>3.7</v>
      </c>
      <c r="K685">
        <f t="shared" si="93"/>
        <v>4.3500000000000005</v>
      </c>
      <c r="L685">
        <f t="shared" si="94"/>
        <v>16.095000000000002</v>
      </c>
      <c r="M685">
        <f t="shared" si="95"/>
        <v>4</v>
      </c>
      <c r="N685">
        <f>IF($H685="","",IFERROR(INDEX(_ENGINE_Risk!$T$5:$Y$499,MATCH($E685,_ENGINE_Risk!$A$5:$A$499,0),$H685+1),""))</f>
        <v>3</v>
      </c>
      <c r="O685">
        <f t="shared" si="96"/>
        <v>4.666666666666667</v>
      </c>
      <c r="P685">
        <f t="shared" si="97"/>
        <v>5</v>
      </c>
      <c r="Q685">
        <f t="shared" si="98"/>
        <v>5</v>
      </c>
      <c r="R685">
        <f t="shared" si="99"/>
        <v>4.5</v>
      </c>
      <c r="S685">
        <f t="shared" si="100"/>
        <v>1.6</v>
      </c>
      <c r="T685" t="str">
        <f>IF($H685="","",IFERROR(INDEX(_ENGINE_Risk!$N$5:$S$499,MATCH($E685,_ENGINE_Risk!$A$5:$A$499,0),$H685+1),""))</f>
        <v>Create an immediate risk owner, minimum control baseline and fallback procedure for quality gates across delivery, production, release or service lifecycle. Add it to the crisis risk register and collect first evidence.</v>
      </c>
      <c r="U685">
        <f>IFERROR(INDEX(_DATA_Assessment_Model!$G$5:$G$884,MATCH($E685,_DATA_Assessment_Model!$A$5:$A$884,0)),"")</f>
        <v>5</v>
      </c>
      <c r="V685">
        <f>IFERROR(INDEX(_DATA_Assessment_Model!$W$5:$W$884,MATCH($E685,_DATA_Assessment_Model!$A$5:$A$884,0)),"")</f>
        <v>4</v>
      </c>
      <c r="W685">
        <f>IFERROR(INDEX(_DATA_Assessment_Model!$X$5:$X$884,MATCH($E685,_DATA_Assessment_Model!$A$5:$A$884,0)),"")</f>
        <v>5</v>
      </c>
      <c r="X685">
        <f>IFERROR(INDEX(_DATA_Assessment_Model!$Y$5:$Y$884,MATCH($E685,_DATA_Assessment_Model!$A$5:$A$884,0)),"")</f>
        <v>5</v>
      </c>
      <c r="Y685" t="s">
        <v>1866</v>
      </c>
      <c r="Z685" t="s">
        <v>7028</v>
      </c>
      <c r="AA685" t="s">
        <v>1935</v>
      </c>
      <c r="AB685">
        <f>IFERROR(INDEX(_DATA_Assessment_Model!$U$5:$U$884,MATCH($E685,_DATA_Assessment_Model!$A$5:$A$884,0)),"")</f>
        <v>0</v>
      </c>
      <c r="AF685" t="s">
        <v>1934</v>
      </c>
      <c r="AO685">
        <f>IF($B685="Yes",IF(IFERROR(INDEX(_ENGINE_Crisis!$F$501:$F$517,MATCH($C685,_ENGINE_Crisis!$A$501:$A$517,0)),1)=0,1,IFERROR(INDEX(_ENGINE_Crisis!$F$501:$F$517,MATCH($C685,_ENGINE_Crisis!$A$501:$A$517,0)),1)),"")</f>
        <v>1</v>
      </c>
      <c r="AP685">
        <f t="shared" si="101"/>
        <v>16.100000000000001</v>
      </c>
      <c r="AQ685">
        <f t="shared" si="102"/>
        <v>1.6</v>
      </c>
      <c r="AR685" t="str">
        <f>IFERROR(INDEX(_ENGINE_Crisis!$E$41:$E$700,MATCH('Resilience &amp; Risk Scenario'!$B$6&amp;"|"&amp;$C685,_ENGINE_Crisis!$I$41:$I$700,0)),"")</f>
        <v/>
      </c>
      <c r="AS685" t="str">
        <f>IFERROR(INDEX(_ENGINE_Crisis!$G$41:$G$700,MATCH('Resilience &amp; Risk Scenario'!$B$6&amp;"|"&amp;$C685,_ENGINE_Crisis!$I$41:$I$700,0)),"")</f>
        <v/>
      </c>
      <c r="AT685" t="str">
        <f>IFERROR(INDEX(_ENGINE_Initiatives!$A$5:$A$532,MATCH(1,INDEX((_ENGINE_Initiatives!$B$5:$B$532=$C685)*(_ENGINE_Initiatives!$C$5:$C$532=$D685),0),0)),"")</f>
        <v>INI-030</v>
      </c>
      <c r="AU685" t="str">
        <f>IFERROR(INDEX(_ENGINE_Initiatives!$F$5:$F$532,MATCH(1,INDEX((_ENGINE_Initiatives!$B$5:$B$532=$C685)*(_ENGINE_Initiatives!$C$5:$C$532=$D685),0),0)),"")</f>
        <v>Strengthen process control, SOPs and operational quality gates</v>
      </c>
      <c r="AV685">
        <f>IFERROR(INDEX(_ENGINE_Initiatives!$AC$5:$AC$532,MATCH(1,INDEX((_ENGINE_Initiatives!$B$5:$B$532=$C685)*(_ENGINE_Initiatives!$C$5:$C$532=$D685),0),0)),"")</f>
        <v>1.79</v>
      </c>
      <c r="AW685" t="str">
        <f>IFERROR(INDEX(_ENGINE_Initiatives!$AE$5:$AE$532,MATCH(1,INDEX((_ENGINE_Initiatives!$B$5:$B$532=$C685)*(_ENGINE_Initiatives!$C$5:$C$532=$D685),0),0)),"")</f>
        <v>3-6 months</v>
      </c>
      <c r="AX685">
        <f>IF($B685="Yes",IFERROR((IF(SUMIFS(_REF_Model_Content!$E$1:$E$613,_REF_Model_Content!$A$1:$A$613,PV_Canonical_Industry,_REF_Model_Content!$B$1:$B$613,$C685)=0,1,SUMIFS(_REF_Model_Content!$E$1:$E$613,_REF_Model_Content!$A$1:$A$613,PV_Canonical_Industry,_REF_Model_Content!$B$1:$B$613,$C685))*IFERROR($BU685,1)),1),"")</f>
        <v>1</v>
      </c>
      <c r="AY685">
        <f t="shared" si="103"/>
        <v>16.100000000000001</v>
      </c>
      <c r="AZ685">
        <f t="shared" si="104"/>
        <v>1.6</v>
      </c>
      <c r="BB685" t="str">
        <f>IF($H685="","",IFERROR(INDEX(_ENGINE_Risk!$AE$5:$AE$499,MATCH($E685,_ENGINE_Risk!$A$5:$A$499,0)),"Medium"))</f>
        <v>Fast</v>
      </c>
      <c r="BC685">
        <f t="shared" si="105"/>
        <v>1.25</v>
      </c>
      <c r="BD685">
        <f t="shared" si="106"/>
        <v>1.6</v>
      </c>
      <c r="BF685">
        <f>IF(OR($H685="",$J685=""),"",IFERROR(VLOOKUP(ROUND($J685,0),_CONFIG_Model_Settings!$D$154:$E$158,2,0),""))</f>
        <v>0.5</v>
      </c>
      <c r="BG685">
        <f>IFERROR(IF(OR($H685="",$K685=""),"",ROUND('Company Profile'!$B$113*INDEX(_CONFIG_Model_Settings!$H$154:$H$158,MATCH(ROUND($K685,0),_CONFIG_Model_Settings!$G$154:$G$158,0)),0)),0)</f>
        <v>875</v>
      </c>
      <c r="BH685">
        <f t="shared" si="107"/>
        <v>437.5</v>
      </c>
      <c r="BI685">
        <f t="shared" si="108"/>
        <v>437.5</v>
      </c>
      <c r="BJ685">
        <f>IF($E685="","",IFERROR(VLOOKUP($C685,_CONFIG_Risk_Calibration!$A$5:$H$21,2,FALSE),3))</f>
        <v>3</v>
      </c>
      <c r="BK685">
        <f>IF($E685="","",IFERROR(VLOOKUP($C685,_CONFIG_Risk_Calibration!$A$5:$H$21,3,FALSE),0))</f>
        <v>0</v>
      </c>
      <c r="BL685">
        <f>IF($E685="","",IFERROR(VLOOKUP($C685,_CONFIG_Risk_Calibration!$A$5:$H$21,4,FALSE),3))</f>
        <v>3</v>
      </c>
      <c r="BM685">
        <f>IF($E685="","",IFERROR(VLOOKUP($C685,_CONFIG_Risk_Calibration!$A$5:$H$21,5,FALSE),3))</f>
        <v>3</v>
      </c>
      <c r="BN685" t="str">
        <f>IF($E685="","",IFERROR(VLOOKUP($C685,_CONFIG_Risk_Calibration!$A$5:$H$21,6,FALSE),"No"))</f>
        <v>No</v>
      </c>
      <c r="BO685">
        <f>IF($E685="","",IFERROR(VLOOKUP($C685,_CONFIG_Risk_Calibration!$A$5:$H$21,7,FALSE),1))</f>
        <v>1</v>
      </c>
      <c r="BP685">
        <f>IF($H685="","",MAX(1,MIN(5,((6-$H685)*0.45)+($BJ685*0.2)+('Resilience &amp; Risk Scenario'!$B$7*0.15)+($BK685*0.1)+($BL685*0.05)+(IF($BB685="Fast",5,IF($BB685="Slow",1,3))*0.05))))</f>
        <v>3.7</v>
      </c>
      <c r="BQ685">
        <f t="shared" si="109"/>
        <v>4.3500000000000005</v>
      </c>
      <c r="BR685">
        <f t="shared" si="110"/>
        <v>16.100000000000001</v>
      </c>
      <c r="BS685">
        <f t="shared" si="111"/>
        <v>20.13</v>
      </c>
      <c r="BT685" t="str">
        <f>IFERROR(INDEX(_REF_Capability_Bridge!$D:$D,MATCH($C685&amp;"|"&amp;$D685,_REF_Capability_Bridge!$J:$J,0)),IFERROR(INDEX(_REF_Capability_Bridge!$D:$D,MATCH($C685&amp;"|",_REF_Capability_Bridge!$J:$J,0)),"CAP_GENERIC"))</f>
        <v>CAP_INVENTORY_PLANNING</v>
      </c>
      <c r="BU685">
        <f>IFERROR(IFERROR(INDEX(_ENGINE_Relevance!$L:$L,MATCH($BT685,_ENGINE_Relevance!$B:$B,0)),1),1)</f>
        <v>1</v>
      </c>
      <c r="BV685" t="str">
        <f>IFERROR(INDEX(_REF_Capability_Bridge!$A:$A,MATCH($C685&amp;"|"&amp;$D685,_REF_Capability_Bridge!$J:$J,0)),IFERROR(INDEX(_REF_Capability_Bridge!$A:$A,MATCH($C685&amp;"|",_REF_Capability_Bridge!$J:$J,0)),"No bridge"))</f>
        <v>BRG-028</v>
      </c>
      <c r="BW685" t="str">
        <f t="shared" si="112"/>
        <v>Capability relevance neutral</v>
      </c>
      <c r="BX685" t="str">
        <f t="shared" si="113"/>
        <v>Initial / absent</v>
      </c>
      <c r="BY685" t="str">
        <f>IF($E685="","",IFERROR(INDEX(_REF_Treatment_Library!$A$2:$A$296,MATCH(1,INDEX((_REF_Treatment_Library!$B$2:$B$296=$BT685)*(_REF_Treatment_Library!$C$2:$C$296=PV_Canonical_Industry)*(_REF_Treatment_Library!$E$2:$E$296&lt;=N($H685))*(_REF_Treatment_Library!$F$2:$F$296&gt;=N($H685))*(_REF_Treatment_Library!$O$2:$O$296="Yes"),0),0)),IFERROR(INDEX(_REF_Treatment_Library!$A$2:$A$296,MATCH(1,INDEX((_REF_Treatment_Library!$B$2:$B$296=$BT685)*(_REF_Treatment_Library!$C$2:$C$296="All")*(_REF_Treatment_Library!$E$2:$E$296&lt;=N($H685))*(_REF_Treatment_Library!$F$2:$F$296&gt;=N($H685))*(_REF_Treatment_Library!$O$2:$O$296="Yes"),0),0)),"")))</f>
        <v>TRT-INVENTORY_PLANNING-INITIAL</v>
      </c>
      <c r="BZ685" t="str">
        <f>IF($BY685="","",IFERROR(INDEX(_REF_Treatment_Library!$H$2:$H$296,MATCH($BY685,_REF_Treatment_Library!$A$2:$A$296,0)),""))</f>
        <v>Establish</v>
      </c>
      <c r="CA685" t="str">
        <f>IF($BY685="","",IFERROR(INDEX(_REF_Treatment_Library!$I$2:$I$296,MATCH($BY685,_REF_Treatment_Library!$A$2:$A$296,0)),""))</f>
        <v>Establish baseline controls for Inventory planning</v>
      </c>
      <c r="CB685" t="str">
        <f>IF($BY685="","",IFERROR(INDEX(_REF_Treatment_Library!$K$2:$K$296,MATCH($BY685,_REF_Treatment_Library!$A$2:$A$296,0)),""))</f>
        <v>Named owner, baseline process, minimum control checklist, first evidence package</v>
      </c>
      <c r="CC685" t="str">
        <f>IF($BY685="","",IFERROR(INDEX(_REF_Treatment_Library!$L$2:$L$296,MATCH($BY685,_REF_Treatment_Library!$A$2:$A$296,0)),""))</f>
        <v>Owner assigned; baseline evidence coverage; open critical gaps</v>
      </c>
      <c r="CD685" t="str">
        <f t="shared" si="114"/>
        <v>Treatment by capability=CAP_INVENTORY_PLANNING; band=Initial / absent; score=0.0; treatment=Establish</v>
      </c>
      <c r="CE685" t="str">
        <f>IF($E685="","",IFERROR(INDEX(_REF_Industry_Wording!$A$2:$A$70,MATCH(1,INDEX((_REF_Industry_Wording!$B$2:$B$70=$BT685)*(_REF_Industry_Wording!$C$2:$C$70=PV_Canonical_Industry)*(_REF_Industry_Wording!$K$2:$K$70="Yes"),0),0)),IFERROR(INDEX(_REF_Industry_Wording!$A$2:$A$70,MATCH(1,INDEX((_REF_Industry_Wording!$B$2:$B$70=$BT685)*(_REF_Industry_Wording!$C$2:$C$70="All")*(_REF_Industry_Wording!$K$2:$K$70="Yes"),0),0)),"")))</f>
        <v>IW-ALL-INVENTORY_PLANNING</v>
      </c>
      <c r="CF685" t="str">
        <f>IF($CE685="","",IFERROR(INDEX(_REF_Industry_Wording!$E$2:$E$70,MATCH($CE685,_REF_Industry_Wording!$A$2:$A$70,0)),""))</f>
        <v>Inventory planning weakness</v>
      </c>
      <c r="CG685" t="str">
        <f>IF($CE685="","",IFERROR(INDEX(_REF_Industry_Wording!$F$2:$F$70,MATCH($CE685,_REF_Industry_Wording!$A$2:$A$70,0)),""))</f>
        <v>Strengthen Inventory planning</v>
      </c>
      <c r="CH685" t="str">
        <f>IF($CE685="","",IFERROR(INDEX(_REF_Industry_Wording!$G$2:$G$70,MATCH($CE685,_REF_Industry_Wording!$A$2:$A$70,0)),""))</f>
        <v>Strengthen Inventory planning using the selected maturity treatment, crisis scenario and evidence requirements.</v>
      </c>
      <c r="CI685" t="str">
        <f>IF($CE685="","",IFERROR(INDEX(_REF_Industry_Wording!$H$2:$H$70,MATCH($CE685,_REF_Industry_Wording!$A$2:$A$70,0)),""))</f>
        <v>Inventory planning</v>
      </c>
      <c r="CJ685">
        <f>IF($CE685="","",IFERROR(INDEX(_REF_Industry_Wording!$I$2:$I$70,MATCH($CE685,_REF_Industry_Wording!$A$2:$A$70,0)),""))</f>
        <v>0</v>
      </c>
      <c r="CK685" t="str">
        <f>IF($CE685="","",IFERROR(INDEX(_REF_Industry_Wording!$J$2:$J$70,MATCH($CE685,_REF_Industry_Wording!$A$2:$A$70,0)),""))</f>
        <v>Inventory planning</v>
      </c>
      <c r="CL685" t="str">
        <f t="shared" si="115"/>
        <v>Wording by industry=0; capability=CAP_INVENTORY_PLANNING; risk label=Inventory planning weakness</v>
      </c>
      <c r="CM685" t="str">
        <f t="shared" si="116"/>
        <v>RISK-ONT-0186</v>
      </c>
      <c r="CN685" t="str">
        <f t="shared" si="117"/>
        <v>RISK-EVT-0186</v>
      </c>
      <c r="CO685" t="str">
        <f t="shared" si="118"/>
        <v>Delivery Ops|Process control|DELI-015|CAP_INVENTORY_PLANNING</v>
      </c>
      <c r="CP685" t="str">
        <f t="shared" si="119"/>
        <v>Active</v>
      </c>
      <c r="CQ685" t="str">
        <f t="shared" si="120"/>
        <v>OK: capability-driven</v>
      </c>
      <c r="CR685" t="str">
        <f t="shared" si="121"/>
        <v>Risk ontology uses capability=CAP_INVENTORY_PLANNING; bridge=BRG-028; treatment=TRT-INVENTORY_PLANNING-INITIAL; wording=IW-ALL-INVENTORY_PLANNING</v>
      </c>
      <c r="CS685" t="str">
        <f t="shared" si="122"/>
        <v>Yes</v>
      </c>
    </row>
    <row r="686" spans="1:97" ht="69.900000000000006" customHeight="1">
      <c r="A686">
        <f>IF(OR($B686&lt;&gt;"Yes",$BS686=""),"",SUMPRODUCT(($B$500:$B$923="Yes")*ISNUMBER($BS$500:$BS$923)*($BS$500:$BS$923&gt;$BS686))+COUNTIFS($B$500:$B686,"Yes",$BS$500:$BS686,$BS686))</f>
        <v>164</v>
      </c>
      <c r="B686" t="str">
        <f t="shared" si="91"/>
        <v>Yes</v>
      </c>
      <c r="C686" t="s">
        <v>1859</v>
      </c>
      <c r="D686" t="s">
        <v>1880</v>
      </c>
      <c r="E686" t="s">
        <v>1936</v>
      </c>
      <c r="F686" t="s">
        <v>3686</v>
      </c>
      <c r="G686" t="str">
        <f>IF($H686="","",IFERROR(INDEX(_ENGINE_Risk!$H$5:$M$499,MATCH($E686,_ENGINE_Risk!$A$5:$A$499,0),$H686+1),""))</f>
        <v>Severe risk: change control with risk, customer impact, rollback and communication is not reliably controlled. During Delivery disruption; Customer impact; Workforce disruption, the organization may face missed commitments, SLA breaches, service interruption and weak customer recovery with limited visibility or accountability.</v>
      </c>
      <c r="H686">
        <f>IFERROR(VALUE(INDEX(_DATA_Assessment_Model!$H$5:$H$884,MATCH($E686,_DATA_Assessment_Model!$A$5:$A$884,0))),"")</f>
        <v>0</v>
      </c>
      <c r="I686" t="str">
        <f>IF($H686="","",IFERROR(INDEX(_DATA_Assessment_Model!$L$5:$L$884,MATCH($E686,_DATA_Assessment_Model!$A$5:$A$884,0)),IF($H686&lt;=1,"Critical",IF($H686=2,"High",IF($H686=3,"Medium",IF($H686=4,"Low","Resilient"))))))</f>
        <v>Critical</v>
      </c>
      <c r="J686">
        <f t="shared" si="92"/>
        <v>3.7</v>
      </c>
      <c r="K686">
        <f t="shared" si="93"/>
        <v>4.1500000000000004</v>
      </c>
      <c r="L686">
        <f t="shared" si="94"/>
        <v>15.355000000000002</v>
      </c>
      <c r="M686">
        <f t="shared" si="95"/>
        <v>4</v>
      </c>
      <c r="N686">
        <f>IF($H686="","",IFERROR(INDEX(_ENGINE_Risk!$T$5:$Y$499,MATCH($E686,_ENGINE_Risk!$A$5:$A$499,0),$H686+1),""))</f>
        <v>3</v>
      </c>
      <c r="O686">
        <f t="shared" si="96"/>
        <v>4.333333333333333</v>
      </c>
      <c r="P686">
        <f t="shared" si="97"/>
        <v>5</v>
      </c>
      <c r="Q686">
        <f t="shared" si="98"/>
        <v>5</v>
      </c>
      <c r="R686">
        <f t="shared" si="99"/>
        <v>4.5</v>
      </c>
      <c r="S686">
        <f t="shared" si="100"/>
        <v>1.57</v>
      </c>
      <c r="T686" t="str">
        <f>IF($H686="","",IFERROR(INDEX(_ENGINE_Risk!$N$5:$S$499,MATCH($E686,_ENGINE_Risk!$A$5:$A$499,0),$H686+1),""))</f>
        <v>Create an immediate risk owner, minimum control baseline and fallback procedure for change control with risk, customer impact, rollback and communication. Add it to the crisis risk register and collect first evidence.</v>
      </c>
      <c r="U686">
        <f>IFERROR(INDEX(_DATA_Assessment_Model!$G$5:$G$884,MATCH($E686,_DATA_Assessment_Model!$A$5:$A$884,0)),"")</f>
        <v>4</v>
      </c>
      <c r="V686">
        <f>IFERROR(INDEX(_DATA_Assessment_Model!$W$5:$W$884,MATCH($E686,_DATA_Assessment_Model!$A$5:$A$884,0)),"")</f>
        <v>4</v>
      </c>
      <c r="W686">
        <f>IFERROR(INDEX(_DATA_Assessment_Model!$X$5:$X$884,MATCH($E686,_DATA_Assessment_Model!$A$5:$A$884,0)),"")</f>
        <v>5</v>
      </c>
      <c r="X686">
        <f>IFERROR(INDEX(_DATA_Assessment_Model!$Y$5:$Y$884,MATCH($E686,_DATA_Assessment_Model!$A$5:$A$884,0)),"")</f>
        <v>5</v>
      </c>
      <c r="Y686" t="s">
        <v>1866</v>
      </c>
      <c r="Z686" t="s">
        <v>7028</v>
      </c>
      <c r="AA686" t="s">
        <v>1938</v>
      </c>
      <c r="AB686">
        <f>IFERROR(INDEX(_DATA_Assessment_Model!$U$5:$U$884,MATCH($E686,_DATA_Assessment_Model!$A$5:$A$884,0)),"")</f>
        <v>0</v>
      </c>
      <c r="AF686" t="s">
        <v>1937</v>
      </c>
      <c r="AO686">
        <f>IF($B686="Yes",IF(IFERROR(INDEX(_ENGINE_Crisis!$F$501:$F$517,MATCH($C686,_ENGINE_Crisis!$A$501:$A$517,0)),1)=0,1,IFERROR(INDEX(_ENGINE_Crisis!$F$501:$F$517,MATCH($C686,_ENGINE_Crisis!$A$501:$A$517,0)),1)),"")</f>
        <v>1</v>
      </c>
      <c r="AP686">
        <f t="shared" si="101"/>
        <v>15.4</v>
      </c>
      <c r="AQ686">
        <f t="shared" si="102"/>
        <v>1.57</v>
      </c>
      <c r="AR686" t="str">
        <f>IFERROR(INDEX(_ENGINE_Crisis!$E$41:$E$700,MATCH('Resilience &amp; Risk Scenario'!$B$6&amp;"|"&amp;$C686,_ENGINE_Crisis!$I$41:$I$700,0)),"")</f>
        <v/>
      </c>
      <c r="AS686" t="str">
        <f>IFERROR(INDEX(_ENGINE_Crisis!$G$41:$G$700,MATCH('Resilience &amp; Risk Scenario'!$B$6&amp;"|"&amp;$C686,_ENGINE_Crisis!$I$41:$I$700,0)),"")</f>
        <v/>
      </c>
      <c r="AT686" t="str">
        <f>IFERROR(INDEX(_ENGINE_Initiatives!$A$5:$A$532,MATCH(1,INDEX((_ENGINE_Initiatives!$B$5:$B$532=$C686)*(_ENGINE_Initiatives!$C$5:$C$532=$D686),0),0)),"")</f>
        <v>INI-030</v>
      </c>
      <c r="AU686" t="str">
        <f>IFERROR(INDEX(_ENGINE_Initiatives!$F$5:$F$532,MATCH(1,INDEX((_ENGINE_Initiatives!$B$5:$B$532=$C686)*(_ENGINE_Initiatives!$C$5:$C$532=$D686),0),0)),"")</f>
        <v>Strengthen process control, SOPs and operational quality gates</v>
      </c>
      <c r="AV686">
        <f>IFERROR(INDEX(_ENGINE_Initiatives!$AC$5:$AC$532,MATCH(1,INDEX((_ENGINE_Initiatives!$B$5:$B$532=$C686)*(_ENGINE_Initiatives!$C$5:$C$532=$D686),0),0)),"")</f>
        <v>1.79</v>
      </c>
      <c r="AW686" t="str">
        <f>IFERROR(INDEX(_ENGINE_Initiatives!$AE$5:$AE$532,MATCH(1,INDEX((_ENGINE_Initiatives!$B$5:$B$532=$C686)*(_ENGINE_Initiatives!$C$5:$C$532=$D686),0),0)),"")</f>
        <v>3-6 months</v>
      </c>
      <c r="AX686">
        <f>IF($B686="Yes",IFERROR((IF(SUMIFS(_REF_Model_Content!$E$1:$E$613,_REF_Model_Content!$A$1:$A$613,PV_Canonical_Industry,_REF_Model_Content!$B$1:$B$613,$C686)=0,1,SUMIFS(_REF_Model_Content!$E$1:$E$613,_REF_Model_Content!$A$1:$A$613,PV_Canonical_Industry,_REF_Model_Content!$B$1:$B$613,$C686))*IFERROR($BU686,1)),1),"")</f>
        <v>1</v>
      </c>
      <c r="AY686">
        <f t="shared" si="103"/>
        <v>15.4</v>
      </c>
      <c r="AZ686">
        <f t="shared" si="104"/>
        <v>1.57</v>
      </c>
      <c r="BB686" t="str">
        <f>IF($H686="","",IFERROR(INDEX(_ENGINE_Risk!$AE$5:$AE$499,MATCH($E686,_ENGINE_Risk!$A$5:$A$499,0)),"Medium"))</f>
        <v>Fast</v>
      </c>
      <c r="BC686">
        <f t="shared" si="105"/>
        <v>1.25</v>
      </c>
      <c r="BD686">
        <f t="shared" si="106"/>
        <v>1.57</v>
      </c>
      <c r="BF686">
        <f>IF(OR($H686="",$J686=""),"",IFERROR(VLOOKUP(ROUND($J686,0),_CONFIG_Model_Settings!$D$154:$E$158,2,0),""))</f>
        <v>0.5</v>
      </c>
      <c r="BG686">
        <f>IFERROR(IF(OR($H686="",$K686=""),"",ROUND('Company Profile'!$B$113*INDEX(_CONFIG_Model_Settings!$H$154:$H$158,MATCH(ROUND($K686,0),_CONFIG_Model_Settings!$G$154:$G$158,0)),0)),0)</f>
        <v>875</v>
      </c>
      <c r="BH686">
        <f t="shared" si="107"/>
        <v>437.5</v>
      </c>
      <c r="BI686">
        <f t="shared" si="108"/>
        <v>437.5</v>
      </c>
      <c r="BJ686">
        <f>IF($E686="","",IFERROR(VLOOKUP($C686,_CONFIG_Risk_Calibration!$A$5:$H$21,2,FALSE),3))</f>
        <v>3</v>
      </c>
      <c r="BK686">
        <f>IF($E686="","",IFERROR(VLOOKUP($C686,_CONFIG_Risk_Calibration!$A$5:$H$21,3,FALSE),0))</f>
        <v>0</v>
      </c>
      <c r="BL686">
        <f>IF($E686="","",IFERROR(VLOOKUP($C686,_CONFIG_Risk_Calibration!$A$5:$H$21,4,FALSE),3))</f>
        <v>3</v>
      </c>
      <c r="BM686">
        <f>IF($E686="","",IFERROR(VLOOKUP($C686,_CONFIG_Risk_Calibration!$A$5:$H$21,5,FALSE),3))</f>
        <v>3</v>
      </c>
      <c r="BN686" t="str">
        <f>IF($E686="","",IFERROR(VLOOKUP($C686,_CONFIG_Risk_Calibration!$A$5:$H$21,6,FALSE),"No"))</f>
        <v>No</v>
      </c>
      <c r="BO686">
        <f>IF($E686="","",IFERROR(VLOOKUP($C686,_CONFIG_Risk_Calibration!$A$5:$H$21,7,FALSE),1))</f>
        <v>1</v>
      </c>
      <c r="BP686">
        <f>IF($H686="","",MAX(1,MIN(5,((6-$H686)*0.45)+($BJ686*0.2)+('Resilience &amp; Risk Scenario'!$B$7*0.15)+($BK686*0.1)+($BL686*0.05)+(IF($BB686="Fast",5,IF($BB686="Slow",1,3))*0.05))))</f>
        <v>3.7</v>
      </c>
      <c r="BQ686">
        <f t="shared" si="109"/>
        <v>4.1500000000000004</v>
      </c>
      <c r="BR686">
        <f t="shared" si="110"/>
        <v>15.36</v>
      </c>
      <c r="BS686">
        <f t="shared" si="111"/>
        <v>19.2</v>
      </c>
      <c r="BT686" t="str">
        <f>IFERROR(INDEX(_REF_Capability_Bridge!$D:$D,MATCH($C686&amp;"|"&amp;$D686,_REF_Capability_Bridge!$J:$J,0)),IFERROR(INDEX(_REF_Capability_Bridge!$D:$D,MATCH($C686&amp;"|",_REF_Capability_Bridge!$J:$J,0)),"CAP_GENERIC"))</f>
        <v>CAP_INVENTORY_PLANNING</v>
      </c>
      <c r="BU686">
        <f>IFERROR(IFERROR(INDEX(_ENGINE_Relevance!$L:$L,MATCH($BT686,_ENGINE_Relevance!$B:$B,0)),1),1)</f>
        <v>1</v>
      </c>
      <c r="BV686" t="str">
        <f>IFERROR(INDEX(_REF_Capability_Bridge!$A:$A,MATCH($C686&amp;"|"&amp;$D686,_REF_Capability_Bridge!$J:$J,0)),IFERROR(INDEX(_REF_Capability_Bridge!$A:$A,MATCH($C686&amp;"|",_REF_Capability_Bridge!$J:$J,0)),"No bridge"))</f>
        <v>BRG-028</v>
      </c>
      <c r="BW686" t="str">
        <f t="shared" si="112"/>
        <v>Capability relevance neutral</v>
      </c>
      <c r="BX686" t="str">
        <f t="shared" si="113"/>
        <v>Initial / absent</v>
      </c>
      <c r="BY686" t="str">
        <f>IF($E686="","",IFERROR(INDEX(_REF_Treatment_Library!$A$2:$A$296,MATCH(1,INDEX((_REF_Treatment_Library!$B$2:$B$296=$BT686)*(_REF_Treatment_Library!$C$2:$C$296=PV_Canonical_Industry)*(_REF_Treatment_Library!$E$2:$E$296&lt;=N($H686))*(_REF_Treatment_Library!$F$2:$F$296&gt;=N($H686))*(_REF_Treatment_Library!$O$2:$O$296="Yes"),0),0)),IFERROR(INDEX(_REF_Treatment_Library!$A$2:$A$296,MATCH(1,INDEX((_REF_Treatment_Library!$B$2:$B$296=$BT686)*(_REF_Treatment_Library!$C$2:$C$296="All")*(_REF_Treatment_Library!$E$2:$E$296&lt;=N($H686))*(_REF_Treatment_Library!$F$2:$F$296&gt;=N($H686))*(_REF_Treatment_Library!$O$2:$O$296="Yes"),0),0)),"")))</f>
        <v>TRT-INVENTORY_PLANNING-INITIAL</v>
      </c>
      <c r="BZ686" t="str">
        <f>IF($BY686="","",IFERROR(INDEX(_REF_Treatment_Library!$H$2:$H$296,MATCH($BY686,_REF_Treatment_Library!$A$2:$A$296,0)),""))</f>
        <v>Establish</v>
      </c>
      <c r="CA686" t="str">
        <f>IF($BY686="","",IFERROR(INDEX(_REF_Treatment_Library!$I$2:$I$296,MATCH($BY686,_REF_Treatment_Library!$A$2:$A$296,0)),""))</f>
        <v>Establish baseline controls for Inventory planning</v>
      </c>
      <c r="CB686" t="str">
        <f>IF($BY686="","",IFERROR(INDEX(_REF_Treatment_Library!$K$2:$K$296,MATCH($BY686,_REF_Treatment_Library!$A$2:$A$296,0)),""))</f>
        <v>Named owner, baseline process, minimum control checklist, first evidence package</v>
      </c>
      <c r="CC686" t="str">
        <f>IF($BY686="","",IFERROR(INDEX(_REF_Treatment_Library!$L$2:$L$296,MATCH($BY686,_REF_Treatment_Library!$A$2:$A$296,0)),""))</f>
        <v>Owner assigned; baseline evidence coverage; open critical gaps</v>
      </c>
      <c r="CD686" t="str">
        <f t="shared" si="114"/>
        <v>Treatment by capability=CAP_INVENTORY_PLANNING; band=Initial / absent; score=0.0; treatment=Establish</v>
      </c>
      <c r="CE686" t="str">
        <f>IF($E686="","",IFERROR(INDEX(_REF_Industry_Wording!$A$2:$A$70,MATCH(1,INDEX((_REF_Industry_Wording!$B$2:$B$70=$BT686)*(_REF_Industry_Wording!$C$2:$C$70=PV_Canonical_Industry)*(_REF_Industry_Wording!$K$2:$K$70="Yes"),0),0)),IFERROR(INDEX(_REF_Industry_Wording!$A$2:$A$70,MATCH(1,INDEX((_REF_Industry_Wording!$B$2:$B$70=$BT686)*(_REF_Industry_Wording!$C$2:$C$70="All")*(_REF_Industry_Wording!$K$2:$K$70="Yes"),0),0)),"")))</f>
        <v>IW-ALL-INVENTORY_PLANNING</v>
      </c>
      <c r="CF686" t="str">
        <f>IF($CE686="","",IFERROR(INDEX(_REF_Industry_Wording!$E$2:$E$70,MATCH($CE686,_REF_Industry_Wording!$A$2:$A$70,0)),""))</f>
        <v>Inventory planning weakness</v>
      </c>
      <c r="CG686" t="str">
        <f>IF($CE686="","",IFERROR(INDEX(_REF_Industry_Wording!$F$2:$F$70,MATCH($CE686,_REF_Industry_Wording!$A$2:$A$70,0)),""))</f>
        <v>Strengthen Inventory planning</v>
      </c>
      <c r="CH686" t="str">
        <f>IF($CE686="","",IFERROR(INDEX(_REF_Industry_Wording!$G$2:$G$70,MATCH($CE686,_REF_Industry_Wording!$A$2:$A$70,0)),""))</f>
        <v>Strengthen Inventory planning using the selected maturity treatment, crisis scenario and evidence requirements.</v>
      </c>
      <c r="CI686" t="str">
        <f>IF($CE686="","",IFERROR(INDEX(_REF_Industry_Wording!$H$2:$H$70,MATCH($CE686,_REF_Industry_Wording!$A$2:$A$70,0)),""))</f>
        <v>Inventory planning</v>
      </c>
      <c r="CJ686">
        <f>IF($CE686="","",IFERROR(INDEX(_REF_Industry_Wording!$I$2:$I$70,MATCH($CE686,_REF_Industry_Wording!$A$2:$A$70,0)),""))</f>
        <v>0</v>
      </c>
      <c r="CK686" t="str">
        <f>IF($CE686="","",IFERROR(INDEX(_REF_Industry_Wording!$J$2:$J$70,MATCH($CE686,_REF_Industry_Wording!$A$2:$A$70,0)),""))</f>
        <v>Inventory planning</v>
      </c>
      <c r="CL686" t="str">
        <f t="shared" si="115"/>
        <v>Wording by industry=0; capability=CAP_INVENTORY_PLANNING; risk label=Inventory planning weakness</v>
      </c>
      <c r="CM686" t="str">
        <f t="shared" si="116"/>
        <v>RISK-ONT-0187</v>
      </c>
      <c r="CN686" t="str">
        <f t="shared" si="117"/>
        <v>RISK-EVT-0187</v>
      </c>
      <c r="CO686" t="str">
        <f t="shared" si="118"/>
        <v>Delivery Ops|Process control|DELI-016|CAP_INVENTORY_PLANNING</v>
      </c>
      <c r="CP686" t="str">
        <f t="shared" si="119"/>
        <v>Active</v>
      </c>
      <c r="CQ686" t="str">
        <f t="shared" si="120"/>
        <v>OK: capability-driven</v>
      </c>
      <c r="CR686" t="str">
        <f t="shared" si="121"/>
        <v>Risk ontology uses capability=CAP_INVENTORY_PLANNING; bridge=BRG-028; treatment=TRT-INVENTORY_PLANNING-INITIAL; wording=IW-ALL-INVENTORY_PLANNING</v>
      </c>
      <c r="CS686" t="str">
        <f t="shared" si="122"/>
        <v>Yes</v>
      </c>
    </row>
    <row r="687" spans="1:97" ht="69.900000000000006" customHeight="1">
      <c r="A687">
        <f>IF(OR($B687&lt;&gt;"Yes",$BS687=""),"",SUMPRODUCT(($B$500:$B$923="Yes")*ISNUMBER($BS$500:$BS$923)*($BS$500:$BS$923&gt;$BS687))+COUNTIFS($B$500:$B687,"Yes",$BS$500:$BS687,$BS687))</f>
        <v>207</v>
      </c>
      <c r="B687" t="str">
        <f t="shared" si="91"/>
        <v>Yes</v>
      </c>
      <c r="C687" t="s">
        <v>1859</v>
      </c>
      <c r="D687" t="s">
        <v>1880</v>
      </c>
      <c r="E687" t="s">
        <v>1945</v>
      </c>
      <c r="F687" t="s">
        <v>3686</v>
      </c>
      <c r="G687" t="str">
        <f>IF($H687="","",IFERROR(INDEX(_ENGINE_Risk!$H$5:$M$499,MATCH($E687,_ENGINE_Risk!$A$5:$A$499,0),$H687+1),""))</f>
        <v>Severe risk: manual workarounds if delivery systems are unavailable is not reliably controlled. During Delivery disruption; Customer impact; Workforce disruption, the organization may face missed commitments, SLA breaches, service interruption and weak customer recovery with limited visibility or accountability.</v>
      </c>
      <c r="H687">
        <f>IFERROR(VALUE(INDEX(_DATA_Assessment_Model!$H$5:$H$884,MATCH($E687,_DATA_Assessment_Model!$A$5:$A$884,0))),"")</f>
        <v>0</v>
      </c>
      <c r="I687" t="str">
        <f>IF($H687="","",IFERROR(INDEX(_DATA_Assessment_Model!$L$5:$L$884,MATCH($E687,_DATA_Assessment_Model!$A$5:$A$884,0)),IF($H687&lt;=1,"Critical",IF($H687=2,"High",IF($H687=3,"Medium",IF($H687=4,"Low","Resilient"))))))</f>
        <v>Critical</v>
      </c>
      <c r="J687">
        <f t="shared" si="92"/>
        <v>3.7</v>
      </c>
      <c r="K687">
        <f t="shared" si="93"/>
        <v>3.95</v>
      </c>
      <c r="L687">
        <f t="shared" si="94"/>
        <v>14.615000000000002</v>
      </c>
      <c r="M687">
        <f t="shared" si="95"/>
        <v>3</v>
      </c>
      <c r="N687">
        <f>IF($H687="","",IFERROR(INDEX(_ENGINE_Risk!$T$5:$Y$499,MATCH($E687,_ENGINE_Risk!$A$5:$A$499,0),$H687+1),""))</f>
        <v>3</v>
      </c>
      <c r="O687">
        <f t="shared" si="96"/>
        <v>4</v>
      </c>
      <c r="P687">
        <f t="shared" si="97"/>
        <v>5</v>
      </c>
      <c r="Q687">
        <f t="shared" si="98"/>
        <v>5</v>
      </c>
      <c r="R687">
        <f t="shared" si="99"/>
        <v>4.5</v>
      </c>
      <c r="S687">
        <f t="shared" si="100"/>
        <v>1.54</v>
      </c>
      <c r="T687" t="str">
        <f>IF($H687="","",IFERROR(INDEX(_ENGINE_Risk!$N$5:$S$499,MATCH($E687,_ENGINE_Risk!$A$5:$A$499,0),$H687+1),""))</f>
        <v>Create an immediate risk owner, minimum control baseline and fallback procedure for manual workarounds if delivery systems are unavailable. Add it to the crisis risk register and collect first evidence.</v>
      </c>
      <c r="U687">
        <f>IFERROR(INDEX(_DATA_Assessment_Model!$G$5:$G$884,MATCH($E687,_DATA_Assessment_Model!$A$5:$A$884,0)),"")</f>
        <v>3</v>
      </c>
      <c r="V687">
        <f>IFERROR(INDEX(_DATA_Assessment_Model!$W$5:$W$884,MATCH($E687,_DATA_Assessment_Model!$A$5:$A$884,0)),"")</f>
        <v>4</v>
      </c>
      <c r="W687">
        <f>IFERROR(INDEX(_DATA_Assessment_Model!$X$5:$X$884,MATCH($E687,_DATA_Assessment_Model!$A$5:$A$884,0)),"")</f>
        <v>5</v>
      </c>
      <c r="X687">
        <f>IFERROR(INDEX(_DATA_Assessment_Model!$Y$5:$Y$884,MATCH($E687,_DATA_Assessment_Model!$A$5:$A$884,0)),"")</f>
        <v>5</v>
      </c>
      <c r="Y687" t="s">
        <v>1866</v>
      </c>
      <c r="Z687" t="s">
        <v>7028</v>
      </c>
      <c r="AA687" t="s">
        <v>1947</v>
      </c>
      <c r="AB687">
        <f>IFERROR(INDEX(_DATA_Assessment_Model!$U$5:$U$884,MATCH($E687,_DATA_Assessment_Model!$A$5:$A$884,0)),"")</f>
        <v>0</v>
      </c>
      <c r="AF687" t="s">
        <v>1946</v>
      </c>
      <c r="AO687">
        <f>IF($B687="Yes",IF(IFERROR(INDEX(_ENGINE_Crisis!$F$501:$F$517,MATCH($C687,_ENGINE_Crisis!$A$501:$A$517,0)),1)=0,1,IFERROR(INDEX(_ENGINE_Crisis!$F$501:$F$517,MATCH($C687,_ENGINE_Crisis!$A$501:$A$517,0)),1)),"")</f>
        <v>1</v>
      </c>
      <c r="AP687">
        <f t="shared" si="101"/>
        <v>14.6</v>
      </c>
      <c r="AQ687">
        <f t="shared" si="102"/>
        <v>1.54</v>
      </c>
      <c r="AR687" t="str">
        <f>IFERROR(INDEX(_ENGINE_Crisis!$E$41:$E$700,MATCH('Resilience &amp; Risk Scenario'!$B$6&amp;"|"&amp;$C687,_ENGINE_Crisis!$I$41:$I$700,0)),"")</f>
        <v/>
      </c>
      <c r="AS687" t="str">
        <f>IFERROR(INDEX(_ENGINE_Crisis!$G$41:$G$700,MATCH('Resilience &amp; Risk Scenario'!$B$6&amp;"|"&amp;$C687,_ENGINE_Crisis!$I$41:$I$700,0)),"")</f>
        <v/>
      </c>
      <c r="AT687" t="str">
        <f>IFERROR(INDEX(_ENGINE_Initiatives!$A$5:$A$532,MATCH(1,INDEX((_ENGINE_Initiatives!$B$5:$B$532=$C687)*(_ENGINE_Initiatives!$C$5:$C$532=$D687),0),0)),"")</f>
        <v>INI-030</v>
      </c>
      <c r="AU687" t="str">
        <f>IFERROR(INDEX(_ENGINE_Initiatives!$F$5:$F$532,MATCH(1,INDEX((_ENGINE_Initiatives!$B$5:$B$532=$C687)*(_ENGINE_Initiatives!$C$5:$C$532=$D687),0),0)),"")</f>
        <v>Strengthen process control, SOPs and operational quality gates</v>
      </c>
      <c r="AV687">
        <f>IFERROR(INDEX(_ENGINE_Initiatives!$AC$5:$AC$532,MATCH(1,INDEX((_ENGINE_Initiatives!$B$5:$B$532=$C687)*(_ENGINE_Initiatives!$C$5:$C$532=$D687),0),0)),"")</f>
        <v>1.79</v>
      </c>
      <c r="AW687" t="str">
        <f>IFERROR(INDEX(_ENGINE_Initiatives!$AE$5:$AE$532,MATCH(1,INDEX((_ENGINE_Initiatives!$B$5:$B$532=$C687)*(_ENGINE_Initiatives!$C$5:$C$532=$D687),0),0)),"")</f>
        <v>3-6 months</v>
      </c>
      <c r="AX687">
        <f>IF($B687="Yes",IFERROR((IF(SUMIFS(_REF_Model_Content!$E$1:$E$613,_REF_Model_Content!$A$1:$A$613,PV_Canonical_Industry,_REF_Model_Content!$B$1:$B$613,$C687)=0,1,SUMIFS(_REF_Model_Content!$E$1:$E$613,_REF_Model_Content!$A$1:$A$613,PV_Canonical_Industry,_REF_Model_Content!$B$1:$B$613,$C687))*IFERROR($BU687,1)),1),"")</f>
        <v>1</v>
      </c>
      <c r="AY687">
        <f t="shared" si="103"/>
        <v>14.6</v>
      </c>
      <c r="AZ687">
        <f t="shared" si="104"/>
        <v>1.54</v>
      </c>
      <c r="BB687" t="str">
        <f>IF($H687="","",IFERROR(INDEX(_ENGINE_Risk!$AE$5:$AE$499,MATCH($E687,_ENGINE_Risk!$A$5:$A$499,0)),"Medium"))</f>
        <v>Fast</v>
      </c>
      <c r="BC687">
        <f t="shared" si="105"/>
        <v>1.25</v>
      </c>
      <c r="BD687">
        <f t="shared" si="106"/>
        <v>1.54</v>
      </c>
      <c r="BF687">
        <f>IF(OR($H687="",$J687=""),"",IFERROR(VLOOKUP(ROUND($J687,0),_CONFIG_Model_Settings!$D$154:$E$158,2,0),""))</f>
        <v>0.5</v>
      </c>
      <c r="BG687">
        <f>IFERROR(IF(OR($H687="",$K687=""),"",ROUND('Company Profile'!$B$113*INDEX(_CONFIG_Model_Settings!$H$154:$H$158,MATCH(ROUND($K687,0),_CONFIG_Model_Settings!$G$154:$G$158,0)),0)),0)</f>
        <v>875</v>
      </c>
      <c r="BH687">
        <f t="shared" si="107"/>
        <v>437.5</v>
      </c>
      <c r="BI687">
        <f t="shared" si="108"/>
        <v>437.5</v>
      </c>
      <c r="BJ687">
        <f>IF($E687="","",IFERROR(VLOOKUP($C687,_CONFIG_Risk_Calibration!$A$5:$H$21,2,FALSE),3))</f>
        <v>3</v>
      </c>
      <c r="BK687">
        <f>IF($E687="","",IFERROR(VLOOKUP($C687,_CONFIG_Risk_Calibration!$A$5:$H$21,3,FALSE),0))</f>
        <v>0</v>
      </c>
      <c r="BL687">
        <f>IF($E687="","",IFERROR(VLOOKUP($C687,_CONFIG_Risk_Calibration!$A$5:$H$21,4,FALSE),3))</f>
        <v>3</v>
      </c>
      <c r="BM687">
        <f>IF($E687="","",IFERROR(VLOOKUP($C687,_CONFIG_Risk_Calibration!$A$5:$H$21,5,FALSE),3))</f>
        <v>3</v>
      </c>
      <c r="BN687" t="str">
        <f>IF($E687="","",IFERROR(VLOOKUP($C687,_CONFIG_Risk_Calibration!$A$5:$H$21,6,FALSE),"No"))</f>
        <v>No</v>
      </c>
      <c r="BO687">
        <f>IF($E687="","",IFERROR(VLOOKUP($C687,_CONFIG_Risk_Calibration!$A$5:$H$21,7,FALSE),1))</f>
        <v>1</v>
      </c>
      <c r="BP687">
        <f>IF($H687="","",MAX(1,MIN(5,((6-$H687)*0.45)+($BJ687*0.2)+('Resilience &amp; Risk Scenario'!$B$7*0.15)+($BK687*0.1)+($BL687*0.05)+(IF($BB687="Fast",5,IF($BB687="Slow",1,3))*0.05))))</f>
        <v>3.7</v>
      </c>
      <c r="BQ687">
        <f t="shared" si="109"/>
        <v>3.95</v>
      </c>
      <c r="BR687">
        <f t="shared" si="110"/>
        <v>14.62</v>
      </c>
      <c r="BS687">
        <f t="shared" si="111"/>
        <v>18.28</v>
      </c>
      <c r="BT687" t="str">
        <f>IFERROR(INDEX(_REF_Capability_Bridge!$D:$D,MATCH($C687&amp;"|"&amp;$D687,_REF_Capability_Bridge!$J:$J,0)),IFERROR(INDEX(_REF_Capability_Bridge!$D:$D,MATCH($C687&amp;"|",_REF_Capability_Bridge!$J:$J,0)),"CAP_GENERIC"))</f>
        <v>CAP_INVENTORY_PLANNING</v>
      </c>
      <c r="BU687">
        <f>IFERROR(IFERROR(INDEX(_ENGINE_Relevance!$L:$L,MATCH($BT687,_ENGINE_Relevance!$B:$B,0)),1),1)</f>
        <v>1</v>
      </c>
      <c r="BV687" t="str">
        <f>IFERROR(INDEX(_REF_Capability_Bridge!$A:$A,MATCH($C687&amp;"|"&amp;$D687,_REF_Capability_Bridge!$J:$J,0)),IFERROR(INDEX(_REF_Capability_Bridge!$A:$A,MATCH($C687&amp;"|",_REF_Capability_Bridge!$J:$J,0)),"No bridge"))</f>
        <v>BRG-028</v>
      </c>
      <c r="BW687" t="str">
        <f t="shared" si="112"/>
        <v>Capability relevance neutral</v>
      </c>
      <c r="BX687" t="str">
        <f t="shared" si="113"/>
        <v>Initial / absent</v>
      </c>
      <c r="BY687" t="str">
        <f>IF($E687="","",IFERROR(INDEX(_REF_Treatment_Library!$A$2:$A$296,MATCH(1,INDEX((_REF_Treatment_Library!$B$2:$B$296=$BT687)*(_REF_Treatment_Library!$C$2:$C$296=PV_Canonical_Industry)*(_REF_Treatment_Library!$E$2:$E$296&lt;=N($H687))*(_REF_Treatment_Library!$F$2:$F$296&gt;=N($H687))*(_REF_Treatment_Library!$O$2:$O$296="Yes"),0),0)),IFERROR(INDEX(_REF_Treatment_Library!$A$2:$A$296,MATCH(1,INDEX((_REF_Treatment_Library!$B$2:$B$296=$BT687)*(_REF_Treatment_Library!$C$2:$C$296="All")*(_REF_Treatment_Library!$E$2:$E$296&lt;=N($H687))*(_REF_Treatment_Library!$F$2:$F$296&gt;=N($H687))*(_REF_Treatment_Library!$O$2:$O$296="Yes"),0),0)),"")))</f>
        <v>TRT-INVENTORY_PLANNING-INITIAL</v>
      </c>
      <c r="BZ687" t="str">
        <f>IF($BY687="","",IFERROR(INDEX(_REF_Treatment_Library!$H$2:$H$296,MATCH($BY687,_REF_Treatment_Library!$A$2:$A$296,0)),""))</f>
        <v>Establish</v>
      </c>
      <c r="CA687" t="str">
        <f>IF($BY687="","",IFERROR(INDEX(_REF_Treatment_Library!$I$2:$I$296,MATCH($BY687,_REF_Treatment_Library!$A$2:$A$296,0)),""))</f>
        <v>Establish baseline controls for Inventory planning</v>
      </c>
      <c r="CB687" t="str">
        <f>IF($BY687="","",IFERROR(INDEX(_REF_Treatment_Library!$K$2:$K$296,MATCH($BY687,_REF_Treatment_Library!$A$2:$A$296,0)),""))</f>
        <v>Named owner, baseline process, minimum control checklist, first evidence package</v>
      </c>
      <c r="CC687" t="str">
        <f>IF($BY687="","",IFERROR(INDEX(_REF_Treatment_Library!$L$2:$L$296,MATCH($BY687,_REF_Treatment_Library!$A$2:$A$296,0)),""))</f>
        <v>Owner assigned; baseline evidence coverage; open critical gaps</v>
      </c>
      <c r="CD687" t="str">
        <f t="shared" si="114"/>
        <v>Treatment by capability=CAP_INVENTORY_PLANNING; band=Initial / absent; score=0.0; treatment=Establish</v>
      </c>
      <c r="CE687" t="str">
        <f>IF($E687="","",IFERROR(INDEX(_REF_Industry_Wording!$A$2:$A$70,MATCH(1,INDEX((_REF_Industry_Wording!$B$2:$B$70=$BT687)*(_REF_Industry_Wording!$C$2:$C$70=PV_Canonical_Industry)*(_REF_Industry_Wording!$K$2:$K$70="Yes"),0),0)),IFERROR(INDEX(_REF_Industry_Wording!$A$2:$A$70,MATCH(1,INDEX((_REF_Industry_Wording!$B$2:$B$70=$BT687)*(_REF_Industry_Wording!$C$2:$C$70="All")*(_REF_Industry_Wording!$K$2:$K$70="Yes"),0),0)),"")))</f>
        <v>IW-ALL-INVENTORY_PLANNING</v>
      </c>
      <c r="CF687" t="str">
        <f>IF($CE687="","",IFERROR(INDEX(_REF_Industry_Wording!$E$2:$E$70,MATCH($CE687,_REF_Industry_Wording!$A$2:$A$70,0)),""))</f>
        <v>Inventory planning weakness</v>
      </c>
      <c r="CG687" t="str">
        <f>IF($CE687="","",IFERROR(INDEX(_REF_Industry_Wording!$F$2:$F$70,MATCH($CE687,_REF_Industry_Wording!$A$2:$A$70,0)),""))</f>
        <v>Strengthen Inventory planning</v>
      </c>
      <c r="CH687" t="str">
        <f>IF($CE687="","",IFERROR(INDEX(_REF_Industry_Wording!$G$2:$G$70,MATCH($CE687,_REF_Industry_Wording!$A$2:$A$70,0)),""))</f>
        <v>Strengthen Inventory planning using the selected maturity treatment, crisis scenario and evidence requirements.</v>
      </c>
      <c r="CI687" t="str">
        <f>IF($CE687="","",IFERROR(INDEX(_REF_Industry_Wording!$H$2:$H$70,MATCH($CE687,_REF_Industry_Wording!$A$2:$A$70,0)),""))</f>
        <v>Inventory planning</v>
      </c>
      <c r="CJ687">
        <f>IF($CE687="","",IFERROR(INDEX(_REF_Industry_Wording!$I$2:$I$70,MATCH($CE687,_REF_Industry_Wording!$A$2:$A$70,0)),""))</f>
        <v>0</v>
      </c>
      <c r="CK687" t="str">
        <f>IF($CE687="","",IFERROR(INDEX(_REF_Industry_Wording!$J$2:$J$70,MATCH($CE687,_REF_Industry_Wording!$A$2:$A$70,0)),""))</f>
        <v>Inventory planning</v>
      </c>
      <c r="CL687" t="str">
        <f t="shared" si="115"/>
        <v>Wording by industry=0; capability=CAP_INVENTORY_PLANNING; risk label=Inventory planning weakness</v>
      </c>
      <c r="CM687" t="str">
        <f t="shared" si="116"/>
        <v>RISK-ONT-0188</v>
      </c>
      <c r="CN687" t="str">
        <f t="shared" si="117"/>
        <v>RISK-EVT-0188</v>
      </c>
      <c r="CO687" t="str">
        <f t="shared" si="118"/>
        <v>Delivery Ops|Process control|DELI-017|CAP_INVENTORY_PLANNING</v>
      </c>
      <c r="CP687" t="str">
        <f t="shared" si="119"/>
        <v>Active</v>
      </c>
      <c r="CQ687" t="str">
        <f t="shared" si="120"/>
        <v>OK: capability-driven</v>
      </c>
      <c r="CR687" t="str">
        <f t="shared" si="121"/>
        <v>Risk ontology uses capability=CAP_INVENTORY_PLANNING; bridge=BRG-028; treatment=TRT-INVENTORY_PLANNING-INITIAL; wording=IW-ALL-INVENTORY_PLANNING</v>
      </c>
      <c r="CS687" t="str">
        <f t="shared" si="122"/>
        <v>Yes</v>
      </c>
    </row>
    <row r="688" spans="1:97" ht="69.900000000000006" customHeight="1">
      <c r="A688">
        <f>IF(OR($B688&lt;&gt;"Yes",$BS688=""),"",SUMPRODUCT(($B$500:$B$923="Yes")*ISNUMBER($BS$500:$BS$923)*($BS$500:$BS$923&gt;$BS688))+COUNTIFS($B$500:$B688,"Yes",$BS$500:$BS688,$BS688))</f>
        <v>208</v>
      </c>
      <c r="B688" t="str">
        <f t="shared" si="91"/>
        <v>Yes</v>
      </c>
      <c r="C688" t="s">
        <v>1859</v>
      </c>
      <c r="D688" t="s">
        <v>1880</v>
      </c>
      <c r="E688" t="s">
        <v>1954</v>
      </c>
      <c r="F688" t="s">
        <v>3686</v>
      </c>
      <c r="G688" t="str">
        <f>IF($H688="","",IFERROR(INDEX(_ENGINE_Risk!$H$5:$M$499,MATCH($E688,_ENGINE_Risk!$A$5:$A$499,0),$H688+1),""))</f>
        <v>Severe risk: root cause analysis for recurring delivery failures is not reliably controlled. During Delivery disruption; Customer impact; Workforce disruption, the organization may face missed commitments, SLA breaches, service interruption and weak customer recovery with limited visibility or accountability.</v>
      </c>
      <c r="H688">
        <f>IFERROR(VALUE(INDEX(_DATA_Assessment_Model!$H$5:$H$884,MATCH($E688,_DATA_Assessment_Model!$A$5:$A$884,0))),"")</f>
        <v>0</v>
      </c>
      <c r="I688" t="str">
        <f>IF($H688="","",IFERROR(INDEX(_DATA_Assessment_Model!$L$5:$L$884,MATCH($E688,_DATA_Assessment_Model!$A$5:$A$884,0)),IF($H688&lt;=1,"Critical",IF($H688=2,"High",IF($H688=3,"Medium",IF($H688=4,"Low","Resilient"))))))</f>
        <v>Critical</v>
      </c>
      <c r="J688">
        <f t="shared" si="92"/>
        <v>3.7</v>
      </c>
      <c r="K688">
        <f t="shared" si="93"/>
        <v>3.95</v>
      </c>
      <c r="L688">
        <f t="shared" si="94"/>
        <v>14.615000000000002</v>
      </c>
      <c r="M688">
        <f t="shared" si="95"/>
        <v>3</v>
      </c>
      <c r="N688">
        <f>IF($H688="","",IFERROR(INDEX(_ENGINE_Risk!$T$5:$Y$499,MATCH($E688,_ENGINE_Risk!$A$5:$A$499,0),$H688+1),""))</f>
        <v>3</v>
      </c>
      <c r="O688">
        <f t="shared" si="96"/>
        <v>4</v>
      </c>
      <c r="P688">
        <f t="shared" si="97"/>
        <v>5</v>
      </c>
      <c r="Q688">
        <f t="shared" si="98"/>
        <v>5</v>
      </c>
      <c r="R688">
        <f t="shared" si="99"/>
        <v>4.5</v>
      </c>
      <c r="S688">
        <f t="shared" si="100"/>
        <v>1.54</v>
      </c>
      <c r="T688" t="str">
        <f>IF($H688="","",IFERROR(INDEX(_ENGINE_Risk!$N$5:$S$499,MATCH($E688,_ENGINE_Risk!$A$5:$A$499,0),$H688+1),""))</f>
        <v>Create an immediate risk owner, minimum control baseline and fallback procedure for root cause analysis for recurring delivery failures. Add it to the crisis risk register and collect first evidence.</v>
      </c>
      <c r="U688">
        <f>IFERROR(INDEX(_DATA_Assessment_Model!$G$5:$G$884,MATCH($E688,_DATA_Assessment_Model!$A$5:$A$884,0)),"")</f>
        <v>3</v>
      </c>
      <c r="V688">
        <f>IFERROR(INDEX(_DATA_Assessment_Model!$W$5:$W$884,MATCH($E688,_DATA_Assessment_Model!$A$5:$A$884,0)),"")</f>
        <v>4</v>
      </c>
      <c r="W688">
        <f>IFERROR(INDEX(_DATA_Assessment_Model!$X$5:$X$884,MATCH($E688,_DATA_Assessment_Model!$A$5:$A$884,0)),"")</f>
        <v>5</v>
      </c>
      <c r="X688">
        <f>IFERROR(INDEX(_DATA_Assessment_Model!$Y$5:$Y$884,MATCH($E688,_DATA_Assessment_Model!$A$5:$A$884,0)),"")</f>
        <v>5</v>
      </c>
      <c r="Y688" t="s">
        <v>1866</v>
      </c>
      <c r="Z688" t="s">
        <v>7028</v>
      </c>
      <c r="AA688" t="s">
        <v>1956</v>
      </c>
      <c r="AB688">
        <f>IFERROR(INDEX(_DATA_Assessment_Model!$U$5:$U$884,MATCH($E688,_DATA_Assessment_Model!$A$5:$A$884,0)),"")</f>
        <v>0</v>
      </c>
      <c r="AF688" t="s">
        <v>1955</v>
      </c>
      <c r="AO688">
        <f>IF($B688="Yes",IF(IFERROR(INDEX(_ENGINE_Crisis!$F$501:$F$517,MATCH($C688,_ENGINE_Crisis!$A$501:$A$517,0)),1)=0,1,IFERROR(INDEX(_ENGINE_Crisis!$F$501:$F$517,MATCH($C688,_ENGINE_Crisis!$A$501:$A$517,0)),1)),"")</f>
        <v>1</v>
      </c>
      <c r="AP688">
        <f t="shared" si="101"/>
        <v>14.6</v>
      </c>
      <c r="AQ688">
        <f t="shared" si="102"/>
        <v>1.54</v>
      </c>
      <c r="AR688" t="str">
        <f>IFERROR(INDEX(_ENGINE_Crisis!$E$41:$E$700,MATCH('Resilience &amp; Risk Scenario'!$B$6&amp;"|"&amp;$C688,_ENGINE_Crisis!$I$41:$I$700,0)),"")</f>
        <v/>
      </c>
      <c r="AS688" t="str">
        <f>IFERROR(INDEX(_ENGINE_Crisis!$G$41:$G$700,MATCH('Resilience &amp; Risk Scenario'!$B$6&amp;"|"&amp;$C688,_ENGINE_Crisis!$I$41:$I$700,0)),"")</f>
        <v/>
      </c>
      <c r="AT688" t="str">
        <f>IFERROR(INDEX(_ENGINE_Initiatives!$A$5:$A$532,MATCH(1,INDEX((_ENGINE_Initiatives!$B$5:$B$532=$C688)*(_ENGINE_Initiatives!$C$5:$C$532=$D688),0),0)),"")</f>
        <v>INI-030</v>
      </c>
      <c r="AU688" t="str">
        <f>IFERROR(INDEX(_ENGINE_Initiatives!$F$5:$F$532,MATCH(1,INDEX((_ENGINE_Initiatives!$B$5:$B$532=$C688)*(_ENGINE_Initiatives!$C$5:$C$532=$D688),0),0)),"")</f>
        <v>Strengthen process control, SOPs and operational quality gates</v>
      </c>
      <c r="AV688">
        <f>IFERROR(INDEX(_ENGINE_Initiatives!$AC$5:$AC$532,MATCH(1,INDEX((_ENGINE_Initiatives!$B$5:$B$532=$C688)*(_ENGINE_Initiatives!$C$5:$C$532=$D688),0),0)),"")</f>
        <v>1.79</v>
      </c>
      <c r="AW688" t="str">
        <f>IFERROR(INDEX(_ENGINE_Initiatives!$AE$5:$AE$532,MATCH(1,INDEX((_ENGINE_Initiatives!$B$5:$B$532=$C688)*(_ENGINE_Initiatives!$C$5:$C$532=$D688),0),0)),"")</f>
        <v>3-6 months</v>
      </c>
      <c r="AX688">
        <f>IF($B688="Yes",IFERROR((IF(SUMIFS(_REF_Model_Content!$E$1:$E$613,_REF_Model_Content!$A$1:$A$613,PV_Canonical_Industry,_REF_Model_Content!$B$1:$B$613,$C688)=0,1,SUMIFS(_REF_Model_Content!$E$1:$E$613,_REF_Model_Content!$A$1:$A$613,PV_Canonical_Industry,_REF_Model_Content!$B$1:$B$613,$C688))*IFERROR($BU688,1)),1),"")</f>
        <v>1</v>
      </c>
      <c r="AY688">
        <f t="shared" si="103"/>
        <v>14.6</v>
      </c>
      <c r="AZ688">
        <f t="shared" si="104"/>
        <v>1.54</v>
      </c>
      <c r="BB688" t="str">
        <f>IF($H688="","",IFERROR(INDEX(_ENGINE_Risk!$AE$5:$AE$499,MATCH($E688,_ENGINE_Risk!$A$5:$A$499,0)),"Medium"))</f>
        <v>Fast</v>
      </c>
      <c r="BC688">
        <f t="shared" si="105"/>
        <v>1.25</v>
      </c>
      <c r="BD688">
        <f t="shared" si="106"/>
        <v>1.54</v>
      </c>
      <c r="BF688">
        <f>IF(OR($H688="",$J688=""),"",IFERROR(VLOOKUP(ROUND($J688,0),_CONFIG_Model_Settings!$D$154:$E$158,2,0),""))</f>
        <v>0.5</v>
      </c>
      <c r="BG688">
        <f>IFERROR(IF(OR($H688="",$K688=""),"",ROUND('Company Profile'!$B$113*INDEX(_CONFIG_Model_Settings!$H$154:$H$158,MATCH(ROUND($K688,0),_CONFIG_Model_Settings!$G$154:$G$158,0)),0)),0)</f>
        <v>875</v>
      </c>
      <c r="BH688">
        <f t="shared" si="107"/>
        <v>437.5</v>
      </c>
      <c r="BI688">
        <f t="shared" si="108"/>
        <v>437.5</v>
      </c>
      <c r="BJ688">
        <f>IF($E688="","",IFERROR(VLOOKUP($C688,_CONFIG_Risk_Calibration!$A$5:$H$21,2,FALSE),3))</f>
        <v>3</v>
      </c>
      <c r="BK688">
        <f>IF($E688="","",IFERROR(VLOOKUP($C688,_CONFIG_Risk_Calibration!$A$5:$H$21,3,FALSE),0))</f>
        <v>0</v>
      </c>
      <c r="BL688">
        <f>IF($E688="","",IFERROR(VLOOKUP($C688,_CONFIG_Risk_Calibration!$A$5:$H$21,4,FALSE),3))</f>
        <v>3</v>
      </c>
      <c r="BM688">
        <f>IF($E688="","",IFERROR(VLOOKUP($C688,_CONFIG_Risk_Calibration!$A$5:$H$21,5,FALSE),3))</f>
        <v>3</v>
      </c>
      <c r="BN688" t="str">
        <f>IF($E688="","",IFERROR(VLOOKUP($C688,_CONFIG_Risk_Calibration!$A$5:$H$21,6,FALSE),"No"))</f>
        <v>No</v>
      </c>
      <c r="BO688">
        <f>IF($E688="","",IFERROR(VLOOKUP($C688,_CONFIG_Risk_Calibration!$A$5:$H$21,7,FALSE),1))</f>
        <v>1</v>
      </c>
      <c r="BP688">
        <f>IF($H688="","",MAX(1,MIN(5,((6-$H688)*0.45)+($BJ688*0.2)+('Resilience &amp; Risk Scenario'!$B$7*0.15)+($BK688*0.1)+($BL688*0.05)+(IF($BB688="Fast",5,IF($BB688="Slow",1,3))*0.05))))</f>
        <v>3.7</v>
      </c>
      <c r="BQ688">
        <f t="shared" si="109"/>
        <v>3.95</v>
      </c>
      <c r="BR688">
        <f t="shared" si="110"/>
        <v>14.62</v>
      </c>
      <c r="BS688">
        <f t="shared" si="111"/>
        <v>18.28</v>
      </c>
      <c r="BT688" t="str">
        <f>IFERROR(INDEX(_REF_Capability_Bridge!$D:$D,MATCH($C688&amp;"|"&amp;$D688,_REF_Capability_Bridge!$J:$J,0)),IFERROR(INDEX(_REF_Capability_Bridge!$D:$D,MATCH($C688&amp;"|",_REF_Capability_Bridge!$J:$J,0)),"CAP_GENERIC"))</f>
        <v>CAP_INVENTORY_PLANNING</v>
      </c>
      <c r="BU688">
        <f>IFERROR(IFERROR(INDEX(_ENGINE_Relevance!$L:$L,MATCH($BT688,_ENGINE_Relevance!$B:$B,0)),1),1)</f>
        <v>1</v>
      </c>
      <c r="BV688" t="str">
        <f>IFERROR(INDEX(_REF_Capability_Bridge!$A:$A,MATCH($C688&amp;"|"&amp;$D688,_REF_Capability_Bridge!$J:$J,0)),IFERROR(INDEX(_REF_Capability_Bridge!$A:$A,MATCH($C688&amp;"|",_REF_Capability_Bridge!$J:$J,0)),"No bridge"))</f>
        <v>BRG-028</v>
      </c>
      <c r="BW688" t="str">
        <f t="shared" si="112"/>
        <v>Capability relevance neutral</v>
      </c>
      <c r="BX688" t="str">
        <f t="shared" si="113"/>
        <v>Initial / absent</v>
      </c>
      <c r="BY688" t="str">
        <f>IF($E688="","",IFERROR(INDEX(_REF_Treatment_Library!$A$2:$A$296,MATCH(1,INDEX((_REF_Treatment_Library!$B$2:$B$296=$BT688)*(_REF_Treatment_Library!$C$2:$C$296=PV_Canonical_Industry)*(_REF_Treatment_Library!$E$2:$E$296&lt;=N($H688))*(_REF_Treatment_Library!$F$2:$F$296&gt;=N($H688))*(_REF_Treatment_Library!$O$2:$O$296="Yes"),0),0)),IFERROR(INDEX(_REF_Treatment_Library!$A$2:$A$296,MATCH(1,INDEX((_REF_Treatment_Library!$B$2:$B$296=$BT688)*(_REF_Treatment_Library!$C$2:$C$296="All")*(_REF_Treatment_Library!$E$2:$E$296&lt;=N($H688))*(_REF_Treatment_Library!$F$2:$F$296&gt;=N($H688))*(_REF_Treatment_Library!$O$2:$O$296="Yes"),0),0)),"")))</f>
        <v>TRT-INVENTORY_PLANNING-INITIAL</v>
      </c>
      <c r="BZ688" t="str">
        <f>IF($BY688="","",IFERROR(INDEX(_REF_Treatment_Library!$H$2:$H$296,MATCH($BY688,_REF_Treatment_Library!$A$2:$A$296,0)),""))</f>
        <v>Establish</v>
      </c>
      <c r="CA688" t="str">
        <f>IF($BY688="","",IFERROR(INDEX(_REF_Treatment_Library!$I$2:$I$296,MATCH($BY688,_REF_Treatment_Library!$A$2:$A$296,0)),""))</f>
        <v>Establish baseline controls for Inventory planning</v>
      </c>
      <c r="CB688" t="str">
        <f>IF($BY688="","",IFERROR(INDEX(_REF_Treatment_Library!$K$2:$K$296,MATCH($BY688,_REF_Treatment_Library!$A$2:$A$296,0)),""))</f>
        <v>Named owner, baseline process, minimum control checklist, first evidence package</v>
      </c>
      <c r="CC688" t="str">
        <f>IF($BY688="","",IFERROR(INDEX(_REF_Treatment_Library!$L$2:$L$296,MATCH($BY688,_REF_Treatment_Library!$A$2:$A$296,0)),""))</f>
        <v>Owner assigned; baseline evidence coverage; open critical gaps</v>
      </c>
      <c r="CD688" t="str">
        <f t="shared" si="114"/>
        <v>Treatment by capability=CAP_INVENTORY_PLANNING; band=Initial / absent; score=0.0; treatment=Establish</v>
      </c>
      <c r="CE688" t="str">
        <f>IF($E688="","",IFERROR(INDEX(_REF_Industry_Wording!$A$2:$A$70,MATCH(1,INDEX((_REF_Industry_Wording!$B$2:$B$70=$BT688)*(_REF_Industry_Wording!$C$2:$C$70=PV_Canonical_Industry)*(_REF_Industry_Wording!$K$2:$K$70="Yes"),0),0)),IFERROR(INDEX(_REF_Industry_Wording!$A$2:$A$70,MATCH(1,INDEX((_REF_Industry_Wording!$B$2:$B$70=$BT688)*(_REF_Industry_Wording!$C$2:$C$70="All")*(_REF_Industry_Wording!$K$2:$K$70="Yes"),0),0)),"")))</f>
        <v>IW-ALL-INVENTORY_PLANNING</v>
      </c>
      <c r="CF688" t="str">
        <f>IF($CE688="","",IFERROR(INDEX(_REF_Industry_Wording!$E$2:$E$70,MATCH($CE688,_REF_Industry_Wording!$A$2:$A$70,0)),""))</f>
        <v>Inventory planning weakness</v>
      </c>
      <c r="CG688" t="str">
        <f>IF($CE688="","",IFERROR(INDEX(_REF_Industry_Wording!$F$2:$F$70,MATCH($CE688,_REF_Industry_Wording!$A$2:$A$70,0)),""))</f>
        <v>Strengthen Inventory planning</v>
      </c>
      <c r="CH688" t="str">
        <f>IF($CE688="","",IFERROR(INDEX(_REF_Industry_Wording!$G$2:$G$70,MATCH($CE688,_REF_Industry_Wording!$A$2:$A$70,0)),""))</f>
        <v>Strengthen Inventory planning using the selected maturity treatment, crisis scenario and evidence requirements.</v>
      </c>
      <c r="CI688" t="str">
        <f>IF($CE688="","",IFERROR(INDEX(_REF_Industry_Wording!$H$2:$H$70,MATCH($CE688,_REF_Industry_Wording!$A$2:$A$70,0)),""))</f>
        <v>Inventory planning</v>
      </c>
      <c r="CJ688">
        <f>IF($CE688="","",IFERROR(INDEX(_REF_Industry_Wording!$I$2:$I$70,MATCH($CE688,_REF_Industry_Wording!$A$2:$A$70,0)),""))</f>
        <v>0</v>
      </c>
      <c r="CK688" t="str">
        <f>IF($CE688="","",IFERROR(INDEX(_REF_Industry_Wording!$J$2:$J$70,MATCH($CE688,_REF_Industry_Wording!$A$2:$A$70,0)),""))</f>
        <v>Inventory planning</v>
      </c>
      <c r="CL688" t="str">
        <f t="shared" si="115"/>
        <v>Wording by industry=0; capability=CAP_INVENTORY_PLANNING; risk label=Inventory planning weakness</v>
      </c>
      <c r="CM688" t="str">
        <f t="shared" si="116"/>
        <v>RISK-ONT-0189</v>
      </c>
      <c r="CN688" t="str">
        <f t="shared" si="117"/>
        <v>RISK-EVT-0189</v>
      </c>
      <c r="CO688" t="str">
        <f t="shared" si="118"/>
        <v>Delivery Ops|Process control|DELI-018|CAP_INVENTORY_PLANNING</v>
      </c>
      <c r="CP688" t="str">
        <f t="shared" si="119"/>
        <v>Active</v>
      </c>
      <c r="CQ688" t="str">
        <f t="shared" si="120"/>
        <v>OK: capability-driven</v>
      </c>
      <c r="CR688" t="str">
        <f t="shared" si="121"/>
        <v>Risk ontology uses capability=CAP_INVENTORY_PLANNING; bridge=BRG-028; treatment=TRT-INVENTORY_PLANNING-INITIAL; wording=IW-ALL-INVENTORY_PLANNING</v>
      </c>
      <c r="CS688" t="str">
        <f t="shared" si="122"/>
        <v>Yes</v>
      </c>
    </row>
    <row r="689" spans="1:97" ht="69.900000000000006" customHeight="1">
      <c r="A689">
        <f>IF(OR($B689&lt;&gt;"Yes",$BS689=""),"",SUMPRODUCT(($B$500:$B$923="Yes")*ISNUMBER($BS$500:$BS$923)*($BS$500:$BS$923&gt;$BS689))+COUNTIFS($B$500:$B689,"Yes",$BS$500:$BS689,$BS689))</f>
        <v>136</v>
      </c>
      <c r="B689" t="str">
        <f t="shared" si="91"/>
        <v>Yes</v>
      </c>
      <c r="C689" t="s">
        <v>1859</v>
      </c>
      <c r="D689" t="s">
        <v>1884</v>
      </c>
      <c r="E689" t="s">
        <v>1963</v>
      </c>
      <c r="F689" t="s">
        <v>3686</v>
      </c>
      <c r="G689" t="str">
        <f>IF($H689="","",IFERROR(INDEX(_ENGINE_Risk!$H$5:$M$499,MATCH($E689,_ENGINE_Risk!$A$5:$A$499,0),$H689+1),""))</f>
        <v>Severe risk: real-time visibility into orders, backlog, incidents, production, logistics and service performance is not reliably controlled. During Delivery disruption; Customer impact; Workforce disruption, the organization may face missed commitments, SLA breaches, service interruption and weak customer recovery with limited visibility or accountability.</v>
      </c>
      <c r="H689">
        <f>IFERROR(VALUE(INDEX(_DATA_Assessment_Model!$H$5:$H$884,MATCH($E689,_DATA_Assessment_Model!$A$5:$A$884,0))),"")</f>
        <v>0</v>
      </c>
      <c r="I689" t="str">
        <f>IF($H689="","",IFERROR(INDEX(_DATA_Assessment_Model!$L$5:$L$884,MATCH($E689,_DATA_Assessment_Model!$A$5:$A$884,0)),IF($H689&lt;=1,"Critical",IF($H689=2,"High",IF($H689=3,"Medium",IF($H689=4,"Low","Resilient"))))))</f>
        <v>Critical</v>
      </c>
      <c r="J689">
        <f t="shared" si="92"/>
        <v>3.7</v>
      </c>
      <c r="K689">
        <f t="shared" si="93"/>
        <v>4.3500000000000005</v>
      </c>
      <c r="L689">
        <f t="shared" si="94"/>
        <v>16.095000000000002</v>
      </c>
      <c r="M689">
        <f t="shared" si="95"/>
        <v>4</v>
      </c>
      <c r="N689">
        <f>IF($H689="","",IFERROR(INDEX(_ENGINE_Risk!$T$5:$Y$499,MATCH($E689,_ENGINE_Risk!$A$5:$A$499,0),$H689+1),""))</f>
        <v>3</v>
      </c>
      <c r="O689">
        <f t="shared" si="96"/>
        <v>4.666666666666667</v>
      </c>
      <c r="P689">
        <f t="shared" si="97"/>
        <v>5</v>
      </c>
      <c r="Q689">
        <f t="shared" si="98"/>
        <v>5</v>
      </c>
      <c r="R689">
        <f t="shared" si="99"/>
        <v>4.5</v>
      </c>
      <c r="S689">
        <f t="shared" si="100"/>
        <v>1.6</v>
      </c>
      <c r="T689" t="str">
        <f>IF($H689="","",IFERROR(INDEX(_ENGINE_Risk!$N$5:$S$499,MATCH($E689,_ENGINE_Risk!$A$5:$A$499,0),$H689+1),""))</f>
        <v>Create an immediate risk owner, minimum control baseline and fallback procedure for real-time visibility into orders, backlog, incidents, production, logistics and service performance. Add it to the crisis risk register and collect first evidence.</v>
      </c>
      <c r="U689">
        <f>IFERROR(INDEX(_DATA_Assessment_Model!$G$5:$G$884,MATCH($E689,_DATA_Assessment_Model!$A$5:$A$884,0)),"")</f>
        <v>5</v>
      </c>
      <c r="V689">
        <f>IFERROR(INDEX(_DATA_Assessment_Model!$W$5:$W$884,MATCH($E689,_DATA_Assessment_Model!$A$5:$A$884,0)),"")</f>
        <v>4</v>
      </c>
      <c r="W689">
        <f>IFERROR(INDEX(_DATA_Assessment_Model!$X$5:$X$884,MATCH($E689,_DATA_Assessment_Model!$A$5:$A$884,0)),"")</f>
        <v>5</v>
      </c>
      <c r="X689">
        <f>IFERROR(INDEX(_DATA_Assessment_Model!$Y$5:$Y$884,MATCH($E689,_DATA_Assessment_Model!$A$5:$A$884,0)),"")</f>
        <v>5</v>
      </c>
      <c r="Y689" t="s">
        <v>1866</v>
      </c>
      <c r="Z689" t="s">
        <v>7028</v>
      </c>
      <c r="AA689" t="s">
        <v>1965</v>
      </c>
      <c r="AB689">
        <f>IFERROR(INDEX(_DATA_Assessment_Model!$U$5:$U$884,MATCH($E689,_DATA_Assessment_Model!$A$5:$A$884,0)),"")</f>
        <v>0</v>
      </c>
      <c r="AF689" t="s">
        <v>1964</v>
      </c>
      <c r="AO689">
        <f>IF($B689="Yes",IF(IFERROR(INDEX(_ENGINE_Crisis!$F$501:$F$517,MATCH($C689,_ENGINE_Crisis!$A$501:$A$517,0)),1)=0,1,IFERROR(INDEX(_ENGINE_Crisis!$F$501:$F$517,MATCH($C689,_ENGINE_Crisis!$A$501:$A$517,0)),1)),"")</f>
        <v>1</v>
      </c>
      <c r="AP689">
        <f t="shared" si="101"/>
        <v>16.100000000000001</v>
      </c>
      <c r="AQ689">
        <f t="shared" si="102"/>
        <v>1.6</v>
      </c>
      <c r="AR689" t="str">
        <f>IFERROR(INDEX(_ENGINE_Crisis!$E$41:$E$700,MATCH('Resilience &amp; Risk Scenario'!$B$6&amp;"|"&amp;$C689,_ENGINE_Crisis!$I$41:$I$700,0)),"")</f>
        <v/>
      </c>
      <c r="AS689" t="str">
        <f>IFERROR(INDEX(_ENGINE_Crisis!$G$41:$G$700,MATCH('Resilience &amp; Risk Scenario'!$B$6&amp;"|"&amp;$C689,_ENGINE_Crisis!$I$41:$I$700,0)),"")</f>
        <v/>
      </c>
      <c r="AT689" t="str">
        <f>IFERROR(INDEX(_ENGINE_Initiatives!$A$5:$A$532,MATCH(1,INDEX((_ENGINE_Initiatives!$B$5:$B$532=$C689)*(_ENGINE_Initiatives!$C$5:$C$532=$D689),0),0)),"")</f>
        <v>INI-031</v>
      </c>
      <c r="AU689" t="str">
        <f>IFERROR(INDEX(_ENGINE_Initiatives!$F$5:$F$532,MATCH(1,INDEX((_ENGINE_Initiatives!$B$5:$B$532=$C689)*(_ENGINE_Initiatives!$C$5:$C$532=$D689),0),0)),"")</f>
        <v>Implement operational visibility dashboards and early warning</v>
      </c>
      <c r="AV689">
        <f>IFERROR(INDEX(_ENGINE_Initiatives!$AC$5:$AC$532,MATCH(1,INDEX((_ENGINE_Initiatives!$B$5:$B$532=$C689)*(_ENGINE_Initiatives!$C$5:$C$532=$D689),0),0)),"")</f>
        <v>1.79</v>
      </c>
      <c r="AW689" t="str">
        <f>IFERROR(INDEX(_ENGINE_Initiatives!$AE$5:$AE$532,MATCH(1,INDEX((_ENGINE_Initiatives!$B$5:$B$532=$C689)*(_ENGINE_Initiatives!$C$5:$C$532=$D689),0),0)),"")</f>
        <v>3-6 months</v>
      </c>
      <c r="AX689">
        <f>IF($B689="Yes",IFERROR((IF(SUMIFS(_REF_Model_Content!$E$1:$E$613,_REF_Model_Content!$A$1:$A$613,PV_Canonical_Industry,_REF_Model_Content!$B$1:$B$613,$C689)=0,1,SUMIFS(_REF_Model_Content!$E$1:$E$613,_REF_Model_Content!$A$1:$A$613,PV_Canonical_Industry,_REF_Model_Content!$B$1:$B$613,$C689))*IFERROR($BU689,1)),1),"")</f>
        <v>1</v>
      </c>
      <c r="AY689">
        <f t="shared" si="103"/>
        <v>16.100000000000001</v>
      </c>
      <c r="AZ689">
        <f t="shared" si="104"/>
        <v>1.6</v>
      </c>
      <c r="BB689" t="str">
        <f>IF($H689="","",IFERROR(INDEX(_ENGINE_Risk!$AE$5:$AE$499,MATCH($E689,_ENGINE_Risk!$A$5:$A$499,0)),"Medium"))</f>
        <v>Fast</v>
      </c>
      <c r="BC689">
        <f t="shared" si="105"/>
        <v>1.25</v>
      </c>
      <c r="BD689">
        <f t="shared" si="106"/>
        <v>1.6</v>
      </c>
      <c r="BF689">
        <f>IF(OR($H689="",$J689=""),"",IFERROR(VLOOKUP(ROUND($J689,0),_CONFIG_Model_Settings!$D$154:$E$158,2,0),""))</f>
        <v>0.5</v>
      </c>
      <c r="BG689">
        <f>IFERROR(IF(OR($H689="",$K689=""),"",ROUND('Company Profile'!$B$113*INDEX(_CONFIG_Model_Settings!$H$154:$H$158,MATCH(ROUND($K689,0),_CONFIG_Model_Settings!$G$154:$G$158,0)),0)),0)</f>
        <v>875</v>
      </c>
      <c r="BH689">
        <f t="shared" si="107"/>
        <v>437.5</v>
      </c>
      <c r="BI689">
        <f t="shared" si="108"/>
        <v>437.5</v>
      </c>
      <c r="BJ689">
        <f>IF($E689="","",IFERROR(VLOOKUP($C689,_CONFIG_Risk_Calibration!$A$5:$H$21,2,FALSE),3))</f>
        <v>3</v>
      </c>
      <c r="BK689">
        <f>IF($E689="","",IFERROR(VLOOKUP($C689,_CONFIG_Risk_Calibration!$A$5:$H$21,3,FALSE),0))</f>
        <v>0</v>
      </c>
      <c r="BL689">
        <f>IF($E689="","",IFERROR(VLOOKUP($C689,_CONFIG_Risk_Calibration!$A$5:$H$21,4,FALSE),3))</f>
        <v>3</v>
      </c>
      <c r="BM689">
        <f>IF($E689="","",IFERROR(VLOOKUP($C689,_CONFIG_Risk_Calibration!$A$5:$H$21,5,FALSE),3))</f>
        <v>3</v>
      </c>
      <c r="BN689" t="str">
        <f>IF($E689="","",IFERROR(VLOOKUP($C689,_CONFIG_Risk_Calibration!$A$5:$H$21,6,FALSE),"No"))</f>
        <v>No</v>
      </c>
      <c r="BO689">
        <f>IF($E689="","",IFERROR(VLOOKUP($C689,_CONFIG_Risk_Calibration!$A$5:$H$21,7,FALSE),1))</f>
        <v>1</v>
      </c>
      <c r="BP689">
        <f>IF($H689="","",MAX(1,MIN(5,((6-$H689)*0.45)+($BJ689*0.2)+('Resilience &amp; Risk Scenario'!$B$7*0.15)+($BK689*0.1)+($BL689*0.05)+(IF($BB689="Fast",5,IF($BB689="Slow",1,3))*0.05))))</f>
        <v>3.7</v>
      </c>
      <c r="BQ689">
        <f t="shared" si="109"/>
        <v>4.3500000000000005</v>
      </c>
      <c r="BR689">
        <f t="shared" si="110"/>
        <v>16.100000000000001</v>
      </c>
      <c r="BS689">
        <f t="shared" si="111"/>
        <v>20.13</v>
      </c>
      <c r="BT689" t="str">
        <f>IFERROR(INDEX(_REF_Capability_Bridge!$D:$D,MATCH($C689&amp;"|"&amp;$D689,_REF_Capability_Bridge!$J:$J,0)),IFERROR(INDEX(_REF_Capability_Bridge!$D:$D,MATCH($C689&amp;"|",_REF_Capability_Bridge!$J:$J,0)),"CAP_GENERIC"))</f>
        <v>CAP_POS_ECOMMERCE</v>
      </c>
      <c r="BU689">
        <f>IFERROR(IFERROR(INDEX(_ENGINE_Relevance!$L:$L,MATCH($BT689,_ENGINE_Relevance!$B:$B,0)),1),1)</f>
        <v>1</v>
      </c>
      <c r="BV689" t="str">
        <f>IFERROR(INDEX(_REF_Capability_Bridge!$A:$A,MATCH($C689&amp;"|"&amp;$D689,_REF_Capability_Bridge!$J:$J,0)),IFERROR(INDEX(_REF_Capability_Bridge!$A:$A,MATCH($C689&amp;"|",_REF_Capability_Bridge!$J:$J,0)),"No bridge"))</f>
        <v>BRG-027</v>
      </c>
      <c r="BW689" t="str">
        <f t="shared" si="112"/>
        <v>Capability relevance neutral</v>
      </c>
      <c r="BX689" t="str">
        <f t="shared" si="113"/>
        <v>Initial / absent</v>
      </c>
      <c r="BY689" t="str">
        <f>IF($E689="","",IFERROR(INDEX(_REF_Treatment_Library!$A$2:$A$296,MATCH(1,INDEX((_REF_Treatment_Library!$B$2:$B$296=$BT689)*(_REF_Treatment_Library!$C$2:$C$296=PV_Canonical_Industry)*(_REF_Treatment_Library!$E$2:$E$296&lt;=N($H689))*(_REF_Treatment_Library!$F$2:$F$296&gt;=N($H689))*(_REF_Treatment_Library!$O$2:$O$296="Yes"),0),0)),IFERROR(INDEX(_REF_Treatment_Library!$A$2:$A$296,MATCH(1,INDEX((_REF_Treatment_Library!$B$2:$B$296=$BT689)*(_REF_Treatment_Library!$C$2:$C$296="All")*(_REF_Treatment_Library!$E$2:$E$296&lt;=N($H689))*(_REF_Treatment_Library!$F$2:$F$296&gt;=N($H689))*(_REF_Treatment_Library!$O$2:$O$296="Yes"),0),0)),"")))</f>
        <v>TRT-POS_ECOMMERCE-INITIAL</v>
      </c>
      <c r="BZ689" t="str">
        <f>IF($BY689="","",IFERROR(INDEX(_REF_Treatment_Library!$H$2:$H$296,MATCH($BY689,_REF_Treatment_Library!$A$2:$A$296,0)),""))</f>
        <v>Establish</v>
      </c>
      <c r="CA689" t="str">
        <f>IF($BY689="","",IFERROR(INDEX(_REF_Treatment_Library!$I$2:$I$296,MATCH($BY689,_REF_Treatment_Library!$A$2:$A$296,0)),""))</f>
        <v>Establish baseline controls for POS / ecommerce</v>
      </c>
      <c r="CB689" t="str">
        <f>IF($BY689="","",IFERROR(INDEX(_REF_Treatment_Library!$K$2:$K$296,MATCH($BY689,_REF_Treatment_Library!$A$2:$A$296,0)),""))</f>
        <v>Named owner, baseline process, minimum control checklist, first evidence package</v>
      </c>
      <c r="CC689" t="str">
        <f>IF($BY689="","",IFERROR(INDEX(_REF_Treatment_Library!$L$2:$L$296,MATCH($BY689,_REF_Treatment_Library!$A$2:$A$296,0)),""))</f>
        <v>Owner assigned; baseline evidence coverage; open critical gaps</v>
      </c>
      <c r="CD689" t="str">
        <f t="shared" si="114"/>
        <v>Treatment by capability=CAP_POS_ECOMMERCE; band=Initial / absent; score=0.0; treatment=Establish</v>
      </c>
      <c r="CE689" t="str">
        <f>IF($E689="","",IFERROR(INDEX(_REF_Industry_Wording!$A$2:$A$70,MATCH(1,INDEX((_REF_Industry_Wording!$B$2:$B$70=$BT689)*(_REF_Industry_Wording!$C$2:$C$70=PV_Canonical_Industry)*(_REF_Industry_Wording!$K$2:$K$70="Yes"),0),0)),IFERROR(INDEX(_REF_Industry_Wording!$A$2:$A$70,MATCH(1,INDEX((_REF_Industry_Wording!$B$2:$B$70=$BT689)*(_REF_Industry_Wording!$C$2:$C$70="All")*(_REF_Industry_Wording!$K$2:$K$70="Yes"),0),0)),"")))</f>
        <v>IW-ALL-POS_ECOMMERCE</v>
      </c>
      <c r="CF689" t="str">
        <f>IF($CE689="","",IFERROR(INDEX(_REF_Industry_Wording!$E$2:$E$70,MATCH($CE689,_REF_Industry_Wording!$A$2:$A$70,0)),""))</f>
        <v>POS / ecommerce weakness</v>
      </c>
      <c r="CG689" t="str">
        <f>IF($CE689="","",IFERROR(INDEX(_REF_Industry_Wording!$F$2:$F$70,MATCH($CE689,_REF_Industry_Wording!$A$2:$A$70,0)),""))</f>
        <v>Strengthen POS / ecommerce</v>
      </c>
      <c r="CH689" t="str">
        <f>IF($CE689="","",IFERROR(INDEX(_REF_Industry_Wording!$G$2:$G$70,MATCH($CE689,_REF_Industry_Wording!$A$2:$A$70,0)),""))</f>
        <v>Strengthen POS / ecommerce using the selected maturity treatment, crisis scenario and evidence requirements.</v>
      </c>
      <c r="CI689" t="str">
        <f>IF($CE689="","",IFERROR(INDEX(_REF_Industry_Wording!$H$2:$H$70,MATCH($CE689,_REF_Industry_Wording!$A$2:$A$70,0)),""))</f>
        <v>POS / ecommerce</v>
      </c>
      <c r="CJ689">
        <f>IF($CE689="","",IFERROR(INDEX(_REF_Industry_Wording!$I$2:$I$70,MATCH($CE689,_REF_Industry_Wording!$A$2:$A$70,0)),""))</f>
        <v>0</v>
      </c>
      <c r="CK689" t="str">
        <f>IF($CE689="","",IFERROR(INDEX(_REF_Industry_Wording!$J$2:$J$70,MATCH($CE689,_REF_Industry_Wording!$A$2:$A$70,0)),""))</f>
        <v>POS / ecommerce</v>
      </c>
      <c r="CL689" t="str">
        <f t="shared" si="115"/>
        <v>Wording by industry=0; capability=CAP_POS_ECOMMERCE; risk label=POS / ecommerce weakness</v>
      </c>
      <c r="CM689" t="str">
        <f t="shared" si="116"/>
        <v>RISK-ONT-0190</v>
      </c>
      <c r="CN689" t="str">
        <f t="shared" si="117"/>
        <v>RISK-EVT-0190</v>
      </c>
      <c r="CO689" t="str">
        <f t="shared" si="118"/>
        <v>Delivery Ops|Operational visibility|DELI-019|CAP_POS_ECOMMERCE</v>
      </c>
      <c r="CP689" t="str">
        <f t="shared" si="119"/>
        <v>Active</v>
      </c>
      <c r="CQ689" t="str">
        <f t="shared" si="120"/>
        <v>OK: capability-driven</v>
      </c>
      <c r="CR689" t="str">
        <f t="shared" si="121"/>
        <v>Risk ontology uses capability=CAP_POS_ECOMMERCE; bridge=BRG-027; treatment=TRT-POS_ECOMMERCE-INITIAL; wording=IW-ALL-POS_ECOMMERCE</v>
      </c>
      <c r="CS689" t="str">
        <f t="shared" si="122"/>
        <v>Yes</v>
      </c>
    </row>
    <row r="690" spans="1:97" ht="69.900000000000006" customHeight="1">
      <c r="A690">
        <f>IF(OR($B690&lt;&gt;"Yes",$BS690=""),"",SUMPRODUCT(($B$500:$B$923="Yes")*ISNUMBER($BS$500:$BS$923)*($BS$500:$BS$923&gt;$BS690))+COUNTIFS($B$500:$B690,"Yes",$BS$500:$BS690,$BS690))</f>
        <v>137</v>
      </c>
      <c r="B690" t="str">
        <f t="shared" si="91"/>
        <v>Yes</v>
      </c>
      <c r="C690" t="s">
        <v>1859</v>
      </c>
      <c r="D690" t="s">
        <v>1884</v>
      </c>
      <c r="E690" t="s">
        <v>1966</v>
      </c>
      <c r="F690" t="s">
        <v>3686</v>
      </c>
      <c r="G690" t="str">
        <f>IF($H690="","",IFERROR(INDEX(_ENGINE_Risk!$H$5:$M$499,MATCH($E690,_ENGINE_Risk!$A$5:$A$499,0),$H690+1),""))</f>
        <v>Severe risk: operational KPIs for delivery quality, timeliness, throughput, cost, incidents and customer impact is not reliably controlled. During Delivery disruption; Customer impact; Workforce disruption, the organization may face missed commitments, SLA breaches, service interruption and weak customer recovery with limited visibility or accountability.</v>
      </c>
      <c r="H690">
        <f>IFERROR(VALUE(INDEX(_DATA_Assessment_Model!$H$5:$H$884,MATCH($E690,_DATA_Assessment_Model!$A$5:$A$884,0))),"")</f>
        <v>0</v>
      </c>
      <c r="I690" t="str">
        <f>IF($H690="","",IFERROR(INDEX(_DATA_Assessment_Model!$L$5:$L$884,MATCH($E690,_DATA_Assessment_Model!$A$5:$A$884,0)),IF($H690&lt;=1,"Critical",IF($H690=2,"High",IF($H690=3,"Medium",IF($H690=4,"Low","Resilient"))))))</f>
        <v>Critical</v>
      </c>
      <c r="J690">
        <f t="shared" si="92"/>
        <v>3.7</v>
      </c>
      <c r="K690">
        <f t="shared" si="93"/>
        <v>4.3500000000000005</v>
      </c>
      <c r="L690">
        <f t="shared" si="94"/>
        <v>16.095000000000002</v>
      </c>
      <c r="M690">
        <f t="shared" si="95"/>
        <v>4</v>
      </c>
      <c r="N690">
        <f>IF($H690="","",IFERROR(INDEX(_ENGINE_Risk!$T$5:$Y$499,MATCH($E690,_ENGINE_Risk!$A$5:$A$499,0),$H690+1),""))</f>
        <v>3</v>
      </c>
      <c r="O690">
        <f t="shared" si="96"/>
        <v>4.666666666666667</v>
      </c>
      <c r="P690">
        <f t="shared" si="97"/>
        <v>5</v>
      </c>
      <c r="Q690">
        <f t="shared" si="98"/>
        <v>5</v>
      </c>
      <c r="R690">
        <f t="shared" si="99"/>
        <v>4.5</v>
      </c>
      <c r="S690">
        <f t="shared" si="100"/>
        <v>1.6</v>
      </c>
      <c r="T690" t="str">
        <f>IF($H690="","",IFERROR(INDEX(_ENGINE_Risk!$N$5:$S$499,MATCH($E690,_ENGINE_Risk!$A$5:$A$499,0),$H690+1),""))</f>
        <v>Create an immediate risk owner, minimum control baseline and fallback procedure for operational KPIs for delivery quality, timeliness, throughput, cost, incidents and customer impact. Add it to the crisis risk register and collect first evidence.</v>
      </c>
      <c r="U690">
        <f>IFERROR(INDEX(_DATA_Assessment_Model!$G$5:$G$884,MATCH($E690,_DATA_Assessment_Model!$A$5:$A$884,0)),"")</f>
        <v>5</v>
      </c>
      <c r="V690">
        <f>IFERROR(INDEX(_DATA_Assessment_Model!$W$5:$W$884,MATCH($E690,_DATA_Assessment_Model!$A$5:$A$884,0)),"")</f>
        <v>4</v>
      </c>
      <c r="W690">
        <f>IFERROR(INDEX(_DATA_Assessment_Model!$X$5:$X$884,MATCH($E690,_DATA_Assessment_Model!$A$5:$A$884,0)),"")</f>
        <v>5</v>
      </c>
      <c r="X690">
        <f>IFERROR(INDEX(_DATA_Assessment_Model!$Y$5:$Y$884,MATCH($E690,_DATA_Assessment_Model!$A$5:$A$884,0)),"")</f>
        <v>5</v>
      </c>
      <c r="Y690" t="s">
        <v>1866</v>
      </c>
      <c r="Z690" t="s">
        <v>7028</v>
      </c>
      <c r="AA690" t="s">
        <v>1968</v>
      </c>
      <c r="AB690">
        <f>IFERROR(INDEX(_DATA_Assessment_Model!$U$5:$U$884,MATCH($E690,_DATA_Assessment_Model!$A$5:$A$884,0)),"")</f>
        <v>0</v>
      </c>
      <c r="AF690" t="s">
        <v>1967</v>
      </c>
      <c r="AO690">
        <f>IF($B690="Yes",IF(IFERROR(INDEX(_ENGINE_Crisis!$F$501:$F$517,MATCH($C690,_ENGINE_Crisis!$A$501:$A$517,0)),1)=0,1,IFERROR(INDEX(_ENGINE_Crisis!$F$501:$F$517,MATCH($C690,_ENGINE_Crisis!$A$501:$A$517,0)),1)),"")</f>
        <v>1</v>
      </c>
      <c r="AP690">
        <f t="shared" si="101"/>
        <v>16.100000000000001</v>
      </c>
      <c r="AQ690">
        <f t="shared" si="102"/>
        <v>1.6</v>
      </c>
      <c r="AR690" t="str">
        <f>IFERROR(INDEX(_ENGINE_Crisis!$E$41:$E$700,MATCH('Resilience &amp; Risk Scenario'!$B$6&amp;"|"&amp;$C690,_ENGINE_Crisis!$I$41:$I$700,0)),"")</f>
        <v/>
      </c>
      <c r="AS690" t="str">
        <f>IFERROR(INDEX(_ENGINE_Crisis!$G$41:$G$700,MATCH('Resilience &amp; Risk Scenario'!$B$6&amp;"|"&amp;$C690,_ENGINE_Crisis!$I$41:$I$700,0)),"")</f>
        <v/>
      </c>
      <c r="AT690" t="str">
        <f>IFERROR(INDEX(_ENGINE_Initiatives!$A$5:$A$532,MATCH(1,INDEX((_ENGINE_Initiatives!$B$5:$B$532=$C690)*(_ENGINE_Initiatives!$C$5:$C$532=$D690),0),0)),"")</f>
        <v>INI-031</v>
      </c>
      <c r="AU690" t="str">
        <f>IFERROR(INDEX(_ENGINE_Initiatives!$F$5:$F$532,MATCH(1,INDEX((_ENGINE_Initiatives!$B$5:$B$532=$C690)*(_ENGINE_Initiatives!$C$5:$C$532=$D690),0),0)),"")</f>
        <v>Implement operational visibility dashboards and early warning</v>
      </c>
      <c r="AV690">
        <f>IFERROR(INDEX(_ENGINE_Initiatives!$AC$5:$AC$532,MATCH(1,INDEX((_ENGINE_Initiatives!$B$5:$B$532=$C690)*(_ENGINE_Initiatives!$C$5:$C$532=$D690),0),0)),"")</f>
        <v>1.79</v>
      </c>
      <c r="AW690" t="str">
        <f>IFERROR(INDEX(_ENGINE_Initiatives!$AE$5:$AE$532,MATCH(1,INDEX((_ENGINE_Initiatives!$B$5:$B$532=$C690)*(_ENGINE_Initiatives!$C$5:$C$532=$D690),0),0)),"")</f>
        <v>3-6 months</v>
      </c>
      <c r="AX690">
        <f>IF($B690="Yes",IFERROR((IF(SUMIFS(_REF_Model_Content!$E$1:$E$613,_REF_Model_Content!$A$1:$A$613,PV_Canonical_Industry,_REF_Model_Content!$B$1:$B$613,$C690)=0,1,SUMIFS(_REF_Model_Content!$E$1:$E$613,_REF_Model_Content!$A$1:$A$613,PV_Canonical_Industry,_REF_Model_Content!$B$1:$B$613,$C690))*IFERROR($BU690,1)),1),"")</f>
        <v>1</v>
      </c>
      <c r="AY690">
        <f t="shared" si="103"/>
        <v>16.100000000000001</v>
      </c>
      <c r="AZ690">
        <f t="shared" si="104"/>
        <v>1.6</v>
      </c>
      <c r="BB690" t="str">
        <f>IF($H690="","",IFERROR(INDEX(_ENGINE_Risk!$AE$5:$AE$499,MATCH($E690,_ENGINE_Risk!$A$5:$A$499,0)),"Medium"))</f>
        <v>Fast</v>
      </c>
      <c r="BC690">
        <f t="shared" si="105"/>
        <v>1.25</v>
      </c>
      <c r="BD690">
        <f t="shared" si="106"/>
        <v>1.6</v>
      </c>
      <c r="BF690">
        <f>IF(OR($H690="",$J690=""),"",IFERROR(VLOOKUP(ROUND($J690,0),_CONFIG_Model_Settings!$D$154:$E$158,2,0),""))</f>
        <v>0.5</v>
      </c>
      <c r="BG690">
        <f>IFERROR(IF(OR($H690="",$K690=""),"",ROUND('Company Profile'!$B$113*INDEX(_CONFIG_Model_Settings!$H$154:$H$158,MATCH(ROUND($K690,0),_CONFIG_Model_Settings!$G$154:$G$158,0)),0)),0)</f>
        <v>875</v>
      </c>
      <c r="BH690">
        <f t="shared" si="107"/>
        <v>437.5</v>
      </c>
      <c r="BI690">
        <f t="shared" si="108"/>
        <v>437.5</v>
      </c>
      <c r="BJ690">
        <f>IF($E690="","",IFERROR(VLOOKUP($C690,_CONFIG_Risk_Calibration!$A$5:$H$21,2,FALSE),3))</f>
        <v>3</v>
      </c>
      <c r="BK690">
        <f>IF($E690="","",IFERROR(VLOOKUP($C690,_CONFIG_Risk_Calibration!$A$5:$H$21,3,FALSE),0))</f>
        <v>0</v>
      </c>
      <c r="BL690">
        <f>IF($E690="","",IFERROR(VLOOKUP($C690,_CONFIG_Risk_Calibration!$A$5:$H$21,4,FALSE),3))</f>
        <v>3</v>
      </c>
      <c r="BM690">
        <f>IF($E690="","",IFERROR(VLOOKUP($C690,_CONFIG_Risk_Calibration!$A$5:$H$21,5,FALSE),3))</f>
        <v>3</v>
      </c>
      <c r="BN690" t="str">
        <f>IF($E690="","",IFERROR(VLOOKUP($C690,_CONFIG_Risk_Calibration!$A$5:$H$21,6,FALSE),"No"))</f>
        <v>No</v>
      </c>
      <c r="BO690">
        <f>IF($E690="","",IFERROR(VLOOKUP($C690,_CONFIG_Risk_Calibration!$A$5:$H$21,7,FALSE),1))</f>
        <v>1</v>
      </c>
      <c r="BP690">
        <f>IF($H690="","",MAX(1,MIN(5,((6-$H690)*0.45)+($BJ690*0.2)+('Resilience &amp; Risk Scenario'!$B$7*0.15)+($BK690*0.1)+($BL690*0.05)+(IF($BB690="Fast",5,IF($BB690="Slow",1,3))*0.05))))</f>
        <v>3.7</v>
      </c>
      <c r="BQ690">
        <f t="shared" si="109"/>
        <v>4.3500000000000005</v>
      </c>
      <c r="BR690">
        <f t="shared" si="110"/>
        <v>16.100000000000001</v>
      </c>
      <c r="BS690">
        <f t="shared" si="111"/>
        <v>20.13</v>
      </c>
      <c r="BT690" t="str">
        <f>IFERROR(INDEX(_REF_Capability_Bridge!$D:$D,MATCH($C690&amp;"|"&amp;$D690,_REF_Capability_Bridge!$J:$J,0)),IFERROR(INDEX(_REF_Capability_Bridge!$D:$D,MATCH($C690&amp;"|",_REF_Capability_Bridge!$J:$J,0)),"CAP_GENERIC"))</f>
        <v>CAP_POS_ECOMMERCE</v>
      </c>
      <c r="BU690">
        <f>IFERROR(IFERROR(INDEX(_ENGINE_Relevance!$L:$L,MATCH($BT690,_ENGINE_Relevance!$B:$B,0)),1),1)</f>
        <v>1</v>
      </c>
      <c r="BV690" t="str">
        <f>IFERROR(INDEX(_REF_Capability_Bridge!$A:$A,MATCH($C690&amp;"|"&amp;$D690,_REF_Capability_Bridge!$J:$J,0)),IFERROR(INDEX(_REF_Capability_Bridge!$A:$A,MATCH($C690&amp;"|",_REF_Capability_Bridge!$J:$J,0)),"No bridge"))</f>
        <v>BRG-027</v>
      </c>
      <c r="BW690" t="str">
        <f t="shared" si="112"/>
        <v>Capability relevance neutral</v>
      </c>
      <c r="BX690" t="str">
        <f t="shared" si="113"/>
        <v>Initial / absent</v>
      </c>
      <c r="BY690" t="str">
        <f>IF($E690="","",IFERROR(INDEX(_REF_Treatment_Library!$A$2:$A$296,MATCH(1,INDEX((_REF_Treatment_Library!$B$2:$B$296=$BT690)*(_REF_Treatment_Library!$C$2:$C$296=PV_Canonical_Industry)*(_REF_Treatment_Library!$E$2:$E$296&lt;=N($H690))*(_REF_Treatment_Library!$F$2:$F$296&gt;=N($H690))*(_REF_Treatment_Library!$O$2:$O$296="Yes"),0),0)),IFERROR(INDEX(_REF_Treatment_Library!$A$2:$A$296,MATCH(1,INDEX((_REF_Treatment_Library!$B$2:$B$296=$BT690)*(_REF_Treatment_Library!$C$2:$C$296="All")*(_REF_Treatment_Library!$E$2:$E$296&lt;=N($H690))*(_REF_Treatment_Library!$F$2:$F$296&gt;=N($H690))*(_REF_Treatment_Library!$O$2:$O$296="Yes"),0),0)),"")))</f>
        <v>TRT-POS_ECOMMERCE-INITIAL</v>
      </c>
      <c r="BZ690" t="str">
        <f>IF($BY690="","",IFERROR(INDEX(_REF_Treatment_Library!$H$2:$H$296,MATCH($BY690,_REF_Treatment_Library!$A$2:$A$296,0)),""))</f>
        <v>Establish</v>
      </c>
      <c r="CA690" t="str">
        <f>IF($BY690="","",IFERROR(INDEX(_REF_Treatment_Library!$I$2:$I$296,MATCH($BY690,_REF_Treatment_Library!$A$2:$A$296,0)),""))</f>
        <v>Establish baseline controls for POS / ecommerce</v>
      </c>
      <c r="CB690" t="str">
        <f>IF($BY690="","",IFERROR(INDEX(_REF_Treatment_Library!$K$2:$K$296,MATCH($BY690,_REF_Treatment_Library!$A$2:$A$296,0)),""))</f>
        <v>Named owner, baseline process, minimum control checklist, first evidence package</v>
      </c>
      <c r="CC690" t="str">
        <f>IF($BY690="","",IFERROR(INDEX(_REF_Treatment_Library!$L$2:$L$296,MATCH($BY690,_REF_Treatment_Library!$A$2:$A$296,0)),""))</f>
        <v>Owner assigned; baseline evidence coverage; open critical gaps</v>
      </c>
      <c r="CD690" t="str">
        <f t="shared" si="114"/>
        <v>Treatment by capability=CAP_POS_ECOMMERCE; band=Initial / absent; score=0.0; treatment=Establish</v>
      </c>
      <c r="CE690" t="str">
        <f>IF($E690="","",IFERROR(INDEX(_REF_Industry_Wording!$A$2:$A$70,MATCH(1,INDEX((_REF_Industry_Wording!$B$2:$B$70=$BT690)*(_REF_Industry_Wording!$C$2:$C$70=PV_Canonical_Industry)*(_REF_Industry_Wording!$K$2:$K$70="Yes"),0),0)),IFERROR(INDEX(_REF_Industry_Wording!$A$2:$A$70,MATCH(1,INDEX((_REF_Industry_Wording!$B$2:$B$70=$BT690)*(_REF_Industry_Wording!$C$2:$C$70="All")*(_REF_Industry_Wording!$K$2:$K$70="Yes"),0),0)),"")))</f>
        <v>IW-ALL-POS_ECOMMERCE</v>
      </c>
      <c r="CF690" t="str">
        <f>IF($CE690="","",IFERROR(INDEX(_REF_Industry_Wording!$E$2:$E$70,MATCH($CE690,_REF_Industry_Wording!$A$2:$A$70,0)),""))</f>
        <v>POS / ecommerce weakness</v>
      </c>
      <c r="CG690" t="str">
        <f>IF($CE690="","",IFERROR(INDEX(_REF_Industry_Wording!$F$2:$F$70,MATCH($CE690,_REF_Industry_Wording!$A$2:$A$70,0)),""))</f>
        <v>Strengthen POS / ecommerce</v>
      </c>
      <c r="CH690" t="str">
        <f>IF($CE690="","",IFERROR(INDEX(_REF_Industry_Wording!$G$2:$G$70,MATCH($CE690,_REF_Industry_Wording!$A$2:$A$70,0)),""))</f>
        <v>Strengthen POS / ecommerce using the selected maturity treatment, crisis scenario and evidence requirements.</v>
      </c>
      <c r="CI690" t="str">
        <f>IF($CE690="","",IFERROR(INDEX(_REF_Industry_Wording!$H$2:$H$70,MATCH($CE690,_REF_Industry_Wording!$A$2:$A$70,0)),""))</f>
        <v>POS / ecommerce</v>
      </c>
      <c r="CJ690">
        <f>IF($CE690="","",IFERROR(INDEX(_REF_Industry_Wording!$I$2:$I$70,MATCH($CE690,_REF_Industry_Wording!$A$2:$A$70,0)),""))</f>
        <v>0</v>
      </c>
      <c r="CK690" t="str">
        <f>IF($CE690="","",IFERROR(INDEX(_REF_Industry_Wording!$J$2:$J$70,MATCH($CE690,_REF_Industry_Wording!$A$2:$A$70,0)),""))</f>
        <v>POS / ecommerce</v>
      </c>
      <c r="CL690" t="str">
        <f t="shared" si="115"/>
        <v>Wording by industry=0; capability=CAP_POS_ECOMMERCE; risk label=POS / ecommerce weakness</v>
      </c>
      <c r="CM690" t="str">
        <f t="shared" si="116"/>
        <v>RISK-ONT-0191</v>
      </c>
      <c r="CN690" t="str">
        <f t="shared" si="117"/>
        <v>RISK-EVT-0191</v>
      </c>
      <c r="CO690" t="str">
        <f t="shared" si="118"/>
        <v>Delivery Ops|Operational visibility|DELI-020|CAP_POS_ECOMMERCE</v>
      </c>
      <c r="CP690" t="str">
        <f t="shared" si="119"/>
        <v>Active</v>
      </c>
      <c r="CQ690" t="str">
        <f t="shared" si="120"/>
        <v>OK: capability-driven</v>
      </c>
      <c r="CR690" t="str">
        <f t="shared" si="121"/>
        <v>Risk ontology uses capability=CAP_POS_ECOMMERCE; bridge=BRG-027; treatment=TRT-POS_ECOMMERCE-INITIAL; wording=IW-ALL-POS_ECOMMERCE</v>
      </c>
      <c r="CS690" t="str">
        <f t="shared" si="122"/>
        <v>Yes</v>
      </c>
    </row>
    <row r="691" spans="1:97" ht="69.900000000000006" customHeight="1">
      <c r="A691">
        <f>IF(OR($B691&lt;&gt;"Yes",$BS691=""),"",SUMPRODUCT(($B$500:$B$923="Yes")*ISNUMBER($BS$500:$BS$923)*($BS$500:$BS$923&gt;$BS691))+COUNTIFS($B$500:$B691,"Yes",$BS$500:$BS691,$BS691))</f>
        <v>165</v>
      </c>
      <c r="B691" t="str">
        <f t="shared" si="91"/>
        <v>Yes</v>
      </c>
      <c r="C691" t="s">
        <v>1859</v>
      </c>
      <c r="D691" t="s">
        <v>1884</v>
      </c>
      <c r="E691" t="s">
        <v>1969</v>
      </c>
      <c r="F691" t="s">
        <v>3686</v>
      </c>
      <c r="G691" t="str">
        <f>IF($H691="","",IFERROR(INDEX(_ENGINE_Risk!$H$5:$M$499,MATCH($E691,_ENGINE_Risk!$A$5:$A$499,0),$H691+1),""))</f>
        <v>Severe risk: backlog aging analysis linked to customer risk, revenue risk and operational constraints is not reliably controlled. During Delivery disruption; Customer impact; Workforce disruption, the organization may face missed commitments, SLA breaches, service interruption and weak customer recovery with limited visibility or accountability.</v>
      </c>
      <c r="H691">
        <f>IFERROR(VALUE(INDEX(_DATA_Assessment_Model!$H$5:$H$884,MATCH($E691,_DATA_Assessment_Model!$A$5:$A$884,0))),"")</f>
        <v>0</v>
      </c>
      <c r="I691" t="str">
        <f>IF($H691="","",IFERROR(INDEX(_DATA_Assessment_Model!$L$5:$L$884,MATCH($E691,_DATA_Assessment_Model!$A$5:$A$884,0)),IF($H691&lt;=1,"Critical",IF($H691=2,"High",IF($H691=3,"Medium",IF($H691=4,"Low","Resilient"))))))</f>
        <v>Critical</v>
      </c>
      <c r="J691">
        <f t="shared" si="92"/>
        <v>3.7</v>
      </c>
      <c r="K691">
        <f t="shared" si="93"/>
        <v>4.1500000000000004</v>
      </c>
      <c r="L691">
        <f t="shared" si="94"/>
        <v>15.355000000000002</v>
      </c>
      <c r="M691">
        <f t="shared" si="95"/>
        <v>4</v>
      </c>
      <c r="N691">
        <f>IF($H691="","",IFERROR(INDEX(_ENGINE_Risk!$T$5:$Y$499,MATCH($E691,_ENGINE_Risk!$A$5:$A$499,0),$H691+1),""))</f>
        <v>3</v>
      </c>
      <c r="O691">
        <f t="shared" si="96"/>
        <v>4.333333333333333</v>
      </c>
      <c r="P691">
        <f t="shared" si="97"/>
        <v>5</v>
      </c>
      <c r="Q691">
        <f t="shared" si="98"/>
        <v>5</v>
      </c>
      <c r="R691">
        <f t="shared" si="99"/>
        <v>4.5</v>
      </c>
      <c r="S691">
        <f t="shared" si="100"/>
        <v>1.57</v>
      </c>
      <c r="T691" t="str">
        <f>IF($H691="","",IFERROR(INDEX(_ENGINE_Risk!$N$5:$S$499,MATCH($E691,_ENGINE_Risk!$A$5:$A$499,0),$H691+1),""))</f>
        <v>Create an immediate risk owner, minimum control baseline and fallback procedure for backlog aging analysis linked to customer risk, revenue risk and operational constraints. Add it to the crisis risk register and collect first evidence.</v>
      </c>
      <c r="U691">
        <f>IFERROR(INDEX(_DATA_Assessment_Model!$G$5:$G$884,MATCH($E691,_DATA_Assessment_Model!$A$5:$A$884,0)),"")</f>
        <v>4</v>
      </c>
      <c r="V691">
        <f>IFERROR(INDEX(_DATA_Assessment_Model!$W$5:$W$884,MATCH($E691,_DATA_Assessment_Model!$A$5:$A$884,0)),"")</f>
        <v>4</v>
      </c>
      <c r="W691">
        <f>IFERROR(INDEX(_DATA_Assessment_Model!$X$5:$X$884,MATCH($E691,_DATA_Assessment_Model!$A$5:$A$884,0)),"")</f>
        <v>5</v>
      </c>
      <c r="X691">
        <f>IFERROR(INDEX(_DATA_Assessment_Model!$Y$5:$Y$884,MATCH($E691,_DATA_Assessment_Model!$A$5:$A$884,0)),"")</f>
        <v>5</v>
      </c>
      <c r="Y691" t="s">
        <v>1866</v>
      </c>
      <c r="Z691" t="s">
        <v>7028</v>
      </c>
      <c r="AA691" t="s">
        <v>1971</v>
      </c>
      <c r="AB691">
        <f>IFERROR(INDEX(_DATA_Assessment_Model!$U$5:$U$884,MATCH($E691,_DATA_Assessment_Model!$A$5:$A$884,0)),"")</f>
        <v>0</v>
      </c>
      <c r="AF691" t="s">
        <v>1970</v>
      </c>
      <c r="AO691">
        <f>IF($B691="Yes",IF(IFERROR(INDEX(_ENGINE_Crisis!$F$501:$F$517,MATCH($C691,_ENGINE_Crisis!$A$501:$A$517,0)),1)=0,1,IFERROR(INDEX(_ENGINE_Crisis!$F$501:$F$517,MATCH($C691,_ENGINE_Crisis!$A$501:$A$517,0)),1)),"")</f>
        <v>1</v>
      </c>
      <c r="AP691">
        <f t="shared" si="101"/>
        <v>15.4</v>
      </c>
      <c r="AQ691">
        <f t="shared" si="102"/>
        <v>1.57</v>
      </c>
      <c r="AR691" t="str">
        <f>IFERROR(INDEX(_ENGINE_Crisis!$E$41:$E$700,MATCH('Resilience &amp; Risk Scenario'!$B$6&amp;"|"&amp;$C691,_ENGINE_Crisis!$I$41:$I$700,0)),"")</f>
        <v/>
      </c>
      <c r="AS691" t="str">
        <f>IFERROR(INDEX(_ENGINE_Crisis!$G$41:$G$700,MATCH('Resilience &amp; Risk Scenario'!$B$6&amp;"|"&amp;$C691,_ENGINE_Crisis!$I$41:$I$700,0)),"")</f>
        <v/>
      </c>
      <c r="AT691" t="str">
        <f>IFERROR(INDEX(_ENGINE_Initiatives!$A$5:$A$532,MATCH(1,INDEX((_ENGINE_Initiatives!$B$5:$B$532=$C691)*(_ENGINE_Initiatives!$C$5:$C$532=$D691),0),0)),"")</f>
        <v>INI-031</v>
      </c>
      <c r="AU691" t="str">
        <f>IFERROR(INDEX(_ENGINE_Initiatives!$F$5:$F$532,MATCH(1,INDEX((_ENGINE_Initiatives!$B$5:$B$532=$C691)*(_ENGINE_Initiatives!$C$5:$C$532=$D691),0),0)),"")</f>
        <v>Implement operational visibility dashboards and early warning</v>
      </c>
      <c r="AV691">
        <f>IFERROR(INDEX(_ENGINE_Initiatives!$AC$5:$AC$532,MATCH(1,INDEX((_ENGINE_Initiatives!$B$5:$B$532=$C691)*(_ENGINE_Initiatives!$C$5:$C$532=$D691),0),0)),"")</f>
        <v>1.79</v>
      </c>
      <c r="AW691" t="str">
        <f>IFERROR(INDEX(_ENGINE_Initiatives!$AE$5:$AE$532,MATCH(1,INDEX((_ENGINE_Initiatives!$B$5:$B$532=$C691)*(_ENGINE_Initiatives!$C$5:$C$532=$D691),0),0)),"")</f>
        <v>3-6 months</v>
      </c>
      <c r="AX691">
        <f>IF($B691="Yes",IFERROR((IF(SUMIFS(_REF_Model_Content!$E$1:$E$613,_REF_Model_Content!$A$1:$A$613,PV_Canonical_Industry,_REF_Model_Content!$B$1:$B$613,$C691)=0,1,SUMIFS(_REF_Model_Content!$E$1:$E$613,_REF_Model_Content!$A$1:$A$613,PV_Canonical_Industry,_REF_Model_Content!$B$1:$B$613,$C691))*IFERROR($BU691,1)),1),"")</f>
        <v>1</v>
      </c>
      <c r="AY691">
        <f t="shared" si="103"/>
        <v>15.4</v>
      </c>
      <c r="AZ691">
        <f t="shared" si="104"/>
        <v>1.57</v>
      </c>
      <c r="BB691" t="str">
        <f>IF($H691="","",IFERROR(INDEX(_ENGINE_Risk!$AE$5:$AE$499,MATCH($E691,_ENGINE_Risk!$A$5:$A$499,0)),"Medium"))</f>
        <v>Fast</v>
      </c>
      <c r="BC691">
        <f t="shared" si="105"/>
        <v>1.25</v>
      </c>
      <c r="BD691">
        <f t="shared" si="106"/>
        <v>1.57</v>
      </c>
      <c r="BF691">
        <f>IF(OR($H691="",$J691=""),"",IFERROR(VLOOKUP(ROUND($J691,0),_CONFIG_Model_Settings!$D$154:$E$158,2,0),""))</f>
        <v>0.5</v>
      </c>
      <c r="BG691">
        <f>IFERROR(IF(OR($H691="",$K691=""),"",ROUND('Company Profile'!$B$113*INDEX(_CONFIG_Model_Settings!$H$154:$H$158,MATCH(ROUND($K691,0),_CONFIG_Model_Settings!$G$154:$G$158,0)),0)),0)</f>
        <v>875</v>
      </c>
      <c r="BH691">
        <f t="shared" si="107"/>
        <v>437.5</v>
      </c>
      <c r="BI691">
        <f t="shared" si="108"/>
        <v>437.5</v>
      </c>
      <c r="BJ691">
        <f>IF($E691="","",IFERROR(VLOOKUP($C691,_CONFIG_Risk_Calibration!$A$5:$H$21,2,FALSE),3))</f>
        <v>3</v>
      </c>
      <c r="BK691">
        <f>IF($E691="","",IFERROR(VLOOKUP($C691,_CONFIG_Risk_Calibration!$A$5:$H$21,3,FALSE),0))</f>
        <v>0</v>
      </c>
      <c r="BL691">
        <f>IF($E691="","",IFERROR(VLOOKUP($C691,_CONFIG_Risk_Calibration!$A$5:$H$21,4,FALSE),3))</f>
        <v>3</v>
      </c>
      <c r="BM691">
        <f>IF($E691="","",IFERROR(VLOOKUP($C691,_CONFIG_Risk_Calibration!$A$5:$H$21,5,FALSE),3))</f>
        <v>3</v>
      </c>
      <c r="BN691" t="str">
        <f>IF($E691="","",IFERROR(VLOOKUP($C691,_CONFIG_Risk_Calibration!$A$5:$H$21,6,FALSE),"No"))</f>
        <v>No</v>
      </c>
      <c r="BO691">
        <f>IF($E691="","",IFERROR(VLOOKUP($C691,_CONFIG_Risk_Calibration!$A$5:$H$21,7,FALSE),1))</f>
        <v>1</v>
      </c>
      <c r="BP691">
        <f>IF($H691="","",MAX(1,MIN(5,((6-$H691)*0.45)+($BJ691*0.2)+('Resilience &amp; Risk Scenario'!$B$7*0.15)+($BK691*0.1)+($BL691*0.05)+(IF($BB691="Fast",5,IF($BB691="Slow",1,3))*0.05))))</f>
        <v>3.7</v>
      </c>
      <c r="BQ691">
        <f t="shared" si="109"/>
        <v>4.1500000000000004</v>
      </c>
      <c r="BR691">
        <f t="shared" si="110"/>
        <v>15.36</v>
      </c>
      <c r="BS691">
        <f t="shared" si="111"/>
        <v>19.2</v>
      </c>
      <c r="BT691" t="str">
        <f>IFERROR(INDEX(_REF_Capability_Bridge!$D:$D,MATCH($C691&amp;"|"&amp;$D691,_REF_Capability_Bridge!$J:$J,0)),IFERROR(INDEX(_REF_Capability_Bridge!$D:$D,MATCH($C691&amp;"|",_REF_Capability_Bridge!$J:$J,0)),"CAP_GENERIC"))</f>
        <v>CAP_POS_ECOMMERCE</v>
      </c>
      <c r="BU691">
        <f>IFERROR(IFERROR(INDEX(_ENGINE_Relevance!$L:$L,MATCH($BT691,_ENGINE_Relevance!$B:$B,0)),1),1)</f>
        <v>1</v>
      </c>
      <c r="BV691" t="str">
        <f>IFERROR(INDEX(_REF_Capability_Bridge!$A:$A,MATCH($C691&amp;"|"&amp;$D691,_REF_Capability_Bridge!$J:$J,0)),IFERROR(INDEX(_REF_Capability_Bridge!$A:$A,MATCH($C691&amp;"|",_REF_Capability_Bridge!$J:$J,0)),"No bridge"))</f>
        <v>BRG-027</v>
      </c>
      <c r="BW691" t="str">
        <f t="shared" si="112"/>
        <v>Capability relevance neutral</v>
      </c>
      <c r="BX691" t="str">
        <f t="shared" si="113"/>
        <v>Initial / absent</v>
      </c>
      <c r="BY691" t="str">
        <f>IF($E691="","",IFERROR(INDEX(_REF_Treatment_Library!$A$2:$A$296,MATCH(1,INDEX((_REF_Treatment_Library!$B$2:$B$296=$BT691)*(_REF_Treatment_Library!$C$2:$C$296=PV_Canonical_Industry)*(_REF_Treatment_Library!$E$2:$E$296&lt;=N($H691))*(_REF_Treatment_Library!$F$2:$F$296&gt;=N($H691))*(_REF_Treatment_Library!$O$2:$O$296="Yes"),0),0)),IFERROR(INDEX(_REF_Treatment_Library!$A$2:$A$296,MATCH(1,INDEX((_REF_Treatment_Library!$B$2:$B$296=$BT691)*(_REF_Treatment_Library!$C$2:$C$296="All")*(_REF_Treatment_Library!$E$2:$E$296&lt;=N($H691))*(_REF_Treatment_Library!$F$2:$F$296&gt;=N($H691))*(_REF_Treatment_Library!$O$2:$O$296="Yes"),0),0)),"")))</f>
        <v>TRT-POS_ECOMMERCE-INITIAL</v>
      </c>
      <c r="BZ691" t="str">
        <f>IF($BY691="","",IFERROR(INDEX(_REF_Treatment_Library!$H$2:$H$296,MATCH($BY691,_REF_Treatment_Library!$A$2:$A$296,0)),""))</f>
        <v>Establish</v>
      </c>
      <c r="CA691" t="str">
        <f>IF($BY691="","",IFERROR(INDEX(_REF_Treatment_Library!$I$2:$I$296,MATCH($BY691,_REF_Treatment_Library!$A$2:$A$296,0)),""))</f>
        <v>Establish baseline controls for POS / ecommerce</v>
      </c>
      <c r="CB691" t="str">
        <f>IF($BY691="","",IFERROR(INDEX(_REF_Treatment_Library!$K$2:$K$296,MATCH($BY691,_REF_Treatment_Library!$A$2:$A$296,0)),""))</f>
        <v>Named owner, baseline process, minimum control checklist, first evidence package</v>
      </c>
      <c r="CC691" t="str">
        <f>IF($BY691="","",IFERROR(INDEX(_REF_Treatment_Library!$L$2:$L$296,MATCH($BY691,_REF_Treatment_Library!$A$2:$A$296,0)),""))</f>
        <v>Owner assigned; baseline evidence coverage; open critical gaps</v>
      </c>
      <c r="CD691" t="str">
        <f t="shared" si="114"/>
        <v>Treatment by capability=CAP_POS_ECOMMERCE; band=Initial / absent; score=0.0; treatment=Establish</v>
      </c>
      <c r="CE691" t="str">
        <f>IF($E691="","",IFERROR(INDEX(_REF_Industry_Wording!$A$2:$A$70,MATCH(1,INDEX((_REF_Industry_Wording!$B$2:$B$70=$BT691)*(_REF_Industry_Wording!$C$2:$C$70=PV_Canonical_Industry)*(_REF_Industry_Wording!$K$2:$K$70="Yes"),0),0)),IFERROR(INDEX(_REF_Industry_Wording!$A$2:$A$70,MATCH(1,INDEX((_REF_Industry_Wording!$B$2:$B$70=$BT691)*(_REF_Industry_Wording!$C$2:$C$70="All")*(_REF_Industry_Wording!$K$2:$K$70="Yes"),0),0)),"")))</f>
        <v>IW-ALL-POS_ECOMMERCE</v>
      </c>
      <c r="CF691" t="str">
        <f>IF($CE691="","",IFERROR(INDEX(_REF_Industry_Wording!$E$2:$E$70,MATCH($CE691,_REF_Industry_Wording!$A$2:$A$70,0)),""))</f>
        <v>POS / ecommerce weakness</v>
      </c>
      <c r="CG691" t="str">
        <f>IF($CE691="","",IFERROR(INDEX(_REF_Industry_Wording!$F$2:$F$70,MATCH($CE691,_REF_Industry_Wording!$A$2:$A$70,0)),""))</f>
        <v>Strengthen POS / ecommerce</v>
      </c>
      <c r="CH691" t="str">
        <f>IF($CE691="","",IFERROR(INDEX(_REF_Industry_Wording!$G$2:$G$70,MATCH($CE691,_REF_Industry_Wording!$A$2:$A$70,0)),""))</f>
        <v>Strengthen POS / ecommerce using the selected maturity treatment, crisis scenario and evidence requirements.</v>
      </c>
      <c r="CI691" t="str">
        <f>IF($CE691="","",IFERROR(INDEX(_REF_Industry_Wording!$H$2:$H$70,MATCH($CE691,_REF_Industry_Wording!$A$2:$A$70,0)),""))</f>
        <v>POS / ecommerce</v>
      </c>
      <c r="CJ691">
        <f>IF($CE691="","",IFERROR(INDEX(_REF_Industry_Wording!$I$2:$I$70,MATCH($CE691,_REF_Industry_Wording!$A$2:$A$70,0)),""))</f>
        <v>0</v>
      </c>
      <c r="CK691" t="str">
        <f>IF($CE691="","",IFERROR(INDEX(_REF_Industry_Wording!$J$2:$J$70,MATCH($CE691,_REF_Industry_Wording!$A$2:$A$70,0)),""))</f>
        <v>POS / ecommerce</v>
      </c>
      <c r="CL691" t="str">
        <f t="shared" si="115"/>
        <v>Wording by industry=0; capability=CAP_POS_ECOMMERCE; risk label=POS / ecommerce weakness</v>
      </c>
      <c r="CM691" t="str">
        <f t="shared" si="116"/>
        <v>RISK-ONT-0192</v>
      </c>
      <c r="CN691" t="str">
        <f t="shared" si="117"/>
        <v>RISK-EVT-0192</v>
      </c>
      <c r="CO691" t="str">
        <f t="shared" si="118"/>
        <v>Delivery Ops|Operational visibility|DELI-021|CAP_POS_ECOMMERCE</v>
      </c>
      <c r="CP691" t="str">
        <f t="shared" si="119"/>
        <v>Active</v>
      </c>
      <c r="CQ691" t="str">
        <f t="shared" si="120"/>
        <v>OK: capability-driven</v>
      </c>
      <c r="CR691" t="str">
        <f t="shared" si="121"/>
        <v>Risk ontology uses capability=CAP_POS_ECOMMERCE; bridge=BRG-027; treatment=TRT-POS_ECOMMERCE-INITIAL; wording=IW-ALL-POS_ECOMMERCE</v>
      </c>
      <c r="CS691" t="str">
        <f t="shared" si="122"/>
        <v>Yes</v>
      </c>
    </row>
    <row r="692" spans="1:97" ht="69.900000000000006" customHeight="1">
      <c r="A692">
        <f>IF(OR($B692&lt;&gt;"Yes",$BS692=""),"",SUMPRODUCT(($B$500:$B$923="Yes")*ISNUMBER($BS$500:$BS$923)*($BS$500:$BS$923&gt;$BS692))+COUNTIFS($B$500:$B692,"Yes",$BS$500:$BS692,$BS692))</f>
        <v>138</v>
      </c>
      <c r="B692" t="str">
        <f t="shared" ref="B692:B755" si="123">IF($H692="","",IF($BU692=0,"",IF($H692&lt;5,"Yes","Maintain")))</f>
        <v>Yes</v>
      </c>
      <c r="C692" t="s">
        <v>1859</v>
      </c>
      <c r="D692" t="s">
        <v>1884</v>
      </c>
      <c r="E692" t="s">
        <v>1978</v>
      </c>
      <c r="F692" t="s">
        <v>3686</v>
      </c>
      <c r="G692" t="str">
        <f>IF($H692="","",IFERROR(INDEX(_ENGINE_Risk!$H$5:$M$499,MATCH($E692,_ENGINE_Risk!$A$5:$A$499,0),$H692+1),""))</f>
        <v>Severe risk: customer-specific runbooks for critical accounts is not reliably controlled. During Delivery disruption; Customer impact; Workforce disruption, the organization may face missed commitments, SLA breaches, service interruption and weak customer recovery with limited visibility or accountability.</v>
      </c>
      <c r="H692">
        <f>IFERROR(VALUE(INDEX(_DATA_Assessment_Model!$H$5:$H$884,MATCH($E692,_DATA_Assessment_Model!$A$5:$A$884,0))),"")</f>
        <v>0</v>
      </c>
      <c r="I692" t="str">
        <f>IF($H692="","",IFERROR(INDEX(_DATA_Assessment_Model!$L$5:$L$884,MATCH($E692,_DATA_Assessment_Model!$A$5:$A$884,0)),IF($H692&lt;=1,"Critical",IF($H692=2,"High",IF($H692=3,"Medium",IF($H692=4,"Low","Resilient"))))))</f>
        <v>Critical</v>
      </c>
      <c r="J692">
        <f t="shared" ref="J692:J755" si="124">IF($H692="","",$BP692)</f>
        <v>3.7</v>
      </c>
      <c r="K692">
        <f t="shared" ref="K692:K755" si="125">IF($H692="","",$BQ692)</f>
        <v>4.3500000000000005</v>
      </c>
      <c r="L692">
        <f t="shared" ref="L692:L755" si="126">IF($H692="","",$J692*$K692)</f>
        <v>16.095000000000002</v>
      </c>
      <c r="M692">
        <f t="shared" ref="M692:M755" si="127">IF($H692="","",MAX(1,MIN(5,ROUNDUP($L692/5,0))))</f>
        <v>4</v>
      </c>
      <c r="N692">
        <f>IF($H692="","",IFERROR(INDEX(_ENGINE_Risk!$T$5:$Y$499,MATCH($E692,_ENGINE_Risk!$A$5:$A$499,0),$H692+1),""))</f>
        <v>3</v>
      </c>
      <c r="O692">
        <f t="shared" ref="O692:O755" si="128">IF($H692="","",MAX(1,MIN(5,($U692+$V692+$X692)/3)))</f>
        <v>4.666666666666667</v>
      </c>
      <c r="P692">
        <f t="shared" ref="P692:P755" si="129">IF($H692="","",IF($I692="Critical",5,IF($I692="High",4,IF($I692="Medium",3,IF($I692="Low",2,1)))))</f>
        <v>5</v>
      </c>
      <c r="Q692">
        <f t="shared" ref="Q692:Q755" si="130">IF($H692="","",MAX(1,MIN(5,((5-$H692)*0.65)+($W692*0.35))))</f>
        <v>5</v>
      </c>
      <c r="R692">
        <f t="shared" ref="R692:R755" si="131">IF($H692="","",MAX(1,MIN(5,($V692+$X692)/2)))</f>
        <v>4.5</v>
      </c>
      <c r="S692">
        <f t="shared" ref="S692:S755" si="132">IF(OR($H692="",$N692=""),"",ROUND((($O692+$P692+$Q692+$R692)/4)/$N692,2))</f>
        <v>1.6</v>
      </c>
      <c r="T692" t="str">
        <f>IF($H692="","",IFERROR(INDEX(_ENGINE_Risk!$N$5:$S$499,MATCH($E692,_ENGINE_Risk!$A$5:$A$499,0),$H692+1),""))</f>
        <v>Create an immediate risk owner, minimum control baseline and fallback procedure for customer-specific runbooks for critical accounts. Add it to the crisis risk register and collect first evidence.</v>
      </c>
      <c r="U692">
        <f>IFERROR(INDEX(_DATA_Assessment_Model!$G$5:$G$884,MATCH($E692,_DATA_Assessment_Model!$A$5:$A$884,0)),"")</f>
        <v>5</v>
      </c>
      <c r="V692">
        <f>IFERROR(INDEX(_DATA_Assessment_Model!$W$5:$W$884,MATCH($E692,_DATA_Assessment_Model!$A$5:$A$884,0)),"")</f>
        <v>4</v>
      </c>
      <c r="W692">
        <f>IFERROR(INDEX(_DATA_Assessment_Model!$X$5:$X$884,MATCH($E692,_DATA_Assessment_Model!$A$5:$A$884,0)),"")</f>
        <v>5</v>
      </c>
      <c r="X692">
        <f>IFERROR(INDEX(_DATA_Assessment_Model!$Y$5:$Y$884,MATCH($E692,_DATA_Assessment_Model!$A$5:$A$884,0)),"")</f>
        <v>5</v>
      </c>
      <c r="Y692" t="s">
        <v>1866</v>
      </c>
      <c r="Z692" t="s">
        <v>7028</v>
      </c>
      <c r="AA692" t="s">
        <v>1980</v>
      </c>
      <c r="AB692">
        <f>IFERROR(INDEX(_DATA_Assessment_Model!$U$5:$U$884,MATCH($E692,_DATA_Assessment_Model!$A$5:$A$884,0)),"")</f>
        <v>0</v>
      </c>
      <c r="AF692" t="s">
        <v>1979</v>
      </c>
      <c r="AO692">
        <f>IF($B692="Yes",IF(IFERROR(INDEX(_ENGINE_Crisis!$F$501:$F$517,MATCH($C692,_ENGINE_Crisis!$A$501:$A$517,0)),1)=0,1,IFERROR(INDEX(_ENGINE_Crisis!$F$501:$F$517,MATCH($C692,_ENGINE_Crisis!$A$501:$A$517,0)),1)),"")</f>
        <v>1</v>
      </c>
      <c r="AP692">
        <f t="shared" ref="AP692:AP755" si="133">IF(AO692="","",ROUND($L692*AO692,1))</f>
        <v>16.100000000000001</v>
      </c>
      <c r="AQ692">
        <f t="shared" ref="AQ692:AQ755" si="134">IF(OR(AO692="",$S692=""),"",ROUND($S692*(0.7+0.3*AO692),2))</f>
        <v>1.6</v>
      </c>
      <c r="AR692" t="str">
        <f>IFERROR(INDEX(_ENGINE_Crisis!$E$41:$E$700,MATCH('Resilience &amp; Risk Scenario'!$B$6&amp;"|"&amp;$C692,_ENGINE_Crisis!$I$41:$I$700,0)),"")</f>
        <v/>
      </c>
      <c r="AS692" t="str">
        <f>IFERROR(INDEX(_ENGINE_Crisis!$G$41:$G$700,MATCH('Resilience &amp; Risk Scenario'!$B$6&amp;"|"&amp;$C692,_ENGINE_Crisis!$I$41:$I$700,0)),"")</f>
        <v/>
      </c>
      <c r="AT692" t="str">
        <f>IFERROR(INDEX(_ENGINE_Initiatives!$A$5:$A$532,MATCH(1,INDEX((_ENGINE_Initiatives!$B$5:$B$532=$C692)*(_ENGINE_Initiatives!$C$5:$C$532=$D692),0),0)),"")</f>
        <v>INI-031</v>
      </c>
      <c r="AU692" t="str">
        <f>IFERROR(INDEX(_ENGINE_Initiatives!$F$5:$F$532,MATCH(1,INDEX((_ENGINE_Initiatives!$B$5:$B$532=$C692)*(_ENGINE_Initiatives!$C$5:$C$532=$D692),0),0)),"")</f>
        <v>Implement operational visibility dashboards and early warning</v>
      </c>
      <c r="AV692">
        <f>IFERROR(INDEX(_ENGINE_Initiatives!$AC$5:$AC$532,MATCH(1,INDEX((_ENGINE_Initiatives!$B$5:$B$532=$C692)*(_ENGINE_Initiatives!$C$5:$C$532=$D692),0),0)),"")</f>
        <v>1.79</v>
      </c>
      <c r="AW692" t="str">
        <f>IFERROR(INDEX(_ENGINE_Initiatives!$AE$5:$AE$532,MATCH(1,INDEX((_ENGINE_Initiatives!$B$5:$B$532=$C692)*(_ENGINE_Initiatives!$C$5:$C$532=$D692),0),0)),"")</f>
        <v>3-6 months</v>
      </c>
      <c r="AX692">
        <f>IF($B692="Yes",IFERROR((IF(SUMIFS(_REF_Model_Content!$E$1:$E$613,_REF_Model_Content!$A$1:$A$613,PV_Canonical_Industry,_REF_Model_Content!$B$1:$B$613,$C692)=0,1,SUMIFS(_REF_Model_Content!$E$1:$E$613,_REF_Model_Content!$A$1:$A$613,PV_Canonical_Industry,_REF_Model_Content!$B$1:$B$613,$C692))*IFERROR($BU692,1)),1),"")</f>
        <v>1</v>
      </c>
      <c r="AY692">
        <f t="shared" ref="AY692:AY755" si="135">IF($L692="","",ROUND(IF($AP692="",$L692,$AP692)*IF($AX692="",1,$AX692),2))</f>
        <v>16.100000000000001</v>
      </c>
      <c r="AZ692">
        <f t="shared" ref="AZ692:AZ755" si="136">IF($S692="","",ROUND(IF($AQ692="",$S692,$AQ692)*IF($AX692="",1,$AX692),2))</f>
        <v>1.6</v>
      </c>
      <c r="BB692" t="str">
        <f>IF($H692="","",IFERROR(INDEX(_ENGINE_Risk!$AE$5:$AE$499,MATCH($E692,_ENGINE_Risk!$A$5:$A$499,0)),"Medium"))</f>
        <v>Fast</v>
      </c>
      <c r="BC692">
        <f t="shared" ref="BC692:BC755" si="137">IF($BB692="","",IF($BB692="Fast",1.25,IF($BB692="Slow",0.85,1)))</f>
        <v>1.25</v>
      </c>
      <c r="BD692">
        <f t="shared" ref="BD692:BD755" si="138">IF($S692="","",ROUND($S692*IF($AX692="",1,$AX692),2))</f>
        <v>1.6</v>
      </c>
      <c r="BF692">
        <f>IF(OR($H692="",$J692=""),"",IFERROR(VLOOKUP(ROUND($J692,0),_CONFIG_Model_Settings!$D$154:$E$158,2,0),""))</f>
        <v>0.5</v>
      </c>
      <c r="BG692">
        <f>IFERROR(IF(OR($H692="",$K692=""),"",ROUND('Company Profile'!$B$113*INDEX(_CONFIG_Model_Settings!$H$154:$H$158,MATCH(ROUND($K692,0),_CONFIG_Model_Settings!$G$154:$G$158,0)),0)),0)</f>
        <v>875</v>
      </c>
      <c r="BH692">
        <f t="shared" ref="BH692:BH755" si="139">IFERROR(IF(OR($BF692="",$BG692=""),"",ROUND($BF692*$BG692,1)),"")</f>
        <v>437.5</v>
      </c>
      <c r="BI692">
        <f t="shared" ref="BI692:BI755" si="140">IFERROR(IF($BH692="","",ROUND($BH692*IF(OR($AO692="",$AO692=0),1,$AO692),1)),"")</f>
        <v>437.5</v>
      </c>
      <c r="BJ692">
        <f>IF($E692="","",IFERROR(VLOOKUP($C692,_CONFIG_Risk_Calibration!$A$5:$H$21,2,FALSE),3))</f>
        <v>3</v>
      </c>
      <c r="BK692">
        <f>IF($E692="","",IFERROR(VLOOKUP($C692,_CONFIG_Risk_Calibration!$A$5:$H$21,3,FALSE),0))</f>
        <v>0</v>
      </c>
      <c r="BL692">
        <f>IF($E692="","",IFERROR(VLOOKUP($C692,_CONFIG_Risk_Calibration!$A$5:$H$21,4,FALSE),3))</f>
        <v>3</v>
      </c>
      <c r="BM692">
        <f>IF($E692="","",IFERROR(VLOOKUP($C692,_CONFIG_Risk_Calibration!$A$5:$H$21,5,FALSE),3))</f>
        <v>3</v>
      </c>
      <c r="BN692" t="str">
        <f>IF($E692="","",IFERROR(VLOOKUP($C692,_CONFIG_Risk_Calibration!$A$5:$H$21,6,FALSE),"No"))</f>
        <v>No</v>
      </c>
      <c r="BO692">
        <f>IF($E692="","",IFERROR(VLOOKUP($C692,_CONFIG_Risk_Calibration!$A$5:$H$21,7,FALSE),1))</f>
        <v>1</v>
      </c>
      <c r="BP692">
        <f>IF($H692="","",MAX(1,MIN(5,((6-$H692)*0.45)+($BJ692*0.2)+('Resilience &amp; Risk Scenario'!$B$7*0.15)+($BK692*0.1)+($BL692*0.05)+(IF($BB692="Fast",5,IF($BB692="Slow",1,3))*0.05))))</f>
        <v>3.7</v>
      </c>
      <c r="BQ692">
        <f t="shared" ref="BQ692:BQ755" si="141">IF($H692="","",MAX(IF($BN692="Yes",$BO692,1),MIN(5,($U692*0.2)+($V692*0.15)+($W692*0.25)+($X692*0.15)+($BJ692*0.1)+($BM692*0.15))))</f>
        <v>4.3500000000000005</v>
      </c>
      <c r="BR692">
        <f t="shared" ref="BR692:BR755" si="142">IF(OR($BP692="",$BQ692=""),"",ROUND($BP692*$BQ692,2))</f>
        <v>16.100000000000001</v>
      </c>
      <c r="BS692">
        <f t="shared" ref="BS692:BS755" si="143">IF($BR692="","",ROUND($BR692*IF(OR($AO692="",$AO692=0),1,$AO692)*IF($AX692="",1,$AX692)*(1+(($BM692-3)*0.1))*IF($BC692="",1,$BC692),2))</f>
        <v>20.13</v>
      </c>
      <c r="BT692" t="str">
        <f>IFERROR(INDEX(_REF_Capability_Bridge!$D:$D,MATCH($C692&amp;"|"&amp;$D692,_REF_Capability_Bridge!$J:$J,0)),IFERROR(INDEX(_REF_Capability_Bridge!$D:$D,MATCH($C692&amp;"|",_REF_Capability_Bridge!$J:$J,0)),"CAP_GENERIC"))</f>
        <v>CAP_POS_ECOMMERCE</v>
      </c>
      <c r="BU692">
        <f>IFERROR(IFERROR(INDEX(_ENGINE_Relevance!$L:$L,MATCH($BT692,_ENGINE_Relevance!$B:$B,0)),1),1)</f>
        <v>1</v>
      </c>
      <c r="BV692" t="str">
        <f>IFERROR(INDEX(_REF_Capability_Bridge!$A:$A,MATCH($C692&amp;"|"&amp;$D692,_REF_Capability_Bridge!$J:$J,0)),IFERROR(INDEX(_REF_Capability_Bridge!$A:$A,MATCH($C692&amp;"|",_REF_Capability_Bridge!$J:$J,0)),"No bridge"))</f>
        <v>BRG-027</v>
      </c>
      <c r="BW692" t="str">
        <f t="shared" ref="BW692:BW755" si="144">IF($BU692=0,"Hard-excluded at capability level",IF($BU692&gt;1,"Capability relevance increases risk priority",IF($BU692&lt;1,"Capability relevance lowers risk priority","Capability relevance neutral")))</f>
        <v>Capability relevance neutral</v>
      </c>
      <c r="BX692" t="str">
        <f t="shared" ref="BX692:BX755" si="145">IF($E692="","",IF(N($H692)&lt;1.5,"Initial / absent",IF(N($H692)&lt;2.5,"Basic",IF(N($H692)&lt;3.5,"Defined",IF(N($H692)&lt;4.3,"Managed","Optimized")))))</f>
        <v>Initial / absent</v>
      </c>
      <c r="BY692" t="str">
        <f>IF($E692="","",IFERROR(INDEX(_REF_Treatment_Library!$A$2:$A$296,MATCH(1,INDEX((_REF_Treatment_Library!$B$2:$B$296=$BT692)*(_REF_Treatment_Library!$C$2:$C$296=PV_Canonical_Industry)*(_REF_Treatment_Library!$E$2:$E$296&lt;=N($H692))*(_REF_Treatment_Library!$F$2:$F$296&gt;=N($H692))*(_REF_Treatment_Library!$O$2:$O$296="Yes"),0),0)),IFERROR(INDEX(_REF_Treatment_Library!$A$2:$A$296,MATCH(1,INDEX((_REF_Treatment_Library!$B$2:$B$296=$BT692)*(_REF_Treatment_Library!$C$2:$C$296="All")*(_REF_Treatment_Library!$E$2:$E$296&lt;=N($H692))*(_REF_Treatment_Library!$F$2:$F$296&gt;=N($H692))*(_REF_Treatment_Library!$O$2:$O$296="Yes"),0),0)),"")))</f>
        <v>TRT-POS_ECOMMERCE-INITIAL</v>
      </c>
      <c r="BZ692" t="str">
        <f>IF($BY692="","",IFERROR(INDEX(_REF_Treatment_Library!$H$2:$H$296,MATCH($BY692,_REF_Treatment_Library!$A$2:$A$296,0)),""))</f>
        <v>Establish</v>
      </c>
      <c r="CA692" t="str">
        <f>IF($BY692="","",IFERROR(INDEX(_REF_Treatment_Library!$I$2:$I$296,MATCH($BY692,_REF_Treatment_Library!$A$2:$A$296,0)),""))</f>
        <v>Establish baseline controls for POS / ecommerce</v>
      </c>
      <c r="CB692" t="str">
        <f>IF($BY692="","",IFERROR(INDEX(_REF_Treatment_Library!$K$2:$K$296,MATCH($BY692,_REF_Treatment_Library!$A$2:$A$296,0)),""))</f>
        <v>Named owner, baseline process, minimum control checklist, first evidence package</v>
      </c>
      <c r="CC692" t="str">
        <f>IF($BY692="","",IFERROR(INDEX(_REF_Treatment_Library!$L$2:$L$296,MATCH($BY692,_REF_Treatment_Library!$A$2:$A$296,0)),""))</f>
        <v>Owner assigned; baseline evidence coverage; open critical gaps</v>
      </c>
      <c r="CD692" t="str">
        <f t="shared" ref="CD692:CD755" si="146">IF($E692="","","Treatment by capability="&amp;$BT692&amp;"; band="&amp;$BX692&amp;"; score="&amp;TEXT(N($H692),"0.0")&amp;"; treatment="&amp;$BZ692)</f>
        <v>Treatment by capability=CAP_POS_ECOMMERCE; band=Initial / absent; score=0.0; treatment=Establish</v>
      </c>
      <c r="CE692" t="str">
        <f>IF($E692="","",IFERROR(INDEX(_REF_Industry_Wording!$A$2:$A$70,MATCH(1,INDEX((_REF_Industry_Wording!$B$2:$B$70=$BT692)*(_REF_Industry_Wording!$C$2:$C$70=PV_Canonical_Industry)*(_REF_Industry_Wording!$K$2:$K$70="Yes"),0),0)),IFERROR(INDEX(_REF_Industry_Wording!$A$2:$A$70,MATCH(1,INDEX((_REF_Industry_Wording!$B$2:$B$70=$BT692)*(_REF_Industry_Wording!$C$2:$C$70="All")*(_REF_Industry_Wording!$K$2:$K$70="Yes"),0),0)),"")))</f>
        <v>IW-ALL-POS_ECOMMERCE</v>
      </c>
      <c r="CF692" t="str">
        <f>IF($CE692="","",IFERROR(INDEX(_REF_Industry_Wording!$E$2:$E$70,MATCH($CE692,_REF_Industry_Wording!$A$2:$A$70,0)),""))</f>
        <v>POS / ecommerce weakness</v>
      </c>
      <c r="CG692" t="str">
        <f>IF($CE692="","",IFERROR(INDEX(_REF_Industry_Wording!$F$2:$F$70,MATCH($CE692,_REF_Industry_Wording!$A$2:$A$70,0)),""))</f>
        <v>Strengthen POS / ecommerce</v>
      </c>
      <c r="CH692" t="str">
        <f>IF($CE692="","",IFERROR(INDEX(_REF_Industry_Wording!$G$2:$G$70,MATCH($CE692,_REF_Industry_Wording!$A$2:$A$70,0)),""))</f>
        <v>Strengthen POS / ecommerce using the selected maturity treatment, crisis scenario and evidence requirements.</v>
      </c>
      <c r="CI692" t="str">
        <f>IF($CE692="","",IFERROR(INDEX(_REF_Industry_Wording!$H$2:$H$70,MATCH($CE692,_REF_Industry_Wording!$A$2:$A$70,0)),""))</f>
        <v>POS / ecommerce</v>
      </c>
      <c r="CJ692">
        <f>IF($CE692="","",IFERROR(INDEX(_REF_Industry_Wording!$I$2:$I$70,MATCH($CE692,_REF_Industry_Wording!$A$2:$A$70,0)),""))</f>
        <v>0</v>
      </c>
      <c r="CK692" t="str">
        <f>IF($CE692="","",IFERROR(INDEX(_REF_Industry_Wording!$J$2:$J$70,MATCH($CE692,_REF_Industry_Wording!$A$2:$A$70,0)),""))</f>
        <v>POS / ecommerce</v>
      </c>
      <c r="CL692" t="str">
        <f t="shared" ref="CL692:CL755" si="147">IF($E692="","","Wording by industry="&amp;PV_Canonical_Industry&amp;"; capability="&amp;$BT692&amp;"; risk label="&amp;$CF692)</f>
        <v>Wording by industry=0; capability=CAP_POS_ECOMMERCE; risk label=POS / ecommerce weakness</v>
      </c>
      <c r="CM692" t="str">
        <f t="shared" ref="CM692:CM755" si="148">IF($E692="","","RISK-ONT-"&amp;TEXT(ROW()-499,"0000"))</f>
        <v>RISK-ONT-0193</v>
      </c>
      <c r="CN692" t="str">
        <f t="shared" ref="CN692:CN755" si="149">IF($E692="","","RISK-EVT-"&amp;TEXT(ROW()-499,"0000"))</f>
        <v>RISK-EVT-0193</v>
      </c>
      <c r="CO692" t="str">
        <f t="shared" ref="CO692:CO755" si="150">IF($E692="","",$C692&amp;"|"&amp;$D692&amp;"|"&amp;$E692&amp;"|"&amp;$BT692)</f>
        <v>Delivery Ops|Operational visibility|DELI-022|CAP_POS_ECOMMERCE</v>
      </c>
      <c r="CP692" t="str">
        <f t="shared" ref="CP692:CP755" si="151">IF($E692="","",IF(OR($BT692="",$BT692="CAP_GENERIC"),"CHECK","Active"))</f>
        <v>Active</v>
      </c>
      <c r="CQ692" t="str">
        <f t="shared" ref="CQ692:CQ755" si="152">IF($E692="","",IF($BT692="CAP_GENERIC","CHECK: generic capability fallback","OK: capability-driven"))</f>
        <v>OK: capability-driven</v>
      </c>
      <c r="CR692" t="str">
        <f t="shared" ref="CR692:CR755" si="153">IF($E692="","","Risk ontology uses capability="&amp;$BT692&amp;"; bridge="&amp;$BV692&amp;"; treatment="&amp;$BY692&amp;"; wording="&amp;$CE692)</f>
        <v>Risk ontology uses capability=CAP_POS_ECOMMERCE; bridge=BRG-027; treatment=TRT-POS_ECOMMERCE-INITIAL; wording=IW-ALL-POS_ECOMMERCE</v>
      </c>
      <c r="CS692" t="str">
        <f t="shared" ref="CS692:CS755" si="154">IF($E692="","",IF($CP692="Active","Yes","No"))</f>
        <v>Yes</v>
      </c>
    </row>
    <row r="693" spans="1:97" ht="69.900000000000006" customHeight="1">
      <c r="A693">
        <f>IF(OR($B693&lt;&gt;"Yes",$BS693=""),"",SUMPRODUCT(($B$500:$B$923="Yes")*ISNUMBER($BS$500:$BS$923)*($BS$500:$BS$923&gt;$BS693))+COUNTIFS($B$500:$B693,"Yes",$BS$500:$BS693,$BS693))</f>
        <v>139</v>
      </c>
      <c r="B693" t="str">
        <f t="shared" si="123"/>
        <v>Yes</v>
      </c>
      <c r="C693" t="s">
        <v>1859</v>
      </c>
      <c r="D693" t="s">
        <v>1884</v>
      </c>
      <c r="E693" t="s">
        <v>1981</v>
      </c>
      <c r="F693" t="s">
        <v>3686</v>
      </c>
      <c r="G693" t="str">
        <f>IF($H693="","",IFERROR(INDEX(_ENGINE_Risk!$H$5:$M$499,MATCH($E693,_ENGINE_Risk!$A$5:$A$499,0),$H693+1),""))</f>
        <v>Severe risk: critical tools, equipment and licenses required for delivery is not reliably controlled. During Delivery disruption; Customer impact; Workforce disruption, the organization may face missed commitments, SLA breaches, service interruption and weak customer recovery with limited visibility or accountability.</v>
      </c>
      <c r="H693">
        <f>IFERROR(VALUE(INDEX(_DATA_Assessment_Model!$H$5:$H$884,MATCH($E693,_DATA_Assessment_Model!$A$5:$A$884,0))),"")</f>
        <v>0</v>
      </c>
      <c r="I693" t="str">
        <f>IF($H693="","",IFERROR(INDEX(_DATA_Assessment_Model!$L$5:$L$884,MATCH($E693,_DATA_Assessment_Model!$A$5:$A$884,0)),IF($H693&lt;=1,"Critical",IF($H693=2,"High",IF($H693=3,"Medium",IF($H693=4,"Low","Resilient"))))))</f>
        <v>Critical</v>
      </c>
      <c r="J693">
        <f t="shared" si="124"/>
        <v>3.7</v>
      </c>
      <c r="K693">
        <f t="shared" si="125"/>
        <v>4.3500000000000005</v>
      </c>
      <c r="L693">
        <f t="shared" si="126"/>
        <v>16.095000000000002</v>
      </c>
      <c r="M693">
        <f t="shared" si="127"/>
        <v>4</v>
      </c>
      <c r="N693">
        <f>IF($H693="","",IFERROR(INDEX(_ENGINE_Risk!$T$5:$Y$499,MATCH($E693,_ENGINE_Risk!$A$5:$A$499,0),$H693+1),""))</f>
        <v>3</v>
      </c>
      <c r="O693">
        <f t="shared" si="128"/>
        <v>4.666666666666667</v>
      </c>
      <c r="P693">
        <f t="shared" si="129"/>
        <v>5</v>
      </c>
      <c r="Q693">
        <f t="shared" si="130"/>
        <v>5</v>
      </c>
      <c r="R693">
        <f t="shared" si="131"/>
        <v>4.5</v>
      </c>
      <c r="S693">
        <f t="shared" si="132"/>
        <v>1.6</v>
      </c>
      <c r="T693" t="str">
        <f>IF($H693="","",IFERROR(INDEX(_ENGINE_Risk!$N$5:$S$499,MATCH($E693,_ENGINE_Risk!$A$5:$A$499,0),$H693+1),""))</f>
        <v>Create an immediate risk owner, minimum control baseline and fallback procedure for critical tools, equipment and licenses required for delivery. Add it to the crisis risk register and collect first evidence.</v>
      </c>
      <c r="U693">
        <f>IFERROR(INDEX(_DATA_Assessment_Model!$G$5:$G$884,MATCH($E693,_DATA_Assessment_Model!$A$5:$A$884,0)),"")</f>
        <v>5</v>
      </c>
      <c r="V693">
        <f>IFERROR(INDEX(_DATA_Assessment_Model!$W$5:$W$884,MATCH($E693,_DATA_Assessment_Model!$A$5:$A$884,0)),"")</f>
        <v>4</v>
      </c>
      <c r="W693">
        <f>IFERROR(INDEX(_DATA_Assessment_Model!$X$5:$X$884,MATCH($E693,_DATA_Assessment_Model!$A$5:$A$884,0)),"")</f>
        <v>5</v>
      </c>
      <c r="X693">
        <f>IFERROR(INDEX(_DATA_Assessment_Model!$Y$5:$Y$884,MATCH($E693,_DATA_Assessment_Model!$A$5:$A$884,0)),"")</f>
        <v>5</v>
      </c>
      <c r="Y693" t="s">
        <v>1866</v>
      </c>
      <c r="Z693" t="s">
        <v>7028</v>
      </c>
      <c r="AA693" t="s">
        <v>1983</v>
      </c>
      <c r="AB693">
        <f>IFERROR(INDEX(_DATA_Assessment_Model!$U$5:$U$884,MATCH($E693,_DATA_Assessment_Model!$A$5:$A$884,0)),"")</f>
        <v>0</v>
      </c>
      <c r="AF693" t="s">
        <v>1982</v>
      </c>
      <c r="AO693">
        <f>IF($B693="Yes",IF(IFERROR(INDEX(_ENGINE_Crisis!$F$501:$F$517,MATCH($C693,_ENGINE_Crisis!$A$501:$A$517,0)),1)=0,1,IFERROR(INDEX(_ENGINE_Crisis!$F$501:$F$517,MATCH($C693,_ENGINE_Crisis!$A$501:$A$517,0)),1)),"")</f>
        <v>1</v>
      </c>
      <c r="AP693">
        <f t="shared" si="133"/>
        <v>16.100000000000001</v>
      </c>
      <c r="AQ693">
        <f t="shared" si="134"/>
        <v>1.6</v>
      </c>
      <c r="AR693" t="str">
        <f>IFERROR(INDEX(_ENGINE_Crisis!$E$41:$E$700,MATCH('Resilience &amp; Risk Scenario'!$B$6&amp;"|"&amp;$C693,_ENGINE_Crisis!$I$41:$I$700,0)),"")</f>
        <v/>
      </c>
      <c r="AS693" t="str">
        <f>IFERROR(INDEX(_ENGINE_Crisis!$G$41:$G$700,MATCH('Resilience &amp; Risk Scenario'!$B$6&amp;"|"&amp;$C693,_ENGINE_Crisis!$I$41:$I$700,0)),"")</f>
        <v/>
      </c>
      <c r="AT693" t="str">
        <f>IFERROR(INDEX(_ENGINE_Initiatives!$A$5:$A$532,MATCH(1,INDEX((_ENGINE_Initiatives!$B$5:$B$532=$C693)*(_ENGINE_Initiatives!$C$5:$C$532=$D693),0),0)),"")</f>
        <v>INI-031</v>
      </c>
      <c r="AU693" t="str">
        <f>IFERROR(INDEX(_ENGINE_Initiatives!$F$5:$F$532,MATCH(1,INDEX((_ENGINE_Initiatives!$B$5:$B$532=$C693)*(_ENGINE_Initiatives!$C$5:$C$532=$D693),0),0)),"")</f>
        <v>Implement operational visibility dashboards and early warning</v>
      </c>
      <c r="AV693">
        <f>IFERROR(INDEX(_ENGINE_Initiatives!$AC$5:$AC$532,MATCH(1,INDEX((_ENGINE_Initiatives!$B$5:$B$532=$C693)*(_ENGINE_Initiatives!$C$5:$C$532=$D693),0),0)),"")</f>
        <v>1.79</v>
      </c>
      <c r="AW693" t="str">
        <f>IFERROR(INDEX(_ENGINE_Initiatives!$AE$5:$AE$532,MATCH(1,INDEX((_ENGINE_Initiatives!$B$5:$B$532=$C693)*(_ENGINE_Initiatives!$C$5:$C$532=$D693),0),0)),"")</f>
        <v>3-6 months</v>
      </c>
      <c r="AX693">
        <f>IF($B693="Yes",IFERROR((IF(SUMIFS(_REF_Model_Content!$E$1:$E$613,_REF_Model_Content!$A$1:$A$613,PV_Canonical_Industry,_REF_Model_Content!$B$1:$B$613,$C693)=0,1,SUMIFS(_REF_Model_Content!$E$1:$E$613,_REF_Model_Content!$A$1:$A$613,PV_Canonical_Industry,_REF_Model_Content!$B$1:$B$613,$C693))*IFERROR($BU693,1)),1),"")</f>
        <v>1</v>
      </c>
      <c r="AY693">
        <f t="shared" si="135"/>
        <v>16.100000000000001</v>
      </c>
      <c r="AZ693">
        <f t="shared" si="136"/>
        <v>1.6</v>
      </c>
      <c r="BB693" t="str">
        <f>IF($H693="","",IFERROR(INDEX(_ENGINE_Risk!$AE$5:$AE$499,MATCH($E693,_ENGINE_Risk!$A$5:$A$499,0)),"Medium"))</f>
        <v>Fast</v>
      </c>
      <c r="BC693">
        <f t="shared" si="137"/>
        <v>1.25</v>
      </c>
      <c r="BD693">
        <f t="shared" si="138"/>
        <v>1.6</v>
      </c>
      <c r="BF693">
        <f>IF(OR($H693="",$J693=""),"",IFERROR(VLOOKUP(ROUND($J693,0),_CONFIG_Model_Settings!$D$154:$E$158,2,0),""))</f>
        <v>0.5</v>
      </c>
      <c r="BG693">
        <f>IFERROR(IF(OR($H693="",$K693=""),"",ROUND('Company Profile'!$B$113*INDEX(_CONFIG_Model_Settings!$H$154:$H$158,MATCH(ROUND($K693,0),_CONFIG_Model_Settings!$G$154:$G$158,0)),0)),0)</f>
        <v>875</v>
      </c>
      <c r="BH693">
        <f t="shared" si="139"/>
        <v>437.5</v>
      </c>
      <c r="BI693">
        <f t="shared" si="140"/>
        <v>437.5</v>
      </c>
      <c r="BJ693">
        <f>IF($E693="","",IFERROR(VLOOKUP($C693,_CONFIG_Risk_Calibration!$A$5:$H$21,2,FALSE),3))</f>
        <v>3</v>
      </c>
      <c r="BK693">
        <f>IF($E693="","",IFERROR(VLOOKUP($C693,_CONFIG_Risk_Calibration!$A$5:$H$21,3,FALSE),0))</f>
        <v>0</v>
      </c>
      <c r="BL693">
        <f>IF($E693="","",IFERROR(VLOOKUP($C693,_CONFIG_Risk_Calibration!$A$5:$H$21,4,FALSE),3))</f>
        <v>3</v>
      </c>
      <c r="BM693">
        <f>IF($E693="","",IFERROR(VLOOKUP($C693,_CONFIG_Risk_Calibration!$A$5:$H$21,5,FALSE),3))</f>
        <v>3</v>
      </c>
      <c r="BN693" t="str">
        <f>IF($E693="","",IFERROR(VLOOKUP($C693,_CONFIG_Risk_Calibration!$A$5:$H$21,6,FALSE),"No"))</f>
        <v>No</v>
      </c>
      <c r="BO693">
        <f>IF($E693="","",IFERROR(VLOOKUP($C693,_CONFIG_Risk_Calibration!$A$5:$H$21,7,FALSE),1))</f>
        <v>1</v>
      </c>
      <c r="BP693">
        <f>IF($H693="","",MAX(1,MIN(5,((6-$H693)*0.45)+($BJ693*0.2)+('Resilience &amp; Risk Scenario'!$B$7*0.15)+($BK693*0.1)+($BL693*0.05)+(IF($BB693="Fast",5,IF($BB693="Slow",1,3))*0.05))))</f>
        <v>3.7</v>
      </c>
      <c r="BQ693">
        <f t="shared" si="141"/>
        <v>4.3500000000000005</v>
      </c>
      <c r="BR693">
        <f t="shared" si="142"/>
        <v>16.100000000000001</v>
      </c>
      <c r="BS693">
        <f t="shared" si="143"/>
        <v>20.13</v>
      </c>
      <c r="BT693" t="str">
        <f>IFERROR(INDEX(_REF_Capability_Bridge!$D:$D,MATCH($C693&amp;"|"&amp;$D693,_REF_Capability_Bridge!$J:$J,0)),IFERROR(INDEX(_REF_Capability_Bridge!$D:$D,MATCH($C693&amp;"|",_REF_Capability_Bridge!$J:$J,0)),"CAP_GENERIC"))</f>
        <v>CAP_POS_ECOMMERCE</v>
      </c>
      <c r="BU693">
        <f>IFERROR(IFERROR(INDEX(_ENGINE_Relevance!$L:$L,MATCH($BT693,_ENGINE_Relevance!$B:$B,0)),1),1)</f>
        <v>1</v>
      </c>
      <c r="BV693" t="str">
        <f>IFERROR(INDEX(_REF_Capability_Bridge!$A:$A,MATCH($C693&amp;"|"&amp;$D693,_REF_Capability_Bridge!$J:$J,0)),IFERROR(INDEX(_REF_Capability_Bridge!$A:$A,MATCH($C693&amp;"|",_REF_Capability_Bridge!$J:$J,0)),"No bridge"))</f>
        <v>BRG-027</v>
      </c>
      <c r="BW693" t="str">
        <f t="shared" si="144"/>
        <v>Capability relevance neutral</v>
      </c>
      <c r="BX693" t="str">
        <f t="shared" si="145"/>
        <v>Initial / absent</v>
      </c>
      <c r="BY693" t="str">
        <f>IF($E693="","",IFERROR(INDEX(_REF_Treatment_Library!$A$2:$A$296,MATCH(1,INDEX((_REF_Treatment_Library!$B$2:$B$296=$BT693)*(_REF_Treatment_Library!$C$2:$C$296=PV_Canonical_Industry)*(_REF_Treatment_Library!$E$2:$E$296&lt;=N($H693))*(_REF_Treatment_Library!$F$2:$F$296&gt;=N($H693))*(_REF_Treatment_Library!$O$2:$O$296="Yes"),0),0)),IFERROR(INDEX(_REF_Treatment_Library!$A$2:$A$296,MATCH(1,INDEX((_REF_Treatment_Library!$B$2:$B$296=$BT693)*(_REF_Treatment_Library!$C$2:$C$296="All")*(_REF_Treatment_Library!$E$2:$E$296&lt;=N($H693))*(_REF_Treatment_Library!$F$2:$F$296&gt;=N($H693))*(_REF_Treatment_Library!$O$2:$O$296="Yes"),0),0)),"")))</f>
        <v>TRT-POS_ECOMMERCE-INITIAL</v>
      </c>
      <c r="BZ693" t="str">
        <f>IF($BY693="","",IFERROR(INDEX(_REF_Treatment_Library!$H$2:$H$296,MATCH($BY693,_REF_Treatment_Library!$A$2:$A$296,0)),""))</f>
        <v>Establish</v>
      </c>
      <c r="CA693" t="str">
        <f>IF($BY693="","",IFERROR(INDEX(_REF_Treatment_Library!$I$2:$I$296,MATCH($BY693,_REF_Treatment_Library!$A$2:$A$296,0)),""))</f>
        <v>Establish baseline controls for POS / ecommerce</v>
      </c>
      <c r="CB693" t="str">
        <f>IF($BY693="","",IFERROR(INDEX(_REF_Treatment_Library!$K$2:$K$296,MATCH($BY693,_REF_Treatment_Library!$A$2:$A$296,0)),""))</f>
        <v>Named owner, baseline process, minimum control checklist, first evidence package</v>
      </c>
      <c r="CC693" t="str">
        <f>IF($BY693="","",IFERROR(INDEX(_REF_Treatment_Library!$L$2:$L$296,MATCH($BY693,_REF_Treatment_Library!$A$2:$A$296,0)),""))</f>
        <v>Owner assigned; baseline evidence coverage; open critical gaps</v>
      </c>
      <c r="CD693" t="str">
        <f t="shared" si="146"/>
        <v>Treatment by capability=CAP_POS_ECOMMERCE; band=Initial / absent; score=0.0; treatment=Establish</v>
      </c>
      <c r="CE693" t="str">
        <f>IF($E693="","",IFERROR(INDEX(_REF_Industry_Wording!$A$2:$A$70,MATCH(1,INDEX((_REF_Industry_Wording!$B$2:$B$70=$BT693)*(_REF_Industry_Wording!$C$2:$C$70=PV_Canonical_Industry)*(_REF_Industry_Wording!$K$2:$K$70="Yes"),0),0)),IFERROR(INDEX(_REF_Industry_Wording!$A$2:$A$70,MATCH(1,INDEX((_REF_Industry_Wording!$B$2:$B$70=$BT693)*(_REF_Industry_Wording!$C$2:$C$70="All")*(_REF_Industry_Wording!$K$2:$K$70="Yes"),0),0)),"")))</f>
        <v>IW-ALL-POS_ECOMMERCE</v>
      </c>
      <c r="CF693" t="str">
        <f>IF($CE693="","",IFERROR(INDEX(_REF_Industry_Wording!$E$2:$E$70,MATCH($CE693,_REF_Industry_Wording!$A$2:$A$70,0)),""))</f>
        <v>POS / ecommerce weakness</v>
      </c>
      <c r="CG693" t="str">
        <f>IF($CE693="","",IFERROR(INDEX(_REF_Industry_Wording!$F$2:$F$70,MATCH($CE693,_REF_Industry_Wording!$A$2:$A$70,0)),""))</f>
        <v>Strengthen POS / ecommerce</v>
      </c>
      <c r="CH693" t="str">
        <f>IF($CE693="","",IFERROR(INDEX(_REF_Industry_Wording!$G$2:$G$70,MATCH($CE693,_REF_Industry_Wording!$A$2:$A$70,0)),""))</f>
        <v>Strengthen POS / ecommerce using the selected maturity treatment, crisis scenario and evidence requirements.</v>
      </c>
      <c r="CI693" t="str">
        <f>IF($CE693="","",IFERROR(INDEX(_REF_Industry_Wording!$H$2:$H$70,MATCH($CE693,_REF_Industry_Wording!$A$2:$A$70,0)),""))</f>
        <v>POS / ecommerce</v>
      </c>
      <c r="CJ693">
        <f>IF($CE693="","",IFERROR(INDEX(_REF_Industry_Wording!$I$2:$I$70,MATCH($CE693,_REF_Industry_Wording!$A$2:$A$70,0)),""))</f>
        <v>0</v>
      </c>
      <c r="CK693" t="str">
        <f>IF($CE693="","",IFERROR(INDEX(_REF_Industry_Wording!$J$2:$J$70,MATCH($CE693,_REF_Industry_Wording!$A$2:$A$70,0)),""))</f>
        <v>POS / ecommerce</v>
      </c>
      <c r="CL693" t="str">
        <f t="shared" si="147"/>
        <v>Wording by industry=0; capability=CAP_POS_ECOMMERCE; risk label=POS / ecommerce weakness</v>
      </c>
      <c r="CM693" t="str">
        <f t="shared" si="148"/>
        <v>RISK-ONT-0194</v>
      </c>
      <c r="CN693" t="str">
        <f t="shared" si="149"/>
        <v>RISK-EVT-0194</v>
      </c>
      <c r="CO693" t="str">
        <f t="shared" si="150"/>
        <v>Delivery Ops|Operational visibility|DELI-023|CAP_POS_ECOMMERCE</v>
      </c>
      <c r="CP693" t="str">
        <f t="shared" si="151"/>
        <v>Active</v>
      </c>
      <c r="CQ693" t="str">
        <f t="shared" si="152"/>
        <v>OK: capability-driven</v>
      </c>
      <c r="CR693" t="str">
        <f t="shared" si="153"/>
        <v>Risk ontology uses capability=CAP_POS_ECOMMERCE; bridge=BRG-027; treatment=TRT-POS_ECOMMERCE-INITIAL; wording=IW-ALL-POS_ECOMMERCE</v>
      </c>
      <c r="CS693" t="str">
        <f t="shared" si="154"/>
        <v>Yes</v>
      </c>
    </row>
    <row r="694" spans="1:97" ht="69.900000000000006" customHeight="1">
      <c r="A694">
        <f>IF(OR($B694&lt;&gt;"Yes",$BS694=""),"",SUMPRODUCT(($B$500:$B$923="Yes")*ISNUMBER($BS$500:$BS$923)*($BS$500:$BS$923&gt;$BS694))+COUNTIFS($B$500:$B694,"Yes",$BS$500:$BS694,$BS694))</f>
        <v>140</v>
      </c>
      <c r="B694" t="str">
        <f t="shared" si="123"/>
        <v>Yes</v>
      </c>
      <c r="C694" t="s">
        <v>1859</v>
      </c>
      <c r="D694" t="s">
        <v>1884</v>
      </c>
      <c r="E694" t="s">
        <v>1984</v>
      </c>
      <c r="F694" t="s">
        <v>3686</v>
      </c>
      <c r="G694" t="str">
        <f>IF($H694="","",IFERROR(INDEX(_ENGINE_Risk!$H$5:$M$499,MATCH($E694,_ENGINE_Risk!$A$5:$A$499,0),$H694+1),""))</f>
        <v>Severe risk: geographic delivery exposure by customer, supplier, team and site location is not reliably controlled. During Delivery disruption; Customer impact; Workforce disruption, the organization may face missed commitments, SLA breaches, service interruption and weak customer recovery with limited visibility or accountability.</v>
      </c>
      <c r="H694">
        <f>IFERROR(VALUE(INDEX(_DATA_Assessment_Model!$H$5:$H$884,MATCH($E694,_DATA_Assessment_Model!$A$5:$A$884,0))),"")</f>
        <v>0</v>
      </c>
      <c r="I694" t="str">
        <f>IF($H694="","",IFERROR(INDEX(_DATA_Assessment_Model!$L$5:$L$884,MATCH($E694,_DATA_Assessment_Model!$A$5:$A$884,0)),IF($H694&lt;=1,"Critical",IF($H694=2,"High",IF($H694=3,"Medium",IF($H694=4,"Low","Resilient"))))))</f>
        <v>Critical</v>
      </c>
      <c r="J694">
        <f t="shared" si="124"/>
        <v>3.7</v>
      </c>
      <c r="K694">
        <f t="shared" si="125"/>
        <v>4.3500000000000005</v>
      </c>
      <c r="L694">
        <f t="shared" si="126"/>
        <v>16.095000000000002</v>
      </c>
      <c r="M694">
        <f t="shared" si="127"/>
        <v>4</v>
      </c>
      <c r="N694">
        <f>IF($H694="","",IFERROR(INDEX(_ENGINE_Risk!$T$5:$Y$499,MATCH($E694,_ENGINE_Risk!$A$5:$A$499,0),$H694+1),""))</f>
        <v>3</v>
      </c>
      <c r="O694">
        <f t="shared" si="128"/>
        <v>4.666666666666667</v>
      </c>
      <c r="P694">
        <f t="shared" si="129"/>
        <v>5</v>
      </c>
      <c r="Q694">
        <f t="shared" si="130"/>
        <v>5</v>
      </c>
      <c r="R694">
        <f t="shared" si="131"/>
        <v>4.5</v>
      </c>
      <c r="S694">
        <f t="shared" si="132"/>
        <v>1.6</v>
      </c>
      <c r="T694" t="str">
        <f>IF($H694="","",IFERROR(INDEX(_ENGINE_Risk!$N$5:$S$499,MATCH($E694,_ENGINE_Risk!$A$5:$A$499,0),$H694+1),""))</f>
        <v>Create an immediate risk owner, minimum control baseline and fallback procedure for geographic delivery exposure by customer, supplier, team and site location. Add it to the crisis risk register and collect first evidence.</v>
      </c>
      <c r="U694">
        <f>IFERROR(INDEX(_DATA_Assessment_Model!$G$5:$G$884,MATCH($E694,_DATA_Assessment_Model!$A$5:$A$884,0)),"")</f>
        <v>5</v>
      </c>
      <c r="V694">
        <f>IFERROR(INDEX(_DATA_Assessment_Model!$W$5:$W$884,MATCH($E694,_DATA_Assessment_Model!$A$5:$A$884,0)),"")</f>
        <v>4</v>
      </c>
      <c r="W694">
        <f>IFERROR(INDEX(_DATA_Assessment_Model!$X$5:$X$884,MATCH($E694,_DATA_Assessment_Model!$A$5:$A$884,0)),"")</f>
        <v>5</v>
      </c>
      <c r="X694">
        <f>IFERROR(INDEX(_DATA_Assessment_Model!$Y$5:$Y$884,MATCH($E694,_DATA_Assessment_Model!$A$5:$A$884,0)),"")</f>
        <v>5</v>
      </c>
      <c r="Y694" t="s">
        <v>1866</v>
      </c>
      <c r="Z694" t="s">
        <v>7028</v>
      </c>
      <c r="AA694" t="s">
        <v>1986</v>
      </c>
      <c r="AB694">
        <f>IFERROR(INDEX(_DATA_Assessment_Model!$U$5:$U$884,MATCH($E694,_DATA_Assessment_Model!$A$5:$A$884,0)),"")</f>
        <v>0</v>
      </c>
      <c r="AF694" t="s">
        <v>1985</v>
      </c>
      <c r="AO694">
        <f>IF($B694="Yes",IF(IFERROR(INDEX(_ENGINE_Crisis!$F$501:$F$517,MATCH($C694,_ENGINE_Crisis!$A$501:$A$517,0)),1)=0,1,IFERROR(INDEX(_ENGINE_Crisis!$F$501:$F$517,MATCH($C694,_ENGINE_Crisis!$A$501:$A$517,0)),1)),"")</f>
        <v>1</v>
      </c>
      <c r="AP694">
        <f t="shared" si="133"/>
        <v>16.100000000000001</v>
      </c>
      <c r="AQ694">
        <f t="shared" si="134"/>
        <v>1.6</v>
      </c>
      <c r="AR694" t="str">
        <f>IFERROR(INDEX(_ENGINE_Crisis!$E$41:$E$700,MATCH('Resilience &amp; Risk Scenario'!$B$6&amp;"|"&amp;$C694,_ENGINE_Crisis!$I$41:$I$700,0)),"")</f>
        <v/>
      </c>
      <c r="AS694" t="str">
        <f>IFERROR(INDEX(_ENGINE_Crisis!$G$41:$G$700,MATCH('Resilience &amp; Risk Scenario'!$B$6&amp;"|"&amp;$C694,_ENGINE_Crisis!$I$41:$I$700,0)),"")</f>
        <v/>
      </c>
      <c r="AT694" t="str">
        <f>IFERROR(INDEX(_ENGINE_Initiatives!$A$5:$A$532,MATCH(1,INDEX((_ENGINE_Initiatives!$B$5:$B$532=$C694)*(_ENGINE_Initiatives!$C$5:$C$532=$D694),0),0)),"")</f>
        <v>INI-031</v>
      </c>
      <c r="AU694" t="str">
        <f>IFERROR(INDEX(_ENGINE_Initiatives!$F$5:$F$532,MATCH(1,INDEX((_ENGINE_Initiatives!$B$5:$B$532=$C694)*(_ENGINE_Initiatives!$C$5:$C$532=$D694),0),0)),"")</f>
        <v>Implement operational visibility dashboards and early warning</v>
      </c>
      <c r="AV694">
        <f>IFERROR(INDEX(_ENGINE_Initiatives!$AC$5:$AC$532,MATCH(1,INDEX((_ENGINE_Initiatives!$B$5:$B$532=$C694)*(_ENGINE_Initiatives!$C$5:$C$532=$D694),0),0)),"")</f>
        <v>1.79</v>
      </c>
      <c r="AW694" t="str">
        <f>IFERROR(INDEX(_ENGINE_Initiatives!$AE$5:$AE$532,MATCH(1,INDEX((_ENGINE_Initiatives!$B$5:$B$532=$C694)*(_ENGINE_Initiatives!$C$5:$C$532=$D694),0),0)),"")</f>
        <v>3-6 months</v>
      </c>
      <c r="AX694">
        <f>IF($B694="Yes",IFERROR((IF(SUMIFS(_REF_Model_Content!$E$1:$E$613,_REF_Model_Content!$A$1:$A$613,PV_Canonical_Industry,_REF_Model_Content!$B$1:$B$613,$C694)=0,1,SUMIFS(_REF_Model_Content!$E$1:$E$613,_REF_Model_Content!$A$1:$A$613,PV_Canonical_Industry,_REF_Model_Content!$B$1:$B$613,$C694))*IFERROR($BU694,1)),1),"")</f>
        <v>1</v>
      </c>
      <c r="AY694">
        <f t="shared" si="135"/>
        <v>16.100000000000001</v>
      </c>
      <c r="AZ694">
        <f t="shared" si="136"/>
        <v>1.6</v>
      </c>
      <c r="BB694" t="str">
        <f>IF($H694="","",IFERROR(INDEX(_ENGINE_Risk!$AE$5:$AE$499,MATCH($E694,_ENGINE_Risk!$A$5:$A$499,0)),"Medium"))</f>
        <v>Fast</v>
      </c>
      <c r="BC694">
        <f t="shared" si="137"/>
        <v>1.25</v>
      </c>
      <c r="BD694">
        <f t="shared" si="138"/>
        <v>1.6</v>
      </c>
      <c r="BF694">
        <f>IF(OR($H694="",$J694=""),"",IFERROR(VLOOKUP(ROUND($J694,0),_CONFIG_Model_Settings!$D$154:$E$158,2,0),""))</f>
        <v>0.5</v>
      </c>
      <c r="BG694">
        <f>IFERROR(IF(OR($H694="",$K694=""),"",ROUND('Company Profile'!$B$113*INDEX(_CONFIG_Model_Settings!$H$154:$H$158,MATCH(ROUND($K694,0),_CONFIG_Model_Settings!$G$154:$G$158,0)),0)),0)</f>
        <v>875</v>
      </c>
      <c r="BH694">
        <f t="shared" si="139"/>
        <v>437.5</v>
      </c>
      <c r="BI694">
        <f t="shared" si="140"/>
        <v>437.5</v>
      </c>
      <c r="BJ694">
        <f>IF($E694="","",IFERROR(VLOOKUP($C694,_CONFIG_Risk_Calibration!$A$5:$H$21,2,FALSE),3))</f>
        <v>3</v>
      </c>
      <c r="BK694">
        <f>IF($E694="","",IFERROR(VLOOKUP($C694,_CONFIG_Risk_Calibration!$A$5:$H$21,3,FALSE),0))</f>
        <v>0</v>
      </c>
      <c r="BL694">
        <f>IF($E694="","",IFERROR(VLOOKUP($C694,_CONFIG_Risk_Calibration!$A$5:$H$21,4,FALSE),3))</f>
        <v>3</v>
      </c>
      <c r="BM694">
        <f>IF($E694="","",IFERROR(VLOOKUP($C694,_CONFIG_Risk_Calibration!$A$5:$H$21,5,FALSE),3))</f>
        <v>3</v>
      </c>
      <c r="BN694" t="str">
        <f>IF($E694="","",IFERROR(VLOOKUP($C694,_CONFIG_Risk_Calibration!$A$5:$H$21,6,FALSE),"No"))</f>
        <v>No</v>
      </c>
      <c r="BO694">
        <f>IF($E694="","",IFERROR(VLOOKUP($C694,_CONFIG_Risk_Calibration!$A$5:$H$21,7,FALSE),1))</f>
        <v>1</v>
      </c>
      <c r="BP694">
        <f>IF($H694="","",MAX(1,MIN(5,((6-$H694)*0.45)+($BJ694*0.2)+('Resilience &amp; Risk Scenario'!$B$7*0.15)+($BK694*0.1)+($BL694*0.05)+(IF($BB694="Fast",5,IF($BB694="Slow",1,3))*0.05))))</f>
        <v>3.7</v>
      </c>
      <c r="BQ694">
        <f t="shared" si="141"/>
        <v>4.3500000000000005</v>
      </c>
      <c r="BR694">
        <f t="shared" si="142"/>
        <v>16.100000000000001</v>
      </c>
      <c r="BS694">
        <f t="shared" si="143"/>
        <v>20.13</v>
      </c>
      <c r="BT694" t="str">
        <f>IFERROR(INDEX(_REF_Capability_Bridge!$D:$D,MATCH($C694&amp;"|"&amp;$D694,_REF_Capability_Bridge!$J:$J,0)),IFERROR(INDEX(_REF_Capability_Bridge!$D:$D,MATCH($C694&amp;"|",_REF_Capability_Bridge!$J:$J,0)),"CAP_GENERIC"))</f>
        <v>CAP_POS_ECOMMERCE</v>
      </c>
      <c r="BU694">
        <f>IFERROR(IFERROR(INDEX(_ENGINE_Relevance!$L:$L,MATCH($BT694,_ENGINE_Relevance!$B:$B,0)),1),1)</f>
        <v>1</v>
      </c>
      <c r="BV694" t="str">
        <f>IFERROR(INDEX(_REF_Capability_Bridge!$A:$A,MATCH($C694&amp;"|"&amp;$D694,_REF_Capability_Bridge!$J:$J,0)),IFERROR(INDEX(_REF_Capability_Bridge!$A:$A,MATCH($C694&amp;"|",_REF_Capability_Bridge!$J:$J,0)),"No bridge"))</f>
        <v>BRG-027</v>
      </c>
      <c r="BW694" t="str">
        <f t="shared" si="144"/>
        <v>Capability relevance neutral</v>
      </c>
      <c r="BX694" t="str">
        <f t="shared" si="145"/>
        <v>Initial / absent</v>
      </c>
      <c r="BY694" t="str">
        <f>IF($E694="","",IFERROR(INDEX(_REF_Treatment_Library!$A$2:$A$296,MATCH(1,INDEX((_REF_Treatment_Library!$B$2:$B$296=$BT694)*(_REF_Treatment_Library!$C$2:$C$296=PV_Canonical_Industry)*(_REF_Treatment_Library!$E$2:$E$296&lt;=N($H694))*(_REF_Treatment_Library!$F$2:$F$296&gt;=N($H694))*(_REF_Treatment_Library!$O$2:$O$296="Yes"),0),0)),IFERROR(INDEX(_REF_Treatment_Library!$A$2:$A$296,MATCH(1,INDEX((_REF_Treatment_Library!$B$2:$B$296=$BT694)*(_REF_Treatment_Library!$C$2:$C$296="All")*(_REF_Treatment_Library!$E$2:$E$296&lt;=N($H694))*(_REF_Treatment_Library!$F$2:$F$296&gt;=N($H694))*(_REF_Treatment_Library!$O$2:$O$296="Yes"),0),0)),"")))</f>
        <v>TRT-POS_ECOMMERCE-INITIAL</v>
      </c>
      <c r="BZ694" t="str">
        <f>IF($BY694="","",IFERROR(INDEX(_REF_Treatment_Library!$H$2:$H$296,MATCH($BY694,_REF_Treatment_Library!$A$2:$A$296,0)),""))</f>
        <v>Establish</v>
      </c>
      <c r="CA694" t="str">
        <f>IF($BY694="","",IFERROR(INDEX(_REF_Treatment_Library!$I$2:$I$296,MATCH($BY694,_REF_Treatment_Library!$A$2:$A$296,0)),""))</f>
        <v>Establish baseline controls for POS / ecommerce</v>
      </c>
      <c r="CB694" t="str">
        <f>IF($BY694="","",IFERROR(INDEX(_REF_Treatment_Library!$K$2:$K$296,MATCH($BY694,_REF_Treatment_Library!$A$2:$A$296,0)),""))</f>
        <v>Named owner, baseline process, minimum control checklist, first evidence package</v>
      </c>
      <c r="CC694" t="str">
        <f>IF($BY694="","",IFERROR(INDEX(_REF_Treatment_Library!$L$2:$L$296,MATCH($BY694,_REF_Treatment_Library!$A$2:$A$296,0)),""))</f>
        <v>Owner assigned; baseline evidence coverage; open critical gaps</v>
      </c>
      <c r="CD694" t="str">
        <f t="shared" si="146"/>
        <v>Treatment by capability=CAP_POS_ECOMMERCE; band=Initial / absent; score=0.0; treatment=Establish</v>
      </c>
      <c r="CE694" t="str">
        <f>IF($E694="","",IFERROR(INDEX(_REF_Industry_Wording!$A$2:$A$70,MATCH(1,INDEX((_REF_Industry_Wording!$B$2:$B$70=$BT694)*(_REF_Industry_Wording!$C$2:$C$70=PV_Canonical_Industry)*(_REF_Industry_Wording!$K$2:$K$70="Yes"),0),0)),IFERROR(INDEX(_REF_Industry_Wording!$A$2:$A$70,MATCH(1,INDEX((_REF_Industry_Wording!$B$2:$B$70=$BT694)*(_REF_Industry_Wording!$C$2:$C$70="All")*(_REF_Industry_Wording!$K$2:$K$70="Yes"),0),0)),"")))</f>
        <v>IW-ALL-POS_ECOMMERCE</v>
      </c>
      <c r="CF694" t="str">
        <f>IF($CE694="","",IFERROR(INDEX(_REF_Industry_Wording!$E$2:$E$70,MATCH($CE694,_REF_Industry_Wording!$A$2:$A$70,0)),""))</f>
        <v>POS / ecommerce weakness</v>
      </c>
      <c r="CG694" t="str">
        <f>IF($CE694="","",IFERROR(INDEX(_REF_Industry_Wording!$F$2:$F$70,MATCH($CE694,_REF_Industry_Wording!$A$2:$A$70,0)),""))</f>
        <v>Strengthen POS / ecommerce</v>
      </c>
      <c r="CH694" t="str">
        <f>IF($CE694="","",IFERROR(INDEX(_REF_Industry_Wording!$G$2:$G$70,MATCH($CE694,_REF_Industry_Wording!$A$2:$A$70,0)),""))</f>
        <v>Strengthen POS / ecommerce using the selected maturity treatment, crisis scenario and evidence requirements.</v>
      </c>
      <c r="CI694" t="str">
        <f>IF($CE694="","",IFERROR(INDEX(_REF_Industry_Wording!$H$2:$H$70,MATCH($CE694,_REF_Industry_Wording!$A$2:$A$70,0)),""))</f>
        <v>POS / ecommerce</v>
      </c>
      <c r="CJ694">
        <f>IF($CE694="","",IFERROR(INDEX(_REF_Industry_Wording!$I$2:$I$70,MATCH($CE694,_REF_Industry_Wording!$A$2:$A$70,0)),""))</f>
        <v>0</v>
      </c>
      <c r="CK694" t="str">
        <f>IF($CE694="","",IFERROR(INDEX(_REF_Industry_Wording!$J$2:$J$70,MATCH($CE694,_REF_Industry_Wording!$A$2:$A$70,0)),""))</f>
        <v>POS / ecommerce</v>
      </c>
      <c r="CL694" t="str">
        <f t="shared" si="147"/>
        <v>Wording by industry=0; capability=CAP_POS_ECOMMERCE; risk label=POS / ecommerce weakness</v>
      </c>
      <c r="CM694" t="str">
        <f t="shared" si="148"/>
        <v>RISK-ONT-0195</v>
      </c>
      <c r="CN694" t="str">
        <f t="shared" si="149"/>
        <v>RISK-EVT-0195</v>
      </c>
      <c r="CO694" t="str">
        <f t="shared" si="150"/>
        <v>Delivery Ops|Operational visibility|DELI-024|CAP_POS_ECOMMERCE</v>
      </c>
      <c r="CP694" t="str">
        <f t="shared" si="151"/>
        <v>Active</v>
      </c>
      <c r="CQ694" t="str">
        <f t="shared" si="152"/>
        <v>OK: capability-driven</v>
      </c>
      <c r="CR694" t="str">
        <f t="shared" si="153"/>
        <v>Risk ontology uses capability=CAP_POS_ECOMMERCE; bridge=BRG-027; treatment=TRT-POS_ECOMMERCE-INITIAL; wording=IW-ALL-POS_ECOMMERCE</v>
      </c>
      <c r="CS694" t="str">
        <f t="shared" si="154"/>
        <v>Yes</v>
      </c>
    </row>
    <row r="695" spans="1:97" ht="69.900000000000006" customHeight="1">
      <c r="A695">
        <f>IF(OR($B695&lt;&gt;"Yes",$BS695=""),"",SUMPRODUCT(($B$500:$B$923="Yes")*ISNUMBER($BS$500:$BS$923)*($BS$500:$BS$923&gt;$BS695))+COUNTIFS($B$500:$B695,"Yes",$BS$500:$BS695,$BS695))</f>
        <v>80</v>
      </c>
      <c r="B695" t="str">
        <f t="shared" si="123"/>
        <v>Yes</v>
      </c>
      <c r="C695" t="s">
        <v>1987</v>
      </c>
      <c r="D695" t="s">
        <v>1989</v>
      </c>
      <c r="E695" t="s">
        <v>1988</v>
      </c>
      <c r="F695" t="s">
        <v>3687</v>
      </c>
      <c r="G695" t="str">
        <f>IF($H695="","",IFERROR(INDEX(_ENGINE_Risk!$H$5:$M$499,MATCH($E695,_ENGINE_Risk!$A$5:$A$499,0),$H695+1),""))</f>
        <v>Severe risk: end-to-end supply chain map from raw materials and suppliers to production, logistics, delivery and customers is not reliably controlled. During Supplier/logistics disruption; Manufacturing disruption; Demand shock, the organization may face supplier failure, logistics disruption, inventory shortages and production or delivery delays with limited visibility or accountability.</v>
      </c>
      <c r="H695">
        <f>IFERROR(VALUE(INDEX(_DATA_Assessment_Model!$H$5:$H$884,MATCH($E695,_DATA_Assessment_Model!$A$5:$A$884,0))),"")</f>
        <v>0</v>
      </c>
      <c r="I695" t="str">
        <f>IF($H695="","",IFERROR(INDEX(_DATA_Assessment_Model!$L$5:$L$884,MATCH($E695,_DATA_Assessment_Model!$A$5:$A$884,0)),IF($H695&lt;=1,"Critical",IF($H695=2,"High",IF($H695=3,"Medium",IF($H695=4,"Low","Resilient"))))))</f>
        <v>Critical</v>
      </c>
      <c r="J695">
        <f t="shared" si="124"/>
        <v>3.7</v>
      </c>
      <c r="K695">
        <f t="shared" si="125"/>
        <v>4.5</v>
      </c>
      <c r="L695">
        <f t="shared" si="126"/>
        <v>16.650000000000002</v>
      </c>
      <c r="M695">
        <f t="shared" si="127"/>
        <v>4</v>
      </c>
      <c r="N695">
        <f>IF($H695="","",IFERROR(INDEX(_ENGINE_Risk!$T$5:$Y$499,MATCH($E695,_ENGINE_Risk!$A$5:$A$499,0),$H695+1),""))</f>
        <v>4</v>
      </c>
      <c r="O695">
        <f t="shared" si="128"/>
        <v>4.666666666666667</v>
      </c>
      <c r="P695">
        <f t="shared" si="129"/>
        <v>5</v>
      </c>
      <c r="Q695">
        <f t="shared" si="130"/>
        <v>5</v>
      </c>
      <c r="R695">
        <f t="shared" si="131"/>
        <v>4.5</v>
      </c>
      <c r="S695">
        <f t="shared" si="132"/>
        <v>1.2</v>
      </c>
      <c r="T695" t="str">
        <f>IF($H695="","",IFERROR(INDEX(_ENGINE_Risk!$N$5:$S$499,MATCH($E695,_ENGINE_Risk!$A$5:$A$499,0),$H695+1),""))</f>
        <v>Create an immediate risk owner, minimum control baseline and fallback procedure for end-to-end supply chain map from raw materials and suppliers to production, logistics, delivery and customers. Add it to the crisis risk register and collect first evidence.</v>
      </c>
      <c r="U695">
        <f>IFERROR(INDEX(_DATA_Assessment_Model!$G$5:$G$884,MATCH($E695,_DATA_Assessment_Model!$A$5:$A$884,0)),"")</f>
        <v>5</v>
      </c>
      <c r="V695">
        <f>IFERROR(INDEX(_DATA_Assessment_Model!$W$5:$W$884,MATCH($E695,_DATA_Assessment_Model!$A$5:$A$884,0)),"")</f>
        <v>4</v>
      </c>
      <c r="W695">
        <f>IFERROR(INDEX(_DATA_Assessment_Model!$X$5:$X$884,MATCH($E695,_DATA_Assessment_Model!$A$5:$A$884,0)),"")</f>
        <v>5</v>
      </c>
      <c r="X695">
        <f>IFERROR(INDEX(_DATA_Assessment_Model!$Y$5:$Y$884,MATCH($E695,_DATA_Assessment_Model!$A$5:$A$884,0)),"")</f>
        <v>5</v>
      </c>
      <c r="Y695" t="s">
        <v>1994</v>
      </c>
      <c r="Z695" t="s">
        <v>7365</v>
      </c>
      <c r="AA695" t="s">
        <v>1993</v>
      </c>
      <c r="AB695">
        <f>IFERROR(INDEX(_DATA_Assessment_Model!$U$5:$U$884,MATCH($E695,_DATA_Assessment_Model!$A$5:$A$884,0)),"")</f>
        <v>0</v>
      </c>
      <c r="AF695" t="s">
        <v>1990</v>
      </c>
      <c r="AO695">
        <f>IF($B695="Yes",IF(IFERROR(INDEX(_ENGINE_Crisis!$F$501:$F$517,MATCH($C695,_ENGINE_Crisis!$A$501:$A$517,0)),1)=0,1,IFERROR(INDEX(_ENGINE_Crisis!$F$501:$F$517,MATCH($C695,_ENGINE_Crisis!$A$501:$A$517,0)),1)),"")</f>
        <v>1</v>
      </c>
      <c r="AP695">
        <f t="shared" si="133"/>
        <v>16.7</v>
      </c>
      <c r="AQ695">
        <f t="shared" si="134"/>
        <v>1.2</v>
      </c>
      <c r="AR695" t="str">
        <f>IFERROR(INDEX(_ENGINE_Crisis!$E$41:$E$700,MATCH('Resilience &amp; Risk Scenario'!$B$6&amp;"|"&amp;$C695,_ENGINE_Crisis!$I$41:$I$700,0)),"")</f>
        <v/>
      </c>
      <c r="AS695" t="str">
        <f>IFERROR(INDEX(_ENGINE_Crisis!$G$41:$G$700,MATCH('Resilience &amp; Risk Scenario'!$B$6&amp;"|"&amp;$C695,_ENGINE_Crisis!$I$41:$I$700,0)),"")</f>
        <v/>
      </c>
      <c r="AT695" t="str">
        <f>IFERROR(INDEX(_ENGINE_Initiatives!$A$5:$A$532,MATCH(1,INDEX((_ENGINE_Initiatives!$B$5:$B$532=$C695)*(_ENGINE_Initiatives!$C$5:$C$532=$D695),0),0)),"")</f>
        <v>INI-032</v>
      </c>
      <c r="AU695" t="str">
        <f>IFERROR(INDEX(_ENGINE_Initiatives!$F$5:$F$532,MATCH(1,INDEX((_ENGINE_Initiatives!$B$5:$B$532=$C695)*(_ENGINE_Initiatives!$C$5:$C$532=$D695),0),0)),"")</f>
        <v>Redesign supply chain for resilience and alternative sourcing</v>
      </c>
      <c r="AV695">
        <f>IFERROR(INDEX(_ENGINE_Initiatives!$AC$5:$AC$532,MATCH(1,INDEX((_ENGINE_Initiatives!$B$5:$B$532=$C695)*(_ENGINE_Initiatives!$C$5:$C$532=$D695),0),0)),"")</f>
        <v>1.81</v>
      </c>
      <c r="AW695" t="str">
        <f>IFERROR(INDEX(_ENGINE_Initiatives!$AE$5:$AE$532,MATCH(1,INDEX((_ENGINE_Initiatives!$B$5:$B$532=$C695)*(_ENGINE_Initiatives!$C$5:$C$532=$D695),0),0)),"")</f>
        <v>3-6 months</v>
      </c>
      <c r="AX695">
        <f>IF($B695="Yes",IFERROR((IF(SUMIFS(_REF_Model_Content!$E$1:$E$613,_REF_Model_Content!$A$1:$A$613,PV_Canonical_Industry,_REF_Model_Content!$B$1:$B$613,$C695)=0,1,SUMIFS(_REF_Model_Content!$E$1:$E$613,_REF_Model_Content!$A$1:$A$613,PV_Canonical_Industry,_REF_Model_Content!$B$1:$B$613,$C695))*IFERROR($BU695,1)),1),"")</f>
        <v>1</v>
      </c>
      <c r="AY695">
        <f t="shared" si="135"/>
        <v>16.7</v>
      </c>
      <c r="AZ695">
        <f t="shared" si="136"/>
        <v>1.2</v>
      </c>
      <c r="BB695" t="str">
        <f>IF($H695="","",IFERROR(INDEX(_ENGINE_Risk!$AE$5:$AE$499,MATCH($E695,_ENGINE_Risk!$A$5:$A$499,0)),"Medium"))</f>
        <v>Fast</v>
      </c>
      <c r="BC695">
        <f t="shared" si="137"/>
        <v>1.25</v>
      </c>
      <c r="BD695">
        <f t="shared" si="138"/>
        <v>1.2</v>
      </c>
      <c r="BF695">
        <f>IF(OR($H695="",$J695=""),"",IFERROR(VLOOKUP(ROUND($J695,0),_CONFIG_Model_Settings!$D$154:$E$158,2,0),""))</f>
        <v>0.5</v>
      </c>
      <c r="BG695">
        <f>IFERROR(IF(OR($H695="",$K695=""),"",ROUND('Company Profile'!$B$113*INDEX(_CONFIG_Model_Settings!$H$154:$H$158,MATCH(ROUND($K695,0),_CONFIG_Model_Settings!$G$154:$G$158,0)),0)),0)</f>
        <v>1875</v>
      </c>
      <c r="BH695">
        <f t="shared" si="139"/>
        <v>937.5</v>
      </c>
      <c r="BI695">
        <f t="shared" si="140"/>
        <v>937.5</v>
      </c>
      <c r="BJ695">
        <f>IF($E695="","",IFERROR(VLOOKUP($C695,_CONFIG_Risk_Calibration!$A$5:$H$21,2,FALSE),3))</f>
        <v>3</v>
      </c>
      <c r="BK695">
        <f>IF($E695="","",IFERROR(VLOOKUP($C695,_CONFIG_Risk_Calibration!$A$5:$H$21,3,FALSE),0))</f>
        <v>0</v>
      </c>
      <c r="BL695">
        <f>IF($E695="","",IFERROR(VLOOKUP($C695,_CONFIG_Risk_Calibration!$A$5:$H$21,4,FALSE),3))</f>
        <v>3</v>
      </c>
      <c r="BM695">
        <f>IF($E695="","",IFERROR(VLOOKUP($C695,_CONFIG_Risk_Calibration!$A$5:$H$21,5,FALSE),3))</f>
        <v>4</v>
      </c>
      <c r="BN695" t="str">
        <f>IF($E695="","",IFERROR(VLOOKUP($C695,_CONFIG_Risk_Calibration!$A$5:$H$21,6,FALSE),"No"))</f>
        <v>No</v>
      </c>
      <c r="BO695">
        <f>IF($E695="","",IFERROR(VLOOKUP($C695,_CONFIG_Risk_Calibration!$A$5:$H$21,7,FALSE),1))</f>
        <v>1</v>
      </c>
      <c r="BP695">
        <f>IF($H695="","",MAX(1,MIN(5,((6-$H695)*0.45)+($BJ695*0.2)+('Resilience &amp; Risk Scenario'!$B$7*0.15)+($BK695*0.1)+($BL695*0.05)+(IF($BB695="Fast",5,IF($BB695="Slow",1,3))*0.05))))</f>
        <v>3.7</v>
      </c>
      <c r="BQ695">
        <f t="shared" si="141"/>
        <v>4.5</v>
      </c>
      <c r="BR695">
        <f t="shared" si="142"/>
        <v>16.649999999999999</v>
      </c>
      <c r="BS695">
        <f t="shared" si="143"/>
        <v>22.89</v>
      </c>
      <c r="BT695" t="str">
        <f>IFERROR(INDEX(_REF_Capability_Bridge!$D:$D,MATCH($C695&amp;"|"&amp;$D695,_REF_Capability_Bridge!$J:$J,0)),IFERROR(INDEX(_REF_Capability_Bridge!$D:$D,MATCH($C695&amp;"|",_REF_Capability_Bridge!$J:$J,0)),"CAP_GENERIC"))</f>
        <v>CAP_BACKUP_RECOVERY</v>
      </c>
      <c r="BU695">
        <f>IFERROR(IFERROR(INDEX(_ENGINE_Relevance!$L:$L,MATCH($BT695,_ENGINE_Relevance!$B:$B,0)),1),1)</f>
        <v>1</v>
      </c>
      <c r="BV695" t="str">
        <f>IFERROR(INDEX(_REF_Capability_Bridge!$A:$A,MATCH($C695&amp;"|"&amp;$D695,_REF_Capability_Bridge!$J:$J,0)),IFERROR(INDEX(_REF_Capability_Bridge!$A:$A,MATCH($C695&amp;"|",_REF_Capability_Bridge!$J:$J,0)),"No bridge"))</f>
        <v>BRG-092</v>
      </c>
      <c r="BW695" t="str">
        <f t="shared" si="144"/>
        <v>Capability relevance neutral</v>
      </c>
      <c r="BX695" t="str">
        <f t="shared" si="145"/>
        <v>Initial / absent</v>
      </c>
      <c r="BY695" t="str">
        <f>IF($E695="","",IFERROR(INDEX(_REF_Treatment_Library!$A$2:$A$296,MATCH(1,INDEX((_REF_Treatment_Library!$B$2:$B$296=$BT695)*(_REF_Treatment_Library!$C$2:$C$296=PV_Canonical_Industry)*(_REF_Treatment_Library!$E$2:$E$296&lt;=N($H695))*(_REF_Treatment_Library!$F$2:$F$296&gt;=N($H695))*(_REF_Treatment_Library!$O$2:$O$296="Yes"),0),0)),IFERROR(INDEX(_REF_Treatment_Library!$A$2:$A$296,MATCH(1,INDEX((_REF_Treatment_Library!$B$2:$B$296=$BT695)*(_REF_Treatment_Library!$C$2:$C$296="All")*(_REF_Treatment_Library!$E$2:$E$296&lt;=N($H695))*(_REF_Treatment_Library!$F$2:$F$296&gt;=N($H695))*(_REF_Treatment_Library!$O$2:$O$296="Yes"),0),0)),"")))</f>
        <v>TRT-BACKUP_RECOVERY-INITIAL</v>
      </c>
      <c r="BZ695" t="str">
        <f>IF($BY695="","",IFERROR(INDEX(_REF_Treatment_Library!$H$2:$H$296,MATCH($BY695,_REF_Treatment_Library!$A$2:$A$296,0)),""))</f>
        <v>Establish</v>
      </c>
      <c r="CA695" t="str">
        <f>IF($BY695="","",IFERROR(INDEX(_REF_Treatment_Library!$I$2:$I$296,MATCH($BY695,_REF_Treatment_Library!$A$2:$A$296,0)),""))</f>
        <v>Establish baseline controls for Backup / recovery</v>
      </c>
      <c r="CB695" t="str">
        <f>IF($BY695="","",IFERROR(INDEX(_REF_Treatment_Library!$K$2:$K$296,MATCH($BY695,_REF_Treatment_Library!$A$2:$A$296,0)),""))</f>
        <v>Named owner, baseline process, minimum control checklist, first evidence package</v>
      </c>
      <c r="CC695" t="str">
        <f>IF($BY695="","",IFERROR(INDEX(_REF_Treatment_Library!$L$2:$L$296,MATCH($BY695,_REF_Treatment_Library!$A$2:$A$296,0)),""))</f>
        <v>Owner assigned; baseline evidence coverage; open critical gaps</v>
      </c>
      <c r="CD695" t="str">
        <f t="shared" si="146"/>
        <v>Treatment by capability=CAP_BACKUP_RECOVERY; band=Initial / absent; score=0.0; treatment=Establish</v>
      </c>
      <c r="CE695" t="str">
        <f>IF($E695="","",IFERROR(INDEX(_REF_Industry_Wording!$A$2:$A$70,MATCH(1,INDEX((_REF_Industry_Wording!$B$2:$B$70=$BT695)*(_REF_Industry_Wording!$C$2:$C$70=PV_Canonical_Industry)*(_REF_Industry_Wording!$K$2:$K$70="Yes"),0),0)),IFERROR(INDEX(_REF_Industry_Wording!$A$2:$A$70,MATCH(1,INDEX((_REF_Industry_Wording!$B$2:$B$70=$BT695)*(_REF_Industry_Wording!$C$2:$C$70="All")*(_REF_Industry_Wording!$K$2:$K$70="Yes"),0),0)),"")))</f>
        <v>IW-ALL-BACKUP_RECOVERY</v>
      </c>
      <c r="CF695" t="str">
        <f>IF($CE695="","",IFERROR(INDEX(_REF_Industry_Wording!$E$2:$E$70,MATCH($CE695,_REF_Industry_Wording!$A$2:$A$70,0)),""))</f>
        <v>Backup / recovery weakness</v>
      </c>
      <c r="CG695" t="str">
        <f>IF($CE695="","",IFERROR(INDEX(_REF_Industry_Wording!$F$2:$F$70,MATCH($CE695,_REF_Industry_Wording!$A$2:$A$70,0)),""))</f>
        <v>Strengthen Backup / recovery</v>
      </c>
      <c r="CH695" t="str">
        <f>IF($CE695="","",IFERROR(INDEX(_REF_Industry_Wording!$G$2:$G$70,MATCH($CE695,_REF_Industry_Wording!$A$2:$A$70,0)),""))</f>
        <v>Strengthen Backup / recovery using the selected maturity treatment, crisis scenario and evidence requirements.</v>
      </c>
      <c r="CI695" t="str">
        <f>IF($CE695="","",IFERROR(INDEX(_REF_Industry_Wording!$H$2:$H$70,MATCH($CE695,_REF_Industry_Wording!$A$2:$A$70,0)),""))</f>
        <v>Backup / recovery</v>
      </c>
      <c r="CJ695">
        <f>IF($CE695="","",IFERROR(INDEX(_REF_Industry_Wording!$I$2:$I$70,MATCH($CE695,_REF_Industry_Wording!$A$2:$A$70,0)),""))</f>
        <v>0</v>
      </c>
      <c r="CK695" t="str">
        <f>IF($CE695="","",IFERROR(INDEX(_REF_Industry_Wording!$J$2:$J$70,MATCH($CE695,_REF_Industry_Wording!$A$2:$A$70,0)),""))</f>
        <v>Backup / recovery</v>
      </c>
      <c r="CL695" t="str">
        <f t="shared" si="147"/>
        <v>Wording by industry=0; capability=CAP_BACKUP_RECOVERY; risk label=Backup / recovery weakness</v>
      </c>
      <c r="CM695" t="str">
        <f t="shared" si="148"/>
        <v>RISK-ONT-0196</v>
      </c>
      <c r="CN695" t="str">
        <f t="shared" si="149"/>
        <v>RISK-EVT-0196</v>
      </c>
      <c r="CO695" t="str">
        <f t="shared" si="150"/>
        <v>Supply Chain|Supply chain design|SUPP-001|CAP_BACKUP_RECOVERY</v>
      </c>
      <c r="CP695" t="str">
        <f t="shared" si="151"/>
        <v>Active</v>
      </c>
      <c r="CQ695" t="str">
        <f t="shared" si="152"/>
        <v>OK: capability-driven</v>
      </c>
      <c r="CR695" t="str">
        <f t="shared" si="153"/>
        <v>Risk ontology uses capability=CAP_BACKUP_RECOVERY; bridge=BRG-092; treatment=TRT-BACKUP_RECOVERY-INITIAL; wording=IW-ALL-BACKUP_RECOVERY</v>
      </c>
      <c r="CS695" t="str">
        <f t="shared" si="154"/>
        <v>Yes</v>
      </c>
    </row>
    <row r="696" spans="1:97" ht="69.900000000000006" customHeight="1">
      <c r="A696">
        <f>IF(OR($B696&lt;&gt;"Yes",$BS696=""),"",SUMPRODUCT(($B$500:$B$923="Yes")*ISNUMBER($BS$500:$BS$923)*($BS$500:$BS$923&gt;$BS696))+COUNTIFS($B$500:$B696,"Yes",$BS$500:$BS696,$BS696))</f>
        <v>81</v>
      </c>
      <c r="B696" t="str">
        <f t="shared" si="123"/>
        <v>Yes</v>
      </c>
      <c r="C696" t="s">
        <v>1987</v>
      </c>
      <c r="D696" t="s">
        <v>1989</v>
      </c>
      <c r="E696" t="s">
        <v>1995</v>
      </c>
      <c r="F696" t="s">
        <v>3687</v>
      </c>
      <c r="G696" t="str">
        <f>IF($H696="","",IFERROR(INDEX(_ENGINE_Risk!$H$5:$M$499,MATCH($E696,_ENGINE_Risk!$A$5:$A$499,0),$H696+1),""))</f>
        <v>Severe risk: visibility beyond tier-1 suppliers for critical materials, components and services is not reliably controlled. During Supplier/logistics disruption; Manufacturing disruption; Demand shock, the organization may face supplier failure, logistics disruption, inventory shortages and production or delivery delays with limited visibility or accountability.</v>
      </c>
      <c r="H696">
        <f>IFERROR(VALUE(INDEX(_DATA_Assessment_Model!$H$5:$H$884,MATCH($E696,_DATA_Assessment_Model!$A$5:$A$884,0))),"")</f>
        <v>0</v>
      </c>
      <c r="I696" t="str">
        <f>IF($H696="","",IFERROR(INDEX(_DATA_Assessment_Model!$L$5:$L$884,MATCH($E696,_DATA_Assessment_Model!$A$5:$A$884,0)),IF($H696&lt;=1,"Critical",IF($H696=2,"High",IF($H696=3,"Medium",IF($H696=4,"Low","Resilient"))))))</f>
        <v>Critical</v>
      </c>
      <c r="J696">
        <f t="shared" si="124"/>
        <v>3.7</v>
      </c>
      <c r="K696">
        <f t="shared" si="125"/>
        <v>4.5</v>
      </c>
      <c r="L696">
        <f t="shared" si="126"/>
        <v>16.650000000000002</v>
      </c>
      <c r="M696">
        <f t="shared" si="127"/>
        <v>4</v>
      </c>
      <c r="N696">
        <f>IF($H696="","",IFERROR(INDEX(_ENGINE_Risk!$T$5:$Y$499,MATCH($E696,_ENGINE_Risk!$A$5:$A$499,0),$H696+1),""))</f>
        <v>4</v>
      </c>
      <c r="O696">
        <f t="shared" si="128"/>
        <v>4.666666666666667</v>
      </c>
      <c r="P696">
        <f t="shared" si="129"/>
        <v>5</v>
      </c>
      <c r="Q696">
        <f t="shared" si="130"/>
        <v>5</v>
      </c>
      <c r="R696">
        <f t="shared" si="131"/>
        <v>4.5</v>
      </c>
      <c r="S696">
        <f t="shared" si="132"/>
        <v>1.2</v>
      </c>
      <c r="T696" t="str">
        <f>IF($H696="","",IFERROR(INDEX(_ENGINE_Risk!$N$5:$S$499,MATCH($E696,_ENGINE_Risk!$A$5:$A$499,0),$H696+1),""))</f>
        <v>Create an immediate risk owner, minimum control baseline and fallback procedure for visibility beyond tier-1 suppliers for critical materials, components and services. Add it to the crisis risk register and collect first evidence.</v>
      </c>
      <c r="U696">
        <f>IFERROR(INDEX(_DATA_Assessment_Model!$G$5:$G$884,MATCH($E696,_DATA_Assessment_Model!$A$5:$A$884,0)),"")</f>
        <v>5</v>
      </c>
      <c r="V696">
        <f>IFERROR(INDEX(_DATA_Assessment_Model!$W$5:$W$884,MATCH($E696,_DATA_Assessment_Model!$A$5:$A$884,0)),"")</f>
        <v>4</v>
      </c>
      <c r="W696">
        <f>IFERROR(INDEX(_DATA_Assessment_Model!$X$5:$X$884,MATCH($E696,_DATA_Assessment_Model!$A$5:$A$884,0)),"")</f>
        <v>5</v>
      </c>
      <c r="X696">
        <f>IFERROR(INDEX(_DATA_Assessment_Model!$Y$5:$Y$884,MATCH($E696,_DATA_Assessment_Model!$A$5:$A$884,0)),"")</f>
        <v>5</v>
      </c>
      <c r="Y696" t="s">
        <v>1994</v>
      </c>
      <c r="Z696" t="s">
        <v>7365</v>
      </c>
      <c r="AA696" t="s">
        <v>1997</v>
      </c>
      <c r="AB696">
        <f>IFERROR(INDEX(_DATA_Assessment_Model!$U$5:$U$884,MATCH($E696,_DATA_Assessment_Model!$A$5:$A$884,0)),"")</f>
        <v>0</v>
      </c>
      <c r="AF696" t="s">
        <v>1996</v>
      </c>
      <c r="AO696">
        <f>IF($B696="Yes",IF(IFERROR(INDEX(_ENGINE_Crisis!$F$501:$F$517,MATCH($C696,_ENGINE_Crisis!$A$501:$A$517,0)),1)=0,1,IFERROR(INDEX(_ENGINE_Crisis!$F$501:$F$517,MATCH($C696,_ENGINE_Crisis!$A$501:$A$517,0)),1)),"")</f>
        <v>1</v>
      </c>
      <c r="AP696">
        <f t="shared" si="133"/>
        <v>16.7</v>
      </c>
      <c r="AQ696">
        <f t="shared" si="134"/>
        <v>1.2</v>
      </c>
      <c r="AR696" t="str">
        <f>IFERROR(INDEX(_ENGINE_Crisis!$E$41:$E$700,MATCH('Resilience &amp; Risk Scenario'!$B$6&amp;"|"&amp;$C696,_ENGINE_Crisis!$I$41:$I$700,0)),"")</f>
        <v/>
      </c>
      <c r="AS696" t="str">
        <f>IFERROR(INDEX(_ENGINE_Crisis!$G$41:$G$700,MATCH('Resilience &amp; Risk Scenario'!$B$6&amp;"|"&amp;$C696,_ENGINE_Crisis!$I$41:$I$700,0)),"")</f>
        <v/>
      </c>
      <c r="AT696" t="str">
        <f>IFERROR(INDEX(_ENGINE_Initiatives!$A$5:$A$532,MATCH(1,INDEX((_ENGINE_Initiatives!$B$5:$B$532=$C696)*(_ENGINE_Initiatives!$C$5:$C$532=$D696),0),0)),"")</f>
        <v>INI-032</v>
      </c>
      <c r="AU696" t="str">
        <f>IFERROR(INDEX(_ENGINE_Initiatives!$F$5:$F$532,MATCH(1,INDEX((_ENGINE_Initiatives!$B$5:$B$532=$C696)*(_ENGINE_Initiatives!$C$5:$C$532=$D696),0),0)),"")</f>
        <v>Redesign supply chain for resilience and alternative sourcing</v>
      </c>
      <c r="AV696">
        <f>IFERROR(INDEX(_ENGINE_Initiatives!$AC$5:$AC$532,MATCH(1,INDEX((_ENGINE_Initiatives!$B$5:$B$532=$C696)*(_ENGINE_Initiatives!$C$5:$C$532=$D696),0),0)),"")</f>
        <v>1.81</v>
      </c>
      <c r="AW696" t="str">
        <f>IFERROR(INDEX(_ENGINE_Initiatives!$AE$5:$AE$532,MATCH(1,INDEX((_ENGINE_Initiatives!$B$5:$B$532=$C696)*(_ENGINE_Initiatives!$C$5:$C$532=$D696),0),0)),"")</f>
        <v>3-6 months</v>
      </c>
      <c r="AX696">
        <f>IF($B696="Yes",IFERROR((IF(SUMIFS(_REF_Model_Content!$E$1:$E$613,_REF_Model_Content!$A$1:$A$613,PV_Canonical_Industry,_REF_Model_Content!$B$1:$B$613,$C696)=0,1,SUMIFS(_REF_Model_Content!$E$1:$E$613,_REF_Model_Content!$A$1:$A$613,PV_Canonical_Industry,_REF_Model_Content!$B$1:$B$613,$C696))*IFERROR($BU696,1)),1),"")</f>
        <v>1</v>
      </c>
      <c r="AY696">
        <f t="shared" si="135"/>
        <v>16.7</v>
      </c>
      <c r="AZ696">
        <f t="shared" si="136"/>
        <v>1.2</v>
      </c>
      <c r="BB696" t="str">
        <f>IF($H696="","",IFERROR(INDEX(_ENGINE_Risk!$AE$5:$AE$499,MATCH($E696,_ENGINE_Risk!$A$5:$A$499,0)),"Medium"))</f>
        <v>Fast</v>
      </c>
      <c r="BC696">
        <f t="shared" si="137"/>
        <v>1.25</v>
      </c>
      <c r="BD696">
        <f t="shared" si="138"/>
        <v>1.2</v>
      </c>
      <c r="BF696">
        <f>IF(OR($H696="",$J696=""),"",IFERROR(VLOOKUP(ROUND($J696,0),_CONFIG_Model_Settings!$D$154:$E$158,2,0),""))</f>
        <v>0.5</v>
      </c>
      <c r="BG696">
        <f>IFERROR(IF(OR($H696="",$K696=""),"",ROUND('Company Profile'!$B$113*INDEX(_CONFIG_Model_Settings!$H$154:$H$158,MATCH(ROUND($K696,0),_CONFIG_Model_Settings!$G$154:$G$158,0)),0)),0)</f>
        <v>1875</v>
      </c>
      <c r="BH696">
        <f t="shared" si="139"/>
        <v>937.5</v>
      </c>
      <c r="BI696">
        <f t="shared" si="140"/>
        <v>937.5</v>
      </c>
      <c r="BJ696">
        <f>IF($E696="","",IFERROR(VLOOKUP($C696,_CONFIG_Risk_Calibration!$A$5:$H$21,2,FALSE),3))</f>
        <v>3</v>
      </c>
      <c r="BK696">
        <f>IF($E696="","",IFERROR(VLOOKUP($C696,_CONFIG_Risk_Calibration!$A$5:$H$21,3,FALSE),0))</f>
        <v>0</v>
      </c>
      <c r="BL696">
        <f>IF($E696="","",IFERROR(VLOOKUP($C696,_CONFIG_Risk_Calibration!$A$5:$H$21,4,FALSE),3))</f>
        <v>3</v>
      </c>
      <c r="BM696">
        <f>IF($E696="","",IFERROR(VLOOKUP($C696,_CONFIG_Risk_Calibration!$A$5:$H$21,5,FALSE),3))</f>
        <v>4</v>
      </c>
      <c r="BN696" t="str">
        <f>IF($E696="","",IFERROR(VLOOKUP($C696,_CONFIG_Risk_Calibration!$A$5:$H$21,6,FALSE),"No"))</f>
        <v>No</v>
      </c>
      <c r="BO696">
        <f>IF($E696="","",IFERROR(VLOOKUP($C696,_CONFIG_Risk_Calibration!$A$5:$H$21,7,FALSE),1))</f>
        <v>1</v>
      </c>
      <c r="BP696">
        <f>IF($H696="","",MAX(1,MIN(5,((6-$H696)*0.45)+($BJ696*0.2)+('Resilience &amp; Risk Scenario'!$B$7*0.15)+($BK696*0.1)+($BL696*0.05)+(IF($BB696="Fast",5,IF($BB696="Slow",1,3))*0.05))))</f>
        <v>3.7</v>
      </c>
      <c r="BQ696">
        <f t="shared" si="141"/>
        <v>4.5</v>
      </c>
      <c r="BR696">
        <f t="shared" si="142"/>
        <v>16.649999999999999</v>
      </c>
      <c r="BS696">
        <f t="shared" si="143"/>
        <v>22.89</v>
      </c>
      <c r="BT696" t="str">
        <f>IFERROR(INDEX(_REF_Capability_Bridge!$D:$D,MATCH($C696&amp;"|"&amp;$D696,_REF_Capability_Bridge!$J:$J,0)),IFERROR(INDEX(_REF_Capability_Bridge!$D:$D,MATCH($C696&amp;"|",_REF_Capability_Bridge!$J:$J,0)),"CAP_GENERIC"))</f>
        <v>CAP_BACKUP_RECOVERY</v>
      </c>
      <c r="BU696">
        <f>IFERROR(IFERROR(INDEX(_ENGINE_Relevance!$L:$L,MATCH($BT696,_ENGINE_Relevance!$B:$B,0)),1),1)</f>
        <v>1</v>
      </c>
      <c r="BV696" t="str">
        <f>IFERROR(INDEX(_REF_Capability_Bridge!$A:$A,MATCH($C696&amp;"|"&amp;$D696,_REF_Capability_Bridge!$J:$J,0)),IFERROR(INDEX(_REF_Capability_Bridge!$A:$A,MATCH($C696&amp;"|",_REF_Capability_Bridge!$J:$J,0)),"No bridge"))</f>
        <v>BRG-092</v>
      </c>
      <c r="BW696" t="str">
        <f t="shared" si="144"/>
        <v>Capability relevance neutral</v>
      </c>
      <c r="BX696" t="str">
        <f t="shared" si="145"/>
        <v>Initial / absent</v>
      </c>
      <c r="BY696" t="str">
        <f>IF($E696="","",IFERROR(INDEX(_REF_Treatment_Library!$A$2:$A$296,MATCH(1,INDEX((_REF_Treatment_Library!$B$2:$B$296=$BT696)*(_REF_Treatment_Library!$C$2:$C$296=PV_Canonical_Industry)*(_REF_Treatment_Library!$E$2:$E$296&lt;=N($H696))*(_REF_Treatment_Library!$F$2:$F$296&gt;=N($H696))*(_REF_Treatment_Library!$O$2:$O$296="Yes"),0),0)),IFERROR(INDEX(_REF_Treatment_Library!$A$2:$A$296,MATCH(1,INDEX((_REF_Treatment_Library!$B$2:$B$296=$BT696)*(_REF_Treatment_Library!$C$2:$C$296="All")*(_REF_Treatment_Library!$E$2:$E$296&lt;=N($H696))*(_REF_Treatment_Library!$F$2:$F$296&gt;=N($H696))*(_REF_Treatment_Library!$O$2:$O$296="Yes"),0),0)),"")))</f>
        <v>TRT-BACKUP_RECOVERY-INITIAL</v>
      </c>
      <c r="BZ696" t="str">
        <f>IF($BY696="","",IFERROR(INDEX(_REF_Treatment_Library!$H$2:$H$296,MATCH($BY696,_REF_Treatment_Library!$A$2:$A$296,0)),""))</f>
        <v>Establish</v>
      </c>
      <c r="CA696" t="str">
        <f>IF($BY696="","",IFERROR(INDEX(_REF_Treatment_Library!$I$2:$I$296,MATCH($BY696,_REF_Treatment_Library!$A$2:$A$296,0)),""))</f>
        <v>Establish baseline controls for Backup / recovery</v>
      </c>
      <c r="CB696" t="str">
        <f>IF($BY696="","",IFERROR(INDEX(_REF_Treatment_Library!$K$2:$K$296,MATCH($BY696,_REF_Treatment_Library!$A$2:$A$296,0)),""))</f>
        <v>Named owner, baseline process, minimum control checklist, first evidence package</v>
      </c>
      <c r="CC696" t="str">
        <f>IF($BY696="","",IFERROR(INDEX(_REF_Treatment_Library!$L$2:$L$296,MATCH($BY696,_REF_Treatment_Library!$A$2:$A$296,0)),""))</f>
        <v>Owner assigned; baseline evidence coverage; open critical gaps</v>
      </c>
      <c r="CD696" t="str">
        <f t="shared" si="146"/>
        <v>Treatment by capability=CAP_BACKUP_RECOVERY; band=Initial / absent; score=0.0; treatment=Establish</v>
      </c>
      <c r="CE696" t="str">
        <f>IF($E696="","",IFERROR(INDEX(_REF_Industry_Wording!$A$2:$A$70,MATCH(1,INDEX((_REF_Industry_Wording!$B$2:$B$70=$BT696)*(_REF_Industry_Wording!$C$2:$C$70=PV_Canonical_Industry)*(_REF_Industry_Wording!$K$2:$K$70="Yes"),0),0)),IFERROR(INDEX(_REF_Industry_Wording!$A$2:$A$70,MATCH(1,INDEX((_REF_Industry_Wording!$B$2:$B$70=$BT696)*(_REF_Industry_Wording!$C$2:$C$70="All")*(_REF_Industry_Wording!$K$2:$K$70="Yes"),0),0)),"")))</f>
        <v>IW-ALL-BACKUP_RECOVERY</v>
      </c>
      <c r="CF696" t="str">
        <f>IF($CE696="","",IFERROR(INDEX(_REF_Industry_Wording!$E$2:$E$70,MATCH($CE696,_REF_Industry_Wording!$A$2:$A$70,0)),""))</f>
        <v>Backup / recovery weakness</v>
      </c>
      <c r="CG696" t="str">
        <f>IF($CE696="","",IFERROR(INDEX(_REF_Industry_Wording!$F$2:$F$70,MATCH($CE696,_REF_Industry_Wording!$A$2:$A$70,0)),""))</f>
        <v>Strengthen Backup / recovery</v>
      </c>
      <c r="CH696" t="str">
        <f>IF($CE696="","",IFERROR(INDEX(_REF_Industry_Wording!$G$2:$G$70,MATCH($CE696,_REF_Industry_Wording!$A$2:$A$70,0)),""))</f>
        <v>Strengthen Backup / recovery using the selected maturity treatment, crisis scenario and evidence requirements.</v>
      </c>
      <c r="CI696" t="str">
        <f>IF($CE696="","",IFERROR(INDEX(_REF_Industry_Wording!$H$2:$H$70,MATCH($CE696,_REF_Industry_Wording!$A$2:$A$70,0)),""))</f>
        <v>Backup / recovery</v>
      </c>
      <c r="CJ696">
        <f>IF($CE696="","",IFERROR(INDEX(_REF_Industry_Wording!$I$2:$I$70,MATCH($CE696,_REF_Industry_Wording!$A$2:$A$70,0)),""))</f>
        <v>0</v>
      </c>
      <c r="CK696" t="str">
        <f>IF($CE696="","",IFERROR(INDEX(_REF_Industry_Wording!$J$2:$J$70,MATCH($CE696,_REF_Industry_Wording!$A$2:$A$70,0)),""))</f>
        <v>Backup / recovery</v>
      </c>
      <c r="CL696" t="str">
        <f t="shared" si="147"/>
        <v>Wording by industry=0; capability=CAP_BACKUP_RECOVERY; risk label=Backup / recovery weakness</v>
      </c>
      <c r="CM696" t="str">
        <f t="shared" si="148"/>
        <v>RISK-ONT-0197</v>
      </c>
      <c r="CN696" t="str">
        <f t="shared" si="149"/>
        <v>RISK-EVT-0197</v>
      </c>
      <c r="CO696" t="str">
        <f t="shared" si="150"/>
        <v>Supply Chain|Supply chain design|SUPP-002|CAP_BACKUP_RECOVERY</v>
      </c>
      <c r="CP696" t="str">
        <f t="shared" si="151"/>
        <v>Active</v>
      </c>
      <c r="CQ696" t="str">
        <f t="shared" si="152"/>
        <v>OK: capability-driven</v>
      </c>
      <c r="CR696" t="str">
        <f t="shared" si="153"/>
        <v>Risk ontology uses capability=CAP_BACKUP_RECOVERY; bridge=BRG-092; treatment=TRT-BACKUP_RECOVERY-INITIAL; wording=IW-ALL-BACKUP_RECOVERY</v>
      </c>
      <c r="CS696" t="str">
        <f t="shared" si="154"/>
        <v>Yes</v>
      </c>
    </row>
    <row r="697" spans="1:97" ht="69.900000000000006" customHeight="1">
      <c r="A697">
        <f>IF(OR($B697&lt;&gt;"Yes",$BS697=""),"",SUMPRODUCT(($B$500:$B$923="Yes")*ISNUMBER($BS$500:$BS$923)*($BS$500:$BS$923&gt;$BS697))+COUNTIFS($B$500:$B697,"Yes",$BS$500:$BS697,$BS697))</f>
        <v>82</v>
      </c>
      <c r="B697" t="str">
        <f t="shared" si="123"/>
        <v>Yes</v>
      </c>
      <c r="C697" t="s">
        <v>1987</v>
      </c>
      <c r="D697" t="s">
        <v>1989</v>
      </c>
      <c r="E697" t="s">
        <v>1999</v>
      </c>
      <c r="F697" t="s">
        <v>3687</v>
      </c>
      <c r="G697" t="str">
        <f>IF($H697="","",IFERROR(INDEX(_ENGINE_Risk!$H$5:$M$499,MATCH($E697,_ENGINE_Risk!$A$5:$A$499,0),$H697+1),""))</f>
        <v>Severe risk: supplier criticality scoring by business impact, availability, substitution, lead time and geography is not reliably controlled. During Supplier/logistics disruption; Manufacturing disruption; Demand shock, the organization may face supplier failure, logistics disruption, inventory shortages and production or delivery delays with limited visibility or accountability.</v>
      </c>
      <c r="H697">
        <f>IFERROR(VALUE(INDEX(_DATA_Assessment_Model!$H$5:$H$884,MATCH($E697,_DATA_Assessment_Model!$A$5:$A$884,0))),"")</f>
        <v>0</v>
      </c>
      <c r="I697" t="str">
        <f>IF($H697="","",IFERROR(INDEX(_DATA_Assessment_Model!$L$5:$L$884,MATCH($E697,_DATA_Assessment_Model!$A$5:$A$884,0)),IF($H697&lt;=1,"Critical",IF($H697=2,"High",IF($H697=3,"Medium",IF($H697=4,"Low","Resilient"))))))</f>
        <v>Critical</v>
      </c>
      <c r="J697">
        <f t="shared" si="124"/>
        <v>3.7</v>
      </c>
      <c r="K697">
        <f t="shared" si="125"/>
        <v>4.5</v>
      </c>
      <c r="L697">
        <f t="shared" si="126"/>
        <v>16.650000000000002</v>
      </c>
      <c r="M697">
        <f t="shared" si="127"/>
        <v>4</v>
      </c>
      <c r="N697">
        <f>IF($H697="","",IFERROR(INDEX(_ENGINE_Risk!$T$5:$Y$499,MATCH($E697,_ENGINE_Risk!$A$5:$A$499,0),$H697+1),""))</f>
        <v>4</v>
      </c>
      <c r="O697">
        <f t="shared" si="128"/>
        <v>4.666666666666667</v>
      </c>
      <c r="P697">
        <f t="shared" si="129"/>
        <v>5</v>
      </c>
      <c r="Q697">
        <f t="shared" si="130"/>
        <v>5</v>
      </c>
      <c r="R697">
        <f t="shared" si="131"/>
        <v>4.5</v>
      </c>
      <c r="S697">
        <f t="shared" si="132"/>
        <v>1.2</v>
      </c>
      <c r="T697" t="str">
        <f>IF($H697="","",IFERROR(INDEX(_ENGINE_Risk!$N$5:$S$499,MATCH($E697,_ENGINE_Risk!$A$5:$A$499,0),$H697+1),""))</f>
        <v>Create an immediate risk owner, minimum control baseline and fallback procedure for supplier criticality scoring by business impact, availability, substitution, lead time and geography. Add it to the crisis risk register and collect first evidence.</v>
      </c>
      <c r="U697">
        <f>IFERROR(INDEX(_DATA_Assessment_Model!$G$5:$G$884,MATCH($E697,_DATA_Assessment_Model!$A$5:$A$884,0)),"")</f>
        <v>5</v>
      </c>
      <c r="V697">
        <f>IFERROR(INDEX(_DATA_Assessment_Model!$W$5:$W$884,MATCH($E697,_DATA_Assessment_Model!$A$5:$A$884,0)),"")</f>
        <v>4</v>
      </c>
      <c r="W697">
        <f>IFERROR(INDEX(_DATA_Assessment_Model!$X$5:$X$884,MATCH($E697,_DATA_Assessment_Model!$A$5:$A$884,0)),"")</f>
        <v>5</v>
      </c>
      <c r="X697">
        <f>IFERROR(INDEX(_DATA_Assessment_Model!$Y$5:$Y$884,MATCH($E697,_DATA_Assessment_Model!$A$5:$A$884,0)),"")</f>
        <v>5</v>
      </c>
      <c r="Y697" t="s">
        <v>1994</v>
      </c>
      <c r="Z697" t="s">
        <v>7365</v>
      </c>
      <c r="AA697" t="s">
        <v>2001</v>
      </c>
      <c r="AB697">
        <f>IFERROR(INDEX(_DATA_Assessment_Model!$U$5:$U$884,MATCH($E697,_DATA_Assessment_Model!$A$5:$A$884,0)),"")</f>
        <v>0</v>
      </c>
      <c r="AF697" t="s">
        <v>2000</v>
      </c>
      <c r="AO697">
        <f>IF($B697="Yes",IF(IFERROR(INDEX(_ENGINE_Crisis!$F$501:$F$517,MATCH($C697,_ENGINE_Crisis!$A$501:$A$517,0)),1)=0,1,IFERROR(INDEX(_ENGINE_Crisis!$F$501:$F$517,MATCH($C697,_ENGINE_Crisis!$A$501:$A$517,0)),1)),"")</f>
        <v>1</v>
      </c>
      <c r="AP697">
        <f t="shared" si="133"/>
        <v>16.7</v>
      </c>
      <c r="AQ697">
        <f t="shared" si="134"/>
        <v>1.2</v>
      </c>
      <c r="AR697" t="str">
        <f>IFERROR(INDEX(_ENGINE_Crisis!$E$41:$E$700,MATCH('Resilience &amp; Risk Scenario'!$B$6&amp;"|"&amp;$C697,_ENGINE_Crisis!$I$41:$I$700,0)),"")</f>
        <v/>
      </c>
      <c r="AS697" t="str">
        <f>IFERROR(INDEX(_ENGINE_Crisis!$G$41:$G$700,MATCH('Resilience &amp; Risk Scenario'!$B$6&amp;"|"&amp;$C697,_ENGINE_Crisis!$I$41:$I$700,0)),"")</f>
        <v/>
      </c>
      <c r="AT697" t="str">
        <f>IFERROR(INDEX(_ENGINE_Initiatives!$A$5:$A$532,MATCH(1,INDEX((_ENGINE_Initiatives!$B$5:$B$532=$C697)*(_ENGINE_Initiatives!$C$5:$C$532=$D697),0),0)),"")</f>
        <v>INI-032</v>
      </c>
      <c r="AU697" t="str">
        <f>IFERROR(INDEX(_ENGINE_Initiatives!$F$5:$F$532,MATCH(1,INDEX((_ENGINE_Initiatives!$B$5:$B$532=$C697)*(_ENGINE_Initiatives!$C$5:$C$532=$D697),0),0)),"")</f>
        <v>Redesign supply chain for resilience and alternative sourcing</v>
      </c>
      <c r="AV697">
        <f>IFERROR(INDEX(_ENGINE_Initiatives!$AC$5:$AC$532,MATCH(1,INDEX((_ENGINE_Initiatives!$B$5:$B$532=$C697)*(_ENGINE_Initiatives!$C$5:$C$532=$D697),0),0)),"")</f>
        <v>1.81</v>
      </c>
      <c r="AW697" t="str">
        <f>IFERROR(INDEX(_ENGINE_Initiatives!$AE$5:$AE$532,MATCH(1,INDEX((_ENGINE_Initiatives!$B$5:$B$532=$C697)*(_ENGINE_Initiatives!$C$5:$C$532=$D697),0),0)),"")</f>
        <v>3-6 months</v>
      </c>
      <c r="AX697">
        <f>IF($B697="Yes",IFERROR((IF(SUMIFS(_REF_Model_Content!$E$1:$E$613,_REF_Model_Content!$A$1:$A$613,PV_Canonical_Industry,_REF_Model_Content!$B$1:$B$613,$C697)=0,1,SUMIFS(_REF_Model_Content!$E$1:$E$613,_REF_Model_Content!$A$1:$A$613,PV_Canonical_Industry,_REF_Model_Content!$B$1:$B$613,$C697))*IFERROR($BU697,1)),1),"")</f>
        <v>1</v>
      </c>
      <c r="AY697">
        <f t="shared" si="135"/>
        <v>16.7</v>
      </c>
      <c r="AZ697">
        <f t="shared" si="136"/>
        <v>1.2</v>
      </c>
      <c r="BB697" t="str">
        <f>IF($H697="","",IFERROR(INDEX(_ENGINE_Risk!$AE$5:$AE$499,MATCH($E697,_ENGINE_Risk!$A$5:$A$499,0)),"Medium"))</f>
        <v>Fast</v>
      </c>
      <c r="BC697">
        <f t="shared" si="137"/>
        <v>1.25</v>
      </c>
      <c r="BD697">
        <f t="shared" si="138"/>
        <v>1.2</v>
      </c>
      <c r="BF697">
        <f>IF(OR($H697="",$J697=""),"",IFERROR(VLOOKUP(ROUND($J697,0),_CONFIG_Model_Settings!$D$154:$E$158,2,0),""))</f>
        <v>0.5</v>
      </c>
      <c r="BG697">
        <f>IFERROR(IF(OR($H697="",$K697=""),"",ROUND('Company Profile'!$B$113*INDEX(_CONFIG_Model_Settings!$H$154:$H$158,MATCH(ROUND($K697,0),_CONFIG_Model_Settings!$G$154:$G$158,0)),0)),0)</f>
        <v>1875</v>
      </c>
      <c r="BH697">
        <f t="shared" si="139"/>
        <v>937.5</v>
      </c>
      <c r="BI697">
        <f t="shared" si="140"/>
        <v>937.5</v>
      </c>
      <c r="BJ697">
        <f>IF($E697="","",IFERROR(VLOOKUP($C697,_CONFIG_Risk_Calibration!$A$5:$H$21,2,FALSE),3))</f>
        <v>3</v>
      </c>
      <c r="BK697">
        <f>IF($E697="","",IFERROR(VLOOKUP($C697,_CONFIG_Risk_Calibration!$A$5:$H$21,3,FALSE),0))</f>
        <v>0</v>
      </c>
      <c r="BL697">
        <f>IF($E697="","",IFERROR(VLOOKUP($C697,_CONFIG_Risk_Calibration!$A$5:$H$21,4,FALSE),3))</f>
        <v>3</v>
      </c>
      <c r="BM697">
        <f>IF($E697="","",IFERROR(VLOOKUP($C697,_CONFIG_Risk_Calibration!$A$5:$H$21,5,FALSE),3))</f>
        <v>4</v>
      </c>
      <c r="BN697" t="str">
        <f>IF($E697="","",IFERROR(VLOOKUP($C697,_CONFIG_Risk_Calibration!$A$5:$H$21,6,FALSE),"No"))</f>
        <v>No</v>
      </c>
      <c r="BO697">
        <f>IF($E697="","",IFERROR(VLOOKUP($C697,_CONFIG_Risk_Calibration!$A$5:$H$21,7,FALSE),1))</f>
        <v>1</v>
      </c>
      <c r="BP697">
        <f>IF($H697="","",MAX(1,MIN(5,((6-$H697)*0.45)+($BJ697*0.2)+('Resilience &amp; Risk Scenario'!$B$7*0.15)+($BK697*0.1)+($BL697*0.05)+(IF($BB697="Fast",5,IF($BB697="Slow",1,3))*0.05))))</f>
        <v>3.7</v>
      </c>
      <c r="BQ697">
        <f t="shared" si="141"/>
        <v>4.5</v>
      </c>
      <c r="BR697">
        <f t="shared" si="142"/>
        <v>16.649999999999999</v>
      </c>
      <c r="BS697">
        <f t="shared" si="143"/>
        <v>22.89</v>
      </c>
      <c r="BT697" t="str">
        <f>IFERROR(INDEX(_REF_Capability_Bridge!$D:$D,MATCH($C697&amp;"|"&amp;$D697,_REF_Capability_Bridge!$J:$J,0)),IFERROR(INDEX(_REF_Capability_Bridge!$D:$D,MATCH($C697&amp;"|",_REF_Capability_Bridge!$J:$J,0)),"CAP_GENERIC"))</f>
        <v>CAP_BACKUP_RECOVERY</v>
      </c>
      <c r="BU697">
        <f>IFERROR(IFERROR(INDEX(_ENGINE_Relevance!$L:$L,MATCH($BT697,_ENGINE_Relevance!$B:$B,0)),1),1)</f>
        <v>1</v>
      </c>
      <c r="BV697" t="str">
        <f>IFERROR(INDEX(_REF_Capability_Bridge!$A:$A,MATCH($C697&amp;"|"&amp;$D697,_REF_Capability_Bridge!$J:$J,0)),IFERROR(INDEX(_REF_Capability_Bridge!$A:$A,MATCH($C697&amp;"|",_REF_Capability_Bridge!$J:$J,0)),"No bridge"))</f>
        <v>BRG-092</v>
      </c>
      <c r="BW697" t="str">
        <f t="shared" si="144"/>
        <v>Capability relevance neutral</v>
      </c>
      <c r="BX697" t="str">
        <f t="shared" si="145"/>
        <v>Initial / absent</v>
      </c>
      <c r="BY697" t="str">
        <f>IF($E697="","",IFERROR(INDEX(_REF_Treatment_Library!$A$2:$A$296,MATCH(1,INDEX((_REF_Treatment_Library!$B$2:$B$296=$BT697)*(_REF_Treatment_Library!$C$2:$C$296=PV_Canonical_Industry)*(_REF_Treatment_Library!$E$2:$E$296&lt;=N($H697))*(_REF_Treatment_Library!$F$2:$F$296&gt;=N($H697))*(_REF_Treatment_Library!$O$2:$O$296="Yes"),0),0)),IFERROR(INDEX(_REF_Treatment_Library!$A$2:$A$296,MATCH(1,INDEX((_REF_Treatment_Library!$B$2:$B$296=$BT697)*(_REF_Treatment_Library!$C$2:$C$296="All")*(_REF_Treatment_Library!$E$2:$E$296&lt;=N($H697))*(_REF_Treatment_Library!$F$2:$F$296&gt;=N($H697))*(_REF_Treatment_Library!$O$2:$O$296="Yes"),0),0)),"")))</f>
        <v>TRT-BACKUP_RECOVERY-INITIAL</v>
      </c>
      <c r="BZ697" t="str">
        <f>IF($BY697="","",IFERROR(INDEX(_REF_Treatment_Library!$H$2:$H$296,MATCH($BY697,_REF_Treatment_Library!$A$2:$A$296,0)),""))</f>
        <v>Establish</v>
      </c>
      <c r="CA697" t="str">
        <f>IF($BY697="","",IFERROR(INDEX(_REF_Treatment_Library!$I$2:$I$296,MATCH($BY697,_REF_Treatment_Library!$A$2:$A$296,0)),""))</f>
        <v>Establish baseline controls for Backup / recovery</v>
      </c>
      <c r="CB697" t="str">
        <f>IF($BY697="","",IFERROR(INDEX(_REF_Treatment_Library!$K$2:$K$296,MATCH($BY697,_REF_Treatment_Library!$A$2:$A$296,0)),""))</f>
        <v>Named owner, baseline process, minimum control checklist, first evidence package</v>
      </c>
      <c r="CC697" t="str">
        <f>IF($BY697="","",IFERROR(INDEX(_REF_Treatment_Library!$L$2:$L$296,MATCH($BY697,_REF_Treatment_Library!$A$2:$A$296,0)),""))</f>
        <v>Owner assigned; baseline evidence coverage; open critical gaps</v>
      </c>
      <c r="CD697" t="str">
        <f t="shared" si="146"/>
        <v>Treatment by capability=CAP_BACKUP_RECOVERY; band=Initial / absent; score=0.0; treatment=Establish</v>
      </c>
      <c r="CE697" t="str">
        <f>IF($E697="","",IFERROR(INDEX(_REF_Industry_Wording!$A$2:$A$70,MATCH(1,INDEX((_REF_Industry_Wording!$B$2:$B$70=$BT697)*(_REF_Industry_Wording!$C$2:$C$70=PV_Canonical_Industry)*(_REF_Industry_Wording!$K$2:$K$70="Yes"),0),0)),IFERROR(INDEX(_REF_Industry_Wording!$A$2:$A$70,MATCH(1,INDEX((_REF_Industry_Wording!$B$2:$B$70=$BT697)*(_REF_Industry_Wording!$C$2:$C$70="All")*(_REF_Industry_Wording!$K$2:$K$70="Yes"),0),0)),"")))</f>
        <v>IW-ALL-BACKUP_RECOVERY</v>
      </c>
      <c r="CF697" t="str">
        <f>IF($CE697="","",IFERROR(INDEX(_REF_Industry_Wording!$E$2:$E$70,MATCH($CE697,_REF_Industry_Wording!$A$2:$A$70,0)),""))</f>
        <v>Backup / recovery weakness</v>
      </c>
      <c r="CG697" t="str">
        <f>IF($CE697="","",IFERROR(INDEX(_REF_Industry_Wording!$F$2:$F$70,MATCH($CE697,_REF_Industry_Wording!$A$2:$A$70,0)),""))</f>
        <v>Strengthen Backup / recovery</v>
      </c>
      <c r="CH697" t="str">
        <f>IF($CE697="","",IFERROR(INDEX(_REF_Industry_Wording!$G$2:$G$70,MATCH($CE697,_REF_Industry_Wording!$A$2:$A$70,0)),""))</f>
        <v>Strengthen Backup / recovery using the selected maturity treatment, crisis scenario and evidence requirements.</v>
      </c>
      <c r="CI697" t="str">
        <f>IF($CE697="","",IFERROR(INDEX(_REF_Industry_Wording!$H$2:$H$70,MATCH($CE697,_REF_Industry_Wording!$A$2:$A$70,0)),""))</f>
        <v>Backup / recovery</v>
      </c>
      <c r="CJ697">
        <f>IF($CE697="","",IFERROR(INDEX(_REF_Industry_Wording!$I$2:$I$70,MATCH($CE697,_REF_Industry_Wording!$A$2:$A$70,0)),""))</f>
        <v>0</v>
      </c>
      <c r="CK697" t="str">
        <f>IF($CE697="","",IFERROR(INDEX(_REF_Industry_Wording!$J$2:$J$70,MATCH($CE697,_REF_Industry_Wording!$A$2:$A$70,0)),""))</f>
        <v>Backup / recovery</v>
      </c>
      <c r="CL697" t="str">
        <f t="shared" si="147"/>
        <v>Wording by industry=0; capability=CAP_BACKUP_RECOVERY; risk label=Backup / recovery weakness</v>
      </c>
      <c r="CM697" t="str">
        <f t="shared" si="148"/>
        <v>RISK-ONT-0198</v>
      </c>
      <c r="CN697" t="str">
        <f t="shared" si="149"/>
        <v>RISK-EVT-0198</v>
      </c>
      <c r="CO697" t="str">
        <f t="shared" si="150"/>
        <v>Supply Chain|Supply chain design|SUPP-003|CAP_BACKUP_RECOVERY</v>
      </c>
      <c r="CP697" t="str">
        <f t="shared" si="151"/>
        <v>Active</v>
      </c>
      <c r="CQ697" t="str">
        <f t="shared" si="152"/>
        <v>OK: capability-driven</v>
      </c>
      <c r="CR697" t="str">
        <f t="shared" si="153"/>
        <v>Risk ontology uses capability=CAP_BACKUP_RECOVERY; bridge=BRG-092; treatment=TRT-BACKUP_RECOVERY-INITIAL; wording=IW-ALL-BACKUP_RECOVERY</v>
      </c>
      <c r="CS697" t="str">
        <f t="shared" si="154"/>
        <v>Yes</v>
      </c>
    </row>
    <row r="698" spans="1:97" ht="69.900000000000006" customHeight="1">
      <c r="A698">
        <f>IF(OR($B698&lt;&gt;"Yes",$BS698=""),"",SUMPRODUCT(($B$500:$B$923="Yes")*ISNUMBER($BS$500:$BS$923)*($BS$500:$BS$923&gt;$BS698))+COUNTIFS($B$500:$B698,"Yes",$BS$500:$BS698,$BS698))</f>
        <v>83</v>
      </c>
      <c r="B698" t="str">
        <f t="shared" si="123"/>
        <v>Yes</v>
      </c>
      <c r="C698" t="s">
        <v>1987</v>
      </c>
      <c r="D698" t="s">
        <v>1989</v>
      </c>
      <c r="E698" t="s">
        <v>2003</v>
      </c>
      <c r="F698" t="s">
        <v>3687</v>
      </c>
      <c r="G698" t="str">
        <f>IF($H698="","",IFERROR(INDEX(_ENGINE_Risk!$H$5:$M$499,MATCH($E698,_ENGINE_Risk!$A$5:$A$499,0),$H698+1),""))</f>
        <v>Severe risk: supplier concentration by spend, dependency, category, geography and product line is not reliably controlled. During Supplier/logistics disruption; Manufacturing disruption; Demand shock, the organization may face supplier failure, logistics disruption, inventory shortages and production or delivery delays with limited visibility or accountability.</v>
      </c>
      <c r="H698">
        <f>IFERROR(VALUE(INDEX(_DATA_Assessment_Model!$H$5:$H$884,MATCH($E698,_DATA_Assessment_Model!$A$5:$A$884,0))),"")</f>
        <v>0</v>
      </c>
      <c r="I698" t="str">
        <f>IF($H698="","",IFERROR(INDEX(_DATA_Assessment_Model!$L$5:$L$884,MATCH($E698,_DATA_Assessment_Model!$A$5:$A$884,0)),IF($H698&lt;=1,"Critical",IF($H698=2,"High",IF($H698=3,"Medium",IF($H698=4,"Low","Resilient"))))))</f>
        <v>Critical</v>
      </c>
      <c r="J698">
        <f t="shared" si="124"/>
        <v>3.7</v>
      </c>
      <c r="K698">
        <f t="shared" si="125"/>
        <v>4.5</v>
      </c>
      <c r="L698">
        <f t="shared" si="126"/>
        <v>16.650000000000002</v>
      </c>
      <c r="M698">
        <f t="shared" si="127"/>
        <v>4</v>
      </c>
      <c r="N698">
        <f>IF($H698="","",IFERROR(INDEX(_ENGINE_Risk!$T$5:$Y$499,MATCH($E698,_ENGINE_Risk!$A$5:$A$499,0),$H698+1),""))</f>
        <v>4</v>
      </c>
      <c r="O698">
        <f t="shared" si="128"/>
        <v>4.666666666666667</v>
      </c>
      <c r="P698">
        <f t="shared" si="129"/>
        <v>5</v>
      </c>
      <c r="Q698">
        <f t="shared" si="130"/>
        <v>5</v>
      </c>
      <c r="R698">
        <f t="shared" si="131"/>
        <v>4.5</v>
      </c>
      <c r="S698">
        <f t="shared" si="132"/>
        <v>1.2</v>
      </c>
      <c r="T698" t="str">
        <f>IF($H698="","",IFERROR(INDEX(_ENGINE_Risk!$N$5:$S$499,MATCH($E698,_ENGINE_Risk!$A$5:$A$499,0),$H698+1),""))</f>
        <v>Create an immediate risk owner, minimum control baseline and fallback procedure for supplier concentration by spend, dependency, category, geography and product line. Add it to the crisis risk register and collect first evidence.</v>
      </c>
      <c r="U698">
        <f>IFERROR(INDEX(_DATA_Assessment_Model!$G$5:$G$884,MATCH($E698,_DATA_Assessment_Model!$A$5:$A$884,0)),"")</f>
        <v>5</v>
      </c>
      <c r="V698">
        <f>IFERROR(INDEX(_DATA_Assessment_Model!$W$5:$W$884,MATCH($E698,_DATA_Assessment_Model!$A$5:$A$884,0)),"")</f>
        <v>4</v>
      </c>
      <c r="W698">
        <f>IFERROR(INDEX(_DATA_Assessment_Model!$X$5:$X$884,MATCH($E698,_DATA_Assessment_Model!$A$5:$A$884,0)),"")</f>
        <v>5</v>
      </c>
      <c r="X698">
        <f>IFERROR(INDEX(_DATA_Assessment_Model!$Y$5:$Y$884,MATCH($E698,_DATA_Assessment_Model!$A$5:$A$884,0)),"")</f>
        <v>5</v>
      </c>
      <c r="Y698" t="s">
        <v>1994</v>
      </c>
      <c r="Z698" t="s">
        <v>7365</v>
      </c>
      <c r="AA698" t="s">
        <v>2005</v>
      </c>
      <c r="AB698">
        <f>IFERROR(INDEX(_DATA_Assessment_Model!$U$5:$U$884,MATCH($E698,_DATA_Assessment_Model!$A$5:$A$884,0)),"")</f>
        <v>0</v>
      </c>
      <c r="AF698" t="s">
        <v>2004</v>
      </c>
      <c r="AO698">
        <f>IF($B698="Yes",IF(IFERROR(INDEX(_ENGINE_Crisis!$F$501:$F$517,MATCH($C698,_ENGINE_Crisis!$A$501:$A$517,0)),1)=0,1,IFERROR(INDEX(_ENGINE_Crisis!$F$501:$F$517,MATCH($C698,_ENGINE_Crisis!$A$501:$A$517,0)),1)),"")</f>
        <v>1</v>
      </c>
      <c r="AP698">
        <f t="shared" si="133"/>
        <v>16.7</v>
      </c>
      <c r="AQ698">
        <f t="shared" si="134"/>
        <v>1.2</v>
      </c>
      <c r="AR698" t="str">
        <f>IFERROR(INDEX(_ENGINE_Crisis!$E$41:$E$700,MATCH('Resilience &amp; Risk Scenario'!$B$6&amp;"|"&amp;$C698,_ENGINE_Crisis!$I$41:$I$700,0)),"")</f>
        <v/>
      </c>
      <c r="AS698" t="str">
        <f>IFERROR(INDEX(_ENGINE_Crisis!$G$41:$G$700,MATCH('Resilience &amp; Risk Scenario'!$B$6&amp;"|"&amp;$C698,_ENGINE_Crisis!$I$41:$I$700,0)),"")</f>
        <v/>
      </c>
      <c r="AT698" t="str">
        <f>IFERROR(INDEX(_ENGINE_Initiatives!$A$5:$A$532,MATCH(1,INDEX((_ENGINE_Initiatives!$B$5:$B$532=$C698)*(_ENGINE_Initiatives!$C$5:$C$532=$D698),0),0)),"")</f>
        <v>INI-032</v>
      </c>
      <c r="AU698" t="str">
        <f>IFERROR(INDEX(_ENGINE_Initiatives!$F$5:$F$532,MATCH(1,INDEX((_ENGINE_Initiatives!$B$5:$B$532=$C698)*(_ENGINE_Initiatives!$C$5:$C$532=$D698),0),0)),"")</f>
        <v>Redesign supply chain for resilience and alternative sourcing</v>
      </c>
      <c r="AV698">
        <f>IFERROR(INDEX(_ENGINE_Initiatives!$AC$5:$AC$532,MATCH(1,INDEX((_ENGINE_Initiatives!$B$5:$B$532=$C698)*(_ENGINE_Initiatives!$C$5:$C$532=$D698),0),0)),"")</f>
        <v>1.81</v>
      </c>
      <c r="AW698" t="str">
        <f>IFERROR(INDEX(_ENGINE_Initiatives!$AE$5:$AE$532,MATCH(1,INDEX((_ENGINE_Initiatives!$B$5:$B$532=$C698)*(_ENGINE_Initiatives!$C$5:$C$532=$D698),0),0)),"")</f>
        <v>3-6 months</v>
      </c>
      <c r="AX698">
        <f>IF($B698="Yes",IFERROR((IF(SUMIFS(_REF_Model_Content!$E$1:$E$613,_REF_Model_Content!$A$1:$A$613,PV_Canonical_Industry,_REF_Model_Content!$B$1:$B$613,$C698)=0,1,SUMIFS(_REF_Model_Content!$E$1:$E$613,_REF_Model_Content!$A$1:$A$613,PV_Canonical_Industry,_REF_Model_Content!$B$1:$B$613,$C698))*IFERROR($BU698,1)),1),"")</f>
        <v>1</v>
      </c>
      <c r="AY698">
        <f t="shared" si="135"/>
        <v>16.7</v>
      </c>
      <c r="AZ698">
        <f t="shared" si="136"/>
        <v>1.2</v>
      </c>
      <c r="BB698" t="str">
        <f>IF($H698="","",IFERROR(INDEX(_ENGINE_Risk!$AE$5:$AE$499,MATCH($E698,_ENGINE_Risk!$A$5:$A$499,0)),"Medium"))</f>
        <v>Fast</v>
      </c>
      <c r="BC698">
        <f t="shared" si="137"/>
        <v>1.25</v>
      </c>
      <c r="BD698">
        <f t="shared" si="138"/>
        <v>1.2</v>
      </c>
      <c r="BF698">
        <f>IF(OR($H698="",$J698=""),"",IFERROR(VLOOKUP(ROUND($J698,0),_CONFIG_Model_Settings!$D$154:$E$158,2,0),""))</f>
        <v>0.5</v>
      </c>
      <c r="BG698">
        <f>IFERROR(IF(OR($H698="",$K698=""),"",ROUND('Company Profile'!$B$113*INDEX(_CONFIG_Model_Settings!$H$154:$H$158,MATCH(ROUND($K698,0),_CONFIG_Model_Settings!$G$154:$G$158,0)),0)),0)</f>
        <v>1875</v>
      </c>
      <c r="BH698">
        <f t="shared" si="139"/>
        <v>937.5</v>
      </c>
      <c r="BI698">
        <f t="shared" si="140"/>
        <v>937.5</v>
      </c>
      <c r="BJ698">
        <f>IF($E698="","",IFERROR(VLOOKUP($C698,_CONFIG_Risk_Calibration!$A$5:$H$21,2,FALSE),3))</f>
        <v>3</v>
      </c>
      <c r="BK698">
        <f>IF($E698="","",IFERROR(VLOOKUP($C698,_CONFIG_Risk_Calibration!$A$5:$H$21,3,FALSE),0))</f>
        <v>0</v>
      </c>
      <c r="BL698">
        <f>IF($E698="","",IFERROR(VLOOKUP($C698,_CONFIG_Risk_Calibration!$A$5:$H$21,4,FALSE),3))</f>
        <v>3</v>
      </c>
      <c r="BM698">
        <f>IF($E698="","",IFERROR(VLOOKUP($C698,_CONFIG_Risk_Calibration!$A$5:$H$21,5,FALSE),3))</f>
        <v>4</v>
      </c>
      <c r="BN698" t="str">
        <f>IF($E698="","",IFERROR(VLOOKUP($C698,_CONFIG_Risk_Calibration!$A$5:$H$21,6,FALSE),"No"))</f>
        <v>No</v>
      </c>
      <c r="BO698">
        <f>IF($E698="","",IFERROR(VLOOKUP($C698,_CONFIG_Risk_Calibration!$A$5:$H$21,7,FALSE),1))</f>
        <v>1</v>
      </c>
      <c r="BP698">
        <f>IF($H698="","",MAX(1,MIN(5,((6-$H698)*0.45)+($BJ698*0.2)+('Resilience &amp; Risk Scenario'!$B$7*0.15)+($BK698*0.1)+($BL698*0.05)+(IF($BB698="Fast",5,IF($BB698="Slow",1,3))*0.05))))</f>
        <v>3.7</v>
      </c>
      <c r="BQ698">
        <f t="shared" si="141"/>
        <v>4.5</v>
      </c>
      <c r="BR698">
        <f t="shared" si="142"/>
        <v>16.649999999999999</v>
      </c>
      <c r="BS698">
        <f t="shared" si="143"/>
        <v>22.89</v>
      </c>
      <c r="BT698" t="str">
        <f>IFERROR(INDEX(_REF_Capability_Bridge!$D:$D,MATCH($C698&amp;"|"&amp;$D698,_REF_Capability_Bridge!$J:$J,0)),IFERROR(INDEX(_REF_Capability_Bridge!$D:$D,MATCH($C698&amp;"|",_REF_Capability_Bridge!$J:$J,0)),"CAP_GENERIC"))</f>
        <v>CAP_BACKUP_RECOVERY</v>
      </c>
      <c r="BU698">
        <f>IFERROR(IFERROR(INDEX(_ENGINE_Relevance!$L:$L,MATCH($BT698,_ENGINE_Relevance!$B:$B,0)),1),1)</f>
        <v>1</v>
      </c>
      <c r="BV698" t="str">
        <f>IFERROR(INDEX(_REF_Capability_Bridge!$A:$A,MATCH($C698&amp;"|"&amp;$D698,_REF_Capability_Bridge!$J:$J,0)),IFERROR(INDEX(_REF_Capability_Bridge!$A:$A,MATCH($C698&amp;"|",_REF_Capability_Bridge!$J:$J,0)),"No bridge"))</f>
        <v>BRG-092</v>
      </c>
      <c r="BW698" t="str">
        <f t="shared" si="144"/>
        <v>Capability relevance neutral</v>
      </c>
      <c r="BX698" t="str">
        <f t="shared" si="145"/>
        <v>Initial / absent</v>
      </c>
      <c r="BY698" t="str">
        <f>IF($E698="","",IFERROR(INDEX(_REF_Treatment_Library!$A$2:$A$296,MATCH(1,INDEX((_REF_Treatment_Library!$B$2:$B$296=$BT698)*(_REF_Treatment_Library!$C$2:$C$296=PV_Canonical_Industry)*(_REF_Treatment_Library!$E$2:$E$296&lt;=N($H698))*(_REF_Treatment_Library!$F$2:$F$296&gt;=N($H698))*(_REF_Treatment_Library!$O$2:$O$296="Yes"),0),0)),IFERROR(INDEX(_REF_Treatment_Library!$A$2:$A$296,MATCH(1,INDEX((_REF_Treatment_Library!$B$2:$B$296=$BT698)*(_REF_Treatment_Library!$C$2:$C$296="All")*(_REF_Treatment_Library!$E$2:$E$296&lt;=N($H698))*(_REF_Treatment_Library!$F$2:$F$296&gt;=N($H698))*(_REF_Treatment_Library!$O$2:$O$296="Yes"),0),0)),"")))</f>
        <v>TRT-BACKUP_RECOVERY-INITIAL</v>
      </c>
      <c r="BZ698" t="str">
        <f>IF($BY698="","",IFERROR(INDEX(_REF_Treatment_Library!$H$2:$H$296,MATCH($BY698,_REF_Treatment_Library!$A$2:$A$296,0)),""))</f>
        <v>Establish</v>
      </c>
      <c r="CA698" t="str">
        <f>IF($BY698="","",IFERROR(INDEX(_REF_Treatment_Library!$I$2:$I$296,MATCH($BY698,_REF_Treatment_Library!$A$2:$A$296,0)),""))</f>
        <v>Establish baseline controls for Backup / recovery</v>
      </c>
      <c r="CB698" t="str">
        <f>IF($BY698="","",IFERROR(INDEX(_REF_Treatment_Library!$K$2:$K$296,MATCH($BY698,_REF_Treatment_Library!$A$2:$A$296,0)),""))</f>
        <v>Named owner, baseline process, minimum control checklist, first evidence package</v>
      </c>
      <c r="CC698" t="str">
        <f>IF($BY698="","",IFERROR(INDEX(_REF_Treatment_Library!$L$2:$L$296,MATCH($BY698,_REF_Treatment_Library!$A$2:$A$296,0)),""))</f>
        <v>Owner assigned; baseline evidence coverage; open critical gaps</v>
      </c>
      <c r="CD698" t="str">
        <f t="shared" si="146"/>
        <v>Treatment by capability=CAP_BACKUP_RECOVERY; band=Initial / absent; score=0.0; treatment=Establish</v>
      </c>
      <c r="CE698" t="str">
        <f>IF($E698="","",IFERROR(INDEX(_REF_Industry_Wording!$A$2:$A$70,MATCH(1,INDEX((_REF_Industry_Wording!$B$2:$B$70=$BT698)*(_REF_Industry_Wording!$C$2:$C$70=PV_Canonical_Industry)*(_REF_Industry_Wording!$K$2:$K$70="Yes"),0),0)),IFERROR(INDEX(_REF_Industry_Wording!$A$2:$A$70,MATCH(1,INDEX((_REF_Industry_Wording!$B$2:$B$70=$BT698)*(_REF_Industry_Wording!$C$2:$C$70="All")*(_REF_Industry_Wording!$K$2:$K$70="Yes"),0),0)),"")))</f>
        <v>IW-ALL-BACKUP_RECOVERY</v>
      </c>
      <c r="CF698" t="str">
        <f>IF($CE698="","",IFERROR(INDEX(_REF_Industry_Wording!$E$2:$E$70,MATCH($CE698,_REF_Industry_Wording!$A$2:$A$70,0)),""))</f>
        <v>Backup / recovery weakness</v>
      </c>
      <c r="CG698" t="str">
        <f>IF($CE698="","",IFERROR(INDEX(_REF_Industry_Wording!$F$2:$F$70,MATCH($CE698,_REF_Industry_Wording!$A$2:$A$70,0)),""))</f>
        <v>Strengthen Backup / recovery</v>
      </c>
      <c r="CH698" t="str">
        <f>IF($CE698="","",IFERROR(INDEX(_REF_Industry_Wording!$G$2:$G$70,MATCH($CE698,_REF_Industry_Wording!$A$2:$A$70,0)),""))</f>
        <v>Strengthen Backup / recovery using the selected maturity treatment, crisis scenario and evidence requirements.</v>
      </c>
      <c r="CI698" t="str">
        <f>IF($CE698="","",IFERROR(INDEX(_REF_Industry_Wording!$H$2:$H$70,MATCH($CE698,_REF_Industry_Wording!$A$2:$A$70,0)),""))</f>
        <v>Backup / recovery</v>
      </c>
      <c r="CJ698">
        <f>IF($CE698="","",IFERROR(INDEX(_REF_Industry_Wording!$I$2:$I$70,MATCH($CE698,_REF_Industry_Wording!$A$2:$A$70,0)),""))</f>
        <v>0</v>
      </c>
      <c r="CK698" t="str">
        <f>IF($CE698="","",IFERROR(INDEX(_REF_Industry_Wording!$J$2:$J$70,MATCH($CE698,_REF_Industry_Wording!$A$2:$A$70,0)),""))</f>
        <v>Backup / recovery</v>
      </c>
      <c r="CL698" t="str">
        <f t="shared" si="147"/>
        <v>Wording by industry=0; capability=CAP_BACKUP_RECOVERY; risk label=Backup / recovery weakness</v>
      </c>
      <c r="CM698" t="str">
        <f t="shared" si="148"/>
        <v>RISK-ONT-0199</v>
      </c>
      <c r="CN698" t="str">
        <f t="shared" si="149"/>
        <v>RISK-EVT-0199</v>
      </c>
      <c r="CO698" t="str">
        <f t="shared" si="150"/>
        <v>Supply Chain|Supply chain design|SUPP-004|CAP_BACKUP_RECOVERY</v>
      </c>
      <c r="CP698" t="str">
        <f t="shared" si="151"/>
        <v>Active</v>
      </c>
      <c r="CQ698" t="str">
        <f t="shared" si="152"/>
        <v>OK: capability-driven</v>
      </c>
      <c r="CR698" t="str">
        <f t="shared" si="153"/>
        <v>Risk ontology uses capability=CAP_BACKUP_RECOVERY; bridge=BRG-092; treatment=TRT-BACKUP_RECOVERY-INITIAL; wording=IW-ALL-BACKUP_RECOVERY</v>
      </c>
      <c r="CS698" t="str">
        <f t="shared" si="154"/>
        <v>Yes</v>
      </c>
    </row>
    <row r="699" spans="1:97" ht="69.900000000000006" customHeight="1">
      <c r="A699">
        <f>IF(OR($B699&lt;&gt;"Yes",$BS699=""),"",SUMPRODUCT(($B$500:$B$923="Yes")*ISNUMBER($BS$500:$BS$923)*($BS$500:$BS$923&gt;$BS699))+COUNTIFS($B$500:$B699,"Yes",$BS$500:$BS699,$BS699))</f>
        <v>84</v>
      </c>
      <c r="B699" t="str">
        <f t="shared" si="123"/>
        <v>Yes</v>
      </c>
      <c r="C699" t="s">
        <v>1987</v>
      </c>
      <c r="D699" t="s">
        <v>1989</v>
      </c>
      <c r="E699" t="s">
        <v>2007</v>
      </c>
      <c r="F699" t="s">
        <v>3687</v>
      </c>
      <c r="G699" t="str">
        <f>IF($H699="","",IFERROR(INDEX(_ENGINE_Risk!$H$5:$M$499,MATCH($E699,_ENGINE_Risk!$A$5:$A$499,0),$H699+1),""))</f>
        <v>Severe risk: critical supplier continuity plans, recovery times and incident notification commitments is not reliably controlled. During Supplier/logistics disruption; Manufacturing disruption; Demand shock, the organization may face supplier failure, logistics disruption, inventory shortages and production or delivery delays with limited visibility or accountability.</v>
      </c>
      <c r="H699">
        <f>IFERROR(VALUE(INDEX(_DATA_Assessment_Model!$H$5:$H$884,MATCH($E699,_DATA_Assessment_Model!$A$5:$A$884,0))),"")</f>
        <v>0</v>
      </c>
      <c r="I699" t="str">
        <f>IF($H699="","",IFERROR(INDEX(_DATA_Assessment_Model!$L$5:$L$884,MATCH($E699,_DATA_Assessment_Model!$A$5:$A$884,0)),IF($H699&lt;=1,"Critical",IF($H699=2,"High",IF($H699=3,"Medium",IF($H699=4,"Low","Resilient"))))))</f>
        <v>Critical</v>
      </c>
      <c r="J699">
        <f t="shared" si="124"/>
        <v>3.7</v>
      </c>
      <c r="K699">
        <f t="shared" si="125"/>
        <v>4.5</v>
      </c>
      <c r="L699">
        <f t="shared" si="126"/>
        <v>16.650000000000002</v>
      </c>
      <c r="M699">
        <f t="shared" si="127"/>
        <v>4</v>
      </c>
      <c r="N699">
        <f>IF($H699="","",IFERROR(INDEX(_ENGINE_Risk!$T$5:$Y$499,MATCH($E699,_ENGINE_Risk!$A$5:$A$499,0),$H699+1),""))</f>
        <v>4</v>
      </c>
      <c r="O699">
        <f t="shared" si="128"/>
        <v>4.666666666666667</v>
      </c>
      <c r="P699">
        <f t="shared" si="129"/>
        <v>5</v>
      </c>
      <c r="Q699">
        <f t="shared" si="130"/>
        <v>5</v>
      </c>
      <c r="R699">
        <f t="shared" si="131"/>
        <v>4.5</v>
      </c>
      <c r="S699">
        <f t="shared" si="132"/>
        <v>1.2</v>
      </c>
      <c r="T699" t="str">
        <f>IF($H699="","",IFERROR(INDEX(_ENGINE_Risk!$N$5:$S$499,MATCH($E699,_ENGINE_Risk!$A$5:$A$499,0),$H699+1),""))</f>
        <v>Create an immediate risk owner, minimum control baseline and fallback procedure for critical supplier continuity plans, recovery times and incident notification commitments. Add it to the crisis risk register and collect first evidence.</v>
      </c>
      <c r="U699">
        <f>IFERROR(INDEX(_DATA_Assessment_Model!$G$5:$G$884,MATCH($E699,_DATA_Assessment_Model!$A$5:$A$884,0)),"")</f>
        <v>5</v>
      </c>
      <c r="V699">
        <f>IFERROR(INDEX(_DATA_Assessment_Model!$W$5:$W$884,MATCH($E699,_DATA_Assessment_Model!$A$5:$A$884,0)),"")</f>
        <v>4</v>
      </c>
      <c r="W699">
        <f>IFERROR(INDEX(_DATA_Assessment_Model!$X$5:$X$884,MATCH($E699,_DATA_Assessment_Model!$A$5:$A$884,0)),"")</f>
        <v>5</v>
      </c>
      <c r="X699">
        <f>IFERROR(INDEX(_DATA_Assessment_Model!$Y$5:$Y$884,MATCH($E699,_DATA_Assessment_Model!$A$5:$A$884,0)),"")</f>
        <v>5</v>
      </c>
      <c r="Y699" t="s">
        <v>1994</v>
      </c>
      <c r="Z699" t="s">
        <v>7365</v>
      </c>
      <c r="AA699" t="s">
        <v>2009</v>
      </c>
      <c r="AB699">
        <f>IFERROR(INDEX(_DATA_Assessment_Model!$U$5:$U$884,MATCH($E699,_DATA_Assessment_Model!$A$5:$A$884,0)),"")</f>
        <v>0</v>
      </c>
      <c r="AF699" t="s">
        <v>2008</v>
      </c>
      <c r="AO699">
        <f>IF($B699="Yes",IF(IFERROR(INDEX(_ENGINE_Crisis!$F$501:$F$517,MATCH($C699,_ENGINE_Crisis!$A$501:$A$517,0)),1)=0,1,IFERROR(INDEX(_ENGINE_Crisis!$F$501:$F$517,MATCH($C699,_ENGINE_Crisis!$A$501:$A$517,0)),1)),"")</f>
        <v>1</v>
      </c>
      <c r="AP699">
        <f t="shared" si="133"/>
        <v>16.7</v>
      </c>
      <c r="AQ699">
        <f t="shared" si="134"/>
        <v>1.2</v>
      </c>
      <c r="AR699" t="str">
        <f>IFERROR(INDEX(_ENGINE_Crisis!$E$41:$E$700,MATCH('Resilience &amp; Risk Scenario'!$B$6&amp;"|"&amp;$C699,_ENGINE_Crisis!$I$41:$I$700,0)),"")</f>
        <v/>
      </c>
      <c r="AS699" t="str">
        <f>IFERROR(INDEX(_ENGINE_Crisis!$G$41:$G$700,MATCH('Resilience &amp; Risk Scenario'!$B$6&amp;"|"&amp;$C699,_ENGINE_Crisis!$I$41:$I$700,0)),"")</f>
        <v/>
      </c>
      <c r="AT699" t="str">
        <f>IFERROR(INDEX(_ENGINE_Initiatives!$A$5:$A$532,MATCH(1,INDEX((_ENGINE_Initiatives!$B$5:$B$532=$C699)*(_ENGINE_Initiatives!$C$5:$C$532=$D699),0),0)),"")</f>
        <v>INI-032</v>
      </c>
      <c r="AU699" t="str">
        <f>IFERROR(INDEX(_ENGINE_Initiatives!$F$5:$F$532,MATCH(1,INDEX((_ENGINE_Initiatives!$B$5:$B$532=$C699)*(_ENGINE_Initiatives!$C$5:$C$532=$D699),0),0)),"")</f>
        <v>Redesign supply chain for resilience and alternative sourcing</v>
      </c>
      <c r="AV699">
        <f>IFERROR(INDEX(_ENGINE_Initiatives!$AC$5:$AC$532,MATCH(1,INDEX((_ENGINE_Initiatives!$B$5:$B$532=$C699)*(_ENGINE_Initiatives!$C$5:$C$532=$D699),0),0)),"")</f>
        <v>1.81</v>
      </c>
      <c r="AW699" t="str">
        <f>IFERROR(INDEX(_ENGINE_Initiatives!$AE$5:$AE$532,MATCH(1,INDEX((_ENGINE_Initiatives!$B$5:$B$532=$C699)*(_ENGINE_Initiatives!$C$5:$C$532=$D699),0),0)),"")</f>
        <v>3-6 months</v>
      </c>
      <c r="AX699">
        <f>IF($B699="Yes",IFERROR((IF(SUMIFS(_REF_Model_Content!$E$1:$E$613,_REF_Model_Content!$A$1:$A$613,PV_Canonical_Industry,_REF_Model_Content!$B$1:$B$613,$C699)=0,1,SUMIFS(_REF_Model_Content!$E$1:$E$613,_REF_Model_Content!$A$1:$A$613,PV_Canonical_Industry,_REF_Model_Content!$B$1:$B$613,$C699))*IFERROR($BU699,1)),1),"")</f>
        <v>1</v>
      </c>
      <c r="AY699">
        <f t="shared" si="135"/>
        <v>16.7</v>
      </c>
      <c r="AZ699">
        <f t="shared" si="136"/>
        <v>1.2</v>
      </c>
      <c r="BB699" t="str">
        <f>IF($H699="","",IFERROR(INDEX(_ENGINE_Risk!$AE$5:$AE$499,MATCH($E699,_ENGINE_Risk!$A$5:$A$499,0)),"Medium"))</f>
        <v>Fast</v>
      </c>
      <c r="BC699">
        <f t="shared" si="137"/>
        <v>1.25</v>
      </c>
      <c r="BD699">
        <f t="shared" si="138"/>
        <v>1.2</v>
      </c>
      <c r="BF699">
        <f>IF(OR($H699="",$J699=""),"",IFERROR(VLOOKUP(ROUND($J699,0),_CONFIG_Model_Settings!$D$154:$E$158,2,0),""))</f>
        <v>0.5</v>
      </c>
      <c r="BG699">
        <f>IFERROR(IF(OR($H699="",$K699=""),"",ROUND('Company Profile'!$B$113*INDEX(_CONFIG_Model_Settings!$H$154:$H$158,MATCH(ROUND($K699,0),_CONFIG_Model_Settings!$G$154:$G$158,0)),0)),0)</f>
        <v>1875</v>
      </c>
      <c r="BH699">
        <f t="shared" si="139"/>
        <v>937.5</v>
      </c>
      <c r="BI699">
        <f t="shared" si="140"/>
        <v>937.5</v>
      </c>
      <c r="BJ699">
        <f>IF($E699="","",IFERROR(VLOOKUP($C699,_CONFIG_Risk_Calibration!$A$5:$H$21,2,FALSE),3))</f>
        <v>3</v>
      </c>
      <c r="BK699">
        <f>IF($E699="","",IFERROR(VLOOKUP($C699,_CONFIG_Risk_Calibration!$A$5:$H$21,3,FALSE),0))</f>
        <v>0</v>
      </c>
      <c r="BL699">
        <f>IF($E699="","",IFERROR(VLOOKUP($C699,_CONFIG_Risk_Calibration!$A$5:$H$21,4,FALSE),3))</f>
        <v>3</v>
      </c>
      <c r="BM699">
        <f>IF($E699="","",IFERROR(VLOOKUP($C699,_CONFIG_Risk_Calibration!$A$5:$H$21,5,FALSE),3))</f>
        <v>4</v>
      </c>
      <c r="BN699" t="str">
        <f>IF($E699="","",IFERROR(VLOOKUP($C699,_CONFIG_Risk_Calibration!$A$5:$H$21,6,FALSE),"No"))</f>
        <v>No</v>
      </c>
      <c r="BO699">
        <f>IF($E699="","",IFERROR(VLOOKUP($C699,_CONFIG_Risk_Calibration!$A$5:$H$21,7,FALSE),1))</f>
        <v>1</v>
      </c>
      <c r="BP699">
        <f>IF($H699="","",MAX(1,MIN(5,((6-$H699)*0.45)+($BJ699*0.2)+('Resilience &amp; Risk Scenario'!$B$7*0.15)+($BK699*0.1)+($BL699*0.05)+(IF($BB699="Fast",5,IF($BB699="Slow",1,3))*0.05))))</f>
        <v>3.7</v>
      </c>
      <c r="BQ699">
        <f t="shared" si="141"/>
        <v>4.5</v>
      </c>
      <c r="BR699">
        <f t="shared" si="142"/>
        <v>16.649999999999999</v>
      </c>
      <c r="BS699">
        <f t="shared" si="143"/>
        <v>22.89</v>
      </c>
      <c r="BT699" t="str">
        <f>IFERROR(INDEX(_REF_Capability_Bridge!$D:$D,MATCH($C699&amp;"|"&amp;$D699,_REF_Capability_Bridge!$J:$J,0)),IFERROR(INDEX(_REF_Capability_Bridge!$D:$D,MATCH($C699&amp;"|",_REF_Capability_Bridge!$J:$J,0)),"CAP_GENERIC"))</f>
        <v>CAP_BACKUP_RECOVERY</v>
      </c>
      <c r="BU699">
        <f>IFERROR(IFERROR(INDEX(_ENGINE_Relevance!$L:$L,MATCH($BT699,_ENGINE_Relevance!$B:$B,0)),1),1)</f>
        <v>1</v>
      </c>
      <c r="BV699" t="str">
        <f>IFERROR(INDEX(_REF_Capability_Bridge!$A:$A,MATCH($C699&amp;"|"&amp;$D699,_REF_Capability_Bridge!$J:$J,0)),IFERROR(INDEX(_REF_Capability_Bridge!$A:$A,MATCH($C699&amp;"|",_REF_Capability_Bridge!$J:$J,0)),"No bridge"))</f>
        <v>BRG-092</v>
      </c>
      <c r="BW699" t="str">
        <f t="shared" si="144"/>
        <v>Capability relevance neutral</v>
      </c>
      <c r="BX699" t="str">
        <f t="shared" si="145"/>
        <v>Initial / absent</v>
      </c>
      <c r="BY699" t="str">
        <f>IF($E699="","",IFERROR(INDEX(_REF_Treatment_Library!$A$2:$A$296,MATCH(1,INDEX((_REF_Treatment_Library!$B$2:$B$296=$BT699)*(_REF_Treatment_Library!$C$2:$C$296=PV_Canonical_Industry)*(_REF_Treatment_Library!$E$2:$E$296&lt;=N($H699))*(_REF_Treatment_Library!$F$2:$F$296&gt;=N($H699))*(_REF_Treatment_Library!$O$2:$O$296="Yes"),0),0)),IFERROR(INDEX(_REF_Treatment_Library!$A$2:$A$296,MATCH(1,INDEX((_REF_Treatment_Library!$B$2:$B$296=$BT699)*(_REF_Treatment_Library!$C$2:$C$296="All")*(_REF_Treatment_Library!$E$2:$E$296&lt;=N($H699))*(_REF_Treatment_Library!$F$2:$F$296&gt;=N($H699))*(_REF_Treatment_Library!$O$2:$O$296="Yes"),0),0)),"")))</f>
        <v>TRT-BACKUP_RECOVERY-INITIAL</v>
      </c>
      <c r="BZ699" t="str">
        <f>IF($BY699="","",IFERROR(INDEX(_REF_Treatment_Library!$H$2:$H$296,MATCH($BY699,_REF_Treatment_Library!$A$2:$A$296,0)),""))</f>
        <v>Establish</v>
      </c>
      <c r="CA699" t="str">
        <f>IF($BY699="","",IFERROR(INDEX(_REF_Treatment_Library!$I$2:$I$296,MATCH($BY699,_REF_Treatment_Library!$A$2:$A$296,0)),""))</f>
        <v>Establish baseline controls for Backup / recovery</v>
      </c>
      <c r="CB699" t="str">
        <f>IF($BY699="","",IFERROR(INDEX(_REF_Treatment_Library!$K$2:$K$296,MATCH($BY699,_REF_Treatment_Library!$A$2:$A$296,0)),""))</f>
        <v>Named owner, baseline process, minimum control checklist, first evidence package</v>
      </c>
      <c r="CC699" t="str">
        <f>IF($BY699="","",IFERROR(INDEX(_REF_Treatment_Library!$L$2:$L$296,MATCH($BY699,_REF_Treatment_Library!$A$2:$A$296,0)),""))</f>
        <v>Owner assigned; baseline evidence coverage; open critical gaps</v>
      </c>
      <c r="CD699" t="str">
        <f t="shared" si="146"/>
        <v>Treatment by capability=CAP_BACKUP_RECOVERY; band=Initial / absent; score=0.0; treatment=Establish</v>
      </c>
      <c r="CE699" t="str">
        <f>IF($E699="","",IFERROR(INDEX(_REF_Industry_Wording!$A$2:$A$70,MATCH(1,INDEX((_REF_Industry_Wording!$B$2:$B$70=$BT699)*(_REF_Industry_Wording!$C$2:$C$70=PV_Canonical_Industry)*(_REF_Industry_Wording!$K$2:$K$70="Yes"),0),0)),IFERROR(INDEX(_REF_Industry_Wording!$A$2:$A$70,MATCH(1,INDEX((_REF_Industry_Wording!$B$2:$B$70=$BT699)*(_REF_Industry_Wording!$C$2:$C$70="All")*(_REF_Industry_Wording!$K$2:$K$70="Yes"),0),0)),"")))</f>
        <v>IW-ALL-BACKUP_RECOVERY</v>
      </c>
      <c r="CF699" t="str">
        <f>IF($CE699="","",IFERROR(INDEX(_REF_Industry_Wording!$E$2:$E$70,MATCH($CE699,_REF_Industry_Wording!$A$2:$A$70,0)),""))</f>
        <v>Backup / recovery weakness</v>
      </c>
      <c r="CG699" t="str">
        <f>IF($CE699="","",IFERROR(INDEX(_REF_Industry_Wording!$F$2:$F$70,MATCH($CE699,_REF_Industry_Wording!$A$2:$A$70,0)),""))</f>
        <v>Strengthen Backup / recovery</v>
      </c>
      <c r="CH699" t="str">
        <f>IF($CE699="","",IFERROR(INDEX(_REF_Industry_Wording!$G$2:$G$70,MATCH($CE699,_REF_Industry_Wording!$A$2:$A$70,0)),""))</f>
        <v>Strengthen Backup / recovery using the selected maturity treatment, crisis scenario and evidence requirements.</v>
      </c>
      <c r="CI699" t="str">
        <f>IF($CE699="","",IFERROR(INDEX(_REF_Industry_Wording!$H$2:$H$70,MATCH($CE699,_REF_Industry_Wording!$A$2:$A$70,0)),""))</f>
        <v>Backup / recovery</v>
      </c>
      <c r="CJ699">
        <f>IF($CE699="","",IFERROR(INDEX(_REF_Industry_Wording!$I$2:$I$70,MATCH($CE699,_REF_Industry_Wording!$A$2:$A$70,0)),""))</f>
        <v>0</v>
      </c>
      <c r="CK699" t="str">
        <f>IF($CE699="","",IFERROR(INDEX(_REF_Industry_Wording!$J$2:$J$70,MATCH($CE699,_REF_Industry_Wording!$A$2:$A$70,0)),""))</f>
        <v>Backup / recovery</v>
      </c>
      <c r="CL699" t="str">
        <f t="shared" si="147"/>
        <v>Wording by industry=0; capability=CAP_BACKUP_RECOVERY; risk label=Backup / recovery weakness</v>
      </c>
      <c r="CM699" t="str">
        <f t="shared" si="148"/>
        <v>RISK-ONT-0200</v>
      </c>
      <c r="CN699" t="str">
        <f t="shared" si="149"/>
        <v>RISK-EVT-0200</v>
      </c>
      <c r="CO699" t="str">
        <f t="shared" si="150"/>
        <v>Supply Chain|Supply chain design|SUPP-005|CAP_BACKUP_RECOVERY</v>
      </c>
      <c r="CP699" t="str">
        <f t="shared" si="151"/>
        <v>Active</v>
      </c>
      <c r="CQ699" t="str">
        <f t="shared" si="152"/>
        <v>OK: capability-driven</v>
      </c>
      <c r="CR699" t="str">
        <f t="shared" si="153"/>
        <v>Risk ontology uses capability=CAP_BACKUP_RECOVERY; bridge=BRG-092; treatment=TRT-BACKUP_RECOVERY-INITIAL; wording=IW-ALL-BACKUP_RECOVERY</v>
      </c>
      <c r="CS699" t="str">
        <f t="shared" si="154"/>
        <v>Yes</v>
      </c>
    </row>
    <row r="700" spans="1:97" ht="69.900000000000006" customHeight="1">
      <c r="A700">
        <f>IF(OR($B700&lt;&gt;"Yes",$BS700=""),"",SUMPRODUCT(($B$500:$B$923="Yes")*ISNUMBER($BS$500:$BS$923)*($BS$500:$BS$923&gt;$BS700))+COUNTIFS($B$500:$B700,"Yes",$BS$500:$BS700,$BS700))</f>
        <v>85</v>
      </c>
      <c r="B700" t="str">
        <f t="shared" si="123"/>
        <v>Yes</v>
      </c>
      <c r="C700" t="s">
        <v>1987</v>
      </c>
      <c r="D700" t="s">
        <v>1989</v>
      </c>
      <c r="E700" t="s">
        <v>2011</v>
      </c>
      <c r="F700" t="s">
        <v>3687</v>
      </c>
      <c r="G700" t="str">
        <f>IF($H700="","",IFERROR(INDEX(_ENGINE_Risk!$H$5:$M$499,MATCH($E700,_ENGINE_Risk!$A$5:$A$499,0),$H700+1),""))</f>
        <v>Severe risk: pre-qualified alternative suppliers for critical categories is not reliably controlled. During Supplier/logistics disruption; Manufacturing disruption; Demand shock, the organization may face supplier failure, logistics disruption, inventory shortages and production or delivery delays with limited visibility or accountability.</v>
      </c>
      <c r="H700">
        <f>IFERROR(VALUE(INDEX(_DATA_Assessment_Model!$H$5:$H$884,MATCH($E700,_DATA_Assessment_Model!$A$5:$A$884,0))),"")</f>
        <v>0</v>
      </c>
      <c r="I700" t="str">
        <f>IF($H700="","",IFERROR(INDEX(_DATA_Assessment_Model!$L$5:$L$884,MATCH($E700,_DATA_Assessment_Model!$A$5:$A$884,0)),IF($H700&lt;=1,"Critical",IF($H700=2,"High",IF($H700=3,"Medium",IF($H700=4,"Low","Resilient"))))))</f>
        <v>Critical</v>
      </c>
      <c r="J700">
        <f t="shared" si="124"/>
        <v>3.7</v>
      </c>
      <c r="K700">
        <f t="shared" si="125"/>
        <v>4.5</v>
      </c>
      <c r="L700">
        <f t="shared" si="126"/>
        <v>16.650000000000002</v>
      </c>
      <c r="M700">
        <f t="shared" si="127"/>
        <v>4</v>
      </c>
      <c r="N700">
        <f>IF($H700="","",IFERROR(INDEX(_ENGINE_Risk!$T$5:$Y$499,MATCH($E700,_ENGINE_Risk!$A$5:$A$499,0),$H700+1),""))</f>
        <v>4</v>
      </c>
      <c r="O700">
        <f t="shared" si="128"/>
        <v>4.666666666666667</v>
      </c>
      <c r="P700">
        <f t="shared" si="129"/>
        <v>5</v>
      </c>
      <c r="Q700">
        <f t="shared" si="130"/>
        <v>5</v>
      </c>
      <c r="R700">
        <f t="shared" si="131"/>
        <v>4.5</v>
      </c>
      <c r="S700">
        <f t="shared" si="132"/>
        <v>1.2</v>
      </c>
      <c r="T700" t="str">
        <f>IF($H700="","",IFERROR(INDEX(_ENGINE_Risk!$N$5:$S$499,MATCH($E700,_ENGINE_Risk!$A$5:$A$499,0),$H700+1),""))</f>
        <v>Create an immediate risk owner, minimum control baseline and fallback procedure for pre-qualified alternative suppliers for critical categories. Add it to the crisis risk register and collect first evidence.</v>
      </c>
      <c r="U700">
        <f>IFERROR(INDEX(_DATA_Assessment_Model!$G$5:$G$884,MATCH($E700,_DATA_Assessment_Model!$A$5:$A$884,0)),"")</f>
        <v>5</v>
      </c>
      <c r="V700">
        <f>IFERROR(INDEX(_DATA_Assessment_Model!$W$5:$W$884,MATCH($E700,_DATA_Assessment_Model!$A$5:$A$884,0)),"")</f>
        <v>4</v>
      </c>
      <c r="W700">
        <f>IFERROR(INDEX(_DATA_Assessment_Model!$X$5:$X$884,MATCH($E700,_DATA_Assessment_Model!$A$5:$A$884,0)),"")</f>
        <v>5</v>
      </c>
      <c r="X700">
        <f>IFERROR(INDEX(_DATA_Assessment_Model!$Y$5:$Y$884,MATCH($E700,_DATA_Assessment_Model!$A$5:$A$884,0)),"")</f>
        <v>5</v>
      </c>
      <c r="Y700" t="s">
        <v>1994</v>
      </c>
      <c r="Z700" t="s">
        <v>7365</v>
      </c>
      <c r="AA700" t="s">
        <v>2013</v>
      </c>
      <c r="AB700">
        <f>IFERROR(INDEX(_DATA_Assessment_Model!$U$5:$U$884,MATCH($E700,_DATA_Assessment_Model!$A$5:$A$884,0)),"")</f>
        <v>0</v>
      </c>
      <c r="AF700" t="s">
        <v>2012</v>
      </c>
      <c r="AO700">
        <f>IF($B700="Yes",IF(IFERROR(INDEX(_ENGINE_Crisis!$F$501:$F$517,MATCH($C700,_ENGINE_Crisis!$A$501:$A$517,0)),1)=0,1,IFERROR(INDEX(_ENGINE_Crisis!$F$501:$F$517,MATCH($C700,_ENGINE_Crisis!$A$501:$A$517,0)),1)),"")</f>
        <v>1</v>
      </c>
      <c r="AP700">
        <f t="shared" si="133"/>
        <v>16.7</v>
      </c>
      <c r="AQ700">
        <f t="shared" si="134"/>
        <v>1.2</v>
      </c>
      <c r="AR700" t="str">
        <f>IFERROR(INDEX(_ENGINE_Crisis!$E$41:$E$700,MATCH('Resilience &amp; Risk Scenario'!$B$6&amp;"|"&amp;$C700,_ENGINE_Crisis!$I$41:$I$700,0)),"")</f>
        <v/>
      </c>
      <c r="AS700" t="str">
        <f>IFERROR(INDEX(_ENGINE_Crisis!$G$41:$G$700,MATCH('Resilience &amp; Risk Scenario'!$B$6&amp;"|"&amp;$C700,_ENGINE_Crisis!$I$41:$I$700,0)),"")</f>
        <v/>
      </c>
      <c r="AT700" t="str">
        <f>IFERROR(INDEX(_ENGINE_Initiatives!$A$5:$A$532,MATCH(1,INDEX((_ENGINE_Initiatives!$B$5:$B$532=$C700)*(_ENGINE_Initiatives!$C$5:$C$532=$D700),0),0)),"")</f>
        <v>INI-032</v>
      </c>
      <c r="AU700" t="str">
        <f>IFERROR(INDEX(_ENGINE_Initiatives!$F$5:$F$532,MATCH(1,INDEX((_ENGINE_Initiatives!$B$5:$B$532=$C700)*(_ENGINE_Initiatives!$C$5:$C$532=$D700),0),0)),"")</f>
        <v>Redesign supply chain for resilience and alternative sourcing</v>
      </c>
      <c r="AV700">
        <f>IFERROR(INDEX(_ENGINE_Initiatives!$AC$5:$AC$532,MATCH(1,INDEX((_ENGINE_Initiatives!$B$5:$B$532=$C700)*(_ENGINE_Initiatives!$C$5:$C$532=$D700),0),0)),"")</f>
        <v>1.81</v>
      </c>
      <c r="AW700" t="str">
        <f>IFERROR(INDEX(_ENGINE_Initiatives!$AE$5:$AE$532,MATCH(1,INDEX((_ENGINE_Initiatives!$B$5:$B$532=$C700)*(_ENGINE_Initiatives!$C$5:$C$532=$D700),0),0)),"")</f>
        <v>3-6 months</v>
      </c>
      <c r="AX700">
        <f>IF($B700="Yes",IFERROR((IF(SUMIFS(_REF_Model_Content!$E$1:$E$613,_REF_Model_Content!$A$1:$A$613,PV_Canonical_Industry,_REF_Model_Content!$B$1:$B$613,$C700)=0,1,SUMIFS(_REF_Model_Content!$E$1:$E$613,_REF_Model_Content!$A$1:$A$613,PV_Canonical_Industry,_REF_Model_Content!$B$1:$B$613,$C700))*IFERROR($BU700,1)),1),"")</f>
        <v>1</v>
      </c>
      <c r="AY700">
        <f t="shared" si="135"/>
        <v>16.7</v>
      </c>
      <c r="AZ700">
        <f t="shared" si="136"/>
        <v>1.2</v>
      </c>
      <c r="BB700" t="str">
        <f>IF($H700="","",IFERROR(INDEX(_ENGINE_Risk!$AE$5:$AE$499,MATCH($E700,_ENGINE_Risk!$A$5:$A$499,0)),"Medium"))</f>
        <v>Fast</v>
      </c>
      <c r="BC700">
        <f t="shared" si="137"/>
        <v>1.25</v>
      </c>
      <c r="BD700">
        <f t="shared" si="138"/>
        <v>1.2</v>
      </c>
      <c r="BF700">
        <f>IF(OR($H700="",$J700=""),"",IFERROR(VLOOKUP(ROUND($J700,0),_CONFIG_Model_Settings!$D$154:$E$158,2,0),""))</f>
        <v>0.5</v>
      </c>
      <c r="BG700">
        <f>IFERROR(IF(OR($H700="",$K700=""),"",ROUND('Company Profile'!$B$113*INDEX(_CONFIG_Model_Settings!$H$154:$H$158,MATCH(ROUND($K700,0),_CONFIG_Model_Settings!$G$154:$G$158,0)),0)),0)</f>
        <v>1875</v>
      </c>
      <c r="BH700">
        <f t="shared" si="139"/>
        <v>937.5</v>
      </c>
      <c r="BI700">
        <f t="shared" si="140"/>
        <v>937.5</v>
      </c>
      <c r="BJ700">
        <f>IF($E700="","",IFERROR(VLOOKUP($C700,_CONFIG_Risk_Calibration!$A$5:$H$21,2,FALSE),3))</f>
        <v>3</v>
      </c>
      <c r="BK700">
        <f>IF($E700="","",IFERROR(VLOOKUP($C700,_CONFIG_Risk_Calibration!$A$5:$H$21,3,FALSE),0))</f>
        <v>0</v>
      </c>
      <c r="BL700">
        <f>IF($E700="","",IFERROR(VLOOKUP($C700,_CONFIG_Risk_Calibration!$A$5:$H$21,4,FALSE),3))</f>
        <v>3</v>
      </c>
      <c r="BM700">
        <f>IF($E700="","",IFERROR(VLOOKUP($C700,_CONFIG_Risk_Calibration!$A$5:$H$21,5,FALSE),3))</f>
        <v>4</v>
      </c>
      <c r="BN700" t="str">
        <f>IF($E700="","",IFERROR(VLOOKUP($C700,_CONFIG_Risk_Calibration!$A$5:$H$21,6,FALSE),"No"))</f>
        <v>No</v>
      </c>
      <c r="BO700">
        <f>IF($E700="","",IFERROR(VLOOKUP($C700,_CONFIG_Risk_Calibration!$A$5:$H$21,7,FALSE),1))</f>
        <v>1</v>
      </c>
      <c r="BP700">
        <f>IF($H700="","",MAX(1,MIN(5,((6-$H700)*0.45)+($BJ700*0.2)+('Resilience &amp; Risk Scenario'!$B$7*0.15)+($BK700*0.1)+($BL700*0.05)+(IF($BB700="Fast",5,IF($BB700="Slow",1,3))*0.05))))</f>
        <v>3.7</v>
      </c>
      <c r="BQ700">
        <f t="shared" si="141"/>
        <v>4.5</v>
      </c>
      <c r="BR700">
        <f t="shared" si="142"/>
        <v>16.649999999999999</v>
      </c>
      <c r="BS700">
        <f t="shared" si="143"/>
        <v>22.89</v>
      </c>
      <c r="BT700" t="str">
        <f>IFERROR(INDEX(_REF_Capability_Bridge!$D:$D,MATCH($C700&amp;"|"&amp;$D700,_REF_Capability_Bridge!$J:$J,0)),IFERROR(INDEX(_REF_Capability_Bridge!$D:$D,MATCH($C700&amp;"|",_REF_Capability_Bridge!$J:$J,0)),"CAP_GENERIC"))</f>
        <v>CAP_BACKUP_RECOVERY</v>
      </c>
      <c r="BU700">
        <f>IFERROR(IFERROR(INDEX(_ENGINE_Relevance!$L:$L,MATCH($BT700,_ENGINE_Relevance!$B:$B,0)),1),1)</f>
        <v>1</v>
      </c>
      <c r="BV700" t="str">
        <f>IFERROR(INDEX(_REF_Capability_Bridge!$A:$A,MATCH($C700&amp;"|"&amp;$D700,_REF_Capability_Bridge!$J:$J,0)),IFERROR(INDEX(_REF_Capability_Bridge!$A:$A,MATCH($C700&amp;"|",_REF_Capability_Bridge!$J:$J,0)),"No bridge"))</f>
        <v>BRG-092</v>
      </c>
      <c r="BW700" t="str">
        <f t="shared" si="144"/>
        <v>Capability relevance neutral</v>
      </c>
      <c r="BX700" t="str">
        <f t="shared" si="145"/>
        <v>Initial / absent</v>
      </c>
      <c r="BY700" t="str">
        <f>IF($E700="","",IFERROR(INDEX(_REF_Treatment_Library!$A$2:$A$296,MATCH(1,INDEX((_REF_Treatment_Library!$B$2:$B$296=$BT700)*(_REF_Treatment_Library!$C$2:$C$296=PV_Canonical_Industry)*(_REF_Treatment_Library!$E$2:$E$296&lt;=N($H700))*(_REF_Treatment_Library!$F$2:$F$296&gt;=N($H700))*(_REF_Treatment_Library!$O$2:$O$296="Yes"),0),0)),IFERROR(INDEX(_REF_Treatment_Library!$A$2:$A$296,MATCH(1,INDEX((_REF_Treatment_Library!$B$2:$B$296=$BT700)*(_REF_Treatment_Library!$C$2:$C$296="All")*(_REF_Treatment_Library!$E$2:$E$296&lt;=N($H700))*(_REF_Treatment_Library!$F$2:$F$296&gt;=N($H700))*(_REF_Treatment_Library!$O$2:$O$296="Yes"),0),0)),"")))</f>
        <v>TRT-BACKUP_RECOVERY-INITIAL</v>
      </c>
      <c r="BZ700" t="str">
        <f>IF($BY700="","",IFERROR(INDEX(_REF_Treatment_Library!$H$2:$H$296,MATCH($BY700,_REF_Treatment_Library!$A$2:$A$296,0)),""))</f>
        <v>Establish</v>
      </c>
      <c r="CA700" t="str">
        <f>IF($BY700="","",IFERROR(INDEX(_REF_Treatment_Library!$I$2:$I$296,MATCH($BY700,_REF_Treatment_Library!$A$2:$A$296,0)),""))</f>
        <v>Establish baseline controls for Backup / recovery</v>
      </c>
      <c r="CB700" t="str">
        <f>IF($BY700="","",IFERROR(INDEX(_REF_Treatment_Library!$K$2:$K$296,MATCH($BY700,_REF_Treatment_Library!$A$2:$A$296,0)),""))</f>
        <v>Named owner, baseline process, minimum control checklist, first evidence package</v>
      </c>
      <c r="CC700" t="str">
        <f>IF($BY700="","",IFERROR(INDEX(_REF_Treatment_Library!$L$2:$L$296,MATCH($BY700,_REF_Treatment_Library!$A$2:$A$296,0)),""))</f>
        <v>Owner assigned; baseline evidence coverage; open critical gaps</v>
      </c>
      <c r="CD700" t="str">
        <f t="shared" si="146"/>
        <v>Treatment by capability=CAP_BACKUP_RECOVERY; band=Initial / absent; score=0.0; treatment=Establish</v>
      </c>
      <c r="CE700" t="str">
        <f>IF($E700="","",IFERROR(INDEX(_REF_Industry_Wording!$A$2:$A$70,MATCH(1,INDEX((_REF_Industry_Wording!$B$2:$B$70=$BT700)*(_REF_Industry_Wording!$C$2:$C$70=PV_Canonical_Industry)*(_REF_Industry_Wording!$K$2:$K$70="Yes"),0),0)),IFERROR(INDEX(_REF_Industry_Wording!$A$2:$A$70,MATCH(1,INDEX((_REF_Industry_Wording!$B$2:$B$70=$BT700)*(_REF_Industry_Wording!$C$2:$C$70="All")*(_REF_Industry_Wording!$K$2:$K$70="Yes"),0),0)),"")))</f>
        <v>IW-ALL-BACKUP_RECOVERY</v>
      </c>
      <c r="CF700" t="str">
        <f>IF($CE700="","",IFERROR(INDEX(_REF_Industry_Wording!$E$2:$E$70,MATCH($CE700,_REF_Industry_Wording!$A$2:$A$70,0)),""))</f>
        <v>Backup / recovery weakness</v>
      </c>
      <c r="CG700" t="str">
        <f>IF($CE700="","",IFERROR(INDEX(_REF_Industry_Wording!$F$2:$F$70,MATCH($CE700,_REF_Industry_Wording!$A$2:$A$70,0)),""))</f>
        <v>Strengthen Backup / recovery</v>
      </c>
      <c r="CH700" t="str">
        <f>IF($CE700="","",IFERROR(INDEX(_REF_Industry_Wording!$G$2:$G$70,MATCH($CE700,_REF_Industry_Wording!$A$2:$A$70,0)),""))</f>
        <v>Strengthen Backup / recovery using the selected maturity treatment, crisis scenario and evidence requirements.</v>
      </c>
      <c r="CI700" t="str">
        <f>IF($CE700="","",IFERROR(INDEX(_REF_Industry_Wording!$H$2:$H$70,MATCH($CE700,_REF_Industry_Wording!$A$2:$A$70,0)),""))</f>
        <v>Backup / recovery</v>
      </c>
      <c r="CJ700">
        <f>IF($CE700="","",IFERROR(INDEX(_REF_Industry_Wording!$I$2:$I$70,MATCH($CE700,_REF_Industry_Wording!$A$2:$A$70,0)),""))</f>
        <v>0</v>
      </c>
      <c r="CK700" t="str">
        <f>IF($CE700="","",IFERROR(INDEX(_REF_Industry_Wording!$J$2:$J$70,MATCH($CE700,_REF_Industry_Wording!$A$2:$A$70,0)),""))</f>
        <v>Backup / recovery</v>
      </c>
      <c r="CL700" t="str">
        <f t="shared" si="147"/>
        <v>Wording by industry=0; capability=CAP_BACKUP_RECOVERY; risk label=Backup / recovery weakness</v>
      </c>
      <c r="CM700" t="str">
        <f t="shared" si="148"/>
        <v>RISK-ONT-0201</v>
      </c>
      <c r="CN700" t="str">
        <f t="shared" si="149"/>
        <v>RISK-EVT-0201</v>
      </c>
      <c r="CO700" t="str">
        <f t="shared" si="150"/>
        <v>Supply Chain|Supply chain design|SUPP-006|CAP_BACKUP_RECOVERY</v>
      </c>
      <c r="CP700" t="str">
        <f t="shared" si="151"/>
        <v>Active</v>
      </c>
      <c r="CQ700" t="str">
        <f t="shared" si="152"/>
        <v>OK: capability-driven</v>
      </c>
      <c r="CR700" t="str">
        <f t="shared" si="153"/>
        <v>Risk ontology uses capability=CAP_BACKUP_RECOVERY; bridge=BRG-092; treatment=TRT-BACKUP_RECOVERY-INITIAL; wording=IW-ALL-BACKUP_RECOVERY</v>
      </c>
      <c r="CS700" t="str">
        <f t="shared" si="154"/>
        <v>Yes</v>
      </c>
    </row>
    <row r="701" spans="1:97" ht="69.900000000000006" customHeight="1">
      <c r="A701">
        <f>IF(OR($B701&lt;&gt;"Yes",$BS701=""),"",SUMPRODUCT(($B$500:$B$923="Yes")*ISNUMBER($BS$500:$BS$923)*($BS$500:$BS$923&gt;$BS701))+COUNTIFS($B$500:$B701,"Yes",$BS$500:$BS701,$BS701))</f>
        <v>416</v>
      </c>
      <c r="B701" t="str">
        <f t="shared" si="123"/>
        <v>Yes</v>
      </c>
      <c r="C701" t="s">
        <v>1987</v>
      </c>
      <c r="D701" t="s">
        <v>1998</v>
      </c>
      <c r="E701" t="s">
        <v>2014</v>
      </c>
      <c r="F701" t="s">
        <v>3687</v>
      </c>
      <c r="G701" t="str">
        <f>IF($H701="","",IFERROR(INDEX(_ENGINE_Risk!$H$5:$M$499,MATCH($E701,_ENGINE_Risk!$A$5:$A$499,0),$H701+1),""))</f>
        <v>Severe risk: critical logistics routes, carriers, ports, borders, warehouses and transit risks is not reliably controlled. During Supplier/logistics disruption; Manufacturing disruption; Demand shock, the organization may face supplier failure, logistics disruption, inventory shortages and production or delivery delays with limited visibility or accountability.</v>
      </c>
      <c r="H701">
        <f>IFERROR(VALUE(INDEX(_DATA_Assessment_Model!$H$5:$H$884,MATCH($E701,_DATA_Assessment_Model!$A$5:$A$884,0))),"")</f>
        <v>0</v>
      </c>
      <c r="I701" t="str">
        <f>IF($H701="","",IFERROR(INDEX(_DATA_Assessment_Model!$L$5:$L$884,MATCH($E701,_DATA_Assessment_Model!$A$5:$A$884,0)),IF($H701&lt;=1,"Critical",IF($H701=2,"High",IF($H701=3,"Medium",IF($H701=4,"Low","Resilient"))))))</f>
        <v>Critical</v>
      </c>
      <c r="J701">
        <f t="shared" si="124"/>
        <v>3.7</v>
      </c>
      <c r="K701">
        <f t="shared" si="125"/>
        <v>4.5</v>
      </c>
      <c r="L701">
        <f t="shared" si="126"/>
        <v>16.650000000000002</v>
      </c>
      <c r="M701">
        <f t="shared" si="127"/>
        <v>4</v>
      </c>
      <c r="N701">
        <f>IF($H701="","",IFERROR(INDEX(_ENGINE_Risk!$T$5:$Y$499,MATCH($E701,_ENGINE_Risk!$A$5:$A$499,0),$H701+1),""))</f>
        <v>4</v>
      </c>
      <c r="O701">
        <f t="shared" si="128"/>
        <v>4.666666666666667</v>
      </c>
      <c r="P701">
        <f t="shared" si="129"/>
        <v>5</v>
      </c>
      <c r="Q701">
        <f t="shared" si="130"/>
        <v>5</v>
      </c>
      <c r="R701">
        <f t="shared" si="131"/>
        <v>4.5</v>
      </c>
      <c r="S701">
        <f t="shared" si="132"/>
        <v>1.2</v>
      </c>
      <c r="T701" t="str">
        <f>IF($H701="","",IFERROR(INDEX(_ENGINE_Risk!$N$5:$S$499,MATCH($E701,_ENGINE_Risk!$A$5:$A$499,0),$H701+1),""))</f>
        <v>Create an immediate risk owner, minimum control baseline and fallback procedure for critical logistics routes, carriers, ports, borders, warehouses and transit risks. Add it to the crisis risk register and collect first evidence.</v>
      </c>
      <c r="U701">
        <f>IFERROR(INDEX(_DATA_Assessment_Model!$G$5:$G$884,MATCH($E701,_DATA_Assessment_Model!$A$5:$A$884,0)),"")</f>
        <v>5</v>
      </c>
      <c r="V701">
        <f>IFERROR(INDEX(_DATA_Assessment_Model!$W$5:$W$884,MATCH($E701,_DATA_Assessment_Model!$A$5:$A$884,0)),"")</f>
        <v>4</v>
      </c>
      <c r="W701">
        <f>IFERROR(INDEX(_DATA_Assessment_Model!$X$5:$X$884,MATCH($E701,_DATA_Assessment_Model!$A$5:$A$884,0)),"")</f>
        <v>5</v>
      </c>
      <c r="X701">
        <f>IFERROR(INDEX(_DATA_Assessment_Model!$Y$5:$Y$884,MATCH($E701,_DATA_Assessment_Model!$A$5:$A$884,0)),"")</f>
        <v>5</v>
      </c>
      <c r="Y701" t="s">
        <v>1994</v>
      </c>
      <c r="Z701" t="s">
        <v>7365</v>
      </c>
      <c r="AA701" t="s">
        <v>2016</v>
      </c>
      <c r="AB701">
        <f>IFERROR(INDEX(_DATA_Assessment_Model!$U$5:$U$884,MATCH($E701,_DATA_Assessment_Model!$A$5:$A$884,0)),"")</f>
        <v>0</v>
      </c>
      <c r="AF701" t="s">
        <v>2015</v>
      </c>
      <c r="AO701">
        <f>IF($B701="Yes",IF(IFERROR(INDEX(_ENGINE_Crisis!$F$501:$F$517,MATCH($C701,_ENGINE_Crisis!$A$501:$A$517,0)),1)=0,1,IFERROR(INDEX(_ENGINE_Crisis!$F$501:$F$517,MATCH($C701,_ENGINE_Crisis!$A$501:$A$517,0)),1)),"")</f>
        <v>1</v>
      </c>
      <c r="AP701">
        <f t="shared" si="133"/>
        <v>16.7</v>
      </c>
      <c r="AQ701">
        <f t="shared" si="134"/>
        <v>1.2</v>
      </c>
      <c r="AR701" t="str">
        <f>IFERROR(INDEX(_ENGINE_Crisis!$E$41:$E$700,MATCH('Resilience &amp; Risk Scenario'!$B$6&amp;"|"&amp;$C701,_ENGINE_Crisis!$I$41:$I$700,0)),"")</f>
        <v/>
      </c>
      <c r="AS701" t="str">
        <f>IFERROR(INDEX(_ENGINE_Crisis!$G$41:$G$700,MATCH('Resilience &amp; Risk Scenario'!$B$6&amp;"|"&amp;$C701,_ENGINE_Crisis!$I$41:$I$700,0)),"")</f>
        <v/>
      </c>
      <c r="AT701" t="str">
        <f>IFERROR(INDEX(_ENGINE_Initiatives!$A$5:$A$532,MATCH(1,INDEX((_ENGINE_Initiatives!$B$5:$B$532=$C701)*(_ENGINE_Initiatives!$C$5:$C$532=$D701),0),0)),"")</f>
        <v>INI-033</v>
      </c>
      <c r="AU701" t="str">
        <f>IFERROR(INDEX(_ENGINE_Initiatives!$F$5:$F$532,MATCH(1,INDEX((_ENGINE_Initiatives!$B$5:$B$532=$C701)*(_ENGINE_Initiatives!$C$5:$C$532=$D701),0),0)),"")</f>
        <v>Build logistics continuity and transport fallback options</v>
      </c>
      <c r="AV701">
        <f>IFERROR(INDEX(_ENGINE_Initiatives!$AC$5:$AC$532,MATCH(1,INDEX((_ENGINE_Initiatives!$B$5:$B$532=$C701)*(_ENGINE_Initiatives!$C$5:$C$532=$D701),0),0)),"")</f>
        <v>1.68</v>
      </c>
      <c r="AW701" t="str">
        <f>IFERROR(INDEX(_ENGINE_Initiatives!$AE$5:$AE$532,MATCH(1,INDEX((_ENGINE_Initiatives!$B$5:$B$532=$C701)*(_ENGINE_Initiatives!$C$5:$C$532=$D701),0),0)),"")</f>
        <v>6-12 months</v>
      </c>
      <c r="AX701">
        <f>IF($B701="Yes",IFERROR((IF(SUMIFS(_REF_Model_Content!$E$1:$E$613,_REF_Model_Content!$A$1:$A$613,PV_Canonical_Industry,_REF_Model_Content!$B$1:$B$613,$C701)=0,1,SUMIFS(_REF_Model_Content!$E$1:$E$613,_REF_Model_Content!$A$1:$A$613,PV_Canonical_Industry,_REF_Model_Content!$B$1:$B$613,$C701))*IFERROR($BU701,1)),1),"")</f>
        <v>0.4</v>
      </c>
      <c r="AY701">
        <f t="shared" si="135"/>
        <v>6.68</v>
      </c>
      <c r="AZ701">
        <f t="shared" si="136"/>
        <v>0.48</v>
      </c>
      <c r="BB701" t="str">
        <f>IF($H701="","",IFERROR(INDEX(_ENGINE_Risk!$AE$5:$AE$499,MATCH($E701,_ENGINE_Risk!$A$5:$A$499,0)),"Medium"))</f>
        <v>Fast</v>
      </c>
      <c r="BC701">
        <f t="shared" si="137"/>
        <v>1.25</v>
      </c>
      <c r="BD701">
        <f t="shared" si="138"/>
        <v>0.48</v>
      </c>
      <c r="BF701">
        <f>IF(OR($H701="",$J701=""),"",IFERROR(VLOOKUP(ROUND($J701,0),_CONFIG_Model_Settings!$D$154:$E$158,2,0),""))</f>
        <v>0.5</v>
      </c>
      <c r="BG701">
        <f>IFERROR(IF(OR($H701="",$K701=""),"",ROUND('Company Profile'!$B$113*INDEX(_CONFIG_Model_Settings!$H$154:$H$158,MATCH(ROUND($K701,0),_CONFIG_Model_Settings!$G$154:$G$158,0)),0)),0)</f>
        <v>1875</v>
      </c>
      <c r="BH701">
        <f t="shared" si="139"/>
        <v>937.5</v>
      </c>
      <c r="BI701">
        <f t="shared" si="140"/>
        <v>937.5</v>
      </c>
      <c r="BJ701">
        <f>IF($E701="","",IFERROR(VLOOKUP($C701,_CONFIG_Risk_Calibration!$A$5:$H$21,2,FALSE),3))</f>
        <v>3</v>
      </c>
      <c r="BK701">
        <f>IF($E701="","",IFERROR(VLOOKUP($C701,_CONFIG_Risk_Calibration!$A$5:$H$21,3,FALSE),0))</f>
        <v>0</v>
      </c>
      <c r="BL701">
        <f>IF($E701="","",IFERROR(VLOOKUP($C701,_CONFIG_Risk_Calibration!$A$5:$H$21,4,FALSE),3))</f>
        <v>3</v>
      </c>
      <c r="BM701">
        <f>IF($E701="","",IFERROR(VLOOKUP($C701,_CONFIG_Risk_Calibration!$A$5:$H$21,5,FALSE),3))</f>
        <v>4</v>
      </c>
      <c r="BN701" t="str">
        <f>IF($E701="","",IFERROR(VLOOKUP($C701,_CONFIG_Risk_Calibration!$A$5:$H$21,6,FALSE),"No"))</f>
        <v>No</v>
      </c>
      <c r="BO701">
        <f>IF($E701="","",IFERROR(VLOOKUP($C701,_CONFIG_Risk_Calibration!$A$5:$H$21,7,FALSE),1))</f>
        <v>1</v>
      </c>
      <c r="BP701">
        <f>IF($H701="","",MAX(1,MIN(5,((6-$H701)*0.45)+($BJ701*0.2)+('Resilience &amp; Risk Scenario'!$B$7*0.15)+($BK701*0.1)+($BL701*0.05)+(IF($BB701="Fast",5,IF($BB701="Slow",1,3))*0.05))))</f>
        <v>3.7</v>
      </c>
      <c r="BQ701">
        <f t="shared" si="141"/>
        <v>4.5</v>
      </c>
      <c r="BR701">
        <f t="shared" si="142"/>
        <v>16.649999999999999</v>
      </c>
      <c r="BS701">
        <f t="shared" si="143"/>
        <v>9.16</v>
      </c>
      <c r="BT701" t="str">
        <f>IFERROR(INDEX(_REF_Capability_Bridge!$D:$D,MATCH($C701&amp;"|"&amp;$D701,_REF_Capability_Bridge!$J:$J,0)),IFERROR(INDEX(_REF_Capability_Bridge!$D:$D,MATCH($C701&amp;"|",_REF_Capability_Bridge!$J:$J,0)),"CAP_GENERIC"))</f>
        <v>CAP_WMS_WAREHOUSE</v>
      </c>
      <c r="BU701">
        <f>IFERROR(IFERROR(INDEX(_ENGINE_Relevance!$L:$L,MATCH($BT701,_ENGINE_Relevance!$B:$B,0)),1),1)</f>
        <v>0.4</v>
      </c>
      <c r="BV701" t="str">
        <f>IFERROR(INDEX(_REF_Capability_Bridge!$A:$A,MATCH($C701&amp;"|"&amp;$D701,_REF_Capability_Bridge!$J:$J,0)),IFERROR(INDEX(_REF_Capability_Bridge!$A:$A,MATCH($C701&amp;"|",_REF_Capability_Bridge!$J:$J,0)),"No bridge"))</f>
        <v>BRG-090</v>
      </c>
      <c r="BW701" t="str">
        <f t="shared" si="144"/>
        <v>Capability relevance lowers risk priority</v>
      </c>
      <c r="BX701" t="str">
        <f t="shared" si="145"/>
        <v>Initial / absent</v>
      </c>
      <c r="BY701" t="str">
        <f>IF($E701="","",IFERROR(INDEX(_REF_Treatment_Library!$A$2:$A$296,MATCH(1,INDEX((_REF_Treatment_Library!$B$2:$B$296=$BT701)*(_REF_Treatment_Library!$C$2:$C$296=PV_Canonical_Industry)*(_REF_Treatment_Library!$E$2:$E$296&lt;=N($H701))*(_REF_Treatment_Library!$F$2:$F$296&gt;=N($H701))*(_REF_Treatment_Library!$O$2:$O$296="Yes"),0),0)),IFERROR(INDEX(_REF_Treatment_Library!$A$2:$A$296,MATCH(1,INDEX((_REF_Treatment_Library!$B$2:$B$296=$BT701)*(_REF_Treatment_Library!$C$2:$C$296="All")*(_REF_Treatment_Library!$E$2:$E$296&lt;=N($H701))*(_REF_Treatment_Library!$F$2:$F$296&gt;=N($H701))*(_REF_Treatment_Library!$O$2:$O$296="Yes"),0),0)),"")))</f>
        <v>TRT-WMS_WAREHOUSE-INITIAL</v>
      </c>
      <c r="BZ701" t="str">
        <f>IF($BY701="","",IFERROR(INDEX(_REF_Treatment_Library!$H$2:$H$296,MATCH($BY701,_REF_Treatment_Library!$A$2:$A$296,0)),""))</f>
        <v>Establish</v>
      </c>
      <c r="CA701" t="str">
        <f>IF($BY701="","",IFERROR(INDEX(_REF_Treatment_Library!$I$2:$I$296,MATCH($BY701,_REF_Treatment_Library!$A$2:$A$296,0)),""))</f>
        <v>Establish baseline controls for Warehouse / WMS</v>
      </c>
      <c r="CB701" t="str">
        <f>IF($BY701="","",IFERROR(INDEX(_REF_Treatment_Library!$K$2:$K$296,MATCH($BY701,_REF_Treatment_Library!$A$2:$A$296,0)),""))</f>
        <v>Named owner, baseline process, minimum control checklist, first evidence package</v>
      </c>
      <c r="CC701" t="str">
        <f>IF($BY701="","",IFERROR(INDEX(_REF_Treatment_Library!$L$2:$L$296,MATCH($BY701,_REF_Treatment_Library!$A$2:$A$296,0)),""))</f>
        <v>Owner assigned; baseline evidence coverage; open critical gaps</v>
      </c>
      <c r="CD701" t="str">
        <f t="shared" si="146"/>
        <v>Treatment by capability=CAP_WMS_WAREHOUSE; band=Initial / absent; score=0.0; treatment=Establish</v>
      </c>
      <c r="CE701" t="str">
        <f>IF($E701="","",IFERROR(INDEX(_REF_Industry_Wording!$A$2:$A$70,MATCH(1,INDEX((_REF_Industry_Wording!$B$2:$B$70=$BT701)*(_REF_Industry_Wording!$C$2:$C$70=PV_Canonical_Industry)*(_REF_Industry_Wording!$K$2:$K$70="Yes"),0),0)),IFERROR(INDEX(_REF_Industry_Wording!$A$2:$A$70,MATCH(1,INDEX((_REF_Industry_Wording!$B$2:$B$70=$BT701)*(_REF_Industry_Wording!$C$2:$C$70="All")*(_REF_Industry_Wording!$K$2:$K$70="Yes"),0),0)),"")))</f>
        <v>IW-ALL-WMS_WAREHOUSE</v>
      </c>
      <c r="CF701" t="str">
        <f>IF($CE701="","",IFERROR(INDEX(_REF_Industry_Wording!$E$2:$E$70,MATCH($CE701,_REF_Industry_Wording!$A$2:$A$70,0)),""))</f>
        <v>Warehouse / WMS weakness</v>
      </c>
      <c r="CG701" t="str">
        <f>IF($CE701="","",IFERROR(INDEX(_REF_Industry_Wording!$F$2:$F$70,MATCH($CE701,_REF_Industry_Wording!$A$2:$A$70,0)),""))</f>
        <v>Strengthen Warehouse / WMS</v>
      </c>
      <c r="CH701" t="str">
        <f>IF($CE701="","",IFERROR(INDEX(_REF_Industry_Wording!$G$2:$G$70,MATCH($CE701,_REF_Industry_Wording!$A$2:$A$70,0)),""))</f>
        <v>Strengthen Warehouse / WMS using the selected maturity treatment, crisis scenario and evidence requirements.</v>
      </c>
      <c r="CI701" t="str">
        <f>IF($CE701="","",IFERROR(INDEX(_REF_Industry_Wording!$H$2:$H$70,MATCH($CE701,_REF_Industry_Wording!$A$2:$A$70,0)),""))</f>
        <v>Warehouse / WMS</v>
      </c>
      <c r="CJ701">
        <f>IF($CE701="","",IFERROR(INDEX(_REF_Industry_Wording!$I$2:$I$70,MATCH($CE701,_REF_Industry_Wording!$A$2:$A$70,0)),""))</f>
        <v>0</v>
      </c>
      <c r="CK701" t="str">
        <f>IF($CE701="","",IFERROR(INDEX(_REF_Industry_Wording!$J$2:$J$70,MATCH($CE701,_REF_Industry_Wording!$A$2:$A$70,0)),""))</f>
        <v>Warehouse / WMS</v>
      </c>
      <c r="CL701" t="str">
        <f t="shared" si="147"/>
        <v>Wording by industry=0; capability=CAP_WMS_WAREHOUSE; risk label=Warehouse / WMS weakness</v>
      </c>
      <c r="CM701" t="str">
        <f t="shared" si="148"/>
        <v>RISK-ONT-0202</v>
      </c>
      <c r="CN701" t="str">
        <f t="shared" si="149"/>
        <v>RISK-EVT-0202</v>
      </c>
      <c r="CO701" t="str">
        <f t="shared" si="150"/>
        <v>Supply Chain|Logistics|SUPP-007|CAP_WMS_WAREHOUSE</v>
      </c>
      <c r="CP701" t="str">
        <f t="shared" si="151"/>
        <v>Active</v>
      </c>
      <c r="CQ701" t="str">
        <f t="shared" si="152"/>
        <v>OK: capability-driven</v>
      </c>
      <c r="CR701" t="str">
        <f t="shared" si="153"/>
        <v>Risk ontology uses capability=CAP_WMS_WAREHOUSE; bridge=BRG-090; treatment=TRT-WMS_WAREHOUSE-INITIAL; wording=IW-ALL-WMS_WAREHOUSE</v>
      </c>
      <c r="CS701" t="str">
        <f t="shared" si="154"/>
        <v>Yes</v>
      </c>
    </row>
    <row r="702" spans="1:97" ht="69.900000000000006" customHeight="1">
      <c r="A702">
        <f>IF(OR($B702&lt;&gt;"Yes",$BS702=""),"",SUMPRODUCT(($B$500:$B$923="Yes")*ISNUMBER($BS$500:$BS$923)*($BS$500:$BS$923&gt;$BS702))+COUNTIFS($B$500:$B702,"Yes",$BS$500:$BS702,$BS702))</f>
        <v>422</v>
      </c>
      <c r="B702" t="str">
        <f t="shared" si="123"/>
        <v>Yes</v>
      </c>
      <c r="C702" t="s">
        <v>1987</v>
      </c>
      <c r="D702" t="s">
        <v>1998</v>
      </c>
      <c r="E702" t="s">
        <v>2017</v>
      </c>
      <c r="F702" t="s">
        <v>3687</v>
      </c>
      <c r="G702" t="str">
        <f>IF($H702="","",IFERROR(INDEX(_ENGINE_Risk!$H$5:$M$499,MATCH($E702,_ENGINE_Risk!$A$5:$A$499,0),$H702+1),""))</f>
        <v>Severe risk: alternative carriers, routes and warehouses for disruption scenarios is not reliably controlled. During Supplier/logistics disruption; Manufacturing disruption; Demand shock, the organization may face supplier failure, logistics disruption, inventory shortages and production or delivery delays with limited visibility or accountability.</v>
      </c>
      <c r="H702">
        <f>IFERROR(VALUE(INDEX(_DATA_Assessment_Model!$H$5:$H$884,MATCH($E702,_DATA_Assessment_Model!$A$5:$A$884,0))),"")</f>
        <v>0</v>
      </c>
      <c r="I702" t="str">
        <f>IF($H702="","",IFERROR(INDEX(_DATA_Assessment_Model!$L$5:$L$884,MATCH($E702,_DATA_Assessment_Model!$A$5:$A$884,0)),IF($H702&lt;=1,"Critical",IF($H702=2,"High",IF($H702=3,"Medium",IF($H702=4,"Low","Resilient"))))))</f>
        <v>Critical</v>
      </c>
      <c r="J702">
        <f t="shared" si="124"/>
        <v>3.7</v>
      </c>
      <c r="K702">
        <f t="shared" si="125"/>
        <v>4.0999999999999996</v>
      </c>
      <c r="L702">
        <f t="shared" si="126"/>
        <v>15.17</v>
      </c>
      <c r="M702">
        <f t="shared" si="127"/>
        <v>4</v>
      </c>
      <c r="N702">
        <f>IF($H702="","",IFERROR(INDEX(_ENGINE_Risk!$T$5:$Y$499,MATCH($E702,_ENGINE_Risk!$A$5:$A$499,0),$H702+1),""))</f>
        <v>4</v>
      </c>
      <c r="O702">
        <f t="shared" si="128"/>
        <v>4</v>
      </c>
      <c r="P702">
        <f t="shared" si="129"/>
        <v>5</v>
      </c>
      <c r="Q702">
        <f t="shared" si="130"/>
        <v>5</v>
      </c>
      <c r="R702">
        <f t="shared" si="131"/>
        <v>4.5</v>
      </c>
      <c r="S702">
        <f t="shared" si="132"/>
        <v>1.1599999999999999</v>
      </c>
      <c r="T702" t="str">
        <f>IF($H702="","",IFERROR(INDEX(_ENGINE_Risk!$N$5:$S$499,MATCH($E702,_ENGINE_Risk!$A$5:$A$499,0),$H702+1),""))</f>
        <v>Create an immediate risk owner, minimum control baseline and fallback procedure for alternative carriers, routes and warehouses for disruption scenarios. Add it to the crisis risk register and collect first evidence.</v>
      </c>
      <c r="U702">
        <f>IFERROR(INDEX(_DATA_Assessment_Model!$G$5:$G$884,MATCH($E702,_DATA_Assessment_Model!$A$5:$A$884,0)),"")</f>
        <v>3</v>
      </c>
      <c r="V702">
        <f>IFERROR(INDEX(_DATA_Assessment_Model!$W$5:$W$884,MATCH($E702,_DATA_Assessment_Model!$A$5:$A$884,0)),"")</f>
        <v>4</v>
      </c>
      <c r="W702">
        <f>IFERROR(INDEX(_DATA_Assessment_Model!$X$5:$X$884,MATCH($E702,_DATA_Assessment_Model!$A$5:$A$884,0)),"")</f>
        <v>5</v>
      </c>
      <c r="X702">
        <f>IFERROR(INDEX(_DATA_Assessment_Model!$Y$5:$Y$884,MATCH($E702,_DATA_Assessment_Model!$A$5:$A$884,0)),"")</f>
        <v>5</v>
      </c>
      <c r="Y702" t="s">
        <v>1994</v>
      </c>
      <c r="Z702" t="s">
        <v>7365</v>
      </c>
      <c r="AA702" t="s">
        <v>2019</v>
      </c>
      <c r="AB702">
        <f>IFERROR(INDEX(_DATA_Assessment_Model!$U$5:$U$884,MATCH($E702,_DATA_Assessment_Model!$A$5:$A$884,0)),"")</f>
        <v>0</v>
      </c>
      <c r="AF702" t="s">
        <v>2018</v>
      </c>
      <c r="AO702">
        <f>IF($B702="Yes",IF(IFERROR(INDEX(_ENGINE_Crisis!$F$501:$F$517,MATCH($C702,_ENGINE_Crisis!$A$501:$A$517,0)),1)=0,1,IFERROR(INDEX(_ENGINE_Crisis!$F$501:$F$517,MATCH($C702,_ENGINE_Crisis!$A$501:$A$517,0)),1)),"")</f>
        <v>1</v>
      </c>
      <c r="AP702">
        <f t="shared" si="133"/>
        <v>15.2</v>
      </c>
      <c r="AQ702">
        <f t="shared" si="134"/>
        <v>1.1599999999999999</v>
      </c>
      <c r="AR702" t="str">
        <f>IFERROR(INDEX(_ENGINE_Crisis!$E$41:$E$700,MATCH('Resilience &amp; Risk Scenario'!$B$6&amp;"|"&amp;$C702,_ENGINE_Crisis!$I$41:$I$700,0)),"")</f>
        <v/>
      </c>
      <c r="AS702" t="str">
        <f>IFERROR(INDEX(_ENGINE_Crisis!$G$41:$G$700,MATCH('Resilience &amp; Risk Scenario'!$B$6&amp;"|"&amp;$C702,_ENGINE_Crisis!$I$41:$I$700,0)),"")</f>
        <v/>
      </c>
      <c r="AT702" t="str">
        <f>IFERROR(INDEX(_ENGINE_Initiatives!$A$5:$A$532,MATCH(1,INDEX((_ENGINE_Initiatives!$B$5:$B$532=$C702)*(_ENGINE_Initiatives!$C$5:$C$532=$D702),0),0)),"")</f>
        <v>INI-033</v>
      </c>
      <c r="AU702" t="str">
        <f>IFERROR(INDEX(_ENGINE_Initiatives!$F$5:$F$532,MATCH(1,INDEX((_ENGINE_Initiatives!$B$5:$B$532=$C702)*(_ENGINE_Initiatives!$C$5:$C$532=$D702),0),0)),"")</f>
        <v>Build logistics continuity and transport fallback options</v>
      </c>
      <c r="AV702">
        <f>IFERROR(INDEX(_ENGINE_Initiatives!$AC$5:$AC$532,MATCH(1,INDEX((_ENGINE_Initiatives!$B$5:$B$532=$C702)*(_ENGINE_Initiatives!$C$5:$C$532=$D702),0),0)),"")</f>
        <v>1.68</v>
      </c>
      <c r="AW702" t="str">
        <f>IFERROR(INDEX(_ENGINE_Initiatives!$AE$5:$AE$532,MATCH(1,INDEX((_ENGINE_Initiatives!$B$5:$B$532=$C702)*(_ENGINE_Initiatives!$C$5:$C$532=$D702),0),0)),"")</f>
        <v>6-12 months</v>
      </c>
      <c r="AX702">
        <f>IF($B702="Yes",IFERROR((IF(SUMIFS(_REF_Model_Content!$E$1:$E$613,_REF_Model_Content!$A$1:$A$613,PV_Canonical_Industry,_REF_Model_Content!$B$1:$B$613,$C702)=0,1,SUMIFS(_REF_Model_Content!$E$1:$E$613,_REF_Model_Content!$A$1:$A$613,PV_Canonical_Industry,_REF_Model_Content!$B$1:$B$613,$C702))*IFERROR($BU702,1)),1),"")</f>
        <v>0.4</v>
      </c>
      <c r="AY702">
        <f t="shared" si="135"/>
        <v>6.08</v>
      </c>
      <c r="AZ702">
        <f t="shared" si="136"/>
        <v>0.46</v>
      </c>
      <c r="BB702" t="str">
        <f>IF($H702="","",IFERROR(INDEX(_ENGINE_Risk!$AE$5:$AE$499,MATCH($E702,_ENGINE_Risk!$A$5:$A$499,0)),"Medium"))</f>
        <v>Fast</v>
      </c>
      <c r="BC702">
        <f t="shared" si="137"/>
        <v>1.25</v>
      </c>
      <c r="BD702">
        <f t="shared" si="138"/>
        <v>0.46</v>
      </c>
      <c r="BF702">
        <f>IF(OR($H702="",$J702=""),"",IFERROR(VLOOKUP(ROUND($J702,0),_CONFIG_Model_Settings!$D$154:$E$158,2,0),""))</f>
        <v>0.5</v>
      </c>
      <c r="BG702">
        <f>IFERROR(IF(OR($H702="",$K702=""),"",ROUND('Company Profile'!$B$113*INDEX(_CONFIG_Model_Settings!$H$154:$H$158,MATCH(ROUND($K702,0),_CONFIG_Model_Settings!$G$154:$G$158,0)),0)),0)</f>
        <v>875</v>
      </c>
      <c r="BH702">
        <f t="shared" si="139"/>
        <v>437.5</v>
      </c>
      <c r="BI702">
        <f t="shared" si="140"/>
        <v>437.5</v>
      </c>
      <c r="BJ702">
        <f>IF($E702="","",IFERROR(VLOOKUP($C702,_CONFIG_Risk_Calibration!$A$5:$H$21,2,FALSE),3))</f>
        <v>3</v>
      </c>
      <c r="BK702">
        <f>IF($E702="","",IFERROR(VLOOKUP($C702,_CONFIG_Risk_Calibration!$A$5:$H$21,3,FALSE),0))</f>
        <v>0</v>
      </c>
      <c r="BL702">
        <f>IF($E702="","",IFERROR(VLOOKUP($C702,_CONFIG_Risk_Calibration!$A$5:$H$21,4,FALSE),3))</f>
        <v>3</v>
      </c>
      <c r="BM702">
        <f>IF($E702="","",IFERROR(VLOOKUP($C702,_CONFIG_Risk_Calibration!$A$5:$H$21,5,FALSE),3))</f>
        <v>4</v>
      </c>
      <c r="BN702" t="str">
        <f>IF($E702="","",IFERROR(VLOOKUP($C702,_CONFIG_Risk_Calibration!$A$5:$H$21,6,FALSE),"No"))</f>
        <v>No</v>
      </c>
      <c r="BO702">
        <f>IF($E702="","",IFERROR(VLOOKUP($C702,_CONFIG_Risk_Calibration!$A$5:$H$21,7,FALSE),1))</f>
        <v>1</v>
      </c>
      <c r="BP702">
        <f>IF($H702="","",MAX(1,MIN(5,((6-$H702)*0.45)+($BJ702*0.2)+('Resilience &amp; Risk Scenario'!$B$7*0.15)+($BK702*0.1)+($BL702*0.05)+(IF($BB702="Fast",5,IF($BB702="Slow",1,3))*0.05))))</f>
        <v>3.7</v>
      </c>
      <c r="BQ702">
        <f t="shared" si="141"/>
        <v>4.0999999999999996</v>
      </c>
      <c r="BR702">
        <f t="shared" si="142"/>
        <v>15.17</v>
      </c>
      <c r="BS702">
        <f t="shared" si="143"/>
        <v>8.34</v>
      </c>
      <c r="BT702" t="str">
        <f>IFERROR(INDEX(_REF_Capability_Bridge!$D:$D,MATCH($C702&amp;"|"&amp;$D702,_REF_Capability_Bridge!$J:$J,0)),IFERROR(INDEX(_REF_Capability_Bridge!$D:$D,MATCH($C702&amp;"|",_REF_Capability_Bridge!$J:$J,0)),"CAP_GENERIC"))</f>
        <v>CAP_WMS_WAREHOUSE</v>
      </c>
      <c r="BU702">
        <f>IFERROR(IFERROR(INDEX(_ENGINE_Relevance!$L:$L,MATCH($BT702,_ENGINE_Relevance!$B:$B,0)),1),1)</f>
        <v>0.4</v>
      </c>
      <c r="BV702" t="str">
        <f>IFERROR(INDEX(_REF_Capability_Bridge!$A:$A,MATCH($C702&amp;"|"&amp;$D702,_REF_Capability_Bridge!$J:$J,0)),IFERROR(INDEX(_REF_Capability_Bridge!$A:$A,MATCH($C702&amp;"|",_REF_Capability_Bridge!$J:$J,0)),"No bridge"))</f>
        <v>BRG-090</v>
      </c>
      <c r="BW702" t="str">
        <f t="shared" si="144"/>
        <v>Capability relevance lowers risk priority</v>
      </c>
      <c r="BX702" t="str">
        <f t="shared" si="145"/>
        <v>Initial / absent</v>
      </c>
      <c r="BY702" t="str">
        <f>IF($E702="","",IFERROR(INDEX(_REF_Treatment_Library!$A$2:$A$296,MATCH(1,INDEX((_REF_Treatment_Library!$B$2:$B$296=$BT702)*(_REF_Treatment_Library!$C$2:$C$296=PV_Canonical_Industry)*(_REF_Treatment_Library!$E$2:$E$296&lt;=N($H702))*(_REF_Treatment_Library!$F$2:$F$296&gt;=N($H702))*(_REF_Treatment_Library!$O$2:$O$296="Yes"),0),0)),IFERROR(INDEX(_REF_Treatment_Library!$A$2:$A$296,MATCH(1,INDEX((_REF_Treatment_Library!$B$2:$B$296=$BT702)*(_REF_Treatment_Library!$C$2:$C$296="All")*(_REF_Treatment_Library!$E$2:$E$296&lt;=N($H702))*(_REF_Treatment_Library!$F$2:$F$296&gt;=N($H702))*(_REF_Treatment_Library!$O$2:$O$296="Yes"),0),0)),"")))</f>
        <v>TRT-WMS_WAREHOUSE-INITIAL</v>
      </c>
      <c r="BZ702" t="str">
        <f>IF($BY702="","",IFERROR(INDEX(_REF_Treatment_Library!$H$2:$H$296,MATCH($BY702,_REF_Treatment_Library!$A$2:$A$296,0)),""))</f>
        <v>Establish</v>
      </c>
      <c r="CA702" t="str">
        <f>IF($BY702="","",IFERROR(INDEX(_REF_Treatment_Library!$I$2:$I$296,MATCH($BY702,_REF_Treatment_Library!$A$2:$A$296,0)),""))</f>
        <v>Establish baseline controls for Warehouse / WMS</v>
      </c>
      <c r="CB702" t="str">
        <f>IF($BY702="","",IFERROR(INDEX(_REF_Treatment_Library!$K$2:$K$296,MATCH($BY702,_REF_Treatment_Library!$A$2:$A$296,0)),""))</f>
        <v>Named owner, baseline process, minimum control checklist, first evidence package</v>
      </c>
      <c r="CC702" t="str">
        <f>IF($BY702="","",IFERROR(INDEX(_REF_Treatment_Library!$L$2:$L$296,MATCH($BY702,_REF_Treatment_Library!$A$2:$A$296,0)),""))</f>
        <v>Owner assigned; baseline evidence coverage; open critical gaps</v>
      </c>
      <c r="CD702" t="str">
        <f t="shared" si="146"/>
        <v>Treatment by capability=CAP_WMS_WAREHOUSE; band=Initial / absent; score=0.0; treatment=Establish</v>
      </c>
      <c r="CE702" t="str">
        <f>IF($E702="","",IFERROR(INDEX(_REF_Industry_Wording!$A$2:$A$70,MATCH(1,INDEX((_REF_Industry_Wording!$B$2:$B$70=$BT702)*(_REF_Industry_Wording!$C$2:$C$70=PV_Canonical_Industry)*(_REF_Industry_Wording!$K$2:$K$70="Yes"),0),0)),IFERROR(INDEX(_REF_Industry_Wording!$A$2:$A$70,MATCH(1,INDEX((_REF_Industry_Wording!$B$2:$B$70=$BT702)*(_REF_Industry_Wording!$C$2:$C$70="All")*(_REF_Industry_Wording!$K$2:$K$70="Yes"),0),0)),"")))</f>
        <v>IW-ALL-WMS_WAREHOUSE</v>
      </c>
      <c r="CF702" t="str">
        <f>IF($CE702="","",IFERROR(INDEX(_REF_Industry_Wording!$E$2:$E$70,MATCH($CE702,_REF_Industry_Wording!$A$2:$A$70,0)),""))</f>
        <v>Warehouse / WMS weakness</v>
      </c>
      <c r="CG702" t="str">
        <f>IF($CE702="","",IFERROR(INDEX(_REF_Industry_Wording!$F$2:$F$70,MATCH($CE702,_REF_Industry_Wording!$A$2:$A$70,0)),""))</f>
        <v>Strengthen Warehouse / WMS</v>
      </c>
      <c r="CH702" t="str">
        <f>IF($CE702="","",IFERROR(INDEX(_REF_Industry_Wording!$G$2:$G$70,MATCH($CE702,_REF_Industry_Wording!$A$2:$A$70,0)),""))</f>
        <v>Strengthen Warehouse / WMS using the selected maturity treatment, crisis scenario and evidence requirements.</v>
      </c>
      <c r="CI702" t="str">
        <f>IF($CE702="","",IFERROR(INDEX(_REF_Industry_Wording!$H$2:$H$70,MATCH($CE702,_REF_Industry_Wording!$A$2:$A$70,0)),""))</f>
        <v>Warehouse / WMS</v>
      </c>
      <c r="CJ702">
        <f>IF($CE702="","",IFERROR(INDEX(_REF_Industry_Wording!$I$2:$I$70,MATCH($CE702,_REF_Industry_Wording!$A$2:$A$70,0)),""))</f>
        <v>0</v>
      </c>
      <c r="CK702" t="str">
        <f>IF($CE702="","",IFERROR(INDEX(_REF_Industry_Wording!$J$2:$J$70,MATCH($CE702,_REF_Industry_Wording!$A$2:$A$70,0)),""))</f>
        <v>Warehouse / WMS</v>
      </c>
      <c r="CL702" t="str">
        <f t="shared" si="147"/>
        <v>Wording by industry=0; capability=CAP_WMS_WAREHOUSE; risk label=Warehouse / WMS weakness</v>
      </c>
      <c r="CM702" t="str">
        <f t="shared" si="148"/>
        <v>RISK-ONT-0203</v>
      </c>
      <c r="CN702" t="str">
        <f t="shared" si="149"/>
        <v>RISK-EVT-0203</v>
      </c>
      <c r="CO702" t="str">
        <f t="shared" si="150"/>
        <v>Supply Chain|Logistics|SUPP-008|CAP_WMS_WAREHOUSE</v>
      </c>
      <c r="CP702" t="str">
        <f t="shared" si="151"/>
        <v>Active</v>
      </c>
      <c r="CQ702" t="str">
        <f t="shared" si="152"/>
        <v>OK: capability-driven</v>
      </c>
      <c r="CR702" t="str">
        <f t="shared" si="153"/>
        <v>Risk ontology uses capability=CAP_WMS_WAREHOUSE; bridge=BRG-090; treatment=TRT-WMS_WAREHOUSE-INITIAL; wording=IW-ALL-WMS_WAREHOUSE</v>
      </c>
      <c r="CS702" t="str">
        <f t="shared" si="154"/>
        <v>Yes</v>
      </c>
    </row>
    <row r="703" spans="1:97" ht="69.900000000000006" customHeight="1">
      <c r="A703">
        <f>IF(OR($B703&lt;&gt;"Yes",$BS703=""),"",SUMPRODUCT(($B$500:$B$923="Yes")*ISNUMBER($BS$500:$BS$923)*($BS$500:$BS$923&gt;$BS703))+COUNTIFS($B$500:$B703,"Yes",$BS$500:$BS703,$BS703))</f>
        <v>423</v>
      </c>
      <c r="B703" t="str">
        <f t="shared" si="123"/>
        <v>Yes</v>
      </c>
      <c r="C703" t="s">
        <v>1987</v>
      </c>
      <c r="D703" t="s">
        <v>1998</v>
      </c>
      <c r="E703" t="s">
        <v>2026</v>
      </c>
      <c r="F703" t="s">
        <v>3687</v>
      </c>
      <c r="G703" t="str">
        <f>IF($H703="","",IFERROR(INDEX(_ENGINE_Risk!$H$5:$M$499,MATCH($E703,_ENGINE_Risk!$A$5:$A$499,0),$H703+1),""))</f>
        <v>Severe risk: transport capacity for peak demand or disruption periods is not reliably controlled. During Supplier/logistics disruption; Manufacturing disruption; Demand shock, the organization may face supplier failure, logistics disruption, inventory shortages and production or delivery delays with limited visibility or accountability.</v>
      </c>
      <c r="H703">
        <f>IFERROR(VALUE(INDEX(_DATA_Assessment_Model!$H$5:$H$884,MATCH($E703,_DATA_Assessment_Model!$A$5:$A$884,0))),"")</f>
        <v>0</v>
      </c>
      <c r="I703" t="str">
        <f>IF($H703="","",IFERROR(INDEX(_DATA_Assessment_Model!$L$5:$L$884,MATCH($E703,_DATA_Assessment_Model!$A$5:$A$884,0)),IF($H703&lt;=1,"Critical",IF($H703=2,"High",IF($H703=3,"Medium",IF($H703=4,"Low","Resilient"))))))</f>
        <v>Critical</v>
      </c>
      <c r="J703">
        <f t="shared" si="124"/>
        <v>3.7</v>
      </c>
      <c r="K703">
        <f t="shared" si="125"/>
        <v>4.0999999999999996</v>
      </c>
      <c r="L703">
        <f t="shared" si="126"/>
        <v>15.17</v>
      </c>
      <c r="M703">
        <f t="shared" si="127"/>
        <v>4</v>
      </c>
      <c r="N703">
        <f>IF($H703="","",IFERROR(INDEX(_ENGINE_Risk!$T$5:$Y$499,MATCH($E703,_ENGINE_Risk!$A$5:$A$499,0),$H703+1),""))</f>
        <v>4</v>
      </c>
      <c r="O703">
        <f t="shared" si="128"/>
        <v>4</v>
      </c>
      <c r="P703">
        <f t="shared" si="129"/>
        <v>5</v>
      </c>
      <c r="Q703">
        <f t="shared" si="130"/>
        <v>5</v>
      </c>
      <c r="R703">
        <f t="shared" si="131"/>
        <v>4.5</v>
      </c>
      <c r="S703">
        <f t="shared" si="132"/>
        <v>1.1599999999999999</v>
      </c>
      <c r="T703" t="str">
        <f>IF($H703="","",IFERROR(INDEX(_ENGINE_Risk!$N$5:$S$499,MATCH($E703,_ENGINE_Risk!$A$5:$A$499,0),$H703+1),""))</f>
        <v>Create an immediate risk owner, minimum control baseline and fallback procedure for transport capacity for peak demand or disruption periods. Add it to the crisis risk register and collect first evidence.</v>
      </c>
      <c r="U703">
        <f>IFERROR(INDEX(_DATA_Assessment_Model!$G$5:$G$884,MATCH($E703,_DATA_Assessment_Model!$A$5:$A$884,0)),"")</f>
        <v>3</v>
      </c>
      <c r="V703">
        <f>IFERROR(INDEX(_DATA_Assessment_Model!$W$5:$W$884,MATCH($E703,_DATA_Assessment_Model!$A$5:$A$884,0)),"")</f>
        <v>4</v>
      </c>
      <c r="W703">
        <f>IFERROR(INDEX(_DATA_Assessment_Model!$X$5:$X$884,MATCH($E703,_DATA_Assessment_Model!$A$5:$A$884,0)),"")</f>
        <v>5</v>
      </c>
      <c r="X703">
        <f>IFERROR(INDEX(_DATA_Assessment_Model!$Y$5:$Y$884,MATCH($E703,_DATA_Assessment_Model!$A$5:$A$884,0)),"")</f>
        <v>5</v>
      </c>
      <c r="Y703" t="s">
        <v>1994</v>
      </c>
      <c r="Z703" t="s">
        <v>7365</v>
      </c>
      <c r="AA703" t="s">
        <v>2028</v>
      </c>
      <c r="AB703">
        <f>IFERROR(INDEX(_DATA_Assessment_Model!$U$5:$U$884,MATCH($E703,_DATA_Assessment_Model!$A$5:$A$884,0)),"")</f>
        <v>0</v>
      </c>
      <c r="AF703" t="s">
        <v>2027</v>
      </c>
      <c r="AO703">
        <f>IF($B703="Yes",IF(IFERROR(INDEX(_ENGINE_Crisis!$F$501:$F$517,MATCH($C703,_ENGINE_Crisis!$A$501:$A$517,0)),1)=0,1,IFERROR(INDEX(_ENGINE_Crisis!$F$501:$F$517,MATCH($C703,_ENGINE_Crisis!$A$501:$A$517,0)),1)),"")</f>
        <v>1</v>
      </c>
      <c r="AP703">
        <f t="shared" si="133"/>
        <v>15.2</v>
      </c>
      <c r="AQ703">
        <f t="shared" si="134"/>
        <v>1.1599999999999999</v>
      </c>
      <c r="AR703" t="str">
        <f>IFERROR(INDEX(_ENGINE_Crisis!$E$41:$E$700,MATCH('Resilience &amp; Risk Scenario'!$B$6&amp;"|"&amp;$C703,_ENGINE_Crisis!$I$41:$I$700,0)),"")</f>
        <v/>
      </c>
      <c r="AS703" t="str">
        <f>IFERROR(INDEX(_ENGINE_Crisis!$G$41:$G$700,MATCH('Resilience &amp; Risk Scenario'!$B$6&amp;"|"&amp;$C703,_ENGINE_Crisis!$I$41:$I$700,0)),"")</f>
        <v/>
      </c>
      <c r="AT703" t="str">
        <f>IFERROR(INDEX(_ENGINE_Initiatives!$A$5:$A$532,MATCH(1,INDEX((_ENGINE_Initiatives!$B$5:$B$532=$C703)*(_ENGINE_Initiatives!$C$5:$C$532=$D703),0),0)),"")</f>
        <v>INI-033</v>
      </c>
      <c r="AU703" t="str">
        <f>IFERROR(INDEX(_ENGINE_Initiatives!$F$5:$F$532,MATCH(1,INDEX((_ENGINE_Initiatives!$B$5:$B$532=$C703)*(_ENGINE_Initiatives!$C$5:$C$532=$D703),0),0)),"")</f>
        <v>Build logistics continuity and transport fallback options</v>
      </c>
      <c r="AV703">
        <f>IFERROR(INDEX(_ENGINE_Initiatives!$AC$5:$AC$532,MATCH(1,INDEX((_ENGINE_Initiatives!$B$5:$B$532=$C703)*(_ENGINE_Initiatives!$C$5:$C$532=$D703),0),0)),"")</f>
        <v>1.68</v>
      </c>
      <c r="AW703" t="str">
        <f>IFERROR(INDEX(_ENGINE_Initiatives!$AE$5:$AE$532,MATCH(1,INDEX((_ENGINE_Initiatives!$B$5:$B$532=$C703)*(_ENGINE_Initiatives!$C$5:$C$532=$D703),0),0)),"")</f>
        <v>6-12 months</v>
      </c>
      <c r="AX703">
        <f>IF($B703="Yes",IFERROR((IF(SUMIFS(_REF_Model_Content!$E$1:$E$613,_REF_Model_Content!$A$1:$A$613,PV_Canonical_Industry,_REF_Model_Content!$B$1:$B$613,$C703)=0,1,SUMIFS(_REF_Model_Content!$E$1:$E$613,_REF_Model_Content!$A$1:$A$613,PV_Canonical_Industry,_REF_Model_Content!$B$1:$B$613,$C703))*IFERROR($BU703,1)),1),"")</f>
        <v>0.4</v>
      </c>
      <c r="AY703">
        <f t="shared" si="135"/>
        <v>6.08</v>
      </c>
      <c r="AZ703">
        <f t="shared" si="136"/>
        <v>0.46</v>
      </c>
      <c r="BB703" t="str">
        <f>IF($H703="","",IFERROR(INDEX(_ENGINE_Risk!$AE$5:$AE$499,MATCH($E703,_ENGINE_Risk!$A$5:$A$499,0)),"Medium"))</f>
        <v>Fast</v>
      </c>
      <c r="BC703">
        <f t="shared" si="137"/>
        <v>1.25</v>
      </c>
      <c r="BD703">
        <f t="shared" si="138"/>
        <v>0.46</v>
      </c>
      <c r="BF703">
        <f>IF(OR($H703="",$J703=""),"",IFERROR(VLOOKUP(ROUND($J703,0),_CONFIG_Model_Settings!$D$154:$E$158,2,0),""))</f>
        <v>0.5</v>
      </c>
      <c r="BG703">
        <f>IFERROR(IF(OR($H703="",$K703=""),"",ROUND('Company Profile'!$B$113*INDEX(_CONFIG_Model_Settings!$H$154:$H$158,MATCH(ROUND($K703,0),_CONFIG_Model_Settings!$G$154:$G$158,0)),0)),0)</f>
        <v>875</v>
      </c>
      <c r="BH703">
        <f t="shared" si="139"/>
        <v>437.5</v>
      </c>
      <c r="BI703">
        <f t="shared" si="140"/>
        <v>437.5</v>
      </c>
      <c r="BJ703">
        <f>IF($E703="","",IFERROR(VLOOKUP($C703,_CONFIG_Risk_Calibration!$A$5:$H$21,2,FALSE),3))</f>
        <v>3</v>
      </c>
      <c r="BK703">
        <f>IF($E703="","",IFERROR(VLOOKUP($C703,_CONFIG_Risk_Calibration!$A$5:$H$21,3,FALSE),0))</f>
        <v>0</v>
      </c>
      <c r="BL703">
        <f>IF($E703="","",IFERROR(VLOOKUP($C703,_CONFIG_Risk_Calibration!$A$5:$H$21,4,FALSE),3))</f>
        <v>3</v>
      </c>
      <c r="BM703">
        <f>IF($E703="","",IFERROR(VLOOKUP($C703,_CONFIG_Risk_Calibration!$A$5:$H$21,5,FALSE),3))</f>
        <v>4</v>
      </c>
      <c r="BN703" t="str">
        <f>IF($E703="","",IFERROR(VLOOKUP($C703,_CONFIG_Risk_Calibration!$A$5:$H$21,6,FALSE),"No"))</f>
        <v>No</v>
      </c>
      <c r="BO703">
        <f>IF($E703="","",IFERROR(VLOOKUP($C703,_CONFIG_Risk_Calibration!$A$5:$H$21,7,FALSE),1))</f>
        <v>1</v>
      </c>
      <c r="BP703">
        <f>IF($H703="","",MAX(1,MIN(5,((6-$H703)*0.45)+($BJ703*0.2)+('Resilience &amp; Risk Scenario'!$B$7*0.15)+($BK703*0.1)+($BL703*0.05)+(IF($BB703="Fast",5,IF($BB703="Slow",1,3))*0.05))))</f>
        <v>3.7</v>
      </c>
      <c r="BQ703">
        <f t="shared" si="141"/>
        <v>4.0999999999999996</v>
      </c>
      <c r="BR703">
        <f t="shared" si="142"/>
        <v>15.17</v>
      </c>
      <c r="BS703">
        <f t="shared" si="143"/>
        <v>8.34</v>
      </c>
      <c r="BT703" t="str">
        <f>IFERROR(INDEX(_REF_Capability_Bridge!$D:$D,MATCH($C703&amp;"|"&amp;$D703,_REF_Capability_Bridge!$J:$J,0)),IFERROR(INDEX(_REF_Capability_Bridge!$D:$D,MATCH($C703&amp;"|",_REF_Capability_Bridge!$J:$J,0)),"CAP_GENERIC"))</f>
        <v>CAP_WMS_WAREHOUSE</v>
      </c>
      <c r="BU703">
        <f>IFERROR(IFERROR(INDEX(_ENGINE_Relevance!$L:$L,MATCH($BT703,_ENGINE_Relevance!$B:$B,0)),1),1)</f>
        <v>0.4</v>
      </c>
      <c r="BV703" t="str">
        <f>IFERROR(INDEX(_REF_Capability_Bridge!$A:$A,MATCH($C703&amp;"|"&amp;$D703,_REF_Capability_Bridge!$J:$J,0)),IFERROR(INDEX(_REF_Capability_Bridge!$A:$A,MATCH($C703&amp;"|",_REF_Capability_Bridge!$J:$J,0)),"No bridge"))</f>
        <v>BRG-090</v>
      </c>
      <c r="BW703" t="str">
        <f t="shared" si="144"/>
        <v>Capability relevance lowers risk priority</v>
      </c>
      <c r="BX703" t="str">
        <f t="shared" si="145"/>
        <v>Initial / absent</v>
      </c>
      <c r="BY703" t="str">
        <f>IF($E703="","",IFERROR(INDEX(_REF_Treatment_Library!$A$2:$A$296,MATCH(1,INDEX((_REF_Treatment_Library!$B$2:$B$296=$BT703)*(_REF_Treatment_Library!$C$2:$C$296=PV_Canonical_Industry)*(_REF_Treatment_Library!$E$2:$E$296&lt;=N($H703))*(_REF_Treatment_Library!$F$2:$F$296&gt;=N($H703))*(_REF_Treatment_Library!$O$2:$O$296="Yes"),0),0)),IFERROR(INDEX(_REF_Treatment_Library!$A$2:$A$296,MATCH(1,INDEX((_REF_Treatment_Library!$B$2:$B$296=$BT703)*(_REF_Treatment_Library!$C$2:$C$296="All")*(_REF_Treatment_Library!$E$2:$E$296&lt;=N($H703))*(_REF_Treatment_Library!$F$2:$F$296&gt;=N($H703))*(_REF_Treatment_Library!$O$2:$O$296="Yes"),0),0)),"")))</f>
        <v>TRT-WMS_WAREHOUSE-INITIAL</v>
      </c>
      <c r="BZ703" t="str">
        <f>IF($BY703="","",IFERROR(INDEX(_REF_Treatment_Library!$H$2:$H$296,MATCH($BY703,_REF_Treatment_Library!$A$2:$A$296,0)),""))</f>
        <v>Establish</v>
      </c>
      <c r="CA703" t="str">
        <f>IF($BY703="","",IFERROR(INDEX(_REF_Treatment_Library!$I$2:$I$296,MATCH($BY703,_REF_Treatment_Library!$A$2:$A$296,0)),""))</f>
        <v>Establish baseline controls for Warehouse / WMS</v>
      </c>
      <c r="CB703" t="str">
        <f>IF($BY703="","",IFERROR(INDEX(_REF_Treatment_Library!$K$2:$K$296,MATCH($BY703,_REF_Treatment_Library!$A$2:$A$296,0)),""))</f>
        <v>Named owner, baseline process, minimum control checklist, first evidence package</v>
      </c>
      <c r="CC703" t="str">
        <f>IF($BY703="","",IFERROR(INDEX(_REF_Treatment_Library!$L$2:$L$296,MATCH($BY703,_REF_Treatment_Library!$A$2:$A$296,0)),""))</f>
        <v>Owner assigned; baseline evidence coverage; open critical gaps</v>
      </c>
      <c r="CD703" t="str">
        <f t="shared" si="146"/>
        <v>Treatment by capability=CAP_WMS_WAREHOUSE; band=Initial / absent; score=0.0; treatment=Establish</v>
      </c>
      <c r="CE703" t="str">
        <f>IF($E703="","",IFERROR(INDEX(_REF_Industry_Wording!$A$2:$A$70,MATCH(1,INDEX((_REF_Industry_Wording!$B$2:$B$70=$BT703)*(_REF_Industry_Wording!$C$2:$C$70=PV_Canonical_Industry)*(_REF_Industry_Wording!$K$2:$K$70="Yes"),0),0)),IFERROR(INDEX(_REF_Industry_Wording!$A$2:$A$70,MATCH(1,INDEX((_REF_Industry_Wording!$B$2:$B$70=$BT703)*(_REF_Industry_Wording!$C$2:$C$70="All")*(_REF_Industry_Wording!$K$2:$K$70="Yes"),0),0)),"")))</f>
        <v>IW-ALL-WMS_WAREHOUSE</v>
      </c>
      <c r="CF703" t="str">
        <f>IF($CE703="","",IFERROR(INDEX(_REF_Industry_Wording!$E$2:$E$70,MATCH($CE703,_REF_Industry_Wording!$A$2:$A$70,0)),""))</f>
        <v>Warehouse / WMS weakness</v>
      </c>
      <c r="CG703" t="str">
        <f>IF($CE703="","",IFERROR(INDEX(_REF_Industry_Wording!$F$2:$F$70,MATCH($CE703,_REF_Industry_Wording!$A$2:$A$70,0)),""))</f>
        <v>Strengthen Warehouse / WMS</v>
      </c>
      <c r="CH703" t="str">
        <f>IF($CE703="","",IFERROR(INDEX(_REF_Industry_Wording!$G$2:$G$70,MATCH($CE703,_REF_Industry_Wording!$A$2:$A$70,0)),""))</f>
        <v>Strengthen Warehouse / WMS using the selected maturity treatment, crisis scenario and evidence requirements.</v>
      </c>
      <c r="CI703" t="str">
        <f>IF($CE703="","",IFERROR(INDEX(_REF_Industry_Wording!$H$2:$H$70,MATCH($CE703,_REF_Industry_Wording!$A$2:$A$70,0)),""))</f>
        <v>Warehouse / WMS</v>
      </c>
      <c r="CJ703">
        <f>IF($CE703="","",IFERROR(INDEX(_REF_Industry_Wording!$I$2:$I$70,MATCH($CE703,_REF_Industry_Wording!$A$2:$A$70,0)),""))</f>
        <v>0</v>
      </c>
      <c r="CK703" t="str">
        <f>IF($CE703="","",IFERROR(INDEX(_REF_Industry_Wording!$J$2:$J$70,MATCH($CE703,_REF_Industry_Wording!$A$2:$A$70,0)),""))</f>
        <v>Warehouse / WMS</v>
      </c>
      <c r="CL703" t="str">
        <f t="shared" si="147"/>
        <v>Wording by industry=0; capability=CAP_WMS_WAREHOUSE; risk label=Warehouse / WMS weakness</v>
      </c>
      <c r="CM703" t="str">
        <f t="shared" si="148"/>
        <v>RISK-ONT-0204</v>
      </c>
      <c r="CN703" t="str">
        <f t="shared" si="149"/>
        <v>RISK-EVT-0204</v>
      </c>
      <c r="CO703" t="str">
        <f t="shared" si="150"/>
        <v>Supply Chain|Logistics|SUPP-009|CAP_WMS_WAREHOUSE</v>
      </c>
      <c r="CP703" t="str">
        <f t="shared" si="151"/>
        <v>Active</v>
      </c>
      <c r="CQ703" t="str">
        <f t="shared" si="152"/>
        <v>OK: capability-driven</v>
      </c>
      <c r="CR703" t="str">
        <f t="shared" si="153"/>
        <v>Risk ontology uses capability=CAP_WMS_WAREHOUSE; bridge=BRG-090; treatment=TRT-WMS_WAREHOUSE-INITIAL; wording=IW-ALL-WMS_WAREHOUSE</v>
      </c>
      <c r="CS703" t="str">
        <f t="shared" si="154"/>
        <v>Yes</v>
      </c>
    </row>
    <row r="704" spans="1:97" ht="69.900000000000006" customHeight="1">
      <c r="A704">
        <f>IF(OR($B704&lt;&gt;"Yes",$BS704=""),"",SUMPRODUCT(($B$500:$B$923="Yes")*ISNUMBER($BS$500:$BS$923)*($BS$500:$BS$923&gt;$BS704))+COUNTIFS($B$500:$B704,"Yes",$BS$500:$BS704,$BS704))</f>
        <v>417</v>
      </c>
      <c r="B704" t="str">
        <f t="shared" si="123"/>
        <v>Yes</v>
      </c>
      <c r="C704" t="s">
        <v>1987</v>
      </c>
      <c r="D704" t="s">
        <v>1998</v>
      </c>
      <c r="E704" t="s">
        <v>2035</v>
      </c>
      <c r="F704" t="s">
        <v>3687</v>
      </c>
      <c r="G704" t="str">
        <f>IF($H704="","",IFERROR(INDEX(_ENGINE_Risk!$H$5:$M$499,MATCH($E704,_ENGINE_Risk!$A$5:$A$499,0),$H704+1),""))</f>
        <v>Severe risk: shipment tracking and reliable ETA communication for critical shipments is not reliably controlled. During Supplier/logistics disruption; Manufacturing disruption; Demand shock, the organization may face supplier failure, logistics disruption, inventory shortages and production or delivery delays with limited visibility or accountability.</v>
      </c>
      <c r="H704">
        <f>IFERROR(VALUE(INDEX(_DATA_Assessment_Model!$H$5:$H$884,MATCH($E704,_DATA_Assessment_Model!$A$5:$A$884,0))),"")</f>
        <v>0</v>
      </c>
      <c r="I704" t="str">
        <f>IF($H704="","",IFERROR(INDEX(_DATA_Assessment_Model!$L$5:$L$884,MATCH($E704,_DATA_Assessment_Model!$A$5:$A$884,0)),IF($H704&lt;=1,"Critical",IF($H704=2,"High",IF($H704=3,"Medium",IF($H704=4,"Low","Resilient"))))))</f>
        <v>Critical</v>
      </c>
      <c r="J704">
        <f t="shared" si="124"/>
        <v>3.7</v>
      </c>
      <c r="K704">
        <f t="shared" si="125"/>
        <v>4.5</v>
      </c>
      <c r="L704">
        <f t="shared" si="126"/>
        <v>16.650000000000002</v>
      </c>
      <c r="M704">
        <f t="shared" si="127"/>
        <v>4</v>
      </c>
      <c r="N704">
        <f>IF($H704="","",IFERROR(INDEX(_ENGINE_Risk!$T$5:$Y$499,MATCH($E704,_ENGINE_Risk!$A$5:$A$499,0),$H704+1),""))</f>
        <v>4</v>
      </c>
      <c r="O704">
        <f t="shared" si="128"/>
        <v>4.666666666666667</v>
      </c>
      <c r="P704">
        <f t="shared" si="129"/>
        <v>5</v>
      </c>
      <c r="Q704">
        <f t="shared" si="130"/>
        <v>5</v>
      </c>
      <c r="R704">
        <f t="shared" si="131"/>
        <v>4.5</v>
      </c>
      <c r="S704">
        <f t="shared" si="132"/>
        <v>1.2</v>
      </c>
      <c r="T704" t="str">
        <f>IF($H704="","",IFERROR(INDEX(_ENGINE_Risk!$N$5:$S$499,MATCH($E704,_ENGINE_Risk!$A$5:$A$499,0),$H704+1),""))</f>
        <v>Create an immediate risk owner, minimum control baseline and fallback procedure for shipment tracking and reliable ETA communication for critical shipments. Add it to the crisis risk register and collect first evidence.</v>
      </c>
      <c r="U704">
        <f>IFERROR(INDEX(_DATA_Assessment_Model!$G$5:$G$884,MATCH($E704,_DATA_Assessment_Model!$A$5:$A$884,0)),"")</f>
        <v>5</v>
      </c>
      <c r="V704">
        <f>IFERROR(INDEX(_DATA_Assessment_Model!$W$5:$W$884,MATCH($E704,_DATA_Assessment_Model!$A$5:$A$884,0)),"")</f>
        <v>4</v>
      </c>
      <c r="W704">
        <f>IFERROR(INDEX(_DATA_Assessment_Model!$X$5:$X$884,MATCH($E704,_DATA_Assessment_Model!$A$5:$A$884,0)),"")</f>
        <v>5</v>
      </c>
      <c r="X704">
        <f>IFERROR(INDEX(_DATA_Assessment_Model!$Y$5:$Y$884,MATCH($E704,_DATA_Assessment_Model!$A$5:$A$884,0)),"")</f>
        <v>5</v>
      </c>
      <c r="Y704" t="s">
        <v>1994</v>
      </c>
      <c r="Z704" t="s">
        <v>7365</v>
      </c>
      <c r="AA704" t="s">
        <v>2037</v>
      </c>
      <c r="AB704">
        <f>IFERROR(INDEX(_DATA_Assessment_Model!$U$5:$U$884,MATCH($E704,_DATA_Assessment_Model!$A$5:$A$884,0)),"")</f>
        <v>0</v>
      </c>
      <c r="AF704" t="s">
        <v>2036</v>
      </c>
      <c r="AO704">
        <f>IF($B704="Yes",IF(IFERROR(INDEX(_ENGINE_Crisis!$F$501:$F$517,MATCH($C704,_ENGINE_Crisis!$A$501:$A$517,0)),1)=0,1,IFERROR(INDEX(_ENGINE_Crisis!$F$501:$F$517,MATCH($C704,_ENGINE_Crisis!$A$501:$A$517,0)),1)),"")</f>
        <v>1</v>
      </c>
      <c r="AP704">
        <f t="shared" si="133"/>
        <v>16.7</v>
      </c>
      <c r="AQ704">
        <f t="shared" si="134"/>
        <v>1.2</v>
      </c>
      <c r="AR704" t="str">
        <f>IFERROR(INDEX(_ENGINE_Crisis!$E$41:$E$700,MATCH('Resilience &amp; Risk Scenario'!$B$6&amp;"|"&amp;$C704,_ENGINE_Crisis!$I$41:$I$700,0)),"")</f>
        <v/>
      </c>
      <c r="AS704" t="str">
        <f>IFERROR(INDEX(_ENGINE_Crisis!$G$41:$G$700,MATCH('Resilience &amp; Risk Scenario'!$B$6&amp;"|"&amp;$C704,_ENGINE_Crisis!$I$41:$I$700,0)),"")</f>
        <v/>
      </c>
      <c r="AT704" t="str">
        <f>IFERROR(INDEX(_ENGINE_Initiatives!$A$5:$A$532,MATCH(1,INDEX((_ENGINE_Initiatives!$B$5:$B$532=$C704)*(_ENGINE_Initiatives!$C$5:$C$532=$D704),0),0)),"")</f>
        <v>INI-033</v>
      </c>
      <c r="AU704" t="str">
        <f>IFERROR(INDEX(_ENGINE_Initiatives!$F$5:$F$532,MATCH(1,INDEX((_ENGINE_Initiatives!$B$5:$B$532=$C704)*(_ENGINE_Initiatives!$C$5:$C$532=$D704),0),0)),"")</f>
        <v>Build logistics continuity and transport fallback options</v>
      </c>
      <c r="AV704">
        <f>IFERROR(INDEX(_ENGINE_Initiatives!$AC$5:$AC$532,MATCH(1,INDEX((_ENGINE_Initiatives!$B$5:$B$532=$C704)*(_ENGINE_Initiatives!$C$5:$C$532=$D704),0),0)),"")</f>
        <v>1.68</v>
      </c>
      <c r="AW704" t="str">
        <f>IFERROR(INDEX(_ENGINE_Initiatives!$AE$5:$AE$532,MATCH(1,INDEX((_ENGINE_Initiatives!$B$5:$B$532=$C704)*(_ENGINE_Initiatives!$C$5:$C$532=$D704),0),0)),"")</f>
        <v>6-12 months</v>
      </c>
      <c r="AX704">
        <f>IF($B704="Yes",IFERROR((IF(SUMIFS(_REF_Model_Content!$E$1:$E$613,_REF_Model_Content!$A$1:$A$613,PV_Canonical_Industry,_REF_Model_Content!$B$1:$B$613,$C704)=0,1,SUMIFS(_REF_Model_Content!$E$1:$E$613,_REF_Model_Content!$A$1:$A$613,PV_Canonical_Industry,_REF_Model_Content!$B$1:$B$613,$C704))*IFERROR($BU704,1)),1),"")</f>
        <v>0.4</v>
      </c>
      <c r="AY704">
        <f t="shared" si="135"/>
        <v>6.68</v>
      </c>
      <c r="AZ704">
        <f t="shared" si="136"/>
        <v>0.48</v>
      </c>
      <c r="BB704" t="str">
        <f>IF($H704="","",IFERROR(INDEX(_ENGINE_Risk!$AE$5:$AE$499,MATCH($E704,_ENGINE_Risk!$A$5:$A$499,0)),"Medium"))</f>
        <v>Fast</v>
      </c>
      <c r="BC704">
        <f t="shared" si="137"/>
        <v>1.25</v>
      </c>
      <c r="BD704">
        <f t="shared" si="138"/>
        <v>0.48</v>
      </c>
      <c r="BF704">
        <f>IF(OR($H704="",$J704=""),"",IFERROR(VLOOKUP(ROUND($J704,0),_CONFIG_Model_Settings!$D$154:$E$158,2,0),""))</f>
        <v>0.5</v>
      </c>
      <c r="BG704">
        <f>IFERROR(IF(OR($H704="",$K704=""),"",ROUND('Company Profile'!$B$113*INDEX(_CONFIG_Model_Settings!$H$154:$H$158,MATCH(ROUND($K704,0),_CONFIG_Model_Settings!$G$154:$G$158,0)),0)),0)</f>
        <v>1875</v>
      </c>
      <c r="BH704">
        <f t="shared" si="139"/>
        <v>937.5</v>
      </c>
      <c r="BI704">
        <f t="shared" si="140"/>
        <v>937.5</v>
      </c>
      <c r="BJ704">
        <f>IF($E704="","",IFERROR(VLOOKUP($C704,_CONFIG_Risk_Calibration!$A$5:$H$21,2,FALSE),3))</f>
        <v>3</v>
      </c>
      <c r="BK704">
        <f>IF($E704="","",IFERROR(VLOOKUP($C704,_CONFIG_Risk_Calibration!$A$5:$H$21,3,FALSE),0))</f>
        <v>0</v>
      </c>
      <c r="BL704">
        <f>IF($E704="","",IFERROR(VLOOKUP($C704,_CONFIG_Risk_Calibration!$A$5:$H$21,4,FALSE),3))</f>
        <v>3</v>
      </c>
      <c r="BM704">
        <f>IF($E704="","",IFERROR(VLOOKUP($C704,_CONFIG_Risk_Calibration!$A$5:$H$21,5,FALSE),3))</f>
        <v>4</v>
      </c>
      <c r="BN704" t="str">
        <f>IF($E704="","",IFERROR(VLOOKUP($C704,_CONFIG_Risk_Calibration!$A$5:$H$21,6,FALSE),"No"))</f>
        <v>No</v>
      </c>
      <c r="BO704">
        <f>IF($E704="","",IFERROR(VLOOKUP($C704,_CONFIG_Risk_Calibration!$A$5:$H$21,7,FALSE),1))</f>
        <v>1</v>
      </c>
      <c r="BP704">
        <f>IF($H704="","",MAX(1,MIN(5,((6-$H704)*0.45)+($BJ704*0.2)+('Resilience &amp; Risk Scenario'!$B$7*0.15)+($BK704*0.1)+($BL704*0.05)+(IF($BB704="Fast",5,IF($BB704="Slow",1,3))*0.05))))</f>
        <v>3.7</v>
      </c>
      <c r="BQ704">
        <f t="shared" si="141"/>
        <v>4.5</v>
      </c>
      <c r="BR704">
        <f t="shared" si="142"/>
        <v>16.649999999999999</v>
      </c>
      <c r="BS704">
        <f t="shared" si="143"/>
        <v>9.16</v>
      </c>
      <c r="BT704" t="str">
        <f>IFERROR(INDEX(_REF_Capability_Bridge!$D:$D,MATCH($C704&amp;"|"&amp;$D704,_REF_Capability_Bridge!$J:$J,0)),IFERROR(INDEX(_REF_Capability_Bridge!$D:$D,MATCH($C704&amp;"|",_REF_Capability_Bridge!$J:$J,0)),"CAP_GENERIC"))</f>
        <v>CAP_WMS_WAREHOUSE</v>
      </c>
      <c r="BU704">
        <f>IFERROR(IFERROR(INDEX(_ENGINE_Relevance!$L:$L,MATCH($BT704,_ENGINE_Relevance!$B:$B,0)),1),1)</f>
        <v>0.4</v>
      </c>
      <c r="BV704" t="str">
        <f>IFERROR(INDEX(_REF_Capability_Bridge!$A:$A,MATCH($C704&amp;"|"&amp;$D704,_REF_Capability_Bridge!$J:$J,0)),IFERROR(INDEX(_REF_Capability_Bridge!$A:$A,MATCH($C704&amp;"|",_REF_Capability_Bridge!$J:$J,0)),"No bridge"))</f>
        <v>BRG-090</v>
      </c>
      <c r="BW704" t="str">
        <f t="shared" si="144"/>
        <v>Capability relevance lowers risk priority</v>
      </c>
      <c r="BX704" t="str">
        <f t="shared" si="145"/>
        <v>Initial / absent</v>
      </c>
      <c r="BY704" t="str">
        <f>IF($E704="","",IFERROR(INDEX(_REF_Treatment_Library!$A$2:$A$296,MATCH(1,INDEX((_REF_Treatment_Library!$B$2:$B$296=$BT704)*(_REF_Treatment_Library!$C$2:$C$296=PV_Canonical_Industry)*(_REF_Treatment_Library!$E$2:$E$296&lt;=N($H704))*(_REF_Treatment_Library!$F$2:$F$296&gt;=N($H704))*(_REF_Treatment_Library!$O$2:$O$296="Yes"),0),0)),IFERROR(INDEX(_REF_Treatment_Library!$A$2:$A$296,MATCH(1,INDEX((_REF_Treatment_Library!$B$2:$B$296=$BT704)*(_REF_Treatment_Library!$C$2:$C$296="All")*(_REF_Treatment_Library!$E$2:$E$296&lt;=N($H704))*(_REF_Treatment_Library!$F$2:$F$296&gt;=N($H704))*(_REF_Treatment_Library!$O$2:$O$296="Yes"),0),0)),"")))</f>
        <v>TRT-WMS_WAREHOUSE-INITIAL</v>
      </c>
      <c r="BZ704" t="str">
        <f>IF($BY704="","",IFERROR(INDEX(_REF_Treatment_Library!$H$2:$H$296,MATCH($BY704,_REF_Treatment_Library!$A$2:$A$296,0)),""))</f>
        <v>Establish</v>
      </c>
      <c r="CA704" t="str">
        <f>IF($BY704="","",IFERROR(INDEX(_REF_Treatment_Library!$I$2:$I$296,MATCH($BY704,_REF_Treatment_Library!$A$2:$A$296,0)),""))</f>
        <v>Establish baseline controls for Warehouse / WMS</v>
      </c>
      <c r="CB704" t="str">
        <f>IF($BY704="","",IFERROR(INDEX(_REF_Treatment_Library!$K$2:$K$296,MATCH($BY704,_REF_Treatment_Library!$A$2:$A$296,0)),""))</f>
        <v>Named owner, baseline process, minimum control checklist, first evidence package</v>
      </c>
      <c r="CC704" t="str">
        <f>IF($BY704="","",IFERROR(INDEX(_REF_Treatment_Library!$L$2:$L$296,MATCH($BY704,_REF_Treatment_Library!$A$2:$A$296,0)),""))</f>
        <v>Owner assigned; baseline evidence coverage; open critical gaps</v>
      </c>
      <c r="CD704" t="str">
        <f t="shared" si="146"/>
        <v>Treatment by capability=CAP_WMS_WAREHOUSE; band=Initial / absent; score=0.0; treatment=Establish</v>
      </c>
      <c r="CE704" t="str">
        <f>IF($E704="","",IFERROR(INDEX(_REF_Industry_Wording!$A$2:$A$70,MATCH(1,INDEX((_REF_Industry_Wording!$B$2:$B$70=$BT704)*(_REF_Industry_Wording!$C$2:$C$70=PV_Canonical_Industry)*(_REF_Industry_Wording!$K$2:$K$70="Yes"),0),0)),IFERROR(INDEX(_REF_Industry_Wording!$A$2:$A$70,MATCH(1,INDEX((_REF_Industry_Wording!$B$2:$B$70=$BT704)*(_REF_Industry_Wording!$C$2:$C$70="All")*(_REF_Industry_Wording!$K$2:$K$70="Yes"),0),0)),"")))</f>
        <v>IW-ALL-WMS_WAREHOUSE</v>
      </c>
      <c r="CF704" t="str">
        <f>IF($CE704="","",IFERROR(INDEX(_REF_Industry_Wording!$E$2:$E$70,MATCH($CE704,_REF_Industry_Wording!$A$2:$A$70,0)),""))</f>
        <v>Warehouse / WMS weakness</v>
      </c>
      <c r="CG704" t="str">
        <f>IF($CE704="","",IFERROR(INDEX(_REF_Industry_Wording!$F$2:$F$70,MATCH($CE704,_REF_Industry_Wording!$A$2:$A$70,0)),""))</f>
        <v>Strengthen Warehouse / WMS</v>
      </c>
      <c r="CH704" t="str">
        <f>IF($CE704="","",IFERROR(INDEX(_REF_Industry_Wording!$G$2:$G$70,MATCH($CE704,_REF_Industry_Wording!$A$2:$A$70,0)),""))</f>
        <v>Strengthen Warehouse / WMS using the selected maturity treatment, crisis scenario and evidence requirements.</v>
      </c>
      <c r="CI704" t="str">
        <f>IF($CE704="","",IFERROR(INDEX(_REF_Industry_Wording!$H$2:$H$70,MATCH($CE704,_REF_Industry_Wording!$A$2:$A$70,0)),""))</f>
        <v>Warehouse / WMS</v>
      </c>
      <c r="CJ704">
        <f>IF($CE704="","",IFERROR(INDEX(_REF_Industry_Wording!$I$2:$I$70,MATCH($CE704,_REF_Industry_Wording!$A$2:$A$70,0)),""))</f>
        <v>0</v>
      </c>
      <c r="CK704" t="str">
        <f>IF($CE704="","",IFERROR(INDEX(_REF_Industry_Wording!$J$2:$J$70,MATCH($CE704,_REF_Industry_Wording!$A$2:$A$70,0)),""))</f>
        <v>Warehouse / WMS</v>
      </c>
      <c r="CL704" t="str">
        <f t="shared" si="147"/>
        <v>Wording by industry=0; capability=CAP_WMS_WAREHOUSE; risk label=Warehouse / WMS weakness</v>
      </c>
      <c r="CM704" t="str">
        <f t="shared" si="148"/>
        <v>RISK-ONT-0205</v>
      </c>
      <c r="CN704" t="str">
        <f t="shared" si="149"/>
        <v>RISK-EVT-0205</v>
      </c>
      <c r="CO704" t="str">
        <f t="shared" si="150"/>
        <v>Supply Chain|Logistics|SUPP-010|CAP_WMS_WAREHOUSE</v>
      </c>
      <c r="CP704" t="str">
        <f t="shared" si="151"/>
        <v>Active</v>
      </c>
      <c r="CQ704" t="str">
        <f t="shared" si="152"/>
        <v>OK: capability-driven</v>
      </c>
      <c r="CR704" t="str">
        <f t="shared" si="153"/>
        <v>Risk ontology uses capability=CAP_WMS_WAREHOUSE; bridge=BRG-090; treatment=TRT-WMS_WAREHOUSE-INITIAL; wording=IW-ALL-WMS_WAREHOUSE</v>
      </c>
      <c r="CS704" t="str">
        <f t="shared" si="154"/>
        <v>Yes</v>
      </c>
    </row>
    <row r="705" spans="1:97" ht="69.900000000000006" customHeight="1">
      <c r="A705">
        <f>IF(OR($B705&lt;&gt;"Yes",$BS705=""),"",SUMPRODUCT(($B$500:$B$923="Yes")*ISNUMBER($BS$500:$BS$923)*($BS$500:$BS$923&gt;$BS705))+COUNTIFS($B$500:$B705,"Yes",$BS$500:$BS705,$BS705))</f>
        <v>424</v>
      </c>
      <c r="B705" t="str">
        <f t="shared" si="123"/>
        <v>Yes</v>
      </c>
      <c r="C705" t="s">
        <v>1987</v>
      </c>
      <c r="D705" t="s">
        <v>1998</v>
      </c>
      <c r="E705" t="s">
        <v>2038</v>
      </c>
      <c r="F705" t="s">
        <v>3687</v>
      </c>
      <c r="G705" t="str">
        <f>IF($H705="","",IFERROR(INDEX(_ENGINE_Risk!$H$5:$M$499,MATCH($E705,_ENGINE_Risk!$A$5:$A$499,0),$H705+1),""))</f>
        <v>Severe risk: customs, import/export, sanctions and trade documentation controls is not reliably controlled. During Supplier/logistics disruption; Manufacturing disruption; Demand shock, the organization may face supplier failure, logistics disruption, inventory shortages and production or delivery delays with limited visibility or accountability.</v>
      </c>
      <c r="H705">
        <f>IFERROR(VALUE(INDEX(_DATA_Assessment_Model!$H$5:$H$884,MATCH($E705,_DATA_Assessment_Model!$A$5:$A$884,0))),"")</f>
        <v>0</v>
      </c>
      <c r="I705" t="str">
        <f>IF($H705="","",IFERROR(INDEX(_DATA_Assessment_Model!$L$5:$L$884,MATCH($E705,_DATA_Assessment_Model!$A$5:$A$884,0)),IF($H705&lt;=1,"Critical",IF($H705=2,"High",IF($H705=3,"Medium",IF($H705=4,"Low","Resilient"))))))</f>
        <v>Critical</v>
      </c>
      <c r="J705">
        <f t="shared" si="124"/>
        <v>3.7</v>
      </c>
      <c r="K705">
        <f t="shared" si="125"/>
        <v>4.0999999999999996</v>
      </c>
      <c r="L705">
        <f t="shared" si="126"/>
        <v>15.17</v>
      </c>
      <c r="M705">
        <f t="shared" si="127"/>
        <v>4</v>
      </c>
      <c r="N705">
        <f>IF($H705="","",IFERROR(INDEX(_ENGINE_Risk!$T$5:$Y$499,MATCH($E705,_ENGINE_Risk!$A$5:$A$499,0),$H705+1),""))</f>
        <v>4</v>
      </c>
      <c r="O705">
        <f t="shared" si="128"/>
        <v>4</v>
      </c>
      <c r="P705">
        <f t="shared" si="129"/>
        <v>5</v>
      </c>
      <c r="Q705">
        <f t="shared" si="130"/>
        <v>5</v>
      </c>
      <c r="R705">
        <f t="shared" si="131"/>
        <v>4.5</v>
      </c>
      <c r="S705">
        <f t="shared" si="132"/>
        <v>1.1599999999999999</v>
      </c>
      <c r="T705" t="str">
        <f>IF($H705="","",IFERROR(INDEX(_ENGINE_Risk!$N$5:$S$499,MATCH($E705,_ENGINE_Risk!$A$5:$A$499,0),$H705+1),""))</f>
        <v>Create an immediate risk owner, minimum control baseline and fallback procedure for customs, import/export, sanctions and trade documentation controls. Add it to the crisis risk register and collect first evidence.</v>
      </c>
      <c r="U705">
        <f>IFERROR(INDEX(_DATA_Assessment_Model!$G$5:$G$884,MATCH($E705,_DATA_Assessment_Model!$A$5:$A$884,0)),"")</f>
        <v>3</v>
      </c>
      <c r="V705">
        <f>IFERROR(INDEX(_DATA_Assessment_Model!$W$5:$W$884,MATCH($E705,_DATA_Assessment_Model!$A$5:$A$884,0)),"")</f>
        <v>4</v>
      </c>
      <c r="W705">
        <f>IFERROR(INDEX(_DATA_Assessment_Model!$X$5:$X$884,MATCH($E705,_DATA_Assessment_Model!$A$5:$A$884,0)),"")</f>
        <v>5</v>
      </c>
      <c r="X705">
        <f>IFERROR(INDEX(_DATA_Assessment_Model!$Y$5:$Y$884,MATCH($E705,_DATA_Assessment_Model!$A$5:$A$884,0)),"")</f>
        <v>5</v>
      </c>
      <c r="Y705" t="s">
        <v>1994</v>
      </c>
      <c r="Z705" t="s">
        <v>7365</v>
      </c>
      <c r="AA705" t="s">
        <v>2040</v>
      </c>
      <c r="AB705">
        <f>IFERROR(INDEX(_DATA_Assessment_Model!$U$5:$U$884,MATCH($E705,_DATA_Assessment_Model!$A$5:$A$884,0)),"")</f>
        <v>0</v>
      </c>
      <c r="AF705" t="s">
        <v>2039</v>
      </c>
      <c r="AO705">
        <f>IF($B705="Yes",IF(IFERROR(INDEX(_ENGINE_Crisis!$F$501:$F$517,MATCH($C705,_ENGINE_Crisis!$A$501:$A$517,0)),1)=0,1,IFERROR(INDEX(_ENGINE_Crisis!$F$501:$F$517,MATCH($C705,_ENGINE_Crisis!$A$501:$A$517,0)),1)),"")</f>
        <v>1</v>
      </c>
      <c r="AP705">
        <f t="shared" si="133"/>
        <v>15.2</v>
      </c>
      <c r="AQ705">
        <f t="shared" si="134"/>
        <v>1.1599999999999999</v>
      </c>
      <c r="AR705" t="str">
        <f>IFERROR(INDEX(_ENGINE_Crisis!$E$41:$E$700,MATCH('Resilience &amp; Risk Scenario'!$B$6&amp;"|"&amp;$C705,_ENGINE_Crisis!$I$41:$I$700,0)),"")</f>
        <v/>
      </c>
      <c r="AS705" t="str">
        <f>IFERROR(INDEX(_ENGINE_Crisis!$G$41:$G$700,MATCH('Resilience &amp; Risk Scenario'!$B$6&amp;"|"&amp;$C705,_ENGINE_Crisis!$I$41:$I$700,0)),"")</f>
        <v/>
      </c>
      <c r="AT705" t="str">
        <f>IFERROR(INDEX(_ENGINE_Initiatives!$A$5:$A$532,MATCH(1,INDEX((_ENGINE_Initiatives!$B$5:$B$532=$C705)*(_ENGINE_Initiatives!$C$5:$C$532=$D705),0),0)),"")</f>
        <v>INI-033</v>
      </c>
      <c r="AU705" t="str">
        <f>IFERROR(INDEX(_ENGINE_Initiatives!$F$5:$F$532,MATCH(1,INDEX((_ENGINE_Initiatives!$B$5:$B$532=$C705)*(_ENGINE_Initiatives!$C$5:$C$532=$D705),0),0)),"")</f>
        <v>Build logistics continuity and transport fallback options</v>
      </c>
      <c r="AV705">
        <f>IFERROR(INDEX(_ENGINE_Initiatives!$AC$5:$AC$532,MATCH(1,INDEX((_ENGINE_Initiatives!$B$5:$B$532=$C705)*(_ENGINE_Initiatives!$C$5:$C$532=$D705),0),0)),"")</f>
        <v>1.68</v>
      </c>
      <c r="AW705" t="str">
        <f>IFERROR(INDEX(_ENGINE_Initiatives!$AE$5:$AE$532,MATCH(1,INDEX((_ENGINE_Initiatives!$B$5:$B$532=$C705)*(_ENGINE_Initiatives!$C$5:$C$532=$D705),0),0)),"")</f>
        <v>6-12 months</v>
      </c>
      <c r="AX705">
        <f>IF($B705="Yes",IFERROR((IF(SUMIFS(_REF_Model_Content!$E$1:$E$613,_REF_Model_Content!$A$1:$A$613,PV_Canonical_Industry,_REF_Model_Content!$B$1:$B$613,$C705)=0,1,SUMIFS(_REF_Model_Content!$E$1:$E$613,_REF_Model_Content!$A$1:$A$613,PV_Canonical_Industry,_REF_Model_Content!$B$1:$B$613,$C705))*IFERROR($BU705,1)),1),"")</f>
        <v>0.4</v>
      </c>
      <c r="AY705">
        <f t="shared" si="135"/>
        <v>6.08</v>
      </c>
      <c r="AZ705">
        <f t="shared" si="136"/>
        <v>0.46</v>
      </c>
      <c r="BB705" t="str">
        <f>IF($H705="","",IFERROR(INDEX(_ENGINE_Risk!$AE$5:$AE$499,MATCH($E705,_ENGINE_Risk!$A$5:$A$499,0)),"Medium"))</f>
        <v>Fast</v>
      </c>
      <c r="BC705">
        <f t="shared" si="137"/>
        <v>1.25</v>
      </c>
      <c r="BD705">
        <f t="shared" si="138"/>
        <v>0.46</v>
      </c>
      <c r="BF705">
        <f>IF(OR($H705="",$J705=""),"",IFERROR(VLOOKUP(ROUND($J705,0),_CONFIG_Model_Settings!$D$154:$E$158,2,0),""))</f>
        <v>0.5</v>
      </c>
      <c r="BG705">
        <f>IFERROR(IF(OR($H705="",$K705=""),"",ROUND('Company Profile'!$B$113*INDEX(_CONFIG_Model_Settings!$H$154:$H$158,MATCH(ROUND($K705,0),_CONFIG_Model_Settings!$G$154:$G$158,0)),0)),0)</f>
        <v>875</v>
      </c>
      <c r="BH705">
        <f t="shared" si="139"/>
        <v>437.5</v>
      </c>
      <c r="BI705">
        <f t="shared" si="140"/>
        <v>437.5</v>
      </c>
      <c r="BJ705">
        <f>IF($E705="","",IFERROR(VLOOKUP($C705,_CONFIG_Risk_Calibration!$A$5:$H$21,2,FALSE),3))</f>
        <v>3</v>
      </c>
      <c r="BK705">
        <f>IF($E705="","",IFERROR(VLOOKUP($C705,_CONFIG_Risk_Calibration!$A$5:$H$21,3,FALSE),0))</f>
        <v>0</v>
      </c>
      <c r="BL705">
        <f>IF($E705="","",IFERROR(VLOOKUP($C705,_CONFIG_Risk_Calibration!$A$5:$H$21,4,FALSE),3))</f>
        <v>3</v>
      </c>
      <c r="BM705">
        <f>IF($E705="","",IFERROR(VLOOKUP($C705,_CONFIG_Risk_Calibration!$A$5:$H$21,5,FALSE),3))</f>
        <v>4</v>
      </c>
      <c r="BN705" t="str">
        <f>IF($E705="","",IFERROR(VLOOKUP($C705,_CONFIG_Risk_Calibration!$A$5:$H$21,6,FALSE),"No"))</f>
        <v>No</v>
      </c>
      <c r="BO705">
        <f>IF($E705="","",IFERROR(VLOOKUP($C705,_CONFIG_Risk_Calibration!$A$5:$H$21,7,FALSE),1))</f>
        <v>1</v>
      </c>
      <c r="BP705">
        <f>IF($H705="","",MAX(1,MIN(5,((6-$H705)*0.45)+($BJ705*0.2)+('Resilience &amp; Risk Scenario'!$B$7*0.15)+($BK705*0.1)+($BL705*0.05)+(IF($BB705="Fast",5,IF($BB705="Slow",1,3))*0.05))))</f>
        <v>3.7</v>
      </c>
      <c r="BQ705">
        <f t="shared" si="141"/>
        <v>4.0999999999999996</v>
      </c>
      <c r="BR705">
        <f t="shared" si="142"/>
        <v>15.17</v>
      </c>
      <c r="BS705">
        <f t="shared" si="143"/>
        <v>8.34</v>
      </c>
      <c r="BT705" t="str">
        <f>IFERROR(INDEX(_REF_Capability_Bridge!$D:$D,MATCH($C705&amp;"|"&amp;$D705,_REF_Capability_Bridge!$J:$J,0)),IFERROR(INDEX(_REF_Capability_Bridge!$D:$D,MATCH($C705&amp;"|",_REF_Capability_Bridge!$J:$J,0)),"CAP_GENERIC"))</f>
        <v>CAP_WMS_WAREHOUSE</v>
      </c>
      <c r="BU705">
        <f>IFERROR(IFERROR(INDEX(_ENGINE_Relevance!$L:$L,MATCH($BT705,_ENGINE_Relevance!$B:$B,0)),1),1)</f>
        <v>0.4</v>
      </c>
      <c r="BV705" t="str">
        <f>IFERROR(INDEX(_REF_Capability_Bridge!$A:$A,MATCH($C705&amp;"|"&amp;$D705,_REF_Capability_Bridge!$J:$J,0)),IFERROR(INDEX(_REF_Capability_Bridge!$A:$A,MATCH($C705&amp;"|",_REF_Capability_Bridge!$J:$J,0)),"No bridge"))</f>
        <v>BRG-090</v>
      </c>
      <c r="BW705" t="str">
        <f t="shared" si="144"/>
        <v>Capability relevance lowers risk priority</v>
      </c>
      <c r="BX705" t="str">
        <f t="shared" si="145"/>
        <v>Initial / absent</v>
      </c>
      <c r="BY705" t="str">
        <f>IF($E705="","",IFERROR(INDEX(_REF_Treatment_Library!$A$2:$A$296,MATCH(1,INDEX((_REF_Treatment_Library!$B$2:$B$296=$BT705)*(_REF_Treatment_Library!$C$2:$C$296=PV_Canonical_Industry)*(_REF_Treatment_Library!$E$2:$E$296&lt;=N($H705))*(_REF_Treatment_Library!$F$2:$F$296&gt;=N($H705))*(_REF_Treatment_Library!$O$2:$O$296="Yes"),0),0)),IFERROR(INDEX(_REF_Treatment_Library!$A$2:$A$296,MATCH(1,INDEX((_REF_Treatment_Library!$B$2:$B$296=$BT705)*(_REF_Treatment_Library!$C$2:$C$296="All")*(_REF_Treatment_Library!$E$2:$E$296&lt;=N($H705))*(_REF_Treatment_Library!$F$2:$F$296&gt;=N($H705))*(_REF_Treatment_Library!$O$2:$O$296="Yes"),0),0)),"")))</f>
        <v>TRT-WMS_WAREHOUSE-INITIAL</v>
      </c>
      <c r="BZ705" t="str">
        <f>IF($BY705="","",IFERROR(INDEX(_REF_Treatment_Library!$H$2:$H$296,MATCH($BY705,_REF_Treatment_Library!$A$2:$A$296,0)),""))</f>
        <v>Establish</v>
      </c>
      <c r="CA705" t="str">
        <f>IF($BY705="","",IFERROR(INDEX(_REF_Treatment_Library!$I$2:$I$296,MATCH($BY705,_REF_Treatment_Library!$A$2:$A$296,0)),""))</f>
        <v>Establish baseline controls for Warehouse / WMS</v>
      </c>
      <c r="CB705" t="str">
        <f>IF($BY705="","",IFERROR(INDEX(_REF_Treatment_Library!$K$2:$K$296,MATCH($BY705,_REF_Treatment_Library!$A$2:$A$296,0)),""))</f>
        <v>Named owner, baseline process, minimum control checklist, first evidence package</v>
      </c>
      <c r="CC705" t="str">
        <f>IF($BY705="","",IFERROR(INDEX(_REF_Treatment_Library!$L$2:$L$296,MATCH($BY705,_REF_Treatment_Library!$A$2:$A$296,0)),""))</f>
        <v>Owner assigned; baseline evidence coverage; open critical gaps</v>
      </c>
      <c r="CD705" t="str">
        <f t="shared" si="146"/>
        <v>Treatment by capability=CAP_WMS_WAREHOUSE; band=Initial / absent; score=0.0; treatment=Establish</v>
      </c>
      <c r="CE705" t="str">
        <f>IF($E705="","",IFERROR(INDEX(_REF_Industry_Wording!$A$2:$A$70,MATCH(1,INDEX((_REF_Industry_Wording!$B$2:$B$70=$BT705)*(_REF_Industry_Wording!$C$2:$C$70=PV_Canonical_Industry)*(_REF_Industry_Wording!$K$2:$K$70="Yes"),0),0)),IFERROR(INDEX(_REF_Industry_Wording!$A$2:$A$70,MATCH(1,INDEX((_REF_Industry_Wording!$B$2:$B$70=$BT705)*(_REF_Industry_Wording!$C$2:$C$70="All")*(_REF_Industry_Wording!$K$2:$K$70="Yes"),0),0)),"")))</f>
        <v>IW-ALL-WMS_WAREHOUSE</v>
      </c>
      <c r="CF705" t="str">
        <f>IF($CE705="","",IFERROR(INDEX(_REF_Industry_Wording!$E$2:$E$70,MATCH($CE705,_REF_Industry_Wording!$A$2:$A$70,0)),""))</f>
        <v>Warehouse / WMS weakness</v>
      </c>
      <c r="CG705" t="str">
        <f>IF($CE705="","",IFERROR(INDEX(_REF_Industry_Wording!$F$2:$F$70,MATCH($CE705,_REF_Industry_Wording!$A$2:$A$70,0)),""))</f>
        <v>Strengthen Warehouse / WMS</v>
      </c>
      <c r="CH705" t="str">
        <f>IF($CE705="","",IFERROR(INDEX(_REF_Industry_Wording!$G$2:$G$70,MATCH($CE705,_REF_Industry_Wording!$A$2:$A$70,0)),""))</f>
        <v>Strengthen Warehouse / WMS using the selected maturity treatment, crisis scenario and evidence requirements.</v>
      </c>
      <c r="CI705" t="str">
        <f>IF($CE705="","",IFERROR(INDEX(_REF_Industry_Wording!$H$2:$H$70,MATCH($CE705,_REF_Industry_Wording!$A$2:$A$70,0)),""))</f>
        <v>Warehouse / WMS</v>
      </c>
      <c r="CJ705">
        <f>IF($CE705="","",IFERROR(INDEX(_REF_Industry_Wording!$I$2:$I$70,MATCH($CE705,_REF_Industry_Wording!$A$2:$A$70,0)),""))</f>
        <v>0</v>
      </c>
      <c r="CK705" t="str">
        <f>IF($CE705="","",IFERROR(INDEX(_REF_Industry_Wording!$J$2:$J$70,MATCH($CE705,_REF_Industry_Wording!$A$2:$A$70,0)),""))</f>
        <v>Warehouse / WMS</v>
      </c>
      <c r="CL705" t="str">
        <f t="shared" si="147"/>
        <v>Wording by industry=0; capability=CAP_WMS_WAREHOUSE; risk label=Warehouse / WMS weakness</v>
      </c>
      <c r="CM705" t="str">
        <f t="shared" si="148"/>
        <v>RISK-ONT-0206</v>
      </c>
      <c r="CN705" t="str">
        <f t="shared" si="149"/>
        <v>RISK-EVT-0206</v>
      </c>
      <c r="CO705" t="str">
        <f t="shared" si="150"/>
        <v>Supply Chain|Logistics|SUPP-011|CAP_WMS_WAREHOUSE</v>
      </c>
      <c r="CP705" t="str">
        <f t="shared" si="151"/>
        <v>Active</v>
      </c>
      <c r="CQ705" t="str">
        <f t="shared" si="152"/>
        <v>OK: capability-driven</v>
      </c>
      <c r="CR705" t="str">
        <f t="shared" si="153"/>
        <v>Risk ontology uses capability=CAP_WMS_WAREHOUSE; bridge=BRG-090; treatment=TRT-WMS_WAREHOUSE-INITIAL; wording=IW-ALL-WMS_WAREHOUSE</v>
      </c>
      <c r="CS705" t="str">
        <f t="shared" si="154"/>
        <v>Yes</v>
      </c>
    </row>
    <row r="706" spans="1:97" ht="69.900000000000006" customHeight="1">
      <c r="A706">
        <f>IF(OR($B706&lt;&gt;"Yes",$BS706=""),"",SUMPRODUCT(($B$500:$B$923="Yes")*ISNUMBER($BS$500:$BS$923)*($BS$500:$BS$923&gt;$BS706))+COUNTIFS($B$500:$B706,"Yes",$BS$500:$BS706,$BS706))</f>
        <v>418</v>
      </c>
      <c r="B706" t="str">
        <f t="shared" si="123"/>
        <v>Yes</v>
      </c>
      <c r="C706" t="s">
        <v>1987</v>
      </c>
      <c r="D706" t="s">
        <v>1998</v>
      </c>
      <c r="E706" t="s">
        <v>2047</v>
      </c>
      <c r="F706" t="s">
        <v>3687</v>
      </c>
      <c r="G706" t="str">
        <f>IF($H706="","",IFERROR(INDEX(_ENGINE_Risk!$H$5:$M$499,MATCH($E706,_ENGINE_Risk!$A$5:$A$499,0),$H706+1),""))</f>
        <v>Severe risk: Incoterms, insurance, liability and delivery obligations for critical flows is not reliably controlled. During Supplier/logistics disruption; Manufacturing disruption; Demand shock, the organization may face supplier failure, logistics disruption, inventory shortages and production or delivery delays with limited visibility or accountability.</v>
      </c>
      <c r="H706">
        <f>IFERROR(VALUE(INDEX(_DATA_Assessment_Model!$H$5:$H$884,MATCH($E706,_DATA_Assessment_Model!$A$5:$A$884,0))),"")</f>
        <v>0</v>
      </c>
      <c r="I706" t="str">
        <f>IF($H706="","",IFERROR(INDEX(_DATA_Assessment_Model!$L$5:$L$884,MATCH($E706,_DATA_Assessment_Model!$A$5:$A$884,0)),IF($H706&lt;=1,"Critical",IF($H706=2,"High",IF($H706=3,"Medium",IF($H706=4,"Low","Resilient"))))))</f>
        <v>Critical</v>
      </c>
      <c r="J706">
        <f t="shared" si="124"/>
        <v>3.7</v>
      </c>
      <c r="K706">
        <f t="shared" si="125"/>
        <v>4.5</v>
      </c>
      <c r="L706">
        <f t="shared" si="126"/>
        <v>16.650000000000002</v>
      </c>
      <c r="M706">
        <f t="shared" si="127"/>
        <v>4</v>
      </c>
      <c r="N706">
        <f>IF($H706="","",IFERROR(INDEX(_ENGINE_Risk!$T$5:$Y$499,MATCH($E706,_ENGINE_Risk!$A$5:$A$499,0),$H706+1),""))</f>
        <v>4</v>
      </c>
      <c r="O706">
        <f t="shared" si="128"/>
        <v>4.666666666666667</v>
      </c>
      <c r="P706">
        <f t="shared" si="129"/>
        <v>5</v>
      </c>
      <c r="Q706">
        <f t="shared" si="130"/>
        <v>5</v>
      </c>
      <c r="R706">
        <f t="shared" si="131"/>
        <v>4.5</v>
      </c>
      <c r="S706">
        <f t="shared" si="132"/>
        <v>1.2</v>
      </c>
      <c r="T706" t="str">
        <f>IF($H706="","",IFERROR(INDEX(_ENGINE_Risk!$N$5:$S$499,MATCH($E706,_ENGINE_Risk!$A$5:$A$499,0),$H706+1),""))</f>
        <v>Create an immediate risk owner, minimum control baseline and fallback procedure for Incoterms, insurance, liability and delivery obligations for critical flows. Add it to the crisis risk register and collect first evidence.</v>
      </c>
      <c r="U706">
        <f>IFERROR(INDEX(_DATA_Assessment_Model!$G$5:$G$884,MATCH($E706,_DATA_Assessment_Model!$A$5:$A$884,0)),"")</f>
        <v>5</v>
      </c>
      <c r="V706">
        <f>IFERROR(INDEX(_DATA_Assessment_Model!$W$5:$W$884,MATCH($E706,_DATA_Assessment_Model!$A$5:$A$884,0)),"")</f>
        <v>4</v>
      </c>
      <c r="W706">
        <f>IFERROR(INDEX(_DATA_Assessment_Model!$X$5:$X$884,MATCH($E706,_DATA_Assessment_Model!$A$5:$A$884,0)),"")</f>
        <v>5</v>
      </c>
      <c r="X706">
        <f>IFERROR(INDEX(_DATA_Assessment_Model!$Y$5:$Y$884,MATCH($E706,_DATA_Assessment_Model!$A$5:$A$884,0)),"")</f>
        <v>5</v>
      </c>
      <c r="Y706" t="s">
        <v>1994</v>
      </c>
      <c r="Z706" t="s">
        <v>7365</v>
      </c>
      <c r="AA706" t="s">
        <v>2049</v>
      </c>
      <c r="AB706">
        <f>IFERROR(INDEX(_DATA_Assessment_Model!$U$5:$U$884,MATCH($E706,_DATA_Assessment_Model!$A$5:$A$884,0)),"")</f>
        <v>0</v>
      </c>
      <c r="AF706" t="s">
        <v>2048</v>
      </c>
      <c r="AO706">
        <f>IF($B706="Yes",IF(IFERROR(INDEX(_ENGINE_Crisis!$F$501:$F$517,MATCH($C706,_ENGINE_Crisis!$A$501:$A$517,0)),1)=0,1,IFERROR(INDEX(_ENGINE_Crisis!$F$501:$F$517,MATCH($C706,_ENGINE_Crisis!$A$501:$A$517,0)),1)),"")</f>
        <v>1</v>
      </c>
      <c r="AP706">
        <f t="shared" si="133"/>
        <v>16.7</v>
      </c>
      <c r="AQ706">
        <f t="shared" si="134"/>
        <v>1.2</v>
      </c>
      <c r="AR706" t="str">
        <f>IFERROR(INDEX(_ENGINE_Crisis!$E$41:$E$700,MATCH('Resilience &amp; Risk Scenario'!$B$6&amp;"|"&amp;$C706,_ENGINE_Crisis!$I$41:$I$700,0)),"")</f>
        <v/>
      </c>
      <c r="AS706" t="str">
        <f>IFERROR(INDEX(_ENGINE_Crisis!$G$41:$G$700,MATCH('Resilience &amp; Risk Scenario'!$B$6&amp;"|"&amp;$C706,_ENGINE_Crisis!$I$41:$I$700,0)),"")</f>
        <v/>
      </c>
      <c r="AT706" t="str">
        <f>IFERROR(INDEX(_ENGINE_Initiatives!$A$5:$A$532,MATCH(1,INDEX((_ENGINE_Initiatives!$B$5:$B$532=$C706)*(_ENGINE_Initiatives!$C$5:$C$532=$D706),0),0)),"")</f>
        <v>INI-033</v>
      </c>
      <c r="AU706" t="str">
        <f>IFERROR(INDEX(_ENGINE_Initiatives!$F$5:$F$532,MATCH(1,INDEX((_ENGINE_Initiatives!$B$5:$B$532=$C706)*(_ENGINE_Initiatives!$C$5:$C$532=$D706),0),0)),"")</f>
        <v>Build logistics continuity and transport fallback options</v>
      </c>
      <c r="AV706">
        <f>IFERROR(INDEX(_ENGINE_Initiatives!$AC$5:$AC$532,MATCH(1,INDEX((_ENGINE_Initiatives!$B$5:$B$532=$C706)*(_ENGINE_Initiatives!$C$5:$C$532=$D706),0),0)),"")</f>
        <v>1.68</v>
      </c>
      <c r="AW706" t="str">
        <f>IFERROR(INDEX(_ENGINE_Initiatives!$AE$5:$AE$532,MATCH(1,INDEX((_ENGINE_Initiatives!$B$5:$B$532=$C706)*(_ENGINE_Initiatives!$C$5:$C$532=$D706),0),0)),"")</f>
        <v>6-12 months</v>
      </c>
      <c r="AX706">
        <f>IF($B706="Yes",IFERROR((IF(SUMIFS(_REF_Model_Content!$E$1:$E$613,_REF_Model_Content!$A$1:$A$613,PV_Canonical_Industry,_REF_Model_Content!$B$1:$B$613,$C706)=0,1,SUMIFS(_REF_Model_Content!$E$1:$E$613,_REF_Model_Content!$A$1:$A$613,PV_Canonical_Industry,_REF_Model_Content!$B$1:$B$613,$C706))*IFERROR($BU706,1)),1),"")</f>
        <v>0.4</v>
      </c>
      <c r="AY706">
        <f t="shared" si="135"/>
        <v>6.68</v>
      </c>
      <c r="AZ706">
        <f t="shared" si="136"/>
        <v>0.48</v>
      </c>
      <c r="BB706" t="str">
        <f>IF($H706="","",IFERROR(INDEX(_ENGINE_Risk!$AE$5:$AE$499,MATCH($E706,_ENGINE_Risk!$A$5:$A$499,0)),"Medium"))</f>
        <v>Fast</v>
      </c>
      <c r="BC706">
        <f t="shared" si="137"/>
        <v>1.25</v>
      </c>
      <c r="BD706">
        <f t="shared" si="138"/>
        <v>0.48</v>
      </c>
      <c r="BF706">
        <f>IF(OR($H706="",$J706=""),"",IFERROR(VLOOKUP(ROUND($J706,0),_CONFIG_Model_Settings!$D$154:$E$158,2,0),""))</f>
        <v>0.5</v>
      </c>
      <c r="BG706">
        <f>IFERROR(IF(OR($H706="",$K706=""),"",ROUND('Company Profile'!$B$113*INDEX(_CONFIG_Model_Settings!$H$154:$H$158,MATCH(ROUND($K706,0),_CONFIG_Model_Settings!$G$154:$G$158,0)),0)),0)</f>
        <v>1875</v>
      </c>
      <c r="BH706">
        <f t="shared" si="139"/>
        <v>937.5</v>
      </c>
      <c r="BI706">
        <f t="shared" si="140"/>
        <v>937.5</v>
      </c>
      <c r="BJ706">
        <f>IF($E706="","",IFERROR(VLOOKUP($C706,_CONFIG_Risk_Calibration!$A$5:$H$21,2,FALSE),3))</f>
        <v>3</v>
      </c>
      <c r="BK706">
        <f>IF($E706="","",IFERROR(VLOOKUP($C706,_CONFIG_Risk_Calibration!$A$5:$H$21,3,FALSE),0))</f>
        <v>0</v>
      </c>
      <c r="BL706">
        <f>IF($E706="","",IFERROR(VLOOKUP($C706,_CONFIG_Risk_Calibration!$A$5:$H$21,4,FALSE),3))</f>
        <v>3</v>
      </c>
      <c r="BM706">
        <f>IF($E706="","",IFERROR(VLOOKUP($C706,_CONFIG_Risk_Calibration!$A$5:$H$21,5,FALSE),3))</f>
        <v>4</v>
      </c>
      <c r="BN706" t="str">
        <f>IF($E706="","",IFERROR(VLOOKUP($C706,_CONFIG_Risk_Calibration!$A$5:$H$21,6,FALSE),"No"))</f>
        <v>No</v>
      </c>
      <c r="BO706">
        <f>IF($E706="","",IFERROR(VLOOKUP($C706,_CONFIG_Risk_Calibration!$A$5:$H$21,7,FALSE),1))</f>
        <v>1</v>
      </c>
      <c r="BP706">
        <f>IF($H706="","",MAX(1,MIN(5,((6-$H706)*0.45)+($BJ706*0.2)+('Resilience &amp; Risk Scenario'!$B$7*0.15)+($BK706*0.1)+($BL706*0.05)+(IF($BB706="Fast",5,IF($BB706="Slow",1,3))*0.05))))</f>
        <v>3.7</v>
      </c>
      <c r="BQ706">
        <f t="shared" si="141"/>
        <v>4.5</v>
      </c>
      <c r="BR706">
        <f t="shared" si="142"/>
        <v>16.649999999999999</v>
      </c>
      <c r="BS706">
        <f t="shared" si="143"/>
        <v>9.16</v>
      </c>
      <c r="BT706" t="str">
        <f>IFERROR(INDEX(_REF_Capability_Bridge!$D:$D,MATCH($C706&amp;"|"&amp;$D706,_REF_Capability_Bridge!$J:$J,0)),IFERROR(INDEX(_REF_Capability_Bridge!$D:$D,MATCH($C706&amp;"|",_REF_Capability_Bridge!$J:$J,0)),"CAP_GENERIC"))</f>
        <v>CAP_WMS_WAREHOUSE</v>
      </c>
      <c r="BU706">
        <f>IFERROR(IFERROR(INDEX(_ENGINE_Relevance!$L:$L,MATCH($BT706,_ENGINE_Relevance!$B:$B,0)),1),1)</f>
        <v>0.4</v>
      </c>
      <c r="BV706" t="str">
        <f>IFERROR(INDEX(_REF_Capability_Bridge!$A:$A,MATCH($C706&amp;"|"&amp;$D706,_REF_Capability_Bridge!$J:$J,0)),IFERROR(INDEX(_REF_Capability_Bridge!$A:$A,MATCH($C706&amp;"|",_REF_Capability_Bridge!$J:$J,0)),"No bridge"))</f>
        <v>BRG-090</v>
      </c>
      <c r="BW706" t="str">
        <f t="shared" si="144"/>
        <v>Capability relevance lowers risk priority</v>
      </c>
      <c r="BX706" t="str">
        <f t="shared" si="145"/>
        <v>Initial / absent</v>
      </c>
      <c r="BY706" t="str">
        <f>IF($E706="","",IFERROR(INDEX(_REF_Treatment_Library!$A$2:$A$296,MATCH(1,INDEX((_REF_Treatment_Library!$B$2:$B$296=$BT706)*(_REF_Treatment_Library!$C$2:$C$296=PV_Canonical_Industry)*(_REF_Treatment_Library!$E$2:$E$296&lt;=N($H706))*(_REF_Treatment_Library!$F$2:$F$296&gt;=N($H706))*(_REF_Treatment_Library!$O$2:$O$296="Yes"),0),0)),IFERROR(INDEX(_REF_Treatment_Library!$A$2:$A$296,MATCH(1,INDEX((_REF_Treatment_Library!$B$2:$B$296=$BT706)*(_REF_Treatment_Library!$C$2:$C$296="All")*(_REF_Treatment_Library!$E$2:$E$296&lt;=N($H706))*(_REF_Treatment_Library!$F$2:$F$296&gt;=N($H706))*(_REF_Treatment_Library!$O$2:$O$296="Yes"),0),0)),"")))</f>
        <v>TRT-WMS_WAREHOUSE-INITIAL</v>
      </c>
      <c r="BZ706" t="str">
        <f>IF($BY706="","",IFERROR(INDEX(_REF_Treatment_Library!$H$2:$H$296,MATCH($BY706,_REF_Treatment_Library!$A$2:$A$296,0)),""))</f>
        <v>Establish</v>
      </c>
      <c r="CA706" t="str">
        <f>IF($BY706="","",IFERROR(INDEX(_REF_Treatment_Library!$I$2:$I$296,MATCH($BY706,_REF_Treatment_Library!$A$2:$A$296,0)),""))</f>
        <v>Establish baseline controls for Warehouse / WMS</v>
      </c>
      <c r="CB706" t="str">
        <f>IF($BY706="","",IFERROR(INDEX(_REF_Treatment_Library!$K$2:$K$296,MATCH($BY706,_REF_Treatment_Library!$A$2:$A$296,0)),""))</f>
        <v>Named owner, baseline process, minimum control checklist, first evidence package</v>
      </c>
      <c r="CC706" t="str">
        <f>IF($BY706="","",IFERROR(INDEX(_REF_Treatment_Library!$L$2:$L$296,MATCH($BY706,_REF_Treatment_Library!$A$2:$A$296,0)),""))</f>
        <v>Owner assigned; baseline evidence coverage; open critical gaps</v>
      </c>
      <c r="CD706" t="str">
        <f t="shared" si="146"/>
        <v>Treatment by capability=CAP_WMS_WAREHOUSE; band=Initial / absent; score=0.0; treatment=Establish</v>
      </c>
      <c r="CE706" t="str">
        <f>IF($E706="","",IFERROR(INDEX(_REF_Industry_Wording!$A$2:$A$70,MATCH(1,INDEX((_REF_Industry_Wording!$B$2:$B$70=$BT706)*(_REF_Industry_Wording!$C$2:$C$70=PV_Canonical_Industry)*(_REF_Industry_Wording!$K$2:$K$70="Yes"),0),0)),IFERROR(INDEX(_REF_Industry_Wording!$A$2:$A$70,MATCH(1,INDEX((_REF_Industry_Wording!$B$2:$B$70=$BT706)*(_REF_Industry_Wording!$C$2:$C$70="All")*(_REF_Industry_Wording!$K$2:$K$70="Yes"),0),0)),"")))</f>
        <v>IW-ALL-WMS_WAREHOUSE</v>
      </c>
      <c r="CF706" t="str">
        <f>IF($CE706="","",IFERROR(INDEX(_REF_Industry_Wording!$E$2:$E$70,MATCH($CE706,_REF_Industry_Wording!$A$2:$A$70,0)),""))</f>
        <v>Warehouse / WMS weakness</v>
      </c>
      <c r="CG706" t="str">
        <f>IF($CE706="","",IFERROR(INDEX(_REF_Industry_Wording!$F$2:$F$70,MATCH($CE706,_REF_Industry_Wording!$A$2:$A$70,0)),""))</f>
        <v>Strengthen Warehouse / WMS</v>
      </c>
      <c r="CH706" t="str">
        <f>IF($CE706="","",IFERROR(INDEX(_REF_Industry_Wording!$G$2:$G$70,MATCH($CE706,_REF_Industry_Wording!$A$2:$A$70,0)),""))</f>
        <v>Strengthen Warehouse / WMS using the selected maturity treatment, crisis scenario and evidence requirements.</v>
      </c>
      <c r="CI706" t="str">
        <f>IF($CE706="","",IFERROR(INDEX(_REF_Industry_Wording!$H$2:$H$70,MATCH($CE706,_REF_Industry_Wording!$A$2:$A$70,0)),""))</f>
        <v>Warehouse / WMS</v>
      </c>
      <c r="CJ706">
        <f>IF($CE706="","",IFERROR(INDEX(_REF_Industry_Wording!$I$2:$I$70,MATCH($CE706,_REF_Industry_Wording!$A$2:$A$70,0)),""))</f>
        <v>0</v>
      </c>
      <c r="CK706" t="str">
        <f>IF($CE706="","",IFERROR(INDEX(_REF_Industry_Wording!$J$2:$J$70,MATCH($CE706,_REF_Industry_Wording!$A$2:$A$70,0)),""))</f>
        <v>Warehouse / WMS</v>
      </c>
      <c r="CL706" t="str">
        <f t="shared" si="147"/>
        <v>Wording by industry=0; capability=CAP_WMS_WAREHOUSE; risk label=Warehouse / WMS weakness</v>
      </c>
      <c r="CM706" t="str">
        <f t="shared" si="148"/>
        <v>RISK-ONT-0207</v>
      </c>
      <c r="CN706" t="str">
        <f t="shared" si="149"/>
        <v>RISK-EVT-0207</v>
      </c>
      <c r="CO706" t="str">
        <f t="shared" si="150"/>
        <v>Supply Chain|Logistics|SUPP-012|CAP_WMS_WAREHOUSE</v>
      </c>
      <c r="CP706" t="str">
        <f t="shared" si="151"/>
        <v>Active</v>
      </c>
      <c r="CQ706" t="str">
        <f t="shared" si="152"/>
        <v>OK: capability-driven</v>
      </c>
      <c r="CR706" t="str">
        <f t="shared" si="153"/>
        <v>Risk ontology uses capability=CAP_WMS_WAREHOUSE; bridge=BRG-090; treatment=TRT-WMS_WAREHOUSE-INITIAL; wording=IW-ALL-WMS_WAREHOUSE</v>
      </c>
      <c r="CS706" t="str">
        <f t="shared" si="154"/>
        <v>Yes</v>
      </c>
    </row>
    <row r="707" spans="1:97" ht="69.900000000000006" customHeight="1">
      <c r="A707">
        <f>IF(OR($B707&lt;&gt;"Yes",$BS707=""),"",SUMPRODUCT(($B$500:$B$923="Yes")*ISNUMBER($BS$500:$BS$923)*($BS$500:$BS$923&gt;$BS707))+COUNTIFS($B$500:$B707,"Yes",$BS$500:$BS707,$BS707))</f>
        <v>86</v>
      </c>
      <c r="B707" t="str">
        <f t="shared" si="123"/>
        <v>Yes</v>
      </c>
      <c r="C707" t="s">
        <v>1987</v>
      </c>
      <c r="D707" t="s">
        <v>2002</v>
      </c>
      <c r="E707" t="s">
        <v>2050</v>
      </c>
      <c r="F707" t="s">
        <v>3687</v>
      </c>
      <c r="G707" t="str">
        <f>IF($H707="","",IFERROR(INDEX(_ENGINE_Risk!$H$5:$M$499,MATCH($E707,_ENGINE_Risk!$A$5:$A$499,0),$H707+1),""))</f>
        <v>Severe risk: safety stock, reorder points, min/max levels and buffer rules by criticality and lead time is not reliably controlled. During Supplier/logistics disruption; Manufacturing disruption; Demand shock, the organization may face supplier failure, logistics disruption, inventory shortages and production or delivery delays with limited visibility or accountability.</v>
      </c>
      <c r="H707">
        <f>IFERROR(VALUE(INDEX(_DATA_Assessment_Model!$H$5:$H$884,MATCH($E707,_DATA_Assessment_Model!$A$5:$A$884,0))),"")</f>
        <v>0</v>
      </c>
      <c r="I707" t="str">
        <f>IF($H707="","",IFERROR(INDEX(_DATA_Assessment_Model!$L$5:$L$884,MATCH($E707,_DATA_Assessment_Model!$A$5:$A$884,0)),IF($H707&lt;=1,"Critical",IF($H707=2,"High",IF($H707=3,"Medium",IF($H707=4,"Low","Resilient"))))))</f>
        <v>Critical</v>
      </c>
      <c r="J707">
        <f t="shared" si="124"/>
        <v>3.7</v>
      </c>
      <c r="K707">
        <f t="shared" si="125"/>
        <v>4.5</v>
      </c>
      <c r="L707">
        <f t="shared" si="126"/>
        <v>16.650000000000002</v>
      </c>
      <c r="M707">
        <f t="shared" si="127"/>
        <v>4</v>
      </c>
      <c r="N707">
        <f>IF($H707="","",IFERROR(INDEX(_ENGINE_Risk!$T$5:$Y$499,MATCH($E707,_ENGINE_Risk!$A$5:$A$499,0),$H707+1),""))</f>
        <v>4</v>
      </c>
      <c r="O707">
        <f t="shared" si="128"/>
        <v>4.666666666666667</v>
      </c>
      <c r="P707">
        <f t="shared" si="129"/>
        <v>5</v>
      </c>
      <c r="Q707">
        <f t="shared" si="130"/>
        <v>5</v>
      </c>
      <c r="R707">
        <f t="shared" si="131"/>
        <v>4.5</v>
      </c>
      <c r="S707">
        <f t="shared" si="132"/>
        <v>1.2</v>
      </c>
      <c r="T707" t="str">
        <f>IF($H707="","",IFERROR(INDEX(_ENGINE_Risk!$N$5:$S$499,MATCH($E707,_ENGINE_Risk!$A$5:$A$499,0),$H707+1),""))</f>
        <v>Create an immediate risk owner, minimum control baseline and fallback procedure for safety stock, reorder points, min/max levels and buffer rules by criticality and lead time. Add it to the crisis risk register and collect first evidence.</v>
      </c>
      <c r="U707">
        <f>IFERROR(INDEX(_DATA_Assessment_Model!$G$5:$G$884,MATCH($E707,_DATA_Assessment_Model!$A$5:$A$884,0)),"")</f>
        <v>5</v>
      </c>
      <c r="V707">
        <f>IFERROR(INDEX(_DATA_Assessment_Model!$W$5:$W$884,MATCH($E707,_DATA_Assessment_Model!$A$5:$A$884,0)),"")</f>
        <v>4</v>
      </c>
      <c r="W707">
        <f>IFERROR(INDEX(_DATA_Assessment_Model!$X$5:$X$884,MATCH($E707,_DATA_Assessment_Model!$A$5:$A$884,0)),"")</f>
        <v>5</v>
      </c>
      <c r="X707">
        <f>IFERROR(INDEX(_DATA_Assessment_Model!$Y$5:$Y$884,MATCH($E707,_DATA_Assessment_Model!$A$5:$A$884,0)),"")</f>
        <v>5</v>
      </c>
      <c r="Y707" t="s">
        <v>1994</v>
      </c>
      <c r="Z707" t="s">
        <v>7365</v>
      </c>
      <c r="AA707" t="s">
        <v>2052</v>
      </c>
      <c r="AB707">
        <f>IFERROR(INDEX(_DATA_Assessment_Model!$U$5:$U$884,MATCH($E707,_DATA_Assessment_Model!$A$5:$A$884,0)),"")</f>
        <v>0</v>
      </c>
      <c r="AF707" t="s">
        <v>2051</v>
      </c>
      <c r="AO707">
        <f>IF($B707="Yes",IF(IFERROR(INDEX(_ENGINE_Crisis!$F$501:$F$517,MATCH($C707,_ENGINE_Crisis!$A$501:$A$517,0)),1)=0,1,IFERROR(INDEX(_ENGINE_Crisis!$F$501:$F$517,MATCH($C707,_ENGINE_Crisis!$A$501:$A$517,0)),1)),"")</f>
        <v>1</v>
      </c>
      <c r="AP707">
        <f t="shared" si="133"/>
        <v>16.7</v>
      </c>
      <c r="AQ707">
        <f t="shared" si="134"/>
        <v>1.2</v>
      </c>
      <c r="AR707" t="str">
        <f>IFERROR(INDEX(_ENGINE_Crisis!$E$41:$E$700,MATCH('Resilience &amp; Risk Scenario'!$B$6&amp;"|"&amp;$C707,_ENGINE_Crisis!$I$41:$I$700,0)),"")</f>
        <v/>
      </c>
      <c r="AS707" t="str">
        <f>IFERROR(INDEX(_ENGINE_Crisis!$G$41:$G$700,MATCH('Resilience &amp; Risk Scenario'!$B$6&amp;"|"&amp;$C707,_ENGINE_Crisis!$I$41:$I$700,0)),"")</f>
        <v/>
      </c>
      <c r="AT707" t="str">
        <f>IFERROR(INDEX(_ENGINE_Initiatives!$A$5:$A$532,MATCH(1,INDEX((_ENGINE_Initiatives!$B$5:$B$532=$C707)*(_ENGINE_Initiatives!$C$5:$C$532=$D707),0),0)),"")</f>
        <v>INI-034</v>
      </c>
      <c r="AU707" t="str">
        <f>IFERROR(INDEX(_ENGINE_Initiatives!$F$5:$F$532,MATCH(1,INDEX((_ENGINE_Initiatives!$B$5:$B$532=$C707)*(_ENGINE_Initiatives!$C$5:$C$532=$D707),0),0)),"")</f>
        <v>Implement inventory visibility and demand/supply planning</v>
      </c>
      <c r="AV707">
        <f>IFERROR(INDEX(_ENGINE_Initiatives!$AC$5:$AC$532,MATCH(1,INDEX((_ENGINE_Initiatives!$B$5:$B$532=$C707)*(_ENGINE_Initiatives!$C$5:$C$532=$D707),0),0)),"")</f>
        <v>1.79</v>
      </c>
      <c r="AW707" t="str">
        <f>IFERROR(INDEX(_ENGINE_Initiatives!$AE$5:$AE$532,MATCH(1,INDEX((_ENGINE_Initiatives!$B$5:$B$532=$C707)*(_ENGINE_Initiatives!$C$5:$C$532=$D707),0),0)),"")</f>
        <v>3-6 months</v>
      </c>
      <c r="AX707">
        <f>IF($B707="Yes",IFERROR((IF(SUMIFS(_REF_Model_Content!$E$1:$E$613,_REF_Model_Content!$A$1:$A$613,PV_Canonical_Industry,_REF_Model_Content!$B$1:$B$613,$C707)=0,1,SUMIFS(_REF_Model_Content!$E$1:$E$613,_REF_Model_Content!$A$1:$A$613,PV_Canonical_Industry,_REF_Model_Content!$B$1:$B$613,$C707))*IFERROR($BU707,1)),1),"")</f>
        <v>1</v>
      </c>
      <c r="AY707">
        <f t="shared" si="135"/>
        <v>16.7</v>
      </c>
      <c r="AZ707">
        <f t="shared" si="136"/>
        <v>1.2</v>
      </c>
      <c r="BB707" t="str">
        <f>IF($H707="","",IFERROR(INDEX(_ENGINE_Risk!$AE$5:$AE$499,MATCH($E707,_ENGINE_Risk!$A$5:$A$499,0)),"Medium"))</f>
        <v>Fast</v>
      </c>
      <c r="BC707">
        <f t="shared" si="137"/>
        <v>1.25</v>
      </c>
      <c r="BD707">
        <f t="shared" si="138"/>
        <v>1.2</v>
      </c>
      <c r="BF707">
        <f>IF(OR($H707="",$J707=""),"",IFERROR(VLOOKUP(ROUND($J707,0),_CONFIG_Model_Settings!$D$154:$E$158,2,0),""))</f>
        <v>0.5</v>
      </c>
      <c r="BG707">
        <f>IFERROR(IF(OR($H707="",$K707=""),"",ROUND('Company Profile'!$B$113*INDEX(_CONFIG_Model_Settings!$H$154:$H$158,MATCH(ROUND($K707,0),_CONFIG_Model_Settings!$G$154:$G$158,0)),0)),0)</f>
        <v>1875</v>
      </c>
      <c r="BH707">
        <f t="shared" si="139"/>
        <v>937.5</v>
      </c>
      <c r="BI707">
        <f t="shared" si="140"/>
        <v>937.5</v>
      </c>
      <c r="BJ707">
        <f>IF($E707="","",IFERROR(VLOOKUP($C707,_CONFIG_Risk_Calibration!$A$5:$H$21,2,FALSE),3))</f>
        <v>3</v>
      </c>
      <c r="BK707">
        <f>IF($E707="","",IFERROR(VLOOKUP($C707,_CONFIG_Risk_Calibration!$A$5:$H$21,3,FALSE),0))</f>
        <v>0</v>
      </c>
      <c r="BL707">
        <f>IF($E707="","",IFERROR(VLOOKUP($C707,_CONFIG_Risk_Calibration!$A$5:$H$21,4,FALSE),3))</f>
        <v>3</v>
      </c>
      <c r="BM707">
        <f>IF($E707="","",IFERROR(VLOOKUP($C707,_CONFIG_Risk_Calibration!$A$5:$H$21,5,FALSE),3))</f>
        <v>4</v>
      </c>
      <c r="BN707" t="str">
        <f>IF($E707="","",IFERROR(VLOOKUP($C707,_CONFIG_Risk_Calibration!$A$5:$H$21,6,FALSE),"No"))</f>
        <v>No</v>
      </c>
      <c r="BO707">
        <f>IF($E707="","",IFERROR(VLOOKUP($C707,_CONFIG_Risk_Calibration!$A$5:$H$21,7,FALSE),1))</f>
        <v>1</v>
      </c>
      <c r="BP707">
        <f>IF($H707="","",MAX(1,MIN(5,((6-$H707)*0.45)+($BJ707*0.2)+('Resilience &amp; Risk Scenario'!$B$7*0.15)+($BK707*0.1)+($BL707*0.05)+(IF($BB707="Fast",5,IF($BB707="Slow",1,3))*0.05))))</f>
        <v>3.7</v>
      </c>
      <c r="BQ707">
        <f t="shared" si="141"/>
        <v>4.5</v>
      </c>
      <c r="BR707">
        <f t="shared" si="142"/>
        <v>16.649999999999999</v>
      </c>
      <c r="BS707">
        <f t="shared" si="143"/>
        <v>22.89</v>
      </c>
      <c r="BT707" t="str">
        <f>IFERROR(INDEX(_REF_Capability_Bridge!$D:$D,MATCH($C707&amp;"|"&amp;$D707,_REF_Capability_Bridge!$J:$J,0)),IFERROR(INDEX(_REF_Capability_Bridge!$D:$D,MATCH($C707&amp;"|",_REF_Capability_Bridge!$J:$J,0)),"CAP_GENERIC"))</f>
        <v>CAP_INVENTORY_PLANNING</v>
      </c>
      <c r="BU707">
        <f>IFERROR(IFERROR(INDEX(_ENGINE_Relevance!$L:$L,MATCH($BT707,_ENGINE_Relevance!$B:$B,0)),1),1)</f>
        <v>1</v>
      </c>
      <c r="BV707" t="str">
        <f>IFERROR(INDEX(_REF_Capability_Bridge!$A:$A,MATCH($C707&amp;"|"&amp;$D707,_REF_Capability_Bridge!$J:$J,0)),IFERROR(INDEX(_REF_Capability_Bridge!$A:$A,MATCH($C707&amp;"|",_REF_Capability_Bridge!$J:$J,0)),"No bridge"))</f>
        <v>BRG-089</v>
      </c>
      <c r="BW707" t="str">
        <f t="shared" si="144"/>
        <v>Capability relevance neutral</v>
      </c>
      <c r="BX707" t="str">
        <f t="shared" si="145"/>
        <v>Initial / absent</v>
      </c>
      <c r="BY707" t="str">
        <f>IF($E707="","",IFERROR(INDEX(_REF_Treatment_Library!$A$2:$A$296,MATCH(1,INDEX((_REF_Treatment_Library!$B$2:$B$296=$BT707)*(_REF_Treatment_Library!$C$2:$C$296=PV_Canonical_Industry)*(_REF_Treatment_Library!$E$2:$E$296&lt;=N($H707))*(_REF_Treatment_Library!$F$2:$F$296&gt;=N($H707))*(_REF_Treatment_Library!$O$2:$O$296="Yes"),0),0)),IFERROR(INDEX(_REF_Treatment_Library!$A$2:$A$296,MATCH(1,INDEX((_REF_Treatment_Library!$B$2:$B$296=$BT707)*(_REF_Treatment_Library!$C$2:$C$296="All")*(_REF_Treatment_Library!$E$2:$E$296&lt;=N($H707))*(_REF_Treatment_Library!$F$2:$F$296&gt;=N($H707))*(_REF_Treatment_Library!$O$2:$O$296="Yes"),0),0)),"")))</f>
        <v>TRT-INVENTORY_PLANNING-INITIAL</v>
      </c>
      <c r="BZ707" t="str">
        <f>IF($BY707="","",IFERROR(INDEX(_REF_Treatment_Library!$H$2:$H$296,MATCH($BY707,_REF_Treatment_Library!$A$2:$A$296,0)),""))</f>
        <v>Establish</v>
      </c>
      <c r="CA707" t="str">
        <f>IF($BY707="","",IFERROR(INDEX(_REF_Treatment_Library!$I$2:$I$296,MATCH($BY707,_REF_Treatment_Library!$A$2:$A$296,0)),""))</f>
        <v>Establish baseline controls for Inventory planning</v>
      </c>
      <c r="CB707" t="str">
        <f>IF($BY707="","",IFERROR(INDEX(_REF_Treatment_Library!$K$2:$K$296,MATCH($BY707,_REF_Treatment_Library!$A$2:$A$296,0)),""))</f>
        <v>Named owner, baseline process, minimum control checklist, first evidence package</v>
      </c>
      <c r="CC707" t="str">
        <f>IF($BY707="","",IFERROR(INDEX(_REF_Treatment_Library!$L$2:$L$296,MATCH($BY707,_REF_Treatment_Library!$A$2:$A$296,0)),""))</f>
        <v>Owner assigned; baseline evidence coverage; open critical gaps</v>
      </c>
      <c r="CD707" t="str">
        <f t="shared" si="146"/>
        <v>Treatment by capability=CAP_INVENTORY_PLANNING; band=Initial / absent; score=0.0; treatment=Establish</v>
      </c>
      <c r="CE707" t="str">
        <f>IF($E707="","",IFERROR(INDEX(_REF_Industry_Wording!$A$2:$A$70,MATCH(1,INDEX((_REF_Industry_Wording!$B$2:$B$70=$BT707)*(_REF_Industry_Wording!$C$2:$C$70=PV_Canonical_Industry)*(_REF_Industry_Wording!$K$2:$K$70="Yes"),0),0)),IFERROR(INDEX(_REF_Industry_Wording!$A$2:$A$70,MATCH(1,INDEX((_REF_Industry_Wording!$B$2:$B$70=$BT707)*(_REF_Industry_Wording!$C$2:$C$70="All")*(_REF_Industry_Wording!$K$2:$K$70="Yes"),0),0)),"")))</f>
        <v>IW-ALL-INVENTORY_PLANNING</v>
      </c>
      <c r="CF707" t="str">
        <f>IF($CE707="","",IFERROR(INDEX(_REF_Industry_Wording!$E$2:$E$70,MATCH($CE707,_REF_Industry_Wording!$A$2:$A$70,0)),""))</f>
        <v>Inventory planning weakness</v>
      </c>
      <c r="CG707" t="str">
        <f>IF($CE707="","",IFERROR(INDEX(_REF_Industry_Wording!$F$2:$F$70,MATCH($CE707,_REF_Industry_Wording!$A$2:$A$70,0)),""))</f>
        <v>Strengthen Inventory planning</v>
      </c>
      <c r="CH707" t="str">
        <f>IF($CE707="","",IFERROR(INDEX(_REF_Industry_Wording!$G$2:$G$70,MATCH($CE707,_REF_Industry_Wording!$A$2:$A$70,0)),""))</f>
        <v>Strengthen Inventory planning using the selected maturity treatment, crisis scenario and evidence requirements.</v>
      </c>
      <c r="CI707" t="str">
        <f>IF($CE707="","",IFERROR(INDEX(_REF_Industry_Wording!$H$2:$H$70,MATCH($CE707,_REF_Industry_Wording!$A$2:$A$70,0)),""))</f>
        <v>Inventory planning</v>
      </c>
      <c r="CJ707">
        <f>IF($CE707="","",IFERROR(INDEX(_REF_Industry_Wording!$I$2:$I$70,MATCH($CE707,_REF_Industry_Wording!$A$2:$A$70,0)),""))</f>
        <v>0</v>
      </c>
      <c r="CK707" t="str">
        <f>IF($CE707="","",IFERROR(INDEX(_REF_Industry_Wording!$J$2:$J$70,MATCH($CE707,_REF_Industry_Wording!$A$2:$A$70,0)),""))</f>
        <v>Inventory planning</v>
      </c>
      <c r="CL707" t="str">
        <f t="shared" si="147"/>
        <v>Wording by industry=0; capability=CAP_INVENTORY_PLANNING; risk label=Inventory planning weakness</v>
      </c>
      <c r="CM707" t="str">
        <f t="shared" si="148"/>
        <v>RISK-ONT-0208</v>
      </c>
      <c r="CN707" t="str">
        <f t="shared" si="149"/>
        <v>RISK-EVT-0208</v>
      </c>
      <c r="CO707" t="str">
        <f t="shared" si="150"/>
        <v>Supply Chain|Inventory and planning|SUPP-013|CAP_INVENTORY_PLANNING</v>
      </c>
      <c r="CP707" t="str">
        <f t="shared" si="151"/>
        <v>Active</v>
      </c>
      <c r="CQ707" t="str">
        <f t="shared" si="152"/>
        <v>OK: capability-driven</v>
      </c>
      <c r="CR707" t="str">
        <f t="shared" si="153"/>
        <v>Risk ontology uses capability=CAP_INVENTORY_PLANNING; bridge=BRG-089; treatment=TRT-INVENTORY_PLANNING-INITIAL; wording=IW-ALL-INVENTORY_PLANNING</v>
      </c>
      <c r="CS707" t="str">
        <f t="shared" si="154"/>
        <v>Yes</v>
      </c>
    </row>
    <row r="708" spans="1:97" ht="69.900000000000006" customHeight="1">
      <c r="A708">
        <f>IF(OR($B708&lt;&gt;"Yes",$BS708=""),"",SUMPRODUCT(($B$500:$B$923="Yes")*ISNUMBER($BS$500:$BS$923)*($BS$500:$BS$923&gt;$BS708))+COUNTIFS($B$500:$B708,"Yes",$BS$500:$BS708,$BS708))</f>
        <v>97</v>
      </c>
      <c r="B708" t="str">
        <f t="shared" si="123"/>
        <v>Yes</v>
      </c>
      <c r="C708" t="s">
        <v>1987</v>
      </c>
      <c r="D708" t="s">
        <v>2002</v>
      </c>
      <c r="E708" t="s">
        <v>2053</v>
      </c>
      <c r="F708" t="s">
        <v>3687</v>
      </c>
      <c r="G708" t="str">
        <f>IF($H708="","",IFERROR(INDEX(_ENGINE_Risk!$H$5:$M$499,MATCH($E708,_ENGINE_Risk!$A$5:$A$499,0),$H708+1),""))</f>
        <v>Severe risk: inventory visibility by SKU, location, status, shelf life, batch and ownership is not reliably controlled. During Supplier/logistics disruption; Manufacturing disruption; Demand shock, the organization may face supplier failure, logistics disruption, inventory shortages and production or delivery delays with limited visibility or accountability.</v>
      </c>
      <c r="H708">
        <f>IFERROR(VALUE(INDEX(_DATA_Assessment_Model!$H$5:$H$884,MATCH($E708,_DATA_Assessment_Model!$A$5:$A$884,0))),"")</f>
        <v>0</v>
      </c>
      <c r="I708" t="str">
        <f>IF($H708="","",IFERROR(INDEX(_DATA_Assessment_Model!$L$5:$L$884,MATCH($E708,_DATA_Assessment_Model!$A$5:$A$884,0)),IF($H708&lt;=1,"Critical",IF($H708=2,"High",IF($H708=3,"Medium",IF($H708=4,"Low","Resilient"))))))</f>
        <v>Critical</v>
      </c>
      <c r="J708">
        <f t="shared" si="124"/>
        <v>3.7</v>
      </c>
      <c r="K708">
        <f t="shared" si="125"/>
        <v>4.3</v>
      </c>
      <c r="L708">
        <f t="shared" si="126"/>
        <v>15.91</v>
      </c>
      <c r="M708">
        <f t="shared" si="127"/>
        <v>4</v>
      </c>
      <c r="N708">
        <f>IF($H708="","",IFERROR(INDEX(_ENGINE_Risk!$T$5:$Y$499,MATCH($E708,_ENGINE_Risk!$A$5:$A$499,0),$H708+1),""))</f>
        <v>4</v>
      </c>
      <c r="O708">
        <f t="shared" si="128"/>
        <v>4.333333333333333</v>
      </c>
      <c r="P708">
        <f t="shared" si="129"/>
        <v>5</v>
      </c>
      <c r="Q708">
        <f t="shared" si="130"/>
        <v>5</v>
      </c>
      <c r="R708">
        <f t="shared" si="131"/>
        <v>4.5</v>
      </c>
      <c r="S708">
        <f t="shared" si="132"/>
        <v>1.18</v>
      </c>
      <c r="T708" t="str">
        <f>IF($H708="","",IFERROR(INDEX(_ENGINE_Risk!$N$5:$S$499,MATCH($E708,_ENGINE_Risk!$A$5:$A$499,0),$H708+1),""))</f>
        <v>Create an immediate risk owner, minimum control baseline and fallback procedure for inventory visibility by SKU, location, status, shelf life, batch and ownership. Add it to the crisis risk register and collect first evidence.</v>
      </c>
      <c r="U708">
        <f>IFERROR(INDEX(_DATA_Assessment_Model!$G$5:$G$884,MATCH($E708,_DATA_Assessment_Model!$A$5:$A$884,0)),"")</f>
        <v>4</v>
      </c>
      <c r="V708">
        <f>IFERROR(INDEX(_DATA_Assessment_Model!$W$5:$W$884,MATCH($E708,_DATA_Assessment_Model!$A$5:$A$884,0)),"")</f>
        <v>4</v>
      </c>
      <c r="W708">
        <f>IFERROR(INDEX(_DATA_Assessment_Model!$X$5:$X$884,MATCH($E708,_DATA_Assessment_Model!$A$5:$A$884,0)),"")</f>
        <v>5</v>
      </c>
      <c r="X708">
        <f>IFERROR(INDEX(_DATA_Assessment_Model!$Y$5:$Y$884,MATCH($E708,_DATA_Assessment_Model!$A$5:$A$884,0)),"")</f>
        <v>5</v>
      </c>
      <c r="Y708" t="s">
        <v>1994</v>
      </c>
      <c r="Z708" t="s">
        <v>7365</v>
      </c>
      <c r="AA708" t="s">
        <v>2055</v>
      </c>
      <c r="AB708">
        <f>IFERROR(INDEX(_DATA_Assessment_Model!$U$5:$U$884,MATCH($E708,_DATA_Assessment_Model!$A$5:$A$884,0)),"")</f>
        <v>0</v>
      </c>
      <c r="AF708" t="s">
        <v>2054</v>
      </c>
      <c r="AO708">
        <f>IF($B708="Yes",IF(IFERROR(INDEX(_ENGINE_Crisis!$F$501:$F$517,MATCH($C708,_ENGINE_Crisis!$A$501:$A$517,0)),1)=0,1,IFERROR(INDEX(_ENGINE_Crisis!$F$501:$F$517,MATCH($C708,_ENGINE_Crisis!$A$501:$A$517,0)),1)),"")</f>
        <v>1</v>
      </c>
      <c r="AP708">
        <f t="shared" si="133"/>
        <v>15.9</v>
      </c>
      <c r="AQ708">
        <f t="shared" si="134"/>
        <v>1.18</v>
      </c>
      <c r="AR708" t="str">
        <f>IFERROR(INDEX(_ENGINE_Crisis!$E$41:$E$700,MATCH('Resilience &amp; Risk Scenario'!$B$6&amp;"|"&amp;$C708,_ENGINE_Crisis!$I$41:$I$700,0)),"")</f>
        <v/>
      </c>
      <c r="AS708" t="str">
        <f>IFERROR(INDEX(_ENGINE_Crisis!$G$41:$G$700,MATCH('Resilience &amp; Risk Scenario'!$B$6&amp;"|"&amp;$C708,_ENGINE_Crisis!$I$41:$I$700,0)),"")</f>
        <v/>
      </c>
      <c r="AT708" t="str">
        <f>IFERROR(INDEX(_ENGINE_Initiatives!$A$5:$A$532,MATCH(1,INDEX((_ENGINE_Initiatives!$B$5:$B$532=$C708)*(_ENGINE_Initiatives!$C$5:$C$532=$D708),0),0)),"")</f>
        <v>INI-034</v>
      </c>
      <c r="AU708" t="str">
        <f>IFERROR(INDEX(_ENGINE_Initiatives!$F$5:$F$532,MATCH(1,INDEX((_ENGINE_Initiatives!$B$5:$B$532=$C708)*(_ENGINE_Initiatives!$C$5:$C$532=$D708),0),0)),"")</f>
        <v>Implement inventory visibility and demand/supply planning</v>
      </c>
      <c r="AV708">
        <f>IFERROR(INDEX(_ENGINE_Initiatives!$AC$5:$AC$532,MATCH(1,INDEX((_ENGINE_Initiatives!$B$5:$B$532=$C708)*(_ENGINE_Initiatives!$C$5:$C$532=$D708),0),0)),"")</f>
        <v>1.79</v>
      </c>
      <c r="AW708" t="str">
        <f>IFERROR(INDEX(_ENGINE_Initiatives!$AE$5:$AE$532,MATCH(1,INDEX((_ENGINE_Initiatives!$B$5:$B$532=$C708)*(_ENGINE_Initiatives!$C$5:$C$532=$D708),0),0)),"")</f>
        <v>3-6 months</v>
      </c>
      <c r="AX708">
        <f>IF($B708="Yes",IFERROR((IF(SUMIFS(_REF_Model_Content!$E$1:$E$613,_REF_Model_Content!$A$1:$A$613,PV_Canonical_Industry,_REF_Model_Content!$B$1:$B$613,$C708)=0,1,SUMIFS(_REF_Model_Content!$E$1:$E$613,_REF_Model_Content!$A$1:$A$613,PV_Canonical_Industry,_REF_Model_Content!$B$1:$B$613,$C708))*IFERROR($BU708,1)),1),"")</f>
        <v>1</v>
      </c>
      <c r="AY708">
        <f t="shared" si="135"/>
        <v>15.9</v>
      </c>
      <c r="AZ708">
        <f t="shared" si="136"/>
        <v>1.18</v>
      </c>
      <c r="BB708" t="str">
        <f>IF($H708="","",IFERROR(INDEX(_ENGINE_Risk!$AE$5:$AE$499,MATCH($E708,_ENGINE_Risk!$A$5:$A$499,0)),"Medium"))</f>
        <v>Fast</v>
      </c>
      <c r="BC708">
        <f t="shared" si="137"/>
        <v>1.25</v>
      </c>
      <c r="BD708">
        <f t="shared" si="138"/>
        <v>1.18</v>
      </c>
      <c r="BF708">
        <f>IF(OR($H708="",$J708=""),"",IFERROR(VLOOKUP(ROUND($J708,0),_CONFIG_Model_Settings!$D$154:$E$158,2,0),""))</f>
        <v>0.5</v>
      </c>
      <c r="BG708">
        <f>IFERROR(IF(OR($H708="",$K708=""),"",ROUND('Company Profile'!$B$113*INDEX(_CONFIG_Model_Settings!$H$154:$H$158,MATCH(ROUND($K708,0),_CONFIG_Model_Settings!$G$154:$G$158,0)),0)),0)</f>
        <v>875</v>
      </c>
      <c r="BH708">
        <f t="shared" si="139"/>
        <v>437.5</v>
      </c>
      <c r="BI708">
        <f t="shared" si="140"/>
        <v>437.5</v>
      </c>
      <c r="BJ708">
        <f>IF($E708="","",IFERROR(VLOOKUP($C708,_CONFIG_Risk_Calibration!$A$5:$H$21,2,FALSE),3))</f>
        <v>3</v>
      </c>
      <c r="BK708">
        <f>IF($E708="","",IFERROR(VLOOKUP($C708,_CONFIG_Risk_Calibration!$A$5:$H$21,3,FALSE),0))</f>
        <v>0</v>
      </c>
      <c r="BL708">
        <f>IF($E708="","",IFERROR(VLOOKUP($C708,_CONFIG_Risk_Calibration!$A$5:$H$21,4,FALSE),3))</f>
        <v>3</v>
      </c>
      <c r="BM708">
        <f>IF($E708="","",IFERROR(VLOOKUP($C708,_CONFIG_Risk_Calibration!$A$5:$H$21,5,FALSE),3))</f>
        <v>4</v>
      </c>
      <c r="BN708" t="str">
        <f>IF($E708="","",IFERROR(VLOOKUP($C708,_CONFIG_Risk_Calibration!$A$5:$H$21,6,FALSE),"No"))</f>
        <v>No</v>
      </c>
      <c r="BO708">
        <f>IF($E708="","",IFERROR(VLOOKUP($C708,_CONFIG_Risk_Calibration!$A$5:$H$21,7,FALSE),1))</f>
        <v>1</v>
      </c>
      <c r="BP708">
        <f>IF($H708="","",MAX(1,MIN(5,((6-$H708)*0.45)+($BJ708*0.2)+('Resilience &amp; Risk Scenario'!$B$7*0.15)+($BK708*0.1)+($BL708*0.05)+(IF($BB708="Fast",5,IF($BB708="Slow",1,3))*0.05))))</f>
        <v>3.7</v>
      </c>
      <c r="BQ708">
        <f t="shared" si="141"/>
        <v>4.3</v>
      </c>
      <c r="BR708">
        <f t="shared" si="142"/>
        <v>15.91</v>
      </c>
      <c r="BS708">
        <f t="shared" si="143"/>
        <v>21.88</v>
      </c>
      <c r="BT708" t="str">
        <f>IFERROR(INDEX(_REF_Capability_Bridge!$D:$D,MATCH($C708&amp;"|"&amp;$D708,_REF_Capability_Bridge!$J:$J,0)),IFERROR(INDEX(_REF_Capability_Bridge!$D:$D,MATCH($C708&amp;"|",_REF_Capability_Bridge!$J:$J,0)),"CAP_GENERIC"))</f>
        <v>CAP_INVENTORY_PLANNING</v>
      </c>
      <c r="BU708">
        <f>IFERROR(IFERROR(INDEX(_ENGINE_Relevance!$L:$L,MATCH($BT708,_ENGINE_Relevance!$B:$B,0)),1),1)</f>
        <v>1</v>
      </c>
      <c r="BV708" t="str">
        <f>IFERROR(INDEX(_REF_Capability_Bridge!$A:$A,MATCH($C708&amp;"|"&amp;$D708,_REF_Capability_Bridge!$J:$J,0)),IFERROR(INDEX(_REF_Capability_Bridge!$A:$A,MATCH($C708&amp;"|",_REF_Capability_Bridge!$J:$J,0)),"No bridge"))</f>
        <v>BRG-089</v>
      </c>
      <c r="BW708" t="str">
        <f t="shared" si="144"/>
        <v>Capability relevance neutral</v>
      </c>
      <c r="BX708" t="str">
        <f t="shared" si="145"/>
        <v>Initial / absent</v>
      </c>
      <c r="BY708" t="str">
        <f>IF($E708="","",IFERROR(INDEX(_REF_Treatment_Library!$A$2:$A$296,MATCH(1,INDEX((_REF_Treatment_Library!$B$2:$B$296=$BT708)*(_REF_Treatment_Library!$C$2:$C$296=PV_Canonical_Industry)*(_REF_Treatment_Library!$E$2:$E$296&lt;=N($H708))*(_REF_Treatment_Library!$F$2:$F$296&gt;=N($H708))*(_REF_Treatment_Library!$O$2:$O$296="Yes"),0),0)),IFERROR(INDEX(_REF_Treatment_Library!$A$2:$A$296,MATCH(1,INDEX((_REF_Treatment_Library!$B$2:$B$296=$BT708)*(_REF_Treatment_Library!$C$2:$C$296="All")*(_REF_Treatment_Library!$E$2:$E$296&lt;=N($H708))*(_REF_Treatment_Library!$F$2:$F$296&gt;=N($H708))*(_REF_Treatment_Library!$O$2:$O$296="Yes"),0),0)),"")))</f>
        <v>TRT-INVENTORY_PLANNING-INITIAL</v>
      </c>
      <c r="BZ708" t="str">
        <f>IF($BY708="","",IFERROR(INDEX(_REF_Treatment_Library!$H$2:$H$296,MATCH($BY708,_REF_Treatment_Library!$A$2:$A$296,0)),""))</f>
        <v>Establish</v>
      </c>
      <c r="CA708" t="str">
        <f>IF($BY708="","",IFERROR(INDEX(_REF_Treatment_Library!$I$2:$I$296,MATCH($BY708,_REF_Treatment_Library!$A$2:$A$296,0)),""))</f>
        <v>Establish baseline controls for Inventory planning</v>
      </c>
      <c r="CB708" t="str">
        <f>IF($BY708="","",IFERROR(INDEX(_REF_Treatment_Library!$K$2:$K$296,MATCH($BY708,_REF_Treatment_Library!$A$2:$A$296,0)),""))</f>
        <v>Named owner, baseline process, minimum control checklist, first evidence package</v>
      </c>
      <c r="CC708" t="str">
        <f>IF($BY708="","",IFERROR(INDEX(_REF_Treatment_Library!$L$2:$L$296,MATCH($BY708,_REF_Treatment_Library!$A$2:$A$296,0)),""))</f>
        <v>Owner assigned; baseline evidence coverage; open critical gaps</v>
      </c>
      <c r="CD708" t="str">
        <f t="shared" si="146"/>
        <v>Treatment by capability=CAP_INVENTORY_PLANNING; band=Initial / absent; score=0.0; treatment=Establish</v>
      </c>
      <c r="CE708" t="str">
        <f>IF($E708="","",IFERROR(INDEX(_REF_Industry_Wording!$A$2:$A$70,MATCH(1,INDEX((_REF_Industry_Wording!$B$2:$B$70=$BT708)*(_REF_Industry_Wording!$C$2:$C$70=PV_Canonical_Industry)*(_REF_Industry_Wording!$K$2:$K$70="Yes"),0),0)),IFERROR(INDEX(_REF_Industry_Wording!$A$2:$A$70,MATCH(1,INDEX((_REF_Industry_Wording!$B$2:$B$70=$BT708)*(_REF_Industry_Wording!$C$2:$C$70="All")*(_REF_Industry_Wording!$K$2:$K$70="Yes"),0),0)),"")))</f>
        <v>IW-ALL-INVENTORY_PLANNING</v>
      </c>
      <c r="CF708" t="str">
        <f>IF($CE708="","",IFERROR(INDEX(_REF_Industry_Wording!$E$2:$E$70,MATCH($CE708,_REF_Industry_Wording!$A$2:$A$70,0)),""))</f>
        <v>Inventory planning weakness</v>
      </c>
      <c r="CG708" t="str">
        <f>IF($CE708="","",IFERROR(INDEX(_REF_Industry_Wording!$F$2:$F$70,MATCH($CE708,_REF_Industry_Wording!$A$2:$A$70,0)),""))</f>
        <v>Strengthen Inventory planning</v>
      </c>
      <c r="CH708" t="str">
        <f>IF($CE708="","",IFERROR(INDEX(_REF_Industry_Wording!$G$2:$G$70,MATCH($CE708,_REF_Industry_Wording!$A$2:$A$70,0)),""))</f>
        <v>Strengthen Inventory planning using the selected maturity treatment, crisis scenario and evidence requirements.</v>
      </c>
      <c r="CI708" t="str">
        <f>IF($CE708="","",IFERROR(INDEX(_REF_Industry_Wording!$H$2:$H$70,MATCH($CE708,_REF_Industry_Wording!$A$2:$A$70,0)),""))</f>
        <v>Inventory planning</v>
      </c>
      <c r="CJ708">
        <f>IF($CE708="","",IFERROR(INDEX(_REF_Industry_Wording!$I$2:$I$70,MATCH($CE708,_REF_Industry_Wording!$A$2:$A$70,0)),""))</f>
        <v>0</v>
      </c>
      <c r="CK708" t="str">
        <f>IF($CE708="","",IFERROR(INDEX(_REF_Industry_Wording!$J$2:$J$70,MATCH($CE708,_REF_Industry_Wording!$A$2:$A$70,0)),""))</f>
        <v>Inventory planning</v>
      </c>
      <c r="CL708" t="str">
        <f t="shared" si="147"/>
        <v>Wording by industry=0; capability=CAP_INVENTORY_PLANNING; risk label=Inventory planning weakness</v>
      </c>
      <c r="CM708" t="str">
        <f t="shared" si="148"/>
        <v>RISK-ONT-0209</v>
      </c>
      <c r="CN708" t="str">
        <f t="shared" si="149"/>
        <v>RISK-EVT-0209</v>
      </c>
      <c r="CO708" t="str">
        <f t="shared" si="150"/>
        <v>Supply Chain|Inventory and planning|SUPP-014|CAP_INVENTORY_PLANNING</v>
      </c>
      <c r="CP708" t="str">
        <f t="shared" si="151"/>
        <v>Active</v>
      </c>
      <c r="CQ708" t="str">
        <f t="shared" si="152"/>
        <v>OK: capability-driven</v>
      </c>
      <c r="CR708" t="str">
        <f t="shared" si="153"/>
        <v>Risk ontology uses capability=CAP_INVENTORY_PLANNING; bridge=BRG-089; treatment=TRT-INVENTORY_PLANNING-INITIAL; wording=IW-ALL-INVENTORY_PLANNING</v>
      </c>
      <c r="CS708" t="str">
        <f t="shared" si="154"/>
        <v>Yes</v>
      </c>
    </row>
    <row r="709" spans="1:97" ht="69.900000000000006" customHeight="1">
      <c r="A709">
        <f>IF(OR($B709&lt;&gt;"Yes",$BS709=""),"",SUMPRODUCT(($B$500:$B$923="Yes")*ISNUMBER($BS$500:$BS$923)*($BS$500:$BS$923&gt;$BS709))+COUNTIFS($B$500:$B709,"Yes",$BS$500:$BS709,$BS709))</f>
        <v>98</v>
      </c>
      <c r="B709" t="str">
        <f t="shared" si="123"/>
        <v>Yes</v>
      </c>
      <c r="C709" t="s">
        <v>1987</v>
      </c>
      <c r="D709" t="s">
        <v>2002</v>
      </c>
      <c r="E709" t="s">
        <v>2062</v>
      </c>
      <c r="F709" t="s">
        <v>3687</v>
      </c>
      <c r="G709" t="str">
        <f>IF($H709="","",IFERROR(INDEX(_ENGINE_Risk!$H$5:$M$499,MATCH($E709,_ENGINE_Risk!$A$5:$A$499,0),$H709+1),""))</f>
        <v>Severe risk: slow-moving, obsolete or stagnant inventory analysis linked to sales and procurement decisions is not reliably controlled. During Supplier/logistics disruption; Manufacturing disruption; Demand shock, the organization may face supplier failure, logistics disruption, inventory shortages and production or delivery delays with limited visibility or accountability.</v>
      </c>
      <c r="H709">
        <f>IFERROR(VALUE(INDEX(_DATA_Assessment_Model!$H$5:$H$884,MATCH($E709,_DATA_Assessment_Model!$A$5:$A$884,0))),"")</f>
        <v>0</v>
      </c>
      <c r="I709" t="str">
        <f>IF($H709="","",IFERROR(INDEX(_DATA_Assessment_Model!$L$5:$L$884,MATCH($E709,_DATA_Assessment_Model!$A$5:$A$884,0)),IF($H709&lt;=1,"Critical",IF($H709=2,"High",IF($H709=3,"Medium",IF($H709=4,"Low","Resilient"))))))</f>
        <v>Critical</v>
      </c>
      <c r="J709">
        <f t="shared" si="124"/>
        <v>3.7</v>
      </c>
      <c r="K709">
        <f t="shared" si="125"/>
        <v>4.3</v>
      </c>
      <c r="L709">
        <f t="shared" si="126"/>
        <v>15.91</v>
      </c>
      <c r="M709">
        <f t="shared" si="127"/>
        <v>4</v>
      </c>
      <c r="N709">
        <f>IF($H709="","",IFERROR(INDEX(_ENGINE_Risk!$T$5:$Y$499,MATCH($E709,_ENGINE_Risk!$A$5:$A$499,0),$H709+1),""))</f>
        <v>4</v>
      </c>
      <c r="O709">
        <f t="shared" si="128"/>
        <v>4.333333333333333</v>
      </c>
      <c r="P709">
        <f t="shared" si="129"/>
        <v>5</v>
      </c>
      <c r="Q709">
        <f t="shared" si="130"/>
        <v>5</v>
      </c>
      <c r="R709">
        <f t="shared" si="131"/>
        <v>4.5</v>
      </c>
      <c r="S709">
        <f t="shared" si="132"/>
        <v>1.18</v>
      </c>
      <c r="T709" t="str">
        <f>IF($H709="","",IFERROR(INDEX(_ENGINE_Risk!$N$5:$S$499,MATCH($E709,_ENGINE_Risk!$A$5:$A$499,0),$H709+1),""))</f>
        <v>Create an immediate risk owner, minimum control baseline and fallback procedure for slow-moving, obsolete or stagnant inventory analysis linked to sales and procurement decisions. Add it to the crisis risk register and collect first evidence.</v>
      </c>
      <c r="U709">
        <f>IFERROR(INDEX(_DATA_Assessment_Model!$G$5:$G$884,MATCH($E709,_DATA_Assessment_Model!$A$5:$A$884,0)),"")</f>
        <v>4</v>
      </c>
      <c r="V709">
        <f>IFERROR(INDEX(_DATA_Assessment_Model!$W$5:$W$884,MATCH($E709,_DATA_Assessment_Model!$A$5:$A$884,0)),"")</f>
        <v>4</v>
      </c>
      <c r="W709">
        <f>IFERROR(INDEX(_DATA_Assessment_Model!$X$5:$X$884,MATCH($E709,_DATA_Assessment_Model!$A$5:$A$884,0)),"")</f>
        <v>5</v>
      </c>
      <c r="X709">
        <f>IFERROR(INDEX(_DATA_Assessment_Model!$Y$5:$Y$884,MATCH($E709,_DATA_Assessment_Model!$A$5:$A$884,0)),"")</f>
        <v>5</v>
      </c>
      <c r="Y709" t="s">
        <v>1994</v>
      </c>
      <c r="Z709" t="s">
        <v>7365</v>
      </c>
      <c r="AA709" t="s">
        <v>2064</v>
      </c>
      <c r="AB709">
        <f>IFERROR(INDEX(_DATA_Assessment_Model!$U$5:$U$884,MATCH($E709,_DATA_Assessment_Model!$A$5:$A$884,0)),"")</f>
        <v>0</v>
      </c>
      <c r="AF709" t="s">
        <v>2063</v>
      </c>
      <c r="AO709">
        <f>IF($B709="Yes",IF(IFERROR(INDEX(_ENGINE_Crisis!$F$501:$F$517,MATCH($C709,_ENGINE_Crisis!$A$501:$A$517,0)),1)=0,1,IFERROR(INDEX(_ENGINE_Crisis!$F$501:$F$517,MATCH($C709,_ENGINE_Crisis!$A$501:$A$517,0)),1)),"")</f>
        <v>1</v>
      </c>
      <c r="AP709">
        <f t="shared" si="133"/>
        <v>15.9</v>
      </c>
      <c r="AQ709">
        <f t="shared" si="134"/>
        <v>1.18</v>
      </c>
      <c r="AR709" t="str">
        <f>IFERROR(INDEX(_ENGINE_Crisis!$E$41:$E$700,MATCH('Resilience &amp; Risk Scenario'!$B$6&amp;"|"&amp;$C709,_ENGINE_Crisis!$I$41:$I$700,0)),"")</f>
        <v/>
      </c>
      <c r="AS709" t="str">
        <f>IFERROR(INDEX(_ENGINE_Crisis!$G$41:$G$700,MATCH('Resilience &amp; Risk Scenario'!$B$6&amp;"|"&amp;$C709,_ENGINE_Crisis!$I$41:$I$700,0)),"")</f>
        <v/>
      </c>
      <c r="AT709" t="str">
        <f>IFERROR(INDEX(_ENGINE_Initiatives!$A$5:$A$532,MATCH(1,INDEX((_ENGINE_Initiatives!$B$5:$B$532=$C709)*(_ENGINE_Initiatives!$C$5:$C$532=$D709),0),0)),"")</f>
        <v>INI-034</v>
      </c>
      <c r="AU709" t="str">
        <f>IFERROR(INDEX(_ENGINE_Initiatives!$F$5:$F$532,MATCH(1,INDEX((_ENGINE_Initiatives!$B$5:$B$532=$C709)*(_ENGINE_Initiatives!$C$5:$C$532=$D709),0),0)),"")</f>
        <v>Implement inventory visibility and demand/supply planning</v>
      </c>
      <c r="AV709">
        <f>IFERROR(INDEX(_ENGINE_Initiatives!$AC$5:$AC$532,MATCH(1,INDEX((_ENGINE_Initiatives!$B$5:$B$532=$C709)*(_ENGINE_Initiatives!$C$5:$C$532=$D709),0),0)),"")</f>
        <v>1.79</v>
      </c>
      <c r="AW709" t="str">
        <f>IFERROR(INDEX(_ENGINE_Initiatives!$AE$5:$AE$532,MATCH(1,INDEX((_ENGINE_Initiatives!$B$5:$B$532=$C709)*(_ENGINE_Initiatives!$C$5:$C$532=$D709),0),0)),"")</f>
        <v>3-6 months</v>
      </c>
      <c r="AX709">
        <f>IF($B709="Yes",IFERROR((IF(SUMIFS(_REF_Model_Content!$E$1:$E$613,_REF_Model_Content!$A$1:$A$613,PV_Canonical_Industry,_REF_Model_Content!$B$1:$B$613,$C709)=0,1,SUMIFS(_REF_Model_Content!$E$1:$E$613,_REF_Model_Content!$A$1:$A$613,PV_Canonical_Industry,_REF_Model_Content!$B$1:$B$613,$C709))*IFERROR($BU709,1)),1),"")</f>
        <v>1</v>
      </c>
      <c r="AY709">
        <f t="shared" si="135"/>
        <v>15.9</v>
      </c>
      <c r="AZ709">
        <f t="shared" si="136"/>
        <v>1.18</v>
      </c>
      <c r="BB709" t="str">
        <f>IF($H709="","",IFERROR(INDEX(_ENGINE_Risk!$AE$5:$AE$499,MATCH($E709,_ENGINE_Risk!$A$5:$A$499,0)),"Medium"))</f>
        <v>Fast</v>
      </c>
      <c r="BC709">
        <f t="shared" si="137"/>
        <v>1.25</v>
      </c>
      <c r="BD709">
        <f t="shared" si="138"/>
        <v>1.18</v>
      </c>
      <c r="BF709">
        <f>IF(OR($H709="",$J709=""),"",IFERROR(VLOOKUP(ROUND($J709,0),_CONFIG_Model_Settings!$D$154:$E$158,2,0),""))</f>
        <v>0.5</v>
      </c>
      <c r="BG709">
        <f>IFERROR(IF(OR($H709="",$K709=""),"",ROUND('Company Profile'!$B$113*INDEX(_CONFIG_Model_Settings!$H$154:$H$158,MATCH(ROUND($K709,0),_CONFIG_Model_Settings!$G$154:$G$158,0)),0)),0)</f>
        <v>875</v>
      </c>
      <c r="BH709">
        <f t="shared" si="139"/>
        <v>437.5</v>
      </c>
      <c r="BI709">
        <f t="shared" si="140"/>
        <v>437.5</v>
      </c>
      <c r="BJ709">
        <f>IF($E709="","",IFERROR(VLOOKUP($C709,_CONFIG_Risk_Calibration!$A$5:$H$21,2,FALSE),3))</f>
        <v>3</v>
      </c>
      <c r="BK709">
        <f>IF($E709="","",IFERROR(VLOOKUP($C709,_CONFIG_Risk_Calibration!$A$5:$H$21,3,FALSE),0))</f>
        <v>0</v>
      </c>
      <c r="BL709">
        <f>IF($E709="","",IFERROR(VLOOKUP($C709,_CONFIG_Risk_Calibration!$A$5:$H$21,4,FALSE),3))</f>
        <v>3</v>
      </c>
      <c r="BM709">
        <f>IF($E709="","",IFERROR(VLOOKUP($C709,_CONFIG_Risk_Calibration!$A$5:$H$21,5,FALSE),3))</f>
        <v>4</v>
      </c>
      <c r="BN709" t="str">
        <f>IF($E709="","",IFERROR(VLOOKUP($C709,_CONFIG_Risk_Calibration!$A$5:$H$21,6,FALSE),"No"))</f>
        <v>No</v>
      </c>
      <c r="BO709">
        <f>IF($E709="","",IFERROR(VLOOKUP($C709,_CONFIG_Risk_Calibration!$A$5:$H$21,7,FALSE),1))</f>
        <v>1</v>
      </c>
      <c r="BP709">
        <f>IF($H709="","",MAX(1,MIN(5,((6-$H709)*0.45)+($BJ709*0.2)+('Resilience &amp; Risk Scenario'!$B$7*0.15)+($BK709*0.1)+($BL709*0.05)+(IF($BB709="Fast",5,IF($BB709="Slow",1,3))*0.05))))</f>
        <v>3.7</v>
      </c>
      <c r="BQ709">
        <f t="shared" si="141"/>
        <v>4.3</v>
      </c>
      <c r="BR709">
        <f t="shared" si="142"/>
        <v>15.91</v>
      </c>
      <c r="BS709">
        <f t="shared" si="143"/>
        <v>21.88</v>
      </c>
      <c r="BT709" t="str">
        <f>IFERROR(INDEX(_REF_Capability_Bridge!$D:$D,MATCH($C709&amp;"|"&amp;$D709,_REF_Capability_Bridge!$J:$J,0)),IFERROR(INDEX(_REF_Capability_Bridge!$D:$D,MATCH($C709&amp;"|",_REF_Capability_Bridge!$J:$J,0)),"CAP_GENERIC"))</f>
        <v>CAP_INVENTORY_PLANNING</v>
      </c>
      <c r="BU709">
        <f>IFERROR(IFERROR(INDEX(_ENGINE_Relevance!$L:$L,MATCH($BT709,_ENGINE_Relevance!$B:$B,0)),1),1)</f>
        <v>1</v>
      </c>
      <c r="BV709" t="str">
        <f>IFERROR(INDEX(_REF_Capability_Bridge!$A:$A,MATCH($C709&amp;"|"&amp;$D709,_REF_Capability_Bridge!$J:$J,0)),IFERROR(INDEX(_REF_Capability_Bridge!$A:$A,MATCH($C709&amp;"|",_REF_Capability_Bridge!$J:$J,0)),"No bridge"))</f>
        <v>BRG-089</v>
      </c>
      <c r="BW709" t="str">
        <f t="shared" si="144"/>
        <v>Capability relevance neutral</v>
      </c>
      <c r="BX709" t="str">
        <f t="shared" si="145"/>
        <v>Initial / absent</v>
      </c>
      <c r="BY709" t="str">
        <f>IF($E709="","",IFERROR(INDEX(_REF_Treatment_Library!$A$2:$A$296,MATCH(1,INDEX((_REF_Treatment_Library!$B$2:$B$296=$BT709)*(_REF_Treatment_Library!$C$2:$C$296=PV_Canonical_Industry)*(_REF_Treatment_Library!$E$2:$E$296&lt;=N($H709))*(_REF_Treatment_Library!$F$2:$F$296&gt;=N($H709))*(_REF_Treatment_Library!$O$2:$O$296="Yes"),0),0)),IFERROR(INDEX(_REF_Treatment_Library!$A$2:$A$296,MATCH(1,INDEX((_REF_Treatment_Library!$B$2:$B$296=$BT709)*(_REF_Treatment_Library!$C$2:$C$296="All")*(_REF_Treatment_Library!$E$2:$E$296&lt;=N($H709))*(_REF_Treatment_Library!$F$2:$F$296&gt;=N($H709))*(_REF_Treatment_Library!$O$2:$O$296="Yes"),0),0)),"")))</f>
        <v>TRT-INVENTORY_PLANNING-INITIAL</v>
      </c>
      <c r="BZ709" t="str">
        <f>IF($BY709="","",IFERROR(INDEX(_REF_Treatment_Library!$H$2:$H$296,MATCH($BY709,_REF_Treatment_Library!$A$2:$A$296,0)),""))</f>
        <v>Establish</v>
      </c>
      <c r="CA709" t="str">
        <f>IF($BY709="","",IFERROR(INDEX(_REF_Treatment_Library!$I$2:$I$296,MATCH($BY709,_REF_Treatment_Library!$A$2:$A$296,0)),""))</f>
        <v>Establish baseline controls for Inventory planning</v>
      </c>
      <c r="CB709" t="str">
        <f>IF($BY709="","",IFERROR(INDEX(_REF_Treatment_Library!$K$2:$K$296,MATCH($BY709,_REF_Treatment_Library!$A$2:$A$296,0)),""))</f>
        <v>Named owner, baseline process, minimum control checklist, first evidence package</v>
      </c>
      <c r="CC709" t="str">
        <f>IF($BY709="","",IFERROR(INDEX(_REF_Treatment_Library!$L$2:$L$296,MATCH($BY709,_REF_Treatment_Library!$A$2:$A$296,0)),""))</f>
        <v>Owner assigned; baseline evidence coverage; open critical gaps</v>
      </c>
      <c r="CD709" t="str">
        <f t="shared" si="146"/>
        <v>Treatment by capability=CAP_INVENTORY_PLANNING; band=Initial / absent; score=0.0; treatment=Establish</v>
      </c>
      <c r="CE709" t="str">
        <f>IF($E709="","",IFERROR(INDEX(_REF_Industry_Wording!$A$2:$A$70,MATCH(1,INDEX((_REF_Industry_Wording!$B$2:$B$70=$BT709)*(_REF_Industry_Wording!$C$2:$C$70=PV_Canonical_Industry)*(_REF_Industry_Wording!$K$2:$K$70="Yes"),0),0)),IFERROR(INDEX(_REF_Industry_Wording!$A$2:$A$70,MATCH(1,INDEX((_REF_Industry_Wording!$B$2:$B$70=$BT709)*(_REF_Industry_Wording!$C$2:$C$70="All")*(_REF_Industry_Wording!$K$2:$K$70="Yes"),0),0)),"")))</f>
        <v>IW-ALL-INVENTORY_PLANNING</v>
      </c>
      <c r="CF709" t="str">
        <f>IF($CE709="","",IFERROR(INDEX(_REF_Industry_Wording!$E$2:$E$70,MATCH($CE709,_REF_Industry_Wording!$A$2:$A$70,0)),""))</f>
        <v>Inventory planning weakness</v>
      </c>
      <c r="CG709" t="str">
        <f>IF($CE709="","",IFERROR(INDEX(_REF_Industry_Wording!$F$2:$F$70,MATCH($CE709,_REF_Industry_Wording!$A$2:$A$70,0)),""))</f>
        <v>Strengthen Inventory planning</v>
      </c>
      <c r="CH709" t="str">
        <f>IF($CE709="","",IFERROR(INDEX(_REF_Industry_Wording!$G$2:$G$70,MATCH($CE709,_REF_Industry_Wording!$A$2:$A$70,0)),""))</f>
        <v>Strengthen Inventory planning using the selected maturity treatment, crisis scenario and evidence requirements.</v>
      </c>
      <c r="CI709" t="str">
        <f>IF($CE709="","",IFERROR(INDEX(_REF_Industry_Wording!$H$2:$H$70,MATCH($CE709,_REF_Industry_Wording!$A$2:$A$70,0)),""))</f>
        <v>Inventory planning</v>
      </c>
      <c r="CJ709">
        <f>IF($CE709="","",IFERROR(INDEX(_REF_Industry_Wording!$I$2:$I$70,MATCH($CE709,_REF_Industry_Wording!$A$2:$A$70,0)),""))</f>
        <v>0</v>
      </c>
      <c r="CK709" t="str">
        <f>IF($CE709="","",IFERROR(INDEX(_REF_Industry_Wording!$J$2:$J$70,MATCH($CE709,_REF_Industry_Wording!$A$2:$A$70,0)),""))</f>
        <v>Inventory planning</v>
      </c>
      <c r="CL709" t="str">
        <f t="shared" si="147"/>
        <v>Wording by industry=0; capability=CAP_INVENTORY_PLANNING; risk label=Inventory planning weakness</v>
      </c>
      <c r="CM709" t="str">
        <f t="shared" si="148"/>
        <v>RISK-ONT-0210</v>
      </c>
      <c r="CN709" t="str">
        <f t="shared" si="149"/>
        <v>RISK-EVT-0210</v>
      </c>
      <c r="CO709" t="str">
        <f t="shared" si="150"/>
        <v>Supply Chain|Inventory and planning|SUPP-015|CAP_INVENTORY_PLANNING</v>
      </c>
      <c r="CP709" t="str">
        <f t="shared" si="151"/>
        <v>Active</v>
      </c>
      <c r="CQ709" t="str">
        <f t="shared" si="152"/>
        <v>OK: capability-driven</v>
      </c>
      <c r="CR709" t="str">
        <f t="shared" si="153"/>
        <v>Risk ontology uses capability=CAP_INVENTORY_PLANNING; bridge=BRG-089; treatment=TRT-INVENTORY_PLANNING-INITIAL; wording=IW-ALL-INVENTORY_PLANNING</v>
      </c>
      <c r="CS709" t="str">
        <f t="shared" si="154"/>
        <v>Yes</v>
      </c>
    </row>
    <row r="710" spans="1:97" ht="69.900000000000006" customHeight="1">
      <c r="A710">
        <f>IF(OR($B710&lt;&gt;"Yes",$BS710=""),"",SUMPRODUCT(($B$500:$B$923="Yes")*ISNUMBER($BS$500:$BS$923)*($BS$500:$BS$923&gt;$BS710))+COUNTIFS($B$500:$B710,"Yes",$BS$500:$BS710,$BS710))</f>
        <v>87</v>
      </c>
      <c r="B710" t="str">
        <f t="shared" si="123"/>
        <v>Yes</v>
      </c>
      <c r="C710" t="s">
        <v>1987</v>
      </c>
      <c r="D710" t="s">
        <v>2002</v>
      </c>
      <c r="E710" t="s">
        <v>2071</v>
      </c>
      <c r="F710" t="s">
        <v>3687</v>
      </c>
      <c r="G710" t="str">
        <f>IF($H710="","",IFERROR(INDEX(_ENGINE_Risk!$H$5:$M$499,MATCH($E710,_ENGINE_Risk!$A$5:$A$499,0),$H710+1),""))</f>
        <v>Severe risk: critical materials and spare parts buffers sized using risk, demand variability and supplier lead time is not reliably controlled. During Supplier/logistics disruption; Manufacturing disruption; Demand shock, the organization may face supplier failure, logistics disruption, inventory shortages and production or delivery delays with limited visibility or accountability.</v>
      </c>
      <c r="H710">
        <f>IFERROR(VALUE(INDEX(_DATA_Assessment_Model!$H$5:$H$884,MATCH($E710,_DATA_Assessment_Model!$A$5:$A$884,0))),"")</f>
        <v>0</v>
      </c>
      <c r="I710" t="str">
        <f>IF($H710="","",IFERROR(INDEX(_DATA_Assessment_Model!$L$5:$L$884,MATCH($E710,_DATA_Assessment_Model!$A$5:$A$884,0)),IF($H710&lt;=1,"Critical",IF($H710=2,"High",IF($H710=3,"Medium",IF($H710=4,"Low","Resilient"))))))</f>
        <v>Critical</v>
      </c>
      <c r="J710">
        <f t="shared" si="124"/>
        <v>3.7</v>
      </c>
      <c r="K710">
        <f t="shared" si="125"/>
        <v>4.5</v>
      </c>
      <c r="L710">
        <f t="shared" si="126"/>
        <v>16.650000000000002</v>
      </c>
      <c r="M710">
        <f t="shared" si="127"/>
        <v>4</v>
      </c>
      <c r="N710">
        <f>IF($H710="","",IFERROR(INDEX(_ENGINE_Risk!$T$5:$Y$499,MATCH($E710,_ENGINE_Risk!$A$5:$A$499,0),$H710+1),""))</f>
        <v>4</v>
      </c>
      <c r="O710">
        <f t="shared" si="128"/>
        <v>4.666666666666667</v>
      </c>
      <c r="P710">
        <f t="shared" si="129"/>
        <v>5</v>
      </c>
      <c r="Q710">
        <f t="shared" si="130"/>
        <v>5</v>
      </c>
      <c r="R710">
        <f t="shared" si="131"/>
        <v>4.5</v>
      </c>
      <c r="S710">
        <f t="shared" si="132"/>
        <v>1.2</v>
      </c>
      <c r="T710" t="str">
        <f>IF($H710="","",IFERROR(INDEX(_ENGINE_Risk!$N$5:$S$499,MATCH($E710,_ENGINE_Risk!$A$5:$A$499,0),$H710+1),""))</f>
        <v>Create an immediate risk owner, minimum control baseline and fallback procedure for critical materials and spare parts buffers sized using risk, demand variability and supplier lead time. Add it to the crisis risk register and collect first evidence.</v>
      </c>
      <c r="U710">
        <f>IFERROR(INDEX(_DATA_Assessment_Model!$G$5:$G$884,MATCH($E710,_DATA_Assessment_Model!$A$5:$A$884,0)),"")</f>
        <v>5</v>
      </c>
      <c r="V710">
        <f>IFERROR(INDEX(_DATA_Assessment_Model!$W$5:$W$884,MATCH($E710,_DATA_Assessment_Model!$A$5:$A$884,0)),"")</f>
        <v>4</v>
      </c>
      <c r="W710">
        <f>IFERROR(INDEX(_DATA_Assessment_Model!$X$5:$X$884,MATCH($E710,_DATA_Assessment_Model!$A$5:$A$884,0)),"")</f>
        <v>5</v>
      </c>
      <c r="X710">
        <f>IFERROR(INDEX(_DATA_Assessment_Model!$Y$5:$Y$884,MATCH($E710,_DATA_Assessment_Model!$A$5:$A$884,0)),"")</f>
        <v>5</v>
      </c>
      <c r="Y710" t="s">
        <v>1994</v>
      </c>
      <c r="Z710" t="s">
        <v>7365</v>
      </c>
      <c r="AA710" t="s">
        <v>2073</v>
      </c>
      <c r="AB710">
        <f>IFERROR(INDEX(_DATA_Assessment_Model!$U$5:$U$884,MATCH($E710,_DATA_Assessment_Model!$A$5:$A$884,0)),"")</f>
        <v>0</v>
      </c>
      <c r="AF710" t="s">
        <v>2072</v>
      </c>
      <c r="AO710">
        <f>IF($B710="Yes",IF(IFERROR(INDEX(_ENGINE_Crisis!$F$501:$F$517,MATCH($C710,_ENGINE_Crisis!$A$501:$A$517,0)),1)=0,1,IFERROR(INDEX(_ENGINE_Crisis!$F$501:$F$517,MATCH($C710,_ENGINE_Crisis!$A$501:$A$517,0)),1)),"")</f>
        <v>1</v>
      </c>
      <c r="AP710">
        <f t="shared" si="133"/>
        <v>16.7</v>
      </c>
      <c r="AQ710">
        <f t="shared" si="134"/>
        <v>1.2</v>
      </c>
      <c r="AR710" t="str">
        <f>IFERROR(INDEX(_ENGINE_Crisis!$E$41:$E$700,MATCH('Resilience &amp; Risk Scenario'!$B$6&amp;"|"&amp;$C710,_ENGINE_Crisis!$I$41:$I$700,0)),"")</f>
        <v/>
      </c>
      <c r="AS710" t="str">
        <f>IFERROR(INDEX(_ENGINE_Crisis!$G$41:$G$700,MATCH('Resilience &amp; Risk Scenario'!$B$6&amp;"|"&amp;$C710,_ENGINE_Crisis!$I$41:$I$700,0)),"")</f>
        <v/>
      </c>
      <c r="AT710" t="str">
        <f>IFERROR(INDEX(_ENGINE_Initiatives!$A$5:$A$532,MATCH(1,INDEX((_ENGINE_Initiatives!$B$5:$B$532=$C710)*(_ENGINE_Initiatives!$C$5:$C$532=$D710),0),0)),"")</f>
        <v>INI-034</v>
      </c>
      <c r="AU710" t="str">
        <f>IFERROR(INDEX(_ENGINE_Initiatives!$F$5:$F$532,MATCH(1,INDEX((_ENGINE_Initiatives!$B$5:$B$532=$C710)*(_ENGINE_Initiatives!$C$5:$C$532=$D710),0),0)),"")</f>
        <v>Implement inventory visibility and demand/supply planning</v>
      </c>
      <c r="AV710">
        <f>IFERROR(INDEX(_ENGINE_Initiatives!$AC$5:$AC$532,MATCH(1,INDEX((_ENGINE_Initiatives!$B$5:$B$532=$C710)*(_ENGINE_Initiatives!$C$5:$C$532=$D710),0),0)),"")</f>
        <v>1.79</v>
      </c>
      <c r="AW710" t="str">
        <f>IFERROR(INDEX(_ENGINE_Initiatives!$AE$5:$AE$532,MATCH(1,INDEX((_ENGINE_Initiatives!$B$5:$B$532=$C710)*(_ENGINE_Initiatives!$C$5:$C$532=$D710),0),0)),"")</f>
        <v>3-6 months</v>
      </c>
      <c r="AX710">
        <f>IF($B710="Yes",IFERROR((IF(SUMIFS(_REF_Model_Content!$E$1:$E$613,_REF_Model_Content!$A$1:$A$613,PV_Canonical_Industry,_REF_Model_Content!$B$1:$B$613,$C710)=0,1,SUMIFS(_REF_Model_Content!$E$1:$E$613,_REF_Model_Content!$A$1:$A$613,PV_Canonical_Industry,_REF_Model_Content!$B$1:$B$613,$C710))*IFERROR($BU710,1)),1),"")</f>
        <v>1</v>
      </c>
      <c r="AY710">
        <f t="shared" si="135"/>
        <v>16.7</v>
      </c>
      <c r="AZ710">
        <f t="shared" si="136"/>
        <v>1.2</v>
      </c>
      <c r="BB710" t="str">
        <f>IF($H710="","",IFERROR(INDEX(_ENGINE_Risk!$AE$5:$AE$499,MATCH($E710,_ENGINE_Risk!$A$5:$A$499,0)),"Medium"))</f>
        <v>Fast</v>
      </c>
      <c r="BC710">
        <f t="shared" si="137"/>
        <v>1.25</v>
      </c>
      <c r="BD710">
        <f t="shared" si="138"/>
        <v>1.2</v>
      </c>
      <c r="BF710">
        <f>IF(OR($H710="",$J710=""),"",IFERROR(VLOOKUP(ROUND($J710,0),_CONFIG_Model_Settings!$D$154:$E$158,2,0),""))</f>
        <v>0.5</v>
      </c>
      <c r="BG710">
        <f>IFERROR(IF(OR($H710="",$K710=""),"",ROUND('Company Profile'!$B$113*INDEX(_CONFIG_Model_Settings!$H$154:$H$158,MATCH(ROUND($K710,0),_CONFIG_Model_Settings!$G$154:$G$158,0)),0)),0)</f>
        <v>1875</v>
      </c>
      <c r="BH710">
        <f t="shared" si="139"/>
        <v>937.5</v>
      </c>
      <c r="BI710">
        <f t="shared" si="140"/>
        <v>937.5</v>
      </c>
      <c r="BJ710">
        <f>IF($E710="","",IFERROR(VLOOKUP($C710,_CONFIG_Risk_Calibration!$A$5:$H$21,2,FALSE),3))</f>
        <v>3</v>
      </c>
      <c r="BK710">
        <f>IF($E710="","",IFERROR(VLOOKUP($C710,_CONFIG_Risk_Calibration!$A$5:$H$21,3,FALSE),0))</f>
        <v>0</v>
      </c>
      <c r="BL710">
        <f>IF($E710="","",IFERROR(VLOOKUP($C710,_CONFIG_Risk_Calibration!$A$5:$H$21,4,FALSE),3))</f>
        <v>3</v>
      </c>
      <c r="BM710">
        <f>IF($E710="","",IFERROR(VLOOKUP($C710,_CONFIG_Risk_Calibration!$A$5:$H$21,5,FALSE),3))</f>
        <v>4</v>
      </c>
      <c r="BN710" t="str">
        <f>IF($E710="","",IFERROR(VLOOKUP($C710,_CONFIG_Risk_Calibration!$A$5:$H$21,6,FALSE),"No"))</f>
        <v>No</v>
      </c>
      <c r="BO710">
        <f>IF($E710="","",IFERROR(VLOOKUP($C710,_CONFIG_Risk_Calibration!$A$5:$H$21,7,FALSE),1))</f>
        <v>1</v>
      </c>
      <c r="BP710">
        <f>IF($H710="","",MAX(1,MIN(5,((6-$H710)*0.45)+($BJ710*0.2)+('Resilience &amp; Risk Scenario'!$B$7*0.15)+($BK710*0.1)+($BL710*0.05)+(IF($BB710="Fast",5,IF($BB710="Slow",1,3))*0.05))))</f>
        <v>3.7</v>
      </c>
      <c r="BQ710">
        <f t="shared" si="141"/>
        <v>4.5</v>
      </c>
      <c r="BR710">
        <f t="shared" si="142"/>
        <v>16.649999999999999</v>
      </c>
      <c r="BS710">
        <f t="shared" si="143"/>
        <v>22.89</v>
      </c>
      <c r="BT710" t="str">
        <f>IFERROR(INDEX(_REF_Capability_Bridge!$D:$D,MATCH($C710&amp;"|"&amp;$D710,_REF_Capability_Bridge!$J:$J,0)),IFERROR(INDEX(_REF_Capability_Bridge!$D:$D,MATCH($C710&amp;"|",_REF_Capability_Bridge!$J:$J,0)),"CAP_GENERIC"))</f>
        <v>CAP_INVENTORY_PLANNING</v>
      </c>
      <c r="BU710">
        <f>IFERROR(IFERROR(INDEX(_ENGINE_Relevance!$L:$L,MATCH($BT710,_ENGINE_Relevance!$B:$B,0)),1),1)</f>
        <v>1</v>
      </c>
      <c r="BV710" t="str">
        <f>IFERROR(INDEX(_REF_Capability_Bridge!$A:$A,MATCH($C710&amp;"|"&amp;$D710,_REF_Capability_Bridge!$J:$J,0)),IFERROR(INDEX(_REF_Capability_Bridge!$A:$A,MATCH($C710&amp;"|",_REF_Capability_Bridge!$J:$J,0)),"No bridge"))</f>
        <v>BRG-089</v>
      </c>
      <c r="BW710" t="str">
        <f t="shared" si="144"/>
        <v>Capability relevance neutral</v>
      </c>
      <c r="BX710" t="str">
        <f t="shared" si="145"/>
        <v>Initial / absent</v>
      </c>
      <c r="BY710" t="str">
        <f>IF($E710="","",IFERROR(INDEX(_REF_Treatment_Library!$A$2:$A$296,MATCH(1,INDEX((_REF_Treatment_Library!$B$2:$B$296=$BT710)*(_REF_Treatment_Library!$C$2:$C$296=PV_Canonical_Industry)*(_REF_Treatment_Library!$E$2:$E$296&lt;=N($H710))*(_REF_Treatment_Library!$F$2:$F$296&gt;=N($H710))*(_REF_Treatment_Library!$O$2:$O$296="Yes"),0),0)),IFERROR(INDEX(_REF_Treatment_Library!$A$2:$A$296,MATCH(1,INDEX((_REF_Treatment_Library!$B$2:$B$296=$BT710)*(_REF_Treatment_Library!$C$2:$C$296="All")*(_REF_Treatment_Library!$E$2:$E$296&lt;=N($H710))*(_REF_Treatment_Library!$F$2:$F$296&gt;=N($H710))*(_REF_Treatment_Library!$O$2:$O$296="Yes"),0),0)),"")))</f>
        <v>TRT-INVENTORY_PLANNING-INITIAL</v>
      </c>
      <c r="BZ710" t="str">
        <f>IF($BY710="","",IFERROR(INDEX(_REF_Treatment_Library!$H$2:$H$296,MATCH($BY710,_REF_Treatment_Library!$A$2:$A$296,0)),""))</f>
        <v>Establish</v>
      </c>
      <c r="CA710" t="str">
        <f>IF($BY710="","",IFERROR(INDEX(_REF_Treatment_Library!$I$2:$I$296,MATCH($BY710,_REF_Treatment_Library!$A$2:$A$296,0)),""))</f>
        <v>Establish baseline controls for Inventory planning</v>
      </c>
      <c r="CB710" t="str">
        <f>IF($BY710="","",IFERROR(INDEX(_REF_Treatment_Library!$K$2:$K$296,MATCH($BY710,_REF_Treatment_Library!$A$2:$A$296,0)),""))</f>
        <v>Named owner, baseline process, minimum control checklist, first evidence package</v>
      </c>
      <c r="CC710" t="str">
        <f>IF($BY710="","",IFERROR(INDEX(_REF_Treatment_Library!$L$2:$L$296,MATCH($BY710,_REF_Treatment_Library!$A$2:$A$296,0)),""))</f>
        <v>Owner assigned; baseline evidence coverage; open critical gaps</v>
      </c>
      <c r="CD710" t="str">
        <f t="shared" si="146"/>
        <v>Treatment by capability=CAP_INVENTORY_PLANNING; band=Initial / absent; score=0.0; treatment=Establish</v>
      </c>
      <c r="CE710" t="str">
        <f>IF($E710="","",IFERROR(INDEX(_REF_Industry_Wording!$A$2:$A$70,MATCH(1,INDEX((_REF_Industry_Wording!$B$2:$B$70=$BT710)*(_REF_Industry_Wording!$C$2:$C$70=PV_Canonical_Industry)*(_REF_Industry_Wording!$K$2:$K$70="Yes"),0),0)),IFERROR(INDEX(_REF_Industry_Wording!$A$2:$A$70,MATCH(1,INDEX((_REF_Industry_Wording!$B$2:$B$70=$BT710)*(_REF_Industry_Wording!$C$2:$C$70="All")*(_REF_Industry_Wording!$K$2:$K$70="Yes"),0),0)),"")))</f>
        <v>IW-ALL-INVENTORY_PLANNING</v>
      </c>
      <c r="CF710" t="str">
        <f>IF($CE710="","",IFERROR(INDEX(_REF_Industry_Wording!$E$2:$E$70,MATCH($CE710,_REF_Industry_Wording!$A$2:$A$70,0)),""))</f>
        <v>Inventory planning weakness</v>
      </c>
      <c r="CG710" t="str">
        <f>IF($CE710="","",IFERROR(INDEX(_REF_Industry_Wording!$F$2:$F$70,MATCH($CE710,_REF_Industry_Wording!$A$2:$A$70,0)),""))</f>
        <v>Strengthen Inventory planning</v>
      </c>
      <c r="CH710" t="str">
        <f>IF($CE710="","",IFERROR(INDEX(_REF_Industry_Wording!$G$2:$G$70,MATCH($CE710,_REF_Industry_Wording!$A$2:$A$70,0)),""))</f>
        <v>Strengthen Inventory planning using the selected maturity treatment, crisis scenario and evidence requirements.</v>
      </c>
      <c r="CI710" t="str">
        <f>IF($CE710="","",IFERROR(INDEX(_REF_Industry_Wording!$H$2:$H$70,MATCH($CE710,_REF_Industry_Wording!$A$2:$A$70,0)),""))</f>
        <v>Inventory planning</v>
      </c>
      <c r="CJ710">
        <f>IF($CE710="","",IFERROR(INDEX(_REF_Industry_Wording!$I$2:$I$70,MATCH($CE710,_REF_Industry_Wording!$A$2:$A$70,0)),""))</f>
        <v>0</v>
      </c>
      <c r="CK710" t="str">
        <f>IF($CE710="","",IFERROR(INDEX(_REF_Industry_Wording!$J$2:$J$70,MATCH($CE710,_REF_Industry_Wording!$A$2:$A$70,0)),""))</f>
        <v>Inventory planning</v>
      </c>
      <c r="CL710" t="str">
        <f t="shared" si="147"/>
        <v>Wording by industry=0; capability=CAP_INVENTORY_PLANNING; risk label=Inventory planning weakness</v>
      </c>
      <c r="CM710" t="str">
        <f t="shared" si="148"/>
        <v>RISK-ONT-0211</v>
      </c>
      <c r="CN710" t="str">
        <f t="shared" si="149"/>
        <v>RISK-EVT-0211</v>
      </c>
      <c r="CO710" t="str">
        <f t="shared" si="150"/>
        <v>Supply Chain|Inventory and planning|SUPP-016|CAP_INVENTORY_PLANNING</v>
      </c>
      <c r="CP710" t="str">
        <f t="shared" si="151"/>
        <v>Active</v>
      </c>
      <c r="CQ710" t="str">
        <f t="shared" si="152"/>
        <v>OK: capability-driven</v>
      </c>
      <c r="CR710" t="str">
        <f t="shared" si="153"/>
        <v>Risk ontology uses capability=CAP_INVENTORY_PLANNING; bridge=BRG-089; treatment=TRT-INVENTORY_PLANNING-INITIAL; wording=IW-ALL-INVENTORY_PLANNING</v>
      </c>
      <c r="CS710" t="str">
        <f t="shared" si="154"/>
        <v>Yes</v>
      </c>
    </row>
    <row r="711" spans="1:97" ht="69.900000000000006" customHeight="1">
      <c r="A711">
        <f>IF(OR($B711&lt;&gt;"Yes",$BS711=""),"",SUMPRODUCT(($B$500:$B$923="Yes")*ISNUMBER($BS$500:$BS$923)*($BS$500:$BS$923&gt;$BS711))+COUNTIFS($B$500:$B711,"Yes",$BS$500:$BS711,$BS711))</f>
        <v>88</v>
      </c>
      <c r="B711" t="str">
        <f t="shared" si="123"/>
        <v>Yes</v>
      </c>
      <c r="C711" t="s">
        <v>1987</v>
      </c>
      <c r="D711" t="s">
        <v>2002</v>
      </c>
      <c r="E711" t="s">
        <v>2074</v>
      </c>
      <c r="F711" t="s">
        <v>3687</v>
      </c>
      <c r="G711" t="str">
        <f>IF($H711="","",IFERROR(INDEX(_ENGINE_Risk!$H$5:$M$499,MATCH($E711,_ENGINE_Risk!$A$5:$A$499,0),$H711+1),""))</f>
        <v>Severe risk: demand forecast integrated with sales pipeline, history, seasonality and crisis scenarios is not reliably controlled. During Supplier/logistics disruption; Manufacturing disruption; Demand shock, the organization may face supplier failure, logistics disruption, inventory shortages and production or delivery delays with limited visibility or accountability.</v>
      </c>
      <c r="H711">
        <f>IFERROR(VALUE(INDEX(_DATA_Assessment_Model!$H$5:$H$884,MATCH($E711,_DATA_Assessment_Model!$A$5:$A$884,0))),"")</f>
        <v>0</v>
      </c>
      <c r="I711" t="str">
        <f>IF($H711="","",IFERROR(INDEX(_DATA_Assessment_Model!$L$5:$L$884,MATCH($E711,_DATA_Assessment_Model!$A$5:$A$884,0)),IF($H711&lt;=1,"Critical",IF($H711=2,"High",IF($H711=3,"Medium",IF($H711=4,"Low","Resilient"))))))</f>
        <v>Critical</v>
      </c>
      <c r="J711">
        <f t="shared" si="124"/>
        <v>3.7</v>
      </c>
      <c r="K711">
        <f t="shared" si="125"/>
        <v>4.5</v>
      </c>
      <c r="L711">
        <f t="shared" si="126"/>
        <v>16.650000000000002</v>
      </c>
      <c r="M711">
        <f t="shared" si="127"/>
        <v>4</v>
      </c>
      <c r="N711">
        <f>IF($H711="","",IFERROR(INDEX(_ENGINE_Risk!$T$5:$Y$499,MATCH($E711,_ENGINE_Risk!$A$5:$A$499,0),$H711+1),""))</f>
        <v>4</v>
      </c>
      <c r="O711">
        <f t="shared" si="128"/>
        <v>4.666666666666667</v>
      </c>
      <c r="P711">
        <f t="shared" si="129"/>
        <v>5</v>
      </c>
      <c r="Q711">
        <f t="shared" si="130"/>
        <v>5</v>
      </c>
      <c r="R711">
        <f t="shared" si="131"/>
        <v>4.5</v>
      </c>
      <c r="S711">
        <f t="shared" si="132"/>
        <v>1.2</v>
      </c>
      <c r="T711" t="str">
        <f>IF($H711="","",IFERROR(INDEX(_ENGINE_Risk!$N$5:$S$499,MATCH($E711,_ENGINE_Risk!$A$5:$A$499,0),$H711+1),""))</f>
        <v>Create an immediate risk owner, minimum control baseline and fallback procedure for demand forecast integrated with sales pipeline, history, seasonality and crisis scenarios. Add it to the crisis risk register and collect first evidence.</v>
      </c>
      <c r="U711">
        <f>IFERROR(INDEX(_DATA_Assessment_Model!$G$5:$G$884,MATCH($E711,_DATA_Assessment_Model!$A$5:$A$884,0)),"")</f>
        <v>5</v>
      </c>
      <c r="V711">
        <f>IFERROR(INDEX(_DATA_Assessment_Model!$W$5:$W$884,MATCH($E711,_DATA_Assessment_Model!$A$5:$A$884,0)),"")</f>
        <v>4</v>
      </c>
      <c r="W711">
        <f>IFERROR(INDEX(_DATA_Assessment_Model!$X$5:$X$884,MATCH($E711,_DATA_Assessment_Model!$A$5:$A$884,0)),"")</f>
        <v>5</v>
      </c>
      <c r="X711">
        <f>IFERROR(INDEX(_DATA_Assessment_Model!$Y$5:$Y$884,MATCH($E711,_DATA_Assessment_Model!$A$5:$A$884,0)),"")</f>
        <v>5</v>
      </c>
      <c r="Y711" t="s">
        <v>1994</v>
      </c>
      <c r="Z711" t="s">
        <v>7365</v>
      </c>
      <c r="AA711" t="s">
        <v>2076</v>
      </c>
      <c r="AB711">
        <f>IFERROR(INDEX(_DATA_Assessment_Model!$U$5:$U$884,MATCH($E711,_DATA_Assessment_Model!$A$5:$A$884,0)),"")</f>
        <v>0</v>
      </c>
      <c r="AF711" t="s">
        <v>2075</v>
      </c>
      <c r="AO711">
        <f>IF($B711="Yes",IF(IFERROR(INDEX(_ENGINE_Crisis!$F$501:$F$517,MATCH($C711,_ENGINE_Crisis!$A$501:$A$517,0)),1)=0,1,IFERROR(INDEX(_ENGINE_Crisis!$F$501:$F$517,MATCH($C711,_ENGINE_Crisis!$A$501:$A$517,0)),1)),"")</f>
        <v>1</v>
      </c>
      <c r="AP711">
        <f t="shared" si="133"/>
        <v>16.7</v>
      </c>
      <c r="AQ711">
        <f t="shared" si="134"/>
        <v>1.2</v>
      </c>
      <c r="AR711" t="str">
        <f>IFERROR(INDEX(_ENGINE_Crisis!$E$41:$E$700,MATCH('Resilience &amp; Risk Scenario'!$B$6&amp;"|"&amp;$C711,_ENGINE_Crisis!$I$41:$I$700,0)),"")</f>
        <v/>
      </c>
      <c r="AS711" t="str">
        <f>IFERROR(INDEX(_ENGINE_Crisis!$G$41:$G$700,MATCH('Resilience &amp; Risk Scenario'!$B$6&amp;"|"&amp;$C711,_ENGINE_Crisis!$I$41:$I$700,0)),"")</f>
        <v/>
      </c>
      <c r="AT711" t="str">
        <f>IFERROR(INDEX(_ENGINE_Initiatives!$A$5:$A$532,MATCH(1,INDEX((_ENGINE_Initiatives!$B$5:$B$532=$C711)*(_ENGINE_Initiatives!$C$5:$C$532=$D711),0),0)),"")</f>
        <v>INI-034</v>
      </c>
      <c r="AU711" t="str">
        <f>IFERROR(INDEX(_ENGINE_Initiatives!$F$5:$F$532,MATCH(1,INDEX((_ENGINE_Initiatives!$B$5:$B$532=$C711)*(_ENGINE_Initiatives!$C$5:$C$532=$D711),0),0)),"")</f>
        <v>Implement inventory visibility and demand/supply planning</v>
      </c>
      <c r="AV711">
        <f>IFERROR(INDEX(_ENGINE_Initiatives!$AC$5:$AC$532,MATCH(1,INDEX((_ENGINE_Initiatives!$B$5:$B$532=$C711)*(_ENGINE_Initiatives!$C$5:$C$532=$D711),0),0)),"")</f>
        <v>1.79</v>
      </c>
      <c r="AW711" t="str">
        <f>IFERROR(INDEX(_ENGINE_Initiatives!$AE$5:$AE$532,MATCH(1,INDEX((_ENGINE_Initiatives!$B$5:$B$532=$C711)*(_ENGINE_Initiatives!$C$5:$C$532=$D711),0),0)),"")</f>
        <v>3-6 months</v>
      </c>
      <c r="AX711">
        <f>IF($B711="Yes",IFERROR((IF(SUMIFS(_REF_Model_Content!$E$1:$E$613,_REF_Model_Content!$A$1:$A$613,PV_Canonical_Industry,_REF_Model_Content!$B$1:$B$613,$C711)=0,1,SUMIFS(_REF_Model_Content!$E$1:$E$613,_REF_Model_Content!$A$1:$A$613,PV_Canonical_Industry,_REF_Model_Content!$B$1:$B$613,$C711))*IFERROR($BU711,1)),1),"")</f>
        <v>1</v>
      </c>
      <c r="AY711">
        <f t="shared" si="135"/>
        <v>16.7</v>
      </c>
      <c r="AZ711">
        <f t="shared" si="136"/>
        <v>1.2</v>
      </c>
      <c r="BB711" t="str">
        <f>IF($H711="","",IFERROR(INDEX(_ENGINE_Risk!$AE$5:$AE$499,MATCH($E711,_ENGINE_Risk!$A$5:$A$499,0)),"Medium"))</f>
        <v>Fast</v>
      </c>
      <c r="BC711">
        <f t="shared" si="137"/>
        <v>1.25</v>
      </c>
      <c r="BD711">
        <f t="shared" si="138"/>
        <v>1.2</v>
      </c>
      <c r="BF711">
        <f>IF(OR($H711="",$J711=""),"",IFERROR(VLOOKUP(ROUND($J711,0),_CONFIG_Model_Settings!$D$154:$E$158,2,0),""))</f>
        <v>0.5</v>
      </c>
      <c r="BG711">
        <f>IFERROR(IF(OR($H711="",$K711=""),"",ROUND('Company Profile'!$B$113*INDEX(_CONFIG_Model_Settings!$H$154:$H$158,MATCH(ROUND($K711,0),_CONFIG_Model_Settings!$G$154:$G$158,0)),0)),0)</f>
        <v>1875</v>
      </c>
      <c r="BH711">
        <f t="shared" si="139"/>
        <v>937.5</v>
      </c>
      <c r="BI711">
        <f t="shared" si="140"/>
        <v>937.5</v>
      </c>
      <c r="BJ711">
        <f>IF($E711="","",IFERROR(VLOOKUP($C711,_CONFIG_Risk_Calibration!$A$5:$H$21,2,FALSE),3))</f>
        <v>3</v>
      </c>
      <c r="BK711">
        <f>IF($E711="","",IFERROR(VLOOKUP($C711,_CONFIG_Risk_Calibration!$A$5:$H$21,3,FALSE),0))</f>
        <v>0</v>
      </c>
      <c r="BL711">
        <f>IF($E711="","",IFERROR(VLOOKUP($C711,_CONFIG_Risk_Calibration!$A$5:$H$21,4,FALSE),3))</f>
        <v>3</v>
      </c>
      <c r="BM711">
        <f>IF($E711="","",IFERROR(VLOOKUP($C711,_CONFIG_Risk_Calibration!$A$5:$H$21,5,FALSE),3))</f>
        <v>4</v>
      </c>
      <c r="BN711" t="str">
        <f>IF($E711="","",IFERROR(VLOOKUP($C711,_CONFIG_Risk_Calibration!$A$5:$H$21,6,FALSE),"No"))</f>
        <v>No</v>
      </c>
      <c r="BO711">
        <f>IF($E711="","",IFERROR(VLOOKUP($C711,_CONFIG_Risk_Calibration!$A$5:$H$21,7,FALSE),1))</f>
        <v>1</v>
      </c>
      <c r="BP711">
        <f>IF($H711="","",MAX(1,MIN(5,((6-$H711)*0.45)+($BJ711*0.2)+('Resilience &amp; Risk Scenario'!$B$7*0.15)+($BK711*0.1)+($BL711*0.05)+(IF($BB711="Fast",5,IF($BB711="Slow",1,3))*0.05))))</f>
        <v>3.7</v>
      </c>
      <c r="BQ711">
        <f t="shared" si="141"/>
        <v>4.5</v>
      </c>
      <c r="BR711">
        <f t="shared" si="142"/>
        <v>16.649999999999999</v>
      </c>
      <c r="BS711">
        <f t="shared" si="143"/>
        <v>22.89</v>
      </c>
      <c r="BT711" t="str">
        <f>IFERROR(INDEX(_REF_Capability_Bridge!$D:$D,MATCH($C711&amp;"|"&amp;$D711,_REF_Capability_Bridge!$J:$J,0)),IFERROR(INDEX(_REF_Capability_Bridge!$D:$D,MATCH($C711&amp;"|",_REF_Capability_Bridge!$J:$J,0)),"CAP_GENERIC"))</f>
        <v>CAP_INVENTORY_PLANNING</v>
      </c>
      <c r="BU711">
        <f>IFERROR(IFERROR(INDEX(_ENGINE_Relevance!$L:$L,MATCH($BT711,_ENGINE_Relevance!$B:$B,0)),1),1)</f>
        <v>1</v>
      </c>
      <c r="BV711" t="str">
        <f>IFERROR(INDEX(_REF_Capability_Bridge!$A:$A,MATCH($C711&amp;"|"&amp;$D711,_REF_Capability_Bridge!$J:$J,0)),IFERROR(INDEX(_REF_Capability_Bridge!$A:$A,MATCH($C711&amp;"|",_REF_Capability_Bridge!$J:$J,0)),"No bridge"))</f>
        <v>BRG-089</v>
      </c>
      <c r="BW711" t="str">
        <f t="shared" si="144"/>
        <v>Capability relevance neutral</v>
      </c>
      <c r="BX711" t="str">
        <f t="shared" si="145"/>
        <v>Initial / absent</v>
      </c>
      <c r="BY711" t="str">
        <f>IF($E711="","",IFERROR(INDEX(_REF_Treatment_Library!$A$2:$A$296,MATCH(1,INDEX((_REF_Treatment_Library!$B$2:$B$296=$BT711)*(_REF_Treatment_Library!$C$2:$C$296=PV_Canonical_Industry)*(_REF_Treatment_Library!$E$2:$E$296&lt;=N($H711))*(_REF_Treatment_Library!$F$2:$F$296&gt;=N($H711))*(_REF_Treatment_Library!$O$2:$O$296="Yes"),0),0)),IFERROR(INDEX(_REF_Treatment_Library!$A$2:$A$296,MATCH(1,INDEX((_REF_Treatment_Library!$B$2:$B$296=$BT711)*(_REF_Treatment_Library!$C$2:$C$296="All")*(_REF_Treatment_Library!$E$2:$E$296&lt;=N($H711))*(_REF_Treatment_Library!$F$2:$F$296&gt;=N($H711))*(_REF_Treatment_Library!$O$2:$O$296="Yes"),0),0)),"")))</f>
        <v>TRT-INVENTORY_PLANNING-INITIAL</v>
      </c>
      <c r="BZ711" t="str">
        <f>IF($BY711="","",IFERROR(INDEX(_REF_Treatment_Library!$H$2:$H$296,MATCH($BY711,_REF_Treatment_Library!$A$2:$A$296,0)),""))</f>
        <v>Establish</v>
      </c>
      <c r="CA711" t="str">
        <f>IF($BY711="","",IFERROR(INDEX(_REF_Treatment_Library!$I$2:$I$296,MATCH($BY711,_REF_Treatment_Library!$A$2:$A$296,0)),""))</f>
        <v>Establish baseline controls for Inventory planning</v>
      </c>
      <c r="CB711" t="str">
        <f>IF($BY711="","",IFERROR(INDEX(_REF_Treatment_Library!$K$2:$K$296,MATCH($BY711,_REF_Treatment_Library!$A$2:$A$296,0)),""))</f>
        <v>Named owner, baseline process, minimum control checklist, first evidence package</v>
      </c>
      <c r="CC711" t="str">
        <f>IF($BY711="","",IFERROR(INDEX(_REF_Treatment_Library!$L$2:$L$296,MATCH($BY711,_REF_Treatment_Library!$A$2:$A$296,0)),""))</f>
        <v>Owner assigned; baseline evidence coverage; open critical gaps</v>
      </c>
      <c r="CD711" t="str">
        <f t="shared" si="146"/>
        <v>Treatment by capability=CAP_INVENTORY_PLANNING; band=Initial / absent; score=0.0; treatment=Establish</v>
      </c>
      <c r="CE711" t="str">
        <f>IF($E711="","",IFERROR(INDEX(_REF_Industry_Wording!$A$2:$A$70,MATCH(1,INDEX((_REF_Industry_Wording!$B$2:$B$70=$BT711)*(_REF_Industry_Wording!$C$2:$C$70=PV_Canonical_Industry)*(_REF_Industry_Wording!$K$2:$K$70="Yes"),0),0)),IFERROR(INDEX(_REF_Industry_Wording!$A$2:$A$70,MATCH(1,INDEX((_REF_Industry_Wording!$B$2:$B$70=$BT711)*(_REF_Industry_Wording!$C$2:$C$70="All")*(_REF_Industry_Wording!$K$2:$K$70="Yes"),0),0)),"")))</f>
        <v>IW-ALL-INVENTORY_PLANNING</v>
      </c>
      <c r="CF711" t="str">
        <f>IF($CE711="","",IFERROR(INDEX(_REF_Industry_Wording!$E$2:$E$70,MATCH($CE711,_REF_Industry_Wording!$A$2:$A$70,0)),""))</f>
        <v>Inventory planning weakness</v>
      </c>
      <c r="CG711" t="str">
        <f>IF($CE711="","",IFERROR(INDEX(_REF_Industry_Wording!$F$2:$F$70,MATCH($CE711,_REF_Industry_Wording!$A$2:$A$70,0)),""))</f>
        <v>Strengthen Inventory planning</v>
      </c>
      <c r="CH711" t="str">
        <f>IF($CE711="","",IFERROR(INDEX(_REF_Industry_Wording!$G$2:$G$70,MATCH($CE711,_REF_Industry_Wording!$A$2:$A$70,0)),""))</f>
        <v>Strengthen Inventory planning using the selected maturity treatment, crisis scenario and evidence requirements.</v>
      </c>
      <c r="CI711" t="str">
        <f>IF($CE711="","",IFERROR(INDEX(_REF_Industry_Wording!$H$2:$H$70,MATCH($CE711,_REF_Industry_Wording!$A$2:$A$70,0)),""))</f>
        <v>Inventory planning</v>
      </c>
      <c r="CJ711">
        <f>IF($CE711="","",IFERROR(INDEX(_REF_Industry_Wording!$I$2:$I$70,MATCH($CE711,_REF_Industry_Wording!$A$2:$A$70,0)),""))</f>
        <v>0</v>
      </c>
      <c r="CK711" t="str">
        <f>IF($CE711="","",IFERROR(INDEX(_REF_Industry_Wording!$J$2:$J$70,MATCH($CE711,_REF_Industry_Wording!$A$2:$A$70,0)),""))</f>
        <v>Inventory planning</v>
      </c>
      <c r="CL711" t="str">
        <f t="shared" si="147"/>
        <v>Wording by industry=0; capability=CAP_INVENTORY_PLANNING; risk label=Inventory planning weakness</v>
      </c>
      <c r="CM711" t="str">
        <f t="shared" si="148"/>
        <v>RISK-ONT-0212</v>
      </c>
      <c r="CN711" t="str">
        <f t="shared" si="149"/>
        <v>RISK-EVT-0212</v>
      </c>
      <c r="CO711" t="str">
        <f t="shared" si="150"/>
        <v>Supply Chain|Inventory and planning|SUPP-017|CAP_INVENTORY_PLANNING</v>
      </c>
      <c r="CP711" t="str">
        <f t="shared" si="151"/>
        <v>Active</v>
      </c>
      <c r="CQ711" t="str">
        <f t="shared" si="152"/>
        <v>OK: capability-driven</v>
      </c>
      <c r="CR711" t="str">
        <f t="shared" si="153"/>
        <v>Risk ontology uses capability=CAP_INVENTORY_PLANNING; bridge=BRG-089; treatment=TRT-INVENTORY_PLANNING-INITIAL; wording=IW-ALL-INVENTORY_PLANNING</v>
      </c>
      <c r="CS711" t="str">
        <f t="shared" si="154"/>
        <v>Yes</v>
      </c>
    </row>
    <row r="712" spans="1:97" ht="69.900000000000006" customHeight="1">
      <c r="A712">
        <f>IF(OR($B712&lt;&gt;"Yes",$BS712=""),"",SUMPRODUCT(($B$500:$B$923="Yes")*ISNUMBER($BS$500:$BS$923)*($BS$500:$BS$923&gt;$BS712))+COUNTIFS($B$500:$B712,"Yes",$BS$500:$BS712,$BS712))</f>
        <v>89</v>
      </c>
      <c r="B712" t="str">
        <f t="shared" si="123"/>
        <v>Yes</v>
      </c>
      <c r="C712" t="s">
        <v>1987</v>
      </c>
      <c r="D712" t="s">
        <v>2002</v>
      </c>
      <c r="E712" t="s">
        <v>2077</v>
      </c>
      <c r="F712" t="s">
        <v>3687</v>
      </c>
      <c r="G712" t="str">
        <f>IF($H712="","",IFERROR(INDEX(_ENGINE_Risk!$H$5:$M$499,MATCH($E712,_ENGINE_Risk!$A$5:$A$499,0),$H712+1),""))</f>
        <v>Severe risk: S&amp;OP or IBP process connecting sales, finance, production, procurement and logistics is not reliably controlled. During Supplier/logistics disruption; Manufacturing disruption; Demand shock, the organization may face supplier failure, logistics disruption, inventory shortages and production or delivery delays with limited visibility or accountability.</v>
      </c>
      <c r="H712">
        <f>IFERROR(VALUE(INDEX(_DATA_Assessment_Model!$H$5:$H$884,MATCH($E712,_DATA_Assessment_Model!$A$5:$A$884,0))),"")</f>
        <v>0</v>
      </c>
      <c r="I712" t="str">
        <f>IF($H712="","",IFERROR(INDEX(_DATA_Assessment_Model!$L$5:$L$884,MATCH($E712,_DATA_Assessment_Model!$A$5:$A$884,0)),IF($H712&lt;=1,"Critical",IF($H712=2,"High",IF($H712=3,"Medium",IF($H712=4,"Low","Resilient"))))))</f>
        <v>Critical</v>
      </c>
      <c r="J712">
        <f t="shared" si="124"/>
        <v>3.7</v>
      </c>
      <c r="K712">
        <f t="shared" si="125"/>
        <v>4.5</v>
      </c>
      <c r="L712">
        <f t="shared" si="126"/>
        <v>16.650000000000002</v>
      </c>
      <c r="M712">
        <f t="shared" si="127"/>
        <v>4</v>
      </c>
      <c r="N712">
        <f>IF($H712="","",IFERROR(INDEX(_ENGINE_Risk!$T$5:$Y$499,MATCH($E712,_ENGINE_Risk!$A$5:$A$499,0),$H712+1),""))</f>
        <v>4</v>
      </c>
      <c r="O712">
        <f t="shared" si="128"/>
        <v>4.666666666666667</v>
      </c>
      <c r="P712">
        <f t="shared" si="129"/>
        <v>5</v>
      </c>
      <c r="Q712">
        <f t="shared" si="130"/>
        <v>5</v>
      </c>
      <c r="R712">
        <f t="shared" si="131"/>
        <v>4.5</v>
      </c>
      <c r="S712">
        <f t="shared" si="132"/>
        <v>1.2</v>
      </c>
      <c r="T712" t="str">
        <f>IF($H712="","",IFERROR(INDEX(_ENGINE_Risk!$N$5:$S$499,MATCH($E712,_ENGINE_Risk!$A$5:$A$499,0),$H712+1),""))</f>
        <v>Create an immediate risk owner, minimum control baseline and fallback procedure for S&amp;OP or IBP process connecting sales, finance, production, procurement and logistics. Add it to the crisis risk register and collect first evidence.</v>
      </c>
      <c r="U712">
        <f>IFERROR(INDEX(_DATA_Assessment_Model!$G$5:$G$884,MATCH($E712,_DATA_Assessment_Model!$A$5:$A$884,0)),"")</f>
        <v>5</v>
      </c>
      <c r="V712">
        <f>IFERROR(INDEX(_DATA_Assessment_Model!$W$5:$W$884,MATCH($E712,_DATA_Assessment_Model!$A$5:$A$884,0)),"")</f>
        <v>4</v>
      </c>
      <c r="W712">
        <f>IFERROR(INDEX(_DATA_Assessment_Model!$X$5:$X$884,MATCH($E712,_DATA_Assessment_Model!$A$5:$A$884,0)),"")</f>
        <v>5</v>
      </c>
      <c r="X712">
        <f>IFERROR(INDEX(_DATA_Assessment_Model!$Y$5:$Y$884,MATCH($E712,_DATA_Assessment_Model!$A$5:$A$884,0)),"")</f>
        <v>5</v>
      </c>
      <c r="Y712" t="s">
        <v>1994</v>
      </c>
      <c r="Z712" t="s">
        <v>7365</v>
      </c>
      <c r="AA712" t="s">
        <v>2079</v>
      </c>
      <c r="AB712">
        <f>IFERROR(INDEX(_DATA_Assessment_Model!$U$5:$U$884,MATCH($E712,_DATA_Assessment_Model!$A$5:$A$884,0)),"")</f>
        <v>0</v>
      </c>
      <c r="AF712" t="s">
        <v>2078</v>
      </c>
      <c r="AO712">
        <f>IF($B712="Yes",IF(IFERROR(INDEX(_ENGINE_Crisis!$F$501:$F$517,MATCH($C712,_ENGINE_Crisis!$A$501:$A$517,0)),1)=0,1,IFERROR(INDEX(_ENGINE_Crisis!$F$501:$F$517,MATCH($C712,_ENGINE_Crisis!$A$501:$A$517,0)),1)),"")</f>
        <v>1</v>
      </c>
      <c r="AP712">
        <f t="shared" si="133"/>
        <v>16.7</v>
      </c>
      <c r="AQ712">
        <f t="shared" si="134"/>
        <v>1.2</v>
      </c>
      <c r="AR712" t="str">
        <f>IFERROR(INDEX(_ENGINE_Crisis!$E$41:$E$700,MATCH('Resilience &amp; Risk Scenario'!$B$6&amp;"|"&amp;$C712,_ENGINE_Crisis!$I$41:$I$700,0)),"")</f>
        <v/>
      </c>
      <c r="AS712" t="str">
        <f>IFERROR(INDEX(_ENGINE_Crisis!$G$41:$G$700,MATCH('Resilience &amp; Risk Scenario'!$B$6&amp;"|"&amp;$C712,_ENGINE_Crisis!$I$41:$I$700,0)),"")</f>
        <v/>
      </c>
      <c r="AT712" t="str">
        <f>IFERROR(INDEX(_ENGINE_Initiatives!$A$5:$A$532,MATCH(1,INDEX((_ENGINE_Initiatives!$B$5:$B$532=$C712)*(_ENGINE_Initiatives!$C$5:$C$532=$D712),0),0)),"")</f>
        <v>INI-034</v>
      </c>
      <c r="AU712" t="str">
        <f>IFERROR(INDEX(_ENGINE_Initiatives!$F$5:$F$532,MATCH(1,INDEX((_ENGINE_Initiatives!$B$5:$B$532=$C712)*(_ENGINE_Initiatives!$C$5:$C$532=$D712),0),0)),"")</f>
        <v>Implement inventory visibility and demand/supply planning</v>
      </c>
      <c r="AV712">
        <f>IFERROR(INDEX(_ENGINE_Initiatives!$AC$5:$AC$532,MATCH(1,INDEX((_ENGINE_Initiatives!$B$5:$B$532=$C712)*(_ENGINE_Initiatives!$C$5:$C$532=$D712),0),0)),"")</f>
        <v>1.79</v>
      </c>
      <c r="AW712" t="str">
        <f>IFERROR(INDEX(_ENGINE_Initiatives!$AE$5:$AE$532,MATCH(1,INDEX((_ENGINE_Initiatives!$B$5:$B$532=$C712)*(_ENGINE_Initiatives!$C$5:$C$532=$D712),0),0)),"")</f>
        <v>3-6 months</v>
      </c>
      <c r="AX712">
        <f>IF($B712="Yes",IFERROR((IF(SUMIFS(_REF_Model_Content!$E$1:$E$613,_REF_Model_Content!$A$1:$A$613,PV_Canonical_Industry,_REF_Model_Content!$B$1:$B$613,$C712)=0,1,SUMIFS(_REF_Model_Content!$E$1:$E$613,_REF_Model_Content!$A$1:$A$613,PV_Canonical_Industry,_REF_Model_Content!$B$1:$B$613,$C712))*IFERROR($BU712,1)),1),"")</f>
        <v>1</v>
      </c>
      <c r="AY712">
        <f t="shared" si="135"/>
        <v>16.7</v>
      </c>
      <c r="AZ712">
        <f t="shared" si="136"/>
        <v>1.2</v>
      </c>
      <c r="BB712" t="str">
        <f>IF($H712="","",IFERROR(INDEX(_ENGINE_Risk!$AE$5:$AE$499,MATCH($E712,_ENGINE_Risk!$A$5:$A$499,0)),"Medium"))</f>
        <v>Fast</v>
      </c>
      <c r="BC712">
        <f t="shared" si="137"/>
        <v>1.25</v>
      </c>
      <c r="BD712">
        <f t="shared" si="138"/>
        <v>1.2</v>
      </c>
      <c r="BF712">
        <f>IF(OR($H712="",$J712=""),"",IFERROR(VLOOKUP(ROUND($J712,0),_CONFIG_Model_Settings!$D$154:$E$158,2,0),""))</f>
        <v>0.5</v>
      </c>
      <c r="BG712">
        <f>IFERROR(IF(OR($H712="",$K712=""),"",ROUND('Company Profile'!$B$113*INDEX(_CONFIG_Model_Settings!$H$154:$H$158,MATCH(ROUND($K712,0),_CONFIG_Model_Settings!$G$154:$G$158,0)),0)),0)</f>
        <v>1875</v>
      </c>
      <c r="BH712">
        <f t="shared" si="139"/>
        <v>937.5</v>
      </c>
      <c r="BI712">
        <f t="shared" si="140"/>
        <v>937.5</v>
      </c>
      <c r="BJ712">
        <f>IF($E712="","",IFERROR(VLOOKUP($C712,_CONFIG_Risk_Calibration!$A$5:$H$21,2,FALSE),3))</f>
        <v>3</v>
      </c>
      <c r="BK712">
        <f>IF($E712="","",IFERROR(VLOOKUP($C712,_CONFIG_Risk_Calibration!$A$5:$H$21,3,FALSE),0))</f>
        <v>0</v>
      </c>
      <c r="BL712">
        <f>IF($E712="","",IFERROR(VLOOKUP($C712,_CONFIG_Risk_Calibration!$A$5:$H$21,4,FALSE),3))</f>
        <v>3</v>
      </c>
      <c r="BM712">
        <f>IF($E712="","",IFERROR(VLOOKUP($C712,_CONFIG_Risk_Calibration!$A$5:$H$21,5,FALSE),3))</f>
        <v>4</v>
      </c>
      <c r="BN712" t="str">
        <f>IF($E712="","",IFERROR(VLOOKUP($C712,_CONFIG_Risk_Calibration!$A$5:$H$21,6,FALSE),"No"))</f>
        <v>No</v>
      </c>
      <c r="BO712">
        <f>IF($E712="","",IFERROR(VLOOKUP($C712,_CONFIG_Risk_Calibration!$A$5:$H$21,7,FALSE),1))</f>
        <v>1</v>
      </c>
      <c r="BP712">
        <f>IF($H712="","",MAX(1,MIN(5,((6-$H712)*0.45)+($BJ712*0.2)+('Resilience &amp; Risk Scenario'!$B$7*0.15)+($BK712*0.1)+($BL712*0.05)+(IF($BB712="Fast",5,IF($BB712="Slow",1,3))*0.05))))</f>
        <v>3.7</v>
      </c>
      <c r="BQ712">
        <f t="shared" si="141"/>
        <v>4.5</v>
      </c>
      <c r="BR712">
        <f t="shared" si="142"/>
        <v>16.649999999999999</v>
      </c>
      <c r="BS712">
        <f t="shared" si="143"/>
        <v>22.89</v>
      </c>
      <c r="BT712" t="str">
        <f>IFERROR(INDEX(_REF_Capability_Bridge!$D:$D,MATCH($C712&amp;"|"&amp;$D712,_REF_Capability_Bridge!$J:$J,0)),IFERROR(INDEX(_REF_Capability_Bridge!$D:$D,MATCH($C712&amp;"|",_REF_Capability_Bridge!$J:$J,0)),"CAP_GENERIC"))</f>
        <v>CAP_INVENTORY_PLANNING</v>
      </c>
      <c r="BU712">
        <f>IFERROR(IFERROR(INDEX(_ENGINE_Relevance!$L:$L,MATCH($BT712,_ENGINE_Relevance!$B:$B,0)),1),1)</f>
        <v>1</v>
      </c>
      <c r="BV712" t="str">
        <f>IFERROR(INDEX(_REF_Capability_Bridge!$A:$A,MATCH($C712&amp;"|"&amp;$D712,_REF_Capability_Bridge!$J:$J,0)),IFERROR(INDEX(_REF_Capability_Bridge!$A:$A,MATCH($C712&amp;"|",_REF_Capability_Bridge!$J:$J,0)),"No bridge"))</f>
        <v>BRG-089</v>
      </c>
      <c r="BW712" t="str">
        <f t="shared" si="144"/>
        <v>Capability relevance neutral</v>
      </c>
      <c r="BX712" t="str">
        <f t="shared" si="145"/>
        <v>Initial / absent</v>
      </c>
      <c r="BY712" t="str">
        <f>IF($E712="","",IFERROR(INDEX(_REF_Treatment_Library!$A$2:$A$296,MATCH(1,INDEX((_REF_Treatment_Library!$B$2:$B$296=$BT712)*(_REF_Treatment_Library!$C$2:$C$296=PV_Canonical_Industry)*(_REF_Treatment_Library!$E$2:$E$296&lt;=N($H712))*(_REF_Treatment_Library!$F$2:$F$296&gt;=N($H712))*(_REF_Treatment_Library!$O$2:$O$296="Yes"),0),0)),IFERROR(INDEX(_REF_Treatment_Library!$A$2:$A$296,MATCH(1,INDEX((_REF_Treatment_Library!$B$2:$B$296=$BT712)*(_REF_Treatment_Library!$C$2:$C$296="All")*(_REF_Treatment_Library!$E$2:$E$296&lt;=N($H712))*(_REF_Treatment_Library!$F$2:$F$296&gt;=N($H712))*(_REF_Treatment_Library!$O$2:$O$296="Yes"),0),0)),"")))</f>
        <v>TRT-INVENTORY_PLANNING-INITIAL</v>
      </c>
      <c r="BZ712" t="str">
        <f>IF($BY712="","",IFERROR(INDEX(_REF_Treatment_Library!$H$2:$H$296,MATCH($BY712,_REF_Treatment_Library!$A$2:$A$296,0)),""))</f>
        <v>Establish</v>
      </c>
      <c r="CA712" t="str">
        <f>IF($BY712="","",IFERROR(INDEX(_REF_Treatment_Library!$I$2:$I$296,MATCH($BY712,_REF_Treatment_Library!$A$2:$A$296,0)),""))</f>
        <v>Establish baseline controls for Inventory planning</v>
      </c>
      <c r="CB712" t="str">
        <f>IF($BY712="","",IFERROR(INDEX(_REF_Treatment_Library!$K$2:$K$296,MATCH($BY712,_REF_Treatment_Library!$A$2:$A$296,0)),""))</f>
        <v>Named owner, baseline process, minimum control checklist, first evidence package</v>
      </c>
      <c r="CC712" t="str">
        <f>IF($BY712="","",IFERROR(INDEX(_REF_Treatment_Library!$L$2:$L$296,MATCH($BY712,_REF_Treatment_Library!$A$2:$A$296,0)),""))</f>
        <v>Owner assigned; baseline evidence coverage; open critical gaps</v>
      </c>
      <c r="CD712" t="str">
        <f t="shared" si="146"/>
        <v>Treatment by capability=CAP_INVENTORY_PLANNING; band=Initial / absent; score=0.0; treatment=Establish</v>
      </c>
      <c r="CE712" t="str">
        <f>IF($E712="","",IFERROR(INDEX(_REF_Industry_Wording!$A$2:$A$70,MATCH(1,INDEX((_REF_Industry_Wording!$B$2:$B$70=$BT712)*(_REF_Industry_Wording!$C$2:$C$70=PV_Canonical_Industry)*(_REF_Industry_Wording!$K$2:$K$70="Yes"),0),0)),IFERROR(INDEX(_REF_Industry_Wording!$A$2:$A$70,MATCH(1,INDEX((_REF_Industry_Wording!$B$2:$B$70=$BT712)*(_REF_Industry_Wording!$C$2:$C$70="All")*(_REF_Industry_Wording!$K$2:$K$70="Yes"),0),0)),"")))</f>
        <v>IW-ALL-INVENTORY_PLANNING</v>
      </c>
      <c r="CF712" t="str">
        <f>IF($CE712="","",IFERROR(INDEX(_REF_Industry_Wording!$E$2:$E$70,MATCH($CE712,_REF_Industry_Wording!$A$2:$A$70,0)),""))</f>
        <v>Inventory planning weakness</v>
      </c>
      <c r="CG712" t="str">
        <f>IF($CE712="","",IFERROR(INDEX(_REF_Industry_Wording!$F$2:$F$70,MATCH($CE712,_REF_Industry_Wording!$A$2:$A$70,0)),""))</f>
        <v>Strengthen Inventory planning</v>
      </c>
      <c r="CH712" t="str">
        <f>IF($CE712="","",IFERROR(INDEX(_REF_Industry_Wording!$G$2:$G$70,MATCH($CE712,_REF_Industry_Wording!$A$2:$A$70,0)),""))</f>
        <v>Strengthen Inventory planning using the selected maturity treatment, crisis scenario and evidence requirements.</v>
      </c>
      <c r="CI712" t="str">
        <f>IF($CE712="","",IFERROR(INDEX(_REF_Industry_Wording!$H$2:$H$70,MATCH($CE712,_REF_Industry_Wording!$A$2:$A$70,0)),""))</f>
        <v>Inventory planning</v>
      </c>
      <c r="CJ712">
        <f>IF($CE712="","",IFERROR(INDEX(_REF_Industry_Wording!$I$2:$I$70,MATCH($CE712,_REF_Industry_Wording!$A$2:$A$70,0)),""))</f>
        <v>0</v>
      </c>
      <c r="CK712" t="str">
        <f>IF($CE712="","",IFERROR(INDEX(_REF_Industry_Wording!$J$2:$J$70,MATCH($CE712,_REF_Industry_Wording!$A$2:$A$70,0)),""))</f>
        <v>Inventory planning</v>
      </c>
      <c r="CL712" t="str">
        <f t="shared" si="147"/>
        <v>Wording by industry=0; capability=CAP_INVENTORY_PLANNING; risk label=Inventory planning weakness</v>
      </c>
      <c r="CM712" t="str">
        <f t="shared" si="148"/>
        <v>RISK-ONT-0213</v>
      </c>
      <c r="CN712" t="str">
        <f t="shared" si="149"/>
        <v>RISK-EVT-0213</v>
      </c>
      <c r="CO712" t="str">
        <f t="shared" si="150"/>
        <v>Supply Chain|Inventory and planning|SUPP-018|CAP_INVENTORY_PLANNING</v>
      </c>
      <c r="CP712" t="str">
        <f t="shared" si="151"/>
        <v>Active</v>
      </c>
      <c r="CQ712" t="str">
        <f t="shared" si="152"/>
        <v>OK: capability-driven</v>
      </c>
      <c r="CR712" t="str">
        <f t="shared" si="153"/>
        <v>Risk ontology uses capability=CAP_INVENTORY_PLANNING; bridge=BRG-089; treatment=TRT-INVENTORY_PLANNING-INITIAL; wording=IW-ALL-INVENTORY_PLANNING</v>
      </c>
      <c r="CS712" t="str">
        <f t="shared" si="154"/>
        <v>Yes</v>
      </c>
    </row>
    <row r="713" spans="1:97" ht="69.900000000000006" customHeight="1">
      <c r="A713">
        <f>IF(OR($B713&lt;&gt;"Yes",$BS713=""),"",SUMPRODUCT(($B$500:$B$923="Yes")*ISNUMBER($BS$500:$BS$923)*($BS$500:$BS$923&gt;$BS713))+COUNTIFS($B$500:$B713,"Yes",$BS$500:$BS713,$BS713))</f>
        <v>49</v>
      </c>
      <c r="B713" t="str">
        <f t="shared" si="123"/>
        <v>Yes</v>
      </c>
      <c r="C713" t="s">
        <v>1987</v>
      </c>
      <c r="D713" t="s">
        <v>2002</v>
      </c>
      <c r="E713" t="s">
        <v>2080</v>
      </c>
      <c r="F713" t="s">
        <v>3687</v>
      </c>
      <c r="G713" t="str">
        <f>IF($H713="","",IFERROR(INDEX(_ENGINE_Risk!$H$5:$M$499,MATCH($E713,_ENGINE_Risk!$A$5:$A$499,0),$H713+1),""))</f>
        <v>Severe risk: planning cycle acceleration during crisis without losing data quality is not reliably controlled. During Supplier/logistics disruption; Manufacturing disruption; Demand shock, the organization may face supplier failure, logistics disruption, inventory shortages and production or delivery delays with limited visibility or accountability.</v>
      </c>
      <c r="H713">
        <f>IFERROR(VALUE(INDEX(_DATA_Assessment_Model!$H$5:$H$884,MATCH($E713,_DATA_Assessment_Model!$A$5:$A$884,0))),"")</f>
        <v>0</v>
      </c>
      <c r="I713" t="str">
        <f>IF($H713="","",IFERROR(INDEX(_DATA_Assessment_Model!$L$5:$L$884,MATCH($E713,_DATA_Assessment_Model!$A$5:$A$884,0)),IF($H713&lt;=1,"Critical",IF($H713=2,"High",IF($H713=3,"Medium",IF($H713=4,"Low","Resilient"))))))</f>
        <v>Critical</v>
      </c>
      <c r="J713">
        <f t="shared" si="124"/>
        <v>3.7</v>
      </c>
      <c r="K713">
        <f t="shared" si="125"/>
        <v>4.6499999999999995</v>
      </c>
      <c r="L713">
        <f t="shared" si="126"/>
        <v>17.204999999999998</v>
      </c>
      <c r="M713">
        <f t="shared" si="127"/>
        <v>4</v>
      </c>
      <c r="N713">
        <f>IF($H713="","",IFERROR(INDEX(_ENGINE_Risk!$T$5:$Y$499,MATCH($E713,_ENGINE_Risk!$A$5:$A$499,0),$H713+1),""))</f>
        <v>4</v>
      </c>
      <c r="O713">
        <f t="shared" si="128"/>
        <v>5</v>
      </c>
      <c r="P713">
        <f t="shared" si="129"/>
        <v>5</v>
      </c>
      <c r="Q713">
        <f t="shared" si="130"/>
        <v>5</v>
      </c>
      <c r="R713">
        <f t="shared" si="131"/>
        <v>5</v>
      </c>
      <c r="S713">
        <f t="shared" si="132"/>
        <v>1.25</v>
      </c>
      <c r="T713" t="str">
        <f>IF($H713="","",IFERROR(INDEX(_ENGINE_Risk!$N$5:$S$499,MATCH($E713,_ENGINE_Risk!$A$5:$A$499,0),$H713+1),""))</f>
        <v>Create an immediate risk owner, minimum control baseline and fallback procedure for planning cycle acceleration during crisis without losing data quality. Add it to the crisis risk register and collect first evidence.</v>
      </c>
      <c r="U713">
        <f>IFERROR(INDEX(_DATA_Assessment_Model!$G$5:$G$884,MATCH($E713,_DATA_Assessment_Model!$A$5:$A$884,0)),"")</f>
        <v>5</v>
      </c>
      <c r="V713">
        <f>IFERROR(INDEX(_DATA_Assessment_Model!$W$5:$W$884,MATCH($E713,_DATA_Assessment_Model!$A$5:$A$884,0)),"")</f>
        <v>5</v>
      </c>
      <c r="W713">
        <f>IFERROR(INDEX(_DATA_Assessment_Model!$X$5:$X$884,MATCH($E713,_DATA_Assessment_Model!$A$5:$A$884,0)),"")</f>
        <v>5</v>
      </c>
      <c r="X713">
        <f>IFERROR(INDEX(_DATA_Assessment_Model!$Y$5:$Y$884,MATCH($E713,_DATA_Assessment_Model!$A$5:$A$884,0)),"")</f>
        <v>5</v>
      </c>
      <c r="Y713" t="s">
        <v>1994</v>
      </c>
      <c r="Z713" t="s">
        <v>7365</v>
      </c>
      <c r="AA713" t="s">
        <v>2082</v>
      </c>
      <c r="AB713">
        <f>IFERROR(INDEX(_DATA_Assessment_Model!$U$5:$U$884,MATCH($E713,_DATA_Assessment_Model!$A$5:$A$884,0)),"")</f>
        <v>0</v>
      </c>
      <c r="AF713" t="s">
        <v>2081</v>
      </c>
      <c r="AO713">
        <f>IF($B713="Yes",IF(IFERROR(INDEX(_ENGINE_Crisis!$F$501:$F$517,MATCH($C713,_ENGINE_Crisis!$A$501:$A$517,0)),1)=0,1,IFERROR(INDEX(_ENGINE_Crisis!$F$501:$F$517,MATCH($C713,_ENGINE_Crisis!$A$501:$A$517,0)),1)),"")</f>
        <v>1</v>
      </c>
      <c r="AP713">
        <f t="shared" si="133"/>
        <v>17.2</v>
      </c>
      <c r="AQ713">
        <f t="shared" si="134"/>
        <v>1.25</v>
      </c>
      <c r="AR713" t="str">
        <f>IFERROR(INDEX(_ENGINE_Crisis!$E$41:$E$700,MATCH('Resilience &amp; Risk Scenario'!$B$6&amp;"|"&amp;$C713,_ENGINE_Crisis!$I$41:$I$700,0)),"")</f>
        <v/>
      </c>
      <c r="AS713" t="str">
        <f>IFERROR(INDEX(_ENGINE_Crisis!$G$41:$G$700,MATCH('Resilience &amp; Risk Scenario'!$B$6&amp;"|"&amp;$C713,_ENGINE_Crisis!$I$41:$I$700,0)),"")</f>
        <v/>
      </c>
      <c r="AT713" t="str">
        <f>IFERROR(INDEX(_ENGINE_Initiatives!$A$5:$A$532,MATCH(1,INDEX((_ENGINE_Initiatives!$B$5:$B$532=$C713)*(_ENGINE_Initiatives!$C$5:$C$532=$D713),0),0)),"")</f>
        <v>INI-034</v>
      </c>
      <c r="AU713" t="str">
        <f>IFERROR(INDEX(_ENGINE_Initiatives!$F$5:$F$532,MATCH(1,INDEX((_ENGINE_Initiatives!$B$5:$B$532=$C713)*(_ENGINE_Initiatives!$C$5:$C$532=$D713),0),0)),"")</f>
        <v>Implement inventory visibility and demand/supply planning</v>
      </c>
      <c r="AV713">
        <f>IFERROR(INDEX(_ENGINE_Initiatives!$AC$5:$AC$532,MATCH(1,INDEX((_ENGINE_Initiatives!$B$5:$B$532=$C713)*(_ENGINE_Initiatives!$C$5:$C$532=$D713),0),0)),"")</f>
        <v>1.79</v>
      </c>
      <c r="AW713" t="str">
        <f>IFERROR(INDEX(_ENGINE_Initiatives!$AE$5:$AE$532,MATCH(1,INDEX((_ENGINE_Initiatives!$B$5:$B$532=$C713)*(_ENGINE_Initiatives!$C$5:$C$532=$D713),0),0)),"")</f>
        <v>3-6 months</v>
      </c>
      <c r="AX713">
        <f>IF($B713="Yes",IFERROR((IF(SUMIFS(_REF_Model_Content!$E$1:$E$613,_REF_Model_Content!$A$1:$A$613,PV_Canonical_Industry,_REF_Model_Content!$B$1:$B$613,$C713)=0,1,SUMIFS(_REF_Model_Content!$E$1:$E$613,_REF_Model_Content!$A$1:$A$613,PV_Canonical_Industry,_REF_Model_Content!$B$1:$B$613,$C713))*IFERROR($BU713,1)),1),"")</f>
        <v>1</v>
      </c>
      <c r="AY713">
        <f t="shared" si="135"/>
        <v>17.2</v>
      </c>
      <c r="AZ713">
        <f t="shared" si="136"/>
        <v>1.25</v>
      </c>
      <c r="BB713" t="str">
        <f>IF($H713="","",IFERROR(INDEX(_ENGINE_Risk!$AE$5:$AE$499,MATCH($E713,_ENGINE_Risk!$A$5:$A$499,0)),"Medium"))</f>
        <v>Fast</v>
      </c>
      <c r="BC713">
        <f t="shared" si="137"/>
        <v>1.25</v>
      </c>
      <c r="BD713">
        <f t="shared" si="138"/>
        <v>1.25</v>
      </c>
      <c r="BF713">
        <f>IF(OR($H713="",$J713=""),"",IFERROR(VLOOKUP(ROUND($J713,0),_CONFIG_Model_Settings!$D$154:$E$158,2,0),""))</f>
        <v>0.5</v>
      </c>
      <c r="BG713">
        <f>IFERROR(IF(OR($H713="",$K713=""),"",ROUND('Company Profile'!$B$113*INDEX(_CONFIG_Model_Settings!$H$154:$H$158,MATCH(ROUND($K713,0),_CONFIG_Model_Settings!$G$154:$G$158,0)),0)),0)</f>
        <v>1875</v>
      </c>
      <c r="BH713">
        <f t="shared" si="139"/>
        <v>937.5</v>
      </c>
      <c r="BI713">
        <f t="shared" si="140"/>
        <v>937.5</v>
      </c>
      <c r="BJ713">
        <f>IF($E713="","",IFERROR(VLOOKUP($C713,_CONFIG_Risk_Calibration!$A$5:$H$21,2,FALSE),3))</f>
        <v>3</v>
      </c>
      <c r="BK713">
        <f>IF($E713="","",IFERROR(VLOOKUP($C713,_CONFIG_Risk_Calibration!$A$5:$H$21,3,FALSE),0))</f>
        <v>0</v>
      </c>
      <c r="BL713">
        <f>IF($E713="","",IFERROR(VLOOKUP($C713,_CONFIG_Risk_Calibration!$A$5:$H$21,4,FALSE),3))</f>
        <v>3</v>
      </c>
      <c r="BM713">
        <f>IF($E713="","",IFERROR(VLOOKUP($C713,_CONFIG_Risk_Calibration!$A$5:$H$21,5,FALSE),3))</f>
        <v>4</v>
      </c>
      <c r="BN713" t="str">
        <f>IF($E713="","",IFERROR(VLOOKUP($C713,_CONFIG_Risk_Calibration!$A$5:$H$21,6,FALSE),"No"))</f>
        <v>No</v>
      </c>
      <c r="BO713">
        <f>IF($E713="","",IFERROR(VLOOKUP($C713,_CONFIG_Risk_Calibration!$A$5:$H$21,7,FALSE),1))</f>
        <v>1</v>
      </c>
      <c r="BP713">
        <f>IF($H713="","",MAX(1,MIN(5,((6-$H713)*0.45)+($BJ713*0.2)+('Resilience &amp; Risk Scenario'!$B$7*0.15)+($BK713*0.1)+($BL713*0.05)+(IF($BB713="Fast",5,IF($BB713="Slow",1,3))*0.05))))</f>
        <v>3.7</v>
      </c>
      <c r="BQ713">
        <f t="shared" si="141"/>
        <v>4.6499999999999995</v>
      </c>
      <c r="BR713">
        <f t="shared" si="142"/>
        <v>17.21</v>
      </c>
      <c r="BS713">
        <f t="shared" si="143"/>
        <v>23.66</v>
      </c>
      <c r="BT713" t="str">
        <f>IFERROR(INDEX(_REF_Capability_Bridge!$D:$D,MATCH($C713&amp;"|"&amp;$D713,_REF_Capability_Bridge!$J:$J,0)),IFERROR(INDEX(_REF_Capability_Bridge!$D:$D,MATCH($C713&amp;"|",_REF_Capability_Bridge!$J:$J,0)),"CAP_GENERIC"))</f>
        <v>CAP_INVENTORY_PLANNING</v>
      </c>
      <c r="BU713">
        <f>IFERROR(IFERROR(INDEX(_ENGINE_Relevance!$L:$L,MATCH($BT713,_ENGINE_Relevance!$B:$B,0)),1),1)</f>
        <v>1</v>
      </c>
      <c r="BV713" t="str">
        <f>IFERROR(INDEX(_REF_Capability_Bridge!$A:$A,MATCH($C713&amp;"|"&amp;$D713,_REF_Capability_Bridge!$J:$J,0)),IFERROR(INDEX(_REF_Capability_Bridge!$A:$A,MATCH($C713&amp;"|",_REF_Capability_Bridge!$J:$J,0)),"No bridge"))</f>
        <v>BRG-089</v>
      </c>
      <c r="BW713" t="str">
        <f t="shared" si="144"/>
        <v>Capability relevance neutral</v>
      </c>
      <c r="BX713" t="str">
        <f t="shared" si="145"/>
        <v>Initial / absent</v>
      </c>
      <c r="BY713" t="str">
        <f>IF($E713="","",IFERROR(INDEX(_REF_Treatment_Library!$A$2:$A$296,MATCH(1,INDEX((_REF_Treatment_Library!$B$2:$B$296=$BT713)*(_REF_Treatment_Library!$C$2:$C$296=PV_Canonical_Industry)*(_REF_Treatment_Library!$E$2:$E$296&lt;=N($H713))*(_REF_Treatment_Library!$F$2:$F$296&gt;=N($H713))*(_REF_Treatment_Library!$O$2:$O$296="Yes"),0),0)),IFERROR(INDEX(_REF_Treatment_Library!$A$2:$A$296,MATCH(1,INDEX((_REF_Treatment_Library!$B$2:$B$296=$BT713)*(_REF_Treatment_Library!$C$2:$C$296="All")*(_REF_Treatment_Library!$E$2:$E$296&lt;=N($H713))*(_REF_Treatment_Library!$F$2:$F$296&gt;=N($H713))*(_REF_Treatment_Library!$O$2:$O$296="Yes"),0),0)),"")))</f>
        <v>TRT-INVENTORY_PLANNING-INITIAL</v>
      </c>
      <c r="BZ713" t="str">
        <f>IF($BY713="","",IFERROR(INDEX(_REF_Treatment_Library!$H$2:$H$296,MATCH($BY713,_REF_Treatment_Library!$A$2:$A$296,0)),""))</f>
        <v>Establish</v>
      </c>
      <c r="CA713" t="str">
        <f>IF($BY713="","",IFERROR(INDEX(_REF_Treatment_Library!$I$2:$I$296,MATCH($BY713,_REF_Treatment_Library!$A$2:$A$296,0)),""))</f>
        <v>Establish baseline controls for Inventory planning</v>
      </c>
      <c r="CB713" t="str">
        <f>IF($BY713="","",IFERROR(INDEX(_REF_Treatment_Library!$K$2:$K$296,MATCH($BY713,_REF_Treatment_Library!$A$2:$A$296,0)),""))</f>
        <v>Named owner, baseline process, minimum control checklist, first evidence package</v>
      </c>
      <c r="CC713" t="str">
        <f>IF($BY713="","",IFERROR(INDEX(_REF_Treatment_Library!$L$2:$L$296,MATCH($BY713,_REF_Treatment_Library!$A$2:$A$296,0)),""))</f>
        <v>Owner assigned; baseline evidence coverage; open critical gaps</v>
      </c>
      <c r="CD713" t="str">
        <f t="shared" si="146"/>
        <v>Treatment by capability=CAP_INVENTORY_PLANNING; band=Initial / absent; score=0.0; treatment=Establish</v>
      </c>
      <c r="CE713" t="str">
        <f>IF($E713="","",IFERROR(INDEX(_REF_Industry_Wording!$A$2:$A$70,MATCH(1,INDEX((_REF_Industry_Wording!$B$2:$B$70=$BT713)*(_REF_Industry_Wording!$C$2:$C$70=PV_Canonical_Industry)*(_REF_Industry_Wording!$K$2:$K$70="Yes"),0),0)),IFERROR(INDEX(_REF_Industry_Wording!$A$2:$A$70,MATCH(1,INDEX((_REF_Industry_Wording!$B$2:$B$70=$BT713)*(_REF_Industry_Wording!$C$2:$C$70="All")*(_REF_Industry_Wording!$K$2:$K$70="Yes"),0),0)),"")))</f>
        <v>IW-ALL-INVENTORY_PLANNING</v>
      </c>
      <c r="CF713" t="str">
        <f>IF($CE713="","",IFERROR(INDEX(_REF_Industry_Wording!$E$2:$E$70,MATCH($CE713,_REF_Industry_Wording!$A$2:$A$70,0)),""))</f>
        <v>Inventory planning weakness</v>
      </c>
      <c r="CG713" t="str">
        <f>IF($CE713="","",IFERROR(INDEX(_REF_Industry_Wording!$F$2:$F$70,MATCH($CE713,_REF_Industry_Wording!$A$2:$A$70,0)),""))</f>
        <v>Strengthen Inventory planning</v>
      </c>
      <c r="CH713" t="str">
        <f>IF($CE713="","",IFERROR(INDEX(_REF_Industry_Wording!$G$2:$G$70,MATCH($CE713,_REF_Industry_Wording!$A$2:$A$70,0)),""))</f>
        <v>Strengthen Inventory planning using the selected maturity treatment, crisis scenario and evidence requirements.</v>
      </c>
      <c r="CI713" t="str">
        <f>IF($CE713="","",IFERROR(INDEX(_REF_Industry_Wording!$H$2:$H$70,MATCH($CE713,_REF_Industry_Wording!$A$2:$A$70,0)),""))</f>
        <v>Inventory planning</v>
      </c>
      <c r="CJ713">
        <f>IF($CE713="","",IFERROR(INDEX(_REF_Industry_Wording!$I$2:$I$70,MATCH($CE713,_REF_Industry_Wording!$A$2:$A$70,0)),""))</f>
        <v>0</v>
      </c>
      <c r="CK713" t="str">
        <f>IF($CE713="","",IFERROR(INDEX(_REF_Industry_Wording!$J$2:$J$70,MATCH($CE713,_REF_Industry_Wording!$A$2:$A$70,0)),""))</f>
        <v>Inventory planning</v>
      </c>
      <c r="CL713" t="str">
        <f t="shared" si="147"/>
        <v>Wording by industry=0; capability=CAP_INVENTORY_PLANNING; risk label=Inventory planning weakness</v>
      </c>
      <c r="CM713" t="str">
        <f t="shared" si="148"/>
        <v>RISK-ONT-0214</v>
      </c>
      <c r="CN713" t="str">
        <f t="shared" si="149"/>
        <v>RISK-EVT-0214</v>
      </c>
      <c r="CO713" t="str">
        <f t="shared" si="150"/>
        <v>Supply Chain|Inventory and planning|SUPP-019|CAP_INVENTORY_PLANNING</v>
      </c>
      <c r="CP713" t="str">
        <f t="shared" si="151"/>
        <v>Active</v>
      </c>
      <c r="CQ713" t="str">
        <f t="shared" si="152"/>
        <v>OK: capability-driven</v>
      </c>
      <c r="CR713" t="str">
        <f t="shared" si="153"/>
        <v>Risk ontology uses capability=CAP_INVENTORY_PLANNING; bridge=BRG-089; treatment=TRT-INVENTORY_PLANNING-INITIAL; wording=IW-ALL-INVENTORY_PLANNING</v>
      </c>
      <c r="CS713" t="str">
        <f t="shared" si="154"/>
        <v>Yes</v>
      </c>
    </row>
    <row r="714" spans="1:97" ht="69.900000000000006" customHeight="1">
      <c r="A714">
        <f>IF(OR($B714&lt;&gt;"Yes",$BS714=""),"",SUMPRODUCT(($B$500:$B$923="Yes")*ISNUMBER($BS$500:$BS$923)*($BS$500:$BS$923&gt;$BS714))+COUNTIFS($B$500:$B714,"Yes",$BS$500:$BS714,$BS714))</f>
        <v>50</v>
      </c>
      <c r="B714" t="str">
        <f t="shared" si="123"/>
        <v>Yes</v>
      </c>
      <c r="C714" t="s">
        <v>1987</v>
      </c>
      <c r="D714" t="s">
        <v>2006</v>
      </c>
      <c r="E714" t="s">
        <v>2083</v>
      </c>
      <c r="F714" t="s">
        <v>3687</v>
      </c>
      <c r="G714" t="str">
        <f>IF($H714="","",IFERROR(INDEX(_ENGINE_Risk!$H$5:$M$499,MATCH($E714,_ENGINE_Risk!$A$5:$A$499,0),$H714+1),""))</f>
        <v>Severe risk: ERP, MRP, WMS, TMS and supplier portal integration and resilience is not reliably controlled. During Supplier/logistics disruption; Manufacturing disruption; Demand shock, the organization may face supplier failure, logistics disruption, inventory shortages and production or delivery delays with limited visibility or accountability.</v>
      </c>
      <c r="H714">
        <f>IFERROR(VALUE(INDEX(_DATA_Assessment_Model!$H$5:$H$884,MATCH($E714,_DATA_Assessment_Model!$A$5:$A$884,0))),"")</f>
        <v>0</v>
      </c>
      <c r="I714" t="str">
        <f>IF($H714="","",IFERROR(INDEX(_DATA_Assessment_Model!$L$5:$L$884,MATCH($E714,_DATA_Assessment_Model!$A$5:$A$884,0)),IF($H714&lt;=1,"Critical",IF($H714=2,"High",IF($H714=3,"Medium",IF($H714=4,"Low","Resilient"))))))</f>
        <v>Critical</v>
      </c>
      <c r="J714">
        <f t="shared" si="124"/>
        <v>3.7</v>
      </c>
      <c r="K714">
        <f t="shared" si="125"/>
        <v>4.6499999999999995</v>
      </c>
      <c r="L714">
        <f t="shared" si="126"/>
        <v>17.204999999999998</v>
      </c>
      <c r="M714">
        <f t="shared" si="127"/>
        <v>4</v>
      </c>
      <c r="N714">
        <f>IF($H714="","",IFERROR(INDEX(_ENGINE_Risk!$T$5:$Y$499,MATCH($E714,_ENGINE_Risk!$A$5:$A$499,0),$H714+1),""))</f>
        <v>4</v>
      </c>
      <c r="O714">
        <f t="shared" si="128"/>
        <v>5</v>
      </c>
      <c r="P714">
        <f t="shared" si="129"/>
        <v>5</v>
      </c>
      <c r="Q714">
        <f t="shared" si="130"/>
        <v>5</v>
      </c>
      <c r="R714">
        <f t="shared" si="131"/>
        <v>5</v>
      </c>
      <c r="S714">
        <f t="shared" si="132"/>
        <v>1.25</v>
      </c>
      <c r="T714" t="str">
        <f>IF($H714="","",IFERROR(INDEX(_ENGINE_Risk!$N$5:$S$499,MATCH($E714,_ENGINE_Risk!$A$5:$A$499,0),$H714+1),""))</f>
        <v>Create an immediate risk owner, minimum control baseline and fallback procedure for ERP, MRP, WMS, TMS and supplier portal integration and resilience. Add it to the crisis risk register and collect first evidence.</v>
      </c>
      <c r="U714">
        <f>IFERROR(INDEX(_DATA_Assessment_Model!$G$5:$G$884,MATCH($E714,_DATA_Assessment_Model!$A$5:$A$884,0)),"")</f>
        <v>5</v>
      </c>
      <c r="V714">
        <f>IFERROR(INDEX(_DATA_Assessment_Model!$W$5:$W$884,MATCH($E714,_DATA_Assessment_Model!$A$5:$A$884,0)),"")</f>
        <v>5</v>
      </c>
      <c r="W714">
        <f>IFERROR(INDEX(_DATA_Assessment_Model!$X$5:$X$884,MATCH($E714,_DATA_Assessment_Model!$A$5:$A$884,0)),"")</f>
        <v>5</v>
      </c>
      <c r="X714">
        <f>IFERROR(INDEX(_DATA_Assessment_Model!$Y$5:$Y$884,MATCH($E714,_DATA_Assessment_Model!$A$5:$A$884,0)),"")</f>
        <v>5</v>
      </c>
      <c r="Y714" t="s">
        <v>1994</v>
      </c>
      <c r="Z714" t="s">
        <v>7365</v>
      </c>
      <c r="AA714" t="s">
        <v>2085</v>
      </c>
      <c r="AB714">
        <f>IFERROR(INDEX(_DATA_Assessment_Model!$U$5:$U$884,MATCH($E714,_DATA_Assessment_Model!$A$5:$A$884,0)),"")</f>
        <v>0</v>
      </c>
      <c r="AF714" t="s">
        <v>2084</v>
      </c>
      <c r="AO714">
        <f>IF($B714="Yes",IF(IFERROR(INDEX(_ENGINE_Crisis!$F$501:$F$517,MATCH($C714,_ENGINE_Crisis!$A$501:$A$517,0)),1)=0,1,IFERROR(INDEX(_ENGINE_Crisis!$F$501:$F$517,MATCH($C714,_ENGINE_Crisis!$A$501:$A$517,0)),1)),"")</f>
        <v>1</v>
      </c>
      <c r="AP714">
        <f t="shared" si="133"/>
        <v>17.2</v>
      </c>
      <c r="AQ714">
        <f t="shared" si="134"/>
        <v>1.25</v>
      </c>
      <c r="AR714" t="str">
        <f>IFERROR(INDEX(_ENGINE_Crisis!$E$41:$E$700,MATCH('Resilience &amp; Risk Scenario'!$B$6&amp;"|"&amp;$C714,_ENGINE_Crisis!$I$41:$I$700,0)),"")</f>
        <v/>
      </c>
      <c r="AS714" t="str">
        <f>IFERROR(INDEX(_ENGINE_Crisis!$G$41:$G$700,MATCH('Resilience &amp; Risk Scenario'!$B$6&amp;"|"&amp;$C714,_ENGINE_Crisis!$I$41:$I$700,0)),"")</f>
        <v/>
      </c>
      <c r="AT714" t="str">
        <f>IFERROR(INDEX(_ENGINE_Initiatives!$A$5:$A$532,MATCH(1,INDEX((_ENGINE_Initiatives!$B$5:$B$532=$C714)*(_ENGINE_Initiatives!$C$5:$C$532=$D714),0),0)),"")</f>
        <v>INI-035</v>
      </c>
      <c r="AU714" t="str">
        <f>IFERROR(INDEX(_ENGINE_Initiatives!$F$5:$F$532,MATCH(1,INDEX((_ENGINE_Initiatives!$B$5:$B$532=$C714)*(_ENGINE_Initiatives!$C$5:$C$532=$D714),0),0)),"")</f>
        <v>Implement supply-chain technology, risk monitoring and supplier data</v>
      </c>
      <c r="AV714">
        <f>IFERROR(INDEX(_ENGINE_Initiatives!$AC$5:$AC$532,MATCH(1,INDEX((_ENGINE_Initiatives!$B$5:$B$532=$C714)*(_ENGINE_Initiatives!$C$5:$C$532=$D714),0),0)),"")</f>
        <v>1.81</v>
      </c>
      <c r="AW714" t="str">
        <f>IFERROR(INDEX(_ENGINE_Initiatives!$AE$5:$AE$532,MATCH(1,INDEX((_ENGINE_Initiatives!$B$5:$B$532=$C714)*(_ENGINE_Initiatives!$C$5:$C$532=$D714),0),0)),"")</f>
        <v>3-6 months</v>
      </c>
      <c r="AX714">
        <f>IF($B714="Yes",IFERROR((IF(SUMIFS(_REF_Model_Content!$E$1:$E$613,_REF_Model_Content!$A$1:$A$613,PV_Canonical_Industry,_REF_Model_Content!$B$1:$B$613,$C714)=0,1,SUMIFS(_REF_Model_Content!$E$1:$E$613,_REF_Model_Content!$A$1:$A$613,PV_Canonical_Industry,_REF_Model_Content!$B$1:$B$613,$C714))*IFERROR($BU714,1)),1),"")</f>
        <v>1</v>
      </c>
      <c r="AY714">
        <f t="shared" si="135"/>
        <v>17.2</v>
      </c>
      <c r="AZ714">
        <f t="shared" si="136"/>
        <v>1.25</v>
      </c>
      <c r="BB714" t="str">
        <f>IF($H714="","",IFERROR(INDEX(_ENGINE_Risk!$AE$5:$AE$499,MATCH($E714,_ENGINE_Risk!$A$5:$A$499,0)),"Medium"))</f>
        <v>Fast</v>
      </c>
      <c r="BC714">
        <f t="shared" si="137"/>
        <v>1.25</v>
      </c>
      <c r="BD714">
        <f t="shared" si="138"/>
        <v>1.25</v>
      </c>
      <c r="BF714">
        <f>IF(OR($H714="",$J714=""),"",IFERROR(VLOOKUP(ROUND($J714,0),_CONFIG_Model_Settings!$D$154:$E$158,2,0),""))</f>
        <v>0.5</v>
      </c>
      <c r="BG714">
        <f>IFERROR(IF(OR($H714="",$K714=""),"",ROUND('Company Profile'!$B$113*INDEX(_CONFIG_Model_Settings!$H$154:$H$158,MATCH(ROUND($K714,0),_CONFIG_Model_Settings!$G$154:$G$158,0)),0)),0)</f>
        <v>1875</v>
      </c>
      <c r="BH714">
        <f t="shared" si="139"/>
        <v>937.5</v>
      </c>
      <c r="BI714">
        <f t="shared" si="140"/>
        <v>937.5</v>
      </c>
      <c r="BJ714">
        <f>IF($E714="","",IFERROR(VLOOKUP($C714,_CONFIG_Risk_Calibration!$A$5:$H$21,2,FALSE),3))</f>
        <v>3</v>
      </c>
      <c r="BK714">
        <f>IF($E714="","",IFERROR(VLOOKUP($C714,_CONFIG_Risk_Calibration!$A$5:$H$21,3,FALSE),0))</f>
        <v>0</v>
      </c>
      <c r="BL714">
        <f>IF($E714="","",IFERROR(VLOOKUP($C714,_CONFIG_Risk_Calibration!$A$5:$H$21,4,FALSE),3))</f>
        <v>3</v>
      </c>
      <c r="BM714">
        <f>IF($E714="","",IFERROR(VLOOKUP($C714,_CONFIG_Risk_Calibration!$A$5:$H$21,5,FALSE),3))</f>
        <v>4</v>
      </c>
      <c r="BN714" t="str">
        <f>IF($E714="","",IFERROR(VLOOKUP($C714,_CONFIG_Risk_Calibration!$A$5:$H$21,6,FALSE),"No"))</f>
        <v>No</v>
      </c>
      <c r="BO714">
        <f>IF($E714="","",IFERROR(VLOOKUP($C714,_CONFIG_Risk_Calibration!$A$5:$H$21,7,FALSE),1))</f>
        <v>1</v>
      </c>
      <c r="BP714">
        <f>IF($H714="","",MAX(1,MIN(5,((6-$H714)*0.45)+($BJ714*0.2)+('Resilience &amp; Risk Scenario'!$B$7*0.15)+($BK714*0.1)+($BL714*0.05)+(IF($BB714="Fast",5,IF($BB714="Slow",1,3))*0.05))))</f>
        <v>3.7</v>
      </c>
      <c r="BQ714">
        <f t="shared" si="141"/>
        <v>4.6499999999999995</v>
      </c>
      <c r="BR714">
        <f t="shared" si="142"/>
        <v>17.21</v>
      </c>
      <c r="BS714">
        <f t="shared" si="143"/>
        <v>23.66</v>
      </c>
      <c r="BT714" t="str">
        <f>IFERROR(INDEX(_REF_Capability_Bridge!$D:$D,MATCH($C714&amp;"|"&amp;$D714,_REF_Capability_Bridge!$J:$J,0)),IFERROR(INDEX(_REF_Capability_Bridge!$D:$D,MATCH($C714&amp;"|",_REF_Capability_Bridge!$J:$J,0)),"CAP_GENERIC"))</f>
        <v>CAP_SRE_OBSERVABILITY</v>
      </c>
      <c r="BU714">
        <f>IFERROR(IFERROR(INDEX(_ENGINE_Relevance!$L:$L,MATCH($BT714,_ENGINE_Relevance!$B:$B,0)),1),1)</f>
        <v>1</v>
      </c>
      <c r="BV714" t="str">
        <f>IFERROR(INDEX(_REF_Capability_Bridge!$A:$A,MATCH($C714&amp;"|"&amp;$D714,_REF_Capability_Bridge!$J:$J,0)),IFERROR(INDEX(_REF_Capability_Bridge!$A:$A,MATCH($C714&amp;"|",_REF_Capability_Bridge!$J:$J,0)),"No bridge"))</f>
        <v>BRG-093</v>
      </c>
      <c r="BW714" t="str">
        <f t="shared" si="144"/>
        <v>Capability relevance neutral</v>
      </c>
      <c r="BX714" t="str">
        <f t="shared" si="145"/>
        <v>Initial / absent</v>
      </c>
      <c r="BY714" t="str">
        <f>IF($E714="","",IFERROR(INDEX(_REF_Treatment_Library!$A$2:$A$296,MATCH(1,INDEX((_REF_Treatment_Library!$B$2:$B$296=$BT714)*(_REF_Treatment_Library!$C$2:$C$296=PV_Canonical_Industry)*(_REF_Treatment_Library!$E$2:$E$296&lt;=N($H714))*(_REF_Treatment_Library!$F$2:$F$296&gt;=N($H714))*(_REF_Treatment_Library!$O$2:$O$296="Yes"),0),0)),IFERROR(INDEX(_REF_Treatment_Library!$A$2:$A$296,MATCH(1,INDEX((_REF_Treatment_Library!$B$2:$B$296=$BT714)*(_REF_Treatment_Library!$C$2:$C$296="All")*(_REF_Treatment_Library!$E$2:$E$296&lt;=N($H714))*(_REF_Treatment_Library!$F$2:$F$296&gt;=N($H714))*(_REF_Treatment_Library!$O$2:$O$296="Yes"),0),0)),"")))</f>
        <v>TRT-SRE_OBSERVABILITY-INITIAL</v>
      </c>
      <c r="BZ714" t="str">
        <f>IF($BY714="","",IFERROR(INDEX(_REF_Treatment_Library!$H$2:$H$296,MATCH($BY714,_REF_Treatment_Library!$A$2:$A$296,0)),""))</f>
        <v>Establish</v>
      </c>
      <c r="CA714" t="str">
        <f>IF($BY714="","",IFERROR(INDEX(_REF_Treatment_Library!$I$2:$I$296,MATCH($BY714,_REF_Treatment_Library!$A$2:$A$296,0)),""))</f>
        <v>Establish baseline controls for SRE / Observability</v>
      </c>
      <c r="CB714" t="str">
        <f>IF($BY714="","",IFERROR(INDEX(_REF_Treatment_Library!$K$2:$K$296,MATCH($BY714,_REF_Treatment_Library!$A$2:$A$296,0)),""))</f>
        <v>Named owner, baseline process, minimum control checklist, first evidence package</v>
      </c>
      <c r="CC714" t="str">
        <f>IF($BY714="","",IFERROR(INDEX(_REF_Treatment_Library!$L$2:$L$296,MATCH($BY714,_REF_Treatment_Library!$A$2:$A$296,0)),""))</f>
        <v>Owner assigned; baseline evidence coverage; open critical gaps</v>
      </c>
      <c r="CD714" t="str">
        <f t="shared" si="146"/>
        <v>Treatment by capability=CAP_SRE_OBSERVABILITY; band=Initial / absent; score=0.0; treatment=Establish</v>
      </c>
      <c r="CE714" t="str">
        <f>IF($E714="","",IFERROR(INDEX(_REF_Industry_Wording!$A$2:$A$70,MATCH(1,INDEX((_REF_Industry_Wording!$B$2:$B$70=$BT714)*(_REF_Industry_Wording!$C$2:$C$70=PV_Canonical_Industry)*(_REF_Industry_Wording!$K$2:$K$70="Yes"),0),0)),IFERROR(INDEX(_REF_Industry_Wording!$A$2:$A$70,MATCH(1,INDEX((_REF_Industry_Wording!$B$2:$B$70=$BT714)*(_REF_Industry_Wording!$C$2:$C$70="All")*(_REF_Industry_Wording!$K$2:$K$70="Yes"),0),0)),"")))</f>
        <v>IW-ALL-SRE_OBSERVABILITY</v>
      </c>
      <c r="CF714" t="str">
        <f>IF($CE714="","",IFERROR(INDEX(_REF_Industry_Wording!$E$2:$E$70,MATCH($CE714,_REF_Industry_Wording!$A$2:$A$70,0)),""))</f>
        <v>SRE / Observability weakness</v>
      </c>
      <c r="CG714" t="str">
        <f>IF($CE714="","",IFERROR(INDEX(_REF_Industry_Wording!$F$2:$F$70,MATCH($CE714,_REF_Industry_Wording!$A$2:$A$70,0)),""))</f>
        <v>Strengthen SRE / Observability</v>
      </c>
      <c r="CH714" t="str">
        <f>IF($CE714="","",IFERROR(INDEX(_REF_Industry_Wording!$G$2:$G$70,MATCH($CE714,_REF_Industry_Wording!$A$2:$A$70,0)),""))</f>
        <v>Strengthen SRE / Observability using the selected maturity treatment, crisis scenario and evidence requirements.</v>
      </c>
      <c r="CI714" t="str">
        <f>IF($CE714="","",IFERROR(INDEX(_REF_Industry_Wording!$H$2:$H$70,MATCH($CE714,_REF_Industry_Wording!$A$2:$A$70,0)),""))</f>
        <v>SRE / Observability</v>
      </c>
      <c r="CJ714">
        <f>IF($CE714="","",IFERROR(INDEX(_REF_Industry_Wording!$I$2:$I$70,MATCH($CE714,_REF_Industry_Wording!$A$2:$A$70,0)),""))</f>
        <v>0</v>
      </c>
      <c r="CK714" t="str">
        <f>IF($CE714="","",IFERROR(INDEX(_REF_Industry_Wording!$J$2:$J$70,MATCH($CE714,_REF_Industry_Wording!$A$2:$A$70,0)),""))</f>
        <v>SRE / Observability</v>
      </c>
      <c r="CL714" t="str">
        <f t="shared" si="147"/>
        <v>Wording by industry=0; capability=CAP_SRE_OBSERVABILITY; risk label=SRE / Observability weakness</v>
      </c>
      <c r="CM714" t="str">
        <f t="shared" si="148"/>
        <v>RISK-ONT-0215</v>
      </c>
      <c r="CN714" t="str">
        <f t="shared" si="149"/>
        <v>RISK-EVT-0215</v>
      </c>
      <c r="CO714" t="str">
        <f t="shared" si="150"/>
        <v>Supply Chain|Technology and risk|SUPP-020|CAP_SRE_OBSERVABILITY</v>
      </c>
      <c r="CP714" t="str">
        <f t="shared" si="151"/>
        <v>Active</v>
      </c>
      <c r="CQ714" t="str">
        <f t="shared" si="152"/>
        <v>OK: capability-driven</v>
      </c>
      <c r="CR714" t="str">
        <f t="shared" si="153"/>
        <v>Risk ontology uses capability=CAP_SRE_OBSERVABILITY; bridge=BRG-093; treatment=TRT-SRE_OBSERVABILITY-INITIAL; wording=IW-ALL-SRE_OBSERVABILITY</v>
      </c>
      <c r="CS714" t="str">
        <f t="shared" si="154"/>
        <v>Yes</v>
      </c>
    </row>
    <row r="715" spans="1:97" ht="69.900000000000006" customHeight="1">
      <c r="A715">
        <f>IF(OR($B715&lt;&gt;"Yes",$BS715=""),"",SUMPRODUCT(($B$500:$B$923="Yes")*ISNUMBER($BS$500:$BS$923)*($BS$500:$BS$923&gt;$BS715))+COUNTIFS($B$500:$B715,"Yes",$BS$500:$BS715,$BS715))</f>
        <v>90</v>
      </c>
      <c r="B715" t="str">
        <f t="shared" si="123"/>
        <v>Yes</v>
      </c>
      <c r="C715" t="s">
        <v>1987</v>
      </c>
      <c r="D715" t="s">
        <v>2006</v>
      </c>
      <c r="E715" t="s">
        <v>2086</v>
      </c>
      <c r="F715" t="s">
        <v>3687</v>
      </c>
      <c r="G715" t="str">
        <f>IF($H715="","",IFERROR(INDEX(_ENGINE_Risk!$H$5:$M$499,MATCH($E715,_ENGINE_Risk!$A$5:$A$499,0),$H715+1),""))</f>
        <v>Severe risk: supply chain early warning monitoring for supplier, geopolitical, weather, port, customs and price risks is not reliably controlled. During Supplier/logistics disruption; Manufacturing disruption; Demand shock, the organization may face supplier failure, logistics disruption, inventory shortages and production or delivery delays with limited visibility or accountability.</v>
      </c>
      <c r="H715">
        <f>IFERROR(VALUE(INDEX(_DATA_Assessment_Model!$H$5:$H$884,MATCH($E715,_DATA_Assessment_Model!$A$5:$A$884,0))),"")</f>
        <v>0</v>
      </c>
      <c r="I715" t="str">
        <f>IF($H715="","",IFERROR(INDEX(_DATA_Assessment_Model!$L$5:$L$884,MATCH($E715,_DATA_Assessment_Model!$A$5:$A$884,0)),IF($H715&lt;=1,"Critical",IF($H715=2,"High",IF($H715=3,"Medium",IF($H715=4,"Low","Resilient"))))))</f>
        <v>Critical</v>
      </c>
      <c r="J715">
        <f t="shared" si="124"/>
        <v>3.7</v>
      </c>
      <c r="K715">
        <f t="shared" si="125"/>
        <v>4.5</v>
      </c>
      <c r="L715">
        <f t="shared" si="126"/>
        <v>16.650000000000002</v>
      </c>
      <c r="M715">
        <f t="shared" si="127"/>
        <v>4</v>
      </c>
      <c r="N715">
        <f>IF($H715="","",IFERROR(INDEX(_ENGINE_Risk!$T$5:$Y$499,MATCH($E715,_ENGINE_Risk!$A$5:$A$499,0),$H715+1),""))</f>
        <v>4</v>
      </c>
      <c r="O715">
        <f t="shared" si="128"/>
        <v>4.666666666666667</v>
      </c>
      <c r="P715">
        <f t="shared" si="129"/>
        <v>5</v>
      </c>
      <c r="Q715">
        <f t="shared" si="130"/>
        <v>5</v>
      </c>
      <c r="R715">
        <f t="shared" si="131"/>
        <v>4.5</v>
      </c>
      <c r="S715">
        <f t="shared" si="132"/>
        <v>1.2</v>
      </c>
      <c r="T715" t="str">
        <f>IF($H715="","",IFERROR(INDEX(_ENGINE_Risk!$N$5:$S$499,MATCH($E715,_ENGINE_Risk!$A$5:$A$499,0),$H715+1),""))</f>
        <v>Create an immediate risk owner, minimum control baseline and fallback procedure for supply chain early warning monitoring for supplier, geopolitical, weather, port, customs and price risks. Add it to the crisis risk register and collect first evidence.</v>
      </c>
      <c r="U715">
        <f>IFERROR(INDEX(_DATA_Assessment_Model!$G$5:$G$884,MATCH($E715,_DATA_Assessment_Model!$A$5:$A$884,0)),"")</f>
        <v>5</v>
      </c>
      <c r="V715">
        <f>IFERROR(INDEX(_DATA_Assessment_Model!$W$5:$W$884,MATCH($E715,_DATA_Assessment_Model!$A$5:$A$884,0)),"")</f>
        <v>4</v>
      </c>
      <c r="W715">
        <f>IFERROR(INDEX(_DATA_Assessment_Model!$X$5:$X$884,MATCH($E715,_DATA_Assessment_Model!$A$5:$A$884,0)),"")</f>
        <v>5</v>
      </c>
      <c r="X715">
        <f>IFERROR(INDEX(_DATA_Assessment_Model!$Y$5:$Y$884,MATCH($E715,_DATA_Assessment_Model!$A$5:$A$884,0)),"")</f>
        <v>5</v>
      </c>
      <c r="Y715" t="s">
        <v>1994</v>
      </c>
      <c r="Z715" t="s">
        <v>7365</v>
      </c>
      <c r="AA715" t="s">
        <v>2088</v>
      </c>
      <c r="AB715">
        <f>IFERROR(INDEX(_DATA_Assessment_Model!$U$5:$U$884,MATCH($E715,_DATA_Assessment_Model!$A$5:$A$884,0)),"")</f>
        <v>0</v>
      </c>
      <c r="AF715" t="s">
        <v>2087</v>
      </c>
      <c r="AO715">
        <f>IF($B715="Yes",IF(IFERROR(INDEX(_ENGINE_Crisis!$F$501:$F$517,MATCH($C715,_ENGINE_Crisis!$A$501:$A$517,0)),1)=0,1,IFERROR(INDEX(_ENGINE_Crisis!$F$501:$F$517,MATCH($C715,_ENGINE_Crisis!$A$501:$A$517,0)),1)),"")</f>
        <v>1</v>
      </c>
      <c r="AP715">
        <f t="shared" si="133"/>
        <v>16.7</v>
      </c>
      <c r="AQ715">
        <f t="shared" si="134"/>
        <v>1.2</v>
      </c>
      <c r="AR715" t="str">
        <f>IFERROR(INDEX(_ENGINE_Crisis!$E$41:$E$700,MATCH('Resilience &amp; Risk Scenario'!$B$6&amp;"|"&amp;$C715,_ENGINE_Crisis!$I$41:$I$700,0)),"")</f>
        <v/>
      </c>
      <c r="AS715" t="str">
        <f>IFERROR(INDEX(_ENGINE_Crisis!$G$41:$G$700,MATCH('Resilience &amp; Risk Scenario'!$B$6&amp;"|"&amp;$C715,_ENGINE_Crisis!$I$41:$I$700,0)),"")</f>
        <v/>
      </c>
      <c r="AT715" t="str">
        <f>IFERROR(INDEX(_ENGINE_Initiatives!$A$5:$A$532,MATCH(1,INDEX((_ENGINE_Initiatives!$B$5:$B$532=$C715)*(_ENGINE_Initiatives!$C$5:$C$532=$D715),0),0)),"")</f>
        <v>INI-035</v>
      </c>
      <c r="AU715" t="str">
        <f>IFERROR(INDEX(_ENGINE_Initiatives!$F$5:$F$532,MATCH(1,INDEX((_ENGINE_Initiatives!$B$5:$B$532=$C715)*(_ENGINE_Initiatives!$C$5:$C$532=$D715),0),0)),"")</f>
        <v>Implement supply-chain technology, risk monitoring and supplier data</v>
      </c>
      <c r="AV715">
        <f>IFERROR(INDEX(_ENGINE_Initiatives!$AC$5:$AC$532,MATCH(1,INDEX((_ENGINE_Initiatives!$B$5:$B$532=$C715)*(_ENGINE_Initiatives!$C$5:$C$532=$D715),0),0)),"")</f>
        <v>1.81</v>
      </c>
      <c r="AW715" t="str">
        <f>IFERROR(INDEX(_ENGINE_Initiatives!$AE$5:$AE$532,MATCH(1,INDEX((_ENGINE_Initiatives!$B$5:$B$532=$C715)*(_ENGINE_Initiatives!$C$5:$C$532=$D715),0),0)),"")</f>
        <v>3-6 months</v>
      </c>
      <c r="AX715">
        <f>IF($B715="Yes",IFERROR((IF(SUMIFS(_REF_Model_Content!$E$1:$E$613,_REF_Model_Content!$A$1:$A$613,PV_Canonical_Industry,_REF_Model_Content!$B$1:$B$613,$C715)=0,1,SUMIFS(_REF_Model_Content!$E$1:$E$613,_REF_Model_Content!$A$1:$A$613,PV_Canonical_Industry,_REF_Model_Content!$B$1:$B$613,$C715))*IFERROR($BU715,1)),1),"")</f>
        <v>1</v>
      </c>
      <c r="AY715">
        <f t="shared" si="135"/>
        <v>16.7</v>
      </c>
      <c r="AZ715">
        <f t="shared" si="136"/>
        <v>1.2</v>
      </c>
      <c r="BB715" t="str">
        <f>IF($H715="","",IFERROR(INDEX(_ENGINE_Risk!$AE$5:$AE$499,MATCH($E715,_ENGINE_Risk!$A$5:$A$499,0)),"Medium"))</f>
        <v>Fast</v>
      </c>
      <c r="BC715">
        <f t="shared" si="137"/>
        <v>1.25</v>
      </c>
      <c r="BD715">
        <f t="shared" si="138"/>
        <v>1.2</v>
      </c>
      <c r="BF715">
        <f>IF(OR($H715="",$J715=""),"",IFERROR(VLOOKUP(ROUND($J715,0),_CONFIG_Model_Settings!$D$154:$E$158,2,0),""))</f>
        <v>0.5</v>
      </c>
      <c r="BG715">
        <f>IFERROR(IF(OR($H715="",$K715=""),"",ROUND('Company Profile'!$B$113*INDEX(_CONFIG_Model_Settings!$H$154:$H$158,MATCH(ROUND($K715,0),_CONFIG_Model_Settings!$G$154:$G$158,0)),0)),0)</f>
        <v>1875</v>
      </c>
      <c r="BH715">
        <f t="shared" si="139"/>
        <v>937.5</v>
      </c>
      <c r="BI715">
        <f t="shared" si="140"/>
        <v>937.5</v>
      </c>
      <c r="BJ715">
        <f>IF($E715="","",IFERROR(VLOOKUP($C715,_CONFIG_Risk_Calibration!$A$5:$H$21,2,FALSE),3))</f>
        <v>3</v>
      </c>
      <c r="BK715">
        <f>IF($E715="","",IFERROR(VLOOKUP($C715,_CONFIG_Risk_Calibration!$A$5:$H$21,3,FALSE),0))</f>
        <v>0</v>
      </c>
      <c r="BL715">
        <f>IF($E715="","",IFERROR(VLOOKUP($C715,_CONFIG_Risk_Calibration!$A$5:$H$21,4,FALSE),3))</f>
        <v>3</v>
      </c>
      <c r="BM715">
        <f>IF($E715="","",IFERROR(VLOOKUP($C715,_CONFIG_Risk_Calibration!$A$5:$H$21,5,FALSE),3))</f>
        <v>4</v>
      </c>
      <c r="BN715" t="str">
        <f>IF($E715="","",IFERROR(VLOOKUP($C715,_CONFIG_Risk_Calibration!$A$5:$H$21,6,FALSE),"No"))</f>
        <v>No</v>
      </c>
      <c r="BO715">
        <f>IF($E715="","",IFERROR(VLOOKUP($C715,_CONFIG_Risk_Calibration!$A$5:$H$21,7,FALSE),1))</f>
        <v>1</v>
      </c>
      <c r="BP715">
        <f>IF($H715="","",MAX(1,MIN(5,((6-$H715)*0.45)+($BJ715*0.2)+('Resilience &amp; Risk Scenario'!$B$7*0.15)+($BK715*0.1)+($BL715*0.05)+(IF($BB715="Fast",5,IF($BB715="Slow",1,3))*0.05))))</f>
        <v>3.7</v>
      </c>
      <c r="BQ715">
        <f t="shared" si="141"/>
        <v>4.5</v>
      </c>
      <c r="BR715">
        <f t="shared" si="142"/>
        <v>16.649999999999999</v>
      </c>
      <c r="BS715">
        <f t="shared" si="143"/>
        <v>22.89</v>
      </c>
      <c r="BT715" t="str">
        <f>IFERROR(INDEX(_REF_Capability_Bridge!$D:$D,MATCH($C715&amp;"|"&amp;$D715,_REF_Capability_Bridge!$J:$J,0)),IFERROR(INDEX(_REF_Capability_Bridge!$D:$D,MATCH($C715&amp;"|",_REF_Capability_Bridge!$J:$J,0)),"CAP_GENERIC"))</f>
        <v>CAP_SRE_OBSERVABILITY</v>
      </c>
      <c r="BU715">
        <f>IFERROR(IFERROR(INDEX(_ENGINE_Relevance!$L:$L,MATCH($BT715,_ENGINE_Relevance!$B:$B,0)),1),1)</f>
        <v>1</v>
      </c>
      <c r="BV715" t="str">
        <f>IFERROR(INDEX(_REF_Capability_Bridge!$A:$A,MATCH($C715&amp;"|"&amp;$D715,_REF_Capability_Bridge!$J:$J,0)),IFERROR(INDEX(_REF_Capability_Bridge!$A:$A,MATCH($C715&amp;"|",_REF_Capability_Bridge!$J:$J,0)),"No bridge"))</f>
        <v>BRG-093</v>
      </c>
      <c r="BW715" t="str">
        <f t="shared" si="144"/>
        <v>Capability relevance neutral</v>
      </c>
      <c r="BX715" t="str">
        <f t="shared" si="145"/>
        <v>Initial / absent</v>
      </c>
      <c r="BY715" t="str">
        <f>IF($E715="","",IFERROR(INDEX(_REF_Treatment_Library!$A$2:$A$296,MATCH(1,INDEX((_REF_Treatment_Library!$B$2:$B$296=$BT715)*(_REF_Treatment_Library!$C$2:$C$296=PV_Canonical_Industry)*(_REF_Treatment_Library!$E$2:$E$296&lt;=N($H715))*(_REF_Treatment_Library!$F$2:$F$296&gt;=N($H715))*(_REF_Treatment_Library!$O$2:$O$296="Yes"),0),0)),IFERROR(INDEX(_REF_Treatment_Library!$A$2:$A$296,MATCH(1,INDEX((_REF_Treatment_Library!$B$2:$B$296=$BT715)*(_REF_Treatment_Library!$C$2:$C$296="All")*(_REF_Treatment_Library!$E$2:$E$296&lt;=N($H715))*(_REF_Treatment_Library!$F$2:$F$296&gt;=N($H715))*(_REF_Treatment_Library!$O$2:$O$296="Yes"),0),0)),"")))</f>
        <v>TRT-SRE_OBSERVABILITY-INITIAL</v>
      </c>
      <c r="BZ715" t="str">
        <f>IF($BY715="","",IFERROR(INDEX(_REF_Treatment_Library!$H$2:$H$296,MATCH($BY715,_REF_Treatment_Library!$A$2:$A$296,0)),""))</f>
        <v>Establish</v>
      </c>
      <c r="CA715" t="str">
        <f>IF($BY715="","",IFERROR(INDEX(_REF_Treatment_Library!$I$2:$I$296,MATCH($BY715,_REF_Treatment_Library!$A$2:$A$296,0)),""))</f>
        <v>Establish baseline controls for SRE / Observability</v>
      </c>
      <c r="CB715" t="str">
        <f>IF($BY715="","",IFERROR(INDEX(_REF_Treatment_Library!$K$2:$K$296,MATCH($BY715,_REF_Treatment_Library!$A$2:$A$296,0)),""))</f>
        <v>Named owner, baseline process, minimum control checklist, first evidence package</v>
      </c>
      <c r="CC715" t="str">
        <f>IF($BY715="","",IFERROR(INDEX(_REF_Treatment_Library!$L$2:$L$296,MATCH($BY715,_REF_Treatment_Library!$A$2:$A$296,0)),""))</f>
        <v>Owner assigned; baseline evidence coverage; open critical gaps</v>
      </c>
      <c r="CD715" t="str">
        <f t="shared" si="146"/>
        <v>Treatment by capability=CAP_SRE_OBSERVABILITY; band=Initial / absent; score=0.0; treatment=Establish</v>
      </c>
      <c r="CE715" t="str">
        <f>IF($E715="","",IFERROR(INDEX(_REF_Industry_Wording!$A$2:$A$70,MATCH(1,INDEX((_REF_Industry_Wording!$B$2:$B$70=$BT715)*(_REF_Industry_Wording!$C$2:$C$70=PV_Canonical_Industry)*(_REF_Industry_Wording!$K$2:$K$70="Yes"),0),0)),IFERROR(INDEX(_REF_Industry_Wording!$A$2:$A$70,MATCH(1,INDEX((_REF_Industry_Wording!$B$2:$B$70=$BT715)*(_REF_Industry_Wording!$C$2:$C$70="All")*(_REF_Industry_Wording!$K$2:$K$70="Yes"),0),0)),"")))</f>
        <v>IW-ALL-SRE_OBSERVABILITY</v>
      </c>
      <c r="CF715" t="str">
        <f>IF($CE715="","",IFERROR(INDEX(_REF_Industry_Wording!$E$2:$E$70,MATCH($CE715,_REF_Industry_Wording!$A$2:$A$70,0)),""))</f>
        <v>SRE / Observability weakness</v>
      </c>
      <c r="CG715" t="str">
        <f>IF($CE715="","",IFERROR(INDEX(_REF_Industry_Wording!$F$2:$F$70,MATCH($CE715,_REF_Industry_Wording!$A$2:$A$70,0)),""))</f>
        <v>Strengthen SRE / Observability</v>
      </c>
      <c r="CH715" t="str">
        <f>IF($CE715="","",IFERROR(INDEX(_REF_Industry_Wording!$G$2:$G$70,MATCH($CE715,_REF_Industry_Wording!$A$2:$A$70,0)),""))</f>
        <v>Strengthen SRE / Observability using the selected maturity treatment, crisis scenario and evidence requirements.</v>
      </c>
      <c r="CI715" t="str">
        <f>IF($CE715="","",IFERROR(INDEX(_REF_Industry_Wording!$H$2:$H$70,MATCH($CE715,_REF_Industry_Wording!$A$2:$A$70,0)),""))</f>
        <v>SRE / Observability</v>
      </c>
      <c r="CJ715">
        <f>IF($CE715="","",IFERROR(INDEX(_REF_Industry_Wording!$I$2:$I$70,MATCH($CE715,_REF_Industry_Wording!$A$2:$A$70,0)),""))</f>
        <v>0</v>
      </c>
      <c r="CK715" t="str">
        <f>IF($CE715="","",IFERROR(INDEX(_REF_Industry_Wording!$J$2:$J$70,MATCH($CE715,_REF_Industry_Wording!$A$2:$A$70,0)),""))</f>
        <v>SRE / Observability</v>
      </c>
      <c r="CL715" t="str">
        <f t="shared" si="147"/>
        <v>Wording by industry=0; capability=CAP_SRE_OBSERVABILITY; risk label=SRE / Observability weakness</v>
      </c>
      <c r="CM715" t="str">
        <f t="shared" si="148"/>
        <v>RISK-ONT-0216</v>
      </c>
      <c r="CN715" t="str">
        <f t="shared" si="149"/>
        <v>RISK-EVT-0216</v>
      </c>
      <c r="CO715" t="str">
        <f t="shared" si="150"/>
        <v>Supply Chain|Technology and risk|SUPP-021|CAP_SRE_OBSERVABILITY</v>
      </c>
      <c r="CP715" t="str">
        <f t="shared" si="151"/>
        <v>Active</v>
      </c>
      <c r="CQ715" t="str">
        <f t="shared" si="152"/>
        <v>OK: capability-driven</v>
      </c>
      <c r="CR715" t="str">
        <f t="shared" si="153"/>
        <v>Risk ontology uses capability=CAP_SRE_OBSERVABILITY; bridge=BRG-093; treatment=TRT-SRE_OBSERVABILITY-INITIAL; wording=IW-ALL-SRE_OBSERVABILITY</v>
      </c>
      <c r="CS715" t="str">
        <f t="shared" si="154"/>
        <v>Yes</v>
      </c>
    </row>
    <row r="716" spans="1:97" ht="69.900000000000006" customHeight="1">
      <c r="A716">
        <f>IF(OR($B716&lt;&gt;"Yes",$BS716=""),"",SUMPRODUCT(($B$500:$B$923="Yes")*ISNUMBER($BS$500:$BS$923)*($BS$500:$BS$923&gt;$BS716))+COUNTIFS($B$500:$B716,"Yes",$BS$500:$BS716,$BS716))</f>
        <v>104</v>
      </c>
      <c r="B716" t="str">
        <f t="shared" si="123"/>
        <v>Yes</v>
      </c>
      <c r="C716" t="s">
        <v>1987</v>
      </c>
      <c r="D716" t="s">
        <v>2006</v>
      </c>
      <c r="E716" t="s">
        <v>2089</v>
      </c>
      <c r="F716" t="s">
        <v>3687</v>
      </c>
      <c r="G716" t="str">
        <f>IF($H716="","",IFERROR(INDEX(_ENGINE_Risk!$H$5:$M$499,MATCH($E716,_ENGINE_Risk!$A$5:$A$499,0),$H716+1),""))</f>
        <v>Severe risk: supply cost volatility monitoring for freight, energy, commodities and currency is not reliably controlled. During Supplier/logistics disruption; Manufacturing disruption; Demand shock, the organization may face supplier failure, logistics disruption, inventory shortages and production or delivery delays with limited visibility or accountability.</v>
      </c>
      <c r="H716">
        <f>IFERROR(VALUE(INDEX(_DATA_Assessment_Model!$H$5:$H$884,MATCH($E716,_DATA_Assessment_Model!$A$5:$A$884,0))),"")</f>
        <v>0</v>
      </c>
      <c r="I716" t="str">
        <f>IF($H716="","",IFERROR(INDEX(_DATA_Assessment_Model!$L$5:$L$884,MATCH($E716,_DATA_Assessment_Model!$A$5:$A$884,0)),IF($H716&lt;=1,"Critical",IF($H716=2,"High",IF($H716=3,"Medium",IF($H716=4,"Low","Resilient"))))))</f>
        <v>Critical</v>
      </c>
      <c r="J716">
        <f t="shared" si="124"/>
        <v>3.7</v>
      </c>
      <c r="K716">
        <f t="shared" si="125"/>
        <v>4.0999999999999996</v>
      </c>
      <c r="L716">
        <f t="shared" si="126"/>
        <v>15.17</v>
      </c>
      <c r="M716">
        <f t="shared" si="127"/>
        <v>4</v>
      </c>
      <c r="N716">
        <f>IF($H716="","",IFERROR(INDEX(_ENGINE_Risk!$T$5:$Y$499,MATCH($E716,_ENGINE_Risk!$A$5:$A$499,0),$H716+1),""))</f>
        <v>4</v>
      </c>
      <c r="O716">
        <f t="shared" si="128"/>
        <v>4</v>
      </c>
      <c r="P716">
        <f t="shared" si="129"/>
        <v>5</v>
      </c>
      <c r="Q716">
        <f t="shared" si="130"/>
        <v>5</v>
      </c>
      <c r="R716">
        <f t="shared" si="131"/>
        <v>4.5</v>
      </c>
      <c r="S716">
        <f t="shared" si="132"/>
        <v>1.1599999999999999</v>
      </c>
      <c r="T716" t="str">
        <f>IF($H716="","",IFERROR(INDEX(_ENGINE_Risk!$N$5:$S$499,MATCH($E716,_ENGINE_Risk!$A$5:$A$499,0),$H716+1),""))</f>
        <v>Create an immediate risk owner, minimum control baseline and fallback procedure for supply cost volatility monitoring for freight, energy, commodities and currency. Add it to the crisis risk register and collect first evidence.</v>
      </c>
      <c r="U716">
        <f>IFERROR(INDEX(_DATA_Assessment_Model!$G$5:$G$884,MATCH($E716,_DATA_Assessment_Model!$A$5:$A$884,0)),"")</f>
        <v>3</v>
      </c>
      <c r="V716">
        <f>IFERROR(INDEX(_DATA_Assessment_Model!$W$5:$W$884,MATCH($E716,_DATA_Assessment_Model!$A$5:$A$884,0)),"")</f>
        <v>4</v>
      </c>
      <c r="W716">
        <f>IFERROR(INDEX(_DATA_Assessment_Model!$X$5:$X$884,MATCH($E716,_DATA_Assessment_Model!$A$5:$A$884,0)),"")</f>
        <v>5</v>
      </c>
      <c r="X716">
        <f>IFERROR(INDEX(_DATA_Assessment_Model!$Y$5:$Y$884,MATCH($E716,_DATA_Assessment_Model!$A$5:$A$884,0)),"")</f>
        <v>5</v>
      </c>
      <c r="Y716" t="s">
        <v>1994</v>
      </c>
      <c r="Z716" t="s">
        <v>7365</v>
      </c>
      <c r="AA716" t="s">
        <v>2091</v>
      </c>
      <c r="AB716">
        <f>IFERROR(INDEX(_DATA_Assessment_Model!$U$5:$U$884,MATCH($E716,_DATA_Assessment_Model!$A$5:$A$884,0)),"")</f>
        <v>0</v>
      </c>
      <c r="AF716" t="s">
        <v>2090</v>
      </c>
      <c r="AO716">
        <f>IF($B716="Yes",IF(IFERROR(INDEX(_ENGINE_Crisis!$F$501:$F$517,MATCH($C716,_ENGINE_Crisis!$A$501:$A$517,0)),1)=0,1,IFERROR(INDEX(_ENGINE_Crisis!$F$501:$F$517,MATCH($C716,_ENGINE_Crisis!$A$501:$A$517,0)),1)),"")</f>
        <v>1</v>
      </c>
      <c r="AP716">
        <f t="shared" si="133"/>
        <v>15.2</v>
      </c>
      <c r="AQ716">
        <f t="shared" si="134"/>
        <v>1.1599999999999999</v>
      </c>
      <c r="AR716" t="str">
        <f>IFERROR(INDEX(_ENGINE_Crisis!$E$41:$E$700,MATCH('Resilience &amp; Risk Scenario'!$B$6&amp;"|"&amp;$C716,_ENGINE_Crisis!$I$41:$I$700,0)),"")</f>
        <v/>
      </c>
      <c r="AS716" t="str">
        <f>IFERROR(INDEX(_ENGINE_Crisis!$G$41:$G$700,MATCH('Resilience &amp; Risk Scenario'!$B$6&amp;"|"&amp;$C716,_ENGINE_Crisis!$I$41:$I$700,0)),"")</f>
        <v/>
      </c>
      <c r="AT716" t="str">
        <f>IFERROR(INDEX(_ENGINE_Initiatives!$A$5:$A$532,MATCH(1,INDEX((_ENGINE_Initiatives!$B$5:$B$532=$C716)*(_ENGINE_Initiatives!$C$5:$C$532=$D716),0),0)),"")</f>
        <v>INI-035</v>
      </c>
      <c r="AU716" t="str">
        <f>IFERROR(INDEX(_ENGINE_Initiatives!$F$5:$F$532,MATCH(1,INDEX((_ENGINE_Initiatives!$B$5:$B$532=$C716)*(_ENGINE_Initiatives!$C$5:$C$532=$D716),0),0)),"")</f>
        <v>Implement supply-chain technology, risk monitoring and supplier data</v>
      </c>
      <c r="AV716">
        <f>IFERROR(INDEX(_ENGINE_Initiatives!$AC$5:$AC$532,MATCH(1,INDEX((_ENGINE_Initiatives!$B$5:$B$532=$C716)*(_ENGINE_Initiatives!$C$5:$C$532=$D716),0),0)),"")</f>
        <v>1.81</v>
      </c>
      <c r="AW716" t="str">
        <f>IFERROR(INDEX(_ENGINE_Initiatives!$AE$5:$AE$532,MATCH(1,INDEX((_ENGINE_Initiatives!$B$5:$B$532=$C716)*(_ENGINE_Initiatives!$C$5:$C$532=$D716),0),0)),"")</f>
        <v>3-6 months</v>
      </c>
      <c r="AX716">
        <f>IF($B716="Yes",IFERROR((IF(SUMIFS(_REF_Model_Content!$E$1:$E$613,_REF_Model_Content!$A$1:$A$613,PV_Canonical_Industry,_REF_Model_Content!$B$1:$B$613,$C716)=0,1,SUMIFS(_REF_Model_Content!$E$1:$E$613,_REF_Model_Content!$A$1:$A$613,PV_Canonical_Industry,_REF_Model_Content!$B$1:$B$613,$C716))*IFERROR($BU716,1)),1),"")</f>
        <v>1</v>
      </c>
      <c r="AY716">
        <f t="shared" si="135"/>
        <v>15.2</v>
      </c>
      <c r="AZ716">
        <f t="shared" si="136"/>
        <v>1.1599999999999999</v>
      </c>
      <c r="BB716" t="str">
        <f>IF($H716="","",IFERROR(INDEX(_ENGINE_Risk!$AE$5:$AE$499,MATCH($E716,_ENGINE_Risk!$A$5:$A$499,0)),"Medium"))</f>
        <v>Fast</v>
      </c>
      <c r="BC716">
        <f t="shared" si="137"/>
        <v>1.25</v>
      </c>
      <c r="BD716">
        <f t="shared" si="138"/>
        <v>1.1599999999999999</v>
      </c>
      <c r="BF716">
        <f>IF(OR($H716="",$J716=""),"",IFERROR(VLOOKUP(ROUND($J716,0),_CONFIG_Model_Settings!$D$154:$E$158,2,0),""))</f>
        <v>0.5</v>
      </c>
      <c r="BG716">
        <f>IFERROR(IF(OR($H716="",$K716=""),"",ROUND('Company Profile'!$B$113*INDEX(_CONFIG_Model_Settings!$H$154:$H$158,MATCH(ROUND($K716,0),_CONFIG_Model_Settings!$G$154:$G$158,0)),0)),0)</f>
        <v>875</v>
      </c>
      <c r="BH716">
        <f t="shared" si="139"/>
        <v>437.5</v>
      </c>
      <c r="BI716">
        <f t="shared" si="140"/>
        <v>437.5</v>
      </c>
      <c r="BJ716">
        <f>IF($E716="","",IFERROR(VLOOKUP($C716,_CONFIG_Risk_Calibration!$A$5:$H$21,2,FALSE),3))</f>
        <v>3</v>
      </c>
      <c r="BK716">
        <f>IF($E716="","",IFERROR(VLOOKUP($C716,_CONFIG_Risk_Calibration!$A$5:$H$21,3,FALSE),0))</f>
        <v>0</v>
      </c>
      <c r="BL716">
        <f>IF($E716="","",IFERROR(VLOOKUP($C716,_CONFIG_Risk_Calibration!$A$5:$H$21,4,FALSE),3))</f>
        <v>3</v>
      </c>
      <c r="BM716">
        <f>IF($E716="","",IFERROR(VLOOKUP($C716,_CONFIG_Risk_Calibration!$A$5:$H$21,5,FALSE),3))</f>
        <v>4</v>
      </c>
      <c r="BN716" t="str">
        <f>IF($E716="","",IFERROR(VLOOKUP($C716,_CONFIG_Risk_Calibration!$A$5:$H$21,6,FALSE),"No"))</f>
        <v>No</v>
      </c>
      <c r="BO716">
        <f>IF($E716="","",IFERROR(VLOOKUP($C716,_CONFIG_Risk_Calibration!$A$5:$H$21,7,FALSE),1))</f>
        <v>1</v>
      </c>
      <c r="BP716">
        <f>IF($H716="","",MAX(1,MIN(5,((6-$H716)*0.45)+($BJ716*0.2)+('Resilience &amp; Risk Scenario'!$B$7*0.15)+($BK716*0.1)+($BL716*0.05)+(IF($BB716="Fast",5,IF($BB716="Slow",1,3))*0.05))))</f>
        <v>3.7</v>
      </c>
      <c r="BQ716">
        <f t="shared" si="141"/>
        <v>4.0999999999999996</v>
      </c>
      <c r="BR716">
        <f t="shared" si="142"/>
        <v>15.17</v>
      </c>
      <c r="BS716">
        <f t="shared" si="143"/>
        <v>20.86</v>
      </c>
      <c r="BT716" t="str">
        <f>IFERROR(INDEX(_REF_Capability_Bridge!$D:$D,MATCH($C716&amp;"|"&amp;$D716,_REF_Capability_Bridge!$J:$J,0)),IFERROR(INDEX(_REF_Capability_Bridge!$D:$D,MATCH($C716&amp;"|",_REF_Capability_Bridge!$J:$J,0)),"CAP_GENERIC"))</f>
        <v>CAP_SRE_OBSERVABILITY</v>
      </c>
      <c r="BU716">
        <f>IFERROR(IFERROR(INDEX(_ENGINE_Relevance!$L:$L,MATCH($BT716,_ENGINE_Relevance!$B:$B,0)),1),1)</f>
        <v>1</v>
      </c>
      <c r="BV716" t="str">
        <f>IFERROR(INDEX(_REF_Capability_Bridge!$A:$A,MATCH($C716&amp;"|"&amp;$D716,_REF_Capability_Bridge!$J:$J,0)),IFERROR(INDEX(_REF_Capability_Bridge!$A:$A,MATCH($C716&amp;"|",_REF_Capability_Bridge!$J:$J,0)),"No bridge"))</f>
        <v>BRG-093</v>
      </c>
      <c r="BW716" t="str">
        <f t="shared" si="144"/>
        <v>Capability relevance neutral</v>
      </c>
      <c r="BX716" t="str">
        <f t="shared" si="145"/>
        <v>Initial / absent</v>
      </c>
      <c r="BY716" t="str">
        <f>IF($E716="","",IFERROR(INDEX(_REF_Treatment_Library!$A$2:$A$296,MATCH(1,INDEX((_REF_Treatment_Library!$B$2:$B$296=$BT716)*(_REF_Treatment_Library!$C$2:$C$296=PV_Canonical_Industry)*(_REF_Treatment_Library!$E$2:$E$296&lt;=N($H716))*(_REF_Treatment_Library!$F$2:$F$296&gt;=N($H716))*(_REF_Treatment_Library!$O$2:$O$296="Yes"),0),0)),IFERROR(INDEX(_REF_Treatment_Library!$A$2:$A$296,MATCH(1,INDEX((_REF_Treatment_Library!$B$2:$B$296=$BT716)*(_REF_Treatment_Library!$C$2:$C$296="All")*(_REF_Treatment_Library!$E$2:$E$296&lt;=N($H716))*(_REF_Treatment_Library!$F$2:$F$296&gt;=N($H716))*(_REF_Treatment_Library!$O$2:$O$296="Yes"),0),0)),"")))</f>
        <v>TRT-SRE_OBSERVABILITY-INITIAL</v>
      </c>
      <c r="BZ716" t="str">
        <f>IF($BY716="","",IFERROR(INDEX(_REF_Treatment_Library!$H$2:$H$296,MATCH($BY716,_REF_Treatment_Library!$A$2:$A$296,0)),""))</f>
        <v>Establish</v>
      </c>
      <c r="CA716" t="str">
        <f>IF($BY716="","",IFERROR(INDEX(_REF_Treatment_Library!$I$2:$I$296,MATCH($BY716,_REF_Treatment_Library!$A$2:$A$296,0)),""))</f>
        <v>Establish baseline controls for SRE / Observability</v>
      </c>
      <c r="CB716" t="str">
        <f>IF($BY716="","",IFERROR(INDEX(_REF_Treatment_Library!$K$2:$K$296,MATCH($BY716,_REF_Treatment_Library!$A$2:$A$296,0)),""))</f>
        <v>Named owner, baseline process, minimum control checklist, first evidence package</v>
      </c>
      <c r="CC716" t="str">
        <f>IF($BY716="","",IFERROR(INDEX(_REF_Treatment_Library!$L$2:$L$296,MATCH($BY716,_REF_Treatment_Library!$A$2:$A$296,0)),""))</f>
        <v>Owner assigned; baseline evidence coverage; open critical gaps</v>
      </c>
      <c r="CD716" t="str">
        <f t="shared" si="146"/>
        <v>Treatment by capability=CAP_SRE_OBSERVABILITY; band=Initial / absent; score=0.0; treatment=Establish</v>
      </c>
      <c r="CE716" t="str">
        <f>IF($E716="","",IFERROR(INDEX(_REF_Industry_Wording!$A$2:$A$70,MATCH(1,INDEX((_REF_Industry_Wording!$B$2:$B$70=$BT716)*(_REF_Industry_Wording!$C$2:$C$70=PV_Canonical_Industry)*(_REF_Industry_Wording!$K$2:$K$70="Yes"),0),0)),IFERROR(INDEX(_REF_Industry_Wording!$A$2:$A$70,MATCH(1,INDEX((_REF_Industry_Wording!$B$2:$B$70=$BT716)*(_REF_Industry_Wording!$C$2:$C$70="All")*(_REF_Industry_Wording!$K$2:$K$70="Yes"),0),0)),"")))</f>
        <v>IW-ALL-SRE_OBSERVABILITY</v>
      </c>
      <c r="CF716" t="str">
        <f>IF($CE716="","",IFERROR(INDEX(_REF_Industry_Wording!$E$2:$E$70,MATCH($CE716,_REF_Industry_Wording!$A$2:$A$70,0)),""))</f>
        <v>SRE / Observability weakness</v>
      </c>
      <c r="CG716" t="str">
        <f>IF($CE716="","",IFERROR(INDEX(_REF_Industry_Wording!$F$2:$F$70,MATCH($CE716,_REF_Industry_Wording!$A$2:$A$70,0)),""))</f>
        <v>Strengthen SRE / Observability</v>
      </c>
      <c r="CH716" t="str">
        <f>IF($CE716="","",IFERROR(INDEX(_REF_Industry_Wording!$G$2:$G$70,MATCH($CE716,_REF_Industry_Wording!$A$2:$A$70,0)),""))</f>
        <v>Strengthen SRE / Observability using the selected maturity treatment, crisis scenario and evidence requirements.</v>
      </c>
      <c r="CI716" t="str">
        <f>IF($CE716="","",IFERROR(INDEX(_REF_Industry_Wording!$H$2:$H$70,MATCH($CE716,_REF_Industry_Wording!$A$2:$A$70,0)),""))</f>
        <v>SRE / Observability</v>
      </c>
      <c r="CJ716">
        <f>IF($CE716="","",IFERROR(INDEX(_REF_Industry_Wording!$I$2:$I$70,MATCH($CE716,_REF_Industry_Wording!$A$2:$A$70,0)),""))</f>
        <v>0</v>
      </c>
      <c r="CK716" t="str">
        <f>IF($CE716="","",IFERROR(INDEX(_REF_Industry_Wording!$J$2:$J$70,MATCH($CE716,_REF_Industry_Wording!$A$2:$A$70,0)),""))</f>
        <v>SRE / Observability</v>
      </c>
      <c r="CL716" t="str">
        <f t="shared" si="147"/>
        <v>Wording by industry=0; capability=CAP_SRE_OBSERVABILITY; risk label=SRE / Observability weakness</v>
      </c>
      <c r="CM716" t="str">
        <f t="shared" si="148"/>
        <v>RISK-ONT-0217</v>
      </c>
      <c r="CN716" t="str">
        <f t="shared" si="149"/>
        <v>RISK-EVT-0217</v>
      </c>
      <c r="CO716" t="str">
        <f t="shared" si="150"/>
        <v>Supply Chain|Technology and risk|SUPP-022|CAP_SRE_OBSERVABILITY</v>
      </c>
      <c r="CP716" t="str">
        <f t="shared" si="151"/>
        <v>Active</v>
      </c>
      <c r="CQ716" t="str">
        <f t="shared" si="152"/>
        <v>OK: capability-driven</v>
      </c>
      <c r="CR716" t="str">
        <f t="shared" si="153"/>
        <v>Risk ontology uses capability=CAP_SRE_OBSERVABILITY; bridge=BRG-093; treatment=TRT-SRE_OBSERVABILITY-INITIAL; wording=IW-ALL-SRE_OBSERVABILITY</v>
      </c>
      <c r="CS716" t="str">
        <f t="shared" si="154"/>
        <v>Yes</v>
      </c>
    </row>
    <row r="717" spans="1:97" ht="69.900000000000006" customHeight="1">
      <c r="A717">
        <f>IF(OR($B717&lt;&gt;"Yes",$BS717=""),"",SUMPRODUCT(($B$500:$B$923="Yes")*ISNUMBER($BS$500:$BS$923)*($BS$500:$BS$923&gt;$BS717))+COUNTIFS($B$500:$B717,"Yes",$BS$500:$BS717,$BS717))</f>
        <v>99</v>
      </c>
      <c r="B717" t="str">
        <f t="shared" si="123"/>
        <v>Yes</v>
      </c>
      <c r="C717" t="s">
        <v>1987</v>
      </c>
      <c r="D717" t="s">
        <v>2006</v>
      </c>
      <c r="E717" t="s">
        <v>2098</v>
      </c>
      <c r="F717" t="s">
        <v>3687</v>
      </c>
      <c r="G717" t="str">
        <f>IF($H717="","",IFERROR(INDEX(_ENGINE_Risk!$H$5:$M$499,MATCH($E717,_ENGINE_Risk!$A$5:$A$499,0),$H717+1),""))</f>
        <v>Severe risk: allocation rules when supply is insufficient to serve all customers is not reliably controlled. During Supplier/logistics disruption; Manufacturing disruption; Demand shock, the organization may face supplier failure, logistics disruption, inventory shortages and production or delivery delays with limited visibility or accountability.</v>
      </c>
      <c r="H717">
        <f>IFERROR(VALUE(INDEX(_DATA_Assessment_Model!$H$5:$H$884,MATCH($E717,_DATA_Assessment_Model!$A$5:$A$884,0))),"")</f>
        <v>0</v>
      </c>
      <c r="I717" t="str">
        <f>IF($H717="","",IFERROR(INDEX(_DATA_Assessment_Model!$L$5:$L$884,MATCH($E717,_DATA_Assessment_Model!$A$5:$A$884,0)),IF($H717&lt;=1,"Critical",IF($H717=2,"High",IF($H717=3,"Medium",IF($H717=4,"Low","Resilient"))))))</f>
        <v>Critical</v>
      </c>
      <c r="J717">
        <f t="shared" si="124"/>
        <v>3.7</v>
      </c>
      <c r="K717">
        <f t="shared" si="125"/>
        <v>4.3</v>
      </c>
      <c r="L717">
        <f t="shared" si="126"/>
        <v>15.91</v>
      </c>
      <c r="M717">
        <f t="shared" si="127"/>
        <v>4</v>
      </c>
      <c r="N717">
        <f>IF($H717="","",IFERROR(INDEX(_ENGINE_Risk!$T$5:$Y$499,MATCH($E717,_ENGINE_Risk!$A$5:$A$499,0),$H717+1),""))</f>
        <v>4</v>
      </c>
      <c r="O717">
        <f t="shared" si="128"/>
        <v>4.333333333333333</v>
      </c>
      <c r="P717">
        <f t="shared" si="129"/>
        <v>5</v>
      </c>
      <c r="Q717">
        <f t="shared" si="130"/>
        <v>5</v>
      </c>
      <c r="R717">
        <f t="shared" si="131"/>
        <v>4.5</v>
      </c>
      <c r="S717">
        <f t="shared" si="132"/>
        <v>1.18</v>
      </c>
      <c r="T717" t="str">
        <f>IF($H717="","",IFERROR(INDEX(_ENGINE_Risk!$N$5:$S$499,MATCH($E717,_ENGINE_Risk!$A$5:$A$499,0),$H717+1),""))</f>
        <v>Create an immediate risk owner, minimum control baseline and fallback procedure for allocation rules when supply is insufficient to serve all customers. Add it to the crisis risk register and collect first evidence.</v>
      </c>
      <c r="U717">
        <f>IFERROR(INDEX(_DATA_Assessment_Model!$G$5:$G$884,MATCH($E717,_DATA_Assessment_Model!$A$5:$A$884,0)),"")</f>
        <v>4</v>
      </c>
      <c r="V717">
        <f>IFERROR(INDEX(_DATA_Assessment_Model!$W$5:$W$884,MATCH($E717,_DATA_Assessment_Model!$A$5:$A$884,0)),"")</f>
        <v>4</v>
      </c>
      <c r="W717">
        <f>IFERROR(INDEX(_DATA_Assessment_Model!$X$5:$X$884,MATCH($E717,_DATA_Assessment_Model!$A$5:$A$884,0)),"")</f>
        <v>5</v>
      </c>
      <c r="X717">
        <f>IFERROR(INDEX(_DATA_Assessment_Model!$Y$5:$Y$884,MATCH($E717,_DATA_Assessment_Model!$A$5:$A$884,0)),"")</f>
        <v>5</v>
      </c>
      <c r="Y717" t="s">
        <v>1994</v>
      </c>
      <c r="Z717" t="s">
        <v>7365</v>
      </c>
      <c r="AA717" t="s">
        <v>2100</v>
      </c>
      <c r="AB717">
        <f>IFERROR(INDEX(_DATA_Assessment_Model!$U$5:$U$884,MATCH($E717,_DATA_Assessment_Model!$A$5:$A$884,0)),"")</f>
        <v>0</v>
      </c>
      <c r="AF717" t="s">
        <v>2099</v>
      </c>
      <c r="AO717">
        <f>IF($B717="Yes",IF(IFERROR(INDEX(_ENGINE_Crisis!$F$501:$F$517,MATCH($C717,_ENGINE_Crisis!$A$501:$A$517,0)),1)=0,1,IFERROR(INDEX(_ENGINE_Crisis!$F$501:$F$517,MATCH($C717,_ENGINE_Crisis!$A$501:$A$517,0)),1)),"")</f>
        <v>1</v>
      </c>
      <c r="AP717">
        <f t="shared" si="133"/>
        <v>15.9</v>
      </c>
      <c r="AQ717">
        <f t="shared" si="134"/>
        <v>1.18</v>
      </c>
      <c r="AR717" t="str">
        <f>IFERROR(INDEX(_ENGINE_Crisis!$E$41:$E$700,MATCH('Resilience &amp; Risk Scenario'!$B$6&amp;"|"&amp;$C717,_ENGINE_Crisis!$I$41:$I$700,0)),"")</f>
        <v/>
      </c>
      <c r="AS717" t="str">
        <f>IFERROR(INDEX(_ENGINE_Crisis!$G$41:$G$700,MATCH('Resilience &amp; Risk Scenario'!$B$6&amp;"|"&amp;$C717,_ENGINE_Crisis!$I$41:$I$700,0)),"")</f>
        <v/>
      </c>
      <c r="AT717" t="str">
        <f>IFERROR(INDEX(_ENGINE_Initiatives!$A$5:$A$532,MATCH(1,INDEX((_ENGINE_Initiatives!$B$5:$B$532=$C717)*(_ENGINE_Initiatives!$C$5:$C$532=$D717),0),0)),"")</f>
        <v>INI-035</v>
      </c>
      <c r="AU717" t="str">
        <f>IFERROR(INDEX(_ENGINE_Initiatives!$F$5:$F$532,MATCH(1,INDEX((_ENGINE_Initiatives!$B$5:$B$532=$C717)*(_ENGINE_Initiatives!$C$5:$C$532=$D717),0),0)),"")</f>
        <v>Implement supply-chain technology, risk monitoring and supplier data</v>
      </c>
      <c r="AV717">
        <f>IFERROR(INDEX(_ENGINE_Initiatives!$AC$5:$AC$532,MATCH(1,INDEX((_ENGINE_Initiatives!$B$5:$B$532=$C717)*(_ENGINE_Initiatives!$C$5:$C$532=$D717),0),0)),"")</f>
        <v>1.81</v>
      </c>
      <c r="AW717" t="str">
        <f>IFERROR(INDEX(_ENGINE_Initiatives!$AE$5:$AE$532,MATCH(1,INDEX((_ENGINE_Initiatives!$B$5:$B$532=$C717)*(_ENGINE_Initiatives!$C$5:$C$532=$D717),0),0)),"")</f>
        <v>3-6 months</v>
      </c>
      <c r="AX717">
        <f>IF($B717="Yes",IFERROR((IF(SUMIFS(_REF_Model_Content!$E$1:$E$613,_REF_Model_Content!$A$1:$A$613,PV_Canonical_Industry,_REF_Model_Content!$B$1:$B$613,$C717)=0,1,SUMIFS(_REF_Model_Content!$E$1:$E$613,_REF_Model_Content!$A$1:$A$613,PV_Canonical_Industry,_REF_Model_Content!$B$1:$B$613,$C717))*IFERROR($BU717,1)),1),"")</f>
        <v>1</v>
      </c>
      <c r="AY717">
        <f t="shared" si="135"/>
        <v>15.9</v>
      </c>
      <c r="AZ717">
        <f t="shared" si="136"/>
        <v>1.18</v>
      </c>
      <c r="BB717" t="str">
        <f>IF($H717="","",IFERROR(INDEX(_ENGINE_Risk!$AE$5:$AE$499,MATCH($E717,_ENGINE_Risk!$A$5:$A$499,0)),"Medium"))</f>
        <v>Fast</v>
      </c>
      <c r="BC717">
        <f t="shared" si="137"/>
        <v>1.25</v>
      </c>
      <c r="BD717">
        <f t="shared" si="138"/>
        <v>1.18</v>
      </c>
      <c r="BF717">
        <f>IF(OR($H717="",$J717=""),"",IFERROR(VLOOKUP(ROUND($J717,0),_CONFIG_Model_Settings!$D$154:$E$158,2,0),""))</f>
        <v>0.5</v>
      </c>
      <c r="BG717">
        <f>IFERROR(IF(OR($H717="",$K717=""),"",ROUND('Company Profile'!$B$113*INDEX(_CONFIG_Model_Settings!$H$154:$H$158,MATCH(ROUND($K717,0),_CONFIG_Model_Settings!$G$154:$G$158,0)),0)),0)</f>
        <v>875</v>
      </c>
      <c r="BH717">
        <f t="shared" si="139"/>
        <v>437.5</v>
      </c>
      <c r="BI717">
        <f t="shared" si="140"/>
        <v>437.5</v>
      </c>
      <c r="BJ717">
        <f>IF($E717="","",IFERROR(VLOOKUP($C717,_CONFIG_Risk_Calibration!$A$5:$H$21,2,FALSE),3))</f>
        <v>3</v>
      </c>
      <c r="BK717">
        <f>IF($E717="","",IFERROR(VLOOKUP($C717,_CONFIG_Risk_Calibration!$A$5:$H$21,3,FALSE),0))</f>
        <v>0</v>
      </c>
      <c r="BL717">
        <f>IF($E717="","",IFERROR(VLOOKUP($C717,_CONFIG_Risk_Calibration!$A$5:$H$21,4,FALSE),3))</f>
        <v>3</v>
      </c>
      <c r="BM717">
        <f>IF($E717="","",IFERROR(VLOOKUP($C717,_CONFIG_Risk_Calibration!$A$5:$H$21,5,FALSE),3))</f>
        <v>4</v>
      </c>
      <c r="BN717" t="str">
        <f>IF($E717="","",IFERROR(VLOOKUP($C717,_CONFIG_Risk_Calibration!$A$5:$H$21,6,FALSE),"No"))</f>
        <v>No</v>
      </c>
      <c r="BO717">
        <f>IF($E717="","",IFERROR(VLOOKUP($C717,_CONFIG_Risk_Calibration!$A$5:$H$21,7,FALSE),1))</f>
        <v>1</v>
      </c>
      <c r="BP717">
        <f>IF($H717="","",MAX(1,MIN(5,((6-$H717)*0.45)+($BJ717*0.2)+('Resilience &amp; Risk Scenario'!$B$7*0.15)+($BK717*0.1)+($BL717*0.05)+(IF($BB717="Fast",5,IF($BB717="Slow",1,3))*0.05))))</f>
        <v>3.7</v>
      </c>
      <c r="BQ717">
        <f t="shared" si="141"/>
        <v>4.3</v>
      </c>
      <c r="BR717">
        <f t="shared" si="142"/>
        <v>15.91</v>
      </c>
      <c r="BS717">
        <f t="shared" si="143"/>
        <v>21.88</v>
      </c>
      <c r="BT717" t="str">
        <f>IFERROR(INDEX(_REF_Capability_Bridge!$D:$D,MATCH($C717&amp;"|"&amp;$D717,_REF_Capability_Bridge!$J:$J,0)),IFERROR(INDEX(_REF_Capability_Bridge!$D:$D,MATCH($C717&amp;"|",_REF_Capability_Bridge!$J:$J,0)),"CAP_GENERIC"))</f>
        <v>CAP_SRE_OBSERVABILITY</v>
      </c>
      <c r="BU717">
        <f>IFERROR(IFERROR(INDEX(_ENGINE_Relevance!$L:$L,MATCH($BT717,_ENGINE_Relevance!$B:$B,0)),1),1)</f>
        <v>1</v>
      </c>
      <c r="BV717" t="str">
        <f>IFERROR(INDEX(_REF_Capability_Bridge!$A:$A,MATCH($C717&amp;"|"&amp;$D717,_REF_Capability_Bridge!$J:$J,0)),IFERROR(INDEX(_REF_Capability_Bridge!$A:$A,MATCH($C717&amp;"|",_REF_Capability_Bridge!$J:$J,0)),"No bridge"))</f>
        <v>BRG-093</v>
      </c>
      <c r="BW717" t="str">
        <f t="shared" si="144"/>
        <v>Capability relevance neutral</v>
      </c>
      <c r="BX717" t="str">
        <f t="shared" si="145"/>
        <v>Initial / absent</v>
      </c>
      <c r="BY717" t="str">
        <f>IF($E717="","",IFERROR(INDEX(_REF_Treatment_Library!$A$2:$A$296,MATCH(1,INDEX((_REF_Treatment_Library!$B$2:$B$296=$BT717)*(_REF_Treatment_Library!$C$2:$C$296=PV_Canonical_Industry)*(_REF_Treatment_Library!$E$2:$E$296&lt;=N($H717))*(_REF_Treatment_Library!$F$2:$F$296&gt;=N($H717))*(_REF_Treatment_Library!$O$2:$O$296="Yes"),0),0)),IFERROR(INDEX(_REF_Treatment_Library!$A$2:$A$296,MATCH(1,INDEX((_REF_Treatment_Library!$B$2:$B$296=$BT717)*(_REF_Treatment_Library!$C$2:$C$296="All")*(_REF_Treatment_Library!$E$2:$E$296&lt;=N($H717))*(_REF_Treatment_Library!$F$2:$F$296&gt;=N($H717))*(_REF_Treatment_Library!$O$2:$O$296="Yes"),0),0)),"")))</f>
        <v>TRT-SRE_OBSERVABILITY-INITIAL</v>
      </c>
      <c r="BZ717" t="str">
        <f>IF($BY717="","",IFERROR(INDEX(_REF_Treatment_Library!$H$2:$H$296,MATCH($BY717,_REF_Treatment_Library!$A$2:$A$296,0)),""))</f>
        <v>Establish</v>
      </c>
      <c r="CA717" t="str">
        <f>IF($BY717="","",IFERROR(INDEX(_REF_Treatment_Library!$I$2:$I$296,MATCH($BY717,_REF_Treatment_Library!$A$2:$A$296,0)),""))</f>
        <v>Establish baseline controls for SRE / Observability</v>
      </c>
      <c r="CB717" t="str">
        <f>IF($BY717="","",IFERROR(INDEX(_REF_Treatment_Library!$K$2:$K$296,MATCH($BY717,_REF_Treatment_Library!$A$2:$A$296,0)),""))</f>
        <v>Named owner, baseline process, minimum control checklist, first evidence package</v>
      </c>
      <c r="CC717" t="str">
        <f>IF($BY717="","",IFERROR(INDEX(_REF_Treatment_Library!$L$2:$L$296,MATCH($BY717,_REF_Treatment_Library!$A$2:$A$296,0)),""))</f>
        <v>Owner assigned; baseline evidence coverage; open critical gaps</v>
      </c>
      <c r="CD717" t="str">
        <f t="shared" si="146"/>
        <v>Treatment by capability=CAP_SRE_OBSERVABILITY; band=Initial / absent; score=0.0; treatment=Establish</v>
      </c>
      <c r="CE717" t="str">
        <f>IF($E717="","",IFERROR(INDEX(_REF_Industry_Wording!$A$2:$A$70,MATCH(1,INDEX((_REF_Industry_Wording!$B$2:$B$70=$BT717)*(_REF_Industry_Wording!$C$2:$C$70=PV_Canonical_Industry)*(_REF_Industry_Wording!$K$2:$K$70="Yes"),0),0)),IFERROR(INDEX(_REF_Industry_Wording!$A$2:$A$70,MATCH(1,INDEX((_REF_Industry_Wording!$B$2:$B$70=$BT717)*(_REF_Industry_Wording!$C$2:$C$70="All")*(_REF_Industry_Wording!$K$2:$K$70="Yes"),0),0)),"")))</f>
        <v>IW-ALL-SRE_OBSERVABILITY</v>
      </c>
      <c r="CF717" t="str">
        <f>IF($CE717="","",IFERROR(INDEX(_REF_Industry_Wording!$E$2:$E$70,MATCH($CE717,_REF_Industry_Wording!$A$2:$A$70,0)),""))</f>
        <v>SRE / Observability weakness</v>
      </c>
      <c r="CG717" t="str">
        <f>IF($CE717="","",IFERROR(INDEX(_REF_Industry_Wording!$F$2:$F$70,MATCH($CE717,_REF_Industry_Wording!$A$2:$A$70,0)),""))</f>
        <v>Strengthen SRE / Observability</v>
      </c>
      <c r="CH717" t="str">
        <f>IF($CE717="","",IFERROR(INDEX(_REF_Industry_Wording!$G$2:$G$70,MATCH($CE717,_REF_Industry_Wording!$A$2:$A$70,0)),""))</f>
        <v>Strengthen SRE / Observability using the selected maturity treatment, crisis scenario and evidence requirements.</v>
      </c>
      <c r="CI717" t="str">
        <f>IF($CE717="","",IFERROR(INDEX(_REF_Industry_Wording!$H$2:$H$70,MATCH($CE717,_REF_Industry_Wording!$A$2:$A$70,0)),""))</f>
        <v>SRE / Observability</v>
      </c>
      <c r="CJ717">
        <f>IF($CE717="","",IFERROR(INDEX(_REF_Industry_Wording!$I$2:$I$70,MATCH($CE717,_REF_Industry_Wording!$A$2:$A$70,0)),""))</f>
        <v>0</v>
      </c>
      <c r="CK717" t="str">
        <f>IF($CE717="","",IFERROR(INDEX(_REF_Industry_Wording!$J$2:$J$70,MATCH($CE717,_REF_Industry_Wording!$A$2:$A$70,0)),""))</f>
        <v>SRE / Observability</v>
      </c>
      <c r="CL717" t="str">
        <f t="shared" si="147"/>
        <v>Wording by industry=0; capability=CAP_SRE_OBSERVABILITY; risk label=SRE / Observability weakness</v>
      </c>
      <c r="CM717" t="str">
        <f t="shared" si="148"/>
        <v>RISK-ONT-0218</v>
      </c>
      <c r="CN717" t="str">
        <f t="shared" si="149"/>
        <v>RISK-EVT-0218</v>
      </c>
      <c r="CO717" t="str">
        <f t="shared" si="150"/>
        <v>Supply Chain|Technology and risk|SUPP-023|CAP_SRE_OBSERVABILITY</v>
      </c>
      <c r="CP717" t="str">
        <f t="shared" si="151"/>
        <v>Active</v>
      </c>
      <c r="CQ717" t="str">
        <f t="shared" si="152"/>
        <v>OK: capability-driven</v>
      </c>
      <c r="CR717" t="str">
        <f t="shared" si="153"/>
        <v>Risk ontology uses capability=CAP_SRE_OBSERVABILITY; bridge=BRG-093; treatment=TRT-SRE_OBSERVABILITY-INITIAL; wording=IW-ALL-SRE_OBSERVABILITY</v>
      </c>
      <c r="CS717" t="str">
        <f t="shared" si="154"/>
        <v>Yes</v>
      </c>
    </row>
    <row r="718" spans="1:97" ht="69.900000000000006" customHeight="1">
      <c r="A718">
        <f>IF(OR($B718&lt;&gt;"Yes",$BS718=""),"",SUMPRODUCT(($B$500:$B$923="Yes")*ISNUMBER($BS$500:$BS$923)*($BS$500:$BS$923&gt;$BS718))+COUNTIFS($B$500:$B718,"Yes",$BS$500:$BS718,$BS718))</f>
        <v>51</v>
      </c>
      <c r="B718" t="str">
        <f t="shared" si="123"/>
        <v>Yes</v>
      </c>
      <c r="C718" t="s">
        <v>1987</v>
      </c>
      <c r="D718" t="s">
        <v>2006</v>
      </c>
      <c r="E718" t="s">
        <v>2107</v>
      </c>
      <c r="F718" t="s">
        <v>3687</v>
      </c>
      <c r="G718" t="str">
        <f>IF($H718="","",IFERROR(INDEX(_ENGINE_Risk!$H$5:$M$499,MATCH($E718,_ENGINE_Risk!$A$5:$A$499,0),$H718+1),""))</f>
        <v>Severe risk: SKU, supplier, BOM, lead-time and replenishment master data quality is not reliably controlled. During Supplier/logistics disruption; Manufacturing disruption; Demand shock, the organization may face supplier failure, logistics disruption, inventory shortages and production or delivery delays with limited visibility or accountability.</v>
      </c>
      <c r="H718">
        <f>IFERROR(VALUE(INDEX(_DATA_Assessment_Model!$H$5:$H$884,MATCH($E718,_DATA_Assessment_Model!$A$5:$A$884,0))),"")</f>
        <v>0</v>
      </c>
      <c r="I718" t="str">
        <f>IF($H718="","",IFERROR(INDEX(_DATA_Assessment_Model!$L$5:$L$884,MATCH($E718,_DATA_Assessment_Model!$A$5:$A$884,0)),IF($H718&lt;=1,"Critical",IF($H718=2,"High",IF($H718=3,"Medium",IF($H718=4,"Low","Resilient"))))))</f>
        <v>Critical</v>
      </c>
      <c r="J718">
        <f t="shared" si="124"/>
        <v>3.7</v>
      </c>
      <c r="K718">
        <f t="shared" si="125"/>
        <v>4.6499999999999995</v>
      </c>
      <c r="L718">
        <f t="shared" si="126"/>
        <v>17.204999999999998</v>
      </c>
      <c r="M718">
        <f t="shared" si="127"/>
        <v>4</v>
      </c>
      <c r="N718">
        <f>IF($H718="","",IFERROR(INDEX(_ENGINE_Risk!$T$5:$Y$499,MATCH($E718,_ENGINE_Risk!$A$5:$A$499,0),$H718+1),""))</f>
        <v>4</v>
      </c>
      <c r="O718">
        <f t="shared" si="128"/>
        <v>5</v>
      </c>
      <c r="P718">
        <f t="shared" si="129"/>
        <v>5</v>
      </c>
      <c r="Q718">
        <f t="shared" si="130"/>
        <v>5</v>
      </c>
      <c r="R718">
        <f t="shared" si="131"/>
        <v>5</v>
      </c>
      <c r="S718">
        <f t="shared" si="132"/>
        <v>1.25</v>
      </c>
      <c r="T718" t="str">
        <f>IF($H718="","",IFERROR(INDEX(_ENGINE_Risk!$N$5:$S$499,MATCH($E718,_ENGINE_Risk!$A$5:$A$499,0),$H718+1),""))</f>
        <v>Create an immediate risk owner, minimum control baseline and fallback procedure for SKU, supplier, BOM, lead-time and replenishment master data quality. Add it to the crisis risk register and collect first evidence.</v>
      </c>
      <c r="U718">
        <f>IFERROR(INDEX(_DATA_Assessment_Model!$G$5:$G$884,MATCH($E718,_DATA_Assessment_Model!$A$5:$A$884,0)),"")</f>
        <v>5</v>
      </c>
      <c r="V718">
        <f>IFERROR(INDEX(_DATA_Assessment_Model!$W$5:$W$884,MATCH($E718,_DATA_Assessment_Model!$A$5:$A$884,0)),"")</f>
        <v>5</v>
      </c>
      <c r="W718">
        <f>IFERROR(INDEX(_DATA_Assessment_Model!$X$5:$X$884,MATCH($E718,_DATA_Assessment_Model!$A$5:$A$884,0)),"")</f>
        <v>5</v>
      </c>
      <c r="X718">
        <f>IFERROR(INDEX(_DATA_Assessment_Model!$Y$5:$Y$884,MATCH($E718,_DATA_Assessment_Model!$A$5:$A$884,0)),"")</f>
        <v>5</v>
      </c>
      <c r="Y718" t="s">
        <v>1994</v>
      </c>
      <c r="Z718" t="s">
        <v>7365</v>
      </c>
      <c r="AA718" t="s">
        <v>2109</v>
      </c>
      <c r="AB718">
        <f>IFERROR(INDEX(_DATA_Assessment_Model!$U$5:$U$884,MATCH($E718,_DATA_Assessment_Model!$A$5:$A$884,0)),"")</f>
        <v>0</v>
      </c>
      <c r="AF718" t="s">
        <v>2108</v>
      </c>
      <c r="AO718">
        <f>IF($B718="Yes",IF(IFERROR(INDEX(_ENGINE_Crisis!$F$501:$F$517,MATCH($C718,_ENGINE_Crisis!$A$501:$A$517,0)),1)=0,1,IFERROR(INDEX(_ENGINE_Crisis!$F$501:$F$517,MATCH($C718,_ENGINE_Crisis!$A$501:$A$517,0)),1)),"")</f>
        <v>1</v>
      </c>
      <c r="AP718">
        <f t="shared" si="133"/>
        <v>17.2</v>
      </c>
      <c r="AQ718">
        <f t="shared" si="134"/>
        <v>1.25</v>
      </c>
      <c r="AR718" t="str">
        <f>IFERROR(INDEX(_ENGINE_Crisis!$E$41:$E$700,MATCH('Resilience &amp; Risk Scenario'!$B$6&amp;"|"&amp;$C718,_ENGINE_Crisis!$I$41:$I$700,0)),"")</f>
        <v/>
      </c>
      <c r="AS718" t="str">
        <f>IFERROR(INDEX(_ENGINE_Crisis!$G$41:$G$700,MATCH('Resilience &amp; Risk Scenario'!$B$6&amp;"|"&amp;$C718,_ENGINE_Crisis!$I$41:$I$700,0)),"")</f>
        <v/>
      </c>
      <c r="AT718" t="str">
        <f>IFERROR(INDEX(_ENGINE_Initiatives!$A$5:$A$532,MATCH(1,INDEX((_ENGINE_Initiatives!$B$5:$B$532=$C718)*(_ENGINE_Initiatives!$C$5:$C$532=$D718),0),0)),"")</f>
        <v>INI-035</v>
      </c>
      <c r="AU718" t="str">
        <f>IFERROR(INDEX(_ENGINE_Initiatives!$F$5:$F$532,MATCH(1,INDEX((_ENGINE_Initiatives!$B$5:$B$532=$C718)*(_ENGINE_Initiatives!$C$5:$C$532=$D718),0),0)),"")</f>
        <v>Implement supply-chain technology, risk monitoring and supplier data</v>
      </c>
      <c r="AV718">
        <f>IFERROR(INDEX(_ENGINE_Initiatives!$AC$5:$AC$532,MATCH(1,INDEX((_ENGINE_Initiatives!$B$5:$B$532=$C718)*(_ENGINE_Initiatives!$C$5:$C$532=$D718),0),0)),"")</f>
        <v>1.81</v>
      </c>
      <c r="AW718" t="str">
        <f>IFERROR(INDEX(_ENGINE_Initiatives!$AE$5:$AE$532,MATCH(1,INDEX((_ENGINE_Initiatives!$B$5:$B$532=$C718)*(_ENGINE_Initiatives!$C$5:$C$532=$D718),0),0)),"")</f>
        <v>3-6 months</v>
      </c>
      <c r="AX718">
        <f>IF($B718="Yes",IFERROR((IF(SUMIFS(_REF_Model_Content!$E$1:$E$613,_REF_Model_Content!$A$1:$A$613,PV_Canonical_Industry,_REF_Model_Content!$B$1:$B$613,$C718)=0,1,SUMIFS(_REF_Model_Content!$E$1:$E$613,_REF_Model_Content!$A$1:$A$613,PV_Canonical_Industry,_REF_Model_Content!$B$1:$B$613,$C718))*IFERROR($BU718,1)),1),"")</f>
        <v>1</v>
      </c>
      <c r="AY718">
        <f t="shared" si="135"/>
        <v>17.2</v>
      </c>
      <c r="AZ718">
        <f t="shared" si="136"/>
        <v>1.25</v>
      </c>
      <c r="BB718" t="str">
        <f>IF($H718="","",IFERROR(INDEX(_ENGINE_Risk!$AE$5:$AE$499,MATCH($E718,_ENGINE_Risk!$A$5:$A$499,0)),"Medium"))</f>
        <v>Fast</v>
      </c>
      <c r="BC718">
        <f t="shared" si="137"/>
        <v>1.25</v>
      </c>
      <c r="BD718">
        <f t="shared" si="138"/>
        <v>1.25</v>
      </c>
      <c r="BF718">
        <f>IF(OR($H718="",$J718=""),"",IFERROR(VLOOKUP(ROUND($J718,0),_CONFIG_Model_Settings!$D$154:$E$158,2,0),""))</f>
        <v>0.5</v>
      </c>
      <c r="BG718">
        <f>IFERROR(IF(OR($H718="",$K718=""),"",ROUND('Company Profile'!$B$113*INDEX(_CONFIG_Model_Settings!$H$154:$H$158,MATCH(ROUND($K718,0),_CONFIG_Model_Settings!$G$154:$G$158,0)),0)),0)</f>
        <v>1875</v>
      </c>
      <c r="BH718">
        <f t="shared" si="139"/>
        <v>937.5</v>
      </c>
      <c r="BI718">
        <f t="shared" si="140"/>
        <v>937.5</v>
      </c>
      <c r="BJ718">
        <f>IF($E718="","",IFERROR(VLOOKUP($C718,_CONFIG_Risk_Calibration!$A$5:$H$21,2,FALSE),3))</f>
        <v>3</v>
      </c>
      <c r="BK718">
        <f>IF($E718="","",IFERROR(VLOOKUP($C718,_CONFIG_Risk_Calibration!$A$5:$H$21,3,FALSE),0))</f>
        <v>0</v>
      </c>
      <c r="BL718">
        <f>IF($E718="","",IFERROR(VLOOKUP($C718,_CONFIG_Risk_Calibration!$A$5:$H$21,4,FALSE),3))</f>
        <v>3</v>
      </c>
      <c r="BM718">
        <f>IF($E718="","",IFERROR(VLOOKUP($C718,_CONFIG_Risk_Calibration!$A$5:$H$21,5,FALSE),3))</f>
        <v>4</v>
      </c>
      <c r="BN718" t="str">
        <f>IF($E718="","",IFERROR(VLOOKUP($C718,_CONFIG_Risk_Calibration!$A$5:$H$21,6,FALSE),"No"))</f>
        <v>No</v>
      </c>
      <c r="BO718">
        <f>IF($E718="","",IFERROR(VLOOKUP($C718,_CONFIG_Risk_Calibration!$A$5:$H$21,7,FALSE),1))</f>
        <v>1</v>
      </c>
      <c r="BP718">
        <f>IF($H718="","",MAX(1,MIN(5,((6-$H718)*0.45)+($BJ718*0.2)+('Resilience &amp; Risk Scenario'!$B$7*0.15)+($BK718*0.1)+($BL718*0.05)+(IF($BB718="Fast",5,IF($BB718="Slow",1,3))*0.05))))</f>
        <v>3.7</v>
      </c>
      <c r="BQ718">
        <f t="shared" si="141"/>
        <v>4.6499999999999995</v>
      </c>
      <c r="BR718">
        <f t="shared" si="142"/>
        <v>17.21</v>
      </c>
      <c r="BS718">
        <f t="shared" si="143"/>
        <v>23.66</v>
      </c>
      <c r="BT718" t="str">
        <f>IFERROR(INDEX(_REF_Capability_Bridge!$D:$D,MATCH($C718&amp;"|"&amp;$D718,_REF_Capability_Bridge!$J:$J,0)),IFERROR(INDEX(_REF_Capability_Bridge!$D:$D,MATCH($C718&amp;"|",_REF_Capability_Bridge!$J:$J,0)),"CAP_GENERIC"))</f>
        <v>CAP_SRE_OBSERVABILITY</v>
      </c>
      <c r="BU718">
        <f>IFERROR(IFERROR(INDEX(_ENGINE_Relevance!$L:$L,MATCH($BT718,_ENGINE_Relevance!$B:$B,0)),1),1)</f>
        <v>1</v>
      </c>
      <c r="BV718" t="str">
        <f>IFERROR(INDEX(_REF_Capability_Bridge!$A:$A,MATCH($C718&amp;"|"&amp;$D718,_REF_Capability_Bridge!$J:$J,0)),IFERROR(INDEX(_REF_Capability_Bridge!$A:$A,MATCH($C718&amp;"|",_REF_Capability_Bridge!$J:$J,0)),"No bridge"))</f>
        <v>BRG-093</v>
      </c>
      <c r="BW718" t="str">
        <f t="shared" si="144"/>
        <v>Capability relevance neutral</v>
      </c>
      <c r="BX718" t="str">
        <f t="shared" si="145"/>
        <v>Initial / absent</v>
      </c>
      <c r="BY718" t="str">
        <f>IF($E718="","",IFERROR(INDEX(_REF_Treatment_Library!$A$2:$A$296,MATCH(1,INDEX((_REF_Treatment_Library!$B$2:$B$296=$BT718)*(_REF_Treatment_Library!$C$2:$C$296=PV_Canonical_Industry)*(_REF_Treatment_Library!$E$2:$E$296&lt;=N($H718))*(_REF_Treatment_Library!$F$2:$F$296&gt;=N($H718))*(_REF_Treatment_Library!$O$2:$O$296="Yes"),0),0)),IFERROR(INDEX(_REF_Treatment_Library!$A$2:$A$296,MATCH(1,INDEX((_REF_Treatment_Library!$B$2:$B$296=$BT718)*(_REF_Treatment_Library!$C$2:$C$296="All")*(_REF_Treatment_Library!$E$2:$E$296&lt;=N($H718))*(_REF_Treatment_Library!$F$2:$F$296&gt;=N($H718))*(_REF_Treatment_Library!$O$2:$O$296="Yes"),0),0)),"")))</f>
        <v>TRT-SRE_OBSERVABILITY-INITIAL</v>
      </c>
      <c r="BZ718" t="str">
        <f>IF($BY718="","",IFERROR(INDEX(_REF_Treatment_Library!$H$2:$H$296,MATCH($BY718,_REF_Treatment_Library!$A$2:$A$296,0)),""))</f>
        <v>Establish</v>
      </c>
      <c r="CA718" t="str">
        <f>IF($BY718="","",IFERROR(INDEX(_REF_Treatment_Library!$I$2:$I$296,MATCH($BY718,_REF_Treatment_Library!$A$2:$A$296,0)),""))</f>
        <v>Establish baseline controls for SRE / Observability</v>
      </c>
      <c r="CB718" t="str">
        <f>IF($BY718="","",IFERROR(INDEX(_REF_Treatment_Library!$K$2:$K$296,MATCH($BY718,_REF_Treatment_Library!$A$2:$A$296,0)),""))</f>
        <v>Named owner, baseline process, minimum control checklist, first evidence package</v>
      </c>
      <c r="CC718" t="str">
        <f>IF($BY718="","",IFERROR(INDEX(_REF_Treatment_Library!$L$2:$L$296,MATCH($BY718,_REF_Treatment_Library!$A$2:$A$296,0)),""))</f>
        <v>Owner assigned; baseline evidence coverage; open critical gaps</v>
      </c>
      <c r="CD718" t="str">
        <f t="shared" si="146"/>
        <v>Treatment by capability=CAP_SRE_OBSERVABILITY; band=Initial / absent; score=0.0; treatment=Establish</v>
      </c>
      <c r="CE718" t="str">
        <f>IF($E718="","",IFERROR(INDEX(_REF_Industry_Wording!$A$2:$A$70,MATCH(1,INDEX((_REF_Industry_Wording!$B$2:$B$70=$BT718)*(_REF_Industry_Wording!$C$2:$C$70=PV_Canonical_Industry)*(_REF_Industry_Wording!$K$2:$K$70="Yes"),0),0)),IFERROR(INDEX(_REF_Industry_Wording!$A$2:$A$70,MATCH(1,INDEX((_REF_Industry_Wording!$B$2:$B$70=$BT718)*(_REF_Industry_Wording!$C$2:$C$70="All")*(_REF_Industry_Wording!$K$2:$K$70="Yes"),0),0)),"")))</f>
        <v>IW-ALL-SRE_OBSERVABILITY</v>
      </c>
      <c r="CF718" t="str">
        <f>IF($CE718="","",IFERROR(INDEX(_REF_Industry_Wording!$E$2:$E$70,MATCH($CE718,_REF_Industry_Wording!$A$2:$A$70,0)),""))</f>
        <v>SRE / Observability weakness</v>
      </c>
      <c r="CG718" t="str">
        <f>IF($CE718="","",IFERROR(INDEX(_REF_Industry_Wording!$F$2:$F$70,MATCH($CE718,_REF_Industry_Wording!$A$2:$A$70,0)),""))</f>
        <v>Strengthen SRE / Observability</v>
      </c>
      <c r="CH718" t="str">
        <f>IF($CE718="","",IFERROR(INDEX(_REF_Industry_Wording!$G$2:$G$70,MATCH($CE718,_REF_Industry_Wording!$A$2:$A$70,0)),""))</f>
        <v>Strengthen SRE / Observability using the selected maturity treatment, crisis scenario and evidence requirements.</v>
      </c>
      <c r="CI718" t="str">
        <f>IF($CE718="","",IFERROR(INDEX(_REF_Industry_Wording!$H$2:$H$70,MATCH($CE718,_REF_Industry_Wording!$A$2:$A$70,0)),""))</f>
        <v>SRE / Observability</v>
      </c>
      <c r="CJ718">
        <f>IF($CE718="","",IFERROR(INDEX(_REF_Industry_Wording!$I$2:$I$70,MATCH($CE718,_REF_Industry_Wording!$A$2:$A$70,0)),""))</f>
        <v>0</v>
      </c>
      <c r="CK718" t="str">
        <f>IF($CE718="","",IFERROR(INDEX(_REF_Industry_Wording!$J$2:$J$70,MATCH($CE718,_REF_Industry_Wording!$A$2:$A$70,0)),""))</f>
        <v>SRE / Observability</v>
      </c>
      <c r="CL718" t="str">
        <f t="shared" si="147"/>
        <v>Wording by industry=0; capability=CAP_SRE_OBSERVABILITY; risk label=SRE / Observability weakness</v>
      </c>
      <c r="CM718" t="str">
        <f t="shared" si="148"/>
        <v>RISK-ONT-0219</v>
      </c>
      <c r="CN718" t="str">
        <f t="shared" si="149"/>
        <v>RISK-EVT-0219</v>
      </c>
      <c r="CO718" t="str">
        <f t="shared" si="150"/>
        <v>Supply Chain|Technology and risk|SUPP-024|CAP_SRE_OBSERVABILITY</v>
      </c>
      <c r="CP718" t="str">
        <f t="shared" si="151"/>
        <v>Active</v>
      </c>
      <c r="CQ718" t="str">
        <f t="shared" si="152"/>
        <v>OK: capability-driven</v>
      </c>
      <c r="CR718" t="str">
        <f t="shared" si="153"/>
        <v>Risk ontology uses capability=CAP_SRE_OBSERVABILITY; bridge=BRG-093; treatment=TRT-SRE_OBSERVABILITY-INITIAL; wording=IW-ALL-SRE_OBSERVABILITY</v>
      </c>
      <c r="CS718" t="str">
        <f t="shared" si="154"/>
        <v>Yes</v>
      </c>
    </row>
    <row r="719" spans="1:97" ht="69.900000000000006" customHeight="1">
      <c r="A719">
        <f>IF(OR($B719&lt;&gt;"Yes",$BS719=""),"",SUMPRODUCT(($B$500:$B$923="Yes")*ISNUMBER($BS$500:$BS$923)*($BS$500:$BS$923&gt;$BS719))+COUNTIFS($B$500:$B719,"Yes",$BS$500:$BS719,$BS719))</f>
        <v>91</v>
      </c>
      <c r="B719" t="str">
        <f t="shared" si="123"/>
        <v>Yes</v>
      </c>
      <c r="C719" t="s">
        <v>1987</v>
      </c>
      <c r="D719" t="s">
        <v>2006</v>
      </c>
      <c r="E719" t="s">
        <v>2110</v>
      </c>
      <c r="F719" t="s">
        <v>3687</v>
      </c>
      <c r="G719" t="str">
        <f>IF($H719="","",IFERROR(INDEX(_ENGINE_Risk!$H$5:$M$499,MATCH($E719,_ENGINE_Risk!$A$5:$A$499,0),$H719+1),""))</f>
        <v>Severe risk: approved substitution rules for materials, components and suppliers is not reliably controlled. During Supplier/logistics disruption; Manufacturing disruption; Demand shock, the organization may face supplier failure, logistics disruption, inventory shortages and production or delivery delays with limited visibility or accountability.</v>
      </c>
      <c r="H719">
        <f>IFERROR(VALUE(INDEX(_DATA_Assessment_Model!$H$5:$H$884,MATCH($E719,_DATA_Assessment_Model!$A$5:$A$884,0))),"")</f>
        <v>0</v>
      </c>
      <c r="I719" t="str">
        <f>IF($H719="","",IFERROR(INDEX(_DATA_Assessment_Model!$L$5:$L$884,MATCH($E719,_DATA_Assessment_Model!$A$5:$A$884,0)),IF($H719&lt;=1,"Critical",IF($H719=2,"High",IF($H719=3,"Medium",IF($H719=4,"Low","Resilient"))))))</f>
        <v>Critical</v>
      </c>
      <c r="J719">
        <f t="shared" si="124"/>
        <v>3.7</v>
      </c>
      <c r="K719">
        <f t="shared" si="125"/>
        <v>4.5</v>
      </c>
      <c r="L719">
        <f t="shared" si="126"/>
        <v>16.650000000000002</v>
      </c>
      <c r="M719">
        <f t="shared" si="127"/>
        <v>4</v>
      </c>
      <c r="N719">
        <f>IF($H719="","",IFERROR(INDEX(_ENGINE_Risk!$T$5:$Y$499,MATCH($E719,_ENGINE_Risk!$A$5:$A$499,0),$H719+1),""))</f>
        <v>4</v>
      </c>
      <c r="O719">
        <f t="shared" si="128"/>
        <v>4.666666666666667</v>
      </c>
      <c r="P719">
        <f t="shared" si="129"/>
        <v>5</v>
      </c>
      <c r="Q719">
        <f t="shared" si="130"/>
        <v>5</v>
      </c>
      <c r="R719">
        <f t="shared" si="131"/>
        <v>4.5</v>
      </c>
      <c r="S719">
        <f t="shared" si="132"/>
        <v>1.2</v>
      </c>
      <c r="T719" t="str">
        <f>IF($H719="","",IFERROR(INDEX(_ENGINE_Risk!$N$5:$S$499,MATCH($E719,_ENGINE_Risk!$A$5:$A$499,0),$H719+1),""))</f>
        <v>Create an immediate risk owner, minimum control baseline and fallback procedure for approved substitution rules for materials, components and suppliers. Add it to the crisis risk register and collect first evidence.</v>
      </c>
      <c r="U719">
        <f>IFERROR(INDEX(_DATA_Assessment_Model!$G$5:$G$884,MATCH($E719,_DATA_Assessment_Model!$A$5:$A$884,0)),"")</f>
        <v>5</v>
      </c>
      <c r="V719">
        <f>IFERROR(INDEX(_DATA_Assessment_Model!$W$5:$W$884,MATCH($E719,_DATA_Assessment_Model!$A$5:$A$884,0)),"")</f>
        <v>4</v>
      </c>
      <c r="W719">
        <f>IFERROR(INDEX(_DATA_Assessment_Model!$X$5:$X$884,MATCH($E719,_DATA_Assessment_Model!$A$5:$A$884,0)),"")</f>
        <v>5</v>
      </c>
      <c r="X719">
        <f>IFERROR(INDEX(_DATA_Assessment_Model!$Y$5:$Y$884,MATCH($E719,_DATA_Assessment_Model!$A$5:$A$884,0)),"")</f>
        <v>5</v>
      </c>
      <c r="Y719" t="s">
        <v>1994</v>
      </c>
      <c r="Z719" t="s">
        <v>7365</v>
      </c>
      <c r="AA719" t="s">
        <v>2112</v>
      </c>
      <c r="AB719">
        <f>IFERROR(INDEX(_DATA_Assessment_Model!$U$5:$U$884,MATCH($E719,_DATA_Assessment_Model!$A$5:$A$884,0)),"")</f>
        <v>0</v>
      </c>
      <c r="AF719" t="s">
        <v>2111</v>
      </c>
      <c r="AO719">
        <f>IF($B719="Yes",IF(IFERROR(INDEX(_ENGINE_Crisis!$F$501:$F$517,MATCH($C719,_ENGINE_Crisis!$A$501:$A$517,0)),1)=0,1,IFERROR(INDEX(_ENGINE_Crisis!$F$501:$F$517,MATCH($C719,_ENGINE_Crisis!$A$501:$A$517,0)),1)),"")</f>
        <v>1</v>
      </c>
      <c r="AP719">
        <f t="shared" si="133"/>
        <v>16.7</v>
      </c>
      <c r="AQ719">
        <f t="shared" si="134"/>
        <v>1.2</v>
      </c>
      <c r="AR719" t="str">
        <f>IFERROR(INDEX(_ENGINE_Crisis!$E$41:$E$700,MATCH('Resilience &amp; Risk Scenario'!$B$6&amp;"|"&amp;$C719,_ENGINE_Crisis!$I$41:$I$700,0)),"")</f>
        <v/>
      </c>
      <c r="AS719" t="str">
        <f>IFERROR(INDEX(_ENGINE_Crisis!$G$41:$G$700,MATCH('Resilience &amp; Risk Scenario'!$B$6&amp;"|"&amp;$C719,_ENGINE_Crisis!$I$41:$I$700,0)),"")</f>
        <v/>
      </c>
      <c r="AT719" t="str">
        <f>IFERROR(INDEX(_ENGINE_Initiatives!$A$5:$A$532,MATCH(1,INDEX((_ENGINE_Initiatives!$B$5:$B$532=$C719)*(_ENGINE_Initiatives!$C$5:$C$532=$D719),0),0)),"")</f>
        <v>INI-035</v>
      </c>
      <c r="AU719" t="str">
        <f>IFERROR(INDEX(_ENGINE_Initiatives!$F$5:$F$532,MATCH(1,INDEX((_ENGINE_Initiatives!$B$5:$B$532=$C719)*(_ENGINE_Initiatives!$C$5:$C$532=$D719),0),0)),"")</f>
        <v>Implement supply-chain technology, risk monitoring and supplier data</v>
      </c>
      <c r="AV719">
        <f>IFERROR(INDEX(_ENGINE_Initiatives!$AC$5:$AC$532,MATCH(1,INDEX((_ENGINE_Initiatives!$B$5:$B$532=$C719)*(_ENGINE_Initiatives!$C$5:$C$532=$D719),0),0)),"")</f>
        <v>1.81</v>
      </c>
      <c r="AW719" t="str">
        <f>IFERROR(INDEX(_ENGINE_Initiatives!$AE$5:$AE$532,MATCH(1,INDEX((_ENGINE_Initiatives!$B$5:$B$532=$C719)*(_ENGINE_Initiatives!$C$5:$C$532=$D719),0),0)),"")</f>
        <v>3-6 months</v>
      </c>
      <c r="AX719">
        <f>IF($B719="Yes",IFERROR((IF(SUMIFS(_REF_Model_Content!$E$1:$E$613,_REF_Model_Content!$A$1:$A$613,PV_Canonical_Industry,_REF_Model_Content!$B$1:$B$613,$C719)=0,1,SUMIFS(_REF_Model_Content!$E$1:$E$613,_REF_Model_Content!$A$1:$A$613,PV_Canonical_Industry,_REF_Model_Content!$B$1:$B$613,$C719))*IFERROR($BU719,1)),1),"")</f>
        <v>1</v>
      </c>
      <c r="AY719">
        <f t="shared" si="135"/>
        <v>16.7</v>
      </c>
      <c r="AZ719">
        <f t="shared" si="136"/>
        <v>1.2</v>
      </c>
      <c r="BB719" t="str">
        <f>IF($H719="","",IFERROR(INDEX(_ENGINE_Risk!$AE$5:$AE$499,MATCH($E719,_ENGINE_Risk!$A$5:$A$499,0)),"Medium"))</f>
        <v>Fast</v>
      </c>
      <c r="BC719">
        <f t="shared" si="137"/>
        <v>1.25</v>
      </c>
      <c r="BD719">
        <f t="shared" si="138"/>
        <v>1.2</v>
      </c>
      <c r="BF719">
        <f>IF(OR($H719="",$J719=""),"",IFERROR(VLOOKUP(ROUND($J719,0),_CONFIG_Model_Settings!$D$154:$E$158,2,0),""))</f>
        <v>0.5</v>
      </c>
      <c r="BG719">
        <f>IFERROR(IF(OR($H719="",$K719=""),"",ROUND('Company Profile'!$B$113*INDEX(_CONFIG_Model_Settings!$H$154:$H$158,MATCH(ROUND($K719,0),_CONFIG_Model_Settings!$G$154:$G$158,0)),0)),0)</f>
        <v>1875</v>
      </c>
      <c r="BH719">
        <f t="shared" si="139"/>
        <v>937.5</v>
      </c>
      <c r="BI719">
        <f t="shared" si="140"/>
        <v>937.5</v>
      </c>
      <c r="BJ719">
        <f>IF($E719="","",IFERROR(VLOOKUP($C719,_CONFIG_Risk_Calibration!$A$5:$H$21,2,FALSE),3))</f>
        <v>3</v>
      </c>
      <c r="BK719">
        <f>IF($E719="","",IFERROR(VLOOKUP($C719,_CONFIG_Risk_Calibration!$A$5:$H$21,3,FALSE),0))</f>
        <v>0</v>
      </c>
      <c r="BL719">
        <f>IF($E719="","",IFERROR(VLOOKUP($C719,_CONFIG_Risk_Calibration!$A$5:$H$21,4,FALSE),3))</f>
        <v>3</v>
      </c>
      <c r="BM719">
        <f>IF($E719="","",IFERROR(VLOOKUP($C719,_CONFIG_Risk_Calibration!$A$5:$H$21,5,FALSE),3))</f>
        <v>4</v>
      </c>
      <c r="BN719" t="str">
        <f>IF($E719="","",IFERROR(VLOOKUP($C719,_CONFIG_Risk_Calibration!$A$5:$H$21,6,FALSE),"No"))</f>
        <v>No</v>
      </c>
      <c r="BO719">
        <f>IF($E719="","",IFERROR(VLOOKUP($C719,_CONFIG_Risk_Calibration!$A$5:$H$21,7,FALSE),1))</f>
        <v>1</v>
      </c>
      <c r="BP719">
        <f>IF($H719="","",MAX(1,MIN(5,((6-$H719)*0.45)+($BJ719*0.2)+('Resilience &amp; Risk Scenario'!$B$7*0.15)+($BK719*0.1)+($BL719*0.05)+(IF($BB719="Fast",5,IF($BB719="Slow",1,3))*0.05))))</f>
        <v>3.7</v>
      </c>
      <c r="BQ719">
        <f t="shared" si="141"/>
        <v>4.5</v>
      </c>
      <c r="BR719">
        <f t="shared" si="142"/>
        <v>16.649999999999999</v>
      </c>
      <c r="BS719">
        <f t="shared" si="143"/>
        <v>22.89</v>
      </c>
      <c r="BT719" t="str">
        <f>IFERROR(INDEX(_REF_Capability_Bridge!$D:$D,MATCH($C719&amp;"|"&amp;$D719,_REF_Capability_Bridge!$J:$J,0)),IFERROR(INDEX(_REF_Capability_Bridge!$D:$D,MATCH($C719&amp;"|",_REF_Capability_Bridge!$J:$J,0)),"CAP_GENERIC"))</f>
        <v>CAP_SRE_OBSERVABILITY</v>
      </c>
      <c r="BU719">
        <f>IFERROR(IFERROR(INDEX(_ENGINE_Relevance!$L:$L,MATCH($BT719,_ENGINE_Relevance!$B:$B,0)),1),1)</f>
        <v>1</v>
      </c>
      <c r="BV719" t="str">
        <f>IFERROR(INDEX(_REF_Capability_Bridge!$A:$A,MATCH($C719&amp;"|"&amp;$D719,_REF_Capability_Bridge!$J:$J,0)),IFERROR(INDEX(_REF_Capability_Bridge!$A:$A,MATCH($C719&amp;"|",_REF_Capability_Bridge!$J:$J,0)),"No bridge"))</f>
        <v>BRG-093</v>
      </c>
      <c r="BW719" t="str">
        <f t="shared" si="144"/>
        <v>Capability relevance neutral</v>
      </c>
      <c r="BX719" t="str">
        <f t="shared" si="145"/>
        <v>Initial / absent</v>
      </c>
      <c r="BY719" t="str">
        <f>IF($E719="","",IFERROR(INDEX(_REF_Treatment_Library!$A$2:$A$296,MATCH(1,INDEX((_REF_Treatment_Library!$B$2:$B$296=$BT719)*(_REF_Treatment_Library!$C$2:$C$296=PV_Canonical_Industry)*(_REF_Treatment_Library!$E$2:$E$296&lt;=N($H719))*(_REF_Treatment_Library!$F$2:$F$296&gt;=N($H719))*(_REF_Treatment_Library!$O$2:$O$296="Yes"),0),0)),IFERROR(INDEX(_REF_Treatment_Library!$A$2:$A$296,MATCH(1,INDEX((_REF_Treatment_Library!$B$2:$B$296=$BT719)*(_REF_Treatment_Library!$C$2:$C$296="All")*(_REF_Treatment_Library!$E$2:$E$296&lt;=N($H719))*(_REF_Treatment_Library!$F$2:$F$296&gt;=N($H719))*(_REF_Treatment_Library!$O$2:$O$296="Yes"),0),0)),"")))</f>
        <v>TRT-SRE_OBSERVABILITY-INITIAL</v>
      </c>
      <c r="BZ719" t="str">
        <f>IF($BY719="","",IFERROR(INDEX(_REF_Treatment_Library!$H$2:$H$296,MATCH($BY719,_REF_Treatment_Library!$A$2:$A$296,0)),""))</f>
        <v>Establish</v>
      </c>
      <c r="CA719" t="str">
        <f>IF($BY719="","",IFERROR(INDEX(_REF_Treatment_Library!$I$2:$I$296,MATCH($BY719,_REF_Treatment_Library!$A$2:$A$296,0)),""))</f>
        <v>Establish baseline controls for SRE / Observability</v>
      </c>
      <c r="CB719" t="str">
        <f>IF($BY719="","",IFERROR(INDEX(_REF_Treatment_Library!$K$2:$K$296,MATCH($BY719,_REF_Treatment_Library!$A$2:$A$296,0)),""))</f>
        <v>Named owner, baseline process, minimum control checklist, first evidence package</v>
      </c>
      <c r="CC719" t="str">
        <f>IF($BY719="","",IFERROR(INDEX(_REF_Treatment_Library!$L$2:$L$296,MATCH($BY719,_REF_Treatment_Library!$A$2:$A$296,0)),""))</f>
        <v>Owner assigned; baseline evidence coverage; open critical gaps</v>
      </c>
      <c r="CD719" t="str">
        <f t="shared" si="146"/>
        <v>Treatment by capability=CAP_SRE_OBSERVABILITY; band=Initial / absent; score=0.0; treatment=Establish</v>
      </c>
      <c r="CE719" t="str">
        <f>IF($E719="","",IFERROR(INDEX(_REF_Industry_Wording!$A$2:$A$70,MATCH(1,INDEX((_REF_Industry_Wording!$B$2:$B$70=$BT719)*(_REF_Industry_Wording!$C$2:$C$70=PV_Canonical_Industry)*(_REF_Industry_Wording!$K$2:$K$70="Yes"),0),0)),IFERROR(INDEX(_REF_Industry_Wording!$A$2:$A$70,MATCH(1,INDEX((_REF_Industry_Wording!$B$2:$B$70=$BT719)*(_REF_Industry_Wording!$C$2:$C$70="All")*(_REF_Industry_Wording!$K$2:$K$70="Yes"),0),0)),"")))</f>
        <v>IW-ALL-SRE_OBSERVABILITY</v>
      </c>
      <c r="CF719" t="str">
        <f>IF($CE719="","",IFERROR(INDEX(_REF_Industry_Wording!$E$2:$E$70,MATCH($CE719,_REF_Industry_Wording!$A$2:$A$70,0)),""))</f>
        <v>SRE / Observability weakness</v>
      </c>
      <c r="CG719" t="str">
        <f>IF($CE719="","",IFERROR(INDEX(_REF_Industry_Wording!$F$2:$F$70,MATCH($CE719,_REF_Industry_Wording!$A$2:$A$70,0)),""))</f>
        <v>Strengthen SRE / Observability</v>
      </c>
      <c r="CH719" t="str">
        <f>IF($CE719="","",IFERROR(INDEX(_REF_Industry_Wording!$G$2:$G$70,MATCH($CE719,_REF_Industry_Wording!$A$2:$A$70,0)),""))</f>
        <v>Strengthen SRE / Observability using the selected maturity treatment, crisis scenario and evidence requirements.</v>
      </c>
      <c r="CI719" t="str">
        <f>IF($CE719="","",IFERROR(INDEX(_REF_Industry_Wording!$H$2:$H$70,MATCH($CE719,_REF_Industry_Wording!$A$2:$A$70,0)),""))</f>
        <v>SRE / Observability</v>
      </c>
      <c r="CJ719">
        <f>IF($CE719="","",IFERROR(INDEX(_REF_Industry_Wording!$I$2:$I$70,MATCH($CE719,_REF_Industry_Wording!$A$2:$A$70,0)),""))</f>
        <v>0</v>
      </c>
      <c r="CK719" t="str">
        <f>IF($CE719="","",IFERROR(INDEX(_REF_Industry_Wording!$J$2:$J$70,MATCH($CE719,_REF_Industry_Wording!$A$2:$A$70,0)),""))</f>
        <v>SRE / Observability</v>
      </c>
      <c r="CL719" t="str">
        <f t="shared" si="147"/>
        <v>Wording by industry=0; capability=CAP_SRE_OBSERVABILITY; risk label=SRE / Observability weakness</v>
      </c>
      <c r="CM719" t="str">
        <f t="shared" si="148"/>
        <v>RISK-ONT-0220</v>
      </c>
      <c r="CN719" t="str">
        <f t="shared" si="149"/>
        <v>RISK-EVT-0220</v>
      </c>
      <c r="CO719" t="str">
        <f t="shared" si="150"/>
        <v>Supply Chain|Technology and risk|SUPP-025|CAP_SRE_OBSERVABILITY</v>
      </c>
      <c r="CP719" t="str">
        <f t="shared" si="151"/>
        <v>Active</v>
      </c>
      <c r="CQ719" t="str">
        <f t="shared" si="152"/>
        <v>OK: capability-driven</v>
      </c>
      <c r="CR719" t="str">
        <f t="shared" si="153"/>
        <v>Risk ontology uses capability=CAP_SRE_OBSERVABILITY; bridge=BRG-093; treatment=TRT-SRE_OBSERVABILITY-INITIAL; wording=IW-ALL-SRE_OBSERVABILITY</v>
      </c>
      <c r="CS719" t="str">
        <f t="shared" si="154"/>
        <v>Yes</v>
      </c>
    </row>
    <row r="720" spans="1:97" ht="69.900000000000006" customHeight="1">
      <c r="A720">
        <f>IF(OR($B720&lt;&gt;"Yes",$BS720=""),"",SUMPRODUCT(($B$500:$B$923="Yes")*ISNUMBER($BS$500:$BS$923)*($BS$500:$BS$923&gt;$BS720))+COUNTIFS($B$500:$B720,"Yes",$BS$500:$BS720,$BS720))</f>
        <v>329</v>
      </c>
      <c r="B720" t="str">
        <f t="shared" si="123"/>
        <v>Yes</v>
      </c>
      <c r="C720" t="s">
        <v>1987</v>
      </c>
      <c r="D720" t="s">
        <v>2010</v>
      </c>
      <c r="E720" t="s">
        <v>2113</v>
      </c>
      <c r="F720" t="s">
        <v>7703</v>
      </c>
      <c r="G720" t="str">
        <f>IF($H720="","",IFERROR(INDEX(_ENGINE_Risk!$H$5:$M$499,MATCH($E720,_ENGINE_Risk!$A$5:$A$499,0),$H720+1),""))</f>
        <v>Severe risk: supply chain strategy aligned with business strategy and reviewed against scenarios and market shifts is not reliably controlled. During Supplier/logistics disruption; Demand shock; Geopolitical risk, the organization may face a supply network optimized for yesterday’s business, misaligned investments and slow strategic response with limited visibility or accountability.</v>
      </c>
      <c r="H720">
        <f>IFERROR(VALUE(INDEX(_DATA_Assessment_Model!$H$5:$H$884,MATCH($E720,_DATA_Assessment_Model!$A$5:$A$884,0))),"")</f>
        <v>0</v>
      </c>
      <c r="I720" t="str">
        <f>IF($H720="","",IFERROR(INDEX(_DATA_Assessment_Model!$L$5:$L$884,MATCH($E720,_DATA_Assessment_Model!$A$5:$A$884,0)),IF($H720&lt;=1,"Critical",IF($H720=2,"High",IF($H720=3,"Medium",IF($H720=4,"Low","Resilient"))))))</f>
        <v>Critical</v>
      </c>
      <c r="J720">
        <f t="shared" si="124"/>
        <v>3.6</v>
      </c>
      <c r="K720">
        <f t="shared" si="125"/>
        <v>3.9</v>
      </c>
      <c r="L720">
        <f t="shared" si="126"/>
        <v>14.04</v>
      </c>
      <c r="M720">
        <f t="shared" si="127"/>
        <v>3</v>
      </c>
      <c r="N720">
        <f>IF($H720="","",IFERROR(INDEX(_ENGINE_Risk!$T$5:$Y$499,MATCH($E720,_ENGINE_Risk!$A$5:$A$499,0),$H720+1),""))</f>
        <v>3</v>
      </c>
      <c r="O720">
        <f t="shared" si="128"/>
        <v>4</v>
      </c>
      <c r="P720">
        <f t="shared" si="129"/>
        <v>5</v>
      </c>
      <c r="Q720">
        <f t="shared" si="130"/>
        <v>4.6500000000000004</v>
      </c>
      <c r="R720">
        <f t="shared" si="131"/>
        <v>4</v>
      </c>
      <c r="S720">
        <f t="shared" si="132"/>
        <v>1.47</v>
      </c>
      <c r="T720" t="str">
        <f>IF($H720="","",IFERROR(INDEX(_ENGINE_Risk!$N$5:$S$499,MATCH($E720,_ENGINE_Risk!$A$5:$A$499,0),$H720+1),""))</f>
        <v>Create an immediate risk owner, minimum control baseline and fallback procedure for supply chain strategy aligned with business strategy and reviewed against scenarios and market shifts. Add it to the crisis risk register and collect first evidence.</v>
      </c>
      <c r="U720">
        <f>IFERROR(INDEX(_DATA_Assessment_Model!$G$5:$G$884,MATCH($E720,_DATA_Assessment_Model!$A$5:$A$884,0)),"")</f>
        <v>4</v>
      </c>
      <c r="V720">
        <f>IFERROR(INDEX(_DATA_Assessment_Model!$W$5:$W$884,MATCH($E720,_DATA_Assessment_Model!$A$5:$A$884,0)),"")</f>
        <v>3</v>
      </c>
      <c r="W720">
        <f>IFERROR(INDEX(_DATA_Assessment_Model!$X$5:$X$884,MATCH($E720,_DATA_Assessment_Model!$A$5:$A$884,0)),"")</f>
        <v>4</v>
      </c>
      <c r="X720">
        <f>IFERROR(INDEX(_DATA_Assessment_Model!$Y$5:$Y$884,MATCH($E720,_DATA_Assessment_Model!$A$5:$A$884,0)),"")</f>
        <v>5</v>
      </c>
      <c r="Y720" t="s">
        <v>2123</v>
      </c>
      <c r="Z720" t="s">
        <v>7718</v>
      </c>
      <c r="AA720" t="s">
        <v>7717</v>
      </c>
      <c r="AB720">
        <f>IFERROR(INDEX(_DATA_Assessment_Model!$U$5:$U$884,MATCH($E720,_DATA_Assessment_Model!$A$5:$A$884,0)),"")</f>
        <v>0</v>
      </c>
      <c r="AF720" t="s">
        <v>2114</v>
      </c>
      <c r="AO720">
        <f>IF($B720="Yes",IF(IFERROR(INDEX(_ENGINE_Crisis!$F$501:$F$517,MATCH($C720,_ENGINE_Crisis!$A$501:$A$517,0)),1)=0,1,IFERROR(INDEX(_ENGINE_Crisis!$F$501:$F$517,MATCH($C720,_ENGINE_Crisis!$A$501:$A$517,0)),1)),"")</f>
        <v>1</v>
      </c>
      <c r="AP720">
        <f t="shared" si="133"/>
        <v>14</v>
      </c>
      <c r="AQ720">
        <f t="shared" si="134"/>
        <v>1.47</v>
      </c>
      <c r="AR720" t="str">
        <f>IFERROR(INDEX(_ENGINE_Crisis!$E$41:$E$700,MATCH('Resilience &amp; Risk Scenario'!$B$6&amp;"|"&amp;$C720,_ENGINE_Crisis!$I$41:$I$700,0)),"")</f>
        <v/>
      </c>
      <c r="AS720" t="str">
        <f>IFERROR(INDEX(_ENGINE_Crisis!$G$41:$G$700,MATCH('Resilience &amp; Risk Scenario'!$B$6&amp;"|"&amp;$C720,_ENGINE_Crisis!$I$41:$I$700,0)),"")</f>
        <v/>
      </c>
      <c r="AT720" t="str">
        <f>IFERROR(INDEX(_ENGINE_Initiatives!$A$5:$A$532,MATCH(1,INDEX((_ENGINE_Initiatives!$B$5:$B$532=$C720)*(_ENGINE_Initiatives!$C$5:$C$532=$D720),0),0)),"")</f>
        <v/>
      </c>
      <c r="AU720" t="str">
        <f>IFERROR(INDEX(_ENGINE_Initiatives!$F$5:$F$532,MATCH(1,INDEX((_ENGINE_Initiatives!$B$5:$B$532=$C720)*(_ENGINE_Initiatives!$C$5:$C$532=$D720),0),0)),"")</f>
        <v/>
      </c>
      <c r="AV720" t="str">
        <f>IFERROR(INDEX(_ENGINE_Initiatives!$AC$5:$AC$532,MATCH(1,INDEX((_ENGINE_Initiatives!$B$5:$B$532=$C720)*(_ENGINE_Initiatives!$C$5:$C$532=$D720),0),0)),"")</f>
        <v/>
      </c>
      <c r="AW720" t="str">
        <f>IFERROR(INDEX(_ENGINE_Initiatives!$AE$5:$AE$532,MATCH(1,INDEX((_ENGINE_Initiatives!$B$5:$B$532=$C720)*(_ENGINE_Initiatives!$C$5:$C$532=$D720),0),0)),"")</f>
        <v/>
      </c>
      <c r="AX720">
        <f>IF($B720="Yes",IFERROR((IF(SUMIFS(_REF_Model_Content!$E$1:$E$613,_REF_Model_Content!$A$1:$A$613,PV_Canonical_Industry,_REF_Model_Content!$B$1:$B$613,$C720)=0,1,SUMIFS(_REF_Model_Content!$E$1:$E$613,_REF_Model_Content!$A$1:$A$613,PV_Canonical_Industry,_REF_Model_Content!$B$1:$B$613,$C720))*IFERROR($BU720,1)),1),"")</f>
        <v>1</v>
      </c>
      <c r="AY720">
        <f t="shared" si="135"/>
        <v>14</v>
      </c>
      <c r="AZ720">
        <f t="shared" si="136"/>
        <v>1.47</v>
      </c>
      <c r="BB720" t="str">
        <f>IF($H720="","",IFERROR(INDEX(_ENGINE_Risk!$AE$5:$AE$499,MATCH($E720,_ENGINE_Risk!$A$5:$A$499,0)),"Medium"))</f>
        <v>Medium</v>
      </c>
      <c r="BC720">
        <f t="shared" si="137"/>
        <v>1</v>
      </c>
      <c r="BD720">
        <f t="shared" si="138"/>
        <v>1.47</v>
      </c>
      <c r="BF720">
        <f>IF(OR($H720="",$J720=""),"",IFERROR(VLOOKUP(ROUND($J720,0),_CONFIG_Model_Settings!$D$154:$E$158,2,0),""))</f>
        <v>0.5</v>
      </c>
      <c r="BG720">
        <f>IFERROR(IF(OR($H720="",$K720=""),"",ROUND('Company Profile'!$B$113*INDEX(_CONFIG_Model_Settings!$H$154:$H$158,MATCH(ROUND($K720,0),_CONFIG_Model_Settings!$G$154:$G$158,0)),0)),0)</f>
        <v>875</v>
      </c>
      <c r="BH720">
        <f t="shared" si="139"/>
        <v>437.5</v>
      </c>
      <c r="BI720">
        <f t="shared" si="140"/>
        <v>437.5</v>
      </c>
      <c r="BJ720">
        <f>IF($E720="","",IFERROR(VLOOKUP($C720,_CONFIG_Risk_Calibration!$A$5:$H$21,2,FALSE),3))</f>
        <v>3</v>
      </c>
      <c r="BK720">
        <f>IF($E720="","",IFERROR(VLOOKUP($C720,_CONFIG_Risk_Calibration!$A$5:$H$21,3,FALSE),0))</f>
        <v>0</v>
      </c>
      <c r="BL720">
        <f>IF($E720="","",IFERROR(VLOOKUP($C720,_CONFIG_Risk_Calibration!$A$5:$H$21,4,FALSE),3))</f>
        <v>3</v>
      </c>
      <c r="BM720">
        <f>IF($E720="","",IFERROR(VLOOKUP($C720,_CONFIG_Risk_Calibration!$A$5:$H$21,5,FALSE),3))</f>
        <v>4</v>
      </c>
      <c r="BN720" t="str">
        <f>IF($E720="","",IFERROR(VLOOKUP($C720,_CONFIG_Risk_Calibration!$A$5:$H$21,6,FALSE),"No"))</f>
        <v>No</v>
      </c>
      <c r="BO720">
        <f>IF($E720="","",IFERROR(VLOOKUP($C720,_CONFIG_Risk_Calibration!$A$5:$H$21,7,FALSE),1))</f>
        <v>1</v>
      </c>
      <c r="BP720">
        <f>IF($H720="","",MAX(1,MIN(5,((6-$H720)*0.45)+($BJ720*0.2)+('Resilience &amp; Risk Scenario'!$B$7*0.15)+($BK720*0.1)+($BL720*0.05)+(IF($BB720="Fast",5,IF($BB720="Slow",1,3))*0.05))))</f>
        <v>3.6</v>
      </c>
      <c r="BQ720">
        <f t="shared" si="141"/>
        <v>3.9</v>
      </c>
      <c r="BR720">
        <f t="shared" si="142"/>
        <v>14.04</v>
      </c>
      <c r="BS720">
        <f t="shared" si="143"/>
        <v>15.44</v>
      </c>
      <c r="BT720" t="str">
        <f>IFERROR(INDEX(_REF_Capability_Bridge!$D:$D,MATCH($C720&amp;"|"&amp;$D720,_REF_Capability_Bridge!$J:$J,0)),IFERROR(INDEX(_REF_Capability_Bridge!$D:$D,MATCH($C720&amp;"|",_REF_Capability_Bridge!$J:$J,0)),"CAP_GENERIC"))</f>
        <v>CAP_BACKUP_RECOVERY</v>
      </c>
      <c r="BU720">
        <f>IFERROR(IFERROR(INDEX(_ENGINE_Relevance!$L:$L,MATCH($BT720,_ENGINE_Relevance!$B:$B,0)),1),1)</f>
        <v>1</v>
      </c>
      <c r="BV720" t="str">
        <f>IFERROR(INDEX(_REF_Capability_Bridge!$A:$A,MATCH($C720&amp;"|"&amp;$D720,_REF_Capability_Bridge!$J:$J,0)),IFERROR(INDEX(_REF_Capability_Bridge!$A:$A,MATCH($C720&amp;"|",_REF_Capability_Bridge!$J:$J,0)),"No bridge"))</f>
        <v>BRG-091</v>
      </c>
      <c r="BW720" t="str">
        <f t="shared" si="144"/>
        <v>Capability relevance neutral</v>
      </c>
      <c r="BX720" t="str">
        <f t="shared" si="145"/>
        <v>Initial / absent</v>
      </c>
      <c r="BY720" t="str">
        <f>IF($E720="","",IFERROR(INDEX(_REF_Treatment_Library!$A$2:$A$296,MATCH(1,INDEX((_REF_Treatment_Library!$B$2:$B$296=$BT720)*(_REF_Treatment_Library!$C$2:$C$296=PV_Canonical_Industry)*(_REF_Treatment_Library!$E$2:$E$296&lt;=N($H720))*(_REF_Treatment_Library!$F$2:$F$296&gt;=N($H720))*(_REF_Treatment_Library!$O$2:$O$296="Yes"),0),0)),IFERROR(INDEX(_REF_Treatment_Library!$A$2:$A$296,MATCH(1,INDEX((_REF_Treatment_Library!$B$2:$B$296=$BT720)*(_REF_Treatment_Library!$C$2:$C$296="All")*(_REF_Treatment_Library!$E$2:$E$296&lt;=N($H720))*(_REF_Treatment_Library!$F$2:$F$296&gt;=N($H720))*(_REF_Treatment_Library!$O$2:$O$296="Yes"),0),0)),"")))</f>
        <v>TRT-BACKUP_RECOVERY-INITIAL</v>
      </c>
      <c r="BZ720" t="str">
        <f>IF($BY720="","",IFERROR(INDEX(_REF_Treatment_Library!$H$2:$H$296,MATCH($BY720,_REF_Treatment_Library!$A$2:$A$296,0)),""))</f>
        <v>Establish</v>
      </c>
      <c r="CA720" t="str">
        <f>IF($BY720="","",IFERROR(INDEX(_REF_Treatment_Library!$I$2:$I$296,MATCH($BY720,_REF_Treatment_Library!$A$2:$A$296,0)),""))</f>
        <v>Establish baseline controls for Backup / recovery</v>
      </c>
      <c r="CB720" t="str">
        <f>IF($BY720="","",IFERROR(INDEX(_REF_Treatment_Library!$K$2:$K$296,MATCH($BY720,_REF_Treatment_Library!$A$2:$A$296,0)),""))</f>
        <v>Named owner, baseline process, minimum control checklist, first evidence package</v>
      </c>
      <c r="CC720" t="str">
        <f>IF($BY720="","",IFERROR(INDEX(_REF_Treatment_Library!$L$2:$L$296,MATCH($BY720,_REF_Treatment_Library!$A$2:$A$296,0)),""))</f>
        <v>Owner assigned; baseline evidence coverage; open critical gaps</v>
      </c>
      <c r="CD720" t="str">
        <f t="shared" si="146"/>
        <v>Treatment by capability=CAP_BACKUP_RECOVERY; band=Initial / absent; score=0.0; treatment=Establish</v>
      </c>
      <c r="CE720" t="str">
        <f>IF($E720="","",IFERROR(INDEX(_REF_Industry_Wording!$A$2:$A$70,MATCH(1,INDEX((_REF_Industry_Wording!$B$2:$B$70=$BT720)*(_REF_Industry_Wording!$C$2:$C$70=PV_Canonical_Industry)*(_REF_Industry_Wording!$K$2:$K$70="Yes"),0),0)),IFERROR(INDEX(_REF_Industry_Wording!$A$2:$A$70,MATCH(1,INDEX((_REF_Industry_Wording!$B$2:$B$70=$BT720)*(_REF_Industry_Wording!$C$2:$C$70="All")*(_REF_Industry_Wording!$K$2:$K$70="Yes"),0),0)),"")))</f>
        <v>IW-ALL-BACKUP_RECOVERY</v>
      </c>
      <c r="CF720" t="str">
        <f>IF($CE720="","",IFERROR(INDEX(_REF_Industry_Wording!$E$2:$E$70,MATCH($CE720,_REF_Industry_Wording!$A$2:$A$70,0)),""))</f>
        <v>Backup / recovery weakness</v>
      </c>
      <c r="CG720" t="str">
        <f>IF($CE720="","",IFERROR(INDEX(_REF_Industry_Wording!$F$2:$F$70,MATCH($CE720,_REF_Industry_Wording!$A$2:$A$70,0)),""))</f>
        <v>Strengthen Backup / recovery</v>
      </c>
      <c r="CH720" t="str">
        <f>IF($CE720="","",IFERROR(INDEX(_REF_Industry_Wording!$G$2:$G$70,MATCH($CE720,_REF_Industry_Wording!$A$2:$A$70,0)),""))</f>
        <v>Strengthen Backup / recovery using the selected maturity treatment, crisis scenario and evidence requirements.</v>
      </c>
      <c r="CI720" t="str">
        <f>IF($CE720="","",IFERROR(INDEX(_REF_Industry_Wording!$H$2:$H$70,MATCH($CE720,_REF_Industry_Wording!$A$2:$A$70,0)),""))</f>
        <v>Backup / recovery</v>
      </c>
      <c r="CJ720">
        <f>IF($CE720="","",IFERROR(INDEX(_REF_Industry_Wording!$I$2:$I$70,MATCH($CE720,_REF_Industry_Wording!$A$2:$A$70,0)),""))</f>
        <v>0</v>
      </c>
      <c r="CK720" t="str">
        <f>IF($CE720="","",IFERROR(INDEX(_REF_Industry_Wording!$J$2:$J$70,MATCH($CE720,_REF_Industry_Wording!$A$2:$A$70,0)),""))</f>
        <v>Backup / recovery</v>
      </c>
      <c r="CL720" t="str">
        <f t="shared" si="147"/>
        <v>Wording by industry=0; capability=CAP_BACKUP_RECOVERY; risk label=Backup / recovery weakness</v>
      </c>
      <c r="CM720" t="str">
        <f t="shared" si="148"/>
        <v>RISK-ONT-0221</v>
      </c>
      <c r="CN720" t="str">
        <f t="shared" si="149"/>
        <v>RISK-EVT-0221</v>
      </c>
      <c r="CO720" t="str">
        <f t="shared" si="150"/>
        <v>Supply Chain|Orchestration and resilience|SUPP-026|CAP_BACKUP_RECOVERY</v>
      </c>
      <c r="CP720" t="str">
        <f t="shared" si="151"/>
        <v>Active</v>
      </c>
      <c r="CQ720" t="str">
        <f t="shared" si="152"/>
        <v>OK: capability-driven</v>
      </c>
      <c r="CR720" t="str">
        <f t="shared" si="153"/>
        <v>Risk ontology uses capability=CAP_BACKUP_RECOVERY; bridge=BRG-091; treatment=TRT-BACKUP_RECOVERY-INITIAL; wording=IW-ALL-BACKUP_RECOVERY</v>
      </c>
      <c r="CS720" t="str">
        <f t="shared" si="154"/>
        <v>Yes</v>
      </c>
    </row>
    <row r="721" spans="1:97" ht="69.900000000000006" customHeight="1">
      <c r="A721">
        <f>IF(OR($B721&lt;&gt;"Yes",$BS721=""),"",SUMPRODUCT(($B$500:$B$923="Yes")*ISNUMBER($BS$500:$BS$923)*($BS$500:$BS$923&gt;$BS721))+COUNTIFS($B$500:$B721,"Yes",$BS$500:$BS721,$BS721))</f>
        <v>245</v>
      </c>
      <c r="B721" t="str">
        <f t="shared" si="123"/>
        <v>Yes</v>
      </c>
      <c r="C721" t="s">
        <v>1987</v>
      </c>
      <c r="D721" t="s">
        <v>2010</v>
      </c>
      <c r="E721" t="s">
        <v>2124</v>
      </c>
      <c r="F721" t="s">
        <v>7703</v>
      </c>
      <c r="G721" t="str">
        <f>IF($H721="","",IFERROR(INDEX(_ENGINE_Risk!$H$5:$M$499,MATCH($E721,_ENGINE_Risk!$A$5:$A$499,0),$H721+1),""))</f>
        <v>Severe risk: supply chain risk and resilience management with time-to-recovery and time-to-survive analysis for critical nodes is not reliably controlled. During Supplier/logistics disruption; War/security crisis; Natural disaster, the organization may face unknown recovery times, untested failure modes and cascading supply failures during crisis with limited visibility or accountability.</v>
      </c>
      <c r="H721">
        <f>IFERROR(VALUE(INDEX(_DATA_Assessment_Model!$H$5:$H$884,MATCH($E721,_DATA_Assessment_Model!$A$5:$A$884,0))),"")</f>
        <v>0</v>
      </c>
      <c r="I721" t="str">
        <f>IF($H721="","",IFERROR(INDEX(_DATA_Assessment_Model!$L$5:$L$884,MATCH($E721,_DATA_Assessment_Model!$A$5:$A$884,0)),IF($H721&lt;=1,"Critical",IF($H721=2,"High",IF($H721=3,"Medium",IF($H721=4,"Low","Resilient"))))))</f>
        <v>Critical</v>
      </c>
      <c r="J721">
        <f t="shared" si="124"/>
        <v>3.6</v>
      </c>
      <c r="K721">
        <f t="shared" si="125"/>
        <v>4.3499999999999996</v>
      </c>
      <c r="L721">
        <f t="shared" si="126"/>
        <v>15.659999999999998</v>
      </c>
      <c r="M721">
        <f t="shared" si="127"/>
        <v>4</v>
      </c>
      <c r="N721">
        <f>IF($H721="","",IFERROR(INDEX(_ENGINE_Risk!$T$5:$Y$499,MATCH($E721,_ENGINE_Risk!$A$5:$A$499,0),$H721+1),""))</f>
        <v>3</v>
      </c>
      <c r="O721">
        <f t="shared" si="128"/>
        <v>4.333333333333333</v>
      </c>
      <c r="P721">
        <f t="shared" si="129"/>
        <v>5</v>
      </c>
      <c r="Q721">
        <f t="shared" si="130"/>
        <v>5</v>
      </c>
      <c r="R721">
        <f t="shared" si="131"/>
        <v>4</v>
      </c>
      <c r="S721">
        <f t="shared" si="132"/>
        <v>1.53</v>
      </c>
      <c r="T721" t="str">
        <f>IF($H721="","",IFERROR(INDEX(_ENGINE_Risk!$N$5:$S$499,MATCH($E721,_ENGINE_Risk!$A$5:$A$499,0),$H721+1),""))</f>
        <v>Create an immediate risk owner, minimum control baseline and fallback procedure for supply chain risk and resilience management with time-to-recovery and time-to-survive analysis for critical nodes. Add it to the crisis risk register and collect first evidence.</v>
      </c>
      <c r="U721">
        <f>IFERROR(INDEX(_DATA_Assessment_Model!$G$5:$G$884,MATCH($E721,_DATA_Assessment_Model!$A$5:$A$884,0)),"")</f>
        <v>5</v>
      </c>
      <c r="V721">
        <f>IFERROR(INDEX(_DATA_Assessment_Model!$W$5:$W$884,MATCH($E721,_DATA_Assessment_Model!$A$5:$A$884,0)),"")</f>
        <v>4</v>
      </c>
      <c r="W721">
        <f>IFERROR(INDEX(_DATA_Assessment_Model!$X$5:$X$884,MATCH($E721,_DATA_Assessment_Model!$A$5:$A$884,0)),"")</f>
        <v>5</v>
      </c>
      <c r="X721">
        <f>IFERROR(INDEX(_DATA_Assessment_Model!$Y$5:$Y$884,MATCH($E721,_DATA_Assessment_Model!$A$5:$A$884,0)),"")</f>
        <v>4</v>
      </c>
      <c r="Y721" t="s">
        <v>2128</v>
      </c>
      <c r="Z721" t="s">
        <v>7734</v>
      </c>
      <c r="AA721" t="s">
        <v>7733</v>
      </c>
      <c r="AB721">
        <f>IFERROR(INDEX(_DATA_Assessment_Model!$U$5:$U$884,MATCH($E721,_DATA_Assessment_Model!$A$5:$A$884,0)),"")</f>
        <v>0</v>
      </c>
      <c r="AF721" t="s">
        <v>2125</v>
      </c>
      <c r="AO721">
        <f>IF($B721="Yes",IF(IFERROR(INDEX(_ENGINE_Crisis!$F$501:$F$517,MATCH($C721,_ENGINE_Crisis!$A$501:$A$517,0)),1)=0,1,IFERROR(INDEX(_ENGINE_Crisis!$F$501:$F$517,MATCH($C721,_ENGINE_Crisis!$A$501:$A$517,0)),1)),"")</f>
        <v>1</v>
      </c>
      <c r="AP721">
        <f t="shared" si="133"/>
        <v>15.7</v>
      </c>
      <c r="AQ721">
        <f t="shared" si="134"/>
        <v>1.53</v>
      </c>
      <c r="AR721" t="str">
        <f>IFERROR(INDEX(_ENGINE_Crisis!$E$41:$E$700,MATCH('Resilience &amp; Risk Scenario'!$B$6&amp;"|"&amp;$C721,_ENGINE_Crisis!$I$41:$I$700,0)),"")</f>
        <v/>
      </c>
      <c r="AS721" t="str">
        <f>IFERROR(INDEX(_ENGINE_Crisis!$G$41:$G$700,MATCH('Resilience &amp; Risk Scenario'!$B$6&amp;"|"&amp;$C721,_ENGINE_Crisis!$I$41:$I$700,0)),"")</f>
        <v/>
      </c>
      <c r="AT721" t="str">
        <f>IFERROR(INDEX(_ENGINE_Initiatives!$A$5:$A$532,MATCH(1,INDEX((_ENGINE_Initiatives!$B$5:$B$532=$C721)*(_ENGINE_Initiatives!$C$5:$C$532=$D721),0),0)),"")</f>
        <v/>
      </c>
      <c r="AU721" t="str">
        <f>IFERROR(INDEX(_ENGINE_Initiatives!$F$5:$F$532,MATCH(1,INDEX((_ENGINE_Initiatives!$B$5:$B$532=$C721)*(_ENGINE_Initiatives!$C$5:$C$532=$D721),0),0)),"")</f>
        <v/>
      </c>
      <c r="AV721" t="str">
        <f>IFERROR(INDEX(_ENGINE_Initiatives!$AC$5:$AC$532,MATCH(1,INDEX((_ENGINE_Initiatives!$B$5:$B$532=$C721)*(_ENGINE_Initiatives!$C$5:$C$532=$D721),0),0)),"")</f>
        <v/>
      </c>
      <c r="AW721" t="str">
        <f>IFERROR(INDEX(_ENGINE_Initiatives!$AE$5:$AE$532,MATCH(1,INDEX((_ENGINE_Initiatives!$B$5:$B$532=$C721)*(_ENGINE_Initiatives!$C$5:$C$532=$D721),0),0)),"")</f>
        <v/>
      </c>
      <c r="AX721">
        <f>IF($B721="Yes",IFERROR((IF(SUMIFS(_REF_Model_Content!$E$1:$E$613,_REF_Model_Content!$A$1:$A$613,PV_Canonical_Industry,_REF_Model_Content!$B$1:$B$613,$C721)=0,1,SUMIFS(_REF_Model_Content!$E$1:$E$613,_REF_Model_Content!$A$1:$A$613,PV_Canonical_Industry,_REF_Model_Content!$B$1:$B$613,$C721))*IFERROR($BU721,1)),1),"")</f>
        <v>1</v>
      </c>
      <c r="AY721">
        <f t="shared" si="135"/>
        <v>15.7</v>
      </c>
      <c r="AZ721">
        <f t="shared" si="136"/>
        <v>1.53</v>
      </c>
      <c r="BB721" t="str">
        <f>IF($H721="","",IFERROR(INDEX(_ENGINE_Risk!$AE$5:$AE$499,MATCH($E721,_ENGINE_Risk!$A$5:$A$499,0)),"Medium"))</f>
        <v>Medium</v>
      </c>
      <c r="BC721">
        <f t="shared" si="137"/>
        <v>1</v>
      </c>
      <c r="BD721">
        <f t="shared" si="138"/>
        <v>1.53</v>
      </c>
      <c r="BF721">
        <f>IF(OR($H721="",$J721=""),"",IFERROR(VLOOKUP(ROUND($J721,0),_CONFIG_Model_Settings!$D$154:$E$158,2,0),""))</f>
        <v>0.5</v>
      </c>
      <c r="BG721">
        <f>IFERROR(IF(OR($H721="",$K721=""),"",ROUND('Company Profile'!$B$113*INDEX(_CONFIG_Model_Settings!$H$154:$H$158,MATCH(ROUND($K721,0),_CONFIG_Model_Settings!$G$154:$G$158,0)),0)),0)</f>
        <v>875</v>
      </c>
      <c r="BH721">
        <f t="shared" si="139"/>
        <v>437.5</v>
      </c>
      <c r="BI721">
        <f t="shared" si="140"/>
        <v>437.5</v>
      </c>
      <c r="BJ721">
        <f>IF($E721="","",IFERROR(VLOOKUP($C721,_CONFIG_Risk_Calibration!$A$5:$H$21,2,FALSE),3))</f>
        <v>3</v>
      </c>
      <c r="BK721">
        <f>IF($E721="","",IFERROR(VLOOKUP($C721,_CONFIG_Risk_Calibration!$A$5:$H$21,3,FALSE),0))</f>
        <v>0</v>
      </c>
      <c r="BL721">
        <f>IF($E721="","",IFERROR(VLOOKUP($C721,_CONFIG_Risk_Calibration!$A$5:$H$21,4,FALSE),3))</f>
        <v>3</v>
      </c>
      <c r="BM721">
        <f>IF($E721="","",IFERROR(VLOOKUP($C721,_CONFIG_Risk_Calibration!$A$5:$H$21,5,FALSE),3))</f>
        <v>4</v>
      </c>
      <c r="BN721" t="str">
        <f>IF($E721="","",IFERROR(VLOOKUP($C721,_CONFIG_Risk_Calibration!$A$5:$H$21,6,FALSE),"No"))</f>
        <v>No</v>
      </c>
      <c r="BO721">
        <f>IF($E721="","",IFERROR(VLOOKUP($C721,_CONFIG_Risk_Calibration!$A$5:$H$21,7,FALSE),1))</f>
        <v>1</v>
      </c>
      <c r="BP721">
        <f>IF($H721="","",MAX(1,MIN(5,((6-$H721)*0.45)+($BJ721*0.2)+('Resilience &amp; Risk Scenario'!$B$7*0.15)+($BK721*0.1)+($BL721*0.05)+(IF($BB721="Fast",5,IF($BB721="Slow",1,3))*0.05))))</f>
        <v>3.6</v>
      </c>
      <c r="BQ721">
        <f t="shared" si="141"/>
        <v>4.3499999999999996</v>
      </c>
      <c r="BR721">
        <f t="shared" si="142"/>
        <v>15.66</v>
      </c>
      <c r="BS721">
        <f t="shared" si="143"/>
        <v>17.23</v>
      </c>
      <c r="BT721" t="str">
        <f>IFERROR(INDEX(_REF_Capability_Bridge!$D:$D,MATCH($C721&amp;"|"&amp;$D721,_REF_Capability_Bridge!$J:$J,0)),IFERROR(INDEX(_REF_Capability_Bridge!$D:$D,MATCH($C721&amp;"|",_REF_Capability_Bridge!$J:$J,0)),"CAP_GENERIC"))</f>
        <v>CAP_BACKUP_RECOVERY</v>
      </c>
      <c r="BU721">
        <f>IFERROR(IFERROR(INDEX(_ENGINE_Relevance!$L:$L,MATCH($BT721,_ENGINE_Relevance!$B:$B,0)),1),1)</f>
        <v>1</v>
      </c>
      <c r="BV721" t="str">
        <f>IFERROR(INDEX(_REF_Capability_Bridge!$A:$A,MATCH($C721&amp;"|"&amp;$D721,_REF_Capability_Bridge!$J:$J,0)),IFERROR(INDEX(_REF_Capability_Bridge!$A:$A,MATCH($C721&amp;"|",_REF_Capability_Bridge!$J:$J,0)),"No bridge"))</f>
        <v>BRG-091</v>
      </c>
      <c r="BW721" t="str">
        <f t="shared" si="144"/>
        <v>Capability relevance neutral</v>
      </c>
      <c r="BX721" t="str">
        <f t="shared" si="145"/>
        <v>Initial / absent</v>
      </c>
      <c r="BY721" t="str">
        <f>IF($E721="","",IFERROR(INDEX(_REF_Treatment_Library!$A$2:$A$296,MATCH(1,INDEX((_REF_Treatment_Library!$B$2:$B$296=$BT721)*(_REF_Treatment_Library!$C$2:$C$296=PV_Canonical_Industry)*(_REF_Treatment_Library!$E$2:$E$296&lt;=N($H721))*(_REF_Treatment_Library!$F$2:$F$296&gt;=N($H721))*(_REF_Treatment_Library!$O$2:$O$296="Yes"),0),0)),IFERROR(INDEX(_REF_Treatment_Library!$A$2:$A$296,MATCH(1,INDEX((_REF_Treatment_Library!$B$2:$B$296=$BT721)*(_REF_Treatment_Library!$C$2:$C$296="All")*(_REF_Treatment_Library!$E$2:$E$296&lt;=N($H721))*(_REF_Treatment_Library!$F$2:$F$296&gt;=N($H721))*(_REF_Treatment_Library!$O$2:$O$296="Yes"),0),0)),"")))</f>
        <v>TRT-BACKUP_RECOVERY-INITIAL</v>
      </c>
      <c r="BZ721" t="str">
        <f>IF($BY721="","",IFERROR(INDEX(_REF_Treatment_Library!$H$2:$H$296,MATCH($BY721,_REF_Treatment_Library!$A$2:$A$296,0)),""))</f>
        <v>Establish</v>
      </c>
      <c r="CA721" t="str">
        <f>IF($BY721="","",IFERROR(INDEX(_REF_Treatment_Library!$I$2:$I$296,MATCH($BY721,_REF_Treatment_Library!$A$2:$A$296,0)),""))</f>
        <v>Establish baseline controls for Backup / recovery</v>
      </c>
      <c r="CB721" t="str">
        <f>IF($BY721="","",IFERROR(INDEX(_REF_Treatment_Library!$K$2:$K$296,MATCH($BY721,_REF_Treatment_Library!$A$2:$A$296,0)),""))</f>
        <v>Named owner, baseline process, minimum control checklist, first evidence package</v>
      </c>
      <c r="CC721" t="str">
        <f>IF($BY721="","",IFERROR(INDEX(_REF_Treatment_Library!$L$2:$L$296,MATCH($BY721,_REF_Treatment_Library!$A$2:$A$296,0)),""))</f>
        <v>Owner assigned; baseline evidence coverage; open critical gaps</v>
      </c>
      <c r="CD721" t="str">
        <f t="shared" si="146"/>
        <v>Treatment by capability=CAP_BACKUP_RECOVERY; band=Initial / absent; score=0.0; treatment=Establish</v>
      </c>
      <c r="CE721" t="str">
        <f>IF($E721="","",IFERROR(INDEX(_REF_Industry_Wording!$A$2:$A$70,MATCH(1,INDEX((_REF_Industry_Wording!$B$2:$B$70=$BT721)*(_REF_Industry_Wording!$C$2:$C$70=PV_Canonical_Industry)*(_REF_Industry_Wording!$K$2:$K$70="Yes"),0),0)),IFERROR(INDEX(_REF_Industry_Wording!$A$2:$A$70,MATCH(1,INDEX((_REF_Industry_Wording!$B$2:$B$70=$BT721)*(_REF_Industry_Wording!$C$2:$C$70="All")*(_REF_Industry_Wording!$K$2:$K$70="Yes"),0),0)),"")))</f>
        <v>IW-ALL-BACKUP_RECOVERY</v>
      </c>
      <c r="CF721" t="str">
        <f>IF($CE721="","",IFERROR(INDEX(_REF_Industry_Wording!$E$2:$E$70,MATCH($CE721,_REF_Industry_Wording!$A$2:$A$70,0)),""))</f>
        <v>Backup / recovery weakness</v>
      </c>
      <c r="CG721" t="str">
        <f>IF($CE721="","",IFERROR(INDEX(_REF_Industry_Wording!$F$2:$F$70,MATCH($CE721,_REF_Industry_Wording!$A$2:$A$70,0)),""))</f>
        <v>Strengthen Backup / recovery</v>
      </c>
      <c r="CH721" t="str">
        <f>IF($CE721="","",IFERROR(INDEX(_REF_Industry_Wording!$G$2:$G$70,MATCH($CE721,_REF_Industry_Wording!$A$2:$A$70,0)),""))</f>
        <v>Strengthen Backup / recovery using the selected maturity treatment, crisis scenario and evidence requirements.</v>
      </c>
      <c r="CI721" t="str">
        <f>IF($CE721="","",IFERROR(INDEX(_REF_Industry_Wording!$H$2:$H$70,MATCH($CE721,_REF_Industry_Wording!$A$2:$A$70,0)),""))</f>
        <v>Backup / recovery</v>
      </c>
      <c r="CJ721">
        <f>IF($CE721="","",IFERROR(INDEX(_REF_Industry_Wording!$I$2:$I$70,MATCH($CE721,_REF_Industry_Wording!$A$2:$A$70,0)),""))</f>
        <v>0</v>
      </c>
      <c r="CK721" t="str">
        <f>IF($CE721="","",IFERROR(INDEX(_REF_Industry_Wording!$J$2:$J$70,MATCH($CE721,_REF_Industry_Wording!$A$2:$A$70,0)),""))</f>
        <v>Backup / recovery</v>
      </c>
      <c r="CL721" t="str">
        <f t="shared" si="147"/>
        <v>Wording by industry=0; capability=CAP_BACKUP_RECOVERY; risk label=Backup / recovery weakness</v>
      </c>
      <c r="CM721" t="str">
        <f t="shared" si="148"/>
        <v>RISK-ONT-0222</v>
      </c>
      <c r="CN721" t="str">
        <f t="shared" si="149"/>
        <v>RISK-EVT-0222</v>
      </c>
      <c r="CO721" t="str">
        <f t="shared" si="150"/>
        <v>Supply Chain|Orchestration and resilience|SUPP-027|CAP_BACKUP_RECOVERY</v>
      </c>
      <c r="CP721" t="str">
        <f t="shared" si="151"/>
        <v>Active</v>
      </c>
      <c r="CQ721" t="str">
        <f t="shared" si="152"/>
        <v>OK: capability-driven</v>
      </c>
      <c r="CR721" t="str">
        <f t="shared" si="153"/>
        <v>Risk ontology uses capability=CAP_BACKUP_RECOVERY; bridge=BRG-091; treatment=TRT-BACKUP_RECOVERY-INITIAL; wording=IW-ALL-BACKUP_RECOVERY</v>
      </c>
      <c r="CS721" t="str">
        <f t="shared" si="154"/>
        <v>Yes</v>
      </c>
    </row>
    <row r="722" spans="1:97" ht="69.900000000000006" customHeight="1">
      <c r="A722">
        <f>IF(OR($B722&lt;&gt;"Yes",$BS722=""),"",SUMPRODUCT(($B$500:$B$923="Yes")*ISNUMBER($BS$500:$BS$923)*($BS$500:$BS$923&gt;$BS722))+COUNTIFS($B$500:$B722,"Yes",$BS$500:$BS722,$BS722))</f>
        <v>344</v>
      </c>
      <c r="B722" t="str">
        <f t="shared" si="123"/>
        <v>Yes</v>
      </c>
      <c r="C722" t="s">
        <v>1987</v>
      </c>
      <c r="D722" t="s">
        <v>2010</v>
      </c>
      <c r="E722" t="s">
        <v>2129</v>
      </c>
      <c r="F722" t="s">
        <v>7703</v>
      </c>
      <c r="G722" t="str">
        <f>IF($H722="","",IFERROR(INDEX(_ENGINE_Risk!$H$5:$M$499,MATCH($E722,_ENGINE_Risk!$A$5:$A$499,0),$H722+1),""))</f>
        <v>Severe risk: supply chain agility measurement covering upside and downside flexibility and adaptability metrics is not reliably controlled. During Demand shock; Supplier/logistics disruption, the organization may face slow reaction to demand and supply swings and unquantified flexibility limits with limited visibility or accountability.</v>
      </c>
      <c r="H722">
        <f>IFERROR(VALUE(INDEX(_DATA_Assessment_Model!$H$5:$H$884,MATCH($E722,_DATA_Assessment_Model!$A$5:$A$884,0))),"")</f>
        <v>0</v>
      </c>
      <c r="I722" t="str">
        <f>IF($H722="","",IFERROR(INDEX(_DATA_Assessment_Model!$L$5:$L$884,MATCH($E722,_DATA_Assessment_Model!$A$5:$A$884,0)),IF($H722&lt;=1,"Critical",IF($H722=2,"High",IF($H722=3,"Medium",IF($H722=4,"Low","Resilient"))))))</f>
        <v>Critical</v>
      </c>
      <c r="J722">
        <f t="shared" si="124"/>
        <v>3.6</v>
      </c>
      <c r="K722">
        <f t="shared" si="125"/>
        <v>3.7000000000000006</v>
      </c>
      <c r="L722">
        <f t="shared" si="126"/>
        <v>13.320000000000002</v>
      </c>
      <c r="M722">
        <f t="shared" si="127"/>
        <v>3</v>
      </c>
      <c r="N722">
        <f>IF($H722="","",IFERROR(INDEX(_ENGINE_Risk!$T$5:$Y$499,MATCH($E722,_ENGINE_Risk!$A$5:$A$499,0),$H722+1),""))</f>
        <v>3</v>
      </c>
      <c r="O722">
        <f t="shared" si="128"/>
        <v>3.6666666666666665</v>
      </c>
      <c r="P722">
        <f t="shared" si="129"/>
        <v>5</v>
      </c>
      <c r="Q722">
        <f t="shared" si="130"/>
        <v>4.6500000000000004</v>
      </c>
      <c r="R722">
        <f t="shared" si="131"/>
        <v>4</v>
      </c>
      <c r="S722">
        <f t="shared" si="132"/>
        <v>1.44</v>
      </c>
      <c r="T722" t="str">
        <f>IF($H722="","",IFERROR(INDEX(_ENGINE_Risk!$N$5:$S$499,MATCH($E722,_ENGINE_Risk!$A$5:$A$499,0),$H722+1),""))</f>
        <v>Create an immediate risk owner, minimum control baseline and fallback procedure for supply chain agility measurement covering upside and downside flexibility and adaptability metrics. Add it to the crisis risk register and collect first evidence.</v>
      </c>
      <c r="U722">
        <f>IFERROR(INDEX(_DATA_Assessment_Model!$G$5:$G$884,MATCH($E722,_DATA_Assessment_Model!$A$5:$A$884,0)),"")</f>
        <v>3</v>
      </c>
      <c r="V722">
        <f>IFERROR(INDEX(_DATA_Assessment_Model!$W$5:$W$884,MATCH($E722,_DATA_Assessment_Model!$A$5:$A$884,0)),"")</f>
        <v>4</v>
      </c>
      <c r="W722">
        <f>IFERROR(INDEX(_DATA_Assessment_Model!$X$5:$X$884,MATCH($E722,_DATA_Assessment_Model!$A$5:$A$884,0)),"")</f>
        <v>4</v>
      </c>
      <c r="X722">
        <f>IFERROR(INDEX(_DATA_Assessment_Model!$Y$5:$Y$884,MATCH($E722,_DATA_Assessment_Model!$A$5:$A$884,0)),"")</f>
        <v>4</v>
      </c>
      <c r="Y722" t="s">
        <v>2139</v>
      </c>
      <c r="Z722" t="s">
        <v>7750</v>
      </c>
      <c r="AA722" t="s">
        <v>7749</v>
      </c>
      <c r="AB722">
        <f>IFERROR(INDEX(_DATA_Assessment_Model!$U$5:$U$884,MATCH($E722,_DATA_Assessment_Model!$A$5:$A$884,0)),"")</f>
        <v>0</v>
      </c>
      <c r="AF722" t="s">
        <v>2130</v>
      </c>
      <c r="AO722">
        <f>IF($B722="Yes",IF(IFERROR(INDEX(_ENGINE_Crisis!$F$501:$F$517,MATCH($C722,_ENGINE_Crisis!$A$501:$A$517,0)),1)=0,1,IFERROR(INDEX(_ENGINE_Crisis!$F$501:$F$517,MATCH($C722,_ENGINE_Crisis!$A$501:$A$517,0)),1)),"")</f>
        <v>1</v>
      </c>
      <c r="AP722">
        <f t="shared" si="133"/>
        <v>13.3</v>
      </c>
      <c r="AQ722">
        <f t="shared" si="134"/>
        <v>1.44</v>
      </c>
      <c r="AR722" t="str">
        <f>IFERROR(INDEX(_ENGINE_Crisis!$E$41:$E$700,MATCH('Resilience &amp; Risk Scenario'!$B$6&amp;"|"&amp;$C722,_ENGINE_Crisis!$I$41:$I$700,0)),"")</f>
        <v/>
      </c>
      <c r="AS722" t="str">
        <f>IFERROR(INDEX(_ENGINE_Crisis!$G$41:$G$700,MATCH('Resilience &amp; Risk Scenario'!$B$6&amp;"|"&amp;$C722,_ENGINE_Crisis!$I$41:$I$700,0)),"")</f>
        <v/>
      </c>
      <c r="AT722" t="str">
        <f>IFERROR(INDEX(_ENGINE_Initiatives!$A$5:$A$532,MATCH(1,INDEX((_ENGINE_Initiatives!$B$5:$B$532=$C722)*(_ENGINE_Initiatives!$C$5:$C$532=$D722),0),0)),"")</f>
        <v/>
      </c>
      <c r="AU722" t="str">
        <f>IFERROR(INDEX(_ENGINE_Initiatives!$F$5:$F$532,MATCH(1,INDEX((_ENGINE_Initiatives!$B$5:$B$532=$C722)*(_ENGINE_Initiatives!$C$5:$C$532=$D722),0),0)),"")</f>
        <v/>
      </c>
      <c r="AV722" t="str">
        <f>IFERROR(INDEX(_ENGINE_Initiatives!$AC$5:$AC$532,MATCH(1,INDEX((_ENGINE_Initiatives!$B$5:$B$532=$C722)*(_ENGINE_Initiatives!$C$5:$C$532=$D722),0),0)),"")</f>
        <v/>
      </c>
      <c r="AW722" t="str">
        <f>IFERROR(INDEX(_ENGINE_Initiatives!$AE$5:$AE$532,MATCH(1,INDEX((_ENGINE_Initiatives!$B$5:$B$532=$C722)*(_ENGINE_Initiatives!$C$5:$C$532=$D722),0),0)),"")</f>
        <v/>
      </c>
      <c r="AX722">
        <f>IF($B722="Yes",IFERROR((IF(SUMIFS(_REF_Model_Content!$E$1:$E$613,_REF_Model_Content!$A$1:$A$613,PV_Canonical_Industry,_REF_Model_Content!$B$1:$B$613,$C722)=0,1,SUMIFS(_REF_Model_Content!$E$1:$E$613,_REF_Model_Content!$A$1:$A$613,PV_Canonical_Industry,_REF_Model_Content!$B$1:$B$613,$C722))*IFERROR($BU722,1)),1),"")</f>
        <v>1</v>
      </c>
      <c r="AY722">
        <f t="shared" si="135"/>
        <v>13.3</v>
      </c>
      <c r="AZ722">
        <f t="shared" si="136"/>
        <v>1.44</v>
      </c>
      <c r="BB722" t="str">
        <f>IF($H722="","",IFERROR(INDEX(_ENGINE_Risk!$AE$5:$AE$499,MATCH($E722,_ENGINE_Risk!$A$5:$A$499,0)),"Medium"))</f>
        <v>Medium</v>
      </c>
      <c r="BC722">
        <f t="shared" si="137"/>
        <v>1</v>
      </c>
      <c r="BD722">
        <f t="shared" si="138"/>
        <v>1.44</v>
      </c>
      <c r="BF722">
        <f>IF(OR($H722="",$J722=""),"",IFERROR(VLOOKUP(ROUND($J722,0),_CONFIG_Model_Settings!$D$154:$E$158,2,0),""))</f>
        <v>0.5</v>
      </c>
      <c r="BG722">
        <f>IFERROR(IF(OR($H722="",$K722=""),"",ROUND('Company Profile'!$B$113*INDEX(_CONFIG_Model_Settings!$H$154:$H$158,MATCH(ROUND($K722,0),_CONFIG_Model_Settings!$G$154:$G$158,0)),0)),0)</f>
        <v>875</v>
      </c>
      <c r="BH722">
        <f t="shared" si="139"/>
        <v>437.5</v>
      </c>
      <c r="BI722">
        <f t="shared" si="140"/>
        <v>437.5</v>
      </c>
      <c r="BJ722">
        <f>IF($E722="","",IFERROR(VLOOKUP($C722,_CONFIG_Risk_Calibration!$A$5:$H$21,2,FALSE),3))</f>
        <v>3</v>
      </c>
      <c r="BK722">
        <f>IF($E722="","",IFERROR(VLOOKUP($C722,_CONFIG_Risk_Calibration!$A$5:$H$21,3,FALSE),0))</f>
        <v>0</v>
      </c>
      <c r="BL722">
        <f>IF($E722="","",IFERROR(VLOOKUP($C722,_CONFIG_Risk_Calibration!$A$5:$H$21,4,FALSE),3))</f>
        <v>3</v>
      </c>
      <c r="BM722">
        <f>IF($E722="","",IFERROR(VLOOKUP($C722,_CONFIG_Risk_Calibration!$A$5:$H$21,5,FALSE),3))</f>
        <v>4</v>
      </c>
      <c r="BN722" t="str">
        <f>IF($E722="","",IFERROR(VLOOKUP($C722,_CONFIG_Risk_Calibration!$A$5:$H$21,6,FALSE),"No"))</f>
        <v>No</v>
      </c>
      <c r="BO722">
        <f>IF($E722="","",IFERROR(VLOOKUP($C722,_CONFIG_Risk_Calibration!$A$5:$H$21,7,FALSE),1))</f>
        <v>1</v>
      </c>
      <c r="BP722">
        <f>IF($H722="","",MAX(1,MIN(5,((6-$H722)*0.45)+($BJ722*0.2)+('Resilience &amp; Risk Scenario'!$B$7*0.15)+($BK722*0.1)+($BL722*0.05)+(IF($BB722="Fast",5,IF($BB722="Slow",1,3))*0.05))))</f>
        <v>3.6</v>
      </c>
      <c r="BQ722">
        <f t="shared" si="141"/>
        <v>3.7000000000000006</v>
      </c>
      <c r="BR722">
        <f t="shared" si="142"/>
        <v>13.32</v>
      </c>
      <c r="BS722">
        <f t="shared" si="143"/>
        <v>14.65</v>
      </c>
      <c r="BT722" t="str">
        <f>IFERROR(INDEX(_REF_Capability_Bridge!$D:$D,MATCH($C722&amp;"|"&amp;$D722,_REF_Capability_Bridge!$J:$J,0)),IFERROR(INDEX(_REF_Capability_Bridge!$D:$D,MATCH($C722&amp;"|",_REF_Capability_Bridge!$J:$J,0)),"CAP_GENERIC"))</f>
        <v>CAP_BACKUP_RECOVERY</v>
      </c>
      <c r="BU722">
        <f>IFERROR(IFERROR(INDEX(_ENGINE_Relevance!$L:$L,MATCH($BT722,_ENGINE_Relevance!$B:$B,0)),1),1)</f>
        <v>1</v>
      </c>
      <c r="BV722" t="str">
        <f>IFERROR(INDEX(_REF_Capability_Bridge!$A:$A,MATCH($C722&amp;"|"&amp;$D722,_REF_Capability_Bridge!$J:$J,0)),IFERROR(INDEX(_REF_Capability_Bridge!$A:$A,MATCH($C722&amp;"|",_REF_Capability_Bridge!$J:$J,0)),"No bridge"))</f>
        <v>BRG-091</v>
      </c>
      <c r="BW722" t="str">
        <f t="shared" si="144"/>
        <v>Capability relevance neutral</v>
      </c>
      <c r="BX722" t="str">
        <f t="shared" si="145"/>
        <v>Initial / absent</v>
      </c>
      <c r="BY722" t="str">
        <f>IF($E722="","",IFERROR(INDEX(_REF_Treatment_Library!$A$2:$A$296,MATCH(1,INDEX((_REF_Treatment_Library!$B$2:$B$296=$BT722)*(_REF_Treatment_Library!$C$2:$C$296=PV_Canonical_Industry)*(_REF_Treatment_Library!$E$2:$E$296&lt;=N($H722))*(_REF_Treatment_Library!$F$2:$F$296&gt;=N($H722))*(_REF_Treatment_Library!$O$2:$O$296="Yes"),0),0)),IFERROR(INDEX(_REF_Treatment_Library!$A$2:$A$296,MATCH(1,INDEX((_REF_Treatment_Library!$B$2:$B$296=$BT722)*(_REF_Treatment_Library!$C$2:$C$296="All")*(_REF_Treatment_Library!$E$2:$E$296&lt;=N($H722))*(_REF_Treatment_Library!$F$2:$F$296&gt;=N($H722))*(_REF_Treatment_Library!$O$2:$O$296="Yes"),0),0)),"")))</f>
        <v>TRT-BACKUP_RECOVERY-INITIAL</v>
      </c>
      <c r="BZ722" t="str">
        <f>IF($BY722="","",IFERROR(INDEX(_REF_Treatment_Library!$H$2:$H$296,MATCH($BY722,_REF_Treatment_Library!$A$2:$A$296,0)),""))</f>
        <v>Establish</v>
      </c>
      <c r="CA722" t="str">
        <f>IF($BY722="","",IFERROR(INDEX(_REF_Treatment_Library!$I$2:$I$296,MATCH($BY722,_REF_Treatment_Library!$A$2:$A$296,0)),""))</f>
        <v>Establish baseline controls for Backup / recovery</v>
      </c>
      <c r="CB722" t="str">
        <f>IF($BY722="","",IFERROR(INDEX(_REF_Treatment_Library!$K$2:$K$296,MATCH($BY722,_REF_Treatment_Library!$A$2:$A$296,0)),""))</f>
        <v>Named owner, baseline process, minimum control checklist, first evidence package</v>
      </c>
      <c r="CC722" t="str">
        <f>IF($BY722="","",IFERROR(INDEX(_REF_Treatment_Library!$L$2:$L$296,MATCH($BY722,_REF_Treatment_Library!$A$2:$A$296,0)),""))</f>
        <v>Owner assigned; baseline evidence coverage; open critical gaps</v>
      </c>
      <c r="CD722" t="str">
        <f t="shared" si="146"/>
        <v>Treatment by capability=CAP_BACKUP_RECOVERY; band=Initial / absent; score=0.0; treatment=Establish</v>
      </c>
      <c r="CE722" t="str">
        <f>IF($E722="","",IFERROR(INDEX(_REF_Industry_Wording!$A$2:$A$70,MATCH(1,INDEX((_REF_Industry_Wording!$B$2:$B$70=$BT722)*(_REF_Industry_Wording!$C$2:$C$70=PV_Canonical_Industry)*(_REF_Industry_Wording!$K$2:$K$70="Yes"),0),0)),IFERROR(INDEX(_REF_Industry_Wording!$A$2:$A$70,MATCH(1,INDEX((_REF_Industry_Wording!$B$2:$B$70=$BT722)*(_REF_Industry_Wording!$C$2:$C$70="All")*(_REF_Industry_Wording!$K$2:$K$70="Yes"),0),0)),"")))</f>
        <v>IW-ALL-BACKUP_RECOVERY</v>
      </c>
      <c r="CF722" t="str">
        <f>IF($CE722="","",IFERROR(INDEX(_REF_Industry_Wording!$E$2:$E$70,MATCH($CE722,_REF_Industry_Wording!$A$2:$A$70,0)),""))</f>
        <v>Backup / recovery weakness</v>
      </c>
      <c r="CG722" t="str">
        <f>IF($CE722="","",IFERROR(INDEX(_REF_Industry_Wording!$F$2:$F$70,MATCH($CE722,_REF_Industry_Wording!$A$2:$A$70,0)),""))</f>
        <v>Strengthen Backup / recovery</v>
      </c>
      <c r="CH722" t="str">
        <f>IF($CE722="","",IFERROR(INDEX(_REF_Industry_Wording!$G$2:$G$70,MATCH($CE722,_REF_Industry_Wording!$A$2:$A$70,0)),""))</f>
        <v>Strengthen Backup / recovery using the selected maturity treatment, crisis scenario and evidence requirements.</v>
      </c>
      <c r="CI722" t="str">
        <f>IF($CE722="","",IFERROR(INDEX(_REF_Industry_Wording!$H$2:$H$70,MATCH($CE722,_REF_Industry_Wording!$A$2:$A$70,0)),""))</f>
        <v>Backup / recovery</v>
      </c>
      <c r="CJ722">
        <f>IF($CE722="","",IFERROR(INDEX(_REF_Industry_Wording!$I$2:$I$70,MATCH($CE722,_REF_Industry_Wording!$A$2:$A$70,0)),""))</f>
        <v>0</v>
      </c>
      <c r="CK722" t="str">
        <f>IF($CE722="","",IFERROR(INDEX(_REF_Industry_Wording!$J$2:$J$70,MATCH($CE722,_REF_Industry_Wording!$A$2:$A$70,0)),""))</f>
        <v>Backup / recovery</v>
      </c>
      <c r="CL722" t="str">
        <f t="shared" si="147"/>
        <v>Wording by industry=0; capability=CAP_BACKUP_RECOVERY; risk label=Backup / recovery weakness</v>
      </c>
      <c r="CM722" t="str">
        <f t="shared" si="148"/>
        <v>RISK-ONT-0223</v>
      </c>
      <c r="CN722" t="str">
        <f t="shared" si="149"/>
        <v>RISK-EVT-0223</v>
      </c>
      <c r="CO722" t="str">
        <f t="shared" si="150"/>
        <v>Supply Chain|Orchestration and resilience|SUPP-028|CAP_BACKUP_RECOVERY</v>
      </c>
      <c r="CP722" t="str">
        <f t="shared" si="151"/>
        <v>Active</v>
      </c>
      <c r="CQ722" t="str">
        <f t="shared" si="152"/>
        <v>OK: capability-driven</v>
      </c>
      <c r="CR722" t="str">
        <f t="shared" si="153"/>
        <v>Risk ontology uses capability=CAP_BACKUP_RECOVERY; bridge=BRG-091; treatment=TRT-BACKUP_RECOVERY-INITIAL; wording=IW-ALL-BACKUP_RECOVERY</v>
      </c>
      <c r="CS722" t="str">
        <f t="shared" si="154"/>
        <v>Yes</v>
      </c>
    </row>
    <row r="723" spans="1:97" ht="69.900000000000006" customHeight="1">
      <c r="A723">
        <f>IF(OR($B723&lt;&gt;"Yes",$BS723=""),"",SUMPRODUCT(($B$500:$B$923="Yes")*ISNUMBER($BS$500:$BS$923)*($BS$500:$BS$923&gt;$BS723))+COUNTIFS($B$500:$B723,"Yes",$BS$500:$BS723,$BS723))</f>
        <v>312</v>
      </c>
      <c r="B723" t="str">
        <f t="shared" si="123"/>
        <v>Yes</v>
      </c>
      <c r="C723" t="s">
        <v>1987</v>
      </c>
      <c r="D723" t="s">
        <v>2010</v>
      </c>
      <c r="E723" t="s">
        <v>2140</v>
      </c>
      <c r="F723" t="s">
        <v>7703</v>
      </c>
      <c r="G723" t="str">
        <f>IF($H723="","",IFERROR(INDEX(_ENGINE_Risk!$H$5:$M$499,MATCH($E723,_ENGINE_Risk!$A$5:$A$499,0),$H723+1),""))</f>
        <v>Severe risk: periodic supply network design review stress-testing nodes, routes and capacity against crisis scenarios is not reliably controlled. During Supplier/logistics disruption; Geopolitical risk; Natural disaster, the organization may face a structurally fragile network, hidden chokepoints and overdependence on single nodes with limited visibility or accountability.</v>
      </c>
      <c r="H723">
        <f>IFERROR(VALUE(INDEX(_DATA_Assessment_Model!$H$5:$H$884,MATCH($E723,_DATA_Assessment_Model!$A$5:$A$884,0))),"")</f>
        <v>0</v>
      </c>
      <c r="I723" t="str">
        <f>IF($H723="","",IFERROR(INDEX(_DATA_Assessment_Model!$L$5:$L$884,MATCH($E723,_DATA_Assessment_Model!$A$5:$A$884,0)),IF($H723&lt;=1,"Critical",IF($H723=2,"High",IF($H723=3,"Medium",IF($H723=4,"Low","Resilient"))))))</f>
        <v>Critical</v>
      </c>
      <c r="J723">
        <f t="shared" si="124"/>
        <v>3.6</v>
      </c>
      <c r="K723">
        <f t="shared" si="125"/>
        <v>4</v>
      </c>
      <c r="L723">
        <f t="shared" si="126"/>
        <v>14.4</v>
      </c>
      <c r="M723">
        <f t="shared" si="127"/>
        <v>3</v>
      </c>
      <c r="N723">
        <f>IF($H723="","",IFERROR(INDEX(_ENGINE_Risk!$T$5:$Y$499,MATCH($E723,_ENGINE_Risk!$A$5:$A$499,0),$H723+1),""))</f>
        <v>3</v>
      </c>
      <c r="O723">
        <f t="shared" si="128"/>
        <v>3.6666666666666665</v>
      </c>
      <c r="P723">
        <f t="shared" si="129"/>
        <v>5</v>
      </c>
      <c r="Q723">
        <f t="shared" si="130"/>
        <v>5</v>
      </c>
      <c r="R723">
        <f t="shared" si="131"/>
        <v>3.5</v>
      </c>
      <c r="S723">
        <f t="shared" si="132"/>
        <v>1.43</v>
      </c>
      <c r="T723" t="str">
        <f>IF($H723="","",IFERROR(INDEX(_ENGINE_Risk!$N$5:$S$499,MATCH($E723,_ENGINE_Risk!$A$5:$A$499,0),$H723+1),""))</f>
        <v>Create an immediate risk owner, minimum control baseline and fallback procedure for periodic supply network design review stress-testing nodes, routes and capacity against crisis scenarios. Add it to the crisis risk register and collect first evidence.</v>
      </c>
      <c r="U723">
        <f>IFERROR(INDEX(_DATA_Assessment_Model!$G$5:$G$884,MATCH($E723,_DATA_Assessment_Model!$A$5:$A$884,0)),"")</f>
        <v>4</v>
      </c>
      <c r="V723">
        <f>IFERROR(INDEX(_DATA_Assessment_Model!$W$5:$W$884,MATCH($E723,_DATA_Assessment_Model!$A$5:$A$884,0)),"")</f>
        <v>3</v>
      </c>
      <c r="W723">
        <f>IFERROR(INDEX(_DATA_Assessment_Model!$X$5:$X$884,MATCH($E723,_DATA_Assessment_Model!$A$5:$A$884,0)),"")</f>
        <v>5</v>
      </c>
      <c r="X723">
        <f>IFERROR(INDEX(_DATA_Assessment_Model!$Y$5:$Y$884,MATCH($E723,_DATA_Assessment_Model!$A$5:$A$884,0)),"")</f>
        <v>4</v>
      </c>
      <c r="Y723" t="s">
        <v>2144</v>
      </c>
      <c r="Z723" t="s">
        <v>7718</v>
      </c>
      <c r="AA723" t="s">
        <v>7765</v>
      </c>
      <c r="AB723">
        <f>IFERROR(INDEX(_DATA_Assessment_Model!$U$5:$U$884,MATCH($E723,_DATA_Assessment_Model!$A$5:$A$884,0)),"")</f>
        <v>0</v>
      </c>
      <c r="AF723" t="s">
        <v>2141</v>
      </c>
      <c r="AO723">
        <f>IF($B723="Yes",IF(IFERROR(INDEX(_ENGINE_Crisis!$F$501:$F$517,MATCH($C723,_ENGINE_Crisis!$A$501:$A$517,0)),1)=0,1,IFERROR(INDEX(_ENGINE_Crisis!$F$501:$F$517,MATCH($C723,_ENGINE_Crisis!$A$501:$A$517,0)),1)),"")</f>
        <v>1</v>
      </c>
      <c r="AP723">
        <f t="shared" si="133"/>
        <v>14.4</v>
      </c>
      <c r="AQ723">
        <f t="shared" si="134"/>
        <v>1.43</v>
      </c>
      <c r="AR723" t="str">
        <f>IFERROR(INDEX(_ENGINE_Crisis!$E$41:$E$700,MATCH('Resilience &amp; Risk Scenario'!$B$6&amp;"|"&amp;$C723,_ENGINE_Crisis!$I$41:$I$700,0)),"")</f>
        <v/>
      </c>
      <c r="AS723" t="str">
        <f>IFERROR(INDEX(_ENGINE_Crisis!$G$41:$G$700,MATCH('Resilience &amp; Risk Scenario'!$B$6&amp;"|"&amp;$C723,_ENGINE_Crisis!$I$41:$I$700,0)),"")</f>
        <v/>
      </c>
      <c r="AT723" t="str">
        <f>IFERROR(INDEX(_ENGINE_Initiatives!$A$5:$A$532,MATCH(1,INDEX((_ENGINE_Initiatives!$B$5:$B$532=$C723)*(_ENGINE_Initiatives!$C$5:$C$532=$D723),0),0)),"")</f>
        <v/>
      </c>
      <c r="AU723" t="str">
        <f>IFERROR(INDEX(_ENGINE_Initiatives!$F$5:$F$532,MATCH(1,INDEX((_ENGINE_Initiatives!$B$5:$B$532=$C723)*(_ENGINE_Initiatives!$C$5:$C$532=$D723),0),0)),"")</f>
        <v/>
      </c>
      <c r="AV723" t="str">
        <f>IFERROR(INDEX(_ENGINE_Initiatives!$AC$5:$AC$532,MATCH(1,INDEX((_ENGINE_Initiatives!$B$5:$B$532=$C723)*(_ENGINE_Initiatives!$C$5:$C$532=$D723),0),0)),"")</f>
        <v/>
      </c>
      <c r="AW723" t="str">
        <f>IFERROR(INDEX(_ENGINE_Initiatives!$AE$5:$AE$532,MATCH(1,INDEX((_ENGINE_Initiatives!$B$5:$B$532=$C723)*(_ENGINE_Initiatives!$C$5:$C$532=$D723),0),0)),"")</f>
        <v/>
      </c>
      <c r="AX723">
        <f>IF($B723="Yes",IFERROR((IF(SUMIFS(_REF_Model_Content!$E$1:$E$613,_REF_Model_Content!$A$1:$A$613,PV_Canonical_Industry,_REF_Model_Content!$B$1:$B$613,$C723)=0,1,SUMIFS(_REF_Model_Content!$E$1:$E$613,_REF_Model_Content!$A$1:$A$613,PV_Canonical_Industry,_REF_Model_Content!$B$1:$B$613,$C723))*IFERROR($BU723,1)),1),"")</f>
        <v>1</v>
      </c>
      <c r="AY723">
        <f t="shared" si="135"/>
        <v>14.4</v>
      </c>
      <c r="AZ723">
        <f t="shared" si="136"/>
        <v>1.43</v>
      </c>
      <c r="BB723" t="str">
        <f>IF($H723="","",IFERROR(INDEX(_ENGINE_Risk!$AE$5:$AE$499,MATCH($E723,_ENGINE_Risk!$A$5:$A$499,0)),"Medium"))</f>
        <v>Medium</v>
      </c>
      <c r="BC723">
        <f t="shared" si="137"/>
        <v>1</v>
      </c>
      <c r="BD723">
        <f t="shared" si="138"/>
        <v>1.43</v>
      </c>
      <c r="BF723">
        <f>IF(OR($H723="",$J723=""),"",IFERROR(VLOOKUP(ROUND($J723,0),_CONFIG_Model_Settings!$D$154:$E$158,2,0),""))</f>
        <v>0.5</v>
      </c>
      <c r="BG723">
        <f>IFERROR(IF(OR($H723="",$K723=""),"",ROUND('Company Profile'!$B$113*INDEX(_CONFIG_Model_Settings!$H$154:$H$158,MATCH(ROUND($K723,0),_CONFIG_Model_Settings!$G$154:$G$158,0)),0)),0)</f>
        <v>875</v>
      </c>
      <c r="BH723">
        <f t="shared" si="139"/>
        <v>437.5</v>
      </c>
      <c r="BI723">
        <f t="shared" si="140"/>
        <v>437.5</v>
      </c>
      <c r="BJ723">
        <f>IF($E723="","",IFERROR(VLOOKUP($C723,_CONFIG_Risk_Calibration!$A$5:$H$21,2,FALSE),3))</f>
        <v>3</v>
      </c>
      <c r="BK723">
        <f>IF($E723="","",IFERROR(VLOOKUP($C723,_CONFIG_Risk_Calibration!$A$5:$H$21,3,FALSE),0))</f>
        <v>0</v>
      </c>
      <c r="BL723">
        <f>IF($E723="","",IFERROR(VLOOKUP($C723,_CONFIG_Risk_Calibration!$A$5:$H$21,4,FALSE),3))</f>
        <v>3</v>
      </c>
      <c r="BM723">
        <f>IF($E723="","",IFERROR(VLOOKUP($C723,_CONFIG_Risk_Calibration!$A$5:$H$21,5,FALSE),3))</f>
        <v>4</v>
      </c>
      <c r="BN723" t="str">
        <f>IF($E723="","",IFERROR(VLOOKUP($C723,_CONFIG_Risk_Calibration!$A$5:$H$21,6,FALSE),"No"))</f>
        <v>No</v>
      </c>
      <c r="BO723">
        <f>IF($E723="","",IFERROR(VLOOKUP($C723,_CONFIG_Risk_Calibration!$A$5:$H$21,7,FALSE),1))</f>
        <v>1</v>
      </c>
      <c r="BP723">
        <f>IF($H723="","",MAX(1,MIN(5,((6-$H723)*0.45)+($BJ723*0.2)+('Resilience &amp; Risk Scenario'!$B$7*0.15)+($BK723*0.1)+($BL723*0.05)+(IF($BB723="Fast",5,IF($BB723="Slow",1,3))*0.05))))</f>
        <v>3.6</v>
      </c>
      <c r="BQ723">
        <f t="shared" si="141"/>
        <v>4</v>
      </c>
      <c r="BR723">
        <f t="shared" si="142"/>
        <v>14.4</v>
      </c>
      <c r="BS723">
        <f t="shared" si="143"/>
        <v>15.84</v>
      </c>
      <c r="BT723" t="str">
        <f>IFERROR(INDEX(_REF_Capability_Bridge!$D:$D,MATCH($C723&amp;"|"&amp;$D723,_REF_Capability_Bridge!$J:$J,0)),IFERROR(INDEX(_REF_Capability_Bridge!$D:$D,MATCH($C723&amp;"|",_REF_Capability_Bridge!$J:$J,0)),"CAP_GENERIC"))</f>
        <v>CAP_BACKUP_RECOVERY</v>
      </c>
      <c r="BU723">
        <f>IFERROR(IFERROR(INDEX(_ENGINE_Relevance!$L:$L,MATCH($BT723,_ENGINE_Relevance!$B:$B,0)),1),1)</f>
        <v>1</v>
      </c>
      <c r="BV723" t="str">
        <f>IFERROR(INDEX(_REF_Capability_Bridge!$A:$A,MATCH($C723&amp;"|"&amp;$D723,_REF_Capability_Bridge!$J:$J,0)),IFERROR(INDEX(_REF_Capability_Bridge!$A:$A,MATCH($C723&amp;"|",_REF_Capability_Bridge!$J:$J,0)),"No bridge"))</f>
        <v>BRG-091</v>
      </c>
      <c r="BW723" t="str">
        <f t="shared" si="144"/>
        <v>Capability relevance neutral</v>
      </c>
      <c r="BX723" t="str">
        <f t="shared" si="145"/>
        <v>Initial / absent</v>
      </c>
      <c r="BY723" t="str">
        <f>IF($E723="","",IFERROR(INDEX(_REF_Treatment_Library!$A$2:$A$296,MATCH(1,INDEX((_REF_Treatment_Library!$B$2:$B$296=$BT723)*(_REF_Treatment_Library!$C$2:$C$296=PV_Canonical_Industry)*(_REF_Treatment_Library!$E$2:$E$296&lt;=N($H723))*(_REF_Treatment_Library!$F$2:$F$296&gt;=N($H723))*(_REF_Treatment_Library!$O$2:$O$296="Yes"),0),0)),IFERROR(INDEX(_REF_Treatment_Library!$A$2:$A$296,MATCH(1,INDEX((_REF_Treatment_Library!$B$2:$B$296=$BT723)*(_REF_Treatment_Library!$C$2:$C$296="All")*(_REF_Treatment_Library!$E$2:$E$296&lt;=N($H723))*(_REF_Treatment_Library!$F$2:$F$296&gt;=N($H723))*(_REF_Treatment_Library!$O$2:$O$296="Yes"),0),0)),"")))</f>
        <v>TRT-BACKUP_RECOVERY-INITIAL</v>
      </c>
      <c r="BZ723" t="str">
        <f>IF($BY723="","",IFERROR(INDEX(_REF_Treatment_Library!$H$2:$H$296,MATCH($BY723,_REF_Treatment_Library!$A$2:$A$296,0)),""))</f>
        <v>Establish</v>
      </c>
      <c r="CA723" t="str">
        <f>IF($BY723="","",IFERROR(INDEX(_REF_Treatment_Library!$I$2:$I$296,MATCH($BY723,_REF_Treatment_Library!$A$2:$A$296,0)),""))</f>
        <v>Establish baseline controls for Backup / recovery</v>
      </c>
      <c r="CB723" t="str">
        <f>IF($BY723="","",IFERROR(INDEX(_REF_Treatment_Library!$K$2:$K$296,MATCH($BY723,_REF_Treatment_Library!$A$2:$A$296,0)),""))</f>
        <v>Named owner, baseline process, minimum control checklist, first evidence package</v>
      </c>
      <c r="CC723" t="str">
        <f>IF($BY723="","",IFERROR(INDEX(_REF_Treatment_Library!$L$2:$L$296,MATCH($BY723,_REF_Treatment_Library!$A$2:$A$296,0)),""))</f>
        <v>Owner assigned; baseline evidence coverage; open critical gaps</v>
      </c>
      <c r="CD723" t="str">
        <f t="shared" si="146"/>
        <v>Treatment by capability=CAP_BACKUP_RECOVERY; band=Initial / absent; score=0.0; treatment=Establish</v>
      </c>
      <c r="CE723" t="str">
        <f>IF($E723="","",IFERROR(INDEX(_REF_Industry_Wording!$A$2:$A$70,MATCH(1,INDEX((_REF_Industry_Wording!$B$2:$B$70=$BT723)*(_REF_Industry_Wording!$C$2:$C$70=PV_Canonical_Industry)*(_REF_Industry_Wording!$K$2:$K$70="Yes"),0),0)),IFERROR(INDEX(_REF_Industry_Wording!$A$2:$A$70,MATCH(1,INDEX((_REF_Industry_Wording!$B$2:$B$70=$BT723)*(_REF_Industry_Wording!$C$2:$C$70="All")*(_REF_Industry_Wording!$K$2:$K$70="Yes"),0),0)),"")))</f>
        <v>IW-ALL-BACKUP_RECOVERY</v>
      </c>
      <c r="CF723" t="str">
        <f>IF($CE723="","",IFERROR(INDEX(_REF_Industry_Wording!$E$2:$E$70,MATCH($CE723,_REF_Industry_Wording!$A$2:$A$70,0)),""))</f>
        <v>Backup / recovery weakness</v>
      </c>
      <c r="CG723" t="str">
        <f>IF($CE723="","",IFERROR(INDEX(_REF_Industry_Wording!$F$2:$F$70,MATCH($CE723,_REF_Industry_Wording!$A$2:$A$70,0)),""))</f>
        <v>Strengthen Backup / recovery</v>
      </c>
      <c r="CH723" t="str">
        <f>IF($CE723="","",IFERROR(INDEX(_REF_Industry_Wording!$G$2:$G$70,MATCH($CE723,_REF_Industry_Wording!$A$2:$A$70,0)),""))</f>
        <v>Strengthen Backup / recovery using the selected maturity treatment, crisis scenario and evidence requirements.</v>
      </c>
      <c r="CI723" t="str">
        <f>IF($CE723="","",IFERROR(INDEX(_REF_Industry_Wording!$H$2:$H$70,MATCH($CE723,_REF_Industry_Wording!$A$2:$A$70,0)),""))</f>
        <v>Backup / recovery</v>
      </c>
      <c r="CJ723">
        <f>IF($CE723="","",IFERROR(INDEX(_REF_Industry_Wording!$I$2:$I$70,MATCH($CE723,_REF_Industry_Wording!$A$2:$A$70,0)),""))</f>
        <v>0</v>
      </c>
      <c r="CK723" t="str">
        <f>IF($CE723="","",IFERROR(INDEX(_REF_Industry_Wording!$J$2:$J$70,MATCH($CE723,_REF_Industry_Wording!$A$2:$A$70,0)),""))</f>
        <v>Backup / recovery</v>
      </c>
      <c r="CL723" t="str">
        <f t="shared" si="147"/>
        <v>Wording by industry=0; capability=CAP_BACKUP_RECOVERY; risk label=Backup / recovery weakness</v>
      </c>
      <c r="CM723" t="str">
        <f t="shared" si="148"/>
        <v>RISK-ONT-0224</v>
      </c>
      <c r="CN723" t="str">
        <f t="shared" si="149"/>
        <v>RISK-EVT-0224</v>
      </c>
      <c r="CO723" t="str">
        <f t="shared" si="150"/>
        <v>Supply Chain|Orchestration and resilience|SUPP-029|CAP_BACKUP_RECOVERY</v>
      </c>
      <c r="CP723" t="str">
        <f t="shared" si="151"/>
        <v>Active</v>
      </c>
      <c r="CQ723" t="str">
        <f t="shared" si="152"/>
        <v>OK: capability-driven</v>
      </c>
      <c r="CR723" t="str">
        <f t="shared" si="153"/>
        <v>Risk ontology uses capability=CAP_BACKUP_RECOVERY; bridge=BRG-091; treatment=TRT-BACKUP_RECOVERY-INITIAL; wording=IW-ALL-BACKUP_RECOVERY</v>
      </c>
      <c r="CS723" t="str">
        <f t="shared" si="154"/>
        <v>Yes</v>
      </c>
    </row>
    <row r="724" spans="1:97" ht="69.900000000000006" customHeight="1">
      <c r="A724">
        <f>IF(OR($B724&lt;&gt;"Yes",$BS724=""),"",SUMPRODUCT(($B$500:$B$923="Yes")*ISNUMBER($BS$500:$BS$923)*($BS$500:$BS$923&gt;$BS724))+COUNTIFS($B$500:$B724,"Yes",$BS$500:$BS724,$BS724))</f>
        <v>407</v>
      </c>
      <c r="B724" t="str">
        <f t="shared" si="123"/>
        <v>Yes</v>
      </c>
      <c r="C724" t="s">
        <v>2145</v>
      </c>
      <c r="D724" t="s">
        <v>2147</v>
      </c>
      <c r="E724" t="s">
        <v>2146</v>
      </c>
      <c r="F724" t="s">
        <v>3688</v>
      </c>
      <c r="G724" t="str">
        <f>IF($H724="","",IFERROR(INDEX(_ENGINE_Risk!$H$5:$M$499,MATCH($E724,_ENGINE_Risk!$A$5:$A$499,0),$H724+1),""))</f>
        <v>Severe risk: production footprint by plant, line, product family, capacity, workforce and crisis exposure is not reliably controlled. During Manufacturing disruption; Safety incident; Energy outage; Cyberattack, the organization may face production stoppage, quality defects, low asset visibility and inability to recover shop-floor operations with limited visibility or accountability.</v>
      </c>
      <c r="H724">
        <f>IFERROR(VALUE(INDEX(_DATA_Assessment_Model!$H$5:$H$884,MATCH($E724,_DATA_Assessment_Model!$A$5:$A$884,0))),"")</f>
        <v>0</v>
      </c>
      <c r="I724" t="str">
        <f>IF($H724="","",IFERROR(INDEX(_DATA_Assessment_Model!$L$5:$L$884,MATCH($E724,_DATA_Assessment_Model!$A$5:$A$884,0)),IF($H724&lt;=1,"Critical",IF($H724=2,"High",IF($H724=3,"Medium",IF($H724=4,"Low","Resilient"))))))</f>
        <v>Critical</v>
      </c>
      <c r="J724">
        <f t="shared" si="124"/>
        <v>3.7</v>
      </c>
      <c r="K724">
        <f t="shared" si="125"/>
        <v>4.6499999999999995</v>
      </c>
      <c r="L724">
        <f t="shared" si="126"/>
        <v>17.204999999999998</v>
      </c>
      <c r="M724">
        <f t="shared" si="127"/>
        <v>4</v>
      </c>
      <c r="N724">
        <f>IF($H724="","",IFERROR(INDEX(_ENGINE_Risk!$T$5:$Y$499,MATCH($E724,_ENGINE_Risk!$A$5:$A$499,0),$H724+1),""))</f>
        <v>4</v>
      </c>
      <c r="O724">
        <f t="shared" si="128"/>
        <v>5</v>
      </c>
      <c r="P724">
        <f t="shared" si="129"/>
        <v>5</v>
      </c>
      <c r="Q724">
        <f t="shared" si="130"/>
        <v>5</v>
      </c>
      <c r="R724">
        <f t="shared" si="131"/>
        <v>5</v>
      </c>
      <c r="S724">
        <f t="shared" si="132"/>
        <v>1.25</v>
      </c>
      <c r="T724" t="str">
        <f>IF($H724="","",IFERROR(INDEX(_ENGINE_Risk!$N$5:$S$499,MATCH($E724,_ENGINE_Risk!$A$5:$A$499,0),$H724+1),""))</f>
        <v>Create an immediate risk owner, minimum control baseline and fallback procedure for production footprint by plant, line, product family, capacity, workforce and crisis exposure. Add it to the crisis risk register and collect first evidence.</v>
      </c>
      <c r="U724">
        <f>IFERROR(INDEX(_DATA_Assessment_Model!$G$5:$G$884,MATCH($E724,_DATA_Assessment_Model!$A$5:$A$884,0)),"")</f>
        <v>5</v>
      </c>
      <c r="V724">
        <f>IFERROR(INDEX(_DATA_Assessment_Model!$W$5:$W$884,MATCH($E724,_DATA_Assessment_Model!$A$5:$A$884,0)),"")</f>
        <v>5</v>
      </c>
      <c r="W724">
        <f>IFERROR(INDEX(_DATA_Assessment_Model!$X$5:$X$884,MATCH($E724,_DATA_Assessment_Model!$A$5:$A$884,0)),"")</f>
        <v>5</v>
      </c>
      <c r="X724">
        <f>IFERROR(INDEX(_DATA_Assessment_Model!$Y$5:$Y$884,MATCH($E724,_DATA_Assessment_Model!$A$5:$A$884,0)),"")</f>
        <v>5</v>
      </c>
      <c r="Y724" t="s">
        <v>2152</v>
      </c>
      <c r="Z724" t="s">
        <v>7780</v>
      </c>
      <c r="AA724" t="s">
        <v>2151</v>
      </c>
      <c r="AB724">
        <f>IFERROR(INDEX(_DATA_Assessment_Model!$U$5:$U$884,MATCH($E724,_DATA_Assessment_Model!$A$5:$A$884,0)),"")</f>
        <v>0</v>
      </c>
      <c r="AF724" t="s">
        <v>2148</v>
      </c>
      <c r="AO724">
        <f>IF($B724="Yes",IF(IFERROR(INDEX(_ENGINE_Crisis!$F$501:$F$517,MATCH($C724,_ENGINE_Crisis!$A$501:$A$517,0)),1)=0,1,IFERROR(INDEX(_ENGINE_Crisis!$F$501:$F$517,MATCH($C724,_ENGINE_Crisis!$A$501:$A$517,0)),1)),"")</f>
        <v>1</v>
      </c>
      <c r="AP724">
        <f t="shared" si="133"/>
        <v>17.2</v>
      </c>
      <c r="AQ724">
        <f t="shared" si="134"/>
        <v>1.25</v>
      </c>
      <c r="AR724" t="str">
        <f>IFERROR(INDEX(_ENGINE_Crisis!$E$41:$E$700,MATCH('Resilience &amp; Risk Scenario'!$B$6&amp;"|"&amp;$C724,_ENGINE_Crisis!$I$41:$I$700,0)),"")</f>
        <v/>
      </c>
      <c r="AS724" t="str">
        <f>IFERROR(INDEX(_ENGINE_Crisis!$G$41:$G$700,MATCH('Resilience &amp; Risk Scenario'!$B$6&amp;"|"&amp;$C724,_ENGINE_Crisis!$I$41:$I$700,0)),"")</f>
        <v/>
      </c>
      <c r="AT724" t="str">
        <f>IFERROR(INDEX(_ENGINE_Initiatives!$A$5:$A$532,MATCH(1,INDEX((_ENGINE_Initiatives!$B$5:$B$532=$C724)*(_ENGINE_Initiatives!$C$5:$C$532=$D724),0),0)),"")</f>
        <v>INI-036</v>
      </c>
      <c r="AU724" t="str">
        <f>IFERROR(INDEX(_ENGINE_Initiatives!$F$5:$F$532,MATCH(1,INDEX((_ENGINE_Initiatives!$B$5:$B$532=$C724)*(_ENGINE_Initiatives!$C$5:$C$532=$D724),0),0)),"")</f>
        <v>Assess production footprint and build alternate production options</v>
      </c>
      <c r="AV724">
        <f>IFERROR(INDEX(_ENGINE_Initiatives!$AC$5:$AC$532,MATCH(1,INDEX((_ENGINE_Initiatives!$B$5:$B$532=$C724)*(_ENGINE_Initiatives!$C$5:$C$532=$D724),0),0)),"")</f>
        <v>1.29</v>
      </c>
      <c r="AW724" t="str">
        <f>IFERROR(INDEX(_ENGINE_Initiatives!$AE$5:$AE$532,MATCH(1,INDEX((_ENGINE_Initiatives!$B$5:$B$532=$C724)*(_ENGINE_Initiatives!$C$5:$C$532=$D724),0),0)),"")</f>
        <v>12+ months</v>
      </c>
      <c r="AX724">
        <f>IF($B724="Yes",IFERROR((IF(SUMIFS(_REF_Model_Content!$E$1:$E$613,_REF_Model_Content!$A$1:$A$613,PV_Canonical_Industry,_REF_Model_Content!$B$1:$B$613,$C724)=0,1,SUMIFS(_REF_Model_Content!$E$1:$E$613,_REF_Model_Content!$A$1:$A$613,PV_Canonical_Industry,_REF_Model_Content!$B$1:$B$613,$C724))*IFERROR($BU724,1)),1),"")</f>
        <v>0.4</v>
      </c>
      <c r="AY724">
        <f t="shared" si="135"/>
        <v>6.88</v>
      </c>
      <c r="AZ724">
        <f t="shared" si="136"/>
        <v>0.5</v>
      </c>
      <c r="BB724" t="str">
        <f>IF($H724="","",IFERROR(INDEX(_ENGINE_Risk!$AE$5:$AE$499,MATCH($E724,_ENGINE_Risk!$A$5:$A$499,0)),"Medium"))</f>
        <v>Fast</v>
      </c>
      <c r="BC724">
        <f t="shared" si="137"/>
        <v>1.25</v>
      </c>
      <c r="BD724">
        <f t="shared" si="138"/>
        <v>0.5</v>
      </c>
      <c r="BF724">
        <f>IF(OR($H724="",$J724=""),"",IFERROR(VLOOKUP(ROUND($J724,0),_CONFIG_Model_Settings!$D$154:$E$158,2,0),""))</f>
        <v>0.5</v>
      </c>
      <c r="BG724">
        <f>IFERROR(IF(OR($H724="",$K724=""),"",ROUND('Company Profile'!$B$113*INDEX(_CONFIG_Model_Settings!$H$154:$H$158,MATCH(ROUND($K724,0),_CONFIG_Model_Settings!$G$154:$G$158,0)),0)),0)</f>
        <v>1875</v>
      </c>
      <c r="BH724">
        <f t="shared" si="139"/>
        <v>937.5</v>
      </c>
      <c r="BI724">
        <f t="shared" si="140"/>
        <v>937.5</v>
      </c>
      <c r="BJ724">
        <f>IF($E724="","",IFERROR(VLOOKUP($C724,_CONFIG_Risk_Calibration!$A$5:$H$21,2,FALSE),3))</f>
        <v>3</v>
      </c>
      <c r="BK724">
        <f>IF($E724="","",IFERROR(VLOOKUP($C724,_CONFIG_Risk_Calibration!$A$5:$H$21,3,FALSE),0))</f>
        <v>0</v>
      </c>
      <c r="BL724">
        <f>IF($E724="","",IFERROR(VLOOKUP($C724,_CONFIG_Risk_Calibration!$A$5:$H$21,4,FALSE),3))</f>
        <v>3</v>
      </c>
      <c r="BM724">
        <f>IF($E724="","",IFERROR(VLOOKUP($C724,_CONFIG_Risk_Calibration!$A$5:$H$21,5,FALSE),3))</f>
        <v>4</v>
      </c>
      <c r="BN724" t="str">
        <f>IF($E724="","",IFERROR(VLOOKUP($C724,_CONFIG_Risk_Calibration!$A$5:$H$21,6,FALSE),"No"))</f>
        <v>No</v>
      </c>
      <c r="BO724">
        <f>IF($E724="","",IFERROR(VLOOKUP($C724,_CONFIG_Risk_Calibration!$A$5:$H$21,7,FALSE),1))</f>
        <v>1</v>
      </c>
      <c r="BP724">
        <f>IF($H724="","",MAX(1,MIN(5,((6-$H724)*0.45)+($BJ724*0.2)+('Resilience &amp; Risk Scenario'!$B$7*0.15)+($BK724*0.1)+($BL724*0.05)+(IF($BB724="Fast",5,IF($BB724="Slow",1,3))*0.05))))</f>
        <v>3.7</v>
      </c>
      <c r="BQ724">
        <f t="shared" si="141"/>
        <v>4.6499999999999995</v>
      </c>
      <c r="BR724">
        <f t="shared" si="142"/>
        <v>17.21</v>
      </c>
      <c r="BS724">
        <f t="shared" si="143"/>
        <v>9.4700000000000006</v>
      </c>
      <c r="BT724" t="str">
        <f>IFERROR(INDEX(_REF_Capability_Bridge!$D:$D,MATCH($C724&amp;"|"&amp;$D724,_REF_Capability_Bridge!$J:$J,0)),IFERROR(INDEX(_REF_Capability_Bridge!$D:$D,MATCH($C724&amp;"|",_REF_Capability_Bridge!$J:$J,0)),"CAP_GENERIC"))</f>
        <v>CAP_PRODUCTION_CAPACITY</v>
      </c>
      <c r="BU724">
        <f>IFERROR(IFERROR(INDEX(_ENGINE_Relevance!$L:$L,MATCH($BT724,_ENGINE_Relevance!$B:$B,0)),1),1)</f>
        <v>0.4</v>
      </c>
      <c r="BV724" t="str">
        <f>IFERROR(INDEX(_REF_Capability_Bridge!$A:$A,MATCH($C724&amp;"|"&amp;$D724,_REF_Capability_Bridge!$J:$J,0)),IFERROR(INDEX(_REF_Capability_Bridge!$A:$A,MATCH($C724&amp;"|",_REF_Capability_Bridge!$J:$J,0)),"No bridge"))</f>
        <v>BRG-058</v>
      </c>
      <c r="BW724" t="str">
        <f t="shared" si="144"/>
        <v>Capability relevance lowers risk priority</v>
      </c>
      <c r="BX724" t="str">
        <f t="shared" si="145"/>
        <v>Initial / absent</v>
      </c>
      <c r="BY724" t="str">
        <f>IF($E724="","",IFERROR(INDEX(_REF_Treatment_Library!$A$2:$A$296,MATCH(1,INDEX((_REF_Treatment_Library!$B$2:$B$296=$BT724)*(_REF_Treatment_Library!$C$2:$C$296=PV_Canonical_Industry)*(_REF_Treatment_Library!$E$2:$E$296&lt;=N($H724))*(_REF_Treatment_Library!$F$2:$F$296&gt;=N($H724))*(_REF_Treatment_Library!$O$2:$O$296="Yes"),0),0)),IFERROR(INDEX(_REF_Treatment_Library!$A$2:$A$296,MATCH(1,INDEX((_REF_Treatment_Library!$B$2:$B$296=$BT724)*(_REF_Treatment_Library!$C$2:$C$296="All")*(_REF_Treatment_Library!$E$2:$E$296&lt;=N($H724))*(_REF_Treatment_Library!$F$2:$F$296&gt;=N($H724))*(_REF_Treatment_Library!$O$2:$O$296="Yes"),0),0)),"")))</f>
        <v>TRT-PRODUCTION_CAPACITY-INITIAL</v>
      </c>
      <c r="BZ724" t="str">
        <f>IF($BY724="","",IFERROR(INDEX(_REF_Treatment_Library!$H$2:$H$296,MATCH($BY724,_REF_Treatment_Library!$A$2:$A$296,0)),""))</f>
        <v>Establish</v>
      </c>
      <c r="CA724" t="str">
        <f>IF($BY724="","",IFERROR(INDEX(_REF_Treatment_Library!$I$2:$I$296,MATCH($BY724,_REF_Treatment_Library!$A$2:$A$296,0)),""))</f>
        <v>Establish baseline controls for Production capacity</v>
      </c>
      <c r="CB724" t="str">
        <f>IF($BY724="","",IFERROR(INDEX(_REF_Treatment_Library!$K$2:$K$296,MATCH($BY724,_REF_Treatment_Library!$A$2:$A$296,0)),""))</f>
        <v>Named owner, baseline process, minimum control checklist, first evidence package</v>
      </c>
      <c r="CC724" t="str">
        <f>IF($BY724="","",IFERROR(INDEX(_REF_Treatment_Library!$L$2:$L$296,MATCH($BY724,_REF_Treatment_Library!$A$2:$A$296,0)),""))</f>
        <v>Owner assigned; baseline evidence coverage; open critical gaps</v>
      </c>
      <c r="CD724" t="str">
        <f t="shared" si="146"/>
        <v>Treatment by capability=CAP_PRODUCTION_CAPACITY; band=Initial / absent; score=0.0; treatment=Establish</v>
      </c>
      <c r="CE724" t="str">
        <f>IF($E724="","",IFERROR(INDEX(_REF_Industry_Wording!$A$2:$A$70,MATCH(1,INDEX((_REF_Industry_Wording!$B$2:$B$70=$BT724)*(_REF_Industry_Wording!$C$2:$C$70=PV_Canonical_Industry)*(_REF_Industry_Wording!$K$2:$K$70="Yes"),0),0)),IFERROR(INDEX(_REF_Industry_Wording!$A$2:$A$70,MATCH(1,INDEX((_REF_Industry_Wording!$B$2:$B$70=$BT724)*(_REF_Industry_Wording!$C$2:$C$70="All")*(_REF_Industry_Wording!$K$2:$K$70="Yes"),0),0)),"")))</f>
        <v>IW-ALL-PRODUCTION_CAPACITY</v>
      </c>
      <c r="CF724" t="str">
        <f>IF($CE724="","",IFERROR(INDEX(_REF_Industry_Wording!$E$2:$E$70,MATCH($CE724,_REF_Industry_Wording!$A$2:$A$70,0)),""))</f>
        <v>Production capacity weakness</v>
      </c>
      <c r="CG724" t="str">
        <f>IF($CE724="","",IFERROR(INDEX(_REF_Industry_Wording!$F$2:$F$70,MATCH($CE724,_REF_Industry_Wording!$A$2:$A$70,0)),""))</f>
        <v>Strengthen Production capacity</v>
      </c>
      <c r="CH724" t="str">
        <f>IF($CE724="","",IFERROR(INDEX(_REF_Industry_Wording!$G$2:$G$70,MATCH($CE724,_REF_Industry_Wording!$A$2:$A$70,0)),""))</f>
        <v>Strengthen Production capacity using the selected maturity treatment, crisis scenario and evidence requirements.</v>
      </c>
      <c r="CI724" t="str">
        <f>IF($CE724="","",IFERROR(INDEX(_REF_Industry_Wording!$H$2:$H$70,MATCH($CE724,_REF_Industry_Wording!$A$2:$A$70,0)),""))</f>
        <v>Production capacity</v>
      </c>
      <c r="CJ724">
        <f>IF($CE724="","",IFERROR(INDEX(_REF_Industry_Wording!$I$2:$I$70,MATCH($CE724,_REF_Industry_Wording!$A$2:$A$70,0)),""))</f>
        <v>0</v>
      </c>
      <c r="CK724" t="str">
        <f>IF($CE724="","",IFERROR(INDEX(_REF_Industry_Wording!$J$2:$J$70,MATCH($CE724,_REF_Industry_Wording!$A$2:$A$70,0)),""))</f>
        <v>Production capacity</v>
      </c>
      <c r="CL724" t="str">
        <f t="shared" si="147"/>
        <v>Wording by industry=0; capability=CAP_PRODUCTION_CAPACITY; risk label=Production capacity weakness</v>
      </c>
      <c r="CM724" t="str">
        <f t="shared" si="148"/>
        <v>RISK-ONT-0225</v>
      </c>
      <c r="CN724" t="str">
        <f t="shared" si="149"/>
        <v>RISK-EVT-0225</v>
      </c>
      <c r="CO724" t="str">
        <f t="shared" si="150"/>
        <v>Manufacturing MES|Production footprint|MANU-001|CAP_PRODUCTION_CAPACITY</v>
      </c>
      <c r="CP724" t="str">
        <f t="shared" si="151"/>
        <v>Active</v>
      </c>
      <c r="CQ724" t="str">
        <f t="shared" si="152"/>
        <v>OK: capability-driven</v>
      </c>
      <c r="CR724" t="str">
        <f t="shared" si="153"/>
        <v>Risk ontology uses capability=CAP_PRODUCTION_CAPACITY; bridge=BRG-058; treatment=TRT-PRODUCTION_CAPACITY-INITIAL; wording=IW-ALL-PRODUCTION_CAPACITY</v>
      </c>
      <c r="CS724" t="str">
        <f t="shared" si="154"/>
        <v>Yes</v>
      </c>
    </row>
    <row r="725" spans="1:97" ht="69.900000000000006" customHeight="1">
      <c r="A725">
        <f>IF(OR($B725&lt;&gt;"Yes",$BS725=""),"",SUMPRODUCT(($B$500:$B$923="Yes")*ISNUMBER($BS$500:$BS$923)*($BS$500:$BS$923&gt;$BS725))+COUNTIFS($B$500:$B725,"Yes",$BS$500:$BS725,$BS725))</f>
        <v>408</v>
      </c>
      <c r="B725" t="str">
        <f t="shared" si="123"/>
        <v>Yes</v>
      </c>
      <c r="C725" t="s">
        <v>2145</v>
      </c>
      <c r="D725" t="s">
        <v>2147</v>
      </c>
      <c r="E725" t="s">
        <v>2153</v>
      </c>
      <c r="F725" t="s">
        <v>3688</v>
      </c>
      <c r="G725" t="str">
        <f>IF($H725="","",IFERROR(INDEX(_ENGINE_Risk!$H$5:$M$499,MATCH($E725,_ENGINE_Risk!$A$5:$A$499,0),$H725+1),""))</f>
        <v>Severe risk: production planning integrated with demand, supply, inventory, workforce and maintenance constraints is not reliably controlled. During Manufacturing disruption; Safety incident; Energy outage; Cyberattack, the organization may face production stoppage, quality defects, low asset visibility and inability to recover shop-floor operations with limited visibility or accountability.</v>
      </c>
      <c r="H725">
        <f>IFERROR(VALUE(INDEX(_DATA_Assessment_Model!$H$5:$H$884,MATCH($E725,_DATA_Assessment_Model!$A$5:$A$884,0))),"")</f>
        <v>0</v>
      </c>
      <c r="I725" t="str">
        <f>IF($H725="","",IFERROR(INDEX(_DATA_Assessment_Model!$L$5:$L$884,MATCH($E725,_DATA_Assessment_Model!$A$5:$A$884,0)),IF($H725&lt;=1,"Critical",IF($H725=2,"High",IF($H725=3,"Medium",IF($H725=4,"Low","Resilient"))))))</f>
        <v>Critical</v>
      </c>
      <c r="J725">
        <f t="shared" si="124"/>
        <v>3.7</v>
      </c>
      <c r="K725">
        <f t="shared" si="125"/>
        <v>4.6499999999999995</v>
      </c>
      <c r="L725">
        <f t="shared" si="126"/>
        <v>17.204999999999998</v>
      </c>
      <c r="M725">
        <f t="shared" si="127"/>
        <v>4</v>
      </c>
      <c r="N725">
        <f>IF($H725="","",IFERROR(INDEX(_ENGINE_Risk!$T$5:$Y$499,MATCH($E725,_ENGINE_Risk!$A$5:$A$499,0),$H725+1),""))</f>
        <v>4</v>
      </c>
      <c r="O725">
        <f t="shared" si="128"/>
        <v>5</v>
      </c>
      <c r="P725">
        <f t="shared" si="129"/>
        <v>5</v>
      </c>
      <c r="Q725">
        <f t="shared" si="130"/>
        <v>5</v>
      </c>
      <c r="R725">
        <f t="shared" si="131"/>
        <v>5</v>
      </c>
      <c r="S725">
        <f t="shared" si="132"/>
        <v>1.25</v>
      </c>
      <c r="T725" t="str">
        <f>IF($H725="","",IFERROR(INDEX(_ENGINE_Risk!$N$5:$S$499,MATCH($E725,_ENGINE_Risk!$A$5:$A$499,0),$H725+1),""))</f>
        <v>Create an immediate risk owner, minimum control baseline and fallback procedure for production planning integrated with demand, supply, inventory, workforce and maintenance constraints. Add it to the crisis risk register and collect first evidence.</v>
      </c>
      <c r="U725">
        <f>IFERROR(INDEX(_DATA_Assessment_Model!$G$5:$G$884,MATCH($E725,_DATA_Assessment_Model!$A$5:$A$884,0)),"")</f>
        <v>5</v>
      </c>
      <c r="V725">
        <f>IFERROR(INDEX(_DATA_Assessment_Model!$W$5:$W$884,MATCH($E725,_DATA_Assessment_Model!$A$5:$A$884,0)),"")</f>
        <v>5</v>
      </c>
      <c r="W725">
        <f>IFERROR(INDEX(_DATA_Assessment_Model!$X$5:$X$884,MATCH($E725,_DATA_Assessment_Model!$A$5:$A$884,0)),"")</f>
        <v>5</v>
      </c>
      <c r="X725">
        <f>IFERROR(INDEX(_DATA_Assessment_Model!$Y$5:$Y$884,MATCH($E725,_DATA_Assessment_Model!$A$5:$A$884,0)),"")</f>
        <v>5</v>
      </c>
      <c r="Y725" t="s">
        <v>2152</v>
      </c>
      <c r="Z725" t="s">
        <v>7780</v>
      </c>
      <c r="AA725" t="s">
        <v>2155</v>
      </c>
      <c r="AB725">
        <f>IFERROR(INDEX(_DATA_Assessment_Model!$U$5:$U$884,MATCH($E725,_DATA_Assessment_Model!$A$5:$A$884,0)),"")</f>
        <v>0</v>
      </c>
      <c r="AF725" t="s">
        <v>2154</v>
      </c>
      <c r="AO725">
        <f>IF($B725="Yes",IF(IFERROR(INDEX(_ENGINE_Crisis!$F$501:$F$517,MATCH($C725,_ENGINE_Crisis!$A$501:$A$517,0)),1)=0,1,IFERROR(INDEX(_ENGINE_Crisis!$F$501:$F$517,MATCH($C725,_ENGINE_Crisis!$A$501:$A$517,0)),1)),"")</f>
        <v>1</v>
      </c>
      <c r="AP725">
        <f t="shared" si="133"/>
        <v>17.2</v>
      </c>
      <c r="AQ725">
        <f t="shared" si="134"/>
        <v>1.25</v>
      </c>
      <c r="AR725" t="str">
        <f>IFERROR(INDEX(_ENGINE_Crisis!$E$41:$E$700,MATCH('Resilience &amp; Risk Scenario'!$B$6&amp;"|"&amp;$C725,_ENGINE_Crisis!$I$41:$I$700,0)),"")</f>
        <v/>
      </c>
      <c r="AS725" t="str">
        <f>IFERROR(INDEX(_ENGINE_Crisis!$G$41:$G$700,MATCH('Resilience &amp; Risk Scenario'!$B$6&amp;"|"&amp;$C725,_ENGINE_Crisis!$I$41:$I$700,0)),"")</f>
        <v/>
      </c>
      <c r="AT725" t="str">
        <f>IFERROR(INDEX(_ENGINE_Initiatives!$A$5:$A$532,MATCH(1,INDEX((_ENGINE_Initiatives!$B$5:$B$532=$C725)*(_ENGINE_Initiatives!$C$5:$C$532=$D725),0),0)),"")</f>
        <v>INI-036</v>
      </c>
      <c r="AU725" t="str">
        <f>IFERROR(INDEX(_ENGINE_Initiatives!$F$5:$F$532,MATCH(1,INDEX((_ENGINE_Initiatives!$B$5:$B$532=$C725)*(_ENGINE_Initiatives!$C$5:$C$532=$D725),0),0)),"")</f>
        <v>Assess production footprint and build alternate production options</v>
      </c>
      <c r="AV725">
        <f>IFERROR(INDEX(_ENGINE_Initiatives!$AC$5:$AC$532,MATCH(1,INDEX((_ENGINE_Initiatives!$B$5:$B$532=$C725)*(_ENGINE_Initiatives!$C$5:$C$532=$D725),0),0)),"")</f>
        <v>1.29</v>
      </c>
      <c r="AW725" t="str">
        <f>IFERROR(INDEX(_ENGINE_Initiatives!$AE$5:$AE$532,MATCH(1,INDEX((_ENGINE_Initiatives!$B$5:$B$532=$C725)*(_ENGINE_Initiatives!$C$5:$C$532=$D725),0),0)),"")</f>
        <v>12+ months</v>
      </c>
      <c r="AX725">
        <f>IF($B725="Yes",IFERROR((IF(SUMIFS(_REF_Model_Content!$E$1:$E$613,_REF_Model_Content!$A$1:$A$613,PV_Canonical_Industry,_REF_Model_Content!$B$1:$B$613,$C725)=0,1,SUMIFS(_REF_Model_Content!$E$1:$E$613,_REF_Model_Content!$A$1:$A$613,PV_Canonical_Industry,_REF_Model_Content!$B$1:$B$613,$C725))*IFERROR($BU725,1)),1),"")</f>
        <v>0.4</v>
      </c>
      <c r="AY725">
        <f t="shared" si="135"/>
        <v>6.88</v>
      </c>
      <c r="AZ725">
        <f t="shared" si="136"/>
        <v>0.5</v>
      </c>
      <c r="BB725" t="str">
        <f>IF($H725="","",IFERROR(INDEX(_ENGINE_Risk!$AE$5:$AE$499,MATCH($E725,_ENGINE_Risk!$A$5:$A$499,0)),"Medium"))</f>
        <v>Fast</v>
      </c>
      <c r="BC725">
        <f t="shared" si="137"/>
        <v>1.25</v>
      </c>
      <c r="BD725">
        <f t="shared" si="138"/>
        <v>0.5</v>
      </c>
      <c r="BF725">
        <f>IF(OR($H725="",$J725=""),"",IFERROR(VLOOKUP(ROUND($J725,0),_CONFIG_Model_Settings!$D$154:$E$158,2,0),""))</f>
        <v>0.5</v>
      </c>
      <c r="BG725">
        <f>IFERROR(IF(OR($H725="",$K725=""),"",ROUND('Company Profile'!$B$113*INDEX(_CONFIG_Model_Settings!$H$154:$H$158,MATCH(ROUND($K725,0),_CONFIG_Model_Settings!$G$154:$G$158,0)),0)),0)</f>
        <v>1875</v>
      </c>
      <c r="BH725">
        <f t="shared" si="139"/>
        <v>937.5</v>
      </c>
      <c r="BI725">
        <f t="shared" si="140"/>
        <v>937.5</v>
      </c>
      <c r="BJ725">
        <f>IF($E725="","",IFERROR(VLOOKUP($C725,_CONFIG_Risk_Calibration!$A$5:$H$21,2,FALSE),3))</f>
        <v>3</v>
      </c>
      <c r="BK725">
        <f>IF($E725="","",IFERROR(VLOOKUP($C725,_CONFIG_Risk_Calibration!$A$5:$H$21,3,FALSE),0))</f>
        <v>0</v>
      </c>
      <c r="BL725">
        <f>IF($E725="","",IFERROR(VLOOKUP($C725,_CONFIG_Risk_Calibration!$A$5:$H$21,4,FALSE),3))</f>
        <v>3</v>
      </c>
      <c r="BM725">
        <f>IF($E725="","",IFERROR(VLOOKUP($C725,_CONFIG_Risk_Calibration!$A$5:$H$21,5,FALSE),3))</f>
        <v>4</v>
      </c>
      <c r="BN725" t="str">
        <f>IF($E725="","",IFERROR(VLOOKUP($C725,_CONFIG_Risk_Calibration!$A$5:$H$21,6,FALSE),"No"))</f>
        <v>No</v>
      </c>
      <c r="BO725">
        <f>IF($E725="","",IFERROR(VLOOKUP($C725,_CONFIG_Risk_Calibration!$A$5:$H$21,7,FALSE),1))</f>
        <v>1</v>
      </c>
      <c r="BP725">
        <f>IF($H725="","",MAX(1,MIN(5,((6-$H725)*0.45)+($BJ725*0.2)+('Resilience &amp; Risk Scenario'!$B$7*0.15)+($BK725*0.1)+($BL725*0.05)+(IF($BB725="Fast",5,IF($BB725="Slow",1,3))*0.05))))</f>
        <v>3.7</v>
      </c>
      <c r="BQ725">
        <f t="shared" si="141"/>
        <v>4.6499999999999995</v>
      </c>
      <c r="BR725">
        <f t="shared" si="142"/>
        <v>17.21</v>
      </c>
      <c r="BS725">
        <f t="shared" si="143"/>
        <v>9.4700000000000006</v>
      </c>
      <c r="BT725" t="str">
        <f>IFERROR(INDEX(_REF_Capability_Bridge!$D:$D,MATCH($C725&amp;"|"&amp;$D725,_REF_Capability_Bridge!$J:$J,0)),IFERROR(INDEX(_REF_Capability_Bridge!$D:$D,MATCH($C725&amp;"|",_REF_Capability_Bridge!$J:$J,0)),"CAP_GENERIC"))</f>
        <v>CAP_PRODUCTION_CAPACITY</v>
      </c>
      <c r="BU725">
        <f>IFERROR(IFERROR(INDEX(_ENGINE_Relevance!$L:$L,MATCH($BT725,_ENGINE_Relevance!$B:$B,0)),1),1)</f>
        <v>0.4</v>
      </c>
      <c r="BV725" t="str">
        <f>IFERROR(INDEX(_REF_Capability_Bridge!$A:$A,MATCH($C725&amp;"|"&amp;$D725,_REF_Capability_Bridge!$J:$J,0)),IFERROR(INDEX(_REF_Capability_Bridge!$A:$A,MATCH($C725&amp;"|",_REF_Capability_Bridge!$J:$J,0)),"No bridge"))</f>
        <v>BRG-058</v>
      </c>
      <c r="BW725" t="str">
        <f t="shared" si="144"/>
        <v>Capability relevance lowers risk priority</v>
      </c>
      <c r="BX725" t="str">
        <f t="shared" si="145"/>
        <v>Initial / absent</v>
      </c>
      <c r="BY725" t="str">
        <f>IF($E725="","",IFERROR(INDEX(_REF_Treatment_Library!$A$2:$A$296,MATCH(1,INDEX((_REF_Treatment_Library!$B$2:$B$296=$BT725)*(_REF_Treatment_Library!$C$2:$C$296=PV_Canonical_Industry)*(_REF_Treatment_Library!$E$2:$E$296&lt;=N($H725))*(_REF_Treatment_Library!$F$2:$F$296&gt;=N($H725))*(_REF_Treatment_Library!$O$2:$O$296="Yes"),0),0)),IFERROR(INDEX(_REF_Treatment_Library!$A$2:$A$296,MATCH(1,INDEX((_REF_Treatment_Library!$B$2:$B$296=$BT725)*(_REF_Treatment_Library!$C$2:$C$296="All")*(_REF_Treatment_Library!$E$2:$E$296&lt;=N($H725))*(_REF_Treatment_Library!$F$2:$F$296&gt;=N($H725))*(_REF_Treatment_Library!$O$2:$O$296="Yes"),0),0)),"")))</f>
        <v>TRT-PRODUCTION_CAPACITY-INITIAL</v>
      </c>
      <c r="BZ725" t="str">
        <f>IF($BY725="","",IFERROR(INDEX(_REF_Treatment_Library!$H$2:$H$296,MATCH($BY725,_REF_Treatment_Library!$A$2:$A$296,0)),""))</f>
        <v>Establish</v>
      </c>
      <c r="CA725" t="str">
        <f>IF($BY725="","",IFERROR(INDEX(_REF_Treatment_Library!$I$2:$I$296,MATCH($BY725,_REF_Treatment_Library!$A$2:$A$296,0)),""))</f>
        <v>Establish baseline controls for Production capacity</v>
      </c>
      <c r="CB725" t="str">
        <f>IF($BY725="","",IFERROR(INDEX(_REF_Treatment_Library!$K$2:$K$296,MATCH($BY725,_REF_Treatment_Library!$A$2:$A$296,0)),""))</f>
        <v>Named owner, baseline process, minimum control checklist, first evidence package</v>
      </c>
      <c r="CC725" t="str">
        <f>IF($BY725="","",IFERROR(INDEX(_REF_Treatment_Library!$L$2:$L$296,MATCH($BY725,_REF_Treatment_Library!$A$2:$A$296,0)),""))</f>
        <v>Owner assigned; baseline evidence coverage; open critical gaps</v>
      </c>
      <c r="CD725" t="str">
        <f t="shared" si="146"/>
        <v>Treatment by capability=CAP_PRODUCTION_CAPACITY; band=Initial / absent; score=0.0; treatment=Establish</v>
      </c>
      <c r="CE725" t="str">
        <f>IF($E725="","",IFERROR(INDEX(_REF_Industry_Wording!$A$2:$A$70,MATCH(1,INDEX((_REF_Industry_Wording!$B$2:$B$70=$BT725)*(_REF_Industry_Wording!$C$2:$C$70=PV_Canonical_Industry)*(_REF_Industry_Wording!$K$2:$K$70="Yes"),0),0)),IFERROR(INDEX(_REF_Industry_Wording!$A$2:$A$70,MATCH(1,INDEX((_REF_Industry_Wording!$B$2:$B$70=$BT725)*(_REF_Industry_Wording!$C$2:$C$70="All")*(_REF_Industry_Wording!$K$2:$K$70="Yes"),0),0)),"")))</f>
        <v>IW-ALL-PRODUCTION_CAPACITY</v>
      </c>
      <c r="CF725" t="str">
        <f>IF($CE725="","",IFERROR(INDEX(_REF_Industry_Wording!$E$2:$E$70,MATCH($CE725,_REF_Industry_Wording!$A$2:$A$70,0)),""))</f>
        <v>Production capacity weakness</v>
      </c>
      <c r="CG725" t="str">
        <f>IF($CE725="","",IFERROR(INDEX(_REF_Industry_Wording!$F$2:$F$70,MATCH($CE725,_REF_Industry_Wording!$A$2:$A$70,0)),""))</f>
        <v>Strengthen Production capacity</v>
      </c>
      <c r="CH725" t="str">
        <f>IF($CE725="","",IFERROR(INDEX(_REF_Industry_Wording!$G$2:$G$70,MATCH($CE725,_REF_Industry_Wording!$A$2:$A$70,0)),""))</f>
        <v>Strengthen Production capacity using the selected maturity treatment, crisis scenario and evidence requirements.</v>
      </c>
      <c r="CI725" t="str">
        <f>IF($CE725="","",IFERROR(INDEX(_REF_Industry_Wording!$H$2:$H$70,MATCH($CE725,_REF_Industry_Wording!$A$2:$A$70,0)),""))</f>
        <v>Production capacity</v>
      </c>
      <c r="CJ725">
        <f>IF($CE725="","",IFERROR(INDEX(_REF_Industry_Wording!$I$2:$I$70,MATCH($CE725,_REF_Industry_Wording!$A$2:$A$70,0)),""))</f>
        <v>0</v>
      </c>
      <c r="CK725" t="str">
        <f>IF($CE725="","",IFERROR(INDEX(_REF_Industry_Wording!$J$2:$J$70,MATCH($CE725,_REF_Industry_Wording!$A$2:$A$70,0)),""))</f>
        <v>Production capacity</v>
      </c>
      <c r="CL725" t="str">
        <f t="shared" si="147"/>
        <v>Wording by industry=0; capability=CAP_PRODUCTION_CAPACITY; risk label=Production capacity weakness</v>
      </c>
      <c r="CM725" t="str">
        <f t="shared" si="148"/>
        <v>RISK-ONT-0226</v>
      </c>
      <c r="CN725" t="str">
        <f t="shared" si="149"/>
        <v>RISK-EVT-0226</v>
      </c>
      <c r="CO725" t="str">
        <f t="shared" si="150"/>
        <v>Manufacturing MES|Production footprint|MANU-002|CAP_PRODUCTION_CAPACITY</v>
      </c>
      <c r="CP725" t="str">
        <f t="shared" si="151"/>
        <v>Active</v>
      </c>
      <c r="CQ725" t="str">
        <f t="shared" si="152"/>
        <v>OK: capability-driven</v>
      </c>
      <c r="CR725" t="str">
        <f t="shared" si="153"/>
        <v>Risk ontology uses capability=CAP_PRODUCTION_CAPACITY; bridge=BRG-058; treatment=TRT-PRODUCTION_CAPACITY-INITIAL; wording=IW-ALL-PRODUCTION_CAPACITY</v>
      </c>
      <c r="CS725" t="str">
        <f t="shared" si="154"/>
        <v>Yes</v>
      </c>
    </row>
    <row r="726" spans="1:97" ht="69.900000000000006" customHeight="1">
      <c r="A726">
        <f>IF(OR($B726&lt;&gt;"Yes",$BS726=""),"",SUMPRODUCT(($B$500:$B$923="Yes")*ISNUMBER($BS$500:$BS$923)*($BS$500:$BS$923&gt;$BS726))+COUNTIFS($B$500:$B726,"Yes",$BS$500:$BS726,$BS726))</f>
        <v>420</v>
      </c>
      <c r="B726" t="str">
        <f t="shared" si="123"/>
        <v>Yes</v>
      </c>
      <c r="C726" t="s">
        <v>2145</v>
      </c>
      <c r="D726" t="s">
        <v>2147</v>
      </c>
      <c r="E726" t="s">
        <v>2157</v>
      </c>
      <c r="F726" t="s">
        <v>3688</v>
      </c>
      <c r="G726" t="str">
        <f>IF($H726="","",IFERROR(INDEX(_ENGINE_Risk!$H$5:$M$499,MATCH($E726,_ENGINE_Risk!$A$5:$A$499,0),$H726+1),""))</f>
        <v>Severe risk: finite capacity planning for bottlenecks, machines, shifts and labor is not reliably controlled. During Manufacturing disruption; Safety incident; Energy outage; Cyberattack, the organization may face production stoppage, quality defects, low asset visibility and inability to recover shop-floor operations with limited visibility or accountability.</v>
      </c>
      <c r="H726">
        <f>IFERROR(VALUE(INDEX(_DATA_Assessment_Model!$H$5:$H$884,MATCH($E726,_DATA_Assessment_Model!$A$5:$A$884,0))),"")</f>
        <v>0</v>
      </c>
      <c r="I726" t="str">
        <f>IF($H726="","",IFERROR(INDEX(_DATA_Assessment_Model!$L$5:$L$884,MATCH($E726,_DATA_Assessment_Model!$A$5:$A$884,0)),IF($H726&lt;=1,"Critical",IF($H726=2,"High",IF($H726=3,"Medium",IF($H726=4,"Low","Resilient"))))))</f>
        <v>Critical</v>
      </c>
      <c r="J726">
        <f t="shared" si="124"/>
        <v>3.7</v>
      </c>
      <c r="K726">
        <f t="shared" si="125"/>
        <v>4.25</v>
      </c>
      <c r="L726">
        <f t="shared" si="126"/>
        <v>15.725000000000001</v>
      </c>
      <c r="M726">
        <f t="shared" si="127"/>
        <v>4</v>
      </c>
      <c r="N726">
        <f>IF($H726="","",IFERROR(INDEX(_ENGINE_Risk!$T$5:$Y$499,MATCH($E726,_ENGINE_Risk!$A$5:$A$499,0),$H726+1),""))</f>
        <v>4</v>
      </c>
      <c r="O726">
        <f t="shared" si="128"/>
        <v>4.333333333333333</v>
      </c>
      <c r="P726">
        <f t="shared" si="129"/>
        <v>5</v>
      </c>
      <c r="Q726">
        <f t="shared" si="130"/>
        <v>5</v>
      </c>
      <c r="R726">
        <f t="shared" si="131"/>
        <v>5</v>
      </c>
      <c r="S726">
        <f t="shared" si="132"/>
        <v>1.21</v>
      </c>
      <c r="T726" t="str">
        <f>IF($H726="","",IFERROR(INDEX(_ENGINE_Risk!$N$5:$S$499,MATCH($E726,_ENGINE_Risk!$A$5:$A$499,0),$H726+1),""))</f>
        <v>Create an immediate risk owner, minimum control baseline and fallback procedure for finite capacity planning for bottlenecks, machines, shifts and labor. Add it to the crisis risk register and collect first evidence.</v>
      </c>
      <c r="U726">
        <f>IFERROR(INDEX(_DATA_Assessment_Model!$G$5:$G$884,MATCH($E726,_DATA_Assessment_Model!$A$5:$A$884,0)),"")</f>
        <v>3</v>
      </c>
      <c r="V726">
        <f>IFERROR(INDEX(_DATA_Assessment_Model!$W$5:$W$884,MATCH($E726,_DATA_Assessment_Model!$A$5:$A$884,0)),"")</f>
        <v>5</v>
      </c>
      <c r="W726">
        <f>IFERROR(INDEX(_DATA_Assessment_Model!$X$5:$X$884,MATCH($E726,_DATA_Assessment_Model!$A$5:$A$884,0)),"")</f>
        <v>5</v>
      </c>
      <c r="X726">
        <f>IFERROR(INDEX(_DATA_Assessment_Model!$Y$5:$Y$884,MATCH($E726,_DATA_Assessment_Model!$A$5:$A$884,0)),"")</f>
        <v>5</v>
      </c>
      <c r="Y726" t="s">
        <v>2152</v>
      </c>
      <c r="Z726" t="s">
        <v>7780</v>
      </c>
      <c r="AA726" t="s">
        <v>2159</v>
      </c>
      <c r="AB726">
        <f>IFERROR(INDEX(_DATA_Assessment_Model!$U$5:$U$884,MATCH($E726,_DATA_Assessment_Model!$A$5:$A$884,0)),"")</f>
        <v>0</v>
      </c>
      <c r="AF726" t="s">
        <v>2158</v>
      </c>
      <c r="AO726">
        <f>IF($B726="Yes",IF(IFERROR(INDEX(_ENGINE_Crisis!$F$501:$F$517,MATCH($C726,_ENGINE_Crisis!$A$501:$A$517,0)),1)=0,1,IFERROR(INDEX(_ENGINE_Crisis!$F$501:$F$517,MATCH($C726,_ENGINE_Crisis!$A$501:$A$517,0)),1)),"")</f>
        <v>1</v>
      </c>
      <c r="AP726">
        <f t="shared" si="133"/>
        <v>15.7</v>
      </c>
      <c r="AQ726">
        <f t="shared" si="134"/>
        <v>1.21</v>
      </c>
      <c r="AR726" t="str">
        <f>IFERROR(INDEX(_ENGINE_Crisis!$E$41:$E$700,MATCH('Resilience &amp; Risk Scenario'!$B$6&amp;"|"&amp;$C726,_ENGINE_Crisis!$I$41:$I$700,0)),"")</f>
        <v/>
      </c>
      <c r="AS726" t="str">
        <f>IFERROR(INDEX(_ENGINE_Crisis!$G$41:$G$700,MATCH('Resilience &amp; Risk Scenario'!$B$6&amp;"|"&amp;$C726,_ENGINE_Crisis!$I$41:$I$700,0)),"")</f>
        <v/>
      </c>
      <c r="AT726" t="str">
        <f>IFERROR(INDEX(_ENGINE_Initiatives!$A$5:$A$532,MATCH(1,INDEX((_ENGINE_Initiatives!$B$5:$B$532=$C726)*(_ENGINE_Initiatives!$C$5:$C$532=$D726),0),0)),"")</f>
        <v>INI-036</v>
      </c>
      <c r="AU726" t="str">
        <f>IFERROR(INDEX(_ENGINE_Initiatives!$F$5:$F$532,MATCH(1,INDEX((_ENGINE_Initiatives!$B$5:$B$532=$C726)*(_ENGINE_Initiatives!$C$5:$C$532=$D726),0),0)),"")</f>
        <v>Assess production footprint and build alternate production options</v>
      </c>
      <c r="AV726">
        <f>IFERROR(INDEX(_ENGINE_Initiatives!$AC$5:$AC$532,MATCH(1,INDEX((_ENGINE_Initiatives!$B$5:$B$532=$C726)*(_ENGINE_Initiatives!$C$5:$C$532=$D726),0),0)),"")</f>
        <v>1.29</v>
      </c>
      <c r="AW726" t="str">
        <f>IFERROR(INDEX(_ENGINE_Initiatives!$AE$5:$AE$532,MATCH(1,INDEX((_ENGINE_Initiatives!$B$5:$B$532=$C726)*(_ENGINE_Initiatives!$C$5:$C$532=$D726),0),0)),"")</f>
        <v>12+ months</v>
      </c>
      <c r="AX726">
        <f>IF($B726="Yes",IFERROR((IF(SUMIFS(_REF_Model_Content!$E$1:$E$613,_REF_Model_Content!$A$1:$A$613,PV_Canonical_Industry,_REF_Model_Content!$B$1:$B$613,$C726)=0,1,SUMIFS(_REF_Model_Content!$E$1:$E$613,_REF_Model_Content!$A$1:$A$613,PV_Canonical_Industry,_REF_Model_Content!$B$1:$B$613,$C726))*IFERROR($BU726,1)),1),"")</f>
        <v>0.4</v>
      </c>
      <c r="AY726">
        <f t="shared" si="135"/>
        <v>6.28</v>
      </c>
      <c r="AZ726">
        <f t="shared" si="136"/>
        <v>0.48</v>
      </c>
      <c r="BB726" t="str">
        <f>IF($H726="","",IFERROR(INDEX(_ENGINE_Risk!$AE$5:$AE$499,MATCH($E726,_ENGINE_Risk!$A$5:$A$499,0)),"Medium"))</f>
        <v>Fast</v>
      </c>
      <c r="BC726">
        <f t="shared" si="137"/>
        <v>1.25</v>
      </c>
      <c r="BD726">
        <f t="shared" si="138"/>
        <v>0.48</v>
      </c>
      <c r="BF726">
        <f>IF(OR($H726="",$J726=""),"",IFERROR(VLOOKUP(ROUND($J726,0),_CONFIG_Model_Settings!$D$154:$E$158,2,0),""))</f>
        <v>0.5</v>
      </c>
      <c r="BG726">
        <f>IFERROR(IF(OR($H726="",$K726=""),"",ROUND('Company Profile'!$B$113*INDEX(_CONFIG_Model_Settings!$H$154:$H$158,MATCH(ROUND($K726,0),_CONFIG_Model_Settings!$G$154:$G$158,0)),0)),0)</f>
        <v>875</v>
      </c>
      <c r="BH726">
        <f t="shared" si="139"/>
        <v>437.5</v>
      </c>
      <c r="BI726">
        <f t="shared" si="140"/>
        <v>437.5</v>
      </c>
      <c r="BJ726">
        <f>IF($E726="","",IFERROR(VLOOKUP($C726,_CONFIG_Risk_Calibration!$A$5:$H$21,2,FALSE),3))</f>
        <v>3</v>
      </c>
      <c r="BK726">
        <f>IF($E726="","",IFERROR(VLOOKUP($C726,_CONFIG_Risk_Calibration!$A$5:$H$21,3,FALSE),0))</f>
        <v>0</v>
      </c>
      <c r="BL726">
        <f>IF($E726="","",IFERROR(VLOOKUP($C726,_CONFIG_Risk_Calibration!$A$5:$H$21,4,FALSE),3))</f>
        <v>3</v>
      </c>
      <c r="BM726">
        <f>IF($E726="","",IFERROR(VLOOKUP($C726,_CONFIG_Risk_Calibration!$A$5:$H$21,5,FALSE),3))</f>
        <v>4</v>
      </c>
      <c r="BN726" t="str">
        <f>IF($E726="","",IFERROR(VLOOKUP($C726,_CONFIG_Risk_Calibration!$A$5:$H$21,6,FALSE),"No"))</f>
        <v>No</v>
      </c>
      <c r="BO726">
        <f>IF($E726="","",IFERROR(VLOOKUP($C726,_CONFIG_Risk_Calibration!$A$5:$H$21,7,FALSE),1))</f>
        <v>1</v>
      </c>
      <c r="BP726">
        <f>IF($H726="","",MAX(1,MIN(5,((6-$H726)*0.45)+($BJ726*0.2)+('Resilience &amp; Risk Scenario'!$B$7*0.15)+($BK726*0.1)+($BL726*0.05)+(IF($BB726="Fast",5,IF($BB726="Slow",1,3))*0.05))))</f>
        <v>3.7</v>
      </c>
      <c r="BQ726">
        <f t="shared" si="141"/>
        <v>4.25</v>
      </c>
      <c r="BR726">
        <f t="shared" si="142"/>
        <v>15.73</v>
      </c>
      <c r="BS726">
        <f t="shared" si="143"/>
        <v>8.65</v>
      </c>
      <c r="BT726" t="str">
        <f>IFERROR(INDEX(_REF_Capability_Bridge!$D:$D,MATCH($C726&amp;"|"&amp;$D726,_REF_Capability_Bridge!$J:$J,0)),IFERROR(INDEX(_REF_Capability_Bridge!$D:$D,MATCH($C726&amp;"|",_REF_Capability_Bridge!$J:$J,0)),"CAP_GENERIC"))</f>
        <v>CAP_PRODUCTION_CAPACITY</v>
      </c>
      <c r="BU726">
        <f>IFERROR(IFERROR(INDEX(_ENGINE_Relevance!$L:$L,MATCH($BT726,_ENGINE_Relevance!$B:$B,0)),1),1)</f>
        <v>0.4</v>
      </c>
      <c r="BV726" t="str">
        <f>IFERROR(INDEX(_REF_Capability_Bridge!$A:$A,MATCH($C726&amp;"|"&amp;$D726,_REF_Capability_Bridge!$J:$J,0)),IFERROR(INDEX(_REF_Capability_Bridge!$A:$A,MATCH($C726&amp;"|",_REF_Capability_Bridge!$J:$J,0)),"No bridge"))</f>
        <v>BRG-058</v>
      </c>
      <c r="BW726" t="str">
        <f t="shared" si="144"/>
        <v>Capability relevance lowers risk priority</v>
      </c>
      <c r="BX726" t="str">
        <f t="shared" si="145"/>
        <v>Initial / absent</v>
      </c>
      <c r="BY726" t="str">
        <f>IF($E726="","",IFERROR(INDEX(_REF_Treatment_Library!$A$2:$A$296,MATCH(1,INDEX((_REF_Treatment_Library!$B$2:$B$296=$BT726)*(_REF_Treatment_Library!$C$2:$C$296=PV_Canonical_Industry)*(_REF_Treatment_Library!$E$2:$E$296&lt;=N($H726))*(_REF_Treatment_Library!$F$2:$F$296&gt;=N($H726))*(_REF_Treatment_Library!$O$2:$O$296="Yes"),0),0)),IFERROR(INDEX(_REF_Treatment_Library!$A$2:$A$296,MATCH(1,INDEX((_REF_Treatment_Library!$B$2:$B$296=$BT726)*(_REF_Treatment_Library!$C$2:$C$296="All")*(_REF_Treatment_Library!$E$2:$E$296&lt;=N($H726))*(_REF_Treatment_Library!$F$2:$F$296&gt;=N($H726))*(_REF_Treatment_Library!$O$2:$O$296="Yes"),0),0)),"")))</f>
        <v>TRT-PRODUCTION_CAPACITY-INITIAL</v>
      </c>
      <c r="BZ726" t="str">
        <f>IF($BY726="","",IFERROR(INDEX(_REF_Treatment_Library!$H$2:$H$296,MATCH($BY726,_REF_Treatment_Library!$A$2:$A$296,0)),""))</f>
        <v>Establish</v>
      </c>
      <c r="CA726" t="str">
        <f>IF($BY726="","",IFERROR(INDEX(_REF_Treatment_Library!$I$2:$I$296,MATCH($BY726,_REF_Treatment_Library!$A$2:$A$296,0)),""))</f>
        <v>Establish baseline controls for Production capacity</v>
      </c>
      <c r="CB726" t="str">
        <f>IF($BY726="","",IFERROR(INDEX(_REF_Treatment_Library!$K$2:$K$296,MATCH($BY726,_REF_Treatment_Library!$A$2:$A$296,0)),""))</f>
        <v>Named owner, baseline process, minimum control checklist, first evidence package</v>
      </c>
      <c r="CC726" t="str">
        <f>IF($BY726="","",IFERROR(INDEX(_REF_Treatment_Library!$L$2:$L$296,MATCH($BY726,_REF_Treatment_Library!$A$2:$A$296,0)),""))</f>
        <v>Owner assigned; baseline evidence coverage; open critical gaps</v>
      </c>
      <c r="CD726" t="str">
        <f t="shared" si="146"/>
        <v>Treatment by capability=CAP_PRODUCTION_CAPACITY; band=Initial / absent; score=0.0; treatment=Establish</v>
      </c>
      <c r="CE726" t="str">
        <f>IF($E726="","",IFERROR(INDEX(_REF_Industry_Wording!$A$2:$A$70,MATCH(1,INDEX((_REF_Industry_Wording!$B$2:$B$70=$BT726)*(_REF_Industry_Wording!$C$2:$C$70=PV_Canonical_Industry)*(_REF_Industry_Wording!$K$2:$K$70="Yes"),0),0)),IFERROR(INDEX(_REF_Industry_Wording!$A$2:$A$70,MATCH(1,INDEX((_REF_Industry_Wording!$B$2:$B$70=$BT726)*(_REF_Industry_Wording!$C$2:$C$70="All")*(_REF_Industry_Wording!$K$2:$K$70="Yes"),0),0)),"")))</f>
        <v>IW-ALL-PRODUCTION_CAPACITY</v>
      </c>
      <c r="CF726" t="str">
        <f>IF($CE726="","",IFERROR(INDEX(_REF_Industry_Wording!$E$2:$E$70,MATCH($CE726,_REF_Industry_Wording!$A$2:$A$70,0)),""))</f>
        <v>Production capacity weakness</v>
      </c>
      <c r="CG726" t="str">
        <f>IF($CE726="","",IFERROR(INDEX(_REF_Industry_Wording!$F$2:$F$70,MATCH($CE726,_REF_Industry_Wording!$A$2:$A$70,0)),""))</f>
        <v>Strengthen Production capacity</v>
      </c>
      <c r="CH726" t="str">
        <f>IF($CE726="","",IFERROR(INDEX(_REF_Industry_Wording!$G$2:$G$70,MATCH($CE726,_REF_Industry_Wording!$A$2:$A$70,0)),""))</f>
        <v>Strengthen Production capacity using the selected maturity treatment, crisis scenario and evidence requirements.</v>
      </c>
      <c r="CI726" t="str">
        <f>IF($CE726="","",IFERROR(INDEX(_REF_Industry_Wording!$H$2:$H$70,MATCH($CE726,_REF_Industry_Wording!$A$2:$A$70,0)),""))</f>
        <v>Production capacity</v>
      </c>
      <c r="CJ726">
        <f>IF($CE726="","",IFERROR(INDEX(_REF_Industry_Wording!$I$2:$I$70,MATCH($CE726,_REF_Industry_Wording!$A$2:$A$70,0)),""))</f>
        <v>0</v>
      </c>
      <c r="CK726" t="str">
        <f>IF($CE726="","",IFERROR(INDEX(_REF_Industry_Wording!$J$2:$J$70,MATCH($CE726,_REF_Industry_Wording!$A$2:$A$70,0)),""))</f>
        <v>Production capacity</v>
      </c>
      <c r="CL726" t="str">
        <f t="shared" si="147"/>
        <v>Wording by industry=0; capability=CAP_PRODUCTION_CAPACITY; risk label=Production capacity weakness</v>
      </c>
      <c r="CM726" t="str">
        <f t="shared" si="148"/>
        <v>RISK-ONT-0227</v>
      </c>
      <c r="CN726" t="str">
        <f t="shared" si="149"/>
        <v>RISK-EVT-0227</v>
      </c>
      <c r="CO726" t="str">
        <f t="shared" si="150"/>
        <v>Manufacturing MES|Production footprint|MANU-003|CAP_PRODUCTION_CAPACITY</v>
      </c>
      <c r="CP726" t="str">
        <f t="shared" si="151"/>
        <v>Active</v>
      </c>
      <c r="CQ726" t="str">
        <f t="shared" si="152"/>
        <v>OK: capability-driven</v>
      </c>
      <c r="CR726" t="str">
        <f t="shared" si="153"/>
        <v>Risk ontology uses capability=CAP_PRODUCTION_CAPACITY; bridge=BRG-058; treatment=TRT-PRODUCTION_CAPACITY-INITIAL; wording=IW-ALL-PRODUCTION_CAPACITY</v>
      </c>
      <c r="CS726" t="str">
        <f t="shared" si="154"/>
        <v>Yes</v>
      </c>
    </row>
    <row r="727" spans="1:97" ht="69.900000000000006" customHeight="1">
      <c r="A727">
        <f>IF(OR($B727&lt;&gt;"Yes",$BS727=""),"",SUMPRODUCT(($B$500:$B$923="Yes")*ISNUMBER($BS$500:$BS$923)*($BS$500:$BS$923&gt;$BS727))+COUNTIFS($B$500:$B727,"Yes",$BS$500:$BS727,$BS727))</f>
        <v>409</v>
      </c>
      <c r="B727" t="str">
        <f t="shared" si="123"/>
        <v>Yes</v>
      </c>
      <c r="C727" t="s">
        <v>2145</v>
      </c>
      <c r="D727" t="s">
        <v>2147</v>
      </c>
      <c r="E727" t="s">
        <v>2167</v>
      </c>
      <c r="F727" t="s">
        <v>3688</v>
      </c>
      <c r="G727" t="str">
        <f>IF($H727="","",IFERROR(INDEX(_ENGINE_Risk!$H$5:$M$499,MATCH($E727,_ENGINE_Risk!$A$5:$A$499,0),$H727+1),""))</f>
        <v>Severe risk: minimum viable production under staff absence, utility outage, supplier delay or site risk is not reliably controlled. During Manufacturing disruption; Safety incident; Energy outage; Cyberattack, the organization may face production stoppage, quality defects, low asset visibility and inability to recover shop-floor operations with limited visibility or accountability.</v>
      </c>
      <c r="H727">
        <f>IFERROR(VALUE(INDEX(_DATA_Assessment_Model!$H$5:$H$884,MATCH($E727,_DATA_Assessment_Model!$A$5:$A$884,0))),"")</f>
        <v>0</v>
      </c>
      <c r="I727" t="str">
        <f>IF($H727="","",IFERROR(INDEX(_DATA_Assessment_Model!$L$5:$L$884,MATCH($E727,_DATA_Assessment_Model!$A$5:$A$884,0)),IF($H727&lt;=1,"Critical",IF($H727=2,"High",IF($H727=3,"Medium",IF($H727=4,"Low","Resilient"))))))</f>
        <v>Critical</v>
      </c>
      <c r="J727">
        <f t="shared" si="124"/>
        <v>3.7</v>
      </c>
      <c r="K727">
        <f t="shared" si="125"/>
        <v>4.6499999999999995</v>
      </c>
      <c r="L727">
        <f t="shared" si="126"/>
        <v>17.204999999999998</v>
      </c>
      <c r="M727">
        <f t="shared" si="127"/>
        <v>4</v>
      </c>
      <c r="N727">
        <f>IF($H727="","",IFERROR(INDEX(_ENGINE_Risk!$T$5:$Y$499,MATCH($E727,_ENGINE_Risk!$A$5:$A$499,0),$H727+1),""))</f>
        <v>4</v>
      </c>
      <c r="O727">
        <f t="shared" si="128"/>
        <v>5</v>
      </c>
      <c r="P727">
        <f t="shared" si="129"/>
        <v>5</v>
      </c>
      <c r="Q727">
        <f t="shared" si="130"/>
        <v>5</v>
      </c>
      <c r="R727">
        <f t="shared" si="131"/>
        <v>5</v>
      </c>
      <c r="S727">
        <f t="shared" si="132"/>
        <v>1.25</v>
      </c>
      <c r="T727" t="str">
        <f>IF($H727="","",IFERROR(INDEX(_ENGINE_Risk!$N$5:$S$499,MATCH($E727,_ENGINE_Risk!$A$5:$A$499,0),$H727+1),""))</f>
        <v>Create an immediate risk owner, minimum control baseline and fallback procedure for minimum viable production under staff absence, utility outage, supplier delay or site risk. Add it to the crisis risk register and collect first evidence.</v>
      </c>
      <c r="U727">
        <f>IFERROR(INDEX(_DATA_Assessment_Model!$G$5:$G$884,MATCH($E727,_DATA_Assessment_Model!$A$5:$A$884,0)),"")</f>
        <v>5</v>
      </c>
      <c r="V727">
        <f>IFERROR(INDEX(_DATA_Assessment_Model!$W$5:$W$884,MATCH($E727,_DATA_Assessment_Model!$A$5:$A$884,0)),"")</f>
        <v>5</v>
      </c>
      <c r="W727">
        <f>IFERROR(INDEX(_DATA_Assessment_Model!$X$5:$X$884,MATCH($E727,_DATA_Assessment_Model!$A$5:$A$884,0)),"")</f>
        <v>5</v>
      </c>
      <c r="X727">
        <f>IFERROR(INDEX(_DATA_Assessment_Model!$Y$5:$Y$884,MATCH($E727,_DATA_Assessment_Model!$A$5:$A$884,0)),"")</f>
        <v>5</v>
      </c>
      <c r="Y727" t="s">
        <v>2152</v>
      </c>
      <c r="Z727" t="s">
        <v>7780</v>
      </c>
      <c r="AA727" t="s">
        <v>2169</v>
      </c>
      <c r="AB727">
        <f>IFERROR(INDEX(_DATA_Assessment_Model!$U$5:$U$884,MATCH($E727,_DATA_Assessment_Model!$A$5:$A$884,0)),"")</f>
        <v>0</v>
      </c>
      <c r="AF727" t="s">
        <v>2168</v>
      </c>
      <c r="AO727">
        <f>IF($B727="Yes",IF(IFERROR(INDEX(_ENGINE_Crisis!$F$501:$F$517,MATCH($C727,_ENGINE_Crisis!$A$501:$A$517,0)),1)=0,1,IFERROR(INDEX(_ENGINE_Crisis!$F$501:$F$517,MATCH($C727,_ENGINE_Crisis!$A$501:$A$517,0)),1)),"")</f>
        <v>1</v>
      </c>
      <c r="AP727">
        <f t="shared" si="133"/>
        <v>17.2</v>
      </c>
      <c r="AQ727">
        <f t="shared" si="134"/>
        <v>1.25</v>
      </c>
      <c r="AR727" t="str">
        <f>IFERROR(INDEX(_ENGINE_Crisis!$E$41:$E$700,MATCH('Resilience &amp; Risk Scenario'!$B$6&amp;"|"&amp;$C727,_ENGINE_Crisis!$I$41:$I$700,0)),"")</f>
        <v/>
      </c>
      <c r="AS727" t="str">
        <f>IFERROR(INDEX(_ENGINE_Crisis!$G$41:$G$700,MATCH('Resilience &amp; Risk Scenario'!$B$6&amp;"|"&amp;$C727,_ENGINE_Crisis!$I$41:$I$700,0)),"")</f>
        <v/>
      </c>
      <c r="AT727" t="str">
        <f>IFERROR(INDEX(_ENGINE_Initiatives!$A$5:$A$532,MATCH(1,INDEX((_ENGINE_Initiatives!$B$5:$B$532=$C727)*(_ENGINE_Initiatives!$C$5:$C$532=$D727),0),0)),"")</f>
        <v>INI-036</v>
      </c>
      <c r="AU727" t="str">
        <f>IFERROR(INDEX(_ENGINE_Initiatives!$F$5:$F$532,MATCH(1,INDEX((_ENGINE_Initiatives!$B$5:$B$532=$C727)*(_ENGINE_Initiatives!$C$5:$C$532=$D727),0),0)),"")</f>
        <v>Assess production footprint and build alternate production options</v>
      </c>
      <c r="AV727">
        <f>IFERROR(INDEX(_ENGINE_Initiatives!$AC$5:$AC$532,MATCH(1,INDEX((_ENGINE_Initiatives!$B$5:$B$532=$C727)*(_ENGINE_Initiatives!$C$5:$C$532=$D727),0),0)),"")</f>
        <v>1.29</v>
      </c>
      <c r="AW727" t="str">
        <f>IFERROR(INDEX(_ENGINE_Initiatives!$AE$5:$AE$532,MATCH(1,INDEX((_ENGINE_Initiatives!$B$5:$B$532=$C727)*(_ENGINE_Initiatives!$C$5:$C$532=$D727),0),0)),"")</f>
        <v>12+ months</v>
      </c>
      <c r="AX727">
        <f>IF($B727="Yes",IFERROR((IF(SUMIFS(_REF_Model_Content!$E$1:$E$613,_REF_Model_Content!$A$1:$A$613,PV_Canonical_Industry,_REF_Model_Content!$B$1:$B$613,$C727)=0,1,SUMIFS(_REF_Model_Content!$E$1:$E$613,_REF_Model_Content!$A$1:$A$613,PV_Canonical_Industry,_REF_Model_Content!$B$1:$B$613,$C727))*IFERROR($BU727,1)),1),"")</f>
        <v>0.4</v>
      </c>
      <c r="AY727">
        <f t="shared" si="135"/>
        <v>6.88</v>
      </c>
      <c r="AZ727">
        <f t="shared" si="136"/>
        <v>0.5</v>
      </c>
      <c r="BB727" t="str">
        <f>IF($H727="","",IFERROR(INDEX(_ENGINE_Risk!$AE$5:$AE$499,MATCH($E727,_ENGINE_Risk!$A$5:$A$499,0)),"Medium"))</f>
        <v>Fast</v>
      </c>
      <c r="BC727">
        <f t="shared" si="137"/>
        <v>1.25</v>
      </c>
      <c r="BD727">
        <f t="shared" si="138"/>
        <v>0.5</v>
      </c>
      <c r="BF727">
        <f>IF(OR($H727="",$J727=""),"",IFERROR(VLOOKUP(ROUND($J727,0),_CONFIG_Model_Settings!$D$154:$E$158,2,0),""))</f>
        <v>0.5</v>
      </c>
      <c r="BG727">
        <f>IFERROR(IF(OR($H727="",$K727=""),"",ROUND('Company Profile'!$B$113*INDEX(_CONFIG_Model_Settings!$H$154:$H$158,MATCH(ROUND($K727,0),_CONFIG_Model_Settings!$G$154:$G$158,0)),0)),0)</f>
        <v>1875</v>
      </c>
      <c r="BH727">
        <f t="shared" si="139"/>
        <v>937.5</v>
      </c>
      <c r="BI727">
        <f t="shared" si="140"/>
        <v>937.5</v>
      </c>
      <c r="BJ727">
        <f>IF($E727="","",IFERROR(VLOOKUP($C727,_CONFIG_Risk_Calibration!$A$5:$H$21,2,FALSE),3))</f>
        <v>3</v>
      </c>
      <c r="BK727">
        <f>IF($E727="","",IFERROR(VLOOKUP($C727,_CONFIG_Risk_Calibration!$A$5:$H$21,3,FALSE),0))</f>
        <v>0</v>
      </c>
      <c r="BL727">
        <f>IF($E727="","",IFERROR(VLOOKUP($C727,_CONFIG_Risk_Calibration!$A$5:$H$21,4,FALSE),3))</f>
        <v>3</v>
      </c>
      <c r="BM727">
        <f>IF($E727="","",IFERROR(VLOOKUP($C727,_CONFIG_Risk_Calibration!$A$5:$H$21,5,FALSE),3))</f>
        <v>4</v>
      </c>
      <c r="BN727" t="str">
        <f>IF($E727="","",IFERROR(VLOOKUP($C727,_CONFIG_Risk_Calibration!$A$5:$H$21,6,FALSE),"No"))</f>
        <v>No</v>
      </c>
      <c r="BO727">
        <f>IF($E727="","",IFERROR(VLOOKUP($C727,_CONFIG_Risk_Calibration!$A$5:$H$21,7,FALSE),1))</f>
        <v>1</v>
      </c>
      <c r="BP727">
        <f>IF($H727="","",MAX(1,MIN(5,((6-$H727)*0.45)+($BJ727*0.2)+('Resilience &amp; Risk Scenario'!$B$7*0.15)+($BK727*0.1)+($BL727*0.05)+(IF($BB727="Fast",5,IF($BB727="Slow",1,3))*0.05))))</f>
        <v>3.7</v>
      </c>
      <c r="BQ727">
        <f t="shared" si="141"/>
        <v>4.6499999999999995</v>
      </c>
      <c r="BR727">
        <f t="shared" si="142"/>
        <v>17.21</v>
      </c>
      <c r="BS727">
        <f t="shared" si="143"/>
        <v>9.4700000000000006</v>
      </c>
      <c r="BT727" t="str">
        <f>IFERROR(INDEX(_REF_Capability_Bridge!$D:$D,MATCH($C727&amp;"|"&amp;$D727,_REF_Capability_Bridge!$J:$J,0)),IFERROR(INDEX(_REF_Capability_Bridge!$D:$D,MATCH($C727&amp;"|",_REF_Capability_Bridge!$J:$J,0)),"CAP_GENERIC"))</f>
        <v>CAP_PRODUCTION_CAPACITY</v>
      </c>
      <c r="BU727">
        <f>IFERROR(IFERROR(INDEX(_ENGINE_Relevance!$L:$L,MATCH($BT727,_ENGINE_Relevance!$B:$B,0)),1),1)</f>
        <v>0.4</v>
      </c>
      <c r="BV727" t="str">
        <f>IFERROR(INDEX(_REF_Capability_Bridge!$A:$A,MATCH($C727&amp;"|"&amp;$D727,_REF_Capability_Bridge!$J:$J,0)),IFERROR(INDEX(_REF_Capability_Bridge!$A:$A,MATCH($C727&amp;"|",_REF_Capability_Bridge!$J:$J,0)),"No bridge"))</f>
        <v>BRG-058</v>
      </c>
      <c r="BW727" t="str">
        <f t="shared" si="144"/>
        <v>Capability relevance lowers risk priority</v>
      </c>
      <c r="BX727" t="str">
        <f t="shared" si="145"/>
        <v>Initial / absent</v>
      </c>
      <c r="BY727" t="str">
        <f>IF($E727="","",IFERROR(INDEX(_REF_Treatment_Library!$A$2:$A$296,MATCH(1,INDEX((_REF_Treatment_Library!$B$2:$B$296=$BT727)*(_REF_Treatment_Library!$C$2:$C$296=PV_Canonical_Industry)*(_REF_Treatment_Library!$E$2:$E$296&lt;=N($H727))*(_REF_Treatment_Library!$F$2:$F$296&gt;=N($H727))*(_REF_Treatment_Library!$O$2:$O$296="Yes"),0),0)),IFERROR(INDEX(_REF_Treatment_Library!$A$2:$A$296,MATCH(1,INDEX((_REF_Treatment_Library!$B$2:$B$296=$BT727)*(_REF_Treatment_Library!$C$2:$C$296="All")*(_REF_Treatment_Library!$E$2:$E$296&lt;=N($H727))*(_REF_Treatment_Library!$F$2:$F$296&gt;=N($H727))*(_REF_Treatment_Library!$O$2:$O$296="Yes"),0),0)),"")))</f>
        <v>TRT-PRODUCTION_CAPACITY-INITIAL</v>
      </c>
      <c r="BZ727" t="str">
        <f>IF($BY727="","",IFERROR(INDEX(_REF_Treatment_Library!$H$2:$H$296,MATCH($BY727,_REF_Treatment_Library!$A$2:$A$296,0)),""))</f>
        <v>Establish</v>
      </c>
      <c r="CA727" t="str">
        <f>IF($BY727="","",IFERROR(INDEX(_REF_Treatment_Library!$I$2:$I$296,MATCH($BY727,_REF_Treatment_Library!$A$2:$A$296,0)),""))</f>
        <v>Establish baseline controls for Production capacity</v>
      </c>
      <c r="CB727" t="str">
        <f>IF($BY727="","",IFERROR(INDEX(_REF_Treatment_Library!$K$2:$K$296,MATCH($BY727,_REF_Treatment_Library!$A$2:$A$296,0)),""))</f>
        <v>Named owner, baseline process, minimum control checklist, first evidence package</v>
      </c>
      <c r="CC727" t="str">
        <f>IF($BY727="","",IFERROR(INDEX(_REF_Treatment_Library!$L$2:$L$296,MATCH($BY727,_REF_Treatment_Library!$A$2:$A$296,0)),""))</f>
        <v>Owner assigned; baseline evidence coverage; open critical gaps</v>
      </c>
      <c r="CD727" t="str">
        <f t="shared" si="146"/>
        <v>Treatment by capability=CAP_PRODUCTION_CAPACITY; band=Initial / absent; score=0.0; treatment=Establish</v>
      </c>
      <c r="CE727" t="str">
        <f>IF($E727="","",IFERROR(INDEX(_REF_Industry_Wording!$A$2:$A$70,MATCH(1,INDEX((_REF_Industry_Wording!$B$2:$B$70=$BT727)*(_REF_Industry_Wording!$C$2:$C$70=PV_Canonical_Industry)*(_REF_Industry_Wording!$K$2:$K$70="Yes"),0),0)),IFERROR(INDEX(_REF_Industry_Wording!$A$2:$A$70,MATCH(1,INDEX((_REF_Industry_Wording!$B$2:$B$70=$BT727)*(_REF_Industry_Wording!$C$2:$C$70="All")*(_REF_Industry_Wording!$K$2:$K$70="Yes"),0),0)),"")))</f>
        <v>IW-ALL-PRODUCTION_CAPACITY</v>
      </c>
      <c r="CF727" t="str">
        <f>IF($CE727="","",IFERROR(INDEX(_REF_Industry_Wording!$E$2:$E$70,MATCH($CE727,_REF_Industry_Wording!$A$2:$A$70,0)),""))</f>
        <v>Production capacity weakness</v>
      </c>
      <c r="CG727" t="str">
        <f>IF($CE727="","",IFERROR(INDEX(_REF_Industry_Wording!$F$2:$F$70,MATCH($CE727,_REF_Industry_Wording!$A$2:$A$70,0)),""))</f>
        <v>Strengthen Production capacity</v>
      </c>
      <c r="CH727" t="str">
        <f>IF($CE727="","",IFERROR(INDEX(_REF_Industry_Wording!$G$2:$G$70,MATCH($CE727,_REF_Industry_Wording!$A$2:$A$70,0)),""))</f>
        <v>Strengthen Production capacity using the selected maturity treatment, crisis scenario and evidence requirements.</v>
      </c>
      <c r="CI727" t="str">
        <f>IF($CE727="","",IFERROR(INDEX(_REF_Industry_Wording!$H$2:$H$70,MATCH($CE727,_REF_Industry_Wording!$A$2:$A$70,0)),""))</f>
        <v>Production capacity</v>
      </c>
      <c r="CJ727">
        <f>IF($CE727="","",IFERROR(INDEX(_REF_Industry_Wording!$I$2:$I$70,MATCH($CE727,_REF_Industry_Wording!$A$2:$A$70,0)),""))</f>
        <v>0</v>
      </c>
      <c r="CK727" t="str">
        <f>IF($CE727="","",IFERROR(INDEX(_REF_Industry_Wording!$J$2:$J$70,MATCH($CE727,_REF_Industry_Wording!$A$2:$A$70,0)),""))</f>
        <v>Production capacity</v>
      </c>
      <c r="CL727" t="str">
        <f t="shared" si="147"/>
        <v>Wording by industry=0; capability=CAP_PRODUCTION_CAPACITY; risk label=Production capacity weakness</v>
      </c>
      <c r="CM727" t="str">
        <f t="shared" si="148"/>
        <v>RISK-ONT-0228</v>
      </c>
      <c r="CN727" t="str">
        <f t="shared" si="149"/>
        <v>RISK-EVT-0228</v>
      </c>
      <c r="CO727" t="str">
        <f t="shared" si="150"/>
        <v>Manufacturing MES|Production footprint|MANU-004|CAP_PRODUCTION_CAPACITY</v>
      </c>
      <c r="CP727" t="str">
        <f t="shared" si="151"/>
        <v>Active</v>
      </c>
      <c r="CQ727" t="str">
        <f t="shared" si="152"/>
        <v>OK: capability-driven</v>
      </c>
      <c r="CR727" t="str">
        <f t="shared" si="153"/>
        <v>Risk ontology uses capability=CAP_PRODUCTION_CAPACITY; bridge=BRG-058; treatment=TRT-PRODUCTION_CAPACITY-INITIAL; wording=IW-ALL-PRODUCTION_CAPACITY</v>
      </c>
      <c r="CS727" t="str">
        <f t="shared" si="154"/>
        <v>Yes</v>
      </c>
    </row>
    <row r="728" spans="1:97" ht="69.900000000000006" customHeight="1">
      <c r="A728">
        <f>IF(OR($B728&lt;&gt;"Yes",$BS728=""),"",SUMPRODUCT(($B$500:$B$923="Yes")*ISNUMBER($BS$500:$BS$923)*($BS$500:$BS$923&gt;$BS728))+COUNTIFS($B$500:$B728,"Yes",$BS$500:$BS728,$BS728))</f>
        <v>410</v>
      </c>
      <c r="B728" t="str">
        <f t="shared" si="123"/>
        <v>Yes</v>
      </c>
      <c r="C728" t="s">
        <v>2145</v>
      </c>
      <c r="D728" t="s">
        <v>2147</v>
      </c>
      <c r="E728" t="s">
        <v>2171</v>
      </c>
      <c r="F728" t="s">
        <v>3688</v>
      </c>
      <c r="G728" t="str">
        <f>IF($H728="","",IFERROR(INDEX(_ENGINE_Risk!$H$5:$M$499,MATCH($E728,_ENGINE_Risk!$A$5:$A$499,0),$H728+1),""))</f>
        <v>Severe risk: line or site transferability if a facility fails is not reliably controlled. During Manufacturing disruption; Safety incident; Energy outage; Cyberattack, the organization may face production stoppage, quality defects, low asset visibility and inability to recover shop-floor operations with limited visibility or accountability.</v>
      </c>
      <c r="H728">
        <f>IFERROR(VALUE(INDEX(_DATA_Assessment_Model!$H$5:$H$884,MATCH($E728,_DATA_Assessment_Model!$A$5:$A$884,0))),"")</f>
        <v>0</v>
      </c>
      <c r="I728" t="str">
        <f>IF($H728="","",IFERROR(INDEX(_DATA_Assessment_Model!$L$5:$L$884,MATCH($E728,_DATA_Assessment_Model!$A$5:$A$884,0)),IF($H728&lt;=1,"Critical",IF($H728=2,"High",IF($H728=3,"Medium",IF($H728=4,"Low","Resilient"))))))</f>
        <v>Critical</v>
      </c>
      <c r="J728">
        <f t="shared" si="124"/>
        <v>3.7</v>
      </c>
      <c r="K728">
        <f t="shared" si="125"/>
        <v>4.6499999999999995</v>
      </c>
      <c r="L728">
        <f t="shared" si="126"/>
        <v>17.204999999999998</v>
      </c>
      <c r="M728">
        <f t="shared" si="127"/>
        <v>4</v>
      </c>
      <c r="N728">
        <f>IF($H728="","",IFERROR(INDEX(_ENGINE_Risk!$T$5:$Y$499,MATCH($E728,_ENGINE_Risk!$A$5:$A$499,0),$H728+1),""))</f>
        <v>4</v>
      </c>
      <c r="O728">
        <f t="shared" si="128"/>
        <v>5</v>
      </c>
      <c r="P728">
        <f t="shared" si="129"/>
        <v>5</v>
      </c>
      <c r="Q728">
        <f t="shared" si="130"/>
        <v>5</v>
      </c>
      <c r="R728">
        <f t="shared" si="131"/>
        <v>5</v>
      </c>
      <c r="S728">
        <f t="shared" si="132"/>
        <v>1.25</v>
      </c>
      <c r="T728" t="str">
        <f>IF($H728="","",IFERROR(INDEX(_ENGINE_Risk!$N$5:$S$499,MATCH($E728,_ENGINE_Risk!$A$5:$A$499,0),$H728+1),""))</f>
        <v>Create an immediate risk owner, minimum control baseline and fallback procedure for line or site transferability if a facility fails. Add it to the crisis risk register and collect first evidence.</v>
      </c>
      <c r="U728">
        <f>IFERROR(INDEX(_DATA_Assessment_Model!$G$5:$G$884,MATCH($E728,_DATA_Assessment_Model!$A$5:$A$884,0)),"")</f>
        <v>5</v>
      </c>
      <c r="V728">
        <f>IFERROR(INDEX(_DATA_Assessment_Model!$W$5:$W$884,MATCH($E728,_DATA_Assessment_Model!$A$5:$A$884,0)),"")</f>
        <v>5</v>
      </c>
      <c r="W728">
        <f>IFERROR(INDEX(_DATA_Assessment_Model!$X$5:$X$884,MATCH($E728,_DATA_Assessment_Model!$A$5:$A$884,0)),"")</f>
        <v>5</v>
      </c>
      <c r="X728">
        <f>IFERROR(INDEX(_DATA_Assessment_Model!$Y$5:$Y$884,MATCH($E728,_DATA_Assessment_Model!$A$5:$A$884,0)),"")</f>
        <v>5</v>
      </c>
      <c r="Y728" t="s">
        <v>2152</v>
      </c>
      <c r="Z728" t="s">
        <v>7780</v>
      </c>
      <c r="AA728" t="s">
        <v>2173</v>
      </c>
      <c r="AB728">
        <f>IFERROR(INDEX(_DATA_Assessment_Model!$U$5:$U$884,MATCH($E728,_DATA_Assessment_Model!$A$5:$A$884,0)),"")</f>
        <v>0</v>
      </c>
      <c r="AF728" t="s">
        <v>2172</v>
      </c>
      <c r="AO728">
        <f>IF($B728="Yes",IF(IFERROR(INDEX(_ENGINE_Crisis!$F$501:$F$517,MATCH($C728,_ENGINE_Crisis!$A$501:$A$517,0)),1)=0,1,IFERROR(INDEX(_ENGINE_Crisis!$F$501:$F$517,MATCH($C728,_ENGINE_Crisis!$A$501:$A$517,0)),1)),"")</f>
        <v>1</v>
      </c>
      <c r="AP728">
        <f t="shared" si="133"/>
        <v>17.2</v>
      </c>
      <c r="AQ728">
        <f t="shared" si="134"/>
        <v>1.25</v>
      </c>
      <c r="AR728" t="str">
        <f>IFERROR(INDEX(_ENGINE_Crisis!$E$41:$E$700,MATCH('Resilience &amp; Risk Scenario'!$B$6&amp;"|"&amp;$C728,_ENGINE_Crisis!$I$41:$I$700,0)),"")</f>
        <v/>
      </c>
      <c r="AS728" t="str">
        <f>IFERROR(INDEX(_ENGINE_Crisis!$G$41:$G$700,MATCH('Resilience &amp; Risk Scenario'!$B$6&amp;"|"&amp;$C728,_ENGINE_Crisis!$I$41:$I$700,0)),"")</f>
        <v/>
      </c>
      <c r="AT728" t="str">
        <f>IFERROR(INDEX(_ENGINE_Initiatives!$A$5:$A$532,MATCH(1,INDEX((_ENGINE_Initiatives!$B$5:$B$532=$C728)*(_ENGINE_Initiatives!$C$5:$C$532=$D728),0),0)),"")</f>
        <v>INI-036</v>
      </c>
      <c r="AU728" t="str">
        <f>IFERROR(INDEX(_ENGINE_Initiatives!$F$5:$F$532,MATCH(1,INDEX((_ENGINE_Initiatives!$B$5:$B$532=$C728)*(_ENGINE_Initiatives!$C$5:$C$532=$D728),0),0)),"")</f>
        <v>Assess production footprint and build alternate production options</v>
      </c>
      <c r="AV728">
        <f>IFERROR(INDEX(_ENGINE_Initiatives!$AC$5:$AC$532,MATCH(1,INDEX((_ENGINE_Initiatives!$B$5:$B$532=$C728)*(_ENGINE_Initiatives!$C$5:$C$532=$D728),0),0)),"")</f>
        <v>1.29</v>
      </c>
      <c r="AW728" t="str">
        <f>IFERROR(INDEX(_ENGINE_Initiatives!$AE$5:$AE$532,MATCH(1,INDEX((_ENGINE_Initiatives!$B$5:$B$532=$C728)*(_ENGINE_Initiatives!$C$5:$C$532=$D728),0),0)),"")</f>
        <v>12+ months</v>
      </c>
      <c r="AX728">
        <f>IF($B728="Yes",IFERROR((IF(SUMIFS(_REF_Model_Content!$E$1:$E$613,_REF_Model_Content!$A$1:$A$613,PV_Canonical_Industry,_REF_Model_Content!$B$1:$B$613,$C728)=0,1,SUMIFS(_REF_Model_Content!$E$1:$E$613,_REF_Model_Content!$A$1:$A$613,PV_Canonical_Industry,_REF_Model_Content!$B$1:$B$613,$C728))*IFERROR($BU728,1)),1),"")</f>
        <v>0.4</v>
      </c>
      <c r="AY728">
        <f t="shared" si="135"/>
        <v>6.88</v>
      </c>
      <c r="AZ728">
        <f t="shared" si="136"/>
        <v>0.5</v>
      </c>
      <c r="BB728" t="str">
        <f>IF($H728="","",IFERROR(INDEX(_ENGINE_Risk!$AE$5:$AE$499,MATCH($E728,_ENGINE_Risk!$A$5:$A$499,0)),"Medium"))</f>
        <v>Fast</v>
      </c>
      <c r="BC728">
        <f t="shared" si="137"/>
        <v>1.25</v>
      </c>
      <c r="BD728">
        <f t="shared" si="138"/>
        <v>0.5</v>
      </c>
      <c r="BF728">
        <f>IF(OR($H728="",$J728=""),"",IFERROR(VLOOKUP(ROUND($J728,0),_CONFIG_Model_Settings!$D$154:$E$158,2,0),""))</f>
        <v>0.5</v>
      </c>
      <c r="BG728">
        <f>IFERROR(IF(OR($H728="",$K728=""),"",ROUND('Company Profile'!$B$113*INDEX(_CONFIG_Model_Settings!$H$154:$H$158,MATCH(ROUND($K728,0),_CONFIG_Model_Settings!$G$154:$G$158,0)),0)),0)</f>
        <v>1875</v>
      </c>
      <c r="BH728">
        <f t="shared" si="139"/>
        <v>937.5</v>
      </c>
      <c r="BI728">
        <f t="shared" si="140"/>
        <v>937.5</v>
      </c>
      <c r="BJ728">
        <f>IF($E728="","",IFERROR(VLOOKUP($C728,_CONFIG_Risk_Calibration!$A$5:$H$21,2,FALSE),3))</f>
        <v>3</v>
      </c>
      <c r="BK728">
        <f>IF($E728="","",IFERROR(VLOOKUP($C728,_CONFIG_Risk_Calibration!$A$5:$H$21,3,FALSE),0))</f>
        <v>0</v>
      </c>
      <c r="BL728">
        <f>IF($E728="","",IFERROR(VLOOKUP($C728,_CONFIG_Risk_Calibration!$A$5:$H$21,4,FALSE),3))</f>
        <v>3</v>
      </c>
      <c r="BM728">
        <f>IF($E728="","",IFERROR(VLOOKUP($C728,_CONFIG_Risk_Calibration!$A$5:$H$21,5,FALSE),3))</f>
        <v>4</v>
      </c>
      <c r="BN728" t="str">
        <f>IF($E728="","",IFERROR(VLOOKUP($C728,_CONFIG_Risk_Calibration!$A$5:$H$21,6,FALSE),"No"))</f>
        <v>No</v>
      </c>
      <c r="BO728">
        <f>IF($E728="","",IFERROR(VLOOKUP($C728,_CONFIG_Risk_Calibration!$A$5:$H$21,7,FALSE),1))</f>
        <v>1</v>
      </c>
      <c r="BP728">
        <f>IF($H728="","",MAX(1,MIN(5,((6-$H728)*0.45)+($BJ728*0.2)+('Resilience &amp; Risk Scenario'!$B$7*0.15)+($BK728*0.1)+($BL728*0.05)+(IF($BB728="Fast",5,IF($BB728="Slow",1,3))*0.05))))</f>
        <v>3.7</v>
      </c>
      <c r="BQ728">
        <f t="shared" si="141"/>
        <v>4.6499999999999995</v>
      </c>
      <c r="BR728">
        <f t="shared" si="142"/>
        <v>17.21</v>
      </c>
      <c r="BS728">
        <f t="shared" si="143"/>
        <v>9.4700000000000006</v>
      </c>
      <c r="BT728" t="str">
        <f>IFERROR(INDEX(_REF_Capability_Bridge!$D:$D,MATCH($C728&amp;"|"&amp;$D728,_REF_Capability_Bridge!$J:$J,0)),IFERROR(INDEX(_REF_Capability_Bridge!$D:$D,MATCH($C728&amp;"|",_REF_Capability_Bridge!$J:$J,0)),"CAP_GENERIC"))</f>
        <v>CAP_PRODUCTION_CAPACITY</v>
      </c>
      <c r="BU728">
        <f>IFERROR(IFERROR(INDEX(_ENGINE_Relevance!$L:$L,MATCH($BT728,_ENGINE_Relevance!$B:$B,0)),1),1)</f>
        <v>0.4</v>
      </c>
      <c r="BV728" t="str">
        <f>IFERROR(INDEX(_REF_Capability_Bridge!$A:$A,MATCH($C728&amp;"|"&amp;$D728,_REF_Capability_Bridge!$J:$J,0)),IFERROR(INDEX(_REF_Capability_Bridge!$A:$A,MATCH($C728&amp;"|",_REF_Capability_Bridge!$J:$J,0)),"No bridge"))</f>
        <v>BRG-058</v>
      </c>
      <c r="BW728" t="str">
        <f t="shared" si="144"/>
        <v>Capability relevance lowers risk priority</v>
      </c>
      <c r="BX728" t="str">
        <f t="shared" si="145"/>
        <v>Initial / absent</v>
      </c>
      <c r="BY728" t="str">
        <f>IF($E728="","",IFERROR(INDEX(_REF_Treatment_Library!$A$2:$A$296,MATCH(1,INDEX((_REF_Treatment_Library!$B$2:$B$296=$BT728)*(_REF_Treatment_Library!$C$2:$C$296=PV_Canonical_Industry)*(_REF_Treatment_Library!$E$2:$E$296&lt;=N($H728))*(_REF_Treatment_Library!$F$2:$F$296&gt;=N($H728))*(_REF_Treatment_Library!$O$2:$O$296="Yes"),0),0)),IFERROR(INDEX(_REF_Treatment_Library!$A$2:$A$296,MATCH(1,INDEX((_REF_Treatment_Library!$B$2:$B$296=$BT728)*(_REF_Treatment_Library!$C$2:$C$296="All")*(_REF_Treatment_Library!$E$2:$E$296&lt;=N($H728))*(_REF_Treatment_Library!$F$2:$F$296&gt;=N($H728))*(_REF_Treatment_Library!$O$2:$O$296="Yes"),0),0)),"")))</f>
        <v>TRT-PRODUCTION_CAPACITY-INITIAL</v>
      </c>
      <c r="BZ728" t="str">
        <f>IF($BY728="","",IFERROR(INDEX(_REF_Treatment_Library!$H$2:$H$296,MATCH($BY728,_REF_Treatment_Library!$A$2:$A$296,0)),""))</f>
        <v>Establish</v>
      </c>
      <c r="CA728" t="str">
        <f>IF($BY728="","",IFERROR(INDEX(_REF_Treatment_Library!$I$2:$I$296,MATCH($BY728,_REF_Treatment_Library!$A$2:$A$296,0)),""))</f>
        <v>Establish baseline controls for Production capacity</v>
      </c>
      <c r="CB728" t="str">
        <f>IF($BY728="","",IFERROR(INDEX(_REF_Treatment_Library!$K$2:$K$296,MATCH($BY728,_REF_Treatment_Library!$A$2:$A$296,0)),""))</f>
        <v>Named owner, baseline process, minimum control checklist, first evidence package</v>
      </c>
      <c r="CC728" t="str">
        <f>IF($BY728="","",IFERROR(INDEX(_REF_Treatment_Library!$L$2:$L$296,MATCH($BY728,_REF_Treatment_Library!$A$2:$A$296,0)),""))</f>
        <v>Owner assigned; baseline evidence coverage; open critical gaps</v>
      </c>
      <c r="CD728" t="str">
        <f t="shared" si="146"/>
        <v>Treatment by capability=CAP_PRODUCTION_CAPACITY; band=Initial / absent; score=0.0; treatment=Establish</v>
      </c>
      <c r="CE728" t="str">
        <f>IF($E728="","",IFERROR(INDEX(_REF_Industry_Wording!$A$2:$A$70,MATCH(1,INDEX((_REF_Industry_Wording!$B$2:$B$70=$BT728)*(_REF_Industry_Wording!$C$2:$C$70=PV_Canonical_Industry)*(_REF_Industry_Wording!$K$2:$K$70="Yes"),0),0)),IFERROR(INDEX(_REF_Industry_Wording!$A$2:$A$70,MATCH(1,INDEX((_REF_Industry_Wording!$B$2:$B$70=$BT728)*(_REF_Industry_Wording!$C$2:$C$70="All")*(_REF_Industry_Wording!$K$2:$K$70="Yes"),0),0)),"")))</f>
        <v>IW-ALL-PRODUCTION_CAPACITY</v>
      </c>
      <c r="CF728" t="str">
        <f>IF($CE728="","",IFERROR(INDEX(_REF_Industry_Wording!$E$2:$E$70,MATCH($CE728,_REF_Industry_Wording!$A$2:$A$70,0)),""))</f>
        <v>Production capacity weakness</v>
      </c>
      <c r="CG728" t="str">
        <f>IF($CE728="","",IFERROR(INDEX(_REF_Industry_Wording!$F$2:$F$70,MATCH($CE728,_REF_Industry_Wording!$A$2:$A$70,0)),""))</f>
        <v>Strengthen Production capacity</v>
      </c>
      <c r="CH728" t="str">
        <f>IF($CE728="","",IFERROR(INDEX(_REF_Industry_Wording!$G$2:$G$70,MATCH($CE728,_REF_Industry_Wording!$A$2:$A$70,0)),""))</f>
        <v>Strengthen Production capacity using the selected maturity treatment, crisis scenario and evidence requirements.</v>
      </c>
      <c r="CI728" t="str">
        <f>IF($CE728="","",IFERROR(INDEX(_REF_Industry_Wording!$H$2:$H$70,MATCH($CE728,_REF_Industry_Wording!$A$2:$A$70,0)),""))</f>
        <v>Production capacity</v>
      </c>
      <c r="CJ728">
        <f>IF($CE728="","",IFERROR(INDEX(_REF_Industry_Wording!$I$2:$I$70,MATCH($CE728,_REF_Industry_Wording!$A$2:$A$70,0)),""))</f>
        <v>0</v>
      </c>
      <c r="CK728" t="str">
        <f>IF($CE728="","",IFERROR(INDEX(_REF_Industry_Wording!$J$2:$J$70,MATCH($CE728,_REF_Industry_Wording!$A$2:$A$70,0)),""))</f>
        <v>Production capacity</v>
      </c>
      <c r="CL728" t="str">
        <f t="shared" si="147"/>
        <v>Wording by industry=0; capability=CAP_PRODUCTION_CAPACITY; risk label=Production capacity weakness</v>
      </c>
      <c r="CM728" t="str">
        <f t="shared" si="148"/>
        <v>RISK-ONT-0229</v>
      </c>
      <c r="CN728" t="str">
        <f t="shared" si="149"/>
        <v>RISK-EVT-0229</v>
      </c>
      <c r="CO728" t="str">
        <f t="shared" si="150"/>
        <v>Manufacturing MES|Production footprint|MANU-005|CAP_PRODUCTION_CAPACITY</v>
      </c>
      <c r="CP728" t="str">
        <f t="shared" si="151"/>
        <v>Active</v>
      </c>
      <c r="CQ728" t="str">
        <f t="shared" si="152"/>
        <v>OK: capability-driven</v>
      </c>
      <c r="CR728" t="str">
        <f t="shared" si="153"/>
        <v>Risk ontology uses capability=CAP_PRODUCTION_CAPACITY; bridge=BRG-058; treatment=TRT-PRODUCTION_CAPACITY-INITIAL; wording=IW-ALL-PRODUCTION_CAPACITY</v>
      </c>
      <c r="CS728" t="str">
        <f t="shared" si="154"/>
        <v>Yes</v>
      </c>
    </row>
    <row r="729" spans="1:97" ht="69.900000000000006" customHeight="1">
      <c r="A729">
        <f>IF(OR($B729&lt;&gt;"Yes",$BS729=""),"",SUMPRODUCT(($B$500:$B$923="Yes")*ISNUMBER($BS$500:$BS$923)*($BS$500:$BS$923&gt;$BS729))+COUNTIFS($B$500:$B729,"Yes",$BS$500:$BS729,$BS729))</f>
        <v>411</v>
      </c>
      <c r="B729" t="str">
        <f t="shared" si="123"/>
        <v>Yes</v>
      </c>
      <c r="C729" t="s">
        <v>2145</v>
      </c>
      <c r="D729" t="s">
        <v>2147</v>
      </c>
      <c r="E729" t="s">
        <v>2175</v>
      </c>
      <c r="F729" t="s">
        <v>3688</v>
      </c>
      <c r="G729" t="str">
        <f>IF($H729="","",IFERROR(INDEX(_ENGINE_Risk!$H$5:$M$499,MATCH($E729,_ENGINE_Risk!$A$5:$A$499,0),$H729+1),""))</f>
        <v>Severe risk: contract manufacturing capacity, quality, continuity, security and compliance is not reliably controlled. During Manufacturing disruption; Safety incident; Energy outage; Cyberattack, the organization may face production stoppage, quality defects, low asset visibility and inability to recover shop-floor operations with limited visibility or accountability.</v>
      </c>
      <c r="H729">
        <f>IFERROR(VALUE(INDEX(_DATA_Assessment_Model!$H$5:$H$884,MATCH($E729,_DATA_Assessment_Model!$A$5:$A$884,0))),"")</f>
        <v>0</v>
      </c>
      <c r="I729" t="str">
        <f>IF($H729="","",IFERROR(INDEX(_DATA_Assessment_Model!$L$5:$L$884,MATCH($E729,_DATA_Assessment_Model!$A$5:$A$884,0)),IF($H729&lt;=1,"Critical",IF($H729=2,"High",IF($H729=3,"Medium",IF($H729=4,"Low","Resilient"))))))</f>
        <v>Critical</v>
      </c>
      <c r="J729">
        <f t="shared" si="124"/>
        <v>3.7</v>
      </c>
      <c r="K729">
        <f t="shared" si="125"/>
        <v>4.6499999999999995</v>
      </c>
      <c r="L729">
        <f t="shared" si="126"/>
        <v>17.204999999999998</v>
      </c>
      <c r="M729">
        <f t="shared" si="127"/>
        <v>4</v>
      </c>
      <c r="N729">
        <f>IF($H729="","",IFERROR(INDEX(_ENGINE_Risk!$T$5:$Y$499,MATCH($E729,_ENGINE_Risk!$A$5:$A$499,0),$H729+1),""))</f>
        <v>4</v>
      </c>
      <c r="O729">
        <f t="shared" si="128"/>
        <v>5</v>
      </c>
      <c r="P729">
        <f t="shared" si="129"/>
        <v>5</v>
      </c>
      <c r="Q729">
        <f t="shared" si="130"/>
        <v>5</v>
      </c>
      <c r="R729">
        <f t="shared" si="131"/>
        <v>5</v>
      </c>
      <c r="S729">
        <f t="shared" si="132"/>
        <v>1.25</v>
      </c>
      <c r="T729" t="str">
        <f>IF($H729="","",IFERROR(INDEX(_ENGINE_Risk!$N$5:$S$499,MATCH($E729,_ENGINE_Risk!$A$5:$A$499,0),$H729+1),""))</f>
        <v>Create an immediate risk owner, minimum control baseline and fallback procedure for contract manufacturing capacity, quality, continuity, security and compliance. Add it to the crisis risk register and collect first evidence.</v>
      </c>
      <c r="U729">
        <f>IFERROR(INDEX(_DATA_Assessment_Model!$G$5:$G$884,MATCH($E729,_DATA_Assessment_Model!$A$5:$A$884,0)),"")</f>
        <v>5</v>
      </c>
      <c r="V729">
        <f>IFERROR(INDEX(_DATA_Assessment_Model!$W$5:$W$884,MATCH($E729,_DATA_Assessment_Model!$A$5:$A$884,0)),"")</f>
        <v>5</v>
      </c>
      <c r="W729">
        <f>IFERROR(INDEX(_DATA_Assessment_Model!$X$5:$X$884,MATCH($E729,_DATA_Assessment_Model!$A$5:$A$884,0)),"")</f>
        <v>5</v>
      </c>
      <c r="X729">
        <f>IFERROR(INDEX(_DATA_Assessment_Model!$Y$5:$Y$884,MATCH($E729,_DATA_Assessment_Model!$A$5:$A$884,0)),"")</f>
        <v>5</v>
      </c>
      <c r="Y729" t="s">
        <v>2152</v>
      </c>
      <c r="Z729" t="s">
        <v>7780</v>
      </c>
      <c r="AA729" t="s">
        <v>2177</v>
      </c>
      <c r="AB729">
        <f>IFERROR(INDEX(_DATA_Assessment_Model!$U$5:$U$884,MATCH($E729,_DATA_Assessment_Model!$A$5:$A$884,0)),"")</f>
        <v>0</v>
      </c>
      <c r="AF729" t="s">
        <v>2176</v>
      </c>
      <c r="AO729">
        <f>IF($B729="Yes",IF(IFERROR(INDEX(_ENGINE_Crisis!$F$501:$F$517,MATCH($C729,_ENGINE_Crisis!$A$501:$A$517,0)),1)=0,1,IFERROR(INDEX(_ENGINE_Crisis!$F$501:$F$517,MATCH($C729,_ENGINE_Crisis!$A$501:$A$517,0)),1)),"")</f>
        <v>1</v>
      </c>
      <c r="AP729">
        <f t="shared" si="133"/>
        <v>17.2</v>
      </c>
      <c r="AQ729">
        <f t="shared" si="134"/>
        <v>1.25</v>
      </c>
      <c r="AR729" t="str">
        <f>IFERROR(INDEX(_ENGINE_Crisis!$E$41:$E$700,MATCH('Resilience &amp; Risk Scenario'!$B$6&amp;"|"&amp;$C729,_ENGINE_Crisis!$I$41:$I$700,0)),"")</f>
        <v/>
      </c>
      <c r="AS729" t="str">
        <f>IFERROR(INDEX(_ENGINE_Crisis!$G$41:$G$700,MATCH('Resilience &amp; Risk Scenario'!$B$6&amp;"|"&amp;$C729,_ENGINE_Crisis!$I$41:$I$700,0)),"")</f>
        <v/>
      </c>
      <c r="AT729" t="str">
        <f>IFERROR(INDEX(_ENGINE_Initiatives!$A$5:$A$532,MATCH(1,INDEX((_ENGINE_Initiatives!$B$5:$B$532=$C729)*(_ENGINE_Initiatives!$C$5:$C$532=$D729),0),0)),"")</f>
        <v>INI-036</v>
      </c>
      <c r="AU729" t="str">
        <f>IFERROR(INDEX(_ENGINE_Initiatives!$F$5:$F$532,MATCH(1,INDEX((_ENGINE_Initiatives!$B$5:$B$532=$C729)*(_ENGINE_Initiatives!$C$5:$C$532=$D729),0),0)),"")</f>
        <v>Assess production footprint and build alternate production options</v>
      </c>
      <c r="AV729">
        <f>IFERROR(INDEX(_ENGINE_Initiatives!$AC$5:$AC$532,MATCH(1,INDEX((_ENGINE_Initiatives!$B$5:$B$532=$C729)*(_ENGINE_Initiatives!$C$5:$C$532=$D729),0),0)),"")</f>
        <v>1.29</v>
      </c>
      <c r="AW729" t="str">
        <f>IFERROR(INDEX(_ENGINE_Initiatives!$AE$5:$AE$532,MATCH(1,INDEX((_ENGINE_Initiatives!$B$5:$B$532=$C729)*(_ENGINE_Initiatives!$C$5:$C$532=$D729),0),0)),"")</f>
        <v>12+ months</v>
      </c>
      <c r="AX729">
        <f>IF($B729="Yes",IFERROR((IF(SUMIFS(_REF_Model_Content!$E$1:$E$613,_REF_Model_Content!$A$1:$A$613,PV_Canonical_Industry,_REF_Model_Content!$B$1:$B$613,$C729)=0,1,SUMIFS(_REF_Model_Content!$E$1:$E$613,_REF_Model_Content!$A$1:$A$613,PV_Canonical_Industry,_REF_Model_Content!$B$1:$B$613,$C729))*IFERROR($BU729,1)),1),"")</f>
        <v>0.4</v>
      </c>
      <c r="AY729">
        <f t="shared" si="135"/>
        <v>6.88</v>
      </c>
      <c r="AZ729">
        <f t="shared" si="136"/>
        <v>0.5</v>
      </c>
      <c r="BB729" t="str">
        <f>IF($H729="","",IFERROR(INDEX(_ENGINE_Risk!$AE$5:$AE$499,MATCH($E729,_ENGINE_Risk!$A$5:$A$499,0)),"Medium"))</f>
        <v>Fast</v>
      </c>
      <c r="BC729">
        <f t="shared" si="137"/>
        <v>1.25</v>
      </c>
      <c r="BD729">
        <f t="shared" si="138"/>
        <v>0.5</v>
      </c>
      <c r="BF729">
        <f>IF(OR($H729="",$J729=""),"",IFERROR(VLOOKUP(ROUND($J729,0),_CONFIG_Model_Settings!$D$154:$E$158,2,0),""))</f>
        <v>0.5</v>
      </c>
      <c r="BG729">
        <f>IFERROR(IF(OR($H729="",$K729=""),"",ROUND('Company Profile'!$B$113*INDEX(_CONFIG_Model_Settings!$H$154:$H$158,MATCH(ROUND($K729,0),_CONFIG_Model_Settings!$G$154:$G$158,0)),0)),0)</f>
        <v>1875</v>
      </c>
      <c r="BH729">
        <f t="shared" si="139"/>
        <v>937.5</v>
      </c>
      <c r="BI729">
        <f t="shared" si="140"/>
        <v>937.5</v>
      </c>
      <c r="BJ729">
        <f>IF($E729="","",IFERROR(VLOOKUP($C729,_CONFIG_Risk_Calibration!$A$5:$H$21,2,FALSE),3))</f>
        <v>3</v>
      </c>
      <c r="BK729">
        <f>IF($E729="","",IFERROR(VLOOKUP($C729,_CONFIG_Risk_Calibration!$A$5:$H$21,3,FALSE),0))</f>
        <v>0</v>
      </c>
      <c r="BL729">
        <f>IF($E729="","",IFERROR(VLOOKUP($C729,_CONFIG_Risk_Calibration!$A$5:$H$21,4,FALSE),3))</f>
        <v>3</v>
      </c>
      <c r="BM729">
        <f>IF($E729="","",IFERROR(VLOOKUP($C729,_CONFIG_Risk_Calibration!$A$5:$H$21,5,FALSE),3))</f>
        <v>4</v>
      </c>
      <c r="BN729" t="str">
        <f>IF($E729="","",IFERROR(VLOOKUP($C729,_CONFIG_Risk_Calibration!$A$5:$H$21,6,FALSE),"No"))</f>
        <v>No</v>
      </c>
      <c r="BO729">
        <f>IF($E729="","",IFERROR(VLOOKUP($C729,_CONFIG_Risk_Calibration!$A$5:$H$21,7,FALSE),1))</f>
        <v>1</v>
      </c>
      <c r="BP729">
        <f>IF($H729="","",MAX(1,MIN(5,((6-$H729)*0.45)+($BJ729*0.2)+('Resilience &amp; Risk Scenario'!$B$7*0.15)+($BK729*0.1)+($BL729*0.05)+(IF($BB729="Fast",5,IF($BB729="Slow",1,3))*0.05))))</f>
        <v>3.7</v>
      </c>
      <c r="BQ729">
        <f t="shared" si="141"/>
        <v>4.6499999999999995</v>
      </c>
      <c r="BR729">
        <f t="shared" si="142"/>
        <v>17.21</v>
      </c>
      <c r="BS729">
        <f t="shared" si="143"/>
        <v>9.4700000000000006</v>
      </c>
      <c r="BT729" t="str">
        <f>IFERROR(INDEX(_REF_Capability_Bridge!$D:$D,MATCH($C729&amp;"|"&amp;$D729,_REF_Capability_Bridge!$J:$J,0)),IFERROR(INDEX(_REF_Capability_Bridge!$D:$D,MATCH($C729&amp;"|",_REF_Capability_Bridge!$J:$J,0)),"CAP_GENERIC"))</f>
        <v>CAP_PRODUCTION_CAPACITY</v>
      </c>
      <c r="BU729">
        <f>IFERROR(IFERROR(INDEX(_ENGINE_Relevance!$L:$L,MATCH($BT729,_ENGINE_Relevance!$B:$B,0)),1),1)</f>
        <v>0.4</v>
      </c>
      <c r="BV729" t="str">
        <f>IFERROR(INDEX(_REF_Capability_Bridge!$A:$A,MATCH($C729&amp;"|"&amp;$D729,_REF_Capability_Bridge!$J:$J,0)),IFERROR(INDEX(_REF_Capability_Bridge!$A:$A,MATCH($C729&amp;"|",_REF_Capability_Bridge!$J:$J,0)),"No bridge"))</f>
        <v>BRG-058</v>
      </c>
      <c r="BW729" t="str">
        <f t="shared" si="144"/>
        <v>Capability relevance lowers risk priority</v>
      </c>
      <c r="BX729" t="str">
        <f t="shared" si="145"/>
        <v>Initial / absent</v>
      </c>
      <c r="BY729" t="str">
        <f>IF($E729="","",IFERROR(INDEX(_REF_Treatment_Library!$A$2:$A$296,MATCH(1,INDEX((_REF_Treatment_Library!$B$2:$B$296=$BT729)*(_REF_Treatment_Library!$C$2:$C$296=PV_Canonical_Industry)*(_REF_Treatment_Library!$E$2:$E$296&lt;=N($H729))*(_REF_Treatment_Library!$F$2:$F$296&gt;=N($H729))*(_REF_Treatment_Library!$O$2:$O$296="Yes"),0),0)),IFERROR(INDEX(_REF_Treatment_Library!$A$2:$A$296,MATCH(1,INDEX((_REF_Treatment_Library!$B$2:$B$296=$BT729)*(_REF_Treatment_Library!$C$2:$C$296="All")*(_REF_Treatment_Library!$E$2:$E$296&lt;=N($H729))*(_REF_Treatment_Library!$F$2:$F$296&gt;=N($H729))*(_REF_Treatment_Library!$O$2:$O$296="Yes"),0),0)),"")))</f>
        <v>TRT-PRODUCTION_CAPACITY-INITIAL</v>
      </c>
      <c r="BZ729" t="str">
        <f>IF($BY729="","",IFERROR(INDEX(_REF_Treatment_Library!$H$2:$H$296,MATCH($BY729,_REF_Treatment_Library!$A$2:$A$296,0)),""))</f>
        <v>Establish</v>
      </c>
      <c r="CA729" t="str">
        <f>IF($BY729="","",IFERROR(INDEX(_REF_Treatment_Library!$I$2:$I$296,MATCH($BY729,_REF_Treatment_Library!$A$2:$A$296,0)),""))</f>
        <v>Establish baseline controls for Production capacity</v>
      </c>
      <c r="CB729" t="str">
        <f>IF($BY729="","",IFERROR(INDEX(_REF_Treatment_Library!$K$2:$K$296,MATCH($BY729,_REF_Treatment_Library!$A$2:$A$296,0)),""))</f>
        <v>Named owner, baseline process, minimum control checklist, first evidence package</v>
      </c>
      <c r="CC729" t="str">
        <f>IF($BY729="","",IFERROR(INDEX(_REF_Treatment_Library!$L$2:$L$296,MATCH($BY729,_REF_Treatment_Library!$A$2:$A$296,0)),""))</f>
        <v>Owner assigned; baseline evidence coverage; open critical gaps</v>
      </c>
      <c r="CD729" t="str">
        <f t="shared" si="146"/>
        <v>Treatment by capability=CAP_PRODUCTION_CAPACITY; band=Initial / absent; score=0.0; treatment=Establish</v>
      </c>
      <c r="CE729" t="str">
        <f>IF($E729="","",IFERROR(INDEX(_REF_Industry_Wording!$A$2:$A$70,MATCH(1,INDEX((_REF_Industry_Wording!$B$2:$B$70=$BT729)*(_REF_Industry_Wording!$C$2:$C$70=PV_Canonical_Industry)*(_REF_Industry_Wording!$K$2:$K$70="Yes"),0),0)),IFERROR(INDEX(_REF_Industry_Wording!$A$2:$A$70,MATCH(1,INDEX((_REF_Industry_Wording!$B$2:$B$70=$BT729)*(_REF_Industry_Wording!$C$2:$C$70="All")*(_REF_Industry_Wording!$K$2:$K$70="Yes"),0),0)),"")))</f>
        <v>IW-ALL-PRODUCTION_CAPACITY</v>
      </c>
      <c r="CF729" t="str">
        <f>IF($CE729="","",IFERROR(INDEX(_REF_Industry_Wording!$E$2:$E$70,MATCH($CE729,_REF_Industry_Wording!$A$2:$A$70,0)),""))</f>
        <v>Production capacity weakness</v>
      </c>
      <c r="CG729" t="str">
        <f>IF($CE729="","",IFERROR(INDEX(_REF_Industry_Wording!$F$2:$F$70,MATCH($CE729,_REF_Industry_Wording!$A$2:$A$70,0)),""))</f>
        <v>Strengthen Production capacity</v>
      </c>
      <c r="CH729" t="str">
        <f>IF($CE729="","",IFERROR(INDEX(_REF_Industry_Wording!$G$2:$G$70,MATCH($CE729,_REF_Industry_Wording!$A$2:$A$70,0)),""))</f>
        <v>Strengthen Production capacity using the selected maturity treatment, crisis scenario and evidence requirements.</v>
      </c>
      <c r="CI729" t="str">
        <f>IF($CE729="","",IFERROR(INDEX(_REF_Industry_Wording!$H$2:$H$70,MATCH($CE729,_REF_Industry_Wording!$A$2:$A$70,0)),""))</f>
        <v>Production capacity</v>
      </c>
      <c r="CJ729">
        <f>IF($CE729="","",IFERROR(INDEX(_REF_Industry_Wording!$I$2:$I$70,MATCH($CE729,_REF_Industry_Wording!$A$2:$A$70,0)),""))</f>
        <v>0</v>
      </c>
      <c r="CK729" t="str">
        <f>IF($CE729="","",IFERROR(INDEX(_REF_Industry_Wording!$J$2:$J$70,MATCH($CE729,_REF_Industry_Wording!$A$2:$A$70,0)),""))</f>
        <v>Production capacity</v>
      </c>
      <c r="CL729" t="str">
        <f t="shared" si="147"/>
        <v>Wording by industry=0; capability=CAP_PRODUCTION_CAPACITY; risk label=Production capacity weakness</v>
      </c>
      <c r="CM729" t="str">
        <f t="shared" si="148"/>
        <v>RISK-ONT-0230</v>
      </c>
      <c r="CN729" t="str">
        <f t="shared" si="149"/>
        <v>RISK-EVT-0230</v>
      </c>
      <c r="CO729" t="str">
        <f t="shared" si="150"/>
        <v>Manufacturing MES|Production footprint|MANU-006|CAP_PRODUCTION_CAPACITY</v>
      </c>
      <c r="CP729" t="str">
        <f t="shared" si="151"/>
        <v>Active</v>
      </c>
      <c r="CQ729" t="str">
        <f t="shared" si="152"/>
        <v>OK: capability-driven</v>
      </c>
      <c r="CR729" t="str">
        <f t="shared" si="153"/>
        <v>Risk ontology uses capability=CAP_PRODUCTION_CAPACITY; bridge=BRG-058; treatment=TRT-PRODUCTION_CAPACITY-INITIAL; wording=IW-ALL-PRODUCTION_CAPACITY</v>
      </c>
      <c r="CS729" t="str">
        <f t="shared" si="154"/>
        <v>Yes</v>
      </c>
    </row>
    <row r="730" spans="1:97" ht="69.900000000000006" customHeight="1">
      <c r="A730">
        <f>IF(OR($B730&lt;&gt;"Yes",$BS730=""),"",SUMPRODUCT(($B$500:$B$923="Yes")*ISNUMBER($BS$500:$BS$923)*($BS$500:$BS$923&gt;$BS730))+COUNTIFS($B$500:$B730,"Yes",$BS$500:$BS730,$BS730))</f>
        <v>412</v>
      </c>
      <c r="B730" t="str">
        <f t="shared" si="123"/>
        <v>Yes</v>
      </c>
      <c r="C730" t="s">
        <v>2145</v>
      </c>
      <c r="D730" t="s">
        <v>2156</v>
      </c>
      <c r="E730" t="s">
        <v>2178</v>
      </c>
      <c r="F730" t="s">
        <v>3688</v>
      </c>
      <c r="G730" t="str">
        <f>IF($H730="","",IFERROR(INDEX(_ENGINE_Risk!$H$5:$M$499,MATCH($E730,_ENGINE_Risk!$A$5:$A$499,0),$H730+1),""))</f>
        <v>Severe risk: MES or equivalent shop-floor control for orders, operations, traceability, downtime and quality is not reliably controlled. During Manufacturing disruption; Safety incident; Energy outage; Cyberattack, the organization may face production stoppage, quality defects, low asset visibility and inability to recover shop-floor operations with limited visibility or accountability.</v>
      </c>
      <c r="H730">
        <f>IFERROR(VALUE(INDEX(_DATA_Assessment_Model!$H$5:$H$884,MATCH($E730,_DATA_Assessment_Model!$A$5:$A$884,0))),"")</f>
        <v>0</v>
      </c>
      <c r="I730" t="str">
        <f>IF($H730="","",IFERROR(INDEX(_DATA_Assessment_Model!$L$5:$L$884,MATCH($E730,_DATA_Assessment_Model!$A$5:$A$884,0)),IF($H730&lt;=1,"Critical",IF($H730=2,"High",IF($H730=3,"Medium",IF($H730=4,"Low","Resilient"))))))</f>
        <v>Critical</v>
      </c>
      <c r="J730">
        <f t="shared" si="124"/>
        <v>3.7</v>
      </c>
      <c r="K730">
        <f t="shared" si="125"/>
        <v>4.6499999999999995</v>
      </c>
      <c r="L730">
        <f t="shared" si="126"/>
        <v>17.204999999999998</v>
      </c>
      <c r="M730">
        <f t="shared" si="127"/>
        <v>4</v>
      </c>
      <c r="N730">
        <f>IF($H730="","",IFERROR(INDEX(_ENGINE_Risk!$T$5:$Y$499,MATCH($E730,_ENGINE_Risk!$A$5:$A$499,0),$H730+1),""))</f>
        <v>4</v>
      </c>
      <c r="O730">
        <f t="shared" si="128"/>
        <v>5</v>
      </c>
      <c r="P730">
        <f t="shared" si="129"/>
        <v>5</v>
      </c>
      <c r="Q730">
        <f t="shared" si="130"/>
        <v>5</v>
      </c>
      <c r="R730">
        <f t="shared" si="131"/>
        <v>5</v>
      </c>
      <c r="S730">
        <f t="shared" si="132"/>
        <v>1.25</v>
      </c>
      <c r="T730" t="str">
        <f>IF($H730="","",IFERROR(INDEX(_ENGINE_Risk!$N$5:$S$499,MATCH($E730,_ENGINE_Risk!$A$5:$A$499,0),$H730+1),""))</f>
        <v>Create an immediate risk owner, minimum control baseline and fallback procedure for MES or equivalent shop-floor control for orders, operations, traceability, downtime and quality. Add it to the crisis risk register and collect first evidence.</v>
      </c>
      <c r="U730">
        <f>IFERROR(INDEX(_DATA_Assessment_Model!$G$5:$G$884,MATCH($E730,_DATA_Assessment_Model!$A$5:$A$884,0)),"")</f>
        <v>5</v>
      </c>
      <c r="V730">
        <f>IFERROR(INDEX(_DATA_Assessment_Model!$W$5:$W$884,MATCH($E730,_DATA_Assessment_Model!$A$5:$A$884,0)),"")</f>
        <v>5</v>
      </c>
      <c r="W730">
        <f>IFERROR(INDEX(_DATA_Assessment_Model!$X$5:$X$884,MATCH($E730,_DATA_Assessment_Model!$A$5:$A$884,0)),"")</f>
        <v>5</v>
      </c>
      <c r="X730">
        <f>IFERROR(INDEX(_DATA_Assessment_Model!$Y$5:$Y$884,MATCH($E730,_DATA_Assessment_Model!$A$5:$A$884,0)),"")</f>
        <v>5</v>
      </c>
      <c r="Y730" t="s">
        <v>2152</v>
      </c>
      <c r="Z730" t="s">
        <v>7780</v>
      </c>
      <c r="AA730" t="s">
        <v>2180</v>
      </c>
      <c r="AB730">
        <f>IFERROR(INDEX(_DATA_Assessment_Model!$U$5:$U$884,MATCH($E730,_DATA_Assessment_Model!$A$5:$A$884,0)),"")</f>
        <v>0</v>
      </c>
      <c r="AF730" t="s">
        <v>2179</v>
      </c>
      <c r="AO730">
        <f>IF($B730="Yes",IF(IFERROR(INDEX(_ENGINE_Crisis!$F$501:$F$517,MATCH($C730,_ENGINE_Crisis!$A$501:$A$517,0)),1)=0,1,IFERROR(INDEX(_ENGINE_Crisis!$F$501:$F$517,MATCH($C730,_ENGINE_Crisis!$A$501:$A$517,0)),1)),"")</f>
        <v>1</v>
      </c>
      <c r="AP730">
        <f t="shared" si="133"/>
        <v>17.2</v>
      </c>
      <c r="AQ730">
        <f t="shared" si="134"/>
        <v>1.25</v>
      </c>
      <c r="AR730" t="str">
        <f>IFERROR(INDEX(_ENGINE_Crisis!$E$41:$E$700,MATCH('Resilience &amp; Risk Scenario'!$B$6&amp;"|"&amp;$C730,_ENGINE_Crisis!$I$41:$I$700,0)),"")</f>
        <v/>
      </c>
      <c r="AS730" t="str">
        <f>IFERROR(INDEX(_ENGINE_Crisis!$G$41:$G$700,MATCH('Resilience &amp; Risk Scenario'!$B$6&amp;"|"&amp;$C730,_ENGINE_Crisis!$I$41:$I$700,0)),"")</f>
        <v/>
      </c>
      <c r="AT730" t="str">
        <f>IFERROR(INDEX(_ENGINE_Initiatives!$A$5:$A$532,MATCH(1,INDEX((_ENGINE_Initiatives!$B$5:$B$532=$C730)*(_ENGINE_Initiatives!$C$5:$C$532=$D730),0),0)),"")</f>
        <v>INI-037</v>
      </c>
      <c r="AU730" t="str">
        <f>IFERROR(INDEX(_ENGINE_Initiatives!$F$5:$F$532,MATCH(1,INDEX((_ENGINE_Initiatives!$B$5:$B$532=$C730)*(_ENGINE_Initiatives!$C$5:$C$532=$D730),0),0)),"")</f>
        <v>Implement MES and shop-floor digital control foundation</v>
      </c>
      <c r="AV730">
        <f>IFERROR(INDEX(_ENGINE_Initiatives!$AC$5:$AC$532,MATCH(1,INDEX((_ENGINE_Initiatives!$B$5:$B$532=$C730)*(_ENGINE_Initiatives!$C$5:$C$532=$D730),0),0)),"")</f>
        <v>1.29</v>
      </c>
      <c r="AW730" t="str">
        <f>IFERROR(INDEX(_ENGINE_Initiatives!$AE$5:$AE$532,MATCH(1,INDEX((_ENGINE_Initiatives!$B$5:$B$532=$C730)*(_ENGINE_Initiatives!$C$5:$C$532=$D730),0),0)),"")</f>
        <v>12+ months</v>
      </c>
      <c r="AX730">
        <f>IF($B730="Yes",IFERROR((IF(SUMIFS(_REF_Model_Content!$E$1:$E$613,_REF_Model_Content!$A$1:$A$613,PV_Canonical_Industry,_REF_Model_Content!$B$1:$B$613,$C730)=0,1,SUMIFS(_REF_Model_Content!$E$1:$E$613,_REF_Model_Content!$A$1:$A$613,PV_Canonical_Industry,_REF_Model_Content!$B$1:$B$613,$C730))*IFERROR($BU730,1)),1),"")</f>
        <v>0.4</v>
      </c>
      <c r="AY730">
        <f t="shared" si="135"/>
        <v>6.88</v>
      </c>
      <c r="AZ730">
        <f t="shared" si="136"/>
        <v>0.5</v>
      </c>
      <c r="BB730" t="str">
        <f>IF($H730="","",IFERROR(INDEX(_ENGINE_Risk!$AE$5:$AE$499,MATCH($E730,_ENGINE_Risk!$A$5:$A$499,0)),"Medium"))</f>
        <v>Fast</v>
      </c>
      <c r="BC730">
        <f t="shared" si="137"/>
        <v>1.25</v>
      </c>
      <c r="BD730">
        <f t="shared" si="138"/>
        <v>0.5</v>
      </c>
      <c r="BF730">
        <f>IF(OR($H730="",$J730=""),"",IFERROR(VLOOKUP(ROUND($J730,0),_CONFIG_Model_Settings!$D$154:$E$158,2,0),""))</f>
        <v>0.5</v>
      </c>
      <c r="BG730">
        <f>IFERROR(IF(OR($H730="",$K730=""),"",ROUND('Company Profile'!$B$113*INDEX(_CONFIG_Model_Settings!$H$154:$H$158,MATCH(ROUND($K730,0),_CONFIG_Model_Settings!$G$154:$G$158,0)),0)),0)</f>
        <v>1875</v>
      </c>
      <c r="BH730">
        <f t="shared" si="139"/>
        <v>937.5</v>
      </c>
      <c r="BI730">
        <f t="shared" si="140"/>
        <v>937.5</v>
      </c>
      <c r="BJ730">
        <f>IF($E730="","",IFERROR(VLOOKUP($C730,_CONFIG_Risk_Calibration!$A$5:$H$21,2,FALSE),3))</f>
        <v>3</v>
      </c>
      <c r="BK730">
        <f>IF($E730="","",IFERROR(VLOOKUP($C730,_CONFIG_Risk_Calibration!$A$5:$H$21,3,FALSE),0))</f>
        <v>0</v>
      </c>
      <c r="BL730">
        <f>IF($E730="","",IFERROR(VLOOKUP($C730,_CONFIG_Risk_Calibration!$A$5:$H$21,4,FALSE),3))</f>
        <v>3</v>
      </c>
      <c r="BM730">
        <f>IF($E730="","",IFERROR(VLOOKUP($C730,_CONFIG_Risk_Calibration!$A$5:$H$21,5,FALSE),3))</f>
        <v>4</v>
      </c>
      <c r="BN730" t="str">
        <f>IF($E730="","",IFERROR(VLOOKUP($C730,_CONFIG_Risk_Calibration!$A$5:$H$21,6,FALSE),"No"))</f>
        <v>No</v>
      </c>
      <c r="BO730">
        <f>IF($E730="","",IFERROR(VLOOKUP($C730,_CONFIG_Risk_Calibration!$A$5:$H$21,7,FALSE),1))</f>
        <v>1</v>
      </c>
      <c r="BP730">
        <f>IF($H730="","",MAX(1,MIN(5,((6-$H730)*0.45)+($BJ730*0.2)+('Resilience &amp; Risk Scenario'!$B$7*0.15)+($BK730*0.1)+($BL730*0.05)+(IF($BB730="Fast",5,IF($BB730="Slow",1,3))*0.05))))</f>
        <v>3.7</v>
      </c>
      <c r="BQ730">
        <f t="shared" si="141"/>
        <v>4.6499999999999995</v>
      </c>
      <c r="BR730">
        <f t="shared" si="142"/>
        <v>17.21</v>
      </c>
      <c r="BS730">
        <f t="shared" si="143"/>
        <v>9.4700000000000006</v>
      </c>
      <c r="BT730" t="str">
        <f>IFERROR(INDEX(_REF_Capability_Bridge!$D:$D,MATCH($C730&amp;"|"&amp;$D730,_REF_Capability_Bridge!$J:$J,0)),IFERROR(INDEX(_REF_Capability_Bridge!$D:$D,MATCH($C730&amp;"|",_REF_Capability_Bridge!$J:$J,0)),"CAP_GENERIC"))</f>
        <v>CAP_WMS_WAREHOUSE</v>
      </c>
      <c r="BU730">
        <f>IFERROR(IFERROR(INDEX(_ENGINE_Relevance!$L:$L,MATCH($BT730,_ENGINE_Relevance!$B:$B,0)),1),1)</f>
        <v>0.4</v>
      </c>
      <c r="BV730" t="str">
        <f>IFERROR(INDEX(_REF_Capability_Bridge!$A:$A,MATCH($C730&amp;"|"&amp;$D730,_REF_Capability_Bridge!$J:$J,0)),IFERROR(INDEX(_REF_Capability_Bridge!$A:$A,MATCH($C730&amp;"|",_REF_Capability_Bridge!$J:$J,0)),"No bridge"))</f>
        <v>BRG-055</v>
      </c>
      <c r="BW730" t="str">
        <f t="shared" si="144"/>
        <v>Capability relevance lowers risk priority</v>
      </c>
      <c r="BX730" t="str">
        <f t="shared" si="145"/>
        <v>Initial / absent</v>
      </c>
      <c r="BY730" t="str">
        <f>IF($E730="","",IFERROR(INDEX(_REF_Treatment_Library!$A$2:$A$296,MATCH(1,INDEX((_REF_Treatment_Library!$B$2:$B$296=$BT730)*(_REF_Treatment_Library!$C$2:$C$296=PV_Canonical_Industry)*(_REF_Treatment_Library!$E$2:$E$296&lt;=N($H730))*(_REF_Treatment_Library!$F$2:$F$296&gt;=N($H730))*(_REF_Treatment_Library!$O$2:$O$296="Yes"),0),0)),IFERROR(INDEX(_REF_Treatment_Library!$A$2:$A$296,MATCH(1,INDEX((_REF_Treatment_Library!$B$2:$B$296=$BT730)*(_REF_Treatment_Library!$C$2:$C$296="All")*(_REF_Treatment_Library!$E$2:$E$296&lt;=N($H730))*(_REF_Treatment_Library!$F$2:$F$296&gt;=N($H730))*(_REF_Treatment_Library!$O$2:$O$296="Yes"),0),0)),"")))</f>
        <v>TRT-WMS_WAREHOUSE-INITIAL</v>
      </c>
      <c r="BZ730" t="str">
        <f>IF($BY730="","",IFERROR(INDEX(_REF_Treatment_Library!$H$2:$H$296,MATCH($BY730,_REF_Treatment_Library!$A$2:$A$296,0)),""))</f>
        <v>Establish</v>
      </c>
      <c r="CA730" t="str">
        <f>IF($BY730="","",IFERROR(INDEX(_REF_Treatment_Library!$I$2:$I$296,MATCH($BY730,_REF_Treatment_Library!$A$2:$A$296,0)),""))</f>
        <v>Establish baseline controls for Warehouse / WMS</v>
      </c>
      <c r="CB730" t="str">
        <f>IF($BY730="","",IFERROR(INDEX(_REF_Treatment_Library!$K$2:$K$296,MATCH($BY730,_REF_Treatment_Library!$A$2:$A$296,0)),""))</f>
        <v>Named owner, baseline process, minimum control checklist, first evidence package</v>
      </c>
      <c r="CC730" t="str">
        <f>IF($BY730="","",IFERROR(INDEX(_REF_Treatment_Library!$L$2:$L$296,MATCH($BY730,_REF_Treatment_Library!$A$2:$A$296,0)),""))</f>
        <v>Owner assigned; baseline evidence coverage; open critical gaps</v>
      </c>
      <c r="CD730" t="str">
        <f t="shared" si="146"/>
        <v>Treatment by capability=CAP_WMS_WAREHOUSE; band=Initial / absent; score=0.0; treatment=Establish</v>
      </c>
      <c r="CE730" t="str">
        <f>IF($E730="","",IFERROR(INDEX(_REF_Industry_Wording!$A$2:$A$70,MATCH(1,INDEX((_REF_Industry_Wording!$B$2:$B$70=$BT730)*(_REF_Industry_Wording!$C$2:$C$70=PV_Canonical_Industry)*(_REF_Industry_Wording!$K$2:$K$70="Yes"),0),0)),IFERROR(INDEX(_REF_Industry_Wording!$A$2:$A$70,MATCH(1,INDEX((_REF_Industry_Wording!$B$2:$B$70=$BT730)*(_REF_Industry_Wording!$C$2:$C$70="All")*(_REF_Industry_Wording!$K$2:$K$70="Yes"),0),0)),"")))</f>
        <v>IW-ALL-WMS_WAREHOUSE</v>
      </c>
      <c r="CF730" t="str">
        <f>IF($CE730="","",IFERROR(INDEX(_REF_Industry_Wording!$E$2:$E$70,MATCH($CE730,_REF_Industry_Wording!$A$2:$A$70,0)),""))</f>
        <v>Warehouse / WMS weakness</v>
      </c>
      <c r="CG730" t="str">
        <f>IF($CE730="","",IFERROR(INDEX(_REF_Industry_Wording!$F$2:$F$70,MATCH($CE730,_REF_Industry_Wording!$A$2:$A$70,0)),""))</f>
        <v>Strengthen Warehouse / WMS</v>
      </c>
      <c r="CH730" t="str">
        <f>IF($CE730="","",IFERROR(INDEX(_REF_Industry_Wording!$G$2:$G$70,MATCH($CE730,_REF_Industry_Wording!$A$2:$A$70,0)),""))</f>
        <v>Strengthen Warehouse / WMS using the selected maturity treatment, crisis scenario and evidence requirements.</v>
      </c>
      <c r="CI730" t="str">
        <f>IF($CE730="","",IFERROR(INDEX(_REF_Industry_Wording!$H$2:$H$70,MATCH($CE730,_REF_Industry_Wording!$A$2:$A$70,0)),""))</f>
        <v>Warehouse / WMS</v>
      </c>
      <c r="CJ730">
        <f>IF($CE730="","",IFERROR(INDEX(_REF_Industry_Wording!$I$2:$I$70,MATCH($CE730,_REF_Industry_Wording!$A$2:$A$70,0)),""))</f>
        <v>0</v>
      </c>
      <c r="CK730" t="str">
        <f>IF($CE730="","",IFERROR(INDEX(_REF_Industry_Wording!$J$2:$J$70,MATCH($CE730,_REF_Industry_Wording!$A$2:$A$70,0)),""))</f>
        <v>Warehouse / WMS</v>
      </c>
      <c r="CL730" t="str">
        <f t="shared" si="147"/>
        <v>Wording by industry=0; capability=CAP_WMS_WAREHOUSE; risk label=Warehouse / WMS weakness</v>
      </c>
      <c r="CM730" t="str">
        <f t="shared" si="148"/>
        <v>RISK-ONT-0231</v>
      </c>
      <c r="CN730" t="str">
        <f t="shared" si="149"/>
        <v>RISK-EVT-0231</v>
      </c>
      <c r="CO730" t="str">
        <f t="shared" si="150"/>
        <v>Manufacturing MES|MES and shop floor|MANU-007|CAP_WMS_WAREHOUSE</v>
      </c>
      <c r="CP730" t="str">
        <f t="shared" si="151"/>
        <v>Active</v>
      </c>
      <c r="CQ730" t="str">
        <f t="shared" si="152"/>
        <v>OK: capability-driven</v>
      </c>
      <c r="CR730" t="str">
        <f t="shared" si="153"/>
        <v>Risk ontology uses capability=CAP_WMS_WAREHOUSE; bridge=BRG-055; treatment=TRT-WMS_WAREHOUSE-INITIAL; wording=IW-ALL-WMS_WAREHOUSE</v>
      </c>
      <c r="CS730" t="str">
        <f t="shared" si="154"/>
        <v>Yes</v>
      </c>
    </row>
    <row r="731" spans="1:97" ht="69.900000000000006" customHeight="1">
      <c r="A731">
        <f>IF(OR($B731&lt;&gt;"Yes",$BS731=""),"",SUMPRODUCT(($B$500:$B$923="Yes")*ISNUMBER($BS$500:$BS$923)*($BS$500:$BS$923&gt;$BS731))+COUNTIFS($B$500:$B731,"Yes",$BS$500:$BS731,$BS731))</f>
        <v>413</v>
      </c>
      <c r="B731" t="str">
        <f t="shared" si="123"/>
        <v>Yes</v>
      </c>
      <c r="C731" t="s">
        <v>2145</v>
      </c>
      <c r="D731" t="s">
        <v>2156</v>
      </c>
      <c r="E731" t="s">
        <v>2181</v>
      </c>
      <c r="F731" t="s">
        <v>3688</v>
      </c>
      <c r="G731" t="str">
        <f>IF($H731="","",IFERROR(INDEX(_ENGINE_Risk!$H$5:$M$499,MATCH($E731,_ENGINE_Risk!$A$5:$A$499,0),$H731+1),""))</f>
        <v>Severe risk: MES manual or offline fallback procedures is not reliably controlled. During Manufacturing disruption; Safety incident; Energy outage; Cyberattack, the organization may face production stoppage, quality defects, low asset visibility and inability to recover shop-floor operations with limited visibility or accountability.</v>
      </c>
      <c r="H731">
        <f>IFERROR(VALUE(INDEX(_DATA_Assessment_Model!$H$5:$H$884,MATCH($E731,_DATA_Assessment_Model!$A$5:$A$884,0))),"")</f>
        <v>0</v>
      </c>
      <c r="I731" t="str">
        <f>IF($H731="","",IFERROR(INDEX(_DATA_Assessment_Model!$L$5:$L$884,MATCH($E731,_DATA_Assessment_Model!$A$5:$A$884,0)),IF($H731&lt;=1,"Critical",IF($H731=2,"High",IF($H731=3,"Medium",IF($H731=4,"Low","Resilient"))))))</f>
        <v>Critical</v>
      </c>
      <c r="J731">
        <f t="shared" si="124"/>
        <v>3.7</v>
      </c>
      <c r="K731">
        <f t="shared" si="125"/>
        <v>4.6499999999999995</v>
      </c>
      <c r="L731">
        <f t="shared" si="126"/>
        <v>17.204999999999998</v>
      </c>
      <c r="M731">
        <f t="shared" si="127"/>
        <v>4</v>
      </c>
      <c r="N731">
        <f>IF($H731="","",IFERROR(INDEX(_ENGINE_Risk!$T$5:$Y$499,MATCH($E731,_ENGINE_Risk!$A$5:$A$499,0),$H731+1),""))</f>
        <v>4</v>
      </c>
      <c r="O731">
        <f t="shared" si="128"/>
        <v>5</v>
      </c>
      <c r="P731">
        <f t="shared" si="129"/>
        <v>5</v>
      </c>
      <c r="Q731">
        <f t="shared" si="130"/>
        <v>5</v>
      </c>
      <c r="R731">
        <f t="shared" si="131"/>
        <v>5</v>
      </c>
      <c r="S731">
        <f t="shared" si="132"/>
        <v>1.25</v>
      </c>
      <c r="T731" t="str">
        <f>IF($H731="","",IFERROR(INDEX(_ENGINE_Risk!$N$5:$S$499,MATCH($E731,_ENGINE_Risk!$A$5:$A$499,0),$H731+1),""))</f>
        <v>Create an immediate risk owner, minimum control baseline and fallback procedure for MES manual or offline fallback procedures. Add it to the crisis risk register and collect first evidence.</v>
      </c>
      <c r="U731">
        <f>IFERROR(INDEX(_DATA_Assessment_Model!$G$5:$G$884,MATCH($E731,_DATA_Assessment_Model!$A$5:$A$884,0)),"")</f>
        <v>5</v>
      </c>
      <c r="V731">
        <f>IFERROR(INDEX(_DATA_Assessment_Model!$W$5:$W$884,MATCH($E731,_DATA_Assessment_Model!$A$5:$A$884,0)),"")</f>
        <v>5</v>
      </c>
      <c r="W731">
        <f>IFERROR(INDEX(_DATA_Assessment_Model!$X$5:$X$884,MATCH($E731,_DATA_Assessment_Model!$A$5:$A$884,0)),"")</f>
        <v>5</v>
      </c>
      <c r="X731">
        <f>IFERROR(INDEX(_DATA_Assessment_Model!$Y$5:$Y$884,MATCH($E731,_DATA_Assessment_Model!$A$5:$A$884,0)),"")</f>
        <v>5</v>
      </c>
      <c r="Y731" t="s">
        <v>2152</v>
      </c>
      <c r="Z731" t="s">
        <v>7780</v>
      </c>
      <c r="AA731" t="s">
        <v>2183</v>
      </c>
      <c r="AB731">
        <f>IFERROR(INDEX(_DATA_Assessment_Model!$U$5:$U$884,MATCH($E731,_DATA_Assessment_Model!$A$5:$A$884,0)),"")</f>
        <v>0</v>
      </c>
      <c r="AF731" t="s">
        <v>2182</v>
      </c>
      <c r="AO731">
        <f>IF($B731="Yes",IF(IFERROR(INDEX(_ENGINE_Crisis!$F$501:$F$517,MATCH($C731,_ENGINE_Crisis!$A$501:$A$517,0)),1)=0,1,IFERROR(INDEX(_ENGINE_Crisis!$F$501:$F$517,MATCH($C731,_ENGINE_Crisis!$A$501:$A$517,0)),1)),"")</f>
        <v>1</v>
      </c>
      <c r="AP731">
        <f t="shared" si="133"/>
        <v>17.2</v>
      </c>
      <c r="AQ731">
        <f t="shared" si="134"/>
        <v>1.25</v>
      </c>
      <c r="AR731" t="str">
        <f>IFERROR(INDEX(_ENGINE_Crisis!$E$41:$E$700,MATCH('Resilience &amp; Risk Scenario'!$B$6&amp;"|"&amp;$C731,_ENGINE_Crisis!$I$41:$I$700,0)),"")</f>
        <v/>
      </c>
      <c r="AS731" t="str">
        <f>IFERROR(INDEX(_ENGINE_Crisis!$G$41:$G$700,MATCH('Resilience &amp; Risk Scenario'!$B$6&amp;"|"&amp;$C731,_ENGINE_Crisis!$I$41:$I$700,0)),"")</f>
        <v/>
      </c>
      <c r="AT731" t="str">
        <f>IFERROR(INDEX(_ENGINE_Initiatives!$A$5:$A$532,MATCH(1,INDEX((_ENGINE_Initiatives!$B$5:$B$532=$C731)*(_ENGINE_Initiatives!$C$5:$C$532=$D731),0),0)),"")</f>
        <v>INI-037</v>
      </c>
      <c r="AU731" t="str">
        <f>IFERROR(INDEX(_ENGINE_Initiatives!$F$5:$F$532,MATCH(1,INDEX((_ENGINE_Initiatives!$B$5:$B$532=$C731)*(_ENGINE_Initiatives!$C$5:$C$532=$D731),0),0)),"")</f>
        <v>Implement MES and shop-floor digital control foundation</v>
      </c>
      <c r="AV731">
        <f>IFERROR(INDEX(_ENGINE_Initiatives!$AC$5:$AC$532,MATCH(1,INDEX((_ENGINE_Initiatives!$B$5:$B$532=$C731)*(_ENGINE_Initiatives!$C$5:$C$532=$D731),0),0)),"")</f>
        <v>1.29</v>
      </c>
      <c r="AW731" t="str">
        <f>IFERROR(INDEX(_ENGINE_Initiatives!$AE$5:$AE$532,MATCH(1,INDEX((_ENGINE_Initiatives!$B$5:$B$532=$C731)*(_ENGINE_Initiatives!$C$5:$C$532=$D731),0),0)),"")</f>
        <v>12+ months</v>
      </c>
      <c r="AX731">
        <f>IF($B731="Yes",IFERROR((IF(SUMIFS(_REF_Model_Content!$E$1:$E$613,_REF_Model_Content!$A$1:$A$613,PV_Canonical_Industry,_REF_Model_Content!$B$1:$B$613,$C731)=0,1,SUMIFS(_REF_Model_Content!$E$1:$E$613,_REF_Model_Content!$A$1:$A$613,PV_Canonical_Industry,_REF_Model_Content!$B$1:$B$613,$C731))*IFERROR($BU731,1)),1),"")</f>
        <v>0.4</v>
      </c>
      <c r="AY731">
        <f t="shared" si="135"/>
        <v>6.88</v>
      </c>
      <c r="AZ731">
        <f t="shared" si="136"/>
        <v>0.5</v>
      </c>
      <c r="BB731" t="str">
        <f>IF($H731="","",IFERROR(INDEX(_ENGINE_Risk!$AE$5:$AE$499,MATCH($E731,_ENGINE_Risk!$A$5:$A$499,0)),"Medium"))</f>
        <v>Fast</v>
      </c>
      <c r="BC731">
        <f t="shared" si="137"/>
        <v>1.25</v>
      </c>
      <c r="BD731">
        <f t="shared" si="138"/>
        <v>0.5</v>
      </c>
      <c r="BF731">
        <f>IF(OR($H731="",$J731=""),"",IFERROR(VLOOKUP(ROUND($J731,0),_CONFIG_Model_Settings!$D$154:$E$158,2,0),""))</f>
        <v>0.5</v>
      </c>
      <c r="BG731">
        <f>IFERROR(IF(OR($H731="",$K731=""),"",ROUND('Company Profile'!$B$113*INDEX(_CONFIG_Model_Settings!$H$154:$H$158,MATCH(ROUND($K731,0),_CONFIG_Model_Settings!$G$154:$G$158,0)),0)),0)</f>
        <v>1875</v>
      </c>
      <c r="BH731">
        <f t="shared" si="139"/>
        <v>937.5</v>
      </c>
      <c r="BI731">
        <f t="shared" si="140"/>
        <v>937.5</v>
      </c>
      <c r="BJ731">
        <f>IF($E731="","",IFERROR(VLOOKUP($C731,_CONFIG_Risk_Calibration!$A$5:$H$21,2,FALSE),3))</f>
        <v>3</v>
      </c>
      <c r="BK731">
        <f>IF($E731="","",IFERROR(VLOOKUP($C731,_CONFIG_Risk_Calibration!$A$5:$H$21,3,FALSE),0))</f>
        <v>0</v>
      </c>
      <c r="BL731">
        <f>IF($E731="","",IFERROR(VLOOKUP($C731,_CONFIG_Risk_Calibration!$A$5:$H$21,4,FALSE),3))</f>
        <v>3</v>
      </c>
      <c r="BM731">
        <f>IF($E731="","",IFERROR(VLOOKUP($C731,_CONFIG_Risk_Calibration!$A$5:$H$21,5,FALSE),3))</f>
        <v>4</v>
      </c>
      <c r="BN731" t="str">
        <f>IF($E731="","",IFERROR(VLOOKUP($C731,_CONFIG_Risk_Calibration!$A$5:$H$21,6,FALSE),"No"))</f>
        <v>No</v>
      </c>
      <c r="BO731">
        <f>IF($E731="","",IFERROR(VLOOKUP($C731,_CONFIG_Risk_Calibration!$A$5:$H$21,7,FALSE),1))</f>
        <v>1</v>
      </c>
      <c r="BP731">
        <f>IF($H731="","",MAX(1,MIN(5,((6-$H731)*0.45)+($BJ731*0.2)+('Resilience &amp; Risk Scenario'!$B$7*0.15)+($BK731*0.1)+($BL731*0.05)+(IF($BB731="Fast",5,IF($BB731="Slow",1,3))*0.05))))</f>
        <v>3.7</v>
      </c>
      <c r="BQ731">
        <f t="shared" si="141"/>
        <v>4.6499999999999995</v>
      </c>
      <c r="BR731">
        <f t="shared" si="142"/>
        <v>17.21</v>
      </c>
      <c r="BS731">
        <f t="shared" si="143"/>
        <v>9.4700000000000006</v>
      </c>
      <c r="BT731" t="str">
        <f>IFERROR(INDEX(_REF_Capability_Bridge!$D:$D,MATCH($C731&amp;"|"&amp;$D731,_REF_Capability_Bridge!$J:$J,0)),IFERROR(INDEX(_REF_Capability_Bridge!$D:$D,MATCH($C731&amp;"|",_REF_Capability_Bridge!$J:$J,0)),"CAP_GENERIC"))</f>
        <v>CAP_WMS_WAREHOUSE</v>
      </c>
      <c r="BU731">
        <f>IFERROR(IFERROR(INDEX(_ENGINE_Relevance!$L:$L,MATCH($BT731,_ENGINE_Relevance!$B:$B,0)),1),1)</f>
        <v>0.4</v>
      </c>
      <c r="BV731" t="str">
        <f>IFERROR(INDEX(_REF_Capability_Bridge!$A:$A,MATCH($C731&amp;"|"&amp;$D731,_REF_Capability_Bridge!$J:$J,0)),IFERROR(INDEX(_REF_Capability_Bridge!$A:$A,MATCH($C731&amp;"|",_REF_Capability_Bridge!$J:$J,0)),"No bridge"))</f>
        <v>BRG-055</v>
      </c>
      <c r="BW731" t="str">
        <f t="shared" si="144"/>
        <v>Capability relevance lowers risk priority</v>
      </c>
      <c r="BX731" t="str">
        <f t="shared" si="145"/>
        <v>Initial / absent</v>
      </c>
      <c r="BY731" t="str">
        <f>IF($E731="","",IFERROR(INDEX(_REF_Treatment_Library!$A$2:$A$296,MATCH(1,INDEX((_REF_Treatment_Library!$B$2:$B$296=$BT731)*(_REF_Treatment_Library!$C$2:$C$296=PV_Canonical_Industry)*(_REF_Treatment_Library!$E$2:$E$296&lt;=N($H731))*(_REF_Treatment_Library!$F$2:$F$296&gt;=N($H731))*(_REF_Treatment_Library!$O$2:$O$296="Yes"),0),0)),IFERROR(INDEX(_REF_Treatment_Library!$A$2:$A$296,MATCH(1,INDEX((_REF_Treatment_Library!$B$2:$B$296=$BT731)*(_REF_Treatment_Library!$C$2:$C$296="All")*(_REF_Treatment_Library!$E$2:$E$296&lt;=N($H731))*(_REF_Treatment_Library!$F$2:$F$296&gt;=N($H731))*(_REF_Treatment_Library!$O$2:$O$296="Yes"),0),0)),"")))</f>
        <v>TRT-WMS_WAREHOUSE-INITIAL</v>
      </c>
      <c r="BZ731" t="str">
        <f>IF($BY731="","",IFERROR(INDEX(_REF_Treatment_Library!$H$2:$H$296,MATCH($BY731,_REF_Treatment_Library!$A$2:$A$296,0)),""))</f>
        <v>Establish</v>
      </c>
      <c r="CA731" t="str">
        <f>IF($BY731="","",IFERROR(INDEX(_REF_Treatment_Library!$I$2:$I$296,MATCH($BY731,_REF_Treatment_Library!$A$2:$A$296,0)),""))</f>
        <v>Establish baseline controls for Warehouse / WMS</v>
      </c>
      <c r="CB731" t="str">
        <f>IF($BY731="","",IFERROR(INDEX(_REF_Treatment_Library!$K$2:$K$296,MATCH($BY731,_REF_Treatment_Library!$A$2:$A$296,0)),""))</f>
        <v>Named owner, baseline process, minimum control checklist, first evidence package</v>
      </c>
      <c r="CC731" t="str">
        <f>IF($BY731="","",IFERROR(INDEX(_REF_Treatment_Library!$L$2:$L$296,MATCH($BY731,_REF_Treatment_Library!$A$2:$A$296,0)),""))</f>
        <v>Owner assigned; baseline evidence coverage; open critical gaps</v>
      </c>
      <c r="CD731" t="str">
        <f t="shared" si="146"/>
        <v>Treatment by capability=CAP_WMS_WAREHOUSE; band=Initial / absent; score=0.0; treatment=Establish</v>
      </c>
      <c r="CE731" t="str">
        <f>IF($E731="","",IFERROR(INDEX(_REF_Industry_Wording!$A$2:$A$70,MATCH(1,INDEX((_REF_Industry_Wording!$B$2:$B$70=$BT731)*(_REF_Industry_Wording!$C$2:$C$70=PV_Canonical_Industry)*(_REF_Industry_Wording!$K$2:$K$70="Yes"),0),0)),IFERROR(INDEX(_REF_Industry_Wording!$A$2:$A$70,MATCH(1,INDEX((_REF_Industry_Wording!$B$2:$B$70=$BT731)*(_REF_Industry_Wording!$C$2:$C$70="All")*(_REF_Industry_Wording!$K$2:$K$70="Yes"),0),0)),"")))</f>
        <v>IW-ALL-WMS_WAREHOUSE</v>
      </c>
      <c r="CF731" t="str">
        <f>IF($CE731="","",IFERROR(INDEX(_REF_Industry_Wording!$E$2:$E$70,MATCH($CE731,_REF_Industry_Wording!$A$2:$A$70,0)),""))</f>
        <v>Warehouse / WMS weakness</v>
      </c>
      <c r="CG731" t="str">
        <f>IF($CE731="","",IFERROR(INDEX(_REF_Industry_Wording!$F$2:$F$70,MATCH($CE731,_REF_Industry_Wording!$A$2:$A$70,0)),""))</f>
        <v>Strengthen Warehouse / WMS</v>
      </c>
      <c r="CH731" t="str">
        <f>IF($CE731="","",IFERROR(INDEX(_REF_Industry_Wording!$G$2:$G$70,MATCH($CE731,_REF_Industry_Wording!$A$2:$A$70,0)),""))</f>
        <v>Strengthen Warehouse / WMS using the selected maturity treatment, crisis scenario and evidence requirements.</v>
      </c>
      <c r="CI731" t="str">
        <f>IF($CE731="","",IFERROR(INDEX(_REF_Industry_Wording!$H$2:$H$70,MATCH($CE731,_REF_Industry_Wording!$A$2:$A$70,0)),""))</f>
        <v>Warehouse / WMS</v>
      </c>
      <c r="CJ731">
        <f>IF($CE731="","",IFERROR(INDEX(_REF_Industry_Wording!$I$2:$I$70,MATCH($CE731,_REF_Industry_Wording!$A$2:$A$70,0)),""))</f>
        <v>0</v>
      </c>
      <c r="CK731" t="str">
        <f>IF($CE731="","",IFERROR(INDEX(_REF_Industry_Wording!$J$2:$J$70,MATCH($CE731,_REF_Industry_Wording!$A$2:$A$70,0)),""))</f>
        <v>Warehouse / WMS</v>
      </c>
      <c r="CL731" t="str">
        <f t="shared" si="147"/>
        <v>Wording by industry=0; capability=CAP_WMS_WAREHOUSE; risk label=Warehouse / WMS weakness</v>
      </c>
      <c r="CM731" t="str">
        <f t="shared" si="148"/>
        <v>RISK-ONT-0232</v>
      </c>
      <c r="CN731" t="str">
        <f t="shared" si="149"/>
        <v>RISK-EVT-0232</v>
      </c>
      <c r="CO731" t="str">
        <f t="shared" si="150"/>
        <v>Manufacturing MES|MES and shop floor|MANU-008|CAP_WMS_WAREHOUSE</v>
      </c>
      <c r="CP731" t="str">
        <f t="shared" si="151"/>
        <v>Active</v>
      </c>
      <c r="CQ731" t="str">
        <f t="shared" si="152"/>
        <v>OK: capability-driven</v>
      </c>
      <c r="CR731" t="str">
        <f t="shared" si="153"/>
        <v>Risk ontology uses capability=CAP_WMS_WAREHOUSE; bridge=BRG-055; treatment=TRT-WMS_WAREHOUSE-INITIAL; wording=IW-ALL-WMS_WAREHOUSE</v>
      </c>
      <c r="CS731" t="str">
        <f t="shared" si="154"/>
        <v>Yes</v>
      </c>
    </row>
    <row r="732" spans="1:97" ht="69.900000000000006" customHeight="1">
      <c r="A732">
        <f>IF(OR($B732&lt;&gt;"Yes",$BS732=""),"",SUMPRODUCT(($B$500:$B$923="Yes")*ISNUMBER($BS$500:$BS$923)*($BS$500:$BS$923&gt;$BS732))+COUNTIFS($B$500:$B732,"Yes",$BS$500:$BS732,$BS732))</f>
        <v>414</v>
      </c>
      <c r="B732" t="str">
        <f t="shared" si="123"/>
        <v>Yes</v>
      </c>
      <c r="C732" t="s">
        <v>2145</v>
      </c>
      <c r="D732" t="s">
        <v>2156</v>
      </c>
      <c r="E732" t="s">
        <v>2184</v>
      </c>
      <c r="F732" t="s">
        <v>3688</v>
      </c>
      <c r="G732" t="str">
        <f>IF($H732="","",IFERROR(INDEX(_ENGINE_Risk!$H$5:$M$499,MATCH($E732,_ENGINE_Risk!$A$5:$A$499,0),$H732+1),""))</f>
        <v>Severe risk: ERP-MES-MRP-WMS-quality-maintenance integration and reconciliation is not reliably controlled. During Manufacturing disruption; Safety incident; Energy outage; Cyberattack, the organization may face production stoppage, quality defects, low asset visibility and inability to recover shop-floor operations with limited visibility or accountability.</v>
      </c>
      <c r="H732">
        <f>IFERROR(VALUE(INDEX(_DATA_Assessment_Model!$H$5:$H$884,MATCH($E732,_DATA_Assessment_Model!$A$5:$A$884,0))),"")</f>
        <v>0</v>
      </c>
      <c r="I732" t="str">
        <f>IF($H732="","",IFERROR(INDEX(_DATA_Assessment_Model!$L$5:$L$884,MATCH($E732,_DATA_Assessment_Model!$A$5:$A$884,0)),IF($H732&lt;=1,"Critical",IF($H732=2,"High",IF($H732=3,"Medium",IF($H732=4,"Low","Resilient"))))))</f>
        <v>Critical</v>
      </c>
      <c r="J732">
        <f t="shared" si="124"/>
        <v>3.7</v>
      </c>
      <c r="K732">
        <f t="shared" si="125"/>
        <v>4.6499999999999995</v>
      </c>
      <c r="L732">
        <f t="shared" si="126"/>
        <v>17.204999999999998</v>
      </c>
      <c r="M732">
        <f t="shared" si="127"/>
        <v>4</v>
      </c>
      <c r="N732">
        <f>IF($H732="","",IFERROR(INDEX(_ENGINE_Risk!$T$5:$Y$499,MATCH($E732,_ENGINE_Risk!$A$5:$A$499,0),$H732+1),""))</f>
        <v>4</v>
      </c>
      <c r="O732">
        <f t="shared" si="128"/>
        <v>5</v>
      </c>
      <c r="P732">
        <f t="shared" si="129"/>
        <v>5</v>
      </c>
      <c r="Q732">
        <f t="shared" si="130"/>
        <v>5</v>
      </c>
      <c r="R732">
        <f t="shared" si="131"/>
        <v>5</v>
      </c>
      <c r="S732">
        <f t="shared" si="132"/>
        <v>1.25</v>
      </c>
      <c r="T732" t="str">
        <f>IF($H732="","",IFERROR(INDEX(_ENGINE_Risk!$N$5:$S$499,MATCH($E732,_ENGINE_Risk!$A$5:$A$499,0),$H732+1),""))</f>
        <v>Create an immediate risk owner, minimum control baseline and fallback procedure for ERP-MES-MRP-WMS-quality-maintenance integration and reconciliation. Add it to the crisis risk register and collect first evidence.</v>
      </c>
      <c r="U732">
        <f>IFERROR(INDEX(_DATA_Assessment_Model!$G$5:$G$884,MATCH($E732,_DATA_Assessment_Model!$A$5:$A$884,0)),"")</f>
        <v>5</v>
      </c>
      <c r="V732">
        <f>IFERROR(INDEX(_DATA_Assessment_Model!$W$5:$W$884,MATCH($E732,_DATA_Assessment_Model!$A$5:$A$884,0)),"")</f>
        <v>5</v>
      </c>
      <c r="W732">
        <f>IFERROR(INDEX(_DATA_Assessment_Model!$X$5:$X$884,MATCH($E732,_DATA_Assessment_Model!$A$5:$A$884,0)),"")</f>
        <v>5</v>
      </c>
      <c r="X732">
        <f>IFERROR(INDEX(_DATA_Assessment_Model!$Y$5:$Y$884,MATCH($E732,_DATA_Assessment_Model!$A$5:$A$884,0)),"")</f>
        <v>5</v>
      </c>
      <c r="Y732" t="s">
        <v>2152</v>
      </c>
      <c r="Z732" t="s">
        <v>7780</v>
      </c>
      <c r="AA732" t="s">
        <v>2186</v>
      </c>
      <c r="AB732">
        <f>IFERROR(INDEX(_DATA_Assessment_Model!$U$5:$U$884,MATCH($E732,_DATA_Assessment_Model!$A$5:$A$884,0)),"")</f>
        <v>0</v>
      </c>
      <c r="AF732" t="s">
        <v>2185</v>
      </c>
      <c r="AO732">
        <f>IF($B732="Yes",IF(IFERROR(INDEX(_ENGINE_Crisis!$F$501:$F$517,MATCH($C732,_ENGINE_Crisis!$A$501:$A$517,0)),1)=0,1,IFERROR(INDEX(_ENGINE_Crisis!$F$501:$F$517,MATCH($C732,_ENGINE_Crisis!$A$501:$A$517,0)),1)),"")</f>
        <v>1</v>
      </c>
      <c r="AP732">
        <f t="shared" si="133"/>
        <v>17.2</v>
      </c>
      <c r="AQ732">
        <f t="shared" si="134"/>
        <v>1.25</v>
      </c>
      <c r="AR732" t="str">
        <f>IFERROR(INDEX(_ENGINE_Crisis!$E$41:$E$700,MATCH('Resilience &amp; Risk Scenario'!$B$6&amp;"|"&amp;$C732,_ENGINE_Crisis!$I$41:$I$700,0)),"")</f>
        <v/>
      </c>
      <c r="AS732" t="str">
        <f>IFERROR(INDEX(_ENGINE_Crisis!$G$41:$G$700,MATCH('Resilience &amp; Risk Scenario'!$B$6&amp;"|"&amp;$C732,_ENGINE_Crisis!$I$41:$I$700,0)),"")</f>
        <v/>
      </c>
      <c r="AT732" t="str">
        <f>IFERROR(INDEX(_ENGINE_Initiatives!$A$5:$A$532,MATCH(1,INDEX((_ENGINE_Initiatives!$B$5:$B$532=$C732)*(_ENGINE_Initiatives!$C$5:$C$532=$D732),0),0)),"")</f>
        <v>INI-037</v>
      </c>
      <c r="AU732" t="str">
        <f>IFERROR(INDEX(_ENGINE_Initiatives!$F$5:$F$532,MATCH(1,INDEX((_ENGINE_Initiatives!$B$5:$B$532=$C732)*(_ENGINE_Initiatives!$C$5:$C$532=$D732),0),0)),"")</f>
        <v>Implement MES and shop-floor digital control foundation</v>
      </c>
      <c r="AV732">
        <f>IFERROR(INDEX(_ENGINE_Initiatives!$AC$5:$AC$532,MATCH(1,INDEX((_ENGINE_Initiatives!$B$5:$B$532=$C732)*(_ENGINE_Initiatives!$C$5:$C$532=$D732),0),0)),"")</f>
        <v>1.29</v>
      </c>
      <c r="AW732" t="str">
        <f>IFERROR(INDEX(_ENGINE_Initiatives!$AE$5:$AE$532,MATCH(1,INDEX((_ENGINE_Initiatives!$B$5:$B$532=$C732)*(_ENGINE_Initiatives!$C$5:$C$532=$D732),0),0)),"")</f>
        <v>12+ months</v>
      </c>
      <c r="AX732">
        <f>IF($B732="Yes",IFERROR((IF(SUMIFS(_REF_Model_Content!$E$1:$E$613,_REF_Model_Content!$A$1:$A$613,PV_Canonical_Industry,_REF_Model_Content!$B$1:$B$613,$C732)=0,1,SUMIFS(_REF_Model_Content!$E$1:$E$613,_REF_Model_Content!$A$1:$A$613,PV_Canonical_Industry,_REF_Model_Content!$B$1:$B$613,$C732))*IFERROR($BU732,1)),1),"")</f>
        <v>0.4</v>
      </c>
      <c r="AY732">
        <f t="shared" si="135"/>
        <v>6.88</v>
      </c>
      <c r="AZ732">
        <f t="shared" si="136"/>
        <v>0.5</v>
      </c>
      <c r="BB732" t="str">
        <f>IF($H732="","",IFERROR(INDEX(_ENGINE_Risk!$AE$5:$AE$499,MATCH($E732,_ENGINE_Risk!$A$5:$A$499,0)),"Medium"))</f>
        <v>Fast</v>
      </c>
      <c r="BC732">
        <f t="shared" si="137"/>
        <v>1.25</v>
      </c>
      <c r="BD732">
        <f t="shared" si="138"/>
        <v>0.5</v>
      </c>
      <c r="BF732">
        <f>IF(OR($H732="",$J732=""),"",IFERROR(VLOOKUP(ROUND($J732,0),_CONFIG_Model_Settings!$D$154:$E$158,2,0),""))</f>
        <v>0.5</v>
      </c>
      <c r="BG732">
        <f>IFERROR(IF(OR($H732="",$K732=""),"",ROUND('Company Profile'!$B$113*INDEX(_CONFIG_Model_Settings!$H$154:$H$158,MATCH(ROUND($K732,0),_CONFIG_Model_Settings!$G$154:$G$158,0)),0)),0)</f>
        <v>1875</v>
      </c>
      <c r="BH732">
        <f t="shared" si="139"/>
        <v>937.5</v>
      </c>
      <c r="BI732">
        <f t="shared" si="140"/>
        <v>937.5</v>
      </c>
      <c r="BJ732">
        <f>IF($E732="","",IFERROR(VLOOKUP($C732,_CONFIG_Risk_Calibration!$A$5:$H$21,2,FALSE),3))</f>
        <v>3</v>
      </c>
      <c r="BK732">
        <f>IF($E732="","",IFERROR(VLOOKUP($C732,_CONFIG_Risk_Calibration!$A$5:$H$21,3,FALSE),0))</f>
        <v>0</v>
      </c>
      <c r="BL732">
        <f>IF($E732="","",IFERROR(VLOOKUP($C732,_CONFIG_Risk_Calibration!$A$5:$H$21,4,FALSE),3))</f>
        <v>3</v>
      </c>
      <c r="BM732">
        <f>IF($E732="","",IFERROR(VLOOKUP($C732,_CONFIG_Risk_Calibration!$A$5:$H$21,5,FALSE),3))</f>
        <v>4</v>
      </c>
      <c r="BN732" t="str">
        <f>IF($E732="","",IFERROR(VLOOKUP($C732,_CONFIG_Risk_Calibration!$A$5:$H$21,6,FALSE),"No"))</f>
        <v>No</v>
      </c>
      <c r="BO732">
        <f>IF($E732="","",IFERROR(VLOOKUP($C732,_CONFIG_Risk_Calibration!$A$5:$H$21,7,FALSE),1))</f>
        <v>1</v>
      </c>
      <c r="BP732">
        <f>IF($H732="","",MAX(1,MIN(5,((6-$H732)*0.45)+($BJ732*0.2)+('Resilience &amp; Risk Scenario'!$B$7*0.15)+($BK732*0.1)+($BL732*0.05)+(IF($BB732="Fast",5,IF($BB732="Slow",1,3))*0.05))))</f>
        <v>3.7</v>
      </c>
      <c r="BQ732">
        <f t="shared" si="141"/>
        <v>4.6499999999999995</v>
      </c>
      <c r="BR732">
        <f t="shared" si="142"/>
        <v>17.21</v>
      </c>
      <c r="BS732">
        <f t="shared" si="143"/>
        <v>9.4700000000000006</v>
      </c>
      <c r="BT732" t="str">
        <f>IFERROR(INDEX(_REF_Capability_Bridge!$D:$D,MATCH($C732&amp;"|"&amp;$D732,_REF_Capability_Bridge!$J:$J,0)),IFERROR(INDEX(_REF_Capability_Bridge!$D:$D,MATCH($C732&amp;"|",_REF_Capability_Bridge!$J:$J,0)),"CAP_GENERIC"))</f>
        <v>CAP_WMS_WAREHOUSE</v>
      </c>
      <c r="BU732">
        <f>IFERROR(IFERROR(INDEX(_ENGINE_Relevance!$L:$L,MATCH($BT732,_ENGINE_Relevance!$B:$B,0)),1),1)</f>
        <v>0.4</v>
      </c>
      <c r="BV732" t="str">
        <f>IFERROR(INDEX(_REF_Capability_Bridge!$A:$A,MATCH($C732&amp;"|"&amp;$D732,_REF_Capability_Bridge!$J:$J,0)),IFERROR(INDEX(_REF_Capability_Bridge!$A:$A,MATCH($C732&amp;"|",_REF_Capability_Bridge!$J:$J,0)),"No bridge"))</f>
        <v>BRG-055</v>
      </c>
      <c r="BW732" t="str">
        <f t="shared" si="144"/>
        <v>Capability relevance lowers risk priority</v>
      </c>
      <c r="BX732" t="str">
        <f t="shared" si="145"/>
        <v>Initial / absent</v>
      </c>
      <c r="BY732" t="str">
        <f>IF($E732="","",IFERROR(INDEX(_REF_Treatment_Library!$A$2:$A$296,MATCH(1,INDEX((_REF_Treatment_Library!$B$2:$B$296=$BT732)*(_REF_Treatment_Library!$C$2:$C$296=PV_Canonical_Industry)*(_REF_Treatment_Library!$E$2:$E$296&lt;=N($H732))*(_REF_Treatment_Library!$F$2:$F$296&gt;=N($H732))*(_REF_Treatment_Library!$O$2:$O$296="Yes"),0),0)),IFERROR(INDEX(_REF_Treatment_Library!$A$2:$A$296,MATCH(1,INDEX((_REF_Treatment_Library!$B$2:$B$296=$BT732)*(_REF_Treatment_Library!$C$2:$C$296="All")*(_REF_Treatment_Library!$E$2:$E$296&lt;=N($H732))*(_REF_Treatment_Library!$F$2:$F$296&gt;=N($H732))*(_REF_Treatment_Library!$O$2:$O$296="Yes"),0),0)),"")))</f>
        <v>TRT-WMS_WAREHOUSE-INITIAL</v>
      </c>
      <c r="BZ732" t="str">
        <f>IF($BY732="","",IFERROR(INDEX(_REF_Treatment_Library!$H$2:$H$296,MATCH($BY732,_REF_Treatment_Library!$A$2:$A$296,0)),""))</f>
        <v>Establish</v>
      </c>
      <c r="CA732" t="str">
        <f>IF($BY732="","",IFERROR(INDEX(_REF_Treatment_Library!$I$2:$I$296,MATCH($BY732,_REF_Treatment_Library!$A$2:$A$296,0)),""))</f>
        <v>Establish baseline controls for Warehouse / WMS</v>
      </c>
      <c r="CB732" t="str">
        <f>IF($BY732="","",IFERROR(INDEX(_REF_Treatment_Library!$K$2:$K$296,MATCH($BY732,_REF_Treatment_Library!$A$2:$A$296,0)),""))</f>
        <v>Named owner, baseline process, minimum control checklist, first evidence package</v>
      </c>
      <c r="CC732" t="str">
        <f>IF($BY732="","",IFERROR(INDEX(_REF_Treatment_Library!$L$2:$L$296,MATCH($BY732,_REF_Treatment_Library!$A$2:$A$296,0)),""))</f>
        <v>Owner assigned; baseline evidence coverage; open critical gaps</v>
      </c>
      <c r="CD732" t="str">
        <f t="shared" si="146"/>
        <v>Treatment by capability=CAP_WMS_WAREHOUSE; band=Initial / absent; score=0.0; treatment=Establish</v>
      </c>
      <c r="CE732" t="str">
        <f>IF($E732="","",IFERROR(INDEX(_REF_Industry_Wording!$A$2:$A$70,MATCH(1,INDEX((_REF_Industry_Wording!$B$2:$B$70=$BT732)*(_REF_Industry_Wording!$C$2:$C$70=PV_Canonical_Industry)*(_REF_Industry_Wording!$K$2:$K$70="Yes"),0),0)),IFERROR(INDEX(_REF_Industry_Wording!$A$2:$A$70,MATCH(1,INDEX((_REF_Industry_Wording!$B$2:$B$70=$BT732)*(_REF_Industry_Wording!$C$2:$C$70="All")*(_REF_Industry_Wording!$K$2:$K$70="Yes"),0),0)),"")))</f>
        <v>IW-ALL-WMS_WAREHOUSE</v>
      </c>
      <c r="CF732" t="str">
        <f>IF($CE732="","",IFERROR(INDEX(_REF_Industry_Wording!$E$2:$E$70,MATCH($CE732,_REF_Industry_Wording!$A$2:$A$70,0)),""))</f>
        <v>Warehouse / WMS weakness</v>
      </c>
      <c r="CG732" t="str">
        <f>IF($CE732="","",IFERROR(INDEX(_REF_Industry_Wording!$F$2:$F$70,MATCH($CE732,_REF_Industry_Wording!$A$2:$A$70,0)),""))</f>
        <v>Strengthen Warehouse / WMS</v>
      </c>
      <c r="CH732" t="str">
        <f>IF($CE732="","",IFERROR(INDEX(_REF_Industry_Wording!$G$2:$G$70,MATCH($CE732,_REF_Industry_Wording!$A$2:$A$70,0)),""))</f>
        <v>Strengthen Warehouse / WMS using the selected maturity treatment, crisis scenario and evidence requirements.</v>
      </c>
      <c r="CI732" t="str">
        <f>IF($CE732="","",IFERROR(INDEX(_REF_Industry_Wording!$H$2:$H$70,MATCH($CE732,_REF_Industry_Wording!$A$2:$A$70,0)),""))</f>
        <v>Warehouse / WMS</v>
      </c>
      <c r="CJ732">
        <f>IF($CE732="","",IFERROR(INDEX(_REF_Industry_Wording!$I$2:$I$70,MATCH($CE732,_REF_Industry_Wording!$A$2:$A$70,0)),""))</f>
        <v>0</v>
      </c>
      <c r="CK732" t="str">
        <f>IF($CE732="","",IFERROR(INDEX(_REF_Industry_Wording!$J$2:$J$70,MATCH($CE732,_REF_Industry_Wording!$A$2:$A$70,0)),""))</f>
        <v>Warehouse / WMS</v>
      </c>
      <c r="CL732" t="str">
        <f t="shared" si="147"/>
        <v>Wording by industry=0; capability=CAP_WMS_WAREHOUSE; risk label=Warehouse / WMS weakness</v>
      </c>
      <c r="CM732" t="str">
        <f t="shared" si="148"/>
        <v>RISK-ONT-0233</v>
      </c>
      <c r="CN732" t="str">
        <f t="shared" si="149"/>
        <v>RISK-EVT-0233</v>
      </c>
      <c r="CO732" t="str">
        <f t="shared" si="150"/>
        <v>Manufacturing MES|MES and shop floor|MANU-009|CAP_WMS_WAREHOUSE</v>
      </c>
      <c r="CP732" t="str">
        <f t="shared" si="151"/>
        <v>Active</v>
      </c>
      <c r="CQ732" t="str">
        <f t="shared" si="152"/>
        <v>OK: capability-driven</v>
      </c>
      <c r="CR732" t="str">
        <f t="shared" si="153"/>
        <v>Risk ontology uses capability=CAP_WMS_WAREHOUSE; bridge=BRG-055; treatment=TRT-WMS_WAREHOUSE-INITIAL; wording=IW-ALL-WMS_WAREHOUSE</v>
      </c>
      <c r="CS732" t="str">
        <f t="shared" si="154"/>
        <v>Yes</v>
      </c>
    </row>
    <row r="733" spans="1:97" ht="69.900000000000006" customHeight="1">
      <c r="A733">
        <f>IF(OR($B733&lt;&gt;"Yes",$BS733=""),"",SUMPRODUCT(($B$500:$B$923="Yes")*ISNUMBER($BS$500:$BS$923)*($BS$500:$BS$923&gt;$BS733))+COUNTIFS($B$500:$B733,"Yes",$BS$500:$BS733,$BS733))</f>
        <v>419</v>
      </c>
      <c r="B733" t="str">
        <f t="shared" si="123"/>
        <v>Yes</v>
      </c>
      <c r="C733" t="s">
        <v>2145</v>
      </c>
      <c r="D733" t="s">
        <v>2156</v>
      </c>
      <c r="E733" t="s">
        <v>2187</v>
      </c>
      <c r="F733" t="s">
        <v>3688</v>
      </c>
      <c r="G733" t="str">
        <f>IF($H733="","",IFERROR(INDEX(_ENGINE_Risk!$H$5:$M$499,MATCH($E733,_ENGINE_Risk!$A$5:$A$499,0),$H733+1),""))</f>
        <v>Severe risk: machine data collection for states, output, downtime, cycle time, defects and energy is not reliably controlled. During Manufacturing disruption; Safety incident; Energy outage; Cyberattack, the organization may face production stoppage, quality defects, low asset visibility and inability to recover shop-floor operations with limited visibility or accountability.</v>
      </c>
      <c r="H733">
        <f>IFERROR(VALUE(INDEX(_DATA_Assessment_Model!$H$5:$H$884,MATCH($E733,_DATA_Assessment_Model!$A$5:$A$884,0))),"")</f>
        <v>0</v>
      </c>
      <c r="I733" t="str">
        <f>IF($H733="","",IFERROR(INDEX(_DATA_Assessment_Model!$L$5:$L$884,MATCH($E733,_DATA_Assessment_Model!$A$5:$A$884,0)),IF($H733&lt;=1,"Critical",IF($H733=2,"High",IF($H733=3,"Medium",IF($H733=4,"Low","Resilient"))))))</f>
        <v>Critical</v>
      </c>
      <c r="J733">
        <f t="shared" si="124"/>
        <v>3.7</v>
      </c>
      <c r="K733">
        <f t="shared" si="125"/>
        <v>4.4499999999999993</v>
      </c>
      <c r="L733">
        <f t="shared" si="126"/>
        <v>16.465</v>
      </c>
      <c r="M733">
        <f t="shared" si="127"/>
        <v>4</v>
      </c>
      <c r="N733">
        <f>IF($H733="","",IFERROR(INDEX(_ENGINE_Risk!$T$5:$Y$499,MATCH($E733,_ENGINE_Risk!$A$5:$A$499,0),$H733+1),""))</f>
        <v>4</v>
      </c>
      <c r="O733">
        <f t="shared" si="128"/>
        <v>4.666666666666667</v>
      </c>
      <c r="P733">
        <f t="shared" si="129"/>
        <v>5</v>
      </c>
      <c r="Q733">
        <f t="shared" si="130"/>
        <v>5</v>
      </c>
      <c r="R733">
        <f t="shared" si="131"/>
        <v>5</v>
      </c>
      <c r="S733">
        <f t="shared" si="132"/>
        <v>1.23</v>
      </c>
      <c r="T733" t="str">
        <f>IF($H733="","",IFERROR(INDEX(_ENGINE_Risk!$N$5:$S$499,MATCH($E733,_ENGINE_Risk!$A$5:$A$499,0),$H733+1),""))</f>
        <v>Create an immediate risk owner, minimum control baseline and fallback procedure for machine data collection for states, output, downtime, cycle time, defects and energy. Add it to the crisis risk register and collect first evidence.</v>
      </c>
      <c r="U733">
        <f>IFERROR(INDEX(_DATA_Assessment_Model!$G$5:$G$884,MATCH($E733,_DATA_Assessment_Model!$A$5:$A$884,0)),"")</f>
        <v>4</v>
      </c>
      <c r="V733">
        <f>IFERROR(INDEX(_DATA_Assessment_Model!$W$5:$W$884,MATCH($E733,_DATA_Assessment_Model!$A$5:$A$884,0)),"")</f>
        <v>5</v>
      </c>
      <c r="W733">
        <f>IFERROR(INDEX(_DATA_Assessment_Model!$X$5:$X$884,MATCH($E733,_DATA_Assessment_Model!$A$5:$A$884,0)),"")</f>
        <v>5</v>
      </c>
      <c r="X733">
        <f>IFERROR(INDEX(_DATA_Assessment_Model!$Y$5:$Y$884,MATCH($E733,_DATA_Assessment_Model!$A$5:$A$884,0)),"")</f>
        <v>5</v>
      </c>
      <c r="Y733" t="s">
        <v>2152</v>
      </c>
      <c r="Z733" t="s">
        <v>7780</v>
      </c>
      <c r="AA733" t="s">
        <v>2189</v>
      </c>
      <c r="AB733">
        <f>IFERROR(INDEX(_DATA_Assessment_Model!$U$5:$U$884,MATCH($E733,_DATA_Assessment_Model!$A$5:$A$884,0)),"")</f>
        <v>0</v>
      </c>
      <c r="AF733" t="s">
        <v>2188</v>
      </c>
      <c r="AO733">
        <f>IF($B733="Yes",IF(IFERROR(INDEX(_ENGINE_Crisis!$F$501:$F$517,MATCH($C733,_ENGINE_Crisis!$A$501:$A$517,0)),1)=0,1,IFERROR(INDEX(_ENGINE_Crisis!$F$501:$F$517,MATCH($C733,_ENGINE_Crisis!$A$501:$A$517,0)),1)),"")</f>
        <v>1</v>
      </c>
      <c r="AP733">
        <f t="shared" si="133"/>
        <v>16.5</v>
      </c>
      <c r="AQ733">
        <f t="shared" si="134"/>
        <v>1.23</v>
      </c>
      <c r="AR733" t="str">
        <f>IFERROR(INDEX(_ENGINE_Crisis!$E$41:$E$700,MATCH('Resilience &amp; Risk Scenario'!$B$6&amp;"|"&amp;$C733,_ENGINE_Crisis!$I$41:$I$700,0)),"")</f>
        <v/>
      </c>
      <c r="AS733" t="str">
        <f>IFERROR(INDEX(_ENGINE_Crisis!$G$41:$G$700,MATCH('Resilience &amp; Risk Scenario'!$B$6&amp;"|"&amp;$C733,_ENGINE_Crisis!$I$41:$I$700,0)),"")</f>
        <v/>
      </c>
      <c r="AT733" t="str">
        <f>IFERROR(INDEX(_ENGINE_Initiatives!$A$5:$A$532,MATCH(1,INDEX((_ENGINE_Initiatives!$B$5:$B$532=$C733)*(_ENGINE_Initiatives!$C$5:$C$532=$D733),0),0)),"")</f>
        <v>INI-037</v>
      </c>
      <c r="AU733" t="str">
        <f>IFERROR(INDEX(_ENGINE_Initiatives!$F$5:$F$532,MATCH(1,INDEX((_ENGINE_Initiatives!$B$5:$B$532=$C733)*(_ENGINE_Initiatives!$C$5:$C$532=$D733),0),0)),"")</f>
        <v>Implement MES and shop-floor digital control foundation</v>
      </c>
      <c r="AV733">
        <f>IFERROR(INDEX(_ENGINE_Initiatives!$AC$5:$AC$532,MATCH(1,INDEX((_ENGINE_Initiatives!$B$5:$B$532=$C733)*(_ENGINE_Initiatives!$C$5:$C$532=$D733),0),0)),"")</f>
        <v>1.29</v>
      </c>
      <c r="AW733" t="str">
        <f>IFERROR(INDEX(_ENGINE_Initiatives!$AE$5:$AE$532,MATCH(1,INDEX((_ENGINE_Initiatives!$B$5:$B$532=$C733)*(_ENGINE_Initiatives!$C$5:$C$532=$D733),0),0)),"")</f>
        <v>12+ months</v>
      </c>
      <c r="AX733">
        <f>IF($B733="Yes",IFERROR((IF(SUMIFS(_REF_Model_Content!$E$1:$E$613,_REF_Model_Content!$A$1:$A$613,PV_Canonical_Industry,_REF_Model_Content!$B$1:$B$613,$C733)=0,1,SUMIFS(_REF_Model_Content!$E$1:$E$613,_REF_Model_Content!$A$1:$A$613,PV_Canonical_Industry,_REF_Model_Content!$B$1:$B$613,$C733))*IFERROR($BU733,1)),1),"")</f>
        <v>0.4</v>
      </c>
      <c r="AY733">
        <f t="shared" si="135"/>
        <v>6.6</v>
      </c>
      <c r="AZ733">
        <f t="shared" si="136"/>
        <v>0.49</v>
      </c>
      <c r="BB733" t="str">
        <f>IF($H733="","",IFERROR(INDEX(_ENGINE_Risk!$AE$5:$AE$499,MATCH($E733,_ENGINE_Risk!$A$5:$A$499,0)),"Medium"))</f>
        <v>Fast</v>
      </c>
      <c r="BC733">
        <f t="shared" si="137"/>
        <v>1.25</v>
      </c>
      <c r="BD733">
        <f t="shared" si="138"/>
        <v>0.49</v>
      </c>
      <c r="BF733">
        <f>IF(OR($H733="",$J733=""),"",IFERROR(VLOOKUP(ROUND($J733,0),_CONFIG_Model_Settings!$D$154:$E$158,2,0),""))</f>
        <v>0.5</v>
      </c>
      <c r="BG733">
        <f>IFERROR(IF(OR($H733="",$K733=""),"",ROUND('Company Profile'!$B$113*INDEX(_CONFIG_Model_Settings!$H$154:$H$158,MATCH(ROUND($K733,0),_CONFIG_Model_Settings!$G$154:$G$158,0)),0)),0)</f>
        <v>875</v>
      </c>
      <c r="BH733">
        <f t="shared" si="139"/>
        <v>437.5</v>
      </c>
      <c r="BI733">
        <f t="shared" si="140"/>
        <v>437.5</v>
      </c>
      <c r="BJ733">
        <f>IF($E733="","",IFERROR(VLOOKUP($C733,_CONFIG_Risk_Calibration!$A$5:$H$21,2,FALSE),3))</f>
        <v>3</v>
      </c>
      <c r="BK733">
        <f>IF($E733="","",IFERROR(VLOOKUP($C733,_CONFIG_Risk_Calibration!$A$5:$H$21,3,FALSE),0))</f>
        <v>0</v>
      </c>
      <c r="BL733">
        <f>IF($E733="","",IFERROR(VLOOKUP($C733,_CONFIG_Risk_Calibration!$A$5:$H$21,4,FALSE),3))</f>
        <v>3</v>
      </c>
      <c r="BM733">
        <f>IF($E733="","",IFERROR(VLOOKUP($C733,_CONFIG_Risk_Calibration!$A$5:$H$21,5,FALSE),3))</f>
        <v>4</v>
      </c>
      <c r="BN733" t="str">
        <f>IF($E733="","",IFERROR(VLOOKUP($C733,_CONFIG_Risk_Calibration!$A$5:$H$21,6,FALSE),"No"))</f>
        <v>No</v>
      </c>
      <c r="BO733">
        <f>IF($E733="","",IFERROR(VLOOKUP($C733,_CONFIG_Risk_Calibration!$A$5:$H$21,7,FALSE),1))</f>
        <v>1</v>
      </c>
      <c r="BP733">
        <f>IF($H733="","",MAX(1,MIN(5,((6-$H733)*0.45)+($BJ733*0.2)+('Resilience &amp; Risk Scenario'!$B$7*0.15)+($BK733*0.1)+($BL733*0.05)+(IF($BB733="Fast",5,IF($BB733="Slow",1,3))*0.05))))</f>
        <v>3.7</v>
      </c>
      <c r="BQ733">
        <f t="shared" si="141"/>
        <v>4.4499999999999993</v>
      </c>
      <c r="BR733">
        <f t="shared" si="142"/>
        <v>16.47</v>
      </c>
      <c r="BS733">
        <f t="shared" si="143"/>
        <v>9.06</v>
      </c>
      <c r="BT733" t="str">
        <f>IFERROR(INDEX(_REF_Capability_Bridge!$D:$D,MATCH($C733&amp;"|"&amp;$D733,_REF_Capability_Bridge!$J:$J,0)),IFERROR(INDEX(_REF_Capability_Bridge!$D:$D,MATCH($C733&amp;"|",_REF_Capability_Bridge!$J:$J,0)),"CAP_GENERIC"))</f>
        <v>CAP_WMS_WAREHOUSE</v>
      </c>
      <c r="BU733">
        <f>IFERROR(IFERROR(INDEX(_ENGINE_Relevance!$L:$L,MATCH($BT733,_ENGINE_Relevance!$B:$B,0)),1),1)</f>
        <v>0.4</v>
      </c>
      <c r="BV733" t="str">
        <f>IFERROR(INDEX(_REF_Capability_Bridge!$A:$A,MATCH($C733&amp;"|"&amp;$D733,_REF_Capability_Bridge!$J:$J,0)),IFERROR(INDEX(_REF_Capability_Bridge!$A:$A,MATCH($C733&amp;"|",_REF_Capability_Bridge!$J:$J,0)),"No bridge"))</f>
        <v>BRG-055</v>
      </c>
      <c r="BW733" t="str">
        <f t="shared" si="144"/>
        <v>Capability relevance lowers risk priority</v>
      </c>
      <c r="BX733" t="str">
        <f t="shared" si="145"/>
        <v>Initial / absent</v>
      </c>
      <c r="BY733" t="str">
        <f>IF($E733="","",IFERROR(INDEX(_REF_Treatment_Library!$A$2:$A$296,MATCH(1,INDEX((_REF_Treatment_Library!$B$2:$B$296=$BT733)*(_REF_Treatment_Library!$C$2:$C$296=PV_Canonical_Industry)*(_REF_Treatment_Library!$E$2:$E$296&lt;=N($H733))*(_REF_Treatment_Library!$F$2:$F$296&gt;=N($H733))*(_REF_Treatment_Library!$O$2:$O$296="Yes"),0),0)),IFERROR(INDEX(_REF_Treatment_Library!$A$2:$A$296,MATCH(1,INDEX((_REF_Treatment_Library!$B$2:$B$296=$BT733)*(_REF_Treatment_Library!$C$2:$C$296="All")*(_REF_Treatment_Library!$E$2:$E$296&lt;=N($H733))*(_REF_Treatment_Library!$F$2:$F$296&gt;=N($H733))*(_REF_Treatment_Library!$O$2:$O$296="Yes"),0),0)),"")))</f>
        <v>TRT-WMS_WAREHOUSE-INITIAL</v>
      </c>
      <c r="BZ733" t="str">
        <f>IF($BY733="","",IFERROR(INDEX(_REF_Treatment_Library!$H$2:$H$296,MATCH($BY733,_REF_Treatment_Library!$A$2:$A$296,0)),""))</f>
        <v>Establish</v>
      </c>
      <c r="CA733" t="str">
        <f>IF($BY733="","",IFERROR(INDEX(_REF_Treatment_Library!$I$2:$I$296,MATCH($BY733,_REF_Treatment_Library!$A$2:$A$296,0)),""))</f>
        <v>Establish baseline controls for Warehouse / WMS</v>
      </c>
      <c r="CB733" t="str">
        <f>IF($BY733="","",IFERROR(INDEX(_REF_Treatment_Library!$K$2:$K$296,MATCH($BY733,_REF_Treatment_Library!$A$2:$A$296,0)),""))</f>
        <v>Named owner, baseline process, minimum control checklist, first evidence package</v>
      </c>
      <c r="CC733" t="str">
        <f>IF($BY733="","",IFERROR(INDEX(_REF_Treatment_Library!$L$2:$L$296,MATCH($BY733,_REF_Treatment_Library!$A$2:$A$296,0)),""))</f>
        <v>Owner assigned; baseline evidence coverage; open critical gaps</v>
      </c>
      <c r="CD733" t="str">
        <f t="shared" si="146"/>
        <v>Treatment by capability=CAP_WMS_WAREHOUSE; band=Initial / absent; score=0.0; treatment=Establish</v>
      </c>
      <c r="CE733" t="str">
        <f>IF($E733="","",IFERROR(INDEX(_REF_Industry_Wording!$A$2:$A$70,MATCH(1,INDEX((_REF_Industry_Wording!$B$2:$B$70=$BT733)*(_REF_Industry_Wording!$C$2:$C$70=PV_Canonical_Industry)*(_REF_Industry_Wording!$K$2:$K$70="Yes"),0),0)),IFERROR(INDEX(_REF_Industry_Wording!$A$2:$A$70,MATCH(1,INDEX((_REF_Industry_Wording!$B$2:$B$70=$BT733)*(_REF_Industry_Wording!$C$2:$C$70="All")*(_REF_Industry_Wording!$K$2:$K$70="Yes"),0),0)),"")))</f>
        <v>IW-ALL-WMS_WAREHOUSE</v>
      </c>
      <c r="CF733" t="str">
        <f>IF($CE733="","",IFERROR(INDEX(_REF_Industry_Wording!$E$2:$E$70,MATCH($CE733,_REF_Industry_Wording!$A$2:$A$70,0)),""))</f>
        <v>Warehouse / WMS weakness</v>
      </c>
      <c r="CG733" t="str">
        <f>IF($CE733="","",IFERROR(INDEX(_REF_Industry_Wording!$F$2:$F$70,MATCH($CE733,_REF_Industry_Wording!$A$2:$A$70,0)),""))</f>
        <v>Strengthen Warehouse / WMS</v>
      </c>
      <c r="CH733" t="str">
        <f>IF($CE733="","",IFERROR(INDEX(_REF_Industry_Wording!$G$2:$G$70,MATCH($CE733,_REF_Industry_Wording!$A$2:$A$70,0)),""))</f>
        <v>Strengthen Warehouse / WMS using the selected maturity treatment, crisis scenario and evidence requirements.</v>
      </c>
      <c r="CI733" t="str">
        <f>IF($CE733="","",IFERROR(INDEX(_REF_Industry_Wording!$H$2:$H$70,MATCH($CE733,_REF_Industry_Wording!$A$2:$A$70,0)),""))</f>
        <v>Warehouse / WMS</v>
      </c>
      <c r="CJ733">
        <f>IF($CE733="","",IFERROR(INDEX(_REF_Industry_Wording!$I$2:$I$70,MATCH($CE733,_REF_Industry_Wording!$A$2:$A$70,0)),""))</f>
        <v>0</v>
      </c>
      <c r="CK733" t="str">
        <f>IF($CE733="","",IFERROR(INDEX(_REF_Industry_Wording!$J$2:$J$70,MATCH($CE733,_REF_Industry_Wording!$A$2:$A$70,0)),""))</f>
        <v>Warehouse / WMS</v>
      </c>
      <c r="CL733" t="str">
        <f t="shared" si="147"/>
        <v>Wording by industry=0; capability=CAP_WMS_WAREHOUSE; risk label=Warehouse / WMS weakness</v>
      </c>
      <c r="CM733" t="str">
        <f t="shared" si="148"/>
        <v>RISK-ONT-0234</v>
      </c>
      <c r="CN733" t="str">
        <f t="shared" si="149"/>
        <v>RISK-EVT-0234</v>
      </c>
      <c r="CO733" t="str">
        <f t="shared" si="150"/>
        <v>Manufacturing MES|MES and shop floor|MANU-010|CAP_WMS_WAREHOUSE</v>
      </c>
      <c r="CP733" t="str">
        <f t="shared" si="151"/>
        <v>Active</v>
      </c>
      <c r="CQ733" t="str">
        <f t="shared" si="152"/>
        <v>OK: capability-driven</v>
      </c>
      <c r="CR733" t="str">
        <f t="shared" si="153"/>
        <v>Risk ontology uses capability=CAP_WMS_WAREHOUSE; bridge=BRG-055; treatment=TRT-WMS_WAREHOUSE-INITIAL; wording=IW-ALL-WMS_WAREHOUSE</v>
      </c>
      <c r="CS733" t="str">
        <f t="shared" si="154"/>
        <v>Yes</v>
      </c>
    </row>
    <row r="734" spans="1:97" ht="69.900000000000006" customHeight="1">
      <c r="A734">
        <f>IF(OR($B734&lt;&gt;"Yes",$BS734=""),"",SUMPRODUCT(($B$500:$B$923="Yes")*ISNUMBER($BS$500:$BS$923)*($BS$500:$BS$923&gt;$BS734))+COUNTIFS($B$500:$B734,"Yes",$BS$500:$BS734,$BS734))</f>
        <v>421</v>
      </c>
      <c r="B734" t="str">
        <f t="shared" si="123"/>
        <v>Yes</v>
      </c>
      <c r="C734" t="s">
        <v>2145</v>
      </c>
      <c r="D734" t="s">
        <v>2156</v>
      </c>
      <c r="E734" t="s">
        <v>2196</v>
      </c>
      <c r="F734" t="s">
        <v>3688</v>
      </c>
      <c r="G734" t="str">
        <f>IF($H734="","",IFERROR(INDEX(_ENGINE_Risk!$H$5:$M$499,MATCH($E734,_ENGINE_Risk!$A$5:$A$499,0),$H734+1),""))</f>
        <v>Severe risk: OEE, downtime reasons, microstops, rejects and performance loss analysis is not reliably controlled. During Manufacturing disruption; Safety incident; Energy outage; Cyberattack, the organization may face production stoppage, quality defects, low asset visibility and inability to recover shop-floor operations with limited visibility or accountability.</v>
      </c>
      <c r="H734">
        <f>IFERROR(VALUE(INDEX(_DATA_Assessment_Model!$H$5:$H$884,MATCH($E734,_DATA_Assessment_Model!$A$5:$A$884,0))),"")</f>
        <v>0</v>
      </c>
      <c r="I734" t="str">
        <f>IF($H734="","",IFERROR(INDEX(_DATA_Assessment_Model!$L$5:$L$884,MATCH($E734,_DATA_Assessment_Model!$A$5:$A$884,0)),IF($H734&lt;=1,"Critical",IF($H734=2,"High",IF($H734=3,"Medium",IF($H734=4,"Low","Resilient"))))))</f>
        <v>Critical</v>
      </c>
      <c r="J734">
        <f t="shared" si="124"/>
        <v>3.7</v>
      </c>
      <c r="K734">
        <f t="shared" si="125"/>
        <v>4.25</v>
      </c>
      <c r="L734">
        <f t="shared" si="126"/>
        <v>15.725000000000001</v>
      </c>
      <c r="M734">
        <f t="shared" si="127"/>
        <v>4</v>
      </c>
      <c r="N734">
        <f>IF($H734="","",IFERROR(INDEX(_ENGINE_Risk!$T$5:$Y$499,MATCH($E734,_ENGINE_Risk!$A$5:$A$499,0),$H734+1),""))</f>
        <v>4</v>
      </c>
      <c r="O734">
        <f t="shared" si="128"/>
        <v>4.333333333333333</v>
      </c>
      <c r="P734">
        <f t="shared" si="129"/>
        <v>5</v>
      </c>
      <c r="Q734">
        <f t="shared" si="130"/>
        <v>5</v>
      </c>
      <c r="R734">
        <f t="shared" si="131"/>
        <v>5</v>
      </c>
      <c r="S734">
        <f t="shared" si="132"/>
        <v>1.21</v>
      </c>
      <c r="T734" t="str">
        <f>IF($H734="","",IFERROR(INDEX(_ENGINE_Risk!$N$5:$S$499,MATCH($E734,_ENGINE_Risk!$A$5:$A$499,0),$H734+1),""))</f>
        <v>Create an immediate risk owner, minimum control baseline and fallback procedure for OEE, downtime reasons, microstops, rejects and performance loss analysis. Add it to the crisis risk register and collect first evidence.</v>
      </c>
      <c r="U734">
        <f>IFERROR(INDEX(_DATA_Assessment_Model!$G$5:$G$884,MATCH($E734,_DATA_Assessment_Model!$A$5:$A$884,0)),"")</f>
        <v>3</v>
      </c>
      <c r="V734">
        <f>IFERROR(INDEX(_DATA_Assessment_Model!$W$5:$W$884,MATCH($E734,_DATA_Assessment_Model!$A$5:$A$884,0)),"")</f>
        <v>5</v>
      </c>
      <c r="W734">
        <f>IFERROR(INDEX(_DATA_Assessment_Model!$X$5:$X$884,MATCH($E734,_DATA_Assessment_Model!$A$5:$A$884,0)),"")</f>
        <v>5</v>
      </c>
      <c r="X734">
        <f>IFERROR(INDEX(_DATA_Assessment_Model!$Y$5:$Y$884,MATCH($E734,_DATA_Assessment_Model!$A$5:$A$884,0)),"")</f>
        <v>5</v>
      </c>
      <c r="Y734" t="s">
        <v>2152</v>
      </c>
      <c r="Z734" t="s">
        <v>7780</v>
      </c>
      <c r="AA734" t="s">
        <v>2198</v>
      </c>
      <c r="AB734">
        <f>IFERROR(INDEX(_DATA_Assessment_Model!$U$5:$U$884,MATCH($E734,_DATA_Assessment_Model!$A$5:$A$884,0)),"")</f>
        <v>0</v>
      </c>
      <c r="AF734" t="s">
        <v>2197</v>
      </c>
      <c r="AO734">
        <f>IF($B734="Yes",IF(IFERROR(INDEX(_ENGINE_Crisis!$F$501:$F$517,MATCH($C734,_ENGINE_Crisis!$A$501:$A$517,0)),1)=0,1,IFERROR(INDEX(_ENGINE_Crisis!$F$501:$F$517,MATCH($C734,_ENGINE_Crisis!$A$501:$A$517,0)),1)),"")</f>
        <v>1</v>
      </c>
      <c r="AP734">
        <f t="shared" si="133"/>
        <v>15.7</v>
      </c>
      <c r="AQ734">
        <f t="shared" si="134"/>
        <v>1.21</v>
      </c>
      <c r="AR734" t="str">
        <f>IFERROR(INDEX(_ENGINE_Crisis!$E$41:$E$700,MATCH('Resilience &amp; Risk Scenario'!$B$6&amp;"|"&amp;$C734,_ENGINE_Crisis!$I$41:$I$700,0)),"")</f>
        <v/>
      </c>
      <c r="AS734" t="str">
        <f>IFERROR(INDEX(_ENGINE_Crisis!$G$41:$G$700,MATCH('Resilience &amp; Risk Scenario'!$B$6&amp;"|"&amp;$C734,_ENGINE_Crisis!$I$41:$I$700,0)),"")</f>
        <v/>
      </c>
      <c r="AT734" t="str">
        <f>IFERROR(INDEX(_ENGINE_Initiatives!$A$5:$A$532,MATCH(1,INDEX((_ENGINE_Initiatives!$B$5:$B$532=$C734)*(_ENGINE_Initiatives!$C$5:$C$532=$D734),0),0)),"")</f>
        <v>INI-037</v>
      </c>
      <c r="AU734" t="str">
        <f>IFERROR(INDEX(_ENGINE_Initiatives!$F$5:$F$532,MATCH(1,INDEX((_ENGINE_Initiatives!$B$5:$B$532=$C734)*(_ENGINE_Initiatives!$C$5:$C$532=$D734),0),0)),"")</f>
        <v>Implement MES and shop-floor digital control foundation</v>
      </c>
      <c r="AV734">
        <f>IFERROR(INDEX(_ENGINE_Initiatives!$AC$5:$AC$532,MATCH(1,INDEX((_ENGINE_Initiatives!$B$5:$B$532=$C734)*(_ENGINE_Initiatives!$C$5:$C$532=$D734),0),0)),"")</f>
        <v>1.29</v>
      </c>
      <c r="AW734" t="str">
        <f>IFERROR(INDEX(_ENGINE_Initiatives!$AE$5:$AE$532,MATCH(1,INDEX((_ENGINE_Initiatives!$B$5:$B$532=$C734)*(_ENGINE_Initiatives!$C$5:$C$532=$D734),0),0)),"")</f>
        <v>12+ months</v>
      </c>
      <c r="AX734">
        <f>IF($B734="Yes",IFERROR((IF(SUMIFS(_REF_Model_Content!$E$1:$E$613,_REF_Model_Content!$A$1:$A$613,PV_Canonical_Industry,_REF_Model_Content!$B$1:$B$613,$C734)=0,1,SUMIFS(_REF_Model_Content!$E$1:$E$613,_REF_Model_Content!$A$1:$A$613,PV_Canonical_Industry,_REF_Model_Content!$B$1:$B$613,$C734))*IFERROR($BU734,1)),1),"")</f>
        <v>0.4</v>
      </c>
      <c r="AY734">
        <f t="shared" si="135"/>
        <v>6.28</v>
      </c>
      <c r="AZ734">
        <f t="shared" si="136"/>
        <v>0.48</v>
      </c>
      <c r="BB734" t="str">
        <f>IF($H734="","",IFERROR(INDEX(_ENGINE_Risk!$AE$5:$AE$499,MATCH($E734,_ENGINE_Risk!$A$5:$A$499,0)),"Medium"))</f>
        <v>Fast</v>
      </c>
      <c r="BC734">
        <f t="shared" si="137"/>
        <v>1.25</v>
      </c>
      <c r="BD734">
        <f t="shared" si="138"/>
        <v>0.48</v>
      </c>
      <c r="BF734">
        <f>IF(OR($H734="",$J734=""),"",IFERROR(VLOOKUP(ROUND($J734,0),_CONFIG_Model_Settings!$D$154:$E$158,2,0),""))</f>
        <v>0.5</v>
      </c>
      <c r="BG734">
        <f>IFERROR(IF(OR($H734="",$K734=""),"",ROUND('Company Profile'!$B$113*INDEX(_CONFIG_Model_Settings!$H$154:$H$158,MATCH(ROUND($K734,0),_CONFIG_Model_Settings!$G$154:$G$158,0)),0)),0)</f>
        <v>875</v>
      </c>
      <c r="BH734">
        <f t="shared" si="139"/>
        <v>437.5</v>
      </c>
      <c r="BI734">
        <f t="shared" si="140"/>
        <v>437.5</v>
      </c>
      <c r="BJ734">
        <f>IF($E734="","",IFERROR(VLOOKUP($C734,_CONFIG_Risk_Calibration!$A$5:$H$21,2,FALSE),3))</f>
        <v>3</v>
      </c>
      <c r="BK734">
        <f>IF($E734="","",IFERROR(VLOOKUP($C734,_CONFIG_Risk_Calibration!$A$5:$H$21,3,FALSE),0))</f>
        <v>0</v>
      </c>
      <c r="BL734">
        <f>IF($E734="","",IFERROR(VLOOKUP($C734,_CONFIG_Risk_Calibration!$A$5:$H$21,4,FALSE),3))</f>
        <v>3</v>
      </c>
      <c r="BM734">
        <f>IF($E734="","",IFERROR(VLOOKUP($C734,_CONFIG_Risk_Calibration!$A$5:$H$21,5,FALSE),3))</f>
        <v>4</v>
      </c>
      <c r="BN734" t="str">
        <f>IF($E734="","",IFERROR(VLOOKUP($C734,_CONFIG_Risk_Calibration!$A$5:$H$21,6,FALSE),"No"))</f>
        <v>No</v>
      </c>
      <c r="BO734">
        <f>IF($E734="","",IFERROR(VLOOKUP($C734,_CONFIG_Risk_Calibration!$A$5:$H$21,7,FALSE),1))</f>
        <v>1</v>
      </c>
      <c r="BP734">
        <f>IF($H734="","",MAX(1,MIN(5,((6-$H734)*0.45)+($BJ734*0.2)+('Resilience &amp; Risk Scenario'!$B$7*0.15)+($BK734*0.1)+($BL734*0.05)+(IF($BB734="Fast",5,IF($BB734="Slow",1,3))*0.05))))</f>
        <v>3.7</v>
      </c>
      <c r="BQ734">
        <f t="shared" si="141"/>
        <v>4.25</v>
      </c>
      <c r="BR734">
        <f t="shared" si="142"/>
        <v>15.73</v>
      </c>
      <c r="BS734">
        <f t="shared" si="143"/>
        <v>8.65</v>
      </c>
      <c r="BT734" t="str">
        <f>IFERROR(INDEX(_REF_Capability_Bridge!$D:$D,MATCH($C734&amp;"|"&amp;$D734,_REF_Capability_Bridge!$J:$J,0)),IFERROR(INDEX(_REF_Capability_Bridge!$D:$D,MATCH($C734&amp;"|",_REF_Capability_Bridge!$J:$J,0)),"CAP_GENERIC"))</f>
        <v>CAP_WMS_WAREHOUSE</v>
      </c>
      <c r="BU734">
        <f>IFERROR(IFERROR(INDEX(_ENGINE_Relevance!$L:$L,MATCH($BT734,_ENGINE_Relevance!$B:$B,0)),1),1)</f>
        <v>0.4</v>
      </c>
      <c r="BV734" t="str">
        <f>IFERROR(INDEX(_REF_Capability_Bridge!$A:$A,MATCH($C734&amp;"|"&amp;$D734,_REF_Capability_Bridge!$J:$J,0)),IFERROR(INDEX(_REF_Capability_Bridge!$A:$A,MATCH($C734&amp;"|",_REF_Capability_Bridge!$J:$J,0)),"No bridge"))</f>
        <v>BRG-055</v>
      </c>
      <c r="BW734" t="str">
        <f t="shared" si="144"/>
        <v>Capability relevance lowers risk priority</v>
      </c>
      <c r="BX734" t="str">
        <f t="shared" si="145"/>
        <v>Initial / absent</v>
      </c>
      <c r="BY734" t="str">
        <f>IF($E734="","",IFERROR(INDEX(_REF_Treatment_Library!$A$2:$A$296,MATCH(1,INDEX((_REF_Treatment_Library!$B$2:$B$296=$BT734)*(_REF_Treatment_Library!$C$2:$C$296=PV_Canonical_Industry)*(_REF_Treatment_Library!$E$2:$E$296&lt;=N($H734))*(_REF_Treatment_Library!$F$2:$F$296&gt;=N($H734))*(_REF_Treatment_Library!$O$2:$O$296="Yes"),0),0)),IFERROR(INDEX(_REF_Treatment_Library!$A$2:$A$296,MATCH(1,INDEX((_REF_Treatment_Library!$B$2:$B$296=$BT734)*(_REF_Treatment_Library!$C$2:$C$296="All")*(_REF_Treatment_Library!$E$2:$E$296&lt;=N($H734))*(_REF_Treatment_Library!$F$2:$F$296&gt;=N($H734))*(_REF_Treatment_Library!$O$2:$O$296="Yes"),0),0)),"")))</f>
        <v>TRT-WMS_WAREHOUSE-INITIAL</v>
      </c>
      <c r="BZ734" t="str">
        <f>IF($BY734="","",IFERROR(INDEX(_REF_Treatment_Library!$H$2:$H$296,MATCH($BY734,_REF_Treatment_Library!$A$2:$A$296,0)),""))</f>
        <v>Establish</v>
      </c>
      <c r="CA734" t="str">
        <f>IF($BY734="","",IFERROR(INDEX(_REF_Treatment_Library!$I$2:$I$296,MATCH($BY734,_REF_Treatment_Library!$A$2:$A$296,0)),""))</f>
        <v>Establish baseline controls for Warehouse / WMS</v>
      </c>
      <c r="CB734" t="str">
        <f>IF($BY734="","",IFERROR(INDEX(_REF_Treatment_Library!$K$2:$K$296,MATCH($BY734,_REF_Treatment_Library!$A$2:$A$296,0)),""))</f>
        <v>Named owner, baseline process, minimum control checklist, first evidence package</v>
      </c>
      <c r="CC734" t="str">
        <f>IF($BY734="","",IFERROR(INDEX(_REF_Treatment_Library!$L$2:$L$296,MATCH($BY734,_REF_Treatment_Library!$A$2:$A$296,0)),""))</f>
        <v>Owner assigned; baseline evidence coverage; open critical gaps</v>
      </c>
      <c r="CD734" t="str">
        <f t="shared" si="146"/>
        <v>Treatment by capability=CAP_WMS_WAREHOUSE; band=Initial / absent; score=0.0; treatment=Establish</v>
      </c>
      <c r="CE734" t="str">
        <f>IF($E734="","",IFERROR(INDEX(_REF_Industry_Wording!$A$2:$A$70,MATCH(1,INDEX((_REF_Industry_Wording!$B$2:$B$70=$BT734)*(_REF_Industry_Wording!$C$2:$C$70=PV_Canonical_Industry)*(_REF_Industry_Wording!$K$2:$K$70="Yes"),0),0)),IFERROR(INDEX(_REF_Industry_Wording!$A$2:$A$70,MATCH(1,INDEX((_REF_Industry_Wording!$B$2:$B$70=$BT734)*(_REF_Industry_Wording!$C$2:$C$70="All")*(_REF_Industry_Wording!$K$2:$K$70="Yes"),0),0)),"")))</f>
        <v>IW-ALL-WMS_WAREHOUSE</v>
      </c>
      <c r="CF734" t="str">
        <f>IF($CE734="","",IFERROR(INDEX(_REF_Industry_Wording!$E$2:$E$70,MATCH($CE734,_REF_Industry_Wording!$A$2:$A$70,0)),""))</f>
        <v>Warehouse / WMS weakness</v>
      </c>
      <c r="CG734" t="str">
        <f>IF($CE734="","",IFERROR(INDEX(_REF_Industry_Wording!$F$2:$F$70,MATCH($CE734,_REF_Industry_Wording!$A$2:$A$70,0)),""))</f>
        <v>Strengthen Warehouse / WMS</v>
      </c>
      <c r="CH734" t="str">
        <f>IF($CE734="","",IFERROR(INDEX(_REF_Industry_Wording!$G$2:$G$70,MATCH($CE734,_REF_Industry_Wording!$A$2:$A$70,0)),""))</f>
        <v>Strengthen Warehouse / WMS using the selected maturity treatment, crisis scenario and evidence requirements.</v>
      </c>
      <c r="CI734" t="str">
        <f>IF($CE734="","",IFERROR(INDEX(_REF_Industry_Wording!$H$2:$H$70,MATCH($CE734,_REF_Industry_Wording!$A$2:$A$70,0)),""))</f>
        <v>Warehouse / WMS</v>
      </c>
      <c r="CJ734">
        <f>IF($CE734="","",IFERROR(INDEX(_REF_Industry_Wording!$I$2:$I$70,MATCH($CE734,_REF_Industry_Wording!$A$2:$A$70,0)),""))</f>
        <v>0</v>
      </c>
      <c r="CK734" t="str">
        <f>IF($CE734="","",IFERROR(INDEX(_REF_Industry_Wording!$J$2:$J$70,MATCH($CE734,_REF_Industry_Wording!$A$2:$A$70,0)),""))</f>
        <v>Warehouse / WMS</v>
      </c>
      <c r="CL734" t="str">
        <f t="shared" si="147"/>
        <v>Wording by industry=0; capability=CAP_WMS_WAREHOUSE; risk label=Warehouse / WMS weakness</v>
      </c>
      <c r="CM734" t="str">
        <f t="shared" si="148"/>
        <v>RISK-ONT-0235</v>
      </c>
      <c r="CN734" t="str">
        <f t="shared" si="149"/>
        <v>RISK-EVT-0235</v>
      </c>
      <c r="CO734" t="str">
        <f t="shared" si="150"/>
        <v>Manufacturing MES|MES and shop floor|MANU-011|CAP_WMS_WAREHOUSE</v>
      </c>
      <c r="CP734" t="str">
        <f t="shared" si="151"/>
        <v>Active</v>
      </c>
      <c r="CQ734" t="str">
        <f t="shared" si="152"/>
        <v>OK: capability-driven</v>
      </c>
      <c r="CR734" t="str">
        <f t="shared" si="153"/>
        <v>Risk ontology uses capability=CAP_WMS_WAREHOUSE; bridge=BRG-055; treatment=TRT-WMS_WAREHOUSE-INITIAL; wording=IW-ALL-WMS_WAREHOUSE</v>
      </c>
      <c r="CS734" t="str">
        <f t="shared" si="154"/>
        <v>Yes</v>
      </c>
    </row>
    <row r="735" spans="1:97" ht="69.900000000000006" customHeight="1">
      <c r="A735">
        <f>IF(OR($B735&lt;&gt;"Yes",$BS735=""),"",SUMPRODUCT(($B$500:$B$923="Yes")*ISNUMBER($BS$500:$BS$923)*($BS$500:$BS$923&gt;$BS735))+COUNTIFS($B$500:$B735,"Yes",$BS$500:$BS735,$BS735))</f>
        <v>415</v>
      </c>
      <c r="B735" t="str">
        <f t="shared" si="123"/>
        <v>Yes</v>
      </c>
      <c r="C735" t="s">
        <v>2145</v>
      </c>
      <c r="D735" t="s">
        <v>2156</v>
      </c>
      <c r="E735" t="s">
        <v>2205</v>
      </c>
      <c r="F735" t="s">
        <v>3688</v>
      </c>
      <c r="G735" t="str">
        <f>IF($H735="","",IFERROR(INDEX(_ENGINE_Risk!$H$5:$M$499,MATCH($E735,_ENGINE_Risk!$A$5:$A$499,0),$H735+1),""))</f>
        <v>Severe risk: production data standards, reason codes and master data across lines and sites is not reliably controlled. During Manufacturing disruption; Safety incident; Energy outage; Cyberattack, the organization may face production stoppage, quality defects, low asset visibility and inability to recover shop-floor operations with limited visibility or accountability.</v>
      </c>
      <c r="H735">
        <f>IFERROR(VALUE(INDEX(_DATA_Assessment_Model!$H$5:$H$884,MATCH($E735,_DATA_Assessment_Model!$A$5:$A$884,0))),"")</f>
        <v>0</v>
      </c>
      <c r="I735" t="str">
        <f>IF($H735="","",IFERROR(INDEX(_DATA_Assessment_Model!$L$5:$L$884,MATCH($E735,_DATA_Assessment_Model!$A$5:$A$884,0)),IF($H735&lt;=1,"Critical",IF($H735=2,"High",IF($H735=3,"Medium",IF($H735=4,"Low","Resilient"))))))</f>
        <v>Critical</v>
      </c>
      <c r="J735">
        <f t="shared" si="124"/>
        <v>3.7</v>
      </c>
      <c r="K735">
        <f t="shared" si="125"/>
        <v>4.6499999999999995</v>
      </c>
      <c r="L735">
        <f t="shared" si="126"/>
        <v>17.204999999999998</v>
      </c>
      <c r="M735">
        <f t="shared" si="127"/>
        <v>4</v>
      </c>
      <c r="N735">
        <f>IF($H735="","",IFERROR(INDEX(_ENGINE_Risk!$T$5:$Y$499,MATCH($E735,_ENGINE_Risk!$A$5:$A$499,0),$H735+1),""))</f>
        <v>4</v>
      </c>
      <c r="O735">
        <f t="shared" si="128"/>
        <v>5</v>
      </c>
      <c r="P735">
        <f t="shared" si="129"/>
        <v>5</v>
      </c>
      <c r="Q735">
        <f t="shared" si="130"/>
        <v>5</v>
      </c>
      <c r="R735">
        <f t="shared" si="131"/>
        <v>5</v>
      </c>
      <c r="S735">
        <f t="shared" si="132"/>
        <v>1.25</v>
      </c>
      <c r="T735" t="str">
        <f>IF($H735="","",IFERROR(INDEX(_ENGINE_Risk!$N$5:$S$499,MATCH($E735,_ENGINE_Risk!$A$5:$A$499,0),$H735+1),""))</f>
        <v>Create an immediate risk owner, minimum control baseline and fallback procedure for production data standards, reason codes and master data across lines and sites. Add it to the crisis risk register and collect first evidence.</v>
      </c>
      <c r="U735">
        <f>IFERROR(INDEX(_DATA_Assessment_Model!$G$5:$G$884,MATCH($E735,_DATA_Assessment_Model!$A$5:$A$884,0)),"")</f>
        <v>5</v>
      </c>
      <c r="V735">
        <f>IFERROR(INDEX(_DATA_Assessment_Model!$W$5:$W$884,MATCH($E735,_DATA_Assessment_Model!$A$5:$A$884,0)),"")</f>
        <v>5</v>
      </c>
      <c r="W735">
        <f>IFERROR(INDEX(_DATA_Assessment_Model!$X$5:$X$884,MATCH($E735,_DATA_Assessment_Model!$A$5:$A$884,0)),"")</f>
        <v>5</v>
      </c>
      <c r="X735">
        <f>IFERROR(INDEX(_DATA_Assessment_Model!$Y$5:$Y$884,MATCH($E735,_DATA_Assessment_Model!$A$5:$A$884,0)),"")</f>
        <v>5</v>
      </c>
      <c r="Y735" t="s">
        <v>2152</v>
      </c>
      <c r="Z735" t="s">
        <v>7780</v>
      </c>
      <c r="AA735" t="s">
        <v>2207</v>
      </c>
      <c r="AB735">
        <f>IFERROR(INDEX(_DATA_Assessment_Model!$U$5:$U$884,MATCH($E735,_DATA_Assessment_Model!$A$5:$A$884,0)),"")</f>
        <v>0</v>
      </c>
      <c r="AF735" t="s">
        <v>2206</v>
      </c>
      <c r="AO735">
        <f>IF($B735="Yes",IF(IFERROR(INDEX(_ENGINE_Crisis!$F$501:$F$517,MATCH($C735,_ENGINE_Crisis!$A$501:$A$517,0)),1)=0,1,IFERROR(INDEX(_ENGINE_Crisis!$F$501:$F$517,MATCH($C735,_ENGINE_Crisis!$A$501:$A$517,0)),1)),"")</f>
        <v>1</v>
      </c>
      <c r="AP735">
        <f t="shared" si="133"/>
        <v>17.2</v>
      </c>
      <c r="AQ735">
        <f t="shared" si="134"/>
        <v>1.25</v>
      </c>
      <c r="AR735" t="str">
        <f>IFERROR(INDEX(_ENGINE_Crisis!$E$41:$E$700,MATCH('Resilience &amp; Risk Scenario'!$B$6&amp;"|"&amp;$C735,_ENGINE_Crisis!$I$41:$I$700,0)),"")</f>
        <v/>
      </c>
      <c r="AS735" t="str">
        <f>IFERROR(INDEX(_ENGINE_Crisis!$G$41:$G$700,MATCH('Resilience &amp; Risk Scenario'!$B$6&amp;"|"&amp;$C735,_ENGINE_Crisis!$I$41:$I$700,0)),"")</f>
        <v/>
      </c>
      <c r="AT735" t="str">
        <f>IFERROR(INDEX(_ENGINE_Initiatives!$A$5:$A$532,MATCH(1,INDEX((_ENGINE_Initiatives!$B$5:$B$532=$C735)*(_ENGINE_Initiatives!$C$5:$C$532=$D735),0),0)),"")</f>
        <v>INI-037</v>
      </c>
      <c r="AU735" t="str">
        <f>IFERROR(INDEX(_ENGINE_Initiatives!$F$5:$F$532,MATCH(1,INDEX((_ENGINE_Initiatives!$B$5:$B$532=$C735)*(_ENGINE_Initiatives!$C$5:$C$532=$D735),0),0)),"")</f>
        <v>Implement MES and shop-floor digital control foundation</v>
      </c>
      <c r="AV735">
        <f>IFERROR(INDEX(_ENGINE_Initiatives!$AC$5:$AC$532,MATCH(1,INDEX((_ENGINE_Initiatives!$B$5:$B$532=$C735)*(_ENGINE_Initiatives!$C$5:$C$532=$D735),0),0)),"")</f>
        <v>1.29</v>
      </c>
      <c r="AW735" t="str">
        <f>IFERROR(INDEX(_ENGINE_Initiatives!$AE$5:$AE$532,MATCH(1,INDEX((_ENGINE_Initiatives!$B$5:$B$532=$C735)*(_ENGINE_Initiatives!$C$5:$C$532=$D735),0),0)),"")</f>
        <v>12+ months</v>
      </c>
      <c r="AX735">
        <f>IF($B735="Yes",IFERROR((IF(SUMIFS(_REF_Model_Content!$E$1:$E$613,_REF_Model_Content!$A$1:$A$613,PV_Canonical_Industry,_REF_Model_Content!$B$1:$B$613,$C735)=0,1,SUMIFS(_REF_Model_Content!$E$1:$E$613,_REF_Model_Content!$A$1:$A$613,PV_Canonical_Industry,_REF_Model_Content!$B$1:$B$613,$C735))*IFERROR($BU735,1)),1),"")</f>
        <v>0.4</v>
      </c>
      <c r="AY735">
        <f t="shared" si="135"/>
        <v>6.88</v>
      </c>
      <c r="AZ735">
        <f t="shared" si="136"/>
        <v>0.5</v>
      </c>
      <c r="BB735" t="str">
        <f>IF($H735="","",IFERROR(INDEX(_ENGINE_Risk!$AE$5:$AE$499,MATCH($E735,_ENGINE_Risk!$A$5:$A$499,0)),"Medium"))</f>
        <v>Fast</v>
      </c>
      <c r="BC735">
        <f t="shared" si="137"/>
        <v>1.25</v>
      </c>
      <c r="BD735">
        <f t="shared" si="138"/>
        <v>0.5</v>
      </c>
      <c r="BF735">
        <f>IF(OR($H735="",$J735=""),"",IFERROR(VLOOKUP(ROUND($J735,0),_CONFIG_Model_Settings!$D$154:$E$158,2,0),""))</f>
        <v>0.5</v>
      </c>
      <c r="BG735">
        <f>IFERROR(IF(OR($H735="",$K735=""),"",ROUND('Company Profile'!$B$113*INDEX(_CONFIG_Model_Settings!$H$154:$H$158,MATCH(ROUND($K735,0),_CONFIG_Model_Settings!$G$154:$G$158,0)),0)),0)</f>
        <v>1875</v>
      </c>
      <c r="BH735">
        <f t="shared" si="139"/>
        <v>937.5</v>
      </c>
      <c r="BI735">
        <f t="shared" si="140"/>
        <v>937.5</v>
      </c>
      <c r="BJ735">
        <f>IF($E735="","",IFERROR(VLOOKUP($C735,_CONFIG_Risk_Calibration!$A$5:$H$21,2,FALSE),3))</f>
        <v>3</v>
      </c>
      <c r="BK735">
        <f>IF($E735="","",IFERROR(VLOOKUP($C735,_CONFIG_Risk_Calibration!$A$5:$H$21,3,FALSE),0))</f>
        <v>0</v>
      </c>
      <c r="BL735">
        <f>IF($E735="","",IFERROR(VLOOKUP($C735,_CONFIG_Risk_Calibration!$A$5:$H$21,4,FALSE),3))</f>
        <v>3</v>
      </c>
      <c r="BM735">
        <f>IF($E735="","",IFERROR(VLOOKUP($C735,_CONFIG_Risk_Calibration!$A$5:$H$21,5,FALSE),3))</f>
        <v>4</v>
      </c>
      <c r="BN735" t="str">
        <f>IF($E735="","",IFERROR(VLOOKUP($C735,_CONFIG_Risk_Calibration!$A$5:$H$21,6,FALSE),"No"))</f>
        <v>No</v>
      </c>
      <c r="BO735">
        <f>IF($E735="","",IFERROR(VLOOKUP($C735,_CONFIG_Risk_Calibration!$A$5:$H$21,7,FALSE),1))</f>
        <v>1</v>
      </c>
      <c r="BP735">
        <f>IF($H735="","",MAX(1,MIN(5,((6-$H735)*0.45)+($BJ735*0.2)+('Resilience &amp; Risk Scenario'!$B$7*0.15)+($BK735*0.1)+($BL735*0.05)+(IF($BB735="Fast",5,IF($BB735="Slow",1,3))*0.05))))</f>
        <v>3.7</v>
      </c>
      <c r="BQ735">
        <f t="shared" si="141"/>
        <v>4.6499999999999995</v>
      </c>
      <c r="BR735">
        <f t="shared" si="142"/>
        <v>17.21</v>
      </c>
      <c r="BS735">
        <f t="shared" si="143"/>
        <v>9.4700000000000006</v>
      </c>
      <c r="BT735" t="str">
        <f>IFERROR(INDEX(_REF_Capability_Bridge!$D:$D,MATCH($C735&amp;"|"&amp;$D735,_REF_Capability_Bridge!$J:$J,0)),IFERROR(INDEX(_REF_Capability_Bridge!$D:$D,MATCH($C735&amp;"|",_REF_Capability_Bridge!$J:$J,0)),"CAP_GENERIC"))</f>
        <v>CAP_WMS_WAREHOUSE</v>
      </c>
      <c r="BU735">
        <f>IFERROR(IFERROR(INDEX(_ENGINE_Relevance!$L:$L,MATCH($BT735,_ENGINE_Relevance!$B:$B,0)),1),1)</f>
        <v>0.4</v>
      </c>
      <c r="BV735" t="str">
        <f>IFERROR(INDEX(_REF_Capability_Bridge!$A:$A,MATCH($C735&amp;"|"&amp;$D735,_REF_Capability_Bridge!$J:$J,0)),IFERROR(INDEX(_REF_Capability_Bridge!$A:$A,MATCH($C735&amp;"|",_REF_Capability_Bridge!$J:$J,0)),"No bridge"))</f>
        <v>BRG-055</v>
      </c>
      <c r="BW735" t="str">
        <f t="shared" si="144"/>
        <v>Capability relevance lowers risk priority</v>
      </c>
      <c r="BX735" t="str">
        <f t="shared" si="145"/>
        <v>Initial / absent</v>
      </c>
      <c r="BY735" t="str">
        <f>IF($E735="","",IFERROR(INDEX(_REF_Treatment_Library!$A$2:$A$296,MATCH(1,INDEX((_REF_Treatment_Library!$B$2:$B$296=$BT735)*(_REF_Treatment_Library!$C$2:$C$296=PV_Canonical_Industry)*(_REF_Treatment_Library!$E$2:$E$296&lt;=N($H735))*(_REF_Treatment_Library!$F$2:$F$296&gt;=N($H735))*(_REF_Treatment_Library!$O$2:$O$296="Yes"),0),0)),IFERROR(INDEX(_REF_Treatment_Library!$A$2:$A$296,MATCH(1,INDEX((_REF_Treatment_Library!$B$2:$B$296=$BT735)*(_REF_Treatment_Library!$C$2:$C$296="All")*(_REF_Treatment_Library!$E$2:$E$296&lt;=N($H735))*(_REF_Treatment_Library!$F$2:$F$296&gt;=N($H735))*(_REF_Treatment_Library!$O$2:$O$296="Yes"),0),0)),"")))</f>
        <v>TRT-WMS_WAREHOUSE-INITIAL</v>
      </c>
      <c r="BZ735" t="str">
        <f>IF($BY735="","",IFERROR(INDEX(_REF_Treatment_Library!$H$2:$H$296,MATCH($BY735,_REF_Treatment_Library!$A$2:$A$296,0)),""))</f>
        <v>Establish</v>
      </c>
      <c r="CA735" t="str">
        <f>IF($BY735="","",IFERROR(INDEX(_REF_Treatment_Library!$I$2:$I$296,MATCH($BY735,_REF_Treatment_Library!$A$2:$A$296,0)),""))</f>
        <v>Establish baseline controls for Warehouse / WMS</v>
      </c>
      <c r="CB735" t="str">
        <f>IF($BY735="","",IFERROR(INDEX(_REF_Treatment_Library!$K$2:$K$296,MATCH($BY735,_REF_Treatment_Library!$A$2:$A$296,0)),""))</f>
        <v>Named owner, baseline process, minimum control checklist, first evidence package</v>
      </c>
      <c r="CC735" t="str">
        <f>IF($BY735="","",IFERROR(INDEX(_REF_Treatment_Library!$L$2:$L$296,MATCH($BY735,_REF_Treatment_Library!$A$2:$A$296,0)),""))</f>
        <v>Owner assigned; baseline evidence coverage; open critical gaps</v>
      </c>
      <c r="CD735" t="str">
        <f t="shared" si="146"/>
        <v>Treatment by capability=CAP_WMS_WAREHOUSE; band=Initial / absent; score=0.0; treatment=Establish</v>
      </c>
      <c r="CE735" t="str">
        <f>IF($E735="","",IFERROR(INDEX(_REF_Industry_Wording!$A$2:$A$70,MATCH(1,INDEX((_REF_Industry_Wording!$B$2:$B$70=$BT735)*(_REF_Industry_Wording!$C$2:$C$70=PV_Canonical_Industry)*(_REF_Industry_Wording!$K$2:$K$70="Yes"),0),0)),IFERROR(INDEX(_REF_Industry_Wording!$A$2:$A$70,MATCH(1,INDEX((_REF_Industry_Wording!$B$2:$B$70=$BT735)*(_REF_Industry_Wording!$C$2:$C$70="All")*(_REF_Industry_Wording!$K$2:$K$70="Yes"),0),0)),"")))</f>
        <v>IW-ALL-WMS_WAREHOUSE</v>
      </c>
      <c r="CF735" t="str">
        <f>IF($CE735="","",IFERROR(INDEX(_REF_Industry_Wording!$E$2:$E$70,MATCH($CE735,_REF_Industry_Wording!$A$2:$A$70,0)),""))</f>
        <v>Warehouse / WMS weakness</v>
      </c>
      <c r="CG735" t="str">
        <f>IF($CE735="","",IFERROR(INDEX(_REF_Industry_Wording!$F$2:$F$70,MATCH($CE735,_REF_Industry_Wording!$A$2:$A$70,0)),""))</f>
        <v>Strengthen Warehouse / WMS</v>
      </c>
      <c r="CH735" t="str">
        <f>IF($CE735="","",IFERROR(INDEX(_REF_Industry_Wording!$G$2:$G$70,MATCH($CE735,_REF_Industry_Wording!$A$2:$A$70,0)),""))</f>
        <v>Strengthen Warehouse / WMS using the selected maturity treatment, crisis scenario and evidence requirements.</v>
      </c>
      <c r="CI735" t="str">
        <f>IF($CE735="","",IFERROR(INDEX(_REF_Industry_Wording!$H$2:$H$70,MATCH($CE735,_REF_Industry_Wording!$A$2:$A$70,0)),""))</f>
        <v>Warehouse / WMS</v>
      </c>
      <c r="CJ735">
        <f>IF($CE735="","",IFERROR(INDEX(_REF_Industry_Wording!$I$2:$I$70,MATCH($CE735,_REF_Industry_Wording!$A$2:$A$70,0)),""))</f>
        <v>0</v>
      </c>
      <c r="CK735" t="str">
        <f>IF($CE735="","",IFERROR(INDEX(_REF_Industry_Wording!$J$2:$J$70,MATCH($CE735,_REF_Industry_Wording!$A$2:$A$70,0)),""))</f>
        <v>Warehouse / WMS</v>
      </c>
      <c r="CL735" t="str">
        <f t="shared" si="147"/>
        <v>Wording by industry=0; capability=CAP_WMS_WAREHOUSE; risk label=Warehouse / WMS weakness</v>
      </c>
      <c r="CM735" t="str">
        <f t="shared" si="148"/>
        <v>RISK-ONT-0236</v>
      </c>
      <c r="CN735" t="str">
        <f t="shared" si="149"/>
        <v>RISK-EVT-0236</v>
      </c>
      <c r="CO735" t="str">
        <f t="shared" si="150"/>
        <v>Manufacturing MES|MES and shop floor|MANU-012|CAP_WMS_WAREHOUSE</v>
      </c>
      <c r="CP735" t="str">
        <f t="shared" si="151"/>
        <v>Active</v>
      </c>
      <c r="CQ735" t="str">
        <f t="shared" si="152"/>
        <v>OK: capability-driven</v>
      </c>
      <c r="CR735" t="str">
        <f t="shared" si="153"/>
        <v>Risk ontology uses capability=CAP_WMS_WAREHOUSE; bridge=BRG-055; treatment=TRT-WMS_WAREHOUSE-INITIAL; wording=IW-ALL-WMS_WAREHOUSE</v>
      </c>
      <c r="CS735" t="str">
        <f t="shared" si="154"/>
        <v>Yes</v>
      </c>
    </row>
    <row r="736" spans="1:97" ht="69.900000000000006" customHeight="1">
      <c r="A736">
        <f>IF(OR($B736&lt;&gt;"Yes",$BS736=""),"",SUMPRODUCT(($B$500:$B$923="Yes")*ISNUMBER($BS$500:$BS$923)*($BS$500:$BS$923&gt;$BS736))+COUNTIFS($B$500:$B736,"Yes",$BS$500:$BS736,$BS736))</f>
        <v>52</v>
      </c>
      <c r="B736" t="str">
        <f t="shared" si="123"/>
        <v>Yes</v>
      </c>
      <c r="C736" t="s">
        <v>2145</v>
      </c>
      <c r="D736" t="s">
        <v>2166</v>
      </c>
      <c r="E736" t="s">
        <v>2208</v>
      </c>
      <c r="F736" t="s">
        <v>3688</v>
      </c>
      <c r="G736" t="str">
        <f>IF($H736="","",IFERROR(INDEX(_ENGINE_Risk!$H$5:$M$499,MATCH($E736,_ENGINE_Risk!$A$5:$A$499,0),$H736+1),""))</f>
        <v>Severe risk: preventive maintenance based on criticality, manufacturer requirements and failure history is not reliably controlled. During Manufacturing disruption; Safety incident; Energy outage; Cyberattack, the organization may face production stoppage, quality defects, low asset visibility and inability to recover shop-floor operations with limited visibility or accountability.</v>
      </c>
      <c r="H736">
        <f>IFERROR(VALUE(INDEX(_DATA_Assessment_Model!$H$5:$H$884,MATCH($E736,_DATA_Assessment_Model!$A$5:$A$884,0))),"")</f>
        <v>0</v>
      </c>
      <c r="I736" t="str">
        <f>IF($H736="","",IFERROR(INDEX(_DATA_Assessment_Model!$L$5:$L$884,MATCH($E736,_DATA_Assessment_Model!$A$5:$A$884,0)),IF($H736&lt;=1,"Critical",IF($H736=2,"High",IF($H736=3,"Medium",IF($H736=4,"Low","Resilient"))))))</f>
        <v>Critical</v>
      </c>
      <c r="J736">
        <f t="shared" si="124"/>
        <v>3.7</v>
      </c>
      <c r="K736">
        <f t="shared" si="125"/>
        <v>4.6499999999999995</v>
      </c>
      <c r="L736">
        <f t="shared" si="126"/>
        <v>17.204999999999998</v>
      </c>
      <c r="M736">
        <f t="shared" si="127"/>
        <v>4</v>
      </c>
      <c r="N736">
        <f>IF($H736="","",IFERROR(INDEX(_ENGINE_Risk!$T$5:$Y$499,MATCH($E736,_ENGINE_Risk!$A$5:$A$499,0),$H736+1),""))</f>
        <v>4</v>
      </c>
      <c r="O736">
        <f t="shared" si="128"/>
        <v>5</v>
      </c>
      <c r="P736">
        <f t="shared" si="129"/>
        <v>5</v>
      </c>
      <c r="Q736">
        <f t="shared" si="130"/>
        <v>5</v>
      </c>
      <c r="R736">
        <f t="shared" si="131"/>
        <v>5</v>
      </c>
      <c r="S736">
        <f t="shared" si="132"/>
        <v>1.25</v>
      </c>
      <c r="T736" t="str">
        <f>IF($H736="","",IFERROR(INDEX(_ENGINE_Risk!$N$5:$S$499,MATCH($E736,_ENGINE_Risk!$A$5:$A$499,0),$H736+1),""))</f>
        <v>Create an immediate risk owner, minimum control baseline and fallback procedure for preventive maintenance based on criticality, manufacturer requirements and failure history. Add it to the crisis risk register and collect first evidence.</v>
      </c>
      <c r="U736">
        <f>IFERROR(INDEX(_DATA_Assessment_Model!$G$5:$G$884,MATCH($E736,_DATA_Assessment_Model!$A$5:$A$884,0)),"")</f>
        <v>5</v>
      </c>
      <c r="V736">
        <f>IFERROR(INDEX(_DATA_Assessment_Model!$W$5:$W$884,MATCH($E736,_DATA_Assessment_Model!$A$5:$A$884,0)),"")</f>
        <v>5</v>
      </c>
      <c r="W736">
        <f>IFERROR(INDEX(_DATA_Assessment_Model!$X$5:$X$884,MATCH($E736,_DATA_Assessment_Model!$A$5:$A$884,0)),"")</f>
        <v>5</v>
      </c>
      <c r="X736">
        <f>IFERROR(INDEX(_DATA_Assessment_Model!$Y$5:$Y$884,MATCH($E736,_DATA_Assessment_Model!$A$5:$A$884,0)),"")</f>
        <v>5</v>
      </c>
      <c r="Y736" t="s">
        <v>2152</v>
      </c>
      <c r="Z736" t="s">
        <v>7780</v>
      </c>
      <c r="AA736" t="s">
        <v>2210</v>
      </c>
      <c r="AB736">
        <f>IFERROR(INDEX(_DATA_Assessment_Model!$U$5:$U$884,MATCH($E736,_DATA_Assessment_Model!$A$5:$A$884,0)),"")</f>
        <v>0</v>
      </c>
      <c r="AF736" t="s">
        <v>2209</v>
      </c>
      <c r="AO736">
        <f>IF($B736="Yes",IF(IFERROR(INDEX(_ENGINE_Crisis!$F$501:$F$517,MATCH($C736,_ENGINE_Crisis!$A$501:$A$517,0)),1)=0,1,IFERROR(INDEX(_ENGINE_Crisis!$F$501:$F$517,MATCH($C736,_ENGINE_Crisis!$A$501:$A$517,0)),1)),"")</f>
        <v>1</v>
      </c>
      <c r="AP736">
        <f t="shared" si="133"/>
        <v>17.2</v>
      </c>
      <c r="AQ736">
        <f t="shared" si="134"/>
        <v>1.25</v>
      </c>
      <c r="AR736" t="str">
        <f>IFERROR(INDEX(_ENGINE_Crisis!$E$41:$E$700,MATCH('Resilience &amp; Risk Scenario'!$B$6&amp;"|"&amp;$C736,_ENGINE_Crisis!$I$41:$I$700,0)),"")</f>
        <v/>
      </c>
      <c r="AS736" t="str">
        <f>IFERROR(INDEX(_ENGINE_Crisis!$G$41:$G$700,MATCH('Resilience &amp; Risk Scenario'!$B$6&amp;"|"&amp;$C736,_ENGINE_Crisis!$I$41:$I$700,0)),"")</f>
        <v/>
      </c>
      <c r="AT736" t="str">
        <f>IFERROR(INDEX(_ENGINE_Initiatives!$A$5:$A$532,MATCH(1,INDEX((_ENGINE_Initiatives!$B$5:$B$532=$C736)*(_ENGINE_Initiatives!$C$5:$C$532=$D736),0),0)),"")</f>
        <v>INI-038</v>
      </c>
      <c r="AU736" t="str">
        <f>IFERROR(INDEX(_ENGINE_Initiatives!$F$5:$F$532,MATCH(1,INDEX((_ENGINE_Initiatives!$B$5:$B$532=$C736)*(_ENGINE_Initiatives!$C$5:$C$532=$D736),0),0)),"")</f>
        <v>Build maintenance, spare-parts and asset resilience program</v>
      </c>
      <c r="AV736">
        <f>IFERROR(INDEX(_ENGINE_Initiatives!$AC$5:$AC$532,MATCH(1,INDEX((_ENGINE_Initiatives!$B$5:$B$532=$C736)*(_ENGINE_Initiatives!$C$5:$C$532=$D736),0),0)),"")</f>
        <v>1.39</v>
      </c>
      <c r="AW736" t="str">
        <f>IFERROR(INDEX(_ENGINE_Initiatives!$AE$5:$AE$532,MATCH(1,INDEX((_ENGINE_Initiatives!$B$5:$B$532=$C736)*(_ENGINE_Initiatives!$C$5:$C$532=$D736),0),0)),"")</f>
        <v>6-12 months</v>
      </c>
      <c r="AX736">
        <f>IF($B736="Yes",IFERROR((IF(SUMIFS(_REF_Model_Content!$E$1:$E$613,_REF_Model_Content!$A$1:$A$613,PV_Canonical_Industry,_REF_Model_Content!$B$1:$B$613,$C736)=0,1,SUMIFS(_REF_Model_Content!$E$1:$E$613,_REF_Model_Content!$A$1:$A$613,PV_Canonical_Industry,_REF_Model_Content!$B$1:$B$613,$C736))*IFERROR($BU736,1)),1),"")</f>
        <v>1</v>
      </c>
      <c r="AY736">
        <f t="shared" si="135"/>
        <v>17.2</v>
      </c>
      <c r="AZ736">
        <f t="shared" si="136"/>
        <v>1.25</v>
      </c>
      <c r="BB736" t="str">
        <f>IF($H736="","",IFERROR(INDEX(_ENGINE_Risk!$AE$5:$AE$499,MATCH($E736,_ENGINE_Risk!$A$5:$A$499,0)),"Medium"))</f>
        <v>Fast</v>
      </c>
      <c r="BC736">
        <f t="shared" si="137"/>
        <v>1.25</v>
      </c>
      <c r="BD736">
        <f t="shared" si="138"/>
        <v>1.25</v>
      </c>
      <c r="BF736">
        <f>IF(OR($H736="",$J736=""),"",IFERROR(VLOOKUP(ROUND($J736,0),_CONFIG_Model_Settings!$D$154:$E$158,2,0),""))</f>
        <v>0.5</v>
      </c>
      <c r="BG736">
        <f>IFERROR(IF(OR($H736="",$K736=""),"",ROUND('Company Profile'!$B$113*INDEX(_CONFIG_Model_Settings!$H$154:$H$158,MATCH(ROUND($K736,0),_CONFIG_Model_Settings!$G$154:$G$158,0)),0)),0)</f>
        <v>1875</v>
      </c>
      <c r="BH736">
        <f t="shared" si="139"/>
        <v>937.5</v>
      </c>
      <c r="BI736">
        <f t="shared" si="140"/>
        <v>937.5</v>
      </c>
      <c r="BJ736">
        <f>IF($E736="","",IFERROR(VLOOKUP($C736,_CONFIG_Risk_Calibration!$A$5:$H$21,2,FALSE),3))</f>
        <v>3</v>
      </c>
      <c r="BK736">
        <f>IF($E736="","",IFERROR(VLOOKUP($C736,_CONFIG_Risk_Calibration!$A$5:$H$21,3,FALSE),0))</f>
        <v>0</v>
      </c>
      <c r="BL736">
        <f>IF($E736="","",IFERROR(VLOOKUP($C736,_CONFIG_Risk_Calibration!$A$5:$H$21,4,FALSE),3))</f>
        <v>3</v>
      </c>
      <c r="BM736">
        <f>IF($E736="","",IFERROR(VLOOKUP($C736,_CONFIG_Risk_Calibration!$A$5:$H$21,5,FALSE),3))</f>
        <v>4</v>
      </c>
      <c r="BN736" t="str">
        <f>IF($E736="","",IFERROR(VLOOKUP($C736,_CONFIG_Risk_Calibration!$A$5:$H$21,6,FALSE),"No"))</f>
        <v>No</v>
      </c>
      <c r="BO736">
        <f>IF($E736="","",IFERROR(VLOOKUP($C736,_CONFIG_Risk_Calibration!$A$5:$H$21,7,FALSE),1))</f>
        <v>1</v>
      </c>
      <c r="BP736">
        <f>IF($H736="","",MAX(1,MIN(5,((6-$H736)*0.45)+($BJ736*0.2)+('Resilience &amp; Risk Scenario'!$B$7*0.15)+($BK736*0.1)+($BL736*0.05)+(IF($BB736="Fast",5,IF($BB736="Slow",1,3))*0.05))))</f>
        <v>3.7</v>
      </c>
      <c r="BQ736">
        <f t="shared" si="141"/>
        <v>4.6499999999999995</v>
      </c>
      <c r="BR736">
        <f t="shared" si="142"/>
        <v>17.21</v>
      </c>
      <c r="BS736">
        <f t="shared" si="143"/>
        <v>23.66</v>
      </c>
      <c r="BT736" t="str">
        <f>IFERROR(INDEX(_REF_Capability_Bridge!$D:$D,MATCH($C736&amp;"|"&amp;$D736,_REF_Capability_Bridge!$J:$J,0)),IFERROR(INDEX(_REF_Capability_Bridge!$D:$D,MATCH($C736&amp;"|",_REF_Capability_Bridge!$J:$J,0)),"CAP_GENERIC"))</f>
        <v>CAP_BACKUP_RECOVERY</v>
      </c>
      <c r="BU736">
        <f>IFERROR(IFERROR(INDEX(_ENGINE_Relevance!$L:$L,MATCH($BT736,_ENGINE_Relevance!$B:$B,0)),1),1)</f>
        <v>1</v>
      </c>
      <c r="BV736" t="str">
        <f>IFERROR(INDEX(_REF_Capability_Bridge!$A:$A,MATCH($C736&amp;"|"&amp;$D736,_REF_Capability_Bridge!$J:$J,0)),IFERROR(INDEX(_REF_Capability_Bridge!$A:$A,MATCH($C736&amp;"|",_REF_Capability_Bridge!$J:$J,0)),"No bridge"))</f>
        <v>BRG-056</v>
      </c>
      <c r="BW736" t="str">
        <f t="shared" si="144"/>
        <v>Capability relevance neutral</v>
      </c>
      <c r="BX736" t="str">
        <f t="shared" si="145"/>
        <v>Initial / absent</v>
      </c>
      <c r="BY736" t="str">
        <f>IF($E736="","",IFERROR(INDEX(_REF_Treatment_Library!$A$2:$A$296,MATCH(1,INDEX((_REF_Treatment_Library!$B$2:$B$296=$BT736)*(_REF_Treatment_Library!$C$2:$C$296=PV_Canonical_Industry)*(_REF_Treatment_Library!$E$2:$E$296&lt;=N($H736))*(_REF_Treatment_Library!$F$2:$F$296&gt;=N($H736))*(_REF_Treatment_Library!$O$2:$O$296="Yes"),0),0)),IFERROR(INDEX(_REF_Treatment_Library!$A$2:$A$296,MATCH(1,INDEX((_REF_Treatment_Library!$B$2:$B$296=$BT736)*(_REF_Treatment_Library!$C$2:$C$296="All")*(_REF_Treatment_Library!$E$2:$E$296&lt;=N($H736))*(_REF_Treatment_Library!$F$2:$F$296&gt;=N($H736))*(_REF_Treatment_Library!$O$2:$O$296="Yes"),0),0)),"")))</f>
        <v>TRT-BACKUP_RECOVERY-INITIAL</v>
      </c>
      <c r="BZ736" t="str">
        <f>IF($BY736="","",IFERROR(INDEX(_REF_Treatment_Library!$H$2:$H$296,MATCH($BY736,_REF_Treatment_Library!$A$2:$A$296,0)),""))</f>
        <v>Establish</v>
      </c>
      <c r="CA736" t="str">
        <f>IF($BY736="","",IFERROR(INDEX(_REF_Treatment_Library!$I$2:$I$296,MATCH($BY736,_REF_Treatment_Library!$A$2:$A$296,0)),""))</f>
        <v>Establish baseline controls for Backup / recovery</v>
      </c>
      <c r="CB736" t="str">
        <f>IF($BY736="","",IFERROR(INDEX(_REF_Treatment_Library!$K$2:$K$296,MATCH($BY736,_REF_Treatment_Library!$A$2:$A$296,0)),""))</f>
        <v>Named owner, baseline process, minimum control checklist, first evidence package</v>
      </c>
      <c r="CC736" t="str">
        <f>IF($BY736="","",IFERROR(INDEX(_REF_Treatment_Library!$L$2:$L$296,MATCH($BY736,_REF_Treatment_Library!$A$2:$A$296,0)),""))</f>
        <v>Owner assigned; baseline evidence coverage; open critical gaps</v>
      </c>
      <c r="CD736" t="str">
        <f t="shared" si="146"/>
        <v>Treatment by capability=CAP_BACKUP_RECOVERY; band=Initial / absent; score=0.0; treatment=Establish</v>
      </c>
      <c r="CE736" t="str">
        <f>IF($E736="","",IFERROR(INDEX(_REF_Industry_Wording!$A$2:$A$70,MATCH(1,INDEX((_REF_Industry_Wording!$B$2:$B$70=$BT736)*(_REF_Industry_Wording!$C$2:$C$70=PV_Canonical_Industry)*(_REF_Industry_Wording!$K$2:$K$70="Yes"),0),0)),IFERROR(INDEX(_REF_Industry_Wording!$A$2:$A$70,MATCH(1,INDEX((_REF_Industry_Wording!$B$2:$B$70=$BT736)*(_REF_Industry_Wording!$C$2:$C$70="All")*(_REF_Industry_Wording!$K$2:$K$70="Yes"),0),0)),"")))</f>
        <v>IW-ALL-BACKUP_RECOVERY</v>
      </c>
      <c r="CF736" t="str">
        <f>IF($CE736="","",IFERROR(INDEX(_REF_Industry_Wording!$E$2:$E$70,MATCH($CE736,_REF_Industry_Wording!$A$2:$A$70,0)),""))</f>
        <v>Backup / recovery weakness</v>
      </c>
      <c r="CG736" t="str">
        <f>IF($CE736="","",IFERROR(INDEX(_REF_Industry_Wording!$F$2:$F$70,MATCH($CE736,_REF_Industry_Wording!$A$2:$A$70,0)),""))</f>
        <v>Strengthen Backup / recovery</v>
      </c>
      <c r="CH736" t="str">
        <f>IF($CE736="","",IFERROR(INDEX(_REF_Industry_Wording!$G$2:$G$70,MATCH($CE736,_REF_Industry_Wording!$A$2:$A$70,0)),""))</f>
        <v>Strengthen Backup / recovery using the selected maturity treatment, crisis scenario and evidence requirements.</v>
      </c>
      <c r="CI736" t="str">
        <f>IF($CE736="","",IFERROR(INDEX(_REF_Industry_Wording!$H$2:$H$70,MATCH($CE736,_REF_Industry_Wording!$A$2:$A$70,0)),""))</f>
        <v>Backup / recovery</v>
      </c>
      <c r="CJ736">
        <f>IF($CE736="","",IFERROR(INDEX(_REF_Industry_Wording!$I$2:$I$70,MATCH($CE736,_REF_Industry_Wording!$A$2:$A$70,0)),""))</f>
        <v>0</v>
      </c>
      <c r="CK736" t="str">
        <f>IF($CE736="","",IFERROR(INDEX(_REF_Industry_Wording!$J$2:$J$70,MATCH($CE736,_REF_Industry_Wording!$A$2:$A$70,0)),""))</f>
        <v>Backup / recovery</v>
      </c>
      <c r="CL736" t="str">
        <f t="shared" si="147"/>
        <v>Wording by industry=0; capability=CAP_BACKUP_RECOVERY; risk label=Backup / recovery weakness</v>
      </c>
      <c r="CM736" t="str">
        <f t="shared" si="148"/>
        <v>RISK-ONT-0237</v>
      </c>
      <c r="CN736" t="str">
        <f t="shared" si="149"/>
        <v>RISK-EVT-0237</v>
      </c>
      <c r="CO736" t="str">
        <f t="shared" si="150"/>
        <v>Manufacturing MES|Maintenance and assets|MANU-013|CAP_BACKUP_RECOVERY</v>
      </c>
      <c r="CP736" t="str">
        <f t="shared" si="151"/>
        <v>Active</v>
      </c>
      <c r="CQ736" t="str">
        <f t="shared" si="152"/>
        <v>OK: capability-driven</v>
      </c>
      <c r="CR736" t="str">
        <f t="shared" si="153"/>
        <v>Risk ontology uses capability=CAP_BACKUP_RECOVERY; bridge=BRG-056; treatment=TRT-BACKUP_RECOVERY-INITIAL; wording=IW-ALL-BACKUP_RECOVERY</v>
      </c>
      <c r="CS736" t="str">
        <f t="shared" si="154"/>
        <v>Yes</v>
      </c>
    </row>
    <row r="737" spans="1:97" ht="69.900000000000006" customHeight="1">
      <c r="A737">
        <f>IF(OR($B737&lt;&gt;"Yes",$BS737=""),"",SUMPRODUCT(($B$500:$B$923="Yes")*ISNUMBER($BS$500:$BS$923)*($BS$500:$BS$923&gt;$BS737))+COUNTIFS($B$500:$B737,"Yes",$BS$500:$BS737,$BS737))</f>
        <v>53</v>
      </c>
      <c r="B737" t="str">
        <f t="shared" si="123"/>
        <v>Yes</v>
      </c>
      <c r="C737" t="s">
        <v>2145</v>
      </c>
      <c r="D737" t="s">
        <v>2166</v>
      </c>
      <c r="E737" t="s">
        <v>2211</v>
      </c>
      <c r="F737" t="s">
        <v>3688</v>
      </c>
      <c r="G737" t="str">
        <f>IF($H737="","",IFERROR(INDEX(_ENGINE_Risk!$H$5:$M$499,MATCH($E737,_ENGINE_Risk!$A$5:$A$499,0),$H737+1),""))</f>
        <v>Severe risk: critical spare parts identification, stocking or sourcing with acceptable lead times is not reliably controlled. During Manufacturing disruption; Safety incident; Energy outage; Cyberattack, the organization may face production stoppage, quality defects, low asset visibility and inability to recover shop-floor operations with limited visibility or accountability.</v>
      </c>
      <c r="H737">
        <f>IFERROR(VALUE(INDEX(_DATA_Assessment_Model!$H$5:$H$884,MATCH($E737,_DATA_Assessment_Model!$A$5:$A$884,0))),"")</f>
        <v>0</v>
      </c>
      <c r="I737" t="str">
        <f>IF($H737="","",IFERROR(INDEX(_DATA_Assessment_Model!$L$5:$L$884,MATCH($E737,_DATA_Assessment_Model!$A$5:$A$884,0)),IF($H737&lt;=1,"Critical",IF($H737=2,"High",IF($H737=3,"Medium",IF($H737=4,"Low","Resilient"))))))</f>
        <v>Critical</v>
      </c>
      <c r="J737">
        <f t="shared" si="124"/>
        <v>3.7</v>
      </c>
      <c r="K737">
        <f t="shared" si="125"/>
        <v>4.6499999999999995</v>
      </c>
      <c r="L737">
        <f t="shared" si="126"/>
        <v>17.204999999999998</v>
      </c>
      <c r="M737">
        <f t="shared" si="127"/>
        <v>4</v>
      </c>
      <c r="N737">
        <f>IF($H737="","",IFERROR(INDEX(_ENGINE_Risk!$T$5:$Y$499,MATCH($E737,_ENGINE_Risk!$A$5:$A$499,0),$H737+1),""))</f>
        <v>4</v>
      </c>
      <c r="O737">
        <f t="shared" si="128"/>
        <v>5</v>
      </c>
      <c r="P737">
        <f t="shared" si="129"/>
        <v>5</v>
      </c>
      <c r="Q737">
        <f t="shared" si="130"/>
        <v>5</v>
      </c>
      <c r="R737">
        <f t="shared" si="131"/>
        <v>5</v>
      </c>
      <c r="S737">
        <f t="shared" si="132"/>
        <v>1.25</v>
      </c>
      <c r="T737" t="str">
        <f>IF($H737="","",IFERROR(INDEX(_ENGINE_Risk!$N$5:$S$499,MATCH($E737,_ENGINE_Risk!$A$5:$A$499,0),$H737+1),""))</f>
        <v>Create an immediate risk owner, minimum control baseline and fallback procedure for critical spare parts identification, stocking or sourcing with acceptable lead times. Add it to the crisis risk register and collect first evidence.</v>
      </c>
      <c r="U737">
        <f>IFERROR(INDEX(_DATA_Assessment_Model!$G$5:$G$884,MATCH($E737,_DATA_Assessment_Model!$A$5:$A$884,0)),"")</f>
        <v>5</v>
      </c>
      <c r="V737">
        <f>IFERROR(INDEX(_DATA_Assessment_Model!$W$5:$W$884,MATCH($E737,_DATA_Assessment_Model!$A$5:$A$884,0)),"")</f>
        <v>5</v>
      </c>
      <c r="W737">
        <f>IFERROR(INDEX(_DATA_Assessment_Model!$X$5:$X$884,MATCH($E737,_DATA_Assessment_Model!$A$5:$A$884,0)),"")</f>
        <v>5</v>
      </c>
      <c r="X737">
        <f>IFERROR(INDEX(_DATA_Assessment_Model!$Y$5:$Y$884,MATCH($E737,_DATA_Assessment_Model!$A$5:$A$884,0)),"")</f>
        <v>5</v>
      </c>
      <c r="Y737" t="s">
        <v>2152</v>
      </c>
      <c r="Z737" t="s">
        <v>7780</v>
      </c>
      <c r="AA737" t="s">
        <v>2213</v>
      </c>
      <c r="AB737">
        <f>IFERROR(INDEX(_DATA_Assessment_Model!$U$5:$U$884,MATCH($E737,_DATA_Assessment_Model!$A$5:$A$884,0)),"")</f>
        <v>0</v>
      </c>
      <c r="AF737" t="s">
        <v>2212</v>
      </c>
      <c r="AO737">
        <f>IF($B737="Yes",IF(IFERROR(INDEX(_ENGINE_Crisis!$F$501:$F$517,MATCH($C737,_ENGINE_Crisis!$A$501:$A$517,0)),1)=0,1,IFERROR(INDEX(_ENGINE_Crisis!$F$501:$F$517,MATCH($C737,_ENGINE_Crisis!$A$501:$A$517,0)),1)),"")</f>
        <v>1</v>
      </c>
      <c r="AP737">
        <f t="shared" si="133"/>
        <v>17.2</v>
      </c>
      <c r="AQ737">
        <f t="shared" si="134"/>
        <v>1.25</v>
      </c>
      <c r="AR737" t="str">
        <f>IFERROR(INDEX(_ENGINE_Crisis!$E$41:$E$700,MATCH('Resilience &amp; Risk Scenario'!$B$6&amp;"|"&amp;$C737,_ENGINE_Crisis!$I$41:$I$700,0)),"")</f>
        <v/>
      </c>
      <c r="AS737" t="str">
        <f>IFERROR(INDEX(_ENGINE_Crisis!$G$41:$G$700,MATCH('Resilience &amp; Risk Scenario'!$B$6&amp;"|"&amp;$C737,_ENGINE_Crisis!$I$41:$I$700,0)),"")</f>
        <v/>
      </c>
      <c r="AT737" t="str">
        <f>IFERROR(INDEX(_ENGINE_Initiatives!$A$5:$A$532,MATCH(1,INDEX((_ENGINE_Initiatives!$B$5:$B$532=$C737)*(_ENGINE_Initiatives!$C$5:$C$532=$D737),0),0)),"")</f>
        <v>INI-038</v>
      </c>
      <c r="AU737" t="str">
        <f>IFERROR(INDEX(_ENGINE_Initiatives!$F$5:$F$532,MATCH(1,INDEX((_ENGINE_Initiatives!$B$5:$B$532=$C737)*(_ENGINE_Initiatives!$C$5:$C$532=$D737),0),0)),"")</f>
        <v>Build maintenance, spare-parts and asset resilience program</v>
      </c>
      <c r="AV737">
        <f>IFERROR(INDEX(_ENGINE_Initiatives!$AC$5:$AC$532,MATCH(1,INDEX((_ENGINE_Initiatives!$B$5:$B$532=$C737)*(_ENGINE_Initiatives!$C$5:$C$532=$D737),0),0)),"")</f>
        <v>1.39</v>
      </c>
      <c r="AW737" t="str">
        <f>IFERROR(INDEX(_ENGINE_Initiatives!$AE$5:$AE$532,MATCH(1,INDEX((_ENGINE_Initiatives!$B$5:$B$532=$C737)*(_ENGINE_Initiatives!$C$5:$C$532=$D737),0),0)),"")</f>
        <v>6-12 months</v>
      </c>
      <c r="AX737">
        <f>IF($B737="Yes",IFERROR((IF(SUMIFS(_REF_Model_Content!$E$1:$E$613,_REF_Model_Content!$A$1:$A$613,PV_Canonical_Industry,_REF_Model_Content!$B$1:$B$613,$C737)=0,1,SUMIFS(_REF_Model_Content!$E$1:$E$613,_REF_Model_Content!$A$1:$A$613,PV_Canonical_Industry,_REF_Model_Content!$B$1:$B$613,$C737))*IFERROR($BU737,1)),1),"")</f>
        <v>1</v>
      </c>
      <c r="AY737">
        <f t="shared" si="135"/>
        <v>17.2</v>
      </c>
      <c r="AZ737">
        <f t="shared" si="136"/>
        <v>1.25</v>
      </c>
      <c r="BB737" t="str">
        <f>IF($H737="","",IFERROR(INDEX(_ENGINE_Risk!$AE$5:$AE$499,MATCH($E737,_ENGINE_Risk!$A$5:$A$499,0)),"Medium"))</f>
        <v>Fast</v>
      </c>
      <c r="BC737">
        <f t="shared" si="137"/>
        <v>1.25</v>
      </c>
      <c r="BD737">
        <f t="shared" si="138"/>
        <v>1.25</v>
      </c>
      <c r="BF737">
        <f>IF(OR($H737="",$J737=""),"",IFERROR(VLOOKUP(ROUND($J737,0),_CONFIG_Model_Settings!$D$154:$E$158,2,0),""))</f>
        <v>0.5</v>
      </c>
      <c r="BG737">
        <f>IFERROR(IF(OR($H737="",$K737=""),"",ROUND('Company Profile'!$B$113*INDEX(_CONFIG_Model_Settings!$H$154:$H$158,MATCH(ROUND($K737,0),_CONFIG_Model_Settings!$G$154:$G$158,0)),0)),0)</f>
        <v>1875</v>
      </c>
      <c r="BH737">
        <f t="shared" si="139"/>
        <v>937.5</v>
      </c>
      <c r="BI737">
        <f t="shared" si="140"/>
        <v>937.5</v>
      </c>
      <c r="BJ737">
        <f>IF($E737="","",IFERROR(VLOOKUP($C737,_CONFIG_Risk_Calibration!$A$5:$H$21,2,FALSE),3))</f>
        <v>3</v>
      </c>
      <c r="BK737">
        <f>IF($E737="","",IFERROR(VLOOKUP($C737,_CONFIG_Risk_Calibration!$A$5:$H$21,3,FALSE),0))</f>
        <v>0</v>
      </c>
      <c r="BL737">
        <f>IF($E737="","",IFERROR(VLOOKUP($C737,_CONFIG_Risk_Calibration!$A$5:$H$21,4,FALSE),3))</f>
        <v>3</v>
      </c>
      <c r="BM737">
        <f>IF($E737="","",IFERROR(VLOOKUP($C737,_CONFIG_Risk_Calibration!$A$5:$H$21,5,FALSE),3))</f>
        <v>4</v>
      </c>
      <c r="BN737" t="str">
        <f>IF($E737="","",IFERROR(VLOOKUP($C737,_CONFIG_Risk_Calibration!$A$5:$H$21,6,FALSE),"No"))</f>
        <v>No</v>
      </c>
      <c r="BO737">
        <f>IF($E737="","",IFERROR(VLOOKUP($C737,_CONFIG_Risk_Calibration!$A$5:$H$21,7,FALSE),1))</f>
        <v>1</v>
      </c>
      <c r="BP737">
        <f>IF($H737="","",MAX(1,MIN(5,((6-$H737)*0.45)+($BJ737*0.2)+('Resilience &amp; Risk Scenario'!$B$7*0.15)+($BK737*0.1)+($BL737*0.05)+(IF($BB737="Fast",5,IF($BB737="Slow",1,3))*0.05))))</f>
        <v>3.7</v>
      </c>
      <c r="BQ737">
        <f t="shared" si="141"/>
        <v>4.6499999999999995</v>
      </c>
      <c r="BR737">
        <f t="shared" si="142"/>
        <v>17.21</v>
      </c>
      <c r="BS737">
        <f t="shared" si="143"/>
        <v>23.66</v>
      </c>
      <c r="BT737" t="str">
        <f>IFERROR(INDEX(_REF_Capability_Bridge!$D:$D,MATCH($C737&amp;"|"&amp;$D737,_REF_Capability_Bridge!$J:$J,0)),IFERROR(INDEX(_REF_Capability_Bridge!$D:$D,MATCH($C737&amp;"|",_REF_Capability_Bridge!$J:$J,0)),"CAP_GENERIC"))</f>
        <v>CAP_BACKUP_RECOVERY</v>
      </c>
      <c r="BU737">
        <f>IFERROR(IFERROR(INDEX(_ENGINE_Relevance!$L:$L,MATCH($BT737,_ENGINE_Relevance!$B:$B,0)),1),1)</f>
        <v>1</v>
      </c>
      <c r="BV737" t="str">
        <f>IFERROR(INDEX(_REF_Capability_Bridge!$A:$A,MATCH($C737&amp;"|"&amp;$D737,_REF_Capability_Bridge!$J:$J,0)),IFERROR(INDEX(_REF_Capability_Bridge!$A:$A,MATCH($C737&amp;"|",_REF_Capability_Bridge!$J:$J,0)),"No bridge"))</f>
        <v>BRG-056</v>
      </c>
      <c r="BW737" t="str">
        <f t="shared" si="144"/>
        <v>Capability relevance neutral</v>
      </c>
      <c r="BX737" t="str">
        <f t="shared" si="145"/>
        <v>Initial / absent</v>
      </c>
      <c r="BY737" t="str">
        <f>IF($E737="","",IFERROR(INDEX(_REF_Treatment_Library!$A$2:$A$296,MATCH(1,INDEX((_REF_Treatment_Library!$B$2:$B$296=$BT737)*(_REF_Treatment_Library!$C$2:$C$296=PV_Canonical_Industry)*(_REF_Treatment_Library!$E$2:$E$296&lt;=N($H737))*(_REF_Treatment_Library!$F$2:$F$296&gt;=N($H737))*(_REF_Treatment_Library!$O$2:$O$296="Yes"),0),0)),IFERROR(INDEX(_REF_Treatment_Library!$A$2:$A$296,MATCH(1,INDEX((_REF_Treatment_Library!$B$2:$B$296=$BT737)*(_REF_Treatment_Library!$C$2:$C$296="All")*(_REF_Treatment_Library!$E$2:$E$296&lt;=N($H737))*(_REF_Treatment_Library!$F$2:$F$296&gt;=N($H737))*(_REF_Treatment_Library!$O$2:$O$296="Yes"),0),0)),"")))</f>
        <v>TRT-BACKUP_RECOVERY-INITIAL</v>
      </c>
      <c r="BZ737" t="str">
        <f>IF($BY737="","",IFERROR(INDEX(_REF_Treatment_Library!$H$2:$H$296,MATCH($BY737,_REF_Treatment_Library!$A$2:$A$296,0)),""))</f>
        <v>Establish</v>
      </c>
      <c r="CA737" t="str">
        <f>IF($BY737="","",IFERROR(INDEX(_REF_Treatment_Library!$I$2:$I$296,MATCH($BY737,_REF_Treatment_Library!$A$2:$A$296,0)),""))</f>
        <v>Establish baseline controls for Backup / recovery</v>
      </c>
      <c r="CB737" t="str">
        <f>IF($BY737="","",IFERROR(INDEX(_REF_Treatment_Library!$K$2:$K$296,MATCH($BY737,_REF_Treatment_Library!$A$2:$A$296,0)),""))</f>
        <v>Named owner, baseline process, minimum control checklist, first evidence package</v>
      </c>
      <c r="CC737" t="str">
        <f>IF($BY737="","",IFERROR(INDEX(_REF_Treatment_Library!$L$2:$L$296,MATCH($BY737,_REF_Treatment_Library!$A$2:$A$296,0)),""))</f>
        <v>Owner assigned; baseline evidence coverage; open critical gaps</v>
      </c>
      <c r="CD737" t="str">
        <f t="shared" si="146"/>
        <v>Treatment by capability=CAP_BACKUP_RECOVERY; band=Initial / absent; score=0.0; treatment=Establish</v>
      </c>
      <c r="CE737" t="str">
        <f>IF($E737="","",IFERROR(INDEX(_REF_Industry_Wording!$A$2:$A$70,MATCH(1,INDEX((_REF_Industry_Wording!$B$2:$B$70=$BT737)*(_REF_Industry_Wording!$C$2:$C$70=PV_Canonical_Industry)*(_REF_Industry_Wording!$K$2:$K$70="Yes"),0),0)),IFERROR(INDEX(_REF_Industry_Wording!$A$2:$A$70,MATCH(1,INDEX((_REF_Industry_Wording!$B$2:$B$70=$BT737)*(_REF_Industry_Wording!$C$2:$C$70="All")*(_REF_Industry_Wording!$K$2:$K$70="Yes"),0),0)),"")))</f>
        <v>IW-ALL-BACKUP_RECOVERY</v>
      </c>
      <c r="CF737" t="str">
        <f>IF($CE737="","",IFERROR(INDEX(_REF_Industry_Wording!$E$2:$E$70,MATCH($CE737,_REF_Industry_Wording!$A$2:$A$70,0)),""))</f>
        <v>Backup / recovery weakness</v>
      </c>
      <c r="CG737" t="str">
        <f>IF($CE737="","",IFERROR(INDEX(_REF_Industry_Wording!$F$2:$F$70,MATCH($CE737,_REF_Industry_Wording!$A$2:$A$70,0)),""))</f>
        <v>Strengthen Backup / recovery</v>
      </c>
      <c r="CH737" t="str">
        <f>IF($CE737="","",IFERROR(INDEX(_REF_Industry_Wording!$G$2:$G$70,MATCH($CE737,_REF_Industry_Wording!$A$2:$A$70,0)),""))</f>
        <v>Strengthen Backup / recovery using the selected maturity treatment, crisis scenario and evidence requirements.</v>
      </c>
      <c r="CI737" t="str">
        <f>IF($CE737="","",IFERROR(INDEX(_REF_Industry_Wording!$H$2:$H$70,MATCH($CE737,_REF_Industry_Wording!$A$2:$A$70,0)),""))</f>
        <v>Backup / recovery</v>
      </c>
      <c r="CJ737">
        <f>IF($CE737="","",IFERROR(INDEX(_REF_Industry_Wording!$I$2:$I$70,MATCH($CE737,_REF_Industry_Wording!$A$2:$A$70,0)),""))</f>
        <v>0</v>
      </c>
      <c r="CK737" t="str">
        <f>IF($CE737="","",IFERROR(INDEX(_REF_Industry_Wording!$J$2:$J$70,MATCH($CE737,_REF_Industry_Wording!$A$2:$A$70,0)),""))</f>
        <v>Backup / recovery</v>
      </c>
      <c r="CL737" t="str">
        <f t="shared" si="147"/>
        <v>Wording by industry=0; capability=CAP_BACKUP_RECOVERY; risk label=Backup / recovery weakness</v>
      </c>
      <c r="CM737" t="str">
        <f t="shared" si="148"/>
        <v>RISK-ONT-0238</v>
      </c>
      <c r="CN737" t="str">
        <f t="shared" si="149"/>
        <v>RISK-EVT-0238</v>
      </c>
      <c r="CO737" t="str">
        <f t="shared" si="150"/>
        <v>Manufacturing MES|Maintenance and assets|MANU-014|CAP_BACKUP_RECOVERY</v>
      </c>
      <c r="CP737" t="str">
        <f t="shared" si="151"/>
        <v>Active</v>
      </c>
      <c r="CQ737" t="str">
        <f t="shared" si="152"/>
        <v>OK: capability-driven</v>
      </c>
      <c r="CR737" t="str">
        <f t="shared" si="153"/>
        <v>Risk ontology uses capability=CAP_BACKUP_RECOVERY; bridge=BRG-056; treatment=TRT-BACKUP_RECOVERY-INITIAL; wording=IW-ALL-BACKUP_RECOVERY</v>
      </c>
      <c r="CS737" t="str">
        <f t="shared" si="154"/>
        <v>Yes</v>
      </c>
    </row>
    <row r="738" spans="1:97" ht="69.900000000000006" customHeight="1">
      <c r="A738">
        <f>IF(OR($B738&lt;&gt;"Yes",$BS738=""),"",SUMPRODUCT(($B$500:$B$923="Yes")*ISNUMBER($BS$500:$BS$923)*($BS$500:$BS$923&gt;$BS738))+COUNTIFS($B$500:$B738,"Yes",$BS$500:$BS738,$BS738))</f>
        <v>54</v>
      </c>
      <c r="B738" t="str">
        <f t="shared" si="123"/>
        <v>Yes</v>
      </c>
      <c r="C738" t="s">
        <v>2145</v>
      </c>
      <c r="D738" t="s">
        <v>2166</v>
      </c>
      <c r="E738" t="s">
        <v>2214</v>
      </c>
      <c r="F738" t="s">
        <v>3688</v>
      </c>
      <c r="G738" t="str">
        <f>IF($H738="","",IFERROR(INDEX(_ENGINE_Risk!$H$5:$M$499,MATCH($E738,_ENGINE_Risk!$A$5:$A$499,0),$H738+1),""))</f>
        <v>Severe risk: predictive or condition-based maintenance for critical assets where economically justified is not reliably controlled. During Manufacturing disruption; Safety incident; Energy outage; Cyberattack, the organization may face production stoppage, quality defects, low asset visibility and inability to recover shop-floor operations with limited visibility or accountability.</v>
      </c>
      <c r="H738">
        <f>IFERROR(VALUE(INDEX(_DATA_Assessment_Model!$H$5:$H$884,MATCH($E738,_DATA_Assessment_Model!$A$5:$A$884,0))),"")</f>
        <v>0</v>
      </c>
      <c r="I738" t="str">
        <f>IF($H738="","",IFERROR(INDEX(_DATA_Assessment_Model!$L$5:$L$884,MATCH($E738,_DATA_Assessment_Model!$A$5:$A$884,0)),IF($H738&lt;=1,"Critical",IF($H738=2,"High",IF($H738=3,"Medium",IF($H738=4,"Low","Resilient"))))))</f>
        <v>Critical</v>
      </c>
      <c r="J738">
        <f t="shared" si="124"/>
        <v>3.7</v>
      </c>
      <c r="K738">
        <f t="shared" si="125"/>
        <v>4.6499999999999995</v>
      </c>
      <c r="L738">
        <f t="shared" si="126"/>
        <v>17.204999999999998</v>
      </c>
      <c r="M738">
        <f t="shared" si="127"/>
        <v>4</v>
      </c>
      <c r="N738">
        <f>IF($H738="","",IFERROR(INDEX(_ENGINE_Risk!$T$5:$Y$499,MATCH($E738,_ENGINE_Risk!$A$5:$A$499,0),$H738+1),""))</f>
        <v>4</v>
      </c>
      <c r="O738">
        <f t="shared" si="128"/>
        <v>5</v>
      </c>
      <c r="P738">
        <f t="shared" si="129"/>
        <v>5</v>
      </c>
      <c r="Q738">
        <f t="shared" si="130"/>
        <v>5</v>
      </c>
      <c r="R738">
        <f t="shared" si="131"/>
        <v>5</v>
      </c>
      <c r="S738">
        <f t="shared" si="132"/>
        <v>1.25</v>
      </c>
      <c r="T738" t="str">
        <f>IF($H738="","",IFERROR(INDEX(_ENGINE_Risk!$N$5:$S$499,MATCH($E738,_ENGINE_Risk!$A$5:$A$499,0),$H738+1),""))</f>
        <v>Create an immediate risk owner, minimum control baseline and fallback procedure for predictive or condition-based maintenance for critical assets where economically justified. Add it to the crisis risk register and collect first evidence.</v>
      </c>
      <c r="U738">
        <f>IFERROR(INDEX(_DATA_Assessment_Model!$G$5:$G$884,MATCH($E738,_DATA_Assessment_Model!$A$5:$A$884,0)),"")</f>
        <v>5</v>
      </c>
      <c r="V738">
        <f>IFERROR(INDEX(_DATA_Assessment_Model!$W$5:$W$884,MATCH($E738,_DATA_Assessment_Model!$A$5:$A$884,0)),"")</f>
        <v>5</v>
      </c>
      <c r="W738">
        <f>IFERROR(INDEX(_DATA_Assessment_Model!$X$5:$X$884,MATCH($E738,_DATA_Assessment_Model!$A$5:$A$884,0)),"")</f>
        <v>5</v>
      </c>
      <c r="X738">
        <f>IFERROR(INDEX(_DATA_Assessment_Model!$Y$5:$Y$884,MATCH($E738,_DATA_Assessment_Model!$A$5:$A$884,0)),"")</f>
        <v>5</v>
      </c>
      <c r="Y738" t="s">
        <v>2152</v>
      </c>
      <c r="Z738" t="s">
        <v>7780</v>
      </c>
      <c r="AA738" t="s">
        <v>2216</v>
      </c>
      <c r="AB738">
        <f>IFERROR(INDEX(_DATA_Assessment_Model!$U$5:$U$884,MATCH($E738,_DATA_Assessment_Model!$A$5:$A$884,0)),"")</f>
        <v>0</v>
      </c>
      <c r="AF738" t="s">
        <v>2215</v>
      </c>
      <c r="AO738">
        <f>IF($B738="Yes",IF(IFERROR(INDEX(_ENGINE_Crisis!$F$501:$F$517,MATCH($C738,_ENGINE_Crisis!$A$501:$A$517,0)),1)=0,1,IFERROR(INDEX(_ENGINE_Crisis!$F$501:$F$517,MATCH($C738,_ENGINE_Crisis!$A$501:$A$517,0)),1)),"")</f>
        <v>1</v>
      </c>
      <c r="AP738">
        <f t="shared" si="133"/>
        <v>17.2</v>
      </c>
      <c r="AQ738">
        <f t="shared" si="134"/>
        <v>1.25</v>
      </c>
      <c r="AR738" t="str">
        <f>IFERROR(INDEX(_ENGINE_Crisis!$E$41:$E$700,MATCH('Resilience &amp; Risk Scenario'!$B$6&amp;"|"&amp;$C738,_ENGINE_Crisis!$I$41:$I$700,0)),"")</f>
        <v/>
      </c>
      <c r="AS738" t="str">
        <f>IFERROR(INDEX(_ENGINE_Crisis!$G$41:$G$700,MATCH('Resilience &amp; Risk Scenario'!$B$6&amp;"|"&amp;$C738,_ENGINE_Crisis!$I$41:$I$700,0)),"")</f>
        <v/>
      </c>
      <c r="AT738" t="str">
        <f>IFERROR(INDEX(_ENGINE_Initiatives!$A$5:$A$532,MATCH(1,INDEX((_ENGINE_Initiatives!$B$5:$B$532=$C738)*(_ENGINE_Initiatives!$C$5:$C$532=$D738),0),0)),"")</f>
        <v>INI-038</v>
      </c>
      <c r="AU738" t="str">
        <f>IFERROR(INDEX(_ENGINE_Initiatives!$F$5:$F$532,MATCH(1,INDEX((_ENGINE_Initiatives!$B$5:$B$532=$C738)*(_ENGINE_Initiatives!$C$5:$C$532=$D738),0),0)),"")</f>
        <v>Build maintenance, spare-parts and asset resilience program</v>
      </c>
      <c r="AV738">
        <f>IFERROR(INDEX(_ENGINE_Initiatives!$AC$5:$AC$532,MATCH(1,INDEX((_ENGINE_Initiatives!$B$5:$B$532=$C738)*(_ENGINE_Initiatives!$C$5:$C$532=$D738),0),0)),"")</f>
        <v>1.39</v>
      </c>
      <c r="AW738" t="str">
        <f>IFERROR(INDEX(_ENGINE_Initiatives!$AE$5:$AE$532,MATCH(1,INDEX((_ENGINE_Initiatives!$B$5:$B$532=$C738)*(_ENGINE_Initiatives!$C$5:$C$532=$D738),0),0)),"")</f>
        <v>6-12 months</v>
      </c>
      <c r="AX738">
        <f>IF($B738="Yes",IFERROR((IF(SUMIFS(_REF_Model_Content!$E$1:$E$613,_REF_Model_Content!$A$1:$A$613,PV_Canonical_Industry,_REF_Model_Content!$B$1:$B$613,$C738)=0,1,SUMIFS(_REF_Model_Content!$E$1:$E$613,_REF_Model_Content!$A$1:$A$613,PV_Canonical_Industry,_REF_Model_Content!$B$1:$B$613,$C738))*IFERROR($BU738,1)),1),"")</f>
        <v>1</v>
      </c>
      <c r="AY738">
        <f t="shared" si="135"/>
        <v>17.2</v>
      </c>
      <c r="AZ738">
        <f t="shared" si="136"/>
        <v>1.25</v>
      </c>
      <c r="BB738" t="str">
        <f>IF($H738="","",IFERROR(INDEX(_ENGINE_Risk!$AE$5:$AE$499,MATCH($E738,_ENGINE_Risk!$A$5:$A$499,0)),"Medium"))</f>
        <v>Fast</v>
      </c>
      <c r="BC738">
        <f t="shared" si="137"/>
        <v>1.25</v>
      </c>
      <c r="BD738">
        <f t="shared" si="138"/>
        <v>1.25</v>
      </c>
      <c r="BF738">
        <f>IF(OR($H738="",$J738=""),"",IFERROR(VLOOKUP(ROUND($J738,0),_CONFIG_Model_Settings!$D$154:$E$158,2,0),""))</f>
        <v>0.5</v>
      </c>
      <c r="BG738">
        <f>IFERROR(IF(OR($H738="",$K738=""),"",ROUND('Company Profile'!$B$113*INDEX(_CONFIG_Model_Settings!$H$154:$H$158,MATCH(ROUND($K738,0),_CONFIG_Model_Settings!$G$154:$G$158,0)),0)),0)</f>
        <v>1875</v>
      </c>
      <c r="BH738">
        <f t="shared" si="139"/>
        <v>937.5</v>
      </c>
      <c r="BI738">
        <f t="shared" si="140"/>
        <v>937.5</v>
      </c>
      <c r="BJ738">
        <f>IF($E738="","",IFERROR(VLOOKUP($C738,_CONFIG_Risk_Calibration!$A$5:$H$21,2,FALSE),3))</f>
        <v>3</v>
      </c>
      <c r="BK738">
        <f>IF($E738="","",IFERROR(VLOOKUP($C738,_CONFIG_Risk_Calibration!$A$5:$H$21,3,FALSE),0))</f>
        <v>0</v>
      </c>
      <c r="BL738">
        <f>IF($E738="","",IFERROR(VLOOKUP($C738,_CONFIG_Risk_Calibration!$A$5:$H$21,4,FALSE),3))</f>
        <v>3</v>
      </c>
      <c r="BM738">
        <f>IF($E738="","",IFERROR(VLOOKUP($C738,_CONFIG_Risk_Calibration!$A$5:$H$21,5,FALSE),3))</f>
        <v>4</v>
      </c>
      <c r="BN738" t="str">
        <f>IF($E738="","",IFERROR(VLOOKUP($C738,_CONFIG_Risk_Calibration!$A$5:$H$21,6,FALSE),"No"))</f>
        <v>No</v>
      </c>
      <c r="BO738">
        <f>IF($E738="","",IFERROR(VLOOKUP($C738,_CONFIG_Risk_Calibration!$A$5:$H$21,7,FALSE),1))</f>
        <v>1</v>
      </c>
      <c r="BP738">
        <f>IF($H738="","",MAX(1,MIN(5,((6-$H738)*0.45)+($BJ738*0.2)+('Resilience &amp; Risk Scenario'!$B$7*0.15)+($BK738*0.1)+($BL738*0.05)+(IF($BB738="Fast",5,IF($BB738="Slow",1,3))*0.05))))</f>
        <v>3.7</v>
      </c>
      <c r="BQ738">
        <f t="shared" si="141"/>
        <v>4.6499999999999995</v>
      </c>
      <c r="BR738">
        <f t="shared" si="142"/>
        <v>17.21</v>
      </c>
      <c r="BS738">
        <f t="shared" si="143"/>
        <v>23.66</v>
      </c>
      <c r="BT738" t="str">
        <f>IFERROR(INDEX(_REF_Capability_Bridge!$D:$D,MATCH($C738&amp;"|"&amp;$D738,_REF_Capability_Bridge!$J:$J,0)),IFERROR(INDEX(_REF_Capability_Bridge!$D:$D,MATCH($C738&amp;"|",_REF_Capability_Bridge!$J:$J,0)),"CAP_GENERIC"))</f>
        <v>CAP_BACKUP_RECOVERY</v>
      </c>
      <c r="BU738">
        <f>IFERROR(IFERROR(INDEX(_ENGINE_Relevance!$L:$L,MATCH($BT738,_ENGINE_Relevance!$B:$B,0)),1),1)</f>
        <v>1</v>
      </c>
      <c r="BV738" t="str">
        <f>IFERROR(INDEX(_REF_Capability_Bridge!$A:$A,MATCH($C738&amp;"|"&amp;$D738,_REF_Capability_Bridge!$J:$J,0)),IFERROR(INDEX(_REF_Capability_Bridge!$A:$A,MATCH($C738&amp;"|",_REF_Capability_Bridge!$J:$J,0)),"No bridge"))</f>
        <v>BRG-056</v>
      </c>
      <c r="BW738" t="str">
        <f t="shared" si="144"/>
        <v>Capability relevance neutral</v>
      </c>
      <c r="BX738" t="str">
        <f t="shared" si="145"/>
        <v>Initial / absent</v>
      </c>
      <c r="BY738" t="str">
        <f>IF($E738="","",IFERROR(INDEX(_REF_Treatment_Library!$A$2:$A$296,MATCH(1,INDEX((_REF_Treatment_Library!$B$2:$B$296=$BT738)*(_REF_Treatment_Library!$C$2:$C$296=PV_Canonical_Industry)*(_REF_Treatment_Library!$E$2:$E$296&lt;=N($H738))*(_REF_Treatment_Library!$F$2:$F$296&gt;=N($H738))*(_REF_Treatment_Library!$O$2:$O$296="Yes"),0),0)),IFERROR(INDEX(_REF_Treatment_Library!$A$2:$A$296,MATCH(1,INDEX((_REF_Treatment_Library!$B$2:$B$296=$BT738)*(_REF_Treatment_Library!$C$2:$C$296="All")*(_REF_Treatment_Library!$E$2:$E$296&lt;=N($H738))*(_REF_Treatment_Library!$F$2:$F$296&gt;=N($H738))*(_REF_Treatment_Library!$O$2:$O$296="Yes"),0),0)),"")))</f>
        <v>TRT-BACKUP_RECOVERY-INITIAL</v>
      </c>
      <c r="BZ738" t="str">
        <f>IF($BY738="","",IFERROR(INDEX(_REF_Treatment_Library!$H$2:$H$296,MATCH($BY738,_REF_Treatment_Library!$A$2:$A$296,0)),""))</f>
        <v>Establish</v>
      </c>
      <c r="CA738" t="str">
        <f>IF($BY738="","",IFERROR(INDEX(_REF_Treatment_Library!$I$2:$I$296,MATCH($BY738,_REF_Treatment_Library!$A$2:$A$296,0)),""))</f>
        <v>Establish baseline controls for Backup / recovery</v>
      </c>
      <c r="CB738" t="str">
        <f>IF($BY738="","",IFERROR(INDEX(_REF_Treatment_Library!$K$2:$K$296,MATCH($BY738,_REF_Treatment_Library!$A$2:$A$296,0)),""))</f>
        <v>Named owner, baseline process, minimum control checklist, first evidence package</v>
      </c>
      <c r="CC738" t="str">
        <f>IF($BY738="","",IFERROR(INDEX(_REF_Treatment_Library!$L$2:$L$296,MATCH($BY738,_REF_Treatment_Library!$A$2:$A$296,0)),""))</f>
        <v>Owner assigned; baseline evidence coverage; open critical gaps</v>
      </c>
      <c r="CD738" t="str">
        <f t="shared" si="146"/>
        <v>Treatment by capability=CAP_BACKUP_RECOVERY; band=Initial / absent; score=0.0; treatment=Establish</v>
      </c>
      <c r="CE738" t="str">
        <f>IF($E738="","",IFERROR(INDEX(_REF_Industry_Wording!$A$2:$A$70,MATCH(1,INDEX((_REF_Industry_Wording!$B$2:$B$70=$BT738)*(_REF_Industry_Wording!$C$2:$C$70=PV_Canonical_Industry)*(_REF_Industry_Wording!$K$2:$K$70="Yes"),0),0)),IFERROR(INDEX(_REF_Industry_Wording!$A$2:$A$70,MATCH(1,INDEX((_REF_Industry_Wording!$B$2:$B$70=$BT738)*(_REF_Industry_Wording!$C$2:$C$70="All")*(_REF_Industry_Wording!$K$2:$K$70="Yes"),0),0)),"")))</f>
        <v>IW-ALL-BACKUP_RECOVERY</v>
      </c>
      <c r="CF738" t="str">
        <f>IF($CE738="","",IFERROR(INDEX(_REF_Industry_Wording!$E$2:$E$70,MATCH($CE738,_REF_Industry_Wording!$A$2:$A$70,0)),""))</f>
        <v>Backup / recovery weakness</v>
      </c>
      <c r="CG738" t="str">
        <f>IF($CE738="","",IFERROR(INDEX(_REF_Industry_Wording!$F$2:$F$70,MATCH($CE738,_REF_Industry_Wording!$A$2:$A$70,0)),""))</f>
        <v>Strengthen Backup / recovery</v>
      </c>
      <c r="CH738" t="str">
        <f>IF($CE738="","",IFERROR(INDEX(_REF_Industry_Wording!$G$2:$G$70,MATCH($CE738,_REF_Industry_Wording!$A$2:$A$70,0)),""))</f>
        <v>Strengthen Backup / recovery using the selected maturity treatment, crisis scenario and evidence requirements.</v>
      </c>
      <c r="CI738" t="str">
        <f>IF($CE738="","",IFERROR(INDEX(_REF_Industry_Wording!$H$2:$H$70,MATCH($CE738,_REF_Industry_Wording!$A$2:$A$70,0)),""))</f>
        <v>Backup / recovery</v>
      </c>
      <c r="CJ738">
        <f>IF($CE738="","",IFERROR(INDEX(_REF_Industry_Wording!$I$2:$I$70,MATCH($CE738,_REF_Industry_Wording!$A$2:$A$70,0)),""))</f>
        <v>0</v>
      </c>
      <c r="CK738" t="str">
        <f>IF($CE738="","",IFERROR(INDEX(_REF_Industry_Wording!$J$2:$J$70,MATCH($CE738,_REF_Industry_Wording!$A$2:$A$70,0)),""))</f>
        <v>Backup / recovery</v>
      </c>
      <c r="CL738" t="str">
        <f t="shared" si="147"/>
        <v>Wording by industry=0; capability=CAP_BACKUP_RECOVERY; risk label=Backup / recovery weakness</v>
      </c>
      <c r="CM738" t="str">
        <f t="shared" si="148"/>
        <v>RISK-ONT-0239</v>
      </c>
      <c r="CN738" t="str">
        <f t="shared" si="149"/>
        <v>RISK-EVT-0239</v>
      </c>
      <c r="CO738" t="str">
        <f t="shared" si="150"/>
        <v>Manufacturing MES|Maintenance and assets|MANU-015|CAP_BACKUP_RECOVERY</v>
      </c>
      <c r="CP738" t="str">
        <f t="shared" si="151"/>
        <v>Active</v>
      </c>
      <c r="CQ738" t="str">
        <f t="shared" si="152"/>
        <v>OK: capability-driven</v>
      </c>
      <c r="CR738" t="str">
        <f t="shared" si="153"/>
        <v>Risk ontology uses capability=CAP_BACKUP_RECOVERY; bridge=BRG-056; treatment=TRT-BACKUP_RECOVERY-INITIAL; wording=IW-ALL-BACKUP_RECOVERY</v>
      </c>
      <c r="CS738" t="str">
        <f t="shared" si="154"/>
        <v>Yes</v>
      </c>
    </row>
    <row r="739" spans="1:97" ht="69.900000000000006" customHeight="1">
      <c r="A739">
        <f>IF(OR($B739&lt;&gt;"Yes",$BS739=""),"",SUMPRODUCT(($B$500:$B$923="Yes")*ISNUMBER($BS$500:$BS$923)*($BS$500:$BS$923&gt;$BS739))+COUNTIFS($B$500:$B739,"Yes",$BS$500:$BS739,$BS739))</f>
        <v>100</v>
      </c>
      <c r="B739" t="str">
        <f t="shared" si="123"/>
        <v>Yes</v>
      </c>
      <c r="C739" t="s">
        <v>2145</v>
      </c>
      <c r="D739" t="s">
        <v>2166</v>
      </c>
      <c r="E739" t="s">
        <v>2217</v>
      </c>
      <c r="F739" t="s">
        <v>3688</v>
      </c>
      <c r="G739" t="str">
        <f>IF($H739="","",IFERROR(INDEX(_ENGINE_Risk!$H$5:$M$499,MATCH($E739,_ENGINE_Risk!$A$5:$A$499,0),$H739+1),""))</f>
        <v>Severe risk: utility dependency map for electricity, gas, water, compressed air, HVAC and other utilities is not reliably controlled. During Manufacturing disruption; Safety incident; Energy outage; Cyberattack, the organization may face production stoppage, quality defects, low asset visibility and inability to recover shop-floor operations with limited visibility or accountability.</v>
      </c>
      <c r="H739">
        <f>IFERROR(VALUE(INDEX(_DATA_Assessment_Model!$H$5:$H$884,MATCH($E739,_DATA_Assessment_Model!$A$5:$A$884,0))),"")</f>
        <v>0</v>
      </c>
      <c r="I739" t="str">
        <f>IF($H739="","",IFERROR(INDEX(_DATA_Assessment_Model!$L$5:$L$884,MATCH($E739,_DATA_Assessment_Model!$A$5:$A$884,0)),IF($H739&lt;=1,"Critical",IF($H739=2,"High",IF($H739=3,"Medium",IF($H739=4,"Low","Resilient"))))))</f>
        <v>Critical</v>
      </c>
      <c r="J739">
        <f t="shared" si="124"/>
        <v>3.7</v>
      </c>
      <c r="K739">
        <f t="shared" si="125"/>
        <v>4.25</v>
      </c>
      <c r="L739">
        <f t="shared" si="126"/>
        <v>15.725000000000001</v>
      </c>
      <c r="M739">
        <f t="shared" si="127"/>
        <v>4</v>
      </c>
      <c r="N739">
        <f>IF($H739="","",IFERROR(INDEX(_ENGINE_Risk!$T$5:$Y$499,MATCH($E739,_ENGINE_Risk!$A$5:$A$499,0),$H739+1),""))</f>
        <v>4</v>
      </c>
      <c r="O739">
        <f t="shared" si="128"/>
        <v>4.333333333333333</v>
      </c>
      <c r="P739">
        <f t="shared" si="129"/>
        <v>5</v>
      </c>
      <c r="Q739">
        <f t="shared" si="130"/>
        <v>5</v>
      </c>
      <c r="R739">
        <f t="shared" si="131"/>
        <v>5</v>
      </c>
      <c r="S739">
        <f t="shared" si="132"/>
        <v>1.21</v>
      </c>
      <c r="T739" t="str">
        <f>IF($H739="","",IFERROR(INDEX(_ENGINE_Risk!$N$5:$S$499,MATCH($E739,_ENGINE_Risk!$A$5:$A$499,0),$H739+1),""))</f>
        <v>Create an immediate risk owner, minimum control baseline and fallback procedure for utility dependency map for electricity, gas, water, compressed air, HVAC and other utilities. Add it to the crisis risk register and collect first evidence.</v>
      </c>
      <c r="U739">
        <f>IFERROR(INDEX(_DATA_Assessment_Model!$G$5:$G$884,MATCH($E739,_DATA_Assessment_Model!$A$5:$A$884,0)),"")</f>
        <v>3</v>
      </c>
      <c r="V739">
        <f>IFERROR(INDEX(_DATA_Assessment_Model!$W$5:$W$884,MATCH($E739,_DATA_Assessment_Model!$A$5:$A$884,0)),"")</f>
        <v>5</v>
      </c>
      <c r="W739">
        <f>IFERROR(INDEX(_DATA_Assessment_Model!$X$5:$X$884,MATCH($E739,_DATA_Assessment_Model!$A$5:$A$884,0)),"")</f>
        <v>5</v>
      </c>
      <c r="X739">
        <f>IFERROR(INDEX(_DATA_Assessment_Model!$Y$5:$Y$884,MATCH($E739,_DATA_Assessment_Model!$A$5:$A$884,0)),"")</f>
        <v>5</v>
      </c>
      <c r="Y739" t="s">
        <v>2152</v>
      </c>
      <c r="Z739" t="s">
        <v>7780</v>
      </c>
      <c r="AA739" t="s">
        <v>2219</v>
      </c>
      <c r="AB739">
        <f>IFERROR(INDEX(_DATA_Assessment_Model!$U$5:$U$884,MATCH($E739,_DATA_Assessment_Model!$A$5:$A$884,0)),"")</f>
        <v>0</v>
      </c>
      <c r="AF739" t="s">
        <v>2218</v>
      </c>
      <c r="AO739">
        <f>IF($B739="Yes",IF(IFERROR(INDEX(_ENGINE_Crisis!$F$501:$F$517,MATCH($C739,_ENGINE_Crisis!$A$501:$A$517,0)),1)=0,1,IFERROR(INDEX(_ENGINE_Crisis!$F$501:$F$517,MATCH($C739,_ENGINE_Crisis!$A$501:$A$517,0)),1)),"")</f>
        <v>1</v>
      </c>
      <c r="AP739">
        <f t="shared" si="133"/>
        <v>15.7</v>
      </c>
      <c r="AQ739">
        <f t="shared" si="134"/>
        <v>1.21</v>
      </c>
      <c r="AR739" t="str">
        <f>IFERROR(INDEX(_ENGINE_Crisis!$E$41:$E$700,MATCH('Resilience &amp; Risk Scenario'!$B$6&amp;"|"&amp;$C739,_ENGINE_Crisis!$I$41:$I$700,0)),"")</f>
        <v/>
      </c>
      <c r="AS739" t="str">
        <f>IFERROR(INDEX(_ENGINE_Crisis!$G$41:$G$700,MATCH('Resilience &amp; Risk Scenario'!$B$6&amp;"|"&amp;$C739,_ENGINE_Crisis!$I$41:$I$700,0)),"")</f>
        <v/>
      </c>
      <c r="AT739" t="str">
        <f>IFERROR(INDEX(_ENGINE_Initiatives!$A$5:$A$532,MATCH(1,INDEX((_ENGINE_Initiatives!$B$5:$B$532=$C739)*(_ENGINE_Initiatives!$C$5:$C$532=$D739),0),0)),"")</f>
        <v>INI-038</v>
      </c>
      <c r="AU739" t="str">
        <f>IFERROR(INDEX(_ENGINE_Initiatives!$F$5:$F$532,MATCH(1,INDEX((_ENGINE_Initiatives!$B$5:$B$532=$C739)*(_ENGINE_Initiatives!$C$5:$C$532=$D739),0),0)),"")</f>
        <v>Build maintenance, spare-parts and asset resilience program</v>
      </c>
      <c r="AV739">
        <f>IFERROR(INDEX(_ENGINE_Initiatives!$AC$5:$AC$532,MATCH(1,INDEX((_ENGINE_Initiatives!$B$5:$B$532=$C739)*(_ENGINE_Initiatives!$C$5:$C$532=$D739),0),0)),"")</f>
        <v>1.39</v>
      </c>
      <c r="AW739" t="str">
        <f>IFERROR(INDEX(_ENGINE_Initiatives!$AE$5:$AE$532,MATCH(1,INDEX((_ENGINE_Initiatives!$B$5:$B$532=$C739)*(_ENGINE_Initiatives!$C$5:$C$532=$D739),0),0)),"")</f>
        <v>6-12 months</v>
      </c>
      <c r="AX739">
        <f>IF($B739="Yes",IFERROR((IF(SUMIFS(_REF_Model_Content!$E$1:$E$613,_REF_Model_Content!$A$1:$A$613,PV_Canonical_Industry,_REF_Model_Content!$B$1:$B$613,$C739)=0,1,SUMIFS(_REF_Model_Content!$E$1:$E$613,_REF_Model_Content!$A$1:$A$613,PV_Canonical_Industry,_REF_Model_Content!$B$1:$B$613,$C739))*IFERROR($BU739,1)),1),"")</f>
        <v>1</v>
      </c>
      <c r="AY739">
        <f t="shared" si="135"/>
        <v>15.7</v>
      </c>
      <c r="AZ739">
        <f t="shared" si="136"/>
        <v>1.21</v>
      </c>
      <c r="BB739" t="str">
        <f>IF($H739="","",IFERROR(INDEX(_ENGINE_Risk!$AE$5:$AE$499,MATCH($E739,_ENGINE_Risk!$A$5:$A$499,0)),"Medium"))</f>
        <v>Fast</v>
      </c>
      <c r="BC739">
        <f t="shared" si="137"/>
        <v>1.25</v>
      </c>
      <c r="BD739">
        <f t="shared" si="138"/>
        <v>1.21</v>
      </c>
      <c r="BF739">
        <f>IF(OR($H739="",$J739=""),"",IFERROR(VLOOKUP(ROUND($J739,0),_CONFIG_Model_Settings!$D$154:$E$158,2,0),""))</f>
        <v>0.5</v>
      </c>
      <c r="BG739">
        <f>IFERROR(IF(OR($H739="",$K739=""),"",ROUND('Company Profile'!$B$113*INDEX(_CONFIG_Model_Settings!$H$154:$H$158,MATCH(ROUND($K739,0),_CONFIG_Model_Settings!$G$154:$G$158,0)),0)),0)</f>
        <v>875</v>
      </c>
      <c r="BH739">
        <f t="shared" si="139"/>
        <v>437.5</v>
      </c>
      <c r="BI739">
        <f t="shared" si="140"/>
        <v>437.5</v>
      </c>
      <c r="BJ739">
        <f>IF($E739="","",IFERROR(VLOOKUP($C739,_CONFIG_Risk_Calibration!$A$5:$H$21,2,FALSE),3))</f>
        <v>3</v>
      </c>
      <c r="BK739">
        <f>IF($E739="","",IFERROR(VLOOKUP($C739,_CONFIG_Risk_Calibration!$A$5:$H$21,3,FALSE),0))</f>
        <v>0</v>
      </c>
      <c r="BL739">
        <f>IF($E739="","",IFERROR(VLOOKUP($C739,_CONFIG_Risk_Calibration!$A$5:$H$21,4,FALSE),3))</f>
        <v>3</v>
      </c>
      <c r="BM739">
        <f>IF($E739="","",IFERROR(VLOOKUP($C739,_CONFIG_Risk_Calibration!$A$5:$H$21,5,FALSE),3))</f>
        <v>4</v>
      </c>
      <c r="BN739" t="str">
        <f>IF($E739="","",IFERROR(VLOOKUP($C739,_CONFIG_Risk_Calibration!$A$5:$H$21,6,FALSE),"No"))</f>
        <v>No</v>
      </c>
      <c r="BO739">
        <f>IF($E739="","",IFERROR(VLOOKUP($C739,_CONFIG_Risk_Calibration!$A$5:$H$21,7,FALSE),1))</f>
        <v>1</v>
      </c>
      <c r="BP739">
        <f>IF($H739="","",MAX(1,MIN(5,((6-$H739)*0.45)+($BJ739*0.2)+('Resilience &amp; Risk Scenario'!$B$7*0.15)+($BK739*0.1)+($BL739*0.05)+(IF($BB739="Fast",5,IF($BB739="Slow",1,3))*0.05))))</f>
        <v>3.7</v>
      </c>
      <c r="BQ739">
        <f t="shared" si="141"/>
        <v>4.25</v>
      </c>
      <c r="BR739">
        <f t="shared" si="142"/>
        <v>15.73</v>
      </c>
      <c r="BS739">
        <f t="shared" si="143"/>
        <v>21.63</v>
      </c>
      <c r="BT739" t="str">
        <f>IFERROR(INDEX(_REF_Capability_Bridge!$D:$D,MATCH($C739&amp;"|"&amp;$D739,_REF_Capability_Bridge!$J:$J,0)),IFERROR(INDEX(_REF_Capability_Bridge!$D:$D,MATCH($C739&amp;"|",_REF_Capability_Bridge!$J:$J,0)),"CAP_GENERIC"))</f>
        <v>CAP_BACKUP_RECOVERY</v>
      </c>
      <c r="BU739">
        <f>IFERROR(IFERROR(INDEX(_ENGINE_Relevance!$L:$L,MATCH($BT739,_ENGINE_Relevance!$B:$B,0)),1),1)</f>
        <v>1</v>
      </c>
      <c r="BV739" t="str">
        <f>IFERROR(INDEX(_REF_Capability_Bridge!$A:$A,MATCH($C739&amp;"|"&amp;$D739,_REF_Capability_Bridge!$J:$J,0)),IFERROR(INDEX(_REF_Capability_Bridge!$A:$A,MATCH($C739&amp;"|",_REF_Capability_Bridge!$J:$J,0)),"No bridge"))</f>
        <v>BRG-056</v>
      </c>
      <c r="BW739" t="str">
        <f t="shared" si="144"/>
        <v>Capability relevance neutral</v>
      </c>
      <c r="BX739" t="str">
        <f t="shared" si="145"/>
        <v>Initial / absent</v>
      </c>
      <c r="BY739" t="str">
        <f>IF($E739="","",IFERROR(INDEX(_REF_Treatment_Library!$A$2:$A$296,MATCH(1,INDEX((_REF_Treatment_Library!$B$2:$B$296=$BT739)*(_REF_Treatment_Library!$C$2:$C$296=PV_Canonical_Industry)*(_REF_Treatment_Library!$E$2:$E$296&lt;=N($H739))*(_REF_Treatment_Library!$F$2:$F$296&gt;=N($H739))*(_REF_Treatment_Library!$O$2:$O$296="Yes"),0),0)),IFERROR(INDEX(_REF_Treatment_Library!$A$2:$A$296,MATCH(1,INDEX((_REF_Treatment_Library!$B$2:$B$296=$BT739)*(_REF_Treatment_Library!$C$2:$C$296="All")*(_REF_Treatment_Library!$E$2:$E$296&lt;=N($H739))*(_REF_Treatment_Library!$F$2:$F$296&gt;=N($H739))*(_REF_Treatment_Library!$O$2:$O$296="Yes"),0),0)),"")))</f>
        <v>TRT-BACKUP_RECOVERY-INITIAL</v>
      </c>
      <c r="BZ739" t="str">
        <f>IF($BY739="","",IFERROR(INDEX(_REF_Treatment_Library!$H$2:$H$296,MATCH($BY739,_REF_Treatment_Library!$A$2:$A$296,0)),""))</f>
        <v>Establish</v>
      </c>
      <c r="CA739" t="str">
        <f>IF($BY739="","",IFERROR(INDEX(_REF_Treatment_Library!$I$2:$I$296,MATCH($BY739,_REF_Treatment_Library!$A$2:$A$296,0)),""))</f>
        <v>Establish baseline controls for Backup / recovery</v>
      </c>
      <c r="CB739" t="str">
        <f>IF($BY739="","",IFERROR(INDEX(_REF_Treatment_Library!$K$2:$K$296,MATCH($BY739,_REF_Treatment_Library!$A$2:$A$296,0)),""))</f>
        <v>Named owner, baseline process, minimum control checklist, first evidence package</v>
      </c>
      <c r="CC739" t="str">
        <f>IF($BY739="","",IFERROR(INDEX(_REF_Treatment_Library!$L$2:$L$296,MATCH($BY739,_REF_Treatment_Library!$A$2:$A$296,0)),""))</f>
        <v>Owner assigned; baseline evidence coverage; open critical gaps</v>
      </c>
      <c r="CD739" t="str">
        <f t="shared" si="146"/>
        <v>Treatment by capability=CAP_BACKUP_RECOVERY; band=Initial / absent; score=0.0; treatment=Establish</v>
      </c>
      <c r="CE739" t="str">
        <f>IF($E739="","",IFERROR(INDEX(_REF_Industry_Wording!$A$2:$A$70,MATCH(1,INDEX((_REF_Industry_Wording!$B$2:$B$70=$BT739)*(_REF_Industry_Wording!$C$2:$C$70=PV_Canonical_Industry)*(_REF_Industry_Wording!$K$2:$K$70="Yes"),0),0)),IFERROR(INDEX(_REF_Industry_Wording!$A$2:$A$70,MATCH(1,INDEX((_REF_Industry_Wording!$B$2:$B$70=$BT739)*(_REF_Industry_Wording!$C$2:$C$70="All")*(_REF_Industry_Wording!$K$2:$K$70="Yes"),0),0)),"")))</f>
        <v>IW-ALL-BACKUP_RECOVERY</v>
      </c>
      <c r="CF739" t="str">
        <f>IF($CE739="","",IFERROR(INDEX(_REF_Industry_Wording!$E$2:$E$70,MATCH($CE739,_REF_Industry_Wording!$A$2:$A$70,0)),""))</f>
        <v>Backup / recovery weakness</v>
      </c>
      <c r="CG739" t="str">
        <f>IF($CE739="","",IFERROR(INDEX(_REF_Industry_Wording!$F$2:$F$70,MATCH($CE739,_REF_Industry_Wording!$A$2:$A$70,0)),""))</f>
        <v>Strengthen Backup / recovery</v>
      </c>
      <c r="CH739" t="str">
        <f>IF($CE739="","",IFERROR(INDEX(_REF_Industry_Wording!$G$2:$G$70,MATCH($CE739,_REF_Industry_Wording!$A$2:$A$70,0)),""))</f>
        <v>Strengthen Backup / recovery using the selected maturity treatment, crisis scenario and evidence requirements.</v>
      </c>
      <c r="CI739" t="str">
        <f>IF($CE739="","",IFERROR(INDEX(_REF_Industry_Wording!$H$2:$H$70,MATCH($CE739,_REF_Industry_Wording!$A$2:$A$70,0)),""))</f>
        <v>Backup / recovery</v>
      </c>
      <c r="CJ739">
        <f>IF($CE739="","",IFERROR(INDEX(_REF_Industry_Wording!$I$2:$I$70,MATCH($CE739,_REF_Industry_Wording!$A$2:$A$70,0)),""))</f>
        <v>0</v>
      </c>
      <c r="CK739" t="str">
        <f>IF($CE739="","",IFERROR(INDEX(_REF_Industry_Wording!$J$2:$J$70,MATCH($CE739,_REF_Industry_Wording!$A$2:$A$70,0)),""))</f>
        <v>Backup / recovery</v>
      </c>
      <c r="CL739" t="str">
        <f t="shared" si="147"/>
        <v>Wording by industry=0; capability=CAP_BACKUP_RECOVERY; risk label=Backup / recovery weakness</v>
      </c>
      <c r="CM739" t="str">
        <f t="shared" si="148"/>
        <v>RISK-ONT-0240</v>
      </c>
      <c r="CN739" t="str">
        <f t="shared" si="149"/>
        <v>RISK-EVT-0240</v>
      </c>
      <c r="CO739" t="str">
        <f t="shared" si="150"/>
        <v>Manufacturing MES|Maintenance and assets|MANU-016|CAP_BACKUP_RECOVERY</v>
      </c>
      <c r="CP739" t="str">
        <f t="shared" si="151"/>
        <v>Active</v>
      </c>
      <c r="CQ739" t="str">
        <f t="shared" si="152"/>
        <v>OK: capability-driven</v>
      </c>
      <c r="CR739" t="str">
        <f t="shared" si="153"/>
        <v>Risk ontology uses capability=CAP_BACKUP_RECOVERY; bridge=BRG-056; treatment=TRT-BACKUP_RECOVERY-INITIAL; wording=IW-ALL-BACKUP_RECOVERY</v>
      </c>
      <c r="CS739" t="str">
        <f t="shared" si="154"/>
        <v>Yes</v>
      </c>
    </row>
    <row r="740" spans="1:97" ht="69.900000000000006" customHeight="1">
      <c r="A740">
        <f>IF(OR($B740&lt;&gt;"Yes",$BS740=""),"",SUMPRODUCT(($B$500:$B$923="Yes")*ISNUMBER($BS$500:$BS$923)*($BS$500:$BS$923&gt;$BS740))+COUNTIFS($B$500:$B740,"Yes",$BS$500:$BS740,$BS740))</f>
        <v>55</v>
      </c>
      <c r="B740" t="str">
        <f t="shared" si="123"/>
        <v>Yes</v>
      </c>
      <c r="C740" t="s">
        <v>2145</v>
      </c>
      <c r="D740" t="s">
        <v>2166</v>
      </c>
      <c r="E740" t="s">
        <v>2226</v>
      </c>
      <c r="F740" t="s">
        <v>3688</v>
      </c>
      <c r="G740" t="str">
        <f>IF($H740="","",IFERROR(INDEX(_ENGINE_Risk!$H$5:$M$499,MATCH($E740,_ENGINE_Risk!$A$5:$A$499,0),$H740+1),""))</f>
        <v>Severe risk: backup utility options for critical production processes is not reliably controlled. During Manufacturing disruption; Safety incident; Energy outage; Cyberattack, the organization may face production stoppage, quality defects, low asset visibility and inability to recover shop-floor operations with limited visibility or accountability.</v>
      </c>
      <c r="H740">
        <f>IFERROR(VALUE(INDEX(_DATA_Assessment_Model!$H$5:$H$884,MATCH($E740,_DATA_Assessment_Model!$A$5:$A$884,0))),"")</f>
        <v>0</v>
      </c>
      <c r="I740" t="str">
        <f>IF($H740="","",IFERROR(INDEX(_DATA_Assessment_Model!$L$5:$L$884,MATCH($E740,_DATA_Assessment_Model!$A$5:$A$884,0)),IF($H740&lt;=1,"Critical",IF($H740=2,"High",IF($H740=3,"Medium",IF($H740=4,"Low","Resilient"))))))</f>
        <v>Critical</v>
      </c>
      <c r="J740">
        <f t="shared" si="124"/>
        <v>3.7</v>
      </c>
      <c r="K740">
        <f t="shared" si="125"/>
        <v>4.6499999999999995</v>
      </c>
      <c r="L740">
        <f t="shared" si="126"/>
        <v>17.204999999999998</v>
      </c>
      <c r="M740">
        <f t="shared" si="127"/>
        <v>4</v>
      </c>
      <c r="N740">
        <f>IF($H740="","",IFERROR(INDEX(_ENGINE_Risk!$T$5:$Y$499,MATCH($E740,_ENGINE_Risk!$A$5:$A$499,0),$H740+1),""))</f>
        <v>4</v>
      </c>
      <c r="O740">
        <f t="shared" si="128"/>
        <v>5</v>
      </c>
      <c r="P740">
        <f t="shared" si="129"/>
        <v>5</v>
      </c>
      <c r="Q740">
        <f t="shared" si="130"/>
        <v>5</v>
      </c>
      <c r="R740">
        <f t="shared" si="131"/>
        <v>5</v>
      </c>
      <c r="S740">
        <f t="shared" si="132"/>
        <v>1.25</v>
      </c>
      <c r="T740" t="str">
        <f>IF($H740="","",IFERROR(INDEX(_ENGINE_Risk!$N$5:$S$499,MATCH($E740,_ENGINE_Risk!$A$5:$A$499,0),$H740+1),""))</f>
        <v>Create an immediate risk owner, minimum control baseline and fallback procedure for backup utility options for critical production processes. Add it to the crisis risk register and collect first evidence.</v>
      </c>
      <c r="U740">
        <f>IFERROR(INDEX(_DATA_Assessment_Model!$G$5:$G$884,MATCH($E740,_DATA_Assessment_Model!$A$5:$A$884,0)),"")</f>
        <v>5</v>
      </c>
      <c r="V740">
        <f>IFERROR(INDEX(_DATA_Assessment_Model!$W$5:$W$884,MATCH($E740,_DATA_Assessment_Model!$A$5:$A$884,0)),"")</f>
        <v>5</v>
      </c>
      <c r="W740">
        <f>IFERROR(INDEX(_DATA_Assessment_Model!$X$5:$X$884,MATCH($E740,_DATA_Assessment_Model!$A$5:$A$884,0)),"")</f>
        <v>5</v>
      </c>
      <c r="X740">
        <f>IFERROR(INDEX(_DATA_Assessment_Model!$Y$5:$Y$884,MATCH($E740,_DATA_Assessment_Model!$A$5:$A$884,0)),"")</f>
        <v>5</v>
      </c>
      <c r="Y740" t="s">
        <v>2152</v>
      </c>
      <c r="Z740" t="s">
        <v>7780</v>
      </c>
      <c r="AA740" t="s">
        <v>2228</v>
      </c>
      <c r="AB740">
        <f>IFERROR(INDEX(_DATA_Assessment_Model!$U$5:$U$884,MATCH($E740,_DATA_Assessment_Model!$A$5:$A$884,0)),"")</f>
        <v>0</v>
      </c>
      <c r="AF740" t="s">
        <v>2227</v>
      </c>
      <c r="AO740">
        <f>IF($B740="Yes",IF(IFERROR(INDEX(_ENGINE_Crisis!$F$501:$F$517,MATCH($C740,_ENGINE_Crisis!$A$501:$A$517,0)),1)=0,1,IFERROR(INDEX(_ENGINE_Crisis!$F$501:$F$517,MATCH($C740,_ENGINE_Crisis!$A$501:$A$517,0)),1)),"")</f>
        <v>1</v>
      </c>
      <c r="AP740">
        <f t="shared" si="133"/>
        <v>17.2</v>
      </c>
      <c r="AQ740">
        <f t="shared" si="134"/>
        <v>1.25</v>
      </c>
      <c r="AR740" t="str">
        <f>IFERROR(INDEX(_ENGINE_Crisis!$E$41:$E$700,MATCH('Resilience &amp; Risk Scenario'!$B$6&amp;"|"&amp;$C740,_ENGINE_Crisis!$I$41:$I$700,0)),"")</f>
        <v/>
      </c>
      <c r="AS740" t="str">
        <f>IFERROR(INDEX(_ENGINE_Crisis!$G$41:$G$700,MATCH('Resilience &amp; Risk Scenario'!$B$6&amp;"|"&amp;$C740,_ENGINE_Crisis!$I$41:$I$700,0)),"")</f>
        <v/>
      </c>
      <c r="AT740" t="str">
        <f>IFERROR(INDEX(_ENGINE_Initiatives!$A$5:$A$532,MATCH(1,INDEX((_ENGINE_Initiatives!$B$5:$B$532=$C740)*(_ENGINE_Initiatives!$C$5:$C$532=$D740),0),0)),"")</f>
        <v>INI-038</v>
      </c>
      <c r="AU740" t="str">
        <f>IFERROR(INDEX(_ENGINE_Initiatives!$F$5:$F$532,MATCH(1,INDEX((_ENGINE_Initiatives!$B$5:$B$532=$C740)*(_ENGINE_Initiatives!$C$5:$C$532=$D740),0),0)),"")</f>
        <v>Build maintenance, spare-parts and asset resilience program</v>
      </c>
      <c r="AV740">
        <f>IFERROR(INDEX(_ENGINE_Initiatives!$AC$5:$AC$532,MATCH(1,INDEX((_ENGINE_Initiatives!$B$5:$B$532=$C740)*(_ENGINE_Initiatives!$C$5:$C$532=$D740),0),0)),"")</f>
        <v>1.39</v>
      </c>
      <c r="AW740" t="str">
        <f>IFERROR(INDEX(_ENGINE_Initiatives!$AE$5:$AE$532,MATCH(1,INDEX((_ENGINE_Initiatives!$B$5:$B$532=$C740)*(_ENGINE_Initiatives!$C$5:$C$532=$D740),0),0)),"")</f>
        <v>6-12 months</v>
      </c>
      <c r="AX740">
        <f>IF($B740="Yes",IFERROR((IF(SUMIFS(_REF_Model_Content!$E$1:$E$613,_REF_Model_Content!$A$1:$A$613,PV_Canonical_Industry,_REF_Model_Content!$B$1:$B$613,$C740)=0,1,SUMIFS(_REF_Model_Content!$E$1:$E$613,_REF_Model_Content!$A$1:$A$613,PV_Canonical_Industry,_REF_Model_Content!$B$1:$B$613,$C740))*IFERROR($BU740,1)),1),"")</f>
        <v>1</v>
      </c>
      <c r="AY740">
        <f t="shared" si="135"/>
        <v>17.2</v>
      </c>
      <c r="AZ740">
        <f t="shared" si="136"/>
        <v>1.25</v>
      </c>
      <c r="BB740" t="str">
        <f>IF($H740="","",IFERROR(INDEX(_ENGINE_Risk!$AE$5:$AE$499,MATCH($E740,_ENGINE_Risk!$A$5:$A$499,0)),"Medium"))</f>
        <v>Fast</v>
      </c>
      <c r="BC740">
        <f t="shared" si="137"/>
        <v>1.25</v>
      </c>
      <c r="BD740">
        <f t="shared" si="138"/>
        <v>1.25</v>
      </c>
      <c r="BF740">
        <f>IF(OR($H740="",$J740=""),"",IFERROR(VLOOKUP(ROUND($J740,0),_CONFIG_Model_Settings!$D$154:$E$158,2,0),""))</f>
        <v>0.5</v>
      </c>
      <c r="BG740">
        <f>IFERROR(IF(OR($H740="",$K740=""),"",ROUND('Company Profile'!$B$113*INDEX(_CONFIG_Model_Settings!$H$154:$H$158,MATCH(ROUND($K740,0),_CONFIG_Model_Settings!$G$154:$G$158,0)),0)),0)</f>
        <v>1875</v>
      </c>
      <c r="BH740">
        <f t="shared" si="139"/>
        <v>937.5</v>
      </c>
      <c r="BI740">
        <f t="shared" si="140"/>
        <v>937.5</v>
      </c>
      <c r="BJ740">
        <f>IF($E740="","",IFERROR(VLOOKUP($C740,_CONFIG_Risk_Calibration!$A$5:$H$21,2,FALSE),3))</f>
        <v>3</v>
      </c>
      <c r="BK740">
        <f>IF($E740="","",IFERROR(VLOOKUP($C740,_CONFIG_Risk_Calibration!$A$5:$H$21,3,FALSE),0))</f>
        <v>0</v>
      </c>
      <c r="BL740">
        <f>IF($E740="","",IFERROR(VLOOKUP($C740,_CONFIG_Risk_Calibration!$A$5:$H$21,4,FALSE),3))</f>
        <v>3</v>
      </c>
      <c r="BM740">
        <f>IF($E740="","",IFERROR(VLOOKUP($C740,_CONFIG_Risk_Calibration!$A$5:$H$21,5,FALSE),3))</f>
        <v>4</v>
      </c>
      <c r="BN740" t="str">
        <f>IF($E740="","",IFERROR(VLOOKUP($C740,_CONFIG_Risk_Calibration!$A$5:$H$21,6,FALSE),"No"))</f>
        <v>No</v>
      </c>
      <c r="BO740">
        <f>IF($E740="","",IFERROR(VLOOKUP($C740,_CONFIG_Risk_Calibration!$A$5:$H$21,7,FALSE),1))</f>
        <v>1</v>
      </c>
      <c r="BP740">
        <f>IF($H740="","",MAX(1,MIN(5,((6-$H740)*0.45)+($BJ740*0.2)+('Resilience &amp; Risk Scenario'!$B$7*0.15)+($BK740*0.1)+($BL740*0.05)+(IF($BB740="Fast",5,IF($BB740="Slow",1,3))*0.05))))</f>
        <v>3.7</v>
      </c>
      <c r="BQ740">
        <f t="shared" si="141"/>
        <v>4.6499999999999995</v>
      </c>
      <c r="BR740">
        <f t="shared" si="142"/>
        <v>17.21</v>
      </c>
      <c r="BS740">
        <f t="shared" si="143"/>
        <v>23.66</v>
      </c>
      <c r="BT740" t="str">
        <f>IFERROR(INDEX(_REF_Capability_Bridge!$D:$D,MATCH($C740&amp;"|"&amp;$D740,_REF_Capability_Bridge!$J:$J,0)),IFERROR(INDEX(_REF_Capability_Bridge!$D:$D,MATCH($C740&amp;"|",_REF_Capability_Bridge!$J:$J,0)),"CAP_GENERIC"))</f>
        <v>CAP_BACKUP_RECOVERY</v>
      </c>
      <c r="BU740">
        <f>IFERROR(IFERROR(INDEX(_ENGINE_Relevance!$L:$L,MATCH($BT740,_ENGINE_Relevance!$B:$B,0)),1),1)</f>
        <v>1</v>
      </c>
      <c r="BV740" t="str">
        <f>IFERROR(INDEX(_REF_Capability_Bridge!$A:$A,MATCH($C740&amp;"|"&amp;$D740,_REF_Capability_Bridge!$J:$J,0)),IFERROR(INDEX(_REF_Capability_Bridge!$A:$A,MATCH($C740&amp;"|",_REF_Capability_Bridge!$J:$J,0)),"No bridge"))</f>
        <v>BRG-056</v>
      </c>
      <c r="BW740" t="str">
        <f t="shared" si="144"/>
        <v>Capability relevance neutral</v>
      </c>
      <c r="BX740" t="str">
        <f t="shared" si="145"/>
        <v>Initial / absent</v>
      </c>
      <c r="BY740" t="str">
        <f>IF($E740="","",IFERROR(INDEX(_REF_Treatment_Library!$A$2:$A$296,MATCH(1,INDEX((_REF_Treatment_Library!$B$2:$B$296=$BT740)*(_REF_Treatment_Library!$C$2:$C$296=PV_Canonical_Industry)*(_REF_Treatment_Library!$E$2:$E$296&lt;=N($H740))*(_REF_Treatment_Library!$F$2:$F$296&gt;=N($H740))*(_REF_Treatment_Library!$O$2:$O$296="Yes"),0),0)),IFERROR(INDEX(_REF_Treatment_Library!$A$2:$A$296,MATCH(1,INDEX((_REF_Treatment_Library!$B$2:$B$296=$BT740)*(_REF_Treatment_Library!$C$2:$C$296="All")*(_REF_Treatment_Library!$E$2:$E$296&lt;=N($H740))*(_REF_Treatment_Library!$F$2:$F$296&gt;=N($H740))*(_REF_Treatment_Library!$O$2:$O$296="Yes"),0),0)),"")))</f>
        <v>TRT-BACKUP_RECOVERY-INITIAL</v>
      </c>
      <c r="BZ740" t="str">
        <f>IF($BY740="","",IFERROR(INDEX(_REF_Treatment_Library!$H$2:$H$296,MATCH($BY740,_REF_Treatment_Library!$A$2:$A$296,0)),""))</f>
        <v>Establish</v>
      </c>
      <c r="CA740" t="str">
        <f>IF($BY740="","",IFERROR(INDEX(_REF_Treatment_Library!$I$2:$I$296,MATCH($BY740,_REF_Treatment_Library!$A$2:$A$296,0)),""))</f>
        <v>Establish baseline controls for Backup / recovery</v>
      </c>
      <c r="CB740" t="str">
        <f>IF($BY740="","",IFERROR(INDEX(_REF_Treatment_Library!$K$2:$K$296,MATCH($BY740,_REF_Treatment_Library!$A$2:$A$296,0)),""))</f>
        <v>Named owner, baseline process, minimum control checklist, first evidence package</v>
      </c>
      <c r="CC740" t="str">
        <f>IF($BY740="","",IFERROR(INDEX(_REF_Treatment_Library!$L$2:$L$296,MATCH($BY740,_REF_Treatment_Library!$A$2:$A$296,0)),""))</f>
        <v>Owner assigned; baseline evidence coverage; open critical gaps</v>
      </c>
      <c r="CD740" t="str">
        <f t="shared" si="146"/>
        <v>Treatment by capability=CAP_BACKUP_RECOVERY; band=Initial / absent; score=0.0; treatment=Establish</v>
      </c>
      <c r="CE740" t="str">
        <f>IF($E740="","",IFERROR(INDEX(_REF_Industry_Wording!$A$2:$A$70,MATCH(1,INDEX((_REF_Industry_Wording!$B$2:$B$70=$BT740)*(_REF_Industry_Wording!$C$2:$C$70=PV_Canonical_Industry)*(_REF_Industry_Wording!$K$2:$K$70="Yes"),0),0)),IFERROR(INDEX(_REF_Industry_Wording!$A$2:$A$70,MATCH(1,INDEX((_REF_Industry_Wording!$B$2:$B$70=$BT740)*(_REF_Industry_Wording!$C$2:$C$70="All")*(_REF_Industry_Wording!$K$2:$K$70="Yes"),0),0)),"")))</f>
        <v>IW-ALL-BACKUP_RECOVERY</v>
      </c>
      <c r="CF740" t="str">
        <f>IF($CE740="","",IFERROR(INDEX(_REF_Industry_Wording!$E$2:$E$70,MATCH($CE740,_REF_Industry_Wording!$A$2:$A$70,0)),""))</f>
        <v>Backup / recovery weakness</v>
      </c>
      <c r="CG740" t="str">
        <f>IF($CE740="","",IFERROR(INDEX(_REF_Industry_Wording!$F$2:$F$70,MATCH($CE740,_REF_Industry_Wording!$A$2:$A$70,0)),""))</f>
        <v>Strengthen Backup / recovery</v>
      </c>
      <c r="CH740" t="str">
        <f>IF($CE740="","",IFERROR(INDEX(_REF_Industry_Wording!$G$2:$G$70,MATCH($CE740,_REF_Industry_Wording!$A$2:$A$70,0)),""))</f>
        <v>Strengthen Backup / recovery using the selected maturity treatment, crisis scenario and evidence requirements.</v>
      </c>
      <c r="CI740" t="str">
        <f>IF($CE740="","",IFERROR(INDEX(_REF_Industry_Wording!$H$2:$H$70,MATCH($CE740,_REF_Industry_Wording!$A$2:$A$70,0)),""))</f>
        <v>Backup / recovery</v>
      </c>
      <c r="CJ740">
        <f>IF($CE740="","",IFERROR(INDEX(_REF_Industry_Wording!$I$2:$I$70,MATCH($CE740,_REF_Industry_Wording!$A$2:$A$70,0)),""))</f>
        <v>0</v>
      </c>
      <c r="CK740" t="str">
        <f>IF($CE740="","",IFERROR(INDEX(_REF_Industry_Wording!$J$2:$J$70,MATCH($CE740,_REF_Industry_Wording!$A$2:$A$70,0)),""))</f>
        <v>Backup / recovery</v>
      </c>
      <c r="CL740" t="str">
        <f t="shared" si="147"/>
        <v>Wording by industry=0; capability=CAP_BACKUP_RECOVERY; risk label=Backup / recovery weakness</v>
      </c>
      <c r="CM740" t="str">
        <f t="shared" si="148"/>
        <v>RISK-ONT-0241</v>
      </c>
      <c r="CN740" t="str">
        <f t="shared" si="149"/>
        <v>RISK-EVT-0241</v>
      </c>
      <c r="CO740" t="str">
        <f t="shared" si="150"/>
        <v>Manufacturing MES|Maintenance and assets|MANU-017|CAP_BACKUP_RECOVERY</v>
      </c>
      <c r="CP740" t="str">
        <f t="shared" si="151"/>
        <v>Active</v>
      </c>
      <c r="CQ740" t="str">
        <f t="shared" si="152"/>
        <v>OK: capability-driven</v>
      </c>
      <c r="CR740" t="str">
        <f t="shared" si="153"/>
        <v>Risk ontology uses capability=CAP_BACKUP_RECOVERY; bridge=BRG-056; treatment=TRT-BACKUP_RECOVERY-INITIAL; wording=IW-ALL-BACKUP_RECOVERY</v>
      </c>
      <c r="CS740" t="str">
        <f t="shared" si="154"/>
        <v>Yes</v>
      </c>
    </row>
    <row r="741" spans="1:97" ht="69.900000000000006" customHeight="1">
      <c r="A741">
        <f>IF(OR($B741&lt;&gt;"Yes",$BS741=""),"",SUMPRODUCT(($B$500:$B$923="Yes")*ISNUMBER($BS$500:$BS$923)*($BS$500:$BS$923&gt;$BS741))+COUNTIFS($B$500:$B741,"Yes",$BS$500:$BS741,$BS741))</f>
        <v>56</v>
      </c>
      <c r="B741" t="str">
        <f t="shared" si="123"/>
        <v>Yes</v>
      </c>
      <c r="C741" t="s">
        <v>2145</v>
      </c>
      <c r="D741" t="s">
        <v>2166</v>
      </c>
      <c r="E741" t="s">
        <v>2229</v>
      </c>
      <c r="F741" t="s">
        <v>3688</v>
      </c>
      <c r="G741" t="str">
        <f>IF($H741="","",IFERROR(INDEX(_ENGINE_Risk!$H$5:$M$499,MATCH($E741,_ENGINE_Risk!$A$5:$A$499,0),$H741+1),""))</f>
        <v>Severe risk: asset management for critical production equipment, tooling and calibration is not reliably controlled. During Manufacturing disruption; Safety incident; Energy outage; Cyberattack, the organization may face production stoppage, quality defects, low asset visibility and inability to recover shop-floor operations with limited visibility or accountability.</v>
      </c>
      <c r="H741">
        <f>IFERROR(VALUE(INDEX(_DATA_Assessment_Model!$H$5:$H$884,MATCH($E741,_DATA_Assessment_Model!$A$5:$A$884,0))),"")</f>
        <v>0</v>
      </c>
      <c r="I741" t="str">
        <f>IF($H741="","",IFERROR(INDEX(_DATA_Assessment_Model!$L$5:$L$884,MATCH($E741,_DATA_Assessment_Model!$A$5:$A$884,0)),IF($H741&lt;=1,"Critical",IF($H741=2,"High",IF($H741=3,"Medium",IF($H741=4,"Low","Resilient"))))))</f>
        <v>Critical</v>
      </c>
      <c r="J741">
        <f t="shared" si="124"/>
        <v>3.7</v>
      </c>
      <c r="K741">
        <f t="shared" si="125"/>
        <v>4.6499999999999995</v>
      </c>
      <c r="L741">
        <f t="shared" si="126"/>
        <v>17.204999999999998</v>
      </c>
      <c r="M741">
        <f t="shared" si="127"/>
        <v>4</v>
      </c>
      <c r="N741">
        <f>IF($H741="","",IFERROR(INDEX(_ENGINE_Risk!$T$5:$Y$499,MATCH($E741,_ENGINE_Risk!$A$5:$A$499,0),$H741+1),""))</f>
        <v>4</v>
      </c>
      <c r="O741">
        <f t="shared" si="128"/>
        <v>5</v>
      </c>
      <c r="P741">
        <f t="shared" si="129"/>
        <v>5</v>
      </c>
      <c r="Q741">
        <f t="shared" si="130"/>
        <v>5</v>
      </c>
      <c r="R741">
        <f t="shared" si="131"/>
        <v>5</v>
      </c>
      <c r="S741">
        <f t="shared" si="132"/>
        <v>1.25</v>
      </c>
      <c r="T741" t="str">
        <f>IF($H741="","",IFERROR(INDEX(_ENGINE_Risk!$N$5:$S$499,MATCH($E741,_ENGINE_Risk!$A$5:$A$499,0),$H741+1),""))</f>
        <v>Create an immediate risk owner, minimum control baseline and fallback procedure for asset management for critical production equipment, tooling and calibration. Add it to the crisis risk register and collect first evidence.</v>
      </c>
      <c r="U741">
        <f>IFERROR(INDEX(_DATA_Assessment_Model!$G$5:$G$884,MATCH($E741,_DATA_Assessment_Model!$A$5:$A$884,0)),"")</f>
        <v>5</v>
      </c>
      <c r="V741">
        <f>IFERROR(INDEX(_DATA_Assessment_Model!$W$5:$W$884,MATCH($E741,_DATA_Assessment_Model!$A$5:$A$884,0)),"")</f>
        <v>5</v>
      </c>
      <c r="W741">
        <f>IFERROR(INDEX(_DATA_Assessment_Model!$X$5:$X$884,MATCH($E741,_DATA_Assessment_Model!$A$5:$A$884,0)),"")</f>
        <v>5</v>
      </c>
      <c r="X741">
        <f>IFERROR(INDEX(_DATA_Assessment_Model!$Y$5:$Y$884,MATCH($E741,_DATA_Assessment_Model!$A$5:$A$884,0)),"")</f>
        <v>5</v>
      </c>
      <c r="Y741" t="s">
        <v>2152</v>
      </c>
      <c r="Z741" t="s">
        <v>7780</v>
      </c>
      <c r="AA741" t="s">
        <v>2231</v>
      </c>
      <c r="AB741">
        <f>IFERROR(INDEX(_DATA_Assessment_Model!$U$5:$U$884,MATCH($E741,_DATA_Assessment_Model!$A$5:$A$884,0)),"")</f>
        <v>0</v>
      </c>
      <c r="AF741" t="s">
        <v>2230</v>
      </c>
      <c r="AO741">
        <f>IF($B741="Yes",IF(IFERROR(INDEX(_ENGINE_Crisis!$F$501:$F$517,MATCH($C741,_ENGINE_Crisis!$A$501:$A$517,0)),1)=0,1,IFERROR(INDEX(_ENGINE_Crisis!$F$501:$F$517,MATCH($C741,_ENGINE_Crisis!$A$501:$A$517,0)),1)),"")</f>
        <v>1</v>
      </c>
      <c r="AP741">
        <f t="shared" si="133"/>
        <v>17.2</v>
      </c>
      <c r="AQ741">
        <f t="shared" si="134"/>
        <v>1.25</v>
      </c>
      <c r="AR741" t="str">
        <f>IFERROR(INDEX(_ENGINE_Crisis!$E$41:$E$700,MATCH('Resilience &amp; Risk Scenario'!$B$6&amp;"|"&amp;$C741,_ENGINE_Crisis!$I$41:$I$700,0)),"")</f>
        <v/>
      </c>
      <c r="AS741" t="str">
        <f>IFERROR(INDEX(_ENGINE_Crisis!$G$41:$G$700,MATCH('Resilience &amp; Risk Scenario'!$B$6&amp;"|"&amp;$C741,_ENGINE_Crisis!$I$41:$I$700,0)),"")</f>
        <v/>
      </c>
      <c r="AT741" t="str">
        <f>IFERROR(INDEX(_ENGINE_Initiatives!$A$5:$A$532,MATCH(1,INDEX((_ENGINE_Initiatives!$B$5:$B$532=$C741)*(_ENGINE_Initiatives!$C$5:$C$532=$D741),0),0)),"")</f>
        <v>INI-038</v>
      </c>
      <c r="AU741" t="str">
        <f>IFERROR(INDEX(_ENGINE_Initiatives!$F$5:$F$532,MATCH(1,INDEX((_ENGINE_Initiatives!$B$5:$B$532=$C741)*(_ENGINE_Initiatives!$C$5:$C$532=$D741),0),0)),"")</f>
        <v>Build maintenance, spare-parts and asset resilience program</v>
      </c>
      <c r="AV741">
        <f>IFERROR(INDEX(_ENGINE_Initiatives!$AC$5:$AC$532,MATCH(1,INDEX((_ENGINE_Initiatives!$B$5:$B$532=$C741)*(_ENGINE_Initiatives!$C$5:$C$532=$D741),0),0)),"")</f>
        <v>1.39</v>
      </c>
      <c r="AW741" t="str">
        <f>IFERROR(INDEX(_ENGINE_Initiatives!$AE$5:$AE$532,MATCH(1,INDEX((_ENGINE_Initiatives!$B$5:$B$532=$C741)*(_ENGINE_Initiatives!$C$5:$C$532=$D741),0),0)),"")</f>
        <v>6-12 months</v>
      </c>
      <c r="AX741">
        <f>IF($B741="Yes",IFERROR((IF(SUMIFS(_REF_Model_Content!$E$1:$E$613,_REF_Model_Content!$A$1:$A$613,PV_Canonical_Industry,_REF_Model_Content!$B$1:$B$613,$C741)=0,1,SUMIFS(_REF_Model_Content!$E$1:$E$613,_REF_Model_Content!$A$1:$A$613,PV_Canonical_Industry,_REF_Model_Content!$B$1:$B$613,$C741))*IFERROR($BU741,1)),1),"")</f>
        <v>1</v>
      </c>
      <c r="AY741">
        <f t="shared" si="135"/>
        <v>17.2</v>
      </c>
      <c r="AZ741">
        <f t="shared" si="136"/>
        <v>1.25</v>
      </c>
      <c r="BB741" t="str">
        <f>IF($H741="","",IFERROR(INDEX(_ENGINE_Risk!$AE$5:$AE$499,MATCH($E741,_ENGINE_Risk!$A$5:$A$499,0)),"Medium"))</f>
        <v>Fast</v>
      </c>
      <c r="BC741">
        <f t="shared" si="137"/>
        <v>1.25</v>
      </c>
      <c r="BD741">
        <f t="shared" si="138"/>
        <v>1.25</v>
      </c>
      <c r="BF741">
        <f>IF(OR($H741="",$J741=""),"",IFERROR(VLOOKUP(ROUND($J741,0),_CONFIG_Model_Settings!$D$154:$E$158,2,0),""))</f>
        <v>0.5</v>
      </c>
      <c r="BG741">
        <f>IFERROR(IF(OR($H741="",$K741=""),"",ROUND('Company Profile'!$B$113*INDEX(_CONFIG_Model_Settings!$H$154:$H$158,MATCH(ROUND($K741,0),_CONFIG_Model_Settings!$G$154:$G$158,0)),0)),0)</f>
        <v>1875</v>
      </c>
      <c r="BH741">
        <f t="shared" si="139"/>
        <v>937.5</v>
      </c>
      <c r="BI741">
        <f t="shared" si="140"/>
        <v>937.5</v>
      </c>
      <c r="BJ741">
        <f>IF($E741="","",IFERROR(VLOOKUP($C741,_CONFIG_Risk_Calibration!$A$5:$H$21,2,FALSE),3))</f>
        <v>3</v>
      </c>
      <c r="BK741">
        <f>IF($E741="","",IFERROR(VLOOKUP($C741,_CONFIG_Risk_Calibration!$A$5:$H$21,3,FALSE),0))</f>
        <v>0</v>
      </c>
      <c r="BL741">
        <f>IF($E741="","",IFERROR(VLOOKUP($C741,_CONFIG_Risk_Calibration!$A$5:$H$21,4,FALSE),3))</f>
        <v>3</v>
      </c>
      <c r="BM741">
        <f>IF($E741="","",IFERROR(VLOOKUP($C741,_CONFIG_Risk_Calibration!$A$5:$H$21,5,FALSE),3))</f>
        <v>4</v>
      </c>
      <c r="BN741" t="str">
        <f>IF($E741="","",IFERROR(VLOOKUP($C741,_CONFIG_Risk_Calibration!$A$5:$H$21,6,FALSE),"No"))</f>
        <v>No</v>
      </c>
      <c r="BO741">
        <f>IF($E741="","",IFERROR(VLOOKUP($C741,_CONFIG_Risk_Calibration!$A$5:$H$21,7,FALSE),1))</f>
        <v>1</v>
      </c>
      <c r="BP741">
        <f>IF($H741="","",MAX(1,MIN(5,((6-$H741)*0.45)+($BJ741*0.2)+('Resilience &amp; Risk Scenario'!$B$7*0.15)+($BK741*0.1)+($BL741*0.05)+(IF($BB741="Fast",5,IF($BB741="Slow",1,3))*0.05))))</f>
        <v>3.7</v>
      </c>
      <c r="BQ741">
        <f t="shared" si="141"/>
        <v>4.6499999999999995</v>
      </c>
      <c r="BR741">
        <f t="shared" si="142"/>
        <v>17.21</v>
      </c>
      <c r="BS741">
        <f t="shared" si="143"/>
        <v>23.66</v>
      </c>
      <c r="BT741" t="str">
        <f>IFERROR(INDEX(_REF_Capability_Bridge!$D:$D,MATCH($C741&amp;"|"&amp;$D741,_REF_Capability_Bridge!$J:$J,0)),IFERROR(INDEX(_REF_Capability_Bridge!$D:$D,MATCH($C741&amp;"|",_REF_Capability_Bridge!$J:$J,0)),"CAP_GENERIC"))</f>
        <v>CAP_BACKUP_RECOVERY</v>
      </c>
      <c r="BU741">
        <f>IFERROR(IFERROR(INDEX(_ENGINE_Relevance!$L:$L,MATCH($BT741,_ENGINE_Relevance!$B:$B,0)),1),1)</f>
        <v>1</v>
      </c>
      <c r="BV741" t="str">
        <f>IFERROR(INDEX(_REF_Capability_Bridge!$A:$A,MATCH($C741&amp;"|"&amp;$D741,_REF_Capability_Bridge!$J:$J,0)),IFERROR(INDEX(_REF_Capability_Bridge!$A:$A,MATCH($C741&amp;"|",_REF_Capability_Bridge!$J:$J,0)),"No bridge"))</f>
        <v>BRG-056</v>
      </c>
      <c r="BW741" t="str">
        <f t="shared" si="144"/>
        <v>Capability relevance neutral</v>
      </c>
      <c r="BX741" t="str">
        <f t="shared" si="145"/>
        <v>Initial / absent</v>
      </c>
      <c r="BY741" t="str">
        <f>IF($E741="","",IFERROR(INDEX(_REF_Treatment_Library!$A$2:$A$296,MATCH(1,INDEX((_REF_Treatment_Library!$B$2:$B$296=$BT741)*(_REF_Treatment_Library!$C$2:$C$296=PV_Canonical_Industry)*(_REF_Treatment_Library!$E$2:$E$296&lt;=N($H741))*(_REF_Treatment_Library!$F$2:$F$296&gt;=N($H741))*(_REF_Treatment_Library!$O$2:$O$296="Yes"),0),0)),IFERROR(INDEX(_REF_Treatment_Library!$A$2:$A$296,MATCH(1,INDEX((_REF_Treatment_Library!$B$2:$B$296=$BT741)*(_REF_Treatment_Library!$C$2:$C$296="All")*(_REF_Treatment_Library!$E$2:$E$296&lt;=N($H741))*(_REF_Treatment_Library!$F$2:$F$296&gt;=N($H741))*(_REF_Treatment_Library!$O$2:$O$296="Yes"),0),0)),"")))</f>
        <v>TRT-BACKUP_RECOVERY-INITIAL</v>
      </c>
      <c r="BZ741" t="str">
        <f>IF($BY741="","",IFERROR(INDEX(_REF_Treatment_Library!$H$2:$H$296,MATCH($BY741,_REF_Treatment_Library!$A$2:$A$296,0)),""))</f>
        <v>Establish</v>
      </c>
      <c r="CA741" t="str">
        <f>IF($BY741="","",IFERROR(INDEX(_REF_Treatment_Library!$I$2:$I$296,MATCH($BY741,_REF_Treatment_Library!$A$2:$A$296,0)),""))</f>
        <v>Establish baseline controls for Backup / recovery</v>
      </c>
      <c r="CB741" t="str">
        <f>IF($BY741="","",IFERROR(INDEX(_REF_Treatment_Library!$K$2:$K$296,MATCH($BY741,_REF_Treatment_Library!$A$2:$A$296,0)),""))</f>
        <v>Named owner, baseline process, minimum control checklist, first evidence package</v>
      </c>
      <c r="CC741" t="str">
        <f>IF($BY741="","",IFERROR(INDEX(_REF_Treatment_Library!$L$2:$L$296,MATCH($BY741,_REF_Treatment_Library!$A$2:$A$296,0)),""))</f>
        <v>Owner assigned; baseline evidence coverage; open critical gaps</v>
      </c>
      <c r="CD741" t="str">
        <f t="shared" si="146"/>
        <v>Treatment by capability=CAP_BACKUP_RECOVERY; band=Initial / absent; score=0.0; treatment=Establish</v>
      </c>
      <c r="CE741" t="str">
        <f>IF($E741="","",IFERROR(INDEX(_REF_Industry_Wording!$A$2:$A$70,MATCH(1,INDEX((_REF_Industry_Wording!$B$2:$B$70=$BT741)*(_REF_Industry_Wording!$C$2:$C$70=PV_Canonical_Industry)*(_REF_Industry_Wording!$K$2:$K$70="Yes"),0),0)),IFERROR(INDEX(_REF_Industry_Wording!$A$2:$A$70,MATCH(1,INDEX((_REF_Industry_Wording!$B$2:$B$70=$BT741)*(_REF_Industry_Wording!$C$2:$C$70="All")*(_REF_Industry_Wording!$K$2:$K$70="Yes"),0),0)),"")))</f>
        <v>IW-ALL-BACKUP_RECOVERY</v>
      </c>
      <c r="CF741" t="str">
        <f>IF($CE741="","",IFERROR(INDEX(_REF_Industry_Wording!$E$2:$E$70,MATCH($CE741,_REF_Industry_Wording!$A$2:$A$70,0)),""))</f>
        <v>Backup / recovery weakness</v>
      </c>
      <c r="CG741" t="str">
        <f>IF($CE741="","",IFERROR(INDEX(_REF_Industry_Wording!$F$2:$F$70,MATCH($CE741,_REF_Industry_Wording!$A$2:$A$70,0)),""))</f>
        <v>Strengthen Backup / recovery</v>
      </c>
      <c r="CH741" t="str">
        <f>IF($CE741="","",IFERROR(INDEX(_REF_Industry_Wording!$G$2:$G$70,MATCH($CE741,_REF_Industry_Wording!$A$2:$A$70,0)),""))</f>
        <v>Strengthen Backup / recovery using the selected maturity treatment, crisis scenario and evidence requirements.</v>
      </c>
      <c r="CI741" t="str">
        <f>IF($CE741="","",IFERROR(INDEX(_REF_Industry_Wording!$H$2:$H$70,MATCH($CE741,_REF_Industry_Wording!$A$2:$A$70,0)),""))</f>
        <v>Backup / recovery</v>
      </c>
      <c r="CJ741">
        <f>IF($CE741="","",IFERROR(INDEX(_REF_Industry_Wording!$I$2:$I$70,MATCH($CE741,_REF_Industry_Wording!$A$2:$A$70,0)),""))</f>
        <v>0</v>
      </c>
      <c r="CK741" t="str">
        <f>IF($CE741="","",IFERROR(INDEX(_REF_Industry_Wording!$J$2:$J$70,MATCH($CE741,_REF_Industry_Wording!$A$2:$A$70,0)),""))</f>
        <v>Backup / recovery</v>
      </c>
      <c r="CL741" t="str">
        <f t="shared" si="147"/>
        <v>Wording by industry=0; capability=CAP_BACKUP_RECOVERY; risk label=Backup / recovery weakness</v>
      </c>
      <c r="CM741" t="str">
        <f t="shared" si="148"/>
        <v>RISK-ONT-0242</v>
      </c>
      <c r="CN741" t="str">
        <f t="shared" si="149"/>
        <v>RISK-EVT-0242</v>
      </c>
      <c r="CO741" t="str">
        <f t="shared" si="150"/>
        <v>Manufacturing MES|Maintenance and assets|MANU-018|CAP_BACKUP_RECOVERY</v>
      </c>
      <c r="CP741" t="str">
        <f t="shared" si="151"/>
        <v>Active</v>
      </c>
      <c r="CQ741" t="str">
        <f t="shared" si="152"/>
        <v>OK: capability-driven</v>
      </c>
      <c r="CR741" t="str">
        <f t="shared" si="153"/>
        <v>Risk ontology uses capability=CAP_BACKUP_RECOVERY; bridge=BRG-056; treatment=TRT-BACKUP_RECOVERY-INITIAL; wording=IW-ALL-BACKUP_RECOVERY</v>
      </c>
      <c r="CS741" t="str">
        <f t="shared" si="154"/>
        <v>Yes</v>
      </c>
    </row>
    <row r="742" spans="1:97" ht="69.900000000000006" customHeight="1">
      <c r="A742">
        <f>IF(OR($B742&lt;&gt;"Yes",$BS742=""),"",SUMPRODUCT(($B$500:$B$923="Yes")*ISNUMBER($BS$500:$BS$923)*($BS$500:$BS$923&gt;$BS742))+COUNTIFS($B$500:$B742,"Yes",$BS$500:$BS742,$BS742))</f>
        <v>57</v>
      </c>
      <c r="B742" t="str">
        <f t="shared" si="123"/>
        <v>Yes</v>
      </c>
      <c r="C742" t="s">
        <v>2145</v>
      </c>
      <c r="D742" t="s">
        <v>2170</v>
      </c>
      <c r="E742" t="s">
        <v>2232</v>
      </c>
      <c r="F742" t="s">
        <v>3688</v>
      </c>
      <c r="G742" t="str">
        <f>IF($H742="","",IFERROR(INDEX(_ENGINE_Risk!$H$5:$M$499,MATCH($E742,_ENGINE_Risk!$A$5:$A$499,0),$H742+1),""))</f>
        <v>Severe risk: quality controls, inspections, sampling, nonconformance and corrective actions integrated into production is not reliably controlled. During Manufacturing disruption; Safety incident; Energy outage; Cyberattack, the organization may face production stoppage, quality defects, low asset visibility and inability to recover shop-floor operations with limited visibility or accountability.</v>
      </c>
      <c r="H742">
        <f>IFERROR(VALUE(INDEX(_DATA_Assessment_Model!$H$5:$H$884,MATCH($E742,_DATA_Assessment_Model!$A$5:$A$884,0))),"")</f>
        <v>0</v>
      </c>
      <c r="I742" t="str">
        <f>IF($H742="","",IFERROR(INDEX(_DATA_Assessment_Model!$L$5:$L$884,MATCH($E742,_DATA_Assessment_Model!$A$5:$A$884,0)),IF($H742&lt;=1,"Critical",IF($H742=2,"High",IF($H742=3,"Medium",IF($H742=4,"Low","Resilient"))))))</f>
        <v>Critical</v>
      </c>
      <c r="J742">
        <f t="shared" si="124"/>
        <v>3.7</v>
      </c>
      <c r="K742">
        <f t="shared" si="125"/>
        <v>4.6499999999999995</v>
      </c>
      <c r="L742">
        <f t="shared" si="126"/>
        <v>17.204999999999998</v>
      </c>
      <c r="M742">
        <f t="shared" si="127"/>
        <v>4</v>
      </c>
      <c r="N742">
        <f>IF($H742="","",IFERROR(INDEX(_ENGINE_Risk!$T$5:$Y$499,MATCH($E742,_ENGINE_Risk!$A$5:$A$499,0),$H742+1),""))</f>
        <v>4</v>
      </c>
      <c r="O742">
        <f t="shared" si="128"/>
        <v>5</v>
      </c>
      <c r="P742">
        <f t="shared" si="129"/>
        <v>5</v>
      </c>
      <c r="Q742">
        <f t="shared" si="130"/>
        <v>5</v>
      </c>
      <c r="R742">
        <f t="shared" si="131"/>
        <v>5</v>
      </c>
      <c r="S742">
        <f t="shared" si="132"/>
        <v>1.25</v>
      </c>
      <c r="T742" t="str">
        <f>IF($H742="","",IFERROR(INDEX(_ENGINE_Risk!$N$5:$S$499,MATCH($E742,_ENGINE_Risk!$A$5:$A$499,0),$H742+1),""))</f>
        <v>Create an immediate risk owner, minimum control baseline and fallback procedure for quality controls, inspections, sampling, nonconformance and corrective actions integrated into production. Add it to the crisis risk register and collect first evidence.</v>
      </c>
      <c r="U742">
        <f>IFERROR(INDEX(_DATA_Assessment_Model!$G$5:$G$884,MATCH($E742,_DATA_Assessment_Model!$A$5:$A$884,0)),"")</f>
        <v>5</v>
      </c>
      <c r="V742">
        <f>IFERROR(INDEX(_DATA_Assessment_Model!$W$5:$W$884,MATCH($E742,_DATA_Assessment_Model!$A$5:$A$884,0)),"")</f>
        <v>5</v>
      </c>
      <c r="W742">
        <f>IFERROR(INDEX(_DATA_Assessment_Model!$X$5:$X$884,MATCH($E742,_DATA_Assessment_Model!$A$5:$A$884,0)),"")</f>
        <v>5</v>
      </c>
      <c r="X742">
        <f>IFERROR(INDEX(_DATA_Assessment_Model!$Y$5:$Y$884,MATCH($E742,_DATA_Assessment_Model!$A$5:$A$884,0)),"")</f>
        <v>5</v>
      </c>
      <c r="Y742" t="s">
        <v>2152</v>
      </c>
      <c r="Z742" t="s">
        <v>7780</v>
      </c>
      <c r="AA742" t="s">
        <v>2234</v>
      </c>
      <c r="AB742">
        <f>IFERROR(INDEX(_DATA_Assessment_Model!$U$5:$U$884,MATCH($E742,_DATA_Assessment_Model!$A$5:$A$884,0)),"")</f>
        <v>0</v>
      </c>
      <c r="AF742" t="s">
        <v>2233</v>
      </c>
      <c r="AO742">
        <f>IF($B742="Yes",IF(IFERROR(INDEX(_ENGINE_Crisis!$F$501:$F$517,MATCH($C742,_ENGINE_Crisis!$A$501:$A$517,0)),1)=0,1,IFERROR(INDEX(_ENGINE_Crisis!$F$501:$F$517,MATCH($C742,_ENGINE_Crisis!$A$501:$A$517,0)),1)),"")</f>
        <v>1</v>
      </c>
      <c r="AP742">
        <f t="shared" si="133"/>
        <v>17.2</v>
      </c>
      <c r="AQ742">
        <f t="shared" si="134"/>
        <v>1.25</v>
      </c>
      <c r="AR742" t="str">
        <f>IFERROR(INDEX(_ENGINE_Crisis!$E$41:$E$700,MATCH('Resilience &amp; Risk Scenario'!$B$6&amp;"|"&amp;$C742,_ENGINE_Crisis!$I$41:$I$700,0)),"")</f>
        <v/>
      </c>
      <c r="AS742" t="str">
        <f>IFERROR(INDEX(_ENGINE_Crisis!$G$41:$G$700,MATCH('Resilience &amp; Risk Scenario'!$B$6&amp;"|"&amp;$C742,_ENGINE_Crisis!$I$41:$I$700,0)),"")</f>
        <v/>
      </c>
      <c r="AT742" t="str">
        <f>IFERROR(INDEX(_ENGINE_Initiatives!$A$5:$A$532,MATCH(1,INDEX((_ENGINE_Initiatives!$B$5:$B$532=$C742)*(_ENGINE_Initiatives!$C$5:$C$532=$D742),0),0)),"")</f>
        <v>INI-039</v>
      </c>
      <c r="AU742" t="str">
        <f>IFERROR(INDEX(_ENGINE_Initiatives!$F$5:$F$532,MATCH(1,INDEX((_ENGINE_Initiatives!$B$5:$B$532=$C742)*(_ENGINE_Initiatives!$C$5:$C$532=$D742),0),0)),"")</f>
        <v>Strengthen manufacturing quality, safety and release controls</v>
      </c>
      <c r="AV742">
        <f>IFERROR(INDEX(_ENGINE_Initiatives!$AC$5:$AC$532,MATCH(1,INDEX((_ENGINE_Initiatives!$B$5:$B$532=$C742)*(_ENGINE_Initiatives!$C$5:$C$532=$D742),0),0)),"")</f>
        <v>1.38</v>
      </c>
      <c r="AW742" t="str">
        <f>IFERROR(INDEX(_ENGINE_Initiatives!$AE$5:$AE$532,MATCH(1,INDEX((_ENGINE_Initiatives!$B$5:$B$532=$C742)*(_ENGINE_Initiatives!$C$5:$C$532=$D742),0),0)),"")</f>
        <v>6-12 months</v>
      </c>
      <c r="AX742">
        <f>IF($B742="Yes",IFERROR((IF(SUMIFS(_REF_Model_Content!$E$1:$E$613,_REF_Model_Content!$A$1:$A$613,PV_Canonical_Industry,_REF_Model_Content!$B$1:$B$613,$C742)=0,1,SUMIFS(_REF_Model_Content!$E$1:$E$613,_REF_Model_Content!$A$1:$A$613,PV_Canonical_Industry,_REF_Model_Content!$B$1:$B$613,$C742))*IFERROR($BU742,1)),1),"")</f>
        <v>1</v>
      </c>
      <c r="AY742">
        <f t="shared" si="135"/>
        <v>17.2</v>
      </c>
      <c r="AZ742">
        <f t="shared" si="136"/>
        <v>1.25</v>
      </c>
      <c r="BB742" t="str">
        <f>IF($H742="","",IFERROR(INDEX(_ENGINE_Risk!$AE$5:$AE$499,MATCH($E742,_ENGINE_Risk!$A$5:$A$499,0)),"Medium"))</f>
        <v>Fast</v>
      </c>
      <c r="BC742">
        <f t="shared" si="137"/>
        <v>1.25</v>
      </c>
      <c r="BD742">
        <f t="shared" si="138"/>
        <v>1.25</v>
      </c>
      <c r="BF742">
        <f>IF(OR($H742="",$J742=""),"",IFERROR(VLOOKUP(ROUND($J742,0),_CONFIG_Model_Settings!$D$154:$E$158,2,0),""))</f>
        <v>0.5</v>
      </c>
      <c r="BG742">
        <f>IFERROR(IF(OR($H742="",$K742=""),"",ROUND('Company Profile'!$B$113*INDEX(_CONFIG_Model_Settings!$H$154:$H$158,MATCH(ROUND($K742,0),_CONFIG_Model_Settings!$G$154:$G$158,0)),0)),0)</f>
        <v>1875</v>
      </c>
      <c r="BH742">
        <f t="shared" si="139"/>
        <v>937.5</v>
      </c>
      <c r="BI742">
        <f t="shared" si="140"/>
        <v>937.5</v>
      </c>
      <c r="BJ742">
        <f>IF($E742="","",IFERROR(VLOOKUP($C742,_CONFIG_Risk_Calibration!$A$5:$H$21,2,FALSE),3))</f>
        <v>3</v>
      </c>
      <c r="BK742">
        <f>IF($E742="","",IFERROR(VLOOKUP($C742,_CONFIG_Risk_Calibration!$A$5:$H$21,3,FALSE),0))</f>
        <v>0</v>
      </c>
      <c r="BL742">
        <f>IF($E742="","",IFERROR(VLOOKUP($C742,_CONFIG_Risk_Calibration!$A$5:$H$21,4,FALSE),3))</f>
        <v>3</v>
      </c>
      <c r="BM742">
        <f>IF($E742="","",IFERROR(VLOOKUP($C742,_CONFIG_Risk_Calibration!$A$5:$H$21,5,FALSE),3))</f>
        <v>4</v>
      </c>
      <c r="BN742" t="str">
        <f>IF($E742="","",IFERROR(VLOOKUP($C742,_CONFIG_Risk_Calibration!$A$5:$H$21,6,FALSE),"No"))</f>
        <v>No</v>
      </c>
      <c r="BO742">
        <f>IF($E742="","",IFERROR(VLOOKUP($C742,_CONFIG_Risk_Calibration!$A$5:$H$21,7,FALSE),1))</f>
        <v>1</v>
      </c>
      <c r="BP742">
        <f>IF($H742="","",MAX(1,MIN(5,((6-$H742)*0.45)+($BJ742*0.2)+('Resilience &amp; Risk Scenario'!$B$7*0.15)+($BK742*0.1)+($BL742*0.05)+(IF($BB742="Fast",5,IF($BB742="Slow",1,3))*0.05))))</f>
        <v>3.7</v>
      </c>
      <c r="BQ742">
        <f t="shared" si="141"/>
        <v>4.6499999999999995</v>
      </c>
      <c r="BR742">
        <f t="shared" si="142"/>
        <v>17.21</v>
      </c>
      <c r="BS742">
        <f t="shared" si="143"/>
        <v>23.66</v>
      </c>
      <c r="BT742" t="str">
        <f>IFERROR(INDEX(_REF_Capability_Bridge!$D:$D,MATCH($C742&amp;"|"&amp;$D742,_REF_Capability_Bridge!$J:$J,0)),IFERROR(INDEX(_REF_Capability_Bridge!$D:$D,MATCH($C742&amp;"|",_REF_Capability_Bridge!$J:$J,0)),"CAP_GENERIC"))</f>
        <v>CAP_SUPPLIER_RESILIENCE</v>
      </c>
      <c r="BU742">
        <f>IFERROR(IFERROR(INDEX(_ENGINE_Relevance!$L:$L,MATCH($BT742,_ENGINE_Relevance!$B:$B,0)),1),1)</f>
        <v>1</v>
      </c>
      <c r="BV742" t="str">
        <f>IFERROR(INDEX(_REF_Capability_Bridge!$A:$A,MATCH($C742&amp;"|"&amp;$D742,_REF_Capability_Bridge!$J:$J,0)),IFERROR(INDEX(_REF_Capability_Bridge!$A:$A,MATCH($C742&amp;"|",_REF_Capability_Bridge!$J:$J,0)),"No bridge"))</f>
        <v>BRG-059</v>
      </c>
      <c r="BW742" t="str">
        <f t="shared" si="144"/>
        <v>Capability relevance neutral</v>
      </c>
      <c r="BX742" t="str">
        <f t="shared" si="145"/>
        <v>Initial / absent</v>
      </c>
      <c r="BY742" t="str">
        <f>IF($E742="","",IFERROR(INDEX(_REF_Treatment_Library!$A$2:$A$296,MATCH(1,INDEX((_REF_Treatment_Library!$B$2:$B$296=$BT742)*(_REF_Treatment_Library!$C$2:$C$296=PV_Canonical_Industry)*(_REF_Treatment_Library!$E$2:$E$296&lt;=N($H742))*(_REF_Treatment_Library!$F$2:$F$296&gt;=N($H742))*(_REF_Treatment_Library!$O$2:$O$296="Yes"),0),0)),IFERROR(INDEX(_REF_Treatment_Library!$A$2:$A$296,MATCH(1,INDEX((_REF_Treatment_Library!$B$2:$B$296=$BT742)*(_REF_Treatment_Library!$C$2:$C$296="All")*(_REF_Treatment_Library!$E$2:$E$296&lt;=N($H742))*(_REF_Treatment_Library!$F$2:$F$296&gt;=N($H742))*(_REF_Treatment_Library!$O$2:$O$296="Yes"),0),0)),"")))</f>
        <v>TRT-SUPPLIER_RESILIENCE-INITIAL</v>
      </c>
      <c r="BZ742" t="str">
        <f>IF($BY742="","",IFERROR(INDEX(_REF_Treatment_Library!$H$2:$H$296,MATCH($BY742,_REF_Treatment_Library!$A$2:$A$296,0)),""))</f>
        <v>Establish</v>
      </c>
      <c r="CA742" t="str">
        <f>IF($BY742="","",IFERROR(INDEX(_REF_Treatment_Library!$I$2:$I$296,MATCH($BY742,_REF_Treatment_Library!$A$2:$A$296,0)),""))</f>
        <v>Establish baseline controls for Supplier resilience</v>
      </c>
      <c r="CB742" t="str">
        <f>IF($BY742="","",IFERROR(INDEX(_REF_Treatment_Library!$K$2:$K$296,MATCH($BY742,_REF_Treatment_Library!$A$2:$A$296,0)),""))</f>
        <v>Named owner, baseline process, minimum control checklist, first evidence package</v>
      </c>
      <c r="CC742" t="str">
        <f>IF($BY742="","",IFERROR(INDEX(_REF_Treatment_Library!$L$2:$L$296,MATCH($BY742,_REF_Treatment_Library!$A$2:$A$296,0)),""))</f>
        <v>Owner assigned; baseline evidence coverage; open critical gaps</v>
      </c>
      <c r="CD742" t="str">
        <f t="shared" si="146"/>
        <v>Treatment by capability=CAP_SUPPLIER_RESILIENCE; band=Initial / absent; score=0.0; treatment=Establish</v>
      </c>
      <c r="CE742" t="str">
        <f>IF($E742="","",IFERROR(INDEX(_REF_Industry_Wording!$A$2:$A$70,MATCH(1,INDEX((_REF_Industry_Wording!$B$2:$B$70=$BT742)*(_REF_Industry_Wording!$C$2:$C$70=PV_Canonical_Industry)*(_REF_Industry_Wording!$K$2:$K$70="Yes"),0),0)),IFERROR(INDEX(_REF_Industry_Wording!$A$2:$A$70,MATCH(1,INDEX((_REF_Industry_Wording!$B$2:$B$70=$BT742)*(_REF_Industry_Wording!$C$2:$C$70="All")*(_REF_Industry_Wording!$K$2:$K$70="Yes"),0),0)),"")))</f>
        <v>IW-ALL-SUPPLIER_RESILIENCE</v>
      </c>
      <c r="CF742" t="str">
        <f>IF($CE742="","",IFERROR(INDEX(_REF_Industry_Wording!$E$2:$E$70,MATCH($CE742,_REF_Industry_Wording!$A$2:$A$70,0)),""))</f>
        <v>Supplier resilience weakness</v>
      </c>
      <c r="CG742" t="str">
        <f>IF($CE742="","",IFERROR(INDEX(_REF_Industry_Wording!$F$2:$F$70,MATCH($CE742,_REF_Industry_Wording!$A$2:$A$70,0)),""))</f>
        <v>Strengthen Supplier resilience</v>
      </c>
      <c r="CH742" t="str">
        <f>IF($CE742="","",IFERROR(INDEX(_REF_Industry_Wording!$G$2:$G$70,MATCH($CE742,_REF_Industry_Wording!$A$2:$A$70,0)),""))</f>
        <v>Strengthen Supplier resilience using the selected maturity treatment, crisis scenario and evidence requirements.</v>
      </c>
      <c r="CI742" t="str">
        <f>IF($CE742="","",IFERROR(INDEX(_REF_Industry_Wording!$H$2:$H$70,MATCH($CE742,_REF_Industry_Wording!$A$2:$A$70,0)),""))</f>
        <v>Supplier resilience</v>
      </c>
      <c r="CJ742">
        <f>IF($CE742="","",IFERROR(INDEX(_REF_Industry_Wording!$I$2:$I$70,MATCH($CE742,_REF_Industry_Wording!$A$2:$A$70,0)),""))</f>
        <v>0</v>
      </c>
      <c r="CK742" t="str">
        <f>IF($CE742="","",IFERROR(INDEX(_REF_Industry_Wording!$J$2:$J$70,MATCH($CE742,_REF_Industry_Wording!$A$2:$A$70,0)),""))</f>
        <v>Supplier resilience</v>
      </c>
      <c r="CL742" t="str">
        <f t="shared" si="147"/>
        <v>Wording by industry=0; capability=CAP_SUPPLIER_RESILIENCE; risk label=Supplier resilience weakness</v>
      </c>
      <c r="CM742" t="str">
        <f t="shared" si="148"/>
        <v>RISK-ONT-0243</v>
      </c>
      <c r="CN742" t="str">
        <f t="shared" si="149"/>
        <v>RISK-EVT-0243</v>
      </c>
      <c r="CO742" t="str">
        <f t="shared" si="150"/>
        <v>Manufacturing MES|Quality and safety|MANU-019|CAP_SUPPLIER_RESILIENCE</v>
      </c>
      <c r="CP742" t="str">
        <f t="shared" si="151"/>
        <v>Active</v>
      </c>
      <c r="CQ742" t="str">
        <f t="shared" si="152"/>
        <v>OK: capability-driven</v>
      </c>
      <c r="CR742" t="str">
        <f t="shared" si="153"/>
        <v>Risk ontology uses capability=CAP_SUPPLIER_RESILIENCE; bridge=BRG-059; treatment=TRT-SUPPLIER_RESILIENCE-INITIAL; wording=IW-ALL-SUPPLIER_RESILIENCE</v>
      </c>
      <c r="CS742" t="str">
        <f t="shared" si="154"/>
        <v>Yes</v>
      </c>
    </row>
    <row r="743" spans="1:97" ht="69.900000000000006" customHeight="1">
      <c r="A743">
        <f>IF(OR($B743&lt;&gt;"Yes",$BS743=""),"",SUMPRODUCT(($B$500:$B$923="Yes")*ISNUMBER($BS$500:$BS$923)*($BS$500:$BS$923&gt;$BS743))+COUNTIFS($B$500:$B743,"Yes",$BS$500:$BS743,$BS743))</f>
        <v>101</v>
      </c>
      <c r="B743" t="str">
        <f t="shared" si="123"/>
        <v>Yes</v>
      </c>
      <c r="C743" t="s">
        <v>2145</v>
      </c>
      <c r="D743" t="s">
        <v>2170</v>
      </c>
      <c r="E743" t="s">
        <v>2235</v>
      </c>
      <c r="F743" t="s">
        <v>3688</v>
      </c>
      <c r="G743" t="str">
        <f>IF($H743="","",IFERROR(INDEX(_ENGINE_Risk!$H$5:$M$499,MATCH($E743,_ENGINE_Risk!$A$5:$A$499,0),$H743+1),""))</f>
        <v>Severe risk: traceability of products, batches, materials, operators and process parameters is not reliably controlled. During Manufacturing disruption; Safety incident; Energy outage; Cyberattack, the organization may face production stoppage, quality defects, low asset visibility and inability to recover shop-floor operations with limited visibility or accountability.</v>
      </c>
      <c r="H743">
        <f>IFERROR(VALUE(INDEX(_DATA_Assessment_Model!$H$5:$H$884,MATCH($E743,_DATA_Assessment_Model!$A$5:$A$884,0))),"")</f>
        <v>0</v>
      </c>
      <c r="I743" t="str">
        <f>IF($H743="","",IFERROR(INDEX(_DATA_Assessment_Model!$L$5:$L$884,MATCH($E743,_DATA_Assessment_Model!$A$5:$A$884,0)),IF($H743&lt;=1,"Critical",IF($H743=2,"High",IF($H743=3,"Medium",IF($H743=4,"Low","Resilient"))))))</f>
        <v>Critical</v>
      </c>
      <c r="J743">
        <f t="shared" si="124"/>
        <v>3.7</v>
      </c>
      <c r="K743">
        <f t="shared" si="125"/>
        <v>4.25</v>
      </c>
      <c r="L743">
        <f t="shared" si="126"/>
        <v>15.725000000000001</v>
      </c>
      <c r="M743">
        <f t="shared" si="127"/>
        <v>4</v>
      </c>
      <c r="N743">
        <f>IF($H743="","",IFERROR(INDEX(_ENGINE_Risk!$T$5:$Y$499,MATCH($E743,_ENGINE_Risk!$A$5:$A$499,0),$H743+1),""))</f>
        <v>4</v>
      </c>
      <c r="O743">
        <f t="shared" si="128"/>
        <v>4.333333333333333</v>
      </c>
      <c r="P743">
        <f t="shared" si="129"/>
        <v>5</v>
      </c>
      <c r="Q743">
        <f t="shared" si="130"/>
        <v>5</v>
      </c>
      <c r="R743">
        <f t="shared" si="131"/>
        <v>5</v>
      </c>
      <c r="S743">
        <f t="shared" si="132"/>
        <v>1.21</v>
      </c>
      <c r="T743" t="str">
        <f>IF($H743="","",IFERROR(INDEX(_ENGINE_Risk!$N$5:$S$499,MATCH($E743,_ENGINE_Risk!$A$5:$A$499,0),$H743+1),""))</f>
        <v>Create an immediate risk owner, minimum control baseline and fallback procedure for traceability of products, batches, materials, operators and process parameters. Add it to the crisis risk register and collect first evidence.</v>
      </c>
      <c r="U743">
        <f>IFERROR(INDEX(_DATA_Assessment_Model!$G$5:$G$884,MATCH($E743,_DATA_Assessment_Model!$A$5:$A$884,0)),"")</f>
        <v>3</v>
      </c>
      <c r="V743">
        <f>IFERROR(INDEX(_DATA_Assessment_Model!$W$5:$W$884,MATCH($E743,_DATA_Assessment_Model!$A$5:$A$884,0)),"")</f>
        <v>5</v>
      </c>
      <c r="W743">
        <f>IFERROR(INDEX(_DATA_Assessment_Model!$X$5:$X$884,MATCH($E743,_DATA_Assessment_Model!$A$5:$A$884,0)),"")</f>
        <v>5</v>
      </c>
      <c r="X743">
        <f>IFERROR(INDEX(_DATA_Assessment_Model!$Y$5:$Y$884,MATCH($E743,_DATA_Assessment_Model!$A$5:$A$884,0)),"")</f>
        <v>5</v>
      </c>
      <c r="Y743" t="s">
        <v>2152</v>
      </c>
      <c r="Z743" t="s">
        <v>7780</v>
      </c>
      <c r="AA743" t="s">
        <v>2237</v>
      </c>
      <c r="AB743">
        <f>IFERROR(INDEX(_DATA_Assessment_Model!$U$5:$U$884,MATCH($E743,_DATA_Assessment_Model!$A$5:$A$884,0)),"")</f>
        <v>0</v>
      </c>
      <c r="AF743" t="s">
        <v>2236</v>
      </c>
      <c r="AO743">
        <f>IF($B743="Yes",IF(IFERROR(INDEX(_ENGINE_Crisis!$F$501:$F$517,MATCH($C743,_ENGINE_Crisis!$A$501:$A$517,0)),1)=0,1,IFERROR(INDEX(_ENGINE_Crisis!$F$501:$F$517,MATCH($C743,_ENGINE_Crisis!$A$501:$A$517,0)),1)),"")</f>
        <v>1</v>
      </c>
      <c r="AP743">
        <f t="shared" si="133"/>
        <v>15.7</v>
      </c>
      <c r="AQ743">
        <f t="shared" si="134"/>
        <v>1.21</v>
      </c>
      <c r="AR743" t="str">
        <f>IFERROR(INDEX(_ENGINE_Crisis!$E$41:$E$700,MATCH('Resilience &amp; Risk Scenario'!$B$6&amp;"|"&amp;$C743,_ENGINE_Crisis!$I$41:$I$700,0)),"")</f>
        <v/>
      </c>
      <c r="AS743" t="str">
        <f>IFERROR(INDEX(_ENGINE_Crisis!$G$41:$G$700,MATCH('Resilience &amp; Risk Scenario'!$B$6&amp;"|"&amp;$C743,_ENGINE_Crisis!$I$41:$I$700,0)),"")</f>
        <v/>
      </c>
      <c r="AT743" t="str">
        <f>IFERROR(INDEX(_ENGINE_Initiatives!$A$5:$A$532,MATCH(1,INDEX((_ENGINE_Initiatives!$B$5:$B$532=$C743)*(_ENGINE_Initiatives!$C$5:$C$532=$D743),0),0)),"")</f>
        <v>INI-039</v>
      </c>
      <c r="AU743" t="str">
        <f>IFERROR(INDEX(_ENGINE_Initiatives!$F$5:$F$532,MATCH(1,INDEX((_ENGINE_Initiatives!$B$5:$B$532=$C743)*(_ENGINE_Initiatives!$C$5:$C$532=$D743),0),0)),"")</f>
        <v>Strengthen manufacturing quality, safety and release controls</v>
      </c>
      <c r="AV743">
        <f>IFERROR(INDEX(_ENGINE_Initiatives!$AC$5:$AC$532,MATCH(1,INDEX((_ENGINE_Initiatives!$B$5:$B$532=$C743)*(_ENGINE_Initiatives!$C$5:$C$532=$D743),0),0)),"")</f>
        <v>1.38</v>
      </c>
      <c r="AW743" t="str">
        <f>IFERROR(INDEX(_ENGINE_Initiatives!$AE$5:$AE$532,MATCH(1,INDEX((_ENGINE_Initiatives!$B$5:$B$532=$C743)*(_ENGINE_Initiatives!$C$5:$C$532=$D743),0),0)),"")</f>
        <v>6-12 months</v>
      </c>
      <c r="AX743">
        <f>IF($B743="Yes",IFERROR((IF(SUMIFS(_REF_Model_Content!$E$1:$E$613,_REF_Model_Content!$A$1:$A$613,PV_Canonical_Industry,_REF_Model_Content!$B$1:$B$613,$C743)=0,1,SUMIFS(_REF_Model_Content!$E$1:$E$613,_REF_Model_Content!$A$1:$A$613,PV_Canonical_Industry,_REF_Model_Content!$B$1:$B$613,$C743))*IFERROR($BU743,1)),1),"")</f>
        <v>1</v>
      </c>
      <c r="AY743">
        <f t="shared" si="135"/>
        <v>15.7</v>
      </c>
      <c r="AZ743">
        <f t="shared" si="136"/>
        <v>1.21</v>
      </c>
      <c r="BB743" t="str">
        <f>IF($H743="","",IFERROR(INDEX(_ENGINE_Risk!$AE$5:$AE$499,MATCH($E743,_ENGINE_Risk!$A$5:$A$499,0)),"Medium"))</f>
        <v>Fast</v>
      </c>
      <c r="BC743">
        <f t="shared" si="137"/>
        <v>1.25</v>
      </c>
      <c r="BD743">
        <f t="shared" si="138"/>
        <v>1.21</v>
      </c>
      <c r="BF743">
        <f>IF(OR($H743="",$J743=""),"",IFERROR(VLOOKUP(ROUND($J743,0),_CONFIG_Model_Settings!$D$154:$E$158,2,0),""))</f>
        <v>0.5</v>
      </c>
      <c r="BG743">
        <f>IFERROR(IF(OR($H743="",$K743=""),"",ROUND('Company Profile'!$B$113*INDEX(_CONFIG_Model_Settings!$H$154:$H$158,MATCH(ROUND($K743,0),_CONFIG_Model_Settings!$G$154:$G$158,0)),0)),0)</f>
        <v>875</v>
      </c>
      <c r="BH743">
        <f t="shared" si="139"/>
        <v>437.5</v>
      </c>
      <c r="BI743">
        <f t="shared" si="140"/>
        <v>437.5</v>
      </c>
      <c r="BJ743">
        <f>IF($E743="","",IFERROR(VLOOKUP($C743,_CONFIG_Risk_Calibration!$A$5:$H$21,2,FALSE),3))</f>
        <v>3</v>
      </c>
      <c r="BK743">
        <f>IF($E743="","",IFERROR(VLOOKUP($C743,_CONFIG_Risk_Calibration!$A$5:$H$21,3,FALSE),0))</f>
        <v>0</v>
      </c>
      <c r="BL743">
        <f>IF($E743="","",IFERROR(VLOOKUP($C743,_CONFIG_Risk_Calibration!$A$5:$H$21,4,FALSE),3))</f>
        <v>3</v>
      </c>
      <c r="BM743">
        <f>IF($E743="","",IFERROR(VLOOKUP($C743,_CONFIG_Risk_Calibration!$A$5:$H$21,5,FALSE),3))</f>
        <v>4</v>
      </c>
      <c r="BN743" t="str">
        <f>IF($E743="","",IFERROR(VLOOKUP($C743,_CONFIG_Risk_Calibration!$A$5:$H$21,6,FALSE),"No"))</f>
        <v>No</v>
      </c>
      <c r="BO743">
        <f>IF($E743="","",IFERROR(VLOOKUP($C743,_CONFIG_Risk_Calibration!$A$5:$H$21,7,FALSE),1))</f>
        <v>1</v>
      </c>
      <c r="BP743">
        <f>IF($H743="","",MAX(1,MIN(5,((6-$H743)*0.45)+($BJ743*0.2)+('Resilience &amp; Risk Scenario'!$B$7*0.15)+($BK743*0.1)+($BL743*0.05)+(IF($BB743="Fast",5,IF($BB743="Slow",1,3))*0.05))))</f>
        <v>3.7</v>
      </c>
      <c r="BQ743">
        <f t="shared" si="141"/>
        <v>4.25</v>
      </c>
      <c r="BR743">
        <f t="shared" si="142"/>
        <v>15.73</v>
      </c>
      <c r="BS743">
        <f t="shared" si="143"/>
        <v>21.63</v>
      </c>
      <c r="BT743" t="str">
        <f>IFERROR(INDEX(_REF_Capability_Bridge!$D:$D,MATCH($C743&amp;"|"&amp;$D743,_REF_Capability_Bridge!$J:$J,0)),IFERROR(INDEX(_REF_Capability_Bridge!$D:$D,MATCH($C743&amp;"|",_REF_Capability_Bridge!$J:$J,0)),"CAP_GENERIC"))</f>
        <v>CAP_SUPPLIER_RESILIENCE</v>
      </c>
      <c r="BU743">
        <f>IFERROR(IFERROR(INDEX(_ENGINE_Relevance!$L:$L,MATCH($BT743,_ENGINE_Relevance!$B:$B,0)),1),1)</f>
        <v>1</v>
      </c>
      <c r="BV743" t="str">
        <f>IFERROR(INDEX(_REF_Capability_Bridge!$A:$A,MATCH($C743&amp;"|"&amp;$D743,_REF_Capability_Bridge!$J:$J,0)),IFERROR(INDEX(_REF_Capability_Bridge!$A:$A,MATCH($C743&amp;"|",_REF_Capability_Bridge!$J:$J,0)),"No bridge"))</f>
        <v>BRG-059</v>
      </c>
      <c r="BW743" t="str">
        <f t="shared" si="144"/>
        <v>Capability relevance neutral</v>
      </c>
      <c r="BX743" t="str">
        <f t="shared" si="145"/>
        <v>Initial / absent</v>
      </c>
      <c r="BY743" t="str">
        <f>IF($E743="","",IFERROR(INDEX(_REF_Treatment_Library!$A$2:$A$296,MATCH(1,INDEX((_REF_Treatment_Library!$B$2:$B$296=$BT743)*(_REF_Treatment_Library!$C$2:$C$296=PV_Canonical_Industry)*(_REF_Treatment_Library!$E$2:$E$296&lt;=N($H743))*(_REF_Treatment_Library!$F$2:$F$296&gt;=N($H743))*(_REF_Treatment_Library!$O$2:$O$296="Yes"),0),0)),IFERROR(INDEX(_REF_Treatment_Library!$A$2:$A$296,MATCH(1,INDEX((_REF_Treatment_Library!$B$2:$B$296=$BT743)*(_REF_Treatment_Library!$C$2:$C$296="All")*(_REF_Treatment_Library!$E$2:$E$296&lt;=N($H743))*(_REF_Treatment_Library!$F$2:$F$296&gt;=N($H743))*(_REF_Treatment_Library!$O$2:$O$296="Yes"),0),0)),"")))</f>
        <v>TRT-SUPPLIER_RESILIENCE-INITIAL</v>
      </c>
      <c r="BZ743" t="str">
        <f>IF($BY743="","",IFERROR(INDEX(_REF_Treatment_Library!$H$2:$H$296,MATCH($BY743,_REF_Treatment_Library!$A$2:$A$296,0)),""))</f>
        <v>Establish</v>
      </c>
      <c r="CA743" t="str">
        <f>IF($BY743="","",IFERROR(INDEX(_REF_Treatment_Library!$I$2:$I$296,MATCH($BY743,_REF_Treatment_Library!$A$2:$A$296,0)),""))</f>
        <v>Establish baseline controls for Supplier resilience</v>
      </c>
      <c r="CB743" t="str">
        <f>IF($BY743="","",IFERROR(INDEX(_REF_Treatment_Library!$K$2:$K$296,MATCH($BY743,_REF_Treatment_Library!$A$2:$A$296,0)),""))</f>
        <v>Named owner, baseline process, minimum control checklist, first evidence package</v>
      </c>
      <c r="CC743" t="str">
        <f>IF($BY743="","",IFERROR(INDEX(_REF_Treatment_Library!$L$2:$L$296,MATCH($BY743,_REF_Treatment_Library!$A$2:$A$296,0)),""))</f>
        <v>Owner assigned; baseline evidence coverage; open critical gaps</v>
      </c>
      <c r="CD743" t="str">
        <f t="shared" si="146"/>
        <v>Treatment by capability=CAP_SUPPLIER_RESILIENCE; band=Initial / absent; score=0.0; treatment=Establish</v>
      </c>
      <c r="CE743" t="str">
        <f>IF($E743="","",IFERROR(INDEX(_REF_Industry_Wording!$A$2:$A$70,MATCH(1,INDEX((_REF_Industry_Wording!$B$2:$B$70=$BT743)*(_REF_Industry_Wording!$C$2:$C$70=PV_Canonical_Industry)*(_REF_Industry_Wording!$K$2:$K$70="Yes"),0),0)),IFERROR(INDEX(_REF_Industry_Wording!$A$2:$A$70,MATCH(1,INDEX((_REF_Industry_Wording!$B$2:$B$70=$BT743)*(_REF_Industry_Wording!$C$2:$C$70="All")*(_REF_Industry_Wording!$K$2:$K$70="Yes"),0),0)),"")))</f>
        <v>IW-ALL-SUPPLIER_RESILIENCE</v>
      </c>
      <c r="CF743" t="str">
        <f>IF($CE743="","",IFERROR(INDEX(_REF_Industry_Wording!$E$2:$E$70,MATCH($CE743,_REF_Industry_Wording!$A$2:$A$70,0)),""))</f>
        <v>Supplier resilience weakness</v>
      </c>
      <c r="CG743" t="str">
        <f>IF($CE743="","",IFERROR(INDEX(_REF_Industry_Wording!$F$2:$F$70,MATCH($CE743,_REF_Industry_Wording!$A$2:$A$70,0)),""))</f>
        <v>Strengthen Supplier resilience</v>
      </c>
      <c r="CH743" t="str">
        <f>IF($CE743="","",IFERROR(INDEX(_REF_Industry_Wording!$G$2:$G$70,MATCH($CE743,_REF_Industry_Wording!$A$2:$A$70,0)),""))</f>
        <v>Strengthen Supplier resilience using the selected maturity treatment, crisis scenario and evidence requirements.</v>
      </c>
      <c r="CI743" t="str">
        <f>IF($CE743="","",IFERROR(INDEX(_REF_Industry_Wording!$H$2:$H$70,MATCH($CE743,_REF_Industry_Wording!$A$2:$A$70,0)),""))</f>
        <v>Supplier resilience</v>
      </c>
      <c r="CJ743">
        <f>IF($CE743="","",IFERROR(INDEX(_REF_Industry_Wording!$I$2:$I$70,MATCH($CE743,_REF_Industry_Wording!$A$2:$A$70,0)),""))</f>
        <v>0</v>
      </c>
      <c r="CK743" t="str">
        <f>IF($CE743="","",IFERROR(INDEX(_REF_Industry_Wording!$J$2:$J$70,MATCH($CE743,_REF_Industry_Wording!$A$2:$A$70,0)),""))</f>
        <v>Supplier resilience</v>
      </c>
      <c r="CL743" t="str">
        <f t="shared" si="147"/>
        <v>Wording by industry=0; capability=CAP_SUPPLIER_RESILIENCE; risk label=Supplier resilience weakness</v>
      </c>
      <c r="CM743" t="str">
        <f t="shared" si="148"/>
        <v>RISK-ONT-0244</v>
      </c>
      <c r="CN743" t="str">
        <f t="shared" si="149"/>
        <v>RISK-EVT-0244</v>
      </c>
      <c r="CO743" t="str">
        <f t="shared" si="150"/>
        <v>Manufacturing MES|Quality and safety|MANU-020|CAP_SUPPLIER_RESILIENCE</v>
      </c>
      <c r="CP743" t="str">
        <f t="shared" si="151"/>
        <v>Active</v>
      </c>
      <c r="CQ743" t="str">
        <f t="shared" si="152"/>
        <v>OK: capability-driven</v>
      </c>
      <c r="CR743" t="str">
        <f t="shared" si="153"/>
        <v>Risk ontology uses capability=CAP_SUPPLIER_RESILIENCE; bridge=BRG-059; treatment=TRT-SUPPLIER_RESILIENCE-INITIAL; wording=IW-ALL-SUPPLIER_RESILIENCE</v>
      </c>
      <c r="CS743" t="str">
        <f t="shared" si="154"/>
        <v>Yes</v>
      </c>
    </row>
    <row r="744" spans="1:97" ht="69.900000000000006" customHeight="1">
      <c r="A744">
        <f>IF(OR($B744&lt;&gt;"Yes",$BS744=""),"",SUMPRODUCT(($B$500:$B$923="Yes")*ISNUMBER($BS$500:$BS$923)*($BS$500:$BS$923&gt;$BS744))+COUNTIFS($B$500:$B744,"Yes",$BS$500:$BS744,$BS744))</f>
        <v>58</v>
      </c>
      <c r="B744" t="str">
        <f t="shared" si="123"/>
        <v>Yes</v>
      </c>
      <c r="C744" t="s">
        <v>2145</v>
      </c>
      <c r="D744" t="s">
        <v>2170</v>
      </c>
      <c r="E744" t="s">
        <v>2244</v>
      </c>
      <c r="F744" t="s">
        <v>3688</v>
      </c>
      <c r="G744" t="str">
        <f>IF($H744="","",IFERROR(INDEX(_ENGINE_Risk!$H$5:$M$499,MATCH($E744,_ENGINE_Risk!$A$5:$A$499,0),$H744+1),""))</f>
        <v>Severe risk: BOM, routing, recipe and engineering change control synchronized with ERP/MES is not reliably controlled. During Manufacturing disruption; Safety incident; Energy outage; Cyberattack, the organization may face production stoppage, quality defects, low asset visibility and inability to recover shop-floor operations with limited visibility or accountability.</v>
      </c>
      <c r="H744">
        <f>IFERROR(VALUE(INDEX(_DATA_Assessment_Model!$H$5:$H$884,MATCH($E744,_DATA_Assessment_Model!$A$5:$A$884,0))),"")</f>
        <v>0</v>
      </c>
      <c r="I744" t="str">
        <f>IF($H744="","",IFERROR(INDEX(_DATA_Assessment_Model!$L$5:$L$884,MATCH($E744,_DATA_Assessment_Model!$A$5:$A$884,0)),IF($H744&lt;=1,"Critical",IF($H744=2,"High",IF($H744=3,"Medium",IF($H744=4,"Low","Resilient"))))))</f>
        <v>Critical</v>
      </c>
      <c r="J744">
        <f t="shared" si="124"/>
        <v>3.7</v>
      </c>
      <c r="K744">
        <f t="shared" si="125"/>
        <v>4.6499999999999995</v>
      </c>
      <c r="L744">
        <f t="shared" si="126"/>
        <v>17.204999999999998</v>
      </c>
      <c r="M744">
        <f t="shared" si="127"/>
        <v>4</v>
      </c>
      <c r="N744">
        <f>IF($H744="","",IFERROR(INDEX(_ENGINE_Risk!$T$5:$Y$499,MATCH($E744,_ENGINE_Risk!$A$5:$A$499,0),$H744+1),""))</f>
        <v>4</v>
      </c>
      <c r="O744">
        <f t="shared" si="128"/>
        <v>5</v>
      </c>
      <c r="P744">
        <f t="shared" si="129"/>
        <v>5</v>
      </c>
      <c r="Q744">
        <f t="shared" si="130"/>
        <v>5</v>
      </c>
      <c r="R744">
        <f t="shared" si="131"/>
        <v>5</v>
      </c>
      <c r="S744">
        <f t="shared" si="132"/>
        <v>1.25</v>
      </c>
      <c r="T744" t="str">
        <f>IF($H744="","",IFERROR(INDEX(_ENGINE_Risk!$N$5:$S$499,MATCH($E744,_ENGINE_Risk!$A$5:$A$499,0),$H744+1),""))</f>
        <v>Create an immediate risk owner, minimum control baseline and fallback procedure for BOM, routing, recipe and engineering change control synchronized with ERP/MES. Add it to the crisis risk register and collect first evidence.</v>
      </c>
      <c r="U744">
        <f>IFERROR(INDEX(_DATA_Assessment_Model!$G$5:$G$884,MATCH($E744,_DATA_Assessment_Model!$A$5:$A$884,0)),"")</f>
        <v>5</v>
      </c>
      <c r="V744">
        <f>IFERROR(INDEX(_DATA_Assessment_Model!$W$5:$W$884,MATCH($E744,_DATA_Assessment_Model!$A$5:$A$884,0)),"")</f>
        <v>5</v>
      </c>
      <c r="W744">
        <f>IFERROR(INDEX(_DATA_Assessment_Model!$X$5:$X$884,MATCH($E744,_DATA_Assessment_Model!$A$5:$A$884,0)),"")</f>
        <v>5</v>
      </c>
      <c r="X744">
        <f>IFERROR(INDEX(_DATA_Assessment_Model!$Y$5:$Y$884,MATCH($E744,_DATA_Assessment_Model!$A$5:$A$884,0)),"")</f>
        <v>5</v>
      </c>
      <c r="Y744" t="s">
        <v>2152</v>
      </c>
      <c r="Z744" t="s">
        <v>7780</v>
      </c>
      <c r="AA744" t="s">
        <v>2246</v>
      </c>
      <c r="AB744">
        <f>IFERROR(INDEX(_DATA_Assessment_Model!$U$5:$U$884,MATCH($E744,_DATA_Assessment_Model!$A$5:$A$884,0)),"")</f>
        <v>0</v>
      </c>
      <c r="AF744" t="s">
        <v>2245</v>
      </c>
      <c r="AO744">
        <f>IF($B744="Yes",IF(IFERROR(INDEX(_ENGINE_Crisis!$F$501:$F$517,MATCH($C744,_ENGINE_Crisis!$A$501:$A$517,0)),1)=0,1,IFERROR(INDEX(_ENGINE_Crisis!$F$501:$F$517,MATCH($C744,_ENGINE_Crisis!$A$501:$A$517,0)),1)),"")</f>
        <v>1</v>
      </c>
      <c r="AP744">
        <f t="shared" si="133"/>
        <v>17.2</v>
      </c>
      <c r="AQ744">
        <f t="shared" si="134"/>
        <v>1.25</v>
      </c>
      <c r="AR744" t="str">
        <f>IFERROR(INDEX(_ENGINE_Crisis!$E$41:$E$700,MATCH('Resilience &amp; Risk Scenario'!$B$6&amp;"|"&amp;$C744,_ENGINE_Crisis!$I$41:$I$700,0)),"")</f>
        <v/>
      </c>
      <c r="AS744" t="str">
        <f>IFERROR(INDEX(_ENGINE_Crisis!$G$41:$G$700,MATCH('Resilience &amp; Risk Scenario'!$B$6&amp;"|"&amp;$C744,_ENGINE_Crisis!$I$41:$I$700,0)),"")</f>
        <v/>
      </c>
      <c r="AT744" t="str">
        <f>IFERROR(INDEX(_ENGINE_Initiatives!$A$5:$A$532,MATCH(1,INDEX((_ENGINE_Initiatives!$B$5:$B$532=$C744)*(_ENGINE_Initiatives!$C$5:$C$532=$D744),0),0)),"")</f>
        <v>INI-039</v>
      </c>
      <c r="AU744" t="str">
        <f>IFERROR(INDEX(_ENGINE_Initiatives!$F$5:$F$532,MATCH(1,INDEX((_ENGINE_Initiatives!$B$5:$B$532=$C744)*(_ENGINE_Initiatives!$C$5:$C$532=$D744),0),0)),"")</f>
        <v>Strengthen manufacturing quality, safety and release controls</v>
      </c>
      <c r="AV744">
        <f>IFERROR(INDEX(_ENGINE_Initiatives!$AC$5:$AC$532,MATCH(1,INDEX((_ENGINE_Initiatives!$B$5:$B$532=$C744)*(_ENGINE_Initiatives!$C$5:$C$532=$D744),0),0)),"")</f>
        <v>1.38</v>
      </c>
      <c r="AW744" t="str">
        <f>IFERROR(INDEX(_ENGINE_Initiatives!$AE$5:$AE$532,MATCH(1,INDEX((_ENGINE_Initiatives!$B$5:$B$532=$C744)*(_ENGINE_Initiatives!$C$5:$C$532=$D744),0),0)),"")</f>
        <v>6-12 months</v>
      </c>
      <c r="AX744">
        <f>IF($B744="Yes",IFERROR((IF(SUMIFS(_REF_Model_Content!$E$1:$E$613,_REF_Model_Content!$A$1:$A$613,PV_Canonical_Industry,_REF_Model_Content!$B$1:$B$613,$C744)=0,1,SUMIFS(_REF_Model_Content!$E$1:$E$613,_REF_Model_Content!$A$1:$A$613,PV_Canonical_Industry,_REF_Model_Content!$B$1:$B$613,$C744))*IFERROR($BU744,1)),1),"")</f>
        <v>1</v>
      </c>
      <c r="AY744">
        <f t="shared" si="135"/>
        <v>17.2</v>
      </c>
      <c r="AZ744">
        <f t="shared" si="136"/>
        <v>1.25</v>
      </c>
      <c r="BB744" t="str">
        <f>IF($H744="","",IFERROR(INDEX(_ENGINE_Risk!$AE$5:$AE$499,MATCH($E744,_ENGINE_Risk!$A$5:$A$499,0)),"Medium"))</f>
        <v>Fast</v>
      </c>
      <c r="BC744">
        <f t="shared" si="137"/>
        <v>1.25</v>
      </c>
      <c r="BD744">
        <f t="shared" si="138"/>
        <v>1.25</v>
      </c>
      <c r="BF744">
        <f>IF(OR($H744="",$J744=""),"",IFERROR(VLOOKUP(ROUND($J744,0),_CONFIG_Model_Settings!$D$154:$E$158,2,0),""))</f>
        <v>0.5</v>
      </c>
      <c r="BG744">
        <f>IFERROR(IF(OR($H744="",$K744=""),"",ROUND('Company Profile'!$B$113*INDEX(_CONFIG_Model_Settings!$H$154:$H$158,MATCH(ROUND($K744,0),_CONFIG_Model_Settings!$G$154:$G$158,0)),0)),0)</f>
        <v>1875</v>
      </c>
      <c r="BH744">
        <f t="shared" si="139"/>
        <v>937.5</v>
      </c>
      <c r="BI744">
        <f t="shared" si="140"/>
        <v>937.5</v>
      </c>
      <c r="BJ744">
        <f>IF($E744="","",IFERROR(VLOOKUP($C744,_CONFIG_Risk_Calibration!$A$5:$H$21,2,FALSE),3))</f>
        <v>3</v>
      </c>
      <c r="BK744">
        <f>IF($E744="","",IFERROR(VLOOKUP($C744,_CONFIG_Risk_Calibration!$A$5:$H$21,3,FALSE),0))</f>
        <v>0</v>
      </c>
      <c r="BL744">
        <f>IF($E744="","",IFERROR(VLOOKUP($C744,_CONFIG_Risk_Calibration!$A$5:$H$21,4,FALSE),3))</f>
        <v>3</v>
      </c>
      <c r="BM744">
        <f>IF($E744="","",IFERROR(VLOOKUP($C744,_CONFIG_Risk_Calibration!$A$5:$H$21,5,FALSE),3))</f>
        <v>4</v>
      </c>
      <c r="BN744" t="str">
        <f>IF($E744="","",IFERROR(VLOOKUP($C744,_CONFIG_Risk_Calibration!$A$5:$H$21,6,FALSE),"No"))</f>
        <v>No</v>
      </c>
      <c r="BO744">
        <f>IF($E744="","",IFERROR(VLOOKUP($C744,_CONFIG_Risk_Calibration!$A$5:$H$21,7,FALSE),1))</f>
        <v>1</v>
      </c>
      <c r="BP744">
        <f>IF($H744="","",MAX(1,MIN(5,((6-$H744)*0.45)+($BJ744*0.2)+('Resilience &amp; Risk Scenario'!$B$7*0.15)+($BK744*0.1)+($BL744*0.05)+(IF($BB744="Fast",5,IF($BB744="Slow",1,3))*0.05))))</f>
        <v>3.7</v>
      </c>
      <c r="BQ744">
        <f t="shared" si="141"/>
        <v>4.6499999999999995</v>
      </c>
      <c r="BR744">
        <f t="shared" si="142"/>
        <v>17.21</v>
      </c>
      <c r="BS744">
        <f t="shared" si="143"/>
        <v>23.66</v>
      </c>
      <c r="BT744" t="str">
        <f>IFERROR(INDEX(_REF_Capability_Bridge!$D:$D,MATCH($C744&amp;"|"&amp;$D744,_REF_Capability_Bridge!$J:$J,0)),IFERROR(INDEX(_REF_Capability_Bridge!$D:$D,MATCH($C744&amp;"|",_REF_Capability_Bridge!$J:$J,0)),"CAP_GENERIC"))</f>
        <v>CAP_SUPPLIER_RESILIENCE</v>
      </c>
      <c r="BU744">
        <f>IFERROR(IFERROR(INDEX(_ENGINE_Relevance!$L:$L,MATCH($BT744,_ENGINE_Relevance!$B:$B,0)),1),1)</f>
        <v>1</v>
      </c>
      <c r="BV744" t="str">
        <f>IFERROR(INDEX(_REF_Capability_Bridge!$A:$A,MATCH($C744&amp;"|"&amp;$D744,_REF_Capability_Bridge!$J:$J,0)),IFERROR(INDEX(_REF_Capability_Bridge!$A:$A,MATCH($C744&amp;"|",_REF_Capability_Bridge!$J:$J,0)),"No bridge"))</f>
        <v>BRG-059</v>
      </c>
      <c r="BW744" t="str">
        <f t="shared" si="144"/>
        <v>Capability relevance neutral</v>
      </c>
      <c r="BX744" t="str">
        <f t="shared" si="145"/>
        <v>Initial / absent</v>
      </c>
      <c r="BY744" t="str">
        <f>IF($E744="","",IFERROR(INDEX(_REF_Treatment_Library!$A$2:$A$296,MATCH(1,INDEX((_REF_Treatment_Library!$B$2:$B$296=$BT744)*(_REF_Treatment_Library!$C$2:$C$296=PV_Canonical_Industry)*(_REF_Treatment_Library!$E$2:$E$296&lt;=N($H744))*(_REF_Treatment_Library!$F$2:$F$296&gt;=N($H744))*(_REF_Treatment_Library!$O$2:$O$296="Yes"),0),0)),IFERROR(INDEX(_REF_Treatment_Library!$A$2:$A$296,MATCH(1,INDEX((_REF_Treatment_Library!$B$2:$B$296=$BT744)*(_REF_Treatment_Library!$C$2:$C$296="All")*(_REF_Treatment_Library!$E$2:$E$296&lt;=N($H744))*(_REF_Treatment_Library!$F$2:$F$296&gt;=N($H744))*(_REF_Treatment_Library!$O$2:$O$296="Yes"),0),0)),"")))</f>
        <v>TRT-SUPPLIER_RESILIENCE-INITIAL</v>
      </c>
      <c r="BZ744" t="str">
        <f>IF($BY744="","",IFERROR(INDEX(_REF_Treatment_Library!$H$2:$H$296,MATCH($BY744,_REF_Treatment_Library!$A$2:$A$296,0)),""))</f>
        <v>Establish</v>
      </c>
      <c r="CA744" t="str">
        <f>IF($BY744="","",IFERROR(INDEX(_REF_Treatment_Library!$I$2:$I$296,MATCH($BY744,_REF_Treatment_Library!$A$2:$A$296,0)),""))</f>
        <v>Establish baseline controls for Supplier resilience</v>
      </c>
      <c r="CB744" t="str">
        <f>IF($BY744="","",IFERROR(INDEX(_REF_Treatment_Library!$K$2:$K$296,MATCH($BY744,_REF_Treatment_Library!$A$2:$A$296,0)),""))</f>
        <v>Named owner, baseline process, minimum control checklist, first evidence package</v>
      </c>
      <c r="CC744" t="str">
        <f>IF($BY744="","",IFERROR(INDEX(_REF_Treatment_Library!$L$2:$L$296,MATCH($BY744,_REF_Treatment_Library!$A$2:$A$296,0)),""))</f>
        <v>Owner assigned; baseline evidence coverage; open critical gaps</v>
      </c>
      <c r="CD744" t="str">
        <f t="shared" si="146"/>
        <v>Treatment by capability=CAP_SUPPLIER_RESILIENCE; band=Initial / absent; score=0.0; treatment=Establish</v>
      </c>
      <c r="CE744" t="str">
        <f>IF($E744="","",IFERROR(INDEX(_REF_Industry_Wording!$A$2:$A$70,MATCH(1,INDEX((_REF_Industry_Wording!$B$2:$B$70=$BT744)*(_REF_Industry_Wording!$C$2:$C$70=PV_Canonical_Industry)*(_REF_Industry_Wording!$K$2:$K$70="Yes"),0),0)),IFERROR(INDEX(_REF_Industry_Wording!$A$2:$A$70,MATCH(1,INDEX((_REF_Industry_Wording!$B$2:$B$70=$BT744)*(_REF_Industry_Wording!$C$2:$C$70="All")*(_REF_Industry_Wording!$K$2:$K$70="Yes"),0),0)),"")))</f>
        <v>IW-ALL-SUPPLIER_RESILIENCE</v>
      </c>
      <c r="CF744" t="str">
        <f>IF($CE744="","",IFERROR(INDEX(_REF_Industry_Wording!$E$2:$E$70,MATCH($CE744,_REF_Industry_Wording!$A$2:$A$70,0)),""))</f>
        <v>Supplier resilience weakness</v>
      </c>
      <c r="CG744" t="str">
        <f>IF($CE744="","",IFERROR(INDEX(_REF_Industry_Wording!$F$2:$F$70,MATCH($CE744,_REF_Industry_Wording!$A$2:$A$70,0)),""))</f>
        <v>Strengthen Supplier resilience</v>
      </c>
      <c r="CH744" t="str">
        <f>IF($CE744="","",IFERROR(INDEX(_REF_Industry_Wording!$G$2:$G$70,MATCH($CE744,_REF_Industry_Wording!$A$2:$A$70,0)),""))</f>
        <v>Strengthen Supplier resilience using the selected maturity treatment, crisis scenario and evidence requirements.</v>
      </c>
      <c r="CI744" t="str">
        <f>IF($CE744="","",IFERROR(INDEX(_REF_Industry_Wording!$H$2:$H$70,MATCH($CE744,_REF_Industry_Wording!$A$2:$A$70,0)),""))</f>
        <v>Supplier resilience</v>
      </c>
      <c r="CJ744">
        <f>IF($CE744="","",IFERROR(INDEX(_REF_Industry_Wording!$I$2:$I$70,MATCH($CE744,_REF_Industry_Wording!$A$2:$A$70,0)),""))</f>
        <v>0</v>
      </c>
      <c r="CK744" t="str">
        <f>IF($CE744="","",IFERROR(INDEX(_REF_Industry_Wording!$J$2:$J$70,MATCH($CE744,_REF_Industry_Wording!$A$2:$A$70,0)),""))</f>
        <v>Supplier resilience</v>
      </c>
      <c r="CL744" t="str">
        <f t="shared" si="147"/>
        <v>Wording by industry=0; capability=CAP_SUPPLIER_RESILIENCE; risk label=Supplier resilience weakness</v>
      </c>
      <c r="CM744" t="str">
        <f t="shared" si="148"/>
        <v>RISK-ONT-0245</v>
      </c>
      <c r="CN744" t="str">
        <f t="shared" si="149"/>
        <v>RISK-EVT-0245</v>
      </c>
      <c r="CO744" t="str">
        <f t="shared" si="150"/>
        <v>Manufacturing MES|Quality and safety|MANU-021|CAP_SUPPLIER_RESILIENCE</v>
      </c>
      <c r="CP744" t="str">
        <f t="shared" si="151"/>
        <v>Active</v>
      </c>
      <c r="CQ744" t="str">
        <f t="shared" si="152"/>
        <v>OK: capability-driven</v>
      </c>
      <c r="CR744" t="str">
        <f t="shared" si="153"/>
        <v>Risk ontology uses capability=CAP_SUPPLIER_RESILIENCE; bridge=BRG-059; treatment=TRT-SUPPLIER_RESILIENCE-INITIAL; wording=IW-ALL-SUPPLIER_RESILIENCE</v>
      </c>
      <c r="CS744" t="str">
        <f t="shared" si="154"/>
        <v>Yes</v>
      </c>
    </row>
    <row r="745" spans="1:97" ht="69.900000000000006" customHeight="1">
      <c r="A745">
        <f>IF(OR($B745&lt;&gt;"Yes",$BS745=""),"",SUMPRODUCT(($B$500:$B$923="Yes")*ISNUMBER($BS$500:$BS$923)*($BS$500:$BS$923&gt;$BS745))+COUNTIFS($B$500:$B745,"Yes",$BS$500:$BS745,$BS745))</f>
        <v>59</v>
      </c>
      <c r="B745" t="str">
        <f t="shared" si="123"/>
        <v>Yes</v>
      </c>
      <c r="C745" t="s">
        <v>2145</v>
      </c>
      <c r="D745" t="s">
        <v>2170</v>
      </c>
      <c r="E745" t="s">
        <v>2247</v>
      </c>
      <c r="F745" t="s">
        <v>3688</v>
      </c>
      <c r="G745" t="str">
        <f>IF($H745="","",IFERROR(INDEX(_ENGINE_Risk!$H$5:$M$499,MATCH($E745,_ENGINE_Risk!$A$5:$A$499,0),$H745+1),""))</f>
        <v>Severe risk: operator training and certification for equipment, safety, quality and emergency procedures is not reliably controlled. During Manufacturing disruption; Safety incident; Energy outage; Cyberattack, the organization may face production stoppage, quality defects, low asset visibility and inability to recover shop-floor operations with limited visibility or accountability.</v>
      </c>
      <c r="H745">
        <f>IFERROR(VALUE(INDEX(_DATA_Assessment_Model!$H$5:$H$884,MATCH($E745,_DATA_Assessment_Model!$A$5:$A$884,0))),"")</f>
        <v>0</v>
      </c>
      <c r="I745" t="str">
        <f>IF($H745="","",IFERROR(INDEX(_DATA_Assessment_Model!$L$5:$L$884,MATCH($E745,_DATA_Assessment_Model!$A$5:$A$884,0)),IF($H745&lt;=1,"Critical",IF($H745=2,"High",IF($H745=3,"Medium",IF($H745=4,"Low","Resilient"))))))</f>
        <v>Critical</v>
      </c>
      <c r="J745">
        <f t="shared" si="124"/>
        <v>3.7</v>
      </c>
      <c r="K745">
        <f t="shared" si="125"/>
        <v>4.6499999999999995</v>
      </c>
      <c r="L745">
        <f t="shared" si="126"/>
        <v>17.204999999999998</v>
      </c>
      <c r="M745">
        <f t="shared" si="127"/>
        <v>4</v>
      </c>
      <c r="N745">
        <f>IF($H745="","",IFERROR(INDEX(_ENGINE_Risk!$T$5:$Y$499,MATCH($E745,_ENGINE_Risk!$A$5:$A$499,0),$H745+1),""))</f>
        <v>4</v>
      </c>
      <c r="O745">
        <f t="shared" si="128"/>
        <v>5</v>
      </c>
      <c r="P745">
        <f t="shared" si="129"/>
        <v>5</v>
      </c>
      <c r="Q745">
        <f t="shared" si="130"/>
        <v>5</v>
      </c>
      <c r="R745">
        <f t="shared" si="131"/>
        <v>5</v>
      </c>
      <c r="S745">
        <f t="shared" si="132"/>
        <v>1.25</v>
      </c>
      <c r="T745" t="str">
        <f>IF($H745="","",IFERROR(INDEX(_ENGINE_Risk!$N$5:$S$499,MATCH($E745,_ENGINE_Risk!$A$5:$A$499,0),$H745+1),""))</f>
        <v>Create an immediate risk owner, minimum control baseline and fallback procedure for operator training and certification for equipment, safety, quality and emergency procedures. Add it to the crisis risk register and collect first evidence.</v>
      </c>
      <c r="U745">
        <f>IFERROR(INDEX(_DATA_Assessment_Model!$G$5:$G$884,MATCH($E745,_DATA_Assessment_Model!$A$5:$A$884,0)),"")</f>
        <v>5</v>
      </c>
      <c r="V745">
        <f>IFERROR(INDEX(_DATA_Assessment_Model!$W$5:$W$884,MATCH($E745,_DATA_Assessment_Model!$A$5:$A$884,0)),"")</f>
        <v>5</v>
      </c>
      <c r="W745">
        <f>IFERROR(INDEX(_DATA_Assessment_Model!$X$5:$X$884,MATCH($E745,_DATA_Assessment_Model!$A$5:$A$884,0)),"")</f>
        <v>5</v>
      </c>
      <c r="X745">
        <f>IFERROR(INDEX(_DATA_Assessment_Model!$Y$5:$Y$884,MATCH($E745,_DATA_Assessment_Model!$A$5:$A$884,0)),"")</f>
        <v>5</v>
      </c>
      <c r="Y745" t="s">
        <v>2152</v>
      </c>
      <c r="Z745" t="s">
        <v>7780</v>
      </c>
      <c r="AA745" t="s">
        <v>2249</v>
      </c>
      <c r="AB745">
        <f>IFERROR(INDEX(_DATA_Assessment_Model!$U$5:$U$884,MATCH($E745,_DATA_Assessment_Model!$A$5:$A$884,0)),"")</f>
        <v>0</v>
      </c>
      <c r="AF745" t="s">
        <v>2248</v>
      </c>
      <c r="AO745">
        <f>IF($B745="Yes",IF(IFERROR(INDEX(_ENGINE_Crisis!$F$501:$F$517,MATCH($C745,_ENGINE_Crisis!$A$501:$A$517,0)),1)=0,1,IFERROR(INDEX(_ENGINE_Crisis!$F$501:$F$517,MATCH($C745,_ENGINE_Crisis!$A$501:$A$517,0)),1)),"")</f>
        <v>1</v>
      </c>
      <c r="AP745">
        <f t="shared" si="133"/>
        <v>17.2</v>
      </c>
      <c r="AQ745">
        <f t="shared" si="134"/>
        <v>1.25</v>
      </c>
      <c r="AR745" t="str">
        <f>IFERROR(INDEX(_ENGINE_Crisis!$E$41:$E$700,MATCH('Resilience &amp; Risk Scenario'!$B$6&amp;"|"&amp;$C745,_ENGINE_Crisis!$I$41:$I$700,0)),"")</f>
        <v/>
      </c>
      <c r="AS745" t="str">
        <f>IFERROR(INDEX(_ENGINE_Crisis!$G$41:$G$700,MATCH('Resilience &amp; Risk Scenario'!$B$6&amp;"|"&amp;$C745,_ENGINE_Crisis!$I$41:$I$700,0)),"")</f>
        <v/>
      </c>
      <c r="AT745" t="str">
        <f>IFERROR(INDEX(_ENGINE_Initiatives!$A$5:$A$532,MATCH(1,INDEX((_ENGINE_Initiatives!$B$5:$B$532=$C745)*(_ENGINE_Initiatives!$C$5:$C$532=$D745),0),0)),"")</f>
        <v>INI-039</v>
      </c>
      <c r="AU745" t="str">
        <f>IFERROR(INDEX(_ENGINE_Initiatives!$F$5:$F$532,MATCH(1,INDEX((_ENGINE_Initiatives!$B$5:$B$532=$C745)*(_ENGINE_Initiatives!$C$5:$C$532=$D745),0),0)),"")</f>
        <v>Strengthen manufacturing quality, safety and release controls</v>
      </c>
      <c r="AV745">
        <f>IFERROR(INDEX(_ENGINE_Initiatives!$AC$5:$AC$532,MATCH(1,INDEX((_ENGINE_Initiatives!$B$5:$B$532=$C745)*(_ENGINE_Initiatives!$C$5:$C$532=$D745),0),0)),"")</f>
        <v>1.38</v>
      </c>
      <c r="AW745" t="str">
        <f>IFERROR(INDEX(_ENGINE_Initiatives!$AE$5:$AE$532,MATCH(1,INDEX((_ENGINE_Initiatives!$B$5:$B$532=$C745)*(_ENGINE_Initiatives!$C$5:$C$532=$D745),0),0)),"")</f>
        <v>6-12 months</v>
      </c>
      <c r="AX745">
        <f>IF($B745="Yes",IFERROR((IF(SUMIFS(_REF_Model_Content!$E$1:$E$613,_REF_Model_Content!$A$1:$A$613,PV_Canonical_Industry,_REF_Model_Content!$B$1:$B$613,$C745)=0,1,SUMIFS(_REF_Model_Content!$E$1:$E$613,_REF_Model_Content!$A$1:$A$613,PV_Canonical_Industry,_REF_Model_Content!$B$1:$B$613,$C745))*IFERROR($BU745,1)),1),"")</f>
        <v>1</v>
      </c>
      <c r="AY745">
        <f t="shared" si="135"/>
        <v>17.2</v>
      </c>
      <c r="AZ745">
        <f t="shared" si="136"/>
        <v>1.25</v>
      </c>
      <c r="BB745" t="str">
        <f>IF($H745="","",IFERROR(INDEX(_ENGINE_Risk!$AE$5:$AE$499,MATCH($E745,_ENGINE_Risk!$A$5:$A$499,0)),"Medium"))</f>
        <v>Fast</v>
      </c>
      <c r="BC745">
        <f t="shared" si="137"/>
        <v>1.25</v>
      </c>
      <c r="BD745">
        <f t="shared" si="138"/>
        <v>1.25</v>
      </c>
      <c r="BF745">
        <f>IF(OR($H745="",$J745=""),"",IFERROR(VLOOKUP(ROUND($J745,0),_CONFIG_Model_Settings!$D$154:$E$158,2,0),""))</f>
        <v>0.5</v>
      </c>
      <c r="BG745">
        <f>IFERROR(IF(OR($H745="",$K745=""),"",ROUND('Company Profile'!$B$113*INDEX(_CONFIG_Model_Settings!$H$154:$H$158,MATCH(ROUND($K745,0),_CONFIG_Model_Settings!$G$154:$G$158,0)),0)),0)</f>
        <v>1875</v>
      </c>
      <c r="BH745">
        <f t="shared" si="139"/>
        <v>937.5</v>
      </c>
      <c r="BI745">
        <f t="shared" si="140"/>
        <v>937.5</v>
      </c>
      <c r="BJ745">
        <f>IF($E745="","",IFERROR(VLOOKUP($C745,_CONFIG_Risk_Calibration!$A$5:$H$21,2,FALSE),3))</f>
        <v>3</v>
      </c>
      <c r="BK745">
        <f>IF($E745="","",IFERROR(VLOOKUP($C745,_CONFIG_Risk_Calibration!$A$5:$H$21,3,FALSE),0))</f>
        <v>0</v>
      </c>
      <c r="BL745">
        <f>IF($E745="","",IFERROR(VLOOKUP($C745,_CONFIG_Risk_Calibration!$A$5:$H$21,4,FALSE),3))</f>
        <v>3</v>
      </c>
      <c r="BM745">
        <f>IF($E745="","",IFERROR(VLOOKUP($C745,_CONFIG_Risk_Calibration!$A$5:$H$21,5,FALSE),3))</f>
        <v>4</v>
      </c>
      <c r="BN745" t="str">
        <f>IF($E745="","",IFERROR(VLOOKUP($C745,_CONFIG_Risk_Calibration!$A$5:$H$21,6,FALSE),"No"))</f>
        <v>No</v>
      </c>
      <c r="BO745">
        <f>IF($E745="","",IFERROR(VLOOKUP($C745,_CONFIG_Risk_Calibration!$A$5:$H$21,7,FALSE),1))</f>
        <v>1</v>
      </c>
      <c r="BP745">
        <f>IF($H745="","",MAX(1,MIN(5,((6-$H745)*0.45)+($BJ745*0.2)+('Resilience &amp; Risk Scenario'!$B$7*0.15)+($BK745*0.1)+($BL745*0.05)+(IF($BB745="Fast",5,IF($BB745="Slow",1,3))*0.05))))</f>
        <v>3.7</v>
      </c>
      <c r="BQ745">
        <f t="shared" si="141"/>
        <v>4.6499999999999995</v>
      </c>
      <c r="BR745">
        <f t="shared" si="142"/>
        <v>17.21</v>
      </c>
      <c r="BS745">
        <f t="shared" si="143"/>
        <v>23.66</v>
      </c>
      <c r="BT745" t="str">
        <f>IFERROR(INDEX(_REF_Capability_Bridge!$D:$D,MATCH($C745&amp;"|"&amp;$D745,_REF_Capability_Bridge!$J:$J,0)),IFERROR(INDEX(_REF_Capability_Bridge!$D:$D,MATCH($C745&amp;"|",_REF_Capability_Bridge!$J:$J,0)),"CAP_GENERIC"))</f>
        <v>CAP_SUPPLIER_RESILIENCE</v>
      </c>
      <c r="BU745">
        <f>IFERROR(IFERROR(INDEX(_ENGINE_Relevance!$L:$L,MATCH($BT745,_ENGINE_Relevance!$B:$B,0)),1),1)</f>
        <v>1</v>
      </c>
      <c r="BV745" t="str">
        <f>IFERROR(INDEX(_REF_Capability_Bridge!$A:$A,MATCH($C745&amp;"|"&amp;$D745,_REF_Capability_Bridge!$J:$J,0)),IFERROR(INDEX(_REF_Capability_Bridge!$A:$A,MATCH($C745&amp;"|",_REF_Capability_Bridge!$J:$J,0)),"No bridge"))</f>
        <v>BRG-059</v>
      </c>
      <c r="BW745" t="str">
        <f t="shared" si="144"/>
        <v>Capability relevance neutral</v>
      </c>
      <c r="BX745" t="str">
        <f t="shared" si="145"/>
        <v>Initial / absent</v>
      </c>
      <c r="BY745" t="str">
        <f>IF($E745="","",IFERROR(INDEX(_REF_Treatment_Library!$A$2:$A$296,MATCH(1,INDEX((_REF_Treatment_Library!$B$2:$B$296=$BT745)*(_REF_Treatment_Library!$C$2:$C$296=PV_Canonical_Industry)*(_REF_Treatment_Library!$E$2:$E$296&lt;=N($H745))*(_REF_Treatment_Library!$F$2:$F$296&gt;=N($H745))*(_REF_Treatment_Library!$O$2:$O$296="Yes"),0),0)),IFERROR(INDEX(_REF_Treatment_Library!$A$2:$A$296,MATCH(1,INDEX((_REF_Treatment_Library!$B$2:$B$296=$BT745)*(_REF_Treatment_Library!$C$2:$C$296="All")*(_REF_Treatment_Library!$E$2:$E$296&lt;=N($H745))*(_REF_Treatment_Library!$F$2:$F$296&gt;=N($H745))*(_REF_Treatment_Library!$O$2:$O$296="Yes"),0),0)),"")))</f>
        <v>TRT-SUPPLIER_RESILIENCE-INITIAL</v>
      </c>
      <c r="BZ745" t="str">
        <f>IF($BY745="","",IFERROR(INDEX(_REF_Treatment_Library!$H$2:$H$296,MATCH($BY745,_REF_Treatment_Library!$A$2:$A$296,0)),""))</f>
        <v>Establish</v>
      </c>
      <c r="CA745" t="str">
        <f>IF($BY745="","",IFERROR(INDEX(_REF_Treatment_Library!$I$2:$I$296,MATCH($BY745,_REF_Treatment_Library!$A$2:$A$296,0)),""))</f>
        <v>Establish baseline controls for Supplier resilience</v>
      </c>
      <c r="CB745" t="str">
        <f>IF($BY745="","",IFERROR(INDEX(_REF_Treatment_Library!$K$2:$K$296,MATCH($BY745,_REF_Treatment_Library!$A$2:$A$296,0)),""))</f>
        <v>Named owner, baseline process, minimum control checklist, first evidence package</v>
      </c>
      <c r="CC745" t="str">
        <f>IF($BY745="","",IFERROR(INDEX(_REF_Treatment_Library!$L$2:$L$296,MATCH($BY745,_REF_Treatment_Library!$A$2:$A$296,0)),""))</f>
        <v>Owner assigned; baseline evidence coverage; open critical gaps</v>
      </c>
      <c r="CD745" t="str">
        <f t="shared" si="146"/>
        <v>Treatment by capability=CAP_SUPPLIER_RESILIENCE; band=Initial / absent; score=0.0; treatment=Establish</v>
      </c>
      <c r="CE745" t="str">
        <f>IF($E745="","",IFERROR(INDEX(_REF_Industry_Wording!$A$2:$A$70,MATCH(1,INDEX((_REF_Industry_Wording!$B$2:$B$70=$BT745)*(_REF_Industry_Wording!$C$2:$C$70=PV_Canonical_Industry)*(_REF_Industry_Wording!$K$2:$K$70="Yes"),0),0)),IFERROR(INDEX(_REF_Industry_Wording!$A$2:$A$70,MATCH(1,INDEX((_REF_Industry_Wording!$B$2:$B$70=$BT745)*(_REF_Industry_Wording!$C$2:$C$70="All")*(_REF_Industry_Wording!$K$2:$K$70="Yes"),0),0)),"")))</f>
        <v>IW-ALL-SUPPLIER_RESILIENCE</v>
      </c>
      <c r="CF745" t="str">
        <f>IF($CE745="","",IFERROR(INDEX(_REF_Industry_Wording!$E$2:$E$70,MATCH($CE745,_REF_Industry_Wording!$A$2:$A$70,0)),""))</f>
        <v>Supplier resilience weakness</v>
      </c>
      <c r="CG745" t="str">
        <f>IF($CE745="","",IFERROR(INDEX(_REF_Industry_Wording!$F$2:$F$70,MATCH($CE745,_REF_Industry_Wording!$A$2:$A$70,0)),""))</f>
        <v>Strengthen Supplier resilience</v>
      </c>
      <c r="CH745" t="str">
        <f>IF($CE745="","",IFERROR(INDEX(_REF_Industry_Wording!$G$2:$G$70,MATCH($CE745,_REF_Industry_Wording!$A$2:$A$70,0)),""))</f>
        <v>Strengthen Supplier resilience using the selected maturity treatment, crisis scenario and evidence requirements.</v>
      </c>
      <c r="CI745" t="str">
        <f>IF($CE745="","",IFERROR(INDEX(_REF_Industry_Wording!$H$2:$H$70,MATCH($CE745,_REF_Industry_Wording!$A$2:$A$70,0)),""))</f>
        <v>Supplier resilience</v>
      </c>
      <c r="CJ745">
        <f>IF($CE745="","",IFERROR(INDEX(_REF_Industry_Wording!$I$2:$I$70,MATCH($CE745,_REF_Industry_Wording!$A$2:$A$70,0)),""))</f>
        <v>0</v>
      </c>
      <c r="CK745" t="str">
        <f>IF($CE745="","",IFERROR(INDEX(_REF_Industry_Wording!$J$2:$J$70,MATCH($CE745,_REF_Industry_Wording!$A$2:$A$70,0)),""))</f>
        <v>Supplier resilience</v>
      </c>
      <c r="CL745" t="str">
        <f t="shared" si="147"/>
        <v>Wording by industry=0; capability=CAP_SUPPLIER_RESILIENCE; risk label=Supplier resilience weakness</v>
      </c>
      <c r="CM745" t="str">
        <f t="shared" si="148"/>
        <v>RISK-ONT-0246</v>
      </c>
      <c r="CN745" t="str">
        <f t="shared" si="149"/>
        <v>RISK-EVT-0246</v>
      </c>
      <c r="CO745" t="str">
        <f t="shared" si="150"/>
        <v>Manufacturing MES|Quality and safety|MANU-022|CAP_SUPPLIER_RESILIENCE</v>
      </c>
      <c r="CP745" t="str">
        <f t="shared" si="151"/>
        <v>Active</v>
      </c>
      <c r="CQ745" t="str">
        <f t="shared" si="152"/>
        <v>OK: capability-driven</v>
      </c>
      <c r="CR745" t="str">
        <f t="shared" si="153"/>
        <v>Risk ontology uses capability=CAP_SUPPLIER_RESILIENCE; bridge=BRG-059; treatment=TRT-SUPPLIER_RESILIENCE-INITIAL; wording=IW-ALL-SUPPLIER_RESILIENCE</v>
      </c>
      <c r="CS745" t="str">
        <f t="shared" si="154"/>
        <v>Yes</v>
      </c>
    </row>
    <row r="746" spans="1:97" ht="69.900000000000006" customHeight="1">
      <c r="A746">
        <f>IF(OR($B746&lt;&gt;"Yes",$BS746=""),"",SUMPRODUCT(($B$500:$B$923="Yes")*ISNUMBER($BS$500:$BS$923)*($BS$500:$BS$923&gt;$BS746))+COUNTIFS($B$500:$B746,"Yes",$BS$500:$BS746,$BS746))</f>
        <v>60</v>
      </c>
      <c r="B746" t="str">
        <f t="shared" si="123"/>
        <v>Yes</v>
      </c>
      <c r="C746" t="s">
        <v>2145</v>
      </c>
      <c r="D746" t="s">
        <v>2170</v>
      </c>
      <c r="E746" t="s">
        <v>2250</v>
      </c>
      <c r="F746" t="s">
        <v>3688</v>
      </c>
      <c r="G746" t="str">
        <f>IF($H746="","",IFERROR(INDEX(_ENGINE_Risk!$H$5:$M$499,MATCH($E746,_ENGINE_Risk!$A$5:$A$499,0),$H746+1),""))</f>
        <v>Severe risk: machine safety controls, guarding, emergency stops and lockout/tagout is not reliably controlled. During Manufacturing disruption; Safety incident; Energy outage; Cyberattack, the organization may face production stoppage, quality defects, low asset visibility and inability to recover shop-floor operations with limited visibility or accountability.</v>
      </c>
      <c r="H746">
        <f>IFERROR(VALUE(INDEX(_DATA_Assessment_Model!$H$5:$H$884,MATCH($E746,_DATA_Assessment_Model!$A$5:$A$884,0))),"")</f>
        <v>0</v>
      </c>
      <c r="I746" t="str">
        <f>IF($H746="","",IFERROR(INDEX(_DATA_Assessment_Model!$L$5:$L$884,MATCH($E746,_DATA_Assessment_Model!$A$5:$A$884,0)),IF($H746&lt;=1,"Critical",IF($H746=2,"High",IF($H746=3,"Medium",IF($H746=4,"Low","Resilient"))))))</f>
        <v>Critical</v>
      </c>
      <c r="J746">
        <f t="shared" si="124"/>
        <v>3.7</v>
      </c>
      <c r="K746">
        <f t="shared" si="125"/>
        <v>4.6499999999999995</v>
      </c>
      <c r="L746">
        <f t="shared" si="126"/>
        <v>17.204999999999998</v>
      </c>
      <c r="M746">
        <f t="shared" si="127"/>
        <v>4</v>
      </c>
      <c r="N746">
        <f>IF($H746="","",IFERROR(INDEX(_ENGINE_Risk!$T$5:$Y$499,MATCH($E746,_ENGINE_Risk!$A$5:$A$499,0),$H746+1),""))</f>
        <v>4</v>
      </c>
      <c r="O746">
        <f t="shared" si="128"/>
        <v>5</v>
      </c>
      <c r="P746">
        <f t="shared" si="129"/>
        <v>5</v>
      </c>
      <c r="Q746">
        <f t="shared" si="130"/>
        <v>5</v>
      </c>
      <c r="R746">
        <f t="shared" si="131"/>
        <v>5</v>
      </c>
      <c r="S746">
        <f t="shared" si="132"/>
        <v>1.25</v>
      </c>
      <c r="T746" t="str">
        <f>IF($H746="","",IFERROR(INDEX(_ENGINE_Risk!$N$5:$S$499,MATCH($E746,_ENGINE_Risk!$A$5:$A$499,0),$H746+1),""))</f>
        <v>Create an immediate risk owner, minimum control baseline and fallback procedure for machine safety controls, guarding, emergency stops and lockout/tagout. Add it to the crisis risk register and collect first evidence.</v>
      </c>
      <c r="U746">
        <f>IFERROR(INDEX(_DATA_Assessment_Model!$G$5:$G$884,MATCH($E746,_DATA_Assessment_Model!$A$5:$A$884,0)),"")</f>
        <v>5</v>
      </c>
      <c r="V746">
        <f>IFERROR(INDEX(_DATA_Assessment_Model!$W$5:$W$884,MATCH($E746,_DATA_Assessment_Model!$A$5:$A$884,0)),"")</f>
        <v>5</v>
      </c>
      <c r="W746">
        <f>IFERROR(INDEX(_DATA_Assessment_Model!$X$5:$X$884,MATCH($E746,_DATA_Assessment_Model!$A$5:$A$884,0)),"")</f>
        <v>5</v>
      </c>
      <c r="X746">
        <f>IFERROR(INDEX(_DATA_Assessment_Model!$Y$5:$Y$884,MATCH($E746,_DATA_Assessment_Model!$A$5:$A$884,0)),"")</f>
        <v>5</v>
      </c>
      <c r="Y746" t="s">
        <v>2152</v>
      </c>
      <c r="Z746" t="s">
        <v>7780</v>
      </c>
      <c r="AA746" t="s">
        <v>2252</v>
      </c>
      <c r="AB746">
        <f>IFERROR(INDEX(_DATA_Assessment_Model!$U$5:$U$884,MATCH($E746,_DATA_Assessment_Model!$A$5:$A$884,0)),"")</f>
        <v>0</v>
      </c>
      <c r="AF746" t="s">
        <v>2251</v>
      </c>
      <c r="AO746">
        <f>IF($B746="Yes",IF(IFERROR(INDEX(_ENGINE_Crisis!$F$501:$F$517,MATCH($C746,_ENGINE_Crisis!$A$501:$A$517,0)),1)=0,1,IFERROR(INDEX(_ENGINE_Crisis!$F$501:$F$517,MATCH($C746,_ENGINE_Crisis!$A$501:$A$517,0)),1)),"")</f>
        <v>1</v>
      </c>
      <c r="AP746">
        <f t="shared" si="133"/>
        <v>17.2</v>
      </c>
      <c r="AQ746">
        <f t="shared" si="134"/>
        <v>1.25</v>
      </c>
      <c r="AR746" t="str">
        <f>IFERROR(INDEX(_ENGINE_Crisis!$E$41:$E$700,MATCH('Resilience &amp; Risk Scenario'!$B$6&amp;"|"&amp;$C746,_ENGINE_Crisis!$I$41:$I$700,0)),"")</f>
        <v/>
      </c>
      <c r="AS746" t="str">
        <f>IFERROR(INDEX(_ENGINE_Crisis!$G$41:$G$700,MATCH('Resilience &amp; Risk Scenario'!$B$6&amp;"|"&amp;$C746,_ENGINE_Crisis!$I$41:$I$700,0)),"")</f>
        <v/>
      </c>
      <c r="AT746" t="str">
        <f>IFERROR(INDEX(_ENGINE_Initiatives!$A$5:$A$532,MATCH(1,INDEX((_ENGINE_Initiatives!$B$5:$B$532=$C746)*(_ENGINE_Initiatives!$C$5:$C$532=$D746),0),0)),"")</f>
        <v>INI-039</v>
      </c>
      <c r="AU746" t="str">
        <f>IFERROR(INDEX(_ENGINE_Initiatives!$F$5:$F$532,MATCH(1,INDEX((_ENGINE_Initiatives!$B$5:$B$532=$C746)*(_ENGINE_Initiatives!$C$5:$C$532=$D746),0),0)),"")</f>
        <v>Strengthen manufacturing quality, safety and release controls</v>
      </c>
      <c r="AV746">
        <f>IFERROR(INDEX(_ENGINE_Initiatives!$AC$5:$AC$532,MATCH(1,INDEX((_ENGINE_Initiatives!$B$5:$B$532=$C746)*(_ENGINE_Initiatives!$C$5:$C$532=$D746),0),0)),"")</f>
        <v>1.38</v>
      </c>
      <c r="AW746" t="str">
        <f>IFERROR(INDEX(_ENGINE_Initiatives!$AE$5:$AE$532,MATCH(1,INDEX((_ENGINE_Initiatives!$B$5:$B$532=$C746)*(_ENGINE_Initiatives!$C$5:$C$532=$D746),0),0)),"")</f>
        <v>6-12 months</v>
      </c>
      <c r="AX746">
        <f>IF($B746="Yes",IFERROR((IF(SUMIFS(_REF_Model_Content!$E$1:$E$613,_REF_Model_Content!$A$1:$A$613,PV_Canonical_Industry,_REF_Model_Content!$B$1:$B$613,$C746)=0,1,SUMIFS(_REF_Model_Content!$E$1:$E$613,_REF_Model_Content!$A$1:$A$613,PV_Canonical_Industry,_REF_Model_Content!$B$1:$B$613,$C746))*IFERROR($BU746,1)),1),"")</f>
        <v>1</v>
      </c>
      <c r="AY746">
        <f t="shared" si="135"/>
        <v>17.2</v>
      </c>
      <c r="AZ746">
        <f t="shared" si="136"/>
        <v>1.25</v>
      </c>
      <c r="BB746" t="str">
        <f>IF($H746="","",IFERROR(INDEX(_ENGINE_Risk!$AE$5:$AE$499,MATCH($E746,_ENGINE_Risk!$A$5:$A$499,0)),"Medium"))</f>
        <v>Fast</v>
      </c>
      <c r="BC746">
        <f t="shared" si="137"/>
        <v>1.25</v>
      </c>
      <c r="BD746">
        <f t="shared" si="138"/>
        <v>1.25</v>
      </c>
      <c r="BF746">
        <f>IF(OR($H746="",$J746=""),"",IFERROR(VLOOKUP(ROUND($J746,0),_CONFIG_Model_Settings!$D$154:$E$158,2,0),""))</f>
        <v>0.5</v>
      </c>
      <c r="BG746">
        <f>IFERROR(IF(OR($H746="",$K746=""),"",ROUND('Company Profile'!$B$113*INDEX(_CONFIG_Model_Settings!$H$154:$H$158,MATCH(ROUND($K746,0),_CONFIG_Model_Settings!$G$154:$G$158,0)),0)),0)</f>
        <v>1875</v>
      </c>
      <c r="BH746">
        <f t="shared" si="139"/>
        <v>937.5</v>
      </c>
      <c r="BI746">
        <f t="shared" si="140"/>
        <v>937.5</v>
      </c>
      <c r="BJ746">
        <f>IF($E746="","",IFERROR(VLOOKUP($C746,_CONFIG_Risk_Calibration!$A$5:$H$21,2,FALSE),3))</f>
        <v>3</v>
      </c>
      <c r="BK746">
        <f>IF($E746="","",IFERROR(VLOOKUP($C746,_CONFIG_Risk_Calibration!$A$5:$H$21,3,FALSE),0))</f>
        <v>0</v>
      </c>
      <c r="BL746">
        <f>IF($E746="","",IFERROR(VLOOKUP($C746,_CONFIG_Risk_Calibration!$A$5:$H$21,4,FALSE),3))</f>
        <v>3</v>
      </c>
      <c r="BM746">
        <f>IF($E746="","",IFERROR(VLOOKUP($C746,_CONFIG_Risk_Calibration!$A$5:$H$21,5,FALSE),3))</f>
        <v>4</v>
      </c>
      <c r="BN746" t="str">
        <f>IF($E746="","",IFERROR(VLOOKUP($C746,_CONFIG_Risk_Calibration!$A$5:$H$21,6,FALSE),"No"))</f>
        <v>No</v>
      </c>
      <c r="BO746">
        <f>IF($E746="","",IFERROR(VLOOKUP($C746,_CONFIG_Risk_Calibration!$A$5:$H$21,7,FALSE),1))</f>
        <v>1</v>
      </c>
      <c r="BP746">
        <f>IF($H746="","",MAX(1,MIN(5,((6-$H746)*0.45)+($BJ746*0.2)+('Resilience &amp; Risk Scenario'!$B$7*0.15)+($BK746*0.1)+($BL746*0.05)+(IF($BB746="Fast",5,IF($BB746="Slow",1,3))*0.05))))</f>
        <v>3.7</v>
      </c>
      <c r="BQ746">
        <f t="shared" si="141"/>
        <v>4.6499999999999995</v>
      </c>
      <c r="BR746">
        <f t="shared" si="142"/>
        <v>17.21</v>
      </c>
      <c r="BS746">
        <f t="shared" si="143"/>
        <v>23.66</v>
      </c>
      <c r="BT746" t="str">
        <f>IFERROR(INDEX(_REF_Capability_Bridge!$D:$D,MATCH($C746&amp;"|"&amp;$D746,_REF_Capability_Bridge!$J:$J,0)),IFERROR(INDEX(_REF_Capability_Bridge!$D:$D,MATCH($C746&amp;"|",_REF_Capability_Bridge!$J:$J,0)),"CAP_GENERIC"))</f>
        <v>CAP_SUPPLIER_RESILIENCE</v>
      </c>
      <c r="BU746">
        <f>IFERROR(IFERROR(INDEX(_ENGINE_Relevance!$L:$L,MATCH($BT746,_ENGINE_Relevance!$B:$B,0)),1),1)</f>
        <v>1</v>
      </c>
      <c r="BV746" t="str">
        <f>IFERROR(INDEX(_REF_Capability_Bridge!$A:$A,MATCH($C746&amp;"|"&amp;$D746,_REF_Capability_Bridge!$J:$J,0)),IFERROR(INDEX(_REF_Capability_Bridge!$A:$A,MATCH($C746&amp;"|",_REF_Capability_Bridge!$J:$J,0)),"No bridge"))</f>
        <v>BRG-059</v>
      </c>
      <c r="BW746" t="str">
        <f t="shared" si="144"/>
        <v>Capability relevance neutral</v>
      </c>
      <c r="BX746" t="str">
        <f t="shared" si="145"/>
        <v>Initial / absent</v>
      </c>
      <c r="BY746" t="str">
        <f>IF($E746="","",IFERROR(INDEX(_REF_Treatment_Library!$A$2:$A$296,MATCH(1,INDEX((_REF_Treatment_Library!$B$2:$B$296=$BT746)*(_REF_Treatment_Library!$C$2:$C$296=PV_Canonical_Industry)*(_REF_Treatment_Library!$E$2:$E$296&lt;=N($H746))*(_REF_Treatment_Library!$F$2:$F$296&gt;=N($H746))*(_REF_Treatment_Library!$O$2:$O$296="Yes"),0),0)),IFERROR(INDEX(_REF_Treatment_Library!$A$2:$A$296,MATCH(1,INDEX((_REF_Treatment_Library!$B$2:$B$296=$BT746)*(_REF_Treatment_Library!$C$2:$C$296="All")*(_REF_Treatment_Library!$E$2:$E$296&lt;=N($H746))*(_REF_Treatment_Library!$F$2:$F$296&gt;=N($H746))*(_REF_Treatment_Library!$O$2:$O$296="Yes"),0),0)),"")))</f>
        <v>TRT-SUPPLIER_RESILIENCE-INITIAL</v>
      </c>
      <c r="BZ746" t="str">
        <f>IF($BY746="","",IFERROR(INDEX(_REF_Treatment_Library!$H$2:$H$296,MATCH($BY746,_REF_Treatment_Library!$A$2:$A$296,0)),""))</f>
        <v>Establish</v>
      </c>
      <c r="CA746" t="str">
        <f>IF($BY746="","",IFERROR(INDEX(_REF_Treatment_Library!$I$2:$I$296,MATCH($BY746,_REF_Treatment_Library!$A$2:$A$296,0)),""))</f>
        <v>Establish baseline controls for Supplier resilience</v>
      </c>
      <c r="CB746" t="str">
        <f>IF($BY746="","",IFERROR(INDEX(_REF_Treatment_Library!$K$2:$K$296,MATCH($BY746,_REF_Treatment_Library!$A$2:$A$296,0)),""))</f>
        <v>Named owner, baseline process, minimum control checklist, first evidence package</v>
      </c>
      <c r="CC746" t="str">
        <f>IF($BY746="","",IFERROR(INDEX(_REF_Treatment_Library!$L$2:$L$296,MATCH($BY746,_REF_Treatment_Library!$A$2:$A$296,0)),""))</f>
        <v>Owner assigned; baseline evidence coverage; open critical gaps</v>
      </c>
      <c r="CD746" t="str">
        <f t="shared" si="146"/>
        <v>Treatment by capability=CAP_SUPPLIER_RESILIENCE; band=Initial / absent; score=0.0; treatment=Establish</v>
      </c>
      <c r="CE746" t="str">
        <f>IF($E746="","",IFERROR(INDEX(_REF_Industry_Wording!$A$2:$A$70,MATCH(1,INDEX((_REF_Industry_Wording!$B$2:$B$70=$BT746)*(_REF_Industry_Wording!$C$2:$C$70=PV_Canonical_Industry)*(_REF_Industry_Wording!$K$2:$K$70="Yes"),0),0)),IFERROR(INDEX(_REF_Industry_Wording!$A$2:$A$70,MATCH(1,INDEX((_REF_Industry_Wording!$B$2:$B$70=$BT746)*(_REF_Industry_Wording!$C$2:$C$70="All")*(_REF_Industry_Wording!$K$2:$K$70="Yes"),0),0)),"")))</f>
        <v>IW-ALL-SUPPLIER_RESILIENCE</v>
      </c>
      <c r="CF746" t="str">
        <f>IF($CE746="","",IFERROR(INDEX(_REF_Industry_Wording!$E$2:$E$70,MATCH($CE746,_REF_Industry_Wording!$A$2:$A$70,0)),""))</f>
        <v>Supplier resilience weakness</v>
      </c>
      <c r="CG746" t="str">
        <f>IF($CE746="","",IFERROR(INDEX(_REF_Industry_Wording!$F$2:$F$70,MATCH($CE746,_REF_Industry_Wording!$A$2:$A$70,0)),""))</f>
        <v>Strengthen Supplier resilience</v>
      </c>
      <c r="CH746" t="str">
        <f>IF($CE746="","",IFERROR(INDEX(_REF_Industry_Wording!$G$2:$G$70,MATCH($CE746,_REF_Industry_Wording!$A$2:$A$70,0)),""))</f>
        <v>Strengthen Supplier resilience using the selected maturity treatment, crisis scenario and evidence requirements.</v>
      </c>
      <c r="CI746" t="str">
        <f>IF($CE746="","",IFERROR(INDEX(_REF_Industry_Wording!$H$2:$H$70,MATCH($CE746,_REF_Industry_Wording!$A$2:$A$70,0)),""))</f>
        <v>Supplier resilience</v>
      </c>
      <c r="CJ746">
        <f>IF($CE746="","",IFERROR(INDEX(_REF_Industry_Wording!$I$2:$I$70,MATCH($CE746,_REF_Industry_Wording!$A$2:$A$70,0)),""))</f>
        <v>0</v>
      </c>
      <c r="CK746" t="str">
        <f>IF($CE746="","",IFERROR(INDEX(_REF_Industry_Wording!$J$2:$J$70,MATCH($CE746,_REF_Industry_Wording!$A$2:$A$70,0)),""))</f>
        <v>Supplier resilience</v>
      </c>
      <c r="CL746" t="str">
        <f t="shared" si="147"/>
        <v>Wording by industry=0; capability=CAP_SUPPLIER_RESILIENCE; risk label=Supplier resilience weakness</v>
      </c>
      <c r="CM746" t="str">
        <f t="shared" si="148"/>
        <v>RISK-ONT-0247</v>
      </c>
      <c r="CN746" t="str">
        <f t="shared" si="149"/>
        <v>RISK-EVT-0247</v>
      </c>
      <c r="CO746" t="str">
        <f t="shared" si="150"/>
        <v>Manufacturing MES|Quality and safety|MANU-023|CAP_SUPPLIER_RESILIENCE</v>
      </c>
      <c r="CP746" t="str">
        <f t="shared" si="151"/>
        <v>Active</v>
      </c>
      <c r="CQ746" t="str">
        <f t="shared" si="152"/>
        <v>OK: capability-driven</v>
      </c>
      <c r="CR746" t="str">
        <f t="shared" si="153"/>
        <v>Risk ontology uses capability=CAP_SUPPLIER_RESILIENCE; bridge=BRG-059; treatment=TRT-SUPPLIER_RESILIENCE-INITIAL; wording=IW-ALL-SUPPLIER_RESILIENCE</v>
      </c>
      <c r="CS746" t="str">
        <f t="shared" si="154"/>
        <v>Yes</v>
      </c>
    </row>
    <row r="747" spans="1:97" ht="69.900000000000006" customHeight="1">
      <c r="A747">
        <f>IF(OR($B747&lt;&gt;"Yes",$BS747=""),"",SUMPRODUCT(($B$500:$B$923="Yes")*ISNUMBER($BS$500:$BS$923)*($BS$500:$BS$923&gt;$BS747))+COUNTIFS($B$500:$B747,"Yes",$BS$500:$BS747,$BS747))</f>
        <v>102</v>
      </c>
      <c r="B747" t="str">
        <f t="shared" si="123"/>
        <v>Yes</v>
      </c>
      <c r="C747" t="s">
        <v>2145</v>
      </c>
      <c r="D747" t="s">
        <v>2170</v>
      </c>
      <c r="E747" t="s">
        <v>2253</v>
      </c>
      <c r="F747" t="s">
        <v>3688</v>
      </c>
      <c r="G747" t="str">
        <f>IF($H747="","",IFERROR(INDEX(_ENGINE_Risk!$H$5:$M$499,MATCH($E747,_ENGINE_Risk!$A$5:$A$499,0),$H747+1),""))</f>
        <v>Severe risk: rework, scrap, yield loss and defect cost analysis is not reliably controlled. During Manufacturing disruption; Safety incident; Energy outage; Cyberattack, the organization may face production stoppage, quality defects, low asset visibility and inability to recover shop-floor operations with limited visibility or accountability.</v>
      </c>
      <c r="H747">
        <f>IFERROR(VALUE(INDEX(_DATA_Assessment_Model!$H$5:$H$884,MATCH($E747,_DATA_Assessment_Model!$A$5:$A$884,0))),"")</f>
        <v>0</v>
      </c>
      <c r="I747" t="str">
        <f>IF($H747="","",IFERROR(INDEX(_DATA_Assessment_Model!$L$5:$L$884,MATCH($E747,_DATA_Assessment_Model!$A$5:$A$884,0)),IF($H747&lt;=1,"Critical",IF($H747=2,"High",IF($H747=3,"Medium",IF($H747=4,"Low","Resilient"))))))</f>
        <v>Critical</v>
      </c>
      <c r="J747">
        <f t="shared" si="124"/>
        <v>3.7</v>
      </c>
      <c r="K747">
        <f t="shared" si="125"/>
        <v>4.25</v>
      </c>
      <c r="L747">
        <f t="shared" si="126"/>
        <v>15.725000000000001</v>
      </c>
      <c r="M747">
        <f t="shared" si="127"/>
        <v>4</v>
      </c>
      <c r="N747">
        <f>IF($H747="","",IFERROR(INDEX(_ENGINE_Risk!$T$5:$Y$499,MATCH($E747,_ENGINE_Risk!$A$5:$A$499,0),$H747+1),""))</f>
        <v>4</v>
      </c>
      <c r="O747">
        <f t="shared" si="128"/>
        <v>4.333333333333333</v>
      </c>
      <c r="P747">
        <f t="shared" si="129"/>
        <v>5</v>
      </c>
      <c r="Q747">
        <f t="shared" si="130"/>
        <v>5</v>
      </c>
      <c r="R747">
        <f t="shared" si="131"/>
        <v>5</v>
      </c>
      <c r="S747">
        <f t="shared" si="132"/>
        <v>1.21</v>
      </c>
      <c r="T747" t="str">
        <f>IF($H747="","",IFERROR(INDEX(_ENGINE_Risk!$N$5:$S$499,MATCH($E747,_ENGINE_Risk!$A$5:$A$499,0),$H747+1),""))</f>
        <v>Create an immediate risk owner, minimum control baseline and fallback procedure for rework, scrap, yield loss and defect cost analysis. Add it to the crisis risk register and collect first evidence.</v>
      </c>
      <c r="U747">
        <f>IFERROR(INDEX(_DATA_Assessment_Model!$G$5:$G$884,MATCH($E747,_DATA_Assessment_Model!$A$5:$A$884,0)),"")</f>
        <v>3</v>
      </c>
      <c r="V747">
        <f>IFERROR(INDEX(_DATA_Assessment_Model!$W$5:$W$884,MATCH($E747,_DATA_Assessment_Model!$A$5:$A$884,0)),"")</f>
        <v>5</v>
      </c>
      <c r="W747">
        <f>IFERROR(INDEX(_DATA_Assessment_Model!$X$5:$X$884,MATCH($E747,_DATA_Assessment_Model!$A$5:$A$884,0)),"")</f>
        <v>5</v>
      </c>
      <c r="X747">
        <f>IFERROR(INDEX(_DATA_Assessment_Model!$Y$5:$Y$884,MATCH($E747,_DATA_Assessment_Model!$A$5:$A$884,0)),"")</f>
        <v>5</v>
      </c>
      <c r="Y747" t="s">
        <v>2152</v>
      </c>
      <c r="Z747" t="s">
        <v>7780</v>
      </c>
      <c r="AA747" t="s">
        <v>2255</v>
      </c>
      <c r="AB747">
        <f>IFERROR(INDEX(_DATA_Assessment_Model!$U$5:$U$884,MATCH($E747,_DATA_Assessment_Model!$A$5:$A$884,0)),"")</f>
        <v>0</v>
      </c>
      <c r="AF747" t="s">
        <v>2254</v>
      </c>
      <c r="AO747">
        <f>IF($B747="Yes",IF(IFERROR(INDEX(_ENGINE_Crisis!$F$501:$F$517,MATCH($C747,_ENGINE_Crisis!$A$501:$A$517,0)),1)=0,1,IFERROR(INDEX(_ENGINE_Crisis!$F$501:$F$517,MATCH($C747,_ENGINE_Crisis!$A$501:$A$517,0)),1)),"")</f>
        <v>1</v>
      </c>
      <c r="AP747">
        <f t="shared" si="133"/>
        <v>15.7</v>
      </c>
      <c r="AQ747">
        <f t="shared" si="134"/>
        <v>1.21</v>
      </c>
      <c r="AR747" t="str">
        <f>IFERROR(INDEX(_ENGINE_Crisis!$E$41:$E$700,MATCH('Resilience &amp; Risk Scenario'!$B$6&amp;"|"&amp;$C747,_ENGINE_Crisis!$I$41:$I$700,0)),"")</f>
        <v/>
      </c>
      <c r="AS747" t="str">
        <f>IFERROR(INDEX(_ENGINE_Crisis!$G$41:$G$700,MATCH('Resilience &amp; Risk Scenario'!$B$6&amp;"|"&amp;$C747,_ENGINE_Crisis!$I$41:$I$700,0)),"")</f>
        <v/>
      </c>
      <c r="AT747" t="str">
        <f>IFERROR(INDEX(_ENGINE_Initiatives!$A$5:$A$532,MATCH(1,INDEX((_ENGINE_Initiatives!$B$5:$B$532=$C747)*(_ENGINE_Initiatives!$C$5:$C$532=$D747),0),0)),"")</f>
        <v>INI-039</v>
      </c>
      <c r="AU747" t="str">
        <f>IFERROR(INDEX(_ENGINE_Initiatives!$F$5:$F$532,MATCH(1,INDEX((_ENGINE_Initiatives!$B$5:$B$532=$C747)*(_ENGINE_Initiatives!$C$5:$C$532=$D747),0),0)),"")</f>
        <v>Strengthen manufacturing quality, safety and release controls</v>
      </c>
      <c r="AV747">
        <f>IFERROR(INDEX(_ENGINE_Initiatives!$AC$5:$AC$532,MATCH(1,INDEX((_ENGINE_Initiatives!$B$5:$B$532=$C747)*(_ENGINE_Initiatives!$C$5:$C$532=$D747),0),0)),"")</f>
        <v>1.38</v>
      </c>
      <c r="AW747" t="str">
        <f>IFERROR(INDEX(_ENGINE_Initiatives!$AE$5:$AE$532,MATCH(1,INDEX((_ENGINE_Initiatives!$B$5:$B$532=$C747)*(_ENGINE_Initiatives!$C$5:$C$532=$D747),0),0)),"")</f>
        <v>6-12 months</v>
      </c>
      <c r="AX747">
        <f>IF($B747="Yes",IFERROR((IF(SUMIFS(_REF_Model_Content!$E$1:$E$613,_REF_Model_Content!$A$1:$A$613,PV_Canonical_Industry,_REF_Model_Content!$B$1:$B$613,$C747)=0,1,SUMIFS(_REF_Model_Content!$E$1:$E$613,_REF_Model_Content!$A$1:$A$613,PV_Canonical_Industry,_REF_Model_Content!$B$1:$B$613,$C747))*IFERROR($BU747,1)),1),"")</f>
        <v>1</v>
      </c>
      <c r="AY747">
        <f t="shared" si="135"/>
        <v>15.7</v>
      </c>
      <c r="AZ747">
        <f t="shared" si="136"/>
        <v>1.21</v>
      </c>
      <c r="BB747" t="str">
        <f>IF($H747="","",IFERROR(INDEX(_ENGINE_Risk!$AE$5:$AE$499,MATCH($E747,_ENGINE_Risk!$A$5:$A$499,0)),"Medium"))</f>
        <v>Fast</v>
      </c>
      <c r="BC747">
        <f t="shared" si="137"/>
        <v>1.25</v>
      </c>
      <c r="BD747">
        <f t="shared" si="138"/>
        <v>1.21</v>
      </c>
      <c r="BF747">
        <f>IF(OR($H747="",$J747=""),"",IFERROR(VLOOKUP(ROUND($J747,0),_CONFIG_Model_Settings!$D$154:$E$158,2,0),""))</f>
        <v>0.5</v>
      </c>
      <c r="BG747">
        <f>IFERROR(IF(OR($H747="",$K747=""),"",ROUND('Company Profile'!$B$113*INDEX(_CONFIG_Model_Settings!$H$154:$H$158,MATCH(ROUND($K747,0),_CONFIG_Model_Settings!$G$154:$G$158,0)),0)),0)</f>
        <v>875</v>
      </c>
      <c r="BH747">
        <f t="shared" si="139"/>
        <v>437.5</v>
      </c>
      <c r="BI747">
        <f t="shared" si="140"/>
        <v>437.5</v>
      </c>
      <c r="BJ747">
        <f>IF($E747="","",IFERROR(VLOOKUP($C747,_CONFIG_Risk_Calibration!$A$5:$H$21,2,FALSE),3))</f>
        <v>3</v>
      </c>
      <c r="BK747">
        <f>IF($E747="","",IFERROR(VLOOKUP($C747,_CONFIG_Risk_Calibration!$A$5:$H$21,3,FALSE),0))</f>
        <v>0</v>
      </c>
      <c r="BL747">
        <f>IF($E747="","",IFERROR(VLOOKUP($C747,_CONFIG_Risk_Calibration!$A$5:$H$21,4,FALSE),3))</f>
        <v>3</v>
      </c>
      <c r="BM747">
        <f>IF($E747="","",IFERROR(VLOOKUP($C747,_CONFIG_Risk_Calibration!$A$5:$H$21,5,FALSE),3))</f>
        <v>4</v>
      </c>
      <c r="BN747" t="str">
        <f>IF($E747="","",IFERROR(VLOOKUP($C747,_CONFIG_Risk_Calibration!$A$5:$H$21,6,FALSE),"No"))</f>
        <v>No</v>
      </c>
      <c r="BO747">
        <f>IF($E747="","",IFERROR(VLOOKUP($C747,_CONFIG_Risk_Calibration!$A$5:$H$21,7,FALSE),1))</f>
        <v>1</v>
      </c>
      <c r="BP747">
        <f>IF($H747="","",MAX(1,MIN(5,((6-$H747)*0.45)+($BJ747*0.2)+('Resilience &amp; Risk Scenario'!$B$7*0.15)+($BK747*0.1)+($BL747*0.05)+(IF($BB747="Fast",5,IF($BB747="Slow",1,3))*0.05))))</f>
        <v>3.7</v>
      </c>
      <c r="BQ747">
        <f t="shared" si="141"/>
        <v>4.25</v>
      </c>
      <c r="BR747">
        <f t="shared" si="142"/>
        <v>15.73</v>
      </c>
      <c r="BS747">
        <f t="shared" si="143"/>
        <v>21.63</v>
      </c>
      <c r="BT747" t="str">
        <f>IFERROR(INDEX(_REF_Capability_Bridge!$D:$D,MATCH($C747&amp;"|"&amp;$D747,_REF_Capability_Bridge!$J:$J,0)),IFERROR(INDEX(_REF_Capability_Bridge!$D:$D,MATCH($C747&amp;"|",_REF_Capability_Bridge!$J:$J,0)),"CAP_GENERIC"))</f>
        <v>CAP_SUPPLIER_RESILIENCE</v>
      </c>
      <c r="BU747">
        <f>IFERROR(IFERROR(INDEX(_ENGINE_Relevance!$L:$L,MATCH($BT747,_ENGINE_Relevance!$B:$B,0)),1),1)</f>
        <v>1</v>
      </c>
      <c r="BV747" t="str">
        <f>IFERROR(INDEX(_REF_Capability_Bridge!$A:$A,MATCH($C747&amp;"|"&amp;$D747,_REF_Capability_Bridge!$J:$J,0)),IFERROR(INDEX(_REF_Capability_Bridge!$A:$A,MATCH($C747&amp;"|",_REF_Capability_Bridge!$J:$J,0)),"No bridge"))</f>
        <v>BRG-059</v>
      </c>
      <c r="BW747" t="str">
        <f t="shared" si="144"/>
        <v>Capability relevance neutral</v>
      </c>
      <c r="BX747" t="str">
        <f t="shared" si="145"/>
        <v>Initial / absent</v>
      </c>
      <c r="BY747" t="str">
        <f>IF($E747="","",IFERROR(INDEX(_REF_Treatment_Library!$A$2:$A$296,MATCH(1,INDEX((_REF_Treatment_Library!$B$2:$B$296=$BT747)*(_REF_Treatment_Library!$C$2:$C$296=PV_Canonical_Industry)*(_REF_Treatment_Library!$E$2:$E$296&lt;=N($H747))*(_REF_Treatment_Library!$F$2:$F$296&gt;=N($H747))*(_REF_Treatment_Library!$O$2:$O$296="Yes"),0),0)),IFERROR(INDEX(_REF_Treatment_Library!$A$2:$A$296,MATCH(1,INDEX((_REF_Treatment_Library!$B$2:$B$296=$BT747)*(_REF_Treatment_Library!$C$2:$C$296="All")*(_REF_Treatment_Library!$E$2:$E$296&lt;=N($H747))*(_REF_Treatment_Library!$F$2:$F$296&gt;=N($H747))*(_REF_Treatment_Library!$O$2:$O$296="Yes"),0),0)),"")))</f>
        <v>TRT-SUPPLIER_RESILIENCE-INITIAL</v>
      </c>
      <c r="BZ747" t="str">
        <f>IF($BY747="","",IFERROR(INDEX(_REF_Treatment_Library!$H$2:$H$296,MATCH($BY747,_REF_Treatment_Library!$A$2:$A$296,0)),""))</f>
        <v>Establish</v>
      </c>
      <c r="CA747" t="str">
        <f>IF($BY747="","",IFERROR(INDEX(_REF_Treatment_Library!$I$2:$I$296,MATCH($BY747,_REF_Treatment_Library!$A$2:$A$296,0)),""))</f>
        <v>Establish baseline controls for Supplier resilience</v>
      </c>
      <c r="CB747" t="str">
        <f>IF($BY747="","",IFERROR(INDEX(_REF_Treatment_Library!$K$2:$K$296,MATCH($BY747,_REF_Treatment_Library!$A$2:$A$296,0)),""))</f>
        <v>Named owner, baseline process, minimum control checklist, first evidence package</v>
      </c>
      <c r="CC747" t="str">
        <f>IF($BY747="","",IFERROR(INDEX(_REF_Treatment_Library!$L$2:$L$296,MATCH($BY747,_REF_Treatment_Library!$A$2:$A$296,0)),""))</f>
        <v>Owner assigned; baseline evidence coverage; open critical gaps</v>
      </c>
      <c r="CD747" t="str">
        <f t="shared" si="146"/>
        <v>Treatment by capability=CAP_SUPPLIER_RESILIENCE; band=Initial / absent; score=0.0; treatment=Establish</v>
      </c>
      <c r="CE747" t="str">
        <f>IF($E747="","",IFERROR(INDEX(_REF_Industry_Wording!$A$2:$A$70,MATCH(1,INDEX((_REF_Industry_Wording!$B$2:$B$70=$BT747)*(_REF_Industry_Wording!$C$2:$C$70=PV_Canonical_Industry)*(_REF_Industry_Wording!$K$2:$K$70="Yes"),0),0)),IFERROR(INDEX(_REF_Industry_Wording!$A$2:$A$70,MATCH(1,INDEX((_REF_Industry_Wording!$B$2:$B$70=$BT747)*(_REF_Industry_Wording!$C$2:$C$70="All")*(_REF_Industry_Wording!$K$2:$K$70="Yes"),0),0)),"")))</f>
        <v>IW-ALL-SUPPLIER_RESILIENCE</v>
      </c>
      <c r="CF747" t="str">
        <f>IF($CE747="","",IFERROR(INDEX(_REF_Industry_Wording!$E$2:$E$70,MATCH($CE747,_REF_Industry_Wording!$A$2:$A$70,0)),""))</f>
        <v>Supplier resilience weakness</v>
      </c>
      <c r="CG747" t="str">
        <f>IF($CE747="","",IFERROR(INDEX(_REF_Industry_Wording!$F$2:$F$70,MATCH($CE747,_REF_Industry_Wording!$A$2:$A$70,0)),""))</f>
        <v>Strengthen Supplier resilience</v>
      </c>
      <c r="CH747" t="str">
        <f>IF($CE747="","",IFERROR(INDEX(_REF_Industry_Wording!$G$2:$G$70,MATCH($CE747,_REF_Industry_Wording!$A$2:$A$70,0)),""))</f>
        <v>Strengthen Supplier resilience using the selected maturity treatment, crisis scenario and evidence requirements.</v>
      </c>
      <c r="CI747" t="str">
        <f>IF($CE747="","",IFERROR(INDEX(_REF_Industry_Wording!$H$2:$H$70,MATCH($CE747,_REF_Industry_Wording!$A$2:$A$70,0)),""))</f>
        <v>Supplier resilience</v>
      </c>
      <c r="CJ747">
        <f>IF($CE747="","",IFERROR(INDEX(_REF_Industry_Wording!$I$2:$I$70,MATCH($CE747,_REF_Industry_Wording!$A$2:$A$70,0)),""))</f>
        <v>0</v>
      </c>
      <c r="CK747" t="str">
        <f>IF($CE747="","",IFERROR(INDEX(_REF_Industry_Wording!$J$2:$J$70,MATCH($CE747,_REF_Industry_Wording!$A$2:$A$70,0)),""))</f>
        <v>Supplier resilience</v>
      </c>
      <c r="CL747" t="str">
        <f t="shared" si="147"/>
        <v>Wording by industry=0; capability=CAP_SUPPLIER_RESILIENCE; risk label=Supplier resilience weakness</v>
      </c>
      <c r="CM747" t="str">
        <f t="shared" si="148"/>
        <v>RISK-ONT-0248</v>
      </c>
      <c r="CN747" t="str">
        <f t="shared" si="149"/>
        <v>RISK-EVT-0248</v>
      </c>
      <c r="CO747" t="str">
        <f t="shared" si="150"/>
        <v>Manufacturing MES|Quality and safety|MANU-024|CAP_SUPPLIER_RESILIENCE</v>
      </c>
      <c r="CP747" t="str">
        <f t="shared" si="151"/>
        <v>Active</v>
      </c>
      <c r="CQ747" t="str">
        <f t="shared" si="152"/>
        <v>OK: capability-driven</v>
      </c>
      <c r="CR747" t="str">
        <f t="shared" si="153"/>
        <v>Risk ontology uses capability=CAP_SUPPLIER_RESILIENCE; bridge=BRG-059; treatment=TRT-SUPPLIER_RESILIENCE-INITIAL; wording=IW-ALL-SUPPLIER_RESILIENCE</v>
      </c>
      <c r="CS747" t="str">
        <f t="shared" si="154"/>
        <v>Yes</v>
      </c>
    </row>
    <row r="748" spans="1:97" ht="69.900000000000006" customHeight="1">
      <c r="A748">
        <f>IF(OR($B748&lt;&gt;"Yes",$BS748=""),"",SUMPRODUCT(($B$500:$B$923="Yes")*ISNUMBER($BS$500:$BS$923)*($BS$500:$BS$923&gt;$BS748))+COUNTIFS($B$500:$B748,"Yes",$BS$500:$BS748,$BS748))</f>
        <v>92</v>
      </c>
      <c r="B748" t="str">
        <f t="shared" si="123"/>
        <v>Yes</v>
      </c>
      <c r="C748" t="s">
        <v>2145</v>
      </c>
      <c r="D748" t="s">
        <v>2174</v>
      </c>
      <c r="E748" t="s">
        <v>2262</v>
      </c>
      <c r="F748" t="s">
        <v>3688</v>
      </c>
      <c r="G748" t="str">
        <f>IF($H748="","",IFERROR(INDEX(_ENGINE_Risk!$H$5:$M$499,MATCH($E748,_ENGINE_Risk!$A$5:$A$499,0),$H748+1),""))</f>
        <v>Severe risk: OT asset inventory for PLCs, SCADA, HMIs, industrial networks and engineering workstations is not reliably controlled. During Manufacturing disruption; Safety incident; Energy outage; Cyberattack, the organization may face production stoppage, quality defects, low asset visibility and inability to recover shop-floor operations with limited visibility or accountability.</v>
      </c>
      <c r="H748">
        <f>IFERROR(VALUE(INDEX(_DATA_Assessment_Model!$H$5:$H$884,MATCH($E748,_DATA_Assessment_Model!$A$5:$A$884,0))),"")</f>
        <v>0</v>
      </c>
      <c r="I748" t="str">
        <f>IF($H748="","",IFERROR(INDEX(_DATA_Assessment_Model!$L$5:$L$884,MATCH($E748,_DATA_Assessment_Model!$A$5:$A$884,0)),IF($H748&lt;=1,"Critical",IF($H748=2,"High",IF($H748=3,"Medium",IF($H748=4,"Low","Resilient"))))))</f>
        <v>Critical</v>
      </c>
      <c r="J748">
        <f t="shared" si="124"/>
        <v>3.7</v>
      </c>
      <c r="K748">
        <f t="shared" si="125"/>
        <v>4.4499999999999993</v>
      </c>
      <c r="L748">
        <f t="shared" si="126"/>
        <v>16.465</v>
      </c>
      <c r="M748">
        <f t="shared" si="127"/>
        <v>4</v>
      </c>
      <c r="N748">
        <f>IF($H748="","",IFERROR(INDEX(_ENGINE_Risk!$T$5:$Y$499,MATCH($E748,_ENGINE_Risk!$A$5:$A$499,0),$H748+1),""))</f>
        <v>4</v>
      </c>
      <c r="O748">
        <f t="shared" si="128"/>
        <v>4.666666666666667</v>
      </c>
      <c r="P748">
        <f t="shared" si="129"/>
        <v>5</v>
      </c>
      <c r="Q748">
        <f t="shared" si="130"/>
        <v>5</v>
      </c>
      <c r="R748">
        <f t="shared" si="131"/>
        <v>5</v>
      </c>
      <c r="S748">
        <f t="shared" si="132"/>
        <v>1.23</v>
      </c>
      <c r="T748" t="str">
        <f>IF($H748="","",IFERROR(INDEX(_ENGINE_Risk!$N$5:$S$499,MATCH($E748,_ENGINE_Risk!$A$5:$A$499,0),$H748+1),""))</f>
        <v>Create an immediate risk owner, minimum control baseline and fallback procedure for OT asset inventory for PLCs, SCADA, HMIs, industrial networks and engineering workstations. Add it to the crisis risk register and collect first evidence.</v>
      </c>
      <c r="U748">
        <f>IFERROR(INDEX(_DATA_Assessment_Model!$G$5:$G$884,MATCH($E748,_DATA_Assessment_Model!$A$5:$A$884,0)),"")</f>
        <v>4</v>
      </c>
      <c r="V748">
        <f>IFERROR(INDEX(_DATA_Assessment_Model!$W$5:$W$884,MATCH($E748,_DATA_Assessment_Model!$A$5:$A$884,0)),"")</f>
        <v>5</v>
      </c>
      <c r="W748">
        <f>IFERROR(INDEX(_DATA_Assessment_Model!$X$5:$X$884,MATCH($E748,_DATA_Assessment_Model!$A$5:$A$884,0)),"")</f>
        <v>5</v>
      </c>
      <c r="X748">
        <f>IFERROR(INDEX(_DATA_Assessment_Model!$Y$5:$Y$884,MATCH($E748,_DATA_Assessment_Model!$A$5:$A$884,0)),"")</f>
        <v>5</v>
      </c>
      <c r="Y748" t="s">
        <v>2152</v>
      </c>
      <c r="Z748" t="s">
        <v>7780</v>
      </c>
      <c r="AA748" t="s">
        <v>2264</v>
      </c>
      <c r="AB748">
        <f>IFERROR(INDEX(_DATA_Assessment_Model!$U$5:$U$884,MATCH($E748,_DATA_Assessment_Model!$A$5:$A$884,0)),"")</f>
        <v>0</v>
      </c>
      <c r="AF748" t="s">
        <v>2263</v>
      </c>
      <c r="AO748">
        <f>IF($B748="Yes",IF(IFERROR(INDEX(_ENGINE_Crisis!$F$501:$F$517,MATCH($C748,_ENGINE_Crisis!$A$501:$A$517,0)),1)=0,1,IFERROR(INDEX(_ENGINE_Crisis!$F$501:$F$517,MATCH($C748,_ENGINE_Crisis!$A$501:$A$517,0)),1)),"")</f>
        <v>1</v>
      </c>
      <c r="AP748">
        <f t="shared" si="133"/>
        <v>16.5</v>
      </c>
      <c r="AQ748">
        <f t="shared" si="134"/>
        <v>1.23</v>
      </c>
      <c r="AR748" t="str">
        <f>IFERROR(INDEX(_ENGINE_Crisis!$E$41:$E$700,MATCH('Resilience &amp; Risk Scenario'!$B$6&amp;"|"&amp;$C748,_ENGINE_Crisis!$I$41:$I$700,0)),"")</f>
        <v/>
      </c>
      <c r="AS748" t="str">
        <f>IFERROR(INDEX(_ENGINE_Crisis!$G$41:$G$700,MATCH('Resilience &amp; Risk Scenario'!$B$6&amp;"|"&amp;$C748,_ENGINE_Crisis!$I$41:$I$700,0)),"")</f>
        <v/>
      </c>
      <c r="AT748" t="str">
        <f>IFERROR(INDEX(_ENGINE_Initiatives!$A$5:$A$532,MATCH(1,INDEX((_ENGINE_Initiatives!$B$5:$B$532=$C748)*(_ENGINE_Initiatives!$C$5:$C$532=$D748),0),0)),"")</f>
        <v>INI-040</v>
      </c>
      <c r="AU748" t="str">
        <f>IFERROR(INDEX(_ENGINE_Initiatives!$F$5:$F$532,MATCH(1,INDEX((_ENGINE_Initiatives!$B$5:$B$532=$C748)*(_ENGINE_Initiatives!$C$5:$C$532=$D748),0),0)),"")</f>
        <v>Implement OT security and industrial network resilience controls</v>
      </c>
      <c r="AV748">
        <f>IFERROR(INDEX(_ENGINE_Initiatives!$AC$5:$AC$532,MATCH(1,INDEX((_ENGINE_Initiatives!$B$5:$B$532=$C748)*(_ENGINE_Initiatives!$C$5:$C$532=$D748),0),0)),"")</f>
        <v>1.36</v>
      </c>
      <c r="AW748" t="str">
        <f>IFERROR(INDEX(_ENGINE_Initiatives!$AE$5:$AE$532,MATCH(1,INDEX((_ENGINE_Initiatives!$B$5:$B$532=$C748)*(_ENGINE_Initiatives!$C$5:$C$532=$D748),0),0)),"")</f>
        <v>6-12 months</v>
      </c>
      <c r="AX748">
        <f>IF($B748="Yes",IFERROR((IF(SUMIFS(_REF_Model_Content!$E$1:$E$613,_REF_Model_Content!$A$1:$A$613,PV_Canonical_Industry,_REF_Model_Content!$B$1:$B$613,$C748)=0,1,SUMIFS(_REF_Model_Content!$E$1:$E$613,_REF_Model_Content!$A$1:$A$613,PV_Canonical_Industry,_REF_Model_Content!$B$1:$B$613,$C748))*IFERROR($BU748,1)),1),"")</f>
        <v>1</v>
      </c>
      <c r="AY748">
        <f t="shared" si="135"/>
        <v>16.5</v>
      </c>
      <c r="AZ748">
        <f t="shared" si="136"/>
        <v>1.23</v>
      </c>
      <c r="BB748" t="str">
        <f>IF($H748="","",IFERROR(INDEX(_ENGINE_Risk!$AE$5:$AE$499,MATCH($E748,_ENGINE_Risk!$A$5:$A$499,0)),"Medium"))</f>
        <v>Fast</v>
      </c>
      <c r="BC748">
        <f t="shared" si="137"/>
        <v>1.25</v>
      </c>
      <c r="BD748">
        <f t="shared" si="138"/>
        <v>1.23</v>
      </c>
      <c r="BF748">
        <f>IF(OR($H748="",$J748=""),"",IFERROR(VLOOKUP(ROUND($J748,0),_CONFIG_Model_Settings!$D$154:$E$158,2,0),""))</f>
        <v>0.5</v>
      </c>
      <c r="BG748">
        <f>IFERROR(IF(OR($H748="",$K748=""),"",ROUND('Company Profile'!$B$113*INDEX(_CONFIG_Model_Settings!$H$154:$H$158,MATCH(ROUND($K748,0),_CONFIG_Model_Settings!$G$154:$G$158,0)),0)),0)</f>
        <v>875</v>
      </c>
      <c r="BH748">
        <f t="shared" si="139"/>
        <v>437.5</v>
      </c>
      <c r="BI748">
        <f t="shared" si="140"/>
        <v>437.5</v>
      </c>
      <c r="BJ748">
        <f>IF($E748="","",IFERROR(VLOOKUP($C748,_CONFIG_Risk_Calibration!$A$5:$H$21,2,FALSE),3))</f>
        <v>3</v>
      </c>
      <c r="BK748">
        <f>IF($E748="","",IFERROR(VLOOKUP($C748,_CONFIG_Risk_Calibration!$A$5:$H$21,3,FALSE),0))</f>
        <v>0</v>
      </c>
      <c r="BL748">
        <f>IF($E748="","",IFERROR(VLOOKUP($C748,_CONFIG_Risk_Calibration!$A$5:$H$21,4,FALSE),3))</f>
        <v>3</v>
      </c>
      <c r="BM748">
        <f>IF($E748="","",IFERROR(VLOOKUP($C748,_CONFIG_Risk_Calibration!$A$5:$H$21,5,FALSE),3))</f>
        <v>4</v>
      </c>
      <c r="BN748" t="str">
        <f>IF($E748="","",IFERROR(VLOOKUP($C748,_CONFIG_Risk_Calibration!$A$5:$H$21,6,FALSE),"No"))</f>
        <v>No</v>
      </c>
      <c r="BO748">
        <f>IF($E748="","",IFERROR(VLOOKUP($C748,_CONFIG_Risk_Calibration!$A$5:$H$21,7,FALSE),1))</f>
        <v>1</v>
      </c>
      <c r="BP748">
        <f>IF($H748="","",MAX(1,MIN(5,((6-$H748)*0.45)+($BJ748*0.2)+('Resilience &amp; Risk Scenario'!$B$7*0.15)+($BK748*0.1)+($BL748*0.05)+(IF($BB748="Fast",5,IF($BB748="Slow",1,3))*0.05))))</f>
        <v>3.7</v>
      </c>
      <c r="BQ748">
        <f t="shared" si="141"/>
        <v>4.4499999999999993</v>
      </c>
      <c r="BR748">
        <f t="shared" si="142"/>
        <v>16.47</v>
      </c>
      <c r="BS748">
        <f t="shared" si="143"/>
        <v>22.65</v>
      </c>
      <c r="BT748" t="str">
        <f>IFERROR(INDEX(_REF_Capability_Bridge!$D:$D,MATCH($C748&amp;"|"&amp;$D748,_REF_Capability_Bridge!$J:$J,0)),IFERROR(INDEX(_REF_Capability_Bridge!$D:$D,MATCH($C748&amp;"|",_REF_Capability_Bridge!$J:$J,0)),"CAP_GENERIC"))</f>
        <v>CAP_INCIDENT_RESPONSE</v>
      </c>
      <c r="BU748">
        <f>IFERROR(IFERROR(INDEX(_ENGINE_Relevance!$L:$L,MATCH($BT748,_ENGINE_Relevance!$B:$B,0)),1),1)</f>
        <v>1</v>
      </c>
      <c r="BV748" t="str">
        <f>IFERROR(INDEX(_REF_Capability_Bridge!$A:$A,MATCH($C748&amp;"|"&amp;$D748,_REF_Capability_Bridge!$J:$J,0)),IFERROR(INDEX(_REF_Capability_Bridge!$A:$A,MATCH($C748&amp;"|",_REF_Capability_Bridge!$J:$J,0)),"No bridge"))</f>
        <v>BRG-057</v>
      </c>
      <c r="BW748" t="str">
        <f t="shared" si="144"/>
        <v>Capability relevance neutral</v>
      </c>
      <c r="BX748" t="str">
        <f t="shared" si="145"/>
        <v>Initial / absent</v>
      </c>
      <c r="BY748" t="str">
        <f>IF($E748="","",IFERROR(INDEX(_REF_Treatment_Library!$A$2:$A$296,MATCH(1,INDEX((_REF_Treatment_Library!$B$2:$B$296=$BT748)*(_REF_Treatment_Library!$C$2:$C$296=PV_Canonical_Industry)*(_REF_Treatment_Library!$E$2:$E$296&lt;=N($H748))*(_REF_Treatment_Library!$F$2:$F$296&gt;=N($H748))*(_REF_Treatment_Library!$O$2:$O$296="Yes"),0),0)),IFERROR(INDEX(_REF_Treatment_Library!$A$2:$A$296,MATCH(1,INDEX((_REF_Treatment_Library!$B$2:$B$296=$BT748)*(_REF_Treatment_Library!$C$2:$C$296="All")*(_REF_Treatment_Library!$E$2:$E$296&lt;=N($H748))*(_REF_Treatment_Library!$F$2:$F$296&gt;=N($H748))*(_REF_Treatment_Library!$O$2:$O$296="Yes"),0),0)),"")))</f>
        <v>TRT-INCIDENT_RESPONSE-INITIAL</v>
      </c>
      <c r="BZ748" t="str">
        <f>IF($BY748="","",IFERROR(INDEX(_REF_Treatment_Library!$H$2:$H$296,MATCH($BY748,_REF_Treatment_Library!$A$2:$A$296,0)),""))</f>
        <v>Establish</v>
      </c>
      <c r="CA748" t="str">
        <f>IF($BY748="","",IFERROR(INDEX(_REF_Treatment_Library!$I$2:$I$296,MATCH($BY748,_REF_Treatment_Library!$A$2:$A$296,0)),""))</f>
        <v>Establish baseline controls for Incident response</v>
      </c>
      <c r="CB748" t="str">
        <f>IF($BY748="","",IFERROR(INDEX(_REF_Treatment_Library!$K$2:$K$296,MATCH($BY748,_REF_Treatment_Library!$A$2:$A$296,0)),""))</f>
        <v>Named owner, baseline process, minimum control checklist, first evidence package</v>
      </c>
      <c r="CC748" t="str">
        <f>IF($BY748="","",IFERROR(INDEX(_REF_Treatment_Library!$L$2:$L$296,MATCH($BY748,_REF_Treatment_Library!$A$2:$A$296,0)),""))</f>
        <v>Owner assigned; baseline evidence coverage; open critical gaps</v>
      </c>
      <c r="CD748" t="str">
        <f t="shared" si="146"/>
        <v>Treatment by capability=CAP_INCIDENT_RESPONSE; band=Initial / absent; score=0.0; treatment=Establish</v>
      </c>
      <c r="CE748" t="str">
        <f>IF($E748="","",IFERROR(INDEX(_REF_Industry_Wording!$A$2:$A$70,MATCH(1,INDEX((_REF_Industry_Wording!$B$2:$B$70=$BT748)*(_REF_Industry_Wording!$C$2:$C$70=PV_Canonical_Industry)*(_REF_Industry_Wording!$K$2:$K$70="Yes"),0),0)),IFERROR(INDEX(_REF_Industry_Wording!$A$2:$A$70,MATCH(1,INDEX((_REF_Industry_Wording!$B$2:$B$70=$BT748)*(_REF_Industry_Wording!$C$2:$C$70="All")*(_REF_Industry_Wording!$K$2:$K$70="Yes"),0),0)),"")))</f>
        <v>IW-ALL-INCIDENT_RESPONSE</v>
      </c>
      <c r="CF748" t="str">
        <f>IF($CE748="","",IFERROR(INDEX(_REF_Industry_Wording!$E$2:$E$70,MATCH($CE748,_REF_Industry_Wording!$A$2:$A$70,0)),""))</f>
        <v>Incident response weakness</v>
      </c>
      <c r="CG748" t="str">
        <f>IF($CE748="","",IFERROR(INDEX(_REF_Industry_Wording!$F$2:$F$70,MATCH($CE748,_REF_Industry_Wording!$A$2:$A$70,0)),""))</f>
        <v>Strengthen Incident response</v>
      </c>
      <c r="CH748" t="str">
        <f>IF($CE748="","",IFERROR(INDEX(_REF_Industry_Wording!$G$2:$G$70,MATCH($CE748,_REF_Industry_Wording!$A$2:$A$70,0)),""))</f>
        <v>Strengthen Incident response using the selected maturity treatment, crisis scenario and evidence requirements.</v>
      </c>
      <c r="CI748" t="str">
        <f>IF($CE748="","",IFERROR(INDEX(_REF_Industry_Wording!$H$2:$H$70,MATCH($CE748,_REF_Industry_Wording!$A$2:$A$70,0)),""))</f>
        <v>Incident response</v>
      </c>
      <c r="CJ748">
        <f>IF($CE748="","",IFERROR(INDEX(_REF_Industry_Wording!$I$2:$I$70,MATCH($CE748,_REF_Industry_Wording!$A$2:$A$70,0)),""))</f>
        <v>0</v>
      </c>
      <c r="CK748" t="str">
        <f>IF($CE748="","",IFERROR(INDEX(_REF_Industry_Wording!$J$2:$J$70,MATCH($CE748,_REF_Industry_Wording!$A$2:$A$70,0)),""))</f>
        <v>Incident response</v>
      </c>
      <c r="CL748" t="str">
        <f t="shared" si="147"/>
        <v>Wording by industry=0; capability=CAP_INCIDENT_RESPONSE; risk label=Incident response weakness</v>
      </c>
      <c r="CM748" t="str">
        <f t="shared" si="148"/>
        <v>RISK-ONT-0249</v>
      </c>
      <c r="CN748" t="str">
        <f t="shared" si="149"/>
        <v>RISK-EVT-0249</v>
      </c>
      <c r="CO748" t="str">
        <f t="shared" si="150"/>
        <v>Manufacturing MES|OT security|MANU-025|CAP_INCIDENT_RESPONSE</v>
      </c>
      <c r="CP748" t="str">
        <f t="shared" si="151"/>
        <v>Active</v>
      </c>
      <c r="CQ748" t="str">
        <f t="shared" si="152"/>
        <v>OK: capability-driven</v>
      </c>
      <c r="CR748" t="str">
        <f t="shared" si="153"/>
        <v>Risk ontology uses capability=CAP_INCIDENT_RESPONSE; bridge=BRG-057; treatment=TRT-INCIDENT_RESPONSE-INITIAL; wording=IW-ALL-INCIDENT_RESPONSE</v>
      </c>
      <c r="CS748" t="str">
        <f t="shared" si="154"/>
        <v>Yes</v>
      </c>
    </row>
    <row r="749" spans="1:97" ht="69.900000000000006" customHeight="1">
      <c r="A749">
        <f>IF(OR($B749&lt;&gt;"Yes",$BS749=""),"",SUMPRODUCT(($B$500:$B$923="Yes")*ISNUMBER($BS$500:$BS$923)*($BS$500:$BS$923&gt;$BS749))+COUNTIFS($B$500:$B749,"Yes",$BS$500:$BS749,$BS749))</f>
        <v>93</v>
      </c>
      <c r="B749" t="str">
        <f t="shared" si="123"/>
        <v>Yes</v>
      </c>
      <c r="C749" t="s">
        <v>2145</v>
      </c>
      <c r="D749" t="s">
        <v>2174</v>
      </c>
      <c r="E749" t="s">
        <v>2271</v>
      </c>
      <c r="F749" t="s">
        <v>3688</v>
      </c>
      <c r="G749" t="str">
        <f>IF($H749="","",IFERROR(INDEX(_ENGINE_Risk!$H$5:$M$499,MATCH($E749,_ENGINE_Risk!$A$5:$A$499,0),$H749+1),""))</f>
        <v>Severe risk: OT network segmentation and secure remote access for vendors and maintenance is not reliably controlled. During Manufacturing disruption; Safety incident; Energy outage; Cyberattack, the organization may face production stoppage, quality defects, low asset visibility and inability to recover shop-floor operations with limited visibility or accountability.</v>
      </c>
      <c r="H749">
        <f>IFERROR(VALUE(INDEX(_DATA_Assessment_Model!$H$5:$H$884,MATCH($E749,_DATA_Assessment_Model!$A$5:$A$884,0))),"")</f>
        <v>0</v>
      </c>
      <c r="I749" t="str">
        <f>IF($H749="","",IFERROR(INDEX(_DATA_Assessment_Model!$L$5:$L$884,MATCH($E749,_DATA_Assessment_Model!$A$5:$A$884,0)),IF($H749&lt;=1,"Critical",IF($H749=2,"High",IF($H749=3,"Medium",IF($H749=4,"Low","Resilient"))))))</f>
        <v>Critical</v>
      </c>
      <c r="J749">
        <f t="shared" si="124"/>
        <v>3.7</v>
      </c>
      <c r="K749">
        <f t="shared" si="125"/>
        <v>4.4499999999999993</v>
      </c>
      <c r="L749">
        <f t="shared" si="126"/>
        <v>16.465</v>
      </c>
      <c r="M749">
        <f t="shared" si="127"/>
        <v>4</v>
      </c>
      <c r="N749">
        <f>IF($H749="","",IFERROR(INDEX(_ENGINE_Risk!$T$5:$Y$499,MATCH($E749,_ENGINE_Risk!$A$5:$A$499,0),$H749+1),""))</f>
        <v>4</v>
      </c>
      <c r="O749">
        <f t="shared" si="128"/>
        <v>4.666666666666667</v>
      </c>
      <c r="P749">
        <f t="shared" si="129"/>
        <v>5</v>
      </c>
      <c r="Q749">
        <f t="shared" si="130"/>
        <v>5</v>
      </c>
      <c r="R749">
        <f t="shared" si="131"/>
        <v>5</v>
      </c>
      <c r="S749">
        <f t="shared" si="132"/>
        <v>1.23</v>
      </c>
      <c r="T749" t="str">
        <f>IF($H749="","",IFERROR(INDEX(_ENGINE_Risk!$N$5:$S$499,MATCH($E749,_ENGINE_Risk!$A$5:$A$499,0),$H749+1),""))</f>
        <v>Create an immediate risk owner, minimum control baseline and fallback procedure for OT network segmentation and secure remote access for vendors and maintenance. Add it to the crisis risk register and collect first evidence.</v>
      </c>
      <c r="U749">
        <f>IFERROR(INDEX(_DATA_Assessment_Model!$G$5:$G$884,MATCH($E749,_DATA_Assessment_Model!$A$5:$A$884,0)),"")</f>
        <v>4</v>
      </c>
      <c r="V749">
        <f>IFERROR(INDEX(_DATA_Assessment_Model!$W$5:$W$884,MATCH($E749,_DATA_Assessment_Model!$A$5:$A$884,0)),"")</f>
        <v>5</v>
      </c>
      <c r="W749">
        <f>IFERROR(INDEX(_DATA_Assessment_Model!$X$5:$X$884,MATCH($E749,_DATA_Assessment_Model!$A$5:$A$884,0)),"")</f>
        <v>5</v>
      </c>
      <c r="X749">
        <f>IFERROR(INDEX(_DATA_Assessment_Model!$Y$5:$Y$884,MATCH($E749,_DATA_Assessment_Model!$A$5:$A$884,0)),"")</f>
        <v>5</v>
      </c>
      <c r="Y749" t="s">
        <v>2152</v>
      </c>
      <c r="Z749" t="s">
        <v>7780</v>
      </c>
      <c r="AA749" t="s">
        <v>2273</v>
      </c>
      <c r="AB749">
        <f>IFERROR(INDEX(_DATA_Assessment_Model!$U$5:$U$884,MATCH($E749,_DATA_Assessment_Model!$A$5:$A$884,0)),"")</f>
        <v>0</v>
      </c>
      <c r="AF749" t="s">
        <v>2272</v>
      </c>
      <c r="AO749">
        <f>IF($B749="Yes",IF(IFERROR(INDEX(_ENGINE_Crisis!$F$501:$F$517,MATCH($C749,_ENGINE_Crisis!$A$501:$A$517,0)),1)=0,1,IFERROR(INDEX(_ENGINE_Crisis!$F$501:$F$517,MATCH($C749,_ENGINE_Crisis!$A$501:$A$517,0)),1)),"")</f>
        <v>1</v>
      </c>
      <c r="AP749">
        <f t="shared" si="133"/>
        <v>16.5</v>
      </c>
      <c r="AQ749">
        <f t="shared" si="134"/>
        <v>1.23</v>
      </c>
      <c r="AR749" t="str">
        <f>IFERROR(INDEX(_ENGINE_Crisis!$E$41:$E$700,MATCH('Resilience &amp; Risk Scenario'!$B$6&amp;"|"&amp;$C749,_ENGINE_Crisis!$I$41:$I$700,0)),"")</f>
        <v/>
      </c>
      <c r="AS749" t="str">
        <f>IFERROR(INDEX(_ENGINE_Crisis!$G$41:$G$700,MATCH('Resilience &amp; Risk Scenario'!$B$6&amp;"|"&amp;$C749,_ENGINE_Crisis!$I$41:$I$700,0)),"")</f>
        <v/>
      </c>
      <c r="AT749" t="str">
        <f>IFERROR(INDEX(_ENGINE_Initiatives!$A$5:$A$532,MATCH(1,INDEX((_ENGINE_Initiatives!$B$5:$B$532=$C749)*(_ENGINE_Initiatives!$C$5:$C$532=$D749),0),0)),"")</f>
        <v>INI-040</v>
      </c>
      <c r="AU749" t="str">
        <f>IFERROR(INDEX(_ENGINE_Initiatives!$F$5:$F$532,MATCH(1,INDEX((_ENGINE_Initiatives!$B$5:$B$532=$C749)*(_ENGINE_Initiatives!$C$5:$C$532=$D749),0),0)),"")</f>
        <v>Implement OT security and industrial network resilience controls</v>
      </c>
      <c r="AV749">
        <f>IFERROR(INDEX(_ENGINE_Initiatives!$AC$5:$AC$532,MATCH(1,INDEX((_ENGINE_Initiatives!$B$5:$B$532=$C749)*(_ENGINE_Initiatives!$C$5:$C$532=$D749),0),0)),"")</f>
        <v>1.36</v>
      </c>
      <c r="AW749" t="str">
        <f>IFERROR(INDEX(_ENGINE_Initiatives!$AE$5:$AE$532,MATCH(1,INDEX((_ENGINE_Initiatives!$B$5:$B$532=$C749)*(_ENGINE_Initiatives!$C$5:$C$532=$D749),0),0)),"")</f>
        <v>6-12 months</v>
      </c>
      <c r="AX749">
        <f>IF($B749="Yes",IFERROR((IF(SUMIFS(_REF_Model_Content!$E$1:$E$613,_REF_Model_Content!$A$1:$A$613,PV_Canonical_Industry,_REF_Model_Content!$B$1:$B$613,$C749)=0,1,SUMIFS(_REF_Model_Content!$E$1:$E$613,_REF_Model_Content!$A$1:$A$613,PV_Canonical_Industry,_REF_Model_Content!$B$1:$B$613,$C749))*IFERROR($BU749,1)),1),"")</f>
        <v>1</v>
      </c>
      <c r="AY749">
        <f t="shared" si="135"/>
        <v>16.5</v>
      </c>
      <c r="AZ749">
        <f t="shared" si="136"/>
        <v>1.23</v>
      </c>
      <c r="BB749" t="str">
        <f>IF($H749="","",IFERROR(INDEX(_ENGINE_Risk!$AE$5:$AE$499,MATCH($E749,_ENGINE_Risk!$A$5:$A$499,0)),"Medium"))</f>
        <v>Fast</v>
      </c>
      <c r="BC749">
        <f t="shared" si="137"/>
        <v>1.25</v>
      </c>
      <c r="BD749">
        <f t="shared" si="138"/>
        <v>1.23</v>
      </c>
      <c r="BF749">
        <f>IF(OR($H749="",$J749=""),"",IFERROR(VLOOKUP(ROUND($J749,0),_CONFIG_Model_Settings!$D$154:$E$158,2,0),""))</f>
        <v>0.5</v>
      </c>
      <c r="BG749">
        <f>IFERROR(IF(OR($H749="",$K749=""),"",ROUND('Company Profile'!$B$113*INDEX(_CONFIG_Model_Settings!$H$154:$H$158,MATCH(ROUND($K749,0),_CONFIG_Model_Settings!$G$154:$G$158,0)),0)),0)</f>
        <v>875</v>
      </c>
      <c r="BH749">
        <f t="shared" si="139"/>
        <v>437.5</v>
      </c>
      <c r="BI749">
        <f t="shared" si="140"/>
        <v>437.5</v>
      </c>
      <c r="BJ749">
        <f>IF($E749="","",IFERROR(VLOOKUP($C749,_CONFIG_Risk_Calibration!$A$5:$H$21,2,FALSE),3))</f>
        <v>3</v>
      </c>
      <c r="BK749">
        <f>IF($E749="","",IFERROR(VLOOKUP($C749,_CONFIG_Risk_Calibration!$A$5:$H$21,3,FALSE),0))</f>
        <v>0</v>
      </c>
      <c r="BL749">
        <f>IF($E749="","",IFERROR(VLOOKUP($C749,_CONFIG_Risk_Calibration!$A$5:$H$21,4,FALSE),3))</f>
        <v>3</v>
      </c>
      <c r="BM749">
        <f>IF($E749="","",IFERROR(VLOOKUP($C749,_CONFIG_Risk_Calibration!$A$5:$H$21,5,FALSE),3))</f>
        <v>4</v>
      </c>
      <c r="BN749" t="str">
        <f>IF($E749="","",IFERROR(VLOOKUP($C749,_CONFIG_Risk_Calibration!$A$5:$H$21,6,FALSE),"No"))</f>
        <v>No</v>
      </c>
      <c r="BO749">
        <f>IF($E749="","",IFERROR(VLOOKUP($C749,_CONFIG_Risk_Calibration!$A$5:$H$21,7,FALSE),1))</f>
        <v>1</v>
      </c>
      <c r="BP749">
        <f>IF($H749="","",MAX(1,MIN(5,((6-$H749)*0.45)+($BJ749*0.2)+('Resilience &amp; Risk Scenario'!$B$7*0.15)+($BK749*0.1)+($BL749*0.05)+(IF($BB749="Fast",5,IF($BB749="Slow",1,3))*0.05))))</f>
        <v>3.7</v>
      </c>
      <c r="BQ749">
        <f t="shared" si="141"/>
        <v>4.4499999999999993</v>
      </c>
      <c r="BR749">
        <f t="shared" si="142"/>
        <v>16.47</v>
      </c>
      <c r="BS749">
        <f t="shared" si="143"/>
        <v>22.65</v>
      </c>
      <c r="BT749" t="str">
        <f>IFERROR(INDEX(_REF_Capability_Bridge!$D:$D,MATCH($C749&amp;"|"&amp;$D749,_REF_Capability_Bridge!$J:$J,0)),IFERROR(INDEX(_REF_Capability_Bridge!$D:$D,MATCH($C749&amp;"|",_REF_Capability_Bridge!$J:$J,0)),"CAP_GENERIC"))</f>
        <v>CAP_INCIDENT_RESPONSE</v>
      </c>
      <c r="BU749">
        <f>IFERROR(IFERROR(INDEX(_ENGINE_Relevance!$L:$L,MATCH($BT749,_ENGINE_Relevance!$B:$B,0)),1),1)</f>
        <v>1</v>
      </c>
      <c r="BV749" t="str">
        <f>IFERROR(INDEX(_REF_Capability_Bridge!$A:$A,MATCH($C749&amp;"|"&amp;$D749,_REF_Capability_Bridge!$J:$J,0)),IFERROR(INDEX(_REF_Capability_Bridge!$A:$A,MATCH($C749&amp;"|",_REF_Capability_Bridge!$J:$J,0)),"No bridge"))</f>
        <v>BRG-057</v>
      </c>
      <c r="BW749" t="str">
        <f t="shared" si="144"/>
        <v>Capability relevance neutral</v>
      </c>
      <c r="BX749" t="str">
        <f t="shared" si="145"/>
        <v>Initial / absent</v>
      </c>
      <c r="BY749" t="str">
        <f>IF($E749="","",IFERROR(INDEX(_REF_Treatment_Library!$A$2:$A$296,MATCH(1,INDEX((_REF_Treatment_Library!$B$2:$B$296=$BT749)*(_REF_Treatment_Library!$C$2:$C$296=PV_Canonical_Industry)*(_REF_Treatment_Library!$E$2:$E$296&lt;=N($H749))*(_REF_Treatment_Library!$F$2:$F$296&gt;=N($H749))*(_REF_Treatment_Library!$O$2:$O$296="Yes"),0),0)),IFERROR(INDEX(_REF_Treatment_Library!$A$2:$A$296,MATCH(1,INDEX((_REF_Treatment_Library!$B$2:$B$296=$BT749)*(_REF_Treatment_Library!$C$2:$C$296="All")*(_REF_Treatment_Library!$E$2:$E$296&lt;=N($H749))*(_REF_Treatment_Library!$F$2:$F$296&gt;=N($H749))*(_REF_Treatment_Library!$O$2:$O$296="Yes"),0),0)),"")))</f>
        <v>TRT-INCIDENT_RESPONSE-INITIAL</v>
      </c>
      <c r="BZ749" t="str">
        <f>IF($BY749="","",IFERROR(INDEX(_REF_Treatment_Library!$H$2:$H$296,MATCH($BY749,_REF_Treatment_Library!$A$2:$A$296,0)),""))</f>
        <v>Establish</v>
      </c>
      <c r="CA749" t="str">
        <f>IF($BY749="","",IFERROR(INDEX(_REF_Treatment_Library!$I$2:$I$296,MATCH($BY749,_REF_Treatment_Library!$A$2:$A$296,0)),""))</f>
        <v>Establish baseline controls for Incident response</v>
      </c>
      <c r="CB749" t="str">
        <f>IF($BY749="","",IFERROR(INDEX(_REF_Treatment_Library!$K$2:$K$296,MATCH($BY749,_REF_Treatment_Library!$A$2:$A$296,0)),""))</f>
        <v>Named owner, baseline process, minimum control checklist, first evidence package</v>
      </c>
      <c r="CC749" t="str">
        <f>IF($BY749="","",IFERROR(INDEX(_REF_Treatment_Library!$L$2:$L$296,MATCH($BY749,_REF_Treatment_Library!$A$2:$A$296,0)),""))</f>
        <v>Owner assigned; baseline evidence coverage; open critical gaps</v>
      </c>
      <c r="CD749" t="str">
        <f t="shared" si="146"/>
        <v>Treatment by capability=CAP_INCIDENT_RESPONSE; band=Initial / absent; score=0.0; treatment=Establish</v>
      </c>
      <c r="CE749" t="str">
        <f>IF($E749="","",IFERROR(INDEX(_REF_Industry_Wording!$A$2:$A$70,MATCH(1,INDEX((_REF_Industry_Wording!$B$2:$B$70=$BT749)*(_REF_Industry_Wording!$C$2:$C$70=PV_Canonical_Industry)*(_REF_Industry_Wording!$K$2:$K$70="Yes"),0),0)),IFERROR(INDEX(_REF_Industry_Wording!$A$2:$A$70,MATCH(1,INDEX((_REF_Industry_Wording!$B$2:$B$70=$BT749)*(_REF_Industry_Wording!$C$2:$C$70="All")*(_REF_Industry_Wording!$K$2:$K$70="Yes"),0),0)),"")))</f>
        <v>IW-ALL-INCIDENT_RESPONSE</v>
      </c>
      <c r="CF749" t="str">
        <f>IF($CE749="","",IFERROR(INDEX(_REF_Industry_Wording!$E$2:$E$70,MATCH($CE749,_REF_Industry_Wording!$A$2:$A$70,0)),""))</f>
        <v>Incident response weakness</v>
      </c>
      <c r="CG749" t="str">
        <f>IF($CE749="","",IFERROR(INDEX(_REF_Industry_Wording!$F$2:$F$70,MATCH($CE749,_REF_Industry_Wording!$A$2:$A$70,0)),""))</f>
        <v>Strengthen Incident response</v>
      </c>
      <c r="CH749" t="str">
        <f>IF($CE749="","",IFERROR(INDEX(_REF_Industry_Wording!$G$2:$G$70,MATCH($CE749,_REF_Industry_Wording!$A$2:$A$70,0)),""))</f>
        <v>Strengthen Incident response using the selected maturity treatment, crisis scenario and evidence requirements.</v>
      </c>
      <c r="CI749" t="str">
        <f>IF($CE749="","",IFERROR(INDEX(_REF_Industry_Wording!$H$2:$H$70,MATCH($CE749,_REF_Industry_Wording!$A$2:$A$70,0)),""))</f>
        <v>Incident response</v>
      </c>
      <c r="CJ749">
        <f>IF($CE749="","",IFERROR(INDEX(_REF_Industry_Wording!$I$2:$I$70,MATCH($CE749,_REF_Industry_Wording!$A$2:$A$70,0)),""))</f>
        <v>0</v>
      </c>
      <c r="CK749" t="str">
        <f>IF($CE749="","",IFERROR(INDEX(_REF_Industry_Wording!$J$2:$J$70,MATCH($CE749,_REF_Industry_Wording!$A$2:$A$70,0)),""))</f>
        <v>Incident response</v>
      </c>
      <c r="CL749" t="str">
        <f t="shared" si="147"/>
        <v>Wording by industry=0; capability=CAP_INCIDENT_RESPONSE; risk label=Incident response weakness</v>
      </c>
      <c r="CM749" t="str">
        <f t="shared" si="148"/>
        <v>RISK-ONT-0250</v>
      </c>
      <c r="CN749" t="str">
        <f t="shared" si="149"/>
        <v>RISK-EVT-0250</v>
      </c>
      <c r="CO749" t="str">
        <f t="shared" si="150"/>
        <v>Manufacturing MES|OT security|MANU-026|CAP_INCIDENT_RESPONSE</v>
      </c>
      <c r="CP749" t="str">
        <f t="shared" si="151"/>
        <v>Active</v>
      </c>
      <c r="CQ749" t="str">
        <f t="shared" si="152"/>
        <v>OK: capability-driven</v>
      </c>
      <c r="CR749" t="str">
        <f t="shared" si="153"/>
        <v>Risk ontology uses capability=CAP_INCIDENT_RESPONSE; bridge=BRG-057; treatment=TRT-INCIDENT_RESPONSE-INITIAL; wording=IW-ALL-INCIDENT_RESPONSE</v>
      </c>
      <c r="CS749" t="str">
        <f t="shared" si="154"/>
        <v>Yes</v>
      </c>
    </row>
    <row r="750" spans="1:97" ht="69.900000000000006" customHeight="1">
      <c r="A750">
        <f>IF(OR($B750&lt;&gt;"Yes",$BS750=""),"",SUMPRODUCT(($B$500:$B$923="Yes")*ISNUMBER($BS$500:$BS$923)*($BS$500:$BS$923&gt;$BS750))+COUNTIFS($B$500:$B750,"Yes",$BS$500:$BS750,$BS750))</f>
        <v>61</v>
      </c>
      <c r="B750" t="str">
        <f t="shared" si="123"/>
        <v>Yes</v>
      </c>
      <c r="C750" t="s">
        <v>2145</v>
      </c>
      <c r="D750" t="s">
        <v>2174</v>
      </c>
      <c r="E750" t="s">
        <v>2280</v>
      </c>
      <c r="F750" t="s">
        <v>3688</v>
      </c>
      <c r="G750" t="str">
        <f>IF($H750="","",IFERROR(INDEX(_ENGINE_Risk!$H$5:$M$499,MATCH($E750,_ENGINE_Risk!$A$5:$A$499,0),$H750+1),""))</f>
        <v>Severe risk: PLC, HMI, SCADA and recipe configuration backup and restore testing is not reliably controlled. During Manufacturing disruption; Safety incident; Energy outage; Cyberattack, the organization may face production stoppage, quality defects, low asset visibility and inability to recover shop-floor operations with limited visibility or accountability.</v>
      </c>
      <c r="H750">
        <f>IFERROR(VALUE(INDEX(_DATA_Assessment_Model!$H$5:$H$884,MATCH($E750,_DATA_Assessment_Model!$A$5:$A$884,0))),"")</f>
        <v>0</v>
      </c>
      <c r="I750" t="str">
        <f>IF($H750="","",IFERROR(INDEX(_DATA_Assessment_Model!$L$5:$L$884,MATCH($E750,_DATA_Assessment_Model!$A$5:$A$884,0)),IF($H750&lt;=1,"Critical",IF($H750=2,"High",IF($H750=3,"Medium",IF($H750=4,"Low","Resilient"))))))</f>
        <v>Critical</v>
      </c>
      <c r="J750">
        <f t="shared" si="124"/>
        <v>3.7</v>
      </c>
      <c r="K750">
        <f t="shared" si="125"/>
        <v>4.6499999999999995</v>
      </c>
      <c r="L750">
        <f t="shared" si="126"/>
        <v>17.204999999999998</v>
      </c>
      <c r="M750">
        <f t="shared" si="127"/>
        <v>4</v>
      </c>
      <c r="N750">
        <f>IF($H750="","",IFERROR(INDEX(_ENGINE_Risk!$T$5:$Y$499,MATCH($E750,_ENGINE_Risk!$A$5:$A$499,0),$H750+1),""))</f>
        <v>4</v>
      </c>
      <c r="O750">
        <f t="shared" si="128"/>
        <v>5</v>
      </c>
      <c r="P750">
        <f t="shared" si="129"/>
        <v>5</v>
      </c>
      <c r="Q750">
        <f t="shared" si="130"/>
        <v>5</v>
      </c>
      <c r="R750">
        <f t="shared" si="131"/>
        <v>5</v>
      </c>
      <c r="S750">
        <f t="shared" si="132"/>
        <v>1.25</v>
      </c>
      <c r="T750" t="str">
        <f>IF($H750="","",IFERROR(INDEX(_ENGINE_Risk!$N$5:$S$499,MATCH($E750,_ENGINE_Risk!$A$5:$A$499,0),$H750+1),""))</f>
        <v>Create an immediate risk owner, minimum control baseline and fallback procedure for PLC, HMI, SCADA and recipe configuration backup and restore testing. Add it to the crisis risk register and collect first evidence.</v>
      </c>
      <c r="U750">
        <f>IFERROR(INDEX(_DATA_Assessment_Model!$G$5:$G$884,MATCH($E750,_DATA_Assessment_Model!$A$5:$A$884,0)),"")</f>
        <v>5</v>
      </c>
      <c r="V750">
        <f>IFERROR(INDEX(_DATA_Assessment_Model!$W$5:$W$884,MATCH($E750,_DATA_Assessment_Model!$A$5:$A$884,0)),"")</f>
        <v>5</v>
      </c>
      <c r="W750">
        <f>IFERROR(INDEX(_DATA_Assessment_Model!$X$5:$X$884,MATCH($E750,_DATA_Assessment_Model!$A$5:$A$884,0)),"")</f>
        <v>5</v>
      </c>
      <c r="X750">
        <f>IFERROR(INDEX(_DATA_Assessment_Model!$Y$5:$Y$884,MATCH($E750,_DATA_Assessment_Model!$A$5:$A$884,0)),"")</f>
        <v>5</v>
      </c>
      <c r="Y750" t="s">
        <v>2152</v>
      </c>
      <c r="Z750" t="s">
        <v>7780</v>
      </c>
      <c r="AA750" t="s">
        <v>2282</v>
      </c>
      <c r="AB750">
        <f>IFERROR(INDEX(_DATA_Assessment_Model!$U$5:$U$884,MATCH($E750,_DATA_Assessment_Model!$A$5:$A$884,0)),"")</f>
        <v>0</v>
      </c>
      <c r="AF750" t="s">
        <v>2281</v>
      </c>
      <c r="AO750">
        <f>IF($B750="Yes",IF(IFERROR(INDEX(_ENGINE_Crisis!$F$501:$F$517,MATCH($C750,_ENGINE_Crisis!$A$501:$A$517,0)),1)=0,1,IFERROR(INDEX(_ENGINE_Crisis!$F$501:$F$517,MATCH($C750,_ENGINE_Crisis!$A$501:$A$517,0)),1)),"")</f>
        <v>1</v>
      </c>
      <c r="AP750">
        <f t="shared" si="133"/>
        <v>17.2</v>
      </c>
      <c r="AQ750">
        <f t="shared" si="134"/>
        <v>1.25</v>
      </c>
      <c r="AR750" t="str">
        <f>IFERROR(INDEX(_ENGINE_Crisis!$E$41:$E$700,MATCH('Resilience &amp; Risk Scenario'!$B$6&amp;"|"&amp;$C750,_ENGINE_Crisis!$I$41:$I$700,0)),"")</f>
        <v/>
      </c>
      <c r="AS750" t="str">
        <f>IFERROR(INDEX(_ENGINE_Crisis!$G$41:$G$700,MATCH('Resilience &amp; Risk Scenario'!$B$6&amp;"|"&amp;$C750,_ENGINE_Crisis!$I$41:$I$700,0)),"")</f>
        <v/>
      </c>
      <c r="AT750" t="str">
        <f>IFERROR(INDEX(_ENGINE_Initiatives!$A$5:$A$532,MATCH(1,INDEX((_ENGINE_Initiatives!$B$5:$B$532=$C750)*(_ENGINE_Initiatives!$C$5:$C$532=$D750),0),0)),"")</f>
        <v>INI-040</v>
      </c>
      <c r="AU750" t="str">
        <f>IFERROR(INDEX(_ENGINE_Initiatives!$F$5:$F$532,MATCH(1,INDEX((_ENGINE_Initiatives!$B$5:$B$532=$C750)*(_ENGINE_Initiatives!$C$5:$C$532=$D750),0),0)),"")</f>
        <v>Implement OT security and industrial network resilience controls</v>
      </c>
      <c r="AV750">
        <f>IFERROR(INDEX(_ENGINE_Initiatives!$AC$5:$AC$532,MATCH(1,INDEX((_ENGINE_Initiatives!$B$5:$B$532=$C750)*(_ENGINE_Initiatives!$C$5:$C$532=$D750),0),0)),"")</f>
        <v>1.36</v>
      </c>
      <c r="AW750" t="str">
        <f>IFERROR(INDEX(_ENGINE_Initiatives!$AE$5:$AE$532,MATCH(1,INDEX((_ENGINE_Initiatives!$B$5:$B$532=$C750)*(_ENGINE_Initiatives!$C$5:$C$532=$D750),0),0)),"")</f>
        <v>6-12 months</v>
      </c>
      <c r="AX750">
        <f>IF($B750="Yes",IFERROR((IF(SUMIFS(_REF_Model_Content!$E$1:$E$613,_REF_Model_Content!$A$1:$A$613,PV_Canonical_Industry,_REF_Model_Content!$B$1:$B$613,$C750)=0,1,SUMIFS(_REF_Model_Content!$E$1:$E$613,_REF_Model_Content!$A$1:$A$613,PV_Canonical_Industry,_REF_Model_Content!$B$1:$B$613,$C750))*IFERROR($BU750,1)),1),"")</f>
        <v>1</v>
      </c>
      <c r="AY750">
        <f t="shared" si="135"/>
        <v>17.2</v>
      </c>
      <c r="AZ750">
        <f t="shared" si="136"/>
        <v>1.25</v>
      </c>
      <c r="BB750" t="str">
        <f>IF($H750="","",IFERROR(INDEX(_ENGINE_Risk!$AE$5:$AE$499,MATCH($E750,_ENGINE_Risk!$A$5:$A$499,0)),"Medium"))</f>
        <v>Fast</v>
      </c>
      <c r="BC750">
        <f t="shared" si="137"/>
        <v>1.25</v>
      </c>
      <c r="BD750">
        <f t="shared" si="138"/>
        <v>1.25</v>
      </c>
      <c r="BF750">
        <f>IF(OR($H750="",$J750=""),"",IFERROR(VLOOKUP(ROUND($J750,0),_CONFIG_Model_Settings!$D$154:$E$158,2,0),""))</f>
        <v>0.5</v>
      </c>
      <c r="BG750">
        <f>IFERROR(IF(OR($H750="",$K750=""),"",ROUND('Company Profile'!$B$113*INDEX(_CONFIG_Model_Settings!$H$154:$H$158,MATCH(ROUND($K750,0),_CONFIG_Model_Settings!$G$154:$G$158,0)),0)),0)</f>
        <v>1875</v>
      </c>
      <c r="BH750">
        <f t="shared" si="139"/>
        <v>937.5</v>
      </c>
      <c r="BI750">
        <f t="shared" si="140"/>
        <v>937.5</v>
      </c>
      <c r="BJ750">
        <f>IF($E750="","",IFERROR(VLOOKUP($C750,_CONFIG_Risk_Calibration!$A$5:$H$21,2,FALSE),3))</f>
        <v>3</v>
      </c>
      <c r="BK750">
        <f>IF($E750="","",IFERROR(VLOOKUP($C750,_CONFIG_Risk_Calibration!$A$5:$H$21,3,FALSE),0))</f>
        <v>0</v>
      </c>
      <c r="BL750">
        <f>IF($E750="","",IFERROR(VLOOKUP($C750,_CONFIG_Risk_Calibration!$A$5:$H$21,4,FALSE),3))</f>
        <v>3</v>
      </c>
      <c r="BM750">
        <f>IF($E750="","",IFERROR(VLOOKUP($C750,_CONFIG_Risk_Calibration!$A$5:$H$21,5,FALSE),3))</f>
        <v>4</v>
      </c>
      <c r="BN750" t="str">
        <f>IF($E750="","",IFERROR(VLOOKUP($C750,_CONFIG_Risk_Calibration!$A$5:$H$21,6,FALSE),"No"))</f>
        <v>No</v>
      </c>
      <c r="BO750">
        <f>IF($E750="","",IFERROR(VLOOKUP($C750,_CONFIG_Risk_Calibration!$A$5:$H$21,7,FALSE),1))</f>
        <v>1</v>
      </c>
      <c r="BP750">
        <f>IF($H750="","",MAX(1,MIN(5,((6-$H750)*0.45)+($BJ750*0.2)+('Resilience &amp; Risk Scenario'!$B$7*0.15)+($BK750*0.1)+($BL750*0.05)+(IF($BB750="Fast",5,IF($BB750="Slow",1,3))*0.05))))</f>
        <v>3.7</v>
      </c>
      <c r="BQ750">
        <f t="shared" si="141"/>
        <v>4.6499999999999995</v>
      </c>
      <c r="BR750">
        <f t="shared" si="142"/>
        <v>17.21</v>
      </c>
      <c r="BS750">
        <f t="shared" si="143"/>
        <v>23.66</v>
      </c>
      <c r="BT750" t="str">
        <f>IFERROR(INDEX(_REF_Capability_Bridge!$D:$D,MATCH($C750&amp;"|"&amp;$D750,_REF_Capability_Bridge!$J:$J,0)),IFERROR(INDEX(_REF_Capability_Bridge!$D:$D,MATCH($C750&amp;"|",_REF_Capability_Bridge!$J:$J,0)),"CAP_GENERIC"))</f>
        <v>CAP_INCIDENT_RESPONSE</v>
      </c>
      <c r="BU750">
        <f>IFERROR(IFERROR(INDEX(_ENGINE_Relevance!$L:$L,MATCH($BT750,_ENGINE_Relevance!$B:$B,0)),1),1)</f>
        <v>1</v>
      </c>
      <c r="BV750" t="str">
        <f>IFERROR(INDEX(_REF_Capability_Bridge!$A:$A,MATCH($C750&amp;"|"&amp;$D750,_REF_Capability_Bridge!$J:$J,0)),IFERROR(INDEX(_REF_Capability_Bridge!$A:$A,MATCH($C750&amp;"|",_REF_Capability_Bridge!$J:$J,0)),"No bridge"))</f>
        <v>BRG-057</v>
      </c>
      <c r="BW750" t="str">
        <f t="shared" si="144"/>
        <v>Capability relevance neutral</v>
      </c>
      <c r="BX750" t="str">
        <f t="shared" si="145"/>
        <v>Initial / absent</v>
      </c>
      <c r="BY750" t="str">
        <f>IF($E750="","",IFERROR(INDEX(_REF_Treatment_Library!$A$2:$A$296,MATCH(1,INDEX((_REF_Treatment_Library!$B$2:$B$296=$BT750)*(_REF_Treatment_Library!$C$2:$C$296=PV_Canonical_Industry)*(_REF_Treatment_Library!$E$2:$E$296&lt;=N($H750))*(_REF_Treatment_Library!$F$2:$F$296&gt;=N($H750))*(_REF_Treatment_Library!$O$2:$O$296="Yes"),0),0)),IFERROR(INDEX(_REF_Treatment_Library!$A$2:$A$296,MATCH(1,INDEX((_REF_Treatment_Library!$B$2:$B$296=$BT750)*(_REF_Treatment_Library!$C$2:$C$296="All")*(_REF_Treatment_Library!$E$2:$E$296&lt;=N($H750))*(_REF_Treatment_Library!$F$2:$F$296&gt;=N($H750))*(_REF_Treatment_Library!$O$2:$O$296="Yes"),0),0)),"")))</f>
        <v>TRT-INCIDENT_RESPONSE-INITIAL</v>
      </c>
      <c r="BZ750" t="str">
        <f>IF($BY750="","",IFERROR(INDEX(_REF_Treatment_Library!$H$2:$H$296,MATCH($BY750,_REF_Treatment_Library!$A$2:$A$296,0)),""))</f>
        <v>Establish</v>
      </c>
      <c r="CA750" t="str">
        <f>IF($BY750="","",IFERROR(INDEX(_REF_Treatment_Library!$I$2:$I$296,MATCH($BY750,_REF_Treatment_Library!$A$2:$A$296,0)),""))</f>
        <v>Establish baseline controls for Incident response</v>
      </c>
      <c r="CB750" t="str">
        <f>IF($BY750="","",IFERROR(INDEX(_REF_Treatment_Library!$K$2:$K$296,MATCH($BY750,_REF_Treatment_Library!$A$2:$A$296,0)),""))</f>
        <v>Named owner, baseline process, minimum control checklist, first evidence package</v>
      </c>
      <c r="CC750" t="str">
        <f>IF($BY750="","",IFERROR(INDEX(_REF_Treatment_Library!$L$2:$L$296,MATCH($BY750,_REF_Treatment_Library!$A$2:$A$296,0)),""))</f>
        <v>Owner assigned; baseline evidence coverage; open critical gaps</v>
      </c>
      <c r="CD750" t="str">
        <f t="shared" si="146"/>
        <v>Treatment by capability=CAP_INCIDENT_RESPONSE; band=Initial / absent; score=0.0; treatment=Establish</v>
      </c>
      <c r="CE750" t="str">
        <f>IF($E750="","",IFERROR(INDEX(_REF_Industry_Wording!$A$2:$A$70,MATCH(1,INDEX((_REF_Industry_Wording!$B$2:$B$70=$BT750)*(_REF_Industry_Wording!$C$2:$C$70=PV_Canonical_Industry)*(_REF_Industry_Wording!$K$2:$K$70="Yes"),0),0)),IFERROR(INDEX(_REF_Industry_Wording!$A$2:$A$70,MATCH(1,INDEX((_REF_Industry_Wording!$B$2:$B$70=$BT750)*(_REF_Industry_Wording!$C$2:$C$70="All")*(_REF_Industry_Wording!$K$2:$K$70="Yes"),0),0)),"")))</f>
        <v>IW-ALL-INCIDENT_RESPONSE</v>
      </c>
      <c r="CF750" t="str">
        <f>IF($CE750="","",IFERROR(INDEX(_REF_Industry_Wording!$E$2:$E$70,MATCH($CE750,_REF_Industry_Wording!$A$2:$A$70,0)),""))</f>
        <v>Incident response weakness</v>
      </c>
      <c r="CG750" t="str">
        <f>IF($CE750="","",IFERROR(INDEX(_REF_Industry_Wording!$F$2:$F$70,MATCH($CE750,_REF_Industry_Wording!$A$2:$A$70,0)),""))</f>
        <v>Strengthen Incident response</v>
      </c>
      <c r="CH750" t="str">
        <f>IF($CE750="","",IFERROR(INDEX(_REF_Industry_Wording!$G$2:$G$70,MATCH($CE750,_REF_Industry_Wording!$A$2:$A$70,0)),""))</f>
        <v>Strengthen Incident response using the selected maturity treatment, crisis scenario and evidence requirements.</v>
      </c>
      <c r="CI750" t="str">
        <f>IF($CE750="","",IFERROR(INDEX(_REF_Industry_Wording!$H$2:$H$70,MATCH($CE750,_REF_Industry_Wording!$A$2:$A$70,0)),""))</f>
        <v>Incident response</v>
      </c>
      <c r="CJ750">
        <f>IF($CE750="","",IFERROR(INDEX(_REF_Industry_Wording!$I$2:$I$70,MATCH($CE750,_REF_Industry_Wording!$A$2:$A$70,0)),""))</f>
        <v>0</v>
      </c>
      <c r="CK750" t="str">
        <f>IF($CE750="","",IFERROR(INDEX(_REF_Industry_Wording!$J$2:$J$70,MATCH($CE750,_REF_Industry_Wording!$A$2:$A$70,0)),""))</f>
        <v>Incident response</v>
      </c>
      <c r="CL750" t="str">
        <f t="shared" si="147"/>
        <v>Wording by industry=0; capability=CAP_INCIDENT_RESPONSE; risk label=Incident response weakness</v>
      </c>
      <c r="CM750" t="str">
        <f t="shared" si="148"/>
        <v>RISK-ONT-0251</v>
      </c>
      <c r="CN750" t="str">
        <f t="shared" si="149"/>
        <v>RISK-EVT-0251</v>
      </c>
      <c r="CO750" t="str">
        <f t="shared" si="150"/>
        <v>Manufacturing MES|OT security|MANU-027|CAP_INCIDENT_RESPONSE</v>
      </c>
      <c r="CP750" t="str">
        <f t="shared" si="151"/>
        <v>Active</v>
      </c>
      <c r="CQ750" t="str">
        <f t="shared" si="152"/>
        <v>OK: capability-driven</v>
      </c>
      <c r="CR750" t="str">
        <f t="shared" si="153"/>
        <v>Risk ontology uses capability=CAP_INCIDENT_RESPONSE; bridge=BRG-057; treatment=TRT-INCIDENT_RESPONSE-INITIAL; wording=IW-ALL-INCIDENT_RESPONSE</v>
      </c>
      <c r="CS750" t="str">
        <f t="shared" si="154"/>
        <v>Yes</v>
      </c>
    </row>
    <row r="751" spans="1:97" ht="69.900000000000006" customHeight="1">
      <c r="A751">
        <f>IF(OR($B751&lt;&gt;"Yes",$BS751=""),"",SUMPRODUCT(($B$500:$B$923="Yes")*ISNUMBER($BS$500:$BS$923)*($BS$500:$BS$923&gt;$BS751))+COUNTIFS($B$500:$B751,"Yes",$BS$500:$BS751,$BS751))</f>
        <v>62</v>
      </c>
      <c r="B751" t="str">
        <f t="shared" si="123"/>
        <v>Yes</v>
      </c>
      <c r="C751" t="s">
        <v>2145</v>
      </c>
      <c r="D751" t="s">
        <v>2174</v>
      </c>
      <c r="E751" t="s">
        <v>2283</v>
      </c>
      <c r="F751" t="s">
        <v>3688</v>
      </c>
      <c r="G751" t="str">
        <f>IF($H751="","",IFERROR(INDEX(_ENGINE_Risk!$H$5:$M$499,MATCH($E751,_ENGINE_Risk!$A$5:$A$499,0),$H751+1),""))</f>
        <v>Severe risk: cyber incident response procedures specific to production and OT is not reliably controlled. During Manufacturing disruption; Safety incident; Energy outage; Cyberattack, the organization may face production stoppage, quality defects, low asset visibility and inability to recover shop-floor operations with limited visibility or accountability.</v>
      </c>
      <c r="H751">
        <f>IFERROR(VALUE(INDEX(_DATA_Assessment_Model!$H$5:$H$884,MATCH($E751,_DATA_Assessment_Model!$A$5:$A$884,0))),"")</f>
        <v>0</v>
      </c>
      <c r="I751" t="str">
        <f>IF($H751="","",IFERROR(INDEX(_DATA_Assessment_Model!$L$5:$L$884,MATCH($E751,_DATA_Assessment_Model!$A$5:$A$884,0)),IF($H751&lt;=1,"Critical",IF($H751=2,"High",IF($H751=3,"Medium",IF($H751=4,"Low","Resilient"))))))</f>
        <v>Critical</v>
      </c>
      <c r="J751">
        <f t="shared" si="124"/>
        <v>3.7</v>
      </c>
      <c r="K751">
        <f t="shared" si="125"/>
        <v>4.6499999999999995</v>
      </c>
      <c r="L751">
        <f t="shared" si="126"/>
        <v>17.204999999999998</v>
      </c>
      <c r="M751">
        <f t="shared" si="127"/>
        <v>4</v>
      </c>
      <c r="N751">
        <f>IF($H751="","",IFERROR(INDEX(_ENGINE_Risk!$T$5:$Y$499,MATCH($E751,_ENGINE_Risk!$A$5:$A$499,0),$H751+1),""))</f>
        <v>4</v>
      </c>
      <c r="O751">
        <f t="shared" si="128"/>
        <v>5</v>
      </c>
      <c r="P751">
        <f t="shared" si="129"/>
        <v>5</v>
      </c>
      <c r="Q751">
        <f t="shared" si="130"/>
        <v>5</v>
      </c>
      <c r="R751">
        <f t="shared" si="131"/>
        <v>5</v>
      </c>
      <c r="S751">
        <f t="shared" si="132"/>
        <v>1.25</v>
      </c>
      <c r="T751" t="str">
        <f>IF($H751="","",IFERROR(INDEX(_ENGINE_Risk!$N$5:$S$499,MATCH($E751,_ENGINE_Risk!$A$5:$A$499,0),$H751+1),""))</f>
        <v>Create an immediate risk owner, minimum control baseline and fallback procedure for cyber incident response procedures specific to production and OT. Add it to the crisis risk register and collect first evidence.</v>
      </c>
      <c r="U751">
        <f>IFERROR(INDEX(_DATA_Assessment_Model!$G$5:$G$884,MATCH($E751,_DATA_Assessment_Model!$A$5:$A$884,0)),"")</f>
        <v>5</v>
      </c>
      <c r="V751">
        <f>IFERROR(INDEX(_DATA_Assessment_Model!$W$5:$W$884,MATCH($E751,_DATA_Assessment_Model!$A$5:$A$884,0)),"")</f>
        <v>5</v>
      </c>
      <c r="W751">
        <f>IFERROR(INDEX(_DATA_Assessment_Model!$X$5:$X$884,MATCH($E751,_DATA_Assessment_Model!$A$5:$A$884,0)),"")</f>
        <v>5</v>
      </c>
      <c r="X751">
        <f>IFERROR(INDEX(_DATA_Assessment_Model!$Y$5:$Y$884,MATCH($E751,_DATA_Assessment_Model!$A$5:$A$884,0)),"")</f>
        <v>5</v>
      </c>
      <c r="Y751" t="s">
        <v>2152</v>
      </c>
      <c r="Z751" t="s">
        <v>7780</v>
      </c>
      <c r="AA751" t="s">
        <v>2285</v>
      </c>
      <c r="AB751">
        <f>IFERROR(INDEX(_DATA_Assessment_Model!$U$5:$U$884,MATCH($E751,_DATA_Assessment_Model!$A$5:$A$884,0)),"")</f>
        <v>0</v>
      </c>
      <c r="AF751" t="s">
        <v>2284</v>
      </c>
      <c r="AO751">
        <f>IF($B751="Yes",IF(IFERROR(INDEX(_ENGINE_Crisis!$F$501:$F$517,MATCH($C751,_ENGINE_Crisis!$A$501:$A$517,0)),1)=0,1,IFERROR(INDEX(_ENGINE_Crisis!$F$501:$F$517,MATCH($C751,_ENGINE_Crisis!$A$501:$A$517,0)),1)),"")</f>
        <v>1</v>
      </c>
      <c r="AP751">
        <f t="shared" si="133"/>
        <v>17.2</v>
      </c>
      <c r="AQ751">
        <f t="shared" si="134"/>
        <v>1.25</v>
      </c>
      <c r="AR751" t="str">
        <f>IFERROR(INDEX(_ENGINE_Crisis!$E$41:$E$700,MATCH('Resilience &amp; Risk Scenario'!$B$6&amp;"|"&amp;$C751,_ENGINE_Crisis!$I$41:$I$700,0)),"")</f>
        <v/>
      </c>
      <c r="AS751" t="str">
        <f>IFERROR(INDEX(_ENGINE_Crisis!$G$41:$G$700,MATCH('Resilience &amp; Risk Scenario'!$B$6&amp;"|"&amp;$C751,_ENGINE_Crisis!$I$41:$I$700,0)),"")</f>
        <v/>
      </c>
      <c r="AT751" t="str">
        <f>IFERROR(INDEX(_ENGINE_Initiatives!$A$5:$A$532,MATCH(1,INDEX((_ENGINE_Initiatives!$B$5:$B$532=$C751)*(_ENGINE_Initiatives!$C$5:$C$532=$D751),0),0)),"")</f>
        <v>INI-040</v>
      </c>
      <c r="AU751" t="str">
        <f>IFERROR(INDEX(_ENGINE_Initiatives!$F$5:$F$532,MATCH(1,INDEX((_ENGINE_Initiatives!$B$5:$B$532=$C751)*(_ENGINE_Initiatives!$C$5:$C$532=$D751),0),0)),"")</f>
        <v>Implement OT security and industrial network resilience controls</v>
      </c>
      <c r="AV751">
        <f>IFERROR(INDEX(_ENGINE_Initiatives!$AC$5:$AC$532,MATCH(1,INDEX((_ENGINE_Initiatives!$B$5:$B$532=$C751)*(_ENGINE_Initiatives!$C$5:$C$532=$D751),0),0)),"")</f>
        <v>1.36</v>
      </c>
      <c r="AW751" t="str">
        <f>IFERROR(INDEX(_ENGINE_Initiatives!$AE$5:$AE$532,MATCH(1,INDEX((_ENGINE_Initiatives!$B$5:$B$532=$C751)*(_ENGINE_Initiatives!$C$5:$C$532=$D751),0),0)),"")</f>
        <v>6-12 months</v>
      </c>
      <c r="AX751">
        <f>IF($B751="Yes",IFERROR((IF(SUMIFS(_REF_Model_Content!$E$1:$E$613,_REF_Model_Content!$A$1:$A$613,PV_Canonical_Industry,_REF_Model_Content!$B$1:$B$613,$C751)=0,1,SUMIFS(_REF_Model_Content!$E$1:$E$613,_REF_Model_Content!$A$1:$A$613,PV_Canonical_Industry,_REF_Model_Content!$B$1:$B$613,$C751))*IFERROR($BU751,1)),1),"")</f>
        <v>1</v>
      </c>
      <c r="AY751">
        <f t="shared" si="135"/>
        <v>17.2</v>
      </c>
      <c r="AZ751">
        <f t="shared" si="136"/>
        <v>1.25</v>
      </c>
      <c r="BB751" t="str">
        <f>IF($H751="","",IFERROR(INDEX(_ENGINE_Risk!$AE$5:$AE$499,MATCH($E751,_ENGINE_Risk!$A$5:$A$499,0)),"Medium"))</f>
        <v>Fast</v>
      </c>
      <c r="BC751">
        <f t="shared" si="137"/>
        <v>1.25</v>
      </c>
      <c r="BD751">
        <f t="shared" si="138"/>
        <v>1.25</v>
      </c>
      <c r="BF751">
        <f>IF(OR($H751="",$J751=""),"",IFERROR(VLOOKUP(ROUND($J751,0),_CONFIG_Model_Settings!$D$154:$E$158,2,0),""))</f>
        <v>0.5</v>
      </c>
      <c r="BG751">
        <f>IFERROR(IF(OR($H751="",$K751=""),"",ROUND('Company Profile'!$B$113*INDEX(_CONFIG_Model_Settings!$H$154:$H$158,MATCH(ROUND($K751,0),_CONFIG_Model_Settings!$G$154:$G$158,0)),0)),0)</f>
        <v>1875</v>
      </c>
      <c r="BH751">
        <f t="shared" si="139"/>
        <v>937.5</v>
      </c>
      <c r="BI751">
        <f t="shared" si="140"/>
        <v>937.5</v>
      </c>
      <c r="BJ751">
        <f>IF($E751="","",IFERROR(VLOOKUP($C751,_CONFIG_Risk_Calibration!$A$5:$H$21,2,FALSE),3))</f>
        <v>3</v>
      </c>
      <c r="BK751">
        <f>IF($E751="","",IFERROR(VLOOKUP($C751,_CONFIG_Risk_Calibration!$A$5:$H$21,3,FALSE),0))</f>
        <v>0</v>
      </c>
      <c r="BL751">
        <f>IF($E751="","",IFERROR(VLOOKUP($C751,_CONFIG_Risk_Calibration!$A$5:$H$21,4,FALSE),3))</f>
        <v>3</v>
      </c>
      <c r="BM751">
        <f>IF($E751="","",IFERROR(VLOOKUP($C751,_CONFIG_Risk_Calibration!$A$5:$H$21,5,FALSE),3))</f>
        <v>4</v>
      </c>
      <c r="BN751" t="str">
        <f>IF($E751="","",IFERROR(VLOOKUP($C751,_CONFIG_Risk_Calibration!$A$5:$H$21,6,FALSE),"No"))</f>
        <v>No</v>
      </c>
      <c r="BO751">
        <f>IF($E751="","",IFERROR(VLOOKUP($C751,_CONFIG_Risk_Calibration!$A$5:$H$21,7,FALSE),1))</f>
        <v>1</v>
      </c>
      <c r="BP751">
        <f>IF($H751="","",MAX(1,MIN(5,((6-$H751)*0.45)+($BJ751*0.2)+('Resilience &amp; Risk Scenario'!$B$7*0.15)+($BK751*0.1)+($BL751*0.05)+(IF($BB751="Fast",5,IF($BB751="Slow",1,3))*0.05))))</f>
        <v>3.7</v>
      </c>
      <c r="BQ751">
        <f t="shared" si="141"/>
        <v>4.6499999999999995</v>
      </c>
      <c r="BR751">
        <f t="shared" si="142"/>
        <v>17.21</v>
      </c>
      <c r="BS751">
        <f t="shared" si="143"/>
        <v>23.66</v>
      </c>
      <c r="BT751" t="str">
        <f>IFERROR(INDEX(_REF_Capability_Bridge!$D:$D,MATCH($C751&amp;"|"&amp;$D751,_REF_Capability_Bridge!$J:$J,0)),IFERROR(INDEX(_REF_Capability_Bridge!$D:$D,MATCH($C751&amp;"|",_REF_Capability_Bridge!$J:$J,0)),"CAP_GENERIC"))</f>
        <v>CAP_INCIDENT_RESPONSE</v>
      </c>
      <c r="BU751">
        <f>IFERROR(IFERROR(INDEX(_ENGINE_Relevance!$L:$L,MATCH($BT751,_ENGINE_Relevance!$B:$B,0)),1),1)</f>
        <v>1</v>
      </c>
      <c r="BV751" t="str">
        <f>IFERROR(INDEX(_REF_Capability_Bridge!$A:$A,MATCH($C751&amp;"|"&amp;$D751,_REF_Capability_Bridge!$J:$J,0)),IFERROR(INDEX(_REF_Capability_Bridge!$A:$A,MATCH($C751&amp;"|",_REF_Capability_Bridge!$J:$J,0)),"No bridge"))</f>
        <v>BRG-057</v>
      </c>
      <c r="BW751" t="str">
        <f t="shared" si="144"/>
        <v>Capability relevance neutral</v>
      </c>
      <c r="BX751" t="str">
        <f t="shared" si="145"/>
        <v>Initial / absent</v>
      </c>
      <c r="BY751" t="str">
        <f>IF($E751="","",IFERROR(INDEX(_REF_Treatment_Library!$A$2:$A$296,MATCH(1,INDEX((_REF_Treatment_Library!$B$2:$B$296=$BT751)*(_REF_Treatment_Library!$C$2:$C$296=PV_Canonical_Industry)*(_REF_Treatment_Library!$E$2:$E$296&lt;=N($H751))*(_REF_Treatment_Library!$F$2:$F$296&gt;=N($H751))*(_REF_Treatment_Library!$O$2:$O$296="Yes"),0),0)),IFERROR(INDEX(_REF_Treatment_Library!$A$2:$A$296,MATCH(1,INDEX((_REF_Treatment_Library!$B$2:$B$296=$BT751)*(_REF_Treatment_Library!$C$2:$C$296="All")*(_REF_Treatment_Library!$E$2:$E$296&lt;=N($H751))*(_REF_Treatment_Library!$F$2:$F$296&gt;=N($H751))*(_REF_Treatment_Library!$O$2:$O$296="Yes"),0),0)),"")))</f>
        <v>TRT-INCIDENT_RESPONSE-INITIAL</v>
      </c>
      <c r="BZ751" t="str">
        <f>IF($BY751="","",IFERROR(INDEX(_REF_Treatment_Library!$H$2:$H$296,MATCH($BY751,_REF_Treatment_Library!$A$2:$A$296,0)),""))</f>
        <v>Establish</v>
      </c>
      <c r="CA751" t="str">
        <f>IF($BY751="","",IFERROR(INDEX(_REF_Treatment_Library!$I$2:$I$296,MATCH($BY751,_REF_Treatment_Library!$A$2:$A$296,0)),""))</f>
        <v>Establish baseline controls for Incident response</v>
      </c>
      <c r="CB751" t="str">
        <f>IF($BY751="","",IFERROR(INDEX(_REF_Treatment_Library!$K$2:$K$296,MATCH($BY751,_REF_Treatment_Library!$A$2:$A$296,0)),""))</f>
        <v>Named owner, baseline process, minimum control checklist, first evidence package</v>
      </c>
      <c r="CC751" t="str">
        <f>IF($BY751="","",IFERROR(INDEX(_REF_Treatment_Library!$L$2:$L$296,MATCH($BY751,_REF_Treatment_Library!$A$2:$A$296,0)),""))</f>
        <v>Owner assigned; baseline evidence coverage; open critical gaps</v>
      </c>
      <c r="CD751" t="str">
        <f t="shared" si="146"/>
        <v>Treatment by capability=CAP_INCIDENT_RESPONSE; band=Initial / absent; score=0.0; treatment=Establish</v>
      </c>
      <c r="CE751" t="str">
        <f>IF($E751="","",IFERROR(INDEX(_REF_Industry_Wording!$A$2:$A$70,MATCH(1,INDEX((_REF_Industry_Wording!$B$2:$B$70=$BT751)*(_REF_Industry_Wording!$C$2:$C$70=PV_Canonical_Industry)*(_REF_Industry_Wording!$K$2:$K$70="Yes"),0),0)),IFERROR(INDEX(_REF_Industry_Wording!$A$2:$A$70,MATCH(1,INDEX((_REF_Industry_Wording!$B$2:$B$70=$BT751)*(_REF_Industry_Wording!$C$2:$C$70="All")*(_REF_Industry_Wording!$K$2:$K$70="Yes"),0),0)),"")))</f>
        <v>IW-ALL-INCIDENT_RESPONSE</v>
      </c>
      <c r="CF751" t="str">
        <f>IF($CE751="","",IFERROR(INDEX(_REF_Industry_Wording!$E$2:$E$70,MATCH($CE751,_REF_Industry_Wording!$A$2:$A$70,0)),""))</f>
        <v>Incident response weakness</v>
      </c>
      <c r="CG751" t="str">
        <f>IF($CE751="","",IFERROR(INDEX(_REF_Industry_Wording!$F$2:$F$70,MATCH($CE751,_REF_Industry_Wording!$A$2:$A$70,0)),""))</f>
        <v>Strengthen Incident response</v>
      </c>
      <c r="CH751" t="str">
        <f>IF($CE751="","",IFERROR(INDEX(_REF_Industry_Wording!$G$2:$G$70,MATCH($CE751,_REF_Industry_Wording!$A$2:$A$70,0)),""))</f>
        <v>Strengthen Incident response using the selected maturity treatment, crisis scenario and evidence requirements.</v>
      </c>
      <c r="CI751" t="str">
        <f>IF($CE751="","",IFERROR(INDEX(_REF_Industry_Wording!$H$2:$H$70,MATCH($CE751,_REF_Industry_Wording!$A$2:$A$70,0)),""))</f>
        <v>Incident response</v>
      </c>
      <c r="CJ751">
        <f>IF($CE751="","",IFERROR(INDEX(_REF_Industry_Wording!$I$2:$I$70,MATCH($CE751,_REF_Industry_Wording!$A$2:$A$70,0)),""))</f>
        <v>0</v>
      </c>
      <c r="CK751" t="str">
        <f>IF($CE751="","",IFERROR(INDEX(_REF_Industry_Wording!$J$2:$J$70,MATCH($CE751,_REF_Industry_Wording!$A$2:$A$70,0)),""))</f>
        <v>Incident response</v>
      </c>
      <c r="CL751" t="str">
        <f t="shared" si="147"/>
        <v>Wording by industry=0; capability=CAP_INCIDENT_RESPONSE; risk label=Incident response weakness</v>
      </c>
      <c r="CM751" t="str">
        <f t="shared" si="148"/>
        <v>RISK-ONT-0252</v>
      </c>
      <c r="CN751" t="str">
        <f t="shared" si="149"/>
        <v>RISK-EVT-0252</v>
      </c>
      <c r="CO751" t="str">
        <f t="shared" si="150"/>
        <v>Manufacturing MES|OT security|MANU-028|CAP_INCIDENT_RESPONSE</v>
      </c>
      <c r="CP751" t="str">
        <f t="shared" si="151"/>
        <v>Active</v>
      </c>
      <c r="CQ751" t="str">
        <f t="shared" si="152"/>
        <v>OK: capability-driven</v>
      </c>
      <c r="CR751" t="str">
        <f t="shared" si="153"/>
        <v>Risk ontology uses capability=CAP_INCIDENT_RESPONSE; bridge=BRG-057; treatment=TRT-INCIDENT_RESPONSE-INITIAL; wording=IW-ALL-INCIDENT_RESPONSE</v>
      </c>
      <c r="CS751" t="str">
        <f t="shared" si="154"/>
        <v>Yes</v>
      </c>
    </row>
    <row r="752" spans="1:97" ht="69.900000000000006" customHeight="1">
      <c r="A752">
        <f>IF(OR($B752&lt;&gt;"Yes",$BS752=""),"",SUMPRODUCT(($B$500:$B$923="Yes")*ISNUMBER($BS$500:$BS$923)*($BS$500:$BS$923&gt;$BS752))+COUNTIFS($B$500:$B752,"Yes",$BS$500:$BS752,$BS752))</f>
        <v>146</v>
      </c>
      <c r="B752" t="str">
        <f t="shared" si="123"/>
        <v>Yes</v>
      </c>
      <c r="C752" t="s">
        <v>2286</v>
      </c>
      <c r="D752" t="s">
        <v>2288</v>
      </c>
      <c r="E752" t="s">
        <v>2287</v>
      </c>
      <c r="F752" t="s">
        <v>3689</v>
      </c>
      <c r="G752" t="str">
        <f>IF($H752="","",IFERROR(INDEX(_ENGINE_Risk!$H$5:$M$499,MATCH($E752,_ENGINE_Risk!$A$5:$A$499,0),$H752+1),""))</f>
        <v>Severe risk: CRM as single source of truth for accounts, contacts, opportunities, activities and forecasts is not reliably controlled. During Demand shock; Revenue loss; Reputation crisis, the organization may face pipeline loss, poor customer retention, weak forecasting and inability to protect revenue channels with limited visibility or accountability.</v>
      </c>
      <c r="H752">
        <f>IFERROR(VALUE(INDEX(_DATA_Assessment_Model!$H$5:$H$884,MATCH($E752,_DATA_Assessment_Model!$A$5:$A$884,0))),"")</f>
        <v>0</v>
      </c>
      <c r="I752" t="str">
        <f>IF($H752="","",IFERROR(INDEX(_DATA_Assessment_Model!$L$5:$L$884,MATCH($E752,_DATA_Assessment_Model!$A$5:$A$884,0)),IF($H752&lt;=1,"Critical",IF($H752=2,"High",IF($H752=3,"Medium",IF($H752=4,"Low","Resilient"))))))</f>
        <v>Critical</v>
      </c>
      <c r="J752">
        <f t="shared" si="124"/>
        <v>3.7</v>
      </c>
      <c r="K752">
        <f t="shared" si="125"/>
        <v>4.3</v>
      </c>
      <c r="L752">
        <f t="shared" si="126"/>
        <v>15.91</v>
      </c>
      <c r="M752">
        <f t="shared" si="127"/>
        <v>4</v>
      </c>
      <c r="N752">
        <f>IF($H752="","",IFERROR(INDEX(_ENGINE_Risk!$T$5:$Y$499,MATCH($E752,_ENGINE_Risk!$A$5:$A$499,0),$H752+1),""))</f>
        <v>3</v>
      </c>
      <c r="O752">
        <f t="shared" si="128"/>
        <v>4.666666666666667</v>
      </c>
      <c r="P752">
        <f t="shared" si="129"/>
        <v>5</v>
      </c>
      <c r="Q752">
        <f t="shared" si="130"/>
        <v>5</v>
      </c>
      <c r="R752">
        <f t="shared" si="131"/>
        <v>5</v>
      </c>
      <c r="S752">
        <f t="shared" si="132"/>
        <v>1.64</v>
      </c>
      <c r="T752" t="str">
        <f>IF($H752="","",IFERROR(INDEX(_ENGINE_Risk!$N$5:$S$499,MATCH($E752,_ENGINE_Risk!$A$5:$A$499,0),$H752+1),""))</f>
        <v>Create an immediate risk owner, minimum control baseline and fallback procedure for CRM as single source of truth for accounts, contacts, opportunities, activities and forecasts. Add it to the crisis risk register and collect first evidence.</v>
      </c>
      <c r="U752">
        <f>IFERROR(INDEX(_DATA_Assessment_Model!$G$5:$G$884,MATCH($E752,_DATA_Assessment_Model!$A$5:$A$884,0)),"")</f>
        <v>4</v>
      </c>
      <c r="V752">
        <f>IFERROR(INDEX(_DATA_Assessment_Model!$W$5:$W$884,MATCH($E752,_DATA_Assessment_Model!$A$5:$A$884,0)),"")</f>
        <v>5</v>
      </c>
      <c r="W752">
        <f>IFERROR(INDEX(_DATA_Assessment_Model!$X$5:$X$884,MATCH($E752,_DATA_Assessment_Model!$A$5:$A$884,0)),"")</f>
        <v>5</v>
      </c>
      <c r="X752">
        <f>IFERROR(INDEX(_DATA_Assessment_Model!$Y$5:$Y$884,MATCH($E752,_DATA_Assessment_Model!$A$5:$A$884,0)),"")</f>
        <v>5</v>
      </c>
      <c r="Y752" t="s">
        <v>2299</v>
      </c>
      <c r="Z752" t="s">
        <v>8173</v>
      </c>
      <c r="AA752" t="s">
        <v>2292</v>
      </c>
      <c r="AB752">
        <f>IFERROR(INDEX(_DATA_Assessment_Model!$U$5:$U$884,MATCH($E752,_DATA_Assessment_Model!$A$5:$A$884,0)),"")</f>
        <v>0</v>
      </c>
      <c r="AF752" t="s">
        <v>2289</v>
      </c>
      <c r="AO752">
        <f>IF($B752="Yes",IF(IFERROR(INDEX(_ENGINE_Crisis!$F$501:$F$517,MATCH($C752,_ENGINE_Crisis!$A$501:$A$517,0)),1)=0,1,IFERROR(INDEX(_ENGINE_Crisis!$F$501:$F$517,MATCH($C752,_ENGINE_Crisis!$A$501:$A$517,0)),1)),"")</f>
        <v>1</v>
      </c>
      <c r="AP752">
        <f t="shared" si="133"/>
        <v>15.9</v>
      </c>
      <c r="AQ752">
        <f t="shared" si="134"/>
        <v>1.64</v>
      </c>
      <c r="AR752" t="str">
        <f>IFERROR(INDEX(_ENGINE_Crisis!$E$41:$E$700,MATCH('Resilience &amp; Risk Scenario'!$B$6&amp;"|"&amp;$C752,_ENGINE_Crisis!$I$41:$I$700,0)),"")</f>
        <v/>
      </c>
      <c r="AS752" t="str">
        <f>IFERROR(INDEX(_ENGINE_Crisis!$G$41:$G$700,MATCH('Resilience &amp; Risk Scenario'!$B$6&amp;"|"&amp;$C752,_ENGINE_Crisis!$I$41:$I$700,0)),"")</f>
        <v/>
      </c>
      <c r="AT752" t="str">
        <f>IFERROR(INDEX(_ENGINE_Initiatives!$A$5:$A$532,MATCH(1,INDEX((_ENGINE_Initiatives!$B$5:$B$532=$C752)*(_ENGINE_Initiatives!$C$5:$C$532=$D752),0),0)),"")</f>
        <v>INI-041</v>
      </c>
      <c r="AU752" t="str">
        <f>IFERROR(INDEX(_ENGINE_Initiatives!$F$5:$F$532,MATCH(1,INDEX((_ENGINE_Initiatives!$B$5:$B$532=$C752)*(_ENGINE_Initiatives!$C$5:$C$532=$D752),0),0)),"")</f>
        <v>Stabilize CRM data model, ownership and adoption</v>
      </c>
      <c r="AV752">
        <f>IFERROR(INDEX(_ENGINE_Initiatives!$AC$5:$AC$532,MATCH(1,INDEX((_ENGINE_Initiatives!$B$5:$B$532=$C752)*(_ENGINE_Initiatives!$C$5:$C$532=$D752),0),0)),"")</f>
        <v>1.74</v>
      </c>
      <c r="AW752" t="str">
        <f>IFERROR(INDEX(_ENGINE_Initiatives!$AE$5:$AE$532,MATCH(1,INDEX((_ENGINE_Initiatives!$B$5:$B$532=$C752)*(_ENGINE_Initiatives!$C$5:$C$532=$D752),0),0)),"")</f>
        <v>6-12 months</v>
      </c>
      <c r="AX752">
        <f>IF($B752="Yes",IFERROR((IF(SUMIFS(_REF_Model_Content!$E$1:$E$613,_REF_Model_Content!$A$1:$A$613,PV_Canonical_Industry,_REF_Model_Content!$B$1:$B$613,$C752)=0,1,SUMIFS(_REF_Model_Content!$E$1:$E$613,_REF_Model_Content!$A$1:$A$613,PV_Canonical_Industry,_REF_Model_Content!$B$1:$B$613,$C752))*IFERROR($BU752,1)),1),"")</f>
        <v>1</v>
      </c>
      <c r="AY752">
        <f t="shared" si="135"/>
        <v>15.9</v>
      </c>
      <c r="AZ752">
        <f t="shared" si="136"/>
        <v>1.64</v>
      </c>
      <c r="BB752" t="str">
        <f>IF($H752="","",IFERROR(INDEX(_ENGINE_Risk!$AE$5:$AE$499,MATCH($E752,_ENGINE_Risk!$A$5:$A$499,0)),"Medium"))</f>
        <v>Fast</v>
      </c>
      <c r="BC752">
        <f t="shared" si="137"/>
        <v>1.25</v>
      </c>
      <c r="BD752">
        <f t="shared" si="138"/>
        <v>1.64</v>
      </c>
      <c r="BF752">
        <f>IF(OR($H752="",$J752=""),"",IFERROR(VLOOKUP(ROUND($J752,0),_CONFIG_Model_Settings!$D$154:$E$158,2,0),""))</f>
        <v>0.5</v>
      </c>
      <c r="BG752">
        <f>IFERROR(IF(OR($H752="",$K752=""),"",ROUND('Company Profile'!$B$113*INDEX(_CONFIG_Model_Settings!$H$154:$H$158,MATCH(ROUND($K752,0),_CONFIG_Model_Settings!$G$154:$G$158,0)),0)),0)</f>
        <v>875</v>
      </c>
      <c r="BH752">
        <f t="shared" si="139"/>
        <v>437.5</v>
      </c>
      <c r="BI752">
        <f t="shared" si="140"/>
        <v>437.5</v>
      </c>
      <c r="BJ752">
        <f>IF($E752="","",IFERROR(VLOOKUP($C752,_CONFIG_Risk_Calibration!$A$5:$H$21,2,FALSE),3))</f>
        <v>3</v>
      </c>
      <c r="BK752">
        <f>IF($E752="","",IFERROR(VLOOKUP($C752,_CONFIG_Risk_Calibration!$A$5:$H$21,3,FALSE),0))</f>
        <v>0</v>
      </c>
      <c r="BL752">
        <f>IF($E752="","",IFERROR(VLOOKUP($C752,_CONFIG_Risk_Calibration!$A$5:$H$21,4,FALSE),3))</f>
        <v>3</v>
      </c>
      <c r="BM752">
        <f>IF($E752="","",IFERROR(VLOOKUP($C752,_CONFIG_Risk_Calibration!$A$5:$H$21,5,FALSE),3))</f>
        <v>3</v>
      </c>
      <c r="BN752" t="str">
        <f>IF($E752="","",IFERROR(VLOOKUP($C752,_CONFIG_Risk_Calibration!$A$5:$H$21,6,FALSE),"No"))</f>
        <v>No</v>
      </c>
      <c r="BO752">
        <f>IF($E752="","",IFERROR(VLOOKUP($C752,_CONFIG_Risk_Calibration!$A$5:$H$21,7,FALSE),1))</f>
        <v>1</v>
      </c>
      <c r="BP752">
        <f>IF($H752="","",MAX(1,MIN(5,((6-$H752)*0.45)+($BJ752*0.2)+('Resilience &amp; Risk Scenario'!$B$7*0.15)+($BK752*0.1)+($BL752*0.05)+(IF($BB752="Fast",5,IF($BB752="Slow",1,3))*0.05))))</f>
        <v>3.7</v>
      </c>
      <c r="BQ752">
        <f t="shared" si="141"/>
        <v>4.3</v>
      </c>
      <c r="BR752">
        <f t="shared" si="142"/>
        <v>15.91</v>
      </c>
      <c r="BS752">
        <f t="shared" si="143"/>
        <v>19.89</v>
      </c>
      <c r="BT752" t="str">
        <f>IFERROR(INDEX(_REF_Capability_Bridge!$D:$D,MATCH($C752&amp;"|"&amp;$D752,_REF_Capability_Bridge!$J:$J,0)),IFERROR(INDEX(_REF_Capability_Bridge!$D:$D,MATCH($C752&amp;"|",_REF_Capability_Bridge!$J:$J,0)),"CAP_GENERIC"))</f>
        <v>CAP_SRE_OBSERVABILITY</v>
      </c>
      <c r="BU752">
        <f>IFERROR(IFERROR(INDEX(_ENGINE_Relevance!$L:$L,MATCH($BT752,_ENGINE_Relevance!$B:$B,0)),1),1)</f>
        <v>1</v>
      </c>
      <c r="BV752" t="str">
        <f>IFERROR(INDEX(_REF_Capability_Bridge!$A:$A,MATCH($C752&amp;"|"&amp;$D752,_REF_Capability_Bridge!$J:$J,0)),IFERROR(INDEX(_REF_Capability_Bridge!$A:$A,MATCH($C752&amp;"|",_REF_Capability_Bridge!$J:$J,0)),"No bridge"))</f>
        <v>BRG-077</v>
      </c>
      <c r="BW752" t="str">
        <f t="shared" si="144"/>
        <v>Capability relevance neutral</v>
      </c>
      <c r="BX752" t="str">
        <f t="shared" si="145"/>
        <v>Initial / absent</v>
      </c>
      <c r="BY752" t="str">
        <f>IF($E752="","",IFERROR(INDEX(_REF_Treatment_Library!$A$2:$A$296,MATCH(1,INDEX((_REF_Treatment_Library!$B$2:$B$296=$BT752)*(_REF_Treatment_Library!$C$2:$C$296=PV_Canonical_Industry)*(_REF_Treatment_Library!$E$2:$E$296&lt;=N($H752))*(_REF_Treatment_Library!$F$2:$F$296&gt;=N($H752))*(_REF_Treatment_Library!$O$2:$O$296="Yes"),0),0)),IFERROR(INDEX(_REF_Treatment_Library!$A$2:$A$296,MATCH(1,INDEX((_REF_Treatment_Library!$B$2:$B$296=$BT752)*(_REF_Treatment_Library!$C$2:$C$296="All")*(_REF_Treatment_Library!$E$2:$E$296&lt;=N($H752))*(_REF_Treatment_Library!$F$2:$F$296&gt;=N($H752))*(_REF_Treatment_Library!$O$2:$O$296="Yes"),0),0)),"")))</f>
        <v>TRT-SRE_OBSERVABILITY-INITIAL</v>
      </c>
      <c r="BZ752" t="str">
        <f>IF($BY752="","",IFERROR(INDEX(_REF_Treatment_Library!$H$2:$H$296,MATCH($BY752,_REF_Treatment_Library!$A$2:$A$296,0)),""))</f>
        <v>Establish</v>
      </c>
      <c r="CA752" t="str">
        <f>IF($BY752="","",IFERROR(INDEX(_REF_Treatment_Library!$I$2:$I$296,MATCH($BY752,_REF_Treatment_Library!$A$2:$A$296,0)),""))</f>
        <v>Establish baseline controls for SRE / Observability</v>
      </c>
      <c r="CB752" t="str">
        <f>IF($BY752="","",IFERROR(INDEX(_REF_Treatment_Library!$K$2:$K$296,MATCH($BY752,_REF_Treatment_Library!$A$2:$A$296,0)),""))</f>
        <v>Named owner, baseline process, minimum control checklist, first evidence package</v>
      </c>
      <c r="CC752" t="str">
        <f>IF($BY752="","",IFERROR(INDEX(_REF_Treatment_Library!$L$2:$L$296,MATCH($BY752,_REF_Treatment_Library!$A$2:$A$296,0)),""))</f>
        <v>Owner assigned; baseline evidence coverage; open critical gaps</v>
      </c>
      <c r="CD752" t="str">
        <f t="shared" si="146"/>
        <v>Treatment by capability=CAP_SRE_OBSERVABILITY; band=Initial / absent; score=0.0; treatment=Establish</v>
      </c>
      <c r="CE752" t="str">
        <f>IF($E752="","",IFERROR(INDEX(_REF_Industry_Wording!$A$2:$A$70,MATCH(1,INDEX((_REF_Industry_Wording!$B$2:$B$70=$BT752)*(_REF_Industry_Wording!$C$2:$C$70=PV_Canonical_Industry)*(_REF_Industry_Wording!$K$2:$K$70="Yes"),0),0)),IFERROR(INDEX(_REF_Industry_Wording!$A$2:$A$70,MATCH(1,INDEX((_REF_Industry_Wording!$B$2:$B$70=$BT752)*(_REF_Industry_Wording!$C$2:$C$70="All")*(_REF_Industry_Wording!$K$2:$K$70="Yes"),0),0)),"")))</f>
        <v>IW-ALL-SRE_OBSERVABILITY</v>
      </c>
      <c r="CF752" t="str">
        <f>IF($CE752="","",IFERROR(INDEX(_REF_Industry_Wording!$E$2:$E$70,MATCH($CE752,_REF_Industry_Wording!$A$2:$A$70,0)),""))</f>
        <v>SRE / Observability weakness</v>
      </c>
      <c r="CG752" t="str">
        <f>IF($CE752="","",IFERROR(INDEX(_REF_Industry_Wording!$F$2:$F$70,MATCH($CE752,_REF_Industry_Wording!$A$2:$A$70,0)),""))</f>
        <v>Strengthen SRE / Observability</v>
      </c>
      <c r="CH752" t="str">
        <f>IF($CE752="","",IFERROR(INDEX(_REF_Industry_Wording!$G$2:$G$70,MATCH($CE752,_REF_Industry_Wording!$A$2:$A$70,0)),""))</f>
        <v>Strengthen SRE / Observability using the selected maturity treatment, crisis scenario and evidence requirements.</v>
      </c>
      <c r="CI752" t="str">
        <f>IF($CE752="","",IFERROR(INDEX(_REF_Industry_Wording!$H$2:$H$70,MATCH($CE752,_REF_Industry_Wording!$A$2:$A$70,0)),""))</f>
        <v>SRE / Observability</v>
      </c>
      <c r="CJ752">
        <f>IF($CE752="","",IFERROR(INDEX(_REF_Industry_Wording!$I$2:$I$70,MATCH($CE752,_REF_Industry_Wording!$A$2:$A$70,0)),""))</f>
        <v>0</v>
      </c>
      <c r="CK752" t="str">
        <f>IF($CE752="","",IFERROR(INDEX(_REF_Industry_Wording!$J$2:$J$70,MATCH($CE752,_REF_Industry_Wording!$A$2:$A$70,0)),""))</f>
        <v>SRE / Observability</v>
      </c>
      <c r="CL752" t="str">
        <f t="shared" si="147"/>
        <v>Wording by industry=0; capability=CAP_SRE_OBSERVABILITY; risk label=SRE / Observability weakness</v>
      </c>
      <c r="CM752" t="str">
        <f t="shared" si="148"/>
        <v>RISK-ONT-0253</v>
      </c>
      <c r="CN752" t="str">
        <f t="shared" si="149"/>
        <v>RISK-EVT-0253</v>
      </c>
      <c r="CO752" t="str">
        <f t="shared" si="150"/>
        <v>Sales CRM|CRM foundation|SALE-001|CAP_SRE_OBSERVABILITY</v>
      </c>
      <c r="CP752" t="str">
        <f t="shared" si="151"/>
        <v>Active</v>
      </c>
      <c r="CQ752" t="str">
        <f t="shared" si="152"/>
        <v>OK: capability-driven</v>
      </c>
      <c r="CR752" t="str">
        <f t="shared" si="153"/>
        <v>Risk ontology uses capability=CAP_SRE_OBSERVABILITY; bridge=BRG-077; treatment=TRT-SRE_OBSERVABILITY-INITIAL; wording=IW-ALL-SRE_OBSERVABILITY</v>
      </c>
      <c r="CS752" t="str">
        <f t="shared" si="154"/>
        <v>Yes</v>
      </c>
    </row>
    <row r="753" spans="1:97" ht="69.900000000000006" customHeight="1">
      <c r="A753">
        <f>IF(OR($B753&lt;&gt;"Yes",$BS753=""),"",SUMPRODUCT(($B$500:$B$923="Yes")*ISNUMBER($BS$500:$BS$923)*($BS$500:$BS$923&gt;$BS753))+COUNTIFS($B$500:$B753,"Yes",$BS$500:$BS753,$BS753))</f>
        <v>147</v>
      </c>
      <c r="B753" t="str">
        <f t="shared" si="123"/>
        <v>Yes</v>
      </c>
      <c r="C753" t="s">
        <v>2286</v>
      </c>
      <c r="D753" t="s">
        <v>2288</v>
      </c>
      <c r="E753" t="s">
        <v>2300</v>
      </c>
      <c r="F753" t="s">
        <v>3689</v>
      </c>
      <c r="G753" t="str">
        <f>IF($H753="","",IFERROR(INDEX(_ENGINE_Risk!$H$5:$M$499,MATCH($E753,_ENGINE_Risk!$A$5:$A$499,0),$H753+1),""))</f>
        <v>Severe risk: CRM data quality for segmentation, pipeline, ICP, offerings, win/loss reasons and customer health is not reliably controlled. During Demand shock; Revenue loss; Reputation crisis, the organization may face pipeline loss, poor customer retention, weak forecasting and inability to protect revenue channels with limited visibility or accountability.</v>
      </c>
      <c r="H753">
        <f>IFERROR(VALUE(INDEX(_DATA_Assessment_Model!$H$5:$H$884,MATCH($E753,_DATA_Assessment_Model!$A$5:$A$884,0))),"")</f>
        <v>0</v>
      </c>
      <c r="I753" t="str">
        <f>IF($H753="","",IFERROR(INDEX(_DATA_Assessment_Model!$L$5:$L$884,MATCH($E753,_DATA_Assessment_Model!$A$5:$A$884,0)),IF($H753&lt;=1,"Critical",IF($H753=2,"High",IF($H753=3,"Medium",IF($H753=4,"Low","Resilient"))))))</f>
        <v>Critical</v>
      </c>
      <c r="J753">
        <f t="shared" si="124"/>
        <v>3.7</v>
      </c>
      <c r="K753">
        <f t="shared" si="125"/>
        <v>4.3</v>
      </c>
      <c r="L753">
        <f t="shared" si="126"/>
        <v>15.91</v>
      </c>
      <c r="M753">
        <f t="shared" si="127"/>
        <v>4</v>
      </c>
      <c r="N753">
        <f>IF($H753="","",IFERROR(INDEX(_ENGINE_Risk!$T$5:$Y$499,MATCH($E753,_ENGINE_Risk!$A$5:$A$499,0),$H753+1),""))</f>
        <v>3</v>
      </c>
      <c r="O753">
        <f t="shared" si="128"/>
        <v>4.666666666666667</v>
      </c>
      <c r="P753">
        <f t="shared" si="129"/>
        <v>5</v>
      </c>
      <c r="Q753">
        <f t="shared" si="130"/>
        <v>5</v>
      </c>
      <c r="R753">
        <f t="shared" si="131"/>
        <v>5</v>
      </c>
      <c r="S753">
        <f t="shared" si="132"/>
        <v>1.64</v>
      </c>
      <c r="T753" t="str">
        <f>IF($H753="","",IFERROR(INDEX(_ENGINE_Risk!$N$5:$S$499,MATCH($E753,_ENGINE_Risk!$A$5:$A$499,0),$H753+1),""))</f>
        <v>Create an immediate risk owner, minimum control baseline and fallback procedure for CRM data quality for segmentation, pipeline, ICP, offerings, win/loss reasons and customer health. Add it to the crisis risk register and collect first evidence.</v>
      </c>
      <c r="U753">
        <f>IFERROR(INDEX(_DATA_Assessment_Model!$G$5:$G$884,MATCH($E753,_DATA_Assessment_Model!$A$5:$A$884,0)),"")</f>
        <v>4</v>
      </c>
      <c r="V753">
        <f>IFERROR(INDEX(_DATA_Assessment_Model!$W$5:$W$884,MATCH($E753,_DATA_Assessment_Model!$A$5:$A$884,0)),"")</f>
        <v>5</v>
      </c>
      <c r="W753">
        <f>IFERROR(INDEX(_DATA_Assessment_Model!$X$5:$X$884,MATCH($E753,_DATA_Assessment_Model!$A$5:$A$884,0)),"")</f>
        <v>5</v>
      </c>
      <c r="X753">
        <f>IFERROR(INDEX(_DATA_Assessment_Model!$Y$5:$Y$884,MATCH($E753,_DATA_Assessment_Model!$A$5:$A$884,0)),"")</f>
        <v>5</v>
      </c>
      <c r="Y753" t="s">
        <v>2299</v>
      </c>
      <c r="Z753" t="s">
        <v>8173</v>
      </c>
      <c r="AA753" t="s">
        <v>2302</v>
      </c>
      <c r="AB753">
        <f>IFERROR(INDEX(_DATA_Assessment_Model!$U$5:$U$884,MATCH($E753,_DATA_Assessment_Model!$A$5:$A$884,0)),"")</f>
        <v>0</v>
      </c>
      <c r="AF753" t="s">
        <v>2301</v>
      </c>
      <c r="AO753">
        <f>IF($B753="Yes",IF(IFERROR(INDEX(_ENGINE_Crisis!$F$501:$F$517,MATCH($C753,_ENGINE_Crisis!$A$501:$A$517,0)),1)=0,1,IFERROR(INDEX(_ENGINE_Crisis!$F$501:$F$517,MATCH($C753,_ENGINE_Crisis!$A$501:$A$517,0)),1)),"")</f>
        <v>1</v>
      </c>
      <c r="AP753">
        <f t="shared" si="133"/>
        <v>15.9</v>
      </c>
      <c r="AQ753">
        <f t="shared" si="134"/>
        <v>1.64</v>
      </c>
      <c r="AR753" t="str">
        <f>IFERROR(INDEX(_ENGINE_Crisis!$E$41:$E$700,MATCH('Resilience &amp; Risk Scenario'!$B$6&amp;"|"&amp;$C753,_ENGINE_Crisis!$I$41:$I$700,0)),"")</f>
        <v/>
      </c>
      <c r="AS753" t="str">
        <f>IFERROR(INDEX(_ENGINE_Crisis!$G$41:$G$700,MATCH('Resilience &amp; Risk Scenario'!$B$6&amp;"|"&amp;$C753,_ENGINE_Crisis!$I$41:$I$700,0)),"")</f>
        <v/>
      </c>
      <c r="AT753" t="str">
        <f>IFERROR(INDEX(_ENGINE_Initiatives!$A$5:$A$532,MATCH(1,INDEX((_ENGINE_Initiatives!$B$5:$B$532=$C753)*(_ENGINE_Initiatives!$C$5:$C$532=$D753),0),0)),"")</f>
        <v>INI-041</v>
      </c>
      <c r="AU753" t="str">
        <f>IFERROR(INDEX(_ENGINE_Initiatives!$F$5:$F$532,MATCH(1,INDEX((_ENGINE_Initiatives!$B$5:$B$532=$C753)*(_ENGINE_Initiatives!$C$5:$C$532=$D753),0),0)),"")</f>
        <v>Stabilize CRM data model, ownership and adoption</v>
      </c>
      <c r="AV753">
        <f>IFERROR(INDEX(_ENGINE_Initiatives!$AC$5:$AC$532,MATCH(1,INDEX((_ENGINE_Initiatives!$B$5:$B$532=$C753)*(_ENGINE_Initiatives!$C$5:$C$532=$D753),0),0)),"")</f>
        <v>1.74</v>
      </c>
      <c r="AW753" t="str">
        <f>IFERROR(INDEX(_ENGINE_Initiatives!$AE$5:$AE$532,MATCH(1,INDEX((_ENGINE_Initiatives!$B$5:$B$532=$C753)*(_ENGINE_Initiatives!$C$5:$C$532=$D753),0),0)),"")</f>
        <v>6-12 months</v>
      </c>
      <c r="AX753">
        <f>IF($B753="Yes",IFERROR((IF(SUMIFS(_REF_Model_Content!$E$1:$E$613,_REF_Model_Content!$A$1:$A$613,PV_Canonical_Industry,_REF_Model_Content!$B$1:$B$613,$C753)=0,1,SUMIFS(_REF_Model_Content!$E$1:$E$613,_REF_Model_Content!$A$1:$A$613,PV_Canonical_Industry,_REF_Model_Content!$B$1:$B$613,$C753))*IFERROR($BU753,1)),1),"")</f>
        <v>1</v>
      </c>
      <c r="AY753">
        <f t="shared" si="135"/>
        <v>15.9</v>
      </c>
      <c r="AZ753">
        <f t="shared" si="136"/>
        <v>1.64</v>
      </c>
      <c r="BB753" t="str">
        <f>IF($H753="","",IFERROR(INDEX(_ENGINE_Risk!$AE$5:$AE$499,MATCH($E753,_ENGINE_Risk!$A$5:$A$499,0)),"Medium"))</f>
        <v>Fast</v>
      </c>
      <c r="BC753">
        <f t="shared" si="137"/>
        <v>1.25</v>
      </c>
      <c r="BD753">
        <f t="shared" si="138"/>
        <v>1.64</v>
      </c>
      <c r="BF753">
        <f>IF(OR($H753="",$J753=""),"",IFERROR(VLOOKUP(ROUND($J753,0),_CONFIG_Model_Settings!$D$154:$E$158,2,0),""))</f>
        <v>0.5</v>
      </c>
      <c r="BG753">
        <f>IFERROR(IF(OR($H753="",$K753=""),"",ROUND('Company Profile'!$B$113*INDEX(_CONFIG_Model_Settings!$H$154:$H$158,MATCH(ROUND($K753,0),_CONFIG_Model_Settings!$G$154:$G$158,0)),0)),0)</f>
        <v>875</v>
      </c>
      <c r="BH753">
        <f t="shared" si="139"/>
        <v>437.5</v>
      </c>
      <c r="BI753">
        <f t="shared" si="140"/>
        <v>437.5</v>
      </c>
      <c r="BJ753">
        <f>IF($E753="","",IFERROR(VLOOKUP($C753,_CONFIG_Risk_Calibration!$A$5:$H$21,2,FALSE),3))</f>
        <v>3</v>
      </c>
      <c r="BK753">
        <f>IF($E753="","",IFERROR(VLOOKUP($C753,_CONFIG_Risk_Calibration!$A$5:$H$21,3,FALSE),0))</f>
        <v>0</v>
      </c>
      <c r="BL753">
        <f>IF($E753="","",IFERROR(VLOOKUP($C753,_CONFIG_Risk_Calibration!$A$5:$H$21,4,FALSE),3))</f>
        <v>3</v>
      </c>
      <c r="BM753">
        <f>IF($E753="","",IFERROR(VLOOKUP($C753,_CONFIG_Risk_Calibration!$A$5:$H$21,5,FALSE),3))</f>
        <v>3</v>
      </c>
      <c r="BN753" t="str">
        <f>IF($E753="","",IFERROR(VLOOKUP($C753,_CONFIG_Risk_Calibration!$A$5:$H$21,6,FALSE),"No"))</f>
        <v>No</v>
      </c>
      <c r="BO753">
        <f>IF($E753="","",IFERROR(VLOOKUP($C753,_CONFIG_Risk_Calibration!$A$5:$H$21,7,FALSE),1))</f>
        <v>1</v>
      </c>
      <c r="BP753">
        <f>IF($H753="","",MAX(1,MIN(5,((6-$H753)*0.45)+($BJ753*0.2)+('Resilience &amp; Risk Scenario'!$B$7*0.15)+($BK753*0.1)+($BL753*0.05)+(IF($BB753="Fast",5,IF($BB753="Slow",1,3))*0.05))))</f>
        <v>3.7</v>
      </c>
      <c r="BQ753">
        <f t="shared" si="141"/>
        <v>4.3</v>
      </c>
      <c r="BR753">
        <f t="shared" si="142"/>
        <v>15.91</v>
      </c>
      <c r="BS753">
        <f t="shared" si="143"/>
        <v>19.89</v>
      </c>
      <c r="BT753" t="str">
        <f>IFERROR(INDEX(_REF_Capability_Bridge!$D:$D,MATCH($C753&amp;"|"&amp;$D753,_REF_Capability_Bridge!$J:$J,0)),IFERROR(INDEX(_REF_Capability_Bridge!$D:$D,MATCH($C753&amp;"|",_REF_Capability_Bridge!$J:$J,0)),"CAP_GENERIC"))</f>
        <v>CAP_SRE_OBSERVABILITY</v>
      </c>
      <c r="BU753">
        <f>IFERROR(IFERROR(INDEX(_ENGINE_Relevance!$L:$L,MATCH($BT753,_ENGINE_Relevance!$B:$B,0)),1),1)</f>
        <v>1</v>
      </c>
      <c r="BV753" t="str">
        <f>IFERROR(INDEX(_REF_Capability_Bridge!$A:$A,MATCH($C753&amp;"|"&amp;$D753,_REF_Capability_Bridge!$J:$J,0)),IFERROR(INDEX(_REF_Capability_Bridge!$A:$A,MATCH($C753&amp;"|",_REF_Capability_Bridge!$J:$J,0)),"No bridge"))</f>
        <v>BRG-077</v>
      </c>
      <c r="BW753" t="str">
        <f t="shared" si="144"/>
        <v>Capability relevance neutral</v>
      </c>
      <c r="BX753" t="str">
        <f t="shared" si="145"/>
        <v>Initial / absent</v>
      </c>
      <c r="BY753" t="str">
        <f>IF($E753="","",IFERROR(INDEX(_REF_Treatment_Library!$A$2:$A$296,MATCH(1,INDEX((_REF_Treatment_Library!$B$2:$B$296=$BT753)*(_REF_Treatment_Library!$C$2:$C$296=PV_Canonical_Industry)*(_REF_Treatment_Library!$E$2:$E$296&lt;=N($H753))*(_REF_Treatment_Library!$F$2:$F$296&gt;=N($H753))*(_REF_Treatment_Library!$O$2:$O$296="Yes"),0),0)),IFERROR(INDEX(_REF_Treatment_Library!$A$2:$A$296,MATCH(1,INDEX((_REF_Treatment_Library!$B$2:$B$296=$BT753)*(_REF_Treatment_Library!$C$2:$C$296="All")*(_REF_Treatment_Library!$E$2:$E$296&lt;=N($H753))*(_REF_Treatment_Library!$F$2:$F$296&gt;=N($H753))*(_REF_Treatment_Library!$O$2:$O$296="Yes"),0),0)),"")))</f>
        <v>TRT-SRE_OBSERVABILITY-INITIAL</v>
      </c>
      <c r="BZ753" t="str">
        <f>IF($BY753="","",IFERROR(INDEX(_REF_Treatment_Library!$H$2:$H$296,MATCH($BY753,_REF_Treatment_Library!$A$2:$A$296,0)),""))</f>
        <v>Establish</v>
      </c>
      <c r="CA753" t="str">
        <f>IF($BY753="","",IFERROR(INDEX(_REF_Treatment_Library!$I$2:$I$296,MATCH($BY753,_REF_Treatment_Library!$A$2:$A$296,0)),""))</f>
        <v>Establish baseline controls for SRE / Observability</v>
      </c>
      <c r="CB753" t="str">
        <f>IF($BY753="","",IFERROR(INDEX(_REF_Treatment_Library!$K$2:$K$296,MATCH($BY753,_REF_Treatment_Library!$A$2:$A$296,0)),""))</f>
        <v>Named owner, baseline process, minimum control checklist, first evidence package</v>
      </c>
      <c r="CC753" t="str">
        <f>IF($BY753="","",IFERROR(INDEX(_REF_Treatment_Library!$L$2:$L$296,MATCH($BY753,_REF_Treatment_Library!$A$2:$A$296,0)),""))</f>
        <v>Owner assigned; baseline evidence coverage; open critical gaps</v>
      </c>
      <c r="CD753" t="str">
        <f t="shared" si="146"/>
        <v>Treatment by capability=CAP_SRE_OBSERVABILITY; band=Initial / absent; score=0.0; treatment=Establish</v>
      </c>
      <c r="CE753" t="str">
        <f>IF($E753="","",IFERROR(INDEX(_REF_Industry_Wording!$A$2:$A$70,MATCH(1,INDEX((_REF_Industry_Wording!$B$2:$B$70=$BT753)*(_REF_Industry_Wording!$C$2:$C$70=PV_Canonical_Industry)*(_REF_Industry_Wording!$K$2:$K$70="Yes"),0),0)),IFERROR(INDEX(_REF_Industry_Wording!$A$2:$A$70,MATCH(1,INDEX((_REF_Industry_Wording!$B$2:$B$70=$BT753)*(_REF_Industry_Wording!$C$2:$C$70="All")*(_REF_Industry_Wording!$K$2:$K$70="Yes"),0),0)),"")))</f>
        <v>IW-ALL-SRE_OBSERVABILITY</v>
      </c>
      <c r="CF753" t="str">
        <f>IF($CE753="","",IFERROR(INDEX(_REF_Industry_Wording!$E$2:$E$70,MATCH($CE753,_REF_Industry_Wording!$A$2:$A$70,0)),""))</f>
        <v>SRE / Observability weakness</v>
      </c>
      <c r="CG753" t="str">
        <f>IF($CE753="","",IFERROR(INDEX(_REF_Industry_Wording!$F$2:$F$70,MATCH($CE753,_REF_Industry_Wording!$A$2:$A$70,0)),""))</f>
        <v>Strengthen SRE / Observability</v>
      </c>
      <c r="CH753" t="str">
        <f>IF($CE753="","",IFERROR(INDEX(_REF_Industry_Wording!$G$2:$G$70,MATCH($CE753,_REF_Industry_Wording!$A$2:$A$70,0)),""))</f>
        <v>Strengthen SRE / Observability using the selected maturity treatment, crisis scenario and evidence requirements.</v>
      </c>
      <c r="CI753" t="str">
        <f>IF($CE753="","",IFERROR(INDEX(_REF_Industry_Wording!$H$2:$H$70,MATCH($CE753,_REF_Industry_Wording!$A$2:$A$70,0)),""))</f>
        <v>SRE / Observability</v>
      </c>
      <c r="CJ753">
        <f>IF($CE753="","",IFERROR(INDEX(_REF_Industry_Wording!$I$2:$I$70,MATCH($CE753,_REF_Industry_Wording!$A$2:$A$70,0)),""))</f>
        <v>0</v>
      </c>
      <c r="CK753" t="str">
        <f>IF($CE753="","",IFERROR(INDEX(_REF_Industry_Wording!$J$2:$J$70,MATCH($CE753,_REF_Industry_Wording!$A$2:$A$70,0)),""))</f>
        <v>SRE / Observability</v>
      </c>
      <c r="CL753" t="str">
        <f t="shared" si="147"/>
        <v>Wording by industry=0; capability=CAP_SRE_OBSERVABILITY; risk label=SRE / Observability weakness</v>
      </c>
      <c r="CM753" t="str">
        <f t="shared" si="148"/>
        <v>RISK-ONT-0254</v>
      </c>
      <c r="CN753" t="str">
        <f t="shared" si="149"/>
        <v>RISK-EVT-0254</v>
      </c>
      <c r="CO753" t="str">
        <f t="shared" si="150"/>
        <v>Sales CRM|CRM foundation|SALE-002|CAP_SRE_OBSERVABILITY</v>
      </c>
      <c r="CP753" t="str">
        <f t="shared" si="151"/>
        <v>Active</v>
      </c>
      <c r="CQ753" t="str">
        <f t="shared" si="152"/>
        <v>OK: capability-driven</v>
      </c>
      <c r="CR753" t="str">
        <f t="shared" si="153"/>
        <v>Risk ontology uses capability=CAP_SRE_OBSERVABILITY; bridge=BRG-077; treatment=TRT-SRE_OBSERVABILITY-INITIAL; wording=IW-ALL-SRE_OBSERVABILITY</v>
      </c>
      <c r="CS753" t="str">
        <f t="shared" si="154"/>
        <v>Yes</v>
      </c>
    </row>
    <row r="754" spans="1:97" ht="69.900000000000006" customHeight="1">
      <c r="A754">
        <f>IF(OR($B754&lt;&gt;"Yes",$BS754=""),"",SUMPRODUCT(($B$500:$B$923="Yes")*ISNUMBER($BS$500:$BS$923)*($BS$500:$BS$923&gt;$BS754))+COUNTIFS($B$500:$B754,"Yes",$BS$500:$BS754,$BS754))</f>
        <v>148</v>
      </c>
      <c r="B754" t="str">
        <f t="shared" si="123"/>
        <v>Yes</v>
      </c>
      <c r="C754" t="s">
        <v>2286</v>
      </c>
      <c r="D754" t="s">
        <v>2288</v>
      </c>
      <c r="E754" t="s">
        <v>2310</v>
      </c>
      <c r="F754" t="s">
        <v>3689</v>
      </c>
      <c r="G754" t="str">
        <f>IF($H754="","",IFERROR(INDEX(_ENGINE_Risk!$H$5:$M$499,MATCH($E754,_ENGINE_Risk!$A$5:$A$499,0),$H754+1),""))</f>
        <v>Severe risk: sales process governance from lead to opportunity to contract to handover is not reliably controlled. During Demand shock; Revenue loss; Reputation crisis, the organization may face pipeline loss, poor customer retention, weak forecasting and inability to protect revenue channels with limited visibility or accountability.</v>
      </c>
      <c r="H754">
        <f>IFERROR(VALUE(INDEX(_DATA_Assessment_Model!$H$5:$H$884,MATCH($E754,_DATA_Assessment_Model!$A$5:$A$884,0))),"")</f>
        <v>0</v>
      </c>
      <c r="I754" t="str">
        <f>IF($H754="","",IFERROR(INDEX(_DATA_Assessment_Model!$L$5:$L$884,MATCH($E754,_DATA_Assessment_Model!$A$5:$A$884,0)),IF($H754&lt;=1,"Critical",IF($H754=2,"High",IF($H754=3,"Medium",IF($H754=4,"Low","Resilient"))))))</f>
        <v>Critical</v>
      </c>
      <c r="J754">
        <f t="shared" si="124"/>
        <v>3.7</v>
      </c>
      <c r="K754">
        <f t="shared" si="125"/>
        <v>4.3</v>
      </c>
      <c r="L754">
        <f t="shared" si="126"/>
        <v>15.91</v>
      </c>
      <c r="M754">
        <f t="shared" si="127"/>
        <v>4</v>
      </c>
      <c r="N754">
        <f>IF($H754="","",IFERROR(INDEX(_ENGINE_Risk!$T$5:$Y$499,MATCH($E754,_ENGINE_Risk!$A$5:$A$499,0),$H754+1),""))</f>
        <v>3</v>
      </c>
      <c r="O754">
        <f t="shared" si="128"/>
        <v>4.666666666666667</v>
      </c>
      <c r="P754">
        <f t="shared" si="129"/>
        <v>5</v>
      </c>
      <c r="Q754">
        <f t="shared" si="130"/>
        <v>5</v>
      </c>
      <c r="R754">
        <f t="shared" si="131"/>
        <v>5</v>
      </c>
      <c r="S754">
        <f t="shared" si="132"/>
        <v>1.64</v>
      </c>
      <c r="T754" t="str">
        <f>IF($H754="","",IFERROR(INDEX(_ENGINE_Risk!$N$5:$S$499,MATCH($E754,_ENGINE_Risk!$A$5:$A$499,0),$H754+1),""))</f>
        <v>Create an immediate risk owner, minimum control baseline and fallback procedure for sales process governance from lead to opportunity to contract to handover. Add it to the crisis risk register and collect first evidence.</v>
      </c>
      <c r="U754">
        <f>IFERROR(INDEX(_DATA_Assessment_Model!$G$5:$G$884,MATCH($E754,_DATA_Assessment_Model!$A$5:$A$884,0)),"")</f>
        <v>4</v>
      </c>
      <c r="V754">
        <f>IFERROR(INDEX(_DATA_Assessment_Model!$W$5:$W$884,MATCH($E754,_DATA_Assessment_Model!$A$5:$A$884,0)),"")</f>
        <v>5</v>
      </c>
      <c r="W754">
        <f>IFERROR(INDEX(_DATA_Assessment_Model!$X$5:$X$884,MATCH($E754,_DATA_Assessment_Model!$A$5:$A$884,0)),"")</f>
        <v>5</v>
      </c>
      <c r="X754">
        <f>IFERROR(INDEX(_DATA_Assessment_Model!$Y$5:$Y$884,MATCH($E754,_DATA_Assessment_Model!$A$5:$A$884,0)),"")</f>
        <v>5</v>
      </c>
      <c r="Y754" t="s">
        <v>2299</v>
      </c>
      <c r="Z754" t="s">
        <v>8173</v>
      </c>
      <c r="AA754" t="s">
        <v>2312</v>
      </c>
      <c r="AB754">
        <f>IFERROR(INDEX(_DATA_Assessment_Model!$U$5:$U$884,MATCH($E754,_DATA_Assessment_Model!$A$5:$A$884,0)),"")</f>
        <v>0</v>
      </c>
      <c r="AF754" t="s">
        <v>2311</v>
      </c>
      <c r="AO754">
        <f>IF($B754="Yes",IF(IFERROR(INDEX(_ENGINE_Crisis!$F$501:$F$517,MATCH($C754,_ENGINE_Crisis!$A$501:$A$517,0)),1)=0,1,IFERROR(INDEX(_ENGINE_Crisis!$F$501:$F$517,MATCH($C754,_ENGINE_Crisis!$A$501:$A$517,0)),1)),"")</f>
        <v>1</v>
      </c>
      <c r="AP754">
        <f t="shared" si="133"/>
        <v>15.9</v>
      </c>
      <c r="AQ754">
        <f t="shared" si="134"/>
        <v>1.64</v>
      </c>
      <c r="AR754" t="str">
        <f>IFERROR(INDEX(_ENGINE_Crisis!$E$41:$E$700,MATCH('Resilience &amp; Risk Scenario'!$B$6&amp;"|"&amp;$C754,_ENGINE_Crisis!$I$41:$I$700,0)),"")</f>
        <v/>
      </c>
      <c r="AS754" t="str">
        <f>IFERROR(INDEX(_ENGINE_Crisis!$G$41:$G$700,MATCH('Resilience &amp; Risk Scenario'!$B$6&amp;"|"&amp;$C754,_ENGINE_Crisis!$I$41:$I$700,0)),"")</f>
        <v/>
      </c>
      <c r="AT754" t="str">
        <f>IFERROR(INDEX(_ENGINE_Initiatives!$A$5:$A$532,MATCH(1,INDEX((_ENGINE_Initiatives!$B$5:$B$532=$C754)*(_ENGINE_Initiatives!$C$5:$C$532=$D754),0),0)),"")</f>
        <v>INI-041</v>
      </c>
      <c r="AU754" t="str">
        <f>IFERROR(INDEX(_ENGINE_Initiatives!$F$5:$F$532,MATCH(1,INDEX((_ENGINE_Initiatives!$B$5:$B$532=$C754)*(_ENGINE_Initiatives!$C$5:$C$532=$D754),0),0)),"")</f>
        <v>Stabilize CRM data model, ownership and adoption</v>
      </c>
      <c r="AV754">
        <f>IFERROR(INDEX(_ENGINE_Initiatives!$AC$5:$AC$532,MATCH(1,INDEX((_ENGINE_Initiatives!$B$5:$B$532=$C754)*(_ENGINE_Initiatives!$C$5:$C$532=$D754),0),0)),"")</f>
        <v>1.74</v>
      </c>
      <c r="AW754" t="str">
        <f>IFERROR(INDEX(_ENGINE_Initiatives!$AE$5:$AE$532,MATCH(1,INDEX((_ENGINE_Initiatives!$B$5:$B$532=$C754)*(_ENGINE_Initiatives!$C$5:$C$532=$D754),0),0)),"")</f>
        <v>6-12 months</v>
      </c>
      <c r="AX754">
        <f>IF($B754="Yes",IFERROR((IF(SUMIFS(_REF_Model_Content!$E$1:$E$613,_REF_Model_Content!$A$1:$A$613,PV_Canonical_Industry,_REF_Model_Content!$B$1:$B$613,$C754)=0,1,SUMIFS(_REF_Model_Content!$E$1:$E$613,_REF_Model_Content!$A$1:$A$613,PV_Canonical_Industry,_REF_Model_Content!$B$1:$B$613,$C754))*IFERROR($BU754,1)),1),"")</f>
        <v>1</v>
      </c>
      <c r="AY754">
        <f t="shared" si="135"/>
        <v>15.9</v>
      </c>
      <c r="AZ754">
        <f t="shared" si="136"/>
        <v>1.64</v>
      </c>
      <c r="BB754" t="str">
        <f>IF($H754="","",IFERROR(INDEX(_ENGINE_Risk!$AE$5:$AE$499,MATCH($E754,_ENGINE_Risk!$A$5:$A$499,0)),"Medium"))</f>
        <v>Fast</v>
      </c>
      <c r="BC754">
        <f t="shared" si="137"/>
        <v>1.25</v>
      </c>
      <c r="BD754">
        <f t="shared" si="138"/>
        <v>1.64</v>
      </c>
      <c r="BF754">
        <f>IF(OR($H754="",$J754=""),"",IFERROR(VLOOKUP(ROUND($J754,0),_CONFIG_Model_Settings!$D$154:$E$158,2,0),""))</f>
        <v>0.5</v>
      </c>
      <c r="BG754">
        <f>IFERROR(IF(OR($H754="",$K754=""),"",ROUND('Company Profile'!$B$113*INDEX(_CONFIG_Model_Settings!$H$154:$H$158,MATCH(ROUND($K754,0),_CONFIG_Model_Settings!$G$154:$G$158,0)),0)),0)</f>
        <v>875</v>
      </c>
      <c r="BH754">
        <f t="shared" si="139"/>
        <v>437.5</v>
      </c>
      <c r="BI754">
        <f t="shared" si="140"/>
        <v>437.5</v>
      </c>
      <c r="BJ754">
        <f>IF($E754="","",IFERROR(VLOOKUP($C754,_CONFIG_Risk_Calibration!$A$5:$H$21,2,FALSE),3))</f>
        <v>3</v>
      </c>
      <c r="BK754">
        <f>IF($E754="","",IFERROR(VLOOKUP($C754,_CONFIG_Risk_Calibration!$A$5:$H$21,3,FALSE),0))</f>
        <v>0</v>
      </c>
      <c r="BL754">
        <f>IF($E754="","",IFERROR(VLOOKUP($C754,_CONFIG_Risk_Calibration!$A$5:$H$21,4,FALSE),3))</f>
        <v>3</v>
      </c>
      <c r="BM754">
        <f>IF($E754="","",IFERROR(VLOOKUP($C754,_CONFIG_Risk_Calibration!$A$5:$H$21,5,FALSE),3))</f>
        <v>3</v>
      </c>
      <c r="BN754" t="str">
        <f>IF($E754="","",IFERROR(VLOOKUP($C754,_CONFIG_Risk_Calibration!$A$5:$H$21,6,FALSE),"No"))</f>
        <v>No</v>
      </c>
      <c r="BO754">
        <f>IF($E754="","",IFERROR(VLOOKUP($C754,_CONFIG_Risk_Calibration!$A$5:$H$21,7,FALSE),1))</f>
        <v>1</v>
      </c>
      <c r="BP754">
        <f>IF($H754="","",MAX(1,MIN(5,((6-$H754)*0.45)+($BJ754*0.2)+('Resilience &amp; Risk Scenario'!$B$7*0.15)+($BK754*0.1)+($BL754*0.05)+(IF($BB754="Fast",5,IF($BB754="Slow",1,3))*0.05))))</f>
        <v>3.7</v>
      </c>
      <c r="BQ754">
        <f t="shared" si="141"/>
        <v>4.3</v>
      </c>
      <c r="BR754">
        <f t="shared" si="142"/>
        <v>15.91</v>
      </c>
      <c r="BS754">
        <f t="shared" si="143"/>
        <v>19.89</v>
      </c>
      <c r="BT754" t="str">
        <f>IFERROR(INDEX(_REF_Capability_Bridge!$D:$D,MATCH($C754&amp;"|"&amp;$D754,_REF_Capability_Bridge!$J:$J,0)),IFERROR(INDEX(_REF_Capability_Bridge!$D:$D,MATCH($C754&amp;"|",_REF_Capability_Bridge!$J:$J,0)),"CAP_GENERIC"))</f>
        <v>CAP_SRE_OBSERVABILITY</v>
      </c>
      <c r="BU754">
        <f>IFERROR(IFERROR(INDEX(_ENGINE_Relevance!$L:$L,MATCH($BT754,_ENGINE_Relevance!$B:$B,0)),1),1)</f>
        <v>1</v>
      </c>
      <c r="BV754" t="str">
        <f>IFERROR(INDEX(_REF_Capability_Bridge!$A:$A,MATCH($C754&amp;"|"&amp;$D754,_REF_Capability_Bridge!$J:$J,0)),IFERROR(INDEX(_REF_Capability_Bridge!$A:$A,MATCH($C754&amp;"|",_REF_Capability_Bridge!$J:$J,0)),"No bridge"))</f>
        <v>BRG-077</v>
      </c>
      <c r="BW754" t="str">
        <f t="shared" si="144"/>
        <v>Capability relevance neutral</v>
      </c>
      <c r="BX754" t="str">
        <f t="shared" si="145"/>
        <v>Initial / absent</v>
      </c>
      <c r="BY754" t="str">
        <f>IF($E754="","",IFERROR(INDEX(_REF_Treatment_Library!$A$2:$A$296,MATCH(1,INDEX((_REF_Treatment_Library!$B$2:$B$296=$BT754)*(_REF_Treatment_Library!$C$2:$C$296=PV_Canonical_Industry)*(_REF_Treatment_Library!$E$2:$E$296&lt;=N($H754))*(_REF_Treatment_Library!$F$2:$F$296&gt;=N($H754))*(_REF_Treatment_Library!$O$2:$O$296="Yes"),0),0)),IFERROR(INDEX(_REF_Treatment_Library!$A$2:$A$296,MATCH(1,INDEX((_REF_Treatment_Library!$B$2:$B$296=$BT754)*(_REF_Treatment_Library!$C$2:$C$296="All")*(_REF_Treatment_Library!$E$2:$E$296&lt;=N($H754))*(_REF_Treatment_Library!$F$2:$F$296&gt;=N($H754))*(_REF_Treatment_Library!$O$2:$O$296="Yes"),0),0)),"")))</f>
        <v>TRT-SRE_OBSERVABILITY-INITIAL</v>
      </c>
      <c r="BZ754" t="str">
        <f>IF($BY754="","",IFERROR(INDEX(_REF_Treatment_Library!$H$2:$H$296,MATCH($BY754,_REF_Treatment_Library!$A$2:$A$296,0)),""))</f>
        <v>Establish</v>
      </c>
      <c r="CA754" t="str">
        <f>IF($BY754="","",IFERROR(INDEX(_REF_Treatment_Library!$I$2:$I$296,MATCH($BY754,_REF_Treatment_Library!$A$2:$A$296,0)),""))</f>
        <v>Establish baseline controls for SRE / Observability</v>
      </c>
      <c r="CB754" t="str">
        <f>IF($BY754="","",IFERROR(INDEX(_REF_Treatment_Library!$K$2:$K$296,MATCH($BY754,_REF_Treatment_Library!$A$2:$A$296,0)),""))</f>
        <v>Named owner, baseline process, minimum control checklist, first evidence package</v>
      </c>
      <c r="CC754" t="str">
        <f>IF($BY754="","",IFERROR(INDEX(_REF_Treatment_Library!$L$2:$L$296,MATCH($BY754,_REF_Treatment_Library!$A$2:$A$296,0)),""))</f>
        <v>Owner assigned; baseline evidence coverage; open critical gaps</v>
      </c>
      <c r="CD754" t="str">
        <f t="shared" si="146"/>
        <v>Treatment by capability=CAP_SRE_OBSERVABILITY; band=Initial / absent; score=0.0; treatment=Establish</v>
      </c>
      <c r="CE754" t="str">
        <f>IF($E754="","",IFERROR(INDEX(_REF_Industry_Wording!$A$2:$A$70,MATCH(1,INDEX((_REF_Industry_Wording!$B$2:$B$70=$BT754)*(_REF_Industry_Wording!$C$2:$C$70=PV_Canonical_Industry)*(_REF_Industry_Wording!$K$2:$K$70="Yes"),0),0)),IFERROR(INDEX(_REF_Industry_Wording!$A$2:$A$70,MATCH(1,INDEX((_REF_Industry_Wording!$B$2:$B$70=$BT754)*(_REF_Industry_Wording!$C$2:$C$70="All")*(_REF_Industry_Wording!$K$2:$K$70="Yes"),0),0)),"")))</f>
        <v>IW-ALL-SRE_OBSERVABILITY</v>
      </c>
      <c r="CF754" t="str">
        <f>IF($CE754="","",IFERROR(INDEX(_REF_Industry_Wording!$E$2:$E$70,MATCH($CE754,_REF_Industry_Wording!$A$2:$A$70,0)),""))</f>
        <v>SRE / Observability weakness</v>
      </c>
      <c r="CG754" t="str">
        <f>IF($CE754="","",IFERROR(INDEX(_REF_Industry_Wording!$F$2:$F$70,MATCH($CE754,_REF_Industry_Wording!$A$2:$A$70,0)),""))</f>
        <v>Strengthen SRE / Observability</v>
      </c>
      <c r="CH754" t="str">
        <f>IF($CE754="","",IFERROR(INDEX(_REF_Industry_Wording!$G$2:$G$70,MATCH($CE754,_REF_Industry_Wording!$A$2:$A$70,0)),""))</f>
        <v>Strengthen SRE / Observability using the selected maturity treatment, crisis scenario and evidence requirements.</v>
      </c>
      <c r="CI754" t="str">
        <f>IF($CE754="","",IFERROR(INDEX(_REF_Industry_Wording!$H$2:$H$70,MATCH($CE754,_REF_Industry_Wording!$A$2:$A$70,0)),""))</f>
        <v>SRE / Observability</v>
      </c>
      <c r="CJ754">
        <f>IF($CE754="","",IFERROR(INDEX(_REF_Industry_Wording!$I$2:$I$70,MATCH($CE754,_REF_Industry_Wording!$A$2:$A$70,0)),""))</f>
        <v>0</v>
      </c>
      <c r="CK754" t="str">
        <f>IF($CE754="","",IFERROR(INDEX(_REF_Industry_Wording!$J$2:$J$70,MATCH($CE754,_REF_Industry_Wording!$A$2:$A$70,0)),""))</f>
        <v>SRE / Observability</v>
      </c>
      <c r="CL754" t="str">
        <f t="shared" si="147"/>
        <v>Wording by industry=0; capability=CAP_SRE_OBSERVABILITY; risk label=SRE / Observability weakness</v>
      </c>
      <c r="CM754" t="str">
        <f t="shared" si="148"/>
        <v>RISK-ONT-0255</v>
      </c>
      <c r="CN754" t="str">
        <f t="shared" si="149"/>
        <v>RISK-EVT-0255</v>
      </c>
      <c r="CO754" t="str">
        <f t="shared" si="150"/>
        <v>Sales CRM|CRM foundation|SALE-004|CAP_SRE_OBSERVABILITY</v>
      </c>
      <c r="CP754" t="str">
        <f t="shared" si="151"/>
        <v>Active</v>
      </c>
      <c r="CQ754" t="str">
        <f t="shared" si="152"/>
        <v>OK: capability-driven</v>
      </c>
      <c r="CR754" t="str">
        <f t="shared" si="153"/>
        <v>Risk ontology uses capability=CAP_SRE_OBSERVABILITY; bridge=BRG-077; treatment=TRT-SRE_OBSERVABILITY-INITIAL; wording=IW-ALL-SRE_OBSERVABILITY</v>
      </c>
      <c r="CS754" t="str">
        <f t="shared" si="154"/>
        <v>Yes</v>
      </c>
    </row>
    <row r="755" spans="1:97" ht="69.900000000000006" customHeight="1">
      <c r="A755">
        <f>IF(OR($B755&lt;&gt;"Yes",$BS755=""),"",SUMPRODUCT(($B$500:$B$923="Yes")*ISNUMBER($BS$500:$BS$923)*($BS$500:$BS$923&gt;$BS755))+COUNTIFS($B$500:$B755,"Yes",$BS$500:$BS755,$BS755))</f>
        <v>149</v>
      </c>
      <c r="B755" t="str">
        <f t="shared" si="123"/>
        <v>Yes</v>
      </c>
      <c r="C755" t="s">
        <v>2286</v>
      </c>
      <c r="D755" t="s">
        <v>2288</v>
      </c>
      <c r="E755" t="s">
        <v>2320</v>
      </c>
      <c r="F755" t="s">
        <v>3689</v>
      </c>
      <c r="G755" t="str">
        <f>IF($H755="","",IFERROR(INDEX(_ENGINE_Risk!$H$5:$M$499,MATCH($E755,_ENGINE_Risk!$A$5:$A$499,0),$H755+1),""))</f>
        <v>Severe risk: customer and contract data linked to renewal, SLA and revenue risk is not reliably controlled. During Demand shock; Revenue loss; Reputation crisis, the organization may face pipeline loss, poor customer retention, weak forecasting and inability to protect revenue channels with limited visibility or accountability.</v>
      </c>
      <c r="H755">
        <f>IFERROR(VALUE(INDEX(_DATA_Assessment_Model!$H$5:$H$884,MATCH($E755,_DATA_Assessment_Model!$A$5:$A$884,0))),"")</f>
        <v>0</v>
      </c>
      <c r="I755" t="str">
        <f>IF($H755="","",IFERROR(INDEX(_DATA_Assessment_Model!$L$5:$L$884,MATCH($E755,_DATA_Assessment_Model!$A$5:$A$884,0)),IF($H755&lt;=1,"Critical",IF($H755=2,"High",IF($H755=3,"Medium",IF($H755=4,"Low","Resilient"))))))</f>
        <v>Critical</v>
      </c>
      <c r="J755">
        <f t="shared" si="124"/>
        <v>3.7</v>
      </c>
      <c r="K755">
        <f t="shared" si="125"/>
        <v>4.3</v>
      </c>
      <c r="L755">
        <f t="shared" si="126"/>
        <v>15.91</v>
      </c>
      <c r="M755">
        <f t="shared" si="127"/>
        <v>4</v>
      </c>
      <c r="N755">
        <f>IF($H755="","",IFERROR(INDEX(_ENGINE_Risk!$T$5:$Y$499,MATCH($E755,_ENGINE_Risk!$A$5:$A$499,0),$H755+1),""))</f>
        <v>3</v>
      </c>
      <c r="O755">
        <f t="shared" si="128"/>
        <v>4.666666666666667</v>
      </c>
      <c r="P755">
        <f t="shared" si="129"/>
        <v>5</v>
      </c>
      <c r="Q755">
        <f t="shared" si="130"/>
        <v>5</v>
      </c>
      <c r="R755">
        <f t="shared" si="131"/>
        <v>5</v>
      </c>
      <c r="S755">
        <f t="shared" si="132"/>
        <v>1.64</v>
      </c>
      <c r="T755" t="str">
        <f>IF($H755="","",IFERROR(INDEX(_ENGINE_Risk!$N$5:$S$499,MATCH($E755,_ENGINE_Risk!$A$5:$A$499,0),$H755+1),""))</f>
        <v>Create an immediate risk owner, minimum control baseline and fallback procedure for customer and contract data linked to renewal, SLA and revenue risk. Add it to the crisis risk register and collect first evidence.</v>
      </c>
      <c r="U755">
        <f>IFERROR(INDEX(_DATA_Assessment_Model!$G$5:$G$884,MATCH($E755,_DATA_Assessment_Model!$A$5:$A$884,0)),"")</f>
        <v>4</v>
      </c>
      <c r="V755">
        <f>IFERROR(INDEX(_DATA_Assessment_Model!$W$5:$W$884,MATCH($E755,_DATA_Assessment_Model!$A$5:$A$884,0)),"")</f>
        <v>5</v>
      </c>
      <c r="W755">
        <f>IFERROR(INDEX(_DATA_Assessment_Model!$X$5:$X$884,MATCH($E755,_DATA_Assessment_Model!$A$5:$A$884,0)),"")</f>
        <v>5</v>
      </c>
      <c r="X755">
        <f>IFERROR(INDEX(_DATA_Assessment_Model!$Y$5:$Y$884,MATCH($E755,_DATA_Assessment_Model!$A$5:$A$884,0)),"")</f>
        <v>5</v>
      </c>
      <c r="Y755" t="s">
        <v>2299</v>
      </c>
      <c r="Z755" t="s">
        <v>8173</v>
      </c>
      <c r="AA755" t="s">
        <v>2322</v>
      </c>
      <c r="AB755">
        <f>IFERROR(INDEX(_DATA_Assessment_Model!$U$5:$U$884,MATCH($E755,_DATA_Assessment_Model!$A$5:$A$884,0)),"")</f>
        <v>0</v>
      </c>
      <c r="AF755" t="s">
        <v>2321</v>
      </c>
      <c r="AO755">
        <f>IF($B755="Yes",IF(IFERROR(INDEX(_ENGINE_Crisis!$F$501:$F$517,MATCH($C755,_ENGINE_Crisis!$A$501:$A$517,0)),1)=0,1,IFERROR(INDEX(_ENGINE_Crisis!$F$501:$F$517,MATCH($C755,_ENGINE_Crisis!$A$501:$A$517,0)),1)),"")</f>
        <v>1</v>
      </c>
      <c r="AP755">
        <f t="shared" si="133"/>
        <v>15.9</v>
      </c>
      <c r="AQ755">
        <f t="shared" si="134"/>
        <v>1.64</v>
      </c>
      <c r="AR755" t="str">
        <f>IFERROR(INDEX(_ENGINE_Crisis!$E$41:$E$700,MATCH('Resilience &amp; Risk Scenario'!$B$6&amp;"|"&amp;$C755,_ENGINE_Crisis!$I$41:$I$700,0)),"")</f>
        <v/>
      </c>
      <c r="AS755" t="str">
        <f>IFERROR(INDEX(_ENGINE_Crisis!$G$41:$G$700,MATCH('Resilience &amp; Risk Scenario'!$B$6&amp;"|"&amp;$C755,_ENGINE_Crisis!$I$41:$I$700,0)),"")</f>
        <v/>
      </c>
      <c r="AT755" t="str">
        <f>IFERROR(INDEX(_ENGINE_Initiatives!$A$5:$A$532,MATCH(1,INDEX((_ENGINE_Initiatives!$B$5:$B$532=$C755)*(_ENGINE_Initiatives!$C$5:$C$532=$D755),0),0)),"")</f>
        <v>INI-041</v>
      </c>
      <c r="AU755" t="str">
        <f>IFERROR(INDEX(_ENGINE_Initiatives!$F$5:$F$532,MATCH(1,INDEX((_ENGINE_Initiatives!$B$5:$B$532=$C755)*(_ENGINE_Initiatives!$C$5:$C$532=$D755),0),0)),"")</f>
        <v>Stabilize CRM data model, ownership and adoption</v>
      </c>
      <c r="AV755">
        <f>IFERROR(INDEX(_ENGINE_Initiatives!$AC$5:$AC$532,MATCH(1,INDEX((_ENGINE_Initiatives!$B$5:$B$532=$C755)*(_ENGINE_Initiatives!$C$5:$C$532=$D755),0),0)),"")</f>
        <v>1.74</v>
      </c>
      <c r="AW755" t="str">
        <f>IFERROR(INDEX(_ENGINE_Initiatives!$AE$5:$AE$532,MATCH(1,INDEX((_ENGINE_Initiatives!$B$5:$B$532=$C755)*(_ENGINE_Initiatives!$C$5:$C$532=$D755),0),0)),"")</f>
        <v>6-12 months</v>
      </c>
      <c r="AX755">
        <f>IF($B755="Yes",IFERROR((IF(SUMIFS(_REF_Model_Content!$E$1:$E$613,_REF_Model_Content!$A$1:$A$613,PV_Canonical_Industry,_REF_Model_Content!$B$1:$B$613,$C755)=0,1,SUMIFS(_REF_Model_Content!$E$1:$E$613,_REF_Model_Content!$A$1:$A$613,PV_Canonical_Industry,_REF_Model_Content!$B$1:$B$613,$C755))*IFERROR($BU755,1)),1),"")</f>
        <v>1</v>
      </c>
      <c r="AY755">
        <f t="shared" si="135"/>
        <v>15.9</v>
      </c>
      <c r="AZ755">
        <f t="shared" si="136"/>
        <v>1.64</v>
      </c>
      <c r="BB755" t="str">
        <f>IF($H755="","",IFERROR(INDEX(_ENGINE_Risk!$AE$5:$AE$499,MATCH($E755,_ENGINE_Risk!$A$5:$A$499,0)),"Medium"))</f>
        <v>Fast</v>
      </c>
      <c r="BC755">
        <f t="shared" si="137"/>
        <v>1.25</v>
      </c>
      <c r="BD755">
        <f t="shared" si="138"/>
        <v>1.64</v>
      </c>
      <c r="BF755">
        <f>IF(OR($H755="",$J755=""),"",IFERROR(VLOOKUP(ROUND($J755,0),_CONFIG_Model_Settings!$D$154:$E$158,2,0),""))</f>
        <v>0.5</v>
      </c>
      <c r="BG755">
        <f>IFERROR(IF(OR($H755="",$K755=""),"",ROUND('Company Profile'!$B$113*INDEX(_CONFIG_Model_Settings!$H$154:$H$158,MATCH(ROUND($K755,0),_CONFIG_Model_Settings!$G$154:$G$158,0)),0)),0)</f>
        <v>875</v>
      </c>
      <c r="BH755">
        <f t="shared" si="139"/>
        <v>437.5</v>
      </c>
      <c r="BI755">
        <f t="shared" si="140"/>
        <v>437.5</v>
      </c>
      <c r="BJ755">
        <f>IF($E755="","",IFERROR(VLOOKUP($C755,_CONFIG_Risk_Calibration!$A$5:$H$21,2,FALSE),3))</f>
        <v>3</v>
      </c>
      <c r="BK755">
        <f>IF($E755="","",IFERROR(VLOOKUP($C755,_CONFIG_Risk_Calibration!$A$5:$H$21,3,FALSE),0))</f>
        <v>0</v>
      </c>
      <c r="BL755">
        <f>IF($E755="","",IFERROR(VLOOKUP($C755,_CONFIG_Risk_Calibration!$A$5:$H$21,4,FALSE),3))</f>
        <v>3</v>
      </c>
      <c r="BM755">
        <f>IF($E755="","",IFERROR(VLOOKUP($C755,_CONFIG_Risk_Calibration!$A$5:$H$21,5,FALSE),3))</f>
        <v>3</v>
      </c>
      <c r="BN755" t="str">
        <f>IF($E755="","",IFERROR(VLOOKUP($C755,_CONFIG_Risk_Calibration!$A$5:$H$21,6,FALSE),"No"))</f>
        <v>No</v>
      </c>
      <c r="BO755">
        <f>IF($E755="","",IFERROR(VLOOKUP($C755,_CONFIG_Risk_Calibration!$A$5:$H$21,7,FALSE),1))</f>
        <v>1</v>
      </c>
      <c r="BP755">
        <f>IF($H755="","",MAX(1,MIN(5,((6-$H755)*0.45)+($BJ755*0.2)+('Resilience &amp; Risk Scenario'!$B$7*0.15)+($BK755*0.1)+($BL755*0.05)+(IF($BB755="Fast",5,IF($BB755="Slow",1,3))*0.05))))</f>
        <v>3.7</v>
      </c>
      <c r="BQ755">
        <f t="shared" si="141"/>
        <v>4.3</v>
      </c>
      <c r="BR755">
        <f t="shared" si="142"/>
        <v>15.91</v>
      </c>
      <c r="BS755">
        <f t="shared" si="143"/>
        <v>19.89</v>
      </c>
      <c r="BT755" t="str">
        <f>IFERROR(INDEX(_REF_Capability_Bridge!$D:$D,MATCH($C755&amp;"|"&amp;$D755,_REF_Capability_Bridge!$J:$J,0)),IFERROR(INDEX(_REF_Capability_Bridge!$D:$D,MATCH($C755&amp;"|",_REF_Capability_Bridge!$J:$J,0)),"CAP_GENERIC"))</f>
        <v>CAP_SRE_OBSERVABILITY</v>
      </c>
      <c r="BU755">
        <f>IFERROR(IFERROR(INDEX(_ENGINE_Relevance!$L:$L,MATCH($BT755,_ENGINE_Relevance!$B:$B,0)),1),1)</f>
        <v>1</v>
      </c>
      <c r="BV755" t="str">
        <f>IFERROR(INDEX(_REF_Capability_Bridge!$A:$A,MATCH($C755&amp;"|"&amp;$D755,_REF_Capability_Bridge!$J:$J,0)),IFERROR(INDEX(_REF_Capability_Bridge!$A:$A,MATCH($C755&amp;"|",_REF_Capability_Bridge!$J:$J,0)),"No bridge"))</f>
        <v>BRG-077</v>
      </c>
      <c r="BW755" t="str">
        <f t="shared" si="144"/>
        <v>Capability relevance neutral</v>
      </c>
      <c r="BX755" t="str">
        <f t="shared" si="145"/>
        <v>Initial / absent</v>
      </c>
      <c r="BY755" t="str">
        <f>IF($E755="","",IFERROR(INDEX(_REF_Treatment_Library!$A$2:$A$296,MATCH(1,INDEX((_REF_Treatment_Library!$B$2:$B$296=$BT755)*(_REF_Treatment_Library!$C$2:$C$296=PV_Canonical_Industry)*(_REF_Treatment_Library!$E$2:$E$296&lt;=N($H755))*(_REF_Treatment_Library!$F$2:$F$296&gt;=N($H755))*(_REF_Treatment_Library!$O$2:$O$296="Yes"),0),0)),IFERROR(INDEX(_REF_Treatment_Library!$A$2:$A$296,MATCH(1,INDEX((_REF_Treatment_Library!$B$2:$B$296=$BT755)*(_REF_Treatment_Library!$C$2:$C$296="All")*(_REF_Treatment_Library!$E$2:$E$296&lt;=N($H755))*(_REF_Treatment_Library!$F$2:$F$296&gt;=N($H755))*(_REF_Treatment_Library!$O$2:$O$296="Yes"),0),0)),"")))</f>
        <v>TRT-SRE_OBSERVABILITY-INITIAL</v>
      </c>
      <c r="BZ755" t="str">
        <f>IF($BY755="","",IFERROR(INDEX(_REF_Treatment_Library!$H$2:$H$296,MATCH($BY755,_REF_Treatment_Library!$A$2:$A$296,0)),""))</f>
        <v>Establish</v>
      </c>
      <c r="CA755" t="str">
        <f>IF($BY755="","",IFERROR(INDEX(_REF_Treatment_Library!$I$2:$I$296,MATCH($BY755,_REF_Treatment_Library!$A$2:$A$296,0)),""))</f>
        <v>Establish baseline controls for SRE / Observability</v>
      </c>
      <c r="CB755" t="str">
        <f>IF($BY755="","",IFERROR(INDEX(_REF_Treatment_Library!$K$2:$K$296,MATCH($BY755,_REF_Treatment_Library!$A$2:$A$296,0)),""))</f>
        <v>Named owner, baseline process, minimum control checklist, first evidence package</v>
      </c>
      <c r="CC755" t="str">
        <f>IF($BY755="","",IFERROR(INDEX(_REF_Treatment_Library!$L$2:$L$296,MATCH($BY755,_REF_Treatment_Library!$A$2:$A$296,0)),""))</f>
        <v>Owner assigned; baseline evidence coverage; open critical gaps</v>
      </c>
      <c r="CD755" t="str">
        <f t="shared" si="146"/>
        <v>Treatment by capability=CAP_SRE_OBSERVABILITY; band=Initial / absent; score=0.0; treatment=Establish</v>
      </c>
      <c r="CE755" t="str">
        <f>IF($E755="","",IFERROR(INDEX(_REF_Industry_Wording!$A$2:$A$70,MATCH(1,INDEX((_REF_Industry_Wording!$B$2:$B$70=$BT755)*(_REF_Industry_Wording!$C$2:$C$70=PV_Canonical_Industry)*(_REF_Industry_Wording!$K$2:$K$70="Yes"),0),0)),IFERROR(INDEX(_REF_Industry_Wording!$A$2:$A$70,MATCH(1,INDEX((_REF_Industry_Wording!$B$2:$B$70=$BT755)*(_REF_Industry_Wording!$C$2:$C$70="All")*(_REF_Industry_Wording!$K$2:$K$70="Yes"),0),0)),"")))</f>
        <v>IW-ALL-SRE_OBSERVABILITY</v>
      </c>
      <c r="CF755" t="str">
        <f>IF($CE755="","",IFERROR(INDEX(_REF_Industry_Wording!$E$2:$E$70,MATCH($CE755,_REF_Industry_Wording!$A$2:$A$70,0)),""))</f>
        <v>SRE / Observability weakness</v>
      </c>
      <c r="CG755" t="str">
        <f>IF($CE755="","",IFERROR(INDEX(_REF_Industry_Wording!$F$2:$F$70,MATCH($CE755,_REF_Industry_Wording!$A$2:$A$70,0)),""))</f>
        <v>Strengthen SRE / Observability</v>
      </c>
      <c r="CH755" t="str">
        <f>IF($CE755="","",IFERROR(INDEX(_REF_Industry_Wording!$G$2:$G$70,MATCH($CE755,_REF_Industry_Wording!$A$2:$A$70,0)),""))</f>
        <v>Strengthen SRE / Observability using the selected maturity treatment, crisis scenario and evidence requirements.</v>
      </c>
      <c r="CI755" t="str">
        <f>IF($CE755="","",IFERROR(INDEX(_REF_Industry_Wording!$H$2:$H$70,MATCH($CE755,_REF_Industry_Wording!$A$2:$A$70,0)),""))</f>
        <v>SRE / Observability</v>
      </c>
      <c r="CJ755">
        <f>IF($CE755="","",IFERROR(INDEX(_REF_Industry_Wording!$I$2:$I$70,MATCH($CE755,_REF_Industry_Wording!$A$2:$A$70,0)),""))</f>
        <v>0</v>
      </c>
      <c r="CK755" t="str">
        <f>IF($CE755="","",IFERROR(INDEX(_REF_Industry_Wording!$J$2:$J$70,MATCH($CE755,_REF_Industry_Wording!$A$2:$A$70,0)),""))</f>
        <v>SRE / Observability</v>
      </c>
      <c r="CL755" t="str">
        <f t="shared" si="147"/>
        <v>Wording by industry=0; capability=CAP_SRE_OBSERVABILITY; risk label=SRE / Observability weakness</v>
      </c>
      <c r="CM755" t="str">
        <f t="shared" si="148"/>
        <v>RISK-ONT-0256</v>
      </c>
      <c r="CN755" t="str">
        <f t="shared" si="149"/>
        <v>RISK-EVT-0256</v>
      </c>
      <c r="CO755" t="str">
        <f t="shared" si="150"/>
        <v>Sales CRM|CRM foundation|SALE-005|CAP_SRE_OBSERVABILITY</v>
      </c>
      <c r="CP755" t="str">
        <f t="shared" si="151"/>
        <v>Active</v>
      </c>
      <c r="CQ755" t="str">
        <f t="shared" si="152"/>
        <v>OK: capability-driven</v>
      </c>
      <c r="CR755" t="str">
        <f t="shared" si="153"/>
        <v>Risk ontology uses capability=CAP_SRE_OBSERVABILITY; bridge=BRG-077; treatment=TRT-SRE_OBSERVABILITY-INITIAL; wording=IW-ALL-SRE_OBSERVABILITY</v>
      </c>
      <c r="CS755" t="str">
        <f t="shared" si="154"/>
        <v>Yes</v>
      </c>
    </row>
    <row r="756" spans="1:97" ht="69.900000000000006" customHeight="1">
      <c r="A756">
        <f>IF(OR($B756&lt;&gt;"Yes",$BS756=""),"",SUMPRODUCT(($B$500:$B$923="Yes")*ISNUMBER($BS$500:$BS$923)*($BS$500:$BS$923&gt;$BS756))+COUNTIFS($B$500:$B756,"Yes",$BS$500:$BS756,$BS756))</f>
        <v>166</v>
      </c>
      <c r="B756" t="str">
        <f t="shared" ref="B756:B819" si="155">IF($H756="","",IF($BU756=0,"",IF($H756&lt;5,"Yes","Maintain")))</f>
        <v>Yes</v>
      </c>
      <c r="C756" t="s">
        <v>2286</v>
      </c>
      <c r="D756" t="s">
        <v>2309</v>
      </c>
      <c r="E756" t="s">
        <v>2330</v>
      </c>
      <c r="F756" t="s">
        <v>3689</v>
      </c>
      <c r="G756" t="str">
        <f>IF($H756="","",IFERROR(INDEX(_ENGINE_Risk!$H$5:$M$499,MATCH($E756,_ENGINE_Risk!$A$5:$A$499,0),$H756+1),""))</f>
        <v>Severe risk: pipeline qualification criteria and stage exit rules is not reliably controlled. During Demand shock; Revenue loss; Reputation crisis, the organization may face pipeline loss, poor customer retention, weak forecasting and inability to protect revenue channels with limited visibility or accountability.</v>
      </c>
      <c r="H756">
        <f>IFERROR(VALUE(INDEX(_DATA_Assessment_Model!$H$5:$H$884,MATCH($E756,_DATA_Assessment_Model!$A$5:$A$884,0))),"")</f>
        <v>0</v>
      </c>
      <c r="I756" t="str">
        <f>IF($H756="","",IFERROR(INDEX(_DATA_Assessment_Model!$L$5:$L$884,MATCH($E756,_DATA_Assessment_Model!$A$5:$A$884,0)),IF($H756&lt;=1,"Critical",IF($H756=2,"High",IF($H756=3,"Medium",IF($H756=4,"Low","Resilient"))))))</f>
        <v>Critical</v>
      </c>
      <c r="J756">
        <f t="shared" ref="J756:J819" si="156">IF($H756="","",$BP756)</f>
        <v>3.7</v>
      </c>
      <c r="K756">
        <f t="shared" ref="K756:K819" si="157">IF($H756="","",$BQ756)</f>
        <v>4.1500000000000004</v>
      </c>
      <c r="L756">
        <f t="shared" ref="L756:L819" si="158">IF($H756="","",$J756*$K756)</f>
        <v>15.355000000000002</v>
      </c>
      <c r="M756">
        <f t="shared" ref="M756:M819" si="159">IF($H756="","",MAX(1,MIN(5,ROUNDUP($L756/5,0))))</f>
        <v>4</v>
      </c>
      <c r="N756">
        <f>IF($H756="","",IFERROR(INDEX(_ENGINE_Risk!$T$5:$Y$499,MATCH($E756,_ENGINE_Risk!$A$5:$A$499,0),$H756+1),""))</f>
        <v>3</v>
      </c>
      <c r="O756">
        <f t="shared" ref="O756:O819" si="160">IF($H756="","",MAX(1,MIN(5,($U756+$V756+$X756)/3)))</f>
        <v>4.333333333333333</v>
      </c>
      <c r="P756">
        <f t="shared" ref="P756:P819" si="161">IF($H756="","",IF($I756="Critical",5,IF($I756="High",4,IF($I756="Medium",3,IF($I756="Low",2,1)))))</f>
        <v>5</v>
      </c>
      <c r="Q756">
        <f t="shared" ref="Q756:Q819" si="162">IF($H756="","",MAX(1,MIN(5,((5-$H756)*0.65)+($W756*0.35))))</f>
        <v>5</v>
      </c>
      <c r="R756">
        <f t="shared" ref="R756:R819" si="163">IF($H756="","",MAX(1,MIN(5,($V756+$X756)/2)))</f>
        <v>4.5</v>
      </c>
      <c r="S756">
        <f t="shared" ref="S756:S819" si="164">IF(OR($H756="",$N756=""),"",ROUND((($O756+$P756+$Q756+$R756)/4)/$N756,2))</f>
        <v>1.57</v>
      </c>
      <c r="T756" t="str">
        <f>IF($H756="","",IFERROR(INDEX(_ENGINE_Risk!$N$5:$S$499,MATCH($E756,_ENGINE_Risk!$A$5:$A$499,0),$H756+1),""))</f>
        <v>Create an immediate risk owner, minimum control baseline and fallback procedure for pipeline qualification criteria and stage exit rules. Add it to the crisis risk register and collect first evidence.</v>
      </c>
      <c r="U756">
        <f>IFERROR(INDEX(_DATA_Assessment_Model!$G$5:$G$884,MATCH($E756,_DATA_Assessment_Model!$A$5:$A$884,0)),"")</f>
        <v>4</v>
      </c>
      <c r="V756">
        <f>IFERROR(INDEX(_DATA_Assessment_Model!$W$5:$W$884,MATCH($E756,_DATA_Assessment_Model!$A$5:$A$884,0)),"")</f>
        <v>4</v>
      </c>
      <c r="W756">
        <f>IFERROR(INDEX(_DATA_Assessment_Model!$X$5:$X$884,MATCH($E756,_DATA_Assessment_Model!$A$5:$A$884,0)),"")</f>
        <v>5</v>
      </c>
      <c r="X756">
        <f>IFERROR(INDEX(_DATA_Assessment_Model!$Y$5:$Y$884,MATCH($E756,_DATA_Assessment_Model!$A$5:$A$884,0)),"")</f>
        <v>5</v>
      </c>
      <c r="Y756" t="s">
        <v>2299</v>
      </c>
      <c r="Z756" t="s">
        <v>8173</v>
      </c>
      <c r="AA756" t="s">
        <v>2332</v>
      </c>
      <c r="AB756">
        <f>IFERROR(INDEX(_DATA_Assessment_Model!$U$5:$U$884,MATCH($E756,_DATA_Assessment_Model!$A$5:$A$884,0)),"")</f>
        <v>0</v>
      </c>
      <c r="AF756" t="s">
        <v>2331</v>
      </c>
      <c r="AO756">
        <f>IF($B756="Yes",IF(IFERROR(INDEX(_ENGINE_Crisis!$F$501:$F$517,MATCH($C756,_ENGINE_Crisis!$A$501:$A$517,0)),1)=0,1,IFERROR(INDEX(_ENGINE_Crisis!$F$501:$F$517,MATCH($C756,_ENGINE_Crisis!$A$501:$A$517,0)),1)),"")</f>
        <v>1</v>
      </c>
      <c r="AP756">
        <f t="shared" ref="AP756:AP819" si="165">IF(AO756="","",ROUND($L756*AO756,1))</f>
        <v>15.4</v>
      </c>
      <c r="AQ756">
        <f t="shared" ref="AQ756:AQ819" si="166">IF(OR(AO756="",$S756=""),"",ROUND($S756*(0.7+0.3*AO756),2))</f>
        <v>1.57</v>
      </c>
      <c r="AR756" t="str">
        <f>IFERROR(INDEX(_ENGINE_Crisis!$E$41:$E$700,MATCH('Resilience &amp; Risk Scenario'!$B$6&amp;"|"&amp;$C756,_ENGINE_Crisis!$I$41:$I$700,0)),"")</f>
        <v/>
      </c>
      <c r="AS756" t="str">
        <f>IFERROR(INDEX(_ENGINE_Crisis!$G$41:$G$700,MATCH('Resilience &amp; Risk Scenario'!$B$6&amp;"|"&amp;$C756,_ENGINE_Crisis!$I$41:$I$700,0)),"")</f>
        <v/>
      </c>
      <c r="AT756" t="str">
        <f>IFERROR(INDEX(_ENGINE_Initiatives!$A$5:$A$532,MATCH(1,INDEX((_ENGINE_Initiatives!$B$5:$B$532=$C756)*(_ENGINE_Initiatives!$C$5:$C$532=$D756),0),0)),"")</f>
        <v>INI-042</v>
      </c>
      <c r="AU756" t="str">
        <f>IFERROR(INDEX(_ENGINE_Initiatives!$F$5:$F$532,MATCH(1,INDEX((_ENGINE_Initiatives!$B$5:$B$532=$C756)*(_ENGINE_Initiatives!$C$5:$C$532=$D756),0),0)),"")</f>
        <v>Build pipeline visibility, forecast discipline and revenue scenarios</v>
      </c>
      <c r="AV756">
        <f>IFERROR(INDEX(_ENGINE_Initiatives!$AC$5:$AC$532,MATCH(1,INDEX((_ENGINE_Initiatives!$B$5:$B$532=$C756)*(_ENGINE_Initiatives!$C$5:$C$532=$D756),0),0)),"")</f>
        <v>1.77</v>
      </c>
      <c r="AW756" t="str">
        <f>IFERROR(INDEX(_ENGINE_Initiatives!$AE$5:$AE$532,MATCH(1,INDEX((_ENGINE_Initiatives!$B$5:$B$532=$C756)*(_ENGINE_Initiatives!$C$5:$C$532=$D756),0),0)),"")</f>
        <v>3-6 months</v>
      </c>
      <c r="AX756">
        <f>IF($B756="Yes",IFERROR((IF(SUMIFS(_REF_Model_Content!$E$1:$E$613,_REF_Model_Content!$A$1:$A$613,PV_Canonical_Industry,_REF_Model_Content!$B$1:$B$613,$C756)=0,1,SUMIFS(_REF_Model_Content!$E$1:$E$613,_REF_Model_Content!$A$1:$A$613,PV_Canonical_Industry,_REF_Model_Content!$B$1:$B$613,$C756))*IFERROR($BU756,1)),1),"")</f>
        <v>1</v>
      </c>
      <c r="AY756">
        <f t="shared" ref="AY756:AY819" si="167">IF($L756="","",ROUND(IF($AP756="",$L756,$AP756)*IF($AX756="",1,$AX756),2))</f>
        <v>15.4</v>
      </c>
      <c r="AZ756">
        <f t="shared" ref="AZ756:AZ819" si="168">IF($S756="","",ROUND(IF($AQ756="",$S756,$AQ756)*IF($AX756="",1,$AX756),2))</f>
        <v>1.57</v>
      </c>
      <c r="BB756" t="str">
        <f>IF($H756="","",IFERROR(INDEX(_ENGINE_Risk!$AE$5:$AE$499,MATCH($E756,_ENGINE_Risk!$A$5:$A$499,0)),"Medium"))</f>
        <v>Fast</v>
      </c>
      <c r="BC756">
        <f t="shared" ref="BC756:BC819" si="169">IF($BB756="","",IF($BB756="Fast",1.25,IF($BB756="Slow",0.85,1)))</f>
        <v>1.25</v>
      </c>
      <c r="BD756">
        <f t="shared" ref="BD756:BD819" si="170">IF($S756="","",ROUND($S756*IF($AX756="",1,$AX756),2))</f>
        <v>1.57</v>
      </c>
      <c r="BF756">
        <f>IF(OR($H756="",$J756=""),"",IFERROR(VLOOKUP(ROUND($J756,0),_CONFIG_Model_Settings!$D$154:$E$158,2,0),""))</f>
        <v>0.5</v>
      </c>
      <c r="BG756">
        <f>IFERROR(IF(OR($H756="",$K756=""),"",ROUND('Company Profile'!$B$113*INDEX(_CONFIG_Model_Settings!$H$154:$H$158,MATCH(ROUND($K756,0),_CONFIG_Model_Settings!$G$154:$G$158,0)),0)),0)</f>
        <v>875</v>
      </c>
      <c r="BH756">
        <f t="shared" ref="BH756:BH819" si="171">IFERROR(IF(OR($BF756="",$BG756=""),"",ROUND($BF756*$BG756,1)),"")</f>
        <v>437.5</v>
      </c>
      <c r="BI756">
        <f t="shared" ref="BI756:BI819" si="172">IFERROR(IF($BH756="","",ROUND($BH756*IF(OR($AO756="",$AO756=0),1,$AO756),1)),"")</f>
        <v>437.5</v>
      </c>
      <c r="BJ756">
        <f>IF($E756="","",IFERROR(VLOOKUP($C756,_CONFIG_Risk_Calibration!$A$5:$H$21,2,FALSE),3))</f>
        <v>3</v>
      </c>
      <c r="BK756">
        <f>IF($E756="","",IFERROR(VLOOKUP($C756,_CONFIG_Risk_Calibration!$A$5:$H$21,3,FALSE),0))</f>
        <v>0</v>
      </c>
      <c r="BL756">
        <f>IF($E756="","",IFERROR(VLOOKUP($C756,_CONFIG_Risk_Calibration!$A$5:$H$21,4,FALSE),3))</f>
        <v>3</v>
      </c>
      <c r="BM756">
        <f>IF($E756="","",IFERROR(VLOOKUP($C756,_CONFIG_Risk_Calibration!$A$5:$H$21,5,FALSE),3))</f>
        <v>3</v>
      </c>
      <c r="BN756" t="str">
        <f>IF($E756="","",IFERROR(VLOOKUP($C756,_CONFIG_Risk_Calibration!$A$5:$H$21,6,FALSE),"No"))</f>
        <v>No</v>
      </c>
      <c r="BO756">
        <f>IF($E756="","",IFERROR(VLOOKUP($C756,_CONFIG_Risk_Calibration!$A$5:$H$21,7,FALSE),1))</f>
        <v>1</v>
      </c>
      <c r="BP756">
        <f>IF($H756="","",MAX(1,MIN(5,((6-$H756)*0.45)+($BJ756*0.2)+('Resilience &amp; Risk Scenario'!$B$7*0.15)+($BK756*0.1)+($BL756*0.05)+(IF($BB756="Fast",5,IF($BB756="Slow",1,3))*0.05))))</f>
        <v>3.7</v>
      </c>
      <c r="BQ756">
        <f t="shared" ref="BQ756:BQ819" si="173">IF($H756="","",MAX(IF($BN756="Yes",$BO756,1),MIN(5,($U756*0.2)+($V756*0.15)+($W756*0.25)+($X756*0.15)+($BJ756*0.1)+($BM756*0.15))))</f>
        <v>4.1500000000000004</v>
      </c>
      <c r="BR756">
        <f t="shared" ref="BR756:BR819" si="174">IF(OR($BP756="",$BQ756=""),"",ROUND($BP756*$BQ756,2))</f>
        <v>15.36</v>
      </c>
      <c r="BS756">
        <f t="shared" ref="BS756:BS819" si="175">IF($BR756="","",ROUND($BR756*IF(OR($AO756="",$AO756=0),1,$AO756)*IF($AX756="",1,$AX756)*(1+(($BM756-3)*0.1))*IF($BC756="",1,$BC756),2))</f>
        <v>19.2</v>
      </c>
      <c r="BT756" t="str">
        <f>IFERROR(INDEX(_REF_Capability_Bridge!$D:$D,MATCH($C756&amp;"|"&amp;$D756,_REF_Capability_Bridge!$J:$J,0)),IFERROR(INDEX(_REF_Capability_Bridge!$D:$D,MATCH($C756&amp;"|",_REF_Capability_Bridge!$J:$J,0)),"CAP_GENERIC"))</f>
        <v>CAP_PLATFORM_CONTINUITY</v>
      </c>
      <c r="BU756">
        <f>IFERROR(IFERROR(INDEX(_ENGINE_Relevance!$L:$L,MATCH($BT756,_ENGINE_Relevance!$B:$B,0)),1),1)</f>
        <v>1</v>
      </c>
      <c r="BV756" t="str">
        <f>IFERROR(INDEX(_REF_Capability_Bridge!$A:$A,MATCH($C756&amp;"|"&amp;$D756,_REF_Capability_Bridge!$J:$J,0)),IFERROR(INDEX(_REF_Capability_Bridge!$A:$A,MATCH($C756&amp;"|",_REF_Capability_Bridge!$J:$J,0)),"No bridge"))</f>
        <v>BRG-080</v>
      </c>
      <c r="BW756" t="str">
        <f t="shared" ref="BW756:BW819" si="176">IF($BU756=0,"Hard-excluded at capability level",IF($BU756&gt;1,"Capability relevance increases risk priority",IF($BU756&lt;1,"Capability relevance lowers risk priority","Capability relevance neutral")))</f>
        <v>Capability relevance neutral</v>
      </c>
      <c r="BX756" t="str">
        <f t="shared" ref="BX756:BX819" si="177">IF($E756="","",IF(N($H756)&lt;1.5,"Initial / absent",IF(N($H756)&lt;2.5,"Basic",IF(N($H756)&lt;3.5,"Defined",IF(N($H756)&lt;4.3,"Managed","Optimized")))))</f>
        <v>Initial / absent</v>
      </c>
      <c r="BY756" t="str">
        <f>IF($E756="","",IFERROR(INDEX(_REF_Treatment_Library!$A$2:$A$296,MATCH(1,INDEX((_REF_Treatment_Library!$B$2:$B$296=$BT756)*(_REF_Treatment_Library!$C$2:$C$296=PV_Canonical_Industry)*(_REF_Treatment_Library!$E$2:$E$296&lt;=N($H756))*(_REF_Treatment_Library!$F$2:$F$296&gt;=N($H756))*(_REF_Treatment_Library!$O$2:$O$296="Yes"),0),0)),IFERROR(INDEX(_REF_Treatment_Library!$A$2:$A$296,MATCH(1,INDEX((_REF_Treatment_Library!$B$2:$B$296=$BT756)*(_REF_Treatment_Library!$C$2:$C$296="All")*(_REF_Treatment_Library!$E$2:$E$296&lt;=N($H756))*(_REF_Treatment_Library!$F$2:$F$296&gt;=N($H756))*(_REF_Treatment_Library!$O$2:$O$296="Yes"),0),0)),"")))</f>
        <v>TRT-PLATFORM_CONTINUITY-INITIAL</v>
      </c>
      <c r="BZ756" t="str">
        <f>IF($BY756="","",IFERROR(INDEX(_REF_Treatment_Library!$H$2:$H$296,MATCH($BY756,_REF_Treatment_Library!$A$2:$A$296,0)),""))</f>
        <v>Establish</v>
      </c>
      <c r="CA756" t="str">
        <f>IF($BY756="","",IFERROR(INDEX(_REF_Treatment_Library!$I$2:$I$296,MATCH($BY756,_REF_Treatment_Library!$A$2:$A$296,0)),""))</f>
        <v>Establish baseline controls for Platform continuity</v>
      </c>
      <c r="CB756" t="str">
        <f>IF($BY756="","",IFERROR(INDEX(_REF_Treatment_Library!$K$2:$K$296,MATCH($BY756,_REF_Treatment_Library!$A$2:$A$296,0)),""))</f>
        <v>Named owner, baseline process, minimum control checklist, first evidence package</v>
      </c>
      <c r="CC756" t="str">
        <f>IF($BY756="","",IFERROR(INDEX(_REF_Treatment_Library!$L$2:$L$296,MATCH($BY756,_REF_Treatment_Library!$A$2:$A$296,0)),""))</f>
        <v>Owner assigned; baseline evidence coverage; open critical gaps</v>
      </c>
      <c r="CD756" t="str">
        <f t="shared" ref="CD756:CD819" si="178">IF($E756="","","Treatment by capability="&amp;$BT756&amp;"; band="&amp;$BX756&amp;"; score="&amp;TEXT(N($H756),"0.0")&amp;"; treatment="&amp;$BZ756)</f>
        <v>Treatment by capability=CAP_PLATFORM_CONTINUITY; band=Initial / absent; score=0.0; treatment=Establish</v>
      </c>
      <c r="CE756" t="str">
        <f>IF($E756="","",IFERROR(INDEX(_REF_Industry_Wording!$A$2:$A$70,MATCH(1,INDEX((_REF_Industry_Wording!$B$2:$B$70=$BT756)*(_REF_Industry_Wording!$C$2:$C$70=PV_Canonical_Industry)*(_REF_Industry_Wording!$K$2:$K$70="Yes"),0),0)),IFERROR(INDEX(_REF_Industry_Wording!$A$2:$A$70,MATCH(1,INDEX((_REF_Industry_Wording!$B$2:$B$70=$BT756)*(_REF_Industry_Wording!$C$2:$C$70="All")*(_REF_Industry_Wording!$K$2:$K$70="Yes"),0),0)),"")))</f>
        <v>IW-ALL-PLATFORM_CONTINUITY</v>
      </c>
      <c r="CF756" t="str">
        <f>IF($CE756="","",IFERROR(INDEX(_REF_Industry_Wording!$E$2:$E$70,MATCH($CE756,_REF_Industry_Wording!$A$2:$A$70,0)),""))</f>
        <v>Platform continuity weakness</v>
      </c>
      <c r="CG756" t="str">
        <f>IF($CE756="","",IFERROR(INDEX(_REF_Industry_Wording!$F$2:$F$70,MATCH($CE756,_REF_Industry_Wording!$A$2:$A$70,0)),""))</f>
        <v>Strengthen Platform continuity</v>
      </c>
      <c r="CH756" t="str">
        <f>IF($CE756="","",IFERROR(INDEX(_REF_Industry_Wording!$G$2:$G$70,MATCH($CE756,_REF_Industry_Wording!$A$2:$A$70,0)),""))</f>
        <v>Strengthen Platform continuity using the selected maturity treatment, crisis scenario and evidence requirements.</v>
      </c>
      <c r="CI756" t="str">
        <f>IF($CE756="","",IFERROR(INDEX(_REF_Industry_Wording!$H$2:$H$70,MATCH($CE756,_REF_Industry_Wording!$A$2:$A$70,0)),""))</f>
        <v>Platform continuity</v>
      </c>
      <c r="CJ756">
        <f>IF($CE756="","",IFERROR(INDEX(_REF_Industry_Wording!$I$2:$I$70,MATCH($CE756,_REF_Industry_Wording!$A$2:$A$70,0)),""))</f>
        <v>0</v>
      </c>
      <c r="CK756" t="str">
        <f>IF($CE756="","",IFERROR(INDEX(_REF_Industry_Wording!$J$2:$J$70,MATCH($CE756,_REF_Industry_Wording!$A$2:$A$70,0)),""))</f>
        <v>Platform continuity</v>
      </c>
      <c r="CL756" t="str">
        <f t="shared" ref="CL756:CL819" si="179">IF($E756="","","Wording by industry="&amp;PV_Canonical_Industry&amp;"; capability="&amp;$BT756&amp;"; risk label="&amp;$CF756)</f>
        <v>Wording by industry=0; capability=CAP_PLATFORM_CONTINUITY; risk label=Platform continuity weakness</v>
      </c>
      <c r="CM756" t="str">
        <f t="shared" ref="CM756:CM819" si="180">IF($E756="","","RISK-ONT-"&amp;TEXT(ROW()-499,"0000"))</f>
        <v>RISK-ONT-0257</v>
      </c>
      <c r="CN756" t="str">
        <f t="shared" ref="CN756:CN819" si="181">IF($E756="","","RISK-EVT-"&amp;TEXT(ROW()-499,"0000"))</f>
        <v>RISK-EVT-0257</v>
      </c>
      <c r="CO756" t="str">
        <f t="shared" ref="CO756:CO819" si="182">IF($E756="","",$C756&amp;"|"&amp;$D756&amp;"|"&amp;$E756&amp;"|"&amp;$BT756)</f>
        <v>Sales CRM|Pipeline and forecast|SALE-006|CAP_PLATFORM_CONTINUITY</v>
      </c>
      <c r="CP756" t="str">
        <f t="shared" ref="CP756:CP819" si="183">IF($E756="","",IF(OR($BT756="",$BT756="CAP_GENERIC"),"CHECK","Active"))</f>
        <v>Active</v>
      </c>
      <c r="CQ756" t="str">
        <f t="shared" ref="CQ756:CQ819" si="184">IF($E756="","",IF($BT756="CAP_GENERIC","CHECK: generic capability fallback","OK: capability-driven"))</f>
        <v>OK: capability-driven</v>
      </c>
      <c r="CR756" t="str">
        <f t="shared" ref="CR756:CR819" si="185">IF($E756="","","Risk ontology uses capability="&amp;$BT756&amp;"; bridge="&amp;$BV756&amp;"; treatment="&amp;$BY756&amp;"; wording="&amp;$CE756)</f>
        <v>Risk ontology uses capability=CAP_PLATFORM_CONTINUITY; bridge=BRG-080; treatment=TRT-PLATFORM_CONTINUITY-INITIAL; wording=IW-ALL-PLATFORM_CONTINUITY</v>
      </c>
      <c r="CS756" t="str">
        <f t="shared" ref="CS756:CS819" si="186">IF($E756="","",IF($CP756="Active","Yes","No"))</f>
        <v>Yes</v>
      </c>
    </row>
    <row r="757" spans="1:97" ht="69.900000000000006" customHeight="1">
      <c r="A757">
        <f>IF(OR($B757&lt;&gt;"Yes",$BS757=""),"",SUMPRODUCT(($B$500:$B$923="Yes")*ISNUMBER($BS$500:$BS$923)*($BS$500:$BS$923&gt;$BS757))+COUNTIFS($B$500:$B757,"Yes",$BS$500:$BS757,$BS757))</f>
        <v>141</v>
      </c>
      <c r="B757" t="str">
        <f t="shared" si="155"/>
        <v>Yes</v>
      </c>
      <c r="C757" t="s">
        <v>2286</v>
      </c>
      <c r="D757" t="s">
        <v>2309</v>
      </c>
      <c r="E757" t="s">
        <v>2340</v>
      </c>
      <c r="F757" t="s">
        <v>3689</v>
      </c>
      <c r="G757" t="str">
        <f>IF($H757="","",IFERROR(INDEX(_ENGINE_Risk!$H$5:$M$499,MATCH($E757,_ENGINE_Risk!$A$5:$A$499,0),$H757+1),""))</f>
        <v>Severe risk: pipeline coverage relative to targets, sales cycle, win rate and crisis scenarios is not reliably controlled. During Demand shock; Revenue loss; Reputation crisis, the organization may face pipeline loss, poor customer retention, weak forecasting and inability to protect revenue channels with limited visibility or accountability.</v>
      </c>
      <c r="H757">
        <f>IFERROR(VALUE(INDEX(_DATA_Assessment_Model!$H$5:$H$884,MATCH($E757,_DATA_Assessment_Model!$A$5:$A$884,0))),"")</f>
        <v>0</v>
      </c>
      <c r="I757" t="str">
        <f>IF($H757="","",IFERROR(INDEX(_DATA_Assessment_Model!$L$5:$L$884,MATCH($E757,_DATA_Assessment_Model!$A$5:$A$884,0)),IF($H757&lt;=1,"Critical",IF($H757=2,"High",IF($H757=3,"Medium",IF($H757=4,"Low","Resilient"))))))</f>
        <v>Critical</v>
      </c>
      <c r="J757">
        <f t="shared" si="156"/>
        <v>3.7</v>
      </c>
      <c r="K757">
        <f t="shared" si="157"/>
        <v>4.3500000000000005</v>
      </c>
      <c r="L757">
        <f t="shared" si="158"/>
        <v>16.095000000000002</v>
      </c>
      <c r="M757">
        <f t="shared" si="159"/>
        <v>4</v>
      </c>
      <c r="N757">
        <f>IF($H757="","",IFERROR(INDEX(_ENGINE_Risk!$T$5:$Y$499,MATCH($E757,_ENGINE_Risk!$A$5:$A$499,0),$H757+1),""))</f>
        <v>3</v>
      </c>
      <c r="O757">
        <f t="shared" si="160"/>
        <v>4.666666666666667</v>
      </c>
      <c r="P757">
        <f t="shared" si="161"/>
        <v>5</v>
      </c>
      <c r="Q757">
        <f t="shared" si="162"/>
        <v>5</v>
      </c>
      <c r="R757">
        <f t="shared" si="163"/>
        <v>4.5</v>
      </c>
      <c r="S757">
        <f t="shared" si="164"/>
        <v>1.6</v>
      </c>
      <c r="T757" t="str">
        <f>IF($H757="","",IFERROR(INDEX(_ENGINE_Risk!$N$5:$S$499,MATCH($E757,_ENGINE_Risk!$A$5:$A$499,0),$H757+1),""))</f>
        <v>Create an immediate risk owner, minimum control baseline and fallback procedure for pipeline coverage relative to targets, sales cycle, win rate and crisis scenarios. Add it to the crisis risk register and collect first evidence.</v>
      </c>
      <c r="U757">
        <f>IFERROR(INDEX(_DATA_Assessment_Model!$G$5:$G$884,MATCH($E757,_DATA_Assessment_Model!$A$5:$A$884,0)),"")</f>
        <v>5</v>
      </c>
      <c r="V757">
        <f>IFERROR(INDEX(_DATA_Assessment_Model!$W$5:$W$884,MATCH($E757,_DATA_Assessment_Model!$A$5:$A$884,0)),"")</f>
        <v>4</v>
      </c>
      <c r="W757">
        <f>IFERROR(INDEX(_DATA_Assessment_Model!$X$5:$X$884,MATCH($E757,_DATA_Assessment_Model!$A$5:$A$884,0)),"")</f>
        <v>5</v>
      </c>
      <c r="X757">
        <f>IFERROR(INDEX(_DATA_Assessment_Model!$Y$5:$Y$884,MATCH($E757,_DATA_Assessment_Model!$A$5:$A$884,0)),"")</f>
        <v>5</v>
      </c>
      <c r="Y757" t="s">
        <v>2299</v>
      </c>
      <c r="Z757" t="s">
        <v>8173</v>
      </c>
      <c r="AA757" t="s">
        <v>2342</v>
      </c>
      <c r="AB757">
        <f>IFERROR(INDEX(_DATA_Assessment_Model!$U$5:$U$884,MATCH($E757,_DATA_Assessment_Model!$A$5:$A$884,0)),"")</f>
        <v>0</v>
      </c>
      <c r="AF757" t="s">
        <v>2341</v>
      </c>
      <c r="AO757">
        <f>IF($B757="Yes",IF(IFERROR(INDEX(_ENGINE_Crisis!$F$501:$F$517,MATCH($C757,_ENGINE_Crisis!$A$501:$A$517,0)),1)=0,1,IFERROR(INDEX(_ENGINE_Crisis!$F$501:$F$517,MATCH($C757,_ENGINE_Crisis!$A$501:$A$517,0)),1)),"")</f>
        <v>1</v>
      </c>
      <c r="AP757">
        <f t="shared" si="165"/>
        <v>16.100000000000001</v>
      </c>
      <c r="AQ757">
        <f t="shared" si="166"/>
        <v>1.6</v>
      </c>
      <c r="AR757" t="str">
        <f>IFERROR(INDEX(_ENGINE_Crisis!$E$41:$E$700,MATCH('Resilience &amp; Risk Scenario'!$B$6&amp;"|"&amp;$C757,_ENGINE_Crisis!$I$41:$I$700,0)),"")</f>
        <v/>
      </c>
      <c r="AS757" t="str">
        <f>IFERROR(INDEX(_ENGINE_Crisis!$G$41:$G$700,MATCH('Resilience &amp; Risk Scenario'!$B$6&amp;"|"&amp;$C757,_ENGINE_Crisis!$I$41:$I$700,0)),"")</f>
        <v/>
      </c>
      <c r="AT757" t="str">
        <f>IFERROR(INDEX(_ENGINE_Initiatives!$A$5:$A$532,MATCH(1,INDEX((_ENGINE_Initiatives!$B$5:$B$532=$C757)*(_ENGINE_Initiatives!$C$5:$C$532=$D757),0),0)),"")</f>
        <v>INI-042</v>
      </c>
      <c r="AU757" t="str">
        <f>IFERROR(INDEX(_ENGINE_Initiatives!$F$5:$F$532,MATCH(1,INDEX((_ENGINE_Initiatives!$B$5:$B$532=$C757)*(_ENGINE_Initiatives!$C$5:$C$532=$D757),0),0)),"")</f>
        <v>Build pipeline visibility, forecast discipline and revenue scenarios</v>
      </c>
      <c r="AV757">
        <f>IFERROR(INDEX(_ENGINE_Initiatives!$AC$5:$AC$532,MATCH(1,INDEX((_ENGINE_Initiatives!$B$5:$B$532=$C757)*(_ENGINE_Initiatives!$C$5:$C$532=$D757),0),0)),"")</f>
        <v>1.77</v>
      </c>
      <c r="AW757" t="str">
        <f>IFERROR(INDEX(_ENGINE_Initiatives!$AE$5:$AE$532,MATCH(1,INDEX((_ENGINE_Initiatives!$B$5:$B$532=$C757)*(_ENGINE_Initiatives!$C$5:$C$532=$D757),0),0)),"")</f>
        <v>3-6 months</v>
      </c>
      <c r="AX757">
        <f>IF($B757="Yes",IFERROR((IF(SUMIFS(_REF_Model_Content!$E$1:$E$613,_REF_Model_Content!$A$1:$A$613,PV_Canonical_Industry,_REF_Model_Content!$B$1:$B$613,$C757)=0,1,SUMIFS(_REF_Model_Content!$E$1:$E$613,_REF_Model_Content!$A$1:$A$613,PV_Canonical_Industry,_REF_Model_Content!$B$1:$B$613,$C757))*IFERROR($BU757,1)),1),"")</f>
        <v>1</v>
      </c>
      <c r="AY757">
        <f t="shared" si="167"/>
        <v>16.100000000000001</v>
      </c>
      <c r="AZ757">
        <f t="shared" si="168"/>
        <v>1.6</v>
      </c>
      <c r="BB757" t="str">
        <f>IF($H757="","",IFERROR(INDEX(_ENGINE_Risk!$AE$5:$AE$499,MATCH($E757,_ENGINE_Risk!$A$5:$A$499,0)),"Medium"))</f>
        <v>Fast</v>
      </c>
      <c r="BC757">
        <f t="shared" si="169"/>
        <v>1.25</v>
      </c>
      <c r="BD757">
        <f t="shared" si="170"/>
        <v>1.6</v>
      </c>
      <c r="BF757">
        <f>IF(OR($H757="",$J757=""),"",IFERROR(VLOOKUP(ROUND($J757,0),_CONFIG_Model_Settings!$D$154:$E$158,2,0),""))</f>
        <v>0.5</v>
      </c>
      <c r="BG757">
        <f>IFERROR(IF(OR($H757="",$K757=""),"",ROUND('Company Profile'!$B$113*INDEX(_CONFIG_Model_Settings!$H$154:$H$158,MATCH(ROUND($K757,0),_CONFIG_Model_Settings!$G$154:$G$158,0)),0)),0)</f>
        <v>875</v>
      </c>
      <c r="BH757">
        <f t="shared" si="171"/>
        <v>437.5</v>
      </c>
      <c r="BI757">
        <f t="shared" si="172"/>
        <v>437.5</v>
      </c>
      <c r="BJ757">
        <f>IF($E757="","",IFERROR(VLOOKUP($C757,_CONFIG_Risk_Calibration!$A$5:$H$21,2,FALSE),3))</f>
        <v>3</v>
      </c>
      <c r="BK757">
        <f>IF($E757="","",IFERROR(VLOOKUP($C757,_CONFIG_Risk_Calibration!$A$5:$H$21,3,FALSE),0))</f>
        <v>0</v>
      </c>
      <c r="BL757">
        <f>IF($E757="","",IFERROR(VLOOKUP($C757,_CONFIG_Risk_Calibration!$A$5:$H$21,4,FALSE),3))</f>
        <v>3</v>
      </c>
      <c r="BM757">
        <f>IF($E757="","",IFERROR(VLOOKUP($C757,_CONFIG_Risk_Calibration!$A$5:$H$21,5,FALSE),3))</f>
        <v>3</v>
      </c>
      <c r="BN757" t="str">
        <f>IF($E757="","",IFERROR(VLOOKUP($C757,_CONFIG_Risk_Calibration!$A$5:$H$21,6,FALSE),"No"))</f>
        <v>No</v>
      </c>
      <c r="BO757">
        <f>IF($E757="","",IFERROR(VLOOKUP($C757,_CONFIG_Risk_Calibration!$A$5:$H$21,7,FALSE),1))</f>
        <v>1</v>
      </c>
      <c r="BP757">
        <f>IF($H757="","",MAX(1,MIN(5,((6-$H757)*0.45)+($BJ757*0.2)+('Resilience &amp; Risk Scenario'!$B$7*0.15)+($BK757*0.1)+($BL757*0.05)+(IF($BB757="Fast",5,IF($BB757="Slow",1,3))*0.05))))</f>
        <v>3.7</v>
      </c>
      <c r="BQ757">
        <f t="shared" si="173"/>
        <v>4.3500000000000005</v>
      </c>
      <c r="BR757">
        <f t="shared" si="174"/>
        <v>16.100000000000001</v>
      </c>
      <c r="BS757">
        <f t="shared" si="175"/>
        <v>20.13</v>
      </c>
      <c r="BT757" t="str">
        <f>IFERROR(INDEX(_REF_Capability_Bridge!$D:$D,MATCH($C757&amp;"|"&amp;$D757,_REF_Capability_Bridge!$J:$J,0)),IFERROR(INDEX(_REF_Capability_Bridge!$D:$D,MATCH($C757&amp;"|",_REF_Capability_Bridge!$J:$J,0)),"CAP_GENERIC"))</f>
        <v>CAP_PLATFORM_CONTINUITY</v>
      </c>
      <c r="BU757">
        <f>IFERROR(IFERROR(INDEX(_ENGINE_Relevance!$L:$L,MATCH($BT757,_ENGINE_Relevance!$B:$B,0)),1),1)</f>
        <v>1</v>
      </c>
      <c r="BV757" t="str">
        <f>IFERROR(INDEX(_REF_Capability_Bridge!$A:$A,MATCH($C757&amp;"|"&amp;$D757,_REF_Capability_Bridge!$J:$J,0)),IFERROR(INDEX(_REF_Capability_Bridge!$A:$A,MATCH($C757&amp;"|",_REF_Capability_Bridge!$J:$J,0)),"No bridge"))</f>
        <v>BRG-080</v>
      </c>
      <c r="BW757" t="str">
        <f t="shared" si="176"/>
        <v>Capability relevance neutral</v>
      </c>
      <c r="BX757" t="str">
        <f t="shared" si="177"/>
        <v>Initial / absent</v>
      </c>
      <c r="BY757" t="str">
        <f>IF($E757="","",IFERROR(INDEX(_REF_Treatment_Library!$A$2:$A$296,MATCH(1,INDEX((_REF_Treatment_Library!$B$2:$B$296=$BT757)*(_REF_Treatment_Library!$C$2:$C$296=PV_Canonical_Industry)*(_REF_Treatment_Library!$E$2:$E$296&lt;=N($H757))*(_REF_Treatment_Library!$F$2:$F$296&gt;=N($H757))*(_REF_Treatment_Library!$O$2:$O$296="Yes"),0),0)),IFERROR(INDEX(_REF_Treatment_Library!$A$2:$A$296,MATCH(1,INDEX((_REF_Treatment_Library!$B$2:$B$296=$BT757)*(_REF_Treatment_Library!$C$2:$C$296="All")*(_REF_Treatment_Library!$E$2:$E$296&lt;=N($H757))*(_REF_Treatment_Library!$F$2:$F$296&gt;=N($H757))*(_REF_Treatment_Library!$O$2:$O$296="Yes"),0),0)),"")))</f>
        <v>TRT-PLATFORM_CONTINUITY-INITIAL</v>
      </c>
      <c r="BZ757" t="str">
        <f>IF($BY757="","",IFERROR(INDEX(_REF_Treatment_Library!$H$2:$H$296,MATCH($BY757,_REF_Treatment_Library!$A$2:$A$296,0)),""))</f>
        <v>Establish</v>
      </c>
      <c r="CA757" t="str">
        <f>IF($BY757="","",IFERROR(INDEX(_REF_Treatment_Library!$I$2:$I$296,MATCH($BY757,_REF_Treatment_Library!$A$2:$A$296,0)),""))</f>
        <v>Establish baseline controls for Platform continuity</v>
      </c>
      <c r="CB757" t="str">
        <f>IF($BY757="","",IFERROR(INDEX(_REF_Treatment_Library!$K$2:$K$296,MATCH($BY757,_REF_Treatment_Library!$A$2:$A$296,0)),""))</f>
        <v>Named owner, baseline process, minimum control checklist, first evidence package</v>
      </c>
      <c r="CC757" t="str">
        <f>IF($BY757="","",IFERROR(INDEX(_REF_Treatment_Library!$L$2:$L$296,MATCH($BY757,_REF_Treatment_Library!$A$2:$A$296,0)),""))</f>
        <v>Owner assigned; baseline evidence coverage; open critical gaps</v>
      </c>
      <c r="CD757" t="str">
        <f t="shared" si="178"/>
        <v>Treatment by capability=CAP_PLATFORM_CONTINUITY; band=Initial / absent; score=0.0; treatment=Establish</v>
      </c>
      <c r="CE757" t="str">
        <f>IF($E757="","",IFERROR(INDEX(_REF_Industry_Wording!$A$2:$A$70,MATCH(1,INDEX((_REF_Industry_Wording!$B$2:$B$70=$BT757)*(_REF_Industry_Wording!$C$2:$C$70=PV_Canonical_Industry)*(_REF_Industry_Wording!$K$2:$K$70="Yes"),0),0)),IFERROR(INDEX(_REF_Industry_Wording!$A$2:$A$70,MATCH(1,INDEX((_REF_Industry_Wording!$B$2:$B$70=$BT757)*(_REF_Industry_Wording!$C$2:$C$70="All")*(_REF_Industry_Wording!$K$2:$K$70="Yes"),0),0)),"")))</f>
        <v>IW-ALL-PLATFORM_CONTINUITY</v>
      </c>
      <c r="CF757" t="str">
        <f>IF($CE757="","",IFERROR(INDEX(_REF_Industry_Wording!$E$2:$E$70,MATCH($CE757,_REF_Industry_Wording!$A$2:$A$70,0)),""))</f>
        <v>Platform continuity weakness</v>
      </c>
      <c r="CG757" t="str">
        <f>IF($CE757="","",IFERROR(INDEX(_REF_Industry_Wording!$F$2:$F$70,MATCH($CE757,_REF_Industry_Wording!$A$2:$A$70,0)),""))</f>
        <v>Strengthen Platform continuity</v>
      </c>
      <c r="CH757" t="str">
        <f>IF($CE757="","",IFERROR(INDEX(_REF_Industry_Wording!$G$2:$G$70,MATCH($CE757,_REF_Industry_Wording!$A$2:$A$70,0)),""))</f>
        <v>Strengthen Platform continuity using the selected maturity treatment, crisis scenario and evidence requirements.</v>
      </c>
      <c r="CI757" t="str">
        <f>IF($CE757="","",IFERROR(INDEX(_REF_Industry_Wording!$H$2:$H$70,MATCH($CE757,_REF_Industry_Wording!$A$2:$A$70,0)),""))</f>
        <v>Platform continuity</v>
      </c>
      <c r="CJ757">
        <f>IF($CE757="","",IFERROR(INDEX(_REF_Industry_Wording!$I$2:$I$70,MATCH($CE757,_REF_Industry_Wording!$A$2:$A$70,0)),""))</f>
        <v>0</v>
      </c>
      <c r="CK757" t="str">
        <f>IF($CE757="","",IFERROR(INDEX(_REF_Industry_Wording!$J$2:$J$70,MATCH($CE757,_REF_Industry_Wording!$A$2:$A$70,0)),""))</f>
        <v>Platform continuity</v>
      </c>
      <c r="CL757" t="str">
        <f t="shared" si="179"/>
        <v>Wording by industry=0; capability=CAP_PLATFORM_CONTINUITY; risk label=Platform continuity weakness</v>
      </c>
      <c r="CM757" t="str">
        <f t="shared" si="180"/>
        <v>RISK-ONT-0258</v>
      </c>
      <c r="CN757" t="str">
        <f t="shared" si="181"/>
        <v>RISK-EVT-0258</v>
      </c>
      <c r="CO757" t="str">
        <f t="shared" si="182"/>
        <v>Sales CRM|Pipeline and forecast|SALE-007|CAP_PLATFORM_CONTINUITY</v>
      </c>
      <c r="CP757" t="str">
        <f t="shared" si="183"/>
        <v>Active</v>
      </c>
      <c r="CQ757" t="str">
        <f t="shared" si="184"/>
        <v>OK: capability-driven</v>
      </c>
      <c r="CR757" t="str">
        <f t="shared" si="185"/>
        <v>Risk ontology uses capability=CAP_PLATFORM_CONTINUITY; bridge=BRG-080; treatment=TRT-PLATFORM_CONTINUITY-INITIAL; wording=IW-ALL-PLATFORM_CONTINUITY</v>
      </c>
      <c r="CS757" t="str">
        <f t="shared" si="186"/>
        <v>Yes</v>
      </c>
    </row>
    <row r="758" spans="1:97" ht="69.900000000000006" customHeight="1">
      <c r="A758">
        <f>IF(OR($B758&lt;&gt;"Yes",$BS758=""),"",SUMPRODUCT(($B$500:$B$923="Yes")*ISNUMBER($BS$500:$BS$923)*($BS$500:$BS$923&gt;$BS758))+COUNTIFS($B$500:$B758,"Yes",$BS$500:$BS758,$BS758))</f>
        <v>167</v>
      </c>
      <c r="B758" t="str">
        <f t="shared" si="155"/>
        <v>Yes</v>
      </c>
      <c r="C758" t="s">
        <v>2286</v>
      </c>
      <c r="D758" t="s">
        <v>2309</v>
      </c>
      <c r="E758" t="s">
        <v>2343</v>
      </c>
      <c r="F758" t="s">
        <v>3689</v>
      </c>
      <c r="G758" t="str">
        <f>IF($H758="","",IFERROR(INDEX(_ENGINE_Risk!$H$5:$M$499,MATCH($E758,_ENGINE_Risk!$A$5:$A$499,0),$H758+1),""))</f>
        <v>Severe risk: sales forecast cadence connected to finance, delivery and supply planning is not reliably controlled. During Demand shock; Revenue loss; Reputation crisis, the organization may face pipeline loss, poor customer retention, weak forecasting and inability to protect revenue channels with limited visibility or accountability.</v>
      </c>
      <c r="H758">
        <f>IFERROR(VALUE(INDEX(_DATA_Assessment_Model!$H$5:$H$884,MATCH($E758,_DATA_Assessment_Model!$A$5:$A$884,0))),"")</f>
        <v>0</v>
      </c>
      <c r="I758" t="str">
        <f>IF($H758="","",IFERROR(INDEX(_DATA_Assessment_Model!$L$5:$L$884,MATCH($E758,_DATA_Assessment_Model!$A$5:$A$884,0)),IF($H758&lt;=1,"Critical",IF($H758=2,"High",IF($H758=3,"Medium",IF($H758=4,"Low","Resilient"))))))</f>
        <v>Critical</v>
      </c>
      <c r="J758">
        <f t="shared" si="156"/>
        <v>3.7</v>
      </c>
      <c r="K758">
        <f t="shared" si="157"/>
        <v>4.1500000000000004</v>
      </c>
      <c r="L758">
        <f t="shared" si="158"/>
        <v>15.355000000000002</v>
      </c>
      <c r="M758">
        <f t="shared" si="159"/>
        <v>4</v>
      </c>
      <c r="N758">
        <f>IF($H758="","",IFERROR(INDEX(_ENGINE_Risk!$T$5:$Y$499,MATCH($E758,_ENGINE_Risk!$A$5:$A$499,0),$H758+1),""))</f>
        <v>3</v>
      </c>
      <c r="O758">
        <f t="shared" si="160"/>
        <v>4.333333333333333</v>
      </c>
      <c r="P758">
        <f t="shared" si="161"/>
        <v>5</v>
      </c>
      <c r="Q758">
        <f t="shared" si="162"/>
        <v>5</v>
      </c>
      <c r="R758">
        <f t="shared" si="163"/>
        <v>4.5</v>
      </c>
      <c r="S758">
        <f t="shared" si="164"/>
        <v>1.57</v>
      </c>
      <c r="T758" t="str">
        <f>IF($H758="","",IFERROR(INDEX(_ENGINE_Risk!$N$5:$S$499,MATCH($E758,_ENGINE_Risk!$A$5:$A$499,0),$H758+1),""))</f>
        <v>Create an immediate risk owner, minimum control baseline and fallback procedure for sales forecast cadence connected to finance, delivery and supply planning. Add it to the crisis risk register and collect first evidence.</v>
      </c>
      <c r="U758">
        <f>IFERROR(INDEX(_DATA_Assessment_Model!$G$5:$G$884,MATCH($E758,_DATA_Assessment_Model!$A$5:$A$884,0)),"")</f>
        <v>4</v>
      </c>
      <c r="V758">
        <f>IFERROR(INDEX(_DATA_Assessment_Model!$W$5:$W$884,MATCH($E758,_DATA_Assessment_Model!$A$5:$A$884,0)),"")</f>
        <v>4</v>
      </c>
      <c r="W758">
        <f>IFERROR(INDEX(_DATA_Assessment_Model!$X$5:$X$884,MATCH($E758,_DATA_Assessment_Model!$A$5:$A$884,0)),"")</f>
        <v>5</v>
      </c>
      <c r="X758">
        <f>IFERROR(INDEX(_DATA_Assessment_Model!$Y$5:$Y$884,MATCH($E758,_DATA_Assessment_Model!$A$5:$A$884,0)),"")</f>
        <v>5</v>
      </c>
      <c r="Y758" t="s">
        <v>2299</v>
      </c>
      <c r="Z758" t="s">
        <v>8173</v>
      </c>
      <c r="AA758" t="s">
        <v>2345</v>
      </c>
      <c r="AB758">
        <f>IFERROR(INDEX(_DATA_Assessment_Model!$U$5:$U$884,MATCH($E758,_DATA_Assessment_Model!$A$5:$A$884,0)),"")</f>
        <v>0</v>
      </c>
      <c r="AF758" t="s">
        <v>2344</v>
      </c>
      <c r="AO758">
        <f>IF($B758="Yes",IF(IFERROR(INDEX(_ENGINE_Crisis!$F$501:$F$517,MATCH($C758,_ENGINE_Crisis!$A$501:$A$517,0)),1)=0,1,IFERROR(INDEX(_ENGINE_Crisis!$F$501:$F$517,MATCH($C758,_ENGINE_Crisis!$A$501:$A$517,0)),1)),"")</f>
        <v>1</v>
      </c>
      <c r="AP758">
        <f t="shared" si="165"/>
        <v>15.4</v>
      </c>
      <c r="AQ758">
        <f t="shared" si="166"/>
        <v>1.57</v>
      </c>
      <c r="AR758" t="str">
        <f>IFERROR(INDEX(_ENGINE_Crisis!$E$41:$E$700,MATCH('Resilience &amp; Risk Scenario'!$B$6&amp;"|"&amp;$C758,_ENGINE_Crisis!$I$41:$I$700,0)),"")</f>
        <v/>
      </c>
      <c r="AS758" t="str">
        <f>IFERROR(INDEX(_ENGINE_Crisis!$G$41:$G$700,MATCH('Resilience &amp; Risk Scenario'!$B$6&amp;"|"&amp;$C758,_ENGINE_Crisis!$I$41:$I$700,0)),"")</f>
        <v/>
      </c>
      <c r="AT758" t="str">
        <f>IFERROR(INDEX(_ENGINE_Initiatives!$A$5:$A$532,MATCH(1,INDEX((_ENGINE_Initiatives!$B$5:$B$532=$C758)*(_ENGINE_Initiatives!$C$5:$C$532=$D758),0),0)),"")</f>
        <v>INI-042</v>
      </c>
      <c r="AU758" t="str">
        <f>IFERROR(INDEX(_ENGINE_Initiatives!$F$5:$F$532,MATCH(1,INDEX((_ENGINE_Initiatives!$B$5:$B$532=$C758)*(_ENGINE_Initiatives!$C$5:$C$532=$D758),0),0)),"")</f>
        <v>Build pipeline visibility, forecast discipline and revenue scenarios</v>
      </c>
      <c r="AV758">
        <f>IFERROR(INDEX(_ENGINE_Initiatives!$AC$5:$AC$532,MATCH(1,INDEX((_ENGINE_Initiatives!$B$5:$B$532=$C758)*(_ENGINE_Initiatives!$C$5:$C$532=$D758),0),0)),"")</f>
        <v>1.77</v>
      </c>
      <c r="AW758" t="str">
        <f>IFERROR(INDEX(_ENGINE_Initiatives!$AE$5:$AE$532,MATCH(1,INDEX((_ENGINE_Initiatives!$B$5:$B$532=$C758)*(_ENGINE_Initiatives!$C$5:$C$532=$D758),0),0)),"")</f>
        <v>3-6 months</v>
      </c>
      <c r="AX758">
        <f>IF($B758="Yes",IFERROR((IF(SUMIFS(_REF_Model_Content!$E$1:$E$613,_REF_Model_Content!$A$1:$A$613,PV_Canonical_Industry,_REF_Model_Content!$B$1:$B$613,$C758)=0,1,SUMIFS(_REF_Model_Content!$E$1:$E$613,_REF_Model_Content!$A$1:$A$613,PV_Canonical_Industry,_REF_Model_Content!$B$1:$B$613,$C758))*IFERROR($BU758,1)),1),"")</f>
        <v>1</v>
      </c>
      <c r="AY758">
        <f t="shared" si="167"/>
        <v>15.4</v>
      </c>
      <c r="AZ758">
        <f t="shared" si="168"/>
        <v>1.57</v>
      </c>
      <c r="BB758" t="str">
        <f>IF($H758="","",IFERROR(INDEX(_ENGINE_Risk!$AE$5:$AE$499,MATCH($E758,_ENGINE_Risk!$A$5:$A$499,0)),"Medium"))</f>
        <v>Fast</v>
      </c>
      <c r="BC758">
        <f t="shared" si="169"/>
        <v>1.25</v>
      </c>
      <c r="BD758">
        <f t="shared" si="170"/>
        <v>1.57</v>
      </c>
      <c r="BF758">
        <f>IF(OR($H758="",$J758=""),"",IFERROR(VLOOKUP(ROUND($J758,0),_CONFIG_Model_Settings!$D$154:$E$158,2,0),""))</f>
        <v>0.5</v>
      </c>
      <c r="BG758">
        <f>IFERROR(IF(OR($H758="",$K758=""),"",ROUND('Company Profile'!$B$113*INDEX(_CONFIG_Model_Settings!$H$154:$H$158,MATCH(ROUND($K758,0),_CONFIG_Model_Settings!$G$154:$G$158,0)),0)),0)</f>
        <v>875</v>
      </c>
      <c r="BH758">
        <f t="shared" si="171"/>
        <v>437.5</v>
      </c>
      <c r="BI758">
        <f t="shared" si="172"/>
        <v>437.5</v>
      </c>
      <c r="BJ758">
        <f>IF($E758="","",IFERROR(VLOOKUP($C758,_CONFIG_Risk_Calibration!$A$5:$H$21,2,FALSE),3))</f>
        <v>3</v>
      </c>
      <c r="BK758">
        <f>IF($E758="","",IFERROR(VLOOKUP($C758,_CONFIG_Risk_Calibration!$A$5:$H$21,3,FALSE),0))</f>
        <v>0</v>
      </c>
      <c r="BL758">
        <f>IF($E758="","",IFERROR(VLOOKUP($C758,_CONFIG_Risk_Calibration!$A$5:$H$21,4,FALSE),3))</f>
        <v>3</v>
      </c>
      <c r="BM758">
        <f>IF($E758="","",IFERROR(VLOOKUP($C758,_CONFIG_Risk_Calibration!$A$5:$H$21,5,FALSE),3))</f>
        <v>3</v>
      </c>
      <c r="BN758" t="str">
        <f>IF($E758="","",IFERROR(VLOOKUP($C758,_CONFIG_Risk_Calibration!$A$5:$H$21,6,FALSE),"No"))</f>
        <v>No</v>
      </c>
      <c r="BO758">
        <f>IF($E758="","",IFERROR(VLOOKUP($C758,_CONFIG_Risk_Calibration!$A$5:$H$21,7,FALSE),1))</f>
        <v>1</v>
      </c>
      <c r="BP758">
        <f>IF($H758="","",MAX(1,MIN(5,((6-$H758)*0.45)+($BJ758*0.2)+('Resilience &amp; Risk Scenario'!$B$7*0.15)+($BK758*0.1)+($BL758*0.05)+(IF($BB758="Fast",5,IF($BB758="Slow",1,3))*0.05))))</f>
        <v>3.7</v>
      </c>
      <c r="BQ758">
        <f t="shared" si="173"/>
        <v>4.1500000000000004</v>
      </c>
      <c r="BR758">
        <f t="shared" si="174"/>
        <v>15.36</v>
      </c>
      <c r="BS758">
        <f t="shared" si="175"/>
        <v>19.2</v>
      </c>
      <c r="BT758" t="str">
        <f>IFERROR(INDEX(_REF_Capability_Bridge!$D:$D,MATCH($C758&amp;"|"&amp;$D758,_REF_Capability_Bridge!$J:$J,0)),IFERROR(INDEX(_REF_Capability_Bridge!$D:$D,MATCH($C758&amp;"|",_REF_Capability_Bridge!$J:$J,0)),"CAP_GENERIC"))</f>
        <v>CAP_PLATFORM_CONTINUITY</v>
      </c>
      <c r="BU758">
        <f>IFERROR(IFERROR(INDEX(_ENGINE_Relevance!$L:$L,MATCH($BT758,_ENGINE_Relevance!$B:$B,0)),1),1)</f>
        <v>1</v>
      </c>
      <c r="BV758" t="str">
        <f>IFERROR(INDEX(_REF_Capability_Bridge!$A:$A,MATCH($C758&amp;"|"&amp;$D758,_REF_Capability_Bridge!$J:$J,0)),IFERROR(INDEX(_REF_Capability_Bridge!$A:$A,MATCH($C758&amp;"|",_REF_Capability_Bridge!$J:$J,0)),"No bridge"))</f>
        <v>BRG-080</v>
      </c>
      <c r="BW758" t="str">
        <f t="shared" si="176"/>
        <v>Capability relevance neutral</v>
      </c>
      <c r="BX758" t="str">
        <f t="shared" si="177"/>
        <v>Initial / absent</v>
      </c>
      <c r="BY758" t="str">
        <f>IF($E758="","",IFERROR(INDEX(_REF_Treatment_Library!$A$2:$A$296,MATCH(1,INDEX((_REF_Treatment_Library!$B$2:$B$296=$BT758)*(_REF_Treatment_Library!$C$2:$C$296=PV_Canonical_Industry)*(_REF_Treatment_Library!$E$2:$E$296&lt;=N($H758))*(_REF_Treatment_Library!$F$2:$F$296&gt;=N($H758))*(_REF_Treatment_Library!$O$2:$O$296="Yes"),0),0)),IFERROR(INDEX(_REF_Treatment_Library!$A$2:$A$296,MATCH(1,INDEX((_REF_Treatment_Library!$B$2:$B$296=$BT758)*(_REF_Treatment_Library!$C$2:$C$296="All")*(_REF_Treatment_Library!$E$2:$E$296&lt;=N($H758))*(_REF_Treatment_Library!$F$2:$F$296&gt;=N($H758))*(_REF_Treatment_Library!$O$2:$O$296="Yes"),0),0)),"")))</f>
        <v>TRT-PLATFORM_CONTINUITY-INITIAL</v>
      </c>
      <c r="BZ758" t="str">
        <f>IF($BY758="","",IFERROR(INDEX(_REF_Treatment_Library!$H$2:$H$296,MATCH($BY758,_REF_Treatment_Library!$A$2:$A$296,0)),""))</f>
        <v>Establish</v>
      </c>
      <c r="CA758" t="str">
        <f>IF($BY758="","",IFERROR(INDEX(_REF_Treatment_Library!$I$2:$I$296,MATCH($BY758,_REF_Treatment_Library!$A$2:$A$296,0)),""))</f>
        <v>Establish baseline controls for Platform continuity</v>
      </c>
      <c r="CB758" t="str">
        <f>IF($BY758="","",IFERROR(INDEX(_REF_Treatment_Library!$K$2:$K$296,MATCH($BY758,_REF_Treatment_Library!$A$2:$A$296,0)),""))</f>
        <v>Named owner, baseline process, minimum control checklist, first evidence package</v>
      </c>
      <c r="CC758" t="str">
        <f>IF($BY758="","",IFERROR(INDEX(_REF_Treatment_Library!$L$2:$L$296,MATCH($BY758,_REF_Treatment_Library!$A$2:$A$296,0)),""))</f>
        <v>Owner assigned; baseline evidence coverage; open critical gaps</v>
      </c>
      <c r="CD758" t="str">
        <f t="shared" si="178"/>
        <v>Treatment by capability=CAP_PLATFORM_CONTINUITY; band=Initial / absent; score=0.0; treatment=Establish</v>
      </c>
      <c r="CE758" t="str">
        <f>IF($E758="","",IFERROR(INDEX(_REF_Industry_Wording!$A$2:$A$70,MATCH(1,INDEX((_REF_Industry_Wording!$B$2:$B$70=$BT758)*(_REF_Industry_Wording!$C$2:$C$70=PV_Canonical_Industry)*(_REF_Industry_Wording!$K$2:$K$70="Yes"),0),0)),IFERROR(INDEX(_REF_Industry_Wording!$A$2:$A$70,MATCH(1,INDEX((_REF_Industry_Wording!$B$2:$B$70=$BT758)*(_REF_Industry_Wording!$C$2:$C$70="All")*(_REF_Industry_Wording!$K$2:$K$70="Yes"),0),0)),"")))</f>
        <v>IW-ALL-PLATFORM_CONTINUITY</v>
      </c>
      <c r="CF758" t="str">
        <f>IF($CE758="","",IFERROR(INDEX(_REF_Industry_Wording!$E$2:$E$70,MATCH($CE758,_REF_Industry_Wording!$A$2:$A$70,0)),""))</f>
        <v>Platform continuity weakness</v>
      </c>
      <c r="CG758" t="str">
        <f>IF($CE758="","",IFERROR(INDEX(_REF_Industry_Wording!$F$2:$F$70,MATCH($CE758,_REF_Industry_Wording!$A$2:$A$70,0)),""))</f>
        <v>Strengthen Platform continuity</v>
      </c>
      <c r="CH758" t="str">
        <f>IF($CE758="","",IFERROR(INDEX(_REF_Industry_Wording!$G$2:$G$70,MATCH($CE758,_REF_Industry_Wording!$A$2:$A$70,0)),""))</f>
        <v>Strengthen Platform continuity using the selected maturity treatment, crisis scenario and evidence requirements.</v>
      </c>
      <c r="CI758" t="str">
        <f>IF($CE758="","",IFERROR(INDEX(_REF_Industry_Wording!$H$2:$H$70,MATCH($CE758,_REF_Industry_Wording!$A$2:$A$70,0)),""))</f>
        <v>Platform continuity</v>
      </c>
      <c r="CJ758">
        <f>IF($CE758="","",IFERROR(INDEX(_REF_Industry_Wording!$I$2:$I$70,MATCH($CE758,_REF_Industry_Wording!$A$2:$A$70,0)),""))</f>
        <v>0</v>
      </c>
      <c r="CK758" t="str">
        <f>IF($CE758="","",IFERROR(INDEX(_REF_Industry_Wording!$J$2:$J$70,MATCH($CE758,_REF_Industry_Wording!$A$2:$A$70,0)),""))</f>
        <v>Platform continuity</v>
      </c>
      <c r="CL758" t="str">
        <f t="shared" si="179"/>
        <v>Wording by industry=0; capability=CAP_PLATFORM_CONTINUITY; risk label=Platform continuity weakness</v>
      </c>
      <c r="CM758" t="str">
        <f t="shared" si="180"/>
        <v>RISK-ONT-0259</v>
      </c>
      <c r="CN758" t="str">
        <f t="shared" si="181"/>
        <v>RISK-EVT-0259</v>
      </c>
      <c r="CO758" t="str">
        <f t="shared" si="182"/>
        <v>Sales CRM|Pipeline and forecast|SALE-008|CAP_PLATFORM_CONTINUITY</v>
      </c>
      <c r="CP758" t="str">
        <f t="shared" si="183"/>
        <v>Active</v>
      </c>
      <c r="CQ758" t="str">
        <f t="shared" si="184"/>
        <v>OK: capability-driven</v>
      </c>
      <c r="CR758" t="str">
        <f t="shared" si="185"/>
        <v>Risk ontology uses capability=CAP_PLATFORM_CONTINUITY; bridge=BRG-080; treatment=TRT-PLATFORM_CONTINUITY-INITIAL; wording=IW-ALL-PLATFORM_CONTINUITY</v>
      </c>
      <c r="CS758" t="str">
        <f t="shared" si="186"/>
        <v>Yes</v>
      </c>
    </row>
    <row r="759" spans="1:97" ht="69.900000000000006" customHeight="1">
      <c r="A759">
        <f>IF(OR($B759&lt;&gt;"Yes",$BS759=""),"",SUMPRODUCT(($B$500:$B$923="Yes")*ISNUMBER($BS$500:$BS$923)*($BS$500:$BS$923&gt;$BS759))+COUNTIFS($B$500:$B759,"Yes",$BS$500:$BS759,$BS759))</f>
        <v>168</v>
      </c>
      <c r="B759" t="str">
        <f t="shared" si="155"/>
        <v>Yes</v>
      </c>
      <c r="C759" t="s">
        <v>2286</v>
      </c>
      <c r="D759" t="s">
        <v>2309</v>
      </c>
      <c r="E759" t="s">
        <v>2352</v>
      </c>
      <c r="F759" t="s">
        <v>3689</v>
      </c>
      <c r="G759" t="str">
        <f>IF($H759="","",IFERROR(INDEX(_ENGINE_Risk!$H$5:$M$499,MATCH($E759,_ENGINE_Risk!$A$5:$A$499,0),$H759+1),""))</f>
        <v>Severe risk: sales forecast stress tests for delayed decisions, budget cuts and customer churn is not reliably controlled. During Demand shock; Revenue loss; Reputation crisis, the organization may face pipeline loss, poor customer retention, weak forecasting and inability to protect revenue channels with limited visibility or accountability.</v>
      </c>
      <c r="H759">
        <f>IFERROR(VALUE(INDEX(_DATA_Assessment_Model!$H$5:$H$884,MATCH($E759,_DATA_Assessment_Model!$A$5:$A$884,0))),"")</f>
        <v>0</v>
      </c>
      <c r="I759" t="str">
        <f>IF($H759="","",IFERROR(INDEX(_DATA_Assessment_Model!$L$5:$L$884,MATCH($E759,_DATA_Assessment_Model!$A$5:$A$884,0)),IF($H759&lt;=1,"Critical",IF($H759=2,"High",IF($H759=3,"Medium",IF($H759=4,"Low","Resilient"))))))</f>
        <v>Critical</v>
      </c>
      <c r="J759">
        <f t="shared" si="156"/>
        <v>3.7</v>
      </c>
      <c r="K759">
        <f t="shared" si="157"/>
        <v>4.1500000000000004</v>
      </c>
      <c r="L759">
        <f t="shared" si="158"/>
        <v>15.355000000000002</v>
      </c>
      <c r="M759">
        <f t="shared" si="159"/>
        <v>4</v>
      </c>
      <c r="N759">
        <f>IF($H759="","",IFERROR(INDEX(_ENGINE_Risk!$T$5:$Y$499,MATCH($E759,_ENGINE_Risk!$A$5:$A$499,0),$H759+1),""))</f>
        <v>3</v>
      </c>
      <c r="O759">
        <f t="shared" si="160"/>
        <v>4.333333333333333</v>
      </c>
      <c r="P759">
        <f t="shared" si="161"/>
        <v>5</v>
      </c>
      <c r="Q759">
        <f t="shared" si="162"/>
        <v>5</v>
      </c>
      <c r="R759">
        <f t="shared" si="163"/>
        <v>4.5</v>
      </c>
      <c r="S759">
        <f t="shared" si="164"/>
        <v>1.57</v>
      </c>
      <c r="T759" t="str">
        <f>IF($H759="","",IFERROR(INDEX(_ENGINE_Risk!$N$5:$S$499,MATCH($E759,_ENGINE_Risk!$A$5:$A$499,0),$H759+1),""))</f>
        <v>Create an immediate risk owner, minimum control baseline and fallback procedure for sales forecast stress tests for delayed decisions, budget cuts and customer churn. Add it to the crisis risk register and collect first evidence.</v>
      </c>
      <c r="U759">
        <f>IFERROR(INDEX(_DATA_Assessment_Model!$G$5:$G$884,MATCH($E759,_DATA_Assessment_Model!$A$5:$A$884,0)),"")</f>
        <v>4</v>
      </c>
      <c r="V759">
        <f>IFERROR(INDEX(_DATA_Assessment_Model!$W$5:$W$884,MATCH($E759,_DATA_Assessment_Model!$A$5:$A$884,0)),"")</f>
        <v>4</v>
      </c>
      <c r="W759">
        <f>IFERROR(INDEX(_DATA_Assessment_Model!$X$5:$X$884,MATCH($E759,_DATA_Assessment_Model!$A$5:$A$884,0)),"")</f>
        <v>5</v>
      </c>
      <c r="X759">
        <f>IFERROR(INDEX(_DATA_Assessment_Model!$Y$5:$Y$884,MATCH($E759,_DATA_Assessment_Model!$A$5:$A$884,0)),"")</f>
        <v>5</v>
      </c>
      <c r="Y759" t="s">
        <v>2299</v>
      </c>
      <c r="Z759" t="s">
        <v>8173</v>
      </c>
      <c r="AA759" t="s">
        <v>2354</v>
      </c>
      <c r="AB759">
        <f>IFERROR(INDEX(_DATA_Assessment_Model!$U$5:$U$884,MATCH($E759,_DATA_Assessment_Model!$A$5:$A$884,0)),"")</f>
        <v>0</v>
      </c>
      <c r="AF759" t="s">
        <v>2353</v>
      </c>
      <c r="AO759">
        <f>IF($B759="Yes",IF(IFERROR(INDEX(_ENGINE_Crisis!$F$501:$F$517,MATCH($C759,_ENGINE_Crisis!$A$501:$A$517,0)),1)=0,1,IFERROR(INDEX(_ENGINE_Crisis!$F$501:$F$517,MATCH($C759,_ENGINE_Crisis!$A$501:$A$517,0)),1)),"")</f>
        <v>1</v>
      </c>
      <c r="AP759">
        <f t="shared" si="165"/>
        <v>15.4</v>
      </c>
      <c r="AQ759">
        <f t="shared" si="166"/>
        <v>1.57</v>
      </c>
      <c r="AR759" t="str">
        <f>IFERROR(INDEX(_ENGINE_Crisis!$E$41:$E$700,MATCH('Resilience &amp; Risk Scenario'!$B$6&amp;"|"&amp;$C759,_ENGINE_Crisis!$I$41:$I$700,0)),"")</f>
        <v/>
      </c>
      <c r="AS759" t="str">
        <f>IFERROR(INDEX(_ENGINE_Crisis!$G$41:$G$700,MATCH('Resilience &amp; Risk Scenario'!$B$6&amp;"|"&amp;$C759,_ENGINE_Crisis!$I$41:$I$700,0)),"")</f>
        <v/>
      </c>
      <c r="AT759" t="str">
        <f>IFERROR(INDEX(_ENGINE_Initiatives!$A$5:$A$532,MATCH(1,INDEX((_ENGINE_Initiatives!$B$5:$B$532=$C759)*(_ENGINE_Initiatives!$C$5:$C$532=$D759),0),0)),"")</f>
        <v>INI-042</v>
      </c>
      <c r="AU759" t="str">
        <f>IFERROR(INDEX(_ENGINE_Initiatives!$F$5:$F$532,MATCH(1,INDEX((_ENGINE_Initiatives!$B$5:$B$532=$C759)*(_ENGINE_Initiatives!$C$5:$C$532=$D759),0),0)),"")</f>
        <v>Build pipeline visibility, forecast discipline and revenue scenarios</v>
      </c>
      <c r="AV759">
        <f>IFERROR(INDEX(_ENGINE_Initiatives!$AC$5:$AC$532,MATCH(1,INDEX((_ENGINE_Initiatives!$B$5:$B$532=$C759)*(_ENGINE_Initiatives!$C$5:$C$532=$D759),0),0)),"")</f>
        <v>1.77</v>
      </c>
      <c r="AW759" t="str">
        <f>IFERROR(INDEX(_ENGINE_Initiatives!$AE$5:$AE$532,MATCH(1,INDEX((_ENGINE_Initiatives!$B$5:$B$532=$C759)*(_ENGINE_Initiatives!$C$5:$C$532=$D759),0),0)),"")</f>
        <v>3-6 months</v>
      </c>
      <c r="AX759">
        <f>IF($B759="Yes",IFERROR((IF(SUMIFS(_REF_Model_Content!$E$1:$E$613,_REF_Model_Content!$A$1:$A$613,PV_Canonical_Industry,_REF_Model_Content!$B$1:$B$613,$C759)=0,1,SUMIFS(_REF_Model_Content!$E$1:$E$613,_REF_Model_Content!$A$1:$A$613,PV_Canonical_Industry,_REF_Model_Content!$B$1:$B$613,$C759))*IFERROR($BU759,1)),1),"")</f>
        <v>1</v>
      </c>
      <c r="AY759">
        <f t="shared" si="167"/>
        <v>15.4</v>
      </c>
      <c r="AZ759">
        <f t="shared" si="168"/>
        <v>1.57</v>
      </c>
      <c r="BB759" t="str">
        <f>IF($H759="","",IFERROR(INDEX(_ENGINE_Risk!$AE$5:$AE$499,MATCH($E759,_ENGINE_Risk!$A$5:$A$499,0)),"Medium"))</f>
        <v>Fast</v>
      </c>
      <c r="BC759">
        <f t="shared" si="169"/>
        <v>1.25</v>
      </c>
      <c r="BD759">
        <f t="shared" si="170"/>
        <v>1.57</v>
      </c>
      <c r="BF759">
        <f>IF(OR($H759="",$J759=""),"",IFERROR(VLOOKUP(ROUND($J759,0),_CONFIG_Model_Settings!$D$154:$E$158,2,0),""))</f>
        <v>0.5</v>
      </c>
      <c r="BG759">
        <f>IFERROR(IF(OR($H759="",$K759=""),"",ROUND('Company Profile'!$B$113*INDEX(_CONFIG_Model_Settings!$H$154:$H$158,MATCH(ROUND($K759,0),_CONFIG_Model_Settings!$G$154:$G$158,0)),0)),0)</f>
        <v>875</v>
      </c>
      <c r="BH759">
        <f t="shared" si="171"/>
        <v>437.5</v>
      </c>
      <c r="BI759">
        <f t="shared" si="172"/>
        <v>437.5</v>
      </c>
      <c r="BJ759">
        <f>IF($E759="","",IFERROR(VLOOKUP($C759,_CONFIG_Risk_Calibration!$A$5:$H$21,2,FALSE),3))</f>
        <v>3</v>
      </c>
      <c r="BK759">
        <f>IF($E759="","",IFERROR(VLOOKUP($C759,_CONFIG_Risk_Calibration!$A$5:$H$21,3,FALSE),0))</f>
        <v>0</v>
      </c>
      <c r="BL759">
        <f>IF($E759="","",IFERROR(VLOOKUP($C759,_CONFIG_Risk_Calibration!$A$5:$H$21,4,FALSE),3))</f>
        <v>3</v>
      </c>
      <c r="BM759">
        <f>IF($E759="","",IFERROR(VLOOKUP($C759,_CONFIG_Risk_Calibration!$A$5:$H$21,5,FALSE),3))</f>
        <v>3</v>
      </c>
      <c r="BN759" t="str">
        <f>IF($E759="","",IFERROR(VLOOKUP($C759,_CONFIG_Risk_Calibration!$A$5:$H$21,6,FALSE),"No"))</f>
        <v>No</v>
      </c>
      <c r="BO759">
        <f>IF($E759="","",IFERROR(VLOOKUP($C759,_CONFIG_Risk_Calibration!$A$5:$H$21,7,FALSE),1))</f>
        <v>1</v>
      </c>
      <c r="BP759">
        <f>IF($H759="","",MAX(1,MIN(5,((6-$H759)*0.45)+($BJ759*0.2)+('Resilience &amp; Risk Scenario'!$B$7*0.15)+($BK759*0.1)+($BL759*0.05)+(IF($BB759="Fast",5,IF($BB759="Slow",1,3))*0.05))))</f>
        <v>3.7</v>
      </c>
      <c r="BQ759">
        <f t="shared" si="173"/>
        <v>4.1500000000000004</v>
      </c>
      <c r="BR759">
        <f t="shared" si="174"/>
        <v>15.36</v>
      </c>
      <c r="BS759">
        <f t="shared" si="175"/>
        <v>19.2</v>
      </c>
      <c r="BT759" t="str">
        <f>IFERROR(INDEX(_REF_Capability_Bridge!$D:$D,MATCH($C759&amp;"|"&amp;$D759,_REF_Capability_Bridge!$J:$J,0)),IFERROR(INDEX(_REF_Capability_Bridge!$D:$D,MATCH($C759&amp;"|",_REF_Capability_Bridge!$J:$J,0)),"CAP_GENERIC"))</f>
        <v>CAP_PLATFORM_CONTINUITY</v>
      </c>
      <c r="BU759">
        <f>IFERROR(IFERROR(INDEX(_ENGINE_Relevance!$L:$L,MATCH($BT759,_ENGINE_Relevance!$B:$B,0)),1),1)</f>
        <v>1</v>
      </c>
      <c r="BV759" t="str">
        <f>IFERROR(INDEX(_REF_Capability_Bridge!$A:$A,MATCH($C759&amp;"|"&amp;$D759,_REF_Capability_Bridge!$J:$J,0)),IFERROR(INDEX(_REF_Capability_Bridge!$A:$A,MATCH($C759&amp;"|",_REF_Capability_Bridge!$J:$J,0)),"No bridge"))</f>
        <v>BRG-080</v>
      </c>
      <c r="BW759" t="str">
        <f t="shared" si="176"/>
        <v>Capability relevance neutral</v>
      </c>
      <c r="BX759" t="str">
        <f t="shared" si="177"/>
        <v>Initial / absent</v>
      </c>
      <c r="BY759" t="str">
        <f>IF($E759="","",IFERROR(INDEX(_REF_Treatment_Library!$A$2:$A$296,MATCH(1,INDEX((_REF_Treatment_Library!$B$2:$B$296=$BT759)*(_REF_Treatment_Library!$C$2:$C$296=PV_Canonical_Industry)*(_REF_Treatment_Library!$E$2:$E$296&lt;=N($H759))*(_REF_Treatment_Library!$F$2:$F$296&gt;=N($H759))*(_REF_Treatment_Library!$O$2:$O$296="Yes"),0),0)),IFERROR(INDEX(_REF_Treatment_Library!$A$2:$A$296,MATCH(1,INDEX((_REF_Treatment_Library!$B$2:$B$296=$BT759)*(_REF_Treatment_Library!$C$2:$C$296="All")*(_REF_Treatment_Library!$E$2:$E$296&lt;=N($H759))*(_REF_Treatment_Library!$F$2:$F$296&gt;=N($H759))*(_REF_Treatment_Library!$O$2:$O$296="Yes"),0),0)),"")))</f>
        <v>TRT-PLATFORM_CONTINUITY-INITIAL</v>
      </c>
      <c r="BZ759" t="str">
        <f>IF($BY759="","",IFERROR(INDEX(_REF_Treatment_Library!$H$2:$H$296,MATCH($BY759,_REF_Treatment_Library!$A$2:$A$296,0)),""))</f>
        <v>Establish</v>
      </c>
      <c r="CA759" t="str">
        <f>IF($BY759="","",IFERROR(INDEX(_REF_Treatment_Library!$I$2:$I$296,MATCH($BY759,_REF_Treatment_Library!$A$2:$A$296,0)),""))</f>
        <v>Establish baseline controls for Platform continuity</v>
      </c>
      <c r="CB759" t="str">
        <f>IF($BY759="","",IFERROR(INDEX(_REF_Treatment_Library!$K$2:$K$296,MATCH($BY759,_REF_Treatment_Library!$A$2:$A$296,0)),""))</f>
        <v>Named owner, baseline process, minimum control checklist, first evidence package</v>
      </c>
      <c r="CC759" t="str">
        <f>IF($BY759="","",IFERROR(INDEX(_REF_Treatment_Library!$L$2:$L$296,MATCH($BY759,_REF_Treatment_Library!$A$2:$A$296,0)),""))</f>
        <v>Owner assigned; baseline evidence coverage; open critical gaps</v>
      </c>
      <c r="CD759" t="str">
        <f t="shared" si="178"/>
        <v>Treatment by capability=CAP_PLATFORM_CONTINUITY; band=Initial / absent; score=0.0; treatment=Establish</v>
      </c>
      <c r="CE759" t="str">
        <f>IF($E759="","",IFERROR(INDEX(_REF_Industry_Wording!$A$2:$A$70,MATCH(1,INDEX((_REF_Industry_Wording!$B$2:$B$70=$BT759)*(_REF_Industry_Wording!$C$2:$C$70=PV_Canonical_Industry)*(_REF_Industry_Wording!$K$2:$K$70="Yes"),0),0)),IFERROR(INDEX(_REF_Industry_Wording!$A$2:$A$70,MATCH(1,INDEX((_REF_Industry_Wording!$B$2:$B$70=$BT759)*(_REF_Industry_Wording!$C$2:$C$70="All")*(_REF_Industry_Wording!$K$2:$K$70="Yes"),0),0)),"")))</f>
        <v>IW-ALL-PLATFORM_CONTINUITY</v>
      </c>
      <c r="CF759" t="str">
        <f>IF($CE759="","",IFERROR(INDEX(_REF_Industry_Wording!$E$2:$E$70,MATCH($CE759,_REF_Industry_Wording!$A$2:$A$70,0)),""))</f>
        <v>Platform continuity weakness</v>
      </c>
      <c r="CG759" t="str">
        <f>IF($CE759="","",IFERROR(INDEX(_REF_Industry_Wording!$F$2:$F$70,MATCH($CE759,_REF_Industry_Wording!$A$2:$A$70,0)),""))</f>
        <v>Strengthen Platform continuity</v>
      </c>
      <c r="CH759" t="str">
        <f>IF($CE759="","",IFERROR(INDEX(_REF_Industry_Wording!$G$2:$G$70,MATCH($CE759,_REF_Industry_Wording!$A$2:$A$70,0)),""))</f>
        <v>Strengthen Platform continuity using the selected maturity treatment, crisis scenario and evidence requirements.</v>
      </c>
      <c r="CI759" t="str">
        <f>IF($CE759="","",IFERROR(INDEX(_REF_Industry_Wording!$H$2:$H$70,MATCH($CE759,_REF_Industry_Wording!$A$2:$A$70,0)),""))</f>
        <v>Platform continuity</v>
      </c>
      <c r="CJ759">
        <f>IF($CE759="","",IFERROR(INDEX(_REF_Industry_Wording!$I$2:$I$70,MATCH($CE759,_REF_Industry_Wording!$A$2:$A$70,0)),""))</f>
        <v>0</v>
      </c>
      <c r="CK759" t="str">
        <f>IF($CE759="","",IFERROR(INDEX(_REF_Industry_Wording!$J$2:$J$70,MATCH($CE759,_REF_Industry_Wording!$A$2:$A$70,0)),""))</f>
        <v>Platform continuity</v>
      </c>
      <c r="CL759" t="str">
        <f t="shared" si="179"/>
        <v>Wording by industry=0; capability=CAP_PLATFORM_CONTINUITY; risk label=Platform continuity weakness</v>
      </c>
      <c r="CM759" t="str">
        <f t="shared" si="180"/>
        <v>RISK-ONT-0260</v>
      </c>
      <c r="CN759" t="str">
        <f t="shared" si="181"/>
        <v>RISK-EVT-0260</v>
      </c>
      <c r="CO759" t="str">
        <f t="shared" si="182"/>
        <v>Sales CRM|Pipeline and forecast|SALE-009|CAP_PLATFORM_CONTINUITY</v>
      </c>
      <c r="CP759" t="str">
        <f t="shared" si="183"/>
        <v>Active</v>
      </c>
      <c r="CQ759" t="str">
        <f t="shared" si="184"/>
        <v>OK: capability-driven</v>
      </c>
      <c r="CR759" t="str">
        <f t="shared" si="185"/>
        <v>Risk ontology uses capability=CAP_PLATFORM_CONTINUITY; bridge=BRG-080; treatment=TRT-PLATFORM_CONTINUITY-INITIAL; wording=IW-ALL-PLATFORM_CONTINUITY</v>
      </c>
      <c r="CS759" t="str">
        <f t="shared" si="186"/>
        <v>Yes</v>
      </c>
    </row>
    <row r="760" spans="1:97" ht="69.900000000000006" customHeight="1">
      <c r="A760">
        <f>IF(OR($B760&lt;&gt;"Yes",$BS760=""),"",SUMPRODUCT(($B$500:$B$923="Yes")*ISNUMBER($BS$500:$BS$923)*($BS$500:$BS$923&gt;$BS760))+COUNTIFS($B$500:$B760,"Yes",$BS$500:$BS760,$BS760))</f>
        <v>172</v>
      </c>
      <c r="B760" t="str">
        <f t="shared" si="155"/>
        <v>Yes</v>
      </c>
      <c r="C760" t="s">
        <v>2286</v>
      </c>
      <c r="D760" t="s">
        <v>2309</v>
      </c>
      <c r="E760" t="s">
        <v>2355</v>
      </c>
      <c r="F760" t="s">
        <v>3689</v>
      </c>
      <c r="G760" t="str">
        <f>IF($H760="","",IFERROR(INDEX(_ENGINE_Risk!$H$5:$M$499,MATCH($E760,_ENGINE_Risk!$A$5:$A$499,0),$H760+1),""))</f>
        <v>Severe risk: sales analytics by conversion, cycle time, win rate, deal size, margin and loss reason is not reliably controlled. During Demand shock; Revenue loss; Reputation crisis, the organization may face pipeline loss, poor customer retention, weak forecasting and inability to protect revenue channels with limited visibility or accountability.</v>
      </c>
      <c r="H760">
        <f>IFERROR(VALUE(INDEX(_DATA_Assessment_Model!$H$5:$H$884,MATCH($E760,_DATA_Assessment_Model!$A$5:$A$884,0))),"")</f>
        <v>0</v>
      </c>
      <c r="I760" t="str">
        <f>IF($H760="","",IFERROR(INDEX(_DATA_Assessment_Model!$L$5:$L$884,MATCH($E760,_DATA_Assessment_Model!$A$5:$A$884,0)),IF($H760&lt;=1,"Critical",IF($H760=2,"High",IF($H760=3,"Medium",IF($H760=4,"Low","Resilient"))))))</f>
        <v>Critical</v>
      </c>
      <c r="J760">
        <f t="shared" si="156"/>
        <v>3.7</v>
      </c>
      <c r="K760">
        <f t="shared" si="157"/>
        <v>4.1000000000000005</v>
      </c>
      <c r="L760">
        <f t="shared" si="158"/>
        <v>15.170000000000003</v>
      </c>
      <c r="M760">
        <f t="shared" si="159"/>
        <v>4</v>
      </c>
      <c r="N760">
        <f>IF($H760="","",IFERROR(INDEX(_ENGINE_Risk!$T$5:$Y$499,MATCH($E760,_ENGINE_Risk!$A$5:$A$499,0),$H760+1),""))</f>
        <v>3</v>
      </c>
      <c r="O760">
        <f t="shared" si="160"/>
        <v>4.333333333333333</v>
      </c>
      <c r="P760">
        <f t="shared" si="161"/>
        <v>5</v>
      </c>
      <c r="Q760">
        <f t="shared" si="162"/>
        <v>5</v>
      </c>
      <c r="R760">
        <f t="shared" si="163"/>
        <v>5</v>
      </c>
      <c r="S760">
        <f t="shared" si="164"/>
        <v>1.61</v>
      </c>
      <c r="T760" t="str">
        <f>IF($H760="","",IFERROR(INDEX(_ENGINE_Risk!$N$5:$S$499,MATCH($E760,_ENGINE_Risk!$A$5:$A$499,0),$H760+1),""))</f>
        <v>Create an immediate risk owner, minimum control baseline and fallback procedure for sales analytics by conversion, cycle time, win rate, deal size, margin and loss reason. Add it to the crisis risk register and collect first evidence.</v>
      </c>
      <c r="U760">
        <f>IFERROR(INDEX(_DATA_Assessment_Model!$G$5:$G$884,MATCH($E760,_DATA_Assessment_Model!$A$5:$A$884,0)),"")</f>
        <v>3</v>
      </c>
      <c r="V760">
        <f>IFERROR(INDEX(_DATA_Assessment_Model!$W$5:$W$884,MATCH($E760,_DATA_Assessment_Model!$A$5:$A$884,0)),"")</f>
        <v>5</v>
      </c>
      <c r="W760">
        <f>IFERROR(INDEX(_DATA_Assessment_Model!$X$5:$X$884,MATCH($E760,_DATA_Assessment_Model!$A$5:$A$884,0)),"")</f>
        <v>5</v>
      </c>
      <c r="X760">
        <f>IFERROR(INDEX(_DATA_Assessment_Model!$Y$5:$Y$884,MATCH($E760,_DATA_Assessment_Model!$A$5:$A$884,0)),"")</f>
        <v>5</v>
      </c>
      <c r="Y760" t="s">
        <v>2299</v>
      </c>
      <c r="Z760" t="s">
        <v>8173</v>
      </c>
      <c r="AA760" t="s">
        <v>2357</v>
      </c>
      <c r="AB760">
        <f>IFERROR(INDEX(_DATA_Assessment_Model!$U$5:$U$884,MATCH($E760,_DATA_Assessment_Model!$A$5:$A$884,0)),"")</f>
        <v>0</v>
      </c>
      <c r="AF760" t="s">
        <v>2356</v>
      </c>
      <c r="AO760">
        <f>IF($B760="Yes",IF(IFERROR(INDEX(_ENGINE_Crisis!$F$501:$F$517,MATCH($C760,_ENGINE_Crisis!$A$501:$A$517,0)),1)=0,1,IFERROR(INDEX(_ENGINE_Crisis!$F$501:$F$517,MATCH($C760,_ENGINE_Crisis!$A$501:$A$517,0)),1)),"")</f>
        <v>1</v>
      </c>
      <c r="AP760">
        <f t="shared" si="165"/>
        <v>15.2</v>
      </c>
      <c r="AQ760">
        <f t="shared" si="166"/>
        <v>1.61</v>
      </c>
      <c r="AR760" t="str">
        <f>IFERROR(INDEX(_ENGINE_Crisis!$E$41:$E$700,MATCH('Resilience &amp; Risk Scenario'!$B$6&amp;"|"&amp;$C760,_ENGINE_Crisis!$I$41:$I$700,0)),"")</f>
        <v/>
      </c>
      <c r="AS760" t="str">
        <f>IFERROR(INDEX(_ENGINE_Crisis!$G$41:$G$700,MATCH('Resilience &amp; Risk Scenario'!$B$6&amp;"|"&amp;$C760,_ENGINE_Crisis!$I$41:$I$700,0)),"")</f>
        <v/>
      </c>
      <c r="AT760" t="str">
        <f>IFERROR(INDEX(_ENGINE_Initiatives!$A$5:$A$532,MATCH(1,INDEX((_ENGINE_Initiatives!$B$5:$B$532=$C760)*(_ENGINE_Initiatives!$C$5:$C$532=$D760),0),0)),"")</f>
        <v>INI-042</v>
      </c>
      <c r="AU760" t="str">
        <f>IFERROR(INDEX(_ENGINE_Initiatives!$F$5:$F$532,MATCH(1,INDEX((_ENGINE_Initiatives!$B$5:$B$532=$C760)*(_ENGINE_Initiatives!$C$5:$C$532=$D760),0),0)),"")</f>
        <v>Build pipeline visibility, forecast discipline and revenue scenarios</v>
      </c>
      <c r="AV760">
        <f>IFERROR(INDEX(_ENGINE_Initiatives!$AC$5:$AC$532,MATCH(1,INDEX((_ENGINE_Initiatives!$B$5:$B$532=$C760)*(_ENGINE_Initiatives!$C$5:$C$532=$D760),0),0)),"")</f>
        <v>1.77</v>
      </c>
      <c r="AW760" t="str">
        <f>IFERROR(INDEX(_ENGINE_Initiatives!$AE$5:$AE$532,MATCH(1,INDEX((_ENGINE_Initiatives!$B$5:$B$532=$C760)*(_ENGINE_Initiatives!$C$5:$C$532=$D760),0),0)),"")</f>
        <v>3-6 months</v>
      </c>
      <c r="AX760">
        <f>IF($B760="Yes",IFERROR((IF(SUMIFS(_REF_Model_Content!$E$1:$E$613,_REF_Model_Content!$A$1:$A$613,PV_Canonical_Industry,_REF_Model_Content!$B$1:$B$613,$C760)=0,1,SUMIFS(_REF_Model_Content!$E$1:$E$613,_REF_Model_Content!$A$1:$A$613,PV_Canonical_Industry,_REF_Model_Content!$B$1:$B$613,$C760))*IFERROR($BU760,1)),1),"")</f>
        <v>1</v>
      </c>
      <c r="AY760">
        <f t="shared" si="167"/>
        <v>15.2</v>
      </c>
      <c r="AZ760">
        <f t="shared" si="168"/>
        <v>1.61</v>
      </c>
      <c r="BB760" t="str">
        <f>IF($H760="","",IFERROR(INDEX(_ENGINE_Risk!$AE$5:$AE$499,MATCH($E760,_ENGINE_Risk!$A$5:$A$499,0)),"Medium"))</f>
        <v>Fast</v>
      </c>
      <c r="BC760">
        <f t="shared" si="169"/>
        <v>1.25</v>
      </c>
      <c r="BD760">
        <f t="shared" si="170"/>
        <v>1.61</v>
      </c>
      <c r="BF760">
        <f>IF(OR($H760="",$J760=""),"",IFERROR(VLOOKUP(ROUND($J760,0),_CONFIG_Model_Settings!$D$154:$E$158,2,0),""))</f>
        <v>0.5</v>
      </c>
      <c r="BG760">
        <f>IFERROR(IF(OR($H760="",$K760=""),"",ROUND('Company Profile'!$B$113*INDEX(_CONFIG_Model_Settings!$H$154:$H$158,MATCH(ROUND($K760,0),_CONFIG_Model_Settings!$G$154:$G$158,0)),0)),0)</f>
        <v>875</v>
      </c>
      <c r="BH760">
        <f t="shared" si="171"/>
        <v>437.5</v>
      </c>
      <c r="BI760">
        <f t="shared" si="172"/>
        <v>437.5</v>
      </c>
      <c r="BJ760">
        <f>IF($E760="","",IFERROR(VLOOKUP($C760,_CONFIG_Risk_Calibration!$A$5:$H$21,2,FALSE),3))</f>
        <v>3</v>
      </c>
      <c r="BK760">
        <f>IF($E760="","",IFERROR(VLOOKUP($C760,_CONFIG_Risk_Calibration!$A$5:$H$21,3,FALSE),0))</f>
        <v>0</v>
      </c>
      <c r="BL760">
        <f>IF($E760="","",IFERROR(VLOOKUP($C760,_CONFIG_Risk_Calibration!$A$5:$H$21,4,FALSE),3))</f>
        <v>3</v>
      </c>
      <c r="BM760">
        <f>IF($E760="","",IFERROR(VLOOKUP($C760,_CONFIG_Risk_Calibration!$A$5:$H$21,5,FALSE),3))</f>
        <v>3</v>
      </c>
      <c r="BN760" t="str">
        <f>IF($E760="","",IFERROR(VLOOKUP($C760,_CONFIG_Risk_Calibration!$A$5:$H$21,6,FALSE),"No"))</f>
        <v>No</v>
      </c>
      <c r="BO760">
        <f>IF($E760="","",IFERROR(VLOOKUP($C760,_CONFIG_Risk_Calibration!$A$5:$H$21,7,FALSE),1))</f>
        <v>1</v>
      </c>
      <c r="BP760">
        <f>IF($H760="","",MAX(1,MIN(5,((6-$H760)*0.45)+($BJ760*0.2)+('Resilience &amp; Risk Scenario'!$B$7*0.15)+($BK760*0.1)+($BL760*0.05)+(IF($BB760="Fast",5,IF($BB760="Slow",1,3))*0.05))))</f>
        <v>3.7</v>
      </c>
      <c r="BQ760">
        <f t="shared" si="173"/>
        <v>4.1000000000000005</v>
      </c>
      <c r="BR760">
        <f t="shared" si="174"/>
        <v>15.17</v>
      </c>
      <c r="BS760">
        <f t="shared" si="175"/>
        <v>18.96</v>
      </c>
      <c r="BT760" t="str">
        <f>IFERROR(INDEX(_REF_Capability_Bridge!$D:$D,MATCH($C760&amp;"|"&amp;$D760,_REF_Capability_Bridge!$J:$J,0)),IFERROR(INDEX(_REF_Capability_Bridge!$D:$D,MATCH($C760&amp;"|",_REF_Capability_Bridge!$J:$J,0)),"CAP_GENERIC"))</f>
        <v>CAP_PLATFORM_CONTINUITY</v>
      </c>
      <c r="BU760">
        <f>IFERROR(IFERROR(INDEX(_ENGINE_Relevance!$L:$L,MATCH($BT760,_ENGINE_Relevance!$B:$B,0)),1),1)</f>
        <v>1</v>
      </c>
      <c r="BV760" t="str">
        <f>IFERROR(INDEX(_REF_Capability_Bridge!$A:$A,MATCH($C760&amp;"|"&amp;$D760,_REF_Capability_Bridge!$J:$J,0)),IFERROR(INDEX(_REF_Capability_Bridge!$A:$A,MATCH($C760&amp;"|",_REF_Capability_Bridge!$J:$J,0)),"No bridge"))</f>
        <v>BRG-080</v>
      </c>
      <c r="BW760" t="str">
        <f t="shared" si="176"/>
        <v>Capability relevance neutral</v>
      </c>
      <c r="BX760" t="str">
        <f t="shared" si="177"/>
        <v>Initial / absent</v>
      </c>
      <c r="BY760" t="str">
        <f>IF($E760="","",IFERROR(INDEX(_REF_Treatment_Library!$A$2:$A$296,MATCH(1,INDEX((_REF_Treatment_Library!$B$2:$B$296=$BT760)*(_REF_Treatment_Library!$C$2:$C$296=PV_Canonical_Industry)*(_REF_Treatment_Library!$E$2:$E$296&lt;=N($H760))*(_REF_Treatment_Library!$F$2:$F$296&gt;=N($H760))*(_REF_Treatment_Library!$O$2:$O$296="Yes"),0),0)),IFERROR(INDEX(_REF_Treatment_Library!$A$2:$A$296,MATCH(1,INDEX((_REF_Treatment_Library!$B$2:$B$296=$BT760)*(_REF_Treatment_Library!$C$2:$C$296="All")*(_REF_Treatment_Library!$E$2:$E$296&lt;=N($H760))*(_REF_Treatment_Library!$F$2:$F$296&gt;=N($H760))*(_REF_Treatment_Library!$O$2:$O$296="Yes"),0),0)),"")))</f>
        <v>TRT-PLATFORM_CONTINUITY-INITIAL</v>
      </c>
      <c r="BZ760" t="str">
        <f>IF($BY760="","",IFERROR(INDEX(_REF_Treatment_Library!$H$2:$H$296,MATCH($BY760,_REF_Treatment_Library!$A$2:$A$296,0)),""))</f>
        <v>Establish</v>
      </c>
      <c r="CA760" t="str">
        <f>IF($BY760="","",IFERROR(INDEX(_REF_Treatment_Library!$I$2:$I$296,MATCH($BY760,_REF_Treatment_Library!$A$2:$A$296,0)),""))</f>
        <v>Establish baseline controls for Platform continuity</v>
      </c>
      <c r="CB760" t="str">
        <f>IF($BY760="","",IFERROR(INDEX(_REF_Treatment_Library!$K$2:$K$296,MATCH($BY760,_REF_Treatment_Library!$A$2:$A$296,0)),""))</f>
        <v>Named owner, baseline process, minimum control checklist, first evidence package</v>
      </c>
      <c r="CC760" t="str">
        <f>IF($BY760="","",IFERROR(INDEX(_REF_Treatment_Library!$L$2:$L$296,MATCH($BY760,_REF_Treatment_Library!$A$2:$A$296,0)),""))</f>
        <v>Owner assigned; baseline evidence coverage; open critical gaps</v>
      </c>
      <c r="CD760" t="str">
        <f t="shared" si="178"/>
        <v>Treatment by capability=CAP_PLATFORM_CONTINUITY; band=Initial / absent; score=0.0; treatment=Establish</v>
      </c>
      <c r="CE760" t="str">
        <f>IF($E760="","",IFERROR(INDEX(_REF_Industry_Wording!$A$2:$A$70,MATCH(1,INDEX((_REF_Industry_Wording!$B$2:$B$70=$BT760)*(_REF_Industry_Wording!$C$2:$C$70=PV_Canonical_Industry)*(_REF_Industry_Wording!$K$2:$K$70="Yes"),0),0)),IFERROR(INDEX(_REF_Industry_Wording!$A$2:$A$70,MATCH(1,INDEX((_REF_Industry_Wording!$B$2:$B$70=$BT760)*(_REF_Industry_Wording!$C$2:$C$70="All")*(_REF_Industry_Wording!$K$2:$K$70="Yes"),0),0)),"")))</f>
        <v>IW-ALL-PLATFORM_CONTINUITY</v>
      </c>
      <c r="CF760" t="str">
        <f>IF($CE760="","",IFERROR(INDEX(_REF_Industry_Wording!$E$2:$E$70,MATCH($CE760,_REF_Industry_Wording!$A$2:$A$70,0)),""))</f>
        <v>Platform continuity weakness</v>
      </c>
      <c r="CG760" t="str">
        <f>IF($CE760="","",IFERROR(INDEX(_REF_Industry_Wording!$F$2:$F$70,MATCH($CE760,_REF_Industry_Wording!$A$2:$A$70,0)),""))</f>
        <v>Strengthen Platform continuity</v>
      </c>
      <c r="CH760" t="str">
        <f>IF($CE760="","",IFERROR(INDEX(_REF_Industry_Wording!$G$2:$G$70,MATCH($CE760,_REF_Industry_Wording!$A$2:$A$70,0)),""))</f>
        <v>Strengthen Platform continuity using the selected maturity treatment, crisis scenario and evidence requirements.</v>
      </c>
      <c r="CI760" t="str">
        <f>IF($CE760="","",IFERROR(INDEX(_REF_Industry_Wording!$H$2:$H$70,MATCH($CE760,_REF_Industry_Wording!$A$2:$A$70,0)),""))</f>
        <v>Platform continuity</v>
      </c>
      <c r="CJ760">
        <f>IF($CE760="","",IFERROR(INDEX(_REF_Industry_Wording!$I$2:$I$70,MATCH($CE760,_REF_Industry_Wording!$A$2:$A$70,0)),""))</f>
        <v>0</v>
      </c>
      <c r="CK760" t="str">
        <f>IF($CE760="","",IFERROR(INDEX(_REF_Industry_Wording!$J$2:$J$70,MATCH($CE760,_REF_Industry_Wording!$A$2:$A$70,0)),""))</f>
        <v>Platform continuity</v>
      </c>
      <c r="CL760" t="str">
        <f t="shared" si="179"/>
        <v>Wording by industry=0; capability=CAP_PLATFORM_CONTINUITY; risk label=Platform continuity weakness</v>
      </c>
      <c r="CM760" t="str">
        <f t="shared" si="180"/>
        <v>RISK-ONT-0261</v>
      </c>
      <c r="CN760" t="str">
        <f t="shared" si="181"/>
        <v>RISK-EVT-0261</v>
      </c>
      <c r="CO760" t="str">
        <f t="shared" si="182"/>
        <v>Sales CRM|Pipeline and forecast|SALE-010|CAP_PLATFORM_CONTINUITY</v>
      </c>
      <c r="CP760" t="str">
        <f t="shared" si="183"/>
        <v>Active</v>
      </c>
      <c r="CQ760" t="str">
        <f t="shared" si="184"/>
        <v>OK: capability-driven</v>
      </c>
      <c r="CR760" t="str">
        <f t="shared" si="185"/>
        <v>Risk ontology uses capability=CAP_PLATFORM_CONTINUITY; bridge=BRG-080; treatment=TRT-PLATFORM_CONTINUITY-INITIAL; wording=IW-ALL-PLATFORM_CONTINUITY</v>
      </c>
      <c r="CS760" t="str">
        <f t="shared" si="186"/>
        <v>Yes</v>
      </c>
    </row>
    <row r="761" spans="1:97" ht="69.900000000000006" customHeight="1">
      <c r="A761">
        <f>IF(OR($B761&lt;&gt;"Yes",$BS761=""),"",SUMPRODUCT(($B$500:$B$923="Yes")*ISNUMBER($BS$500:$BS$923)*($BS$500:$BS$923&gt;$BS761))+COUNTIFS($B$500:$B761,"Yes",$BS$500:$BS761,$BS761))</f>
        <v>169</v>
      </c>
      <c r="B761" t="str">
        <f t="shared" si="155"/>
        <v>Yes</v>
      </c>
      <c r="C761" t="s">
        <v>2286</v>
      </c>
      <c r="D761" t="s">
        <v>2319</v>
      </c>
      <c r="E761" t="s">
        <v>2364</v>
      </c>
      <c r="F761" t="s">
        <v>3689</v>
      </c>
      <c r="G761" t="str">
        <f>IF($H761="","",IFERROR(INDEX(_ENGINE_Risk!$H$5:$M$499,MATCH($E761,_ENGINE_Risk!$A$5:$A$499,0),$H761+1),""))</f>
        <v>Severe risk: customer health scoring using usage, satisfaction, payment behavior, delivery issues and engagement is not reliably controlled. During Demand shock; Revenue loss; Reputation crisis, the organization may face pipeline loss, poor customer retention, weak forecasting and inability to protect revenue channels with limited visibility or accountability.</v>
      </c>
      <c r="H761">
        <f>IFERROR(VALUE(INDEX(_DATA_Assessment_Model!$H$5:$H$884,MATCH($E761,_DATA_Assessment_Model!$A$5:$A$884,0))),"")</f>
        <v>0</v>
      </c>
      <c r="I761" t="str">
        <f>IF($H761="","",IFERROR(INDEX(_DATA_Assessment_Model!$L$5:$L$884,MATCH($E761,_DATA_Assessment_Model!$A$5:$A$884,0)),IF($H761&lt;=1,"Critical",IF($H761=2,"High",IF($H761=3,"Medium",IF($H761=4,"Low","Resilient"))))))</f>
        <v>Critical</v>
      </c>
      <c r="J761">
        <f t="shared" si="156"/>
        <v>3.7</v>
      </c>
      <c r="K761">
        <f t="shared" si="157"/>
        <v>4.1500000000000004</v>
      </c>
      <c r="L761">
        <f t="shared" si="158"/>
        <v>15.355000000000002</v>
      </c>
      <c r="M761">
        <f t="shared" si="159"/>
        <v>4</v>
      </c>
      <c r="N761">
        <f>IF($H761="","",IFERROR(INDEX(_ENGINE_Risk!$T$5:$Y$499,MATCH($E761,_ENGINE_Risk!$A$5:$A$499,0),$H761+1),""))</f>
        <v>3</v>
      </c>
      <c r="O761">
        <f t="shared" si="160"/>
        <v>4.333333333333333</v>
      </c>
      <c r="P761">
        <f t="shared" si="161"/>
        <v>5</v>
      </c>
      <c r="Q761">
        <f t="shared" si="162"/>
        <v>5</v>
      </c>
      <c r="R761">
        <f t="shared" si="163"/>
        <v>4.5</v>
      </c>
      <c r="S761">
        <f t="shared" si="164"/>
        <v>1.57</v>
      </c>
      <c r="T761" t="str">
        <f>IF($H761="","",IFERROR(INDEX(_ENGINE_Risk!$N$5:$S$499,MATCH($E761,_ENGINE_Risk!$A$5:$A$499,0),$H761+1),""))</f>
        <v>Create an immediate risk owner, minimum control baseline and fallback procedure for customer health scoring using usage, satisfaction, payment behavior, delivery issues and engagement. Add it to the crisis risk register and collect first evidence.</v>
      </c>
      <c r="U761">
        <f>IFERROR(INDEX(_DATA_Assessment_Model!$G$5:$G$884,MATCH($E761,_DATA_Assessment_Model!$A$5:$A$884,0)),"")</f>
        <v>4</v>
      </c>
      <c r="V761">
        <f>IFERROR(INDEX(_DATA_Assessment_Model!$W$5:$W$884,MATCH($E761,_DATA_Assessment_Model!$A$5:$A$884,0)),"")</f>
        <v>4</v>
      </c>
      <c r="W761">
        <f>IFERROR(INDEX(_DATA_Assessment_Model!$X$5:$X$884,MATCH($E761,_DATA_Assessment_Model!$A$5:$A$884,0)),"")</f>
        <v>5</v>
      </c>
      <c r="X761">
        <f>IFERROR(INDEX(_DATA_Assessment_Model!$Y$5:$Y$884,MATCH($E761,_DATA_Assessment_Model!$A$5:$A$884,0)),"")</f>
        <v>5</v>
      </c>
      <c r="Y761" t="s">
        <v>2299</v>
      </c>
      <c r="Z761" t="s">
        <v>8173</v>
      </c>
      <c r="AA761" t="s">
        <v>2366</v>
      </c>
      <c r="AB761">
        <f>IFERROR(INDEX(_DATA_Assessment_Model!$U$5:$U$884,MATCH($E761,_DATA_Assessment_Model!$A$5:$A$884,0)),"")</f>
        <v>0</v>
      </c>
      <c r="AF761" t="s">
        <v>2365</v>
      </c>
      <c r="AO761">
        <f>IF($B761="Yes",IF(IFERROR(INDEX(_ENGINE_Crisis!$F$501:$F$517,MATCH($C761,_ENGINE_Crisis!$A$501:$A$517,0)),1)=0,1,IFERROR(INDEX(_ENGINE_Crisis!$F$501:$F$517,MATCH($C761,_ENGINE_Crisis!$A$501:$A$517,0)),1)),"")</f>
        <v>1</v>
      </c>
      <c r="AP761">
        <f t="shared" si="165"/>
        <v>15.4</v>
      </c>
      <c r="AQ761">
        <f t="shared" si="166"/>
        <v>1.57</v>
      </c>
      <c r="AR761" t="str">
        <f>IFERROR(INDEX(_ENGINE_Crisis!$E$41:$E$700,MATCH('Resilience &amp; Risk Scenario'!$B$6&amp;"|"&amp;$C761,_ENGINE_Crisis!$I$41:$I$700,0)),"")</f>
        <v/>
      </c>
      <c r="AS761" t="str">
        <f>IFERROR(INDEX(_ENGINE_Crisis!$G$41:$G$700,MATCH('Resilience &amp; Risk Scenario'!$B$6&amp;"|"&amp;$C761,_ENGINE_Crisis!$I$41:$I$700,0)),"")</f>
        <v/>
      </c>
      <c r="AT761" t="str">
        <f>IFERROR(INDEX(_ENGINE_Initiatives!$A$5:$A$532,MATCH(1,INDEX((_ENGINE_Initiatives!$B$5:$B$532=$C761)*(_ENGINE_Initiatives!$C$5:$C$532=$D761),0),0)),"")</f>
        <v>INI-043</v>
      </c>
      <c r="AU761" t="str">
        <f>IFERROR(INDEX(_ENGINE_Initiatives!$F$5:$F$532,MATCH(1,INDEX((_ENGINE_Initiatives!$B$5:$B$532=$C761)*(_ENGINE_Initiatives!$C$5:$C$532=$D761),0),0)),"")</f>
        <v>Implement customer continuity and key-account protection program</v>
      </c>
      <c r="AV761">
        <f>IFERROR(INDEX(_ENGINE_Initiatives!$AC$5:$AC$532,MATCH(1,INDEX((_ENGINE_Initiatives!$B$5:$B$532=$C761)*(_ENGINE_Initiatives!$C$5:$C$532=$D761),0),0)),"")</f>
        <v>1.76</v>
      </c>
      <c r="AW761" t="str">
        <f>IFERROR(INDEX(_ENGINE_Initiatives!$AE$5:$AE$532,MATCH(1,INDEX((_ENGINE_Initiatives!$B$5:$B$532=$C761)*(_ENGINE_Initiatives!$C$5:$C$532=$D761),0),0)),"")</f>
        <v>3-6 months</v>
      </c>
      <c r="AX761">
        <f>IF($B761="Yes",IFERROR((IF(SUMIFS(_REF_Model_Content!$E$1:$E$613,_REF_Model_Content!$A$1:$A$613,PV_Canonical_Industry,_REF_Model_Content!$B$1:$B$613,$C761)=0,1,SUMIFS(_REF_Model_Content!$E$1:$E$613,_REF_Model_Content!$A$1:$A$613,PV_Canonical_Industry,_REF_Model_Content!$B$1:$B$613,$C761))*IFERROR($BU761,1)),1),"")</f>
        <v>1</v>
      </c>
      <c r="AY761">
        <f t="shared" si="167"/>
        <v>15.4</v>
      </c>
      <c r="AZ761">
        <f t="shared" si="168"/>
        <v>1.57</v>
      </c>
      <c r="BB761" t="str">
        <f>IF($H761="","",IFERROR(INDEX(_ENGINE_Risk!$AE$5:$AE$499,MATCH($E761,_ENGINE_Risk!$A$5:$A$499,0)),"Medium"))</f>
        <v>Fast</v>
      </c>
      <c r="BC761">
        <f t="shared" si="169"/>
        <v>1.25</v>
      </c>
      <c r="BD761">
        <f t="shared" si="170"/>
        <v>1.57</v>
      </c>
      <c r="BF761">
        <f>IF(OR($H761="",$J761=""),"",IFERROR(VLOOKUP(ROUND($J761,0),_CONFIG_Model_Settings!$D$154:$E$158,2,0),""))</f>
        <v>0.5</v>
      </c>
      <c r="BG761">
        <f>IFERROR(IF(OR($H761="",$K761=""),"",ROUND('Company Profile'!$B$113*INDEX(_CONFIG_Model_Settings!$H$154:$H$158,MATCH(ROUND($K761,0),_CONFIG_Model_Settings!$G$154:$G$158,0)),0)),0)</f>
        <v>875</v>
      </c>
      <c r="BH761">
        <f t="shared" si="171"/>
        <v>437.5</v>
      </c>
      <c r="BI761">
        <f t="shared" si="172"/>
        <v>437.5</v>
      </c>
      <c r="BJ761">
        <f>IF($E761="","",IFERROR(VLOOKUP($C761,_CONFIG_Risk_Calibration!$A$5:$H$21,2,FALSE),3))</f>
        <v>3</v>
      </c>
      <c r="BK761">
        <f>IF($E761="","",IFERROR(VLOOKUP($C761,_CONFIG_Risk_Calibration!$A$5:$H$21,3,FALSE),0))</f>
        <v>0</v>
      </c>
      <c r="BL761">
        <f>IF($E761="","",IFERROR(VLOOKUP($C761,_CONFIG_Risk_Calibration!$A$5:$H$21,4,FALSE),3))</f>
        <v>3</v>
      </c>
      <c r="BM761">
        <f>IF($E761="","",IFERROR(VLOOKUP($C761,_CONFIG_Risk_Calibration!$A$5:$H$21,5,FALSE),3))</f>
        <v>3</v>
      </c>
      <c r="BN761" t="str">
        <f>IF($E761="","",IFERROR(VLOOKUP($C761,_CONFIG_Risk_Calibration!$A$5:$H$21,6,FALSE),"No"))</f>
        <v>No</v>
      </c>
      <c r="BO761">
        <f>IF($E761="","",IFERROR(VLOOKUP($C761,_CONFIG_Risk_Calibration!$A$5:$H$21,7,FALSE),1))</f>
        <v>1</v>
      </c>
      <c r="BP761">
        <f>IF($H761="","",MAX(1,MIN(5,((6-$H761)*0.45)+($BJ761*0.2)+('Resilience &amp; Risk Scenario'!$B$7*0.15)+($BK761*0.1)+($BL761*0.05)+(IF($BB761="Fast",5,IF($BB761="Slow",1,3))*0.05))))</f>
        <v>3.7</v>
      </c>
      <c r="BQ761">
        <f t="shared" si="173"/>
        <v>4.1500000000000004</v>
      </c>
      <c r="BR761">
        <f t="shared" si="174"/>
        <v>15.36</v>
      </c>
      <c r="BS761">
        <f t="shared" si="175"/>
        <v>19.2</v>
      </c>
      <c r="BT761" t="str">
        <f>IFERROR(INDEX(_REF_Capability_Bridge!$D:$D,MATCH($C761&amp;"|"&amp;$D761,_REF_Capability_Bridge!$J:$J,0)),IFERROR(INDEX(_REF_Capability_Bridge!$D:$D,MATCH($C761&amp;"|",_REF_Capability_Bridge!$J:$J,0)),"CAP_GENERIC"))</f>
        <v>CAP_PAYMENT_CONTINUITY</v>
      </c>
      <c r="BU761">
        <f>IFERROR(IFERROR(INDEX(_ENGINE_Relevance!$L:$L,MATCH($BT761,_ENGINE_Relevance!$B:$B,0)),1),1)</f>
        <v>1</v>
      </c>
      <c r="BV761" t="str">
        <f>IFERROR(INDEX(_REF_Capability_Bridge!$A:$A,MATCH($C761&amp;"|"&amp;$D761,_REF_Capability_Bridge!$J:$J,0)),IFERROR(INDEX(_REF_Capability_Bridge!$A:$A,MATCH($C761&amp;"|",_REF_Capability_Bridge!$J:$J,0)),"No bridge"))</f>
        <v>BRG-078</v>
      </c>
      <c r="BW761" t="str">
        <f t="shared" si="176"/>
        <v>Capability relevance neutral</v>
      </c>
      <c r="BX761" t="str">
        <f t="shared" si="177"/>
        <v>Initial / absent</v>
      </c>
      <c r="BY761" t="str">
        <f>IF($E761="","",IFERROR(INDEX(_REF_Treatment_Library!$A$2:$A$296,MATCH(1,INDEX((_REF_Treatment_Library!$B$2:$B$296=$BT761)*(_REF_Treatment_Library!$C$2:$C$296=PV_Canonical_Industry)*(_REF_Treatment_Library!$E$2:$E$296&lt;=N($H761))*(_REF_Treatment_Library!$F$2:$F$296&gt;=N($H761))*(_REF_Treatment_Library!$O$2:$O$296="Yes"),0),0)),IFERROR(INDEX(_REF_Treatment_Library!$A$2:$A$296,MATCH(1,INDEX((_REF_Treatment_Library!$B$2:$B$296=$BT761)*(_REF_Treatment_Library!$C$2:$C$296="All")*(_REF_Treatment_Library!$E$2:$E$296&lt;=N($H761))*(_REF_Treatment_Library!$F$2:$F$296&gt;=N($H761))*(_REF_Treatment_Library!$O$2:$O$296="Yes"),0),0)),"")))</f>
        <v>TRT-PAYMENT_CONTINUITY-INITIAL</v>
      </c>
      <c r="BZ761" t="str">
        <f>IF($BY761="","",IFERROR(INDEX(_REF_Treatment_Library!$H$2:$H$296,MATCH($BY761,_REF_Treatment_Library!$A$2:$A$296,0)),""))</f>
        <v>Establish</v>
      </c>
      <c r="CA761" t="str">
        <f>IF($BY761="","",IFERROR(INDEX(_REF_Treatment_Library!$I$2:$I$296,MATCH($BY761,_REF_Treatment_Library!$A$2:$A$296,0)),""))</f>
        <v>Establish baseline controls for Payment continuity</v>
      </c>
      <c r="CB761" t="str">
        <f>IF($BY761="","",IFERROR(INDEX(_REF_Treatment_Library!$K$2:$K$296,MATCH($BY761,_REF_Treatment_Library!$A$2:$A$296,0)),""))</f>
        <v>Named owner, baseline process, minimum control checklist, first evidence package</v>
      </c>
      <c r="CC761" t="str">
        <f>IF($BY761="","",IFERROR(INDEX(_REF_Treatment_Library!$L$2:$L$296,MATCH($BY761,_REF_Treatment_Library!$A$2:$A$296,0)),""))</f>
        <v>Owner assigned; baseline evidence coverage; open critical gaps</v>
      </c>
      <c r="CD761" t="str">
        <f t="shared" si="178"/>
        <v>Treatment by capability=CAP_PAYMENT_CONTINUITY; band=Initial / absent; score=0.0; treatment=Establish</v>
      </c>
      <c r="CE761" t="str">
        <f>IF($E761="","",IFERROR(INDEX(_REF_Industry_Wording!$A$2:$A$70,MATCH(1,INDEX((_REF_Industry_Wording!$B$2:$B$70=$BT761)*(_REF_Industry_Wording!$C$2:$C$70=PV_Canonical_Industry)*(_REF_Industry_Wording!$K$2:$K$70="Yes"),0),0)),IFERROR(INDEX(_REF_Industry_Wording!$A$2:$A$70,MATCH(1,INDEX((_REF_Industry_Wording!$B$2:$B$70=$BT761)*(_REF_Industry_Wording!$C$2:$C$70="All")*(_REF_Industry_Wording!$K$2:$K$70="Yes"),0),0)),"")))</f>
        <v>IW-ALL-PAYMENT_CONTINUITY</v>
      </c>
      <c r="CF761" t="str">
        <f>IF($CE761="","",IFERROR(INDEX(_REF_Industry_Wording!$E$2:$E$70,MATCH($CE761,_REF_Industry_Wording!$A$2:$A$70,0)),""))</f>
        <v>Payment continuity weakness</v>
      </c>
      <c r="CG761" t="str">
        <f>IF($CE761="","",IFERROR(INDEX(_REF_Industry_Wording!$F$2:$F$70,MATCH($CE761,_REF_Industry_Wording!$A$2:$A$70,0)),""))</f>
        <v>Strengthen Payment continuity</v>
      </c>
      <c r="CH761" t="str">
        <f>IF($CE761="","",IFERROR(INDEX(_REF_Industry_Wording!$G$2:$G$70,MATCH($CE761,_REF_Industry_Wording!$A$2:$A$70,0)),""))</f>
        <v>Strengthen Payment continuity using the selected maturity treatment, crisis scenario and evidence requirements.</v>
      </c>
      <c r="CI761" t="str">
        <f>IF($CE761="","",IFERROR(INDEX(_REF_Industry_Wording!$H$2:$H$70,MATCH($CE761,_REF_Industry_Wording!$A$2:$A$70,0)),""))</f>
        <v>Payment continuity</v>
      </c>
      <c r="CJ761">
        <f>IF($CE761="","",IFERROR(INDEX(_REF_Industry_Wording!$I$2:$I$70,MATCH($CE761,_REF_Industry_Wording!$A$2:$A$70,0)),""))</f>
        <v>0</v>
      </c>
      <c r="CK761" t="str">
        <f>IF($CE761="","",IFERROR(INDEX(_REF_Industry_Wording!$J$2:$J$70,MATCH($CE761,_REF_Industry_Wording!$A$2:$A$70,0)),""))</f>
        <v>Payment continuity</v>
      </c>
      <c r="CL761" t="str">
        <f t="shared" si="179"/>
        <v>Wording by industry=0; capability=CAP_PAYMENT_CONTINUITY; risk label=Payment continuity weakness</v>
      </c>
      <c r="CM761" t="str">
        <f t="shared" si="180"/>
        <v>RISK-ONT-0262</v>
      </c>
      <c r="CN761" t="str">
        <f t="shared" si="181"/>
        <v>RISK-EVT-0262</v>
      </c>
      <c r="CO761" t="str">
        <f t="shared" si="182"/>
        <v>Sales CRM|Customer continuity|SALE-011|CAP_PAYMENT_CONTINUITY</v>
      </c>
      <c r="CP761" t="str">
        <f t="shared" si="183"/>
        <v>Active</v>
      </c>
      <c r="CQ761" t="str">
        <f t="shared" si="184"/>
        <v>OK: capability-driven</v>
      </c>
      <c r="CR761" t="str">
        <f t="shared" si="185"/>
        <v>Risk ontology uses capability=CAP_PAYMENT_CONTINUITY; bridge=BRG-078; treatment=TRT-PAYMENT_CONTINUITY-INITIAL; wording=IW-ALL-PAYMENT_CONTINUITY</v>
      </c>
      <c r="CS761" t="str">
        <f t="shared" si="186"/>
        <v>Yes</v>
      </c>
    </row>
    <row r="762" spans="1:97" ht="69.900000000000006" customHeight="1">
      <c r="A762">
        <f>IF(OR($B762&lt;&gt;"Yes",$BS762=""),"",SUMPRODUCT(($B$500:$B$923="Yes")*ISNUMBER($BS$500:$BS$923)*($BS$500:$BS$923&gt;$BS762))+COUNTIFS($B$500:$B762,"Yes",$BS$500:$BS762,$BS762))</f>
        <v>170</v>
      </c>
      <c r="B762" t="str">
        <f t="shared" si="155"/>
        <v>Yes</v>
      </c>
      <c r="C762" t="s">
        <v>2286</v>
      </c>
      <c r="D762" t="s">
        <v>2319</v>
      </c>
      <c r="E762" t="s">
        <v>2373</v>
      </c>
      <c r="F762" t="s">
        <v>3689</v>
      </c>
      <c r="G762" t="str">
        <f>IF($H762="","",IFERROR(INDEX(_ENGINE_Risk!$H$5:$M$499,MATCH($E762,_ENGINE_Risk!$A$5:$A$499,0),$H762+1),""))</f>
        <v>Severe risk: churn risk identification, prioritization and mitigation actions is not reliably controlled. During Demand shock; Revenue loss; Reputation crisis, the organization may face pipeline loss, poor customer retention, weak forecasting and inability to protect revenue channels with limited visibility or accountability.</v>
      </c>
      <c r="H762">
        <f>IFERROR(VALUE(INDEX(_DATA_Assessment_Model!$H$5:$H$884,MATCH($E762,_DATA_Assessment_Model!$A$5:$A$884,0))),"")</f>
        <v>0</v>
      </c>
      <c r="I762" t="str">
        <f>IF($H762="","",IFERROR(INDEX(_DATA_Assessment_Model!$L$5:$L$884,MATCH($E762,_DATA_Assessment_Model!$A$5:$A$884,0)),IF($H762&lt;=1,"Critical",IF($H762=2,"High",IF($H762=3,"Medium",IF($H762=4,"Low","Resilient"))))))</f>
        <v>Critical</v>
      </c>
      <c r="J762">
        <f t="shared" si="156"/>
        <v>3.7</v>
      </c>
      <c r="K762">
        <f t="shared" si="157"/>
        <v>4.1500000000000004</v>
      </c>
      <c r="L762">
        <f t="shared" si="158"/>
        <v>15.355000000000002</v>
      </c>
      <c r="M762">
        <f t="shared" si="159"/>
        <v>4</v>
      </c>
      <c r="N762">
        <f>IF($H762="","",IFERROR(INDEX(_ENGINE_Risk!$T$5:$Y$499,MATCH($E762,_ENGINE_Risk!$A$5:$A$499,0),$H762+1),""))</f>
        <v>3</v>
      </c>
      <c r="O762">
        <f t="shared" si="160"/>
        <v>4.333333333333333</v>
      </c>
      <c r="P762">
        <f t="shared" si="161"/>
        <v>5</v>
      </c>
      <c r="Q762">
        <f t="shared" si="162"/>
        <v>5</v>
      </c>
      <c r="R762">
        <f t="shared" si="163"/>
        <v>4.5</v>
      </c>
      <c r="S762">
        <f t="shared" si="164"/>
        <v>1.57</v>
      </c>
      <c r="T762" t="str">
        <f>IF($H762="","",IFERROR(INDEX(_ENGINE_Risk!$N$5:$S$499,MATCH($E762,_ENGINE_Risk!$A$5:$A$499,0),$H762+1),""))</f>
        <v>Create an immediate risk owner, minimum control baseline and fallback procedure for churn risk identification, prioritization and mitigation actions. Add it to the crisis risk register and collect first evidence.</v>
      </c>
      <c r="U762">
        <f>IFERROR(INDEX(_DATA_Assessment_Model!$G$5:$G$884,MATCH($E762,_DATA_Assessment_Model!$A$5:$A$884,0)),"")</f>
        <v>4</v>
      </c>
      <c r="V762">
        <f>IFERROR(INDEX(_DATA_Assessment_Model!$W$5:$W$884,MATCH($E762,_DATA_Assessment_Model!$A$5:$A$884,0)),"")</f>
        <v>4</v>
      </c>
      <c r="W762">
        <f>IFERROR(INDEX(_DATA_Assessment_Model!$X$5:$X$884,MATCH($E762,_DATA_Assessment_Model!$A$5:$A$884,0)),"")</f>
        <v>5</v>
      </c>
      <c r="X762">
        <f>IFERROR(INDEX(_DATA_Assessment_Model!$Y$5:$Y$884,MATCH($E762,_DATA_Assessment_Model!$A$5:$A$884,0)),"")</f>
        <v>5</v>
      </c>
      <c r="Y762" t="s">
        <v>2299</v>
      </c>
      <c r="Z762" t="s">
        <v>8173</v>
      </c>
      <c r="AA762" t="s">
        <v>2375</v>
      </c>
      <c r="AB762">
        <f>IFERROR(INDEX(_DATA_Assessment_Model!$U$5:$U$884,MATCH($E762,_DATA_Assessment_Model!$A$5:$A$884,0)),"")</f>
        <v>0</v>
      </c>
      <c r="AF762" t="s">
        <v>2374</v>
      </c>
      <c r="AO762">
        <f>IF($B762="Yes",IF(IFERROR(INDEX(_ENGINE_Crisis!$F$501:$F$517,MATCH($C762,_ENGINE_Crisis!$A$501:$A$517,0)),1)=0,1,IFERROR(INDEX(_ENGINE_Crisis!$F$501:$F$517,MATCH($C762,_ENGINE_Crisis!$A$501:$A$517,0)),1)),"")</f>
        <v>1</v>
      </c>
      <c r="AP762">
        <f t="shared" si="165"/>
        <v>15.4</v>
      </c>
      <c r="AQ762">
        <f t="shared" si="166"/>
        <v>1.57</v>
      </c>
      <c r="AR762" t="str">
        <f>IFERROR(INDEX(_ENGINE_Crisis!$E$41:$E$700,MATCH('Resilience &amp; Risk Scenario'!$B$6&amp;"|"&amp;$C762,_ENGINE_Crisis!$I$41:$I$700,0)),"")</f>
        <v/>
      </c>
      <c r="AS762" t="str">
        <f>IFERROR(INDEX(_ENGINE_Crisis!$G$41:$G$700,MATCH('Resilience &amp; Risk Scenario'!$B$6&amp;"|"&amp;$C762,_ENGINE_Crisis!$I$41:$I$700,0)),"")</f>
        <v/>
      </c>
      <c r="AT762" t="str">
        <f>IFERROR(INDEX(_ENGINE_Initiatives!$A$5:$A$532,MATCH(1,INDEX((_ENGINE_Initiatives!$B$5:$B$532=$C762)*(_ENGINE_Initiatives!$C$5:$C$532=$D762),0),0)),"")</f>
        <v>INI-043</v>
      </c>
      <c r="AU762" t="str">
        <f>IFERROR(INDEX(_ENGINE_Initiatives!$F$5:$F$532,MATCH(1,INDEX((_ENGINE_Initiatives!$B$5:$B$532=$C762)*(_ENGINE_Initiatives!$C$5:$C$532=$D762),0),0)),"")</f>
        <v>Implement customer continuity and key-account protection program</v>
      </c>
      <c r="AV762">
        <f>IFERROR(INDEX(_ENGINE_Initiatives!$AC$5:$AC$532,MATCH(1,INDEX((_ENGINE_Initiatives!$B$5:$B$532=$C762)*(_ENGINE_Initiatives!$C$5:$C$532=$D762),0),0)),"")</f>
        <v>1.76</v>
      </c>
      <c r="AW762" t="str">
        <f>IFERROR(INDEX(_ENGINE_Initiatives!$AE$5:$AE$532,MATCH(1,INDEX((_ENGINE_Initiatives!$B$5:$B$532=$C762)*(_ENGINE_Initiatives!$C$5:$C$532=$D762),0),0)),"")</f>
        <v>3-6 months</v>
      </c>
      <c r="AX762">
        <f>IF($B762="Yes",IFERROR((IF(SUMIFS(_REF_Model_Content!$E$1:$E$613,_REF_Model_Content!$A$1:$A$613,PV_Canonical_Industry,_REF_Model_Content!$B$1:$B$613,$C762)=0,1,SUMIFS(_REF_Model_Content!$E$1:$E$613,_REF_Model_Content!$A$1:$A$613,PV_Canonical_Industry,_REF_Model_Content!$B$1:$B$613,$C762))*IFERROR($BU762,1)),1),"")</f>
        <v>1</v>
      </c>
      <c r="AY762">
        <f t="shared" si="167"/>
        <v>15.4</v>
      </c>
      <c r="AZ762">
        <f t="shared" si="168"/>
        <v>1.57</v>
      </c>
      <c r="BB762" t="str">
        <f>IF($H762="","",IFERROR(INDEX(_ENGINE_Risk!$AE$5:$AE$499,MATCH($E762,_ENGINE_Risk!$A$5:$A$499,0)),"Medium"))</f>
        <v>Fast</v>
      </c>
      <c r="BC762">
        <f t="shared" si="169"/>
        <v>1.25</v>
      </c>
      <c r="BD762">
        <f t="shared" si="170"/>
        <v>1.57</v>
      </c>
      <c r="BF762">
        <f>IF(OR($H762="",$J762=""),"",IFERROR(VLOOKUP(ROUND($J762,0),_CONFIG_Model_Settings!$D$154:$E$158,2,0),""))</f>
        <v>0.5</v>
      </c>
      <c r="BG762">
        <f>IFERROR(IF(OR($H762="",$K762=""),"",ROUND('Company Profile'!$B$113*INDEX(_CONFIG_Model_Settings!$H$154:$H$158,MATCH(ROUND($K762,0),_CONFIG_Model_Settings!$G$154:$G$158,0)),0)),0)</f>
        <v>875</v>
      </c>
      <c r="BH762">
        <f t="shared" si="171"/>
        <v>437.5</v>
      </c>
      <c r="BI762">
        <f t="shared" si="172"/>
        <v>437.5</v>
      </c>
      <c r="BJ762">
        <f>IF($E762="","",IFERROR(VLOOKUP($C762,_CONFIG_Risk_Calibration!$A$5:$H$21,2,FALSE),3))</f>
        <v>3</v>
      </c>
      <c r="BK762">
        <f>IF($E762="","",IFERROR(VLOOKUP($C762,_CONFIG_Risk_Calibration!$A$5:$H$21,3,FALSE),0))</f>
        <v>0</v>
      </c>
      <c r="BL762">
        <f>IF($E762="","",IFERROR(VLOOKUP($C762,_CONFIG_Risk_Calibration!$A$5:$H$21,4,FALSE),3))</f>
        <v>3</v>
      </c>
      <c r="BM762">
        <f>IF($E762="","",IFERROR(VLOOKUP($C762,_CONFIG_Risk_Calibration!$A$5:$H$21,5,FALSE),3))</f>
        <v>3</v>
      </c>
      <c r="BN762" t="str">
        <f>IF($E762="","",IFERROR(VLOOKUP($C762,_CONFIG_Risk_Calibration!$A$5:$H$21,6,FALSE),"No"))</f>
        <v>No</v>
      </c>
      <c r="BO762">
        <f>IF($E762="","",IFERROR(VLOOKUP($C762,_CONFIG_Risk_Calibration!$A$5:$H$21,7,FALSE),1))</f>
        <v>1</v>
      </c>
      <c r="BP762">
        <f>IF($H762="","",MAX(1,MIN(5,((6-$H762)*0.45)+($BJ762*0.2)+('Resilience &amp; Risk Scenario'!$B$7*0.15)+($BK762*0.1)+($BL762*0.05)+(IF($BB762="Fast",5,IF($BB762="Slow",1,3))*0.05))))</f>
        <v>3.7</v>
      </c>
      <c r="BQ762">
        <f t="shared" si="173"/>
        <v>4.1500000000000004</v>
      </c>
      <c r="BR762">
        <f t="shared" si="174"/>
        <v>15.36</v>
      </c>
      <c r="BS762">
        <f t="shared" si="175"/>
        <v>19.2</v>
      </c>
      <c r="BT762" t="str">
        <f>IFERROR(INDEX(_REF_Capability_Bridge!$D:$D,MATCH($C762&amp;"|"&amp;$D762,_REF_Capability_Bridge!$J:$J,0)),IFERROR(INDEX(_REF_Capability_Bridge!$D:$D,MATCH($C762&amp;"|",_REF_Capability_Bridge!$J:$J,0)),"CAP_GENERIC"))</f>
        <v>CAP_PAYMENT_CONTINUITY</v>
      </c>
      <c r="BU762">
        <f>IFERROR(IFERROR(INDEX(_ENGINE_Relevance!$L:$L,MATCH($BT762,_ENGINE_Relevance!$B:$B,0)),1),1)</f>
        <v>1</v>
      </c>
      <c r="BV762" t="str">
        <f>IFERROR(INDEX(_REF_Capability_Bridge!$A:$A,MATCH($C762&amp;"|"&amp;$D762,_REF_Capability_Bridge!$J:$J,0)),IFERROR(INDEX(_REF_Capability_Bridge!$A:$A,MATCH($C762&amp;"|",_REF_Capability_Bridge!$J:$J,0)),"No bridge"))</f>
        <v>BRG-078</v>
      </c>
      <c r="BW762" t="str">
        <f t="shared" si="176"/>
        <v>Capability relevance neutral</v>
      </c>
      <c r="BX762" t="str">
        <f t="shared" si="177"/>
        <v>Initial / absent</v>
      </c>
      <c r="BY762" t="str">
        <f>IF($E762="","",IFERROR(INDEX(_REF_Treatment_Library!$A$2:$A$296,MATCH(1,INDEX((_REF_Treatment_Library!$B$2:$B$296=$BT762)*(_REF_Treatment_Library!$C$2:$C$296=PV_Canonical_Industry)*(_REF_Treatment_Library!$E$2:$E$296&lt;=N($H762))*(_REF_Treatment_Library!$F$2:$F$296&gt;=N($H762))*(_REF_Treatment_Library!$O$2:$O$296="Yes"),0),0)),IFERROR(INDEX(_REF_Treatment_Library!$A$2:$A$296,MATCH(1,INDEX((_REF_Treatment_Library!$B$2:$B$296=$BT762)*(_REF_Treatment_Library!$C$2:$C$296="All")*(_REF_Treatment_Library!$E$2:$E$296&lt;=N($H762))*(_REF_Treatment_Library!$F$2:$F$296&gt;=N($H762))*(_REF_Treatment_Library!$O$2:$O$296="Yes"),0),0)),"")))</f>
        <v>TRT-PAYMENT_CONTINUITY-INITIAL</v>
      </c>
      <c r="BZ762" t="str">
        <f>IF($BY762="","",IFERROR(INDEX(_REF_Treatment_Library!$H$2:$H$296,MATCH($BY762,_REF_Treatment_Library!$A$2:$A$296,0)),""))</f>
        <v>Establish</v>
      </c>
      <c r="CA762" t="str">
        <f>IF($BY762="","",IFERROR(INDEX(_REF_Treatment_Library!$I$2:$I$296,MATCH($BY762,_REF_Treatment_Library!$A$2:$A$296,0)),""))</f>
        <v>Establish baseline controls for Payment continuity</v>
      </c>
      <c r="CB762" t="str">
        <f>IF($BY762="","",IFERROR(INDEX(_REF_Treatment_Library!$K$2:$K$296,MATCH($BY762,_REF_Treatment_Library!$A$2:$A$296,0)),""))</f>
        <v>Named owner, baseline process, minimum control checklist, first evidence package</v>
      </c>
      <c r="CC762" t="str">
        <f>IF($BY762="","",IFERROR(INDEX(_REF_Treatment_Library!$L$2:$L$296,MATCH($BY762,_REF_Treatment_Library!$A$2:$A$296,0)),""))</f>
        <v>Owner assigned; baseline evidence coverage; open critical gaps</v>
      </c>
      <c r="CD762" t="str">
        <f t="shared" si="178"/>
        <v>Treatment by capability=CAP_PAYMENT_CONTINUITY; band=Initial / absent; score=0.0; treatment=Establish</v>
      </c>
      <c r="CE762" t="str">
        <f>IF($E762="","",IFERROR(INDEX(_REF_Industry_Wording!$A$2:$A$70,MATCH(1,INDEX((_REF_Industry_Wording!$B$2:$B$70=$BT762)*(_REF_Industry_Wording!$C$2:$C$70=PV_Canonical_Industry)*(_REF_Industry_Wording!$K$2:$K$70="Yes"),0),0)),IFERROR(INDEX(_REF_Industry_Wording!$A$2:$A$70,MATCH(1,INDEX((_REF_Industry_Wording!$B$2:$B$70=$BT762)*(_REF_Industry_Wording!$C$2:$C$70="All")*(_REF_Industry_Wording!$K$2:$K$70="Yes"),0),0)),"")))</f>
        <v>IW-ALL-PAYMENT_CONTINUITY</v>
      </c>
      <c r="CF762" t="str">
        <f>IF($CE762="","",IFERROR(INDEX(_REF_Industry_Wording!$E$2:$E$70,MATCH($CE762,_REF_Industry_Wording!$A$2:$A$70,0)),""))</f>
        <v>Payment continuity weakness</v>
      </c>
      <c r="CG762" t="str">
        <f>IF($CE762="","",IFERROR(INDEX(_REF_Industry_Wording!$F$2:$F$70,MATCH($CE762,_REF_Industry_Wording!$A$2:$A$70,0)),""))</f>
        <v>Strengthen Payment continuity</v>
      </c>
      <c r="CH762" t="str">
        <f>IF($CE762="","",IFERROR(INDEX(_REF_Industry_Wording!$G$2:$G$70,MATCH($CE762,_REF_Industry_Wording!$A$2:$A$70,0)),""))</f>
        <v>Strengthen Payment continuity using the selected maturity treatment, crisis scenario and evidence requirements.</v>
      </c>
      <c r="CI762" t="str">
        <f>IF($CE762="","",IFERROR(INDEX(_REF_Industry_Wording!$H$2:$H$70,MATCH($CE762,_REF_Industry_Wording!$A$2:$A$70,0)),""))</f>
        <v>Payment continuity</v>
      </c>
      <c r="CJ762">
        <f>IF($CE762="","",IFERROR(INDEX(_REF_Industry_Wording!$I$2:$I$70,MATCH($CE762,_REF_Industry_Wording!$A$2:$A$70,0)),""))</f>
        <v>0</v>
      </c>
      <c r="CK762" t="str">
        <f>IF($CE762="","",IFERROR(INDEX(_REF_Industry_Wording!$J$2:$J$70,MATCH($CE762,_REF_Industry_Wording!$A$2:$A$70,0)),""))</f>
        <v>Payment continuity</v>
      </c>
      <c r="CL762" t="str">
        <f t="shared" si="179"/>
        <v>Wording by industry=0; capability=CAP_PAYMENT_CONTINUITY; risk label=Payment continuity weakness</v>
      </c>
      <c r="CM762" t="str">
        <f t="shared" si="180"/>
        <v>RISK-ONT-0263</v>
      </c>
      <c r="CN762" t="str">
        <f t="shared" si="181"/>
        <v>RISK-EVT-0263</v>
      </c>
      <c r="CO762" t="str">
        <f t="shared" si="182"/>
        <v>Sales CRM|Customer continuity|SALE-012|CAP_PAYMENT_CONTINUITY</v>
      </c>
      <c r="CP762" t="str">
        <f t="shared" si="183"/>
        <v>Active</v>
      </c>
      <c r="CQ762" t="str">
        <f t="shared" si="184"/>
        <v>OK: capability-driven</v>
      </c>
      <c r="CR762" t="str">
        <f t="shared" si="185"/>
        <v>Risk ontology uses capability=CAP_PAYMENT_CONTINUITY; bridge=BRG-078; treatment=TRT-PAYMENT_CONTINUITY-INITIAL; wording=IW-ALL-PAYMENT_CONTINUITY</v>
      </c>
      <c r="CS762" t="str">
        <f t="shared" si="186"/>
        <v>Yes</v>
      </c>
    </row>
    <row r="763" spans="1:97" ht="69.900000000000006" customHeight="1">
      <c r="A763">
        <f>IF(OR($B763&lt;&gt;"Yes",$BS763=""),"",SUMPRODUCT(($B$500:$B$923="Yes")*ISNUMBER($BS$500:$BS$923)*($BS$500:$BS$923&gt;$BS763))+COUNTIFS($B$500:$B763,"Yes",$BS$500:$BS763,$BS763))</f>
        <v>209</v>
      </c>
      <c r="B763" t="str">
        <f t="shared" si="155"/>
        <v>Yes</v>
      </c>
      <c r="C763" t="s">
        <v>2286</v>
      </c>
      <c r="D763" t="s">
        <v>2319</v>
      </c>
      <c r="E763" t="s">
        <v>2382</v>
      </c>
      <c r="F763" t="s">
        <v>3689</v>
      </c>
      <c r="G763" t="str">
        <f>IF($H763="","",IFERROR(INDEX(_ENGINE_Risk!$H$5:$M$499,MATCH($E763,_ENGINE_Risk!$A$5:$A$499,0),$H763+1),""))</f>
        <v>Severe risk: renewal calendar and proactive renewal process is not reliably controlled. During Demand shock; Revenue loss; Reputation crisis, the organization may face pipeline loss, poor customer retention, weak forecasting and inability to protect revenue channels with limited visibility or accountability.</v>
      </c>
      <c r="H763">
        <f>IFERROR(VALUE(INDEX(_DATA_Assessment_Model!$H$5:$H$884,MATCH($E763,_DATA_Assessment_Model!$A$5:$A$884,0))),"")</f>
        <v>0</v>
      </c>
      <c r="I763" t="str">
        <f>IF($H763="","",IFERROR(INDEX(_DATA_Assessment_Model!$L$5:$L$884,MATCH($E763,_DATA_Assessment_Model!$A$5:$A$884,0)),IF($H763&lt;=1,"Critical",IF($H763=2,"High",IF($H763=3,"Medium",IF($H763=4,"Low","Resilient"))))))</f>
        <v>Critical</v>
      </c>
      <c r="J763">
        <f t="shared" si="156"/>
        <v>3.7</v>
      </c>
      <c r="K763">
        <f t="shared" si="157"/>
        <v>3.95</v>
      </c>
      <c r="L763">
        <f t="shared" si="158"/>
        <v>14.615000000000002</v>
      </c>
      <c r="M763">
        <f t="shared" si="159"/>
        <v>3</v>
      </c>
      <c r="N763">
        <f>IF($H763="","",IFERROR(INDEX(_ENGINE_Risk!$T$5:$Y$499,MATCH($E763,_ENGINE_Risk!$A$5:$A$499,0),$H763+1),""))</f>
        <v>3</v>
      </c>
      <c r="O763">
        <f t="shared" si="160"/>
        <v>4</v>
      </c>
      <c r="P763">
        <f t="shared" si="161"/>
        <v>5</v>
      </c>
      <c r="Q763">
        <f t="shared" si="162"/>
        <v>5</v>
      </c>
      <c r="R763">
        <f t="shared" si="163"/>
        <v>4.5</v>
      </c>
      <c r="S763">
        <f t="shared" si="164"/>
        <v>1.54</v>
      </c>
      <c r="T763" t="str">
        <f>IF($H763="","",IFERROR(INDEX(_ENGINE_Risk!$N$5:$S$499,MATCH($E763,_ENGINE_Risk!$A$5:$A$499,0),$H763+1),""))</f>
        <v>Create an immediate risk owner, minimum control baseline and fallback procedure for renewal calendar and proactive renewal process. Add it to the crisis risk register and collect first evidence.</v>
      </c>
      <c r="U763">
        <f>IFERROR(INDEX(_DATA_Assessment_Model!$G$5:$G$884,MATCH($E763,_DATA_Assessment_Model!$A$5:$A$884,0)),"")</f>
        <v>3</v>
      </c>
      <c r="V763">
        <f>IFERROR(INDEX(_DATA_Assessment_Model!$W$5:$W$884,MATCH($E763,_DATA_Assessment_Model!$A$5:$A$884,0)),"")</f>
        <v>4</v>
      </c>
      <c r="W763">
        <f>IFERROR(INDEX(_DATA_Assessment_Model!$X$5:$X$884,MATCH($E763,_DATA_Assessment_Model!$A$5:$A$884,0)),"")</f>
        <v>5</v>
      </c>
      <c r="X763">
        <f>IFERROR(INDEX(_DATA_Assessment_Model!$Y$5:$Y$884,MATCH($E763,_DATA_Assessment_Model!$A$5:$A$884,0)),"")</f>
        <v>5</v>
      </c>
      <c r="Y763" t="s">
        <v>2299</v>
      </c>
      <c r="Z763" t="s">
        <v>8173</v>
      </c>
      <c r="AA763" t="s">
        <v>2384</v>
      </c>
      <c r="AB763">
        <f>IFERROR(INDEX(_DATA_Assessment_Model!$U$5:$U$884,MATCH($E763,_DATA_Assessment_Model!$A$5:$A$884,0)),"")</f>
        <v>0</v>
      </c>
      <c r="AF763" t="s">
        <v>2383</v>
      </c>
      <c r="AO763">
        <f>IF($B763="Yes",IF(IFERROR(INDEX(_ENGINE_Crisis!$F$501:$F$517,MATCH($C763,_ENGINE_Crisis!$A$501:$A$517,0)),1)=0,1,IFERROR(INDEX(_ENGINE_Crisis!$F$501:$F$517,MATCH($C763,_ENGINE_Crisis!$A$501:$A$517,0)),1)),"")</f>
        <v>1</v>
      </c>
      <c r="AP763">
        <f t="shared" si="165"/>
        <v>14.6</v>
      </c>
      <c r="AQ763">
        <f t="shared" si="166"/>
        <v>1.54</v>
      </c>
      <c r="AR763" t="str">
        <f>IFERROR(INDEX(_ENGINE_Crisis!$E$41:$E$700,MATCH('Resilience &amp; Risk Scenario'!$B$6&amp;"|"&amp;$C763,_ENGINE_Crisis!$I$41:$I$700,0)),"")</f>
        <v/>
      </c>
      <c r="AS763" t="str">
        <f>IFERROR(INDEX(_ENGINE_Crisis!$G$41:$G$700,MATCH('Resilience &amp; Risk Scenario'!$B$6&amp;"|"&amp;$C763,_ENGINE_Crisis!$I$41:$I$700,0)),"")</f>
        <v/>
      </c>
      <c r="AT763" t="str">
        <f>IFERROR(INDEX(_ENGINE_Initiatives!$A$5:$A$532,MATCH(1,INDEX((_ENGINE_Initiatives!$B$5:$B$532=$C763)*(_ENGINE_Initiatives!$C$5:$C$532=$D763),0),0)),"")</f>
        <v>INI-043</v>
      </c>
      <c r="AU763" t="str">
        <f>IFERROR(INDEX(_ENGINE_Initiatives!$F$5:$F$532,MATCH(1,INDEX((_ENGINE_Initiatives!$B$5:$B$532=$C763)*(_ENGINE_Initiatives!$C$5:$C$532=$D763),0),0)),"")</f>
        <v>Implement customer continuity and key-account protection program</v>
      </c>
      <c r="AV763">
        <f>IFERROR(INDEX(_ENGINE_Initiatives!$AC$5:$AC$532,MATCH(1,INDEX((_ENGINE_Initiatives!$B$5:$B$532=$C763)*(_ENGINE_Initiatives!$C$5:$C$532=$D763),0),0)),"")</f>
        <v>1.76</v>
      </c>
      <c r="AW763" t="str">
        <f>IFERROR(INDEX(_ENGINE_Initiatives!$AE$5:$AE$532,MATCH(1,INDEX((_ENGINE_Initiatives!$B$5:$B$532=$C763)*(_ENGINE_Initiatives!$C$5:$C$532=$D763),0),0)),"")</f>
        <v>3-6 months</v>
      </c>
      <c r="AX763">
        <f>IF($B763="Yes",IFERROR((IF(SUMIFS(_REF_Model_Content!$E$1:$E$613,_REF_Model_Content!$A$1:$A$613,PV_Canonical_Industry,_REF_Model_Content!$B$1:$B$613,$C763)=0,1,SUMIFS(_REF_Model_Content!$E$1:$E$613,_REF_Model_Content!$A$1:$A$613,PV_Canonical_Industry,_REF_Model_Content!$B$1:$B$613,$C763))*IFERROR($BU763,1)),1),"")</f>
        <v>1</v>
      </c>
      <c r="AY763">
        <f t="shared" si="167"/>
        <v>14.6</v>
      </c>
      <c r="AZ763">
        <f t="shared" si="168"/>
        <v>1.54</v>
      </c>
      <c r="BB763" t="str">
        <f>IF($H763="","",IFERROR(INDEX(_ENGINE_Risk!$AE$5:$AE$499,MATCH($E763,_ENGINE_Risk!$A$5:$A$499,0)),"Medium"))</f>
        <v>Fast</v>
      </c>
      <c r="BC763">
        <f t="shared" si="169"/>
        <v>1.25</v>
      </c>
      <c r="BD763">
        <f t="shared" si="170"/>
        <v>1.54</v>
      </c>
      <c r="BF763">
        <f>IF(OR($H763="",$J763=""),"",IFERROR(VLOOKUP(ROUND($J763,0),_CONFIG_Model_Settings!$D$154:$E$158,2,0),""))</f>
        <v>0.5</v>
      </c>
      <c r="BG763">
        <f>IFERROR(IF(OR($H763="",$K763=""),"",ROUND('Company Profile'!$B$113*INDEX(_CONFIG_Model_Settings!$H$154:$H$158,MATCH(ROUND($K763,0),_CONFIG_Model_Settings!$G$154:$G$158,0)),0)),0)</f>
        <v>875</v>
      </c>
      <c r="BH763">
        <f t="shared" si="171"/>
        <v>437.5</v>
      </c>
      <c r="BI763">
        <f t="shared" si="172"/>
        <v>437.5</v>
      </c>
      <c r="BJ763">
        <f>IF($E763="","",IFERROR(VLOOKUP($C763,_CONFIG_Risk_Calibration!$A$5:$H$21,2,FALSE),3))</f>
        <v>3</v>
      </c>
      <c r="BK763">
        <f>IF($E763="","",IFERROR(VLOOKUP($C763,_CONFIG_Risk_Calibration!$A$5:$H$21,3,FALSE),0))</f>
        <v>0</v>
      </c>
      <c r="BL763">
        <f>IF($E763="","",IFERROR(VLOOKUP($C763,_CONFIG_Risk_Calibration!$A$5:$H$21,4,FALSE),3))</f>
        <v>3</v>
      </c>
      <c r="BM763">
        <f>IF($E763="","",IFERROR(VLOOKUP($C763,_CONFIG_Risk_Calibration!$A$5:$H$21,5,FALSE),3))</f>
        <v>3</v>
      </c>
      <c r="BN763" t="str">
        <f>IF($E763="","",IFERROR(VLOOKUP($C763,_CONFIG_Risk_Calibration!$A$5:$H$21,6,FALSE),"No"))</f>
        <v>No</v>
      </c>
      <c r="BO763">
        <f>IF($E763="","",IFERROR(VLOOKUP($C763,_CONFIG_Risk_Calibration!$A$5:$H$21,7,FALSE),1))</f>
        <v>1</v>
      </c>
      <c r="BP763">
        <f>IF($H763="","",MAX(1,MIN(5,((6-$H763)*0.45)+($BJ763*0.2)+('Resilience &amp; Risk Scenario'!$B$7*0.15)+($BK763*0.1)+($BL763*0.05)+(IF($BB763="Fast",5,IF($BB763="Slow",1,3))*0.05))))</f>
        <v>3.7</v>
      </c>
      <c r="BQ763">
        <f t="shared" si="173"/>
        <v>3.95</v>
      </c>
      <c r="BR763">
        <f t="shared" si="174"/>
        <v>14.62</v>
      </c>
      <c r="BS763">
        <f t="shared" si="175"/>
        <v>18.28</v>
      </c>
      <c r="BT763" t="str">
        <f>IFERROR(INDEX(_REF_Capability_Bridge!$D:$D,MATCH($C763&amp;"|"&amp;$D763,_REF_Capability_Bridge!$J:$J,0)),IFERROR(INDEX(_REF_Capability_Bridge!$D:$D,MATCH($C763&amp;"|",_REF_Capability_Bridge!$J:$J,0)),"CAP_GENERIC"))</f>
        <v>CAP_PAYMENT_CONTINUITY</v>
      </c>
      <c r="BU763">
        <f>IFERROR(IFERROR(INDEX(_ENGINE_Relevance!$L:$L,MATCH($BT763,_ENGINE_Relevance!$B:$B,0)),1),1)</f>
        <v>1</v>
      </c>
      <c r="BV763" t="str">
        <f>IFERROR(INDEX(_REF_Capability_Bridge!$A:$A,MATCH($C763&amp;"|"&amp;$D763,_REF_Capability_Bridge!$J:$J,0)),IFERROR(INDEX(_REF_Capability_Bridge!$A:$A,MATCH($C763&amp;"|",_REF_Capability_Bridge!$J:$J,0)),"No bridge"))</f>
        <v>BRG-078</v>
      </c>
      <c r="BW763" t="str">
        <f t="shared" si="176"/>
        <v>Capability relevance neutral</v>
      </c>
      <c r="BX763" t="str">
        <f t="shared" si="177"/>
        <v>Initial / absent</v>
      </c>
      <c r="BY763" t="str">
        <f>IF($E763="","",IFERROR(INDEX(_REF_Treatment_Library!$A$2:$A$296,MATCH(1,INDEX((_REF_Treatment_Library!$B$2:$B$296=$BT763)*(_REF_Treatment_Library!$C$2:$C$296=PV_Canonical_Industry)*(_REF_Treatment_Library!$E$2:$E$296&lt;=N($H763))*(_REF_Treatment_Library!$F$2:$F$296&gt;=N($H763))*(_REF_Treatment_Library!$O$2:$O$296="Yes"),0),0)),IFERROR(INDEX(_REF_Treatment_Library!$A$2:$A$296,MATCH(1,INDEX((_REF_Treatment_Library!$B$2:$B$296=$BT763)*(_REF_Treatment_Library!$C$2:$C$296="All")*(_REF_Treatment_Library!$E$2:$E$296&lt;=N($H763))*(_REF_Treatment_Library!$F$2:$F$296&gt;=N($H763))*(_REF_Treatment_Library!$O$2:$O$296="Yes"),0),0)),"")))</f>
        <v>TRT-PAYMENT_CONTINUITY-INITIAL</v>
      </c>
      <c r="BZ763" t="str">
        <f>IF($BY763="","",IFERROR(INDEX(_REF_Treatment_Library!$H$2:$H$296,MATCH($BY763,_REF_Treatment_Library!$A$2:$A$296,0)),""))</f>
        <v>Establish</v>
      </c>
      <c r="CA763" t="str">
        <f>IF($BY763="","",IFERROR(INDEX(_REF_Treatment_Library!$I$2:$I$296,MATCH($BY763,_REF_Treatment_Library!$A$2:$A$296,0)),""))</f>
        <v>Establish baseline controls for Payment continuity</v>
      </c>
      <c r="CB763" t="str">
        <f>IF($BY763="","",IFERROR(INDEX(_REF_Treatment_Library!$K$2:$K$296,MATCH($BY763,_REF_Treatment_Library!$A$2:$A$296,0)),""))</f>
        <v>Named owner, baseline process, minimum control checklist, first evidence package</v>
      </c>
      <c r="CC763" t="str">
        <f>IF($BY763="","",IFERROR(INDEX(_REF_Treatment_Library!$L$2:$L$296,MATCH($BY763,_REF_Treatment_Library!$A$2:$A$296,0)),""))</f>
        <v>Owner assigned; baseline evidence coverage; open critical gaps</v>
      </c>
      <c r="CD763" t="str">
        <f t="shared" si="178"/>
        <v>Treatment by capability=CAP_PAYMENT_CONTINUITY; band=Initial / absent; score=0.0; treatment=Establish</v>
      </c>
      <c r="CE763" t="str">
        <f>IF($E763="","",IFERROR(INDEX(_REF_Industry_Wording!$A$2:$A$70,MATCH(1,INDEX((_REF_Industry_Wording!$B$2:$B$70=$BT763)*(_REF_Industry_Wording!$C$2:$C$70=PV_Canonical_Industry)*(_REF_Industry_Wording!$K$2:$K$70="Yes"),0),0)),IFERROR(INDEX(_REF_Industry_Wording!$A$2:$A$70,MATCH(1,INDEX((_REF_Industry_Wording!$B$2:$B$70=$BT763)*(_REF_Industry_Wording!$C$2:$C$70="All")*(_REF_Industry_Wording!$K$2:$K$70="Yes"),0),0)),"")))</f>
        <v>IW-ALL-PAYMENT_CONTINUITY</v>
      </c>
      <c r="CF763" t="str">
        <f>IF($CE763="","",IFERROR(INDEX(_REF_Industry_Wording!$E$2:$E$70,MATCH($CE763,_REF_Industry_Wording!$A$2:$A$70,0)),""))</f>
        <v>Payment continuity weakness</v>
      </c>
      <c r="CG763" t="str">
        <f>IF($CE763="","",IFERROR(INDEX(_REF_Industry_Wording!$F$2:$F$70,MATCH($CE763,_REF_Industry_Wording!$A$2:$A$70,0)),""))</f>
        <v>Strengthen Payment continuity</v>
      </c>
      <c r="CH763" t="str">
        <f>IF($CE763="","",IFERROR(INDEX(_REF_Industry_Wording!$G$2:$G$70,MATCH($CE763,_REF_Industry_Wording!$A$2:$A$70,0)),""))</f>
        <v>Strengthen Payment continuity using the selected maturity treatment, crisis scenario and evidence requirements.</v>
      </c>
      <c r="CI763" t="str">
        <f>IF($CE763="","",IFERROR(INDEX(_REF_Industry_Wording!$H$2:$H$70,MATCH($CE763,_REF_Industry_Wording!$A$2:$A$70,0)),""))</f>
        <v>Payment continuity</v>
      </c>
      <c r="CJ763">
        <f>IF($CE763="","",IFERROR(INDEX(_REF_Industry_Wording!$I$2:$I$70,MATCH($CE763,_REF_Industry_Wording!$A$2:$A$70,0)),""))</f>
        <v>0</v>
      </c>
      <c r="CK763" t="str">
        <f>IF($CE763="","",IFERROR(INDEX(_REF_Industry_Wording!$J$2:$J$70,MATCH($CE763,_REF_Industry_Wording!$A$2:$A$70,0)),""))</f>
        <v>Payment continuity</v>
      </c>
      <c r="CL763" t="str">
        <f t="shared" si="179"/>
        <v>Wording by industry=0; capability=CAP_PAYMENT_CONTINUITY; risk label=Payment continuity weakness</v>
      </c>
      <c r="CM763" t="str">
        <f t="shared" si="180"/>
        <v>RISK-ONT-0264</v>
      </c>
      <c r="CN763" t="str">
        <f t="shared" si="181"/>
        <v>RISK-EVT-0264</v>
      </c>
      <c r="CO763" t="str">
        <f t="shared" si="182"/>
        <v>Sales CRM|Customer continuity|SALE-013|CAP_PAYMENT_CONTINUITY</v>
      </c>
      <c r="CP763" t="str">
        <f t="shared" si="183"/>
        <v>Active</v>
      </c>
      <c r="CQ763" t="str">
        <f t="shared" si="184"/>
        <v>OK: capability-driven</v>
      </c>
      <c r="CR763" t="str">
        <f t="shared" si="185"/>
        <v>Risk ontology uses capability=CAP_PAYMENT_CONTINUITY; bridge=BRG-078; treatment=TRT-PAYMENT_CONTINUITY-INITIAL; wording=IW-ALL-PAYMENT_CONTINUITY</v>
      </c>
      <c r="CS763" t="str">
        <f t="shared" si="186"/>
        <v>Yes</v>
      </c>
    </row>
    <row r="764" spans="1:97" ht="69.900000000000006" customHeight="1">
      <c r="A764">
        <f>IF(OR($B764&lt;&gt;"Yes",$BS764=""),"",SUMPRODUCT(($B$500:$B$923="Yes")*ISNUMBER($BS$500:$BS$923)*($BS$500:$BS$923&gt;$BS764))+COUNTIFS($B$500:$B764,"Yes",$BS$500:$BS764,$BS764))</f>
        <v>142</v>
      </c>
      <c r="B764" t="str">
        <f t="shared" si="155"/>
        <v>Yes</v>
      </c>
      <c r="C764" t="s">
        <v>2286</v>
      </c>
      <c r="D764" t="s">
        <v>2319</v>
      </c>
      <c r="E764" t="s">
        <v>2391</v>
      </c>
      <c r="F764" t="s">
        <v>3689</v>
      </c>
      <c r="G764" t="str">
        <f>IF($H764="","",IFERROR(INDEX(_ENGINE_Risk!$H$5:$M$499,MATCH($E764,_ENGINE_Risk!$A$5:$A$499,0),$H764+1),""))</f>
        <v>Severe risk: critical account plans covering stakeholders, risks, contracts, renewals and crisis communication is not reliably controlled. During Demand shock; Revenue loss; Reputation crisis, the organization may face pipeline loss, poor customer retention, weak forecasting and inability to protect revenue channels with limited visibility or accountability.</v>
      </c>
      <c r="H764">
        <f>IFERROR(VALUE(INDEX(_DATA_Assessment_Model!$H$5:$H$884,MATCH($E764,_DATA_Assessment_Model!$A$5:$A$884,0))),"")</f>
        <v>0</v>
      </c>
      <c r="I764" t="str">
        <f>IF($H764="","",IFERROR(INDEX(_DATA_Assessment_Model!$L$5:$L$884,MATCH($E764,_DATA_Assessment_Model!$A$5:$A$884,0)),IF($H764&lt;=1,"Critical",IF($H764=2,"High",IF($H764=3,"Medium",IF($H764=4,"Low","Resilient"))))))</f>
        <v>Critical</v>
      </c>
      <c r="J764">
        <f t="shared" si="156"/>
        <v>3.7</v>
      </c>
      <c r="K764">
        <f t="shared" si="157"/>
        <v>4.3500000000000005</v>
      </c>
      <c r="L764">
        <f t="shared" si="158"/>
        <v>16.095000000000002</v>
      </c>
      <c r="M764">
        <f t="shared" si="159"/>
        <v>4</v>
      </c>
      <c r="N764">
        <f>IF($H764="","",IFERROR(INDEX(_ENGINE_Risk!$T$5:$Y$499,MATCH($E764,_ENGINE_Risk!$A$5:$A$499,0),$H764+1),""))</f>
        <v>3</v>
      </c>
      <c r="O764">
        <f t="shared" si="160"/>
        <v>4.666666666666667</v>
      </c>
      <c r="P764">
        <f t="shared" si="161"/>
        <v>5</v>
      </c>
      <c r="Q764">
        <f t="shared" si="162"/>
        <v>5</v>
      </c>
      <c r="R764">
        <f t="shared" si="163"/>
        <v>4.5</v>
      </c>
      <c r="S764">
        <f t="shared" si="164"/>
        <v>1.6</v>
      </c>
      <c r="T764" t="str">
        <f>IF($H764="","",IFERROR(INDEX(_ENGINE_Risk!$N$5:$S$499,MATCH($E764,_ENGINE_Risk!$A$5:$A$499,0),$H764+1),""))</f>
        <v>Create an immediate risk owner, minimum control baseline and fallback procedure for critical account plans covering stakeholders, risks, contracts, renewals and crisis communication. Add it to the crisis risk register and collect first evidence.</v>
      </c>
      <c r="U764">
        <f>IFERROR(INDEX(_DATA_Assessment_Model!$G$5:$G$884,MATCH($E764,_DATA_Assessment_Model!$A$5:$A$884,0)),"")</f>
        <v>5</v>
      </c>
      <c r="V764">
        <f>IFERROR(INDEX(_DATA_Assessment_Model!$W$5:$W$884,MATCH($E764,_DATA_Assessment_Model!$A$5:$A$884,0)),"")</f>
        <v>4</v>
      </c>
      <c r="W764">
        <f>IFERROR(INDEX(_DATA_Assessment_Model!$X$5:$X$884,MATCH($E764,_DATA_Assessment_Model!$A$5:$A$884,0)),"")</f>
        <v>5</v>
      </c>
      <c r="X764">
        <f>IFERROR(INDEX(_DATA_Assessment_Model!$Y$5:$Y$884,MATCH($E764,_DATA_Assessment_Model!$A$5:$A$884,0)),"")</f>
        <v>5</v>
      </c>
      <c r="Y764" t="s">
        <v>2299</v>
      </c>
      <c r="Z764" t="s">
        <v>8173</v>
      </c>
      <c r="AA764" t="s">
        <v>2393</v>
      </c>
      <c r="AB764">
        <f>IFERROR(INDEX(_DATA_Assessment_Model!$U$5:$U$884,MATCH($E764,_DATA_Assessment_Model!$A$5:$A$884,0)),"")</f>
        <v>0</v>
      </c>
      <c r="AF764" t="s">
        <v>2392</v>
      </c>
      <c r="AO764">
        <f>IF($B764="Yes",IF(IFERROR(INDEX(_ENGINE_Crisis!$F$501:$F$517,MATCH($C764,_ENGINE_Crisis!$A$501:$A$517,0)),1)=0,1,IFERROR(INDEX(_ENGINE_Crisis!$F$501:$F$517,MATCH($C764,_ENGINE_Crisis!$A$501:$A$517,0)),1)),"")</f>
        <v>1</v>
      </c>
      <c r="AP764">
        <f t="shared" si="165"/>
        <v>16.100000000000001</v>
      </c>
      <c r="AQ764">
        <f t="shared" si="166"/>
        <v>1.6</v>
      </c>
      <c r="AR764" t="str">
        <f>IFERROR(INDEX(_ENGINE_Crisis!$E$41:$E$700,MATCH('Resilience &amp; Risk Scenario'!$B$6&amp;"|"&amp;$C764,_ENGINE_Crisis!$I$41:$I$700,0)),"")</f>
        <v/>
      </c>
      <c r="AS764" t="str">
        <f>IFERROR(INDEX(_ENGINE_Crisis!$G$41:$G$700,MATCH('Resilience &amp; Risk Scenario'!$B$6&amp;"|"&amp;$C764,_ENGINE_Crisis!$I$41:$I$700,0)),"")</f>
        <v/>
      </c>
      <c r="AT764" t="str">
        <f>IFERROR(INDEX(_ENGINE_Initiatives!$A$5:$A$532,MATCH(1,INDEX((_ENGINE_Initiatives!$B$5:$B$532=$C764)*(_ENGINE_Initiatives!$C$5:$C$532=$D764),0),0)),"")</f>
        <v>INI-043</v>
      </c>
      <c r="AU764" t="str">
        <f>IFERROR(INDEX(_ENGINE_Initiatives!$F$5:$F$532,MATCH(1,INDEX((_ENGINE_Initiatives!$B$5:$B$532=$C764)*(_ENGINE_Initiatives!$C$5:$C$532=$D764),0),0)),"")</f>
        <v>Implement customer continuity and key-account protection program</v>
      </c>
      <c r="AV764">
        <f>IFERROR(INDEX(_ENGINE_Initiatives!$AC$5:$AC$532,MATCH(1,INDEX((_ENGINE_Initiatives!$B$5:$B$532=$C764)*(_ENGINE_Initiatives!$C$5:$C$532=$D764),0),0)),"")</f>
        <v>1.76</v>
      </c>
      <c r="AW764" t="str">
        <f>IFERROR(INDEX(_ENGINE_Initiatives!$AE$5:$AE$532,MATCH(1,INDEX((_ENGINE_Initiatives!$B$5:$B$532=$C764)*(_ENGINE_Initiatives!$C$5:$C$532=$D764),0),0)),"")</f>
        <v>3-6 months</v>
      </c>
      <c r="AX764">
        <f>IF($B764="Yes",IFERROR((IF(SUMIFS(_REF_Model_Content!$E$1:$E$613,_REF_Model_Content!$A$1:$A$613,PV_Canonical_Industry,_REF_Model_Content!$B$1:$B$613,$C764)=0,1,SUMIFS(_REF_Model_Content!$E$1:$E$613,_REF_Model_Content!$A$1:$A$613,PV_Canonical_Industry,_REF_Model_Content!$B$1:$B$613,$C764))*IFERROR($BU764,1)),1),"")</f>
        <v>1</v>
      </c>
      <c r="AY764">
        <f t="shared" si="167"/>
        <v>16.100000000000001</v>
      </c>
      <c r="AZ764">
        <f t="shared" si="168"/>
        <v>1.6</v>
      </c>
      <c r="BB764" t="str">
        <f>IF($H764="","",IFERROR(INDEX(_ENGINE_Risk!$AE$5:$AE$499,MATCH($E764,_ENGINE_Risk!$A$5:$A$499,0)),"Medium"))</f>
        <v>Fast</v>
      </c>
      <c r="BC764">
        <f t="shared" si="169"/>
        <v>1.25</v>
      </c>
      <c r="BD764">
        <f t="shared" si="170"/>
        <v>1.6</v>
      </c>
      <c r="BF764">
        <f>IF(OR($H764="",$J764=""),"",IFERROR(VLOOKUP(ROUND($J764,0),_CONFIG_Model_Settings!$D$154:$E$158,2,0),""))</f>
        <v>0.5</v>
      </c>
      <c r="BG764">
        <f>IFERROR(IF(OR($H764="",$K764=""),"",ROUND('Company Profile'!$B$113*INDEX(_CONFIG_Model_Settings!$H$154:$H$158,MATCH(ROUND($K764,0),_CONFIG_Model_Settings!$G$154:$G$158,0)),0)),0)</f>
        <v>875</v>
      </c>
      <c r="BH764">
        <f t="shared" si="171"/>
        <v>437.5</v>
      </c>
      <c r="BI764">
        <f t="shared" si="172"/>
        <v>437.5</v>
      </c>
      <c r="BJ764">
        <f>IF($E764="","",IFERROR(VLOOKUP($C764,_CONFIG_Risk_Calibration!$A$5:$H$21,2,FALSE),3))</f>
        <v>3</v>
      </c>
      <c r="BK764">
        <f>IF($E764="","",IFERROR(VLOOKUP($C764,_CONFIG_Risk_Calibration!$A$5:$H$21,3,FALSE),0))</f>
        <v>0</v>
      </c>
      <c r="BL764">
        <f>IF($E764="","",IFERROR(VLOOKUP($C764,_CONFIG_Risk_Calibration!$A$5:$H$21,4,FALSE),3))</f>
        <v>3</v>
      </c>
      <c r="BM764">
        <f>IF($E764="","",IFERROR(VLOOKUP($C764,_CONFIG_Risk_Calibration!$A$5:$H$21,5,FALSE),3))</f>
        <v>3</v>
      </c>
      <c r="BN764" t="str">
        <f>IF($E764="","",IFERROR(VLOOKUP($C764,_CONFIG_Risk_Calibration!$A$5:$H$21,6,FALSE),"No"))</f>
        <v>No</v>
      </c>
      <c r="BO764">
        <f>IF($E764="","",IFERROR(VLOOKUP($C764,_CONFIG_Risk_Calibration!$A$5:$H$21,7,FALSE),1))</f>
        <v>1</v>
      </c>
      <c r="BP764">
        <f>IF($H764="","",MAX(1,MIN(5,((6-$H764)*0.45)+($BJ764*0.2)+('Resilience &amp; Risk Scenario'!$B$7*0.15)+($BK764*0.1)+($BL764*0.05)+(IF($BB764="Fast",5,IF($BB764="Slow",1,3))*0.05))))</f>
        <v>3.7</v>
      </c>
      <c r="BQ764">
        <f t="shared" si="173"/>
        <v>4.3500000000000005</v>
      </c>
      <c r="BR764">
        <f t="shared" si="174"/>
        <v>16.100000000000001</v>
      </c>
      <c r="BS764">
        <f t="shared" si="175"/>
        <v>20.13</v>
      </c>
      <c r="BT764" t="str">
        <f>IFERROR(INDEX(_REF_Capability_Bridge!$D:$D,MATCH($C764&amp;"|"&amp;$D764,_REF_Capability_Bridge!$J:$J,0)),IFERROR(INDEX(_REF_Capability_Bridge!$D:$D,MATCH($C764&amp;"|",_REF_Capability_Bridge!$J:$J,0)),"CAP_GENERIC"))</f>
        <v>CAP_PAYMENT_CONTINUITY</v>
      </c>
      <c r="BU764">
        <f>IFERROR(IFERROR(INDEX(_ENGINE_Relevance!$L:$L,MATCH($BT764,_ENGINE_Relevance!$B:$B,0)),1),1)</f>
        <v>1</v>
      </c>
      <c r="BV764" t="str">
        <f>IFERROR(INDEX(_REF_Capability_Bridge!$A:$A,MATCH($C764&amp;"|"&amp;$D764,_REF_Capability_Bridge!$J:$J,0)),IFERROR(INDEX(_REF_Capability_Bridge!$A:$A,MATCH($C764&amp;"|",_REF_Capability_Bridge!$J:$J,0)),"No bridge"))</f>
        <v>BRG-078</v>
      </c>
      <c r="BW764" t="str">
        <f t="shared" si="176"/>
        <v>Capability relevance neutral</v>
      </c>
      <c r="BX764" t="str">
        <f t="shared" si="177"/>
        <v>Initial / absent</v>
      </c>
      <c r="BY764" t="str">
        <f>IF($E764="","",IFERROR(INDEX(_REF_Treatment_Library!$A$2:$A$296,MATCH(1,INDEX((_REF_Treatment_Library!$B$2:$B$296=$BT764)*(_REF_Treatment_Library!$C$2:$C$296=PV_Canonical_Industry)*(_REF_Treatment_Library!$E$2:$E$296&lt;=N($H764))*(_REF_Treatment_Library!$F$2:$F$296&gt;=N($H764))*(_REF_Treatment_Library!$O$2:$O$296="Yes"),0),0)),IFERROR(INDEX(_REF_Treatment_Library!$A$2:$A$296,MATCH(1,INDEX((_REF_Treatment_Library!$B$2:$B$296=$BT764)*(_REF_Treatment_Library!$C$2:$C$296="All")*(_REF_Treatment_Library!$E$2:$E$296&lt;=N($H764))*(_REF_Treatment_Library!$F$2:$F$296&gt;=N($H764))*(_REF_Treatment_Library!$O$2:$O$296="Yes"),0),0)),"")))</f>
        <v>TRT-PAYMENT_CONTINUITY-INITIAL</v>
      </c>
      <c r="BZ764" t="str">
        <f>IF($BY764="","",IFERROR(INDEX(_REF_Treatment_Library!$H$2:$H$296,MATCH($BY764,_REF_Treatment_Library!$A$2:$A$296,0)),""))</f>
        <v>Establish</v>
      </c>
      <c r="CA764" t="str">
        <f>IF($BY764="","",IFERROR(INDEX(_REF_Treatment_Library!$I$2:$I$296,MATCH($BY764,_REF_Treatment_Library!$A$2:$A$296,0)),""))</f>
        <v>Establish baseline controls for Payment continuity</v>
      </c>
      <c r="CB764" t="str">
        <f>IF($BY764="","",IFERROR(INDEX(_REF_Treatment_Library!$K$2:$K$296,MATCH($BY764,_REF_Treatment_Library!$A$2:$A$296,0)),""))</f>
        <v>Named owner, baseline process, minimum control checklist, first evidence package</v>
      </c>
      <c r="CC764" t="str">
        <f>IF($BY764="","",IFERROR(INDEX(_REF_Treatment_Library!$L$2:$L$296,MATCH($BY764,_REF_Treatment_Library!$A$2:$A$296,0)),""))</f>
        <v>Owner assigned; baseline evidence coverage; open critical gaps</v>
      </c>
      <c r="CD764" t="str">
        <f t="shared" si="178"/>
        <v>Treatment by capability=CAP_PAYMENT_CONTINUITY; band=Initial / absent; score=0.0; treatment=Establish</v>
      </c>
      <c r="CE764" t="str">
        <f>IF($E764="","",IFERROR(INDEX(_REF_Industry_Wording!$A$2:$A$70,MATCH(1,INDEX((_REF_Industry_Wording!$B$2:$B$70=$BT764)*(_REF_Industry_Wording!$C$2:$C$70=PV_Canonical_Industry)*(_REF_Industry_Wording!$K$2:$K$70="Yes"),0),0)),IFERROR(INDEX(_REF_Industry_Wording!$A$2:$A$70,MATCH(1,INDEX((_REF_Industry_Wording!$B$2:$B$70=$BT764)*(_REF_Industry_Wording!$C$2:$C$70="All")*(_REF_Industry_Wording!$K$2:$K$70="Yes"),0),0)),"")))</f>
        <v>IW-ALL-PAYMENT_CONTINUITY</v>
      </c>
      <c r="CF764" t="str">
        <f>IF($CE764="","",IFERROR(INDEX(_REF_Industry_Wording!$E$2:$E$70,MATCH($CE764,_REF_Industry_Wording!$A$2:$A$70,0)),""))</f>
        <v>Payment continuity weakness</v>
      </c>
      <c r="CG764" t="str">
        <f>IF($CE764="","",IFERROR(INDEX(_REF_Industry_Wording!$F$2:$F$70,MATCH($CE764,_REF_Industry_Wording!$A$2:$A$70,0)),""))</f>
        <v>Strengthen Payment continuity</v>
      </c>
      <c r="CH764" t="str">
        <f>IF($CE764="","",IFERROR(INDEX(_REF_Industry_Wording!$G$2:$G$70,MATCH($CE764,_REF_Industry_Wording!$A$2:$A$70,0)),""))</f>
        <v>Strengthen Payment continuity using the selected maturity treatment, crisis scenario and evidence requirements.</v>
      </c>
      <c r="CI764" t="str">
        <f>IF($CE764="","",IFERROR(INDEX(_REF_Industry_Wording!$H$2:$H$70,MATCH($CE764,_REF_Industry_Wording!$A$2:$A$70,0)),""))</f>
        <v>Payment continuity</v>
      </c>
      <c r="CJ764">
        <f>IF($CE764="","",IFERROR(INDEX(_REF_Industry_Wording!$I$2:$I$70,MATCH($CE764,_REF_Industry_Wording!$A$2:$A$70,0)),""))</f>
        <v>0</v>
      </c>
      <c r="CK764" t="str">
        <f>IF($CE764="","",IFERROR(INDEX(_REF_Industry_Wording!$J$2:$J$70,MATCH($CE764,_REF_Industry_Wording!$A$2:$A$70,0)),""))</f>
        <v>Payment continuity</v>
      </c>
      <c r="CL764" t="str">
        <f t="shared" si="179"/>
        <v>Wording by industry=0; capability=CAP_PAYMENT_CONTINUITY; risk label=Payment continuity weakness</v>
      </c>
      <c r="CM764" t="str">
        <f t="shared" si="180"/>
        <v>RISK-ONT-0265</v>
      </c>
      <c r="CN764" t="str">
        <f t="shared" si="181"/>
        <v>RISK-EVT-0265</v>
      </c>
      <c r="CO764" t="str">
        <f t="shared" si="182"/>
        <v>Sales CRM|Customer continuity|SALE-014|CAP_PAYMENT_CONTINUITY</v>
      </c>
      <c r="CP764" t="str">
        <f t="shared" si="183"/>
        <v>Active</v>
      </c>
      <c r="CQ764" t="str">
        <f t="shared" si="184"/>
        <v>OK: capability-driven</v>
      </c>
      <c r="CR764" t="str">
        <f t="shared" si="185"/>
        <v>Risk ontology uses capability=CAP_PAYMENT_CONTINUITY; bridge=BRG-078; treatment=TRT-PAYMENT_CONTINUITY-INITIAL; wording=IW-ALL-PAYMENT_CONTINUITY</v>
      </c>
      <c r="CS764" t="str">
        <f t="shared" si="186"/>
        <v>Yes</v>
      </c>
    </row>
    <row r="765" spans="1:97" ht="69.900000000000006" customHeight="1">
      <c r="A765">
        <f>IF(OR($B765&lt;&gt;"Yes",$BS765=""),"",SUMPRODUCT(($B$500:$B$923="Yes")*ISNUMBER($BS$500:$BS$923)*($BS$500:$BS$923&gt;$BS765))+COUNTIFS($B$500:$B765,"Yes",$BS$500:$BS765,$BS765))</f>
        <v>109</v>
      </c>
      <c r="B765" t="str">
        <f t="shared" si="155"/>
        <v>Yes</v>
      </c>
      <c r="C765" t="s">
        <v>2286</v>
      </c>
      <c r="D765" t="s">
        <v>2319</v>
      </c>
      <c r="E765" t="s">
        <v>2394</v>
      </c>
      <c r="F765" t="s">
        <v>3689</v>
      </c>
      <c r="G765" t="str">
        <f>IF($H765="","",IFERROR(INDEX(_ENGINE_Risk!$H$5:$M$499,MATCH($E765,_ENGINE_Risk!$A$5:$A$499,0),$H765+1),""))</f>
        <v>Severe risk: customer notification rules for incidents, delays, cyber events and service disruption is not reliably controlled. During Demand shock; Revenue loss; Reputation crisis, the organization may face pipeline loss, poor customer retention, weak forecasting and inability to protect revenue channels with limited visibility or accountability.</v>
      </c>
      <c r="H765">
        <f>IFERROR(VALUE(INDEX(_DATA_Assessment_Model!$H$5:$H$884,MATCH($E765,_DATA_Assessment_Model!$A$5:$A$884,0))),"")</f>
        <v>0</v>
      </c>
      <c r="I765" t="str">
        <f>IF($H765="","",IFERROR(INDEX(_DATA_Assessment_Model!$L$5:$L$884,MATCH($E765,_DATA_Assessment_Model!$A$5:$A$884,0)),IF($H765&lt;=1,"Critical",IF($H765=2,"High",IF($H765=3,"Medium",IF($H765=4,"Low","Resilient"))))))</f>
        <v>Critical</v>
      </c>
      <c r="J765">
        <f t="shared" si="156"/>
        <v>3.7</v>
      </c>
      <c r="K765">
        <f t="shared" si="157"/>
        <v>4.5</v>
      </c>
      <c r="L765">
        <f t="shared" si="158"/>
        <v>16.650000000000002</v>
      </c>
      <c r="M765">
        <f t="shared" si="159"/>
        <v>4</v>
      </c>
      <c r="N765">
        <f>IF($H765="","",IFERROR(INDEX(_ENGINE_Risk!$T$5:$Y$499,MATCH($E765,_ENGINE_Risk!$A$5:$A$499,0),$H765+1),""))</f>
        <v>3</v>
      </c>
      <c r="O765">
        <f t="shared" si="160"/>
        <v>5</v>
      </c>
      <c r="P765">
        <f t="shared" si="161"/>
        <v>5</v>
      </c>
      <c r="Q765">
        <f t="shared" si="162"/>
        <v>5</v>
      </c>
      <c r="R765">
        <f t="shared" si="163"/>
        <v>5</v>
      </c>
      <c r="S765">
        <f t="shared" si="164"/>
        <v>1.67</v>
      </c>
      <c r="T765" t="str">
        <f>IF($H765="","",IFERROR(INDEX(_ENGINE_Risk!$N$5:$S$499,MATCH($E765,_ENGINE_Risk!$A$5:$A$499,0),$H765+1),""))</f>
        <v>Create an immediate risk owner, minimum control baseline and fallback procedure for customer notification rules for incidents, delays, cyber events and service disruption. Add it to the crisis risk register and collect first evidence.</v>
      </c>
      <c r="U765">
        <f>IFERROR(INDEX(_DATA_Assessment_Model!$G$5:$G$884,MATCH($E765,_DATA_Assessment_Model!$A$5:$A$884,0)),"")</f>
        <v>5</v>
      </c>
      <c r="V765">
        <f>IFERROR(INDEX(_DATA_Assessment_Model!$W$5:$W$884,MATCH($E765,_DATA_Assessment_Model!$A$5:$A$884,0)),"")</f>
        <v>5</v>
      </c>
      <c r="W765">
        <f>IFERROR(INDEX(_DATA_Assessment_Model!$X$5:$X$884,MATCH($E765,_DATA_Assessment_Model!$A$5:$A$884,0)),"")</f>
        <v>5</v>
      </c>
      <c r="X765">
        <f>IFERROR(INDEX(_DATA_Assessment_Model!$Y$5:$Y$884,MATCH($E765,_DATA_Assessment_Model!$A$5:$A$884,0)),"")</f>
        <v>5</v>
      </c>
      <c r="Y765" t="s">
        <v>2299</v>
      </c>
      <c r="Z765" t="s">
        <v>8173</v>
      </c>
      <c r="AA765" t="s">
        <v>2396</v>
      </c>
      <c r="AB765">
        <f>IFERROR(INDEX(_DATA_Assessment_Model!$U$5:$U$884,MATCH($E765,_DATA_Assessment_Model!$A$5:$A$884,0)),"")</f>
        <v>0</v>
      </c>
      <c r="AF765" t="s">
        <v>2395</v>
      </c>
      <c r="AO765">
        <f>IF($B765="Yes",IF(IFERROR(INDEX(_ENGINE_Crisis!$F$501:$F$517,MATCH($C765,_ENGINE_Crisis!$A$501:$A$517,0)),1)=0,1,IFERROR(INDEX(_ENGINE_Crisis!$F$501:$F$517,MATCH($C765,_ENGINE_Crisis!$A$501:$A$517,0)),1)),"")</f>
        <v>1</v>
      </c>
      <c r="AP765">
        <f t="shared" si="165"/>
        <v>16.7</v>
      </c>
      <c r="AQ765">
        <f t="shared" si="166"/>
        <v>1.67</v>
      </c>
      <c r="AR765" t="str">
        <f>IFERROR(INDEX(_ENGINE_Crisis!$E$41:$E$700,MATCH('Resilience &amp; Risk Scenario'!$B$6&amp;"|"&amp;$C765,_ENGINE_Crisis!$I$41:$I$700,0)),"")</f>
        <v/>
      </c>
      <c r="AS765" t="str">
        <f>IFERROR(INDEX(_ENGINE_Crisis!$G$41:$G$700,MATCH('Resilience &amp; Risk Scenario'!$B$6&amp;"|"&amp;$C765,_ENGINE_Crisis!$I$41:$I$700,0)),"")</f>
        <v/>
      </c>
      <c r="AT765" t="str">
        <f>IFERROR(INDEX(_ENGINE_Initiatives!$A$5:$A$532,MATCH(1,INDEX((_ENGINE_Initiatives!$B$5:$B$532=$C765)*(_ENGINE_Initiatives!$C$5:$C$532=$D765),0),0)),"")</f>
        <v>INI-043</v>
      </c>
      <c r="AU765" t="str">
        <f>IFERROR(INDEX(_ENGINE_Initiatives!$F$5:$F$532,MATCH(1,INDEX((_ENGINE_Initiatives!$B$5:$B$532=$C765)*(_ENGINE_Initiatives!$C$5:$C$532=$D765),0),0)),"")</f>
        <v>Implement customer continuity and key-account protection program</v>
      </c>
      <c r="AV765">
        <f>IFERROR(INDEX(_ENGINE_Initiatives!$AC$5:$AC$532,MATCH(1,INDEX((_ENGINE_Initiatives!$B$5:$B$532=$C765)*(_ENGINE_Initiatives!$C$5:$C$532=$D765),0),0)),"")</f>
        <v>1.76</v>
      </c>
      <c r="AW765" t="str">
        <f>IFERROR(INDEX(_ENGINE_Initiatives!$AE$5:$AE$532,MATCH(1,INDEX((_ENGINE_Initiatives!$B$5:$B$532=$C765)*(_ENGINE_Initiatives!$C$5:$C$532=$D765),0),0)),"")</f>
        <v>3-6 months</v>
      </c>
      <c r="AX765">
        <f>IF($B765="Yes",IFERROR((IF(SUMIFS(_REF_Model_Content!$E$1:$E$613,_REF_Model_Content!$A$1:$A$613,PV_Canonical_Industry,_REF_Model_Content!$B$1:$B$613,$C765)=0,1,SUMIFS(_REF_Model_Content!$E$1:$E$613,_REF_Model_Content!$A$1:$A$613,PV_Canonical_Industry,_REF_Model_Content!$B$1:$B$613,$C765))*IFERROR($BU765,1)),1),"")</f>
        <v>1</v>
      </c>
      <c r="AY765">
        <f t="shared" si="167"/>
        <v>16.7</v>
      </c>
      <c r="AZ765">
        <f t="shared" si="168"/>
        <v>1.67</v>
      </c>
      <c r="BB765" t="str">
        <f>IF($H765="","",IFERROR(INDEX(_ENGINE_Risk!$AE$5:$AE$499,MATCH($E765,_ENGINE_Risk!$A$5:$A$499,0)),"Medium"))</f>
        <v>Fast</v>
      </c>
      <c r="BC765">
        <f t="shared" si="169"/>
        <v>1.25</v>
      </c>
      <c r="BD765">
        <f t="shared" si="170"/>
        <v>1.67</v>
      </c>
      <c r="BF765">
        <f>IF(OR($H765="",$J765=""),"",IFERROR(VLOOKUP(ROUND($J765,0),_CONFIG_Model_Settings!$D$154:$E$158,2,0),""))</f>
        <v>0.5</v>
      </c>
      <c r="BG765">
        <f>IFERROR(IF(OR($H765="",$K765=""),"",ROUND('Company Profile'!$B$113*INDEX(_CONFIG_Model_Settings!$H$154:$H$158,MATCH(ROUND($K765,0),_CONFIG_Model_Settings!$G$154:$G$158,0)),0)),0)</f>
        <v>1875</v>
      </c>
      <c r="BH765">
        <f t="shared" si="171"/>
        <v>937.5</v>
      </c>
      <c r="BI765">
        <f t="shared" si="172"/>
        <v>937.5</v>
      </c>
      <c r="BJ765">
        <f>IF($E765="","",IFERROR(VLOOKUP($C765,_CONFIG_Risk_Calibration!$A$5:$H$21,2,FALSE),3))</f>
        <v>3</v>
      </c>
      <c r="BK765">
        <f>IF($E765="","",IFERROR(VLOOKUP($C765,_CONFIG_Risk_Calibration!$A$5:$H$21,3,FALSE),0))</f>
        <v>0</v>
      </c>
      <c r="BL765">
        <f>IF($E765="","",IFERROR(VLOOKUP($C765,_CONFIG_Risk_Calibration!$A$5:$H$21,4,FALSE),3))</f>
        <v>3</v>
      </c>
      <c r="BM765">
        <f>IF($E765="","",IFERROR(VLOOKUP($C765,_CONFIG_Risk_Calibration!$A$5:$H$21,5,FALSE),3))</f>
        <v>3</v>
      </c>
      <c r="BN765" t="str">
        <f>IF($E765="","",IFERROR(VLOOKUP($C765,_CONFIG_Risk_Calibration!$A$5:$H$21,6,FALSE),"No"))</f>
        <v>No</v>
      </c>
      <c r="BO765">
        <f>IF($E765="","",IFERROR(VLOOKUP($C765,_CONFIG_Risk_Calibration!$A$5:$H$21,7,FALSE),1))</f>
        <v>1</v>
      </c>
      <c r="BP765">
        <f>IF($H765="","",MAX(1,MIN(5,((6-$H765)*0.45)+($BJ765*0.2)+('Resilience &amp; Risk Scenario'!$B$7*0.15)+($BK765*0.1)+($BL765*0.05)+(IF($BB765="Fast",5,IF($BB765="Slow",1,3))*0.05))))</f>
        <v>3.7</v>
      </c>
      <c r="BQ765">
        <f t="shared" si="173"/>
        <v>4.5</v>
      </c>
      <c r="BR765">
        <f t="shared" si="174"/>
        <v>16.649999999999999</v>
      </c>
      <c r="BS765">
        <f t="shared" si="175"/>
        <v>20.81</v>
      </c>
      <c r="BT765" t="str">
        <f>IFERROR(INDEX(_REF_Capability_Bridge!$D:$D,MATCH($C765&amp;"|"&amp;$D765,_REF_Capability_Bridge!$J:$J,0)),IFERROR(INDEX(_REF_Capability_Bridge!$D:$D,MATCH($C765&amp;"|",_REF_Capability_Bridge!$J:$J,0)),"CAP_GENERIC"))</f>
        <v>CAP_PAYMENT_CONTINUITY</v>
      </c>
      <c r="BU765">
        <f>IFERROR(IFERROR(INDEX(_ENGINE_Relevance!$L:$L,MATCH($BT765,_ENGINE_Relevance!$B:$B,0)),1),1)</f>
        <v>1</v>
      </c>
      <c r="BV765" t="str">
        <f>IFERROR(INDEX(_REF_Capability_Bridge!$A:$A,MATCH($C765&amp;"|"&amp;$D765,_REF_Capability_Bridge!$J:$J,0)),IFERROR(INDEX(_REF_Capability_Bridge!$A:$A,MATCH($C765&amp;"|",_REF_Capability_Bridge!$J:$J,0)),"No bridge"))</f>
        <v>BRG-078</v>
      </c>
      <c r="BW765" t="str">
        <f t="shared" si="176"/>
        <v>Capability relevance neutral</v>
      </c>
      <c r="BX765" t="str">
        <f t="shared" si="177"/>
        <v>Initial / absent</v>
      </c>
      <c r="BY765" t="str">
        <f>IF($E765="","",IFERROR(INDEX(_REF_Treatment_Library!$A$2:$A$296,MATCH(1,INDEX((_REF_Treatment_Library!$B$2:$B$296=$BT765)*(_REF_Treatment_Library!$C$2:$C$296=PV_Canonical_Industry)*(_REF_Treatment_Library!$E$2:$E$296&lt;=N($H765))*(_REF_Treatment_Library!$F$2:$F$296&gt;=N($H765))*(_REF_Treatment_Library!$O$2:$O$296="Yes"),0),0)),IFERROR(INDEX(_REF_Treatment_Library!$A$2:$A$296,MATCH(1,INDEX((_REF_Treatment_Library!$B$2:$B$296=$BT765)*(_REF_Treatment_Library!$C$2:$C$296="All")*(_REF_Treatment_Library!$E$2:$E$296&lt;=N($H765))*(_REF_Treatment_Library!$F$2:$F$296&gt;=N($H765))*(_REF_Treatment_Library!$O$2:$O$296="Yes"),0),0)),"")))</f>
        <v>TRT-PAYMENT_CONTINUITY-INITIAL</v>
      </c>
      <c r="BZ765" t="str">
        <f>IF($BY765="","",IFERROR(INDEX(_REF_Treatment_Library!$H$2:$H$296,MATCH($BY765,_REF_Treatment_Library!$A$2:$A$296,0)),""))</f>
        <v>Establish</v>
      </c>
      <c r="CA765" t="str">
        <f>IF($BY765="","",IFERROR(INDEX(_REF_Treatment_Library!$I$2:$I$296,MATCH($BY765,_REF_Treatment_Library!$A$2:$A$296,0)),""))</f>
        <v>Establish baseline controls for Payment continuity</v>
      </c>
      <c r="CB765" t="str">
        <f>IF($BY765="","",IFERROR(INDEX(_REF_Treatment_Library!$K$2:$K$296,MATCH($BY765,_REF_Treatment_Library!$A$2:$A$296,0)),""))</f>
        <v>Named owner, baseline process, minimum control checklist, first evidence package</v>
      </c>
      <c r="CC765" t="str">
        <f>IF($BY765="","",IFERROR(INDEX(_REF_Treatment_Library!$L$2:$L$296,MATCH($BY765,_REF_Treatment_Library!$A$2:$A$296,0)),""))</f>
        <v>Owner assigned; baseline evidence coverage; open critical gaps</v>
      </c>
      <c r="CD765" t="str">
        <f t="shared" si="178"/>
        <v>Treatment by capability=CAP_PAYMENT_CONTINUITY; band=Initial / absent; score=0.0; treatment=Establish</v>
      </c>
      <c r="CE765" t="str">
        <f>IF($E765="","",IFERROR(INDEX(_REF_Industry_Wording!$A$2:$A$70,MATCH(1,INDEX((_REF_Industry_Wording!$B$2:$B$70=$BT765)*(_REF_Industry_Wording!$C$2:$C$70=PV_Canonical_Industry)*(_REF_Industry_Wording!$K$2:$K$70="Yes"),0),0)),IFERROR(INDEX(_REF_Industry_Wording!$A$2:$A$70,MATCH(1,INDEX((_REF_Industry_Wording!$B$2:$B$70=$BT765)*(_REF_Industry_Wording!$C$2:$C$70="All")*(_REF_Industry_Wording!$K$2:$K$70="Yes"),0),0)),"")))</f>
        <v>IW-ALL-PAYMENT_CONTINUITY</v>
      </c>
      <c r="CF765" t="str">
        <f>IF($CE765="","",IFERROR(INDEX(_REF_Industry_Wording!$E$2:$E$70,MATCH($CE765,_REF_Industry_Wording!$A$2:$A$70,0)),""))</f>
        <v>Payment continuity weakness</v>
      </c>
      <c r="CG765" t="str">
        <f>IF($CE765="","",IFERROR(INDEX(_REF_Industry_Wording!$F$2:$F$70,MATCH($CE765,_REF_Industry_Wording!$A$2:$A$70,0)),""))</f>
        <v>Strengthen Payment continuity</v>
      </c>
      <c r="CH765" t="str">
        <f>IF($CE765="","",IFERROR(INDEX(_REF_Industry_Wording!$G$2:$G$70,MATCH($CE765,_REF_Industry_Wording!$A$2:$A$70,0)),""))</f>
        <v>Strengthen Payment continuity using the selected maturity treatment, crisis scenario and evidence requirements.</v>
      </c>
      <c r="CI765" t="str">
        <f>IF($CE765="","",IFERROR(INDEX(_REF_Industry_Wording!$H$2:$H$70,MATCH($CE765,_REF_Industry_Wording!$A$2:$A$70,0)),""))</f>
        <v>Payment continuity</v>
      </c>
      <c r="CJ765">
        <f>IF($CE765="","",IFERROR(INDEX(_REF_Industry_Wording!$I$2:$I$70,MATCH($CE765,_REF_Industry_Wording!$A$2:$A$70,0)),""))</f>
        <v>0</v>
      </c>
      <c r="CK765" t="str">
        <f>IF($CE765="","",IFERROR(INDEX(_REF_Industry_Wording!$J$2:$J$70,MATCH($CE765,_REF_Industry_Wording!$A$2:$A$70,0)),""))</f>
        <v>Payment continuity</v>
      </c>
      <c r="CL765" t="str">
        <f t="shared" si="179"/>
        <v>Wording by industry=0; capability=CAP_PAYMENT_CONTINUITY; risk label=Payment continuity weakness</v>
      </c>
      <c r="CM765" t="str">
        <f t="shared" si="180"/>
        <v>RISK-ONT-0266</v>
      </c>
      <c r="CN765" t="str">
        <f t="shared" si="181"/>
        <v>RISK-EVT-0266</v>
      </c>
      <c r="CO765" t="str">
        <f t="shared" si="182"/>
        <v>Sales CRM|Customer continuity|SALE-015|CAP_PAYMENT_CONTINUITY</v>
      </c>
      <c r="CP765" t="str">
        <f t="shared" si="183"/>
        <v>Active</v>
      </c>
      <c r="CQ765" t="str">
        <f t="shared" si="184"/>
        <v>OK: capability-driven</v>
      </c>
      <c r="CR765" t="str">
        <f t="shared" si="185"/>
        <v>Risk ontology uses capability=CAP_PAYMENT_CONTINUITY; bridge=BRG-078; treatment=TRT-PAYMENT_CONTINUITY-INITIAL; wording=IW-ALL-PAYMENT_CONTINUITY</v>
      </c>
      <c r="CS765" t="str">
        <f t="shared" si="186"/>
        <v>Yes</v>
      </c>
    </row>
    <row r="766" spans="1:97" ht="69.900000000000006" customHeight="1">
      <c r="A766">
        <f>IF(OR($B766&lt;&gt;"Yes",$BS766=""),"",SUMPRODUCT(($B$500:$B$923="Yes")*ISNUMBER($BS$500:$BS$923)*($BS$500:$BS$923&gt;$BS766))+COUNTIFS($B$500:$B766,"Yes",$BS$500:$BS766,$BS766))</f>
        <v>210</v>
      </c>
      <c r="B766" t="str">
        <f t="shared" si="155"/>
        <v>Yes</v>
      </c>
      <c r="C766" t="s">
        <v>2286</v>
      </c>
      <c r="D766" t="s">
        <v>2319</v>
      </c>
      <c r="E766" t="s">
        <v>2397</v>
      </c>
      <c r="F766" t="s">
        <v>3689</v>
      </c>
      <c r="G766" t="str">
        <f>IF($H766="","",IFERROR(INDEX(_ENGINE_Risk!$H$5:$M$499,MATCH($E766,_ENGINE_Risk!$A$5:$A$499,0),$H766+1),""))</f>
        <v>Severe risk: support knowledge base and agent fallback if experienced people are unavailable is not reliably controlled. During Demand shock; Revenue loss; Reputation crisis, the organization may face pipeline loss, poor customer retention, weak forecasting and inability to protect revenue channels with limited visibility or accountability.</v>
      </c>
      <c r="H766">
        <f>IFERROR(VALUE(INDEX(_DATA_Assessment_Model!$H$5:$H$884,MATCH($E766,_DATA_Assessment_Model!$A$5:$A$884,0))),"")</f>
        <v>0</v>
      </c>
      <c r="I766" t="str">
        <f>IF($H766="","",IFERROR(INDEX(_DATA_Assessment_Model!$L$5:$L$884,MATCH($E766,_DATA_Assessment_Model!$A$5:$A$884,0)),IF($H766&lt;=1,"Critical",IF($H766=2,"High",IF($H766=3,"Medium",IF($H766=4,"Low","Resilient"))))))</f>
        <v>Critical</v>
      </c>
      <c r="J766">
        <f t="shared" si="156"/>
        <v>3.7</v>
      </c>
      <c r="K766">
        <f t="shared" si="157"/>
        <v>3.95</v>
      </c>
      <c r="L766">
        <f t="shared" si="158"/>
        <v>14.615000000000002</v>
      </c>
      <c r="M766">
        <f t="shared" si="159"/>
        <v>3</v>
      </c>
      <c r="N766">
        <f>IF($H766="","",IFERROR(INDEX(_ENGINE_Risk!$T$5:$Y$499,MATCH($E766,_ENGINE_Risk!$A$5:$A$499,0),$H766+1),""))</f>
        <v>3</v>
      </c>
      <c r="O766">
        <f t="shared" si="160"/>
        <v>4</v>
      </c>
      <c r="P766">
        <f t="shared" si="161"/>
        <v>5</v>
      </c>
      <c r="Q766">
        <f t="shared" si="162"/>
        <v>5</v>
      </c>
      <c r="R766">
        <f t="shared" si="163"/>
        <v>4.5</v>
      </c>
      <c r="S766">
        <f t="shared" si="164"/>
        <v>1.54</v>
      </c>
      <c r="T766" t="str">
        <f>IF($H766="","",IFERROR(INDEX(_ENGINE_Risk!$N$5:$S$499,MATCH($E766,_ENGINE_Risk!$A$5:$A$499,0),$H766+1),""))</f>
        <v>Create an immediate risk owner, minimum control baseline and fallback procedure for support knowledge base and agent fallback if experienced people are unavailable. Add it to the crisis risk register and collect first evidence.</v>
      </c>
      <c r="U766">
        <f>IFERROR(INDEX(_DATA_Assessment_Model!$G$5:$G$884,MATCH($E766,_DATA_Assessment_Model!$A$5:$A$884,0)),"")</f>
        <v>3</v>
      </c>
      <c r="V766">
        <f>IFERROR(INDEX(_DATA_Assessment_Model!$W$5:$W$884,MATCH($E766,_DATA_Assessment_Model!$A$5:$A$884,0)),"")</f>
        <v>4</v>
      </c>
      <c r="W766">
        <f>IFERROR(INDEX(_DATA_Assessment_Model!$X$5:$X$884,MATCH($E766,_DATA_Assessment_Model!$A$5:$A$884,0)),"")</f>
        <v>5</v>
      </c>
      <c r="X766">
        <f>IFERROR(INDEX(_DATA_Assessment_Model!$Y$5:$Y$884,MATCH($E766,_DATA_Assessment_Model!$A$5:$A$884,0)),"")</f>
        <v>5</v>
      </c>
      <c r="Y766" t="s">
        <v>2299</v>
      </c>
      <c r="Z766" t="s">
        <v>8173</v>
      </c>
      <c r="AA766" t="s">
        <v>2399</v>
      </c>
      <c r="AB766">
        <f>IFERROR(INDEX(_DATA_Assessment_Model!$U$5:$U$884,MATCH($E766,_DATA_Assessment_Model!$A$5:$A$884,0)),"")</f>
        <v>0</v>
      </c>
      <c r="AF766" t="s">
        <v>2398</v>
      </c>
      <c r="AO766">
        <f>IF($B766="Yes",IF(IFERROR(INDEX(_ENGINE_Crisis!$F$501:$F$517,MATCH($C766,_ENGINE_Crisis!$A$501:$A$517,0)),1)=0,1,IFERROR(INDEX(_ENGINE_Crisis!$F$501:$F$517,MATCH($C766,_ENGINE_Crisis!$A$501:$A$517,0)),1)),"")</f>
        <v>1</v>
      </c>
      <c r="AP766">
        <f t="shared" si="165"/>
        <v>14.6</v>
      </c>
      <c r="AQ766">
        <f t="shared" si="166"/>
        <v>1.54</v>
      </c>
      <c r="AR766" t="str">
        <f>IFERROR(INDEX(_ENGINE_Crisis!$E$41:$E$700,MATCH('Resilience &amp; Risk Scenario'!$B$6&amp;"|"&amp;$C766,_ENGINE_Crisis!$I$41:$I$700,0)),"")</f>
        <v/>
      </c>
      <c r="AS766" t="str">
        <f>IFERROR(INDEX(_ENGINE_Crisis!$G$41:$G$700,MATCH('Resilience &amp; Risk Scenario'!$B$6&amp;"|"&amp;$C766,_ENGINE_Crisis!$I$41:$I$700,0)),"")</f>
        <v/>
      </c>
      <c r="AT766" t="str">
        <f>IFERROR(INDEX(_ENGINE_Initiatives!$A$5:$A$532,MATCH(1,INDEX((_ENGINE_Initiatives!$B$5:$B$532=$C766)*(_ENGINE_Initiatives!$C$5:$C$532=$D766),0),0)),"")</f>
        <v>INI-043</v>
      </c>
      <c r="AU766" t="str">
        <f>IFERROR(INDEX(_ENGINE_Initiatives!$F$5:$F$532,MATCH(1,INDEX((_ENGINE_Initiatives!$B$5:$B$532=$C766)*(_ENGINE_Initiatives!$C$5:$C$532=$D766),0),0)),"")</f>
        <v>Implement customer continuity and key-account protection program</v>
      </c>
      <c r="AV766">
        <f>IFERROR(INDEX(_ENGINE_Initiatives!$AC$5:$AC$532,MATCH(1,INDEX((_ENGINE_Initiatives!$B$5:$B$532=$C766)*(_ENGINE_Initiatives!$C$5:$C$532=$D766),0),0)),"")</f>
        <v>1.76</v>
      </c>
      <c r="AW766" t="str">
        <f>IFERROR(INDEX(_ENGINE_Initiatives!$AE$5:$AE$532,MATCH(1,INDEX((_ENGINE_Initiatives!$B$5:$B$532=$C766)*(_ENGINE_Initiatives!$C$5:$C$532=$D766),0),0)),"")</f>
        <v>3-6 months</v>
      </c>
      <c r="AX766">
        <f>IF($B766="Yes",IFERROR((IF(SUMIFS(_REF_Model_Content!$E$1:$E$613,_REF_Model_Content!$A$1:$A$613,PV_Canonical_Industry,_REF_Model_Content!$B$1:$B$613,$C766)=0,1,SUMIFS(_REF_Model_Content!$E$1:$E$613,_REF_Model_Content!$A$1:$A$613,PV_Canonical_Industry,_REF_Model_Content!$B$1:$B$613,$C766))*IFERROR($BU766,1)),1),"")</f>
        <v>1</v>
      </c>
      <c r="AY766">
        <f t="shared" si="167"/>
        <v>14.6</v>
      </c>
      <c r="AZ766">
        <f t="shared" si="168"/>
        <v>1.54</v>
      </c>
      <c r="BB766" t="str">
        <f>IF($H766="","",IFERROR(INDEX(_ENGINE_Risk!$AE$5:$AE$499,MATCH($E766,_ENGINE_Risk!$A$5:$A$499,0)),"Medium"))</f>
        <v>Fast</v>
      </c>
      <c r="BC766">
        <f t="shared" si="169"/>
        <v>1.25</v>
      </c>
      <c r="BD766">
        <f t="shared" si="170"/>
        <v>1.54</v>
      </c>
      <c r="BF766">
        <f>IF(OR($H766="",$J766=""),"",IFERROR(VLOOKUP(ROUND($J766,0),_CONFIG_Model_Settings!$D$154:$E$158,2,0),""))</f>
        <v>0.5</v>
      </c>
      <c r="BG766">
        <f>IFERROR(IF(OR($H766="",$K766=""),"",ROUND('Company Profile'!$B$113*INDEX(_CONFIG_Model_Settings!$H$154:$H$158,MATCH(ROUND($K766,0),_CONFIG_Model_Settings!$G$154:$G$158,0)),0)),0)</f>
        <v>875</v>
      </c>
      <c r="BH766">
        <f t="shared" si="171"/>
        <v>437.5</v>
      </c>
      <c r="BI766">
        <f t="shared" si="172"/>
        <v>437.5</v>
      </c>
      <c r="BJ766">
        <f>IF($E766="","",IFERROR(VLOOKUP($C766,_CONFIG_Risk_Calibration!$A$5:$H$21,2,FALSE),3))</f>
        <v>3</v>
      </c>
      <c r="BK766">
        <f>IF($E766="","",IFERROR(VLOOKUP($C766,_CONFIG_Risk_Calibration!$A$5:$H$21,3,FALSE),0))</f>
        <v>0</v>
      </c>
      <c r="BL766">
        <f>IF($E766="","",IFERROR(VLOOKUP($C766,_CONFIG_Risk_Calibration!$A$5:$H$21,4,FALSE),3))</f>
        <v>3</v>
      </c>
      <c r="BM766">
        <f>IF($E766="","",IFERROR(VLOOKUP($C766,_CONFIG_Risk_Calibration!$A$5:$H$21,5,FALSE),3))</f>
        <v>3</v>
      </c>
      <c r="BN766" t="str">
        <f>IF($E766="","",IFERROR(VLOOKUP($C766,_CONFIG_Risk_Calibration!$A$5:$H$21,6,FALSE),"No"))</f>
        <v>No</v>
      </c>
      <c r="BO766">
        <f>IF($E766="","",IFERROR(VLOOKUP($C766,_CONFIG_Risk_Calibration!$A$5:$H$21,7,FALSE),1))</f>
        <v>1</v>
      </c>
      <c r="BP766">
        <f>IF($H766="","",MAX(1,MIN(5,((6-$H766)*0.45)+($BJ766*0.2)+('Resilience &amp; Risk Scenario'!$B$7*0.15)+($BK766*0.1)+($BL766*0.05)+(IF($BB766="Fast",5,IF($BB766="Slow",1,3))*0.05))))</f>
        <v>3.7</v>
      </c>
      <c r="BQ766">
        <f t="shared" si="173"/>
        <v>3.95</v>
      </c>
      <c r="BR766">
        <f t="shared" si="174"/>
        <v>14.62</v>
      </c>
      <c r="BS766">
        <f t="shared" si="175"/>
        <v>18.28</v>
      </c>
      <c r="BT766" t="str">
        <f>IFERROR(INDEX(_REF_Capability_Bridge!$D:$D,MATCH($C766&amp;"|"&amp;$D766,_REF_Capability_Bridge!$J:$J,0)),IFERROR(INDEX(_REF_Capability_Bridge!$D:$D,MATCH($C766&amp;"|",_REF_Capability_Bridge!$J:$J,0)),"CAP_GENERIC"))</f>
        <v>CAP_PAYMENT_CONTINUITY</v>
      </c>
      <c r="BU766">
        <f>IFERROR(IFERROR(INDEX(_ENGINE_Relevance!$L:$L,MATCH($BT766,_ENGINE_Relevance!$B:$B,0)),1),1)</f>
        <v>1</v>
      </c>
      <c r="BV766" t="str">
        <f>IFERROR(INDEX(_REF_Capability_Bridge!$A:$A,MATCH($C766&amp;"|"&amp;$D766,_REF_Capability_Bridge!$J:$J,0)),IFERROR(INDEX(_REF_Capability_Bridge!$A:$A,MATCH($C766&amp;"|",_REF_Capability_Bridge!$J:$J,0)),"No bridge"))</f>
        <v>BRG-078</v>
      </c>
      <c r="BW766" t="str">
        <f t="shared" si="176"/>
        <v>Capability relevance neutral</v>
      </c>
      <c r="BX766" t="str">
        <f t="shared" si="177"/>
        <v>Initial / absent</v>
      </c>
      <c r="BY766" t="str">
        <f>IF($E766="","",IFERROR(INDEX(_REF_Treatment_Library!$A$2:$A$296,MATCH(1,INDEX((_REF_Treatment_Library!$B$2:$B$296=$BT766)*(_REF_Treatment_Library!$C$2:$C$296=PV_Canonical_Industry)*(_REF_Treatment_Library!$E$2:$E$296&lt;=N($H766))*(_REF_Treatment_Library!$F$2:$F$296&gt;=N($H766))*(_REF_Treatment_Library!$O$2:$O$296="Yes"),0),0)),IFERROR(INDEX(_REF_Treatment_Library!$A$2:$A$296,MATCH(1,INDEX((_REF_Treatment_Library!$B$2:$B$296=$BT766)*(_REF_Treatment_Library!$C$2:$C$296="All")*(_REF_Treatment_Library!$E$2:$E$296&lt;=N($H766))*(_REF_Treatment_Library!$F$2:$F$296&gt;=N($H766))*(_REF_Treatment_Library!$O$2:$O$296="Yes"),0),0)),"")))</f>
        <v>TRT-PAYMENT_CONTINUITY-INITIAL</v>
      </c>
      <c r="BZ766" t="str">
        <f>IF($BY766="","",IFERROR(INDEX(_REF_Treatment_Library!$H$2:$H$296,MATCH($BY766,_REF_Treatment_Library!$A$2:$A$296,0)),""))</f>
        <v>Establish</v>
      </c>
      <c r="CA766" t="str">
        <f>IF($BY766="","",IFERROR(INDEX(_REF_Treatment_Library!$I$2:$I$296,MATCH($BY766,_REF_Treatment_Library!$A$2:$A$296,0)),""))</f>
        <v>Establish baseline controls for Payment continuity</v>
      </c>
      <c r="CB766" t="str">
        <f>IF($BY766="","",IFERROR(INDEX(_REF_Treatment_Library!$K$2:$K$296,MATCH($BY766,_REF_Treatment_Library!$A$2:$A$296,0)),""))</f>
        <v>Named owner, baseline process, minimum control checklist, first evidence package</v>
      </c>
      <c r="CC766" t="str">
        <f>IF($BY766="","",IFERROR(INDEX(_REF_Treatment_Library!$L$2:$L$296,MATCH($BY766,_REF_Treatment_Library!$A$2:$A$296,0)),""))</f>
        <v>Owner assigned; baseline evidence coverage; open critical gaps</v>
      </c>
      <c r="CD766" t="str">
        <f t="shared" si="178"/>
        <v>Treatment by capability=CAP_PAYMENT_CONTINUITY; band=Initial / absent; score=0.0; treatment=Establish</v>
      </c>
      <c r="CE766" t="str">
        <f>IF($E766="","",IFERROR(INDEX(_REF_Industry_Wording!$A$2:$A$70,MATCH(1,INDEX((_REF_Industry_Wording!$B$2:$B$70=$BT766)*(_REF_Industry_Wording!$C$2:$C$70=PV_Canonical_Industry)*(_REF_Industry_Wording!$K$2:$K$70="Yes"),0),0)),IFERROR(INDEX(_REF_Industry_Wording!$A$2:$A$70,MATCH(1,INDEX((_REF_Industry_Wording!$B$2:$B$70=$BT766)*(_REF_Industry_Wording!$C$2:$C$70="All")*(_REF_Industry_Wording!$K$2:$K$70="Yes"),0),0)),"")))</f>
        <v>IW-ALL-PAYMENT_CONTINUITY</v>
      </c>
      <c r="CF766" t="str">
        <f>IF($CE766="","",IFERROR(INDEX(_REF_Industry_Wording!$E$2:$E$70,MATCH($CE766,_REF_Industry_Wording!$A$2:$A$70,0)),""))</f>
        <v>Payment continuity weakness</v>
      </c>
      <c r="CG766" t="str">
        <f>IF($CE766="","",IFERROR(INDEX(_REF_Industry_Wording!$F$2:$F$70,MATCH($CE766,_REF_Industry_Wording!$A$2:$A$70,0)),""))</f>
        <v>Strengthen Payment continuity</v>
      </c>
      <c r="CH766" t="str">
        <f>IF($CE766="","",IFERROR(INDEX(_REF_Industry_Wording!$G$2:$G$70,MATCH($CE766,_REF_Industry_Wording!$A$2:$A$70,0)),""))</f>
        <v>Strengthen Payment continuity using the selected maturity treatment, crisis scenario and evidence requirements.</v>
      </c>
      <c r="CI766" t="str">
        <f>IF($CE766="","",IFERROR(INDEX(_REF_Industry_Wording!$H$2:$H$70,MATCH($CE766,_REF_Industry_Wording!$A$2:$A$70,0)),""))</f>
        <v>Payment continuity</v>
      </c>
      <c r="CJ766">
        <f>IF($CE766="","",IFERROR(INDEX(_REF_Industry_Wording!$I$2:$I$70,MATCH($CE766,_REF_Industry_Wording!$A$2:$A$70,0)),""))</f>
        <v>0</v>
      </c>
      <c r="CK766" t="str">
        <f>IF($CE766="","",IFERROR(INDEX(_REF_Industry_Wording!$J$2:$J$70,MATCH($CE766,_REF_Industry_Wording!$A$2:$A$70,0)),""))</f>
        <v>Payment continuity</v>
      </c>
      <c r="CL766" t="str">
        <f t="shared" si="179"/>
        <v>Wording by industry=0; capability=CAP_PAYMENT_CONTINUITY; risk label=Payment continuity weakness</v>
      </c>
      <c r="CM766" t="str">
        <f t="shared" si="180"/>
        <v>RISK-ONT-0267</v>
      </c>
      <c r="CN766" t="str">
        <f t="shared" si="181"/>
        <v>RISK-EVT-0267</v>
      </c>
      <c r="CO766" t="str">
        <f t="shared" si="182"/>
        <v>Sales CRM|Customer continuity|SALE-016|CAP_PAYMENT_CONTINUITY</v>
      </c>
      <c r="CP766" t="str">
        <f t="shared" si="183"/>
        <v>Active</v>
      </c>
      <c r="CQ766" t="str">
        <f t="shared" si="184"/>
        <v>OK: capability-driven</v>
      </c>
      <c r="CR766" t="str">
        <f t="shared" si="185"/>
        <v>Risk ontology uses capability=CAP_PAYMENT_CONTINUITY; bridge=BRG-078; treatment=TRT-PAYMENT_CONTINUITY-INITIAL; wording=IW-ALL-PAYMENT_CONTINUITY</v>
      </c>
      <c r="CS766" t="str">
        <f t="shared" si="186"/>
        <v>Yes</v>
      </c>
    </row>
    <row r="767" spans="1:97" ht="69.900000000000006" customHeight="1">
      <c r="A767">
        <f>IF(OR($B767&lt;&gt;"Yes",$BS767=""),"",SUMPRODUCT(($B$500:$B$923="Yes")*ISNUMBER($BS$500:$BS$923)*($BS$500:$BS$923&gt;$BS767))+COUNTIFS($B$500:$B767,"Yes",$BS$500:$BS767,$BS767))</f>
        <v>171</v>
      </c>
      <c r="B767" t="str">
        <f t="shared" si="155"/>
        <v>Yes</v>
      </c>
      <c r="C767" t="s">
        <v>2286</v>
      </c>
      <c r="D767" t="s">
        <v>2329</v>
      </c>
      <c r="E767" t="s">
        <v>2406</v>
      </c>
      <c r="F767" t="s">
        <v>3689</v>
      </c>
      <c r="G767" t="str">
        <f>IF($H767="","",IFERROR(INDEX(_ENGINE_Risk!$H$5:$M$499,MATCH($E767,_ENGINE_Risk!$A$5:$A$499,0),$H767+1),""))</f>
        <v>Severe risk: discount governance, pricing exceptions, payment terms and margin protection is not reliably controlled. During Demand shock; Revenue loss; Reputation crisis, the organization may face pipeline loss, poor customer retention, weak forecasting and inability to protect revenue channels with limited visibility or accountability.</v>
      </c>
      <c r="H767">
        <f>IFERROR(VALUE(INDEX(_DATA_Assessment_Model!$H$5:$H$884,MATCH($E767,_DATA_Assessment_Model!$A$5:$A$884,0))),"")</f>
        <v>0</v>
      </c>
      <c r="I767" t="str">
        <f>IF($H767="","",IFERROR(INDEX(_DATA_Assessment_Model!$L$5:$L$884,MATCH($E767,_DATA_Assessment_Model!$A$5:$A$884,0)),IF($H767&lt;=1,"Critical",IF($H767=2,"High",IF($H767=3,"Medium",IF($H767=4,"Low","Resilient"))))))</f>
        <v>Critical</v>
      </c>
      <c r="J767">
        <f t="shared" si="156"/>
        <v>3.7</v>
      </c>
      <c r="K767">
        <f t="shared" si="157"/>
        <v>4.1500000000000004</v>
      </c>
      <c r="L767">
        <f t="shared" si="158"/>
        <v>15.355000000000002</v>
      </c>
      <c r="M767">
        <f t="shared" si="159"/>
        <v>4</v>
      </c>
      <c r="N767">
        <f>IF($H767="","",IFERROR(INDEX(_ENGINE_Risk!$T$5:$Y$499,MATCH($E767,_ENGINE_Risk!$A$5:$A$499,0),$H767+1),""))</f>
        <v>3</v>
      </c>
      <c r="O767">
        <f t="shared" si="160"/>
        <v>4.333333333333333</v>
      </c>
      <c r="P767">
        <f t="shared" si="161"/>
        <v>5</v>
      </c>
      <c r="Q767">
        <f t="shared" si="162"/>
        <v>5</v>
      </c>
      <c r="R767">
        <f t="shared" si="163"/>
        <v>4.5</v>
      </c>
      <c r="S767">
        <f t="shared" si="164"/>
        <v>1.57</v>
      </c>
      <c r="T767" t="str">
        <f>IF($H767="","",IFERROR(INDEX(_ENGINE_Risk!$N$5:$S$499,MATCH($E767,_ENGINE_Risk!$A$5:$A$499,0),$H767+1),""))</f>
        <v>Create an immediate risk owner, minimum control baseline and fallback procedure for discount governance, pricing exceptions, payment terms and margin protection. Add it to the crisis risk register and collect first evidence.</v>
      </c>
      <c r="U767">
        <f>IFERROR(INDEX(_DATA_Assessment_Model!$G$5:$G$884,MATCH($E767,_DATA_Assessment_Model!$A$5:$A$884,0)),"")</f>
        <v>4</v>
      </c>
      <c r="V767">
        <f>IFERROR(INDEX(_DATA_Assessment_Model!$W$5:$W$884,MATCH($E767,_DATA_Assessment_Model!$A$5:$A$884,0)),"")</f>
        <v>4</v>
      </c>
      <c r="W767">
        <f>IFERROR(INDEX(_DATA_Assessment_Model!$X$5:$X$884,MATCH($E767,_DATA_Assessment_Model!$A$5:$A$884,0)),"")</f>
        <v>5</v>
      </c>
      <c r="X767">
        <f>IFERROR(INDEX(_DATA_Assessment_Model!$Y$5:$Y$884,MATCH($E767,_DATA_Assessment_Model!$A$5:$A$884,0)),"")</f>
        <v>5</v>
      </c>
      <c r="Y767" t="s">
        <v>2299</v>
      </c>
      <c r="Z767" t="s">
        <v>8173</v>
      </c>
      <c r="AA767" t="s">
        <v>2408</v>
      </c>
      <c r="AB767">
        <f>IFERROR(INDEX(_DATA_Assessment_Model!$U$5:$U$884,MATCH($E767,_DATA_Assessment_Model!$A$5:$A$884,0)),"")</f>
        <v>0</v>
      </c>
      <c r="AF767" t="s">
        <v>2407</v>
      </c>
      <c r="AO767">
        <f>IF($B767="Yes",IF(IFERROR(INDEX(_ENGINE_Crisis!$F$501:$F$517,MATCH($C767,_ENGINE_Crisis!$A$501:$A$517,0)),1)=0,1,IFERROR(INDEX(_ENGINE_Crisis!$F$501:$F$517,MATCH($C767,_ENGINE_Crisis!$A$501:$A$517,0)),1)),"")</f>
        <v>1</v>
      </c>
      <c r="AP767">
        <f t="shared" si="165"/>
        <v>15.4</v>
      </c>
      <c r="AQ767">
        <f t="shared" si="166"/>
        <v>1.57</v>
      </c>
      <c r="AR767" t="str">
        <f>IFERROR(INDEX(_ENGINE_Crisis!$E$41:$E$700,MATCH('Resilience &amp; Risk Scenario'!$B$6&amp;"|"&amp;$C767,_ENGINE_Crisis!$I$41:$I$700,0)),"")</f>
        <v/>
      </c>
      <c r="AS767" t="str">
        <f>IFERROR(INDEX(_ENGINE_Crisis!$G$41:$G$700,MATCH('Resilience &amp; Risk Scenario'!$B$6&amp;"|"&amp;$C767,_ENGINE_Crisis!$I$41:$I$700,0)),"")</f>
        <v/>
      </c>
      <c r="AT767" t="str">
        <f>IFERROR(INDEX(_ENGINE_Initiatives!$A$5:$A$532,MATCH(1,INDEX((_ENGINE_Initiatives!$B$5:$B$532=$C767)*(_ENGINE_Initiatives!$C$5:$C$532=$D767),0),0)),"")</f>
        <v>INI-044</v>
      </c>
      <c r="AU767" t="str">
        <f>IFERROR(INDEX(_ENGINE_Initiatives!$F$5:$F$532,MATCH(1,INDEX((_ENGINE_Initiatives!$B$5:$B$532=$C767)*(_ENGINE_Initiatives!$C$5:$C$532=$D767),0),0)),"")</f>
        <v>Strengthen pricing, discounting and revenue-control governance</v>
      </c>
      <c r="AV767">
        <f>IFERROR(INDEX(_ENGINE_Initiatives!$AC$5:$AC$532,MATCH(1,INDEX((_ENGINE_Initiatives!$B$5:$B$532=$C767)*(_ENGINE_Initiatives!$C$5:$C$532=$D767),0),0)),"")</f>
        <v>1.74</v>
      </c>
      <c r="AW767" t="str">
        <f>IFERROR(INDEX(_ENGINE_Initiatives!$AE$5:$AE$532,MATCH(1,INDEX((_ENGINE_Initiatives!$B$5:$B$532=$C767)*(_ENGINE_Initiatives!$C$5:$C$532=$D767),0),0)),"")</f>
        <v>6-12 months</v>
      </c>
      <c r="AX767">
        <f>IF($B767="Yes",IFERROR((IF(SUMIFS(_REF_Model_Content!$E$1:$E$613,_REF_Model_Content!$A$1:$A$613,PV_Canonical_Industry,_REF_Model_Content!$B$1:$B$613,$C767)=0,1,SUMIFS(_REF_Model_Content!$E$1:$E$613,_REF_Model_Content!$A$1:$A$613,PV_Canonical_Industry,_REF_Model_Content!$B$1:$B$613,$C767))*IFERROR($BU767,1)),1),"")</f>
        <v>1</v>
      </c>
      <c r="AY767">
        <f t="shared" si="167"/>
        <v>15.4</v>
      </c>
      <c r="AZ767">
        <f t="shared" si="168"/>
        <v>1.57</v>
      </c>
      <c r="BB767" t="str">
        <f>IF($H767="","",IFERROR(INDEX(_ENGINE_Risk!$AE$5:$AE$499,MATCH($E767,_ENGINE_Risk!$A$5:$A$499,0)),"Medium"))</f>
        <v>Fast</v>
      </c>
      <c r="BC767">
        <f t="shared" si="169"/>
        <v>1.25</v>
      </c>
      <c r="BD767">
        <f t="shared" si="170"/>
        <v>1.57</v>
      </c>
      <c r="BF767">
        <f>IF(OR($H767="",$J767=""),"",IFERROR(VLOOKUP(ROUND($J767,0),_CONFIG_Model_Settings!$D$154:$E$158,2,0),""))</f>
        <v>0.5</v>
      </c>
      <c r="BG767">
        <f>IFERROR(IF(OR($H767="",$K767=""),"",ROUND('Company Profile'!$B$113*INDEX(_CONFIG_Model_Settings!$H$154:$H$158,MATCH(ROUND($K767,0),_CONFIG_Model_Settings!$G$154:$G$158,0)),0)),0)</f>
        <v>875</v>
      </c>
      <c r="BH767">
        <f t="shared" si="171"/>
        <v>437.5</v>
      </c>
      <c r="BI767">
        <f t="shared" si="172"/>
        <v>437.5</v>
      </c>
      <c r="BJ767">
        <f>IF($E767="","",IFERROR(VLOOKUP($C767,_CONFIG_Risk_Calibration!$A$5:$H$21,2,FALSE),3))</f>
        <v>3</v>
      </c>
      <c r="BK767">
        <f>IF($E767="","",IFERROR(VLOOKUP($C767,_CONFIG_Risk_Calibration!$A$5:$H$21,3,FALSE),0))</f>
        <v>0</v>
      </c>
      <c r="BL767">
        <f>IF($E767="","",IFERROR(VLOOKUP($C767,_CONFIG_Risk_Calibration!$A$5:$H$21,4,FALSE),3))</f>
        <v>3</v>
      </c>
      <c r="BM767">
        <f>IF($E767="","",IFERROR(VLOOKUP($C767,_CONFIG_Risk_Calibration!$A$5:$H$21,5,FALSE),3))</f>
        <v>3</v>
      </c>
      <c r="BN767" t="str">
        <f>IF($E767="","",IFERROR(VLOOKUP($C767,_CONFIG_Risk_Calibration!$A$5:$H$21,6,FALSE),"No"))</f>
        <v>No</v>
      </c>
      <c r="BO767">
        <f>IF($E767="","",IFERROR(VLOOKUP($C767,_CONFIG_Risk_Calibration!$A$5:$H$21,7,FALSE),1))</f>
        <v>1</v>
      </c>
      <c r="BP767">
        <f>IF($H767="","",MAX(1,MIN(5,((6-$H767)*0.45)+($BJ767*0.2)+('Resilience &amp; Risk Scenario'!$B$7*0.15)+($BK767*0.1)+($BL767*0.05)+(IF($BB767="Fast",5,IF($BB767="Slow",1,3))*0.05))))</f>
        <v>3.7</v>
      </c>
      <c r="BQ767">
        <f t="shared" si="173"/>
        <v>4.1500000000000004</v>
      </c>
      <c r="BR767">
        <f t="shared" si="174"/>
        <v>15.36</v>
      </c>
      <c r="BS767">
        <f t="shared" si="175"/>
        <v>19.2</v>
      </c>
      <c r="BT767" t="str">
        <f>IFERROR(INDEX(_REF_Capability_Bridge!$D:$D,MATCH($C767&amp;"|"&amp;$D767,_REF_Capability_Bridge!$J:$J,0)),IFERROR(INDEX(_REF_Capability_Bridge!$D:$D,MATCH($C767&amp;"|",_REF_Capability_Bridge!$J:$J,0)),"CAP_GENERIC"))</f>
        <v>CAP_PAYMENT_CONTINUITY</v>
      </c>
      <c r="BU767">
        <f>IFERROR(IFERROR(INDEX(_ENGINE_Relevance!$L:$L,MATCH($BT767,_ENGINE_Relevance!$B:$B,0)),1),1)</f>
        <v>1</v>
      </c>
      <c r="BV767" t="str">
        <f>IFERROR(INDEX(_REF_Capability_Bridge!$A:$A,MATCH($C767&amp;"|"&amp;$D767,_REF_Capability_Bridge!$J:$J,0)),IFERROR(INDEX(_REF_Capability_Bridge!$A:$A,MATCH($C767&amp;"|",_REF_Capability_Bridge!$J:$J,0)),"No bridge"))</f>
        <v>BRG-081</v>
      </c>
      <c r="BW767" t="str">
        <f t="shared" si="176"/>
        <v>Capability relevance neutral</v>
      </c>
      <c r="BX767" t="str">
        <f t="shared" si="177"/>
        <v>Initial / absent</v>
      </c>
      <c r="BY767" t="str">
        <f>IF($E767="","",IFERROR(INDEX(_REF_Treatment_Library!$A$2:$A$296,MATCH(1,INDEX((_REF_Treatment_Library!$B$2:$B$296=$BT767)*(_REF_Treatment_Library!$C$2:$C$296=PV_Canonical_Industry)*(_REF_Treatment_Library!$E$2:$E$296&lt;=N($H767))*(_REF_Treatment_Library!$F$2:$F$296&gt;=N($H767))*(_REF_Treatment_Library!$O$2:$O$296="Yes"),0),0)),IFERROR(INDEX(_REF_Treatment_Library!$A$2:$A$296,MATCH(1,INDEX((_REF_Treatment_Library!$B$2:$B$296=$BT767)*(_REF_Treatment_Library!$C$2:$C$296="All")*(_REF_Treatment_Library!$E$2:$E$296&lt;=N($H767))*(_REF_Treatment_Library!$F$2:$F$296&gt;=N($H767))*(_REF_Treatment_Library!$O$2:$O$296="Yes"),0),0)),"")))</f>
        <v>TRT-PAYMENT_CONTINUITY-INITIAL</v>
      </c>
      <c r="BZ767" t="str">
        <f>IF($BY767="","",IFERROR(INDEX(_REF_Treatment_Library!$H$2:$H$296,MATCH($BY767,_REF_Treatment_Library!$A$2:$A$296,0)),""))</f>
        <v>Establish</v>
      </c>
      <c r="CA767" t="str">
        <f>IF($BY767="","",IFERROR(INDEX(_REF_Treatment_Library!$I$2:$I$296,MATCH($BY767,_REF_Treatment_Library!$A$2:$A$296,0)),""))</f>
        <v>Establish baseline controls for Payment continuity</v>
      </c>
      <c r="CB767" t="str">
        <f>IF($BY767="","",IFERROR(INDEX(_REF_Treatment_Library!$K$2:$K$296,MATCH($BY767,_REF_Treatment_Library!$A$2:$A$296,0)),""))</f>
        <v>Named owner, baseline process, minimum control checklist, first evidence package</v>
      </c>
      <c r="CC767" t="str">
        <f>IF($BY767="","",IFERROR(INDEX(_REF_Treatment_Library!$L$2:$L$296,MATCH($BY767,_REF_Treatment_Library!$A$2:$A$296,0)),""))</f>
        <v>Owner assigned; baseline evidence coverage; open critical gaps</v>
      </c>
      <c r="CD767" t="str">
        <f t="shared" si="178"/>
        <v>Treatment by capability=CAP_PAYMENT_CONTINUITY; band=Initial / absent; score=0.0; treatment=Establish</v>
      </c>
      <c r="CE767" t="str">
        <f>IF($E767="","",IFERROR(INDEX(_REF_Industry_Wording!$A$2:$A$70,MATCH(1,INDEX((_REF_Industry_Wording!$B$2:$B$70=$BT767)*(_REF_Industry_Wording!$C$2:$C$70=PV_Canonical_Industry)*(_REF_Industry_Wording!$K$2:$K$70="Yes"),0),0)),IFERROR(INDEX(_REF_Industry_Wording!$A$2:$A$70,MATCH(1,INDEX((_REF_Industry_Wording!$B$2:$B$70=$BT767)*(_REF_Industry_Wording!$C$2:$C$70="All")*(_REF_Industry_Wording!$K$2:$K$70="Yes"),0),0)),"")))</f>
        <v>IW-ALL-PAYMENT_CONTINUITY</v>
      </c>
      <c r="CF767" t="str">
        <f>IF($CE767="","",IFERROR(INDEX(_REF_Industry_Wording!$E$2:$E$70,MATCH($CE767,_REF_Industry_Wording!$A$2:$A$70,0)),""))</f>
        <v>Payment continuity weakness</v>
      </c>
      <c r="CG767" t="str">
        <f>IF($CE767="","",IFERROR(INDEX(_REF_Industry_Wording!$F$2:$F$70,MATCH($CE767,_REF_Industry_Wording!$A$2:$A$70,0)),""))</f>
        <v>Strengthen Payment continuity</v>
      </c>
      <c r="CH767" t="str">
        <f>IF($CE767="","",IFERROR(INDEX(_REF_Industry_Wording!$G$2:$G$70,MATCH($CE767,_REF_Industry_Wording!$A$2:$A$70,0)),""))</f>
        <v>Strengthen Payment continuity using the selected maturity treatment, crisis scenario and evidence requirements.</v>
      </c>
      <c r="CI767" t="str">
        <f>IF($CE767="","",IFERROR(INDEX(_REF_Industry_Wording!$H$2:$H$70,MATCH($CE767,_REF_Industry_Wording!$A$2:$A$70,0)),""))</f>
        <v>Payment continuity</v>
      </c>
      <c r="CJ767">
        <f>IF($CE767="","",IFERROR(INDEX(_REF_Industry_Wording!$I$2:$I$70,MATCH($CE767,_REF_Industry_Wording!$A$2:$A$70,0)),""))</f>
        <v>0</v>
      </c>
      <c r="CK767" t="str">
        <f>IF($CE767="","",IFERROR(INDEX(_REF_Industry_Wording!$J$2:$J$70,MATCH($CE767,_REF_Industry_Wording!$A$2:$A$70,0)),""))</f>
        <v>Payment continuity</v>
      </c>
      <c r="CL767" t="str">
        <f t="shared" si="179"/>
        <v>Wording by industry=0; capability=CAP_PAYMENT_CONTINUITY; risk label=Payment continuity weakness</v>
      </c>
      <c r="CM767" t="str">
        <f t="shared" si="180"/>
        <v>RISK-ONT-0268</v>
      </c>
      <c r="CN767" t="str">
        <f t="shared" si="181"/>
        <v>RISK-EVT-0268</v>
      </c>
      <c r="CO767" t="str">
        <f t="shared" si="182"/>
        <v>Sales CRM|Revenue controls|SALE-017|CAP_PAYMENT_CONTINUITY</v>
      </c>
      <c r="CP767" t="str">
        <f t="shared" si="183"/>
        <v>Active</v>
      </c>
      <c r="CQ767" t="str">
        <f t="shared" si="184"/>
        <v>OK: capability-driven</v>
      </c>
      <c r="CR767" t="str">
        <f t="shared" si="185"/>
        <v>Risk ontology uses capability=CAP_PAYMENT_CONTINUITY; bridge=BRG-081; treatment=TRT-PAYMENT_CONTINUITY-INITIAL; wording=IW-ALL-PAYMENT_CONTINUITY</v>
      </c>
      <c r="CS767" t="str">
        <f t="shared" si="186"/>
        <v>Yes</v>
      </c>
    </row>
    <row r="768" spans="1:97" ht="69.900000000000006" customHeight="1">
      <c r="A768">
        <f>IF(OR($B768&lt;&gt;"Yes",$BS768=""),"",SUMPRODUCT(($B$500:$B$923="Yes")*ISNUMBER($BS$500:$BS$923)*($BS$500:$BS$923&gt;$BS768))+COUNTIFS($B$500:$B768,"Yes",$BS$500:$BS768,$BS768))</f>
        <v>143</v>
      </c>
      <c r="B768" t="str">
        <f t="shared" si="155"/>
        <v>Yes</v>
      </c>
      <c r="C768" t="s">
        <v>2286</v>
      </c>
      <c r="D768" t="s">
        <v>2329</v>
      </c>
      <c r="E768" t="s">
        <v>2415</v>
      </c>
      <c r="F768" t="s">
        <v>3689</v>
      </c>
      <c r="G768" t="str">
        <f>IF($H768="","",IFERROR(INDEX(_ENGINE_Risk!$H$5:$M$499,MATCH($E768,_ENGINE_Risk!$A$5:$A$499,0),$H768+1),""))</f>
        <v>Severe risk: deal review for margin, delivery feasibility, legal obligations, security and crisis risk is not reliably controlled. During Demand shock; Revenue loss; Reputation crisis, the organization may face pipeline loss, poor customer retention, weak forecasting and inability to protect revenue channels with limited visibility or accountability.</v>
      </c>
      <c r="H768">
        <f>IFERROR(VALUE(INDEX(_DATA_Assessment_Model!$H$5:$H$884,MATCH($E768,_DATA_Assessment_Model!$A$5:$A$884,0))),"")</f>
        <v>0</v>
      </c>
      <c r="I768" t="str">
        <f>IF($H768="","",IFERROR(INDEX(_DATA_Assessment_Model!$L$5:$L$884,MATCH($E768,_DATA_Assessment_Model!$A$5:$A$884,0)),IF($H768&lt;=1,"Critical",IF($H768=2,"High",IF($H768=3,"Medium",IF($H768=4,"Low","Resilient"))))))</f>
        <v>Critical</v>
      </c>
      <c r="J768">
        <f t="shared" si="156"/>
        <v>3.7</v>
      </c>
      <c r="K768">
        <f t="shared" si="157"/>
        <v>4.3500000000000005</v>
      </c>
      <c r="L768">
        <f t="shared" si="158"/>
        <v>16.095000000000002</v>
      </c>
      <c r="M768">
        <f t="shared" si="159"/>
        <v>4</v>
      </c>
      <c r="N768">
        <f>IF($H768="","",IFERROR(INDEX(_ENGINE_Risk!$T$5:$Y$499,MATCH($E768,_ENGINE_Risk!$A$5:$A$499,0),$H768+1),""))</f>
        <v>3</v>
      </c>
      <c r="O768">
        <f t="shared" si="160"/>
        <v>4.666666666666667</v>
      </c>
      <c r="P768">
        <f t="shared" si="161"/>
        <v>5</v>
      </c>
      <c r="Q768">
        <f t="shared" si="162"/>
        <v>5</v>
      </c>
      <c r="R768">
        <f t="shared" si="163"/>
        <v>4.5</v>
      </c>
      <c r="S768">
        <f t="shared" si="164"/>
        <v>1.6</v>
      </c>
      <c r="T768" t="str">
        <f>IF($H768="","",IFERROR(INDEX(_ENGINE_Risk!$N$5:$S$499,MATCH($E768,_ENGINE_Risk!$A$5:$A$499,0),$H768+1),""))</f>
        <v>Create an immediate risk owner, minimum control baseline and fallback procedure for deal review for margin, delivery feasibility, legal obligations, security and crisis risk. Add it to the crisis risk register and collect first evidence.</v>
      </c>
      <c r="U768">
        <f>IFERROR(INDEX(_DATA_Assessment_Model!$G$5:$G$884,MATCH($E768,_DATA_Assessment_Model!$A$5:$A$884,0)),"")</f>
        <v>5</v>
      </c>
      <c r="V768">
        <f>IFERROR(INDEX(_DATA_Assessment_Model!$W$5:$W$884,MATCH($E768,_DATA_Assessment_Model!$A$5:$A$884,0)),"")</f>
        <v>4</v>
      </c>
      <c r="W768">
        <f>IFERROR(INDEX(_DATA_Assessment_Model!$X$5:$X$884,MATCH($E768,_DATA_Assessment_Model!$A$5:$A$884,0)),"")</f>
        <v>5</v>
      </c>
      <c r="X768">
        <f>IFERROR(INDEX(_DATA_Assessment_Model!$Y$5:$Y$884,MATCH($E768,_DATA_Assessment_Model!$A$5:$A$884,0)),"")</f>
        <v>5</v>
      </c>
      <c r="Y768" t="s">
        <v>2299</v>
      </c>
      <c r="Z768" t="s">
        <v>8173</v>
      </c>
      <c r="AA768" t="s">
        <v>2417</v>
      </c>
      <c r="AB768">
        <f>IFERROR(INDEX(_DATA_Assessment_Model!$U$5:$U$884,MATCH($E768,_DATA_Assessment_Model!$A$5:$A$884,0)),"")</f>
        <v>0</v>
      </c>
      <c r="AF768" t="s">
        <v>2416</v>
      </c>
      <c r="AO768">
        <f>IF($B768="Yes",IF(IFERROR(INDEX(_ENGINE_Crisis!$F$501:$F$517,MATCH($C768,_ENGINE_Crisis!$A$501:$A$517,0)),1)=0,1,IFERROR(INDEX(_ENGINE_Crisis!$F$501:$F$517,MATCH($C768,_ENGINE_Crisis!$A$501:$A$517,0)),1)),"")</f>
        <v>1</v>
      </c>
      <c r="AP768">
        <f t="shared" si="165"/>
        <v>16.100000000000001</v>
      </c>
      <c r="AQ768">
        <f t="shared" si="166"/>
        <v>1.6</v>
      </c>
      <c r="AR768" t="str">
        <f>IFERROR(INDEX(_ENGINE_Crisis!$E$41:$E$700,MATCH('Resilience &amp; Risk Scenario'!$B$6&amp;"|"&amp;$C768,_ENGINE_Crisis!$I$41:$I$700,0)),"")</f>
        <v/>
      </c>
      <c r="AS768" t="str">
        <f>IFERROR(INDEX(_ENGINE_Crisis!$G$41:$G$700,MATCH('Resilience &amp; Risk Scenario'!$B$6&amp;"|"&amp;$C768,_ENGINE_Crisis!$I$41:$I$700,0)),"")</f>
        <v/>
      </c>
      <c r="AT768" t="str">
        <f>IFERROR(INDEX(_ENGINE_Initiatives!$A$5:$A$532,MATCH(1,INDEX((_ENGINE_Initiatives!$B$5:$B$532=$C768)*(_ENGINE_Initiatives!$C$5:$C$532=$D768),0),0)),"")</f>
        <v>INI-044</v>
      </c>
      <c r="AU768" t="str">
        <f>IFERROR(INDEX(_ENGINE_Initiatives!$F$5:$F$532,MATCH(1,INDEX((_ENGINE_Initiatives!$B$5:$B$532=$C768)*(_ENGINE_Initiatives!$C$5:$C$532=$D768),0),0)),"")</f>
        <v>Strengthen pricing, discounting and revenue-control governance</v>
      </c>
      <c r="AV768">
        <f>IFERROR(INDEX(_ENGINE_Initiatives!$AC$5:$AC$532,MATCH(1,INDEX((_ENGINE_Initiatives!$B$5:$B$532=$C768)*(_ENGINE_Initiatives!$C$5:$C$532=$D768),0),0)),"")</f>
        <v>1.74</v>
      </c>
      <c r="AW768" t="str">
        <f>IFERROR(INDEX(_ENGINE_Initiatives!$AE$5:$AE$532,MATCH(1,INDEX((_ENGINE_Initiatives!$B$5:$B$532=$C768)*(_ENGINE_Initiatives!$C$5:$C$532=$D768),0),0)),"")</f>
        <v>6-12 months</v>
      </c>
      <c r="AX768">
        <f>IF($B768="Yes",IFERROR((IF(SUMIFS(_REF_Model_Content!$E$1:$E$613,_REF_Model_Content!$A$1:$A$613,PV_Canonical_Industry,_REF_Model_Content!$B$1:$B$613,$C768)=0,1,SUMIFS(_REF_Model_Content!$E$1:$E$613,_REF_Model_Content!$A$1:$A$613,PV_Canonical_Industry,_REF_Model_Content!$B$1:$B$613,$C768))*IFERROR($BU768,1)),1),"")</f>
        <v>1</v>
      </c>
      <c r="AY768">
        <f t="shared" si="167"/>
        <v>16.100000000000001</v>
      </c>
      <c r="AZ768">
        <f t="shared" si="168"/>
        <v>1.6</v>
      </c>
      <c r="BB768" t="str">
        <f>IF($H768="","",IFERROR(INDEX(_ENGINE_Risk!$AE$5:$AE$499,MATCH($E768,_ENGINE_Risk!$A$5:$A$499,0)),"Medium"))</f>
        <v>Fast</v>
      </c>
      <c r="BC768">
        <f t="shared" si="169"/>
        <v>1.25</v>
      </c>
      <c r="BD768">
        <f t="shared" si="170"/>
        <v>1.6</v>
      </c>
      <c r="BF768">
        <f>IF(OR($H768="",$J768=""),"",IFERROR(VLOOKUP(ROUND($J768,0),_CONFIG_Model_Settings!$D$154:$E$158,2,0),""))</f>
        <v>0.5</v>
      </c>
      <c r="BG768">
        <f>IFERROR(IF(OR($H768="",$K768=""),"",ROUND('Company Profile'!$B$113*INDEX(_CONFIG_Model_Settings!$H$154:$H$158,MATCH(ROUND($K768,0),_CONFIG_Model_Settings!$G$154:$G$158,0)),0)),0)</f>
        <v>875</v>
      </c>
      <c r="BH768">
        <f t="shared" si="171"/>
        <v>437.5</v>
      </c>
      <c r="BI768">
        <f t="shared" si="172"/>
        <v>437.5</v>
      </c>
      <c r="BJ768">
        <f>IF($E768="","",IFERROR(VLOOKUP($C768,_CONFIG_Risk_Calibration!$A$5:$H$21,2,FALSE),3))</f>
        <v>3</v>
      </c>
      <c r="BK768">
        <f>IF($E768="","",IFERROR(VLOOKUP($C768,_CONFIG_Risk_Calibration!$A$5:$H$21,3,FALSE),0))</f>
        <v>0</v>
      </c>
      <c r="BL768">
        <f>IF($E768="","",IFERROR(VLOOKUP($C768,_CONFIG_Risk_Calibration!$A$5:$H$21,4,FALSE),3))</f>
        <v>3</v>
      </c>
      <c r="BM768">
        <f>IF($E768="","",IFERROR(VLOOKUP($C768,_CONFIG_Risk_Calibration!$A$5:$H$21,5,FALSE),3))</f>
        <v>3</v>
      </c>
      <c r="BN768" t="str">
        <f>IF($E768="","",IFERROR(VLOOKUP($C768,_CONFIG_Risk_Calibration!$A$5:$H$21,6,FALSE),"No"))</f>
        <v>No</v>
      </c>
      <c r="BO768">
        <f>IF($E768="","",IFERROR(VLOOKUP($C768,_CONFIG_Risk_Calibration!$A$5:$H$21,7,FALSE),1))</f>
        <v>1</v>
      </c>
      <c r="BP768">
        <f>IF($H768="","",MAX(1,MIN(5,((6-$H768)*0.45)+($BJ768*0.2)+('Resilience &amp; Risk Scenario'!$B$7*0.15)+($BK768*0.1)+($BL768*0.05)+(IF($BB768="Fast",5,IF($BB768="Slow",1,3))*0.05))))</f>
        <v>3.7</v>
      </c>
      <c r="BQ768">
        <f t="shared" si="173"/>
        <v>4.3500000000000005</v>
      </c>
      <c r="BR768">
        <f t="shared" si="174"/>
        <v>16.100000000000001</v>
      </c>
      <c r="BS768">
        <f t="shared" si="175"/>
        <v>20.13</v>
      </c>
      <c r="BT768" t="str">
        <f>IFERROR(INDEX(_REF_Capability_Bridge!$D:$D,MATCH($C768&amp;"|"&amp;$D768,_REF_Capability_Bridge!$J:$J,0)),IFERROR(INDEX(_REF_Capability_Bridge!$D:$D,MATCH($C768&amp;"|",_REF_Capability_Bridge!$J:$J,0)),"CAP_GENERIC"))</f>
        <v>CAP_PAYMENT_CONTINUITY</v>
      </c>
      <c r="BU768">
        <f>IFERROR(IFERROR(INDEX(_ENGINE_Relevance!$L:$L,MATCH($BT768,_ENGINE_Relevance!$B:$B,0)),1),1)</f>
        <v>1</v>
      </c>
      <c r="BV768" t="str">
        <f>IFERROR(INDEX(_REF_Capability_Bridge!$A:$A,MATCH($C768&amp;"|"&amp;$D768,_REF_Capability_Bridge!$J:$J,0)),IFERROR(INDEX(_REF_Capability_Bridge!$A:$A,MATCH($C768&amp;"|",_REF_Capability_Bridge!$J:$J,0)),"No bridge"))</f>
        <v>BRG-081</v>
      </c>
      <c r="BW768" t="str">
        <f t="shared" si="176"/>
        <v>Capability relevance neutral</v>
      </c>
      <c r="BX768" t="str">
        <f t="shared" si="177"/>
        <v>Initial / absent</v>
      </c>
      <c r="BY768" t="str">
        <f>IF($E768="","",IFERROR(INDEX(_REF_Treatment_Library!$A$2:$A$296,MATCH(1,INDEX((_REF_Treatment_Library!$B$2:$B$296=$BT768)*(_REF_Treatment_Library!$C$2:$C$296=PV_Canonical_Industry)*(_REF_Treatment_Library!$E$2:$E$296&lt;=N($H768))*(_REF_Treatment_Library!$F$2:$F$296&gt;=N($H768))*(_REF_Treatment_Library!$O$2:$O$296="Yes"),0),0)),IFERROR(INDEX(_REF_Treatment_Library!$A$2:$A$296,MATCH(1,INDEX((_REF_Treatment_Library!$B$2:$B$296=$BT768)*(_REF_Treatment_Library!$C$2:$C$296="All")*(_REF_Treatment_Library!$E$2:$E$296&lt;=N($H768))*(_REF_Treatment_Library!$F$2:$F$296&gt;=N($H768))*(_REF_Treatment_Library!$O$2:$O$296="Yes"),0),0)),"")))</f>
        <v>TRT-PAYMENT_CONTINUITY-INITIAL</v>
      </c>
      <c r="BZ768" t="str">
        <f>IF($BY768="","",IFERROR(INDEX(_REF_Treatment_Library!$H$2:$H$296,MATCH($BY768,_REF_Treatment_Library!$A$2:$A$296,0)),""))</f>
        <v>Establish</v>
      </c>
      <c r="CA768" t="str">
        <f>IF($BY768="","",IFERROR(INDEX(_REF_Treatment_Library!$I$2:$I$296,MATCH($BY768,_REF_Treatment_Library!$A$2:$A$296,0)),""))</f>
        <v>Establish baseline controls for Payment continuity</v>
      </c>
      <c r="CB768" t="str">
        <f>IF($BY768="","",IFERROR(INDEX(_REF_Treatment_Library!$K$2:$K$296,MATCH($BY768,_REF_Treatment_Library!$A$2:$A$296,0)),""))</f>
        <v>Named owner, baseline process, minimum control checklist, first evidence package</v>
      </c>
      <c r="CC768" t="str">
        <f>IF($BY768="","",IFERROR(INDEX(_REF_Treatment_Library!$L$2:$L$296,MATCH($BY768,_REF_Treatment_Library!$A$2:$A$296,0)),""))</f>
        <v>Owner assigned; baseline evidence coverage; open critical gaps</v>
      </c>
      <c r="CD768" t="str">
        <f t="shared" si="178"/>
        <v>Treatment by capability=CAP_PAYMENT_CONTINUITY; band=Initial / absent; score=0.0; treatment=Establish</v>
      </c>
      <c r="CE768" t="str">
        <f>IF($E768="","",IFERROR(INDEX(_REF_Industry_Wording!$A$2:$A$70,MATCH(1,INDEX((_REF_Industry_Wording!$B$2:$B$70=$BT768)*(_REF_Industry_Wording!$C$2:$C$70=PV_Canonical_Industry)*(_REF_Industry_Wording!$K$2:$K$70="Yes"),0),0)),IFERROR(INDEX(_REF_Industry_Wording!$A$2:$A$70,MATCH(1,INDEX((_REF_Industry_Wording!$B$2:$B$70=$BT768)*(_REF_Industry_Wording!$C$2:$C$70="All")*(_REF_Industry_Wording!$K$2:$K$70="Yes"),0),0)),"")))</f>
        <v>IW-ALL-PAYMENT_CONTINUITY</v>
      </c>
      <c r="CF768" t="str">
        <f>IF($CE768="","",IFERROR(INDEX(_REF_Industry_Wording!$E$2:$E$70,MATCH($CE768,_REF_Industry_Wording!$A$2:$A$70,0)),""))</f>
        <v>Payment continuity weakness</v>
      </c>
      <c r="CG768" t="str">
        <f>IF($CE768="","",IFERROR(INDEX(_REF_Industry_Wording!$F$2:$F$70,MATCH($CE768,_REF_Industry_Wording!$A$2:$A$70,0)),""))</f>
        <v>Strengthen Payment continuity</v>
      </c>
      <c r="CH768" t="str">
        <f>IF($CE768="","",IFERROR(INDEX(_REF_Industry_Wording!$G$2:$G$70,MATCH($CE768,_REF_Industry_Wording!$A$2:$A$70,0)),""))</f>
        <v>Strengthen Payment continuity using the selected maturity treatment, crisis scenario and evidence requirements.</v>
      </c>
      <c r="CI768" t="str">
        <f>IF($CE768="","",IFERROR(INDEX(_REF_Industry_Wording!$H$2:$H$70,MATCH($CE768,_REF_Industry_Wording!$A$2:$A$70,0)),""))</f>
        <v>Payment continuity</v>
      </c>
      <c r="CJ768">
        <f>IF($CE768="","",IFERROR(INDEX(_REF_Industry_Wording!$I$2:$I$70,MATCH($CE768,_REF_Industry_Wording!$A$2:$A$70,0)),""))</f>
        <v>0</v>
      </c>
      <c r="CK768" t="str">
        <f>IF($CE768="","",IFERROR(INDEX(_REF_Industry_Wording!$J$2:$J$70,MATCH($CE768,_REF_Industry_Wording!$A$2:$A$70,0)),""))</f>
        <v>Payment continuity</v>
      </c>
      <c r="CL768" t="str">
        <f t="shared" si="179"/>
        <v>Wording by industry=0; capability=CAP_PAYMENT_CONTINUITY; risk label=Payment continuity weakness</v>
      </c>
      <c r="CM768" t="str">
        <f t="shared" si="180"/>
        <v>RISK-ONT-0269</v>
      </c>
      <c r="CN768" t="str">
        <f t="shared" si="181"/>
        <v>RISK-EVT-0269</v>
      </c>
      <c r="CO768" t="str">
        <f t="shared" si="182"/>
        <v>Sales CRM|Revenue controls|SALE-018|CAP_PAYMENT_CONTINUITY</v>
      </c>
      <c r="CP768" t="str">
        <f t="shared" si="183"/>
        <v>Active</v>
      </c>
      <c r="CQ768" t="str">
        <f t="shared" si="184"/>
        <v>OK: capability-driven</v>
      </c>
      <c r="CR768" t="str">
        <f t="shared" si="185"/>
        <v>Risk ontology uses capability=CAP_PAYMENT_CONTINUITY; bridge=BRG-081; treatment=TRT-PAYMENT_CONTINUITY-INITIAL; wording=IW-ALL-PAYMENT_CONTINUITY</v>
      </c>
      <c r="CS768" t="str">
        <f t="shared" si="186"/>
        <v>Yes</v>
      </c>
    </row>
    <row r="769" spans="1:97" ht="69.900000000000006" customHeight="1">
      <c r="A769">
        <f>IF(OR($B769&lt;&gt;"Yes",$BS769=""),"",SUMPRODUCT(($B$500:$B$923="Yes")*ISNUMBER($BS$500:$BS$923)*($BS$500:$BS$923&gt;$BS769))+COUNTIFS($B$500:$B769,"Yes",$BS$500:$BS769,$BS769))</f>
        <v>144</v>
      </c>
      <c r="B769" t="str">
        <f t="shared" si="155"/>
        <v>Yes</v>
      </c>
      <c r="C769" t="s">
        <v>2286</v>
      </c>
      <c r="D769" t="s">
        <v>2329</v>
      </c>
      <c r="E769" t="s">
        <v>2418</v>
      </c>
      <c r="F769" t="s">
        <v>3689</v>
      </c>
      <c r="G769" t="str">
        <f>IF($H769="","",IFERROR(INDEX(_ENGINE_Risk!$H$5:$M$499,MATCH($E769,_ENGINE_Risk!$A$5:$A$499,0),$H769+1),""))</f>
        <v>Severe risk: sales channel continuity if offices close, travel stops, events cancel or one channel fails is not reliably controlled. During Demand shock; Revenue loss; Reputation crisis, the organization may face pipeline loss, poor customer retention, weak forecasting and inability to protect revenue channels with limited visibility or accountability.</v>
      </c>
      <c r="H769">
        <f>IFERROR(VALUE(INDEX(_DATA_Assessment_Model!$H$5:$H$884,MATCH($E769,_DATA_Assessment_Model!$A$5:$A$884,0))),"")</f>
        <v>0</v>
      </c>
      <c r="I769" t="str">
        <f>IF($H769="","",IFERROR(INDEX(_DATA_Assessment_Model!$L$5:$L$884,MATCH($E769,_DATA_Assessment_Model!$A$5:$A$884,0)),IF($H769&lt;=1,"Critical",IF($H769=2,"High",IF($H769=3,"Medium",IF($H769=4,"Low","Resilient"))))))</f>
        <v>Critical</v>
      </c>
      <c r="J769">
        <f t="shared" si="156"/>
        <v>3.7</v>
      </c>
      <c r="K769">
        <f t="shared" si="157"/>
        <v>4.3500000000000005</v>
      </c>
      <c r="L769">
        <f t="shared" si="158"/>
        <v>16.095000000000002</v>
      </c>
      <c r="M769">
        <f t="shared" si="159"/>
        <v>4</v>
      </c>
      <c r="N769">
        <f>IF($H769="","",IFERROR(INDEX(_ENGINE_Risk!$T$5:$Y$499,MATCH($E769,_ENGINE_Risk!$A$5:$A$499,0),$H769+1),""))</f>
        <v>3</v>
      </c>
      <c r="O769">
        <f t="shared" si="160"/>
        <v>4.666666666666667</v>
      </c>
      <c r="P769">
        <f t="shared" si="161"/>
        <v>5</v>
      </c>
      <c r="Q769">
        <f t="shared" si="162"/>
        <v>5</v>
      </c>
      <c r="R769">
        <f t="shared" si="163"/>
        <v>4.5</v>
      </c>
      <c r="S769">
        <f t="shared" si="164"/>
        <v>1.6</v>
      </c>
      <c r="T769" t="str">
        <f>IF($H769="","",IFERROR(INDEX(_ENGINE_Risk!$N$5:$S$499,MATCH($E769,_ENGINE_Risk!$A$5:$A$499,0),$H769+1),""))</f>
        <v>Create an immediate risk owner, minimum control baseline and fallback procedure for sales channel continuity if offices close, travel stops, events cancel or one channel fails. Add it to the crisis risk register and collect first evidence.</v>
      </c>
      <c r="U769">
        <f>IFERROR(INDEX(_DATA_Assessment_Model!$G$5:$G$884,MATCH($E769,_DATA_Assessment_Model!$A$5:$A$884,0)),"")</f>
        <v>5</v>
      </c>
      <c r="V769">
        <f>IFERROR(INDEX(_DATA_Assessment_Model!$W$5:$W$884,MATCH($E769,_DATA_Assessment_Model!$A$5:$A$884,0)),"")</f>
        <v>4</v>
      </c>
      <c r="W769">
        <f>IFERROR(INDEX(_DATA_Assessment_Model!$X$5:$X$884,MATCH($E769,_DATA_Assessment_Model!$A$5:$A$884,0)),"")</f>
        <v>5</v>
      </c>
      <c r="X769">
        <f>IFERROR(INDEX(_DATA_Assessment_Model!$Y$5:$Y$884,MATCH($E769,_DATA_Assessment_Model!$A$5:$A$884,0)),"")</f>
        <v>5</v>
      </c>
      <c r="Y769" t="s">
        <v>2299</v>
      </c>
      <c r="Z769" t="s">
        <v>8173</v>
      </c>
      <c r="AA769" t="s">
        <v>2420</v>
      </c>
      <c r="AB769">
        <f>IFERROR(INDEX(_DATA_Assessment_Model!$U$5:$U$884,MATCH($E769,_DATA_Assessment_Model!$A$5:$A$884,0)),"")</f>
        <v>0</v>
      </c>
      <c r="AF769" t="s">
        <v>2419</v>
      </c>
      <c r="AO769">
        <f>IF($B769="Yes",IF(IFERROR(INDEX(_ENGINE_Crisis!$F$501:$F$517,MATCH($C769,_ENGINE_Crisis!$A$501:$A$517,0)),1)=0,1,IFERROR(INDEX(_ENGINE_Crisis!$F$501:$F$517,MATCH($C769,_ENGINE_Crisis!$A$501:$A$517,0)),1)),"")</f>
        <v>1</v>
      </c>
      <c r="AP769">
        <f t="shared" si="165"/>
        <v>16.100000000000001</v>
      </c>
      <c r="AQ769">
        <f t="shared" si="166"/>
        <v>1.6</v>
      </c>
      <c r="AR769" t="str">
        <f>IFERROR(INDEX(_ENGINE_Crisis!$E$41:$E$700,MATCH('Resilience &amp; Risk Scenario'!$B$6&amp;"|"&amp;$C769,_ENGINE_Crisis!$I$41:$I$700,0)),"")</f>
        <v/>
      </c>
      <c r="AS769" t="str">
        <f>IFERROR(INDEX(_ENGINE_Crisis!$G$41:$G$700,MATCH('Resilience &amp; Risk Scenario'!$B$6&amp;"|"&amp;$C769,_ENGINE_Crisis!$I$41:$I$700,0)),"")</f>
        <v/>
      </c>
      <c r="AT769" t="str">
        <f>IFERROR(INDEX(_ENGINE_Initiatives!$A$5:$A$532,MATCH(1,INDEX((_ENGINE_Initiatives!$B$5:$B$532=$C769)*(_ENGINE_Initiatives!$C$5:$C$532=$D769),0),0)),"")</f>
        <v>INI-044</v>
      </c>
      <c r="AU769" t="str">
        <f>IFERROR(INDEX(_ENGINE_Initiatives!$F$5:$F$532,MATCH(1,INDEX((_ENGINE_Initiatives!$B$5:$B$532=$C769)*(_ENGINE_Initiatives!$C$5:$C$532=$D769),0),0)),"")</f>
        <v>Strengthen pricing, discounting and revenue-control governance</v>
      </c>
      <c r="AV769">
        <f>IFERROR(INDEX(_ENGINE_Initiatives!$AC$5:$AC$532,MATCH(1,INDEX((_ENGINE_Initiatives!$B$5:$B$532=$C769)*(_ENGINE_Initiatives!$C$5:$C$532=$D769),0),0)),"")</f>
        <v>1.74</v>
      </c>
      <c r="AW769" t="str">
        <f>IFERROR(INDEX(_ENGINE_Initiatives!$AE$5:$AE$532,MATCH(1,INDEX((_ENGINE_Initiatives!$B$5:$B$532=$C769)*(_ENGINE_Initiatives!$C$5:$C$532=$D769),0),0)),"")</f>
        <v>6-12 months</v>
      </c>
      <c r="AX769">
        <f>IF($B769="Yes",IFERROR((IF(SUMIFS(_REF_Model_Content!$E$1:$E$613,_REF_Model_Content!$A$1:$A$613,PV_Canonical_Industry,_REF_Model_Content!$B$1:$B$613,$C769)=0,1,SUMIFS(_REF_Model_Content!$E$1:$E$613,_REF_Model_Content!$A$1:$A$613,PV_Canonical_Industry,_REF_Model_Content!$B$1:$B$613,$C769))*IFERROR($BU769,1)),1),"")</f>
        <v>1</v>
      </c>
      <c r="AY769">
        <f t="shared" si="167"/>
        <v>16.100000000000001</v>
      </c>
      <c r="AZ769">
        <f t="shared" si="168"/>
        <v>1.6</v>
      </c>
      <c r="BB769" t="str">
        <f>IF($H769="","",IFERROR(INDEX(_ENGINE_Risk!$AE$5:$AE$499,MATCH($E769,_ENGINE_Risk!$A$5:$A$499,0)),"Medium"))</f>
        <v>Fast</v>
      </c>
      <c r="BC769">
        <f t="shared" si="169"/>
        <v>1.25</v>
      </c>
      <c r="BD769">
        <f t="shared" si="170"/>
        <v>1.6</v>
      </c>
      <c r="BF769">
        <f>IF(OR($H769="",$J769=""),"",IFERROR(VLOOKUP(ROUND($J769,0),_CONFIG_Model_Settings!$D$154:$E$158,2,0),""))</f>
        <v>0.5</v>
      </c>
      <c r="BG769">
        <f>IFERROR(IF(OR($H769="",$K769=""),"",ROUND('Company Profile'!$B$113*INDEX(_CONFIG_Model_Settings!$H$154:$H$158,MATCH(ROUND($K769,0),_CONFIG_Model_Settings!$G$154:$G$158,0)),0)),0)</f>
        <v>875</v>
      </c>
      <c r="BH769">
        <f t="shared" si="171"/>
        <v>437.5</v>
      </c>
      <c r="BI769">
        <f t="shared" si="172"/>
        <v>437.5</v>
      </c>
      <c r="BJ769">
        <f>IF($E769="","",IFERROR(VLOOKUP($C769,_CONFIG_Risk_Calibration!$A$5:$H$21,2,FALSE),3))</f>
        <v>3</v>
      </c>
      <c r="BK769">
        <f>IF($E769="","",IFERROR(VLOOKUP($C769,_CONFIG_Risk_Calibration!$A$5:$H$21,3,FALSE),0))</f>
        <v>0</v>
      </c>
      <c r="BL769">
        <f>IF($E769="","",IFERROR(VLOOKUP($C769,_CONFIG_Risk_Calibration!$A$5:$H$21,4,FALSE),3))</f>
        <v>3</v>
      </c>
      <c r="BM769">
        <f>IF($E769="","",IFERROR(VLOOKUP($C769,_CONFIG_Risk_Calibration!$A$5:$H$21,5,FALSE),3))</f>
        <v>3</v>
      </c>
      <c r="BN769" t="str">
        <f>IF($E769="","",IFERROR(VLOOKUP($C769,_CONFIG_Risk_Calibration!$A$5:$H$21,6,FALSE),"No"))</f>
        <v>No</v>
      </c>
      <c r="BO769">
        <f>IF($E769="","",IFERROR(VLOOKUP($C769,_CONFIG_Risk_Calibration!$A$5:$H$21,7,FALSE),1))</f>
        <v>1</v>
      </c>
      <c r="BP769">
        <f>IF($H769="","",MAX(1,MIN(5,((6-$H769)*0.45)+($BJ769*0.2)+('Resilience &amp; Risk Scenario'!$B$7*0.15)+($BK769*0.1)+($BL769*0.05)+(IF($BB769="Fast",5,IF($BB769="Slow",1,3))*0.05))))</f>
        <v>3.7</v>
      </c>
      <c r="BQ769">
        <f t="shared" si="173"/>
        <v>4.3500000000000005</v>
      </c>
      <c r="BR769">
        <f t="shared" si="174"/>
        <v>16.100000000000001</v>
      </c>
      <c r="BS769">
        <f t="shared" si="175"/>
        <v>20.13</v>
      </c>
      <c r="BT769" t="str">
        <f>IFERROR(INDEX(_REF_Capability_Bridge!$D:$D,MATCH($C769&amp;"|"&amp;$D769,_REF_Capability_Bridge!$J:$J,0)),IFERROR(INDEX(_REF_Capability_Bridge!$D:$D,MATCH($C769&amp;"|",_REF_Capability_Bridge!$J:$J,0)),"CAP_GENERIC"))</f>
        <v>CAP_PAYMENT_CONTINUITY</v>
      </c>
      <c r="BU769">
        <f>IFERROR(IFERROR(INDEX(_ENGINE_Relevance!$L:$L,MATCH($BT769,_ENGINE_Relevance!$B:$B,0)),1),1)</f>
        <v>1</v>
      </c>
      <c r="BV769" t="str">
        <f>IFERROR(INDEX(_REF_Capability_Bridge!$A:$A,MATCH($C769&amp;"|"&amp;$D769,_REF_Capability_Bridge!$J:$J,0)),IFERROR(INDEX(_REF_Capability_Bridge!$A:$A,MATCH($C769&amp;"|",_REF_Capability_Bridge!$J:$J,0)),"No bridge"))</f>
        <v>BRG-081</v>
      </c>
      <c r="BW769" t="str">
        <f t="shared" si="176"/>
        <v>Capability relevance neutral</v>
      </c>
      <c r="BX769" t="str">
        <f t="shared" si="177"/>
        <v>Initial / absent</v>
      </c>
      <c r="BY769" t="str">
        <f>IF($E769="","",IFERROR(INDEX(_REF_Treatment_Library!$A$2:$A$296,MATCH(1,INDEX((_REF_Treatment_Library!$B$2:$B$296=$BT769)*(_REF_Treatment_Library!$C$2:$C$296=PV_Canonical_Industry)*(_REF_Treatment_Library!$E$2:$E$296&lt;=N($H769))*(_REF_Treatment_Library!$F$2:$F$296&gt;=N($H769))*(_REF_Treatment_Library!$O$2:$O$296="Yes"),0),0)),IFERROR(INDEX(_REF_Treatment_Library!$A$2:$A$296,MATCH(1,INDEX((_REF_Treatment_Library!$B$2:$B$296=$BT769)*(_REF_Treatment_Library!$C$2:$C$296="All")*(_REF_Treatment_Library!$E$2:$E$296&lt;=N($H769))*(_REF_Treatment_Library!$F$2:$F$296&gt;=N($H769))*(_REF_Treatment_Library!$O$2:$O$296="Yes"),0),0)),"")))</f>
        <v>TRT-PAYMENT_CONTINUITY-INITIAL</v>
      </c>
      <c r="BZ769" t="str">
        <f>IF($BY769="","",IFERROR(INDEX(_REF_Treatment_Library!$H$2:$H$296,MATCH($BY769,_REF_Treatment_Library!$A$2:$A$296,0)),""))</f>
        <v>Establish</v>
      </c>
      <c r="CA769" t="str">
        <f>IF($BY769="","",IFERROR(INDEX(_REF_Treatment_Library!$I$2:$I$296,MATCH($BY769,_REF_Treatment_Library!$A$2:$A$296,0)),""))</f>
        <v>Establish baseline controls for Payment continuity</v>
      </c>
      <c r="CB769" t="str">
        <f>IF($BY769="","",IFERROR(INDEX(_REF_Treatment_Library!$K$2:$K$296,MATCH($BY769,_REF_Treatment_Library!$A$2:$A$296,0)),""))</f>
        <v>Named owner, baseline process, minimum control checklist, first evidence package</v>
      </c>
      <c r="CC769" t="str">
        <f>IF($BY769="","",IFERROR(INDEX(_REF_Treatment_Library!$L$2:$L$296,MATCH($BY769,_REF_Treatment_Library!$A$2:$A$296,0)),""))</f>
        <v>Owner assigned; baseline evidence coverage; open critical gaps</v>
      </c>
      <c r="CD769" t="str">
        <f t="shared" si="178"/>
        <v>Treatment by capability=CAP_PAYMENT_CONTINUITY; band=Initial / absent; score=0.0; treatment=Establish</v>
      </c>
      <c r="CE769" t="str">
        <f>IF($E769="","",IFERROR(INDEX(_REF_Industry_Wording!$A$2:$A$70,MATCH(1,INDEX((_REF_Industry_Wording!$B$2:$B$70=$BT769)*(_REF_Industry_Wording!$C$2:$C$70=PV_Canonical_Industry)*(_REF_Industry_Wording!$K$2:$K$70="Yes"),0),0)),IFERROR(INDEX(_REF_Industry_Wording!$A$2:$A$70,MATCH(1,INDEX((_REF_Industry_Wording!$B$2:$B$70=$BT769)*(_REF_Industry_Wording!$C$2:$C$70="All")*(_REF_Industry_Wording!$K$2:$K$70="Yes"),0),0)),"")))</f>
        <v>IW-ALL-PAYMENT_CONTINUITY</v>
      </c>
      <c r="CF769" t="str">
        <f>IF($CE769="","",IFERROR(INDEX(_REF_Industry_Wording!$E$2:$E$70,MATCH($CE769,_REF_Industry_Wording!$A$2:$A$70,0)),""))</f>
        <v>Payment continuity weakness</v>
      </c>
      <c r="CG769" t="str">
        <f>IF($CE769="","",IFERROR(INDEX(_REF_Industry_Wording!$F$2:$F$70,MATCH($CE769,_REF_Industry_Wording!$A$2:$A$70,0)),""))</f>
        <v>Strengthen Payment continuity</v>
      </c>
      <c r="CH769" t="str">
        <f>IF($CE769="","",IFERROR(INDEX(_REF_Industry_Wording!$G$2:$G$70,MATCH($CE769,_REF_Industry_Wording!$A$2:$A$70,0)),""))</f>
        <v>Strengthen Payment continuity using the selected maturity treatment, crisis scenario and evidence requirements.</v>
      </c>
      <c r="CI769" t="str">
        <f>IF($CE769="","",IFERROR(INDEX(_REF_Industry_Wording!$H$2:$H$70,MATCH($CE769,_REF_Industry_Wording!$A$2:$A$70,0)),""))</f>
        <v>Payment continuity</v>
      </c>
      <c r="CJ769">
        <f>IF($CE769="","",IFERROR(INDEX(_REF_Industry_Wording!$I$2:$I$70,MATCH($CE769,_REF_Industry_Wording!$A$2:$A$70,0)),""))</f>
        <v>0</v>
      </c>
      <c r="CK769" t="str">
        <f>IF($CE769="","",IFERROR(INDEX(_REF_Industry_Wording!$J$2:$J$70,MATCH($CE769,_REF_Industry_Wording!$A$2:$A$70,0)),""))</f>
        <v>Payment continuity</v>
      </c>
      <c r="CL769" t="str">
        <f t="shared" si="179"/>
        <v>Wording by industry=0; capability=CAP_PAYMENT_CONTINUITY; risk label=Payment continuity weakness</v>
      </c>
      <c r="CM769" t="str">
        <f t="shared" si="180"/>
        <v>RISK-ONT-0270</v>
      </c>
      <c r="CN769" t="str">
        <f t="shared" si="181"/>
        <v>RISK-EVT-0270</v>
      </c>
      <c r="CO769" t="str">
        <f t="shared" si="182"/>
        <v>Sales CRM|Revenue controls|SALE-020|CAP_PAYMENT_CONTINUITY</v>
      </c>
      <c r="CP769" t="str">
        <f t="shared" si="183"/>
        <v>Active</v>
      </c>
      <c r="CQ769" t="str">
        <f t="shared" si="184"/>
        <v>OK: capability-driven</v>
      </c>
      <c r="CR769" t="str">
        <f t="shared" si="185"/>
        <v>Risk ontology uses capability=CAP_PAYMENT_CONTINUITY; bridge=BRG-081; treatment=TRT-PAYMENT_CONTINUITY-INITIAL; wording=IW-ALL-PAYMENT_CONTINUITY</v>
      </c>
      <c r="CS769" t="str">
        <f t="shared" si="186"/>
        <v>Yes</v>
      </c>
    </row>
    <row r="770" spans="1:97" ht="69.900000000000006" customHeight="1">
      <c r="A770">
        <f>IF(OR($B770&lt;&gt;"Yes",$BS770=""),"",SUMPRODUCT(($B$500:$B$923="Yes")*ISNUMBER($BS$500:$BS$923)*($BS$500:$BS$923&gt;$BS770))+COUNTIFS($B$500:$B770,"Yes",$BS$500:$BS770,$BS770))</f>
        <v>145</v>
      </c>
      <c r="B770" t="str">
        <f t="shared" si="155"/>
        <v>Yes</v>
      </c>
      <c r="C770" t="s">
        <v>2286</v>
      </c>
      <c r="D770" t="s">
        <v>2329</v>
      </c>
      <c r="E770" t="s">
        <v>2421</v>
      </c>
      <c r="F770" t="s">
        <v>3689</v>
      </c>
      <c r="G770" t="str">
        <f>IF($H770="","",IFERROR(INDEX(_ENGINE_Risk!$H$5:$M$499,MATCH($E770,_ENGINE_Risk!$A$5:$A$499,0),$H770+1),""))</f>
        <v>Severe risk: ecommerce continuity for payments, logistics, website, stock and customer support where relevant is not reliably controlled. During Demand shock; Revenue loss; Reputation crisis, the organization may face pipeline loss, poor customer retention, weak forecasting and inability to protect revenue channels with limited visibility or accountability.</v>
      </c>
      <c r="H770">
        <f>IFERROR(VALUE(INDEX(_DATA_Assessment_Model!$H$5:$H$884,MATCH($E770,_DATA_Assessment_Model!$A$5:$A$884,0))),"")</f>
        <v>0</v>
      </c>
      <c r="I770" t="str">
        <f>IF($H770="","",IFERROR(INDEX(_DATA_Assessment_Model!$L$5:$L$884,MATCH($E770,_DATA_Assessment_Model!$A$5:$A$884,0)),IF($H770&lt;=1,"Critical",IF($H770=2,"High",IF($H770=3,"Medium",IF($H770=4,"Low","Resilient"))))))</f>
        <v>Critical</v>
      </c>
      <c r="J770">
        <f t="shared" si="156"/>
        <v>3.7</v>
      </c>
      <c r="K770">
        <f t="shared" si="157"/>
        <v>4.3500000000000005</v>
      </c>
      <c r="L770">
        <f t="shared" si="158"/>
        <v>16.095000000000002</v>
      </c>
      <c r="M770">
        <f t="shared" si="159"/>
        <v>4</v>
      </c>
      <c r="N770">
        <f>IF($H770="","",IFERROR(INDEX(_ENGINE_Risk!$T$5:$Y$499,MATCH($E770,_ENGINE_Risk!$A$5:$A$499,0),$H770+1),""))</f>
        <v>3</v>
      </c>
      <c r="O770">
        <f t="shared" si="160"/>
        <v>4.666666666666667</v>
      </c>
      <c r="P770">
        <f t="shared" si="161"/>
        <v>5</v>
      </c>
      <c r="Q770">
        <f t="shared" si="162"/>
        <v>5</v>
      </c>
      <c r="R770">
        <f t="shared" si="163"/>
        <v>4.5</v>
      </c>
      <c r="S770">
        <f t="shared" si="164"/>
        <v>1.6</v>
      </c>
      <c r="T770" t="str">
        <f>IF($H770="","",IFERROR(INDEX(_ENGINE_Risk!$N$5:$S$499,MATCH($E770,_ENGINE_Risk!$A$5:$A$499,0),$H770+1),""))</f>
        <v>Create an immediate risk owner, minimum control baseline and fallback procedure for ecommerce continuity for payments, logistics, website, stock and customer support where relevant. Add it to the crisis risk register and collect first evidence.</v>
      </c>
      <c r="U770">
        <f>IFERROR(INDEX(_DATA_Assessment_Model!$G$5:$G$884,MATCH($E770,_DATA_Assessment_Model!$A$5:$A$884,0)),"")</f>
        <v>5</v>
      </c>
      <c r="V770">
        <f>IFERROR(INDEX(_DATA_Assessment_Model!$W$5:$W$884,MATCH($E770,_DATA_Assessment_Model!$A$5:$A$884,0)),"")</f>
        <v>4</v>
      </c>
      <c r="W770">
        <f>IFERROR(INDEX(_DATA_Assessment_Model!$X$5:$X$884,MATCH($E770,_DATA_Assessment_Model!$A$5:$A$884,0)),"")</f>
        <v>5</v>
      </c>
      <c r="X770">
        <f>IFERROR(INDEX(_DATA_Assessment_Model!$Y$5:$Y$884,MATCH($E770,_DATA_Assessment_Model!$A$5:$A$884,0)),"")</f>
        <v>5</v>
      </c>
      <c r="Y770" t="s">
        <v>2299</v>
      </c>
      <c r="Z770" t="s">
        <v>8173</v>
      </c>
      <c r="AA770" t="s">
        <v>2423</v>
      </c>
      <c r="AB770">
        <f>IFERROR(INDEX(_DATA_Assessment_Model!$U$5:$U$884,MATCH($E770,_DATA_Assessment_Model!$A$5:$A$884,0)),"")</f>
        <v>0</v>
      </c>
      <c r="AF770" t="s">
        <v>2422</v>
      </c>
      <c r="AO770">
        <f>IF($B770="Yes",IF(IFERROR(INDEX(_ENGINE_Crisis!$F$501:$F$517,MATCH($C770,_ENGINE_Crisis!$A$501:$A$517,0)),1)=0,1,IFERROR(INDEX(_ENGINE_Crisis!$F$501:$F$517,MATCH($C770,_ENGINE_Crisis!$A$501:$A$517,0)),1)),"")</f>
        <v>1</v>
      </c>
      <c r="AP770">
        <f t="shared" si="165"/>
        <v>16.100000000000001</v>
      </c>
      <c r="AQ770">
        <f t="shared" si="166"/>
        <v>1.6</v>
      </c>
      <c r="AR770" t="str">
        <f>IFERROR(INDEX(_ENGINE_Crisis!$E$41:$E$700,MATCH('Resilience &amp; Risk Scenario'!$B$6&amp;"|"&amp;$C770,_ENGINE_Crisis!$I$41:$I$700,0)),"")</f>
        <v/>
      </c>
      <c r="AS770" t="str">
        <f>IFERROR(INDEX(_ENGINE_Crisis!$G$41:$G$700,MATCH('Resilience &amp; Risk Scenario'!$B$6&amp;"|"&amp;$C770,_ENGINE_Crisis!$I$41:$I$700,0)),"")</f>
        <v/>
      </c>
      <c r="AT770" t="str">
        <f>IFERROR(INDEX(_ENGINE_Initiatives!$A$5:$A$532,MATCH(1,INDEX((_ENGINE_Initiatives!$B$5:$B$532=$C770)*(_ENGINE_Initiatives!$C$5:$C$532=$D770),0),0)),"")</f>
        <v>INI-044</v>
      </c>
      <c r="AU770" t="str">
        <f>IFERROR(INDEX(_ENGINE_Initiatives!$F$5:$F$532,MATCH(1,INDEX((_ENGINE_Initiatives!$B$5:$B$532=$C770)*(_ENGINE_Initiatives!$C$5:$C$532=$D770),0),0)),"")</f>
        <v>Strengthen pricing, discounting and revenue-control governance</v>
      </c>
      <c r="AV770">
        <f>IFERROR(INDEX(_ENGINE_Initiatives!$AC$5:$AC$532,MATCH(1,INDEX((_ENGINE_Initiatives!$B$5:$B$532=$C770)*(_ENGINE_Initiatives!$C$5:$C$532=$D770),0),0)),"")</f>
        <v>1.74</v>
      </c>
      <c r="AW770" t="str">
        <f>IFERROR(INDEX(_ENGINE_Initiatives!$AE$5:$AE$532,MATCH(1,INDEX((_ENGINE_Initiatives!$B$5:$B$532=$C770)*(_ENGINE_Initiatives!$C$5:$C$532=$D770),0),0)),"")</f>
        <v>6-12 months</v>
      </c>
      <c r="AX770">
        <f>IF($B770="Yes",IFERROR((IF(SUMIFS(_REF_Model_Content!$E$1:$E$613,_REF_Model_Content!$A$1:$A$613,PV_Canonical_Industry,_REF_Model_Content!$B$1:$B$613,$C770)=0,1,SUMIFS(_REF_Model_Content!$E$1:$E$613,_REF_Model_Content!$A$1:$A$613,PV_Canonical_Industry,_REF_Model_Content!$B$1:$B$613,$C770))*IFERROR($BU770,1)),1),"")</f>
        <v>1</v>
      </c>
      <c r="AY770">
        <f t="shared" si="167"/>
        <v>16.100000000000001</v>
      </c>
      <c r="AZ770">
        <f t="shared" si="168"/>
        <v>1.6</v>
      </c>
      <c r="BB770" t="str">
        <f>IF($H770="","",IFERROR(INDEX(_ENGINE_Risk!$AE$5:$AE$499,MATCH($E770,_ENGINE_Risk!$A$5:$A$499,0)),"Medium"))</f>
        <v>Fast</v>
      </c>
      <c r="BC770">
        <f t="shared" si="169"/>
        <v>1.25</v>
      </c>
      <c r="BD770">
        <f t="shared" si="170"/>
        <v>1.6</v>
      </c>
      <c r="BF770">
        <f>IF(OR($H770="",$J770=""),"",IFERROR(VLOOKUP(ROUND($J770,0),_CONFIG_Model_Settings!$D$154:$E$158,2,0),""))</f>
        <v>0.5</v>
      </c>
      <c r="BG770">
        <f>IFERROR(IF(OR($H770="",$K770=""),"",ROUND('Company Profile'!$B$113*INDEX(_CONFIG_Model_Settings!$H$154:$H$158,MATCH(ROUND($K770,0),_CONFIG_Model_Settings!$G$154:$G$158,0)),0)),0)</f>
        <v>875</v>
      </c>
      <c r="BH770">
        <f t="shared" si="171"/>
        <v>437.5</v>
      </c>
      <c r="BI770">
        <f t="shared" si="172"/>
        <v>437.5</v>
      </c>
      <c r="BJ770">
        <f>IF($E770="","",IFERROR(VLOOKUP($C770,_CONFIG_Risk_Calibration!$A$5:$H$21,2,FALSE),3))</f>
        <v>3</v>
      </c>
      <c r="BK770">
        <f>IF($E770="","",IFERROR(VLOOKUP($C770,_CONFIG_Risk_Calibration!$A$5:$H$21,3,FALSE),0))</f>
        <v>0</v>
      </c>
      <c r="BL770">
        <f>IF($E770="","",IFERROR(VLOOKUP($C770,_CONFIG_Risk_Calibration!$A$5:$H$21,4,FALSE),3))</f>
        <v>3</v>
      </c>
      <c r="BM770">
        <f>IF($E770="","",IFERROR(VLOOKUP($C770,_CONFIG_Risk_Calibration!$A$5:$H$21,5,FALSE),3))</f>
        <v>3</v>
      </c>
      <c r="BN770" t="str">
        <f>IF($E770="","",IFERROR(VLOOKUP($C770,_CONFIG_Risk_Calibration!$A$5:$H$21,6,FALSE),"No"))</f>
        <v>No</v>
      </c>
      <c r="BO770">
        <f>IF($E770="","",IFERROR(VLOOKUP($C770,_CONFIG_Risk_Calibration!$A$5:$H$21,7,FALSE),1))</f>
        <v>1</v>
      </c>
      <c r="BP770">
        <f>IF($H770="","",MAX(1,MIN(5,((6-$H770)*0.45)+($BJ770*0.2)+('Resilience &amp; Risk Scenario'!$B$7*0.15)+($BK770*0.1)+($BL770*0.05)+(IF($BB770="Fast",5,IF($BB770="Slow",1,3))*0.05))))</f>
        <v>3.7</v>
      </c>
      <c r="BQ770">
        <f t="shared" si="173"/>
        <v>4.3500000000000005</v>
      </c>
      <c r="BR770">
        <f t="shared" si="174"/>
        <v>16.100000000000001</v>
      </c>
      <c r="BS770">
        <f t="shared" si="175"/>
        <v>20.13</v>
      </c>
      <c r="BT770" t="str">
        <f>IFERROR(INDEX(_REF_Capability_Bridge!$D:$D,MATCH($C770&amp;"|"&amp;$D770,_REF_Capability_Bridge!$J:$J,0)),IFERROR(INDEX(_REF_Capability_Bridge!$D:$D,MATCH($C770&amp;"|",_REF_Capability_Bridge!$J:$J,0)),"CAP_GENERIC"))</f>
        <v>CAP_PAYMENT_CONTINUITY</v>
      </c>
      <c r="BU770">
        <f>IFERROR(IFERROR(INDEX(_ENGINE_Relevance!$L:$L,MATCH($BT770,_ENGINE_Relevance!$B:$B,0)),1),1)</f>
        <v>1</v>
      </c>
      <c r="BV770" t="str">
        <f>IFERROR(INDEX(_REF_Capability_Bridge!$A:$A,MATCH($C770&amp;"|"&amp;$D770,_REF_Capability_Bridge!$J:$J,0)),IFERROR(INDEX(_REF_Capability_Bridge!$A:$A,MATCH($C770&amp;"|",_REF_Capability_Bridge!$J:$J,0)),"No bridge"))</f>
        <v>BRG-081</v>
      </c>
      <c r="BW770" t="str">
        <f t="shared" si="176"/>
        <v>Capability relevance neutral</v>
      </c>
      <c r="BX770" t="str">
        <f t="shared" si="177"/>
        <v>Initial / absent</v>
      </c>
      <c r="BY770" t="str">
        <f>IF($E770="","",IFERROR(INDEX(_REF_Treatment_Library!$A$2:$A$296,MATCH(1,INDEX((_REF_Treatment_Library!$B$2:$B$296=$BT770)*(_REF_Treatment_Library!$C$2:$C$296=PV_Canonical_Industry)*(_REF_Treatment_Library!$E$2:$E$296&lt;=N($H770))*(_REF_Treatment_Library!$F$2:$F$296&gt;=N($H770))*(_REF_Treatment_Library!$O$2:$O$296="Yes"),0),0)),IFERROR(INDEX(_REF_Treatment_Library!$A$2:$A$296,MATCH(1,INDEX((_REF_Treatment_Library!$B$2:$B$296=$BT770)*(_REF_Treatment_Library!$C$2:$C$296="All")*(_REF_Treatment_Library!$E$2:$E$296&lt;=N($H770))*(_REF_Treatment_Library!$F$2:$F$296&gt;=N($H770))*(_REF_Treatment_Library!$O$2:$O$296="Yes"),0),0)),"")))</f>
        <v>TRT-PAYMENT_CONTINUITY-INITIAL</v>
      </c>
      <c r="BZ770" t="str">
        <f>IF($BY770="","",IFERROR(INDEX(_REF_Treatment_Library!$H$2:$H$296,MATCH($BY770,_REF_Treatment_Library!$A$2:$A$296,0)),""))</f>
        <v>Establish</v>
      </c>
      <c r="CA770" t="str">
        <f>IF($BY770="","",IFERROR(INDEX(_REF_Treatment_Library!$I$2:$I$296,MATCH($BY770,_REF_Treatment_Library!$A$2:$A$296,0)),""))</f>
        <v>Establish baseline controls for Payment continuity</v>
      </c>
      <c r="CB770" t="str">
        <f>IF($BY770="","",IFERROR(INDEX(_REF_Treatment_Library!$K$2:$K$296,MATCH($BY770,_REF_Treatment_Library!$A$2:$A$296,0)),""))</f>
        <v>Named owner, baseline process, minimum control checklist, first evidence package</v>
      </c>
      <c r="CC770" t="str">
        <f>IF($BY770="","",IFERROR(INDEX(_REF_Treatment_Library!$L$2:$L$296,MATCH($BY770,_REF_Treatment_Library!$A$2:$A$296,0)),""))</f>
        <v>Owner assigned; baseline evidence coverage; open critical gaps</v>
      </c>
      <c r="CD770" t="str">
        <f t="shared" si="178"/>
        <v>Treatment by capability=CAP_PAYMENT_CONTINUITY; band=Initial / absent; score=0.0; treatment=Establish</v>
      </c>
      <c r="CE770" t="str">
        <f>IF($E770="","",IFERROR(INDEX(_REF_Industry_Wording!$A$2:$A$70,MATCH(1,INDEX((_REF_Industry_Wording!$B$2:$B$70=$BT770)*(_REF_Industry_Wording!$C$2:$C$70=PV_Canonical_Industry)*(_REF_Industry_Wording!$K$2:$K$70="Yes"),0),0)),IFERROR(INDEX(_REF_Industry_Wording!$A$2:$A$70,MATCH(1,INDEX((_REF_Industry_Wording!$B$2:$B$70=$BT770)*(_REF_Industry_Wording!$C$2:$C$70="All")*(_REF_Industry_Wording!$K$2:$K$70="Yes"),0),0)),"")))</f>
        <v>IW-ALL-PAYMENT_CONTINUITY</v>
      </c>
      <c r="CF770" t="str">
        <f>IF($CE770="","",IFERROR(INDEX(_REF_Industry_Wording!$E$2:$E$70,MATCH($CE770,_REF_Industry_Wording!$A$2:$A$70,0)),""))</f>
        <v>Payment continuity weakness</v>
      </c>
      <c r="CG770" t="str">
        <f>IF($CE770="","",IFERROR(INDEX(_REF_Industry_Wording!$F$2:$F$70,MATCH($CE770,_REF_Industry_Wording!$A$2:$A$70,0)),""))</f>
        <v>Strengthen Payment continuity</v>
      </c>
      <c r="CH770" t="str">
        <f>IF($CE770="","",IFERROR(INDEX(_REF_Industry_Wording!$G$2:$G$70,MATCH($CE770,_REF_Industry_Wording!$A$2:$A$70,0)),""))</f>
        <v>Strengthen Payment continuity using the selected maturity treatment, crisis scenario and evidence requirements.</v>
      </c>
      <c r="CI770" t="str">
        <f>IF($CE770="","",IFERROR(INDEX(_REF_Industry_Wording!$H$2:$H$70,MATCH($CE770,_REF_Industry_Wording!$A$2:$A$70,0)),""))</f>
        <v>Payment continuity</v>
      </c>
      <c r="CJ770">
        <f>IF($CE770="","",IFERROR(INDEX(_REF_Industry_Wording!$I$2:$I$70,MATCH($CE770,_REF_Industry_Wording!$A$2:$A$70,0)),""))</f>
        <v>0</v>
      </c>
      <c r="CK770" t="str">
        <f>IF($CE770="","",IFERROR(INDEX(_REF_Industry_Wording!$J$2:$J$70,MATCH($CE770,_REF_Industry_Wording!$A$2:$A$70,0)),""))</f>
        <v>Payment continuity</v>
      </c>
      <c r="CL770" t="str">
        <f t="shared" si="179"/>
        <v>Wording by industry=0; capability=CAP_PAYMENT_CONTINUITY; risk label=Payment continuity weakness</v>
      </c>
      <c r="CM770" t="str">
        <f t="shared" si="180"/>
        <v>RISK-ONT-0271</v>
      </c>
      <c r="CN770" t="str">
        <f t="shared" si="181"/>
        <v>RISK-EVT-0271</v>
      </c>
      <c r="CO770" t="str">
        <f t="shared" si="182"/>
        <v>Sales CRM|Revenue controls|SALE-021|CAP_PAYMENT_CONTINUITY</v>
      </c>
      <c r="CP770" t="str">
        <f t="shared" si="183"/>
        <v>Active</v>
      </c>
      <c r="CQ770" t="str">
        <f t="shared" si="184"/>
        <v>OK: capability-driven</v>
      </c>
      <c r="CR770" t="str">
        <f t="shared" si="185"/>
        <v>Risk ontology uses capability=CAP_PAYMENT_CONTINUITY; bridge=BRG-081; treatment=TRT-PAYMENT_CONTINUITY-INITIAL; wording=IW-ALL-PAYMENT_CONTINUITY</v>
      </c>
      <c r="CS770" t="str">
        <f t="shared" si="186"/>
        <v>Yes</v>
      </c>
    </row>
    <row r="771" spans="1:97" ht="69.900000000000006" customHeight="1">
      <c r="A771">
        <f>IF(OR($B771&lt;&gt;"Yes",$BS771=""),"",SUMPRODUCT(($B$500:$B$923="Yes")*ISNUMBER($BS$500:$BS$923)*($BS$500:$BS$923&gt;$BS771))+COUNTIFS($B$500:$B771,"Yes",$BS$500:$BS771,$BS771))</f>
        <v>211</v>
      </c>
      <c r="B771" t="str">
        <f t="shared" si="155"/>
        <v>Yes</v>
      </c>
      <c r="C771" t="s">
        <v>2286</v>
      </c>
      <c r="D771" t="s">
        <v>2339</v>
      </c>
      <c r="E771" t="s">
        <v>2424</v>
      </c>
      <c r="F771" t="s">
        <v>8427</v>
      </c>
      <c r="G771" t="str">
        <f>IF($H771="","",IFERROR(INDEX(_ENGINE_Risk!$H$5:$M$499,MATCH($E771,_ENGINE_Risk!$A$5:$A$499,0),$H771+1),""))</f>
        <v>Severe risk: customer service operating model with channels, coverage hours, tiers and service levels is not reliably controlled. During Demand shock; Reputation crisis; Workforce disruption, the organization may face uncontrolled response times, inconsistent customer experience and SLA breaches during disruption with limited visibility or accountability.</v>
      </c>
      <c r="H771">
        <f>IFERROR(VALUE(INDEX(_DATA_Assessment_Model!$H$5:$H$884,MATCH($E771,_DATA_Assessment_Model!$A$5:$A$884,0))),"")</f>
        <v>0</v>
      </c>
      <c r="I771" t="str">
        <f>IF($H771="","",IFERROR(INDEX(_DATA_Assessment_Model!$L$5:$L$884,MATCH($E771,_DATA_Assessment_Model!$A$5:$A$884,0)),IF($H771&lt;=1,"Critical",IF($H771=2,"High",IF($H771=3,"Medium",IF($H771=4,"Low","Resilient"))))))</f>
        <v>Critical</v>
      </c>
      <c r="J771">
        <f t="shared" si="156"/>
        <v>3.7</v>
      </c>
      <c r="K771">
        <f t="shared" si="157"/>
        <v>3.9000000000000004</v>
      </c>
      <c r="L771">
        <f t="shared" si="158"/>
        <v>14.430000000000001</v>
      </c>
      <c r="M771">
        <f t="shared" si="159"/>
        <v>3</v>
      </c>
      <c r="N771">
        <f>IF($H771="","",IFERROR(INDEX(_ENGINE_Risk!$T$5:$Y$499,MATCH($E771,_ENGINE_Risk!$A$5:$A$499,0),$H771+1),""))</f>
        <v>3</v>
      </c>
      <c r="O771">
        <f t="shared" si="160"/>
        <v>4.333333333333333</v>
      </c>
      <c r="P771">
        <f t="shared" si="161"/>
        <v>5</v>
      </c>
      <c r="Q771">
        <f t="shared" si="162"/>
        <v>4.6500000000000004</v>
      </c>
      <c r="R771">
        <f t="shared" si="163"/>
        <v>4.5</v>
      </c>
      <c r="S771">
        <f t="shared" si="164"/>
        <v>1.54</v>
      </c>
      <c r="T771" t="str">
        <f>IF($H771="","",IFERROR(INDEX(_ENGINE_Risk!$N$5:$S$499,MATCH($E771,_ENGINE_Risk!$A$5:$A$499,0),$H771+1),""))</f>
        <v>Create an immediate risk owner, minimum control baseline and fallback procedure for customer service operating model with channels, coverage hours, tiers and service levels. Add it to the crisis risk register and collect first evidence.</v>
      </c>
      <c r="U771">
        <f>IFERROR(INDEX(_DATA_Assessment_Model!$G$5:$G$884,MATCH($E771,_DATA_Assessment_Model!$A$5:$A$884,0)),"")</f>
        <v>4</v>
      </c>
      <c r="V771">
        <f>IFERROR(INDEX(_DATA_Assessment_Model!$W$5:$W$884,MATCH($E771,_DATA_Assessment_Model!$A$5:$A$884,0)),"")</f>
        <v>4</v>
      </c>
      <c r="W771">
        <f>IFERROR(INDEX(_DATA_Assessment_Model!$X$5:$X$884,MATCH($E771,_DATA_Assessment_Model!$A$5:$A$884,0)),"")</f>
        <v>4</v>
      </c>
      <c r="X771">
        <f>IFERROR(INDEX(_DATA_Assessment_Model!$Y$5:$Y$884,MATCH($E771,_DATA_Assessment_Model!$A$5:$A$884,0)),"")</f>
        <v>5</v>
      </c>
      <c r="Y771" t="s">
        <v>2434</v>
      </c>
      <c r="Z771" t="s">
        <v>8442</v>
      </c>
      <c r="AA771" t="s">
        <v>8441</v>
      </c>
      <c r="AB771">
        <f>IFERROR(INDEX(_DATA_Assessment_Model!$U$5:$U$884,MATCH($E771,_DATA_Assessment_Model!$A$5:$A$884,0)),"")</f>
        <v>0</v>
      </c>
      <c r="AF771" t="s">
        <v>2425</v>
      </c>
      <c r="AO771">
        <f>IF($B771="Yes",IF(IFERROR(INDEX(_ENGINE_Crisis!$F$501:$F$517,MATCH($C771,_ENGINE_Crisis!$A$501:$A$517,0)),1)=0,1,IFERROR(INDEX(_ENGINE_Crisis!$F$501:$F$517,MATCH($C771,_ENGINE_Crisis!$A$501:$A$517,0)),1)),"")</f>
        <v>1</v>
      </c>
      <c r="AP771">
        <f t="shared" si="165"/>
        <v>14.4</v>
      </c>
      <c r="AQ771">
        <f t="shared" si="166"/>
        <v>1.54</v>
      </c>
      <c r="AR771" t="str">
        <f>IFERROR(INDEX(_ENGINE_Crisis!$E$41:$E$700,MATCH('Resilience &amp; Risk Scenario'!$B$6&amp;"|"&amp;$C771,_ENGINE_Crisis!$I$41:$I$700,0)),"")</f>
        <v/>
      </c>
      <c r="AS771" t="str">
        <f>IFERROR(INDEX(_ENGINE_Crisis!$G$41:$G$700,MATCH('Resilience &amp; Risk Scenario'!$B$6&amp;"|"&amp;$C771,_ENGINE_Crisis!$I$41:$I$700,0)),"")</f>
        <v/>
      </c>
      <c r="AT771" t="str">
        <f>IFERROR(INDEX(_ENGINE_Initiatives!$A$5:$A$532,MATCH(1,INDEX((_ENGINE_Initiatives!$B$5:$B$532=$C771)*(_ENGINE_Initiatives!$C$5:$C$532=$D771),0),0)),"")</f>
        <v/>
      </c>
      <c r="AU771" t="str">
        <f>IFERROR(INDEX(_ENGINE_Initiatives!$F$5:$F$532,MATCH(1,INDEX((_ENGINE_Initiatives!$B$5:$B$532=$C771)*(_ENGINE_Initiatives!$C$5:$C$532=$D771),0),0)),"")</f>
        <v/>
      </c>
      <c r="AV771" t="str">
        <f>IFERROR(INDEX(_ENGINE_Initiatives!$AC$5:$AC$532,MATCH(1,INDEX((_ENGINE_Initiatives!$B$5:$B$532=$C771)*(_ENGINE_Initiatives!$C$5:$C$532=$D771),0),0)),"")</f>
        <v/>
      </c>
      <c r="AW771" t="str">
        <f>IFERROR(INDEX(_ENGINE_Initiatives!$AE$5:$AE$532,MATCH(1,INDEX((_ENGINE_Initiatives!$B$5:$B$532=$C771)*(_ENGINE_Initiatives!$C$5:$C$532=$D771),0),0)),"")</f>
        <v/>
      </c>
      <c r="AX771">
        <f>IF($B771="Yes",IFERROR((IF(SUMIFS(_REF_Model_Content!$E$1:$E$613,_REF_Model_Content!$A$1:$A$613,PV_Canonical_Industry,_REF_Model_Content!$B$1:$B$613,$C771)=0,1,SUMIFS(_REF_Model_Content!$E$1:$E$613,_REF_Model_Content!$A$1:$A$613,PV_Canonical_Industry,_REF_Model_Content!$B$1:$B$613,$C771))*IFERROR($BU771,1)),1),"")</f>
        <v>1</v>
      </c>
      <c r="AY771">
        <f t="shared" si="167"/>
        <v>14.4</v>
      </c>
      <c r="AZ771">
        <f t="shared" si="168"/>
        <v>1.54</v>
      </c>
      <c r="BB771" t="str">
        <f>IF($H771="","",IFERROR(INDEX(_ENGINE_Risk!$AE$5:$AE$499,MATCH($E771,_ENGINE_Risk!$A$5:$A$499,0)),"Medium"))</f>
        <v>Fast</v>
      </c>
      <c r="BC771">
        <f t="shared" si="169"/>
        <v>1.25</v>
      </c>
      <c r="BD771">
        <f t="shared" si="170"/>
        <v>1.54</v>
      </c>
      <c r="BF771">
        <f>IF(OR($H771="",$J771=""),"",IFERROR(VLOOKUP(ROUND($J771,0),_CONFIG_Model_Settings!$D$154:$E$158,2,0),""))</f>
        <v>0.5</v>
      </c>
      <c r="BG771">
        <f>IFERROR(IF(OR($H771="",$K771=""),"",ROUND('Company Profile'!$B$113*INDEX(_CONFIG_Model_Settings!$H$154:$H$158,MATCH(ROUND($K771,0),_CONFIG_Model_Settings!$G$154:$G$158,0)),0)),0)</f>
        <v>875</v>
      </c>
      <c r="BH771">
        <f t="shared" si="171"/>
        <v>437.5</v>
      </c>
      <c r="BI771">
        <f t="shared" si="172"/>
        <v>437.5</v>
      </c>
      <c r="BJ771">
        <f>IF($E771="","",IFERROR(VLOOKUP($C771,_CONFIG_Risk_Calibration!$A$5:$H$21,2,FALSE),3))</f>
        <v>3</v>
      </c>
      <c r="BK771">
        <f>IF($E771="","",IFERROR(VLOOKUP($C771,_CONFIG_Risk_Calibration!$A$5:$H$21,3,FALSE),0))</f>
        <v>0</v>
      </c>
      <c r="BL771">
        <f>IF($E771="","",IFERROR(VLOOKUP($C771,_CONFIG_Risk_Calibration!$A$5:$H$21,4,FALSE),3))</f>
        <v>3</v>
      </c>
      <c r="BM771">
        <f>IF($E771="","",IFERROR(VLOOKUP($C771,_CONFIG_Risk_Calibration!$A$5:$H$21,5,FALSE),3))</f>
        <v>3</v>
      </c>
      <c r="BN771" t="str">
        <f>IF($E771="","",IFERROR(VLOOKUP($C771,_CONFIG_Risk_Calibration!$A$5:$H$21,6,FALSE),"No"))</f>
        <v>No</v>
      </c>
      <c r="BO771">
        <f>IF($E771="","",IFERROR(VLOOKUP($C771,_CONFIG_Risk_Calibration!$A$5:$H$21,7,FALSE),1))</f>
        <v>1</v>
      </c>
      <c r="BP771">
        <f>IF($H771="","",MAX(1,MIN(5,((6-$H771)*0.45)+($BJ771*0.2)+('Resilience &amp; Risk Scenario'!$B$7*0.15)+($BK771*0.1)+($BL771*0.05)+(IF($BB771="Fast",5,IF($BB771="Slow",1,3))*0.05))))</f>
        <v>3.7</v>
      </c>
      <c r="BQ771">
        <f t="shared" si="173"/>
        <v>3.9000000000000004</v>
      </c>
      <c r="BR771">
        <f t="shared" si="174"/>
        <v>14.43</v>
      </c>
      <c r="BS771">
        <f t="shared" si="175"/>
        <v>18.04</v>
      </c>
      <c r="BT771" t="str">
        <f>IFERROR(INDEX(_REF_Capability_Bridge!$D:$D,MATCH($C771&amp;"|"&amp;$D771,_REF_Capability_Bridge!$J:$J,0)),IFERROR(INDEX(_REF_Capability_Bridge!$D:$D,MATCH($C771&amp;"|",_REF_Capability_Bridge!$J:$J,0)),"CAP_GENERIC"))</f>
        <v>CAP_INCIDENT_RESPONSE</v>
      </c>
      <c r="BU771">
        <f>IFERROR(IFERROR(INDEX(_ENGINE_Relevance!$L:$L,MATCH($BT771,_ENGINE_Relevance!$B:$B,0)),1),1)</f>
        <v>1</v>
      </c>
      <c r="BV771" t="str">
        <f>IFERROR(INDEX(_REF_Capability_Bridge!$A:$A,MATCH($C771&amp;"|"&amp;$D771,_REF_Capability_Bridge!$J:$J,0)),IFERROR(INDEX(_REF_Capability_Bridge!$A:$A,MATCH($C771&amp;"|",_REF_Capability_Bridge!$J:$J,0)),"No bridge"))</f>
        <v>BRG-079</v>
      </c>
      <c r="BW771" t="str">
        <f t="shared" si="176"/>
        <v>Capability relevance neutral</v>
      </c>
      <c r="BX771" t="str">
        <f t="shared" si="177"/>
        <v>Initial / absent</v>
      </c>
      <c r="BY771" t="str">
        <f>IF($E771="","",IFERROR(INDEX(_REF_Treatment_Library!$A$2:$A$296,MATCH(1,INDEX((_REF_Treatment_Library!$B$2:$B$296=$BT771)*(_REF_Treatment_Library!$C$2:$C$296=PV_Canonical_Industry)*(_REF_Treatment_Library!$E$2:$E$296&lt;=N($H771))*(_REF_Treatment_Library!$F$2:$F$296&gt;=N($H771))*(_REF_Treatment_Library!$O$2:$O$296="Yes"),0),0)),IFERROR(INDEX(_REF_Treatment_Library!$A$2:$A$296,MATCH(1,INDEX((_REF_Treatment_Library!$B$2:$B$296=$BT771)*(_REF_Treatment_Library!$C$2:$C$296="All")*(_REF_Treatment_Library!$E$2:$E$296&lt;=N($H771))*(_REF_Treatment_Library!$F$2:$F$296&gt;=N($H771))*(_REF_Treatment_Library!$O$2:$O$296="Yes"),0),0)),"")))</f>
        <v>TRT-INCIDENT_RESPONSE-INITIAL</v>
      </c>
      <c r="BZ771" t="str">
        <f>IF($BY771="","",IFERROR(INDEX(_REF_Treatment_Library!$H$2:$H$296,MATCH($BY771,_REF_Treatment_Library!$A$2:$A$296,0)),""))</f>
        <v>Establish</v>
      </c>
      <c r="CA771" t="str">
        <f>IF($BY771="","",IFERROR(INDEX(_REF_Treatment_Library!$I$2:$I$296,MATCH($BY771,_REF_Treatment_Library!$A$2:$A$296,0)),""))</f>
        <v>Establish baseline controls for Incident response</v>
      </c>
      <c r="CB771" t="str">
        <f>IF($BY771="","",IFERROR(INDEX(_REF_Treatment_Library!$K$2:$K$296,MATCH($BY771,_REF_Treatment_Library!$A$2:$A$296,0)),""))</f>
        <v>Named owner, baseline process, minimum control checklist, first evidence package</v>
      </c>
      <c r="CC771" t="str">
        <f>IF($BY771="","",IFERROR(INDEX(_REF_Treatment_Library!$L$2:$L$296,MATCH($BY771,_REF_Treatment_Library!$A$2:$A$296,0)),""))</f>
        <v>Owner assigned; baseline evidence coverage; open critical gaps</v>
      </c>
      <c r="CD771" t="str">
        <f t="shared" si="178"/>
        <v>Treatment by capability=CAP_INCIDENT_RESPONSE; band=Initial / absent; score=0.0; treatment=Establish</v>
      </c>
      <c r="CE771" t="str">
        <f>IF($E771="","",IFERROR(INDEX(_REF_Industry_Wording!$A$2:$A$70,MATCH(1,INDEX((_REF_Industry_Wording!$B$2:$B$70=$BT771)*(_REF_Industry_Wording!$C$2:$C$70=PV_Canonical_Industry)*(_REF_Industry_Wording!$K$2:$K$70="Yes"),0),0)),IFERROR(INDEX(_REF_Industry_Wording!$A$2:$A$70,MATCH(1,INDEX((_REF_Industry_Wording!$B$2:$B$70=$BT771)*(_REF_Industry_Wording!$C$2:$C$70="All")*(_REF_Industry_Wording!$K$2:$K$70="Yes"),0),0)),"")))</f>
        <v>IW-ALL-INCIDENT_RESPONSE</v>
      </c>
      <c r="CF771" t="str">
        <f>IF($CE771="","",IFERROR(INDEX(_REF_Industry_Wording!$E$2:$E$70,MATCH($CE771,_REF_Industry_Wording!$A$2:$A$70,0)),""))</f>
        <v>Incident response weakness</v>
      </c>
      <c r="CG771" t="str">
        <f>IF($CE771="","",IFERROR(INDEX(_REF_Industry_Wording!$F$2:$F$70,MATCH($CE771,_REF_Industry_Wording!$A$2:$A$70,0)),""))</f>
        <v>Strengthen Incident response</v>
      </c>
      <c r="CH771" t="str">
        <f>IF($CE771="","",IFERROR(INDEX(_REF_Industry_Wording!$G$2:$G$70,MATCH($CE771,_REF_Industry_Wording!$A$2:$A$70,0)),""))</f>
        <v>Strengthen Incident response using the selected maturity treatment, crisis scenario and evidence requirements.</v>
      </c>
      <c r="CI771" t="str">
        <f>IF($CE771="","",IFERROR(INDEX(_REF_Industry_Wording!$H$2:$H$70,MATCH($CE771,_REF_Industry_Wording!$A$2:$A$70,0)),""))</f>
        <v>Incident response</v>
      </c>
      <c r="CJ771">
        <f>IF($CE771="","",IFERROR(INDEX(_REF_Industry_Wording!$I$2:$I$70,MATCH($CE771,_REF_Industry_Wording!$A$2:$A$70,0)),""))</f>
        <v>0</v>
      </c>
      <c r="CK771" t="str">
        <f>IF($CE771="","",IFERROR(INDEX(_REF_Industry_Wording!$J$2:$J$70,MATCH($CE771,_REF_Industry_Wording!$A$2:$A$70,0)),""))</f>
        <v>Incident response</v>
      </c>
      <c r="CL771" t="str">
        <f t="shared" si="179"/>
        <v>Wording by industry=0; capability=CAP_INCIDENT_RESPONSE; risk label=Incident response weakness</v>
      </c>
      <c r="CM771" t="str">
        <f t="shared" si="180"/>
        <v>RISK-ONT-0272</v>
      </c>
      <c r="CN771" t="str">
        <f t="shared" si="181"/>
        <v>RISK-EVT-0272</v>
      </c>
      <c r="CO771" t="str">
        <f t="shared" si="182"/>
        <v>Sales CRM|Customer service|SALE-022|CAP_INCIDENT_RESPONSE</v>
      </c>
      <c r="CP771" t="str">
        <f t="shared" si="183"/>
        <v>Active</v>
      </c>
      <c r="CQ771" t="str">
        <f t="shared" si="184"/>
        <v>OK: capability-driven</v>
      </c>
      <c r="CR771" t="str">
        <f t="shared" si="185"/>
        <v>Risk ontology uses capability=CAP_INCIDENT_RESPONSE; bridge=BRG-079; treatment=TRT-INCIDENT_RESPONSE-INITIAL; wording=IW-ALL-INCIDENT_RESPONSE</v>
      </c>
      <c r="CS771" t="str">
        <f t="shared" si="186"/>
        <v>Yes</v>
      </c>
    </row>
    <row r="772" spans="1:97" ht="69.900000000000006" customHeight="1">
      <c r="A772">
        <f>IF(OR($B772&lt;&gt;"Yes",$BS772=""),"",SUMPRODUCT(($B$500:$B$923="Yes")*ISNUMBER($BS$500:$BS$923)*($BS$500:$BS$923&gt;$BS772))+COUNTIFS($B$500:$B772,"Yes",$BS$500:$BS772,$BS772))</f>
        <v>177</v>
      </c>
      <c r="B772" t="str">
        <f t="shared" si="155"/>
        <v>Yes</v>
      </c>
      <c r="C772" t="s">
        <v>2286</v>
      </c>
      <c r="D772" t="s">
        <v>2339</v>
      </c>
      <c r="E772" t="s">
        <v>2435</v>
      </c>
      <c r="F772" t="s">
        <v>8427</v>
      </c>
      <c r="G772" t="str">
        <f>IF($H772="","",IFERROR(INDEX(_ENGINE_Risk!$H$5:$M$499,MATCH($E772,_ENGINE_Risk!$A$5:$A$499,0),$H772+1),""))</f>
        <v>Severe risk: case and ticket management with logging, categorization, prioritization, escalation and backlog control is not reliably controlled. During Demand shock; Reputation crisis; Cyberattack/ransomware, the organization may face lost or delayed customer issues, escalation chaos and invisible service backlogs during incidents with limited visibility or accountability.</v>
      </c>
      <c r="H772">
        <f>IFERROR(VALUE(INDEX(_DATA_Assessment_Model!$H$5:$H$884,MATCH($E772,_DATA_Assessment_Model!$A$5:$A$884,0))),"")</f>
        <v>0</v>
      </c>
      <c r="I772" t="str">
        <f>IF($H772="","",IFERROR(INDEX(_DATA_Assessment_Model!$L$5:$L$884,MATCH($E772,_DATA_Assessment_Model!$A$5:$A$884,0)),IF($H772&lt;=1,"Critical",IF($H772=2,"High",IF($H772=3,"Medium",IF($H772=4,"Low","Resilient"))))))</f>
        <v>Critical</v>
      </c>
      <c r="J772">
        <f t="shared" si="156"/>
        <v>3.7</v>
      </c>
      <c r="K772">
        <f t="shared" si="157"/>
        <v>4.05</v>
      </c>
      <c r="L772">
        <f t="shared" si="158"/>
        <v>14.984999999999999</v>
      </c>
      <c r="M772">
        <f t="shared" si="159"/>
        <v>3</v>
      </c>
      <c r="N772">
        <f>IF($H772="","",IFERROR(INDEX(_ENGINE_Risk!$T$5:$Y$499,MATCH($E772,_ENGINE_Risk!$A$5:$A$499,0),$H772+1),""))</f>
        <v>3</v>
      </c>
      <c r="O772">
        <f t="shared" si="160"/>
        <v>4.666666666666667</v>
      </c>
      <c r="P772">
        <f t="shared" si="161"/>
        <v>5</v>
      </c>
      <c r="Q772">
        <f t="shared" si="162"/>
        <v>4.6500000000000004</v>
      </c>
      <c r="R772">
        <f t="shared" si="163"/>
        <v>5</v>
      </c>
      <c r="S772">
        <f t="shared" si="164"/>
        <v>1.61</v>
      </c>
      <c r="T772" t="str">
        <f>IF($H772="","",IFERROR(INDEX(_ENGINE_Risk!$N$5:$S$499,MATCH($E772,_ENGINE_Risk!$A$5:$A$499,0),$H772+1),""))</f>
        <v>Create an immediate risk owner, minimum control baseline and fallback procedure for case and ticket management with logging, categorization, prioritization, escalation and backlog control. Add it to the crisis risk register and collect first evidence.</v>
      </c>
      <c r="U772">
        <f>IFERROR(INDEX(_DATA_Assessment_Model!$G$5:$G$884,MATCH($E772,_DATA_Assessment_Model!$A$5:$A$884,0)),"")</f>
        <v>4</v>
      </c>
      <c r="V772">
        <f>IFERROR(INDEX(_DATA_Assessment_Model!$W$5:$W$884,MATCH($E772,_DATA_Assessment_Model!$A$5:$A$884,0)),"")</f>
        <v>5</v>
      </c>
      <c r="W772">
        <f>IFERROR(INDEX(_DATA_Assessment_Model!$X$5:$X$884,MATCH($E772,_DATA_Assessment_Model!$A$5:$A$884,0)),"")</f>
        <v>4</v>
      </c>
      <c r="X772">
        <f>IFERROR(INDEX(_DATA_Assessment_Model!$Y$5:$Y$884,MATCH($E772,_DATA_Assessment_Model!$A$5:$A$884,0)),"")</f>
        <v>5</v>
      </c>
      <c r="Y772" t="s">
        <v>2445</v>
      </c>
      <c r="Z772" t="s">
        <v>8458</v>
      </c>
      <c r="AA772" t="s">
        <v>8457</v>
      </c>
      <c r="AB772">
        <f>IFERROR(INDEX(_DATA_Assessment_Model!$U$5:$U$884,MATCH($E772,_DATA_Assessment_Model!$A$5:$A$884,0)),"")</f>
        <v>0</v>
      </c>
      <c r="AF772" t="s">
        <v>2436</v>
      </c>
      <c r="AO772">
        <f>IF($B772="Yes",IF(IFERROR(INDEX(_ENGINE_Crisis!$F$501:$F$517,MATCH($C772,_ENGINE_Crisis!$A$501:$A$517,0)),1)=0,1,IFERROR(INDEX(_ENGINE_Crisis!$F$501:$F$517,MATCH($C772,_ENGINE_Crisis!$A$501:$A$517,0)),1)),"")</f>
        <v>1</v>
      </c>
      <c r="AP772">
        <f t="shared" si="165"/>
        <v>15</v>
      </c>
      <c r="AQ772">
        <f t="shared" si="166"/>
        <v>1.61</v>
      </c>
      <c r="AR772" t="str">
        <f>IFERROR(INDEX(_ENGINE_Crisis!$E$41:$E$700,MATCH('Resilience &amp; Risk Scenario'!$B$6&amp;"|"&amp;$C772,_ENGINE_Crisis!$I$41:$I$700,0)),"")</f>
        <v/>
      </c>
      <c r="AS772" t="str">
        <f>IFERROR(INDEX(_ENGINE_Crisis!$G$41:$G$700,MATCH('Resilience &amp; Risk Scenario'!$B$6&amp;"|"&amp;$C772,_ENGINE_Crisis!$I$41:$I$700,0)),"")</f>
        <v/>
      </c>
      <c r="AT772" t="str">
        <f>IFERROR(INDEX(_ENGINE_Initiatives!$A$5:$A$532,MATCH(1,INDEX((_ENGINE_Initiatives!$B$5:$B$532=$C772)*(_ENGINE_Initiatives!$C$5:$C$532=$D772),0),0)),"")</f>
        <v/>
      </c>
      <c r="AU772" t="str">
        <f>IFERROR(INDEX(_ENGINE_Initiatives!$F$5:$F$532,MATCH(1,INDEX((_ENGINE_Initiatives!$B$5:$B$532=$C772)*(_ENGINE_Initiatives!$C$5:$C$532=$D772),0),0)),"")</f>
        <v/>
      </c>
      <c r="AV772" t="str">
        <f>IFERROR(INDEX(_ENGINE_Initiatives!$AC$5:$AC$532,MATCH(1,INDEX((_ENGINE_Initiatives!$B$5:$B$532=$C772)*(_ENGINE_Initiatives!$C$5:$C$532=$D772),0),0)),"")</f>
        <v/>
      </c>
      <c r="AW772" t="str">
        <f>IFERROR(INDEX(_ENGINE_Initiatives!$AE$5:$AE$532,MATCH(1,INDEX((_ENGINE_Initiatives!$B$5:$B$532=$C772)*(_ENGINE_Initiatives!$C$5:$C$532=$D772),0),0)),"")</f>
        <v/>
      </c>
      <c r="AX772">
        <f>IF($B772="Yes",IFERROR((IF(SUMIFS(_REF_Model_Content!$E$1:$E$613,_REF_Model_Content!$A$1:$A$613,PV_Canonical_Industry,_REF_Model_Content!$B$1:$B$613,$C772)=0,1,SUMIFS(_REF_Model_Content!$E$1:$E$613,_REF_Model_Content!$A$1:$A$613,PV_Canonical_Industry,_REF_Model_Content!$B$1:$B$613,$C772))*IFERROR($BU772,1)),1),"")</f>
        <v>1</v>
      </c>
      <c r="AY772">
        <f t="shared" si="167"/>
        <v>15</v>
      </c>
      <c r="AZ772">
        <f t="shared" si="168"/>
        <v>1.61</v>
      </c>
      <c r="BB772" t="str">
        <f>IF($H772="","",IFERROR(INDEX(_ENGINE_Risk!$AE$5:$AE$499,MATCH($E772,_ENGINE_Risk!$A$5:$A$499,0)),"Medium"))</f>
        <v>Fast</v>
      </c>
      <c r="BC772">
        <f t="shared" si="169"/>
        <v>1.25</v>
      </c>
      <c r="BD772">
        <f t="shared" si="170"/>
        <v>1.61</v>
      </c>
      <c r="BF772">
        <f>IF(OR($H772="",$J772=""),"",IFERROR(VLOOKUP(ROUND($J772,0),_CONFIG_Model_Settings!$D$154:$E$158,2,0),""))</f>
        <v>0.5</v>
      </c>
      <c r="BG772">
        <f>IFERROR(IF(OR($H772="",$K772=""),"",ROUND('Company Profile'!$B$113*INDEX(_CONFIG_Model_Settings!$H$154:$H$158,MATCH(ROUND($K772,0),_CONFIG_Model_Settings!$G$154:$G$158,0)),0)),0)</f>
        <v>875</v>
      </c>
      <c r="BH772">
        <f t="shared" si="171"/>
        <v>437.5</v>
      </c>
      <c r="BI772">
        <f t="shared" si="172"/>
        <v>437.5</v>
      </c>
      <c r="BJ772">
        <f>IF($E772="","",IFERROR(VLOOKUP($C772,_CONFIG_Risk_Calibration!$A$5:$H$21,2,FALSE),3))</f>
        <v>3</v>
      </c>
      <c r="BK772">
        <f>IF($E772="","",IFERROR(VLOOKUP($C772,_CONFIG_Risk_Calibration!$A$5:$H$21,3,FALSE),0))</f>
        <v>0</v>
      </c>
      <c r="BL772">
        <f>IF($E772="","",IFERROR(VLOOKUP($C772,_CONFIG_Risk_Calibration!$A$5:$H$21,4,FALSE),3))</f>
        <v>3</v>
      </c>
      <c r="BM772">
        <f>IF($E772="","",IFERROR(VLOOKUP($C772,_CONFIG_Risk_Calibration!$A$5:$H$21,5,FALSE),3))</f>
        <v>3</v>
      </c>
      <c r="BN772" t="str">
        <f>IF($E772="","",IFERROR(VLOOKUP($C772,_CONFIG_Risk_Calibration!$A$5:$H$21,6,FALSE),"No"))</f>
        <v>No</v>
      </c>
      <c r="BO772">
        <f>IF($E772="","",IFERROR(VLOOKUP($C772,_CONFIG_Risk_Calibration!$A$5:$H$21,7,FALSE),1))</f>
        <v>1</v>
      </c>
      <c r="BP772">
        <f>IF($H772="","",MAX(1,MIN(5,((6-$H772)*0.45)+($BJ772*0.2)+('Resilience &amp; Risk Scenario'!$B$7*0.15)+($BK772*0.1)+($BL772*0.05)+(IF($BB772="Fast",5,IF($BB772="Slow",1,3))*0.05))))</f>
        <v>3.7</v>
      </c>
      <c r="BQ772">
        <f t="shared" si="173"/>
        <v>4.05</v>
      </c>
      <c r="BR772">
        <f t="shared" si="174"/>
        <v>14.99</v>
      </c>
      <c r="BS772">
        <f t="shared" si="175"/>
        <v>18.739999999999998</v>
      </c>
      <c r="BT772" t="str">
        <f>IFERROR(INDEX(_REF_Capability_Bridge!$D:$D,MATCH($C772&amp;"|"&amp;$D772,_REF_Capability_Bridge!$J:$J,0)),IFERROR(INDEX(_REF_Capability_Bridge!$D:$D,MATCH($C772&amp;"|",_REF_Capability_Bridge!$J:$J,0)),"CAP_GENERIC"))</f>
        <v>CAP_INCIDENT_RESPONSE</v>
      </c>
      <c r="BU772">
        <f>IFERROR(IFERROR(INDEX(_ENGINE_Relevance!$L:$L,MATCH($BT772,_ENGINE_Relevance!$B:$B,0)),1),1)</f>
        <v>1</v>
      </c>
      <c r="BV772" t="str">
        <f>IFERROR(INDEX(_REF_Capability_Bridge!$A:$A,MATCH($C772&amp;"|"&amp;$D772,_REF_Capability_Bridge!$J:$J,0)),IFERROR(INDEX(_REF_Capability_Bridge!$A:$A,MATCH($C772&amp;"|",_REF_Capability_Bridge!$J:$J,0)),"No bridge"))</f>
        <v>BRG-079</v>
      </c>
      <c r="BW772" t="str">
        <f t="shared" si="176"/>
        <v>Capability relevance neutral</v>
      </c>
      <c r="BX772" t="str">
        <f t="shared" si="177"/>
        <v>Initial / absent</v>
      </c>
      <c r="BY772" t="str">
        <f>IF($E772="","",IFERROR(INDEX(_REF_Treatment_Library!$A$2:$A$296,MATCH(1,INDEX((_REF_Treatment_Library!$B$2:$B$296=$BT772)*(_REF_Treatment_Library!$C$2:$C$296=PV_Canonical_Industry)*(_REF_Treatment_Library!$E$2:$E$296&lt;=N($H772))*(_REF_Treatment_Library!$F$2:$F$296&gt;=N($H772))*(_REF_Treatment_Library!$O$2:$O$296="Yes"),0),0)),IFERROR(INDEX(_REF_Treatment_Library!$A$2:$A$296,MATCH(1,INDEX((_REF_Treatment_Library!$B$2:$B$296=$BT772)*(_REF_Treatment_Library!$C$2:$C$296="All")*(_REF_Treatment_Library!$E$2:$E$296&lt;=N($H772))*(_REF_Treatment_Library!$F$2:$F$296&gt;=N($H772))*(_REF_Treatment_Library!$O$2:$O$296="Yes"),0),0)),"")))</f>
        <v>TRT-INCIDENT_RESPONSE-INITIAL</v>
      </c>
      <c r="BZ772" t="str">
        <f>IF($BY772="","",IFERROR(INDEX(_REF_Treatment_Library!$H$2:$H$296,MATCH($BY772,_REF_Treatment_Library!$A$2:$A$296,0)),""))</f>
        <v>Establish</v>
      </c>
      <c r="CA772" t="str">
        <f>IF($BY772="","",IFERROR(INDEX(_REF_Treatment_Library!$I$2:$I$296,MATCH($BY772,_REF_Treatment_Library!$A$2:$A$296,0)),""))</f>
        <v>Establish baseline controls for Incident response</v>
      </c>
      <c r="CB772" t="str">
        <f>IF($BY772="","",IFERROR(INDEX(_REF_Treatment_Library!$K$2:$K$296,MATCH($BY772,_REF_Treatment_Library!$A$2:$A$296,0)),""))</f>
        <v>Named owner, baseline process, minimum control checklist, first evidence package</v>
      </c>
      <c r="CC772" t="str">
        <f>IF($BY772="","",IFERROR(INDEX(_REF_Treatment_Library!$L$2:$L$296,MATCH($BY772,_REF_Treatment_Library!$A$2:$A$296,0)),""))</f>
        <v>Owner assigned; baseline evidence coverage; open critical gaps</v>
      </c>
      <c r="CD772" t="str">
        <f t="shared" si="178"/>
        <v>Treatment by capability=CAP_INCIDENT_RESPONSE; band=Initial / absent; score=0.0; treatment=Establish</v>
      </c>
      <c r="CE772" t="str">
        <f>IF($E772="","",IFERROR(INDEX(_REF_Industry_Wording!$A$2:$A$70,MATCH(1,INDEX((_REF_Industry_Wording!$B$2:$B$70=$BT772)*(_REF_Industry_Wording!$C$2:$C$70=PV_Canonical_Industry)*(_REF_Industry_Wording!$K$2:$K$70="Yes"),0),0)),IFERROR(INDEX(_REF_Industry_Wording!$A$2:$A$70,MATCH(1,INDEX((_REF_Industry_Wording!$B$2:$B$70=$BT772)*(_REF_Industry_Wording!$C$2:$C$70="All")*(_REF_Industry_Wording!$K$2:$K$70="Yes"),0),0)),"")))</f>
        <v>IW-ALL-INCIDENT_RESPONSE</v>
      </c>
      <c r="CF772" t="str">
        <f>IF($CE772="","",IFERROR(INDEX(_REF_Industry_Wording!$E$2:$E$70,MATCH($CE772,_REF_Industry_Wording!$A$2:$A$70,0)),""))</f>
        <v>Incident response weakness</v>
      </c>
      <c r="CG772" t="str">
        <f>IF($CE772="","",IFERROR(INDEX(_REF_Industry_Wording!$F$2:$F$70,MATCH($CE772,_REF_Industry_Wording!$A$2:$A$70,0)),""))</f>
        <v>Strengthen Incident response</v>
      </c>
      <c r="CH772" t="str">
        <f>IF($CE772="","",IFERROR(INDEX(_REF_Industry_Wording!$G$2:$G$70,MATCH($CE772,_REF_Industry_Wording!$A$2:$A$70,0)),""))</f>
        <v>Strengthen Incident response using the selected maturity treatment, crisis scenario and evidence requirements.</v>
      </c>
      <c r="CI772" t="str">
        <f>IF($CE772="","",IFERROR(INDEX(_REF_Industry_Wording!$H$2:$H$70,MATCH($CE772,_REF_Industry_Wording!$A$2:$A$70,0)),""))</f>
        <v>Incident response</v>
      </c>
      <c r="CJ772">
        <f>IF($CE772="","",IFERROR(INDEX(_REF_Industry_Wording!$I$2:$I$70,MATCH($CE772,_REF_Industry_Wording!$A$2:$A$70,0)),""))</f>
        <v>0</v>
      </c>
      <c r="CK772" t="str">
        <f>IF($CE772="","",IFERROR(INDEX(_REF_Industry_Wording!$J$2:$J$70,MATCH($CE772,_REF_Industry_Wording!$A$2:$A$70,0)),""))</f>
        <v>Incident response</v>
      </c>
      <c r="CL772" t="str">
        <f t="shared" si="179"/>
        <v>Wording by industry=0; capability=CAP_INCIDENT_RESPONSE; risk label=Incident response weakness</v>
      </c>
      <c r="CM772" t="str">
        <f t="shared" si="180"/>
        <v>RISK-ONT-0273</v>
      </c>
      <c r="CN772" t="str">
        <f t="shared" si="181"/>
        <v>RISK-EVT-0273</v>
      </c>
      <c r="CO772" t="str">
        <f t="shared" si="182"/>
        <v>Sales CRM|Customer service|SALE-023|CAP_INCIDENT_RESPONSE</v>
      </c>
      <c r="CP772" t="str">
        <f t="shared" si="183"/>
        <v>Active</v>
      </c>
      <c r="CQ772" t="str">
        <f t="shared" si="184"/>
        <v>OK: capability-driven</v>
      </c>
      <c r="CR772" t="str">
        <f t="shared" si="185"/>
        <v>Risk ontology uses capability=CAP_INCIDENT_RESPONSE; bridge=BRG-079; treatment=TRT-INCIDENT_RESPONSE-INITIAL; wording=IW-ALL-INCIDENT_RESPONSE</v>
      </c>
      <c r="CS772" t="str">
        <f t="shared" si="186"/>
        <v>Yes</v>
      </c>
    </row>
    <row r="773" spans="1:97" ht="69.900000000000006" customHeight="1">
      <c r="A773">
        <f>IF(OR($B773&lt;&gt;"Yes",$BS773=""),"",SUMPRODUCT(($B$500:$B$923="Yes")*ISNUMBER($BS$500:$BS$923)*($BS$500:$BS$923&gt;$BS773))+COUNTIFS($B$500:$B773,"Yes",$BS$500:$BS773,$BS773))</f>
        <v>157</v>
      </c>
      <c r="B773" t="str">
        <f t="shared" si="155"/>
        <v>Yes</v>
      </c>
      <c r="C773" t="s">
        <v>2286</v>
      </c>
      <c r="D773" t="s">
        <v>2339</v>
      </c>
      <c r="E773" t="s">
        <v>2446</v>
      </c>
      <c r="F773" t="s">
        <v>8427</v>
      </c>
      <c r="G773" t="str">
        <f>IF($H773="","",IFERROR(INDEX(_ENGINE_Risk!$H$5:$M$499,MATCH($E773,_ENGINE_Risk!$A$5:$A$499,0),$H773+1),""))</f>
        <v>Severe risk: customer service continuity with surge handling, channel failover and after-hours emergency coverage is not reliably controlled. During Demand shock; Workforce disruption; Cloud/SaaS outage, the organization may face service collapse under demand spikes, channel outages or staff unavailability with limited visibility or accountability.</v>
      </c>
      <c r="H773">
        <f>IFERROR(VALUE(INDEX(_DATA_Assessment_Model!$H$5:$H$884,MATCH($E773,_DATA_Assessment_Model!$A$5:$A$884,0))),"")</f>
        <v>0</v>
      </c>
      <c r="I773" t="str">
        <f>IF($H773="","",IFERROR(INDEX(_DATA_Assessment_Model!$L$5:$L$884,MATCH($E773,_DATA_Assessment_Model!$A$5:$A$884,0)),IF($H773&lt;=1,"Critical",IF($H773=2,"High",IF($H773=3,"Medium",IF($H773=4,"Low","Resilient"))))))</f>
        <v>Critical</v>
      </c>
      <c r="J773">
        <f t="shared" si="156"/>
        <v>3.7</v>
      </c>
      <c r="K773">
        <f t="shared" si="157"/>
        <v>4.2</v>
      </c>
      <c r="L773">
        <f t="shared" si="158"/>
        <v>15.540000000000001</v>
      </c>
      <c r="M773">
        <f t="shared" si="159"/>
        <v>4</v>
      </c>
      <c r="N773">
        <f>IF($H773="","",IFERROR(INDEX(_ENGINE_Risk!$T$5:$Y$499,MATCH($E773,_ENGINE_Risk!$A$5:$A$499,0),$H773+1),""))</f>
        <v>3</v>
      </c>
      <c r="O773">
        <f t="shared" si="160"/>
        <v>4.333333333333333</v>
      </c>
      <c r="P773">
        <f t="shared" si="161"/>
        <v>5</v>
      </c>
      <c r="Q773">
        <f t="shared" si="162"/>
        <v>5</v>
      </c>
      <c r="R773">
        <f t="shared" si="163"/>
        <v>4</v>
      </c>
      <c r="S773">
        <f t="shared" si="164"/>
        <v>1.53</v>
      </c>
      <c r="T773" t="str">
        <f>IF($H773="","",IFERROR(INDEX(_ENGINE_Risk!$N$5:$S$499,MATCH($E773,_ENGINE_Risk!$A$5:$A$499,0),$H773+1),""))</f>
        <v>Create an immediate risk owner, minimum control baseline and fallback procedure for customer service continuity with surge handling, channel failover and after-hours emergency coverage. Add it to the crisis risk register and collect first evidence.</v>
      </c>
      <c r="U773">
        <f>IFERROR(INDEX(_DATA_Assessment_Model!$G$5:$G$884,MATCH($E773,_DATA_Assessment_Model!$A$5:$A$884,0)),"")</f>
        <v>5</v>
      </c>
      <c r="V773">
        <f>IFERROR(INDEX(_DATA_Assessment_Model!$W$5:$W$884,MATCH($E773,_DATA_Assessment_Model!$A$5:$A$884,0)),"")</f>
        <v>4</v>
      </c>
      <c r="W773">
        <f>IFERROR(INDEX(_DATA_Assessment_Model!$X$5:$X$884,MATCH($E773,_DATA_Assessment_Model!$A$5:$A$884,0)),"")</f>
        <v>5</v>
      </c>
      <c r="X773">
        <f>IFERROR(INDEX(_DATA_Assessment_Model!$Y$5:$Y$884,MATCH($E773,_DATA_Assessment_Model!$A$5:$A$884,0)),"")</f>
        <v>4</v>
      </c>
      <c r="Y773" t="s">
        <v>2450</v>
      </c>
      <c r="Z773" t="s">
        <v>8442</v>
      </c>
      <c r="AA773" t="s">
        <v>8473</v>
      </c>
      <c r="AB773">
        <f>IFERROR(INDEX(_DATA_Assessment_Model!$U$5:$U$884,MATCH($E773,_DATA_Assessment_Model!$A$5:$A$884,0)),"")</f>
        <v>0</v>
      </c>
      <c r="AF773" t="s">
        <v>2447</v>
      </c>
      <c r="AO773">
        <f>IF($B773="Yes",IF(IFERROR(INDEX(_ENGINE_Crisis!$F$501:$F$517,MATCH($C773,_ENGINE_Crisis!$A$501:$A$517,0)),1)=0,1,IFERROR(INDEX(_ENGINE_Crisis!$F$501:$F$517,MATCH($C773,_ENGINE_Crisis!$A$501:$A$517,0)),1)),"")</f>
        <v>1</v>
      </c>
      <c r="AP773">
        <f t="shared" si="165"/>
        <v>15.5</v>
      </c>
      <c r="AQ773">
        <f t="shared" si="166"/>
        <v>1.53</v>
      </c>
      <c r="AR773" t="str">
        <f>IFERROR(INDEX(_ENGINE_Crisis!$E$41:$E$700,MATCH('Resilience &amp; Risk Scenario'!$B$6&amp;"|"&amp;$C773,_ENGINE_Crisis!$I$41:$I$700,0)),"")</f>
        <v/>
      </c>
      <c r="AS773" t="str">
        <f>IFERROR(INDEX(_ENGINE_Crisis!$G$41:$G$700,MATCH('Resilience &amp; Risk Scenario'!$B$6&amp;"|"&amp;$C773,_ENGINE_Crisis!$I$41:$I$700,0)),"")</f>
        <v/>
      </c>
      <c r="AT773" t="str">
        <f>IFERROR(INDEX(_ENGINE_Initiatives!$A$5:$A$532,MATCH(1,INDEX((_ENGINE_Initiatives!$B$5:$B$532=$C773)*(_ENGINE_Initiatives!$C$5:$C$532=$D773),0),0)),"")</f>
        <v/>
      </c>
      <c r="AU773" t="str">
        <f>IFERROR(INDEX(_ENGINE_Initiatives!$F$5:$F$532,MATCH(1,INDEX((_ENGINE_Initiatives!$B$5:$B$532=$C773)*(_ENGINE_Initiatives!$C$5:$C$532=$D773),0),0)),"")</f>
        <v/>
      </c>
      <c r="AV773" t="str">
        <f>IFERROR(INDEX(_ENGINE_Initiatives!$AC$5:$AC$532,MATCH(1,INDEX((_ENGINE_Initiatives!$B$5:$B$532=$C773)*(_ENGINE_Initiatives!$C$5:$C$532=$D773),0),0)),"")</f>
        <v/>
      </c>
      <c r="AW773" t="str">
        <f>IFERROR(INDEX(_ENGINE_Initiatives!$AE$5:$AE$532,MATCH(1,INDEX((_ENGINE_Initiatives!$B$5:$B$532=$C773)*(_ENGINE_Initiatives!$C$5:$C$532=$D773),0),0)),"")</f>
        <v/>
      </c>
      <c r="AX773">
        <f>IF($B773="Yes",IFERROR((IF(SUMIFS(_REF_Model_Content!$E$1:$E$613,_REF_Model_Content!$A$1:$A$613,PV_Canonical_Industry,_REF_Model_Content!$B$1:$B$613,$C773)=0,1,SUMIFS(_REF_Model_Content!$E$1:$E$613,_REF_Model_Content!$A$1:$A$613,PV_Canonical_Industry,_REF_Model_Content!$B$1:$B$613,$C773))*IFERROR($BU773,1)),1),"")</f>
        <v>1</v>
      </c>
      <c r="AY773">
        <f t="shared" si="167"/>
        <v>15.5</v>
      </c>
      <c r="AZ773">
        <f t="shared" si="168"/>
        <v>1.53</v>
      </c>
      <c r="BB773" t="str">
        <f>IF($H773="","",IFERROR(INDEX(_ENGINE_Risk!$AE$5:$AE$499,MATCH($E773,_ENGINE_Risk!$A$5:$A$499,0)),"Medium"))</f>
        <v>Fast</v>
      </c>
      <c r="BC773">
        <f t="shared" si="169"/>
        <v>1.25</v>
      </c>
      <c r="BD773">
        <f t="shared" si="170"/>
        <v>1.53</v>
      </c>
      <c r="BF773">
        <f>IF(OR($H773="",$J773=""),"",IFERROR(VLOOKUP(ROUND($J773,0),_CONFIG_Model_Settings!$D$154:$E$158,2,0),""))</f>
        <v>0.5</v>
      </c>
      <c r="BG773">
        <f>IFERROR(IF(OR($H773="",$K773=""),"",ROUND('Company Profile'!$B$113*INDEX(_CONFIG_Model_Settings!$H$154:$H$158,MATCH(ROUND($K773,0),_CONFIG_Model_Settings!$G$154:$G$158,0)),0)),0)</f>
        <v>875</v>
      </c>
      <c r="BH773">
        <f t="shared" si="171"/>
        <v>437.5</v>
      </c>
      <c r="BI773">
        <f t="shared" si="172"/>
        <v>437.5</v>
      </c>
      <c r="BJ773">
        <f>IF($E773="","",IFERROR(VLOOKUP($C773,_CONFIG_Risk_Calibration!$A$5:$H$21,2,FALSE),3))</f>
        <v>3</v>
      </c>
      <c r="BK773">
        <f>IF($E773="","",IFERROR(VLOOKUP($C773,_CONFIG_Risk_Calibration!$A$5:$H$21,3,FALSE),0))</f>
        <v>0</v>
      </c>
      <c r="BL773">
        <f>IF($E773="","",IFERROR(VLOOKUP($C773,_CONFIG_Risk_Calibration!$A$5:$H$21,4,FALSE),3))</f>
        <v>3</v>
      </c>
      <c r="BM773">
        <f>IF($E773="","",IFERROR(VLOOKUP($C773,_CONFIG_Risk_Calibration!$A$5:$H$21,5,FALSE),3))</f>
        <v>3</v>
      </c>
      <c r="BN773" t="str">
        <f>IF($E773="","",IFERROR(VLOOKUP($C773,_CONFIG_Risk_Calibration!$A$5:$H$21,6,FALSE),"No"))</f>
        <v>No</v>
      </c>
      <c r="BO773">
        <f>IF($E773="","",IFERROR(VLOOKUP($C773,_CONFIG_Risk_Calibration!$A$5:$H$21,7,FALSE),1))</f>
        <v>1</v>
      </c>
      <c r="BP773">
        <f>IF($H773="","",MAX(1,MIN(5,((6-$H773)*0.45)+($BJ773*0.2)+('Resilience &amp; Risk Scenario'!$B$7*0.15)+($BK773*0.1)+($BL773*0.05)+(IF($BB773="Fast",5,IF($BB773="Slow",1,3))*0.05))))</f>
        <v>3.7</v>
      </c>
      <c r="BQ773">
        <f t="shared" si="173"/>
        <v>4.2</v>
      </c>
      <c r="BR773">
        <f t="shared" si="174"/>
        <v>15.54</v>
      </c>
      <c r="BS773">
        <f t="shared" si="175"/>
        <v>19.43</v>
      </c>
      <c r="BT773" t="str">
        <f>IFERROR(INDEX(_REF_Capability_Bridge!$D:$D,MATCH($C773&amp;"|"&amp;$D773,_REF_Capability_Bridge!$J:$J,0)),IFERROR(INDEX(_REF_Capability_Bridge!$D:$D,MATCH($C773&amp;"|",_REF_Capability_Bridge!$J:$J,0)),"CAP_GENERIC"))</f>
        <v>CAP_INCIDENT_RESPONSE</v>
      </c>
      <c r="BU773">
        <f>IFERROR(IFERROR(INDEX(_ENGINE_Relevance!$L:$L,MATCH($BT773,_ENGINE_Relevance!$B:$B,0)),1),1)</f>
        <v>1</v>
      </c>
      <c r="BV773" t="str">
        <f>IFERROR(INDEX(_REF_Capability_Bridge!$A:$A,MATCH($C773&amp;"|"&amp;$D773,_REF_Capability_Bridge!$J:$J,0)),IFERROR(INDEX(_REF_Capability_Bridge!$A:$A,MATCH($C773&amp;"|",_REF_Capability_Bridge!$J:$J,0)),"No bridge"))</f>
        <v>BRG-079</v>
      </c>
      <c r="BW773" t="str">
        <f t="shared" si="176"/>
        <v>Capability relevance neutral</v>
      </c>
      <c r="BX773" t="str">
        <f t="shared" si="177"/>
        <v>Initial / absent</v>
      </c>
      <c r="BY773" t="str">
        <f>IF($E773="","",IFERROR(INDEX(_REF_Treatment_Library!$A$2:$A$296,MATCH(1,INDEX((_REF_Treatment_Library!$B$2:$B$296=$BT773)*(_REF_Treatment_Library!$C$2:$C$296=PV_Canonical_Industry)*(_REF_Treatment_Library!$E$2:$E$296&lt;=N($H773))*(_REF_Treatment_Library!$F$2:$F$296&gt;=N($H773))*(_REF_Treatment_Library!$O$2:$O$296="Yes"),0),0)),IFERROR(INDEX(_REF_Treatment_Library!$A$2:$A$296,MATCH(1,INDEX((_REF_Treatment_Library!$B$2:$B$296=$BT773)*(_REF_Treatment_Library!$C$2:$C$296="All")*(_REF_Treatment_Library!$E$2:$E$296&lt;=N($H773))*(_REF_Treatment_Library!$F$2:$F$296&gt;=N($H773))*(_REF_Treatment_Library!$O$2:$O$296="Yes"),0),0)),"")))</f>
        <v>TRT-INCIDENT_RESPONSE-INITIAL</v>
      </c>
      <c r="BZ773" t="str">
        <f>IF($BY773="","",IFERROR(INDEX(_REF_Treatment_Library!$H$2:$H$296,MATCH($BY773,_REF_Treatment_Library!$A$2:$A$296,0)),""))</f>
        <v>Establish</v>
      </c>
      <c r="CA773" t="str">
        <f>IF($BY773="","",IFERROR(INDEX(_REF_Treatment_Library!$I$2:$I$296,MATCH($BY773,_REF_Treatment_Library!$A$2:$A$296,0)),""))</f>
        <v>Establish baseline controls for Incident response</v>
      </c>
      <c r="CB773" t="str">
        <f>IF($BY773="","",IFERROR(INDEX(_REF_Treatment_Library!$K$2:$K$296,MATCH($BY773,_REF_Treatment_Library!$A$2:$A$296,0)),""))</f>
        <v>Named owner, baseline process, minimum control checklist, first evidence package</v>
      </c>
      <c r="CC773" t="str">
        <f>IF($BY773="","",IFERROR(INDEX(_REF_Treatment_Library!$L$2:$L$296,MATCH($BY773,_REF_Treatment_Library!$A$2:$A$296,0)),""))</f>
        <v>Owner assigned; baseline evidence coverage; open critical gaps</v>
      </c>
      <c r="CD773" t="str">
        <f t="shared" si="178"/>
        <v>Treatment by capability=CAP_INCIDENT_RESPONSE; band=Initial / absent; score=0.0; treatment=Establish</v>
      </c>
      <c r="CE773" t="str">
        <f>IF($E773="","",IFERROR(INDEX(_REF_Industry_Wording!$A$2:$A$70,MATCH(1,INDEX((_REF_Industry_Wording!$B$2:$B$70=$BT773)*(_REF_Industry_Wording!$C$2:$C$70=PV_Canonical_Industry)*(_REF_Industry_Wording!$K$2:$K$70="Yes"),0),0)),IFERROR(INDEX(_REF_Industry_Wording!$A$2:$A$70,MATCH(1,INDEX((_REF_Industry_Wording!$B$2:$B$70=$BT773)*(_REF_Industry_Wording!$C$2:$C$70="All")*(_REF_Industry_Wording!$K$2:$K$70="Yes"),0),0)),"")))</f>
        <v>IW-ALL-INCIDENT_RESPONSE</v>
      </c>
      <c r="CF773" t="str">
        <f>IF($CE773="","",IFERROR(INDEX(_REF_Industry_Wording!$E$2:$E$70,MATCH($CE773,_REF_Industry_Wording!$A$2:$A$70,0)),""))</f>
        <v>Incident response weakness</v>
      </c>
      <c r="CG773" t="str">
        <f>IF($CE773="","",IFERROR(INDEX(_REF_Industry_Wording!$F$2:$F$70,MATCH($CE773,_REF_Industry_Wording!$A$2:$A$70,0)),""))</f>
        <v>Strengthen Incident response</v>
      </c>
      <c r="CH773" t="str">
        <f>IF($CE773="","",IFERROR(INDEX(_REF_Industry_Wording!$G$2:$G$70,MATCH($CE773,_REF_Industry_Wording!$A$2:$A$70,0)),""))</f>
        <v>Strengthen Incident response using the selected maturity treatment, crisis scenario and evidence requirements.</v>
      </c>
      <c r="CI773" t="str">
        <f>IF($CE773="","",IFERROR(INDEX(_REF_Industry_Wording!$H$2:$H$70,MATCH($CE773,_REF_Industry_Wording!$A$2:$A$70,0)),""))</f>
        <v>Incident response</v>
      </c>
      <c r="CJ773">
        <f>IF($CE773="","",IFERROR(INDEX(_REF_Industry_Wording!$I$2:$I$70,MATCH($CE773,_REF_Industry_Wording!$A$2:$A$70,0)),""))</f>
        <v>0</v>
      </c>
      <c r="CK773" t="str">
        <f>IF($CE773="","",IFERROR(INDEX(_REF_Industry_Wording!$J$2:$J$70,MATCH($CE773,_REF_Industry_Wording!$A$2:$A$70,0)),""))</f>
        <v>Incident response</v>
      </c>
      <c r="CL773" t="str">
        <f t="shared" si="179"/>
        <v>Wording by industry=0; capability=CAP_INCIDENT_RESPONSE; risk label=Incident response weakness</v>
      </c>
      <c r="CM773" t="str">
        <f t="shared" si="180"/>
        <v>RISK-ONT-0274</v>
      </c>
      <c r="CN773" t="str">
        <f t="shared" si="181"/>
        <v>RISK-EVT-0274</v>
      </c>
      <c r="CO773" t="str">
        <f t="shared" si="182"/>
        <v>Sales CRM|Customer service|SALE-024|CAP_INCIDENT_RESPONSE</v>
      </c>
      <c r="CP773" t="str">
        <f t="shared" si="183"/>
        <v>Active</v>
      </c>
      <c r="CQ773" t="str">
        <f t="shared" si="184"/>
        <v>OK: capability-driven</v>
      </c>
      <c r="CR773" t="str">
        <f t="shared" si="185"/>
        <v>Risk ontology uses capability=CAP_INCIDENT_RESPONSE; bridge=BRG-079; treatment=TRT-INCIDENT_RESPONSE-INITIAL; wording=IW-ALL-INCIDENT_RESPONSE</v>
      </c>
      <c r="CS773" t="str">
        <f t="shared" si="186"/>
        <v>Yes</v>
      </c>
    </row>
    <row r="774" spans="1:97" ht="69.900000000000006" customHeight="1">
      <c r="A774">
        <f>IF(OR($B774&lt;&gt;"Yes",$BS774=""),"",SUMPRODUCT(($B$500:$B$923="Yes")*ISNUMBER($BS$500:$BS$923)*($BS$500:$BS$923&gt;$BS774))+COUNTIFS($B$500:$B774,"Yes",$BS$500:$BS774,$BS774))</f>
        <v>330</v>
      </c>
      <c r="B774" t="str">
        <f t="shared" si="155"/>
        <v>Yes</v>
      </c>
      <c r="C774" t="s">
        <v>2286</v>
      </c>
      <c r="D774" t="s">
        <v>2339</v>
      </c>
      <c r="E774" t="s">
        <v>2451</v>
      </c>
      <c r="F774" t="s">
        <v>8427</v>
      </c>
      <c r="G774" t="str">
        <f>IF($H774="","",IFERROR(INDEX(_ENGINE_Risk!$H$5:$M$499,MATCH($E774,_ENGINE_Risk!$A$5:$A$499,0),$H774+1),""))</f>
        <v>Severe risk: voice-of-customer loop converting complaints and feedback into product and process improvements is not reliably controlled. During Reputation crisis; Demand shock, the organization may face repeated failure causes, silent churn and missed early-warning signals from customers with limited visibility or accountability.</v>
      </c>
      <c r="H774">
        <f>IFERROR(VALUE(INDEX(_DATA_Assessment_Model!$H$5:$H$884,MATCH($E774,_DATA_Assessment_Model!$A$5:$A$884,0))),"")</f>
        <v>0</v>
      </c>
      <c r="I774" t="str">
        <f>IF($H774="","",IFERROR(INDEX(_DATA_Assessment_Model!$L$5:$L$884,MATCH($E774,_DATA_Assessment_Model!$A$5:$A$884,0)),IF($H774&lt;=1,"Critical",IF($H774=2,"High",IF($H774=3,"Medium",IF($H774=4,"Low","Resilient"))))))</f>
        <v>Critical</v>
      </c>
      <c r="J774">
        <f t="shared" si="156"/>
        <v>3.7</v>
      </c>
      <c r="K774">
        <f t="shared" si="157"/>
        <v>3.3</v>
      </c>
      <c r="L774">
        <f t="shared" si="158"/>
        <v>12.209999999999999</v>
      </c>
      <c r="M774">
        <f t="shared" si="159"/>
        <v>3</v>
      </c>
      <c r="N774">
        <f>IF($H774="","",IFERROR(INDEX(_ENGINE_Risk!$T$5:$Y$499,MATCH($E774,_ENGINE_Risk!$A$5:$A$499,0),$H774+1),""))</f>
        <v>2</v>
      </c>
      <c r="O774">
        <f t="shared" si="160"/>
        <v>3.6666666666666665</v>
      </c>
      <c r="P774">
        <f t="shared" si="161"/>
        <v>5</v>
      </c>
      <c r="Q774">
        <f t="shared" si="162"/>
        <v>4.3</v>
      </c>
      <c r="R774">
        <f t="shared" si="163"/>
        <v>4</v>
      </c>
      <c r="S774">
        <f t="shared" si="164"/>
        <v>2.12</v>
      </c>
      <c r="T774" t="str">
        <f>IF($H774="","",IFERROR(INDEX(_ENGINE_Risk!$N$5:$S$499,MATCH($E774,_ENGINE_Risk!$A$5:$A$499,0),$H774+1),""))</f>
        <v>Create an immediate risk owner, minimum control baseline and fallback procedure for voice-of-customer loop converting complaints and feedback into product and process improvements. Add it to the crisis risk register and collect first evidence.</v>
      </c>
      <c r="U774">
        <f>IFERROR(INDEX(_DATA_Assessment_Model!$G$5:$G$884,MATCH($E774,_DATA_Assessment_Model!$A$5:$A$884,0)),"")</f>
        <v>3</v>
      </c>
      <c r="V774">
        <f>IFERROR(INDEX(_DATA_Assessment_Model!$W$5:$W$884,MATCH($E774,_DATA_Assessment_Model!$A$5:$A$884,0)),"")</f>
        <v>3</v>
      </c>
      <c r="W774">
        <f>IFERROR(INDEX(_DATA_Assessment_Model!$X$5:$X$884,MATCH($E774,_DATA_Assessment_Model!$A$5:$A$884,0)),"")</f>
        <v>3</v>
      </c>
      <c r="X774">
        <f>IFERROR(INDEX(_DATA_Assessment_Model!$Y$5:$Y$884,MATCH($E774,_DATA_Assessment_Model!$A$5:$A$884,0)),"")</f>
        <v>5</v>
      </c>
      <c r="Y774" t="s">
        <v>2461</v>
      </c>
      <c r="Z774" t="s">
        <v>8489</v>
      </c>
      <c r="AA774" t="s">
        <v>8488</v>
      </c>
      <c r="AB774">
        <f>IFERROR(INDEX(_DATA_Assessment_Model!$U$5:$U$884,MATCH($E774,_DATA_Assessment_Model!$A$5:$A$884,0)),"")</f>
        <v>0</v>
      </c>
      <c r="AF774" t="s">
        <v>2452</v>
      </c>
      <c r="AO774">
        <f>IF($B774="Yes",IF(IFERROR(INDEX(_ENGINE_Crisis!$F$501:$F$517,MATCH($C774,_ENGINE_Crisis!$A$501:$A$517,0)),1)=0,1,IFERROR(INDEX(_ENGINE_Crisis!$F$501:$F$517,MATCH($C774,_ENGINE_Crisis!$A$501:$A$517,0)),1)),"")</f>
        <v>1</v>
      </c>
      <c r="AP774">
        <f t="shared" si="165"/>
        <v>12.2</v>
      </c>
      <c r="AQ774">
        <f t="shared" si="166"/>
        <v>2.12</v>
      </c>
      <c r="AR774" t="str">
        <f>IFERROR(INDEX(_ENGINE_Crisis!$E$41:$E$700,MATCH('Resilience &amp; Risk Scenario'!$B$6&amp;"|"&amp;$C774,_ENGINE_Crisis!$I$41:$I$700,0)),"")</f>
        <v/>
      </c>
      <c r="AS774" t="str">
        <f>IFERROR(INDEX(_ENGINE_Crisis!$G$41:$G$700,MATCH('Resilience &amp; Risk Scenario'!$B$6&amp;"|"&amp;$C774,_ENGINE_Crisis!$I$41:$I$700,0)),"")</f>
        <v/>
      </c>
      <c r="AT774" t="str">
        <f>IFERROR(INDEX(_ENGINE_Initiatives!$A$5:$A$532,MATCH(1,INDEX((_ENGINE_Initiatives!$B$5:$B$532=$C774)*(_ENGINE_Initiatives!$C$5:$C$532=$D774),0),0)),"")</f>
        <v/>
      </c>
      <c r="AU774" t="str">
        <f>IFERROR(INDEX(_ENGINE_Initiatives!$F$5:$F$532,MATCH(1,INDEX((_ENGINE_Initiatives!$B$5:$B$532=$C774)*(_ENGINE_Initiatives!$C$5:$C$532=$D774),0),0)),"")</f>
        <v/>
      </c>
      <c r="AV774" t="str">
        <f>IFERROR(INDEX(_ENGINE_Initiatives!$AC$5:$AC$532,MATCH(1,INDEX((_ENGINE_Initiatives!$B$5:$B$532=$C774)*(_ENGINE_Initiatives!$C$5:$C$532=$D774),0),0)),"")</f>
        <v/>
      </c>
      <c r="AW774" t="str">
        <f>IFERROR(INDEX(_ENGINE_Initiatives!$AE$5:$AE$532,MATCH(1,INDEX((_ENGINE_Initiatives!$B$5:$B$532=$C774)*(_ENGINE_Initiatives!$C$5:$C$532=$D774),0),0)),"")</f>
        <v/>
      </c>
      <c r="AX774">
        <f>IF($B774="Yes",IFERROR((IF(SUMIFS(_REF_Model_Content!$E$1:$E$613,_REF_Model_Content!$A$1:$A$613,PV_Canonical_Industry,_REF_Model_Content!$B$1:$B$613,$C774)=0,1,SUMIFS(_REF_Model_Content!$E$1:$E$613,_REF_Model_Content!$A$1:$A$613,PV_Canonical_Industry,_REF_Model_Content!$B$1:$B$613,$C774))*IFERROR($BU774,1)),1),"")</f>
        <v>1</v>
      </c>
      <c r="AY774">
        <f t="shared" si="167"/>
        <v>12.2</v>
      </c>
      <c r="AZ774">
        <f t="shared" si="168"/>
        <v>2.12</v>
      </c>
      <c r="BB774" t="str">
        <f>IF($H774="","",IFERROR(INDEX(_ENGINE_Risk!$AE$5:$AE$499,MATCH($E774,_ENGINE_Risk!$A$5:$A$499,0)),"Medium"))</f>
        <v>Fast</v>
      </c>
      <c r="BC774">
        <f t="shared" si="169"/>
        <v>1.25</v>
      </c>
      <c r="BD774">
        <f t="shared" si="170"/>
        <v>2.12</v>
      </c>
      <c r="BF774">
        <f>IF(OR($H774="",$J774=""),"",IFERROR(VLOOKUP(ROUND($J774,0),_CONFIG_Model_Settings!$D$154:$E$158,2,0),""))</f>
        <v>0.5</v>
      </c>
      <c r="BG774">
        <f>IFERROR(IF(OR($H774="",$K774=""),"",ROUND('Company Profile'!$B$113*INDEX(_CONFIG_Model_Settings!$H$154:$H$158,MATCH(ROUND($K774,0),_CONFIG_Model_Settings!$G$154:$G$158,0)),0)),0)</f>
        <v>375</v>
      </c>
      <c r="BH774">
        <f t="shared" si="171"/>
        <v>187.5</v>
      </c>
      <c r="BI774">
        <f t="shared" si="172"/>
        <v>187.5</v>
      </c>
      <c r="BJ774">
        <f>IF($E774="","",IFERROR(VLOOKUP($C774,_CONFIG_Risk_Calibration!$A$5:$H$21,2,FALSE),3))</f>
        <v>3</v>
      </c>
      <c r="BK774">
        <f>IF($E774="","",IFERROR(VLOOKUP($C774,_CONFIG_Risk_Calibration!$A$5:$H$21,3,FALSE),0))</f>
        <v>0</v>
      </c>
      <c r="BL774">
        <f>IF($E774="","",IFERROR(VLOOKUP($C774,_CONFIG_Risk_Calibration!$A$5:$H$21,4,FALSE),3))</f>
        <v>3</v>
      </c>
      <c r="BM774">
        <f>IF($E774="","",IFERROR(VLOOKUP($C774,_CONFIG_Risk_Calibration!$A$5:$H$21,5,FALSE),3))</f>
        <v>3</v>
      </c>
      <c r="BN774" t="str">
        <f>IF($E774="","",IFERROR(VLOOKUP($C774,_CONFIG_Risk_Calibration!$A$5:$H$21,6,FALSE),"No"))</f>
        <v>No</v>
      </c>
      <c r="BO774">
        <f>IF($E774="","",IFERROR(VLOOKUP($C774,_CONFIG_Risk_Calibration!$A$5:$H$21,7,FALSE),1))</f>
        <v>1</v>
      </c>
      <c r="BP774">
        <f>IF($H774="","",MAX(1,MIN(5,((6-$H774)*0.45)+($BJ774*0.2)+('Resilience &amp; Risk Scenario'!$B$7*0.15)+($BK774*0.1)+($BL774*0.05)+(IF($BB774="Fast",5,IF($BB774="Slow",1,3))*0.05))))</f>
        <v>3.7</v>
      </c>
      <c r="BQ774">
        <f t="shared" si="173"/>
        <v>3.3</v>
      </c>
      <c r="BR774">
        <f t="shared" si="174"/>
        <v>12.21</v>
      </c>
      <c r="BS774">
        <f t="shared" si="175"/>
        <v>15.26</v>
      </c>
      <c r="BT774" t="str">
        <f>IFERROR(INDEX(_REF_Capability_Bridge!$D:$D,MATCH($C774&amp;"|"&amp;$D774,_REF_Capability_Bridge!$J:$J,0)),IFERROR(INDEX(_REF_Capability_Bridge!$D:$D,MATCH($C774&amp;"|",_REF_Capability_Bridge!$J:$J,0)),"CAP_GENERIC"))</f>
        <v>CAP_INCIDENT_RESPONSE</v>
      </c>
      <c r="BU774">
        <f>IFERROR(IFERROR(INDEX(_ENGINE_Relevance!$L:$L,MATCH($BT774,_ENGINE_Relevance!$B:$B,0)),1),1)</f>
        <v>1</v>
      </c>
      <c r="BV774" t="str">
        <f>IFERROR(INDEX(_REF_Capability_Bridge!$A:$A,MATCH($C774&amp;"|"&amp;$D774,_REF_Capability_Bridge!$J:$J,0)),IFERROR(INDEX(_REF_Capability_Bridge!$A:$A,MATCH($C774&amp;"|",_REF_Capability_Bridge!$J:$J,0)),"No bridge"))</f>
        <v>BRG-079</v>
      </c>
      <c r="BW774" t="str">
        <f t="shared" si="176"/>
        <v>Capability relevance neutral</v>
      </c>
      <c r="BX774" t="str">
        <f t="shared" si="177"/>
        <v>Initial / absent</v>
      </c>
      <c r="BY774" t="str">
        <f>IF($E774="","",IFERROR(INDEX(_REF_Treatment_Library!$A$2:$A$296,MATCH(1,INDEX((_REF_Treatment_Library!$B$2:$B$296=$BT774)*(_REF_Treatment_Library!$C$2:$C$296=PV_Canonical_Industry)*(_REF_Treatment_Library!$E$2:$E$296&lt;=N($H774))*(_REF_Treatment_Library!$F$2:$F$296&gt;=N($H774))*(_REF_Treatment_Library!$O$2:$O$296="Yes"),0),0)),IFERROR(INDEX(_REF_Treatment_Library!$A$2:$A$296,MATCH(1,INDEX((_REF_Treatment_Library!$B$2:$B$296=$BT774)*(_REF_Treatment_Library!$C$2:$C$296="All")*(_REF_Treatment_Library!$E$2:$E$296&lt;=N($H774))*(_REF_Treatment_Library!$F$2:$F$296&gt;=N($H774))*(_REF_Treatment_Library!$O$2:$O$296="Yes"),0),0)),"")))</f>
        <v>TRT-INCIDENT_RESPONSE-INITIAL</v>
      </c>
      <c r="BZ774" t="str">
        <f>IF($BY774="","",IFERROR(INDEX(_REF_Treatment_Library!$H$2:$H$296,MATCH($BY774,_REF_Treatment_Library!$A$2:$A$296,0)),""))</f>
        <v>Establish</v>
      </c>
      <c r="CA774" t="str">
        <f>IF($BY774="","",IFERROR(INDEX(_REF_Treatment_Library!$I$2:$I$296,MATCH($BY774,_REF_Treatment_Library!$A$2:$A$296,0)),""))</f>
        <v>Establish baseline controls for Incident response</v>
      </c>
      <c r="CB774" t="str">
        <f>IF($BY774="","",IFERROR(INDEX(_REF_Treatment_Library!$K$2:$K$296,MATCH($BY774,_REF_Treatment_Library!$A$2:$A$296,0)),""))</f>
        <v>Named owner, baseline process, minimum control checklist, first evidence package</v>
      </c>
      <c r="CC774" t="str">
        <f>IF($BY774="","",IFERROR(INDEX(_REF_Treatment_Library!$L$2:$L$296,MATCH($BY774,_REF_Treatment_Library!$A$2:$A$296,0)),""))</f>
        <v>Owner assigned; baseline evidence coverage; open critical gaps</v>
      </c>
      <c r="CD774" t="str">
        <f t="shared" si="178"/>
        <v>Treatment by capability=CAP_INCIDENT_RESPONSE; band=Initial / absent; score=0.0; treatment=Establish</v>
      </c>
      <c r="CE774" t="str">
        <f>IF($E774="","",IFERROR(INDEX(_REF_Industry_Wording!$A$2:$A$70,MATCH(1,INDEX((_REF_Industry_Wording!$B$2:$B$70=$BT774)*(_REF_Industry_Wording!$C$2:$C$70=PV_Canonical_Industry)*(_REF_Industry_Wording!$K$2:$K$70="Yes"),0),0)),IFERROR(INDEX(_REF_Industry_Wording!$A$2:$A$70,MATCH(1,INDEX((_REF_Industry_Wording!$B$2:$B$70=$BT774)*(_REF_Industry_Wording!$C$2:$C$70="All")*(_REF_Industry_Wording!$K$2:$K$70="Yes"),0),0)),"")))</f>
        <v>IW-ALL-INCIDENT_RESPONSE</v>
      </c>
      <c r="CF774" t="str">
        <f>IF($CE774="","",IFERROR(INDEX(_REF_Industry_Wording!$E$2:$E$70,MATCH($CE774,_REF_Industry_Wording!$A$2:$A$70,0)),""))</f>
        <v>Incident response weakness</v>
      </c>
      <c r="CG774" t="str">
        <f>IF($CE774="","",IFERROR(INDEX(_REF_Industry_Wording!$F$2:$F$70,MATCH($CE774,_REF_Industry_Wording!$A$2:$A$70,0)),""))</f>
        <v>Strengthen Incident response</v>
      </c>
      <c r="CH774" t="str">
        <f>IF($CE774="","",IFERROR(INDEX(_REF_Industry_Wording!$G$2:$G$70,MATCH($CE774,_REF_Industry_Wording!$A$2:$A$70,0)),""))</f>
        <v>Strengthen Incident response using the selected maturity treatment, crisis scenario and evidence requirements.</v>
      </c>
      <c r="CI774" t="str">
        <f>IF($CE774="","",IFERROR(INDEX(_REF_Industry_Wording!$H$2:$H$70,MATCH($CE774,_REF_Industry_Wording!$A$2:$A$70,0)),""))</f>
        <v>Incident response</v>
      </c>
      <c r="CJ774">
        <f>IF($CE774="","",IFERROR(INDEX(_REF_Industry_Wording!$I$2:$I$70,MATCH($CE774,_REF_Industry_Wording!$A$2:$A$70,0)),""))</f>
        <v>0</v>
      </c>
      <c r="CK774" t="str">
        <f>IF($CE774="","",IFERROR(INDEX(_REF_Industry_Wording!$J$2:$J$70,MATCH($CE774,_REF_Industry_Wording!$A$2:$A$70,0)),""))</f>
        <v>Incident response</v>
      </c>
      <c r="CL774" t="str">
        <f t="shared" si="179"/>
        <v>Wording by industry=0; capability=CAP_INCIDENT_RESPONSE; risk label=Incident response weakness</v>
      </c>
      <c r="CM774" t="str">
        <f t="shared" si="180"/>
        <v>RISK-ONT-0275</v>
      </c>
      <c r="CN774" t="str">
        <f t="shared" si="181"/>
        <v>RISK-EVT-0275</v>
      </c>
      <c r="CO774" t="str">
        <f t="shared" si="182"/>
        <v>Sales CRM|Customer service|SALE-025|CAP_INCIDENT_RESPONSE</v>
      </c>
      <c r="CP774" t="str">
        <f t="shared" si="183"/>
        <v>Active</v>
      </c>
      <c r="CQ774" t="str">
        <f t="shared" si="184"/>
        <v>OK: capability-driven</v>
      </c>
      <c r="CR774" t="str">
        <f t="shared" si="185"/>
        <v>Risk ontology uses capability=CAP_INCIDENT_RESPONSE; bridge=BRG-079; treatment=TRT-INCIDENT_RESPONSE-INITIAL; wording=IW-ALL-INCIDENT_RESPONSE</v>
      </c>
      <c r="CS774" t="str">
        <f t="shared" si="186"/>
        <v>Yes</v>
      </c>
    </row>
    <row r="775" spans="1:97" ht="69.900000000000006" customHeight="1">
      <c r="A775">
        <f>IF(OR($B775&lt;&gt;"Yes",$BS775=""),"",SUMPRODUCT(($B$500:$B$923="Yes")*ISNUMBER($BS$500:$BS$923)*($BS$500:$BS$923&gt;$BS775))+COUNTIFS($B$500:$B775,"Yes",$BS$500:$BS775,$BS775))</f>
        <v>296</v>
      </c>
      <c r="B775" t="str">
        <f t="shared" si="155"/>
        <v>Yes</v>
      </c>
      <c r="C775" t="s">
        <v>2286</v>
      </c>
      <c r="D775" t="s">
        <v>2339</v>
      </c>
      <c r="E775" t="s">
        <v>2462</v>
      </c>
      <c r="F775" t="s">
        <v>8427</v>
      </c>
      <c r="G775" t="str">
        <f>IF($H775="","",IFERROR(INDEX(_ENGINE_Risk!$H$5:$M$499,MATCH($E775,_ENGINE_Risk!$A$5:$A$499,0),$H775+1),""))</f>
        <v>Severe risk: systematic customer perception measurement with NPS or CSAT trends, segmentation and follow-up actions is not reliably controlled. During Reputation crisis; Demand shock; Key customer loss, the organization may face blind spots in customer sentiment, late churn detection and unverified service quality claims with limited visibility or accountability.</v>
      </c>
      <c r="H775">
        <f>IFERROR(VALUE(INDEX(_DATA_Assessment_Model!$H$5:$H$884,MATCH($E775,_DATA_Assessment_Model!$A$5:$A$884,0))),"")</f>
        <v>0</v>
      </c>
      <c r="I775" t="str">
        <f>IF($H775="","",IFERROR(INDEX(_DATA_Assessment_Model!$L$5:$L$884,MATCH($E775,_DATA_Assessment_Model!$A$5:$A$884,0)),IF($H775&lt;=1,"Critical",IF($H775=2,"High",IF($H775=3,"Medium",IF($H775=4,"Low","Resilient"))))))</f>
        <v>Critical</v>
      </c>
      <c r="J775">
        <f t="shared" si="156"/>
        <v>3.7</v>
      </c>
      <c r="K775">
        <f t="shared" si="157"/>
        <v>3.5</v>
      </c>
      <c r="L775">
        <f t="shared" si="158"/>
        <v>12.950000000000001</v>
      </c>
      <c r="M775">
        <f t="shared" si="159"/>
        <v>3</v>
      </c>
      <c r="N775">
        <f>IF($H775="","",IFERROR(INDEX(_ENGINE_Risk!$T$5:$Y$499,MATCH($E775,_ENGINE_Risk!$A$5:$A$499,0),$H775+1),""))</f>
        <v>2</v>
      </c>
      <c r="O775">
        <f t="shared" si="160"/>
        <v>4</v>
      </c>
      <c r="P775">
        <f t="shared" si="161"/>
        <v>5</v>
      </c>
      <c r="Q775">
        <f t="shared" si="162"/>
        <v>4.3</v>
      </c>
      <c r="R775">
        <f t="shared" si="163"/>
        <v>4</v>
      </c>
      <c r="S775">
        <f t="shared" si="164"/>
        <v>2.16</v>
      </c>
      <c r="T775" t="str">
        <f>IF($H775="","",IFERROR(INDEX(_ENGINE_Risk!$N$5:$S$499,MATCH($E775,_ENGINE_Risk!$A$5:$A$499,0),$H775+1),""))</f>
        <v>Create an immediate risk owner, minimum control baseline and fallback procedure for systematic customer perception measurement with NPS or CSAT trends, segmentation and follow-up actions. Add it to the crisis risk register and collect first evidence.</v>
      </c>
      <c r="U775">
        <f>IFERROR(INDEX(_DATA_Assessment_Model!$G$5:$G$884,MATCH($E775,_DATA_Assessment_Model!$A$5:$A$884,0)),"")</f>
        <v>4</v>
      </c>
      <c r="V775">
        <f>IFERROR(INDEX(_DATA_Assessment_Model!$W$5:$W$884,MATCH($E775,_DATA_Assessment_Model!$A$5:$A$884,0)),"")</f>
        <v>4</v>
      </c>
      <c r="W775">
        <f>IFERROR(INDEX(_DATA_Assessment_Model!$X$5:$X$884,MATCH($E775,_DATA_Assessment_Model!$A$5:$A$884,0)),"")</f>
        <v>3</v>
      </c>
      <c r="X775">
        <f>IFERROR(INDEX(_DATA_Assessment_Model!$Y$5:$Y$884,MATCH($E775,_DATA_Assessment_Model!$A$5:$A$884,0)),"")</f>
        <v>4</v>
      </c>
      <c r="Y775" t="s">
        <v>2472</v>
      </c>
      <c r="Z775" t="s">
        <v>8489</v>
      </c>
      <c r="AA775" t="s">
        <v>8504</v>
      </c>
      <c r="AB775">
        <f>IFERROR(INDEX(_DATA_Assessment_Model!$U$5:$U$884,MATCH($E775,_DATA_Assessment_Model!$A$5:$A$884,0)),"")</f>
        <v>0</v>
      </c>
      <c r="AF775" t="s">
        <v>2463</v>
      </c>
      <c r="AO775">
        <f>IF($B775="Yes",IF(IFERROR(INDEX(_ENGINE_Crisis!$F$501:$F$517,MATCH($C775,_ENGINE_Crisis!$A$501:$A$517,0)),1)=0,1,IFERROR(INDEX(_ENGINE_Crisis!$F$501:$F$517,MATCH($C775,_ENGINE_Crisis!$A$501:$A$517,0)),1)),"")</f>
        <v>1</v>
      </c>
      <c r="AP775">
        <f t="shared" si="165"/>
        <v>13</v>
      </c>
      <c r="AQ775">
        <f t="shared" si="166"/>
        <v>2.16</v>
      </c>
      <c r="AR775" t="str">
        <f>IFERROR(INDEX(_ENGINE_Crisis!$E$41:$E$700,MATCH('Resilience &amp; Risk Scenario'!$B$6&amp;"|"&amp;$C775,_ENGINE_Crisis!$I$41:$I$700,0)),"")</f>
        <v/>
      </c>
      <c r="AS775" t="str">
        <f>IFERROR(INDEX(_ENGINE_Crisis!$G$41:$G$700,MATCH('Resilience &amp; Risk Scenario'!$B$6&amp;"|"&amp;$C775,_ENGINE_Crisis!$I$41:$I$700,0)),"")</f>
        <v/>
      </c>
      <c r="AT775" t="str">
        <f>IFERROR(INDEX(_ENGINE_Initiatives!$A$5:$A$532,MATCH(1,INDEX((_ENGINE_Initiatives!$B$5:$B$532=$C775)*(_ENGINE_Initiatives!$C$5:$C$532=$D775),0),0)),"")</f>
        <v/>
      </c>
      <c r="AU775" t="str">
        <f>IFERROR(INDEX(_ENGINE_Initiatives!$F$5:$F$532,MATCH(1,INDEX((_ENGINE_Initiatives!$B$5:$B$532=$C775)*(_ENGINE_Initiatives!$C$5:$C$532=$D775),0),0)),"")</f>
        <v/>
      </c>
      <c r="AV775" t="str">
        <f>IFERROR(INDEX(_ENGINE_Initiatives!$AC$5:$AC$532,MATCH(1,INDEX((_ENGINE_Initiatives!$B$5:$B$532=$C775)*(_ENGINE_Initiatives!$C$5:$C$532=$D775),0),0)),"")</f>
        <v/>
      </c>
      <c r="AW775" t="str">
        <f>IFERROR(INDEX(_ENGINE_Initiatives!$AE$5:$AE$532,MATCH(1,INDEX((_ENGINE_Initiatives!$B$5:$B$532=$C775)*(_ENGINE_Initiatives!$C$5:$C$532=$D775),0),0)),"")</f>
        <v/>
      </c>
      <c r="AX775">
        <f>IF($B775="Yes",IFERROR((IF(SUMIFS(_REF_Model_Content!$E$1:$E$613,_REF_Model_Content!$A$1:$A$613,PV_Canonical_Industry,_REF_Model_Content!$B$1:$B$613,$C775)=0,1,SUMIFS(_REF_Model_Content!$E$1:$E$613,_REF_Model_Content!$A$1:$A$613,PV_Canonical_Industry,_REF_Model_Content!$B$1:$B$613,$C775))*IFERROR($BU775,1)),1),"")</f>
        <v>1</v>
      </c>
      <c r="AY775">
        <f t="shared" si="167"/>
        <v>13</v>
      </c>
      <c r="AZ775">
        <f t="shared" si="168"/>
        <v>2.16</v>
      </c>
      <c r="BB775" t="str">
        <f>IF($H775="","",IFERROR(INDEX(_ENGINE_Risk!$AE$5:$AE$499,MATCH($E775,_ENGINE_Risk!$A$5:$A$499,0)),"Medium"))</f>
        <v>Fast</v>
      </c>
      <c r="BC775">
        <f t="shared" si="169"/>
        <v>1.25</v>
      </c>
      <c r="BD775">
        <f t="shared" si="170"/>
        <v>2.16</v>
      </c>
      <c r="BF775">
        <f>IF(OR($H775="",$J775=""),"",IFERROR(VLOOKUP(ROUND($J775,0),_CONFIG_Model_Settings!$D$154:$E$158,2,0),""))</f>
        <v>0.5</v>
      </c>
      <c r="BG775">
        <f>IFERROR(IF(OR($H775="",$K775=""),"",ROUND('Company Profile'!$B$113*INDEX(_CONFIG_Model_Settings!$H$154:$H$158,MATCH(ROUND($K775,0),_CONFIG_Model_Settings!$G$154:$G$158,0)),0)),0)</f>
        <v>875</v>
      </c>
      <c r="BH775">
        <f t="shared" si="171"/>
        <v>437.5</v>
      </c>
      <c r="BI775">
        <f t="shared" si="172"/>
        <v>437.5</v>
      </c>
      <c r="BJ775">
        <f>IF($E775="","",IFERROR(VLOOKUP($C775,_CONFIG_Risk_Calibration!$A$5:$H$21,2,FALSE),3))</f>
        <v>3</v>
      </c>
      <c r="BK775">
        <f>IF($E775="","",IFERROR(VLOOKUP($C775,_CONFIG_Risk_Calibration!$A$5:$H$21,3,FALSE),0))</f>
        <v>0</v>
      </c>
      <c r="BL775">
        <f>IF($E775="","",IFERROR(VLOOKUP($C775,_CONFIG_Risk_Calibration!$A$5:$H$21,4,FALSE),3))</f>
        <v>3</v>
      </c>
      <c r="BM775">
        <f>IF($E775="","",IFERROR(VLOOKUP($C775,_CONFIG_Risk_Calibration!$A$5:$H$21,5,FALSE),3))</f>
        <v>3</v>
      </c>
      <c r="BN775" t="str">
        <f>IF($E775="","",IFERROR(VLOOKUP($C775,_CONFIG_Risk_Calibration!$A$5:$H$21,6,FALSE),"No"))</f>
        <v>No</v>
      </c>
      <c r="BO775">
        <f>IF($E775="","",IFERROR(VLOOKUP($C775,_CONFIG_Risk_Calibration!$A$5:$H$21,7,FALSE),1))</f>
        <v>1</v>
      </c>
      <c r="BP775">
        <f>IF($H775="","",MAX(1,MIN(5,((6-$H775)*0.45)+($BJ775*0.2)+('Resilience &amp; Risk Scenario'!$B$7*0.15)+($BK775*0.1)+($BL775*0.05)+(IF($BB775="Fast",5,IF($BB775="Slow",1,3))*0.05))))</f>
        <v>3.7</v>
      </c>
      <c r="BQ775">
        <f t="shared" si="173"/>
        <v>3.5</v>
      </c>
      <c r="BR775">
        <f t="shared" si="174"/>
        <v>12.95</v>
      </c>
      <c r="BS775">
        <f t="shared" si="175"/>
        <v>16.190000000000001</v>
      </c>
      <c r="BT775" t="str">
        <f>IFERROR(INDEX(_REF_Capability_Bridge!$D:$D,MATCH($C775&amp;"|"&amp;$D775,_REF_Capability_Bridge!$J:$J,0)),IFERROR(INDEX(_REF_Capability_Bridge!$D:$D,MATCH($C775&amp;"|",_REF_Capability_Bridge!$J:$J,0)),"CAP_GENERIC"))</f>
        <v>CAP_INCIDENT_RESPONSE</v>
      </c>
      <c r="BU775">
        <f>IFERROR(IFERROR(INDEX(_ENGINE_Relevance!$L:$L,MATCH($BT775,_ENGINE_Relevance!$B:$B,0)),1),1)</f>
        <v>1</v>
      </c>
      <c r="BV775" t="str">
        <f>IFERROR(INDEX(_REF_Capability_Bridge!$A:$A,MATCH($C775&amp;"|"&amp;$D775,_REF_Capability_Bridge!$J:$J,0)),IFERROR(INDEX(_REF_Capability_Bridge!$A:$A,MATCH($C775&amp;"|",_REF_Capability_Bridge!$J:$J,0)),"No bridge"))</f>
        <v>BRG-079</v>
      </c>
      <c r="BW775" t="str">
        <f t="shared" si="176"/>
        <v>Capability relevance neutral</v>
      </c>
      <c r="BX775" t="str">
        <f t="shared" si="177"/>
        <v>Initial / absent</v>
      </c>
      <c r="BY775" t="str">
        <f>IF($E775="","",IFERROR(INDEX(_REF_Treatment_Library!$A$2:$A$296,MATCH(1,INDEX((_REF_Treatment_Library!$B$2:$B$296=$BT775)*(_REF_Treatment_Library!$C$2:$C$296=PV_Canonical_Industry)*(_REF_Treatment_Library!$E$2:$E$296&lt;=N($H775))*(_REF_Treatment_Library!$F$2:$F$296&gt;=N($H775))*(_REF_Treatment_Library!$O$2:$O$296="Yes"),0),0)),IFERROR(INDEX(_REF_Treatment_Library!$A$2:$A$296,MATCH(1,INDEX((_REF_Treatment_Library!$B$2:$B$296=$BT775)*(_REF_Treatment_Library!$C$2:$C$296="All")*(_REF_Treatment_Library!$E$2:$E$296&lt;=N($H775))*(_REF_Treatment_Library!$F$2:$F$296&gt;=N($H775))*(_REF_Treatment_Library!$O$2:$O$296="Yes"),0),0)),"")))</f>
        <v>TRT-INCIDENT_RESPONSE-INITIAL</v>
      </c>
      <c r="BZ775" t="str">
        <f>IF($BY775="","",IFERROR(INDEX(_REF_Treatment_Library!$H$2:$H$296,MATCH($BY775,_REF_Treatment_Library!$A$2:$A$296,0)),""))</f>
        <v>Establish</v>
      </c>
      <c r="CA775" t="str">
        <f>IF($BY775="","",IFERROR(INDEX(_REF_Treatment_Library!$I$2:$I$296,MATCH($BY775,_REF_Treatment_Library!$A$2:$A$296,0)),""))</f>
        <v>Establish baseline controls for Incident response</v>
      </c>
      <c r="CB775" t="str">
        <f>IF($BY775="","",IFERROR(INDEX(_REF_Treatment_Library!$K$2:$K$296,MATCH($BY775,_REF_Treatment_Library!$A$2:$A$296,0)),""))</f>
        <v>Named owner, baseline process, minimum control checklist, first evidence package</v>
      </c>
      <c r="CC775" t="str">
        <f>IF($BY775="","",IFERROR(INDEX(_REF_Treatment_Library!$L$2:$L$296,MATCH($BY775,_REF_Treatment_Library!$A$2:$A$296,0)),""))</f>
        <v>Owner assigned; baseline evidence coverage; open critical gaps</v>
      </c>
      <c r="CD775" t="str">
        <f t="shared" si="178"/>
        <v>Treatment by capability=CAP_INCIDENT_RESPONSE; band=Initial / absent; score=0.0; treatment=Establish</v>
      </c>
      <c r="CE775" t="str">
        <f>IF($E775="","",IFERROR(INDEX(_REF_Industry_Wording!$A$2:$A$70,MATCH(1,INDEX((_REF_Industry_Wording!$B$2:$B$70=$BT775)*(_REF_Industry_Wording!$C$2:$C$70=PV_Canonical_Industry)*(_REF_Industry_Wording!$K$2:$K$70="Yes"),0),0)),IFERROR(INDEX(_REF_Industry_Wording!$A$2:$A$70,MATCH(1,INDEX((_REF_Industry_Wording!$B$2:$B$70=$BT775)*(_REF_Industry_Wording!$C$2:$C$70="All")*(_REF_Industry_Wording!$K$2:$K$70="Yes"),0),0)),"")))</f>
        <v>IW-ALL-INCIDENT_RESPONSE</v>
      </c>
      <c r="CF775" t="str">
        <f>IF($CE775="","",IFERROR(INDEX(_REF_Industry_Wording!$E$2:$E$70,MATCH($CE775,_REF_Industry_Wording!$A$2:$A$70,0)),""))</f>
        <v>Incident response weakness</v>
      </c>
      <c r="CG775" t="str">
        <f>IF($CE775="","",IFERROR(INDEX(_REF_Industry_Wording!$F$2:$F$70,MATCH($CE775,_REF_Industry_Wording!$A$2:$A$70,0)),""))</f>
        <v>Strengthen Incident response</v>
      </c>
      <c r="CH775" t="str">
        <f>IF($CE775="","",IFERROR(INDEX(_REF_Industry_Wording!$G$2:$G$70,MATCH($CE775,_REF_Industry_Wording!$A$2:$A$70,0)),""))</f>
        <v>Strengthen Incident response using the selected maturity treatment, crisis scenario and evidence requirements.</v>
      </c>
      <c r="CI775" t="str">
        <f>IF($CE775="","",IFERROR(INDEX(_REF_Industry_Wording!$H$2:$H$70,MATCH($CE775,_REF_Industry_Wording!$A$2:$A$70,0)),""))</f>
        <v>Incident response</v>
      </c>
      <c r="CJ775">
        <f>IF($CE775="","",IFERROR(INDEX(_REF_Industry_Wording!$I$2:$I$70,MATCH($CE775,_REF_Industry_Wording!$A$2:$A$70,0)),""))</f>
        <v>0</v>
      </c>
      <c r="CK775" t="str">
        <f>IF($CE775="","",IFERROR(INDEX(_REF_Industry_Wording!$J$2:$J$70,MATCH($CE775,_REF_Industry_Wording!$A$2:$A$70,0)),""))</f>
        <v>Incident response</v>
      </c>
      <c r="CL775" t="str">
        <f t="shared" si="179"/>
        <v>Wording by industry=0; capability=CAP_INCIDENT_RESPONSE; risk label=Incident response weakness</v>
      </c>
      <c r="CM775" t="str">
        <f t="shared" si="180"/>
        <v>RISK-ONT-0276</v>
      </c>
      <c r="CN775" t="str">
        <f t="shared" si="181"/>
        <v>RISK-EVT-0276</v>
      </c>
      <c r="CO775" t="str">
        <f t="shared" si="182"/>
        <v>Sales CRM|Customer service|SALE-026|CAP_INCIDENT_RESPONSE</v>
      </c>
      <c r="CP775" t="str">
        <f t="shared" si="183"/>
        <v>Active</v>
      </c>
      <c r="CQ775" t="str">
        <f t="shared" si="184"/>
        <v>OK: capability-driven</v>
      </c>
      <c r="CR775" t="str">
        <f t="shared" si="185"/>
        <v>Risk ontology uses capability=CAP_INCIDENT_RESPONSE; bridge=BRG-079; treatment=TRT-INCIDENT_RESPONSE-INITIAL; wording=IW-ALL-INCIDENT_RESPONSE</v>
      </c>
      <c r="CS775" t="str">
        <f t="shared" si="186"/>
        <v>Yes</v>
      </c>
    </row>
    <row r="776" spans="1:97" ht="69.900000000000006" customHeight="1">
      <c r="A776">
        <f>IF(OR($B776&lt;&gt;"Yes",$BS776=""),"",SUMPRODUCT(($B$500:$B$923="Yes")*ISNUMBER($BS$500:$BS$923)*($BS$500:$BS$923&gt;$BS776))+COUNTIFS($B$500:$B776,"Yes",$BS$500:$BS776,$BS776))</f>
        <v>376</v>
      </c>
      <c r="B776" t="str">
        <f t="shared" si="155"/>
        <v>Yes</v>
      </c>
      <c r="C776" t="s">
        <v>2473</v>
      </c>
      <c r="D776" t="s">
        <v>2475</v>
      </c>
      <c r="E776" t="s">
        <v>2474</v>
      </c>
      <c r="F776" t="s">
        <v>3690</v>
      </c>
      <c r="G776" t="str">
        <f>IF($H776="","",IFERROR(INDEX(_ENGINE_Risk!$H$5:$M$499,MATCH($E776,_ENGINE_Risk!$A$5:$A$499,0),$H776+1),""))</f>
        <v>Severe risk: brand positioning aligned with ICP, offering, differentiation and proof points is not reliably controlled. During Reputation crisis; Demand shock; IT outage, the organization may face loss of customer trust, reputational damage and inconsistent crisis communication with limited visibility or accountability.</v>
      </c>
      <c r="H776">
        <f>IFERROR(VALUE(INDEX(_DATA_Assessment_Model!$H$5:$H$884,MATCH($E776,_DATA_Assessment_Model!$A$5:$A$884,0))),"")</f>
        <v>0</v>
      </c>
      <c r="I776" t="str">
        <f>IF($H776="","",IFERROR(INDEX(_DATA_Assessment_Model!$L$5:$L$884,MATCH($E776,_DATA_Assessment_Model!$A$5:$A$884,0)),IF($H776&lt;=1,"Critical",IF($H776=2,"High",IF($H776=3,"Medium",IF($H776=4,"Low","Resilient"))))))</f>
        <v>Critical</v>
      </c>
      <c r="J776">
        <f t="shared" si="156"/>
        <v>3.6</v>
      </c>
      <c r="K776">
        <f t="shared" si="157"/>
        <v>3.8</v>
      </c>
      <c r="L776">
        <f t="shared" si="158"/>
        <v>13.68</v>
      </c>
      <c r="M776">
        <f t="shared" si="159"/>
        <v>3</v>
      </c>
      <c r="N776">
        <f>IF($H776="","",IFERROR(INDEX(_ENGINE_Risk!$T$5:$Y$499,MATCH($E776,_ENGINE_Risk!$A$5:$A$499,0),$H776+1),""))</f>
        <v>3</v>
      </c>
      <c r="O776">
        <f t="shared" si="160"/>
        <v>4</v>
      </c>
      <c r="P776">
        <f t="shared" si="161"/>
        <v>5</v>
      </c>
      <c r="Q776">
        <f t="shared" si="162"/>
        <v>5</v>
      </c>
      <c r="R776">
        <f t="shared" si="163"/>
        <v>4.5</v>
      </c>
      <c r="S776">
        <f t="shared" si="164"/>
        <v>1.54</v>
      </c>
      <c r="T776" t="str">
        <f>IF($H776="","",IFERROR(INDEX(_ENGINE_Risk!$N$5:$S$499,MATCH($E776,_ENGINE_Risk!$A$5:$A$499,0),$H776+1),""))</f>
        <v>Create an immediate risk owner, minimum control baseline and fallback procedure for brand positioning aligned with ICP, offering, differentiation and proof points. Add it to the crisis risk register and collect first evidence.</v>
      </c>
      <c r="U776">
        <f>IFERROR(INDEX(_DATA_Assessment_Model!$G$5:$G$884,MATCH($E776,_DATA_Assessment_Model!$A$5:$A$884,0)),"")</f>
        <v>3</v>
      </c>
      <c r="V776">
        <f>IFERROR(INDEX(_DATA_Assessment_Model!$W$5:$W$884,MATCH($E776,_DATA_Assessment_Model!$A$5:$A$884,0)),"")</f>
        <v>4</v>
      </c>
      <c r="W776">
        <f>IFERROR(INDEX(_DATA_Assessment_Model!$X$5:$X$884,MATCH($E776,_DATA_Assessment_Model!$A$5:$A$884,0)),"")</f>
        <v>5</v>
      </c>
      <c r="X776">
        <f>IFERROR(INDEX(_DATA_Assessment_Model!$Y$5:$Y$884,MATCH($E776,_DATA_Assessment_Model!$A$5:$A$884,0)),"")</f>
        <v>5</v>
      </c>
      <c r="Y776" t="s">
        <v>2486</v>
      </c>
      <c r="Z776" t="s">
        <v>8519</v>
      </c>
      <c r="AA776" t="s">
        <v>2479</v>
      </c>
      <c r="AB776">
        <f>IFERROR(INDEX(_DATA_Assessment_Model!$U$5:$U$884,MATCH($E776,_DATA_Assessment_Model!$A$5:$A$884,0)),"")</f>
        <v>0</v>
      </c>
      <c r="AF776" t="s">
        <v>2476</v>
      </c>
      <c r="AO776">
        <f>IF($B776="Yes",IF(IFERROR(INDEX(_ENGINE_Crisis!$F$501:$F$517,MATCH($C776,_ENGINE_Crisis!$A$501:$A$517,0)),1)=0,1,IFERROR(INDEX(_ENGINE_Crisis!$F$501:$F$517,MATCH($C776,_ENGINE_Crisis!$A$501:$A$517,0)),1)),"")</f>
        <v>1</v>
      </c>
      <c r="AP776">
        <f t="shared" si="165"/>
        <v>13.7</v>
      </c>
      <c r="AQ776">
        <f t="shared" si="166"/>
        <v>1.54</v>
      </c>
      <c r="AR776" t="str">
        <f>IFERROR(INDEX(_ENGINE_Crisis!$E$41:$E$700,MATCH('Resilience &amp; Risk Scenario'!$B$6&amp;"|"&amp;$C776,_ENGINE_Crisis!$I$41:$I$700,0)),"")</f>
        <v/>
      </c>
      <c r="AS776" t="str">
        <f>IFERROR(INDEX(_ENGINE_Crisis!$G$41:$G$700,MATCH('Resilience &amp; Risk Scenario'!$B$6&amp;"|"&amp;$C776,_ENGINE_Crisis!$I$41:$I$700,0)),"")</f>
        <v/>
      </c>
      <c r="AT776" t="str">
        <f>IFERROR(INDEX(_ENGINE_Initiatives!$A$5:$A$532,MATCH(1,INDEX((_ENGINE_Initiatives!$B$5:$B$532=$C776)*(_ENGINE_Initiatives!$C$5:$C$532=$D776),0),0)),"")</f>
        <v>INI-045</v>
      </c>
      <c r="AU776" t="str">
        <f>IFERROR(INDEX(_ENGINE_Initiatives!$F$5:$F$532,MATCH(1,INDEX((_ENGINE_Initiatives!$B$5:$B$532=$C776)*(_ENGINE_Initiatives!$C$5:$C$532=$D776),0),0)),"")</f>
        <v>Build resilient brand presence and digital demand generation</v>
      </c>
      <c r="AV776">
        <f>IFERROR(INDEX(_ENGINE_Initiatives!$AC$5:$AC$532,MATCH(1,INDEX((_ENGINE_Initiatives!$B$5:$B$532=$C776)*(_ENGINE_Initiatives!$C$5:$C$532=$D776),0),0)),"")</f>
        <v>1.71</v>
      </c>
      <c r="AW776" t="str">
        <f>IFERROR(INDEX(_ENGINE_Initiatives!$AE$5:$AE$532,MATCH(1,INDEX((_ENGINE_Initiatives!$B$5:$B$532=$C776)*(_ENGINE_Initiatives!$C$5:$C$532=$D776),0),0)),"")</f>
        <v>6-12 months</v>
      </c>
      <c r="AX776">
        <f>IF($B776="Yes",IFERROR((IF(SUMIFS(_REF_Model_Content!$E$1:$E$613,_REF_Model_Content!$A$1:$A$613,PV_Canonical_Industry,_REF_Model_Content!$B$1:$B$613,$C776)=0,1,SUMIFS(_REF_Model_Content!$E$1:$E$613,_REF_Model_Content!$A$1:$A$613,PV_Canonical_Industry,_REF_Model_Content!$B$1:$B$613,$C776))*IFERROR($BU776,1)),1),"")</f>
        <v>1</v>
      </c>
      <c r="AY776">
        <f t="shared" si="167"/>
        <v>13.7</v>
      </c>
      <c r="AZ776">
        <f t="shared" si="168"/>
        <v>1.54</v>
      </c>
      <c r="BB776" t="str">
        <f>IF($H776="","",IFERROR(INDEX(_ENGINE_Risk!$AE$5:$AE$499,MATCH($E776,_ENGINE_Risk!$A$5:$A$499,0)),"Medium"))</f>
        <v>Medium</v>
      </c>
      <c r="BC776">
        <f t="shared" si="169"/>
        <v>1</v>
      </c>
      <c r="BD776">
        <f t="shared" si="170"/>
        <v>1.54</v>
      </c>
      <c r="BF776">
        <f>IF(OR($H776="",$J776=""),"",IFERROR(VLOOKUP(ROUND($J776,0),_CONFIG_Model_Settings!$D$154:$E$158,2,0),""))</f>
        <v>0.5</v>
      </c>
      <c r="BG776">
        <f>IFERROR(IF(OR($H776="",$K776=""),"",ROUND('Company Profile'!$B$113*INDEX(_CONFIG_Model_Settings!$H$154:$H$158,MATCH(ROUND($K776,0),_CONFIG_Model_Settings!$G$154:$G$158,0)),0)),0)</f>
        <v>875</v>
      </c>
      <c r="BH776">
        <f t="shared" si="171"/>
        <v>437.5</v>
      </c>
      <c r="BI776">
        <f t="shared" si="172"/>
        <v>437.5</v>
      </c>
      <c r="BJ776">
        <f>IF($E776="","",IFERROR(VLOOKUP($C776,_CONFIG_Risk_Calibration!$A$5:$H$21,2,FALSE),3))</f>
        <v>3</v>
      </c>
      <c r="BK776">
        <f>IF($E776="","",IFERROR(VLOOKUP($C776,_CONFIG_Risk_Calibration!$A$5:$H$21,3,FALSE),0))</f>
        <v>0</v>
      </c>
      <c r="BL776">
        <f>IF($E776="","",IFERROR(VLOOKUP($C776,_CONFIG_Risk_Calibration!$A$5:$H$21,4,FALSE),3))</f>
        <v>3</v>
      </c>
      <c r="BM776">
        <f>IF($E776="","",IFERROR(VLOOKUP($C776,_CONFIG_Risk_Calibration!$A$5:$H$21,5,FALSE),3))</f>
        <v>2</v>
      </c>
      <c r="BN776" t="str">
        <f>IF($E776="","",IFERROR(VLOOKUP($C776,_CONFIG_Risk_Calibration!$A$5:$H$21,6,FALSE),"No"))</f>
        <v>No</v>
      </c>
      <c r="BO776">
        <f>IF($E776="","",IFERROR(VLOOKUP($C776,_CONFIG_Risk_Calibration!$A$5:$H$21,7,FALSE),1))</f>
        <v>1</v>
      </c>
      <c r="BP776">
        <f>IF($H776="","",MAX(1,MIN(5,((6-$H776)*0.45)+($BJ776*0.2)+('Resilience &amp; Risk Scenario'!$B$7*0.15)+($BK776*0.1)+($BL776*0.05)+(IF($BB776="Fast",5,IF($BB776="Slow",1,3))*0.05))))</f>
        <v>3.6</v>
      </c>
      <c r="BQ776">
        <f t="shared" si="173"/>
        <v>3.8</v>
      </c>
      <c r="BR776">
        <f t="shared" si="174"/>
        <v>13.68</v>
      </c>
      <c r="BS776">
        <f t="shared" si="175"/>
        <v>12.31</v>
      </c>
      <c r="BT776" t="str">
        <f>IFERROR(INDEX(_REF_Capability_Bridge!$D:$D,MATCH($C776&amp;"|"&amp;$D776,_REF_Capability_Bridge!$J:$J,0)),IFERROR(INDEX(_REF_Capability_Bridge!$D:$D,MATCH($C776&amp;"|",_REF_Capability_Bridge!$J:$J,0)),"CAP_GENERIC"))</f>
        <v>CAP_CUSTOMER_COMMUNICATION</v>
      </c>
      <c r="BU776">
        <f>IFERROR(IFERROR(INDEX(_ENGINE_Relevance!$L:$L,MATCH($BT776,_ENGINE_Relevance!$B:$B,0)),1),1)</f>
        <v>1</v>
      </c>
      <c r="BV776" t="str">
        <f>IFERROR(INDEX(_REF_Capability_Bridge!$A:$A,MATCH($C776&amp;"|"&amp;$D776,_REF_Capability_Bridge!$J:$J,0)),IFERROR(INDEX(_REF_Capability_Bridge!$A:$A,MATCH($C776&amp;"|",_REF_Capability_Bridge!$J:$J,0)),"No bridge"))</f>
        <v>BRG-061</v>
      </c>
      <c r="BW776" t="str">
        <f t="shared" si="176"/>
        <v>Capability relevance neutral</v>
      </c>
      <c r="BX776" t="str">
        <f t="shared" si="177"/>
        <v>Initial / absent</v>
      </c>
      <c r="BY776" t="str">
        <f>IF($E776="","",IFERROR(INDEX(_REF_Treatment_Library!$A$2:$A$296,MATCH(1,INDEX((_REF_Treatment_Library!$B$2:$B$296=$BT776)*(_REF_Treatment_Library!$C$2:$C$296=PV_Canonical_Industry)*(_REF_Treatment_Library!$E$2:$E$296&lt;=N($H776))*(_REF_Treatment_Library!$F$2:$F$296&gt;=N($H776))*(_REF_Treatment_Library!$O$2:$O$296="Yes"),0),0)),IFERROR(INDEX(_REF_Treatment_Library!$A$2:$A$296,MATCH(1,INDEX((_REF_Treatment_Library!$B$2:$B$296=$BT776)*(_REF_Treatment_Library!$C$2:$C$296="All")*(_REF_Treatment_Library!$E$2:$E$296&lt;=N($H776))*(_REF_Treatment_Library!$F$2:$F$296&gt;=N($H776))*(_REF_Treatment_Library!$O$2:$O$296="Yes"),0),0)),"")))</f>
        <v>TRT-CUSTOMER_COMMUNICATION-INITIAL</v>
      </c>
      <c r="BZ776" t="str">
        <f>IF($BY776="","",IFERROR(INDEX(_REF_Treatment_Library!$H$2:$H$296,MATCH($BY776,_REF_Treatment_Library!$A$2:$A$296,0)),""))</f>
        <v>Establish</v>
      </c>
      <c r="CA776" t="str">
        <f>IF($BY776="","",IFERROR(INDEX(_REF_Treatment_Library!$I$2:$I$296,MATCH($BY776,_REF_Treatment_Library!$A$2:$A$296,0)),""))</f>
        <v>Establish baseline controls for Customer communication</v>
      </c>
      <c r="CB776" t="str">
        <f>IF($BY776="","",IFERROR(INDEX(_REF_Treatment_Library!$K$2:$K$296,MATCH($BY776,_REF_Treatment_Library!$A$2:$A$296,0)),""))</f>
        <v>Named owner, baseline process, minimum control checklist, first evidence package</v>
      </c>
      <c r="CC776" t="str">
        <f>IF($BY776="","",IFERROR(INDEX(_REF_Treatment_Library!$L$2:$L$296,MATCH($BY776,_REF_Treatment_Library!$A$2:$A$296,0)),""))</f>
        <v>Owner assigned; baseline evidence coverage; open critical gaps</v>
      </c>
      <c r="CD776" t="str">
        <f t="shared" si="178"/>
        <v>Treatment by capability=CAP_CUSTOMER_COMMUNICATION; band=Initial / absent; score=0.0; treatment=Establish</v>
      </c>
      <c r="CE776" t="str">
        <f>IF($E776="","",IFERROR(INDEX(_REF_Industry_Wording!$A$2:$A$70,MATCH(1,INDEX((_REF_Industry_Wording!$B$2:$B$70=$BT776)*(_REF_Industry_Wording!$C$2:$C$70=PV_Canonical_Industry)*(_REF_Industry_Wording!$K$2:$K$70="Yes"),0),0)),IFERROR(INDEX(_REF_Industry_Wording!$A$2:$A$70,MATCH(1,INDEX((_REF_Industry_Wording!$B$2:$B$70=$BT776)*(_REF_Industry_Wording!$C$2:$C$70="All")*(_REF_Industry_Wording!$K$2:$K$70="Yes"),0),0)),"")))</f>
        <v>IW-ALL-CUSTOMER_COMMUNICATION</v>
      </c>
      <c r="CF776" t="str">
        <f>IF($CE776="","",IFERROR(INDEX(_REF_Industry_Wording!$E$2:$E$70,MATCH($CE776,_REF_Industry_Wording!$A$2:$A$70,0)),""))</f>
        <v>Customer communication weakness</v>
      </c>
      <c r="CG776" t="str">
        <f>IF($CE776="","",IFERROR(INDEX(_REF_Industry_Wording!$F$2:$F$70,MATCH($CE776,_REF_Industry_Wording!$A$2:$A$70,0)),""))</f>
        <v>Strengthen Customer communication</v>
      </c>
      <c r="CH776" t="str">
        <f>IF($CE776="","",IFERROR(INDEX(_REF_Industry_Wording!$G$2:$G$70,MATCH($CE776,_REF_Industry_Wording!$A$2:$A$70,0)),""))</f>
        <v>Strengthen Customer communication using the selected maturity treatment, crisis scenario and evidence requirements.</v>
      </c>
      <c r="CI776" t="str">
        <f>IF($CE776="","",IFERROR(INDEX(_REF_Industry_Wording!$H$2:$H$70,MATCH($CE776,_REF_Industry_Wording!$A$2:$A$70,0)),""))</f>
        <v>Customer communication</v>
      </c>
      <c r="CJ776">
        <f>IF($CE776="","",IFERROR(INDEX(_REF_Industry_Wording!$I$2:$I$70,MATCH($CE776,_REF_Industry_Wording!$A$2:$A$70,0)),""))</f>
        <v>0</v>
      </c>
      <c r="CK776" t="str">
        <f>IF($CE776="","",IFERROR(INDEX(_REF_Industry_Wording!$J$2:$J$70,MATCH($CE776,_REF_Industry_Wording!$A$2:$A$70,0)),""))</f>
        <v>Customer communication</v>
      </c>
      <c r="CL776" t="str">
        <f t="shared" si="179"/>
        <v>Wording by industry=0; capability=CAP_CUSTOMER_COMMUNICATION; risk label=Customer communication weakness</v>
      </c>
      <c r="CM776" t="str">
        <f t="shared" si="180"/>
        <v>RISK-ONT-0277</v>
      </c>
      <c r="CN776" t="str">
        <f t="shared" si="181"/>
        <v>RISK-EVT-0277</v>
      </c>
      <c r="CO776" t="str">
        <f t="shared" si="182"/>
        <v>Marketing Comms|Brand and market presence|MARK-001|CAP_CUSTOMER_COMMUNICATION</v>
      </c>
      <c r="CP776" t="str">
        <f t="shared" si="183"/>
        <v>Active</v>
      </c>
      <c r="CQ776" t="str">
        <f t="shared" si="184"/>
        <v>OK: capability-driven</v>
      </c>
      <c r="CR776" t="str">
        <f t="shared" si="185"/>
        <v>Risk ontology uses capability=CAP_CUSTOMER_COMMUNICATION; bridge=BRG-061; treatment=TRT-CUSTOMER_COMMUNICATION-INITIAL; wording=IW-ALL-CUSTOMER_COMMUNICATION</v>
      </c>
      <c r="CS776" t="str">
        <f t="shared" si="186"/>
        <v>Yes</v>
      </c>
    </row>
    <row r="777" spans="1:97" ht="69.900000000000006" customHeight="1">
      <c r="A777">
        <f>IF(OR($B777&lt;&gt;"Yes",$BS777=""),"",SUMPRODUCT(($B$500:$B$923="Yes")*ISNUMBER($BS$500:$BS$923)*($BS$500:$BS$923&gt;$BS777))+COUNTIFS($B$500:$B777,"Yes",$BS$500:$BS777,$BS777))</f>
        <v>354</v>
      </c>
      <c r="B777" t="str">
        <f t="shared" si="155"/>
        <v>Yes</v>
      </c>
      <c r="C777" t="s">
        <v>2473</v>
      </c>
      <c r="D777" t="s">
        <v>2475</v>
      </c>
      <c r="E777" t="s">
        <v>2487</v>
      </c>
      <c r="F777" t="s">
        <v>3690</v>
      </c>
      <c r="G777" t="str">
        <f>IF($H777="","",IFERROR(INDEX(_ENGINE_Risk!$H$5:$M$499,MATCH($E777,_ENGINE_Risk!$A$5:$A$499,0),$H777+1),""))</f>
        <v>Severe risk: digital channel dependency across website, search, paid media, social, events and partners is not reliably controlled. During Reputation crisis; Demand shock; IT outage, the organization may face loss of customer trust, reputational damage and inconsistent crisis communication with limited visibility or accountability.</v>
      </c>
      <c r="H777">
        <f>IFERROR(VALUE(INDEX(_DATA_Assessment_Model!$H$5:$H$884,MATCH($E777,_DATA_Assessment_Model!$A$5:$A$884,0))),"")</f>
        <v>0</v>
      </c>
      <c r="I777" t="str">
        <f>IF($H777="","",IFERROR(INDEX(_DATA_Assessment_Model!$L$5:$L$884,MATCH($E777,_DATA_Assessment_Model!$A$5:$A$884,0)),IF($H777&lt;=1,"Critical",IF($H777=2,"High",IF($H777=3,"Medium",IF($H777=4,"Low","Resilient"))))))</f>
        <v>Critical</v>
      </c>
      <c r="J777">
        <f t="shared" si="156"/>
        <v>3.6</v>
      </c>
      <c r="K777">
        <f t="shared" si="157"/>
        <v>4.2</v>
      </c>
      <c r="L777">
        <f t="shared" si="158"/>
        <v>15.120000000000001</v>
      </c>
      <c r="M777">
        <f t="shared" si="159"/>
        <v>4</v>
      </c>
      <c r="N777">
        <f>IF($H777="","",IFERROR(INDEX(_ENGINE_Risk!$T$5:$Y$499,MATCH($E777,_ENGINE_Risk!$A$5:$A$499,0),$H777+1),""))</f>
        <v>3</v>
      </c>
      <c r="O777">
        <f t="shared" si="160"/>
        <v>4.666666666666667</v>
      </c>
      <c r="P777">
        <f t="shared" si="161"/>
        <v>5</v>
      </c>
      <c r="Q777">
        <f t="shared" si="162"/>
        <v>5</v>
      </c>
      <c r="R777">
        <f t="shared" si="163"/>
        <v>4.5</v>
      </c>
      <c r="S777">
        <f t="shared" si="164"/>
        <v>1.6</v>
      </c>
      <c r="T777" t="str">
        <f>IF($H777="","",IFERROR(INDEX(_ENGINE_Risk!$N$5:$S$499,MATCH($E777,_ENGINE_Risk!$A$5:$A$499,0),$H777+1),""))</f>
        <v>Create an immediate risk owner, minimum control baseline and fallback procedure for digital channel dependency across website, search, paid media, social, events and partners. Add it to the crisis risk register and collect first evidence.</v>
      </c>
      <c r="U777">
        <f>IFERROR(INDEX(_DATA_Assessment_Model!$G$5:$G$884,MATCH($E777,_DATA_Assessment_Model!$A$5:$A$884,0)),"")</f>
        <v>5</v>
      </c>
      <c r="V777">
        <f>IFERROR(INDEX(_DATA_Assessment_Model!$W$5:$W$884,MATCH($E777,_DATA_Assessment_Model!$A$5:$A$884,0)),"")</f>
        <v>4</v>
      </c>
      <c r="W777">
        <f>IFERROR(INDEX(_DATA_Assessment_Model!$X$5:$X$884,MATCH($E777,_DATA_Assessment_Model!$A$5:$A$884,0)),"")</f>
        <v>5</v>
      </c>
      <c r="X777">
        <f>IFERROR(INDEX(_DATA_Assessment_Model!$Y$5:$Y$884,MATCH($E777,_DATA_Assessment_Model!$A$5:$A$884,0)),"")</f>
        <v>5</v>
      </c>
      <c r="Y777" t="s">
        <v>2486</v>
      </c>
      <c r="Z777" t="s">
        <v>8519</v>
      </c>
      <c r="AA777" t="s">
        <v>2489</v>
      </c>
      <c r="AB777">
        <f>IFERROR(INDEX(_DATA_Assessment_Model!$U$5:$U$884,MATCH($E777,_DATA_Assessment_Model!$A$5:$A$884,0)),"")</f>
        <v>0</v>
      </c>
      <c r="AF777" t="s">
        <v>2488</v>
      </c>
      <c r="AO777">
        <f>IF($B777="Yes",IF(IFERROR(INDEX(_ENGINE_Crisis!$F$501:$F$517,MATCH($C777,_ENGINE_Crisis!$A$501:$A$517,0)),1)=0,1,IFERROR(INDEX(_ENGINE_Crisis!$F$501:$F$517,MATCH($C777,_ENGINE_Crisis!$A$501:$A$517,0)),1)),"")</f>
        <v>1</v>
      </c>
      <c r="AP777">
        <f t="shared" si="165"/>
        <v>15.1</v>
      </c>
      <c r="AQ777">
        <f t="shared" si="166"/>
        <v>1.6</v>
      </c>
      <c r="AR777" t="str">
        <f>IFERROR(INDEX(_ENGINE_Crisis!$E$41:$E$700,MATCH('Resilience &amp; Risk Scenario'!$B$6&amp;"|"&amp;$C777,_ENGINE_Crisis!$I$41:$I$700,0)),"")</f>
        <v/>
      </c>
      <c r="AS777" t="str">
        <f>IFERROR(INDEX(_ENGINE_Crisis!$G$41:$G$700,MATCH('Resilience &amp; Risk Scenario'!$B$6&amp;"|"&amp;$C777,_ENGINE_Crisis!$I$41:$I$700,0)),"")</f>
        <v/>
      </c>
      <c r="AT777" t="str">
        <f>IFERROR(INDEX(_ENGINE_Initiatives!$A$5:$A$532,MATCH(1,INDEX((_ENGINE_Initiatives!$B$5:$B$532=$C777)*(_ENGINE_Initiatives!$C$5:$C$532=$D777),0),0)),"")</f>
        <v>INI-045</v>
      </c>
      <c r="AU777" t="str">
        <f>IFERROR(INDEX(_ENGINE_Initiatives!$F$5:$F$532,MATCH(1,INDEX((_ENGINE_Initiatives!$B$5:$B$532=$C777)*(_ENGINE_Initiatives!$C$5:$C$532=$D777),0),0)),"")</f>
        <v>Build resilient brand presence and digital demand generation</v>
      </c>
      <c r="AV777">
        <f>IFERROR(INDEX(_ENGINE_Initiatives!$AC$5:$AC$532,MATCH(1,INDEX((_ENGINE_Initiatives!$B$5:$B$532=$C777)*(_ENGINE_Initiatives!$C$5:$C$532=$D777),0),0)),"")</f>
        <v>1.71</v>
      </c>
      <c r="AW777" t="str">
        <f>IFERROR(INDEX(_ENGINE_Initiatives!$AE$5:$AE$532,MATCH(1,INDEX((_ENGINE_Initiatives!$B$5:$B$532=$C777)*(_ENGINE_Initiatives!$C$5:$C$532=$D777),0),0)),"")</f>
        <v>6-12 months</v>
      </c>
      <c r="AX777">
        <f>IF($B777="Yes",IFERROR((IF(SUMIFS(_REF_Model_Content!$E$1:$E$613,_REF_Model_Content!$A$1:$A$613,PV_Canonical_Industry,_REF_Model_Content!$B$1:$B$613,$C777)=0,1,SUMIFS(_REF_Model_Content!$E$1:$E$613,_REF_Model_Content!$A$1:$A$613,PV_Canonical_Industry,_REF_Model_Content!$B$1:$B$613,$C777))*IFERROR($BU777,1)),1),"")</f>
        <v>1</v>
      </c>
      <c r="AY777">
        <f t="shared" si="167"/>
        <v>15.1</v>
      </c>
      <c r="AZ777">
        <f t="shared" si="168"/>
        <v>1.6</v>
      </c>
      <c r="BB777" t="str">
        <f>IF($H777="","",IFERROR(INDEX(_ENGINE_Risk!$AE$5:$AE$499,MATCH($E777,_ENGINE_Risk!$A$5:$A$499,0)),"Medium"))</f>
        <v>Medium</v>
      </c>
      <c r="BC777">
        <f t="shared" si="169"/>
        <v>1</v>
      </c>
      <c r="BD777">
        <f t="shared" si="170"/>
        <v>1.6</v>
      </c>
      <c r="BF777">
        <f>IF(OR($H777="",$J777=""),"",IFERROR(VLOOKUP(ROUND($J777,0),_CONFIG_Model_Settings!$D$154:$E$158,2,0),""))</f>
        <v>0.5</v>
      </c>
      <c r="BG777">
        <f>IFERROR(IF(OR($H777="",$K777=""),"",ROUND('Company Profile'!$B$113*INDEX(_CONFIG_Model_Settings!$H$154:$H$158,MATCH(ROUND($K777,0),_CONFIG_Model_Settings!$G$154:$G$158,0)),0)),0)</f>
        <v>875</v>
      </c>
      <c r="BH777">
        <f t="shared" si="171"/>
        <v>437.5</v>
      </c>
      <c r="BI777">
        <f t="shared" si="172"/>
        <v>437.5</v>
      </c>
      <c r="BJ777">
        <f>IF($E777="","",IFERROR(VLOOKUP($C777,_CONFIG_Risk_Calibration!$A$5:$H$21,2,FALSE),3))</f>
        <v>3</v>
      </c>
      <c r="BK777">
        <f>IF($E777="","",IFERROR(VLOOKUP($C777,_CONFIG_Risk_Calibration!$A$5:$H$21,3,FALSE),0))</f>
        <v>0</v>
      </c>
      <c r="BL777">
        <f>IF($E777="","",IFERROR(VLOOKUP($C777,_CONFIG_Risk_Calibration!$A$5:$H$21,4,FALSE),3))</f>
        <v>3</v>
      </c>
      <c r="BM777">
        <f>IF($E777="","",IFERROR(VLOOKUP($C777,_CONFIG_Risk_Calibration!$A$5:$H$21,5,FALSE),3))</f>
        <v>2</v>
      </c>
      <c r="BN777" t="str">
        <f>IF($E777="","",IFERROR(VLOOKUP($C777,_CONFIG_Risk_Calibration!$A$5:$H$21,6,FALSE),"No"))</f>
        <v>No</v>
      </c>
      <c r="BO777">
        <f>IF($E777="","",IFERROR(VLOOKUP($C777,_CONFIG_Risk_Calibration!$A$5:$H$21,7,FALSE),1))</f>
        <v>1</v>
      </c>
      <c r="BP777">
        <f>IF($H777="","",MAX(1,MIN(5,((6-$H777)*0.45)+($BJ777*0.2)+('Resilience &amp; Risk Scenario'!$B$7*0.15)+($BK777*0.1)+($BL777*0.05)+(IF($BB777="Fast",5,IF($BB777="Slow",1,3))*0.05))))</f>
        <v>3.6</v>
      </c>
      <c r="BQ777">
        <f t="shared" si="173"/>
        <v>4.2</v>
      </c>
      <c r="BR777">
        <f t="shared" si="174"/>
        <v>15.12</v>
      </c>
      <c r="BS777">
        <f t="shared" si="175"/>
        <v>13.61</v>
      </c>
      <c r="BT777" t="str">
        <f>IFERROR(INDEX(_REF_Capability_Bridge!$D:$D,MATCH($C777&amp;"|"&amp;$D777,_REF_Capability_Bridge!$J:$J,0)),IFERROR(INDEX(_REF_Capability_Bridge!$D:$D,MATCH($C777&amp;"|",_REF_Capability_Bridge!$J:$J,0)),"CAP_GENERIC"))</f>
        <v>CAP_CUSTOMER_COMMUNICATION</v>
      </c>
      <c r="BU777">
        <f>IFERROR(IFERROR(INDEX(_ENGINE_Relevance!$L:$L,MATCH($BT777,_ENGINE_Relevance!$B:$B,0)),1),1)</f>
        <v>1</v>
      </c>
      <c r="BV777" t="str">
        <f>IFERROR(INDEX(_REF_Capability_Bridge!$A:$A,MATCH($C777&amp;"|"&amp;$D777,_REF_Capability_Bridge!$J:$J,0)),IFERROR(INDEX(_REF_Capability_Bridge!$A:$A,MATCH($C777&amp;"|",_REF_Capability_Bridge!$J:$J,0)),"No bridge"))</f>
        <v>BRG-061</v>
      </c>
      <c r="BW777" t="str">
        <f t="shared" si="176"/>
        <v>Capability relevance neutral</v>
      </c>
      <c r="BX777" t="str">
        <f t="shared" si="177"/>
        <v>Initial / absent</v>
      </c>
      <c r="BY777" t="str">
        <f>IF($E777="","",IFERROR(INDEX(_REF_Treatment_Library!$A$2:$A$296,MATCH(1,INDEX((_REF_Treatment_Library!$B$2:$B$296=$BT777)*(_REF_Treatment_Library!$C$2:$C$296=PV_Canonical_Industry)*(_REF_Treatment_Library!$E$2:$E$296&lt;=N($H777))*(_REF_Treatment_Library!$F$2:$F$296&gt;=N($H777))*(_REF_Treatment_Library!$O$2:$O$296="Yes"),0),0)),IFERROR(INDEX(_REF_Treatment_Library!$A$2:$A$296,MATCH(1,INDEX((_REF_Treatment_Library!$B$2:$B$296=$BT777)*(_REF_Treatment_Library!$C$2:$C$296="All")*(_REF_Treatment_Library!$E$2:$E$296&lt;=N($H777))*(_REF_Treatment_Library!$F$2:$F$296&gt;=N($H777))*(_REF_Treatment_Library!$O$2:$O$296="Yes"),0),0)),"")))</f>
        <v>TRT-CUSTOMER_COMMUNICATION-INITIAL</v>
      </c>
      <c r="BZ777" t="str">
        <f>IF($BY777="","",IFERROR(INDEX(_REF_Treatment_Library!$H$2:$H$296,MATCH($BY777,_REF_Treatment_Library!$A$2:$A$296,0)),""))</f>
        <v>Establish</v>
      </c>
      <c r="CA777" t="str">
        <f>IF($BY777="","",IFERROR(INDEX(_REF_Treatment_Library!$I$2:$I$296,MATCH($BY777,_REF_Treatment_Library!$A$2:$A$296,0)),""))</f>
        <v>Establish baseline controls for Customer communication</v>
      </c>
      <c r="CB777" t="str">
        <f>IF($BY777="","",IFERROR(INDEX(_REF_Treatment_Library!$K$2:$K$296,MATCH($BY777,_REF_Treatment_Library!$A$2:$A$296,0)),""))</f>
        <v>Named owner, baseline process, minimum control checklist, first evidence package</v>
      </c>
      <c r="CC777" t="str">
        <f>IF($BY777="","",IFERROR(INDEX(_REF_Treatment_Library!$L$2:$L$296,MATCH($BY777,_REF_Treatment_Library!$A$2:$A$296,0)),""))</f>
        <v>Owner assigned; baseline evidence coverage; open critical gaps</v>
      </c>
      <c r="CD777" t="str">
        <f t="shared" si="178"/>
        <v>Treatment by capability=CAP_CUSTOMER_COMMUNICATION; band=Initial / absent; score=0.0; treatment=Establish</v>
      </c>
      <c r="CE777" t="str">
        <f>IF($E777="","",IFERROR(INDEX(_REF_Industry_Wording!$A$2:$A$70,MATCH(1,INDEX((_REF_Industry_Wording!$B$2:$B$70=$BT777)*(_REF_Industry_Wording!$C$2:$C$70=PV_Canonical_Industry)*(_REF_Industry_Wording!$K$2:$K$70="Yes"),0),0)),IFERROR(INDEX(_REF_Industry_Wording!$A$2:$A$70,MATCH(1,INDEX((_REF_Industry_Wording!$B$2:$B$70=$BT777)*(_REF_Industry_Wording!$C$2:$C$70="All")*(_REF_Industry_Wording!$K$2:$K$70="Yes"),0),0)),"")))</f>
        <v>IW-ALL-CUSTOMER_COMMUNICATION</v>
      </c>
      <c r="CF777" t="str">
        <f>IF($CE777="","",IFERROR(INDEX(_REF_Industry_Wording!$E$2:$E$70,MATCH($CE777,_REF_Industry_Wording!$A$2:$A$70,0)),""))</f>
        <v>Customer communication weakness</v>
      </c>
      <c r="CG777" t="str">
        <f>IF($CE777="","",IFERROR(INDEX(_REF_Industry_Wording!$F$2:$F$70,MATCH($CE777,_REF_Industry_Wording!$A$2:$A$70,0)),""))</f>
        <v>Strengthen Customer communication</v>
      </c>
      <c r="CH777" t="str">
        <f>IF($CE777="","",IFERROR(INDEX(_REF_Industry_Wording!$G$2:$G$70,MATCH($CE777,_REF_Industry_Wording!$A$2:$A$70,0)),""))</f>
        <v>Strengthen Customer communication using the selected maturity treatment, crisis scenario and evidence requirements.</v>
      </c>
      <c r="CI777" t="str">
        <f>IF($CE777="","",IFERROR(INDEX(_REF_Industry_Wording!$H$2:$H$70,MATCH($CE777,_REF_Industry_Wording!$A$2:$A$70,0)),""))</f>
        <v>Customer communication</v>
      </c>
      <c r="CJ777">
        <f>IF($CE777="","",IFERROR(INDEX(_REF_Industry_Wording!$I$2:$I$70,MATCH($CE777,_REF_Industry_Wording!$A$2:$A$70,0)),""))</f>
        <v>0</v>
      </c>
      <c r="CK777" t="str">
        <f>IF($CE777="","",IFERROR(INDEX(_REF_Industry_Wording!$J$2:$J$70,MATCH($CE777,_REF_Industry_Wording!$A$2:$A$70,0)),""))</f>
        <v>Customer communication</v>
      </c>
      <c r="CL777" t="str">
        <f t="shared" si="179"/>
        <v>Wording by industry=0; capability=CAP_CUSTOMER_COMMUNICATION; risk label=Customer communication weakness</v>
      </c>
      <c r="CM777" t="str">
        <f t="shared" si="180"/>
        <v>RISK-ONT-0278</v>
      </c>
      <c r="CN777" t="str">
        <f t="shared" si="181"/>
        <v>RISK-EVT-0278</v>
      </c>
      <c r="CO777" t="str">
        <f t="shared" si="182"/>
        <v>Marketing Comms|Brand and market presence|MARK-002|CAP_CUSTOMER_COMMUNICATION</v>
      </c>
      <c r="CP777" t="str">
        <f t="shared" si="183"/>
        <v>Active</v>
      </c>
      <c r="CQ777" t="str">
        <f t="shared" si="184"/>
        <v>OK: capability-driven</v>
      </c>
      <c r="CR777" t="str">
        <f t="shared" si="185"/>
        <v>Risk ontology uses capability=CAP_CUSTOMER_COMMUNICATION; bridge=BRG-061; treatment=TRT-CUSTOMER_COMMUNICATION-INITIAL; wording=IW-ALL-CUSTOMER_COMMUNICATION</v>
      </c>
      <c r="CS777" t="str">
        <f t="shared" si="186"/>
        <v>Yes</v>
      </c>
    </row>
    <row r="778" spans="1:97" ht="69.900000000000006" customHeight="1">
      <c r="A778">
        <f>IF(OR($B778&lt;&gt;"Yes",$BS778=""),"",SUMPRODUCT(($B$500:$B$923="Yes")*ISNUMBER($BS$500:$BS$923)*($BS$500:$BS$923&gt;$BS778))+COUNTIFS($B$500:$B778,"Yes",$BS$500:$BS778,$BS778))</f>
        <v>355</v>
      </c>
      <c r="B778" t="str">
        <f t="shared" si="155"/>
        <v>Yes</v>
      </c>
      <c r="C778" t="s">
        <v>2473</v>
      </c>
      <c r="D778" t="s">
        <v>2475</v>
      </c>
      <c r="E778" t="s">
        <v>2491</v>
      </c>
      <c r="F778" t="s">
        <v>3690</v>
      </c>
      <c r="G778" t="str">
        <f>IF($H778="","",IFERROR(INDEX(_ENGINE_Risk!$H$5:$M$499,MATCH($E778,_ENGINE_Risk!$A$5:$A$499,0),$H778+1),""))</f>
        <v>Severe risk: website and lead-form availability during traffic spikes, cyberattacks or hosting outages is not reliably controlled. During Reputation crisis; Demand shock; IT outage, the organization may face loss of customer trust, reputational damage and inconsistent crisis communication with limited visibility or accountability.</v>
      </c>
      <c r="H778">
        <f>IFERROR(VALUE(INDEX(_DATA_Assessment_Model!$H$5:$H$884,MATCH($E778,_DATA_Assessment_Model!$A$5:$A$884,0))),"")</f>
        <v>0</v>
      </c>
      <c r="I778" t="str">
        <f>IF($H778="","",IFERROR(INDEX(_DATA_Assessment_Model!$L$5:$L$884,MATCH($E778,_DATA_Assessment_Model!$A$5:$A$884,0)),IF($H778&lt;=1,"Critical",IF($H778=2,"High",IF($H778=3,"Medium",IF($H778=4,"Low","Resilient"))))))</f>
        <v>Critical</v>
      </c>
      <c r="J778">
        <f t="shared" si="156"/>
        <v>3.6</v>
      </c>
      <c r="K778">
        <f t="shared" si="157"/>
        <v>4.2</v>
      </c>
      <c r="L778">
        <f t="shared" si="158"/>
        <v>15.120000000000001</v>
      </c>
      <c r="M778">
        <f t="shared" si="159"/>
        <v>4</v>
      </c>
      <c r="N778">
        <f>IF($H778="","",IFERROR(INDEX(_ENGINE_Risk!$T$5:$Y$499,MATCH($E778,_ENGINE_Risk!$A$5:$A$499,0),$H778+1),""))</f>
        <v>3</v>
      </c>
      <c r="O778">
        <f t="shared" si="160"/>
        <v>4.666666666666667</v>
      </c>
      <c r="P778">
        <f t="shared" si="161"/>
        <v>5</v>
      </c>
      <c r="Q778">
        <f t="shared" si="162"/>
        <v>5</v>
      </c>
      <c r="R778">
        <f t="shared" si="163"/>
        <v>4.5</v>
      </c>
      <c r="S778">
        <f t="shared" si="164"/>
        <v>1.6</v>
      </c>
      <c r="T778" t="str">
        <f>IF($H778="","",IFERROR(INDEX(_ENGINE_Risk!$N$5:$S$499,MATCH($E778,_ENGINE_Risk!$A$5:$A$499,0),$H778+1),""))</f>
        <v>Create an immediate risk owner, minimum control baseline and fallback procedure for website and lead-form availability during traffic spikes, cyberattacks or hosting outages. Add it to the crisis risk register and collect first evidence.</v>
      </c>
      <c r="U778">
        <f>IFERROR(INDEX(_DATA_Assessment_Model!$G$5:$G$884,MATCH($E778,_DATA_Assessment_Model!$A$5:$A$884,0)),"")</f>
        <v>5</v>
      </c>
      <c r="V778">
        <f>IFERROR(INDEX(_DATA_Assessment_Model!$W$5:$W$884,MATCH($E778,_DATA_Assessment_Model!$A$5:$A$884,0)),"")</f>
        <v>4</v>
      </c>
      <c r="W778">
        <f>IFERROR(INDEX(_DATA_Assessment_Model!$X$5:$X$884,MATCH($E778,_DATA_Assessment_Model!$A$5:$A$884,0)),"")</f>
        <v>5</v>
      </c>
      <c r="X778">
        <f>IFERROR(INDEX(_DATA_Assessment_Model!$Y$5:$Y$884,MATCH($E778,_DATA_Assessment_Model!$A$5:$A$884,0)),"")</f>
        <v>5</v>
      </c>
      <c r="Y778" t="s">
        <v>2486</v>
      </c>
      <c r="Z778" t="s">
        <v>8519</v>
      </c>
      <c r="AA778" t="s">
        <v>2493</v>
      </c>
      <c r="AB778">
        <f>IFERROR(INDEX(_DATA_Assessment_Model!$U$5:$U$884,MATCH($E778,_DATA_Assessment_Model!$A$5:$A$884,0)),"")</f>
        <v>0</v>
      </c>
      <c r="AF778" t="s">
        <v>2492</v>
      </c>
      <c r="AO778">
        <f>IF($B778="Yes",IF(IFERROR(INDEX(_ENGINE_Crisis!$F$501:$F$517,MATCH($C778,_ENGINE_Crisis!$A$501:$A$517,0)),1)=0,1,IFERROR(INDEX(_ENGINE_Crisis!$F$501:$F$517,MATCH($C778,_ENGINE_Crisis!$A$501:$A$517,0)),1)),"")</f>
        <v>1</v>
      </c>
      <c r="AP778">
        <f t="shared" si="165"/>
        <v>15.1</v>
      </c>
      <c r="AQ778">
        <f t="shared" si="166"/>
        <v>1.6</v>
      </c>
      <c r="AR778" t="str">
        <f>IFERROR(INDEX(_ENGINE_Crisis!$E$41:$E$700,MATCH('Resilience &amp; Risk Scenario'!$B$6&amp;"|"&amp;$C778,_ENGINE_Crisis!$I$41:$I$700,0)),"")</f>
        <v/>
      </c>
      <c r="AS778" t="str">
        <f>IFERROR(INDEX(_ENGINE_Crisis!$G$41:$G$700,MATCH('Resilience &amp; Risk Scenario'!$B$6&amp;"|"&amp;$C778,_ENGINE_Crisis!$I$41:$I$700,0)),"")</f>
        <v/>
      </c>
      <c r="AT778" t="str">
        <f>IFERROR(INDEX(_ENGINE_Initiatives!$A$5:$A$532,MATCH(1,INDEX((_ENGINE_Initiatives!$B$5:$B$532=$C778)*(_ENGINE_Initiatives!$C$5:$C$532=$D778),0),0)),"")</f>
        <v>INI-045</v>
      </c>
      <c r="AU778" t="str">
        <f>IFERROR(INDEX(_ENGINE_Initiatives!$F$5:$F$532,MATCH(1,INDEX((_ENGINE_Initiatives!$B$5:$B$532=$C778)*(_ENGINE_Initiatives!$C$5:$C$532=$D778),0),0)),"")</f>
        <v>Build resilient brand presence and digital demand generation</v>
      </c>
      <c r="AV778">
        <f>IFERROR(INDEX(_ENGINE_Initiatives!$AC$5:$AC$532,MATCH(1,INDEX((_ENGINE_Initiatives!$B$5:$B$532=$C778)*(_ENGINE_Initiatives!$C$5:$C$532=$D778),0),0)),"")</f>
        <v>1.71</v>
      </c>
      <c r="AW778" t="str">
        <f>IFERROR(INDEX(_ENGINE_Initiatives!$AE$5:$AE$532,MATCH(1,INDEX((_ENGINE_Initiatives!$B$5:$B$532=$C778)*(_ENGINE_Initiatives!$C$5:$C$532=$D778),0),0)),"")</f>
        <v>6-12 months</v>
      </c>
      <c r="AX778">
        <f>IF($B778="Yes",IFERROR((IF(SUMIFS(_REF_Model_Content!$E$1:$E$613,_REF_Model_Content!$A$1:$A$613,PV_Canonical_Industry,_REF_Model_Content!$B$1:$B$613,$C778)=0,1,SUMIFS(_REF_Model_Content!$E$1:$E$613,_REF_Model_Content!$A$1:$A$613,PV_Canonical_Industry,_REF_Model_Content!$B$1:$B$613,$C778))*IFERROR($BU778,1)),1),"")</f>
        <v>1</v>
      </c>
      <c r="AY778">
        <f t="shared" si="167"/>
        <v>15.1</v>
      </c>
      <c r="AZ778">
        <f t="shared" si="168"/>
        <v>1.6</v>
      </c>
      <c r="BB778" t="str">
        <f>IF($H778="","",IFERROR(INDEX(_ENGINE_Risk!$AE$5:$AE$499,MATCH($E778,_ENGINE_Risk!$A$5:$A$499,0)),"Medium"))</f>
        <v>Medium</v>
      </c>
      <c r="BC778">
        <f t="shared" si="169"/>
        <v>1</v>
      </c>
      <c r="BD778">
        <f t="shared" si="170"/>
        <v>1.6</v>
      </c>
      <c r="BF778">
        <f>IF(OR($H778="",$J778=""),"",IFERROR(VLOOKUP(ROUND($J778,0),_CONFIG_Model_Settings!$D$154:$E$158,2,0),""))</f>
        <v>0.5</v>
      </c>
      <c r="BG778">
        <f>IFERROR(IF(OR($H778="",$K778=""),"",ROUND('Company Profile'!$B$113*INDEX(_CONFIG_Model_Settings!$H$154:$H$158,MATCH(ROUND($K778,0),_CONFIG_Model_Settings!$G$154:$G$158,0)),0)),0)</f>
        <v>875</v>
      </c>
      <c r="BH778">
        <f t="shared" si="171"/>
        <v>437.5</v>
      </c>
      <c r="BI778">
        <f t="shared" si="172"/>
        <v>437.5</v>
      </c>
      <c r="BJ778">
        <f>IF($E778="","",IFERROR(VLOOKUP($C778,_CONFIG_Risk_Calibration!$A$5:$H$21,2,FALSE),3))</f>
        <v>3</v>
      </c>
      <c r="BK778">
        <f>IF($E778="","",IFERROR(VLOOKUP($C778,_CONFIG_Risk_Calibration!$A$5:$H$21,3,FALSE),0))</f>
        <v>0</v>
      </c>
      <c r="BL778">
        <f>IF($E778="","",IFERROR(VLOOKUP($C778,_CONFIG_Risk_Calibration!$A$5:$H$21,4,FALSE),3))</f>
        <v>3</v>
      </c>
      <c r="BM778">
        <f>IF($E778="","",IFERROR(VLOOKUP($C778,_CONFIG_Risk_Calibration!$A$5:$H$21,5,FALSE),3))</f>
        <v>2</v>
      </c>
      <c r="BN778" t="str">
        <f>IF($E778="","",IFERROR(VLOOKUP($C778,_CONFIG_Risk_Calibration!$A$5:$H$21,6,FALSE),"No"))</f>
        <v>No</v>
      </c>
      <c r="BO778">
        <f>IF($E778="","",IFERROR(VLOOKUP($C778,_CONFIG_Risk_Calibration!$A$5:$H$21,7,FALSE),1))</f>
        <v>1</v>
      </c>
      <c r="BP778">
        <f>IF($H778="","",MAX(1,MIN(5,((6-$H778)*0.45)+($BJ778*0.2)+('Resilience &amp; Risk Scenario'!$B$7*0.15)+($BK778*0.1)+($BL778*0.05)+(IF($BB778="Fast",5,IF($BB778="Slow",1,3))*0.05))))</f>
        <v>3.6</v>
      </c>
      <c r="BQ778">
        <f t="shared" si="173"/>
        <v>4.2</v>
      </c>
      <c r="BR778">
        <f t="shared" si="174"/>
        <v>15.12</v>
      </c>
      <c r="BS778">
        <f t="shared" si="175"/>
        <v>13.61</v>
      </c>
      <c r="BT778" t="str">
        <f>IFERROR(INDEX(_REF_Capability_Bridge!$D:$D,MATCH($C778&amp;"|"&amp;$D778,_REF_Capability_Bridge!$J:$J,0)),IFERROR(INDEX(_REF_Capability_Bridge!$D:$D,MATCH($C778&amp;"|",_REF_Capability_Bridge!$J:$J,0)),"CAP_GENERIC"))</f>
        <v>CAP_CUSTOMER_COMMUNICATION</v>
      </c>
      <c r="BU778">
        <f>IFERROR(IFERROR(INDEX(_ENGINE_Relevance!$L:$L,MATCH($BT778,_ENGINE_Relevance!$B:$B,0)),1),1)</f>
        <v>1</v>
      </c>
      <c r="BV778" t="str">
        <f>IFERROR(INDEX(_REF_Capability_Bridge!$A:$A,MATCH($C778&amp;"|"&amp;$D778,_REF_Capability_Bridge!$J:$J,0)),IFERROR(INDEX(_REF_Capability_Bridge!$A:$A,MATCH($C778&amp;"|",_REF_Capability_Bridge!$J:$J,0)),"No bridge"))</f>
        <v>BRG-061</v>
      </c>
      <c r="BW778" t="str">
        <f t="shared" si="176"/>
        <v>Capability relevance neutral</v>
      </c>
      <c r="BX778" t="str">
        <f t="shared" si="177"/>
        <v>Initial / absent</v>
      </c>
      <c r="BY778" t="str">
        <f>IF($E778="","",IFERROR(INDEX(_REF_Treatment_Library!$A$2:$A$296,MATCH(1,INDEX((_REF_Treatment_Library!$B$2:$B$296=$BT778)*(_REF_Treatment_Library!$C$2:$C$296=PV_Canonical_Industry)*(_REF_Treatment_Library!$E$2:$E$296&lt;=N($H778))*(_REF_Treatment_Library!$F$2:$F$296&gt;=N($H778))*(_REF_Treatment_Library!$O$2:$O$296="Yes"),0),0)),IFERROR(INDEX(_REF_Treatment_Library!$A$2:$A$296,MATCH(1,INDEX((_REF_Treatment_Library!$B$2:$B$296=$BT778)*(_REF_Treatment_Library!$C$2:$C$296="All")*(_REF_Treatment_Library!$E$2:$E$296&lt;=N($H778))*(_REF_Treatment_Library!$F$2:$F$296&gt;=N($H778))*(_REF_Treatment_Library!$O$2:$O$296="Yes"),0),0)),"")))</f>
        <v>TRT-CUSTOMER_COMMUNICATION-INITIAL</v>
      </c>
      <c r="BZ778" t="str">
        <f>IF($BY778="","",IFERROR(INDEX(_REF_Treatment_Library!$H$2:$H$296,MATCH($BY778,_REF_Treatment_Library!$A$2:$A$296,0)),""))</f>
        <v>Establish</v>
      </c>
      <c r="CA778" t="str">
        <f>IF($BY778="","",IFERROR(INDEX(_REF_Treatment_Library!$I$2:$I$296,MATCH($BY778,_REF_Treatment_Library!$A$2:$A$296,0)),""))</f>
        <v>Establish baseline controls for Customer communication</v>
      </c>
      <c r="CB778" t="str">
        <f>IF($BY778="","",IFERROR(INDEX(_REF_Treatment_Library!$K$2:$K$296,MATCH($BY778,_REF_Treatment_Library!$A$2:$A$296,0)),""))</f>
        <v>Named owner, baseline process, minimum control checklist, first evidence package</v>
      </c>
      <c r="CC778" t="str">
        <f>IF($BY778="","",IFERROR(INDEX(_REF_Treatment_Library!$L$2:$L$296,MATCH($BY778,_REF_Treatment_Library!$A$2:$A$296,0)),""))</f>
        <v>Owner assigned; baseline evidence coverage; open critical gaps</v>
      </c>
      <c r="CD778" t="str">
        <f t="shared" si="178"/>
        <v>Treatment by capability=CAP_CUSTOMER_COMMUNICATION; band=Initial / absent; score=0.0; treatment=Establish</v>
      </c>
      <c r="CE778" t="str">
        <f>IF($E778="","",IFERROR(INDEX(_REF_Industry_Wording!$A$2:$A$70,MATCH(1,INDEX((_REF_Industry_Wording!$B$2:$B$70=$BT778)*(_REF_Industry_Wording!$C$2:$C$70=PV_Canonical_Industry)*(_REF_Industry_Wording!$K$2:$K$70="Yes"),0),0)),IFERROR(INDEX(_REF_Industry_Wording!$A$2:$A$70,MATCH(1,INDEX((_REF_Industry_Wording!$B$2:$B$70=$BT778)*(_REF_Industry_Wording!$C$2:$C$70="All")*(_REF_Industry_Wording!$K$2:$K$70="Yes"),0),0)),"")))</f>
        <v>IW-ALL-CUSTOMER_COMMUNICATION</v>
      </c>
      <c r="CF778" t="str">
        <f>IF($CE778="","",IFERROR(INDEX(_REF_Industry_Wording!$E$2:$E$70,MATCH($CE778,_REF_Industry_Wording!$A$2:$A$70,0)),""))</f>
        <v>Customer communication weakness</v>
      </c>
      <c r="CG778" t="str">
        <f>IF($CE778="","",IFERROR(INDEX(_REF_Industry_Wording!$F$2:$F$70,MATCH($CE778,_REF_Industry_Wording!$A$2:$A$70,0)),""))</f>
        <v>Strengthen Customer communication</v>
      </c>
      <c r="CH778" t="str">
        <f>IF($CE778="","",IFERROR(INDEX(_REF_Industry_Wording!$G$2:$G$70,MATCH($CE778,_REF_Industry_Wording!$A$2:$A$70,0)),""))</f>
        <v>Strengthen Customer communication using the selected maturity treatment, crisis scenario and evidence requirements.</v>
      </c>
      <c r="CI778" t="str">
        <f>IF($CE778="","",IFERROR(INDEX(_REF_Industry_Wording!$H$2:$H$70,MATCH($CE778,_REF_Industry_Wording!$A$2:$A$70,0)),""))</f>
        <v>Customer communication</v>
      </c>
      <c r="CJ778">
        <f>IF($CE778="","",IFERROR(INDEX(_REF_Industry_Wording!$I$2:$I$70,MATCH($CE778,_REF_Industry_Wording!$A$2:$A$70,0)),""))</f>
        <v>0</v>
      </c>
      <c r="CK778" t="str">
        <f>IF($CE778="","",IFERROR(INDEX(_REF_Industry_Wording!$J$2:$J$70,MATCH($CE778,_REF_Industry_Wording!$A$2:$A$70,0)),""))</f>
        <v>Customer communication</v>
      </c>
      <c r="CL778" t="str">
        <f t="shared" si="179"/>
        <v>Wording by industry=0; capability=CAP_CUSTOMER_COMMUNICATION; risk label=Customer communication weakness</v>
      </c>
      <c r="CM778" t="str">
        <f t="shared" si="180"/>
        <v>RISK-ONT-0279</v>
      </c>
      <c r="CN778" t="str">
        <f t="shared" si="181"/>
        <v>RISK-EVT-0279</v>
      </c>
      <c r="CO778" t="str">
        <f t="shared" si="182"/>
        <v>Marketing Comms|Brand and market presence|MARK-003|CAP_CUSTOMER_COMMUNICATION</v>
      </c>
      <c r="CP778" t="str">
        <f t="shared" si="183"/>
        <v>Active</v>
      </c>
      <c r="CQ778" t="str">
        <f t="shared" si="184"/>
        <v>OK: capability-driven</v>
      </c>
      <c r="CR778" t="str">
        <f t="shared" si="185"/>
        <v>Risk ontology uses capability=CAP_CUSTOMER_COMMUNICATION; bridge=BRG-061; treatment=TRT-CUSTOMER_COMMUNICATION-INITIAL; wording=IW-ALL-CUSTOMER_COMMUNICATION</v>
      </c>
      <c r="CS778" t="str">
        <f t="shared" si="186"/>
        <v>Yes</v>
      </c>
    </row>
    <row r="779" spans="1:97" ht="69.900000000000006" customHeight="1">
      <c r="A779">
        <f>IF(OR($B779&lt;&gt;"Yes",$BS779=""),"",SUMPRODUCT(($B$500:$B$923="Yes")*ISNUMBER($BS$500:$BS$923)*($BS$500:$BS$923&gt;$BS779))+COUNTIFS($B$500:$B779,"Yes",$BS$500:$BS779,$BS779))</f>
        <v>377</v>
      </c>
      <c r="B779" t="str">
        <f t="shared" si="155"/>
        <v>Yes</v>
      </c>
      <c r="C779" t="s">
        <v>2473</v>
      </c>
      <c r="D779" t="s">
        <v>2475</v>
      </c>
      <c r="E779" t="s">
        <v>2495</v>
      </c>
      <c r="F779" t="s">
        <v>3690</v>
      </c>
      <c r="G779" t="str">
        <f>IF($H779="","",IFERROR(INDEX(_ENGINE_Risk!$H$5:$M$499,MATCH($E779,_ENGINE_Risk!$A$5:$A$499,0),$H779+1),""))</f>
        <v>Severe risk: campaign performance, attribution, conversion, CAC and channel ROI measurement is not reliably controlled. During Reputation crisis; Demand shock; IT outage, the organization may face loss of customer trust, reputational damage and inconsistent crisis communication with limited visibility or accountability.</v>
      </c>
      <c r="H779">
        <f>IFERROR(VALUE(INDEX(_DATA_Assessment_Model!$H$5:$H$884,MATCH($E779,_DATA_Assessment_Model!$A$5:$A$884,0))),"")</f>
        <v>0</v>
      </c>
      <c r="I779" t="str">
        <f>IF($H779="","",IFERROR(INDEX(_DATA_Assessment_Model!$L$5:$L$884,MATCH($E779,_DATA_Assessment_Model!$A$5:$A$884,0)),IF($H779&lt;=1,"Critical",IF($H779=2,"High",IF($H779=3,"Medium",IF($H779=4,"Low","Resilient"))))))</f>
        <v>Critical</v>
      </c>
      <c r="J779">
        <f t="shared" si="156"/>
        <v>3.6</v>
      </c>
      <c r="K779">
        <f t="shared" si="157"/>
        <v>3.8</v>
      </c>
      <c r="L779">
        <f t="shared" si="158"/>
        <v>13.68</v>
      </c>
      <c r="M779">
        <f t="shared" si="159"/>
        <v>3</v>
      </c>
      <c r="N779">
        <f>IF($H779="","",IFERROR(INDEX(_ENGINE_Risk!$T$5:$Y$499,MATCH($E779,_ENGINE_Risk!$A$5:$A$499,0),$H779+1),""))</f>
        <v>3</v>
      </c>
      <c r="O779">
        <f t="shared" si="160"/>
        <v>4</v>
      </c>
      <c r="P779">
        <f t="shared" si="161"/>
        <v>5</v>
      </c>
      <c r="Q779">
        <f t="shared" si="162"/>
        <v>5</v>
      </c>
      <c r="R779">
        <f t="shared" si="163"/>
        <v>4.5</v>
      </c>
      <c r="S779">
        <f t="shared" si="164"/>
        <v>1.54</v>
      </c>
      <c r="T779" t="str">
        <f>IF($H779="","",IFERROR(INDEX(_ENGINE_Risk!$N$5:$S$499,MATCH($E779,_ENGINE_Risk!$A$5:$A$499,0),$H779+1),""))</f>
        <v>Create an immediate risk owner, minimum control baseline and fallback procedure for campaign performance, attribution, conversion, CAC and channel ROI measurement. Add it to the crisis risk register and collect first evidence.</v>
      </c>
      <c r="U779">
        <f>IFERROR(INDEX(_DATA_Assessment_Model!$G$5:$G$884,MATCH($E779,_DATA_Assessment_Model!$A$5:$A$884,0)),"")</f>
        <v>3</v>
      </c>
      <c r="V779">
        <f>IFERROR(INDEX(_DATA_Assessment_Model!$W$5:$W$884,MATCH($E779,_DATA_Assessment_Model!$A$5:$A$884,0)),"")</f>
        <v>4</v>
      </c>
      <c r="W779">
        <f>IFERROR(INDEX(_DATA_Assessment_Model!$X$5:$X$884,MATCH($E779,_DATA_Assessment_Model!$A$5:$A$884,0)),"")</f>
        <v>5</v>
      </c>
      <c r="X779">
        <f>IFERROR(INDEX(_DATA_Assessment_Model!$Y$5:$Y$884,MATCH($E779,_DATA_Assessment_Model!$A$5:$A$884,0)),"")</f>
        <v>5</v>
      </c>
      <c r="Y779" t="s">
        <v>2486</v>
      </c>
      <c r="Z779" t="s">
        <v>8519</v>
      </c>
      <c r="AA779" t="s">
        <v>2497</v>
      </c>
      <c r="AB779">
        <f>IFERROR(INDEX(_DATA_Assessment_Model!$U$5:$U$884,MATCH($E779,_DATA_Assessment_Model!$A$5:$A$884,0)),"")</f>
        <v>0</v>
      </c>
      <c r="AF779" t="s">
        <v>2496</v>
      </c>
      <c r="AO779">
        <f>IF($B779="Yes",IF(IFERROR(INDEX(_ENGINE_Crisis!$F$501:$F$517,MATCH($C779,_ENGINE_Crisis!$A$501:$A$517,0)),1)=0,1,IFERROR(INDEX(_ENGINE_Crisis!$F$501:$F$517,MATCH($C779,_ENGINE_Crisis!$A$501:$A$517,0)),1)),"")</f>
        <v>1</v>
      </c>
      <c r="AP779">
        <f t="shared" si="165"/>
        <v>13.7</v>
      </c>
      <c r="AQ779">
        <f t="shared" si="166"/>
        <v>1.54</v>
      </c>
      <c r="AR779" t="str">
        <f>IFERROR(INDEX(_ENGINE_Crisis!$E$41:$E$700,MATCH('Resilience &amp; Risk Scenario'!$B$6&amp;"|"&amp;$C779,_ENGINE_Crisis!$I$41:$I$700,0)),"")</f>
        <v/>
      </c>
      <c r="AS779" t="str">
        <f>IFERROR(INDEX(_ENGINE_Crisis!$G$41:$G$700,MATCH('Resilience &amp; Risk Scenario'!$B$6&amp;"|"&amp;$C779,_ENGINE_Crisis!$I$41:$I$700,0)),"")</f>
        <v/>
      </c>
      <c r="AT779" t="str">
        <f>IFERROR(INDEX(_ENGINE_Initiatives!$A$5:$A$532,MATCH(1,INDEX((_ENGINE_Initiatives!$B$5:$B$532=$C779)*(_ENGINE_Initiatives!$C$5:$C$532=$D779),0),0)),"")</f>
        <v>INI-045</v>
      </c>
      <c r="AU779" t="str">
        <f>IFERROR(INDEX(_ENGINE_Initiatives!$F$5:$F$532,MATCH(1,INDEX((_ENGINE_Initiatives!$B$5:$B$532=$C779)*(_ENGINE_Initiatives!$C$5:$C$532=$D779),0),0)),"")</f>
        <v>Build resilient brand presence and digital demand generation</v>
      </c>
      <c r="AV779">
        <f>IFERROR(INDEX(_ENGINE_Initiatives!$AC$5:$AC$532,MATCH(1,INDEX((_ENGINE_Initiatives!$B$5:$B$532=$C779)*(_ENGINE_Initiatives!$C$5:$C$532=$D779),0),0)),"")</f>
        <v>1.71</v>
      </c>
      <c r="AW779" t="str">
        <f>IFERROR(INDEX(_ENGINE_Initiatives!$AE$5:$AE$532,MATCH(1,INDEX((_ENGINE_Initiatives!$B$5:$B$532=$C779)*(_ENGINE_Initiatives!$C$5:$C$532=$D779),0),0)),"")</f>
        <v>6-12 months</v>
      </c>
      <c r="AX779">
        <f>IF($B779="Yes",IFERROR((IF(SUMIFS(_REF_Model_Content!$E$1:$E$613,_REF_Model_Content!$A$1:$A$613,PV_Canonical_Industry,_REF_Model_Content!$B$1:$B$613,$C779)=0,1,SUMIFS(_REF_Model_Content!$E$1:$E$613,_REF_Model_Content!$A$1:$A$613,PV_Canonical_Industry,_REF_Model_Content!$B$1:$B$613,$C779))*IFERROR($BU779,1)),1),"")</f>
        <v>1</v>
      </c>
      <c r="AY779">
        <f t="shared" si="167"/>
        <v>13.7</v>
      </c>
      <c r="AZ779">
        <f t="shared" si="168"/>
        <v>1.54</v>
      </c>
      <c r="BB779" t="str">
        <f>IF($H779="","",IFERROR(INDEX(_ENGINE_Risk!$AE$5:$AE$499,MATCH($E779,_ENGINE_Risk!$A$5:$A$499,0)),"Medium"))</f>
        <v>Medium</v>
      </c>
      <c r="BC779">
        <f t="shared" si="169"/>
        <v>1</v>
      </c>
      <c r="BD779">
        <f t="shared" si="170"/>
        <v>1.54</v>
      </c>
      <c r="BF779">
        <f>IF(OR($H779="",$J779=""),"",IFERROR(VLOOKUP(ROUND($J779,0),_CONFIG_Model_Settings!$D$154:$E$158,2,0),""))</f>
        <v>0.5</v>
      </c>
      <c r="BG779">
        <f>IFERROR(IF(OR($H779="",$K779=""),"",ROUND('Company Profile'!$B$113*INDEX(_CONFIG_Model_Settings!$H$154:$H$158,MATCH(ROUND($K779,0),_CONFIG_Model_Settings!$G$154:$G$158,0)),0)),0)</f>
        <v>875</v>
      </c>
      <c r="BH779">
        <f t="shared" si="171"/>
        <v>437.5</v>
      </c>
      <c r="BI779">
        <f t="shared" si="172"/>
        <v>437.5</v>
      </c>
      <c r="BJ779">
        <f>IF($E779="","",IFERROR(VLOOKUP($C779,_CONFIG_Risk_Calibration!$A$5:$H$21,2,FALSE),3))</f>
        <v>3</v>
      </c>
      <c r="BK779">
        <f>IF($E779="","",IFERROR(VLOOKUP($C779,_CONFIG_Risk_Calibration!$A$5:$H$21,3,FALSE),0))</f>
        <v>0</v>
      </c>
      <c r="BL779">
        <f>IF($E779="","",IFERROR(VLOOKUP($C779,_CONFIG_Risk_Calibration!$A$5:$H$21,4,FALSE),3))</f>
        <v>3</v>
      </c>
      <c r="BM779">
        <f>IF($E779="","",IFERROR(VLOOKUP($C779,_CONFIG_Risk_Calibration!$A$5:$H$21,5,FALSE),3))</f>
        <v>2</v>
      </c>
      <c r="BN779" t="str">
        <f>IF($E779="","",IFERROR(VLOOKUP($C779,_CONFIG_Risk_Calibration!$A$5:$H$21,6,FALSE),"No"))</f>
        <v>No</v>
      </c>
      <c r="BO779">
        <f>IF($E779="","",IFERROR(VLOOKUP($C779,_CONFIG_Risk_Calibration!$A$5:$H$21,7,FALSE),1))</f>
        <v>1</v>
      </c>
      <c r="BP779">
        <f>IF($H779="","",MAX(1,MIN(5,((6-$H779)*0.45)+($BJ779*0.2)+('Resilience &amp; Risk Scenario'!$B$7*0.15)+($BK779*0.1)+($BL779*0.05)+(IF($BB779="Fast",5,IF($BB779="Slow",1,3))*0.05))))</f>
        <v>3.6</v>
      </c>
      <c r="BQ779">
        <f t="shared" si="173"/>
        <v>3.8</v>
      </c>
      <c r="BR779">
        <f t="shared" si="174"/>
        <v>13.68</v>
      </c>
      <c r="BS779">
        <f t="shared" si="175"/>
        <v>12.31</v>
      </c>
      <c r="BT779" t="str">
        <f>IFERROR(INDEX(_REF_Capability_Bridge!$D:$D,MATCH($C779&amp;"|"&amp;$D779,_REF_Capability_Bridge!$J:$J,0)),IFERROR(INDEX(_REF_Capability_Bridge!$D:$D,MATCH($C779&amp;"|",_REF_Capability_Bridge!$J:$J,0)),"CAP_GENERIC"))</f>
        <v>CAP_CUSTOMER_COMMUNICATION</v>
      </c>
      <c r="BU779">
        <f>IFERROR(IFERROR(INDEX(_ENGINE_Relevance!$L:$L,MATCH($BT779,_ENGINE_Relevance!$B:$B,0)),1),1)</f>
        <v>1</v>
      </c>
      <c r="BV779" t="str">
        <f>IFERROR(INDEX(_REF_Capability_Bridge!$A:$A,MATCH($C779&amp;"|"&amp;$D779,_REF_Capability_Bridge!$J:$J,0)),IFERROR(INDEX(_REF_Capability_Bridge!$A:$A,MATCH($C779&amp;"|",_REF_Capability_Bridge!$J:$J,0)),"No bridge"))</f>
        <v>BRG-061</v>
      </c>
      <c r="BW779" t="str">
        <f t="shared" si="176"/>
        <v>Capability relevance neutral</v>
      </c>
      <c r="BX779" t="str">
        <f t="shared" si="177"/>
        <v>Initial / absent</v>
      </c>
      <c r="BY779" t="str">
        <f>IF($E779="","",IFERROR(INDEX(_REF_Treatment_Library!$A$2:$A$296,MATCH(1,INDEX((_REF_Treatment_Library!$B$2:$B$296=$BT779)*(_REF_Treatment_Library!$C$2:$C$296=PV_Canonical_Industry)*(_REF_Treatment_Library!$E$2:$E$296&lt;=N($H779))*(_REF_Treatment_Library!$F$2:$F$296&gt;=N($H779))*(_REF_Treatment_Library!$O$2:$O$296="Yes"),0),0)),IFERROR(INDEX(_REF_Treatment_Library!$A$2:$A$296,MATCH(1,INDEX((_REF_Treatment_Library!$B$2:$B$296=$BT779)*(_REF_Treatment_Library!$C$2:$C$296="All")*(_REF_Treatment_Library!$E$2:$E$296&lt;=N($H779))*(_REF_Treatment_Library!$F$2:$F$296&gt;=N($H779))*(_REF_Treatment_Library!$O$2:$O$296="Yes"),0),0)),"")))</f>
        <v>TRT-CUSTOMER_COMMUNICATION-INITIAL</v>
      </c>
      <c r="BZ779" t="str">
        <f>IF($BY779="","",IFERROR(INDEX(_REF_Treatment_Library!$H$2:$H$296,MATCH($BY779,_REF_Treatment_Library!$A$2:$A$296,0)),""))</f>
        <v>Establish</v>
      </c>
      <c r="CA779" t="str">
        <f>IF($BY779="","",IFERROR(INDEX(_REF_Treatment_Library!$I$2:$I$296,MATCH($BY779,_REF_Treatment_Library!$A$2:$A$296,0)),""))</f>
        <v>Establish baseline controls for Customer communication</v>
      </c>
      <c r="CB779" t="str">
        <f>IF($BY779="","",IFERROR(INDEX(_REF_Treatment_Library!$K$2:$K$296,MATCH($BY779,_REF_Treatment_Library!$A$2:$A$296,0)),""))</f>
        <v>Named owner, baseline process, minimum control checklist, first evidence package</v>
      </c>
      <c r="CC779" t="str">
        <f>IF($BY779="","",IFERROR(INDEX(_REF_Treatment_Library!$L$2:$L$296,MATCH($BY779,_REF_Treatment_Library!$A$2:$A$296,0)),""))</f>
        <v>Owner assigned; baseline evidence coverage; open critical gaps</v>
      </c>
      <c r="CD779" t="str">
        <f t="shared" si="178"/>
        <v>Treatment by capability=CAP_CUSTOMER_COMMUNICATION; band=Initial / absent; score=0.0; treatment=Establish</v>
      </c>
      <c r="CE779" t="str">
        <f>IF($E779="","",IFERROR(INDEX(_REF_Industry_Wording!$A$2:$A$70,MATCH(1,INDEX((_REF_Industry_Wording!$B$2:$B$70=$BT779)*(_REF_Industry_Wording!$C$2:$C$70=PV_Canonical_Industry)*(_REF_Industry_Wording!$K$2:$K$70="Yes"),0),0)),IFERROR(INDEX(_REF_Industry_Wording!$A$2:$A$70,MATCH(1,INDEX((_REF_Industry_Wording!$B$2:$B$70=$BT779)*(_REF_Industry_Wording!$C$2:$C$70="All")*(_REF_Industry_Wording!$K$2:$K$70="Yes"),0),0)),"")))</f>
        <v>IW-ALL-CUSTOMER_COMMUNICATION</v>
      </c>
      <c r="CF779" t="str">
        <f>IF($CE779="","",IFERROR(INDEX(_REF_Industry_Wording!$E$2:$E$70,MATCH($CE779,_REF_Industry_Wording!$A$2:$A$70,0)),""))</f>
        <v>Customer communication weakness</v>
      </c>
      <c r="CG779" t="str">
        <f>IF($CE779="","",IFERROR(INDEX(_REF_Industry_Wording!$F$2:$F$70,MATCH($CE779,_REF_Industry_Wording!$A$2:$A$70,0)),""))</f>
        <v>Strengthen Customer communication</v>
      </c>
      <c r="CH779" t="str">
        <f>IF($CE779="","",IFERROR(INDEX(_REF_Industry_Wording!$G$2:$G$70,MATCH($CE779,_REF_Industry_Wording!$A$2:$A$70,0)),""))</f>
        <v>Strengthen Customer communication using the selected maturity treatment, crisis scenario and evidence requirements.</v>
      </c>
      <c r="CI779" t="str">
        <f>IF($CE779="","",IFERROR(INDEX(_REF_Industry_Wording!$H$2:$H$70,MATCH($CE779,_REF_Industry_Wording!$A$2:$A$70,0)),""))</f>
        <v>Customer communication</v>
      </c>
      <c r="CJ779">
        <f>IF($CE779="","",IFERROR(INDEX(_REF_Industry_Wording!$I$2:$I$70,MATCH($CE779,_REF_Industry_Wording!$A$2:$A$70,0)),""))</f>
        <v>0</v>
      </c>
      <c r="CK779" t="str">
        <f>IF($CE779="","",IFERROR(INDEX(_REF_Industry_Wording!$J$2:$J$70,MATCH($CE779,_REF_Industry_Wording!$A$2:$A$70,0)),""))</f>
        <v>Customer communication</v>
      </c>
      <c r="CL779" t="str">
        <f t="shared" si="179"/>
        <v>Wording by industry=0; capability=CAP_CUSTOMER_COMMUNICATION; risk label=Customer communication weakness</v>
      </c>
      <c r="CM779" t="str">
        <f t="shared" si="180"/>
        <v>RISK-ONT-0280</v>
      </c>
      <c r="CN779" t="str">
        <f t="shared" si="181"/>
        <v>RISK-EVT-0280</v>
      </c>
      <c r="CO779" t="str">
        <f t="shared" si="182"/>
        <v>Marketing Comms|Brand and market presence|MARK-004|CAP_CUSTOMER_COMMUNICATION</v>
      </c>
      <c r="CP779" t="str">
        <f t="shared" si="183"/>
        <v>Active</v>
      </c>
      <c r="CQ779" t="str">
        <f t="shared" si="184"/>
        <v>OK: capability-driven</v>
      </c>
      <c r="CR779" t="str">
        <f t="shared" si="185"/>
        <v>Risk ontology uses capability=CAP_CUSTOMER_COMMUNICATION; bridge=BRG-061; treatment=TRT-CUSTOMER_COMMUNICATION-INITIAL; wording=IW-ALL-CUSTOMER_COMMUNICATION</v>
      </c>
      <c r="CS779" t="str">
        <f t="shared" si="186"/>
        <v>Yes</v>
      </c>
    </row>
    <row r="780" spans="1:97" ht="69.900000000000006" customHeight="1">
      <c r="A780">
        <f>IF(OR($B780&lt;&gt;"Yes",$BS780=""),"",SUMPRODUCT(($B$500:$B$923="Yes")*ISNUMBER($BS$500:$BS$923)*($BS$500:$BS$923&gt;$BS780))+COUNTIFS($B$500:$B780,"Yes",$BS$500:$BS780,$BS780))</f>
        <v>378</v>
      </c>
      <c r="B780" t="str">
        <f t="shared" si="155"/>
        <v>Yes</v>
      </c>
      <c r="C780" t="s">
        <v>2473</v>
      </c>
      <c r="D780" t="s">
        <v>2475</v>
      </c>
      <c r="E780" t="s">
        <v>2504</v>
      </c>
      <c r="F780" t="s">
        <v>3690</v>
      </c>
      <c r="G780" t="str">
        <f>IF($H780="","",IFERROR(INDEX(_ENGINE_Risk!$H$5:$M$499,MATCH($E780,_ENGINE_Risk!$A$5:$A$499,0),$H780+1),""))</f>
        <v>Severe risk: lead capture, routing, qualification and follow-up resilience is not reliably controlled. During Reputation crisis; Demand shock; IT outage, the organization may face loss of customer trust, reputational damage and inconsistent crisis communication with limited visibility or accountability.</v>
      </c>
      <c r="H780">
        <f>IFERROR(VALUE(INDEX(_DATA_Assessment_Model!$H$5:$H$884,MATCH($E780,_DATA_Assessment_Model!$A$5:$A$884,0))),"")</f>
        <v>0</v>
      </c>
      <c r="I780" t="str">
        <f>IF($H780="","",IFERROR(INDEX(_DATA_Assessment_Model!$L$5:$L$884,MATCH($E780,_DATA_Assessment_Model!$A$5:$A$884,0)),IF($H780&lt;=1,"Critical",IF($H780=2,"High",IF($H780=3,"Medium",IF($H780=4,"Low","Resilient"))))))</f>
        <v>Critical</v>
      </c>
      <c r="J780">
        <f t="shared" si="156"/>
        <v>3.6</v>
      </c>
      <c r="K780">
        <f t="shared" si="157"/>
        <v>3.8</v>
      </c>
      <c r="L780">
        <f t="shared" si="158"/>
        <v>13.68</v>
      </c>
      <c r="M780">
        <f t="shared" si="159"/>
        <v>3</v>
      </c>
      <c r="N780">
        <f>IF($H780="","",IFERROR(INDEX(_ENGINE_Risk!$T$5:$Y$499,MATCH($E780,_ENGINE_Risk!$A$5:$A$499,0),$H780+1),""))</f>
        <v>3</v>
      </c>
      <c r="O780">
        <f t="shared" si="160"/>
        <v>4</v>
      </c>
      <c r="P780">
        <f t="shared" si="161"/>
        <v>5</v>
      </c>
      <c r="Q780">
        <f t="shared" si="162"/>
        <v>5</v>
      </c>
      <c r="R780">
        <f t="shared" si="163"/>
        <v>4.5</v>
      </c>
      <c r="S780">
        <f t="shared" si="164"/>
        <v>1.54</v>
      </c>
      <c r="T780" t="str">
        <f>IF($H780="","",IFERROR(INDEX(_ENGINE_Risk!$N$5:$S$499,MATCH($E780,_ENGINE_Risk!$A$5:$A$499,0),$H780+1),""))</f>
        <v>Create an immediate risk owner, minimum control baseline and fallback procedure for lead capture, routing, qualification and follow-up resilience. Add it to the crisis risk register and collect first evidence.</v>
      </c>
      <c r="U780">
        <f>IFERROR(INDEX(_DATA_Assessment_Model!$G$5:$G$884,MATCH($E780,_DATA_Assessment_Model!$A$5:$A$884,0)),"")</f>
        <v>3</v>
      </c>
      <c r="V780">
        <f>IFERROR(INDEX(_DATA_Assessment_Model!$W$5:$W$884,MATCH($E780,_DATA_Assessment_Model!$A$5:$A$884,0)),"")</f>
        <v>4</v>
      </c>
      <c r="W780">
        <f>IFERROR(INDEX(_DATA_Assessment_Model!$X$5:$X$884,MATCH($E780,_DATA_Assessment_Model!$A$5:$A$884,0)),"")</f>
        <v>5</v>
      </c>
      <c r="X780">
        <f>IFERROR(INDEX(_DATA_Assessment_Model!$Y$5:$Y$884,MATCH($E780,_DATA_Assessment_Model!$A$5:$A$884,0)),"")</f>
        <v>5</v>
      </c>
      <c r="Y780" t="s">
        <v>2486</v>
      </c>
      <c r="Z780" t="s">
        <v>8519</v>
      </c>
      <c r="AA780" t="s">
        <v>2506</v>
      </c>
      <c r="AB780">
        <f>IFERROR(INDEX(_DATA_Assessment_Model!$U$5:$U$884,MATCH($E780,_DATA_Assessment_Model!$A$5:$A$884,0)),"")</f>
        <v>0</v>
      </c>
      <c r="AF780" t="s">
        <v>2505</v>
      </c>
      <c r="AO780">
        <f>IF($B780="Yes",IF(IFERROR(INDEX(_ENGINE_Crisis!$F$501:$F$517,MATCH($C780,_ENGINE_Crisis!$A$501:$A$517,0)),1)=0,1,IFERROR(INDEX(_ENGINE_Crisis!$F$501:$F$517,MATCH($C780,_ENGINE_Crisis!$A$501:$A$517,0)),1)),"")</f>
        <v>1</v>
      </c>
      <c r="AP780">
        <f t="shared" si="165"/>
        <v>13.7</v>
      </c>
      <c r="AQ780">
        <f t="shared" si="166"/>
        <v>1.54</v>
      </c>
      <c r="AR780" t="str">
        <f>IFERROR(INDEX(_ENGINE_Crisis!$E$41:$E$700,MATCH('Resilience &amp; Risk Scenario'!$B$6&amp;"|"&amp;$C780,_ENGINE_Crisis!$I$41:$I$700,0)),"")</f>
        <v/>
      </c>
      <c r="AS780" t="str">
        <f>IFERROR(INDEX(_ENGINE_Crisis!$G$41:$G$700,MATCH('Resilience &amp; Risk Scenario'!$B$6&amp;"|"&amp;$C780,_ENGINE_Crisis!$I$41:$I$700,0)),"")</f>
        <v/>
      </c>
      <c r="AT780" t="str">
        <f>IFERROR(INDEX(_ENGINE_Initiatives!$A$5:$A$532,MATCH(1,INDEX((_ENGINE_Initiatives!$B$5:$B$532=$C780)*(_ENGINE_Initiatives!$C$5:$C$532=$D780),0),0)),"")</f>
        <v>INI-045</v>
      </c>
      <c r="AU780" t="str">
        <f>IFERROR(INDEX(_ENGINE_Initiatives!$F$5:$F$532,MATCH(1,INDEX((_ENGINE_Initiatives!$B$5:$B$532=$C780)*(_ENGINE_Initiatives!$C$5:$C$532=$D780),0),0)),"")</f>
        <v>Build resilient brand presence and digital demand generation</v>
      </c>
      <c r="AV780">
        <f>IFERROR(INDEX(_ENGINE_Initiatives!$AC$5:$AC$532,MATCH(1,INDEX((_ENGINE_Initiatives!$B$5:$B$532=$C780)*(_ENGINE_Initiatives!$C$5:$C$532=$D780),0),0)),"")</f>
        <v>1.71</v>
      </c>
      <c r="AW780" t="str">
        <f>IFERROR(INDEX(_ENGINE_Initiatives!$AE$5:$AE$532,MATCH(1,INDEX((_ENGINE_Initiatives!$B$5:$B$532=$C780)*(_ENGINE_Initiatives!$C$5:$C$532=$D780),0),0)),"")</f>
        <v>6-12 months</v>
      </c>
      <c r="AX780">
        <f>IF($B780="Yes",IFERROR((IF(SUMIFS(_REF_Model_Content!$E$1:$E$613,_REF_Model_Content!$A$1:$A$613,PV_Canonical_Industry,_REF_Model_Content!$B$1:$B$613,$C780)=0,1,SUMIFS(_REF_Model_Content!$E$1:$E$613,_REF_Model_Content!$A$1:$A$613,PV_Canonical_Industry,_REF_Model_Content!$B$1:$B$613,$C780))*IFERROR($BU780,1)),1),"")</f>
        <v>1</v>
      </c>
      <c r="AY780">
        <f t="shared" si="167"/>
        <v>13.7</v>
      </c>
      <c r="AZ780">
        <f t="shared" si="168"/>
        <v>1.54</v>
      </c>
      <c r="BB780" t="str">
        <f>IF($H780="","",IFERROR(INDEX(_ENGINE_Risk!$AE$5:$AE$499,MATCH($E780,_ENGINE_Risk!$A$5:$A$499,0)),"Medium"))</f>
        <v>Medium</v>
      </c>
      <c r="BC780">
        <f t="shared" si="169"/>
        <v>1</v>
      </c>
      <c r="BD780">
        <f t="shared" si="170"/>
        <v>1.54</v>
      </c>
      <c r="BF780">
        <f>IF(OR($H780="",$J780=""),"",IFERROR(VLOOKUP(ROUND($J780,0),_CONFIG_Model_Settings!$D$154:$E$158,2,0),""))</f>
        <v>0.5</v>
      </c>
      <c r="BG780">
        <f>IFERROR(IF(OR($H780="",$K780=""),"",ROUND('Company Profile'!$B$113*INDEX(_CONFIG_Model_Settings!$H$154:$H$158,MATCH(ROUND($K780,0),_CONFIG_Model_Settings!$G$154:$G$158,0)),0)),0)</f>
        <v>875</v>
      </c>
      <c r="BH780">
        <f t="shared" si="171"/>
        <v>437.5</v>
      </c>
      <c r="BI780">
        <f t="shared" si="172"/>
        <v>437.5</v>
      </c>
      <c r="BJ780">
        <f>IF($E780="","",IFERROR(VLOOKUP($C780,_CONFIG_Risk_Calibration!$A$5:$H$21,2,FALSE),3))</f>
        <v>3</v>
      </c>
      <c r="BK780">
        <f>IF($E780="","",IFERROR(VLOOKUP($C780,_CONFIG_Risk_Calibration!$A$5:$H$21,3,FALSE),0))</f>
        <v>0</v>
      </c>
      <c r="BL780">
        <f>IF($E780="","",IFERROR(VLOOKUP($C780,_CONFIG_Risk_Calibration!$A$5:$H$21,4,FALSE),3))</f>
        <v>3</v>
      </c>
      <c r="BM780">
        <f>IF($E780="","",IFERROR(VLOOKUP($C780,_CONFIG_Risk_Calibration!$A$5:$H$21,5,FALSE),3))</f>
        <v>2</v>
      </c>
      <c r="BN780" t="str">
        <f>IF($E780="","",IFERROR(VLOOKUP($C780,_CONFIG_Risk_Calibration!$A$5:$H$21,6,FALSE),"No"))</f>
        <v>No</v>
      </c>
      <c r="BO780">
        <f>IF($E780="","",IFERROR(VLOOKUP($C780,_CONFIG_Risk_Calibration!$A$5:$H$21,7,FALSE),1))</f>
        <v>1</v>
      </c>
      <c r="BP780">
        <f>IF($H780="","",MAX(1,MIN(5,((6-$H780)*0.45)+($BJ780*0.2)+('Resilience &amp; Risk Scenario'!$B$7*0.15)+($BK780*0.1)+($BL780*0.05)+(IF($BB780="Fast",5,IF($BB780="Slow",1,3))*0.05))))</f>
        <v>3.6</v>
      </c>
      <c r="BQ780">
        <f t="shared" si="173"/>
        <v>3.8</v>
      </c>
      <c r="BR780">
        <f t="shared" si="174"/>
        <v>13.68</v>
      </c>
      <c r="BS780">
        <f t="shared" si="175"/>
        <v>12.31</v>
      </c>
      <c r="BT780" t="str">
        <f>IFERROR(INDEX(_REF_Capability_Bridge!$D:$D,MATCH($C780&amp;"|"&amp;$D780,_REF_Capability_Bridge!$J:$J,0)),IFERROR(INDEX(_REF_Capability_Bridge!$D:$D,MATCH($C780&amp;"|",_REF_Capability_Bridge!$J:$J,0)),"CAP_GENERIC"))</f>
        <v>CAP_CUSTOMER_COMMUNICATION</v>
      </c>
      <c r="BU780">
        <f>IFERROR(IFERROR(INDEX(_ENGINE_Relevance!$L:$L,MATCH($BT780,_ENGINE_Relevance!$B:$B,0)),1),1)</f>
        <v>1</v>
      </c>
      <c r="BV780" t="str">
        <f>IFERROR(INDEX(_REF_Capability_Bridge!$A:$A,MATCH($C780&amp;"|"&amp;$D780,_REF_Capability_Bridge!$J:$J,0)),IFERROR(INDEX(_REF_Capability_Bridge!$A:$A,MATCH($C780&amp;"|",_REF_Capability_Bridge!$J:$J,0)),"No bridge"))</f>
        <v>BRG-061</v>
      </c>
      <c r="BW780" t="str">
        <f t="shared" si="176"/>
        <v>Capability relevance neutral</v>
      </c>
      <c r="BX780" t="str">
        <f t="shared" si="177"/>
        <v>Initial / absent</v>
      </c>
      <c r="BY780" t="str">
        <f>IF($E780="","",IFERROR(INDEX(_REF_Treatment_Library!$A$2:$A$296,MATCH(1,INDEX((_REF_Treatment_Library!$B$2:$B$296=$BT780)*(_REF_Treatment_Library!$C$2:$C$296=PV_Canonical_Industry)*(_REF_Treatment_Library!$E$2:$E$296&lt;=N($H780))*(_REF_Treatment_Library!$F$2:$F$296&gt;=N($H780))*(_REF_Treatment_Library!$O$2:$O$296="Yes"),0),0)),IFERROR(INDEX(_REF_Treatment_Library!$A$2:$A$296,MATCH(1,INDEX((_REF_Treatment_Library!$B$2:$B$296=$BT780)*(_REF_Treatment_Library!$C$2:$C$296="All")*(_REF_Treatment_Library!$E$2:$E$296&lt;=N($H780))*(_REF_Treatment_Library!$F$2:$F$296&gt;=N($H780))*(_REF_Treatment_Library!$O$2:$O$296="Yes"),0),0)),"")))</f>
        <v>TRT-CUSTOMER_COMMUNICATION-INITIAL</v>
      </c>
      <c r="BZ780" t="str">
        <f>IF($BY780="","",IFERROR(INDEX(_REF_Treatment_Library!$H$2:$H$296,MATCH($BY780,_REF_Treatment_Library!$A$2:$A$296,0)),""))</f>
        <v>Establish</v>
      </c>
      <c r="CA780" t="str">
        <f>IF($BY780="","",IFERROR(INDEX(_REF_Treatment_Library!$I$2:$I$296,MATCH($BY780,_REF_Treatment_Library!$A$2:$A$296,0)),""))</f>
        <v>Establish baseline controls for Customer communication</v>
      </c>
      <c r="CB780" t="str">
        <f>IF($BY780="","",IFERROR(INDEX(_REF_Treatment_Library!$K$2:$K$296,MATCH($BY780,_REF_Treatment_Library!$A$2:$A$296,0)),""))</f>
        <v>Named owner, baseline process, minimum control checklist, first evidence package</v>
      </c>
      <c r="CC780" t="str">
        <f>IF($BY780="","",IFERROR(INDEX(_REF_Treatment_Library!$L$2:$L$296,MATCH($BY780,_REF_Treatment_Library!$A$2:$A$296,0)),""))</f>
        <v>Owner assigned; baseline evidence coverage; open critical gaps</v>
      </c>
      <c r="CD780" t="str">
        <f t="shared" si="178"/>
        <v>Treatment by capability=CAP_CUSTOMER_COMMUNICATION; band=Initial / absent; score=0.0; treatment=Establish</v>
      </c>
      <c r="CE780" t="str">
        <f>IF($E780="","",IFERROR(INDEX(_REF_Industry_Wording!$A$2:$A$70,MATCH(1,INDEX((_REF_Industry_Wording!$B$2:$B$70=$BT780)*(_REF_Industry_Wording!$C$2:$C$70=PV_Canonical_Industry)*(_REF_Industry_Wording!$K$2:$K$70="Yes"),0),0)),IFERROR(INDEX(_REF_Industry_Wording!$A$2:$A$70,MATCH(1,INDEX((_REF_Industry_Wording!$B$2:$B$70=$BT780)*(_REF_Industry_Wording!$C$2:$C$70="All")*(_REF_Industry_Wording!$K$2:$K$70="Yes"),0),0)),"")))</f>
        <v>IW-ALL-CUSTOMER_COMMUNICATION</v>
      </c>
      <c r="CF780" t="str">
        <f>IF($CE780="","",IFERROR(INDEX(_REF_Industry_Wording!$E$2:$E$70,MATCH($CE780,_REF_Industry_Wording!$A$2:$A$70,0)),""))</f>
        <v>Customer communication weakness</v>
      </c>
      <c r="CG780" t="str">
        <f>IF($CE780="","",IFERROR(INDEX(_REF_Industry_Wording!$F$2:$F$70,MATCH($CE780,_REF_Industry_Wording!$A$2:$A$70,0)),""))</f>
        <v>Strengthen Customer communication</v>
      </c>
      <c r="CH780" t="str">
        <f>IF($CE780="","",IFERROR(INDEX(_REF_Industry_Wording!$G$2:$G$70,MATCH($CE780,_REF_Industry_Wording!$A$2:$A$70,0)),""))</f>
        <v>Strengthen Customer communication using the selected maturity treatment, crisis scenario and evidence requirements.</v>
      </c>
      <c r="CI780" t="str">
        <f>IF($CE780="","",IFERROR(INDEX(_REF_Industry_Wording!$H$2:$H$70,MATCH($CE780,_REF_Industry_Wording!$A$2:$A$70,0)),""))</f>
        <v>Customer communication</v>
      </c>
      <c r="CJ780">
        <f>IF($CE780="","",IFERROR(INDEX(_REF_Industry_Wording!$I$2:$I$70,MATCH($CE780,_REF_Industry_Wording!$A$2:$A$70,0)),""))</f>
        <v>0</v>
      </c>
      <c r="CK780" t="str">
        <f>IF($CE780="","",IFERROR(INDEX(_REF_Industry_Wording!$J$2:$J$70,MATCH($CE780,_REF_Industry_Wording!$A$2:$A$70,0)),""))</f>
        <v>Customer communication</v>
      </c>
      <c r="CL780" t="str">
        <f t="shared" si="179"/>
        <v>Wording by industry=0; capability=CAP_CUSTOMER_COMMUNICATION; risk label=Customer communication weakness</v>
      </c>
      <c r="CM780" t="str">
        <f t="shared" si="180"/>
        <v>RISK-ONT-0281</v>
      </c>
      <c r="CN780" t="str">
        <f t="shared" si="181"/>
        <v>RISK-EVT-0281</v>
      </c>
      <c r="CO780" t="str">
        <f t="shared" si="182"/>
        <v>Marketing Comms|Brand and market presence|MARK-005|CAP_CUSTOMER_COMMUNICATION</v>
      </c>
      <c r="CP780" t="str">
        <f t="shared" si="183"/>
        <v>Active</v>
      </c>
      <c r="CQ780" t="str">
        <f t="shared" si="184"/>
        <v>OK: capability-driven</v>
      </c>
      <c r="CR780" t="str">
        <f t="shared" si="185"/>
        <v>Risk ontology uses capability=CAP_CUSTOMER_COMMUNICATION; bridge=BRG-061; treatment=TRT-CUSTOMER_COMMUNICATION-INITIAL; wording=IW-ALL-CUSTOMER_COMMUNICATION</v>
      </c>
      <c r="CS780" t="str">
        <f t="shared" si="186"/>
        <v>Yes</v>
      </c>
    </row>
    <row r="781" spans="1:97" ht="69.900000000000006" customHeight="1">
      <c r="A781">
        <f>IF(OR($B781&lt;&gt;"Yes",$BS781=""),"",SUMPRODUCT(($B$500:$B$923="Yes")*ISNUMBER($BS$500:$BS$923)*($BS$500:$BS$923&gt;$BS781))+COUNTIFS($B$500:$B781,"Yes",$BS$500:$BS781,$BS781))</f>
        <v>356</v>
      </c>
      <c r="B781" t="str">
        <f t="shared" si="155"/>
        <v>Yes</v>
      </c>
      <c r="C781" t="s">
        <v>2473</v>
      </c>
      <c r="D781" t="s">
        <v>2490</v>
      </c>
      <c r="E781" t="s">
        <v>2513</v>
      </c>
      <c r="F781" t="s">
        <v>3690</v>
      </c>
      <c r="G781" t="str">
        <f>IF($H781="","",IFERROR(INDEX(_ENGINE_Risk!$H$5:$M$499,MATCH($E781,_ENGINE_Risk!$A$5:$A$499,0),$H781+1),""))</f>
        <v>Severe risk: approved crisis communication templates for customers, employees, media, regulators and partners is not reliably controlled. During Reputation crisis; Demand shock; IT outage, the organization may face loss of customer trust, reputational damage and inconsistent crisis communication with limited visibility or accountability.</v>
      </c>
      <c r="H781">
        <f>IFERROR(VALUE(INDEX(_DATA_Assessment_Model!$H$5:$H$884,MATCH($E781,_DATA_Assessment_Model!$A$5:$A$884,0))),"")</f>
        <v>0</v>
      </c>
      <c r="I781" t="str">
        <f>IF($H781="","",IFERROR(INDEX(_DATA_Assessment_Model!$L$5:$L$884,MATCH($E781,_DATA_Assessment_Model!$A$5:$A$884,0)),IF($H781&lt;=1,"Critical",IF($H781=2,"High",IF($H781=3,"Medium",IF($H781=4,"Low","Resilient"))))))</f>
        <v>Critical</v>
      </c>
      <c r="J781">
        <f t="shared" si="156"/>
        <v>3.6</v>
      </c>
      <c r="K781">
        <f t="shared" si="157"/>
        <v>4.2</v>
      </c>
      <c r="L781">
        <f t="shared" si="158"/>
        <v>15.120000000000001</v>
      </c>
      <c r="M781">
        <f t="shared" si="159"/>
        <v>4</v>
      </c>
      <c r="N781">
        <f>IF($H781="","",IFERROR(INDEX(_ENGINE_Risk!$T$5:$Y$499,MATCH($E781,_ENGINE_Risk!$A$5:$A$499,0),$H781+1),""))</f>
        <v>3</v>
      </c>
      <c r="O781">
        <f t="shared" si="160"/>
        <v>4.666666666666667</v>
      </c>
      <c r="P781">
        <f t="shared" si="161"/>
        <v>5</v>
      </c>
      <c r="Q781">
        <f t="shared" si="162"/>
        <v>5</v>
      </c>
      <c r="R781">
        <f t="shared" si="163"/>
        <v>4.5</v>
      </c>
      <c r="S781">
        <f t="shared" si="164"/>
        <v>1.6</v>
      </c>
      <c r="T781" t="str">
        <f>IF($H781="","",IFERROR(INDEX(_ENGINE_Risk!$N$5:$S$499,MATCH($E781,_ENGINE_Risk!$A$5:$A$499,0),$H781+1),""))</f>
        <v>Create an immediate risk owner, minimum control baseline and fallback procedure for approved crisis communication templates for customers, employees, media, regulators and partners. Add it to the crisis risk register and collect first evidence.</v>
      </c>
      <c r="U781">
        <f>IFERROR(INDEX(_DATA_Assessment_Model!$G$5:$G$884,MATCH($E781,_DATA_Assessment_Model!$A$5:$A$884,0)),"")</f>
        <v>5</v>
      </c>
      <c r="V781">
        <f>IFERROR(INDEX(_DATA_Assessment_Model!$W$5:$W$884,MATCH($E781,_DATA_Assessment_Model!$A$5:$A$884,0)),"")</f>
        <v>4</v>
      </c>
      <c r="W781">
        <f>IFERROR(INDEX(_DATA_Assessment_Model!$X$5:$X$884,MATCH($E781,_DATA_Assessment_Model!$A$5:$A$884,0)),"")</f>
        <v>5</v>
      </c>
      <c r="X781">
        <f>IFERROR(INDEX(_DATA_Assessment_Model!$Y$5:$Y$884,MATCH($E781,_DATA_Assessment_Model!$A$5:$A$884,0)),"")</f>
        <v>5</v>
      </c>
      <c r="Y781" t="s">
        <v>2486</v>
      </c>
      <c r="Z781" t="s">
        <v>8519</v>
      </c>
      <c r="AA781" t="s">
        <v>2515</v>
      </c>
      <c r="AB781">
        <f>IFERROR(INDEX(_DATA_Assessment_Model!$U$5:$U$884,MATCH($E781,_DATA_Assessment_Model!$A$5:$A$884,0)),"")</f>
        <v>0</v>
      </c>
      <c r="AF781" t="s">
        <v>2514</v>
      </c>
      <c r="AO781">
        <f>IF($B781="Yes",IF(IFERROR(INDEX(_ENGINE_Crisis!$F$501:$F$517,MATCH($C781,_ENGINE_Crisis!$A$501:$A$517,0)),1)=0,1,IFERROR(INDEX(_ENGINE_Crisis!$F$501:$F$517,MATCH($C781,_ENGINE_Crisis!$A$501:$A$517,0)),1)),"")</f>
        <v>1</v>
      </c>
      <c r="AP781">
        <f t="shared" si="165"/>
        <v>15.1</v>
      </c>
      <c r="AQ781">
        <f t="shared" si="166"/>
        <v>1.6</v>
      </c>
      <c r="AR781" t="str">
        <f>IFERROR(INDEX(_ENGINE_Crisis!$E$41:$E$700,MATCH('Resilience &amp; Risk Scenario'!$B$6&amp;"|"&amp;$C781,_ENGINE_Crisis!$I$41:$I$700,0)),"")</f>
        <v/>
      </c>
      <c r="AS781" t="str">
        <f>IFERROR(INDEX(_ENGINE_Crisis!$G$41:$G$700,MATCH('Resilience &amp; Risk Scenario'!$B$6&amp;"|"&amp;$C781,_ENGINE_Crisis!$I$41:$I$700,0)),"")</f>
        <v/>
      </c>
      <c r="AT781" t="str">
        <f>IFERROR(INDEX(_ENGINE_Initiatives!$A$5:$A$532,MATCH(1,INDEX((_ENGINE_Initiatives!$B$5:$B$532=$C781)*(_ENGINE_Initiatives!$C$5:$C$532=$D781),0),0)),"")</f>
        <v>INI-046</v>
      </c>
      <c r="AU781" t="str">
        <f>IFERROR(INDEX(_ENGINE_Initiatives!$F$5:$F$532,MATCH(1,INDEX((_ENGINE_Initiatives!$B$5:$B$532=$C781)*(_ENGINE_Initiatives!$C$5:$C$532=$D781),0),0)),"")</f>
        <v>Prepare crisis communication playbooks and customer notification flows</v>
      </c>
      <c r="AV781">
        <f>IFERROR(INDEX(_ENGINE_Initiatives!$AC$5:$AC$532,MATCH(1,INDEX((_ENGINE_Initiatives!$B$5:$B$532=$C781)*(_ENGINE_Initiatives!$C$5:$C$532=$D781),0),0)),"")</f>
        <v>1.71</v>
      </c>
      <c r="AW781" t="str">
        <f>IFERROR(INDEX(_ENGINE_Initiatives!$AE$5:$AE$532,MATCH(1,INDEX((_ENGINE_Initiatives!$B$5:$B$532=$C781)*(_ENGINE_Initiatives!$C$5:$C$532=$D781),0),0)),"")</f>
        <v>6-12 months</v>
      </c>
      <c r="AX781">
        <f>IF($B781="Yes",IFERROR((IF(SUMIFS(_REF_Model_Content!$E$1:$E$613,_REF_Model_Content!$A$1:$A$613,PV_Canonical_Industry,_REF_Model_Content!$B$1:$B$613,$C781)=0,1,SUMIFS(_REF_Model_Content!$E$1:$E$613,_REF_Model_Content!$A$1:$A$613,PV_Canonical_Industry,_REF_Model_Content!$B$1:$B$613,$C781))*IFERROR($BU781,1)),1),"")</f>
        <v>1</v>
      </c>
      <c r="AY781">
        <f t="shared" si="167"/>
        <v>15.1</v>
      </c>
      <c r="AZ781">
        <f t="shared" si="168"/>
        <v>1.6</v>
      </c>
      <c r="BB781" t="str">
        <f>IF($H781="","",IFERROR(INDEX(_ENGINE_Risk!$AE$5:$AE$499,MATCH($E781,_ENGINE_Risk!$A$5:$A$499,0)),"Medium"))</f>
        <v>Medium</v>
      </c>
      <c r="BC781">
        <f t="shared" si="169"/>
        <v>1</v>
      </c>
      <c r="BD781">
        <f t="shared" si="170"/>
        <v>1.6</v>
      </c>
      <c r="BF781">
        <f>IF(OR($H781="",$J781=""),"",IFERROR(VLOOKUP(ROUND($J781,0),_CONFIG_Model_Settings!$D$154:$E$158,2,0),""))</f>
        <v>0.5</v>
      </c>
      <c r="BG781">
        <f>IFERROR(IF(OR($H781="",$K781=""),"",ROUND('Company Profile'!$B$113*INDEX(_CONFIG_Model_Settings!$H$154:$H$158,MATCH(ROUND($K781,0),_CONFIG_Model_Settings!$G$154:$G$158,0)),0)),0)</f>
        <v>875</v>
      </c>
      <c r="BH781">
        <f t="shared" si="171"/>
        <v>437.5</v>
      </c>
      <c r="BI781">
        <f t="shared" si="172"/>
        <v>437.5</v>
      </c>
      <c r="BJ781">
        <f>IF($E781="","",IFERROR(VLOOKUP($C781,_CONFIG_Risk_Calibration!$A$5:$H$21,2,FALSE),3))</f>
        <v>3</v>
      </c>
      <c r="BK781">
        <f>IF($E781="","",IFERROR(VLOOKUP($C781,_CONFIG_Risk_Calibration!$A$5:$H$21,3,FALSE),0))</f>
        <v>0</v>
      </c>
      <c r="BL781">
        <f>IF($E781="","",IFERROR(VLOOKUP($C781,_CONFIG_Risk_Calibration!$A$5:$H$21,4,FALSE),3))</f>
        <v>3</v>
      </c>
      <c r="BM781">
        <f>IF($E781="","",IFERROR(VLOOKUP($C781,_CONFIG_Risk_Calibration!$A$5:$H$21,5,FALSE),3))</f>
        <v>2</v>
      </c>
      <c r="BN781" t="str">
        <f>IF($E781="","",IFERROR(VLOOKUP($C781,_CONFIG_Risk_Calibration!$A$5:$H$21,6,FALSE),"No"))</f>
        <v>No</v>
      </c>
      <c r="BO781">
        <f>IF($E781="","",IFERROR(VLOOKUP($C781,_CONFIG_Risk_Calibration!$A$5:$H$21,7,FALSE),1))</f>
        <v>1</v>
      </c>
      <c r="BP781">
        <f>IF($H781="","",MAX(1,MIN(5,((6-$H781)*0.45)+($BJ781*0.2)+('Resilience &amp; Risk Scenario'!$B$7*0.15)+($BK781*0.1)+($BL781*0.05)+(IF($BB781="Fast",5,IF($BB781="Slow",1,3))*0.05))))</f>
        <v>3.6</v>
      </c>
      <c r="BQ781">
        <f t="shared" si="173"/>
        <v>4.2</v>
      </c>
      <c r="BR781">
        <f t="shared" si="174"/>
        <v>15.12</v>
      </c>
      <c r="BS781">
        <f t="shared" si="175"/>
        <v>13.61</v>
      </c>
      <c r="BT781" t="str">
        <f>IFERROR(INDEX(_REF_Capability_Bridge!$D:$D,MATCH($C781&amp;"|"&amp;$D781,_REF_Capability_Bridge!$J:$J,0)),IFERROR(INDEX(_REF_Capability_Bridge!$D:$D,MATCH($C781&amp;"|",_REF_Capability_Bridge!$J:$J,0)),"CAP_GENERIC"))</f>
        <v>CAP_CUSTOMER_COMMUNICATION</v>
      </c>
      <c r="BU781">
        <f>IFERROR(IFERROR(INDEX(_ENGINE_Relevance!$L:$L,MATCH($BT781,_ENGINE_Relevance!$B:$B,0)),1),1)</f>
        <v>1</v>
      </c>
      <c r="BV781" t="str">
        <f>IFERROR(INDEX(_REF_Capability_Bridge!$A:$A,MATCH($C781&amp;"|"&amp;$D781,_REF_Capability_Bridge!$J:$J,0)),IFERROR(INDEX(_REF_Capability_Bridge!$A:$A,MATCH($C781&amp;"|",_REF_Capability_Bridge!$J:$J,0)),"No bridge"))</f>
        <v>BRG-062</v>
      </c>
      <c r="BW781" t="str">
        <f t="shared" si="176"/>
        <v>Capability relevance neutral</v>
      </c>
      <c r="BX781" t="str">
        <f t="shared" si="177"/>
        <v>Initial / absent</v>
      </c>
      <c r="BY781" t="str">
        <f>IF($E781="","",IFERROR(INDEX(_REF_Treatment_Library!$A$2:$A$296,MATCH(1,INDEX((_REF_Treatment_Library!$B$2:$B$296=$BT781)*(_REF_Treatment_Library!$C$2:$C$296=PV_Canonical_Industry)*(_REF_Treatment_Library!$E$2:$E$296&lt;=N($H781))*(_REF_Treatment_Library!$F$2:$F$296&gt;=N($H781))*(_REF_Treatment_Library!$O$2:$O$296="Yes"),0),0)),IFERROR(INDEX(_REF_Treatment_Library!$A$2:$A$296,MATCH(1,INDEX((_REF_Treatment_Library!$B$2:$B$296=$BT781)*(_REF_Treatment_Library!$C$2:$C$296="All")*(_REF_Treatment_Library!$E$2:$E$296&lt;=N($H781))*(_REF_Treatment_Library!$F$2:$F$296&gt;=N($H781))*(_REF_Treatment_Library!$O$2:$O$296="Yes"),0),0)),"")))</f>
        <v>TRT-CUSTOMER_COMMUNICATION-INITIAL</v>
      </c>
      <c r="BZ781" t="str">
        <f>IF($BY781="","",IFERROR(INDEX(_REF_Treatment_Library!$H$2:$H$296,MATCH($BY781,_REF_Treatment_Library!$A$2:$A$296,0)),""))</f>
        <v>Establish</v>
      </c>
      <c r="CA781" t="str">
        <f>IF($BY781="","",IFERROR(INDEX(_REF_Treatment_Library!$I$2:$I$296,MATCH($BY781,_REF_Treatment_Library!$A$2:$A$296,0)),""))</f>
        <v>Establish baseline controls for Customer communication</v>
      </c>
      <c r="CB781" t="str">
        <f>IF($BY781="","",IFERROR(INDEX(_REF_Treatment_Library!$K$2:$K$296,MATCH($BY781,_REF_Treatment_Library!$A$2:$A$296,0)),""))</f>
        <v>Named owner, baseline process, minimum control checklist, first evidence package</v>
      </c>
      <c r="CC781" t="str">
        <f>IF($BY781="","",IFERROR(INDEX(_REF_Treatment_Library!$L$2:$L$296,MATCH($BY781,_REF_Treatment_Library!$A$2:$A$296,0)),""))</f>
        <v>Owner assigned; baseline evidence coverage; open critical gaps</v>
      </c>
      <c r="CD781" t="str">
        <f t="shared" si="178"/>
        <v>Treatment by capability=CAP_CUSTOMER_COMMUNICATION; band=Initial / absent; score=0.0; treatment=Establish</v>
      </c>
      <c r="CE781" t="str">
        <f>IF($E781="","",IFERROR(INDEX(_REF_Industry_Wording!$A$2:$A$70,MATCH(1,INDEX((_REF_Industry_Wording!$B$2:$B$70=$BT781)*(_REF_Industry_Wording!$C$2:$C$70=PV_Canonical_Industry)*(_REF_Industry_Wording!$K$2:$K$70="Yes"),0),0)),IFERROR(INDEX(_REF_Industry_Wording!$A$2:$A$70,MATCH(1,INDEX((_REF_Industry_Wording!$B$2:$B$70=$BT781)*(_REF_Industry_Wording!$C$2:$C$70="All")*(_REF_Industry_Wording!$K$2:$K$70="Yes"),0),0)),"")))</f>
        <v>IW-ALL-CUSTOMER_COMMUNICATION</v>
      </c>
      <c r="CF781" t="str">
        <f>IF($CE781="","",IFERROR(INDEX(_REF_Industry_Wording!$E$2:$E$70,MATCH($CE781,_REF_Industry_Wording!$A$2:$A$70,0)),""))</f>
        <v>Customer communication weakness</v>
      </c>
      <c r="CG781" t="str">
        <f>IF($CE781="","",IFERROR(INDEX(_REF_Industry_Wording!$F$2:$F$70,MATCH($CE781,_REF_Industry_Wording!$A$2:$A$70,0)),""))</f>
        <v>Strengthen Customer communication</v>
      </c>
      <c r="CH781" t="str">
        <f>IF($CE781="","",IFERROR(INDEX(_REF_Industry_Wording!$G$2:$G$70,MATCH($CE781,_REF_Industry_Wording!$A$2:$A$70,0)),""))</f>
        <v>Strengthen Customer communication using the selected maturity treatment, crisis scenario and evidence requirements.</v>
      </c>
      <c r="CI781" t="str">
        <f>IF($CE781="","",IFERROR(INDEX(_REF_Industry_Wording!$H$2:$H$70,MATCH($CE781,_REF_Industry_Wording!$A$2:$A$70,0)),""))</f>
        <v>Customer communication</v>
      </c>
      <c r="CJ781">
        <f>IF($CE781="","",IFERROR(INDEX(_REF_Industry_Wording!$I$2:$I$70,MATCH($CE781,_REF_Industry_Wording!$A$2:$A$70,0)),""))</f>
        <v>0</v>
      </c>
      <c r="CK781" t="str">
        <f>IF($CE781="","",IFERROR(INDEX(_REF_Industry_Wording!$J$2:$J$70,MATCH($CE781,_REF_Industry_Wording!$A$2:$A$70,0)),""))</f>
        <v>Customer communication</v>
      </c>
      <c r="CL781" t="str">
        <f t="shared" si="179"/>
        <v>Wording by industry=0; capability=CAP_CUSTOMER_COMMUNICATION; risk label=Customer communication weakness</v>
      </c>
      <c r="CM781" t="str">
        <f t="shared" si="180"/>
        <v>RISK-ONT-0282</v>
      </c>
      <c r="CN781" t="str">
        <f t="shared" si="181"/>
        <v>RISK-EVT-0282</v>
      </c>
      <c r="CO781" t="str">
        <f t="shared" si="182"/>
        <v>Marketing Comms|Crisis communication|MARK-006|CAP_CUSTOMER_COMMUNICATION</v>
      </c>
      <c r="CP781" t="str">
        <f t="shared" si="183"/>
        <v>Active</v>
      </c>
      <c r="CQ781" t="str">
        <f t="shared" si="184"/>
        <v>OK: capability-driven</v>
      </c>
      <c r="CR781" t="str">
        <f t="shared" si="185"/>
        <v>Risk ontology uses capability=CAP_CUSTOMER_COMMUNICATION; bridge=BRG-062; treatment=TRT-CUSTOMER_COMMUNICATION-INITIAL; wording=IW-ALL-CUSTOMER_COMMUNICATION</v>
      </c>
      <c r="CS781" t="str">
        <f t="shared" si="186"/>
        <v>Yes</v>
      </c>
    </row>
    <row r="782" spans="1:97" ht="69.900000000000006" customHeight="1">
      <c r="A782">
        <f>IF(OR($B782&lt;&gt;"Yes",$BS782=""),"",SUMPRODUCT(($B$500:$B$923="Yes")*ISNUMBER($BS$500:$BS$923)*($BS$500:$BS$923&gt;$BS782))+COUNTIFS($B$500:$B782,"Yes",$BS$500:$BS782,$BS782))</f>
        <v>352</v>
      </c>
      <c r="B782" t="str">
        <f t="shared" si="155"/>
        <v>Yes</v>
      </c>
      <c r="C782" t="s">
        <v>2473</v>
      </c>
      <c r="D782" t="s">
        <v>2490</v>
      </c>
      <c r="E782" t="s">
        <v>2516</v>
      </c>
      <c r="F782" t="s">
        <v>3690</v>
      </c>
      <c r="G782" t="str">
        <f>IF($H782="","",IFERROR(INDEX(_ENGINE_Risk!$H$5:$M$499,MATCH($E782,_ENGINE_Risk!$A$5:$A$499,0),$H782+1),""))</f>
        <v>Severe risk: spokesperson identification, media training and backup coverage is not reliably controlled. During Reputation crisis; Demand shock; IT outage, the organization may face loss of customer trust, reputational damage and inconsistent crisis communication with limited visibility or accountability.</v>
      </c>
      <c r="H782">
        <f>IFERROR(VALUE(INDEX(_DATA_Assessment_Model!$H$5:$H$884,MATCH($E782,_DATA_Assessment_Model!$A$5:$A$884,0))),"")</f>
        <v>0</v>
      </c>
      <c r="I782" t="str">
        <f>IF($H782="","",IFERROR(INDEX(_DATA_Assessment_Model!$L$5:$L$884,MATCH($E782,_DATA_Assessment_Model!$A$5:$A$884,0)),IF($H782&lt;=1,"Critical",IF($H782=2,"High",IF($H782=3,"Medium",IF($H782=4,"Low","Resilient"))))))</f>
        <v>Critical</v>
      </c>
      <c r="J782">
        <f t="shared" si="156"/>
        <v>3.6</v>
      </c>
      <c r="K782">
        <f t="shared" si="157"/>
        <v>4.3499999999999996</v>
      </c>
      <c r="L782">
        <f t="shared" si="158"/>
        <v>15.659999999999998</v>
      </c>
      <c r="M782">
        <f t="shared" si="159"/>
        <v>4</v>
      </c>
      <c r="N782">
        <f>IF($H782="","",IFERROR(INDEX(_ENGINE_Risk!$T$5:$Y$499,MATCH($E782,_ENGINE_Risk!$A$5:$A$499,0),$H782+1),""))</f>
        <v>3</v>
      </c>
      <c r="O782">
        <f t="shared" si="160"/>
        <v>5</v>
      </c>
      <c r="P782">
        <f t="shared" si="161"/>
        <v>5</v>
      </c>
      <c r="Q782">
        <f t="shared" si="162"/>
        <v>5</v>
      </c>
      <c r="R782">
        <f t="shared" si="163"/>
        <v>5</v>
      </c>
      <c r="S782">
        <f t="shared" si="164"/>
        <v>1.67</v>
      </c>
      <c r="T782" t="str">
        <f>IF($H782="","",IFERROR(INDEX(_ENGINE_Risk!$N$5:$S$499,MATCH($E782,_ENGINE_Risk!$A$5:$A$499,0),$H782+1),""))</f>
        <v>Create an immediate risk owner, minimum control baseline and fallback procedure for spokesperson identification, media training and backup coverage. Add it to the crisis risk register and collect first evidence.</v>
      </c>
      <c r="U782">
        <f>IFERROR(INDEX(_DATA_Assessment_Model!$G$5:$G$884,MATCH($E782,_DATA_Assessment_Model!$A$5:$A$884,0)),"")</f>
        <v>5</v>
      </c>
      <c r="V782">
        <f>IFERROR(INDEX(_DATA_Assessment_Model!$W$5:$W$884,MATCH($E782,_DATA_Assessment_Model!$A$5:$A$884,0)),"")</f>
        <v>5</v>
      </c>
      <c r="W782">
        <f>IFERROR(INDEX(_DATA_Assessment_Model!$X$5:$X$884,MATCH($E782,_DATA_Assessment_Model!$A$5:$A$884,0)),"")</f>
        <v>5</v>
      </c>
      <c r="X782">
        <f>IFERROR(INDEX(_DATA_Assessment_Model!$Y$5:$Y$884,MATCH($E782,_DATA_Assessment_Model!$A$5:$A$884,0)),"")</f>
        <v>5</v>
      </c>
      <c r="Y782" t="s">
        <v>2486</v>
      </c>
      <c r="Z782" t="s">
        <v>8519</v>
      </c>
      <c r="AA782" t="s">
        <v>2518</v>
      </c>
      <c r="AB782">
        <f>IFERROR(INDEX(_DATA_Assessment_Model!$U$5:$U$884,MATCH($E782,_DATA_Assessment_Model!$A$5:$A$884,0)),"")</f>
        <v>0</v>
      </c>
      <c r="AF782" t="s">
        <v>2517</v>
      </c>
      <c r="AO782">
        <f>IF($B782="Yes",IF(IFERROR(INDEX(_ENGINE_Crisis!$F$501:$F$517,MATCH($C782,_ENGINE_Crisis!$A$501:$A$517,0)),1)=0,1,IFERROR(INDEX(_ENGINE_Crisis!$F$501:$F$517,MATCH($C782,_ENGINE_Crisis!$A$501:$A$517,0)),1)),"")</f>
        <v>1</v>
      </c>
      <c r="AP782">
        <f t="shared" si="165"/>
        <v>15.7</v>
      </c>
      <c r="AQ782">
        <f t="shared" si="166"/>
        <v>1.67</v>
      </c>
      <c r="AR782" t="str">
        <f>IFERROR(INDEX(_ENGINE_Crisis!$E$41:$E$700,MATCH('Resilience &amp; Risk Scenario'!$B$6&amp;"|"&amp;$C782,_ENGINE_Crisis!$I$41:$I$700,0)),"")</f>
        <v/>
      </c>
      <c r="AS782" t="str">
        <f>IFERROR(INDEX(_ENGINE_Crisis!$G$41:$G$700,MATCH('Resilience &amp; Risk Scenario'!$B$6&amp;"|"&amp;$C782,_ENGINE_Crisis!$I$41:$I$700,0)),"")</f>
        <v/>
      </c>
      <c r="AT782" t="str">
        <f>IFERROR(INDEX(_ENGINE_Initiatives!$A$5:$A$532,MATCH(1,INDEX((_ENGINE_Initiatives!$B$5:$B$532=$C782)*(_ENGINE_Initiatives!$C$5:$C$532=$D782),0),0)),"")</f>
        <v>INI-046</v>
      </c>
      <c r="AU782" t="str">
        <f>IFERROR(INDEX(_ENGINE_Initiatives!$F$5:$F$532,MATCH(1,INDEX((_ENGINE_Initiatives!$B$5:$B$532=$C782)*(_ENGINE_Initiatives!$C$5:$C$532=$D782),0),0)),"")</f>
        <v>Prepare crisis communication playbooks and customer notification flows</v>
      </c>
      <c r="AV782">
        <f>IFERROR(INDEX(_ENGINE_Initiatives!$AC$5:$AC$532,MATCH(1,INDEX((_ENGINE_Initiatives!$B$5:$B$532=$C782)*(_ENGINE_Initiatives!$C$5:$C$532=$D782),0),0)),"")</f>
        <v>1.71</v>
      </c>
      <c r="AW782" t="str">
        <f>IFERROR(INDEX(_ENGINE_Initiatives!$AE$5:$AE$532,MATCH(1,INDEX((_ENGINE_Initiatives!$B$5:$B$532=$C782)*(_ENGINE_Initiatives!$C$5:$C$532=$D782),0),0)),"")</f>
        <v>6-12 months</v>
      </c>
      <c r="AX782">
        <f>IF($B782="Yes",IFERROR((IF(SUMIFS(_REF_Model_Content!$E$1:$E$613,_REF_Model_Content!$A$1:$A$613,PV_Canonical_Industry,_REF_Model_Content!$B$1:$B$613,$C782)=0,1,SUMIFS(_REF_Model_Content!$E$1:$E$613,_REF_Model_Content!$A$1:$A$613,PV_Canonical_Industry,_REF_Model_Content!$B$1:$B$613,$C782))*IFERROR($BU782,1)),1),"")</f>
        <v>1</v>
      </c>
      <c r="AY782">
        <f t="shared" si="167"/>
        <v>15.7</v>
      </c>
      <c r="AZ782">
        <f t="shared" si="168"/>
        <v>1.67</v>
      </c>
      <c r="BB782" t="str">
        <f>IF($H782="","",IFERROR(INDEX(_ENGINE_Risk!$AE$5:$AE$499,MATCH($E782,_ENGINE_Risk!$A$5:$A$499,0)),"Medium"))</f>
        <v>Medium</v>
      </c>
      <c r="BC782">
        <f t="shared" si="169"/>
        <v>1</v>
      </c>
      <c r="BD782">
        <f t="shared" si="170"/>
        <v>1.67</v>
      </c>
      <c r="BF782">
        <f>IF(OR($H782="",$J782=""),"",IFERROR(VLOOKUP(ROUND($J782,0),_CONFIG_Model_Settings!$D$154:$E$158,2,0),""))</f>
        <v>0.5</v>
      </c>
      <c r="BG782">
        <f>IFERROR(IF(OR($H782="",$K782=""),"",ROUND('Company Profile'!$B$113*INDEX(_CONFIG_Model_Settings!$H$154:$H$158,MATCH(ROUND($K782,0),_CONFIG_Model_Settings!$G$154:$G$158,0)),0)),0)</f>
        <v>875</v>
      </c>
      <c r="BH782">
        <f t="shared" si="171"/>
        <v>437.5</v>
      </c>
      <c r="BI782">
        <f t="shared" si="172"/>
        <v>437.5</v>
      </c>
      <c r="BJ782">
        <f>IF($E782="","",IFERROR(VLOOKUP($C782,_CONFIG_Risk_Calibration!$A$5:$H$21,2,FALSE),3))</f>
        <v>3</v>
      </c>
      <c r="BK782">
        <f>IF($E782="","",IFERROR(VLOOKUP($C782,_CONFIG_Risk_Calibration!$A$5:$H$21,3,FALSE),0))</f>
        <v>0</v>
      </c>
      <c r="BL782">
        <f>IF($E782="","",IFERROR(VLOOKUP($C782,_CONFIG_Risk_Calibration!$A$5:$H$21,4,FALSE),3))</f>
        <v>3</v>
      </c>
      <c r="BM782">
        <f>IF($E782="","",IFERROR(VLOOKUP($C782,_CONFIG_Risk_Calibration!$A$5:$H$21,5,FALSE),3))</f>
        <v>2</v>
      </c>
      <c r="BN782" t="str">
        <f>IF($E782="","",IFERROR(VLOOKUP($C782,_CONFIG_Risk_Calibration!$A$5:$H$21,6,FALSE),"No"))</f>
        <v>No</v>
      </c>
      <c r="BO782">
        <f>IF($E782="","",IFERROR(VLOOKUP($C782,_CONFIG_Risk_Calibration!$A$5:$H$21,7,FALSE),1))</f>
        <v>1</v>
      </c>
      <c r="BP782">
        <f>IF($H782="","",MAX(1,MIN(5,((6-$H782)*0.45)+($BJ782*0.2)+('Resilience &amp; Risk Scenario'!$B$7*0.15)+($BK782*0.1)+($BL782*0.05)+(IF($BB782="Fast",5,IF($BB782="Slow",1,3))*0.05))))</f>
        <v>3.6</v>
      </c>
      <c r="BQ782">
        <f t="shared" si="173"/>
        <v>4.3499999999999996</v>
      </c>
      <c r="BR782">
        <f t="shared" si="174"/>
        <v>15.66</v>
      </c>
      <c r="BS782">
        <f t="shared" si="175"/>
        <v>14.09</v>
      </c>
      <c r="BT782" t="str">
        <f>IFERROR(INDEX(_REF_Capability_Bridge!$D:$D,MATCH($C782&amp;"|"&amp;$D782,_REF_Capability_Bridge!$J:$J,0)),IFERROR(INDEX(_REF_Capability_Bridge!$D:$D,MATCH($C782&amp;"|",_REF_Capability_Bridge!$J:$J,0)),"CAP_GENERIC"))</f>
        <v>CAP_CUSTOMER_COMMUNICATION</v>
      </c>
      <c r="BU782">
        <f>IFERROR(IFERROR(INDEX(_ENGINE_Relevance!$L:$L,MATCH($BT782,_ENGINE_Relevance!$B:$B,0)),1),1)</f>
        <v>1</v>
      </c>
      <c r="BV782" t="str">
        <f>IFERROR(INDEX(_REF_Capability_Bridge!$A:$A,MATCH($C782&amp;"|"&amp;$D782,_REF_Capability_Bridge!$J:$J,0)),IFERROR(INDEX(_REF_Capability_Bridge!$A:$A,MATCH($C782&amp;"|",_REF_Capability_Bridge!$J:$J,0)),"No bridge"))</f>
        <v>BRG-062</v>
      </c>
      <c r="BW782" t="str">
        <f t="shared" si="176"/>
        <v>Capability relevance neutral</v>
      </c>
      <c r="BX782" t="str">
        <f t="shared" si="177"/>
        <v>Initial / absent</v>
      </c>
      <c r="BY782" t="str">
        <f>IF($E782="","",IFERROR(INDEX(_REF_Treatment_Library!$A$2:$A$296,MATCH(1,INDEX((_REF_Treatment_Library!$B$2:$B$296=$BT782)*(_REF_Treatment_Library!$C$2:$C$296=PV_Canonical_Industry)*(_REF_Treatment_Library!$E$2:$E$296&lt;=N($H782))*(_REF_Treatment_Library!$F$2:$F$296&gt;=N($H782))*(_REF_Treatment_Library!$O$2:$O$296="Yes"),0),0)),IFERROR(INDEX(_REF_Treatment_Library!$A$2:$A$296,MATCH(1,INDEX((_REF_Treatment_Library!$B$2:$B$296=$BT782)*(_REF_Treatment_Library!$C$2:$C$296="All")*(_REF_Treatment_Library!$E$2:$E$296&lt;=N($H782))*(_REF_Treatment_Library!$F$2:$F$296&gt;=N($H782))*(_REF_Treatment_Library!$O$2:$O$296="Yes"),0),0)),"")))</f>
        <v>TRT-CUSTOMER_COMMUNICATION-INITIAL</v>
      </c>
      <c r="BZ782" t="str">
        <f>IF($BY782="","",IFERROR(INDEX(_REF_Treatment_Library!$H$2:$H$296,MATCH($BY782,_REF_Treatment_Library!$A$2:$A$296,0)),""))</f>
        <v>Establish</v>
      </c>
      <c r="CA782" t="str">
        <f>IF($BY782="","",IFERROR(INDEX(_REF_Treatment_Library!$I$2:$I$296,MATCH($BY782,_REF_Treatment_Library!$A$2:$A$296,0)),""))</f>
        <v>Establish baseline controls for Customer communication</v>
      </c>
      <c r="CB782" t="str">
        <f>IF($BY782="","",IFERROR(INDEX(_REF_Treatment_Library!$K$2:$K$296,MATCH($BY782,_REF_Treatment_Library!$A$2:$A$296,0)),""))</f>
        <v>Named owner, baseline process, minimum control checklist, first evidence package</v>
      </c>
      <c r="CC782" t="str">
        <f>IF($BY782="","",IFERROR(INDEX(_REF_Treatment_Library!$L$2:$L$296,MATCH($BY782,_REF_Treatment_Library!$A$2:$A$296,0)),""))</f>
        <v>Owner assigned; baseline evidence coverage; open critical gaps</v>
      </c>
      <c r="CD782" t="str">
        <f t="shared" si="178"/>
        <v>Treatment by capability=CAP_CUSTOMER_COMMUNICATION; band=Initial / absent; score=0.0; treatment=Establish</v>
      </c>
      <c r="CE782" t="str">
        <f>IF($E782="","",IFERROR(INDEX(_REF_Industry_Wording!$A$2:$A$70,MATCH(1,INDEX((_REF_Industry_Wording!$B$2:$B$70=$BT782)*(_REF_Industry_Wording!$C$2:$C$70=PV_Canonical_Industry)*(_REF_Industry_Wording!$K$2:$K$70="Yes"),0),0)),IFERROR(INDEX(_REF_Industry_Wording!$A$2:$A$70,MATCH(1,INDEX((_REF_Industry_Wording!$B$2:$B$70=$BT782)*(_REF_Industry_Wording!$C$2:$C$70="All")*(_REF_Industry_Wording!$K$2:$K$70="Yes"),0),0)),"")))</f>
        <v>IW-ALL-CUSTOMER_COMMUNICATION</v>
      </c>
      <c r="CF782" t="str">
        <f>IF($CE782="","",IFERROR(INDEX(_REF_Industry_Wording!$E$2:$E$70,MATCH($CE782,_REF_Industry_Wording!$A$2:$A$70,0)),""))</f>
        <v>Customer communication weakness</v>
      </c>
      <c r="CG782" t="str">
        <f>IF($CE782="","",IFERROR(INDEX(_REF_Industry_Wording!$F$2:$F$70,MATCH($CE782,_REF_Industry_Wording!$A$2:$A$70,0)),""))</f>
        <v>Strengthen Customer communication</v>
      </c>
      <c r="CH782" t="str">
        <f>IF($CE782="","",IFERROR(INDEX(_REF_Industry_Wording!$G$2:$G$70,MATCH($CE782,_REF_Industry_Wording!$A$2:$A$70,0)),""))</f>
        <v>Strengthen Customer communication using the selected maturity treatment, crisis scenario and evidence requirements.</v>
      </c>
      <c r="CI782" t="str">
        <f>IF($CE782="","",IFERROR(INDEX(_REF_Industry_Wording!$H$2:$H$70,MATCH($CE782,_REF_Industry_Wording!$A$2:$A$70,0)),""))</f>
        <v>Customer communication</v>
      </c>
      <c r="CJ782">
        <f>IF($CE782="","",IFERROR(INDEX(_REF_Industry_Wording!$I$2:$I$70,MATCH($CE782,_REF_Industry_Wording!$A$2:$A$70,0)),""))</f>
        <v>0</v>
      </c>
      <c r="CK782" t="str">
        <f>IF($CE782="","",IFERROR(INDEX(_REF_Industry_Wording!$J$2:$J$70,MATCH($CE782,_REF_Industry_Wording!$A$2:$A$70,0)),""))</f>
        <v>Customer communication</v>
      </c>
      <c r="CL782" t="str">
        <f t="shared" si="179"/>
        <v>Wording by industry=0; capability=CAP_CUSTOMER_COMMUNICATION; risk label=Customer communication weakness</v>
      </c>
      <c r="CM782" t="str">
        <f t="shared" si="180"/>
        <v>RISK-ONT-0283</v>
      </c>
      <c r="CN782" t="str">
        <f t="shared" si="181"/>
        <v>RISK-EVT-0283</v>
      </c>
      <c r="CO782" t="str">
        <f t="shared" si="182"/>
        <v>Marketing Comms|Crisis communication|MARK-007|CAP_CUSTOMER_COMMUNICATION</v>
      </c>
      <c r="CP782" t="str">
        <f t="shared" si="183"/>
        <v>Active</v>
      </c>
      <c r="CQ782" t="str">
        <f t="shared" si="184"/>
        <v>OK: capability-driven</v>
      </c>
      <c r="CR782" t="str">
        <f t="shared" si="185"/>
        <v>Risk ontology uses capability=CAP_CUSTOMER_COMMUNICATION; bridge=BRG-062; treatment=TRT-CUSTOMER_COMMUNICATION-INITIAL; wording=IW-ALL-CUSTOMER_COMMUNICATION</v>
      </c>
      <c r="CS782" t="str">
        <f t="shared" si="186"/>
        <v>Yes</v>
      </c>
    </row>
    <row r="783" spans="1:97" ht="69.900000000000006" customHeight="1">
      <c r="A783">
        <f>IF(OR($B783&lt;&gt;"Yes",$BS783=""),"",SUMPRODUCT(($B$500:$B$923="Yes")*ISNUMBER($BS$500:$BS$923)*($BS$500:$BS$923&gt;$BS783))+COUNTIFS($B$500:$B783,"Yes",$BS$500:$BS783,$BS783))</f>
        <v>360</v>
      </c>
      <c r="B783" t="str">
        <f t="shared" si="155"/>
        <v>Yes</v>
      </c>
      <c r="C783" t="s">
        <v>2473</v>
      </c>
      <c r="D783" t="s">
        <v>2490</v>
      </c>
      <c r="E783" t="s">
        <v>2519</v>
      </c>
      <c r="F783" t="s">
        <v>3690</v>
      </c>
      <c r="G783" t="str">
        <f>IF($H783="","",IFERROR(INDEX(_ENGINE_Risk!$H$5:$M$499,MATCH($E783,_ENGINE_Risk!$A$5:$A$499,0),$H783+1),""))</f>
        <v>Severe risk: media, social, review and customer sentiment monitoring is not reliably controlled. During Reputation crisis; Demand shock; IT outage, the organization may face loss of customer trust, reputational damage and inconsistent crisis communication with limited visibility or accountability.</v>
      </c>
      <c r="H783">
        <f>IFERROR(VALUE(INDEX(_DATA_Assessment_Model!$H$5:$H$884,MATCH($E783,_DATA_Assessment_Model!$A$5:$A$884,0))),"")</f>
        <v>0</v>
      </c>
      <c r="I783" t="str">
        <f>IF($H783="","",IFERROR(INDEX(_DATA_Assessment_Model!$L$5:$L$884,MATCH($E783,_DATA_Assessment_Model!$A$5:$A$884,0)),IF($H783&lt;=1,"Critical",IF($H783=2,"High",IF($H783=3,"Medium",IF($H783=4,"Low","Resilient"))))))</f>
        <v>Critical</v>
      </c>
      <c r="J783">
        <f t="shared" si="156"/>
        <v>3.6</v>
      </c>
      <c r="K783">
        <f t="shared" si="157"/>
        <v>4</v>
      </c>
      <c r="L783">
        <f t="shared" si="158"/>
        <v>14.4</v>
      </c>
      <c r="M783">
        <f t="shared" si="159"/>
        <v>3</v>
      </c>
      <c r="N783">
        <f>IF($H783="","",IFERROR(INDEX(_ENGINE_Risk!$T$5:$Y$499,MATCH($E783,_ENGINE_Risk!$A$5:$A$499,0),$H783+1),""))</f>
        <v>3</v>
      </c>
      <c r="O783">
        <f t="shared" si="160"/>
        <v>4.333333333333333</v>
      </c>
      <c r="P783">
        <f t="shared" si="161"/>
        <v>5</v>
      </c>
      <c r="Q783">
        <f t="shared" si="162"/>
        <v>5</v>
      </c>
      <c r="R783">
        <f t="shared" si="163"/>
        <v>4.5</v>
      </c>
      <c r="S783">
        <f t="shared" si="164"/>
        <v>1.57</v>
      </c>
      <c r="T783" t="str">
        <f>IF($H783="","",IFERROR(INDEX(_ENGINE_Risk!$N$5:$S$499,MATCH($E783,_ENGINE_Risk!$A$5:$A$499,0),$H783+1),""))</f>
        <v>Create an immediate risk owner, minimum control baseline and fallback procedure for media, social, review and customer sentiment monitoring. Add it to the crisis risk register and collect first evidence.</v>
      </c>
      <c r="U783">
        <f>IFERROR(INDEX(_DATA_Assessment_Model!$G$5:$G$884,MATCH($E783,_DATA_Assessment_Model!$A$5:$A$884,0)),"")</f>
        <v>4</v>
      </c>
      <c r="V783">
        <f>IFERROR(INDEX(_DATA_Assessment_Model!$W$5:$W$884,MATCH($E783,_DATA_Assessment_Model!$A$5:$A$884,0)),"")</f>
        <v>4</v>
      </c>
      <c r="W783">
        <f>IFERROR(INDEX(_DATA_Assessment_Model!$X$5:$X$884,MATCH($E783,_DATA_Assessment_Model!$A$5:$A$884,0)),"")</f>
        <v>5</v>
      </c>
      <c r="X783">
        <f>IFERROR(INDEX(_DATA_Assessment_Model!$Y$5:$Y$884,MATCH($E783,_DATA_Assessment_Model!$A$5:$A$884,0)),"")</f>
        <v>5</v>
      </c>
      <c r="Y783" t="s">
        <v>2486</v>
      </c>
      <c r="Z783" t="s">
        <v>8519</v>
      </c>
      <c r="AA783" t="s">
        <v>2521</v>
      </c>
      <c r="AB783">
        <f>IFERROR(INDEX(_DATA_Assessment_Model!$U$5:$U$884,MATCH($E783,_DATA_Assessment_Model!$A$5:$A$884,0)),"")</f>
        <v>0</v>
      </c>
      <c r="AF783" t="s">
        <v>2520</v>
      </c>
      <c r="AO783">
        <f>IF($B783="Yes",IF(IFERROR(INDEX(_ENGINE_Crisis!$F$501:$F$517,MATCH($C783,_ENGINE_Crisis!$A$501:$A$517,0)),1)=0,1,IFERROR(INDEX(_ENGINE_Crisis!$F$501:$F$517,MATCH($C783,_ENGINE_Crisis!$A$501:$A$517,0)),1)),"")</f>
        <v>1</v>
      </c>
      <c r="AP783">
        <f t="shared" si="165"/>
        <v>14.4</v>
      </c>
      <c r="AQ783">
        <f t="shared" si="166"/>
        <v>1.57</v>
      </c>
      <c r="AR783" t="str">
        <f>IFERROR(INDEX(_ENGINE_Crisis!$E$41:$E$700,MATCH('Resilience &amp; Risk Scenario'!$B$6&amp;"|"&amp;$C783,_ENGINE_Crisis!$I$41:$I$700,0)),"")</f>
        <v/>
      </c>
      <c r="AS783" t="str">
        <f>IFERROR(INDEX(_ENGINE_Crisis!$G$41:$G$700,MATCH('Resilience &amp; Risk Scenario'!$B$6&amp;"|"&amp;$C783,_ENGINE_Crisis!$I$41:$I$700,0)),"")</f>
        <v/>
      </c>
      <c r="AT783" t="str">
        <f>IFERROR(INDEX(_ENGINE_Initiatives!$A$5:$A$532,MATCH(1,INDEX((_ENGINE_Initiatives!$B$5:$B$532=$C783)*(_ENGINE_Initiatives!$C$5:$C$532=$D783),0),0)),"")</f>
        <v>INI-046</v>
      </c>
      <c r="AU783" t="str">
        <f>IFERROR(INDEX(_ENGINE_Initiatives!$F$5:$F$532,MATCH(1,INDEX((_ENGINE_Initiatives!$B$5:$B$532=$C783)*(_ENGINE_Initiatives!$C$5:$C$532=$D783),0),0)),"")</f>
        <v>Prepare crisis communication playbooks and customer notification flows</v>
      </c>
      <c r="AV783">
        <f>IFERROR(INDEX(_ENGINE_Initiatives!$AC$5:$AC$532,MATCH(1,INDEX((_ENGINE_Initiatives!$B$5:$B$532=$C783)*(_ENGINE_Initiatives!$C$5:$C$532=$D783),0),0)),"")</f>
        <v>1.71</v>
      </c>
      <c r="AW783" t="str">
        <f>IFERROR(INDEX(_ENGINE_Initiatives!$AE$5:$AE$532,MATCH(1,INDEX((_ENGINE_Initiatives!$B$5:$B$532=$C783)*(_ENGINE_Initiatives!$C$5:$C$532=$D783),0),0)),"")</f>
        <v>6-12 months</v>
      </c>
      <c r="AX783">
        <f>IF($B783="Yes",IFERROR((IF(SUMIFS(_REF_Model_Content!$E$1:$E$613,_REF_Model_Content!$A$1:$A$613,PV_Canonical_Industry,_REF_Model_Content!$B$1:$B$613,$C783)=0,1,SUMIFS(_REF_Model_Content!$E$1:$E$613,_REF_Model_Content!$A$1:$A$613,PV_Canonical_Industry,_REF_Model_Content!$B$1:$B$613,$C783))*IFERROR($BU783,1)),1),"")</f>
        <v>1</v>
      </c>
      <c r="AY783">
        <f t="shared" si="167"/>
        <v>14.4</v>
      </c>
      <c r="AZ783">
        <f t="shared" si="168"/>
        <v>1.57</v>
      </c>
      <c r="BB783" t="str">
        <f>IF($H783="","",IFERROR(INDEX(_ENGINE_Risk!$AE$5:$AE$499,MATCH($E783,_ENGINE_Risk!$A$5:$A$499,0)),"Medium"))</f>
        <v>Medium</v>
      </c>
      <c r="BC783">
        <f t="shared" si="169"/>
        <v>1</v>
      </c>
      <c r="BD783">
        <f t="shared" si="170"/>
        <v>1.57</v>
      </c>
      <c r="BF783">
        <f>IF(OR($H783="",$J783=""),"",IFERROR(VLOOKUP(ROUND($J783,0),_CONFIG_Model_Settings!$D$154:$E$158,2,0),""))</f>
        <v>0.5</v>
      </c>
      <c r="BG783">
        <f>IFERROR(IF(OR($H783="",$K783=""),"",ROUND('Company Profile'!$B$113*INDEX(_CONFIG_Model_Settings!$H$154:$H$158,MATCH(ROUND($K783,0),_CONFIG_Model_Settings!$G$154:$G$158,0)),0)),0)</f>
        <v>875</v>
      </c>
      <c r="BH783">
        <f t="shared" si="171"/>
        <v>437.5</v>
      </c>
      <c r="BI783">
        <f t="shared" si="172"/>
        <v>437.5</v>
      </c>
      <c r="BJ783">
        <f>IF($E783="","",IFERROR(VLOOKUP($C783,_CONFIG_Risk_Calibration!$A$5:$H$21,2,FALSE),3))</f>
        <v>3</v>
      </c>
      <c r="BK783">
        <f>IF($E783="","",IFERROR(VLOOKUP($C783,_CONFIG_Risk_Calibration!$A$5:$H$21,3,FALSE),0))</f>
        <v>0</v>
      </c>
      <c r="BL783">
        <f>IF($E783="","",IFERROR(VLOOKUP($C783,_CONFIG_Risk_Calibration!$A$5:$H$21,4,FALSE),3))</f>
        <v>3</v>
      </c>
      <c r="BM783">
        <f>IF($E783="","",IFERROR(VLOOKUP($C783,_CONFIG_Risk_Calibration!$A$5:$H$21,5,FALSE),3))</f>
        <v>2</v>
      </c>
      <c r="BN783" t="str">
        <f>IF($E783="","",IFERROR(VLOOKUP($C783,_CONFIG_Risk_Calibration!$A$5:$H$21,6,FALSE),"No"))</f>
        <v>No</v>
      </c>
      <c r="BO783">
        <f>IF($E783="","",IFERROR(VLOOKUP($C783,_CONFIG_Risk_Calibration!$A$5:$H$21,7,FALSE),1))</f>
        <v>1</v>
      </c>
      <c r="BP783">
        <f>IF($H783="","",MAX(1,MIN(5,((6-$H783)*0.45)+($BJ783*0.2)+('Resilience &amp; Risk Scenario'!$B$7*0.15)+($BK783*0.1)+($BL783*0.05)+(IF($BB783="Fast",5,IF($BB783="Slow",1,3))*0.05))))</f>
        <v>3.6</v>
      </c>
      <c r="BQ783">
        <f t="shared" si="173"/>
        <v>4</v>
      </c>
      <c r="BR783">
        <f t="shared" si="174"/>
        <v>14.4</v>
      </c>
      <c r="BS783">
        <f t="shared" si="175"/>
        <v>12.96</v>
      </c>
      <c r="BT783" t="str">
        <f>IFERROR(INDEX(_REF_Capability_Bridge!$D:$D,MATCH($C783&amp;"|"&amp;$D783,_REF_Capability_Bridge!$J:$J,0)),IFERROR(INDEX(_REF_Capability_Bridge!$D:$D,MATCH($C783&amp;"|",_REF_Capability_Bridge!$J:$J,0)),"CAP_GENERIC"))</f>
        <v>CAP_CUSTOMER_COMMUNICATION</v>
      </c>
      <c r="BU783">
        <f>IFERROR(IFERROR(INDEX(_ENGINE_Relevance!$L:$L,MATCH($BT783,_ENGINE_Relevance!$B:$B,0)),1),1)</f>
        <v>1</v>
      </c>
      <c r="BV783" t="str">
        <f>IFERROR(INDEX(_REF_Capability_Bridge!$A:$A,MATCH($C783&amp;"|"&amp;$D783,_REF_Capability_Bridge!$J:$J,0)),IFERROR(INDEX(_REF_Capability_Bridge!$A:$A,MATCH($C783&amp;"|",_REF_Capability_Bridge!$J:$J,0)),"No bridge"))</f>
        <v>BRG-062</v>
      </c>
      <c r="BW783" t="str">
        <f t="shared" si="176"/>
        <v>Capability relevance neutral</v>
      </c>
      <c r="BX783" t="str">
        <f t="shared" si="177"/>
        <v>Initial / absent</v>
      </c>
      <c r="BY783" t="str">
        <f>IF($E783="","",IFERROR(INDEX(_REF_Treatment_Library!$A$2:$A$296,MATCH(1,INDEX((_REF_Treatment_Library!$B$2:$B$296=$BT783)*(_REF_Treatment_Library!$C$2:$C$296=PV_Canonical_Industry)*(_REF_Treatment_Library!$E$2:$E$296&lt;=N($H783))*(_REF_Treatment_Library!$F$2:$F$296&gt;=N($H783))*(_REF_Treatment_Library!$O$2:$O$296="Yes"),0),0)),IFERROR(INDEX(_REF_Treatment_Library!$A$2:$A$296,MATCH(1,INDEX((_REF_Treatment_Library!$B$2:$B$296=$BT783)*(_REF_Treatment_Library!$C$2:$C$296="All")*(_REF_Treatment_Library!$E$2:$E$296&lt;=N($H783))*(_REF_Treatment_Library!$F$2:$F$296&gt;=N($H783))*(_REF_Treatment_Library!$O$2:$O$296="Yes"),0),0)),"")))</f>
        <v>TRT-CUSTOMER_COMMUNICATION-INITIAL</v>
      </c>
      <c r="BZ783" t="str">
        <f>IF($BY783="","",IFERROR(INDEX(_REF_Treatment_Library!$H$2:$H$296,MATCH($BY783,_REF_Treatment_Library!$A$2:$A$296,0)),""))</f>
        <v>Establish</v>
      </c>
      <c r="CA783" t="str">
        <f>IF($BY783="","",IFERROR(INDEX(_REF_Treatment_Library!$I$2:$I$296,MATCH($BY783,_REF_Treatment_Library!$A$2:$A$296,0)),""))</f>
        <v>Establish baseline controls for Customer communication</v>
      </c>
      <c r="CB783" t="str">
        <f>IF($BY783="","",IFERROR(INDEX(_REF_Treatment_Library!$K$2:$K$296,MATCH($BY783,_REF_Treatment_Library!$A$2:$A$296,0)),""))</f>
        <v>Named owner, baseline process, minimum control checklist, first evidence package</v>
      </c>
      <c r="CC783" t="str">
        <f>IF($BY783="","",IFERROR(INDEX(_REF_Treatment_Library!$L$2:$L$296,MATCH($BY783,_REF_Treatment_Library!$A$2:$A$296,0)),""))</f>
        <v>Owner assigned; baseline evidence coverage; open critical gaps</v>
      </c>
      <c r="CD783" t="str">
        <f t="shared" si="178"/>
        <v>Treatment by capability=CAP_CUSTOMER_COMMUNICATION; band=Initial / absent; score=0.0; treatment=Establish</v>
      </c>
      <c r="CE783" t="str">
        <f>IF($E783="","",IFERROR(INDEX(_REF_Industry_Wording!$A$2:$A$70,MATCH(1,INDEX((_REF_Industry_Wording!$B$2:$B$70=$BT783)*(_REF_Industry_Wording!$C$2:$C$70=PV_Canonical_Industry)*(_REF_Industry_Wording!$K$2:$K$70="Yes"),0),0)),IFERROR(INDEX(_REF_Industry_Wording!$A$2:$A$70,MATCH(1,INDEX((_REF_Industry_Wording!$B$2:$B$70=$BT783)*(_REF_Industry_Wording!$C$2:$C$70="All")*(_REF_Industry_Wording!$K$2:$K$70="Yes"),0),0)),"")))</f>
        <v>IW-ALL-CUSTOMER_COMMUNICATION</v>
      </c>
      <c r="CF783" t="str">
        <f>IF($CE783="","",IFERROR(INDEX(_REF_Industry_Wording!$E$2:$E$70,MATCH($CE783,_REF_Industry_Wording!$A$2:$A$70,0)),""))</f>
        <v>Customer communication weakness</v>
      </c>
      <c r="CG783" t="str">
        <f>IF($CE783="","",IFERROR(INDEX(_REF_Industry_Wording!$F$2:$F$70,MATCH($CE783,_REF_Industry_Wording!$A$2:$A$70,0)),""))</f>
        <v>Strengthen Customer communication</v>
      </c>
      <c r="CH783" t="str">
        <f>IF($CE783="","",IFERROR(INDEX(_REF_Industry_Wording!$G$2:$G$70,MATCH($CE783,_REF_Industry_Wording!$A$2:$A$70,0)),""))</f>
        <v>Strengthen Customer communication using the selected maturity treatment, crisis scenario and evidence requirements.</v>
      </c>
      <c r="CI783" t="str">
        <f>IF($CE783="","",IFERROR(INDEX(_REF_Industry_Wording!$H$2:$H$70,MATCH($CE783,_REF_Industry_Wording!$A$2:$A$70,0)),""))</f>
        <v>Customer communication</v>
      </c>
      <c r="CJ783">
        <f>IF($CE783="","",IFERROR(INDEX(_REF_Industry_Wording!$I$2:$I$70,MATCH($CE783,_REF_Industry_Wording!$A$2:$A$70,0)),""))</f>
        <v>0</v>
      </c>
      <c r="CK783" t="str">
        <f>IF($CE783="","",IFERROR(INDEX(_REF_Industry_Wording!$J$2:$J$70,MATCH($CE783,_REF_Industry_Wording!$A$2:$A$70,0)),""))</f>
        <v>Customer communication</v>
      </c>
      <c r="CL783" t="str">
        <f t="shared" si="179"/>
        <v>Wording by industry=0; capability=CAP_CUSTOMER_COMMUNICATION; risk label=Customer communication weakness</v>
      </c>
      <c r="CM783" t="str">
        <f t="shared" si="180"/>
        <v>RISK-ONT-0284</v>
      </c>
      <c r="CN783" t="str">
        <f t="shared" si="181"/>
        <v>RISK-EVT-0284</v>
      </c>
      <c r="CO783" t="str">
        <f t="shared" si="182"/>
        <v>Marketing Comms|Crisis communication|MARK-008|CAP_CUSTOMER_COMMUNICATION</v>
      </c>
      <c r="CP783" t="str">
        <f t="shared" si="183"/>
        <v>Active</v>
      </c>
      <c r="CQ783" t="str">
        <f t="shared" si="184"/>
        <v>OK: capability-driven</v>
      </c>
      <c r="CR783" t="str">
        <f t="shared" si="185"/>
        <v>Risk ontology uses capability=CAP_CUSTOMER_COMMUNICATION; bridge=BRG-062; treatment=TRT-CUSTOMER_COMMUNICATION-INITIAL; wording=IW-ALL-CUSTOMER_COMMUNICATION</v>
      </c>
      <c r="CS783" t="str">
        <f t="shared" si="186"/>
        <v>Yes</v>
      </c>
    </row>
    <row r="784" spans="1:97" ht="69.900000000000006" customHeight="1">
      <c r="A784">
        <f>IF(OR($B784&lt;&gt;"Yes",$BS784=""),"",SUMPRODUCT(($B$500:$B$923="Yes")*ISNUMBER($BS$500:$BS$923)*($BS$500:$BS$923&gt;$BS784))+COUNTIFS($B$500:$B784,"Yes",$BS$500:$BS784,$BS784))</f>
        <v>379</v>
      </c>
      <c r="B784" t="str">
        <f t="shared" si="155"/>
        <v>Yes</v>
      </c>
      <c r="C784" t="s">
        <v>2473</v>
      </c>
      <c r="D784" t="s">
        <v>2490</v>
      </c>
      <c r="E784" t="s">
        <v>2528</v>
      </c>
      <c r="F784" t="s">
        <v>3690</v>
      </c>
      <c r="G784" t="str">
        <f>IF($H784="","",IFERROR(INDEX(_ENGINE_Risk!$H$5:$M$499,MATCH($E784,_ENGINE_Risk!$A$5:$A$499,0),$H784+1),""))</f>
        <v>Severe risk: escalation and approval rules for sensitive public responses is not reliably controlled. During Reputation crisis; Demand shock; IT outage, the organization may face loss of customer trust, reputational damage and inconsistent crisis communication with limited visibility or accountability.</v>
      </c>
      <c r="H784">
        <f>IFERROR(VALUE(INDEX(_DATA_Assessment_Model!$H$5:$H$884,MATCH($E784,_DATA_Assessment_Model!$A$5:$A$884,0))),"")</f>
        <v>0</v>
      </c>
      <c r="I784" t="str">
        <f>IF($H784="","",IFERROR(INDEX(_DATA_Assessment_Model!$L$5:$L$884,MATCH($E784,_DATA_Assessment_Model!$A$5:$A$884,0)),IF($H784&lt;=1,"Critical",IF($H784=2,"High",IF($H784=3,"Medium",IF($H784=4,"Low","Resilient"))))))</f>
        <v>Critical</v>
      </c>
      <c r="J784">
        <f t="shared" si="156"/>
        <v>3.6</v>
      </c>
      <c r="K784">
        <f t="shared" si="157"/>
        <v>3.8</v>
      </c>
      <c r="L784">
        <f t="shared" si="158"/>
        <v>13.68</v>
      </c>
      <c r="M784">
        <f t="shared" si="159"/>
        <v>3</v>
      </c>
      <c r="N784">
        <f>IF($H784="","",IFERROR(INDEX(_ENGINE_Risk!$T$5:$Y$499,MATCH($E784,_ENGINE_Risk!$A$5:$A$499,0),$H784+1),""))</f>
        <v>3</v>
      </c>
      <c r="O784">
        <f t="shared" si="160"/>
        <v>4</v>
      </c>
      <c r="P784">
        <f t="shared" si="161"/>
        <v>5</v>
      </c>
      <c r="Q784">
        <f t="shared" si="162"/>
        <v>5</v>
      </c>
      <c r="R784">
        <f t="shared" si="163"/>
        <v>4.5</v>
      </c>
      <c r="S784">
        <f t="shared" si="164"/>
        <v>1.54</v>
      </c>
      <c r="T784" t="str">
        <f>IF($H784="","",IFERROR(INDEX(_ENGINE_Risk!$N$5:$S$499,MATCH($E784,_ENGINE_Risk!$A$5:$A$499,0),$H784+1),""))</f>
        <v>Create an immediate risk owner, minimum control baseline and fallback procedure for escalation and approval rules for sensitive public responses. Add it to the crisis risk register and collect first evidence.</v>
      </c>
      <c r="U784">
        <f>IFERROR(INDEX(_DATA_Assessment_Model!$G$5:$G$884,MATCH($E784,_DATA_Assessment_Model!$A$5:$A$884,0)),"")</f>
        <v>3</v>
      </c>
      <c r="V784">
        <f>IFERROR(INDEX(_DATA_Assessment_Model!$W$5:$W$884,MATCH($E784,_DATA_Assessment_Model!$A$5:$A$884,0)),"")</f>
        <v>4</v>
      </c>
      <c r="W784">
        <f>IFERROR(INDEX(_DATA_Assessment_Model!$X$5:$X$884,MATCH($E784,_DATA_Assessment_Model!$A$5:$A$884,0)),"")</f>
        <v>5</v>
      </c>
      <c r="X784">
        <f>IFERROR(INDEX(_DATA_Assessment_Model!$Y$5:$Y$884,MATCH($E784,_DATA_Assessment_Model!$A$5:$A$884,0)),"")</f>
        <v>5</v>
      </c>
      <c r="Y784" t="s">
        <v>2486</v>
      </c>
      <c r="Z784" t="s">
        <v>8519</v>
      </c>
      <c r="AA784" t="s">
        <v>2530</v>
      </c>
      <c r="AB784">
        <f>IFERROR(INDEX(_DATA_Assessment_Model!$U$5:$U$884,MATCH($E784,_DATA_Assessment_Model!$A$5:$A$884,0)),"")</f>
        <v>0</v>
      </c>
      <c r="AF784" t="s">
        <v>2529</v>
      </c>
      <c r="AO784">
        <f>IF($B784="Yes",IF(IFERROR(INDEX(_ENGINE_Crisis!$F$501:$F$517,MATCH($C784,_ENGINE_Crisis!$A$501:$A$517,0)),1)=0,1,IFERROR(INDEX(_ENGINE_Crisis!$F$501:$F$517,MATCH($C784,_ENGINE_Crisis!$A$501:$A$517,0)),1)),"")</f>
        <v>1</v>
      </c>
      <c r="AP784">
        <f t="shared" si="165"/>
        <v>13.7</v>
      </c>
      <c r="AQ784">
        <f t="shared" si="166"/>
        <v>1.54</v>
      </c>
      <c r="AR784" t="str">
        <f>IFERROR(INDEX(_ENGINE_Crisis!$E$41:$E$700,MATCH('Resilience &amp; Risk Scenario'!$B$6&amp;"|"&amp;$C784,_ENGINE_Crisis!$I$41:$I$700,0)),"")</f>
        <v/>
      </c>
      <c r="AS784" t="str">
        <f>IFERROR(INDEX(_ENGINE_Crisis!$G$41:$G$700,MATCH('Resilience &amp; Risk Scenario'!$B$6&amp;"|"&amp;$C784,_ENGINE_Crisis!$I$41:$I$700,0)),"")</f>
        <v/>
      </c>
      <c r="AT784" t="str">
        <f>IFERROR(INDEX(_ENGINE_Initiatives!$A$5:$A$532,MATCH(1,INDEX((_ENGINE_Initiatives!$B$5:$B$532=$C784)*(_ENGINE_Initiatives!$C$5:$C$532=$D784),0),0)),"")</f>
        <v>INI-046</v>
      </c>
      <c r="AU784" t="str">
        <f>IFERROR(INDEX(_ENGINE_Initiatives!$F$5:$F$532,MATCH(1,INDEX((_ENGINE_Initiatives!$B$5:$B$532=$C784)*(_ENGINE_Initiatives!$C$5:$C$532=$D784),0),0)),"")</f>
        <v>Prepare crisis communication playbooks and customer notification flows</v>
      </c>
      <c r="AV784">
        <f>IFERROR(INDEX(_ENGINE_Initiatives!$AC$5:$AC$532,MATCH(1,INDEX((_ENGINE_Initiatives!$B$5:$B$532=$C784)*(_ENGINE_Initiatives!$C$5:$C$532=$D784),0),0)),"")</f>
        <v>1.71</v>
      </c>
      <c r="AW784" t="str">
        <f>IFERROR(INDEX(_ENGINE_Initiatives!$AE$5:$AE$532,MATCH(1,INDEX((_ENGINE_Initiatives!$B$5:$B$532=$C784)*(_ENGINE_Initiatives!$C$5:$C$532=$D784),0),0)),"")</f>
        <v>6-12 months</v>
      </c>
      <c r="AX784">
        <f>IF($B784="Yes",IFERROR((IF(SUMIFS(_REF_Model_Content!$E$1:$E$613,_REF_Model_Content!$A$1:$A$613,PV_Canonical_Industry,_REF_Model_Content!$B$1:$B$613,$C784)=0,1,SUMIFS(_REF_Model_Content!$E$1:$E$613,_REF_Model_Content!$A$1:$A$613,PV_Canonical_Industry,_REF_Model_Content!$B$1:$B$613,$C784))*IFERROR($BU784,1)),1),"")</f>
        <v>1</v>
      </c>
      <c r="AY784">
        <f t="shared" si="167"/>
        <v>13.7</v>
      </c>
      <c r="AZ784">
        <f t="shared" si="168"/>
        <v>1.54</v>
      </c>
      <c r="BB784" t="str">
        <f>IF($H784="","",IFERROR(INDEX(_ENGINE_Risk!$AE$5:$AE$499,MATCH($E784,_ENGINE_Risk!$A$5:$A$499,0)),"Medium"))</f>
        <v>Medium</v>
      </c>
      <c r="BC784">
        <f t="shared" si="169"/>
        <v>1</v>
      </c>
      <c r="BD784">
        <f t="shared" si="170"/>
        <v>1.54</v>
      </c>
      <c r="BF784">
        <f>IF(OR($H784="",$J784=""),"",IFERROR(VLOOKUP(ROUND($J784,0),_CONFIG_Model_Settings!$D$154:$E$158,2,0),""))</f>
        <v>0.5</v>
      </c>
      <c r="BG784">
        <f>IFERROR(IF(OR($H784="",$K784=""),"",ROUND('Company Profile'!$B$113*INDEX(_CONFIG_Model_Settings!$H$154:$H$158,MATCH(ROUND($K784,0),_CONFIG_Model_Settings!$G$154:$G$158,0)),0)),0)</f>
        <v>875</v>
      </c>
      <c r="BH784">
        <f t="shared" si="171"/>
        <v>437.5</v>
      </c>
      <c r="BI784">
        <f t="shared" si="172"/>
        <v>437.5</v>
      </c>
      <c r="BJ784">
        <f>IF($E784="","",IFERROR(VLOOKUP($C784,_CONFIG_Risk_Calibration!$A$5:$H$21,2,FALSE),3))</f>
        <v>3</v>
      </c>
      <c r="BK784">
        <f>IF($E784="","",IFERROR(VLOOKUP($C784,_CONFIG_Risk_Calibration!$A$5:$H$21,3,FALSE),0))</f>
        <v>0</v>
      </c>
      <c r="BL784">
        <f>IF($E784="","",IFERROR(VLOOKUP($C784,_CONFIG_Risk_Calibration!$A$5:$H$21,4,FALSE),3))</f>
        <v>3</v>
      </c>
      <c r="BM784">
        <f>IF($E784="","",IFERROR(VLOOKUP($C784,_CONFIG_Risk_Calibration!$A$5:$H$21,5,FALSE),3))</f>
        <v>2</v>
      </c>
      <c r="BN784" t="str">
        <f>IF($E784="","",IFERROR(VLOOKUP($C784,_CONFIG_Risk_Calibration!$A$5:$H$21,6,FALSE),"No"))</f>
        <v>No</v>
      </c>
      <c r="BO784">
        <f>IF($E784="","",IFERROR(VLOOKUP($C784,_CONFIG_Risk_Calibration!$A$5:$H$21,7,FALSE),1))</f>
        <v>1</v>
      </c>
      <c r="BP784">
        <f>IF($H784="","",MAX(1,MIN(5,((6-$H784)*0.45)+($BJ784*0.2)+('Resilience &amp; Risk Scenario'!$B$7*0.15)+($BK784*0.1)+($BL784*0.05)+(IF($BB784="Fast",5,IF($BB784="Slow",1,3))*0.05))))</f>
        <v>3.6</v>
      </c>
      <c r="BQ784">
        <f t="shared" si="173"/>
        <v>3.8</v>
      </c>
      <c r="BR784">
        <f t="shared" si="174"/>
        <v>13.68</v>
      </c>
      <c r="BS784">
        <f t="shared" si="175"/>
        <v>12.31</v>
      </c>
      <c r="BT784" t="str">
        <f>IFERROR(INDEX(_REF_Capability_Bridge!$D:$D,MATCH($C784&amp;"|"&amp;$D784,_REF_Capability_Bridge!$J:$J,0)),IFERROR(INDEX(_REF_Capability_Bridge!$D:$D,MATCH($C784&amp;"|",_REF_Capability_Bridge!$J:$J,0)),"CAP_GENERIC"))</f>
        <v>CAP_CUSTOMER_COMMUNICATION</v>
      </c>
      <c r="BU784">
        <f>IFERROR(IFERROR(INDEX(_ENGINE_Relevance!$L:$L,MATCH($BT784,_ENGINE_Relevance!$B:$B,0)),1),1)</f>
        <v>1</v>
      </c>
      <c r="BV784" t="str">
        <f>IFERROR(INDEX(_REF_Capability_Bridge!$A:$A,MATCH($C784&amp;"|"&amp;$D784,_REF_Capability_Bridge!$J:$J,0)),IFERROR(INDEX(_REF_Capability_Bridge!$A:$A,MATCH($C784&amp;"|",_REF_Capability_Bridge!$J:$J,0)),"No bridge"))</f>
        <v>BRG-062</v>
      </c>
      <c r="BW784" t="str">
        <f t="shared" si="176"/>
        <v>Capability relevance neutral</v>
      </c>
      <c r="BX784" t="str">
        <f t="shared" si="177"/>
        <v>Initial / absent</v>
      </c>
      <c r="BY784" t="str">
        <f>IF($E784="","",IFERROR(INDEX(_REF_Treatment_Library!$A$2:$A$296,MATCH(1,INDEX((_REF_Treatment_Library!$B$2:$B$296=$BT784)*(_REF_Treatment_Library!$C$2:$C$296=PV_Canonical_Industry)*(_REF_Treatment_Library!$E$2:$E$296&lt;=N($H784))*(_REF_Treatment_Library!$F$2:$F$296&gt;=N($H784))*(_REF_Treatment_Library!$O$2:$O$296="Yes"),0),0)),IFERROR(INDEX(_REF_Treatment_Library!$A$2:$A$296,MATCH(1,INDEX((_REF_Treatment_Library!$B$2:$B$296=$BT784)*(_REF_Treatment_Library!$C$2:$C$296="All")*(_REF_Treatment_Library!$E$2:$E$296&lt;=N($H784))*(_REF_Treatment_Library!$F$2:$F$296&gt;=N($H784))*(_REF_Treatment_Library!$O$2:$O$296="Yes"),0),0)),"")))</f>
        <v>TRT-CUSTOMER_COMMUNICATION-INITIAL</v>
      </c>
      <c r="BZ784" t="str">
        <f>IF($BY784="","",IFERROR(INDEX(_REF_Treatment_Library!$H$2:$H$296,MATCH($BY784,_REF_Treatment_Library!$A$2:$A$296,0)),""))</f>
        <v>Establish</v>
      </c>
      <c r="CA784" t="str">
        <f>IF($BY784="","",IFERROR(INDEX(_REF_Treatment_Library!$I$2:$I$296,MATCH($BY784,_REF_Treatment_Library!$A$2:$A$296,0)),""))</f>
        <v>Establish baseline controls for Customer communication</v>
      </c>
      <c r="CB784" t="str">
        <f>IF($BY784="","",IFERROR(INDEX(_REF_Treatment_Library!$K$2:$K$296,MATCH($BY784,_REF_Treatment_Library!$A$2:$A$296,0)),""))</f>
        <v>Named owner, baseline process, minimum control checklist, first evidence package</v>
      </c>
      <c r="CC784" t="str">
        <f>IF($BY784="","",IFERROR(INDEX(_REF_Treatment_Library!$L$2:$L$296,MATCH($BY784,_REF_Treatment_Library!$A$2:$A$296,0)),""))</f>
        <v>Owner assigned; baseline evidence coverage; open critical gaps</v>
      </c>
      <c r="CD784" t="str">
        <f t="shared" si="178"/>
        <v>Treatment by capability=CAP_CUSTOMER_COMMUNICATION; band=Initial / absent; score=0.0; treatment=Establish</v>
      </c>
      <c r="CE784" t="str">
        <f>IF($E784="","",IFERROR(INDEX(_REF_Industry_Wording!$A$2:$A$70,MATCH(1,INDEX((_REF_Industry_Wording!$B$2:$B$70=$BT784)*(_REF_Industry_Wording!$C$2:$C$70=PV_Canonical_Industry)*(_REF_Industry_Wording!$K$2:$K$70="Yes"),0),0)),IFERROR(INDEX(_REF_Industry_Wording!$A$2:$A$70,MATCH(1,INDEX((_REF_Industry_Wording!$B$2:$B$70=$BT784)*(_REF_Industry_Wording!$C$2:$C$70="All")*(_REF_Industry_Wording!$K$2:$K$70="Yes"),0),0)),"")))</f>
        <v>IW-ALL-CUSTOMER_COMMUNICATION</v>
      </c>
      <c r="CF784" t="str">
        <f>IF($CE784="","",IFERROR(INDEX(_REF_Industry_Wording!$E$2:$E$70,MATCH($CE784,_REF_Industry_Wording!$A$2:$A$70,0)),""))</f>
        <v>Customer communication weakness</v>
      </c>
      <c r="CG784" t="str">
        <f>IF($CE784="","",IFERROR(INDEX(_REF_Industry_Wording!$F$2:$F$70,MATCH($CE784,_REF_Industry_Wording!$A$2:$A$70,0)),""))</f>
        <v>Strengthen Customer communication</v>
      </c>
      <c r="CH784" t="str">
        <f>IF($CE784="","",IFERROR(INDEX(_REF_Industry_Wording!$G$2:$G$70,MATCH($CE784,_REF_Industry_Wording!$A$2:$A$70,0)),""))</f>
        <v>Strengthen Customer communication using the selected maturity treatment, crisis scenario and evidence requirements.</v>
      </c>
      <c r="CI784" t="str">
        <f>IF($CE784="","",IFERROR(INDEX(_REF_Industry_Wording!$H$2:$H$70,MATCH($CE784,_REF_Industry_Wording!$A$2:$A$70,0)),""))</f>
        <v>Customer communication</v>
      </c>
      <c r="CJ784">
        <f>IF($CE784="","",IFERROR(INDEX(_REF_Industry_Wording!$I$2:$I$70,MATCH($CE784,_REF_Industry_Wording!$A$2:$A$70,0)),""))</f>
        <v>0</v>
      </c>
      <c r="CK784" t="str">
        <f>IF($CE784="","",IFERROR(INDEX(_REF_Industry_Wording!$J$2:$J$70,MATCH($CE784,_REF_Industry_Wording!$A$2:$A$70,0)),""))</f>
        <v>Customer communication</v>
      </c>
      <c r="CL784" t="str">
        <f t="shared" si="179"/>
        <v>Wording by industry=0; capability=CAP_CUSTOMER_COMMUNICATION; risk label=Customer communication weakness</v>
      </c>
      <c r="CM784" t="str">
        <f t="shared" si="180"/>
        <v>RISK-ONT-0285</v>
      </c>
      <c r="CN784" t="str">
        <f t="shared" si="181"/>
        <v>RISK-EVT-0285</v>
      </c>
      <c r="CO784" t="str">
        <f t="shared" si="182"/>
        <v>Marketing Comms|Crisis communication|MARK-009|CAP_CUSTOMER_COMMUNICATION</v>
      </c>
      <c r="CP784" t="str">
        <f t="shared" si="183"/>
        <v>Active</v>
      </c>
      <c r="CQ784" t="str">
        <f t="shared" si="184"/>
        <v>OK: capability-driven</v>
      </c>
      <c r="CR784" t="str">
        <f t="shared" si="185"/>
        <v>Risk ontology uses capability=CAP_CUSTOMER_COMMUNICATION; bridge=BRG-062; treatment=TRT-CUSTOMER_COMMUNICATION-INITIAL; wording=IW-ALL-CUSTOMER_COMMUNICATION</v>
      </c>
      <c r="CS784" t="str">
        <f t="shared" si="186"/>
        <v>Yes</v>
      </c>
    </row>
    <row r="785" spans="1:97" ht="69.900000000000006" customHeight="1">
      <c r="A785">
        <f>IF(OR($B785&lt;&gt;"Yes",$BS785=""),"",SUMPRODUCT(($B$500:$B$923="Yes")*ISNUMBER($BS$500:$BS$923)*($BS$500:$BS$923&gt;$BS785))+COUNTIFS($B$500:$B785,"Yes",$BS$500:$BS785,$BS785))</f>
        <v>361</v>
      </c>
      <c r="B785" t="str">
        <f t="shared" si="155"/>
        <v>Yes</v>
      </c>
      <c r="C785" t="s">
        <v>2473</v>
      </c>
      <c r="D785" t="s">
        <v>2490</v>
      </c>
      <c r="E785" t="s">
        <v>2537</v>
      </c>
      <c r="F785" t="s">
        <v>3690</v>
      </c>
      <c r="G785" t="str">
        <f>IF($H785="","",IFERROR(INDEX(_ENGINE_Risk!$H$5:$M$499,MATCH($E785,_ENGINE_Risk!$A$5:$A$499,0),$H785+1),""))</f>
        <v>Severe risk: customer communication channel diversity across email, phone, portal, SMS, account managers and social media is not reliably controlled. During Reputation crisis; Demand shock; IT outage, the organization may face loss of customer trust, reputational damage and inconsistent crisis communication with limited visibility or accountability.</v>
      </c>
      <c r="H785">
        <f>IFERROR(VALUE(INDEX(_DATA_Assessment_Model!$H$5:$H$884,MATCH($E785,_DATA_Assessment_Model!$A$5:$A$884,0))),"")</f>
        <v>0</v>
      </c>
      <c r="I785" t="str">
        <f>IF($H785="","",IFERROR(INDEX(_DATA_Assessment_Model!$L$5:$L$884,MATCH($E785,_DATA_Assessment_Model!$A$5:$A$884,0)),IF($H785&lt;=1,"Critical",IF($H785=2,"High",IF($H785=3,"Medium",IF($H785=4,"Low","Resilient"))))))</f>
        <v>Critical</v>
      </c>
      <c r="J785">
        <f t="shared" si="156"/>
        <v>3.6</v>
      </c>
      <c r="K785">
        <f t="shared" si="157"/>
        <v>4</v>
      </c>
      <c r="L785">
        <f t="shared" si="158"/>
        <v>14.4</v>
      </c>
      <c r="M785">
        <f t="shared" si="159"/>
        <v>3</v>
      </c>
      <c r="N785">
        <f>IF($H785="","",IFERROR(INDEX(_ENGINE_Risk!$T$5:$Y$499,MATCH($E785,_ENGINE_Risk!$A$5:$A$499,0),$H785+1),""))</f>
        <v>3</v>
      </c>
      <c r="O785">
        <f t="shared" si="160"/>
        <v>4.333333333333333</v>
      </c>
      <c r="P785">
        <f t="shared" si="161"/>
        <v>5</v>
      </c>
      <c r="Q785">
        <f t="shared" si="162"/>
        <v>5</v>
      </c>
      <c r="R785">
        <f t="shared" si="163"/>
        <v>4.5</v>
      </c>
      <c r="S785">
        <f t="shared" si="164"/>
        <v>1.57</v>
      </c>
      <c r="T785" t="str">
        <f>IF($H785="","",IFERROR(INDEX(_ENGINE_Risk!$N$5:$S$499,MATCH($E785,_ENGINE_Risk!$A$5:$A$499,0),$H785+1),""))</f>
        <v>Create an immediate risk owner, minimum control baseline and fallback procedure for customer communication channel diversity across email, phone, portal, SMS, account managers and social media. Add it to the crisis risk register and collect first evidence.</v>
      </c>
      <c r="U785">
        <f>IFERROR(INDEX(_DATA_Assessment_Model!$G$5:$G$884,MATCH($E785,_DATA_Assessment_Model!$A$5:$A$884,0)),"")</f>
        <v>4</v>
      </c>
      <c r="V785">
        <f>IFERROR(INDEX(_DATA_Assessment_Model!$W$5:$W$884,MATCH($E785,_DATA_Assessment_Model!$A$5:$A$884,0)),"")</f>
        <v>4</v>
      </c>
      <c r="W785">
        <f>IFERROR(INDEX(_DATA_Assessment_Model!$X$5:$X$884,MATCH($E785,_DATA_Assessment_Model!$A$5:$A$884,0)),"")</f>
        <v>5</v>
      </c>
      <c r="X785">
        <f>IFERROR(INDEX(_DATA_Assessment_Model!$Y$5:$Y$884,MATCH($E785,_DATA_Assessment_Model!$A$5:$A$884,0)),"")</f>
        <v>5</v>
      </c>
      <c r="Y785" t="s">
        <v>2486</v>
      </c>
      <c r="Z785" t="s">
        <v>8519</v>
      </c>
      <c r="AA785" t="s">
        <v>2539</v>
      </c>
      <c r="AB785">
        <f>IFERROR(INDEX(_DATA_Assessment_Model!$U$5:$U$884,MATCH($E785,_DATA_Assessment_Model!$A$5:$A$884,0)),"")</f>
        <v>0</v>
      </c>
      <c r="AF785" t="s">
        <v>2538</v>
      </c>
      <c r="AO785">
        <f>IF($B785="Yes",IF(IFERROR(INDEX(_ENGINE_Crisis!$F$501:$F$517,MATCH($C785,_ENGINE_Crisis!$A$501:$A$517,0)),1)=0,1,IFERROR(INDEX(_ENGINE_Crisis!$F$501:$F$517,MATCH($C785,_ENGINE_Crisis!$A$501:$A$517,0)),1)),"")</f>
        <v>1</v>
      </c>
      <c r="AP785">
        <f t="shared" si="165"/>
        <v>14.4</v>
      </c>
      <c r="AQ785">
        <f t="shared" si="166"/>
        <v>1.57</v>
      </c>
      <c r="AR785" t="str">
        <f>IFERROR(INDEX(_ENGINE_Crisis!$E$41:$E$700,MATCH('Resilience &amp; Risk Scenario'!$B$6&amp;"|"&amp;$C785,_ENGINE_Crisis!$I$41:$I$700,0)),"")</f>
        <v/>
      </c>
      <c r="AS785" t="str">
        <f>IFERROR(INDEX(_ENGINE_Crisis!$G$41:$G$700,MATCH('Resilience &amp; Risk Scenario'!$B$6&amp;"|"&amp;$C785,_ENGINE_Crisis!$I$41:$I$700,0)),"")</f>
        <v/>
      </c>
      <c r="AT785" t="str">
        <f>IFERROR(INDEX(_ENGINE_Initiatives!$A$5:$A$532,MATCH(1,INDEX((_ENGINE_Initiatives!$B$5:$B$532=$C785)*(_ENGINE_Initiatives!$C$5:$C$532=$D785),0),0)),"")</f>
        <v>INI-046</v>
      </c>
      <c r="AU785" t="str">
        <f>IFERROR(INDEX(_ENGINE_Initiatives!$F$5:$F$532,MATCH(1,INDEX((_ENGINE_Initiatives!$B$5:$B$532=$C785)*(_ENGINE_Initiatives!$C$5:$C$532=$D785),0),0)),"")</f>
        <v>Prepare crisis communication playbooks and customer notification flows</v>
      </c>
      <c r="AV785">
        <f>IFERROR(INDEX(_ENGINE_Initiatives!$AC$5:$AC$532,MATCH(1,INDEX((_ENGINE_Initiatives!$B$5:$B$532=$C785)*(_ENGINE_Initiatives!$C$5:$C$532=$D785),0),0)),"")</f>
        <v>1.71</v>
      </c>
      <c r="AW785" t="str">
        <f>IFERROR(INDEX(_ENGINE_Initiatives!$AE$5:$AE$532,MATCH(1,INDEX((_ENGINE_Initiatives!$B$5:$B$532=$C785)*(_ENGINE_Initiatives!$C$5:$C$532=$D785),0),0)),"")</f>
        <v>6-12 months</v>
      </c>
      <c r="AX785">
        <f>IF($B785="Yes",IFERROR((IF(SUMIFS(_REF_Model_Content!$E$1:$E$613,_REF_Model_Content!$A$1:$A$613,PV_Canonical_Industry,_REF_Model_Content!$B$1:$B$613,$C785)=0,1,SUMIFS(_REF_Model_Content!$E$1:$E$613,_REF_Model_Content!$A$1:$A$613,PV_Canonical_Industry,_REF_Model_Content!$B$1:$B$613,$C785))*IFERROR($BU785,1)),1),"")</f>
        <v>1</v>
      </c>
      <c r="AY785">
        <f t="shared" si="167"/>
        <v>14.4</v>
      </c>
      <c r="AZ785">
        <f t="shared" si="168"/>
        <v>1.57</v>
      </c>
      <c r="BB785" t="str">
        <f>IF($H785="","",IFERROR(INDEX(_ENGINE_Risk!$AE$5:$AE$499,MATCH($E785,_ENGINE_Risk!$A$5:$A$499,0)),"Medium"))</f>
        <v>Medium</v>
      </c>
      <c r="BC785">
        <f t="shared" si="169"/>
        <v>1</v>
      </c>
      <c r="BD785">
        <f t="shared" si="170"/>
        <v>1.57</v>
      </c>
      <c r="BF785">
        <f>IF(OR($H785="",$J785=""),"",IFERROR(VLOOKUP(ROUND($J785,0),_CONFIG_Model_Settings!$D$154:$E$158,2,0),""))</f>
        <v>0.5</v>
      </c>
      <c r="BG785">
        <f>IFERROR(IF(OR($H785="",$K785=""),"",ROUND('Company Profile'!$B$113*INDEX(_CONFIG_Model_Settings!$H$154:$H$158,MATCH(ROUND($K785,0),_CONFIG_Model_Settings!$G$154:$G$158,0)),0)),0)</f>
        <v>875</v>
      </c>
      <c r="BH785">
        <f t="shared" si="171"/>
        <v>437.5</v>
      </c>
      <c r="BI785">
        <f t="shared" si="172"/>
        <v>437.5</v>
      </c>
      <c r="BJ785">
        <f>IF($E785="","",IFERROR(VLOOKUP($C785,_CONFIG_Risk_Calibration!$A$5:$H$21,2,FALSE),3))</f>
        <v>3</v>
      </c>
      <c r="BK785">
        <f>IF($E785="","",IFERROR(VLOOKUP($C785,_CONFIG_Risk_Calibration!$A$5:$H$21,3,FALSE),0))</f>
        <v>0</v>
      </c>
      <c r="BL785">
        <f>IF($E785="","",IFERROR(VLOOKUP($C785,_CONFIG_Risk_Calibration!$A$5:$H$21,4,FALSE),3))</f>
        <v>3</v>
      </c>
      <c r="BM785">
        <f>IF($E785="","",IFERROR(VLOOKUP($C785,_CONFIG_Risk_Calibration!$A$5:$H$21,5,FALSE),3))</f>
        <v>2</v>
      </c>
      <c r="BN785" t="str">
        <f>IF($E785="","",IFERROR(VLOOKUP($C785,_CONFIG_Risk_Calibration!$A$5:$H$21,6,FALSE),"No"))</f>
        <v>No</v>
      </c>
      <c r="BO785">
        <f>IF($E785="","",IFERROR(VLOOKUP($C785,_CONFIG_Risk_Calibration!$A$5:$H$21,7,FALSE),1))</f>
        <v>1</v>
      </c>
      <c r="BP785">
        <f>IF($H785="","",MAX(1,MIN(5,((6-$H785)*0.45)+($BJ785*0.2)+('Resilience &amp; Risk Scenario'!$B$7*0.15)+($BK785*0.1)+($BL785*0.05)+(IF($BB785="Fast",5,IF($BB785="Slow",1,3))*0.05))))</f>
        <v>3.6</v>
      </c>
      <c r="BQ785">
        <f t="shared" si="173"/>
        <v>4</v>
      </c>
      <c r="BR785">
        <f t="shared" si="174"/>
        <v>14.4</v>
      </c>
      <c r="BS785">
        <f t="shared" si="175"/>
        <v>12.96</v>
      </c>
      <c r="BT785" t="str">
        <f>IFERROR(INDEX(_REF_Capability_Bridge!$D:$D,MATCH($C785&amp;"|"&amp;$D785,_REF_Capability_Bridge!$J:$J,0)),IFERROR(INDEX(_REF_Capability_Bridge!$D:$D,MATCH($C785&amp;"|",_REF_Capability_Bridge!$J:$J,0)),"CAP_GENERIC"))</f>
        <v>CAP_CUSTOMER_COMMUNICATION</v>
      </c>
      <c r="BU785">
        <f>IFERROR(IFERROR(INDEX(_ENGINE_Relevance!$L:$L,MATCH($BT785,_ENGINE_Relevance!$B:$B,0)),1),1)</f>
        <v>1</v>
      </c>
      <c r="BV785" t="str">
        <f>IFERROR(INDEX(_REF_Capability_Bridge!$A:$A,MATCH($C785&amp;"|"&amp;$D785,_REF_Capability_Bridge!$J:$J,0)),IFERROR(INDEX(_REF_Capability_Bridge!$A:$A,MATCH($C785&amp;"|",_REF_Capability_Bridge!$J:$J,0)),"No bridge"))</f>
        <v>BRG-062</v>
      </c>
      <c r="BW785" t="str">
        <f t="shared" si="176"/>
        <v>Capability relevance neutral</v>
      </c>
      <c r="BX785" t="str">
        <f t="shared" si="177"/>
        <v>Initial / absent</v>
      </c>
      <c r="BY785" t="str">
        <f>IF($E785="","",IFERROR(INDEX(_REF_Treatment_Library!$A$2:$A$296,MATCH(1,INDEX((_REF_Treatment_Library!$B$2:$B$296=$BT785)*(_REF_Treatment_Library!$C$2:$C$296=PV_Canonical_Industry)*(_REF_Treatment_Library!$E$2:$E$296&lt;=N($H785))*(_REF_Treatment_Library!$F$2:$F$296&gt;=N($H785))*(_REF_Treatment_Library!$O$2:$O$296="Yes"),0),0)),IFERROR(INDEX(_REF_Treatment_Library!$A$2:$A$296,MATCH(1,INDEX((_REF_Treatment_Library!$B$2:$B$296=$BT785)*(_REF_Treatment_Library!$C$2:$C$296="All")*(_REF_Treatment_Library!$E$2:$E$296&lt;=N($H785))*(_REF_Treatment_Library!$F$2:$F$296&gt;=N($H785))*(_REF_Treatment_Library!$O$2:$O$296="Yes"),0),0)),"")))</f>
        <v>TRT-CUSTOMER_COMMUNICATION-INITIAL</v>
      </c>
      <c r="BZ785" t="str">
        <f>IF($BY785="","",IFERROR(INDEX(_REF_Treatment_Library!$H$2:$H$296,MATCH($BY785,_REF_Treatment_Library!$A$2:$A$296,0)),""))</f>
        <v>Establish</v>
      </c>
      <c r="CA785" t="str">
        <f>IF($BY785="","",IFERROR(INDEX(_REF_Treatment_Library!$I$2:$I$296,MATCH($BY785,_REF_Treatment_Library!$A$2:$A$296,0)),""))</f>
        <v>Establish baseline controls for Customer communication</v>
      </c>
      <c r="CB785" t="str">
        <f>IF($BY785="","",IFERROR(INDEX(_REF_Treatment_Library!$K$2:$K$296,MATCH($BY785,_REF_Treatment_Library!$A$2:$A$296,0)),""))</f>
        <v>Named owner, baseline process, minimum control checklist, first evidence package</v>
      </c>
      <c r="CC785" t="str">
        <f>IF($BY785="","",IFERROR(INDEX(_REF_Treatment_Library!$L$2:$L$296,MATCH($BY785,_REF_Treatment_Library!$A$2:$A$296,0)),""))</f>
        <v>Owner assigned; baseline evidence coverage; open critical gaps</v>
      </c>
      <c r="CD785" t="str">
        <f t="shared" si="178"/>
        <v>Treatment by capability=CAP_CUSTOMER_COMMUNICATION; band=Initial / absent; score=0.0; treatment=Establish</v>
      </c>
      <c r="CE785" t="str">
        <f>IF($E785="","",IFERROR(INDEX(_REF_Industry_Wording!$A$2:$A$70,MATCH(1,INDEX((_REF_Industry_Wording!$B$2:$B$70=$BT785)*(_REF_Industry_Wording!$C$2:$C$70=PV_Canonical_Industry)*(_REF_Industry_Wording!$K$2:$K$70="Yes"),0),0)),IFERROR(INDEX(_REF_Industry_Wording!$A$2:$A$70,MATCH(1,INDEX((_REF_Industry_Wording!$B$2:$B$70=$BT785)*(_REF_Industry_Wording!$C$2:$C$70="All")*(_REF_Industry_Wording!$K$2:$K$70="Yes"),0),0)),"")))</f>
        <v>IW-ALL-CUSTOMER_COMMUNICATION</v>
      </c>
      <c r="CF785" t="str">
        <f>IF($CE785="","",IFERROR(INDEX(_REF_Industry_Wording!$E$2:$E$70,MATCH($CE785,_REF_Industry_Wording!$A$2:$A$70,0)),""))</f>
        <v>Customer communication weakness</v>
      </c>
      <c r="CG785" t="str">
        <f>IF($CE785="","",IFERROR(INDEX(_REF_Industry_Wording!$F$2:$F$70,MATCH($CE785,_REF_Industry_Wording!$A$2:$A$70,0)),""))</f>
        <v>Strengthen Customer communication</v>
      </c>
      <c r="CH785" t="str">
        <f>IF($CE785="","",IFERROR(INDEX(_REF_Industry_Wording!$G$2:$G$70,MATCH($CE785,_REF_Industry_Wording!$A$2:$A$70,0)),""))</f>
        <v>Strengthen Customer communication using the selected maturity treatment, crisis scenario and evidence requirements.</v>
      </c>
      <c r="CI785" t="str">
        <f>IF($CE785="","",IFERROR(INDEX(_REF_Industry_Wording!$H$2:$H$70,MATCH($CE785,_REF_Industry_Wording!$A$2:$A$70,0)),""))</f>
        <v>Customer communication</v>
      </c>
      <c r="CJ785">
        <f>IF($CE785="","",IFERROR(INDEX(_REF_Industry_Wording!$I$2:$I$70,MATCH($CE785,_REF_Industry_Wording!$A$2:$A$70,0)),""))</f>
        <v>0</v>
      </c>
      <c r="CK785" t="str">
        <f>IF($CE785="","",IFERROR(INDEX(_REF_Industry_Wording!$J$2:$J$70,MATCH($CE785,_REF_Industry_Wording!$A$2:$A$70,0)),""))</f>
        <v>Customer communication</v>
      </c>
      <c r="CL785" t="str">
        <f t="shared" si="179"/>
        <v>Wording by industry=0; capability=CAP_CUSTOMER_COMMUNICATION; risk label=Customer communication weakness</v>
      </c>
      <c r="CM785" t="str">
        <f t="shared" si="180"/>
        <v>RISK-ONT-0286</v>
      </c>
      <c r="CN785" t="str">
        <f t="shared" si="181"/>
        <v>RISK-EVT-0286</v>
      </c>
      <c r="CO785" t="str">
        <f t="shared" si="182"/>
        <v>Marketing Comms|Crisis communication|MARK-010|CAP_CUSTOMER_COMMUNICATION</v>
      </c>
      <c r="CP785" t="str">
        <f t="shared" si="183"/>
        <v>Active</v>
      </c>
      <c r="CQ785" t="str">
        <f t="shared" si="184"/>
        <v>OK: capability-driven</v>
      </c>
      <c r="CR785" t="str">
        <f t="shared" si="185"/>
        <v>Risk ontology uses capability=CAP_CUSTOMER_COMMUNICATION; bridge=BRG-062; treatment=TRT-CUSTOMER_COMMUNICATION-INITIAL; wording=IW-ALL-CUSTOMER_COMMUNICATION</v>
      </c>
      <c r="CS785" t="str">
        <f t="shared" si="186"/>
        <v>Yes</v>
      </c>
    </row>
    <row r="786" spans="1:97" ht="69.900000000000006" customHeight="1">
      <c r="A786">
        <f>IF(OR($B786&lt;&gt;"Yes",$BS786=""),"",SUMPRODUCT(($B$500:$B$923="Yes")*ISNUMBER($BS$500:$BS$923)*($BS$500:$BS$923&gt;$BS786))+COUNTIFS($B$500:$B786,"Yes",$BS$500:$BS786,$BS786))</f>
        <v>380</v>
      </c>
      <c r="B786" t="str">
        <f t="shared" si="155"/>
        <v>Yes</v>
      </c>
      <c r="C786" t="s">
        <v>2473</v>
      </c>
      <c r="D786" t="s">
        <v>2490</v>
      </c>
      <c r="E786" t="s">
        <v>2546</v>
      </c>
      <c r="F786" t="s">
        <v>3690</v>
      </c>
      <c r="G786" t="str">
        <f>IF($H786="","",IFERROR(INDEX(_ENGINE_Risk!$H$5:$M$499,MATCH($E786,_ENGINE_Risk!$A$5:$A$499,0),$H786+1),""))</f>
        <v>Severe risk: misinformation, impersonation, fake invoice and brand-abuse response process is not reliably controlled. During Reputation crisis; Demand shock; IT outage, the organization may face loss of customer trust, reputational damage and inconsistent crisis communication with limited visibility or accountability.</v>
      </c>
      <c r="H786">
        <f>IFERROR(VALUE(INDEX(_DATA_Assessment_Model!$H$5:$H$884,MATCH($E786,_DATA_Assessment_Model!$A$5:$A$884,0))),"")</f>
        <v>0</v>
      </c>
      <c r="I786" t="str">
        <f>IF($H786="","",IFERROR(INDEX(_DATA_Assessment_Model!$L$5:$L$884,MATCH($E786,_DATA_Assessment_Model!$A$5:$A$884,0)),IF($H786&lt;=1,"Critical",IF($H786=2,"High",IF($H786=3,"Medium",IF($H786=4,"Low","Resilient"))))))</f>
        <v>Critical</v>
      </c>
      <c r="J786">
        <f t="shared" si="156"/>
        <v>3.6</v>
      </c>
      <c r="K786">
        <f t="shared" si="157"/>
        <v>3.8</v>
      </c>
      <c r="L786">
        <f t="shared" si="158"/>
        <v>13.68</v>
      </c>
      <c r="M786">
        <f t="shared" si="159"/>
        <v>3</v>
      </c>
      <c r="N786">
        <f>IF($H786="","",IFERROR(INDEX(_ENGINE_Risk!$T$5:$Y$499,MATCH($E786,_ENGINE_Risk!$A$5:$A$499,0),$H786+1),""))</f>
        <v>3</v>
      </c>
      <c r="O786">
        <f t="shared" si="160"/>
        <v>4</v>
      </c>
      <c r="P786">
        <f t="shared" si="161"/>
        <v>5</v>
      </c>
      <c r="Q786">
        <f t="shared" si="162"/>
        <v>5</v>
      </c>
      <c r="R786">
        <f t="shared" si="163"/>
        <v>4.5</v>
      </c>
      <c r="S786">
        <f t="shared" si="164"/>
        <v>1.54</v>
      </c>
      <c r="T786" t="str">
        <f>IF($H786="","",IFERROR(INDEX(_ENGINE_Risk!$N$5:$S$499,MATCH($E786,_ENGINE_Risk!$A$5:$A$499,0),$H786+1),""))</f>
        <v>Create an immediate risk owner, minimum control baseline and fallback procedure for misinformation, impersonation, fake invoice and brand-abuse response process. Add it to the crisis risk register and collect first evidence.</v>
      </c>
      <c r="U786">
        <f>IFERROR(INDEX(_DATA_Assessment_Model!$G$5:$G$884,MATCH($E786,_DATA_Assessment_Model!$A$5:$A$884,0)),"")</f>
        <v>3</v>
      </c>
      <c r="V786">
        <f>IFERROR(INDEX(_DATA_Assessment_Model!$W$5:$W$884,MATCH($E786,_DATA_Assessment_Model!$A$5:$A$884,0)),"")</f>
        <v>4</v>
      </c>
      <c r="W786">
        <f>IFERROR(INDEX(_DATA_Assessment_Model!$X$5:$X$884,MATCH($E786,_DATA_Assessment_Model!$A$5:$A$884,0)),"")</f>
        <v>5</v>
      </c>
      <c r="X786">
        <f>IFERROR(INDEX(_DATA_Assessment_Model!$Y$5:$Y$884,MATCH($E786,_DATA_Assessment_Model!$A$5:$A$884,0)),"")</f>
        <v>5</v>
      </c>
      <c r="Y786" t="s">
        <v>2486</v>
      </c>
      <c r="Z786" t="s">
        <v>8519</v>
      </c>
      <c r="AA786" t="s">
        <v>2548</v>
      </c>
      <c r="AB786">
        <f>IFERROR(INDEX(_DATA_Assessment_Model!$U$5:$U$884,MATCH($E786,_DATA_Assessment_Model!$A$5:$A$884,0)),"")</f>
        <v>0</v>
      </c>
      <c r="AF786" t="s">
        <v>2547</v>
      </c>
      <c r="AO786">
        <f>IF($B786="Yes",IF(IFERROR(INDEX(_ENGINE_Crisis!$F$501:$F$517,MATCH($C786,_ENGINE_Crisis!$A$501:$A$517,0)),1)=0,1,IFERROR(INDEX(_ENGINE_Crisis!$F$501:$F$517,MATCH($C786,_ENGINE_Crisis!$A$501:$A$517,0)),1)),"")</f>
        <v>1</v>
      </c>
      <c r="AP786">
        <f t="shared" si="165"/>
        <v>13.7</v>
      </c>
      <c r="AQ786">
        <f t="shared" si="166"/>
        <v>1.54</v>
      </c>
      <c r="AR786" t="str">
        <f>IFERROR(INDEX(_ENGINE_Crisis!$E$41:$E$700,MATCH('Resilience &amp; Risk Scenario'!$B$6&amp;"|"&amp;$C786,_ENGINE_Crisis!$I$41:$I$700,0)),"")</f>
        <v/>
      </c>
      <c r="AS786" t="str">
        <f>IFERROR(INDEX(_ENGINE_Crisis!$G$41:$G$700,MATCH('Resilience &amp; Risk Scenario'!$B$6&amp;"|"&amp;$C786,_ENGINE_Crisis!$I$41:$I$700,0)),"")</f>
        <v/>
      </c>
      <c r="AT786" t="str">
        <f>IFERROR(INDEX(_ENGINE_Initiatives!$A$5:$A$532,MATCH(1,INDEX((_ENGINE_Initiatives!$B$5:$B$532=$C786)*(_ENGINE_Initiatives!$C$5:$C$532=$D786),0),0)),"")</f>
        <v>INI-046</v>
      </c>
      <c r="AU786" t="str">
        <f>IFERROR(INDEX(_ENGINE_Initiatives!$F$5:$F$532,MATCH(1,INDEX((_ENGINE_Initiatives!$B$5:$B$532=$C786)*(_ENGINE_Initiatives!$C$5:$C$532=$D786),0),0)),"")</f>
        <v>Prepare crisis communication playbooks and customer notification flows</v>
      </c>
      <c r="AV786">
        <f>IFERROR(INDEX(_ENGINE_Initiatives!$AC$5:$AC$532,MATCH(1,INDEX((_ENGINE_Initiatives!$B$5:$B$532=$C786)*(_ENGINE_Initiatives!$C$5:$C$532=$D786),0),0)),"")</f>
        <v>1.71</v>
      </c>
      <c r="AW786" t="str">
        <f>IFERROR(INDEX(_ENGINE_Initiatives!$AE$5:$AE$532,MATCH(1,INDEX((_ENGINE_Initiatives!$B$5:$B$532=$C786)*(_ENGINE_Initiatives!$C$5:$C$532=$D786),0),0)),"")</f>
        <v>6-12 months</v>
      </c>
      <c r="AX786">
        <f>IF($B786="Yes",IFERROR((IF(SUMIFS(_REF_Model_Content!$E$1:$E$613,_REF_Model_Content!$A$1:$A$613,PV_Canonical_Industry,_REF_Model_Content!$B$1:$B$613,$C786)=0,1,SUMIFS(_REF_Model_Content!$E$1:$E$613,_REF_Model_Content!$A$1:$A$613,PV_Canonical_Industry,_REF_Model_Content!$B$1:$B$613,$C786))*IFERROR($BU786,1)),1),"")</f>
        <v>1</v>
      </c>
      <c r="AY786">
        <f t="shared" si="167"/>
        <v>13.7</v>
      </c>
      <c r="AZ786">
        <f t="shared" si="168"/>
        <v>1.54</v>
      </c>
      <c r="BB786" t="str">
        <f>IF($H786="","",IFERROR(INDEX(_ENGINE_Risk!$AE$5:$AE$499,MATCH($E786,_ENGINE_Risk!$A$5:$A$499,0)),"Medium"))</f>
        <v>Medium</v>
      </c>
      <c r="BC786">
        <f t="shared" si="169"/>
        <v>1</v>
      </c>
      <c r="BD786">
        <f t="shared" si="170"/>
        <v>1.54</v>
      </c>
      <c r="BF786">
        <f>IF(OR($H786="",$J786=""),"",IFERROR(VLOOKUP(ROUND($J786,0),_CONFIG_Model_Settings!$D$154:$E$158,2,0),""))</f>
        <v>0.5</v>
      </c>
      <c r="BG786">
        <f>IFERROR(IF(OR($H786="",$K786=""),"",ROUND('Company Profile'!$B$113*INDEX(_CONFIG_Model_Settings!$H$154:$H$158,MATCH(ROUND($K786,0),_CONFIG_Model_Settings!$G$154:$G$158,0)),0)),0)</f>
        <v>875</v>
      </c>
      <c r="BH786">
        <f t="shared" si="171"/>
        <v>437.5</v>
      </c>
      <c r="BI786">
        <f t="shared" si="172"/>
        <v>437.5</v>
      </c>
      <c r="BJ786">
        <f>IF($E786="","",IFERROR(VLOOKUP($C786,_CONFIG_Risk_Calibration!$A$5:$H$21,2,FALSE),3))</f>
        <v>3</v>
      </c>
      <c r="BK786">
        <f>IF($E786="","",IFERROR(VLOOKUP($C786,_CONFIG_Risk_Calibration!$A$5:$H$21,3,FALSE),0))</f>
        <v>0</v>
      </c>
      <c r="BL786">
        <f>IF($E786="","",IFERROR(VLOOKUP($C786,_CONFIG_Risk_Calibration!$A$5:$H$21,4,FALSE),3))</f>
        <v>3</v>
      </c>
      <c r="BM786">
        <f>IF($E786="","",IFERROR(VLOOKUP($C786,_CONFIG_Risk_Calibration!$A$5:$H$21,5,FALSE),3))</f>
        <v>2</v>
      </c>
      <c r="BN786" t="str">
        <f>IF($E786="","",IFERROR(VLOOKUP($C786,_CONFIG_Risk_Calibration!$A$5:$H$21,6,FALSE),"No"))</f>
        <v>No</v>
      </c>
      <c r="BO786">
        <f>IF($E786="","",IFERROR(VLOOKUP($C786,_CONFIG_Risk_Calibration!$A$5:$H$21,7,FALSE),1))</f>
        <v>1</v>
      </c>
      <c r="BP786">
        <f>IF($H786="","",MAX(1,MIN(5,((6-$H786)*0.45)+($BJ786*0.2)+('Resilience &amp; Risk Scenario'!$B$7*0.15)+($BK786*0.1)+($BL786*0.05)+(IF($BB786="Fast",5,IF($BB786="Slow",1,3))*0.05))))</f>
        <v>3.6</v>
      </c>
      <c r="BQ786">
        <f t="shared" si="173"/>
        <v>3.8</v>
      </c>
      <c r="BR786">
        <f t="shared" si="174"/>
        <v>13.68</v>
      </c>
      <c r="BS786">
        <f t="shared" si="175"/>
        <v>12.31</v>
      </c>
      <c r="BT786" t="str">
        <f>IFERROR(INDEX(_REF_Capability_Bridge!$D:$D,MATCH($C786&amp;"|"&amp;$D786,_REF_Capability_Bridge!$J:$J,0)),IFERROR(INDEX(_REF_Capability_Bridge!$D:$D,MATCH($C786&amp;"|",_REF_Capability_Bridge!$J:$J,0)),"CAP_GENERIC"))</f>
        <v>CAP_CUSTOMER_COMMUNICATION</v>
      </c>
      <c r="BU786">
        <f>IFERROR(IFERROR(INDEX(_ENGINE_Relevance!$L:$L,MATCH($BT786,_ENGINE_Relevance!$B:$B,0)),1),1)</f>
        <v>1</v>
      </c>
      <c r="BV786" t="str">
        <f>IFERROR(INDEX(_REF_Capability_Bridge!$A:$A,MATCH($C786&amp;"|"&amp;$D786,_REF_Capability_Bridge!$J:$J,0)),IFERROR(INDEX(_REF_Capability_Bridge!$A:$A,MATCH($C786&amp;"|",_REF_Capability_Bridge!$J:$J,0)),"No bridge"))</f>
        <v>BRG-062</v>
      </c>
      <c r="BW786" t="str">
        <f t="shared" si="176"/>
        <v>Capability relevance neutral</v>
      </c>
      <c r="BX786" t="str">
        <f t="shared" si="177"/>
        <v>Initial / absent</v>
      </c>
      <c r="BY786" t="str">
        <f>IF($E786="","",IFERROR(INDEX(_REF_Treatment_Library!$A$2:$A$296,MATCH(1,INDEX((_REF_Treatment_Library!$B$2:$B$296=$BT786)*(_REF_Treatment_Library!$C$2:$C$296=PV_Canonical_Industry)*(_REF_Treatment_Library!$E$2:$E$296&lt;=N($H786))*(_REF_Treatment_Library!$F$2:$F$296&gt;=N($H786))*(_REF_Treatment_Library!$O$2:$O$296="Yes"),0),0)),IFERROR(INDEX(_REF_Treatment_Library!$A$2:$A$296,MATCH(1,INDEX((_REF_Treatment_Library!$B$2:$B$296=$BT786)*(_REF_Treatment_Library!$C$2:$C$296="All")*(_REF_Treatment_Library!$E$2:$E$296&lt;=N($H786))*(_REF_Treatment_Library!$F$2:$F$296&gt;=N($H786))*(_REF_Treatment_Library!$O$2:$O$296="Yes"),0),0)),"")))</f>
        <v>TRT-CUSTOMER_COMMUNICATION-INITIAL</v>
      </c>
      <c r="BZ786" t="str">
        <f>IF($BY786="","",IFERROR(INDEX(_REF_Treatment_Library!$H$2:$H$296,MATCH($BY786,_REF_Treatment_Library!$A$2:$A$296,0)),""))</f>
        <v>Establish</v>
      </c>
      <c r="CA786" t="str">
        <f>IF($BY786="","",IFERROR(INDEX(_REF_Treatment_Library!$I$2:$I$296,MATCH($BY786,_REF_Treatment_Library!$A$2:$A$296,0)),""))</f>
        <v>Establish baseline controls for Customer communication</v>
      </c>
      <c r="CB786" t="str">
        <f>IF($BY786="","",IFERROR(INDEX(_REF_Treatment_Library!$K$2:$K$296,MATCH($BY786,_REF_Treatment_Library!$A$2:$A$296,0)),""))</f>
        <v>Named owner, baseline process, minimum control checklist, first evidence package</v>
      </c>
      <c r="CC786" t="str">
        <f>IF($BY786="","",IFERROR(INDEX(_REF_Treatment_Library!$L$2:$L$296,MATCH($BY786,_REF_Treatment_Library!$A$2:$A$296,0)),""))</f>
        <v>Owner assigned; baseline evidence coverage; open critical gaps</v>
      </c>
      <c r="CD786" t="str">
        <f t="shared" si="178"/>
        <v>Treatment by capability=CAP_CUSTOMER_COMMUNICATION; band=Initial / absent; score=0.0; treatment=Establish</v>
      </c>
      <c r="CE786" t="str">
        <f>IF($E786="","",IFERROR(INDEX(_REF_Industry_Wording!$A$2:$A$70,MATCH(1,INDEX((_REF_Industry_Wording!$B$2:$B$70=$BT786)*(_REF_Industry_Wording!$C$2:$C$70=PV_Canonical_Industry)*(_REF_Industry_Wording!$K$2:$K$70="Yes"),0),0)),IFERROR(INDEX(_REF_Industry_Wording!$A$2:$A$70,MATCH(1,INDEX((_REF_Industry_Wording!$B$2:$B$70=$BT786)*(_REF_Industry_Wording!$C$2:$C$70="All")*(_REF_Industry_Wording!$K$2:$K$70="Yes"),0),0)),"")))</f>
        <v>IW-ALL-CUSTOMER_COMMUNICATION</v>
      </c>
      <c r="CF786" t="str">
        <f>IF($CE786="","",IFERROR(INDEX(_REF_Industry_Wording!$E$2:$E$70,MATCH($CE786,_REF_Industry_Wording!$A$2:$A$70,0)),""))</f>
        <v>Customer communication weakness</v>
      </c>
      <c r="CG786" t="str">
        <f>IF($CE786="","",IFERROR(INDEX(_REF_Industry_Wording!$F$2:$F$70,MATCH($CE786,_REF_Industry_Wording!$A$2:$A$70,0)),""))</f>
        <v>Strengthen Customer communication</v>
      </c>
      <c r="CH786" t="str">
        <f>IF($CE786="","",IFERROR(INDEX(_REF_Industry_Wording!$G$2:$G$70,MATCH($CE786,_REF_Industry_Wording!$A$2:$A$70,0)),""))</f>
        <v>Strengthen Customer communication using the selected maturity treatment, crisis scenario and evidence requirements.</v>
      </c>
      <c r="CI786" t="str">
        <f>IF($CE786="","",IFERROR(INDEX(_REF_Industry_Wording!$H$2:$H$70,MATCH($CE786,_REF_Industry_Wording!$A$2:$A$70,0)),""))</f>
        <v>Customer communication</v>
      </c>
      <c r="CJ786">
        <f>IF($CE786="","",IFERROR(INDEX(_REF_Industry_Wording!$I$2:$I$70,MATCH($CE786,_REF_Industry_Wording!$A$2:$A$70,0)),""))</f>
        <v>0</v>
      </c>
      <c r="CK786" t="str">
        <f>IF($CE786="","",IFERROR(INDEX(_REF_Industry_Wording!$J$2:$J$70,MATCH($CE786,_REF_Industry_Wording!$A$2:$A$70,0)),""))</f>
        <v>Customer communication</v>
      </c>
      <c r="CL786" t="str">
        <f t="shared" si="179"/>
        <v>Wording by industry=0; capability=CAP_CUSTOMER_COMMUNICATION; risk label=Customer communication weakness</v>
      </c>
      <c r="CM786" t="str">
        <f t="shared" si="180"/>
        <v>RISK-ONT-0287</v>
      </c>
      <c r="CN786" t="str">
        <f t="shared" si="181"/>
        <v>RISK-EVT-0287</v>
      </c>
      <c r="CO786" t="str">
        <f t="shared" si="182"/>
        <v>Marketing Comms|Crisis communication|MARK-011|CAP_CUSTOMER_COMMUNICATION</v>
      </c>
      <c r="CP786" t="str">
        <f t="shared" si="183"/>
        <v>Active</v>
      </c>
      <c r="CQ786" t="str">
        <f t="shared" si="184"/>
        <v>OK: capability-driven</v>
      </c>
      <c r="CR786" t="str">
        <f t="shared" si="185"/>
        <v>Risk ontology uses capability=CAP_CUSTOMER_COMMUNICATION; bridge=BRG-062; treatment=TRT-CUSTOMER_COMMUNICATION-INITIAL; wording=IW-ALL-CUSTOMER_COMMUNICATION</v>
      </c>
      <c r="CS786" t="str">
        <f t="shared" si="186"/>
        <v>Yes</v>
      </c>
    </row>
    <row r="787" spans="1:97" ht="69.900000000000006" customHeight="1">
      <c r="A787">
        <f>IF(OR($B787&lt;&gt;"Yes",$BS787=""),"",SUMPRODUCT(($B$500:$B$923="Yes")*ISNUMBER($BS$500:$BS$923)*($BS$500:$BS$923&gt;$BS787))+COUNTIFS($B$500:$B787,"Yes",$BS$500:$BS787,$BS787))</f>
        <v>353</v>
      </c>
      <c r="B787" t="str">
        <f t="shared" si="155"/>
        <v>Yes</v>
      </c>
      <c r="C787" t="s">
        <v>2473</v>
      </c>
      <c r="D787" t="s">
        <v>2494</v>
      </c>
      <c r="E787" t="s">
        <v>2555</v>
      </c>
      <c r="F787" t="s">
        <v>3690</v>
      </c>
      <c r="G787" t="str">
        <f>IF($H787="","",IFERROR(INDEX(_ENGINE_Risk!$H$5:$M$499,MATCH($E787,_ENGINE_Risk!$A$5:$A$499,0),$H787+1),""))</f>
        <v>Severe risk: critical marketing and communication asset access if cloud tools or key people are unavailable is not reliably controlled. During Reputation crisis; Demand shock; IT outage, the organization may face loss of customer trust, reputational damage and inconsistent crisis communication with limited visibility or accountability.</v>
      </c>
      <c r="H787">
        <f>IFERROR(VALUE(INDEX(_DATA_Assessment_Model!$H$5:$H$884,MATCH($E787,_DATA_Assessment_Model!$A$5:$A$884,0))),"")</f>
        <v>0</v>
      </c>
      <c r="I787" t="str">
        <f>IF($H787="","",IFERROR(INDEX(_DATA_Assessment_Model!$L$5:$L$884,MATCH($E787,_DATA_Assessment_Model!$A$5:$A$884,0)),IF($H787&lt;=1,"Critical",IF($H787=2,"High",IF($H787=3,"Medium",IF($H787=4,"Low","Resilient"))))))</f>
        <v>Critical</v>
      </c>
      <c r="J787">
        <f t="shared" si="156"/>
        <v>3.6</v>
      </c>
      <c r="K787">
        <f t="shared" si="157"/>
        <v>4.3499999999999996</v>
      </c>
      <c r="L787">
        <f t="shared" si="158"/>
        <v>15.659999999999998</v>
      </c>
      <c r="M787">
        <f t="shared" si="159"/>
        <v>4</v>
      </c>
      <c r="N787">
        <f>IF($H787="","",IFERROR(INDEX(_ENGINE_Risk!$T$5:$Y$499,MATCH($E787,_ENGINE_Risk!$A$5:$A$499,0),$H787+1),""))</f>
        <v>3</v>
      </c>
      <c r="O787">
        <f t="shared" si="160"/>
        <v>5</v>
      </c>
      <c r="P787">
        <f t="shared" si="161"/>
        <v>5</v>
      </c>
      <c r="Q787">
        <f t="shared" si="162"/>
        <v>5</v>
      </c>
      <c r="R787">
        <f t="shared" si="163"/>
        <v>5</v>
      </c>
      <c r="S787">
        <f t="shared" si="164"/>
        <v>1.67</v>
      </c>
      <c r="T787" t="str">
        <f>IF($H787="","",IFERROR(INDEX(_ENGINE_Risk!$N$5:$S$499,MATCH($E787,_ENGINE_Risk!$A$5:$A$499,0),$H787+1),""))</f>
        <v>Create an immediate risk owner, minimum control baseline and fallback procedure for critical marketing and communication asset access if cloud tools or key people are unavailable. Add it to the crisis risk register and collect first evidence.</v>
      </c>
      <c r="U787">
        <f>IFERROR(INDEX(_DATA_Assessment_Model!$G$5:$G$884,MATCH($E787,_DATA_Assessment_Model!$A$5:$A$884,0)),"")</f>
        <v>5</v>
      </c>
      <c r="V787">
        <f>IFERROR(INDEX(_DATA_Assessment_Model!$W$5:$W$884,MATCH($E787,_DATA_Assessment_Model!$A$5:$A$884,0)),"")</f>
        <v>5</v>
      </c>
      <c r="W787">
        <f>IFERROR(INDEX(_DATA_Assessment_Model!$X$5:$X$884,MATCH($E787,_DATA_Assessment_Model!$A$5:$A$884,0)),"")</f>
        <v>5</v>
      </c>
      <c r="X787">
        <f>IFERROR(INDEX(_DATA_Assessment_Model!$Y$5:$Y$884,MATCH($E787,_DATA_Assessment_Model!$A$5:$A$884,0)),"")</f>
        <v>5</v>
      </c>
      <c r="Y787" t="s">
        <v>2486</v>
      </c>
      <c r="Z787" t="s">
        <v>8519</v>
      </c>
      <c r="AA787" t="s">
        <v>2557</v>
      </c>
      <c r="AB787">
        <f>IFERROR(INDEX(_DATA_Assessment_Model!$U$5:$U$884,MATCH($E787,_DATA_Assessment_Model!$A$5:$A$884,0)),"")</f>
        <v>0</v>
      </c>
      <c r="AF787" t="s">
        <v>2556</v>
      </c>
      <c r="AO787">
        <f>IF($B787="Yes",IF(IFERROR(INDEX(_ENGINE_Crisis!$F$501:$F$517,MATCH($C787,_ENGINE_Crisis!$A$501:$A$517,0)),1)=0,1,IFERROR(INDEX(_ENGINE_Crisis!$F$501:$F$517,MATCH($C787,_ENGINE_Crisis!$A$501:$A$517,0)),1)),"")</f>
        <v>1</v>
      </c>
      <c r="AP787">
        <f t="shared" si="165"/>
        <v>15.7</v>
      </c>
      <c r="AQ787">
        <f t="shared" si="166"/>
        <v>1.67</v>
      </c>
      <c r="AR787" t="str">
        <f>IFERROR(INDEX(_ENGINE_Crisis!$E$41:$E$700,MATCH('Resilience &amp; Risk Scenario'!$B$6&amp;"|"&amp;$C787,_ENGINE_Crisis!$I$41:$I$700,0)),"")</f>
        <v/>
      </c>
      <c r="AS787" t="str">
        <f>IFERROR(INDEX(_ENGINE_Crisis!$G$41:$G$700,MATCH('Resilience &amp; Risk Scenario'!$B$6&amp;"|"&amp;$C787,_ENGINE_Crisis!$I$41:$I$700,0)),"")</f>
        <v/>
      </c>
      <c r="AT787" t="str">
        <f>IFERROR(INDEX(_ENGINE_Initiatives!$A$5:$A$532,MATCH(1,INDEX((_ENGINE_Initiatives!$B$5:$B$532=$C787)*(_ENGINE_Initiatives!$C$5:$C$532=$D787),0),0)),"")</f>
        <v>INI-047</v>
      </c>
      <c r="AU787" t="str">
        <f>IFERROR(INDEX(_ENGINE_Initiatives!$F$5:$F$532,MATCH(1,INDEX((_ENGINE_Initiatives!$B$5:$B$532=$C787)*(_ENGINE_Initiatives!$C$5:$C$532=$D787),0),0)),"")</f>
        <v>Standardize marketing operations, content and analytics cadence</v>
      </c>
      <c r="AV787">
        <f>IFERROR(INDEX(_ENGINE_Initiatives!$AC$5:$AC$532,MATCH(1,INDEX((_ENGINE_Initiatives!$B$5:$B$532=$C787)*(_ENGINE_Initiatives!$C$5:$C$532=$D787),0),0)),"")</f>
        <v>1.71</v>
      </c>
      <c r="AW787" t="str">
        <f>IFERROR(INDEX(_ENGINE_Initiatives!$AE$5:$AE$532,MATCH(1,INDEX((_ENGINE_Initiatives!$B$5:$B$532=$C787)*(_ENGINE_Initiatives!$C$5:$C$532=$D787),0),0)),"")</f>
        <v>6-12 months</v>
      </c>
      <c r="AX787">
        <f>IF($B787="Yes",IFERROR((IF(SUMIFS(_REF_Model_Content!$E$1:$E$613,_REF_Model_Content!$A$1:$A$613,PV_Canonical_Industry,_REF_Model_Content!$B$1:$B$613,$C787)=0,1,SUMIFS(_REF_Model_Content!$E$1:$E$613,_REF_Model_Content!$A$1:$A$613,PV_Canonical_Industry,_REF_Model_Content!$B$1:$B$613,$C787))*IFERROR($BU787,1)),1),"")</f>
        <v>1</v>
      </c>
      <c r="AY787">
        <f t="shared" si="167"/>
        <v>15.7</v>
      </c>
      <c r="AZ787">
        <f t="shared" si="168"/>
        <v>1.67</v>
      </c>
      <c r="BB787" t="str">
        <f>IF($H787="","",IFERROR(INDEX(_ENGINE_Risk!$AE$5:$AE$499,MATCH($E787,_ENGINE_Risk!$A$5:$A$499,0)),"Medium"))</f>
        <v>Medium</v>
      </c>
      <c r="BC787">
        <f t="shared" si="169"/>
        <v>1</v>
      </c>
      <c r="BD787">
        <f t="shared" si="170"/>
        <v>1.67</v>
      </c>
      <c r="BF787">
        <f>IF(OR($H787="",$J787=""),"",IFERROR(VLOOKUP(ROUND($J787,0),_CONFIG_Model_Settings!$D$154:$E$158,2,0),""))</f>
        <v>0.5</v>
      </c>
      <c r="BG787">
        <f>IFERROR(IF(OR($H787="",$K787=""),"",ROUND('Company Profile'!$B$113*INDEX(_CONFIG_Model_Settings!$H$154:$H$158,MATCH(ROUND($K787,0),_CONFIG_Model_Settings!$G$154:$G$158,0)),0)),0)</f>
        <v>875</v>
      </c>
      <c r="BH787">
        <f t="shared" si="171"/>
        <v>437.5</v>
      </c>
      <c r="BI787">
        <f t="shared" si="172"/>
        <v>437.5</v>
      </c>
      <c r="BJ787">
        <f>IF($E787="","",IFERROR(VLOOKUP($C787,_CONFIG_Risk_Calibration!$A$5:$H$21,2,FALSE),3))</f>
        <v>3</v>
      </c>
      <c r="BK787">
        <f>IF($E787="","",IFERROR(VLOOKUP($C787,_CONFIG_Risk_Calibration!$A$5:$H$21,3,FALSE),0))</f>
        <v>0</v>
      </c>
      <c r="BL787">
        <f>IF($E787="","",IFERROR(VLOOKUP($C787,_CONFIG_Risk_Calibration!$A$5:$H$21,4,FALSE),3))</f>
        <v>3</v>
      </c>
      <c r="BM787">
        <f>IF($E787="","",IFERROR(VLOOKUP($C787,_CONFIG_Risk_Calibration!$A$5:$H$21,5,FALSE),3))</f>
        <v>2</v>
      </c>
      <c r="BN787" t="str">
        <f>IF($E787="","",IFERROR(VLOOKUP($C787,_CONFIG_Risk_Calibration!$A$5:$H$21,6,FALSE),"No"))</f>
        <v>No</v>
      </c>
      <c r="BO787">
        <f>IF($E787="","",IFERROR(VLOOKUP($C787,_CONFIG_Risk_Calibration!$A$5:$H$21,7,FALSE),1))</f>
        <v>1</v>
      </c>
      <c r="BP787">
        <f>IF($H787="","",MAX(1,MIN(5,((6-$H787)*0.45)+($BJ787*0.2)+('Resilience &amp; Risk Scenario'!$B$7*0.15)+($BK787*0.1)+($BL787*0.05)+(IF($BB787="Fast",5,IF($BB787="Slow",1,3))*0.05))))</f>
        <v>3.6</v>
      </c>
      <c r="BQ787">
        <f t="shared" si="173"/>
        <v>4.3499999999999996</v>
      </c>
      <c r="BR787">
        <f t="shared" si="174"/>
        <v>15.66</v>
      </c>
      <c r="BS787">
        <f t="shared" si="175"/>
        <v>14.09</v>
      </c>
      <c r="BT787" t="str">
        <f>IFERROR(INDEX(_REF_Capability_Bridge!$D:$D,MATCH($C787&amp;"|"&amp;$D787,_REF_Capability_Bridge!$J:$J,0)),IFERROR(INDEX(_REF_Capability_Bridge!$D:$D,MATCH($C787&amp;"|",_REF_Capability_Bridge!$J:$J,0)),"CAP_GENERIC"))</f>
        <v>CAP_CRM_CUSTOMER_SERVICE</v>
      </c>
      <c r="BU787">
        <f>IFERROR(IFERROR(INDEX(_ENGINE_Relevance!$L:$L,MATCH($BT787,_ENGINE_Relevance!$B:$B,0)),1),1)</f>
        <v>1</v>
      </c>
      <c r="BV787" t="str">
        <f>IFERROR(INDEX(_REF_Capability_Bridge!$A:$A,MATCH($C787&amp;"|"&amp;$D787,_REF_Capability_Bridge!$J:$J,0)),IFERROR(INDEX(_REF_Capability_Bridge!$A:$A,MATCH($C787&amp;"|",_REF_Capability_Bridge!$J:$J,0)),"No bridge"))</f>
        <v>BRG-063</v>
      </c>
      <c r="BW787" t="str">
        <f t="shared" si="176"/>
        <v>Capability relevance neutral</v>
      </c>
      <c r="BX787" t="str">
        <f t="shared" si="177"/>
        <v>Initial / absent</v>
      </c>
      <c r="BY787" t="str">
        <f>IF($E787="","",IFERROR(INDEX(_REF_Treatment_Library!$A$2:$A$296,MATCH(1,INDEX((_REF_Treatment_Library!$B$2:$B$296=$BT787)*(_REF_Treatment_Library!$C$2:$C$296=PV_Canonical_Industry)*(_REF_Treatment_Library!$E$2:$E$296&lt;=N($H787))*(_REF_Treatment_Library!$F$2:$F$296&gt;=N($H787))*(_REF_Treatment_Library!$O$2:$O$296="Yes"),0),0)),IFERROR(INDEX(_REF_Treatment_Library!$A$2:$A$296,MATCH(1,INDEX((_REF_Treatment_Library!$B$2:$B$296=$BT787)*(_REF_Treatment_Library!$C$2:$C$296="All")*(_REF_Treatment_Library!$E$2:$E$296&lt;=N($H787))*(_REF_Treatment_Library!$F$2:$F$296&gt;=N($H787))*(_REF_Treatment_Library!$O$2:$O$296="Yes"),0),0)),"")))</f>
        <v>TRT-CRM_CUSTOMER_SERVICE-INITIAL</v>
      </c>
      <c r="BZ787" t="str">
        <f>IF($BY787="","",IFERROR(INDEX(_REF_Treatment_Library!$H$2:$H$296,MATCH($BY787,_REF_Treatment_Library!$A$2:$A$296,0)),""))</f>
        <v>Establish</v>
      </c>
      <c r="CA787" t="str">
        <f>IF($BY787="","",IFERROR(INDEX(_REF_Treatment_Library!$I$2:$I$296,MATCH($BY787,_REF_Treatment_Library!$A$2:$A$296,0)),""))</f>
        <v>Establish baseline controls for CRM / service</v>
      </c>
      <c r="CB787" t="str">
        <f>IF($BY787="","",IFERROR(INDEX(_REF_Treatment_Library!$K$2:$K$296,MATCH($BY787,_REF_Treatment_Library!$A$2:$A$296,0)),""))</f>
        <v>Named owner, baseline process, minimum control checklist, first evidence package</v>
      </c>
      <c r="CC787" t="str">
        <f>IF($BY787="","",IFERROR(INDEX(_REF_Treatment_Library!$L$2:$L$296,MATCH($BY787,_REF_Treatment_Library!$A$2:$A$296,0)),""))</f>
        <v>Owner assigned; baseline evidence coverage; open critical gaps</v>
      </c>
      <c r="CD787" t="str">
        <f t="shared" si="178"/>
        <v>Treatment by capability=CAP_CRM_CUSTOMER_SERVICE; band=Initial / absent; score=0.0; treatment=Establish</v>
      </c>
      <c r="CE787" t="str">
        <f>IF($E787="","",IFERROR(INDEX(_REF_Industry_Wording!$A$2:$A$70,MATCH(1,INDEX((_REF_Industry_Wording!$B$2:$B$70=$BT787)*(_REF_Industry_Wording!$C$2:$C$70=PV_Canonical_Industry)*(_REF_Industry_Wording!$K$2:$K$70="Yes"),0),0)),IFERROR(INDEX(_REF_Industry_Wording!$A$2:$A$70,MATCH(1,INDEX((_REF_Industry_Wording!$B$2:$B$70=$BT787)*(_REF_Industry_Wording!$C$2:$C$70="All")*(_REF_Industry_Wording!$K$2:$K$70="Yes"),0),0)),"")))</f>
        <v>IW-ALL-CRM_CUSTOMER_SERVICE</v>
      </c>
      <c r="CF787" t="str">
        <f>IF($CE787="","",IFERROR(INDEX(_REF_Industry_Wording!$E$2:$E$70,MATCH($CE787,_REF_Industry_Wording!$A$2:$A$70,0)),""))</f>
        <v>CRM / service weakness</v>
      </c>
      <c r="CG787" t="str">
        <f>IF($CE787="","",IFERROR(INDEX(_REF_Industry_Wording!$F$2:$F$70,MATCH($CE787,_REF_Industry_Wording!$A$2:$A$70,0)),""))</f>
        <v>Strengthen CRM / service</v>
      </c>
      <c r="CH787" t="str">
        <f>IF($CE787="","",IFERROR(INDEX(_REF_Industry_Wording!$G$2:$G$70,MATCH($CE787,_REF_Industry_Wording!$A$2:$A$70,0)),""))</f>
        <v>Strengthen CRM / service using the selected maturity treatment, crisis scenario and evidence requirements.</v>
      </c>
      <c r="CI787" t="str">
        <f>IF($CE787="","",IFERROR(INDEX(_REF_Industry_Wording!$H$2:$H$70,MATCH($CE787,_REF_Industry_Wording!$A$2:$A$70,0)),""))</f>
        <v>CRM / service</v>
      </c>
      <c r="CJ787">
        <f>IF($CE787="","",IFERROR(INDEX(_REF_Industry_Wording!$I$2:$I$70,MATCH($CE787,_REF_Industry_Wording!$A$2:$A$70,0)),""))</f>
        <v>0</v>
      </c>
      <c r="CK787" t="str">
        <f>IF($CE787="","",IFERROR(INDEX(_REF_Industry_Wording!$J$2:$J$70,MATCH($CE787,_REF_Industry_Wording!$A$2:$A$70,0)),""))</f>
        <v>CRM / service</v>
      </c>
      <c r="CL787" t="str">
        <f t="shared" si="179"/>
        <v>Wording by industry=0; capability=CAP_CRM_CUSTOMER_SERVICE; risk label=CRM / service weakness</v>
      </c>
      <c r="CM787" t="str">
        <f t="shared" si="180"/>
        <v>RISK-ONT-0288</v>
      </c>
      <c r="CN787" t="str">
        <f t="shared" si="181"/>
        <v>RISK-EVT-0288</v>
      </c>
      <c r="CO787" t="str">
        <f t="shared" si="182"/>
        <v>Marketing Comms|Marketing operations|MARK-012|CAP_CRM_CUSTOMER_SERVICE</v>
      </c>
      <c r="CP787" t="str">
        <f t="shared" si="183"/>
        <v>Active</v>
      </c>
      <c r="CQ787" t="str">
        <f t="shared" si="184"/>
        <v>OK: capability-driven</v>
      </c>
      <c r="CR787" t="str">
        <f t="shared" si="185"/>
        <v>Risk ontology uses capability=CAP_CRM_CUSTOMER_SERVICE; bridge=BRG-063; treatment=TRT-CRM_CUSTOMER_SERVICE-INITIAL; wording=IW-ALL-CRM_CUSTOMER_SERVICE</v>
      </c>
      <c r="CS787" t="str">
        <f t="shared" si="186"/>
        <v>Yes</v>
      </c>
    </row>
    <row r="788" spans="1:97" ht="69.900000000000006" customHeight="1">
      <c r="A788">
        <f>IF(OR($B788&lt;&gt;"Yes",$BS788=""),"",SUMPRODUCT(($B$500:$B$923="Yes")*ISNUMBER($BS$500:$BS$923)*($BS$500:$BS$923&gt;$BS788))+COUNTIFS($B$500:$B788,"Yes",$BS$500:$BS788,$BS788))</f>
        <v>370</v>
      </c>
      <c r="B788" t="str">
        <f t="shared" si="155"/>
        <v>Yes</v>
      </c>
      <c r="C788" t="s">
        <v>2473</v>
      </c>
      <c r="D788" t="s">
        <v>2494</v>
      </c>
      <c r="E788" t="s">
        <v>2558</v>
      </c>
      <c r="F788" t="s">
        <v>3690</v>
      </c>
      <c r="G788" t="str">
        <f>IF($H788="","",IFERROR(INDEX(_ENGINE_Risk!$H$5:$M$499,MATCH($E788,_ENGINE_Risk!$A$5:$A$499,0),$H788+1),""))</f>
        <v>Severe risk: marketing automation, email, analytics, CMS, domain and DNS dependency documentation is not reliably controlled. During Reputation crisis; Demand shock; IT outage, the organization may face loss of customer trust, reputational damage and inconsistent crisis communication with limited visibility or accountability.</v>
      </c>
      <c r="H788">
        <f>IFERROR(VALUE(INDEX(_DATA_Assessment_Model!$H$5:$H$884,MATCH($E788,_DATA_Assessment_Model!$A$5:$A$884,0))),"")</f>
        <v>0</v>
      </c>
      <c r="I788" t="str">
        <f>IF($H788="","",IFERROR(INDEX(_DATA_Assessment_Model!$L$5:$L$884,MATCH($E788,_DATA_Assessment_Model!$A$5:$A$884,0)),IF($H788&lt;=1,"Critical",IF($H788=2,"High",IF($H788=3,"Medium",IF($H788=4,"Low","Resilient"))))))</f>
        <v>Critical</v>
      </c>
      <c r="J788">
        <f t="shared" si="156"/>
        <v>3.6</v>
      </c>
      <c r="K788">
        <f t="shared" si="157"/>
        <v>3.95</v>
      </c>
      <c r="L788">
        <f t="shared" si="158"/>
        <v>14.22</v>
      </c>
      <c r="M788">
        <f t="shared" si="159"/>
        <v>3</v>
      </c>
      <c r="N788">
        <f>IF($H788="","",IFERROR(INDEX(_ENGINE_Risk!$T$5:$Y$499,MATCH($E788,_ENGINE_Risk!$A$5:$A$499,0),$H788+1),""))</f>
        <v>3</v>
      </c>
      <c r="O788">
        <f t="shared" si="160"/>
        <v>4.333333333333333</v>
      </c>
      <c r="P788">
        <f t="shared" si="161"/>
        <v>5</v>
      </c>
      <c r="Q788">
        <f t="shared" si="162"/>
        <v>5</v>
      </c>
      <c r="R788">
        <f t="shared" si="163"/>
        <v>5</v>
      </c>
      <c r="S788">
        <f t="shared" si="164"/>
        <v>1.61</v>
      </c>
      <c r="T788" t="str">
        <f>IF($H788="","",IFERROR(INDEX(_ENGINE_Risk!$N$5:$S$499,MATCH($E788,_ENGINE_Risk!$A$5:$A$499,0),$H788+1),""))</f>
        <v>Create an immediate risk owner, minimum control baseline and fallback procedure for marketing automation, email, analytics, CMS, domain and DNS dependency documentation. Add it to the crisis risk register and collect first evidence.</v>
      </c>
      <c r="U788">
        <f>IFERROR(INDEX(_DATA_Assessment_Model!$G$5:$G$884,MATCH($E788,_DATA_Assessment_Model!$A$5:$A$884,0)),"")</f>
        <v>3</v>
      </c>
      <c r="V788">
        <f>IFERROR(INDEX(_DATA_Assessment_Model!$W$5:$W$884,MATCH($E788,_DATA_Assessment_Model!$A$5:$A$884,0)),"")</f>
        <v>5</v>
      </c>
      <c r="W788">
        <f>IFERROR(INDEX(_DATA_Assessment_Model!$X$5:$X$884,MATCH($E788,_DATA_Assessment_Model!$A$5:$A$884,0)),"")</f>
        <v>5</v>
      </c>
      <c r="X788">
        <f>IFERROR(INDEX(_DATA_Assessment_Model!$Y$5:$Y$884,MATCH($E788,_DATA_Assessment_Model!$A$5:$A$884,0)),"")</f>
        <v>5</v>
      </c>
      <c r="Y788" t="s">
        <v>2486</v>
      </c>
      <c r="Z788" t="s">
        <v>8519</v>
      </c>
      <c r="AA788" t="s">
        <v>2560</v>
      </c>
      <c r="AB788">
        <f>IFERROR(INDEX(_DATA_Assessment_Model!$U$5:$U$884,MATCH($E788,_DATA_Assessment_Model!$A$5:$A$884,0)),"")</f>
        <v>0</v>
      </c>
      <c r="AF788" t="s">
        <v>2559</v>
      </c>
      <c r="AO788">
        <f>IF($B788="Yes",IF(IFERROR(INDEX(_ENGINE_Crisis!$F$501:$F$517,MATCH($C788,_ENGINE_Crisis!$A$501:$A$517,0)),1)=0,1,IFERROR(INDEX(_ENGINE_Crisis!$F$501:$F$517,MATCH($C788,_ENGINE_Crisis!$A$501:$A$517,0)),1)),"")</f>
        <v>1</v>
      </c>
      <c r="AP788">
        <f t="shared" si="165"/>
        <v>14.2</v>
      </c>
      <c r="AQ788">
        <f t="shared" si="166"/>
        <v>1.61</v>
      </c>
      <c r="AR788" t="str">
        <f>IFERROR(INDEX(_ENGINE_Crisis!$E$41:$E$700,MATCH('Resilience &amp; Risk Scenario'!$B$6&amp;"|"&amp;$C788,_ENGINE_Crisis!$I$41:$I$700,0)),"")</f>
        <v/>
      </c>
      <c r="AS788" t="str">
        <f>IFERROR(INDEX(_ENGINE_Crisis!$G$41:$G$700,MATCH('Resilience &amp; Risk Scenario'!$B$6&amp;"|"&amp;$C788,_ENGINE_Crisis!$I$41:$I$700,0)),"")</f>
        <v/>
      </c>
      <c r="AT788" t="str">
        <f>IFERROR(INDEX(_ENGINE_Initiatives!$A$5:$A$532,MATCH(1,INDEX((_ENGINE_Initiatives!$B$5:$B$532=$C788)*(_ENGINE_Initiatives!$C$5:$C$532=$D788),0),0)),"")</f>
        <v>INI-047</v>
      </c>
      <c r="AU788" t="str">
        <f>IFERROR(INDEX(_ENGINE_Initiatives!$F$5:$F$532,MATCH(1,INDEX((_ENGINE_Initiatives!$B$5:$B$532=$C788)*(_ENGINE_Initiatives!$C$5:$C$532=$D788),0),0)),"")</f>
        <v>Standardize marketing operations, content and analytics cadence</v>
      </c>
      <c r="AV788">
        <f>IFERROR(INDEX(_ENGINE_Initiatives!$AC$5:$AC$532,MATCH(1,INDEX((_ENGINE_Initiatives!$B$5:$B$532=$C788)*(_ENGINE_Initiatives!$C$5:$C$532=$D788),0),0)),"")</f>
        <v>1.71</v>
      </c>
      <c r="AW788" t="str">
        <f>IFERROR(INDEX(_ENGINE_Initiatives!$AE$5:$AE$532,MATCH(1,INDEX((_ENGINE_Initiatives!$B$5:$B$532=$C788)*(_ENGINE_Initiatives!$C$5:$C$532=$D788),0),0)),"")</f>
        <v>6-12 months</v>
      </c>
      <c r="AX788">
        <f>IF($B788="Yes",IFERROR((IF(SUMIFS(_REF_Model_Content!$E$1:$E$613,_REF_Model_Content!$A$1:$A$613,PV_Canonical_Industry,_REF_Model_Content!$B$1:$B$613,$C788)=0,1,SUMIFS(_REF_Model_Content!$E$1:$E$613,_REF_Model_Content!$A$1:$A$613,PV_Canonical_Industry,_REF_Model_Content!$B$1:$B$613,$C788))*IFERROR($BU788,1)),1),"")</f>
        <v>1</v>
      </c>
      <c r="AY788">
        <f t="shared" si="167"/>
        <v>14.2</v>
      </c>
      <c r="AZ788">
        <f t="shared" si="168"/>
        <v>1.61</v>
      </c>
      <c r="BB788" t="str">
        <f>IF($H788="","",IFERROR(INDEX(_ENGINE_Risk!$AE$5:$AE$499,MATCH($E788,_ENGINE_Risk!$A$5:$A$499,0)),"Medium"))</f>
        <v>Medium</v>
      </c>
      <c r="BC788">
        <f t="shared" si="169"/>
        <v>1</v>
      </c>
      <c r="BD788">
        <f t="shared" si="170"/>
        <v>1.61</v>
      </c>
      <c r="BF788">
        <f>IF(OR($H788="",$J788=""),"",IFERROR(VLOOKUP(ROUND($J788,0),_CONFIG_Model_Settings!$D$154:$E$158,2,0),""))</f>
        <v>0.5</v>
      </c>
      <c r="BG788">
        <f>IFERROR(IF(OR($H788="",$K788=""),"",ROUND('Company Profile'!$B$113*INDEX(_CONFIG_Model_Settings!$H$154:$H$158,MATCH(ROUND($K788,0),_CONFIG_Model_Settings!$G$154:$G$158,0)),0)),0)</f>
        <v>875</v>
      </c>
      <c r="BH788">
        <f t="shared" si="171"/>
        <v>437.5</v>
      </c>
      <c r="BI788">
        <f t="shared" si="172"/>
        <v>437.5</v>
      </c>
      <c r="BJ788">
        <f>IF($E788="","",IFERROR(VLOOKUP($C788,_CONFIG_Risk_Calibration!$A$5:$H$21,2,FALSE),3))</f>
        <v>3</v>
      </c>
      <c r="BK788">
        <f>IF($E788="","",IFERROR(VLOOKUP($C788,_CONFIG_Risk_Calibration!$A$5:$H$21,3,FALSE),0))</f>
        <v>0</v>
      </c>
      <c r="BL788">
        <f>IF($E788="","",IFERROR(VLOOKUP($C788,_CONFIG_Risk_Calibration!$A$5:$H$21,4,FALSE),3))</f>
        <v>3</v>
      </c>
      <c r="BM788">
        <f>IF($E788="","",IFERROR(VLOOKUP($C788,_CONFIG_Risk_Calibration!$A$5:$H$21,5,FALSE),3))</f>
        <v>2</v>
      </c>
      <c r="BN788" t="str">
        <f>IF($E788="","",IFERROR(VLOOKUP($C788,_CONFIG_Risk_Calibration!$A$5:$H$21,6,FALSE),"No"))</f>
        <v>No</v>
      </c>
      <c r="BO788">
        <f>IF($E788="","",IFERROR(VLOOKUP($C788,_CONFIG_Risk_Calibration!$A$5:$H$21,7,FALSE),1))</f>
        <v>1</v>
      </c>
      <c r="BP788">
        <f>IF($H788="","",MAX(1,MIN(5,((6-$H788)*0.45)+($BJ788*0.2)+('Resilience &amp; Risk Scenario'!$B$7*0.15)+($BK788*0.1)+($BL788*0.05)+(IF($BB788="Fast",5,IF($BB788="Slow",1,3))*0.05))))</f>
        <v>3.6</v>
      </c>
      <c r="BQ788">
        <f t="shared" si="173"/>
        <v>3.95</v>
      </c>
      <c r="BR788">
        <f t="shared" si="174"/>
        <v>14.22</v>
      </c>
      <c r="BS788">
        <f t="shared" si="175"/>
        <v>12.8</v>
      </c>
      <c r="BT788" t="str">
        <f>IFERROR(INDEX(_REF_Capability_Bridge!$D:$D,MATCH($C788&amp;"|"&amp;$D788,_REF_Capability_Bridge!$J:$J,0)),IFERROR(INDEX(_REF_Capability_Bridge!$D:$D,MATCH($C788&amp;"|",_REF_Capability_Bridge!$J:$J,0)),"CAP_GENERIC"))</f>
        <v>CAP_CRM_CUSTOMER_SERVICE</v>
      </c>
      <c r="BU788">
        <f>IFERROR(IFERROR(INDEX(_ENGINE_Relevance!$L:$L,MATCH($BT788,_ENGINE_Relevance!$B:$B,0)),1),1)</f>
        <v>1</v>
      </c>
      <c r="BV788" t="str">
        <f>IFERROR(INDEX(_REF_Capability_Bridge!$A:$A,MATCH($C788&amp;"|"&amp;$D788,_REF_Capability_Bridge!$J:$J,0)),IFERROR(INDEX(_REF_Capability_Bridge!$A:$A,MATCH($C788&amp;"|",_REF_Capability_Bridge!$J:$J,0)),"No bridge"))</f>
        <v>BRG-063</v>
      </c>
      <c r="BW788" t="str">
        <f t="shared" si="176"/>
        <v>Capability relevance neutral</v>
      </c>
      <c r="BX788" t="str">
        <f t="shared" si="177"/>
        <v>Initial / absent</v>
      </c>
      <c r="BY788" t="str">
        <f>IF($E788="","",IFERROR(INDEX(_REF_Treatment_Library!$A$2:$A$296,MATCH(1,INDEX((_REF_Treatment_Library!$B$2:$B$296=$BT788)*(_REF_Treatment_Library!$C$2:$C$296=PV_Canonical_Industry)*(_REF_Treatment_Library!$E$2:$E$296&lt;=N($H788))*(_REF_Treatment_Library!$F$2:$F$296&gt;=N($H788))*(_REF_Treatment_Library!$O$2:$O$296="Yes"),0),0)),IFERROR(INDEX(_REF_Treatment_Library!$A$2:$A$296,MATCH(1,INDEX((_REF_Treatment_Library!$B$2:$B$296=$BT788)*(_REF_Treatment_Library!$C$2:$C$296="All")*(_REF_Treatment_Library!$E$2:$E$296&lt;=N($H788))*(_REF_Treatment_Library!$F$2:$F$296&gt;=N($H788))*(_REF_Treatment_Library!$O$2:$O$296="Yes"),0),0)),"")))</f>
        <v>TRT-CRM_CUSTOMER_SERVICE-INITIAL</v>
      </c>
      <c r="BZ788" t="str">
        <f>IF($BY788="","",IFERROR(INDEX(_REF_Treatment_Library!$H$2:$H$296,MATCH($BY788,_REF_Treatment_Library!$A$2:$A$296,0)),""))</f>
        <v>Establish</v>
      </c>
      <c r="CA788" t="str">
        <f>IF($BY788="","",IFERROR(INDEX(_REF_Treatment_Library!$I$2:$I$296,MATCH($BY788,_REF_Treatment_Library!$A$2:$A$296,0)),""))</f>
        <v>Establish baseline controls for CRM / service</v>
      </c>
      <c r="CB788" t="str">
        <f>IF($BY788="","",IFERROR(INDEX(_REF_Treatment_Library!$K$2:$K$296,MATCH($BY788,_REF_Treatment_Library!$A$2:$A$296,0)),""))</f>
        <v>Named owner, baseline process, minimum control checklist, first evidence package</v>
      </c>
      <c r="CC788" t="str">
        <f>IF($BY788="","",IFERROR(INDEX(_REF_Treatment_Library!$L$2:$L$296,MATCH($BY788,_REF_Treatment_Library!$A$2:$A$296,0)),""))</f>
        <v>Owner assigned; baseline evidence coverage; open critical gaps</v>
      </c>
      <c r="CD788" t="str">
        <f t="shared" si="178"/>
        <v>Treatment by capability=CAP_CRM_CUSTOMER_SERVICE; band=Initial / absent; score=0.0; treatment=Establish</v>
      </c>
      <c r="CE788" t="str">
        <f>IF($E788="","",IFERROR(INDEX(_REF_Industry_Wording!$A$2:$A$70,MATCH(1,INDEX((_REF_Industry_Wording!$B$2:$B$70=$BT788)*(_REF_Industry_Wording!$C$2:$C$70=PV_Canonical_Industry)*(_REF_Industry_Wording!$K$2:$K$70="Yes"),0),0)),IFERROR(INDEX(_REF_Industry_Wording!$A$2:$A$70,MATCH(1,INDEX((_REF_Industry_Wording!$B$2:$B$70=$BT788)*(_REF_Industry_Wording!$C$2:$C$70="All")*(_REF_Industry_Wording!$K$2:$K$70="Yes"),0),0)),"")))</f>
        <v>IW-ALL-CRM_CUSTOMER_SERVICE</v>
      </c>
      <c r="CF788" t="str">
        <f>IF($CE788="","",IFERROR(INDEX(_REF_Industry_Wording!$E$2:$E$70,MATCH($CE788,_REF_Industry_Wording!$A$2:$A$70,0)),""))</f>
        <v>CRM / service weakness</v>
      </c>
      <c r="CG788" t="str">
        <f>IF($CE788="","",IFERROR(INDEX(_REF_Industry_Wording!$F$2:$F$70,MATCH($CE788,_REF_Industry_Wording!$A$2:$A$70,0)),""))</f>
        <v>Strengthen CRM / service</v>
      </c>
      <c r="CH788" t="str">
        <f>IF($CE788="","",IFERROR(INDEX(_REF_Industry_Wording!$G$2:$G$70,MATCH($CE788,_REF_Industry_Wording!$A$2:$A$70,0)),""))</f>
        <v>Strengthen CRM / service using the selected maturity treatment, crisis scenario and evidence requirements.</v>
      </c>
      <c r="CI788" t="str">
        <f>IF($CE788="","",IFERROR(INDEX(_REF_Industry_Wording!$H$2:$H$70,MATCH($CE788,_REF_Industry_Wording!$A$2:$A$70,0)),""))</f>
        <v>CRM / service</v>
      </c>
      <c r="CJ788">
        <f>IF($CE788="","",IFERROR(INDEX(_REF_Industry_Wording!$I$2:$I$70,MATCH($CE788,_REF_Industry_Wording!$A$2:$A$70,0)),""))</f>
        <v>0</v>
      </c>
      <c r="CK788" t="str">
        <f>IF($CE788="","",IFERROR(INDEX(_REF_Industry_Wording!$J$2:$J$70,MATCH($CE788,_REF_Industry_Wording!$A$2:$A$70,0)),""))</f>
        <v>CRM / service</v>
      </c>
      <c r="CL788" t="str">
        <f t="shared" si="179"/>
        <v>Wording by industry=0; capability=CAP_CRM_CUSTOMER_SERVICE; risk label=CRM / service weakness</v>
      </c>
      <c r="CM788" t="str">
        <f t="shared" si="180"/>
        <v>RISK-ONT-0289</v>
      </c>
      <c r="CN788" t="str">
        <f t="shared" si="181"/>
        <v>RISK-EVT-0289</v>
      </c>
      <c r="CO788" t="str">
        <f t="shared" si="182"/>
        <v>Marketing Comms|Marketing operations|MARK-013|CAP_CRM_CUSTOMER_SERVICE</v>
      </c>
      <c r="CP788" t="str">
        <f t="shared" si="183"/>
        <v>Active</v>
      </c>
      <c r="CQ788" t="str">
        <f t="shared" si="184"/>
        <v>OK: capability-driven</v>
      </c>
      <c r="CR788" t="str">
        <f t="shared" si="185"/>
        <v>Risk ontology uses capability=CAP_CRM_CUSTOMER_SERVICE; bridge=BRG-063; treatment=TRT-CRM_CUSTOMER_SERVICE-INITIAL; wording=IW-ALL-CRM_CUSTOMER_SERVICE</v>
      </c>
      <c r="CS788" t="str">
        <f t="shared" si="186"/>
        <v>Yes</v>
      </c>
    </row>
    <row r="789" spans="1:97" ht="69.900000000000006" customHeight="1">
      <c r="A789">
        <f>IF(OR($B789&lt;&gt;"Yes",$BS789=""),"",SUMPRODUCT(($B$500:$B$923="Yes")*ISNUMBER($BS$500:$BS$923)*($BS$500:$BS$923&gt;$BS789))+COUNTIFS($B$500:$B789,"Yes",$BS$500:$BS789,$BS789))</f>
        <v>362</v>
      </c>
      <c r="B789" t="str">
        <f t="shared" si="155"/>
        <v>Yes</v>
      </c>
      <c r="C789" t="s">
        <v>2473</v>
      </c>
      <c r="D789" t="s">
        <v>2494</v>
      </c>
      <c r="E789" t="s">
        <v>2567</v>
      </c>
      <c r="F789" t="s">
        <v>3690</v>
      </c>
      <c r="G789" t="str">
        <f>IF($H789="","",IFERROR(INDEX(_ENGINE_Risk!$H$5:$M$499,MATCH($E789,_ENGINE_Risk!$A$5:$A$499,0),$H789+1),""))</f>
        <v>Severe risk: privacy, consent, unsubscribe, advertising claims and industry marketing compliance is not reliably controlled. During Reputation crisis; Demand shock; IT outage, the organization may face loss of customer trust, reputational damage and inconsistent crisis communication with limited visibility or accountability.</v>
      </c>
      <c r="H789">
        <f>IFERROR(VALUE(INDEX(_DATA_Assessment_Model!$H$5:$H$884,MATCH($E789,_DATA_Assessment_Model!$A$5:$A$884,0))),"")</f>
        <v>0</v>
      </c>
      <c r="I789" t="str">
        <f>IF($H789="","",IFERROR(INDEX(_DATA_Assessment_Model!$L$5:$L$884,MATCH($E789,_DATA_Assessment_Model!$A$5:$A$884,0)),IF($H789&lt;=1,"Critical",IF($H789=2,"High",IF($H789=3,"Medium",IF($H789=4,"Low","Resilient"))))))</f>
        <v>Critical</v>
      </c>
      <c r="J789">
        <f t="shared" si="156"/>
        <v>3.6</v>
      </c>
      <c r="K789">
        <f t="shared" si="157"/>
        <v>4</v>
      </c>
      <c r="L789">
        <f t="shared" si="158"/>
        <v>14.4</v>
      </c>
      <c r="M789">
        <f t="shared" si="159"/>
        <v>3</v>
      </c>
      <c r="N789">
        <f>IF($H789="","",IFERROR(INDEX(_ENGINE_Risk!$T$5:$Y$499,MATCH($E789,_ENGINE_Risk!$A$5:$A$499,0),$H789+1),""))</f>
        <v>3</v>
      </c>
      <c r="O789">
        <f t="shared" si="160"/>
        <v>4.333333333333333</v>
      </c>
      <c r="P789">
        <f t="shared" si="161"/>
        <v>5</v>
      </c>
      <c r="Q789">
        <f t="shared" si="162"/>
        <v>5</v>
      </c>
      <c r="R789">
        <f t="shared" si="163"/>
        <v>4.5</v>
      </c>
      <c r="S789">
        <f t="shared" si="164"/>
        <v>1.57</v>
      </c>
      <c r="T789" t="str">
        <f>IF($H789="","",IFERROR(INDEX(_ENGINE_Risk!$N$5:$S$499,MATCH($E789,_ENGINE_Risk!$A$5:$A$499,0),$H789+1),""))</f>
        <v>Create an immediate risk owner, minimum control baseline and fallback procedure for privacy, consent, unsubscribe, advertising claims and industry marketing compliance. Add it to the crisis risk register and collect first evidence.</v>
      </c>
      <c r="U789">
        <f>IFERROR(INDEX(_DATA_Assessment_Model!$G$5:$G$884,MATCH($E789,_DATA_Assessment_Model!$A$5:$A$884,0)),"")</f>
        <v>4</v>
      </c>
      <c r="V789">
        <f>IFERROR(INDEX(_DATA_Assessment_Model!$W$5:$W$884,MATCH($E789,_DATA_Assessment_Model!$A$5:$A$884,0)),"")</f>
        <v>4</v>
      </c>
      <c r="W789">
        <f>IFERROR(INDEX(_DATA_Assessment_Model!$X$5:$X$884,MATCH($E789,_DATA_Assessment_Model!$A$5:$A$884,0)),"")</f>
        <v>5</v>
      </c>
      <c r="X789">
        <f>IFERROR(INDEX(_DATA_Assessment_Model!$Y$5:$Y$884,MATCH($E789,_DATA_Assessment_Model!$A$5:$A$884,0)),"")</f>
        <v>5</v>
      </c>
      <c r="Y789" t="s">
        <v>2486</v>
      </c>
      <c r="Z789" t="s">
        <v>8519</v>
      </c>
      <c r="AA789" t="s">
        <v>2569</v>
      </c>
      <c r="AB789">
        <f>IFERROR(INDEX(_DATA_Assessment_Model!$U$5:$U$884,MATCH($E789,_DATA_Assessment_Model!$A$5:$A$884,0)),"")</f>
        <v>0</v>
      </c>
      <c r="AF789" t="s">
        <v>2568</v>
      </c>
      <c r="AO789">
        <f>IF($B789="Yes",IF(IFERROR(INDEX(_ENGINE_Crisis!$F$501:$F$517,MATCH($C789,_ENGINE_Crisis!$A$501:$A$517,0)),1)=0,1,IFERROR(INDEX(_ENGINE_Crisis!$F$501:$F$517,MATCH($C789,_ENGINE_Crisis!$A$501:$A$517,0)),1)),"")</f>
        <v>1</v>
      </c>
      <c r="AP789">
        <f t="shared" si="165"/>
        <v>14.4</v>
      </c>
      <c r="AQ789">
        <f t="shared" si="166"/>
        <v>1.57</v>
      </c>
      <c r="AR789" t="str">
        <f>IFERROR(INDEX(_ENGINE_Crisis!$E$41:$E$700,MATCH('Resilience &amp; Risk Scenario'!$B$6&amp;"|"&amp;$C789,_ENGINE_Crisis!$I$41:$I$700,0)),"")</f>
        <v/>
      </c>
      <c r="AS789" t="str">
        <f>IFERROR(INDEX(_ENGINE_Crisis!$G$41:$G$700,MATCH('Resilience &amp; Risk Scenario'!$B$6&amp;"|"&amp;$C789,_ENGINE_Crisis!$I$41:$I$700,0)),"")</f>
        <v/>
      </c>
      <c r="AT789" t="str">
        <f>IFERROR(INDEX(_ENGINE_Initiatives!$A$5:$A$532,MATCH(1,INDEX((_ENGINE_Initiatives!$B$5:$B$532=$C789)*(_ENGINE_Initiatives!$C$5:$C$532=$D789),0),0)),"")</f>
        <v>INI-047</v>
      </c>
      <c r="AU789" t="str">
        <f>IFERROR(INDEX(_ENGINE_Initiatives!$F$5:$F$532,MATCH(1,INDEX((_ENGINE_Initiatives!$B$5:$B$532=$C789)*(_ENGINE_Initiatives!$C$5:$C$532=$D789),0),0)),"")</f>
        <v>Standardize marketing operations, content and analytics cadence</v>
      </c>
      <c r="AV789">
        <f>IFERROR(INDEX(_ENGINE_Initiatives!$AC$5:$AC$532,MATCH(1,INDEX((_ENGINE_Initiatives!$B$5:$B$532=$C789)*(_ENGINE_Initiatives!$C$5:$C$532=$D789),0),0)),"")</f>
        <v>1.71</v>
      </c>
      <c r="AW789" t="str">
        <f>IFERROR(INDEX(_ENGINE_Initiatives!$AE$5:$AE$532,MATCH(1,INDEX((_ENGINE_Initiatives!$B$5:$B$532=$C789)*(_ENGINE_Initiatives!$C$5:$C$532=$D789),0),0)),"")</f>
        <v>6-12 months</v>
      </c>
      <c r="AX789">
        <f>IF($B789="Yes",IFERROR((IF(SUMIFS(_REF_Model_Content!$E$1:$E$613,_REF_Model_Content!$A$1:$A$613,PV_Canonical_Industry,_REF_Model_Content!$B$1:$B$613,$C789)=0,1,SUMIFS(_REF_Model_Content!$E$1:$E$613,_REF_Model_Content!$A$1:$A$613,PV_Canonical_Industry,_REF_Model_Content!$B$1:$B$613,$C789))*IFERROR($BU789,1)),1),"")</f>
        <v>1</v>
      </c>
      <c r="AY789">
        <f t="shared" si="167"/>
        <v>14.4</v>
      </c>
      <c r="AZ789">
        <f t="shared" si="168"/>
        <v>1.57</v>
      </c>
      <c r="BB789" t="str">
        <f>IF($H789="","",IFERROR(INDEX(_ENGINE_Risk!$AE$5:$AE$499,MATCH($E789,_ENGINE_Risk!$A$5:$A$499,0)),"Medium"))</f>
        <v>Medium</v>
      </c>
      <c r="BC789">
        <f t="shared" si="169"/>
        <v>1</v>
      </c>
      <c r="BD789">
        <f t="shared" si="170"/>
        <v>1.57</v>
      </c>
      <c r="BF789">
        <f>IF(OR($H789="",$J789=""),"",IFERROR(VLOOKUP(ROUND($J789,0),_CONFIG_Model_Settings!$D$154:$E$158,2,0),""))</f>
        <v>0.5</v>
      </c>
      <c r="BG789">
        <f>IFERROR(IF(OR($H789="",$K789=""),"",ROUND('Company Profile'!$B$113*INDEX(_CONFIG_Model_Settings!$H$154:$H$158,MATCH(ROUND($K789,0),_CONFIG_Model_Settings!$G$154:$G$158,0)),0)),0)</f>
        <v>875</v>
      </c>
      <c r="BH789">
        <f t="shared" si="171"/>
        <v>437.5</v>
      </c>
      <c r="BI789">
        <f t="shared" si="172"/>
        <v>437.5</v>
      </c>
      <c r="BJ789">
        <f>IF($E789="","",IFERROR(VLOOKUP($C789,_CONFIG_Risk_Calibration!$A$5:$H$21,2,FALSE),3))</f>
        <v>3</v>
      </c>
      <c r="BK789">
        <f>IF($E789="","",IFERROR(VLOOKUP($C789,_CONFIG_Risk_Calibration!$A$5:$H$21,3,FALSE),0))</f>
        <v>0</v>
      </c>
      <c r="BL789">
        <f>IF($E789="","",IFERROR(VLOOKUP($C789,_CONFIG_Risk_Calibration!$A$5:$H$21,4,FALSE),3))</f>
        <v>3</v>
      </c>
      <c r="BM789">
        <f>IF($E789="","",IFERROR(VLOOKUP($C789,_CONFIG_Risk_Calibration!$A$5:$H$21,5,FALSE),3))</f>
        <v>2</v>
      </c>
      <c r="BN789" t="str">
        <f>IF($E789="","",IFERROR(VLOOKUP($C789,_CONFIG_Risk_Calibration!$A$5:$H$21,6,FALSE),"No"))</f>
        <v>No</v>
      </c>
      <c r="BO789">
        <f>IF($E789="","",IFERROR(VLOOKUP($C789,_CONFIG_Risk_Calibration!$A$5:$H$21,7,FALSE),1))</f>
        <v>1</v>
      </c>
      <c r="BP789">
        <f>IF($H789="","",MAX(1,MIN(5,((6-$H789)*0.45)+($BJ789*0.2)+('Resilience &amp; Risk Scenario'!$B$7*0.15)+($BK789*0.1)+($BL789*0.05)+(IF($BB789="Fast",5,IF($BB789="Slow",1,3))*0.05))))</f>
        <v>3.6</v>
      </c>
      <c r="BQ789">
        <f t="shared" si="173"/>
        <v>4</v>
      </c>
      <c r="BR789">
        <f t="shared" si="174"/>
        <v>14.4</v>
      </c>
      <c r="BS789">
        <f t="shared" si="175"/>
        <v>12.96</v>
      </c>
      <c r="BT789" t="str">
        <f>IFERROR(INDEX(_REF_Capability_Bridge!$D:$D,MATCH($C789&amp;"|"&amp;$D789,_REF_Capability_Bridge!$J:$J,0)),IFERROR(INDEX(_REF_Capability_Bridge!$D:$D,MATCH($C789&amp;"|",_REF_Capability_Bridge!$J:$J,0)),"CAP_GENERIC"))</f>
        <v>CAP_CRM_CUSTOMER_SERVICE</v>
      </c>
      <c r="BU789">
        <f>IFERROR(IFERROR(INDEX(_ENGINE_Relevance!$L:$L,MATCH($BT789,_ENGINE_Relevance!$B:$B,0)),1),1)</f>
        <v>1</v>
      </c>
      <c r="BV789" t="str">
        <f>IFERROR(INDEX(_REF_Capability_Bridge!$A:$A,MATCH($C789&amp;"|"&amp;$D789,_REF_Capability_Bridge!$J:$J,0)),IFERROR(INDEX(_REF_Capability_Bridge!$A:$A,MATCH($C789&amp;"|",_REF_Capability_Bridge!$J:$J,0)),"No bridge"))</f>
        <v>BRG-063</v>
      </c>
      <c r="BW789" t="str">
        <f t="shared" si="176"/>
        <v>Capability relevance neutral</v>
      </c>
      <c r="BX789" t="str">
        <f t="shared" si="177"/>
        <v>Initial / absent</v>
      </c>
      <c r="BY789" t="str">
        <f>IF($E789="","",IFERROR(INDEX(_REF_Treatment_Library!$A$2:$A$296,MATCH(1,INDEX((_REF_Treatment_Library!$B$2:$B$296=$BT789)*(_REF_Treatment_Library!$C$2:$C$296=PV_Canonical_Industry)*(_REF_Treatment_Library!$E$2:$E$296&lt;=N($H789))*(_REF_Treatment_Library!$F$2:$F$296&gt;=N($H789))*(_REF_Treatment_Library!$O$2:$O$296="Yes"),0),0)),IFERROR(INDEX(_REF_Treatment_Library!$A$2:$A$296,MATCH(1,INDEX((_REF_Treatment_Library!$B$2:$B$296=$BT789)*(_REF_Treatment_Library!$C$2:$C$296="All")*(_REF_Treatment_Library!$E$2:$E$296&lt;=N($H789))*(_REF_Treatment_Library!$F$2:$F$296&gt;=N($H789))*(_REF_Treatment_Library!$O$2:$O$296="Yes"),0),0)),"")))</f>
        <v>TRT-CRM_CUSTOMER_SERVICE-INITIAL</v>
      </c>
      <c r="BZ789" t="str">
        <f>IF($BY789="","",IFERROR(INDEX(_REF_Treatment_Library!$H$2:$H$296,MATCH($BY789,_REF_Treatment_Library!$A$2:$A$296,0)),""))</f>
        <v>Establish</v>
      </c>
      <c r="CA789" t="str">
        <f>IF($BY789="","",IFERROR(INDEX(_REF_Treatment_Library!$I$2:$I$296,MATCH($BY789,_REF_Treatment_Library!$A$2:$A$296,0)),""))</f>
        <v>Establish baseline controls for CRM / service</v>
      </c>
      <c r="CB789" t="str">
        <f>IF($BY789="","",IFERROR(INDEX(_REF_Treatment_Library!$K$2:$K$296,MATCH($BY789,_REF_Treatment_Library!$A$2:$A$296,0)),""))</f>
        <v>Named owner, baseline process, minimum control checklist, first evidence package</v>
      </c>
      <c r="CC789" t="str">
        <f>IF($BY789="","",IFERROR(INDEX(_REF_Treatment_Library!$L$2:$L$296,MATCH($BY789,_REF_Treatment_Library!$A$2:$A$296,0)),""))</f>
        <v>Owner assigned; baseline evidence coverage; open critical gaps</v>
      </c>
      <c r="CD789" t="str">
        <f t="shared" si="178"/>
        <v>Treatment by capability=CAP_CRM_CUSTOMER_SERVICE; band=Initial / absent; score=0.0; treatment=Establish</v>
      </c>
      <c r="CE789" t="str">
        <f>IF($E789="","",IFERROR(INDEX(_REF_Industry_Wording!$A$2:$A$70,MATCH(1,INDEX((_REF_Industry_Wording!$B$2:$B$70=$BT789)*(_REF_Industry_Wording!$C$2:$C$70=PV_Canonical_Industry)*(_REF_Industry_Wording!$K$2:$K$70="Yes"),0),0)),IFERROR(INDEX(_REF_Industry_Wording!$A$2:$A$70,MATCH(1,INDEX((_REF_Industry_Wording!$B$2:$B$70=$BT789)*(_REF_Industry_Wording!$C$2:$C$70="All")*(_REF_Industry_Wording!$K$2:$K$70="Yes"),0),0)),"")))</f>
        <v>IW-ALL-CRM_CUSTOMER_SERVICE</v>
      </c>
      <c r="CF789" t="str">
        <f>IF($CE789="","",IFERROR(INDEX(_REF_Industry_Wording!$E$2:$E$70,MATCH($CE789,_REF_Industry_Wording!$A$2:$A$70,0)),""))</f>
        <v>CRM / service weakness</v>
      </c>
      <c r="CG789" t="str">
        <f>IF($CE789="","",IFERROR(INDEX(_REF_Industry_Wording!$F$2:$F$70,MATCH($CE789,_REF_Industry_Wording!$A$2:$A$70,0)),""))</f>
        <v>Strengthen CRM / service</v>
      </c>
      <c r="CH789" t="str">
        <f>IF($CE789="","",IFERROR(INDEX(_REF_Industry_Wording!$G$2:$G$70,MATCH($CE789,_REF_Industry_Wording!$A$2:$A$70,0)),""))</f>
        <v>Strengthen CRM / service using the selected maturity treatment, crisis scenario and evidence requirements.</v>
      </c>
      <c r="CI789" t="str">
        <f>IF($CE789="","",IFERROR(INDEX(_REF_Industry_Wording!$H$2:$H$70,MATCH($CE789,_REF_Industry_Wording!$A$2:$A$70,0)),""))</f>
        <v>CRM / service</v>
      </c>
      <c r="CJ789">
        <f>IF($CE789="","",IFERROR(INDEX(_REF_Industry_Wording!$I$2:$I$70,MATCH($CE789,_REF_Industry_Wording!$A$2:$A$70,0)),""))</f>
        <v>0</v>
      </c>
      <c r="CK789" t="str">
        <f>IF($CE789="","",IFERROR(INDEX(_REF_Industry_Wording!$J$2:$J$70,MATCH($CE789,_REF_Industry_Wording!$A$2:$A$70,0)),""))</f>
        <v>CRM / service</v>
      </c>
      <c r="CL789" t="str">
        <f t="shared" si="179"/>
        <v>Wording by industry=0; capability=CAP_CRM_CUSTOMER_SERVICE; risk label=CRM / service weakness</v>
      </c>
      <c r="CM789" t="str">
        <f t="shared" si="180"/>
        <v>RISK-ONT-0290</v>
      </c>
      <c r="CN789" t="str">
        <f t="shared" si="181"/>
        <v>RISK-EVT-0290</v>
      </c>
      <c r="CO789" t="str">
        <f t="shared" si="182"/>
        <v>Marketing Comms|Marketing operations|MARK-014|CAP_CRM_CUSTOMER_SERVICE</v>
      </c>
      <c r="CP789" t="str">
        <f t="shared" si="183"/>
        <v>Active</v>
      </c>
      <c r="CQ789" t="str">
        <f t="shared" si="184"/>
        <v>OK: capability-driven</v>
      </c>
      <c r="CR789" t="str">
        <f t="shared" si="185"/>
        <v>Risk ontology uses capability=CAP_CRM_CUSTOMER_SERVICE; bridge=BRG-063; treatment=TRT-CRM_CUSTOMER_SERVICE-INITIAL; wording=IW-ALL-CRM_CUSTOMER_SERVICE</v>
      </c>
      <c r="CS789" t="str">
        <f t="shared" si="186"/>
        <v>Yes</v>
      </c>
    </row>
    <row r="790" spans="1:97" ht="69.900000000000006" customHeight="1">
      <c r="A790">
        <f>IF(OR($B790&lt;&gt;"Yes",$BS790=""),"",SUMPRODUCT(($B$500:$B$923="Yes")*ISNUMBER($BS$500:$BS$923)*($BS$500:$BS$923&gt;$BS790))+COUNTIFS($B$500:$B790,"Yes",$BS$500:$BS790,$BS790))</f>
        <v>381</v>
      </c>
      <c r="B790" t="str">
        <f t="shared" si="155"/>
        <v>Yes</v>
      </c>
      <c r="C790" t="s">
        <v>2473</v>
      </c>
      <c r="D790" t="s">
        <v>2494</v>
      </c>
      <c r="E790" t="s">
        <v>2576</v>
      </c>
      <c r="F790" t="s">
        <v>3690</v>
      </c>
      <c r="G790" t="str">
        <f>IF($H790="","",IFERROR(INDEX(_ENGINE_Risk!$H$5:$M$499,MATCH($E790,_ENGINE_Risk!$A$5:$A$499,0),$H790+1),""))</f>
        <v>Severe risk: demand-generation playbooks for budget cuts, channel failure, competitive pressure or geopolitical restrictions is not reliably controlled. During Reputation crisis; Demand shock; IT outage, the organization may face loss of customer trust, reputational damage and inconsistent crisis communication with limited visibility or accountability.</v>
      </c>
      <c r="H790">
        <f>IFERROR(VALUE(INDEX(_DATA_Assessment_Model!$H$5:$H$884,MATCH($E790,_DATA_Assessment_Model!$A$5:$A$884,0))),"")</f>
        <v>0</v>
      </c>
      <c r="I790" t="str">
        <f>IF($H790="","",IFERROR(INDEX(_DATA_Assessment_Model!$L$5:$L$884,MATCH($E790,_DATA_Assessment_Model!$A$5:$A$884,0)),IF($H790&lt;=1,"Critical",IF($H790=2,"High",IF($H790=3,"Medium",IF($H790=4,"Low","Resilient"))))))</f>
        <v>Critical</v>
      </c>
      <c r="J790">
        <f t="shared" si="156"/>
        <v>3.6</v>
      </c>
      <c r="K790">
        <f t="shared" si="157"/>
        <v>3.8</v>
      </c>
      <c r="L790">
        <f t="shared" si="158"/>
        <v>13.68</v>
      </c>
      <c r="M790">
        <f t="shared" si="159"/>
        <v>3</v>
      </c>
      <c r="N790">
        <f>IF($H790="","",IFERROR(INDEX(_ENGINE_Risk!$T$5:$Y$499,MATCH($E790,_ENGINE_Risk!$A$5:$A$499,0),$H790+1),""))</f>
        <v>3</v>
      </c>
      <c r="O790">
        <f t="shared" si="160"/>
        <v>4</v>
      </c>
      <c r="P790">
        <f t="shared" si="161"/>
        <v>5</v>
      </c>
      <c r="Q790">
        <f t="shared" si="162"/>
        <v>5</v>
      </c>
      <c r="R790">
        <f t="shared" si="163"/>
        <v>4.5</v>
      </c>
      <c r="S790">
        <f t="shared" si="164"/>
        <v>1.54</v>
      </c>
      <c r="T790" t="str">
        <f>IF($H790="","",IFERROR(INDEX(_ENGINE_Risk!$N$5:$S$499,MATCH($E790,_ENGINE_Risk!$A$5:$A$499,0),$H790+1),""))</f>
        <v>Create an immediate risk owner, minimum control baseline and fallback procedure for demand-generation playbooks for budget cuts, channel failure, competitive pressure or geopolitical restrictions. Add it to the crisis risk register and collect first evidence.</v>
      </c>
      <c r="U790">
        <f>IFERROR(INDEX(_DATA_Assessment_Model!$G$5:$G$884,MATCH($E790,_DATA_Assessment_Model!$A$5:$A$884,0)),"")</f>
        <v>3</v>
      </c>
      <c r="V790">
        <f>IFERROR(INDEX(_DATA_Assessment_Model!$W$5:$W$884,MATCH($E790,_DATA_Assessment_Model!$A$5:$A$884,0)),"")</f>
        <v>4</v>
      </c>
      <c r="W790">
        <f>IFERROR(INDEX(_DATA_Assessment_Model!$X$5:$X$884,MATCH($E790,_DATA_Assessment_Model!$A$5:$A$884,0)),"")</f>
        <v>5</v>
      </c>
      <c r="X790">
        <f>IFERROR(INDEX(_DATA_Assessment_Model!$Y$5:$Y$884,MATCH($E790,_DATA_Assessment_Model!$A$5:$A$884,0)),"")</f>
        <v>5</v>
      </c>
      <c r="Y790" t="s">
        <v>2486</v>
      </c>
      <c r="Z790" t="s">
        <v>8519</v>
      </c>
      <c r="AA790" t="s">
        <v>2578</v>
      </c>
      <c r="AB790">
        <f>IFERROR(INDEX(_DATA_Assessment_Model!$U$5:$U$884,MATCH($E790,_DATA_Assessment_Model!$A$5:$A$884,0)),"")</f>
        <v>0</v>
      </c>
      <c r="AF790" t="s">
        <v>2577</v>
      </c>
      <c r="AO790">
        <f>IF($B790="Yes",IF(IFERROR(INDEX(_ENGINE_Crisis!$F$501:$F$517,MATCH($C790,_ENGINE_Crisis!$A$501:$A$517,0)),1)=0,1,IFERROR(INDEX(_ENGINE_Crisis!$F$501:$F$517,MATCH($C790,_ENGINE_Crisis!$A$501:$A$517,0)),1)),"")</f>
        <v>1</v>
      </c>
      <c r="AP790">
        <f t="shared" si="165"/>
        <v>13.7</v>
      </c>
      <c r="AQ790">
        <f t="shared" si="166"/>
        <v>1.54</v>
      </c>
      <c r="AR790" t="str">
        <f>IFERROR(INDEX(_ENGINE_Crisis!$E$41:$E$700,MATCH('Resilience &amp; Risk Scenario'!$B$6&amp;"|"&amp;$C790,_ENGINE_Crisis!$I$41:$I$700,0)),"")</f>
        <v/>
      </c>
      <c r="AS790" t="str">
        <f>IFERROR(INDEX(_ENGINE_Crisis!$G$41:$G$700,MATCH('Resilience &amp; Risk Scenario'!$B$6&amp;"|"&amp;$C790,_ENGINE_Crisis!$I$41:$I$700,0)),"")</f>
        <v/>
      </c>
      <c r="AT790" t="str">
        <f>IFERROR(INDEX(_ENGINE_Initiatives!$A$5:$A$532,MATCH(1,INDEX((_ENGINE_Initiatives!$B$5:$B$532=$C790)*(_ENGINE_Initiatives!$C$5:$C$532=$D790),0),0)),"")</f>
        <v>INI-047</v>
      </c>
      <c r="AU790" t="str">
        <f>IFERROR(INDEX(_ENGINE_Initiatives!$F$5:$F$532,MATCH(1,INDEX((_ENGINE_Initiatives!$B$5:$B$532=$C790)*(_ENGINE_Initiatives!$C$5:$C$532=$D790),0),0)),"")</f>
        <v>Standardize marketing operations, content and analytics cadence</v>
      </c>
      <c r="AV790">
        <f>IFERROR(INDEX(_ENGINE_Initiatives!$AC$5:$AC$532,MATCH(1,INDEX((_ENGINE_Initiatives!$B$5:$B$532=$C790)*(_ENGINE_Initiatives!$C$5:$C$532=$D790),0),0)),"")</f>
        <v>1.71</v>
      </c>
      <c r="AW790" t="str">
        <f>IFERROR(INDEX(_ENGINE_Initiatives!$AE$5:$AE$532,MATCH(1,INDEX((_ENGINE_Initiatives!$B$5:$B$532=$C790)*(_ENGINE_Initiatives!$C$5:$C$532=$D790),0),0)),"")</f>
        <v>6-12 months</v>
      </c>
      <c r="AX790">
        <f>IF($B790="Yes",IFERROR((IF(SUMIFS(_REF_Model_Content!$E$1:$E$613,_REF_Model_Content!$A$1:$A$613,PV_Canonical_Industry,_REF_Model_Content!$B$1:$B$613,$C790)=0,1,SUMIFS(_REF_Model_Content!$E$1:$E$613,_REF_Model_Content!$A$1:$A$613,PV_Canonical_Industry,_REF_Model_Content!$B$1:$B$613,$C790))*IFERROR($BU790,1)),1),"")</f>
        <v>1</v>
      </c>
      <c r="AY790">
        <f t="shared" si="167"/>
        <v>13.7</v>
      </c>
      <c r="AZ790">
        <f t="shared" si="168"/>
        <v>1.54</v>
      </c>
      <c r="BB790" t="str">
        <f>IF($H790="","",IFERROR(INDEX(_ENGINE_Risk!$AE$5:$AE$499,MATCH($E790,_ENGINE_Risk!$A$5:$A$499,0)),"Medium"))</f>
        <v>Medium</v>
      </c>
      <c r="BC790">
        <f t="shared" si="169"/>
        <v>1</v>
      </c>
      <c r="BD790">
        <f t="shared" si="170"/>
        <v>1.54</v>
      </c>
      <c r="BF790">
        <f>IF(OR($H790="",$J790=""),"",IFERROR(VLOOKUP(ROUND($J790,0),_CONFIG_Model_Settings!$D$154:$E$158,2,0),""))</f>
        <v>0.5</v>
      </c>
      <c r="BG790">
        <f>IFERROR(IF(OR($H790="",$K790=""),"",ROUND('Company Profile'!$B$113*INDEX(_CONFIG_Model_Settings!$H$154:$H$158,MATCH(ROUND($K790,0),_CONFIG_Model_Settings!$G$154:$G$158,0)),0)),0)</f>
        <v>875</v>
      </c>
      <c r="BH790">
        <f t="shared" si="171"/>
        <v>437.5</v>
      </c>
      <c r="BI790">
        <f t="shared" si="172"/>
        <v>437.5</v>
      </c>
      <c r="BJ790">
        <f>IF($E790="","",IFERROR(VLOOKUP($C790,_CONFIG_Risk_Calibration!$A$5:$H$21,2,FALSE),3))</f>
        <v>3</v>
      </c>
      <c r="BK790">
        <f>IF($E790="","",IFERROR(VLOOKUP($C790,_CONFIG_Risk_Calibration!$A$5:$H$21,3,FALSE),0))</f>
        <v>0</v>
      </c>
      <c r="BL790">
        <f>IF($E790="","",IFERROR(VLOOKUP($C790,_CONFIG_Risk_Calibration!$A$5:$H$21,4,FALSE),3))</f>
        <v>3</v>
      </c>
      <c r="BM790">
        <f>IF($E790="","",IFERROR(VLOOKUP($C790,_CONFIG_Risk_Calibration!$A$5:$H$21,5,FALSE),3))</f>
        <v>2</v>
      </c>
      <c r="BN790" t="str">
        <f>IF($E790="","",IFERROR(VLOOKUP($C790,_CONFIG_Risk_Calibration!$A$5:$H$21,6,FALSE),"No"))</f>
        <v>No</v>
      </c>
      <c r="BO790">
        <f>IF($E790="","",IFERROR(VLOOKUP($C790,_CONFIG_Risk_Calibration!$A$5:$H$21,7,FALSE),1))</f>
        <v>1</v>
      </c>
      <c r="BP790">
        <f>IF($H790="","",MAX(1,MIN(5,((6-$H790)*0.45)+($BJ790*0.2)+('Resilience &amp; Risk Scenario'!$B$7*0.15)+($BK790*0.1)+($BL790*0.05)+(IF($BB790="Fast",5,IF($BB790="Slow",1,3))*0.05))))</f>
        <v>3.6</v>
      </c>
      <c r="BQ790">
        <f t="shared" si="173"/>
        <v>3.8</v>
      </c>
      <c r="BR790">
        <f t="shared" si="174"/>
        <v>13.68</v>
      </c>
      <c r="BS790">
        <f t="shared" si="175"/>
        <v>12.31</v>
      </c>
      <c r="BT790" t="str">
        <f>IFERROR(INDEX(_REF_Capability_Bridge!$D:$D,MATCH($C790&amp;"|"&amp;$D790,_REF_Capability_Bridge!$J:$J,0)),IFERROR(INDEX(_REF_Capability_Bridge!$D:$D,MATCH($C790&amp;"|",_REF_Capability_Bridge!$J:$J,0)),"CAP_GENERIC"))</f>
        <v>CAP_CRM_CUSTOMER_SERVICE</v>
      </c>
      <c r="BU790">
        <f>IFERROR(IFERROR(INDEX(_ENGINE_Relevance!$L:$L,MATCH($BT790,_ENGINE_Relevance!$B:$B,0)),1),1)</f>
        <v>1</v>
      </c>
      <c r="BV790" t="str">
        <f>IFERROR(INDEX(_REF_Capability_Bridge!$A:$A,MATCH($C790&amp;"|"&amp;$D790,_REF_Capability_Bridge!$J:$J,0)),IFERROR(INDEX(_REF_Capability_Bridge!$A:$A,MATCH($C790&amp;"|",_REF_Capability_Bridge!$J:$J,0)),"No bridge"))</f>
        <v>BRG-063</v>
      </c>
      <c r="BW790" t="str">
        <f t="shared" si="176"/>
        <v>Capability relevance neutral</v>
      </c>
      <c r="BX790" t="str">
        <f t="shared" si="177"/>
        <v>Initial / absent</v>
      </c>
      <c r="BY790" t="str">
        <f>IF($E790="","",IFERROR(INDEX(_REF_Treatment_Library!$A$2:$A$296,MATCH(1,INDEX((_REF_Treatment_Library!$B$2:$B$296=$BT790)*(_REF_Treatment_Library!$C$2:$C$296=PV_Canonical_Industry)*(_REF_Treatment_Library!$E$2:$E$296&lt;=N($H790))*(_REF_Treatment_Library!$F$2:$F$296&gt;=N($H790))*(_REF_Treatment_Library!$O$2:$O$296="Yes"),0),0)),IFERROR(INDEX(_REF_Treatment_Library!$A$2:$A$296,MATCH(1,INDEX((_REF_Treatment_Library!$B$2:$B$296=$BT790)*(_REF_Treatment_Library!$C$2:$C$296="All")*(_REF_Treatment_Library!$E$2:$E$296&lt;=N($H790))*(_REF_Treatment_Library!$F$2:$F$296&gt;=N($H790))*(_REF_Treatment_Library!$O$2:$O$296="Yes"),0),0)),"")))</f>
        <v>TRT-CRM_CUSTOMER_SERVICE-INITIAL</v>
      </c>
      <c r="BZ790" t="str">
        <f>IF($BY790="","",IFERROR(INDEX(_REF_Treatment_Library!$H$2:$H$296,MATCH($BY790,_REF_Treatment_Library!$A$2:$A$296,0)),""))</f>
        <v>Establish</v>
      </c>
      <c r="CA790" t="str">
        <f>IF($BY790="","",IFERROR(INDEX(_REF_Treatment_Library!$I$2:$I$296,MATCH($BY790,_REF_Treatment_Library!$A$2:$A$296,0)),""))</f>
        <v>Establish baseline controls for CRM / service</v>
      </c>
      <c r="CB790" t="str">
        <f>IF($BY790="","",IFERROR(INDEX(_REF_Treatment_Library!$K$2:$K$296,MATCH($BY790,_REF_Treatment_Library!$A$2:$A$296,0)),""))</f>
        <v>Named owner, baseline process, minimum control checklist, first evidence package</v>
      </c>
      <c r="CC790" t="str">
        <f>IF($BY790="","",IFERROR(INDEX(_REF_Treatment_Library!$L$2:$L$296,MATCH($BY790,_REF_Treatment_Library!$A$2:$A$296,0)),""))</f>
        <v>Owner assigned; baseline evidence coverage; open critical gaps</v>
      </c>
      <c r="CD790" t="str">
        <f t="shared" si="178"/>
        <v>Treatment by capability=CAP_CRM_CUSTOMER_SERVICE; band=Initial / absent; score=0.0; treatment=Establish</v>
      </c>
      <c r="CE790" t="str">
        <f>IF($E790="","",IFERROR(INDEX(_REF_Industry_Wording!$A$2:$A$70,MATCH(1,INDEX((_REF_Industry_Wording!$B$2:$B$70=$BT790)*(_REF_Industry_Wording!$C$2:$C$70=PV_Canonical_Industry)*(_REF_Industry_Wording!$K$2:$K$70="Yes"),0),0)),IFERROR(INDEX(_REF_Industry_Wording!$A$2:$A$70,MATCH(1,INDEX((_REF_Industry_Wording!$B$2:$B$70=$BT790)*(_REF_Industry_Wording!$C$2:$C$70="All")*(_REF_Industry_Wording!$K$2:$K$70="Yes"),0),0)),"")))</f>
        <v>IW-ALL-CRM_CUSTOMER_SERVICE</v>
      </c>
      <c r="CF790" t="str">
        <f>IF($CE790="","",IFERROR(INDEX(_REF_Industry_Wording!$E$2:$E$70,MATCH($CE790,_REF_Industry_Wording!$A$2:$A$70,0)),""))</f>
        <v>CRM / service weakness</v>
      </c>
      <c r="CG790" t="str">
        <f>IF($CE790="","",IFERROR(INDEX(_REF_Industry_Wording!$F$2:$F$70,MATCH($CE790,_REF_Industry_Wording!$A$2:$A$70,0)),""))</f>
        <v>Strengthen CRM / service</v>
      </c>
      <c r="CH790" t="str">
        <f>IF($CE790="","",IFERROR(INDEX(_REF_Industry_Wording!$G$2:$G$70,MATCH($CE790,_REF_Industry_Wording!$A$2:$A$70,0)),""))</f>
        <v>Strengthen CRM / service using the selected maturity treatment, crisis scenario and evidence requirements.</v>
      </c>
      <c r="CI790" t="str">
        <f>IF($CE790="","",IFERROR(INDEX(_REF_Industry_Wording!$H$2:$H$70,MATCH($CE790,_REF_Industry_Wording!$A$2:$A$70,0)),""))</f>
        <v>CRM / service</v>
      </c>
      <c r="CJ790">
        <f>IF($CE790="","",IFERROR(INDEX(_REF_Industry_Wording!$I$2:$I$70,MATCH($CE790,_REF_Industry_Wording!$A$2:$A$70,0)),""))</f>
        <v>0</v>
      </c>
      <c r="CK790" t="str">
        <f>IF($CE790="","",IFERROR(INDEX(_REF_Industry_Wording!$J$2:$J$70,MATCH($CE790,_REF_Industry_Wording!$A$2:$A$70,0)),""))</f>
        <v>CRM / service</v>
      </c>
      <c r="CL790" t="str">
        <f t="shared" si="179"/>
        <v>Wording by industry=0; capability=CAP_CRM_CUSTOMER_SERVICE; risk label=CRM / service weakness</v>
      </c>
      <c r="CM790" t="str">
        <f t="shared" si="180"/>
        <v>RISK-ONT-0291</v>
      </c>
      <c r="CN790" t="str">
        <f t="shared" si="181"/>
        <v>RISK-EVT-0291</v>
      </c>
      <c r="CO790" t="str">
        <f t="shared" si="182"/>
        <v>Marketing Comms|Marketing operations|MARK-015|CAP_CRM_CUSTOMER_SERVICE</v>
      </c>
      <c r="CP790" t="str">
        <f t="shared" si="183"/>
        <v>Active</v>
      </c>
      <c r="CQ790" t="str">
        <f t="shared" si="184"/>
        <v>OK: capability-driven</v>
      </c>
      <c r="CR790" t="str">
        <f t="shared" si="185"/>
        <v>Risk ontology uses capability=CAP_CRM_CUSTOMER_SERVICE; bridge=BRG-063; treatment=TRT-CRM_CUSTOMER_SERVICE-INITIAL; wording=IW-ALL-CRM_CUSTOMER_SERVICE</v>
      </c>
      <c r="CS790" t="str">
        <f t="shared" si="186"/>
        <v>Yes</v>
      </c>
    </row>
    <row r="791" spans="1:97" ht="69.900000000000006" customHeight="1">
      <c r="A791">
        <f>IF(OR($B791&lt;&gt;"Yes",$BS791=""),"",SUMPRODUCT(($B$500:$B$923="Yes")*ISNUMBER($BS$500:$BS$923)*($BS$500:$BS$923&gt;$BS791))+COUNTIFS($B$500:$B791,"Yes",$BS$500:$BS791,$BS791))</f>
        <v>357</v>
      </c>
      <c r="B791" t="str">
        <f t="shared" si="155"/>
        <v>Yes</v>
      </c>
      <c r="C791" t="s">
        <v>2473</v>
      </c>
      <c r="D791" t="s">
        <v>2494</v>
      </c>
      <c r="E791" t="s">
        <v>2585</v>
      </c>
      <c r="F791" t="s">
        <v>3690</v>
      </c>
      <c r="G791" t="str">
        <f>IF($H791="","",IFERROR(INDEX(_ENGINE_Risk!$H$5:$M$499,MATCH($E791,_ENGINE_Risk!$A$5:$A$499,0),$H791+1),""))</f>
        <v>Severe risk: sales-marketing alignment on ICP, lead definitions, messages, offers and crisis concerns is not reliably controlled. During Reputation crisis; Demand shock; IT outage, the organization may face loss of customer trust, reputational damage and inconsistent crisis communication with limited visibility or accountability.</v>
      </c>
      <c r="H791">
        <f>IFERROR(VALUE(INDEX(_DATA_Assessment_Model!$H$5:$H$884,MATCH($E791,_DATA_Assessment_Model!$A$5:$A$884,0))),"")</f>
        <v>0</v>
      </c>
      <c r="I791" t="str">
        <f>IF($H791="","",IFERROR(INDEX(_DATA_Assessment_Model!$L$5:$L$884,MATCH($E791,_DATA_Assessment_Model!$A$5:$A$884,0)),IF($H791&lt;=1,"Critical",IF($H791=2,"High",IF($H791=3,"Medium",IF($H791=4,"Low","Resilient"))))))</f>
        <v>Critical</v>
      </c>
      <c r="J791">
        <f t="shared" si="156"/>
        <v>3.6</v>
      </c>
      <c r="K791">
        <f t="shared" si="157"/>
        <v>4.2</v>
      </c>
      <c r="L791">
        <f t="shared" si="158"/>
        <v>15.120000000000001</v>
      </c>
      <c r="M791">
        <f t="shared" si="159"/>
        <v>4</v>
      </c>
      <c r="N791">
        <f>IF($H791="","",IFERROR(INDEX(_ENGINE_Risk!$T$5:$Y$499,MATCH($E791,_ENGINE_Risk!$A$5:$A$499,0),$H791+1),""))</f>
        <v>3</v>
      </c>
      <c r="O791">
        <f t="shared" si="160"/>
        <v>4.666666666666667</v>
      </c>
      <c r="P791">
        <f t="shared" si="161"/>
        <v>5</v>
      </c>
      <c r="Q791">
        <f t="shared" si="162"/>
        <v>5</v>
      </c>
      <c r="R791">
        <f t="shared" si="163"/>
        <v>4.5</v>
      </c>
      <c r="S791">
        <f t="shared" si="164"/>
        <v>1.6</v>
      </c>
      <c r="T791" t="str">
        <f>IF($H791="","",IFERROR(INDEX(_ENGINE_Risk!$N$5:$S$499,MATCH($E791,_ENGINE_Risk!$A$5:$A$499,0),$H791+1),""))</f>
        <v>Create an immediate risk owner, minimum control baseline and fallback procedure for sales-marketing alignment on ICP, lead definitions, messages, offers and crisis concerns. Add it to the crisis risk register and collect first evidence.</v>
      </c>
      <c r="U791">
        <f>IFERROR(INDEX(_DATA_Assessment_Model!$G$5:$G$884,MATCH($E791,_DATA_Assessment_Model!$A$5:$A$884,0)),"")</f>
        <v>5</v>
      </c>
      <c r="V791">
        <f>IFERROR(INDEX(_DATA_Assessment_Model!$W$5:$W$884,MATCH($E791,_DATA_Assessment_Model!$A$5:$A$884,0)),"")</f>
        <v>4</v>
      </c>
      <c r="W791">
        <f>IFERROR(INDEX(_DATA_Assessment_Model!$X$5:$X$884,MATCH($E791,_DATA_Assessment_Model!$A$5:$A$884,0)),"")</f>
        <v>5</v>
      </c>
      <c r="X791">
        <f>IFERROR(INDEX(_DATA_Assessment_Model!$Y$5:$Y$884,MATCH($E791,_DATA_Assessment_Model!$A$5:$A$884,0)),"")</f>
        <v>5</v>
      </c>
      <c r="Y791" t="s">
        <v>2486</v>
      </c>
      <c r="Z791" t="s">
        <v>8519</v>
      </c>
      <c r="AA791" t="s">
        <v>2587</v>
      </c>
      <c r="AB791">
        <f>IFERROR(INDEX(_DATA_Assessment_Model!$U$5:$U$884,MATCH($E791,_DATA_Assessment_Model!$A$5:$A$884,0)),"")</f>
        <v>0</v>
      </c>
      <c r="AF791" t="s">
        <v>2586</v>
      </c>
      <c r="AO791">
        <f>IF($B791="Yes",IF(IFERROR(INDEX(_ENGINE_Crisis!$F$501:$F$517,MATCH($C791,_ENGINE_Crisis!$A$501:$A$517,0)),1)=0,1,IFERROR(INDEX(_ENGINE_Crisis!$F$501:$F$517,MATCH($C791,_ENGINE_Crisis!$A$501:$A$517,0)),1)),"")</f>
        <v>1</v>
      </c>
      <c r="AP791">
        <f t="shared" si="165"/>
        <v>15.1</v>
      </c>
      <c r="AQ791">
        <f t="shared" si="166"/>
        <v>1.6</v>
      </c>
      <c r="AR791" t="str">
        <f>IFERROR(INDEX(_ENGINE_Crisis!$E$41:$E$700,MATCH('Resilience &amp; Risk Scenario'!$B$6&amp;"|"&amp;$C791,_ENGINE_Crisis!$I$41:$I$700,0)),"")</f>
        <v/>
      </c>
      <c r="AS791" t="str">
        <f>IFERROR(INDEX(_ENGINE_Crisis!$G$41:$G$700,MATCH('Resilience &amp; Risk Scenario'!$B$6&amp;"|"&amp;$C791,_ENGINE_Crisis!$I$41:$I$700,0)),"")</f>
        <v/>
      </c>
      <c r="AT791" t="str">
        <f>IFERROR(INDEX(_ENGINE_Initiatives!$A$5:$A$532,MATCH(1,INDEX((_ENGINE_Initiatives!$B$5:$B$532=$C791)*(_ENGINE_Initiatives!$C$5:$C$532=$D791),0),0)),"")</f>
        <v>INI-047</v>
      </c>
      <c r="AU791" t="str">
        <f>IFERROR(INDEX(_ENGINE_Initiatives!$F$5:$F$532,MATCH(1,INDEX((_ENGINE_Initiatives!$B$5:$B$532=$C791)*(_ENGINE_Initiatives!$C$5:$C$532=$D791),0),0)),"")</f>
        <v>Standardize marketing operations, content and analytics cadence</v>
      </c>
      <c r="AV791">
        <f>IFERROR(INDEX(_ENGINE_Initiatives!$AC$5:$AC$532,MATCH(1,INDEX((_ENGINE_Initiatives!$B$5:$B$532=$C791)*(_ENGINE_Initiatives!$C$5:$C$532=$D791),0),0)),"")</f>
        <v>1.71</v>
      </c>
      <c r="AW791" t="str">
        <f>IFERROR(INDEX(_ENGINE_Initiatives!$AE$5:$AE$532,MATCH(1,INDEX((_ENGINE_Initiatives!$B$5:$B$532=$C791)*(_ENGINE_Initiatives!$C$5:$C$532=$D791),0),0)),"")</f>
        <v>6-12 months</v>
      </c>
      <c r="AX791">
        <f>IF($B791="Yes",IFERROR((IF(SUMIFS(_REF_Model_Content!$E$1:$E$613,_REF_Model_Content!$A$1:$A$613,PV_Canonical_Industry,_REF_Model_Content!$B$1:$B$613,$C791)=0,1,SUMIFS(_REF_Model_Content!$E$1:$E$613,_REF_Model_Content!$A$1:$A$613,PV_Canonical_Industry,_REF_Model_Content!$B$1:$B$613,$C791))*IFERROR($BU791,1)),1),"")</f>
        <v>1</v>
      </c>
      <c r="AY791">
        <f t="shared" si="167"/>
        <v>15.1</v>
      </c>
      <c r="AZ791">
        <f t="shared" si="168"/>
        <v>1.6</v>
      </c>
      <c r="BB791" t="str">
        <f>IF($H791="","",IFERROR(INDEX(_ENGINE_Risk!$AE$5:$AE$499,MATCH($E791,_ENGINE_Risk!$A$5:$A$499,0)),"Medium"))</f>
        <v>Medium</v>
      </c>
      <c r="BC791">
        <f t="shared" si="169"/>
        <v>1</v>
      </c>
      <c r="BD791">
        <f t="shared" si="170"/>
        <v>1.6</v>
      </c>
      <c r="BF791">
        <f>IF(OR($H791="",$J791=""),"",IFERROR(VLOOKUP(ROUND($J791,0),_CONFIG_Model_Settings!$D$154:$E$158,2,0),""))</f>
        <v>0.5</v>
      </c>
      <c r="BG791">
        <f>IFERROR(IF(OR($H791="",$K791=""),"",ROUND('Company Profile'!$B$113*INDEX(_CONFIG_Model_Settings!$H$154:$H$158,MATCH(ROUND($K791,0),_CONFIG_Model_Settings!$G$154:$G$158,0)),0)),0)</f>
        <v>875</v>
      </c>
      <c r="BH791">
        <f t="shared" si="171"/>
        <v>437.5</v>
      </c>
      <c r="BI791">
        <f t="shared" si="172"/>
        <v>437.5</v>
      </c>
      <c r="BJ791">
        <f>IF($E791="","",IFERROR(VLOOKUP($C791,_CONFIG_Risk_Calibration!$A$5:$H$21,2,FALSE),3))</f>
        <v>3</v>
      </c>
      <c r="BK791">
        <f>IF($E791="","",IFERROR(VLOOKUP($C791,_CONFIG_Risk_Calibration!$A$5:$H$21,3,FALSE),0))</f>
        <v>0</v>
      </c>
      <c r="BL791">
        <f>IF($E791="","",IFERROR(VLOOKUP($C791,_CONFIG_Risk_Calibration!$A$5:$H$21,4,FALSE),3))</f>
        <v>3</v>
      </c>
      <c r="BM791">
        <f>IF($E791="","",IFERROR(VLOOKUP($C791,_CONFIG_Risk_Calibration!$A$5:$H$21,5,FALSE),3))</f>
        <v>2</v>
      </c>
      <c r="BN791" t="str">
        <f>IF($E791="","",IFERROR(VLOOKUP($C791,_CONFIG_Risk_Calibration!$A$5:$H$21,6,FALSE),"No"))</f>
        <v>No</v>
      </c>
      <c r="BO791">
        <f>IF($E791="","",IFERROR(VLOOKUP($C791,_CONFIG_Risk_Calibration!$A$5:$H$21,7,FALSE),1))</f>
        <v>1</v>
      </c>
      <c r="BP791">
        <f>IF($H791="","",MAX(1,MIN(5,((6-$H791)*0.45)+($BJ791*0.2)+('Resilience &amp; Risk Scenario'!$B$7*0.15)+($BK791*0.1)+($BL791*0.05)+(IF($BB791="Fast",5,IF($BB791="Slow",1,3))*0.05))))</f>
        <v>3.6</v>
      </c>
      <c r="BQ791">
        <f t="shared" si="173"/>
        <v>4.2</v>
      </c>
      <c r="BR791">
        <f t="shared" si="174"/>
        <v>15.12</v>
      </c>
      <c r="BS791">
        <f t="shared" si="175"/>
        <v>13.61</v>
      </c>
      <c r="BT791" t="str">
        <f>IFERROR(INDEX(_REF_Capability_Bridge!$D:$D,MATCH($C791&amp;"|"&amp;$D791,_REF_Capability_Bridge!$J:$J,0)),IFERROR(INDEX(_REF_Capability_Bridge!$D:$D,MATCH($C791&amp;"|",_REF_Capability_Bridge!$J:$J,0)),"CAP_GENERIC"))</f>
        <v>CAP_CRM_CUSTOMER_SERVICE</v>
      </c>
      <c r="BU791">
        <f>IFERROR(IFERROR(INDEX(_ENGINE_Relevance!$L:$L,MATCH($BT791,_ENGINE_Relevance!$B:$B,0)),1),1)</f>
        <v>1</v>
      </c>
      <c r="BV791" t="str">
        <f>IFERROR(INDEX(_REF_Capability_Bridge!$A:$A,MATCH($C791&amp;"|"&amp;$D791,_REF_Capability_Bridge!$J:$J,0)),IFERROR(INDEX(_REF_Capability_Bridge!$A:$A,MATCH($C791&amp;"|",_REF_Capability_Bridge!$J:$J,0)),"No bridge"))</f>
        <v>BRG-063</v>
      </c>
      <c r="BW791" t="str">
        <f t="shared" si="176"/>
        <v>Capability relevance neutral</v>
      </c>
      <c r="BX791" t="str">
        <f t="shared" si="177"/>
        <v>Initial / absent</v>
      </c>
      <c r="BY791" t="str">
        <f>IF($E791="","",IFERROR(INDEX(_REF_Treatment_Library!$A$2:$A$296,MATCH(1,INDEX((_REF_Treatment_Library!$B$2:$B$296=$BT791)*(_REF_Treatment_Library!$C$2:$C$296=PV_Canonical_Industry)*(_REF_Treatment_Library!$E$2:$E$296&lt;=N($H791))*(_REF_Treatment_Library!$F$2:$F$296&gt;=N($H791))*(_REF_Treatment_Library!$O$2:$O$296="Yes"),0),0)),IFERROR(INDEX(_REF_Treatment_Library!$A$2:$A$296,MATCH(1,INDEX((_REF_Treatment_Library!$B$2:$B$296=$BT791)*(_REF_Treatment_Library!$C$2:$C$296="All")*(_REF_Treatment_Library!$E$2:$E$296&lt;=N($H791))*(_REF_Treatment_Library!$F$2:$F$296&gt;=N($H791))*(_REF_Treatment_Library!$O$2:$O$296="Yes"),0),0)),"")))</f>
        <v>TRT-CRM_CUSTOMER_SERVICE-INITIAL</v>
      </c>
      <c r="BZ791" t="str">
        <f>IF($BY791="","",IFERROR(INDEX(_REF_Treatment_Library!$H$2:$H$296,MATCH($BY791,_REF_Treatment_Library!$A$2:$A$296,0)),""))</f>
        <v>Establish</v>
      </c>
      <c r="CA791" t="str">
        <f>IF($BY791="","",IFERROR(INDEX(_REF_Treatment_Library!$I$2:$I$296,MATCH($BY791,_REF_Treatment_Library!$A$2:$A$296,0)),""))</f>
        <v>Establish baseline controls for CRM / service</v>
      </c>
      <c r="CB791" t="str">
        <f>IF($BY791="","",IFERROR(INDEX(_REF_Treatment_Library!$K$2:$K$296,MATCH($BY791,_REF_Treatment_Library!$A$2:$A$296,0)),""))</f>
        <v>Named owner, baseline process, minimum control checklist, first evidence package</v>
      </c>
      <c r="CC791" t="str">
        <f>IF($BY791="","",IFERROR(INDEX(_REF_Treatment_Library!$L$2:$L$296,MATCH($BY791,_REF_Treatment_Library!$A$2:$A$296,0)),""))</f>
        <v>Owner assigned; baseline evidence coverage; open critical gaps</v>
      </c>
      <c r="CD791" t="str">
        <f t="shared" si="178"/>
        <v>Treatment by capability=CAP_CRM_CUSTOMER_SERVICE; band=Initial / absent; score=0.0; treatment=Establish</v>
      </c>
      <c r="CE791" t="str">
        <f>IF($E791="","",IFERROR(INDEX(_REF_Industry_Wording!$A$2:$A$70,MATCH(1,INDEX((_REF_Industry_Wording!$B$2:$B$70=$BT791)*(_REF_Industry_Wording!$C$2:$C$70=PV_Canonical_Industry)*(_REF_Industry_Wording!$K$2:$K$70="Yes"),0),0)),IFERROR(INDEX(_REF_Industry_Wording!$A$2:$A$70,MATCH(1,INDEX((_REF_Industry_Wording!$B$2:$B$70=$BT791)*(_REF_Industry_Wording!$C$2:$C$70="All")*(_REF_Industry_Wording!$K$2:$K$70="Yes"),0),0)),"")))</f>
        <v>IW-ALL-CRM_CUSTOMER_SERVICE</v>
      </c>
      <c r="CF791" t="str">
        <f>IF($CE791="","",IFERROR(INDEX(_REF_Industry_Wording!$E$2:$E$70,MATCH($CE791,_REF_Industry_Wording!$A$2:$A$70,0)),""))</f>
        <v>CRM / service weakness</v>
      </c>
      <c r="CG791" t="str">
        <f>IF($CE791="","",IFERROR(INDEX(_REF_Industry_Wording!$F$2:$F$70,MATCH($CE791,_REF_Industry_Wording!$A$2:$A$70,0)),""))</f>
        <v>Strengthen CRM / service</v>
      </c>
      <c r="CH791" t="str">
        <f>IF($CE791="","",IFERROR(INDEX(_REF_Industry_Wording!$G$2:$G$70,MATCH($CE791,_REF_Industry_Wording!$A$2:$A$70,0)),""))</f>
        <v>Strengthen CRM / service using the selected maturity treatment, crisis scenario and evidence requirements.</v>
      </c>
      <c r="CI791" t="str">
        <f>IF($CE791="","",IFERROR(INDEX(_REF_Industry_Wording!$H$2:$H$70,MATCH($CE791,_REF_Industry_Wording!$A$2:$A$70,0)),""))</f>
        <v>CRM / service</v>
      </c>
      <c r="CJ791">
        <f>IF($CE791="","",IFERROR(INDEX(_REF_Industry_Wording!$I$2:$I$70,MATCH($CE791,_REF_Industry_Wording!$A$2:$A$70,0)),""))</f>
        <v>0</v>
      </c>
      <c r="CK791" t="str">
        <f>IF($CE791="","",IFERROR(INDEX(_REF_Industry_Wording!$J$2:$J$70,MATCH($CE791,_REF_Industry_Wording!$A$2:$A$70,0)),""))</f>
        <v>CRM / service</v>
      </c>
      <c r="CL791" t="str">
        <f t="shared" si="179"/>
        <v>Wording by industry=0; capability=CAP_CRM_CUSTOMER_SERVICE; risk label=CRM / service weakness</v>
      </c>
      <c r="CM791" t="str">
        <f t="shared" si="180"/>
        <v>RISK-ONT-0292</v>
      </c>
      <c r="CN791" t="str">
        <f t="shared" si="181"/>
        <v>RISK-EVT-0292</v>
      </c>
      <c r="CO791" t="str">
        <f t="shared" si="182"/>
        <v>Marketing Comms|Marketing operations|MARK-016|CAP_CRM_CUSTOMER_SERVICE</v>
      </c>
      <c r="CP791" t="str">
        <f t="shared" si="183"/>
        <v>Active</v>
      </c>
      <c r="CQ791" t="str">
        <f t="shared" si="184"/>
        <v>OK: capability-driven</v>
      </c>
      <c r="CR791" t="str">
        <f t="shared" si="185"/>
        <v>Risk ontology uses capability=CAP_CRM_CUSTOMER_SERVICE; bridge=BRG-063; treatment=TRT-CRM_CUSTOMER_SERVICE-INITIAL; wording=IW-ALL-CRM_CUSTOMER_SERVICE</v>
      </c>
      <c r="CS791" t="str">
        <f t="shared" si="186"/>
        <v>Yes</v>
      </c>
    </row>
    <row r="792" spans="1:97" ht="69.900000000000006" customHeight="1">
      <c r="A792">
        <f>IF(OR($B792&lt;&gt;"Yes",$BS792=""),"",SUMPRODUCT(($B$500:$B$923="Yes")*ISNUMBER($BS$500:$BS$923)*($BS$500:$BS$923&gt;$BS792))+COUNTIFS($B$500:$B792,"Yes",$BS$500:$BS792,$BS792))</f>
        <v>182</v>
      </c>
      <c r="B792" t="str">
        <f t="shared" si="155"/>
        <v>Yes</v>
      </c>
      <c r="C792" t="s">
        <v>2588</v>
      </c>
      <c r="D792" t="s">
        <v>2590</v>
      </c>
      <c r="E792" t="s">
        <v>2589</v>
      </c>
      <c r="F792" t="s">
        <v>4333</v>
      </c>
      <c r="G792" t="str">
        <f>IF($H792="","",IFERROR(INDEX(_ENGINE_Risk!$H$5:$M$499,MATCH($E792,_ENGINE_Risk!$A$5:$A$499,0),$H792+1),""))</f>
        <v>Severe risk: complete inventory of applications, infrastructure, cloud accounts, integrations, data stores and owners is not reliably controlled. During IT outage; Cloud outage; Data loss; Cyberattack, the organization may face system outage, data unavailability, excessive RTO/RPO and inability to restore critical technology services with limited visibility or accountability.</v>
      </c>
      <c r="H792">
        <f>IFERROR(VALUE(INDEX(_DATA_Assessment_Model!$H$5:$H$884,MATCH($E792,_DATA_Assessment_Model!$A$5:$A$884,0))),"")</f>
        <v>0</v>
      </c>
      <c r="I792" t="str">
        <f>IF($H792="","",IFERROR(INDEX(_DATA_Assessment_Model!$L$5:$L$884,MATCH($E792,_DATA_Assessment_Model!$A$5:$A$884,0)),IF($H792&lt;=1,"Critical",IF($H792=2,"High",IF($H792=3,"Medium",IF($H792=4,"Low","Resilient"))))))</f>
        <v>Critical</v>
      </c>
      <c r="J792">
        <f t="shared" si="156"/>
        <v>3.6</v>
      </c>
      <c r="K792">
        <f t="shared" si="157"/>
        <v>4.6499999999999995</v>
      </c>
      <c r="L792">
        <f t="shared" si="158"/>
        <v>16.739999999999998</v>
      </c>
      <c r="M792">
        <f t="shared" si="159"/>
        <v>4</v>
      </c>
      <c r="N792">
        <f>IF($H792="","",IFERROR(INDEX(_ENGINE_Risk!$T$5:$Y$499,MATCH($E792,_ENGINE_Risk!$A$5:$A$499,0),$H792+1),""))</f>
        <v>4</v>
      </c>
      <c r="O792">
        <f t="shared" si="160"/>
        <v>5</v>
      </c>
      <c r="P792">
        <f t="shared" si="161"/>
        <v>5</v>
      </c>
      <c r="Q792">
        <f t="shared" si="162"/>
        <v>5</v>
      </c>
      <c r="R792">
        <f t="shared" si="163"/>
        <v>5</v>
      </c>
      <c r="S792">
        <f t="shared" si="164"/>
        <v>1.25</v>
      </c>
      <c r="T792" t="str">
        <f>IF($H792="","",IFERROR(INDEX(_ENGINE_Risk!$N$5:$S$499,MATCH($E792,_ENGINE_Risk!$A$5:$A$499,0),$H792+1),""))</f>
        <v>Create an immediate risk owner, minimum control baseline and fallback procedure for complete inventory of applications, infrastructure, cloud accounts, integrations, data stores and owners. Add it to the crisis risk register and collect first evidence.</v>
      </c>
      <c r="U792">
        <f>IFERROR(INDEX(_DATA_Assessment_Model!$G$5:$G$884,MATCH($E792,_DATA_Assessment_Model!$A$5:$A$884,0)),"")</f>
        <v>5</v>
      </c>
      <c r="V792">
        <f>IFERROR(INDEX(_DATA_Assessment_Model!$W$5:$W$884,MATCH($E792,_DATA_Assessment_Model!$A$5:$A$884,0)),"")</f>
        <v>5</v>
      </c>
      <c r="W792">
        <f>IFERROR(INDEX(_DATA_Assessment_Model!$X$5:$X$884,MATCH($E792,_DATA_Assessment_Model!$A$5:$A$884,0)),"")</f>
        <v>5</v>
      </c>
      <c r="X792">
        <f>IFERROR(INDEX(_DATA_Assessment_Model!$Y$5:$Y$884,MATCH($E792,_DATA_Assessment_Model!$A$5:$A$884,0)),"")</f>
        <v>5</v>
      </c>
      <c r="Y792" t="s">
        <v>2595</v>
      </c>
      <c r="Z792" t="s">
        <v>8744</v>
      </c>
      <c r="AA792" t="s">
        <v>2594</v>
      </c>
      <c r="AB792">
        <f>IFERROR(INDEX(_DATA_Assessment_Model!$U$5:$U$884,MATCH($E792,_DATA_Assessment_Model!$A$5:$A$884,0)),"")</f>
        <v>0</v>
      </c>
      <c r="AF792" t="s">
        <v>2591</v>
      </c>
      <c r="AO792">
        <f>IF($B792="Yes",IF(IFERROR(INDEX(_ENGINE_Crisis!$F$501:$F$517,MATCH($C792,_ENGINE_Crisis!$A$501:$A$517,0)),1)=0,1,IFERROR(INDEX(_ENGINE_Crisis!$F$501:$F$517,MATCH($C792,_ENGINE_Crisis!$A$501:$A$517,0)),1)),"")</f>
        <v>1</v>
      </c>
      <c r="AP792">
        <f t="shared" si="165"/>
        <v>16.7</v>
      </c>
      <c r="AQ792">
        <f t="shared" si="166"/>
        <v>1.25</v>
      </c>
      <c r="AR792" t="str">
        <f>IFERROR(INDEX(_ENGINE_Crisis!$E$41:$E$700,MATCH('Resilience &amp; Risk Scenario'!$B$6&amp;"|"&amp;$C792,_ENGINE_Crisis!$I$41:$I$700,0)),"")</f>
        <v/>
      </c>
      <c r="AS792" t="str">
        <f>IFERROR(INDEX(_ENGINE_Crisis!$G$41:$G$700,MATCH('Resilience &amp; Risk Scenario'!$B$6&amp;"|"&amp;$C792,_ENGINE_Crisis!$I$41:$I$700,0)),"")</f>
        <v/>
      </c>
      <c r="AT792" t="str">
        <f>IFERROR(INDEX(_ENGINE_Initiatives!$A$5:$A$532,MATCH(1,INDEX((_ENGINE_Initiatives!$B$5:$B$532=$C792)*(_ENGINE_Initiatives!$C$5:$C$532=$D792),0),0)),"")</f>
        <v>INI-048</v>
      </c>
      <c r="AU792" t="str">
        <f>IFERROR(INDEX(_ENGINE_Initiatives!$F$5:$F$532,MATCH(1,INDEX((_ENGINE_Initiatives!$B$5:$B$532=$C792)*(_ENGINE_Initiatives!$C$5:$C$532=$D792),0),0)),"")</f>
        <v>Create IT asset, application and architecture criticality map</v>
      </c>
      <c r="AV792">
        <f>IFERROR(INDEX(_ENGINE_Initiatives!$AC$5:$AC$532,MATCH(1,INDEX((_ENGINE_Initiatives!$B$5:$B$532=$C792)*(_ENGINE_Initiatives!$C$5:$C$532=$D792),0),0)),"")</f>
        <v>1.34</v>
      </c>
      <c r="AW792" t="str">
        <f>IFERROR(INDEX(_ENGINE_Initiatives!$AE$5:$AE$532,MATCH(1,INDEX((_ENGINE_Initiatives!$B$5:$B$532=$C792)*(_ENGINE_Initiatives!$C$5:$C$532=$D792),0),0)),"")</f>
        <v>12+ months</v>
      </c>
      <c r="AX792">
        <f>IF($B792="Yes",IFERROR((IF(SUMIFS(_REF_Model_Content!$E$1:$E$613,_REF_Model_Content!$A$1:$A$613,PV_Canonical_Industry,_REF_Model_Content!$B$1:$B$613,$C792)=0,1,SUMIFS(_REF_Model_Content!$E$1:$E$613,_REF_Model_Content!$A$1:$A$613,PV_Canonical_Industry,_REF_Model_Content!$B$1:$B$613,$C792))*IFERROR($BU792,1)),1),"")</f>
        <v>1</v>
      </c>
      <c r="AY792">
        <f t="shared" si="167"/>
        <v>16.7</v>
      </c>
      <c r="AZ792">
        <f t="shared" si="168"/>
        <v>1.25</v>
      </c>
      <c r="BB792" t="str">
        <f>IF($H792="","",IFERROR(INDEX(_ENGINE_Risk!$AE$5:$AE$499,MATCH($E792,_ENGINE_Risk!$A$5:$A$499,0)),"Medium"))</f>
        <v>Medium</v>
      </c>
      <c r="BC792">
        <f t="shared" si="169"/>
        <v>1</v>
      </c>
      <c r="BD792">
        <f t="shared" si="170"/>
        <v>1.25</v>
      </c>
      <c r="BF792">
        <f>IF(OR($H792="",$J792=""),"",IFERROR(VLOOKUP(ROUND($J792,0),_CONFIG_Model_Settings!$D$154:$E$158,2,0),""))</f>
        <v>0.5</v>
      </c>
      <c r="BG792">
        <f>IFERROR(IF(OR($H792="",$K792=""),"",ROUND('Company Profile'!$B$113*INDEX(_CONFIG_Model_Settings!$H$154:$H$158,MATCH(ROUND($K792,0),_CONFIG_Model_Settings!$G$154:$G$158,0)),0)),0)</f>
        <v>1875</v>
      </c>
      <c r="BH792">
        <f t="shared" si="171"/>
        <v>937.5</v>
      </c>
      <c r="BI792">
        <f t="shared" si="172"/>
        <v>937.5</v>
      </c>
      <c r="BJ792">
        <f>IF($E792="","",IFERROR(VLOOKUP($C792,_CONFIG_Risk_Calibration!$A$5:$H$21,2,FALSE),3))</f>
        <v>3</v>
      </c>
      <c r="BK792">
        <f>IF($E792="","",IFERROR(VLOOKUP($C792,_CONFIG_Risk_Calibration!$A$5:$H$21,3,FALSE),0))</f>
        <v>0</v>
      </c>
      <c r="BL792">
        <f>IF($E792="","",IFERROR(VLOOKUP($C792,_CONFIG_Risk_Calibration!$A$5:$H$21,4,FALSE),3))</f>
        <v>3</v>
      </c>
      <c r="BM792">
        <f>IF($E792="","",IFERROR(VLOOKUP($C792,_CONFIG_Risk_Calibration!$A$5:$H$21,5,FALSE),3))</f>
        <v>4</v>
      </c>
      <c r="BN792" t="str">
        <f>IF($E792="","",IFERROR(VLOOKUP($C792,_CONFIG_Risk_Calibration!$A$5:$H$21,6,FALSE),"No"))</f>
        <v>Yes</v>
      </c>
      <c r="BO792">
        <f>IF($E792="","",IFERROR(VLOOKUP($C792,_CONFIG_Risk_Calibration!$A$5:$H$21,7,FALSE),1))</f>
        <v>4</v>
      </c>
      <c r="BP792">
        <f>IF($H792="","",MAX(1,MIN(5,((6-$H792)*0.45)+($BJ792*0.2)+('Resilience &amp; Risk Scenario'!$B$7*0.15)+($BK792*0.1)+($BL792*0.05)+(IF($BB792="Fast",5,IF($BB792="Slow",1,3))*0.05))))</f>
        <v>3.6</v>
      </c>
      <c r="BQ792">
        <f t="shared" si="173"/>
        <v>4.6499999999999995</v>
      </c>
      <c r="BR792">
        <f t="shared" si="174"/>
        <v>16.739999999999998</v>
      </c>
      <c r="BS792">
        <f t="shared" si="175"/>
        <v>18.41</v>
      </c>
      <c r="BT792" t="str">
        <f>IFERROR(INDEX(_REF_Capability_Bridge!$D:$D,MATCH($C792&amp;"|"&amp;$D792,_REF_Capability_Bridge!$J:$J,0)),IFERROR(INDEX(_REF_Capability_Bridge!$D:$D,MATCH($C792&amp;"|",_REF_Capability_Bridge!$J:$J,0)),"CAP_GENERIC"))</f>
        <v>CAP_IAM_PAM</v>
      </c>
      <c r="BU792">
        <f>IFERROR(IFERROR(INDEX(_ENGINE_Relevance!$L:$L,MATCH($BT792,_ENGINE_Relevance!$B:$B,0)),1),1)</f>
        <v>1</v>
      </c>
      <c r="BV792" t="str">
        <f>IFERROR(INDEX(_REF_Capability_Bridge!$A:$A,MATCH($C792&amp;"|"&amp;$D792,_REF_Capability_Bridge!$J:$J,0)),IFERROR(INDEX(_REF_Capability_Bridge!$A:$A,MATCH($C792&amp;"|",_REF_Capability_Bridge!$J:$J,0)),"No bridge"))</f>
        <v>BRG-045</v>
      </c>
      <c r="BW792" t="str">
        <f t="shared" si="176"/>
        <v>Capability relevance neutral</v>
      </c>
      <c r="BX792" t="str">
        <f t="shared" si="177"/>
        <v>Initial / absent</v>
      </c>
      <c r="BY792" t="str">
        <f>IF($E792="","",IFERROR(INDEX(_REF_Treatment_Library!$A$2:$A$296,MATCH(1,INDEX((_REF_Treatment_Library!$B$2:$B$296=$BT792)*(_REF_Treatment_Library!$C$2:$C$296=PV_Canonical_Industry)*(_REF_Treatment_Library!$E$2:$E$296&lt;=N($H792))*(_REF_Treatment_Library!$F$2:$F$296&gt;=N($H792))*(_REF_Treatment_Library!$O$2:$O$296="Yes"),0),0)),IFERROR(INDEX(_REF_Treatment_Library!$A$2:$A$296,MATCH(1,INDEX((_REF_Treatment_Library!$B$2:$B$296=$BT792)*(_REF_Treatment_Library!$C$2:$C$296="All")*(_REF_Treatment_Library!$E$2:$E$296&lt;=N($H792))*(_REF_Treatment_Library!$F$2:$F$296&gt;=N($H792))*(_REF_Treatment_Library!$O$2:$O$296="Yes"),0),0)),"")))</f>
        <v>TRT-IAM_PAM-INITIAL</v>
      </c>
      <c r="BZ792" t="str">
        <f>IF($BY792="","",IFERROR(INDEX(_REF_Treatment_Library!$H$2:$H$296,MATCH($BY792,_REF_Treatment_Library!$A$2:$A$296,0)),""))</f>
        <v>Establish</v>
      </c>
      <c r="CA792" t="str">
        <f>IF($BY792="","",IFERROR(INDEX(_REF_Treatment_Library!$I$2:$I$296,MATCH($BY792,_REF_Treatment_Library!$A$2:$A$296,0)),""))</f>
        <v>Establish baseline controls for Identity / PAM</v>
      </c>
      <c r="CB792" t="str">
        <f>IF($BY792="","",IFERROR(INDEX(_REF_Treatment_Library!$K$2:$K$296,MATCH($BY792,_REF_Treatment_Library!$A$2:$A$296,0)),""))</f>
        <v>Named owner, baseline process, minimum control checklist, first evidence package</v>
      </c>
      <c r="CC792" t="str">
        <f>IF($BY792="","",IFERROR(INDEX(_REF_Treatment_Library!$L$2:$L$296,MATCH($BY792,_REF_Treatment_Library!$A$2:$A$296,0)),""))</f>
        <v>Owner assigned; baseline evidence coverage; open critical gaps</v>
      </c>
      <c r="CD792" t="str">
        <f t="shared" si="178"/>
        <v>Treatment by capability=CAP_IAM_PAM; band=Initial / absent; score=0.0; treatment=Establish</v>
      </c>
      <c r="CE792" t="str">
        <f>IF($E792="","",IFERROR(INDEX(_REF_Industry_Wording!$A$2:$A$70,MATCH(1,INDEX((_REF_Industry_Wording!$B$2:$B$70=$BT792)*(_REF_Industry_Wording!$C$2:$C$70=PV_Canonical_Industry)*(_REF_Industry_Wording!$K$2:$K$70="Yes"),0),0)),IFERROR(INDEX(_REF_Industry_Wording!$A$2:$A$70,MATCH(1,INDEX((_REF_Industry_Wording!$B$2:$B$70=$BT792)*(_REF_Industry_Wording!$C$2:$C$70="All")*(_REF_Industry_Wording!$K$2:$K$70="Yes"),0),0)),"")))</f>
        <v>IW-ALL-IAM_PAM</v>
      </c>
      <c r="CF792" t="str">
        <f>IF($CE792="","",IFERROR(INDEX(_REF_Industry_Wording!$E$2:$E$70,MATCH($CE792,_REF_Industry_Wording!$A$2:$A$70,0)),""))</f>
        <v>Identity / PAM weakness</v>
      </c>
      <c r="CG792" t="str">
        <f>IF($CE792="","",IFERROR(INDEX(_REF_Industry_Wording!$F$2:$F$70,MATCH($CE792,_REF_Industry_Wording!$A$2:$A$70,0)),""))</f>
        <v>Strengthen Identity / PAM</v>
      </c>
      <c r="CH792" t="str">
        <f>IF($CE792="","",IFERROR(INDEX(_REF_Industry_Wording!$G$2:$G$70,MATCH($CE792,_REF_Industry_Wording!$A$2:$A$70,0)),""))</f>
        <v>Strengthen Identity / PAM using the selected maturity treatment, crisis scenario and evidence requirements.</v>
      </c>
      <c r="CI792" t="str">
        <f>IF($CE792="","",IFERROR(INDEX(_REF_Industry_Wording!$H$2:$H$70,MATCH($CE792,_REF_Industry_Wording!$A$2:$A$70,0)),""))</f>
        <v>Identity / PAM</v>
      </c>
      <c r="CJ792">
        <f>IF($CE792="","",IFERROR(INDEX(_REF_Industry_Wording!$I$2:$I$70,MATCH($CE792,_REF_Industry_Wording!$A$2:$A$70,0)),""))</f>
        <v>0</v>
      </c>
      <c r="CK792" t="str">
        <f>IF($CE792="","",IFERROR(INDEX(_REF_Industry_Wording!$J$2:$J$70,MATCH($CE792,_REF_Industry_Wording!$A$2:$A$70,0)),""))</f>
        <v>Identity / PAM</v>
      </c>
      <c r="CL792" t="str">
        <f t="shared" si="179"/>
        <v>Wording by industry=0; capability=CAP_IAM_PAM; risk label=Identity / PAM weakness</v>
      </c>
      <c r="CM792" t="str">
        <f t="shared" si="180"/>
        <v>RISK-ONT-0293</v>
      </c>
      <c r="CN792" t="str">
        <f t="shared" si="181"/>
        <v>RISK-EVT-0293</v>
      </c>
      <c r="CO792" t="str">
        <f t="shared" si="182"/>
        <v>IT Cloud DR|IT inventory and architecture|ITCL-001|CAP_IAM_PAM</v>
      </c>
      <c r="CP792" t="str">
        <f t="shared" si="183"/>
        <v>Active</v>
      </c>
      <c r="CQ792" t="str">
        <f t="shared" si="184"/>
        <v>OK: capability-driven</v>
      </c>
      <c r="CR792" t="str">
        <f t="shared" si="185"/>
        <v>Risk ontology uses capability=CAP_IAM_PAM; bridge=BRG-045; treatment=TRT-IAM_PAM-INITIAL; wording=IW-ALL-IAM_PAM</v>
      </c>
      <c r="CS792" t="str">
        <f t="shared" si="186"/>
        <v>Yes</v>
      </c>
    </row>
    <row r="793" spans="1:97" ht="69.900000000000006" customHeight="1">
      <c r="A793">
        <f>IF(OR($B793&lt;&gt;"Yes",$BS793=""),"",SUMPRODUCT(($B$500:$B$923="Yes")*ISNUMBER($BS$500:$BS$923)*($BS$500:$BS$923&gt;$BS793))+COUNTIFS($B$500:$B793,"Yes",$BS$500:$BS793,$BS793))</f>
        <v>183</v>
      </c>
      <c r="B793" t="str">
        <f t="shared" si="155"/>
        <v>Yes</v>
      </c>
      <c r="C793" t="s">
        <v>2588</v>
      </c>
      <c r="D793" t="s">
        <v>2590</v>
      </c>
      <c r="E793" t="s">
        <v>2596</v>
      </c>
      <c r="F793" t="s">
        <v>4333</v>
      </c>
      <c r="G793" t="str">
        <f>IF($H793="","",IFERROR(INDEX(_ENGINE_Risk!$H$5:$M$499,MATCH($E793,_ENGINE_Risk!$A$5:$A$499,0),$H793+1),""))</f>
        <v>Severe risk: system criticality tiering by business process, RTO, RPO, users and data sensitivity is not reliably controlled. During IT outage; Cloud outage; Data loss; Cyberattack, the organization may face system outage, data unavailability, excessive RTO/RPO and inability to restore critical technology services with limited visibility or accountability.</v>
      </c>
      <c r="H793">
        <f>IFERROR(VALUE(INDEX(_DATA_Assessment_Model!$H$5:$H$884,MATCH($E793,_DATA_Assessment_Model!$A$5:$A$884,0))),"")</f>
        <v>0</v>
      </c>
      <c r="I793" t="str">
        <f>IF($H793="","",IFERROR(INDEX(_DATA_Assessment_Model!$L$5:$L$884,MATCH($E793,_DATA_Assessment_Model!$A$5:$A$884,0)),IF($H793&lt;=1,"Critical",IF($H793=2,"High",IF($H793=3,"Medium",IF($H793=4,"Low","Resilient"))))))</f>
        <v>Critical</v>
      </c>
      <c r="J793">
        <f t="shared" si="156"/>
        <v>3.6</v>
      </c>
      <c r="K793">
        <f t="shared" si="157"/>
        <v>4.6499999999999995</v>
      </c>
      <c r="L793">
        <f t="shared" si="158"/>
        <v>16.739999999999998</v>
      </c>
      <c r="M793">
        <f t="shared" si="159"/>
        <v>4</v>
      </c>
      <c r="N793">
        <f>IF($H793="","",IFERROR(INDEX(_ENGINE_Risk!$T$5:$Y$499,MATCH($E793,_ENGINE_Risk!$A$5:$A$499,0),$H793+1),""))</f>
        <v>4</v>
      </c>
      <c r="O793">
        <f t="shared" si="160"/>
        <v>5</v>
      </c>
      <c r="P793">
        <f t="shared" si="161"/>
        <v>5</v>
      </c>
      <c r="Q793">
        <f t="shared" si="162"/>
        <v>5</v>
      </c>
      <c r="R793">
        <f t="shared" si="163"/>
        <v>5</v>
      </c>
      <c r="S793">
        <f t="shared" si="164"/>
        <v>1.25</v>
      </c>
      <c r="T793" t="str">
        <f>IF($H793="","",IFERROR(INDEX(_ENGINE_Risk!$N$5:$S$499,MATCH($E793,_ENGINE_Risk!$A$5:$A$499,0),$H793+1),""))</f>
        <v>Create an immediate risk owner, minimum control baseline and fallback procedure for system criticality tiering by business process, RTO, RPO, users and data sensitivity. Add it to the crisis risk register and collect first evidence.</v>
      </c>
      <c r="U793">
        <f>IFERROR(INDEX(_DATA_Assessment_Model!$G$5:$G$884,MATCH($E793,_DATA_Assessment_Model!$A$5:$A$884,0)),"")</f>
        <v>5</v>
      </c>
      <c r="V793">
        <f>IFERROR(INDEX(_DATA_Assessment_Model!$W$5:$W$884,MATCH($E793,_DATA_Assessment_Model!$A$5:$A$884,0)),"")</f>
        <v>5</v>
      </c>
      <c r="W793">
        <f>IFERROR(INDEX(_DATA_Assessment_Model!$X$5:$X$884,MATCH($E793,_DATA_Assessment_Model!$A$5:$A$884,0)),"")</f>
        <v>5</v>
      </c>
      <c r="X793">
        <f>IFERROR(INDEX(_DATA_Assessment_Model!$Y$5:$Y$884,MATCH($E793,_DATA_Assessment_Model!$A$5:$A$884,0)),"")</f>
        <v>5</v>
      </c>
      <c r="Y793" t="s">
        <v>2595</v>
      </c>
      <c r="Z793" t="s">
        <v>8744</v>
      </c>
      <c r="AA793" t="s">
        <v>2598</v>
      </c>
      <c r="AB793">
        <f>IFERROR(INDEX(_DATA_Assessment_Model!$U$5:$U$884,MATCH($E793,_DATA_Assessment_Model!$A$5:$A$884,0)),"")</f>
        <v>0</v>
      </c>
      <c r="AF793" t="s">
        <v>2597</v>
      </c>
      <c r="AO793">
        <f>IF($B793="Yes",IF(IFERROR(INDEX(_ENGINE_Crisis!$F$501:$F$517,MATCH($C793,_ENGINE_Crisis!$A$501:$A$517,0)),1)=0,1,IFERROR(INDEX(_ENGINE_Crisis!$F$501:$F$517,MATCH($C793,_ENGINE_Crisis!$A$501:$A$517,0)),1)),"")</f>
        <v>1</v>
      </c>
      <c r="AP793">
        <f t="shared" si="165"/>
        <v>16.7</v>
      </c>
      <c r="AQ793">
        <f t="shared" si="166"/>
        <v>1.25</v>
      </c>
      <c r="AR793" t="str">
        <f>IFERROR(INDEX(_ENGINE_Crisis!$E$41:$E$700,MATCH('Resilience &amp; Risk Scenario'!$B$6&amp;"|"&amp;$C793,_ENGINE_Crisis!$I$41:$I$700,0)),"")</f>
        <v/>
      </c>
      <c r="AS793" t="str">
        <f>IFERROR(INDEX(_ENGINE_Crisis!$G$41:$G$700,MATCH('Resilience &amp; Risk Scenario'!$B$6&amp;"|"&amp;$C793,_ENGINE_Crisis!$I$41:$I$700,0)),"")</f>
        <v/>
      </c>
      <c r="AT793" t="str">
        <f>IFERROR(INDEX(_ENGINE_Initiatives!$A$5:$A$532,MATCH(1,INDEX((_ENGINE_Initiatives!$B$5:$B$532=$C793)*(_ENGINE_Initiatives!$C$5:$C$532=$D793),0),0)),"")</f>
        <v>INI-048</v>
      </c>
      <c r="AU793" t="str">
        <f>IFERROR(INDEX(_ENGINE_Initiatives!$F$5:$F$532,MATCH(1,INDEX((_ENGINE_Initiatives!$B$5:$B$532=$C793)*(_ENGINE_Initiatives!$C$5:$C$532=$D793),0),0)),"")</f>
        <v>Create IT asset, application and architecture criticality map</v>
      </c>
      <c r="AV793">
        <f>IFERROR(INDEX(_ENGINE_Initiatives!$AC$5:$AC$532,MATCH(1,INDEX((_ENGINE_Initiatives!$B$5:$B$532=$C793)*(_ENGINE_Initiatives!$C$5:$C$532=$D793),0),0)),"")</f>
        <v>1.34</v>
      </c>
      <c r="AW793" t="str">
        <f>IFERROR(INDEX(_ENGINE_Initiatives!$AE$5:$AE$532,MATCH(1,INDEX((_ENGINE_Initiatives!$B$5:$B$532=$C793)*(_ENGINE_Initiatives!$C$5:$C$532=$D793),0),0)),"")</f>
        <v>12+ months</v>
      </c>
      <c r="AX793">
        <f>IF($B793="Yes",IFERROR((IF(SUMIFS(_REF_Model_Content!$E$1:$E$613,_REF_Model_Content!$A$1:$A$613,PV_Canonical_Industry,_REF_Model_Content!$B$1:$B$613,$C793)=0,1,SUMIFS(_REF_Model_Content!$E$1:$E$613,_REF_Model_Content!$A$1:$A$613,PV_Canonical_Industry,_REF_Model_Content!$B$1:$B$613,$C793))*IFERROR($BU793,1)),1),"")</f>
        <v>1</v>
      </c>
      <c r="AY793">
        <f t="shared" si="167"/>
        <v>16.7</v>
      </c>
      <c r="AZ793">
        <f t="shared" si="168"/>
        <v>1.25</v>
      </c>
      <c r="BB793" t="str">
        <f>IF($H793="","",IFERROR(INDEX(_ENGINE_Risk!$AE$5:$AE$499,MATCH($E793,_ENGINE_Risk!$A$5:$A$499,0)),"Medium"))</f>
        <v>Medium</v>
      </c>
      <c r="BC793">
        <f t="shared" si="169"/>
        <v>1</v>
      </c>
      <c r="BD793">
        <f t="shared" si="170"/>
        <v>1.25</v>
      </c>
      <c r="BF793">
        <f>IF(OR($H793="",$J793=""),"",IFERROR(VLOOKUP(ROUND($J793,0),_CONFIG_Model_Settings!$D$154:$E$158,2,0),""))</f>
        <v>0.5</v>
      </c>
      <c r="BG793">
        <f>IFERROR(IF(OR($H793="",$K793=""),"",ROUND('Company Profile'!$B$113*INDEX(_CONFIG_Model_Settings!$H$154:$H$158,MATCH(ROUND($K793,0),_CONFIG_Model_Settings!$G$154:$G$158,0)),0)),0)</f>
        <v>1875</v>
      </c>
      <c r="BH793">
        <f t="shared" si="171"/>
        <v>937.5</v>
      </c>
      <c r="BI793">
        <f t="shared" si="172"/>
        <v>937.5</v>
      </c>
      <c r="BJ793">
        <f>IF($E793="","",IFERROR(VLOOKUP($C793,_CONFIG_Risk_Calibration!$A$5:$H$21,2,FALSE),3))</f>
        <v>3</v>
      </c>
      <c r="BK793">
        <f>IF($E793="","",IFERROR(VLOOKUP($C793,_CONFIG_Risk_Calibration!$A$5:$H$21,3,FALSE),0))</f>
        <v>0</v>
      </c>
      <c r="BL793">
        <f>IF($E793="","",IFERROR(VLOOKUP($C793,_CONFIG_Risk_Calibration!$A$5:$H$21,4,FALSE),3))</f>
        <v>3</v>
      </c>
      <c r="BM793">
        <f>IF($E793="","",IFERROR(VLOOKUP($C793,_CONFIG_Risk_Calibration!$A$5:$H$21,5,FALSE),3))</f>
        <v>4</v>
      </c>
      <c r="BN793" t="str">
        <f>IF($E793="","",IFERROR(VLOOKUP($C793,_CONFIG_Risk_Calibration!$A$5:$H$21,6,FALSE),"No"))</f>
        <v>Yes</v>
      </c>
      <c r="BO793">
        <f>IF($E793="","",IFERROR(VLOOKUP($C793,_CONFIG_Risk_Calibration!$A$5:$H$21,7,FALSE),1))</f>
        <v>4</v>
      </c>
      <c r="BP793">
        <f>IF($H793="","",MAX(1,MIN(5,((6-$H793)*0.45)+($BJ793*0.2)+('Resilience &amp; Risk Scenario'!$B$7*0.15)+($BK793*0.1)+($BL793*0.05)+(IF($BB793="Fast",5,IF($BB793="Slow",1,3))*0.05))))</f>
        <v>3.6</v>
      </c>
      <c r="BQ793">
        <f t="shared" si="173"/>
        <v>4.6499999999999995</v>
      </c>
      <c r="BR793">
        <f t="shared" si="174"/>
        <v>16.739999999999998</v>
      </c>
      <c r="BS793">
        <f t="shared" si="175"/>
        <v>18.41</v>
      </c>
      <c r="BT793" t="str">
        <f>IFERROR(INDEX(_REF_Capability_Bridge!$D:$D,MATCH($C793&amp;"|"&amp;$D793,_REF_Capability_Bridge!$J:$J,0)),IFERROR(INDEX(_REF_Capability_Bridge!$D:$D,MATCH($C793&amp;"|",_REF_Capability_Bridge!$J:$J,0)),"CAP_GENERIC"))</f>
        <v>CAP_IAM_PAM</v>
      </c>
      <c r="BU793">
        <f>IFERROR(IFERROR(INDEX(_ENGINE_Relevance!$L:$L,MATCH($BT793,_ENGINE_Relevance!$B:$B,0)),1),1)</f>
        <v>1</v>
      </c>
      <c r="BV793" t="str">
        <f>IFERROR(INDEX(_REF_Capability_Bridge!$A:$A,MATCH($C793&amp;"|"&amp;$D793,_REF_Capability_Bridge!$J:$J,0)),IFERROR(INDEX(_REF_Capability_Bridge!$A:$A,MATCH($C793&amp;"|",_REF_Capability_Bridge!$J:$J,0)),"No bridge"))</f>
        <v>BRG-045</v>
      </c>
      <c r="BW793" t="str">
        <f t="shared" si="176"/>
        <v>Capability relevance neutral</v>
      </c>
      <c r="BX793" t="str">
        <f t="shared" si="177"/>
        <v>Initial / absent</v>
      </c>
      <c r="BY793" t="str">
        <f>IF($E793="","",IFERROR(INDEX(_REF_Treatment_Library!$A$2:$A$296,MATCH(1,INDEX((_REF_Treatment_Library!$B$2:$B$296=$BT793)*(_REF_Treatment_Library!$C$2:$C$296=PV_Canonical_Industry)*(_REF_Treatment_Library!$E$2:$E$296&lt;=N($H793))*(_REF_Treatment_Library!$F$2:$F$296&gt;=N($H793))*(_REF_Treatment_Library!$O$2:$O$296="Yes"),0),0)),IFERROR(INDEX(_REF_Treatment_Library!$A$2:$A$296,MATCH(1,INDEX((_REF_Treatment_Library!$B$2:$B$296=$BT793)*(_REF_Treatment_Library!$C$2:$C$296="All")*(_REF_Treatment_Library!$E$2:$E$296&lt;=N($H793))*(_REF_Treatment_Library!$F$2:$F$296&gt;=N($H793))*(_REF_Treatment_Library!$O$2:$O$296="Yes"),0),0)),"")))</f>
        <v>TRT-IAM_PAM-INITIAL</v>
      </c>
      <c r="BZ793" t="str">
        <f>IF($BY793="","",IFERROR(INDEX(_REF_Treatment_Library!$H$2:$H$296,MATCH($BY793,_REF_Treatment_Library!$A$2:$A$296,0)),""))</f>
        <v>Establish</v>
      </c>
      <c r="CA793" t="str">
        <f>IF($BY793="","",IFERROR(INDEX(_REF_Treatment_Library!$I$2:$I$296,MATCH($BY793,_REF_Treatment_Library!$A$2:$A$296,0)),""))</f>
        <v>Establish baseline controls for Identity / PAM</v>
      </c>
      <c r="CB793" t="str">
        <f>IF($BY793="","",IFERROR(INDEX(_REF_Treatment_Library!$K$2:$K$296,MATCH($BY793,_REF_Treatment_Library!$A$2:$A$296,0)),""))</f>
        <v>Named owner, baseline process, minimum control checklist, first evidence package</v>
      </c>
      <c r="CC793" t="str">
        <f>IF($BY793="","",IFERROR(INDEX(_REF_Treatment_Library!$L$2:$L$296,MATCH($BY793,_REF_Treatment_Library!$A$2:$A$296,0)),""))</f>
        <v>Owner assigned; baseline evidence coverage; open critical gaps</v>
      </c>
      <c r="CD793" t="str">
        <f t="shared" si="178"/>
        <v>Treatment by capability=CAP_IAM_PAM; band=Initial / absent; score=0.0; treatment=Establish</v>
      </c>
      <c r="CE793" t="str">
        <f>IF($E793="","",IFERROR(INDEX(_REF_Industry_Wording!$A$2:$A$70,MATCH(1,INDEX((_REF_Industry_Wording!$B$2:$B$70=$BT793)*(_REF_Industry_Wording!$C$2:$C$70=PV_Canonical_Industry)*(_REF_Industry_Wording!$K$2:$K$70="Yes"),0),0)),IFERROR(INDEX(_REF_Industry_Wording!$A$2:$A$70,MATCH(1,INDEX((_REF_Industry_Wording!$B$2:$B$70=$BT793)*(_REF_Industry_Wording!$C$2:$C$70="All")*(_REF_Industry_Wording!$K$2:$K$70="Yes"),0),0)),"")))</f>
        <v>IW-ALL-IAM_PAM</v>
      </c>
      <c r="CF793" t="str">
        <f>IF($CE793="","",IFERROR(INDEX(_REF_Industry_Wording!$E$2:$E$70,MATCH($CE793,_REF_Industry_Wording!$A$2:$A$70,0)),""))</f>
        <v>Identity / PAM weakness</v>
      </c>
      <c r="CG793" t="str">
        <f>IF($CE793="","",IFERROR(INDEX(_REF_Industry_Wording!$F$2:$F$70,MATCH($CE793,_REF_Industry_Wording!$A$2:$A$70,0)),""))</f>
        <v>Strengthen Identity / PAM</v>
      </c>
      <c r="CH793" t="str">
        <f>IF($CE793="","",IFERROR(INDEX(_REF_Industry_Wording!$G$2:$G$70,MATCH($CE793,_REF_Industry_Wording!$A$2:$A$70,0)),""))</f>
        <v>Strengthen Identity / PAM using the selected maturity treatment, crisis scenario and evidence requirements.</v>
      </c>
      <c r="CI793" t="str">
        <f>IF($CE793="","",IFERROR(INDEX(_REF_Industry_Wording!$H$2:$H$70,MATCH($CE793,_REF_Industry_Wording!$A$2:$A$70,0)),""))</f>
        <v>Identity / PAM</v>
      </c>
      <c r="CJ793">
        <f>IF($CE793="","",IFERROR(INDEX(_REF_Industry_Wording!$I$2:$I$70,MATCH($CE793,_REF_Industry_Wording!$A$2:$A$70,0)),""))</f>
        <v>0</v>
      </c>
      <c r="CK793" t="str">
        <f>IF($CE793="","",IFERROR(INDEX(_REF_Industry_Wording!$J$2:$J$70,MATCH($CE793,_REF_Industry_Wording!$A$2:$A$70,0)),""))</f>
        <v>Identity / PAM</v>
      </c>
      <c r="CL793" t="str">
        <f t="shared" si="179"/>
        <v>Wording by industry=0; capability=CAP_IAM_PAM; risk label=Identity / PAM weakness</v>
      </c>
      <c r="CM793" t="str">
        <f t="shared" si="180"/>
        <v>RISK-ONT-0294</v>
      </c>
      <c r="CN793" t="str">
        <f t="shared" si="181"/>
        <v>RISK-EVT-0294</v>
      </c>
      <c r="CO793" t="str">
        <f t="shared" si="182"/>
        <v>IT Cloud DR|IT inventory and architecture|ITCL-002|CAP_IAM_PAM</v>
      </c>
      <c r="CP793" t="str">
        <f t="shared" si="183"/>
        <v>Active</v>
      </c>
      <c r="CQ793" t="str">
        <f t="shared" si="184"/>
        <v>OK: capability-driven</v>
      </c>
      <c r="CR793" t="str">
        <f t="shared" si="185"/>
        <v>Risk ontology uses capability=CAP_IAM_PAM; bridge=BRG-045; treatment=TRT-IAM_PAM-INITIAL; wording=IW-ALL-IAM_PAM</v>
      </c>
      <c r="CS793" t="str">
        <f t="shared" si="186"/>
        <v>Yes</v>
      </c>
    </row>
    <row r="794" spans="1:97" ht="69.900000000000006" customHeight="1">
      <c r="A794">
        <f>IF(OR($B794&lt;&gt;"Yes",$BS794=""),"",SUMPRODUCT(($B$500:$B$923="Yes")*ISNUMBER($BS$500:$BS$923)*($BS$500:$BS$923&gt;$BS794))+COUNTIFS($B$500:$B794,"Yes",$BS$500:$BS794,$BS794))</f>
        <v>247</v>
      </c>
      <c r="B794" t="str">
        <f t="shared" si="155"/>
        <v>Yes</v>
      </c>
      <c r="C794" t="s">
        <v>2588</v>
      </c>
      <c r="D794" t="s">
        <v>2590</v>
      </c>
      <c r="E794" t="s">
        <v>2600</v>
      </c>
      <c r="F794" t="s">
        <v>4333</v>
      </c>
      <c r="G794" t="str">
        <f>IF($H794="","",IFERROR(INDEX(_ENGINE_Risk!$H$5:$M$499,MATCH($E794,_ENGINE_Risk!$A$5:$A$499,0),$H794+1),""))</f>
        <v>Severe risk: current-state and target-state IT architecture documentation is not reliably controlled. During IT outage; Cloud outage; Data loss; Cyberattack, the organization may face system outage, data unavailability, excessive RTO/RPO and inability to restore critical technology services with limited visibility or accountability.</v>
      </c>
      <c r="H794">
        <f>IFERROR(VALUE(INDEX(_DATA_Assessment_Model!$H$5:$H$884,MATCH($E794,_DATA_Assessment_Model!$A$5:$A$884,0))),"")</f>
        <v>0</v>
      </c>
      <c r="I794" t="str">
        <f>IF($H794="","",IFERROR(INDEX(_DATA_Assessment_Model!$L$5:$L$884,MATCH($E794,_DATA_Assessment_Model!$A$5:$A$884,0)),IF($H794&lt;=1,"Critical",IF($H794=2,"High",IF($H794=3,"Medium",IF($H794=4,"Low","Resilient"))))))</f>
        <v>Critical</v>
      </c>
      <c r="J794">
        <f t="shared" si="156"/>
        <v>3.6</v>
      </c>
      <c r="K794">
        <f t="shared" si="157"/>
        <v>4.25</v>
      </c>
      <c r="L794">
        <f t="shared" si="158"/>
        <v>15.3</v>
      </c>
      <c r="M794">
        <f t="shared" si="159"/>
        <v>4</v>
      </c>
      <c r="N794">
        <f>IF($H794="","",IFERROR(INDEX(_ENGINE_Risk!$T$5:$Y$499,MATCH($E794,_ENGINE_Risk!$A$5:$A$499,0),$H794+1),""))</f>
        <v>4</v>
      </c>
      <c r="O794">
        <f t="shared" si="160"/>
        <v>4.333333333333333</v>
      </c>
      <c r="P794">
        <f t="shared" si="161"/>
        <v>5</v>
      </c>
      <c r="Q794">
        <f t="shared" si="162"/>
        <v>5</v>
      </c>
      <c r="R794">
        <f t="shared" si="163"/>
        <v>5</v>
      </c>
      <c r="S794">
        <f t="shared" si="164"/>
        <v>1.21</v>
      </c>
      <c r="T794" t="str">
        <f>IF($H794="","",IFERROR(INDEX(_ENGINE_Risk!$N$5:$S$499,MATCH($E794,_ENGINE_Risk!$A$5:$A$499,0),$H794+1),""))</f>
        <v>Create an immediate risk owner, minimum control baseline and fallback procedure for current-state and target-state IT architecture documentation. Add it to the crisis risk register and collect first evidence.</v>
      </c>
      <c r="U794">
        <f>IFERROR(INDEX(_DATA_Assessment_Model!$G$5:$G$884,MATCH($E794,_DATA_Assessment_Model!$A$5:$A$884,0)),"")</f>
        <v>3</v>
      </c>
      <c r="V794">
        <f>IFERROR(INDEX(_DATA_Assessment_Model!$W$5:$W$884,MATCH($E794,_DATA_Assessment_Model!$A$5:$A$884,0)),"")</f>
        <v>5</v>
      </c>
      <c r="W794">
        <f>IFERROR(INDEX(_DATA_Assessment_Model!$X$5:$X$884,MATCH($E794,_DATA_Assessment_Model!$A$5:$A$884,0)),"")</f>
        <v>5</v>
      </c>
      <c r="X794">
        <f>IFERROR(INDEX(_DATA_Assessment_Model!$Y$5:$Y$884,MATCH($E794,_DATA_Assessment_Model!$A$5:$A$884,0)),"")</f>
        <v>5</v>
      </c>
      <c r="Y794" t="s">
        <v>2595</v>
      </c>
      <c r="Z794" t="s">
        <v>8744</v>
      </c>
      <c r="AA794" t="s">
        <v>2602</v>
      </c>
      <c r="AB794">
        <f>IFERROR(INDEX(_DATA_Assessment_Model!$U$5:$U$884,MATCH($E794,_DATA_Assessment_Model!$A$5:$A$884,0)),"")</f>
        <v>0</v>
      </c>
      <c r="AF794" t="s">
        <v>2601</v>
      </c>
      <c r="AO794">
        <f>IF($B794="Yes",IF(IFERROR(INDEX(_ENGINE_Crisis!$F$501:$F$517,MATCH($C794,_ENGINE_Crisis!$A$501:$A$517,0)),1)=0,1,IFERROR(INDEX(_ENGINE_Crisis!$F$501:$F$517,MATCH($C794,_ENGINE_Crisis!$A$501:$A$517,0)),1)),"")</f>
        <v>1</v>
      </c>
      <c r="AP794">
        <f t="shared" si="165"/>
        <v>15.3</v>
      </c>
      <c r="AQ794">
        <f t="shared" si="166"/>
        <v>1.21</v>
      </c>
      <c r="AR794" t="str">
        <f>IFERROR(INDEX(_ENGINE_Crisis!$E$41:$E$700,MATCH('Resilience &amp; Risk Scenario'!$B$6&amp;"|"&amp;$C794,_ENGINE_Crisis!$I$41:$I$700,0)),"")</f>
        <v/>
      </c>
      <c r="AS794" t="str">
        <f>IFERROR(INDEX(_ENGINE_Crisis!$G$41:$G$700,MATCH('Resilience &amp; Risk Scenario'!$B$6&amp;"|"&amp;$C794,_ENGINE_Crisis!$I$41:$I$700,0)),"")</f>
        <v/>
      </c>
      <c r="AT794" t="str">
        <f>IFERROR(INDEX(_ENGINE_Initiatives!$A$5:$A$532,MATCH(1,INDEX((_ENGINE_Initiatives!$B$5:$B$532=$C794)*(_ENGINE_Initiatives!$C$5:$C$532=$D794),0),0)),"")</f>
        <v>INI-048</v>
      </c>
      <c r="AU794" t="str">
        <f>IFERROR(INDEX(_ENGINE_Initiatives!$F$5:$F$532,MATCH(1,INDEX((_ENGINE_Initiatives!$B$5:$B$532=$C794)*(_ENGINE_Initiatives!$C$5:$C$532=$D794),0),0)),"")</f>
        <v>Create IT asset, application and architecture criticality map</v>
      </c>
      <c r="AV794">
        <f>IFERROR(INDEX(_ENGINE_Initiatives!$AC$5:$AC$532,MATCH(1,INDEX((_ENGINE_Initiatives!$B$5:$B$532=$C794)*(_ENGINE_Initiatives!$C$5:$C$532=$D794),0),0)),"")</f>
        <v>1.34</v>
      </c>
      <c r="AW794" t="str">
        <f>IFERROR(INDEX(_ENGINE_Initiatives!$AE$5:$AE$532,MATCH(1,INDEX((_ENGINE_Initiatives!$B$5:$B$532=$C794)*(_ENGINE_Initiatives!$C$5:$C$532=$D794),0),0)),"")</f>
        <v>12+ months</v>
      </c>
      <c r="AX794">
        <f>IF($B794="Yes",IFERROR((IF(SUMIFS(_REF_Model_Content!$E$1:$E$613,_REF_Model_Content!$A$1:$A$613,PV_Canonical_Industry,_REF_Model_Content!$B$1:$B$613,$C794)=0,1,SUMIFS(_REF_Model_Content!$E$1:$E$613,_REF_Model_Content!$A$1:$A$613,PV_Canonical_Industry,_REF_Model_Content!$B$1:$B$613,$C794))*IFERROR($BU794,1)),1),"")</f>
        <v>1</v>
      </c>
      <c r="AY794">
        <f t="shared" si="167"/>
        <v>15.3</v>
      </c>
      <c r="AZ794">
        <f t="shared" si="168"/>
        <v>1.21</v>
      </c>
      <c r="BB794" t="str">
        <f>IF($H794="","",IFERROR(INDEX(_ENGINE_Risk!$AE$5:$AE$499,MATCH($E794,_ENGINE_Risk!$A$5:$A$499,0)),"Medium"))</f>
        <v>Medium</v>
      </c>
      <c r="BC794">
        <f t="shared" si="169"/>
        <v>1</v>
      </c>
      <c r="BD794">
        <f t="shared" si="170"/>
        <v>1.21</v>
      </c>
      <c r="BF794">
        <f>IF(OR($H794="",$J794=""),"",IFERROR(VLOOKUP(ROUND($J794,0),_CONFIG_Model_Settings!$D$154:$E$158,2,0),""))</f>
        <v>0.5</v>
      </c>
      <c r="BG794">
        <f>IFERROR(IF(OR($H794="",$K794=""),"",ROUND('Company Profile'!$B$113*INDEX(_CONFIG_Model_Settings!$H$154:$H$158,MATCH(ROUND($K794,0),_CONFIG_Model_Settings!$G$154:$G$158,0)),0)),0)</f>
        <v>875</v>
      </c>
      <c r="BH794">
        <f t="shared" si="171"/>
        <v>437.5</v>
      </c>
      <c r="BI794">
        <f t="shared" si="172"/>
        <v>437.5</v>
      </c>
      <c r="BJ794">
        <f>IF($E794="","",IFERROR(VLOOKUP($C794,_CONFIG_Risk_Calibration!$A$5:$H$21,2,FALSE),3))</f>
        <v>3</v>
      </c>
      <c r="BK794">
        <f>IF($E794="","",IFERROR(VLOOKUP($C794,_CONFIG_Risk_Calibration!$A$5:$H$21,3,FALSE),0))</f>
        <v>0</v>
      </c>
      <c r="BL794">
        <f>IF($E794="","",IFERROR(VLOOKUP($C794,_CONFIG_Risk_Calibration!$A$5:$H$21,4,FALSE),3))</f>
        <v>3</v>
      </c>
      <c r="BM794">
        <f>IF($E794="","",IFERROR(VLOOKUP($C794,_CONFIG_Risk_Calibration!$A$5:$H$21,5,FALSE),3))</f>
        <v>4</v>
      </c>
      <c r="BN794" t="str">
        <f>IF($E794="","",IFERROR(VLOOKUP($C794,_CONFIG_Risk_Calibration!$A$5:$H$21,6,FALSE),"No"))</f>
        <v>Yes</v>
      </c>
      <c r="BO794">
        <f>IF($E794="","",IFERROR(VLOOKUP($C794,_CONFIG_Risk_Calibration!$A$5:$H$21,7,FALSE),1))</f>
        <v>4</v>
      </c>
      <c r="BP794">
        <f>IF($H794="","",MAX(1,MIN(5,((6-$H794)*0.45)+($BJ794*0.2)+('Resilience &amp; Risk Scenario'!$B$7*0.15)+($BK794*0.1)+($BL794*0.05)+(IF($BB794="Fast",5,IF($BB794="Slow",1,3))*0.05))))</f>
        <v>3.6</v>
      </c>
      <c r="BQ794">
        <f t="shared" si="173"/>
        <v>4.25</v>
      </c>
      <c r="BR794">
        <f t="shared" si="174"/>
        <v>15.3</v>
      </c>
      <c r="BS794">
        <f t="shared" si="175"/>
        <v>16.829999999999998</v>
      </c>
      <c r="BT794" t="str">
        <f>IFERROR(INDEX(_REF_Capability_Bridge!$D:$D,MATCH($C794&amp;"|"&amp;$D794,_REF_Capability_Bridge!$J:$J,0)),IFERROR(INDEX(_REF_Capability_Bridge!$D:$D,MATCH($C794&amp;"|",_REF_Capability_Bridge!$J:$J,0)),"CAP_GENERIC"))</f>
        <v>CAP_IAM_PAM</v>
      </c>
      <c r="BU794">
        <f>IFERROR(IFERROR(INDEX(_ENGINE_Relevance!$L:$L,MATCH($BT794,_ENGINE_Relevance!$B:$B,0)),1),1)</f>
        <v>1</v>
      </c>
      <c r="BV794" t="str">
        <f>IFERROR(INDEX(_REF_Capability_Bridge!$A:$A,MATCH($C794&amp;"|"&amp;$D794,_REF_Capability_Bridge!$J:$J,0)),IFERROR(INDEX(_REF_Capability_Bridge!$A:$A,MATCH($C794&amp;"|",_REF_Capability_Bridge!$J:$J,0)),"No bridge"))</f>
        <v>BRG-045</v>
      </c>
      <c r="BW794" t="str">
        <f t="shared" si="176"/>
        <v>Capability relevance neutral</v>
      </c>
      <c r="BX794" t="str">
        <f t="shared" si="177"/>
        <v>Initial / absent</v>
      </c>
      <c r="BY794" t="str">
        <f>IF($E794="","",IFERROR(INDEX(_REF_Treatment_Library!$A$2:$A$296,MATCH(1,INDEX((_REF_Treatment_Library!$B$2:$B$296=$BT794)*(_REF_Treatment_Library!$C$2:$C$296=PV_Canonical_Industry)*(_REF_Treatment_Library!$E$2:$E$296&lt;=N($H794))*(_REF_Treatment_Library!$F$2:$F$296&gt;=N($H794))*(_REF_Treatment_Library!$O$2:$O$296="Yes"),0),0)),IFERROR(INDEX(_REF_Treatment_Library!$A$2:$A$296,MATCH(1,INDEX((_REF_Treatment_Library!$B$2:$B$296=$BT794)*(_REF_Treatment_Library!$C$2:$C$296="All")*(_REF_Treatment_Library!$E$2:$E$296&lt;=N($H794))*(_REF_Treatment_Library!$F$2:$F$296&gt;=N($H794))*(_REF_Treatment_Library!$O$2:$O$296="Yes"),0),0)),"")))</f>
        <v>TRT-IAM_PAM-INITIAL</v>
      </c>
      <c r="BZ794" t="str">
        <f>IF($BY794="","",IFERROR(INDEX(_REF_Treatment_Library!$H$2:$H$296,MATCH($BY794,_REF_Treatment_Library!$A$2:$A$296,0)),""))</f>
        <v>Establish</v>
      </c>
      <c r="CA794" t="str">
        <f>IF($BY794="","",IFERROR(INDEX(_REF_Treatment_Library!$I$2:$I$296,MATCH($BY794,_REF_Treatment_Library!$A$2:$A$296,0)),""))</f>
        <v>Establish baseline controls for Identity / PAM</v>
      </c>
      <c r="CB794" t="str">
        <f>IF($BY794="","",IFERROR(INDEX(_REF_Treatment_Library!$K$2:$K$296,MATCH($BY794,_REF_Treatment_Library!$A$2:$A$296,0)),""))</f>
        <v>Named owner, baseline process, minimum control checklist, first evidence package</v>
      </c>
      <c r="CC794" t="str">
        <f>IF($BY794="","",IFERROR(INDEX(_REF_Treatment_Library!$L$2:$L$296,MATCH($BY794,_REF_Treatment_Library!$A$2:$A$296,0)),""))</f>
        <v>Owner assigned; baseline evidence coverage; open critical gaps</v>
      </c>
      <c r="CD794" t="str">
        <f t="shared" si="178"/>
        <v>Treatment by capability=CAP_IAM_PAM; band=Initial / absent; score=0.0; treatment=Establish</v>
      </c>
      <c r="CE794" t="str">
        <f>IF($E794="","",IFERROR(INDEX(_REF_Industry_Wording!$A$2:$A$70,MATCH(1,INDEX((_REF_Industry_Wording!$B$2:$B$70=$BT794)*(_REF_Industry_Wording!$C$2:$C$70=PV_Canonical_Industry)*(_REF_Industry_Wording!$K$2:$K$70="Yes"),0),0)),IFERROR(INDEX(_REF_Industry_Wording!$A$2:$A$70,MATCH(1,INDEX((_REF_Industry_Wording!$B$2:$B$70=$BT794)*(_REF_Industry_Wording!$C$2:$C$70="All")*(_REF_Industry_Wording!$K$2:$K$70="Yes"),0),0)),"")))</f>
        <v>IW-ALL-IAM_PAM</v>
      </c>
      <c r="CF794" t="str">
        <f>IF($CE794="","",IFERROR(INDEX(_REF_Industry_Wording!$E$2:$E$70,MATCH($CE794,_REF_Industry_Wording!$A$2:$A$70,0)),""))</f>
        <v>Identity / PAM weakness</v>
      </c>
      <c r="CG794" t="str">
        <f>IF($CE794="","",IFERROR(INDEX(_REF_Industry_Wording!$F$2:$F$70,MATCH($CE794,_REF_Industry_Wording!$A$2:$A$70,0)),""))</f>
        <v>Strengthen Identity / PAM</v>
      </c>
      <c r="CH794" t="str">
        <f>IF($CE794="","",IFERROR(INDEX(_REF_Industry_Wording!$G$2:$G$70,MATCH($CE794,_REF_Industry_Wording!$A$2:$A$70,0)),""))</f>
        <v>Strengthen Identity / PAM using the selected maturity treatment, crisis scenario and evidence requirements.</v>
      </c>
      <c r="CI794" t="str">
        <f>IF($CE794="","",IFERROR(INDEX(_REF_Industry_Wording!$H$2:$H$70,MATCH($CE794,_REF_Industry_Wording!$A$2:$A$70,0)),""))</f>
        <v>Identity / PAM</v>
      </c>
      <c r="CJ794">
        <f>IF($CE794="","",IFERROR(INDEX(_REF_Industry_Wording!$I$2:$I$70,MATCH($CE794,_REF_Industry_Wording!$A$2:$A$70,0)),""))</f>
        <v>0</v>
      </c>
      <c r="CK794" t="str">
        <f>IF($CE794="","",IFERROR(INDEX(_REF_Industry_Wording!$J$2:$J$70,MATCH($CE794,_REF_Industry_Wording!$A$2:$A$70,0)),""))</f>
        <v>Identity / PAM</v>
      </c>
      <c r="CL794" t="str">
        <f t="shared" si="179"/>
        <v>Wording by industry=0; capability=CAP_IAM_PAM; risk label=Identity / PAM weakness</v>
      </c>
      <c r="CM794" t="str">
        <f t="shared" si="180"/>
        <v>RISK-ONT-0295</v>
      </c>
      <c r="CN794" t="str">
        <f t="shared" si="181"/>
        <v>RISK-EVT-0295</v>
      </c>
      <c r="CO794" t="str">
        <f t="shared" si="182"/>
        <v>IT Cloud DR|IT inventory and architecture|ITCL-003|CAP_IAM_PAM</v>
      </c>
      <c r="CP794" t="str">
        <f t="shared" si="183"/>
        <v>Active</v>
      </c>
      <c r="CQ794" t="str">
        <f t="shared" si="184"/>
        <v>OK: capability-driven</v>
      </c>
      <c r="CR794" t="str">
        <f t="shared" si="185"/>
        <v>Risk ontology uses capability=CAP_IAM_PAM; bridge=BRG-045; treatment=TRT-IAM_PAM-INITIAL; wording=IW-ALL-IAM_PAM</v>
      </c>
      <c r="CS794" t="str">
        <f t="shared" si="186"/>
        <v>Yes</v>
      </c>
    </row>
    <row r="795" spans="1:97" ht="69.900000000000006" customHeight="1">
      <c r="A795">
        <f>IF(OR($B795&lt;&gt;"Yes",$BS795=""),"",SUMPRODUCT(($B$500:$B$923="Yes")*ISNUMBER($BS$500:$BS$923)*($BS$500:$BS$923&gt;$BS795))+COUNTIFS($B$500:$B795,"Yes",$BS$500:$BS795,$BS795))</f>
        <v>184</v>
      </c>
      <c r="B795" t="str">
        <f t="shared" si="155"/>
        <v>Yes</v>
      </c>
      <c r="C795" t="s">
        <v>2588</v>
      </c>
      <c r="D795" t="s">
        <v>2590</v>
      </c>
      <c r="E795" t="s">
        <v>2610</v>
      </c>
      <c r="F795" t="s">
        <v>4333</v>
      </c>
      <c r="G795" t="str">
        <f>IF($H795="","",IFERROR(INDEX(_ENGINE_Risk!$H$5:$M$499,MATCH($E795,_ENGINE_Risk!$A$5:$A$499,0),$H795+1),""))</f>
        <v>Severe risk: technical single points of failure across network, identity, DNS, cloud, databases, integrations and support teams is not reliably controlled. During IT outage; Cloud outage; Data loss; Cyberattack, the organization may face system outage, data unavailability, excessive RTO/RPO and inability to restore critical technology services with limited visibility or accountability.</v>
      </c>
      <c r="H795">
        <f>IFERROR(VALUE(INDEX(_DATA_Assessment_Model!$H$5:$H$884,MATCH($E795,_DATA_Assessment_Model!$A$5:$A$884,0))),"")</f>
        <v>0</v>
      </c>
      <c r="I795" t="str">
        <f>IF($H795="","",IFERROR(INDEX(_DATA_Assessment_Model!$L$5:$L$884,MATCH($E795,_DATA_Assessment_Model!$A$5:$A$884,0)),IF($H795&lt;=1,"Critical",IF($H795=2,"High",IF($H795=3,"Medium",IF($H795=4,"Low","Resilient"))))))</f>
        <v>Critical</v>
      </c>
      <c r="J795">
        <f t="shared" si="156"/>
        <v>3.6</v>
      </c>
      <c r="K795">
        <f t="shared" si="157"/>
        <v>4.6499999999999995</v>
      </c>
      <c r="L795">
        <f t="shared" si="158"/>
        <v>16.739999999999998</v>
      </c>
      <c r="M795">
        <f t="shared" si="159"/>
        <v>4</v>
      </c>
      <c r="N795">
        <f>IF($H795="","",IFERROR(INDEX(_ENGINE_Risk!$T$5:$Y$499,MATCH($E795,_ENGINE_Risk!$A$5:$A$499,0),$H795+1),""))</f>
        <v>4</v>
      </c>
      <c r="O795">
        <f t="shared" si="160"/>
        <v>5</v>
      </c>
      <c r="P795">
        <f t="shared" si="161"/>
        <v>5</v>
      </c>
      <c r="Q795">
        <f t="shared" si="162"/>
        <v>5</v>
      </c>
      <c r="R795">
        <f t="shared" si="163"/>
        <v>5</v>
      </c>
      <c r="S795">
        <f t="shared" si="164"/>
        <v>1.25</v>
      </c>
      <c r="T795" t="str">
        <f>IF($H795="","",IFERROR(INDEX(_ENGINE_Risk!$N$5:$S$499,MATCH($E795,_ENGINE_Risk!$A$5:$A$499,0),$H795+1),""))</f>
        <v>Create an immediate risk owner, minimum control baseline and fallback procedure for technical single points of failure across network, identity, DNS, cloud, databases, integrations and support teams. Add it to the crisis risk register and collect first evidence.</v>
      </c>
      <c r="U795">
        <f>IFERROR(INDEX(_DATA_Assessment_Model!$G$5:$G$884,MATCH($E795,_DATA_Assessment_Model!$A$5:$A$884,0)),"")</f>
        <v>5</v>
      </c>
      <c r="V795">
        <f>IFERROR(INDEX(_DATA_Assessment_Model!$W$5:$W$884,MATCH($E795,_DATA_Assessment_Model!$A$5:$A$884,0)),"")</f>
        <v>5</v>
      </c>
      <c r="W795">
        <f>IFERROR(INDEX(_DATA_Assessment_Model!$X$5:$X$884,MATCH($E795,_DATA_Assessment_Model!$A$5:$A$884,0)),"")</f>
        <v>5</v>
      </c>
      <c r="X795">
        <f>IFERROR(INDEX(_DATA_Assessment_Model!$Y$5:$Y$884,MATCH($E795,_DATA_Assessment_Model!$A$5:$A$884,0)),"")</f>
        <v>5</v>
      </c>
      <c r="Y795" t="s">
        <v>2595</v>
      </c>
      <c r="Z795" t="s">
        <v>8744</v>
      </c>
      <c r="AA795" t="s">
        <v>2612</v>
      </c>
      <c r="AB795">
        <f>IFERROR(INDEX(_DATA_Assessment_Model!$U$5:$U$884,MATCH($E795,_DATA_Assessment_Model!$A$5:$A$884,0)),"")</f>
        <v>0</v>
      </c>
      <c r="AF795" t="s">
        <v>2611</v>
      </c>
      <c r="AO795">
        <f>IF($B795="Yes",IF(IFERROR(INDEX(_ENGINE_Crisis!$F$501:$F$517,MATCH($C795,_ENGINE_Crisis!$A$501:$A$517,0)),1)=0,1,IFERROR(INDEX(_ENGINE_Crisis!$F$501:$F$517,MATCH($C795,_ENGINE_Crisis!$A$501:$A$517,0)),1)),"")</f>
        <v>1</v>
      </c>
      <c r="AP795">
        <f t="shared" si="165"/>
        <v>16.7</v>
      </c>
      <c r="AQ795">
        <f t="shared" si="166"/>
        <v>1.25</v>
      </c>
      <c r="AR795" t="str">
        <f>IFERROR(INDEX(_ENGINE_Crisis!$E$41:$E$700,MATCH('Resilience &amp; Risk Scenario'!$B$6&amp;"|"&amp;$C795,_ENGINE_Crisis!$I$41:$I$700,0)),"")</f>
        <v/>
      </c>
      <c r="AS795" t="str">
        <f>IFERROR(INDEX(_ENGINE_Crisis!$G$41:$G$700,MATCH('Resilience &amp; Risk Scenario'!$B$6&amp;"|"&amp;$C795,_ENGINE_Crisis!$I$41:$I$700,0)),"")</f>
        <v/>
      </c>
      <c r="AT795" t="str">
        <f>IFERROR(INDEX(_ENGINE_Initiatives!$A$5:$A$532,MATCH(1,INDEX((_ENGINE_Initiatives!$B$5:$B$532=$C795)*(_ENGINE_Initiatives!$C$5:$C$532=$D795),0),0)),"")</f>
        <v>INI-048</v>
      </c>
      <c r="AU795" t="str">
        <f>IFERROR(INDEX(_ENGINE_Initiatives!$F$5:$F$532,MATCH(1,INDEX((_ENGINE_Initiatives!$B$5:$B$532=$C795)*(_ENGINE_Initiatives!$C$5:$C$532=$D795),0),0)),"")</f>
        <v>Create IT asset, application and architecture criticality map</v>
      </c>
      <c r="AV795">
        <f>IFERROR(INDEX(_ENGINE_Initiatives!$AC$5:$AC$532,MATCH(1,INDEX((_ENGINE_Initiatives!$B$5:$B$532=$C795)*(_ENGINE_Initiatives!$C$5:$C$532=$D795),0),0)),"")</f>
        <v>1.34</v>
      </c>
      <c r="AW795" t="str">
        <f>IFERROR(INDEX(_ENGINE_Initiatives!$AE$5:$AE$532,MATCH(1,INDEX((_ENGINE_Initiatives!$B$5:$B$532=$C795)*(_ENGINE_Initiatives!$C$5:$C$532=$D795),0),0)),"")</f>
        <v>12+ months</v>
      </c>
      <c r="AX795">
        <f>IF($B795="Yes",IFERROR((IF(SUMIFS(_REF_Model_Content!$E$1:$E$613,_REF_Model_Content!$A$1:$A$613,PV_Canonical_Industry,_REF_Model_Content!$B$1:$B$613,$C795)=0,1,SUMIFS(_REF_Model_Content!$E$1:$E$613,_REF_Model_Content!$A$1:$A$613,PV_Canonical_Industry,_REF_Model_Content!$B$1:$B$613,$C795))*IFERROR($BU795,1)),1),"")</f>
        <v>1</v>
      </c>
      <c r="AY795">
        <f t="shared" si="167"/>
        <v>16.7</v>
      </c>
      <c r="AZ795">
        <f t="shared" si="168"/>
        <v>1.25</v>
      </c>
      <c r="BB795" t="str">
        <f>IF($H795="","",IFERROR(INDEX(_ENGINE_Risk!$AE$5:$AE$499,MATCH($E795,_ENGINE_Risk!$A$5:$A$499,0)),"Medium"))</f>
        <v>Medium</v>
      </c>
      <c r="BC795">
        <f t="shared" si="169"/>
        <v>1</v>
      </c>
      <c r="BD795">
        <f t="shared" si="170"/>
        <v>1.25</v>
      </c>
      <c r="BF795">
        <f>IF(OR($H795="",$J795=""),"",IFERROR(VLOOKUP(ROUND($J795,0),_CONFIG_Model_Settings!$D$154:$E$158,2,0),""))</f>
        <v>0.5</v>
      </c>
      <c r="BG795">
        <f>IFERROR(IF(OR($H795="",$K795=""),"",ROUND('Company Profile'!$B$113*INDEX(_CONFIG_Model_Settings!$H$154:$H$158,MATCH(ROUND($K795,0),_CONFIG_Model_Settings!$G$154:$G$158,0)),0)),0)</f>
        <v>1875</v>
      </c>
      <c r="BH795">
        <f t="shared" si="171"/>
        <v>937.5</v>
      </c>
      <c r="BI795">
        <f t="shared" si="172"/>
        <v>937.5</v>
      </c>
      <c r="BJ795">
        <f>IF($E795="","",IFERROR(VLOOKUP($C795,_CONFIG_Risk_Calibration!$A$5:$H$21,2,FALSE),3))</f>
        <v>3</v>
      </c>
      <c r="BK795">
        <f>IF($E795="","",IFERROR(VLOOKUP($C795,_CONFIG_Risk_Calibration!$A$5:$H$21,3,FALSE),0))</f>
        <v>0</v>
      </c>
      <c r="BL795">
        <f>IF($E795="","",IFERROR(VLOOKUP($C795,_CONFIG_Risk_Calibration!$A$5:$H$21,4,FALSE),3))</f>
        <v>3</v>
      </c>
      <c r="BM795">
        <f>IF($E795="","",IFERROR(VLOOKUP($C795,_CONFIG_Risk_Calibration!$A$5:$H$21,5,FALSE),3))</f>
        <v>4</v>
      </c>
      <c r="BN795" t="str">
        <f>IF($E795="","",IFERROR(VLOOKUP($C795,_CONFIG_Risk_Calibration!$A$5:$H$21,6,FALSE),"No"))</f>
        <v>Yes</v>
      </c>
      <c r="BO795">
        <f>IF($E795="","",IFERROR(VLOOKUP($C795,_CONFIG_Risk_Calibration!$A$5:$H$21,7,FALSE),1))</f>
        <v>4</v>
      </c>
      <c r="BP795">
        <f>IF($H795="","",MAX(1,MIN(5,((6-$H795)*0.45)+($BJ795*0.2)+('Resilience &amp; Risk Scenario'!$B$7*0.15)+($BK795*0.1)+($BL795*0.05)+(IF($BB795="Fast",5,IF($BB795="Slow",1,3))*0.05))))</f>
        <v>3.6</v>
      </c>
      <c r="BQ795">
        <f t="shared" si="173"/>
        <v>4.6499999999999995</v>
      </c>
      <c r="BR795">
        <f t="shared" si="174"/>
        <v>16.739999999999998</v>
      </c>
      <c r="BS795">
        <f t="shared" si="175"/>
        <v>18.41</v>
      </c>
      <c r="BT795" t="str">
        <f>IFERROR(INDEX(_REF_Capability_Bridge!$D:$D,MATCH($C795&amp;"|"&amp;$D795,_REF_Capability_Bridge!$J:$J,0)),IFERROR(INDEX(_REF_Capability_Bridge!$D:$D,MATCH($C795&amp;"|",_REF_Capability_Bridge!$J:$J,0)),"CAP_GENERIC"))</f>
        <v>CAP_IAM_PAM</v>
      </c>
      <c r="BU795">
        <f>IFERROR(IFERROR(INDEX(_ENGINE_Relevance!$L:$L,MATCH($BT795,_ENGINE_Relevance!$B:$B,0)),1),1)</f>
        <v>1</v>
      </c>
      <c r="BV795" t="str">
        <f>IFERROR(INDEX(_REF_Capability_Bridge!$A:$A,MATCH($C795&amp;"|"&amp;$D795,_REF_Capability_Bridge!$J:$J,0)),IFERROR(INDEX(_REF_Capability_Bridge!$A:$A,MATCH($C795&amp;"|",_REF_Capability_Bridge!$J:$J,0)),"No bridge"))</f>
        <v>BRG-045</v>
      </c>
      <c r="BW795" t="str">
        <f t="shared" si="176"/>
        <v>Capability relevance neutral</v>
      </c>
      <c r="BX795" t="str">
        <f t="shared" si="177"/>
        <v>Initial / absent</v>
      </c>
      <c r="BY795" t="str">
        <f>IF($E795="","",IFERROR(INDEX(_REF_Treatment_Library!$A$2:$A$296,MATCH(1,INDEX((_REF_Treatment_Library!$B$2:$B$296=$BT795)*(_REF_Treatment_Library!$C$2:$C$296=PV_Canonical_Industry)*(_REF_Treatment_Library!$E$2:$E$296&lt;=N($H795))*(_REF_Treatment_Library!$F$2:$F$296&gt;=N($H795))*(_REF_Treatment_Library!$O$2:$O$296="Yes"),0),0)),IFERROR(INDEX(_REF_Treatment_Library!$A$2:$A$296,MATCH(1,INDEX((_REF_Treatment_Library!$B$2:$B$296=$BT795)*(_REF_Treatment_Library!$C$2:$C$296="All")*(_REF_Treatment_Library!$E$2:$E$296&lt;=N($H795))*(_REF_Treatment_Library!$F$2:$F$296&gt;=N($H795))*(_REF_Treatment_Library!$O$2:$O$296="Yes"),0),0)),"")))</f>
        <v>TRT-IAM_PAM-INITIAL</v>
      </c>
      <c r="BZ795" t="str">
        <f>IF($BY795="","",IFERROR(INDEX(_REF_Treatment_Library!$H$2:$H$296,MATCH($BY795,_REF_Treatment_Library!$A$2:$A$296,0)),""))</f>
        <v>Establish</v>
      </c>
      <c r="CA795" t="str">
        <f>IF($BY795="","",IFERROR(INDEX(_REF_Treatment_Library!$I$2:$I$296,MATCH($BY795,_REF_Treatment_Library!$A$2:$A$296,0)),""))</f>
        <v>Establish baseline controls for Identity / PAM</v>
      </c>
      <c r="CB795" t="str">
        <f>IF($BY795="","",IFERROR(INDEX(_REF_Treatment_Library!$K$2:$K$296,MATCH($BY795,_REF_Treatment_Library!$A$2:$A$296,0)),""))</f>
        <v>Named owner, baseline process, minimum control checklist, first evidence package</v>
      </c>
      <c r="CC795" t="str">
        <f>IF($BY795="","",IFERROR(INDEX(_REF_Treatment_Library!$L$2:$L$296,MATCH($BY795,_REF_Treatment_Library!$A$2:$A$296,0)),""))</f>
        <v>Owner assigned; baseline evidence coverage; open critical gaps</v>
      </c>
      <c r="CD795" t="str">
        <f t="shared" si="178"/>
        <v>Treatment by capability=CAP_IAM_PAM; band=Initial / absent; score=0.0; treatment=Establish</v>
      </c>
      <c r="CE795" t="str">
        <f>IF($E795="","",IFERROR(INDEX(_REF_Industry_Wording!$A$2:$A$70,MATCH(1,INDEX((_REF_Industry_Wording!$B$2:$B$70=$BT795)*(_REF_Industry_Wording!$C$2:$C$70=PV_Canonical_Industry)*(_REF_Industry_Wording!$K$2:$K$70="Yes"),0),0)),IFERROR(INDEX(_REF_Industry_Wording!$A$2:$A$70,MATCH(1,INDEX((_REF_Industry_Wording!$B$2:$B$70=$BT795)*(_REF_Industry_Wording!$C$2:$C$70="All")*(_REF_Industry_Wording!$K$2:$K$70="Yes"),0),0)),"")))</f>
        <v>IW-ALL-IAM_PAM</v>
      </c>
      <c r="CF795" t="str">
        <f>IF($CE795="","",IFERROR(INDEX(_REF_Industry_Wording!$E$2:$E$70,MATCH($CE795,_REF_Industry_Wording!$A$2:$A$70,0)),""))</f>
        <v>Identity / PAM weakness</v>
      </c>
      <c r="CG795" t="str">
        <f>IF($CE795="","",IFERROR(INDEX(_REF_Industry_Wording!$F$2:$F$70,MATCH($CE795,_REF_Industry_Wording!$A$2:$A$70,0)),""))</f>
        <v>Strengthen Identity / PAM</v>
      </c>
      <c r="CH795" t="str">
        <f>IF($CE795="","",IFERROR(INDEX(_REF_Industry_Wording!$G$2:$G$70,MATCH($CE795,_REF_Industry_Wording!$A$2:$A$70,0)),""))</f>
        <v>Strengthen Identity / PAM using the selected maturity treatment, crisis scenario and evidence requirements.</v>
      </c>
      <c r="CI795" t="str">
        <f>IF($CE795="","",IFERROR(INDEX(_REF_Industry_Wording!$H$2:$H$70,MATCH($CE795,_REF_Industry_Wording!$A$2:$A$70,0)),""))</f>
        <v>Identity / PAM</v>
      </c>
      <c r="CJ795">
        <f>IF($CE795="","",IFERROR(INDEX(_REF_Industry_Wording!$I$2:$I$70,MATCH($CE795,_REF_Industry_Wording!$A$2:$A$70,0)),""))</f>
        <v>0</v>
      </c>
      <c r="CK795" t="str">
        <f>IF($CE795="","",IFERROR(INDEX(_REF_Industry_Wording!$J$2:$J$70,MATCH($CE795,_REF_Industry_Wording!$A$2:$A$70,0)),""))</f>
        <v>Identity / PAM</v>
      </c>
      <c r="CL795" t="str">
        <f t="shared" si="179"/>
        <v>Wording by industry=0; capability=CAP_IAM_PAM; risk label=Identity / PAM weakness</v>
      </c>
      <c r="CM795" t="str">
        <f t="shared" si="180"/>
        <v>RISK-ONT-0296</v>
      </c>
      <c r="CN795" t="str">
        <f t="shared" si="181"/>
        <v>RISK-EVT-0296</v>
      </c>
      <c r="CO795" t="str">
        <f t="shared" si="182"/>
        <v>IT Cloud DR|IT inventory and architecture|ITCL-004|CAP_IAM_PAM</v>
      </c>
      <c r="CP795" t="str">
        <f t="shared" si="183"/>
        <v>Active</v>
      </c>
      <c r="CQ795" t="str">
        <f t="shared" si="184"/>
        <v>OK: capability-driven</v>
      </c>
      <c r="CR795" t="str">
        <f t="shared" si="185"/>
        <v>Risk ontology uses capability=CAP_IAM_PAM; bridge=BRG-045; treatment=TRT-IAM_PAM-INITIAL; wording=IW-ALL-IAM_PAM</v>
      </c>
      <c r="CS795" t="str">
        <f t="shared" si="186"/>
        <v>Yes</v>
      </c>
    </row>
    <row r="796" spans="1:97" ht="69.900000000000006" customHeight="1">
      <c r="A796">
        <f>IF(OR($B796&lt;&gt;"Yes",$BS796=""),"",SUMPRODUCT(($B$500:$B$923="Yes")*ISNUMBER($BS$500:$BS$923)*($BS$500:$BS$923&gt;$BS796))+COUNTIFS($B$500:$B796,"Yes",$BS$500:$BS796,$BS796))</f>
        <v>244</v>
      </c>
      <c r="B796" t="str">
        <f t="shared" si="155"/>
        <v>Yes</v>
      </c>
      <c r="C796" t="s">
        <v>2588</v>
      </c>
      <c r="D796" t="s">
        <v>2590</v>
      </c>
      <c r="E796" t="s">
        <v>2614</v>
      </c>
      <c r="F796" t="s">
        <v>4333</v>
      </c>
      <c r="G796" t="str">
        <f>IF($H796="","",IFERROR(INDEX(_ENGINE_Risk!$H$5:$M$499,MATCH($E796,_ENGINE_Risk!$A$5:$A$499,0),$H796+1),""))</f>
        <v>Severe risk: legacy system risk for vendor support, skills, security, integration and replacement options is not reliably controlled. During IT outage; Cloud outage; Data loss; Cyberattack, the organization may face system outage, data unavailability, excessive RTO/RPO and inability to restore critical technology services with limited visibility or accountability.</v>
      </c>
      <c r="H796">
        <f>IFERROR(VALUE(INDEX(_DATA_Assessment_Model!$H$5:$H$884,MATCH($E796,_DATA_Assessment_Model!$A$5:$A$884,0))),"")</f>
        <v>0</v>
      </c>
      <c r="I796" t="str">
        <f>IF($H796="","",IFERROR(INDEX(_DATA_Assessment_Model!$L$5:$L$884,MATCH($E796,_DATA_Assessment_Model!$A$5:$A$884,0)),IF($H796&lt;=1,"Critical",IF($H796=2,"High",IF($H796=3,"Medium",IF($H796=4,"Low","Resilient"))))))</f>
        <v>Critical</v>
      </c>
      <c r="J796">
        <f t="shared" si="156"/>
        <v>3.6</v>
      </c>
      <c r="K796">
        <f t="shared" si="157"/>
        <v>4.4499999999999993</v>
      </c>
      <c r="L796">
        <f t="shared" si="158"/>
        <v>16.02</v>
      </c>
      <c r="M796">
        <f t="shared" si="159"/>
        <v>4</v>
      </c>
      <c r="N796">
        <f>IF($H796="","",IFERROR(INDEX(_ENGINE_Risk!$T$5:$Y$499,MATCH($E796,_ENGINE_Risk!$A$5:$A$499,0),$H796+1),""))</f>
        <v>4</v>
      </c>
      <c r="O796">
        <f t="shared" si="160"/>
        <v>4.666666666666667</v>
      </c>
      <c r="P796">
        <f t="shared" si="161"/>
        <v>5</v>
      </c>
      <c r="Q796">
        <f t="shared" si="162"/>
        <v>5</v>
      </c>
      <c r="R796">
        <f t="shared" si="163"/>
        <v>5</v>
      </c>
      <c r="S796">
        <f t="shared" si="164"/>
        <v>1.23</v>
      </c>
      <c r="T796" t="str">
        <f>IF($H796="","",IFERROR(INDEX(_ENGINE_Risk!$N$5:$S$499,MATCH($E796,_ENGINE_Risk!$A$5:$A$499,0),$H796+1),""))</f>
        <v>Create an immediate risk owner, minimum control baseline and fallback procedure for legacy system risk for vendor support, skills, security, integration and replacement options. Add it to the crisis risk register and collect first evidence.</v>
      </c>
      <c r="U796">
        <f>IFERROR(INDEX(_DATA_Assessment_Model!$G$5:$G$884,MATCH($E796,_DATA_Assessment_Model!$A$5:$A$884,0)),"")</f>
        <v>4</v>
      </c>
      <c r="V796">
        <f>IFERROR(INDEX(_DATA_Assessment_Model!$W$5:$W$884,MATCH($E796,_DATA_Assessment_Model!$A$5:$A$884,0)),"")</f>
        <v>5</v>
      </c>
      <c r="W796">
        <f>IFERROR(INDEX(_DATA_Assessment_Model!$X$5:$X$884,MATCH($E796,_DATA_Assessment_Model!$A$5:$A$884,0)),"")</f>
        <v>5</v>
      </c>
      <c r="X796">
        <f>IFERROR(INDEX(_DATA_Assessment_Model!$Y$5:$Y$884,MATCH($E796,_DATA_Assessment_Model!$A$5:$A$884,0)),"")</f>
        <v>5</v>
      </c>
      <c r="Y796" t="s">
        <v>2595</v>
      </c>
      <c r="Z796" t="s">
        <v>8744</v>
      </c>
      <c r="AA796" t="s">
        <v>2616</v>
      </c>
      <c r="AB796">
        <f>IFERROR(INDEX(_DATA_Assessment_Model!$U$5:$U$884,MATCH($E796,_DATA_Assessment_Model!$A$5:$A$884,0)),"")</f>
        <v>0</v>
      </c>
      <c r="AF796" t="s">
        <v>2615</v>
      </c>
      <c r="AO796">
        <f>IF($B796="Yes",IF(IFERROR(INDEX(_ENGINE_Crisis!$F$501:$F$517,MATCH($C796,_ENGINE_Crisis!$A$501:$A$517,0)),1)=0,1,IFERROR(INDEX(_ENGINE_Crisis!$F$501:$F$517,MATCH($C796,_ENGINE_Crisis!$A$501:$A$517,0)),1)),"")</f>
        <v>1</v>
      </c>
      <c r="AP796">
        <f t="shared" si="165"/>
        <v>16</v>
      </c>
      <c r="AQ796">
        <f t="shared" si="166"/>
        <v>1.23</v>
      </c>
      <c r="AR796" t="str">
        <f>IFERROR(INDEX(_ENGINE_Crisis!$E$41:$E$700,MATCH('Resilience &amp; Risk Scenario'!$B$6&amp;"|"&amp;$C796,_ENGINE_Crisis!$I$41:$I$700,0)),"")</f>
        <v/>
      </c>
      <c r="AS796" t="str">
        <f>IFERROR(INDEX(_ENGINE_Crisis!$G$41:$G$700,MATCH('Resilience &amp; Risk Scenario'!$B$6&amp;"|"&amp;$C796,_ENGINE_Crisis!$I$41:$I$700,0)),"")</f>
        <v/>
      </c>
      <c r="AT796" t="str">
        <f>IFERROR(INDEX(_ENGINE_Initiatives!$A$5:$A$532,MATCH(1,INDEX((_ENGINE_Initiatives!$B$5:$B$532=$C796)*(_ENGINE_Initiatives!$C$5:$C$532=$D796),0),0)),"")</f>
        <v>INI-048</v>
      </c>
      <c r="AU796" t="str">
        <f>IFERROR(INDEX(_ENGINE_Initiatives!$F$5:$F$532,MATCH(1,INDEX((_ENGINE_Initiatives!$B$5:$B$532=$C796)*(_ENGINE_Initiatives!$C$5:$C$532=$D796),0),0)),"")</f>
        <v>Create IT asset, application and architecture criticality map</v>
      </c>
      <c r="AV796">
        <f>IFERROR(INDEX(_ENGINE_Initiatives!$AC$5:$AC$532,MATCH(1,INDEX((_ENGINE_Initiatives!$B$5:$B$532=$C796)*(_ENGINE_Initiatives!$C$5:$C$532=$D796),0),0)),"")</f>
        <v>1.34</v>
      </c>
      <c r="AW796" t="str">
        <f>IFERROR(INDEX(_ENGINE_Initiatives!$AE$5:$AE$532,MATCH(1,INDEX((_ENGINE_Initiatives!$B$5:$B$532=$C796)*(_ENGINE_Initiatives!$C$5:$C$532=$D796),0),0)),"")</f>
        <v>12+ months</v>
      </c>
      <c r="AX796">
        <f>IF($B796="Yes",IFERROR((IF(SUMIFS(_REF_Model_Content!$E$1:$E$613,_REF_Model_Content!$A$1:$A$613,PV_Canonical_Industry,_REF_Model_Content!$B$1:$B$613,$C796)=0,1,SUMIFS(_REF_Model_Content!$E$1:$E$613,_REF_Model_Content!$A$1:$A$613,PV_Canonical_Industry,_REF_Model_Content!$B$1:$B$613,$C796))*IFERROR($BU796,1)),1),"")</f>
        <v>1</v>
      </c>
      <c r="AY796">
        <f t="shared" si="167"/>
        <v>16</v>
      </c>
      <c r="AZ796">
        <f t="shared" si="168"/>
        <v>1.23</v>
      </c>
      <c r="BB796" t="str">
        <f>IF($H796="","",IFERROR(INDEX(_ENGINE_Risk!$AE$5:$AE$499,MATCH($E796,_ENGINE_Risk!$A$5:$A$499,0)),"Medium"))</f>
        <v>Medium</v>
      </c>
      <c r="BC796">
        <f t="shared" si="169"/>
        <v>1</v>
      </c>
      <c r="BD796">
        <f t="shared" si="170"/>
        <v>1.23</v>
      </c>
      <c r="BF796">
        <f>IF(OR($H796="",$J796=""),"",IFERROR(VLOOKUP(ROUND($J796,0),_CONFIG_Model_Settings!$D$154:$E$158,2,0),""))</f>
        <v>0.5</v>
      </c>
      <c r="BG796">
        <f>IFERROR(IF(OR($H796="",$K796=""),"",ROUND('Company Profile'!$B$113*INDEX(_CONFIG_Model_Settings!$H$154:$H$158,MATCH(ROUND($K796,0),_CONFIG_Model_Settings!$G$154:$G$158,0)),0)),0)</f>
        <v>875</v>
      </c>
      <c r="BH796">
        <f t="shared" si="171"/>
        <v>437.5</v>
      </c>
      <c r="BI796">
        <f t="shared" si="172"/>
        <v>437.5</v>
      </c>
      <c r="BJ796">
        <f>IF($E796="","",IFERROR(VLOOKUP($C796,_CONFIG_Risk_Calibration!$A$5:$H$21,2,FALSE),3))</f>
        <v>3</v>
      </c>
      <c r="BK796">
        <f>IF($E796="","",IFERROR(VLOOKUP($C796,_CONFIG_Risk_Calibration!$A$5:$H$21,3,FALSE),0))</f>
        <v>0</v>
      </c>
      <c r="BL796">
        <f>IF($E796="","",IFERROR(VLOOKUP($C796,_CONFIG_Risk_Calibration!$A$5:$H$21,4,FALSE),3))</f>
        <v>3</v>
      </c>
      <c r="BM796">
        <f>IF($E796="","",IFERROR(VLOOKUP($C796,_CONFIG_Risk_Calibration!$A$5:$H$21,5,FALSE),3))</f>
        <v>4</v>
      </c>
      <c r="BN796" t="str">
        <f>IF($E796="","",IFERROR(VLOOKUP($C796,_CONFIG_Risk_Calibration!$A$5:$H$21,6,FALSE),"No"))</f>
        <v>Yes</v>
      </c>
      <c r="BO796">
        <f>IF($E796="","",IFERROR(VLOOKUP($C796,_CONFIG_Risk_Calibration!$A$5:$H$21,7,FALSE),1))</f>
        <v>4</v>
      </c>
      <c r="BP796">
        <f>IF($H796="","",MAX(1,MIN(5,((6-$H796)*0.45)+($BJ796*0.2)+('Resilience &amp; Risk Scenario'!$B$7*0.15)+($BK796*0.1)+($BL796*0.05)+(IF($BB796="Fast",5,IF($BB796="Slow",1,3))*0.05))))</f>
        <v>3.6</v>
      </c>
      <c r="BQ796">
        <f t="shared" si="173"/>
        <v>4.4499999999999993</v>
      </c>
      <c r="BR796">
        <f t="shared" si="174"/>
        <v>16.02</v>
      </c>
      <c r="BS796">
        <f t="shared" si="175"/>
        <v>17.62</v>
      </c>
      <c r="BT796" t="str">
        <f>IFERROR(INDEX(_REF_Capability_Bridge!$D:$D,MATCH($C796&amp;"|"&amp;$D796,_REF_Capability_Bridge!$J:$J,0)),IFERROR(INDEX(_REF_Capability_Bridge!$D:$D,MATCH($C796&amp;"|",_REF_Capability_Bridge!$J:$J,0)),"CAP_GENERIC"))</f>
        <v>CAP_IAM_PAM</v>
      </c>
      <c r="BU796">
        <f>IFERROR(IFERROR(INDEX(_ENGINE_Relevance!$L:$L,MATCH($BT796,_ENGINE_Relevance!$B:$B,0)),1),1)</f>
        <v>1</v>
      </c>
      <c r="BV796" t="str">
        <f>IFERROR(INDEX(_REF_Capability_Bridge!$A:$A,MATCH($C796&amp;"|"&amp;$D796,_REF_Capability_Bridge!$J:$J,0)),IFERROR(INDEX(_REF_Capability_Bridge!$A:$A,MATCH($C796&amp;"|",_REF_Capability_Bridge!$J:$J,0)),"No bridge"))</f>
        <v>BRG-045</v>
      </c>
      <c r="BW796" t="str">
        <f t="shared" si="176"/>
        <v>Capability relevance neutral</v>
      </c>
      <c r="BX796" t="str">
        <f t="shared" si="177"/>
        <v>Initial / absent</v>
      </c>
      <c r="BY796" t="str">
        <f>IF($E796="","",IFERROR(INDEX(_REF_Treatment_Library!$A$2:$A$296,MATCH(1,INDEX((_REF_Treatment_Library!$B$2:$B$296=$BT796)*(_REF_Treatment_Library!$C$2:$C$296=PV_Canonical_Industry)*(_REF_Treatment_Library!$E$2:$E$296&lt;=N($H796))*(_REF_Treatment_Library!$F$2:$F$296&gt;=N($H796))*(_REF_Treatment_Library!$O$2:$O$296="Yes"),0),0)),IFERROR(INDEX(_REF_Treatment_Library!$A$2:$A$296,MATCH(1,INDEX((_REF_Treatment_Library!$B$2:$B$296=$BT796)*(_REF_Treatment_Library!$C$2:$C$296="All")*(_REF_Treatment_Library!$E$2:$E$296&lt;=N($H796))*(_REF_Treatment_Library!$F$2:$F$296&gt;=N($H796))*(_REF_Treatment_Library!$O$2:$O$296="Yes"),0),0)),"")))</f>
        <v>TRT-IAM_PAM-INITIAL</v>
      </c>
      <c r="BZ796" t="str">
        <f>IF($BY796="","",IFERROR(INDEX(_REF_Treatment_Library!$H$2:$H$296,MATCH($BY796,_REF_Treatment_Library!$A$2:$A$296,0)),""))</f>
        <v>Establish</v>
      </c>
      <c r="CA796" t="str">
        <f>IF($BY796="","",IFERROR(INDEX(_REF_Treatment_Library!$I$2:$I$296,MATCH($BY796,_REF_Treatment_Library!$A$2:$A$296,0)),""))</f>
        <v>Establish baseline controls for Identity / PAM</v>
      </c>
      <c r="CB796" t="str">
        <f>IF($BY796="","",IFERROR(INDEX(_REF_Treatment_Library!$K$2:$K$296,MATCH($BY796,_REF_Treatment_Library!$A$2:$A$296,0)),""))</f>
        <v>Named owner, baseline process, minimum control checklist, first evidence package</v>
      </c>
      <c r="CC796" t="str">
        <f>IF($BY796="","",IFERROR(INDEX(_REF_Treatment_Library!$L$2:$L$296,MATCH($BY796,_REF_Treatment_Library!$A$2:$A$296,0)),""))</f>
        <v>Owner assigned; baseline evidence coverage; open critical gaps</v>
      </c>
      <c r="CD796" t="str">
        <f t="shared" si="178"/>
        <v>Treatment by capability=CAP_IAM_PAM; band=Initial / absent; score=0.0; treatment=Establish</v>
      </c>
      <c r="CE796" t="str">
        <f>IF($E796="","",IFERROR(INDEX(_REF_Industry_Wording!$A$2:$A$70,MATCH(1,INDEX((_REF_Industry_Wording!$B$2:$B$70=$BT796)*(_REF_Industry_Wording!$C$2:$C$70=PV_Canonical_Industry)*(_REF_Industry_Wording!$K$2:$K$70="Yes"),0),0)),IFERROR(INDEX(_REF_Industry_Wording!$A$2:$A$70,MATCH(1,INDEX((_REF_Industry_Wording!$B$2:$B$70=$BT796)*(_REF_Industry_Wording!$C$2:$C$70="All")*(_REF_Industry_Wording!$K$2:$K$70="Yes"),0),0)),"")))</f>
        <v>IW-ALL-IAM_PAM</v>
      </c>
      <c r="CF796" t="str">
        <f>IF($CE796="","",IFERROR(INDEX(_REF_Industry_Wording!$E$2:$E$70,MATCH($CE796,_REF_Industry_Wording!$A$2:$A$70,0)),""))</f>
        <v>Identity / PAM weakness</v>
      </c>
      <c r="CG796" t="str">
        <f>IF($CE796="","",IFERROR(INDEX(_REF_Industry_Wording!$F$2:$F$70,MATCH($CE796,_REF_Industry_Wording!$A$2:$A$70,0)),""))</f>
        <v>Strengthen Identity / PAM</v>
      </c>
      <c r="CH796" t="str">
        <f>IF($CE796="","",IFERROR(INDEX(_REF_Industry_Wording!$G$2:$G$70,MATCH($CE796,_REF_Industry_Wording!$A$2:$A$70,0)),""))</f>
        <v>Strengthen Identity / PAM using the selected maturity treatment, crisis scenario and evidence requirements.</v>
      </c>
      <c r="CI796" t="str">
        <f>IF($CE796="","",IFERROR(INDEX(_REF_Industry_Wording!$H$2:$H$70,MATCH($CE796,_REF_Industry_Wording!$A$2:$A$70,0)),""))</f>
        <v>Identity / PAM</v>
      </c>
      <c r="CJ796">
        <f>IF($CE796="","",IFERROR(INDEX(_REF_Industry_Wording!$I$2:$I$70,MATCH($CE796,_REF_Industry_Wording!$A$2:$A$70,0)),""))</f>
        <v>0</v>
      </c>
      <c r="CK796" t="str">
        <f>IF($CE796="","",IFERROR(INDEX(_REF_Industry_Wording!$J$2:$J$70,MATCH($CE796,_REF_Industry_Wording!$A$2:$A$70,0)),""))</f>
        <v>Identity / PAM</v>
      </c>
      <c r="CL796" t="str">
        <f t="shared" si="179"/>
        <v>Wording by industry=0; capability=CAP_IAM_PAM; risk label=Identity / PAM weakness</v>
      </c>
      <c r="CM796" t="str">
        <f t="shared" si="180"/>
        <v>RISK-ONT-0297</v>
      </c>
      <c r="CN796" t="str">
        <f t="shared" si="181"/>
        <v>RISK-EVT-0297</v>
      </c>
      <c r="CO796" t="str">
        <f t="shared" si="182"/>
        <v>IT Cloud DR|IT inventory and architecture|ITCL-005|CAP_IAM_PAM</v>
      </c>
      <c r="CP796" t="str">
        <f t="shared" si="183"/>
        <v>Active</v>
      </c>
      <c r="CQ796" t="str">
        <f t="shared" si="184"/>
        <v>OK: capability-driven</v>
      </c>
      <c r="CR796" t="str">
        <f t="shared" si="185"/>
        <v>Risk ontology uses capability=CAP_IAM_PAM; bridge=BRG-045; treatment=TRT-IAM_PAM-INITIAL; wording=IW-ALL-IAM_PAM</v>
      </c>
      <c r="CS796" t="str">
        <f t="shared" si="186"/>
        <v>Yes</v>
      </c>
    </row>
    <row r="797" spans="1:97" ht="69.900000000000006" customHeight="1">
      <c r="A797">
        <f>IF(OR($B797&lt;&gt;"Yes",$BS797=""),"",SUMPRODUCT(($B$500:$B$923="Yes")*ISNUMBER($BS$500:$BS$923)*($BS$500:$BS$923&gt;$BS797))+COUNTIFS($B$500:$B797,"Yes",$BS$500:$BS797,$BS797))</f>
        <v>248</v>
      </c>
      <c r="B797" t="str">
        <f t="shared" si="155"/>
        <v>Yes</v>
      </c>
      <c r="C797" t="s">
        <v>2588</v>
      </c>
      <c r="D797" t="s">
        <v>2590</v>
      </c>
      <c r="E797" t="s">
        <v>2624</v>
      </c>
      <c r="F797" t="s">
        <v>4333</v>
      </c>
      <c r="G797" t="str">
        <f>IF($H797="","",IFERROR(INDEX(_ENGINE_Risk!$H$5:$M$499,MATCH($E797,_ENGINE_Risk!$A$5:$A$499,0),$H797+1),""))</f>
        <v>Severe risk: technical debt register linked to resilience, security and business impact is not reliably controlled. During IT outage; Cloud outage; Data loss; Cyberattack, the organization may face system outage, data unavailability, excessive RTO/RPO and inability to restore critical technology services with limited visibility or accountability.</v>
      </c>
      <c r="H797">
        <f>IFERROR(VALUE(INDEX(_DATA_Assessment_Model!$H$5:$H$884,MATCH($E797,_DATA_Assessment_Model!$A$5:$A$884,0))),"")</f>
        <v>0</v>
      </c>
      <c r="I797" t="str">
        <f>IF($H797="","",IFERROR(INDEX(_DATA_Assessment_Model!$L$5:$L$884,MATCH($E797,_DATA_Assessment_Model!$A$5:$A$884,0)),IF($H797&lt;=1,"Critical",IF($H797=2,"High",IF($H797=3,"Medium",IF($H797=4,"Low","Resilient"))))))</f>
        <v>Critical</v>
      </c>
      <c r="J797">
        <f t="shared" si="156"/>
        <v>3.6</v>
      </c>
      <c r="K797">
        <f t="shared" si="157"/>
        <v>4.25</v>
      </c>
      <c r="L797">
        <f t="shared" si="158"/>
        <v>15.3</v>
      </c>
      <c r="M797">
        <f t="shared" si="159"/>
        <v>4</v>
      </c>
      <c r="N797">
        <f>IF($H797="","",IFERROR(INDEX(_ENGINE_Risk!$T$5:$Y$499,MATCH($E797,_ENGINE_Risk!$A$5:$A$499,0),$H797+1),""))</f>
        <v>4</v>
      </c>
      <c r="O797">
        <f t="shared" si="160"/>
        <v>4.333333333333333</v>
      </c>
      <c r="P797">
        <f t="shared" si="161"/>
        <v>5</v>
      </c>
      <c r="Q797">
        <f t="shared" si="162"/>
        <v>5</v>
      </c>
      <c r="R797">
        <f t="shared" si="163"/>
        <v>5</v>
      </c>
      <c r="S797">
        <f t="shared" si="164"/>
        <v>1.21</v>
      </c>
      <c r="T797" t="str">
        <f>IF($H797="","",IFERROR(INDEX(_ENGINE_Risk!$N$5:$S$499,MATCH($E797,_ENGINE_Risk!$A$5:$A$499,0),$H797+1),""))</f>
        <v>Create an immediate risk owner, minimum control baseline and fallback procedure for technical debt register linked to resilience, security and business impact. Add it to the crisis risk register and collect first evidence.</v>
      </c>
      <c r="U797">
        <f>IFERROR(INDEX(_DATA_Assessment_Model!$G$5:$G$884,MATCH($E797,_DATA_Assessment_Model!$A$5:$A$884,0)),"")</f>
        <v>3</v>
      </c>
      <c r="V797">
        <f>IFERROR(INDEX(_DATA_Assessment_Model!$W$5:$W$884,MATCH($E797,_DATA_Assessment_Model!$A$5:$A$884,0)),"")</f>
        <v>5</v>
      </c>
      <c r="W797">
        <f>IFERROR(INDEX(_DATA_Assessment_Model!$X$5:$X$884,MATCH($E797,_DATA_Assessment_Model!$A$5:$A$884,0)),"")</f>
        <v>5</v>
      </c>
      <c r="X797">
        <f>IFERROR(INDEX(_DATA_Assessment_Model!$Y$5:$Y$884,MATCH($E797,_DATA_Assessment_Model!$A$5:$A$884,0)),"")</f>
        <v>5</v>
      </c>
      <c r="Y797" t="s">
        <v>2595</v>
      </c>
      <c r="Z797" t="s">
        <v>8744</v>
      </c>
      <c r="AA797" t="s">
        <v>2626</v>
      </c>
      <c r="AB797">
        <f>IFERROR(INDEX(_DATA_Assessment_Model!$U$5:$U$884,MATCH($E797,_DATA_Assessment_Model!$A$5:$A$884,0)),"")</f>
        <v>0</v>
      </c>
      <c r="AF797" t="s">
        <v>2625</v>
      </c>
      <c r="AO797">
        <f>IF($B797="Yes",IF(IFERROR(INDEX(_ENGINE_Crisis!$F$501:$F$517,MATCH($C797,_ENGINE_Crisis!$A$501:$A$517,0)),1)=0,1,IFERROR(INDEX(_ENGINE_Crisis!$F$501:$F$517,MATCH($C797,_ENGINE_Crisis!$A$501:$A$517,0)),1)),"")</f>
        <v>1</v>
      </c>
      <c r="AP797">
        <f t="shared" si="165"/>
        <v>15.3</v>
      </c>
      <c r="AQ797">
        <f t="shared" si="166"/>
        <v>1.21</v>
      </c>
      <c r="AR797" t="str">
        <f>IFERROR(INDEX(_ENGINE_Crisis!$E$41:$E$700,MATCH('Resilience &amp; Risk Scenario'!$B$6&amp;"|"&amp;$C797,_ENGINE_Crisis!$I$41:$I$700,0)),"")</f>
        <v/>
      </c>
      <c r="AS797" t="str">
        <f>IFERROR(INDEX(_ENGINE_Crisis!$G$41:$G$700,MATCH('Resilience &amp; Risk Scenario'!$B$6&amp;"|"&amp;$C797,_ENGINE_Crisis!$I$41:$I$700,0)),"")</f>
        <v/>
      </c>
      <c r="AT797" t="str">
        <f>IFERROR(INDEX(_ENGINE_Initiatives!$A$5:$A$532,MATCH(1,INDEX((_ENGINE_Initiatives!$B$5:$B$532=$C797)*(_ENGINE_Initiatives!$C$5:$C$532=$D797),0),0)),"")</f>
        <v>INI-048</v>
      </c>
      <c r="AU797" t="str">
        <f>IFERROR(INDEX(_ENGINE_Initiatives!$F$5:$F$532,MATCH(1,INDEX((_ENGINE_Initiatives!$B$5:$B$532=$C797)*(_ENGINE_Initiatives!$C$5:$C$532=$D797),0),0)),"")</f>
        <v>Create IT asset, application and architecture criticality map</v>
      </c>
      <c r="AV797">
        <f>IFERROR(INDEX(_ENGINE_Initiatives!$AC$5:$AC$532,MATCH(1,INDEX((_ENGINE_Initiatives!$B$5:$B$532=$C797)*(_ENGINE_Initiatives!$C$5:$C$532=$D797),0),0)),"")</f>
        <v>1.34</v>
      </c>
      <c r="AW797" t="str">
        <f>IFERROR(INDEX(_ENGINE_Initiatives!$AE$5:$AE$532,MATCH(1,INDEX((_ENGINE_Initiatives!$B$5:$B$532=$C797)*(_ENGINE_Initiatives!$C$5:$C$532=$D797),0),0)),"")</f>
        <v>12+ months</v>
      </c>
      <c r="AX797">
        <f>IF($B797="Yes",IFERROR((IF(SUMIFS(_REF_Model_Content!$E$1:$E$613,_REF_Model_Content!$A$1:$A$613,PV_Canonical_Industry,_REF_Model_Content!$B$1:$B$613,$C797)=0,1,SUMIFS(_REF_Model_Content!$E$1:$E$613,_REF_Model_Content!$A$1:$A$613,PV_Canonical_Industry,_REF_Model_Content!$B$1:$B$613,$C797))*IFERROR($BU797,1)),1),"")</f>
        <v>1</v>
      </c>
      <c r="AY797">
        <f t="shared" si="167"/>
        <v>15.3</v>
      </c>
      <c r="AZ797">
        <f t="shared" si="168"/>
        <v>1.21</v>
      </c>
      <c r="BB797" t="str">
        <f>IF($H797="","",IFERROR(INDEX(_ENGINE_Risk!$AE$5:$AE$499,MATCH($E797,_ENGINE_Risk!$A$5:$A$499,0)),"Medium"))</f>
        <v>Medium</v>
      </c>
      <c r="BC797">
        <f t="shared" si="169"/>
        <v>1</v>
      </c>
      <c r="BD797">
        <f t="shared" si="170"/>
        <v>1.21</v>
      </c>
      <c r="BF797">
        <f>IF(OR($H797="",$J797=""),"",IFERROR(VLOOKUP(ROUND($J797,0),_CONFIG_Model_Settings!$D$154:$E$158,2,0),""))</f>
        <v>0.5</v>
      </c>
      <c r="BG797">
        <f>IFERROR(IF(OR($H797="",$K797=""),"",ROUND('Company Profile'!$B$113*INDEX(_CONFIG_Model_Settings!$H$154:$H$158,MATCH(ROUND($K797,0),_CONFIG_Model_Settings!$G$154:$G$158,0)),0)),0)</f>
        <v>875</v>
      </c>
      <c r="BH797">
        <f t="shared" si="171"/>
        <v>437.5</v>
      </c>
      <c r="BI797">
        <f t="shared" si="172"/>
        <v>437.5</v>
      </c>
      <c r="BJ797">
        <f>IF($E797="","",IFERROR(VLOOKUP($C797,_CONFIG_Risk_Calibration!$A$5:$H$21,2,FALSE),3))</f>
        <v>3</v>
      </c>
      <c r="BK797">
        <f>IF($E797="","",IFERROR(VLOOKUP($C797,_CONFIG_Risk_Calibration!$A$5:$H$21,3,FALSE),0))</f>
        <v>0</v>
      </c>
      <c r="BL797">
        <f>IF($E797="","",IFERROR(VLOOKUP($C797,_CONFIG_Risk_Calibration!$A$5:$H$21,4,FALSE),3))</f>
        <v>3</v>
      </c>
      <c r="BM797">
        <f>IF($E797="","",IFERROR(VLOOKUP($C797,_CONFIG_Risk_Calibration!$A$5:$H$21,5,FALSE),3))</f>
        <v>4</v>
      </c>
      <c r="BN797" t="str">
        <f>IF($E797="","",IFERROR(VLOOKUP($C797,_CONFIG_Risk_Calibration!$A$5:$H$21,6,FALSE),"No"))</f>
        <v>Yes</v>
      </c>
      <c r="BO797">
        <f>IF($E797="","",IFERROR(VLOOKUP($C797,_CONFIG_Risk_Calibration!$A$5:$H$21,7,FALSE),1))</f>
        <v>4</v>
      </c>
      <c r="BP797">
        <f>IF($H797="","",MAX(1,MIN(5,((6-$H797)*0.45)+($BJ797*0.2)+('Resilience &amp; Risk Scenario'!$B$7*0.15)+($BK797*0.1)+($BL797*0.05)+(IF($BB797="Fast",5,IF($BB797="Slow",1,3))*0.05))))</f>
        <v>3.6</v>
      </c>
      <c r="BQ797">
        <f t="shared" si="173"/>
        <v>4.25</v>
      </c>
      <c r="BR797">
        <f t="shared" si="174"/>
        <v>15.3</v>
      </c>
      <c r="BS797">
        <f t="shared" si="175"/>
        <v>16.829999999999998</v>
      </c>
      <c r="BT797" t="str">
        <f>IFERROR(INDEX(_REF_Capability_Bridge!$D:$D,MATCH($C797&amp;"|"&amp;$D797,_REF_Capability_Bridge!$J:$J,0)),IFERROR(INDEX(_REF_Capability_Bridge!$D:$D,MATCH($C797&amp;"|",_REF_Capability_Bridge!$J:$J,0)),"CAP_GENERIC"))</f>
        <v>CAP_IAM_PAM</v>
      </c>
      <c r="BU797">
        <f>IFERROR(IFERROR(INDEX(_ENGINE_Relevance!$L:$L,MATCH($BT797,_ENGINE_Relevance!$B:$B,0)),1),1)</f>
        <v>1</v>
      </c>
      <c r="BV797" t="str">
        <f>IFERROR(INDEX(_REF_Capability_Bridge!$A:$A,MATCH($C797&amp;"|"&amp;$D797,_REF_Capability_Bridge!$J:$J,0)),IFERROR(INDEX(_REF_Capability_Bridge!$A:$A,MATCH($C797&amp;"|",_REF_Capability_Bridge!$J:$J,0)),"No bridge"))</f>
        <v>BRG-045</v>
      </c>
      <c r="BW797" t="str">
        <f t="shared" si="176"/>
        <v>Capability relevance neutral</v>
      </c>
      <c r="BX797" t="str">
        <f t="shared" si="177"/>
        <v>Initial / absent</v>
      </c>
      <c r="BY797" t="str">
        <f>IF($E797="","",IFERROR(INDEX(_REF_Treatment_Library!$A$2:$A$296,MATCH(1,INDEX((_REF_Treatment_Library!$B$2:$B$296=$BT797)*(_REF_Treatment_Library!$C$2:$C$296=PV_Canonical_Industry)*(_REF_Treatment_Library!$E$2:$E$296&lt;=N($H797))*(_REF_Treatment_Library!$F$2:$F$296&gt;=N($H797))*(_REF_Treatment_Library!$O$2:$O$296="Yes"),0),0)),IFERROR(INDEX(_REF_Treatment_Library!$A$2:$A$296,MATCH(1,INDEX((_REF_Treatment_Library!$B$2:$B$296=$BT797)*(_REF_Treatment_Library!$C$2:$C$296="All")*(_REF_Treatment_Library!$E$2:$E$296&lt;=N($H797))*(_REF_Treatment_Library!$F$2:$F$296&gt;=N($H797))*(_REF_Treatment_Library!$O$2:$O$296="Yes"),0),0)),"")))</f>
        <v>TRT-IAM_PAM-INITIAL</v>
      </c>
      <c r="BZ797" t="str">
        <f>IF($BY797="","",IFERROR(INDEX(_REF_Treatment_Library!$H$2:$H$296,MATCH($BY797,_REF_Treatment_Library!$A$2:$A$296,0)),""))</f>
        <v>Establish</v>
      </c>
      <c r="CA797" t="str">
        <f>IF($BY797="","",IFERROR(INDEX(_REF_Treatment_Library!$I$2:$I$296,MATCH($BY797,_REF_Treatment_Library!$A$2:$A$296,0)),""))</f>
        <v>Establish baseline controls for Identity / PAM</v>
      </c>
      <c r="CB797" t="str">
        <f>IF($BY797="","",IFERROR(INDEX(_REF_Treatment_Library!$K$2:$K$296,MATCH($BY797,_REF_Treatment_Library!$A$2:$A$296,0)),""))</f>
        <v>Named owner, baseline process, minimum control checklist, first evidence package</v>
      </c>
      <c r="CC797" t="str">
        <f>IF($BY797="","",IFERROR(INDEX(_REF_Treatment_Library!$L$2:$L$296,MATCH($BY797,_REF_Treatment_Library!$A$2:$A$296,0)),""))</f>
        <v>Owner assigned; baseline evidence coverage; open critical gaps</v>
      </c>
      <c r="CD797" t="str">
        <f t="shared" si="178"/>
        <v>Treatment by capability=CAP_IAM_PAM; band=Initial / absent; score=0.0; treatment=Establish</v>
      </c>
      <c r="CE797" t="str">
        <f>IF($E797="","",IFERROR(INDEX(_REF_Industry_Wording!$A$2:$A$70,MATCH(1,INDEX((_REF_Industry_Wording!$B$2:$B$70=$BT797)*(_REF_Industry_Wording!$C$2:$C$70=PV_Canonical_Industry)*(_REF_Industry_Wording!$K$2:$K$70="Yes"),0),0)),IFERROR(INDEX(_REF_Industry_Wording!$A$2:$A$70,MATCH(1,INDEX((_REF_Industry_Wording!$B$2:$B$70=$BT797)*(_REF_Industry_Wording!$C$2:$C$70="All")*(_REF_Industry_Wording!$K$2:$K$70="Yes"),0),0)),"")))</f>
        <v>IW-ALL-IAM_PAM</v>
      </c>
      <c r="CF797" t="str">
        <f>IF($CE797="","",IFERROR(INDEX(_REF_Industry_Wording!$E$2:$E$70,MATCH($CE797,_REF_Industry_Wording!$A$2:$A$70,0)),""))</f>
        <v>Identity / PAM weakness</v>
      </c>
      <c r="CG797" t="str">
        <f>IF($CE797="","",IFERROR(INDEX(_REF_Industry_Wording!$F$2:$F$70,MATCH($CE797,_REF_Industry_Wording!$A$2:$A$70,0)),""))</f>
        <v>Strengthen Identity / PAM</v>
      </c>
      <c r="CH797" t="str">
        <f>IF($CE797="","",IFERROR(INDEX(_REF_Industry_Wording!$G$2:$G$70,MATCH($CE797,_REF_Industry_Wording!$A$2:$A$70,0)),""))</f>
        <v>Strengthen Identity / PAM using the selected maturity treatment, crisis scenario and evidence requirements.</v>
      </c>
      <c r="CI797" t="str">
        <f>IF($CE797="","",IFERROR(INDEX(_REF_Industry_Wording!$H$2:$H$70,MATCH($CE797,_REF_Industry_Wording!$A$2:$A$70,0)),""))</f>
        <v>Identity / PAM</v>
      </c>
      <c r="CJ797">
        <f>IF($CE797="","",IFERROR(INDEX(_REF_Industry_Wording!$I$2:$I$70,MATCH($CE797,_REF_Industry_Wording!$A$2:$A$70,0)),""))</f>
        <v>0</v>
      </c>
      <c r="CK797" t="str">
        <f>IF($CE797="","",IFERROR(INDEX(_REF_Industry_Wording!$J$2:$J$70,MATCH($CE797,_REF_Industry_Wording!$A$2:$A$70,0)),""))</f>
        <v>Identity / PAM</v>
      </c>
      <c r="CL797" t="str">
        <f t="shared" si="179"/>
        <v>Wording by industry=0; capability=CAP_IAM_PAM; risk label=Identity / PAM weakness</v>
      </c>
      <c r="CM797" t="str">
        <f t="shared" si="180"/>
        <v>RISK-ONT-0298</v>
      </c>
      <c r="CN797" t="str">
        <f t="shared" si="181"/>
        <v>RISK-EVT-0298</v>
      </c>
      <c r="CO797" t="str">
        <f t="shared" si="182"/>
        <v>IT Cloud DR|IT inventory and architecture|ITCL-006|CAP_IAM_PAM</v>
      </c>
      <c r="CP797" t="str">
        <f t="shared" si="183"/>
        <v>Active</v>
      </c>
      <c r="CQ797" t="str">
        <f t="shared" si="184"/>
        <v>OK: capability-driven</v>
      </c>
      <c r="CR797" t="str">
        <f t="shared" si="185"/>
        <v>Risk ontology uses capability=CAP_IAM_PAM; bridge=BRG-045; treatment=TRT-IAM_PAM-INITIAL; wording=IW-ALL-IAM_PAM</v>
      </c>
      <c r="CS797" t="str">
        <f t="shared" si="186"/>
        <v>Yes</v>
      </c>
    </row>
    <row r="798" spans="1:97" ht="69.900000000000006" customHeight="1">
      <c r="A798">
        <f>IF(OR($B798&lt;&gt;"Yes",$BS798=""),"",SUMPRODUCT(($B$500:$B$923="Yes")*ISNUMBER($BS$500:$BS$923)*($BS$500:$BS$923&gt;$BS798))+COUNTIFS($B$500:$B798,"Yes",$BS$500:$BS798,$BS798))</f>
        <v>185</v>
      </c>
      <c r="B798" t="str">
        <f t="shared" si="155"/>
        <v>Yes</v>
      </c>
      <c r="C798" t="s">
        <v>2588</v>
      </c>
      <c r="D798" t="s">
        <v>2599</v>
      </c>
      <c r="E798" t="s">
        <v>2633</v>
      </c>
      <c r="F798" t="s">
        <v>4333</v>
      </c>
      <c r="G798" t="str">
        <f>IF($H798="","",IFERROR(INDEX(_ENGINE_Risk!$H$5:$M$499,MATCH($E798,_ENGINE_Risk!$A$5:$A$499,0),$H798+1),""))</f>
        <v>Severe risk: cloud account, subscription or project governance with ownership, billing, IAM, tagging and guardrails is not reliably controlled. During IT outage; Cloud outage; Data loss; Cyberattack, the organization may face system outage, data unavailability, excessive RTO/RPO and inability to restore critical technology services with limited visibility or accountability.</v>
      </c>
      <c r="H798">
        <f>IFERROR(VALUE(INDEX(_DATA_Assessment_Model!$H$5:$H$884,MATCH($E798,_DATA_Assessment_Model!$A$5:$A$884,0))),"")</f>
        <v>0</v>
      </c>
      <c r="I798" t="str">
        <f>IF($H798="","",IFERROR(INDEX(_DATA_Assessment_Model!$L$5:$L$884,MATCH($E798,_DATA_Assessment_Model!$A$5:$A$884,0)),IF($H798&lt;=1,"Critical",IF($H798=2,"High",IF($H798=3,"Medium",IF($H798=4,"Low","Resilient"))))))</f>
        <v>Critical</v>
      </c>
      <c r="J798">
        <f t="shared" si="156"/>
        <v>3.6</v>
      </c>
      <c r="K798">
        <f t="shared" si="157"/>
        <v>4.6499999999999995</v>
      </c>
      <c r="L798">
        <f t="shared" si="158"/>
        <v>16.739999999999998</v>
      </c>
      <c r="M798">
        <f t="shared" si="159"/>
        <v>4</v>
      </c>
      <c r="N798">
        <f>IF($H798="","",IFERROR(INDEX(_ENGINE_Risk!$T$5:$Y$499,MATCH($E798,_ENGINE_Risk!$A$5:$A$499,0),$H798+1),""))</f>
        <v>4</v>
      </c>
      <c r="O798">
        <f t="shared" si="160"/>
        <v>5</v>
      </c>
      <c r="P798">
        <f t="shared" si="161"/>
        <v>5</v>
      </c>
      <c r="Q798">
        <f t="shared" si="162"/>
        <v>5</v>
      </c>
      <c r="R798">
        <f t="shared" si="163"/>
        <v>5</v>
      </c>
      <c r="S798">
        <f t="shared" si="164"/>
        <v>1.25</v>
      </c>
      <c r="T798" t="str">
        <f>IF($H798="","",IFERROR(INDEX(_ENGINE_Risk!$N$5:$S$499,MATCH($E798,_ENGINE_Risk!$A$5:$A$499,0),$H798+1),""))</f>
        <v>Create an immediate risk owner, minimum control baseline and fallback procedure for cloud account, subscription or project governance with ownership, billing, IAM, tagging and guardrails. Add it to the crisis risk register and collect first evidence.</v>
      </c>
      <c r="U798">
        <f>IFERROR(INDEX(_DATA_Assessment_Model!$G$5:$G$884,MATCH($E798,_DATA_Assessment_Model!$A$5:$A$884,0)),"")</f>
        <v>5</v>
      </c>
      <c r="V798">
        <f>IFERROR(INDEX(_DATA_Assessment_Model!$W$5:$W$884,MATCH($E798,_DATA_Assessment_Model!$A$5:$A$884,0)),"")</f>
        <v>5</v>
      </c>
      <c r="W798">
        <f>IFERROR(INDEX(_DATA_Assessment_Model!$X$5:$X$884,MATCH($E798,_DATA_Assessment_Model!$A$5:$A$884,0)),"")</f>
        <v>5</v>
      </c>
      <c r="X798">
        <f>IFERROR(INDEX(_DATA_Assessment_Model!$Y$5:$Y$884,MATCH($E798,_DATA_Assessment_Model!$A$5:$A$884,0)),"")</f>
        <v>5</v>
      </c>
      <c r="Y798" t="s">
        <v>2595</v>
      </c>
      <c r="Z798" t="s">
        <v>8744</v>
      </c>
      <c r="AA798" t="s">
        <v>2635</v>
      </c>
      <c r="AB798">
        <f>IFERROR(INDEX(_DATA_Assessment_Model!$U$5:$U$884,MATCH($E798,_DATA_Assessment_Model!$A$5:$A$884,0)),"")</f>
        <v>0</v>
      </c>
      <c r="AF798" t="s">
        <v>2634</v>
      </c>
      <c r="AO798">
        <f>IF($B798="Yes",IF(IFERROR(INDEX(_ENGINE_Crisis!$F$501:$F$517,MATCH($C798,_ENGINE_Crisis!$A$501:$A$517,0)),1)=0,1,IFERROR(INDEX(_ENGINE_Crisis!$F$501:$F$517,MATCH($C798,_ENGINE_Crisis!$A$501:$A$517,0)),1)),"")</f>
        <v>1</v>
      </c>
      <c r="AP798">
        <f t="shared" si="165"/>
        <v>16.7</v>
      </c>
      <c r="AQ798">
        <f t="shared" si="166"/>
        <v>1.25</v>
      </c>
      <c r="AR798" t="str">
        <f>IFERROR(INDEX(_ENGINE_Crisis!$E$41:$E$700,MATCH('Resilience &amp; Risk Scenario'!$B$6&amp;"|"&amp;$C798,_ENGINE_Crisis!$I$41:$I$700,0)),"")</f>
        <v/>
      </c>
      <c r="AS798" t="str">
        <f>IFERROR(INDEX(_ENGINE_Crisis!$G$41:$G$700,MATCH('Resilience &amp; Risk Scenario'!$B$6&amp;"|"&amp;$C798,_ENGINE_Crisis!$I$41:$I$700,0)),"")</f>
        <v/>
      </c>
      <c r="AT798" t="str">
        <f>IFERROR(INDEX(_ENGINE_Initiatives!$A$5:$A$532,MATCH(1,INDEX((_ENGINE_Initiatives!$B$5:$B$532=$C798)*(_ENGINE_Initiatives!$C$5:$C$532=$D798),0),0)),"")</f>
        <v>INI-049</v>
      </c>
      <c r="AU798" t="str">
        <f>IFERROR(INDEX(_ENGINE_Initiatives!$F$5:$F$532,MATCH(1,INDEX((_ENGINE_Initiatives!$B$5:$B$532=$C798)*(_ENGINE_Initiatives!$C$5:$C$532=$D798),0),0)),"")</f>
        <v>Optimize cloud usage, landing zones and infrastructure resilience</v>
      </c>
      <c r="AV798">
        <f>IFERROR(INDEX(_ENGINE_Initiatives!$AC$5:$AC$532,MATCH(1,INDEX((_ENGINE_Initiatives!$B$5:$B$532=$C798)*(_ENGINE_Initiatives!$C$5:$C$532=$D798),0),0)),"")</f>
        <v>1.34</v>
      </c>
      <c r="AW798" t="str">
        <f>IFERROR(INDEX(_ENGINE_Initiatives!$AE$5:$AE$532,MATCH(1,INDEX((_ENGINE_Initiatives!$B$5:$B$532=$C798)*(_ENGINE_Initiatives!$C$5:$C$532=$D798),0),0)),"")</f>
        <v>12+ months</v>
      </c>
      <c r="AX798">
        <f>IF($B798="Yes",IFERROR((IF(SUMIFS(_REF_Model_Content!$E$1:$E$613,_REF_Model_Content!$A$1:$A$613,PV_Canonical_Industry,_REF_Model_Content!$B$1:$B$613,$C798)=0,1,SUMIFS(_REF_Model_Content!$E$1:$E$613,_REF_Model_Content!$A$1:$A$613,PV_Canonical_Industry,_REF_Model_Content!$B$1:$B$613,$C798))*IFERROR($BU798,1)),1),"")</f>
        <v>1</v>
      </c>
      <c r="AY798">
        <f t="shared" si="167"/>
        <v>16.7</v>
      </c>
      <c r="AZ798">
        <f t="shared" si="168"/>
        <v>1.25</v>
      </c>
      <c r="BB798" t="str">
        <f>IF($H798="","",IFERROR(INDEX(_ENGINE_Risk!$AE$5:$AE$499,MATCH($E798,_ENGINE_Risk!$A$5:$A$499,0)),"Medium"))</f>
        <v>Medium</v>
      </c>
      <c r="BC798">
        <f t="shared" si="169"/>
        <v>1</v>
      </c>
      <c r="BD798">
        <f t="shared" si="170"/>
        <v>1.25</v>
      </c>
      <c r="BF798">
        <f>IF(OR($H798="",$J798=""),"",IFERROR(VLOOKUP(ROUND($J798,0),_CONFIG_Model_Settings!$D$154:$E$158,2,0),""))</f>
        <v>0.5</v>
      </c>
      <c r="BG798">
        <f>IFERROR(IF(OR($H798="",$K798=""),"",ROUND('Company Profile'!$B$113*INDEX(_CONFIG_Model_Settings!$H$154:$H$158,MATCH(ROUND($K798,0),_CONFIG_Model_Settings!$G$154:$G$158,0)),0)),0)</f>
        <v>1875</v>
      </c>
      <c r="BH798">
        <f t="shared" si="171"/>
        <v>937.5</v>
      </c>
      <c r="BI798">
        <f t="shared" si="172"/>
        <v>937.5</v>
      </c>
      <c r="BJ798">
        <f>IF($E798="","",IFERROR(VLOOKUP($C798,_CONFIG_Risk_Calibration!$A$5:$H$21,2,FALSE),3))</f>
        <v>3</v>
      </c>
      <c r="BK798">
        <f>IF($E798="","",IFERROR(VLOOKUP($C798,_CONFIG_Risk_Calibration!$A$5:$H$21,3,FALSE),0))</f>
        <v>0</v>
      </c>
      <c r="BL798">
        <f>IF($E798="","",IFERROR(VLOOKUP($C798,_CONFIG_Risk_Calibration!$A$5:$H$21,4,FALSE),3))</f>
        <v>3</v>
      </c>
      <c r="BM798">
        <f>IF($E798="","",IFERROR(VLOOKUP($C798,_CONFIG_Risk_Calibration!$A$5:$H$21,5,FALSE),3))</f>
        <v>4</v>
      </c>
      <c r="BN798" t="str">
        <f>IF($E798="","",IFERROR(VLOOKUP($C798,_CONFIG_Risk_Calibration!$A$5:$H$21,6,FALSE),"No"))</f>
        <v>Yes</v>
      </c>
      <c r="BO798">
        <f>IF($E798="","",IFERROR(VLOOKUP($C798,_CONFIG_Risk_Calibration!$A$5:$H$21,7,FALSE),1))</f>
        <v>4</v>
      </c>
      <c r="BP798">
        <f>IF($H798="","",MAX(1,MIN(5,((6-$H798)*0.45)+($BJ798*0.2)+('Resilience &amp; Risk Scenario'!$B$7*0.15)+($BK798*0.1)+($BL798*0.05)+(IF($BB798="Fast",5,IF($BB798="Slow",1,3))*0.05))))</f>
        <v>3.6</v>
      </c>
      <c r="BQ798">
        <f t="shared" si="173"/>
        <v>4.6499999999999995</v>
      </c>
      <c r="BR798">
        <f t="shared" si="174"/>
        <v>16.739999999999998</v>
      </c>
      <c r="BS798">
        <f t="shared" si="175"/>
        <v>18.41</v>
      </c>
      <c r="BT798" t="str">
        <f>IFERROR(INDEX(_REF_Capability_Bridge!$D:$D,MATCH($C798&amp;"|"&amp;$D798,_REF_Capability_Bridge!$J:$J,0)),IFERROR(INDEX(_REF_Capability_Bridge!$D:$D,MATCH($C798&amp;"|",_REF_Capability_Bridge!$J:$J,0)),"CAP_GENERIC"))</f>
        <v>CAP_IAM_PAM</v>
      </c>
      <c r="BU798">
        <f>IFERROR(IFERROR(INDEX(_ENGINE_Relevance!$L:$L,MATCH($BT798,_ENGINE_Relevance!$B:$B,0)),1),1)</f>
        <v>1</v>
      </c>
      <c r="BV798" t="str">
        <f>IFERROR(INDEX(_REF_Capability_Bridge!$A:$A,MATCH($C798&amp;"|"&amp;$D798,_REF_Capability_Bridge!$J:$J,0)),IFERROR(INDEX(_REF_Capability_Bridge!$A:$A,MATCH($C798&amp;"|",_REF_Capability_Bridge!$J:$J,0)),"No bridge"))</f>
        <v>BRG-044</v>
      </c>
      <c r="BW798" t="str">
        <f t="shared" si="176"/>
        <v>Capability relevance neutral</v>
      </c>
      <c r="BX798" t="str">
        <f t="shared" si="177"/>
        <v>Initial / absent</v>
      </c>
      <c r="BY798" t="str">
        <f>IF($E798="","",IFERROR(INDEX(_REF_Treatment_Library!$A$2:$A$296,MATCH(1,INDEX((_REF_Treatment_Library!$B$2:$B$296=$BT798)*(_REF_Treatment_Library!$C$2:$C$296=PV_Canonical_Industry)*(_REF_Treatment_Library!$E$2:$E$296&lt;=N($H798))*(_REF_Treatment_Library!$F$2:$F$296&gt;=N($H798))*(_REF_Treatment_Library!$O$2:$O$296="Yes"),0),0)),IFERROR(INDEX(_REF_Treatment_Library!$A$2:$A$296,MATCH(1,INDEX((_REF_Treatment_Library!$B$2:$B$296=$BT798)*(_REF_Treatment_Library!$C$2:$C$296="All")*(_REF_Treatment_Library!$E$2:$E$296&lt;=N($H798))*(_REF_Treatment_Library!$F$2:$F$296&gt;=N($H798))*(_REF_Treatment_Library!$O$2:$O$296="Yes"),0),0)),"")))</f>
        <v>TRT-IAM_PAM-INITIAL</v>
      </c>
      <c r="BZ798" t="str">
        <f>IF($BY798="","",IFERROR(INDEX(_REF_Treatment_Library!$H$2:$H$296,MATCH($BY798,_REF_Treatment_Library!$A$2:$A$296,0)),""))</f>
        <v>Establish</v>
      </c>
      <c r="CA798" t="str">
        <f>IF($BY798="","",IFERROR(INDEX(_REF_Treatment_Library!$I$2:$I$296,MATCH($BY798,_REF_Treatment_Library!$A$2:$A$296,0)),""))</f>
        <v>Establish baseline controls for Identity / PAM</v>
      </c>
      <c r="CB798" t="str">
        <f>IF($BY798="","",IFERROR(INDEX(_REF_Treatment_Library!$K$2:$K$296,MATCH($BY798,_REF_Treatment_Library!$A$2:$A$296,0)),""))</f>
        <v>Named owner, baseline process, minimum control checklist, first evidence package</v>
      </c>
      <c r="CC798" t="str">
        <f>IF($BY798="","",IFERROR(INDEX(_REF_Treatment_Library!$L$2:$L$296,MATCH($BY798,_REF_Treatment_Library!$A$2:$A$296,0)),""))</f>
        <v>Owner assigned; baseline evidence coverage; open critical gaps</v>
      </c>
      <c r="CD798" t="str">
        <f t="shared" si="178"/>
        <v>Treatment by capability=CAP_IAM_PAM; band=Initial / absent; score=0.0; treatment=Establish</v>
      </c>
      <c r="CE798" t="str">
        <f>IF($E798="","",IFERROR(INDEX(_REF_Industry_Wording!$A$2:$A$70,MATCH(1,INDEX((_REF_Industry_Wording!$B$2:$B$70=$BT798)*(_REF_Industry_Wording!$C$2:$C$70=PV_Canonical_Industry)*(_REF_Industry_Wording!$K$2:$K$70="Yes"),0),0)),IFERROR(INDEX(_REF_Industry_Wording!$A$2:$A$70,MATCH(1,INDEX((_REF_Industry_Wording!$B$2:$B$70=$BT798)*(_REF_Industry_Wording!$C$2:$C$70="All")*(_REF_Industry_Wording!$K$2:$K$70="Yes"),0),0)),"")))</f>
        <v>IW-ALL-IAM_PAM</v>
      </c>
      <c r="CF798" t="str">
        <f>IF($CE798="","",IFERROR(INDEX(_REF_Industry_Wording!$E$2:$E$70,MATCH($CE798,_REF_Industry_Wording!$A$2:$A$70,0)),""))</f>
        <v>Identity / PAM weakness</v>
      </c>
      <c r="CG798" t="str">
        <f>IF($CE798="","",IFERROR(INDEX(_REF_Industry_Wording!$F$2:$F$70,MATCH($CE798,_REF_Industry_Wording!$A$2:$A$70,0)),""))</f>
        <v>Strengthen Identity / PAM</v>
      </c>
      <c r="CH798" t="str">
        <f>IF($CE798="","",IFERROR(INDEX(_REF_Industry_Wording!$G$2:$G$70,MATCH($CE798,_REF_Industry_Wording!$A$2:$A$70,0)),""))</f>
        <v>Strengthen Identity / PAM using the selected maturity treatment, crisis scenario and evidence requirements.</v>
      </c>
      <c r="CI798" t="str">
        <f>IF($CE798="","",IFERROR(INDEX(_REF_Industry_Wording!$H$2:$H$70,MATCH($CE798,_REF_Industry_Wording!$A$2:$A$70,0)),""))</f>
        <v>Identity / PAM</v>
      </c>
      <c r="CJ798">
        <f>IF($CE798="","",IFERROR(INDEX(_REF_Industry_Wording!$I$2:$I$70,MATCH($CE798,_REF_Industry_Wording!$A$2:$A$70,0)),""))</f>
        <v>0</v>
      </c>
      <c r="CK798" t="str">
        <f>IF($CE798="","",IFERROR(INDEX(_REF_Industry_Wording!$J$2:$J$70,MATCH($CE798,_REF_Industry_Wording!$A$2:$A$70,0)),""))</f>
        <v>Identity / PAM</v>
      </c>
      <c r="CL798" t="str">
        <f t="shared" si="179"/>
        <v>Wording by industry=0; capability=CAP_IAM_PAM; risk label=Identity / PAM weakness</v>
      </c>
      <c r="CM798" t="str">
        <f t="shared" si="180"/>
        <v>RISK-ONT-0299</v>
      </c>
      <c r="CN798" t="str">
        <f t="shared" si="181"/>
        <v>RISK-EVT-0299</v>
      </c>
      <c r="CO798" t="str">
        <f t="shared" si="182"/>
        <v>IT Cloud DR|Cloud usage|ITCL-007|CAP_IAM_PAM</v>
      </c>
      <c r="CP798" t="str">
        <f t="shared" si="183"/>
        <v>Active</v>
      </c>
      <c r="CQ798" t="str">
        <f t="shared" si="184"/>
        <v>OK: capability-driven</v>
      </c>
      <c r="CR798" t="str">
        <f t="shared" si="185"/>
        <v>Risk ontology uses capability=CAP_IAM_PAM; bridge=BRG-044; treatment=TRT-IAM_PAM-INITIAL; wording=IW-ALL-IAM_PAM</v>
      </c>
      <c r="CS798" t="str">
        <f t="shared" si="186"/>
        <v>Yes</v>
      </c>
    </row>
    <row r="799" spans="1:97" ht="69.900000000000006" customHeight="1">
      <c r="A799">
        <f>IF(OR($B799&lt;&gt;"Yes",$BS799=""),"",SUMPRODUCT(($B$500:$B$923="Yes")*ISNUMBER($BS$500:$BS$923)*($BS$500:$BS$923&gt;$BS799))+COUNTIFS($B$500:$B799,"Yes",$BS$500:$BS799,$BS799))</f>
        <v>186</v>
      </c>
      <c r="B799" t="str">
        <f t="shared" si="155"/>
        <v>Yes</v>
      </c>
      <c r="C799" t="s">
        <v>2588</v>
      </c>
      <c r="D799" t="s">
        <v>2599</v>
      </c>
      <c r="E799" t="s">
        <v>2636</v>
      </c>
      <c r="F799" t="s">
        <v>4333</v>
      </c>
      <c r="G799" t="str">
        <f>IF($H799="","",IFERROR(INDEX(_ENGINE_Risk!$H$5:$M$499,MATCH($E799,_ENGINE_Risk!$A$5:$A$499,0),$H799+1),""))</f>
        <v>Severe risk: cloud provider, SaaS, region and managed-service concentration risk is not reliably controlled. During IT outage; Cloud outage; Data loss; Cyberattack, the organization may face system outage, data unavailability, excessive RTO/RPO and inability to restore critical technology services with limited visibility or accountability.</v>
      </c>
      <c r="H799">
        <f>IFERROR(VALUE(INDEX(_DATA_Assessment_Model!$H$5:$H$884,MATCH($E799,_DATA_Assessment_Model!$A$5:$A$884,0))),"")</f>
        <v>0</v>
      </c>
      <c r="I799" t="str">
        <f>IF($H799="","",IFERROR(INDEX(_DATA_Assessment_Model!$L$5:$L$884,MATCH($E799,_DATA_Assessment_Model!$A$5:$A$884,0)),IF($H799&lt;=1,"Critical",IF($H799=2,"High",IF($H799=3,"Medium",IF($H799=4,"Low","Resilient"))))))</f>
        <v>Critical</v>
      </c>
      <c r="J799">
        <f t="shared" si="156"/>
        <v>3.6</v>
      </c>
      <c r="K799">
        <f t="shared" si="157"/>
        <v>4.6499999999999995</v>
      </c>
      <c r="L799">
        <f t="shared" si="158"/>
        <v>16.739999999999998</v>
      </c>
      <c r="M799">
        <f t="shared" si="159"/>
        <v>4</v>
      </c>
      <c r="N799">
        <f>IF($H799="","",IFERROR(INDEX(_ENGINE_Risk!$T$5:$Y$499,MATCH($E799,_ENGINE_Risk!$A$5:$A$499,0),$H799+1),""))</f>
        <v>4</v>
      </c>
      <c r="O799">
        <f t="shared" si="160"/>
        <v>5</v>
      </c>
      <c r="P799">
        <f t="shared" si="161"/>
        <v>5</v>
      </c>
      <c r="Q799">
        <f t="shared" si="162"/>
        <v>5</v>
      </c>
      <c r="R799">
        <f t="shared" si="163"/>
        <v>5</v>
      </c>
      <c r="S799">
        <f t="shared" si="164"/>
        <v>1.25</v>
      </c>
      <c r="T799" t="str">
        <f>IF($H799="","",IFERROR(INDEX(_ENGINE_Risk!$N$5:$S$499,MATCH($E799,_ENGINE_Risk!$A$5:$A$499,0),$H799+1),""))</f>
        <v>Create an immediate risk owner, minimum control baseline and fallback procedure for cloud provider, SaaS, region and managed-service concentration risk. Add it to the crisis risk register and collect first evidence.</v>
      </c>
      <c r="U799">
        <f>IFERROR(INDEX(_DATA_Assessment_Model!$G$5:$G$884,MATCH($E799,_DATA_Assessment_Model!$A$5:$A$884,0)),"")</f>
        <v>5</v>
      </c>
      <c r="V799">
        <f>IFERROR(INDEX(_DATA_Assessment_Model!$W$5:$W$884,MATCH($E799,_DATA_Assessment_Model!$A$5:$A$884,0)),"")</f>
        <v>5</v>
      </c>
      <c r="W799">
        <f>IFERROR(INDEX(_DATA_Assessment_Model!$X$5:$X$884,MATCH($E799,_DATA_Assessment_Model!$A$5:$A$884,0)),"")</f>
        <v>5</v>
      </c>
      <c r="X799">
        <f>IFERROR(INDEX(_DATA_Assessment_Model!$Y$5:$Y$884,MATCH($E799,_DATA_Assessment_Model!$A$5:$A$884,0)),"")</f>
        <v>5</v>
      </c>
      <c r="Y799" t="s">
        <v>2595</v>
      </c>
      <c r="Z799" t="s">
        <v>8744</v>
      </c>
      <c r="AA799" t="s">
        <v>2638</v>
      </c>
      <c r="AB799">
        <f>IFERROR(INDEX(_DATA_Assessment_Model!$U$5:$U$884,MATCH($E799,_DATA_Assessment_Model!$A$5:$A$884,0)),"")</f>
        <v>0</v>
      </c>
      <c r="AF799" t="s">
        <v>2637</v>
      </c>
      <c r="AO799">
        <f>IF($B799="Yes",IF(IFERROR(INDEX(_ENGINE_Crisis!$F$501:$F$517,MATCH($C799,_ENGINE_Crisis!$A$501:$A$517,0)),1)=0,1,IFERROR(INDEX(_ENGINE_Crisis!$F$501:$F$517,MATCH($C799,_ENGINE_Crisis!$A$501:$A$517,0)),1)),"")</f>
        <v>1</v>
      </c>
      <c r="AP799">
        <f t="shared" si="165"/>
        <v>16.7</v>
      </c>
      <c r="AQ799">
        <f t="shared" si="166"/>
        <v>1.25</v>
      </c>
      <c r="AR799" t="str">
        <f>IFERROR(INDEX(_ENGINE_Crisis!$E$41:$E$700,MATCH('Resilience &amp; Risk Scenario'!$B$6&amp;"|"&amp;$C799,_ENGINE_Crisis!$I$41:$I$700,0)),"")</f>
        <v/>
      </c>
      <c r="AS799" t="str">
        <f>IFERROR(INDEX(_ENGINE_Crisis!$G$41:$G$700,MATCH('Resilience &amp; Risk Scenario'!$B$6&amp;"|"&amp;$C799,_ENGINE_Crisis!$I$41:$I$700,0)),"")</f>
        <v/>
      </c>
      <c r="AT799" t="str">
        <f>IFERROR(INDEX(_ENGINE_Initiatives!$A$5:$A$532,MATCH(1,INDEX((_ENGINE_Initiatives!$B$5:$B$532=$C799)*(_ENGINE_Initiatives!$C$5:$C$532=$D799),0),0)),"")</f>
        <v>INI-049</v>
      </c>
      <c r="AU799" t="str">
        <f>IFERROR(INDEX(_ENGINE_Initiatives!$F$5:$F$532,MATCH(1,INDEX((_ENGINE_Initiatives!$B$5:$B$532=$C799)*(_ENGINE_Initiatives!$C$5:$C$532=$D799),0),0)),"")</f>
        <v>Optimize cloud usage, landing zones and infrastructure resilience</v>
      </c>
      <c r="AV799">
        <f>IFERROR(INDEX(_ENGINE_Initiatives!$AC$5:$AC$532,MATCH(1,INDEX((_ENGINE_Initiatives!$B$5:$B$532=$C799)*(_ENGINE_Initiatives!$C$5:$C$532=$D799),0),0)),"")</f>
        <v>1.34</v>
      </c>
      <c r="AW799" t="str">
        <f>IFERROR(INDEX(_ENGINE_Initiatives!$AE$5:$AE$532,MATCH(1,INDEX((_ENGINE_Initiatives!$B$5:$B$532=$C799)*(_ENGINE_Initiatives!$C$5:$C$532=$D799),0),0)),"")</f>
        <v>12+ months</v>
      </c>
      <c r="AX799">
        <f>IF($B799="Yes",IFERROR((IF(SUMIFS(_REF_Model_Content!$E$1:$E$613,_REF_Model_Content!$A$1:$A$613,PV_Canonical_Industry,_REF_Model_Content!$B$1:$B$613,$C799)=0,1,SUMIFS(_REF_Model_Content!$E$1:$E$613,_REF_Model_Content!$A$1:$A$613,PV_Canonical_Industry,_REF_Model_Content!$B$1:$B$613,$C799))*IFERROR($BU799,1)),1),"")</f>
        <v>1</v>
      </c>
      <c r="AY799">
        <f t="shared" si="167"/>
        <v>16.7</v>
      </c>
      <c r="AZ799">
        <f t="shared" si="168"/>
        <v>1.25</v>
      </c>
      <c r="BB799" t="str">
        <f>IF($H799="","",IFERROR(INDEX(_ENGINE_Risk!$AE$5:$AE$499,MATCH($E799,_ENGINE_Risk!$A$5:$A$499,0)),"Medium"))</f>
        <v>Medium</v>
      </c>
      <c r="BC799">
        <f t="shared" si="169"/>
        <v>1</v>
      </c>
      <c r="BD799">
        <f t="shared" si="170"/>
        <v>1.25</v>
      </c>
      <c r="BF799">
        <f>IF(OR($H799="",$J799=""),"",IFERROR(VLOOKUP(ROUND($J799,0),_CONFIG_Model_Settings!$D$154:$E$158,2,0),""))</f>
        <v>0.5</v>
      </c>
      <c r="BG799">
        <f>IFERROR(IF(OR($H799="",$K799=""),"",ROUND('Company Profile'!$B$113*INDEX(_CONFIG_Model_Settings!$H$154:$H$158,MATCH(ROUND($K799,0),_CONFIG_Model_Settings!$G$154:$G$158,0)),0)),0)</f>
        <v>1875</v>
      </c>
      <c r="BH799">
        <f t="shared" si="171"/>
        <v>937.5</v>
      </c>
      <c r="BI799">
        <f t="shared" si="172"/>
        <v>937.5</v>
      </c>
      <c r="BJ799">
        <f>IF($E799="","",IFERROR(VLOOKUP($C799,_CONFIG_Risk_Calibration!$A$5:$H$21,2,FALSE),3))</f>
        <v>3</v>
      </c>
      <c r="BK799">
        <f>IF($E799="","",IFERROR(VLOOKUP($C799,_CONFIG_Risk_Calibration!$A$5:$H$21,3,FALSE),0))</f>
        <v>0</v>
      </c>
      <c r="BL799">
        <f>IF($E799="","",IFERROR(VLOOKUP($C799,_CONFIG_Risk_Calibration!$A$5:$H$21,4,FALSE),3))</f>
        <v>3</v>
      </c>
      <c r="BM799">
        <f>IF($E799="","",IFERROR(VLOOKUP($C799,_CONFIG_Risk_Calibration!$A$5:$H$21,5,FALSE),3))</f>
        <v>4</v>
      </c>
      <c r="BN799" t="str">
        <f>IF($E799="","",IFERROR(VLOOKUP($C799,_CONFIG_Risk_Calibration!$A$5:$H$21,6,FALSE),"No"))</f>
        <v>Yes</v>
      </c>
      <c r="BO799">
        <f>IF($E799="","",IFERROR(VLOOKUP($C799,_CONFIG_Risk_Calibration!$A$5:$H$21,7,FALSE),1))</f>
        <v>4</v>
      </c>
      <c r="BP799">
        <f>IF($H799="","",MAX(1,MIN(5,((6-$H799)*0.45)+($BJ799*0.2)+('Resilience &amp; Risk Scenario'!$B$7*0.15)+($BK799*0.1)+($BL799*0.05)+(IF($BB799="Fast",5,IF($BB799="Slow",1,3))*0.05))))</f>
        <v>3.6</v>
      </c>
      <c r="BQ799">
        <f t="shared" si="173"/>
        <v>4.6499999999999995</v>
      </c>
      <c r="BR799">
        <f t="shared" si="174"/>
        <v>16.739999999999998</v>
      </c>
      <c r="BS799">
        <f t="shared" si="175"/>
        <v>18.41</v>
      </c>
      <c r="BT799" t="str">
        <f>IFERROR(INDEX(_REF_Capability_Bridge!$D:$D,MATCH($C799&amp;"|"&amp;$D799,_REF_Capability_Bridge!$J:$J,0)),IFERROR(INDEX(_REF_Capability_Bridge!$D:$D,MATCH($C799&amp;"|",_REF_Capability_Bridge!$J:$J,0)),"CAP_GENERIC"))</f>
        <v>CAP_IAM_PAM</v>
      </c>
      <c r="BU799">
        <f>IFERROR(IFERROR(INDEX(_ENGINE_Relevance!$L:$L,MATCH($BT799,_ENGINE_Relevance!$B:$B,0)),1),1)</f>
        <v>1</v>
      </c>
      <c r="BV799" t="str">
        <f>IFERROR(INDEX(_REF_Capability_Bridge!$A:$A,MATCH($C799&amp;"|"&amp;$D799,_REF_Capability_Bridge!$J:$J,0)),IFERROR(INDEX(_REF_Capability_Bridge!$A:$A,MATCH($C799&amp;"|",_REF_Capability_Bridge!$J:$J,0)),"No bridge"))</f>
        <v>BRG-044</v>
      </c>
      <c r="BW799" t="str">
        <f t="shared" si="176"/>
        <v>Capability relevance neutral</v>
      </c>
      <c r="BX799" t="str">
        <f t="shared" si="177"/>
        <v>Initial / absent</v>
      </c>
      <c r="BY799" t="str">
        <f>IF($E799="","",IFERROR(INDEX(_REF_Treatment_Library!$A$2:$A$296,MATCH(1,INDEX((_REF_Treatment_Library!$B$2:$B$296=$BT799)*(_REF_Treatment_Library!$C$2:$C$296=PV_Canonical_Industry)*(_REF_Treatment_Library!$E$2:$E$296&lt;=N($H799))*(_REF_Treatment_Library!$F$2:$F$296&gt;=N($H799))*(_REF_Treatment_Library!$O$2:$O$296="Yes"),0),0)),IFERROR(INDEX(_REF_Treatment_Library!$A$2:$A$296,MATCH(1,INDEX((_REF_Treatment_Library!$B$2:$B$296=$BT799)*(_REF_Treatment_Library!$C$2:$C$296="All")*(_REF_Treatment_Library!$E$2:$E$296&lt;=N($H799))*(_REF_Treatment_Library!$F$2:$F$296&gt;=N($H799))*(_REF_Treatment_Library!$O$2:$O$296="Yes"),0),0)),"")))</f>
        <v>TRT-IAM_PAM-INITIAL</v>
      </c>
      <c r="BZ799" t="str">
        <f>IF($BY799="","",IFERROR(INDEX(_REF_Treatment_Library!$H$2:$H$296,MATCH($BY799,_REF_Treatment_Library!$A$2:$A$296,0)),""))</f>
        <v>Establish</v>
      </c>
      <c r="CA799" t="str">
        <f>IF($BY799="","",IFERROR(INDEX(_REF_Treatment_Library!$I$2:$I$296,MATCH($BY799,_REF_Treatment_Library!$A$2:$A$296,0)),""))</f>
        <v>Establish baseline controls for Identity / PAM</v>
      </c>
      <c r="CB799" t="str">
        <f>IF($BY799="","",IFERROR(INDEX(_REF_Treatment_Library!$K$2:$K$296,MATCH($BY799,_REF_Treatment_Library!$A$2:$A$296,0)),""))</f>
        <v>Named owner, baseline process, minimum control checklist, first evidence package</v>
      </c>
      <c r="CC799" t="str">
        <f>IF($BY799="","",IFERROR(INDEX(_REF_Treatment_Library!$L$2:$L$296,MATCH($BY799,_REF_Treatment_Library!$A$2:$A$296,0)),""))</f>
        <v>Owner assigned; baseline evidence coverage; open critical gaps</v>
      </c>
      <c r="CD799" t="str">
        <f t="shared" si="178"/>
        <v>Treatment by capability=CAP_IAM_PAM; band=Initial / absent; score=0.0; treatment=Establish</v>
      </c>
      <c r="CE799" t="str">
        <f>IF($E799="","",IFERROR(INDEX(_REF_Industry_Wording!$A$2:$A$70,MATCH(1,INDEX((_REF_Industry_Wording!$B$2:$B$70=$BT799)*(_REF_Industry_Wording!$C$2:$C$70=PV_Canonical_Industry)*(_REF_Industry_Wording!$K$2:$K$70="Yes"),0),0)),IFERROR(INDEX(_REF_Industry_Wording!$A$2:$A$70,MATCH(1,INDEX((_REF_Industry_Wording!$B$2:$B$70=$BT799)*(_REF_Industry_Wording!$C$2:$C$70="All")*(_REF_Industry_Wording!$K$2:$K$70="Yes"),0),0)),"")))</f>
        <v>IW-ALL-IAM_PAM</v>
      </c>
      <c r="CF799" t="str">
        <f>IF($CE799="","",IFERROR(INDEX(_REF_Industry_Wording!$E$2:$E$70,MATCH($CE799,_REF_Industry_Wording!$A$2:$A$70,0)),""))</f>
        <v>Identity / PAM weakness</v>
      </c>
      <c r="CG799" t="str">
        <f>IF($CE799="","",IFERROR(INDEX(_REF_Industry_Wording!$F$2:$F$70,MATCH($CE799,_REF_Industry_Wording!$A$2:$A$70,0)),""))</f>
        <v>Strengthen Identity / PAM</v>
      </c>
      <c r="CH799" t="str">
        <f>IF($CE799="","",IFERROR(INDEX(_REF_Industry_Wording!$G$2:$G$70,MATCH($CE799,_REF_Industry_Wording!$A$2:$A$70,0)),""))</f>
        <v>Strengthen Identity / PAM using the selected maturity treatment, crisis scenario and evidence requirements.</v>
      </c>
      <c r="CI799" t="str">
        <f>IF($CE799="","",IFERROR(INDEX(_REF_Industry_Wording!$H$2:$H$70,MATCH($CE799,_REF_Industry_Wording!$A$2:$A$70,0)),""))</f>
        <v>Identity / PAM</v>
      </c>
      <c r="CJ799">
        <f>IF($CE799="","",IFERROR(INDEX(_REF_Industry_Wording!$I$2:$I$70,MATCH($CE799,_REF_Industry_Wording!$A$2:$A$70,0)),""))</f>
        <v>0</v>
      </c>
      <c r="CK799" t="str">
        <f>IF($CE799="","",IFERROR(INDEX(_REF_Industry_Wording!$J$2:$J$70,MATCH($CE799,_REF_Industry_Wording!$A$2:$A$70,0)),""))</f>
        <v>Identity / PAM</v>
      </c>
      <c r="CL799" t="str">
        <f t="shared" si="179"/>
        <v>Wording by industry=0; capability=CAP_IAM_PAM; risk label=Identity / PAM weakness</v>
      </c>
      <c r="CM799" t="str">
        <f t="shared" si="180"/>
        <v>RISK-ONT-0300</v>
      </c>
      <c r="CN799" t="str">
        <f t="shared" si="181"/>
        <v>RISK-EVT-0300</v>
      </c>
      <c r="CO799" t="str">
        <f t="shared" si="182"/>
        <v>IT Cloud DR|Cloud usage|ITCL-008|CAP_IAM_PAM</v>
      </c>
      <c r="CP799" t="str">
        <f t="shared" si="183"/>
        <v>Active</v>
      </c>
      <c r="CQ799" t="str">
        <f t="shared" si="184"/>
        <v>OK: capability-driven</v>
      </c>
      <c r="CR799" t="str">
        <f t="shared" si="185"/>
        <v>Risk ontology uses capability=CAP_IAM_PAM; bridge=BRG-044; treatment=TRT-IAM_PAM-INITIAL; wording=IW-ALL-IAM_PAM</v>
      </c>
      <c r="CS799" t="str">
        <f t="shared" si="186"/>
        <v>Yes</v>
      </c>
    </row>
    <row r="800" spans="1:97" ht="69.900000000000006" customHeight="1">
      <c r="A800">
        <f>IF(OR($B800&lt;&gt;"Yes",$BS800=""),"",SUMPRODUCT(($B$500:$B$923="Yes")*ISNUMBER($BS$500:$BS$923)*($BS$500:$BS$923&gt;$BS800))+COUNTIFS($B$500:$B800,"Yes",$BS$500:$BS800,$BS800))</f>
        <v>187</v>
      </c>
      <c r="B800" t="str">
        <f t="shared" si="155"/>
        <v>Yes</v>
      </c>
      <c r="C800" t="s">
        <v>2588</v>
      </c>
      <c r="D800" t="s">
        <v>2599</v>
      </c>
      <c r="E800" t="s">
        <v>2639</v>
      </c>
      <c r="F800" t="s">
        <v>4333</v>
      </c>
      <c r="G800" t="str">
        <f>IF($H800="","",IFERROR(INDEX(_ENGINE_Risk!$H$5:$M$499,MATCH($E800,_ENGINE_Risk!$A$5:$A$499,0),$H800+1),""))</f>
        <v>Severe risk: multi-region, multi-zone or failover design for critical cloud services where justified is not reliably controlled. During IT outage; Cloud outage; Data loss; Cyberattack, the organization may face system outage, data unavailability, excessive RTO/RPO and inability to restore critical technology services with limited visibility or accountability.</v>
      </c>
      <c r="H800">
        <f>IFERROR(VALUE(INDEX(_DATA_Assessment_Model!$H$5:$H$884,MATCH($E800,_DATA_Assessment_Model!$A$5:$A$884,0))),"")</f>
        <v>0</v>
      </c>
      <c r="I800" t="str">
        <f>IF($H800="","",IFERROR(INDEX(_DATA_Assessment_Model!$L$5:$L$884,MATCH($E800,_DATA_Assessment_Model!$A$5:$A$884,0)),IF($H800&lt;=1,"Critical",IF($H800=2,"High",IF($H800=3,"Medium",IF($H800=4,"Low","Resilient"))))))</f>
        <v>Critical</v>
      </c>
      <c r="J800">
        <f t="shared" si="156"/>
        <v>3.6</v>
      </c>
      <c r="K800">
        <f t="shared" si="157"/>
        <v>4.6499999999999995</v>
      </c>
      <c r="L800">
        <f t="shared" si="158"/>
        <v>16.739999999999998</v>
      </c>
      <c r="M800">
        <f t="shared" si="159"/>
        <v>4</v>
      </c>
      <c r="N800">
        <f>IF($H800="","",IFERROR(INDEX(_ENGINE_Risk!$T$5:$Y$499,MATCH($E800,_ENGINE_Risk!$A$5:$A$499,0),$H800+1),""))</f>
        <v>4</v>
      </c>
      <c r="O800">
        <f t="shared" si="160"/>
        <v>5</v>
      </c>
      <c r="P800">
        <f t="shared" si="161"/>
        <v>5</v>
      </c>
      <c r="Q800">
        <f t="shared" si="162"/>
        <v>5</v>
      </c>
      <c r="R800">
        <f t="shared" si="163"/>
        <v>5</v>
      </c>
      <c r="S800">
        <f t="shared" si="164"/>
        <v>1.25</v>
      </c>
      <c r="T800" t="str">
        <f>IF($H800="","",IFERROR(INDEX(_ENGINE_Risk!$N$5:$S$499,MATCH($E800,_ENGINE_Risk!$A$5:$A$499,0),$H800+1),""))</f>
        <v>Create an immediate risk owner, minimum control baseline and fallback procedure for multi-region, multi-zone or failover design for critical cloud services where justified. Add it to the crisis risk register and collect first evidence.</v>
      </c>
      <c r="U800">
        <f>IFERROR(INDEX(_DATA_Assessment_Model!$G$5:$G$884,MATCH($E800,_DATA_Assessment_Model!$A$5:$A$884,0)),"")</f>
        <v>5</v>
      </c>
      <c r="V800">
        <f>IFERROR(INDEX(_DATA_Assessment_Model!$W$5:$W$884,MATCH($E800,_DATA_Assessment_Model!$A$5:$A$884,0)),"")</f>
        <v>5</v>
      </c>
      <c r="W800">
        <f>IFERROR(INDEX(_DATA_Assessment_Model!$X$5:$X$884,MATCH($E800,_DATA_Assessment_Model!$A$5:$A$884,0)),"")</f>
        <v>5</v>
      </c>
      <c r="X800">
        <f>IFERROR(INDEX(_DATA_Assessment_Model!$Y$5:$Y$884,MATCH($E800,_DATA_Assessment_Model!$A$5:$A$884,0)),"")</f>
        <v>5</v>
      </c>
      <c r="Y800" t="s">
        <v>2595</v>
      </c>
      <c r="Z800" t="s">
        <v>8744</v>
      </c>
      <c r="AA800" t="s">
        <v>2641</v>
      </c>
      <c r="AB800">
        <f>IFERROR(INDEX(_DATA_Assessment_Model!$U$5:$U$884,MATCH($E800,_DATA_Assessment_Model!$A$5:$A$884,0)),"")</f>
        <v>0</v>
      </c>
      <c r="AF800" t="s">
        <v>2640</v>
      </c>
      <c r="AO800">
        <f>IF($B800="Yes",IF(IFERROR(INDEX(_ENGINE_Crisis!$F$501:$F$517,MATCH($C800,_ENGINE_Crisis!$A$501:$A$517,0)),1)=0,1,IFERROR(INDEX(_ENGINE_Crisis!$F$501:$F$517,MATCH($C800,_ENGINE_Crisis!$A$501:$A$517,0)),1)),"")</f>
        <v>1</v>
      </c>
      <c r="AP800">
        <f t="shared" si="165"/>
        <v>16.7</v>
      </c>
      <c r="AQ800">
        <f t="shared" si="166"/>
        <v>1.25</v>
      </c>
      <c r="AR800" t="str">
        <f>IFERROR(INDEX(_ENGINE_Crisis!$E$41:$E$700,MATCH('Resilience &amp; Risk Scenario'!$B$6&amp;"|"&amp;$C800,_ENGINE_Crisis!$I$41:$I$700,0)),"")</f>
        <v/>
      </c>
      <c r="AS800" t="str">
        <f>IFERROR(INDEX(_ENGINE_Crisis!$G$41:$G$700,MATCH('Resilience &amp; Risk Scenario'!$B$6&amp;"|"&amp;$C800,_ENGINE_Crisis!$I$41:$I$700,0)),"")</f>
        <v/>
      </c>
      <c r="AT800" t="str">
        <f>IFERROR(INDEX(_ENGINE_Initiatives!$A$5:$A$532,MATCH(1,INDEX((_ENGINE_Initiatives!$B$5:$B$532=$C800)*(_ENGINE_Initiatives!$C$5:$C$532=$D800),0),0)),"")</f>
        <v>INI-049</v>
      </c>
      <c r="AU800" t="str">
        <f>IFERROR(INDEX(_ENGINE_Initiatives!$F$5:$F$532,MATCH(1,INDEX((_ENGINE_Initiatives!$B$5:$B$532=$C800)*(_ENGINE_Initiatives!$C$5:$C$532=$D800),0),0)),"")</f>
        <v>Optimize cloud usage, landing zones and infrastructure resilience</v>
      </c>
      <c r="AV800">
        <f>IFERROR(INDEX(_ENGINE_Initiatives!$AC$5:$AC$532,MATCH(1,INDEX((_ENGINE_Initiatives!$B$5:$B$532=$C800)*(_ENGINE_Initiatives!$C$5:$C$532=$D800),0),0)),"")</f>
        <v>1.34</v>
      </c>
      <c r="AW800" t="str">
        <f>IFERROR(INDEX(_ENGINE_Initiatives!$AE$5:$AE$532,MATCH(1,INDEX((_ENGINE_Initiatives!$B$5:$B$532=$C800)*(_ENGINE_Initiatives!$C$5:$C$532=$D800),0),0)),"")</f>
        <v>12+ months</v>
      </c>
      <c r="AX800">
        <f>IF($B800="Yes",IFERROR((IF(SUMIFS(_REF_Model_Content!$E$1:$E$613,_REF_Model_Content!$A$1:$A$613,PV_Canonical_Industry,_REF_Model_Content!$B$1:$B$613,$C800)=0,1,SUMIFS(_REF_Model_Content!$E$1:$E$613,_REF_Model_Content!$A$1:$A$613,PV_Canonical_Industry,_REF_Model_Content!$B$1:$B$613,$C800))*IFERROR($BU800,1)),1),"")</f>
        <v>1</v>
      </c>
      <c r="AY800">
        <f t="shared" si="167"/>
        <v>16.7</v>
      </c>
      <c r="AZ800">
        <f t="shared" si="168"/>
        <v>1.25</v>
      </c>
      <c r="BB800" t="str">
        <f>IF($H800="","",IFERROR(INDEX(_ENGINE_Risk!$AE$5:$AE$499,MATCH($E800,_ENGINE_Risk!$A$5:$A$499,0)),"Medium"))</f>
        <v>Medium</v>
      </c>
      <c r="BC800">
        <f t="shared" si="169"/>
        <v>1</v>
      </c>
      <c r="BD800">
        <f t="shared" si="170"/>
        <v>1.25</v>
      </c>
      <c r="BF800">
        <f>IF(OR($H800="",$J800=""),"",IFERROR(VLOOKUP(ROUND($J800,0),_CONFIG_Model_Settings!$D$154:$E$158,2,0),""))</f>
        <v>0.5</v>
      </c>
      <c r="BG800">
        <f>IFERROR(IF(OR($H800="",$K800=""),"",ROUND('Company Profile'!$B$113*INDEX(_CONFIG_Model_Settings!$H$154:$H$158,MATCH(ROUND($K800,0),_CONFIG_Model_Settings!$G$154:$G$158,0)),0)),0)</f>
        <v>1875</v>
      </c>
      <c r="BH800">
        <f t="shared" si="171"/>
        <v>937.5</v>
      </c>
      <c r="BI800">
        <f t="shared" si="172"/>
        <v>937.5</v>
      </c>
      <c r="BJ800">
        <f>IF($E800="","",IFERROR(VLOOKUP($C800,_CONFIG_Risk_Calibration!$A$5:$H$21,2,FALSE),3))</f>
        <v>3</v>
      </c>
      <c r="BK800">
        <f>IF($E800="","",IFERROR(VLOOKUP($C800,_CONFIG_Risk_Calibration!$A$5:$H$21,3,FALSE),0))</f>
        <v>0</v>
      </c>
      <c r="BL800">
        <f>IF($E800="","",IFERROR(VLOOKUP($C800,_CONFIG_Risk_Calibration!$A$5:$H$21,4,FALSE),3))</f>
        <v>3</v>
      </c>
      <c r="BM800">
        <f>IF($E800="","",IFERROR(VLOOKUP($C800,_CONFIG_Risk_Calibration!$A$5:$H$21,5,FALSE),3))</f>
        <v>4</v>
      </c>
      <c r="BN800" t="str">
        <f>IF($E800="","",IFERROR(VLOOKUP($C800,_CONFIG_Risk_Calibration!$A$5:$H$21,6,FALSE),"No"))</f>
        <v>Yes</v>
      </c>
      <c r="BO800">
        <f>IF($E800="","",IFERROR(VLOOKUP($C800,_CONFIG_Risk_Calibration!$A$5:$H$21,7,FALSE),1))</f>
        <v>4</v>
      </c>
      <c r="BP800">
        <f>IF($H800="","",MAX(1,MIN(5,((6-$H800)*0.45)+($BJ800*0.2)+('Resilience &amp; Risk Scenario'!$B$7*0.15)+($BK800*0.1)+($BL800*0.05)+(IF($BB800="Fast",5,IF($BB800="Slow",1,3))*0.05))))</f>
        <v>3.6</v>
      </c>
      <c r="BQ800">
        <f t="shared" si="173"/>
        <v>4.6499999999999995</v>
      </c>
      <c r="BR800">
        <f t="shared" si="174"/>
        <v>16.739999999999998</v>
      </c>
      <c r="BS800">
        <f t="shared" si="175"/>
        <v>18.41</v>
      </c>
      <c r="BT800" t="str">
        <f>IFERROR(INDEX(_REF_Capability_Bridge!$D:$D,MATCH($C800&amp;"|"&amp;$D800,_REF_Capability_Bridge!$J:$J,0)),IFERROR(INDEX(_REF_Capability_Bridge!$D:$D,MATCH($C800&amp;"|",_REF_Capability_Bridge!$J:$J,0)),"CAP_GENERIC"))</f>
        <v>CAP_IAM_PAM</v>
      </c>
      <c r="BU800">
        <f>IFERROR(IFERROR(INDEX(_ENGINE_Relevance!$L:$L,MATCH($BT800,_ENGINE_Relevance!$B:$B,0)),1),1)</f>
        <v>1</v>
      </c>
      <c r="BV800" t="str">
        <f>IFERROR(INDEX(_REF_Capability_Bridge!$A:$A,MATCH($C800&amp;"|"&amp;$D800,_REF_Capability_Bridge!$J:$J,0)),IFERROR(INDEX(_REF_Capability_Bridge!$A:$A,MATCH($C800&amp;"|",_REF_Capability_Bridge!$J:$J,0)),"No bridge"))</f>
        <v>BRG-044</v>
      </c>
      <c r="BW800" t="str">
        <f t="shared" si="176"/>
        <v>Capability relevance neutral</v>
      </c>
      <c r="BX800" t="str">
        <f t="shared" si="177"/>
        <v>Initial / absent</v>
      </c>
      <c r="BY800" t="str">
        <f>IF($E800="","",IFERROR(INDEX(_REF_Treatment_Library!$A$2:$A$296,MATCH(1,INDEX((_REF_Treatment_Library!$B$2:$B$296=$BT800)*(_REF_Treatment_Library!$C$2:$C$296=PV_Canonical_Industry)*(_REF_Treatment_Library!$E$2:$E$296&lt;=N($H800))*(_REF_Treatment_Library!$F$2:$F$296&gt;=N($H800))*(_REF_Treatment_Library!$O$2:$O$296="Yes"),0),0)),IFERROR(INDEX(_REF_Treatment_Library!$A$2:$A$296,MATCH(1,INDEX((_REF_Treatment_Library!$B$2:$B$296=$BT800)*(_REF_Treatment_Library!$C$2:$C$296="All")*(_REF_Treatment_Library!$E$2:$E$296&lt;=N($H800))*(_REF_Treatment_Library!$F$2:$F$296&gt;=N($H800))*(_REF_Treatment_Library!$O$2:$O$296="Yes"),0),0)),"")))</f>
        <v>TRT-IAM_PAM-INITIAL</v>
      </c>
      <c r="BZ800" t="str">
        <f>IF($BY800="","",IFERROR(INDEX(_REF_Treatment_Library!$H$2:$H$296,MATCH($BY800,_REF_Treatment_Library!$A$2:$A$296,0)),""))</f>
        <v>Establish</v>
      </c>
      <c r="CA800" t="str">
        <f>IF($BY800="","",IFERROR(INDEX(_REF_Treatment_Library!$I$2:$I$296,MATCH($BY800,_REF_Treatment_Library!$A$2:$A$296,0)),""))</f>
        <v>Establish baseline controls for Identity / PAM</v>
      </c>
      <c r="CB800" t="str">
        <f>IF($BY800="","",IFERROR(INDEX(_REF_Treatment_Library!$K$2:$K$296,MATCH($BY800,_REF_Treatment_Library!$A$2:$A$296,0)),""))</f>
        <v>Named owner, baseline process, minimum control checklist, first evidence package</v>
      </c>
      <c r="CC800" t="str">
        <f>IF($BY800="","",IFERROR(INDEX(_REF_Treatment_Library!$L$2:$L$296,MATCH($BY800,_REF_Treatment_Library!$A$2:$A$296,0)),""))</f>
        <v>Owner assigned; baseline evidence coverage; open critical gaps</v>
      </c>
      <c r="CD800" t="str">
        <f t="shared" si="178"/>
        <v>Treatment by capability=CAP_IAM_PAM; band=Initial / absent; score=0.0; treatment=Establish</v>
      </c>
      <c r="CE800" t="str">
        <f>IF($E800="","",IFERROR(INDEX(_REF_Industry_Wording!$A$2:$A$70,MATCH(1,INDEX((_REF_Industry_Wording!$B$2:$B$70=$BT800)*(_REF_Industry_Wording!$C$2:$C$70=PV_Canonical_Industry)*(_REF_Industry_Wording!$K$2:$K$70="Yes"),0),0)),IFERROR(INDEX(_REF_Industry_Wording!$A$2:$A$70,MATCH(1,INDEX((_REF_Industry_Wording!$B$2:$B$70=$BT800)*(_REF_Industry_Wording!$C$2:$C$70="All")*(_REF_Industry_Wording!$K$2:$K$70="Yes"),0),0)),"")))</f>
        <v>IW-ALL-IAM_PAM</v>
      </c>
      <c r="CF800" t="str">
        <f>IF($CE800="","",IFERROR(INDEX(_REF_Industry_Wording!$E$2:$E$70,MATCH($CE800,_REF_Industry_Wording!$A$2:$A$70,0)),""))</f>
        <v>Identity / PAM weakness</v>
      </c>
      <c r="CG800" t="str">
        <f>IF($CE800="","",IFERROR(INDEX(_REF_Industry_Wording!$F$2:$F$70,MATCH($CE800,_REF_Industry_Wording!$A$2:$A$70,0)),""))</f>
        <v>Strengthen Identity / PAM</v>
      </c>
      <c r="CH800" t="str">
        <f>IF($CE800="","",IFERROR(INDEX(_REF_Industry_Wording!$G$2:$G$70,MATCH($CE800,_REF_Industry_Wording!$A$2:$A$70,0)),""))</f>
        <v>Strengthen Identity / PAM using the selected maturity treatment, crisis scenario and evidence requirements.</v>
      </c>
      <c r="CI800" t="str">
        <f>IF($CE800="","",IFERROR(INDEX(_REF_Industry_Wording!$H$2:$H$70,MATCH($CE800,_REF_Industry_Wording!$A$2:$A$70,0)),""))</f>
        <v>Identity / PAM</v>
      </c>
      <c r="CJ800">
        <f>IF($CE800="","",IFERROR(INDEX(_REF_Industry_Wording!$I$2:$I$70,MATCH($CE800,_REF_Industry_Wording!$A$2:$A$70,0)),""))</f>
        <v>0</v>
      </c>
      <c r="CK800" t="str">
        <f>IF($CE800="","",IFERROR(INDEX(_REF_Industry_Wording!$J$2:$J$70,MATCH($CE800,_REF_Industry_Wording!$A$2:$A$70,0)),""))</f>
        <v>Identity / PAM</v>
      </c>
      <c r="CL800" t="str">
        <f t="shared" si="179"/>
        <v>Wording by industry=0; capability=CAP_IAM_PAM; risk label=Identity / PAM weakness</v>
      </c>
      <c r="CM800" t="str">
        <f t="shared" si="180"/>
        <v>RISK-ONT-0301</v>
      </c>
      <c r="CN800" t="str">
        <f t="shared" si="181"/>
        <v>RISK-EVT-0301</v>
      </c>
      <c r="CO800" t="str">
        <f t="shared" si="182"/>
        <v>IT Cloud DR|Cloud usage|ITCL-009|CAP_IAM_PAM</v>
      </c>
      <c r="CP800" t="str">
        <f t="shared" si="183"/>
        <v>Active</v>
      </c>
      <c r="CQ800" t="str">
        <f t="shared" si="184"/>
        <v>OK: capability-driven</v>
      </c>
      <c r="CR800" t="str">
        <f t="shared" si="185"/>
        <v>Risk ontology uses capability=CAP_IAM_PAM; bridge=BRG-044; treatment=TRT-IAM_PAM-INITIAL; wording=IW-ALL-IAM_PAM</v>
      </c>
      <c r="CS800" t="str">
        <f t="shared" si="186"/>
        <v>Yes</v>
      </c>
    </row>
    <row r="801" spans="1:97" ht="69.900000000000006" customHeight="1">
      <c r="A801">
        <f>IF(OR($B801&lt;&gt;"Yes",$BS801=""),"",SUMPRODUCT(($B$500:$B$923="Yes")*ISNUMBER($BS$500:$BS$923)*($BS$500:$BS$923&gt;$BS801))+COUNTIFS($B$500:$B801,"Yes",$BS$500:$BS801,$BS801))</f>
        <v>188</v>
      </c>
      <c r="B801" t="str">
        <f t="shared" si="155"/>
        <v>Yes</v>
      </c>
      <c r="C801" t="s">
        <v>2588</v>
      </c>
      <c r="D801" t="s">
        <v>2599</v>
      </c>
      <c r="E801" t="s">
        <v>2642</v>
      </c>
      <c r="F801" t="s">
        <v>4333</v>
      </c>
      <c r="G801" t="str">
        <f>IF($H801="","",IFERROR(INDEX(_ENGINE_Risk!$H$5:$M$499,MATCH($E801,_ENGINE_Risk!$A$5:$A$499,0),$H801+1),""))</f>
        <v>Severe risk: cloud cost monitoring, budgets, alerts, forecasting and FinOps practices is not reliably controlled. During IT outage; Cloud outage; Data loss; Cyberattack, the organization may face system outage, data unavailability, excessive RTO/RPO and inability to restore critical technology services with limited visibility or accountability.</v>
      </c>
      <c r="H801">
        <f>IFERROR(VALUE(INDEX(_DATA_Assessment_Model!$H$5:$H$884,MATCH($E801,_DATA_Assessment_Model!$A$5:$A$884,0))),"")</f>
        <v>0</v>
      </c>
      <c r="I801" t="str">
        <f>IF($H801="","",IFERROR(INDEX(_DATA_Assessment_Model!$L$5:$L$884,MATCH($E801,_DATA_Assessment_Model!$A$5:$A$884,0)),IF($H801&lt;=1,"Critical",IF($H801=2,"High",IF($H801=3,"Medium",IF($H801=4,"Low","Resilient"))))))</f>
        <v>Critical</v>
      </c>
      <c r="J801">
        <f t="shared" si="156"/>
        <v>3.6</v>
      </c>
      <c r="K801">
        <f t="shared" si="157"/>
        <v>4.6499999999999995</v>
      </c>
      <c r="L801">
        <f t="shared" si="158"/>
        <v>16.739999999999998</v>
      </c>
      <c r="M801">
        <f t="shared" si="159"/>
        <v>4</v>
      </c>
      <c r="N801">
        <f>IF($H801="","",IFERROR(INDEX(_ENGINE_Risk!$T$5:$Y$499,MATCH($E801,_ENGINE_Risk!$A$5:$A$499,0),$H801+1),""))</f>
        <v>4</v>
      </c>
      <c r="O801">
        <f t="shared" si="160"/>
        <v>5</v>
      </c>
      <c r="P801">
        <f t="shared" si="161"/>
        <v>5</v>
      </c>
      <c r="Q801">
        <f t="shared" si="162"/>
        <v>5</v>
      </c>
      <c r="R801">
        <f t="shared" si="163"/>
        <v>5</v>
      </c>
      <c r="S801">
        <f t="shared" si="164"/>
        <v>1.25</v>
      </c>
      <c r="T801" t="str">
        <f>IF($H801="","",IFERROR(INDEX(_ENGINE_Risk!$N$5:$S$499,MATCH($E801,_ENGINE_Risk!$A$5:$A$499,0),$H801+1),""))</f>
        <v>Create an immediate risk owner, minimum control baseline and fallback procedure for cloud cost monitoring, budgets, alerts, forecasting and FinOps practices. Add it to the crisis risk register and collect first evidence.</v>
      </c>
      <c r="U801">
        <f>IFERROR(INDEX(_DATA_Assessment_Model!$G$5:$G$884,MATCH($E801,_DATA_Assessment_Model!$A$5:$A$884,0)),"")</f>
        <v>5</v>
      </c>
      <c r="V801">
        <f>IFERROR(INDEX(_DATA_Assessment_Model!$W$5:$W$884,MATCH($E801,_DATA_Assessment_Model!$A$5:$A$884,0)),"")</f>
        <v>5</v>
      </c>
      <c r="W801">
        <f>IFERROR(INDEX(_DATA_Assessment_Model!$X$5:$X$884,MATCH($E801,_DATA_Assessment_Model!$A$5:$A$884,0)),"")</f>
        <v>5</v>
      </c>
      <c r="X801">
        <f>IFERROR(INDEX(_DATA_Assessment_Model!$Y$5:$Y$884,MATCH($E801,_DATA_Assessment_Model!$A$5:$A$884,0)),"")</f>
        <v>5</v>
      </c>
      <c r="Y801" t="s">
        <v>2595</v>
      </c>
      <c r="Z801" t="s">
        <v>8744</v>
      </c>
      <c r="AA801" t="s">
        <v>2644</v>
      </c>
      <c r="AB801">
        <f>IFERROR(INDEX(_DATA_Assessment_Model!$U$5:$U$884,MATCH($E801,_DATA_Assessment_Model!$A$5:$A$884,0)),"")</f>
        <v>0</v>
      </c>
      <c r="AF801" t="s">
        <v>2643</v>
      </c>
      <c r="AO801">
        <f>IF($B801="Yes",IF(IFERROR(INDEX(_ENGINE_Crisis!$F$501:$F$517,MATCH($C801,_ENGINE_Crisis!$A$501:$A$517,0)),1)=0,1,IFERROR(INDEX(_ENGINE_Crisis!$F$501:$F$517,MATCH($C801,_ENGINE_Crisis!$A$501:$A$517,0)),1)),"")</f>
        <v>1</v>
      </c>
      <c r="AP801">
        <f t="shared" si="165"/>
        <v>16.7</v>
      </c>
      <c r="AQ801">
        <f t="shared" si="166"/>
        <v>1.25</v>
      </c>
      <c r="AR801" t="str">
        <f>IFERROR(INDEX(_ENGINE_Crisis!$E$41:$E$700,MATCH('Resilience &amp; Risk Scenario'!$B$6&amp;"|"&amp;$C801,_ENGINE_Crisis!$I$41:$I$700,0)),"")</f>
        <v/>
      </c>
      <c r="AS801" t="str">
        <f>IFERROR(INDEX(_ENGINE_Crisis!$G$41:$G$700,MATCH('Resilience &amp; Risk Scenario'!$B$6&amp;"|"&amp;$C801,_ENGINE_Crisis!$I$41:$I$700,0)),"")</f>
        <v/>
      </c>
      <c r="AT801" t="str">
        <f>IFERROR(INDEX(_ENGINE_Initiatives!$A$5:$A$532,MATCH(1,INDEX((_ENGINE_Initiatives!$B$5:$B$532=$C801)*(_ENGINE_Initiatives!$C$5:$C$532=$D801),0),0)),"")</f>
        <v>INI-049</v>
      </c>
      <c r="AU801" t="str">
        <f>IFERROR(INDEX(_ENGINE_Initiatives!$F$5:$F$532,MATCH(1,INDEX((_ENGINE_Initiatives!$B$5:$B$532=$C801)*(_ENGINE_Initiatives!$C$5:$C$532=$D801),0),0)),"")</f>
        <v>Optimize cloud usage, landing zones and infrastructure resilience</v>
      </c>
      <c r="AV801">
        <f>IFERROR(INDEX(_ENGINE_Initiatives!$AC$5:$AC$532,MATCH(1,INDEX((_ENGINE_Initiatives!$B$5:$B$532=$C801)*(_ENGINE_Initiatives!$C$5:$C$532=$D801),0),0)),"")</f>
        <v>1.34</v>
      </c>
      <c r="AW801" t="str">
        <f>IFERROR(INDEX(_ENGINE_Initiatives!$AE$5:$AE$532,MATCH(1,INDEX((_ENGINE_Initiatives!$B$5:$B$532=$C801)*(_ENGINE_Initiatives!$C$5:$C$532=$D801),0),0)),"")</f>
        <v>12+ months</v>
      </c>
      <c r="AX801">
        <f>IF($B801="Yes",IFERROR((IF(SUMIFS(_REF_Model_Content!$E$1:$E$613,_REF_Model_Content!$A$1:$A$613,PV_Canonical_Industry,_REF_Model_Content!$B$1:$B$613,$C801)=0,1,SUMIFS(_REF_Model_Content!$E$1:$E$613,_REF_Model_Content!$A$1:$A$613,PV_Canonical_Industry,_REF_Model_Content!$B$1:$B$613,$C801))*IFERROR($BU801,1)),1),"")</f>
        <v>1</v>
      </c>
      <c r="AY801">
        <f t="shared" si="167"/>
        <v>16.7</v>
      </c>
      <c r="AZ801">
        <f t="shared" si="168"/>
        <v>1.25</v>
      </c>
      <c r="BB801" t="str">
        <f>IF($H801="","",IFERROR(INDEX(_ENGINE_Risk!$AE$5:$AE$499,MATCH($E801,_ENGINE_Risk!$A$5:$A$499,0)),"Medium"))</f>
        <v>Medium</v>
      </c>
      <c r="BC801">
        <f t="shared" si="169"/>
        <v>1</v>
      </c>
      <c r="BD801">
        <f t="shared" si="170"/>
        <v>1.25</v>
      </c>
      <c r="BF801">
        <f>IF(OR($H801="",$J801=""),"",IFERROR(VLOOKUP(ROUND($J801,0),_CONFIG_Model_Settings!$D$154:$E$158,2,0),""))</f>
        <v>0.5</v>
      </c>
      <c r="BG801">
        <f>IFERROR(IF(OR($H801="",$K801=""),"",ROUND('Company Profile'!$B$113*INDEX(_CONFIG_Model_Settings!$H$154:$H$158,MATCH(ROUND($K801,0),_CONFIG_Model_Settings!$G$154:$G$158,0)),0)),0)</f>
        <v>1875</v>
      </c>
      <c r="BH801">
        <f t="shared" si="171"/>
        <v>937.5</v>
      </c>
      <c r="BI801">
        <f t="shared" si="172"/>
        <v>937.5</v>
      </c>
      <c r="BJ801">
        <f>IF($E801="","",IFERROR(VLOOKUP($C801,_CONFIG_Risk_Calibration!$A$5:$H$21,2,FALSE),3))</f>
        <v>3</v>
      </c>
      <c r="BK801">
        <f>IF($E801="","",IFERROR(VLOOKUP($C801,_CONFIG_Risk_Calibration!$A$5:$H$21,3,FALSE),0))</f>
        <v>0</v>
      </c>
      <c r="BL801">
        <f>IF($E801="","",IFERROR(VLOOKUP($C801,_CONFIG_Risk_Calibration!$A$5:$H$21,4,FALSE),3))</f>
        <v>3</v>
      </c>
      <c r="BM801">
        <f>IF($E801="","",IFERROR(VLOOKUP($C801,_CONFIG_Risk_Calibration!$A$5:$H$21,5,FALSE),3))</f>
        <v>4</v>
      </c>
      <c r="BN801" t="str">
        <f>IF($E801="","",IFERROR(VLOOKUP($C801,_CONFIG_Risk_Calibration!$A$5:$H$21,6,FALSE),"No"))</f>
        <v>Yes</v>
      </c>
      <c r="BO801">
        <f>IF($E801="","",IFERROR(VLOOKUP($C801,_CONFIG_Risk_Calibration!$A$5:$H$21,7,FALSE),1))</f>
        <v>4</v>
      </c>
      <c r="BP801">
        <f>IF($H801="","",MAX(1,MIN(5,((6-$H801)*0.45)+($BJ801*0.2)+('Resilience &amp; Risk Scenario'!$B$7*0.15)+($BK801*0.1)+($BL801*0.05)+(IF($BB801="Fast",5,IF($BB801="Slow",1,3))*0.05))))</f>
        <v>3.6</v>
      </c>
      <c r="BQ801">
        <f t="shared" si="173"/>
        <v>4.6499999999999995</v>
      </c>
      <c r="BR801">
        <f t="shared" si="174"/>
        <v>16.739999999999998</v>
      </c>
      <c r="BS801">
        <f t="shared" si="175"/>
        <v>18.41</v>
      </c>
      <c r="BT801" t="str">
        <f>IFERROR(INDEX(_REF_Capability_Bridge!$D:$D,MATCH($C801&amp;"|"&amp;$D801,_REF_Capability_Bridge!$J:$J,0)),IFERROR(INDEX(_REF_Capability_Bridge!$D:$D,MATCH($C801&amp;"|",_REF_Capability_Bridge!$J:$J,0)),"CAP_GENERIC"))</f>
        <v>CAP_IAM_PAM</v>
      </c>
      <c r="BU801">
        <f>IFERROR(IFERROR(INDEX(_ENGINE_Relevance!$L:$L,MATCH($BT801,_ENGINE_Relevance!$B:$B,0)),1),1)</f>
        <v>1</v>
      </c>
      <c r="BV801" t="str">
        <f>IFERROR(INDEX(_REF_Capability_Bridge!$A:$A,MATCH($C801&amp;"|"&amp;$D801,_REF_Capability_Bridge!$J:$J,0)),IFERROR(INDEX(_REF_Capability_Bridge!$A:$A,MATCH($C801&amp;"|",_REF_Capability_Bridge!$J:$J,0)),"No bridge"))</f>
        <v>BRG-044</v>
      </c>
      <c r="BW801" t="str">
        <f t="shared" si="176"/>
        <v>Capability relevance neutral</v>
      </c>
      <c r="BX801" t="str">
        <f t="shared" si="177"/>
        <v>Initial / absent</v>
      </c>
      <c r="BY801" t="str">
        <f>IF($E801="","",IFERROR(INDEX(_REF_Treatment_Library!$A$2:$A$296,MATCH(1,INDEX((_REF_Treatment_Library!$B$2:$B$296=$BT801)*(_REF_Treatment_Library!$C$2:$C$296=PV_Canonical_Industry)*(_REF_Treatment_Library!$E$2:$E$296&lt;=N($H801))*(_REF_Treatment_Library!$F$2:$F$296&gt;=N($H801))*(_REF_Treatment_Library!$O$2:$O$296="Yes"),0),0)),IFERROR(INDEX(_REF_Treatment_Library!$A$2:$A$296,MATCH(1,INDEX((_REF_Treatment_Library!$B$2:$B$296=$BT801)*(_REF_Treatment_Library!$C$2:$C$296="All")*(_REF_Treatment_Library!$E$2:$E$296&lt;=N($H801))*(_REF_Treatment_Library!$F$2:$F$296&gt;=N($H801))*(_REF_Treatment_Library!$O$2:$O$296="Yes"),0),0)),"")))</f>
        <v>TRT-IAM_PAM-INITIAL</v>
      </c>
      <c r="BZ801" t="str">
        <f>IF($BY801="","",IFERROR(INDEX(_REF_Treatment_Library!$H$2:$H$296,MATCH($BY801,_REF_Treatment_Library!$A$2:$A$296,0)),""))</f>
        <v>Establish</v>
      </c>
      <c r="CA801" t="str">
        <f>IF($BY801="","",IFERROR(INDEX(_REF_Treatment_Library!$I$2:$I$296,MATCH($BY801,_REF_Treatment_Library!$A$2:$A$296,0)),""))</f>
        <v>Establish baseline controls for Identity / PAM</v>
      </c>
      <c r="CB801" t="str">
        <f>IF($BY801="","",IFERROR(INDEX(_REF_Treatment_Library!$K$2:$K$296,MATCH($BY801,_REF_Treatment_Library!$A$2:$A$296,0)),""))</f>
        <v>Named owner, baseline process, minimum control checklist, first evidence package</v>
      </c>
      <c r="CC801" t="str">
        <f>IF($BY801="","",IFERROR(INDEX(_REF_Treatment_Library!$L$2:$L$296,MATCH($BY801,_REF_Treatment_Library!$A$2:$A$296,0)),""))</f>
        <v>Owner assigned; baseline evidence coverage; open critical gaps</v>
      </c>
      <c r="CD801" t="str">
        <f t="shared" si="178"/>
        <v>Treatment by capability=CAP_IAM_PAM; band=Initial / absent; score=0.0; treatment=Establish</v>
      </c>
      <c r="CE801" t="str">
        <f>IF($E801="","",IFERROR(INDEX(_REF_Industry_Wording!$A$2:$A$70,MATCH(1,INDEX((_REF_Industry_Wording!$B$2:$B$70=$BT801)*(_REF_Industry_Wording!$C$2:$C$70=PV_Canonical_Industry)*(_REF_Industry_Wording!$K$2:$K$70="Yes"),0),0)),IFERROR(INDEX(_REF_Industry_Wording!$A$2:$A$70,MATCH(1,INDEX((_REF_Industry_Wording!$B$2:$B$70=$BT801)*(_REF_Industry_Wording!$C$2:$C$70="All")*(_REF_Industry_Wording!$K$2:$K$70="Yes"),0),0)),"")))</f>
        <v>IW-ALL-IAM_PAM</v>
      </c>
      <c r="CF801" t="str">
        <f>IF($CE801="","",IFERROR(INDEX(_REF_Industry_Wording!$E$2:$E$70,MATCH($CE801,_REF_Industry_Wording!$A$2:$A$70,0)),""))</f>
        <v>Identity / PAM weakness</v>
      </c>
      <c r="CG801" t="str">
        <f>IF($CE801="","",IFERROR(INDEX(_REF_Industry_Wording!$F$2:$F$70,MATCH($CE801,_REF_Industry_Wording!$A$2:$A$70,0)),""))</f>
        <v>Strengthen Identity / PAM</v>
      </c>
      <c r="CH801" t="str">
        <f>IF($CE801="","",IFERROR(INDEX(_REF_Industry_Wording!$G$2:$G$70,MATCH($CE801,_REF_Industry_Wording!$A$2:$A$70,0)),""))</f>
        <v>Strengthen Identity / PAM using the selected maturity treatment, crisis scenario and evidence requirements.</v>
      </c>
      <c r="CI801" t="str">
        <f>IF($CE801="","",IFERROR(INDEX(_REF_Industry_Wording!$H$2:$H$70,MATCH($CE801,_REF_Industry_Wording!$A$2:$A$70,0)),""))</f>
        <v>Identity / PAM</v>
      </c>
      <c r="CJ801">
        <f>IF($CE801="","",IFERROR(INDEX(_REF_Industry_Wording!$I$2:$I$70,MATCH($CE801,_REF_Industry_Wording!$A$2:$A$70,0)),""))</f>
        <v>0</v>
      </c>
      <c r="CK801" t="str">
        <f>IF($CE801="","",IFERROR(INDEX(_REF_Industry_Wording!$J$2:$J$70,MATCH($CE801,_REF_Industry_Wording!$A$2:$A$70,0)),""))</f>
        <v>Identity / PAM</v>
      </c>
      <c r="CL801" t="str">
        <f t="shared" si="179"/>
        <v>Wording by industry=0; capability=CAP_IAM_PAM; risk label=Identity / PAM weakness</v>
      </c>
      <c r="CM801" t="str">
        <f t="shared" si="180"/>
        <v>RISK-ONT-0302</v>
      </c>
      <c r="CN801" t="str">
        <f t="shared" si="181"/>
        <v>RISK-EVT-0302</v>
      </c>
      <c r="CO801" t="str">
        <f t="shared" si="182"/>
        <v>IT Cloud DR|Cloud usage|ITCL-010|CAP_IAM_PAM</v>
      </c>
      <c r="CP801" t="str">
        <f t="shared" si="183"/>
        <v>Active</v>
      </c>
      <c r="CQ801" t="str">
        <f t="shared" si="184"/>
        <v>OK: capability-driven</v>
      </c>
      <c r="CR801" t="str">
        <f t="shared" si="185"/>
        <v>Risk ontology uses capability=CAP_IAM_PAM; bridge=BRG-044; treatment=TRT-IAM_PAM-INITIAL; wording=IW-ALL-IAM_PAM</v>
      </c>
      <c r="CS801" t="str">
        <f t="shared" si="186"/>
        <v>Yes</v>
      </c>
    </row>
    <row r="802" spans="1:97" ht="69.900000000000006" customHeight="1">
      <c r="A802">
        <f>IF(OR($B802&lt;&gt;"Yes",$BS802=""),"",SUMPRODUCT(($B$500:$B$923="Yes")*ISNUMBER($BS$500:$BS$923)*($BS$500:$BS$923&gt;$BS802))+COUNTIFS($B$500:$B802,"Yes",$BS$500:$BS802,$BS802))</f>
        <v>189</v>
      </c>
      <c r="B802" t="str">
        <f t="shared" si="155"/>
        <v>Yes</v>
      </c>
      <c r="C802" t="s">
        <v>2588</v>
      </c>
      <c r="D802" t="s">
        <v>2599</v>
      </c>
      <c r="E802" t="s">
        <v>2645</v>
      </c>
      <c r="F802" t="s">
        <v>4333</v>
      </c>
      <c r="G802" t="str">
        <f>IF($H802="","",IFERROR(INDEX(_ENGINE_Risk!$H$5:$M$499,MATCH($E802,_ENGINE_Risk!$A$5:$A$499,0),$H802+1),""))</f>
        <v>Severe risk: cloud backup and restore of configurations, data, infrastructure-as-code and managed services is not reliably controlled. During IT outage; Cloud outage; Data loss; Cyberattack, the organization may face system outage, data unavailability, excessive RTO/RPO and inability to restore critical technology services with limited visibility or accountability.</v>
      </c>
      <c r="H802">
        <f>IFERROR(VALUE(INDEX(_DATA_Assessment_Model!$H$5:$H$884,MATCH($E802,_DATA_Assessment_Model!$A$5:$A$884,0))),"")</f>
        <v>0</v>
      </c>
      <c r="I802" t="str">
        <f>IF($H802="","",IFERROR(INDEX(_DATA_Assessment_Model!$L$5:$L$884,MATCH($E802,_DATA_Assessment_Model!$A$5:$A$884,0)),IF($H802&lt;=1,"Critical",IF($H802=2,"High",IF($H802=3,"Medium",IF($H802=4,"Low","Resilient"))))))</f>
        <v>Critical</v>
      </c>
      <c r="J802">
        <f t="shared" si="156"/>
        <v>3.6</v>
      </c>
      <c r="K802">
        <f t="shared" si="157"/>
        <v>4.6499999999999995</v>
      </c>
      <c r="L802">
        <f t="shared" si="158"/>
        <v>16.739999999999998</v>
      </c>
      <c r="M802">
        <f t="shared" si="159"/>
        <v>4</v>
      </c>
      <c r="N802">
        <f>IF($H802="","",IFERROR(INDEX(_ENGINE_Risk!$T$5:$Y$499,MATCH($E802,_ENGINE_Risk!$A$5:$A$499,0),$H802+1),""))</f>
        <v>4</v>
      </c>
      <c r="O802">
        <f t="shared" si="160"/>
        <v>5</v>
      </c>
      <c r="P802">
        <f t="shared" si="161"/>
        <v>5</v>
      </c>
      <c r="Q802">
        <f t="shared" si="162"/>
        <v>5</v>
      </c>
      <c r="R802">
        <f t="shared" si="163"/>
        <v>5</v>
      </c>
      <c r="S802">
        <f t="shared" si="164"/>
        <v>1.25</v>
      </c>
      <c r="T802" t="str">
        <f>IF($H802="","",IFERROR(INDEX(_ENGINE_Risk!$N$5:$S$499,MATCH($E802,_ENGINE_Risk!$A$5:$A$499,0),$H802+1),""))</f>
        <v>Create an immediate risk owner, minimum control baseline and fallback procedure for cloud backup and restore of configurations, data, infrastructure-as-code and managed services. Add it to the crisis risk register and collect first evidence.</v>
      </c>
      <c r="U802">
        <f>IFERROR(INDEX(_DATA_Assessment_Model!$G$5:$G$884,MATCH($E802,_DATA_Assessment_Model!$A$5:$A$884,0)),"")</f>
        <v>5</v>
      </c>
      <c r="V802">
        <f>IFERROR(INDEX(_DATA_Assessment_Model!$W$5:$W$884,MATCH($E802,_DATA_Assessment_Model!$A$5:$A$884,0)),"")</f>
        <v>5</v>
      </c>
      <c r="W802">
        <f>IFERROR(INDEX(_DATA_Assessment_Model!$X$5:$X$884,MATCH($E802,_DATA_Assessment_Model!$A$5:$A$884,0)),"")</f>
        <v>5</v>
      </c>
      <c r="X802">
        <f>IFERROR(INDEX(_DATA_Assessment_Model!$Y$5:$Y$884,MATCH($E802,_DATA_Assessment_Model!$A$5:$A$884,0)),"")</f>
        <v>5</v>
      </c>
      <c r="Y802" t="s">
        <v>2595</v>
      </c>
      <c r="Z802" t="s">
        <v>8744</v>
      </c>
      <c r="AA802" t="s">
        <v>2647</v>
      </c>
      <c r="AB802">
        <f>IFERROR(INDEX(_DATA_Assessment_Model!$U$5:$U$884,MATCH($E802,_DATA_Assessment_Model!$A$5:$A$884,0)),"")</f>
        <v>0</v>
      </c>
      <c r="AF802" t="s">
        <v>2646</v>
      </c>
      <c r="AO802">
        <f>IF($B802="Yes",IF(IFERROR(INDEX(_ENGINE_Crisis!$F$501:$F$517,MATCH($C802,_ENGINE_Crisis!$A$501:$A$517,0)),1)=0,1,IFERROR(INDEX(_ENGINE_Crisis!$F$501:$F$517,MATCH($C802,_ENGINE_Crisis!$A$501:$A$517,0)),1)),"")</f>
        <v>1</v>
      </c>
      <c r="AP802">
        <f t="shared" si="165"/>
        <v>16.7</v>
      </c>
      <c r="AQ802">
        <f t="shared" si="166"/>
        <v>1.25</v>
      </c>
      <c r="AR802" t="str">
        <f>IFERROR(INDEX(_ENGINE_Crisis!$E$41:$E$700,MATCH('Resilience &amp; Risk Scenario'!$B$6&amp;"|"&amp;$C802,_ENGINE_Crisis!$I$41:$I$700,0)),"")</f>
        <v/>
      </c>
      <c r="AS802" t="str">
        <f>IFERROR(INDEX(_ENGINE_Crisis!$G$41:$G$700,MATCH('Resilience &amp; Risk Scenario'!$B$6&amp;"|"&amp;$C802,_ENGINE_Crisis!$I$41:$I$700,0)),"")</f>
        <v/>
      </c>
      <c r="AT802" t="str">
        <f>IFERROR(INDEX(_ENGINE_Initiatives!$A$5:$A$532,MATCH(1,INDEX((_ENGINE_Initiatives!$B$5:$B$532=$C802)*(_ENGINE_Initiatives!$C$5:$C$532=$D802),0),0)),"")</f>
        <v>INI-049</v>
      </c>
      <c r="AU802" t="str">
        <f>IFERROR(INDEX(_ENGINE_Initiatives!$F$5:$F$532,MATCH(1,INDEX((_ENGINE_Initiatives!$B$5:$B$532=$C802)*(_ENGINE_Initiatives!$C$5:$C$532=$D802),0),0)),"")</f>
        <v>Optimize cloud usage, landing zones and infrastructure resilience</v>
      </c>
      <c r="AV802">
        <f>IFERROR(INDEX(_ENGINE_Initiatives!$AC$5:$AC$532,MATCH(1,INDEX((_ENGINE_Initiatives!$B$5:$B$532=$C802)*(_ENGINE_Initiatives!$C$5:$C$532=$D802),0),0)),"")</f>
        <v>1.34</v>
      </c>
      <c r="AW802" t="str">
        <f>IFERROR(INDEX(_ENGINE_Initiatives!$AE$5:$AE$532,MATCH(1,INDEX((_ENGINE_Initiatives!$B$5:$B$532=$C802)*(_ENGINE_Initiatives!$C$5:$C$532=$D802),0),0)),"")</f>
        <v>12+ months</v>
      </c>
      <c r="AX802">
        <f>IF($B802="Yes",IFERROR((IF(SUMIFS(_REF_Model_Content!$E$1:$E$613,_REF_Model_Content!$A$1:$A$613,PV_Canonical_Industry,_REF_Model_Content!$B$1:$B$613,$C802)=0,1,SUMIFS(_REF_Model_Content!$E$1:$E$613,_REF_Model_Content!$A$1:$A$613,PV_Canonical_Industry,_REF_Model_Content!$B$1:$B$613,$C802))*IFERROR($BU802,1)),1),"")</f>
        <v>1</v>
      </c>
      <c r="AY802">
        <f t="shared" si="167"/>
        <v>16.7</v>
      </c>
      <c r="AZ802">
        <f t="shared" si="168"/>
        <v>1.25</v>
      </c>
      <c r="BB802" t="str">
        <f>IF($H802="","",IFERROR(INDEX(_ENGINE_Risk!$AE$5:$AE$499,MATCH($E802,_ENGINE_Risk!$A$5:$A$499,0)),"Medium"))</f>
        <v>Medium</v>
      </c>
      <c r="BC802">
        <f t="shared" si="169"/>
        <v>1</v>
      </c>
      <c r="BD802">
        <f t="shared" si="170"/>
        <v>1.25</v>
      </c>
      <c r="BF802">
        <f>IF(OR($H802="",$J802=""),"",IFERROR(VLOOKUP(ROUND($J802,0),_CONFIG_Model_Settings!$D$154:$E$158,2,0),""))</f>
        <v>0.5</v>
      </c>
      <c r="BG802">
        <f>IFERROR(IF(OR($H802="",$K802=""),"",ROUND('Company Profile'!$B$113*INDEX(_CONFIG_Model_Settings!$H$154:$H$158,MATCH(ROUND($K802,0),_CONFIG_Model_Settings!$G$154:$G$158,0)),0)),0)</f>
        <v>1875</v>
      </c>
      <c r="BH802">
        <f t="shared" si="171"/>
        <v>937.5</v>
      </c>
      <c r="BI802">
        <f t="shared" si="172"/>
        <v>937.5</v>
      </c>
      <c r="BJ802">
        <f>IF($E802="","",IFERROR(VLOOKUP($C802,_CONFIG_Risk_Calibration!$A$5:$H$21,2,FALSE),3))</f>
        <v>3</v>
      </c>
      <c r="BK802">
        <f>IF($E802="","",IFERROR(VLOOKUP($C802,_CONFIG_Risk_Calibration!$A$5:$H$21,3,FALSE),0))</f>
        <v>0</v>
      </c>
      <c r="BL802">
        <f>IF($E802="","",IFERROR(VLOOKUP($C802,_CONFIG_Risk_Calibration!$A$5:$H$21,4,FALSE),3))</f>
        <v>3</v>
      </c>
      <c r="BM802">
        <f>IF($E802="","",IFERROR(VLOOKUP($C802,_CONFIG_Risk_Calibration!$A$5:$H$21,5,FALSE),3))</f>
        <v>4</v>
      </c>
      <c r="BN802" t="str">
        <f>IF($E802="","",IFERROR(VLOOKUP($C802,_CONFIG_Risk_Calibration!$A$5:$H$21,6,FALSE),"No"))</f>
        <v>Yes</v>
      </c>
      <c r="BO802">
        <f>IF($E802="","",IFERROR(VLOOKUP($C802,_CONFIG_Risk_Calibration!$A$5:$H$21,7,FALSE),1))</f>
        <v>4</v>
      </c>
      <c r="BP802">
        <f>IF($H802="","",MAX(1,MIN(5,((6-$H802)*0.45)+($BJ802*0.2)+('Resilience &amp; Risk Scenario'!$B$7*0.15)+($BK802*0.1)+($BL802*0.05)+(IF($BB802="Fast",5,IF($BB802="Slow",1,3))*0.05))))</f>
        <v>3.6</v>
      </c>
      <c r="BQ802">
        <f t="shared" si="173"/>
        <v>4.6499999999999995</v>
      </c>
      <c r="BR802">
        <f t="shared" si="174"/>
        <v>16.739999999999998</v>
      </c>
      <c r="BS802">
        <f t="shared" si="175"/>
        <v>18.41</v>
      </c>
      <c r="BT802" t="str">
        <f>IFERROR(INDEX(_REF_Capability_Bridge!$D:$D,MATCH($C802&amp;"|"&amp;$D802,_REF_Capability_Bridge!$J:$J,0)),IFERROR(INDEX(_REF_Capability_Bridge!$D:$D,MATCH($C802&amp;"|",_REF_Capability_Bridge!$J:$J,0)),"CAP_GENERIC"))</f>
        <v>CAP_IAM_PAM</v>
      </c>
      <c r="BU802">
        <f>IFERROR(IFERROR(INDEX(_ENGINE_Relevance!$L:$L,MATCH($BT802,_ENGINE_Relevance!$B:$B,0)),1),1)</f>
        <v>1</v>
      </c>
      <c r="BV802" t="str">
        <f>IFERROR(INDEX(_REF_Capability_Bridge!$A:$A,MATCH($C802&amp;"|"&amp;$D802,_REF_Capability_Bridge!$J:$J,0)),IFERROR(INDEX(_REF_Capability_Bridge!$A:$A,MATCH($C802&amp;"|",_REF_Capability_Bridge!$J:$J,0)),"No bridge"))</f>
        <v>BRG-044</v>
      </c>
      <c r="BW802" t="str">
        <f t="shared" si="176"/>
        <v>Capability relevance neutral</v>
      </c>
      <c r="BX802" t="str">
        <f t="shared" si="177"/>
        <v>Initial / absent</v>
      </c>
      <c r="BY802" t="str">
        <f>IF($E802="","",IFERROR(INDEX(_REF_Treatment_Library!$A$2:$A$296,MATCH(1,INDEX((_REF_Treatment_Library!$B$2:$B$296=$BT802)*(_REF_Treatment_Library!$C$2:$C$296=PV_Canonical_Industry)*(_REF_Treatment_Library!$E$2:$E$296&lt;=N($H802))*(_REF_Treatment_Library!$F$2:$F$296&gt;=N($H802))*(_REF_Treatment_Library!$O$2:$O$296="Yes"),0),0)),IFERROR(INDEX(_REF_Treatment_Library!$A$2:$A$296,MATCH(1,INDEX((_REF_Treatment_Library!$B$2:$B$296=$BT802)*(_REF_Treatment_Library!$C$2:$C$296="All")*(_REF_Treatment_Library!$E$2:$E$296&lt;=N($H802))*(_REF_Treatment_Library!$F$2:$F$296&gt;=N($H802))*(_REF_Treatment_Library!$O$2:$O$296="Yes"),0),0)),"")))</f>
        <v>TRT-IAM_PAM-INITIAL</v>
      </c>
      <c r="BZ802" t="str">
        <f>IF($BY802="","",IFERROR(INDEX(_REF_Treatment_Library!$H$2:$H$296,MATCH($BY802,_REF_Treatment_Library!$A$2:$A$296,0)),""))</f>
        <v>Establish</v>
      </c>
      <c r="CA802" t="str">
        <f>IF($BY802="","",IFERROR(INDEX(_REF_Treatment_Library!$I$2:$I$296,MATCH($BY802,_REF_Treatment_Library!$A$2:$A$296,0)),""))</f>
        <v>Establish baseline controls for Identity / PAM</v>
      </c>
      <c r="CB802" t="str">
        <f>IF($BY802="","",IFERROR(INDEX(_REF_Treatment_Library!$K$2:$K$296,MATCH($BY802,_REF_Treatment_Library!$A$2:$A$296,0)),""))</f>
        <v>Named owner, baseline process, minimum control checklist, first evidence package</v>
      </c>
      <c r="CC802" t="str">
        <f>IF($BY802="","",IFERROR(INDEX(_REF_Treatment_Library!$L$2:$L$296,MATCH($BY802,_REF_Treatment_Library!$A$2:$A$296,0)),""))</f>
        <v>Owner assigned; baseline evidence coverage; open critical gaps</v>
      </c>
      <c r="CD802" t="str">
        <f t="shared" si="178"/>
        <v>Treatment by capability=CAP_IAM_PAM; band=Initial / absent; score=0.0; treatment=Establish</v>
      </c>
      <c r="CE802" t="str">
        <f>IF($E802="","",IFERROR(INDEX(_REF_Industry_Wording!$A$2:$A$70,MATCH(1,INDEX((_REF_Industry_Wording!$B$2:$B$70=$BT802)*(_REF_Industry_Wording!$C$2:$C$70=PV_Canonical_Industry)*(_REF_Industry_Wording!$K$2:$K$70="Yes"),0),0)),IFERROR(INDEX(_REF_Industry_Wording!$A$2:$A$70,MATCH(1,INDEX((_REF_Industry_Wording!$B$2:$B$70=$BT802)*(_REF_Industry_Wording!$C$2:$C$70="All")*(_REF_Industry_Wording!$K$2:$K$70="Yes"),0),0)),"")))</f>
        <v>IW-ALL-IAM_PAM</v>
      </c>
      <c r="CF802" t="str">
        <f>IF($CE802="","",IFERROR(INDEX(_REF_Industry_Wording!$E$2:$E$70,MATCH($CE802,_REF_Industry_Wording!$A$2:$A$70,0)),""))</f>
        <v>Identity / PAM weakness</v>
      </c>
      <c r="CG802" t="str">
        <f>IF($CE802="","",IFERROR(INDEX(_REF_Industry_Wording!$F$2:$F$70,MATCH($CE802,_REF_Industry_Wording!$A$2:$A$70,0)),""))</f>
        <v>Strengthen Identity / PAM</v>
      </c>
      <c r="CH802" t="str">
        <f>IF($CE802="","",IFERROR(INDEX(_REF_Industry_Wording!$G$2:$G$70,MATCH($CE802,_REF_Industry_Wording!$A$2:$A$70,0)),""))</f>
        <v>Strengthen Identity / PAM using the selected maturity treatment, crisis scenario and evidence requirements.</v>
      </c>
      <c r="CI802" t="str">
        <f>IF($CE802="","",IFERROR(INDEX(_REF_Industry_Wording!$H$2:$H$70,MATCH($CE802,_REF_Industry_Wording!$A$2:$A$70,0)),""))</f>
        <v>Identity / PAM</v>
      </c>
      <c r="CJ802">
        <f>IF($CE802="","",IFERROR(INDEX(_REF_Industry_Wording!$I$2:$I$70,MATCH($CE802,_REF_Industry_Wording!$A$2:$A$70,0)),""))</f>
        <v>0</v>
      </c>
      <c r="CK802" t="str">
        <f>IF($CE802="","",IFERROR(INDEX(_REF_Industry_Wording!$J$2:$J$70,MATCH($CE802,_REF_Industry_Wording!$A$2:$A$70,0)),""))</f>
        <v>Identity / PAM</v>
      </c>
      <c r="CL802" t="str">
        <f t="shared" si="179"/>
        <v>Wording by industry=0; capability=CAP_IAM_PAM; risk label=Identity / PAM weakness</v>
      </c>
      <c r="CM802" t="str">
        <f t="shared" si="180"/>
        <v>RISK-ONT-0303</v>
      </c>
      <c r="CN802" t="str">
        <f t="shared" si="181"/>
        <v>RISK-EVT-0303</v>
      </c>
      <c r="CO802" t="str">
        <f t="shared" si="182"/>
        <v>IT Cloud DR|Cloud usage|ITCL-012|CAP_IAM_PAM</v>
      </c>
      <c r="CP802" t="str">
        <f t="shared" si="183"/>
        <v>Active</v>
      </c>
      <c r="CQ802" t="str">
        <f t="shared" si="184"/>
        <v>OK: capability-driven</v>
      </c>
      <c r="CR802" t="str">
        <f t="shared" si="185"/>
        <v>Risk ontology uses capability=CAP_IAM_PAM; bridge=BRG-044; treatment=TRT-IAM_PAM-INITIAL; wording=IW-ALL-IAM_PAM</v>
      </c>
      <c r="CS802" t="str">
        <f t="shared" si="186"/>
        <v>Yes</v>
      </c>
    </row>
    <row r="803" spans="1:97" ht="69.900000000000006" customHeight="1">
      <c r="A803">
        <f>IF(OR($B803&lt;&gt;"Yes",$BS803=""),"",SUMPRODUCT(($B$500:$B$923="Yes")*ISNUMBER($BS$500:$BS$923)*($BS$500:$BS$923&gt;$BS803))+COUNTIFS($B$500:$B803,"Yes",$BS$500:$BS803,$BS803))</f>
        <v>190</v>
      </c>
      <c r="B803" t="str">
        <f t="shared" si="155"/>
        <v>Yes</v>
      </c>
      <c r="C803" t="s">
        <v>2588</v>
      </c>
      <c r="D803" t="s">
        <v>2609</v>
      </c>
      <c r="E803" t="s">
        <v>2648</v>
      </c>
      <c r="F803" t="s">
        <v>4333</v>
      </c>
      <c r="G803" t="str">
        <f>IF($H803="","",IFERROR(INDEX(_ENGINE_Risk!$H$5:$M$499,MATCH($E803,_ENGINE_Risk!$A$5:$A$499,0),$H803+1),""))</f>
        <v>Severe risk: backup coverage for systems, databases, files, SaaS data, configurations and cloud resources is not reliably controlled. During IT outage; Cloud outage; Data loss; Cyberattack, the organization may face system outage, data unavailability, excessive RTO/RPO and inability to restore critical technology services with limited visibility or accountability.</v>
      </c>
      <c r="H803">
        <f>IFERROR(VALUE(INDEX(_DATA_Assessment_Model!$H$5:$H$884,MATCH($E803,_DATA_Assessment_Model!$A$5:$A$884,0))),"")</f>
        <v>0</v>
      </c>
      <c r="I803" t="str">
        <f>IF($H803="","",IFERROR(INDEX(_DATA_Assessment_Model!$L$5:$L$884,MATCH($E803,_DATA_Assessment_Model!$A$5:$A$884,0)),IF($H803&lt;=1,"Critical",IF($H803=2,"High",IF($H803=3,"Medium",IF($H803=4,"Low","Resilient"))))))</f>
        <v>Critical</v>
      </c>
      <c r="J803">
        <f t="shared" si="156"/>
        <v>3.6</v>
      </c>
      <c r="K803">
        <f t="shared" si="157"/>
        <v>4.6499999999999995</v>
      </c>
      <c r="L803">
        <f t="shared" si="158"/>
        <v>16.739999999999998</v>
      </c>
      <c r="M803">
        <f t="shared" si="159"/>
        <v>4</v>
      </c>
      <c r="N803">
        <f>IF($H803="","",IFERROR(INDEX(_ENGINE_Risk!$T$5:$Y$499,MATCH($E803,_ENGINE_Risk!$A$5:$A$499,0),$H803+1),""))</f>
        <v>4</v>
      </c>
      <c r="O803">
        <f t="shared" si="160"/>
        <v>5</v>
      </c>
      <c r="P803">
        <f t="shared" si="161"/>
        <v>5</v>
      </c>
      <c r="Q803">
        <f t="shared" si="162"/>
        <v>5</v>
      </c>
      <c r="R803">
        <f t="shared" si="163"/>
        <v>5</v>
      </c>
      <c r="S803">
        <f t="shared" si="164"/>
        <v>1.25</v>
      </c>
      <c r="T803" t="str">
        <f>IF($H803="","",IFERROR(INDEX(_ENGINE_Risk!$N$5:$S$499,MATCH($E803,_ENGINE_Risk!$A$5:$A$499,0),$H803+1),""))</f>
        <v>Create an immediate risk owner, minimum control baseline and fallback procedure for backup coverage for systems, databases, files, SaaS data, configurations and cloud resources. Add it to the crisis risk register and collect first evidence.</v>
      </c>
      <c r="U803">
        <f>IFERROR(INDEX(_DATA_Assessment_Model!$G$5:$G$884,MATCH($E803,_DATA_Assessment_Model!$A$5:$A$884,0)),"")</f>
        <v>5</v>
      </c>
      <c r="V803">
        <f>IFERROR(INDEX(_DATA_Assessment_Model!$W$5:$W$884,MATCH($E803,_DATA_Assessment_Model!$A$5:$A$884,0)),"")</f>
        <v>5</v>
      </c>
      <c r="W803">
        <f>IFERROR(INDEX(_DATA_Assessment_Model!$X$5:$X$884,MATCH($E803,_DATA_Assessment_Model!$A$5:$A$884,0)),"")</f>
        <v>5</v>
      </c>
      <c r="X803">
        <f>IFERROR(INDEX(_DATA_Assessment_Model!$Y$5:$Y$884,MATCH($E803,_DATA_Assessment_Model!$A$5:$A$884,0)),"")</f>
        <v>5</v>
      </c>
      <c r="Y803" t="s">
        <v>2595</v>
      </c>
      <c r="Z803" t="s">
        <v>8744</v>
      </c>
      <c r="AA803" t="s">
        <v>2650</v>
      </c>
      <c r="AB803">
        <f>IFERROR(INDEX(_DATA_Assessment_Model!$U$5:$U$884,MATCH($E803,_DATA_Assessment_Model!$A$5:$A$884,0)),"")</f>
        <v>0</v>
      </c>
      <c r="AF803" t="s">
        <v>2649</v>
      </c>
      <c r="AO803">
        <f>IF($B803="Yes",IF(IFERROR(INDEX(_ENGINE_Crisis!$F$501:$F$517,MATCH($C803,_ENGINE_Crisis!$A$501:$A$517,0)),1)=0,1,IFERROR(INDEX(_ENGINE_Crisis!$F$501:$F$517,MATCH($C803,_ENGINE_Crisis!$A$501:$A$517,0)),1)),"")</f>
        <v>1</v>
      </c>
      <c r="AP803">
        <f t="shared" si="165"/>
        <v>16.7</v>
      </c>
      <c r="AQ803">
        <f t="shared" si="166"/>
        <v>1.25</v>
      </c>
      <c r="AR803" t="str">
        <f>IFERROR(INDEX(_ENGINE_Crisis!$E$41:$E$700,MATCH('Resilience &amp; Risk Scenario'!$B$6&amp;"|"&amp;$C803,_ENGINE_Crisis!$I$41:$I$700,0)),"")</f>
        <v/>
      </c>
      <c r="AS803" t="str">
        <f>IFERROR(INDEX(_ENGINE_Crisis!$G$41:$G$700,MATCH('Resilience &amp; Risk Scenario'!$B$6&amp;"|"&amp;$C803,_ENGINE_Crisis!$I$41:$I$700,0)),"")</f>
        <v/>
      </c>
      <c r="AT803" t="str">
        <f>IFERROR(INDEX(_ENGINE_Initiatives!$A$5:$A$532,MATCH(1,INDEX((_ENGINE_Initiatives!$B$5:$B$532=$C803)*(_ENGINE_Initiatives!$C$5:$C$532=$D803),0),0)),"")</f>
        <v>INI-050</v>
      </c>
      <c r="AU803" t="str">
        <f>IFERROR(INDEX(_ENGINE_Initiatives!$F$5:$F$532,MATCH(1,INDEX((_ENGINE_Initiatives!$B$5:$B$532=$C803)*(_ENGINE_Initiatives!$C$5:$C$532=$D803),0),0)),"")</f>
        <v>Implement disaster recovery, backup testing and RTO/RPO controls</v>
      </c>
      <c r="AV803">
        <f>IFERROR(INDEX(_ENGINE_Initiatives!$AC$5:$AC$532,MATCH(1,INDEX((_ENGINE_Initiatives!$B$5:$B$532=$C803)*(_ENGINE_Initiatives!$C$5:$C$532=$D803),0),0)),"")</f>
        <v>1.34</v>
      </c>
      <c r="AW803" t="str">
        <f>IFERROR(INDEX(_ENGINE_Initiatives!$AE$5:$AE$532,MATCH(1,INDEX((_ENGINE_Initiatives!$B$5:$B$532=$C803)*(_ENGINE_Initiatives!$C$5:$C$532=$D803),0),0)),"")</f>
        <v>12+ months</v>
      </c>
      <c r="AX803">
        <f>IF($B803="Yes",IFERROR((IF(SUMIFS(_REF_Model_Content!$E$1:$E$613,_REF_Model_Content!$A$1:$A$613,PV_Canonical_Industry,_REF_Model_Content!$B$1:$B$613,$C803)=0,1,SUMIFS(_REF_Model_Content!$E$1:$E$613,_REF_Model_Content!$A$1:$A$613,PV_Canonical_Industry,_REF_Model_Content!$B$1:$B$613,$C803))*IFERROR($BU803,1)),1),"")</f>
        <v>1</v>
      </c>
      <c r="AY803">
        <f t="shared" si="167"/>
        <v>16.7</v>
      </c>
      <c r="AZ803">
        <f t="shared" si="168"/>
        <v>1.25</v>
      </c>
      <c r="BB803" t="str">
        <f>IF($H803="","",IFERROR(INDEX(_ENGINE_Risk!$AE$5:$AE$499,MATCH($E803,_ENGINE_Risk!$A$5:$A$499,0)),"Medium"))</f>
        <v>Medium</v>
      </c>
      <c r="BC803">
        <f t="shared" si="169"/>
        <v>1</v>
      </c>
      <c r="BD803">
        <f t="shared" si="170"/>
        <v>1.25</v>
      </c>
      <c r="BF803">
        <f>IF(OR($H803="",$J803=""),"",IFERROR(VLOOKUP(ROUND($J803,0),_CONFIG_Model_Settings!$D$154:$E$158,2,0),""))</f>
        <v>0.5</v>
      </c>
      <c r="BG803">
        <f>IFERROR(IF(OR($H803="",$K803=""),"",ROUND('Company Profile'!$B$113*INDEX(_CONFIG_Model_Settings!$H$154:$H$158,MATCH(ROUND($K803,0),_CONFIG_Model_Settings!$G$154:$G$158,0)),0)),0)</f>
        <v>1875</v>
      </c>
      <c r="BH803">
        <f t="shared" si="171"/>
        <v>937.5</v>
      </c>
      <c r="BI803">
        <f t="shared" si="172"/>
        <v>937.5</v>
      </c>
      <c r="BJ803">
        <f>IF($E803="","",IFERROR(VLOOKUP($C803,_CONFIG_Risk_Calibration!$A$5:$H$21,2,FALSE),3))</f>
        <v>3</v>
      </c>
      <c r="BK803">
        <f>IF($E803="","",IFERROR(VLOOKUP($C803,_CONFIG_Risk_Calibration!$A$5:$H$21,3,FALSE),0))</f>
        <v>0</v>
      </c>
      <c r="BL803">
        <f>IF($E803="","",IFERROR(VLOOKUP($C803,_CONFIG_Risk_Calibration!$A$5:$H$21,4,FALSE),3))</f>
        <v>3</v>
      </c>
      <c r="BM803">
        <f>IF($E803="","",IFERROR(VLOOKUP($C803,_CONFIG_Risk_Calibration!$A$5:$H$21,5,FALSE),3))</f>
        <v>4</v>
      </c>
      <c r="BN803" t="str">
        <f>IF($E803="","",IFERROR(VLOOKUP($C803,_CONFIG_Risk_Calibration!$A$5:$H$21,6,FALSE),"No"))</f>
        <v>Yes</v>
      </c>
      <c r="BO803">
        <f>IF($E803="","",IFERROR(VLOOKUP($C803,_CONFIG_Risk_Calibration!$A$5:$H$21,7,FALSE),1))</f>
        <v>4</v>
      </c>
      <c r="BP803">
        <f>IF($H803="","",MAX(1,MIN(5,((6-$H803)*0.45)+($BJ803*0.2)+('Resilience &amp; Risk Scenario'!$B$7*0.15)+($BK803*0.1)+($BL803*0.05)+(IF($BB803="Fast",5,IF($BB803="Slow",1,3))*0.05))))</f>
        <v>3.6</v>
      </c>
      <c r="BQ803">
        <f t="shared" si="173"/>
        <v>4.6499999999999995</v>
      </c>
      <c r="BR803">
        <f t="shared" si="174"/>
        <v>16.739999999999998</v>
      </c>
      <c r="BS803">
        <f t="shared" si="175"/>
        <v>18.41</v>
      </c>
      <c r="BT803" t="str">
        <f>IFERROR(INDEX(_REF_Capability_Bridge!$D:$D,MATCH($C803&amp;"|"&amp;$D803,_REF_Capability_Bridge!$J:$J,0)),IFERROR(INDEX(_REF_Capability_Bridge!$D:$D,MATCH($C803&amp;"|",_REF_Capability_Bridge!$J:$J,0)),"CAP_GENERIC"))</f>
        <v>CAP_IAM_PAM</v>
      </c>
      <c r="BU803">
        <f>IFERROR(IFERROR(INDEX(_ENGINE_Relevance!$L:$L,MATCH($BT803,_ENGINE_Relevance!$B:$B,0)),1),1)</f>
        <v>1</v>
      </c>
      <c r="BV803" t="str">
        <f>IFERROR(INDEX(_REF_Capability_Bridge!$A:$A,MATCH($C803&amp;"|"&amp;$D803,_REF_Capability_Bridge!$J:$J,0)),IFERROR(INDEX(_REF_Capability_Bridge!$A:$A,MATCH($C803&amp;"|",_REF_Capability_Bridge!$J:$J,0)),"No bridge"))</f>
        <v>BRG-047</v>
      </c>
      <c r="BW803" t="str">
        <f t="shared" si="176"/>
        <v>Capability relevance neutral</v>
      </c>
      <c r="BX803" t="str">
        <f t="shared" si="177"/>
        <v>Initial / absent</v>
      </c>
      <c r="BY803" t="str">
        <f>IF($E803="","",IFERROR(INDEX(_REF_Treatment_Library!$A$2:$A$296,MATCH(1,INDEX((_REF_Treatment_Library!$B$2:$B$296=$BT803)*(_REF_Treatment_Library!$C$2:$C$296=PV_Canonical_Industry)*(_REF_Treatment_Library!$E$2:$E$296&lt;=N($H803))*(_REF_Treatment_Library!$F$2:$F$296&gt;=N($H803))*(_REF_Treatment_Library!$O$2:$O$296="Yes"),0),0)),IFERROR(INDEX(_REF_Treatment_Library!$A$2:$A$296,MATCH(1,INDEX((_REF_Treatment_Library!$B$2:$B$296=$BT803)*(_REF_Treatment_Library!$C$2:$C$296="All")*(_REF_Treatment_Library!$E$2:$E$296&lt;=N($H803))*(_REF_Treatment_Library!$F$2:$F$296&gt;=N($H803))*(_REF_Treatment_Library!$O$2:$O$296="Yes"),0),0)),"")))</f>
        <v>TRT-IAM_PAM-INITIAL</v>
      </c>
      <c r="BZ803" t="str">
        <f>IF($BY803="","",IFERROR(INDEX(_REF_Treatment_Library!$H$2:$H$296,MATCH($BY803,_REF_Treatment_Library!$A$2:$A$296,0)),""))</f>
        <v>Establish</v>
      </c>
      <c r="CA803" t="str">
        <f>IF($BY803="","",IFERROR(INDEX(_REF_Treatment_Library!$I$2:$I$296,MATCH($BY803,_REF_Treatment_Library!$A$2:$A$296,0)),""))</f>
        <v>Establish baseline controls for Identity / PAM</v>
      </c>
      <c r="CB803" t="str">
        <f>IF($BY803="","",IFERROR(INDEX(_REF_Treatment_Library!$K$2:$K$296,MATCH($BY803,_REF_Treatment_Library!$A$2:$A$296,0)),""))</f>
        <v>Named owner, baseline process, minimum control checklist, first evidence package</v>
      </c>
      <c r="CC803" t="str">
        <f>IF($BY803="","",IFERROR(INDEX(_REF_Treatment_Library!$L$2:$L$296,MATCH($BY803,_REF_Treatment_Library!$A$2:$A$296,0)),""))</f>
        <v>Owner assigned; baseline evidence coverage; open critical gaps</v>
      </c>
      <c r="CD803" t="str">
        <f t="shared" si="178"/>
        <v>Treatment by capability=CAP_IAM_PAM; band=Initial / absent; score=0.0; treatment=Establish</v>
      </c>
      <c r="CE803" t="str">
        <f>IF($E803="","",IFERROR(INDEX(_REF_Industry_Wording!$A$2:$A$70,MATCH(1,INDEX((_REF_Industry_Wording!$B$2:$B$70=$BT803)*(_REF_Industry_Wording!$C$2:$C$70=PV_Canonical_Industry)*(_REF_Industry_Wording!$K$2:$K$70="Yes"),0),0)),IFERROR(INDEX(_REF_Industry_Wording!$A$2:$A$70,MATCH(1,INDEX((_REF_Industry_Wording!$B$2:$B$70=$BT803)*(_REF_Industry_Wording!$C$2:$C$70="All")*(_REF_Industry_Wording!$K$2:$K$70="Yes"),0),0)),"")))</f>
        <v>IW-ALL-IAM_PAM</v>
      </c>
      <c r="CF803" t="str">
        <f>IF($CE803="","",IFERROR(INDEX(_REF_Industry_Wording!$E$2:$E$70,MATCH($CE803,_REF_Industry_Wording!$A$2:$A$70,0)),""))</f>
        <v>Identity / PAM weakness</v>
      </c>
      <c r="CG803" t="str">
        <f>IF($CE803="","",IFERROR(INDEX(_REF_Industry_Wording!$F$2:$F$70,MATCH($CE803,_REF_Industry_Wording!$A$2:$A$70,0)),""))</f>
        <v>Strengthen Identity / PAM</v>
      </c>
      <c r="CH803" t="str">
        <f>IF($CE803="","",IFERROR(INDEX(_REF_Industry_Wording!$G$2:$G$70,MATCH($CE803,_REF_Industry_Wording!$A$2:$A$70,0)),""))</f>
        <v>Strengthen Identity / PAM using the selected maturity treatment, crisis scenario and evidence requirements.</v>
      </c>
      <c r="CI803" t="str">
        <f>IF($CE803="","",IFERROR(INDEX(_REF_Industry_Wording!$H$2:$H$70,MATCH($CE803,_REF_Industry_Wording!$A$2:$A$70,0)),""))</f>
        <v>Identity / PAM</v>
      </c>
      <c r="CJ803">
        <f>IF($CE803="","",IFERROR(INDEX(_REF_Industry_Wording!$I$2:$I$70,MATCH($CE803,_REF_Industry_Wording!$A$2:$A$70,0)),""))</f>
        <v>0</v>
      </c>
      <c r="CK803" t="str">
        <f>IF($CE803="","",IFERROR(INDEX(_REF_Industry_Wording!$J$2:$J$70,MATCH($CE803,_REF_Industry_Wording!$A$2:$A$70,0)),""))</f>
        <v>Identity / PAM</v>
      </c>
      <c r="CL803" t="str">
        <f t="shared" si="179"/>
        <v>Wording by industry=0; capability=CAP_IAM_PAM; risk label=Identity / PAM weakness</v>
      </c>
      <c r="CM803" t="str">
        <f t="shared" si="180"/>
        <v>RISK-ONT-0304</v>
      </c>
      <c r="CN803" t="str">
        <f t="shared" si="181"/>
        <v>RISK-EVT-0304</v>
      </c>
      <c r="CO803" t="str">
        <f t="shared" si="182"/>
        <v>IT Cloud DR|Resilience and DR|ITCL-013|CAP_IAM_PAM</v>
      </c>
      <c r="CP803" t="str">
        <f t="shared" si="183"/>
        <v>Active</v>
      </c>
      <c r="CQ803" t="str">
        <f t="shared" si="184"/>
        <v>OK: capability-driven</v>
      </c>
      <c r="CR803" t="str">
        <f t="shared" si="185"/>
        <v>Risk ontology uses capability=CAP_IAM_PAM; bridge=BRG-047; treatment=TRT-IAM_PAM-INITIAL; wording=IW-ALL-IAM_PAM</v>
      </c>
      <c r="CS803" t="str">
        <f t="shared" si="186"/>
        <v>Yes</v>
      </c>
    </row>
    <row r="804" spans="1:97" ht="69.900000000000006" customHeight="1">
      <c r="A804">
        <f>IF(OR($B804&lt;&gt;"Yes",$BS804=""),"",SUMPRODUCT(($B$500:$B$923="Yes")*ISNUMBER($BS$500:$BS$923)*($BS$500:$BS$923&gt;$BS804))+COUNTIFS($B$500:$B804,"Yes",$BS$500:$BS804,$BS804))</f>
        <v>191</v>
      </c>
      <c r="B804" t="str">
        <f t="shared" si="155"/>
        <v>Yes</v>
      </c>
      <c r="C804" t="s">
        <v>2588</v>
      </c>
      <c r="D804" t="s">
        <v>2609</v>
      </c>
      <c r="E804" t="s">
        <v>2651</v>
      </c>
      <c r="F804" t="s">
        <v>4333</v>
      </c>
      <c r="G804" t="str">
        <f>IF($H804="","",IFERROR(INDEX(_ENGINE_Risk!$H$5:$M$499,MATCH($E804,_ENGINE_Risk!$A$5:$A$499,0),$H804+1),""))</f>
        <v>Severe risk: regular restore testing against defined RTO and RPO is not reliably controlled. During IT outage; Cloud outage; Data loss; Cyberattack, the organization may face system outage, data unavailability, excessive RTO/RPO and inability to restore critical technology services with limited visibility or accountability.</v>
      </c>
      <c r="H804">
        <f>IFERROR(VALUE(INDEX(_DATA_Assessment_Model!$H$5:$H$884,MATCH($E804,_DATA_Assessment_Model!$A$5:$A$884,0))),"")</f>
        <v>0</v>
      </c>
      <c r="I804" t="str">
        <f>IF($H804="","",IFERROR(INDEX(_DATA_Assessment_Model!$L$5:$L$884,MATCH($E804,_DATA_Assessment_Model!$A$5:$A$884,0)),IF($H804&lt;=1,"Critical",IF($H804=2,"High",IF($H804=3,"Medium",IF($H804=4,"Low","Resilient"))))))</f>
        <v>Critical</v>
      </c>
      <c r="J804">
        <f t="shared" si="156"/>
        <v>3.6</v>
      </c>
      <c r="K804">
        <f t="shared" si="157"/>
        <v>4.6499999999999995</v>
      </c>
      <c r="L804">
        <f t="shared" si="158"/>
        <v>16.739999999999998</v>
      </c>
      <c r="M804">
        <f t="shared" si="159"/>
        <v>4</v>
      </c>
      <c r="N804">
        <f>IF($H804="","",IFERROR(INDEX(_ENGINE_Risk!$T$5:$Y$499,MATCH($E804,_ENGINE_Risk!$A$5:$A$499,0),$H804+1),""))</f>
        <v>4</v>
      </c>
      <c r="O804">
        <f t="shared" si="160"/>
        <v>5</v>
      </c>
      <c r="P804">
        <f t="shared" si="161"/>
        <v>5</v>
      </c>
      <c r="Q804">
        <f t="shared" si="162"/>
        <v>5</v>
      </c>
      <c r="R804">
        <f t="shared" si="163"/>
        <v>5</v>
      </c>
      <c r="S804">
        <f t="shared" si="164"/>
        <v>1.25</v>
      </c>
      <c r="T804" t="str">
        <f>IF($H804="","",IFERROR(INDEX(_ENGINE_Risk!$N$5:$S$499,MATCH($E804,_ENGINE_Risk!$A$5:$A$499,0),$H804+1),""))</f>
        <v>Create an immediate risk owner, minimum control baseline and fallback procedure for regular restore testing against defined RTO and RPO. Add it to the crisis risk register and collect first evidence.</v>
      </c>
      <c r="U804">
        <f>IFERROR(INDEX(_DATA_Assessment_Model!$G$5:$G$884,MATCH($E804,_DATA_Assessment_Model!$A$5:$A$884,0)),"")</f>
        <v>5</v>
      </c>
      <c r="V804">
        <f>IFERROR(INDEX(_DATA_Assessment_Model!$W$5:$W$884,MATCH($E804,_DATA_Assessment_Model!$A$5:$A$884,0)),"")</f>
        <v>5</v>
      </c>
      <c r="W804">
        <f>IFERROR(INDEX(_DATA_Assessment_Model!$X$5:$X$884,MATCH($E804,_DATA_Assessment_Model!$A$5:$A$884,0)),"")</f>
        <v>5</v>
      </c>
      <c r="X804">
        <f>IFERROR(INDEX(_DATA_Assessment_Model!$Y$5:$Y$884,MATCH($E804,_DATA_Assessment_Model!$A$5:$A$884,0)),"")</f>
        <v>5</v>
      </c>
      <c r="Y804" t="s">
        <v>2595</v>
      </c>
      <c r="Z804" t="s">
        <v>8744</v>
      </c>
      <c r="AA804" t="s">
        <v>2653</v>
      </c>
      <c r="AB804">
        <f>IFERROR(INDEX(_DATA_Assessment_Model!$U$5:$U$884,MATCH($E804,_DATA_Assessment_Model!$A$5:$A$884,0)),"")</f>
        <v>0</v>
      </c>
      <c r="AF804" t="s">
        <v>2652</v>
      </c>
      <c r="AO804">
        <f>IF($B804="Yes",IF(IFERROR(INDEX(_ENGINE_Crisis!$F$501:$F$517,MATCH($C804,_ENGINE_Crisis!$A$501:$A$517,0)),1)=0,1,IFERROR(INDEX(_ENGINE_Crisis!$F$501:$F$517,MATCH($C804,_ENGINE_Crisis!$A$501:$A$517,0)),1)),"")</f>
        <v>1</v>
      </c>
      <c r="AP804">
        <f t="shared" si="165"/>
        <v>16.7</v>
      </c>
      <c r="AQ804">
        <f t="shared" si="166"/>
        <v>1.25</v>
      </c>
      <c r="AR804" t="str">
        <f>IFERROR(INDEX(_ENGINE_Crisis!$E$41:$E$700,MATCH('Resilience &amp; Risk Scenario'!$B$6&amp;"|"&amp;$C804,_ENGINE_Crisis!$I$41:$I$700,0)),"")</f>
        <v/>
      </c>
      <c r="AS804" t="str">
        <f>IFERROR(INDEX(_ENGINE_Crisis!$G$41:$G$700,MATCH('Resilience &amp; Risk Scenario'!$B$6&amp;"|"&amp;$C804,_ENGINE_Crisis!$I$41:$I$700,0)),"")</f>
        <v/>
      </c>
      <c r="AT804" t="str">
        <f>IFERROR(INDEX(_ENGINE_Initiatives!$A$5:$A$532,MATCH(1,INDEX((_ENGINE_Initiatives!$B$5:$B$532=$C804)*(_ENGINE_Initiatives!$C$5:$C$532=$D804),0),0)),"")</f>
        <v>INI-050</v>
      </c>
      <c r="AU804" t="str">
        <f>IFERROR(INDEX(_ENGINE_Initiatives!$F$5:$F$532,MATCH(1,INDEX((_ENGINE_Initiatives!$B$5:$B$532=$C804)*(_ENGINE_Initiatives!$C$5:$C$532=$D804),0),0)),"")</f>
        <v>Implement disaster recovery, backup testing and RTO/RPO controls</v>
      </c>
      <c r="AV804">
        <f>IFERROR(INDEX(_ENGINE_Initiatives!$AC$5:$AC$532,MATCH(1,INDEX((_ENGINE_Initiatives!$B$5:$B$532=$C804)*(_ENGINE_Initiatives!$C$5:$C$532=$D804),0),0)),"")</f>
        <v>1.34</v>
      </c>
      <c r="AW804" t="str">
        <f>IFERROR(INDEX(_ENGINE_Initiatives!$AE$5:$AE$532,MATCH(1,INDEX((_ENGINE_Initiatives!$B$5:$B$532=$C804)*(_ENGINE_Initiatives!$C$5:$C$532=$D804),0),0)),"")</f>
        <v>12+ months</v>
      </c>
      <c r="AX804">
        <f>IF($B804="Yes",IFERROR((IF(SUMIFS(_REF_Model_Content!$E$1:$E$613,_REF_Model_Content!$A$1:$A$613,PV_Canonical_Industry,_REF_Model_Content!$B$1:$B$613,$C804)=0,1,SUMIFS(_REF_Model_Content!$E$1:$E$613,_REF_Model_Content!$A$1:$A$613,PV_Canonical_Industry,_REF_Model_Content!$B$1:$B$613,$C804))*IFERROR($BU804,1)),1),"")</f>
        <v>1</v>
      </c>
      <c r="AY804">
        <f t="shared" si="167"/>
        <v>16.7</v>
      </c>
      <c r="AZ804">
        <f t="shared" si="168"/>
        <v>1.25</v>
      </c>
      <c r="BB804" t="str">
        <f>IF($H804="","",IFERROR(INDEX(_ENGINE_Risk!$AE$5:$AE$499,MATCH($E804,_ENGINE_Risk!$A$5:$A$499,0)),"Medium"))</f>
        <v>Medium</v>
      </c>
      <c r="BC804">
        <f t="shared" si="169"/>
        <v>1</v>
      </c>
      <c r="BD804">
        <f t="shared" si="170"/>
        <v>1.25</v>
      </c>
      <c r="BF804">
        <f>IF(OR($H804="",$J804=""),"",IFERROR(VLOOKUP(ROUND($J804,0),_CONFIG_Model_Settings!$D$154:$E$158,2,0),""))</f>
        <v>0.5</v>
      </c>
      <c r="BG804">
        <f>IFERROR(IF(OR($H804="",$K804=""),"",ROUND('Company Profile'!$B$113*INDEX(_CONFIG_Model_Settings!$H$154:$H$158,MATCH(ROUND($K804,0),_CONFIG_Model_Settings!$G$154:$G$158,0)),0)),0)</f>
        <v>1875</v>
      </c>
      <c r="BH804">
        <f t="shared" si="171"/>
        <v>937.5</v>
      </c>
      <c r="BI804">
        <f t="shared" si="172"/>
        <v>937.5</v>
      </c>
      <c r="BJ804">
        <f>IF($E804="","",IFERROR(VLOOKUP($C804,_CONFIG_Risk_Calibration!$A$5:$H$21,2,FALSE),3))</f>
        <v>3</v>
      </c>
      <c r="BK804">
        <f>IF($E804="","",IFERROR(VLOOKUP($C804,_CONFIG_Risk_Calibration!$A$5:$H$21,3,FALSE),0))</f>
        <v>0</v>
      </c>
      <c r="BL804">
        <f>IF($E804="","",IFERROR(VLOOKUP($C804,_CONFIG_Risk_Calibration!$A$5:$H$21,4,FALSE),3))</f>
        <v>3</v>
      </c>
      <c r="BM804">
        <f>IF($E804="","",IFERROR(VLOOKUP($C804,_CONFIG_Risk_Calibration!$A$5:$H$21,5,FALSE),3))</f>
        <v>4</v>
      </c>
      <c r="BN804" t="str">
        <f>IF($E804="","",IFERROR(VLOOKUP($C804,_CONFIG_Risk_Calibration!$A$5:$H$21,6,FALSE),"No"))</f>
        <v>Yes</v>
      </c>
      <c r="BO804">
        <f>IF($E804="","",IFERROR(VLOOKUP($C804,_CONFIG_Risk_Calibration!$A$5:$H$21,7,FALSE),1))</f>
        <v>4</v>
      </c>
      <c r="BP804">
        <f>IF($H804="","",MAX(1,MIN(5,((6-$H804)*0.45)+($BJ804*0.2)+('Resilience &amp; Risk Scenario'!$B$7*0.15)+($BK804*0.1)+($BL804*0.05)+(IF($BB804="Fast",5,IF($BB804="Slow",1,3))*0.05))))</f>
        <v>3.6</v>
      </c>
      <c r="BQ804">
        <f t="shared" si="173"/>
        <v>4.6499999999999995</v>
      </c>
      <c r="BR804">
        <f t="shared" si="174"/>
        <v>16.739999999999998</v>
      </c>
      <c r="BS804">
        <f t="shared" si="175"/>
        <v>18.41</v>
      </c>
      <c r="BT804" t="str">
        <f>IFERROR(INDEX(_REF_Capability_Bridge!$D:$D,MATCH($C804&amp;"|"&amp;$D804,_REF_Capability_Bridge!$J:$J,0)),IFERROR(INDEX(_REF_Capability_Bridge!$D:$D,MATCH($C804&amp;"|",_REF_Capability_Bridge!$J:$J,0)),"CAP_GENERIC"))</f>
        <v>CAP_IAM_PAM</v>
      </c>
      <c r="BU804">
        <f>IFERROR(IFERROR(INDEX(_ENGINE_Relevance!$L:$L,MATCH($BT804,_ENGINE_Relevance!$B:$B,0)),1),1)</f>
        <v>1</v>
      </c>
      <c r="BV804" t="str">
        <f>IFERROR(INDEX(_REF_Capability_Bridge!$A:$A,MATCH($C804&amp;"|"&amp;$D804,_REF_Capability_Bridge!$J:$J,0)),IFERROR(INDEX(_REF_Capability_Bridge!$A:$A,MATCH($C804&amp;"|",_REF_Capability_Bridge!$J:$J,0)),"No bridge"))</f>
        <v>BRG-047</v>
      </c>
      <c r="BW804" t="str">
        <f t="shared" si="176"/>
        <v>Capability relevance neutral</v>
      </c>
      <c r="BX804" t="str">
        <f t="shared" si="177"/>
        <v>Initial / absent</v>
      </c>
      <c r="BY804" t="str">
        <f>IF($E804="","",IFERROR(INDEX(_REF_Treatment_Library!$A$2:$A$296,MATCH(1,INDEX((_REF_Treatment_Library!$B$2:$B$296=$BT804)*(_REF_Treatment_Library!$C$2:$C$296=PV_Canonical_Industry)*(_REF_Treatment_Library!$E$2:$E$296&lt;=N($H804))*(_REF_Treatment_Library!$F$2:$F$296&gt;=N($H804))*(_REF_Treatment_Library!$O$2:$O$296="Yes"),0),0)),IFERROR(INDEX(_REF_Treatment_Library!$A$2:$A$296,MATCH(1,INDEX((_REF_Treatment_Library!$B$2:$B$296=$BT804)*(_REF_Treatment_Library!$C$2:$C$296="All")*(_REF_Treatment_Library!$E$2:$E$296&lt;=N($H804))*(_REF_Treatment_Library!$F$2:$F$296&gt;=N($H804))*(_REF_Treatment_Library!$O$2:$O$296="Yes"),0),0)),"")))</f>
        <v>TRT-IAM_PAM-INITIAL</v>
      </c>
      <c r="BZ804" t="str">
        <f>IF($BY804="","",IFERROR(INDEX(_REF_Treatment_Library!$H$2:$H$296,MATCH($BY804,_REF_Treatment_Library!$A$2:$A$296,0)),""))</f>
        <v>Establish</v>
      </c>
      <c r="CA804" t="str">
        <f>IF($BY804="","",IFERROR(INDEX(_REF_Treatment_Library!$I$2:$I$296,MATCH($BY804,_REF_Treatment_Library!$A$2:$A$296,0)),""))</f>
        <v>Establish baseline controls for Identity / PAM</v>
      </c>
      <c r="CB804" t="str">
        <f>IF($BY804="","",IFERROR(INDEX(_REF_Treatment_Library!$K$2:$K$296,MATCH($BY804,_REF_Treatment_Library!$A$2:$A$296,0)),""))</f>
        <v>Named owner, baseline process, minimum control checklist, first evidence package</v>
      </c>
      <c r="CC804" t="str">
        <f>IF($BY804="","",IFERROR(INDEX(_REF_Treatment_Library!$L$2:$L$296,MATCH($BY804,_REF_Treatment_Library!$A$2:$A$296,0)),""))</f>
        <v>Owner assigned; baseline evidence coverage; open critical gaps</v>
      </c>
      <c r="CD804" t="str">
        <f t="shared" si="178"/>
        <v>Treatment by capability=CAP_IAM_PAM; band=Initial / absent; score=0.0; treatment=Establish</v>
      </c>
      <c r="CE804" t="str">
        <f>IF($E804="","",IFERROR(INDEX(_REF_Industry_Wording!$A$2:$A$70,MATCH(1,INDEX((_REF_Industry_Wording!$B$2:$B$70=$BT804)*(_REF_Industry_Wording!$C$2:$C$70=PV_Canonical_Industry)*(_REF_Industry_Wording!$K$2:$K$70="Yes"),0),0)),IFERROR(INDEX(_REF_Industry_Wording!$A$2:$A$70,MATCH(1,INDEX((_REF_Industry_Wording!$B$2:$B$70=$BT804)*(_REF_Industry_Wording!$C$2:$C$70="All")*(_REF_Industry_Wording!$K$2:$K$70="Yes"),0),0)),"")))</f>
        <v>IW-ALL-IAM_PAM</v>
      </c>
      <c r="CF804" t="str">
        <f>IF($CE804="","",IFERROR(INDEX(_REF_Industry_Wording!$E$2:$E$70,MATCH($CE804,_REF_Industry_Wording!$A$2:$A$70,0)),""))</f>
        <v>Identity / PAM weakness</v>
      </c>
      <c r="CG804" t="str">
        <f>IF($CE804="","",IFERROR(INDEX(_REF_Industry_Wording!$F$2:$F$70,MATCH($CE804,_REF_Industry_Wording!$A$2:$A$70,0)),""))</f>
        <v>Strengthen Identity / PAM</v>
      </c>
      <c r="CH804" t="str">
        <f>IF($CE804="","",IFERROR(INDEX(_REF_Industry_Wording!$G$2:$G$70,MATCH($CE804,_REF_Industry_Wording!$A$2:$A$70,0)),""))</f>
        <v>Strengthen Identity / PAM using the selected maturity treatment, crisis scenario and evidence requirements.</v>
      </c>
      <c r="CI804" t="str">
        <f>IF($CE804="","",IFERROR(INDEX(_REF_Industry_Wording!$H$2:$H$70,MATCH($CE804,_REF_Industry_Wording!$A$2:$A$70,0)),""))</f>
        <v>Identity / PAM</v>
      </c>
      <c r="CJ804">
        <f>IF($CE804="","",IFERROR(INDEX(_REF_Industry_Wording!$I$2:$I$70,MATCH($CE804,_REF_Industry_Wording!$A$2:$A$70,0)),""))</f>
        <v>0</v>
      </c>
      <c r="CK804" t="str">
        <f>IF($CE804="","",IFERROR(INDEX(_REF_Industry_Wording!$J$2:$J$70,MATCH($CE804,_REF_Industry_Wording!$A$2:$A$70,0)),""))</f>
        <v>Identity / PAM</v>
      </c>
      <c r="CL804" t="str">
        <f t="shared" si="179"/>
        <v>Wording by industry=0; capability=CAP_IAM_PAM; risk label=Identity / PAM weakness</v>
      </c>
      <c r="CM804" t="str">
        <f t="shared" si="180"/>
        <v>RISK-ONT-0305</v>
      </c>
      <c r="CN804" t="str">
        <f t="shared" si="181"/>
        <v>RISK-EVT-0305</v>
      </c>
      <c r="CO804" t="str">
        <f t="shared" si="182"/>
        <v>IT Cloud DR|Resilience and DR|ITCL-014|CAP_IAM_PAM</v>
      </c>
      <c r="CP804" t="str">
        <f t="shared" si="183"/>
        <v>Active</v>
      </c>
      <c r="CQ804" t="str">
        <f t="shared" si="184"/>
        <v>OK: capability-driven</v>
      </c>
      <c r="CR804" t="str">
        <f t="shared" si="185"/>
        <v>Risk ontology uses capability=CAP_IAM_PAM; bridge=BRG-047; treatment=TRT-IAM_PAM-INITIAL; wording=IW-ALL-IAM_PAM</v>
      </c>
      <c r="CS804" t="str">
        <f t="shared" si="186"/>
        <v>Yes</v>
      </c>
    </row>
    <row r="805" spans="1:97" ht="69.900000000000006" customHeight="1">
      <c r="A805">
        <f>IF(OR($B805&lt;&gt;"Yes",$BS805=""),"",SUMPRODUCT(($B$500:$B$923="Yes")*ISNUMBER($BS$500:$BS$923)*($BS$500:$BS$923&gt;$BS805))+COUNTIFS($B$500:$B805,"Yes",$BS$500:$BS805,$BS805))</f>
        <v>192</v>
      </c>
      <c r="B805" t="str">
        <f t="shared" si="155"/>
        <v>Yes</v>
      </c>
      <c r="C805" t="s">
        <v>2588</v>
      </c>
      <c r="D805" t="s">
        <v>2609</v>
      </c>
      <c r="E805" t="s">
        <v>2660</v>
      </c>
      <c r="F805" t="s">
        <v>4333</v>
      </c>
      <c r="G805" t="str">
        <f>IF($H805="","",IFERROR(INDEX(_ENGINE_Risk!$H$5:$M$499,MATCH($E805,_ENGINE_Risk!$A$5:$A$499,0),$H805+1),""))</f>
        <v>Severe risk: DR runbooks for critical systems with owners, dependencies and communication rules is not reliably controlled. During IT outage; Cloud outage; Data loss; Cyberattack, the organization may face system outage, data unavailability, excessive RTO/RPO and inability to restore critical technology services with limited visibility or accountability.</v>
      </c>
      <c r="H805">
        <f>IFERROR(VALUE(INDEX(_DATA_Assessment_Model!$H$5:$H$884,MATCH($E805,_DATA_Assessment_Model!$A$5:$A$884,0))),"")</f>
        <v>0</v>
      </c>
      <c r="I805" t="str">
        <f>IF($H805="","",IFERROR(INDEX(_DATA_Assessment_Model!$L$5:$L$884,MATCH($E805,_DATA_Assessment_Model!$A$5:$A$884,0)),IF($H805&lt;=1,"Critical",IF($H805=2,"High",IF($H805=3,"Medium",IF($H805=4,"Low","Resilient"))))))</f>
        <v>Critical</v>
      </c>
      <c r="J805">
        <f t="shared" si="156"/>
        <v>3.6</v>
      </c>
      <c r="K805">
        <f t="shared" si="157"/>
        <v>4.6499999999999995</v>
      </c>
      <c r="L805">
        <f t="shared" si="158"/>
        <v>16.739999999999998</v>
      </c>
      <c r="M805">
        <f t="shared" si="159"/>
        <v>4</v>
      </c>
      <c r="N805">
        <f>IF($H805="","",IFERROR(INDEX(_ENGINE_Risk!$T$5:$Y$499,MATCH($E805,_ENGINE_Risk!$A$5:$A$499,0),$H805+1),""))</f>
        <v>4</v>
      </c>
      <c r="O805">
        <f t="shared" si="160"/>
        <v>5</v>
      </c>
      <c r="P805">
        <f t="shared" si="161"/>
        <v>5</v>
      </c>
      <c r="Q805">
        <f t="shared" si="162"/>
        <v>5</v>
      </c>
      <c r="R805">
        <f t="shared" si="163"/>
        <v>5</v>
      </c>
      <c r="S805">
        <f t="shared" si="164"/>
        <v>1.25</v>
      </c>
      <c r="T805" t="str">
        <f>IF($H805="","",IFERROR(INDEX(_ENGINE_Risk!$N$5:$S$499,MATCH($E805,_ENGINE_Risk!$A$5:$A$499,0),$H805+1),""))</f>
        <v>Create an immediate risk owner, minimum control baseline and fallback procedure for DR runbooks for critical systems with owners, dependencies and communication rules. Add it to the crisis risk register and collect first evidence.</v>
      </c>
      <c r="U805">
        <f>IFERROR(INDEX(_DATA_Assessment_Model!$G$5:$G$884,MATCH($E805,_DATA_Assessment_Model!$A$5:$A$884,0)),"")</f>
        <v>5</v>
      </c>
      <c r="V805">
        <f>IFERROR(INDEX(_DATA_Assessment_Model!$W$5:$W$884,MATCH($E805,_DATA_Assessment_Model!$A$5:$A$884,0)),"")</f>
        <v>5</v>
      </c>
      <c r="W805">
        <f>IFERROR(INDEX(_DATA_Assessment_Model!$X$5:$X$884,MATCH($E805,_DATA_Assessment_Model!$A$5:$A$884,0)),"")</f>
        <v>5</v>
      </c>
      <c r="X805">
        <f>IFERROR(INDEX(_DATA_Assessment_Model!$Y$5:$Y$884,MATCH($E805,_DATA_Assessment_Model!$A$5:$A$884,0)),"")</f>
        <v>5</v>
      </c>
      <c r="Y805" t="s">
        <v>2595</v>
      </c>
      <c r="Z805" t="s">
        <v>8744</v>
      </c>
      <c r="AA805" t="s">
        <v>2662</v>
      </c>
      <c r="AB805">
        <f>IFERROR(INDEX(_DATA_Assessment_Model!$U$5:$U$884,MATCH($E805,_DATA_Assessment_Model!$A$5:$A$884,0)),"")</f>
        <v>0</v>
      </c>
      <c r="AF805" t="s">
        <v>2661</v>
      </c>
      <c r="AO805">
        <f>IF($B805="Yes",IF(IFERROR(INDEX(_ENGINE_Crisis!$F$501:$F$517,MATCH($C805,_ENGINE_Crisis!$A$501:$A$517,0)),1)=0,1,IFERROR(INDEX(_ENGINE_Crisis!$F$501:$F$517,MATCH($C805,_ENGINE_Crisis!$A$501:$A$517,0)),1)),"")</f>
        <v>1</v>
      </c>
      <c r="AP805">
        <f t="shared" si="165"/>
        <v>16.7</v>
      </c>
      <c r="AQ805">
        <f t="shared" si="166"/>
        <v>1.25</v>
      </c>
      <c r="AR805" t="str">
        <f>IFERROR(INDEX(_ENGINE_Crisis!$E$41:$E$700,MATCH('Resilience &amp; Risk Scenario'!$B$6&amp;"|"&amp;$C805,_ENGINE_Crisis!$I$41:$I$700,0)),"")</f>
        <v/>
      </c>
      <c r="AS805" t="str">
        <f>IFERROR(INDEX(_ENGINE_Crisis!$G$41:$G$700,MATCH('Resilience &amp; Risk Scenario'!$B$6&amp;"|"&amp;$C805,_ENGINE_Crisis!$I$41:$I$700,0)),"")</f>
        <v/>
      </c>
      <c r="AT805" t="str">
        <f>IFERROR(INDEX(_ENGINE_Initiatives!$A$5:$A$532,MATCH(1,INDEX((_ENGINE_Initiatives!$B$5:$B$532=$C805)*(_ENGINE_Initiatives!$C$5:$C$532=$D805),0),0)),"")</f>
        <v>INI-050</v>
      </c>
      <c r="AU805" t="str">
        <f>IFERROR(INDEX(_ENGINE_Initiatives!$F$5:$F$532,MATCH(1,INDEX((_ENGINE_Initiatives!$B$5:$B$532=$C805)*(_ENGINE_Initiatives!$C$5:$C$532=$D805),0),0)),"")</f>
        <v>Implement disaster recovery, backup testing and RTO/RPO controls</v>
      </c>
      <c r="AV805">
        <f>IFERROR(INDEX(_ENGINE_Initiatives!$AC$5:$AC$532,MATCH(1,INDEX((_ENGINE_Initiatives!$B$5:$B$532=$C805)*(_ENGINE_Initiatives!$C$5:$C$532=$D805),0),0)),"")</f>
        <v>1.34</v>
      </c>
      <c r="AW805" t="str">
        <f>IFERROR(INDEX(_ENGINE_Initiatives!$AE$5:$AE$532,MATCH(1,INDEX((_ENGINE_Initiatives!$B$5:$B$532=$C805)*(_ENGINE_Initiatives!$C$5:$C$532=$D805),0),0)),"")</f>
        <v>12+ months</v>
      </c>
      <c r="AX805">
        <f>IF($B805="Yes",IFERROR((IF(SUMIFS(_REF_Model_Content!$E$1:$E$613,_REF_Model_Content!$A$1:$A$613,PV_Canonical_Industry,_REF_Model_Content!$B$1:$B$613,$C805)=0,1,SUMIFS(_REF_Model_Content!$E$1:$E$613,_REF_Model_Content!$A$1:$A$613,PV_Canonical_Industry,_REF_Model_Content!$B$1:$B$613,$C805))*IFERROR($BU805,1)),1),"")</f>
        <v>1</v>
      </c>
      <c r="AY805">
        <f t="shared" si="167"/>
        <v>16.7</v>
      </c>
      <c r="AZ805">
        <f t="shared" si="168"/>
        <v>1.25</v>
      </c>
      <c r="BB805" t="str">
        <f>IF($H805="","",IFERROR(INDEX(_ENGINE_Risk!$AE$5:$AE$499,MATCH($E805,_ENGINE_Risk!$A$5:$A$499,0)),"Medium"))</f>
        <v>Medium</v>
      </c>
      <c r="BC805">
        <f t="shared" si="169"/>
        <v>1</v>
      </c>
      <c r="BD805">
        <f t="shared" si="170"/>
        <v>1.25</v>
      </c>
      <c r="BF805">
        <f>IF(OR($H805="",$J805=""),"",IFERROR(VLOOKUP(ROUND($J805,0),_CONFIG_Model_Settings!$D$154:$E$158,2,0),""))</f>
        <v>0.5</v>
      </c>
      <c r="BG805">
        <f>IFERROR(IF(OR($H805="",$K805=""),"",ROUND('Company Profile'!$B$113*INDEX(_CONFIG_Model_Settings!$H$154:$H$158,MATCH(ROUND($K805,0),_CONFIG_Model_Settings!$G$154:$G$158,0)),0)),0)</f>
        <v>1875</v>
      </c>
      <c r="BH805">
        <f t="shared" si="171"/>
        <v>937.5</v>
      </c>
      <c r="BI805">
        <f t="shared" si="172"/>
        <v>937.5</v>
      </c>
      <c r="BJ805">
        <f>IF($E805="","",IFERROR(VLOOKUP($C805,_CONFIG_Risk_Calibration!$A$5:$H$21,2,FALSE),3))</f>
        <v>3</v>
      </c>
      <c r="BK805">
        <f>IF($E805="","",IFERROR(VLOOKUP($C805,_CONFIG_Risk_Calibration!$A$5:$H$21,3,FALSE),0))</f>
        <v>0</v>
      </c>
      <c r="BL805">
        <f>IF($E805="","",IFERROR(VLOOKUP($C805,_CONFIG_Risk_Calibration!$A$5:$H$21,4,FALSE),3))</f>
        <v>3</v>
      </c>
      <c r="BM805">
        <f>IF($E805="","",IFERROR(VLOOKUP($C805,_CONFIG_Risk_Calibration!$A$5:$H$21,5,FALSE),3))</f>
        <v>4</v>
      </c>
      <c r="BN805" t="str">
        <f>IF($E805="","",IFERROR(VLOOKUP($C805,_CONFIG_Risk_Calibration!$A$5:$H$21,6,FALSE),"No"))</f>
        <v>Yes</v>
      </c>
      <c r="BO805">
        <f>IF($E805="","",IFERROR(VLOOKUP($C805,_CONFIG_Risk_Calibration!$A$5:$H$21,7,FALSE),1))</f>
        <v>4</v>
      </c>
      <c r="BP805">
        <f>IF($H805="","",MAX(1,MIN(5,((6-$H805)*0.45)+($BJ805*0.2)+('Resilience &amp; Risk Scenario'!$B$7*0.15)+($BK805*0.1)+($BL805*0.05)+(IF($BB805="Fast",5,IF($BB805="Slow",1,3))*0.05))))</f>
        <v>3.6</v>
      </c>
      <c r="BQ805">
        <f t="shared" si="173"/>
        <v>4.6499999999999995</v>
      </c>
      <c r="BR805">
        <f t="shared" si="174"/>
        <v>16.739999999999998</v>
      </c>
      <c r="BS805">
        <f t="shared" si="175"/>
        <v>18.41</v>
      </c>
      <c r="BT805" t="str">
        <f>IFERROR(INDEX(_REF_Capability_Bridge!$D:$D,MATCH($C805&amp;"|"&amp;$D805,_REF_Capability_Bridge!$J:$J,0)),IFERROR(INDEX(_REF_Capability_Bridge!$D:$D,MATCH($C805&amp;"|",_REF_Capability_Bridge!$J:$J,0)),"CAP_GENERIC"))</f>
        <v>CAP_IAM_PAM</v>
      </c>
      <c r="BU805">
        <f>IFERROR(IFERROR(INDEX(_ENGINE_Relevance!$L:$L,MATCH($BT805,_ENGINE_Relevance!$B:$B,0)),1),1)</f>
        <v>1</v>
      </c>
      <c r="BV805" t="str">
        <f>IFERROR(INDEX(_REF_Capability_Bridge!$A:$A,MATCH($C805&amp;"|"&amp;$D805,_REF_Capability_Bridge!$J:$J,0)),IFERROR(INDEX(_REF_Capability_Bridge!$A:$A,MATCH($C805&amp;"|",_REF_Capability_Bridge!$J:$J,0)),"No bridge"))</f>
        <v>BRG-047</v>
      </c>
      <c r="BW805" t="str">
        <f t="shared" si="176"/>
        <v>Capability relevance neutral</v>
      </c>
      <c r="BX805" t="str">
        <f t="shared" si="177"/>
        <v>Initial / absent</v>
      </c>
      <c r="BY805" t="str">
        <f>IF($E805="","",IFERROR(INDEX(_REF_Treatment_Library!$A$2:$A$296,MATCH(1,INDEX((_REF_Treatment_Library!$B$2:$B$296=$BT805)*(_REF_Treatment_Library!$C$2:$C$296=PV_Canonical_Industry)*(_REF_Treatment_Library!$E$2:$E$296&lt;=N($H805))*(_REF_Treatment_Library!$F$2:$F$296&gt;=N($H805))*(_REF_Treatment_Library!$O$2:$O$296="Yes"),0),0)),IFERROR(INDEX(_REF_Treatment_Library!$A$2:$A$296,MATCH(1,INDEX((_REF_Treatment_Library!$B$2:$B$296=$BT805)*(_REF_Treatment_Library!$C$2:$C$296="All")*(_REF_Treatment_Library!$E$2:$E$296&lt;=N($H805))*(_REF_Treatment_Library!$F$2:$F$296&gt;=N($H805))*(_REF_Treatment_Library!$O$2:$O$296="Yes"),0),0)),"")))</f>
        <v>TRT-IAM_PAM-INITIAL</v>
      </c>
      <c r="BZ805" t="str">
        <f>IF($BY805="","",IFERROR(INDEX(_REF_Treatment_Library!$H$2:$H$296,MATCH($BY805,_REF_Treatment_Library!$A$2:$A$296,0)),""))</f>
        <v>Establish</v>
      </c>
      <c r="CA805" t="str">
        <f>IF($BY805="","",IFERROR(INDEX(_REF_Treatment_Library!$I$2:$I$296,MATCH($BY805,_REF_Treatment_Library!$A$2:$A$296,0)),""))</f>
        <v>Establish baseline controls for Identity / PAM</v>
      </c>
      <c r="CB805" t="str">
        <f>IF($BY805="","",IFERROR(INDEX(_REF_Treatment_Library!$K$2:$K$296,MATCH($BY805,_REF_Treatment_Library!$A$2:$A$296,0)),""))</f>
        <v>Named owner, baseline process, minimum control checklist, first evidence package</v>
      </c>
      <c r="CC805" t="str">
        <f>IF($BY805="","",IFERROR(INDEX(_REF_Treatment_Library!$L$2:$L$296,MATCH($BY805,_REF_Treatment_Library!$A$2:$A$296,0)),""))</f>
        <v>Owner assigned; baseline evidence coverage; open critical gaps</v>
      </c>
      <c r="CD805" t="str">
        <f t="shared" si="178"/>
        <v>Treatment by capability=CAP_IAM_PAM; band=Initial / absent; score=0.0; treatment=Establish</v>
      </c>
      <c r="CE805" t="str">
        <f>IF($E805="","",IFERROR(INDEX(_REF_Industry_Wording!$A$2:$A$70,MATCH(1,INDEX((_REF_Industry_Wording!$B$2:$B$70=$BT805)*(_REF_Industry_Wording!$C$2:$C$70=PV_Canonical_Industry)*(_REF_Industry_Wording!$K$2:$K$70="Yes"),0),0)),IFERROR(INDEX(_REF_Industry_Wording!$A$2:$A$70,MATCH(1,INDEX((_REF_Industry_Wording!$B$2:$B$70=$BT805)*(_REF_Industry_Wording!$C$2:$C$70="All")*(_REF_Industry_Wording!$K$2:$K$70="Yes"),0),0)),"")))</f>
        <v>IW-ALL-IAM_PAM</v>
      </c>
      <c r="CF805" t="str">
        <f>IF($CE805="","",IFERROR(INDEX(_REF_Industry_Wording!$E$2:$E$70,MATCH($CE805,_REF_Industry_Wording!$A$2:$A$70,0)),""))</f>
        <v>Identity / PAM weakness</v>
      </c>
      <c r="CG805" t="str">
        <f>IF($CE805="","",IFERROR(INDEX(_REF_Industry_Wording!$F$2:$F$70,MATCH($CE805,_REF_Industry_Wording!$A$2:$A$70,0)),""))</f>
        <v>Strengthen Identity / PAM</v>
      </c>
      <c r="CH805" t="str">
        <f>IF($CE805="","",IFERROR(INDEX(_REF_Industry_Wording!$G$2:$G$70,MATCH($CE805,_REF_Industry_Wording!$A$2:$A$70,0)),""))</f>
        <v>Strengthen Identity / PAM using the selected maturity treatment, crisis scenario and evidence requirements.</v>
      </c>
      <c r="CI805" t="str">
        <f>IF($CE805="","",IFERROR(INDEX(_REF_Industry_Wording!$H$2:$H$70,MATCH($CE805,_REF_Industry_Wording!$A$2:$A$70,0)),""))</f>
        <v>Identity / PAM</v>
      </c>
      <c r="CJ805">
        <f>IF($CE805="","",IFERROR(INDEX(_REF_Industry_Wording!$I$2:$I$70,MATCH($CE805,_REF_Industry_Wording!$A$2:$A$70,0)),""))</f>
        <v>0</v>
      </c>
      <c r="CK805" t="str">
        <f>IF($CE805="","",IFERROR(INDEX(_REF_Industry_Wording!$J$2:$J$70,MATCH($CE805,_REF_Industry_Wording!$A$2:$A$70,0)),""))</f>
        <v>Identity / PAM</v>
      </c>
      <c r="CL805" t="str">
        <f t="shared" si="179"/>
        <v>Wording by industry=0; capability=CAP_IAM_PAM; risk label=Identity / PAM weakness</v>
      </c>
      <c r="CM805" t="str">
        <f t="shared" si="180"/>
        <v>RISK-ONT-0306</v>
      </c>
      <c r="CN805" t="str">
        <f t="shared" si="181"/>
        <v>RISK-EVT-0306</v>
      </c>
      <c r="CO805" t="str">
        <f t="shared" si="182"/>
        <v>IT Cloud DR|Resilience and DR|ITCL-015|CAP_IAM_PAM</v>
      </c>
      <c r="CP805" t="str">
        <f t="shared" si="183"/>
        <v>Active</v>
      </c>
      <c r="CQ805" t="str">
        <f t="shared" si="184"/>
        <v>OK: capability-driven</v>
      </c>
      <c r="CR805" t="str">
        <f t="shared" si="185"/>
        <v>Risk ontology uses capability=CAP_IAM_PAM; bridge=BRG-047; treatment=TRT-IAM_PAM-INITIAL; wording=IW-ALL-IAM_PAM</v>
      </c>
      <c r="CS805" t="str">
        <f t="shared" si="186"/>
        <v>Yes</v>
      </c>
    </row>
    <row r="806" spans="1:97" ht="69.900000000000006" customHeight="1">
      <c r="A806">
        <f>IF(OR($B806&lt;&gt;"Yes",$BS806=""),"",SUMPRODUCT(($B$500:$B$923="Yes")*ISNUMBER($BS$500:$BS$923)*($BS$500:$BS$923&gt;$BS806))+COUNTIFS($B$500:$B806,"Yes",$BS$500:$BS806,$BS806))</f>
        <v>193</v>
      </c>
      <c r="B806" t="str">
        <f t="shared" si="155"/>
        <v>Yes</v>
      </c>
      <c r="C806" t="s">
        <v>2588</v>
      </c>
      <c r="D806" t="s">
        <v>2609</v>
      </c>
      <c r="E806" t="s">
        <v>2663</v>
      </c>
      <c r="F806" t="s">
        <v>4333</v>
      </c>
      <c r="G806" t="str">
        <f>IF($H806="","",IFERROR(INDEX(_ENGINE_Risk!$H$5:$M$499,MATCH($E806,_ENGINE_Risk!$A$5:$A$499,0),$H806+1),""))</f>
        <v>Severe risk: DR exercises for ransomware, cloud region failure, identity outage and data corruption is not reliably controlled. During IT outage; Cloud outage; Data loss; Cyberattack, the organization may face system outage, data unavailability, excessive RTO/RPO and inability to restore critical technology services with limited visibility or accountability.</v>
      </c>
      <c r="H806">
        <f>IFERROR(VALUE(INDEX(_DATA_Assessment_Model!$H$5:$H$884,MATCH($E806,_DATA_Assessment_Model!$A$5:$A$884,0))),"")</f>
        <v>0</v>
      </c>
      <c r="I806" t="str">
        <f>IF($H806="","",IFERROR(INDEX(_DATA_Assessment_Model!$L$5:$L$884,MATCH($E806,_DATA_Assessment_Model!$A$5:$A$884,0)),IF($H806&lt;=1,"Critical",IF($H806=2,"High",IF($H806=3,"Medium",IF($H806=4,"Low","Resilient"))))))</f>
        <v>Critical</v>
      </c>
      <c r="J806">
        <f t="shared" si="156"/>
        <v>3.6</v>
      </c>
      <c r="K806">
        <f t="shared" si="157"/>
        <v>4.6499999999999995</v>
      </c>
      <c r="L806">
        <f t="shared" si="158"/>
        <v>16.739999999999998</v>
      </c>
      <c r="M806">
        <f t="shared" si="159"/>
        <v>4</v>
      </c>
      <c r="N806">
        <f>IF($H806="","",IFERROR(INDEX(_ENGINE_Risk!$T$5:$Y$499,MATCH($E806,_ENGINE_Risk!$A$5:$A$499,0),$H806+1),""))</f>
        <v>4</v>
      </c>
      <c r="O806">
        <f t="shared" si="160"/>
        <v>5</v>
      </c>
      <c r="P806">
        <f t="shared" si="161"/>
        <v>5</v>
      </c>
      <c r="Q806">
        <f t="shared" si="162"/>
        <v>5</v>
      </c>
      <c r="R806">
        <f t="shared" si="163"/>
        <v>5</v>
      </c>
      <c r="S806">
        <f t="shared" si="164"/>
        <v>1.25</v>
      </c>
      <c r="T806" t="str">
        <f>IF($H806="","",IFERROR(INDEX(_ENGINE_Risk!$N$5:$S$499,MATCH($E806,_ENGINE_Risk!$A$5:$A$499,0),$H806+1),""))</f>
        <v>Create an immediate risk owner, minimum control baseline and fallback procedure for DR exercises for ransomware, cloud region failure, identity outage and data corruption. Add it to the crisis risk register and collect first evidence.</v>
      </c>
      <c r="U806">
        <f>IFERROR(INDEX(_DATA_Assessment_Model!$G$5:$G$884,MATCH($E806,_DATA_Assessment_Model!$A$5:$A$884,0)),"")</f>
        <v>5</v>
      </c>
      <c r="V806">
        <f>IFERROR(INDEX(_DATA_Assessment_Model!$W$5:$W$884,MATCH($E806,_DATA_Assessment_Model!$A$5:$A$884,0)),"")</f>
        <v>5</v>
      </c>
      <c r="W806">
        <f>IFERROR(INDEX(_DATA_Assessment_Model!$X$5:$X$884,MATCH($E806,_DATA_Assessment_Model!$A$5:$A$884,0)),"")</f>
        <v>5</v>
      </c>
      <c r="X806">
        <f>IFERROR(INDEX(_DATA_Assessment_Model!$Y$5:$Y$884,MATCH($E806,_DATA_Assessment_Model!$A$5:$A$884,0)),"")</f>
        <v>5</v>
      </c>
      <c r="Y806" t="s">
        <v>2595</v>
      </c>
      <c r="Z806" t="s">
        <v>8744</v>
      </c>
      <c r="AA806" t="s">
        <v>2665</v>
      </c>
      <c r="AB806">
        <f>IFERROR(INDEX(_DATA_Assessment_Model!$U$5:$U$884,MATCH($E806,_DATA_Assessment_Model!$A$5:$A$884,0)),"")</f>
        <v>0</v>
      </c>
      <c r="AF806" t="s">
        <v>2664</v>
      </c>
      <c r="AO806">
        <f>IF($B806="Yes",IF(IFERROR(INDEX(_ENGINE_Crisis!$F$501:$F$517,MATCH($C806,_ENGINE_Crisis!$A$501:$A$517,0)),1)=0,1,IFERROR(INDEX(_ENGINE_Crisis!$F$501:$F$517,MATCH($C806,_ENGINE_Crisis!$A$501:$A$517,0)),1)),"")</f>
        <v>1</v>
      </c>
      <c r="AP806">
        <f t="shared" si="165"/>
        <v>16.7</v>
      </c>
      <c r="AQ806">
        <f t="shared" si="166"/>
        <v>1.25</v>
      </c>
      <c r="AR806" t="str">
        <f>IFERROR(INDEX(_ENGINE_Crisis!$E$41:$E$700,MATCH('Resilience &amp; Risk Scenario'!$B$6&amp;"|"&amp;$C806,_ENGINE_Crisis!$I$41:$I$700,0)),"")</f>
        <v/>
      </c>
      <c r="AS806" t="str">
        <f>IFERROR(INDEX(_ENGINE_Crisis!$G$41:$G$700,MATCH('Resilience &amp; Risk Scenario'!$B$6&amp;"|"&amp;$C806,_ENGINE_Crisis!$I$41:$I$700,0)),"")</f>
        <v/>
      </c>
      <c r="AT806" t="str">
        <f>IFERROR(INDEX(_ENGINE_Initiatives!$A$5:$A$532,MATCH(1,INDEX((_ENGINE_Initiatives!$B$5:$B$532=$C806)*(_ENGINE_Initiatives!$C$5:$C$532=$D806),0),0)),"")</f>
        <v>INI-050</v>
      </c>
      <c r="AU806" t="str">
        <f>IFERROR(INDEX(_ENGINE_Initiatives!$F$5:$F$532,MATCH(1,INDEX((_ENGINE_Initiatives!$B$5:$B$532=$C806)*(_ENGINE_Initiatives!$C$5:$C$532=$D806),0),0)),"")</f>
        <v>Implement disaster recovery, backup testing and RTO/RPO controls</v>
      </c>
      <c r="AV806">
        <f>IFERROR(INDEX(_ENGINE_Initiatives!$AC$5:$AC$532,MATCH(1,INDEX((_ENGINE_Initiatives!$B$5:$B$532=$C806)*(_ENGINE_Initiatives!$C$5:$C$532=$D806),0),0)),"")</f>
        <v>1.34</v>
      </c>
      <c r="AW806" t="str">
        <f>IFERROR(INDEX(_ENGINE_Initiatives!$AE$5:$AE$532,MATCH(1,INDEX((_ENGINE_Initiatives!$B$5:$B$532=$C806)*(_ENGINE_Initiatives!$C$5:$C$532=$D806),0),0)),"")</f>
        <v>12+ months</v>
      </c>
      <c r="AX806">
        <f>IF($B806="Yes",IFERROR((IF(SUMIFS(_REF_Model_Content!$E$1:$E$613,_REF_Model_Content!$A$1:$A$613,PV_Canonical_Industry,_REF_Model_Content!$B$1:$B$613,$C806)=0,1,SUMIFS(_REF_Model_Content!$E$1:$E$613,_REF_Model_Content!$A$1:$A$613,PV_Canonical_Industry,_REF_Model_Content!$B$1:$B$613,$C806))*IFERROR($BU806,1)),1),"")</f>
        <v>1</v>
      </c>
      <c r="AY806">
        <f t="shared" si="167"/>
        <v>16.7</v>
      </c>
      <c r="AZ806">
        <f t="shared" si="168"/>
        <v>1.25</v>
      </c>
      <c r="BB806" t="str">
        <f>IF($H806="","",IFERROR(INDEX(_ENGINE_Risk!$AE$5:$AE$499,MATCH($E806,_ENGINE_Risk!$A$5:$A$499,0)),"Medium"))</f>
        <v>Medium</v>
      </c>
      <c r="BC806">
        <f t="shared" si="169"/>
        <v>1</v>
      </c>
      <c r="BD806">
        <f t="shared" si="170"/>
        <v>1.25</v>
      </c>
      <c r="BF806">
        <f>IF(OR($H806="",$J806=""),"",IFERROR(VLOOKUP(ROUND($J806,0),_CONFIG_Model_Settings!$D$154:$E$158,2,0),""))</f>
        <v>0.5</v>
      </c>
      <c r="BG806">
        <f>IFERROR(IF(OR($H806="",$K806=""),"",ROUND('Company Profile'!$B$113*INDEX(_CONFIG_Model_Settings!$H$154:$H$158,MATCH(ROUND($K806,0),_CONFIG_Model_Settings!$G$154:$G$158,0)),0)),0)</f>
        <v>1875</v>
      </c>
      <c r="BH806">
        <f t="shared" si="171"/>
        <v>937.5</v>
      </c>
      <c r="BI806">
        <f t="shared" si="172"/>
        <v>937.5</v>
      </c>
      <c r="BJ806">
        <f>IF($E806="","",IFERROR(VLOOKUP($C806,_CONFIG_Risk_Calibration!$A$5:$H$21,2,FALSE),3))</f>
        <v>3</v>
      </c>
      <c r="BK806">
        <f>IF($E806="","",IFERROR(VLOOKUP($C806,_CONFIG_Risk_Calibration!$A$5:$H$21,3,FALSE),0))</f>
        <v>0</v>
      </c>
      <c r="BL806">
        <f>IF($E806="","",IFERROR(VLOOKUP($C806,_CONFIG_Risk_Calibration!$A$5:$H$21,4,FALSE),3))</f>
        <v>3</v>
      </c>
      <c r="BM806">
        <f>IF($E806="","",IFERROR(VLOOKUP($C806,_CONFIG_Risk_Calibration!$A$5:$H$21,5,FALSE),3))</f>
        <v>4</v>
      </c>
      <c r="BN806" t="str">
        <f>IF($E806="","",IFERROR(VLOOKUP($C806,_CONFIG_Risk_Calibration!$A$5:$H$21,6,FALSE),"No"))</f>
        <v>Yes</v>
      </c>
      <c r="BO806">
        <f>IF($E806="","",IFERROR(VLOOKUP($C806,_CONFIG_Risk_Calibration!$A$5:$H$21,7,FALSE),1))</f>
        <v>4</v>
      </c>
      <c r="BP806">
        <f>IF($H806="","",MAX(1,MIN(5,((6-$H806)*0.45)+($BJ806*0.2)+('Resilience &amp; Risk Scenario'!$B$7*0.15)+($BK806*0.1)+($BL806*0.05)+(IF($BB806="Fast",5,IF($BB806="Slow",1,3))*0.05))))</f>
        <v>3.6</v>
      </c>
      <c r="BQ806">
        <f t="shared" si="173"/>
        <v>4.6499999999999995</v>
      </c>
      <c r="BR806">
        <f t="shared" si="174"/>
        <v>16.739999999999998</v>
      </c>
      <c r="BS806">
        <f t="shared" si="175"/>
        <v>18.41</v>
      </c>
      <c r="BT806" t="str">
        <f>IFERROR(INDEX(_REF_Capability_Bridge!$D:$D,MATCH($C806&amp;"|"&amp;$D806,_REF_Capability_Bridge!$J:$J,0)),IFERROR(INDEX(_REF_Capability_Bridge!$D:$D,MATCH($C806&amp;"|",_REF_Capability_Bridge!$J:$J,0)),"CAP_GENERIC"))</f>
        <v>CAP_IAM_PAM</v>
      </c>
      <c r="BU806">
        <f>IFERROR(IFERROR(INDEX(_ENGINE_Relevance!$L:$L,MATCH($BT806,_ENGINE_Relevance!$B:$B,0)),1),1)</f>
        <v>1</v>
      </c>
      <c r="BV806" t="str">
        <f>IFERROR(INDEX(_REF_Capability_Bridge!$A:$A,MATCH($C806&amp;"|"&amp;$D806,_REF_Capability_Bridge!$J:$J,0)),IFERROR(INDEX(_REF_Capability_Bridge!$A:$A,MATCH($C806&amp;"|",_REF_Capability_Bridge!$J:$J,0)),"No bridge"))</f>
        <v>BRG-047</v>
      </c>
      <c r="BW806" t="str">
        <f t="shared" si="176"/>
        <v>Capability relevance neutral</v>
      </c>
      <c r="BX806" t="str">
        <f t="shared" si="177"/>
        <v>Initial / absent</v>
      </c>
      <c r="BY806" t="str">
        <f>IF($E806="","",IFERROR(INDEX(_REF_Treatment_Library!$A$2:$A$296,MATCH(1,INDEX((_REF_Treatment_Library!$B$2:$B$296=$BT806)*(_REF_Treatment_Library!$C$2:$C$296=PV_Canonical_Industry)*(_REF_Treatment_Library!$E$2:$E$296&lt;=N($H806))*(_REF_Treatment_Library!$F$2:$F$296&gt;=N($H806))*(_REF_Treatment_Library!$O$2:$O$296="Yes"),0),0)),IFERROR(INDEX(_REF_Treatment_Library!$A$2:$A$296,MATCH(1,INDEX((_REF_Treatment_Library!$B$2:$B$296=$BT806)*(_REF_Treatment_Library!$C$2:$C$296="All")*(_REF_Treatment_Library!$E$2:$E$296&lt;=N($H806))*(_REF_Treatment_Library!$F$2:$F$296&gt;=N($H806))*(_REF_Treatment_Library!$O$2:$O$296="Yes"),0),0)),"")))</f>
        <v>TRT-IAM_PAM-INITIAL</v>
      </c>
      <c r="BZ806" t="str">
        <f>IF($BY806="","",IFERROR(INDEX(_REF_Treatment_Library!$H$2:$H$296,MATCH($BY806,_REF_Treatment_Library!$A$2:$A$296,0)),""))</f>
        <v>Establish</v>
      </c>
      <c r="CA806" t="str">
        <f>IF($BY806="","",IFERROR(INDEX(_REF_Treatment_Library!$I$2:$I$296,MATCH($BY806,_REF_Treatment_Library!$A$2:$A$296,0)),""))</f>
        <v>Establish baseline controls for Identity / PAM</v>
      </c>
      <c r="CB806" t="str">
        <f>IF($BY806="","",IFERROR(INDEX(_REF_Treatment_Library!$K$2:$K$296,MATCH($BY806,_REF_Treatment_Library!$A$2:$A$296,0)),""))</f>
        <v>Named owner, baseline process, minimum control checklist, first evidence package</v>
      </c>
      <c r="CC806" t="str">
        <f>IF($BY806="","",IFERROR(INDEX(_REF_Treatment_Library!$L$2:$L$296,MATCH($BY806,_REF_Treatment_Library!$A$2:$A$296,0)),""))</f>
        <v>Owner assigned; baseline evidence coverage; open critical gaps</v>
      </c>
      <c r="CD806" t="str">
        <f t="shared" si="178"/>
        <v>Treatment by capability=CAP_IAM_PAM; band=Initial / absent; score=0.0; treatment=Establish</v>
      </c>
      <c r="CE806" t="str">
        <f>IF($E806="","",IFERROR(INDEX(_REF_Industry_Wording!$A$2:$A$70,MATCH(1,INDEX((_REF_Industry_Wording!$B$2:$B$70=$BT806)*(_REF_Industry_Wording!$C$2:$C$70=PV_Canonical_Industry)*(_REF_Industry_Wording!$K$2:$K$70="Yes"),0),0)),IFERROR(INDEX(_REF_Industry_Wording!$A$2:$A$70,MATCH(1,INDEX((_REF_Industry_Wording!$B$2:$B$70=$BT806)*(_REF_Industry_Wording!$C$2:$C$70="All")*(_REF_Industry_Wording!$K$2:$K$70="Yes"),0),0)),"")))</f>
        <v>IW-ALL-IAM_PAM</v>
      </c>
      <c r="CF806" t="str">
        <f>IF($CE806="","",IFERROR(INDEX(_REF_Industry_Wording!$E$2:$E$70,MATCH($CE806,_REF_Industry_Wording!$A$2:$A$70,0)),""))</f>
        <v>Identity / PAM weakness</v>
      </c>
      <c r="CG806" t="str">
        <f>IF($CE806="","",IFERROR(INDEX(_REF_Industry_Wording!$F$2:$F$70,MATCH($CE806,_REF_Industry_Wording!$A$2:$A$70,0)),""))</f>
        <v>Strengthen Identity / PAM</v>
      </c>
      <c r="CH806" t="str">
        <f>IF($CE806="","",IFERROR(INDEX(_REF_Industry_Wording!$G$2:$G$70,MATCH($CE806,_REF_Industry_Wording!$A$2:$A$70,0)),""))</f>
        <v>Strengthen Identity / PAM using the selected maturity treatment, crisis scenario and evidence requirements.</v>
      </c>
      <c r="CI806" t="str">
        <f>IF($CE806="","",IFERROR(INDEX(_REF_Industry_Wording!$H$2:$H$70,MATCH($CE806,_REF_Industry_Wording!$A$2:$A$70,0)),""))</f>
        <v>Identity / PAM</v>
      </c>
      <c r="CJ806">
        <f>IF($CE806="","",IFERROR(INDEX(_REF_Industry_Wording!$I$2:$I$70,MATCH($CE806,_REF_Industry_Wording!$A$2:$A$70,0)),""))</f>
        <v>0</v>
      </c>
      <c r="CK806" t="str">
        <f>IF($CE806="","",IFERROR(INDEX(_REF_Industry_Wording!$J$2:$J$70,MATCH($CE806,_REF_Industry_Wording!$A$2:$A$70,0)),""))</f>
        <v>Identity / PAM</v>
      </c>
      <c r="CL806" t="str">
        <f t="shared" si="179"/>
        <v>Wording by industry=0; capability=CAP_IAM_PAM; risk label=Identity / PAM weakness</v>
      </c>
      <c r="CM806" t="str">
        <f t="shared" si="180"/>
        <v>RISK-ONT-0307</v>
      </c>
      <c r="CN806" t="str">
        <f t="shared" si="181"/>
        <v>RISK-EVT-0307</v>
      </c>
      <c r="CO806" t="str">
        <f t="shared" si="182"/>
        <v>IT Cloud DR|Resilience and DR|ITCL-016|CAP_IAM_PAM</v>
      </c>
      <c r="CP806" t="str">
        <f t="shared" si="183"/>
        <v>Active</v>
      </c>
      <c r="CQ806" t="str">
        <f t="shared" si="184"/>
        <v>OK: capability-driven</v>
      </c>
      <c r="CR806" t="str">
        <f t="shared" si="185"/>
        <v>Risk ontology uses capability=CAP_IAM_PAM; bridge=BRG-047; treatment=TRT-IAM_PAM-INITIAL; wording=IW-ALL-IAM_PAM</v>
      </c>
      <c r="CS806" t="str">
        <f t="shared" si="186"/>
        <v>Yes</v>
      </c>
    </row>
    <row r="807" spans="1:97" ht="69.900000000000006" customHeight="1">
      <c r="A807">
        <f>IF(OR($B807&lt;&gt;"Yes",$BS807=""),"",SUMPRODUCT(($B$500:$B$923="Yes")*ISNUMBER($BS$500:$BS$923)*($BS$500:$BS$923&gt;$BS807))+COUNTIFS($B$500:$B807,"Yes",$BS$500:$BS807,$BS807))</f>
        <v>194</v>
      </c>
      <c r="B807" t="str">
        <f t="shared" si="155"/>
        <v>Yes</v>
      </c>
      <c r="C807" t="s">
        <v>2588</v>
      </c>
      <c r="D807" t="s">
        <v>2609</v>
      </c>
      <c r="E807" t="s">
        <v>2666</v>
      </c>
      <c r="F807" t="s">
        <v>4333</v>
      </c>
      <c r="G807" t="str">
        <f>IF($H807="","",IFERROR(INDEX(_ENGINE_Risk!$H$5:$M$499,MATCH($E807,_ENGINE_Risk!$A$5:$A$499,0),$H807+1),""))</f>
        <v>Severe risk: manual fallback for critical IT-dependent business processes is not reliably controlled. During IT outage; Cloud outage; Data loss; Cyberattack, the organization may face system outage, data unavailability, excessive RTO/RPO and inability to restore critical technology services with limited visibility or accountability.</v>
      </c>
      <c r="H807">
        <f>IFERROR(VALUE(INDEX(_DATA_Assessment_Model!$H$5:$H$884,MATCH($E807,_DATA_Assessment_Model!$A$5:$A$884,0))),"")</f>
        <v>0</v>
      </c>
      <c r="I807" t="str">
        <f>IF($H807="","",IFERROR(INDEX(_DATA_Assessment_Model!$L$5:$L$884,MATCH($E807,_DATA_Assessment_Model!$A$5:$A$884,0)),IF($H807&lt;=1,"Critical",IF($H807=2,"High",IF($H807=3,"Medium",IF($H807=4,"Low","Resilient"))))))</f>
        <v>Critical</v>
      </c>
      <c r="J807">
        <f t="shared" si="156"/>
        <v>3.6</v>
      </c>
      <c r="K807">
        <f t="shared" si="157"/>
        <v>4.6499999999999995</v>
      </c>
      <c r="L807">
        <f t="shared" si="158"/>
        <v>16.739999999999998</v>
      </c>
      <c r="M807">
        <f t="shared" si="159"/>
        <v>4</v>
      </c>
      <c r="N807">
        <f>IF($H807="","",IFERROR(INDEX(_ENGINE_Risk!$T$5:$Y$499,MATCH($E807,_ENGINE_Risk!$A$5:$A$499,0),$H807+1),""))</f>
        <v>4</v>
      </c>
      <c r="O807">
        <f t="shared" si="160"/>
        <v>5</v>
      </c>
      <c r="P807">
        <f t="shared" si="161"/>
        <v>5</v>
      </c>
      <c r="Q807">
        <f t="shared" si="162"/>
        <v>5</v>
      </c>
      <c r="R807">
        <f t="shared" si="163"/>
        <v>5</v>
      </c>
      <c r="S807">
        <f t="shared" si="164"/>
        <v>1.25</v>
      </c>
      <c r="T807" t="str">
        <f>IF($H807="","",IFERROR(INDEX(_ENGINE_Risk!$N$5:$S$499,MATCH($E807,_ENGINE_Risk!$A$5:$A$499,0),$H807+1),""))</f>
        <v>Create an immediate risk owner, minimum control baseline and fallback procedure for manual fallback for critical IT-dependent business processes. Add it to the crisis risk register and collect first evidence.</v>
      </c>
      <c r="U807">
        <f>IFERROR(INDEX(_DATA_Assessment_Model!$G$5:$G$884,MATCH($E807,_DATA_Assessment_Model!$A$5:$A$884,0)),"")</f>
        <v>5</v>
      </c>
      <c r="V807">
        <f>IFERROR(INDEX(_DATA_Assessment_Model!$W$5:$W$884,MATCH($E807,_DATA_Assessment_Model!$A$5:$A$884,0)),"")</f>
        <v>5</v>
      </c>
      <c r="W807">
        <f>IFERROR(INDEX(_DATA_Assessment_Model!$X$5:$X$884,MATCH($E807,_DATA_Assessment_Model!$A$5:$A$884,0)),"")</f>
        <v>5</v>
      </c>
      <c r="X807">
        <f>IFERROR(INDEX(_DATA_Assessment_Model!$Y$5:$Y$884,MATCH($E807,_DATA_Assessment_Model!$A$5:$A$884,0)),"")</f>
        <v>5</v>
      </c>
      <c r="Y807" t="s">
        <v>2595</v>
      </c>
      <c r="Z807" t="s">
        <v>8744</v>
      </c>
      <c r="AA807" t="s">
        <v>2668</v>
      </c>
      <c r="AB807">
        <f>IFERROR(INDEX(_DATA_Assessment_Model!$U$5:$U$884,MATCH($E807,_DATA_Assessment_Model!$A$5:$A$884,0)),"")</f>
        <v>0</v>
      </c>
      <c r="AF807" t="s">
        <v>2667</v>
      </c>
      <c r="AO807">
        <f>IF($B807="Yes",IF(IFERROR(INDEX(_ENGINE_Crisis!$F$501:$F$517,MATCH($C807,_ENGINE_Crisis!$A$501:$A$517,0)),1)=0,1,IFERROR(INDEX(_ENGINE_Crisis!$F$501:$F$517,MATCH($C807,_ENGINE_Crisis!$A$501:$A$517,0)),1)),"")</f>
        <v>1</v>
      </c>
      <c r="AP807">
        <f t="shared" si="165"/>
        <v>16.7</v>
      </c>
      <c r="AQ807">
        <f t="shared" si="166"/>
        <v>1.25</v>
      </c>
      <c r="AR807" t="str">
        <f>IFERROR(INDEX(_ENGINE_Crisis!$E$41:$E$700,MATCH('Resilience &amp; Risk Scenario'!$B$6&amp;"|"&amp;$C807,_ENGINE_Crisis!$I$41:$I$700,0)),"")</f>
        <v/>
      </c>
      <c r="AS807" t="str">
        <f>IFERROR(INDEX(_ENGINE_Crisis!$G$41:$G$700,MATCH('Resilience &amp; Risk Scenario'!$B$6&amp;"|"&amp;$C807,_ENGINE_Crisis!$I$41:$I$700,0)),"")</f>
        <v/>
      </c>
      <c r="AT807" t="str">
        <f>IFERROR(INDEX(_ENGINE_Initiatives!$A$5:$A$532,MATCH(1,INDEX((_ENGINE_Initiatives!$B$5:$B$532=$C807)*(_ENGINE_Initiatives!$C$5:$C$532=$D807),0),0)),"")</f>
        <v>INI-050</v>
      </c>
      <c r="AU807" t="str">
        <f>IFERROR(INDEX(_ENGINE_Initiatives!$F$5:$F$532,MATCH(1,INDEX((_ENGINE_Initiatives!$B$5:$B$532=$C807)*(_ENGINE_Initiatives!$C$5:$C$532=$D807),0),0)),"")</f>
        <v>Implement disaster recovery, backup testing and RTO/RPO controls</v>
      </c>
      <c r="AV807">
        <f>IFERROR(INDEX(_ENGINE_Initiatives!$AC$5:$AC$532,MATCH(1,INDEX((_ENGINE_Initiatives!$B$5:$B$532=$C807)*(_ENGINE_Initiatives!$C$5:$C$532=$D807),0),0)),"")</f>
        <v>1.34</v>
      </c>
      <c r="AW807" t="str">
        <f>IFERROR(INDEX(_ENGINE_Initiatives!$AE$5:$AE$532,MATCH(1,INDEX((_ENGINE_Initiatives!$B$5:$B$532=$C807)*(_ENGINE_Initiatives!$C$5:$C$532=$D807),0),0)),"")</f>
        <v>12+ months</v>
      </c>
      <c r="AX807">
        <f>IF($B807="Yes",IFERROR((IF(SUMIFS(_REF_Model_Content!$E$1:$E$613,_REF_Model_Content!$A$1:$A$613,PV_Canonical_Industry,_REF_Model_Content!$B$1:$B$613,$C807)=0,1,SUMIFS(_REF_Model_Content!$E$1:$E$613,_REF_Model_Content!$A$1:$A$613,PV_Canonical_Industry,_REF_Model_Content!$B$1:$B$613,$C807))*IFERROR($BU807,1)),1),"")</f>
        <v>1</v>
      </c>
      <c r="AY807">
        <f t="shared" si="167"/>
        <v>16.7</v>
      </c>
      <c r="AZ807">
        <f t="shared" si="168"/>
        <v>1.25</v>
      </c>
      <c r="BB807" t="str">
        <f>IF($H807="","",IFERROR(INDEX(_ENGINE_Risk!$AE$5:$AE$499,MATCH($E807,_ENGINE_Risk!$A$5:$A$499,0)),"Medium"))</f>
        <v>Medium</v>
      </c>
      <c r="BC807">
        <f t="shared" si="169"/>
        <v>1</v>
      </c>
      <c r="BD807">
        <f t="shared" si="170"/>
        <v>1.25</v>
      </c>
      <c r="BF807">
        <f>IF(OR($H807="",$J807=""),"",IFERROR(VLOOKUP(ROUND($J807,0),_CONFIG_Model_Settings!$D$154:$E$158,2,0),""))</f>
        <v>0.5</v>
      </c>
      <c r="BG807">
        <f>IFERROR(IF(OR($H807="",$K807=""),"",ROUND('Company Profile'!$B$113*INDEX(_CONFIG_Model_Settings!$H$154:$H$158,MATCH(ROUND($K807,0),_CONFIG_Model_Settings!$G$154:$G$158,0)),0)),0)</f>
        <v>1875</v>
      </c>
      <c r="BH807">
        <f t="shared" si="171"/>
        <v>937.5</v>
      </c>
      <c r="BI807">
        <f t="shared" si="172"/>
        <v>937.5</v>
      </c>
      <c r="BJ807">
        <f>IF($E807="","",IFERROR(VLOOKUP($C807,_CONFIG_Risk_Calibration!$A$5:$H$21,2,FALSE),3))</f>
        <v>3</v>
      </c>
      <c r="BK807">
        <f>IF($E807="","",IFERROR(VLOOKUP($C807,_CONFIG_Risk_Calibration!$A$5:$H$21,3,FALSE),0))</f>
        <v>0</v>
      </c>
      <c r="BL807">
        <f>IF($E807="","",IFERROR(VLOOKUP($C807,_CONFIG_Risk_Calibration!$A$5:$H$21,4,FALSE),3))</f>
        <v>3</v>
      </c>
      <c r="BM807">
        <f>IF($E807="","",IFERROR(VLOOKUP($C807,_CONFIG_Risk_Calibration!$A$5:$H$21,5,FALSE),3))</f>
        <v>4</v>
      </c>
      <c r="BN807" t="str">
        <f>IF($E807="","",IFERROR(VLOOKUP($C807,_CONFIG_Risk_Calibration!$A$5:$H$21,6,FALSE),"No"))</f>
        <v>Yes</v>
      </c>
      <c r="BO807">
        <f>IF($E807="","",IFERROR(VLOOKUP($C807,_CONFIG_Risk_Calibration!$A$5:$H$21,7,FALSE),1))</f>
        <v>4</v>
      </c>
      <c r="BP807">
        <f>IF($H807="","",MAX(1,MIN(5,((6-$H807)*0.45)+($BJ807*0.2)+('Resilience &amp; Risk Scenario'!$B$7*0.15)+($BK807*0.1)+($BL807*0.05)+(IF($BB807="Fast",5,IF($BB807="Slow",1,3))*0.05))))</f>
        <v>3.6</v>
      </c>
      <c r="BQ807">
        <f t="shared" si="173"/>
        <v>4.6499999999999995</v>
      </c>
      <c r="BR807">
        <f t="shared" si="174"/>
        <v>16.739999999999998</v>
      </c>
      <c r="BS807">
        <f t="shared" si="175"/>
        <v>18.41</v>
      </c>
      <c r="BT807" t="str">
        <f>IFERROR(INDEX(_REF_Capability_Bridge!$D:$D,MATCH($C807&amp;"|"&amp;$D807,_REF_Capability_Bridge!$J:$J,0)),IFERROR(INDEX(_REF_Capability_Bridge!$D:$D,MATCH($C807&amp;"|",_REF_Capability_Bridge!$J:$J,0)),"CAP_GENERIC"))</f>
        <v>CAP_IAM_PAM</v>
      </c>
      <c r="BU807">
        <f>IFERROR(IFERROR(INDEX(_ENGINE_Relevance!$L:$L,MATCH($BT807,_ENGINE_Relevance!$B:$B,0)),1),1)</f>
        <v>1</v>
      </c>
      <c r="BV807" t="str">
        <f>IFERROR(INDEX(_REF_Capability_Bridge!$A:$A,MATCH($C807&amp;"|"&amp;$D807,_REF_Capability_Bridge!$J:$J,0)),IFERROR(INDEX(_REF_Capability_Bridge!$A:$A,MATCH($C807&amp;"|",_REF_Capability_Bridge!$J:$J,0)),"No bridge"))</f>
        <v>BRG-047</v>
      </c>
      <c r="BW807" t="str">
        <f t="shared" si="176"/>
        <v>Capability relevance neutral</v>
      </c>
      <c r="BX807" t="str">
        <f t="shared" si="177"/>
        <v>Initial / absent</v>
      </c>
      <c r="BY807" t="str">
        <f>IF($E807="","",IFERROR(INDEX(_REF_Treatment_Library!$A$2:$A$296,MATCH(1,INDEX((_REF_Treatment_Library!$B$2:$B$296=$BT807)*(_REF_Treatment_Library!$C$2:$C$296=PV_Canonical_Industry)*(_REF_Treatment_Library!$E$2:$E$296&lt;=N($H807))*(_REF_Treatment_Library!$F$2:$F$296&gt;=N($H807))*(_REF_Treatment_Library!$O$2:$O$296="Yes"),0),0)),IFERROR(INDEX(_REF_Treatment_Library!$A$2:$A$296,MATCH(1,INDEX((_REF_Treatment_Library!$B$2:$B$296=$BT807)*(_REF_Treatment_Library!$C$2:$C$296="All")*(_REF_Treatment_Library!$E$2:$E$296&lt;=N($H807))*(_REF_Treatment_Library!$F$2:$F$296&gt;=N($H807))*(_REF_Treatment_Library!$O$2:$O$296="Yes"),0),0)),"")))</f>
        <v>TRT-IAM_PAM-INITIAL</v>
      </c>
      <c r="BZ807" t="str">
        <f>IF($BY807="","",IFERROR(INDEX(_REF_Treatment_Library!$H$2:$H$296,MATCH($BY807,_REF_Treatment_Library!$A$2:$A$296,0)),""))</f>
        <v>Establish</v>
      </c>
      <c r="CA807" t="str">
        <f>IF($BY807="","",IFERROR(INDEX(_REF_Treatment_Library!$I$2:$I$296,MATCH($BY807,_REF_Treatment_Library!$A$2:$A$296,0)),""))</f>
        <v>Establish baseline controls for Identity / PAM</v>
      </c>
      <c r="CB807" t="str">
        <f>IF($BY807="","",IFERROR(INDEX(_REF_Treatment_Library!$K$2:$K$296,MATCH($BY807,_REF_Treatment_Library!$A$2:$A$296,0)),""))</f>
        <v>Named owner, baseline process, minimum control checklist, first evidence package</v>
      </c>
      <c r="CC807" t="str">
        <f>IF($BY807="","",IFERROR(INDEX(_REF_Treatment_Library!$L$2:$L$296,MATCH($BY807,_REF_Treatment_Library!$A$2:$A$296,0)),""))</f>
        <v>Owner assigned; baseline evidence coverage; open critical gaps</v>
      </c>
      <c r="CD807" t="str">
        <f t="shared" si="178"/>
        <v>Treatment by capability=CAP_IAM_PAM; band=Initial / absent; score=0.0; treatment=Establish</v>
      </c>
      <c r="CE807" t="str">
        <f>IF($E807="","",IFERROR(INDEX(_REF_Industry_Wording!$A$2:$A$70,MATCH(1,INDEX((_REF_Industry_Wording!$B$2:$B$70=$BT807)*(_REF_Industry_Wording!$C$2:$C$70=PV_Canonical_Industry)*(_REF_Industry_Wording!$K$2:$K$70="Yes"),0),0)),IFERROR(INDEX(_REF_Industry_Wording!$A$2:$A$70,MATCH(1,INDEX((_REF_Industry_Wording!$B$2:$B$70=$BT807)*(_REF_Industry_Wording!$C$2:$C$70="All")*(_REF_Industry_Wording!$K$2:$K$70="Yes"),0),0)),"")))</f>
        <v>IW-ALL-IAM_PAM</v>
      </c>
      <c r="CF807" t="str">
        <f>IF($CE807="","",IFERROR(INDEX(_REF_Industry_Wording!$E$2:$E$70,MATCH($CE807,_REF_Industry_Wording!$A$2:$A$70,0)),""))</f>
        <v>Identity / PAM weakness</v>
      </c>
      <c r="CG807" t="str">
        <f>IF($CE807="","",IFERROR(INDEX(_REF_Industry_Wording!$F$2:$F$70,MATCH($CE807,_REF_Industry_Wording!$A$2:$A$70,0)),""))</f>
        <v>Strengthen Identity / PAM</v>
      </c>
      <c r="CH807" t="str">
        <f>IF($CE807="","",IFERROR(INDEX(_REF_Industry_Wording!$G$2:$G$70,MATCH($CE807,_REF_Industry_Wording!$A$2:$A$70,0)),""))</f>
        <v>Strengthen Identity / PAM using the selected maturity treatment, crisis scenario and evidence requirements.</v>
      </c>
      <c r="CI807" t="str">
        <f>IF($CE807="","",IFERROR(INDEX(_REF_Industry_Wording!$H$2:$H$70,MATCH($CE807,_REF_Industry_Wording!$A$2:$A$70,0)),""))</f>
        <v>Identity / PAM</v>
      </c>
      <c r="CJ807">
        <f>IF($CE807="","",IFERROR(INDEX(_REF_Industry_Wording!$I$2:$I$70,MATCH($CE807,_REF_Industry_Wording!$A$2:$A$70,0)),""))</f>
        <v>0</v>
      </c>
      <c r="CK807" t="str">
        <f>IF($CE807="","",IFERROR(INDEX(_REF_Industry_Wording!$J$2:$J$70,MATCH($CE807,_REF_Industry_Wording!$A$2:$A$70,0)),""))</f>
        <v>Identity / PAM</v>
      </c>
      <c r="CL807" t="str">
        <f t="shared" si="179"/>
        <v>Wording by industry=0; capability=CAP_IAM_PAM; risk label=Identity / PAM weakness</v>
      </c>
      <c r="CM807" t="str">
        <f t="shared" si="180"/>
        <v>RISK-ONT-0308</v>
      </c>
      <c r="CN807" t="str">
        <f t="shared" si="181"/>
        <v>RISK-EVT-0308</v>
      </c>
      <c r="CO807" t="str">
        <f t="shared" si="182"/>
        <v>IT Cloud DR|Resilience and DR|ITCL-017|CAP_IAM_PAM</v>
      </c>
      <c r="CP807" t="str">
        <f t="shared" si="183"/>
        <v>Active</v>
      </c>
      <c r="CQ807" t="str">
        <f t="shared" si="184"/>
        <v>OK: capability-driven</v>
      </c>
      <c r="CR807" t="str">
        <f t="shared" si="185"/>
        <v>Risk ontology uses capability=CAP_IAM_PAM; bridge=BRG-047; treatment=TRT-IAM_PAM-INITIAL; wording=IW-ALL-IAM_PAM</v>
      </c>
      <c r="CS807" t="str">
        <f t="shared" si="186"/>
        <v>Yes</v>
      </c>
    </row>
    <row r="808" spans="1:97" ht="69.900000000000006" customHeight="1">
      <c r="A808">
        <f>IF(OR($B808&lt;&gt;"Yes",$BS808=""),"",SUMPRODUCT(($B$500:$B$923="Yes")*ISNUMBER($BS$500:$BS$923)*($BS$500:$BS$923&gt;$BS808))+COUNTIFS($B$500:$B808,"Yes",$BS$500:$BS808,$BS808))</f>
        <v>195</v>
      </c>
      <c r="B808" t="str">
        <f t="shared" si="155"/>
        <v>Yes</v>
      </c>
      <c r="C808" t="s">
        <v>2588</v>
      </c>
      <c r="D808" t="s">
        <v>2609</v>
      </c>
      <c r="E808" t="s">
        <v>2669</v>
      </c>
      <c r="F808" t="s">
        <v>4333</v>
      </c>
      <c r="G808" t="str">
        <f>IF($H808="","",IFERROR(INDEX(_ENGINE_Risk!$H$5:$M$499,MATCH($E808,_ENGINE_Risk!$A$5:$A$499,0),$H808+1),""))</f>
        <v>Severe risk: on-call coverage, escalation and vendor support for critical systems is not reliably controlled. During IT outage; Cloud outage; Data loss; Cyberattack, the organization may face system outage, data unavailability, excessive RTO/RPO and inability to restore critical technology services with limited visibility or accountability.</v>
      </c>
      <c r="H808">
        <f>IFERROR(VALUE(INDEX(_DATA_Assessment_Model!$H$5:$H$884,MATCH($E808,_DATA_Assessment_Model!$A$5:$A$884,0))),"")</f>
        <v>0</v>
      </c>
      <c r="I808" t="str">
        <f>IF($H808="","",IFERROR(INDEX(_DATA_Assessment_Model!$L$5:$L$884,MATCH($E808,_DATA_Assessment_Model!$A$5:$A$884,0)),IF($H808&lt;=1,"Critical",IF($H808=2,"High",IF($H808=3,"Medium",IF($H808=4,"Low","Resilient"))))))</f>
        <v>Critical</v>
      </c>
      <c r="J808">
        <f t="shared" si="156"/>
        <v>3.6</v>
      </c>
      <c r="K808">
        <f t="shared" si="157"/>
        <v>4.6499999999999995</v>
      </c>
      <c r="L808">
        <f t="shared" si="158"/>
        <v>16.739999999999998</v>
      </c>
      <c r="M808">
        <f t="shared" si="159"/>
        <v>4</v>
      </c>
      <c r="N808">
        <f>IF($H808="","",IFERROR(INDEX(_ENGINE_Risk!$T$5:$Y$499,MATCH($E808,_ENGINE_Risk!$A$5:$A$499,0),$H808+1),""))</f>
        <v>4</v>
      </c>
      <c r="O808">
        <f t="shared" si="160"/>
        <v>5</v>
      </c>
      <c r="P808">
        <f t="shared" si="161"/>
        <v>5</v>
      </c>
      <c r="Q808">
        <f t="shared" si="162"/>
        <v>5</v>
      </c>
      <c r="R808">
        <f t="shared" si="163"/>
        <v>5</v>
      </c>
      <c r="S808">
        <f t="shared" si="164"/>
        <v>1.25</v>
      </c>
      <c r="T808" t="str">
        <f>IF($H808="","",IFERROR(INDEX(_ENGINE_Risk!$N$5:$S$499,MATCH($E808,_ENGINE_Risk!$A$5:$A$499,0),$H808+1),""))</f>
        <v>Create an immediate risk owner, minimum control baseline and fallback procedure for on-call coverage, escalation and vendor support for critical systems. Add it to the crisis risk register and collect first evidence.</v>
      </c>
      <c r="U808">
        <f>IFERROR(INDEX(_DATA_Assessment_Model!$G$5:$G$884,MATCH($E808,_DATA_Assessment_Model!$A$5:$A$884,0)),"")</f>
        <v>5</v>
      </c>
      <c r="V808">
        <f>IFERROR(INDEX(_DATA_Assessment_Model!$W$5:$W$884,MATCH($E808,_DATA_Assessment_Model!$A$5:$A$884,0)),"")</f>
        <v>5</v>
      </c>
      <c r="W808">
        <f>IFERROR(INDEX(_DATA_Assessment_Model!$X$5:$X$884,MATCH($E808,_DATA_Assessment_Model!$A$5:$A$884,0)),"")</f>
        <v>5</v>
      </c>
      <c r="X808">
        <f>IFERROR(INDEX(_DATA_Assessment_Model!$Y$5:$Y$884,MATCH($E808,_DATA_Assessment_Model!$A$5:$A$884,0)),"")</f>
        <v>5</v>
      </c>
      <c r="Y808" t="s">
        <v>2595</v>
      </c>
      <c r="Z808" t="s">
        <v>8744</v>
      </c>
      <c r="AA808" t="s">
        <v>2671</v>
      </c>
      <c r="AB808">
        <f>IFERROR(INDEX(_DATA_Assessment_Model!$U$5:$U$884,MATCH($E808,_DATA_Assessment_Model!$A$5:$A$884,0)),"")</f>
        <v>0</v>
      </c>
      <c r="AF808" t="s">
        <v>2670</v>
      </c>
      <c r="AO808">
        <f>IF($B808="Yes",IF(IFERROR(INDEX(_ENGINE_Crisis!$F$501:$F$517,MATCH($C808,_ENGINE_Crisis!$A$501:$A$517,0)),1)=0,1,IFERROR(INDEX(_ENGINE_Crisis!$F$501:$F$517,MATCH($C808,_ENGINE_Crisis!$A$501:$A$517,0)),1)),"")</f>
        <v>1</v>
      </c>
      <c r="AP808">
        <f t="shared" si="165"/>
        <v>16.7</v>
      </c>
      <c r="AQ808">
        <f t="shared" si="166"/>
        <v>1.25</v>
      </c>
      <c r="AR808" t="str">
        <f>IFERROR(INDEX(_ENGINE_Crisis!$E$41:$E$700,MATCH('Resilience &amp; Risk Scenario'!$B$6&amp;"|"&amp;$C808,_ENGINE_Crisis!$I$41:$I$700,0)),"")</f>
        <v/>
      </c>
      <c r="AS808" t="str">
        <f>IFERROR(INDEX(_ENGINE_Crisis!$G$41:$G$700,MATCH('Resilience &amp; Risk Scenario'!$B$6&amp;"|"&amp;$C808,_ENGINE_Crisis!$I$41:$I$700,0)),"")</f>
        <v/>
      </c>
      <c r="AT808" t="str">
        <f>IFERROR(INDEX(_ENGINE_Initiatives!$A$5:$A$532,MATCH(1,INDEX((_ENGINE_Initiatives!$B$5:$B$532=$C808)*(_ENGINE_Initiatives!$C$5:$C$532=$D808),0),0)),"")</f>
        <v>INI-050</v>
      </c>
      <c r="AU808" t="str">
        <f>IFERROR(INDEX(_ENGINE_Initiatives!$F$5:$F$532,MATCH(1,INDEX((_ENGINE_Initiatives!$B$5:$B$532=$C808)*(_ENGINE_Initiatives!$C$5:$C$532=$D808),0),0)),"")</f>
        <v>Implement disaster recovery, backup testing and RTO/RPO controls</v>
      </c>
      <c r="AV808">
        <f>IFERROR(INDEX(_ENGINE_Initiatives!$AC$5:$AC$532,MATCH(1,INDEX((_ENGINE_Initiatives!$B$5:$B$532=$C808)*(_ENGINE_Initiatives!$C$5:$C$532=$D808),0),0)),"")</f>
        <v>1.34</v>
      </c>
      <c r="AW808" t="str">
        <f>IFERROR(INDEX(_ENGINE_Initiatives!$AE$5:$AE$532,MATCH(1,INDEX((_ENGINE_Initiatives!$B$5:$B$532=$C808)*(_ENGINE_Initiatives!$C$5:$C$532=$D808),0),0)),"")</f>
        <v>12+ months</v>
      </c>
      <c r="AX808">
        <f>IF($B808="Yes",IFERROR((IF(SUMIFS(_REF_Model_Content!$E$1:$E$613,_REF_Model_Content!$A$1:$A$613,PV_Canonical_Industry,_REF_Model_Content!$B$1:$B$613,$C808)=0,1,SUMIFS(_REF_Model_Content!$E$1:$E$613,_REF_Model_Content!$A$1:$A$613,PV_Canonical_Industry,_REF_Model_Content!$B$1:$B$613,$C808))*IFERROR($BU808,1)),1),"")</f>
        <v>1</v>
      </c>
      <c r="AY808">
        <f t="shared" si="167"/>
        <v>16.7</v>
      </c>
      <c r="AZ808">
        <f t="shared" si="168"/>
        <v>1.25</v>
      </c>
      <c r="BB808" t="str">
        <f>IF($H808="","",IFERROR(INDEX(_ENGINE_Risk!$AE$5:$AE$499,MATCH($E808,_ENGINE_Risk!$A$5:$A$499,0)),"Medium"))</f>
        <v>Medium</v>
      </c>
      <c r="BC808">
        <f t="shared" si="169"/>
        <v>1</v>
      </c>
      <c r="BD808">
        <f t="shared" si="170"/>
        <v>1.25</v>
      </c>
      <c r="BF808">
        <f>IF(OR($H808="",$J808=""),"",IFERROR(VLOOKUP(ROUND($J808,0),_CONFIG_Model_Settings!$D$154:$E$158,2,0),""))</f>
        <v>0.5</v>
      </c>
      <c r="BG808">
        <f>IFERROR(IF(OR($H808="",$K808=""),"",ROUND('Company Profile'!$B$113*INDEX(_CONFIG_Model_Settings!$H$154:$H$158,MATCH(ROUND($K808,0),_CONFIG_Model_Settings!$G$154:$G$158,0)),0)),0)</f>
        <v>1875</v>
      </c>
      <c r="BH808">
        <f t="shared" si="171"/>
        <v>937.5</v>
      </c>
      <c r="BI808">
        <f t="shared" si="172"/>
        <v>937.5</v>
      </c>
      <c r="BJ808">
        <f>IF($E808="","",IFERROR(VLOOKUP($C808,_CONFIG_Risk_Calibration!$A$5:$H$21,2,FALSE),3))</f>
        <v>3</v>
      </c>
      <c r="BK808">
        <f>IF($E808="","",IFERROR(VLOOKUP($C808,_CONFIG_Risk_Calibration!$A$5:$H$21,3,FALSE),0))</f>
        <v>0</v>
      </c>
      <c r="BL808">
        <f>IF($E808="","",IFERROR(VLOOKUP($C808,_CONFIG_Risk_Calibration!$A$5:$H$21,4,FALSE),3))</f>
        <v>3</v>
      </c>
      <c r="BM808">
        <f>IF($E808="","",IFERROR(VLOOKUP($C808,_CONFIG_Risk_Calibration!$A$5:$H$21,5,FALSE),3))</f>
        <v>4</v>
      </c>
      <c r="BN808" t="str">
        <f>IF($E808="","",IFERROR(VLOOKUP($C808,_CONFIG_Risk_Calibration!$A$5:$H$21,6,FALSE),"No"))</f>
        <v>Yes</v>
      </c>
      <c r="BO808">
        <f>IF($E808="","",IFERROR(VLOOKUP($C808,_CONFIG_Risk_Calibration!$A$5:$H$21,7,FALSE),1))</f>
        <v>4</v>
      </c>
      <c r="BP808">
        <f>IF($H808="","",MAX(1,MIN(5,((6-$H808)*0.45)+($BJ808*0.2)+('Resilience &amp; Risk Scenario'!$B$7*0.15)+($BK808*0.1)+($BL808*0.05)+(IF($BB808="Fast",5,IF($BB808="Slow",1,3))*0.05))))</f>
        <v>3.6</v>
      </c>
      <c r="BQ808">
        <f t="shared" si="173"/>
        <v>4.6499999999999995</v>
      </c>
      <c r="BR808">
        <f t="shared" si="174"/>
        <v>16.739999999999998</v>
      </c>
      <c r="BS808">
        <f t="shared" si="175"/>
        <v>18.41</v>
      </c>
      <c r="BT808" t="str">
        <f>IFERROR(INDEX(_REF_Capability_Bridge!$D:$D,MATCH($C808&amp;"|"&amp;$D808,_REF_Capability_Bridge!$J:$J,0)),IFERROR(INDEX(_REF_Capability_Bridge!$D:$D,MATCH($C808&amp;"|",_REF_Capability_Bridge!$J:$J,0)),"CAP_GENERIC"))</f>
        <v>CAP_IAM_PAM</v>
      </c>
      <c r="BU808">
        <f>IFERROR(IFERROR(INDEX(_ENGINE_Relevance!$L:$L,MATCH($BT808,_ENGINE_Relevance!$B:$B,0)),1),1)</f>
        <v>1</v>
      </c>
      <c r="BV808" t="str">
        <f>IFERROR(INDEX(_REF_Capability_Bridge!$A:$A,MATCH($C808&amp;"|"&amp;$D808,_REF_Capability_Bridge!$J:$J,0)),IFERROR(INDEX(_REF_Capability_Bridge!$A:$A,MATCH($C808&amp;"|",_REF_Capability_Bridge!$J:$J,0)),"No bridge"))</f>
        <v>BRG-047</v>
      </c>
      <c r="BW808" t="str">
        <f t="shared" si="176"/>
        <v>Capability relevance neutral</v>
      </c>
      <c r="BX808" t="str">
        <f t="shared" si="177"/>
        <v>Initial / absent</v>
      </c>
      <c r="BY808" t="str">
        <f>IF($E808="","",IFERROR(INDEX(_REF_Treatment_Library!$A$2:$A$296,MATCH(1,INDEX((_REF_Treatment_Library!$B$2:$B$296=$BT808)*(_REF_Treatment_Library!$C$2:$C$296=PV_Canonical_Industry)*(_REF_Treatment_Library!$E$2:$E$296&lt;=N($H808))*(_REF_Treatment_Library!$F$2:$F$296&gt;=N($H808))*(_REF_Treatment_Library!$O$2:$O$296="Yes"),0),0)),IFERROR(INDEX(_REF_Treatment_Library!$A$2:$A$296,MATCH(1,INDEX((_REF_Treatment_Library!$B$2:$B$296=$BT808)*(_REF_Treatment_Library!$C$2:$C$296="All")*(_REF_Treatment_Library!$E$2:$E$296&lt;=N($H808))*(_REF_Treatment_Library!$F$2:$F$296&gt;=N($H808))*(_REF_Treatment_Library!$O$2:$O$296="Yes"),0),0)),"")))</f>
        <v>TRT-IAM_PAM-INITIAL</v>
      </c>
      <c r="BZ808" t="str">
        <f>IF($BY808="","",IFERROR(INDEX(_REF_Treatment_Library!$H$2:$H$296,MATCH($BY808,_REF_Treatment_Library!$A$2:$A$296,0)),""))</f>
        <v>Establish</v>
      </c>
      <c r="CA808" t="str">
        <f>IF($BY808="","",IFERROR(INDEX(_REF_Treatment_Library!$I$2:$I$296,MATCH($BY808,_REF_Treatment_Library!$A$2:$A$296,0)),""))</f>
        <v>Establish baseline controls for Identity / PAM</v>
      </c>
      <c r="CB808" t="str">
        <f>IF($BY808="","",IFERROR(INDEX(_REF_Treatment_Library!$K$2:$K$296,MATCH($BY808,_REF_Treatment_Library!$A$2:$A$296,0)),""))</f>
        <v>Named owner, baseline process, minimum control checklist, first evidence package</v>
      </c>
      <c r="CC808" t="str">
        <f>IF($BY808="","",IFERROR(INDEX(_REF_Treatment_Library!$L$2:$L$296,MATCH($BY808,_REF_Treatment_Library!$A$2:$A$296,0)),""))</f>
        <v>Owner assigned; baseline evidence coverage; open critical gaps</v>
      </c>
      <c r="CD808" t="str">
        <f t="shared" si="178"/>
        <v>Treatment by capability=CAP_IAM_PAM; band=Initial / absent; score=0.0; treatment=Establish</v>
      </c>
      <c r="CE808" t="str">
        <f>IF($E808="","",IFERROR(INDEX(_REF_Industry_Wording!$A$2:$A$70,MATCH(1,INDEX((_REF_Industry_Wording!$B$2:$B$70=$BT808)*(_REF_Industry_Wording!$C$2:$C$70=PV_Canonical_Industry)*(_REF_Industry_Wording!$K$2:$K$70="Yes"),0),0)),IFERROR(INDEX(_REF_Industry_Wording!$A$2:$A$70,MATCH(1,INDEX((_REF_Industry_Wording!$B$2:$B$70=$BT808)*(_REF_Industry_Wording!$C$2:$C$70="All")*(_REF_Industry_Wording!$K$2:$K$70="Yes"),0),0)),"")))</f>
        <v>IW-ALL-IAM_PAM</v>
      </c>
      <c r="CF808" t="str">
        <f>IF($CE808="","",IFERROR(INDEX(_REF_Industry_Wording!$E$2:$E$70,MATCH($CE808,_REF_Industry_Wording!$A$2:$A$70,0)),""))</f>
        <v>Identity / PAM weakness</v>
      </c>
      <c r="CG808" t="str">
        <f>IF($CE808="","",IFERROR(INDEX(_REF_Industry_Wording!$F$2:$F$70,MATCH($CE808,_REF_Industry_Wording!$A$2:$A$70,0)),""))</f>
        <v>Strengthen Identity / PAM</v>
      </c>
      <c r="CH808" t="str">
        <f>IF($CE808="","",IFERROR(INDEX(_REF_Industry_Wording!$G$2:$G$70,MATCH($CE808,_REF_Industry_Wording!$A$2:$A$70,0)),""))</f>
        <v>Strengthen Identity / PAM using the selected maturity treatment, crisis scenario and evidence requirements.</v>
      </c>
      <c r="CI808" t="str">
        <f>IF($CE808="","",IFERROR(INDEX(_REF_Industry_Wording!$H$2:$H$70,MATCH($CE808,_REF_Industry_Wording!$A$2:$A$70,0)),""))</f>
        <v>Identity / PAM</v>
      </c>
      <c r="CJ808">
        <f>IF($CE808="","",IFERROR(INDEX(_REF_Industry_Wording!$I$2:$I$70,MATCH($CE808,_REF_Industry_Wording!$A$2:$A$70,0)),""))</f>
        <v>0</v>
      </c>
      <c r="CK808" t="str">
        <f>IF($CE808="","",IFERROR(INDEX(_REF_Industry_Wording!$J$2:$J$70,MATCH($CE808,_REF_Industry_Wording!$A$2:$A$70,0)),""))</f>
        <v>Identity / PAM</v>
      </c>
      <c r="CL808" t="str">
        <f t="shared" si="179"/>
        <v>Wording by industry=0; capability=CAP_IAM_PAM; risk label=Identity / PAM weakness</v>
      </c>
      <c r="CM808" t="str">
        <f t="shared" si="180"/>
        <v>RISK-ONT-0309</v>
      </c>
      <c r="CN808" t="str">
        <f t="shared" si="181"/>
        <v>RISK-EVT-0309</v>
      </c>
      <c r="CO808" t="str">
        <f t="shared" si="182"/>
        <v>IT Cloud DR|Resilience and DR|ITCL-018|CAP_IAM_PAM</v>
      </c>
      <c r="CP808" t="str">
        <f t="shared" si="183"/>
        <v>Active</v>
      </c>
      <c r="CQ808" t="str">
        <f t="shared" si="184"/>
        <v>OK: capability-driven</v>
      </c>
      <c r="CR808" t="str">
        <f t="shared" si="185"/>
        <v>Risk ontology uses capability=CAP_IAM_PAM; bridge=BRG-047; treatment=TRT-IAM_PAM-INITIAL; wording=IW-ALL-IAM_PAM</v>
      </c>
      <c r="CS808" t="str">
        <f t="shared" si="186"/>
        <v>Yes</v>
      </c>
    </row>
    <row r="809" spans="1:97" ht="69.900000000000006" customHeight="1">
      <c r="A809">
        <f>IF(OR($B809&lt;&gt;"Yes",$BS809=""),"",SUMPRODUCT(($B$500:$B$923="Yes")*ISNUMBER($BS$500:$BS$923)*($BS$500:$BS$923&gt;$BS809))+COUNTIFS($B$500:$B809,"Yes",$BS$500:$BS809,$BS809))</f>
        <v>196</v>
      </c>
      <c r="B809" t="str">
        <f t="shared" si="155"/>
        <v>Yes</v>
      </c>
      <c r="C809" t="s">
        <v>2588</v>
      </c>
      <c r="D809" t="s">
        <v>2613</v>
      </c>
      <c r="E809" t="s">
        <v>2672</v>
      </c>
      <c r="F809" t="s">
        <v>4333</v>
      </c>
      <c r="G809" t="str">
        <f>IF($H809="","",IFERROR(INDEX(_ENGINE_Risk!$H$5:$M$499,MATCH($E809,_ENGINE_Risk!$A$5:$A$499,0),$H809+1),""))</f>
        <v>Severe risk: IT service management for incidents, requests, problems, changes and assets is not reliably controlled. During IT outage; Cloud outage; Data loss; Cyberattack, the organization may face system outage, data unavailability, excessive RTO/RPO and inability to restore critical technology services with limited visibility or accountability.</v>
      </c>
      <c r="H809">
        <f>IFERROR(VALUE(INDEX(_DATA_Assessment_Model!$H$5:$H$884,MATCH($E809,_DATA_Assessment_Model!$A$5:$A$884,0))),"")</f>
        <v>0</v>
      </c>
      <c r="I809" t="str">
        <f>IF($H809="","",IFERROR(INDEX(_DATA_Assessment_Model!$L$5:$L$884,MATCH($E809,_DATA_Assessment_Model!$A$5:$A$884,0)),IF($H809&lt;=1,"Critical",IF($H809=2,"High",IF($H809=3,"Medium",IF($H809=4,"Low","Resilient"))))))</f>
        <v>Critical</v>
      </c>
      <c r="J809">
        <f t="shared" si="156"/>
        <v>3.6</v>
      </c>
      <c r="K809">
        <f t="shared" si="157"/>
        <v>4.6499999999999995</v>
      </c>
      <c r="L809">
        <f t="shared" si="158"/>
        <v>16.739999999999998</v>
      </c>
      <c r="M809">
        <f t="shared" si="159"/>
        <v>4</v>
      </c>
      <c r="N809">
        <f>IF($H809="","",IFERROR(INDEX(_ENGINE_Risk!$T$5:$Y$499,MATCH($E809,_ENGINE_Risk!$A$5:$A$499,0),$H809+1),""))</f>
        <v>4</v>
      </c>
      <c r="O809">
        <f t="shared" si="160"/>
        <v>5</v>
      </c>
      <c r="P809">
        <f t="shared" si="161"/>
        <v>5</v>
      </c>
      <c r="Q809">
        <f t="shared" si="162"/>
        <v>5</v>
      </c>
      <c r="R809">
        <f t="shared" si="163"/>
        <v>5</v>
      </c>
      <c r="S809">
        <f t="shared" si="164"/>
        <v>1.25</v>
      </c>
      <c r="T809" t="str">
        <f>IF($H809="","",IFERROR(INDEX(_ENGINE_Risk!$N$5:$S$499,MATCH($E809,_ENGINE_Risk!$A$5:$A$499,0),$H809+1),""))</f>
        <v>Create an immediate risk owner, minimum control baseline and fallback procedure for IT service management for incidents, requests, problems, changes and assets. Add it to the crisis risk register and collect first evidence.</v>
      </c>
      <c r="U809">
        <f>IFERROR(INDEX(_DATA_Assessment_Model!$G$5:$G$884,MATCH($E809,_DATA_Assessment_Model!$A$5:$A$884,0)),"")</f>
        <v>5</v>
      </c>
      <c r="V809">
        <f>IFERROR(INDEX(_DATA_Assessment_Model!$W$5:$W$884,MATCH($E809,_DATA_Assessment_Model!$A$5:$A$884,0)),"")</f>
        <v>5</v>
      </c>
      <c r="W809">
        <f>IFERROR(INDEX(_DATA_Assessment_Model!$X$5:$X$884,MATCH($E809,_DATA_Assessment_Model!$A$5:$A$884,0)),"")</f>
        <v>5</v>
      </c>
      <c r="X809">
        <f>IFERROR(INDEX(_DATA_Assessment_Model!$Y$5:$Y$884,MATCH($E809,_DATA_Assessment_Model!$A$5:$A$884,0)),"")</f>
        <v>5</v>
      </c>
      <c r="Y809" t="s">
        <v>2595</v>
      </c>
      <c r="Z809" t="s">
        <v>8744</v>
      </c>
      <c r="AA809" t="s">
        <v>2674</v>
      </c>
      <c r="AB809">
        <f>IFERROR(INDEX(_DATA_Assessment_Model!$U$5:$U$884,MATCH($E809,_DATA_Assessment_Model!$A$5:$A$884,0)),"")</f>
        <v>0</v>
      </c>
      <c r="AF809" t="s">
        <v>2673</v>
      </c>
      <c r="AO809">
        <f>IF($B809="Yes",IF(IFERROR(INDEX(_ENGINE_Crisis!$F$501:$F$517,MATCH($C809,_ENGINE_Crisis!$A$501:$A$517,0)),1)=0,1,IFERROR(INDEX(_ENGINE_Crisis!$F$501:$F$517,MATCH($C809,_ENGINE_Crisis!$A$501:$A$517,0)),1)),"")</f>
        <v>1</v>
      </c>
      <c r="AP809">
        <f t="shared" si="165"/>
        <v>16.7</v>
      </c>
      <c r="AQ809">
        <f t="shared" si="166"/>
        <v>1.25</v>
      </c>
      <c r="AR809" t="str">
        <f>IFERROR(INDEX(_ENGINE_Crisis!$E$41:$E$700,MATCH('Resilience &amp; Risk Scenario'!$B$6&amp;"|"&amp;$C809,_ENGINE_Crisis!$I$41:$I$700,0)),"")</f>
        <v/>
      </c>
      <c r="AS809" t="str">
        <f>IFERROR(INDEX(_ENGINE_Crisis!$G$41:$G$700,MATCH('Resilience &amp; Risk Scenario'!$B$6&amp;"|"&amp;$C809,_ENGINE_Crisis!$I$41:$I$700,0)),"")</f>
        <v/>
      </c>
      <c r="AT809" t="str">
        <f>IFERROR(INDEX(_ENGINE_Initiatives!$A$5:$A$532,MATCH(1,INDEX((_ENGINE_Initiatives!$B$5:$B$532=$C809)*(_ENGINE_Initiatives!$C$5:$C$532=$D809),0),0)),"")</f>
        <v>INI-051</v>
      </c>
      <c r="AU809" t="str">
        <f>IFERROR(INDEX(_ENGINE_Initiatives!$F$5:$F$532,MATCH(1,INDEX((_ENGINE_Initiatives!$B$5:$B$532=$C809)*(_ENGINE_Initiatives!$C$5:$C$532=$D809),0),0)),"")</f>
        <v>Strengthen IT operations, monitoring, incident and change management</v>
      </c>
      <c r="AV809">
        <f>IFERROR(INDEX(_ENGINE_Initiatives!$AC$5:$AC$532,MATCH(1,INDEX((_ENGINE_Initiatives!$B$5:$B$532=$C809)*(_ENGINE_Initiatives!$C$5:$C$532=$D809),0),0)),"")</f>
        <v>1.34</v>
      </c>
      <c r="AW809" t="str">
        <f>IFERROR(INDEX(_ENGINE_Initiatives!$AE$5:$AE$532,MATCH(1,INDEX((_ENGINE_Initiatives!$B$5:$B$532=$C809)*(_ENGINE_Initiatives!$C$5:$C$532=$D809),0),0)),"")</f>
        <v>12+ months</v>
      </c>
      <c r="AX809">
        <f>IF($B809="Yes",IFERROR((IF(SUMIFS(_REF_Model_Content!$E$1:$E$613,_REF_Model_Content!$A$1:$A$613,PV_Canonical_Industry,_REF_Model_Content!$B$1:$B$613,$C809)=0,1,SUMIFS(_REF_Model_Content!$E$1:$E$613,_REF_Model_Content!$A$1:$A$613,PV_Canonical_Industry,_REF_Model_Content!$B$1:$B$613,$C809))*IFERROR($BU809,1)),1),"")</f>
        <v>1</v>
      </c>
      <c r="AY809">
        <f t="shared" si="167"/>
        <v>16.7</v>
      </c>
      <c r="AZ809">
        <f t="shared" si="168"/>
        <v>1.25</v>
      </c>
      <c r="BB809" t="str">
        <f>IF($H809="","",IFERROR(INDEX(_ENGINE_Risk!$AE$5:$AE$499,MATCH($E809,_ENGINE_Risk!$A$5:$A$499,0)),"Medium"))</f>
        <v>Medium</v>
      </c>
      <c r="BC809">
        <f t="shared" si="169"/>
        <v>1</v>
      </c>
      <c r="BD809">
        <f t="shared" si="170"/>
        <v>1.25</v>
      </c>
      <c r="BF809">
        <f>IF(OR($H809="",$J809=""),"",IFERROR(VLOOKUP(ROUND($J809,0),_CONFIG_Model_Settings!$D$154:$E$158,2,0),""))</f>
        <v>0.5</v>
      </c>
      <c r="BG809">
        <f>IFERROR(IF(OR($H809="",$K809=""),"",ROUND('Company Profile'!$B$113*INDEX(_CONFIG_Model_Settings!$H$154:$H$158,MATCH(ROUND($K809,0),_CONFIG_Model_Settings!$G$154:$G$158,0)),0)),0)</f>
        <v>1875</v>
      </c>
      <c r="BH809">
        <f t="shared" si="171"/>
        <v>937.5</v>
      </c>
      <c r="BI809">
        <f t="shared" si="172"/>
        <v>937.5</v>
      </c>
      <c r="BJ809">
        <f>IF($E809="","",IFERROR(VLOOKUP($C809,_CONFIG_Risk_Calibration!$A$5:$H$21,2,FALSE),3))</f>
        <v>3</v>
      </c>
      <c r="BK809">
        <f>IF($E809="","",IFERROR(VLOOKUP($C809,_CONFIG_Risk_Calibration!$A$5:$H$21,3,FALSE),0))</f>
        <v>0</v>
      </c>
      <c r="BL809">
        <f>IF($E809="","",IFERROR(VLOOKUP($C809,_CONFIG_Risk_Calibration!$A$5:$H$21,4,FALSE),3))</f>
        <v>3</v>
      </c>
      <c r="BM809">
        <f>IF($E809="","",IFERROR(VLOOKUP($C809,_CONFIG_Risk_Calibration!$A$5:$H$21,5,FALSE),3))</f>
        <v>4</v>
      </c>
      <c r="BN809" t="str">
        <f>IF($E809="","",IFERROR(VLOOKUP($C809,_CONFIG_Risk_Calibration!$A$5:$H$21,6,FALSE),"No"))</f>
        <v>Yes</v>
      </c>
      <c r="BO809">
        <f>IF($E809="","",IFERROR(VLOOKUP($C809,_CONFIG_Risk_Calibration!$A$5:$H$21,7,FALSE),1))</f>
        <v>4</v>
      </c>
      <c r="BP809">
        <f>IF($H809="","",MAX(1,MIN(5,((6-$H809)*0.45)+($BJ809*0.2)+('Resilience &amp; Risk Scenario'!$B$7*0.15)+($BK809*0.1)+($BL809*0.05)+(IF($BB809="Fast",5,IF($BB809="Slow",1,3))*0.05))))</f>
        <v>3.6</v>
      </c>
      <c r="BQ809">
        <f t="shared" si="173"/>
        <v>4.6499999999999995</v>
      </c>
      <c r="BR809">
        <f t="shared" si="174"/>
        <v>16.739999999999998</v>
      </c>
      <c r="BS809">
        <f t="shared" si="175"/>
        <v>18.41</v>
      </c>
      <c r="BT809" t="str">
        <f>IFERROR(INDEX(_REF_Capability_Bridge!$D:$D,MATCH($C809&amp;"|"&amp;$D809,_REF_Capability_Bridge!$J:$J,0)),IFERROR(INDEX(_REF_Capability_Bridge!$D:$D,MATCH($C809&amp;"|",_REF_Capability_Bridge!$J:$J,0)),"CAP_GENERIC"))</f>
        <v>CAP_BACKUP_RECOVERY</v>
      </c>
      <c r="BU809">
        <f>IFERROR(IFERROR(INDEX(_ENGINE_Relevance!$L:$L,MATCH($BT809,_ENGINE_Relevance!$B:$B,0)),1),1)</f>
        <v>1</v>
      </c>
      <c r="BV809" t="str">
        <f>IFERROR(INDEX(_REF_Capability_Bridge!$A:$A,MATCH($C809&amp;"|"&amp;$D809,_REF_Capability_Bridge!$J:$J,0)),IFERROR(INDEX(_REF_Capability_Bridge!$A:$A,MATCH($C809&amp;"|",_REF_Capability_Bridge!$J:$J,0)),"No bridge"))</f>
        <v>BRG-046</v>
      </c>
      <c r="BW809" t="str">
        <f t="shared" si="176"/>
        <v>Capability relevance neutral</v>
      </c>
      <c r="BX809" t="str">
        <f t="shared" si="177"/>
        <v>Initial / absent</v>
      </c>
      <c r="BY809" t="str">
        <f>IF($E809="","",IFERROR(INDEX(_REF_Treatment_Library!$A$2:$A$296,MATCH(1,INDEX((_REF_Treatment_Library!$B$2:$B$296=$BT809)*(_REF_Treatment_Library!$C$2:$C$296=PV_Canonical_Industry)*(_REF_Treatment_Library!$E$2:$E$296&lt;=N($H809))*(_REF_Treatment_Library!$F$2:$F$296&gt;=N($H809))*(_REF_Treatment_Library!$O$2:$O$296="Yes"),0),0)),IFERROR(INDEX(_REF_Treatment_Library!$A$2:$A$296,MATCH(1,INDEX((_REF_Treatment_Library!$B$2:$B$296=$BT809)*(_REF_Treatment_Library!$C$2:$C$296="All")*(_REF_Treatment_Library!$E$2:$E$296&lt;=N($H809))*(_REF_Treatment_Library!$F$2:$F$296&gt;=N($H809))*(_REF_Treatment_Library!$O$2:$O$296="Yes"),0),0)),"")))</f>
        <v>TRT-BACKUP_RECOVERY-INITIAL</v>
      </c>
      <c r="BZ809" t="str">
        <f>IF($BY809="","",IFERROR(INDEX(_REF_Treatment_Library!$H$2:$H$296,MATCH($BY809,_REF_Treatment_Library!$A$2:$A$296,0)),""))</f>
        <v>Establish</v>
      </c>
      <c r="CA809" t="str">
        <f>IF($BY809="","",IFERROR(INDEX(_REF_Treatment_Library!$I$2:$I$296,MATCH($BY809,_REF_Treatment_Library!$A$2:$A$296,0)),""))</f>
        <v>Establish baseline controls for Backup / recovery</v>
      </c>
      <c r="CB809" t="str">
        <f>IF($BY809="","",IFERROR(INDEX(_REF_Treatment_Library!$K$2:$K$296,MATCH($BY809,_REF_Treatment_Library!$A$2:$A$296,0)),""))</f>
        <v>Named owner, baseline process, minimum control checklist, first evidence package</v>
      </c>
      <c r="CC809" t="str">
        <f>IF($BY809="","",IFERROR(INDEX(_REF_Treatment_Library!$L$2:$L$296,MATCH($BY809,_REF_Treatment_Library!$A$2:$A$296,0)),""))</f>
        <v>Owner assigned; baseline evidence coverage; open critical gaps</v>
      </c>
      <c r="CD809" t="str">
        <f t="shared" si="178"/>
        <v>Treatment by capability=CAP_BACKUP_RECOVERY; band=Initial / absent; score=0.0; treatment=Establish</v>
      </c>
      <c r="CE809" t="str">
        <f>IF($E809="","",IFERROR(INDEX(_REF_Industry_Wording!$A$2:$A$70,MATCH(1,INDEX((_REF_Industry_Wording!$B$2:$B$70=$BT809)*(_REF_Industry_Wording!$C$2:$C$70=PV_Canonical_Industry)*(_REF_Industry_Wording!$K$2:$K$70="Yes"),0),0)),IFERROR(INDEX(_REF_Industry_Wording!$A$2:$A$70,MATCH(1,INDEX((_REF_Industry_Wording!$B$2:$B$70=$BT809)*(_REF_Industry_Wording!$C$2:$C$70="All")*(_REF_Industry_Wording!$K$2:$K$70="Yes"),0),0)),"")))</f>
        <v>IW-ALL-BACKUP_RECOVERY</v>
      </c>
      <c r="CF809" t="str">
        <f>IF($CE809="","",IFERROR(INDEX(_REF_Industry_Wording!$E$2:$E$70,MATCH($CE809,_REF_Industry_Wording!$A$2:$A$70,0)),""))</f>
        <v>Backup / recovery weakness</v>
      </c>
      <c r="CG809" t="str">
        <f>IF($CE809="","",IFERROR(INDEX(_REF_Industry_Wording!$F$2:$F$70,MATCH($CE809,_REF_Industry_Wording!$A$2:$A$70,0)),""))</f>
        <v>Strengthen Backup / recovery</v>
      </c>
      <c r="CH809" t="str">
        <f>IF($CE809="","",IFERROR(INDEX(_REF_Industry_Wording!$G$2:$G$70,MATCH($CE809,_REF_Industry_Wording!$A$2:$A$70,0)),""))</f>
        <v>Strengthen Backup / recovery using the selected maturity treatment, crisis scenario and evidence requirements.</v>
      </c>
      <c r="CI809" t="str">
        <f>IF($CE809="","",IFERROR(INDEX(_REF_Industry_Wording!$H$2:$H$70,MATCH($CE809,_REF_Industry_Wording!$A$2:$A$70,0)),""))</f>
        <v>Backup / recovery</v>
      </c>
      <c r="CJ809">
        <f>IF($CE809="","",IFERROR(INDEX(_REF_Industry_Wording!$I$2:$I$70,MATCH($CE809,_REF_Industry_Wording!$A$2:$A$70,0)),""))</f>
        <v>0</v>
      </c>
      <c r="CK809" t="str">
        <f>IF($CE809="","",IFERROR(INDEX(_REF_Industry_Wording!$J$2:$J$70,MATCH($CE809,_REF_Industry_Wording!$A$2:$A$70,0)),""))</f>
        <v>Backup / recovery</v>
      </c>
      <c r="CL809" t="str">
        <f t="shared" si="179"/>
        <v>Wording by industry=0; capability=CAP_BACKUP_RECOVERY; risk label=Backup / recovery weakness</v>
      </c>
      <c r="CM809" t="str">
        <f t="shared" si="180"/>
        <v>RISK-ONT-0310</v>
      </c>
      <c r="CN809" t="str">
        <f t="shared" si="181"/>
        <v>RISK-EVT-0310</v>
      </c>
      <c r="CO809" t="str">
        <f t="shared" si="182"/>
        <v>IT Cloud DR|Operations|ITCL-019|CAP_BACKUP_RECOVERY</v>
      </c>
      <c r="CP809" t="str">
        <f t="shared" si="183"/>
        <v>Active</v>
      </c>
      <c r="CQ809" t="str">
        <f t="shared" si="184"/>
        <v>OK: capability-driven</v>
      </c>
      <c r="CR809" t="str">
        <f t="shared" si="185"/>
        <v>Risk ontology uses capability=CAP_BACKUP_RECOVERY; bridge=BRG-046; treatment=TRT-BACKUP_RECOVERY-INITIAL; wording=IW-ALL-BACKUP_RECOVERY</v>
      </c>
      <c r="CS809" t="str">
        <f t="shared" si="186"/>
        <v>Yes</v>
      </c>
    </row>
    <row r="810" spans="1:97" ht="69.900000000000006" customHeight="1">
      <c r="A810">
        <f>IF(OR($B810&lt;&gt;"Yes",$BS810=""),"",SUMPRODUCT(($B$500:$B$923="Yes")*ISNUMBER($BS$500:$BS$923)*($BS$500:$BS$923&gt;$BS810))+COUNTIFS($B$500:$B810,"Yes",$BS$500:$BS810,$BS810))</f>
        <v>249</v>
      </c>
      <c r="B810" t="str">
        <f t="shared" si="155"/>
        <v>Yes</v>
      </c>
      <c r="C810" t="s">
        <v>2588</v>
      </c>
      <c r="D810" t="s">
        <v>2613</v>
      </c>
      <c r="E810" t="s">
        <v>2675</v>
      </c>
      <c r="F810" t="s">
        <v>4333</v>
      </c>
      <c r="G810" t="str">
        <f>IF($H810="","",IFERROR(INDEX(_ENGINE_Risk!$H$5:$M$499,MATCH($E810,_ENGINE_Risk!$A$5:$A$499,0),$H810+1),""))</f>
        <v>Severe risk: monitoring and alerting for availability, performance, capacity, security and user impact is not reliably controlled. During IT outage; Cloud outage; Data loss; Cyberattack, the organization may face system outage, data unavailability, excessive RTO/RPO and inability to restore critical technology services with limited visibility or accountability.</v>
      </c>
      <c r="H810">
        <f>IFERROR(VALUE(INDEX(_DATA_Assessment_Model!$H$5:$H$884,MATCH($E810,_DATA_Assessment_Model!$A$5:$A$884,0))),"")</f>
        <v>0</v>
      </c>
      <c r="I810" t="str">
        <f>IF($H810="","",IFERROR(INDEX(_DATA_Assessment_Model!$L$5:$L$884,MATCH($E810,_DATA_Assessment_Model!$A$5:$A$884,0)),IF($H810&lt;=1,"Critical",IF($H810=2,"High",IF($H810=3,"Medium",IF($H810=4,"Low","Resilient"))))))</f>
        <v>Critical</v>
      </c>
      <c r="J810">
        <f t="shared" si="156"/>
        <v>3.6</v>
      </c>
      <c r="K810">
        <f t="shared" si="157"/>
        <v>4.25</v>
      </c>
      <c r="L810">
        <f t="shared" si="158"/>
        <v>15.3</v>
      </c>
      <c r="M810">
        <f t="shared" si="159"/>
        <v>4</v>
      </c>
      <c r="N810">
        <f>IF($H810="","",IFERROR(INDEX(_ENGINE_Risk!$T$5:$Y$499,MATCH($E810,_ENGINE_Risk!$A$5:$A$499,0),$H810+1),""))</f>
        <v>4</v>
      </c>
      <c r="O810">
        <f t="shared" si="160"/>
        <v>4.333333333333333</v>
      </c>
      <c r="P810">
        <f t="shared" si="161"/>
        <v>5</v>
      </c>
      <c r="Q810">
        <f t="shared" si="162"/>
        <v>5</v>
      </c>
      <c r="R810">
        <f t="shared" si="163"/>
        <v>5</v>
      </c>
      <c r="S810">
        <f t="shared" si="164"/>
        <v>1.21</v>
      </c>
      <c r="T810" t="str">
        <f>IF($H810="","",IFERROR(INDEX(_ENGINE_Risk!$N$5:$S$499,MATCH($E810,_ENGINE_Risk!$A$5:$A$499,0),$H810+1),""))</f>
        <v>Create an immediate risk owner, minimum control baseline and fallback procedure for monitoring and alerting for availability, performance, capacity, security and user impact. Add it to the crisis risk register and collect first evidence.</v>
      </c>
      <c r="U810">
        <f>IFERROR(INDEX(_DATA_Assessment_Model!$G$5:$G$884,MATCH($E810,_DATA_Assessment_Model!$A$5:$A$884,0)),"")</f>
        <v>3</v>
      </c>
      <c r="V810">
        <f>IFERROR(INDEX(_DATA_Assessment_Model!$W$5:$W$884,MATCH($E810,_DATA_Assessment_Model!$A$5:$A$884,0)),"")</f>
        <v>5</v>
      </c>
      <c r="W810">
        <f>IFERROR(INDEX(_DATA_Assessment_Model!$X$5:$X$884,MATCH($E810,_DATA_Assessment_Model!$A$5:$A$884,0)),"")</f>
        <v>5</v>
      </c>
      <c r="X810">
        <f>IFERROR(INDEX(_DATA_Assessment_Model!$Y$5:$Y$884,MATCH($E810,_DATA_Assessment_Model!$A$5:$A$884,0)),"")</f>
        <v>5</v>
      </c>
      <c r="Y810" t="s">
        <v>2595</v>
      </c>
      <c r="Z810" t="s">
        <v>8744</v>
      </c>
      <c r="AA810" t="s">
        <v>2677</v>
      </c>
      <c r="AB810">
        <f>IFERROR(INDEX(_DATA_Assessment_Model!$U$5:$U$884,MATCH($E810,_DATA_Assessment_Model!$A$5:$A$884,0)),"")</f>
        <v>0</v>
      </c>
      <c r="AF810" t="s">
        <v>2676</v>
      </c>
      <c r="AO810">
        <f>IF($B810="Yes",IF(IFERROR(INDEX(_ENGINE_Crisis!$F$501:$F$517,MATCH($C810,_ENGINE_Crisis!$A$501:$A$517,0)),1)=0,1,IFERROR(INDEX(_ENGINE_Crisis!$F$501:$F$517,MATCH($C810,_ENGINE_Crisis!$A$501:$A$517,0)),1)),"")</f>
        <v>1</v>
      </c>
      <c r="AP810">
        <f t="shared" si="165"/>
        <v>15.3</v>
      </c>
      <c r="AQ810">
        <f t="shared" si="166"/>
        <v>1.21</v>
      </c>
      <c r="AR810" t="str">
        <f>IFERROR(INDEX(_ENGINE_Crisis!$E$41:$E$700,MATCH('Resilience &amp; Risk Scenario'!$B$6&amp;"|"&amp;$C810,_ENGINE_Crisis!$I$41:$I$700,0)),"")</f>
        <v/>
      </c>
      <c r="AS810" t="str">
        <f>IFERROR(INDEX(_ENGINE_Crisis!$G$41:$G$700,MATCH('Resilience &amp; Risk Scenario'!$B$6&amp;"|"&amp;$C810,_ENGINE_Crisis!$I$41:$I$700,0)),"")</f>
        <v/>
      </c>
      <c r="AT810" t="str">
        <f>IFERROR(INDEX(_ENGINE_Initiatives!$A$5:$A$532,MATCH(1,INDEX((_ENGINE_Initiatives!$B$5:$B$532=$C810)*(_ENGINE_Initiatives!$C$5:$C$532=$D810),0),0)),"")</f>
        <v>INI-051</v>
      </c>
      <c r="AU810" t="str">
        <f>IFERROR(INDEX(_ENGINE_Initiatives!$F$5:$F$532,MATCH(1,INDEX((_ENGINE_Initiatives!$B$5:$B$532=$C810)*(_ENGINE_Initiatives!$C$5:$C$532=$D810),0),0)),"")</f>
        <v>Strengthen IT operations, monitoring, incident and change management</v>
      </c>
      <c r="AV810">
        <f>IFERROR(INDEX(_ENGINE_Initiatives!$AC$5:$AC$532,MATCH(1,INDEX((_ENGINE_Initiatives!$B$5:$B$532=$C810)*(_ENGINE_Initiatives!$C$5:$C$532=$D810),0),0)),"")</f>
        <v>1.34</v>
      </c>
      <c r="AW810" t="str">
        <f>IFERROR(INDEX(_ENGINE_Initiatives!$AE$5:$AE$532,MATCH(1,INDEX((_ENGINE_Initiatives!$B$5:$B$532=$C810)*(_ENGINE_Initiatives!$C$5:$C$532=$D810),0),0)),"")</f>
        <v>12+ months</v>
      </c>
      <c r="AX810">
        <f>IF($B810="Yes",IFERROR((IF(SUMIFS(_REF_Model_Content!$E$1:$E$613,_REF_Model_Content!$A$1:$A$613,PV_Canonical_Industry,_REF_Model_Content!$B$1:$B$613,$C810)=0,1,SUMIFS(_REF_Model_Content!$E$1:$E$613,_REF_Model_Content!$A$1:$A$613,PV_Canonical_Industry,_REF_Model_Content!$B$1:$B$613,$C810))*IFERROR($BU810,1)),1),"")</f>
        <v>1</v>
      </c>
      <c r="AY810">
        <f t="shared" si="167"/>
        <v>15.3</v>
      </c>
      <c r="AZ810">
        <f t="shared" si="168"/>
        <v>1.21</v>
      </c>
      <c r="BB810" t="str">
        <f>IF($H810="","",IFERROR(INDEX(_ENGINE_Risk!$AE$5:$AE$499,MATCH($E810,_ENGINE_Risk!$A$5:$A$499,0)),"Medium"))</f>
        <v>Medium</v>
      </c>
      <c r="BC810">
        <f t="shared" si="169"/>
        <v>1</v>
      </c>
      <c r="BD810">
        <f t="shared" si="170"/>
        <v>1.21</v>
      </c>
      <c r="BF810">
        <f>IF(OR($H810="",$J810=""),"",IFERROR(VLOOKUP(ROUND($J810,0),_CONFIG_Model_Settings!$D$154:$E$158,2,0),""))</f>
        <v>0.5</v>
      </c>
      <c r="BG810">
        <f>IFERROR(IF(OR($H810="",$K810=""),"",ROUND('Company Profile'!$B$113*INDEX(_CONFIG_Model_Settings!$H$154:$H$158,MATCH(ROUND($K810,0),_CONFIG_Model_Settings!$G$154:$G$158,0)),0)),0)</f>
        <v>875</v>
      </c>
      <c r="BH810">
        <f t="shared" si="171"/>
        <v>437.5</v>
      </c>
      <c r="BI810">
        <f t="shared" si="172"/>
        <v>437.5</v>
      </c>
      <c r="BJ810">
        <f>IF($E810="","",IFERROR(VLOOKUP($C810,_CONFIG_Risk_Calibration!$A$5:$H$21,2,FALSE),3))</f>
        <v>3</v>
      </c>
      <c r="BK810">
        <f>IF($E810="","",IFERROR(VLOOKUP($C810,_CONFIG_Risk_Calibration!$A$5:$H$21,3,FALSE),0))</f>
        <v>0</v>
      </c>
      <c r="BL810">
        <f>IF($E810="","",IFERROR(VLOOKUP($C810,_CONFIG_Risk_Calibration!$A$5:$H$21,4,FALSE),3))</f>
        <v>3</v>
      </c>
      <c r="BM810">
        <f>IF($E810="","",IFERROR(VLOOKUP($C810,_CONFIG_Risk_Calibration!$A$5:$H$21,5,FALSE),3))</f>
        <v>4</v>
      </c>
      <c r="BN810" t="str">
        <f>IF($E810="","",IFERROR(VLOOKUP($C810,_CONFIG_Risk_Calibration!$A$5:$H$21,6,FALSE),"No"))</f>
        <v>Yes</v>
      </c>
      <c r="BO810">
        <f>IF($E810="","",IFERROR(VLOOKUP($C810,_CONFIG_Risk_Calibration!$A$5:$H$21,7,FALSE),1))</f>
        <v>4</v>
      </c>
      <c r="BP810">
        <f>IF($H810="","",MAX(1,MIN(5,((6-$H810)*0.45)+($BJ810*0.2)+('Resilience &amp; Risk Scenario'!$B$7*0.15)+($BK810*0.1)+($BL810*0.05)+(IF($BB810="Fast",5,IF($BB810="Slow",1,3))*0.05))))</f>
        <v>3.6</v>
      </c>
      <c r="BQ810">
        <f t="shared" si="173"/>
        <v>4.25</v>
      </c>
      <c r="BR810">
        <f t="shared" si="174"/>
        <v>15.3</v>
      </c>
      <c r="BS810">
        <f t="shared" si="175"/>
        <v>16.829999999999998</v>
      </c>
      <c r="BT810" t="str">
        <f>IFERROR(INDEX(_REF_Capability_Bridge!$D:$D,MATCH($C810&amp;"|"&amp;$D810,_REF_Capability_Bridge!$J:$J,0)),IFERROR(INDEX(_REF_Capability_Bridge!$D:$D,MATCH($C810&amp;"|",_REF_Capability_Bridge!$J:$J,0)),"CAP_GENERIC"))</f>
        <v>CAP_BACKUP_RECOVERY</v>
      </c>
      <c r="BU810">
        <f>IFERROR(IFERROR(INDEX(_ENGINE_Relevance!$L:$L,MATCH($BT810,_ENGINE_Relevance!$B:$B,0)),1),1)</f>
        <v>1</v>
      </c>
      <c r="BV810" t="str">
        <f>IFERROR(INDEX(_REF_Capability_Bridge!$A:$A,MATCH($C810&amp;"|"&amp;$D810,_REF_Capability_Bridge!$J:$J,0)),IFERROR(INDEX(_REF_Capability_Bridge!$A:$A,MATCH($C810&amp;"|",_REF_Capability_Bridge!$J:$J,0)),"No bridge"))</f>
        <v>BRG-046</v>
      </c>
      <c r="BW810" t="str">
        <f t="shared" si="176"/>
        <v>Capability relevance neutral</v>
      </c>
      <c r="BX810" t="str">
        <f t="shared" si="177"/>
        <v>Initial / absent</v>
      </c>
      <c r="BY810" t="str">
        <f>IF($E810="","",IFERROR(INDEX(_REF_Treatment_Library!$A$2:$A$296,MATCH(1,INDEX((_REF_Treatment_Library!$B$2:$B$296=$BT810)*(_REF_Treatment_Library!$C$2:$C$296=PV_Canonical_Industry)*(_REF_Treatment_Library!$E$2:$E$296&lt;=N($H810))*(_REF_Treatment_Library!$F$2:$F$296&gt;=N($H810))*(_REF_Treatment_Library!$O$2:$O$296="Yes"),0),0)),IFERROR(INDEX(_REF_Treatment_Library!$A$2:$A$296,MATCH(1,INDEX((_REF_Treatment_Library!$B$2:$B$296=$BT810)*(_REF_Treatment_Library!$C$2:$C$296="All")*(_REF_Treatment_Library!$E$2:$E$296&lt;=N($H810))*(_REF_Treatment_Library!$F$2:$F$296&gt;=N($H810))*(_REF_Treatment_Library!$O$2:$O$296="Yes"),0),0)),"")))</f>
        <v>TRT-BACKUP_RECOVERY-INITIAL</v>
      </c>
      <c r="BZ810" t="str">
        <f>IF($BY810="","",IFERROR(INDEX(_REF_Treatment_Library!$H$2:$H$296,MATCH($BY810,_REF_Treatment_Library!$A$2:$A$296,0)),""))</f>
        <v>Establish</v>
      </c>
      <c r="CA810" t="str">
        <f>IF($BY810="","",IFERROR(INDEX(_REF_Treatment_Library!$I$2:$I$296,MATCH($BY810,_REF_Treatment_Library!$A$2:$A$296,0)),""))</f>
        <v>Establish baseline controls for Backup / recovery</v>
      </c>
      <c r="CB810" t="str">
        <f>IF($BY810="","",IFERROR(INDEX(_REF_Treatment_Library!$K$2:$K$296,MATCH($BY810,_REF_Treatment_Library!$A$2:$A$296,0)),""))</f>
        <v>Named owner, baseline process, minimum control checklist, first evidence package</v>
      </c>
      <c r="CC810" t="str">
        <f>IF($BY810="","",IFERROR(INDEX(_REF_Treatment_Library!$L$2:$L$296,MATCH($BY810,_REF_Treatment_Library!$A$2:$A$296,0)),""))</f>
        <v>Owner assigned; baseline evidence coverage; open critical gaps</v>
      </c>
      <c r="CD810" t="str">
        <f t="shared" si="178"/>
        <v>Treatment by capability=CAP_BACKUP_RECOVERY; band=Initial / absent; score=0.0; treatment=Establish</v>
      </c>
      <c r="CE810" t="str">
        <f>IF($E810="","",IFERROR(INDEX(_REF_Industry_Wording!$A$2:$A$70,MATCH(1,INDEX((_REF_Industry_Wording!$B$2:$B$70=$BT810)*(_REF_Industry_Wording!$C$2:$C$70=PV_Canonical_Industry)*(_REF_Industry_Wording!$K$2:$K$70="Yes"),0),0)),IFERROR(INDEX(_REF_Industry_Wording!$A$2:$A$70,MATCH(1,INDEX((_REF_Industry_Wording!$B$2:$B$70=$BT810)*(_REF_Industry_Wording!$C$2:$C$70="All")*(_REF_Industry_Wording!$K$2:$K$70="Yes"),0),0)),"")))</f>
        <v>IW-ALL-BACKUP_RECOVERY</v>
      </c>
      <c r="CF810" t="str">
        <f>IF($CE810="","",IFERROR(INDEX(_REF_Industry_Wording!$E$2:$E$70,MATCH($CE810,_REF_Industry_Wording!$A$2:$A$70,0)),""))</f>
        <v>Backup / recovery weakness</v>
      </c>
      <c r="CG810" t="str">
        <f>IF($CE810="","",IFERROR(INDEX(_REF_Industry_Wording!$F$2:$F$70,MATCH($CE810,_REF_Industry_Wording!$A$2:$A$70,0)),""))</f>
        <v>Strengthen Backup / recovery</v>
      </c>
      <c r="CH810" t="str">
        <f>IF($CE810="","",IFERROR(INDEX(_REF_Industry_Wording!$G$2:$G$70,MATCH($CE810,_REF_Industry_Wording!$A$2:$A$70,0)),""))</f>
        <v>Strengthen Backup / recovery using the selected maturity treatment, crisis scenario and evidence requirements.</v>
      </c>
      <c r="CI810" t="str">
        <f>IF($CE810="","",IFERROR(INDEX(_REF_Industry_Wording!$H$2:$H$70,MATCH($CE810,_REF_Industry_Wording!$A$2:$A$70,0)),""))</f>
        <v>Backup / recovery</v>
      </c>
      <c r="CJ810">
        <f>IF($CE810="","",IFERROR(INDEX(_REF_Industry_Wording!$I$2:$I$70,MATCH($CE810,_REF_Industry_Wording!$A$2:$A$70,0)),""))</f>
        <v>0</v>
      </c>
      <c r="CK810" t="str">
        <f>IF($CE810="","",IFERROR(INDEX(_REF_Industry_Wording!$J$2:$J$70,MATCH($CE810,_REF_Industry_Wording!$A$2:$A$70,0)),""))</f>
        <v>Backup / recovery</v>
      </c>
      <c r="CL810" t="str">
        <f t="shared" si="179"/>
        <v>Wording by industry=0; capability=CAP_BACKUP_RECOVERY; risk label=Backup / recovery weakness</v>
      </c>
      <c r="CM810" t="str">
        <f t="shared" si="180"/>
        <v>RISK-ONT-0311</v>
      </c>
      <c r="CN810" t="str">
        <f t="shared" si="181"/>
        <v>RISK-EVT-0311</v>
      </c>
      <c r="CO810" t="str">
        <f t="shared" si="182"/>
        <v>IT Cloud DR|Operations|ITCL-020|CAP_BACKUP_RECOVERY</v>
      </c>
      <c r="CP810" t="str">
        <f t="shared" si="183"/>
        <v>Active</v>
      </c>
      <c r="CQ810" t="str">
        <f t="shared" si="184"/>
        <v>OK: capability-driven</v>
      </c>
      <c r="CR810" t="str">
        <f t="shared" si="185"/>
        <v>Risk ontology uses capability=CAP_BACKUP_RECOVERY; bridge=BRG-046; treatment=TRT-BACKUP_RECOVERY-INITIAL; wording=IW-ALL-BACKUP_RECOVERY</v>
      </c>
      <c r="CS810" t="str">
        <f t="shared" si="186"/>
        <v>Yes</v>
      </c>
    </row>
    <row r="811" spans="1:97" ht="69.900000000000006" customHeight="1">
      <c r="A811">
        <f>IF(OR($B811&lt;&gt;"Yes",$BS811=""),"",SUMPRODUCT(($B$500:$B$923="Yes")*ISNUMBER($BS$500:$BS$923)*($BS$500:$BS$923&gt;$BS811))+COUNTIFS($B$500:$B811,"Yes",$BS$500:$BS811,$BS811))</f>
        <v>250</v>
      </c>
      <c r="B811" t="str">
        <f t="shared" si="155"/>
        <v>Yes</v>
      </c>
      <c r="C811" t="s">
        <v>2588</v>
      </c>
      <c r="D811" t="s">
        <v>2613</v>
      </c>
      <c r="E811" t="s">
        <v>2684</v>
      </c>
      <c r="F811" t="s">
        <v>4333</v>
      </c>
      <c r="G811" t="str">
        <f>IF($H811="","",IFERROR(INDEX(_ENGINE_Risk!$H$5:$M$499,MATCH($E811,_ENGINE_Risk!$A$5:$A$499,0),$H811+1),""))</f>
        <v>Severe risk: network resilience for internet, DNS, firewalls, VPN/ZTNA, routing and telecom is not reliably controlled. During IT outage; Cloud outage; Data loss; Cyberattack, the organization may face system outage, data unavailability, excessive RTO/RPO and inability to restore critical technology services with limited visibility or accountability.</v>
      </c>
      <c r="H811">
        <f>IFERROR(VALUE(INDEX(_DATA_Assessment_Model!$H$5:$H$884,MATCH($E811,_DATA_Assessment_Model!$A$5:$A$884,0))),"")</f>
        <v>0</v>
      </c>
      <c r="I811" t="str">
        <f>IF($H811="","",IFERROR(INDEX(_DATA_Assessment_Model!$L$5:$L$884,MATCH($E811,_DATA_Assessment_Model!$A$5:$A$884,0)),IF($H811&lt;=1,"Critical",IF($H811=2,"High",IF($H811=3,"Medium",IF($H811=4,"Low","Resilient"))))))</f>
        <v>Critical</v>
      </c>
      <c r="J811">
        <f t="shared" si="156"/>
        <v>3.6</v>
      </c>
      <c r="K811">
        <f t="shared" si="157"/>
        <v>4.25</v>
      </c>
      <c r="L811">
        <f t="shared" si="158"/>
        <v>15.3</v>
      </c>
      <c r="M811">
        <f t="shared" si="159"/>
        <v>4</v>
      </c>
      <c r="N811">
        <f>IF($H811="","",IFERROR(INDEX(_ENGINE_Risk!$T$5:$Y$499,MATCH($E811,_ENGINE_Risk!$A$5:$A$499,0),$H811+1),""))</f>
        <v>4</v>
      </c>
      <c r="O811">
        <f t="shared" si="160"/>
        <v>4.333333333333333</v>
      </c>
      <c r="P811">
        <f t="shared" si="161"/>
        <v>5</v>
      </c>
      <c r="Q811">
        <f t="shared" si="162"/>
        <v>5</v>
      </c>
      <c r="R811">
        <f t="shared" si="163"/>
        <v>5</v>
      </c>
      <c r="S811">
        <f t="shared" si="164"/>
        <v>1.21</v>
      </c>
      <c r="T811" t="str">
        <f>IF($H811="","",IFERROR(INDEX(_ENGINE_Risk!$N$5:$S$499,MATCH($E811,_ENGINE_Risk!$A$5:$A$499,0),$H811+1),""))</f>
        <v>Create an immediate risk owner, minimum control baseline and fallback procedure for network resilience for internet, DNS, firewalls, VPN/ZTNA, routing and telecom. Add it to the crisis risk register and collect first evidence.</v>
      </c>
      <c r="U811">
        <f>IFERROR(INDEX(_DATA_Assessment_Model!$G$5:$G$884,MATCH($E811,_DATA_Assessment_Model!$A$5:$A$884,0)),"")</f>
        <v>3</v>
      </c>
      <c r="V811">
        <f>IFERROR(INDEX(_DATA_Assessment_Model!$W$5:$W$884,MATCH($E811,_DATA_Assessment_Model!$A$5:$A$884,0)),"")</f>
        <v>5</v>
      </c>
      <c r="W811">
        <f>IFERROR(INDEX(_DATA_Assessment_Model!$X$5:$X$884,MATCH($E811,_DATA_Assessment_Model!$A$5:$A$884,0)),"")</f>
        <v>5</v>
      </c>
      <c r="X811">
        <f>IFERROR(INDEX(_DATA_Assessment_Model!$Y$5:$Y$884,MATCH($E811,_DATA_Assessment_Model!$A$5:$A$884,0)),"")</f>
        <v>5</v>
      </c>
      <c r="Y811" t="s">
        <v>2595</v>
      </c>
      <c r="Z811" t="s">
        <v>8744</v>
      </c>
      <c r="AA811" t="s">
        <v>2686</v>
      </c>
      <c r="AB811">
        <f>IFERROR(INDEX(_DATA_Assessment_Model!$U$5:$U$884,MATCH($E811,_DATA_Assessment_Model!$A$5:$A$884,0)),"")</f>
        <v>0</v>
      </c>
      <c r="AF811" t="s">
        <v>2685</v>
      </c>
      <c r="AO811">
        <f>IF($B811="Yes",IF(IFERROR(INDEX(_ENGINE_Crisis!$F$501:$F$517,MATCH($C811,_ENGINE_Crisis!$A$501:$A$517,0)),1)=0,1,IFERROR(INDEX(_ENGINE_Crisis!$F$501:$F$517,MATCH($C811,_ENGINE_Crisis!$A$501:$A$517,0)),1)),"")</f>
        <v>1</v>
      </c>
      <c r="AP811">
        <f t="shared" si="165"/>
        <v>15.3</v>
      </c>
      <c r="AQ811">
        <f t="shared" si="166"/>
        <v>1.21</v>
      </c>
      <c r="AR811" t="str">
        <f>IFERROR(INDEX(_ENGINE_Crisis!$E$41:$E$700,MATCH('Resilience &amp; Risk Scenario'!$B$6&amp;"|"&amp;$C811,_ENGINE_Crisis!$I$41:$I$700,0)),"")</f>
        <v/>
      </c>
      <c r="AS811" t="str">
        <f>IFERROR(INDEX(_ENGINE_Crisis!$G$41:$G$700,MATCH('Resilience &amp; Risk Scenario'!$B$6&amp;"|"&amp;$C811,_ENGINE_Crisis!$I$41:$I$700,0)),"")</f>
        <v/>
      </c>
      <c r="AT811" t="str">
        <f>IFERROR(INDEX(_ENGINE_Initiatives!$A$5:$A$532,MATCH(1,INDEX((_ENGINE_Initiatives!$B$5:$B$532=$C811)*(_ENGINE_Initiatives!$C$5:$C$532=$D811),0),0)),"")</f>
        <v>INI-051</v>
      </c>
      <c r="AU811" t="str">
        <f>IFERROR(INDEX(_ENGINE_Initiatives!$F$5:$F$532,MATCH(1,INDEX((_ENGINE_Initiatives!$B$5:$B$532=$C811)*(_ENGINE_Initiatives!$C$5:$C$532=$D811),0),0)),"")</f>
        <v>Strengthen IT operations, monitoring, incident and change management</v>
      </c>
      <c r="AV811">
        <f>IFERROR(INDEX(_ENGINE_Initiatives!$AC$5:$AC$532,MATCH(1,INDEX((_ENGINE_Initiatives!$B$5:$B$532=$C811)*(_ENGINE_Initiatives!$C$5:$C$532=$D811),0),0)),"")</f>
        <v>1.34</v>
      </c>
      <c r="AW811" t="str">
        <f>IFERROR(INDEX(_ENGINE_Initiatives!$AE$5:$AE$532,MATCH(1,INDEX((_ENGINE_Initiatives!$B$5:$B$532=$C811)*(_ENGINE_Initiatives!$C$5:$C$532=$D811),0),0)),"")</f>
        <v>12+ months</v>
      </c>
      <c r="AX811">
        <f>IF($B811="Yes",IFERROR((IF(SUMIFS(_REF_Model_Content!$E$1:$E$613,_REF_Model_Content!$A$1:$A$613,PV_Canonical_Industry,_REF_Model_Content!$B$1:$B$613,$C811)=0,1,SUMIFS(_REF_Model_Content!$E$1:$E$613,_REF_Model_Content!$A$1:$A$613,PV_Canonical_Industry,_REF_Model_Content!$B$1:$B$613,$C811))*IFERROR($BU811,1)),1),"")</f>
        <v>1</v>
      </c>
      <c r="AY811">
        <f t="shared" si="167"/>
        <v>15.3</v>
      </c>
      <c r="AZ811">
        <f t="shared" si="168"/>
        <v>1.21</v>
      </c>
      <c r="BB811" t="str">
        <f>IF($H811="","",IFERROR(INDEX(_ENGINE_Risk!$AE$5:$AE$499,MATCH($E811,_ENGINE_Risk!$A$5:$A$499,0)),"Medium"))</f>
        <v>Medium</v>
      </c>
      <c r="BC811">
        <f t="shared" si="169"/>
        <v>1</v>
      </c>
      <c r="BD811">
        <f t="shared" si="170"/>
        <v>1.21</v>
      </c>
      <c r="BF811">
        <f>IF(OR($H811="",$J811=""),"",IFERROR(VLOOKUP(ROUND($J811,0),_CONFIG_Model_Settings!$D$154:$E$158,2,0),""))</f>
        <v>0.5</v>
      </c>
      <c r="BG811">
        <f>IFERROR(IF(OR($H811="",$K811=""),"",ROUND('Company Profile'!$B$113*INDEX(_CONFIG_Model_Settings!$H$154:$H$158,MATCH(ROUND($K811,0),_CONFIG_Model_Settings!$G$154:$G$158,0)),0)),0)</f>
        <v>875</v>
      </c>
      <c r="BH811">
        <f t="shared" si="171"/>
        <v>437.5</v>
      </c>
      <c r="BI811">
        <f t="shared" si="172"/>
        <v>437.5</v>
      </c>
      <c r="BJ811">
        <f>IF($E811="","",IFERROR(VLOOKUP($C811,_CONFIG_Risk_Calibration!$A$5:$H$21,2,FALSE),3))</f>
        <v>3</v>
      </c>
      <c r="BK811">
        <f>IF($E811="","",IFERROR(VLOOKUP($C811,_CONFIG_Risk_Calibration!$A$5:$H$21,3,FALSE),0))</f>
        <v>0</v>
      </c>
      <c r="BL811">
        <f>IF($E811="","",IFERROR(VLOOKUP($C811,_CONFIG_Risk_Calibration!$A$5:$H$21,4,FALSE),3))</f>
        <v>3</v>
      </c>
      <c r="BM811">
        <f>IF($E811="","",IFERROR(VLOOKUP($C811,_CONFIG_Risk_Calibration!$A$5:$H$21,5,FALSE),3))</f>
        <v>4</v>
      </c>
      <c r="BN811" t="str">
        <f>IF($E811="","",IFERROR(VLOOKUP($C811,_CONFIG_Risk_Calibration!$A$5:$H$21,6,FALSE),"No"))</f>
        <v>Yes</v>
      </c>
      <c r="BO811">
        <f>IF($E811="","",IFERROR(VLOOKUP($C811,_CONFIG_Risk_Calibration!$A$5:$H$21,7,FALSE),1))</f>
        <v>4</v>
      </c>
      <c r="BP811">
        <f>IF($H811="","",MAX(1,MIN(5,((6-$H811)*0.45)+($BJ811*0.2)+('Resilience &amp; Risk Scenario'!$B$7*0.15)+($BK811*0.1)+($BL811*0.05)+(IF($BB811="Fast",5,IF($BB811="Slow",1,3))*0.05))))</f>
        <v>3.6</v>
      </c>
      <c r="BQ811">
        <f t="shared" si="173"/>
        <v>4.25</v>
      </c>
      <c r="BR811">
        <f t="shared" si="174"/>
        <v>15.3</v>
      </c>
      <c r="BS811">
        <f t="shared" si="175"/>
        <v>16.829999999999998</v>
      </c>
      <c r="BT811" t="str">
        <f>IFERROR(INDEX(_REF_Capability_Bridge!$D:$D,MATCH($C811&amp;"|"&amp;$D811,_REF_Capability_Bridge!$J:$J,0)),IFERROR(INDEX(_REF_Capability_Bridge!$D:$D,MATCH($C811&amp;"|",_REF_Capability_Bridge!$J:$J,0)),"CAP_GENERIC"))</f>
        <v>CAP_BACKUP_RECOVERY</v>
      </c>
      <c r="BU811">
        <f>IFERROR(IFERROR(INDEX(_ENGINE_Relevance!$L:$L,MATCH($BT811,_ENGINE_Relevance!$B:$B,0)),1),1)</f>
        <v>1</v>
      </c>
      <c r="BV811" t="str">
        <f>IFERROR(INDEX(_REF_Capability_Bridge!$A:$A,MATCH($C811&amp;"|"&amp;$D811,_REF_Capability_Bridge!$J:$J,0)),IFERROR(INDEX(_REF_Capability_Bridge!$A:$A,MATCH($C811&amp;"|",_REF_Capability_Bridge!$J:$J,0)),"No bridge"))</f>
        <v>BRG-046</v>
      </c>
      <c r="BW811" t="str">
        <f t="shared" si="176"/>
        <v>Capability relevance neutral</v>
      </c>
      <c r="BX811" t="str">
        <f t="shared" si="177"/>
        <v>Initial / absent</v>
      </c>
      <c r="BY811" t="str">
        <f>IF($E811="","",IFERROR(INDEX(_REF_Treatment_Library!$A$2:$A$296,MATCH(1,INDEX((_REF_Treatment_Library!$B$2:$B$296=$BT811)*(_REF_Treatment_Library!$C$2:$C$296=PV_Canonical_Industry)*(_REF_Treatment_Library!$E$2:$E$296&lt;=N($H811))*(_REF_Treatment_Library!$F$2:$F$296&gt;=N($H811))*(_REF_Treatment_Library!$O$2:$O$296="Yes"),0),0)),IFERROR(INDEX(_REF_Treatment_Library!$A$2:$A$296,MATCH(1,INDEX((_REF_Treatment_Library!$B$2:$B$296=$BT811)*(_REF_Treatment_Library!$C$2:$C$296="All")*(_REF_Treatment_Library!$E$2:$E$296&lt;=N($H811))*(_REF_Treatment_Library!$F$2:$F$296&gt;=N($H811))*(_REF_Treatment_Library!$O$2:$O$296="Yes"),0),0)),"")))</f>
        <v>TRT-BACKUP_RECOVERY-INITIAL</v>
      </c>
      <c r="BZ811" t="str">
        <f>IF($BY811="","",IFERROR(INDEX(_REF_Treatment_Library!$H$2:$H$296,MATCH($BY811,_REF_Treatment_Library!$A$2:$A$296,0)),""))</f>
        <v>Establish</v>
      </c>
      <c r="CA811" t="str">
        <f>IF($BY811="","",IFERROR(INDEX(_REF_Treatment_Library!$I$2:$I$296,MATCH($BY811,_REF_Treatment_Library!$A$2:$A$296,0)),""))</f>
        <v>Establish baseline controls for Backup / recovery</v>
      </c>
      <c r="CB811" t="str">
        <f>IF($BY811="","",IFERROR(INDEX(_REF_Treatment_Library!$K$2:$K$296,MATCH($BY811,_REF_Treatment_Library!$A$2:$A$296,0)),""))</f>
        <v>Named owner, baseline process, minimum control checklist, first evidence package</v>
      </c>
      <c r="CC811" t="str">
        <f>IF($BY811="","",IFERROR(INDEX(_REF_Treatment_Library!$L$2:$L$296,MATCH($BY811,_REF_Treatment_Library!$A$2:$A$296,0)),""))</f>
        <v>Owner assigned; baseline evidence coverage; open critical gaps</v>
      </c>
      <c r="CD811" t="str">
        <f t="shared" si="178"/>
        <v>Treatment by capability=CAP_BACKUP_RECOVERY; band=Initial / absent; score=0.0; treatment=Establish</v>
      </c>
      <c r="CE811" t="str">
        <f>IF($E811="","",IFERROR(INDEX(_REF_Industry_Wording!$A$2:$A$70,MATCH(1,INDEX((_REF_Industry_Wording!$B$2:$B$70=$BT811)*(_REF_Industry_Wording!$C$2:$C$70=PV_Canonical_Industry)*(_REF_Industry_Wording!$K$2:$K$70="Yes"),0),0)),IFERROR(INDEX(_REF_Industry_Wording!$A$2:$A$70,MATCH(1,INDEX((_REF_Industry_Wording!$B$2:$B$70=$BT811)*(_REF_Industry_Wording!$C$2:$C$70="All")*(_REF_Industry_Wording!$K$2:$K$70="Yes"),0),0)),"")))</f>
        <v>IW-ALL-BACKUP_RECOVERY</v>
      </c>
      <c r="CF811" t="str">
        <f>IF($CE811="","",IFERROR(INDEX(_REF_Industry_Wording!$E$2:$E$70,MATCH($CE811,_REF_Industry_Wording!$A$2:$A$70,0)),""))</f>
        <v>Backup / recovery weakness</v>
      </c>
      <c r="CG811" t="str">
        <f>IF($CE811="","",IFERROR(INDEX(_REF_Industry_Wording!$F$2:$F$70,MATCH($CE811,_REF_Industry_Wording!$A$2:$A$70,0)),""))</f>
        <v>Strengthen Backup / recovery</v>
      </c>
      <c r="CH811" t="str">
        <f>IF($CE811="","",IFERROR(INDEX(_REF_Industry_Wording!$G$2:$G$70,MATCH($CE811,_REF_Industry_Wording!$A$2:$A$70,0)),""))</f>
        <v>Strengthen Backup / recovery using the selected maturity treatment, crisis scenario and evidence requirements.</v>
      </c>
      <c r="CI811" t="str">
        <f>IF($CE811="","",IFERROR(INDEX(_REF_Industry_Wording!$H$2:$H$70,MATCH($CE811,_REF_Industry_Wording!$A$2:$A$70,0)),""))</f>
        <v>Backup / recovery</v>
      </c>
      <c r="CJ811">
        <f>IF($CE811="","",IFERROR(INDEX(_REF_Industry_Wording!$I$2:$I$70,MATCH($CE811,_REF_Industry_Wording!$A$2:$A$70,0)),""))</f>
        <v>0</v>
      </c>
      <c r="CK811" t="str">
        <f>IF($CE811="","",IFERROR(INDEX(_REF_Industry_Wording!$J$2:$J$70,MATCH($CE811,_REF_Industry_Wording!$A$2:$A$70,0)),""))</f>
        <v>Backup / recovery</v>
      </c>
      <c r="CL811" t="str">
        <f t="shared" si="179"/>
        <v>Wording by industry=0; capability=CAP_BACKUP_RECOVERY; risk label=Backup / recovery weakness</v>
      </c>
      <c r="CM811" t="str">
        <f t="shared" si="180"/>
        <v>RISK-ONT-0312</v>
      </c>
      <c r="CN811" t="str">
        <f t="shared" si="181"/>
        <v>RISK-EVT-0312</v>
      </c>
      <c r="CO811" t="str">
        <f t="shared" si="182"/>
        <v>IT Cloud DR|Operations|ITCL-021|CAP_BACKUP_RECOVERY</v>
      </c>
      <c r="CP811" t="str">
        <f t="shared" si="183"/>
        <v>Active</v>
      </c>
      <c r="CQ811" t="str">
        <f t="shared" si="184"/>
        <v>OK: capability-driven</v>
      </c>
      <c r="CR811" t="str">
        <f t="shared" si="185"/>
        <v>Risk ontology uses capability=CAP_BACKUP_RECOVERY; bridge=BRG-046; treatment=TRT-BACKUP_RECOVERY-INITIAL; wording=IW-ALL-BACKUP_RECOVERY</v>
      </c>
      <c r="CS811" t="str">
        <f t="shared" si="186"/>
        <v>Yes</v>
      </c>
    </row>
    <row r="812" spans="1:97" ht="69.900000000000006" customHeight="1">
      <c r="A812">
        <f>IF(OR($B812&lt;&gt;"Yes",$BS812=""),"",SUMPRODUCT(($B$500:$B$923="Yes")*ISNUMBER($BS$500:$BS$923)*($BS$500:$BS$923&gt;$BS812))+COUNTIFS($B$500:$B812,"Yes",$BS$500:$BS812,$BS812))</f>
        <v>197</v>
      </c>
      <c r="B812" t="str">
        <f t="shared" si="155"/>
        <v>Yes</v>
      </c>
      <c r="C812" t="s">
        <v>2588</v>
      </c>
      <c r="D812" t="s">
        <v>2613</v>
      </c>
      <c r="E812" t="s">
        <v>2693</v>
      </c>
      <c r="F812" t="s">
        <v>4333</v>
      </c>
      <c r="G812" t="str">
        <f>IF($H812="","",IFERROR(INDEX(_ENGINE_Risk!$H$5:$M$499,MATCH($E812,_ENGINE_Risk!$A$5:$A$499,0),$H812+1),""))</f>
        <v>Severe risk: secure remote access for critical users during remote-only operations is not reliably controlled. During IT outage; Cloud outage; Data loss; Cyberattack, the organization may face system outage, data unavailability, excessive RTO/RPO and inability to restore critical technology services with limited visibility or accountability.</v>
      </c>
      <c r="H812">
        <f>IFERROR(VALUE(INDEX(_DATA_Assessment_Model!$H$5:$H$884,MATCH($E812,_DATA_Assessment_Model!$A$5:$A$884,0))),"")</f>
        <v>0</v>
      </c>
      <c r="I812" t="str">
        <f>IF($H812="","",IFERROR(INDEX(_DATA_Assessment_Model!$L$5:$L$884,MATCH($E812,_DATA_Assessment_Model!$A$5:$A$884,0)),IF($H812&lt;=1,"Critical",IF($H812=2,"High",IF($H812=3,"Medium",IF($H812=4,"Low","Resilient"))))))</f>
        <v>Critical</v>
      </c>
      <c r="J812">
        <f t="shared" si="156"/>
        <v>3.6</v>
      </c>
      <c r="K812">
        <f t="shared" si="157"/>
        <v>4.6499999999999995</v>
      </c>
      <c r="L812">
        <f t="shared" si="158"/>
        <v>16.739999999999998</v>
      </c>
      <c r="M812">
        <f t="shared" si="159"/>
        <v>4</v>
      </c>
      <c r="N812">
        <f>IF($H812="","",IFERROR(INDEX(_ENGINE_Risk!$T$5:$Y$499,MATCH($E812,_ENGINE_Risk!$A$5:$A$499,0),$H812+1),""))</f>
        <v>4</v>
      </c>
      <c r="O812">
        <f t="shared" si="160"/>
        <v>5</v>
      </c>
      <c r="P812">
        <f t="shared" si="161"/>
        <v>5</v>
      </c>
      <c r="Q812">
        <f t="shared" si="162"/>
        <v>5</v>
      </c>
      <c r="R812">
        <f t="shared" si="163"/>
        <v>5</v>
      </c>
      <c r="S812">
        <f t="shared" si="164"/>
        <v>1.25</v>
      </c>
      <c r="T812" t="str">
        <f>IF($H812="","",IFERROR(INDEX(_ENGINE_Risk!$N$5:$S$499,MATCH($E812,_ENGINE_Risk!$A$5:$A$499,0),$H812+1),""))</f>
        <v>Create an immediate risk owner, minimum control baseline and fallback procedure for secure remote access for critical users during remote-only operations. Add it to the crisis risk register and collect first evidence.</v>
      </c>
      <c r="U812">
        <f>IFERROR(INDEX(_DATA_Assessment_Model!$G$5:$G$884,MATCH($E812,_DATA_Assessment_Model!$A$5:$A$884,0)),"")</f>
        <v>5</v>
      </c>
      <c r="V812">
        <f>IFERROR(INDEX(_DATA_Assessment_Model!$W$5:$W$884,MATCH($E812,_DATA_Assessment_Model!$A$5:$A$884,0)),"")</f>
        <v>5</v>
      </c>
      <c r="W812">
        <f>IFERROR(INDEX(_DATA_Assessment_Model!$X$5:$X$884,MATCH($E812,_DATA_Assessment_Model!$A$5:$A$884,0)),"")</f>
        <v>5</v>
      </c>
      <c r="X812">
        <f>IFERROR(INDEX(_DATA_Assessment_Model!$Y$5:$Y$884,MATCH($E812,_DATA_Assessment_Model!$A$5:$A$884,0)),"")</f>
        <v>5</v>
      </c>
      <c r="Y812" t="s">
        <v>2595</v>
      </c>
      <c r="Z812" t="s">
        <v>8744</v>
      </c>
      <c r="AA812" t="s">
        <v>2695</v>
      </c>
      <c r="AB812">
        <f>IFERROR(INDEX(_DATA_Assessment_Model!$U$5:$U$884,MATCH($E812,_DATA_Assessment_Model!$A$5:$A$884,0)),"")</f>
        <v>0</v>
      </c>
      <c r="AF812" t="s">
        <v>2694</v>
      </c>
      <c r="AO812">
        <f>IF($B812="Yes",IF(IFERROR(INDEX(_ENGINE_Crisis!$F$501:$F$517,MATCH($C812,_ENGINE_Crisis!$A$501:$A$517,0)),1)=0,1,IFERROR(INDEX(_ENGINE_Crisis!$F$501:$F$517,MATCH($C812,_ENGINE_Crisis!$A$501:$A$517,0)),1)),"")</f>
        <v>1</v>
      </c>
      <c r="AP812">
        <f t="shared" si="165"/>
        <v>16.7</v>
      </c>
      <c r="AQ812">
        <f t="shared" si="166"/>
        <v>1.25</v>
      </c>
      <c r="AR812" t="str">
        <f>IFERROR(INDEX(_ENGINE_Crisis!$E$41:$E$700,MATCH('Resilience &amp; Risk Scenario'!$B$6&amp;"|"&amp;$C812,_ENGINE_Crisis!$I$41:$I$700,0)),"")</f>
        <v/>
      </c>
      <c r="AS812" t="str">
        <f>IFERROR(INDEX(_ENGINE_Crisis!$G$41:$G$700,MATCH('Resilience &amp; Risk Scenario'!$B$6&amp;"|"&amp;$C812,_ENGINE_Crisis!$I$41:$I$700,0)),"")</f>
        <v/>
      </c>
      <c r="AT812" t="str">
        <f>IFERROR(INDEX(_ENGINE_Initiatives!$A$5:$A$532,MATCH(1,INDEX((_ENGINE_Initiatives!$B$5:$B$532=$C812)*(_ENGINE_Initiatives!$C$5:$C$532=$D812),0),0)),"")</f>
        <v>INI-051</v>
      </c>
      <c r="AU812" t="str">
        <f>IFERROR(INDEX(_ENGINE_Initiatives!$F$5:$F$532,MATCH(1,INDEX((_ENGINE_Initiatives!$B$5:$B$532=$C812)*(_ENGINE_Initiatives!$C$5:$C$532=$D812),0),0)),"")</f>
        <v>Strengthen IT operations, monitoring, incident and change management</v>
      </c>
      <c r="AV812">
        <f>IFERROR(INDEX(_ENGINE_Initiatives!$AC$5:$AC$532,MATCH(1,INDEX((_ENGINE_Initiatives!$B$5:$B$532=$C812)*(_ENGINE_Initiatives!$C$5:$C$532=$D812),0),0)),"")</f>
        <v>1.34</v>
      </c>
      <c r="AW812" t="str">
        <f>IFERROR(INDEX(_ENGINE_Initiatives!$AE$5:$AE$532,MATCH(1,INDEX((_ENGINE_Initiatives!$B$5:$B$532=$C812)*(_ENGINE_Initiatives!$C$5:$C$532=$D812),0),0)),"")</f>
        <v>12+ months</v>
      </c>
      <c r="AX812">
        <f>IF($B812="Yes",IFERROR((IF(SUMIFS(_REF_Model_Content!$E$1:$E$613,_REF_Model_Content!$A$1:$A$613,PV_Canonical_Industry,_REF_Model_Content!$B$1:$B$613,$C812)=0,1,SUMIFS(_REF_Model_Content!$E$1:$E$613,_REF_Model_Content!$A$1:$A$613,PV_Canonical_Industry,_REF_Model_Content!$B$1:$B$613,$C812))*IFERROR($BU812,1)),1),"")</f>
        <v>1</v>
      </c>
      <c r="AY812">
        <f t="shared" si="167"/>
        <v>16.7</v>
      </c>
      <c r="AZ812">
        <f t="shared" si="168"/>
        <v>1.25</v>
      </c>
      <c r="BB812" t="str">
        <f>IF($H812="","",IFERROR(INDEX(_ENGINE_Risk!$AE$5:$AE$499,MATCH($E812,_ENGINE_Risk!$A$5:$A$499,0)),"Medium"))</f>
        <v>Medium</v>
      </c>
      <c r="BC812">
        <f t="shared" si="169"/>
        <v>1</v>
      </c>
      <c r="BD812">
        <f t="shared" si="170"/>
        <v>1.25</v>
      </c>
      <c r="BF812">
        <f>IF(OR($H812="",$J812=""),"",IFERROR(VLOOKUP(ROUND($J812,0),_CONFIG_Model_Settings!$D$154:$E$158,2,0),""))</f>
        <v>0.5</v>
      </c>
      <c r="BG812">
        <f>IFERROR(IF(OR($H812="",$K812=""),"",ROUND('Company Profile'!$B$113*INDEX(_CONFIG_Model_Settings!$H$154:$H$158,MATCH(ROUND($K812,0),_CONFIG_Model_Settings!$G$154:$G$158,0)),0)),0)</f>
        <v>1875</v>
      </c>
      <c r="BH812">
        <f t="shared" si="171"/>
        <v>937.5</v>
      </c>
      <c r="BI812">
        <f t="shared" si="172"/>
        <v>937.5</v>
      </c>
      <c r="BJ812">
        <f>IF($E812="","",IFERROR(VLOOKUP($C812,_CONFIG_Risk_Calibration!$A$5:$H$21,2,FALSE),3))</f>
        <v>3</v>
      </c>
      <c r="BK812">
        <f>IF($E812="","",IFERROR(VLOOKUP($C812,_CONFIG_Risk_Calibration!$A$5:$H$21,3,FALSE),0))</f>
        <v>0</v>
      </c>
      <c r="BL812">
        <f>IF($E812="","",IFERROR(VLOOKUP($C812,_CONFIG_Risk_Calibration!$A$5:$H$21,4,FALSE),3))</f>
        <v>3</v>
      </c>
      <c r="BM812">
        <f>IF($E812="","",IFERROR(VLOOKUP($C812,_CONFIG_Risk_Calibration!$A$5:$H$21,5,FALSE),3))</f>
        <v>4</v>
      </c>
      <c r="BN812" t="str">
        <f>IF($E812="","",IFERROR(VLOOKUP($C812,_CONFIG_Risk_Calibration!$A$5:$H$21,6,FALSE),"No"))</f>
        <v>Yes</v>
      </c>
      <c r="BO812">
        <f>IF($E812="","",IFERROR(VLOOKUP($C812,_CONFIG_Risk_Calibration!$A$5:$H$21,7,FALSE),1))</f>
        <v>4</v>
      </c>
      <c r="BP812">
        <f>IF($H812="","",MAX(1,MIN(5,((6-$H812)*0.45)+($BJ812*0.2)+('Resilience &amp; Risk Scenario'!$B$7*0.15)+($BK812*0.1)+($BL812*0.05)+(IF($BB812="Fast",5,IF($BB812="Slow",1,3))*0.05))))</f>
        <v>3.6</v>
      </c>
      <c r="BQ812">
        <f t="shared" si="173"/>
        <v>4.6499999999999995</v>
      </c>
      <c r="BR812">
        <f t="shared" si="174"/>
        <v>16.739999999999998</v>
      </c>
      <c r="BS812">
        <f t="shared" si="175"/>
        <v>18.41</v>
      </c>
      <c r="BT812" t="str">
        <f>IFERROR(INDEX(_REF_Capability_Bridge!$D:$D,MATCH($C812&amp;"|"&amp;$D812,_REF_Capability_Bridge!$J:$J,0)),IFERROR(INDEX(_REF_Capability_Bridge!$D:$D,MATCH($C812&amp;"|",_REF_Capability_Bridge!$J:$J,0)),"CAP_GENERIC"))</f>
        <v>CAP_BACKUP_RECOVERY</v>
      </c>
      <c r="BU812">
        <f>IFERROR(IFERROR(INDEX(_ENGINE_Relevance!$L:$L,MATCH($BT812,_ENGINE_Relevance!$B:$B,0)),1),1)</f>
        <v>1</v>
      </c>
      <c r="BV812" t="str">
        <f>IFERROR(INDEX(_REF_Capability_Bridge!$A:$A,MATCH($C812&amp;"|"&amp;$D812,_REF_Capability_Bridge!$J:$J,0)),IFERROR(INDEX(_REF_Capability_Bridge!$A:$A,MATCH($C812&amp;"|",_REF_Capability_Bridge!$J:$J,0)),"No bridge"))</f>
        <v>BRG-046</v>
      </c>
      <c r="BW812" t="str">
        <f t="shared" si="176"/>
        <v>Capability relevance neutral</v>
      </c>
      <c r="BX812" t="str">
        <f t="shared" si="177"/>
        <v>Initial / absent</v>
      </c>
      <c r="BY812" t="str">
        <f>IF($E812="","",IFERROR(INDEX(_REF_Treatment_Library!$A$2:$A$296,MATCH(1,INDEX((_REF_Treatment_Library!$B$2:$B$296=$BT812)*(_REF_Treatment_Library!$C$2:$C$296=PV_Canonical_Industry)*(_REF_Treatment_Library!$E$2:$E$296&lt;=N($H812))*(_REF_Treatment_Library!$F$2:$F$296&gt;=N($H812))*(_REF_Treatment_Library!$O$2:$O$296="Yes"),0),0)),IFERROR(INDEX(_REF_Treatment_Library!$A$2:$A$296,MATCH(1,INDEX((_REF_Treatment_Library!$B$2:$B$296=$BT812)*(_REF_Treatment_Library!$C$2:$C$296="All")*(_REF_Treatment_Library!$E$2:$E$296&lt;=N($H812))*(_REF_Treatment_Library!$F$2:$F$296&gt;=N($H812))*(_REF_Treatment_Library!$O$2:$O$296="Yes"),0),0)),"")))</f>
        <v>TRT-BACKUP_RECOVERY-INITIAL</v>
      </c>
      <c r="BZ812" t="str">
        <f>IF($BY812="","",IFERROR(INDEX(_REF_Treatment_Library!$H$2:$H$296,MATCH($BY812,_REF_Treatment_Library!$A$2:$A$296,0)),""))</f>
        <v>Establish</v>
      </c>
      <c r="CA812" t="str">
        <f>IF($BY812="","",IFERROR(INDEX(_REF_Treatment_Library!$I$2:$I$296,MATCH($BY812,_REF_Treatment_Library!$A$2:$A$296,0)),""))</f>
        <v>Establish baseline controls for Backup / recovery</v>
      </c>
      <c r="CB812" t="str">
        <f>IF($BY812="","",IFERROR(INDEX(_REF_Treatment_Library!$K$2:$K$296,MATCH($BY812,_REF_Treatment_Library!$A$2:$A$296,0)),""))</f>
        <v>Named owner, baseline process, minimum control checklist, first evidence package</v>
      </c>
      <c r="CC812" t="str">
        <f>IF($BY812="","",IFERROR(INDEX(_REF_Treatment_Library!$L$2:$L$296,MATCH($BY812,_REF_Treatment_Library!$A$2:$A$296,0)),""))</f>
        <v>Owner assigned; baseline evidence coverage; open critical gaps</v>
      </c>
      <c r="CD812" t="str">
        <f t="shared" si="178"/>
        <v>Treatment by capability=CAP_BACKUP_RECOVERY; band=Initial / absent; score=0.0; treatment=Establish</v>
      </c>
      <c r="CE812" t="str">
        <f>IF($E812="","",IFERROR(INDEX(_REF_Industry_Wording!$A$2:$A$70,MATCH(1,INDEX((_REF_Industry_Wording!$B$2:$B$70=$BT812)*(_REF_Industry_Wording!$C$2:$C$70=PV_Canonical_Industry)*(_REF_Industry_Wording!$K$2:$K$70="Yes"),0),0)),IFERROR(INDEX(_REF_Industry_Wording!$A$2:$A$70,MATCH(1,INDEX((_REF_Industry_Wording!$B$2:$B$70=$BT812)*(_REF_Industry_Wording!$C$2:$C$70="All")*(_REF_Industry_Wording!$K$2:$K$70="Yes"),0),0)),"")))</f>
        <v>IW-ALL-BACKUP_RECOVERY</v>
      </c>
      <c r="CF812" t="str">
        <f>IF($CE812="","",IFERROR(INDEX(_REF_Industry_Wording!$E$2:$E$70,MATCH($CE812,_REF_Industry_Wording!$A$2:$A$70,0)),""))</f>
        <v>Backup / recovery weakness</v>
      </c>
      <c r="CG812" t="str">
        <f>IF($CE812="","",IFERROR(INDEX(_REF_Industry_Wording!$F$2:$F$70,MATCH($CE812,_REF_Industry_Wording!$A$2:$A$70,0)),""))</f>
        <v>Strengthen Backup / recovery</v>
      </c>
      <c r="CH812" t="str">
        <f>IF($CE812="","",IFERROR(INDEX(_REF_Industry_Wording!$G$2:$G$70,MATCH($CE812,_REF_Industry_Wording!$A$2:$A$70,0)),""))</f>
        <v>Strengthen Backup / recovery using the selected maturity treatment, crisis scenario and evidence requirements.</v>
      </c>
      <c r="CI812" t="str">
        <f>IF($CE812="","",IFERROR(INDEX(_REF_Industry_Wording!$H$2:$H$70,MATCH($CE812,_REF_Industry_Wording!$A$2:$A$70,0)),""))</f>
        <v>Backup / recovery</v>
      </c>
      <c r="CJ812">
        <f>IF($CE812="","",IFERROR(INDEX(_REF_Industry_Wording!$I$2:$I$70,MATCH($CE812,_REF_Industry_Wording!$A$2:$A$70,0)),""))</f>
        <v>0</v>
      </c>
      <c r="CK812" t="str">
        <f>IF($CE812="","",IFERROR(INDEX(_REF_Industry_Wording!$J$2:$J$70,MATCH($CE812,_REF_Industry_Wording!$A$2:$A$70,0)),""))</f>
        <v>Backup / recovery</v>
      </c>
      <c r="CL812" t="str">
        <f t="shared" si="179"/>
        <v>Wording by industry=0; capability=CAP_BACKUP_RECOVERY; risk label=Backup / recovery weakness</v>
      </c>
      <c r="CM812" t="str">
        <f t="shared" si="180"/>
        <v>RISK-ONT-0313</v>
      </c>
      <c r="CN812" t="str">
        <f t="shared" si="181"/>
        <v>RISK-EVT-0313</v>
      </c>
      <c r="CO812" t="str">
        <f t="shared" si="182"/>
        <v>IT Cloud DR|Operations|ITCL-022|CAP_BACKUP_RECOVERY</v>
      </c>
      <c r="CP812" t="str">
        <f t="shared" si="183"/>
        <v>Active</v>
      </c>
      <c r="CQ812" t="str">
        <f t="shared" si="184"/>
        <v>OK: capability-driven</v>
      </c>
      <c r="CR812" t="str">
        <f t="shared" si="185"/>
        <v>Risk ontology uses capability=CAP_BACKUP_RECOVERY; bridge=BRG-046; treatment=TRT-BACKUP_RECOVERY-INITIAL; wording=IW-ALL-BACKUP_RECOVERY</v>
      </c>
      <c r="CS812" t="str">
        <f t="shared" si="186"/>
        <v>Yes</v>
      </c>
    </row>
    <row r="813" spans="1:97" ht="69.900000000000006" customHeight="1">
      <c r="A813">
        <f>IF(OR($B813&lt;&gt;"Yes",$BS813=""),"",SUMPRODUCT(($B$500:$B$923="Yes")*ISNUMBER($BS$500:$BS$923)*($BS$500:$BS$923&gt;$BS813))+COUNTIFS($B$500:$B813,"Yes",$BS$500:$BS813,$BS813))</f>
        <v>198</v>
      </c>
      <c r="B813" t="str">
        <f t="shared" si="155"/>
        <v>Yes</v>
      </c>
      <c r="C813" t="s">
        <v>2588</v>
      </c>
      <c r="D813" t="s">
        <v>2613</v>
      </c>
      <c r="E813" t="s">
        <v>2696</v>
      </c>
      <c r="F813" t="s">
        <v>4333</v>
      </c>
      <c r="G813" t="str">
        <f>IF($H813="","",IFERROR(INDEX(_ENGINE_Risk!$H$5:$M$499,MATCH($E813,_ENGINE_Risk!$A$5:$A$499,0),$H813+1),""))</f>
        <v>Severe risk: endpoint inventory, patching, encryption, backup and remote management is not reliably controlled. During IT outage; Cloud outage; Data loss; Cyberattack, the organization may face system outage, data unavailability, excessive RTO/RPO and inability to restore critical technology services with limited visibility or accountability.</v>
      </c>
      <c r="H813">
        <f>IFERROR(VALUE(INDEX(_DATA_Assessment_Model!$H$5:$H$884,MATCH($E813,_DATA_Assessment_Model!$A$5:$A$884,0))),"")</f>
        <v>0</v>
      </c>
      <c r="I813" t="str">
        <f>IF($H813="","",IFERROR(INDEX(_DATA_Assessment_Model!$L$5:$L$884,MATCH($E813,_DATA_Assessment_Model!$A$5:$A$884,0)),IF($H813&lt;=1,"Critical",IF($H813=2,"High",IF($H813=3,"Medium",IF($H813=4,"Low","Resilient"))))))</f>
        <v>Critical</v>
      </c>
      <c r="J813">
        <f t="shared" si="156"/>
        <v>3.6</v>
      </c>
      <c r="K813">
        <f t="shared" si="157"/>
        <v>4.6499999999999995</v>
      </c>
      <c r="L813">
        <f t="shared" si="158"/>
        <v>16.739999999999998</v>
      </c>
      <c r="M813">
        <f t="shared" si="159"/>
        <v>4</v>
      </c>
      <c r="N813">
        <f>IF($H813="","",IFERROR(INDEX(_ENGINE_Risk!$T$5:$Y$499,MATCH($E813,_ENGINE_Risk!$A$5:$A$499,0),$H813+1),""))</f>
        <v>4</v>
      </c>
      <c r="O813">
        <f t="shared" si="160"/>
        <v>5</v>
      </c>
      <c r="P813">
        <f t="shared" si="161"/>
        <v>5</v>
      </c>
      <c r="Q813">
        <f t="shared" si="162"/>
        <v>5</v>
      </c>
      <c r="R813">
        <f t="shared" si="163"/>
        <v>5</v>
      </c>
      <c r="S813">
        <f t="shared" si="164"/>
        <v>1.25</v>
      </c>
      <c r="T813" t="str">
        <f>IF($H813="","",IFERROR(INDEX(_ENGINE_Risk!$N$5:$S$499,MATCH($E813,_ENGINE_Risk!$A$5:$A$499,0),$H813+1),""))</f>
        <v>Create an immediate risk owner, minimum control baseline and fallback procedure for endpoint inventory, patching, encryption, backup and remote management. Add it to the crisis risk register and collect first evidence.</v>
      </c>
      <c r="U813">
        <f>IFERROR(INDEX(_DATA_Assessment_Model!$G$5:$G$884,MATCH($E813,_DATA_Assessment_Model!$A$5:$A$884,0)),"")</f>
        <v>5</v>
      </c>
      <c r="V813">
        <f>IFERROR(INDEX(_DATA_Assessment_Model!$W$5:$W$884,MATCH($E813,_DATA_Assessment_Model!$A$5:$A$884,0)),"")</f>
        <v>5</v>
      </c>
      <c r="W813">
        <f>IFERROR(INDEX(_DATA_Assessment_Model!$X$5:$X$884,MATCH($E813,_DATA_Assessment_Model!$A$5:$A$884,0)),"")</f>
        <v>5</v>
      </c>
      <c r="X813">
        <f>IFERROR(INDEX(_DATA_Assessment_Model!$Y$5:$Y$884,MATCH($E813,_DATA_Assessment_Model!$A$5:$A$884,0)),"")</f>
        <v>5</v>
      </c>
      <c r="Y813" t="s">
        <v>2595</v>
      </c>
      <c r="Z813" t="s">
        <v>8744</v>
      </c>
      <c r="AA813" t="s">
        <v>2698</v>
      </c>
      <c r="AB813">
        <f>IFERROR(INDEX(_DATA_Assessment_Model!$U$5:$U$884,MATCH($E813,_DATA_Assessment_Model!$A$5:$A$884,0)),"")</f>
        <v>0</v>
      </c>
      <c r="AF813" t="s">
        <v>2697</v>
      </c>
      <c r="AO813">
        <f>IF($B813="Yes",IF(IFERROR(INDEX(_ENGINE_Crisis!$F$501:$F$517,MATCH($C813,_ENGINE_Crisis!$A$501:$A$517,0)),1)=0,1,IFERROR(INDEX(_ENGINE_Crisis!$F$501:$F$517,MATCH($C813,_ENGINE_Crisis!$A$501:$A$517,0)),1)),"")</f>
        <v>1</v>
      </c>
      <c r="AP813">
        <f t="shared" si="165"/>
        <v>16.7</v>
      </c>
      <c r="AQ813">
        <f t="shared" si="166"/>
        <v>1.25</v>
      </c>
      <c r="AR813" t="str">
        <f>IFERROR(INDEX(_ENGINE_Crisis!$E$41:$E$700,MATCH('Resilience &amp; Risk Scenario'!$B$6&amp;"|"&amp;$C813,_ENGINE_Crisis!$I$41:$I$700,0)),"")</f>
        <v/>
      </c>
      <c r="AS813" t="str">
        <f>IFERROR(INDEX(_ENGINE_Crisis!$G$41:$G$700,MATCH('Resilience &amp; Risk Scenario'!$B$6&amp;"|"&amp;$C813,_ENGINE_Crisis!$I$41:$I$700,0)),"")</f>
        <v/>
      </c>
      <c r="AT813" t="str">
        <f>IFERROR(INDEX(_ENGINE_Initiatives!$A$5:$A$532,MATCH(1,INDEX((_ENGINE_Initiatives!$B$5:$B$532=$C813)*(_ENGINE_Initiatives!$C$5:$C$532=$D813),0),0)),"")</f>
        <v>INI-051</v>
      </c>
      <c r="AU813" t="str">
        <f>IFERROR(INDEX(_ENGINE_Initiatives!$F$5:$F$532,MATCH(1,INDEX((_ENGINE_Initiatives!$B$5:$B$532=$C813)*(_ENGINE_Initiatives!$C$5:$C$532=$D813),0),0)),"")</f>
        <v>Strengthen IT operations, monitoring, incident and change management</v>
      </c>
      <c r="AV813">
        <f>IFERROR(INDEX(_ENGINE_Initiatives!$AC$5:$AC$532,MATCH(1,INDEX((_ENGINE_Initiatives!$B$5:$B$532=$C813)*(_ENGINE_Initiatives!$C$5:$C$532=$D813),0),0)),"")</f>
        <v>1.34</v>
      </c>
      <c r="AW813" t="str">
        <f>IFERROR(INDEX(_ENGINE_Initiatives!$AE$5:$AE$532,MATCH(1,INDEX((_ENGINE_Initiatives!$B$5:$B$532=$C813)*(_ENGINE_Initiatives!$C$5:$C$532=$D813),0),0)),"")</f>
        <v>12+ months</v>
      </c>
      <c r="AX813">
        <f>IF($B813="Yes",IFERROR((IF(SUMIFS(_REF_Model_Content!$E$1:$E$613,_REF_Model_Content!$A$1:$A$613,PV_Canonical_Industry,_REF_Model_Content!$B$1:$B$613,$C813)=0,1,SUMIFS(_REF_Model_Content!$E$1:$E$613,_REF_Model_Content!$A$1:$A$613,PV_Canonical_Industry,_REF_Model_Content!$B$1:$B$613,$C813))*IFERROR($BU813,1)),1),"")</f>
        <v>1</v>
      </c>
      <c r="AY813">
        <f t="shared" si="167"/>
        <v>16.7</v>
      </c>
      <c r="AZ813">
        <f t="shared" si="168"/>
        <v>1.25</v>
      </c>
      <c r="BB813" t="str">
        <f>IF($H813="","",IFERROR(INDEX(_ENGINE_Risk!$AE$5:$AE$499,MATCH($E813,_ENGINE_Risk!$A$5:$A$499,0)),"Medium"))</f>
        <v>Medium</v>
      </c>
      <c r="BC813">
        <f t="shared" si="169"/>
        <v>1</v>
      </c>
      <c r="BD813">
        <f t="shared" si="170"/>
        <v>1.25</v>
      </c>
      <c r="BF813">
        <f>IF(OR($H813="",$J813=""),"",IFERROR(VLOOKUP(ROUND($J813,0),_CONFIG_Model_Settings!$D$154:$E$158,2,0),""))</f>
        <v>0.5</v>
      </c>
      <c r="BG813">
        <f>IFERROR(IF(OR($H813="",$K813=""),"",ROUND('Company Profile'!$B$113*INDEX(_CONFIG_Model_Settings!$H$154:$H$158,MATCH(ROUND($K813,0),_CONFIG_Model_Settings!$G$154:$G$158,0)),0)),0)</f>
        <v>1875</v>
      </c>
      <c r="BH813">
        <f t="shared" si="171"/>
        <v>937.5</v>
      </c>
      <c r="BI813">
        <f t="shared" si="172"/>
        <v>937.5</v>
      </c>
      <c r="BJ813">
        <f>IF($E813="","",IFERROR(VLOOKUP($C813,_CONFIG_Risk_Calibration!$A$5:$H$21,2,FALSE),3))</f>
        <v>3</v>
      </c>
      <c r="BK813">
        <f>IF($E813="","",IFERROR(VLOOKUP($C813,_CONFIG_Risk_Calibration!$A$5:$H$21,3,FALSE),0))</f>
        <v>0</v>
      </c>
      <c r="BL813">
        <f>IF($E813="","",IFERROR(VLOOKUP($C813,_CONFIG_Risk_Calibration!$A$5:$H$21,4,FALSE),3))</f>
        <v>3</v>
      </c>
      <c r="BM813">
        <f>IF($E813="","",IFERROR(VLOOKUP($C813,_CONFIG_Risk_Calibration!$A$5:$H$21,5,FALSE),3))</f>
        <v>4</v>
      </c>
      <c r="BN813" t="str">
        <f>IF($E813="","",IFERROR(VLOOKUP($C813,_CONFIG_Risk_Calibration!$A$5:$H$21,6,FALSE),"No"))</f>
        <v>Yes</v>
      </c>
      <c r="BO813">
        <f>IF($E813="","",IFERROR(VLOOKUP($C813,_CONFIG_Risk_Calibration!$A$5:$H$21,7,FALSE),1))</f>
        <v>4</v>
      </c>
      <c r="BP813">
        <f>IF($H813="","",MAX(1,MIN(5,((6-$H813)*0.45)+($BJ813*0.2)+('Resilience &amp; Risk Scenario'!$B$7*0.15)+($BK813*0.1)+($BL813*0.05)+(IF($BB813="Fast",5,IF($BB813="Slow",1,3))*0.05))))</f>
        <v>3.6</v>
      </c>
      <c r="BQ813">
        <f t="shared" si="173"/>
        <v>4.6499999999999995</v>
      </c>
      <c r="BR813">
        <f t="shared" si="174"/>
        <v>16.739999999999998</v>
      </c>
      <c r="BS813">
        <f t="shared" si="175"/>
        <v>18.41</v>
      </c>
      <c r="BT813" t="str">
        <f>IFERROR(INDEX(_REF_Capability_Bridge!$D:$D,MATCH($C813&amp;"|"&amp;$D813,_REF_Capability_Bridge!$J:$J,0)),IFERROR(INDEX(_REF_Capability_Bridge!$D:$D,MATCH($C813&amp;"|",_REF_Capability_Bridge!$J:$J,0)),"CAP_GENERIC"))</f>
        <v>CAP_BACKUP_RECOVERY</v>
      </c>
      <c r="BU813">
        <f>IFERROR(IFERROR(INDEX(_ENGINE_Relevance!$L:$L,MATCH($BT813,_ENGINE_Relevance!$B:$B,0)),1),1)</f>
        <v>1</v>
      </c>
      <c r="BV813" t="str">
        <f>IFERROR(INDEX(_REF_Capability_Bridge!$A:$A,MATCH($C813&amp;"|"&amp;$D813,_REF_Capability_Bridge!$J:$J,0)),IFERROR(INDEX(_REF_Capability_Bridge!$A:$A,MATCH($C813&amp;"|",_REF_Capability_Bridge!$J:$J,0)),"No bridge"))</f>
        <v>BRG-046</v>
      </c>
      <c r="BW813" t="str">
        <f t="shared" si="176"/>
        <v>Capability relevance neutral</v>
      </c>
      <c r="BX813" t="str">
        <f t="shared" si="177"/>
        <v>Initial / absent</v>
      </c>
      <c r="BY813" t="str">
        <f>IF($E813="","",IFERROR(INDEX(_REF_Treatment_Library!$A$2:$A$296,MATCH(1,INDEX((_REF_Treatment_Library!$B$2:$B$296=$BT813)*(_REF_Treatment_Library!$C$2:$C$296=PV_Canonical_Industry)*(_REF_Treatment_Library!$E$2:$E$296&lt;=N($H813))*(_REF_Treatment_Library!$F$2:$F$296&gt;=N($H813))*(_REF_Treatment_Library!$O$2:$O$296="Yes"),0),0)),IFERROR(INDEX(_REF_Treatment_Library!$A$2:$A$296,MATCH(1,INDEX((_REF_Treatment_Library!$B$2:$B$296=$BT813)*(_REF_Treatment_Library!$C$2:$C$296="All")*(_REF_Treatment_Library!$E$2:$E$296&lt;=N($H813))*(_REF_Treatment_Library!$F$2:$F$296&gt;=N($H813))*(_REF_Treatment_Library!$O$2:$O$296="Yes"),0),0)),"")))</f>
        <v>TRT-BACKUP_RECOVERY-INITIAL</v>
      </c>
      <c r="BZ813" t="str">
        <f>IF($BY813="","",IFERROR(INDEX(_REF_Treatment_Library!$H$2:$H$296,MATCH($BY813,_REF_Treatment_Library!$A$2:$A$296,0)),""))</f>
        <v>Establish</v>
      </c>
      <c r="CA813" t="str">
        <f>IF($BY813="","",IFERROR(INDEX(_REF_Treatment_Library!$I$2:$I$296,MATCH($BY813,_REF_Treatment_Library!$A$2:$A$296,0)),""))</f>
        <v>Establish baseline controls for Backup / recovery</v>
      </c>
      <c r="CB813" t="str">
        <f>IF($BY813="","",IFERROR(INDEX(_REF_Treatment_Library!$K$2:$K$296,MATCH($BY813,_REF_Treatment_Library!$A$2:$A$296,0)),""))</f>
        <v>Named owner, baseline process, minimum control checklist, first evidence package</v>
      </c>
      <c r="CC813" t="str">
        <f>IF($BY813="","",IFERROR(INDEX(_REF_Treatment_Library!$L$2:$L$296,MATCH($BY813,_REF_Treatment_Library!$A$2:$A$296,0)),""))</f>
        <v>Owner assigned; baseline evidence coverage; open critical gaps</v>
      </c>
      <c r="CD813" t="str">
        <f t="shared" si="178"/>
        <v>Treatment by capability=CAP_BACKUP_RECOVERY; band=Initial / absent; score=0.0; treatment=Establish</v>
      </c>
      <c r="CE813" t="str">
        <f>IF($E813="","",IFERROR(INDEX(_REF_Industry_Wording!$A$2:$A$70,MATCH(1,INDEX((_REF_Industry_Wording!$B$2:$B$70=$BT813)*(_REF_Industry_Wording!$C$2:$C$70=PV_Canonical_Industry)*(_REF_Industry_Wording!$K$2:$K$70="Yes"),0),0)),IFERROR(INDEX(_REF_Industry_Wording!$A$2:$A$70,MATCH(1,INDEX((_REF_Industry_Wording!$B$2:$B$70=$BT813)*(_REF_Industry_Wording!$C$2:$C$70="All")*(_REF_Industry_Wording!$K$2:$K$70="Yes"),0),0)),"")))</f>
        <v>IW-ALL-BACKUP_RECOVERY</v>
      </c>
      <c r="CF813" t="str">
        <f>IF($CE813="","",IFERROR(INDEX(_REF_Industry_Wording!$E$2:$E$70,MATCH($CE813,_REF_Industry_Wording!$A$2:$A$70,0)),""))</f>
        <v>Backup / recovery weakness</v>
      </c>
      <c r="CG813" t="str">
        <f>IF($CE813="","",IFERROR(INDEX(_REF_Industry_Wording!$F$2:$F$70,MATCH($CE813,_REF_Industry_Wording!$A$2:$A$70,0)),""))</f>
        <v>Strengthen Backup / recovery</v>
      </c>
      <c r="CH813" t="str">
        <f>IF($CE813="","",IFERROR(INDEX(_REF_Industry_Wording!$G$2:$G$70,MATCH($CE813,_REF_Industry_Wording!$A$2:$A$70,0)),""))</f>
        <v>Strengthen Backup / recovery using the selected maturity treatment, crisis scenario and evidence requirements.</v>
      </c>
      <c r="CI813" t="str">
        <f>IF($CE813="","",IFERROR(INDEX(_REF_Industry_Wording!$H$2:$H$70,MATCH($CE813,_REF_Industry_Wording!$A$2:$A$70,0)),""))</f>
        <v>Backup / recovery</v>
      </c>
      <c r="CJ813">
        <f>IF($CE813="","",IFERROR(INDEX(_REF_Industry_Wording!$I$2:$I$70,MATCH($CE813,_REF_Industry_Wording!$A$2:$A$70,0)),""))</f>
        <v>0</v>
      </c>
      <c r="CK813" t="str">
        <f>IF($CE813="","",IFERROR(INDEX(_REF_Industry_Wording!$J$2:$J$70,MATCH($CE813,_REF_Industry_Wording!$A$2:$A$70,0)),""))</f>
        <v>Backup / recovery</v>
      </c>
      <c r="CL813" t="str">
        <f t="shared" si="179"/>
        <v>Wording by industry=0; capability=CAP_BACKUP_RECOVERY; risk label=Backup / recovery weakness</v>
      </c>
      <c r="CM813" t="str">
        <f t="shared" si="180"/>
        <v>RISK-ONT-0314</v>
      </c>
      <c r="CN813" t="str">
        <f t="shared" si="181"/>
        <v>RISK-EVT-0314</v>
      </c>
      <c r="CO813" t="str">
        <f t="shared" si="182"/>
        <v>IT Cloud DR|Operations|ITCL-023|CAP_BACKUP_RECOVERY</v>
      </c>
      <c r="CP813" t="str">
        <f t="shared" si="183"/>
        <v>Active</v>
      </c>
      <c r="CQ813" t="str">
        <f t="shared" si="184"/>
        <v>OK: capability-driven</v>
      </c>
      <c r="CR813" t="str">
        <f t="shared" si="185"/>
        <v>Risk ontology uses capability=CAP_BACKUP_RECOVERY; bridge=BRG-046; treatment=TRT-BACKUP_RECOVERY-INITIAL; wording=IW-ALL-BACKUP_RECOVERY</v>
      </c>
      <c r="CS813" t="str">
        <f t="shared" si="186"/>
        <v>Yes</v>
      </c>
    </row>
    <row r="814" spans="1:97" ht="69.900000000000006" customHeight="1">
      <c r="A814">
        <f>IF(OR($B814&lt;&gt;"Yes",$BS814=""),"",SUMPRODUCT(($B$500:$B$923="Yes")*ISNUMBER($BS$500:$BS$923)*($BS$500:$BS$923&gt;$BS814))+COUNTIFS($B$500:$B814,"Yes",$BS$500:$BS814,$BS814))</f>
        <v>199</v>
      </c>
      <c r="B814" t="str">
        <f t="shared" si="155"/>
        <v>Yes</v>
      </c>
      <c r="C814" t="s">
        <v>2588</v>
      </c>
      <c r="D814" t="s">
        <v>2613</v>
      </c>
      <c r="E814" t="s">
        <v>2699</v>
      </c>
      <c r="F814" t="s">
        <v>4333</v>
      </c>
      <c r="G814" t="str">
        <f>IF($H814="","",IFERROR(INDEX(_ENGINE_Risk!$H$5:$M$499,MATCH($E814,_ENGINE_Risk!$A$5:$A$499,0),$H814+1),""))</f>
        <v>Severe risk: license continuity for software, cloud services and critical SaaS tools is not reliably controlled. During IT outage; Cloud outage; Data loss; Cyberattack, the organization may face system outage, data unavailability, excessive RTO/RPO and inability to restore critical technology services with limited visibility or accountability.</v>
      </c>
      <c r="H814">
        <f>IFERROR(VALUE(INDEX(_DATA_Assessment_Model!$H$5:$H$884,MATCH($E814,_DATA_Assessment_Model!$A$5:$A$884,0))),"")</f>
        <v>0</v>
      </c>
      <c r="I814" t="str">
        <f>IF($H814="","",IFERROR(INDEX(_DATA_Assessment_Model!$L$5:$L$884,MATCH($E814,_DATA_Assessment_Model!$A$5:$A$884,0)),IF($H814&lt;=1,"Critical",IF($H814=2,"High",IF($H814=3,"Medium",IF($H814=4,"Low","Resilient"))))))</f>
        <v>Critical</v>
      </c>
      <c r="J814">
        <f t="shared" si="156"/>
        <v>3.6</v>
      </c>
      <c r="K814">
        <f t="shared" si="157"/>
        <v>4.6499999999999995</v>
      </c>
      <c r="L814">
        <f t="shared" si="158"/>
        <v>16.739999999999998</v>
      </c>
      <c r="M814">
        <f t="shared" si="159"/>
        <v>4</v>
      </c>
      <c r="N814">
        <f>IF($H814="","",IFERROR(INDEX(_ENGINE_Risk!$T$5:$Y$499,MATCH($E814,_ENGINE_Risk!$A$5:$A$499,0),$H814+1),""))</f>
        <v>4</v>
      </c>
      <c r="O814">
        <f t="shared" si="160"/>
        <v>5</v>
      </c>
      <c r="P814">
        <f t="shared" si="161"/>
        <v>5</v>
      </c>
      <c r="Q814">
        <f t="shared" si="162"/>
        <v>5</v>
      </c>
      <c r="R814">
        <f t="shared" si="163"/>
        <v>5</v>
      </c>
      <c r="S814">
        <f t="shared" si="164"/>
        <v>1.25</v>
      </c>
      <c r="T814" t="str">
        <f>IF($H814="","",IFERROR(INDEX(_ENGINE_Risk!$N$5:$S$499,MATCH($E814,_ENGINE_Risk!$A$5:$A$499,0),$H814+1),""))</f>
        <v>Create an immediate risk owner, minimum control baseline and fallback procedure for license continuity for software, cloud services and critical SaaS tools. Add it to the crisis risk register and collect first evidence.</v>
      </c>
      <c r="U814">
        <f>IFERROR(INDEX(_DATA_Assessment_Model!$G$5:$G$884,MATCH($E814,_DATA_Assessment_Model!$A$5:$A$884,0)),"")</f>
        <v>5</v>
      </c>
      <c r="V814">
        <f>IFERROR(INDEX(_DATA_Assessment_Model!$W$5:$W$884,MATCH($E814,_DATA_Assessment_Model!$A$5:$A$884,0)),"")</f>
        <v>5</v>
      </c>
      <c r="W814">
        <f>IFERROR(INDEX(_DATA_Assessment_Model!$X$5:$X$884,MATCH($E814,_DATA_Assessment_Model!$A$5:$A$884,0)),"")</f>
        <v>5</v>
      </c>
      <c r="X814">
        <f>IFERROR(INDEX(_DATA_Assessment_Model!$Y$5:$Y$884,MATCH($E814,_DATA_Assessment_Model!$A$5:$A$884,0)),"")</f>
        <v>5</v>
      </c>
      <c r="Y814" t="s">
        <v>2595</v>
      </c>
      <c r="Z814" t="s">
        <v>8744</v>
      </c>
      <c r="AA814" t="s">
        <v>2701</v>
      </c>
      <c r="AB814">
        <f>IFERROR(INDEX(_DATA_Assessment_Model!$U$5:$U$884,MATCH($E814,_DATA_Assessment_Model!$A$5:$A$884,0)),"")</f>
        <v>0</v>
      </c>
      <c r="AF814" t="s">
        <v>2700</v>
      </c>
      <c r="AO814">
        <f>IF($B814="Yes",IF(IFERROR(INDEX(_ENGINE_Crisis!$F$501:$F$517,MATCH($C814,_ENGINE_Crisis!$A$501:$A$517,0)),1)=0,1,IFERROR(INDEX(_ENGINE_Crisis!$F$501:$F$517,MATCH($C814,_ENGINE_Crisis!$A$501:$A$517,0)),1)),"")</f>
        <v>1</v>
      </c>
      <c r="AP814">
        <f t="shared" si="165"/>
        <v>16.7</v>
      </c>
      <c r="AQ814">
        <f t="shared" si="166"/>
        <v>1.25</v>
      </c>
      <c r="AR814" t="str">
        <f>IFERROR(INDEX(_ENGINE_Crisis!$E$41:$E$700,MATCH('Resilience &amp; Risk Scenario'!$B$6&amp;"|"&amp;$C814,_ENGINE_Crisis!$I$41:$I$700,0)),"")</f>
        <v/>
      </c>
      <c r="AS814" t="str">
        <f>IFERROR(INDEX(_ENGINE_Crisis!$G$41:$G$700,MATCH('Resilience &amp; Risk Scenario'!$B$6&amp;"|"&amp;$C814,_ENGINE_Crisis!$I$41:$I$700,0)),"")</f>
        <v/>
      </c>
      <c r="AT814" t="str">
        <f>IFERROR(INDEX(_ENGINE_Initiatives!$A$5:$A$532,MATCH(1,INDEX((_ENGINE_Initiatives!$B$5:$B$532=$C814)*(_ENGINE_Initiatives!$C$5:$C$532=$D814),0),0)),"")</f>
        <v>INI-051</v>
      </c>
      <c r="AU814" t="str">
        <f>IFERROR(INDEX(_ENGINE_Initiatives!$F$5:$F$532,MATCH(1,INDEX((_ENGINE_Initiatives!$B$5:$B$532=$C814)*(_ENGINE_Initiatives!$C$5:$C$532=$D814),0),0)),"")</f>
        <v>Strengthen IT operations, monitoring, incident and change management</v>
      </c>
      <c r="AV814">
        <f>IFERROR(INDEX(_ENGINE_Initiatives!$AC$5:$AC$532,MATCH(1,INDEX((_ENGINE_Initiatives!$B$5:$B$532=$C814)*(_ENGINE_Initiatives!$C$5:$C$532=$D814),0),0)),"")</f>
        <v>1.34</v>
      </c>
      <c r="AW814" t="str">
        <f>IFERROR(INDEX(_ENGINE_Initiatives!$AE$5:$AE$532,MATCH(1,INDEX((_ENGINE_Initiatives!$B$5:$B$532=$C814)*(_ENGINE_Initiatives!$C$5:$C$532=$D814),0),0)),"")</f>
        <v>12+ months</v>
      </c>
      <c r="AX814">
        <f>IF($B814="Yes",IFERROR((IF(SUMIFS(_REF_Model_Content!$E$1:$E$613,_REF_Model_Content!$A$1:$A$613,PV_Canonical_Industry,_REF_Model_Content!$B$1:$B$613,$C814)=0,1,SUMIFS(_REF_Model_Content!$E$1:$E$613,_REF_Model_Content!$A$1:$A$613,PV_Canonical_Industry,_REF_Model_Content!$B$1:$B$613,$C814))*IFERROR($BU814,1)),1),"")</f>
        <v>1</v>
      </c>
      <c r="AY814">
        <f t="shared" si="167"/>
        <v>16.7</v>
      </c>
      <c r="AZ814">
        <f t="shared" si="168"/>
        <v>1.25</v>
      </c>
      <c r="BB814" t="str">
        <f>IF($H814="","",IFERROR(INDEX(_ENGINE_Risk!$AE$5:$AE$499,MATCH($E814,_ENGINE_Risk!$A$5:$A$499,0)),"Medium"))</f>
        <v>Medium</v>
      </c>
      <c r="BC814">
        <f t="shared" si="169"/>
        <v>1</v>
      </c>
      <c r="BD814">
        <f t="shared" si="170"/>
        <v>1.25</v>
      </c>
      <c r="BF814">
        <f>IF(OR($H814="",$J814=""),"",IFERROR(VLOOKUP(ROUND($J814,0),_CONFIG_Model_Settings!$D$154:$E$158,2,0),""))</f>
        <v>0.5</v>
      </c>
      <c r="BG814">
        <f>IFERROR(IF(OR($H814="",$K814=""),"",ROUND('Company Profile'!$B$113*INDEX(_CONFIG_Model_Settings!$H$154:$H$158,MATCH(ROUND($K814,0),_CONFIG_Model_Settings!$G$154:$G$158,0)),0)),0)</f>
        <v>1875</v>
      </c>
      <c r="BH814">
        <f t="shared" si="171"/>
        <v>937.5</v>
      </c>
      <c r="BI814">
        <f t="shared" si="172"/>
        <v>937.5</v>
      </c>
      <c r="BJ814">
        <f>IF($E814="","",IFERROR(VLOOKUP($C814,_CONFIG_Risk_Calibration!$A$5:$H$21,2,FALSE),3))</f>
        <v>3</v>
      </c>
      <c r="BK814">
        <f>IF($E814="","",IFERROR(VLOOKUP($C814,_CONFIG_Risk_Calibration!$A$5:$H$21,3,FALSE),0))</f>
        <v>0</v>
      </c>
      <c r="BL814">
        <f>IF($E814="","",IFERROR(VLOOKUP($C814,_CONFIG_Risk_Calibration!$A$5:$H$21,4,FALSE),3))</f>
        <v>3</v>
      </c>
      <c r="BM814">
        <f>IF($E814="","",IFERROR(VLOOKUP($C814,_CONFIG_Risk_Calibration!$A$5:$H$21,5,FALSE),3))</f>
        <v>4</v>
      </c>
      <c r="BN814" t="str">
        <f>IF($E814="","",IFERROR(VLOOKUP($C814,_CONFIG_Risk_Calibration!$A$5:$H$21,6,FALSE),"No"))</f>
        <v>Yes</v>
      </c>
      <c r="BO814">
        <f>IF($E814="","",IFERROR(VLOOKUP($C814,_CONFIG_Risk_Calibration!$A$5:$H$21,7,FALSE),1))</f>
        <v>4</v>
      </c>
      <c r="BP814">
        <f>IF($H814="","",MAX(1,MIN(5,((6-$H814)*0.45)+($BJ814*0.2)+('Resilience &amp; Risk Scenario'!$B$7*0.15)+($BK814*0.1)+($BL814*0.05)+(IF($BB814="Fast",5,IF($BB814="Slow",1,3))*0.05))))</f>
        <v>3.6</v>
      </c>
      <c r="BQ814">
        <f t="shared" si="173"/>
        <v>4.6499999999999995</v>
      </c>
      <c r="BR814">
        <f t="shared" si="174"/>
        <v>16.739999999999998</v>
      </c>
      <c r="BS814">
        <f t="shared" si="175"/>
        <v>18.41</v>
      </c>
      <c r="BT814" t="str">
        <f>IFERROR(INDEX(_REF_Capability_Bridge!$D:$D,MATCH($C814&amp;"|"&amp;$D814,_REF_Capability_Bridge!$J:$J,0)),IFERROR(INDEX(_REF_Capability_Bridge!$D:$D,MATCH($C814&amp;"|",_REF_Capability_Bridge!$J:$J,0)),"CAP_GENERIC"))</f>
        <v>CAP_BACKUP_RECOVERY</v>
      </c>
      <c r="BU814">
        <f>IFERROR(IFERROR(INDEX(_ENGINE_Relevance!$L:$L,MATCH($BT814,_ENGINE_Relevance!$B:$B,0)),1),1)</f>
        <v>1</v>
      </c>
      <c r="BV814" t="str">
        <f>IFERROR(INDEX(_REF_Capability_Bridge!$A:$A,MATCH($C814&amp;"|"&amp;$D814,_REF_Capability_Bridge!$J:$J,0)),IFERROR(INDEX(_REF_Capability_Bridge!$A:$A,MATCH($C814&amp;"|",_REF_Capability_Bridge!$J:$J,0)),"No bridge"))</f>
        <v>BRG-046</v>
      </c>
      <c r="BW814" t="str">
        <f t="shared" si="176"/>
        <v>Capability relevance neutral</v>
      </c>
      <c r="BX814" t="str">
        <f t="shared" si="177"/>
        <v>Initial / absent</v>
      </c>
      <c r="BY814" t="str">
        <f>IF($E814="","",IFERROR(INDEX(_REF_Treatment_Library!$A$2:$A$296,MATCH(1,INDEX((_REF_Treatment_Library!$B$2:$B$296=$BT814)*(_REF_Treatment_Library!$C$2:$C$296=PV_Canonical_Industry)*(_REF_Treatment_Library!$E$2:$E$296&lt;=N($H814))*(_REF_Treatment_Library!$F$2:$F$296&gt;=N($H814))*(_REF_Treatment_Library!$O$2:$O$296="Yes"),0),0)),IFERROR(INDEX(_REF_Treatment_Library!$A$2:$A$296,MATCH(1,INDEX((_REF_Treatment_Library!$B$2:$B$296=$BT814)*(_REF_Treatment_Library!$C$2:$C$296="All")*(_REF_Treatment_Library!$E$2:$E$296&lt;=N($H814))*(_REF_Treatment_Library!$F$2:$F$296&gt;=N($H814))*(_REF_Treatment_Library!$O$2:$O$296="Yes"),0),0)),"")))</f>
        <v>TRT-BACKUP_RECOVERY-INITIAL</v>
      </c>
      <c r="BZ814" t="str">
        <f>IF($BY814="","",IFERROR(INDEX(_REF_Treatment_Library!$H$2:$H$296,MATCH($BY814,_REF_Treatment_Library!$A$2:$A$296,0)),""))</f>
        <v>Establish</v>
      </c>
      <c r="CA814" t="str">
        <f>IF($BY814="","",IFERROR(INDEX(_REF_Treatment_Library!$I$2:$I$296,MATCH($BY814,_REF_Treatment_Library!$A$2:$A$296,0)),""))</f>
        <v>Establish baseline controls for Backup / recovery</v>
      </c>
      <c r="CB814" t="str">
        <f>IF($BY814="","",IFERROR(INDEX(_REF_Treatment_Library!$K$2:$K$296,MATCH($BY814,_REF_Treatment_Library!$A$2:$A$296,0)),""))</f>
        <v>Named owner, baseline process, minimum control checklist, first evidence package</v>
      </c>
      <c r="CC814" t="str">
        <f>IF($BY814="","",IFERROR(INDEX(_REF_Treatment_Library!$L$2:$L$296,MATCH($BY814,_REF_Treatment_Library!$A$2:$A$296,0)),""))</f>
        <v>Owner assigned; baseline evidence coverage; open critical gaps</v>
      </c>
      <c r="CD814" t="str">
        <f t="shared" si="178"/>
        <v>Treatment by capability=CAP_BACKUP_RECOVERY; band=Initial / absent; score=0.0; treatment=Establish</v>
      </c>
      <c r="CE814" t="str">
        <f>IF($E814="","",IFERROR(INDEX(_REF_Industry_Wording!$A$2:$A$70,MATCH(1,INDEX((_REF_Industry_Wording!$B$2:$B$70=$BT814)*(_REF_Industry_Wording!$C$2:$C$70=PV_Canonical_Industry)*(_REF_Industry_Wording!$K$2:$K$70="Yes"),0),0)),IFERROR(INDEX(_REF_Industry_Wording!$A$2:$A$70,MATCH(1,INDEX((_REF_Industry_Wording!$B$2:$B$70=$BT814)*(_REF_Industry_Wording!$C$2:$C$70="All")*(_REF_Industry_Wording!$K$2:$K$70="Yes"),0),0)),"")))</f>
        <v>IW-ALL-BACKUP_RECOVERY</v>
      </c>
      <c r="CF814" t="str">
        <f>IF($CE814="","",IFERROR(INDEX(_REF_Industry_Wording!$E$2:$E$70,MATCH($CE814,_REF_Industry_Wording!$A$2:$A$70,0)),""))</f>
        <v>Backup / recovery weakness</v>
      </c>
      <c r="CG814" t="str">
        <f>IF($CE814="","",IFERROR(INDEX(_REF_Industry_Wording!$F$2:$F$70,MATCH($CE814,_REF_Industry_Wording!$A$2:$A$70,0)),""))</f>
        <v>Strengthen Backup / recovery</v>
      </c>
      <c r="CH814" t="str">
        <f>IF($CE814="","",IFERROR(INDEX(_REF_Industry_Wording!$G$2:$G$70,MATCH($CE814,_REF_Industry_Wording!$A$2:$A$70,0)),""))</f>
        <v>Strengthen Backup / recovery using the selected maturity treatment, crisis scenario and evidence requirements.</v>
      </c>
      <c r="CI814" t="str">
        <f>IF($CE814="","",IFERROR(INDEX(_REF_Industry_Wording!$H$2:$H$70,MATCH($CE814,_REF_Industry_Wording!$A$2:$A$70,0)),""))</f>
        <v>Backup / recovery</v>
      </c>
      <c r="CJ814">
        <f>IF($CE814="","",IFERROR(INDEX(_REF_Industry_Wording!$I$2:$I$70,MATCH($CE814,_REF_Industry_Wording!$A$2:$A$70,0)),""))</f>
        <v>0</v>
      </c>
      <c r="CK814" t="str">
        <f>IF($CE814="","",IFERROR(INDEX(_REF_Industry_Wording!$J$2:$J$70,MATCH($CE814,_REF_Industry_Wording!$A$2:$A$70,0)),""))</f>
        <v>Backup / recovery</v>
      </c>
      <c r="CL814" t="str">
        <f t="shared" si="179"/>
        <v>Wording by industry=0; capability=CAP_BACKUP_RECOVERY; risk label=Backup / recovery weakness</v>
      </c>
      <c r="CM814" t="str">
        <f t="shared" si="180"/>
        <v>RISK-ONT-0315</v>
      </c>
      <c r="CN814" t="str">
        <f t="shared" si="181"/>
        <v>RISK-EVT-0315</v>
      </c>
      <c r="CO814" t="str">
        <f t="shared" si="182"/>
        <v>IT Cloud DR|Operations|ITCL-024|CAP_BACKUP_RECOVERY</v>
      </c>
      <c r="CP814" t="str">
        <f t="shared" si="183"/>
        <v>Active</v>
      </c>
      <c r="CQ814" t="str">
        <f t="shared" si="184"/>
        <v>OK: capability-driven</v>
      </c>
      <c r="CR814" t="str">
        <f t="shared" si="185"/>
        <v>Risk ontology uses capability=CAP_BACKUP_RECOVERY; bridge=BRG-046; treatment=TRT-BACKUP_RECOVERY-INITIAL; wording=IW-ALL-BACKUP_RECOVERY</v>
      </c>
      <c r="CS814" t="str">
        <f t="shared" si="186"/>
        <v>Yes</v>
      </c>
    </row>
    <row r="815" spans="1:97" ht="69.900000000000006" customHeight="1">
      <c r="A815">
        <f>IF(OR($B815&lt;&gt;"Yes",$BS815=""),"",SUMPRODUCT(($B$500:$B$923="Yes")*ISNUMBER($BS$500:$BS$923)*($BS$500:$BS$923&gt;$BS815))+COUNTIFS($B$500:$B815,"Yes",$BS$500:$BS815,$BS815))</f>
        <v>200</v>
      </c>
      <c r="B815" t="str">
        <f t="shared" si="155"/>
        <v>Yes</v>
      </c>
      <c r="C815" t="s">
        <v>2588</v>
      </c>
      <c r="D815" t="s">
        <v>2623</v>
      </c>
      <c r="E815" t="s">
        <v>2702</v>
      </c>
      <c r="F815" t="s">
        <v>4333</v>
      </c>
      <c r="G815" t="str">
        <f>IF($H815="","",IFERROR(INDEX(_ENGINE_Risk!$H$5:$M$499,MATCH($E815,_ENGINE_Risk!$A$5:$A$499,0),$H815+1),""))</f>
        <v>Severe risk: critical SaaS assessment for availability, export, backup, admin access, integrations and contract continuity is not reliably controlled. During IT outage; Cloud outage; Data loss; Cyberattack, the organization may face system outage, data unavailability, excessive RTO/RPO and inability to restore critical technology services with limited visibility or accountability.</v>
      </c>
      <c r="H815">
        <f>IFERROR(VALUE(INDEX(_DATA_Assessment_Model!$H$5:$H$884,MATCH($E815,_DATA_Assessment_Model!$A$5:$A$884,0))),"")</f>
        <v>0</v>
      </c>
      <c r="I815" t="str">
        <f>IF($H815="","",IFERROR(INDEX(_DATA_Assessment_Model!$L$5:$L$884,MATCH($E815,_DATA_Assessment_Model!$A$5:$A$884,0)),IF($H815&lt;=1,"Critical",IF($H815=2,"High",IF($H815=3,"Medium",IF($H815=4,"Low","Resilient"))))))</f>
        <v>Critical</v>
      </c>
      <c r="J815">
        <f t="shared" si="156"/>
        <v>3.6</v>
      </c>
      <c r="K815">
        <f t="shared" si="157"/>
        <v>4.6499999999999995</v>
      </c>
      <c r="L815">
        <f t="shared" si="158"/>
        <v>16.739999999999998</v>
      </c>
      <c r="M815">
        <f t="shared" si="159"/>
        <v>4</v>
      </c>
      <c r="N815">
        <f>IF($H815="","",IFERROR(INDEX(_ENGINE_Risk!$T$5:$Y$499,MATCH($E815,_ENGINE_Risk!$A$5:$A$499,0),$H815+1),""))</f>
        <v>4</v>
      </c>
      <c r="O815">
        <f t="shared" si="160"/>
        <v>5</v>
      </c>
      <c r="P815">
        <f t="shared" si="161"/>
        <v>5</v>
      </c>
      <c r="Q815">
        <f t="shared" si="162"/>
        <v>5</v>
      </c>
      <c r="R815">
        <f t="shared" si="163"/>
        <v>5</v>
      </c>
      <c r="S815">
        <f t="shared" si="164"/>
        <v>1.25</v>
      </c>
      <c r="T815" t="str">
        <f>IF($H815="","",IFERROR(INDEX(_ENGINE_Risk!$N$5:$S$499,MATCH($E815,_ENGINE_Risk!$A$5:$A$499,0),$H815+1),""))</f>
        <v>Create an immediate risk owner, minimum control baseline and fallback procedure for critical SaaS assessment for availability, export, backup, admin access, integrations and contract continuity. Add it to the crisis risk register and collect first evidence.</v>
      </c>
      <c r="U815">
        <f>IFERROR(INDEX(_DATA_Assessment_Model!$G$5:$G$884,MATCH($E815,_DATA_Assessment_Model!$A$5:$A$884,0)),"")</f>
        <v>5</v>
      </c>
      <c r="V815">
        <f>IFERROR(INDEX(_DATA_Assessment_Model!$W$5:$W$884,MATCH($E815,_DATA_Assessment_Model!$A$5:$A$884,0)),"")</f>
        <v>5</v>
      </c>
      <c r="W815">
        <f>IFERROR(INDEX(_DATA_Assessment_Model!$X$5:$X$884,MATCH($E815,_DATA_Assessment_Model!$A$5:$A$884,0)),"")</f>
        <v>5</v>
      </c>
      <c r="X815">
        <f>IFERROR(INDEX(_DATA_Assessment_Model!$Y$5:$Y$884,MATCH($E815,_DATA_Assessment_Model!$A$5:$A$884,0)),"")</f>
        <v>5</v>
      </c>
      <c r="Y815" t="s">
        <v>2595</v>
      </c>
      <c r="Z815" t="s">
        <v>8744</v>
      </c>
      <c r="AA815" t="s">
        <v>2704</v>
      </c>
      <c r="AB815">
        <f>IFERROR(INDEX(_DATA_Assessment_Model!$U$5:$U$884,MATCH($E815,_DATA_Assessment_Model!$A$5:$A$884,0)),"")</f>
        <v>0</v>
      </c>
      <c r="AF815" t="s">
        <v>2703</v>
      </c>
      <c r="AO815">
        <f>IF($B815="Yes",IF(IFERROR(INDEX(_ENGINE_Crisis!$F$501:$F$517,MATCH($C815,_ENGINE_Crisis!$A$501:$A$517,0)),1)=0,1,IFERROR(INDEX(_ENGINE_Crisis!$F$501:$F$517,MATCH($C815,_ENGINE_Crisis!$A$501:$A$517,0)),1)),"")</f>
        <v>1</v>
      </c>
      <c r="AP815">
        <f t="shared" si="165"/>
        <v>16.7</v>
      </c>
      <c r="AQ815">
        <f t="shared" si="166"/>
        <v>1.25</v>
      </c>
      <c r="AR815" t="str">
        <f>IFERROR(INDEX(_ENGINE_Crisis!$E$41:$E$700,MATCH('Resilience &amp; Risk Scenario'!$B$6&amp;"|"&amp;$C815,_ENGINE_Crisis!$I$41:$I$700,0)),"")</f>
        <v/>
      </c>
      <c r="AS815" t="str">
        <f>IFERROR(INDEX(_ENGINE_Crisis!$G$41:$G$700,MATCH('Resilience &amp; Risk Scenario'!$B$6&amp;"|"&amp;$C815,_ENGINE_Crisis!$I$41:$I$700,0)),"")</f>
        <v/>
      </c>
      <c r="AT815" t="str">
        <f>IFERROR(INDEX(_ENGINE_Initiatives!$A$5:$A$532,MATCH(1,INDEX((_ENGINE_Initiatives!$B$5:$B$532=$C815)*(_ENGINE_Initiatives!$C$5:$C$532=$D815),0),0)),"")</f>
        <v>INI-052</v>
      </c>
      <c r="AU815" t="str">
        <f>IFERROR(INDEX(_ENGINE_Initiatives!$F$5:$F$532,MATCH(1,INDEX((_ENGINE_Initiatives!$B$5:$B$532=$C815)*(_ENGINE_Initiatives!$C$5:$C$532=$D815),0),0)),"")</f>
        <v>Stabilize SaaS ownership, integrations and vendor continuity</v>
      </c>
      <c r="AV815">
        <f>IFERROR(INDEX(_ENGINE_Initiatives!$AC$5:$AC$532,MATCH(1,INDEX((_ENGINE_Initiatives!$B$5:$B$532=$C815)*(_ENGINE_Initiatives!$C$5:$C$532=$D815),0),0)),"")</f>
        <v>1.34</v>
      </c>
      <c r="AW815" t="str">
        <f>IFERROR(INDEX(_ENGINE_Initiatives!$AE$5:$AE$532,MATCH(1,INDEX((_ENGINE_Initiatives!$B$5:$B$532=$C815)*(_ENGINE_Initiatives!$C$5:$C$532=$D815),0),0)),"")</f>
        <v>12+ months</v>
      </c>
      <c r="AX815">
        <f>IF($B815="Yes",IFERROR((IF(SUMIFS(_REF_Model_Content!$E$1:$E$613,_REF_Model_Content!$A$1:$A$613,PV_Canonical_Industry,_REF_Model_Content!$B$1:$B$613,$C815)=0,1,SUMIFS(_REF_Model_Content!$E$1:$E$613,_REF_Model_Content!$A$1:$A$613,PV_Canonical_Industry,_REF_Model_Content!$B$1:$B$613,$C815))*IFERROR($BU815,1)),1),"")</f>
        <v>1</v>
      </c>
      <c r="AY815">
        <f t="shared" si="167"/>
        <v>16.7</v>
      </c>
      <c r="AZ815">
        <f t="shared" si="168"/>
        <v>1.25</v>
      </c>
      <c r="BB815" t="str">
        <f>IF($H815="","",IFERROR(INDEX(_ENGINE_Risk!$AE$5:$AE$499,MATCH($E815,_ENGINE_Risk!$A$5:$A$499,0)),"Medium"))</f>
        <v>Medium</v>
      </c>
      <c r="BC815">
        <f t="shared" si="169"/>
        <v>1</v>
      </c>
      <c r="BD815">
        <f t="shared" si="170"/>
        <v>1.25</v>
      </c>
      <c r="BF815">
        <f>IF(OR($H815="",$J815=""),"",IFERROR(VLOOKUP(ROUND($J815,0),_CONFIG_Model_Settings!$D$154:$E$158,2,0),""))</f>
        <v>0.5</v>
      </c>
      <c r="BG815">
        <f>IFERROR(IF(OR($H815="",$K815=""),"",ROUND('Company Profile'!$B$113*INDEX(_CONFIG_Model_Settings!$H$154:$H$158,MATCH(ROUND($K815,0),_CONFIG_Model_Settings!$G$154:$G$158,0)),0)),0)</f>
        <v>1875</v>
      </c>
      <c r="BH815">
        <f t="shared" si="171"/>
        <v>937.5</v>
      </c>
      <c r="BI815">
        <f t="shared" si="172"/>
        <v>937.5</v>
      </c>
      <c r="BJ815">
        <f>IF($E815="","",IFERROR(VLOOKUP($C815,_CONFIG_Risk_Calibration!$A$5:$H$21,2,FALSE),3))</f>
        <v>3</v>
      </c>
      <c r="BK815">
        <f>IF($E815="","",IFERROR(VLOOKUP($C815,_CONFIG_Risk_Calibration!$A$5:$H$21,3,FALSE),0))</f>
        <v>0</v>
      </c>
      <c r="BL815">
        <f>IF($E815="","",IFERROR(VLOOKUP($C815,_CONFIG_Risk_Calibration!$A$5:$H$21,4,FALSE),3))</f>
        <v>3</v>
      </c>
      <c r="BM815">
        <f>IF($E815="","",IFERROR(VLOOKUP($C815,_CONFIG_Risk_Calibration!$A$5:$H$21,5,FALSE),3))</f>
        <v>4</v>
      </c>
      <c r="BN815" t="str">
        <f>IF($E815="","",IFERROR(VLOOKUP($C815,_CONFIG_Risk_Calibration!$A$5:$H$21,6,FALSE),"No"))</f>
        <v>Yes</v>
      </c>
      <c r="BO815">
        <f>IF($E815="","",IFERROR(VLOOKUP($C815,_CONFIG_Risk_Calibration!$A$5:$H$21,7,FALSE),1))</f>
        <v>4</v>
      </c>
      <c r="BP815">
        <f>IF($H815="","",MAX(1,MIN(5,((6-$H815)*0.45)+($BJ815*0.2)+('Resilience &amp; Risk Scenario'!$B$7*0.15)+($BK815*0.1)+($BL815*0.05)+(IF($BB815="Fast",5,IF($BB815="Slow",1,3))*0.05))))</f>
        <v>3.6</v>
      </c>
      <c r="BQ815">
        <f t="shared" si="173"/>
        <v>4.6499999999999995</v>
      </c>
      <c r="BR815">
        <f t="shared" si="174"/>
        <v>16.739999999999998</v>
      </c>
      <c r="BS815">
        <f t="shared" si="175"/>
        <v>18.41</v>
      </c>
      <c r="BT815" t="str">
        <f>IFERROR(INDEX(_REF_Capability_Bridge!$D:$D,MATCH($C815&amp;"|"&amp;$D815,_REF_Capability_Bridge!$J:$J,0)),IFERROR(INDEX(_REF_Capability_Bridge!$D:$D,MATCH($C815&amp;"|",_REF_Capability_Bridge!$J:$J,0)),"CAP_GENERIC"))</f>
        <v>CAP_BACKUP_RECOVERY</v>
      </c>
      <c r="BU815">
        <f>IFERROR(IFERROR(INDEX(_ENGINE_Relevance!$L:$L,MATCH($BT815,_ENGINE_Relevance!$B:$B,0)),1),1)</f>
        <v>1</v>
      </c>
      <c r="BV815" t="str">
        <f>IFERROR(INDEX(_REF_Capability_Bridge!$A:$A,MATCH($C815&amp;"|"&amp;$D815,_REF_Capability_Bridge!$J:$J,0)),IFERROR(INDEX(_REF_Capability_Bridge!$A:$A,MATCH($C815&amp;"|",_REF_Capability_Bridge!$J:$J,0)),"No bridge"))</f>
        <v>BRG-048</v>
      </c>
      <c r="BW815" t="str">
        <f t="shared" si="176"/>
        <v>Capability relevance neutral</v>
      </c>
      <c r="BX815" t="str">
        <f t="shared" si="177"/>
        <v>Initial / absent</v>
      </c>
      <c r="BY815" t="str">
        <f>IF($E815="","",IFERROR(INDEX(_REF_Treatment_Library!$A$2:$A$296,MATCH(1,INDEX((_REF_Treatment_Library!$B$2:$B$296=$BT815)*(_REF_Treatment_Library!$C$2:$C$296=PV_Canonical_Industry)*(_REF_Treatment_Library!$E$2:$E$296&lt;=N($H815))*(_REF_Treatment_Library!$F$2:$F$296&gt;=N($H815))*(_REF_Treatment_Library!$O$2:$O$296="Yes"),0),0)),IFERROR(INDEX(_REF_Treatment_Library!$A$2:$A$296,MATCH(1,INDEX((_REF_Treatment_Library!$B$2:$B$296=$BT815)*(_REF_Treatment_Library!$C$2:$C$296="All")*(_REF_Treatment_Library!$E$2:$E$296&lt;=N($H815))*(_REF_Treatment_Library!$F$2:$F$296&gt;=N($H815))*(_REF_Treatment_Library!$O$2:$O$296="Yes"),0),0)),"")))</f>
        <v>TRT-BACKUP_RECOVERY-INITIAL</v>
      </c>
      <c r="BZ815" t="str">
        <f>IF($BY815="","",IFERROR(INDEX(_REF_Treatment_Library!$H$2:$H$296,MATCH($BY815,_REF_Treatment_Library!$A$2:$A$296,0)),""))</f>
        <v>Establish</v>
      </c>
      <c r="CA815" t="str">
        <f>IF($BY815="","",IFERROR(INDEX(_REF_Treatment_Library!$I$2:$I$296,MATCH($BY815,_REF_Treatment_Library!$A$2:$A$296,0)),""))</f>
        <v>Establish baseline controls for Backup / recovery</v>
      </c>
      <c r="CB815" t="str">
        <f>IF($BY815="","",IFERROR(INDEX(_REF_Treatment_Library!$K$2:$K$296,MATCH($BY815,_REF_Treatment_Library!$A$2:$A$296,0)),""))</f>
        <v>Named owner, baseline process, minimum control checklist, first evidence package</v>
      </c>
      <c r="CC815" t="str">
        <f>IF($BY815="","",IFERROR(INDEX(_REF_Treatment_Library!$L$2:$L$296,MATCH($BY815,_REF_Treatment_Library!$A$2:$A$296,0)),""))</f>
        <v>Owner assigned; baseline evidence coverage; open critical gaps</v>
      </c>
      <c r="CD815" t="str">
        <f t="shared" si="178"/>
        <v>Treatment by capability=CAP_BACKUP_RECOVERY; band=Initial / absent; score=0.0; treatment=Establish</v>
      </c>
      <c r="CE815" t="str">
        <f>IF($E815="","",IFERROR(INDEX(_REF_Industry_Wording!$A$2:$A$70,MATCH(1,INDEX((_REF_Industry_Wording!$B$2:$B$70=$BT815)*(_REF_Industry_Wording!$C$2:$C$70=PV_Canonical_Industry)*(_REF_Industry_Wording!$K$2:$K$70="Yes"),0),0)),IFERROR(INDEX(_REF_Industry_Wording!$A$2:$A$70,MATCH(1,INDEX((_REF_Industry_Wording!$B$2:$B$70=$BT815)*(_REF_Industry_Wording!$C$2:$C$70="All")*(_REF_Industry_Wording!$K$2:$K$70="Yes"),0),0)),"")))</f>
        <v>IW-ALL-BACKUP_RECOVERY</v>
      </c>
      <c r="CF815" t="str">
        <f>IF($CE815="","",IFERROR(INDEX(_REF_Industry_Wording!$E$2:$E$70,MATCH($CE815,_REF_Industry_Wording!$A$2:$A$70,0)),""))</f>
        <v>Backup / recovery weakness</v>
      </c>
      <c r="CG815" t="str">
        <f>IF($CE815="","",IFERROR(INDEX(_REF_Industry_Wording!$F$2:$F$70,MATCH($CE815,_REF_Industry_Wording!$A$2:$A$70,0)),""))</f>
        <v>Strengthen Backup / recovery</v>
      </c>
      <c r="CH815" t="str">
        <f>IF($CE815="","",IFERROR(INDEX(_REF_Industry_Wording!$G$2:$G$70,MATCH($CE815,_REF_Industry_Wording!$A$2:$A$70,0)),""))</f>
        <v>Strengthen Backup / recovery using the selected maturity treatment, crisis scenario and evidence requirements.</v>
      </c>
      <c r="CI815" t="str">
        <f>IF($CE815="","",IFERROR(INDEX(_REF_Industry_Wording!$H$2:$H$70,MATCH($CE815,_REF_Industry_Wording!$A$2:$A$70,0)),""))</f>
        <v>Backup / recovery</v>
      </c>
      <c r="CJ815">
        <f>IF($CE815="","",IFERROR(INDEX(_REF_Industry_Wording!$I$2:$I$70,MATCH($CE815,_REF_Industry_Wording!$A$2:$A$70,0)),""))</f>
        <v>0</v>
      </c>
      <c r="CK815" t="str">
        <f>IF($CE815="","",IFERROR(INDEX(_REF_Industry_Wording!$J$2:$J$70,MATCH($CE815,_REF_Industry_Wording!$A$2:$A$70,0)),""))</f>
        <v>Backup / recovery</v>
      </c>
      <c r="CL815" t="str">
        <f t="shared" si="179"/>
        <v>Wording by industry=0; capability=CAP_BACKUP_RECOVERY; risk label=Backup / recovery weakness</v>
      </c>
      <c r="CM815" t="str">
        <f t="shared" si="180"/>
        <v>RISK-ONT-0316</v>
      </c>
      <c r="CN815" t="str">
        <f t="shared" si="181"/>
        <v>RISK-EVT-0316</v>
      </c>
      <c r="CO815" t="str">
        <f t="shared" si="182"/>
        <v>IT Cloud DR|SaaS and integrations|ITCL-025|CAP_BACKUP_RECOVERY</v>
      </c>
      <c r="CP815" t="str">
        <f t="shared" si="183"/>
        <v>Active</v>
      </c>
      <c r="CQ815" t="str">
        <f t="shared" si="184"/>
        <v>OK: capability-driven</v>
      </c>
      <c r="CR815" t="str">
        <f t="shared" si="185"/>
        <v>Risk ontology uses capability=CAP_BACKUP_RECOVERY; bridge=BRG-048; treatment=TRT-BACKUP_RECOVERY-INITIAL; wording=IW-ALL-BACKUP_RECOVERY</v>
      </c>
      <c r="CS815" t="str">
        <f t="shared" si="186"/>
        <v>Yes</v>
      </c>
    </row>
    <row r="816" spans="1:97" ht="69.900000000000006" customHeight="1">
      <c r="A816">
        <f>IF(OR($B816&lt;&gt;"Yes",$BS816=""),"",SUMPRODUCT(($B$500:$B$923="Yes")*ISNUMBER($BS$500:$BS$923)*($BS$500:$BS$923&gt;$BS816))+COUNTIFS($B$500:$B816,"Yes",$BS$500:$BS816,$BS816))</f>
        <v>201</v>
      </c>
      <c r="B816" t="str">
        <f t="shared" si="155"/>
        <v>Yes</v>
      </c>
      <c r="C816" t="s">
        <v>2588</v>
      </c>
      <c r="D816" t="s">
        <v>2623</v>
      </c>
      <c r="E816" t="s">
        <v>2705</v>
      </c>
      <c r="F816" t="s">
        <v>4333</v>
      </c>
      <c r="G816" t="str">
        <f>IF($H816="","",IFERROR(INDEX(_ENGINE_Risk!$H$5:$M$499,MATCH($E816,_ENGINE_Risk!$A$5:$A$499,0),$H816+1),""))</f>
        <v>Severe risk: SaaS data backup or exportability if provider or account becomes unavailable is not reliably controlled. During IT outage; Cloud outage; Data loss; Cyberattack, the organization may face system outage, data unavailability, excessive RTO/RPO and inability to restore critical technology services with limited visibility or accountability.</v>
      </c>
      <c r="H816">
        <f>IFERROR(VALUE(INDEX(_DATA_Assessment_Model!$H$5:$H$884,MATCH($E816,_DATA_Assessment_Model!$A$5:$A$884,0))),"")</f>
        <v>0</v>
      </c>
      <c r="I816" t="str">
        <f>IF($H816="","",IFERROR(INDEX(_DATA_Assessment_Model!$L$5:$L$884,MATCH($E816,_DATA_Assessment_Model!$A$5:$A$884,0)),IF($H816&lt;=1,"Critical",IF($H816=2,"High",IF($H816=3,"Medium",IF($H816=4,"Low","Resilient"))))))</f>
        <v>Critical</v>
      </c>
      <c r="J816">
        <f t="shared" si="156"/>
        <v>3.6</v>
      </c>
      <c r="K816">
        <f t="shared" si="157"/>
        <v>4.6499999999999995</v>
      </c>
      <c r="L816">
        <f t="shared" si="158"/>
        <v>16.739999999999998</v>
      </c>
      <c r="M816">
        <f t="shared" si="159"/>
        <v>4</v>
      </c>
      <c r="N816">
        <f>IF($H816="","",IFERROR(INDEX(_ENGINE_Risk!$T$5:$Y$499,MATCH($E816,_ENGINE_Risk!$A$5:$A$499,0),$H816+1),""))</f>
        <v>4</v>
      </c>
      <c r="O816">
        <f t="shared" si="160"/>
        <v>5</v>
      </c>
      <c r="P816">
        <f t="shared" si="161"/>
        <v>5</v>
      </c>
      <c r="Q816">
        <f t="shared" si="162"/>
        <v>5</v>
      </c>
      <c r="R816">
        <f t="shared" si="163"/>
        <v>5</v>
      </c>
      <c r="S816">
        <f t="shared" si="164"/>
        <v>1.25</v>
      </c>
      <c r="T816" t="str">
        <f>IF($H816="","",IFERROR(INDEX(_ENGINE_Risk!$N$5:$S$499,MATCH($E816,_ENGINE_Risk!$A$5:$A$499,0),$H816+1),""))</f>
        <v>Create an immediate risk owner, minimum control baseline and fallback procedure for SaaS data backup or exportability if provider or account becomes unavailable. Add it to the crisis risk register and collect first evidence.</v>
      </c>
      <c r="U816">
        <f>IFERROR(INDEX(_DATA_Assessment_Model!$G$5:$G$884,MATCH($E816,_DATA_Assessment_Model!$A$5:$A$884,0)),"")</f>
        <v>5</v>
      </c>
      <c r="V816">
        <f>IFERROR(INDEX(_DATA_Assessment_Model!$W$5:$W$884,MATCH($E816,_DATA_Assessment_Model!$A$5:$A$884,0)),"")</f>
        <v>5</v>
      </c>
      <c r="W816">
        <f>IFERROR(INDEX(_DATA_Assessment_Model!$X$5:$X$884,MATCH($E816,_DATA_Assessment_Model!$A$5:$A$884,0)),"")</f>
        <v>5</v>
      </c>
      <c r="X816">
        <f>IFERROR(INDEX(_DATA_Assessment_Model!$Y$5:$Y$884,MATCH($E816,_DATA_Assessment_Model!$A$5:$A$884,0)),"")</f>
        <v>5</v>
      </c>
      <c r="Y816" t="s">
        <v>2595</v>
      </c>
      <c r="Z816" t="s">
        <v>8744</v>
      </c>
      <c r="AA816" t="s">
        <v>2707</v>
      </c>
      <c r="AB816">
        <f>IFERROR(INDEX(_DATA_Assessment_Model!$U$5:$U$884,MATCH($E816,_DATA_Assessment_Model!$A$5:$A$884,0)),"")</f>
        <v>0</v>
      </c>
      <c r="AF816" t="s">
        <v>2706</v>
      </c>
      <c r="AO816">
        <f>IF($B816="Yes",IF(IFERROR(INDEX(_ENGINE_Crisis!$F$501:$F$517,MATCH($C816,_ENGINE_Crisis!$A$501:$A$517,0)),1)=0,1,IFERROR(INDEX(_ENGINE_Crisis!$F$501:$F$517,MATCH($C816,_ENGINE_Crisis!$A$501:$A$517,0)),1)),"")</f>
        <v>1</v>
      </c>
      <c r="AP816">
        <f t="shared" si="165"/>
        <v>16.7</v>
      </c>
      <c r="AQ816">
        <f t="shared" si="166"/>
        <v>1.25</v>
      </c>
      <c r="AR816" t="str">
        <f>IFERROR(INDEX(_ENGINE_Crisis!$E$41:$E$700,MATCH('Resilience &amp; Risk Scenario'!$B$6&amp;"|"&amp;$C816,_ENGINE_Crisis!$I$41:$I$700,0)),"")</f>
        <v/>
      </c>
      <c r="AS816" t="str">
        <f>IFERROR(INDEX(_ENGINE_Crisis!$G$41:$G$700,MATCH('Resilience &amp; Risk Scenario'!$B$6&amp;"|"&amp;$C816,_ENGINE_Crisis!$I$41:$I$700,0)),"")</f>
        <v/>
      </c>
      <c r="AT816" t="str">
        <f>IFERROR(INDEX(_ENGINE_Initiatives!$A$5:$A$532,MATCH(1,INDEX((_ENGINE_Initiatives!$B$5:$B$532=$C816)*(_ENGINE_Initiatives!$C$5:$C$532=$D816),0),0)),"")</f>
        <v>INI-052</v>
      </c>
      <c r="AU816" t="str">
        <f>IFERROR(INDEX(_ENGINE_Initiatives!$F$5:$F$532,MATCH(1,INDEX((_ENGINE_Initiatives!$B$5:$B$532=$C816)*(_ENGINE_Initiatives!$C$5:$C$532=$D816),0),0)),"")</f>
        <v>Stabilize SaaS ownership, integrations and vendor continuity</v>
      </c>
      <c r="AV816">
        <f>IFERROR(INDEX(_ENGINE_Initiatives!$AC$5:$AC$532,MATCH(1,INDEX((_ENGINE_Initiatives!$B$5:$B$532=$C816)*(_ENGINE_Initiatives!$C$5:$C$532=$D816),0),0)),"")</f>
        <v>1.34</v>
      </c>
      <c r="AW816" t="str">
        <f>IFERROR(INDEX(_ENGINE_Initiatives!$AE$5:$AE$532,MATCH(1,INDEX((_ENGINE_Initiatives!$B$5:$B$532=$C816)*(_ENGINE_Initiatives!$C$5:$C$532=$D816),0),0)),"")</f>
        <v>12+ months</v>
      </c>
      <c r="AX816">
        <f>IF($B816="Yes",IFERROR((IF(SUMIFS(_REF_Model_Content!$E$1:$E$613,_REF_Model_Content!$A$1:$A$613,PV_Canonical_Industry,_REF_Model_Content!$B$1:$B$613,$C816)=0,1,SUMIFS(_REF_Model_Content!$E$1:$E$613,_REF_Model_Content!$A$1:$A$613,PV_Canonical_Industry,_REF_Model_Content!$B$1:$B$613,$C816))*IFERROR($BU816,1)),1),"")</f>
        <v>1</v>
      </c>
      <c r="AY816">
        <f t="shared" si="167"/>
        <v>16.7</v>
      </c>
      <c r="AZ816">
        <f t="shared" si="168"/>
        <v>1.25</v>
      </c>
      <c r="BB816" t="str">
        <f>IF($H816="","",IFERROR(INDEX(_ENGINE_Risk!$AE$5:$AE$499,MATCH($E816,_ENGINE_Risk!$A$5:$A$499,0)),"Medium"))</f>
        <v>Medium</v>
      </c>
      <c r="BC816">
        <f t="shared" si="169"/>
        <v>1</v>
      </c>
      <c r="BD816">
        <f t="shared" si="170"/>
        <v>1.25</v>
      </c>
      <c r="BF816">
        <f>IF(OR($H816="",$J816=""),"",IFERROR(VLOOKUP(ROUND($J816,0),_CONFIG_Model_Settings!$D$154:$E$158,2,0),""))</f>
        <v>0.5</v>
      </c>
      <c r="BG816">
        <f>IFERROR(IF(OR($H816="",$K816=""),"",ROUND('Company Profile'!$B$113*INDEX(_CONFIG_Model_Settings!$H$154:$H$158,MATCH(ROUND($K816,0),_CONFIG_Model_Settings!$G$154:$G$158,0)),0)),0)</f>
        <v>1875</v>
      </c>
      <c r="BH816">
        <f t="shared" si="171"/>
        <v>937.5</v>
      </c>
      <c r="BI816">
        <f t="shared" si="172"/>
        <v>937.5</v>
      </c>
      <c r="BJ816">
        <f>IF($E816="","",IFERROR(VLOOKUP($C816,_CONFIG_Risk_Calibration!$A$5:$H$21,2,FALSE),3))</f>
        <v>3</v>
      </c>
      <c r="BK816">
        <f>IF($E816="","",IFERROR(VLOOKUP($C816,_CONFIG_Risk_Calibration!$A$5:$H$21,3,FALSE),0))</f>
        <v>0</v>
      </c>
      <c r="BL816">
        <f>IF($E816="","",IFERROR(VLOOKUP($C816,_CONFIG_Risk_Calibration!$A$5:$H$21,4,FALSE),3))</f>
        <v>3</v>
      </c>
      <c r="BM816">
        <f>IF($E816="","",IFERROR(VLOOKUP($C816,_CONFIG_Risk_Calibration!$A$5:$H$21,5,FALSE),3))</f>
        <v>4</v>
      </c>
      <c r="BN816" t="str">
        <f>IF($E816="","",IFERROR(VLOOKUP($C816,_CONFIG_Risk_Calibration!$A$5:$H$21,6,FALSE),"No"))</f>
        <v>Yes</v>
      </c>
      <c r="BO816">
        <f>IF($E816="","",IFERROR(VLOOKUP($C816,_CONFIG_Risk_Calibration!$A$5:$H$21,7,FALSE),1))</f>
        <v>4</v>
      </c>
      <c r="BP816">
        <f>IF($H816="","",MAX(1,MIN(5,((6-$H816)*0.45)+($BJ816*0.2)+('Resilience &amp; Risk Scenario'!$B$7*0.15)+($BK816*0.1)+($BL816*0.05)+(IF($BB816="Fast",5,IF($BB816="Slow",1,3))*0.05))))</f>
        <v>3.6</v>
      </c>
      <c r="BQ816">
        <f t="shared" si="173"/>
        <v>4.6499999999999995</v>
      </c>
      <c r="BR816">
        <f t="shared" si="174"/>
        <v>16.739999999999998</v>
      </c>
      <c r="BS816">
        <f t="shared" si="175"/>
        <v>18.41</v>
      </c>
      <c r="BT816" t="str">
        <f>IFERROR(INDEX(_REF_Capability_Bridge!$D:$D,MATCH($C816&amp;"|"&amp;$D816,_REF_Capability_Bridge!$J:$J,0)),IFERROR(INDEX(_REF_Capability_Bridge!$D:$D,MATCH($C816&amp;"|",_REF_Capability_Bridge!$J:$J,0)),"CAP_GENERIC"))</f>
        <v>CAP_BACKUP_RECOVERY</v>
      </c>
      <c r="BU816">
        <f>IFERROR(IFERROR(INDEX(_ENGINE_Relevance!$L:$L,MATCH($BT816,_ENGINE_Relevance!$B:$B,0)),1),1)</f>
        <v>1</v>
      </c>
      <c r="BV816" t="str">
        <f>IFERROR(INDEX(_REF_Capability_Bridge!$A:$A,MATCH($C816&amp;"|"&amp;$D816,_REF_Capability_Bridge!$J:$J,0)),IFERROR(INDEX(_REF_Capability_Bridge!$A:$A,MATCH($C816&amp;"|",_REF_Capability_Bridge!$J:$J,0)),"No bridge"))</f>
        <v>BRG-048</v>
      </c>
      <c r="BW816" t="str">
        <f t="shared" si="176"/>
        <v>Capability relevance neutral</v>
      </c>
      <c r="BX816" t="str">
        <f t="shared" si="177"/>
        <v>Initial / absent</v>
      </c>
      <c r="BY816" t="str">
        <f>IF($E816="","",IFERROR(INDEX(_REF_Treatment_Library!$A$2:$A$296,MATCH(1,INDEX((_REF_Treatment_Library!$B$2:$B$296=$BT816)*(_REF_Treatment_Library!$C$2:$C$296=PV_Canonical_Industry)*(_REF_Treatment_Library!$E$2:$E$296&lt;=N($H816))*(_REF_Treatment_Library!$F$2:$F$296&gt;=N($H816))*(_REF_Treatment_Library!$O$2:$O$296="Yes"),0),0)),IFERROR(INDEX(_REF_Treatment_Library!$A$2:$A$296,MATCH(1,INDEX((_REF_Treatment_Library!$B$2:$B$296=$BT816)*(_REF_Treatment_Library!$C$2:$C$296="All")*(_REF_Treatment_Library!$E$2:$E$296&lt;=N($H816))*(_REF_Treatment_Library!$F$2:$F$296&gt;=N($H816))*(_REF_Treatment_Library!$O$2:$O$296="Yes"),0),0)),"")))</f>
        <v>TRT-BACKUP_RECOVERY-INITIAL</v>
      </c>
      <c r="BZ816" t="str">
        <f>IF($BY816="","",IFERROR(INDEX(_REF_Treatment_Library!$H$2:$H$296,MATCH($BY816,_REF_Treatment_Library!$A$2:$A$296,0)),""))</f>
        <v>Establish</v>
      </c>
      <c r="CA816" t="str">
        <f>IF($BY816="","",IFERROR(INDEX(_REF_Treatment_Library!$I$2:$I$296,MATCH($BY816,_REF_Treatment_Library!$A$2:$A$296,0)),""))</f>
        <v>Establish baseline controls for Backup / recovery</v>
      </c>
      <c r="CB816" t="str">
        <f>IF($BY816="","",IFERROR(INDEX(_REF_Treatment_Library!$K$2:$K$296,MATCH($BY816,_REF_Treatment_Library!$A$2:$A$296,0)),""))</f>
        <v>Named owner, baseline process, minimum control checklist, first evidence package</v>
      </c>
      <c r="CC816" t="str">
        <f>IF($BY816="","",IFERROR(INDEX(_REF_Treatment_Library!$L$2:$L$296,MATCH($BY816,_REF_Treatment_Library!$A$2:$A$296,0)),""))</f>
        <v>Owner assigned; baseline evidence coverage; open critical gaps</v>
      </c>
      <c r="CD816" t="str">
        <f t="shared" si="178"/>
        <v>Treatment by capability=CAP_BACKUP_RECOVERY; band=Initial / absent; score=0.0; treatment=Establish</v>
      </c>
      <c r="CE816" t="str">
        <f>IF($E816="","",IFERROR(INDEX(_REF_Industry_Wording!$A$2:$A$70,MATCH(1,INDEX((_REF_Industry_Wording!$B$2:$B$70=$BT816)*(_REF_Industry_Wording!$C$2:$C$70=PV_Canonical_Industry)*(_REF_Industry_Wording!$K$2:$K$70="Yes"),0),0)),IFERROR(INDEX(_REF_Industry_Wording!$A$2:$A$70,MATCH(1,INDEX((_REF_Industry_Wording!$B$2:$B$70=$BT816)*(_REF_Industry_Wording!$C$2:$C$70="All")*(_REF_Industry_Wording!$K$2:$K$70="Yes"),0),0)),"")))</f>
        <v>IW-ALL-BACKUP_RECOVERY</v>
      </c>
      <c r="CF816" t="str">
        <f>IF($CE816="","",IFERROR(INDEX(_REF_Industry_Wording!$E$2:$E$70,MATCH($CE816,_REF_Industry_Wording!$A$2:$A$70,0)),""))</f>
        <v>Backup / recovery weakness</v>
      </c>
      <c r="CG816" t="str">
        <f>IF($CE816="","",IFERROR(INDEX(_REF_Industry_Wording!$F$2:$F$70,MATCH($CE816,_REF_Industry_Wording!$A$2:$A$70,0)),""))</f>
        <v>Strengthen Backup / recovery</v>
      </c>
      <c r="CH816" t="str">
        <f>IF($CE816="","",IFERROR(INDEX(_REF_Industry_Wording!$G$2:$G$70,MATCH($CE816,_REF_Industry_Wording!$A$2:$A$70,0)),""))</f>
        <v>Strengthen Backup / recovery using the selected maturity treatment, crisis scenario and evidence requirements.</v>
      </c>
      <c r="CI816" t="str">
        <f>IF($CE816="","",IFERROR(INDEX(_REF_Industry_Wording!$H$2:$H$70,MATCH($CE816,_REF_Industry_Wording!$A$2:$A$70,0)),""))</f>
        <v>Backup / recovery</v>
      </c>
      <c r="CJ816">
        <f>IF($CE816="","",IFERROR(INDEX(_REF_Industry_Wording!$I$2:$I$70,MATCH($CE816,_REF_Industry_Wording!$A$2:$A$70,0)),""))</f>
        <v>0</v>
      </c>
      <c r="CK816" t="str">
        <f>IF($CE816="","",IFERROR(INDEX(_REF_Industry_Wording!$J$2:$J$70,MATCH($CE816,_REF_Industry_Wording!$A$2:$A$70,0)),""))</f>
        <v>Backup / recovery</v>
      </c>
      <c r="CL816" t="str">
        <f t="shared" si="179"/>
        <v>Wording by industry=0; capability=CAP_BACKUP_RECOVERY; risk label=Backup / recovery weakness</v>
      </c>
      <c r="CM816" t="str">
        <f t="shared" si="180"/>
        <v>RISK-ONT-0317</v>
      </c>
      <c r="CN816" t="str">
        <f t="shared" si="181"/>
        <v>RISK-EVT-0317</v>
      </c>
      <c r="CO816" t="str">
        <f t="shared" si="182"/>
        <v>IT Cloud DR|SaaS and integrations|ITCL-026|CAP_BACKUP_RECOVERY</v>
      </c>
      <c r="CP816" t="str">
        <f t="shared" si="183"/>
        <v>Active</v>
      </c>
      <c r="CQ816" t="str">
        <f t="shared" si="184"/>
        <v>OK: capability-driven</v>
      </c>
      <c r="CR816" t="str">
        <f t="shared" si="185"/>
        <v>Risk ontology uses capability=CAP_BACKUP_RECOVERY; bridge=BRG-048; treatment=TRT-BACKUP_RECOVERY-INITIAL; wording=IW-ALL-BACKUP_RECOVERY</v>
      </c>
      <c r="CS816" t="str">
        <f t="shared" si="186"/>
        <v>Yes</v>
      </c>
    </row>
    <row r="817" spans="1:97" ht="69.900000000000006" customHeight="1">
      <c r="A817">
        <f>IF(OR($B817&lt;&gt;"Yes",$BS817=""),"",SUMPRODUCT(($B$500:$B$923="Yes")*ISNUMBER($BS$500:$BS$923)*($BS$500:$BS$923&gt;$BS817))+COUNTIFS($B$500:$B817,"Yes",$BS$500:$BS817,$BS817))</f>
        <v>251</v>
      </c>
      <c r="B817" t="str">
        <f t="shared" si="155"/>
        <v>Yes</v>
      </c>
      <c r="C817" t="s">
        <v>2588</v>
      </c>
      <c r="D817" t="s">
        <v>2623</v>
      </c>
      <c r="E817" t="s">
        <v>2708</v>
      </c>
      <c r="F817" t="s">
        <v>4333</v>
      </c>
      <c r="G817" t="str">
        <f>IF($H817="","",IFERROR(INDEX(_ENGINE_Risk!$H$5:$M$499,MATCH($E817,_ENGINE_Risk!$A$5:$A$499,0),$H817+1),""))</f>
        <v>Severe risk: API, ETL, middleware, file exchange and manual integration catalog is not reliably controlled. During IT outage; Cloud outage; Data loss; Cyberattack, the organization may face system outage, data unavailability, excessive RTO/RPO and inability to restore critical technology services with limited visibility or accountability.</v>
      </c>
      <c r="H817">
        <f>IFERROR(VALUE(INDEX(_DATA_Assessment_Model!$H$5:$H$884,MATCH($E817,_DATA_Assessment_Model!$A$5:$A$884,0))),"")</f>
        <v>0</v>
      </c>
      <c r="I817" t="str">
        <f>IF($H817="","",IFERROR(INDEX(_DATA_Assessment_Model!$L$5:$L$884,MATCH($E817,_DATA_Assessment_Model!$A$5:$A$884,0)),IF($H817&lt;=1,"Critical",IF($H817=2,"High",IF($H817=3,"Medium",IF($H817=4,"Low","Resilient"))))))</f>
        <v>Critical</v>
      </c>
      <c r="J817">
        <f t="shared" si="156"/>
        <v>3.6</v>
      </c>
      <c r="K817">
        <f t="shared" si="157"/>
        <v>4.25</v>
      </c>
      <c r="L817">
        <f t="shared" si="158"/>
        <v>15.3</v>
      </c>
      <c r="M817">
        <f t="shared" si="159"/>
        <v>4</v>
      </c>
      <c r="N817">
        <f>IF($H817="","",IFERROR(INDEX(_ENGINE_Risk!$T$5:$Y$499,MATCH($E817,_ENGINE_Risk!$A$5:$A$499,0),$H817+1),""))</f>
        <v>4</v>
      </c>
      <c r="O817">
        <f t="shared" si="160"/>
        <v>4.333333333333333</v>
      </c>
      <c r="P817">
        <f t="shared" si="161"/>
        <v>5</v>
      </c>
      <c r="Q817">
        <f t="shared" si="162"/>
        <v>5</v>
      </c>
      <c r="R817">
        <f t="shared" si="163"/>
        <v>5</v>
      </c>
      <c r="S817">
        <f t="shared" si="164"/>
        <v>1.21</v>
      </c>
      <c r="T817" t="str">
        <f>IF($H817="","",IFERROR(INDEX(_ENGINE_Risk!$N$5:$S$499,MATCH($E817,_ENGINE_Risk!$A$5:$A$499,0),$H817+1),""))</f>
        <v>Create an immediate risk owner, minimum control baseline and fallback procedure for API, ETL, middleware, file exchange and manual integration catalog. Add it to the crisis risk register and collect first evidence.</v>
      </c>
      <c r="U817">
        <f>IFERROR(INDEX(_DATA_Assessment_Model!$G$5:$G$884,MATCH($E817,_DATA_Assessment_Model!$A$5:$A$884,0)),"")</f>
        <v>3</v>
      </c>
      <c r="V817">
        <f>IFERROR(INDEX(_DATA_Assessment_Model!$W$5:$W$884,MATCH($E817,_DATA_Assessment_Model!$A$5:$A$884,0)),"")</f>
        <v>5</v>
      </c>
      <c r="W817">
        <f>IFERROR(INDEX(_DATA_Assessment_Model!$X$5:$X$884,MATCH($E817,_DATA_Assessment_Model!$A$5:$A$884,0)),"")</f>
        <v>5</v>
      </c>
      <c r="X817">
        <f>IFERROR(INDEX(_DATA_Assessment_Model!$Y$5:$Y$884,MATCH($E817,_DATA_Assessment_Model!$A$5:$A$884,0)),"")</f>
        <v>5</v>
      </c>
      <c r="Y817" t="s">
        <v>2595</v>
      </c>
      <c r="Z817" t="s">
        <v>8744</v>
      </c>
      <c r="AA817" t="s">
        <v>2710</v>
      </c>
      <c r="AB817">
        <f>IFERROR(INDEX(_DATA_Assessment_Model!$U$5:$U$884,MATCH($E817,_DATA_Assessment_Model!$A$5:$A$884,0)),"")</f>
        <v>0</v>
      </c>
      <c r="AF817" t="s">
        <v>2709</v>
      </c>
      <c r="AO817">
        <f>IF($B817="Yes",IF(IFERROR(INDEX(_ENGINE_Crisis!$F$501:$F$517,MATCH($C817,_ENGINE_Crisis!$A$501:$A$517,0)),1)=0,1,IFERROR(INDEX(_ENGINE_Crisis!$F$501:$F$517,MATCH($C817,_ENGINE_Crisis!$A$501:$A$517,0)),1)),"")</f>
        <v>1</v>
      </c>
      <c r="AP817">
        <f t="shared" si="165"/>
        <v>15.3</v>
      </c>
      <c r="AQ817">
        <f t="shared" si="166"/>
        <v>1.21</v>
      </c>
      <c r="AR817" t="str">
        <f>IFERROR(INDEX(_ENGINE_Crisis!$E$41:$E$700,MATCH('Resilience &amp; Risk Scenario'!$B$6&amp;"|"&amp;$C817,_ENGINE_Crisis!$I$41:$I$700,0)),"")</f>
        <v/>
      </c>
      <c r="AS817" t="str">
        <f>IFERROR(INDEX(_ENGINE_Crisis!$G$41:$G$700,MATCH('Resilience &amp; Risk Scenario'!$B$6&amp;"|"&amp;$C817,_ENGINE_Crisis!$I$41:$I$700,0)),"")</f>
        <v/>
      </c>
      <c r="AT817" t="str">
        <f>IFERROR(INDEX(_ENGINE_Initiatives!$A$5:$A$532,MATCH(1,INDEX((_ENGINE_Initiatives!$B$5:$B$532=$C817)*(_ENGINE_Initiatives!$C$5:$C$532=$D817),0),0)),"")</f>
        <v>INI-052</v>
      </c>
      <c r="AU817" t="str">
        <f>IFERROR(INDEX(_ENGINE_Initiatives!$F$5:$F$532,MATCH(1,INDEX((_ENGINE_Initiatives!$B$5:$B$532=$C817)*(_ENGINE_Initiatives!$C$5:$C$532=$D817),0),0)),"")</f>
        <v>Stabilize SaaS ownership, integrations and vendor continuity</v>
      </c>
      <c r="AV817">
        <f>IFERROR(INDEX(_ENGINE_Initiatives!$AC$5:$AC$532,MATCH(1,INDEX((_ENGINE_Initiatives!$B$5:$B$532=$C817)*(_ENGINE_Initiatives!$C$5:$C$532=$D817),0),0)),"")</f>
        <v>1.34</v>
      </c>
      <c r="AW817" t="str">
        <f>IFERROR(INDEX(_ENGINE_Initiatives!$AE$5:$AE$532,MATCH(1,INDEX((_ENGINE_Initiatives!$B$5:$B$532=$C817)*(_ENGINE_Initiatives!$C$5:$C$532=$D817),0),0)),"")</f>
        <v>12+ months</v>
      </c>
      <c r="AX817">
        <f>IF($B817="Yes",IFERROR((IF(SUMIFS(_REF_Model_Content!$E$1:$E$613,_REF_Model_Content!$A$1:$A$613,PV_Canonical_Industry,_REF_Model_Content!$B$1:$B$613,$C817)=0,1,SUMIFS(_REF_Model_Content!$E$1:$E$613,_REF_Model_Content!$A$1:$A$613,PV_Canonical_Industry,_REF_Model_Content!$B$1:$B$613,$C817))*IFERROR($BU817,1)),1),"")</f>
        <v>1</v>
      </c>
      <c r="AY817">
        <f t="shared" si="167"/>
        <v>15.3</v>
      </c>
      <c r="AZ817">
        <f t="shared" si="168"/>
        <v>1.21</v>
      </c>
      <c r="BB817" t="str">
        <f>IF($H817="","",IFERROR(INDEX(_ENGINE_Risk!$AE$5:$AE$499,MATCH($E817,_ENGINE_Risk!$A$5:$A$499,0)),"Medium"))</f>
        <v>Medium</v>
      </c>
      <c r="BC817">
        <f t="shared" si="169"/>
        <v>1</v>
      </c>
      <c r="BD817">
        <f t="shared" si="170"/>
        <v>1.21</v>
      </c>
      <c r="BF817">
        <f>IF(OR($H817="",$J817=""),"",IFERROR(VLOOKUP(ROUND($J817,0),_CONFIG_Model_Settings!$D$154:$E$158,2,0),""))</f>
        <v>0.5</v>
      </c>
      <c r="BG817">
        <f>IFERROR(IF(OR($H817="",$K817=""),"",ROUND('Company Profile'!$B$113*INDEX(_CONFIG_Model_Settings!$H$154:$H$158,MATCH(ROUND($K817,0),_CONFIG_Model_Settings!$G$154:$G$158,0)),0)),0)</f>
        <v>875</v>
      </c>
      <c r="BH817">
        <f t="shared" si="171"/>
        <v>437.5</v>
      </c>
      <c r="BI817">
        <f t="shared" si="172"/>
        <v>437.5</v>
      </c>
      <c r="BJ817">
        <f>IF($E817="","",IFERROR(VLOOKUP($C817,_CONFIG_Risk_Calibration!$A$5:$H$21,2,FALSE),3))</f>
        <v>3</v>
      </c>
      <c r="BK817">
        <f>IF($E817="","",IFERROR(VLOOKUP($C817,_CONFIG_Risk_Calibration!$A$5:$H$21,3,FALSE),0))</f>
        <v>0</v>
      </c>
      <c r="BL817">
        <f>IF($E817="","",IFERROR(VLOOKUP($C817,_CONFIG_Risk_Calibration!$A$5:$H$21,4,FALSE),3))</f>
        <v>3</v>
      </c>
      <c r="BM817">
        <f>IF($E817="","",IFERROR(VLOOKUP($C817,_CONFIG_Risk_Calibration!$A$5:$H$21,5,FALSE),3))</f>
        <v>4</v>
      </c>
      <c r="BN817" t="str">
        <f>IF($E817="","",IFERROR(VLOOKUP($C817,_CONFIG_Risk_Calibration!$A$5:$H$21,6,FALSE),"No"))</f>
        <v>Yes</v>
      </c>
      <c r="BO817">
        <f>IF($E817="","",IFERROR(VLOOKUP($C817,_CONFIG_Risk_Calibration!$A$5:$H$21,7,FALSE),1))</f>
        <v>4</v>
      </c>
      <c r="BP817">
        <f>IF($H817="","",MAX(1,MIN(5,((6-$H817)*0.45)+($BJ817*0.2)+('Resilience &amp; Risk Scenario'!$B$7*0.15)+($BK817*0.1)+($BL817*0.05)+(IF($BB817="Fast",5,IF($BB817="Slow",1,3))*0.05))))</f>
        <v>3.6</v>
      </c>
      <c r="BQ817">
        <f t="shared" si="173"/>
        <v>4.25</v>
      </c>
      <c r="BR817">
        <f t="shared" si="174"/>
        <v>15.3</v>
      </c>
      <c r="BS817">
        <f t="shared" si="175"/>
        <v>16.829999999999998</v>
      </c>
      <c r="BT817" t="str">
        <f>IFERROR(INDEX(_REF_Capability_Bridge!$D:$D,MATCH($C817&amp;"|"&amp;$D817,_REF_Capability_Bridge!$J:$J,0)),IFERROR(INDEX(_REF_Capability_Bridge!$D:$D,MATCH($C817&amp;"|",_REF_Capability_Bridge!$J:$J,0)),"CAP_GENERIC"))</f>
        <v>CAP_BACKUP_RECOVERY</v>
      </c>
      <c r="BU817">
        <f>IFERROR(IFERROR(INDEX(_ENGINE_Relevance!$L:$L,MATCH($BT817,_ENGINE_Relevance!$B:$B,0)),1),1)</f>
        <v>1</v>
      </c>
      <c r="BV817" t="str">
        <f>IFERROR(INDEX(_REF_Capability_Bridge!$A:$A,MATCH($C817&amp;"|"&amp;$D817,_REF_Capability_Bridge!$J:$J,0)),IFERROR(INDEX(_REF_Capability_Bridge!$A:$A,MATCH($C817&amp;"|",_REF_Capability_Bridge!$J:$J,0)),"No bridge"))</f>
        <v>BRG-048</v>
      </c>
      <c r="BW817" t="str">
        <f t="shared" si="176"/>
        <v>Capability relevance neutral</v>
      </c>
      <c r="BX817" t="str">
        <f t="shared" si="177"/>
        <v>Initial / absent</v>
      </c>
      <c r="BY817" t="str">
        <f>IF($E817="","",IFERROR(INDEX(_REF_Treatment_Library!$A$2:$A$296,MATCH(1,INDEX((_REF_Treatment_Library!$B$2:$B$296=$BT817)*(_REF_Treatment_Library!$C$2:$C$296=PV_Canonical_Industry)*(_REF_Treatment_Library!$E$2:$E$296&lt;=N($H817))*(_REF_Treatment_Library!$F$2:$F$296&gt;=N($H817))*(_REF_Treatment_Library!$O$2:$O$296="Yes"),0),0)),IFERROR(INDEX(_REF_Treatment_Library!$A$2:$A$296,MATCH(1,INDEX((_REF_Treatment_Library!$B$2:$B$296=$BT817)*(_REF_Treatment_Library!$C$2:$C$296="All")*(_REF_Treatment_Library!$E$2:$E$296&lt;=N($H817))*(_REF_Treatment_Library!$F$2:$F$296&gt;=N($H817))*(_REF_Treatment_Library!$O$2:$O$296="Yes"),0),0)),"")))</f>
        <v>TRT-BACKUP_RECOVERY-INITIAL</v>
      </c>
      <c r="BZ817" t="str">
        <f>IF($BY817="","",IFERROR(INDEX(_REF_Treatment_Library!$H$2:$H$296,MATCH($BY817,_REF_Treatment_Library!$A$2:$A$296,0)),""))</f>
        <v>Establish</v>
      </c>
      <c r="CA817" t="str">
        <f>IF($BY817="","",IFERROR(INDEX(_REF_Treatment_Library!$I$2:$I$296,MATCH($BY817,_REF_Treatment_Library!$A$2:$A$296,0)),""))</f>
        <v>Establish baseline controls for Backup / recovery</v>
      </c>
      <c r="CB817" t="str">
        <f>IF($BY817="","",IFERROR(INDEX(_REF_Treatment_Library!$K$2:$K$296,MATCH($BY817,_REF_Treatment_Library!$A$2:$A$296,0)),""))</f>
        <v>Named owner, baseline process, minimum control checklist, first evidence package</v>
      </c>
      <c r="CC817" t="str">
        <f>IF($BY817="","",IFERROR(INDEX(_REF_Treatment_Library!$L$2:$L$296,MATCH($BY817,_REF_Treatment_Library!$A$2:$A$296,0)),""))</f>
        <v>Owner assigned; baseline evidence coverage; open critical gaps</v>
      </c>
      <c r="CD817" t="str">
        <f t="shared" si="178"/>
        <v>Treatment by capability=CAP_BACKUP_RECOVERY; band=Initial / absent; score=0.0; treatment=Establish</v>
      </c>
      <c r="CE817" t="str">
        <f>IF($E817="","",IFERROR(INDEX(_REF_Industry_Wording!$A$2:$A$70,MATCH(1,INDEX((_REF_Industry_Wording!$B$2:$B$70=$BT817)*(_REF_Industry_Wording!$C$2:$C$70=PV_Canonical_Industry)*(_REF_Industry_Wording!$K$2:$K$70="Yes"),0),0)),IFERROR(INDEX(_REF_Industry_Wording!$A$2:$A$70,MATCH(1,INDEX((_REF_Industry_Wording!$B$2:$B$70=$BT817)*(_REF_Industry_Wording!$C$2:$C$70="All")*(_REF_Industry_Wording!$K$2:$K$70="Yes"),0),0)),"")))</f>
        <v>IW-ALL-BACKUP_RECOVERY</v>
      </c>
      <c r="CF817" t="str">
        <f>IF($CE817="","",IFERROR(INDEX(_REF_Industry_Wording!$E$2:$E$70,MATCH($CE817,_REF_Industry_Wording!$A$2:$A$70,0)),""))</f>
        <v>Backup / recovery weakness</v>
      </c>
      <c r="CG817" t="str">
        <f>IF($CE817="","",IFERROR(INDEX(_REF_Industry_Wording!$F$2:$F$70,MATCH($CE817,_REF_Industry_Wording!$A$2:$A$70,0)),""))</f>
        <v>Strengthen Backup / recovery</v>
      </c>
      <c r="CH817" t="str">
        <f>IF($CE817="","",IFERROR(INDEX(_REF_Industry_Wording!$G$2:$G$70,MATCH($CE817,_REF_Industry_Wording!$A$2:$A$70,0)),""))</f>
        <v>Strengthen Backup / recovery using the selected maturity treatment, crisis scenario and evidence requirements.</v>
      </c>
      <c r="CI817" t="str">
        <f>IF($CE817="","",IFERROR(INDEX(_REF_Industry_Wording!$H$2:$H$70,MATCH($CE817,_REF_Industry_Wording!$A$2:$A$70,0)),""))</f>
        <v>Backup / recovery</v>
      </c>
      <c r="CJ817">
        <f>IF($CE817="","",IFERROR(INDEX(_REF_Industry_Wording!$I$2:$I$70,MATCH($CE817,_REF_Industry_Wording!$A$2:$A$70,0)),""))</f>
        <v>0</v>
      </c>
      <c r="CK817" t="str">
        <f>IF($CE817="","",IFERROR(INDEX(_REF_Industry_Wording!$J$2:$J$70,MATCH($CE817,_REF_Industry_Wording!$A$2:$A$70,0)),""))</f>
        <v>Backup / recovery</v>
      </c>
      <c r="CL817" t="str">
        <f t="shared" si="179"/>
        <v>Wording by industry=0; capability=CAP_BACKUP_RECOVERY; risk label=Backup / recovery weakness</v>
      </c>
      <c r="CM817" t="str">
        <f t="shared" si="180"/>
        <v>RISK-ONT-0318</v>
      </c>
      <c r="CN817" t="str">
        <f t="shared" si="181"/>
        <v>RISK-EVT-0318</v>
      </c>
      <c r="CO817" t="str">
        <f t="shared" si="182"/>
        <v>IT Cloud DR|SaaS and integrations|ITCL-027|CAP_BACKUP_RECOVERY</v>
      </c>
      <c r="CP817" t="str">
        <f t="shared" si="183"/>
        <v>Active</v>
      </c>
      <c r="CQ817" t="str">
        <f t="shared" si="184"/>
        <v>OK: capability-driven</v>
      </c>
      <c r="CR817" t="str">
        <f t="shared" si="185"/>
        <v>Risk ontology uses capability=CAP_BACKUP_RECOVERY; bridge=BRG-048; treatment=TRT-BACKUP_RECOVERY-INITIAL; wording=IW-ALL-BACKUP_RECOVERY</v>
      </c>
      <c r="CS817" t="str">
        <f t="shared" si="186"/>
        <v>Yes</v>
      </c>
    </row>
    <row r="818" spans="1:97" ht="69.900000000000006" customHeight="1">
      <c r="A818">
        <f>IF(OR($B818&lt;&gt;"Yes",$BS818=""),"",SUMPRODUCT(($B$500:$B$923="Yes")*ISNUMBER($BS$500:$BS$923)*($BS$500:$BS$923&gt;$BS818))+COUNTIFS($B$500:$B818,"Yes",$BS$500:$BS818,$BS818))</f>
        <v>252</v>
      </c>
      <c r="B818" t="str">
        <f t="shared" si="155"/>
        <v>Yes</v>
      </c>
      <c r="C818" t="s">
        <v>2588</v>
      </c>
      <c r="D818" t="s">
        <v>2623</v>
      </c>
      <c r="E818" t="s">
        <v>2717</v>
      </c>
      <c r="F818" t="s">
        <v>4333</v>
      </c>
      <c r="G818" t="str">
        <f>IF($H818="","",IFERROR(INDEX(_ENGINE_Risk!$H$5:$M$499,MATCH($E818,_ENGINE_Risk!$A$5:$A$499,0),$H818+1),""))</f>
        <v>Severe risk: integration monitoring, retry, queue, reconciliation and fallback procedures is not reliably controlled. During IT outage; Cloud outage; Data loss; Cyberattack, the organization may face system outage, data unavailability, excessive RTO/RPO and inability to restore critical technology services with limited visibility or accountability.</v>
      </c>
      <c r="H818">
        <f>IFERROR(VALUE(INDEX(_DATA_Assessment_Model!$H$5:$H$884,MATCH($E818,_DATA_Assessment_Model!$A$5:$A$884,0))),"")</f>
        <v>0</v>
      </c>
      <c r="I818" t="str">
        <f>IF($H818="","",IFERROR(INDEX(_DATA_Assessment_Model!$L$5:$L$884,MATCH($E818,_DATA_Assessment_Model!$A$5:$A$884,0)),IF($H818&lt;=1,"Critical",IF($H818=2,"High",IF($H818=3,"Medium",IF($H818=4,"Low","Resilient"))))))</f>
        <v>Critical</v>
      </c>
      <c r="J818">
        <f t="shared" si="156"/>
        <v>3.6</v>
      </c>
      <c r="K818">
        <f t="shared" si="157"/>
        <v>4.25</v>
      </c>
      <c r="L818">
        <f t="shared" si="158"/>
        <v>15.3</v>
      </c>
      <c r="M818">
        <f t="shared" si="159"/>
        <v>4</v>
      </c>
      <c r="N818">
        <f>IF($H818="","",IFERROR(INDEX(_ENGINE_Risk!$T$5:$Y$499,MATCH($E818,_ENGINE_Risk!$A$5:$A$499,0),$H818+1),""))</f>
        <v>4</v>
      </c>
      <c r="O818">
        <f t="shared" si="160"/>
        <v>4.333333333333333</v>
      </c>
      <c r="P818">
        <f t="shared" si="161"/>
        <v>5</v>
      </c>
      <c r="Q818">
        <f t="shared" si="162"/>
        <v>5</v>
      </c>
      <c r="R818">
        <f t="shared" si="163"/>
        <v>5</v>
      </c>
      <c r="S818">
        <f t="shared" si="164"/>
        <v>1.21</v>
      </c>
      <c r="T818" t="str">
        <f>IF($H818="","",IFERROR(INDEX(_ENGINE_Risk!$N$5:$S$499,MATCH($E818,_ENGINE_Risk!$A$5:$A$499,0),$H818+1),""))</f>
        <v>Create an immediate risk owner, minimum control baseline and fallback procedure for integration monitoring, retry, queue, reconciliation and fallback procedures. Add it to the crisis risk register and collect first evidence.</v>
      </c>
      <c r="U818">
        <f>IFERROR(INDEX(_DATA_Assessment_Model!$G$5:$G$884,MATCH($E818,_DATA_Assessment_Model!$A$5:$A$884,0)),"")</f>
        <v>3</v>
      </c>
      <c r="V818">
        <f>IFERROR(INDEX(_DATA_Assessment_Model!$W$5:$W$884,MATCH($E818,_DATA_Assessment_Model!$A$5:$A$884,0)),"")</f>
        <v>5</v>
      </c>
      <c r="W818">
        <f>IFERROR(INDEX(_DATA_Assessment_Model!$X$5:$X$884,MATCH($E818,_DATA_Assessment_Model!$A$5:$A$884,0)),"")</f>
        <v>5</v>
      </c>
      <c r="X818">
        <f>IFERROR(INDEX(_DATA_Assessment_Model!$Y$5:$Y$884,MATCH($E818,_DATA_Assessment_Model!$A$5:$A$884,0)),"")</f>
        <v>5</v>
      </c>
      <c r="Y818" t="s">
        <v>2595</v>
      </c>
      <c r="Z818" t="s">
        <v>8744</v>
      </c>
      <c r="AA818" t="s">
        <v>2719</v>
      </c>
      <c r="AB818">
        <f>IFERROR(INDEX(_DATA_Assessment_Model!$U$5:$U$884,MATCH($E818,_DATA_Assessment_Model!$A$5:$A$884,0)),"")</f>
        <v>0</v>
      </c>
      <c r="AF818" t="s">
        <v>2718</v>
      </c>
      <c r="AO818">
        <f>IF($B818="Yes",IF(IFERROR(INDEX(_ENGINE_Crisis!$F$501:$F$517,MATCH($C818,_ENGINE_Crisis!$A$501:$A$517,0)),1)=0,1,IFERROR(INDEX(_ENGINE_Crisis!$F$501:$F$517,MATCH($C818,_ENGINE_Crisis!$A$501:$A$517,0)),1)),"")</f>
        <v>1</v>
      </c>
      <c r="AP818">
        <f t="shared" si="165"/>
        <v>15.3</v>
      </c>
      <c r="AQ818">
        <f t="shared" si="166"/>
        <v>1.21</v>
      </c>
      <c r="AR818" t="str">
        <f>IFERROR(INDEX(_ENGINE_Crisis!$E$41:$E$700,MATCH('Resilience &amp; Risk Scenario'!$B$6&amp;"|"&amp;$C818,_ENGINE_Crisis!$I$41:$I$700,0)),"")</f>
        <v/>
      </c>
      <c r="AS818" t="str">
        <f>IFERROR(INDEX(_ENGINE_Crisis!$G$41:$G$700,MATCH('Resilience &amp; Risk Scenario'!$B$6&amp;"|"&amp;$C818,_ENGINE_Crisis!$I$41:$I$700,0)),"")</f>
        <v/>
      </c>
      <c r="AT818" t="str">
        <f>IFERROR(INDEX(_ENGINE_Initiatives!$A$5:$A$532,MATCH(1,INDEX((_ENGINE_Initiatives!$B$5:$B$532=$C818)*(_ENGINE_Initiatives!$C$5:$C$532=$D818),0),0)),"")</f>
        <v>INI-052</v>
      </c>
      <c r="AU818" t="str">
        <f>IFERROR(INDEX(_ENGINE_Initiatives!$F$5:$F$532,MATCH(1,INDEX((_ENGINE_Initiatives!$B$5:$B$532=$C818)*(_ENGINE_Initiatives!$C$5:$C$532=$D818),0),0)),"")</f>
        <v>Stabilize SaaS ownership, integrations and vendor continuity</v>
      </c>
      <c r="AV818">
        <f>IFERROR(INDEX(_ENGINE_Initiatives!$AC$5:$AC$532,MATCH(1,INDEX((_ENGINE_Initiatives!$B$5:$B$532=$C818)*(_ENGINE_Initiatives!$C$5:$C$532=$D818),0),0)),"")</f>
        <v>1.34</v>
      </c>
      <c r="AW818" t="str">
        <f>IFERROR(INDEX(_ENGINE_Initiatives!$AE$5:$AE$532,MATCH(1,INDEX((_ENGINE_Initiatives!$B$5:$B$532=$C818)*(_ENGINE_Initiatives!$C$5:$C$532=$D818),0),0)),"")</f>
        <v>12+ months</v>
      </c>
      <c r="AX818">
        <f>IF($B818="Yes",IFERROR((IF(SUMIFS(_REF_Model_Content!$E$1:$E$613,_REF_Model_Content!$A$1:$A$613,PV_Canonical_Industry,_REF_Model_Content!$B$1:$B$613,$C818)=0,1,SUMIFS(_REF_Model_Content!$E$1:$E$613,_REF_Model_Content!$A$1:$A$613,PV_Canonical_Industry,_REF_Model_Content!$B$1:$B$613,$C818))*IFERROR($BU818,1)),1),"")</f>
        <v>1</v>
      </c>
      <c r="AY818">
        <f t="shared" si="167"/>
        <v>15.3</v>
      </c>
      <c r="AZ818">
        <f t="shared" si="168"/>
        <v>1.21</v>
      </c>
      <c r="BB818" t="str">
        <f>IF($H818="","",IFERROR(INDEX(_ENGINE_Risk!$AE$5:$AE$499,MATCH($E818,_ENGINE_Risk!$A$5:$A$499,0)),"Medium"))</f>
        <v>Medium</v>
      </c>
      <c r="BC818">
        <f t="shared" si="169"/>
        <v>1</v>
      </c>
      <c r="BD818">
        <f t="shared" si="170"/>
        <v>1.21</v>
      </c>
      <c r="BF818">
        <f>IF(OR($H818="",$J818=""),"",IFERROR(VLOOKUP(ROUND($J818,0),_CONFIG_Model_Settings!$D$154:$E$158,2,0),""))</f>
        <v>0.5</v>
      </c>
      <c r="BG818">
        <f>IFERROR(IF(OR($H818="",$K818=""),"",ROUND('Company Profile'!$B$113*INDEX(_CONFIG_Model_Settings!$H$154:$H$158,MATCH(ROUND($K818,0),_CONFIG_Model_Settings!$G$154:$G$158,0)),0)),0)</f>
        <v>875</v>
      </c>
      <c r="BH818">
        <f t="shared" si="171"/>
        <v>437.5</v>
      </c>
      <c r="BI818">
        <f t="shared" si="172"/>
        <v>437.5</v>
      </c>
      <c r="BJ818">
        <f>IF($E818="","",IFERROR(VLOOKUP($C818,_CONFIG_Risk_Calibration!$A$5:$H$21,2,FALSE),3))</f>
        <v>3</v>
      </c>
      <c r="BK818">
        <f>IF($E818="","",IFERROR(VLOOKUP($C818,_CONFIG_Risk_Calibration!$A$5:$H$21,3,FALSE),0))</f>
        <v>0</v>
      </c>
      <c r="BL818">
        <f>IF($E818="","",IFERROR(VLOOKUP($C818,_CONFIG_Risk_Calibration!$A$5:$H$21,4,FALSE),3))</f>
        <v>3</v>
      </c>
      <c r="BM818">
        <f>IF($E818="","",IFERROR(VLOOKUP($C818,_CONFIG_Risk_Calibration!$A$5:$H$21,5,FALSE),3))</f>
        <v>4</v>
      </c>
      <c r="BN818" t="str">
        <f>IF($E818="","",IFERROR(VLOOKUP($C818,_CONFIG_Risk_Calibration!$A$5:$H$21,6,FALSE),"No"))</f>
        <v>Yes</v>
      </c>
      <c r="BO818">
        <f>IF($E818="","",IFERROR(VLOOKUP($C818,_CONFIG_Risk_Calibration!$A$5:$H$21,7,FALSE),1))</f>
        <v>4</v>
      </c>
      <c r="BP818">
        <f>IF($H818="","",MAX(1,MIN(5,((6-$H818)*0.45)+($BJ818*0.2)+('Resilience &amp; Risk Scenario'!$B$7*0.15)+($BK818*0.1)+($BL818*0.05)+(IF($BB818="Fast",5,IF($BB818="Slow",1,3))*0.05))))</f>
        <v>3.6</v>
      </c>
      <c r="BQ818">
        <f t="shared" si="173"/>
        <v>4.25</v>
      </c>
      <c r="BR818">
        <f t="shared" si="174"/>
        <v>15.3</v>
      </c>
      <c r="BS818">
        <f t="shared" si="175"/>
        <v>16.829999999999998</v>
      </c>
      <c r="BT818" t="str">
        <f>IFERROR(INDEX(_REF_Capability_Bridge!$D:$D,MATCH($C818&amp;"|"&amp;$D818,_REF_Capability_Bridge!$J:$J,0)),IFERROR(INDEX(_REF_Capability_Bridge!$D:$D,MATCH($C818&amp;"|",_REF_Capability_Bridge!$J:$J,0)),"CAP_GENERIC"))</f>
        <v>CAP_BACKUP_RECOVERY</v>
      </c>
      <c r="BU818">
        <f>IFERROR(IFERROR(INDEX(_ENGINE_Relevance!$L:$L,MATCH($BT818,_ENGINE_Relevance!$B:$B,0)),1),1)</f>
        <v>1</v>
      </c>
      <c r="BV818" t="str">
        <f>IFERROR(INDEX(_REF_Capability_Bridge!$A:$A,MATCH($C818&amp;"|"&amp;$D818,_REF_Capability_Bridge!$J:$J,0)),IFERROR(INDEX(_REF_Capability_Bridge!$A:$A,MATCH($C818&amp;"|",_REF_Capability_Bridge!$J:$J,0)),"No bridge"))</f>
        <v>BRG-048</v>
      </c>
      <c r="BW818" t="str">
        <f t="shared" si="176"/>
        <v>Capability relevance neutral</v>
      </c>
      <c r="BX818" t="str">
        <f t="shared" si="177"/>
        <v>Initial / absent</v>
      </c>
      <c r="BY818" t="str">
        <f>IF($E818="","",IFERROR(INDEX(_REF_Treatment_Library!$A$2:$A$296,MATCH(1,INDEX((_REF_Treatment_Library!$B$2:$B$296=$BT818)*(_REF_Treatment_Library!$C$2:$C$296=PV_Canonical_Industry)*(_REF_Treatment_Library!$E$2:$E$296&lt;=N($H818))*(_REF_Treatment_Library!$F$2:$F$296&gt;=N($H818))*(_REF_Treatment_Library!$O$2:$O$296="Yes"),0),0)),IFERROR(INDEX(_REF_Treatment_Library!$A$2:$A$296,MATCH(1,INDEX((_REF_Treatment_Library!$B$2:$B$296=$BT818)*(_REF_Treatment_Library!$C$2:$C$296="All")*(_REF_Treatment_Library!$E$2:$E$296&lt;=N($H818))*(_REF_Treatment_Library!$F$2:$F$296&gt;=N($H818))*(_REF_Treatment_Library!$O$2:$O$296="Yes"),0),0)),"")))</f>
        <v>TRT-BACKUP_RECOVERY-INITIAL</v>
      </c>
      <c r="BZ818" t="str">
        <f>IF($BY818="","",IFERROR(INDEX(_REF_Treatment_Library!$H$2:$H$296,MATCH($BY818,_REF_Treatment_Library!$A$2:$A$296,0)),""))</f>
        <v>Establish</v>
      </c>
      <c r="CA818" t="str">
        <f>IF($BY818="","",IFERROR(INDEX(_REF_Treatment_Library!$I$2:$I$296,MATCH($BY818,_REF_Treatment_Library!$A$2:$A$296,0)),""))</f>
        <v>Establish baseline controls for Backup / recovery</v>
      </c>
      <c r="CB818" t="str">
        <f>IF($BY818="","",IFERROR(INDEX(_REF_Treatment_Library!$K$2:$K$296,MATCH($BY818,_REF_Treatment_Library!$A$2:$A$296,0)),""))</f>
        <v>Named owner, baseline process, minimum control checklist, first evidence package</v>
      </c>
      <c r="CC818" t="str">
        <f>IF($BY818="","",IFERROR(INDEX(_REF_Treatment_Library!$L$2:$L$296,MATCH($BY818,_REF_Treatment_Library!$A$2:$A$296,0)),""))</f>
        <v>Owner assigned; baseline evidence coverage; open critical gaps</v>
      </c>
      <c r="CD818" t="str">
        <f t="shared" si="178"/>
        <v>Treatment by capability=CAP_BACKUP_RECOVERY; band=Initial / absent; score=0.0; treatment=Establish</v>
      </c>
      <c r="CE818" t="str">
        <f>IF($E818="","",IFERROR(INDEX(_REF_Industry_Wording!$A$2:$A$70,MATCH(1,INDEX((_REF_Industry_Wording!$B$2:$B$70=$BT818)*(_REF_Industry_Wording!$C$2:$C$70=PV_Canonical_Industry)*(_REF_Industry_Wording!$K$2:$K$70="Yes"),0),0)),IFERROR(INDEX(_REF_Industry_Wording!$A$2:$A$70,MATCH(1,INDEX((_REF_Industry_Wording!$B$2:$B$70=$BT818)*(_REF_Industry_Wording!$C$2:$C$70="All")*(_REF_Industry_Wording!$K$2:$K$70="Yes"),0),0)),"")))</f>
        <v>IW-ALL-BACKUP_RECOVERY</v>
      </c>
      <c r="CF818" t="str">
        <f>IF($CE818="","",IFERROR(INDEX(_REF_Industry_Wording!$E$2:$E$70,MATCH($CE818,_REF_Industry_Wording!$A$2:$A$70,0)),""))</f>
        <v>Backup / recovery weakness</v>
      </c>
      <c r="CG818" t="str">
        <f>IF($CE818="","",IFERROR(INDEX(_REF_Industry_Wording!$F$2:$F$70,MATCH($CE818,_REF_Industry_Wording!$A$2:$A$70,0)),""))</f>
        <v>Strengthen Backup / recovery</v>
      </c>
      <c r="CH818" t="str">
        <f>IF($CE818="","",IFERROR(INDEX(_REF_Industry_Wording!$G$2:$G$70,MATCH($CE818,_REF_Industry_Wording!$A$2:$A$70,0)),""))</f>
        <v>Strengthen Backup / recovery using the selected maturity treatment, crisis scenario and evidence requirements.</v>
      </c>
      <c r="CI818" t="str">
        <f>IF($CE818="","",IFERROR(INDEX(_REF_Industry_Wording!$H$2:$H$70,MATCH($CE818,_REF_Industry_Wording!$A$2:$A$70,0)),""))</f>
        <v>Backup / recovery</v>
      </c>
      <c r="CJ818">
        <f>IF($CE818="","",IFERROR(INDEX(_REF_Industry_Wording!$I$2:$I$70,MATCH($CE818,_REF_Industry_Wording!$A$2:$A$70,0)),""))</f>
        <v>0</v>
      </c>
      <c r="CK818" t="str">
        <f>IF($CE818="","",IFERROR(INDEX(_REF_Industry_Wording!$J$2:$J$70,MATCH($CE818,_REF_Industry_Wording!$A$2:$A$70,0)),""))</f>
        <v>Backup / recovery</v>
      </c>
      <c r="CL818" t="str">
        <f t="shared" si="179"/>
        <v>Wording by industry=0; capability=CAP_BACKUP_RECOVERY; risk label=Backup / recovery weakness</v>
      </c>
      <c r="CM818" t="str">
        <f t="shared" si="180"/>
        <v>RISK-ONT-0319</v>
      </c>
      <c r="CN818" t="str">
        <f t="shared" si="181"/>
        <v>RISK-EVT-0319</v>
      </c>
      <c r="CO818" t="str">
        <f t="shared" si="182"/>
        <v>IT Cloud DR|SaaS and integrations|ITCL-028|CAP_BACKUP_RECOVERY</v>
      </c>
      <c r="CP818" t="str">
        <f t="shared" si="183"/>
        <v>Active</v>
      </c>
      <c r="CQ818" t="str">
        <f t="shared" si="184"/>
        <v>OK: capability-driven</v>
      </c>
      <c r="CR818" t="str">
        <f t="shared" si="185"/>
        <v>Risk ontology uses capability=CAP_BACKUP_RECOVERY; bridge=BRG-048; treatment=TRT-BACKUP_RECOVERY-INITIAL; wording=IW-ALL-BACKUP_RECOVERY</v>
      </c>
      <c r="CS818" t="str">
        <f t="shared" si="186"/>
        <v>Yes</v>
      </c>
    </row>
    <row r="819" spans="1:97" ht="69.900000000000006" customHeight="1">
      <c r="A819">
        <f>IF(OR($B819&lt;&gt;"Yes",$BS819=""),"",SUMPRODUCT(($B$500:$B$923="Yes")*ISNUMBER($BS$500:$BS$923)*($BS$500:$BS$923&gt;$BS819))+COUNTIFS($B$500:$B819,"Yes",$BS$500:$BS819,$BS819))</f>
        <v>202</v>
      </c>
      <c r="B819" t="str">
        <f t="shared" si="155"/>
        <v>Yes</v>
      </c>
      <c r="C819" t="s">
        <v>2588</v>
      </c>
      <c r="D819" t="s">
        <v>2623</v>
      </c>
      <c r="E819" t="s">
        <v>2726</v>
      </c>
      <c r="F819" t="s">
        <v>4333</v>
      </c>
      <c r="G819" t="str">
        <f>IF($H819="","",IFERROR(INDEX(_ENGINE_Risk!$H$5:$M$499,MATCH($E819,_ENGINE_Risk!$A$5:$A$499,0),$H819+1),""))</f>
        <v>Severe risk: configuration management and version control for infrastructure, cloud and applications is not reliably controlled. During IT outage; Cloud outage; Data loss; Cyberattack, the organization may face system outage, data unavailability, excessive RTO/RPO and inability to restore critical technology services with limited visibility or accountability.</v>
      </c>
      <c r="H819">
        <f>IFERROR(VALUE(INDEX(_DATA_Assessment_Model!$H$5:$H$884,MATCH($E819,_DATA_Assessment_Model!$A$5:$A$884,0))),"")</f>
        <v>0</v>
      </c>
      <c r="I819" t="str">
        <f>IF($H819="","",IFERROR(INDEX(_DATA_Assessment_Model!$L$5:$L$884,MATCH($E819,_DATA_Assessment_Model!$A$5:$A$884,0)),IF($H819&lt;=1,"Critical",IF($H819=2,"High",IF($H819=3,"Medium",IF($H819=4,"Low","Resilient"))))))</f>
        <v>Critical</v>
      </c>
      <c r="J819">
        <f t="shared" si="156"/>
        <v>3.6</v>
      </c>
      <c r="K819">
        <f t="shared" si="157"/>
        <v>4.6499999999999995</v>
      </c>
      <c r="L819">
        <f t="shared" si="158"/>
        <v>16.739999999999998</v>
      </c>
      <c r="M819">
        <f t="shared" si="159"/>
        <v>4</v>
      </c>
      <c r="N819">
        <f>IF($H819="","",IFERROR(INDEX(_ENGINE_Risk!$T$5:$Y$499,MATCH($E819,_ENGINE_Risk!$A$5:$A$499,0),$H819+1),""))</f>
        <v>4</v>
      </c>
      <c r="O819">
        <f t="shared" si="160"/>
        <v>5</v>
      </c>
      <c r="P819">
        <f t="shared" si="161"/>
        <v>5</v>
      </c>
      <c r="Q819">
        <f t="shared" si="162"/>
        <v>5</v>
      </c>
      <c r="R819">
        <f t="shared" si="163"/>
        <v>5</v>
      </c>
      <c r="S819">
        <f t="shared" si="164"/>
        <v>1.25</v>
      </c>
      <c r="T819" t="str">
        <f>IF($H819="","",IFERROR(INDEX(_ENGINE_Risk!$N$5:$S$499,MATCH($E819,_ENGINE_Risk!$A$5:$A$499,0),$H819+1),""))</f>
        <v>Create an immediate risk owner, minimum control baseline and fallback procedure for configuration management and version control for infrastructure, cloud and applications. Add it to the crisis risk register and collect first evidence.</v>
      </c>
      <c r="U819">
        <f>IFERROR(INDEX(_DATA_Assessment_Model!$G$5:$G$884,MATCH($E819,_DATA_Assessment_Model!$A$5:$A$884,0)),"")</f>
        <v>5</v>
      </c>
      <c r="V819">
        <f>IFERROR(INDEX(_DATA_Assessment_Model!$W$5:$W$884,MATCH($E819,_DATA_Assessment_Model!$A$5:$A$884,0)),"")</f>
        <v>5</v>
      </c>
      <c r="W819">
        <f>IFERROR(INDEX(_DATA_Assessment_Model!$X$5:$X$884,MATCH($E819,_DATA_Assessment_Model!$A$5:$A$884,0)),"")</f>
        <v>5</v>
      </c>
      <c r="X819">
        <f>IFERROR(INDEX(_DATA_Assessment_Model!$Y$5:$Y$884,MATCH($E819,_DATA_Assessment_Model!$A$5:$A$884,0)),"")</f>
        <v>5</v>
      </c>
      <c r="Y819" t="s">
        <v>2595</v>
      </c>
      <c r="Z819" t="s">
        <v>8744</v>
      </c>
      <c r="AA819" t="s">
        <v>2728</v>
      </c>
      <c r="AB819">
        <f>IFERROR(INDEX(_DATA_Assessment_Model!$U$5:$U$884,MATCH($E819,_DATA_Assessment_Model!$A$5:$A$884,0)),"")</f>
        <v>0</v>
      </c>
      <c r="AF819" t="s">
        <v>2727</v>
      </c>
      <c r="AO819">
        <f>IF($B819="Yes",IF(IFERROR(INDEX(_ENGINE_Crisis!$F$501:$F$517,MATCH($C819,_ENGINE_Crisis!$A$501:$A$517,0)),1)=0,1,IFERROR(INDEX(_ENGINE_Crisis!$F$501:$F$517,MATCH($C819,_ENGINE_Crisis!$A$501:$A$517,0)),1)),"")</f>
        <v>1</v>
      </c>
      <c r="AP819">
        <f t="shared" si="165"/>
        <v>16.7</v>
      </c>
      <c r="AQ819">
        <f t="shared" si="166"/>
        <v>1.25</v>
      </c>
      <c r="AR819" t="str">
        <f>IFERROR(INDEX(_ENGINE_Crisis!$E$41:$E$700,MATCH('Resilience &amp; Risk Scenario'!$B$6&amp;"|"&amp;$C819,_ENGINE_Crisis!$I$41:$I$700,0)),"")</f>
        <v/>
      </c>
      <c r="AS819" t="str">
        <f>IFERROR(INDEX(_ENGINE_Crisis!$G$41:$G$700,MATCH('Resilience &amp; Risk Scenario'!$B$6&amp;"|"&amp;$C819,_ENGINE_Crisis!$I$41:$I$700,0)),"")</f>
        <v/>
      </c>
      <c r="AT819" t="str">
        <f>IFERROR(INDEX(_ENGINE_Initiatives!$A$5:$A$532,MATCH(1,INDEX((_ENGINE_Initiatives!$B$5:$B$532=$C819)*(_ENGINE_Initiatives!$C$5:$C$532=$D819),0),0)),"")</f>
        <v>INI-052</v>
      </c>
      <c r="AU819" t="str">
        <f>IFERROR(INDEX(_ENGINE_Initiatives!$F$5:$F$532,MATCH(1,INDEX((_ENGINE_Initiatives!$B$5:$B$532=$C819)*(_ENGINE_Initiatives!$C$5:$C$532=$D819),0),0)),"")</f>
        <v>Stabilize SaaS ownership, integrations and vendor continuity</v>
      </c>
      <c r="AV819">
        <f>IFERROR(INDEX(_ENGINE_Initiatives!$AC$5:$AC$532,MATCH(1,INDEX((_ENGINE_Initiatives!$B$5:$B$532=$C819)*(_ENGINE_Initiatives!$C$5:$C$532=$D819),0),0)),"")</f>
        <v>1.34</v>
      </c>
      <c r="AW819" t="str">
        <f>IFERROR(INDEX(_ENGINE_Initiatives!$AE$5:$AE$532,MATCH(1,INDEX((_ENGINE_Initiatives!$B$5:$B$532=$C819)*(_ENGINE_Initiatives!$C$5:$C$532=$D819),0),0)),"")</f>
        <v>12+ months</v>
      </c>
      <c r="AX819">
        <f>IF($B819="Yes",IFERROR((IF(SUMIFS(_REF_Model_Content!$E$1:$E$613,_REF_Model_Content!$A$1:$A$613,PV_Canonical_Industry,_REF_Model_Content!$B$1:$B$613,$C819)=0,1,SUMIFS(_REF_Model_Content!$E$1:$E$613,_REF_Model_Content!$A$1:$A$613,PV_Canonical_Industry,_REF_Model_Content!$B$1:$B$613,$C819))*IFERROR($BU819,1)),1),"")</f>
        <v>1</v>
      </c>
      <c r="AY819">
        <f t="shared" si="167"/>
        <v>16.7</v>
      </c>
      <c r="AZ819">
        <f t="shared" si="168"/>
        <v>1.25</v>
      </c>
      <c r="BB819" t="str">
        <f>IF($H819="","",IFERROR(INDEX(_ENGINE_Risk!$AE$5:$AE$499,MATCH($E819,_ENGINE_Risk!$A$5:$A$499,0)),"Medium"))</f>
        <v>Medium</v>
      </c>
      <c r="BC819">
        <f t="shared" si="169"/>
        <v>1</v>
      </c>
      <c r="BD819">
        <f t="shared" si="170"/>
        <v>1.25</v>
      </c>
      <c r="BF819">
        <f>IF(OR($H819="",$J819=""),"",IFERROR(VLOOKUP(ROUND($J819,0),_CONFIG_Model_Settings!$D$154:$E$158,2,0),""))</f>
        <v>0.5</v>
      </c>
      <c r="BG819">
        <f>IFERROR(IF(OR($H819="",$K819=""),"",ROUND('Company Profile'!$B$113*INDEX(_CONFIG_Model_Settings!$H$154:$H$158,MATCH(ROUND($K819,0),_CONFIG_Model_Settings!$G$154:$G$158,0)),0)),0)</f>
        <v>1875</v>
      </c>
      <c r="BH819">
        <f t="shared" si="171"/>
        <v>937.5</v>
      </c>
      <c r="BI819">
        <f t="shared" si="172"/>
        <v>937.5</v>
      </c>
      <c r="BJ819">
        <f>IF($E819="","",IFERROR(VLOOKUP($C819,_CONFIG_Risk_Calibration!$A$5:$H$21,2,FALSE),3))</f>
        <v>3</v>
      </c>
      <c r="BK819">
        <f>IF($E819="","",IFERROR(VLOOKUP($C819,_CONFIG_Risk_Calibration!$A$5:$H$21,3,FALSE),0))</f>
        <v>0</v>
      </c>
      <c r="BL819">
        <f>IF($E819="","",IFERROR(VLOOKUP($C819,_CONFIG_Risk_Calibration!$A$5:$H$21,4,FALSE),3))</f>
        <v>3</v>
      </c>
      <c r="BM819">
        <f>IF($E819="","",IFERROR(VLOOKUP($C819,_CONFIG_Risk_Calibration!$A$5:$H$21,5,FALSE),3))</f>
        <v>4</v>
      </c>
      <c r="BN819" t="str">
        <f>IF($E819="","",IFERROR(VLOOKUP($C819,_CONFIG_Risk_Calibration!$A$5:$H$21,6,FALSE),"No"))</f>
        <v>Yes</v>
      </c>
      <c r="BO819">
        <f>IF($E819="","",IFERROR(VLOOKUP($C819,_CONFIG_Risk_Calibration!$A$5:$H$21,7,FALSE),1))</f>
        <v>4</v>
      </c>
      <c r="BP819">
        <f>IF($H819="","",MAX(1,MIN(5,((6-$H819)*0.45)+($BJ819*0.2)+('Resilience &amp; Risk Scenario'!$B$7*0.15)+($BK819*0.1)+($BL819*0.05)+(IF($BB819="Fast",5,IF($BB819="Slow",1,3))*0.05))))</f>
        <v>3.6</v>
      </c>
      <c r="BQ819">
        <f t="shared" si="173"/>
        <v>4.6499999999999995</v>
      </c>
      <c r="BR819">
        <f t="shared" si="174"/>
        <v>16.739999999999998</v>
      </c>
      <c r="BS819">
        <f t="shared" si="175"/>
        <v>18.41</v>
      </c>
      <c r="BT819" t="str">
        <f>IFERROR(INDEX(_REF_Capability_Bridge!$D:$D,MATCH($C819&amp;"|"&amp;$D819,_REF_Capability_Bridge!$J:$J,0)),IFERROR(INDEX(_REF_Capability_Bridge!$D:$D,MATCH($C819&amp;"|",_REF_Capability_Bridge!$J:$J,0)),"CAP_GENERIC"))</f>
        <v>CAP_BACKUP_RECOVERY</v>
      </c>
      <c r="BU819">
        <f>IFERROR(IFERROR(INDEX(_ENGINE_Relevance!$L:$L,MATCH($BT819,_ENGINE_Relevance!$B:$B,0)),1),1)</f>
        <v>1</v>
      </c>
      <c r="BV819" t="str">
        <f>IFERROR(INDEX(_REF_Capability_Bridge!$A:$A,MATCH($C819&amp;"|"&amp;$D819,_REF_Capability_Bridge!$J:$J,0)),IFERROR(INDEX(_REF_Capability_Bridge!$A:$A,MATCH($C819&amp;"|",_REF_Capability_Bridge!$J:$J,0)),"No bridge"))</f>
        <v>BRG-048</v>
      </c>
      <c r="BW819" t="str">
        <f t="shared" si="176"/>
        <v>Capability relevance neutral</v>
      </c>
      <c r="BX819" t="str">
        <f t="shared" si="177"/>
        <v>Initial / absent</v>
      </c>
      <c r="BY819" t="str">
        <f>IF($E819="","",IFERROR(INDEX(_REF_Treatment_Library!$A$2:$A$296,MATCH(1,INDEX((_REF_Treatment_Library!$B$2:$B$296=$BT819)*(_REF_Treatment_Library!$C$2:$C$296=PV_Canonical_Industry)*(_REF_Treatment_Library!$E$2:$E$296&lt;=N($H819))*(_REF_Treatment_Library!$F$2:$F$296&gt;=N($H819))*(_REF_Treatment_Library!$O$2:$O$296="Yes"),0),0)),IFERROR(INDEX(_REF_Treatment_Library!$A$2:$A$296,MATCH(1,INDEX((_REF_Treatment_Library!$B$2:$B$296=$BT819)*(_REF_Treatment_Library!$C$2:$C$296="All")*(_REF_Treatment_Library!$E$2:$E$296&lt;=N($H819))*(_REF_Treatment_Library!$F$2:$F$296&gt;=N($H819))*(_REF_Treatment_Library!$O$2:$O$296="Yes"),0),0)),"")))</f>
        <v>TRT-BACKUP_RECOVERY-INITIAL</v>
      </c>
      <c r="BZ819" t="str">
        <f>IF($BY819="","",IFERROR(INDEX(_REF_Treatment_Library!$H$2:$H$296,MATCH($BY819,_REF_Treatment_Library!$A$2:$A$296,0)),""))</f>
        <v>Establish</v>
      </c>
      <c r="CA819" t="str">
        <f>IF($BY819="","",IFERROR(INDEX(_REF_Treatment_Library!$I$2:$I$296,MATCH($BY819,_REF_Treatment_Library!$A$2:$A$296,0)),""))</f>
        <v>Establish baseline controls for Backup / recovery</v>
      </c>
      <c r="CB819" t="str">
        <f>IF($BY819="","",IFERROR(INDEX(_REF_Treatment_Library!$K$2:$K$296,MATCH($BY819,_REF_Treatment_Library!$A$2:$A$296,0)),""))</f>
        <v>Named owner, baseline process, minimum control checklist, first evidence package</v>
      </c>
      <c r="CC819" t="str">
        <f>IF($BY819="","",IFERROR(INDEX(_REF_Treatment_Library!$L$2:$L$296,MATCH($BY819,_REF_Treatment_Library!$A$2:$A$296,0)),""))</f>
        <v>Owner assigned; baseline evidence coverage; open critical gaps</v>
      </c>
      <c r="CD819" t="str">
        <f t="shared" si="178"/>
        <v>Treatment by capability=CAP_BACKUP_RECOVERY; band=Initial / absent; score=0.0; treatment=Establish</v>
      </c>
      <c r="CE819" t="str">
        <f>IF($E819="","",IFERROR(INDEX(_REF_Industry_Wording!$A$2:$A$70,MATCH(1,INDEX((_REF_Industry_Wording!$B$2:$B$70=$BT819)*(_REF_Industry_Wording!$C$2:$C$70=PV_Canonical_Industry)*(_REF_Industry_Wording!$K$2:$K$70="Yes"),0),0)),IFERROR(INDEX(_REF_Industry_Wording!$A$2:$A$70,MATCH(1,INDEX((_REF_Industry_Wording!$B$2:$B$70=$BT819)*(_REF_Industry_Wording!$C$2:$C$70="All")*(_REF_Industry_Wording!$K$2:$K$70="Yes"),0),0)),"")))</f>
        <v>IW-ALL-BACKUP_RECOVERY</v>
      </c>
      <c r="CF819" t="str">
        <f>IF($CE819="","",IFERROR(INDEX(_REF_Industry_Wording!$E$2:$E$70,MATCH($CE819,_REF_Industry_Wording!$A$2:$A$70,0)),""))</f>
        <v>Backup / recovery weakness</v>
      </c>
      <c r="CG819" t="str">
        <f>IF($CE819="","",IFERROR(INDEX(_REF_Industry_Wording!$F$2:$F$70,MATCH($CE819,_REF_Industry_Wording!$A$2:$A$70,0)),""))</f>
        <v>Strengthen Backup / recovery</v>
      </c>
      <c r="CH819" t="str">
        <f>IF($CE819="","",IFERROR(INDEX(_REF_Industry_Wording!$G$2:$G$70,MATCH($CE819,_REF_Industry_Wording!$A$2:$A$70,0)),""))</f>
        <v>Strengthen Backup / recovery using the selected maturity treatment, crisis scenario and evidence requirements.</v>
      </c>
      <c r="CI819" t="str">
        <f>IF($CE819="","",IFERROR(INDEX(_REF_Industry_Wording!$H$2:$H$70,MATCH($CE819,_REF_Industry_Wording!$A$2:$A$70,0)),""))</f>
        <v>Backup / recovery</v>
      </c>
      <c r="CJ819">
        <f>IF($CE819="","",IFERROR(INDEX(_REF_Industry_Wording!$I$2:$I$70,MATCH($CE819,_REF_Industry_Wording!$A$2:$A$70,0)),""))</f>
        <v>0</v>
      </c>
      <c r="CK819" t="str">
        <f>IF($CE819="","",IFERROR(INDEX(_REF_Industry_Wording!$J$2:$J$70,MATCH($CE819,_REF_Industry_Wording!$A$2:$A$70,0)),""))</f>
        <v>Backup / recovery</v>
      </c>
      <c r="CL819" t="str">
        <f t="shared" si="179"/>
        <v>Wording by industry=0; capability=CAP_BACKUP_RECOVERY; risk label=Backup / recovery weakness</v>
      </c>
      <c r="CM819" t="str">
        <f t="shared" si="180"/>
        <v>RISK-ONT-0320</v>
      </c>
      <c r="CN819" t="str">
        <f t="shared" si="181"/>
        <v>RISK-EVT-0320</v>
      </c>
      <c r="CO819" t="str">
        <f t="shared" si="182"/>
        <v>IT Cloud DR|SaaS and integrations|ITCL-029|CAP_BACKUP_RECOVERY</v>
      </c>
      <c r="CP819" t="str">
        <f t="shared" si="183"/>
        <v>Active</v>
      </c>
      <c r="CQ819" t="str">
        <f t="shared" si="184"/>
        <v>OK: capability-driven</v>
      </c>
      <c r="CR819" t="str">
        <f t="shared" si="185"/>
        <v>Risk ontology uses capability=CAP_BACKUP_RECOVERY; bridge=BRG-048; treatment=TRT-BACKUP_RECOVERY-INITIAL; wording=IW-ALL-BACKUP_RECOVERY</v>
      </c>
      <c r="CS819" t="str">
        <f t="shared" si="186"/>
        <v>Yes</v>
      </c>
    </row>
    <row r="820" spans="1:97" ht="69.900000000000006" customHeight="1">
      <c r="A820">
        <f>IF(OR($B820&lt;&gt;"Yes",$BS820=""),"",SUMPRODUCT(($B$500:$B$923="Yes")*ISNUMBER($BS$500:$BS$923)*($BS$500:$BS$923&gt;$BS820))+COUNTIFS($B$500:$B820,"Yes",$BS$500:$BS820,$BS820))</f>
        <v>63</v>
      </c>
      <c r="B820" t="str">
        <f t="shared" ref="B820:B883" si="187">IF($H820="","",IF($BU820=0,"",IF($H820&lt;5,"Yes","Maintain")))</f>
        <v>Yes</v>
      </c>
      <c r="C820" t="s">
        <v>2729</v>
      </c>
      <c r="D820" t="s">
        <v>677</v>
      </c>
      <c r="E820" t="s">
        <v>2730</v>
      </c>
      <c r="F820" t="s">
        <v>4377</v>
      </c>
      <c r="G820" t="str">
        <f>IF($H820="","",IFERROR(INDEX(_ENGINE_Risk!$H$5:$M$499,MATCH($E820,_ENGINE_Risk!$A$5:$A$499,0),$H820+1),""))</f>
        <v>Severe risk: ERP process coverage for finance, procurement, inventory, orders, production or project accounting is not reliably controlled. During IT outage; Decision failure; Process disruption, the organization may face ERP, CRM, MES or HRMS disruption, broken integrations and manual workarounds that fail under stress with limited visibility or accountability.</v>
      </c>
      <c r="H820">
        <f>IFERROR(VALUE(INDEX(_DATA_Assessment_Model!$H$5:$H$884,MATCH($E820,_DATA_Assessment_Model!$A$5:$A$884,0))),"")</f>
        <v>0</v>
      </c>
      <c r="I820" t="str">
        <f>IF($H820="","",IFERROR(INDEX(_DATA_Assessment_Model!$L$5:$L$884,MATCH($E820,_DATA_Assessment_Model!$A$5:$A$884,0)),IF($H820&lt;=1,"Critical",IF($H820=2,"High",IF($H820=3,"Medium",IF($H820=4,"Low","Resilient"))))))</f>
        <v>Critical</v>
      </c>
      <c r="J820">
        <f t="shared" ref="J820:J883" si="188">IF($H820="","",$BP820)</f>
        <v>3.7</v>
      </c>
      <c r="K820">
        <f t="shared" ref="K820:K883" si="189">IF($H820="","",$BQ820)</f>
        <v>4.6499999999999995</v>
      </c>
      <c r="L820">
        <f t="shared" ref="L820:L883" si="190">IF($H820="","",$J820*$K820)</f>
        <v>17.204999999999998</v>
      </c>
      <c r="M820">
        <f t="shared" ref="M820:M883" si="191">IF($H820="","",MAX(1,MIN(5,ROUNDUP($L820/5,0))))</f>
        <v>4</v>
      </c>
      <c r="N820">
        <f>IF($H820="","",IFERROR(INDEX(_ENGINE_Risk!$T$5:$Y$499,MATCH($E820,_ENGINE_Risk!$A$5:$A$499,0),$H820+1),""))</f>
        <v>4</v>
      </c>
      <c r="O820">
        <f t="shared" ref="O820:O883" si="192">IF($H820="","",MAX(1,MIN(5,($U820+$V820+$X820)/3)))</f>
        <v>5</v>
      </c>
      <c r="P820">
        <f t="shared" ref="P820:P883" si="193">IF($H820="","",IF($I820="Critical",5,IF($I820="High",4,IF($I820="Medium",3,IF($I820="Low",2,1)))))</f>
        <v>5</v>
      </c>
      <c r="Q820">
        <f t="shared" ref="Q820:Q883" si="194">IF($H820="","",MAX(1,MIN(5,((5-$H820)*0.65)+($W820*0.35))))</f>
        <v>5</v>
      </c>
      <c r="R820">
        <f t="shared" ref="R820:R883" si="195">IF($H820="","",MAX(1,MIN(5,($V820+$X820)/2)))</f>
        <v>5</v>
      </c>
      <c r="S820">
        <f t="shared" ref="S820:S883" si="196">IF(OR($H820="",$N820=""),"",ROUND((($O820+$P820+$Q820+$R820)/4)/$N820,2))</f>
        <v>1.25</v>
      </c>
      <c r="T820" t="str">
        <f>IF($H820="","",IFERROR(INDEX(_ENGINE_Risk!$N$5:$S$499,MATCH($E820,_ENGINE_Risk!$A$5:$A$499,0),$H820+1),""))</f>
        <v>Create an immediate risk owner, minimum control baseline and fallback procedure for ERP process coverage for finance, procurement, inventory, orders, production or project accounting. Add it to the crisis risk register and collect first evidence.</v>
      </c>
      <c r="U820">
        <f>IFERROR(INDEX(_DATA_Assessment_Model!$G$5:$G$884,MATCH($E820,_DATA_Assessment_Model!$A$5:$A$884,0)),"")</f>
        <v>5</v>
      </c>
      <c r="V820">
        <f>IFERROR(INDEX(_DATA_Assessment_Model!$W$5:$W$884,MATCH($E820,_DATA_Assessment_Model!$A$5:$A$884,0)),"")</f>
        <v>5</v>
      </c>
      <c r="W820">
        <f>IFERROR(INDEX(_DATA_Assessment_Model!$X$5:$X$884,MATCH($E820,_DATA_Assessment_Model!$A$5:$A$884,0)),"")</f>
        <v>5</v>
      </c>
      <c r="X820">
        <f>IFERROR(INDEX(_DATA_Assessment_Model!$Y$5:$Y$884,MATCH($E820,_DATA_Assessment_Model!$A$5:$A$884,0)),"")</f>
        <v>5</v>
      </c>
      <c r="Y820" t="s">
        <v>2735</v>
      </c>
      <c r="Z820" t="s">
        <v>9137</v>
      </c>
      <c r="AA820" t="s">
        <v>2734</v>
      </c>
      <c r="AB820">
        <f>IFERROR(INDEX(_DATA_Assessment_Model!$U$5:$U$884,MATCH($E820,_DATA_Assessment_Model!$A$5:$A$884,0)),"")</f>
        <v>0</v>
      </c>
      <c r="AF820" t="s">
        <v>2731</v>
      </c>
      <c r="AO820">
        <f>IF($B820="Yes",IF(IFERROR(INDEX(_ENGINE_Crisis!$F$501:$F$517,MATCH($C820,_ENGINE_Crisis!$A$501:$A$517,0)),1)=0,1,IFERROR(INDEX(_ENGINE_Crisis!$F$501:$F$517,MATCH($C820,_ENGINE_Crisis!$A$501:$A$517,0)),1)),"")</f>
        <v>1</v>
      </c>
      <c r="AP820">
        <f t="shared" ref="AP820:AP883" si="197">IF(AO820="","",ROUND($L820*AO820,1))</f>
        <v>17.2</v>
      </c>
      <c r="AQ820">
        <f t="shared" ref="AQ820:AQ883" si="198">IF(OR(AO820="",$S820=""),"",ROUND($S820*(0.7+0.3*AO820),2))</f>
        <v>1.25</v>
      </c>
      <c r="AR820" t="str">
        <f>IFERROR(INDEX(_ENGINE_Crisis!$E$41:$E$700,MATCH('Resilience &amp; Risk Scenario'!$B$6&amp;"|"&amp;$C820,_ENGINE_Crisis!$I$41:$I$700,0)),"")</f>
        <v/>
      </c>
      <c r="AS820" t="str">
        <f>IFERROR(INDEX(_ENGINE_Crisis!$G$41:$G$700,MATCH('Resilience &amp; Risk Scenario'!$B$6&amp;"|"&amp;$C820,_ENGINE_Crisis!$I$41:$I$700,0)),"")</f>
        <v/>
      </c>
      <c r="AT820" t="str">
        <f>IFERROR(INDEX(_ENGINE_Initiatives!$A$5:$A$532,MATCH(1,INDEX((_ENGINE_Initiatives!$B$5:$B$532=$C820)*(_ENGINE_Initiatives!$C$5:$C$532=$D820),0),0)),"")</f>
        <v>INI-053</v>
      </c>
      <c r="AU820" t="str">
        <f>IFERROR(INDEX(_ENGINE_Initiatives!$F$5:$F$532,MATCH(1,INDEX((_ENGINE_Initiatives!$B$5:$B$532=$C820)*(_ENGINE_Initiatives!$C$5:$C$532=$D820),0),0)),"")</f>
        <v>Stabilize ERP process ownership, master data and continuity controls</v>
      </c>
      <c r="AV820">
        <f>IFERROR(INDEX(_ENGINE_Initiatives!$AC$5:$AC$532,MATCH(1,INDEX((_ENGINE_Initiatives!$B$5:$B$532=$C820)*(_ENGINE_Initiatives!$C$5:$C$532=$D820),0),0)),"")</f>
        <v>1.36</v>
      </c>
      <c r="AW820" t="str">
        <f>IFERROR(INDEX(_ENGINE_Initiatives!$AE$5:$AE$532,MATCH(1,INDEX((_ENGINE_Initiatives!$B$5:$B$532=$C820)*(_ENGINE_Initiatives!$C$5:$C$532=$D820),0),0)),"")</f>
        <v>6-12 months</v>
      </c>
      <c r="AX820">
        <f>IF($B820="Yes",IFERROR((IF(SUMIFS(_REF_Model_Content!$E$1:$E$613,_REF_Model_Content!$A$1:$A$613,PV_Canonical_Industry,_REF_Model_Content!$B$1:$B$613,$C820)=0,1,SUMIFS(_REF_Model_Content!$E$1:$E$613,_REF_Model_Content!$A$1:$A$613,PV_Canonical_Industry,_REF_Model_Content!$B$1:$B$613,$C820))*IFERROR($BU820,1)),1),"")</f>
        <v>1</v>
      </c>
      <c r="AY820">
        <f t="shared" ref="AY820:AY883" si="199">IF($L820="","",ROUND(IF($AP820="",$L820,$AP820)*IF($AX820="",1,$AX820),2))</f>
        <v>17.2</v>
      </c>
      <c r="AZ820">
        <f t="shared" ref="AZ820:AZ883" si="200">IF($S820="","",ROUND(IF($AQ820="",$S820,$AQ820)*IF($AX820="",1,$AX820),2))</f>
        <v>1.25</v>
      </c>
      <c r="BB820" t="str">
        <f>IF($H820="","",IFERROR(INDEX(_ENGINE_Risk!$AE$5:$AE$499,MATCH($E820,_ENGINE_Risk!$A$5:$A$499,0)),"Medium"))</f>
        <v>Fast</v>
      </c>
      <c r="BC820">
        <f t="shared" ref="BC820:BC883" si="201">IF($BB820="","",IF($BB820="Fast",1.25,IF($BB820="Slow",0.85,1)))</f>
        <v>1.25</v>
      </c>
      <c r="BD820">
        <f t="shared" ref="BD820:BD883" si="202">IF($S820="","",ROUND($S820*IF($AX820="",1,$AX820),2))</f>
        <v>1.25</v>
      </c>
      <c r="BF820">
        <f>IF(OR($H820="",$J820=""),"",IFERROR(VLOOKUP(ROUND($J820,0),_CONFIG_Model_Settings!$D$154:$E$158,2,0),""))</f>
        <v>0.5</v>
      </c>
      <c r="BG820">
        <f>IFERROR(IF(OR($H820="",$K820=""),"",ROUND('Company Profile'!$B$113*INDEX(_CONFIG_Model_Settings!$H$154:$H$158,MATCH(ROUND($K820,0),_CONFIG_Model_Settings!$G$154:$G$158,0)),0)),0)</f>
        <v>1875</v>
      </c>
      <c r="BH820">
        <f t="shared" ref="BH820:BH883" si="203">IFERROR(IF(OR($BF820="",$BG820=""),"",ROUND($BF820*$BG820,1)),"")</f>
        <v>937.5</v>
      </c>
      <c r="BI820">
        <f t="shared" ref="BI820:BI883" si="204">IFERROR(IF($BH820="","",ROUND($BH820*IF(OR($AO820="",$AO820=0),1,$AO820),1)),"")</f>
        <v>937.5</v>
      </c>
      <c r="BJ820">
        <f>IF($E820="","",IFERROR(VLOOKUP($C820,_CONFIG_Risk_Calibration!$A$5:$H$21,2,FALSE),3))</f>
        <v>3</v>
      </c>
      <c r="BK820">
        <f>IF($E820="","",IFERROR(VLOOKUP($C820,_CONFIG_Risk_Calibration!$A$5:$H$21,3,FALSE),0))</f>
        <v>0</v>
      </c>
      <c r="BL820">
        <f>IF($E820="","",IFERROR(VLOOKUP($C820,_CONFIG_Risk_Calibration!$A$5:$H$21,4,FALSE),3))</f>
        <v>3</v>
      </c>
      <c r="BM820">
        <f>IF($E820="","",IFERROR(VLOOKUP($C820,_CONFIG_Risk_Calibration!$A$5:$H$21,5,FALSE),3))</f>
        <v>4</v>
      </c>
      <c r="BN820" t="str">
        <f>IF($E820="","",IFERROR(VLOOKUP($C820,_CONFIG_Risk_Calibration!$A$5:$H$21,6,FALSE),"No"))</f>
        <v>Yes</v>
      </c>
      <c r="BO820">
        <f>IF($E820="","",IFERROR(VLOOKUP($C820,_CONFIG_Risk_Calibration!$A$5:$H$21,7,FALSE),1))</f>
        <v>4</v>
      </c>
      <c r="BP820">
        <f>IF($H820="","",MAX(1,MIN(5,((6-$H820)*0.45)+($BJ820*0.2)+('Resilience &amp; Risk Scenario'!$B$7*0.15)+($BK820*0.1)+($BL820*0.05)+(IF($BB820="Fast",5,IF($BB820="Slow",1,3))*0.05))))</f>
        <v>3.7</v>
      </c>
      <c r="BQ820">
        <f t="shared" ref="BQ820:BQ883" si="205">IF($H820="","",MAX(IF($BN820="Yes",$BO820,1),MIN(5,($U820*0.2)+($V820*0.15)+($W820*0.25)+($X820*0.15)+($BJ820*0.1)+($BM820*0.15))))</f>
        <v>4.6499999999999995</v>
      </c>
      <c r="BR820">
        <f t="shared" ref="BR820:BR883" si="206">IF(OR($BP820="",$BQ820=""),"",ROUND($BP820*$BQ820,2))</f>
        <v>17.21</v>
      </c>
      <c r="BS820">
        <f t="shared" ref="BS820:BS883" si="207">IF($BR820="","",ROUND($BR820*IF(OR($AO820="",$AO820=0),1,$AO820)*IF($AX820="",1,$AX820)*(1+(($BM820-3)*0.1))*IF($BC820="",1,$BC820),2))</f>
        <v>23.66</v>
      </c>
      <c r="BT820" t="str">
        <f>IFERROR(INDEX(_REF_Capability_Bridge!$D:$D,MATCH($C820&amp;"|"&amp;$D820,_REF_Capability_Bridge!$J:$J,0)),IFERROR(INDEX(_REF_Capability_Bridge!$D:$D,MATCH($C820&amp;"|",_REF_Capability_Bridge!$J:$J,0)),"CAP_GENERIC"))</f>
        <v>CAP_IAM_PAM</v>
      </c>
      <c r="BU820">
        <f>IFERROR(IFERROR(INDEX(_ENGINE_Relevance!$L:$L,MATCH($BT820,_ENGINE_Relevance!$B:$B,0)),1),1)</f>
        <v>1</v>
      </c>
      <c r="BV820" t="str">
        <f>IFERROR(INDEX(_REF_Capability_Bridge!$A:$A,MATCH($C820&amp;"|"&amp;$D820,_REF_Capability_Bridge!$J:$J,0)),IFERROR(INDEX(_REF_Capability_Bridge!$A:$A,MATCH($C820&amp;"|",_REF_Capability_Bridge!$J:$J,0)),"No bridge"))</f>
        <v>BRG-003</v>
      </c>
      <c r="BW820" t="str">
        <f t="shared" ref="BW820:BW883" si="208">IF($BU820=0,"Hard-excluded at capability level",IF($BU820&gt;1,"Capability relevance increases risk priority",IF($BU820&lt;1,"Capability relevance lowers risk priority","Capability relevance neutral")))</f>
        <v>Capability relevance neutral</v>
      </c>
      <c r="BX820" t="str">
        <f t="shared" ref="BX820:BX883" si="209">IF($E820="","",IF(N($H820)&lt;1.5,"Initial / absent",IF(N($H820)&lt;2.5,"Basic",IF(N($H820)&lt;3.5,"Defined",IF(N($H820)&lt;4.3,"Managed","Optimized")))))</f>
        <v>Initial / absent</v>
      </c>
      <c r="BY820" t="str">
        <f>IF($E820="","",IFERROR(INDEX(_REF_Treatment_Library!$A$2:$A$296,MATCH(1,INDEX((_REF_Treatment_Library!$B$2:$B$296=$BT820)*(_REF_Treatment_Library!$C$2:$C$296=PV_Canonical_Industry)*(_REF_Treatment_Library!$E$2:$E$296&lt;=N($H820))*(_REF_Treatment_Library!$F$2:$F$296&gt;=N($H820))*(_REF_Treatment_Library!$O$2:$O$296="Yes"),0),0)),IFERROR(INDEX(_REF_Treatment_Library!$A$2:$A$296,MATCH(1,INDEX((_REF_Treatment_Library!$B$2:$B$296=$BT820)*(_REF_Treatment_Library!$C$2:$C$296="All")*(_REF_Treatment_Library!$E$2:$E$296&lt;=N($H820))*(_REF_Treatment_Library!$F$2:$F$296&gt;=N($H820))*(_REF_Treatment_Library!$O$2:$O$296="Yes"),0),0)),"")))</f>
        <v>TRT-IAM_PAM-INITIAL</v>
      </c>
      <c r="BZ820" t="str">
        <f>IF($BY820="","",IFERROR(INDEX(_REF_Treatment_Library!$H$2:$H$296,MATCH($BY820,_REF_Treatment_Library!$A$2:$A$296,0)),""))</f>
        <v>Establish</v>
      </c>
      <c r="CA820" t="str">
        <f>IF($BY820="","",IFERROR(INDEX(_REF_Treatment_Library!$I$2:$I$296,MATCH($BY820,_REF_Treatment_Library!$A$2:$A$296,0)),""))</f>
        <v>Establish baseline controls for Identity / PAM</v>
      </c>
      <c r="CB820" t="str">
        <f>IF($BY820="","",IFERROR(INDEX(_REF_Treatment_Library!$K$2:$K$296,MATCH($BY820,_REF_Treatment_Library!$A$2:$A$296,0)),""))</f>
        <v>Named owner, baseline process, minimum control checklist, first evidence package</v>
      </c>
      <c r="CC820" t="str">
        <f>IF($BY820="","",IFERROR(INDEX(_REF_Treatment_Library!$L$2:$L$296,MATCH($BY820,_REF_Treatment_Library!$A$2:$A$296,0)),""))</f>
        <v>Owner assigned; baseline evidence coverage; open critical gaps</v>
      </c>
      <c r="CD820" t="str">
        <f t="shared" ref="CD820:CD883" si="210">IF($E820="","","Treatment by capability="&amp;$BT820&amp;"; band="&amp;$BX820&amp;"; score="&amp;TEXT(N($H820),"0.0")&amp;"; treatment="&amp;$BZ820)</f>
        <v>Treatment by capability=CAP_IAM_PAM; band=Initial / absent; score=0.0; treatment=Establish</v>
      </c>
      <c r="CE820" t="str">
        <f>IF($E820="","",IFERROR(INDEX(_REF_Industry_Wording!$A$2:$A$70,MATCH(1,INDEX((_REF_Industry_Wording!$B$2:$B$70=$BT820)*(_REF_Industry_Wording!$C$2:$C$70=PV_Canonical_Industry)*(_REF_Industry_Wording!$K$2:$K$70="Yes"),0),0)),IFERROR(INDEX(_REF_Industry_Wording!$A$2:$A$70,MATCH(1,INDEX((_REF_Industry_Wording!$B$2:$B$70=$BT820)*(_REF_Industry_Wording!$C$2:$C$70="All")*(_REF_Industry_Wording!$K$2:$K$70="Yes"),0),0)),"")))</f>
        <v>IW-ALL-IAM_PAM</v>
      </c>
      <c r="CF820" t="str">
        <f>IF($CE820="","",IFERROR(INDEX(_REF_Industry_Wording!$E$2:$E$70,MATCH($CE820,_REF_Industry_Wording!$A$2:$A$70,0)),""))</f>
        <v>Identity / PAM weakness</v>
      </c>
      <c r="CG820" t="str">
        <f>IF($CE820="","",IFERROR(INDEX(_REF_Industry_Wording!$F$2:$F$70,MATCH($CE820,_REF_Industry_Wording!$A$2:$A$70,0)),""))</f>
        <v>Strengthen Identity / PAM</v>
      </c>
      <c r="CH820" t="str">
        <f>IF($CE820="","",IFERROR(INDEX(_REF_Industry_Wording!$G$2:$G$70,MATCH($CE820,_REF_Industry_Wording!$A$2:$A$70,0)),""))</f>
        <v>Strengthen Identity / PAM using the selected maturity treatment, crisis scenario and evidence requirements.</v>
      </c>
      <c r="CI820" t="str">
        <f>IF($CE820="","",IFERROR(INDEX(_REF_Industry_Wording!$H$2:$H$70,MATCH($CE820,_REF_Industry_Wording!$A$2:$A$70,0)),""))</f>
        <v>Identity / PAM</v>
      </c>
      <c r="CJ820">
        <f>IF($CE820="","",IFERROR(INDEX(_REF_Industry_Wording!$I$2:$I$70,MATCH($CE820,_REF_Industry_Wording!$A$2:$A$70,0)),""))</f>
        <v>0</v>
      </c>
      <c r="CK820" t="str">
        <f>IF($CE820="","",IFERROR(INDEX(_REF_Industry_Wording!$J$2:$J$70,MATCH($CE820,_REF_Industry_Wording!$A$2:$A$70,0)),""))</f>
        <v>Identity / PAM</v>
      </c>
      <c r="CL820" t="str">
        <f t="shared" ref="CL820:CL883" si="211">IF($E820="","","Wording by industry="&amp;PV_Canonical_Industry&amp;"; capability="&amp;$BT820&amp;"; risk label="&amp;$CF820)</f>
        <v>Wording by industry=0; capability=CAP_IAM_PAM; risk label=Identity / PAM weakness</v>
      </c>
      <c r="CM820" t="str">
        <f t="shared" ref="CM820:CM883" si="212">IF($E820="","","RISK-ONT-"&amp;TEXT(ROW()-499,"0000"))</f>
        <v>RISK-ONT-0321</v>
      </c>
      <c r="CN820" t="str">
        <f t="shared" ref="CN820:CN883" si="213">IF($E820="","","RISK-EVT-"&amp;TEXT(ROW()-499,"0000"))</f>
        <v>RISK-EVT-0321</v>
      </c>
      <c r="CO820" t="str">
        <f t="shared" ref="CO820:CO883" si="214">IF($E820="","",$C820&amp;"|"&amp;$D820&amp;"|"&amp;$E820&amp;"|"&amp;$BT820)</f>
        <v>Business Systems|ERP|BUSI-001|CAP_IAM_PAM</v>
      </c>
      <c r="CP820" t="str">
        <f t="shared" ref="CP820:CP883" si="215">IF($E820="","",IF(OR($BT820="",$BT820="CAP_GENERIC"),"CHECK","Active"))</f>
        <v>Active</v>
      </c>
      <c r="CQ820" t="str">
        <f t="shared" ref="CQ820:CQ883" si="216">IF($E820="","",IF($BT820="CAP_GENERIC","CHECK: generic capability fallback","OK: capability-driven"))</f>
        <v>OK: capability-driven</v>
      </c>
      <c r="CR820" t="str">
        <f t="shared" ref="CR820:CR883" si="217">IF($E820="","","Risk ontology uses capability="&amp;$BT820&amp;"; bridge="&amp;$BV820&amp;"; treatment="&amp;$BY820&amp;"; wording="&amp;$CE820)</f>
        <v>Risk ontology uses capability=CAP_IAM_PAM; bridge=BRG-003; treatment=TRT-IAM_PAM-INITIAL; wording=IW-ALL-IAM_PAM</v>
      </c>
      <c r="CS820" t="str">
        <f t="shared" ref="CS820:CS883" si="218">IF($E820="","",IF($CP820="Active","Yes","No"))</f>
        <v>Yes</v>
      </c>
    </row>
    <row r="821" spans="1:97" ht="69.900000000000006" customHeight="1">
      <c r="A821">
        <f>IF(OR($B821&lt;&gt;"Yes",$BS821=""),"",SUMPRODUCT(($B$500:$B$923="Yes")*ISNUMBER($BS$500:$BS$923)*($BS$500:$BS$923&gt;$BS821))+COUNTIFS($B$500:$B821,"Yes",$BS$500:$BS821,$BS821))</f>
        <v>64</v>
      </c>
      <c r="B821" t="str">
        <f t="shared" si="187"/>
        <v>Yes</v>
      </c>
      <c r="C821" t="s">
        <v>2729</v>
      </c>
      <c r="D821" t="s">
        <v>677</v>
      </c>
      <c r="E821" t="s">
        <v>2736</v>
      </c>
      <c r="F821" t="s">
        <v>4377</v>
      </c>
      <c r="G821" t="str">
        <f>IF($H821="","",IFERROR(INDEX(_ENGINE_Risk!$H$5:$M$499,MATCH($E821,_ENGINE_Risk!$A$5:$A$499,0),$H821+1),""))</f>
        <v>Severe risk: ERP master data governance for customers, suppliers, items, BOMs, chart of accounts, cost centers and pricing is not reliably controlled. During IT outage; Decision failure; Process disruption, the organization may face ERP, CRM, MES or HRMS disruption, broken integrations and manual workarounds that fail under stress with limited visibility or accountability.</v>
      </c>
      <c r="H821">
        <f>IFERROR(VALUE(INDEX(_DATA_Assessment_Model!$H$5:$H$884,MATCH($E821,_DATA_Assessment_Model!$A$5:$A$884,0))),"")</f>
        <v>0</v>
      </c>
      <c r="I821" t="str">
        <f>IF($H821="","",IFERROR(INDEX(_DATA_Assessment_Model!$L$5:$L$884,MATCH($E821,_DATA_Assessment_Model!$A$5:$A$884,0)),IF($H821&lt;=1,"Critical",IF($H821=2,"High",IF($H821=3,"Medium",IF($H821=4,"Low","Resilient"))))))</f>
        <v>Critical</v>
      </c>
      <c r="J821">
        <f t="shared" si="188"/>
        <v>3.7</v>
      </c>
      <c r="K821">
        <f t="shared" si="189"/>
        <v>4.6499999999999995</v>
      </c>
      <c r="L821">
        <f t="shared" si="190"/>
        <v>17.204999999999998</v>
      </c>
      <c r="M821">
        <f t="shared" si="191"/>
        <v>4</v>
      </c>
      <c r="N821">
        <f>IF($H821="","",IFERROR(INDEX(_ENGINE_Risk!$T$5:$Y$499,MATCH($E821,_ENGINE_Risk!$A$5:$A$499,0),$H821+1),""))</f>
        <v>4</v>
      </c>
      <c r="O821">
        <f t="shared" si="192"/>
        <v>5</v>
      </c>
      <c r="P821">
        <f t="shared" si="193"/>
        <v>5</v>
      </c>
      <c r="Q821">
        <f t="shared" si="194"/>
        <v>5</v>
      </c>
      <c r="R821">
        <f t="shared" si="195"/>
        <v>5</v>
      </c>
      <c r="S821">
        <f t="shared" si="196"/>
        <v>1.25</v>
      </c>
      <c r="T821" t="str">
        <f>IF($H821="","",IFERROR(INDEX(_ENGINE_Risk!$N$5:$S$499,MATCH($E821,_ENGINE_Risk!$A$5:$A$499,0),$H821+1),""))</f>
        <v>Create an immediate risk owner, minimum control baseline and fallback procedure for ERP master data governance for customers, suppliers, items, BOMs, chart of accounts, cost centers and pricing. Add it to the crisis risk register and collect first evidence.</v>
      </c>
      <c r="U821">
        <f>IFERROR(INDEX(_DATA_Assessment_Model!$G$5:$G$884,MATCH($E821,_DATA_Assessment_Model!$A$5:$A$884,0)),"")</f>
        <v>5</v>
      </c>
      <c r="V821">
        <f>IFERROR(INDEX(_DATA_Assessment_Model!$W$5:$W$884,MATCH($E821,_DATA_Assessment_Model!$A$5:$A$884,0)),"")</f>
        <v>5</v>
      </c>
      <c r="W821">
        <f>IFERROR(INDEX(_DATA_Assessment_Model!$X$5:$X$884,MATCH($E821,_DATA_Assessment_Model!$A$5:$A$884,0)),"")</f>
        <v>5</v>
      </c>
      <c r="X821">
        <f>IFERROR(INDEX(_DATA_Assessment_Model!$Y$5:$Y$884,MATCH($E821,_DATA_Assessment_Model!$A$5:$A$884,0)),"")</f>
        <v>5</v>
      </c>
      <c r="Y821" t="s">
        <v>2735</v>
      </c>
      <c r="Z821" t="s">
        <v>9137</v>
      </c>
      <c r="AA821" t="s">
        <v>2738</v>
      </c>
      <c r="AB821">
        <f>IFERROR(INDEX(_DATA_Assessment_Model!$U$5:$U$884,MATCH($E821,_DATA_Assessment_Model!$A$5:$A$884,0)),"")</f>
        <v>0</v>
      </c>
      <c r="AF821" t="s">
        <v>2737</v>
      </c>
      <c r="AO821">
        <f>IF($B821="Yes",IF(IFERROR(INDEX(_ENGINE_Crisis!$F$501:$F$517,MATCH($C821,_ENGINE_Crisis!$A$501:$A$517,0)),1)=0,1,IFERROR(INDEX(_ENGINE_Crisis!$F$501:$F$517,MATCH($C821,_ENGINE_Crisis!$A$501:$A$517,0)),1)),"")</f>
        <v>1</v>
      </c>
      <c r="AP821">
        <f t="shared" si="197"/>
        <v>17.2</v>
      </c>
      <c r="AQ821">
        <f t="shared" si="198"/>
        <v>1.25</v>
      </c>
      <c r="AR821" t="str">
        <f>IFERROR(INDEX(_ENGINE_Crisis!$E$41:$E$700,MATCH('Resilience &amp; Risk Scenario'!$B$6&amp;"|"&amp;$C821,_ENGINE_Crisis!$I$41:$I$700,0)),"")</f>
        <v/>
      </c>
      <c r="AS821" t="str">
        <f>IFERROR(INDEX(_ENGINE_Crisis!$G$41:$G$700,MATCH('Resilience &amp; Risk Scenario'!$B$6&amp;"|"&amp;$C821,_ENGINE_Crisis!$I$41:$I$700,0)),"")</f>
        <v/>
      </c>
      <c r="AT821" t="str">
        <f>IFERROR(INDEX(_ENGINE_Initiatives!$A$5:$A$532,MATCH(1,INDEX((_ENGINE_Initiatives!$B$5:$B$532=$C821)*(_ENGINE_Initiatives!$C$5:$C$532=$D821),0),0)),"")</f>
        <v>INI-053</v>
      </c>
      <c r="AU821" t="str">
        <f>IFERROR(INDEX(_ENGINE_Initiatives!$F$5:$F$532,MATCH(1,INDEX((_ENGINE_Initiatives!$B$5:$B$532=$C821)*(_ENGINE_Initiatives!$C$5:$C$532=$D821),0),0)),"")</f>
        <v>Stabilize ERP process ownership, master data and continuity controls</v>
      </c>
      <c r="AV821">
        <f>IFERROR(INDEX(_ENGINE_Initiatives!$AC$5:$AC$532,MATCH(1,INDEX((_ENGINE_Initiatives!$B$5:$B$532=$C821)*(_ENGINE_Initiatives!$C$5:$C$532=$D821),0),0)),"")</f>
        <v>1.36</v>
      </c>
      <c r="AW821" t="str">
        <f>IFERROR(INDEX(_ENGINE_Initiatives!$AE$5:$AE$532,MATCH(1,INDEX((_ENGINE_Initiatives!$B$5:$B$532=$C821)*(_ENGINE_Initiatives!$C$5:$C$532=$D821),0),0)),"")</f>
        <v>6-12 months</v>
      </c>
      <c r="AX821">
        <f>IF($B821="Yes",IFERROR((IF(SUMIFS(_REF_Model_Content!$E$1:$E$613,_REF_Model_Content!$A$1:$A$613,PV_Canonical_Industry,_REF_Model_Content!$B$1:$B$613,$C821)=0,1,SUMIFS(_REF_Model_Content!$E$1:$E$613,_REF_Model_Content!$A$1:$A$613,PV_Canonical_Industry,_REF_Model_Content!$B$1:$B$613,$C821))*IFERROR($BU821,1)),1),"")</f>
        <v>1</v>
      </c>
      <c r="AY821">
        <f t="shared" si="199"/>
        <v>17.2</v>
      </c>
      <c r="AZ821">
        <f t="shared" si="200"/>
        <v>1.25</v>
      </c>
      <c r="BB821" t="str">
        <f>IF($H821="","",IFERROR(INDEX(_ENGINE_Risk!$AE$5:$AE$499,MATCH($E821,_ENGINE_Risk!$A$5:$A$499,0)),"Medium"))</f>
        <v>Fast</v>
      </c>
      <c r="BC821">
        <f t="shared" si="201"/>
        <v>1.25</v>
      </c>
      <c r="BD821">
        <f t="shared" si="202"/>
        <v>1.25</v>
      </c>
      <c r="BF821">
        <f>IF(OR($H821="",$J821=""),"",IFERROR(VLOOKUP(ROUND($J821,0),_CONFIG_Model_Settings!$D$154:$E$158,2,0),""))</f>
        <v>0.5</v>
      </c>
      <c r="BG821">
        <f>IFERROR(IF(OR($H821="",$K821=""),"",ROUND('Company Profile'!$B$113*INDEX(_CONFIG_Model_Settings!$H$154:$H$158,MATCH(ROUND($K821,0),_CONFIG_Model_Settings!$G$154:$G$158,0)),0)),0)</f>
        <v>1875</v>
      </c>
      <c r="BH821">
        <f t="shared" si="203"/>
        <v>937.5</v>
      </c>
      <c r="BI821">
        <f t="shared" si="204"/>
        <v>937.5</v>
      </c>
      <c r="BJ821">
        <f>IF($E821="","",IFERROR(VLOOKUP($C821,_CONFIG_Risk_Calibration!$A$5:$H$21,2,FALSE),3))</f>
        <v>3</v>
      </c>
      <c r="BK821">
        <f>IF($E821="","",IFERROR(VLOOKUP($C821,_CONFIG_Risk_Calibration!$A$5:$H$21,3,FALSE),0))</f>
        <v>0</v>
      </c>
      <c r="BL821">
        <f>IF($E821="","",IFERROR(VLOOKUP($C821,_CONFIG_Risk_Calibration!$A$5:$H$21,4,FALSE),3))</f>
        <v>3</v>
      </c>
      <c r="BM821">
        <f>IF($E821="","",IFERROR(VLOOKUP($C821,_CONFIG_Risk_Calibration!$A$5:$H$21,5,FALSE),3))</f>
        <v>4</v>
      </c>
      <c r="BN821" t="str">
        <f>IF($E821="","",IFERROR(VLOOKUP($C821,_CONFIG_Risk_Calibration!$A$5:$H$21,6,FALSE),"No"))</f>
        <v>Yes</v>
      </c>
      <c r="BO821">
        <f>IF($E821="","",IFERROR(VLOOKUP($C821,_CONFIG_Risk_Calibration!$A$5:$H$21,7,FALSE),1))</f>
        <v>4</v>
      </c>
      <c r="BP821">
        <f>IF($H821="","",MAX(1,MIN(5,((6-$H821)*0.45)+($BJ821*0.2)+('Resilience &amp; Risk Scenario'!$B$7*0.15)+($BK821*0.1)+($BL821*0.05)+(IF($BB821="Fast",5,IF($BB821="Slow",1,3))*0.05))))</f>
        <v>3.7</v>
      </c>
      <c r="BQ821">
        <f t="shared" si="205"/>
        <v>4.6499999999999995</v>
      </c>
      <c r="BR821">
        <f t="shared" si="206"/>
        <v>17.21</v>
      </c>
      <c r="BS821">
        <f t="shared" si="207"/>
        <v>23.66</v>
      </c>
      <c r="BT821" t="str">
        <f>IFERROR(INDEX(_REF_Capability_Bridge!$D:$D,MATCH($C821&amp;"|"&amp;$D821,_REF_Capability_Bridge!$J:$J,0)),IFERROR(INDEX(_REF_Capability_Bridge!$D:$D,MATCH($C821&amp;"|",_REF_Capability_Bridge!$J:$J,0)),"CAP_GENERIC"))</f>
        <v>CAP_IAM_PAM</v>
      </c>
      <c r="BU821">
        <f>IFERROR(IFERROR(INDEX(_ENGINE_Relevance!$L:$L,MATCH($BT821,_ENGINE_Relevance!$B:$B,0)),1),1)</f>
        <v>1</v>
      </c>
      <c r="BV821" t="str">
        <f>IFERROR(INDEX(_REF_Capability_Bridge!$A:$A,MATCH($C821&amp;"|"&amp;$D821,_REF_Capability_Bridge!$J:$J,0)),IFERROR(INDEX(_REF_Capability_Bridge!$A:$A,MATCH($C821&amp;"|",_REF_Capability_Bridge!$J:$J,0)),"No bridge"))</f>
        <v>BRG-003</v>
      </c>
      <c r="BW821" t="str">
        <f t="shared" si="208"/>
        <v>Capability relevance neutral</v>
      </c>
      <c r="BX821" t="str">
        <f t="shared" si="209"/>
        <v>Initial / absent</v>
      </c>
      <c r="BY821" t="str">
        <f>IF($E821="","",IFERROR(INDEX(_REF_Treatment_Library!$A$2:$A$296,MATCH(1,INDEX((_REF_Treatment_Library!$B$2:$B$296=$BT821)*(_REF_Treatment_Library!$C$2:$C$296=PV_Canonical_Industry)*(_REF_Treatment_Library!$E$2:$E$296&lt;=N($H821))*(_REF_Treatment_Library!$F$2:$F$296&gt;=N($H821))*(_REF_Treatment_Library!$O$2:$O$296="Yes"),0),0)),IFERROR(INDEX(_REF_Treatment_Library!$A$2:$A$296,MATCH(1,INDEX((_REF_Treatment_Library!$B$2:$B$296=$BT821)*(_REF_Treatment_Library!$C$2:$C$296="All")*(_REF_Treatment_Library!$E$2:$E$296&lt;=N($H821))*(_REF_Treatment_Library!$F$2:$F$296&gt;=N($H821))*(_REF_Treatment_Library!$O$2:$O$296="Yes"),0),0)),"")))</f>
        <v>TRT-IAM_PAM-INITIAL</v>
      </c>
      <c r="BZ821" t="str">
        <f>IF($BY821="","",IFERROR(INDEX(_REF_Treatment_Library!$H$2:$H$296,MATCH($BY821,_REF_Treatment_Library!$A$2:$A$296,0)),""))</f>
        <v>Establish</v>
      </c>
      <c r="CA821" t="str">
        <f>IF($BY821="","",IFERROR(INDEX(_REF_Treatment_Library!$I$2:$I$296,MATCH($BY821,_REF_Treatment_Library!$A$2:$A$296,0)),""))</f>
        <v>Establish baseline controls for Identity / PAM</v>
      </c>
      <c r="CB821" t="str">
        <f>IF($BY821="","",IFERROR(INDEX(_REF_Treatment_Library!$K$2:$K$296,MATCH($BY821,_REF_Treatment_Library!$A$2:$A$296,0)),""))</f>
        <v>Named owner, baseline process, minimum control checklist, first evidence package</v>
      </c>
      <c r="CC821" t="str">
        <f>IF($BY821="","",IFERROR(INDEX(_REF_Treatment_Library!$L$2:$L$296,MATCH($BY821,_REF_Treatment_Library!$A$2:$A$296,0)),""))</f>
        <v>Owner assigned; baseline evidence coverage; open critical gaps</v>
      </c>
      <c r="CD821" t="str">
        <f t="shared" si="210"/>
        <v>Treatment by capability=CAP_IAM_PAM; band=Initial / absent; score=0.0; treatment=Establish</v>
      </c>
      <c r="CE821" t="str">
        <f>IF($E821="","",IFERROR(INDEX(_REF_Industry_Wording!$A$2:$A$70,MATCH(1,INDEX((_REF_Industry_Wording!$B$2:$B$70=$BT821)*(_REF_Industry_Wording!$C$2:$C$70=PV_Canonical_Industry)*(_REF_Industry_Wording!$K$2:$K$70="Yes"),0),0)),IFERROR(INDEX(_REF_Industry_Wording!$A$2:$A$70,MATCH(1,INDEX((_REF_Industry_Wording!$B$2:$B$70=$BT821)*(_REF_Industry_Wording!$C$2:$C$70="All")*(_REF_Industry_Wording!$K$2:$K$70="Yes"),0),0)),"")))</f>
        <v>IW-ALL-IAM_PAM</v>
      </c>
      <c r="CF821" t="str">
        <f>IF($CE821="","",IFERROR(INDEX(_REF_Industry_Wording!$E$2:$E$70,MATCH($CE821,_REF_Industry_Wording!$A$2:$A$70,0)),""))</f>
        <v>Identity / PAM weakness</v>
      </c>
      <c r="CG821" t="str">
        <f>IF($CE821="","",IFERROR(INDEX(_REF_Industry_Wording!$F$2:$F$70,MATCH($CE821,_REF_Industry_Wording!$A$2:$A$70,0)),""))</f>
        <v>Strengthen Identity / PAM</v>
      </c>
      <c r="CH821" t="str">
        <f>IF($CE821="","",IFERROR(INDEX(_REF_Industry_Wording!$G$2:$G$70,MATCH($CE821,_REF_Industry_Wording!$A$2:$A$70,0)),""))</f>
        <v>Strengthen Identity / PAM using the selected maturity treatment, crisis scenario and evidence requirements.</v>
      </c>
      <c r="CI821" t="str">
        <f>IF($CE821="","",IFERROR(INDEX(_REF_Industry_Wording!$H$2:$H$70,MATCH($CE821,_REF_Industry_Wording!$A$2:$A$70,0)),""))</f>
        <v>Identity / PAM</v>
      </c>
      <c r="CJ821">
        <f>IF($CE821="","",IFERROR(INDEX(_REF_Industry_Wording!$I$2:$I$70,MATCH($CE821,_REF_Industry_Wording!$A$2:$A$70,0)),""))</f>
        <v>0</v>
      </c>
      <c r="CK821" t="str">
        <f>IF($CE821="","",IFERROR(INDEX(_REF_Industry_Wording!$J$2:$J$70,MATCH($CE821,_REF_Industry_Wording!$A$2:$A$70,0)),""))</f>
        <v>Identity / PAM</v>
      </c>
      <c r="CL821" t="str">
        <f t="shared" si="211"/>
        <v>Wording by industry=0; capability=CAP_IAM_PAM; risk label=Identity / PAM weakness</v>
      </c>
      <c r="CM821" t="str">
        <f t="shared" si="212"/>
        <v>RISK-ONT-0322</v>
      </c>
      <c r="CN821" t="str">
        <f t="shared" si="213"/>
        <v>RISK-EVT-0322</v>
      </c>
      <c r="CO821" t="str">
        <f t="shared" si="214"/>
        <v>Business Systems|ERP|BUSI-002|CAP_IAM_PAM</v>
      </c>
      <c r="CP821" t="str">
        <f t="shared" si="215"/>
        <v>Active</v>
      </c>
      <c r="CQ821" t="str">
        <f t="shared" si="216"/>
        <v>OK: capability-driven</v>
      </c>
      <c r="CR821" t="str">
        <f t="shared" si="217"/>
        <v>Risk ontology uses capability=CAP_IAM_PAM; bridge=BRG-003; treatment=TRT-IAM_PAM-INITIAL; wording=IW-ALL-IAM_PAM</v>
      </c>
      <c r="CS821" t="str">
        <f t="shared" si="218"/>
        <v>Yes</v>
      </c>
    </row>
    <row r="822" spans="1:97" ht="69.900000000000006" customHeight="1">
      <c r="A822">
        <f>IF(OR($B822&lt;&gt;"Yes",$BS822=""),"",SUMPRODUCT(($B$500:$B$923="Yes")*ISNUMBER($BS$500:$BS$923)*($BS$500:$BS$923&gt;$BS822))+COUNTIFS($B$500:$B822,"Yes",$BS$500:$BS822,$BS822))</f>
        <v>65</v>
      </c>
      <c r="B822" t="str">
        <f t="shared" si="187"/>
        <v>Yes</v>
      </c>
      <c r="C822" t="s">
        <v>2729</v>
      </c>
      <c r="D822" t="s">
        <v>677</v>
      </c>
      <c r="E822" t="s">
        <v>2740</v>
      </c>
      <c r="F822" t="s">
        <v>4377</v>
      </c>
      <c r="G822" t="str">
        <f>IF($H822="","",IFERROR(INDEX(_ENGINE_Risk!$H$5:$M$499,MATCH($E822,_ENGINE_Risk!$A$5:$A$499,0),$H822+1),""))</f>
        <v>Severe risk: ERP access controls, approvals and segregation of duties is not reliably controlled. During IT outage; Decision failure; Process disruption, the organization may face ERP, CRM, MES or HRMS disruption, broken integrations and manual workarounds that fail under stress with limited visibility or accountability.</v>
      </c>
      <c r="H822">
        <f>IFERROR(VALUE(INDEX(_DATA_Assessment_Model!$H$5:$H$884,MATCH($E822,_DATA_Assessment_Model!$A$5:$A$884,0))),"")</f>
        <v>0</v>
      </c>
      <c r="I822" t="str">
        <f>IF($H822="","",IFERROR(INDEX(_DATA_Assessment_Model!$L$5:$L$884,MATCH($E822,_DATA_Assessment_Model!$A$5:$A$884,0)),IF($H822&lt;=1,"Critical",IF($H822=2,"High",IF($H822=3,"Medium",IF($H822=4,"Low","Resilient"))))))</f>
        <v>Critical</v>
      </c>
      <c r="J822">
        <f t="shared" si="188"/>
        <v>3.7</v>
      </c>
      <c r="K822">
        <f t="shared" si="189"/>
        <v>4.6499999999999995</v>
      </c>
      <c r="L822">
        <f t="shared" si="190"/>
        <v>17.204999999999998</v>
      </c>
      <c r="M822">
        <f t="shared" si="191"/>
        <v>4</v>
      </c>
      <c r="N822">
        <f>IF($H822="","",IFERROR(INDEX(_ENGINE_Risk!$T$5:$Y$499,MATCH($E822,_ENGINE_Risk!$A$5:$A$499,0),$H822+1),""))</f>
        <v>4</v>
      </c>
      <c r="O822">
        <f t="shared" si="192"/>
        <v>5</v>
      </c>
      <c r="P822">
        <f t="shared" si="193"/>
        <v>5</v>
      </c>
      <c r="Q822">
        <f t="shared" si="194"/>
        <v>5</v>
      </c>
      <c r="R822">
        <f t="shared" si="195"/>
        <v>5</v>
      </c>
      <c r="S822">
        <f t="shared" si="196"/>
        <v>1.25</v>
      </c>
      <c r="T822" t="str">
        <f>IF($H822="","",IFERROR(INDEX(_ENGINE_Risk!$N$5:$S$499,MATCH($E822,_ENGINE_Risk!$A$5:$A$499,0),$H822+1),""))</f>
        <v>Create an immediate risk owner, minimum control baseline and fallback procedure for ERP access controls, approvals and segregation of duties. Add it to the crisis risk register and collect first evidence.</v>
      </c>
      <c r="U822">
        <f>IFERROR(INDEX(_DATA_Assessment_Model!$G$5:$G$884,MATCH($E822,_DATA_Assessment_Model!$A$5:$A$884,0)),"")</f>
        <v>5</v>
      </c>
      <c r="V822">
        <f>IFERROR(INDEX(_DATA_Assessment_Model!$W$5:$W$884,MATCH($E822,_DATA_Assessment_Model!$A$5:$A$884,0)),"")</f>
        <v>5</v>
      </c>
      <c r="W822">
        <f>IFERROR(INDEX(_DATA_Assessment_Model!$X$5:$X$884,MATCH($E822,_DATA_Assessment_Model!$A$5:$A$884,0)),"")</f>
        <v>5</v>
      </c>
      <c r="X822">
        <f>IFERROR(INDEX(_DATA_Assessment_Model!$Y$5:$Y$884,MATCH($E822,_DATA_Assessment_Model!$A$5:$A$884,0)),"")</f>
        <v>5</v>
      </c>
      <c r="Y822" t="s">
        <v>2735</v>
      </c>
      <c r="Z822" t="s">
        <v>9137</v>
      </c>
      <c r="AA822" t="s">
        <v>2742</v>
      </c>
      <c r="AB822">
        <f>IFERROR(INDEX(_DATA_Assessment_Model!$U$5:$U$884,MATCH($E822,_DATA_Assessment_Model!$A$5:$A$884,0)),"")</f>
        <v>0</v>
      </c>
      <c r="AF822" t="s">
        <v>2741</v>
      </c>
      <c r="AO822">
        <f>IF($B822="Yes",IF(IFERROR(INDEX(_ENGINE_Crisis!$F$501:$F$517,MATCH($C822,_ENGINE_Crisis!$A$501:$A$517,0)),1)=0,1,IFERROR(INDEX(_ENGINE_Crisis!$F$501:$F$517,MATCH($C822,_ENGINE_Crisis!$A$501:$A$517,0)),1)),"")</f>
        <v>1</v>
      </c>
      <c r="AP822">
        <f t="shared" si="197"/>
        <v>17.2</v>
      </c>
      <c r="AQ822">
        <f t="shared" si="198"/>
        <v>1.25</v>
      </c>
      <c r="AR822" t="str">
        <f>IFERROR(INDEX(_ENGINE_Crisis!$E$41:$E$700,MATCH('Resilience &amp; Risk Scenario'!$B$6&amp;"|"&amp;$C822,_ENGINE_Crisis!$I$41:$I$700,0)),"")</f>
        <v/>
      </c>
      <c r="AS822" t="str">
        <f>IFERROR(INDEX(_ENGINE_Crisis!$G$41:$G$700,MATCH('Resilience &amp; Risk Scenario'!$B$6&amp;"|"&amp;$C822,_ENGINE_Crisis!$I$41:$I$700,0)),"")</f>
        <v/>
      </c>
      <c r="AT822" t="str">
        <f>IFERROR(INDEX(_ENGINE_Initiatives!$A$5:$A$532,MATCH(1,INDEX((_ENGINE_Initiatives!$B$5:$B$532=$C822)*(_ENGINE_Initiatives!$C$5:$C$532=$D822),0),0)),"")</f>
        <v>INI-053</v>
      </c>
      <c r="AU822" t="str">
        <f>IFERROR(INDEX(_ENGINE_Initiatives!$F$5:$F$532,MATCH(1,INDEX((_ENGINE_Initiatives!$B$5:$B$532=$C822)*(_ENGINE_Initiatives!$C$5:$C$532=$D822),0),0)),"")</f>
        <v>Stabilize ERP process ownership, master data and continuity controls</v>
      </c>
      <c r="AV822">
        <f>IFERROR(INDEX(_ENGINE_Initiatives!$AC$5:$AC$532,MATCH(1,INDEX((_ENGINE_Initiatives!$B$5:$B$532=$C822)*(_ENGINE_Initiatives!$C$5:$C$532=$D822),0),0)),"")</f>
        <v>1.36</v>
      </c>
      <c r="AW822" t="str">
        <f>IFERROR(INDEX(_ENGINE_Initiatives!$AE$5:$AE$532,MATCH(1,INDEX((_ENGINE_Initiatives!$B$5:$B$532=$C822)*(_ENGINE_Initiatives!$C$5:$C$532=$D822),0),0)),"")</f>
        <v>6-12 months</v>
      </c>
      <c r="AX822">
        <f>IF($B822="Yes",IFERROR((IF(SUMIFS(_REF_Model_Content!$E$1:$E$613,_REF_Model_Content!$A$1:$A$613,PV_Canonical_Industry,_REF_Model_Content!$B$1:$B$613,$C822)=0,1,SUMIFS(_REF_Model_Content!$E$1:$E$613,_REF_Model_Content!$A$1:$A$613,PV_Canonical_Industry,_REF_Model_Content!$B$1:$B$613,$C822))*IFERROR($BU822,1)),1),"")</f>
        <v>1</v>
      </c>
      <c r="AY822">
        <f t="shared" si="199"/>
        <v>17.2</v>
      </c>
      <c r="AZ822">
        <f t="shared" si="200"/>
        <v>1.25</v>
      </c>
      <c r="BB822" t="str">
        <f>IF($H822="","",IFERROR(INDEX(_ENGINE_Risk!$AE$5:$AE$499,MATCH($E822,_ENGINE_Risk!$A$5:$A$499,0)),"Medium"))</f>
        <v>Fast</v>
      </c>
      <c r="BC822">
        <f t="shared" si="201"/>
        <v>1.25</v>
      </c>
      <c r="BD822">
        <f t="shared" si="202"/>
        <v>1.25</v>
      </c>
      <c r="BF822">
        <f>IF(OR($H822="",$J822=""),"",IFERROR(VLOOKUP(ROUND($J822,0),_CONFIG_Model_Settings!$D$154:$E$158,2,0),""))</f>
        <v>0.5</v>
      </c>
      <c r="BG822">
        <f>IFERROR(IF(OR($H822="",$K822=""),"",ROUND('Company Profile'!$B$113*INDEX(_CONFIG_Model_Settings!$H$154:$H$158,MATCH(ROUND($K822,0),_CONFIG_Model_Settings!$G$154:$G$158,0)),0)),0)</f>
        <v>1875</v>
      </c>
      <c r="BH822">
        <f t="shared" si="203"/>
        <v>937.5</v>
      </c>
      <c r="BI822">
        <f t="shared" si="204"/>
        <v>937.5</v>
      </c>
      <c r="BJ822">
        <f>IF($E822="","",IFERROR(VLOOKUP($C822,_CONFIG_Risk_Calibration!$A$5:$H$21,2,FALSE),3))</f>
        <v>3</v>
      </c>
      <c r="BK822">
        <f>IF($E822="","",IFERROR(VLOOKUP($C822,_CONFIG_Risk_Calibration!$A$5:$H$21,3,FALSE),0))</f>
        <v>0</v>
      </c>
      <c r="BL822">
        <f>IF($E822="","",IFERROR(VLOOKUP($C822,_CONFIG_Risk_Calibration!$A$5:$H$21,4,FALSE),3))</f>
        <v>3</v>
      </c>
      <c r="BM822">
        <f>IF($E822="","",IFERROR(VLOOKUP($C822,_CONFIG_Risk_Calibration!$A$5:$H$21,5,FALSE),3))</f>
        <v>4</v>
      </c>
      <c r="BN822" t="str">
        <f>IF($E822="","",IFERROR(VLOOKUP($C822,_CONFIG_Risk_Calibration!$A$5:$H$21,6,FALSE),"No"))</f>
        <v>Yes</v>
      </c>
      <c r="BO822">
        <f>IF($E822="","",IFERROR(VLOOKUP($C822,_CONFIG_Risk_Calibration!$A$5:$H$21,7,FALSE),1))</f>
        <v>4</v>
      </c>
      <c r="BP822">
        <f>IF($H822="","",MAX(1,MIN(5,((6-$H822)*0.45)+($BJ822*0.2)+('Resilience &amp; Risk Scenario'!$B$7*0.15)+($BK822*0.1)+($BL822*0.05)+(IF($BB822="Fast",5,IF($BB822="Slow",1,3))*0.05))))</f>
        <v>3.7</v>
      </c>
      <c r="BQ822">
        <f t="shared" si="205"/>
        <v>4.6499999999999995</v>
      </c>
      <c r="BR822">
        <f t="shared" si="206"/>
        <v>17.21</v>
      </c>
      <c r="BS822">
        <f t="shared" si="207"/>
        <v>23.66</v>
      </c>
      <c r="BT822" t="str">
        <f>IFERROR(INDEX(_REF_Capability_Bridge!$D:$D,MATCH($C822&amp;"|"&amp;$D822,_REF_Capability_Bridge!$J:$J,0)),IFERROR(INDEX(_REF_Capability_Bridge!$D:$D,MATCH($C822&amp;"|",_REF_Capability_Bridge!$J:$J,0)),"CAP_GENERIC"))</f>
        <v>CAP_IAM_PAM</v>
      </c>
      <c r="BU822">
        <f>IFERROR(IFERROR(INDEX(_ENGINE_Relevance!$L:$L,MATCH($BT822,_ENGINE_Relevance!$B:$B,0)),1),1)</f>
        <v>1</v>
      </c>
      <c r="BV822" t="str">
        <f>IFERROR(INDEX(_REF_Capability_Bridge!$A:$A,MATCH($C822&amp;"|"&amp;$D822,_REF_Capability_Bridge!$J:$J,0)),IFERROR(INDEX(_REF_Capability_Bridge!$A:$A,MATCH($C822&amp;"|",_REF_Capability_Bridge!$J:$J,0)),"No bridge"))</f>
        <v>BRG-003</v>
      </c>
      <c r="BW822" t="str">
        <f t="shared" si="208"/>
        <v>Capability relevance neutral</v>
      </c>
      <c r="BX822" t="str">
        <f t="shared" si="209"/>
        <v>Initial / absent</v>
      </c>
      <c r="BY822" t="str">
        <f>IF($E822="","",IFERROR(INDEX(_REF_Treatment_Library!$A$2:$A$296,MATCH(1,INDEX((_REF_Treatment_Library!$B$2:$B$296=$BT822)*(_REF_Treatment_Library!$C$2:$C$296=PV_Canonical_Industry)*(_REF_Treatment_Library!$E$2:$E$296&lt;=N($H822))*(_REF_Treatment_Library!$F$2:$F$296&gt;=N($H822))*(_REF_Treatment_Library!$O$2:$O$296="Yes"),0),0)),IFERROR(INDEX(_REF_Treatment_Library!$A$2:$A$296,MATCH(1,INDEX((_REF_Treatment_Library!$B$2:$B$296=$BT822)*(_REF_Treatment_Library!$C$2:$C$296="All")*(_REF_Treatment_Library!$E$2:$E$296&lt;=N($H822))*(_REF_Treatment_Library!$F$2:$F$296&gt;=N($H822))*(_REF_Treatment_Library!$O$2:$O$296="Yes"),0),0)),"")))</f>
        <v>TRT-IAM_PAM-INITIAL</v>
      </c>
      <c r="BZ822" t="str">
        <f>IF($BY822="","",IFERROR(INDEX(_REF_Treatment_Library!$H$2:$H$296,MATCH($BY822,_REF_Treatment_Library!$A$2:$A$296,0)),""))</f>
        <v>Establish</v>
      </c>
      <c r="CA822" t="str">
        <f>IF($BY822="","",IFERROR(INDEX(_REF_Treatment_Library!$I$2:$I$296,MATCH($BY822,_REF_Treatment_Library!$A$2:$A$296,0)),""))</f>
        <v>Establish baseline controls for Identity / PAM</v>
      </c>
      <c r="CB822" t="str">
        <f>IF($BY822="","",IFERROR(INDEX(_REF_Treatment_Library!$K$2:$K$296,MATCH($BY822,_REF_Treatment_Library!$A$2:$A$296,0)),""))</f>
        <v>Named owner, baseline process, minimum control checklist, first evidence package</v>
      </c>
      <c r="CC822" t="str">
        <f>IF($BY822="","",IFERROR(INDEX(_REF_Treatment_Library!$L$2:$L$296,MATCH($BY822,_REF_Treatment_Library!$A$2:$A$296,0)),""))</f>
        <v>Owner assigned; baseline evidence coverage; open critical gaps</v>
      </c>
      <c r="CD822" t="str">
        <f t="shared" si="210"/>
        <v>Treatment by capability=CAP_IAM_PAM; band=Initial / absent; score=0.0; treatment=Establish</v>
      </c>
      <c r="CE822" t="str">
        <f>IF($E822="","",IFERROR(INDEX(_REF_Industry_Wording!$A$2:$A$70,MATCH(1,INDEX((_REF_Industry_Wording!$B$2:$B$70=$BT822)*(_REF_Industry_Wording!$C$2:$C$70=PV_Canonical_Industry)*(_REF_Industry_Wording!$K$2:$K$70="Yes"),0),0)),IFERROR(INDEX(_REF_Industry_Wording!$A$2:$A$70,MATCH(1,INDEX((_REF_Industry_Wording!$B$2:$B$70=$BT822)*(_REF_Industry_Wording!$C$2:$C$70="All")*(_REF_Industry_Wording!$K$2:$K$70="Yes"),0),0)),"")))</f>
        <v>IW-ALL-IAM_PAM</v>
      </c>
      <c r="CF822" t="str">
        <f>IF($CE822="","",IFERROR(INDEX(_REF_Industry_Wording!$E$2:$E$70,MATCH($CE822,_REF_Industry_Wording!$A$2:$A$70,0)),""))</f>
        <v>Identity / PAM weakness</v>
      </c>
      <c r="CG822" t="str">
        <f>IF($CE822="","",IFERROR(INDEX(_REF_Industry_Wording!$F$2:$F$70,MATCH($CE822,_REF_Industry_Wording!$A$2:$A$70,0)),""))</f>
        <v>Strengthen Identity / PAM</v>
      </c>
      <c r="CH822" t="str">
        <f>IF($CE822="","",IFERROR(INDEX(_REF_Industry_Wording!$G$2:$G$70,MATCH($CE822,_REF_Industry_Wording!$A$2:$A$70,0)),""))</f>
        <v>Strengthen Identity / PAM using the selected maturity treatment, crisis scenario and evidence requirements.</v>
      </c>
      <c r="CI822" t="str">
        <f>IF($CE822="","",IFERROR(INDEX(_REF_Industry_Wording!$H$2:$H$70,MATCH($CE822,_REF_Industry_Wording!$A$2:$A$70,0)),""))</f>
        <v>Identity / PAM</v>
      </c>
      <c r="CJ822">
        <f>IF($CE822="","",IFERROR(INDEX(_REF_Industry_Wording!$I$2:$I$70,MATCH($CE822,_REF_Industry_Wording!$A$2:$A$70,0)),""))</f>
        <v>0</v>
      </c>
      <c r="CK822" t="str">
        <f>IF($CE822="","",IFERROR(INDEX(_REF_Industry_Wording!$J$2:$J$70,MATCH($CE822,_REF_Industry_Wording!$A$2:$A$70,0)),""))</f>
        <v>Identity / PAM</v>
      </c>
      <c r="CL822" t="str">
        <f t="shared" si="211"/>
        <v>Wording by industry=0; capability=CAP_IAM_PAM; risk label=Identity / PAM weakness</v>
      </c>
      <c r="CM822" t="str">
        <f t="shared" si="212"/>
        <v>RISK-ONT-0323</v>
      </c>
      <c r="CN822" t="str">
        <f t="shared" si="213"/>
        <v>RISK-EVT-0323</v>
      </c>
      <c r="CO822" t="str">
        <f t="shared" si="214"/>
        <v>Business Systems|ERP|BUSI-003|CAP_IAM_PAM</v>
      </c>
      <c r="CP822" t="str">
        <f t="shared" si="215"/>
        <v>Active</v>
      </c>
      <c r="CQ822" t="str">
        <f t="shared" si="216"/>
        <v>OK: capability-driven</v>
      </c>
      <c r="CR822" t="str">
        <f t="shared" si="217"/>
        <v>Risk ontology uses capability=CAP_IAM_PAM; bridge=BRG-003; treatment=TRT-IAM_PAM-INITIAL; wording=IW-ALL-IAM_PAM</v>
      </c>
      <c r="CS822" t="str">
        <f t="shared" si="218"/>
        <v>Yes</v>
      </c>
    </row>
    <row r="823" spans="1:97" ht="69.900000000000006" customHeight="1">
      <c r="A823">
        <f>IF(OR($B823&lt;&gt;"Yes",$BS823=""),"",SUMPRODUCT(($B$500:$B$923="Yes")*ISNUMBER($BS$500:$BS$923)*($BS$500:$BS$923&gt;$BS823))+COUNTIFS($B$500:$B823,"Yes",$BS$500:$BS823,$BS823))</f>
        <v>66</v>
      </c>
      <c r="B823" t="str">
        <f t="shared" si="187"/>
        <v>Yes</v>
      </c>
      <c r="C823" t="s">
        <v>2729</v>
      </c>
      <c r="D823" t="s">
        <v>677</v>
      </c>
      <c r="E823" t="s">
        <v>2744</v>
      </c>
      <c r="F823" t="s">
        <v>4377</v>
      </c>
      <c r="G823" t="str">
        <f>IF($H823="","",IFERROR(INDEX(_ENGINE_Risk!$H$5:$M$499,MATCH($E823,_ENGINE_Risk!$A$5:$A$499,0),$H823+1),""))</f>
        <v>Severe risk: ERP continuity with RTO, RPO, backup, vendor support and manual fallback is not reliably controlled. During IT outage; Decision failure; Process disruption, the organization may face ERP, CRM, MES or HRMS disruption, broken integrations and manual workarounds that fail under stress with limited visibility or accountability.</v>
      </c>
      <c r="H823">
        <f>IFERROR(VALUE(INDEX(_DATA_Assessment_Model!$H$5:$H$884,MATCH($E823,_DATA_Assessment_Model!$A$5:$A$884,0))),"")</f>
        <v>0</v>
      </c>
      <c r="I823" t="str">
        <f>IF($H823="","",IFERROR(INDEX(_DATA_Assessment_Model!$L$5:$L$884,MATCH($E823,_DATA_Assessment_Model!$A$5:$A$884,0)),IF($H823&lt;=1,"Critical",IF($H823=2,"High",IF($H823=3,"Medium",IF($H823=4,"Low","Resilient"))))))</f>
        <v>Critical</v>
      </c>
      <c r="J823">
        <f t="shared" si="188"/>
        <v>3.7</v>
      </c>
      <c r="K823">
        <f t="shared" si="189"/>
        <v>4.6499999999999995</v>
      </c>
      <c r="L823">
        <f t="shared" si="190"/>
        <v>17.204999999999998</v>
      </c>
      <c r="M823">
        <f t="shared" si="191"/>
        <v>4</v>
      </c>
      <c r="N823">
        <f>IF($H823="","",IFERROR(INDEX(_ENGINE_Risk!$T$5:$Y$499,MATCH($E823,_ENGINE_Risk!$A$5:$A$499,0),$H823+1),""))</f>
        <v>4</v>
      </c>
      <c r="O823">
        <f t="shared" si="192"/>
        <v>5</v>
      </c>
      <c r="P823">
        <f t="shared" si="193"/>
        <v>5</v>
      </c>
      <c r="Q823">
        <f t="shared" si="194"/>
        <v>5</v>
      </c>
      <c r="R823">
        <f t="shared" si="195"/>
        <v>5</v>
      </c>
      <c r="S823">
        <f t="shared" si="196"/>
        <v>1.25</v>
      </c>
      <c r="T823" t="str">
        <f>IF($H823="","",IFERROR(INDEX(_ENGINE_Risk!$N$5:$S$499,MATCH($E823,_ENGINE_Risk!$A$5:$A$499,0),$H823+1),""))</f>
        <v>Create an immediate risk owner, minimum control baseline and fallback procedure for ERP continuity with RTO, RPO, backup, vendor support and manual fallback. Add it to the crisis risk register and collect first evidence.</v>
      </c>
      <c r="U823">
        <f>IFERROR(INDEX(_DATA_Assessment_Model!$G$5:$G$884,MATCH($E823,_DATA_Assessment_Model!$A$5:$A$884,0)),"")</f>
        <v>5</v>
      </c>
      <c r="V823">
        <f>IFERROR(INDEX(_DATA_Assessment_Model!$W$5:$W$884,MATCH($E823,_DATA_Assessment_Model!$A$5:$A$884,0)),"")</f>
        <v>5</v>
      </c>
      <c r="W823">
        <f>IFERROR(INDEX(_DATA_Assessment_Model!$X$5:$X$884,MATCH($E823,_DATA_Assessment_Model!$A$5:$A$884,0)),"")</f>
        <v>5</v>
      </c>
      <c r="X823">
        <f>IFERROR(INDEX(_DATA_Assessment_Model!$Y$5:$Y$884,MATCH($E823,_DATA_Assessment_Model!$A$5:$A$884,0)),"")</f>
        <v>5</v>
      </c>
      <c r="Y823" t="s">
        <v>2735</v>
      </c>
      <c r="Z823" t="s">
        <v>9137</v>
      </c>
      <c r="AA823" t="s">
        <v>2746</v>
      </c>
      <c r="AB823">
        <f>IFERROR(INDEX(_DATA_Assessment_Model!$U$5:$U$884,MATCH($E823,_DATA_Assessment_Model!$A$5:$A$884,0)),"")</f>
        <v>0</v>
      </c>
      <c r="AF823" t="s">
        <v>2745</v>
      </c>
      <c r="AO823">
        <f>IF($B823="Yes",IF(IFERROR(INDEX(_ENGINE_Crisis!$F$501:$F$517,MATCH($C823,_ENGINE_Crisis!$A$501:$A$517,0)),1)=0,1,IFERROR(INDEX(_ENGINE_Crisis!$F$501:$F$517,MATCH($C823,_ENGINE_Crisis!$A$501:$A$517,0)),1)),"")</f>
        <v>1</v>
      </c>
      <c r="AP823">
        <f t="shared" si="197"/>
        <v>17.2</v>
      </c>
      <c r="AQ823">
        <f t="shared" si="198"/>
        <v>1.25</v>
      </c>
      <c r="AR823" t="str">
        <f>IFERROR(INDEX(_ENGINE_Crisis!$E$41:$E$700,MATCH('Resilience &amp; Risk Scenario'!$B$6&amp;"|"&amp;$C823,_ENGINE_Crisis!$I$41:$I$700,0)),"")</f>
        <v/>
      </c>
      <c r="AS823" t="str">
        <f>IFERROR(INDEX(_ENGINE_Crisis!$G$41:$G$700,MATCH('Resilience &amp; Risk Scenario'!$B$6&amp;"|"&amp;$C823,_ENGINE_Crisis!$I$41:$I$700,0)),"")</f>
        <v/>
      </c>
      <c r="AT823" t="str">
        <f>IFERROR(INDEX(_ENGINE_Initiatives!$A$5:$A$532,MATCH(1,INDEX((_ENGINE_Initiatives!$B$5:$B$532=$C823)*(_ENGINE_Initiatives!$C$5:$C$532=$D823),0),0)),"")</f>
        <v>INI-053</v>
      </c>
      <c r="AU823" t="str">
        <f>IFERROR(INDEX(_ENGINE_Initiatives!$F$5:$F$532,MATCH(1,INDEX((_ENGINE_Initiatives!$B$5:$B$532=$C823)*(_ENGINE_Initiatives!$C$5:$C$532=$D823),0),0)),"")</f>
        <v>Stabilize ERP process ownership, master data and continuity controls</v>
      </c>
      <c r="AV823">
        <f>IFERROR(INDEX(_ENGINE_Initiatives!$AC$5:$AC$532,MATCH(1,INDEX((_ENGINE_Initiatives!$B$5:$B$532=$C823)*(_ENGINE_Initiatives!$C$5:$C$532=$D823),0),0)),"")</f>
        <v>1.36</v>
      </c>
      <c r="AW823" t="str">
        <f>IFERROR(INDEX(_ENGINE_Initiatives!$AE$5:$AE$532,MATCH(1,INDEX((_ENGINE_Initiatives!$B$5:$B$532=$C823)*(_ENGINE_Initiatives!$C$5:$C$532=$D823),0),0)),"")</f>
        <v>6-12 months</v>
      </c>
      <c r="AX823">
        <f>IF($B823="Yes",IFERROR((IF(SUMIFS(_REF_Model_Content!$E$1:$E$613,_REF_Model_Content!$A$1:$A$613,PV_Canonical_Industry,_REF_Model_Content!$B$1:$B$613,$C823)=0,1,SUMIFS(_REF_Model_Content!$E$1:$E$613,_REF_Model_Content!$A$1:$A$613,PV_Canonical_Industry,_REF_Model_Content!$B$1:$B$613,$C823))*IFERROR($BU823,1)),1),"")</f>
        <v>1</v>
      </c>
      <c r="AY823">
        <f t="shared" si="199"/>
        <v>17.2</v>
      </c>
      <c r="AZ823">
        <f t="shared" si="200"/>
        <v>1.25</v>
      </c>
      <c r="BB823" t="str">
        <f>IF($H823="","",IFERROR(INDEX(_ENGINE_Risk!$AE$5:$AE$499,MATCH($E823,_ENGINE_Risk!$A$5:$A$499,0)),"Medium"))</f>
        <v>Fast</v>
      </c>
      <c r="BC823">
        <f t="shared" si="201"/>
        <v>1.25</v>
      </c>
      <c r="BD823">
        <f t="shared" si="202"/>
        <v>1.25</v>
      </c>
      <c r="BF823">
        <f>IF(OR($H823="",$J823=""),"",IFERROR(VLOOKUP(ROUND($J823,0),_CONFIG_Model_Settings!$D$154:$E$158,2,0),""))</f>
        <v>0.5</v>
      </c>
      <c r="BG823">
        <f>IFERROR(IF(OR($H823="",$K823=""),"",ROUND('Company Profile'!$B$113*INDEX(_CONFIG_Model_Settings!$H$154:$H$158,MATCH(ROUND($K823,0),_CONFIG_Model_Settings!$G$154:$G$158,0)),0)),0)</f>
        <v>1875</v>
      </c>
      <c r="BH823">
        <f t="shared" si="203"/>
        <v>937.5</v>
      </c>
      <c r="BI823">
        <f t="shared" si="204"/>
        <v>937.5</v>
      </c>
      <c r="BJ823">
        <f>IF($E823="","",IFERROR(VLOOKUP($C823,_CONFIG_Risk_Calibration!$A$5:$H$21,2,FALSE),3))</f>
        <v>3</v>
      </c>
      <c r="BK823">
        <f>IF($E823="","",IFERROR(VLOOKUP($C823,_CONFIG_Risk_Calibration!$A$5:$H$21,3,FALSE),0))</f>
        <v>0</v>
      </c>
      <c r="BL823">
        <f>IF($E823="","",IFERROR(VLOOKUP($C823,_CONFIG_Risk_Calibration!$A$5:$H$21,4,FALSE),3))</f>
        <v>3</v>
      </c>
      <c r="BM823">
        <f>IF($E823="","",IFERROR(VLOOKUP($C823,_CONFIG_Risk_Calibration!$A$5:$H$21,5,FALSE),3))</f>
        <v>4</v>
      </c>
      <c r="BN823" t="str">
        <f>IF($E823="","",IFERROR(VLOOKUP($C823,_CONFIG_Risk_Calibration!$A$5:$H$21,6,FALSE),"No"))</f>
        <v>Yes</v>
      </c>
      <c r="BO823">
        <f>IF($E823="","",IFERROR(VLOOKUP($C823,_CONFIG_Risk_Calibration!$A$5:$H$21,7,FALSE),1))</f>
        <v>4</v>
      </c>
      <c r="BP823">
        <f>IF($H823="","",MAX(1,MIN(5,((6-$H823)*0.45)+($BJ823*0.2)+('Resilience &amp; Risk Scenario'!$B$7*0.15)+($BK823*0.1)+($BL823*0.05)+(IF($BB823="Fast",5,IF($BB823="Slow",1,3))*0.05))))</f>
        <v>3.7</v>
      </c>
      <c r="BQ823">
        <f t="shared" si="205"/>
        <v>4.6499999999999995</v>
      </c>
      <c r="BR823">
        <f t="shared" si="206"/>
        <v>17.21</v>
      </c>
      <c r="BS823">
        <f t="shared" si="207"/>
        <v>23.66</v>
      </c>
      <c r="BT823" t="str">
        <f>IFERROR(INDEX(_REF_Capability_Bridge!$D:$D,MATCH($C823&amp;"|"&amp;$D823,_REF_Capability_Bridge!$J:$J,0)),IFERROR(INDEX(_REF_Capability_Bridge!$D:$D,MATCH($C823&amp;"|",_REF_Capability_Bridge!$J:$J,0)),"CAP_GENERIC"))</f>
        <v>CAP_IAM_PAM</v>
      </c>
      <c r="BU823">
        <f>IFERROR(IFERROR(INDEX(_ENGINE_Relevance!$L:$L,MATCH($BT823,_ENGINE_Relevance!$B:$B,0)),1),1)</f>
        <v>1</v>
      </c>
      <c r="BV823" t="str">
        <f>IFERROR(INDEX(_REF_Capability_Bridge!$A:$A,MATCH($C823&amp;"|"&amp;$D823,_REF_Capability_Bridge!$J:$J,0)),IFERROR(INDEX(_REF_Capability_Bridge!$A:$A,MATCH($C823&amp;"|",_REF_Capability_Bridge!$J:$J,0)),"No bridge"))</f>
        <v>BRG-003</v>
      </c>
      <c r="BW823" t="str">
        <f t="shared" si="208"/>
        <v>Capability relevance neutral</v>
      </c>
      <c r="BX823" t="str">
        <f t="shared" si="209"/>
        <v>Initial / absent</v>
      </c>
      <c r="BY823" t="str">
        <f>IF($E823="","",IFERROR(INDEX(_REF_Treatment_Library!$A$2:$A$296,MATCH(1,INDEX((_REF_Treatment_Library!$B$2:$B$296=$BT823)*(_REF_Treatment_Library!$C$2:$C$296=PV_Canonical_Industry)*(_REF_Treatment_Library!$E$2:$E$296&lt;=N($H823))*(_REF_Treatment_Library!$F$2:$F$296&gt;=N($H823))*(_REF_Treatment_Library!$O$2:$O$296="Yes"),0),0)),IFERROR(INDEX(_REF_Treatment_Library!$A$2:$A$296,MATCH(1,INDEX((_REF_Treatment_Library!$B$2:$B$296=$BT823)*(_REF_Treatment_Library!$C$2:$C$296="All")*(_REF_Treatment_Library!$E$2:$E$296&lt;=N($H823))*(_REF_Treatment_Library!$F$2:$F$296&gt;=N($H823))*(_REF_Treatment_Library!$O$2:$O$296="Yes"),0),0)),"")))</f>
        <v>TRT-IAM_PAM-INITIAL</v>
      </c>
      <c r="BZ823" t="str">
        <f>IF($BY823="","",IFERROR(INDEX(_REF_Treatment_Library!$H$2:$H$296,MATCH($BY823,_REF_Treatment_Library!$A$2:$A$296,0)),""))</f>
        <v>Establish</v>
      </c>
      <c r="CA823" t="str">
        <f>IF($BY823="","",IFERROR(INDEX(_REF_Treatment_Library!$I$2:$I$296,MATCH($BY823,_REF_Treatment_Library!$A$2:$A$296,0)),""))</f>
        <v>Establish baseline controls for Identity / PAM</v>
      </c>
      <c r="CB823" t="str">
        <f>IF($BY823="","",IFERROR(INDEX(_REF_Treatment_Library!$K$2:$K$296,MATCH($BY823,_REF_Treatment_Library!$A$2:$A$296,0)),""))</f>
        <v>Named owner, baseline process, minimum control checklist, first evidence package</v>
      </c>
      <c r="CC823" t="str">
        <f>IF($BY823="","",IFERROR(INDEX(_REF_Treatment_Library!$L$2:$L$296,MATCH($BY823,_REF_Treatment_Library!$A$2:$A$296,0)),""))</f>
        <v>Owner assigned; baseline evidence coverage; open critical gaps</v>
      </c>
      <c r="CD823" t="str">
        <f t="shared" si="210"/>
        <v>Treatment by capability=CAP_IAM_PAM; band=Initial / absent; score=0.0; treatment=Establish</v>
      </c>
      <c r="CE823" t="str">
        <f>IF($E823="","",IFERROR(INDEX(_REF_Industry_Wording!$A$2:$A$70,MATCH(1,INDEX((_REF_Industry_Wording!$B$2:$B$70=$BT823)*(_REF_Industry_Wording!$C$2:$C$70=PV_Canonical_Industry)*(_REF_Industry_Wording!$K$2:$K$70="Yes"),0),0)),IFERROR(INDEX(_REF_Industry_Wording!$A$2:$A$70,MATCH(1,INDEX((_REF_Industry_Wording!$B$2:$B$70=$BT823)*(_REF_Industry_Wording!$C$2:$C$70="All")*(_REF_Industry_Wording!$K$2:$K$70="Yes"),0),0)),"")))</f>
        <v>IW-ALL-IAM_PAM</v>
      </c>
      <c r="CF823" t="str">
        <f>IF($CE823="","",IFERROR(INDEX(_REF_Industry_Wording!$E$2:$E$70,MATCH($CE823,_REF_Industry_Wording!$A$2:$A$70,0)),""))</f>
        <v>Identity / PAM weakness</v>
      </c>
      <c r="CG823" t="str">
        <f>IF($CE823="","",IFERROR(INDEX(_REF_Industry_Wording!$F$2:$F$70,MATCH($CE823,_REF_Industry_Wording!$A$2:$A$70,0)),""))</f>
        <v>Strengthen Identity / PAM</v>
      </c>
      <c r="CH823" t="str">
        <f>IF($CE823="","",IFERROR(INDEX(_REF_Industry_Wording!$G$2:$G$70,MATCH($CE823,_REF_Industry_Wording!$A$2:$A$70,0)),""))</f>
        <v>Strengthen Identity / PAM using the selected maturity treatment, crisis scenario and evidence requirements.</v>
      </c>
      <c r="CI823" t="str">
        <f>IF($CE823="","",IFERROR(INDEX(_REF_Industry_Wording!$H$2:$H$70,MATCH($CE823,_REF_Industry_Wording!$A$2:$A$70,0)),""))</f>
        <v>Identity / PAM</v>
      </c>
      <c r="CJ823">
        <f>IF($CE823="","",IFERROR(INDEX(_REF_Industry_Wording!$I$2:$I$70,MATCH($CE823,_REF_Industry_Wording!$A$2:$A$70,0)),""))</f>
        <v>0</v>
      </c>
      <c r="CK823" t="str">
        <f>IF($CE823="","",IFERROR(INDEX(_REF_Industry_Wording!$J$2:$J$70,MATCH($CE823,_REF_Industry_Wording!$A$2:$A$70,0)),""))</f>
        <v>Identity / PAM</v>
      </c>
      <c r="CL823" t="str">
        <f t="shared" si="211"/>
        <v>Wording by industry=0; capability=CAP_IAM_PAM; risk label=Identity / PAM weakness</v>
      </c>
      <c r="CM823" t="str">
        <f t="shared" si="212"/>
        <v>RISK-ONT-0324</v>
      </c>
      <c r="CN823" t="str">
        <f t="shared" si="213"/>
        <v>RISK-EVT-0324</v>
      </c>
      <c r="CO823" t="str">
        <f t="shared" si="214"/>
        <v>Business Systems|ERP|BUSI-004|CAP_IAM_PAM</v>
      </c>
      <c r="CP823" t="str">
        <f t="shared" si="215"/>
        <v>Active</v>
      </c>
      <c r="CQ823" t="str">
        <f t="shared" si="216"/>
        <v>OK: capability-driven</v>
      </c>
      <c r="CR823" t="str">
        <f t="shared" si="217"/>
        <v>Risk ontology uses capability=CAP_IAM_PAM; bridge=BRG-003; treatment=TRT-IAM_PAM-INITIAL; wording=IW-ALL-IAM_PAM</v>
      </c>
      <c r="CS823" t="str">
        <f t="shared" si="218"/>
        <v>Yes</v>
      </c>
    </row>
    <row r="824" spans="1:97" ht="69.900000000000006" customHeight="1">
      <c r="A824">
        <f>IF(OR($B824&lt;&gt;"Yes",$BS824=""),"",SUMPRODUCT(($B$500:$B$923="Yes")*ISNUMBER($BS$500:$BS$923)*($BS$500:$BS$923&gt;$BS824))+COUNTIFS($B$500:$B824,"Yes",$BS$500:$BS824,$BS824))</f>
        <v>67</v>
      </c>
      <c r="B824" t="str">
        <f t="shared" si="187"/>
        <v>Yes</v>
      </c>
      <c r="C824" t="s">
        <v>2729</v>
      </c>
      <c r="D824" t="s">
        <v>677</v>
      </c>
      <c r="E824" t="s">
        <v>2748</v>
      </c>
      <c r="F824" t="s">
        <v>4377</v>
      </c>
      <c r="G824" t="str">
        <f>IF($H824="","",IFERROR(INDEX(_ENGINE_Risk!$H$5:$M$499,MATCH($E824,_ENGINE_Risk!$A$5:$A$499,0),$H824+1),""))</f>
        <v>Severe risk: ERP workflow for procure-to-pay, order-to-cash, record-to-report and plan-to-produce where relevant is not reliably controlled. During IT outage; Decision failure; Process disruption, the organization may face ERP, CRM, MES or HRMS disruption, broken integrations and manual workarounds that fail under stress with limited visibility or accountability.</v>
      </c>
      <c r="H824">
        <f>IFERROR(VALUE(INDEX(_DATA_Assessment_Model!$H$5:$H$884,MATCH($E824,_DATA_Assessment_Model!$A$5:$A$884,0))),"")</f>
        <v>0</v>
      </c>
      <c r="I824" t="str">
        <f>IF($H824="","",IFERROR(INDEX(_DATA_Assessment_Model!$L$5:$L$884,MATCH($E824,_DATA_Assessment_Model!$A$5:$A$884,0)),IF($H824&lt;=1,"Critical",IF($H824=2,"High",IF($H824=3,"Medium",IF($H824=4,"Low","Resilient"))))))</f>
        <v>Critical</v>
      </c>
      <c r="J824">
        <f t="shared" si="188"/>
        <v>3.7</v>
      </c>
      <c r="K824">
        <f t="shared" si="189"/>
        <v>4.6499999999999995</v>
      </c>
      <c r="L824">
        <f t="shared" si="190"/>
        <v>17.204999999999998</v>
      </c>
      <c r="M824">
        <f t="shared" si="191"/>
        <v>4</v>
      </c>
      <c r="N824">
        <f>IF($H824="","",IFERROR(INDEX(_ENGINE_Risk!$T$5:$Y$499,MATCH($E824,_ENGINE_Risk!$A$5:$A$499,0),$H824+1),""))</f>
        <v>4</v>
      </c>
      <c r="O824">
        <f t="shared" si="192"/>
        <v>5</v>
      </c>
      <c r="P824">
        <f t="shared" si="193"/>
        <v>5</v>
      </c>
      <c r="Q824">
        <f t="shared" si="194"/>
        <v>5</v>
      </c>
      <c r="R824">
        <f t="shared" si="195"/>
        <v>5</v>
      </c>
      <c r="S824">
        <f t="shared" si="196"/>
        <v>1.25</v>
      </c>
      <c r="T824" t="str">
        <f>IF($H824="","",IFERROR(INDEX(_ENGINE_Risk!$N$5:$S$499,MATCH($E824,_ENGINE_Risk!$A$5:$A$499,0),$H824+1),""))</f>
        <v>Create an immediate risk owner, minimum control baseline and fallback procedure for ERP workflow for procure-to-pay, order-to-cash, record-to-report and plan-to-produce where relevant. Add it to the crisis risk register and collect first evidence.</v>
      </c>
      <c r="U824">
        <f>IFERROR(INDEX(_DATA_Assessment_Model!$G$5:$G$884,MATCH($E824,_DATA_Assessment_Model!$A$5:$A$884,0)),"")</f>
        <v>5</v>
      </c>
      <c r="V824">
        <f>IFERROR(INDEX(_DATA_Assessment_Model!$W$5:$W$884,MATCH($E824,_DATA_Assessment_Model!$A$5:$A$884,0)),"")</f>
        <v>5</v>
      </c>
      <c r="W824">
        <f>IFERROR(INDEX(_DATA_Assessment_Model!$X$5:$X$884,MATCH($E824,_DATA_Assessment_Model!$A$5:$A$884,0)),"")</f>
        <v>5</v>
      </c>
      <c r="X824">
        <f>IFERROR(INDEX(_DATA_Assessment_Model!$Y$5:$Y$884,MATCH($E824,_DATA_Assessment_Model!$A$5:$A$884,0)),"")</f>
        <v>5</v>
      </c>
      <c r="Y824" t="s">
        <v>2735</v>
      </c>
      <c r="Z824" t="s">
        <v>9137</v>
      </c>
      <c r="AA824" t="s">
        <v>2750</v>
      </c>
      <c r="AB824">
        <f>IFERROR(INDEX(_DATA_Assessment_Model!$U$5:$U$884,MATCH($E824,_DATA_Assessment_Model!$A$5:$A$884,0)),"")</f>
        <v>0</v>
      </c>
      <c r="AF824" t="s">
        <v>2749</v>
      </c>
      <c r="AO824">
        <f>IF($B824="Yes",IF(IFERROR(INDEX(_ENGINE_Crisis!$F$501:$F$517,MATCH($C824,_ENGINE_Crisis!$A$501:$A$517,0)),1)=0,1,IFERROR(INDEX(_ENGINE_Crisis!$F$501:$F$517,MATCH($C824,_ENGINE_Crisis!$A$501:$A$517,0)),1)),"")</f>
        <v>1</v>
      </c>
      <c r="AP824">
        <f t="shared" si="197"/>
        <v>17.2</v>
      </c>
      <c r="AQ824">
        <f t="shared" si="198"/>
        <v>1.25</v>
      </c>
      <c r="AR824" t="str">
        <f>IFERROR(INDEX(_ENGINE_Crisis!$E$41:$E$700,MATCH('Resilience &amp; Risk Scenario'!$B$6&amp;"|"&amp;$C824,_ENGINE_Crisis!$I$41:$I$700,0)),"")</f>
        <v/>
      </c>
      <c r="AS824" t="str">
        <f>IFERROR(INDEX(_ENGINE_Crisis!$G$41:$G$700,MATCH('Resilience &amp; Risk Scenario'!$B$6&amp;"|"&amp;$C824,_ENGINE_Crisis!$I$41:$I$700,0)),"")</f>
        <v/>
      </c>
      <c r="AT824" t="str">
        <f>IFERROR(INDEX(_ENGINE_Initiatives!$A$5:$A$532,MATCH(1,INDEX((_ENGINE_Initiatives!$B$5:$B$532=$C824)*(_ENGINE_Initiatives!$C$5:$C$532=$D824),0),0)),"")</f>
        <v>INI-053</v>
      </c>
      <c r="AU824" t="str">
        <f>IFERROR(INDEX(_ENGINE_Initiatives!$F$5:$F$532,MATCH(1,INDEX((_ENGINE_Initiatives!$B$5:$B$532=$C824)*(_ENGINE_Initiatives!$C$5:$C$532=$D824),0),0)),"")</f>
        <v>Stabilize ERP process ownership, master data and continuity controls</v>
      </c>
      <c r="AV824">
        <f>IFERROR(INDEX(_ENGINE_Initiatives!$AC$5:$AC$532,MATCH(1,INDEX((_ENGINE_Initiatives!$B$5:$B$532=$C824)*(_ENGINE_Initiatives!$C$5:$C$532=$D824),0),0)),"")</f>
        <v>1.36</v>
      </c>
      <c r="AW824" t="str">
        <f>IFERROR(INDEX(_ENGINE_Initiatives!$AE$5:$AE$532,MATCH(1,INDEX((_ENGINE_Initiatives!$B$5:$B$532=$C824)*(_ENGINE_Initiatives!$C$5:$C$532=$D824),0),0)),"")</f>
        <v>6-12 months</v>
      </c>
      <c r="AX824">
        <f>IF($B824="Yes",IFERROR((IF(SUMIFS(_REF_Model_Content!$E$1:$E$613,_REF_Model_Content!$A$1:$A$613,PV_Canonical_Industry,_REF_Model_Content!$B$1:$B$613,$C824)=0,1,SUMIFS(_REF_Model_Content!$E$1:$E$613,_REF_Model_Content!$A$1:$A$613,PV_Canonical_Industry,_REF_Model_Content!$B$1:$B$613,$C824))*IFERROR($BU824,1)),1),"")</f>
        <v>1</v>
      </c>
      <c r="AY824">
        <f t="shared" si="199"/>
        <v>17.2</v>
      </c>
      <c r="AZ824">
        <f t="shared" si="200"/>
        <v>1.25</v>
      </c>
      <c r="BB824" t="str">
        <f>IF($H824="","",IFERROR(INDEX(_ENGINE_Risk!$AE$5:$AE$499,MATCH($E824,_ENGINE_Risk!$A$5:$A$499,0)),"Medium"))</f>
        <v>Fast</v>
      </c>
      <c r="BC824">
        <f t="shared" si="201"/>
        <v>1.25</v>
      </c>
      <c r="BD824">
        <f t="shared" si="202"/>
        <v>1.25</v>
      </c>
      <c r="BF824">
        <f>IF(OR($H824="",$J824=""),"",IFERROR(VLOOKUP(ROUND($J824,0),_CONFIG_Model_Settings!$D$154:$E$158,2,0),""))</f>
        <v>0.5</v>
      </c>
      <c r="BG824">
        <f>IFERROR(IF(OR($H824="",$K824=""),"",ROUND('Company Profile'!$B$113*INDEX(_CONFIG_Model_Settings!$H$154:$H$158,MATCH(ROUND($K824,0),_CONFIG_Model_Settings!$G$154:$G$158,0)),0)),0)</f>
        <v>1875</v>
      </c>
      <c r="BH824">
        <f t="shared" si="203"/>
        <v>937.5</v>
      </c>
      <c r="BI824">
        <f t="shared" si="204"/>
        <v>937.5</v>
      </c>
      <c r="BJ824">
        <f>IF($E824="","",IFERROR(VLOOKUP($C824,_CONFIG_Risk_Calibration!$A$5:$H$21,2,FALSE),3))</f>
        <v>3</v>
      </c>
      <c r="BK824">
        <f>IF($E824="","",IFERROR(VLOOKUP($C824,_CONFIG_Risk_Calibration!$A$5:$H$21,3,FALSE),0))</f>
        <v>0</v>
      </c>
      <c r="BL824">
        <f>IF($E824="","",IFERROR(VLOOKUP($C824,_CONFIG_Risk_Calibration!$A$5:$H$21,4,FALSE),3))</f>
        <v>3</v>
      </c>
      <c r="BM824">
        <f>IF($E824="","",IFERROR(VLOOKUP($C824,_CONFIG_Risk_Calibration!$A$5:$H$21,5,FALSE),3))</f>
        <v>4</v>
      </c>
      <c r="BN824" t="str">
        <f>IF($E824="","",IFERROR(VLOOKUP($C824,_CONFIG_Risk_Calibration!$A$5:$H$21,6,FALSE),"No"))</f>
        <v>Yes</v>
      </c>
      <c r="BO824">
        <f>IF($E824="","",IFERROR(VLOOKUP($C824,_CONFIG_Risk_Calibration!$A$5:$H$21,7,FALSE),1))</f>
        <v>4</v>
      </c>
      <c r="BP824">
        <f>IF($H824="","",MAX(1,MIN(5,((6-$H824)*0.45)+($BJ824*0.2)+('Resilience &amp; Risk Scenario'!$B$7*0.15)+($BK824*0.1)+($BL824*0.05)+(IF($BB824="Fast",5,IF($BB824="Slow",1,3))*0.05))))</f>
        <v>3.7</v>
      </c>
      <c r="BQ824">
        <f t="shared" si="205"/>
        <v>4.6499999999999995</v>
      </c>
      <c r="BR824">
        <f t="shared" si="206"/>
        <v>17.21</v>
      </c>
      <c r="BS824">
        <f t="shared" si="207"/>
        <v>23.66</v>
      </c>
      <c r="BT824" t="str">
        <f>IFERROR(INDEX(_REF_Capability_Bridge!$D:$D,MATCH($C824&amp;"|"&amp;$D824,_REF_Capability_Bridge!$J:$J,0)),IFERROR(INDEX(_REF_Capability_Bridge!$D:$D,MATCH($C824&amp;"|",_REF_Capability_Bridge!$J:$J,0)),"CAP_GENERIC"))</f>
        <v>CAP_IAM_PAM</v>
      </c>
      <c r="BU824">
        <f>IFERROR(IFERROR(INDEX(_ENGINE_Relevance!$L:$L,MATCH($BT824,_ENGINE_Relevance!$B:$B,0)),1),1)</f>
        <v>1</v>
      </c>
      <c r="BV824" t="str">
        <f>IFERROR(INDEX(_REF_Capability_Bridge!$A:$A,MATCH($C824&amp;"|"&amp;$D824,_REF_Capability_Bridge!$J:$J,0)),IFERROR(INDEX(_REF_Capability_Bridge!$A:$A,MATCH($C824&amp;"|",_REF_Capability_Bridge!$J:$J,0)),"No bridge"))</f>
        <v>BRG-003</v>
      </c>
      <c r="BW824" t="str">
        <f t="shared" si="208"/>
        <v>Capability relevance neutral</v>
      </c>
      <c r="BX824" t="str">
        <f t="shared" si="209"/>
        <v>Initial / absent</v>
      </c>
      <c r="BY824" t="str">
        <f>IF($E824="","",IFERROR(INDEX(_REF_Treatment_Library!$A$2:$A$296,MATCH(1,INDEX((_REF_Treatment_Library!$B$2:$B$296=$BT824)*(_REF_Treatment_Library!$C$2:$C$296=PV_Canonical_Industry)*(_REF_Treatment_Library!$E$2:$E$296&lt;=N($H824))*(_REF_Treatment_Library!$F$2:$F$296&gt;=N($H824))*(_REF_Treatment_Library!$O$2:$O$296="Yes"),0),0)),IFERROR(INDEX(_REF_Treatment_Library!$A$2:$A$296,MATCH(1,INDEX((_REF_Treatment_Library!$B$2:$B$296=$BT824)*(_REF_Treatment_Library!$C$2:$C$296="All")*(_REF_Treatment_Library!$E$2:$E$296&lt;=N($H824))*(_REF_Treatment_Library!$F$2:$F$296&gt;=N($H824))*(_REF_Treatment_Library!$O$2:$O$296="Yes"),0),0)),"")))</f>
        <v>TRT-IAM_PAM-INITIAL</v>
      </c>
      <c r="BZ824" t="str">
        <f>IF($BY824="","",IFERROR(INDEX(_REF_Treatment_Library!$H$2:$H$296,MATCH($BY824,_REF_Treatment_Library!$A$2:$A$296,0)),""))</f>
        <v>Establish</v>
      </c>
      <c r="CA824" t="str">
        <f>IF($BY824="","",IFERROR(INDEX(_REF_Treatment_Library!$I$2:$I$296,MATCH($BY824,_REF_Treatment_Library!$A$2:$A$296,0)),""))</f>
        <v>Establish baseline controls for Identity / PAM</v>
      </c>
      <c r="CB824" t="str">
        <f>IF($BY824="","",IFERROR(INDEX(_REF_Treatment_Library!$K$2:$K$296,MATCH($BY824,_REF_Treatment_Library!$A$2:$A$296,0)),""))</f>
        <v>Named owner, baseline process, minimum control checklist, first evidence package</v>
      </c>
      <c r="CC824" t="str">
        <f>IF($BY824="","",IFERROR(INDEX(_REF_Treatment_Library!$L$2:$L$296,MATCH($BY824,_REF_Treatment_Library!$A$2:$A$296,0)),""))</f>
        <v>Owner assigned; baseline evidence coverage; open critical gaps</v>
      </c>
      <c r="CD824" t="str">
        <f t="shared" si="210"/>
        <v>Treatment by capability=CAP_IAM_PAM; band=Initial / absent; score=0.0; treatment=Establish</v>
      </c>
      <c r="CE824" t="str">
        <f>IF($E824="","",IFERROR(INDEX(_REF_Industry_Wording!$A$2:$A$70,MATCH(1,INDEX((_REF_Industry_Wording!$B$2:$B$70=$BT824)*(_REF_Industry_Wording!$C$2:$C$70=PV_Canonical_Industry)*(_REF_Industry_Wording!$K$2:$K$70="Yes"),0),0)),IFERROR(INDEX(_REF_Industry_Wording!$A$2:$A$70,MATCH(1,INDEX((_REF_Industry_Wording!$B$2:$B$70=$BT824)*(_REF_Industry_Wording!$C$2:$C$70="All")*(_REF_Industry_Wording!$K$2:$K$70="Yes"),0),0)),"")))</f>
        <v>IW-ALL-IAM_PAM</v>
      </c>
      <c r="CF824" t="str">
        <f>IF($CE824="","",IFERROR(INDEX(_REF_Industry_Wording!$E$2:$E$70,MATCH($CE824,_REF_Industry_Wording!$A$2:$A$70,0)),""))</f>
        <v>Identity / PAM weakness</v>
      </c>
      <c r="CG824" t="str">
        <f>IF($CE824="","",IFERROR(INDEX(_REF_Industry_Wording!$F$2:$F$70,MATCH($CE824,_REF_Industry_Wording!$A$2:$A$70,0)),""))</f>
        <v>Strengthen Identity / PAM</v>
      </c>
      <c r="CH824" t="str">
        <f>IF($CE824="","",IFERROR(INDEX(_REF_Industry_Wording!$G$2:$G$70,MATCH($CE824,_REF_Industry_Wording!$A$2:$A$70,0)),""))</f>
        <v>Strengthen Identity / PAM using the selected maturity treatment, crisis scenario and evidence requirements.</v>
      </c>
      <c r="CI824" t="str">
        <f>IF($CE824="","",IFERROR(INDEX(_REF_Industry_Wording!$H$2:$H$70,MATCH($CE824,_REF_Industry_Wording!$A$2:$A$70,0)),""))</f>
        <v>Identity / PAM</v>
      </c>
      <c r="CJ824">
        <f>IF($CE824="","",IFERROR(INDEX(_REF_Industry_Wording!$I$2:$I$70,MATCH($CE824,_REF_Industry_Wording!$A$2:$A$70,0)),""))</f>
        <v>0</v>
      </c>
      <c r="CK824" t="str">
        <f>IF($CE824="","",IFERROR(INDEX(_REF_Industry_Wording!$J$2:$J$70,MATCH($CE824,_REF_Industry_Wording!$A$2:$A$70,0)),""))</f>
        <v>Identity / PAM</v>
      </c>
      <c r="CL824" t="str">
        <f t="shared" si="211"/>
        <v>Wording by industry=0; capability=CAP_IAM_PAM; risk label=Identity / PAM weakness</v>
      </c>
      <c r="CM824" t="str">
        <f t="shared" si="212"/>
        <v>RISK-ONT-0325</v>
      </c>
      <c r="CN824" t="str">
        <f t="shared" si="213"/>
        <v>RISK-EVT-0325</v>
      </c>
      <c r="CO824" t="str">
        <f t="shared" si="214"/>
        <v>Business Systems|ERP|BUSI-005|CAP_IAM_PAM</v>
      </c>
      <c r="CP824" t="str">
        <f t="shared" si="215"/>
        <v>Active</v>
      </c>
      <c r="CQ824" t="str">
        <f t="shared" si="216"/>
        <v>OK: capability-driven</v>
      </c>
      <c r="CR824" t="str">
        <f t="shared" si="217"/>
        <v>Risk ontology uses capability=CAP_IAM_PAM; bridge=BRG-003; treatment=TRT-IAM_PAM-INITIAL; wording=IW-ALL-IAM_PAM</v>
      </c>
      <c r="CS824" t="str">
        <f t="shared" si="218"/>
        <v>Yes</v>
      </c>
    </row>
    <row r="825" spans="1:97" ht="69.900000000000006" customHeight="1">
      <c r="A825">
        <f>IF(OR($B825&lt;&gt;"Yes",$BS825=""),"",SUMPRODUCT(($B$500:$B$923="Yes")*ISNUMBER($BS$500:$BS$923)*($BS$500:$BS$923&gt;$BS825))+COUNTIFS($B$500:$B825,"Yes",$BS$500:$BS825,$BS825))</f>
        <v>68</v>
      </c>
      <c r="B825" t="str">
        <f t="shared" si="187"/>
        <v>Yes</v>
      </c>
      <c r="C825" t="s">
        <v>2729</v>
      </c>
      <c r="D825" t="s">
        <v>2739</v>
      </c>
      <c r="E825" t="s">
        <v>2752</v>
      </c>
      <c r="F825" t="s">
        <v>4377</v>
      </c>
      <c r="G825" t="str">
        <f>IF($H825="","",IFERROR(INDEX(_ENGINE_Risk!$H$5:$M$499,MATCH($E825,_ENGINE_Risk!$A$5:$A$499,0),$H825+1),""))</f>
        <v>Severe risk: CRM process coverage for lead-to-cash, customer ownership, pipeline, forecast and account management is not reliably controlled. During IT outage; Decision failure; Process disruption, the organization may face ERP, CRM, MES or HRMS disruption, broken integrations and manual workarounds that fail under stress with limited visibility or accountability.</v>
      </c>
      <c r="H825">
        <f>IFERROR(VALUE(INDEX(_DATA_Assessment_Model!$H$5:$H$884,MATCH($E825,_DATA_Assessment_Model!$A$5:$A$884,0))),"")</f>
        <v>0</v>
      </c>
      <c r="I825" t="str">
        <f>IF($H825="","",IFERROR(INDEX(_DATA_Assessment_Model!$L$5:$L$884,MATCH($E825,_DATA_Assessment_Model!$A$5:$A$884,0)),IF($H825&lt;=1,"Critical",IF($H825=2,"High",IF($H825=3,"Medium",IF($H825=4,"Low","Resilient"))))))</f>
        <v>Critical</v>
      </c>
      <c r="J825">
        <f t="shared" si="188"/>
        <v>3.7</v>
      </c>
      <c r="K825">
        <f t="shared" si="189"/>
        <v>4.6499999999999995</v>
      </c>
      <c r="L825">
        <f t="shared" si="190"/>
        <v>17.204999999999998</v>
      </c>
      <c r="M825">
        <f t="shared" si="191"/>
        <v>4</v>
      </c>
      <c r="N825">
        <f>IF($H825="","",IFERROR(INDEX(_ENGINE_Risk!$T$5:$Y$499,MATCH($E825,_ENGINE_Risk!$A$5:$A$499,0),$H825+1),""))</f>
        <v>4</v>
      </c>
      <c r="O825">
        <f t="shared" si="192"/>
        <v>5</v>
      </c>
      <c r="P825">
        <f t="shared" si="193"/>
        <v>5</v>
      </c>
      <c r="Q825">
        <f t="shared" si="194"/>
        <v>5</v>
      </c>
      <c r="R825">
        <f t="shared" si="195"/>
        <v>5</v>
      </c>
      <c r="S825">
        <f t="shared" si="196"/>
        <v>1.25</v>
      </c>
      <c r="T825" t="str">
        <f>IF($H825="","",IFERROR(INDEX(_ENGINE_Risk!$N$5:$S$499,MATCH($E825,_ENGINE_Risk!$A$5:$A$499,0),$H825+1),""))</f>
        <v>Create an immediate risk owner, minimum control baseline and fallback procedure for CRM process coverage for lead-to-cash, customer ownership, pipeline, forecast and account management. Add it to the crisis risk register and collect first evidence.</v>
      </c>
      <c r="U825">
        <f>IFERROR(INDEX(_DATA_Assessment_Model!$G$5:$G$884,MATCH($E825,_DATA_Assessment_Model!$A$5:$A$884,0)),"")</f>
        <v>5</v>
      </c>
      <c r="V825">
        <f>IFERROR(INDEX(_DATA_Assessment_Model!$W$5:$W$884,MATCH($E825,_DATA_Assessment_Model!$A$5:$A$884,0)),"")</f>
        <v>5</v>
      </c>
      <c r="W825">
        <f>IFERROR(INDEX(_DATA_Assessment_Model!$X$5:$X$884,MATCH($E825,_DATA_Assessment_Model!$A$5:$A$884,0)),"")</f>
        <v>5</v>
      </c>
      <c r="X825">
        <f>IFERROR(INDEX(_DATA_Assessment_Model!$Y$5:$Y$884,MATCH($E825,_DATA_Assessment_Model!$A$5:$A$884,0)),"")</f>
        <v>5</v>
      </c>
      <c r="Y825" t="s">
        <v>2735</v>
      </c>
      <c r="Z825" t="s">
        <v>9137</v>
      </c>
      <c r="AA825" t="s">
        <v>2754</v>
      </c>
      <c r="AB825">
        <f>IFERROR(INDEX(_DATA_Assessment_Model!$U$5:$U$884,MATCH($E825,_DATA_Assessment_Model!$A$5:$A$884,0)),"")</f>
        <v>0</v>
      </c>
      <c r="AF825" t="s">
        <v>2753</v>
      </c>
      <c r="AO825">
        <f>IF($B825="Yes",IF(IFERROR(INDEX(_ENGINE_Crisis!$F$501:$F$517,MATCH($C825,_ENGINE_Crisis!$A$501:$A$517,0)),1)=0,1,IFERROR(INDEX(_ENGINE_Crisis!$F$501:$F$517,MATCH($C825,_ENGINE_Crisis!$A$501:$A$517,0)),1)),"")</f>
        <v>1</v>
      </c>
      <c r="AP825">
        <f t="shared" si="197"/>
        <v>17.2</v>
      </c>
      <c r="AQ825">
        <f t="shared" si="198"/>
        <v>1.25</v>
      </c>
      <c r="AR825" t="str">
        <f>IFERROR(INDEX(_ENGINE_Crisis!$E$41:$E$700,MATCH('Resilience &amp; Risk Scenario'!$B$6&amp;"|"&amp;$C825,_ENGINE_Crisis!$I$41:$I$700,0)),"")</f>
        <v/>
      </c>
      <c r="AS825" t="str">
        <f>IFERROR(INDEX(_ENGINE_Crisis!$G$41:$G$700,MATCH('Resilience &amp; Risk Scenario'!$B$6&amp;"|"&amp;$C825,_ENGINE_Crisis!$I$41:$I$700,0)),"")</f>
        <v/>
      </c>
      <c r="AT825" t="str">
        <f>IFERROR(INDEX(_ENGINE_Initiatives!$A$5:$A$532,MATCH(1,INDEX((_ENGINE_Initiatives!$B$5:$B$532=$C825)*(_ENGINE_Initiatives!$C$5:$C$532=$D825),0),0)),"")</f>
        <v>INI-054</v>
      </c>
      <c r="AU825" t="str">
        <f>IFERROR(INDEX(_ENGINE_Initiatives!$F$5:$F$532,MATCH(1,INDEX((_ENGINE_Initiatives!$B$5:$B$532=$C825)*(_ENGINE_Initiatives!$C$5:$C$532=$D825),0),0)),"")</f>
        <v>Integrate CRM, commerce and customer-service systems</v>
      </c>
      <c r="AV825">
        <f>IFERROR(INDEX(_ENGINE_Initiatives!$AC$5:$AC$532,MATCH(1,INDEX((_ENGINE_Initiatives!$B$5:$B$532=$C825)*(_ENGINE_Initiatives!$C$5:$C$532=$D825),0),0)),"")</f>
        <v>1.31</v>
      </c>
      <c r="AW825" t="str">
        <f>IFERROR(INDEX(_ENGINE_Initiatives!$AE$5:$AE$532,MATCH(1,INDEX((_ENGINE_Initiatives!$B$5:$B$532=$C825)*(_ENGINE_Initiatives!$C$5:$C$532=$D825),0),0)),"")</f>
        <v>12+ months</v>
      </c>
      <c r="AX825">
        <f>IF($B825="Yes",IFERROR((IF(SUMIFS(_REF_Model_Content!$E$1:$E$613,_REF_Model_Content!$A$1:$A$613,PV_Canonical_Industry,_REF_Model_Content!$B$1:$B$613,$C825)=0,1,SUMIFS(_REF_Model_Content!$E$1:$E$613,_REF_Model_Content!$A$1:$A$613,PV_Canonical_Industry,_REF_Model_Content!$B$1:$B$613,$C825))*IFERROR($BU825,1)),1),"")</f>
        <v>1</v>
      </c>
      <c r="AY825">
        <f t="shared" si="199"/>
        <v>17.2</v>
      </c>
      <c r="AZ825">
        <f t="shared" si="200"/>
        <v>1.25</v>
      </c>
      <c r="BB825" t="str">
        <f>IF($H825="","",IFERROR(INDEX(_ENGINE_Risk!$AE$5:$AE$499,MATCH($E825,_ENGINE_Risk!$A$5:$A$499,0)),"Medium"))</f>
        <v>Fast</v>
      </c>
      <c r="BC825">
        <f t="shared" si="201"/>
        <v>1.25</v>
      </c>
      <c r="BD825">
        <f t="shared" si="202"/>
        <v>1.25</v>
      </c>
      <c r="BF825">
        <f>IF(OR($H825="",$J825=""),"",IFERROR(VLOOKUP(ROUND($J825,0),_CONFIG_Model_Settings!$D$154:$E$158,2,0),""))</f>
        <v>0.5</v>
      </c>
      <c r="BG825">
        <f>IFERROR(IF(OR($H825="",$K825=""),"",ROUND('Company Profile'!$B$113*INDEX(_CONFIG_Model_Settings!$H$154:$H$158,MATCH(ROUND($K825,0),_CONFIG_Model_Settings!$G$154:$G$158,0)),0)),0)</f>
        <v>1875</v>
      </c>
      <c r="BH825">
        <f t="shared" si="203"/>
        <v>937.5</v>
      </c>
      <c r="BI825">
        <f t="shared" si="204"/>
        <v>937.5</v>
      </c>
      <c r="BJ825">
        <f>IF($E825="","",IFERROR(VLOOKUP($C825,_CONFIG_Risk_Calibration!$A$5:$H$21,2,FALSE),3))</f>
        <v>3</v>
      </c>
      <c r="BK825">
        <f>IF($E825="","",IFERROR(VLOOKUP($C825,_CONFIG_Risk_Calibration!$A$5:$H$21,3,FALSE),0))</f>
        <v>0</v>
      </c>
      <c r="BL825">
        <f>IF($E825="","",IFERROR(VLOOKUP($C825,_CONFIG_Risk_Calibration!$A$5:$H$21,4,FALSE),3))</f>
        <v>3</v>
      </c>
      <c r="BM825">
        <f>IF($E825="","",IFERROR(VLOOKUP($C825,_CONFIG_Risk_Calibration!$A$5:$H$21,5,FALSE),3))</f>
        <v>4</v>
      </c>
      <c r="BN825" t="str">
        <f>IF($E825="","",IFERROR(VLOOKUP($C825,_CONFIG_Risk_Calibration!$A$5:$H$21,6,FALSE),"No"))</f>
        <v>Yes</v>
      </c>
      <c r="BO825">
        <f>IF($E825="","",IFERROR(VLOOKUP($C825,_CONFIG_Risk_Calibration!$A$5:$H$21,7,FALSE),1))</f>
        <v>4</v>
      </c>
      <c r="BP825">
        <f>IF($H825="","",MAX(1,MIN(5,((6-$H825)*0.45)+($BJ825*0.2)+('Resilience &amp; Risk Scenario'!$B$7*0.15)+($BK825*0.1)+($BL825*0.05)+(IF($BB825="Fast",5,IF($BB825="Slow",1,3))*0.05))))</f>
        <v>3.7</v>
      </c>
      <c r="BQ825">
        <f t="shared" si="205"/>
        <v>4.6499999999999995</v>
      </c>
      <c r="BR825">
        <f t="shared" si="206"/>
        <v>17.21</v>
      </c>
      <c r="BS825">
        <f t="shared" si="207"/>
        <v>23.66</v>
      </c>
      <c r="BT825" t="str">
        <f>IFERROR(INDEX(_REF_Capability_Bridge!$D:$D,MATCH($C825&amp;"|"&amp;$D825,_REF_Capability_Bridge!$J:$J,0)),IFERROR(INDEX(_REF_Capability_Bridge!$D:$D,MATCH($C825&amp;"|",_REF_Capability_Bridge!$J:$J,0)),"CAP_GENERIC"))</f>
        <v>CAP_BILLING_SUBSCRIPTION</v>
      </c>
      <c r="BU825">
        <f>IFERROR(IFERROR(INDEX(_ENGINE_Relevance!$L:$L,MATCH($BT825,_ENGINE_Relevance!$B:$B,0)),1),1)</f>
        <v>1</v>
      </c>
      <c r="BV825" t="str">
        <f>IFERROR(INDEX(_REF_Capability_Bridge!$A:$A,MATCH($C825&amp;"|"&amp;$D825,_REF_Capability_Bridge!$J:$J,0)),IFERROR(INDEX(_REF_Capability_Bridge!$A:$A,MATCH($C825&amp;"|",_REF_Capability_Bridge!$J:$J,0)),"No bridge"))</f>
        <v>BRG-002</v>
      </c>
      <c r="BW825" t="str">
        <f t="shared" si="208"/>
        <v>Capability relevance neutral</v>
      </c>
      <c r="BX825" t="str">
        <f t="shared" si="209"/>
        <v>Initial / absent</v>
      </c>
      <c r="BY825" t="str">
        <f>IF($E825="","",IFERROR(INDEX(_REF_Treatment_Library!$A$2:$A$296,MATCH(1,INDEX((_REF_Treatment_Library!$B$2:$B$296=$BT825)*(_REF_Treatment_Library!$C$2:$C$296=PV_Canonical_Industry)*(_REF_Treatment_Library!$E$2:$E$296&lt;=N($H825))*(_REF_Treatment_Library!$F$2:$F$296&gt;=N($H825))*(_REF_Treatment_Library!$O$2:$O$296="Yes"),0),0)),IFERROR(INDEX(_REF_Treatment_Library!$A$2:$A$296,MATCH(1,INDEX((_REF_Treatment_Library!$B$2:$B$296=$BT825)*(_REF_Treatment_Library!$C$2:$C$296="All")*(_REF_Treatment_Library!$E$2:$E$296&lt;=N($H825))*(_REF_Treatment_Library!$F$2:$F$296&gt;=N($H825))*(_REF_Treatment_Library!$O$2:$O$296="Yes"),0),0)),"")))</f>
        <v>TRT-BILLING_SUBSCRIPTION-INITIAL</v>
      </c>
      <c r="BZ825" t="str">
        <f>IF($BY825="","",IFERROR(INDEX(_REF_Treatment_Library!$H$2:$H$296,MATCH($BY825,_REF_Treatment_Library!$A$2:$A$296,0)),""))</f>
        <v>Establish</v>
      </c>
      <c r="CA825" t="str">
        <f>IF($BY825="","",IFERROR(INDEX(_REF_Treatment_Library!$I$2:$I$296,MATCH($BY825,_REF_Treatment_Library!$A$2:$A$296,0)),""))</f>
        <v>Establish baseline controls for Billing / subscription</v>
      </c>
      <c r="CB825" t="str">
        <f>IF($BY825="","",IFERROR(INDEX(_REF_Treatment_Library!$K$2:$K$296,MATCH($BY825,_REF_Treatment_Library!$A$2:$A$296,0)),""))</f>
        <v>Named owner, baseline process, minimum control checklist, first evidence package</v>
      </c>
      <c r="CC825" t="str">
        <f>IF($BY825="","",IFERROR(INDEX(_REF_Treatment_Library!$L$2:$L$296,MATCH($BY825,_REF_Treatment_Library!$A$2:$A$296,0)),""))</f>
        <v>Owner assigned; baseline evidence coverage; open critical gaps</v>
      </c>
      <c r="CD825" t="str">
        <f t="shared" si="210"/>
        <v>Treatment by capability=CAP_BILLING_SUBSCRIPTION; band=Initial / absent; score=0.0; treatment=Establish</v>
      </c>
      <c r="CE825" t="str">
        <f>IF($E825="","",IFERROR(INDEX(_REF_Industry_Wording!$A$2:$A$70,MATCH(1,INDEX((_REF_Industry_Wording!$B$2:$B$70=$BT825)*(_REF_Industry_Wording!$C$2:$C$70=PV_Canonical_Industry)*(_REF_Industry_Wording!$K$2:$K$70="Yes"),0),0)),IFERROR(INDEX(_REF_Industry_Wording!$A$2:$A$70,MATCH(1,INDEX((_REF_Industry_Wording!$B$2:$B$70=$BT825)*(_REF_Industry_Wording!$C$2:$C$70="All")*(_REF_Industry_Wording!$K$2:$K$70="Yes"),0),0)),"")))</f>
        <v>IW-ALL-BILLING_SUBSCRIPTION</v>
      </c>
      <c r="CF825" t="str">
        <f>IF($CE825="","",IFERROR(INDEX(_REF_Industry_Wording!$E$2:$E$70,MATCH($CE825,_REF_Industry_Wording!$A$2:$A$70,0)),""))</f>
        <v>Billing / subscription weakness</v>
      </c>
      <c r="CG825" t="str">
        <f>IF($CE825="","",IFERROR(INDEX(_REF_Industry_Wording!$F$2:$F$70,MATCH($CE825,_REF_Industry_Wording!$A$2:$A$70,0)),""))</f>
        <v>Strengthen Billing / subscription</v>
      </c>
      <c r="CH825" t="str">
        <f>IF($CE825="","",IFERROR(INDEX(_REF_Industry_Wording!$G$2:$G$70,MATCH($CE825,_REF_Industry_Wording!$A$2:$A$70,0)),""))</f>
        <v>Strengthen Billing / subscription using the selected maturity treatment, crisis scenario and evidence requirements.</v>
      </c>
      <c r="CI825" t="str">
        <f>IF($CE825="","",IFERROR(INDEX(_REF_Industry_Wording!$H$2:$H$70,MATCH($CE825,_REF_Industry_Wording!$A$2:$A$70,0)),""))</f>
        <v>Billing / subscription</v>
      </c>
      <c r="CJ825">
        <f>IF($CE825="","",IFERROR(INDEX(_REF_Industry_Wording!$I$2:$I$70,MATCH($CE825,_REF_Industry_Wording!$A$2:$A$70,0)),""))</f>
        <v>0</v>
      </c>
      <c r="CK825" t="str">
        <f>IF($CE825="","",IFERROR(INDEX(_REF_Industry_Wording!$J$2:$J$70,MATCH($CE825,_REF_Industry_Wording!$A$2:$A$70,0)),""))</f>
        <v>Billing / subscription</v>
      </c>
      <c r="CL825" t="str">
        <f t="shared" si="211"/>
        <v>Wording by industry=0; capability=CAP_BILLING_SUBSCRIPTION; risk label=Billing / subscription weakness</v>
      </c>
      <c r="CM825" t="str">
        <f t="shared" si="212"/>
        <v>RISK-ONT-0326</v>
      </c>
      <c r="CN825" t="str">
        <f t="shared" si="213"/>
        <v>RISK-EVT-0326</v>
      </c>
      <c r="CO825" t="str">
        <f t="shared" si="214"/>
        <v>Business Systems|CRM and commerce|BUSI-006|CAP_BILLING_SUBSCRIPTION</v>
      </c>
      <c r="CP825" t="str">
        <f t="shared" si="215"/>
        <v>Active</v>
      </c>
      <c r="CQ825" t="str">
        <f t="shared" si="216"/>
        <v>OK: capability-driven</v>
      </c>
      <c r="CR825" t="str">
        <f t="shared" si="217"/>
        <v>Risk ontology uses capability=CAP_BILLING_SUBSCRIPTION; bridge=BRG-002; treatment=TRT-BILLING_SUBSCRIPTION-INITIAL; wording=IW-ALL-BILLING_SUBSCRIPTION</v>
      </c>
      <c r="CS825" t="str">
        <f t="shared" si="218"/>
        <v>Yes</v>
      </c>
    </row>
    <row r="826" spans="1:97" ht="69.900000000000006" customHeight="1">
      <c r="A826">
        <f>IF(OR($B826&lt;&gt;"Yes",$BS826=""),"",SUMPRODUCT(($B$500:$B$923="Yes")*ISNUMBER($BS$500:$BS$923)*($BS$500:$BS$923&gt;$BS826))+COUNTIFS($B$500:$B826,"Yes",$BS$500:$BS826,$BS826))</f>
        <v>69</v>
      </c>
      <c r="B826" t="str">
        <f t="shared" si="187"/>
        <v>Yes</v>
      </c>
      <c r="C826" t="s">
        <v>2729</v>
      </c>
      <c r="D826" t="s">
        <v>2739</v>
      </c>
      <c r="E826" t="s">
        <v>2755</v>
      </c>
      <c r="F826" t="s">
        <v>4377</v>
      </c>
      <c r="G826" t="str">
        <f>IF($H826="","",IFERROR(INDEX(_ENGINE_Risk!$H$5:$M$499,MATCH($E826,_ENGINE_Risk!$A$5:$A$499,0),$H826+1),""))</f>
        <v>Severe risk: CRM integration with ERP, billing, support, ecommerce and marketing automation is not reliably controlled. During IT outage; Decision failure; Process disruption, the organization may face ERP, CRM, MES or HRMS disruption, broken integrations and manual workarounds that fail under stress with limited visibility or accountability.</v>
      </c>
      <c r="H826">
        <f>IFERROR(VALUE(INDEX(_DATA_Assessment_Model!$H$5:$H$884,MATCH($E826,_DATA_Assessment_Model!$A$5:$A$884,0))),"")</f>
        <v>0</v>
      </c>
      <c r="I826" t="str">
        <f>IF($H826="","",IFERROR(INDEX(_DATA_Assessment_Model!$L$5:$L$884,MATCH($E826,_DATA_Assessment_Model!$A$5:$A$884,0)),IF($H826&lt;=1,"Critical",IF($H826=2,"High",IF($H826=3,"Medium",IF($H826=4,"Low","Resilient"))))))</f>
        <v>Critical</v>
      </c>
      <c r="J826">
        <f t="shared" si="188"/>
        <v>3.7</v>
      </c>
      <c r="K826">
        <f t="shared" si="189"/>
        <v>4.6499999999999995</v>
      </c>
      <c r="L826">
        <f t="shared" si="190"/>
        <v>17.204999999999998</v>
      </c>
      <c r="M826">
        <f t="shared" si="191"/>
        <v>4</v>
      </c>
      <c r="N826">
        <f>IF($H826="","",IFERROR(INDEX(_ENGINE_Risk!$T$5:$Y$499,MATCH($E826,_ENGINE_Risk!$A$5:$A$499,0),$H826+1),""))</f>
        <v>4</v>
      </c>
      <c r="O826">
        <f t="shared" si="192"/>
        <v>5</v>
      </c>
      <c r="P826">
        <f t="shared" si="193"/>
        <v>5</v>
      </c>
      <c r="Q826">
        <f t="shared" si="194"/>
        <v>5</v>
      </c>
      <c r="R826">
        <f t="shared" si="195"/>
        <v>5</v>
      </c>
      <c r="S826">
        <f t="shared" si="196"/>
        <v>1.25</v>
      </c>
      <c r="T826" t="str">
        <f>IF($H826="","",IFERROR(INDEX(_ENGINE_Risk!$N$5:$S$499,MATCH($E826,_ENGINE_Risk!$A$5:$A$499,0),$H826+1),""))</f>
        <v>Create an immediate risk owner, minimum control baseline and fallback procedure for CRM integration with ERP, billing, support, ecommerce and marketing automation. Add it to the crisis risk register and collect first evidence.</v>
      </c>
      <c r="U826">
        <f>IFERROR(INDEX(_DATA_Assessment_Model!$G$5:$G$884,MATCH($E826,_DATA_Assessment_Model!$A$5:$A$884,0)),"")</f>
        <v>5</v>
      </c>
      <c r="V826">
        <f>IFERROR(INDEX(_DATA_Assessment_Model!$W$5:$W$884,MATCH($E826,_DATA_Assessment_Model!$A$5:$A$884,0)),"")</f>
        <v>5</v>
      </c>
      <c r="W826">
        <f>IFERROR(INDEX(_DATA_Assessment_Model!$X$5:$X$884,MATCH($E826,_DATA_Assessment_Model!$A$5:$A$884,0)),"")</f>
        <v>5</v>
      </c>
      <c r="X826">
        <f>IFERROR(INDEX(_DATA_Assessment_Model!$Y$5:$Y$884,MATCH($E826,_DATA_Assessment_Model!$A$5:$A$884,0)),"")</f>
        <v>5</v>
      </c>
      <c r="Y826" t="s">
        <v>2735</v>
      </c>
      <c r="Z826" t="s">
        <v>9137</v>
      </c>
      <c r="AA826" t="s">
        <v>2757</v>
      </c>
      <c r="AB826">
        <f>IFERROR(INDEX(_DATA_Assessment_Model!$U$5:$U$884,MATCH($E826,_DATA_Assessment_Model!$A$5:$A$884,0)),"")</f>
        <v>0</v>
      </c>
      <c r="AF826" t="s">
        <v>2756</v>
      </c>
      <c r="AO826">
        <f>IF($B826="Yes",IF(IFERROR(INDEX(_ENGINE_Crisis!$F$501:$F$517,MATCH($C826,_ENGINE_Crisis!$A$501:$A$517,0)),1)=0,1,IFERROR(INDEX(_ENGINE_Crisis!$F$501:$F$517,MATCH($C826,_ENGINE_Crisis!$A$501:$A$517,0)),1)),"")</f>
        <v>1</v>
      </c>
      <c r="AP826">
        <f t="shared" si="197"/>
        <v>17.2</v>
      </c>
      <c r="AQ826">
        <f t="shared" si="198"/>
        <v>1.25</v>
      </c>
      <c r="AR826" t="str">
        <f>IFERROR(INDEX(_ENGINE_Crisis!$E$41:$E$700,MATCH('Resilience &amp; Risk Scenario'!$B$6&amp;"|"&amp;$C826,_ENGINE_Crisis!$I$41:$I$700,0)),"")</f>
        <v/>
      </c>
      <c r="AS826" t="str">
        <f>IFERROR(INDEX(_ENGINE_Crisis!$G$41:$G$700,MATCH('Resilience &amp; Risk Scenario'!$B$6&amp;"|"&amp;$C826,_ENGINE_Crisis!$I$41:$I$700,0)),"")</f>
        <v/>
      </c>
      <c r="AT826" t="str">
        <f>IFERROR(INDEX(_ENGINE_Initiatives!$A$5:$A$532,MATCH(1,INDEX((_ENGINE_Initiatives!$B$5:$B$532=$C826)*(_ENGINE_Initiatives!$C$5:$C$532=$D826),0),0)),"")</f>
        <v>INI-054</v>
      </c>
      <c r="AU826" t="str">
        <f>IFERROR(INDEX(_ENGINE_Initiatives!$F$5:$F$532,MATCH(1,INDEX((_ENGINE_Initiatives!$B$5:$B$532=$C826)*(_ENGINE_Initiatives!$C$5:$C$532=$D826),0),0)),"")</f>
        <v>Integrate CRM, commerce and customer-service systems</v>
      </c>
      <c r="AV826">
        <f>IFERROR(INDEX(_ENGINE_Initiatives!$AC$5:$AC$532,MATCH(1,INDEX((_ENGINE_Initiatives!$B$5:$B$532=$C826)*(_ENGINE_Initiatives!$C$5:$C$532=$D826),0),0)),"")</f>
        <v>1.31</v>
      </c>
      <c r="AW826" t="str">
        <f>IFERROR(INDEX(_ENGINE_Initiatives!$AE$5:$AE$532,MATCH(1,INDEX((_ENGINE_Initiatives!$B$5:$B$532=$C826)*(_ENGINE_Initiatives!$C$5:$C$532=$D826),0),0)),"")</f>
        <v>12+ months</v>
      </c>
      <c r="AX826">
        <f>IF($B826="Yes",IFERROR((IF(SUMIFS(_REF_Model_Content!$E$1:$E$613,_REF_Model_Content!$A$1:$A$613,PV_Canonical_Industry,_REF_Model_Content!$B$1:$B$613,$C826)=0,1,SUMIFS(_REF_Model_Content!$E$1:$E$613,_REF_Model_Content!$A$1:$A$613,PV_Canonical_Industry,_REF_Model_Content!$B$1:$B$613,$C826))*IFERROR($BU826,1)),1),"")</f>
        <v>1</v>
      </c>
      <c r="AY826">
        <f t="shared" si="199"/>
        <v>17.2</v>
      </c>
      <c r="AZ826">
        <f t="shared" si="200"/>
        <v>1.25</v>
      </c>
      <c r="BB826" t="str">
        <f>IF($H826="","",IFERROR(INDEX(_ENGINE_Risk!$AE$5:$AE$499,MATCH($E826,_ENGINE_Risk!$A$5:$A$499,0)),"Medium"))</f>
        <v>Fast</v>
      </c>
      <c r="BC826">
        <f t="shared" si="201"/>
        <v>1.25</v>
      </c>
      <c r="BD826">
        <f t="shared" si="202"/>
        <v>1.25</v>
      </c>
      <c r="BF826">
        <f>IF(OR($H826="",$J826=""),"",IFERROR(VLOOKUP(ROUND($J826,0),_CONFIG_Model_Settings!$D$154:$E$158,2,0),""))</f>
        <v>0.5</v>
      </c>
      <c r="BG826">
        <f>IFERROR(IF(OR($H826="",$K826=""),"",ROUND('Company Profile'!$B$113*INDEX(_CONFIG_Model_Settings!$H$154:$H$158,MATCH(ROUND($K826,0),_CONFIG_Model_Settings!$G$154:$G$158,0)),0)),0)</f>
        <v>1875</v>
      </c>
      <c r="BH826">
        <f t="shared" si="203"/>
        <v>937.5</v>
      </c>
      <c r="BI826">
        <f t="shared" si="204"/>
        <v>937.5</v>
      </c>
      <c r="BJ826">
        <f>IF($E826="","",IFERROR(VLOOKUP($C826,_CONFIG_Risk_Calibration!$A$5:$H$21,2,FALSE),3))</f>
        <v>3</v>
      </c>
      <c r="BK826">
        <f>IF($E826="","",IFERROR(VLOOKUP($C826,_CONFIG_Risk_Calibration!$A$5:$H$21,3,FALSE),0))</f>
        <v>0</v>
      </c>
      <c r="BL826">
        <f>IF($E826="","",IFERROR(VLOOKUP($C826,_CONFIG_Risk_Calibration!$A$5:$H$21,4,FALSE),3))</f>
        <v>3</v>
      </c>
      <c r="BM826">
        <f>IF($E826="","",IFERROR(VLOOKUP($C826,_CONFIG_Risk_Calibration!$A$5:$H$21,5,FALSE),3))</f>
        <v>4</v>
      </c>
      <c r="BN826" t="str">
        <f>IF($E826="","",IFERROR(VLOOKUP($C826,_CONFIG_Risk_Calibration!$A$5:$H$21,6,FALSE),"No"))</f>
        <v>Yes</v>
      </c>
      <c r="BO826">
        <f>IF($E826="","",IFERROR(VLOOKUP($C826,_CONFIG_Risk_Calibration!$A$5:$H$21,7,FALSE),1))</f>
        <v>4</v>
      </c>
      <c r="BP826">
        <f>IF($H826="","",MAX(1,MIN(5,((6-$H826)*0.45)+($BJ826*0.2)+('Resilience &amp; Risk Scenario'!$B$7*0.15)+($BK826*0.1)+($BL826*0.05)+(IF($BB826="Fast",5,IF($BB826="Slow",1,3))*0.05))))</f>
        <v>3.7</v>
      </c>
      <c r="BQ826">
        <f t="shared" si="205"/>
        <v>4.6499999999999995</v>
      </c>
      <c r="BR826">
        <f t="shared" si="206"/>
        <v>17.21</v>
      </c>
      <c r="BS826">
        <f t="shared" si="207"/>
        <v>23.66</v>
      </c>
      <c r="BT826" t="str">
        <f>IFERROR(INDEX(_REF_Capability_Bridge!$D:$D,MATCH($C826&amp;"|"&amp;$D826,_REF_Capability_Bridge!$J:$J,0)),IFERROR(INDEX(_REF_Capability_Bridge!$D:$D,MATCH($C826&amp;"|",_REF_Capability_Bridge!$J:$J,0)),"CAP_GENERIC"))</f>
        <v>CAP_BILLING_SUBSCRIPTION</v>
      </c>
      <c r="BU826">
        <f>IFERROR(IFERROR(INDEX(_ENGINE_Relevance!$L:$L,MATCH($BT826,_ENGINE_Relevance!$B:$B,0)),1),1)</f>
        <v>1</v>
      </c>
      <c r="BV826" t="str">
        <f>IFERROR(INDEX(_REF_Capability_Bridge!$A:$A,MATCH($C826&amp;"|"&amp;$D826,_REF_Capability_Bridge!$J:$J,0)),IFERROR(INDEX(_REF_Capability_Bridge!$A:$A,MATCH($C826&amp;"|",_REF_Capability_Bridge!$J:$J,0)),"No bridge"))</f>
        <v>BRG-002</v>
      </c>
      <c r="BW826" t="str">
        <f t="shared" si="208"/>
        <v>Capability relevance neutral</v>
      </c>
      <c r="BX826" t="str">
        <f t="shared" si="209"/>
        <v>Initial / absent</v>
      </c>
      <c r="BY826" t="str">
        <f>IF($E826="","",IFERROR(INDEX(_REF_Treatment_Library!$A$2:$A$296,MATCH(1,INDEX((_REF_Treatment_Library!$B$2:$B$296=$BT826)*(_REF_Treatment_Library!$C$2:$C$296=PV_Canonical_Industry)*(_REF_Treatment_Library!$E$2:$E$296&lt;=N($H826))*(_REF_Treatment_Library!$F$2:$F$296&gt;=N($H826))*(_REF_Treatment_Library!$O$2:$O$296="Yes"),0),0)),IFERROR(INDEX(_REF_Treatment_Library!$A$2:$A$296,MATCH(1,INDEX((_REF_Treatment_Library!$B$2:$B$296=$BT826)*(_REF_Treatment_Library!$C$2:$C$296="All")*(_REF_Treatment_Library!$E$2:$E$296&lt;=N($H826))*(_REF_Treatment_Library!$F$2:$F$296&gt;=N($H826))*(_REF_Treatment_Library!$O$2:$O$296="Yes"),0),0)),"")))</f>
        <v>TRT-BILLING_SUBSCRIPTION-INITIAL</v>
      </c>
      <c r="BZ826" t="str">
        <f>IF($BY826="","",IFERROR(INDEX(_REF_Treatment_Library!$H$2:$H$296,MATCH($BY826,_REF_Treatment_Library!$A$2:$A$296,0)),""))</f>
        <v>Establish</v>
      </c>
      <c r="CA826" t="str">
        <f>IF($BY826="","",IFERROR(INDEX(_REF_Treatment_Library!$I$2:$I$296,MATCH($BY826,_REF_Treatment_Library!$A$2:$A$296,0)),""))</f>
        <v>Establish baseline controls for Billing / subscription</v>
      </c>
      <c r="CB826" t="str">
        <f>IF($BY826="","",IFERROR(INDEX(_REF_Treatment_Library!$K$2:$K$296,MATCH($BY826,_REF_Treatment_Library!$A$2:$A$296,0)),""))</f>
        <v>Named owner, baseline process, minimum control checklist, first evidence package</v>
      </c>
      <c r="CC826" t="str">
        <f>IF($BY826="","",IFERROR(INDEX(_REF_Treatment_Library!$L$2:$L$296,MATCH($BY826,_REF_Treatment_Library!$A$2:$A$296,0)),""))</f>
        <v>Owner assigned; baseline evidence coverage; open critical gaps</v>
      </c>
      <c r="CD826" t="str">
        <f t="shared" si="210"/>
        <v>Treatment by capability=CAP_BILLING_SUBSCRIPTION; band=Initial / absent; score=0.0; treatment=Establish</v>
      </c>
      <c r="CE826" t="str">
        <f>IF($E826="","",IFERROR(INDEX(_REF_Industry_Wording!$A$2:$A$70,MATCH(1,INDEX((_REF_Industry_Wording!$B$2:$B$70=$BT826)*(_REF_Industry_Wording!$C$2:$C$70=PV_Canonical_Industry)*(_REF_Industry_Wording!$K$2:$K$70="Yes"),0),0)),IFERROR(INDEX(_REF_Industry_Wording!$A$2:$A$70,MATCH(1,INDEX((_REF_Industry_Wording!$B$2:$B$70=$BT826)*(_REF_Industry_Wording!$C$2:$C$70="All")*(_REF_Industry_Wording!$K$2:$K$70="Yes"),0),0)),"")))</f>
        <v>IW-ALL-BILLING_SUBSCRIPTION</v>
      </c>
      <c r="CF826" t="str">
        <f>IF($CE826="","",IFERROR(INDEX(_REF_Industry_Wording!$E$2:$E$70,MATCH($CE826,_REF_Industry_Wording!$A$2:$A$70,0)),""))</f>
        <v>Billing / subscription weakness</v>
      </c>
      <c r="CG826" t="str">
        <f>IF($CE826="","",IFERROR(INDEX(_REF_Industry_Wording!$F$2:$F$70,MATCH($CE826,_REF_Industry_Wording!$A$2:$A$70,0)),""))</f>
        <v>Strengthen Billing / subscription</v>
      </c>
      <c r="CH826" t="str">
        <f>IF($CE826="","",IFERROR(INDEX(_REF_Industry_Wording!$G$2:$G$70,MATCH($CE826,_REF_Industry_Wording!$A$2:$A$70,0)),""))</f>
        <v>Strengthen Billing / subscription using the selected maturity treatment, crisis scenario and evidence requirements.</v>
      </c>
      <c r="CI826" t="str">
        <f>IF($CE826="","",IFERROR(INDEX(_REF_Industry_Wording!$H$2:$H$70,MATCH($CE826,_REF_Industry_Wording!$A$2:$A$70,0)),""))</f>
        <v>Billing / subscription</v>
      </c>
      <c r="CJ826">
        <f>IF($CE826="","",IFERROR(INDEX(_REF_Industry_Wording!$I$2:$I$70,MATCH($CE826,_REF_Industry_Wording!$A$2:$A$70,0)),""))</f>
        <v>0</v>
      </c>
      <c r="CK826" t="str">
        <f>IF($CE826="","",IFERROR(INDEX(_REF_Industry_Wording!$J$2:$J$70,MATCH($CE826,_REF_Industry_Wording!$A$2:$A$70,0)),""))</f>
        <v>Billing / subscription</v>
      </c>
      <c r="CL826" t="str">
        <f t="shared" si="211"/>
        <v>Wording by industry=0; capability=CAP_BILLING_SUBSCRIPTION; risk label=Billing / subscription weakness</v>
      </c>
      <c r="CM826" t="str">
        <f t="shared" si="212"/>
        <v>RISK-ONT-0327</v>
      </c>
      <c r="CN826" t="str">
        <f t="shared" si="213"/>
        <v>RISK-EVT-0327</v>
      </c>
      <c r="CO826" t="str">
        <f t="shared" si="214"/>
        <v>Business Systems|CRM and commerce|BUSI-007|CAP_BILLING_SUBSCRIPTION</v>
      </c>
      <c r="CP826" t="str">
        <f t="shared" si="215"/>
        <v>Active</v>
      </c>
      <c r="CQ826" t="str">
        <f t="shared" si="216"/>
        <v>OK: capability-driven</v>
      </c>
      <c r="CR826" t="str">
        <f t="shared" si="217"/>
        <v>Risk ontology uses capability=CAP_BILLING_SUBSCRIPTION; bridge=BRG-002; treatment=TRT-BILLING_SUBSCRIPTION-INITIAL; wording=IW-ALL-BILLING_SUBSCRIPTION</v>
      </c>
      <c r="CS826" t="str">
        <f t="shared" si="218"/>
        <v>Yes</v>
      </c>
    </row>
    <row r="827" spans="1:97" ht="69.900000000000006" customHeight="1">
      <c r="A827">
        <f>IF(OR($B827&lt;&gt;"Yes",$BS827=""),"",SUMPRODUCT(($B$500:$B$923="Yes")*ISNUMBER($BS$500:$BS$923)*($BS$500:$BS$923&gt;$BS827))+COUNTIFS($B$500:$B827,"Yes",$BS$500:$BS827,$BS827))</f>
        <v>94</v>
      </c>
      <c r="B827" t="str">
        <f t="shared" si="187"/>
        <v>Yes</v>
      </c>
      <c r="C827" t="s">
        <v>2729</v>
      </c>
      <c r="D827" t="s">
        <v>2739</v>
      </c>
      <c r="E827" t="s">
        <v>2758</v>
      </c>
      <c r="F827" t="s">
        <v>4377</v>
      </c>
      <c r="G827" t="str">
        <f>IF($H827="","",IFERROR(INDEX(_ENGINE_Risk!$H$5:$M$499,MATCH($E827,_ENGINE_Risk!$A$5:$A$499,0),$H827+1),""))</f>
        <v>Severe risk: customer portal availability and data accuracy during disruption is not reliably controlled. During IT outage; Decision failure; Process disruption, the organization may face ERP, CRM, MES or HRMS disruption, broken integrations and manual workarounds that fail under stress with limited visibility or accountability.</v>
      </c>
      <c r="H827">
        <f>IFERROR(VALUE(INDEX(_DATA_Assessment_Model!$H$5:$H$884,MATCH($E827,_DATA_Assessment_Model!$A$5:$A$884,0))),"")</f>
        <v>0</v>
      </c>
      <c r="I827" t="str">
        <f>IF($H827="","",IFERROR(INDEX(_DATA_Assessment_Model!$L$5:$L$884,MATCH($E827,_DATA_Assessment_Model!$A$5:$A$884,0)),IF($H827&lt;=1,"Critical",IF($H827=2,"High",IF($H827=3,"Medium",IF($H827=4,"Low","Resilient"))))))</f>
        <v>Critical</v>
      </c>
      <c r="J827">
        <f t="shared" si="188"/>
        <v>3.7</v>
      </c>
      <c r="K827">
        <f t="shared" si="189"/>
        <v>4.4499999999999993</v>
      </c>
      <c r="L827">
        <f t="shared" si="190"/>
        <v>16.465</v>
      </c>
      <c r="M827">
        <f t="shared" si="191"/>
        <v>4</v>
      </c>
      <c r="N827">
        <f>IF($H827="","",IFERROR(INDEX(_ENGINE_Risk!$T$5:$Y$499,MATCH($E827,_ENGINE_Risk!$A$5:$A$499,0),$H827+1),""))</f>
        <v>4</v>
      </c>
      <c r="O827">
        <f t="shared" si="192"/>
        <v>4.666666666666667</v>
      </c>
      <c r="P827">
        <f t="shared" si="193"/>
        <v>5</v>
      </c>
      <c r="Q827">
        <f t="shared" si="194"/>
        <v>5</v>
      </c>
      <c r="R827">
        <f t="shared" si="195"/>
        <v>5</v>
      </c>
      <c r="S827">
        <f t="shared" si="196"/>
        <v>1.23</v>
      </c>
      <c r="T827" t="str">
        <f>IF($H827="","",IFERROR(INDEX(_ENGINE_Risk!$N$5:$S$499,MATCH($E827,_ENGINE_Risk!$A$5:$A$499,0),$H827+1),""))</f>
        <v>Create an immediate risk owner, minimum control baseline and fallback procedure for customer portal availability and data accuracy during disruption. Add it to the crisis risk register and collect first evidence.</v>
      </c>
      <c r="U827">
        <f>IFERROR(INDEX(_DATA_Assessment_Model!$G$5:$G$884,MATCH($E827,_DATA_Assessment_Model!$A$5:$A$884,0)),"")</f>
        <v>4</v>
      </c>
      <c r="V827">
        <f>IFERROR(INDEX(_DATA_Assessment_Model!$W$5:$W$884,MATCH($E827,_DATA_Assessment_Model!$A$5:$A$884,0)),"")</f>
        <v>5</v>
      </c>
      <c r="W827">
        <f>IFERROR(INDEX(_DATA_Assessment_Model!$X$5:$X$884,MATCH($E827,_DATA_Assessment_Model!$A$5:$A$884,0)),"")</f>
        <v>5</v>
      </c>
      <c r="X827">
        <f>IFERROR(INDEX(_DATA_Assessment_Model!$Y$5:$Y$884,MATCH($E827,_DATA_Assessment_Model!$A$5:$A$884,0)),"")</f>
        <v>5</v>
      </c>
      <c r="Y827" t="s">
        <v>2735</v>
      </c>
      <c r="Z827" t="s">
        <v>9137</v>
      </c>
      <c r="AA827" t="s">
        <v>2760</v>
      </c>
      <c r="AB827">
        <f>IFERROR(INDEX(_DATA_Assessment_Model!$U$5:$U$884,MATCH($E827,_DATA_Assessment_Model!$A$5:$A$884,0)),"")</f>
        <v>0</v>
      </c>
      <c r="AF827" t="s">
        <v>2759</v>
      </c>
      <c r="AO827">
        <f>IF($B827="Yes",IF(IFERROR(INDEX(_ENGINE_Crisis!$F$501:$F$517,MATCH($C827,_ENGINE_Crisis!$A$501:$A$517,0)),1)=0,1,IFERROR(INDEX(_ENGINE_Crisis!$F$501:$F$517,MATCH($C827,_ENGINE_Crisis!$A$501:$A$517,0)),1)),"")</f>
        <v>1</v>
      </c>
      <c r="AP827">
        <f t="shared" si="197"/>
        <v>16.5</v>
      </c>
      <c r="AQ827">
        <f t="shared" si="198"/>
        <v>1.23</v>
      </c>
      <c r="AR827" t="str">
        <f>IFERROR(INDEX(_ENGINE_Crisis!$E$41:$E$700,MATCH('Resilience &amp; Risk Scenario'!$B$6&amp;"|"&amp;$C827,_ENGINE_Crisis!$I$41:$I$700,0)),"")</f>
        <v/>
      </c>
      <c r="AS827" t="str">
        <f>IFERROR(INDEX(_ENGINE_Crisis!$G$41:$G$700,MATCH('Resilience &amp; Risk Scenario'!$B$6&amp;"|"&amp;$C827,_ENGINE_Crisis!$I$41:$I$700,0)),"")</f>
        <v/>
      </c>
      <c r="AT827" t="str">
        <f>IFERROR(INDEX(_ENGINE_Initiatives!$A$5:$A$532,MATCH(1,INDEX((_ENGINE_Initiatives!$B$5:$B$532=$C827)*(_ENGINE_Initiatives!$C$5:$C$532=$D827),0),0)),"")</f>
        <v>INI-054</v>
      </c>
      <c r="AU827" t="str">
        <f>IFERROR(INDEX(_ENGINE_Initiatives!$F$5:$F$532,MATCH(1,INDEX((_ENGINE_Initiatives!$B$5:$B$532=$C827)*(_ENGINE_Initiatives!$C$5:$C$532=$D827),0),0)),"")</f>
        <v>Integrate CRM, commerce and customer-service systems</v>
      </c>
      <c r="AV827">
        <f>IFERROR(INDEX(_ENGINE_Initiatives!$AC$5:$AC$532,MATCH(1,INDEX((_ENGINE_Initiatives!$B$5:$B$532=$C827)*(_ENGINE_Initiatives!$C$5:$C$532=$D827),0),0)),"")</f>
        <v>1.31</v>
      </c>
      <c r="AW827" t="str">
        <f>IFERROR(INDEX(_ENGINE_Initiatives!$AE$5:$AE$532,MATCH(1,INDEX((_ENGINE_Initiatives!$B$5:$B$532=$C827)*(_ENGINE_Initiatives!$C$5:$C$532=$D827),0),0)),"")</f>
        <v>12+ months</v>
      </c>
      <c r="AX827">
        <f>IF($B827="Yes",IFERROR((IF(SUMIFS(_REF_Model_Content!$E$1:$E$613,_REF_Model_Content!$A$1:$A$613,PV_Canonical_Industry,_REF_Model_Content!$B$1:$B$613,$C827)=0,1,SUMIFS(_REF_Model_Content!$E$1:$E$613,_REF_Model_Content!$A$1:$A$613,PV_Canonical_Industry,_REF_Model_Content!$B$1:$B$613,$C827))*IFERROR($BU827,1)),1),"")</f>
        <v>1</v>
      </c>
      <c r="AY827">
        <f t="shared" si="199"/>
        <v>16.5</v>
      </c>
      <c r="AZ827">
        <f t="shared" si="200"/>
        <v>1.23</v>
      </c>
      <c r="BB827" t="str">
        <f>IF($H827="","",IFERROR(INDEX(_ENGINE_Risk!$AE$5:$AE$499,MATCH($E827,_ENGINE_Risk!$A$5:$A$499,0)),"Medium"))</f>
        <v>Fast</v>
      </c>
      <c r="BC827">
        <f t="shared" si="201"/>
        <v>1.25</v>
      </c>
      <c r="BD827">
        <f t="shared" si="202"/>
        <v>1.23</v>
      </c>
      <c r="BF827">
        <f>IF(OR($H827="",$J827=""),"",IFERROR(VLOOKUP(ROUND($J827,0),_CONFIG_Model_Settings!$D$154:$E$158,2,0),""))</f>
        <v>0.5</v>
      </c>
      <c r="BG827">
        <f>IFERROR(IF(OR($H827="",$K827=""),"",ROUND('Company Profile'!$B$113*INDEX(_CONFIG_Model_Settings!$H$154:$H$158,MATCH(ROUND($K827,0),_CONFIG_Model_Settings!$G$154:$G$158,0)),0)),0)</f>
        <v>875</v>
      </c>
      <c r="BH827">
        <f t="shared" si="203"/>
        <v>437.5</v>
      </c>
      <c r="BI827">
        <f t="shared" si="204"/>
        <v>437.5</v>
      </c>
      <c r="BJ827">
        <f>IF($E827="","",IFERROR(VLOOKUP($C827,_CONFIG_Risk_Calibration!$A$5:$H$21,2,FALSE),3))</f>
        <v>3</v>
      </c>
      <c r="BK827">
        <f>IF($E827="","",IFERROR(VLOOKUP($C827,_CONFIG_Risk_Calibration!$A$5:$H$21,3,FALSE),0))</f>
        <v>0</v>
      </c>
      <c r="BL827">
        <f>IF($E827="","",IFERROR(VLOOKUP($C827,_CONFIG_Risk_Calibration!$A$5:$H$21,4,FALSE),3))</f>
        <v>3</v>
      </c>
      <c r="BM827">
        <f>IF($E827="","",IFERROR(VLOOKUP($C827,_CONFIG_Risk_Calibration!$A$5:$H$21,5,FALSE),3))</f>
        <v>4</v>
      </c>
      <c r="BN827" t="str">
        <f>IF($E827="","",IFERROR(VLOOKUP($C827,_CONFIG_Risk_Calibration!$A$5:$H$21,6,FALSE),"No"))</f>
        <v>Yes</v>
      </c>
      <c r="BO827">
        <f>IF($E827="","",IFERROR(VLOOKUP($C827,_CONFIG_Risk_Calibration!$A$5:$H$21,7,FALSE),1))</f>
        <v>4</v>
      </c>
      <c r="BP827">
        <f>IF($H827="","",MAX(1,MIN(5,((6-$H827)*0.45)+($BJ827*0.2)+('Resilience &amp; Risk Scenario'!$B$7*0.15)+($BK827*0.1)+($BL827*0.05)+(IF($BB827="Fast",5,IF($BB827="Slow",1,3))*0.05))))</f>
        <v>3.7</v>
      </c>
      <c r="BQ827">
        <f t="shared" si="205"/>
        <v>4.4499999999999993</v>
      </c>
      <c r="BR827">
        <f t="shared" si="206"/>
        <v>16.47</v>
      </c>
      <c r="BS827">
        <f t="shared" si="207"/>
        <v>22.65</v>
      </c>
      <c r="BT827" t="str">
        <f>IFERROR(INDEX(_REF_Capability_Bridge!$D:$D,MATCH($C827&amp;"|"&amp;$D827,_REF_Capability_Bridge!$J:$J,0)),IFERROR(INDEX(_REF_Capability_Bridge!$D:$D,MATCH($C827&amp;"|",_REF_Capability_Bridge!$J:$J,0)),"CAP_GENERIC"))</f>
        <v>CAP_BILLING_SUBSCRIPTION</v>
      </c>
      <c r="BU827">
        <f>IFERROR(IFERROR(INDEX(_ENGINE_Relevance!$L:$L,MATCH($BT827,_ENGINE_Relevance!$B:$B,0)),1),1)</f>
        <v>1</v>
      </c>
      <c r="BV827" t="str">
        <f>IFERROR(INDEX(_REF_Capability_Bridge!$A:$A,MATCH($C827&amp;"|"&amp;$D827,_REF_Capability_Bridge!$J:$J,0)),IFERROR(INDEX(_REF_Capability_Bridge!$A:$A,MATCH($C827&amp;"|",_REF_Capability_Bridge!$J:$J,0)),"No bridge"))</f>
        <v>BRG-002</v>
      </c>
      <c r="BW827" t="str">
        <f t="shared" si="208"/>
        <v>Capability relevance neutral</v>
      </c>
      <c r="BX827" t="str">
        <f t="shared" si="209"/>
        <v>Initial / absent</v>
      </c>
      <c r="BY827" t="str">
        <f>IF($E827="","",IFERROR(INDEX(_REF_Treatment_Library!$A$2:$A$296,MATCH(1,INDEX((_REF_Treatment_Library!$B$2:$B$296=$BT827)*(_REF_Treatment_Library!$C$2:$C$296=PV_Canonical_Industry)*(_REF_Treatment_Library!$E$2:$E$296&lt;=N($H827))*(_REF_Treatment_Library!$F$2:$F$296&gt;=N($H827))*(_REF_Treatment_Library!$O$2:$O$296="Yes"),0),0)),IFERROR(INDEX(_REF_Treatment_Library!$A$2:$A$296,MATCH(1,INDEX((_REF_Treatment_Library!$B$2:$B$296=$BT827)*(_REF_Treatment_Library!$C$2:$C$296="All")*(_REF_Treatment_Library!$E$2:$E$296&lt;=N($H827))*(_REF_Treatment_Library!$F$2:$F$296&gt;=N($H827))*(_REF_Treatment_Library!$O$2:$O$296="Yes"),0),0)),"")))</f>
        <v>TRT-BILLING_SUBSCRIPTION-INITIAL</v>
      </c>
      <c r="BZ827" t="str">
        <f>IF($BY827="","",IFERROR(INDEX(_REF_Treatment_Library!$H$2:$H$296,MATCH($BY827,_REF_Treatment_Library!$A$2:$A$296,0)),""))</f>
        <v>Establish</v>
      </c>
      <c r="CA827" t="str">
        <f>IF($BY827="","",IFERROR(INDEX(_REF_Treatment_Library!$I$2:$I$296,MATCH($BY827,_REF_Treatment_Library!$A$2:$A$296,0)),""))</f>
        <v>Establish baseline controls for Billing / subscription</v>
      </c>
      <c r="CB827" t="str">
        <f>IF($BY827="","",IFERROR(INDEX(_REF_Treatment_Library!$K$2:$K$296,MATCH($BY827,_REF_Treatment_Library!$A$2:$A$296,0)),""))</f>
        <v>Named owner, baseline process, minimum control checklist, first evidence package</v>
      </c>
      <c r="CC827" t="str">
        <f>IF($BY827="","",IFERROR(INDEX(_REF_Treatment_Library!$L$2:$L$296,MATCH($BY827,_REF_Treatment_Library!$A$2:$A$296,0)),""))</f>
        <v>Owner assigned; baseline evidence coverage; open critical gaps</v>
      </c>
      <c r="CD827" t="str">
        <f t="shared" si="210"/>
        <v>Treatment by capability=CAP_BILLING_SUBSCRIPTION; band=Initial / absent; score=0.0; treatment=Establish</v>
      </c>
      <c r="CE827" t="str">
        <f>IF($E827="","",IFERROR(INDEX(_REF_Industry_Wording!$A$2:$A$70,MATCH(1,INDEX((_REF_Industry_Wording!$B$2:$B$70=$BT827)*(_REF_Industry_Wording!$C$2:$C$70=PV_Canonical_Industry)*(_REF_Industry_Wording!$K$2:$K$70="Yes"),0),0)),IFERROR(INDEX(_REF_Industry_Wording!$A$2:$A$70,MATCH(1,INDEX((_REF_Industry_Wording!$B$2:$B$70=$BT827)*(_REF_Industry_Wording!$C$2:$C$70="All")*(_REF_Industry_Wording!$K$2:$K$70="Yes"),0),0)),"")))</f>
        <v>IW-ALL-BILLING_SUBSCRIPTION</v>
      </c>
      <c r="CF827" t="str">
        <f>IF($CE827="","",IFERROR(INDEX(_REF_Industry_Wording!$E$2:$E$70,MATCH($CE827,_REF_Industry_Wording!$A$2:$A$70,0)),""))</f>
        <v>Billing / subscription weakness</v>
      </c>
      <c r="CG827" t="str">
        <f>IF($CE827="","",IFERROR(INDEX(_REF_Industry_Wording!$F$2:$F$70,MATCH($CE827,_REF_Industry_Wording!$A$2:$A$70,0)),""))</f>
        <v>Strengthen Billing / subscription</v>
      </c>
      <c r="CH827" t="str">
        <f>IF($CE827="","",IFERROR(INDEX(_REF_Industry_Wording!$G$2:$G$70,MATCH($CE827,_REF_Industry_Wording!$A$2:$A$70,0)),""))</f>
        <v>Strengthen Billing / subscription using the selected maturity treatment, crisis scenario and evidence requirements.</v>
      </c>
      <c r="CI827" t="str">
        <f>IF($CE827="","",IFERROR(INDEX(_REF_Industry_Wording!$H$2:$H$70,MATCH($CE827,_REF_Industry_Wording!$A$2:$A$70,0)),""))</f>
        <v>Billing / subscription</v>
      </c>
      <c r="CJ827">
        <f>IF($CE827="","",IFERROR(INDEX(_REF_Industry_Wording!$I$2:$I$70,MATCH($CE827,_REF_Industry_Wording!$A$2:$A$70,0)),""))</f>
        <v>0</v>
      </c>
      <c r="CK827" t="str">
        <f>IF($CE827="","",IFERROR(INDEX(_REF_Industry_Wording!$J$2:$J$70,MATCH($CE827,_REF_Industry_Wording!$A$2:$A$70,0)),""))</f>
        <v>Billing / subscription</v>
      </c>
      <c r="CL827" t="str">
        <f t="shared" si="211"/>
        <v>Wording by industry=0; capability=CAP_BILLING_SUBSCRIPTION; risk label=Billing / subscription weakness</v>
      </c>
      <c r="CM827" t="str">
        <f t="shared" si="212"/>
        <v>RISK-ONT-0328</v>
      </c>
      <c r="CN827" t="str">
        <f t="shared" si="213"/>
        <v>RISK-EVT-0328</v>
      </c>
      <c r="CO827" t="str">
        <f t="shared" si="214"/>
        <v>Business Systems|CRM and commerce|BUSI-009|CAP_BILLING_SUBSCRIPTION</v>
      </c>
      <c r="CP827" t="str">
        <f t="shared" si="215"/>
        <v>Active</v>
      </c>
      <c r="CQ827" t="str">
        <f t="shared" si="216"/>
        <v>OK: capability-driven</v>
      </c>
      <c r="CR827" t="str">
        <f t="shared" si="217"/>
        <v>Risk ontology uses capability=CAP_BILLING_SUBSCRIPTION; bridge=BRG-002; treatment=TRT-BILLING_SUBSCRIPTION-INITIAL; wording=IW-ALL-BILLING_SUBSCRIPTION</v>
      </c>
      <c r="CS827" t="str">
        <f t="shared" si="218"/>
        <v>Yes</v>
      </c>
    </row>
    <row r="828" spans="1:97" ht="69.900000000000006" customHeight="1">
      <c r="A828">
        <f>IF(OR($B828&lt;&gt;"Yes",$BS828=""),"",SUMPRODUCT(($B$500:$B$923="Yes")*ISNUMBER($BS$500:$BS$923)*($BS$500:$BS$923&gt;$BS828))+COUNTIFS($B$500:$B828,"Yes",$BS$500:$BS828,$BS828))</f>
        <v>70</v>
      </c>
      <c r="B828" t="str">
        <f t="shared" si="187"/>
        <v>Yes</v>
      </c>
      <c r="C828" t="s">
        <v>2729</v>
      </c>
      <c r="D828" t="s">
        <v>2743</v>
      </c>
      <c r="E828" t="s">
        <v>2767</v>
      </c>
      <c r="F828" t="s">
        <v>4377</v>
      </c>
      <c r="G828" t="str">
        <f>IF($H828="","",IFERROR(INDEX(_ENGINE_Risk!$H$5:$M$499,MATCH($E828,_ENGINE_Risk!$A$5:$A$499,0),$H828+1),""))</f>
        <v>Severe risk: MES support for production orders, execution, traceability, downtime, quality and labor is not reliably controlled. During IT outage; Decision failure; Process disruption, the organization may face ERP, CRM, MES or HRMS disruption, broken integrations and manual workarounds that fail under stress with limited visibility or accountability.</v>
      </c>
      <c r="H828">
        <f>IFERROR(VALUE(INDEX(_DATA_Assessment_Model!$H$5:$H$884,MATCH($E828,_DATA_Assessment_Model!$A$5:$A$884,0))),"")</f>
        <v>0</v>
      </c>
      <c r="I828" t="str">
        <f>IF($H828="","",IFERROR(INDEX(_DATA_Assessment_Model!$L$5:$L$884,MATCH($E828,_DATA_Assessment_Model!$A$5:$A$884,0)),IF($H828&lt;=1,"Critical",IF($H828=2,"High",IF($H828=3,"Medium",IF($H828=4,"Low","Resilient"))))))</f>
        <v>Critical</v>
      </c>
      <c r="J828">
        <f t="shared" si="188"/>
        <v>3.7</v>
      </c>
      <c r="K828">
        <f t="shared" si="189"/>
        <v>4.6499999999999995</v>
      </c>
      <c r="L828">
        <f t="shared" si="190"/>
        <v>17.204999999999998</v>
      </c>
      <c r="M828">
        <f t="shared" si="191"/>
        <v>4</v>
      </c>
      <c r="N828">
        <f>IF($H828="","",IFERROR(INDEX(_ENGINE_Risk!$T$5:$Y$499,MATCH($E828,_ENGINE_Risk!$A$5:$A$499,0),$H828+1),""))</f>
        <v>4</v>
      </c>
      <c r="O828">
        <f t="shared" si="192"/>
        <v>5</v>
      </c>
      <c r="P828">
        <f t="shared" si="193"/>
        <v>5</v>
      </c>
      <c r="Q828">
        <f t="shared" si="194"/>
        <v>5</v>
      </c>
      <c r="R828">
        <f t="shared" si="195"/>
        <v>5</v>
      </c>
      <c r="S828">
        <f t="shared" si="196"/>
        <v>1.25</v>
      </c>
      <c r="T828" t="str">
        <f>IF($H828="","",IFERROR(INDEX(_ENGINE_Risk!$N$5:$S$499,MATCH($E828,_ENGINE_Risk!$A$5:$A$499,0),$H828+1),""))</f>
        <v>Create an immediate risk owner, minimum control baseline and fallback procedure for MES support for production orders, execution, traceability, downtime, quality and labor. Add it to the crisis risk register and collect first evidence.</v>
      </c>
      <c r="U828">
        <f>IFERROR(INDEX(_DATA_Assessment_Model!$G$5:$G$884,MATCH($E828,_DATA_Assessment_Model!$A$5:$A$884,0)),"")</f>
        <v>5</v>
      </c>
      <c r="V828">
        <f>IFERROR(INDEX(_DATA_Assessment_Model!$W$5:$W$884,MATCH($E828,_DATA_Assessment_Model!$A$5:$A$884,0)),"")</f>
        <v>5</v>
      </c>
      <c r="W828">
        <f>IFERROR(INDEX(_DATA_Assessment_Model!$X$5:$X$884,MATCH($E828,_DATA_Assessment_Model!$A$5:$A$884,0)),"")</f>
        <v>5</v>
      </c>
      <c r="X828">
        <f>IFERROR(INDEX(_DATA_Assessment_Model!$Y$5:$Y$884,MATCH($E828,_DATA_Assessment_Model!$A$5:$A$884,0)),"")</f>
        <v>5</v>
      </c>
      <c r="Y828" t="s">
        <v>2735</v>
      </c>
      <c r="Z828" t="s">
        <v>9137</v>
      </c>
      <c r="AA828" t="s">
        <v>2769</v>
      </c>
      <c r="AB828">
        <f>IFERROR(INDEX(_DATA_Assessment_Model!$U$5:$U$884,MATCH($E828,_DATA_Assessment_Model!$A$5:$A$884,0)),"")</f>
        <v>0</v>
      </c>
      <c r="AF828" t="s">
        <v>2768</v>
      </c>
      <c r="AO828">
        <f>IF($B828="Yes",IF(IFERROR(INDEX(_ENGINE_Crisis!$F$501:$F$517,MATCH($C828,_ENGINE_Crisis!$A$501:$A$517,0)),1)=0,1,IFERROR(INDEX(_ENGINE_Crisis!$F$501:$F$517,MATCH($C828,_ENGINE_Crisis!$A$501:$A$517,0)),1)),"")</f>
        <v>1</v>
      </c>
      <c r="AP828">
        <f t="shared" si="197"/>
        <v>17.2</v>
      </c>
      <c r="AQ828">
        <f t="shared" si="198"/>
        <v>1.25</v>
      </c>
      <c r="AR828" t="str">
        <f>IFERROR(INDEX(_ENGINE_Crisis!$E$41:$E$700,MATCH('Resilience &amp; Risk Scenario'!$B$6&amp;"|"&amp;$C828,_ENGINE_Crisis!$I$41:$I$700,0)),"")</f>
        <v/>
      </c>
      <c r="AS828" t="str">
        <f>IFERROR(INDEX(_ENGINE_Crisis!$G$41:$G$700,MATCH('Resilience &amp; Risk Scenario'!$B$6&amp;"|"&amp;$C828,_ENGINE_Crisis!$I$41:$I$700,0)),"")</f>
        <v/>
      </c>
      <c r="AT828" t="str">
        <f>IFERROR(INDEX(_ENGINE_Initiatives!$A$5:$A$532,MATCH(1,INDEX((_ENGINE_Initiatives!$B$5:$B$532=$C828)*(_ENGINE_Initiatives!$C$5:$C$532=$D828),0),0)),"")</f>
        <v>INI-055</v>
      </c>
      <c r="AU828" t="str">
        <f>IFERROR(INDEX(_ENGINE_Initiatives!$F$5:$F$532,MATCH(1,INDEX((_ENGINE_Initiatives!$B$5:$B$532=$C828)*(_ENGINE_Initiatives!$C$5:$C$532=$D828),0),0)),"")</f>
        <v>Integrate MES, WMS and TMS into operational continuity model</v>
      </c>
      <c r="AV828">
        <f>IFERROR(INDEX(_ENGINE_Initiatives!$AC$5:$AC$532,MATCH(1,INDEX((_ENGINE_Initiatives!$B$5:$B$532=$C828)*(_ENGINE_Initiatives!$C$5:$C$532=$D828),0),0)),"")</f>
        <v>1.36</v>
      </c>
      <c r="AW828" t="str">
        <f>IFERROR(INDEX(_ENGINE_Initiatives!$AE$5:$AE$532,MATCH(1,INDEX((_ENGINE_Initiatives!$B$5:$B$532=$C828)*(_ENGINE_Initiatives!$C$5:$C$532=$D828),0),0)),"")</f>
        <v>6-12 months</v>
      </c>
      <c r="AX828">
        <f>IF($B828="Yes",IFERROR((IF(SUMIFS(_REF_Model_Content!$E$1:$E$613,_REF_Model_Content!$A$1:$A$613,PV_Canonical_Industry,_REF_Model_Content!$B$1:$B$613,$C828)=0,1,SUMIFS(_REF_Model_Content!$E$1:$E$613,_REF_Model_Content!$A$1:$A$613,PV_Canonical_Industry,_REF_Model_Content!$B$1:$B$613,$C828))*IFERROR($BU828,1)),1),"")</f>
        <v>1</v>
      </c>
      <c r="AY828">
        <f t="shared" si="199"/>
        <v>17.2</v>
      </c>
      <c r="AZ828">
        <f t="shared" si="200"/>
        <v>1.25</v>
      </c>
      <c r="BB828" t="str">
        <f>IF($H828="","",IFERROR(INDEX(_ENGINE_Risk!$AE$5:$AE$499,MATCH($E828,_ENGINE_Risk!$A$5:$A$499,0)),"Medium"))</f>
        <v>Fast</v>
      </c>
      <c r="BC828">
        <f t="shared" si="201"/>
        <v>1.25</v>
      </c>
      <c r="BD828">
        <f t="shared" si="202"/>
        <v>1.25</v>
      </c>
      <c r="BF828">
        <f>IF(OR($H828="",$J828=""),"",IFERROR(VLOOKUP(ROUND($J828,0),_CONFIG_Model_Settings!$D$154:$E$158,2,0),""))</f>
        <v>0.5</v>
      </c>
      <c r="BG828">
        <f>IFERROR(IF(OR($H828="",$K828=""),"",ROUND('Company Profile'!$B$113*INDEX(_CONFIG_Model_Settings!$H$154:$H$158,MATCH(ROUND($K828,0),_CONFIG_Model_Settings!$G$154:$G$158,0)),0)),0)</f>
        <v>1875</v>
      </c>
      <c r="BH828">
        <f t="shared" si="203"/>
        <v>937.5</v>
      </c>
      <c r="BI828">
        <f t="shared" si="204"/>
        <v>937.5</v>
      </c>
      <c r="BJ828">
        <f>IF($E828="","",IFERROR(VLOOKUP($C828,_CONFIG_Risk_Calibration!$A$5:$H$21,2,FALSE),3))</f>
        <v>3</v>
      </c>
      <c r="BK828">
        <f>IF($E828="","",IFERROR(VLOOKUP($C828,_CONFIG_Risk_Calibration!$A$5:$H$21,3,FALSE),0))</f>
        <v>0</v>
      </c>
      <c r="BL828">
        <f>IF($E828="","",IFERROR(VLOOKUP($C828,_CONFIG_Risk_Calibration!$A$5:$H$21,4,FALSE),3))</f>
        <v>3</v>
      </c>
      <c r="BM828">
        <f>IF($E828="","",IFERROR(VLOOKUP($C828,_CONFIG_Risk_Calibration!$A$5:$H$21,5,FALSE),3))</f>
        <v>4</v>
      </c>
      <c r="BN828" t="str">
        <f>IF($E828="","",IFERROR(VLOOKUP($C828,_CONFIG_Risk_Calibration!$A$5:$H$21,6,FALSE),"No"))</f>
        <v>Yes</v>
      </c>
      <c r="BO828">
        <f>IF($E828="","",IFERROR(VLOOKUP($C828,_CONFIG_Risk_Calibration!$A$5:$H$21,7,FALSE),1))</f>
        <v>4</v>
      </c>
      <c r="BP828">
        <f>IF($H828="","",MAX(1,MIN(5,((6-$H828)*0.45)+($BJ828*0.2)+('Resilience &amp; Risk Scenario'!$B$7*0.15)+($BK828*0.1)+($BL828*0.05)+(IF($BB828="Fast",5,IF($BB828="Slow",1,3))*0.05))))</f>
        <v>3.7</v>
      </c>
      <c r="BQ828">
        <f t="shared" si="205"/>
        <v>4.6499999999999995</v>
      </c>
      <c r="BR828">
        <f t="shared" si="206"/>
        <v>17.21</v>
      </c>
      <c r="BS828">
        <f t="shared" si="207"/>
        <v>23.66</v>
      </c>
      <c r="BT828" t="str">
        <f>IFERROR(INDEX(_REF_Capability_Bridge!$D:$D,MATCH($C828&amp;"|"&amp;$D828,_REF_Capability_Bridge!$J:$J,0)),IFERROR(INDEX(_REF_Capability_Bridge!$D:$D,MATCH($C828&amp;"|",_REF_Capability_Bridge!$J:$J,0)),"CAP_GENERIC"))</f>
        <v>CAP_PLATFORM_CONTINUITY</v>
      </c>
      <c r="BU828">
        <f>IFERROR(IFERROR(INDEX(_ENGINE_Relevance!$L:$L,MATCH($BT828,_ENGINE_Relevance!$B:$B,0)),1),1)</f>
        <v>1</v>
      </c>
      <c r="BV828" t="str">
        <f>IFERROR(INDEX(_REF_Capability_Bridge!$A:$A,MATCH($C828&amp;"|"&amp;$D828,_REF_Capability_Bridge!$J:$J,0)),IFERROR(INDEX(_REF_Capability_Bridge!$A:$A,MATCH($C828&amp;"|",_REF_Capability_Bridge!$J:$J,0)),"No bridge"))</f>
        <v>BRG-006</v>
      </c>
      <c r="BW828" t="str">
        <f t="shared" si="208"/>
        <v>Capability relevance neutral</v>
      </c>
      <c r="BX828" t="str">
        <f t="shared" si="209"/>
        <v>Initial / absent</v>
      </c>
      <c r="BY828" t="str">
        <f>IF($E828="","",IFERROR(INDEX(_REF_Treatment_Library!$A$2:$A$296,MATCH(1,INDEX((_REF_Treatment_Library!$B$2:$B$296=$BT828)*(_REF_Treatment_Library!$C$2:$C$296=PV_Canonical_Industry)*(_REF_Treatment_Library!$E$2:$E$296&lt;=N($H828))*(_REF_Treatment_Library!$F$2:$F$296&gt;=N($H828))*(_REF_Treatment_Library!$O$2:$O$296="Yes"),0),0)),IFERROR(INDEX(_REF_Treatment_Library!$A$2:$A$296,MATCH(1,INDEX((_REF_Treatment_Library!$B$2:$B$296=$BT828)*(_REF_Treatment_Library!$C$2:$C$296="All")*(_REF_Treatment_Library!$E$2:$E$296&lt;=N($H828))*(_REF_Treatment_Library!$F$2:$F$296&gt;=N($H828))*(_REF_Treatment_Library!$O$2:$O$296="Yes"),0),0)),"")))</f>
        <v>TRT-PLATFORM_CONTINUITY-INITIAL</v>
      </c>
      <c r="BZ828" t="str">
        <f>IF($BY828="","",IFERROR(INDEX(_REF_Treatment_Library!$H$2:$H$296,MATCH($BY828,_REF_Treatment_Library!$A$2:$A$296,0)),""))</f>
        <v>Establish</v>
      </c>
      <c r="CA828" t="str">
        <f>IF($BY828="","",IFERROR(INDEX(_REF_Treatment_Library!$I$2:$I$296,MATCH($BY828,_REF_Treatment_Library!$A$2:$A$296,0)),""))</f>
        <v>Establish baseline controls for Platform continuity</v>
      </c>
      <c r="CB828" t="str">
        <f>IF($BY828="","",IFERROR(INDEX(_REF_Treatment_Library!$K$2:$K$296,MATCH($BY828,_REF_Treatment_Library!$A$2:$A$296,0)),""))</f>
        <v>Named owner, baseline process, minimum control checklist, first evidence package</v>
      </c>
      <c r="CC828" t="str">
        <f>IF($BY828="","",IFERROR(INDEX(_REF_Treatment_Library!$L$2:$L$296,MATCH($BY828,_REF_Treatment_Library!$A$2:$A$296,0)),""))</f>
        <v>Owner assigned; baseline evidence coverage; open critical gaps</v>
      </c>
      <c r="CD828" t="str">
        <f t="shared" si="210"/>
        <v>Treatment by capability=CAP_PLATFORM_CONTINUITY; band=Initial / absent; score=0.0; treatment=Establish</v>
      </c>
      <c r="CE828" t="str">
        <f>IF($E828="","",IFERROR(INDEX(_REF_Industry_Wording!$A$2:$A$70,MATCH(1,INDEX((_REF_Industry_Wording!$B$2:$B$70=$BT828)*(_REF_Industry_Wording!$C$2:$C$70=PV_Canonical_Industry)*(_REF_Industry_Wording!$K$2:$K$70="Yes"),0),0)),IFERROR(INDEX(_REF_Industry_Wording!$A$2:$A$70,MATCH(1,INDEX((_REF_Industry_Wording!$B$2:$B$70=$BT828)*(_REF_Industry_Wording!$C$2:$C$70="All")*(_REF_Industry_Wording!$K$2:$K$70="Yes"),0),0)),"")))</f>
        <v>IW-ALL-PLATFORM_CONTINUITY</v>
      </c>
      <c r="CF828" t="str">
        <f>IF($CE828="","",IFERROR(INDEX(_REF_Industry_Wording!$E$2:$E$70,MATCH($CE828,_REF_Industry_Wording!$A$2:$A$70,0)),""))</f>
        <v>Platform continuity weakness</v>
      </c>
      <c r="CG828" t="str">
        <f>IF($CE828="","",IFERROR(INDEX(_REF_Industry_Wording!$F$2:$F$70,MATCH($CE828,_REF_Industry_Wording!$A$2:$A$70,0)),""))</f>
        <v>Strengthen Platform continuity</v>
      </c>
      <c r="CH828" t="str">
        <f>IF($CE828="","",IFERROR(INDEX(_REF_Industry_Wording!$G$2:$G$70,MATCH($CE828,_REF_Industry_Wording!$A$2:$A$70,0)),""))</f>
        <v>Strengthen Platform continuity using the selected maturity treatment, crisis scenario and evidence requirements.</v>
      </c>
      <c r="CI828" t="str">
        <f>IF($CE828="","",IFERROR(INDEX(_REF_Industry_Wording!$H$2:$H$70,MATCH($CE828,_REF_Industry_Wording!$A$2:$A$70,0)),""))</f>
        <v>Platform continuity</v>
      </c>
      <c r="CJ828">
        <f>IF($CE828="","",IFERROR(INDEX(_REF_Industry_Wording!$I$2:$I$70,MATCH($CE828,_REF_Industry_Wording!$A$2:$A$70,0)),""))</f>
        <v>0</v>
      </c>
      <c r="CK828" t="str">
        <f>IF($CE828="","",IFERROR(INDEX(_REF_Industry_Wording!$J$2:$J$70,MATCH($CE828,_REF_Industry_Wording!$A$2:$A$70,0)),""))</f>
        <v>Platform continuity</v>
      </c>
      <c r="CL828" t="str">
        <f t="shared" si="211"/>
        <v>Wording by industry=0; capability=CAP_PLATFORM_CONTINUITY; risk label=Platform continuity weakness</v>
      </c>
      <c r="CM828" t="str">
        <f t="shared" si="212"/>
        <v>RISK-ONT-0329</v>
      </c>
      <c r="CN828" t="str">
        <f t="shared" si="213"/>
        <v>RISK-EVT-0329</v>
      </c>
      <c r="CO828" t="str">
        <f t="shared" si="214"/>
        <v>Business Systems|MES WMS TMS|BUSI-010|CAP_PLATFORM_CONTINUITY</v>
      </c>
      <c r="CP828" t="str">
        <f t="shared" si="215"/>
        <v>Active</v>
      </c>
      <c r="CQ828" t="str">
        <f t="shared" si="216"/>
        <v>OK: capability-driven</v>
      </c>
      <c r="CR828" t="str">
        <f t="shared" si="217"/>
        <v>Risk ontology uses capability=CAP_PLATFORM_CONTINUITY; bridge=BRG-006; treatment=TRT-PLATFORM_CONTINUITY-INITIAL; wording=IW-ALL-PLATFORM_CONTINUITY</v>
      </c>
      <c r="CS828" t="str">
        <f t="shared" si="218"/>
        <v>Yes</v>
      </c>
    </row>
    <row r="829" spans="1:97" ht="69.900000000000006" customHeight="1">
      <c r="A829">
        <f>IF(OR($B829&lt;&gt;"Yes",$BS829=""),"",SUMPRODUCT(($B$500:$B$923="Yes")*ISNUMBER($BS$500:$BS$923)*($BS$500:$BS$923&gt;$BS829))+COUNTIFS($B$500:$B829,"Yes",$BS$500:$BS829,$BS829))</f>
        <v>71</v>
      </c>
      <c r="B829" t="str">
        <f t="shared" si="187"/>
        <v>Yes</v>
      </c>
      <c r="C829" t="s">
        <v>2729</v>
      </c>
      <c r="D829" t="s">
        <v>2743</v>
      </c>
      <c r="E829" t="s">
        <v>2770</v>
      </c>
      <c r="F829" t="s">
        <v>4377</v>
      </c>
      <c r="G829" t="str">
        <f>IF($H829="","",IFERROR(INDEX(_ENGINE_Risk!$H$5:$M$499,MATCH($E829,_ENGINE_Risk!$A$5:$A$499,0),$H829+1),""))</f>
        <v>Severe risk: MES-ERP integration for orders, inventory consumption, output and quality data is not reliably controlled. During IT outage; Decision failure; Process disruption, the organization may face ERP, CRM, MES or HRMS disruption, broken integrations and manual workarounds that fail under stress with limited visibility or accountability.</v>
      </c>
      <c r="H829">
        <f>IFERROR(VALUE(INDEX(_DATA_Assessment_Model!$H$5:$H$884,MATCH($E829,_DATA_Assessment_Model!$A$5:$A$884,0))),"")</f>
        <v>0</v>
      </c>
      <c r="I829" t="str">
        <f>IF($H829="","",IFERROR(INDEX(_DATA_Assessment_Model!$L$5:$L$884,MATCH($E829,_DATA_Assessment_Model!$A$5:$A$884,0)),IF($H829&lt;=1,"Critical",IF($H829=2,"High",IF($H829=3,"Medium",IF($H829=4,"Low","Resilient"))))))</f>
        <v>Critical</v>
      </c>
      <c r="J829">
        <f t="shared" si="188"/>
        <v>3.7</v>
      </c>
      <c r="K829">
        <f t="shared" si="189"/>
        <v>4.6499999999999995</v>
      </c>
      <c r="L829">
        <f t="shared" si="190"/>
        <v>17.204999999999998</v>
      </c>
      <c r="M829">
        <f t="shared" si="191"/>
        <v>4</v>
      </c>
      <c r="N829">
        <f>IF($H829="","",IFERROR(INDEX(_ENGINE_Risk!$T$5:$Y$499,MATCH($E829,_ENGINE_Risk!$A$5:$A$499,0),$H829+1),""))</f>
        <v>4</v>
      </c>
      <c r="O829">
        <f t="shared" si="192"/>
        <v>5</v>
      </c>
      <c r="P829">
        <f t="shared" si="193"/>
        <v>5</v>
      </c>
      <c r="Q829">
        <f t="shared" si="194"/>
        <v>5</v>
      </c>
      <c r="R829">
        <f t="shared" si="195"/>
        <v>5</v>
      </c>
      <c r="S829">
        <f t="shared" si="196"/>
        <v>1.25</v>
      </c>
      <c r="T829" t="str">
        <f>IF($H829="","",IFERROR(INDEX(_ENGINE_Risk!$N$5:$S$499,MATCH($E829,_ENGINE_Risk!$A$5:$A$499,0),$H829+1),""))</f>
        <v>Create an immediate risk owner, minimum control baseline and fallback procedure for MES-ERP integration for orders, inventory consumption, output and quality data. Add it to the crisis risk register and collect first evidence.</v>
      </c>
      <c r="U829">
        <f>IFERROR(INDEX(_DATA_Assessment_Model!$G$5:$G$884,MATCH($E829,_DATA_Assessment_Model!$A$5:$A$884,0)),"")</f>
        <v>5</v>
      </c>
      <c r="V829">
        <f>IFERROR(INDEX(_DATA_Assessment_Model!$W$5:$W$884,MATCH($E829,_DATA_Assessment_Model!$A$5:$A$884,0)),"")</f>
        <v>5</v>
      </c>
      <c r="W829">
        <f>IFERROR(INDEX(_DATA_Assessment_Model!$X$5:$X$884,MATCH($E829,_DATA_Assessment_Model!$A$5:$A$884,0)),"")</f>
        <v>5</v>
      </c>
      <c r="X829">
        <f>IFERROR(INDEX(_DATA_Assessment_Model!$Y$5:$Y$884,MATCH($E829,_DATA_Assessment_Model!$A$5:$A$884,0)),"")</f>
        <v>5</v>
      </c>
      <c r="Y829" t="s">
        <v>2735</v>
      </c>
      <c r="Z829" t="s">
        <v>9137</v>
      </c>
      <c r="AA829" t="s">
        <v>2772</v>
      </c>
      <c r="AB829">
        <f>IFERROR(INDEX(_DATA_Assessment_Model!$U$5:$U$884,MATCH($E829,_DATA_Assessment_Model!$A$5:$A$884,0)),"")</f>
        <v>0</v>
      </c>
      <c r="AF829" t="s">
        <v>2771</v>
      </c>
      <c r="AO829">
        <f>IF($B829="Yes",IF(IFERROR(INDEX(_ENGINE_Crisis!$F$501:$F$517,MATCH($C829,_ENGINE_Crisis!$A$501:$A$517,0)),1)=0,1,IFERROR(INDEX(_ENGINE_Crisis!$F$501:$F$517,MATCH($C829,_ENGINE_Crisis!$A$501:$A$517,0)),1)),"")</f>
        <v>1</v>
      </c>
      <c r="AP829">
        <f t="shared" si="197"/>
        <v>17.2</v>
      </c>
      <c r="AQ829">
        <f t="shared" si="198"/>
        <v>1.25</v>
      </c>
      <c r="AR829" t="str">
        <f>IFERROR(INDEX(_ENGINE_Crisis!$E$41:$E$700,MATCH('Resilience &amp; Risk Scenario'!$B$6&amp;"|"&amp;$C829,_ENGINE_Crisis!$I$41:$I$700,0)),"")</f>
        <v/>
      </c>
      <c r="AS829" t="str">
        <f>IFERROR(INDEX(_ENGINE_Crisis!$G$41:$G$700,MATCH('Resilience &amp; Risk Scenario'!$B$6&amp;"|"&amp;$C829,_ENGINE_Crisis!$I$41:$I$700,0)),"")</f>
        <v/>
      </c>
      <c r="AT829" t="str">
        <f>IFERROR(INDEX(_ENGINE_Initiatives!$A$5:$A$532,MATCH(1,INDEX((_ENGINE_Initiatives!$B$5:$B$532=$C829)*(_ENGINE_Initiatives!$C$5:$C$532=$D829),0),0)),"")</f>
        <v>INI-055</v>
      </c>
      <c r="AU829" t="str">
        <f>IFERROR(INDEX(_ENGINE_Initiatives!$F$5:$F$532,MATCH(1,INDEX((_ENGINE_Initiatives!$B$5:$B$532=$C829)*(_ENGINE_Initiatives!$C$5:$C$532=$D829),0),0)),"")</f>
        <v>Integrate MES, WMS and TMS into operational continuity model</v>
      </c>
      <c r="AV829">
        <f>IFERROR(INDEX(_ENGINE_Initiatives!$AC$5:$AC$532,MATCH(1,INDEX((_ENGINE_Initiatives!$B$5:$B$532=$C829)*(_ENGINE_Initiatives!$C$5:$C$532=$D829),0),0)),"")</f>
        <v>1.36</v>
      </c>
      <c r="AW829" t="str">
        <f>IFERROR(INDEX(_ENGINE_Initiatives!$AE$5:$AE$532,MATCH(1,INDEX((_ENGINE_Initiatives!$B$5:$B$532=$C829)*(_ENGINE_Initiatives!$C$5:$C$532=$D829),0),0)),"")</f>
        <v>6-12 months</v>
      </c>
      <c r="AX829">
        <f>IF($B829="Yes",IFERROR((IF(SUMIFS(_REF_Model_Content!$E$1:$E$613,_REF_Model_Content!$A$1:$A$613,PV_Canonical_Industry,_REF_Model_Content!$B$1:$B$613,$C829)=0,1,SUMIFS(_REF_Model_Content!$E$1:$E$613,_REF_Model_Content!$A$1:$A$613,PV_Canonical_Industry,_REF_Model_Content!$B$1:$B$613,$C829))*IFERROR($BU829,1)),1),"")</f>
        <v>1</v>
      </c>
      <c r="AY829">
        <f t="shared" si="199"/>
        <v>17.2</v>
      </c>
      <c r="AZ829">
        <f t="shared" si="200"/>
        <v>1.25</v>
      </c>
      <c r="BB829" t="str">
        <f>IF($H829="","",IFERROR(INDEX(_ENGINE_Risk!$AE$5:$AE$499,MATCH($E829,_ENGINE_Risk!$A$5:$A$499,0)),"Medium"))</f>
        <v>Fast</v>
      </c>
      <c r="BC829">
        <f t="shared" si="201"/>
        <v>1.25</v>
      </c>
      <c r="BD829">
        <f t="shared" si="202"/>
        <v>1.25</v>
      </c>
      <c r="BF829">
        <f>IF(OR($H829="",$J829=""),"",IFERROR(VLOOKUP(ROUND($J829,0),_CONFIG_Model_Settings!$D$154:$E$158,2,0),""))</f>
        <v>0.5</v>
      </c>
      <c r="BG829">
        <f>IFERROR(IF(OR($H829="",$K829=""),"",ROUND('Company Profile'!$B$113*INDEX(_CONFIG_Model_Settings!$H$154:$H$158,MATCH(ROUND($K829,0),_CONFIG_Model_Settings!$G$154:$G$158,0)),0)),0)</f>
        <v>1875</v>
      </c>
      <c r="BH829">
        <f t="shared" si="203"/>
        <v>937.5</v>
      </c>
      <c r="BI829">
        <f t="shared" si="204"/>
        <v>937.5</v>
      </c>
      <c r="BJ829">
        <f>IF($E829="","",IFERROR(VLOOKUP($C829,_CONFIG_Risk_Calibration!$A$5:$H$21,2,FALSE),3))</f>
        <v>3</v>
      </c>
      <c r="BK829">
        <f>IF($E829="","",IFERROR(VLOOKUP($C829,_CONFIG_Risk_Calibration!$A$5:$H$21,3,FALSE),0))</f>
        <v>0</v>
      </c>
      <c r="BL829">
        <f>IF($E829="","",IFERROR(VLOOKUP($C829,_CONFIG_Risk_Calibration!$A$5:$H$21,4,FALSE),3))</f>
        <v>3</v>
      </c>
      <c r="BM829">
        <f>IF($E829="","",IFERROR(VLOOKUP($C829,_CONFIG_Risk_Calibration!$A$5:$H$21,5,FALSE),3))</f>
        <v>4</v>
      </c>
      <c r="BN829" t="str">
        <f>IF($E829="","",IFERROR(VLOOKUP($C829,_CONFIG_Risk_Calibration!$A$5:$H$21,6,FALSE),"No"))</f>
        <v>Yes</v>
      </c>
      <c r="BO829">
        <f>IF($E829="","",IFERROR(VLOOKUP($C829,_CONFIG_Risk_Calibration!$A$5:$H$21,7,FALSE),1))</f>
        <v>4</v>
      </c>
      <c r="BP829">
        <f>IF($H829="","",MAX(1,MIN(5,((6-$H829)*0.45)+($BJ829*0.2)+('Resilience &amp; Risk Scenario'!$B$7*0.15)+($BK829*0.1)+($BL829*0.05)+(IF($BB829="Fast",5,IF($BB829="Slow",1,3))*0.05))))</f>
        <v>3.7</v>
      </c>
      <c r="BQ829">
        <f t="shared" si="205"/>
        <v>4.6499999999999995</v>
      </c>
      <c r="BR829">
        <f t="shared" si="206"/>
        <v>17.21</v>
      </c>
      <c r="BS829">
        <f t="shared" si="207"/>
        <v>23.66</v>
      </c>
      <c r="BT829" t="str">
        <f>IFERROR(INDEX(_REF_Capability_Bridge!$D:$D,MATCH($C829&amp;"|"&amp;$D829,_REF_Capability_Bridge!$J:$J,0)),IFERROR(INDEX(_REF_Capability_Bridge!$D:$D,MATCH($C829&amp;"|",_REF_Capability_Bridge!$J:$J,0)),"CAP_GENERIC"))</f>
        <v>CAP_PLATFORM_CONTINUITY</v>
      </c>
      <c r="BU829">
        <f>IFERROR(IFERROR(INDEX(_ENGINE_Relevance!$L:$L,MATCH($BT829,_ENGINE_Relevance!$B:$B,0)),1),1)</f>
        <v>1</v>
      </c>
      <c r="BV829" t="str">
        <f>IFERROR(INDEX(_REF_Capability_Bridge!$A:$A,MATCH($C829&amp;"|"&amp;$D829,_REF_Capability_Bridge!$J:$J,0)),IFERROR(INDEX(_REF_Capability_Bridge!$A:$A,MATCH($C829&amp;"|",_REF_Capability_Bridge!$J:$J,0)),"No bridge"))</f>
        <v>BRG-006</v>
      </c>
      <c r="BW829" t="str">
        <f t="shared" si="208"/>
        <v>Capability relevance neutral</v>
      </c>
      <c r="BX829" t="str">
        <f t="shared" si="209"/>
        <v>Initial / absent</v>
      </c>
      <c r="BY829" t="str">
        <f>IF($E829="","",IFERROR(INDEX(_REF_Treatment_Library!$A$2:$A$296,MATCH(1,INDEX((_REF_Treatment_Library!$B$2:$B$296=$BT829)*(_REF_Treatment_Library!$C$2:$C$296=PV_Canonical_Industry)*(_REF_Treatment_Library!$E$2:$E$296&lt;=N($H829))*(_REF_Treatment_Library!$F$2:$F$296&gt;=N($H829))*(_REF_Treatment_Library!$O$2:$O$296="Yes"),0),0)),IFERROR(INDEX(_REF_Treatment_Library!$A$2:$A$296,MATCH(1,INDEX((_REF_Treatment_Library!$B$2:$B$296=$BT829)*(_REF_Treatment_Library!$C$2:$C$296="All")*(_REF_Treatment_Library!$E$2:$E$296&lt;=N($H829))*(_REF_Treatment_Library!$F$2:$F$296&gt;=N($H829))*(_REF_Treatment_Library!$O$2:$O$296="Yes"),0),0)),"")))</f>
        <v>TRT-PLATFORM_CONTINUITY-INITIAL</v>
      </c>
      <c r="BZ829" t="str">
        <f>IF($BY829="","",IFERROR(INDEX(_REF_Treatment_Library!$H$2:$H$296,MATCH($BY829,_REF_Treatment_Library!$A$2:$A$296,0)),""))</f>
        <v>Establish</v>
      </c>
      <c r="CA829" t="str">
        <f>IF($BY829="","",IFERROR(INDEX(_REF_Treatment_Library!$I$2:$I$296,MATCH($BY829,_REF_Treatment_Library!$A$2:$A$296,0)),""))</f>
        <v>Establish baseline controls for Platform continuity</v>
      </c>
      <c r="CB829" t="str">
        <f>IF($BY829="","",IFERROR(INDEX(_REF_Treatment_Library!$K$2:$K$296,MATCH($BY829,_REF_Treatment_Library!$A$2:$A$296,0)),""))</f>
        <v>Named owner, baseline process, minimum control checklist, first evidence package</v>
      </c>
      <c r="CC829" t="str">
        <f>IF($BY829="","",IFERROR(INDEX(_REF_Treatment_Library!$L$2:$L$296,MATCH($BY829,_REF_Treatment_Library!$A$2:$A$296,0)),""))</f>
        <v>Owner assigned; baseline evidence coverage; open critical gaps</v>
      </c>
      <c r="CD829" t="str">
        <f t="shared" si="210"/>
        <v>Treatment by capability=CAP_PLATFORM_CONTINUITY; band=Initial / absent; score=0.0; treatment=Establish</v>
      </c>
      <c r="CE829" t="str">
        <f>IF($E829="","",IFERROR(INDEX(_REF_Industry_Wording!$A$2:$A$70,MATCH(1,INDEX((_REF_Industry_Wording!$B$2:$B$70=$BT829)*(_REF_Industry_Wording!$C$2:$C$70=PV_Canonical_Industry)*(_REF_Industry_Wording!$K$2:$K$70="Yes"),0),0)),IFERROR(INDEX(_REF_Industry_Wording!$A$2:$A$70,MATCH(1,INDEX((_REF_Industry_Wording!$B$2:$B$70=$BT829)*(_REF_Industry_Wording!$C$2:$C$70="All")*(_REF_Industry_Wording!$K$2:$K$70="Yes"),0),0)),"")))</f>
        <v>IW-ALL-PLATFORM_CONTINUITY</v>
      </c>
      <c r="CF829" t="str">
        <f>IF($CE829="","",IFERROR(INDEX(_REF_Industry_Wording!$E$2:$E$70,MATCH($CE829,_REF_Industry_Wording!$A$2:$A$70,0)),""))</f>
        <v>Platform continuity weakness</v>
      </c>
      <c r="CG829" t="str">
        <f>IF($CE829="","",IFERROR(INDEX(_REF_Industry_Wording!$F$2:$F$70,MATCH($CE829,_REF_Industry_Wording!$A$2:$A$70,0)),""))</f>
        <v>Strengthen Platform continuity</v>
      </c>
      <c r="CH829" t="str">
        <f>IF($CE829="","",IFERROR(INDEX(_REF_Industry_Wording!$G$2:$G$70,MATCH($CE829,_REF_Industry_Wording!$A$2:$A$70,0)),""))</f>
        <v>Strengthen Platform continuity using the selected maturity treatment, crisis scenario and evidence requirements.</v>
      </c>
      <c r="CI829" t="str">
        <f>IF($CE829="","",IFERROR(INDEX(_REF_Industry_Wording!$H$2:$H$70,MATCH($CE829,_REF_Industry_Wording!$A$2:$A$70,0)),""))</f>
        <v>Platform continuity</v>
      </c>
      <c r="CJ829">
        <f>IF($CE829="","",IFERROR(INDEX(_REF_Industry_Wording!$I$2:$I$70,MATCH($CE829,_REF_Industry_Wording!$A$2:$A$70,0)),""))</f>
        <v>0</v>
      </c>
      <c r="CK829" t="str">
        <f>IF($CE829="","",IFERROR(INDEX(_REF_Industry_Wording!$J$2:$J$70,MATCH($CE829,_REF_Industry_Wording!$A$2:$A$70,0)),""))</f>
        <v>Platform continuity</v>
      </c>
      <c r="CL829" t="str">
        <f t="shared" si="211"/>
        <v>Wording by industry=0; capability=CAP_PLATFORM_CONTINUITY; risk label=Platform continuity weakness</v>
      </c>
      <c r="CM829" t="str">
        <f t="shared" si="212"/>
        <v>RISK-ONT-0330</v>
      </c>
      <c r="CN829" t="str">
        <f t="shared" si="213"/>
        <v>RISK-EVT-0330</v>
      </c>
      <c r="CO829" t="str">
        <f t="shared" si="214"/>
        <v>Business Systems|MES WMS TMS|BUSI-011|CAP_PLATFORM_CONTINUITY</v>
      </c>
      <c r="CP829" t="str">
        <f t="shared" si="215"/>
        <v>Active</v>
      </c>
      <c r="CQ829" t="str">
        <f t="shared" si="216"/>
        <v>OK: capability-driven</v>
      </c>
      <c r="CR829" t="str">
        <f t="shared" si="217"/>
        <v>Risk ontology uses capability=CAP_PLATFORM_CONTINUITY; bridge=BRG-006; treatment=TRT-PLATFORM_CONTINUITY-INITIAL; wording=IW-ALL-PLATFORM_CONTINUITY</v>
      </c>
      <c r="CS829" t="str">
        <f t="shared" si="218"/>
        <v>Yes</v>
      </c>
    </row>
    <row r="830" spans="1:97" ht="69.900000000000006" customHeight="1">
      <c r="A830">
        <f>IF(OR($B830&lt;&gt;"Yes",$BS830=""),"",SUMPRODUCT(($B$500:$B$923="Yes")*ISNUMBER($BS$500:$BS$923)*($BS$500:$BS$923&gt;$BS830))+COUNTIFS($B$500:$B830,"Yes",$BS$500:$BS830,$BS830))</f>
        <v>95</v>
      </c>
      <c r="B830" t="str">
        <f t="shared" si="187"/>
        <v>Yes</v>
      </c>
      <c r="C830" t="s">
        <v>2729</v>
      </c>
      <c r="D830" t="s">
        <v>2743</v>
      </c>
      <c r="E830" t="s">
        <v>2773</v>
      </c>
      <c r="F830" t="s">
        <v>4377</v>
      </c>
      <c r="G830" t="str">
        <f>IF($H830="","",IFERROR(INDEX(_ENGINE_Risk!$H$5:$M$499,MATCH($E830,_ENGINE_Risk!$A$5:$A$499,0),$H830+1),""))</f>
        <v>Severe risk: WMS support for inventory movement, location, status, batch, picking, packing and cycle counts is not reliably controlled. During IT outage; Decision failure; Process disruption, the organization may face ERP, CRM, MES or HRMS disruption, broken integrations and manual workarounds that fail under stress with limited visibility or accountability.</v>
      </c>
      <c r="H830">
        <f>IFERROR(VALUE(INDEX(_DATA_Assessment_Model!$H$5:$H$884,MATCH($E830,_DATA_Assessment_Model!$A$5:$A$884,0))),"")</f>
        <v>0</v>
      </c>
      <c r="I830" t="str">
        <f>IF($H830="","",IFERROR(INDEX(_DATA_Assessment_Model!$L$5:$L$884,MATCH($E830,_DATA_Assessment_Model!$A$5:$A$884,0)),IF($H830&lt;=1,"Critical",IF($H830=2,"High",IF($H830=3,"Medium",IF($H830=4,"Low","Resilient"))))))</f>
        <v>Critical</v>
      </c>
      <c r="J830">
        <f t="shared" si="188"/>
        <v>3.7</v>
      </c>
      <c r="K830">
        <f t="shared" si="189"/>
        <v>4.4499999999999993</v>
      </c>
      <c r="L830">
        <f t="shared" si="190"/>
        <v>16.465</v>
      </c>
      <c r="M830">
        <f t="shared" si="191"/>
        <v>4</v>
      </c>
      <c r="N830">
        <f>IF($H830="","",IFERROR(INDEX(_ENGINE_Risk!$T$5:$Y$499,MATCH($E830,_ENGINE_Risk!$A$5:$A$499,0),$H830+1),""))</f>
        <v>4</v>
      </c>
      <c r="O830">
        <f t="shared" si="192"/>
        <v>4.666666666666667</v>
      </c>
      <c r="P830">
        <f t="shared" si="193"/>
        <v>5</v>
      </c>
      <c r="Q830">
        <f t="shared" si="194"/>
        <v>5</v>
      </c>
      <c r="R830">
        <f t="shared" si="195"/>
        <v>5</v>
      </c>
      <c r="S830">
        <f t="shared" si="196"/>
        <v>1.23</v>
      </c>
      <c r="T830" t="str">
        <f>IF($H830="","",IFERROR(INDEX(_ENGINE_Risk!$N$5:$S$499,MATCH($E830,_ENGINE_Risk!$A$5:$A$499,0),$H830+1),""))</f>
        <v>Create an immediate risk owner, minimum control baseline and fallback procedure for WMS support for inventory movement, location, status, batch, picking, packing and cycle counts. Add it to the crisis risk register and collect first evidence.</v>
      </c>
      <c r="U830">
        <f>IFERROR(INDEX(_DATA_Assessment_Model!$G$5:$G$884,MATCH($E830,_DATA_Assessment_Model!$A$5:$A$884,0)),"")</f>
        <v>4</v>
      </c>
      <c r="V830">
        <f>IFERROR(INDEX(_DATA_Assessment_Model!$W$5:$W$884,MATCH($E830,_DATA_Assessment_Model!$A$5:$A$884,0)),"")</f>
        <v>5</v>
      </c>
      <c r="W830">
        <f>IFERROR(INDEX(_DATA_Assessment_Model!$X$5:$X$884,MATCH($E830,_DATA_Assessment_Model!$A$5:$A$884,0)),"")</f>
        <v>5</v>
      </c>
      <c r="X830">
        <f>IFERROR(INDEX(_DATA_Assessment_Model!$Y$5:$Y$884,MATCH($E830,_DATA_Assessment_Model!$A$5:$A$884,0)),"")</f>
        <v>5</v>
      </c>
      <c r="Y830" t="s">
        <v>2735</v>
      </c>
      <c r="Z830" t="s">
        <v>9137</v>
      </c>
      <c r="AA830" t="s">
        <v>2775</v>
      </c>
      <c r="AB830">
        <f>IFERROR(INDEX(_DATA_Assessment_Model!$U$5:$U$884,MATCH($E830,_DATA_Assessment_Model!$A$5:$A$884,0)),"")</f>
        <v>0</v>
      </c>
      <c r="AF830" t="s">
        <v>2774</v>
      </c>
      <c r="AO830">
        <f>IF($B830="Yes",IF(IFERROR(INDEX(_ENGINE_Crisis!$F$501:$F$517,MATCH($C830,_ENGINE_Crisis!$A$501:$A$517,0)),1)=0,1,IFERROR(INDEX(_ENGINE_Crisis!$F$501:$F$517,MATCH($C830,_ENGINE_Crisis!$A$501:$A$517,0)),1)),"")</f>
        <v>1</v>
      </c>
      <c r="AP830">
        <f t="shared" si="197"/>
        <v>16.5</v>
      </c>
      <c r="AQ830">
        <f t="shared" si="198"/>
        <v>1.23</v>
      </c>
      <c r="AR830" t="str">
        <f>IFERROR(INDEX(_ENGINE_Crisis!$E$41:$E$700,MATCH('Resilience &amp; Risk Scenario'!$B$6&amp;"|"&amp;$C830,_ENGINE_Crisis!$I$41:$I$700,0)),"")</f>
        <v/>
      </c>
      <c r="AS830" t="str">
        <f>IFERROR(INDEX(_ENGINE_Crisis!$G$41:$G$700,MATCH('Resilience &amp; Risk Scenario'!$B$6&amp;"|"&amp;$C830,_ENGINE_Crisis!$I$41:$I$700,0)),"")</f>
        <v/>
      </c>
      <c r="AT830" t="str">
        <f>IFERROR(INDEX(_ENGINE_Initiatives!$A$5:$A$532,MATCH(1,INDEX((_ENGINE_Initiatives!$B$5:$B$532=$C830)*(_ENGINE_Initiatives!$C$5:$C$532=$D830),0),0)),"")</f>
        <v>INI-055</v>
      </c>
      <c r="AU830" t="str">
        <f>IFERROR(INDEX(_ENGINE_Initiatives!$F$5:$F$532,MATCH(1,INDEX((_ENGINE_Initiatives!$B$5:$B$532=$C830)*(_ENGINE_Initiatives!$C$5:$C$532=$D830),0),0)),"")</f>
        <v>Integrate MES, WMS and TMS into operational continuity model</v>
      </c>
      <c r="AV830">
        <f>IFERROR(INDEX(_ENGINE_Initiatives!$AC$5:$AC$532,MATCH(1,INDEX((_ENGINE_Initiatives!$B$5:$B$532=$C830)*(_ENGINE_Initiatives!$C$5:$C$532=$D830),0),0)),"")</f>
        <v>1.36</v>
      </c>
      <c r="AW830" t="str">
        <f>IFERROR(INDEX(_ENGINE_Initiatives!$AE$5:$AE$532,MATCH(1,INDEX((_ENGINE_Initiatives!$B$5:$B$532=$C830)*(_ENGINE_Initiatives!$C$5:$C$532=$D830),0),0)),"")</f>
        <v>6-12 months</v>
      </c>
      <c r="AX830">
        <f>IF($B830="Yes",IFERROR((IF(SUMIFS(_REF_Model_Content!$E$1:$E$613,_REF_Model_Content!$A$1:$A$613,PV_Canonical_Industry,_REF_Model_Content!$B$1:$B$613,$C830)=0,1,SUMIFS(_REF_Model_Content!$E$1:$E$613,_REF_Model_Content!$A$1:$A$613,PV_Canonical_Industry,_REF_Model_Content!$B$1:$B$613,$C830))*IFERROR($BU830,1)),1),"")</f>
        <v>1</v>
      </c>
      <c r="AY830">
        <f t="shared" si="199"/>
        <v>16.5</v>
      </c>
      <c r="AZ830">
        <f t="shared" si="200"/>
        <v>1.23</v>
      </c>
      <c r="BB830" t="str">
        <f>IF($H830="","",IFERROR(INDEX(_ENGINE_Risk!$AE$5:$AE$499,MATCH($E830,_ENGINE_Risk!$A$5:$A$499,0)),"Medium"))</f>
        <v>Fast</v>
      </c>
      <c r="BC830">
        <f t="shared" si="201"/>
        <v>1.25</v>
      </c>
      <c r="BD830">
        <f t="shared" si="202"/>
        <v>1.23</v>
      </c>
      <c r="BF830">
        <f>IF(OR($H830="",$J830=""),"",IFERROR(VLOOKUP(ROUND($J830,0),_CONFIG_Model_Settings!$D$154:$E$158,2,0),""))</f>
        <v>0.5</v>
      </c>
      <c r="BG830">
        <f>IFERROR(IF(OR($H830="",$K830=""),"",ROUND('Company Profile'!$B$113*INDEX(_CONFIG_Model_Settings!$H$154:$H$158,MATCH(ROUND($K830,0),_CONFIG_Model_Settings!$G$154:$G$158,0)),0)),0)</f>
        <v>875</v>
      </c>
      <c r="BH830">
        <f t="shared" si="203"/>
        <v>437.5</v>
      </c>
      <c r="BI830">
        <f t="shared" si="204"/>
        <v>437.5</v>
      </c>
      <c r="BJ830">
        <f>IF($E830="","",IFERROR(VLOOKUP($C830,_CONFIG_Risk_Calibration!$A$5:$H$21,2,FALSE),3))</f>
        <v>3</v>
      </c>
      <c r="BK830">
        <f>IF($E830="","",IFERROR(VLOOKUP($C830,_CONFIG_Risk_Calibration!$A$5:$H$21,3,FALSE),0))</f>
        <v>0</v>
      </c>
      <c r="BL830">
        <f>IF($E830="","",IFERROR(VLOOKUP($C830,_CONFIG_Risk_Calibration!$A$5:$H$21,4,FALSE),3))</f>
        <v>3</v>
      </c>
      <c r="BM830">
        <f>IF($E830="","",IFERROR(VLOOKUP($C830,_CONFIG_Risk_Calibration!$A$5:$H$21,5,FALSE),3))</f>
        <v>4</v>
      </c>
      <c r="BN830" t="str">
        <f>IF($E830="","",IFERROR(VLOOKUP($C830,_CONFIG_Risk_Calibration!$A$5:$H$21,6,FALSE),"No"))</f>
        <v>Yes</v>
      </c>
      <c r="BO830">
        <f>IF($E830="","",IFERROR(VLOOKUP($C830,_CONFIG_Risk_Calibration!$A$5:$H$21,7,FALSE),1))</f>
        <v>4</v>
      </c>
      <c r="BP830">
        <f>IF($H830="","",MAX(1,MIN(5,((6-$H830)*0.45)+($BJ830*0.2)+('Resilience &amp; Risk Scenario'!$B$7*0.15)+($BK830*0.1)+($BL830*0.05)+(IF($BB830="Fast",5,IF($BB830="Slow",1,3))*0.05))))</f>
        <v>3.7</v>
      </c>
      <c r="BQ830">
        <f t="shared" si="205"/>
        <v>4.4499999999999993</v>
      </c>
      <c r="BR830">
        <f t="shared" si="206"/>
        <v>16.47</v>
      </c>
      <c r="BS830">
        <f t="shared" si="207"/>
        <v>22.65</v>
      </c>
      <c r="BT830" t="str">
        <f>IFERROR(INDEX(_REF_Capability_Bridge!$D:$D,MATCH($C830&amp;"|"&amp;$D830,_REF_Capability_Bridge!$J:$J,0)),IFERROR(INDEX(_REF_Capability_Bridge!$D:$D,MATCH($C830&amp;"|",_REF_Capability_Bridge!$J:$J,0)),"CAP_GENERIC"))</f>
        <v>CAP_PLATFORM_CONTINUITY</v>
      </c>
      <c r="BU830">
        <f>IFERROR(IFERROR(INDEX(_ENGINE_Relevance!$L:$L,MATCH($BT830,_ENGINE_Relevance!$B:$B,0)),1),1)</f>
        <v>1</v>
      </c>
      <c r="BV830" t="str">
        <f>IFERROR(INDEX(_REF_Capability_Bridge!$A:$A,MATCH($C830&amp;"|"&amp;$D830,_REF_Capability_Bridge!$J:$J,0)),IFERROR(INDEX(_REF_Capability_Bridge!$A:$A,MATCH($C830&amp;"|",_REF_Capability_Bridge!$J:$J,0)),"No bridge"))</f>
        <v>BRG-006</v>
      </c>
      <c r="BW830" t="str">
        <f t="shared" si="208"/>
        <v>Capability relevance neutral</v>
      </c>
      <c r="BX830" t="str">
        <f t="shared" si="209"/>
        <v>Initial / absent</v>
      </c>
      <c r="BY830" t="str">
        <f>IF($E830="","",IFERROR(INDEX(_REF_Treatment_Library!$A$2:$A$296,MATCH(1,INDEX((_REF_Treatment_Library!$B$2:$B$296=$BT830)*(_REF_Treatment_Library!$C$2:$C$296=PV_Canonical_Industry)*(_REF_Treatment_Library!$E$2:$E$296&lt;=N($H830))*(_REF_Treatment_Library!$F$2:$F$296&gt;=N($H830))*(_REF_Treatment_Library!$O$2:$O$296="Yes"),0),0)),IFERROR(INDEX(_REF_Treatment_Library!$A$2:$A$296,MATCH(1,INDEX((_REF_Treatment_Library!$B$2:$B$296=$BT830)*(_REF_Treatment_Library!$C$2:$C$296="All")*(_REF_Treatment_Library!$E$2:$E$296&lt;=N($H830))*(_REF_Treatment_Library!$F$2:$F$296&gt;=N($H830))*(_REF_Treatment_Library!$O$2:$O$296="Yes"),0),0)),"")))</f>
        <v>TRT-PLATFORM_CONTINUITY-INITIAL</v>
      </c>
      <c r="BZ830" t="str">
        <f>IF($BY830="","",IFERROR(INDEX(_REF_Treatment_Library!$H$2:$H$296,MATCH($BY830,_REF_Treatment_Library!$A$2:$A$296,0)),""))</f>
        <v>Establish</v>
      </c>
      <c r="CA830" t="str">
        <f>IF($BY830="","",IFERROR(INDEX(_REF_Treatment_Library!$I$2:$I$296,MATCH($BY830,_REF_Treatment_Library!$A$2:$A$296,0)),""))</f>
        <v>Establish baseline controls for Platform continuity</v>
      </c>
      <c r="CB830" t="str">
        <f>IF($BY830="","",IFERROR(INDEX(_REF_Treatment_Library!$K$2:$K$296,MATCH($BY830,_REF_Treatment_Library!$A$2:$A$296,0)),""))</f>
        <v>Named owner, baseline process, minimum control checklist, first evidence package</v>
      </c>
      <c r="CC830" t="str">
        <f>IF($BY830="","",IFERROR(INDEX(_REF_Treatment_Library!$L$2:$L$296,MATCH($BY830,_REF_Treatment_Library!$A$2:$A$296,0)),""))</f>
        <v>Owner assigned; baseline evidence coverage; open critical gaps</v>
      </c>
      <c r="CD830" t="str">
        <f t="shared" si="210"/>
        <v>Treatment by capability=CAP_PLATFORM_CONTINUITY; band=Initial / absent; score=0.0; treatment=Establish</v>
      </c>
      <c r="CE830" t="str">
        <f>IF($E830="","",IFERROR(INDEX(_REF_Industry_Wording!$A$2:$A$70,MATCH(1,INDEX((_REF_Industry_Wording!$B$2:$B$70=$BT830)*(_REF_Industry_Wording!$C$2:$C$70=PV_Canonical_Industry)*(_REF_Industry_Wording!$K$2:$K$70="Yes"),0),0)),IFERROR(INDEX(_REF_Industry_Wording!$A$2:$A$70,MATCH(1,INDEX((_REF_Industry_Wording!$B$2:$B$70=$BT830)*(_REF_Industry_Wording!$C$2:$C$70="All")*(_REF_Industry_Wording!$K$2:$K$70="Yes"),0),0)),"")))</f>
        <v>IW-ALL-PLATFORM_CONTINUITY</v>
      </c>
      <c r="CF830" t="str">
        <f>IF($CE830="","",IFERROR(INDEX(_REF_Industry_Wording!$E$2:$E$70,MATCH($CE830,_REF_Industry_Wording!$A$2:$A$70,0)),""))</f>
        <v>Platform continuity weakness</v>
      </c>
      <c r="CG830" t="str">
        <f>IF($CE830="","",IFERROR(INDEX(_REF_Industry_Wording!$F$2:$F$70,MATCH($CE830,_REF_Industry_Wording!$A$2:$A$70,0)),""))</f>
        <v>Strengthen Platform continuity</v>
      </c>
      <c r="CH830" t="str">
        <f>IF($CE830="","",IFERROR(INDEX(_REF_Industry_Wording!$G$2:$G$70,MATCH($CE830,_REF_Industry_Wording!$A$2:$A$70,0)),""))</f>
        <v>Strengthen Platform continuity using the selected maturity treatment, crisis scenario and evidence requirements.</v>
      </c>
      <c r="CI830" t="str">
        <f>IF($CE830="","",IFERROR(INDEX(_REF_Industry_Wording!$H$2:$H$70,MATCH($CE830,_REF_Industry_Wording!$A$2:$A$70,0)),""))</f>
        <v>Platform continuity</v>
      </c>
      <c r="CJ830">
        <f>IF($CE830="","",IFERROR(INDEX(_REF_Industry_Wording!$I$2:$I$70,MATCH($CE830,_REF_Industry_Wording!$A$2:$A$70,0)),""))</f>
        <v>0</v>
      </c>
      <c r="CK830" t="str">
        <f>IF($CE830="","",IFERROR(INDEX(_REF_Industry_Wording!$J$2:$J$70,MATCH($CE830,_REF_Industry_Wording!$A$2:$A$70,0)),""))</f>
        <v>Platform continuity</v>
      </c>
      <c r="CL830" t="str">
        <f t="shared" si="211"/>
        <v>Wording by industry=0; capability=CAP_PLATFORM_CONTINUITY; risk label=Platform continuity weakness</v>
      </c>
      <c r="CM830" t="str">
        <f t="shared" si="212"/>
        <v>RISK-ONT-0331</v>
      </c>
      <c r="CN830" t="str">
        <f t="shared" si="213"/>
        <v>RISK-EVT-0331</v>
      </c>
      <c r="CO830" t="str">
        <f t="shared" si="214"/>
        <v>Business Systems|MES WMS TMS|BUSI-012|CAP_PLATFORM_CONTINUITY</v>
      </c>
      <c r="CP830" t="str">
        <f t="shared" si="215"/>
        <v>Active</v>
      </c>
      <c r="CQ830" t="str">
        <f t="shared" si="216"/>
        <v>OK: capability-driven</v>
      </c>
      <c r="CR830" t="str">
        <f t="shared" si="217"/>
        <v>Risk ontology uses capability=CAP_PLATFORM_CONTINUITY; bridge=BRG-006; treatment=TRT-PLATFORM_CONTINUITY-INITIAL; wording=IW-ALL-PLATFORM_CONTINUITY</v>
      </c>
      <c r="CS830" t="str">
        <f t="shared" si="218"/>
        <v>Yes</v>
      </c>
    </row>
    <row r="831" spans="1:97" ht="69.900000000000006" customHeight="1">
      <c r="A831">
        <f>IF(OR($B831&lt;&gt;"Yes",$BS831=""),"",SUMPRODUCT(($B$500:$B$923="Yes")*ISNUMBER($BS$500:$BS$923)*($BS$500:$BS$923&gt;$BS831))+COUNTIFS($B$500:$B831,"Yes",$BS$500:$BS831,$BS831))</f>
        <v>103</v>
      </c>
      <c r="B831" t="str">
        <f t="shared" si="187"/>
        <v>Yes</v>
      </c>
      <c r="C831" t="s">
        <v>2729</v>
      </c>
      <c r="D831" t="s">
        <v>2743</v>
      </c>
      <c r="E831" t="s">
        <v>2782</v>
      </c>
      <c r="F831" t="s">
        <v>4377</v>
      </c>
      <c r="G831" t="str">
        <f>IF($H831="","",IFERROR(INDEX(_ENGINE_Risk!$H$5:$M$499,MATCH($E831,_ENGINE_Risk!$A$5:$A$499,0),$H831+1),""))</f>
        <v>Severe risk: TMS support for carrier booking, route planning, tracking and delivery visibility is not reliably controlled. During IT outage; Decision failure; Process disruption, the organization may face ERP, CRM, MES or HRMS disruption, broken integrations and manual workarounds that fail under stress with limited visibility or accountability.</v>
      </c>
      <c r="H831">
        <f>IFERROR(VALUE(INDEX(_DATA_Assessment_Model!$H$5:$H$884,MATCH($E831,_DATA_Assessment_Model!$A$5:$A$884,0))),"")</f>
        <v>0</v>
      </c>
      <c r="I831" t="str">
        <f>IF($H831="","",IFERROR(INDEX(_DATA_Assessment_Model!$L$5:$L$884,MATCH($E831,_DATA_Assessment_Model!$A$5:$A$884,0)),IF($H831&lt;=1,"Critical",IF($H831=2,"High",IF($H831=3,"Medium",IF($H831=4,"Low","Resilient"))))))</f>
        <v>Critical</v>
      </c>
      <c r="J831">
        <f t="shared" si="188"/>
        <v>3.7</v>
      </c>
      <c r="K831">
        <f t="shared" si="189"/>
        <v>4.25</v>
      </c>
      <c r="L831">
        <f t="shared" si="190"/>
        <v>15.725000000000001</v>
      </c>
      <c r="M831">
        <f t="shared" si="191"/>
        <v>4</v>
      </c>
      <c r="N831">
        <f>IF($H831="","",IFERROR(INDEX(_ENGINE_Risk!$T$5:$Y$499,MATCH($E831,_ENGINE_Risk!$A$5:$A$499,0),$H831+1),""))</f>
        <v>4</v>
      </c>
      <c r="O831">
        <f t="shared" si="192"/>
        <v>4.333333333333333</v>
      </c>
      <c r="P831">
        <f t="shared" si="193"/>
        <v>5</v>
      </c>
      <c r="Q831">
        <f t="shared" si="194"/>
        <v>5</v>
      </c>
      <c r="R831">
        <f t="shared" si="195"/>
        <v>5</v>
      </c>
      <c r="S831">
        <f t="shared" si="196"/>
        <v>1.21</v>
      </c>
      <c r="T831" t="str">
        <f>IF($H831="","",IFERROR(INDEX(_ENGINE_Risk!$N$5:$S$499,MATCH($E831,_ENGINE_Risk!$A$5:$A$499,0),$H831+1),""))</f>
        <v>Create an immediate risk owner, minimum control baseline and fallback procedure for TMS support for carrier booking, route planning, tracking and delivery visibility. Add it to the crisis risk register and collect first evidence.</v>
      </c>
      <c r="U831">
        <f>IFERROR(INDEX(_DATA_Assessment_Model!$G$5:$G$884,MATCH($E831,_DATA_Assessment_Model!$A$5:$A$884,0)),"")</f>
        <v>3</v>
      </c>
      <c r="V831">
        <f>IFERROR(INDEX(_DATA_Assessment_Model!$W$5:$W$884,MATCH($E831,_DATA_Assessment_Model!$A$5:$A$884,0)),"")</f>
        <v>5</v>
      </c>
      <c r="W831">
        <f>IFERROR(INDEX(_DATA_Assessment_Model!$X$5:$X$884,MATCH($E831,_DATA_Assessment_Model!$A$5:$A$884,0)),"")</f>
        <v>5</v>
      </c>
      <c r="X831">
        <f>IFERROR(INDEX(_DATA_Assessment_Model!$Y$5:$Y$884,MATCH($E831,_DATA_Assessment_Model!$A$5:$A$884,0)),"")</f>
        <v>5</v>
      </c>
      <c r="Y831" t="s">
        <v>2735</v>
      </c>
      <c r="Z831" t="s">
        <v>9137</v>
      </c>
      <c r="AA831" t="s">
        <v>2784</v>
      </c>
      <c r="AB831">
        <f>IFERROR(INDEX(_DATA_Assessment_Model!$U$5:$U$884,MATCH($E831,_DATA_Assessment_Model!$A$5:$A$884,0)),"")</f>
        <v>0</v>
      </c>
      <c r="AF831" t="s">
        <v>2783</v>
      </c>
      <c r="AO831">
        <f>IF($B831="Yes",IF(IFERROR(INDEX(_ENGINE_Crisis!$F$501:$F$517,MATCH($C831,_ENGINE_Crisis!$A$501:$A$517,0)),1)=0,1,IFERROR(INDEX(_ENGINE_Crisis!$F$501:$F$517,MATCH($C831,_ENGINE_Crisis!$A$501:$A$517,0)),1)),"")</f>
        <v>1</v>
      </c>
      <c r="AP831">
        <f t="shared" si="197"/>
        <v>15.7</v>
      </c>
      <c r="AQ831">
        <f t="shared" si="198"/>
        <v>1.21</v>
      </c>
      <c r="AR831" t="str">
        <f>IFERROR(INDEX(_ENGINE_Crisis!$E$41:$E$700,MATCH('Resilience &amp; Risk Scenario'!$B$6&amp;"|"&amp;$C831,_ENGINE_Crisis!$I$41:$I$700,0)),"")</f>
        <v/>
      </c>
      <c r="AS831" t="str">
        <f>IFERROR(INDEX(_ENGINE_Crisis!$G$41:$G$700,MATCH('Resilience &amp; Risk Scenario'!$B$6&amp;"|"&amp;$C831,_ENGINE_Crisis!$I$41:$I$700,0)),"")</f>
        <v/>
      </c>
      <c r="AT831" t="str">
        <f>IFERROR(INDEX(_ENGINE_Initiatives!$A$5:$A$532,MATCH(1,INDEX((_ENGINE_Initiatives!$B$5:$B$532=$C831)*(_ENGINE_Initiatives!$C$5:$C$532=$D831),0),0)),"")</f>
        <v>INI-055</v>
      </c>
      <c r="AU831" t="str">
        <f>IFERROR(INDEX(_ENGINE_Initiatives!$F$5:$F$532,MATCH(1,INDEX((_ENGINE_Initiatives!$B$5:$B$532=$C831)*(_ENGINE_Initiatives!$C$5:$C$532=$D831),0),0)),"")</f>
        <v>Integrate MES, WMS and TMS into operational continuity model</v>
      </c>
      <c r="AV831">
        <f>IFERROR(INDEX(_ENGINE_Initiatives!$AC$5:$AC$532,MATCH(1,INDEX((_ENGINE_Initiatives!$B$5:$B$532=$C831)*(_ENGINE_Initiatives!$C$5:$C$532=$D831),0),0)),"")</f>
        <v>1.36</v>
      </c>
      <c r="AW831" t="str">
        <f>IFERROR(INDEX(_ENGINE_Initiatives!$AE$5:$AE$532,MATCH(1,INDEX((_ENGINE_Initiatives!$B$5:$B$532=$C831)*(_ENGINE_Initiatives!$C$5:$C$532=$D831),0),0)),"")</f>
        <v>6-12 months</v>
      </c>
      <c r="AX831">
        <f>IF($B831="Yes",IFERROR((IF(SUMIFS(_REF_Model_Content!$E$1:$E$613,_REF_Model_Content!$A$1:$A$613,PV_Canonical_Industry,_REF_Model_Content!$B$1:$B$613,$C831)=0,1,SUMIFS(_REF_Model_Content!$E$1:$E$613,_REF_Model_Content!$A$1:$A$613,PV_Canonical_Industry,_REF_Model_Content!$B$1:$B$613,$C831))*IFERROR($BU831,1)),1),"")</f>
        <v>1</v>
      </c>
      <c r="AY831">
        <f t="shared" si="199"/>
        <v>15.7</v>
      </c>
      <c r="AZ831">
        <f t="shared" si="200"/>
        <v>1.21</v>
      </c>
      <c r="BB831" t="str">
        <f>IF($H831="","",IFERROR(INDEX(_ENGINE_Risk!$AE$5:$AE$499,MATCH($E831,_ENGINE_Risk!$A$5:$A$499,0)),"Medium"))</f>
        <v>Fast</v>
      </c>
      <c r="BC831">
        <f t="shared" si="201"/>
        <v>1.25</v>
      </c>
      <c r="BD831">
        <f t="shared" si="202"/>
        <v>1.21</v>
      </c>
      <c r="BF831">
        <f>IF(OR($H831="",$J831=""),"",IFERROR(VLOOKUP(ROUND($J831,0),_CONFIG_Model_Settings!$D$154:$E$158,2,0),""))</f>
        <v>0.5</v>
      </c>
      <c r="BG831">
        <f>IFERROR(IF(OR($H831="",$K831=""),"",ROUND('Company Profile'!$B$113*INDEX(_CONFIG_Model_Settings!$H$154:$H$158,MATCH(ROUND($K831,0),_CONFIG_Model_Settings!$G$154:$G$158,0)),0)),0)</f>
        <v>875</v>
      </c>
      <c r="BH831">
        <f t="shared" si="203"/>
        <v>437.5</v>
      </c>
      <c r="BI831">
        <f t="shared" si="204"/>
        <v>437.5</v>
      </c>
      <c r="BJ831">
        <f>IF($E831="","",IFERROR(VLOOKUP($C831,_CONFIG_Risk_Calibration!$A$5:$H$21,2,FALSE),3))</f>
        <v>3</v>
      </c>
      <c r="BK831">
        <f>IF($E831="","",IFERROR(VLOOKUP($C831,_CONFIG_Risk_Calibration!$A$5:$H$21,3,FALSE),0))</f>
        <v>0</v>
      </c>
      <c r="BL831">
        <f>IF($E831="","",IFERROR(VLOOKUP($C831,_CONFIG_Risk_Calibration!$A$5:$H$21,4,FALSE),3))</f>
        <v>3</v>
      </c>
      <c r="BM831">
        <f>IF($E831="","",IFERROR(VLOOKUP($C831,_CONFIG_Risk_Calibration!$A$5:$H$21,5,FALSE),3))</f>
        <v>4</v>
      </c>
      <c r="BN831" t="str">
        <f>IF($E831="","",IFERROR(VLOOKUP($C831,_CONFIG_Risk_Calibration!$A$5:$H$21,6,FALSE),"No"))</f>
        <v>Yes</v>
      </c>
      <c r="BO831">
        <f>IF($E831="","",IFERROR(VLOOKUP($C831,_CONFIG_Risk_Calibration!$A$5:$H$21,7,FALSE),1))</f>
        <v>4</v>
      </c>
      <c r="BP831">
        <f>IF($H831="","",MAX(1,MIN(5,((6-$H831)*0.45)+($BJ831*0.2)+('Resilience &amp; Risk Scenario'!$B$7*0.15)+($BK831*0.1)+($BL831*0.05)+(IF($BB831="Fast",5,IF($BB831="Slow",1,3))*0.05))))</f>
        <v>3.7</v>
      </c>
      <c r="BQ831">
        <f t="shared" si="205"/>
        <v>4.25</v>
      </c>
      <c r="BR831">
        <f t="shared" si="206"/>
        <v>15.73</v>
      </c>
      <c r="BS831">
        <f t="shared" si="207"/>
        <v>21.63</v>
      </c>
      <c r="BT831" t="str">
        <f>IFERROR(INDEX(_REF_Capability_Bridge!$D:$D,MATCH($C831&amp;"|"&amp;$D831,_REF_Capability_Bridge!$J:$J,0)),IFERROR(INDEX(_REF_Capability_Bridge!$D:$D,MATCH($C831&amp;"|",_REF_Capability_Bridge!$J:$J,0)),"CAP_GENERIC"))</f>
        <v>CAP_PLATFORM_CONTINUITY</v>
      </c>
      <c r="BU831">
        <f>IFERROR(IFERROR(INDEX(_ENGINE_Relevance!$L:$L,MATCH($BT831,_ENGINE_Relevance!$B:$B,0)),1),1)</f>
        <v>1</v>
      </c>
      <c r="BV831" t="str">
        <f>IFERROR(INDEX(_REF_Capability_Bridge!$A:$A,MATCH($C831&amp;"|"&amp;$D831,_REF_Capability_Bridge!$J:$J,0)),IFERROR(INDEX(_REF_Capability_Bridge!$A:$A,MATCH($C831&amp;"|",_REF_Capability_Bridge!$J:$J,0)),"No bridge"))</f>
        <v>BRG-006</v>
      </c>
      <c r="BW831" t="str">
        <f t="shared" si="208"/>
        <v>Capability relevance neutral</v>
      </c>
      <c r="BX831" t="str">
        <f t="shared" si="209"/>
        <v>Initial / absent</v>
      </c>
      <c r="BY831" t="str">
        <f>IF($E831="","",IFERROR(INDEX(_REF_Treatment_Library!$A$2:$A$296,MATCH(1,INDEX((_REF_Treatment_Library!$B$2:$B$296=$BT831)*(_REF_Treatment_Library!$C$2:$C$296=PV_Canonical_Industry)*(_REF_Treatment_Library!$E$2:$E$296&lt;=N($H831))*(_REF_Treatment_Library!$F$2:$F$296&gt;=N($H831))*(_REF_Treatment_Library!$O$2:$O$296="Yes"),0),0)),IFERROR(INDEX(_REF_Treatment_Library!$A$2:$A$296,MATCH(1,INDEX((_REF_Treatment_Library!$B$2:$B$296=$BT831)*(_REF_Treatment_Library!$C$2:$C$296="All")*(_REF_Treatment_Library!$E$2:$E$296&lt;=N($H831))*(_REF_Treatment_Library!$F$2:$F$296&gt;=N($H831))*(_REF_Treatment_Library!$O$2:$O$296="Yes"),0),0)),"")))</f>
        <v>TRT-PLATFORM_CONTINUITY-INITIAL</v>
      </c>
      <c r="BZ831" t="str">
        <f>IF($BY831="","",IFERROR(INDEX(_REF_Treatment_Library!$H$2:$H$296,MATCH($BY831,_REF_Treatment_Library!$A$2:$A$296,0)),""))</f>
        <v>Establish</v>
      </c>
      <c r="CA831" t="str">
        <f>IF($BY831="","",IFERROR(INDEX(_REF_Treatment_Library!$I$2:$I$296,MATCH($BY831,_REF_Treatment_Library!$A$2:$A$296,0)),""))</f>
        <v>Establish baseline controls for Platform continuity</v>
      </c>
      <c r="CB831" t="str">
        <f>IF($BY831="","",IFERROR(INDEX(_REF_Treatment_Library!$K$2:$K$296,MATCH($BY831,_REF_Treatment_Library!$A$2:$A$296,0)),""))</f>
        <v>Named owner, baseline process, minimum control checklist, first evidence package</v>
      </c>
      <c r="CC831" t="str">
        <f>IF($BY831="","",IFERROR(INDEX(_REF_Treatment_Library!$L$2:$L$296,MATCH($BY831,_REF_Treatment_Library!$A$2:$A$296,0)),""))</f>
        <v>Owner assigned; baseline evidence coverage; open critical gaps</v>
      </c>
      <c r="CD831" t="str">
        <f t="shared" si="210"/>
        <v>Treatment by capability=CAP_PLATFORM_CONTINUITY; band=Initial / absent; score=0.0; treatment=Establish</v>
      </c>
      <c r="CE831" t="str">
        <f>IF($E831="","",IFERROR(INDEX(_REF_Industry_Wording!$A$2:$A$70,MATCH(1,INDEX((_REF_Industry_Wording!$B$2:$B$70=$BT831)*(_REF_Industry_Wording!$C$2:$C$70=PV_Canonical_Industry)*(_REF_Industry_Wording!$K$2:$K$70="Yes"),0),0)),IFERROR(INDEX(_REF_Industry_Wording!$A$2:$A$70,MATCH(1,INDEX((_REF_Industry_Wording!$B$2:$B$70=$BT831)*(_REF_Industry_Wording!$C$2:$C$70="All")*(_REF_Industry_Wording!$K$2:$K$70="Yes"),0),0)),"")))</f>
        <v>IW-ALL-PLATFORM_CONTINUITY</v>
      </c>
      <c r="CF831" t="str">
        <f>IF($CE831="","",IFERROR(INDEX(_REF_Industry_Wording!$E$2:$E$70,MATCH($CE831,_REF_Industry_Wording!$A$2:$A$70,0)),""))</f>
        <v>Platform continuity weakness</v>
      </c>
      <c r="CG831" t="str">
        <f>IF($CE831="","",IFERROR(INDEX(_REF_Industry_Wording!$F$2:$F$70,MATCH($CE831,_REF_Industry_Wording!$A$2:$A$70,0)),""))</f>
        <v>Strengthen Platform continuity</v>
      </c>
      <c r="CH831" t="str">
        <f>IF($CE831="","",IFERROR(INDEX(_REF_Industry_Wording!$G$2:$G$70,MATCH($CE831,_REF_Industry_Wording!$A$2:$A$70,0)),""))</f>
        <v>Strengthen Platform continuity using the selected maturity treatment, crisis scenario and evidence requirements.</v>
      </c>
      <c r="CI831" t="str">
        <f>IF($CE831="","",IFERROR(INDEX(_REF_Industry_Wording!$H$2:$H$70,MATCH($CE831,_REF_Industry_Wording!$A$2:$A$70,0)),""))</f>
        <v>Platform continuity</v>
      </c>
      <c r="CJ831">
        <f>IF($CE831="","",IFERROR(INDEX(_REF_Industry_Wording!$I$2:$I$70,MATCH($CE831,_REF_Industry_Wording!$A$2:$A$70,0)),""))</f>
        <v>0</v>
      </c>
      <c r="CK831" t="str">
        <f>IF($CE831="","",IFERROR(INDEX(_REF_Industry_Wording!$J$2:$J$70,MATCH($CE831,_REF_Industry_Wording!$A$2:$A$70,0)),""))</f>
        <v>Platform continuity</v>
      </c>
      <c r="CL831" t="str">
        <f t="shared" si="211"/>
        <v>Wording by industry=0; capability=CAP_PLATFORM_CONTINUITY; risk label=Platform continuity weakness</v>
      </c>
      <c r="CM831" t="str">
        <f t="shared" si="212"/>
        <v>RISK-ONT-0332</v>
      </c>
      <c r="CN831" t="str">
        <f t="shared" si="213"/>
        <v>RISK-EVT-0332</v>
      </c>
      <c r="CO831" t="str">
        <f t="shared" si="214"/>
        <v>Business Systems|MES WMS TMS|BUSI-013|CAP_PLATFORM_CONTINUITY</v>
      </c>
      <c r="CP831" t="str">
        <f t="shared" si="215"/>
        <v>Active</v>
      </c>
      <c r="CQ831" t="str">
        <f t="shared" si="216"/>
        <v>OK: capability-driven</v>
      </c>
      <c r="CR831" t="str">
        <f t="shared" si="217"/>
        <v>Risk ontology uses capability=CAP_PLATFORM_CONTINUITY; bridge=BRG-006; treatment=TRT-PLATFORM_CONTINUITY-INITIAL; wording=IW-ALL-PLATFORM_CONTINUITY</v>
      </c>
      <c r="CS831" t="str">
        <f t="shared" si="218"/>
        <v>Yes</v>
      </c>
    </row>
    <row r="832" spans="1:97" ht="69.900000000000006" customHeight="1">
      <c r="A832">
        <f>IF(OR($B832&lt;&gt;"Yes",$BS832=""),"",SUMPRODUCT(($B$500:$B$923="Yes")*ISNUMBER($BS$500:$BS$923)*($BS$500:$BS$923&gt;$BS832))+COUNTIFS($B$500:$B832,"Yes",$BS$500:$BS832,$BS832))</f>
        <v>72</v>
      </c>
      <c r="B832" t="str">
        <f t="shared" si="187"/>
        <v>Yes</v>
      </c>
      <c r="C832" t="s">
        <v>2729</v>
      </c>
      <c r="D832" t="s">
        <v>2747</v>
      </c>
      <c r="E832" t="s">
        <v>2791</v>
      </c>
      <c r="F832" t="s">
        <v>4377</v>
      </c>
      <c r="G832" t="str">
        <f>IF($H832="","",IFERROR(INDEX(_ENGINE_Risk!$H$5:$M$499,MATCH($E832,_ENGINE_Risk!$A$5:$A$499,0),$H832+1),""))</f>
        <v>Severe risk: HRMS coverage for employee records, roles, skills, absence, payroll inputs and emergency contacts is not reliably controlled. During IT outage; Decision failure; Process disruption, the organization may face ERP, CRM, MES or HRMS disruption, broken integrations and manual workarounds that fail under stress with limited visibility or accountability.</v>
      </c>
      <c r="H832">
        <f>IFERROR(VALUE(INDEX(_DATA_Assessment_Model!$H$5:$H$884,MATCH($E832,_DATA_Assessment_Model!$A$5:$A$884,0))),"")</f>
        <v>0</v>
      </c>
      <c r="I832" t="str">
        <f>IF($H832="","",IFERROR(INDEX(_DATA_Assessment_Model!$L$5:$L$884,MATCH($E832,_DATA_Assessment_Model!$A$5:$A$884,0)),IF($H832&lt;=1,"Critical",IF($H832=2,"High",IF($H832=3,"Medium",IF($H832=4,"Low","Resilient"))))))</f>
        <v>Critical</v>
      </c>
      <c r="J832">
        <f t="shared" si="188"/>
        <v>3.7</v>
      </c>
      <c r="K832">
        <f t="shared" si="189"/>
        <v>4.6499999999999995</v>
      </c>
      <c r="L832">
        <f t="shared" si="190"/>
        <v>17.204999999999998</v>
      </c>
      <c r="M832">
        <f t="shared" si="191"/>
        <v>4</v>
      </c>
      <c r="N832">
        <f>IF($H832="","",IFERROR(INDEX(_ENGINE_Risk!$T$5:$Y$499,MATCH($E832,_ENGINE_Risk!$A$5:$A$499,0),$H832+1),""))</f>
        <v>4</v>
      </c>
      <c r="O832">
        <f t="shared" si="192"/>
        <v>5</v>
      </c>
      <c r="P832">
        <f t="shared" si="193"/>
        <v>5</v>
      </c>
      <c r="Q832">
        <f t="shared" si="194"/>
        <v>5</v>
      </c>
      <c r="R832">
        <f t="shared" si="195"/>
        <v>5</v>
      </c>
      <c r="S832">
        <f t="shared" si="196"/>
        <v>1.25</v>
      </c>
      <c r="T832" t="str">
        <f>IF($H832="","",IFERROR(INDEX(_ENGINE_Risk!$N$5:$S$499,MATCH($E832,_ENGINE_Risk!$A$5:$A$499,0),$H832+1),""))</f>
        <v>Create an immediate risk owner, minimum control baseline and fallback procedure for HRMS coverage for employee records, roles, skills, absence, payroll inputs and emergency contacts. Add it to the crisis risk register and collect first evidence.</v>
      </c>
      <c r="U832">
        <f>IFERROR(INDEX(_DATA_Assessment_Model!$G$5:$G$884,MATCH($E832,_DATA_Assessment_Model!$A$5:$A$884,0)),"")</f>
        <v>5</v>
      </c>
      <c r="V832">
        <f>IFERROR(INDEX(_DATA_Assessment_Model!$W$5:$W$884,MATCH($E832,_DATA_Assessment_Model!$A$5:$A$884,0)),"")</f>
        <v>5</v>
      </c>
      <c r="W832">
        <f>IFERROR(INDEX(_DATA_Assessment_Model!$X$5:$X$884,MATCH($E832,_DATA_Assessment_Model!$A$5:$A$884,0)),"")</f>
        <v>5</v>
      </c>
      <c r="X832">
        <f>IFERROR(INDEX(_DATA_Assessment_Model!$Y$5:$Y$884,MATCH($E832,_DATA_Assessment_Model!$A$5:$A$884,0)),"")</f>
        <v>5</v>
      </c>
      <c r="Y832" t="s">
        <v>2735</v>
      </c>
      <c r="Z832" t="s">
        <v>9137</v>
      </c>
      <c r="AA832" t="s">
        <v>2793</v>
      </c>
      <c r="AB832">
        <f>IFERROR(INDEX(_DATA_Assessment_Model!$U$5:$U$884,MATCH($E832,_DATA_Assessment_Model!$A$5:$A$884,0)),"")</f>
        <v>0</v>
      </c>
      <c r="AF832" t="s">
        <v>2792</v>
      </c>
      <c r="AO832">
        <f>IF($B832="Yes",IF(IFERROR(INDEX(_ENGINE_Crisis!$F$501:$F$517,MATCH($C832,_ENGINE_Crisis!$A$501:$A$517,0)),1)=0,1,IFERROR(INDEX(_ENGINE_Crisis!$F$501:$F$517,MATCH($C832,_ENGINE_Crisis!$A$501:$A$517,0)),1)),"")</f>
        <v>1</v>
      </c>
      <c r="AP832">
        <f t="shared" si="197"/>
        <v>17.2</v>
      </c>
      <c r="AQ832">
        <f t="shared" si="198"/>
        <v>1.25</v>
      </c>
      <c r="AR832" t="str">
        <f>IFERROR(INDEX(_ENGINE_Crisis!$E$41:$E$700,MATCH('Resilience &amp; Risk Scenario'!$B$6&amp;"|"&amp;$C832,_ENGINE_Crisis!$I$41:$I$700,0)),"")</f>
        <v/>
      </c>
      <c r="AS832" t="str">
        <f>IFERROR(INDEX(_ENGINE_Crisis!$G$41:$G$700,MATCH('Resilience &amp; Risk Scenario'!$B$6&amp;"|"&amp;$C832,_ENGINE_Crisis!$I$41:$I$700,0)),"")</f>
        <v/>
      </c>
      <c r="AT832" t="str">
        <f>IFERROR(INDEX(_ENGINE_Initiatives!$A$5:$A$532,MATCH(1,INDEX((_ENGINE_Initiatives!$B$5:$B$532=$C832)*(_ENGINE_Initiatives!$C$5:$C$532=$D832),0),0)),"")</f>
        <v>INI-056</v>
      </c>
      <c r="AU832" t="str">
        <f>IFERROR(INDEX(_ENGINE_Initiatives!$F$5:$F$532,MATCH(1,INDEX((_ENGINE_Initiatives!$B$5:$B$532=$C832)*(_ENGINE_Initiatives!$C$5:$C$532=$D832),0),0)),"")</f>
        <v>Stabilize HRMS, finance systems and core administrative workflows</v>
      </c>
      <c r="AV832">
        <f>IFERROR(INDEX(_ENGINE_Initiatives!$AC$5:$AC$532,MATCH(1,INDEX((_ENGINE_Initiatives!$B$5:$B$532=$C832)*(_ENGINE_Initiatives!$C$5:$C$532=$D832),0),0)),"")</f>
        <v>1.31</v>
      </c>
      <c r="AW832" t="str">
        <f>IFERROR(INDEX(_ENGINE_Initiatives!$AE$5:$AE$532,MATCH(1,INDEX((_ENGINE_Initiatives!$B$5:$B$532=$C832)*(_ENGINE_Initiatives!$C$5:$C$532=$D832),0),0)),"")</f>
        <v>12+ months</v>
      </c>
      <c r="AX832">
        <f>IF($B832="Yes",IFERROR((IF(SUMIFS(_REF_Model_Content!$E$1:$E$613,_REF_Model_Content!$A$1:$A$613,PV_Canonical_Industry,_REF_Model_Content!$B$1:$B$613,$C832)=0,1,SUMIFS(_REF_Model_Content!$E$1:$E$613,_REF_Model_Content!$A$1:$A$613,PV_Canonical_Industry,_REF_Model_Content!$B$1:$B$613,$C832))*IFERROR($BU832,1)),1),"")</f>
        <v>1</v>
      </c>
      <c r="AY832">
        <f t="shared" si="199"/>
        <v>17.2</v>
      </c>
      <c r="AZ832">
        <f t="shared" si="200"/>
        <v>1.25</v>
      </c>
      <c r="BB832" t="str">
        <f>IF($H832="","",IFERROR(INDEX(_ENGINE_Risk!$AE$5:$AE$499,MATCH($E832,_ENGINE_Risk!$A$5:$A$499,0)),"Medium"))</f>
        <v>Fast</v>
      </c>
      <c r="BC832">
        <f t="shared" si="201"/>
        <v>1.25</v>
      </c>
      <c r="BD832">
        <f t="shared" si="202"/>
        <v>1.25</v>
      </c>
      <c r="BF832">
        <f>IF(OR($H832="",$J832=""),"",IFERROR(VLOOKUP(ROUND($J832,0),_CONFIG_Model_Settings!$D$154:$E$158,2,0),""))</f>
        <v>0.5</v>
      </c>
      <c r="BG832">
        <f>IFERROR(IF(OR($H832="",$K832=""),"",ROUND('Company Profile'!$B$113*INDEX(_CONFIG_Model_Settings!$H$154:$H$158,MATCH(ROUND($K832,0),_CONFIG_Model_Settings!$G$154:$G$158,0)),0)),0)</f>
        <v>1875</v>
      </c>
      <c r="BH832">
        <f t="shared" si="203"/>
        <v>937.5</v>
      </c>
      <c r="BI832">
        <f t="shared" si="204"/>
        <v>937.5</v>
      </c>
      <c r="BJ832">
        <f>IF($E832="","",IFERROR(VLOOKUP($C832,_CONFIG_Risk_Calibration!$A$5:$H$21,2,FALSE),3))</f>
        <v>3</v>
      </c>
      <c r="BK832">
        <f>IF($E832="","",IFERROR(VLOOKUP($C832,_CONFIG_Risk_Calibration!$A$5:$H$21,3,FALSE),0))</f>
        <v>0</v>
      </c>
      <c r="BL832">
        <f>IF($E832="","",IFERROR(VLOOKUP($C832,_CONFIG_Risk_Calibration!$A$5:$H$21,4,FALSE),3))</f>
        <v>3</v>
      </c>
      <c r="BM832">
        <f>IF($E832="","",IFERROR(VLOOKUP($C832,_CONFIG_Risk_Calibration!$A$5:$H$21,5,FALSE),3))</f>
        <v>4</v>
      </c>
      <c r="BN832" t="str">
        <f>IF($E832="","",IFERROR(VLOOKUP($C832,_CONFIG_Risk_Calibration!$A$5:$H$21,6,FALSE),"No"))</f>
        <v>Yes</v>
      </c>
      <c r="BO832">
        <f>IF($E832="","",IFERROR(VLOOKUP($C832,_CONFIG_Risk_Calibration!$A$5:$H$21,7,FALSE),1))</f>
        <v>4</v>
      </c>
      <c r="BP832">
        <f>IF($H832="","",MAX(1,MIN(5,((6-$H832)*0.45)+($BJ832*0.2)+('Resilience &amp; Risk Scenario'!$B$7*0.15)+($BK832*0.1)+($BL832*0.05)+(IF($BB832="Fast",5,IF($BB832="Slow",1,3))*0.05))))</f>
        <v>3.7</v>
      </c>
      <c r="BQ832">
        <f t="shared" si="205"/>
        <v>4.6499999999999995</v>
      </c>
      <c r="BR832">
        <f t="shared" si="206"/>
        <v>17.21</v>
      </c>
      <c r="BS832">
        <f t="shared" si="207"/>
        <v>23.66</v>
      </c>
      <c r="BT832" t="str">
        <f>IFERROR(INDEX(_REF_Capability_Bridge!$D:$D,MATCH($C832&amp;"|"&amp;$D832,_REF_Capability_Bridge!$J:$J,0)),IFERROR(INDEX(_REF_Capability_Bridge!$D:$D,MATCH($C832&amp;"|",_REF_Capability_Bridge!$J:$J,0)),"CAP_GENERIC"))</f>
        <v>CAP_PLATFORM_CONTINUITY</v>
      </c>
      <c r="BU832">
        <f>IFERROR(IFERROR(INDEX(_ENGINE_Relevance!$L:$L,MATCH($BT832,_ENGINE_Relevance!$B:$B,0)),1),1)</f>
        <v>1</v>
      </c>
      <c r="BV832" t="str">
        <f>IFERROR(INDEX(_REF_Capability_Bridge!$A:$A,MATCH($C832&amp;"|"&amp;$D832,_REF_Capability_Bridge!$J:$J,0)),IFERROR(INDEX(_REF_Capability_Bridge!$A:$A,MATCH($C832&amp;"|",_REF_Capability_Bridge!$J:$J,0)),"No bridge"))</f>
        <v>BRG-005</v>
      </c>
      <c r="BW832" t="str">
        <f t="shared" si="208"/>
        <v>Capability relevance neutral</v>
      </c>
      <c r="BX832" t="str">
        <f t="shared" si="209"/>
        <v>Initial / absent</v>
      </c>
      <c r="BY832" t="str">
        <f>IF($E832="","",IFERROR(INDEX(_REF_Treatment_Library!$A$2:$A$296,MATCH(1,INDEX((_REF_Treatment_Library!$B$2:$B$296=$BT832)*(_REF_Treatment_Library!$C$2:$C$296=PV_Canonical_Industry)*(_REF_Treatment_Library!$E$2:$E$296&lt;=N($H832))*(_REF_Treatment_Library!$F$2:$F$296&gt;=N($H832))*(_REF_Treatment_Library!$O$2:$O$296="Yes"),0),0)),IFERROR(INDEX(_REF_Treatment_Library!$A$2:$A$296,MATCH(1,INDEX((_REF_Treatment_Library!$B$2:$B$296=$BT832)*(_REF_Treatment_Library!$C$2:$C$296="All")*(_REF_Treatment_Library!$E$2:$E$296&lt;=N($H832))*(_REF_Treatment_Library!$F$2:$F$296&gt;=N($H832))*(_REF_Treatment_Library!$O$2:$O$296="Yes"),0),0)),"")))</f>
        <v>TRT-PLATFORM_CONTINUITY-INITIAL</v>
      </c>
      <c r="BZ832" t="str">
        <f>IF($BY832="","",IFERROR(INDEX(_REF_Treatment_Library!$H$2:$H$296,MATCH($BY832,_REF_Treatment_Library!$A$2:$A$296,0)),""))</f>
        <v>Establish</v>
      </c>
      <c r="CA832" t="str">
        <f>IF($BY832="","",IFERROR(INDEX(_REF_Treatment_Library!$I$2:$I$296,MATCH($BY832,_REF_Treatment_Library!$A$2:$A$296,0)),""))</f>
        <v>Establish baseline controls for Platform continuity</v>
      </c>
      <c r="CB832" t="str">
        <f>IF($BY832="","",IFERROR(INDEX(_REF_Treatment_Library!$K$2:$K$296,MATCH($BY832,_REF_Treatment_Library!$A$2:$A$296,0)),""))</f>
        <v>Named owner, baseline process, minimum control checklist, first evidence package</v>
      </c>
      <c r="CC832" t="str">
        <f>IF($BY832="","",IFERROR(INDEX(_REF_Treatment_Library!$L$2:$L$296,MATCH($BY832,_REF_Treatment_Library!$A$2:$A$296,0)),""))</f>
        <v>Owner assigned; baseline evidence coverage; open critical gaps</v>
      </c>
      <c r="CD832" t="str">
        <f t="shared" si="210"/>
        <v>Treatment by capability=CAP_PLATFORM_CONTINUITY; band=Initial / absent; score=0.0; treatment=Establish</v>
      </c>
      <c r="CE832" t="str">
        <f>IF($E832="","",IFERROR(INDEX(_REF_Industry_Wording!$A$2:$A$70,MATCH(1,INDEX((_REF_Industry_Wording!$B$2:$B$70=$BT832)*(_REF_Industry_Wording!$C$2:$C$70=PV_Canonical_Industry)*(_REF_Industry_Wording!$K$2:$K$70="Yes"),0),0)),IFERROR(INDEX(_REF_Industry_Wording!$A$2:$A$70,MATCH(1,INDEX((_REF_Industry_Wording!$B$2:$B$70=$BT832)*(_REF_Industry_Wording!$C$2:$C$70="All")*(_REF_Industry_Wording!$K$2:$K$70="Yes"),0),0)),"")))</f>
        <v>IW-ALL-PLATFORM_CONTINUITY</v>
      </c>
      <c r="CF832" t="str">
        <f>IF($CE832="","",IFERROR(INDEX(_REF_Industry_Wording!$E$2:$E$70,MATCH($CE832,_REF_Industry_Wording!$A$2:$A$70,0)),""))</f>
        <v>Platform continuity weakness</v>
      </c>
      <c r="CG832" t="str">
        <f>IF($CE832="","",IFERROR(INDEX(_REF_Industry_Wording!$F$2:$F$70,MATCH($CE832,_REF_Industry_Wording!$A$2:$A$70,0)),""))</f>
        <v>Strengthen Platform continuity</v>
      </c>
      <c r="CH832" t="str">
        <f>IF($CE832="","",IFERROR(INDEX(_REF_Industry_Wording!$G$2:$G$70,MATCH($CE832,_REF_Industry_Wording!$A$2:$A$70,0)),""))</f>
        <v>Strengthen Platform continuity using the selected maturity treatment, crisis scenario and evidence requirements.</v>
      </c>
      <c r="CI832" t="str">
        <f>IF($CE832="","",IFERROR(INDEX(_REF_Industry_Wording!$H$2:$H$70,MATCH($CE832,_REF_Industry_Wording!$A$2:$A$70,0)),""))</f>
        <v>Platform continuity</v>
      </c>
      <c r="CJ832">
        <f>IF($CE832="","",IFERROR(INDEX(_REF_Industry_Wording!$I$2:$I$70,MATCH($CE832,_REF_Industry_Wording!$A$2:$A$70,0)),""))</f>
        <v>0</v>
      </c>
      <c r="CK832" t="str">
        <f>IF($CE832="","",IFERROR(INDEX(_REF_Industry_Wording!$J$2:$J$70,MATCH($CE832,_REF_Industry_Wording!$A$2:$A$70,0)),""))</f>
        <v>Platform continuity</v>
      </c>
      <c r="CL832" t="str">
        <f t="shared" si="211"/>
        <v>Wording by industry=0; capability=CAP_PLATFORM_CONTINUITY; risk label=Platform continuity weakness</v>
      </c>
      <c r="CM832" t="str">
        <f t="shared" si="212"/>
        <v>RISK-ONT-0333</v>
      </c>
      <c r="CN832" t="str">
        <f t="shared" si="213"/>
        <v>RISK-EVT-0333</v>
      </c>
      <c r="CO832" t="str">
        <f t="shared" si="214"/>
        <v>Business Systems|HRMS and finance systems|BUSI-014|CAP_PLATFORM_CONTINUITY</v>
      </c>
      <c r="CP832" t="str">
        <f t="shared" si="215"/>
        <v>Active</v>
      </c>
      <c r="CQ832" t="str">
        <f t="shared" si="216"/>
        <v>OK: capability-driven</v>
      </c>
      <c r="CR832" t="str">
        <f t="shared" si="217"/>
        <v>Risk ontology uses capability=CAP_PLATFORM_CONTINUITY; bridge=BRG-005; treatment=TRT-PLATFORM_CONTINUITY-INITIAL; wording=IW-ALL-PLATFORM_CONTINUITY</v>
      </c>
      <c r="CS832" t="str">
        <f t="shared" si="218"/>
        <v>Yes</v>
      </c>
    </row>
    <row r="833" spans="1:97" ht="69.900000000000006" customHeight="1">
      <c r="A833">
        <f>IF(OR($B833&lt;&gt;"Yes",$BS833=""),"",SUMPRODUCT(($B$500:$B$923="Yes")*ISNUMBER($BS$500:$BS$923)*($BS$500:$BS$923&gt;$BS833))+COUNTIFS($B$500:$B833,"Yes",$BS$500:$BS833,$BS833))</f>
        <v>73</v>
      </c>
      <c r="B833" t="str">
        <f t="shared" si="187"/>
        <v>Yes</v>
      </c>
      <c r="C833" t="s">
        <v>2729</v>
      </c>
      <c r="D833" t="s">
        <v>2747</v>
      </c>
      <c r="E833" t="s">
        <v>2794</v>
      </c>
      <c r="F833" t="s">
        <v>4377</v>
      </c>
      <c r="G833" t="str">
        <f>IF($H833="","",IFERROR(INDEX(_ENGINE_Risk!$H$5:$M$499,MATCH($E833,_ENGINE_Risk!$A$5:$A$499,0),$H833+1),""))</f>
        <v>Severe risk: HRMS data quality for employee location, manager, emergency contacts and criticality is not reliably controlled. During IT outage; Decision failure; Process disruption, the organization may face ERP, CRM, MES or HRMS disruption, broken integrations and manual workarounds that fail under stress with limited visibility or accountability.</v>
      </c>
      <c r="H833">
        <f>IFERROR(VALUE(INDEX(_DATA_Assessment_Model!$H$5:$H$884,MATCH($E833,_DATA_Assessment_Model!$A$5:$A$884,0))),"")</f>
        <v>0</v>
      </c>
      <c r="I833" t="str">
        <f>IF($H833="","",IFERROR(INDEX(_DATA_Assessment_Model!$L$5:$L$884,MATCH($E833,_DATA_Assessment_Model!$A$5:$A$884,0)),IF($H833&lt;=1,"Critical",IF($H833=2,"High",IF($H833=3,"Medium",IF($H833=4,"Low","Resilient"))))))</f>
        <v>Critical</v>
      </c>
      <c r="J833">
        <f t="shared" si="188"/>
        <v>3.7</v>
      </c>
      <c r="K833">
        <f t="shared" si="189"/>
        <v>4.6499999999999995</v>
      </c>
      <c r="L833">
        <f t="shared" si="190"/>
        <v>17.204999999999998</v>
      </c>
      <c r="M833">
        <f t="shared" si="191"/>
        <v>4</v>
      </c>
      <c r="N833">
        <f>IF($H833="","",IFERROR(INDEX(_ENGINE_Risk!$T$5:$Y$499,MATCH($E833,_ENGINE_Risk!$A$5:$A$499,0),$H833+1),""))</f>
        <v>4</v>
      </c>
      <c r="O833">
        <f t="shared" si="192"/>
        <v>5</v>
      </c>
      <c r="P833">
        <f t="shared" si="193"/>
        <v>5</v>
      </c>
      <c r="Q833">
        <f t="shared" si="194"/>
        <v>5</v>
      </c>
      <c r="R833">
        <f t="shared" si="195"/>
        <v>5</v>
      </c>
      <c r="S833">
        <f t="shared" si="196"/>
        <v>1.25</v>
      </c>
      <c r="T833" t="str">
        <f>IF($H833="","",IFERROR(INDEX(_ENGINE_Risk!$N$5:$S$499,MATCH($E833,_ENGINE_Risk!$A$5:$A$499,0),$H833+1),""))</f>
        <v>Create an immediate risk owner, minimum control baseline and fallback procedure for HRMS data quality for employee location, manager, emergency contacts and criticality. Add it to the crisis risk register and collect first evidence.</v>
      </c>
      <c r="U833">
        <f>IFERROR(INDEX(_DATA_Assessment_Model!$G$5:$G$884,MATCH($E833,_DATA_Assessment_Model!$A$5:$A$884,0)),"")</f>
        <v>5</v>
      </c>
      <c r="V833">
        <f>IFERROR(INDEX(_DATA_Assessment_Model!$W$5:$W$884,MATCH($E833,_DATA_Assessment_Model!$A$5:$A$884,0)),"")</f>
        <v>5</v>
      </c>
      <c r="W833">
        <f>IFERROR(INDEX(_DATA_Assessment_Model!$X$5:$X$884,MATCH($E833,_DATA_Assessment_Model!$A$5:$A$884,0)),"")</f>
        <v>5</v>
      </c>
      <c r="X833">
        <f>IFERROR(INDEX(_DATA_Assessment_Model!$Y$5:$Y$884,MATCH($E833,_DATA_Assessment_Model!$A$5:$A$884,0)),"")</f>
        <v>5</v>
      </c>
      <c r="Y833" t="s">
        <v>2735</v>
      </c>
      <c r="Z833" t="s">
        <v>9137</v>
      </c>
      <c r="AA833" t="s">
        <v>2796</v>
      </c>
      <c r="AB833">
        <f>IFERROR(INDEX(_DATA_Assessment_Model!$U$5:$U$884,MATCH($E833,_DATA_Assessment_Model!$A$5:$A$884,0)),"")</f>
        <v>0</v>
      </c>
      <c r="AF833" t="s">
        <v>2795</v>
      </c>
      <c r="AO833">
        <f>IF($B833="Yes",IF(IFERROR(INDEX(_ENGINE_Crisis!$F$501:$F$517,MATCH($C833,_ENGINE_Crisis!$A$501:$A$517,0)),1)=0,1,IFERROR(INDEX(_ENGINE_Crisis!$F$501:$F$517,MATCH($C833,_ENGINE_Crisis!$A$501:$A$517,0)),1)),"")</f>
        <v>1</v>
      </c>
      <c r="AP833">
        <f t="shared" si="197"/>
        <v>17.2</v>
      </c>
      <c r="AQ833">
        <f t="shared" si="198"/>
        <v>1.25</v>
      </c>
      <c r="AR833" t="str">
        <f>IFERROR(INDEX(_ENGINE_Crisis!$E$41:$E$700,MATCH('Resilience &amp; Risk Scenario'!$B$6&amp;"|"&amp;$C833,_ENGINE_Crisis!$I$41:$I$700,0)),"")</f>
        <v/>
      </c>
      <c r="AS833" t="str">
        <f>IFERROR(INDEX(_ENGINE_Crisis!$G$41:$G$700,MATCH('Resilience &amp; Risk Scenario'!$B$6&amp;"|"&amp;$C833,_ENGINE_Crisis!$I$41:$I$700,0)),"")</f>
        <v/>
      </c>
      <c r="AT833" t="str">
        <f>IFERROR(INDEX(_ENGINE_Initiatives!$A$5:$A$532,MATCH(1,INDEX((_ENGINE_Initiatives!$B$5:$B$532=$C833)*(_ENGINE_Initiatives!$C$5:$C$532=$D833),0),0)),"")</f>
        <v>INI-056</v>
      </c>
      <c r="AU833" t="str">
        <f>IFERROR(INDEX(_ENGINE_Initiatives!$F$5:$F$532,MATCH(1,INDEX((_ENGINE_Initiatives!$B$5:$B$532=$C833)*(_ENGINE_Initiatives!$C$5:$C$532=$D833),0),0)),"")</f>
        <v>Stabilize HRMS, finance systems and core administrative workflows</v>
      </c>
      <c r="AV833">
        <f>IFERROR(INDEX(_ENGINE_Initiatives!$AC$5:$AC$532,MATCH(1,INDEX((_ENGINE_Initiatives!$B$5:$B$532=$C833)*(_ENGINE_Initiatives!$C$5:$C$532=$D833),0),0)),"")</f>
        <v>1.31</v>
      </c>
      <c r="AW833" t="str">
        <f>IFERROR(INDEX(_ENGINE_Initiatives!$AE$5:$AE$532,MATCH(1,INDEX((_ENGINE_Initiatives!$B$5:$B$532=$C833)*(_ENGINE_Initiatives!$C$5:$C$532=$D833),0),0)),"")</f>
        <v>12+ months</v>
      </c>
      <c r="AX833">
        <f>IF($B833="Yes",IFERROR((IF(SUMIFS(_REF_Model_Content!$E$1:$E$613,_REF_Model_Content!$A$1:$A$613,PV_Canonical_Industry,_REF_Model_Content!$B$1:$B$613,$C833)=0,1,SUMIFS(_REF_Model_Content!$E$1:$E$613,_REF_Model_Content!$A$1:$A$613,PV_Canonical_Industry,_REF_Model_Content!$B$1:$B$613,$C833))*IFERROR($BU833,1)),1),"")</f>
        <v>1</v>
      </c>
      <c r="AY833">
        <f t="shared" si="199"/>
        <v>17.2</v>
      </c>
      <c r="AZ833">
        <f t="shared" si="200"/>
        <v>1.25</v>
      </c>
      <c r="BB833" t="str">
        <f>IF($H833="","",IFERROR(INDEX(_ENGINE_Risk!$AE$5:$AE$499,MATCH($E833,_ENGINE_Risk!$A$5:$A$499,0)),"Medium"))</f>
        <v>Fast</v>
      </c>
      <c r="BC833">
        <f t="shared" si="201"/>
        <v>1.25</v>
      </c>
      <c r="BD833">
        <f t="shared" si="202"/>
        <v>1.25</v>
      </c>
      <c r="BF833">
        <f>IF(OR($H833="",$J833=""),"",IFERROR(VLOOKUP(ROUND($J833,0),_CONFIG_Model_Settings!$D$154:$E$158,2,0),""))</f>
        <v>0.5</v>
      </c>
      <c r="BG833">
        <f>IFERROR(IF(OR($H833="",$K833=""),"",ROUND('Company Profile'!$B$113*INDEX(_CONFIG_Model_Settings!$H$154:$H$158,MATCH(ROUND($K833,0),_CONFIG_Model_Settings!$G$154:$G$158,0)),0)),0)</f>
        <v>1875</v>
      </c>
      <c r="BH833">
        <f t="shared" si="203"/>
        <v>937.5</v>
      </c>
      <c r="BI833">
        <f t="shared" si="204"/>
        <v>937.5</v>
      </c>
      <c r="BJ833">
        <f>IF($E833="","",IFERROR(VLOOKUP($C833,_CONFIG_Risk_Calibration!$A$5:$H$21,2,FALSE),3))</f>
        <v>3</v>
      </c>
      <c r="BK833">
        <f>IF($E833="","",IFERROR(VLOOKUP($C833,_CONFIG_Risk_Calibration!$A$5:$H$21,3,FALSE),0))</f>
        <v>0</v>
      </c>
      <c r="BL833">
        <f>IF($E833="","",IFERROR(VLOOKUP($C833,_CONFIG_Risk_Calibration!$A$5:$H$21,4,FALSE),3))</f>
        <v>3</v>
      </c>
      <c r="BM833">
        <f>IF($E833="","",IFERROR(VLOOKUP($C833,_CONFIG_Risk_Calibration!$A$5:$H$21,5,FALSE),3))</f>
        <v>4</v>
      </c>
      <c r="BN833" t="str">
        <f>IF($E833="","",IFERROR(VLOOKUP($C833,_CONFIG_Risk_Calibration!$A$5:$H$21,6,FALSE),"No"))</f>
        <v>Yes</v>
      </c>
      <c r="BO833">
        <f>IF($E833="","",IFERROR(VLOOKUP($C833,_CONFIG_Risk_Calibration!$A$5:$H$21,7,FALSE),1))</f>
        <v>4</v>
      </c>
      <c r="BP833">
        <f>IF($H833="","",MAX(1,MIN(5,((6-$H833)*0.45)+($BJ833*0.2)+('Resilience &amp; Risk Scenario'!$B$7*0.15)+($BK833*0.1)+($BL833*0.05)+(IF($BB833="Fast",5,IF($BB833="Slow",1,3))*0.05))))</f>
        <v>3.7</v>
      </c>
      <c r="BQ833">
        <f t="shared" si="205"/>
        <v>4.6499999999999995</v>
      </c>
      <c r="BR833">
        <f t="shared" si="206"/>
        <v>17.21</v>
      </c>
      <c r="BS833">
        <f t="shared" si="207"/>
        <v>23.66</v>
      </c>
      <c r="BT833" t="str">
        <f>IFERROR(INDEX(_REF_Capability_Bridge!$D:$D,MATCH($C833&amp;"|"&amp;$D833,_REF_Capability_Bridge!$J:$J,0)),IFERROR(INDEX(_REF_Capability_Bridge!$D:$D,MATCH($C833&amp;"|",_REF_Capability_Bridge!$J:$J,0)),"CAP_GENERIC"))</f>
        <v>CAP_PLATFORM_CONTINUITY</v>
      </c>
      <c r="BU833">
        <f>IFERROR(IFERROR(INDEX(_ENGINE_Relevance!$L:$L,MATCH($BT833,_ENGINE_Relevance!$B:$B,0)),1),1)</f>
        <v>1</v>
      </c>
      <c r="BV833" t="str">
        <f>IFERROR(INDEX(_REF_Capability_Bridge!$A:$A,MATCH($C833&amp;"|"&amp;$D833,_REF_Capability_Bridge!$J:$J,0)),IFERROR(INDEX(_REF_Capability_Bridge!$A:$A,MATCH($C833&amp;"|",_REF_Capability_Bridge!$J:$J,0)),"No bridge"))</f>
        <v>BRG-005</v>
      </c>
      <c r="BW833" t="str">
        <f t="shared" si="208"/>
        <v>Capability relevance neutral</v>
      </c>
      <c r="BX833" t="str">
        <f t="shared" si="209"/>
        <v>Initial / absent</v>
      </c>
      <c r="BY833" t="str">
        <f>IF($E833="","",IFERROR(INDEX(_REF_Treatment_Library!$A$2:$A$296,MATCH(1,INDEX((_REF_Treatment_Library!$B$2:$B$296=$BT833)*(_REF_Treatment_Library!$C$2:$C$296=PV_Canonical_Industry)*(_REF_Treatment_Library!$E$2:$E$296&lt;=N($H833))*(_REF_Treatment_Library!$F$2:$F$296&gt;=N($H833))*(_REF_Treatment_Library!$O$2:$O$296="Yes"),0),0)),IFERROR(INDEX(_REF_Treatment_Library!$A$2:$A$296,MATCH(1,INDEX((_REF_Treatment_Library!$B$2:$B$296=$BT833)*(_REF_Treatment_Library!$C$2:$C$296="All")*(_REF_Treatment_Library!$E$2:$E$296&lt;=N($H833))*(_REF_Treatment_Library!$F$2:$F$296&gt;=N($H833))*(_REF_Treatment_Library!$O$2:$O$296="Yes"),0),0)),"")))</f>
        <v>TRT-PLATFORM_CONTINUITY-INITIAL</v>
      </c>
      <c r="BZ833" t="str">
        <f>IF($BY833="","",IFERROR(INDEX(_REF_Treatment_Library!$H$2:$H$296,MATCH($BY833,_REF_Treatment_Library!$A$2:$A$296,0)),""))</f>
        <v>Establish</v>
      </c>
      <c r="CA833" t="str">
        <f>IF($BY833="","",IFERROR(INDEX(_REF_Treatment_Library!$I$2:$I$296,MATCH($BY833,_REF_Treatment_Library!$A$2:$A$296,0)),""))</f>
        <v>Establish baseline controls for Platform continuity</v>
      </c>
      <c r="CB833" t="str">
        <f>IF($BY833="","",IFERROR(INDEX(_REF_Treatment_Library!$K$2:$K$296,MATCH($BY833,_REF_Treatment_Library!$A$2:$A$296,0)),""))</f>
        <v>Named owner, baseline process, minimum control checklist, first evidence package</v>
      </c>
      <c r="CC833" t="str">
        <f>IF($BY833="","",IFERROR(INDEX(_REF_Treatment_Library!$L$2:$L$296,MATCH($BY833,_REF_Treatment_Library!$A$2:$A$296,0)),""))</f>
        <v>Owner assigned; baseline evidence coverage; open critical gaps</v>
      </c>
      <c r="CD833" t="str">
        <f t="shared" si="210"/>
        <v>Treatment by capability=CAP_PLATFORM_CONTINUITY; band=Initial / absent; score=0.0; treatment=Establish</v>
      </c>
      <c r="CE833" t="str">
        <f>IF($E833="","",IFERROR(INDEX(_REF_Industry_Wording!$A$2:$A$70,MATCH(1,INDEX((_REF_Industry_Wording!$B$2:$B$70=$BT833)*(_REF_Industry_Wording!$C$2:$C$70=PV_Canonical_Industry)*(_REF_Industry_Wording!$K$2:$K$70="Yes"),0),0)),IFERROR(INDEX(_REF_Industry_Wording!$A$2:$A$70,MATCH(1,INDEX((_REF_Industry_Wording!$B$2:$B$70=$BT833)*(_REF_Industry_Wording!$C$2:$C$70="All")*(_REF_Industry_Wording!$K$2:$K$70="Yes"),0),0)),"")))</f>
        <v>IW-ALL-PLATFORM_CONTINUITY</v>
      </c>
      <c r="CF833" t="str">
        <f>IF($CE833="","",IFERROR(INDEX(_REF_Industry_Wording!$E$2:$E$70,MATCH($CE833,_REF_Industry_Wording!$A$2:$A$70,0)),""))</f>
        <v>Platform continuity weakness</v>
      </c>
      <c r="CG833" t="str">
        <f>IF($CE833="","",IFERROR(INDEX(_REF_Industry_Wording!$F$2:$F$70,MATCH($CE833,_REF_Industry_Wording!$A$2:$A$70,0)),""))</f>
        <v>Strengthen Platform continuity</v>
      </c>
      <c r="CH833" t="str">
        <f>IF($CE833="","",IFERROR(INDEX(_REF_Industry_Wording!$G$2:$G$70,MATCH($CE833,_REF_Industry_Wording!$A$2:$A$70,0)),""))</f>
        <v>Strengthen Platform continuity using the selected maturity treatment, crisis scenario and evidence requirements.</v>
      </c>
      <c r="CI833" t="str">
        <f>IF($CE833="","",IFERROR(INDEX(_REF_Industry_Wording!$H$2:$H$70,MATCH($CE833,_REF_Industry_Wording!$A$2:$A$70,0)),""))</f>
        <v>Platform continuity</v>
      </c>
      <c r="CJ833">
        <f>IF($CE833="","",IFERROR(INDEX(_REF_Industry_Wording!$I$2:$I$70,MATCH($CE833,_REF_Industry_Wording!$A$2:$A$70,0)),""))</f>
        <v>0</v>
      </c>
      <c r="CK833" t="str">
        <f>IF($CE833="","",IFERROR(INDEX(_REF_Industry_Wording!$J$2:$J$70,MATCH($CE833,_REF_Industry_Wording!$A$2:$A$70,0)),""))</f>
        <v>Platform continuity</v>
      </c>
      <c r="CL833" t="str">
        <f t="shared" si="211"/>
        <v>Wording by industry=0; capability=CAP_PLATFORM_CONTINUITY; risk label=Platform continuity weakness</v>
      </c>
      <c r="CM833" t="str">
        <f t="shared" si="212"/>
        <v>RISK-ONT-0334</v>
      </c>
      <c r="CN833" t="str">
        <f t="shared" si="213"/>
        <v>RISK-EVT-0334</v>
      </c>
      <c r="CO833" t="str">
        <f t="shared" si="214"/>
        <v>Business Systems|HRMS and finance systems|BUSI-015|CAP_PLATFORM_CONTINUITY</v>
      </c>
      <c r="CP833" t="str">
        <f t="shared" si="215"/>
        <v>Active</v>
      </c>
      <c r="CQ833" t="str">
        <f t="shared" si="216"/>
        <v>OK: capability-driven</v>
      </c>
      <c r="CR833" t="str">
        <f t="shared" si="217"/>
        <v>Risk ontology uses capability=CAP_PLATFORM_CONTINUITY; bridge=BRG-005; treatment=TRT-PLATFORM_CONTINUITY-INITIAL; wording=IW-ALL-PLATFORM_CONTINUITY</v>
      </c>
      <c r="CS833" t="str">
        <f t="shared" si="218"/>
        <v>Yes</v>
      </c>
    </row>
    <row r="834" spans="1:97" ht="69.900000000000006" customHeight="1">
      <c r="A834">
        <f>IF(OR($B834&lt;&gt;"Yes",$BS834=""),"",SUMPRODUCT(($B$500:$B$923="Yes")*ISNUMBER($BS$500:$BS$923)*($BS$500:$BS$923&gt;$BS834))+COUNTIFS($B$500:$B834,"Yes",$BS$500:$BS834,$BS834))</f>
        <v>74</v>
      </c>
      <c r="B834" t="str">
        <f t="shared" si="187"/>
        <v>Yes</v>
      </c>
      <c r="C834" t="s">
        <v>2729</v>
      </c>
      <c r="D834" t="s">
        <v>2747</v>
      </c>
      <c r="E834" t="s">
        <v>2797</v>
      </c>
      <c r="F834" t="s">
        <v>4377</v>
      </c>
      <c r="G834" t="str">
        <f>IF($H834="","",IFERROR(INDEX(_ENGINE_Risk!$H$5:$M$499,MATCH($E834,_ENGINE_Risk!$A$5:$A$499,0),$H834+1),""))</f>
        <v>Severe risk: finance, banking, expense, payroll and procurement system integration or reconciliation is not reliably controlled. During IT outage; Decision failure; Process disruption, the organization may face ERP, CRM, MES or HRMS disruption, broken integrations and manual workarounds that fail under stress with limited visibility or accountability.</v>
      </c>
      <c r="H834">
        <f>IFERROR(VALUE(INDEX(_DATA_Assessment_Model!$H$5:$H$884,MATCH($E834,_DATA_Assessment_Model!$A$5:$A$884,0))),"")</f>
        <v>0</v>
      </c>
      <c r="I834" t="str">
        <f>IF($H834="","",IFERROR(INDEX(_DATA_Assessment_Model!$L$5:$L$884,MATCH($E834,_DATA_Assessment_Model!$A$5:$A$884,0)),IF($H834&lt;=1,"Critical",IF($H834=2,"High",IF($H834=3,"Medium",IF($H834=4,"Low","Resilient"))))))</f>
        <v>Critical</v>
      </c>
      <c r="J834">
        <f t="shared" si="188"/>
        <v>3.7</v>
      </c>
      <c r="K834">
        <f t="shared" si="189"/>
        <v>4.6499999999999995</v>
      </c>
      <c r="L834">
        <f t="shared" si="190"/>
        <v>17.204999999999998</v>
      </c>
      <c r="M834">
        <f t="shared" si="191"/>
        <v>4</v>
      </c>
      <c r="N834">
        <f>IF($H834="","",IFERROR(INDEX(_ENGINE_Risk!$T$5:$Y$499,MATCH($E834,_ENGINE_Risk!$A$5:$A$499,0),$H834+1),""))</f>
        <v>4</v>
      </c>
      <c r="O834">
        <f t="shared" si="192"/>
        <v>5</v>
      </c>
      <c r="P834">
        <f t="shared" si="193"/>
        <v>5</v>
      </c>
      <c r="Q834">
        <f t="shared" si="194"/>
        <v>5</v>
      </c>
      <c r="R834">
        <f t="shared" si="195"/>
        <v>5</v>
      </c>
      <c r="S834">
        <f t="shared" si="196"/>
        <v>1.25</v>
      </c>
      <c r="T834" t="str">
        <f>IF($H834="","",IFERROR(INDEX(_ENGINE_Risk!$N$5:$S$499,MATCH($E834,_ENGINE_Risk!$A$5:$A$499,0),$H834+1),""))</f>
        <v>Create an immediate risk owner, minimum control baseline and fallback procedure for finance, banking, expense, payroll and procurement system integration or reconciliation. Add it to the crisis risk register and collect first evidence.</v>
      </c>
      <c r="U834">
        <f>IFERROR(INDEX(_DATA_Assessment_Model!$G$5:$G$884,MATCH($E834,_DATA_Assessment_Model!$A$5:$A$884,0)),"")</f>
        <v>5</v>
      </c>
      <c r="V834">
        <f>IFERROR(INDEX(_DATA_Assessment_Model!$W$5:$W$884,MATCH($E834,_DATA_Assessment_Model!$A$5:$A$884,0)),"")</f>
        <v>5</v>
      </c>
      <c r="W834">
        <f>IFERROR(INDEX(_DATA_Assessment_Model!$X$5:$X$884,MATCH($E834,_DATA_Assessment_Model!$A$5:$A$884,0)),"")</f>
        <v>5</v>
      </c>
      <c r="X834">
        <f>IFERROR(INDEX(_DATA_Assessment_Model!$Y$5:$Y$884,MATCH($E834,_DATA_Assessment_Model!$A$5:$A$884,0)),"")</f>
        <v>5</v>
      </c>
      <c r="Y834" t="s">
        <v>2735</v>
      </c>
      <c r="Z834" t="s">
        <v>9137</v>
      </c>
      <c r="AA834" t="s">
        <v>2799</v>
      </c>
      <c r="AB834">
        <f>IFERROR(INDEX(_DATA_Assessment_Model!$U$5:$U$884,MATCH($E834,_DATA_Assessment_Model!$A$5:$A$884,0)),"")</f>
        <v>0</v>
      </c>
      <c r="AF834" t="s">
        <v>2798</v>
      </c>
      <c r="AO834">
        <f>IF($B834="Yes",IF(IFERROR(INDEX(_ENGINE_Crisis!$F$501:$F$517,MATCH($C834,_ENGINE_Crisis!$A$501:$A$517,0)),1)=0,1,IFERROR(INDEX(_ENGINE_Crisis!$F$501:$F$517,MATCH($C834,_ENGINE_Crisis!$A$501:$A$517,0)),1)),"")</f>
        <v>1</v>
      </c>
      <c r="AP834">
        <f t="shared" si="197"/>
        <v>17.2</v>
      </c>
      <c r="AQ834">
        <f t="shared" si="198"/>
        <v>1.25</v>
      </c>
      <c r="AR834" t="str">
        <f>IFERROR(INDEX(_ENGINE_Crisis!$E$41:$E$700,MATCH('Resilience &amp; Risk Scenario'!$B$6&amp;"|"&amp;$C834,_ENGINE_Crisis!$I$41:$I$700,0)),"")</f>
        <v/>
      </c>
      <c r="AS834" t="str">
        <f>IFERROR(INDEX(_ENGINE_Crisis!$G$41:$G$700,MATCH('Resilience &amp; Risk Scenario'!$B$6&amp;"|"&amp;$C834,_ENGINE_Crisis!$I$41:$I$700,0)),"")</f>
        <v/>
      </c>
      <c r="AT834" t="str">
        <f>IFERROR(INDEX(_ENGINE_Initiatives!$A$5:$A$532,MATCH(1,INDEX((_ENGINE_Initiatives!$B$5:$B$532=$C834)*(_ENGINE_Initiatives!$C$5:$C$532=$D834),0),0)),"")</f>
        <v>INI-056</v>
      </c>
      <c r="AU834" t="str">
        <f>IFERROR(INDEX(_ENGINE_Initiatives!$F$5:$F$532,MATCH(1,INDEX((_ENGINE_Initiatives!$B$5:$B$532=$C834)*(_ENGINE_Initiatives!$C$5:$C$532=$D834),0),0)),"")</f>
        <v>Stabilize HRMS, finance systems and core administrative workflows</v>
      </c>
      <c r="AV834">
        <f>IFERROR(INDEX(_ENGINE_Initiatives!$AC$5:$AC$532,MATCH(1,INDEX((_ENGINE_Initiatives!$B$5:$B$532=$C834)*(_ENGINE_Initiatives!$C$5:$C$532=$D834),0),0)),"")</f>
        <v>1.31</v>
      </c>
      <c r="AW834" t="str">
        <f>IFERROR(INDEX(_ENGINE_Initiatives!$AE$5:$AE$532,MATCH(1,INDEX((_ENGINE_Initiatives!$B$5:$B$532=$C834)*(_ENGINE_Initiatives!$C$5:$C$532=$D834),0),0)),"")</f>
        <v>12+ months</v>
      </c>
      <c r="AX834">
        <f>IF($B834="Yes",IFERROR((IF(SUMIFS(_REF_Model_Content!$E$1:$E$613,_REF_Model_Content!$A$1:$A$613,PV_Canonical_Industry,_REF_Model_Content!$B$1:$B$613,$C834)=0,1,SUMIFS(_REF_Model_Content!$E$1:$E$613,_REF_Model_Content!$A$1:$A$613,PV_Canonical_Industry,_REF_Model_Content!$B$1:$B$613,$C834))*IFERROR($BU834,1)),1),"")</f>
        <v>1</v>
      </c>
      <c r="AY834">
        <f t="shared" si="199"/>
        <v>17.2</v>
      </c>
      <c r="AZ834">
        <f t="shared" si="200"/>
        <v>1.25</v>
      </c>
      <c r="BB834" t="str">
        <f>IF($H834="","",IFERROR(INDEX(_ENGINE_Risk!$AE$5:$AE$499,MATCH($E834,_ENGINE_Risk!$A$5:$A$499,0)),"Medium"))</f>
        <v>Fast</v>
      </c>
      <c r="BC834">
        <f t="shared" si="201"/>
        <v>1.25</v>
      </c>
      <c r="BD834">
        <f t="shared" si="202"/>
        <v>1.25</v>
      </c>
      <c r="BF834">
        <f>IF(OR($H834="",$J834=""),"",IFERROR(VLOOKUP(ROUND($J834,0),_CONFIG_Model_Settings!$D$154:$E$158,2,0),""))</f>
        <v>0.5</v>
      </c>
      <c r="BG834">
        <f>IFERROR(IF(OR($H834="",$K834=""),"",ROUND('Company Profile'!$B$113*INDEX(_CONFIG_Model_Settings!$H$154:$H$158,MATCH(ROUND($K834,0),_CONFIG_Model_Settings!$G$154:$G$158,0)),0)),0)</f>
        <v>1875</v>
      </c>
      <c r="BH834">
        <f t="shared" si="203"/>
        <v>937.5</v>
      </c>
      <c r="BI834">
        <f t="shared" si="204"/>
        <v>937.5</v>
      </c>
      <c r="BJ834">
        <f>IF($E834="","",IFERROR(VLOOKUP($C834,_CONFIG_Risk_Calibration!$A$5:$H$21,2,FALSE),3))</f>
        <v>3</v>
      </c>
      <c r="BK834">
        <f>IF($E834="","",IFERROR(VLOOKUP($C834,_CONFIG_Risk_Calibration!$A$5:$H$21,3,FALSE),0))</f>
        <v>0</v>
      </c>
      <c r="BL834">
        <f>IF($E834="","",IFERROR(VLOOKUP($C834,_CONFIG_Risk_Calibration!$A$5:$H$21,4,FALSE),3))</f>
        <v>3</v>
      </c>
      <c r="BM834">
        <f>IF($E834="","",IFERROR(VLOOKUP($C834,_CONFIG_Risk_Calibration!$A$5:$H$21,5,FALSE),3))</f>
        <v>4</v>
      </c>
      <c r="BN834" t="str">
        <f>IF($E834="","",IFERROR(VLOOKUP($C834,_CONFIG_Risk_Calibration!$A$5:$H$21,6,FALSE),"No"))</f>
        <v>Yes</v>
      </c>
      <c r="BO834">
        <f>IF($E834="","",IFERROR(VLOOKUP($C834,_CONFIG_Risk_Calibration!$A$5:$H$21,7,FALSE),1))</f>
        <v>4</v>
      </c>
      <c r="BP834">
        <f>IF($H834="","",MAX(1,MIN(5,((6-$H834)*0.45)+($BJ834*0.2)+('Resilience &amp; Risk Scenario'!$B$7*0.15)+($BK834*0.1)+($BL834*0.05)+(IF($BB834="Fast",5,IF($BB834="Slow",1,3))*0.05))))</f>
        <v>3.7</v>
      </c>
      <c r="BQ834">
        <f t="shared" si="205"/>
        <v>4.6499999999999995</v>
      </c>
      <c r="BR834">
        <f t="shared" si="206"/>
        <v>17.21</v>
      </c>
      <c r="BS834">
        <f t="shared" si="207"/>
        <v>23.66</v>
      </c>
      <c r="BT834" t="str">
        <f>IFERROR(INDEX(_REF_Capability_Bridge!$D:$D,MATCH($C834&amp;"|"&amp;$D834,_REF_Capability_Bridge!$J:$J,0)),IFERROR(INDEX(_REF_Capability_Bridge!$D:$D,MATCH($C834&amp;"|",_REF_Capability_Bridge!$J:$J,0)),"CAP_GENERIC"))</f>
        <v>CAP_PLATFORM_CONTINUITY</v>
      </c>
      <c r="BU834">
        <f>IFERROR(IFERROR(INDEX(_ENGINE_Relevance!$L:$L,MATCH($BT834,_ENGINE_Relevance!$B:$B,0)),1),1)</f>
        <v>1</v>
      </c>
      <c r="BV834" t="str">
        <f>IFERROR(INDEX(_REF_Capability_Bridge!$A:$A,MATCH($C834&amp;"|"&amp;$D834,_REF_Capability_Bridge!$J:$J,0)),IFERROR(INDEX(_REF_Capability_Bridge!$A:$A,MATCH($C834&amp;"|",_REF_Capability_Bridge!$J:$J,0)),"No bridge"))</f>
        <v>BRG-005</v>
      </c>
      <c r="BW834" t="str">
        <f t="shared" si="208"/>
        <v>Capability relevance neutral</v>
      </c>
      <c r="BX834" t="str">
        <f t="shared" si="209"/>
        <v>Initial / absent</v>
      </c>
      <c r="BY834" t="str">
        <f>IF($E834="","",IFERROR(INDEX(_REF_Treatment_Library!$A$2:$A$296,MATCH(1,INDEX((_REF_Treatment_Library!$B$2:$B$296=$BT834)*(_REF_Treatment_Library!$C$2:$C$296=PV_Canonical_Industry)*(_REF_Treatment_Library!$E$2:$E$296&lt;=N($H834))*(_REF_Treatment_Library!$F$2:$F$296&gt;=N($H834))*(_REF_Treatment_Library!$O$2:$O$296="Yes"),0),0)),IFERROR(INDEX(_REF_Treatment_Library!$A$2:$A$296,MATCH(1,INDEX((_REF_Treatment_Library!$B$2:$B$296=$BT834)*(_REF_Treatment_Library!$C$2:$C$296="All")*(_REF_Treatment_Library!$E$2:$E$296&lt;=N($H834))*(_REF_Treatment_Library!$F$2:$F$296&gt;=N($H834))*(_REF_Treatment_Library!$O$2:$O$296="Yes"),0),0)),"")))</f>
        <v>TRT-PLATFORM_CONTINUITY-INITIAL</v>
      </c>
      <c r="BZ834" t="str">
        <f>IF($BY834="","",IFERROR(INDEX(_REF_Treatment_Library!$H$2:$H$296,MATCH($BY834,_REF_Treatment_Library!$A$2:$A$296,0)),""))</f>
        <v>Establish</v>
      </c>
      <c r="CA834" t="str">
        <f>IF($BY834="","",IFERROR(INDEX(_REF_Treatment_Library!$I$2:$I$296,MATCH($BY834,_REF_Treatment_Library!$A$2:$A$296,0)),""))</f>
        <v>Establish baseline controls for Platform continuity</v>
      </c>
      <c r="CB834" t="str">
        <f>IF($BY834="","",IFERROR(INDEX(_REF_Treatment_Library!$K$2:$K$296,MATCH($BY834,_REF_Treatment_Library!$A$2:$A$296,0)),""))</f>
        <v>Named owner, baseline process, minimum control checklist, first evidence package</v>
      </c>
      <c r="CC834" t="str">
        <f>IF($BY834="","",IFERROR(INDEX(_REF_Treatment_Library!$L$2:$L$296,MATCH($BY834,_REF_Treatment_Library!$A$2:$A$296,0)),""))</f>
        <v>Owner assigned; baseline evidence coverage; open critical gaps</v>
      </c>
      <c r="CD834" t="str">
        <f t="shared" si="210"/>
        <v>Treatment by capability=CAP_PLATFORM_CONTINUITY; band=Initial / absent; score=0.0; treatment=Establish</v>
      </c>
      <c r="CE834" t="str">
        <f>IF($E834="","",IFERROR(INDEX(_REF_Industry_Wording!$A$2:$A$70,MATCH(1,INDEX((_REF_Industry_Wording!$B$2:$B$70=$BT834)*(_REF_Industry_Wording!$C$2:$C$70=PV_Canonical_Industry)*(_REF_Industry_Wording!$K$2:$K$70="Yes"),0),0)),IFERROR(INDEX(_REF_Industry_Wording!$A$2:$A$70,MATCH(1,INDEX((_REF_Industry_Wording!$B$2:$B$70=$BT834)*(_REF_Industry_Wording!$C$2:$C$70="All")*(_REF_Industry_Wording!$K$2:$K$70="Yes"),0),0)),"")))</f>
        <v>IW-ALL-PLATFORM_CONTINUITY</v>
      </c>
      <c r="CF834" t="str">
        <f>IF($CE834="","",IFERROR(INDEX(_REF_Industry_Wording!$E$2:$E$70,MATCH($CE834,_REF_Industry_Wording!$A$2:$A$70,0)),""))</f>
        <v>Platform continuity weakness</v>
      </c>
      <c r="CG834" t="str">
        <f>IF($CE834="","",IFERROR(INDEX(_REF_Industry_Wording!$F$2:$F$70,MATCH($CE834,_REF_Industry_Wording!$A$2:$A$70,0)),""))</f>
        <v>Strengthen Platform continuity</v>
      </c>
      <c r="CH834" t="str">
        <f>IF($CE834="","",IFERROR(INDEX(_REF_Industry_Wording!$G$2:$G$70,MATCH($CE834,_REF_Industry_Wording!$A$2:$A$70,0)),""))</f>
        <v>Strengthen Platform continuity using the selected maturity treatment, crisis scenario and evidence requirements.</v>
      </c>
      <c r="CI834" t="str">
        <f>IF($CE834="","",IFERROR(INDEX(_REF_Industry_Wording!$H$2:$H$70,MATCH($CE834,_REF_Industry_Wording!$A$2:$A$70,0)),""))</f>
        <v>Platform continuity</v>
      </c>
      <c r="CJ834">
        <f>IF($CE834="","",IFERROR(INDEX(_REF_Industry_Wording!$I$2:$I$70,MATCH($CE834,_REF_Industry_Wording!$A$2:$A$70,0)),""))</f>
        <v>0</v>
      </c>
      <c r="CK834" t="str">
        <f>IF($CE834="","",IFERROR(INDEX(_REF_Industry_Wording!$J$2:$J$70,MATCH($CE834,_REF_Industry_Wording!$A$2:$A$70,0)),""))</f>
        <v>Platform continuity</v>
      </c>
      <c r="CL834" t="str">
        <f t="shared" si="211"/>
        <v>Wording by industry=0; capability=CAP_PLATFORM_CONTINUITY; risk label=Platform continuity weakness</v>
      </c>
      <c r="CM834" t="str">
        <f t="shared" si="212"/>
        <v>RISK-ONT-0335</v>
      </c>
      <c r="CN834" t="str">
        <f t="shared" si="213"/>
        <v>RISK-EVT-0335</v>
      </c>
      <c r="CO834" t="str">
        <f t="shared" si="214"/>
        <v>Business Systems|HRMS and finance systems|BUSI-016|CAP_PLATFORM_CONTINUITY</v>
      </c>
      <c r="CP834" t="str">
        <f t="shared" si="215"/>
        <v>Active</v>
      </c>
      <c r="CQ834" t="str">
        <f t="shared" si="216"/>
        <v>OK: capability-driven</v>
      </c>
      <c r="CR834" t="str">
        <f t="shared" si="217"/>
        <v>Risk ontology uses capability=CAP_PLATFORM_CONTINUITY; bridge=BRG-005; treatment=TRT-PLATFORM_CONTINUITY-INITIAL; wording=IW-ALL-PLATFORM_CONTINUITY</v>
      </c>
      <c r="CS834" t="str">
        <f t="shared" si="218"/>
        <v>Yes</v>
      </c>
    </row>
    <row r="835" spans="1:97" ht="69.900000000000006" customHeight="1">
      <c r="A835">
        <f>IF(OR($B835&lt;&gt;"Yes",$BS835=""),"",SUMPRODUCT(($B$500:$B$923="Yes")*ISNUMBER($BS$500:$BS$923)*($BS$500:$BS$923&gt;$BS835))+COUNTIFS($B$500:$B835,"Yes",$BS$500:$BS835,$BS835))</f>
        <v>96</v>
      </c>
      <c r="B835" t="str">
        <f t="shared" si="187"/>
        <v>Yes</v>
      </c>
      <c r="C835" t="s">
        <v>2729</v>
      </c>
      <c r="D835" t="s">
        <v>2751</v>
      </c>
      <c r="E835" t="s">
        <v>2800</v>
      </c>
      <c r="F835" t="s">
        <v>4377</v>
      </c>
      <c r="G835" t="str">
        <f>IF($H835="","",IFERROR(INDEX(_ENGINE_Risk!$H$5:$M$499,MATCH($E835,_ENGINE_Risk!$A$5:$A$499,0),$H835+1),""))</f>
        <v>Severe risk: system ownership with business owner, technical owner, data owner and support owner is not reliably controlled. During IT outage; Decision failure; Process disruption, the organization may face ERP, CRM, MES or HRMS disruption, broken integrations and manual workarounds that fail under stress with limited visibility or accountability.</v>
      </c>
      <c r="H835">
        <f>IFERROR(VALUE(INDEX(_DATA_Assessment_Model!$H$5:$H$884,MATCH($E835,_DATA_Assessment_Model!$A$5:$A$884,0))),"")</f>
        <v>0</v>
      </c>
      <c r="I835" t="str">
        <f>IF($H835="","",IFERROR(INDEX(_DATA_Assessment_Model!$L$5:$L$884,MATCH($E835,_DATA_Assessment_Model!$A$5:$A$884,0)),IF($H835&lt;=1,"Critical",IF($H835=2,"High",IF($H835=3,"Medium",IF($H835=4,"Low","Resilient"))))))</f>
        <v>Critical</v>
      </c>
      <c r="J835">
        <f t="shared" si="188"/>
        <v>3.7</v>
      </c>
      <c r="K835">
        <f t="shared" si="189"/>
        <v>4.4499999999999993</v>
      </c>
      <c r="L835">
        <f t="shared" si="190"/>
        <v>16.465</v>
      </c>
      <c r="M835">
        <f t="shared" si="191"/>
        <v>4</v>
      </c>
      <c r="N835">
        <f>IF($H835="","",IFERROR(INDEX(_ENGINE_Risk!$T$5:$Y$499,MATCH($E835,_ENGINE_Risk!$A$5:$A$499,0),$H835+1),""))</f>
        <v>4</v>
      </c>
      <c r="O835">
        <f t="shared" si="192"/>
        <v>4.666666666666667</v>
      </c>
      <c r="P835">
        <f t="shared" si="193"/>
        <v>5</v>
      </c>
      <c r="Q835">
        <f t="shared" si="194"/>
        <v>5</v>
      </c>
      <c r="R835">
        <f t="shared" si="195"/>
        <v>5</v>
      </c>
      <c r="S835">
        <f t="shared" si="196"/>
        <v>1.23</v>
      </c>
      <c r="T835" t="str">
        <f>IF($H835="","",IFERROR(INDEX(_ENGINE_Risk!$N$5:$S$499,MATCH($E835,_ENGINE_Risk!$A$5:$A$499,0),$H835+1),""))</f>
        <v>Create an immediate risk owner, minimum control baseline and fallback procedure for system ownership with business owner, technical owner, data owner and support owner. Add it to the crisis risk register and collect first evidence.</v>
      </c>
      <c r="U835">
        <f>IFERROR(INDEX(_DATA_Assessment_Model!$G$5:$G$884,MATCH($E835,_DATA_Assessment_Model!$A$5:$A$884,0)),"")</f>
        <v>4</v>
      </c>
      <c r="V835">
        <f>IFERROR(INDEX(_DATA_Assessment_Model!$W$5:$W$884,MATCH($E835,_DATA_Assessment_Model!$A$5:$A$884,0)),"")</f>
        <v>5</v>
      </c>
      <c r="W835">
        <f>IFERROR(INDEX(_DATA_Assessment_Model!$X$5:$X$884,MATCH($E835,_DATA_Assessment_Model!$A$5:$A$884,0)),"")</f>
        <v>5</v>
      </c>
      <c r="X835">
        <f>IFERROR(INDEX(_DATA_Assessment_Model!$Y$5:$Y$884,MATCH($E835,_DATA_Assessment_Model!$A$5:$A$884,0)),"")</f>
        <v>5</v>
      </c>
      <c r="Y835" t="s">
        <v>2735</v>
      </c>
      <c r="Z835" t="s">
        <v>9137</v>
      </c>
      <c r="AA835" t="s">
        <v>2802</v>
      </c>
      <c r="AB835">
        <f>IFERROR(INDEX(_DATA_Assessment_Model!$U$5:$U$884,MATCH($E835,_DATA_Assessment_Model!$A$5:$A$884,0)),"")</f>
        <v>0</v>
      </c>
      <c r="AF835" t="s">
        <v>2801</v>
      </c>
      <c r="AO835">
        <f>IF($B835="Yes",IF(IFERROR(INDEX(_ENGINE_Crisis!$F$501:$F$517,MATCH($C835,_ENGINE_Crisis!$A$501:$A$517,0)),1)=0,1,IFERROR(INDEX(_ENGINE_Crisis!$F$501:$F$517,MATCH($C835,_ENGINE_Crisis!$A$501:$A$517,0)),1)),"")</f>
        <v>1</v>
      </c>
      <c r="AP835">
        <f t="shared" si="197"/>
        <v>16.5</v>
      </c>
      <c r="AQ835">
        <f t="shared" si="198"/>
        <v>1.23</v>
      </c>
      <c r="AR835" t="str">
        <f>IFERROR(INDEX(_ENGINE_Crisis!$E$41:$E$700,MATCH('Resilience &amp; Risk Scenario'!$B$6&amp;"|"&amp;$C835,_ENGINE_Crisis!$I$41:$I$700,0)),"")</f>
        <v/>
      </c>
      <c r="AS835" t="str">
        <f>IFERROR(INDEX(_ENGINE_Crisis!$G$41:$G$700,MATCH('Resilience &amp; Risk Scenario'!$B$6&amp;"|"&amp;$C835,_ENGINE_Crisis!$I$41:$I$700,0)),"")</f>
        <v/>
      </c>
      <c r="AT835" t="str">
        <f>IFERROR(INDEX(_ENGINE_Initiatives!$A$5:$A$532,MATCH(1,INDEX((_ENGINE_Initiatives!$B$5:$B$532=$C835)*(_ENGINE_Initiatives!$C$5:$C$532=$D835),0),0)),"")</f>
        <v>INI-057</v>
      </c>
      <c r="AU835" t="str">
        <f>IFERROR(INDEX(_ENGINE_Initiatives!$F$5:$F$532,MATCH(1,INDEX((_ENGINE_Initiatives!$B$5:$B$532=$C835)*(_ENGINE_Initiatives!$C$5:$C$532=$D835),0),0)),"")</f>
        <v>Implement business-system governance and lifecycle control</v>
      </c>
      <c r="AV835">
        <f>IFERROR(INDEX(_ENGINE_Initiatives!$AC$5:$AC$532,MATCH(1,INDEX((_ENGINE_Initiatives!$B$5:$B$532=$C835)*(_ENGINE_Initiatives!$C$5:$C$532=$D835),0),0)),"")</f>
        <v>1.36</v>
      </c>
      <c r="AW835" t="str">
        <f>IFERROR(INDEX(_ENGINE_Initiatives!$AE$5:$AE$532,MATCH(1,INDEX((_ENGINE_Initiatives!$B$5:$B$532=$C835)*(_ENGINE_Initiatives!$C$5:$C$532=$D835),0),0)),"")</f>
        <v>12+ months</v>
      </c>
      <c r="AX835">
        <f>IF($B835="Yes",IFERROR((IF(SUMIFS(_REF_Model_Content!$E$1:$E$613,_REF_Model_Content!$A$1:$A$613,PV_Canonical_Industry,_REF_Model_Content!$B$1:$B$613,$C835)=0,1,SUMIFS(_REF_Model_Content!$E$1:$E$613,_REF_Model_Content!$A$1:$A$613,PV_Canonical_Industry,_REF_Model_Content!$B$1:$B$613,$C835))*IFERROR($BU835,1)),1),"")</f>
        <v>1</v>
      </c>
      <c r="AY835">
        <f t="shared" si="199"/>
        <v>16.5</v>
      </c>
      <c r="AZ835">
        <f t="shared" si="200"/>
        <v>1.23</v>
      </c>
      <c r="BB835" t="str">
        <f>IF($H835="","",IFERROR(INDEX(_ENGINE_Risk!$AE$5:$AE$499,MATCH($E835,_ENGINE_Risk!$A$5:$A$499,0)),"Medium"))</f>
        <v>Fast</v>
      </c>
      <c r="BC835">
        <f t="shared" si="201"/>
        <v>1.25</v>
      </c>
      <c r="BD835">
        <f t="shared" si="202"/>
        <v>1.23</v>
      </c>
      <c r="BF835">
        <f>IF(OR($H835="",$J835=""),"",IFERROR(VLOOKUP(ROUND($J835,0),_CONFIG_Model_Settings!$D$154:$E$158,2,0),""))</f>
        <v>0.5</v>
      </c>
      <c r="BG835">
        <f>IFERROR(IF(OR($H835="",$K835=""),"",ROUND('Company Profile'!$B$113*INDEX(_CONFIG_Model_Settings!$H$154:$H$158,MATCH(ROUND($K835,0),_CONFIG_Model_Settings!$G$154:$G$158,0)),0)),0)</f>
        <v>875</v>
      </c>
      <c r="BH835">
        <f t="shared" si="203"/>
        <v>437.5</v>
      </c>
      <c r="BI835">
        <f t="shared" si="204"/>
        <v>437.5</v>
      </c>
      <c r="BJ835">
        <f>IF($E835="","",IFERROR(VLOOKUP($C835,_CONFIG_Risk_Calibration!$A$5:$H$21,2,FALSE),3))</f>
        <v>3</v>
      </c>
      <c r="BK835">
        <f>IF($E835="","",IFERROR(VLOOKUP($C835,_CONFIG_Risk_Calibration!$A$5:$H$21,3,FALSE),0))</f>
        <v>0</v>
      </c>
      <c r="BL835">
        <f>IF($E835="","",IFERROR(VLOOKUP($C835,_CONFIG_Risk_Calibration!$A$5:$H$21,4,FALSE),3))</f>
        <v>3</v>
      </c>
      <c r="BM835">
        <f>IF($E835="","",IFERROR(VLOOKUP($C835,_CONFIG_Risk_Calibration!$A$5:$H$21,5,FALSE),3))</f>
        <v>4</v>
      </c>
      <c r="BN835" t="str">
        <f>IF($E835="","",IFERROR(VLOOKUP($C835,_CONFIG_Risk_Calibration!$A$5:$H$21,6,FALSE),"No"))</f>
        <v>Yes</v>
      </c>
      <c r="BO835">
        <f>IF($E835="","",IFERROR(VLOOKUP($C835,_CONFIG_Risk_Calibration!$A$5:$H$21,7,FALSE),1))</f>
        <v>4</v>
      </c>
      <c r="BP835">
        <f>IF($H835="","",MAX(1,MIN(5,((6-$H835)*0.45)+($BJ835*0.2)+('Resilience &amp; Risk Scenario'!$B$7*0.15)+($BK835*0.1)+($BL835*0.05)+(IF($BB835="Fast",5,IF($BB835="Slow",1,3))*0.05))))</f>
        <v>3.7</v>
      </c>
      <c r="BQ835">
        <f t="shared" si="205"/>
        <v>4.4499999999999993</v>
      </c>
      <c r="BR835">
        <f t="shared" si="206"/>
        <v>16.47</v>
      </c>
      <c r="BS835">
        <f t="shared" si="207"/>
        <v>22.65</v>
      </c>
      <c r="BT835" t="str">
        <f>IFERROR(INDEX(_REF_Capability_Bridge!$D:$D,MATCH($C835&amp;"|"&amp;$D835,_REF_Capability_Bridge!$J:$J,0)),IFERROR(INDEX(_REF_Capability_Bridge!$D:$D,MATCH($C835&amp;"|",_REF_Capability_Bridge!$J:$J,0)),"CAP_GENERIC"))</f>
        <v>CAP_PLATFORM_CONTINUITY</v>
      </c>
      <c r="BU835">
        <f>IFERROR(IFERROR(INDEX(_ENGINE_Relevance!$L:$L,MATCH($BT835,_ENGINE_Relevance!$B:$B,0)),1),1)</f>
        <v>1</v>
      </c>
      <c r="BV835" t="str">
        <f>IFERROR(INDEX(_REF_Capability_Bridge!$A:$A,MATCH($C835&amp;"|"&amp;$D835,_REF_Capability_Bridge!$J:$J,0)),IFERROR(INDEX(_REF_Capability_Bridge!$A:$A,MATCH($C835&amp;"|",_REF_Capability_Bridge!$J:$J,0)),"No bridge"))</f>
        <v>BRG-004</v>
      </c>
      <c r="BW835" t="str">
        <f t="shared" si="208"/>
        <v>Capability relevance neutral</v>
      </c>
      <c r="BX835" t="str">
        <f t="shared" si="209"/>
        <v>Initial / absent</v>
      </c>
      <c r="BY835" t="str">
        <f>IF($E835="","",IFERROR(INDEX(_REF_Treatment_Library!$A$2:$A$296,MATCH(1,INDEX((_REF_Treatment_Library!$B$2:$B$296=$BT835)*(_REF_Treatment_Library!$C$2:$C$296=PV_Canonical_Industry)*(_REF_Treatment_Library!$E$2:$E$296&lt;=N($H835))*(_REF_Treatment_Library!$F$2:$F$296&gt;=N($H835))*(_REF_Treatment_Library!$O$2:$O$296="Yes"),0),0)),IFERROR(INDEX(_REF_Treatment_Library!$A$2:$A$296,MATCH(1,INDEX((_REF_Treatment_Library!$B$2:$B$296=$BT835)*(_REF_Treatment_Library!$C$2:$C$296="All")*(_REF_Treatment_Library!$E$2:$E$296&lt;=N($H835))*(_REF_Treatment_Library!$F$2:$F$296&gt;=N($H835))*(_REF_Treatment_Library!$O$2:$O$296="Yes"),0),0)),"")))</f>
        <v>TRT-PLATFORM_CONTINUITY-INITIAL</v>
      </c>
      <c r="BZ835" t="str">
        <f>IF($BY835="","",IFERROR(INDEX(_REF_Treatment_Library!$H$2:$H$296,MATCH($BY835,_REF_Treatment_Library!$A$2:$A$296,0)),""))</f>
        <v>Establish</v>
      </c>
      <c r="CA835" t="str">
        <f>IF($BY835="","",IFERROR(INDEX(_REF_Treatment_Library!$I$2:$I$296,MATCH($BY835,_REF_Treatment_Library!$A$2:$A$296,0)),""))</f>
        <v>Establish baseline controls for Platform continuity</v>
      </c>
      <c r="CB835" t="str">
        <f>IF($BY835="","",IFERROR(INDEX(_REF_Treatment_Library!$K$2:$K$296,MATCH($BY835,_REF_Treatment_Library!$A$2:$A$296,0)),""))</f>
        <v>Named owner, baseline process, minimum control checklist, first evidence package</v>
      </c>
      <c r="CC835" t="str">
        <f>IF($BY835="","",IFERROR(INDEX(_REF_Treatment_Library!$L$2:$L$296,MATCH($BY835,_REF_Treatment_Library!$A$2:$A$296,0)),""))</f>
        <v>Owner assigned; baseline evidence coverage; open critical gaps</v>
      </c>
      <c r="CD835" t="str">
        <f t="shared" si="210"/>
        <v>Treatment by capability=CAP_PLATFORM_CONTINUITY; band=Initial / absent; score=0.0; treatment=Establish</v>
      </c>
      <c r="CE835" t="str">
        <f>IF($E835="","",IFERROR(INDEX(_REF_Industry_Wording!$A$2:$A$70,MATCH(1,INDEX((_REF_Industry_Wording!$B$2:$B$70=$BT835)*(_REF_Industry_Wording!$C$2:$C$70=PV_Canonical_Industry)*(_REF_Industry_Wording!$K$2:$K$70="Yes"),0),0)),IFERROR(INDEX(_REF_Industry_Wording!$A$2:$A$70,MATCH(1,INDEX((_REF_Industry_Wording!$B$2:$B$70=$BT835)*(_REF_Industry_Wording!$C$2:$C$70="All")*(_REF_Industry_Wording!$K$2:$K$70="Yes"),0),0)),"")))</f>
        <v>IW-ALL-PLATFORM_CONTINUITY</v>
      </c>
      <c r="CF835" t="str">
        <f>IF($CE835="","",IFERROR(INDEX(_REF_Industry_Wording!$E$2:$E$70,MATCH($CE835,_REF_Industry_Wording!$A$2:$A$70,0)),""))</f>
        <v>Platform continuity weakness</v>
      </c>
      <c r="CG835" t="str">
        <f>IF($CE835="","",IFERROR(INDEX(_REF_Industry_Wording!$F$2:$F$70,MATCH($CE835,_REF_Industry_Wording!$A$2:$A$70,0)),""))</f>
        <v>Strengthen Platform continuity</v>
      </c>
      <c r="CH835" t="str">
        <f>IF($CE835="","",IFERROR(INDEX(_REF_Industry_Wording!$G$2:$G$70,MATCH($CE835,_REF_Industry_Wording!$A$2:$A$70,0)),""))</f>
        <v>Strengthen Platform continuity using the selected maturity treatment, crisis scenario and evidence requirements.</v>
      </c>
      <c r="CI835" t="str">
        <f>IF($CE835="","",IFERROR(INDEX(_REF_Industry_Wording!$H$2:$H$70,MATCH($CE835,_REF_Industry_Wording!$A$2:$A$70,0)),""))</f>
        <v>Platform continuity</v>
      </c>
      <c r="CJ835">
        <f>IF($CE835="","",IFERROR(INDEX(_REF_Industry_Wording!$I$2:$I$70,MATCH($CE835,_REF_Industry_Wording!$A$2:$A$70,0)),""))</f>
        <v>0</v>
      </c>
      <c r="CK835" t="str">
        <f>IF($CE835="","",IFERROR(INDEX(_REF_Industry_Wording!$J$2:$J$70,MATCH($CE835,_REF_Industry_Wording!$A$2:$A$70,0)),""))</f>
        <v>Platform continuity</v>
      </c>
      <c r="CL835" t="str">
        <f t="shared" si="211"/>
        <v>Wording by industry=0; capability=CAP_PLATFORM_CONTINUITY; risk label=Platform continuity weakness</v>
      </c>
      <c r="CM835" t="str">
        <f t="shared" si="212"/>
        <v>RISK-ONT-0336</v>
      </c>
      <c r="CN835" t="str">
        <f t="shared" si="213"/>
        <v>RISK-EVT-0336</v>
      </c>
      <c r="CO835" t="str">
        <f t="shared" si="214"/>
        <v>Business Systems|Governance and lifecycle|BUSI-018|CAP_PLATFORM_CONTINUITY</v>
      </c>
      <c r="CP835" t="str">
        <f t="shared" si="215"/>
        <v>Active</v>
      </c>
      <c r="CQ835" t="str">
        <f t="shared" si="216"/>
        <v>OK: capability-driven</v>
      </c>
      <c r="CR835" t="str">
        <f t="shared" si="217"/>
        <v>Risk ontology uses capability=CAP_PLATFORM_CONTINUITY; bridge=BRG-004; treatment=TRT-PLATFORM_CONTINUITY-INITIAL; wording=IW-ALL-PLATFORM_CONTINUITY</v>
      </c>
      <c r="CS835" t="str">
        <f t="shared" si="218"/>
        <v>Yes</v>
      </c>
    </row>
    <row r="836" spans="1:97" ht="69.900000000000006" customHeight="1">
      <c r="A836">
        <f>IF(OR($B836&lt;&gt;"Yes",$BS836=""),"",SUMPRODUCT(($B$500:$B$923="Yes")*ISNUMBER($BS$500:$BS$923)*($BS$500:$BS$923&gt;$BS836))+COUNTIFS($B$500:$B836,"Yes",$BS$500:$BS836,$BS836))</f>
        <v>75</v>
      </c>
      <c r="B836" t="str">
        <f t="shared" si="187"/>
        <v>Yes</v>
      </c>
      <c r="C836" t="s">
        <v>2729</v>
      </c>
      <c r="D836" t="s">
        <v>2751</v>
      </c>
      <c r="E836" t="s">
        <v>2809</v>
      </c>
      <c r="F836" t="s">
        <v>4377</v>
      </c>
      <c r="G836" t="str">
        <f>IF($H836="","",IFERROR(INDEX(_ENGINE_Risk!$H$5:$M$499,MATCH($E836,_ENGINE_Risk!$A$5:$A$499,0),$H836+1),""))</f>
        <v>Severe risk: critical system lifecycle review for fit, cost, risk, security, scalability and replacement needs is not reliably controlled. During IT outage; Decision failure; Process disruption, the organization may face ERP, CRM, MES or HRMS disruption, broken integrations and manual workarounds that fail under stress with limited visibility or accountability.</v>
      </c>
      <c r="H836">
        <f>IFERROR(VALUE(INDEX(_DATA_Assessment_Model!$H$5:$H$884,MATCH($E836,_DATA_Assessment_Model!$A$5:$A$884,0))),"")</f>
        <v>0</v>
      </c>
      <c r="I836" t="str">
        <f>IF($H836="","",IFERROR(INDEX(_DATA_Assessment_Model!$L$5:$L$884,MATCH($E836,_DATA_Assessment_Model!$A$5:$A$884,0)),IF($H836&lt;=1,"Critical",IF($H836=2,"High",IF($H836=3,"Medium",IF($H836=4,"Low","Resilient"))))))</f>
        <v>Critical</v>
      </c>
      <c r="J836">
        <f t="shared" si="188"/>
        <v>3.7</v>
      </c>
      <c r="K836">
        <f t="shared" si="189"/>
        <v>4.6499999999999995</v>
      </c>
      <c r="L836">
        <f t="shared" si="190"/>
        <v>17.204999999999998</v>
      </c>
      <c r="M836">
        <f t="shared" si="191"/>
        <v>4</v>
      </c>
      <c r="N836">
        <f>IF($H836="","",IFERROR(INDEX(_ENGINE_Risk!$T$5:$Y$499,MATCH($E836,_ENGINE_Risk!$A$5:$A$499,0),$H836+1),""))</f>
        <v>4</v>
      </c>
      <c r="O836">
        <f t="shared" si="192"/>
        <v>5</v>
      </c>
      <c r="P836">
        <f t="shared" si="193"/>
        <v>5</v>
      </c>
      <c r="Q836">
        <f t="shared" si="194"/>
        <v>5</v>
      </c>
      <c r="R836">
        <f t="shared" si="195"/>
        <v>5</v>
      </c>
      <c r="S836">
        <f t="shared" si="196"/>
        <v>1.25</v>
      </c>
      <c r="T836" t="str">
        <f>IF($H836="","",IFERROR(INDEX(_ENGINE_Risk!$N$5:$S$499,MATCH($E836,_ENGINE_Risk!$A$5:$A$499,0),$H836+1),""))</f>
        <v>Create an immediate risk owner, minimum control baseline and fallback procedure for critical system lifecycle review for fit, cost, risk, security, scalability and replacement needs. Add it to the crisis risk register and collect first evidence.</v>
      </c>
      <c r="U836">
        <f>IFERROR(INDEX(_DATA_Assessment_Model!$G$5:$G$884,MATCH($E836,_DATA_Assessment_Model!$A$5:$A$884,0)),"")</f>
        <v>5</v>
      </c>
      <c r="V836">
        <f>IFERROR(INDEX(_DATA_Assessment_Model!$W$5:$W$884,MATCH($E836,_DATA_Assessment_Model!$A$5:$A$884,0)),"")</f>
        <v>5</v>
      </c>
      <c r="W836">
        <f>IFERROR(INDEX(_DATA_Assessment_Model!$X$5:$X$884,MATCH($E836,_DATA_Assessment_Model!$A$5:$A$884,0)),"")</f>
        <v>5</v>
      </c>
      <c r="X836">
        <f>IFERROR(INDEX(_DATA_Assessment_Model!$Y$5:$Y$884,MATCH($E836,_DATA_Assessment_Model!$A$5:$A$884,0)),"")</f>
        <v>5</v>
      </c>
      <c r="Y836" t="s">
        <v>2735</v>
      </c>
      <c r="Z836" t="s">
        <v>9137</v>
      </c>
      <c r="AA836" t="s">
        <v>2811</v>
      </c>
      <c r="AB836">
        <f>IFERROR(INDEX(_DATA_Assessment_Model!$U$5:$U$884,MATCH($E836,_DATA_Assessment_Model!$A$5:$A$884,0)),"")</f>
        <v>0</v>
      </c>
      <c r="AF836" t="s">
        <v>2810</v>
      </c>
      <c r="AO836">
        <f>IF($B836="Yes",IF(IFERROR(INDEX(_ENGINE_Crisis!$F$501:$F$517,MATCH($C836,_ENGINE_Crisis!$A$501:$A$517,0)),1)=0,1,IFERROR(INDEX(_ENGINE_Crisis!$F$501:$F$517,MATCH($C836,_ENGINE_Crisis!$A$501:$A$517,0)),1)),"")</f>
        <v>1</v>
      </c>
      <c r="AP836">
        <f t="shared" si="197"/>
        <v>17.2</v>
      </c>
      <c r="AQ836">
        <f t="shared" si="198"/>
        <v>1.25</v>
      </c>
      <c r="AR836" t="str">
        <f>IFERROR(INDEX(_ENGINE_Crisis!$E$41:$E$700,MATCH('Resilience &amp; Risk Scenario'!$B$6&amp;"|"&amp;$C836,_ENGINE_Crisis!$I$41:$I$700,0)),"")</f>
        <v/>
      </c>
      <c r="AS836" t="str">
        <f>IFERROR(INDEX(_ENGINE_Crisis!$G$41:$G$700,MATCH('Resilience &amp; Risk Scenario'!$B$6&amp;"|"&amp;$C836,_ENGINE_Crisis!$I$41:$I$700,0)),"")</f>
        <v/>
      </c>
      <c r="AT836" t="str">
        <f>IFERROR(INDEX(_ENGINE_Initiatives!$A$5:$A$532,MATCH(1,INDEX((_ENGINE_Initiatives!$B$5:$B$532=$C836)*(_ENGINE_Initiatives!$C$5:$C$532=$D836),0),0)),"")</f>
        <v>INI-057</v>
      </c>
      <c r="AU836" t="str">
        <f>IFERROR(INDEX(_ENGINE_Initiatives!$F$5:$F$532,MATCH(1,INDEX((_ENGINE_Initiatives!$B$5:$B$532=$C836)*(_ENGINE_Initiatives!$C$5:$C$532=$D836),0),0)),"")</f>
        <v>Implement business-system governance and lifecycle control</v>
      </c>
      <c r="AV836">
        <f>IFERROR(INDEX(_ENGINE_Initiatives!$AC$5:$AC$532,MATCH(1,INDEX((_ENGINE_Initiatives!$B$5:$B$532=$C836)*(_ENGINE_Initiatives!$C$5:$C$532=$D836),0),0)),"")</f>
        <v>1.36</v>
      </c>
      <c r="AW836" t="str">
        <f>IFERROR(INDEX(_ENGINE_Initiatives!$AE$5:$AE$532,MATCH(1,INDEX((_ENGINE_Initiatives!$B$5:$B$532=$C836)*(_ENGINE_Initiatives!$C$5:$C$532=$D836),0),0)),"")</f>
        <v>12+ months</v>
      </c>
      <c r="AX836">
        <f>IF($B836="Yes",IFERROR((IF(SUMIFS(_REF_Model_Content!$E$1:$E$613,_REF_Model_Content!$A$1:$A$613,PV_Canonical_Industry,_REF_Model_Content!$B$1:$B$613,$C836)=0,1,SUMIFS(_REF_Model_Content!$E$1:$E$613,_REF_Model_Content!$A$1:$A$613,PV_Canonical_Industry,_REF_Model_Content!$B$1:$B$613,$C836))*IFERROR($BU836,1)),1),"")</f>
        <v>1</v>
      </c>
      <c r="AY836">
        <f t="shared" si="199"/>
        <v>17.2</v>
      </c>
      <c r="AZ836">
        <f t="shared" si="200"/>
        <v>1.25</v>
      </c>
      <c r="BB836" t="str">
        <f>IF($H836="","",IFERROR(INDEX(_ENGINE_Risk!$AE$5:$AE$499,MATCH($E836,_ENGINE_Risk!$A$5:$A$499,0)),"Medium"))</f>
        <v>Fast</v>
      </c>
      <c r="BC836">
        <f t="shared" si="201"/>
        <v>1.25</v>
      </c>
      <c r="BD836">
        <f t="shared" si="202"/>
        <v>1.25</v>
      </c>
      <c r="BF836">
        <f>IF(OR($H836="",$J836=""),"",IFERROR(VLOOKUP(ROUND($J836,0),_CONFIG_Model_Settings!$D$154:$E$158,2,0),""))</f>
        <v>0.5</v>
      </c>
      <c r="BG836">
        <f>IFERROR(IF(OR($H836="",$K836=""),"",ROUND('Company Profile'!$B$113*INDEX(_CONFIG_Model_Settings!$H$154:$H$158,MATCH(ROUND($K836,0),_CONFIG_Model_Settings!$G$154:$G$158,0)),0)),0)</f>
        <v>1875</v>
      </c>
      <c r="BH836">
        <f t="shared" si="203"/>
        <v>937.5</v>
      </c>
      <c r="BI836">
        <f t="shared" si="204"/>
        <v>937.5</v>
      </c>
      <c r="BJ836">
        <f>IF($E836="","",IFERROR(VLOOKUP($C836,_CONFIG_Risk_Calibration!$A$5:$H$21,2,FALSE),3))</f>
        <v>3</v>
      </c>
      <c r="BK836">
        <f>IF($E836="","",IFERROR(VLOOKUP($C836,_CONFIG_Risk_Calibration!$A$5:$H$21,3,FALSE),0))</f>
        <v>0</v>
      </c>
      <c r="BL836">
        <f>IF($E836="","",IFERROR(VLOOKUP($C836,_CONFIG_Risk_Calibration!$A$5:$H$21,4,FALSE),3))</f>
        <v>3</v>
      </c>
      <c r="BM836">
        <f>IF($E836="","",IFERROR(VLOOKUP($C836,_CONFIG_Risk_Calibration!$A$5:$H$21,5,FALSE),3))</f>
        <v>4</v>
      </c>
      <c r="BN836" t="str">
        <f>IF($E836="","",IFERROR(VLOOKUP($C836,_CONFIG_Risk_Calibration!$A$5:$H$21,6,FALSE),"No"))</f>
        <v>Yes</v>
      </c>
      <c r="BO836">
        <f>IF($E836="","",IFERROR(VLOOKUP($C836,_CONFIG_Risk_Calibration!$A$5:$H$21,7,FALSE),1))</f>
        <v>4</v>
      </c>
      <c r="BP836">
        <f>IF($H836="","",MAX(1,MIN(5,((6-$H836)*0.45)+($BJ836*0.2)+('Resilience &amp; Risk Scenario'!$B$7*0.15)+($BK836*0.1)+($BL836*0.05)+(IF($BB836="Fast",5,IF($BB836="Slow",1,3))*0.05))))</f>
        <v>3.7</v>
      </c>
      <c r="BQ836">
        <f t="shared" si="205"/>
        <v>4.6499999999999995</v>
      </c>
      <c r="BR836">
        <f t="shared" si="206"/>
        <v>17.21</v>
      </c>
      <c r="BS836">
        <f t="shared" si="207"/>
        <v>23.66</v>
      </c>
      <c r="BT836" t="str">
        <f>IFERROR(INDEX(_REF_Capability_Bridge!$D:$D,MATCH($C836&amp;"|"&amp;$D836,_REF_Capability_Bridge!$J:$J,0)),IFERROR(INDEX(_REF_Capability_Bridge!$D:$D,MATCH($C836&amp;"|",_REF_Capability_Bridge!$J:$J,0)),"CAP_GENERIC"))</f>
        <v>CAP_PLATFORM_CONTINUITY</v>
      </c>
      <c r="BU836">
        <f>IFERROR(IFERROR(INDEX(_ENGINE_Relevance!$L:$L,MATCH($BT836,_ENGINE_Relevance!$B:$B,0)),1),1)</f>
        <v>1</v>
      </c>
      <c r="BV836" t="str">
        <f>IFERROR(INDEX(_REF_Capability_Bridge!$A:$A,MATCH($C836&amp;"|"&amp;$D836,_REF_Capability_Bridge!$J:$J,0)),IFERROR(INDEX(_REF_Capability_Bridge!$A:$A,MATCH($C836&amp;"|",_REF_Capability_Bridge!$J:$J,0)),"No bridge"))</f>
        <v>BRG-004</v>
      </c>
      <c r="BW836" t="str">
        <f t="shared" si="208"/>
        <v>Capability relevance neutral</v>
      </c>
      <c r="BX836" t="str">
        <f t="shared" si="209"/>
        <v>Initial / absent</v>
      </c>
      <c r="BY836" t="str">
        <f>IF($E836="","",IFERROR(INDEX(_REF_Treatment_Library!$A$2:$A$296,MATCH(1,INDEX((_REF_Treatment_Library!$B$2:$B$296=$BT836)*(_REF_Treatment_Library!$C$2:$C$296=PV_Canonical_Industry)*(_REF_Treatment_Library!$E$2:$E$296&lt;=N($H836))*(_REF_Treatment_Library!$F$2:$F$296&gt;=N($H836))*(_REF_Treatment_Library!$O$2:$O$296="Yes"),0),0)),IFERROR(INDEX(_REF_Treatment_Library!$A$2:$A$296,MATCH(1,INDEX((_REF_Treatment_Library!$B$2:$B$296=$BT836)*(_REF_Treatment_Library!$C$2:$C$296="All")*(_REF_Treatment_Library!$E$2:$E$296&lt;=N($H836))*(_REF_Treatment_Library!$F$2:$F$296&gt;=N($H836))*(_REF_Treatment_Library!$O$2:$O$296="Yes"),0),0)),"")))</f>
        <v>TRT-PLATFORM_CONTINUITY-INITIAL</v>
      </c>
      <c r="BZ836" t="str">
        <f>IF($BY836="","",IFERROR(INDEX(_REF_Treatment_Library!$H$2:$H$296,MATCH($BY836,_REF_Treatment_Library!$A$2:$A$296,0)),""))</f>
        <v>Establish</v>
      </c>
      <c r="CA836" t="str">
        <f>IF($BY836="","",IFERROR(INDEX(_REF_Treatment_Library!$I$2:$I$296,MATCH($BY836,_REF_Treatment_Library!$A$2:$A$296,0)),""))</f>
        <v>Establish baseline controls for Platform continuity</v>
      </c>
      <c r="CB836" t="str">
        <f>IF($BY836="","",IFERROR(INDEX(_REF_Treatment_Library!$K$2:$K$296,MATCH($BY836,_REF_Treatment_Library!$A$2:$A$296,0)),""))</f>
        <v>Named owner, baseline process, minimum control checklist, first evidence package</v>
      </c>
      <c r="CC836" t="str">
        <f>IF($BY836="","",IFERROR(INDEX(_REF_Treatment_Library!$L$2:$L$296,MATCH($BY836,_REF_Treatment_Library!$A$2:$A$296,0)),""))</f>
        <v>Owner assigned; baseline evidence coverage; open critical gaps</v>
      </c>
      <c r="CD836" t="str">
        <f t="shared" si="210"/>
        <v>Treatment by capability=CAP_PLATFORM_CONTINUITY; band=Initial / absent; score=0.0; treatment=Establish</v>
      </c>
      <c r="CE836" t="str">
        <f>IF($E836="","",IFERROR(INDEX(_REF_Industry_Wording!$A$2:$A$70,MATCH(1,INDEX((_REF_Industry_Wording!$B$2:$B$70=$BT836)*(_REF_Industry_Wording!$C$2:$C$70=PV_Canonical_Industry)*(_REF_Industry_Wording!$K$2:$K$70="Yes"),0),0)),IFERROR(INDEX(_REF_Industry_Wording!$A$2:$A$70,MATCH(1,INDEX((_REF_Industry_Wording!$B$2:$B$70=$BT836)*(_REF_Industry_Wording!$C$2:$C$70="All")*(_REF_Industry_Wording!$K$2:$K$70="Yes"),0),0)),"")))</f>
        <v>IW-ALL-PLATFORM_CONTINUITY</v>
      </c>
      <c r="CF836" t="str">
        <f>IF($CE836="","",IFERROR(INDEX(_REF_Industry_Wording!$E$2:$E$70,MATCH($CE836,_REF_Industry_Wording!$A$2:$A$70,0)),""))</f>
        <v>Platform continuity weakness</v>
      </c>
      <c r="CG836" t="str">
        <f>IF($CE836="","",IFERROR(INDEX(_REF_Industry_Wording!$F$2:$F$70,MATCH($CE836,_REF_Industry_Wording!$A$2:$A$70,0)),""))</f>
        <v>Strengthen Platform continuity</v>
      </c>
      <c r="CH836" t="str">
        <f>IF($CE836="","",IFERROR(INDEX(_REF_Industry_Wording!$G$2:$G$70,MATCH($CE836,_REF_Industry_Wording!$A$2:$A$70,0)),""))</f>
        <v>Strengthen Platform continuity using the selected maturity treatment, crisis scenario and evidence requirements.</v>
      </c>
      <c r="CI836" t="str">
        <f>IF($CE836="","",IFERROR(INDEX(_REF_Industry_Wording!$H$2:$H$70,MATCH($CE836,_REF_Industry_Wording!$A$2:$A$70,0)),""))</f>
        <v>Platform continuity</v>
      </c>
      <c r="CJ836">
        <f>IF($CE836="","",IFERROR(INDEX(_REF_Industry_Wording!$I$2:$I$70,MATCH($CE836,_REF_Industry_Wording!$A$2:$A$70,0)),""))</f>
        <v>0</v>
      </c>
      <c r="CK836" t="str">
        <f>IF($CE836="","",IFERROR(INDEX(_REF_Industry_Wording!$J$2:$J$70,MATCH($CE836,_REF_Industry_Wording!$A$2:$A$70,0)),""))</f>
        <v>Platform continuity</v>
      </c>
      <c r="CL836" t="str">
        <f t="shared" si="211"/>
        <v>Wording by industry=0; capability=CAP_PLATFORM_CONTINUITY; risk label=Platform continuity weakness</v>
      </c>
      <c r="CM836" t="str">
        <f t="shared" si="212"/>
        <v>RISK-ONT-0337</v>
      </c>
      <c r="CN836" t="str">
        <f t="shared" si="213"/>
        <v>RISK-EVT-0337</v>
      </c>
      <c r="CO836" t="str">
        <f t="shared" si="214"/>
        <v>Business Systems|Governance and lifecycle|BUSI-019|CAP_PLATFORM_CONTINUITY</v>
      </c>
      <c r="CP836" t="str">
        <f t="shared" si="215"/>
        <v>Active</v>
      </c>
      <c r="CQ836" t="str">
        <f t="shared" si="216"/>
        <v>OK: capability-driven</v>
      </c>
      <c r="CR836" t="str">
        <f t="shared" si="217"/>
        <v>Risk ontology uses capability=CAP_PLATFORM_CONTINUITY; bridge=BRG-004; treatment=TRT-PLATFORM_CONTINUITY-INITIAL; wording=IW-ALL-PLATFORM_CONTINUITY</v>
      </c>
      <c r="CS836" t="str">
        <f t="shared" si="218"/>
        <v>Yes</v>
      </c>
    </row>
    <row r="837" spans="1:97" ht="69.900000000000006" customHeight="1">
      <c r="A837">
        <f>IF(OR($B837&lt;&gt;"Yes",$BS837=""),"",SUMPRODUCT(($B$500:$B$923="Yes")*ISNUMBER($BS$500:$BS$923)*($BS$500:$BS$923&gt;$BS837))+COUNTIFS($B$500:$B837,"Yes",$BS$500:$BS837,$BS837))</f>
        <v>76</v>
      </c>
      <c r="B837" t="str">
        <f t="shared" si="187"/>
        <v>Yes</v>
      </c>
      <c r="C837" t="s">
        <v>2729</v>
      </c>
      <c r="D837" t="s">
        <v>2751</v>
      </c>
      <c r="E837" t="s">
        <v>2812</v>
      </c>
      <c r="F837" t="s">
        <v>4377</v>
      </c>
      <c r="G837" t="str">
        <f>IF($H837="","",IFERROR(INDEX(_ENGINE_Risk!$H$5:$M$499,MATCH($E837,_ENGINE_Risk!$A$5:$A$499,0),$H837+1),""))</f>
        <v>Severe risk: shadow IT inventory for business-critical spreadsheets, scripts, low-code apps and unmanaged SaaS is not reliably controlled. During IT outage; Decision failure; Process disruption, the organization may face ERP, CRM, MES or HRMS disruption, broken integrations and manual workarounds that fail under stress with limited visibility or accountability.</v>
      </c>
      <c r="H837">
        <f>IFERROR(VALUE(INDEX(_DATA_Assessment_Model!$H$5:$H$884,MATCH($E837,_DATA_Assessment_Model!$A$5:$A$884,0))),"")</f>
        <v>0</v>
      </c>
      <c r="I837" t="str">
        <f>IF($H837="","",IFERROR(INDEX(_DATA_Assessment_Model!$L$5:$L$884,MATCH($E837,_DATA_Assessment_Model!$A$5:$A$884,0)),IF($H837&lt;=1,"Critical",IF($H837=2,"High",IF($H837=3,"Medium",IF($H837=4,"Low","Resilient"))))))</f>
        <v>Critical</v>
      </c>
      <c r="J837">
        <f t="shared" si="188"/>
        <v>3.7</v>
      </c>
      <c r="K837">
        <f t="shared" si="189"/>
        <v>4.6499999999999995</v>
      </c>
      <c r="L837">
        <f t="shared" si="190"/>
        <v>17.204999999999998</v>
      </c>
      <c r="M837">
        <f t="shared" si="191"/>
        <v>4</v>
      </c>
      <c r="N837">
        <f>IF($H837="","",IFERROR(INDEX(_ENGINE_Risk!$T$5:$Y$499,MATCH($E837,_ENGINE_Risk!$A$5:$A$499,0),$H837+1),""))</f>
        <v>4</v>
      </c>
      <c r="O837">
        <f t="shared" si="192"/>
        <v>5</v>
      </c>
      <c r="P837">
        <f t="shared" si="193"/>
        <v>5</v>
      </c>
      <c r="Q837">
        <f t="shared" si="194"/>
        <v>5</v>
      </c>
      <c r="R837">
        <f t="shared" si="195"/>
        <v>5</v>
      </c>
      <c r="S837">
        <f t="shared" si="196"/>
        <v>1.25</v>
      </c>
      <c r="T837" t="str">
        <f>IF($H837="","",IFERROR(INDEX(_ENGINE_Risk!$N$5:$S$499,MATCH($E837,_ENGINE_Risk!$A$5:$A$499,0),$H837+1),""))</f>
        <v>Create an immediate risk owner, minimum control baseline and fallback procedure for shadow IT inventory for business-critical spreadsheets, scripts, low-code apps and unmanaged SaaS. Add it to the crisis risk register and collect first evidence.</v>
      </c>
      <c r="U837">
        <f>IFERROR(INDEX(_DATA_Assessment_Model!$G$5:$G$884,MATCH($E837,_DATA_Assessment_Model!$A$5:$A$884,0)),"")</f>
        <v>5</v>
      </c>
      <c r="V837">
        <f>IFERROR(INDEX(_DATA_Assessment_Model!$W$5:$W$884,MATCH($E837,_DATA_Assessment_Model!$A$5:$A$884,0)),"")</f>
        <v>5</v>
      </c>
      <c r="W837">
        <f>IFERROR(INDEX(_DATA_Assessment_Model!$X$5:$X$884,MATCH($E837,_DATA_Assessment_Model!$A$5:$A$884,0)),"")</f>
        <v>5</v>
      </c>
      <c r="X837">
        <f>IFERROR(INDEX(_DATA_Assessment_Model!$Y$5:$Y$884,MATCH($E837,_DATA_Assessment_Model!$A$5:$A$884,0)),"")</f>
        <v>5</v>
      </c>
      <c r="Y837" t="s">
        <v>2735</v>
      </c>
      <c r="Z837" t="s">
        <v>9137</v>
      </c>
      <c r="AA837" t="s">
        <v>2814</v>
      </c>
      <c r="AB837">
        <f>IFERROR(INDEX(_DATA_Assessment_Model!$U$5:$U$884,MATCH($E837,_DATA_Assessment_Model!$A$5:$A$884,0)),"")</f>
        <v>0</v>
      </c>
      <c r="AF837" t="s">
        <v>2813</v>
      </c>
      <c r="AO837">
        <f>IF($B837="Yes",IF(IFERROR(INDEX(_ENGINE_Crisis!$F$501:$F$517,MATCH($C837,_ENGINE_Crisis!$A$501:$A$517,0)),1)=0,1,IFERROR(INDEX(_ENGINE_Crisis!$F$501:$F$517,MATCH($C837,_ENGINE_Crisis!$A$501:$A$517,0)),1)),"")</f>
        <v>1</v>
      </c>
      <c r="AP837">
        <f t="shared" si="197"/>
        <v>17.2</v>
      </c>
      <c r="AQ837">
        <f t="shared" si="198"/>
        <v>1.25</v>
      </c>
      <c r="AR837" t="str">
        <f>IFERROR(INDEX(_ENGINE_Crisis!$E$41:$E$700,MATCH('Resilience &amp; Risk Scenario'!$B$6&amp;"|"&amp;$C837,_ENGINE_Crisis!$I$41:$I$700,0)),"")</f>
        <v/>
      </c>
      <c r="AS837" t="str">
        <f>IFERROR(INDEX(_ENGINE_Crisis!$G$41:$G$700,MATCH('Resilience &amp; Risk Scenario'!$B$6&amp;"|"&amp;$C837,_ENGINE_Crisis!$I$41:$I$700,0)),"")</f>
        <v/>
      </c>
      <c r="AT837" t="str">
        <f>IFERROR(INDEX(_ENGINE_Initiatives!$A$5:$A$532,MATCH(1,INDEX((_ENGINE_Initiatives!$B$5:$B$532=$C837)*(_ENGINE_Initiatives!$C$5:$C$532=$D837),0),0)),"")</f>
        <v>INI-057</v>
      </c>
      <c r="AU837" t="str">
        <f>IFERROR(INDEX(_ENGINE_Initiatives!$F$5:$F$532,MATCH(1,INDEX((_ENGINE_Initiatives!$B$5:$B$532=$C837)*(_ENGINE_Initiatives!$C$5:$C$532=$D837),0),0)),"")</f>
        <v>Implement business-system governance and lifecycle control</v>
      </c>
      <c r="AV837">
        <f>IFERROR(INDEX(_ENGINE_Initiatives!$AC$5:$AC$532,MATCH(1,INDEX((_ENGINE_Initiatives!$B$5:$B$532=$C837)*(_ENGINE_Initiatives!$C$5:$C$532=$D837),0),0)),"")</f>
        <v>1.36</v>
      </c>
      <c r="AW837" t="str">
        <f>IFERROR(INDEX(_ENGINE_Initiatives!$AE$5:$AE$532,MATCH(1,INDEX((_ENGINE_Initiatives!$B$5:$B$532=$C837)*(_ENGINE_Initiatives!$C$5:$C$532=$D837),0),0)),"")</f>
        <v>12+ months</v>
      </c>
      <c r="AX837">
        <f>IF($B837="Yes",IFERROR((IF(SUMIFS(_REF_Model_Content!$E$1:$E$613,_REF_Model_Content!$A$1:$A$613,PV_Canonical_Industry,_REF_Model_Content!$B$1:$B$613,$C837)=0,1,SUMIFS(_REF_Model_Content!$E$1:$E$613,_REF_Model_Content!$A$1:$A$613,PV_Canonical_Industry,_REF_Model_Content!$B$1:$B$613,$C837))*IFERROR($BU837,1)),1),"")</f>
        <v>1</v>
      </c>
      <c r="AY837">
        <f t="shared" si="199"/>
        <v>17.2</v>
      </c>
      <c r="AZ837">
        <f t="shared" si="200"/>
        <v>1.25</v>
      </c>
      <c r="BB837" t="str">
        <f>IF($H837="","",IFERROR(INDEX(_ENGINE_Risk!$AE$5:$AE$499,MATCH($E837,_ENGINE_Risk!$A$5:$A$499,0)),"Medium"))</f>
        <v>Fast</v>
      </c>
      <c r="BC837">
        <f t="shared" si="201"/>
        <v>1.25</v>
      </c>
      <c r="BD837">
        <f t="shared" si="202"/>
        <v>1.25</v>
      </c>
      <c r="BF837">
        <f>IF(OR($H837="",$J837=""),"",IFERROR(VLOOKUP(ROUND($J837,0),_CONFIG_Model_Settings!$D$154:$E$158,2,0),""))</f>
        <v>0.5</v>
      </c>
      <c r="BG837">
        <f>IFERROR(IF(OR($H837="",$K837=""),"",ROUND('Company Profile'!$B$113*INDEX(_CONFIG_Model_Settings!$H$154:$H$158,MATCH(ROUND($K837,0),_CONFIG_Model_Settings!$G$154:$G$158,0)),0)),0)</f>
        <v>1875</v>
      </c>
      <c r="BH837">
        <f t="shared" si="203"/>
        <v>937.5</v>
      </c>
      <c r="BI837">
        <f t="shared" si="204"/>
        <v>937.5</v>
      </c>
      <c r="BJ837">
        <f>IF($E837="","",IFERROR(VLOOKUP($C837,_CONFIG_Risk_Calibration!$A$5:$H$21,2,FALSE),3))</f>
        <v>3</v>
      </c>
      <c r="BK837">
        <f>IF($E837="","",IFERROR(VLOOKUP($C837,_CONFIG_Risk_Calibration!$A$5:$H$21,3,FALSE),0))</f>
        <v>0</v>
      </c>
      <c r="BL837">
        <f>IF($E837="","",IFERROR(VLOOKUP($C837,_CONFIG_Risk_Calibration!$A$5:$H$21,4,FALSE),3))</f>
        <v>3</v>
      </c>
      <c r="BM837">
        <f>IF($E837="","",IFERROR(VLOOKUP($C837,_CONFIG_Risk_Calibration!$A$5:$H$21,5,FALSE),3))</f>
        <v>4</v>
      </c>
      <c r="BN837" t="str">
        <f>IF($E837="","",IFERROR(VLOOKUP($C837,_CONFIG_Risk_Calibration!$A$5:$H$21,6,FALSE),"No"))</f>
        <v>Yes</v>
      </c>
      <c r="BO837">
        <f>IF($E837="","",IFERROR(VLOOKUP($C837,_CONFIG_Risk_Calibration!$A$5:$H$21,7,FALSE),1))</f>
        <v>4</v>
      </c>
      <c r="BP837">
        <f>IF($H837="","",MAX(1,MIN(5,((6-$H837)*0.45)+($BJ837*0.2)+('Resilience &amp; Risk Scenario'!$B$7*0.15)+($BK837*0.1)+($BL837*0.05)+(IF($BB837="Fast",5,IF($BB837="Slow",1,3))*0.05))))</f>
        <v>3.7</v>
      </c>
      <c r="BQ837">
        <f t="shared" si="205"/>
        <v>4.6499999999999995</v>
      </c>
      <c r="BR837">
        <f t="shared" si="206"/>
        <v>17.21</v>
      </c>
      <c r="BS837">
        <f t="shared" si="207"/>
        <v>23.66</v>
      </c>
      <c r="BT837" t="str">
        <f>IFERROR(INDEX(_REF_Capability_Bridge!$D:$D,MATCH($C837&amp;"|"&amp;$D837,_REF_Capability_Bridge!$J:$J,0)),IFERROR(INDEX(_REF_Capability_Bridge!$D:$D,MATCH($C837&amp;"|",_REF_Capability_Bridge!$J:$J,0)),"CAP_GENERIC"))</f>
        <v>CAP_PLATFORM_CONTINUITY</v>
      </c>
      <c r="BU837">
        <f>IFERROR(IFERROR(INDEX(_ENGINE_Relevance!$L:$L,MATCH($BT837,_ENGINE_Relevance!$B:$B,0)),1),1)</f>
        <v>1</v>
      </c>
      <c r="BV837" t="str">
        <f>IFERROR(INDEX(_REF_Capability_Bridge!$A:$A,MATCH($C837&amp;"|"&amp;$D837,_REF_Capability_Bridge!$J:$J,0)),IFERROR(INDEX(_REF_Capability_Bridge!$A:$A,MATCH($C837&amp;"|",_REF_Capability_Bridge!$J:$J,0)),"No bridge"))</f>
        <v>BRG-004</v>
      </c>
      <c r="BW837" t="str">
        <f t="shared" si="208"/>
        <v>Capability relevance neutral</v>
      </c>
      <c r="BX837" t="str">
        <f t="shared" si="209"/>
        <v>Initial / absent</v>
      </c>
      <c r="BY837" t="str">
        <f>IF($E837="","",IFERROR(INDEX(_REF_Treatment_Library!$A$2:$A$296,MATCH(1,INDEX((_REF_Treatment_Library!$B$2:$B$296=$BT837)*(_REF_Treatment_Library!$C$2:$C$296=PV_Canonical_Industry)*(_REF_Treatment_Library!$E$2:$E$296&lt;=N($H837))*(_REF_Treatment_Library!$F$2:$F$296&gt;=N($H837))*(_REF_Treatment_Library!$O$2:$O$296="Yes"),0),0)),IFERROR(INDEX(_REF_Treatment_Library!$A$2:$A$296,MATCH(1,INDEX((_REF_Treatment_Library!$B$2:$B$296=$BT837)*(_REF_Treatment_Library!$C$2:$C$296="All")*(_REF_Treatment_Library!$E$2:$E$296&lt;=N($H837))*(_REF_Treatment_Library!$F$2:$F$296&gt;=N($H837))*(_REF_Treatment_Library!$O$2:$O$296="Yes"),0),0)),"")))</f>
        <v>TRT-PLATFORM_CONTINUITY-INITIAL</v>
      </c>
      <c r="BZ837" t="str">
        <f>IF($BY837="","",IFERROR(INDEX(_REF_Treatment_Library!$H$2:$H$296,MATCH($BY837,_REF_Treatment_Library!$A$2:$A$296,0)),""))</f>
        <v>Establish</v>
      </c>
      <c r="CA837" t="str">
        <f>IF($BY837="","",IFERROR(INDEX(_REF_Treatment_Library!$I$2:$I$296,MATCH($BY837,_REF_Treatment_Library!$A$2:$A$296,0)),""))</f>
        <v>Establish baseline controls for Platform continuity</v>
      </c>
      <c r="CB837" t="str">
        <f>IF($BY837="","",IFERROR(INDEX(_REF_Treatment_Library!$K$2:$K$296,MATCH($BY837,_REF_Treatment_Library!$A$2:$A$296,0)),""))</f>
        <v>Named owner, baseline process, minimum control checklist, first evidence package</v>
      </c>
      <c r="CC837" t="str">
        <f>IF($BY837="","",IFERROR(INDEX(_REF_Treatment_Library!$L$2:$L$296,MATCH($BY837,_REF_Treatment_Library!$A$2:$A$296,0)),""))</f>
        <v>Owner assigned; baseline evidence coverage; open critical gaps</v>
      </c>
      <c r="CD837" t="str">
        <f t="shared" si="210"/>
        <v>Treatment by capability=CAP_PLATFORM_CONTINUITY; band=Initial / absent; score=0.0; treatment=Establish</v>
      </c>
      <c r="CE837" t="str">
        <f>IF($E837="","",IFERROR(INDEX(_REF_Industry_Wording!$A$2:$A$70,MATCH(1,INDEX((_REF_Industry_Wording!$B$2:$B$70=$BT837)*(_REF_Industry_Wording!$C$2:$C$70=PV_Canonical_Industry)*(_REF_Industry_Wording!$K$2:$K$70="Yes"),0),0)),IFERROR(INDEX(_REF_Industry_Wording!$A$2:$A$70,MATCH(1,INDEX((_REF_Industry_Wording!$B$2:$B$70=$BT837)*(_REF_Industry_Wording!$C$2:$C$70="All")*(_REF_Industry_Wording!$K$2:$K$70="Yes"),0),0)),"")))</f>
        <v>IW-ALL-PLATFORM_CONTINUITY</v>
      </c>
      <c r="CF837" t="str">
        <f>IF($CE837="","",IFERROR(INDEX(_REF_Industry_Wording!$E$2:$E$70,MATCH($CE837,_REF_Industry_Wording!$A$2:$A$70,0)),""))</f>
        <v>Platform continuity weakness</v>
      </c>
      <c r="CG837" t="str">
        <f>IF($CE837="","",IFERROR(INDEX(_REF_Industry_Wording!$F$2:$F$70,MATCH($CE837,_REF_Industry_Wording!$A$2:$A$70,0)),""))</f>
        <v>Strengthen Platform continuity</v>
      </c>
      <c r="CH837" t="str">
        <f>IF($CE837="","",IFERROR(INDEX(_REF_Industry_Wording!$G$2:$G$70,MATCH($CE837,_REF_Industry_Wording!$A$2:$A$70,0)),""))</f>
        <v>Strengthen Platform continuity using the selected maturity treatment, crisis scenario and evidence requirements.</v>
      </c>
      <c r="CI837" t="str">
        <f>IF($CE837="","",IFERROR(INDEX(_REF_Industry_Wording!$H$2:$H$70,MATCH($CE837,_REF_Industry_Wording!$A$2:$A$70,0)),""))</f>
        <v>Platform continuity</v>
      </c>
      <c r="CJ837">
        <f>IF($CE837="","",IFERROR(INDEX(_REF_Industry_Wording!$I$2:$I$70,MATCH($CE837,_REF_Industry_Wording!$A$2:$A$70,0)),""))</f>
        <v>0</v>
      </c>
      <c r="CK837" t="str">
        <f>IF($CE837="","",IFERROR(INDEX(_REF_Industry_Wording!$J$2:$J$70,MATCH($CE837,_REF_Industry_Wording!$A$2:$A$70,0)),""))</f>
        <v>Platform continuity</v>
      </c>
      <c r="CL837" t="str">
        <f t="shared" si="211"/>
        <v>Wording by industry=0; capability=CAP_PLATFORM_CONTINUITY; risk label=Platform continuity weakness</v>
      </c>
      <c r="CM837" t="str">
        <f t="shared" si="212"/>
        <v>RISK-ONT-0338</v>
      </c>
      <c r="CN837" t="str">
        <f t="shared" si="213"/>
        <v>RISK-EVT-0338</v>
      </c>
      <c r="CO837" t="str">
        <f t="shared" si="214"/>
        <v>Business Systems|Governance and lifecycle|BUSI-020|CAP_PLATFORM_CONTINUITY</v>
      </c>
      <c r="CP837" t="str">
        <f t="shared" si="215"/>
        <v>Active</v>
      </c>
      <c r="CQ837" t="str">
        <f t="shared" si="216"/>
        <v>OK: capability-driven</v>
      </c>
      <c r="CR837" t="str">
        <f t="shared" si="217"/>
        <v>Risk ontology uses capability=CAP_PLATFORM_CONTINUITY; bridge=BRG-004; treatment=TRT-PLATFORM_CONTINUITY-INITIAL; wording=IW-ALL-PLATFORM_CONTINUITY</v>
      </c>
      <c r="CS837" t="str">
        <f t="shared" si="218"/>
        <v>Yes</v>
      </c>
    </row>
    <row r="838" spans="1:97" ht="69.900000000000006" customHeight="1">
      <c r="A838">
        <f>IF(OR($B838&lt;&gt;"Yes",$BS838=""),"",SUMPRODUCT(($B$500:$B$923="Yes")*ISNUMBER($BS$500:$BS$923)*($BS$500:$BS$923&gt;$BS838))+COUNTIFS($B$500:$B838,"Yes",$BS$500:$BS838,$BS838))</f>
        <v>77</v>
      </c>
      <c r="B838" t="str">
        <f t="shared" si="187"/>
        <v>Yes</v>
      </c>
      <c r="C838" t="s">
        <v>2729</v>
      </c>
      <c r="D838" t="s">
        <v>2751</v>
      </c>
      <c r="E838" t="s">
        <v>2815</v>
      </c>
      <c r="F838" t="s">
        <v>4377</v>
      </c>
      <c r="G838" t="str">
        <f>IF($H838="","",IFERROR(INDEX(_ENGINE_Risk!$H$5:$M$499,MATCH($E838,_ENGINE_Risk!$A$5:$A$499,0),$H838+1),""))</f>
        <v>Severe risk: admin account governance across ERP, CRM, HRMS, MES, BI and SaaS tools is not reliably controlled. During IT outage; Decision failure; Process disruption, the organization may face ERP, CRM, MES or HRMS disruption, broken integrations and manual workarounds that fail under stress with limited visibility or accountability.</v>
      </c>
      <c r="H838">
        <f>IFERROR(VALUE(INDEX(_DATA_Assessment_Model!$H$5:$H$884,MATCH($E838,_DATA_Assessment_Model!$A$5:$A$884,0))),"")</f>
        <v>0</v>
      </c>
      <c r="I838" t="str">
        <f>IF($H838="","",IFERROR(INDEX(_DATA_Assessment_Model!$L$5:$L$884,MATCH($E838,_DATA_Assessment_Model!$A$5:$A$884,0)),IF($H838&lt;=1,"Critical",IF($H838=2,"High",IF($H838=3,"Medium",IF($H838=4,"Low","Resilient"))))))</f>
        <v>Critical</v>
      </c>
      <c r="J838">
        <f t="shared" si="188"/>
        <v>3.7</v>
      </c>
      <c r="K838">
        <f t="shared" si="189"/>
        <v>4.6499999999999995</v>
      </c>
      <c r="L838">
        <f t="shared" si="190"/>
        <v>17.204999999999998</v>
      </c>
      <c r="M838">
        <f t="shared" si="191"/>
        <v>4</v>
      </c>
      <c r="N838">
        <f>IF($H838="","",IFERROR(INDEX(_ENGINE_Risk!$T$5:$Y$499,MATCH($E838,_ENGINE_Risk!$A$5:$A$499,0),$H838+1),""))</f>
        <v>4</v>
      </c>
      <c r="O838">
        <f t="shared" si="192"/>
        <v>5</v>
      </c>
      <c r="P838">
        <f t="shared" si="193"/>
        <v>5</v>
      </c>
      <c r="Q838">
        <f t="shared" si="194"/>
        <v>5</v>
      </c>
      <c r="R838">
        <f t="shared" si="195"/>
        <v>5</v>
      </c>
      <c r="S838">
        <f t="shared" si="196"/>
        <v>1.25</v>
      </c>
      <c r="T838" t="str">
        <f>IF($H838="","",IFERROR(INDEX(_ENGINE_Risk!$N$5:$S$499,MATCH($E838,_ENGINE_Risk!$A$5:$A$499,0),$H838+1),""))</f>
        <v>Create an immediate risk owner, minimum control baseline and fallback procedure for admin account governance across ERP, CRM, HRMS, MES, BI and SaaS tools. Add it to the crisis risk register and collect first evidence.</v>
      </c>
      <c r="U838">
        <f>IFERROR(INDEX(_DATA_Assessment_Model!$G$5:$G$884,MATCH($E838,_DATA_Assessment_Model!$A$5:$A$884,0)),"")</f>
        <v>5</v>
      </c>
      <c r="V838">
        <f>IFERROR(INDEX(_DATA_Assessment_Model!$W$5:$W$884,MATCH($E838,_DATA_Assessment_Model!$A$5:$A$884,0)),"")</f>
        <v>5</v>
      </c>
      <c r="W838">
        <f>IFERROR(INDEX(_DATA_Assessment_Model!$X$5:$X$884,MATCH($E838,_DATA_Assessment_Model!$A$5:$A$884,0)),"")</f>
        <v>5</v>
      </c>
      <c r="X838">
        <f>IFERROR(INDEX(_DATA_Assessment_Model!$Y$5:$Y$884,MATCH($E838,_DATA_Assessment_Model!$A$5:$A$884,0)),"")</f>
        <v>5</v>
      </c>
      <c r="Y838" t="s">
        <v>2735</v>
      </c>
      <c r="Z838" t="s">
        <v>9137</v>
      </c>
      <c r="AA838" t="s">
        <v>2817</v>
      </c>
      <c r="AB838">
        <f>IFERROR(INDEX(_DATA_Assessment_Model!$U$5:$U$884,MATCH($E838,_DATA_Assessment_Model!$A$5:$A$884,0)),"")</f>
        <v>0</v>
      </c>
      <c r="AF838" t="s">
        <v>2816</v>
      </c>
      <c r="AO838">
        <f>IF($B838="Yes",IF(IFERROR(INDEX(_ENGINE_Crisis!$F$501:$F$517,MATCH($C838,_ENGINE_Crisis!$A$501:$A$517,0)),1)=0,1,IFERROR(INDEX(_ENGINE_Crisis!$F$501:$F$517,MATCH($C838,_ENGINE_Crisis!$A$501:$A$517,0)),1)),"")</f>
        <v>1</v>
      </c>
      <c r="AP838">
        <f t="shared" si="197"/>
        <v>17.2</v>
      </c>
      <c r="AQ838">
        <f t="shared" si="198"/>
        <v>1.25</v>
      </c>
      <c r="AR838" t="str">
        <f>IFERROR(INDEX(_ENGINE_Crisis!$E$41:$E$700,MATCH('Resilience &amp; Risk Scenario'!$B$6&amp;"|"&amp;$C838,_ENGINE_Crisis!$I$41:$I$700,0)),"")</f>
        <v/>
      </c>
      <c r="AS838" t="str">
        <f>IFERROR(INDEX(_ENGINE_Crisis!$G$41:$G$700,MATCH('Resilience &amp; Risk Scenario'!$B$6&amp;"|"&amp;$C838,_ENGINE_Crisis!$I$41:$I$700,0)),"")</f>
        <v/>
      </c>
      <c r="AT838" t="str">
        <f>IFERROR(INDEX(_ENGINE_Initiatives!$A$5:$A$532,MATCH(1,INDEX((_ENGINE_Initiatives!$B$5:$B$532=$C838)*(_ENGINE_Initiatives!$C$5:$C$532=$D838),0),0)),"")</f>
        <v>INI-057</v>
      </c>
      <c r="AU838" t="str">
        <f>IFERROR(INDEX(_ENGINE_Initiatives!$F$5:$F$532,MATCH(1,INDEX((_ENGINE_Initiatives!$B$5:$B$532=$C838)*(_ENGINE_Initiatives!$C$5:$C$532=$D838),0),0)),"")</f>
        <v>Implement business-system governance and lifecycle control</v>
      </c>
      <c r="AV838">
        <f>IFERROR(INDEX(_ENGINE_Initiatives!$AC$5:$AC$532,MATCH(1,INDEX((_ENGINE_Initiatives!$B$5:$B$532=$C838)*(_ENGINE_Initiatives!$C$5:$C$532=$D838),0),0)),"")</f>
        <v>1.36</v>
      </c>
      <c r="AW838" t="str">
        <f>IFERROR(INDEX(_ENGINE_Initiatives!$AE$5:$AE$532,MATCH(1,INDEX((_ENGINE_Initiatives!$B$5:$B$532=$C838)*(_ENGINE_Initiatives!$C$5:$C$532=$D838),0),0)),"")</f>
        <v>12+ months</v>
      </c>
      <c r="AX838">
        <f>IF($B838="Yes",IFERROR((IF(SUMIFS(_REF_Model_Content!$E$1:$E$613,_REF_Model_Content!$A$1:$A$613,PV_Canonical_Industry,_REF_Model_Content!$B$1:$B$613,$C838)=0,1,SUMIFS(_REF_Model_Content!$E$1:$E$613,_REF_Model_Content!$A$1:$A$613,PV_Canonical_Industry,_REF_Model_Content!$B$1:$B$613,$C838))*IFERROR($BU838,1)),1),"")</f>
        <v>1</v>
      </c>
      <c r="AY838">
        <f t="shared" si="199"/>
        <v>17.2</v>
      </c>
      <c r="AZ838">
        <f t="shared" si="200"/>
        <v>1.25</v>
      </c>
      <c r="BB838" t="str">
        <f>IF($H838="","",IFERROR(INDEX(_ENGINE_Risk!$AE$5:$AE$499,MATCH($E838,_ENGINE_Risk!$A$5:$A$499,0)),"Medium"))</f>
        <v>Fast</v>
      </c>
      <c r="BC838">
        <f t="shared" si="201"/>
        <v>1.25</v>
      </c>
      <c r="BD838">
        <f t="shared" si="202"/>
        <v>1.25</v>
      </c>
      <c r="BF838">
        <f>IF(OR($H838="",$J838=""),"",IFERROR(VLOOKUP(ROUND($J838,0),_CONFIG_Model_Settings!$D$154:$E$158,2,0),""))</f>
        <v>0.5</v>
      </c>
      <c r="BG838">
        <f>IFERROR(IF(OR($H838="",$K838=""),"",ROUND('Company Profile'!$B$113*INDEX(_CONFIG_Model_Settings!$H$154:$H$158,MATCH(ROUND($K838,0),_CONFIG_Model_Settings!$G$154:$G$158,0)),0)),0)</f>
        <v>1875</v>
      </c>
      <c r="BH838">
        <f t="shared" si="203"/>
        <v>937.5</v>
      </c>
      <c r="BI838">
        <f t="shared" si="204"/>
        <v>937.5</v>
      </c>
      <c r="BJ838">
        <f>IF($E838="","",IFERROR(VLOOKUP($C838,_CONFIG_Risk_Calibration!$A$5:$H$21,2,FALSE),3))</f>
        <v>3</v>
      </c>
      <c r="BK838">
        <f>IF($E838="","",IFERROR(VLOOKUP($C838,_CONFIG_Risk_Calibration!$A$5:$H$21,3,FALSE),0))</f>
        <v>0</v>
      </c>
      <c r="BL838">
        <f>IF($E838="","",IFERROR(VLOOKUP($C838,_CONFIG_Risk_Calibration!$A$5:$H$21,4,FALSE),3))</f>
        <v>3</v>
      </c>
      <c r="BM838">
        <f>IF($E838="","",IFERROR(VLOOKUP($C838,_CONFIG_Risk_Calibration!$A$5:$H$21,5,FALSE),3))</f>
        <v>4</v>
      </c>
      <c r="BN838" t="str">
        <f>IF($E838="","",IFERROR(VLOOKUP($C838,_CONFIG_Risk_Calibration!$A$5:$H$21,6,FALSE),"No"))</f>
        <v>Yes</v>
      </c>
      <c r="BO838">
        <f>IF($E838="","",IFERROR(VLOOKUP($C838,_CONFIG_Risk_Calibration!$A$5:$H$21,7,FALSE),1))</f>
        <v>4</v>
      </c>
      <c r="BP838">
        <f>IF($H838="","",MAX(1,MIN(5,((6-$H838)*0.45)+($BJ838*0.2)+('Resilience &amp; Risk Scenario'!$B$7*0.15)+($BK838*0.1)+($BL838*0.05)+(IF($BB838="Fast",5,IF($BB838="Slow",1,3))*0.05))))</f>
        <v>3.7</v>
      </c>
      <c r="BQ838">
        <f t="shared" si="205"/>
        <v>4.6499999999999995</v>
      </c>
      <c r="BR838">
        <f t="shared" si="206"/>
        <v>17.21</v>
      </c>
      <c r="BS838">
        <f t="shared" si="207"/>
        <v>23.66</v>
      </c>
      <c r="BT838" t="str">
        <f>IFERROR(INDEX(_REF_Capability_Bridge!$D:$D,MATCH($C838&amp;"|"&amp;$D838,_REF_Capability_Bridge!$J:$J,0)),IFERROR(INDEX(_REF_Capability_Bridge!$D:$D,MATCH($C838&amp;"|",_REF_Capability_Bridge!$J:$J,0)),"CAP_GENERIC"))</f>
        <v>CAP_PLATFORM_CONTINUITY</v>
      </c>
      <c r="BU838">
        <f>IFERROR(IFERROR(INDEX(_ENGINE_Relevance!$L:$L,MATCH($BT838,_ENGINE_Relevance!$B:$B,0)),1),1)</f>
        <v>1</v>
      </c>
      <c r="BV838" t="str">
        <f>IFERROR(INDEX(_REF_Capability_Bridge!$A:$A,MATCH($C838&amp;"|"&amp;$D838,_REF_Capability_Bridge!$J:$J,0)),IFERROR(INDEX(_REF_Capability_Bridge!$A:$A,MATCH($C838&amp;"|",_REF_Capability_Bridge!$J:$J,0)),"No bridge"))</f>
        <v>BRG-004</v>
      </c>
      <c r="BW838" t="str">
        <f t="shared" si="208"/>
        <v>Capability relevance neutral</v>
      </c>
      <c r="BX838" t="str">
        <f t="shared" si="209"/>
        <v>Initial / absent</v>
      </c>
      <c r="BY838" t="str">
        <f>IF($E838="","",IFERROR(INDEX(_REF_Treatment_Library!$A$2:$A$296,MATCH(1,INDEX((_REF_Treatment_Library!$B$2:$B$296=$BT838)*(_REF_Treatment_Library!$C$2:$C$296=PV_Canonical_Industry)*(_REF_Treatment_Library!$E$2:$E$296&lt;=N($H838))*(_REF_Treatment_Library!$F$2:$F$296&gt;=N($H838))*(_REF_Treatment_Library!$O$2:$O$296="Yes"),0),0)),IFERROR(INDEX(_REF_Treatment_Library!$A$2:$A$296,MATCH(1,INDEX((_REF_Treatment_Library!$B$2:$B$296=$BT838)*(_REF_Treatment_Library!$C$2:$C$296="All")*(_REF_Treatment_Library!$E$2:$E$296&lt;=N($H838))*(_REF_Treatment_Library!$F$2:$F$296&gt;=N($H838))*(_REF_Treatment_Library!$O$2:$O$296="Yes"),0),0)),"")))</f>
        <v>TRT-PLATFORM_CONTINUITY-INITIAL</v>
      </c>
      <c r="BZ838" t="str">
        <f>IF($BY838="","",IFERROR(INDEX(_REF_Treatment_Library!$H$2:$H$296,MATCH($BY838,_REF_Treatment_Library!$A$2:$A$296,0)),""))</f>
        <v>Establish</v>
      </c>
      <c r="CA838" t="str">
        <f>IF($BY838="","",IFERROR(INDEX(_REF_Treatment_Library!$I$2:$I$296,MATCH($BY838,_REF_Treatment_Library!$A$2:$A$296,0)),""))</f>
        <v>Establish baseline controls for Platform continuity</v>
      </c>
      <c r="CB838" t="str">
        <f>IF($BY838="","",IFERROR(INDEX(_REF_Treatment_Library!$K$2:$K$296,MATCH($BY838,_REF_Treatment_Library!$A$2:$A$296,0)),""))</f>
        <v>Named owner, baseline process, minimum control checklist, first evidence package</v>
      </c>
      <c r="CC838" t="str">
        <f>IF($BY838="","",IFERROR(INDEX(_REF_Treatment_Library!$L$2:$L$296,MATCH($BY838,_REF_Treatment_Library!$A$2:$A$296,0)),""))</f>
        <v>Owner assigned; baseline evidence coverage; open critical gaps</v>
      </c>
      <c r="CD838" t="str">
        <f t="shared" si="210"/>
        <v>Treatment by capability=CAP_PLATFORM_CONTINUITY; band=Initial / absent; score=0.0; treatment=Establish</v>
      </c>
      <c r="CE838" t="str">
        <f>IF($E838="","",IFERROR(INDEX(_REF_Industry_Wording!$A$2:$A$70,MATCH(1,INDEX((_REF_Industry_Wording!$B$2:$B$70=$BT838)*(_REF_Industry_Wording!$C$2:$C$70=PV_Canonical_Industry)*(_REF_Industry_Wording!$K$2:$K$70="Yes"),0),0)),IFERROR(INDEX(_REF_Industry_Wording!$A$2:$A$70,MATCH(1,INDEX((_REF_Industry_Wording!$B$2:$B$70=$BT838)*(_REF_Industry_Wording!$C$2:$C$70="All")*(_REF_Industry_Wording!$K$2:$K$70="Yes"),0),0)),"")))</f>
        <v>IW-ALL-PLATFORM_CONTINUITY</v>
      </c>
      <c r="CF838" t="str">
        <f>IF($CE838="","",IFERROR(INDEX(_REF_Industry_Wording!$E$2:$E$70,MATCH($CE838,_REF_Industry_Wording!$A$2:$A$70,0)),""))</f>
        <v>Platform continuity weakness</v>
      </c>
      <c r="CG838" t="str">
        <f>IF($CE838="","",IFERROR(INDEX(_REF_Industry_Wording!$F$2:$F$70,MATCH($CE838,_REF_Industry_Wording!$A$2:$A$70,0)),""))</f>
        <v>Strengthen Platform continuity</v>
      </c>
      <c r="CH838" t="str">
        <f>IF($CE838="","",IFERROR(INDEX(_REF_Industry_Wording!$G$2:$G$70,MATCH($CE838,_REF_Industry_Wording!$A$2:$A$70,0)),""))</f>
        <v>Strengthen Platform continuity using the selected maturity treatment, crisis scenario and evidence requirements.</v>
      </c>
      <c r="CI838" t="str">
        <f>IF($CE838="","",IFERROR(INDEX(_REF_Industry_Wording!$H$2:$H$70,MATCH($CE838,_REF_Industry_Wording!$A$2:$A$70,0)),""))</f>
        <v>Platform continuity</v>
      </c>
      <c r="CJ838">
        <f>IF($CE838="","",IFERROR(INDEX(_REF_Industry_Wording!$I$2:$I$70,MATCH($CE838,_REF_Industry_Wording!$A$2:$A$70,0)),""))</f>
        <v>0</v>
      </c>
      <c r="CK838" t="str">
        <f>IF($CE838="","",IFERROR(INDEX(_REF_Industry_Wording!$J$2:$J$70,MATCH($CE838,_REF_Industry_Wording!$A$2:$A$70,0)),""))</f>
        <v>Platform continuity</v>
      </c>
      <c r="CL838" t="str">
        <f t="shared" si="211"/>
        <v>Wording by industry=0; capability=CAP_PLATFORM_CONTINUITY; risk label=Platform continuity weakness</v>
      </c>
      <c r="CM838" t="str">
        <f t="shared" si="212"/>
        <v>RISK-ONT-0339</v>
      </c>
      <c r="CN838" t="str">
        <f t="shared" si="213"/>
        <v>RISK-EVT-0339</v>
      </c>
      <c r="CO838" t="str">
        <f t="shared" si="214"/>
        <v>Business Systems|Governance and lifecycle|BUSI-021|CAP_PLATFORM_CONTINUITY</v>
      </c>
      <c r="CP838" t="str">
        <f t="shared" si="215"/>
        <v>Active</v>
      </c>
      <c r="CQ838" t="str">
        <f t="shared" si="216"/>
        <v>OK: capability-driven</v>
      </c>
      <c r="CR838" t="str">
        <f t="shared" si="217"/>
        <v>Risk ontology uses capability=CAP_PLATFORM_CONTINUITY; bridge=BRG-004; treatment=TRT-PLATFORM_CONTINUITY-INITIAL; wording=IW-ALL-PLATFORM_CONTINUITY</v>
      </c>
      <c r="CS838" t="str">
        <f t="shared" si="218"/>
        <v>Yes</v>
      </c>
    </row>
    <row r="839" spans="1:97" ht="69.900000000000006" customHeight="1">
      <c r="A839">
        <f>IF(OR($B839&lt;&gt;"Yes",$BS839=""),"",SUMPRODUCT(($B$500:$B$923="Yes")*ISNUMBER($BS$500:$BS$923)*($BS$500:$BS$923&gt;$BS839))+COUNTIFS($B$500:$B839,"Yes",$BS$500:$BS839,$BS839))</f>
        <v>78</v>
      </c>
      <c r="B839" t="str">
        <f t="shared" si="187"/>
        <v>Yes</v>
      </c>
      <c r="C839" t="s">
        <v>2729</v>
      </c>
      <c r="D839" t="s">
        <v>2751</v>
      </c>
      <c r="E839" t="s">
        <v>2818</v>
      </c>
      <c r="F839" t="s">
        <v>4377</v>
      </c>
      <c r="G839" t="str">
        <f>IF($H839="","",IFERROR(INDEX(_ENGINE_Risk!$H$5:$M$499,MATCH($E839,_ENGINE_Risk!$A$5:$A$499,0),$H839+1),""))</f>
        <v>Severe risk: data portability and export procedures for critical systems is not reliably controlled. During IT outage; Decision failure; Process disruption, the organization may face ERP, CRM, MES or HRMS disruption, broken integrations and manual workarounds that fail under stress with limited visibility or accountability.</v>
      </c>
      <c r="H839">
        <f>IFERROR(VALUE(INDEX(_DATA_Assessment_Model!$H$5:$H$884,MATCH($E839,_DATA_Assessment_Model!$A$5:$A$884,0))),"")</f>
        <v>0</v>
      </c>
      <c r="I839" t="str">
        <f>IF($H839="","",IFERROR(INDEX(_DATA_Assessment_Model!$L$5:$L$884,MATCH($E839,_DATA_Assessment_Model!$A$5:$A$884,0)),IF($H839&lt;=1,"Critical",IF($H839=2,"High",IF($H839=3,"Medium",IF($H839=4,"Low","Resilient"))))))</f>
        <v>Critical</v>
      </c>
      <c r="J839">
        <f t="shared" si="188"/>
        <v>3.7</v>
      </c>
      <c r="K839">
        <f t="shared" si="189"/>
        <v>4.6499999999999995</v>
      </c>
      <c r="L839">
        <f t="shared" si="190"/>
        <v>17.204999999999998</v>
      </c>
      <c r="M839">
        <f t="shared" si="191"/>
        <v>4</v>
      </c>
      <c r="N839">
        <f>IF($H839="","",IFERROR(INDEX(_ENGINE_Risk!$T$5:$Y$499,MATCH($E839,_ENGINE_Risk!$A$5:$A$499,0),$H839+1),""))</f>
        <v>4</v>
      </c>
      <c r="O839">
        <f t="shared" si="192"/>
        <v>5</v>
      </c>
      <c r="P839">
        <f t="shared" si="193"/>
        <v>5</v>
      </c>
      <c r="Q839">
        <f t="shared" si="194"/>
        <v>5</v>
      </c>
      <c r="R839">
        <f t="shared" si="195"/>
        <v>5</v>
      </c>
      <c r="S839">
        <f t="shared" si="196"/>
        <v>1.25</v>
      </c>
      <c r="T839" t="str">
        <f>IF($H839="","",IFERROR(INDEX(_ENGINE_Risk!$N$5:$S$499,MATCH($E839,_ENGINE_Risk!$A$5:$A$499,0),$H839+1),""))</f>
        <v>Create an immediate risk owner, minimum control baseline and fallback procedure for data portability and export procedures for critical systems. Add it to the crisis risk register and collect first evidence.</v>
      </c>
      <c r="U839">
        <f>IFERROR(INDEX(_DATA_Assessment_Model!$G$5:$G$884,MATCH($E839,_DATA_Assessment_Model!$A$5:$A$884,0)),"")</f>
        <v>5</v>
      </c>
      <c r="V839">
        <f>IFERROR(INDEX(_DATA_Assessment_Model!$W$5:$W$884,MATCH($E839,_DATA_Assessment_Model!$A$5:$A$884,0)),"")</f>
        <v>5</v>
      </c>
      <c r="W839">
        <f>IFERROR(INDEX(_DATA_Assessment_Model!$X$5:$X$884,MATCH($E839,_DATA_Assessment_Model!$A$5:$A$884,0)),"")</f>
        <v>5</v>
      </c>
      <c r="X839">
        <f>IFERROR(INDEX(_DATA_Assessment_Model!$Y$5:$Y$884,MATCH($E839,_DATA_Assessment_Model!$A$5:$A$884,0)),"")</f>
        <v>5</v>
      </c>
      <c r="Y839" t="s">
        <v>2735</v>
      </c>
      <c r="Z839" t="s">
        <v>9137</v>
      </c>
      <c r="AA839" t="s">
        <v>2820</v>
      </c>
      <c r="AB839">
        <f>IFERROR(INDEX(_DATA_Assessment_Model!$U$5:$U$884,MATCH($E839,_DATA_Assessment_Model!$A$5:$A$884,0)),"")</f>
        <v>0</v>
      </c>
      <c r="AF839" t="s">
        <v>2819</v>
      </c>
      <c r="AO839">
        <f>IF($B839="Yes",IF(IFERROR(INDEX(_ENGINE_Crisis!$F$501:$F$517,MATCH($C839,_ENGINE_Crisis!$A$501:$A$517,0)),1)=0,1,IFERROR(INDEX(_ENGINE_Crisis!$F$501:$F$517,MATCH($C839,_ENGINE_Crisis!$A$501:$A$517,0)),1)),"")</f>
        <v>1</v>
      </c>
      <c r="AP839">
        <f t="shared" si="197"/>
        <v>17.2</v>
      </c>
      <c r="AQ839">
        <f t="shared" si="198"/>
        <v>1.25</v>
      </c>
      <c r="AR839" t="str">
        <f>IFERROR(INDEX(_ENGINE_Crisis!$E$41:$E$700,MATCH('Resilience &amp; Risk Scenario'!$B$6&amp;"|"&amp;$C839,_ENGINE_Crisis!$I$41:$I$700,0)),"")</f>
        <v/>
      </c>
      <c r="AS839" t="str">
        <f>IFERROR(INDEX(_ENGINE_Crisis!$G$41:$G$700,MATCH('Resilience &amp; Risk Scenario'!$B$6&amp;"|"&amp;$C839,_ENGINE_Crisis!$I$41:$I$700,0)),"")</f>
        <v/>
      </c>
      <c r="AT839" t="str">
        <f>IFERROR(INDEX(_ENGINE_Initiatives!$A$5:$A$532,MATCH(1,INDEX((_ENGINE_Initiatives!$B$5:$B$532=$C839)*(_ENGINE_Initiatives!$C$5:$C$532=$D839),0),0)),"")</f>
        <v>INI-057</v>
      </c>
      <c r="AU839" t="str">
        <f>IFERROR(INDEX(_ENGINE_Initiatives!$F$5:$F$532,MATCH(1,INDEX((_ENGINE_Initiatives!$B$5:$B$532=$C839)*(_ENGINE_Initiatives!$C$5:$C$532=$D839),0),0)),"")</f>
        <v>Implement business-system governance and lifecycle control</v>
      </c>
      <c r="AV839">
        <f>IFERROR(INDEX(_ENGINE_Initiatives!$AC$5:$AC$532,MATCH(1,INDEX((_ENGINE_Initiatives!$B$5:$B$532=$C839)*(_ENGINE_Initiatives!$C$5:$C$532=$D839),0),0)),"")</f>
        <v>1.36</v>
      </c>
      <c r="AW839" t="str">
        <f>IFERROR(INDEX(_ENGINE_Initiatives!$AE$5:$AE$532,MATCH(1,INDEX((_ENGINE_Initiatives!$B$5:$B$532=$C839)*(_ENGINE_Initiatives!$C$5:$C$532=$D839),0),0)),"")</f>
        <v>12+ months</v>
      </c>
      <c r="AX839">
        <f>IF($B839="Yes",IFERROR((IF(SUMIFS(_REF_Model_Content!$E$1:$E$613,_REF_Model_Content!$A$1:$A$613,PV_Canonical_Industry,_REF_Model_Content!$B$1:$B$613,$C839)=0,1,SUMIFS(_REF_Model_Content!$E$1:$E$613,_REF_Model_Content!$A$1:$A$613,PV_Canonical_Industry,_REF_Model_Content!$B$1:$B$613,$C839))*IFERROR($BU839,1)),1),"")</f>
        <v>1</v>
      </c>
      <c r="AY839">
        <f t="shared" si="199"/>
        <v>17.2</v>
      </c>
      <c r="AZ839">
        <f t="shared" si="200"/>
        <v>1.25</v>
      </c>
      <c r="BB839" t="str">
        <f>IF($H839="","",IFERROR(INDEX(_ENGINE_Risk!$AE$5:$AE$499,MATCH($E839,_ENGINE_Risk!$A$5:$A$499,0)),"Medium"))</f>
        <v>Fast</v>
      </c>
      <c r="BC839">
        <f t="shared" si="201"/>
        <v>1.25</v>
      </c>
      <c r="BD839">
        <f t="shared" si="202"/>
        <v>1.25</v>
      </c>
      <c r="BF839">
        <f>IF(OR($H839="",$J839=""),"",IFERROR(VLOOKUP(ROUND($J839,0),_CONFIG_Model_Settings!$D$154:$E$158,2,0),""))</f>
        <v>0.5</v>
      </c>
      <c r="BG839">
        <f>IFERROR(IF(OR($H839="",$K839=""),"",ROUND('Company Profile'!$B$113*INDEX(_CONFIG_Model_Settings!$H$154:$H$158,MATCH(ROUND($K839,0),_CONFIG_Model_Settings!$G$154:$G$158,0)),0)),0)</f>
        <v>1875</v>
      </c>
      <c r="BH839">
        <f t="shared" si="203"/>
        <v>937.5</v>
      </c>
      <c r="BI839">
        <f t="shared" si="204"/>
        <v>937.5</v>
      </c>
      <c r="BJ839">
        <f>IF($E839="","",IFERROR(VLOOKUP($C839,_CONFIG_Risk_Calibration!$A$5:$H$21,2,FALSE),3))</f>
        <v>3</v>
      </c>
      <c r="BK839">
        <f>IF($E839="","",IFERROR(VLOOKUP($C839,_CONFIG_Risk_Calibration!$A$5:$H$21,3,FALSE),0))</f>
        <v>0</v>
      </c>
      <c r="BL839">
        <f>IF($E839="","",IFERROR(VLOOKUP($C839,_CONFIG_Risk_Calibration!$A$5:$H$21,4,FALSE),3))</f>
        <v>3</v>
      </c>
      <c r="BM839">
        <f>IF($E839="","",IFERROR(VLOOKUP($C839,_CONFIG_Risk_Calibration!$A$5:$H$21,5,FALSE),3))</f>
        <v>4</v>
      </c>
      <c r="BN839" t="str">
        <f>IF($E839="","",IFERROR(VLOOKUP($C839,_CONFIG_Risk_Calibration!$A$5:$H$21,6,FALSE),"No"))</f>
        <v>Yes</v>
      </c>
      <c r="BO839">
        <f>IF($E839="","",IFERROR(VLOOKUP($C839,_CONFIG_Risk_Calibration!$A$5:$H$21,7,FALSE),1))</f>
        <v>4</v>
      </c>
      <c r="BP839">
        <f>IF($H839="","",MAX(1,MIN(5,((6-$H839)*0.45)+($BJ839*0.2)+('Resilience &amp; Risk Scenario'!$B$7*0.15)+($BK839*0.1)+($BL839*0.05)+(IF($BB839="Fast",5,IF($BB839="Slow",1,3))*0.05))))</f>
        <v>3.7</v>
      </c>
      <c r="BQ839">
        <f t="shared" si="205"/>
        <v>4.6499999999999995</v>
      </c>
      <c r="BR839">
        <f t="shared" si="206"/>
        <v>17.21</v>
      </c>
      <c r="BS839">
        <f t="shared" si="207"/>
        <v>23.66</v>
      </c>
      <c r="BT839" t="str">
        <f>IFERROR(INDEX(_REF_Capability_Bridge!$D:$D,MATCH($C839&amp;"|"&amp;$D839,_REF_Capability_Bridge!$J:$J,0)),IFERROR(INDEX(_REF_Capability_Bridge!$D:$D,MATCH($C839&amp;"|",_REF_Capability_Bridge!$J:$J,0)),"CAP_GENERIC"))</f>
        <v>CAP_PLATFORM_CONTINUITY</v>
      </c>
      <c r="BU839">
        <f>IFERROR(IFERROR(INDEX(_ENGINE_Relevance!$L:$L,MATCH($BT839,_ENGINE_Relevance!$B:$B,0)),1),1)</f>
        <v>1</v>
      </c>
      <c r="BV839" t="str">
        <f>IFERROR(INDEX(_REF_Capability_Bridge!$A:$A,MATCH($C839&amp;"|"&amp;$D839,_REF_Capability_Bridge!$J:$J,0)),IFERROR(INDEX(_REF_Capability_Bridge!$A:$A,MATCH($C839&amp;"|",_REF_Capability_Bridge!$J:$J,0)),"No bridge"))</f>
        <v>BRG-004</v>
      </c>
      <c r="BW839" t="str">
        <f t="shared" si="208"/>
        <v>Capability relevance neutral</v>
      </c>
      <c r="BX839" t="str">
        <f t="shared" si="209"/>
        <v>Initial / absent</v>
      </c>
      <c r="BY839" t="str">
        <f>IF($E839="","",IFERROR(INDEX(_REF_Treatment_Library!$A$2:$A$296,MATCH(1,INDEX((_REF_Treatment_Library!$B$2:$B$296=$BT839)*(_REF_Treatment_Library!$C$2:$C$296=PV_Canonical_Industry)*(_REF_Treatment_Library!$E$2:$E$296&lt;=N($H839))*(_REF_Treatment_Library!$F$2:$F$296&gt;=N($H839))*(_REF_Treatment_Library!$O$2:$O$296="Yes"),0),0)),IFERROR(INDEX(_REF_Treatment_Library!$A$2:$A$296,MATCH(1,INDEX((_REF_Treatment_Library!$B$2:$B$296=$BT839)*(_REF_Treatment_Library!$C$2:$C$296="All")*(_REF_Treatment_Library!$E$2:$E$296&lt;=N($H839))*(_REF_Treatment_Library!$F$2:$F$296&gt;=N($H839))*(_REF_Treatment_Library!$O$2:$O$296="Yes"),0),0)),"")))</f>
        <v>TRT-PLATFORM_CONTINUITY-INITIAL</v>
      </c>
      <c r="BZ839" t="str">
        <f>IF($BY839="","",IFERROR(INDEX(_REF_Treatment_Library!$H$2:$H$296,MATCH($BY839,_REF_Treatment_Library!$A$2:$A$296,0)),""))</f>
        <v>Establish</v>
      </c>
      <c r="CA839" t="str">
        <f>IF($BY839="","",IFERROR(INDEX(_REF_Treatment_Library!$I$2:$I$296,MATCH($BY839,_REF_Treatment_Library!$A$2:$A$296,0)),""))</f>
        <v>Establish baseline controls for Platform continuity</v>
      </c>
      <c r="CB839" t="str">
        <f>IF($BY839="","",IFERROR(INDEX(_REF_Treatment_Library!$K$2:$K$296,MATCH($BY839,_REF_Treatment_Library!$A$2:$A$296,0)),""))</f>
        <v>Named owner, baseline process, minimum control checklist, first evidence package</v>
      </c>
      <c r="CC839" t="str">
        <f>IF($BY839="","",IFERROR(INDEX(_REF_Treatment_Library!$L$2:$L$296,MATCH($BY839,_REF_Treatment_Library!$A$2:$A$296,0)),""))</f>
        <v>Owner assigned; baseline evidence coverage; open critical gaps</v>
      </c>
      <c r="CD839" t="str">
        <f t="shared" si="210"/>
        <v>Treatment by capability=CAP_PLATFORM_CONTINUITY; band=Initial / absent; score=0.0; treatment=Establish</v>
      </c>
      <c r="CE839" t="str">
        <f>IF($E839="","",IFERROR(INDEX(_REF_Industry_Wording!$A$2:$A$70,MATCH(1,INDEX((_REF_Industry_Wording!$B$2:$B$70=$BT839)*(_REF_Industry_Wording!$C$2:$C$70=PV_Canonical_Industry)*(_REF_Industry_Wording!$K$2:$K$70="Yes"),0),0)),IFERROR(INDEX(_REF_Industry_Wording!$A$2:$A$70,MATCH(1,INDEX((_REF_Industry_Wording!$B$2:$B$70=$BT839)*(_REF_Industry_Wording!$C$2:$C$70="All")*(_REF_Industry_Wording!$K$2:$K$70="Yes"),0),0)),"")))</f>
        <v>IW-ALL-PLATFORM_CONTINUITY</v>
      </c>
      <c r="CF839" t="str">
        <f>IF($CE839="","",IFERROR(INDEX(_REF_Industry_Wording!$E$2:$E$70,MATCH($CE839,_REF_Industry_Wording!$A$2:$A$70,0)),""))</f>
        <v>Platform continuity weakness</v>
      </c>
      <c r="CG839" t="str">
        <f>IF($CE839="","",IFERROR(INDEX(_REF_Industry_Wording!$F$2:$F$70,MATCH($CE839,_REF_Industry_Wording!$A$2:$A$70,0)),""))</f>
        <v>Strengthen Platform continuity</v>
      </c>
      <c r="CH839" t="str">
        <f>IF($CE839="","",IFERROR(INDEX(_REF_Industry_Wording!$G$2:$G$70,MATCH($CE839,_REF_Industry_Wording!$A$2:$A$70,0)),""))</f>
        <v>Strengthen Platform continuity using the selected maturity treatment, crisis scenario and evidence requirements.</v>
      </c>
      <c r="CI839" t="str">
        <f>IF($CE839="","",IFERROR(INDEX(_REF_Industry_Wording!$H$2:$H$70,MATCH($CE839,_REF_Industry_Wording!$A$2:$A$70,0)),""))</f>
        <v>Platform continuity</v>
      </c>
      <c r="CJ839">
        <f>IF($CE839="","",IFERROR(INDEX(_REF_Industry_Wording!$I$2:$I$70,MATCH($CE839,_REF_Industry_Wording!$A$2:$A$70,0)),""))</f>
        <v>0</v>
      </c>
      <c r="CK839" t="str">
        <f>IF($CE839="","",IFERROR(INDEX(_REF_Industry_Wording!$J$2:$J$70,MATCH($CE839,_REF_Industry_Wording!$A$2:$A$70,0)),""))</f>
        <v>Platform continuity</v>
      </c>
      <c r="CL839" t="str">
        <f t="shared" si="211"/>
        <v>Wording by industry=0; capability=CAP_PLATFORM_CONTINUITY; risk label=Platform continuity weakness</v>
      </c>
      <c r="CM839" t="str">
        <f t="shared" si="212"/>
        <v>RISK-ONT-0340</v>
      </c>
      <c r="CN839" t="str">
        <f t="shared" si="213"/>
        <v>RISK-EVT-0340</v>
      </c>
      <c r="CO839" t="str">
        <f t="shared" si="214"/>
        <v>Business Systems|Governance and lifecycle|BUSI-022|CAP_PLATFORM_CONTINUITY</v>
      </c>
      <c r="CP839" t="str">
        <f t="shared" si="215"/>
        <v>Active</v>
      </c>
      <c r="CQ839" t="str">
        <f t="shared" si="216"/>
        <v>OK: capability-driven</v>
      </c>
      <c r="CR839" t="str">
        <f t="shared" si="217"/>
        <v>Risk ontology uses capability=CAP_PLATFORM_CONTINUITY; bridge=BRG-004; treatment=TRT-PLATFORM_CONTINUITY-INITIAL; wording=IW-ALL-PLATFORM_CONTINUITY</v>
      </c>
      <c r="CS839" t="str">
        <f t="shared" si="218"/>
        <v>Yes</v>
      </c>
    </row>
    <row r="840" spans="1:97" ht="69.900000000000006" customHeight="1">
      <c r="A840">
        <f>IF(OR($B840&lt;&gt;"Yes",$BS840=""),"",SUMPRODUCT(($B$500:$B$923="Yes")*ISNUMBER($BS$500:$BS$923)*($BS$500:$BS$923&gt;$BS840))+COUNTIFS($B$500:$B840,"Yes",$BS$500:$BS840,$BS840))</f>
        <v>79</v>
      </c>
      <c r="B840" t="str">
        <f t="shared" si="187"/>
        <v>Yes</v>
      </c>
      <c r="C840" t="s">
        <v>2729</v>
      </c>
      <c r="D840" t="s">
        <v>2751</v>
      </c>
      <c r="E840" t="s">
        <v>2821</v>
      </c>
      <c r="F840" t="s">
        <v>4377</v>
      </c>
      <c r="G840" t="str">
        <f>IF($H840="","",IFERROR(INDEX(_ENGINE_Risk!$H$5:$M$499,MATCH($E840,_ENGINE_Risk!$A$5:$A$499,0),$H840+1),""))</f>
        <v>Severe risk: configuration and customization documentation for critical business systems is not reliably controlled. During IT outage; Decision failure; Process disruption, the organization may face ERP, CRM, MES or HRMS disruption, broken integrations and manual workarounds that fail under stress with limited visibility or accountability.</v>
      </c>
      <c r="H840">
        <f>IFERROR(VALUE(INDEX(_DATA_Assessment_Model!$H$5:$H$884,MATCH($E840,_DATA_Assessment_Model!$A$5:$A$884,0))),"")</f>
        <v>0</v>
      </c>
      <c r="I840" t="str">
        <f>IF($H840="","",IFERROR(INDEX(_DATA_Assessment_Model!$L$5:$L$884,MATCH($E840,_DATA_Assessment_Model!$A$5:$A$884,0)),IF($H840&lt;=1,"Critical",IF($H840=2,"High",IF($H840=3,"Medium",IF($H840=4,"Low","Resilient"))))))</f>
        <v>Critical</v>
      </c>
      <c r="J840">
        <f t="shared" si="188"/>
        <v>3.7</v>
      </c>
      <c r="K840">
        <f t="shared" si="189"/>
        <v>4.6499999999999995</v>
      </c>
      <c r="L840">
        <f t="shared" si="190"/>
        <v>17.204999999999998</v>
      </c>
      <c r="M840">
        <f t="shared" si="191"/>
        <v>4</v>
      </c>
      <c r="N840">
        <f>IF($H840="","",IFERROR(INDEX(_ENGINE_Risk!$T$5:$Y$499,MATCH($E840,_ENGINE_Risk!$A$5:$A$499,0),$H840+1),""))</f>
        <v>4</v>
      </c>
      <c r="O840">
        <f t="shared" si="192"/>
        <v>5</v>
      </c>
      <c r="P840">
        <f t="shared" si="193"/>
        <v>5</v>
      </c>
      <c r="Q840">
        <f t="shared" si="194"/>
        <v>5</v>
      </c>
      <c r="R840">
        <f t="shared" si="195"/>
        <v>5</v>
      </c>
      <c r="S840">
        <f t="shared" si="196"/>
        <v>1.25</v>
      </c>
      <c r="T840" t="str">
        <f>IF($H840="","",IFERROR(INDEX(_ENGINE_Risk!$N$5:$S$499,MATCH($E840,_ENGINE_Risk!$A$5:$A$499,0),$H840+1),""))</f>
        <v>Create an immediate risk owner, minimum control baseline and fallback procedure for configuration and customization documentation for critical business systems. Add it to the crisis risk register and collect first evidence.</v>
      </c>
      <c r="U840">
        <f>IFERROR(INDEX(_DATA_Assessment_Model!$G$5:$G$884,MATCH($E840,_DATA_Assessment_Model!$A$5:$A$884,0)),"")</f>
        <v>5</v>
      </c>
      <c r="V840">
        <f>IFERROR(INDEX(_DATA_Assessment_Model!$W$5:$W$884,MATCH($E840,_DATA_Assessment_Model!$A$5:$A$884,0)),"")</f>
        <v>5</v>
      </c>
      <c r="W840">
        <f>IFERROR(INDEX(_DATA_Assessment_Model!$X$5:$X$884,MATCH($E840,_DATA_Assessment_Model!$A$5:$A$884,0)),"")</f>
        <v>5</v>
      </c>
      <c r="X840">
        <f>IFERROR(INDEX(_DATA_Assessment_Model!$Y$5:$Y$884,MATCH($E840,_DATA_Assessment_Model!$A$5:$A$884,0)),"")</f>
        <v>5</v>
      </c>
      <c r="Y840" t="s">
        <v>2735</v>
      </c>
      <c r="Z840" t="s">
        <v>9137</v>
      </c>
      <c r="AA840" t="s">
        <v>2823</v>
      </c>
      <c r="AB840">
        <f>IFERROR(INDEX(_DATA_Assessment_Model!$U$5:$U$884,MATCH($E840,_DATA_Assessment_Model!$A$5:$A$884,0)),"")</f>
        <v>0</v>
      </c>
      <c r="AF840" t="s">
        <v>2822</v>
      </c>
      <c r="AO840">
        <f>IF($B840="Yes",IF(IFERROR(INDEX(_ENGINE_Crisis!$F$501:$F$517,MATCH($C840,_ENGINE_Crisis!$A$501:$A$517,0)),1)=0,1,IFERROR(INDEX(_ENGINE_Crisis!$F$501:$F$517,MATCH($C840,_ENGINE_Crisis!$A$501:$A$517,0)),1)),"")</f>
        <v>1</v>
      </c>
      <c r="AP840">
        <f t="shared" si="197"/>
        <v>17.2</v>
      </c>
      <c r="AQ840">
        <f t="shared" si="198"/>
        <v>1.25</v>
      </c>
      <c r="AR840" t="str">
        <f>IFERROR(INDEX(_ENGINE_Crisis!$E$41:$E$700,MATCH('Resilience &amp; Risk Scenario'!$B$6&amp;"|"&amp;$C840,_ENGINE_Crisis!$I$41:$I$700,0)),"")</f>
        <v/>
      </c>
      <c r="AS840" t="str">
        <f>IFERROR(INDEX(_ENGINE_Crisis!$G$41:$G$700,MATCH('Resilience &amp; Risk Scenario'!$B$6&amp;"|"&amp;$C840,_ENGINE_Crisis!$I$41:$I$700,0)),"")</f>
        <v/>
      </c>
      <c r="AT840" t="str">
        <f>IFERROR(INDEX(_ENGINE_Initiatives!$A$5:$A$532,MATCH(1,INDEX((_ENGINE_Initiatives!$B$5:$B$532=$C840)*(_ENGINE_Initiatives!$C$5:$C$532=$D840),0),0)),"")</f>
        <v>INI-057</v>
      </c>
      <c r="AU840" t="str">
        <f>IFERROR(INDEX(_ENGINE_Initiatives!$F$5:$F$532,MATCH(1,INDEX((_ENGINE_Initiatives!$B$5:$B$532=$C840)*(_ENGINE_Initiatives!$C$5:$C$532=$D840),0),0)),"")</f>
        <v>Implement business-system governance and lifecycle control</v>
      </c>
      <c r="AV840">
        <f>IFERROR(INDEX(_ENGINE_Initiatives!$AC$5:$AC$532,MATCH(1,INDEX((_ENGINE_Initiatives!$B$5:$B$532=$C840)*(_ENGINE_Initiatives!$C$5:$C$532=$D840),0),0)),"")</f>
        <v>1.36</v>
      </c>
      <c r="AW840" t="str">
        <f>IFERROR(INDEX(_ENGINE_Initiatives!$AE$5:$AE$532,MATCH(1,INDEX((_ENGINE_Initiatives!$B$5:$B$532=$C840)*(_ENGINE_Initiatives!$C$5:$C$532=$D840),0),0)),"")</f>
        <v>12+ months</v>
      </c>
      <c r="AX840">
        <f>IF($B840="Yes",IFERROR((IF(SUMIFS(_REF_Model_Content!$E$1:$E$613,_REF_Model_Content!$A$1:$A$613,PV_Canonical_Industry,_REF_Model_Content!$B$1:$B$613,$C840)=0,1,SUMIFS(_REF_Model_Content!$E$1:$E$613,_REF_Model_Content!$A$1:$A$613,PV_Canonical_Industry,_REF_Model_Content!$B$1:$B$613,$C840))*IFERROR($BU840,1)),1),"")</f>
        <v>1</v>
      </c>
      <c r="AY840">
        <f t="shared" si="199"/>
        <v>17.2</v>
      </c>
      <c r="AZ840">
        <f t="shared" si="200"/>
        <v>1.25</v>
      </c>
      <c r="BB840" t="str">
        <f>IF($H840="","",IFERROR(INDEX(_ENGINE_Risk!$AE$5:$AE$499,MATCH($E840,_ENGINE_Risk!$A$5:$A$499,0)),"Medium"))</f>
        <v>Fast</v>
      </c>
      <c r="BC840">
        <f t="shared" si="201"/>
        <v>1.25</v>
      </c>
      <c r="BD840">
        <f t="shared" si="202"/>
        <v>1.25</v>
      </c>
      <c r="BF840">
        <f>IF(OR($H840="",$J840=""),"",IFERROR(VLOOKUP(ROUND($J840,0),_CONFIG_Model_Settings!$D$154:$E$158,2,0),""))</f>
        <v>0.5</v>
      </c>
      <c r="BG840">
        <f>IFERROR(IF(OR($H840="",$K840=""),"",ROUND('Company Profile'!$B$113*INDEX(_CONFIG_Model_Settings!$H$154:$H$158,MATCH(ROUND($K840,0),_CONFIG_Model_Settings!$G$154:$G$158,0)),0)),0)</f>
        <v>1875</v>
      </c>
      <c r="BH840">
        <f t="shared" si="203"/>
        <v>937.5</v>
      </c>
      <c r="BI840">
        <f t="shared" si="204"/>
        <v>937.5</v>
      </c>
      <c r="BJ840">
        <f>IF($E840="","",IFERROR(VLOOKUP($C840,_CONFIG_Risk_Calibration!$A$5:$H$21,2,FALSE),3))</f>
        <v>3</v>
      </c>
      <c r="BK840">
        <f>IF($E840="","",IFERROR(VLOOKUP($C840,_CONFIG_Risk_Calibration!$A$5:$H$21,3,FALSE),0))</f>
        <v>0</v>
      </c>
      <c r="BL840">
        <f>IF($E840="","",IFERROR(VLOOKUP($C840,_CONFIG_Risk_Calibration!$A$5:$H$21,4,FALSE),3))</f>
        <v>3</v>
      </c>
      <c r="BM840">
        <f>IF($E840="","",IFERROR(VLOOKUP($C840,_CONFIG_Risk_Calibration!$A$5:$H$21,5,FALSE),3))</f>
        <v>4</v>
      </c>
      <c r="BN840" t="str">
        <f>IF($E840="","",IFERROR(VLOOKUP($C840,_CONFIG_Risk_Calibration!$A$5:$H$21,6,FALSE),"No"))</f>
        <v>Yes</v>
      </c>
      <c r="BO840">
        <f>IF($E840="","",IFERROR(VLOOKUP($C840,_CONFIG_Risk_Calibration!$A$5:$H$21,7,FALSE),1))</f>
        <v>4</v>
      </c>
      <c r="BP840">
        <f>IF($H840="","",MAX(1,MIN(5,((6-$H840)*0.45)+($BJ840*0.2)+('Resilience &amp; Risk Scenario'!$B$7*0.15)+($BK840*0.1)+($BL840*0.05)+(IF($BB840="Fast",5,IF($BB840="Slow",1,3))*0.05))))</f>
        <v>3.7</v>
      </c>
      <c r="BQ840">
        <f t="shared" si="205"/>
        <v>4.6499999999999995</v>
      </c>
      <c r="BR840">
        <f t="shared" si="206"/>
        <v>17.21</v>
      </c>
      <c r="BS840">
        <f t="shared" si="207"/>
        <v>23.66</v>
      </c>
      <c r="BT840" t="str">
        <f>IFERROR(INDEX(_REF_Capability_Bridge!$D:$D,MATCH($C840&amp;"|"&amp;$D840,_REF_Capability_Bridge!$J:$J,0)),IFERROR(INDEX(_REF_Capability_Bridge!$D:$D,MATCH($C840&amp;"|",_REF_Capability_Bridge!$J:$J,0)),"CAP_GENERIC"))</f>
        <v>CAP_PLATFORM_CONTINUITY</v>
      </c>
      <c r="BU840">
        <f>IFERROR(IFERROR(INDEX(_ENGINE_Relevance!$L:$L,MATCH($BT840,_ENGINE_Relevance!$B:$B,0)),1),1)</f>
        <v>1</v>
      </c>
      <c r="BV840" t="str">
        <f>IFERROR(INDEX(_REF_Capability_Bridge!$A:$A,MATCH($C840&amp;"|"&amp;$D840,_REF_Capability_Bridge!$J:$J,0)),IFERROR(INDEX(_REF_Capability_Bridge!$A:$A,MATCH($C840&amp;"|",_REF_Capability_Bridge!$J:$J,0)),"No bridge"))</f>
        <v>BRG-004</v>
      </c>
      <c r="BW840" t="str">
        <f t="shared" si="208"/>
        <v>Capability relevance neutral</v>
      </c>
      <c r="BX840" t="str">
        <f t="shared" si="209"/>
        <v>Initial / absent</v>
      </c>
      <c r="BY840" t="str">
        <f>IF($E840="","",IFERROR(INDEX(_REF_Treatment_Library!$A$2:$A$296,MATCH(1,INDEX((_REF_Treatment_Library!$B$2:$B$296=$BT840)*(_REF_Treatment_Library!$C$2:$C$296=PV_Canonical_Industry)*(_REF_Treatment_Library!$E$2:$E$296&lt;=N($H840))*(_REF_Treatment_Library!$F$2:$F$296&gt;=N($H840))*(_REF_Treatment_Library!$O$2:$O$296="Yes"),0),0)),IFERROR(INDEX(_REF_Treatment_Library!$A$2:$A$296,MATCH(1,INDEX((_REF_Treatment_Library!$B$2:$B$296=$BT840)*(_REF_Treatment_Library!$C$2:$C$296="All")*(_REF_Treatment_Library!$E$2:$E$296&lt;=N($H840))*(_REF_Treatment_Library!$F$2:$F$296&gt;=N($H840))*(_REF_Treatment_Library!$O$2:$O$296="Yes"),0),0)),"")))</f>
        <v>TRT-PLATFORM_CONTINUITY-INITIAL</v>
      </c>
      <c r="BZ840" t="str">
        <f>IF($BY840="","",IFERROR(INDEX(_REF_Treatment_Library!$H$2:$H$296,MATCH($BY840,_REF_Treatment_Library!$A$2:$A$296,0)),""))</f>
        <v>Establish</v>
      </c>
      <c r="CA840" t="str">
        <f>IF($BY840="","",IFERROR(INDEX(_REF_Treatment_Library!$I$2:$I$296,MATCH($BY840,_REF_Treatment_Library!$A$2:$A$296,0)),""))</f>
        <v>Establish baseline controls for Platform continuity</v>
      </c>
      <c r="CB840" t="str">
        <f>IF($BY840="","",IFERROR(INDEX(_REF_Treatment_Library!$K$2:$K$296,MATCH($BY840,_REF_Treatment_Library!$A$2:$A$296,0)),""))</f>
        <v>Named owner, baseline process, minimum control checklist, first evidence package</v>
      </c>
      <c r="CC840" t="str">
        <f>IF($BY840="","",IFERROR(INDEX(_REF_Treatment_Library!$L$2:$L$296,MATCH($BY840,_REF_Treatment_Library!$A$2:$A$296,0)),""))</f>
        <v>Owner assigned; baseline evidence coverage; open critical gaps</v>
      </c>
      <c r="CD840" t="str">
        <f t="shared" si="210"/>
        <v>Treatment by capability=CAP_PLATFORM_CONTINUITY; band=Initial / absent; score=0.0; treatment=Establish</v>
      </c>
      <c r="CE840" t="str">
        <f>IF($E840="","",IFERROR(INDEX(_REF_Industry_Wording!$A$2:$A$70,MATCH(1,INDEX((_REF_Industry_Wording!$B$2:$B$70=$BT840)*(_REF_Industry_Wording!$C$2:$C$70=PV_Canonical_Industry)*(_REF_Industry_Wording!$K$2:$K$70="Yes"),0),0)),IFERROR(INDEX(_REF_Industry_Wording!$A$2:$A$70,MATCH(1,INDEX((_REF_Industry_Wording!$B$2:$B$70=$BT840)*(_REF_Industry_Wording!$C$2:$C$70="All")*(_REF_Industry_Wording!$K$2:$K$70="Yes"),0),0)),"")))</f>
        <v>IW-ALL-PLATFORM_CONTINUITY</v>
      </c>
      <c r="CF840" t="str">
        <f>IF($CE840="","",IFERROR(INDEX(_REF_Industry_Wording!$E$2:$E$70,MATCH($CE840,_REF_Industry_Wording!$A$2:$A$70,0)),""))</f>
        <v>Platform continuity weakness</v>
      </c>
      <c r="CG840" t="str">
        <f>IF($CE840="","",IFERROR(INDEX(_REF_Industry_Wording!$F$2:$F$70,MATCH($CE840,_REF_Industry_Wording!$A$2:$A$70,0)),""))</f>
        <v>Strengthen Platform continuity</v>
      </c>
      <c r="CH840" t="str">
        <f>IF($CE840="","",IFERROR(INDEX(_REF_Industry_Wording!$G$2:$G$70,MATCH($CE840,_REF_Industry_Wording!$A$2:$A$70,0)),""))</f>
        <v>Strengthen Platform continuity using the selected maturity treatment, crisis scenario and evidence requirements.</v>
      </c>
      <c r="CI840" t="str">
        <f>IF($CE840="","",IFERROR(INDEX(_REF_Industry_Wording!$H$2:$H$70,MATCH($CE840,_REF_Industry_Wording!$A$2:$A$70,0)),""))</f>
        <v>Platform continuity</v>
      </c>
      <c r="CJ840">
        <f>IF($CE840="","",IFERROR(INDEX(_REF_Industry_Wording!$I$2:$I$70,MATCH($CE840,_REF_Industry_Wording!$A$2:$A$70,0)),""))</f>
        <v>0</v>
      </c>
      <c r="CK840" t="str">
        <f>IF($CE840="","",IFERROR(INDEX(_REF_Industry_Wording!$J$2:$J$70,MATCH($CE840,_REF_Industry_Wording!$A$2:$A$70,0)),""))</f>
        <v>Platform continuity</v>
      </c>
      <c r="CL840" t="str">
        <f t="shared" si="211"/>
        <v>Wording by industry=0; capability=CAP_PLATFORM_CONTINUITY; risk label=Platform continuity weakness</v>
      </c>
      <c r="CM840" t="str">
        <f t="shared" si="212"/>
        <v>RISK-ONT-0341</v>
      </c>
      <c r="CN840" t="str">
        <f t="shared" si="213"/>
        <v>RISK-EVT-0341</v>
      </c>
      <c r="CO840" t="str">
        <f t="shared" si="214"/>
        <v>Business Systems|Governance and lifecycle|BUSI-023|CAP_PLATFORM_CONTINUITY</v>
      </c>
      <c r="CP840" t="str">
        <f t="shared" si="215"/>
        <v>Active</v>
      </c>
      <c r="CQ840" t="str">
        <f t="shared" si="216"/>
        <v>OK: capability-driven</v>
      </c>
      <c r="CR840" t="str">
        <f t="shared" si="217"/>
        <v>Risk ontology uses capability=CAP_PLATFORM_CONTINUITY; bridge=BRG-004; treatment=TRT-PLATFORM_CONTINUITY-INITIAL; wording=IW-ALL-PLATFORM_CONTINUITY</v>
      </c>
      <c r="CS840" t="str">
        <f t="shared" si="218"/>
        <v>Yes</v>
      </c>
    </row>
    <row r="841" spans="1:97" ht="69.900000000000006" customHeight="1">
      <c r="A841">
        <f>IF(OR($B841&lt;&gt;"Yes",$BS841=""),"",SUMPRODUCT(($B$500:$B$923="Yes")*ISNUMBER($BS$500:$BS$923)*($BS$500:$BS$923&gt;$BS841))+COUNTIFS($B$500:$B841,"Yes",$BS$500:$BS841,$BS841))</f>
        <v>253</v>
      </c>
      <c r="B841" t="str">
        <f t="shared" si="187"/>
        <v>Yes</v>
      </c>
      <c r="C841" t="s">
        <v>2824</v>
      </c>
      <c r="D841" t="s">
        <v>2826</v>
      </c>
      <c r="E841" t="s">
        <v>2825</v>
      </c>
      <c r="F841" t="s">
        <v>4418</v>
      </c>
      <c r="G841" t="str">
        <f>IF($H841="","",IFERROR(INDEX(_ENGINE_Risk!$H$5:$M$499,MATCH($E841,_ENGINE_Risk!$A$5:$A$499,0),$H841+1),""))</f>
        <v>Severe risk: data owners and stewards for critical data domains is not reliably controlled. During Decision failure; Data loss; Regulatory/legal shock, the organization may face poor decisions, unreliable reporting, data quality problems and unsafe or ineffective AI usage with limited visibility or accountability.</v>
      </c>
      <c r="H841">
        <f>IFERROR(VALUE(INDEX(_DATA_Assessment_Model!$H$5:$H$884,MATCH($E841,_DATA_Assessment_Model!$A$5:$A$884,0))),"")</f>
        <v>0</v>
      </c>
      <c r="I841" t="str">
        <f>IF($H841="","",IFERROR(INDEX(_DATA_Assessment_Model!$L$5:$L$884,MATCH($E841,_DATA_Assessment_Model!$A$5:$A$884,0)),IF($H841&lt;=1,"Critical",IF($H841=2,"High",IF($H841=3,"Medium",IF($H841=4,"Low","Resilient"))))))</f>
        <v>Critical</v>
      </c>
      <c r="J841">
        <f t="shared" si="188"/>
        <v>3.5</v>
      </c>
      <c r="K841">
        <f t="shared" si="189"/>
        <v>4.5</v>
      </c>
      <c r="L841">
        <f t="shared" si="190"/>
        <v>15.75</v>
      </c>
      <c r="M841">
        <f t="shared" si="191"/>
        <v>4</v>
      </c>
      <c r="N841">
        <f>IF($H841="","",IFERROR(INDEX(_ENGINE_Risk!$T$5:$Y$499,MATCH($E841,_ENGINE_Risk!$A$5:$A$499,0),$H841+1),""))</f>
        <v>4</v>
      </c>
      <c r="O841">
        <f t="shared" si="192"/>
        <v>5</v>
      </c>
      <c r="P841">
        <f t="shared" si="193"/>
        <v>5</v>
      </c>
      <c r="Q841">
        <f t="shared" si="194"/>
        <v>5</v>
      </c>
      <c r="R841">
        <f t="shared" si="195"/>
        <v>5</v>
      </c>
      <c r="S841">
        <f t="shared" si="196"/>
        <v>1.25</v>
      </c>
      <c r="T841" t="str">
        <f>IF($H841="","",IFERROR(INDEX(_ENGINE_Risk!$N$5:$S$499,MATCH($E841,_ENGINE_Risk!$A$5:$A$499,0),$H841+1),""))</f>
        <v>Create an immediate risk owner, minimum control baseline and fallback procedure for data owners and stewards for critical data domains. Add it to the crisis risk register and collect first evidence.</v>
      </c>
      <c r="U841">
        <f>IFERROR(INDEX(_DATA_Assessment_Model!$G$5:$G$884,MATCH($E841,_DATA_Assessment_Model!$A$5:$A$884,0)),"")</f>
        <v>5</v>
      </c>
      <c r="V841">
        <f>IFERROR(INDEX(_DATA_Assessment_Model!$W$5:$W$884,MATCH($E841,_DATA_Assessment_Model!$A$5:$A$884,0)),"")</f>
        <v>5</v>
      </c>
      <c r="W841">
        <f>IFERROR(INDEX(_DATA_Assessment_Model!$X$5:$X$884,MATCH($E841,_DATA_Assessment_Model!$A$5:$A$884,0)),"")</f>
        <v>5</v>
      </c>
      <c r="X841">
        <f>IFERROR(INDEX(_DATA_Assessment_Model!$Y$5:$Y$884,MATCH($E841,_DATA_Assessment_Model!$A$5:$A$884,0)),"")</f>
        <v>5</v>
      </c>
      <c r="Y841" t="s">
        <v>2831</v>
      </c>
      <c r="Z841" t="s">
        <v>9432</v>
      </c>
      <c r="AA841" t="s">
        <v>2830</v>
      </c>
      <c r="AB841">
        <f>IFERROR(INDEX(_DATA_Assessment_Model!$U$5:$U$884,MATCH($E841,_DATA_Assessment_Model!$A$5:$A$884,0)),"")</f>
        <v>0</v>
      </c>
      <c r="AF841" t="s">
        <v>2827</v>
      </c>
      <c r="AO841">
        <f>IF($B841="Yes",IF(IFERROR(INDEX(_ENGINE_Crisis!$F$501:$F$517,MATCH($C841,_ENGINE_Crisis!$A$501:$A$517,0)),1)=0,1,IFERROR(INDEX(_ENGINE_Crisis!$F$501:$F$517,MATCH($C841,_ENGINE_Crisis!$A$501:$A$517,0)),1)),"")</f>
        <v>1</v>
      </c>
      <c r="AP841">
        <f t="shared" si="197"/>
        <v>15.8</v>
      </c>
      <c r="AQ841">
        <f t="shared" si="198"/>
        <v>1.25</v>
      </c>
      <c r="AR841" t="str">
        <f>IFERROR(INDEX(_ENGINE_Crisis!$E$41:$E$700,MATCH('Resilience &amp; Risk Scenario'!$B$6&amp;"|"&amp;$C841,_ENGINE_Crisis!$I$41:$I$700,0)),"")</f>
        <v/>
      </c>
      <c r="AS841" t="str">
        <f>IFERROR(INDEX(_ENGINE_Crisis!$G$41:$G$700,MATCH('Resilience &amp; Risk Scenario'!$B$6&amp;"|"&amp;$C841,_ENGINE_Crisis!$I$41:$I$700,0)),"")</f>
        <v/>
      </c>
      <c r="AT841" t="str">
        <f>IFERROR(INDEX(_ENGINE_Initiatives!$A$5:$A$532,MATCH(1,INDEX((_ENGINE_Initiatives!$B$5:$B$532=$C841)*(_ENGINE_Initiatives!$C$5:$C$532=$D841),0),0)),"")</f>
        <v>INI-058</v>
      </c>
      <c r="AU841" t="str">
        <f>IFERROR(INDEX(_ENGINE_Initiatives!$F$5:$F$532,MATCH(1,INDEX((_ENGINE_Initiatives!$B$5:$B$532=$C841)*(_ENGINE_Initiatives!$C$5:$C$532=$D841),0),0)),"")</f>
        <v>Implement data ownership, quality and governance framework</v>
      </c>
      <c r="AV841">
        <f>IFERROR(INDEX(_ENGINE_Initiatives!$AC$5:$AC$532,MATCH(1,INDEX((_ENGINE_Initiatives!$B$5:$B$532=$C841)*(_ENGINE_Initiatives!$C$5:$C$532=$D841),0),0)),"")</f>
        <v>1.3</v>
      </c>
      <c r="AW841" t="str">
        <f>IFERROR(INDEX(_ENGINE_Initiatives!$AE$5:$AE$532,MATCH(1,INDEX((_ENGINE_Initiatives!$B$5:$B$532=$C841)*(_ENGINE_Initiatives!$C$5:$C$532=$D841),0),0)),"")</f>
        <v>12+ months</v>
      </c>
      <c r="AX841">
        <f>IF($B841="Yes",IFERROR((IF(SUMIFS(_REF_Model_Content!$E$1:$E$613,_REF_Model_Content!$A$1:$A$613,PV_Canonical_Industry,_REF_Model_Content!$B$1:$B$613,$C841)=0,1,SUMIFS(_REF_Model_Content!$E$1:$E$613,_REF_Model_Content!$A$1:$A$613,PV_Canonical_Industry,_REF_Model_Content!$B$1:$B$613,$C841))*IFERROR($BU841,1)),1),"")</f>
        <v>1.25</v>
      </c>
      <c r="AY841">
        <f t="shared" si="199"/>
        <v>19.75</v>
      </c>
      <c r="AZ841">
        <f t="shared" si="200"/>
        <v>1.56</v>
      </c>
      <c r="BB841" t="str">
        <f>IF($H841="","",IFERROR(INDEX(_ENGINE_Risk!$AE$5:$AE$499,MATCH($E841,_ENGINE_Risk!$A$5:$A$499,0)),"Medium"))</f>
        <v>Slow</v>
      </c>
      <c r="BC841">
        <f t="shared" si="201"/>
        <v>0.85</v>
      </c>
      <c r="BD841">
        <f t="shared" si="202"/>
        <v>1.56</v>
      </c>
      <c r="BF841">
        <f>IF(OR($H841="",$J841=""),"",IFERROR(VLOOKUP(ROUND($J841,0),_CONFIG_Model_Settings!$D$154:$E$158,2,0),""))</f>
        <v>0.5</v>
      </c>
      <c r="BG841">
        <f>IFERROR(IF(OR($H841="",$K841=""),"",ROUND('Company Profile'!$B$113*INDEX(_CONFIG_Model_Settings!$H$154:$H$158,MATCH(ROUND($K841,0),_CONFIG_Model_Settings!$G$154:$G$158,0)),0)),0)</f>
        <v>1875</v>
      </c>
      <c r="BH841">
        <f t="shared" si="203"/>
        <v>937.5</v>
      </c>
      <c r="BI841">
        <f t="shared" si="204"/>
        <v>937.5</v>
      </c>
      <c r="BJ841">
        <f>IF($E841="","",IFERROR(VLOOKUP($C841,_CONFIG_Risk_Calibration!$A$5:$H$21,2,FALSE),3))</f>
        <v>3</v>
      </c>
      <c r="BK841">
        <f>IF($E841="","",IFERROR(VLOOKUP($C841,_CONFIG_Risk_Calibration!$A$5:$H$21,3,FALSE),0))</f>
        <v>0</v>
      </c>
      <c r="BL841">
        <f>IF($E841="","",IFERROR(VLOOKUP($C841,_CONFIG_Risk_Calibration!$A$5:$H$21,4,FALSE),3))</f>
        <v>3</v>
      </c>
      <c r="BM841">
        <f>IF($E841="","",IFERROR(VLOOKUP($C841,_CONFIG_Risk_Calibration!$A$5:$H$21,5,FALSE),3))</f>
        <v>3</v>
      </c>
      <c r="BN841" t="str">
        <f>IF($E841="","",IFERROR(VLOOKUP($C841,_CONFIG_Risk_Calibration!$A$5:$H$21,6,FALSE),"No"))</f>
        <v>No</v>
      </c>
      <c r="BO841">
        <f>IF($E841="","",IFERROR(VLOOKUP($C841,_CONFIG_Risk_Calibration!$A$5:$H$21,7,FALSE),1))</f>
        <v>1</v>
      </c>
      <c r="BP841">
        <f>IF($H841="","",MAX(1,MIN(5,((6-$H841)*0.45)+($BJ841*0.2)+('Resilience &amp; Risk Scenario'!$B$7*0.15)+($BK841*0.1)+($BL841*0.05)+(IF($BB841="Fast",5,IF($BB841="Slow",1,3))*0.05))))</f>
        <v>3.5</v>
      </c>
      <c r="BQ841">
        <f t="shared" si="205"/>
        <v>4.5</v>
      </c>
      <c r="BR841">
        <f t="shared" si="206"/>
        <v>15.75</v>
      </c>
      <c r="BS841">
        <f t="shared" si="207"/>
        <v>16.73</v>
      </c>
      <c r="BT841" t="str">
        <f>IFERROR(INDEX(_REF_Capability_Bridge!$D:$D,MATCH($C841&amp;"|"&amp;$D841,_REF_Capability_Bridge!$J:$J,0)),IFERROR(INDEX(_REF_Capability_Bridge!$D:$D,MATCH($C841&amp;"|",_REF_Capability_Bridge!$J:$J,0)),"CAP_GENERIC"))</f>
        <v>CAP_DATA_GOVERNANCE</v>
      </c>
      <c r="BU841">
        <f>IFERROR(IFERROR(INDEX(_ENGINE_Relevance!$L:$L,MATCH($BT841,_ENGINE_Relevance!$B:$B,0)),1),1)</f>
        <v>1.25</v>
      </c>
      <c r="BV841" t="str">
        <f>IFERROR(INDEX(_REF_Capability_Bridge!$A:$A,MATCH($C841&amp;"|"&amp;$D841,_REF_Capability_Bridge!$J:$J,0)),IFERROR(INDEX(_REF_Capability_Bridge!$A:$A,MATCH($C841&amp;"|",_REF_Capability_Bridge!$J:$J,0)),"No bridge"))</f>
        <v>BRG-022</v>
      </c>
      <c r="BW841" t="str">
        <f t="shared" si="208"/>
        <v>Capability relevance increases risk priority</v>
      </c>
      <c r="BX841" t="str">
        <f t="shared" si="209"/>
        <v>Initial / absent</v>
      </c>
      <c r="BY841" t="str">
        <f>IF($E841="","",IFERROR(INDEX(_REF_Treatment_Library!$A$2:$A$296,MATCH(1,INDEX((_REF_Treatment_Library!$B$2:$B$296=$BT841)*(_REF_Treatment_Library!$C$2:$C$296=PV_Canonical_Industry)*(_REF_Treatment_Library!$E$2:$E$296&lt;=N($H841))*(_REF_Treatment_Library!$F$2:$F$296&gt;=N($H841))*(_REF_Treatment_Library!$O$2:$O$296="Yes"),0),0)),IFERROR(INDEX(_REF_Treatment_Library!$A$2:$A$296,MATCH(1,INDEX((_REF_Treatment_Library!$B$2:$B$296=$BT841)*(_REF_Treatment_Library!$C$2:$C$296="All")*(_REF_Treatment_Library!$E$2:$E$296&lt;=N($H841))*(_REF_Treatment_Library!$F$2:$F$296&gt;=N($H841))*(_REF_Treatment_Library!$O$2:$O$296="Yes"),0),0)),"")))</f>
        <v>TRT-DATA_GOVERNANCE-INITIAL</v>
      </c>
      <c r="BZ841" t="str">
        <f>IF($BY841="","",IFERROR(INDEX(_REF_Treatment_Library!$H$2:$H$296,MATCH($BY841,_REF_Treatment_Library!$A$2:$A$296,0)),""))</f>
        <v>Establish</v>
      </c>
      <c r="CA841" t="str">
        <f>IF($BY841="","",IFERROR(INDEX(_REF_Treatment_Library!$I$2:$I$296,MATCH($BY841,_REF_Treatment_Library!$A$2:$A$296,0)),""))</f>
        <v>Establish baseline controls for Data governance</v>
      </c>
      <c r="CB841" t="str">
        <f>IF($BY841="","",IFERROR(INDEX(_REF_Treatment_Library!$K$2:$K$296,MATCH($BY841,_REF_Treatment_Library!$A$2:$A$296,0)),""))</f>
        <v>Named owner, baseline process, minimum control checklist, first evidence package</v>
      </c>
      <c r="CC841" t="str">
        <f>IF($BY841="","",IFERROR(INDEX(_REF_Treatment_Library!$L$2:$L$296,MATCH($BY841,_REF_Treatment_Library!$A$2:$A$296,0)),""))</f>
        <v>Owner assigned; baseline evidence coverage; open critical gaps</v>
      </c>
      <c r="CD841" t="str">
        <f t="shared" si="210"/>
        <v>Treatment by capability=CAP_DATA_GOVERNANCE; band=Initial / absent; score=0.0; treatment=Establish</v>
      </c>
      <c r="CE841" t="str">
        <f>IF($E841="","",IFERROR(INDEX(_REF_Industry_Wording!$A$2:$A$70,MATCH(1,INDEX((_REF_Industry_Wording!$B$2:$B$70=$BT841)*(_REF_Industry_Wording!$C$2:$C$70=PV_Canonical_Industry)*(_REF_Industry_Wording!$K$2:$K$70="Yes"),0),0)),IFERROR(INDEX(_REF_Industry_Wording!$A$2:$A$70,MATCH(1,INDEX((_REF_Industry_Wording!$B$2:$B$70=$BT841)*(_REF_Industry_Wording!$C$2:$C$70="All")*(_REF_Industry_Wording!$K$2:$K$70="Yes"),0),0)),"")))</f>
        <v>IW-ALL-DATA_GOVERNANCE</v>
      </c>
      <c r="CF841" t="str">
        <f>IF($CE841="","",IFERROR(INDEX(_REF_Industry_Wording!$E$2:$E$70,MATCH($CE841,_REF_Industry_Wording!$A$2:$A$70,0)),""))</f>
        <v>Data governance weakness</v>
      </c>
      <c r="CG841" t="str">
        <f>IF($CE841="","",IFERROR(INDEX(_REF_Industry_Wording!$F$2:$F$70,MATCH($CE841,_REF_Industry_Wording!$A$2:$A$70,0)),""))</f>
        <v>Strengthen Data governance</v>
      </c>
      <c r="CH841" t="str">
        <f>IF($CE841="","",IFERROR(INDEX(_REF_Industry_Wording!$G$2:$G$70,MATCH($CE841,_REF_Industry_Wording!$A$2:$A$70,0)),""))</f>
        <v>Strengthen Data governance using the selected maturity treatment, crisis scenario and evidence requirements.</v>
      </c>
      <c r="CI841" t="str">
        <f>IF($CE841="","",IFERROR(INDEX(_REF_Industry_Wording!$H$2:$H$70,MATCH($CE841,_REF_Industry_Wording!$A$2:$A$70,0)),""))</f>
        <v>Data governance</v>
      </c>
      <c r="CJ841">
        <f>IF($CE841="","",IFERROR(INDEX(_REF_Industry_Wording!$I$2:$I$70,MATCH($CE841,_REF_Industry_Wording!$A$2:$A$70,0)),""))</f>
        <v>0</v>
      </c>
      <c r="CK841" t="str">
        <f>IF($CE841="","",IFERROR(INDEX(_REF_Industry_Wording!$J$2:$J$70,MATCH($CE841,_REF_Industry_Wording!$A$2:$A$70,0)),""))</f>
        <v>Data governance</v>
      </c>
      <c r="CL841" t="str">
        <f t="shared" si="211"/>
        <v>Wording by industry=0; capability=CAP_DATA_GOVERNANCE; risk label=Data governance weakness</v>
      </c>
      <c r="CM841" t="str">
        <f t="shared" si="212"/>
        <v>RISK-ONT-0342</v>
      </c>
      <c r="CN841" t="str">
        <f t="shared" si="213"/>
        <v>RISK-EVT-0342</v>
      </c>
      <c r="CO841" t="str">
        <f t="shared" si="214"/>
        <v>Data BI AI|Data governance|DATA-001|CAP_DATA_GOVERNANCE</v>
      </c>
      <c r="CP841" t="str">
        <f t="shared" si="215"/>
        <v>Active</v>
      </c>
      <c r="CQ841" t="str">
        <f t="shared" si="216"/>
        <v>OK: capability-driven</v>
      </c>
      <c r="CR841" t="str">
        <f t="shared" si="217"/>
        <v>Risk ontology uses capability=CAP_DATA_GOVERNANCE; bridge=BRG-022; treatment=TRT-DATA_GOVERNANCE-INITIAL; wording=IW-ALL-DATA_GOVERNANCE</v>
      </c>
      <c r="CS841" t="str">
        <f t="shared" si="218"/>
        <v>Yes</v>
      </c>
    </row>
    <row r="842" spans="1:97" ht="69.900000000000006" customHeight="1">
      <c r="A842">
        <f>IF(OR($B842&lt;&gt;"Yes",$BS842=""),"",SUMPRODUCT(($B$500:$B$923="Yes")*ISNUMBER($BS$500:$BS$923)*($BS$500:$BS$923&gt;$BS842))+COUNTIFS($B$500:$B842,"Yes",$BS$500:$BS842,$BS842))</f>
        <v>254</v>
      </c>
      <c r="B842" t="str">
        <f t="shared" si="187"/>
        <v>Yes</v>
      </c>
      <c r="C842" t="s">
        <v>2824</v>
      </c>
      <c r="D842" t="s">
        <v>2826</v>
      </c>
      <c r="E842" t="s">
        <v>2832</v>
      </c>
      <c r="F842" t="s">
        <v>4418</v>
      </c>
      <c r="G842" t="str">
        <f>IF($H842="","",IFERROR(INDEX(_ENGINE_Risk!$H$5:$M$499,MATCH($E842,_ENGINE_Risk!$A$5:$A$499,0),$H842+1),""))</f>
        <v>Severe risk: data catalog of critical datasets, reports, dashboards, data sources and users is not reliably controlled. During Decision failure; Data loss; Regulatory/legal shock, the organization may face poor decisions, unreliable reporting, data quality problems and unsafe or ineffective AI usage with limited visibility or accountability.</v>
      </c>
      <c r="H842">
        <f>IFERROR(VALUE(INDEX(_DATA_Assessment_Model!$H$5:$H$884,MATCH($E842,_DATA_Assessment_Model!$A$5:$A$884,0))),"")</f>
        <v>0</v>
      </c>
      <c r="I842" t="str">
        <f>IF($H842="","",IFERROR(INDEX(_DATA_Assessment_Model!$L$5:$L$884,MATCH($E842,_DATA_Assessment_Model!$A$5:$A$884,0)),IF($H842&lt;=1,"Critical",IF($H842=2,"High",IF($H842=3,"Medium",IF($H842=4,"Low","Resilient"))))))</f>
        <v>Critical</v>
      </c>
      <c r="J842">
        <f t="shared" si="188"/>
        <v>3.5</v>
      </c>
      <c r="K842">
        <f t="shared" si="189"/>
        <v>4.5</v>
      </c>
      <c r="L842">
        <f t="shared" si="190"/>
        <v>15.75</v>
      </c>
      <c r="M842">
        <f t="shared" si="191"/>
        <v>4</v>
      </c>
      <c r="N842">
        <f>IF($H842="","",IFERROR(INDEX(_ENGINE_Risk!$T$5:$Y$499,MATCH($E842,_ENGINE_Risk!$A$5:$A$499,0),$H842+1),""))</f>
        <v>4</v>
      </c>
      <c r="O842">
        <f t="shared" si="192"/>
        <v>5</v>
      </c>
      <c r="P842">
        <f t="shared" si="193"/>
        <v>5</v>
      </c>
      <c r="Q842">
        <f t="shared" si="194"/>
        <v>5</v>
      </c>
      <c r="R842">
        <f t="shared" si="195"/>
        <v>5</v>
      </c>
      <c r="S842">
        <f t="shared" si="196"/>
        <v>1.25</v>
      </c>
      <c r="T842" t="str">
        <f>IF($H842="","",IFERROR(INDEX(_ENGINE_Risk!$N$5:$S$499,MATCH($E842,_ENGINE_Risk!$A$5:$A$499,0),$H842+1),""))</f>
        <v>Create an immediate risk owner, minimum control baseline and fallback procedure for data catalog of critical datasets, reports, dashboards, data sources and users. Add it to the crisis risk register and collect first evidence.</v>
      </c>
      <c r="U842">
        <f>IFERROR(INDEX(_DATA_Assessment_Model!$G$5:$G$884,MATCH($E842,_DATA_Assessment_Model!$A$5:$A$884,0)),"")</f>
        <v>5</v>
      </c>
      <c r="V842">
        <f>IFERROR(INDEX(_DATA_Assessment_Model!$W$5:$W$884,MATCH($E842,_DATA_Assessment_Model!$A$5:$A$884,0)),"")</f>
        <v>5</v>
      </c>
      <c r="W842">
        <f>IFERROR(INDEX(_DATA_Assessment_Model!$X$5:$X$884,MATCH($E842,_DATA_Assessment_Model!$A$5:$A$884,0)),"")</f>
        <v>5</v>
      </c>
      <c r="X842">
        <f>IFERROR(INDEX(_DATA_Assessment_Model!$Y$5:$Y$884,MATCH($E842,_DATA_Assessment_Model!$A$5:$A$884,0)),"")</f>
        <v>5</v>
      </c>
      <c r="Y842" t="s">
        <v>2831</v>
      </c>
      <c r="Z842" t="s">
        <v>9432</v>
      </c>
      <c r="AA842" t="s">
        <v>2834</v>
      </c>
      <c r="AB842">
        <f>IFERROR(INDEX(_DATA_Assessment_Model!$U$5:$U$884,MATCH($E842,_DATA_Assessment_Model!$A$5:$A$884,0)),"")</f>
        <v>0</v>
      </c>
      <c r="AF842" t="s">
        <v>2833</v>
      </c>
      <c r="AO842">
        <f>IF($B842="Yes",IF(IFERROR(INDEX(_ENGINE_Crisis!$F$501:$F$517,MATCH($C842,_ENGINE_Crisis!$A$501:$A$517,0)),1)=0,1,IFERROR(INDEX(_ENGINE_Crisis!$F$501:$F$517,MATCH($C842,_ENGINE_Crisis!$A$501:$A$517,0)),1)),"")</f>
        <v>1</v>
      </c>
      <c r="AP842">
        <f t="shared" si="197"/>
        <v>15.8</v>
      </c>
      <c r="AQ842">
        <f t="shared" si="198"/>
        <v>1.25</v>
      </c>
      <c r="AR842" t="str">
        <f>IFERROR(INDEX(_ENGINE_Crisis!$E$41:$E$700,MATCH('Resilience &amp; Risk Scenario'!$B$6&amp;"|"&amp;$C842,_ENGINE_Crisis!$I$41:$I$700,0)),"")</f>
        <v/>
      </c>
      <c r="AS842" t="str">
        <f>IFERROR(INDEX(_ENGINE_Crisis!$G$41:$G$700,MATCH('Resilience &amp; Risk Scenario'!$B$6&amp;"|"&amp;$C842,_ENGINE_Crisis!$I$41:$I$700,0)),"")</f>
        <v/>
      </c>
      <c r="AT842" t="str">
        <f>IFERROR(INDEX(_ENGINE_Initiatives!$A$5:$A$532,MATCH(1,INDEX((_ENGINE_Initiatives!$B$5:$B$532=$C842)*(_ENGINE_Initiatives!$C$5:$C$532=$D842),0),0)),"")</f>
        <v>INI-058</v>
      </c>
      <c r="AU842" t="str">
        <f>IFERROR(INDEX(_ENGINE_Initiatives!$F$5:$F$532,MATCH(1,INDEX((_ENGINE_Initiatives!$B$5:$B$532=$C842)*(_ENGINE_Initiatives!$C$5:$C$532=$D842),0),0)),"")</f>
        <v>Implement data ownership, quality and governance framework</v>
      </c>
      <c r="AV842">
        <f>IFERROR(INDEX(_ENGINE_Initiatives!$AC$5:$AC$532,MATCH(1,INDEX((_ENGINE_Initiatives!$B$5:$B$532=$C842)*(_ENGINE_Initiatives!$C$5:$C$532=$D842),0),0)),"")</f>
        <v>1.3</v>
      </c>
      <c r="AW842" t="str">
        <f>IFERROR(INDEX(_ENGINE_Initiatives!$AE$5:$AE$532,MATCH(1,INDEX((_ENGINE_Initiatives!$B$5:$B$532=$C842)*(_ENGINE_Initiatives!$C$5:$C$532=$D842),0),0)),"")</f>
        <v>12+ months</v>
      </c>
      <c r="AX842">
        <f>IF($B842="Yes",IFERROR((IF(SUMIFS(_REF_Model_Content!$E$1:$E$613,_REF_Model_Content!$A$1:$A$613,PV_Canonical_Industry,_REF_Model_Content!$B$1:$B$613,$C842)=0,1,SUMIFS(_REF_Model_Content!$E$1:$E$613,_REF_Model_Content!$A$1:$A$613,PV_Canonical_Industry,_REF_Model_Content!$B$1:$B$613,$C842))*IFERROR($BU842,1)),1),"")</f>
        <v>1.25</v>
      </c>
      <c r="AY842">
        <f t="shared" si="199"/>
        <v>19.75</v>
      </c>
      <c r="AZ842">
        <f t="shared" si="200"/>
        <v>1.56</v>
      </c>
      <c r="BB842" t="str">
        <f>IF($H842="","",IFERROR(INDEX(_ENGINE_Risk!$AE$5:$AE$499,MATCH($E842,_ENGINE_Risk!$A$5:$A$499,0)),"Medium"))</f>
        <v>Slow</v>
      </c>
      <c r="BC842">
        <f t="shared" si="201"/>
        <v>0.85</v>
      </c>
      <c r="BD842">
        <f t="shared" si="202"/>
        <v>1.56</v>
      </c>
      <c r="BF842">
        <f>IF(OR($H842="",$J842=""),"",IFERROR(VLOOKUP(ROUND($J842,0),_CONFIG_Model_Settings!$D$154:$E$158,2,0),""))</f>
        <v>0.5</v>
      </c>
      <c r="BG842">
        <f>IFERROR(IF(OR($H842="",$K842=""),"",ROUND('Company Profile'!$B$113*INDEX(_CONFIG_Model_Settings!$H$154:$H$158,MATCH(ROUND($K842,0),_CONFIG_Model_Settings!$G$154:$G$158,0)),0)),0)</f>
        <v>1875</v>
      </c>
      <c r="BH842">
        <f t="shared" si="203"/>
        <v>937.5</v>
      </c>
      <c r="BI842">
        <f t="shared" si="204"/>
        <v>937.5</v>
      </c>
      <c r="BJ842">
        <f>IF($E842="","",IFERROR(VLOOKUP($C842,_CONFIG_Risk_Calibration!$A$5:$H$21,2,FALSE),3))</f>
        <v>3</v>
      </c>
      <c r="BK842">
        <f>IF($E842="","",IFERROR(VLOOKUP($C842,_CONFIG_Risk_Calibration!$A$5:$H$21,3,FALSE),0))</f>
        <v>0</v>
      </c>
      <c r="BL842">
        <f>IF($E842="","",IFERROR(VLOOKUP($C842,_CONFIG_Risk_Calibration!$A$5:$H$21,4,FALSE),3))</f>
        <v>3</v>
      </c>
      <c r="BM842">
        <f>IF($E842="","",IFERROR(VLOOKUP($C842,_CONFIG_Risk_Calibration!$A$5:$H$21,5,FALSE),3))</f>
        <v>3</v>
      </c>
      <c r="BN842" t="str">
        <f>IF($E842="","",IFERROR(VLOOKUP($C842,_CONFIG_Risk_Calibration!$A$5:$H$21,6,FALSE),"No"))</f>
        <v>No</v>
      </c>
      <c r="BO842">
        <f>IF($E842="","",IFERROR(VLOOKUP($C842,_CONFIG_Risk_Calibration!$A$5:$H$21,7,FALSE),1))</f>
        <v>1</v>
      </c>
      <c r="BP842">
        <f>IF($H842="","",MAX(1,MIN(5,((6-$H842)*0.45)+($BJ842*0.2)+('Resilience &amp; Risk Scenario'!$B$7*0.15)+($BK842*0.1)+($BL842*0.05)+(IF($BB842="Fast",5,IF($BB842="Slow",1,3))*0.05))))</f>
        <v>3.5</v>
      </c>
      <c r="BQ842">
        <f t="shared" si="205"/>
        <v>4.5</v>
      </c>
      <c r="BR842">
        <f t="shared" si="206"/>
        <v>15.75</v>
      </c>
      <c r="BS842">
        <f t="shared" si="207"/>
        <v>16.73</v>
      </c>
      <c r="BT842" t="str">
        <f>IFERROR(INDEX(_REF_Capability_Bridge!$D:$D,MATCH($C842&amp;"|"&amp;$D842,_REF_Capability_Bridge!$J:$J,0)),IFERROR(INDEX(_REF_Capability_Bridge!$D:$D,MATCH($C842&amp;"|",_REF_Capability_Bridge!$J:$J,0)),"CAP_GENERIC"))</f>
        <v>CAP_DATA_GOVERNANCE</v>
      </c>
      <c r="BU842">
        <f>IFERROR(IFERROR(INDEX(_ENGINE_Relevance!$L:$L,MATCH($BT842,_ENGINE_Relevance!$B:$B,0)),1),1)</f>
        <v>1.25</v>
      </c>
      <c r="BV842" t="str">
        <f>IFERROR(INDEX(_REF_Capability_Bridge!$A:$A,MATCH($C842&amp;"|"&amp;$D842,_REF_Capability_Bridge!$J:$J,0)),IFERROR(INDEX(_REF_Capability_Bridge!$A:$A,MATCH($C842&amp;"|",_REF_Capability_Bridge!$J:$J,0)),"No bridge"))</f>
        <v>BRG-022</v>
      </c>
      <c r="BW842" t="str">
        <f t="shared" si="208"/>
        <v>Capability relevance increases risk priority</v>
      </c>
      <c r="BX842" t="str">
        <f t="shared" si="209"/>
        <v>Initial / absent</v>
      </c>
      <c r="BY842" t="str">
        <f>IF($E842="","",IFERROR(INDEX(_REF_Treatment_Library!$A$2:$A$296,MATCH(1,INDEX((_REF_Treatment_Library!$B$2:$B$296=$BT842)*(_REF_Treatment_Library!$C$2:$C$296=PV_Canonical_Industry)*(_REF_Treatment_Library!$E$2:$E$296&lt;=N($H842))*(_REF_Treatment_Library!$F$2:$F$296&gt;=N($H842))*(_REF_Treatment_Library!$O$2:$O$296="Yes"),0),0)),IFERROR(INDEX(_REF_Treatment_Library!$A$2:$A$296,MATCH(1,INDEX((_REF_Treatment_Library!$B$2:$B$296=$BT842)*(_REF_Treatment_Library!$C$2:$C$296="All")*(_REF_Treatment_Library!$E$2:$E$296&lt;=N($H842))*(_REF_Treatment_Library!$F$2:$F$296&gt;=N($H842))*(_REF_Treatment_Library!$O$2:$O$296="Yes"),0),0)),"")))</f>
        <v>TRT-DATA_GOVERNANCE-INITIAL</v>
      </c>
      <c r="BZ842" t="str">
        <f>IF($BY842="","",IFERROR(INDEX(_REF_Treatment_Library!$H$2:$H$296,MATCH($BY842,_REF_Treatment_Library!$A$2:$A$296,0)),""))</f>
        <v>Establish</v>
      </c>
      <c r="CA842" t="str">
        <f>IF($BY842="","",IFERROR(INDEX(_REF_Treatment_Library!$I$2:$I$296,MATCH($BY842,_REF_Treatment_Library!$A$2:$A$296,0)),""))</f>
        <v>Establish baseline controls for Data governance</v>
      </c>
      <c r="CB842" t="str">
        <f>IF($BY842="","",IFERROR(INDEX(_REF_Treatment_Library!$K$2:$K$296,MATCH($BY842,_REF_Treatment_Library!$A$2:$A$296,0)),""))</f>
        <v>Named owner, baseline process, minimum control checklist, first evidence package</v>
      </c>
      <c r="CC842" t="str">
        <f>IF($BY842="","",IFERROR(INDEX(_REF_Treatment_Library!$L$2:$L$296,MATCH($BY842,_REF_Treatment_Library!$A$2:$A$296,0)),""))</f>
        <v>Owner assigned; baseline evidence coverage; open critical gaps</v>
      </c>
      <c r="CD842" t="str">
        <f t="shared" si="210"/>
        <v>Treatment by capability=CAP_DATA_GOVERNANCE; band=Initial / absent; score=0.0; treatment=Establish</v>
      </c>
      <c r="CE842" t="str">
        <f>IF($E842="","",IFERROR(INDEX(_REF_Industry_Wording!$A$2:$A$70,MATCH(1,INDEX((_REF_Industry_Wording!$B$2:$B$70=$BT842)*(_REF_Industry_Wording!$C$2:$C$70=PV_Canonical_Industry)*(_REF_Industry_Wording!$K$2:$K$70="Yes"),0),0)),IFERROR(INDEX(_REF_Industry_Wording!$A$2:$A$70,MATCH(1,INDEX((_REF_Industry_Wording!$B$2:$B$70=$BT842)*(_REF_Industry_Wording!$C$2:$C$70="All")*(_REF_Industry_Wording!$K$2:$K$70="Yes"),0),0)),"")))</f>
        <v>IW-ALL-DATA_GOVERNANCE</v>
      </c>
      <c r="CF842" t="str">
        <f>IF($CE842="","",IFERROR(INDEX(_REF_Industry_Wording!$E$2:$E$70,MATCH($CE842,_REF_Industry_Wording!$A$2:$A$70,0)),""))</f>
        <v>Data governance weakness</v>
      </c>
      <c r="CG842" t="str">
        <f>IF($CE842="","",IFERROR(INDEX(_REF_Industry_Wording!$F$2:$F$70,MATCH($CE842,_REF_Industry_Wording!$A$2:$A$70,0)),""))</f>
        <v>Strengthen Data governance</v>
      </c>
      <c r="CH842" t="str">
        <f>IF($CE842="","",IFERROR(INDEX(_REF_Industry_Wording!$G$2:$G$70,MATCH($CE842,_REF_Industry_Wording!$A$2:$A$70,0)),""))</f>
        <v>Strengthen Data governance using the selected maturity treatment, crisis scenario and evidence requirements.</v>
      </c>
      <c r="CI842" t="str">
        <f>IF($CE842="","",IFERROR(INDEX(_REF_Industry_Wording!$H$2:$H$70,MATCH($CE842,_REF_Industry_Wording!$A$2:$A$70,0)),""))</f>
        <v>Data governance</v>
      </c>
      <c r="CJ842">
        <f>IF($CE842="","",IFERROR(INDEX(_REF_Industry_Wording!$I$2:$I$70,MATCH($CE842,_REF_Industry_Wording!$A$2:$A$70,0)),""))</f>
        <v>0</v>
      </c>
      <c r="CK842" t="str">
        <f>IF($CE842="","",IFERROR(INDEX(_REF_Industry_Wording!$J$2:$J$70,MATCH($CE842,_REF_Industry_Wording!$A$2:$A$70,0)),""))</f>
        <v>Data governance</v>
      </c>
      <c r="CL842" t="str">
        <f t="shared" si="211"/>
        <v>Wording by industry=0; capability=CAP_DATA_GOVERNANCE; risk label=Data governance weakness</v>
      </c>
      <c r="CM842" t="str">
        <f t="shared" si="212"/>
        <v>RISK-ONT-0343</v>
      </c>
      <c r="CN842" t="str">
        <f t="shared" si="213"/>
        <v>RISK-EVT-0343</v>
      </c>
      <c r="CO842" t="str">
        <f t="shared" si="214"/>
        <v>Data BI AI|Data governance|DATA-002|CAP_DATA_GOVERNANCE</v>
      </c>
      <c r="CP842" t="str">
        <f t="shared" si="215"/>
        <v>Active</v>
      </c>
      <c r="CQ842" t="str">
        <f t="shared" si="216"/>
        <v>OK: capability-driven</v>
      </c>
      <c r="CR842" t="str">
        <f t="shared" si="217"/>
        <v>Risk ontology uses capability=CAP_DATA_GOVERNANCE; bridge=BRG-022; treatment=TRT-DATA_GOVERNANCE-INITIAL; wording=IW-ALL-DATA_GOVERNANCE</v>
      </c>
      <c r="CS842" t="str">
        <f t="shared" si="218"/>
        <v>Yes</v>
      </c>
    </row>
    <row r="843" spans="1:97" ht="69.900000000000006" customHeight="1">
      <c r="A843">
        <f>IF(OR($B843&lt;&gt;"Yes",$BS843=""),"",SUMPRODUCT(($B$500:$B$923="Yes")*ISNUMBER($BS$500:$BS$923)*($BS$500:$BS$923&gt;$BS843))+COUNTIFS($B$500:$B843,"Yes",$BS$500:$BS843,$BS843))</f>
        <v>331</v>
      </c>
      <c r="B843" t="str">
        <f t="shared" si="187"/>
        <v>Yes</v>
      </c>
      <c r="C843" t="s">
        <v>2824</v>
      </c>
      <c r="D843" t="s">
        <v>2826</v>
      </c>
      <c r="E843" t="s">
        <v>2836</v>
      </c>
      <c r="F843" t="s">
        <v>4418</v>
      </c>
      <c r="G843" t="str">
        <f>IF($H843="","",IFERROR(INDEX(_ENGINE_Risk!$H$5:$M$499,MATCH($E843,_ENGINE_Risk!$A$5:$A$499,0),$H843+1),""))</f>
        <v>Severe risk: consistent metric definitions across finance, sales, operations, HR, supply chain and manufacturing is not reliably controlled. During Decision failure; Data loss; Regulatory/legal shock, the organization may face poor decisions, unreliable reporting, data quality problems and unsafe or ineffective AI usage with limited visibility or accountability.</v>
      </c>
      <c r="H843">
        <f>IFERROR(VALUE(INDEX(_DATA_Assessment_Model!$H$5:$H$884,MATCH($E843,_DATA_Assessment_Model!$A$5:$A$884,0))),"")</f>
        <v>0</v>
      </c>
      <c r="I843" t="str">
        <f>IF($H843="","",IFERROR(INDEX(_DATA_Assessment_Model!$L$5:$L$884,MATCH($E843,_DATA_Assessment_Model!$A$5:$A$884,0)),IF($H843&lt;=1,"Critical",IF($H843=2,"High",IF($H843=3,"Medium",IF($H843=4,"Low","Resilient"))))))</f>
        <v>Critical</v>
      </c>
      <c r="J843">
        <f t="shared" si="188"/>
        <v>3.5</v>
      </c>
      <c r="K843">
        <f t="shared" si="189"/>
        <v>4.1000000000000005</v>
      </c>
      <c r="L843">
        <f t="shared" si="190"/>
        <v>14.350000000000001</v>
      </c>
      <c r="M843">
        <f t="shared" si="191"/>
        <v>3</v>
      </c>
      <c r="N843">
        <f>IF($H843="","",IFERROR(INDEX(_ENGINE_Risk!$T$5:$Y$499,MATCH($E843,_ENGINE_Risk!$A$5:$A$499,0),$H843+1),""))</f>
        <v>4</v>
      </c>
      <c r="O843">
        <f t="shared" si="192"/>
        <v>4.333333333333333</v>
      </c>
      <c r="P843">
        <f t="shared" si="193"/>
        <v>5</v>
      </c>
      <c r="Q843">
        <f t="shared" si="194"/>
        <v>5</v>
      </c>
      <c r="R843">
        <f t="shared" si="195"/>
        <v>5</v>
      </c>
      <c r="S843">
        <f t="shared" si="196"/>
        <v>1.21</v>
      </c>
      <c r="T843" t="str">
        <f>IF($H843="","",IFERROR(INDEX(_ENGINE_Risk!$N$5:$S$499,MATCH($E843,_ENGINE_Risk!$A$5:$A$499,0),$H843+1),""))</f>
        <v>Create an immediate risk owner, minimum control baseline and fallback procedure for consistent metric definitions across finance, sales, operations, HR, supply chain and manufacturing. Add it to the crisis risk register and collect first evidence.</v>
      </c>
      <c r="U843">
        <f>IFERROR(INDEX(_DATA_Assessment_Model!$G$5:$G$884,MATCH($E843,_DATA_Assessment_Model!$A$5:$A$884,0)),"")</f>
        <v>3</v>
      </c>
      <c r="V843">
        <f>IFERROR(INDEX(_DATA_Assessment_Model!$W$5:$W$884,MATCH($E843,_DATA_Assessment_Model!$A$5:$A$884,0)),"")</f>
        <v>5</v>
      </c>
      <c r="W843">
        <f>IFERROR(INDEX(_DATA_Assessment_Model!$X$5:$X$884,MATCH($E843,_DATA_Assessment_Model!$A$5:$A$884,0)),"")</f>
        <v>5</v>
      </c>
      <c r="X843">
        <f>IFERROR(INDEX(_DATA_Assessment_Model!$Y$5:$Y$884,MATCH($E843,_DATA_Assessment_Model!$A$5:$A$884,0)),"")</f>
        <v>5</v>
      </c>
      <c r="Y843" t="s">
        <v>2831</v>
      </c>
      <c r="Z843" t="s">
        <v>9432</v>
      </c>
      <c r="AA843" t="s">
        <v>2838</v>
      </c>
      <c r="AB843">
        <f>IFERROR(INDEX(_DATA_Assessment_Model!$U$5:$U$884,MATCH($E843,_DATA_Assessment_Model!$A$5:$A$884,0)),"")</f>
        <v>0</v>
      </c>
      <c r="AF843" t="s">
        <v>2837</v>
      </c>
      <c r="AO843">
        <f>IF($B843="Yes",IF(IFERROR(INDEX(_ENGINE_Crisis!$F$501:$F$517,MATCH($C843,_ENGINE_Crisis!$A$501:$A$517,0)),1)=0,1,IFERROR(INDEX(_ENGINE_Crisis!$F$501:$F$517,MATCH($C843,_ENGINE_Crisis!$A$501:$A$517,0)),1)),"")</f>
        <v>1</v>
      </c>
      <c r="AP843">
        <f t="shared" si="197"/>
        <v>14.4</v>
      </c>
      <c r="AQ843">
        <f t="shared" si="198"/>
        <v>1.21</v>
      </c>
      <c r="AR843" t="str">
        <f>IFERROR(INDEX(_ENGINE_Crisis!$E$41:$E$700,MATCH('Resilience &amp; Risk Scenario'!$B$6&amp;"|"&amp;$C843,_ENGINE_Crisis!$I$41:$I$700,0)),"")</f>
        <v/>
      </c>
      <c r="AS843" t="str">
        <f>IFERROR(INDEX(_ENGINE_Crisis!$G$41:$G$700,MATCH('Resilience &amp; Risk Scenario'!$B$6&amp;"|"&amp;$C843,_ENGINE_Crisis!$I$41:$I$700,0)),"")</f>
        <v/>
      </c>
      <c r="AT843" t="str">
        <f>IFERROR(INDEX(_ENGINE_Initiatives!$A$5:$A$532,MATCH(1,INDEX((_ENGINE_Initiatives!$B$5:$B$532=$C843)*(_ENGINE_Initiatives!$C$5:$C$532=$D843),0),0)),"")</f>
        <v>INI-058</v>
      </c>
      <c r="AU843" t="str">
        <f>IFERROR(INDEX(_ENGINE_Initiatives!$F$5:$F$532,MATCH(1,INDEX((_ENGINE_Initiatives!$B$5:$B$532=$C843)*(_ENGINE_Initiatives!$C$5:$C$532=$D843),0),0)),"")</f>
        <v>Implement data ownership, quality and governance framework</v>
      </c>
      <c r="AV843">
        <f>IFERROR(INDEX(_ENGINE_Initiatives!$AC$5:$AC$532,MATCH(1,INDEX((_ENGINE_Initiatives!$B$5:$B$532=$C843)*(_ENGINE_Initiatives!$C$5:$C$532=$D843),0),0)),"")</f>
        <v>1.3</v>
      </c>
      <c r="AW843" t="str">
        <f>IFERROR(INDEX(_ENGINE_Initiatives!$AE$5:$AE$532,MATCH(1,INDEX((_ENGINE_Initiatives!$B$5:$B$532=$C843)*(_ENGINE_Initiatives!$C$5:$C$532=$D843),0),0)),"")</f>
        <v>12+ months</v>
      </c>
      <c r="AX843">
        <f>IF($B843="Yes",IFERROR((IF(SUMIFS(_REF_Model_Content!$E$1:$E$613,_REF_Model_Content!$A$1:$A$613,PV_Canonical_Industry,_REF_Model_Content!$B$1:$B$613,$C843)=0,1,SUMIFS(_REF_Model_Content!$E$1:$E$613,_REF_Model_Content!$A$1:$A$613,PV_Canonical_Industry,_REF_Model_Content!$B$1:$B$613,$C843))*IFERROR($BU843,1)),1),"")</f>
        <v>1.25</v>
      </c>
      <c r="AY843">
        <f t="shared" si="199"/>
        <v>18</v>
      </c>
      <c r="AZ843">
        <f t="shared" si="200"/>
        <v>1.51</v>
      </c>
      <c r="BB843" t="str">
        <f>IF($H843="","",IFERROR(INDEX(_ENGINE_Risk!$AE$5:$AE$499,MATCH($E843,_ENGINE_Risk!$A$5:$A$499,0)),"Medium"))</f>
        <v>Slow</v>
      </c>
      <c r="BC843">
        <f t="shared" si="201"/>
        <v>0.85</v>
      </c>
      <c r="BD843">
        <f t="shared" si="202"/>
        <v>1.51</v>
      </c>
      <c r="BF843">
        <f>IF(OR($H843="",$J843=""),"",IFERROR(VLOOKUP(ROUND($J843,0),_CONFIG_Model_Settings!$D$154:$E$158,2,0),""))</f>
        <v>0.5</v>
      </c>
      <c r="BG843">
        <f>IFERROR(IF(OR($H843="",$K843=""),"",ROUND('Company Profile'!$B$113*INDEX(_CONFIG_Model_Settings!$H$154:$H$158,MATCH(ROUND($K843,0),_CONFIG_Model_Settings!$G$154:$G$158,0)),0)),0)</f>
        <v>875</v>
      </c>
      <c r="BH843">
        <f t="shared" si="203"/>
        <v>437.5</v>
      </c>
      <c r="BI843">
        <f t="shared" si="204"/>
        <v>437.5</v>
      </c>
      <c r="BJ843">
        <f>IF($E843="","",IFERROR(VLOOKUP($C843,_CONFIG_Risk_Calibration!$A$5:$H$21,2,FALSE),3))</f>
        <v>3</v>
      </c>
      <c r="BK843">
        <f>IF($E843="","",IFERROR(VLOOKUP($C843,_CONFIG_Risk_Calibration!$A$5:$H$21,3,FALSE),0))</f>
        <v>0</v>
      </c>
      <c r="BL843">
        <f>IF($E843="","",IFERROR(VLOOKUP($C843,_CONFIG_Risk_Calibration!$A$5:$H$21,4,FALSE),3))</f>
        <v>3</v>
      </c>
      <c r="BM843">
        <f>IF($E843="","",IFERROR(VLOOKUP($C843,_CONFIG_Risk_Calibration!$A$5:$H$21,5,FALSE),3))</f>
        <v>3</v>
      </c>
      <c r="BN843" t="str">
        <f>IF($E843="","",IFERROR(VLOOKUP($C843,_CONFIG_Risk_Calibration!$A$5:$H$21,6,FALSE),"No"))</f>
        <v>No</v>
      </c>
      <c r="BO843">
        <f>IF($E843="","",IFERROR(VLOOKUP($C843,_CONFIG_Risk_Calibration!$A$5:$H$21,7,FALSE),1))</f>
        <v>1</v>
      </c>
      <c r="BP843">
        <f>IF($H843="","",MAX(1,MIN(5,((6-$H843)*0.45)+($BJ843*0.2)+('Resilience &amp; Risk Scenario'!$B$7*0.15)+($BK843*0.1)+($BL843*0.05)+(IF($BB843="Fast",5,IF($BB843="Slow",1,3))*0.05))))</f>
        <v>3.5</v>
      </c>
      <c r="BQ843">
        <f t="shared" si="205"/>
        <v>4.1000000000000005</v>
      </c>
      <c r="BR843">
        <f t="shared" si="206"/>
        <v>14.35</v>
      </c>
      <c r="BS843">
        <f t="shared" si="207"/>
        <v>15.25</v>
      </c>
      <c r="BT843" t="str">
        <f>IFERROR(INDEX(_REF_Capability_Bridge!$D:$D,MATCH($C843&amp;"|"&amp;$D843,_REF_Capability_Bridge!$J:$J,0)),IFERROR(INDEX(_REF_Capability_Bridge!$D:$D,MATCH($C843&amp;"|",_REF_Capability_Bridge!$J:$J,0)),"CAP_GENERIC"))</f>
        <v>CAP_DATA_GOVERNANCE</v>
      </c>
      <c r="BU843">
        <f>IFERROR(IFERROR(INDEX(_ENGINE_Relevance!$L:$L,MATCH($BT843,_ENGINE_Relevance!$B:$B,0)),1),1)</f>
        <v>1.25</v>
      </c>
      <c r="BV843" t="str">
        <f>IFERROR(INDEX(_REF_Capability_Bridge!$A:$A,MATCH($C843&amp;"|"&amp;$D843,_REF_Capability_Bridge!$J:$J,0)),IFERROR(INDEX(_REF_Capability_Bridge!$A:$A,MATCH($C843&amp;"|",_REF_Capability_Bridge!$J:$J,0)),"No bridge"))</f>
        <v>BRG-022</v>
      </c>
      <c r="BW843" t="str">
        <f t="shared" si="208"/>
        <v>Capability relevance increases risk priority</v>
      </c>
      <c r="BX843" t="str">
        <f t="shared" si="209"/>
        <v>Initial / absent</v>
      </c>
      <c r="BY843" t="str">
        <f>IF($E843="","",IFERROR(INDEX(_REF_Treatment_Library!$A$2:$A$296,MATCH(1,INDEX((_REF_Treatment_Library!$B$2:$B$296=$BT843)*(_REF_Treatment_Library!$C$2:$C$296=PV_Canonical_Industry)*(_REF_Treatment_Library!$E$2:$E$296&lt;=N($H843))*(_REF_Treatment_Library!$F$2:$F$296&gt;=N($H843))*(_REF_Treatment_Library!$O$2:$O$296="Yes"),0),0)),IFERROR(INDEX(_REF_Treatment_Library!$A$2:$A$296,MATCH(1,INDEX((_REF_Treatment_Library!$B$2:$B$296=$BT843)*(_REF_Treatment_Library!$C$2:$C$296="All")*(_REF_Treatment_Library!$E$2:$E$296&lt;=N($H843))*(_REF_Treatment_Library!$F$2:$F$296&gt;=N($H843))*(_REF_Treatment_Library!$O$2:$O$296="Yes"),0),0)),"")))</f>
        <v>TRT-DATA_GOVERNANCE-INITIAL</v>
      </c>
      <c r="BZ843" t="str">
        <f>IF($BY843="","",IFERROR(INDEX(_REF_Treatment_Library!$H$2:$H$296,MATCH($BY843,_REF_Treatment_Library!$A$2:$A$296,0)),""))</f>
        <v>Establish</v>
      </c>
      <c r="CA843" t="str">
        <f>IF($BY843="","",IFERROR(INDEX(_REF_Treatment_Library!$I$2:$I$296,MATCH($BY843,_REF_Treatment_Library!$A$2:$A$296,0)),""))</f>
        <v>Establish baseline controls for Data governance</v>
      </c>
      <c r="CB843" t="str">
        <f>IF($BY843="","",IFERROR(INDEX(_REF_Treatment_Library!$K$2:$K$296,MATCH($BY843,_REF_Treatment_Library!$A$2:$A$296,0)),""))</f>
        <v>Named owner, baseline process, minimum control checklist, first evidence package</v>
      </c>
      <c r="CC843" t="str">
        <f>IF($BY843="","",IFERROR(INDEX(_REF_Treatment_Library!$L$2:$L$296,MATCH($BY843,_REF_Treatment_Library!$A$2:$A$296,0)),""))</f>
        <v>Owner assigned; baseline evidence coverage; open critical gaps</v>
      </c>
      <c r="CD843" t="str">
        <f t="shared" si="210"/>
        <v>Treatment by capability=CAP_DATA_GOVERNANCE; band=Initial / absent; score=0.0; treatment=Establish</v>
      </c>
      <c r="CE843" t="str">
        <f>IF($E843="","",IFERROR(INDEX(_REF_Industry_Wording!$A$2:$A$70,MATCH(1,INDEX((_REF_Industry_Wording!$B$2:$B$70=$BT843)*(_REF_Industry_Wording!$C$2:$C$70=PV_Canonical_Industry)*(_REF_Industry_Wording!$K$2:$K$70="Yes"),0),0)),IFERROR(INDEX(_REF_Industry_Wording!$A$2:$A$70,MATCH(1,INDEX((_REF_Industry_Wording!$B$2:$B$70=$BT843)*(_REF_Industry_Wording!$C$2:$C$70="All")*(_REF_Industry_Wording!$K$2:$K$70="Yes"),0),0)),"")))</f>
        <v>IW-ALL-DATA_GOVERNANCE</v>
      </c>
      <c r="CF843" t="str">
        <f>IF($CE843="","",IFERROR(INDEX(_REF_Industry_Wording!$E$2:$E$70,MATCH($CE843,_REF_Industry_Wording!$A$2:$A$70,0)),""))</f>
        <v>Data governance weakness</v>
      </c>
      <c r="CG843" t="str">
        <f>IF($CE843="","",IFERROR(INDEX(_REF_Industry_Wording!$F$2:$F$70,MATCH($CE843,_REF_Industry_Wording!$A$2:$A$70,0)),""))</f>
        <v>Strengthen Data governance</v>
      </c>
      <c r="CH843" t="str">
        <f>IF($CE843="","",IFERROR(INDEX(_REF_Industry_Wording!$G$2:$G$70,MATCH($CE843,_REF_Industry_Wording!$A$2:$A$70,0)),""))</f>
        <v>Strengthen Data governance using the selected maturity treatment, crisis scenario and evidence requirements.</v>
      </c>
      <c r="CI843" t="str">
        <f>IF($CE843="","",IFERROR(INDEX(_REF_Industry_Wording!$H$2:$H$70,MATCH($CE843,_REF_Industry_Wording!$A$2:$A$70,0)),""))</f>
        <v>Data governance</v>
      </c>
      <c r="CJ843">
        <f>IF($CE843="","",IFERROR(INDEX(_REF_Industry_Wording!$I$2:$I$70,MATCH($CE843,_REF_Industry_Wording!$A$2:$A$70,0)),""))</f>
        <v>0</v>
      </c>
      <c r="CK843" t="str">
        <f>IF($CE843="","",IFERROR(INDEX(_REF_Industry_Wording!$J$2:$J$70,MATCH($CE843,_REF_Industry_Wording!$A$2:$A$70,0)),""))</f>
        <v>Data governance</v>
      </c>
      <c r="CL843" t="str">
        <f t="shared" si="211"/>
        <v>Wording by industry=0; capability=CAP_DATA_GOVERNANCE; risk label=Data governance weakness</v>
      </c>
      <c r="CM843" t="str">
        <f t="shared" si="212"/>
        <v>RISK-ONT-0344</v>
      </c>
      <c r="CN843" t="str">
        <f t="shared" si="213"/>
        <v>RISK-EVT-0344</v>
      </c>
      <c r="CO843" t="str">
        <f t="shared" si="214"/>
        <v>Data BI AI|Data governance|DATA-003|CAP_DATA_GOVERNANCE</v>
      </c>
      <c r="CP843" t="str">
        <f t="shared" si="215"/>
        <v>Active</v>
      </c>
      <c r="CQ843" t="str">
        <f t="shared" si="216"/>
        <v>OK: capability-driven</v>
      </c>
      <c r="CR843" t="str">
        <f t="shared" si="217"/>
        <v>Risk ontology uses capability=CAP_DATA_GOVERNANCE; bridge=BRG-022; treatment=TRT-DATA_GOVERNANCE-INITIAL; wording=IW-ALL-DATA_GOVERNANCE</v>
      </c>
      <c r="CS843" t="str">
        <f t="shared" si="218"/>
        <v>Yes</v>
      </c>
    </row>
    <row r="844" spans="1:97" ht="69.900000000000006" customHeight="1">
      <c r="A844">
        <f>IF(OR($B844&lt;&gt;"Yes",$BS844=""),"",SUMPRODUCT(($B$500:$B$923="Yes")*ISNUMBER($BS$500:$BS$923)*($BS$500:$BS$923&gt;$BS844))+COUNTIFS($B$500:$B844,"Yes",$BS$500:$BS844,$BS844))</f>
        <v>297</v>
      </c>
      <c r="B844" t="str">
        <f t="shared" si="187"/>
        <v>Yes</v>
      </c>
      <c r="C844" t="s">
        <v>2824</v>
      </c>
      <c r="D844" t="s">
        <v>2826</v>
      </c>
      <c r="E844" t="s">
        <v>2846</v>
      </c>
      <c r="F844" t="s">
        <v>4418</v>
      </c>
      <c r="G844" t="str">
        <f>IF($H844="","",IFERROR(INDEX(_ENGINE_Risk!$H$5:$M$499,MATCH($E844,_ENGINE_Risk!$A$5:$A$499,0),$H844+1),""))</f>
        <v>Severe risk: data quality rules, monitoring and issue resolution process is not reliably controlled. During Decision failure; Data loss; Regulatory/legal shock, the organization may face poor decisions, unreliable reporting, data quality problems and unsafe or ineffective AI usage with limited visibility or accountability.</v>
      </c>
      <c r="H844">
        <f>IFERROR(VALUE(INDEX(_DATA_Assessment_Model!$H$5:$H$884,MATCH($E844,_DATA_Assessment_Model!$A$5:$A$884,0))),"")</f>
        <v>0</v>
      </c>
      <c r="I844" t="str">
        <f>IF($H844="","",IFERROR(INDEX(_DATA_Assessment_Model!$L$5:$L$884,MATCH($E844,_DATA_Assessment_Model!$A$5:$A$884,0)),IF($H844&lt;=1,"Critical",IF($H844=2,"High",IF($H844=3,"Medium",IF($H844=4,"Low","Resilient"))))))</f>
        <v>Critical</v>
      </c>
      <c r="J844">
        <f t="shared" si="188"/>
        <v>3.5</v>
      </c>
      <c r="K844">
        <f t="shared" si="189"/>
        <v>4.3</v>
      </c>
      <c r="L844">
        <f t="shared" si="190"/>
        <v>15.049999999999999</v>
      </c>
      <c r="M844">
        <f t="shared" si="191"/>
        <v>4</v>
      </c>
      <c r="N844">
        <f>IF($H844="","",IFERROR(INDEX(_ENGINE_Risk!$T$5:$Y$499,MATCH($E844,_ENGINE_Risk!$A$5:$A$499,0),$H844+1),""))</f>
        <v>4</v>
      </c>
      <c r="O844">
        <f t="shared" si="192"/>
        <v>4.666666666666667</v>
      </c>
      <c r="P844">
        <f t="shared" si="193"/>
        <v>5</v>
      </c>
      <c r="Q844">
        <f t="shared" si="194"/>
        <v>5</v>
      </c>
      <c r="R844">
        <f t="shared" si="195"/>
        <v>5</v>
      </c>
      <c r="S844">
        <f t="shared" si="196"/>
        <v>1.23</v>
      </c>
      <c r="T844" t="str">
        <f>IF($H844="","",IFERROR(INDEX(_ENGINE_Risk!$N$5:$S$499,MATCH($E844,_ENGINE_Risk!$A$5:$A$499,0),$H844+1),""))</f>
        <v>Create an immediate risk owner, minimum control baseline and fallback procedure for data quality rules, monitoring and issue resolution process. Add it to the crisis risk register and collect first evidence.</v>
      </c>
      <c r="U844">
        <f>IFERROR(INDEX(_DATA_Assessment_Model!$G$5:$G$884,MATCH($E844,_DATA_Assessment_Model!$A$5:$A$884,0)),"")</f>
        <v>4</v>
      </c>
      <c r="V844">
        <f>IFERROR(INDEX(_DATA_Assessment_Model!$W$5:$W$884,MATCH($E844,_DATA_Assessment_Model!$A$5:$A$884,0)),"")</f>
        <v>5</v>
      </c>
      <c r="W844">
        <f>IFERROR(INDEX(_DATA_Assessment_Model!$X$5:$X$884,MATCH($E844,_DATA_Assessment_Model!$A$5:$A$884,0)),"")</f>
        <v>5</v>
      </c>
      <c r="X844">
        <f>IFERROR(INDEX(_DATA_Assessment_Model!$Y$5:$Y$884,MATCH($E844,_DATA_Assessment_Model!$A$5:$A$884,0)),"")</f>
        <v>5</v>
      </c>
      <c r="Y844" t="s">
        <v>2831</v>
      </c>
      <c r="Z844" t="s">
        <v>9432</v>
      </c>
      <c r="AA844" t="s">
        <v>2848</v>
      </c>
      <c r="AB844">
        <f>IFERROR(INDEX(_DATA_Assessment_Model!$U$5:$U$884,MATCH($E844,_DATA_Assessment_Model!$A$5:$A$884,0)),"")</f>
        <v>0</v>
      </c>
      <c r="AF844" t="s">
        <v>2847</v>
      </c>
      <c r="AO844">
        <f>IF($B844="Yes",IF(IFERROR(INDEX(_ENGINE_Crisis!$F$501:$F$517,MATCH($C844,_ENGINE_Crisis!$A$501:$A$517,0)),1)=0,1,IFERROR(INDEX(_ENGINE_Crisis!$F$501:$F$517,MATCH($C844,_ENGINE_Crisis!$A$501:$A$517,0)),1)),"")</f>
        <v>1</v>
      </c>
      <c r="AP844">
        <f t="shared" si="197"/>
        <v>15.1</v>
      </c>
      <c r="AQ844">
        <f t="shared" si="198"/>
        <v>1.23</v>
      </c>
      <c r="AR844" t="str">
        <f>IFERROR(INDEX(_ENGINE_Crisis!$E$41:$E$700,MATCH('Resilience &amp; Risk Scenario'!$B$6&amp;"|"&amp;$C844,_ENGINE_Crisis!$I$41:$I$700,0)),"")</f>
        <v/>
      </c>
      <c r="AS844" t="str">
        <f>IFERROR(INDEX(_ENGINE_Crisis!$G$41:$G$700,MATCH('Resilience &amp; Risk Scenario'!$B$6&amp;"|"&amp;$C844,_ENGINE_Crisis!$I$41:$I$700,0)),"")</f>
        <v/>
      </c>
      <c r="AT844" t="str">
        <f>IFERROR(INDEX(_ENGINE_Initiatives!$A$5:$A$532,MATCH(1,INDEX((_ENGINE_Initiatives!$B$5:$B$532=$C844)*(_ENGINE_Initiatives!$C$5:$C$532=$D844),0),0)),"")</f>
        <v>INI-058</v>
      </c>
      <c r="AU844" t="str">
        <f>IFERROR(INDEX(_ENGINE_Initiatives!$F$5:$F$532,MATCH(1,INDEX((_ENGINE_Initiatives!$B$5:$B$532=$C844)*(_ENGINE_Initiatives!$C$5:$C$532=$D844),0),0)),"")</f>
        <v>Implement data ownership, quality and governance framework</v>
      </c>
      <c r="AV844">
        <f>IFERROR(INDEX(_ENGINE_Initiatives!$AC$5:$AC$532,MATCH(1,INDEX((_ENGINE_Initiatives!$B$5:$B$532=$C844)*(_ENGINE_Initiatives!$C$5:$C$532=$D844),0),0)),"")</f>
        <v>1.3</v>
      </c>
      <c r="AW844" t="str">
        <f>IFERROR(INDEX(_ENGINE_Initiatives!$AE$5:$AE$532,MATCH(1,INDEX((_ENGINE_Initiatives!$B$5:$B$532=$C844)*(_ENGINE_Initiatives!$C$5:$C$532=$D844),0),0)),"")</f>
        <v>12+ months</v>
      </c>
      <c r="AX844">
        <f>IF($B844="Yes",IFERROR((IF(SUMIFS(_REF_Model_Content!$E$1:$E$613,_REF_Model_Content!$A$1:$A$613,PV_Canonical_Industry,_REF_Model_Content!$B$1:$B$613,$C844)=0,1,SUMIFS(_REF_Model_Content!$E$1:$E$613,_REF_Model_Content!$A$1:$A$613,PV_Canonical_Industry,_REF_Model_Content!$B$1:$B$613,$C844))*IFERROR($BU844,1)),1),"")</f>
        <v>1.25</v>
      </c>
      <c r="AY844">
        <f t="shared" si="199"/>
        <v>18.88</v>
      </c>
      <c r="AZ844">
        <f t="shared" si="200"/>
        <v>1.54</v>
      </c>
      <c r="BB844" t="str">
        <f>IF($H844="","",IFERROR(INDEX(_ENGINE_Risk!$AE$5:$AE$499,MATCH($E844,_ENGINE_Risk!$A$5:$A$499,0)),"Medium"))</f>
        <v>Slow</v>
      </c>
      <c r="BC844">
        <f t="shared" si="201"/>
        <v>0.85</v>
      </c>
      <c r="BD844">
        <f t="shared" si="202"/>
        <v>1.54</v>
      </c>
      <c r="BF844">
        <f>IF(OR($H844="",$J844=""),"",IFERROR(VLOOKUP(ROUND($J844,0),_CONFIG_Model_Settings!$D$154:$E$158,2,0),""))</f>
        <v>0.5</v>
      </c>
      <c r="BG844">
        <f>IFERROR(IF(OR($H844="",$K844=""),"",ROUND('Company Profile'!$B$113*INDEX(_CONFIG_Model_Settings!$H$154:$H$158,MATCH(ROUND($K844,0),_CONFIG_Model_Settings!$G$154:$G$158,0)),0)),0)</f>
        <v>875</v>
      </c>
      <c r="BH844">
        <f t="shared" si="203"/>
        <v>437.5</v>
      </c>
      <c r="BI844">
        <f t="shared" si="204"/>
        <v>437.5</v>
      </c>
      <c r="BJ844">
        <f>IF($E844="","",IFERROR(VLOOKUP($C844,_CONFIG_Risk_Calibration!$A$5:$H$21,2,FALSE),3))</f>
        <v>3</v>
      </c>
      <c r="BK844">
        <f>IF($E844="","",IFERROR(VLOOKUP($C844,_CONFIG_Risk_Calibration!$A$5:$H$21,3,FALSE),0))</f>
        <v>0</v>
      </c>
      <c r="BL844">
        <f>IF($E844="","",IFERROR(VLOOKUP($C844,_CONFIG_Risk_Calibration!$A$5:$H$21,4,FALSE),3))</f>
        <v>3</v>
      </c>
      <c r="BM844">
        <f>IF($E844="","",IFERROR(VLOOKUP($C844,_CONFIG_Risk_Calibration!$A$5:$H$21,5,FALSE),3))</f>
        <v>3</v>
      </c>
      <c r="BN844" t="str">
        <f>IF($E844="","",IFERROR(VLOOKUP($C844,_CONFIG_Risk_Calibration!$A$5:$H$21,6,FALSE),"No"))</f>
        <v>No</v>
      </c>
      <c r="BO844">
        <f>IF($E844="","",IFERROR(VLOOKUP($C844,_CONFIG_Risk_Calibration!$A$5:$H$21,7,FALSE),1))</f>
        <v>1</v>
      </c>
      <c r="BP844">
        <f>IF($H844="","",MAX(1,MIN(5,((6-$H844)*0.45)+($BJ844*0.2)+('Resilience &amp; Risk Scenario'!$B$7*0.15)+($BK844*0.1)+($BL844*0.05)+(IF($BB844="Fast",5,IF($BB844="Slow",1,3))*0.05))))</f>
        <v>3.5</v>
      </c>
      <c r="BQ844">
        <f t="shared" si="205"/>
        <v>4.3</v>
      </c>
      <c r="BR844">
        <f t="shared" si="206"/>
        <v>15.05</v>
      </c>
      <c r="BS844">
        <f t="shared" si="207"/>
        <v>15.99</v>
      </c>
      <c r="BT844" t="str">
        <f>IFERROR(INDEX(_REF_Capability_Bridge!$D:$D,MATCH($C844&amp;"|"&amp;$D844,_REF_Capability_Bridge!$J:$J,0)),IFERROR(INDEX(_REF_Capability_Bridge!$D:$D,MATCH($C844&amp;"|",_REF_Capability_Bridge!$J:$J,0)),"CAP_GENERIC"))</f>
        <v>CAP_DATA_GOVERNANCE</v>
      </c>
      <c r="BU844">
        <f>IFERROR(IFERROR(INDEX(_ENGINE_Relevance!$L:$L,MATCH($BT844,_ENGINE_Relevance!$B:$B,0)),1),1)</f>
        <v>1.25</v>
      </c>
      <c r="BV844" t="str">
        <f>IFERROR(INDEX(_REF_Capability_Bridge!$A:$A,MATCH($C844&amp;"|"&amp;$D844,_REF_Capability_Bridge!$J:$J,0)),IFERROR(INDEX(_REF_Capability_Bridge!$A:$A,MATCH($C844&amp;"|",_REF_Capability_Bridge!$J:$J,0)),"No bridge"))</f>
        <v>BRG-022</v>
      </c>
      <c r="BW844" t="str">
        <f t="shared" si="208"/>
        <v>Capability relevance increases risk priority</v>
      </c>
      <c r="BX844" t="str">
        <f t="shared" si="209"/>
        <v>Initial / absent</v>
      </c>
      <c r="BY844" t="str">
        <f>IF($E844="","",IFERROR(INDEX(_REF_Treatment_Library!$A$2:$A$296,MATCH(1,INDEX((_REF_Treatment_Library!$B$2:$B$296=$BT844)*(_REF_Treatment_Library!$C$2:$C$296=PV_Canonical_Industry)*(_REF_Treatment_Library!$E$2:$E$296&lt;=N($H844))*(_REF_Treatment_Library!$F$2:$F$296&gt;=N($H844))*(_REF_Treatment_Library!$O$2:$O$296="Yes"),0),0)),IFERROR(INDEX(_REF_Treatment_Library!$A$2:$A$296,MATCH(1,INDEX((_REF_Treatment_Library!$B$2:$B$296=$BT844)*(_REF_Treatment_Library!$C$2:$C$296="All")*(_REF_Treatment_Library!$E$2:$E$296&lt;=N($H844))*(_REF_Treatment_Library!$F$2:$F$296&gt;=N($H844))*(_REF_Treatment_Library!$O$2:$O$296="Yes"),0),0)),"")))</f>
        <v>TRT-DATA_GOVERNANCE-INITIAL</v>
      </c>
      <c r="BZ844" t="str">
        <f>IF($BY844="","",IFERROR(INDEX(_REF_Treatment_Library!$H$2:$H$296,MATCH($BY844,_REF_Treatment_Library!$A$2:$A$296,0)),""))</f>
        <v>Establish</v>
      </c>
      <c r="CA844" t="str">
        <f>IF($BY844="","",IFERROR(INDEX(_REF_Treatment_Library!$I$2:$I$296,MATCH($BY844,_REF_Treatment_Library!$A$2:$A$296,0)),""))</f>
        <v>Establish baseline controls for Data governance</v>
      </c>
      <c r="CB844" t="str">
        <f>IF($BY844="","",IFERROR(INDEX(_REF_Treatment_Library!$K$2:$K$296,MATCH($BY844,_REF_Treatment_Library!$A$2:$A$296,0)),""))</f>
        <v>Named owner, baseline process, minimum control checklist, first evidence package</v>
      </c>
      <c r="CC844" t="str">
        <f>IF($BY844="","",IFERROR(INDEX(_REF_Treatment_Library!$L$2:$L$296,MATCH($BY844,_REF_Treatment_Library!$A$2:$A$296,0)),""))</f>
        <v>Owner assigned; baseline evidence coverage; open critical gaps</v>
      </c>
      <c r="CD844" t="str">
        <f t="shared" si="210"/>
        <v>Treatment by capability=CAP_DATA_GOVERNANCE; band=Initial / absent; score=0.0; treatment=Establish</v>
      </c>
      <c r="CE844" t="str">
        <f>IF($E844="","",IFERROR(INDEX(_REF_Industry_Wording!$A$2:$A$70,MATCH(1,INDEX((_REF_Industry_Wording!$B$2:$B$70=$BT844)*(_REF_Industry_Wording!$C$2:$C$70=PV_Canonical_Industry)*(_REF_Industry_Wording!$K$2:$K$70="Yes"),0),0)),IFERROR(INDEX(_REF_Industry_Wording!$A$2:$A$70,MATCH(1,INDEX((_REF_Industry_Wording!$B$2:$B$70=$BT844)*(_REF_Industry_Wording!$C$2:$C$70="All")*(_REF_Industry_Wording!$K$2:$K$70="Yes"),0),0)),"")))</f>
        <v>IW-ALL-DATA_GOVERNANCE</v>
      </c>
      <c r="CF844" t="str">
        <f>IF($CE844="","",IFERROR(INDEX(_REF_Industry_Wording!$E$2:$E$70,MATCH($CE844,_REF_Industry_Wording!$A$2:$A$70,0)),""))</f>
        <v>Data governance weakness</v>
      </c>
      <c r="CG844" t="str">
        <f>IF($CE844="","",IFERROR(INDEX(_REF_Industry_Wording!$F$2:$F$70,MATCH($CE844,_REF_Industry_Wording!$A$2:$A$70,0)),""))</f>
        <v>Strengthen Data governance</v>
      </c>
      <c r="CH844" t="str">
        <f>IF($CE844="","",IFERROR(INDEX(_REF_Industry_Wording!$G$2:$G$70,MATCH($CE844,_REF_Industry_Wording!$A$2:$A$70,0)),""))</f>
        <v>Strengthen Data governance using the selected maturity treatment, crisis scenario and evidence requirements.</v>
      </c>
      <c r="CI844" t="str">
        <f>IF($CE844="","",IFERROR(INDEX(_REF_Industry_Wording!$H$2:$H$70,MATCH($CE844,_REF_Industry_Wording!$A$2:$A$70,0)),""))</f>
        <v>Data governance</v>
      </c>
      <c r="CJ844">
        <f>IF($CE844="","",IFERROR(INDEX(_REF_Industry_Wording!$I$2:$I$70,MATCH($CE844,_REF_Industry_Wording!$A$2:$A$70,0)),""))</f>
        <v>0</v>
      </c>
      <c r="CK844" t="str">
        <f>IF($CE844="","",IFERROR(INDEX(_REF_Industry_Wording!$J$2:$J$70,MATCH($CE844,_REF_Industry_Wording!$A$2:$A$70,0)),""))</f>
        <v>Data governance</v>
      </c>
      <c r="CL844" t="str">
        <f t="shared" si="211"/>
        <v>Wording by industry=0; capability=CAP_DATA_GOVERNANCE; risk label=Data governance weakness</v>
      </c>
      <c r="CM844" t="str">
        <f t="shared" si="212"/>
        <v>RISK-ONT-0345</v>
      </c>
      <c r="CN844" t="str">
        <f t="shared" si="213"/>
        <v>RISK-EVT-0345</v>
      </c>
      <c r="CO844" t="str">
        <f t="shared" si="214"/>
        <v>Data BI AI|Data governance|DATA-004|CAP_DATA_GOVERNANCE</v>
      </c>
      <c r="CP844" t="str">
        <f t="shared" si="215"/>
        <v>Active</v>
      </c>
      <c r="CQ844" t="str">
        <f t="shared" si="216"/>
        <v>OK: capability-driven</v>
      </c>
      <c r="CR844" t="str">
        <f t="shared" si="217"/>
        <v>Risk ontology uses capability=CAP_DATA_GOVERNANCE; bridge=BRG-022; treatment=TRT-DATA_GOVERNANCE-INITIAL; wording=IW-ALL-DATA_GOVERNANCE</v>
      </c>
      <c r="CS844" t="str">
        <f t="shared" si="218"/>
        <v>Yes</v>
      </c>
    </row>
    <row r="845" spans="1:97" ht="69.900000000000006" customHeight="1">
      <c r="A845">
        <f>IF(OR($B845&lt;&gt;"Yes",$BS845=""),"",SUMPRODUCT(($B$500:$B$923="Yes")*ISNUMBER($BS$500:$BS$923)*($BS$500:$BS$923&gt;$BS845))+COUNTIFS($B$500:$B845,"Yes",$BS$500:$BS845,$BS845))</f>
        <v>255</v>
      </c>
      <c r="B845" t="str">
        <f t="shared" si="187"/>
        <v>Yes</v>
      </c>
      <c r="C845" t="s">
        <v>2824</v>
      </c>
      <c r="D845" t="s">
        <v>2826</v>
      </c>
      <c r="E845" t="s">
        <v>2856</v>
      </c>
      <c r="F845" t="s">
        <v>4418</v>
      </c>
      <c r="G845" t="str">
        <f>IF($H845="","",IFERROR(INDEX(_ENGINE_Risk!$H$5:$M$499,MATCH($E845,_ENGINE_Risk!$A$5:$A$499,0),$H845+1),""))</f>
        <v>Severe risk: data classification by sensitivity, business criticality, privacy and retention requirement is not reliably controlled. During Decision failure; Data loss; Regulatory/legal shock, the organization may face poor decisions, unreliable reporting, data quality problems and unsafe or ineffective AI usage with limited visibility or accountability.</v>
      </c>
      <c r="H845">
        <f>IFERROR(VALUE(INDEX(_DATA_Assessment_Model!$H$5:$H$884,MATCH($E845,_DATA_Assessment_Model!$A$5:$A$884,0))),"")</f>
        <v>0</v>
      </c>
      <c r="I845" t="str">
        <f>IF($H845="","",IFERROR(INDEX(_DATA_Assessment_Model!$L$5:$L$884,MATCH($E845,_DATA_Assessment_Model!$A$5:$A$884,0)),IF($H845&lt;=1,"Critical",IF($H845=2,"High",IF($H845=3,"Medium",IF($H845=4,"Low","Resilient"))))))</f>
        <v>Critical</v>
      </c>
      <c r="J845">
        <f t="shared" si="188"/>
        <v>3.5</v>
      </c>
      <c r="K845">
        <f t="shared" si="189"/>
        <v>4.5</v>
      </c>
      <c r="L845">
        <f t="shared" si="190"/>
        <v>15.75</v>
      </c>
      <c r="M845">
        <f t="shared" si="191"/>
        <v>4</v>
      </c>
      <c r="N845">
        <f>IF($H845="","",IFERROR(INDEX(_ENGINE_Risk!$T$5:$Y$499,MATCH($E845,_ENGINE_Risk!$A$5:$A$499,0),$H845+1),""))</f>
        <v>4</v>
      </c>
      <c r="O845">
        <f t="shared" si="192"/>
        <v>5</v>
      </c>
      <c r="P845">
        <f t="shared" si="193"/>
        <v>5</v>
      </c>
      <c r="Q845">
        <f t="shared" si="194"/>
        <v>5</v>
      </c>
      <c r="R845">
        <f t="shared" si="195"/>
        <v>5</v>
      </c>
      <c r="S845">
        <f t="shared" si="196"/>
        <v>1.25</v>
      </c>
      <c r="T845" t="str">
        <f>IF($H845="","",IFERROR(INDEX(_ENGINE_Risk!$N$5:$S$499,MATCH($E845,_ENGINE_Risk!$A$5:$A$499,0),$H845+1),""))</f>
        <v>Create an immediate risk owner, minimum control baseline and fallback procedure for data classification by sensitivity, business criticality, privacy and retention requirement. Add it to the crisis risk register and collect first evidence.</v>
      </c>
      <c r="U845">
        <f>IFERROR(INDEX(_DATA_Assessment_Model!$G$5:$G$884,MATCH($E845,_DATA_Assessment_Model!$A$5:$A$884,0)),"")</f>
        <v>5</v>
      </c>
      <c r="V845">
        <f>IFERROR(INDEX(_DATA_Assessment_Model!$W$5:$W$884,MATCH($E845,_DATA_Assessment_Model!$A$5:$A$884,0)),"")</f>
        <v>5</v>
      </c>
      <c r="W845">
        <f>IFERROR(INDEX(_DATA_Assessment_Model!$X$5:$X$884,MATCH($E845,_DATA_Assessment_Model!$A$5:$A$884,0)),"")</f>
        <v>5</v>
      </c>
      <c r="X845">
        <f>IFERROR(INDEX(_DATA_Assessment_Model!$Y$5:$Y$884,MATCH($E845,_DATA_Assessment_Model!$A$5:$A$884,0)),"")</f>
        <v>5</v>
      </c>
      <c r="Y845" t="s">
        <v>2831</v>
      </c>
      <c r="Z845" t="s">
        <v>9432</v>
      </c>
      <c r="AA845" t="s">
        <v>2858</v>
      </c>
      <c r="AB845">
        <f>IFERROR(INDEX(_DATA_Assessment_Model!$U$5:$U$884,MATCH($E845,_DATA_Assessment_Model!$A$5:$A$884,0)),"")</f>
        <v>0</v>
      </c>
      <c r="AF845" t="s">
        <v>2857</v>
      </c>
      <c r="AO845">
        <f>IF($B845="Yes",IF(IFERROR(INDEX(_ENGINE_Crisis!$F$501:$F$517,MATCH($C845,_ENGINE_Crisis!$A$501:$A$517,0)),1)=0,1,IFERROR(INDEX(_ENGINE_Crisis!$F$501:$F$517,MATCH($C845,_ENGINE_Crisis!$A$501:$A$517,0)),1)),"")</f>
        <v>1</v>
      </c>
      <c r="AP845">
        <f t="shared" si="197"/>
        <v>15.8</v>
      </c>
      <c r="AQ845">
        <f t="shared" si="198"/>
        <v>1.25</v>
      </c>
      <c r="AR845" t="str">
        <f>IFERROR(INDEX(_ENGINE_Crisis!$E$41:$E$700,MATCH('Resilience &amp; Risk Scenario'!$B$6&amp;"|"&amp;$C845,_ENGINE_Crisis!$I$41:$I$700,0)),"")</f>
        <v/>
      </c>
      <c r="AS845" t="str">
        <f>IFERROR(INDEX(_ENGINE_Crisis!$G$41:$G$700,MATCH('Resilience &amp; Risk Scenario'!$B$6&amp;"|"&amp;$C845,_ENGINE_Crisis!$I$41:$I$700,0)),"")</f>
        <v/>
      </c>
      <c r="AT845" t="str">
        <f>IFERROR(INDEX(_ENGINE_Initiatives!$A$5:$A$532,MATCH(1,INDEX((_ENGINE_Initiatives!$B$5:$B$532=$C845)*(_ENGINE_Initiatives!$C$5:$C$532=$D845),0),0)),"")</f>
        <v>INI-058</v>
      </c>
      <c r="AU845" t="str">
        <f>IFERROR(INDEX(_ENGINE_Initiatives!$F$5:$F$532,MATCH(1,INDEX((_ENGINE_Initiatives!$B$5:$B$532=$C845)*(_ENGINE_Initiatives!$C$5:$C$532=$D845),0),0)),"")</f>
        <v>Implement data ownership, quality and governance framework</v>
      </c>
      <c r="AV845">
        <f>IFERROR(INDEX(_ENGINE_Initiatives!$AC$5:$AC$532,MATCH(1,INDEX((_ENGINE_Initiatives!$B$5:$B$532=$C845)*(_ENGINE_Initiatives!$C$5:$C$532=$D845),0),0)),"")</f>
        <v>1.3</v>
      </c>
      <c r="AW845" t="str">
        <f>IFERROR(INDEX(_ENGINE_Initiatives!$AE$5:$AE$532,MATCH(1,INDEX((_ENGINE_Initiatives!$B$5:$B$532=$C845)*(_ENGINE_Initiatives!$C$5:$C$532=$D845),0),0)),"")</f>
        <v>12+ months</v>
      </c>
      <c r="AX845">
        <f>IF($B845="Yes",IFERROR((IF(SUMIFS(_REF_Model_Content!$E$1:$E$613,_REF_Model_Content!$A$1:$A$613,PV_Canonical_Industry,_REF_Model_Content!$B$1:$B$613,$C845)=0,1,SUMIFS(_REF_Model_Content!$E$1:$E$613,_REF_Model_Content!$A$1:$A$613,PV_Canonical_Industry,_REF_Model_Content!$B$1:$B$613,$C845))*IFERROR($BU845,1)),1),"")</f>
        <v>1.25</v>
      </c>
      <c r="AY845">
        <f t="shared" si="199"/>
        <v>19.75</v>
      </c>
      <c r="AZ845">
        <f t="shared" si="200"/>
        <v>1.56</v>
      </c>
      <c r="BB845" t="str">
        <f>IF($H845="","",IFERROR(INDEX(_ENGINE_Risk!$AE$5:$AE$499,MATCH($E845,_ENGINE_Risk!$A$5:$A$499,0)),"Medium"))</f>
        <v>Slow</v>
      </c>
      <c r="BC845">
        <f t="shared" si="201"/>
        <v>0.85</v>
      </c>
      <c r="BD845">
        <f t="shared" si="202"/>
        <v>1.56</v>
      </c>
      <c r="BF845">
        <f>IF(OR($H845="",$J845=""),"",IFERROR(VLOOKUP(ROUND($J845,0),_CONFIG_Model_Settings!$D$154:$E$158,2,0),""))</f>
        <v>0.5</v>
      </c>
      <c r="BG845">
        <f>IFERROR(IF(OR($H845="",$K845=""),"",ROUND('Company Profile'!$B$113*INDEX(_CONFIG_Model_Settings!$H$154:$H$158,MATCH(ROUND($K845,0),_CONFIG_Model_Settings!$G$154:$G$158,0)),0)),0)</f>
        <v>1875</v>
      </c>
      <c r="BH845">
        <f t="shared" si="203"/>
        <v>937.5</v>
      </c>
      <c r="BI845">
        <f t="shared" si="204"/>
        <v>937.5</v>
      </c>
      <c r="BJ845">
        <f>IF($E845="","",IFERROR(VLOOKUP($C845,_CONFIG_Risk_Calibration!$A$5:$H$21,2,FALSE),3))</f>
        <v>3</v>
      </c>
      <c r="BK845">
        <f>IF($E845="","",IFERROR(VLOOKUP($C845,_CONFIG_Risk_Calibration!$A$5:$H$21,3,FALSE),0))</f>
        <v>0</v>
      </c>
      <c r="BL845">
        <f>IF($E845="","",IFERROR(VLOOKUP($C845,_CONFIG_Risk_Calibration!$A$5:$H$21,4,FALSE),3))</f>
        <v>3</v>
      </c>
      <c r="BM845">
        <f>IF($E845="","",IFERROR(VLOOKUP($C845,_CONFIG_Risk_Calibration!$A$5:$H$21,5,FALSE),3))</f>
        <v>3</v>
      </c>
      <c r="BN845" t="str">
        <f>IF($E845="","",IFERROR(VLOOKUP($C845,_CONFIG_Risk_Calibration!$A$5:$H$21,6,FALSE),"No"))</f>
        <v>No</v>
      </c>
      <c r="BO845">
        <f>IF($E845="","",IFERROR(VLOOKUP($C845,_CONFIG_Risk_Calibration!$A$5:$H$21,7,FALSE),1))</f>
        <v>1</v>
      </c>
      <c r="BP845">
        <f>IF($H845="","",MAX(1,MIN(5,((6-$H845)*0.45)+($BJ845*0.2)+('Resilience &amp; Risk Scenario'!$B$7*0.15)+($BK845*0.1)+($BL845*0.05)+(IF($BB845="Fast",5,IF($BB845="Slow",1,3))*0.05))))</f>
        <v>3.5</v>
      </c>
      <c r="BQ845">
        <f t="shared" si="205"/>
        <v>4.5</v>
      </c>
      <c r="BR845">
        <f t="shared" si="206"/>
        <v>15.75</v>
      </c>
      <c r="BS845">
        <f t="shared" si="207"/>
        <v>16.73</v>
      </c>
      <c r="BT845" t="str">
        <f>IFERROR(INDEX(_REF_Capability_Bridge!$D:$D,MATCH($C845&amp;"|"&amp;$D845,_REF_Capability_Bridge!$J:$J,0)),IFERROR(INDEX(_REF_Capability_Bridge!$D:$D,MATCH($C845&amp;"|",_REF_Capability_Bridge!$J:$J,0)),"CAP_GENERIC"))</f>
        <v>CAP_DATA_GOVERNANCE</v>
      </c>
      <c r="BU845">
        <f>IFERROR(IFERROR(INDEX(_ENGINE_Relevance!$L:$L,MATCH($BT845,_ENGINE_Relevance!$B:$B,0)),1),1)</f>
        <v>1.25</v>
      </c>
      <c r="BV845" t="str">
        <f>IFERROR(INDEX(_REF_Capability_Bridge!$A:$A,MATCH($C845&amp;"|"&amp;$D845,_REF_Capability_Bridge!$J:$J,0)),IFERROR(INDEX(_REF_Capability_Bridge!$A:$A,MATCH($C845&amp;"|",_REF_Capability_Bridge!$J:$J,0)),"No bridge"))</f>
        <v>BRG-022</v>
      </c>
      <c r="BW845" t="str">
        <f t="shared" si="208"/>
        <v>Capability relevance increases risk priority</v>
      </c>
      <c r="BX845" t="str">
        <f t="shared" si="209"/>
        <v>Initial / absent</v>
      </c>
      <c r="BY845" t="str">
        <f>IF($E845="","",IFERROR(INDEX(_REF_Treatment_Library!$A$2:$A$296,MATCH(1,INDEX((_REF_Treatment_Library!$B$2:$B$296=$BT845)*(_REF_Treatment_Library!$C$2:$C$296=PV_Canonical_Industry)*(_REF_Treatment_Library!$E$2:$E$296&lt;=N($H845))*(_REF_Treatment_Library!$F$2:$F$296&gt;=N($H845))*(_REF_Treatment_Library!$O$2:$O$296="Yes"),0),0)),IFERROR(INDEX(_REF_Treatment_Library!$A$2:$A$296,MATCH(1,INDEX((_REF_Treatment_Library!$B$2:$B$296=$BT845)*(_REF_Treatment_Library!$C$2:$C$296="All")*(_REF_Treatment_Library!$E$2:$E$296&lt;=N($H845))*(_REF_Treatment_Library!$F$2:$F$296&gt;=N($H845))*(_REF_Treatment_Library!$O$2:$O$296="Yes"),0),0)),"")))</f>
        <v>TRT-DATA_GOVERNANCE-INITIAL</v>
      </c>
      <c r="BZ845" t="str">
        <f>IF($BY845="","",IFERROR(INDEX(_REF_Treatment_Library!$H$2:$H$296,MATCH($BY845,_REF_Treatment_Library!$A$2:$A$296,0)),""))</f>
        <v>Establish</v>
      </c>
      <c r="CA845" t="str">
        <f>IF($BY845="","",IFERROR(INDEX(_REF_Treatment_Library!$I$2:$I$296,MATCH($BY845,_REF_Treatment_Library!$A$2:$A$296,0)),""))</f>
        <v>Establish baseline controls for Data governance</v>
      </c>
      <c r="CB845" t="str">
        <f>IF($BY845="","",IFERROR(INDEX(_REF_Treatment_Library!$K$2:$K$296,MATCH($BY845,_REF_Treatment_Library!$A$2:$A$296,0)),""))</f>
        <v>Named owner, baseline process, minimum control checklist, first evidence package</v>
      </c>
      <c r="CC845" t="str">
        <f>IF($BY845="","",IFERROR(INDEX(_REF_Treatment_Library!$L$2:$L$296,MATCH($BY845,_REF_Treatment_Library!$A$2:$A$296,0)),""))</f>
        <v>Owner assigned; baseline evidence coverage; open critical gaps</v>
      </c>
      <c r="CD845" t="str">
        <f t="shared" si="210"/>
        <v>Treatment by capability=CAP_DATA_GOVERNANCE; band=Initial / absent; score=0.0; treatment=Establish</v>
      </c>
      <c r="CE845" t="str">
        <f>IF($E845="","",IFERROR(INDEX(_REF_Industry_Wording!$A$2:$A$70,MATCH(1,INDEX((_REF_Industry_Wording!$B$2:$B$70=$BT845)*(_REF_Industry_Wording!$C$2:$C$70=PV_Canonical_Industry)*(_REF_Industry_Wording!$K$2:$K$70="Yes"),0),0)),IFERROR(INDEX(_REF_Industry_Wording!$A$2:$A$70,MATCH(1,INDEX((_REF_Industry_Wording!$B$2:$B$70=$BT845)*(_REF_Industry_Wording!$C$2:$C$70="All")*(_REF_Industry_Wording!$K$2:$K$70="Yes"),0),0)),"")))</f>
        <v>IW-ALL-DATA_GOVERNANCE</v>
      </c>
      <c r="CF845" t="str">
        <f>IF($CE845="","",IFERROR(INDEX(_REF_Industry_Wording!$E$2:$E$70,MATCH($CE845,_REF_Industry_Wording!$A$2:$A$70,0)),""))</f>
        <v>Data governance weakness</v>
      </c>
      <c r="CG845" t="str">
        <f>IF($CE845="","",IFERROR(INDEX(_REF_Industry_Wording!$F$2:$F$70,MATCH($CE845,_REF_Industry_Wording!$A$2:$A$70,0)),""))</f>
        <v>Strengthen Data governance</v>
      </c>
      <c r="CH845" t="str">
        <f>IF($CE845="","",IFERROR(INDEX(_REF_Industry_Wording!$G$2:$G$70,MATCH($CE845,_REF_Industry_Wording!$A$2:$A$70,0)),""))</f>
        <v>Strengthen Data governance using the selected maturity treatment, crisis scenario and evidence requirements.</v>
      </c>
      <c r="CI845" t="str">
        <f>IF($CE845="","",IFERROR(INDEX(_REF_Industry_Wording!$H$2:$H$70,MATCH($CE845,_REF_Industry_Wording!$A$2:$A$70,0)),""))</f>
        <v>Data governance</v>
      </c>
      <c r="CJ845">
        <f>IF($CE845="","",IFERROR(INDEX(_REF_Industry_Wording!$I$2:$I$70,MATCH($CE845,_REF_Industry_Wording!$A$2:$A$70,0)),""))</f>
        <v>0</v>
      </c>
      <c r="CK845" t="str">
        <f>IF($CE845="","",IFERROR(INDEX(_REF_Industry_Wording!$J$2:$J$70,MATCH($CE845,_REF_Industry_Wording!$A$2:$A$70,0)),""))</f>
        <v>Data governance</v>
      </c>
      <c r="CL845" t="str">
        <f t="shared" si="211"/>
        <v>Wording by industry=0; capability=CAP_DATA_GOVERNANCE; risk label=Data governance weakness</v>
      </c>
      <c r="CM845" t="str">
        <f t="shared" si="212"/>
        <v>RISK-ONT-0346</v>
      </c>
      <c r="CN845" t="str">
        <f t="shared" si="213"/>
        <v>RISK-EVT-0346</v>
      </c>
      <c r="CO845" t="str">
        <f t="shared" si="214"/>
        <v>Data BI AI|Data governance|DATA-005|CAP_DATA_GOVERNANCE</v>
      </c>
      <c r="CP845" t="str">
        <f t="shared" si="215"/>
        <v>Active</v>
      </c>
      <c r="CQ845" t="str">
        <f t="shared" si="216"/>
        <v>OK: capability-driven</v>
      </c>
      <c r="CR845" t="str">
        <f t="shared" si="217"/>
        <v>Risk ontology uses capability=CAP_DATA_GOVERNANCE; bridge=BRG-022; treatment=TRT-DATA_GOVERNANCE-INITIAL; wording=IW-ALL-DATA_GOVERNANCE</v>
      </c>
      <c r="CS845" t="str">
        <f t="shared" si="218"/>
        <v>Yes</v>
      </c>
    </row>
    <row r="846" spans="1:97" ht="69.900000000000006" customHeight="1">
      <c r="A846">
        <f>IF(OR($B846&lt;&gt;"Yes",$BS846=""),"",SUMPRODUCT(($B$500:$B$923="Yes")*ISNUMBER($BS$500:$BS$923)*($BS$500:$BS$923&gt;$BS846))+COUNTIFS($B$500:$B846,"Yes",$BS$500:$BS846,$BS846))</f>
        <v>298</v>
      </c>
      <c r="B846" t="str">
        <f t="shared" si="187"/>
        <v>Yes</v>
      </c>
      <c r="C846" t="s">
        <v>2824</v>
      </c>
      <c r="D846" t="s">
        <v>2826</v>
      </c>
      <c r="E846" t="s">
        <v>2860</v>
      </c>
      <c r="F846" t="s">
        <v>4418</v>
      </c>
      <c r="G846" t="str">
        <f>IF($H846="","",IFERROR(INDEX(_ENGINE_Risk!$H$5:$M$499,MATCH($E846,_ENGINE_Risk!$A$5:$A$499,0),$H846+1),""))</f>
        <v>Severe risk: data access governance for datasets, warehouses, BI reports and analytics workspaces is not reliably controlled. During Decision failure; Data loss; Regulatory/legal shock, the organization may face poor decisions, unreliable reporting, data quality problems and unsafe or ineffective AI usage with limited visibility or accountability.</v>
      </c>
      <c r="H846">
        <f>IFERROR(VALUE(INDEX(_DATA_Assessment_Model!$H$5:$H$884,MATCH($E846,_DATA_Assessment_Model!$A$5:$A$884,0))),"")</f>
        <v>0</v>
      </c>
      <c r="I846" t="str">
        <f>IF($H846="","",IFERROR(INDEX(_DATA_Assessment_Model!$L$5:$L$884,MATCH($E846,_DATA_Assessment_Model!$A$5:$A$884,0)),IF($H846&lt;=1,"Critical",IF($H846=2,"High",IF($H846=3,"Medium",IF($H846=4,"Low","Resilient"))))))</f>
        <v>Critical</v>
      </c>
      <c r="J846">
        <f t="shared" si="188"/>
        <v>3.5</v>
      </c>
      <c r="K846">
        <f t="shared" si="189"/>
        <v>4.3</v>
      </c>
      <c r="L846">
        <f t="shared" si="190"/>
        <v>15.049999999999999</v>
      </c>
      <c r="M846">
        <f t="shared" si="191"/>
        <v>4</v>
      </c>
      <c r="N846">
        <f>IF($H846="","",IFERROR(INDEX(_ENGINE_Risk!$T$5:$Y$499,MATCH($E846,_ENGINE_Risk!$A$5:$A$499,0),$H846+1),""))</f>
        <v>4</v>
      </c>
      <c r="O846">
        <f t="shared" si="192"/>
        <v>4.666666666666667</v>
      </c>
      <c r="P846">
        <f t="shared" si="193"/>
        <v>5</v>
      </c>
      <c r="Q846">
        <f t="shared" si="194"/>
        <v>5</v>
      </c>
      <c r="R846">
        <f t="shared" si="195"/>
        <v>5</v>
      </c>
      <c r="S846">
        <f t="shared" si="196"/>
        <v>1.23</v>
      </c>
      <c r="T846" t="str">
        <f>IF($H846="","",IFERROR(INDEX(_ENGINE_Risk!$N$5:$S$499,MATCH($E846,_ENGINE_Risk!$A$5:$A$499,0),$H846+1),""))</f>
        <v>Create an immediate risk owner, minimum control baseline and fallback procedure for data access governance for datasets, warehouses, BI reports and analytics workspaces. Add it to the crisis risk register and collect first evidence.</v>
      </c>
      <c r="U846">
        <f>IFERROR(INDEX(_DATA_Assessment_Model!$G$5:$G$884,MATCH($E846,_DATA_Assessment_Model!$A$5:$A$884,0)),"")</f>
        <v>4</v>
      </c>
      <c r="V846">
        <f>IFERROR(INDEX(_DATA_Assessment_Model!$W$5:$W$884,MATCH($E846,_DATA_Assessment_Model!$A$5:$A$884,0)),"")</f>
        <v>5</v>
      </c>
      <c r="W846">
        <f>IFERROR(INDEX(_DATA_Assessment_Model!$X$5:$X$884,MATCH($E846,_DATA_Assessment_Model!$A$5:$A$884,0)),"")</f>
        <v>5</v>
      </c>
      <c r="X846">
        <f>IFERROR(INDEX(_DATA_Assessment_Model!$Y$5:$Y$884,MATCH($E846,_DATA_Assessment_Model!$A$5:$A$884,0)),"")</f>
        <v>5</v>
      </c>
      <c r="Y846" t="s">
        <v>2831</v>
      </c>
      <c r="Z846" t="s">
        <v>9432</v>
      </c>
      <c r="AA846" t="s">
        <v>2862</v>
      </c>
      <c r="AB846">
        <f>IFERROR(INDEX(_DATA_Assessment_Model!$U$5:$U$884,MATCH($E846,_DATA_Assessment_Model!$A$5:$A$884,0)),"")</f>
        <v>0</v>
      </c>
      <c r="AF846" t="s">
        <v>2861</v>
      </c>
      <c r="AO846">
        <f>IF($B846="Yes",IF(IFERROR(INDEX(_ENGINE_Crisis!$F$501:$F$517,MATCH($C846,_ENGINE_Crisis!$A$501:$A$517,0)),1)=0,1,IFERROR(INDEX(_ENGINE_Crisis!$F$501:$F$517,MATCH($C846,_ENGINE_Crisis!$A$501:$A$517,0)),1)),"")</f>
        <v>1</v>
      </c>
      <c r="AP846">
        <f t="shared" si="197"/>
        <v>15.1</v>
      </c>
      <c r="AQ846">
        <f t="shared" si="198"/>
        <v>1.23</v>
      </c>
      <c r="AR846" t="str">
        <f>IFERROR(INDEX(_ENGINE_Crisis!$E$41:$E$700,MATCH('Resilience &amp; Risk Scenario'!$B$6&amp;"|"&amp;$C846,_ENGINE_Crisis!$I$41:$I$700,0)),"")</f>
        <v/>
      </c>
      <c r="AS846" t="str">
        <f>IFERROR(INDEX(_ENGINE_Crisis!$G$41:$G$700,MATCH('Resilience &amp; Risk Scenario'!$B$6&amp;"|"&amp;$C846,_ENGINE_Crisis!$I$41:$I$700,0)),"")</f>
        <v/>
      </c>
      <c r="AT846" t="str">
        <f>IFERROR(INDEX(_ENGINE_Initiatives!$A$5:$A$532,MATCH(1,INDEX((_ENGINE_Initiatives!$B$5:$B$532=$C846)*(_ENGINE_Initiatives!$C$5:$C$532=$D846),0),0)),"")</f>
        <v>INI-058</v>
      </c>
      <c r="AU846" t="str">
        <f>IFERROR(INDEX(_ENGINE_Initiatives!$F$5:$F$532,MATCH(1,INDEX((_ENGINE_Initiatives!$B$5:$B$532=$C846)*(_ENGINE_Initiatives!$C$5:$C$532=$D846),0),0)),"")</f>
        <v>Implement data ownership, quality and governance framework</v>
      </c>
      <c r="AV846">
        <f>IFERROR(INDEX(_ENGINE_Initiatives!$AC$5:$AC$532,MATCH(1,INDEX((_ENGINE_Initiatives!$B$5:$B$532=$C846)*(_ENGINE_Initiatives!$C$5:$C$532=$D846),0),0)),"")</f>
        <v>1.3</v>
      </c>
      <c r="AW846" t="str">
        <f>IFERROR(INDEX(_ENGINE_Initiatives!$AE$5:$AE$532,MATCH(1,INDEX((_ENGINE_Initiatives!$B$5:$B$532=$C846)*(_ENGINE_Initiatives!$C$5:$C$532=$D846),0),0)),"")</f>
        <v>12+ months</v>
      </c>
      <c r="AX846">
        <f>IF($B846="Yes",IFERROR((IF(SUMIFS(_REF_Model_Content!$E$1:$E$613,_REF_Model_Content!$A$1:$A$613,PV_Canonical_Industry,_REF_Model_Content!$B$1:$B$613,$C846)=0,1,SUMIFS(_REF_Model_Content!$E$1:$E$613,_REF_Model_Content!$A$1:$A$613,PV_Canonical_Industry,_REF_Model_Content!$B$1:$B$613,$C846))*IFERROR($BU846,1)),1),"")</f>
        <v>1.25</v>
      </c>
      <c r="AY846">
        <f t="shared" si="199"/>
        <v>18.88</v>
      </c>
      <c r="AZ846">
        <f t="shared" si="200"/>
        <v>1.54</v>
      </c>
      <c r="BB846" t="str">
        <f>IF($H846="","",IFERROR(INDEX(_ENGINE_Risk!$AE$5:$AE$499,MATCH($E846,_ENGINE_Risk!$A$5:$A$499,0)),"Medium"))</f>
        <v>Slow</v>
      </c>
      <c r="BC846">
        <f t="shared" si="201"/>
        <v>0.85</v>
      </c>
      <c r="BD846">
        <f t="shared" si="202"/>
        <v>1.54</v>
      </c>
      <c r="BF846">
        <f>IF(OR($H846="",$J846=""),"",IFERROR(VLOOKUP(ROUND($J846,0),_CONFIG_Model_Settings!$D$154:$E$158,2,0),""))</f>
        <v>0.5</v>
      </c>
      <c r="BG846">
        <f>IFERROR(IF(OR($H846="",$K846=""),"",ROUND('Company Profile'!$B$113*INDEX(_CONFIG_Model_Settings!$H$154:$H$158,MATCH(ROUND($K846,0),_CONFIG_Model_Settings!$G$154:$G$158,0)),0)),0)</f>
        <v>875</v>
      </c>
      <c r="BH846">
        <f t="shared" si="203"/>
        <v>437.5</v>
      </c>
      <c r="BI846">
        <f t="shared" si="204"/>
        <v>437.5</v>
      </c>
      <c r="BJ846">
        <f>IF($E846="","",IFERROR(VLOOKUP($C846,_CONFIG_Risk_Calibration!$A$5:$H$21,2,FALSE),3))</f>
        <v>3</v>
      </c>
      <c r="BK846">
        <f>IF($E846="","",IFERROR(VLOOKUP($C846,_CONFIG_Risk_Calibration!$A$5:$H$21,3,FALSE),0))</f>
        <v>0</v>
      </c>
      <c r="BL846">
        <f>IF($E846="","",IFERROR(VLOOKUP($C846,_CONFIG_Risk_Calibration!$A$5:$H$21,4,FALSE),3))</f>
        <v>3</v>
      </c>
      <c r="BM846">
        <f>IF($E846="","",IFERROR(VLOOKUP($C846,_CONFIG_Risk_Calibration!$A$5:$H$21,5,FALSE),3))</f>
        <v>3</v>
      </c>
      <c r="BN846" t="str">
        <f>IF($E846="","",IFERROR(VLOOKUP($C846,_CONFIG_Risk_Calibration!$A$5:$H$21,6,FALSE),"No"))</f>
        <v>No</v>
      </c>
      <c r="BO846">
        <f>IF($E846="","",IFERROR(VLOOKUP($C846,_CONFIG_Risk_Calibration!$A$5:$H$21,7,FALSE),1))</f>
        <v>1</v>
      </c>
      <c r="BP846">
        <f>IF($H846="","",MAX(1,MIN(5,((6-$H846)*0.45)+($BJ846*0.2)+('Resilience &amp; Risk Scenario'!$B$7*0.15)+($BK846*0.1)+($BL846*0.05)+(IF($BB846="Fast",5,IF($BB846="Slow",1,3))*0.05))))</f>
        <v>3.5</v>
      </c>
      <c r="BQ846">
        <f t="shared" si="205"/>
        <v>4.3</v>
      </c>
      <c r="BR846">
        <f t="shared" si="206"/>
        <v>15.05</v>
      </c>
      <c r="BS846">
        <f t="shared" si="207"/>
        <v>15.99</v>
      </c>
      <c r="BT846" t="str">
        <f>IFERROR(INDEX(_REF_Capability_Bridge!$D:$D,MATCH($C846&amp;"|"&amp;$D846,_REF_Capability_Bridge!$J:$J,0)),IFERROR(INDEX(_REF_Capability_Bridge!$D:$D,MATCH($C846&amp;"|",_REF_Capability_Bridge!$J:$J,0)),"CAP_GENERIC"))</f>
        <v>CAP_DATA_GOVERNANCE</v>
      </c>
      <c r="BU846">
        <f>IFERROR(IFERROR(INDEX(_ENGINE_Relevance!$L:$L,MATCH($BT846,_ENGINE_Relevance!$B:$B,0)),1),1)</f>
        <v>1.25</v>
      </c>
      <c r="BV846" t="str">
        <f>IFERROR(INDEX(_REF_Capability_Bridge!$A:$A,MATCH($C846&amp;"|"&amp;$D846,_REF_Capability_Bridge!$J:$J,0)),IFERROR(INDEX(_REF_Capability_Bridge!$A:$A,MATCH($C846&amp;"|",_REF_Capability_Bridge!$J:$J,0)),"No bridge"))</f>
        <v>BRG-022</v>
      </c>
      <c r="BW846" t="str">
        <f t="shared" si="208"/>
        <v>Capability relevance increases risk priority</v>
      </c>
      <c r="BX846" t="str">
        <f t="shared" si="209"/>
        <v>Initial / absent</v>
      </c>
      <c r="BY846" t="str">
        <f>IF($E846="","",IFERROR(INDEX(_REF_Treatment_Library!$A$2:$A$296,MATCH(1,INDEX((_REF_Treatment_Library!$B$2:$B$296=$BT846)*(_REF_Treatment_Library!$C$2:$C$296=PV_Canonical_Industry)*(_REF_Treatment_Library!$E$2:$E$296&lt;=N($H846))*(_REF_Treatment_Library!$F$2:$F$296&gt;=N($H846))*(_REF_Treatment_Library!$O$2:$O$296="Yes"),0),0)),IFERROR(INDEX(_REF_Treatment_Library!$A$2:$A$296,MATCH(1,INDEX((_REF_Treatment_Library!$B$2:$B$296=$BT846)*(_REF_Treatment_Library!$C$2:$C$296="All")*(_REF_Treatment_Library!$E$2:$E$296&lt;=N($H846))*(_REF_Treatment_Library!$F$2:$F$296&gt;=N($H846))*(_REF_Treatment_Library!$O$2:$O$296="Yes"),0),0)),"")))</f>
        <v>TRT-DATA_GOVERNANCE-INITIAL</v>
      </c>
      <c r="BZ846" t="str">
        <f>IF($BY846="","",IFERROR(INDEX(_REF_Treatment_Library!$H$2:$H$296,MATCH($BY846,_REF_Treatment_Library!$A$2:$A$296,0)),""))</f>
        <v>Establish</v>
      </c>
      <c r="CA846" t="str">
        <f>IF($BY846="","",IFERROR(INDEX(_REF_Treatment_Library!$I$2:$I$296,MATCH($BY846,_REF_Treatment_Library!$A$2:$A$296,0)),""))</f>
        <v>Establish baseline controls for Data governance</v>
      </c>
      <c r="CB846" t="str">
        <f>IF($BY846="","",IFERROR(INDEX(_REF_Treatment_Library!$K$2:$K$296,MATCH($BY846,_REF_Treatment_Library!$A$2:$A$296,0)),""))</f>
        <v>Named owner, baseline process, minimum control checklist, first evidence package</v>
      </c>
      <c r="CC846" t="str">
        <f>IF($BY846="","",IFERROR(INDEX(_REF_Treatment_Library!$L$2:$L$296,MATCH($BY846,_REF_Treatment_Library!$A$2:$A$296,0)),""))</f>
        <v>Owner assigned; baseline evidence coverage; open critical gaps</v>
      </c>
      <c r="CD846" t="str">
        <f t="shared" si="210"/>
        <v>Treatment by capability=CAP_DATA_GOVERNANCE; band=Initial / absent; score=0.0; treatment=Establish</v>
      </c>
      <c r="CE846" t="str">
        <f>IF($E846="","",IFERROR(INDEX(_REF_Industry_Wording!$A$2:$A$70,MATCH(1,INDEX((_REF_Industry_Wording!$B$2:$B$70=$BT846)*(_REF_Industry_Wording!$C$2:$C$70=PV_Canonical_Industry)*(_REF_Industry_Wording!$K$2:$K$70="Yes"),0),0)),IFERROR(INDEX(_REF_Industry_Wording!$A$2:$A$70,MATCH(1,INDEX((_REF_Industry_Wording!$B$2:$B$70=$BT846)*(_REF_Industry_Wording!$C$2:$C$70="All")*(_REF_Industry_Wording!$K$2:$K$70="Yes"),0),0)),"")))</f>
        <v>IW-ALL-DATA_GOVERNANCE</v>
      </c>
      <c r="CF846" t="str">
        <f>IF($CE846="","",IFERROR(INDEX(_REF_Industry_Wording!$E$2:$E$70,MATCH($CE846,_REF_Industry_Wording!$A$2:$A$70,0)),""))</f>
        <v>Data governance weakness</v>
      </c>
      <c r="CG846" t="str">
        <f>IF($CE846="","",IFERROR(INDEX(_REF_Industry_Wording!$F$2:$F$70,MATCH($CE846,_REF_Industry_Wording!$A$2:$A$70,0)),""))</f>
        <v>Strengthen Data governance</v>
      </c>
      <c r="CH846" t="str">
        <f>IF($CE846="","",IFERROR(INDEX(_REF_Industry_Wording!$G$2:$G$70,MATCH($CE846,_REF_Industry_Wording!$A$2:$A$70,0)),""))</f>
        <v>Strengthen Data governance using the selected maturity treatment, crisis scenario and evidence requirements.</v>
      </c>
      <c r="CI846" t="str">
        <f>IF($CE846="","",IFERROR(INDEX(_REF_Industry_Wording!$H$2:$H$70,MATCH($CE846,_REF_Industry_Wording!$A$2:$A$70,0)),""))</f>
        <v>Data governance</v>
      </c>
      <c r="CJ846">
        <f>IF($CE846="","",IFERROR(INDEX(_REF_Industry_Wording!$I$2:$I$70,MATCH($CE846,_REF_Industry_Wording!$A$2:$A$70,0)),""))</f>
        <v>0</v>
      </c>
      <c r="CK846" t="str">
        <f>IF($CE846="","",IFERROR(INDEX(_REF_Industry_Wording!$J$2:$J$70,MATCH($CE846,_REF_Industry_Wording!$A$2:$A$70,0)),""))</f>
        <v>Data governance</v>
      </c>
      <c r="CL846" t="str">
        <f t="shared" si="211"/>
        <v>Wording by industry=0; capability=CAP_DATA_GOVERNANCE; risk label=Data governance weakness</v>
      </c>
      <c r="CM846" t="str">
        <f t="shared" si="212"/>
        <v>RISK-ONT-0347</v>
      </c>
      <c r="CN846" t="str">
        <f t="shared" si="213"/>
        <v>RISK-EVT-0347</v>
      </c>
      <c r="CO846" t="str">
        <f t="shared" si="214"/>
        <v>Data BI AI|Data governance|DATA-006|CAP_DATA_GOVERNANCE</v>
      </c>
      <c r="CP846" t="str">
        <f t="shared" si="215"/>
        <v>Active</v>
      </c>
      <c r="CQ846" t="str">
        <f t="shared" si="216"/>
        <v>OK: capability-driven</v>
      </c>
      <c r="CR846" t="str">
        <f t="shared" si="217"/>
        <v>Risk ontology uses capability=CAP_DATA_GOVERNANCE; bridge=BRG-022; treatment=TRT-DATA_GOVERNANCE-INITIAL; wording=IW-ALL-DATA_GOVERNANCE</v>
      </c>
      <c r="CS846" t="str">
        <f t="shared" si="218"/>
        <v>Yes</v>
      </c>
    </row>
    <row r="847" spans="1:97" ht="69.900000000000006" customHeight="1">
      <c r="A847">
        <f>IF(OR($B847&lt;&gt;"Yes",$BS847=""),"",SUMPRODUCT(($B$500:$B$923="Yes")*ISNUMBER($BS$500:$BS$923)*($BS$500:$BS$923&gt;$BS847))+COUNTIFS($B$500:$B847,"Yes",$BS$500:$BS847,$BS847))</f>
        <v>299</v>
      </c>
      <c r="B847" t="str">
        <f t="shared" si="187"/>
        <v>Yes</v>
      </c>
      <c r="C847" t="s">
        <v>2824</v>
      </c>
      <c r="D847" t="s">
        <v>2835</v>
      </c>
      <c r="E847" t="s">
        <v>2869</v>
      </c>
      <c r="F847" t="s">
        <v>4418</v>
      </c>
      <c r="G847" t="str">
        <f>IF($H847="","",IFERROR(INDEX(_ENGINE_Risk!$H$5:$M$499,MATCH($E847,_ENGINE_Risk!$A$5:$A$499,0),$H847+1),""))</f>
        <v>Severe risk: data architecture from source systems to warehouse, lake, BI, AI models and reports is not reliably controlled. During Decision failure; Data loss; Regulatory/legal shock, the organization may face poor decisions, unreliable reporting, data quality problems and unsafe or ineffective AI usage with limited visibility or accountability.</v>
      </c>
      <c r="H847">
        <f>IFERROR(VALUE(INDEX(_DATA_Assessment_Model!$H$5:$H$884,MATCH($E847,_DATA_Assessment_Model!$A$5:$A$884,0))),"")</f>
        <v>0</v>
      </c>
      <c r="I847" t="str">
        <f>IF($H847="","",IFERROR(INDEX(_DATA_Assessment_Model!$L$5:$L$884,MATCH($E847,_DATA_Assessment_Model!$A$5:$A$884,0)),IF($H847&lt;=1,"Critical",IF($H847=2,"High",IF($H847=3,"Medium",IF($H847=4,"Low","Resilient"))))))</f>
        <v>Critical</v>
      </c>
      <c r="J847">
        <f t="shared" si="188"/>
        <v>3.5</v>
      </c>
      <c r="K847">
        <f t="shared" si="189"/>
        <v>4.3</v>
      </c>
      <c r="L847">
        <f t="shared" si="190"/>
        <v>15.049999999999999</v>
      </c>
      <c r="M847">
        <f t="shared" si="191"/>
        <v>4</v>
      </c>
      <c r="N847">
        <f>IF($H847="","",IFERROR(INDEX(_ENGINE_Risk!$T$5:$Y$499,MATCH($E847,_ENGINE_Risk!$A$5:$A$499,0),$H847+1),""))</f>
        <v>4</v>
      </c>
      <c r="O847">
        <f t="shared" si="192"/>
        <v>4.666666666666667</v>
      </c>
      <c r="P847">
        <f t="shared" si="193"/>
        <v>5</v>
      </c>
      <c r="Q847">
        <f t="shared" si="194"/>
        <v>5</v>
      </c>
      <c r="R847">
        <f t="shared" si="195"/>
        <v>5</v>
      </c>
      <c r="S847">
        <f t="shared" si="196"/>
        <v>1.23</v>
      </c>
      <c r="T847" t="str">
        <f>IF($H847="","",IFERROR(INDEX(_ENGINE_Risk!$N$5:$S$499,MATCH($E847,_ENGINE_Risk!$A$5:$A$499,0),$H847+1),""))</f>
        <v>Create an immediate risk owner, minimum control baseline and fallback procedure for data architecture from source systems to warehouse, lake, BI, AI models and reports. Add it to the crisis risk register and collect first evidence.</v>
      </c>
      <c r="U847">
        <f>IFERROR(INDEX(_DATA_Assessment_Model!$G$5:$G$884,MATCH($E847,_DATA_Assessment_Model!$A$5:$A$884,0)),"")</f>
        <v>4</v>
      </c>
      <c r="V847">
        <f>IFERROR(INDEX(_DATA_Assessment_Model!$W$5:$W$884,MATCH($E847,_DATA_Assessment_Model!$A$5:$A$884,0)),"")</f>
        <v>5</v>
      </c>
      <c r="W847">
        <f>IFERROR(INDEX(_DATA_Assessment_Model!$X$5:$X$884,MATCH($E847,_DATA_Assessment_Model!$A$5:$A$884,0)),"")</f>
        <v>5</v>
      </c>
      <c r="X847">
        <f>IFERROR(INDEX(_DATA_Assessment_Model!$Y$5:$Y$884,MATCH($E847,_DATA_Assessment_Model!$A$5:$A$884,0)),"")</f>
        <v>5</v>
      </c>
      <c r="Y847" t="s">
        <v>2831</v>
      </c>
      <c r="Z847" t="s">
        <v>9432</v>
      </c>
      <c r="AA847" t="s">
        <v>2871</v>
      </c>
      <c r="AB847">
        <f>IFERROR(INDEX(_DATA_Assessment_Model!$U$5:$U$884,MATCH($E847,_DATA_Assessment_Model!$A$5:$A$884,0)),"")</f>
        <v>0</v>
      </c>
      <c r="AF847" t="s">
        <v>2870</v>
      </c>
      <c r="AO847">
        <f>IF($B847="Yes",IF(IFERROR(INDEX(_ENGINE_Crisis!$F$501:$F$517,MATCH($C847,_ENGINE_Crisis!$A$501:$A$517,0)),1)=0,1,IFERROR(INDEX(_ENGINE_Crisis!$F$501:$F$517,MATCH($C847,_ENGINE_Crisis!$A$501:$A$517,0)),1)),"")</f>
        <v>1</v>
      </c>
      <c r="AP847">
        <f t="shared" si="197"/>
        <v>15.1</v>
      </c>
      <c r="AQ847">
        <f t="shared" si="198"/>
        <v>1.23</v>
      </c>
      <c r="AR847" t="str">
        <f>IFERROR(INDEX(_ENGINE_Crisis!$E$41:$E$700,MATCH('Resilience &amp; Risk Scenario'!$B$6&amp;"|"&amp;$C847,_ENGINE_Crisis!$I$41:$I$700,0)),"")</f>
        <v/>
      </c>
      <c r="AS847" t="str">
        <f>IFERROR(INDEX(_ENGINE_Crisis!$G$41:$G$700,MATCH('Resilience &amp; Risk Scenario'!$B$6&amp;"|"&amp;$C847,_ENGINE_Crisis!$I$41:$I$700,0)),"")</f>
        <v/>
      </c>
      <c r="AT847" t="str">
        <f>IFERROR(INDEX(_ENGINE_Initiatives!$A$5:$A$532,MATCH(1,INDEX((_ENGINE_Initiatives!$B$5:$B$532=$C847)*(_ENGINE_Initiatives!$C$5:$C$532=$D847),0),0)),"")</f>
        <v>INI-059</v>
      </c>
      <c r="AU847" t="str">
        <f>IFERROR(INDEX(_ENGINE_Initiatives!$F$5:$F$532,MATCH(1,INDEX((_ENGINE_Initiatives!$B$5:$B$532=$C847)*(_ENGINE_Initiatives!$C$5:$C$532=$D847),0),0)),"")</f>
        <v>Build resilient data architecture, integration and storage foundation</v>
      </c>
      <c r="AV847">
        <f>IFERROR(INDEX(_ENGINE_Initiatives!$AC$5:$AC$532,MATCH(1,INDEX((_ENGINE_Initiatives!$B$5:$B$532=$C847)*(_ENGINE_Initiatives!$C$5:$C$532=$D847),0),0)),"")</f>
        <v>1.3</v>
      </c>
      <c r="AW847" t="str">
        <f>IFERROR(INDEX(_ENGINE_Initiatives!$AE$5:$AE$532,MATCH(1,INDEX((_ENGINE_Initiatives!$B$5:$B$532=$C847)*(_ENGINE_Initiatives!$C$5:$C$532=$D847),0),0)),"")</f>
        <v>12+ months</v>
      </c>
      <c r="AX847">
        <f>IF($B847="Yes",IFERROR((IF(SUMIFS(_REF_Model_Content!$E$1:$E$613,_REF_Model_Content!$A$1:$A$613,PV_Canonical_Industry,_REF_Model_Content!$B$1:$B$613,$C847)=0,1,SUMIFS(_REF_Model_Content!$E$1:$E$613,_REF_Model_Content!$A$1:$A$613,PV_Canonical_Industry,_REF_Model_Content!$B$1:$B$613,$C847))*IFERROR($BU847,1)),1),"")</f>
        <v>1.25</v>
      </c>
      <c r="AY847">
        <f t="shared" si="199"/>
        <v>18.88</v>
      </c>
      <c r="AZ847">
        <f t="shared" si="200"/>
        <v>1.54</v>
      </c>
      <c r="BB847" t="str">
        <f>IF($H847="","",IFERROR(INDEX(_ENGINE_Risk!$AE$5:$AE$499,MATCH($E847,_ENGINE_Risk!$A$5:$A$499,0)),"Medium"))</f>
        <v>Slow</v>
      </c>
      <c r="BC847">
        <f t="shared" si="201"/>
        <v>0.85</v>
      </c>
      <c r="BD847">
        <f t="shared" si="202"/>
        <v>1.54</v>
      </c>
      <c r="BF847">
        <f>IF(OR($H847="",$J847=""),"",IFERROR(VLOOKUP(ROUND($J847,0),_CONFIG_Model_Settings!$D$154:$E$158,2,0),""))</f>
        <v>0.5</v>
      </c>
      <c r="BG847">
        <f>IFERROR(IF(OR($H847="",$K847=""),"",ROUND('Company Profile'!$B$113*INDEX(_CONFIG_Model_Settings!$H$154:$H$158,MATCH(ROUND($K847,0),_CONFIG_Model_Settings!$G$154:$G$158,0)),0)),0)</f>
        <v>875</v>
      </c>
      <c r="BH847">
        <f t="shared" si="203"/>
        <v>437.5</v>
      </c>
      <c r="BI847">
        <f t="shared" si="204"/>
        <v>437.5</v>
      </c>
      <c r="BJ847">
        <f>IF($E847="","",IFERROR(VLOOKUP($C847,_CONFIG_Risk_Calibration!$A$5:$H$21,2,FALSE),3))</f>
        <v>3</v>
      </c>
      <c r="BK847">
        <f>IF($E847="","",IFERROR(VLOOKUP($C847,_CONFIG_Risk_Calibration!$A$5:$H$21,3,FALSE),0))</f>
        <v>0</v>
      </c>
      <c r="BL847">
        <f>IF($E847="","",IFERROR(VLOOKUP($C847,_CONFIG_Risk_Calibration!$A$5:$H$21,4,FALSE),3))</f>
        <v>3</v>
      </c>
      <c r="BM847">
        <f>IF($E847="","",IFERROR(VLOOKUP($C847,_CONFIG_Risk_Calibration!$A$5:$H$21,5,FALSE),3))</f>
        <v>3</v>
      </c>
      <c r="BN847" t="str">
        <f>IF($E847="","",IFERROR(VLOOKUP($C847,_CONFIG_Risk_Calibration!$A$5:$H$21,6,FALSE),"No"))</f>
        <v>No</v>
      </c>
      <c r="BO847">
        <f>IF($E847="","",IFERROR(VLOOKUP($C847,_CONFIG_Risk_Calibration!$A$5:$H$21,7,FALSE),1))</f>
        <v>1</v>
      </c>
      <c r="BP847">
        <f>IF($H847="","",MAX(1,MIN(5,((6-$H847)*0.45)+($BJ847*0.2)+('Resilience &amp; Risk Scenario'!$B$7*0.15)+($BK847*0.1)+($BL847*0.05)+(IF($BB847="Fast",5,IF($BB847="Slow",1,3))*0.05))))</f>
        <v>3.5</v>
      </c>
      <c r="BQ847">
        <f t="shared" si="205"/>
        <v>4.3</v>
      </c>
      <c r="BR847">
        <f t="shared" si="206"/>
        <v>15.05</v>
      </c>
      <c r="BS847">
        <f t="shared" si="207"/>
        <v>15.99</v>
      </c>
      <c r="BT847" t="str">
        <f>IFERROR(INDEX(_REF_Capability_Bridge!$D:$D,MATCH($C847&amp;"|"&amp;$D847,_REF_Capability_Bridge!$J:$J,0)),IFERROR(INDEX(_REF_Capability_Bridge!$D:$D,MATCH($C847&amp;"|",_REF_Capability_Bridge!$J:$J,0)),"CAP_GENERIC"))</f>
        <v>CAP_DATA_GOVERNANCE</v>
      </c>
      <c r="BU847">
        <f>IFERROR(IFERROR(INDEX(_ENGINE_Relevance!$L:$L,MATCH($BT847,_ENGINE_Relevance!$B:$B,0)),1),1)</f>
        <v>1.25</v>
      </c>
      <c r="BV847" t="str">
        <f>IFERROR(INDEX(_REF_Capability_Bridge!$A:$A,MATCH($C847&amp;"|"&amp;$D847,_REF_Capability_Bridge!$J:$J,0)),IFERROR(INDEX(_REF_Capability_Bridge!$A:$A,MATCH($C847&amp;"|",_REF_Capability_Bridge!$J:$J,0)),"No bridge"))</f>
        <v>BRG-021</v>
      </c>
      <c r="BW847" t="str">
        <f t="shared" si="208"/>
        <v>Capability relevance increases risk priority</v>
      </c>
      <c r="BX847" t="str">
        <f t="shared" si="209"/>
        <v>Initial / absent</v>
      </c>
      <c r="BY847" t="str">
        <f>IF($E847="","",IFERROR(INDEX(_REF_Treatment_Library!$A$2:$A$296,MATCH(1,INDEX((_REF_Treatment_Library!$B$2:$B$296=$BT847)*(_REF_Treatment_Library!$C$2:$C$296=PV_Canonical_Industry)*(_REF_Treatment_Library!$E$2:$E$296&lt;=N($H847))*(_REF_Treatment_Library!$F$2:$F$296&gt;=N($H847))*(_REF_Treatment_Library!$O$2:$O$296="Yes"),0),0)),IFERROR(INDEX(_REF_Treatment_Library!$A$2:$A$296,MATCH(1,INDEX((_REF_Treatment_Library!$B$2:$B$296=$BT847)*(_REF_Treatment_Library!$C$2:$C$296="All")*(_REF_Treatment_Library!$E$2:$E$296&lt;=N($H847))*(_REF_Treatment_Library!$F$2:$F$296&gt;=N($H847))*(_REF_Treatment_Library!$O$2:$O$296="Yes"),0),0)),"")))</f>
        <v>TRT-DATA_GOVERNANCE-INITIAL</v>
      </c>
      <c r="BZ847" t="str">
        <f>IF($BY847="","",IFERROR(INDEX(_REF_Treatment_Library!$H$2:$H$296,MATCH($BY847,_REF_Treatment_Library!$A$2:$A$296,0)),""))</f>
        <v>Establish</v>
      </c>
      <c r="CA847" t="str">
        <f>IF($BY847="","",IFERROR(INDEX(_REF_Treatment_Library!$I$2:$I$296,MATCH($BY847,_REF_Treatment_Library!$A$2:$A$296,0)),""))</f>
        <v>Establish baseline controls for Data governance</v>
      </c>
      <c r="CB847" t="str">
        <f>IF($BY847="","",IFERROR(INDEX(_REF_Treatment_Library!$K$2:$K$296,MATCH($BY847,_REF_Treatment_Library!$A$2:$A$296,0)),""))</f>
        <v>Named owner, baseline process, minimum control checklist, first evidence package</v>
      </c>
      <c r="CC847" t="str">
        <f>IF($BY847="","",IFERROR(INDEX(_REF_Treatment_Library!$L$2:$L$296,MATCH($BY847,_REF_Treatment_Library!$A$2:$A$296,0)),""))</f>
        <v>Owner assigned; baseline evidence coverage; open critical gaps</v>
      </c>
      <c r="CD847" t="str">
        <f t="shared" si="210"/>
        <v>Treatment by capability=CAP_DATA_GOVERNANCE; band=Initial / absent; score=0.0; treatment=Establish</v>
      </c>
      <c r="CE847" t="str">
        <f>IF($E847="","",IFERROR(INDEX(_REF_Industry_Wording!$A$2:$A$70,MATCH(1,INDEX((_REF_Industry_Wording!$B$2:$B$70=$BT847)*(_REF_Industry_Wording!$C$2:$C$70=PV_Canonical_Industry)*(_REF_Industry_Wording!$K$2:$K$70="Yes"),0),0)),IFERROR(INDEX(_REF_Industry_Wording!$A$2:$A$70,MATCH(1,INDEX((_REF_Industry_Wording!$B$2:$B$70=$BT847)*(_REF_Industry_Wording!$C$2:$C$70="All")*(_REF_Industry_Wording!$K$2:$K$70="Yes"),0),0)),"")))</f>
        <v>IW-ALL-DATA_GOVERNANCE</v>
      </c>
      <c r="CF847" t="str">
        <f>IF($CE847="","",IFERROR(INDEX(_REF_Industry_Wording!$E$2:$E$70,MATCH($CE847,_REF_Industry_Wording!$A$2:$A$70,0)),""))</f>
        <v>Data governance weakness</v>
      </c>
      <c r="CG847" t="str">
        <f>IF($CE847="","",IFERROR(INDEX(_REF_Industry_Wording!$F$2:$F$70,MATCH($CE847,_REF_Industry_Wording!$A$2:$A$70,0)),""))</f>
        <v>Strengthen Data governance</v>
      </c>
      <c r="CH847" t="str">
        <f>IF($CE847="","",IFERROR(INDEX(_REF_Industry_Wording!$G$2:$G$70,MATCH($CE847,_REF_Industry_Wording!$A$2:$A$70,0)),""))</f>
        <v>Strengthen Data governance using the selected maturity treatment, crisis scenario and evidence requirements.</v>
      </c>
      <c r="CI847" t="str">
        <f>IF($CE847="","",IFERROR(INDEX(_REF_Industry_Wording!$H$2:$H$70,MATCH($CE847,_REF_Industry_Wording!$A$2:$A$70,0)),""))</f>
        <v>Data governance</v>
      </c>
      <c r="CJ847">
        <f>IF($CE847="","",IFERROR(INDEX(_REF_Industry_Wording!$I$2:$I$70,MATCH($CE847,_REF_Industry_Wording!$A$2:$A$70,0)),""))</f>
        <v>0</v>
      </c>
      <c r="CK847" t="str">
        <f>IF($CE847="","",IFERROR(INDEX(_REF_Industry_Wording!$J$2:$J$70,MATCH($CE847,_REF_Industry_Wording!$A$2:$A$70,0)),""))</f>
        <v>Data governance</v>
      </c>
      <c r="CL847" t="str">
        <f t="shared" si="211"/>
        <v>Wording by industry=0; capability=CAP_DATA_GOVERNANCE; risk label=Data governance weakness</v>
      </c>
      <c r="CM847" t="str">
        <f t="shared" si="212"/>
        <v>RISK-ONT-0348</v>
      </c>
      <c r="CN847" t="str">
        <f t="shared" si="213"/>
        <v>RISK-EVT-0348</v>
      </c>
      <c r="CO847" t="str">
        <f t="shared" si="214"/>
        <v>Data BI AI|Data architecture|DATA-007|CAP_DATA_GOVERNANCE</v>
      </c>
      <c r="CP847" t="str">
        <f t="shared" si="215"/>
        <v>Active</v>
      </c>
      <c r="CQ847" t="str">
        <f t="shared" si="216"/>
        <v>OK: capability-driven</v>
      </c>
      <c r="CR847" t="str">
        <f t="shared" si="217"/>
        <v>Risk ontology uses capability=CAP_DATA_GOVERNANCE; bridge=BRG-021; treatment=TRT-DATA_GOVERNANCE-INITIAL; wording=IW-ALL-DATA_GOVERNANCE</v>
      </c>
      <c r="CS847" t="str">
        <f t="shared" si="218"/>
        <v>Yes</v>
      </c>
    </row>
    <row r="848" spans="1:97" ht="69.900000000000006" customHeight="1">
      <c r="A848">
        <f>IF(OR($B848&lt;&gt;"Yes",$BS848=""),"",SUMPRODUCT(($B$500:$B$923="Yes")*ISNUMBER($BS$500:$BS$923)*($BS$500:$BS$923&gt;$BS848))+COUNTIFS($B$500:$B848,"Yes",$BS$500:$BS848,$BS848))</f>
        <v>332</v>
      </c>
      <c r="B848" t="str">
        <f t="shared" si="187"/>
        <v>Yes</v>
      </c>
      <c r="C848" t="s">
        <v>2824</v>
      </c>
      <c r="D848" t="s">
        <v>2835</v>
      </c>
      <c r="E848" t="s">
        <v>2878</v>
      </c>
      <c r="F848" t="s">
        <v>4418</v>
      </c>
      <c r="G848" t="str">
        <f>IF($H848="","",IFERROR(INDEX(_ENGINE_Risk!$H$5:$M$499,MATCH($E848,_ENGINE_Risk!$A$5:$A$499,0),$H848+1),""))</f>
        <v>Severe risk: ETL or ELT monitoring for failures, latency, completeness and reconciliation is not reliably controlled. During Decision failure; Data loss; Regulatory/legal shock, the organization may face poor decisions, unreliable reporting, data quality problems and unsafe or ineffective AI usage with limited visibility or accountability.</v>
      </c>
      <c r="H848">
        <f>IFERROR(VALUE(INDEX(_DATA_Assessment_Model!$H$5:$H$884,MATCH($E848,_DATA_Assessment_Model!$A$5:$A$884,0))),"")</f>
        <v>0</v>
      </c>
      <c r="I848" t="str">
        <f>IF($H848="","",IFERROR(INDEX(_DATA_Assessment_Model!$L$5:$L$884,MATCH($E848,_DATA_Assessment_Model!$A$5:$A$884,0)),IF($H848&lt;=1,"Critical",IF($H848=2,"High",IF($H848=3,"Medium",IF($H848=4,"Low","Resilient"))))))</f>
        <v>Critical</v>
      </c>
      <c r="J848">
        <f t="shared" si="188"/>
        <v>3.5</v>
      </c>
      <c r="K848">
        <f t="shared" si="189"/>
        <v>4.1000000000000005</v>
      </c>
      <c r="L848">
        <f t="shared" si="190"/>
        <v>14.350000000000001</v>
      </c>
      <c r="M848">
        <f t="shared" si="191"/>
        <v>3</v>
      </c>
      <c r="N848">
        <f>IF($H848="","",IFERROR(INDEX(_ENGINE_Risk!$T$5:$Y$499,MATCH($E848,_ENGINE_Risk!$A$5:$A$499,0),$H848+1),""))</f>
        <v>4</v>
      </c>
      <c r="O848">
        <f t="shared" si="192"/>
        <v>4.333333333333333</v>
      </c>
      <c r="P848">
        <f t="shared" si="193"/>
        <v>5</v>
      </c>
      <c r="Q848">
        <f t="shared" si="194"/>
        <v>5</v>
      </c>
      <c r="R848">
        <f t="shared" si="195"/>
        <v>5</v>
      </c>
      <c r="S848">
        <f t="shared" si="196"/>
        <v>1.21</v>
      </c>
      <c r="T848" t="str">
        <f>IF($H848="","",IFERROR(INDEX(_ENGINE_Risk!$N$5:$S$499,MATCH($E848,_ENGINE_Risk!$A$5:$A$499,0),$H848+1),""))</f>
        <v>Create an immediate risk owner, minimum control baseline and fallback procedure for ETL or ELT monitoring for failures, latency, completeness and reconciliation. Add it to the crisis risk register and collect first evidence.</v>
      </c>
      <c r="U848">
        <f>IFERROR(INDEX(_DATA_Assessment_Model!$G$5:$G$884,MATCH($E848,_DATA_Assessment_Model!$A$5:$A$884,0)),"")</f>
        <v>3</v>
      </c>
      <c r="V848">
        <f>IFERROR(INDEX(_DATA_Assessment_Model!$W$5:$W$884,MATCH($E848,_DATA_Assessment_Model!$A$5:$A$884,0)),"")</f>
        <v>5</v>
      </c>
      <c r="W848">
        <f>IFERROR(INDEX(_DATA_Assessment_Model!$X$5:$X$884,MATCH($E848,_DATA_Assessment_Model!$A$5:$A$884,0)),"")</f>
        <v>5</v>
      </c>
      <c r="X848">
        <f>IFERROR(INDEX(_DATA_Assessment_Model!$Y$5:$Y$884,MATCH($E848,_DATA_Assessment_Model!$A$5:$A$884,0)),"")</f>
        <v>5</v>
      </c>
      <c r="Y848" t="s">
        <v>2831</v>
      </c>
      <c r="Z848" t="s">
        <v>9432</v>
      </c>
      <c r="AA848" t="s">
        <v>2880</v>
      </c>
      <c r="AB848">
        <f>IFERROR(INDEX(_DATA_Assessment_Model!$U$5:$U$884,MATCH($E848,_DATA_Assessment_Model!$A$5:$A$884,0)),"")</f>
        <v>0</v>
      </c>
      <c r="AF848" t="s">
        <v>2879</v>
      </c>
      <c r="AO848">
        <f>IF($B848="Yes",IF(IFERROR(INDEX(_ENGINE_Crisis!$F$501:$F$517,MATCH($C848,_ENGINE_Crisis!$A$501:$A$517,0)),1)=0,1,IFERROR(INDEX(_ENGINE_Crisis!$F$501:$F$517,MATCH($C848,_ENGINE_Crisis!$A$501:$A$517,0)),1)),"")</f>
        <v>1</v>
      </c>
      <c r="AP848">
        <f t="shared" si="197"/>
        <v>14.4</v>
      </c>
      <c r="AQ848">
        <f t="shared" si="198"/>
        <v>1.21</v>
      </c>
      <c r="AR848" t="str">
        <f>IFERROR(INDEX(_ENGINE_Crisis!$E$41:$E$700,MATCH('Resilience &amp; Risk Scenario'!$B$6&amp;"|"&amp;$C848,_ENGINE_Crisis!$I$41:$I$700,0)),"")</f>
        <v/>
      </c>
      <c r="AS848" t="str">
        <f>IFERROR(INDEX(_ENGINE_Crisis!$G$41:$G$700,MATCH('Resilience &amp; Risk Scenario'!$B$6&amp;"|"&amp;$C848,_ENGINE_Crisis!$I$41:$I$700,0)),"")</f>
        <v/>
      </c>
      <c r="AT848" t="str">
        <f>IFERROR(INDEX(_ENGINE_Initiatives!$A$5:$A$532,MATCH(1,INDEX((_ENGINE_Initiatives!$B$5:$B$532=$C848)*(_ENGINE_Initiatives!$C$5:$C$532=$D848),0),0)),"")</f>
        <v>INI-059</v>
      </c>
      <c r="AU848" t="str">
        <f>IFERROR(INDEX(_ENGINE_Initiatives!$F$5:$F$532,MATCH(1,INDEX((_ENGINE_Initiatives!$B$5:$B$532=$C848)*(_ENGINE_Initiatives!$C$5:$C$532=$D848),0),0)),"")</f>
        <v>Build resilient data architecture, integration and storage foundation</v>
      </c>
      <c r="AV848">
        <f>IFERROR(INDEX(_ENGINE_Initiatives!$AC$5:$AC$532,MATCH(1,INDEX((_ENGINE_Initiatives!$B$5:$B$532=$C848)*(_ENGINE_Initiatives!$C$5:$C$532=$D848),0),0)),"")</f>
        <v>1.3</v>
      </c>
      <c r="AW848" t="str">
        <f>IFERROR(INDEX(_ENGINE_Initiatives!$AE$5:$AE$532,MATCH(1,INDEX((_ENGINE_Initiatives!$B$5:$B$532=$C848)*(_ENGINE_Initiatives!$C$5:$C$532=$D848),0),0)),"")</f>
        <v>12+ months</v>
      </c>
      <c r="AX848">
        <f>IF($B848="Yes",IFERROR((IF(SUMIFS(_REF_Model_Content!$E$1:$E$613,_REF_Model_Content!$A$1:$A$613,PV_Canonical_Industry,_REF_Model_Content!$B$1:$B$613,$C848)=0,1,SUMIFS(_REF_Model_Content!$E$1:$E$613,_REF_Model_Content!$A$1:$A$613,PV_Canonical_Industry,_REF_Model_Content!$B$1:$B$613,$C848))*IFERROR($BU848,1)),1),"")</f>
        <v>1.25</v>
      </c>
      <c r="AY848">
        <f t="shared" si="199"/>
        <v>18</v>
      </c>
      <c r="AZ848">
        <f t="shared" si="200"/>
        <v>1.51</v>
      </c>
      <c r="BB848" t="str">
        <f>IF($H848="","",IFERROR(INDEX(_ENGINE_Risk!$AE$5:$AE$499,MATCH($E848,_ENGINE_Risk!$A$5:$A$499,0)),"Medium"))</f>
        <v>Slow</v>
      </c>
      <c r="BC848">
        <f t="shared" si="201"/>
        <v>0.85</v>
      </c>
      <c r="BD848">
        <f t="shared" si="202"/>
        <v>1.51</v>
      </c>
      <c r="BF848">
        <f>IF(OR($H848="",$J848=""),"",IFERROR(VLOOKUP(ROUND($J848,0),_CONFIG_Model_Settings!$D$154:$E$158,2,0),""))</f>
        <v>0.5</v>
      </c>
      <c r="BG848">
        <f>IFERROR(IF(OR($H848="",$K848=""),"",ROUND('Company Profile'!$B$113*INDEX(_CONFIG_Model_Settings!$H$154:$H$158,MATCH(ROUND($K848,0),_CONFIG_Model_Settings!$G$154:$G$158,0)),0)),0)</f>
        <v>875</v>
      </c>
      <c r="BH848">
        <f t="shared" si="203"/>
        <v>437.5</v>
      </c>
      <c r="BI848">
        <f t="shared" si="204"/>
        <v>437.5</v>
      </c>
      <c r="BJ848">
        <f>IF($E848="","",IFERROR(VLOOKUP($C848,_CONFIG_Risk_Calibration!$A$5:$H$21,2,FALSE),3))</f>
        <v>3</v>
      </c>
      <c r="BK848">
        <f>IF($E848="","",IFERROR(VLOOKUP($C848,_CONFIG_Risk_Calibration!$A$5:$H$21,3,FALSE),0))</f>
        <v>0</v>
      </c>
      <c r="BL848">
        <f>IF($E848="","",IFERROR(VLOOKUP($C848,_CONFIG_Risk_Calibration!$A$5:$H$21,4,FALSE),3))</f>
        <v>3</v>
      </c>
      <c r="BM848">
        <f>IF($E848="","",IFERROR(VLOOKUP($C848,_CONFIG_Risk_Calibration!$A$5:$H$21,5,FALSE),3))</f>
        <v>3</v>
      </c>
      <c r="BN848" t="str">
        <f>IF($E848="","",IFERROR(VLOOKUP($C848,_CONFIG_Risk_Calibration!$A$5:$H$21,6,FALSE),"No"))</f>
        <v>No</v>
      </c>
      <c r="BO848">
        <f>IF($E848="","",IFERROR(VLOOKUP($C848,_CONFIG_Risk_Calibration!$A$5:$H$21,7,FALSE),1))</f>
        <v>1</v>
      </c>
      <c r="BP848">
        <f>IF($H848="","",MAX(1,MIN(5,((6-$H848)*0.45)+($BJ848*0.2)+('Resilience &amp; Risk Scenario'!$B$7*0.15)+($BK848*0.1)+($BL848*0.05)+(IF($BB848="Fast",5,IF($BB848="Slow",1,3))*0.05))))</f>
        <v>3.5</v>
      </c>
      <c r="BQ848">
        <f t="shared" si="205"/>
        <v>4.1000000000000005</v>
      </c>
      <c r="BR848">
        <f t="shared" si="206"/>
        <v>14.35</v>
      </c>
      <c r="BS848">
        <f t="shared" si="207"/>
        <v>15.25</v>
      </c>
      <c r="BT848" t="str">
        <f>IFERROR(INDEX(_REF_Capability_Bridge!$D:$D,MATCH($C848&amp;"|"&amp;$D848,_REF_Capability_Bridge!$J:$J,0)),IFERROR(INDEX(_REF_Capability_Bridge!$D:$D,MATCH($C848&amp;"|",_REF_Capability_Bridge!$J:$J,0)),"CAP_GENERIC"))</f>
        <v>CAP_DATA_GOVERNANCE</v>
      </c>
      <c r="BU848">
        <f>IFERROR(IFERROR(INDEX(_ENGINE_Relevance!$L:$L,MATCH($BT848,_ENGINE_Relevance!$B:$B,0)),1),1)</f>
        <v>1.25</v>
      </c>
      <c r="BV848" t="str">
        <f>IFERROR(INDEX(_REF_Capability_Bridge!$A:$A,MATCH($C848&amp;"|"&amp;$D848,_REF_Capability_Bridge!$J:$J,0)),IFERROR(INDEX(_REF_Capability_Bridge!$A:$A,MATCH($C848&amp;"|",_REF_Capability_Bridge!$J:$J,0)),"No bridge"))</f>
        <v>BRG-021</v>
      </c>
      <c r="BW848" t="str">
        <f t="shared" si="208"/>
        <v>Capability relevance increases risk priority</v>
      </c>
      <c r="BX848" t="str">
        <f t="shared" si="209"/>
        <v>Initial / absent</v>
      </c>
      <c r="BY848" t="str">
        <f>IF($E848="","",IFERROR(INDEX(_REF_Treatment_Library!$A$2:$A$296,MATCH(1,INDEX((_REF_Treatment_Library!$B$2:$B$296=$BT848)*(_REF_Treatment_Library!$C$2:$C$296=PV_Canonical_Industry)*(_REF_Treatment_Library!$E$2:$E$296&lt;=N($H848))*(_REF_Treatment_Library!$F$2:$F$296&gt;=N($H848))*(_REF_Treatment_Library!$O$2:$O$296="Yes"),0),0)),IFERROR(INDEX(_REF_Treatment_Library!$A$2:$A$296,MATCH(1,INDEX((_REF_Treatment_Library!$B$2:$B$296=$BT848)*(_REF_Treatment_Library!$C$2:$C$296="All")*(_REF_Treatment_Library!$E$2:$E$296&lt;=N($H848))*(_REF_Treatment_Library!$F$2:$F$296&gt;=N($H848))*(_REF_Treatment_Library!$O$2:$O$296="Yes"),0),0)),"")))</f>
        <v>TRT-DATA_GOVERNANCE-INITIAL</v>
      </c>
      <c r="BZ848" t="str">
        <f>IF($BY848="","",IFERROR(INDEX(_REF_Treatment_Library!$H$2:$H$296,MATCH($BY848,_REF_Treatment_Library!$A$2:$A$296,0)),""))</f>
        <v>Establish</v>
      </c>
      <c r="CA848" t="str">
        <f>IF($BY848="","",IFERROR(INDEX(_REF_Treatment_Library!$I$2:$I$296,MATCH($BY848,_REF_Treatment_Library!$A$2:$A$296,0)),""))</f>
        <v>Establish baseline controls for Data governance</v>
      </c>
      <c r="CB848" t="str">
        <f>IF($BY848="","",IFERROR(INDEX(_REF_Treatment_Library!$K$2:$K$296,MATCH($BY848,_REF_Treatment_Library!$A$2:$A$296,0)),""))</f>
        <v>Named owner, baseline process, minimum control checklist, first evidence package</v>
      </c>
      <c r="CC848" t="str">
        <f>IF($BY848="","",IFERROR(INDEX(_REF_Treatment_Library!$L$2:$L$296,MATCH($BY848,_REF_Treatment_Library!$A$2:$A$296,0)),""))</f>
        <v>Owner assigned; baseline evidence coverage; open critical gaps</v>
      </c>
      <c r="CD848" t="str">
        <f t="shared" si="210"/>
        <v>Treatment by capability=CAP_DATA_GOVERNANCE; band=Initial / absent; score=0.0; treatment=Establish</v>
      </c>
      <c r="CE848" t="str">
        <f>IF($E848="","",IFERROR(INDEX(_REF_Industry_Wording!$A$2:$A$70,MATCH(1,INDEX((_REF_Industry_Wording!$B$2:$B$70=$BT848)*(_REF_Industry_Wording!$C$2:$C$70=PV_Canonical_Industry)*(_REF_Industry_Wording!$K$2:$K$70="Yes"),0),0)),IFERROR(INDEX(_REF_Industry_Wording!$A$2:$A$70,MATCH(1,INDEX((_REF_Industry_Wording!$B$2:$B$70=$BT848)*(_REF_Industry_Wording!$C$2:$C$70="All")*(_REF_Industry_Wording!$K$2:$K$70="Yes"),0),0)),"")))</f>
        <v>IW-ALL-DATA_GOVERNANCE</v>
      </c>
      <c r="CF848" t="str">
        <f>IF($CE848="","",IFERROR(INDEX(_REF_Industry_Wording!$E$2:$E$70,MATCH($CE848,_REF_Industry_Wording!$A$2:$A$70,0)),""))</f>
        <v>Data governance weakness</v>
      </c>
      <c r="CG848" t="str">
        <f>IF($CE848="","",IFERROR(INDEX(_REF_Industry_Wording!$F$2:$F$70,MATCH($CE848,_REF_Industry_Wording!$A$2:$A$70,0)),""))</f>
        <v>Strengthen Data governance</v>
      </c>
      <c r="CH848" t="str">
        <f>IF($CE848="","",IFERROR(INDEX(_REF_Industry_Wording!$G$2:$G$70,MATCH($CE848,_REF_Industry_Wording!$A$2:$A$70,0)),""))</f>
        <v>Strengthen Data governance using the selected maturity treatment, crisis scenario and evidence requirements.</v>
      </c>
      <c r="CI848" t="str">
        <f>IF($CE848="","",IFERROR(INDEX(_REF_Industry_Wording!$H$2:$H$70,MATCH($CE848,_REF_Industry_Wording!$A$2:$A$70,0)),""))</f>
        <v>Data governance</v>
      </c>
      <c r="CJ848">
        <f>IF($CE848="","",IFERROR(INDEX(_REF_Industry_Wording!$I$2:$I$70,MATCH($CE848,_REF_Industry_Wording!$A$2:$A$70,0)),""))</f>
        <v>0</v>
      </c>
      <c r="CK848" t="str">
        <f>IF($CE848="","",IFERROR(INDEX(_REF_Industry_Wording!$J$2:$J$70,MATCH($CE848,_REF_Industry_Wording!$A$2:$A$70,0)),""))</f>
        <v>Data governance</v>
      </c>
      <c r="CL848" t="str">
        <f t="shared" si="211"/>
        <v>Wording by industry=0; capability=CAP_DATA_GOVERNANCE; risk label=Data governance weakness</v>
      </c>
      <c r="CM848" t="str">
        <f t="shared" si="212"/>
        <v>RISK-ONT-0349</v>
      </c>
      <c r="CN848" t="str">
        <f t="shared" si="213"/>
        <v>RISK-EVT-0349</v>
      </c>
      <c r="CO848" t="str">
        <f t="shared" si="214"/>
        <v>Data BI AI|Data architecture|DATA-008|CAP_DATA_GOVERNANCE</v>
      </c>
      <c r="CP848" t="str">
        <f t="shared" si="215"/>
        <v>Active</v>
      </c>
      <c r="CQ848" t="str">
        <f t="shared" si="216"/>
        <v>OK: capability-driven</v>
      </c>
      <c r="CR848" t="str">
        <f t="shared" si="217"/>
        <v>Risk ontology uses capability=CAP_DATA_GOVERNANCE; bridge=BRG-021; treatment=TRT-DATA_GOVERNANCE-INITIAL; wording=IW-ALL-DATA_GOVERNANCE</v>
      </c>
      <c r="CS848" t="str">
        <f t="shared" si="218"/>
        <v>Yes</v>
      </c>
    </row>
    <row r="849" spans="1:97" ht="69.900000000000006" customHeight="1">
      <c r="A849">
        <f>IF(OR($B849&lt;&gt;"Yes",$BS849=""),"",SUMPRODUCT(($B$500:$B$923="Yes")*ISNUMBER($BS$500:$BS$923)*($BS$500:$BS$923&gt;$BS849))+COUNTIFS($B$500:$B849,"Yes",$BS$500:$BS849,$BS849))</f>
        <v>256</v>
      </c>
      <c r="B849" t="str">
        <f t="shared" si="187"/>
        <v>Yes</v>
      </c>
      <c r="C849" t="s">
        <v>2824</v>
      </c>
      <c r="D849" t="s">
        <v>2835</v>
      </c>
      <c r="E849" t="s">
        <v>2887</v>
      </c>
      <c r="F849" t="s">
        <v>4418</v>
      </c>
      <c r="G849" t="str">
        <f>IF($H849="","",IFERROR(INDEX(_ENGINE_Risk!$H$5:$M$499,MATCH($E849,_ENGINE_Risk!$A$5:$A$499,0),$H849+1),""))</f>
        <v>Severe risk: data lineage for critical KPIs, regulatory reports and board dashboards is not reliably controlled. During Decision failure; Data loss; Regulatory/legal shock, the organization may face poor decisions, unreliable reporting, data quality problems and unsafe or ineffective AI usage with limited visibility or accountability.</v>
      </c>
      <c r="H849">
        <f>IFERROR(VALUE(INDEX(_DATA_Assessment_Model!$H$5:$H$884,MATCH($E849,_DATA_Assessment_Model!$A$5:$A$884,0))),"")</f>
        <v>0</v>
      </c>
      <c r="I849" t="str">
        <f>IF($H849="","",IFERROR(INDEX(_DATA_Assessment_Model!$L$5:$L$884,MATCH($E849,_DATA_Assessment_Model!$A$5:$A$884,0)),IF($H849&lt;=1,"Critical",IF($H849=2,"High",IF($H849=3,"Medium",IF($H849=4,"Low","Resilient"))))))</f>
        <v>Critical</v>
      </c>
      <c r="J849">
        <f t="shared" si="188"/>
        <v>3.5</v>
      </c>
      <c r="K849">
        <f t="shared" si="189"/>
        <v>4.5</v>
      </c>
      <c r="L849">
        <f t="shared" si="190"/>
        <v>15.75</v>
      </c>
      <c r="M849">
        <f t="shared" si="191"/>
        <v>4</v>
      </c>
      <c r="N849">
        <f>IF($H849="","",IFERROR(INDEX(_ENGINE_Risk!$T$5:$Y$499,MATCH($E849,_ENGINE_Risk!$A$5:$A$499,0),$H849+1),""))</f>
        <v>4</v>
      </c>
      <c r="O849">
        <f t="shared" si="192"/>
        <v>5</v>
      </c>
      <c r="P849">
        <f t="shared" si="193"/>
        <v>5</v>
      </c>
      <c r="Q849">
        <f t="shared" si="194"/>
        <v>5</v>
      </c>
      <c r="R849">
        <f t="shared" si="195"/>
        <v>5</v>
      </c>
      <c r="S849">
        <f t="shared" si="196"/>
        <v>1.25</v>
      </c>
      <c r="T849" t="str">
        <f>IF($H849="","",IFERROR(INDEX(_ENGINE_Risk!$N$5:$S$499,MATCH($E849,_ENGINE_Risk!$A$5:$A$499,0),$H849+1),""))</f>
        <v>Create an immediate risk owner, minimum control baseline and fallback procedure for data lineage for critical KPIs, regulatory reports and board dashboards. Add it to the crisis risk register and collect first evidence.</v>
      </c>
      <c r="U849">
        <f>IFERROR(INDEX(_DATA_Assessment_Model!$G$5:$G$884,MATCH($E849,_DATA_Assessment_Model!$A$5:$A$884,0)),"")</f>
        <v>5</v>
      </c>
      <c r="V849">
        <f>IFERROR(INDEX(_DATA_Assessment_Model!$W$5:$W$884,MATCH($E849,_DATA_Assessment_Model!$A$5:$A$884,0)),"")</f>
        <v>5</v>
      </c>
      <c r="W849">
        <f>IFERROR(INDEX(_DATA_Assessment_Model!$X$5:$X$884,MATCH($E849,_DATA_Assessment_Model!$A$5:$A$884,0)),"")</f>
        <v>5</v>
      </c>
      <c r="X849">
        <f>IFERROR(INDEX(_DATA_Assessment_Model!$Y$5:$Y$884,MATCH($E849,_DATA_Assessment_Model!$A$5:$A$884,0)),"")</f>
        <v>5</v>
      </c>
      <c r="Y849" t="s">
        <v>2831</v>
      </c>
      <c r="Z849" t="s">
        <v>9432</v>
      </c>
      <c r="AA849" t="s">
        <v>2889</v>
      </c>
      <c r="AB849">
        <f>IFERROR(INDEX(_DATA_Assessment_Model!$U$5:$U$884,MATCH($E849,_DATA_Assessment_Model!$A$5:$A$884,0)),"")</f>
        <v>0</v>
      </c>
      <c r="AF849" t="s">
        <v>2888</v>
      </c>
      <c r="AO849">
        <f>IF($B849="Yes",IF(IFERROR(INDEX(_ENGINE_Crisis!$F$501:$F$517,MATCH($C849,_ENGINE_Crisis!$A$501:$A$517,0)),1)=0,1,IFERROR(INDEX(_ENGINE_Crisis!$F$501:$F$517,MATCH($C849,_ENGINE_Crisis!$A$501:$A$517,0)),1)),"")</f>
        <v>1</v>
      </c>
      <c r="AP849">
        <f t="shared" si="197"/>
        <v>15.8</v>
      </c>
      <c r="AQ849">
        <f t="shared" si="198"/>
        <v>1.25</v>
      </c>
      <c r="AR849" t="str">
        <f>IFERROR(INDEX(_ENGINE_Crisis!$E$41:$E$700,MATCH('Resilience &amp; Risk Scenario'!$B$6&amp;"|"&amp;$C849,_ENGINE_Crisis!$I$41:$I$700,0)),"")</f>
        <v/>
      </c>
      <c r="AS849" t="str">
        <f>IFERROR(INDEX(_ENGINE_Crisis!$G$41:$G$700,MATCH('Resilience &amp; Risk Scenario'!$B$6&amp;"|"&amp;$C849,_ENGINE_Crisis!$I$41:$I$700,0)),"")</f>
        <v/>
      </c>
      <c r="AT849" t="str">
        <f>IFERROR(INDEX(_ENGINE_Initiatives!$A$5:$A$532,MATCH(1,INDEX((_ENGINE_Initiatives!$B$5:$B$532=$C849)*(_ENGINE_Initiatives!$C$5:$C$532=$D849),0),0)),"")</f>
        <v>INI-059</v>
      </c>
      <c r="AU849" t="str">
        <f>IFERROR(INDEX(_ENGINE_Initiatives!$F$5:$F$532,MATCH(1,INDEX((_ENGINE_Initiatives!$B$5:$B$532=$C849)*(_ENGINE_Initiatives!$C$5:$C$532=$D849),0),0)),"")</f>
        <v>Build resilient data architecture, integration and storage foundation</v>
      </c>
      <c r="AV849">
        <f>IFERROR(INDEX(_ENGINE_Initiatives!$AC$5:$AC$532,MATCH(1,INDEX((_ENGINE_Initiatives!$B$5:$B$532=$C849)*(_ENGINE_Initiatives!$C$5:$C$532=$D849),0),0)),"")</f>
        <v>1.3</v>
      </c>
      <c r="AW849" t="str">
        <f>IFERROR(INDEX(_ENGINE_Initiatives!$AE$5:$AE$532,MATCH(1,INDEX((_ENGINE_Initiatives!$B$5:$B$532=$C849)*(_ENGINE_Initiatives!$C$5:$C$532=$D849),0),0)),"")</f>
        <v>12+ months</v>
      </c>
      <c r="AX849">
        <f>IF($B849="Yes",IFERROR((IF(SUMIFS(_REF_Model_Content!$E$1:$E$613,_REF_Model_Content!$A$1:$A$613,PV_Canonical_Industry,_REF_Model_Content!$B$1:$B$613,$C849)=0,1,SUMIFS(_REF_Model_Content!$E$1:$E$613,_REF_Model_Content!$A$1:$A$613,PV_Canonical_Industry,_REF_Model_Content!$B$1:$B$613,$C849))*IFERROR($BU849,1)),1),"")</f>
        <v>1.25</v>
      </c>
      <c r="AY849">
        <f t="shared" si="199"/>
        <v>19.75</v>
      </c>
      <c r="AZ849">
        <f t="shared" si="200"/>
        <v>1.56</v>
      </c>
      <c r="BB849" t="str">
        <f>IF($H849="","",IFERROR(INDEX(_ENGINE_Risk!$AE$5:$AE$499,MATCH($E849,_ENGINE_Risk!$A$5:$A$499,0)),"Medium"))</f>
        <v>Slow</v>
      </c>
      <c r="BC849">
        <f t="shared" si="201"/>
        <v>0.85</v>
      </c>
      <c r="BD849">
        <f t="shared" si="202"/>
        <v>1.56</v>
      </c>
      <c r="BF849">
        <f>IF(OR($H849="",$J849=""),"",IFERROR(VLOOKUP(ROUND($J849,0),_CONFIG_Model_Settings!$D$154:$E$158,2,0),""))</f>
        <v>0.5</v>
      </c>
      <c r="BG849">
        <f>IFERROR(IF(OR($H849="",$K849=""),"",ROUND('Company Profile'!$B$113*INDEX(_CONFIG_Model_Settings!$H$154:$H$158,MATCH(ROUND($K849,0),_CONFIG_Model_Settings!$G$154:$G$158,0)),0)),0)</f>
        <v>1875</v>
      </c>
      <c r="BH849">
        <f t="shared" si="203"/>
        <v>937.5</v>
      </c>
      <c r="BI849">
        <f t="shared" si="204"/>
        <v>937.5</v>
      </c>
      <c r="BJ849">
        <f>IF($E849="","",IFERROR(VLOOKUP($C849,_CONFIG_Risk_Calibration!$A$5:$H$21,2,FALSE),3))</f>
        <v>3</v>
      </c>
      <c r="BK849">
        <f>IF($E849="","",IFERROR(VLOOKUP($C849,_CONFIG_Risk_Calibration!$A$5:$H$21,3,FALSE),0))</f>
        <v>0</v>
      </c>
      <c r="BL849">
        <f>IF($E849="","",IFERROR(VLOOKUP($C849,_CONFIG_Risk_Calibration!$A$5:$H$21,4,FALSE),3))</f>
        <v>3</v>
      </c>
      <c r="BM849">
        <f>IF($E849="","",IFERROR(VLOOKUP($C849,_CONFIG_Risk_Calibration!$A$5:$H$21,5,FALSE),3))</f>
        <v>3</v>
      </c>
      <c r="BN849" t="str">
        <f>IF($E849="","",IFERROR(VLOOKUP($C849,_CONFIG_Risk_Calibration!$A$5:$H$21,6,FALSE),"No"))</f>
        <v>No</v>
      </c>
      <c r="BO849">
        <f>IF($E849="","",IFERROR(VLOOKUP($C849,_CONFIG_Risk_Calibration!$A$5:$H$21,7,FALSE),1))</f>
        <v>1</v>
      </c>
      <c r="BP849">
        <f>IF($H849="","",MAX(1,MIN(5,((6-$H849)*0.45)+($BJ849*0.2)+('Resilience &amp; Risk Scenario'!$B$7*0.15)+($BK849*0.1)+($BL849*0.05)+(IF($BB849="Fast",5,IF($BB849="Slow",1,3))*0.05))))</f>
        <v>3.5</v>
      </c>
      <c r="BQ849">
        <f t="shared" si="205"/>
        <v>4.5</v>
      </c>
      <c r="BR849">
        <f t="shared" si="206"/>
        <v>15.75</v>
      </c>
      <c r="BS849">
        <f t="shared" si="207"/>
        <v>16.73</v>
      </c>
      <c r="BT849" t="str">
        <f>IFERROR(INDEX(_REF_Capability_Bridge!$D:$D,MATCH($C849&amp;"|"&amp;$D849,_REF_Capability_Bridge!$J:$J,0)),IFERROR(INDEX(_REF_Capability_Bridge!$D:$D,MATCH($C849&amp;"|",_REF_Capability_Bridge!$J:$J,0)),"CAP_GENERIC"))</f>
        <v>CAP_DATA_GOVERNANCE</v>
      </c>
      <c r="BU849">
        <f>IFERROR(IFERROR(INDEX(_ENGINE_Relevance!$L:$L,MATCH($BT849,_ENGINE_Relevance!$B:$B,0)),1),1)</f>
        <v>1.25</v>
      </c>
      <c r="BV849" t="str">
        <f>IFERROR(INDEX(_REF_Capability_Bridge!$A:$A,MATCH($C849&amp;"|"&amp;$D849,_REF_Capability_Bridge!$J:$J,0)),IFERROR(INDEX(_REF_Capability_Bridge!$A:$A,MATCH($C849&amp;"|",_REF_Capability_Bridge!$J:$J,0)),"No bridge"))</f>
        <v>BRG-021</v>
      </c>
      <c r="BW849" t="str">
        <f t="shared" si="208"/>
        <v>Capability relevance increases risk priority</v>
      </c>
      <c r="BX849" t="str">
        <f t="shared" si="209"/>
        <v>Initial / absent</v>
      </c>
      <c r="BY849" t="str">
        <f>IF($E849="","",IFERROR(INDEX(_REF_Treatment_Library!$A$2:$A$296,MATCH(1,INDEX((_REF_Treatment_Library!$B$2:$B$296=$BT849)*(_REF_Treatment_Library!$C$2:$C$296=PV_Canonical_Industry)*(_REF_Treatment_Library!$E$2:$E$296&lt;=N($H849))*(_REF_Treatment_Library!$F$2:$F$296&gt;=N($H849))*(_REF_Treatment_Library!$O$2:$O$296="Yes"),0),0)),IFERROR(INDEX(_REF_Treatment_Library!$A$2:$A$296,MATCH(1,INDEX((_REF_Treatment_Library!$B$2:$B$296=$BT849)*(_REF_Treatment_Library!$C$2:$C$296="All")*(_REF_Treatment_Library!$E$2:$E$296&lt;=N($H849))*(_REF_Treatment_Library!$F$2:$F$296&gt;=N($H849))*(_REF_Treatment_Library!$O$2:$O$296="Yes"),0),0)),"")))</f>
        <v>TRT-DATA_GOVERNANCE-INITIAL</v>
      </c>
      <c r="BZ849" t="str">
        <f>IF($BY849="","",IFERROR(INDEX(_REF_Treatment_Library!$H$2:$H$296,MATCH($BY849,_REF_Treatment_Library!$A$2:$A$296,0)),""))</f>
        <v>Establish</v>
      </c>
      <c r="CA849" t="str">
        <f>IF($BY849="","",IFERROR(INDEX(_REF_Treatment_Library!$I$2:$I$296,MATCH($BY849,_REF_Treatment_Library!$A$2:$A$296,0)),""))</f>
        <v>Establish baseline controls for Data governance</v>
      </c>
      <c r="CB849" t="str">
        <f>IF($BY849="","",IFERROR(INDEX(_REF_Treatment_Library!$K$2:$K$296,MATCH($BY849,_REF_Treatment_Library!$A$2:$A$296,0)),""))</f>
        <v>Named owner, baseline process, minimum control checklist, first evidence package</v>
      </c>
      <c r="CC849" t="str">
        <f>IF($BY849="","",IFERROR(INDEX(_REF_Treatment_Library!$L$2:$L$296,MATCH($BY849,_REF_Treatment_Library!$A$2:$A$296,0)),""))</f>
        <v>Owner assigned; baseline evidence coverage; open critical gaps</v>
      </c>
      <c r="CD849" t="str">
        <f t="shared" si="210"/>
        <v>Treatment by capability=CAP_DATA_GOVERNANCE; band=Initial / absent; score=0.0; treatment=Establish</v>
      </c>
      <c r="CE849" t="str">
        <f>IF($E849="","",IFERROR(INDEX(_REF_Industry_Wording!$A$2:$A$70,MATCH(1,INDEX((_REF_Industry_Wording!$B$2:$B$70=$BT849)*(_REF_Industry_Wording!$C$2:$C$70=PV_Canonical_Industry)*(_REF_Industry_Wording!$K$2:$K$70="Yes"),0),0)),IFERROR(INDEX(_REF_Industry_Wording!$A$2:$A$70,MATCH(1,INDEX((_REF_Industry_Wording!$B$2:$B$70=$BT849)*(_REF_Industry_Wording!$C$2:$C$70="All")*(_REF_Industry_Wording!$K$2:$K$70="Yes"),0),0)),"")))</f>
        <v>IW-ALL-DATA_GOVERNANCE</v>
      </c>
      <c r="CF849" t="str">
        <f>IF($CE849="","",IFERROR(INDEX(_REF_Industry_Wording!$E$2:$E$70,MATCH($CE849,_REF_Industry_Wording!$A$2:$A$70,0)),""))</f>
        <v>Data governance weakness</v>
      </c>
      <c r="CG849" t="str">
        <f>IF($CE849="","",IFERROR(INDEX(_REF_Industry_Wording!$F$2:$F$70,MATCH($CE849,_REF_Industry_Wording!$A$2:$A$70,0)),""))</f>
        <v>Strengthen Data governance</v>
      </c>
      <c r="CH849" t="str">
        <f>IF($CE849="","",IFERROR(INDEX(_REF_Industry_Wording!$G$2:$G$70,MATCH($CE849,_REF_Industry_Wording!$A$2:$A$70,0)),""))</f>
        <v>Strengthen Data governance using the selected maturity treatment, crisis scenario and evidence requirements.</v>
      </c>
      <c r="CI849" t="str">
        <f>IF($CE849="","",IFERROR(INDEX(_REF_Industry_Wording!$H$2:$H$70,MATCH($CE849,_REF_Industry_Wording!$A$2:$A$70,0)),""))</f>
        <v>Data governance</v>
      </c>
      <c r="CJ849">
        <f>IF($CE849="","",IFERROR(INDEX(_REF_Industry_Wording!$I$2:$I$70,MATCH($CE849,_REF_Industry_Wording!$A$2:$A$70,0)),""))</f>
        <v>0</v>
      </c>
      <c r="CK849" t="str">
        <f>IF($CE849="","",IFERROR(INDEX(_REF_Industry_Wording!$J$2:$J$70,MATCH($CE849,_REF_Industry_Wording!$A$2:$A$70,0)),""))</f>
        <v>Data governance</v>
      </c>
      <c r="CL849" t="str">
        <f t="shared" si="211"/>
        <v>Wording by industry=0; capability=CAP_DATA_GOVERNANCE; risk label=Data governance weakness</v>
      </c>
      <c r="CM849" t="str">
        <f t="shared" si="212"/>
        <v>RISK-ONT-0350</v>
      </c>
      <c r="CN849" t="str">
        <f t="shared" si="213"/>
        <v>RISK-EVT-0350</v>
      </c>
      <c r="CO849" t="str">
        <f t="shared" si="214"/>
        <v>Data BI AI|Data architecture|DATA-009|CAP_DATA_GOVERNANCE</v>
      </c>
      <c r="CP849" t="str">
        <f t="shared" si="215"/>
        <v>Active</v>
      </c>
      <c r="CQ849" t="str">
        <f t="shared" si="216"/>
        <v>OK: capability-driven</v>
      </c>
      <c r="CR849" t="str">
        <f t="shared" si="217"/>
        <v>Risk ontology uses capability=CAP_DATA_GOVERNANCE; bridge=BRG-021; treatment=TRT-DATA_GOVERNANCE-INITIAL; wording=IW-ALL-DATA_GOVERNANCE</v>
      </c>
      <c r="CS849" t="str">
        <f t="shared" si="218"/>
        <v>Yes</v>
      </c>
    </row>
    <row r="850" spans="1:97" ht="69.900000000000006" customHeight="1">
      <c r="A850">
        <f>IF(OR($B850&lt;&gt;"Yes",$BS850=""),"",SUMPRODUCT(($B$500:$B$923="Yes")*ISNUMBER($BS$500:$BS$923)*($BS$500:$BS$923&gt;$BS850))+COUNTIFS($B$500:$B850,"Yes",$BS$500:$BS850,$BS850))</f>
        <v>257</v>
      </c>
      <c r="B850" t="str">
        <f t="shared" si="187"/>
        <v>Yes</v>
      </c>
      <c r="C850" t="s">
        <v>2824</v>
      </c>
      <c r="D850" t="s">
        <v>2835</v>
      </c>
      <c r="E850" t="s">
        <v>2890</v>
      </c>
      <c r="F850" t="s">
        <v>4418</v>
      </c>
      <c r="G850" t="str">
        <f>IF($H850="","",IFERROR(INDEX(_ENGINE_Risk!$H$5:$M$499,MATCH($E850,_ENGINE_Risk!$A$5:$A$499,0),$H850+1),""))</f>
        <v>Severe risk: backup and recovery for critical datasets, warehouses, BI content and analytics code is not reliably controlled. During Decision failure; Data loss; Regulatory/legal shock, the organization may face poor decisions, unreliable reporting, data quality problems and unsafe or ineffective AI usage with limited visibility or accountability.</v>
      </c>
      <c r="H850">
        <f>IFERROR(VALUE(INDEX(_DATA_Assessment_Model!$H$5:$H$884,MATCH($E850,_DATA_Assessment_Model!$A$5:$A$884,0))),"")</f>
        <v>0</v>
      </c>
      <c r="I850" t="str">
        <f>IF($H850="","",IFERROR(INDEX(_DATA_Assessment_Model!$L$5:$L$884,MATCH($E850,_DATA_Assessment_Model!$A$5:$A$884,0)),IF($H850&lt;=1,"Critical",IF($H850=2,"High",IF($H850=3,"Medium",IF($H850=4,"Low","Resilient"))))))</f>
        <v>Critical</v>
      </c>
      <c r="J850">
        <f t="shared" si="188"/>
        <v>3.5</v>
      </c>
      <c r="K850">
        <f t="shared" si="189"/>
        <v>4.5</v>
      </c>
      <c r="L850">
        <f t="shared" si="190"/>
        <v>15.75</v>
      </c>
      <c r="M850">
        <f t="shared" si="191"/>
        <v>4</v>
      </c>
      <c r="N850">
        <f>IF($H850="","",IFERROR(INDEX(_ENGINE_Risk!$T$5:$Y$499,MATCH($E850,_ENGINE_Risk!$A$5:$A$499,0),$H850+1),""))</f>
        <v>4</v>
      </c>
      <c r="O850">
        <f t="shared" si="192"/>
        <v>5</v>
      </c>
      <c r="P850">
        <f t="shared" si="193"/>
        <v>5</v>
      </c>
      <c r="Q850">
        <f t="shared" si="194"/>
        <v>5</v>
      </c>
      <c r="R850">
        <f t="shared" si="195"/>
        <v>5</v>
      </c>
      <c r="S850">
        <f t="shared" si="196"/>
        <v>1.25</v>
      </c>
      <c r="T850" t="str">
        <f>IF($H850="","",IFERROR(INDEX(_ENGINE_Risk!$N$5:$S$499,MATCH($E850,_ENGINE_Risk!$A$5:$A$499,0),$H850+1),""))</f>
        <v>Create an immediate risk owner, minimum control baseline and fallback procedure for backup and recovery for critical datasets, warehouses, BI content and analytics code. Add it to the crisis risk register and collect first evidence.</v>
      </c>
      <c r="U850">
        <f>IFERROR(INDEX(_DATA_Assessment_Model!$G$5:$G$884,MATCH($E850,_DATA_Assessment_Model!$A$5:$A$884,0)),"")</f>
        <v>5</v>
      </c>
      <c r="V850">
        <f>IFERROR(INDEX(_DATA_Assessment_Model!$W$5:$W$884,MATCH($E850,_DATA_Assessment_Model!$A$5:$A$884,0)),"")</f>
        <v>5</v>
      </c>
      <c r="W850">
        <f>IFERROR(INDEX(_DATA_Assessment_Model!$X$5:$X$884,MATCH($E850,_DATA_Assessment_Model!$A$5:$A$884,0)),"")</f>
        <v>5</v>
      </c>
      <c r="X850">
        <f>IFERROR(INDEX(_DATA_Assessment_Model!$Y$5:$Y$884,MATCH($E850,_DATA_Assessment_Model!$A$5:$A$884,0)),"")</f>
        <v>5</v>
      </c>
      <c r="Y850" t="s">
        <v>2831</v>
      </c>
      <c r="Z850" t="s">
        <v>9432</v>
      </c>
      <c r="AA850" t="s">
        <v>2892</v>
      </c>
      <c r="AB850">
        <f>IFERROR(INDEX(_DATA_Assessment_Model!$U$5:$U$884,MATCH($E850,_DATA_Assessment_Model!$A$5:$A$884,0)),"")</f>
        <v>0</v>
      </c>
      <c r="AF850" t="s">
        <v>2891</v>
      </c>
      <c r="AO850">
        <f>IF($B850="Yes",IF(IFERROR(INDEX(_ENGINE_Crisis!$F$501:$F$517,MATCH($C850,_ENGINE_Crisis!$A$501:$A$517,0)),1)=0,1,IFERROR(INDEX(_ENGINE_Crisis!$F$501:$F$517,MATCH($C850,_ENGINE_Crisis!$A$501:$A$517,0)),1)),"")</f>
        <v>1</v>
      </c>
      <c r="AP850">
        <f t="shared" si="197"/>
        <v>15.8</v>
      </c>
      <c r="AQ850">
        <f t="shared" si="198"/>
        <v>1.25</v>
      </c>
      <c r="AR850" t="str">
        <f>IFERROR(INDEX(_ENGINE_Crisis!$E$41:$E$700,MATCH('Resilience &amp; Risk Scenario'!$B$6&amp;"|"&amp;$C850,_ENGINE_Crisis!$I$41:$I$700,0)),"")</f>
        <v/>
      </c>
      <c r="AS850" t="str">
        <f>IFERROR(INDEX(_ENGINE_Crisis!$G$41:$G$700,MATCH('Resilience &amp; Risk Scenario'!$B$6&amp;"|"&amp;$C850,_ENGINE_Crisis!$I$41:$I$700,0)),"")</f>
        <v/>
      </c>
      <c r="AT850" t="str">
        <f>IFERROR(INDEX(_ENGINE_Initiatives!$A$5:$A$532,MATCH(1,INDEX((_ENGINE_Initiatives!$B$5:$B$532=$C850)*(_ENGINE_Initiatives!$C$5:$C$532=$D850),0),0)),"")</f>
        <v>INI-059</v>
      </c>
      <c r="AU850" t="str">
        <f>IFERROR(INDEX(_ENGINE_Initiatives!$F$5:$F$532,MATCH(1,INDEX((_ENGINE_Initiatives!$B$5:$B$532=$C850)*(_ENGINE_Initiatives!$C$5:$C$532=$D850),0),0)),"")</f>
        <v>Build resilient data architecture, integration and storage foundation</v>
      </c>
      <c r="AV850">
        <f>IFERROR(INDEX(_ENGINE_Initiatives!$AC$5:$AC$532,MATCH(1,INDEX((_ENGINE_Initiatives!$B$5:$B$532=$C850)*(_ENGINE_Initiatives!$C$5:$C$532=$D850),0),0)),"")</f>
        <v>1.3</v>
      </c>
      <c r="AW850" t="str">
        <f>IFERROR(INDEX(_ENGINE_Initiatives!$AE$5:$AE$532,MATCH(1,INDEX((_ENGINE_Initiatives!$B$5:$B$532=$C850)*(_ENGINE_Initiatives!$C$5:$C$532=$D850),0),0)),"")</f>
        <v>12+ months</v>
      </c>
      <c r="AX850">
        <f>IF($B850="Yes",IFERROR((IF(SUMIFS(_REF_Model_Content!$E$1:$E$613,_REF_Model_Content!$A$1:$A$613,PV_Canonical_Industry,_REF_Model_Content!$B$1:$B$613,$C850)=0,1,SUMIFS(_REF_Model_Content!$E$1:$E$613,_REF_Model_Content!$A$1:$A$613,PV_Canonical_Industry,_REF_Model_Content!$B$1:$B$613,$C850))*IFERROR($BU850,1)),1),"")</f>
        <v>1.25</v>
      </c>
      <c r="AY850">
        <f t="shared" si="199"/>
        <v>19.75</v>
      </c>
      <c r="AZ850">
        <f t="shared" si="200"/>
        <v>1.56</v>
      </c>
      <c r="BB850" t="str">
        <f>IF($H850="","",IFERROR(INDEX(_ENGINE_Risk!$AE$5:$AE$499,MATCH($E850,_ENGINE_Risk!$A$5:$A$499,0)),"Medium"))</f>
        <v>Slow</v>
      </c>
      <c r="BC850">
        <f t="shared" si="201"/>
        <v>0.85</v>
      </c>
      <c r="BD850">
        <f t="shared" si="202"/>
        <v>1.56</v>
      </c>
      <c r="BF850">
        <f>IF(OR($H850="",$J850=""),"",IFERROR(VLOOKUP(ROUND($J850,0),_CONFIG_Model_Settings!$D$154:$E$158,2,0),""))</f>
        <v>0.5</v>
      </c>
      <c r="BG850">
        <f>IFERROR(IF(OR($H850="",$K850=""),"",ROUND('Company Profile'!$B$113*INDEX(_CONFIG_Model_Settings!$H$154:$H$158,MATCH(ROUND($K850,0),_CONFIG_Model_Settings!$G$154:$G$158,0)),0)),0)</f>
        <v>1875</v>
      </c>
      <c r="BH850">
        <f t="shared" si="203"/>
        <v>937.5</v>
      </c>
      <c r="BI850">
        <f t="shared" si="204"/>
        <v>937.5</v>
      </c>
      <c r="BJ850">
        <f>IF($E850="","",IFERROR(VLOOKUP($C850,_CONFIG_Risk_Calibration!$A$5:$H$21,2,FALSE),3))</f>
        <v>3</v>
      </c>
      <c r="BK850">
        <f>IF($E850="","",IFERROR(VLOOKUP($C850,_CONFIG_Risk_Calibration!$A$5:$H$21,3,FALSE),0))</f>
        <v>0</v>
      </c>
      <c r="BL850">
        <f>IF($E850="","",IFERROR(VLOOKUP($C850,_CONFIG_Risk_Calibration!$A$5:$H$21,4,FALSE),3))</f>
        <v>3</v>
      </c>
      <c r="BM850">
        <f>IF($E850="","",IFERROR(VLOOKUP($C850,_CONFIG_Risk_Calibration!$A$5:$H$21,5,FALSE),3))</f>
        <v>3</v>
      </c>
      <c r="BN850" t="str">
        <f>IF($E850="","",IFERROR(VLOOKUP($C850,_CONFIG_Risk_Calibration!$A$5:$H$21,6,FALSE),"No"))</f>
        <v>No</v>
      </c>
      <c r="BO850">
        <f>IF($E850="","",IFERROR(VLOOKUP($C850,_CONFIG_Risk_Calibration!$A$5:$H$21,7,FALSE),1))</f>
        <v>1</v>
      </c>
      <c r="BP850">
        <f>IF($H850="","",MAX(1,MIN(5,((6-$H850)*0.45)+($BJ850*0.2)+('Resilience &amp; Risk Scenario'!$B$7*0.15)+($BK850*0.1)+($BL850*0.05)+(IF($BB850="Fast",5,IF($BB850="Slow",1,3))*0.05))))</f>
        <v>3.5</v>
      </c>
      <c r="BQ850">
        <f t="shared" si="205"/>
        <v>4.5</v>
      </c>
      <c r="BR850">
        <f t="shared" si="206"/>
        <v>15.75</v>
      </c>
      <c r="BS850">
        <f t="shared" si="207"/>
        <v>16.73</v>
      </c>
      <c r="BT850" t="str">
        <f>IFERROR(INDEX(_REF_Capability_Bridge!$D:$D,MATCH($C850&amp;"|"&amp;$D850,_REF_Capability_Bridge!$J:$J,0)),IFERROR(INDEX(_REF_Capability_Bridge!$D:$D,MATCH($C850&amp;"|",_REF_Capability_Bridge!$J:$J,0)),"CAP_GENERIC"))</f>
        <v>CAP_DATA_GOVERNANCE</v>
      </c>
      <c r="BU850">
        <f>IFERROR(IFERROR(INDEX(_ENGINE_Relevance!$L:$L,MATCH($BT850,_ENGINE_Relevance!$B:$B,0)),1),1)</f>
        <v>1.25</v>
      </c>
      <c r="BV850" t="str">
        <f>IFERROR(INDEX(_REF_Capability_Bridge!$A:$A,MATCH($C850&amp;"|"&amp;$D850,_REF_Capability_Bridge!$J:$J,0)),IFERROR(INDEX(_REF_Capability_Bridge!$A:$A,MATCH($C850&amp;"|",_REF_Capability_Bridge!$J:$J,0)),"No bridge"))</f>
        <v>BRG-021</v>
      </c>
      <c r="BW850" t="str">
        <f t="shared" si="208"/>
        <v>Capability relevance increases risk priority</v>
      </c>
      <c r="BX850" t="str">
        <f t="shared" si="209"/>
        <v>Initial / absent</v>
      </c>
      <c r="BY850" t="str">
        <f>IF($E850="","",IFERROR(INDEX(_REF_Treatment_Library!$A$2:$A$296,MATCH(1,INDEX((_REF_Treatment_Library!$B$2:$B$296=$BT850)*(_REF_Treatment_Library!$C$2:$C$296=PV_Canonical_Industry)*(_REF_Treatment_Library!$E$2:$E$296&lt;=N($H850))*(_REF_Treatment_Library!$F$2:$F$296&gt;=N($H850))*(_REF_Treatment_Library!$O$2:$O$296="Yes"),0),0)),IFERROR(INDEX(_REF_Treatment_Library!$A$2:$A$296,MATCH(1,INDEX((_REF_Treatment_Library!$B$2:$B$296=$BT850)*(_REF_Treatment_Library!$C$2:$C$296="All")*(_REF_Treatment_Library!$E$2:$E$296&lt;=N($H850))*(_REF_Treatment_Library!$F$2:$F$296&gt;=N($H850))*(_REF_Treatment_Library!$O$2:$O$296="Yes"),0),0)),"")))</f>
        <v>TRT-DATA_GOVERNANCE-INITIAL</v>
      </c>
      <c r="BZ850" t="str">
        <f>IF($BY850="","",IFERROR(INDEX(_REF_Treatment_Library!$H$2:$H$296,MATCH($BY850,_REF_Treatment_Library!$A$2:$A$296,0)),""))</f>
        <v>Establish</v>
      </c>
      <c r="CA850" t="str">
        <f>IF($BY850="","",IFERROR(INDEX(_REF_Treatment_Library!$I$2:$I$296,MATCH($BY850,_REF_Treatment_Library!$A$2:$A$296,0)),""))</f>
        <v>Establish baseline controls for Data governance</v>
      </c>
      <c r="CB850" t="str">
        <f>IF($BY850="","",IFERROR(INDEX(_REF_Treatment_Library!$K$2:$K$296,MATCH($BY850,_REF_Treatment_Library!$A$2:$A$296,0)),""))</f>
        <v>Named owner, baseline process, minimum control checklist, first evidence package</v>
      </c>
      <c r="CC850" t="str">
        <f>IF($BY850="","",IFERROR(INDEX(_REF_Treatment_Library!$L$2:$L$296,MATCH($BY850,_REF_Treatment_Library!$A$2:$A$296,0)),""))</f>
        <v>Owner assigned; baseline evidence coverage; open critical gaps</v>
      </c>
      <c r="CD850" t="str">
        <f t="shared" si="210"/>
        <v>Treatment by capability=CAP_DATA_GOVERNANCE; band=Initial / absent; score=0.0; treatment=Establish</v>
      </c>
      <c r="CE850" t="str">
        <f>IF($E850="","",IFERROR(INDEX(_REF_Industry_Wording!$A$2:$A$70,MATCH(1,INDEX((_REF_Industry_Wording!$B$2:$B$70=$BT850)*(_REF_Industry_Wording!$C$2:$C$70=PV_Canonical_Industry)*(_REF_Industry_Wording!$K$2:$K$70="Yes"),0),0)),IFERROR(INDEX(_REF_Industry_Wording!$A$2:$A$70,MATCH(1,INDEX((_REF_Industry_Wording!$B$2:$B$70=$BT850)*(_REF_Industry_Wording!$C$2:$C$70="All")*(_REF_Industry_Wording!$K$2:$K$70="Yes"),0),0)),"")))</f>
        <v>IW-ALL-DATA_GOVERNANCE</v>
      </c>
      <c r="CF850" t="str">
        <f>IF($CE850="","",IFERROR(INDEX(_REF_Industry_Wording!$E$2:$E$70,MATCH($CE850,_REF_Industry_Wording!$A$2:$A$70,0)),""))</f>
        <v>Data governance weakness</v>
      </c>
      <c r="CG850" t="str">
        <f>IF($CE850="","",IFERROR(INDEX(_REF_Industry_Wording!$F$2:$F$70,MATCH($CE850,_REF_Industry_Wording!$A$2:$A$70,0)),""))</f>
        <v>Strengthen Data governance</v>
      </c>
      <c r="CH850" t="str">
        <f>IF($CE850="","",IFERROR(INDEX(_REF_Industry_Wording!$G$2:$G$70,MATCH($CE850,_REF_Industry_Wording!$A$2:$A$70,0)),""))</f>
        <v>Strengthen Data governance using the selected maturity treatment, crisis scenario and evidence requirements.</v>
      </c>
      <c r="CI850" t="str">
        <f>IF($CE850="","",IFERROR(INDEX(_REF_Industry_Wording!$H$2:$H$70,MATCH($CE850,_REF_Industry_Wording!$A$2:$A$70,0)),""))</f>
        <v>Data governance</v>
      </c>
      <c r="CJ850">
        <f>IF($CE850="","",IFERROR(INDEX(_REF_Industry_Wording!$I$2:$I$70,MATCH($CE850,_REF_Industry_Wording!$A$2:$A$70,0)),""))</f>
        <v>0</v>
      </c>
      <c r="CK850" t="str">
        <f>IF($CE850="","",IFERROR(INDEX(_REF_Industry_Wording!$J$2:$J$70,MATCH($CE850,_REF_Industry_Wording!$A$2:$A$70,0)),""))</f>
        <v>Data governance</v>
      </c>
      <c r="CL850" t="str">
        <f t="shared" si="211"/>
        <v>Wording by industry=0; capability=CAP_DATA_GOVERNANCE; risk label=Data governance weakness</v>
      </c>
      <c r="CM850" t="str">
        <f t="shared" si="212"/>
        <v>RISK-ONT-0351</v>
      </c>
      <c r="CN850" t="str">
        <f t="shared" si="213"/>
        <v>RISK-EVT-0351</v>
      </c>
      <c r="CO850" t="str">
        <f t="shared" si="214"/>
        <v>Data BI AI|Data architecture|DATA-010|CAP_DATA_GOVERNANCE</v>
      </c>
      <c r="CP850" t="str">
        <f t="shared" si="215"/>
        <v>Active</v>
      </c>
      <c r="CQ850" t="str">
        <f t="shared" si="216"/>
        <v>OK: capability-driven</v>
      </c>
      <c r="CR850" t="str">
        <f t="shared" si="217"/>
        <v>Risk ontology uses capability=CAP_DATA_GOVERNANCE; bridge=BRG-021; treatment=TRT-DATA_GOVERNANCE-INITIAL; wording=IW-ALL-DATA_GOVERNANCE</v>
      </c>
      <c r="CS850" t="str">
        <f t="shared" si="218"/>
        <v>Yes</v>
      </c>
    </row>
    <row r="851" spans="1:97" ht="69.900000000000006" customHeight="1">
      <c r="A851">
        <f>IF(OR($B851&lt;&gt;"Yes",$BS851=""),"",SUMPRODUCT(($B$500:$B$923="Yes")*ISNUMBER($BS$500:$BS$923)*($BS$500:$BS$923&gt;$BS851))+COUNTIFS($B$500:$B851,"Yes",$BS$500:$BS851,$BS851))</f>
        <v>300</v>
      </c>
      <c r="B851" t="str">
        <f t="shared" si="187"/>
        <v>Yes</v>
      </c>
      <c r="C851" t="s">
        <v>2824</v>
      </c>
      <c r="D851" t="s">
        <v>2835</v>
      </c>
      <c r="E851" t="s">
        <v>2893</v>
      </c>
      <c r="F851" t="s">
        <v>4418</v>
      </c>
      <c r="G851" t="str">
        <f>IF($H851="","",IFERROR(INDEX(_ENGINE_Risk!$H$5:$M$499,MATCH($E851,_ENGINE_Risk!$A$5:$A$499,0),$H851+1),""))</f>
        <v>Severe risk: retention and deletion rules for structured and unstructured data is not reliably controlled. During Decision failure; Data loss; Regulatory/legal shock, the organization may face poor decisions, unreliable reporting, data quality problems and unsafe or ineffective AI usage with limited visibility or accountability.</v>
      </c>
      <c r="H851">
        <f>IFERROR(VALUE(INDEX(_DATA_Assessment_Model!$H$5:$H$884,MATCH($E851,_DATA_Assessment_Model!$A$5:$A$884,0))),"")</f>
        <v>0</v>
      </c>
      <c r="I851" t="str">
        <f>IF($H851="","",IFERROR(INDEX(_DATA_Assessment_Model!$L$5:$L$884,MATCH($E851,_DATA_Assessment_Model!$A$5:$A$884,0)),IF($H851&lt;=1,"Critical",IF($H851=2,"High",IF($H851=3,"Medium",IF($H851=4,"Low","Resilient"))))))</f>
        <v>Critical</v>
      </c>
      <c r="J851">
        <f t="shared" si="188"/>
        <v>3.5</v>
      </c>
      <c r="K851">
        <f t="shared" si="189"/>
        <v>4.3</v>
      </c>
      <c r="L851">
        <f t="shared" si="190"/>
        <v>15.049999999999999</v>
      </c>
      <c r="M851">
        <f t="shared" si="191"/>
        <v>4</v>
      </c>
      <c r="N851">
        <f>IF($H851="","",IFERROR(INDEX(_ENGINE_Risk!$T$5:$Y$499,MATCH($E851,_ENGINE_Risk!$A$5:$A$499,0),$H851+1),""))</f>
        <v>4</v>
      </c>
      <c r="O851">
        <f t="shared" si="192"/>
        <v>4.666666666666667</v>
      </c>
      <c r="P851">
        <f t="shared" si="193"/>
        <v>5</v>
      </c>
      <c r="Q851">
        <f t="shared" si="194"/>
        <v>5</v>
      </c>
      <c r="R851">
        <f t="shared" si="195"/>
        <v>5</v>
      </c>
      <c r="S851">
        <f t="shared" si="196"/>
        <v>1.23</v>
      </c>
      <c r="T851" t="str">
        <f>IF($H851="","",IFERROR(INDEX(_ENGINE_Risk!$N$5:$S$499,MATCH($E851,_ENGINE_Risk!$A$5:$A$499,0),$H851+1),""))</f>
        <v>Create an immediate risk owner, minimum control baseline and fallback procedure for retention and deletion rules for structured and unstructured data. Add it to the crisis risk register and collect first evidence.</v>
      </c>
      <c r="U851">
        <f>IFERROR(INDEX(_DATA_Assessment_Model!$G$5:$G$884,MATCH($E851,_DATA_Assessment_Model!$A$5:$A$884,0)),"")</f>
        <v>4</v>
      </c>
      <c r="V851">
        <f>IFERROR(INDEX(_DATA_Assessment_Model!$W$5:$W$884,MATCH($E851,_DATA_Assessment_Model!$A$5:$A$884,0)),"")</f>
        <v>5</v>
      </c>
      <c r="W851">
        <f>IFERROR(INDEX(_DATA_Assessment_Model!$X$5:$X$884,MATCH($E851,_DATA_Assessment_Model!$A$5:$A$884,0)),"")</f>
        <v>5</v>
      </c>
      <c r="X851">
        <f>IFERROR(INDEX(_DATA_Assessment_Model!$Y$5:$Y$884,MATCH($E851,_DATA_Assessment_Model!$A$5:$A$884,0)),"")</f>
        <v>5</v>
      </c>
      <c r="Y851" t="s">
        <v>2831</v>
      </c>
      <c r="Z851" t="s">
        <v>9432</v>
      </c>
      <c r="AA851" t="s">
        <v>2895</v>
      </c>
      <c r="AB851">
        <f>IFERROR(INDEX(_DATA_Assessment_Model!$U$5:$U$884,MATCH($E851,_DATA_Assessment_Model!$A$5:$A$884,0)),"")</f>
        <v>0</v>
      </c>
      <c r="AF851" t="s">
        <v>2894</v>
      </c>
      <c r="AO851">
        <f>IF($B851="Yes",IF(IFERROR(INDEX(_ENGINE_Crisis!$F$501:$F$517,MATCH($C851,_ENGINE_Crisis!$A$501:$A$517,0)),1)=0,1,IFERROR(INDEX(_ENGINE_Crisis!$F$501:$F$517,MATCH($C851,_ENGINE_Crisis!$A$501:$A$517,0)),1)),"")</f>
        <v>1</v>
      </c>
      <c r="AP851">
        <f t="shared" si="197"/>
        <v>15.1</v>
      </c>
      <c r="AQ851">
        <f t="shared" si="198"/>
        <v>1.23</v>
      </c>
      <c r="AR851" t="str">
        <f>IFERROR(INDEX(_ENGINE_Crisis!$E$41:$E$700,MATCH('Resilience &amp; Risk Scenario'!$B$6&amp;"|"&amp;$C851,_ENGINE_Crisis!$I$41:$I$700,0)),"")</f>
        <v/>
      </c>
      <c r="AS851" t="str">
        <f>IFERROR(INDEX(_ENGINE_Crisis!$G$41:$G$700,MATCH('Resilience &amp; Risk Scenario'!$B$6&amp;"|"&amp;$C851,_ENGINE_Crisis!$I$41:$I$700,0)),"")</f>
        <v/>
      </c>
      <c r="AT851" t="str">
        <f>IFERROR(INDEX(_ENGINE_Initiatives!$A$5:$A$532,MATCH(1,INDEX((_ENGINE_Initiatives!$B$5:$B$532=$C851)*(_ENGINE_Initiatives!$C$5:$C$532=$D851),0),0)),"")</f>
        <v>INI-059</v>
      </c>
      <c r="AU851" t="str">
        <f>IFERROR(INDEX(_ENGINE_Initiatives!$F$5:$F$532,MATCH(1,INDEX((_ENGINE_Initiatives!$B$5:$B$532=$C851)*(_ENGINE_Initiatives!$C$5:$C$532=$D851),0),0)),"")</f>
        <v>Build resilient data architecture, integration and storage foundation</v>
      </c>
      <c r="AV851">
        <f>IFERROR(INDEX(_ENGINE_Initiatives!$AC$5:$AC$532,MATCH(1,INDEX((_ENGINE_Initiatives!$B$5:$B$532=$C851)*(_ENGINE_Initiatives!$C$5:$C$532=$D851),0),0)),"")</f>
        <v>1.3</v>
      </c>
      <c r="AW851" t="str">
        <f>IFERROR(INDEX(_ENGINE_Initiatives!$AE$5:$AE$532,MATCH(1,INDEX((_ENGINE_Initiatives!$B$5:$B$532=$C851)*(_ENGINE_Initiatives!$C$5:$C$532=$D851),0),0)),"")</f>
        <v>12+ months</v>
      </c>
      <c r="AX851">
        <f>IF($B851="Yes",IFERROR((IF(SUMIFS(_REF_Model_Content!$E$1:$E$613,_REF_Model_Content!$A$1:$A$613,PV_Canonical_Industry,_REF_Model_Content!$B$1:$B$613,$C851)=0,1,SUMIFS(_REF_Model_Content!$E$1:$E$613,_REF_Model_Content!$A$1:$A$613,PV_Canonical_Industry,_REF_Model_Content!$B$1:$B$613,$C851))*IFERROR($BU851,1)),1),"")</f>
        <v>1.25</v>
      </c>
      <c r="AY851">
        <f t="shared" si="199"/>
        <v>18.88</v>
      </c>
      <c r="AZ851">
        <f t="shared" si="200"/>
        <v>1.54</v>
      </c>
      <c r="BB851" t="str">
        <f>IF($H851="","",IFERROR(INDEX(_ENGINE_Risk!$AE$5:$AE$499,MATCH($E851,_ENGINE_Risk!$A$5:$A$499,0)),"Medium"))</f>
        <v>Slow</v>
      </c>
      <c r="BC851">
        <f t="shared" si="201"/>
        <v>0.85</v>
      </c>
      <c r="BD851">
        <f t="shared" si="202"/>
        <v>1.54</v>
      </c>
      <c r="BF851">
        <f>IF(OR($H851="",$J851=""),"",IFERROR(VLOOKUP(ROUND($J851,0),_CONFIG_Model_Settings!$D$154:$E$158,2,0),""))</f>
        <v>0.5</v>
      </c>
      <c r="BG851">
        <f>IFERROR(IF(OR($H851="",$K851=""),"",ROUND('Company Profile'!$B$113*INDEX(_CONFIG_Model_Settings!$H$154:$H$158,MATCH(ROUND($K851,0),_CONFIG_Model_Settings!$G$154:$G$158,0)),0)),0)</f>
        <v>875</v>
      </c>
      <c r="BH851">
        <f t="shared" si="203"/>
        <v>437.5</v>
      </c>
      <c r="BI851">
        <f t="shared" si="204"/>
        <v>437.5</v>
      </c>
      <c r="BJ851">
        <f>IF($E851="","",IFERROR(VLOOKUP($C851,_CONFIG_Risk_Calibration!$A$5:$H$21,2,FALSE),3))</f>
        <v>3</v>
      </c>
      <c r="BK851">
        <f>IF($E851="","",IFERROR(VLOOKUP($C851,_CONFIG_Risk_Calibration!$A$5:$H$21,3,FALSE),0))</f>
        <v>0</v>
      </c>
      <c r="BL851">
        <f>IF($E851="","",IFERROR(VLOOKUP($C851,_CONFIG_Risk_Calibration!$A$5:$H$21,4,FALSE),3))</f>
        <v>3</v>
      </c>
      <c r="BM851">
        <f>IF($E851="","",IFERROR(VLOOKUP($C851,_CONFIG_Risk_Calibration!$A$5:$H$21,5,FALSE),3))</f>
        <v>3</v>
      </c>
      <c r="BN851" t="str">
        <f>IF($E851="","",IFERROR(VLOOKUP($C851,_CONFIG_Risk_Calibration!$A$5:$H$21,6,FALSE),"No"))</f>
        <v>No</v>
      </c>
      <c r="BO851">
        <f>IF($E851="","",IFERROR(VLOOKUP($C851,_CONFIG_Risk_Calibration!$A$5:$H$21,7,FALSE),1))</f>
        <v>1</v>
      </c>
      <c r="BP851">
        <f>IF($H851="","",MAX(1,MIN(5,((6-$H851)*0.45)+($BJ851*0.2)+('Resilience &amp; Risk Scenario'!$B$7*0.15)+($BK851*0.1)+($BL851*0.05)+(IF($BB851="Fast",5,IF($BB851="Slow",1,3))*0.05))))</f>
        <v>3.5</v>
      </c>
      <c r="BQ851">
        <f t="shared" si="205"/>
        <v>4.3</v>
      </c>
      <c r="BR851">
        <f t="shared" si="206"/>
        <v>15.05</v>
      </c>
      <c r="BS851">
        <f t="shared" si="207"/>
        <v>15.99</v>
      </c>
      <c r="BT851" t="str">
        <f>IFERROR(INDEX(_REF_Capability_Bridge!$D:$D,MATCH($C851&amp;"|"&amp;$D851,_REF_Capability_Bridge!$J:$J,0)),IFERROR(INDEX(_REF_Capability_Bridge!$D:$D,MATCH($C851&amp;"|",_REF_Capability_Bridge!$J:$J,0)),"CAP_GENERIC"))</f>
        <v>CAP_DATA_GOVERNANCE</v>
      </c>
      <c r="BU851">
        <f>IFERROR(IFERROR(INDEX(_ENGINE_Relevance!$L:$L,MATCH($BT851,_ENGINE_Relevance!$B:$B,0)),1),1)</f>
        <v>1.25</v>
      </c>
      <c r="BV851" t="str">
        <f>IFERROR(INDEX(_REF_Capability_Bridge!$A:$A,MATCH($C851&amp;"|"&amp;$D851,_REF_Capability_Bridge!$J:$J,0)),IFERROR(INDEX(_REF_Capability_Bridge!$A:$A,MATCH($C851&amp;"|",_REF_Capability_Bridge!$J:$J,0)),"No bridge"))</f>
        <v>BRG-021</v>
      </c>
      <c r="BW851" t="str">
        <f t="shared" si="208"/>
        <v>Capability relevance increases risk priority</v>
      </c>
      <c r="BX851" t="str">
        <f t="shared" si="209"/>
        <v>Initial / absent</v>
      </c>
      <c r="BY851" t="str">
        <f>IF($E851="","",IFERROR(INDEX(_REF_Treatment_Library!$A$2:$A$296,MATCH(1,INDEX((_REF_Treatment_Library!$B$2:$B$296=$BT851)*(_REF_Treatment_Library!$C$2:$C$296=PV_Canonical_Industry)*(_REF_Treatment_Library!$E$2:$E$296&lt;=N($H851))*(_REF_Treatment_Library!$F$2:$F$296&gt;=N($H851))*(_REF_Treatment_Library!$O$2:$O$296="Yes"),0),0)),IFERROR(INDEX(_REF_Treatment_Library!$A$2:$A$296,MATCH(1,INDEX((_REF_Treatment_Library!$B$2:$B$296=$BT851)*(_REF_Treatment_Library!$C$2:$C$296="All")*(_REF_Treatment_Library!$E$2:$E$296&lt;=N($H851))*(_REF_Treatment_Library!$F$2:$F$296&gt;=N($H851))*(_REF_Treatment_Library!$O$2:$O$296="Yes"),0),0)),"")))</f>
        <v>TRT-DATA_GOVERNANCE-INITIAL</v>
      </c>
      <c r="BZ851" t="str">
        <f>IF($BY851="","",IFERROR(INDEX(_REF_Treatment_Library!$H$2:$H$296,MATCH($BY851,_REF_Treatment_Library!$A$2:$A$296,0)),""))</f>
        <v>Establish</v>
      </c>
      <c r="CA851" t="str">
        <f>IF($BY851="","",IFERROR(INDEX(_REF_Treatment_Library!$I$2:$I$296,MATCH($BY851,_REF_Treatment_Library!$A$2:$A$296,0)),""))</f>
        <v>Establish baseline controls for Data governance</v>
      </c>
      <c r="CB851" t="str">
        <f>IF($BY851="","",IFERROR(INDEX(_REF_Treatment_Library!$K$2:$K$296,MATCH($BY851,_REF_Treatment_Library!$A$2:$A$296,0)),""))</f>
        <v>Named owner, baseline process, minimum control checklist, first evidence package</v>
      </c>
      <c r="CC851" t="str">
        <f>IF($BY851="","",IFERROR(INDEX(_REF_Treatment_Library!$L$2:$L$296,MATCH($BY851,_REF_Treatment_Library!$A$2:$A$296,0)),""))</f>
        <v>Owner assigned; baseline evidence coverage; open critical gaps</v>
      </c>
      <c r="CD851" t="str">
        <f t="shared" si="210"/>
        <v>Treatment by capability=CAP_DATA_GOVERNANCE; band=Initial / absent; score=0.0; treatment=Establish</v>
      </c>
      <c r="CE851" t="str">
        <f>IF($E851="","",IFERROR(INDEX(_REF_Industry_Wording!$A$2:$A$70,MATCH(1,INDEX((_REF_Industry_Wording!$B$2:$B$70=$BT851)*(_REF_Industry_Wording!$C$2:$C$70=PV_Canonical_Industry)*(_REF_Industry_Wording!$K$2:$K$70="Yes"),0),0)),IFERROR(INDEX(_REF_Industry_Wording!$A$2:$A$70,MATCH(1,INDEX((_REF_Industry_Wording!$B$2:$B$70=$BT851)*(_REF_Industry_Wording!$C$2:$C$70="All")*(_REF_Industry_Wording!$K$2:$K$70="Yes"),0),0)),"")))</f>
        <v>IW-ALL-DATA_GOVERNANCE</v>
      </c>
      <c r="CF851" t="str">
        <f>IF($CE851="","",IFERROR(INDEX(_REF_Industry_Wording!$E$2:$E$70,MATCH($CE851,_REF_Industry_Wording!$A$2:$A$70,0)),""))</f>
        <v>Data governance weakness</v>
      </c>
      <c r="CG851" t="str">
        <f>IF($CE851="","",IFERROR(INDEX(_REF_Industry_Wording!$F$2:$F$70,MATCH($CE851,_REF_Industry_Wording!$A$2:$A$70,0)),""))</f>
        <v>Strengthen Data governance</v>
      </c>
      <c r="CH851" t="str">
        <f>IF($CE851="","",IFERROR(INDEX(_REF_Industry_Wording!$G$2:$G$70,MATCH($CE851,_REF_Industry_Wording!$A$2:$A$70,0)),""))</f>
        <v>Strengthen Data governance using the selected maturity treatment, crisis scenario and evidence requirements.</v>
      </c>
      <c r="CI851" t="str">
        <f>IF($CE851="","",IFERROR(INDEX(_REF_Industry_Wording!$H$2:$H$70,MATCH($CE851,_REF_Industry_Wording!$A$2:$A$70,0)),""))</f>
        <v>Data governance</v>
      </c>
      <c r="CJ851">
        <f>IF($CE851="","",IFERROR(INDEX(_REF_Industry_Wording!$I$2:$I$70,MATCH($CE851,_REF_Industry_Wording!$A$2:$A$70,0)),""))</f>
        <v>0</v>
      </c>
      <c r="CK851" t="str">
        <f>IF($CE851="","",IFERROR(INDEX(_REF_Industry_Wording!$J$2:$J$70,MATCH($CE851,_REF_Industry_Wording!$A$2:$A$70,0)),""))</f>
        <v>Data governance</v>
      </c>
      <c r="CL851" t="str">
        <f t="shared" si="211"/>
        <v>Wording by industry=0; capability=CAP_DATA_GOVERNANCE; risk label=Data governance weakness</v>
      </c>
      <c r="CM851" t="str">
        <f t="shared" si="212"/>
        <v>RISK-ONT-0352</v>
      </c>
      <c r="CN851" t="str">
        <f t="shared" si="213"/>
        <v>RISK-EVT-0352</v>
      </c>
      <c r="CO851" t="str">
        <f t="shared" si="214"/>
        <v>Data BI AI|Data architecture|DATA-011|CAP_DATA_GOVERNANCE</v>
      </c>
      <c r="CP851" t="str">
        <f t="shared" si="215"/>
        <v>Active</v>
      </c>
      <c r="CQ851" t="str">
        <f t="shared" si="216"/>
        <v>OK: capability-driven</v>
      </c>
      <c r="CR851" t="str">
        <f t="shared" si="217"/>
        <v>Risk ontology uses capability=CAP_DATA_GOVERNANCE; bridge=BRG-021; treatment=TRT-DATA_GOVERNANCE-INITIAL; wording=IW-ALL-DATA_GOVERNANCE</v>
      </c>
      <c r="CS851" t="str">
        <f t="shared" si="218"/>
        <v>Yes</v>
      </c>
    </row>
    <row r="852" spans="1:97" ht="69.900000000000006" customHeight="1">
      <c r="A852">
        <f>IF(OR($B852&lt;&gt;"Yes",$BS852=""),"",SUMPRODUCT(($B$500:$B$923="Yes")*ISNUMBER($BS$500:$BS$923)*($BS$500:$BS$923&gt;$BS852))+COUNTIFS($B$500:$B852,"Yes",$BS$500:$BS852,$BS852))</f>
        <v>258</v>
      </c>
      <c r="B852" t="str">
        <f t="shared" si="187"/>
        <v>Yes</v>
      </c>
      <c r="C852" t="s">
        <v>2824</v>
      </c>
      <c r="D852" t="s">
        <v>2835</v>
      </c>
      <c r="E852" t="s">
        <v>2902</v>
      </c>
      <c r="F852" t="s">
        <v>4418</v>
      </c>
      <c r="G852" t="str">
        <f>IF($H852="","",IFERROR(INDEX(_ENGINE_Risk!$H$5:$M$499,MATCH($E852,_ENGINE_Risk!$A$5:$A$499,0),$H852+1),""))</f>
        <v>Severe risk: external data source validation for quality, licensing, availability and continuity is not reliably controlled. During Decision failure; Data loss; Regulatory/legal shock, the organization may face poor decisions, unreliable reporting, data quality problems and unsafe or ineffective AI usage with limited visibility or accountability.</v>
      </c>
      <c r="H852">
        <f>IFERROR(VALUE(INDEX(_DATA_Assessment_Model!$H$5:$H$884,MATCH($E852,_DATA_Assessment_Model!$A$5:$A$884,0))),"")</f>
        <v>0</v>
      </c>
      <c r="I852" t="str">
        <f>IF($H852="","",IFERROR(INDEX(_DATA_Assessment_Model!$L$5:$L$884,MATCH($E852,_DATA_Assessment_Model!$A$5:$A$884,0)),IF($H852&lt;=1,"Critical",IF($H852=2,"High",IF($H852=3,"Medium",IF($H852=4,"Low","Resilient"))))))</f>
        <v>Critical</v>
      </c>
      <c r="J852">
        <f t="shared" si="188"/>
        <v>3.5</v>
      </c>
      <c r="K852">
        <f t="shared" si="189"/>
        <v>4.5</v>
      </c>
      <c r="L852">
        <f t="shared" si="190"/>
        <v>15.75</v>
      </c>
      <c r="M852">
        <f t="shared" si="191"/>
        <v>4</v>
      </c>
      <c r="N852">
        <f>IF($H852="","",IFERROR(INDEX(_ENGINE_Risk!$T$5:$Y$499,MATCH($E852,_ENGINE_Risk!$A$5:$A$499,0),$H852+1),""))</f>
        <v>4</v>
      </c>
      <c r="O852">
        <f t="shared" si="192"/>
        <v>5</v>
      </c>
      <c r="P852">
        <f t="shared" si="193"/>
        <v>5</v>
      </c>
      <c r="Q852">
        <f t="shared" si="194"/>
        <v>5</v>
      </c>
      <c r="R852">
        <f t="shared" si="195"/>
        <v>5</v>
      </c>
      <c r="S852">
        <f t="shared" si="196"/>
        <v>1.25</v>
      </c>
      <c r="T852" t="str">
        <f>IF($H852="","",IFERROR(INDEX(_ENGINE_Risk!$N$5:$S$499,MATCH($E852,_ENGINE_Risk!$A$5:$A$499,0),$H852+1),""))</f>
        <v>Create an immediate risk owner, minimum control baseline and fallback procedure for external data source validation for quality, licensing, availability and continuity. Add it to the crisis risk register and collect first evidence.</v>
      </c>
      <c r="U852">
        <f>IFERROR(INDEX(_DATA_Assessment_Model!$G$5:$G$884,MATCH($E852,_DATA_Assessment_Model!$A$5:$A$884,0)),"")</f>
        <v>5</v>
      </c>
      <c r="V852">
        <f>IFERROR(INDEX(_DATA_Assessment_Model!$W$5:$W$884,MATCH($E852,_DATA_Assessment_Model!$A$5:$A$884,0)),"")</f>
        <v>5</v>
      </c>
      <c r="W852">
        <f>IFERROR(INDEX(_DATA_Assessment_Model!$X$5:$X$884,MATCH($E852,_DATA_Assessment_Model!$A$5:$A$884,0)),"")</f>
        <v>5</v>
      </c>
      <c r="X852">
        <f>IFERROR(INDEX(_DATA_Assessment_Model!$Y$5:$Y$884,MATCH($E852,_DATA_Assessment_Model!$A$5:$A$884,0)),"")</f>
        <v>5</v>
      </c>
      <c r="Y852" t="s">
        <v>2831</v>
      </c>
      <c r="Z852" t="s">
        <v>9432</v>
      </c>
      <c r="AA852" t="s">
        <v>2904</v>
      </c>
      <c r="AB852">
        <f>IFERROR(INDEX(_DATA_Assessment_Model!$U$5:$U$884,MATCH($E852,_DATA_Assessment_Model!$A$5:$A$884,0)),"")</f>
        <v>0</v>
      </c>
      <c r="AF852" t="s">
        <v>2903</v>
      </c>
      <c r="AO852">
        <f>IF($B852="Yes",IF(IFERROR(INDEX(_ENGINE_Crisis!$F$501:$F$517,MATCH($C852,_ENGINE_Crisis!$A$501:$A$517,0)),1)=0,1,IFERROR(INDEX(_ENGINE_Crisis!$F$501:$F$517,MATCH($C852,_ENGINE_Crisis!$A$501:$A$517,0)),1)),"")</f>
        <v>1</v>
      </c>
      <c r="AP852">
        <f t="shared" si="197"/>
        <v>15.8</v>
      </c>
      <c r="AQ852">
        <f t="shared" si="198"/>
        <v>1.25</v>
      </c>
      <c r="AR852" t="str">
        <f>IFERROR(INDEX(_ENGINE_Crisis!$E$41:$E$700,MATCH('Resilience &amp; Risk Scenario'!$B$6&amp;"|"&amp;$C852,_ENGINE_Crisis!$I$41:$I$700,0)),"")</f>
        <v/>
      </c>
      <c r="AS852" t="str">
        <f>IFERROR(INDEX(_ENGINE_Crisis!$G$41:$G$700,MATCH('Resilience &amp; Risk Scenario'!$B$6&amp;"|"&amp;$C852,_ENGINE_Crisis!$I$41:$I$700,0)),"")</f>
        <v/>
      </c>
      <c r="AT852" t="str">
        <f>IFERROR(INDEX(_ENGINE_Initiatives!$A$5:$A$532,MATCH(1,INDEX((_ENGINE_Initiatives!$B$5:$B$532=$C852)*(_ENGINE_Initiatives!$C$5:$C$532=$D852),0),0)),"")</f>
        <v>INI-059</v>
      </c>
      <c r="AU852" t="str">
        <f>IFERROR(INDEX(_ENGINE_Initiatives!$F$5:$F$532,MATCH(1,INDEX((_ENGINE_Initiatives!$B$5:$B$532=$C852)*(_ENGINE_Initiatives!$C$5:$C$532=$D852),0),0)),"")</f>
        <v>Build resilient data architecture, integration and storage foundation</v>
      </c>
      <c r="AV852">
        <f>IFERROR(INDEX(_ENGINE_Initiatives!$AC$5:$AC$532,MATCH(1,INDEX((_ENGINE_Initiatives!$B$5:$B$532=$C852)*(_ENGINE_Initiatives!$C$5:$C$532=$D852),0),0)),"")</f>
        <v>1.3</v>
      </c>
      <c r="AW852" t="str">
        <f>IFERROR(INDEX(_ENGINE_Initiatives!$AE$5:$AE$532,MATCH(1,INDEX((_ENGINE_Initiatives!$B$5:$B$532=$C852)*(_ENGINE_Initiatives!$C$5:$C$532=$D852),0),0)),"")</f>
        <v>12+ months</v>
      </c>
      <c r="AX852">
        <f>IF($B852="Yes",IFERROR((IF(SUMIFS(_REF_Model_Content!$E$1:$E$613,_REF_Model_Content!$A$1:$A$613,PV_Canonical_Industry,_REF_Model_Content!$B$1:$B$613,$C852)=0,1,SUMIFS(_REF_Model_Content!$E$1:$E$613,_REF_Model_Content!$A$1:$A$613,PV_Canonical_Industry,_REF_Model_Content!$B$1:$B$613,$C852))*IFERROR($BU852,1)),1),"")</f>
        <v>1.25</v>
      </c>
      <c r="AY852">
        <f t="shared" si="199"/>
        <v>19.75</v>
      </c>
      <c r="AZ852">
        <f t="shared" si="200"/>
        <v>1.56</v>
      </c>
      <c r="BB852" t="str">
        <f>IF($H852="","",IFERROR(INDEX(_ENGINE_Risk!$AE$5:$AE$499,MATCH($E852,_ENGINE_Risk!$A$5:$A$499,0)),"Medium"))</f>
        <v>Slow</v>
      </c>
      <c r="BC852">
        <f t="shared" si="201"/>
        <v>0.85</v>
      </c>
      <c r="BD852">
        <f t="shared" si="202"/>
        <v>1.56</v>
      </c>
      <c r="BF852">
        <f>IF(OR($H852="",$J852=""),"",IFERROR(VLOOKUP(ROUND($J852,0),_CONFIG_Model_Settings!$D$154:$E$158,2,0),""))</f>
        <v>0.5</v>
      </c>
      <c r="BG852">
        <f>IFERROR(IF(OR($H852="",$K852=""),"",ROUND('Company Profile'!$B$113*INDEX(_CONFIG_Model_Settings!$H$154:$H$158,MATCH(ROUND($K852,0),_CONFIG_Model_Settings!$G$154:$G$158,0)),0)),0)</f>
        <v>1875</v>
      </c>
      <c r="BH852">
        <f t="shared" si="203"/>
        <v>937.5</v>
      </c>
      <c r="BI852">
        <f t="shared" si="204"/>
        <v>937.5</v>
      </c>
      <c r="BJ852">
        <f>IF($E852="","",IFERROR(VLOOKUP($C852,_CONFIG_Risk_Calibration!$A$5:$H$21,2,FALSE),3))</f>
        <v>3</v>
      </c>
      <c r="BK852">
        <f>IF($E852="","",IFERROR(VLOOKUP($C852,_CONFIG_Risk_Calibration!$A$5:$H$21,3,FALSE),0))</f>
        <v>0</v>
      </c>
      <c r="BL852">
        <f>IF($E852="","",IFERROR(VLOOKUP($C852,_CONFIG_Risk_Calibration!$A$5:$H$21,4,FALSE),3))</f>
        <v>3</v>
      </c>
      <c r="BM852">
        <f>IF($E852="","",IFERROR(VLOOKUP($C852,_CONFIG_Risk_Calibration!$A$5:$H$21,5,FALSE),3))</f>
        <v>3</v>
      </c>
      <c r="BN852" t="str">
        <f>IF($E852="","",IFERROR(VLOOKUP($C852,_CONFIG_Risk_Calibration!$A$5:$H$21,6,FALSE),"No"))</f>
        <v>No</v>
      </c>
      <c r="BO852">
        <f>IF($E852="","",IFERROR(VLOOKUP($C852,_CONFIG_Risk_Calibration!$A$5:$H$21,7,FALSE),1))</f>
        <v>1</v>
      </c>
      <c r="BP852">
        <f>IF($H852="","",MAX(1,MIN(5,((6-$H852)*0.45)+($BJ852*0.2)+('Resilience &amp; Risk Scenario'!$B$7*0.15)+($BK852*0.1)+($BL852*0.05)+(IF($BB852="Fast",5,IF($BB852="Slow",1,3))*0.05))))</f>
        <v>3.5</v>
      </c>
      <c r="BQ852">
        <f t="shared" si="205"/>
        <v>4.5</v>
      </c>
      <c r="BR852">
        <f t="shared" si="206"/>
        <v>15.75</v>
      </c>
      <c r="BS852">
        <f t="shared" si="207"/>
        <v>16.73</v>
      </c>
      <c r="BT852" t="str">
        <f>IFERROR(INDEX(_REF_Capability_Bridge!$D:$D,MATCH($C852&amp;"|"&amp;$D852,_REF_Capability_Bridge!$J:$J,0)),IFERROR(INDEX(_REF_Capability_Bridge!$D:$D,MATCH($C852&amp;"|",_REF_Capability_Bridge!$J:$J,0)),"CAP_GENERIC"))</f>
        <v>CAP_DATA_GOVERNANCE</v>
      </c>
      <c r="BU852">
        <f>IFERROR(IFERROR(INDEX(_ENGINE_Relevance!$L:$L,MATCH($BT852,_ENGINE_Relevance!$B:$B,0)),1),1)</f>
        <v>1.25</v>
      </c>
      <c r="BV852" t="str">
        <f>IFERROR(INDEX(_REF_Capability_Bridge!$A:$A,MATCH($C852&amp;"|"&amp;$D852,_REF_Capability_Bridge!$J:$J,0)),IFERROR(INDEX(_REF_Capability_Bridge!$A:$A,MATCH($C852&amp;"|",_REF_Capability_Bridge!$J:$J,0)),"No bridge"))</f>
        <v>BRG-021</v>
      </c>
      <c r="BW852" t="str">
        <f t="shared" si="208"/>
        <v>Capability relevance increases risk priority</v>
      </c>
      <c r="BX852" t="str">
        <f t="shared" si="209"/>
        <v>Initial / absent</v>
      </c>
      <c r="BY852" t="str">
        <f>IF($E852="","",IFERROR(INDEX(_REF_Treatment_Library!$A$2:$A$296,MATCH(1,INDEX((_REF_Treatment_Library!$B$2:$B$296=$BT852)*(_REF_Treatment_Library!$C$2:$C$296=PV_Canonical_Industry)*(_REF_Treatment_Library!$E$2:$E$296&lt;=N($H852))*(_REF_Treatment_Library!$F$2:$F$296&gt;=N($H852))*(_REF_Treatment_Library!$O$2:$O$296="Yes"),0),0)),IFERROR(INDEX(_REF_Treatment_Library!$A$2:$A$296,MATCH(1,INDEX((_REF_Treatment_Library!$B$2:$B$296=$BT852)*(_REF_Treatment_Library!$C$2:$C$296="All")*(_REF_Treatment_Library!$E$2:$E$296&lt;=N($H852))*(_REF_Treatment_Library!$F$2:$F$296&gt;=N($H852))*(_REF_Treatment_Library!$O$2:$O$296="Yes"),0),0)),"")))</f>
        <v>TRT-DATA_GOVERNANCE-INITIAL</v>
      </c>
      <c r="BZ852" t="str">
        <f>IF($BY852="","",IFERROR(INDEX(_REF_Treatment_Library!$H$2:$H$296,MATCH($BY852,_REF_Treatment_Library!$A$2:$A$296,0)),""))</f>
        <v>Establish</v>
      </c>
      <c r="CA852" t="str">
        <f>IF($BY852="","",IFERROR(INDEX(_REF_Treatment_Library!$I$2:$I$296,MATCH($BY852,_REF_Treatment_Library!$A$2:$A$296,0)),""))</f>
        <v>Establish baseline controls for Data governance</v>
      </c>
      <c r="CB852" t="str">
        <f>IF($BY852="","",IFERROR(INDEX(_REF_Treatment_Library!$K$2:$K$296,MATCH($BY852,_REF_Treatment_Library!$A$2:$A$296,0)),""))</f>
        <v>Named owner, baseline process, minimum control checklist, first evidence package</v>
      </c>
      <c r="CC852" t="str">
        <f>IF($BY852="","",IFERROR(INDEX(_REF_Treatment_Library!$L$2:$L$296,MATCH($BY852,_REF_Treatment_Library!$A$2:$A$296,0)),""))</f>
        <v>Owner assigned; baseline evidence coverage; open critical gaps</v>
      </c>
      <c r="CD852" t="str">
        <f t="shared" si="210"/>
        <v>Treatment by capability=CAP_DATA_GOVERNANCE; band=Initial / absent; score=0.0; treatment=Establish</v>
      </c>
      <c r="CE852" t="str">
        <f>IF($E852="","",IFERROR(INDEX(_REF_Industry_Wording!$A$2:$A$70,MATCH(1,INDEX((_REF_Industry_Wording!$B$2:$B$70=$BT852)*(_REF_Industry_Wording!$C$2:$C$70=PV_Canonical_Industry)*(_REF_Industry_Wording!$K$2:$K$70="Yes"),0),0)),IFERROR(INDEX(_REF_Industry_Wording!$A$2:$A$70,MATCH(1,INDEX((_REF_Industry_Wording!$B$2:$B$70=$BT852)*(_REF_Industry_Wording!$C$2:$C$70="All")*(_REF_Industry_Wording!$K$2:$K$70="Yes"),0),0)),"")))</f>
        <v>IW-ALL-DATA_GOVERNANCE</v>
      </c>
      <c r="CF852" t="str">
        <f>IF($CE852="","",IFERROR(INDEX(_REF_Industry_Wording!$E$2:$E$70,MATCH($CE852,_REF_Industry_Wording!$A$2:$A$70,0)),""))</f>
        <v>Data governance weakness</v>
      </c>
      <c r="CG852" t="str">
        <f>IF($CE852="","",IFERROR(INDEX(_REF_Industry_Wording!$F$2:$F$70,MATCH($CE852,_REF_Industry_Wording!$A$2:$A$70,0)),""))</f>
        <v>Strengthen Data governance</v>
      </c>
      <c r="CH852" t="str">
        <f>IF($CE852="","",IFERROR(INDEX(_REF_Industry_Wording!$G$2:$G$70,MATCH($CE852,_REF_Industry_Wording!$A$2:$A$70,0)),""))</f>
        <v>Strengthen Data governance using the selected maturity treatment, crisis scenario and evidence requirements.</v>
      </c>
      <c r="CI852" t="str">
        <f>IF($CE852="","",IFERROR(INDEX(_REF_Industry_Wording!$H$2:$H$70,MATCH($CE852,_REF_Industry_Wording!$A$2:$A$70,0)),""))</f>
        <v>Data governance</v>
      </c>
      <c r="CJ852">
        <f>IF($CE852="","",IFERROR(INDEX(_REF_Industry_Wording!$I$2:$I$70,MATCH($CE852,_REF_Industry_Wording!$A$2:$A$70,0)),""))</f>
        <v>0</v>
      </c>
      <c r="CK852" t="str">
        <f>IF($CE852="","",IFERROR(INDEX(_REF_Industry_Wording!$J$2:$J$70,MATCH($CE852,_REF_Industry_Wording!$A$2:$A$70,0)),""))</f>
        <v>Data governance</v>
      </c>
      <c r="CL852" t="str">
        <f t="shared" si="211"/>
        <v>Wording by industry=0; capability=CAP_DATA_GOVERNANCE; risk label=Data governance weakness</v>
      </c>
      <c r="CM852" t="str">
        <f t="shared" si="212"/>
        <v>RISK-ONT-0353</v>
      </c>
      <c r="CN852" t="str">
        <f t="shared" si="213"/>
        <v>RISK-EVT-0353</v>
      </c>
      <c r="CO852" t="str">
        <f t="shared" si="214"/>
        <v>Data BI AI|Data architecture|DATA-012|CAP_DATA_GOVERNANCE</v>
      </c>
      <c r="CP852" t="str">
        <f t="shared" si="215"/>
        <v>Active</v>
      </c>
      <c r="CQ852" t="str">
        <f t="shared" si="216"/>
        <v>OK: capability-driven</v>
      </c>
      <c r="CR852" t="str">
        <f t="shared" si="217"/>
        <v>Risk ontology uses capability=CAP_DATA_GOVERNANCE; bridge=BRG-021; treatment=TRT-DATA_GOVERNANCE-INITIAL; wording=IW-ALL-DATA_GOVERNANCE</v>
      </c>
      <c r="CS852" t="str">
        <f t="shared" si="218"/>
        <v>Yes</v>
      </c>
    </row>
    <row r="853" spans="1:97" ht="69.900000000000006" customHeight="1">
      <c r="A853">
        <f>IF(OR($B853&lt;&gt;"Yes",$BS853=""),"",SUMPRODUCT(($B$500:$B$923="Yes")*ISNUMBER($BS$500:$BS$923)*($BS$500:$BS$923&gt;$BS853))+COUNTIFS($B$500:$B853,"Yes",$BS$500:$BS853,$BS853))</f>
        <v>259</v>
      </c>
      <c r="B853" t="str">
        <f t="shared" si="187"/>
        <v>Yes</v>
      </c>
      <c r="C853" t="s">
        <v>2824</v>
      </c>
      <c r="D853" t="s">
        <v>2845</v>
      </c>
      <c r="E853" t="s">
        <v>2905</v>
      </c>
      <c r="F853" t="s">
        <v>4418</v>
      </c>
      <c r="G853" t="str">
        <f>IF($H853="","",IFERROR(INDEX(_ENGINE_Risk!$H$5:$M$499,MATCH($E853,_ENGINE_Risk!$A$5:$A$499,0),$H853+1),""))</f>
        <v>Severe risk: executive dashboards for crisis KPIs such as cash, workforce, supply, delivery, revenue and incidents is not reliably controlled. During Decision failure; Data loss; Regulatory/legal shock, the organization may face poor decisions, unreliable reporting, data quality problems and unsafe or ineffective AI usage with limited visibility or accountability.</v>
      </c>
      <c r="H853">
        <f>IFERROR(VALUE(INDEX(_DATA_Assessment_Model!$H$5:$H$884,MATCH($E853,_DATA_Assessment_Model!$A$5:$A$884,0))),"")</f>
        <v>0</v>
      </c>
      <c r="I853" t="str">
        <f>IF($H853="","",IFERROR(INDEX(_DATA_Assessment_Model!$L$5:$L$884,MATCH($E853,_DATA_Assessment_Model!$A$5:$A$884,0)),IF($H853&lt;=1,"Critical",IF($H853=2,"High",IF($H853=3,"Medium",IF($H853=4,"Low","Resilient"))))))</f>
        <v>Critical</v>
      </c>
      <c r="J853">
        <f t="shared" si="188"/>
        <v>3.5</v>
      </c>
      <c r="K853">
        <f t="shared" si="189"/>
        <v>4.5</v>
      </c>
      <c r="L853">
        <f t="shared" si="190"/>
        <v>15.75</v>
      </c>
      <c r="M853">
        <f t="shared" si="191"/>
        <v>4</v>
      </c>
      <c r="N853">
        <f>IF($H853="","",IFERROR(INDEX(_ENGINE_Risk!$T$5:$Y$499,MATCH($E853,_ENGINE_Risk!$A$5:$A$499,0),$H853+1),""))</f>
        <v>4</v>
      </c>
      <c r="O853">
        <f t="shared" si="192"/>
        <v>5</v>
      </c>
      <c r="P853">
        <f t="shared" si="193"/>
        <v>5</v>
      </c>
      <c r="Q853">
        <f t="shared" si="194"/>
        <v>5</v>
      </c>
      <c r="R853">
        <f t="shared" si="195"/>
        <v>5</v>
      </c>
      <c r="S853">
        <f t="shared" si="196"/>
        <v>1.25</v>
      </c>
      <c r="T853" t="str">
        <f>IF($H853="","",IFERROR(INDEX(_ENGINE_Risk!$N$5:$S$499,MATCH($E853,_ENGINE_Risk!$A$5:$A$499,0),$H853+1),""))</f>
        <v>Create an immediate risk owner, minimum control baseline and fallback procedure for executive dashboards for crisis KPIs such as cash, workforce, supply, delivery, revenue and incidents. Add it to the crisis risk register and collect first evidence.</v>
      </c>
      <c r="U853">
        <f>IFERROR(INDEX(_DATA_Assessment_Model!$G$5:$G$884,MATCH($E853,_DATA_Assessment_Model!$A$5:$A$884,0)),"")</f>
        <v>5</v>
      </c>
      <c r="V853">
        <f>IFERROR(INDEX(_DATA_Assessment_Model!$W$5:$W$884,MATCH($E853,_DATA_Assessment_Model!$A$5:$A$884,0)),"")</f>
        <v>5</v>
      </c>
      <c r="W853">
        <f>IFERROR(INDEX(_DATA_Assessment_Model!$X$5:$X$884,MATCH($E853,_DATA_Assessment_Model!$A$5:$A$884,0)),"")</f>
        <v>5</v>
      </c>
      <c r="X853">
        <f>IFERROR(INDEX(_DATA_Assessment_Model!$Y$5:$Y$884,MATCH($E853,_DATA_Assessment_Model!$A$5:$A$884,0)),"")</f>
        <v>5</v>
      </c>
      <c r="Y853" t="s">
        <v>2831</v>
      </c>
      <c r="Z853" t="s">
        <v>9432</v>
      </c>
      <c r="AA853" t="s">
        <v>2907</v>
      </c>
      <c r="AB853">
        <f>IFERROR(INDEX(_DATA_Assessment_Model!$U$5:$U$884,MATCH($E853,_DATA_Assessment_Model!$A$5:$A$884,0)),"")</f>
        <v>0</v>
      </c>
      <c r="AF853" t="s">
        <v>2906</v>
      </c>
      <c r="AO853">
        <f>IF($B853="Yes",IF(IFERROR(INDEX(_ENGINE_Crisis!$F$501:$F$517,MATCH($C853,_ENGINE_Crisis!$A$501:$A$517,0)),1)=0,1,IFERROR(INDEX(_ENGINE_Crisis!$F$501:$F$517,MATCH($C853,_ENGINE_Crisis!$A$501:$A$517,0)),1)),"")</f>
        <v>1</v>
      </c>
      <c r="AP853">
        <f t="shared" si="197"/>
        <v>15.8</v>
      </c>
      <c r="AQ853">
        <f t="shared" si="198"/>
        <v>1.25</v>
      </c>
      <c r="AR853" t="str">
        <f>IFERROR(INDEX(_ENGINE_Crisis!$E$41:$E$700,MATCH('Resilience &amp; Risk Scenario'!$B$6&amp;"|"&amp;$C853,_ENGINE_Crisis!$I$41:$I$700,0)),"")</f>
        <v/>
      </c>
      <c r="AS853" t="str">
        <f>IFERROR(INDEX(_ENGINE_Crisis!$G$41:$G$700,MATCH('Resilience &amp; Risk Scenario'!$B$6&amp;"|"&amp;$C853,_ENGINE_Crisis!$I$41:$I$700,0)),"")</f>
        <v/>
      </c>
      <c r="AT853" t="str">
        <f>IFERROR(INDEX(_ENGINE_Initiatives!$A$5:$A$532,MATCH(1,INDEX((_ENGINE_Initiatives!$B$5:$B$532=$C853)*(_ENGINE_Initiatives!$C$5:$C$532=$D853),0),0)),"")</f>
        <v>INI-060</v>
      </c>
      <c r="AU853" t="str">
        <f>IFERROR(INDEX(_ENGINE_Initiatives!$F$5:$F$532,MATCH(1,INDEX((_ENGINE_Initiatives!$B$5:$B$532=$C853)*(_ENGINE_Initiatives!$C$5:$C$532=$D853),0),0)),"")</f>
        <v>Create BI analytics layer for crisis and operational decisions</v>
      </c>
      <c r="AV853">
        <f>IFERROR(INDEX(_ENGINE_Initiatives!$AC$5:$AC$532,MATCH(1,INDEX((_ENGINE_Initiatives!$B$5:$B$532=$C853)*(_ENGINE_Initiatives!$C$5:$C$532=$D853),0),0)),"")</f>
        <v>1.31</v>
      </c>
      <c r="AW853" t="str">
        <f>IFERROR(INDEX(_ENGINE_Initiatives!$AE$5:$AE$532,MATCH(1,INDEX((_ENGINE_Initiatives!$B$5:$B$532=$C853)*(_ENGINE_Initiatives!$C$5:$C$532=$D853),0),0)),"")</f>
        <v>12+ months</v>
      </c>
      <c r="AX853">
        <f>IF($B853="Yes",IFERROR((IF(SUMIFS(_REF_Model_Content!$E$1:$E$613,_REF_Model_Content!$A$1:$A$613,PV_Canonical_Industry,_REF_Model_Content!$B$1:$B$613,$C853)=0,1,SUMIFS(_REF_Model_Content!$E$1:$E$613,_REF_Model_Content!$A$1:$A$613,PV_Canonical_Industry,_REF_Model_Content!$B$1:$B$613,$C853))*IFERROR($BU853,1)),1),"")</f>
        <v>1.25</v>
      </c>
      <c r="AY853">
        <f t="shared" si="199"/>
        <v>19.75</v>
      </c>
      <c r="AZ853">
        <f t="shared" si="200"/>
        <v>1.56</v>
      </c>
      <c r="BB853" t="str">
        <f>IF($H853="","",IFERROR(INDEX(_ENGINE_Risk!$AE$5:$AE$499,MATCH($E853,_ENGINE_Risk!$A$5:$A$499,0)),"Medium"))</f>
        <v>Slow</v>
      </c>
      <c r="BC853">
        <f t="shared" si="201"/>
        <v>0.85</v>
      </c>
      <c r="BD853">
        <f t="shared" si="202"/>
        <v>1.56</v>
      </c>
      <c r="BF853">
        <f>IF(OR($H853="",$J853=""),"",IFERROR(VLOOKUP(ROUND($J853,0),_CONFIG_Model_Settings!$D$154:$E$158,2,0),""))</f>
        <v>0.5</v>
      </c>
      <c r="BG853">
        <f>IFERROR(IF(OR($H853="",$K853=""),"",ROUND('Company Profile'!$B$113*INDEX(_CONFIG_Model_Settings!$H$154:$H$158,MATCH(ROUND($K853,0),_CONFIG_Model_Settings!$G$154:$G$158,0)),0)),0)</f>
        <v>1875</v>
      </c>
      <c r="BH853">
        <f t="shared" si="203"/>
        <v>937.5</v>
      </c>
      <c r="BI853">
        <f t="shared" si="204"/>
        <v>937.5</v>
      </c>
      <c r="BJ853">
        <f>IF($E853="","",IFERROR(VLOOKUP($C853,_CONFIG_Risk_Calibration!$A$5:$H$21,2,FALSE),3))</f>
        <v>3</v>
      </c>
      <c r="BK853">
        <f>IF($E853="","",IFERROR(VLOOKUP($C853,_CONFIG_Risk_Calibration!$A$5:$H$21,3,FALSE),0))</f>
        <v>0</v>
      </c>
      <c r="BL853">
        <f>IF($E853="","",IFERROR(VLOOKUP($C853,_CONFIG_Risk_Calibration!$A$5:$H$21,4,FALSE),3))</f>
        <v>3</v>
      </c>
      <c r="BM853">
        <f>IF($E853="","",IFERROR(VLOOKUP($C853,_CONFIG_Risk_Calibration!$A$5:$H$21,5,FALSE),3))</f>
        <v>3</v>
      </c>
      <c r="BN853" t="str">
        <f>IF($E853="","",IFERROR(VLOOKUP($C853,_CONFIG_Risk_Calibration!$A$5:$H$21,6,FALSE),"No"))</f>
        <v>No</v>
      </c>
      <c r="BO853">
        <f>IF($E853="","",IFERROR(VLOOKUP($C853,_CONFIG_Risk_Calibration!$A$5:$H$21,7,FALSE),1))</f>
        <v>1</v>
      </c>
      <c r="BP853">
        <f>IF($H853="","",MAX(1,MIN(5,((6-$H853)*0.45)+($BJ853*0.2)+('Resilience &amp; Risk Scenario'!$B$7*0.15)+($BK853*0.1)+($BL853*0.05)+(IF($BB853="Fast",5,IF($BB853="Slow",1,3))*0.05))))</f>
        <v>3.5</v>
      </c>
      <c r="BQ853">
        <f t="shared" si="205"/>
        <v>4.5</v>
      </c>
      <c r="BR853">
        <f t="shared" si="206"/>
        <v>15.75</v>
      </c>
      <c r="BS853">
        <f t="shared" si="207"/>
        <v>16.73</v>
      </c>
      <c r="BT853" t="str">
        <f>IFERROR(INDEX(_REF_Capability_Bridge!$D:$D,MATCH($C853&amp;"|"&amp;$D853,_REF_Capability_Bridge!$J:$J,0)),IFERROR(INDEX(_REF_Capability_Bridge!$D:$D,MATCH($C853&amp;"|",_REF_Capability_Bridge!$J:$J,0)),"CAP_GENERIC"))</f>
        <v>CAP_DATA_GOVERNANCE</v>
      </c>
      <c r="BU853">
        <f>IFERROR(IFERROR(INDEX(_ENGINE_Relevance!$L:$L,MATCH($BT853,_ENGINE_Relevance!$B:$B,0)),1),1)</f>
        <v>1.25</v>
      </c>
      <c r="BV853" t="str">
        <f>IFERROR(INDEX(_REF_Capability_Bridge!$A:$A,MATCH($C853&amp;"|"&amp;$D853,_REF_Capability_Bridge!$J:$J,0)),IFERROR(INDEX(_REF_Capability_Bridge!$A:$A,MATCH($C853&amp;"|",_REF_Capability_Bridge!$J:$J,0)),"No bridge"))</f>
        <v>BRG-020</v>
      </c>
      <c r="BW853" t="str">
        <f t="shared" si="208"/>
        <v>Capability relevance increases risk priority</v>
      </c>
      <c r="BX853" t="str">
        <f t="shared" si="209"/>
        <v>Initial / absent</v>
      </c>
      <c r="BY853" t="str">
        <f>IF($E853="","",IFERROR(INDEX(_REF_Treatment_Library!$A$2:$A$296,MATCH(1,INDEX((_REF_Treatment_Library!$B$2:$B$296=$BT853)*(_REF_Treatment_Library!$C$2:$C$296=PV_Canonical_Industry)*(_REF_Treatment_Library!$E$2:$E$296&lt;=N($H853))*(_REF_Treatment_Library!$F$2:$F$296&gt;=N($H853))*(_REF_Treatment_Library!$O$2:$O$296="Yes"),0),0)),IFERROR(INDEX(_REF_Treatment_Library!$A$2:$A$296,MATCH(1,INDEX((_REF_Treatment_Library!$B$2:$B$296=$BT853)*(_REF_Treatment_Library!$C$2:$C$296="All")*(_REF_Treatment_Library!$E$2:$E$296&lt;=N($H853))*(_REF_Treatment_Library!$F$2:$F$296&gt;=N($H853))*(_REF_Treatment_Library!$O$2:$O$296="Yes"),0),0)),"")))</f>
        <v>TRT-DATA_GOVERNANCE-INITIAL</v>
      </c>
      <c r="BZ853" t="str">
        <f>IF($BY853="","",IFERROR(INDEX(_REF_Treatment_Library!$H$2:$H$296,MATCH($BY853,_REF_Treatment_Library!$A$2:$A$296,0)),""))</f>
        <v>Establish</v>
      </c>
      <c r="CA853" t="str">
        <f>IF($BY853="","",IFERROR(INDEX(_REF_Treatment_Library!$I$2:$I$296,MATCH($BY853,_REF_Treatment_Library!$A$2:$A$296,0)),""))</f>
        <v>Establish baseline controls for Data governance</v>
      </c>
      <c r="CB853" t="str">
        <f>IF($BY853="","",IFERROR(INDEX(_REF_Treatment_Library!$K$2:$K$296,MATCH($BY853,_REF_Treatment_Library!$A$2:$A$296,0)),""))</f>
        <v>Named owner, baseline process, minimum control checklist, first evidence package</v>
      </c>
      <c r="CC853" t="str">
        <f>IF($BY853="","",IFERROR(INDEX(_REF_Treatment_Library!$L$2:$L$296,MATCH($BY853,_REF_Treatment_Library!$A$2:$A$296,0)),""))</f>
        <v>Owner assigned; baseline evidence coverage; open critical gaps</v>
      </c>
      <c r="CD853" t="str">
        <f t="shared" si="210"/>
        <v>Treatment by capability=CAP_DATA_GOVERNANCE; band=Initial / absent; score=0.0; treatment=Establish</v>
      </c>
      <c r="CE853" t="str">
        <f>IF($E853="","",IFERROR(INDEX(_REF_Industry_Wording!$A$2:$A$70,MATCH(1,INDEX((_REF_Industry_Wording!$B$2:$B$70=$BT853)*(_REF_Industry_Wording!$C$2:$C$70=PV_Canonical_Industry)*(_REF_Industry_Wording!$K$2:$K$70="Yes"),0),0)),IFERROR(INDEX(_REF_Industry_Wording!$A$2:$A$70,MATCH(1,INDEX((_REF_Industry_Wording!$B$2:$B$70=$BT853)*(_REF_Industry_Wording!$C$2:$C$70="All")*(_REF_Industry_Wording!$K$2:$K$70="Yes"),0),0)),"")))</f>
        <v>IW-ALL-DATA_GOVERNANCE</v>
      </c>
      <c r="CF853" t="str">
        <f>IF($CE853="","",IFERROR(INDEX(_REF_Industry_Wording!$E$2:$E$70,MATCH($CE853,_REF_Industry_Wording!$A$2:$A$70,0)),""))</f>
        <v>Data governance weakness</v>
      </c>
      <c r="CG853" t="str">
        <f>IF($CE853="","",IFERROR(INDEX(_REF_Industry_Wording!$F$2:$F$70,MATCH($CE853,_REF_Industry_Wording!$A$2:$A$70,0)),""))</f>
        <v>Strengthen Data governance</v>
      </c>
      <c r="CH853" t="str">
        <f>IF($CE853="","",IFERROR(INDEX(_REF_Industry_Wording!$G$2:$G$70,MATCH($CE853,_REF_Industry_Wording!$A$2:$A$70,0)),""))</f>
        <v>Strengthen Data governance using the selected maturity treatment, crisis scenario and evidence requirements.</v>
      </c>
      <c r="CI853" t="str">
        <f>IF($CE853="","",IFERROR(INDEX(_REF_Industry_Wording!$H$2:$H$70,MATCH($CE853,_REF_Industry_Wording!$A$2:$A$70,0)),""))</f>
        <v>Data governance</v>
      </c>
      <c r="CJ853">
        <f>IF($CE853="","",IFERROR(INDEX(_REF_Industry_Wording!$I$2:$I$70,MATCH($CE853,_REF_Industry_Wording!$A$2:$A$70,0)),""))</f>
        <v>0</v>
      </c>
      <c r="CK853" t="str">
        <f>IF($CE853="","",IFERROR(INDEX(_REF_Industry_Wording!$J$2:$J$70,MATCH($CE853,_REF_Industry_Wording!$A$2:$A$70,0)),""))</f>
        <v>Data governance</v>
      </c>
      <c r="CL853" t="str">
        <f t="shared" si="211"/>
        <v>Wording by industry=0; capability=CAP_DATA_GOVERNANCE; risk label=Data governance weakness</v>
      </c>
      <c r="CM853" t="str">
        <f t="shared" si="212"/>
        <v>RISK-ONT-0354</v>
      </c>
      <c r="CN853" t="str">
        <f t="shared" si="213"/>
        <v>RISK-EVT-0354</v>
      </c>
      <c r="CO853" t="str">
        <f t="shared" si="214"/>
        <v>Data BI AI|BI and analytics|DATA-013|CAP_DATA_GOVERNANCE</v>
      </c>
      <c r="CP853" t="str">
        <f t="shared" si="215"/>
        <v>Active</v>
      </c>
      <c r="CQ853" t="str">
        <f t="shared" si="216"/>
        <v>OK: capability-driven</v>
      </c>
      <c r="CR853" t="str">
        <f t="shared" si="217"/>
        <v>Risk ontology uses capability=CAP_DATA_GOVERNANCE; bridge=BRG-020; treatment=TRT-DATA_GOVERNANCE-INITIAL; wording=IW-ALL-DATA_GOVERNANCE</v>
      </c>
      <c r="CS853" t="str">
        <f t="shared" si="218"/>
        <v>Yes</v>
      </c>
    </row>
    <row r="854" spans="1:97" ht="69.900000000000006" customHeight="1">
      <c r="A854">
        <f>IF(OR($B854&lt;&gt;"Yes",$BS854=""),"",SUMPRODUCT(($B$500:$B$923="Yes")*ISNUMBER($BS$500:$BS$923)*($BS$500:$BS$923&gt;$BS854))+COUNTIFS($B$500:$B854,"Yes",$BS$500:$BS854,$BS854))</f>
        <v>260</v>
      </c>
      <c r="B854" t="str">
        <f t="shared" si="187"/>
        <v>Yes</v>
      </c>
      <c r="C854" t="s">
        <v>2824</v>
      </c>
      <c r="D854" t="s">
        <v>2845</v>
      </c>
      <c r="E854" t="s">
        <v>2908</v>
      </c>
      <c r="F854" t="s">
        <v>4418</v>
      </c>
      <c r="G854" t="str">
        <f>IF($H854="","",IFERROR(INDEX(_ENGINE_Risk!$H$5:$M$499,MATCH($E854,_ENGINE_Risk!$A$5:$A$499,0),$H854+1),""))</f>
        <v>Severe risk: operational dashboards for daily management and crisis response is not reliably controlled. During Decision failure; Data loss; Regulatory/legal shock, the organization may face poor decisions, unreliable reporting, data quality problems and unsafe or ineffective AI usage with limited visibility or accountability.</v>
      </c>
      <c r="H854">
        <f>IFERROR(VALUE(INDEX(_DATA_Assessment_Model!$H$5:$H$884,MATCH($E854,_DATA_Assessment_Model!$A$5:$A$884,0))),"")</f>
        <v>0</v>
      </c>
      <c r="I854" t="str">
        <f>IF($H854="","",IFERROR(INDEX(_DATA_Assessment_Model!$L$5:$L$884,MATCH($E854,_DATA_Assessment_Model!$A$5:$A$884,0)),IF($H854&lt;=1,"Critical",IF($H854=2,"High",IF($H854=3,"Medium",IF($H854=4,"Low","Resilient"))))))</f>
        <v>Critical</v>
      </c>
      <c r="J854">
        <f t="shared" si="188"/>
        <v>3.5</v>
      </c>
      <c r="K854">
        <f t="shared" si="189"/>
        <v>4.5</v>
      </c>
      <c r="L854">
        <f t="shared" si="190"/>
        <v>15.75</v>
      </c>
      <c r="M854">
        <f t="shared" si="191"/>
        <v>4</v>
      </c>
      <c r="N854">
        <f>IF($H854="","",IFERROR(INDEX(_ENGINE_Risk!$T$5:$Y$499,MATCH($E854,_ENGINE_Risk!$A$5:$A$499,0),$H854+1),""))</f>
        <v>4</v>
      </c>
      <c r="O854">
        <f t="shared" si="192"/>
        <v>5</v>
      </c>
      <c r="P854">
        <f t="shared" si="193"/>
        <v>5</v>
      </c>
      <c r="Q854">
        <f t="shared" si="194"/>
        <v>5</v>
      </c>
      <c r="R854">
        <f t="shared" si="195"/>
        <v>5</v>
      </c>
      <c r="S854">
        <f t="shared" si="196"/>
        <v>1.25</v>
      </c>
      <c r="T854" t="str">
        <f>IF($H854="","",IFERROR(INDEX(_ENGINE_Risk!$N$5:$S$499,MATCH($E854,_ENGINE_Risk!$A$5:$A$499,0),$H854+1),""))</f>
        <v>Create an immediate risk owner, minimum control baseline and fallback procedure for operational dashboards for daily management and crisis response. Add it to the crisis risk register and collect first evidence.</v>
      </c>
      <c r="U854">
        <f>IFERROR(INDEX(_DATA_Assessment_Model!$G$5:$G$884,MATCH($E854,_DATA_Assessment_Model!$A$5:$A$884,0)),"")</f>
        <v>5</v>
      </c>
      <c r="V854">
        <f>IFERROR(INDEX(_DATA_Assessment_Model!$W$5:$W$884,MATCH($E854,_DATA_Assessment_Model!$A$5:$A$884,0)),"")</f>
        <v>5</v>
      </c>
      <c r="W854">
        <f>IFERROR(INDEX(_DATA_Assessment_Model!$X$5:$X$884,MATCH($E854,_DATA_Assessment_Model!$A$5:$A$884,0)),"")</f>
        <v>5</v>
      </c>
      <c r="X854">
        <f>IFERROR(INDEX(_DATA_Assessment_Model!$Y$5:$Y$884,MATCH($E854,_DATA_Assessment_Model!$A$5:$A$884,0)),"")</f>
        <v>5</v>
      </c>
      <c r="Y854" t="s">
        <v>2831</v>
      </c>
      <c r="Z854" t="s">
        <v>9432</v>
      </c>
      <c r="AA854" t="s">
        <v>2910</v>
      </c>
      <c r="AB854">
        <f>IFERROR(INDEX(_DATA_Assessment_Model!$U$5:$U$884,MATCH($E854,_DATA_Assessment_Model!$A$5:$A$884,0)),"")</f>
        <v>0</v>
      </c>
      <c r="AF854" t="s">
        <v>2909</v>
      </c>
      <c r="AO854">
        <f>IF($B854="Yes",IF(IFERROR(INDEX(_ENGINE_Crisis!$F$501:$F$517,MATCH($C854,_ENGINE_Crisis!$A$501:$A$517,0)),1)=0,1,IFERROR(INDEX(_ENGINE_Crisis!$F$501:$F$517,MATCH($C854,_ENGINE_Crisis!$A$501:$A$517,0)),1)),"")</f>
        <v>1</v>
      </c>
      <c r="AP854">
        <f t="shared" si="197"/>
        <v>15.8</v>
      </c>
      <c r="AQ854">
        <f t="shared" si="198"/>
        <v>1.25</v>
      </c>
      <c r="AR854" t="str">
        <f>IFERROR(INDEX(_ENGINE_Crisis!$E$41:$E$700,MATCH('Resilience &amp; Risk Scenario'!$B$6&amp;"|"&amp;$C854,_ENGINE_Crisis!$I$41:$I$700,0)),"")</f>
        <v/>
      </c>
      <c r="AS854" t="str">
        <f>IFERROR(INDEX(_ENGINE_Crisis!$G$41:$G$700,MATCH('Resilience &amp; Risk Scenario'!$B$6&amp;"|"&amp;$C854,_ENGINE_Crisis!$I$41:$I$700,0)),"")</f>
        <v/>
      </c>
      <c r="AT854" t="str">
        <f>IFERROR(INDEX(_ENGINE_Initiatives!$A$5:$A$532,MATCH(1,INDEX((_ENGINE_Initiatives!$B$5:$B$532=$C854)*(_ENGINE_Initiatives!$C$5:$C$532=$D854),0),0)),"")</f>
        <v>INI-060</v>
      </c>
      <c r="AU854" t="str">
        <f>IFERROR(INDEX(_ENGINE_Initiatives!$F$5:$F$532,MATCH(1,INDEX((_ENGINE_Initiatives!$B$5:$B$532=$C854)*(_ENGINE_Initiatives!$C$5:$C$532=$D854),0),0)),"")</f>
        <v>Create BI analytics layer for crisis and operational decisions</v>
      </c>
      <c r="AV854">
        <f>IFERROR(INDEX(_ENGINE_Initiatives!$AC$5:$AC$532,MATCH(1,INDEX((_ENGINE_Initiatives!$B$5:$B$532=$C854)*(_ENGINE_Initiatives!$C$5:$C$532=$D854),0),0)),"")</f>
        <v>1.31</v>
      </c>
      <c r="AW854" t="str">
        <f>IFERROR(INDEX(_ENGINE_Initiatives!$AE$5:$AE$532,MATCH(1,INDEX((_ENGINE_Initiatives!$B$5:$B$532=$C854)*(_ENGINE_Initiatives!$C$5:$C$532=$D854),0),0)),"")</f>
        <v>12+ months</v>
      </c>
      <c r="AX854">
        <f>IF($B854="Yes",IFERROR((IF(SUMIFS(_REF_Model_Content!$E$1:$E$613,_REF_Model_Content!$A$1:$A$613,PV_Canonical_Industry,_REF_Model_Content!$B$1:$B$613,$C854)=0,1,SUMIFS(_REF_Model_Content!$E$1:$E$613,_REF_Model_Content!$A$1:$A$613,PV_Canonical_Industry,_REF_Model_Content!$B$1:$B$613,$C854))*IFERROR($BU854,1)),1),"")</f>
        <v>1.25</v>
      </c>
      <c r="AY854">
        <f t="shared" si="199"/>
        <v>19.75</v>
      </c>
      <c r="AZ854">
        <f t="shared" si="200"/>
        <v>1.56</v>
      </c>
      <c r="BB854" t="str">
        <f>IF($H854="","",IFERROR(INDEX(_ENGINE_Risk!$AE$5:$AE$499,MATCH($E854,_ENGINE_Risk!$A$5:$A$499,0)),"Medium"))</f>
        <v>Slow</v>
      </c>
      <c r="BC854">
        <f t="shared" si="201"/>
        <v>0.85</v>
      </c>
      <c r="BD854">
        <f t="shared" si="202"/>
        <v>1.56</v>
      </c>
      <c r="BF854">
        <f>IF(OR($H854="",$J854=""),"",IFERROR(VLOOKUP(ROUND($J854,0),_CONFIG_Model_Settings!$D$154:$E$158,2,0),""))</f>
        <v>0.5</v>
      </c>
      <c r="BG854">
        <f>IFERROR(IF(OR($H854="",$K854=""),"",ROUND('Company Profile'!$B$113*INDEX(_CONFIG_Model_Settings!$H$154:$H$158,MATCH(ROUND($K854,0),_CONFIG_Model_Settings!$G$154:$G$158,0)),0)),0)</f>
        <v>1875</v>
      </c>
      <c r="BH854">
        <f t="shared" si="203"/>
        <v>937.5</v>
      </c>
      <c r="BI854">
        <f t="shared" si="204"/>
        <v>937.5</v>
      </c>
      <c r="BJ854">
        <f>IF($E854="","",IFERROR(VLOOKUP($C854,_CONFIG_Risk_Calibration!$A$5:$H$21,2,FALSE),3))</f>
        <v>3</v>
      </c>
      <c r="BK854">
        <f>IF($E854="","",IFERROR(VLOOKUP($C854,_CONFIG_Risk_Calibration!$A$5:$H$21,3,FALSE),0))</f>
        <v>0</v>
      </c>
      <c r="BL854">
        <f>IF($E854="","",IFERROR(VLOOKUP($C854,_CONFIG_Risk_Calibration!$A$5:$H$21,4,FALSE),3))</f>
        <v>3</v>
      </c>
      <c r="BM854">
        <f>IF($E854="","",IFERROR(VLOOKUP($C854,_CONFIG_Risk_Calibration!$A$5:$H$21,5,FALSE),3))</f>
        <v>3</v>
      </c>
      <c r="BN854" t="str">
        <f>IF($E854="","",IFERROR(VLOOKUP($C854,_CONFIG_Risk_Calibration!$A$5:$H$21,6,FALSE),"No"))</f>
        <v>No</v>
      </c>
      <c r="BO854">
        <f>IF($E854="","",IFERROR(VLOOKUP($C854,_CONFIG_Risk_Calibration!$A$5:$H$21,7,FALSE),1))</f>
        <v>1</v>
      </c>
      <c r="BP854">
        <f>IF($H854="","",MAX(1,MIN(5,((6-$H854)*0.45)+($BJ854*0.2)+('Resilience &amp; Risk Scenario'!$B$7*0.15)+($BK854*0.1)+($BL854*0.05)+(IF($BB854="Fast",5,IF($BB854="Slow",1,3))*0.05))))</f>
        <v>3.5</v>
      </c>
      <c r="BQ854">
        <f t="shared" si="205"/>
        <v>4.5</v>
      </c>
      <c r="BR854">
        <f t="shared" si="206"/>
        <v>15.75</v>
      </c>
      <c r="BS854">
        <f t="shared" si="207"/>
        <v>16.73</v>
      </c>
      <c r="BT854" t="str">
        <f>IFERROR(INDEX(_REF_Capability_Bridge!$D:$D,MATCH($C854&amp;"|"&amp;$D854,_REF_Capability_Bridge!$J:$J,0)),IFERROR(INDEX(_REF_Capability_Bridge!$D:$D,MATCH($C854&amp;"|",_REF_Capability_Bridge!$J:$J,0)),"CAP_GENERIC"))</f>
        <v>CAP_DATA_GOVERNANCE</v>
      </c>
      <c r="BU854">
        <f>IFERROR(IFERROR(INDEX(_ENGINE_Relevance!$L:$L,MATCH($BT854,_ENGINE_Relevance!$B:$B,0)),1),1)</f>
        <v>1.25</v>
      </c>
      <c r="BV854" t="str">
        <f>IFERROR(INDEX(_REF_Capability_Bridge!$A:$A,MATCH($C854&amp;"|"&amp;$D854,_REF_Capability_Bridge!$J:$J,0)),IFERROR(INDEX(_REF_Capability_Bridge!$A:$A,MATCH($C854&amp;"|",_REF_Capability_Bridge!$J:$J,0)),"No bridge"))</f>
        <v>BRG-020</v>
      </c>
      <c r="BW854" t="str">
        <f t="shared" si="208"/>
        <v>Capability relevance increases risk priority</v>
      </c>
      <c r="BX854" t="str">
        <f t="shared" si="209"/>
        <v>Initial / absent</v>
      </c>
      <c r="BY854" t="str">
        <f>IF($E854="","",IFERROR(INDEX(_REF_Treatment_Library!$A$2:$A$296,MATCH(1,INDEX((_REF_Treatment_Library!$B$2:$B$296=$BT854)*(_REF_Treatment_Library!$C$2:$C$296=PV_Canonical_Industry)*(_REF_Treatment_Library!$E$2:$E$296&lt;=N($H854))*(_REF_Treatment_Library!$F$2:$F$296&gt;=N($H854))*(_REF_Treatment_Library!$O$2:$O$296="Yes"),0),0)),IFERROR(INDEX(_REF_Treatment_Library!$A$2:$A$296,MATCH(1,INDEX((_REF_Treatment_Library!$B$2:$B$296=$BT854)*(_REF_Treatment_Library!$C$2:$C$296="All")*(_REF_Treatment_Library!$E$2:$E$296&lt;=N($H854))*(_REF_Treatment_Library!$F$2:$F$296&gt;=N($H854))*(_REF_Treatment_Library!$O$2:$O$296="Yes"),0),0)),"")))</f>
        <v>TRT-DATA_GOVERNANCE-INITIAL</v>
      </c>
      <c r="BZ854" t="str">
        <f>IF($BY854="","",IFERROR(INDEX(_REF_Treatment_Library!$H$2:$H$296,MATCH($BY854,_REF_Treatment_Library!$A$2:$A$296,0)),""))</f>
        <v>Establish</v>
      </c>
      <c r="CA854" t="str">
        <f>IF($BY854="","",IFERROR(INDEX(_REF_Treatment_Library!$I$2:$I$296,MATCH($BY854,_REF_Treatment_Library!$A$2:$A$296,0)),""))</f>
        <v>Establish baseline controls for Data governance</v>
      </c>
      <c r="CB854" t="str">
        <f>IF($BY854="","",IFERROR(INDEX(_REF_Treatment_Library!$K$2:$K$296,MATCH($BY854,_REF_Treatment_Library!$A$2:$A$296,0)),""))</f>
        <v>Named owner, baseline process, minimum control checklist, first evidence package</v>
      </c>
      <c r="CC854" t="str">
        <f>IF($BY854="","",IFERROR(INDEX(_REF_Treatment_Library!$L$2:$L$296,MATCH($BY854,_REF_Treatment_Library!$A$2:$A$296,0)),""))</f>
        <v>Owner assigned; baseline evidence coverage; open critical gaps</v>
      </c>
      <c r="CD854" t="str">
        <f t="shared" si="210"/>
        <v>Treatment by capability=CAP_DATA_GOVERNANCE; band=Initial / absent; score=0.0; treatment=Establish</v>
      </c>
      <c r="CE854" t="str">
        <f>IF($E854="","",IFERROR(INDEX(_REF_Industry_Wording!$A$2:$A$70,MATCH(1,INDEX((_REF_Industry_Wording!$B$2:$B$70=$BT854)*(_REF_Industry_Wording!$C$2:$C$70=PV_Canonical_Industry)*(_REF_Industry_Wording!$K$2:$K$70="Yes"),0),0)),IFERROR(INDEX(_REF_Industry_Wording!$A$2:$A$70,MATCH(1,INDEX((_REF_Industry_Wording!$B$2:$B$70=$BT854)*(_REF_Industry_Wording!$C$2:$C$70="All")*(_REF_Industry_Wording!$K$2:$K$70="Yes"),0),0)),"")))</f>
        <v>IW-ALL-DATA_GOVERNANCE</v>
      </c>
      <c r="CF854" t="str">
        <f>IF($CE854="","",IFERROR(INDEX(_REF_Industry_Wording!$E$2:$E$70,MATCH($CE854,_REF_Industry_Wording!$A$2:$A$70,0)),""))</f>
        <v>Data governance weakness</v>
      </c>
      <c r="CG854" t="str">
        <f>IF($CE854="","",IFERROR(INDEX(_REF_Industry_Wording!$F$2:$F$70,MATCH($CE854,_REF_Industry_Wording!$A$2:$A$70,0)),""))</f>
        <v>Strengthen Data governance</v>
      </c>
      <c r="CH854" t="str">
        <f>IF($CE854="","",IFERROR(INDEX(_REF_Industry_Wording!$G$2:$G$70,MATCH($CE854,_REF_Industry_Wording!$A$2:$A$70,0)),""))</f>
        <v>Strengthen Data governance using the selected maturity treatment, crisis scenario and evidence requirements.</v>
      </c>
      <c r="CI854" t="str">
        <f>IF($CE854="","",IFERROR(INDEX(_REF_Industry_Wording!$H$2:$H$70,MATCH($CE854,_REF_Industry_Wording!$A$2:$A$70,0)),""))</f>
        <v>Data governance</v>
      </c>
      <c r="CJ854">
        <f>IF($CE854="","",IFERROR(INDEX(_REF_Industry_Wording!$I$2:$I$70,MATCH($CE854,_REF_Industry_Wording!$A$2:$A$70,0)),""))</f>
        <v>0</v>
      </c>
      <c r="CK854" t="str">
        <f>IF($CE854="","",IFERROR(INDEX(_REF_Industry_Wording!$J$2:$J$70,MATCH($CE854,_REF_Industry_Wording!$A$2:$A$70,0)),""))</f>
        <v>Data governance</v>
      </c>
      <c r="CL854" t="str">
        <f t="shared" si="211"/>
        <v>Wording by industry=0; capability=CAP_DATA_GOVERNANCE; risk label=Data governance weakness</v>
      </c>
      <c r="CM854" t="str">
        <f t="shared" si="212"/>
        <v>RISK-ONT-0355</v>
      </c>
      <c r="CN854" t="str">
        <f t="shared" si="213"/>
        <v>RISK-EVT-0355</v>
      </c>
      <c r="CO854" t="str">
        <f t="shared" si="214"/>
        <v>Data BI AI|BI and analytics|DATA-014|CAP_DATA_GOVERNANCE</v>
      </c>
      <c r="CP854" t="str">
        <f t="shared" si="215"/>
        <v>Active</v>
      </c>
      <c r="CQ854" t="str">
        <f t="shared" si="216"/>
        <v>OK: capability-driven</v>
      </c>
      <c r="CR854" t="str">
        <f t="shared" si="217"/>
        <v>Risk ontology uses capability=CAP_DATA_GOVERNANCE; bridge=BRG-020; treatment=TRT-DATA_GOVERNANCE-INITIAL; wording=IW-ALL-DATA_GOVERNANCE</v>
      </c>
      <c r="CS854" t="str">
        <f t="shared" si="218"/>
        <v>Yes</v>
      </c>
    </row>
    <row r="855" spans="1:97" ht="69.900000000000006" customHeight="1">
      <c r="A855">
        <f>IF(OR($B855&lt;&gt;"Yes",$BS855=""),"",SUMPRODUCT(($B$500:$B$923="Yes")*ISNUMBER($BS$500:$BS$923)*($BS$500:$BS$923&gt;$BS855))+COUNTIFS($B$500:$B855,"Yes",$BS$500:$BS855,$BS855))</f>
        <v>261</v>
      </c>
      <c r="B855" t="str">
        <f t="shared" si="187"/>
        <v>Yes</v>
      </c>
      <c r="C855" t="s">
        <v>2824</v>
      </c>
      <c r="D855" t="s">
        <v>2845</v>
      </c>
      <c r="E855" t="s">
        <v>2911</v>
      </c>
      <c r="F855" t="s">
        <v>4418</v>
      </c>
      <c r="G855" t="str">
        <f>IF($H855="","",IFERROR(INDEX(_ENGINE_Risk!$H$5:$M$499,MATCH($E855,_ENGINE_Risk!$A$5:$A$499,0),$H855+1),""))</f>
        <v>Severe risk: single source of truth for critical reports instead of manually reconciled spreadsheets is not reliably controlled. During Decision failure; Data loss; Regulatory/legal shock, the organization may face poor decisions, unreliable reporting, data quality problems and unsafe or ineffective AI usage with limited visibility or accountability.</v>
      </c>
      <c r="H855">
        <f>IFERROR(VALUE(INDEX(_DATA_Assessment_Model!$H$5:$H$884,MATCH($E855,_DATA_Assessment_Model!$A$5:$A$884,0))),"")</f>
        <v>0</v>
      </c>
      <c r="I855" t="str">
        <f>IF($H855="","",IFERROR(INDEX(_DATA_Assessment_Model!$L$5:$L$884,MATCH($E855,_DATA_Assessment_Model!$A$5:$A$884,0)),IF($H855&lt;=1,"Critical",IF($H855=2,"High",IF($H855=3,"Medium",IF($H855=4,"Low","Resilient"))))))</f>
        <v>Critical</v>
      </c>
      <c r="J855">
        <f t="shared" si="188"/>
        <v>3.5</v>
      </c>
      <c r="K855">
        <f t="shared" si="189"/>
        <v>4.5</v>
      </c>
      <c r="L855">
        <f t="shared" si="190"/>
        <v>15.75</v>
      </c>
      <c r="M855">
        <f t="shared" si="191"/>
        <v>4</v>
      </c>
      <c r="N855">
        <f>IF($H855="","",IFERROR(INDEX(_ENGINE_Risk!$T$5:$Y$499,MATCH($E855,_ENGINE_Risk!$A$5:$A$499,0),$H855+1),""))</f>
        <v>4</v>
      </c>
      <c r="O855">
        <f t="shared" si="192"/>
        <v>5</v>
      </c>
      <c r="P855">
        <f t="shared" si="193"/>
        <v>5</v>
      </c>
      <c r="Q855">
        <f t="shared" si="194"/>
        <v>5</v>
      </c>
      <c r="R855">
        <f t="shared" si="195"/>
        <v>5</v>
      </c>
      <c r="S855">
        <f t="shared" si="196"/>
        <v>1.25</v>
      </c>
      <c r="T855" t="str">
        <f>IF($H855="","",IFERROR(INDEX(_ENGINE_Risk!$N$5:$S$499,MATCH($E855,_ENGINE_Risk!$A$5:$A$499,0),$H855+1),""))</f>
        <v>Create an immediate risk owner, minimum control baseline and fallback procedure for single source of truth for critical reports instead of manually reconciled spreadsheets. Add it to the crisis risk register and collect first evidence.</v>
      </c>
      <c r="U855">
        <f>IFERROR(INDEX(_DATA_Assessment_Model!$G$5:$G$884,MATCH($E855,_DATA_Assessment_Model!$A$5:$A$884,0)),"")</f>
        <v>5</v>
      </c>
      <c r="V855">
        <f>IFERROR(INDEX(_DATA_Assessment_Model!$W$5:$W$884,MATCH($E855,_DATA_Assessment_Model!$A$5:$A$884,0)),"")</f>
        <v>5</v>
      </c>
      <c r="W855">
        <f>IFERROR(INDEX(_DATA_Assessment_Model!$X$5:$X$884,MATCH($E855,_DATA_Assessment_Model!$A$5:$A$884,0)),"")</f>
        <v>5</v>
      </c>
      <c r="X855">
        <f>IFERROR(INDEX(_DATA_Assessment_Model!$Y$5:$Y$884,MATCH($E855,_DATA_Assessment_Model!$A$5:$A$884,0)),"")</f>
        <v>5</v>
      </c>
      <c r="Y855" t="s">
        <v>2831</v>
      </c>
      <c r="Z855" t="s">
        <v>9432</v>
      </c>
      <c r="AA855" t="s">
        <v>2913</v>
      </c>
      <c r="AB855">
        <f>IFERROR(INDEX(_DATA_Assessment_Model!$U$5:$U$884,MATCH($E855,_DATA_Assessment_Model!$A$5:$A$884,0)),"")</f>
        <v>0</v>
      </c>
      <c r="AF855" t="s">
        <v>2912</v>
      </c>
      <c r="AO855">
        <f>IF($B855="Yes",IF(IFERROR(INDEX(_ENGINE_Crisis!$F$501:$F$517,MATCH($C855,_ENGINE_Crisis!$A$501:$A$517,0)),1)=0,1,IFERROR(INDEX(_ENGINE_Crisis!$F$501:$F$517,MATCH($C855,_ENGINE_Crisis!$A$501:$A$517,0)),1)),"")</f>
        <v>1</v>
      </c>
      <c r="AP855">
        <f t="shared" si="197"/>
        <v>15.8</v>
      </c>
      <c r="AQ855">
        <f t="shared" si="198"/>
        <v>1.25</v>
      </c>
      <c r="AR855" t="str">
        <f>IFERROR(INDEX(_ENGINE_Crisis!$E$41:$E$700,MATCH('Resilience &amp; Risk Scenario'!$B$6&amp;"|"&amp;$C855,_ENGINE_Crisis!$I$41:$I$700,0)),"")</f>
        <v/>
      </c>
      <c r="AS855" t="str">
        <f>IFERROR(INDEX(_ENGINE_Crisis!$G$41:$G$700,MATCH('Resilience &amp; Risk Scenario'!$B$6&amp;"|"&amp;$C855,_ENGINE_Crisis!$I$41:$I$700,0)),"")</f>
        <v/>
      </c>
      <c r="AT855" t="str">
        <f>IFERROR(INDEX(_ENGINE_Initiatives!$A$5:$A$532,MATCH(1,INDEX((_ENGINE_Initiatives!$B$5:$B$532=$C855)*(_ENGINE_Initiatives!$C$5:$C$532=$D855),0),0)),"")</f>
        <v>INI-060</v>
      </c>
      <c r="AU855" t="str">
        <f>IFERROR(INDEX(_ENGINE_Initiatives!$F$5:$F$532,MATCH(1,INDEX((_ENGINE_Initiatives!$B$5:$B$532=$C855)*(_ENGINE_Initiatives!$C$5:$C$532=$D855),0),0)),"")</f>
        <v>Create BI analytics layer for crisis and operational decisions</v>
      </c>
      <c r="AV855">
        <f>IFERROR(INDEX(_ENGINE_Initiatives!$AC$5:$AC$532,MATCH(1,INDEX((_ENGINE_Initiatives!$B$5:$B$532=$C855)*(_ENGINE_Initiatives!$C$5:$C$532=$D855),0),0)),"")</f>
        <v>1.31</v>
      </c>
      <c r="AW855" t="str">
        <f>IFERROR(INDEX(_ENGINE_Initiatives!$AE$5:$AE$532,MATCH(1,INDEX((_ENGINE_Initiatives!$B$5:$B$532=$C855)*(_ENGINE_Initiatives!$C$5:$C$532=$D855),0),0)),"")</f>
        <v>12+ months</v>
      </c>
      <c r="AX855">
        <f>IF($B855="Yes",IFERROR((IF(SUMIFS(_REF_Model_Content!$E$1:$E$613,_REF_Model_Content!$A$1:$A$613,PV_Canonical_Industry,_REF_Model_Content!$B$1:$B$613,$C855)=0,1,SUMIFS(_REF_Model_Content!$E$1:$E$613,_REF_Model_Content!$A$1:$A$613,PV_Canonical_Industry,_REF_Model_Content!$B$1:$B$613,$C855))*IFERROR($BU855,1)),1),"")</f>
        <v>1.25</v>
      </c>
      <c r="AY855">
        <f t="shared" si="199"/>
        <v>19.75</v>
      </c>
      <c r="AZ855">
        <f t="shared" si="200"/>
        <v>1.56</v>
      </c>
      <c r="BB855" t="str">
        <f>IF($H855="","",IFERROR(INDEX(_ENGINE_Risk!$AE$5:$AE$499,MATCH($E855,_ENGINE_Risk!$A$5:$A$499,0)),"Medium"))</f>
        <v>Slow</v>
      </c>
      <c r="BC855">
        <f t="shared" si="201"/>
        <v>0.85</v>
      </c>
      <c r="BD855">
        <f t="shared" si="202"/>
        <v>1.56</v>
      </c>
      <c r="BF855">
        <f>IF(OR($H855="",$J855=""),"",IFERROR(VLOOKUP(ROUND($J855,0),_CONFIG_Model_Settings!$D$154:$E$158,2,0),""))</f>
        <v>0.5</v>
      </c>
      <c r="BG855">
        <f>IFERROR(IF(OR($H855="",$K855=""),"",ROUND('Company Profile'!$B$113*INDEX(_CONFIG_Model_Settings!$H$154:$H$158,MATCH(ROUND($K855,0),_CONFIG_Model_Settings!$G$154:$G$158,0)),0)),0)</f>
        <v>1875</v>
      </c>
      <c r="BH855">
        <f t="shared" si="203"/>
        <v>937.5</v>
      </c>
      <c r="BI855">
        <f t="shared" si="204"/>
        <v>937.5</v>
      </c>
      <c r="BJ855">
        <f>IF($E855="","",IFERROR(VLOOKUP($C855,_CONFIG_Risk_Calibration!$A$5:$H$21,2,FALSE),3))</f>
        <v>3</v>
      </c>
      <c r="BK855">
        <f>IF($E855="","",IFERROR(VLOOKUP($C855,_CONFIG_Risk_Calibration!$A$5:$H$21,3,FALSE),0))</f>
        <v>0</v>
      </c>
      <c r="BL855">
        <f>IF($E855="","",IFERROR(VLOOKUP($C855,_CONFIG_Risk_Calibration!$A$5:$H$21,4,FALSE),3))</f>
        <v>3</v>
      </c>
      <c r="BM855">
        <f>IF($E855="","",IFERROR(VLOOKUP($C855,_CONFIG_Risk_Calibration!$A$5:$H$21,5,FALSE),3))</f>
        <v>3</v>
      </c>
      <c r="BN855" t="str">
        <f>IF($E855="","",IFERROR(VLOOKUP($C855,_CONFIG_Risk_Calibration!$A$5:$H$21,6,FALSE),"No"))</f>
        <v>No</v>
      </c>
      <c r="BO855">
        <f>IF($E855="","",IFERROR(VLOOKUP($C855,_CONFIG_Risk_Calibration!$A$5:$H$21,7,FALSE),1))</f>
        <v>1</v>
      </c>
      <c r="BP855">
        <f>IF($H855="","",MAX(1,MIN(5,((6-$H855)*0.45)+($BJ855*0.2)+('Resilience &amp; Risk Scenario'!$B$7*0.15)+($BK855*0.1)+($BL855*0.05)+(IF($BB855="Fast",5,IF($BB855="Slow",1,3))*0.05))))</f>
        <v>3.5</v>
      </c>
      <c r="BQ855">
        <f t="shared" si="205"/>
        <v>4.5</v>
      </c>
      <c r="BR855">
        <f t="shared" si="206"/>
        <v>15.75</v>
      </c>
      <c r="BS855">
        <f t="shared" si="207"/>
        <v>16.73</v>
      </c>
      <c r="BT855" t="str">
        <f>IFERROR(INDEX(_REF_Capability_Bridge!$D:$D,MATCH($C855&amp;"|"&amp;$D855,_REF_Capability_Bridge!$J:$J,0)),IFERROR(INDEX(_REF_Capability_Bridge!$D:$D,MATCH($C855&amp;"|",_REF_Capability_Bridge!$J:$J,0)),"CAP_GENERIC"))</f>
        <v>CAP_DATA_GOVERNANCE</v>
      </c>
      <c r="BU855">
        <f>IFERROR(IFERROR(INDEX(_ENGINE_Relevance!$L:$L,MATCH($BT855,_ENGINE_Relevance!$B:$B,0)),1),1)</f>
        <v>1.25</v>
      </c>
      <c r="BV855" t="str">
        <f>IFERROR(INDEX(_REF_Capability_Bridge!$A:$A,MATCH($C855&amp;"|"&amp;$D855,_REF_Capability_Bridge!$J:$J,0)),IFERROR(INDEX(_REF_Capability_Bridge!$A:$A,MATCH($C855&amp;"|",_REF_Capability_Bridge!$J:$J,0)),"No bridge"))</f>
        <v>BRG-020</v>
      </c>
      <c r="BW855" t="str">
        <f t="shared" si="208"/>
        <v>Capability relevance increases risk priority</v>
      </c>
      <c r="BX855" t="str">
        <f t="shared" si="209"/>
        <v>Initial / absent</v>
      </c>
      <c r="BY855" t="str">
        <f>IF($E855="","",IFERROR(INDEX(_REF_Treatment_Library!$A$2:$A$296,MATCH(1,INDEX((_REF_Treatment_Library!$B$2:$B$296=$BT855)*(_REF_Treatment_Library!$C$2:$C$296=PV_Canonical_Industry)*(_REF_Treatment_Library!$E$2:$E$296&lt;=N($H855))*(_REF_Treatment_Library!$F$2:$F$296&gt;=N($H855))*(_REF_Treatment_Library!$O$2:$O$296="Yes"),0),0)),IFERROR(INDEX(_REF_Treatment_Library!$A$2:$A$296,MATCH(1,INDEX((_REF_Treatment_Library!$B$2:$B$296=$BT855)*(_REF_Treatment_Library!$C$2:$C$296="All")*(_REF_Treatment_Library!$E$2:$E$296&lt;=N($H855))*(_REF_Treatment_Library!$F$2:$F$296&gt;=N($H855))*(_REF_Treatment_Library!$O$2:$O$296="Yes"),0),0)),"")))</f>
        <v>TRT-DATA_GOVERNANCE-INITIAL</v>
      </c>
      <c r="BZ855" t="str">
        <f>IF($BY855="","",IFERROR(INDEX(_REF_Treatment_Library!$H$2:$H$296,MATCH($BY855,_REF_Treatment_Library!$A$2:$A$296,0)),""))</f>
        <v>Establish</v>
      </c>
      <c r="CA855" t="str">
        <f>IF($BY855="","",IFERROR(INDEX(_REF_Treatment_Library!$I$2:$I$296,MATCH($BY855,_REF_Treatment_Library!$A$2:$A$296,0)),""))</f>
        <v>Establish baseline controls for Data governance</v>
      </c>
      <c r="CB855" t="str">
        <f>IF($BY855="","",IFERROR(INDEX(_REF_Treatment_Library!$K$2:$K$296,MATCH($BY855,_REF_Treatment_Library!$A$2:$A$296,0)),""))</f>
        <v>Named owner, baseline process, minimum control checklist, first evidence package</v>
      </c>
      <c r="CC855" t="str">
        <f>IF($BY855="","",IFERROR(INDEX(_REF_Treatment_Library!$L$2:$L$296,MATCH($BY855,_REF_Treatment_Library!$A$2:$A$296,0)),""))</f>
        <v>Owner assigned; baseline evidence coverage; open critical gaps</v>
      </c>
      <c r="CD855" t="str">
        <f t="shared" si="210"/>
        <v>Treatment by capability=CAP_DATA_GOVERNANCE; band=Initial / absent; score=0.0; treatment=Establish</v>
      </c>
      <c r="CE855" t="str">
        <f>IF($E855="","",IFERROR(INDEX(_REF_Industry_Wording!$A$2:$A$70,MATCH(1,INDEX((_REF_Industry_Wording!$B$2:$B$70=$BT855)*(_REF_Industry_Wording!$C$2:$C$70=PV_Canonical_Industry)*(_REF_Industry_Wording!$K$2:$K$70="Yes"),0),0)),IFERROR(INDEX(_REF_Industry_Wording!$A$2:$A$70,MATCH(1,INDEX((_REF_Industry_Wording!$B$2:$B$70=$BT855)*(_REF_Industry_Wording!$C$2:$C$70="All")*(_REF_Industry_Wording!$K$2:$K$70="Yes"),0),0)),"")))</f>
        <v>IW-ALL-DATA_GOVERNANCE</v>
      </c>
      <c r="CF855" t="str">
        <f>IF($CE855="","",IFERROR(INDEX(_REF_Industry_Wording!$E$2:$E$70,MATCH($CE855,_REF_Industry_Wording!$A$2:$A$70,0)),""))</f>
        <v>Data governance weakness</v>
      </c>
      <c r="CG855" t="str">
        <f>IF($CE855="","",IFERROR(INDEX(_REF_Industry_Wording!$F$2:$F$70,MATCH($CE855,_REF_Industry_Wording!$A$2:$A$70,0)),""))</f>
        <v>Strengthen Data governance</v>
      </c>
      <c r="CH855" t="str">
        <f>IF($CE855="","",IFERROR(INDEX(_REF_Industry_Wording!$G$2:$G$70,MATCH($CE855,_REF_Industry_Wording!$A$2:$A$70,0)),""))</f>
        <v>Strengthen Data governance using the selected maturity treatment, crisis scenario and evidence requirements.</v>
      </c>
      <c r="CI855" t="str">
        <f>IF($CE855="","",IFERROR(INDEX(_REF_Industry_Wording!$H$2:$H$70,MATCH($CE855,_REF_Industry_Wording!$A$2:$A$70,0)),""))</f>
        <v>Data governance</v>
      </c>
      <c r="CJ855">
        <f>IF($CE855="","",IFERROR(INDEX(_REF_Industry_Wording!$I$2:$I$70,MATCH($CE855,_REF_Industry_Wording!$A$2:$A$70,0)),""))</f>
        <v>0</v>
      </c>
      <c r="CK855" t="str">
        <f>IF($CE855="","",IFERROR(INDEX(_REF_Industry_Wording!$J$2:$J$70,MATCH($CE855,_REF_Industry_Wording!$A$2:$A$70,0)),""))</f>
        <v>Data governance</v>
      </c>
      <c r="CL855" t="str">
        <f t="shared" si="211"/>
        <v>Wording by industry=0; capability=CAP_DATA_GOVERNANCE; risk label=Data governance weakness</v>
      </c>
      <c r="CM855" t="str">
        <f t="shared" si="212"/>
        <v>RISK-ONT-0356</v>
      </c>
      <c r="CN855" t="str">
        <f t="shared" si="213"/>
        <v>RISK-EVT-0356</v>
      </c>
      <c r="CO855" t="str">
        <f t="shared" si="214"/>
        <v>Data BI AI|BI and analytics|DATA-015|CAP_DATA_GOVERNANCE</v>
      </c>
      <c r="CP855" t="str">
        <f t="shared" si="215"/>
        <v>Active</v>
      </c>
      <c r="CQ855" t="str">
        <f t="shared" si="216"/>
        <v>OK: capability-driven</v>
      </c>
      <c r="CR855" t="str">
        <f t="shared" si="217"/>
        <v>Risk ontology uses capability=CAP_DATA_GOVERNANCE; bridge=BRG-020; treatment=TRT-DATA_GOVERNANCE-INITIAL; wording=IW-ALL-DATA_GOVERNANCE</v>
      </c>
      <c r="CS855" t="str">
        <f t="shared" si="218"/>
        <v>Yes</v>
      </c>
    </row>
    <row r="856" spans="1:97" ht="69.900000000000006" customHeight="1">
      <c r="A856">
        <f>IF(OR($B856&lt;&gt;"Yes",$BS856=""),"",SUMPRODUCT(($B$500:$B$923="Yes")*ISNUMBER($BS$500:$BS$923)*($BS$500:$BS$923&gt;$BS856))+COUNTIFS($B$500:$B856,"Yes",$BS$500:$BS856,$BS856))</f>
        <v>301</v>
      </c>
      <c r="B856" t="str">
        <f t="shared" si="187"/>
        <v>Yes</v>
      </c>
      <c r="C856" t="s">
        <v>2824</v>
      </c>
      <c r="D856" t="s">
        <v>2845</v>
      </c>
      <c r="E856" t="s">
        <v>2914</v>
      </c>
      <c r="F856" t="s">
        <v>4418</v>
      </c>
      <c r="G856" t="str">
        <f>IF($H856="","",IFERROR(INDEX(_ENGINE_Risk!$H$5:$M$499,MATCH($E856,_ENGINE_Risk!$A$5:$A$499,0),$H856+1),""))</f>
        <v>Severe risk: self-service analytics governance to avoid uncontrolled reporting is not reliably controlled. During Decision failure; Data loss; Regulatory/legal shock, the organization may face poor decisions, unreliable reporting, data quality problems and unsafe or ineffective AI usage with limited visibility or accountability.</v>
      </c>
      <c r="H856">
        <f>IFERROR(VALUE(INDEX(_DATA_Assessment_Model!$H$5:$H$884,MATCH($E856,_DATA_Assessment_Model!$A$5:$A$884,0))),"")</f>
        <v>0</v>
      </c>
      <c r="I856" t="str">
        <f>IF($H856="","",IFERROR(INDEX(_DATA_Assessment_Model!$L$5:$L$884,MATCH($E856,_DATA_Assessment_Model!$A$5:$A$884,0)),IF($H856&lt;=1,"Critical",IF($H856=2,"High",IF($H856=3,"Medium",IF($H856=4,"Low","Resilient"))))))</f>
        <v>Critical</v>
      </c>
      <c r="J856">
        <f t="shared" si="188"/>
        <v>3.5</v>
      </c>
      <c r="K856">
        <f t="shared" si="189"/>
        <v>4.3</v>
      </c>
      <c r="L856">
        <f t="shared" si="190"/>
        <v>15.049999999999999</v>
      </c>
      <c r="M856">
        <f t="shared" si="191"/>
        <v>4</v>
      </c>
      <c r="N856">
        <f>IF($H856="","",IFERROR(INDEX(_ENGINE_Risk!$T$5:$Y$499,MATCH($E856,_ENGINE_Risk!$A$5:$A$499,0),$H856+1),""))</f>
        <v>4</v>
      </c>
      <c r="O856">
        <f t="shared" si="192"/>
        <v>4.666666666666667</v>
      </c>
      <c r="P856">
        <f t="shared" si="193"/>
        <v>5</v>
      </c>
      <c r="Q856">
        <f t="shared" si="194"/>
        <v>5</v>
      </c>
      <c r="R856">
        <f t="shared" si="195"/>
        <v>5</v>
      </c>
      <c r="S856">
        <f t="shared" si="196"/>
        <v>1.23</v>
      </c>
      <c r="T856" t="str">
        <f>IF($H856="","",IFERROR(INDEX(_ENGINE_Risk!$N$5:$S$499,MATCH($E856,_ENGINE_Risk!$A$5:$A$499,0),$H856+1),""))</f>
        <v>Create an immediate risk owner, minimum control baseline and fallback procedure for self-service analytics governance to avoid uncontrolled reporting. Add it to the crisis risk register and collect first evidence.</v>
      </c>
      <c r="U856">
        <f>IFERROR(INDEX(_DATA_Assessment_Model!$G$5:$G$884,MATCH($E856,_DATA_Assessment_Model!$A$5:$A$884,0)),"")</f>
        <v>4</v>
      </c>
      <c r="V856">
        <f>IFERROR(INDEX(_DATA_Assessment_Model!$W$5:$W$884,MATCH($E856,_DATA_Assessment_Model!$A$5:$A$884,0)),"")</f>
        <v>5</v>
      </c>
      <c r="W856">
        <f>IFERROR(INDEX(_DATA_Assessment_Model!$X$5:$X$884,MATCH($E856,_DATA_Assessment_Model!$A$5:$A$884,0)),"")</f>
        <v>5</v>
      </c>
      <c r="X856">
        <f>IFERROR(INDEX(_DATA_Assessment_Model!$Y$5:$Y$884,MATCH($E856,_DATA_Assessment_Model!$A$5:$A$884,0)),"")</f>
        <v>5</v>
      </c>
      <c r="Y856" t="s">
        <v>2831</v>
      </c>
      <c r="Z856" t="s">
        <v>9432</v>
      </c>
      <c r="AA856" t="s">
        <v>2916</v>
      </c>
      <c r="AB856">
        <f>IFERROR(INDEX(_DATA_Assessment_Model!$U$5:$U$884,MATCH($E856,_DATA_Assessment_Model!$A$5:$A$884,0)),"")</f>
        <v>0</v>
      </c>
      <c r="AF856" t="s">
        <v>2915</v>
      </c>
      <c r="AO856">
        <f>IF($B856="Yes",IF(IFERROR(INDEX(_ENGINE_Crisis!$F$501:$F$517,MATCH($C856,_ENGINE_Crisis!$A$501:$A$517,0)),1)=0,1,IFERROR(INDEX(_ENGINE_Crisis!$F$501:$F$517,MATCH($C856,_ENGINE_Crisis!$A$501:$A$517,0)),1)),"")</f>
        <v>1</v>
      </c>
      <c r="AP856">
        <f t="shared" si="197"/>
        <v>15.1</v>
      </c>
      <c r="AQ856">
        <f t="shared" si="198"/>
        <v>1.23</v>
      </c>
      <c r="AR856" t="str">
        <f>IFERROR(INDEX(_ENGINE_Crisis!$E$41:$E$700,MATCH('Resilience &amp; Risk Scenario'!$B$6&amp;"|"&amp;$C856,_ENGINE_Crisis!$I$41:$I$700,0)),"")</f>
        <v/>
      </c>
      <c r="AS856" t="str">
        <f>IFERROR(INDEX(_ENGINE_Crisis!$G$41:$G$700,MATCH('Resilience &amp; Risk Scenario'!$B$6&amp;"|"&amp;$C856,_ENGINE_Crisis!$I$41:$I$700,0)),"")</f>
        <v/>
      </c>
      <c r="AT856" t="str">
        <f>IFERROR(INDEX(_ENGINE_Initiatives!$A$5:$A$532,MATCH(1,INDEX((_ENGINE_Initiatives!$B$5:$B$532=$C856)*(_ENGINE_Initiatives!$C$5:$C$532=$D856),0),0)),"")</f>
        <v>INI-060</v>
      </c>
      <c r="AU856" t="str">
        <f>IFERROR(INDEX(_ENGINE_Initiatives!$F$5:$F$532,MATCH(1,INDEX((_ENGINE_Initiatives!$B$5:$B$532=$C856)*(_ENGINE_Initiatives!$C$5:$C$532=$D856),0),0)),"")</f>
        <v>Create BI analytics layer for crisis and operational decisions</v>
      </c>
      <c r="AV856">
        <f>IFERROR(INDEX(_ENGINE_Initiatives!$AC$5:$AC$532,MATCH(1,INDEX((_ENGINE_Initiatives!$B$5:$B$532=$C856)*(_ENGINE_Initiatives!$C$5:$C$532=$D856),0),0)),"")</f>
        <v>1.31</v>
      </c>
      <c r="AW856" t="str">
        <f>IFERROR(INDEX(_ENGINE_Initiatives!$AE$5:$AE$532,MATCH(1,INDEX((_ENGINE_Initiatives!$B$5:$B$532=$C856)*(_ENGINE_Initiatives!$C$5:$C$532=$D856),0),0)),"")</f>
        <v>12+ months</v>
      </c>
      <c r="AX856">
        <f>IF($B856="Yes",IFERROR((IF(SUMIFS(_REF_Model_Content!$E$1:$E$613,_REF_Model_Content!$A$1:$A$613,PV_Canonical_Industry,_REF_Model_Content!$B$1:$B$613,$C856)=0,1,SUMIFS(_REF_Model_Content!$E$1:$E$613,_REF_Model_Content!$A$1:$A$613,PV_Canonical_Industry,_REF_Model_Content!$B$1:$B$613,$C856))*IFERROR($BU856,1)),1),"")</f>
        <v>1.25</v>
      </c>
      <c r="AY856">
        <f t="shared" si="199"/>
        <v>18.88</v>
      </c>
      <c r="AZ856">
        <f t="shared" si="200"/>
        <v>1.54</v>
      </c>
      <c r="BB856" t="str">
        <f>IF($H856="","",IFERROR(INDEX(_ENGINE_Risk!$AE$5:$AE$499,MATCH($E856,_ENGINE_Risk!$A$5:$A$499,0)),"Medium"))</f>
        <v>Slow</v>
      </c>
      <c r="BC856">
        <f t="shared" si="201"/>
        <v>0.85</v>
      </c>
      <c r="BD856">
        <f t="shared" si="202"/>
        <v>1.54</v>
      </c>
      <c r="BF856">
        <f>IF(OR($H856="",$J856=""),"",IFERROR(VLOOKUP(ROUND($J856,0),_CONFIG_Model_Settings!$D$154:$E$158,2,0),""))</f>
        <v>0.5</v>
      </c>
      <c r="BG856">
        <f>IFERROR(IF(OR($H856="",$K856=""),"",ROUND('Company Profile'!$B$113*INDEX(_CONFIG_Model_Settings!$H$154:$H$158,MATCH(ROUND($K856,0),_CONFIG_Model_Settings!$G$154:$G$158,0)),0)),0)</f>
        <v>875</v>
      </c>
      <c r="BH856">
        <f t="shared" si="203"/>
        <v>437.5</v>
      </c>
      <c r="BI856">
        <f t="shared" si="204"/>
        <v>437.5</v>
      </c>
      <c r="BJ856">
        <f>IF($E856="","",IFERROR(VLOOKUP($C856,_CONFIG_Risk_Calibration!$A$5:$H$21,2,FALSE),3))</f>
        <v>3</v>
      </c>
      <c r="BK856">
        <f>IF($E856="","",IFERROR(VLOOKUP($C856,_CONFIG_Risk_Calibration!$A$5:$H$21,3,FALSE),0))</f>
        <v>0</v>
      </c>
      <c r="BL856">
        <f>IF($E856="","",IFERROR(VLOOKUP($C856,_CONFIG_Risk_Calibration!$A$5:$H$21,4,FALSE),3))</f>
        <v>3</v>
      </c>
      <c r="BM856">
        <f>IF($E856="","",IFERROR(VLOOKUP($C856,_CONFIG_Risk_Calibration!$A$5:$H$21,5,FALSE),3))</f>
        <v>3</v>
      </c>
      <c r="BN856" t="str">
        <f>IF($E856="","",IFERROR(VLOOKUP($C856,_CONFIG_Risk_Calibration!$A$5:$H$21,6,FALSE),"No"))</f>
        <v>No</v>
      </c>
      <c r="BO856">
        <f>IF($E856="","",IFERROR(VLOOKUP($C856,_CONFIG_Risk_Calibration!$A$5:$H$21,7,FALSE),1))</f>
        <v>1</v>
      </c>
      <c r="BP856">
        <f>IF($H856="","",MAX(1,MIN(5,((6-$H856)*0.45)+($BJ856*0.2)+('Resilience &amp; Risk Scenario'!$B$7*0.15)+($BK856*0.1)+($BL856*0.05)+(IF($BB856="Fast",5,IF($BB856="Slow",1,3))*0.05))))</f>
        <v>3.5</v>
      </c>
      <c r="BQ856">
        <f t="shared" si="205"/>
        <v>4.3</v>
      </c>
      <c r="BR856">
        <f t="shared" si="206"/>
        <v>15.05</v>
      </c>
      <c r="BS856">
        <f t="shared" si="207"/>
        <v>15.99</v>
      </c>
      <c r="BT856" t="str">
        <f>IFERROR(INDEX(_REF_Capability_Bridge!$D:$D,MATCH($C856&amp;"|"&amp;$D856,_REF_Capability_Bridge!$J:$J,0)),IFERROR(INDEX(_REF_Capability_Bridge!$D:$D,MATCH($C856&amp;"|",_REF_Capability_Bridge!$J:$J,0)),"CAP_GENERIC"))</f>
        <v>CAP_DATA_GOVERNANCE</v>
      </c>
      <c r="BU856">
        <f>IFERROR(IFERROR(INDEX(_ENGINE_Relevance!$L:$L,MATCH($BT856,_ENGINE_Relevance!$B:$B,0)),1),1)</f>
        <v>1.25</v>
      </c>
      <c r="BV856" t="str">
        <f>IFERROR(INDEX(_REF_Capability_Bridge!$A:$A,MATCH($C856&amp;"|"&amp;$D856,_REF_Capability_Bridge!$J:$J,0)),IFERROR(INDEX(_REF_Capability_Bridge!$A:$A,MATCH($C856&amp;"|",_REF_Capability_Bridge!$J:$J,0)),"No bridge"))</f>
        <v>BRG-020</v>
      </c>
      <c r="BW856" t="str">
        <f t="shared" si="208"/>
        <v>Capability relevance increases risk priority</v>
      </c>
      <c r="BX856" t="str">
        <f t="shared" si="209"/>
        <v>Initial / absent</v>
      </c>
      <c r="BY856" t="str">
        <f>IF($E856="","",IFERROR(INDEX(_REF_Treatment_Library!$A$2:$A$296,MATCH(1,INDEX((_REF_Treatment_Library!$B$2:$B$296=$BT856)*(_REF_Treatment_Library!$C$2:$C$296=PV_Canonical_Industry)*(_REF_Treatment_Library!$E$2:$E$296&lt;=N($H856))*(_REF_Treatment_Library!$F$2:$F$296&gt;=N($H856))*(_REF_Treatment_Library!$O$2:$O$296="Yes"),0),0)),IFERROR(INDEX(_REF_Treatment_Library!$A$2:$A$296,MATCH(1,INDEX((_REF_Treatment_Library!$B$2:$B$296=$BT856)*(_REF_Treatment_Library!$C$2:$C$296="All")*(_REF_Treatment_Library!$E$2:$E$296&lt;=N($H856))*(_REF_Treatment_Library!$F$2:$F$296&gt;=N($H856))*(_REF_Treatment_Library!$O$2:$O$296="Yes"),0),0)),"")))</f>
        <v>TRT-DATA_GOVERNANCE-INITIAL</v>
      </c>
      <c r="BZ856" t="str">
        <f>IF($BY856="","",IFERROR(INDEX(_REF_Treatment_Library!$H$2:$H$296,MATCH($BY856,_REF_Treatment_Library!$A$2:$A$296,0)),""))</f>
        <v>Establish</v>
      </c>
      <c r="CA856" t="str">
        <f>IF($BY856="","",IFERROR(INDEX(_REF_Treatment_Library!$I$2:$I$296,MATCH($BY856,_REF_Treatment_Library!$A$2:$A$296,0)),""))</f>
        <v>Establish baseline controls for Data governance</v>
      </c>
      <c r="CB856" t="str">
        <f>IF($BY856="","",IFERROR(INDEX(_REF_Treatment_Library!$K$2:$K$296,MATCH($BY856,_REF_Treatment_Library!$A$2:$A$296,0)),""))</f>
        <v>Named owner, baseline process, minimum control checklist, first evidence package</v>
      </c>
      <c r="CC856" t="str">
        <f>IF($BY856="","",IFERROR(INDEX(_REF_Treatment_Library!$L$2:$L$296,MATCH($BY856,_REF_Treatment_Library!$A$2:$A$296,0)),""))</f>
        <v>Owner assigned; baseline evidence coverage; open critical gaps</v>
      </c>
      <c r="CD856" t="str">
        <f t="shared" si="210"/>
        <v>Treatment by capability=CAP_DATA_GOVERNANCE; band=Initial / absent; score=0.0; treatment=Establish</v>
      </c>
      <c r="CE856" t="str">
        <f>IF($E856="","",IFERROR(INDEX(_REF_Industry_Wording!$A$2:$A$70,MATCH(1,INDEX((_REF_Industry_Wording!$B$2:$B$70=$BT856)*(_REF_Industry_Wording!$C$2:$C$70=PV_Canonical_Industry)*(_REF_Industry_Wording!$K$2:$K$70="Yes"),0),0)),IFERROR(INDEX(_REF_Industry_Wording!$A$2:$A$70,MATCH(1,INDEX((_REF_Industry_Wording!$B$2:$B$70=$BT856)*(_REF_Industry_Wording!$C$2:$C$70="All")*(_REF_Industry_Wording!$K$2:$K$70="Yes"),0),0)),"")))</f>
        <v>IW-ALL-DATA_GOVERNANCE</v>
      </c>
      <c r="CF856" t="str">
        <f>IF($CE856="","",IFERROR(INDEX(_REF_Industry_Wording!$E$2:$E$70,MATCH($CE856,_REF_Industry_Wording!$A$2:$A$70,0)),""))</f>
        <v>Data governance weakness</v>
      </c>
      <c r="CG856" t="str">
        <f>IF($CE856="","",IFERROR(INDEX(_REF_Industry_Wording!$F$2:$F$70,MATCH($CE856,_REF_Industry_Wording!$A$2:$A$70,0)),""))</f>
        <v>Strengthen Data governance</v>
      </c>
      <c r="CH856" t="str">
        <f>IF($CE856="","",IFERROR(INDEX(_REF_Industry_Wording!$G$2:$G$70,MATCH($CE856,_REF_Industry_Wording!$A$2:$A$70,0)),""))</f>
        <v>Strengthen Data governance using the selected maturity treatment, crisis scenario and evidence requirements.</v>
      </c>
      <c r="CI856" t="str">
        <f>IF($CE856="","",IFERROR(INDEX(_REF_Industry_Wording!$H$2:$H$70,MATCH($CE856,_REF_Industry_Wording!$A$2:$A$70,0)),""))</f>
        <v>Data governance</v>
      </c>
      <c r="CJ856">
        <f>IF($CE856="","",IFERROR(INDEX(_REF_Industry_Wording!$I$2:$I$70,MATCH($CE856,_REF_Industry_Wording!$A$2:$A$70,0)),""))</f>
        <v>0</v>
      </c>
      <c r="CK856" t="str">
        <f>IF($CE856="","",IFERROR(INDEX(_REF_Industry_Wording!$J$2:$J$70,MATCH($CE856,_REF_Industry_Wording!$A$2:$A$70,0)),""))</f>
        <v>Data governance</v>
      </c>
      <c r="CL856" t="str">
        <f t="shared" si="211"/>
        <v>Wording by industry=0; capability=CAP_DATA_GOVERNANCE; risk label=Data governance weakness</v>
      </c>
      <c r="CM856" t="str">
        <f t="shared" si="212"/>
        <v>RISK-ONT-0357</v>
      </c>
      <c r="CN856" t="str">
        <f t="shared" si="213"/>
        <v>RISK-EVT-0357</v>
      </c>
      <c r="CO856" t="str">
        <f t="shared" si="214"/>
        <v>Data BI AI|BI and analytics|DATA-016|CAP_DATA_GOVERNANCE</v>
      </c>
      <c r="CP856" t="str">
        <f t="shared" si="215"/>
        <v>Active</v>
      </c>
      <c r="CQ856" t="str">
        <f t="shared" si="216"/>
        <v>OK: capability-driven</v>
      </c>
      <c r="CR856" t="str">
        <f t="shared" si="217"/>
        <v>Risk ontology uses capability=CAP_DATA_GOVERNANCE; bridge=BRG-020; treatment=TRT-DATA_GOVERNANCE-INITIAL; wording=IW-ALL-DATA_GOVERNANCE</v>
      </c>
      <c r="CS856" t="str">
        <f t="shared" si="218"/>
        <v>Yes</v>
      </c>
    </row>
    <row r="857" spans="1:97" ht="69.900000000000006" customHeight="1">
      <c r="A857">
        <f>IF(OR($B857&lt;&gt;"Yes",$BS857=""),"",SUMPRODUCT(($B$500:$B$923="Yes")*ISNUMBER($BS$500:$BS$923)*($BS$500:$BS$923&gt;$BS857))+COUNTIFS($B$500:$B857,"Yes",$BS$500:$BS857,$BS857))</f>
        <v>262</v>
      </c>
      <c r="B857" t="str">
        <f t="shared" si="187"/>
        <v>Yes</v>
      </c>
      <c r="C857" t="s">
        <v>2824</v>
      </c>
      <c r="D857" t="s">
        <v>2845</v>
      </c>
      <c r="E857" t="s">
        <v>2923</v>
      </c>
      <c r="F857" t="s">
        <v>4418</v>
      </c>
      <c r="G857" t="str">
        <f>IF($H857="","",IFERROR(INDEX(_ENGINE_Risk!$H$5:$M$499,MATCH($E857,_ENGINE_Risk!$A$5:$A$499,0),$H857+1),""))</f>
        <v>Severe risk: rapid ad hoc crisis reporting without breaking data controls is not reliably controlled. During Decision failure; Data loss; Regulatory/legal shock, the organization may face poor decisions, unreliable reporting, data quality problems and unsafe or ineffective AI usage with limited visibility or accountability.</v>
      </c>
      <c r="H857">
        <f>IFERROR(VALUE(INDEX(_DATA_Assessment_Model!$H$5:$H$884,MATCH($E857,_DATA_Assessment_Model!$A$5:$A$884,0))),"")</f>
        <v>0</v>
      </c>
      <c r="I857" t="str">
        <f>IF($H857="","",IFERROR(INDEX(_DATA_Assessment_Model!$L$5:$L$884,MATCH($E857,_DATA_Assessment_Model!$A$5:$A$884,0)),IF($H857&lt;=1,"Critical",IF($H857=2,"High",IF($H857=3,"Medium",IF($H857=4,"Low","Resilient"))))))</f>
        <v>Critical</v>
      </c>
      <c r="J857">
        <f t="shared" si="188"/>
        <v>3.5</v>
      </c>
      <c r="K857">
        <f t="shared" si="189"/>
        <v>4.5</v>
      </c>
      <c r="L857">
        <f t="shared" si="190"/>
        <v>15.75</v>
      </c>
      <c r="M857">
        <f t="shared" si="191"/>
        <v>4</v>
      </c>
      <c r="N857">
        <f>IF($H857="","",IFERROR(INDEX(_ENGINE_Risk!$T$5:$Y$499,MATCH($E857,_ENGINE_Risk!$A$5:$A$499,0),$H857+1),""))</f>
        <v>4</v>
      </c>
      <c r="O857">
        <f t="shared" si="192"/>
        <v>5</v>
      </c>
      <c r="P857">
        <f t="shared" si="193"/>
        <v>5</v>
      </c>
      <c r="Q857">
        <f t="shared" si="194"/>
        <v>5</v>
      </c>
      <c r="R857">
        <f t="shared" si="195"/>
        <v>5</v>
      </c>
      <c r="S857">
        <f t="shared" si="196"/>
        <v>1.25</v>
      </c>
      <c r="T857" t="str">
        <f>IF($H857="","",IFERROR(INDEX(_ENGINE_Risk!$N$5:$S$499,MATCH($E857,_ENGINE_Risk!$A$5:$A$499,0),$H857+1),""))</f>
        <v>Create an immediate risk owner, minimum control baseline and fallback procedure for rapid ad hoc crisis reporting without breaking data controls. Add it to the crisis risk register and collect first evidence.</v>
      </c>
      <c r="U857">
        <f>IFERROR(INDEX(_DATA_Assessment_Model!$G$5:$G$884,MATCH($E857,_DATA_Assessment_Model!$A$5:$A$884,0)),"")</f>
        <v>5</v>
      </c>
      <c r="V857">
        <f>IFERROR(INDEX(_DATA_Assessment_Model!$W$5:$W$884,MATCH($E857,_DATA_Assessment_Model!$A$5:$A$884,0)),"")</f>
        <v>5</v>
      </c>
      <c r="W857">
        <f>IFERROR(INDEX(_DATA_Assessment_Model!$X$5:$X$884,MATCH($E857,_DATA_Assessment_Model!$A$5:$A$884,0)),"")</f>
        <v>5</v>
      </c>
      <c r="X857">
        <f>IFERROR(INDEX(_DATA_Assessment_Model!$Y$5:$Y$884,MATCH($E857,_DATA_Assessment_Model!$A$5:$A$884,0)),"")</f>
        <v>5</v>
      </c>
      <c r="Y857" t="s">
        <v>2831</v>
      </c>
      <c r="Z857" t="s">
        <v>9432</v>
      </c>
      <c r="AA857" t="s">
        <v>2925</v>
      </c>
      <c r="AB857">
        <f>IFERROR(INDEX(_DATA_Assessment_Model!$U$5:$U$884,MATCH($E857,_DATA_Assessment_Model!$A$5:$A$884,0)),"")</f>
        <v>0</v>
      </c>
      <c r="AF857" t="s">
        <v>2924</v>
      </c>
      <c r="AO857">
        <f>IF($B857="Yes",IF(IFERROR(INDEX(_ENGINE_Crisis!$F$501:$F$517,MATCH($C857,_ENGINE_Crisis!$A$501:$A$517,0)),1)=0,1,IFERROR(INDEX(_ENGINE_Crisis!$F$501:$F$517,MATCH($C857,_ENGINE_Crisis!$A$501:$A$517,0)),1)),"")</f>
        <v>1</v>
      </c>
      <c r="AP857">
        <f t="shared" si="197"/>
        <v>15.8</v>
      </c>
      <c r="AQ857">
        <f t="shared" si="198"/>
        <v>1.25</v>
      </c>
      <c r="AR857" t="str">
        <f>IFERROR(INDEX(_ENGINE_Crisis!$E$41:$E$700,MATCH('Resilience &amp; Risk Scenario'!$B$6&amp;"|"&amp;$C857,_ENGINE_Crisis!$I$41:$I$700,0)),"")</f>
        <v/>
      </c>
      <c r="AS857" t="str">
        <f>IFERROR(INDEX(_ENGINE_Crisis!$G$41:$G$700,MATCH('Resilience &amp; Risk Scenario'!$B$6&amp;"|"&amp;$C857,_ENGINE_Crisis!$I$41:$I$700,0)),"")</f>
        <v/>
      </c>
      <c r="AT857" t="str">
        <f>IFERROR(INDEX(_ENGINE_Initiatives!$A$5:$A$532,MATCH(1,INDEX((_ENGINE_Initiatives!$B$5:$B$532=$C857)*(_ENGINE_Initiatives!$C$5:$C$532=$D857),0),0)),"")</f>
        <v>INI-060</v>
      </c>
      <c r="AU857" t="str">
        <f>IFERROR(INDEX(_ENGINE_Initiatives!$F$5:$F$532,MATCH(1,INDEX((_ENGINE_Initiatives!$B$5:$B$532=$C857)*(_ENGINE_Initiatives!$C$5:$C$532=$D857),0),0)),"")</f>
        <v>Create BI analytics layer for crisis and operational decisions</v>
      </c>
      <c r="AV857">
        <f>IFERROR(INDEX(_ENGINE_Initiatives!$AC$5:$AC$532,MATCH(1,INDEX((_ENGINE_Initiatives!$B$5:$B$532=$C857)*(_ENGINE_Initiatives!$C$5:$C$532=$D857),0),0)),"")</f>
        <v>1.31</v>
      </c>
      <c r="AW857" t="str">
        <f>IFERROR(INDEX(_ENGINE_Initiatives!$AE$5:$AE$532,MATCH(1,INDEX((_ENGINE_Initiatives!$B$5:$B$532=$C857)*(_ENGINE_Initiatives!$C$5:$C$532=$D857),0),0)),"")</f>
        <v>12+ months</v>
      </c>
      <c r="AX857">
        <f>IF($B857="Yes",IFERROR((IF(SUMIFS(_REF_Model_Content!$E$1:$E$613,_REF_Model_Content!$A$1:$A$613,PV_Canonical_Industry,_REF_Model_Content!$B$1:$B$613,$C857)=0,1,SUMIFS(_REF_Model_Content!$E$1:$E$613,_REF_Model_Content!$A$1:$A$613,PV_Canonical_Industry,_REF_Model_Content!$B$1:$B$613,$C857))*IFERROR($BU857,1)),1),"")</f>
        <v>1.25</v>
      </c>
      <c r="AY857">
        <f t="shared" si="199"/>
        <v>19.75</v>
      </c>
      <c r="AZ857">
        <f t="shared" si="200"/>
        <v>1.56</v>
      </c>
      <c r="BB857" t="str">
        <f>IF($H857="","",IFERROR(INDEX(_ENGINE_Risk!$AE$5:$AE$499,MATCH($E857,_ENGINE_Risk!$A$5:$A$499,0)),"Medium"))</f>
        <v>Slow</v>
      </c>
      <c r="BC857">
        <f t="shared" si="201"/>
        <v>0.85</v>
      </c>
      <c r="BD857">
        <f t="shared" si="202"/>
        <v>1.56</v>
      </c>
      <c r="BF857">
        <f>IF(OR($H857="",$J857=""),"",IFERROR(VLOOKUP(ROUND($J857,0),_CONFIG_Model_Settings!$D$154:$E$158,2,0),""))</f>
        <v>0.5</v>
      </c>
      <c r="BG857">
        <f>IFERROR(IF(OR($H857="",$K857=""),"",ROUND('Company Profile'!$B$113*INDEX(_CONFIG_Model_Settings!$H$154:$H$158,MATCH(ROUND($K857,0),_CONFIG_Model_Settings!$G$154:$G$158,0)),0)),0)</f>
        <v>1875</v>
      </c>
      <c r="BH857">
        <f t="shared" si="203"/>
        <v>937.5</v>
      </c>
      <c r="BI857">
        <f t="shared" si="204"/>
        <v>937.5</v>
      </c>
      <c r="BJ857">
        <f>IF($E857="","",IFERROR(VLOOKUP($C857,_CONFIG_Risk_Calibration!$A$5:$H$21,2,FALSE),3))</f>
        <v>3</v>
      </c>
      <c r="BK857">
        <f>IF($E857="","",IFERROR(VLOOKUP($C857,_CONFIG_Risk_Calibration!$A$5:$H$21,3,FALSE),0))</f>
        <v>0</v>
      </c>
      <c r="BL857">
        <f>IF($E857="","",IFERROR(VLOOKUP($C857,_CONFIG_Risk_Calibration!$A$5:$H$21,4,FALSE),3))</f>
        <v>3</v>
      </c>
      <c r="BM857">
        <f>IF($E857="","",IFERROR(VLOOKUP($C857,_CONFIG_Risk_Calibration!$A$5:$H$21,5,FALSE),3))</f>
        <v>3</v>
      </c>
      <c r="BN857" t="str">
        <f>IF($E857="","",IFERROR(VLOOKUP($C857,_CONFIG_Risk_Calibration!$A$5:$H$21,6,FALSE),"No"))</f>
        <v>No</v>
      </c>
      <c r="BO857">
        <f>IF($E857="","",IFERROR(VLOOKUP($C857,_CONFIG_Risk_Calibration!$A$5:$H$21,7,FALSE),1))</f>
        <v>1</v>
      </c>
      <c r="BP857">
        <f>IF($H857="","",MAX(1,MIN(5,((6-$H857)*0.45)+($BJ857*0.2)+('Resilience &amp; Risk Scenario'!$B$7*0.15)+($BK857*0.1)+($BL857*0.05)+(IF($BB857="Fast",5,IF($BB857="Slow",1,3))*0.05))))</f>
        <v>3.5</v>
      </c>
      <c r="BQ857">
        <f t="shared" si="205"/>
        <v>4.5</v>
      </c>
      <c r="BR857">
        <f t="shared" si="206"/>
        <v>15.75</v>
      </c>
      <c r="BS857">
        <f t="shared" si="207"/>
        <v>16.73</v>
      </c>
      <c r="BT857" t="str">
        <f>IFERROR(INDEX(_REF_Capability_Bridge!$D:$D,MATCH($C857&amp;"|"&amp;$D857,_REF_Capability_Bridge!$J:$J,0)),IFERROR(INDEX(_REF_Capability_Bridge!$D:$D,MATCH($C857&amp;"|",_REF_Capability_Bridge!$J:$J,0)),"CAP_GENERIC"))</f>
        <v>CAP_DATA_GOVERNANCE</v>
      </c>
      <c r="BU857">
        <f>IFERROR(IFERROR(INDEX(_ENGINE_Relevance!$L:$L,MATCH($BT857,_ENGINE_Relevance!$B:$B,0)),1),1)</f>
        <v>1.25</v>
      </c>
      <c r="BV857" t="str">
        <f>IFERROR(INDEX(_REF_Capability_Bridge!$A:$A,MATCH($C857&amp;"|"&amp;$D857,_REF_Capability_Bridge!$J:$J,0)),IFERROR(INDEX(_REF_Capability_Bridge!$A:$A,MATCH($C857&amp;"|",_REF_Capability_Bridge!$J:$J,0)),"No bridge"))</f>
        <v>BRG-020</v>
      </c>
      <c r="BW857" t="str">
        <f t="shared" si="208"/>
        <v>Capability relevance increases risk priority</v>
      </c>
      <c r="BX857" t="str">
        <f t="shared" si="209"/>
        <v>Initial / absent</v>
      </c>
      <c r="BY857" t="str">
        <f>IF($E857="","",IFERROR(INDEX(_REF_Treatment_Library!$A$2:$A$296,MATCH(1,INDEX((_REF_Treatment_Library!$B$2:$B$296=$BT857)*(_REF_Treatment_Library!$C$2:$C$296=PV_Canonical_Industry)*(_REF_Treatment_Library!$E$2:$E$296&lt;=N($H857))*(_REF_Treatment_Library!$F$2:$F$296&gt;=N($H857))*(_REF_Treatment_Library!$O$2:$O$296="Yes"),0),0)),IFERROR(INDEX(_REF_Treatment_Library!$A$2:$A$296,MATCH(1,INDEX((_REF_Treatment_Library!$B$2:$B$296=$BT857)*(_REF_Treatment_Library!$C$2:$C$296="All")*(_REF_Treatment_Library!$E$2:$E$296&lt;=N($H857))*(_REF_Treatment_Library!$F$2:$F$296&gt;=N($H857))*(_REF_Treatment_Library!$O$2:$O$296="Yes"),0),0)),"")))</f>
        <v>TRT-DATA_GOVERNANCE-INITIAL</v>
      </c>
      <c r="BZ857" t="str">
        <f>IF($BY857="","",IFERROR(INDEX(_REF_Treatment_Library!$H$2:$H$296,MATCH($BY857,_REF_Treatment_Library!$A$2:$A$296,0)),""))</f>
        <v>Establish</v>
      </c>
      <c r="CA857" t="str">
        <f>IF($BY857="","",IFERROR(INDEX(_REF_Treatment_Library!$I$2:$I$296,MATCH($BY857,_REF_Treatment_Library!$A$2:$A$296,0)),""))</f>
        <v>Establish baseline controls for Data governance</v>
      </c>
      <c r="CB857" t="str">
        <f>IF($BY857="","",IFERROR(INDEX(_REF_Treatment_Library!$K$2:$K$296,MATCH($BY857,_REF_Treatment_Library!$A$2:$A$296,0)),""))</f>
        <v>Named owner, baseline process, minimum control checklist, first evidence package</v>
      </c>
      <c r="CC857" t="str">
        <f>IF($BY857="","",IFERROR(INDEX(_REF_Treatment_Library!$L$2:$L$296,MATCH($BY857,_REF_Treatment_Library!$A$2:$A$296,0)),""))</f>
        <v>Owner assigned; baseline evidence coverage; open critical gaps</v>
      </c>
      <c r="CD857" t="str">
        <f t="shared" si="210"/>
        <v>Treatment by capability=CAP_DATA_GOVERNANCE; band=Initial / absent; score=0.0; treatment=Establish</v>
      </c>
      <c r="CE857" t="str">
        <f>IF($E857="","",IFERROR(INDEX(_REF_Industry_Wording!$A$2:$A$70,MATCH(1,INDEX((_REF_Industry_Wording!$B$2:$B$70=$BT857)*(_REF_Industry_Wording!$C$2:$C$70=PV_Canonical_Industry)*(_REF_Industry_Wording!$K$2:$K$70="Yes"),0),0)),IFERROR(INDEX(_REF_Industry_Wording!$A$2:$A$70,MATCH(1,INDEX((_REF_Industry_Wording!$B$2:$B$70=$BT857)*(_REF_Industry_Wording!$C$2:$C$70="All")*(_REF_Industry_Wording!$K$2:$K$70="Yes"),0),0)),"")))</f>
        <v>IW-ALL-DATA_GOVERNANCE</v>
      </c>
      <c r="CF857" t="str">
        <f>IF($CE857="","",IFERROR(INDEX(_REF_Industry_Wording!$E$2:$E$70,MATCH($CE857,_REF_Industry_Wording!$A$2:$A$70,0)),""))</f>
        <v>Data governance weakness</v>
      </c>
      <c r="CG857" t="str">
        <f>IF($CE857="","",IFERROR(INDEX(_REF_Industry_Wording!$F$2:$F$70,MATCH($CE857,_REF_Industry_Wording!$A$2:$A$70,0)),""))</f>
        <v>Strengthen Data governance</v>
      </c>
      <c r="CH857" t="str">
        <f>IF($CE857="","",IFERROR(INDEX(_REF_Industry_Wording!$G$2:$G$70,MATCH($CE857,_REF_Industry_Wording!$A$2:$A$70,0)),""))</f>
        <v>Strengthen Data governance using the selected maturity treatment, crisis scenario and evidence requirements.</v>
      </c>
      <c r="CI857" t="str">
        <f>IF($CE857="","",IFERROR(INDEX(_REF_Industry_Wording!$H$2:$H$70,MATCH($CE857,_REF_Industry_Wording!$A$2:$A$70,0)),""))</f>
        <v>Data governance</v>
      </c>
      <c r="CJ857">
        <f>IF($CE857="","",IFERROR(INDEX(_REF_Industry_Wording!$I$2:$I$70,MATCH($CE857,_REF_Industry_Wording!$A$2:$A$70,0)),""))</f>
        <v>0</v>
      </c>
      <c r="CK857" t="str">
        <f>IF($CE857="","",IFERROR(INDEX(_REF_Industry_Wording!$J$2:$J$70,MATCH($CE857,_REF_Industry_Wording!$A$2:$A$70,0)),""))</f>
        <v>Data governance</v>
      </c>
      <c r="CL857" t="str">
        <f t="shared" si="211"/>
        <v>Wording by industry=0; capability=CAP_DATA_GOVERNANCE; risk label=Data governance weakness</v>
      </c>
      <c r="CM857" t="str">
        <f t="shared" si="212"/>
        <v>RISK-ONT-0358</v>
      </c>
      <c r="CN857" t="str">
        <f t="shared" si="213"/>
        <v>RISK-EVT-0358</v>
      </c>
      <c r="CO857" t="str">
        <f t="shared" si="214"/>
        <v>Data BI AI|BI and analytics|DATA-017|CAP_DATA_GOVERNANCE</v>
      </c>
      <c r="CP857" t="str">
        <f t="shared" si="215"/>
        <v>Active</v>
      </c>
      <c r="CQ857" t="str">
        <f t="shared" si="216"/>
        <v>OK: capability-driven</v>
      </c>
      <c r="CR857" t="str">
        <f t="shared" si="217"/>
        <v>Risk ontology uses capability=CAP_DATA_GOVERNANCE; bridge=BRG-020; treatment=TRT-DATA_GOVERNANCE-INITIAL; wording=IW-ALL-DATA_GOVERNANCE</v>
      </c>
      <c r="CS857" t="str">
        <f t="shared" si="218"/>
        <v>Yes</v>
      </c>
    </row>
    <row r="858" spans="1:97" ht="69.900000000000006" customHeight="1">
      <c r="A858">
        <f>IF(OR($B858&lt;&gt;"Yes",$BS858=""),"",SUMPRODUCT(($B$500:$B$923="Yes")*ISNUMBER($BS$500:$BS$923)*($BS$500:$BS$923&gt;$BS858))+COUNTIFS($B$500:$B858,"Yes",$BS$500:$BS858,$BS858))</f>
        <v>263</v>
      </c>
      <c r="B858" t="str">
        <f t="shared" si="187"/>
        <v>Yes</v>
      </c>
      <c r="C858" t="s">
        <v>2824</v>
      </c>
      <c r="D858" t="s">
        <v>2845</v>
      </c>
      <c r="E858" t="s">
        <v>2926</v>
      </c>
      <c r="F858" t="s">
        <v>4418</v>
      </c>
      <c r="G858" t="str">
        <f>IF($H858="","",IFERROR(INDEX(_ENGINE_Risk!$H$5:$M$499,MATCH($E858,_ENGINE_Risk!$A$5:$A$499,0),$H858+1),""))</f>
        <v>Severe risk: data literacy of managers and employees interpreting KPIs, forecasts and analytics is not reliably controlled. During Decision failure; Data loss; Regulatory/legal shock, the organization may face poor decisions, unreliable reporting, data quality problems and unsafe or ineffective AI usage with limited visibility or accountability.</v>
      </c>
      <c r="H858">
        <f>IFERROR(VALUE(INDEX(_DATA_Assessment_Model!$H$5:$H$884,MATCH($E858,_DATA_Assessment_Model!$A$5:$A$884,0))),"")</f>
        <v>0</v>
      </c>
      <c r="I858" t="str">
        <f>IF($H858="","",IFERROR(INDEX(_DATA_Assessment_Model!$L$5:$L$884,MATCH($E858,_DATA_Assessment_Model!$A$5:$A$884,0)),IF($H858&lt;=1,"Critical",IF($H858=2,"High",IF($H858=3,"Medium",IF($H858=4,"Low","Resilient"))))))</f>
        <v>Critical</v>
      </c>
      <c r="J858">
        <f t="shared" si="188"/>
        <v>3.5</v>
      </c>
      <c r="K858">
        <f t="shared" si="189"/>
        <v>4.5</v>
      </c>
      <c r="L858">
        <f t="shared" si="190"/>
        <v>15.75</v>
      </c>
      <c r="M858">
        <f t="shared" si="191"/>
        <v>4</v>
      </c>
      <c r="N858">
        <f>IF($H858="","",IFERROR(INDEX(_ENGINE_Risk!$T$5:$Y$499,MATCH($E858,_ENGINE_Risk!$A$5:$A$499,0),$H858+1),""))</f>
        <v>4</v>
      </c>
      <c r="O858">
        <f t="shared" si="192"/>
        <v>5</v>
      </c>
      <c r="P858">
        <f t="shared" si="193"/>
        <v>5</v>
      </c>
      <c r="Q858">
        <f t="shared" si="194"/>
        <v>5</v>
      </c>
      <c r="R858">
        <f t="shared" si="195"/>
        <v>5</v>
      </c>
      <c r="S858">
        <f t="shared" si="196"/>
        <v>1.25</v>
      </c>
      <c r="T858" t="str">
        <f>IF($H858="","",IFERROR(INDEX(_ENGINE_Risk!$N$5:$S$499,MATCH($E858,_ENGINE_Risk!$A$5:$A$499,0),$H858+1),""))</f>
        <v>Create an immediate risk owner, minimum control baseline and fallback procedure for data literacy of managers and employees interpreting KPIs, forecasts and analytics. Add it to the crisis risk register and collect first evidence.</v>
      </c>
      <c r="U858">
        <f>IFERROR(INDEX(_DATA_Assessment_Model!$G$5:$G$884,MATCH($E858,_DATA_Assessment_Model!$A$5:$A$884,0)),"")</f>
        <v>5</v>
      </c>
      <c r="V858">
        <f>IFERROR(INDEX(_DATA_Assessment_Model!$W$5:$W$884,MATCH($E858,_DATA_Assessment_Model!$A$5:$A$884,0)),"")</f>
        <v>5</v>
      </c>
      <c r="W858">
        <f>IFERROR(INDEX(_DATA_Assessment_Model!$X$5:$X$884,MATCH($E858,_DATA_Assessment_Model!$A$5:$A$884,0)),"")</f>
        <v>5</v>
      </c>
      <c r="X858">
        <f>IFERROR(INDEX(_DATA_Assessment_Model!$Y$5:$Y$884,MATCH($E858,_DATA_Assessment_Model!$A$5:$A$884,0)),"")</f>
        <v>5</v>
      </c>
      <c r="Y858" t="s">
        <v>2831</v>
      </c>
      <c r="Z858" t="s">
        <v>9432</v>
      </c>
      <c r="AA858" t="s">
        <v>2928</v>
      </c>
      <c r="AB858">
        <f>IFERROR(INDEX(_DATA_Assessment_Model!$U$5:$U$884,MATCH($E858,_DATA_Assessment_Model!$A$5:$A$884,0)),"")</f>
        <v>0</v>
      </c>
      <c r="AF858" t="s">
        <v>2927</v>
      </c>
      <c r="AO858">
        <f>IF($B858="Yes",IF(IFERROR(INDEX(_ENGINE_Crisis!$F$501:$F$517,MATCH($C858,_ENGINE_Crisis!$A$501:$A$517,0)),1)=0,1,IFERROR(INDEX(_ENGINE_Crisis!$F$501:$F$517,MATCH($C858,_ENGINE_Crisis!$A$501:$A$517,0)),1)),"")</f>
        <v>1</v>
      </c>
      <c r="AP858">
        <f t="shared" si="197"/>
        <v>15.8</v>
      </c>
      <c r="AQ858">
        <f t="shared" si="198"/>
        <v>1.25</v>
      </c>
      <c r="AR858" t="str">
        <f>IFERROR(INDEX(_ENGINE_Crisis!$E$41:$E$700,MATCH('Resilience &amp; Risk Scenario'!$B$6&amp;"|"&amp;$C858,_ENGINE_Crisis!$I$41:$I$700,0)),"")</f>
        <v/>
      </c>
      <c r="AS858" t="str">
        <f>IFERROR(INDEX(_ENGINE_Crisis!$G$41:$G$700,MATCH('Resilience &amp; Risk Scenario'!$B$6&amp;"|"&amp;$C858,_ENGINE_Crisis!$I$41:$I$700,0)),"")</f>
        <v/>
      </c>
      <c r="AT858" t="str">
        <f>IFERROR(INDEX(_ENGINE_Initiatives!$A$5:$A$532,MATCH(1,INDEX((_ENGINE_Initiatives!$B$5:$B$532=$C858)*(_ENGINE_Initiatives!$C$5:$C$532=$D858),0),0)),"")</f>
        <v>INI-060</v>
      </c>
      <c r="AU858" t="str">
        <f>IFERROR(INDEX(_ENGINE_Initiatives!$F$5:$F$532,MATCH(1,INDEX((_ENGINE_Initiatives!$B$5:$B$532=$C858)*(_ENGINE_Initiatives!$C$5:$C$532=$D858),0),0)),"")</f>
        <v>Create BI analytics layer for crisis and operational decisions</v>
      </c>
      <c r="AV858">
        <f>IFERROR(INDEX(_ENGINE_Initiatives!$AC$5:$AC$532,MATCH(1,INDEX((_ENGINE_Initiatives!$B$5:$B$532=$C858)*(_ENGINE_Initiatives!$C$5:$C$532=$D858),0),0)),"")</f>
        <v>1.31</v>
      </c>
      <c r="AW858" t="str">
        <f>IFERROR(INDEX(_ENGINE_Initiatives!$AE$5:$AE$532,MATCH(1,INDEX((_ENGINE_Initiatives!$B$5:$B$532=$C858)*(_ENGINE_Initiatives!$C$5:$C$532=$D858),0),0)),"")</f>
        <v>12+ months</v>
      </c>
      <c r="AX858">
        <f>IF($B858="Yes",IFERROR((IF(SUMIFS(_REF_Model_Content!$E$1:$E$613,_REF_Model_Content!$A$1:$A$613,PV_Canonical_Industry,_REF_Model_Content!$B$1:$B$613,$C858)=0,1,SUMIFS(_REF_Model_Content!$E$1:$E$613,_REF_Model_Content!$A$1:$A$613,PV_Canonical_Industry,_REF_Model_Content!$B$1:$B$613,$C858))*IFERROR($BU858,1)),1),"")</f>
        <v>1.25</v>
      </c>
      <c r="AY858">
        <f t="shared" si="199"/>
        <v>19.75</v>
      </c>
      <c r="AZ858">
        <f t="shared" si="200"/>
        <v>1.56</v>
      </c>
      <c r="BB858" t="str">
        <f>IF($H858="","",IFERROR(INDEX(_ENGINE_Risk!$AE$5:$AE$499,MATCH($E858,_ENGINE_Risk!$A$5:$A$499,0)),"Medium"))</f>
        <v>Slow</v>
      </c>
      <c r="BC858">
        <f t="shared" si="201"/>
        <v>0.85</v>
      </c>
      <c r="BD858">
        <f t="shared" si="202"/>
        <v>1.56</v>
      </c>
      <c r="BF858">
        <f>IF(OR($H858="",$J858=""),"",IFERROR(VLOOKUP(ROUND($J858,0),_CONFIG_Model_Settings!$D$154:$E$158,2,0),""))</f>
        <v>0.5</v>
      </c>
      <c r="BG858">
        <f>IFERROR(IF(OR($H858="",$K858=""),"",ROUND('Company Profile'!$B$113*INDEX(_CONFIG_Model_Settings!$H$154:$H$158,MATCH(ROUND($K858,0),_CONFIG_Model_Settings!$G$154:$G$158,0)),0)),0)</f>
        <v>1875</v>
      </c>
      <c r="BH858">
        <f t="shared" si="203"/>
        <v>937.5</v>
      </c>
      <c r="BI858">
        <f t="shared" si="204"/>
        <v>937.5</v>
      </c>
      <c r="BJ858">
        <f>IF($E858="","",IFERROR(VLOOKUP($C858,_CONFIG_Risk_Calibration!$A$5:$H$21,2,FALSE),3))</f>
        <v>3</v>
      </c>
      <c r="BK858">
        <f>IF($E858="","",IFERROR(VLOOKUP($C858,_CONFIG_Risk_Calibration!$A$5:$H$21,3,FALSE),0))</f>
        <v>0</v>
      </c>
      <c r="BL858">
        <f>IF($E858="","",IFERROR(VLOOKUP($C858,_CONFIG_Risk_Calibration!$A$5:$H$21,4,FALSE),3))</f>
        <v>3</v>
      </c>
      <c r="BM858">
        <f>IF($E858="","",IFERROR(VLOOKUP($C858,_CONFIG_Risk_Calibration!$A$5:$H$21,5,FALSE),3))</f>
        <v>3</v>
      </c>
      <c r="BN858" t="str">
        <f>IF($E858="","",IFERROR(VLOOKUP($C858,_CONFIG_Risk_Calibration!$A$5:$H$21,6,FALSE),"No"))</f>
        <v>No</v>
      </c>
      <c r="BO858">
        <f>IF($E858="","",IFERROR(VLOOKUP($C858,_CONFIG_Risk_Calibration!$A$5:$H$21,7,FALSE),1))</f>
        <v>1</v>
      </c>
      <c r="BP858">
        <f>IF($H858="","",MAX(1,MIN(5,((6-$H858)*0.45)+($BJ858*0.2)+('Resilience &amp; Risk Scenario'!$B$7*0.15)+($BK858*0.1)+($BL858*0.05)+(IF($BB858="Fast",5,IF($BB858="Slow",1,3))*0.05))))</f>
        <v>3.5</v>
      </c>
      <c r="BQ858">
        <f t="shared" si="205"/>
        <v>4.5</v>
      </c>
      <c r="BR858">
        <f t="shared" si="206"/>
        <v>15.75</v>
      </c>
      <c r="BS858">
        <f t="shared" si="207"/>
        <v>16.73</v>
      </c>
      <c r="BT858" t="str">
        <f>IFERROR(INDEX(_REF_Capability_Bridge!$D:$D,MATCH($C858&amp;"|"&amp;$D858,_REF_Capability_Bridge!$J:$J,0)),IFERROR(INDEX(_REF_Capability_Bridge!$D:$D,MATCH($C858&amp;"|",_REF_Capability_Bridge!$J:$J,0)),"CAP_GENERIC"))</f>
        <v>CAP_DATA_GOVERNANCE</v>
      </c>
      <c r="BU858">
        <f>IFERROR(IFERROR(INDEX(_ENGINE_Relevance!$L:$L,MATCH($BT858,_ENGINE_Relevance!$B:$B,0)),1),1)</f>
        <v>1.25</v>
      </c>
      <c r="BV858" t="str">
        <f>IFERROR(INDEX(_REF_Capability_Bridge!$A:$A,MATCH($C858&amp;"|"&amp;$D858,_REF_Capability_Bridge!$J:$J,0)),IFERROR(INDEX(_REF_Capability_Bridge!$A:$A,MATCH($C858&amp;"|",_REF_Capability_Bridge!$J:$J,0)),"No bridge"))</f>
        <v>BRG-020</v>
      </c>
      <c r="BW858" t="str">
        <f t="shared" si="208"/>
        <v>Capability relevance increases risk priority</v>
      </c>
      <c r="BX858" t="str">
        <f t="shared" si="209"/>
        <v>Initial / absent</v>
      </c>
      <c r="BY858" t="str">
        <f>IF($E858="","",IFERROR(INDEX(_REF_Treatment_Library!$A$2:$A$296,MATCH(1,INDEX((_REF_Treatment_Library!$B$2:$B$296=$BT858)*(_REF_Treatment_Library!$C$2:$C$296=PV_Canonical_Industry)*(_REF_Treatment_Library!$E$2:$E$296&lt;=N($H858))*(_REF_Treatment_Library!$F$2:$F$296&gt;=N($H858))*(_REF_Treatment_Library!$O$2:$O$296="Yes"),0),0)),IFERROR(INDEX(_REF_Treatment_Library!$A$2:$A$296,MATCH(1,INDEX((_REF_Treatment_Library!$B$2:$B$296=$BT858)*(_REF_Treatment_Library!$C$2:$C$296="All")*(_REF_Treatment_Library!$E$2:$E$296&lt;=N($H858))*(_REF_Treatment_Library!$F$2:$F$296&gt;=N($H858))*(_REF_Treatment_Library!$O$2:$O$296="Yes"),0),0)),"")))</f>
        <v>TRT-DATA_GOVERNANCE-INITIAL</v>
      </c>
      <c r="BZ858" t="str">
        <f>IF($BY858="","",IFERROR(INDEX(_REF_Treatment_Library!$H$2:$H$296,MATCH($BY858,_REF_Treatment_Library!$A$2:$A$296,0)),""))</f>
        <v>Establish</v>
      </c>
      <c r="CA858" t="str">
        <f>IF($BY858="","",IFERROR(INDEX(_REF_Treatment_Library!$I$2:$I$296,MATCH($BY858,_REF_Treatment_Library!$A$2:$A$296,0)),""))</f>
        <v>Establish baseline controls for Data governance</v>
      </c>
      <c r="CB858" t="str">
        <f>IF($BY858="","",IFERROR(INDEX(_REF_Treatment_Library!$K$2:$K$296,MATCH($BY858,_REF_Treatment_Library!$A$2:$A$296,0)),""))</f>
        <v>Named owner, baseline process, minimum control checklist, first evidence package</v>
      </c>
      <c r="CC858" t="str">
        <f>IF($BY858="","",IFERROR(INDEX(_REF_Treatment_Library!$L$2:$L$296,MATCH($BY858,_REF_Treatment_Library!$A$2:$A$296,0)),""))</f>
        <v>Owner assigned; baseline evidence coverage; open critical gaps</v>
      </c>
      <c r="CD858" t="str">
        <f t="shared" si="210"/>
        <v>Treatment by capability=CAP_DATA_GOVERNANCE; band=Initial / absent; score=0.0; treatment=Establish</v>
      </c>
      <c r="CE858" t="str">
        <f>IF($E858="","",IFERROR(INDEX(_REF_Industry_Wording!$A$2:$A$70,MATCH(1,INDEX((_REF_Industry_Wording!$B$2:$B$70=$BT858)*(_REF_Industry_Wording!$C$2:$C$70=PV_Canonical_Industry)*(_REF_Industry_Wording!$K$2:$K$70="Yes"),0),0)),IFERROR(INDEX(_REF_Industry_Wording!$A$2:$A$70,MATCH(1,INDEX((_REF_Industry_Wording!$B$2:$B$70=$BT858)*(_REF_Industry_Wording!$C$2:$C$70="All")*(_REF_Industry_Wording!$K$2:$K$70="Yes"),0),0)),"")))</f>
        <v>IW-ALL-DATA_GOVERNANCE</v>
      </c>
      <c r="CF858" t="str">
        <f>IF($CE858="","",IFERROR(INDEX(_REF_Industry_Wording!$E$2:$E$70,MATCH($CE858,_REF_Industry_Wording!$A$2:$A$70,0)),""))</f>
        <v>Data governance weakness</v>
      </c>
      <c r="CG858" t="str">
        <f>IF($CE858="","",IFERROR(INDEX(_REF_Industry_Wording!$F$2:$F$70,MATCH($CE858,_REF_Industry_Wording!$A$2:$A$70,0)),""))</f>
        <v>Strengthen Data governance</v>
      </c>
      <c r="CH858" t="str">
        <f>IF($CE858="","",IFERROR(INDEX(_REF_Industry_Wording!$G$2:$G$70,MATCH($CE858,_REF_Industry_Wording!$A$2:$A$70,0)),""))</f>
        <v>Strengthen Data governance using the selected maturity treatment, crisis scenario and evidence requirements.</v>
      </c>
      <c r="CI858" t="str">
        <f>IF($CE858="","",IFERROR(INDEX(_REF_Industry_Wording!$H$2:$H$70,MATCH($CE858,_REF_Industry_Wording!$A$2:$A$70,0)),""))</f>
        <v>Data governance</v>
      </c>
      <c r="CJ858">
        <f>IF($CE858="","",IFERROR(INDEX(_REF_Industry_Wording!$I$2:$I$70,MATCH($CE858,_REF_Industry_Wording!$A$2:$A$70,0)),""))</f>
        <v>0</v>
      </c>
      <c r="CK858" t="str">
        <f>IF($CE858="","",IFERROR(INDEX(_REF_Industry_Wording!$J$2:$J$70,MATCH($CE858,_REF_Industry_Wording!$A$2:$A$70,0)),""))</f>
        <v>Data governance</v>
      </c>
      <c r="CL858" t="str">
        <f t="shared" si="211"/>
        <v>Wording by industry=0; capability=CAP_DATA_GOVERNANCE; risk label=Data governance weakness</v>
      </c>
      <c r="CM858" t="str">
        <f t="shared" si="212"/>
        <v>RISK-ONT-0359</v>
      </c>
      <c r="CN858" t="str">
        <f t="shared" si="213"/>
        <v>RISK-EVT-0359</v>
      </c>
      <c r="CO858" t="str">
        <f t="shared" si="214"/>
        <v>Data BI AI|BI and analytics|DATA-018|CAP_DATA_GOVERNANCE</v>
      </c>
      <c r="CP858" t="str">
        <f t="shared" si="215"/>
        <v>Active</v>
      </c>
      <c r="CQ858" t="str">
        <f t="shared" si="216"/>
        <v>OK: capability-driven</v>
      </c>
      <c r="CR858" t="str">
        <f t="shared" si="217"/>
        <v>Risk ontology uses capability=CAP_DATA_GOVERNANCE; bridge=BRG-020; treatment=TRT-DATA_GOVERNANCE-INITIAL; wording=IW-ALL-DATA_GOVERNANCE</v>
      </c>
      <c r="CS858" t="str">
        <f t="shared" si="218"/>
        <v>Yes</v>
      </c>
    </row>
    <row r="859" spans="1:97" ht="69.900000000000006" customHeight="1">
      <c r="A859">
        <f>IF(OR($B859&lt;&gt;"Yes",$BS859=""),"",SUMPRODUCT(($B$500:$B$923="Yes")*ISNUMBER($BS$500:$BS$923)*($BS$500:$BS$923&gt;$BS859))+COUNTIFS($B$500:$B859,"Yes",$BS$500:$BS859,$BS859))</f>
        <v>264</v>
      </c>
      <c r="B859" t="str">
        <f t="shared" si="187"/>
        <v>Yes</v>
      </c>
      <c r="C859" t="s">
        <v>2824</v>
      </c>
      <c r="D859" t="s">
        <v>2855</v>
      </c>
      <c r="E859" t="s">
        <v>2929</v>
      </c>
      <c r="F859" t="s">
        <v>4418</v>
      </c>
      <c r="G859" t="str">
        <f>IF($H859="","",IFERROR(INDEX(_ENGINE_Risk!$H$5:$M$499,MATCH($E859,_ENGINE_Risk!$A$5:$A$499,0),$H859+1),""))</f>
        <v>Severe risk: forecasting capability for demand, cash, inventory, workforce, production, churn or supplier risk is not reliably controlled. During Decision failure; Data loss; Regulatory/legal shock, the organization may face poor decisions, unreliable reporting, data quality problems and unsafe or ineffective AI usage with limited visibility or accountability.</v>
      </c>
      <c r="H859">
        <f>IFERROR(VALUE(INDEX(_DATA_Assessment_Model!$H$5:$H$884,MATCH($E859,_DATA_Assessment_Model!$A$5:$A$884,0))),"")</f>
        <v>0</v>
      </c>
      <c r="I859" t="str">
        <f>IF($H859="","",IFERROR(INDEX(_DATA_Assessment_Model!$L$5:$L$884,MATCH($E859,_DATA_Assessment_Model!$A$5:$A$884,0)),IF($H859&lt;=1,"Critical",IF($H859=2,"High",IF($H859=3,"Medium",IF($H859=4,"Low","Resilient"))))))</f>
        <v>Critical</v>
      </c>
      <c r="J859">
        <f t="shared" si="188"/>
        <v>3.5</v>
      </c>
      <c r="K859">
        <f t="shared" si="189"/>
        <v>4.5</v>
      </c>
      <c r="L859">
        <f t="shared" si="190"/>
        <v>15.75</v>
      </c>
      <c r="M859">
        <f t="shared" si="191"/>
        <v>4</v>
      </c>
      <c r="N859">
        <f>IF($H859="","",IFERROR(INDEX(_ENGINE_Risk!$T$5:$Y$499,MATCH($E859,_ENGINE_Risk!$A$5:$A$499,0),$H859+1),""))</f>
        <v>4</v>
      </c>
      <c r="O859">
        <f t="shared" si="192"/>
        <v>5</v>
      </c>
      <c r="P859">
        <f t="shared" si="193"/>
        <v>5</v>
      </c>
      <c r="Q859">
        <f t="shared" si="194"/>
        <v>5</v>
      </c>
      <c r="R859">
        <f t="shared" si="195"/>
        <v>5</v>
      </c>
      <c r="S859">
        <f t="shared" si="196"/>
        <v>1.25</v>
      </c>
      <c r="T859" t="str">
        <f>IF($H859="","",IFERROR(INDEX(_ENGINE_Risk!$N$5:$S$499,MATCH($E859,_ENGINE_Risk!$A$5:$A$499,0),$H859+1),""))</f>
        <v>Create an immediate risk owner, minimum control baseline and fallback procedure for forecasting capability for demand, cash, inventory, workforce, production, churn or supplier risk. Add it to the crisis risk register and collect first evidence.</v>
      </c>
      <c r="U859">
        <f>IFERROR(INDEX(_DATA_Assessment_Model!$G$5:$G$884,MATCH($E859,_DATA_Assessment_Model!$A$5:$A$884,0)),"")</f>
        <v>5</v>
      </c>
      <c r="V859">
        <f>IFERROR(INDEX(_DATA_Assessment_Model!$W$5:$W$884,MATCH($E859,_DATA_Assessment_Model!$A$5:$A$884,0)),"")</f>
        <v>5</v>
      </c>
      <c r="W859">
        <f>IFERROR(INDEX(_DATA_Assessment_Model!$X$5:$X$884,MATCH($E859,_DATA_Assessment_Model!$A$5:$A$884,0)),"")</f>
        <v>5</v>
      </c>
      <c r="X859">
        <f>IFERROR(INDEX(_DATA_Assessment_Model!$Y$5:$Y$884,MATCH($E859,_DATA_Assessment_Model!$A$5:$A$884,0)),"")</f>
        <v>5</v>
      </c>
      <c r="Y859" t="s">
        <v>2831</v>
      </c>
      <c r="Z859" t="s">
        <v>9432</v>
      </c>
      <c r="AA859" t="s">
        <v>2931</v>
      </c>
      <c r="AB859">
        <f>IFERROR(INDEX(_DATA_Assessment_Model!$U$5:$U$884,MATCH($E859,_DATA_Assessment_Model!$A$5:$A$884,0)),"")</f>
        <v>0</v>
      </c>
      <c r="AF859" t="s">
        <v>2930</v>
      </c>
      <c r="AO859">
        <f>IF($B859="Yes",IF(IFERROR(INDEX(_ENGINE_Crisis!$F$501:$F$517,MATCH($C859,_ENGINE_Crisis!$A$501:$A$517,0)),1)=0,1,IFERROR(INDEX(_ENGINE_Crisis!$F$501:$F$517,MATCH($C859,_ENGINE_Crisis!$A$501:$A$517,0)),1)),"")</f>
        <v>1</v>
      </c>
      <c r="AP859">
        <f t="shared" si="197"/>
        <v>15.8</v>
      </c>
      <c r="AQ859">
        <f t="shared" si="198"/>
        <v>1.25</v>
      </c>
      <c r="AR859" t="str">
        <f>IFERROR(INDEX(_ENGINE_Crisis!$E$41:$E$700,MATCH('Resilience &amp; Risk Scenario'!$B$6&amp;"|"&amp;$C859,_ENGINE_Crisis!$I$41:$I$700,0)),"")</f>
        <v/>
      </c>
      <c r="AS859" t="str">
        <f>IFERROR(INDEX(_ENGINE_Crisis!$G$41:$G$700,MATCH('Resilience &amp; Risk Scenario'!$B$6&amp;"|"&amp;$C859,_ENGINE_Crisis!$I$41:$I$700,0)),"")</f>
        <v/>
      </c>
      <c r="AT859" t="str">
        <f>IFERROR(INDEX(_ENGINE_Initiatives!$A$5:$A$532,MATCH(1,INDEX((_ENGINE_Initiatives!$B$5:$B$532=$C859)*(_ENGINE_Initiatives!$C$5:$C$532=$D859),0),0)),"")</f>
        <v>INI-061</v>
      </c>
      <c r="AU859" t="str">
        <f>IFERROR(INDEX(_ENGINE_Initiatives!$F$5:$F$532,MATCH(1,INDEX((_ENGINE_Initiatives!$B$5:$B$532=$C859)*(_ENGINE_Initiatives!$C$5:$C$532=$D859),0),0)),"")</f>
        <v>Build forecasting and scenario analytics capability</v>
      </c>
      <c r="AV859">
        <f>IFERROR(INDEX(_ENGINE_Initiatives!$AC$5:$AC$532,MATCH(1,INDEX((_ENGINE_Initiatives!$B$5:$B$532=$C859)*(_ENGINE_Initiatives!$C$5:$C$532=$D859),0),0)),"")</f>
        <v>1.28</v>
      </c>
      <c r="AW859" t="str">
        <f>IFERROR(INDEX(_ENGINE_Initiatives!$AE$5:$AE$532,MATCH(1,INDEX((_ENGINE_Initiatives!$B$5:$B$532=$C859)*(_ENGINE_Initiatives!$C$5:$C$532=$D859),0),0)),"")</f>
        <v>12+ months</v>
      </c>
      <c r="AX859">
        <f>IF($B859="Yes",IFERROR((IF(SUMIFS(_REF_Model_Content!$E$1:$E$613,_REF_Model_Content!$A$1:$A$613,PV_Canonical_Industry,_REF_Model_Content!$B$1:$B$613,$C859)=0,1,SUMIFS(_REF_Model_Content!$E$1:$E$613,_REF_Model_Content!$A$1:$A$613,PV_Canonical_Industry,_REF_Model_Content!$B$1:$B$613,$C859))*IFERROR($BU859,1)),1),"")</f>
        <v>1.25</v>
      </c>
      <c r="AY859">
        <f t="shared" si="199"/>
        <v>19.75</v>
      </c>
      <c r="AZ859">
        <f t="shared" si="200"/>
        <v>1.56</v>
      </c>
      <c r="BB859" t="str">
        <f>IF($H859="","",IFERROR(INDEX(_ENGINE_Risk!$AE$5:$AE$499,MATCH($E859,_ENGINE_Risk!$A$5:$A$499,0)),"Medium"))</f>
        <v>Slow</v>
      </c>
      <c r="BC859">
        <f t="shared" si="201"/>
        <v>0.85</v>
      </c>
      <c r="BD859">
        <f t="shared" si="202"/>
        <v>1.56</v>
      </c>
      <c r="BF859">
        <f>IF(OR($H859="",$J859=""),"",IFERROR(VLOOKUP(ROUND($J859,0),_CONFIG_Model_Settings!$D$154:$E$158,2,0),""))</f>
        <v>0.5</v>
      </c>
      <c r="BG859">
        <f>IFERROR(IF(OR($H859="",$K859=""),"",ROUND('Company Profile'!$B$113*INDEX(_CONFIG_Model_Settings!$H$154:$H$158,MATCH(ROUND($K859,0),_CONFIG_Model_Settings!$G$154:$G$158,0)),0)),0)</f>
        <v>1875</v>
      </c>
      <c r="BH859">
        <f t="shared" si="203"/>
        <v>937.5</v>
      </c>
      <c r="BI859">
        <f t="shared" si="204"/>
        <v>937.5</v>
      </c>
      <c r="BJ859">
        <f>IF($E859="","",IFERROR(VLOOKUP($C859,_CONFIG_Risk_Calibration!$A$5:$H$21,2,FALSE),3))</f>
        <v>3</v>
      </c>
      <c r="BK859">
        <f>IF($E859="","",IFERROR(VLOOKUP($C859,_CONFIG_Risk_Calibration!$A$5:$H$21,3,FALSE),0))</f>
        <v>0</v>
      </c>
      <c r="BL859">
        <f>IF($E859="","",IFERROR(VLOOKUP($C859,_CONFIG_Risk_Calibration!$A$5:$H$21,4,FALSE),3))</f>
        <v>3</v>
      </c>
      <c r="BM859">
        <f>IF($E859="","",IFERROR(VLOOKUP($C859,_CONFIG_Risk_Calibration!$A$5:$H$21,5,FALSE),3))</f>
        <v>3</v>
      </c>
      <c r="BN859" t="str">
        <f>IF($E859="","",IFERROR(VLOOKUP($C859,_CONFIG_Risk_Calibration!$A$5:$H$21,6,FALSE),"No"))</f>
        <v>No</v>
      </c>
      <c r="BO859">
        <f>IF($E859="","",IFERROR(VLOOKUP($C859,_CONFIG_Risk_Calibration!$A$5:$H$21,7,FALSE),1))</f>
        <v>1</v>
      </c>
      <c r="BP859">
        <f>IF($H859="","",MAX(1,MIN(5,((6-$H859)*0.45)+($BJ859*0.2)+('Resilience &amp; Risk Scenario'!$B$7*0.15)+($BK859*0.1)+($BL859*0.05)+(IF($BB859="Fast",5,IF($BB859="Slow",1,3))*0.05))))</f>
        <v>3.5</v>
      </c>
      <c r="BQ859">
        <f t="shared" si="205"/>
        <v>4.5</v>
      </c>
      <c r="BR859">
        <f t="shared" si="206"/>
        <v>15.75</v>
      </c>
      <c r="BS859">
        <f t="shared" si="207"/>
        <v>16.73</v>
      </c>
      <c r="BT859" t="str">
        <f>IFERROR(INDEX(_REF_Capability_Bridge!$D:$D,MATCH($C859&amp;"|"&amp;$D859,_REF_Capability_Bridge!$J:$J,0)),IFERROR(INDEX(_REF_Capability_Bridge!$D:$D,MATCH($C859&amp;"|",_REF_Capability_Bridge!$J:$J,0)),"CAP_GENERIC"))</f>
        <v>CAP_DATA_GOVERNANCE</v>
      </c>
      <c r="BU859">
        <f>IFERROR(IFERROR(INDEX(_ENGINE_Relevance!$L:$L,MATCH($BT859,_ENGINE_Relevance!$B:$B,0)),1),1)</f>
        <v>1.25</v>
      </c>
      <c r="BV859" t="str">
        <f>IFERROR(INDEX(_REF_Capability_Bridge!$A:$A,MATCH($C859&amp;"|"&amp;$D859,_REF_Capability_Bridge!$J:$J,0)),IFERROR(INDEX(_REF_Capability_Bridge!$A:$A,MATCH($C859&amp;"|",_REF_Capability_Bridge!$J:$J,0)),"No bridge"))</f>
        <v>BRG-023</v>
      </c>
      <c r="BW859" t="str">
        <f t="shared" si="208"/>
        <v>Capability relevance increases risk priority</v>
      </c>
      <c r="BX859" t="str">
        <f t="shared" si="209"/>
        <v>Initial / absent</v>
      </c>
      <c r="BY859" t="str">
        <f>IF($E859="","",IFERROR(INDEX(_REF_Treatment_Library!$A$2:$A$296,MATCH(1,INDEX((_REF_Treatment_Library!$B$2:$B$296=$BT859)*(_REF_Treatment_Library!$C$2:$C$296=PV_Canonical_Industry)*(_REF_Treatment_Library!$E$2:$E$296&lt;=N($H859))*(_REF_Treatment_Library!$F$2:$F$296&gt;=N($H859))*(_REF_Treatment_Library!$O$2:$O$296="Yes"),0),0)),IFERROR(INDEX(_REF_Treatment_Library!$A$2:$A$296,MATCH(1,INDEX((_REF_Treatment_Library!$B$2:$B$296=$BT859)*(_REF_Treatment_Library!$C$2:$C$296="All")*(_REF_Treatment_Library!$E$2:$E$296&lt;=N($H859))*(_REF_Treatment_Library!$F$2:$F$296&gt;=N($H859))*(_REF_Treatment_Library!$O$2:$O$296="Yes"),0),0)),"")))</f>
        <v>TRT-DATA_GOVERNANCE-INITIAL</v>
      </c>
      <c r="BZ859" t="str">
        <f>IF($BY859="","",IFERROR(INDEX(_REF_Treatment_Library!$H$2:$H$296,MATCH($BY859,_REF_Treatment_Library!$A$2:$A$296,0)),""))</f>
        <v>Establish</v>
      </c>
      <c r="CA859" t="str">
        <f>IF($BY859="","",IFERROR(INDEX(_REF_Treatment_Library!$I$2:$I$296,MATCH($BY859,_REF_Treatment_Library!$A$2:$A$296,0)),""))</f>
        <v>Establish baseline controls for Data governance</v>
      </c>
      <c r="CB859" t="str">
        <f>IF($BY859="","",IFERROR(INDEX(_REF_Treatment_Library!$K$2:$K$296,MATCH($BY859,_REF_Treatment_Library!$A$2:$A$296,0)),""))</f>
        <v>Named owner, baseline process, minimum control checklist, first evidence package</v>
      </c>
      <c r="CC859" t="str">
        <f>IF($BY859="","",IFERROR(INDEX(_REF_Treatment_Library!$L$2:$L$296,MATCH($BY859,_REF_Treatment_Library!$A$2:$A$296,0)),""))</f>
        <v>Owner assigned; baseline evidence coverage; open critical gaps</v>
      </c>
      <c r="CD859" t="str">
        <f t="shared" si="210"/>
        <v>Treatment by capability=CAP_DATA_GOVERNANCE; band=Initial / absent; score=0.0; treatment=Establish</v>
      </c>
      <c r="CE859" t="str">
        <f>IF($E859="","",IFERROR(INDEX(_REF_Industry_Wording!$A$2:$A$70,MATCH(1,INDEX((_REF_Industry_Wording!$B$2:$B$70=$BT859)*(_REF_Industry_Wording!$C$2:$C$70=PV_Canonical_Industry)*(_REF_Industry_Wording!$K$2:$K$70="Yes"),0),0)),IFERROR(INDEX(_REF_Industry_Wording!$A$2:$A$70,MATCH(1,INDEX((_REF_Industry_Wording!$B$2:$B$70=$BT859)*(_REF_Industry_Wording!$C$2:$C$70="All")*(_REF_Industry_Wording!$K$2:$K$70="Yes"),0),0)),"")))</f>
        <v>IW-ALL-DATA_GOVERNANCE</v>
      </c>
      <c r="CF859" t="str">
        <f>IF($CE859="","",IFERROR(INDEX(_REF_Industry_Wording!$E$2:$E$70,MATCH($CE859,_REF_Industry_Wording!$A$2:$A$70,0)),""))</f>
        <v>Data governance weakness</v>
      </c>
      <c r="CG859" t="str">
        <f>IF($CE859="","",IFERROR(INDEX(_REF_Industry_Wording!$F$2:$F$70,MATCH($CE859,_REF_Industry_Wording!$A$2:$A$70,0)),""))</f>
        <v>Strengthen Data governance</v>
      </c>
      <c r="CH859" t="str">
        <f>IF($CE859="","",IFERROR(INDEX(_REF_Industry_Wording!$G$2:$G$70,MATCH($CE859,_REF_Industry_Wording!$A$2:$A$70,0)),""))</f>
        <v>Strengthen Data governance using the selected maturity treatment, crisis scenario and evidence requirements.</v>
      </c>
      <c r="CI859" t="str">
        <f>IF($CE859="","",IFERROR(INDEX(_REF_Industry_Wording!$H$2:$H$70,MATCH($CE859,_REF_Industry_Wording!$A$2:$A$70,0)),""))</f>
        <v>Data governance</v>
      </c>
      <c r="CJ859">
        <f>IF($CE859="","",IFERROR(INDEX(_REF_Industry_Wording!$I$2:$I$70,MATCH($CE859,_REF_Industry_Wording!$A$2:$A$70,0)),""))</f>
        <v>0</v>
      </c>
      <c r="CK859" t="str">
        <f>IF($CE859="","",IFERROR(INDEX(_REF_Industry_Wording!$J$2:$J$70,MATCH($CE859,_REF_Industry_Wording!$A$2:$A$70,0)),""))</f>
        <v>Data governance</v>
      </c>
      <c r="CL859" t="str">
        <f t="shared" si="211"/>
        <v>Wording by industry=0; capability=CAP_DATA_GOVERNANCE; risk label=Data governance weakness</v>
      </c>
      <c r="CM859" t="str">
        <f t="shared" si="212"/>
        <v>RISK-ONT-0360</v>
      </c>
      <c r="CN859" t="str">
        <f t="shared" si="213"/>
        <v>RISK-EVT-0360</v>
      </c>
      <c r="CO859" t="str">
        <f t="shared" si="214"/>
        <v>Data BI AI|Forecasting and scenarios|DATA-019|CAP_DATA_GOVERNANCE</v>
      </c>
      <c r="CP859" t="str">
        <f t="shared" si="215"/>
        <v>Active</v>
      </c>
      <c r="CQ859" t="str">
        <f t="shared" si="216"/>
        <v>OK: capability-driven</v>
      </c>
      <c r="CR859" t="str">
        <f t="shared" si="217"/>
        <v>Risk ontology uses capability=CAP_DATA_GOVERNANCE; bridge=BRG-023; treatment=TRT-DATA_GOVERNANCE-INITIAL; wording=IW-ALL-DATA_GOVERNANCE</v>
      </c>
      <c r="CS859" t="str">
        <f t="shared" si="218"/>
        <v>Yes</v>
      </c>
    </row>
    <row r="860" spans="1:97" ht="69.900000000000006" customHeight="1">
      <c r="A860">
        <f>IF(OR($B860&lt;&gt;"Yes",$BS860=""),"",SUMPRODUCT(($B$500:$B$923="Yes")*ISNUMBER($BS$500:$BS$923)*($BS$500:$BS$923&gt;$BS860))+COUNTIFS($B$500:$B860,"Yes",$BS$500:$BS860,$BS860))</f>
        <v>265</v>
      </c>
      <c r="B860" t="str">
        <f t="shared" si="187"/>
        <v>Yes</v>
      </c>
      <c r="C860" t="s">
        <v>2824</v>
      </c>
      <c r="D860" t="s">
        <v>2855</v>
      </c>
      <c r="E860" t="s">
        <v>2932</v>
      </c>
      <c r="F860" t="s">
        <v>4418</v>
      </c>
      <c r="G860" t="str">
        <f>IF($H860="","",IFERROR(INDEX(_ENGINE_Risk!$H$5:$M$499,MATCH($E860,_ENGINE_Risk!$A$5:$A$499,0),$H860+1),""))</f>
        <v>Severe risk: scenario modeling using sales, suppliers, workforce, cash, inventory and system downtime is not reliably controlled. During Decision failure; Data loss; Regulatory/legal shock, the organization may face poor decisions, unreliable reporting, data quality problems and unsafe or ineffective AI usage with limited visibility or accountability.</v>
      </c>
      <c r="H860">
        <f>IFERROR(VALUE(INDEX(_DATA_Assessment_Model!$H$5:$H$884,MATCH($E860,_DATA_Assessment_Model!$A$5:$A$884,0))),"")</f>
        <v>0</v>
      </c>
      <c r="I860" t="str">
        <f>IF($H860="","",IFERROR(INDEX(_DATA_Assessment_Model!$L$5:$L$884,MATCH($E860,_DATA_Assessment_Model!$A$5:$A$884,0)),IF($H860&lt;=1,"Critical",IF($H860=2,"High",IF($H860=3,"Medium",IF($H860=4,"Low","Resilient"))))))</f>
        <v>Critical</v>
      </c>
      <c r="J860">
        <f t="shared" si="188"/>
        <v>3.5</v>
      </c>
      <c r="K860">
        <f t="shared" si="189"/>
        <v>4.5</v>
      </c>
      <c r="L860">
        <f t="shared" si="190"/>
        <v>15.75</v>
      </c>
      <c r="M860">
        <f t="shared" si="191"/>
        <v>4</v>
      </c>
      <c r="N860">
        <f>IF($H860="","",IFERROR(INDEX(_ENGINE_Risk!$T$5:$Y$499,MATCH($E860,_ENGINE_Risk!$A$5:$A$499,0),$H860+1),""))</f>
        <v>4</v>
      </c>
      <c r="O860">
        <f t="shared" si="192"/>
        <v>5</v>
      </c>
      <c r="P860">
        <f t="shared" si="193"/>
        <v>5</v>
      </c>
      <c r="Q860">
        <f t="shared" si="194"/>
        <v>5</v>
      </c>
      <c r="R860">
        <f t="shared" si="195"/>
        <v>5</v>
      </c>
      <c r="S860">
        <f t="shared" si="196"/>
        <v>1.25</v>
      </c>
      <c r="T860" t="str">
        <f>IF($H860="","",IFERROR(INDEX(_ENGINE_Risk!$N$5:$S$499,MATCH($E860,_ENGINE_Risk!$A$5:$A$499,0),$H860+1),""))</f>
        <v>Create an immediate risk owner, minimum control baseline and fallback procedure for scenario modeling using sales, suppliers, workforce, cash, inventory and system downtime. Add it to the crisis risk register and collect first evidence.</v>
      </c>
      <c r="U860">
        <f>IFERROR(INDEX(_DATA_Assessment_Model!$G$5:$G$884,MATCH($E860,_DATA_Assessment_Model!$A$5:$A$884,0)),"")</f>
        <v>5</v>
      </c>
      <c r="V860">
        <f>IFERROR(INDEX(_DATA_Assessment_Model!$W$5:$W$884,MATCH($E860,_DATA_Assessment_Model!$A$5:$A$884,0)),"")</f>
        <v>5</v>
      </c>
      <c r="W860">
        <f>IFERROR(INDEX(_DATA_Assessment_Model!$X$5:$X$884,MATCH($E860,_DATA_Assessment_Model!$A$5:$A$884,0)),"")</f>
        <v>5</v>
      </c>
      <c r="X860">
        <f>IFERROR(INDEX(_DATA_Assessment_Model!$Y$5:$Y$884,MATCH($E860,_DATA_Assessment_Model!$A$5:$A$884,0)),"")</f>
        <v>5</v>
      </c>
      <c r="Y860" t="s">
        <v>2831</v>
      </c>
      <c r="Z860" t="s">
        <v>9432</v>
      </c>
      <c r="AA860" t="s">
        <v>2934</v>
      </c>
      <c r="AB860">
        <f>IFERROR(INDEX(_DATA_Assessment_Model!$U$5:$U$884,MATCH($E860,_DATA_Assessment_Model!$A$5:$A$884,0)),"")</f>
        <v>0</v>
      </c>
      <c r="AF860" t="s">
        <v>2933</v>
      </c>
      <c r="AO860">
        <f>IF($B860="Yes",IF(IFERROR(INDEX(_ENGINE_Crisis!$F$501:$F$517,MATCH($C860,_ENGINE_Crisis!$A$501:$A$517,0)),1)=0,1,IFERROR(INDEX(_ENGINE_Crisis!$F$501:$F$517,MATCH($C860,_ENGINE_Crisis!$A$501:$A$517,0)),1)),"")</f>
        <v>1</v>
      </c>
      <c r="AP860">
        <f t="shared" si="197"/>
        <v>15.8</v>
      </c>
      <c r="AQ860">
        <f t="shared" si="198"/>
        <v>1.25</v>
      </c>
      <c r="AR860" t="str">
        <f>IFERROR(INDEX(_ENGINE_Crisis!$E$41:$E$700,MATCH('Resilience &amp; Risk Scenario'!$B$6&amp;"|"&amp;$C860,_ENGINE_Crisis!$I$41:$I$700,0)),"")</f>
        <v/>
      </c>
      <c r="AS860" t="str">
        <f>IFERROR(INDEX(_ENGINE_Crisis!$G$41:$G$700,MATCH('Resilience &amp; Risk Scenario'!$B$6&amp;"|"&amp;$C860,_ENGINE_Crisis!$I$41:$I$700,0)),"")</f>
        <v/>
      </c>
      <c r="AT860" t="str">
        <f>IFERROR(INDEX(_ENGINE_Initiatives!$A$5:$A$532,MATCH(1,INDEX((_ENGINE_Initiatives!$B$5:$B$532=$C860)*(_ENGINE_Initiatives!$C$5:$C$532=$D860),0),0)),"")</f>
        <v>INI-061</v>
      </c>
      <c r="AU860" t="str">
        <f>IFERROR(INDEX(_ENGINE_Initiatives!$F$5:$F$532,MATCH(1,INDEX((_ENGINE_Initiatives!$B$5:$B$532=$C860)*(_ENGINE_Initiatives!$C$5:$C$532=$D860),0),0)),"")</f>
        <v>Build forecasting and scenario analytics capability</v>
      </c>
      <c r="AV860">
        <f>IFERROR(INDEX(_ENGINE_Initiatives!$AC$5:$AC$532,MATCH(1,INDEX((_ENGINE_Initiatives!$B$5:$B$532=$C860)*(_ENGINE_Initiatives!$C$5:$C$532=$D860),0),0)),"")</f>
        <v>1.28</v>
      </c>
      <c r="AW860" t="str">
        <f>IFERROR(INDEX(_ENGINE_Initiatives!$AE$5:$AE$532,MATCH(1,INDEX((_ENGINE_Initiatives!$B$5:$B$532=$C860)*(_ENGINE_Initiatives!$C$5:$C$532=$D860),0),0)),"")</f>
        <v>12+ months</v>
      </c>
      <c r="AX860">
        <f>IF($B860="Yes",IFERROR((IF(SUMIFS(_REF_Model_Content!$E$1:$E$613,_REF_Model_Content!$A$1:$A$613,PV_Canonical_Industry,_REF_Model_Content!$B$1:$B$613,$C860)=0,1,SUMIFS(_REF_Model_Content!$E$1:$E$613,_REF_Model_Content!$A$1:$A$613,PV_Canonical_Industry,_REF_Model_Content!$B$1:$B$613,$C860))*IFERROR($BU860,1)),1),"")</f>
        <v>1.25</v>
      </c>
      <c r="AY860">
        <f t="shared" si="199"/>
        <v>19.75</v>
      </c>
      <c r="AZ860">
        <f t="shared" si="200"/>
        <v>1.56</v>
      </c>
      <c r="BB860" t="str">
        <f>IF($H860="","",IFERROR(INDEX(_ENGINE_Risk!$AE$5:$AE$499,MATCH($E860,_ENGINE_Risk!$A$5:$A$499,0)),"Medium"))</f>
        <v>Slow</v>
      </c>
      <c r="BC860">
        <f t="shared" si="201"/>
        <v>0.85</v>
      </c>
      <c r="BD860">
        <f t="shared" si="202"/>
        <v>1.56</v>
      </c>
      <c r="BF860">
        <f>IF(OR($H860="",$J860=""),"",IFERROR(VLOOKUP(ROUND($J860,0),_CONFIG_Model_Settings!$D$154:$E$158,2,0),""))</f>
        <v>0.5</v>
      </c>
      <c r="BG860">
        <f>IFERROR(IF(OR($H860="",$K860=""),"",ROUND('Company Profile'!$B$113*INDEX(_CONFIG_Model_Settings!$H$154:$H$158,MATCH(ROUND($K860,0),_CONFIG_Model_Settings!$G$154:$G$158,0)),0)),0)</f>
        <v>1875</v>
      </c>
      <c r="BH860">
        <f t="shared" si="203"/>
        <v>937.5</v>
      </c>
      <c r="BI860">
        <f t="shared" si="204"/>
        <v>937.5</v>
      </c>
      <c r="BJ860">
        <f>IF($E860="","",IFERROR(VLOOKUP($C860,_CONFIG_Risk_Calibration!$A$5:$H$21,2,FALSE),3))</f>
        <v>3</v>
      </c>
      <c r="BK860">
        <f>IF($E860="","",IFERROR(VLOOKUP($C860,_CONFIG_Risk_Calibration!$A$5:$H$21,3,FALSE),0))</f>
        <v>0</v>
      </c>
      <c r="BL860">
        <f>IF($E860="","",IFERROR(VLOOKUP($C860,_CONFIG_Risk_Calibration!$A$5:$H$21,4,FALSE),3))</f>
        <v>3</v>
      </c>
      <c r="BM860">
        <f>IF($E860="","",IFERROR(VLOOKUP($C860,_CONFIG_Risk_Calibration!$A$5:$H$21,5,FALSE),3))</f>
        <v>3</v>
      </c>
      <c r="BN860" t="str">
        <f>IF($E860="","",IFERROR(VLOOKUP($C860,_CONFIG_Risk_Calibration!$A$5:$H$21,6,FALSE),"No"))</f>
        <v>No</v>
      </c>
      <c r="BO860">
        <f>IF($E860="","",IFERROR(VLOOKUP($C860,_CONFIG_Risk_Calibration!$A$5:$H$21,7,FALSE),1))</f>
        <v>1</v>
      </c>
      <c r="BP860">
        <f>IF($H860="","",MAX(1,MIN(5,((6-$H860)*0.45)+($BJ860*0.2)+('Resilience &amp; Risk Scenario'!$B$7*0.15)+($BK860*0.1)+($BL860*0.05)+(IF($BB860="Fast",5,IF($BB860="Slow",1,3))*0.05))))</f>
        <v>3.5</v>
      </c>
      <c r="BQ860">
        <f t="shared" si="205"/>
        <v>4.5</v>
      </c>
      <c r="BR860">
        <f t="shared" si="206"/>
        <v>15.75</v>
      </c>
      <c r="BS860">
        <f t="shared" si="207"/>
        <v>16.73</v>
      </c>
      <c r="BT860" t="str">
        <f>IFERROR(INDEX(_REF_Capability_Bridge!$D:$D,MATCH($C860&amp;"|"&amp;$D860,_REF_Capability_Bridge!$J:$J,0)),IFERROR(INDEX(_REF_Capability_Bridge!$D:$D,MATCH($C860&amp;"|",_REF_Capability_Bridge!$J:$J,0)),"CAP_GENERIC"))</f>
        <v>CAP_DATA_GOVERNANCE</v>
      </c>
      <c r="BU860">
        <f>IFERROR(IFERROR(INDEX(_ENGINE_Relevance!$L:$L,MATCH($BT860,_ENGINE_Relevance!$B:$B,0)),1),1)</f>
        <v>1.25</v>
      </c>
      <c r="BV860" t="str">
        <f>IFERROR(INDEX(_REF_Capability_Bridge!$A:$A,MATCH($C860&amp;"|"&amp;$D860,_REF_Capability_Bridge!$J:$J,0)),IFERROR(INDEX(_REF_Capability_Bridge!$A:$A,MATCH($C860&amp;"|",_REF_Capability_Bridge!$J:$J,0)),"No bridge"))</f>
        <v>BRG-023</v>
      </c>
      <c r="BW860" t="str">
        <f t="shared" si="208"/>
        <v>Capability relevance increases risk priority</v>
      </c>
      <c r="BX860" t="str">
        <f t="shared" si="209"/>
        <v>Initial / absent</v>
      </c>
      <c r="BY860" t="str">
        <f>IF($E860="","",IFERROR(INDEX(_REF_Treatment_Library!$A$2:$A$296,MATCH(1,INDEX((_REF_Treatment_Library!$B$2:$B$296=$BT860)*(_REF_Treatment_Library!$C$2:$C$296=PV_Canonical_Industry)*(_REF_Treatment_Library!$E$2:$E$296&lt;=N($H860))*(_REF_Treatment_Library!$F$2:$F$296&gt;=N($H860))*(_REF_Treatment_Library!$O$2:$O$296="Yes"),0),0)),IFERROR(INDEX(_REF_Treatment_Library!$A$2:$A$296,MATCH(1,INDEX((_REF_Treatment_Library!$B$2:$B$296=$BT860)*(_REF_Treatment_Library!$C$2:$C$296="All")*(_REF_Treatment_Library!$E$2:$E$296&lt;=N($H860))*(_REF_Treatment_Library!$F$2:$F$296&gt;=N($H860))*(_REF_Treatment_Library!$O$2:$O$296="Yes"),0),0)),"")))</f>
        <v>TRT-DATA_GOVERNANCE-INITIAL</v>
      </c>
      <c r="BZ860" t="str">
        <f>IF($BY860="","",IFERROR(INDEX(_REF_Treatment_Library!$H$2:$H$296,MATCH($BY860,_REF_Treatment_Library!$A$2:$A$296,0)),""))</f>
        <v>Establish</v>
      </c>
      <c r="CA860" t="str">
        <f>IF($BY860="","",IFERROR(INDEX(_REF_Treatment_Library!$I$2:$I$296,MATCH($BY860,_REF_Treatment_Library!$A$2:$A$296,0)),""))</f>
        <v>Establish baseline controls for Data governance</v>
      </c>
      <c r="CB860" t="str">
        <f>IF($BY860="","",IFERROR(INDEX(_REF_Treatment_Library!$K$2:$K$296,MATCH($BY860,_REF_Treatment_Library!$A$2:$A$296,0)),""))</f>
        <v>Named owner, baseline process, minimum control checklist, first evidence package</v>
      </c>
      <c r="CC860" t="str">
        <f>IF($BY860="","",IFERROR(INDEX(_REF_Treatment_Library!$L$2:$L$296,MATCH($BY860,_REF_Treatment_Library!$A$2:$A$296,0)),""))</f>
        <v>Owner assigned; baseline evidence coverage; open critical gaps</v>
      </c>
      <c r="CD860" t="str">
        <f t="shared" si="210"/>
        <v>Treatment by capability=CAP_DATA_GOVERNANCE; band=Initial / absent; score=0.0; treatment=Establish</v>
      </c>
      <c r="CE860" t="str">
        <f>IF($E860="","",IFERROR(INDEX(_REF_Industry_Wording!$A$2:$A$70,MATCH(1,INDEX((_REF_Industry_Wording!$B$2:$B$70=$BT860)*(_REF_Industry_Wording!$C$2:$C$70=PV_Canonical_Industry)*(_REF_Industry_Wording!$K$2:$K$70="Yes"),0),0)),IFERROR(INDEX(_REF_Industry_Wording!$A$2:$A$70,MATCH(1,INDEX((_REF_Industry_Wording!$B$2:$B$70=$BT860)*(_REF_Industry_Wording!$C$2:$C$70="All")*(_REF_Industry_Wording!$K$2:$K$70="Yes"),0),0)),"")))</f>
        <v>IW-ALL-DATA_GOVERNANCE</v>
      </c>
      <c r="CF860" t="str">
        <f>IF($CE860="","",IFERROR(INDEX(_REF_Industry_Wording!$E$2:$E$70,MATCH($CE860,_REF_Industry_Wording!$A$2:$A$70,0)),""))</f>
        <v>Data governance weakness</v>
      </c>
      <c r="CG860" t="str">
        <f>IF($CE860="","",IFERROR(INDEX(_REF_Industry_Wording!$F$2:$F$70,MATCH($CE860,_REF_Industry_Wording!$A$2:$A$70,0)),""))</f>
        <v>Strengthen Data governance</v>
      </c>
      <c r="CH860" t="str">
        <f>IF($CE860="","",IFERROR(INDEX(_REF_Industry_Wording!$G$2:$G$70,MATCH($CE860,_REF_Industry_Wording!$A$2:$A$70,0)),""))</f>
        <v>Strengthen Data governance using the selected maturity treatment, crisis scenario and evidence requirements.</v>
      </c>
      <c r="CI860" t="str">
        <f>IF($CE860="","",IFERROR(INDEX(_REF_Industry_Wording!$H$2:$H$70,MATCH($CE860,_REF_Industry_Wording!$A$2:$A$70,0)),""))</f>
        <v>Data governance</v>
      </c>
      <c r="CJ860">
        <f>IF($CE860="","",IFERROR(INDEX(_REF_Industry_Wording!$I$2:$I$70,MATCH($CE860,_REF_Industry_Wording!$A$2:$A$70,0)),""))</f>
        <v>0</v>
      </c>
      <c r="CK860" t="str">
        <f>IF($CE860="","",IFERROR(INDEX(_REF_Industry_Wording!$J$2:$J$70,MATCH($CE860,_REF_Industry_Wording!$A$2:$A$70,0)),""))</f>
        <v>Data governance</v>
      </c>
      <c r="CL860" t="str">
        <f t="shared" si="211"/>
        <v>Wording by industry=0; capability=CAP_DATA_GOVERNANCE; risk label=Data governance weakness</v>
      </c>
      <c r="CM860" t="str">
        <f t="shared" si="212"/>
        <v>RISK-ONT-0361</v>
      </c>
      <c r="CN860" t="str">
        <f t="shared" si="213"/>
        <v>RISK-EVT-0361</v>
      </c>
      <c r="CO860" t="str">
        <f t="shared" si="214"/>
        <v>Data BI AI|Forecasting and scenarios|DATA-020|CAP_DATA_GOVERNANCE</v>
      </c>
      <c r="CP860" t="str">
        <f t="shared" si="215"/>
        <v>Active</v>
      </c>
      <c r="CQ860" t="str">
        <f t="shared" si="216"/>
        <v>OK: capability-driven</v>
      </c>
      <c r="CR860" t="str">
        <f t="shared" si="217"/>
        <v>Risk ontology uses capability=CAP_DATA_GOVERNANCE; bridge=BRG-023; treatment=TRT-DATA_GOVERNANCE-INITIAL; wording=IW-ALL-DATA_GOVERNANCE</v>
      </c>
      <c r="CS860" t="str">
        <f t="shared" si="218"/>
        <v>Yes</v>
      </c>
    </row>
    <row r="861" spans="1:97" ht="69.900000000000006" customHeight="1">
      <c r="A861">
        <f>IF(OR($B861&lt;&gt;"Yes",$BS861=""),"",SUMPRODUCT(($B$500:$B$923="Yes")*ISNUMBER($BS$500:$BS$923)*($BS$500:$BS$923&gt;$BS861))+COUNTIFS($B$500:$B861,"Yes",$BS$500:$BS861,$BS861))</f>
        <v>302</v>
      </c>
      <c r="B861" t="str">
        <f t="shared" si="187"/>
        <v>Yes</v>
      </c>
      <c r="C861" t="s">
        <v>2824</v>
      </c>
      <c r="D861" t="s">
        <v>2855</v>
      </c>
      <c r="E861" t="s">
        <v>2935</v>
      </c>
      <c r="F861" t="s">
        <v>4418</v>
      </c>
      <c r="G861" t="str">
        <f>IF($H861="","",IFERROR(INDEX(_ENGINE_Risk!$H$5:$M$499,MATCH($E861,_ENGINE_Risk!$A$5:$A$499,0),$H861+1),""))</f>
        <v>Severe risk: leading indicators and early warnings built from internal and external data is not reliably controlled. During Decision failure; Data loss; Regulatory/legal shock, the organization may face poor decisions, unreliable reporting, data quality problems and unsafe or ineffective AI usage with limited visibility or accountability.</v>
      </c>
      <c r="H861">
        <f>IFERROR(VALUE(INDEX(_DATA_Assessment_Model!$H$5:$H$884,MATCH($E861,_DATA_Assessment_Model!$A$5:$A$884,0))),"")</f>
        <v>0</v>
      </c>
      <c r="I861" t="str">
        <f>IF($H861="","",IFERROR(INDEX(_DATA_Assessment_Model!$L$5:$L$884,MATCH($E861,_DATA_Assessment_Model!$A$5:$A$884,0)),IF($H861&lt;=1,"Critical",IF($H861=2,"High",IF($H861=3,"Medium",IF($H861=4,"Low","Resilient"))))))</f>
        <v>Critical</v>
      </c>
      <c r="J861">
        <f t="shared" si="188"/>
        <v>3.5</v>
      </c>
      <c r="K861">
        <f t="shared" si="189"/>
        <v>4.3</v>
      </c>
      <c r="L861">
        <f t="shared" si="190"/>
        <v>15.049999999999999</v>
      </c>
      <c r="M861">
        <f t="shared" si="191"/>
        <v>4</v>
      </c>
      <c r="N861">
        <f>IF($H861="","",IFERROR(INDEX(_ENGINE_Risk!$T$5:$Y$499,MATCH($E861,_ENGINE_Risk!$A$5:$A$499,0),$H861+1),""))</f>
        <v>4</v>
      </c>
      <c r="O861">
        <f t="shared" si="192"/>
        <v>4.666666666666667</v>
      </c>
      <c r="P861">
        <f t="shared" si="193"/>
        <v>5</v>
      </c>
      <c r="Q861">
        <f t="shared" si="194"/>
        <v>5</v>
      </c>
      <c r="R861">
        <f t="shared" si="195"/>
        <v>5</v>
      </c>
      <c r="S861">
        <f t="shared" si="196"/>
        <v>1.23</v>
      </c>
      <c r="T861" t="str">
        <f>IF($H861="","",IFERROR(INDEX(_ENGINE_Risk!$N$5:$S$499,MATCH($E861,_ENGINE_Risk!$A$5:$A$499,0),$H861+1),""))</f>
        <v>Create an immediate risk owner, minimum control baseline and fallback procedure for leading indicators and early warnings built from internal and external data. Add it to the crisis risk register and collect first evidence.</v>
      </c>
      <c r="U861">
        <f>IFERROR(INDEX(_DATA_Assessment_Model!$G$5:$G$884,MATCH($E861,_DATA_Assessment_Model!$A$5:$A$884,0)),"")</f>
        <v>4</v>
      </c>
      <c r="V861">
        <f>IFERROR(INDEX(_DATA_Assessment_Model!$W$5:$W$884,MATCH($E861,_DATA_Assessment_Model!$A$5:$A$884,0)),"")</f>
        <v>5</v>
      </c>
      <c r="W861">
        <f>IFERROR(INDEX(_DATA_Assessment_Model!$X$5:$X$884,MATCH($E861,_DATA_Assessment_Model!$A$5:$A$884,0)),"")</f>
        <v>5</v>
      </c>
      <c r="X861">
        <f>IFERROR(INDEX(_DATA_Assessment_Model!$Y$5:$Y$884,MATCH($E861,_DATA_Assessment_Model!$A$5:$A$884,0)),"")</f>
        <v>5</v>
      </c>
      <c r="Y861" t="s">
        <v>2831</v>
      </c>
      <c r="Z861" t="s">
        <v>9432</v>
      </c>
      <c r="AA861" t="s">
        <v>2937</v>
      </c>
      <c r="AB861">
        <f>IFERROR(INDEX(_DATA_Assessment_Model!$U$5:$U$884,MATCH($E861,_DATA_Assessment_Model!$A$5:$A$884,0)),"")</f>
        <v>0</v>
      </c>
      <c r="AF861" t="s">
        <v>2936</v>
      </c>
      <c r="AO861">
        <f>IF($B861="Yes",IF(IFERROR(INDEX(_ENGINE_Crisis!$F$501:$F$517,MATCH($C861,_ENGINE_Crisis!$A$501:$A$517,0)),1)=0,1,IFERROR(INDEX(_ENGINE_Crisis!$F$501:$F$517,MATCH($C861,_ENGINE_Crisis!$A$501:$A$517,0)),1)),"")</f>
        <v>1</v>
      </c>
      <c r="AP861">
        <f t="shared" si="197"/>
        <v>15.1</v>
      </c>
      <c r="AQ861">
        <f t="shared" si="198"/>
        <v>1.23</v>
      </c>
      <c r="AR861" t="str">
        <f>IFERROR(INDEX(_ENGINE_Crisis!$E$41:$E$700,MATCH('Resilience &amp; Risk Scenario'!$B$6&amp;"|"&amp;$C861,_ENGINE_Crisis!$I$41:$I$700,0)),"")</f>
        <v/>
      </c>
      <c r="AS861" t="str">
        <f>IFERROR(INDEX(_ENGINE_Crisis!$G$41:$G$700,MATCH('Resilience &amp; Risk Scenario'!$B$6&amp;"|"&amp;$C861,_ENGINE_Crisis!$I$41:$I$700,0)),"")</f>
        <v/>
      </c>
      <c r="AT861" t="str">
        <f>IFERROR(INDEX(_ENGINE_Initiatives!$A$5:$A$532,MATCH(1,INDEX((_ENGINE_Initiatives!$B$5:$B$532=$C861)*(_ENGINE_Initiatives!$C$5:$C$532=$D861),0),0)),"")</f>
        <v>INI-061</v>
      </c>
      <c r="AU861" t="str">
        <f>IFERROR(INDEX(_ENGINE_Initiatives!$F$5:$F$532,MATCH(1,INDEX((_ENGINE_Initiatives!$B$5:$B$532=$C861)*(_ENGINE_Initiatives!$C$5:$C$532=$D861),0),0)),"")</f>
        <v>Build forecasting and scenario analytics capability</v>
      </c>
      <c r="AV861">
        <f>IFERROR(INDEX(_ENGINE_Initiatives!$AC$5:$AC$532,MATCH(1,INDEX((_ENGINE_Initiatives!$B$5:$B$532=$C861)*(_ENGINE_Initiatives!$C$5:$C$532=$D861),0),0)),"")</f>
        <v>1.28</v>
      </c>
      <c r="AW861" t="str">
        <f>IFERROR(INDEX(_ENGINE_Initiatives!$AE$5:$AE$532,MATCH(1,INDEX((_ENGINE_Initiatives!$B$5:$B$532=$C861)*(_ENGINE_Initiatives!$C$5:$C$532=$D861),0),0)),"")</f>
        <v>12+ months</v>
      </c>
      <c r="AX861">
        <f>IF($B861="Yes",IFERROR((IF(SUMIFS(_REF_Model_Content!$E$1:$E$613,_REF_Model_Content!$A$1:$A$613,PV_Canonical_Industry,_REF_Model_Content!$B$1:$B$613,$C861)=0,1,SUMIFS(_REF_Model_Content!$E$1:$E$613,_REF_Model_Content!$A$1:$A$613,PV_Canonical_Industry,_REF_Model_Content!$B$1:$B$613,$C861))*IFERROR($BU861,1)),1),"")</f>
        <v>1.25</v>
      </c>
      <c r="AY861">
        <f t="shared" si="199"/>
        <v>18.88</v>
      </c>
      <c r="AZ861">
        <f t="shared" si="200"/>
        <v>1.54</v>
      </c>
      <c r="BB861" t="str">
        <f>IF($H861="","",IFERROR(INDEX(_ENGINE_Risk!$AE$5:$AE$499,MATCH($E861,_ENGINE_Risk!$A$5:$A$499,0)),"Medium"))</f>
        <v>Slow</v>
      </c>
      <c r="BC861">
        <f t="shared" si="201"/>
        <v>0.85</v>
      </c>
      <c r="BD861">
        <f t="shared" si="202"/>
        <v>1.54</v>
      </c>
      <c r="BF861">
        <f>IF(OR($H861="",$J861=""),"",IFERROR(VLOOKUP(ROUND($J861,0),_CONFIG_Model_Settings!$D$154:$E$158,2,0),""))</f>
        <v>0.5</v>
      </c>
      <c r="BG861">
        <f>IFERROR(IF(OR($H861="",$K861=""),"",ROUND('Company Profile'!$B$113*INDEX(_CONFIG_Model_Settings!$H$154:$H$158,MATCH(ROUND($K861,0),_CONFIG_Model_Settings!$G$154:$G$158,0)),0)),0)</f>
        <v>875</v>
      </c>
      <c r="BH861">
        <f t="shared" si="203"/>
        <v>437.5</v>
      </c>
      <c r="BI861">
        <f t="shared" si="204"/>
        <v>437.5</v>
      </c>
      <c r="BJ861">
        <f>IF($E861="","",IFERROR(VLOOKUP($C861,_CONFIG_Risk_Calibration!$A$5:$H$21,2,FALSE),3))</f>
        <v>3</v>
      </c>
      <c r="BK861">
        <f>IF($E861="","",IFERROR(VLOOKUP($C861,_CONFIG_Risk_Calibration!$A$5:$H$21,3,FALSE),0))</f>
        <v>0</v>
      </c>
      <c r="BL861">
        <f>IF($E861="","",IFERROR(VLOOKUP($C861,_CONFIG_Risk_Calibration!$A$5:$H$21,4,FALSE),3))</f>
        <v>3</v>
      </c>
      <c r="BM861">
        <f>IF($E861="","",IFERROR(VLOOKUP($C861,_CONFIG_Risk_Calibration!$A$5:$H$21,5,FALSE),3))</f>
        <v>3</v>
      </c>
      <c r="BN861" t="str">
        <f>IF($E861="","",IFERROR(VLOOKUP($C861,_CONFIG_Risk_Calibration!$A$5:$H$21,6,FALSE),"No"))</f>
        <v>No</v>
      </c>
      <c r="BO861">
        <f>IF($E861="","",IFERROR(VLOOKUP($C861,_CONFIG_Risk_Calibration!$A$5:$H$21,7,FALSE),1))</f>
        <v>1</v>
      </c>
      <c r="BP861">
        <f>IF($H861="","",MAX(1,MIN(5,((6-$H861)*0.45)+($BJ861*0.2)+('Resilience &amp; Risk Scenario'!$B$7*0.15)+($BK861*0.1)+($BL861*0.05)+(IF($BB861="Fast",5,IF($BB861="Slow",1,3))*0.05))))</f>
        <v>3.5</v>
      </c>
      <c r="BQ861">
        <f t="shared" si="205"/>
        <v>4.3</v>
      </c>
      <c r="BR861">
        <f t="shared" si="206"/>
        <v>15.05</v>
      </c>
      <c r="BS861">
        <f t="shared" si="207"/>
        <v>15.99</v>
      </c>
      <c r="BT861" t="str">
        <f>IFERROR(INDEX(_REF_Capability_Bridge!$D:$D,MATCH($C861&amp;"|"&amp;$D861,_REF_Capability_Bridge!$J:$J,0)),IFERROR(INDEX(_REF_Capability_Bridge!$D:$D,MATCH($C861&amp;"|",_REF_Capability_Bridge!$J:$J,0)),"CAP_GENERIC"))</f>
        <v>CAP_DATA_GOVERNANCE</v>
      </c>
      <c r="BU861">
        <f>IFERROR(IFERROR(INDEX(_ENGINE_Relevance!$L:$L,MATCH($BT861,_ENGINE_Relevance!$B:$B,0)),1),1)</f>
        <v>1.25</v>
      </c>
      <c r="BV861" t="str">
        <f>IFERROR(INDEX(_REF_Capability_Bridge!$A:$A,MATCH($C861&amp;"|"&amp;$D861,_REF_Capability_Bridge!$J:$J,0)),IFERROR(INDEX(_REF_Capability_Bridge!$A:$A,MATCH($C861&amp;"|",_REF_Capability_Bridge!$J:$J,0)),"No bridge"))</f>
        <v>BRG-023</v>
      </c>
      <c r="BW861" t="str">
        <f t="shared" si="208"/>
        <v>Capability relevance increases risk priority</v>
      </c>
      <c r="BX861" t="str">
        <f t="shared" si="209"/>
        <v>Initial / absent</v>
      </c>
      <c r="BY861" t="str">
        <f>IF($E861="","",IFERROR(INDEX(_REF_Treatment_Library!$A$2:$A$296,MATCH(1,INDEX((_REF_Treatment_Library!$B$2:$B$296=$BT861)*(_REF_Treatment_Library!$C$2:$C$296=PV_Canonical_Industry)*(_REF_Treatment_Library!$E$2:$E$296&lt;=N($H861))*(_REF_Treatment_Library!$F$2:$F$296&gt;=N($H861))*(_REF_Treatment_Library!$O$2:$O$296="Yes"),0),0)),IFERROR(INDEX(_REF_Treatment_Library!$A$2:$A$296,MATCH(1,INDEX((_REF_Treatment_Library!$B$2:$B$296=$BT861)*(_REF_Treatment_Library!$C$2:$C$296="All")*(_REF_Treatment_Library!$E$2:$E$296&lt;=N($H861))*(_REF_Treatment_Library!$F$2:$F$296&gt;=N($H861))*(_REF_Treatment_Library!$O$2:$O$296="Yes"),0),0)),"")))</f>
        <v>TRT-DATA_GOVERNANCE-INITIAL</v>
      </c>
      <c r="BZ861" t="str">
        <f>IF($BY861="","",IFERROR(INDEX(_REF_Treatment_Library!$H$2:$H$296,MATCH($BY861,_REF_Treatment_Library!$A$2:$A$296,0)),""))</f>
        <v>Establish</v>
      </c>
      <c r="CA861" t="str">
        <f>IF($BY861="","",IFERROR(INDEX(_REF_Treatment_Library!$I$2:$I$296,MATCH($BY861,_REF_Treatment_Library!$A$2:$A$296,0)),""))</f>
        <v>Establish baseline controls for Data governance</v>
      </c>
      <c r="CB861" t="str">
        <f>IF($BY861="","",IFERROR(INDEX(_REF_Treatment_Library!$K$2:$K$296,MATCH($BY861,_REF_Treatment_Library!$A$2:$A$296,0)),""))</f>
        <v>Named owner, baseline process, minimum control checklist, first evidence package</v>
      </c>
      <c r="CC861" t="str">
        <f>IF($BY861="","",IFERROR(INDEX(_REF_Treatment_Library!$L$2:$L$296,MATCH($BY861,_REF_Treatment_Library!$A$2:$A$296,0)),""))</f>
        <v>Owner assigned; baseline evidence coverage; open critical gaps</v>
      </c>
      <c r="CD861" t="str">
        <f t="shared" si="210"/>
        <v>Treatment by capability=CAP_DATA_GOVERNANCE; band=Initial / absent; score=0.0; treatment=Establish</v>
      </c>
      <c r="CE861" t="str">
        <f>IF($E861="","",IFERROR(INDEX(_REF_Industry_Wording!$A$2:$A$70,MATCH(1,INDEX((_REF_Industry_Wording!$B$2:$B$70=$BT861)*(_REF_Industry_Wording!$C$2:$C$70=PV_Canonical_Industry)*(_REF_Industry_Wording!$K$2:$K$70="Yes"),0),0)),IFERROR(INDEX(_REF_Industry_Wording!$A$2:$A$70,MATCH(1,INDEX((_REF_Industry_Wording!$B$2:$B$70=$BT861)*(_REF_Industry_Wording!$C$2:$C$70="All")*(_REF_Industry_Wording!$K$2:$K$70="Yes"),0),0)),"")))</f>
        <v>IW-ALL-DATA_GOVERNANCE</v>
      </c>
      <c r="CF861" t="str">
        <f>IF($CE861="","",IFERROR(INDEX(_REF_Industry_Wording!$E$2:$E$70,MATCH($CE861,_REF_Industry_Wording!$A$2:$A$70,0)),""))</f>
        <v>Data governance weakness</v>
      </c>
      <c r="CG861" t="str">
        <f>IF($CE861="","",IFERROR(INDEX(_REF_Industry_Wording!$F$2:$F$70,MATCH($CE861,_REF_Industry_Wording!$A$2:$A$70,0)),""))</f>
        <v>Strengthen Data governance</v>
      </c>
      <c r="CH861" t="str">
        <f>IF($CE861="","",IFERROR(INDEX(_REF_Industry_Wording!$G$2:$G$70,MATCH($CE861,_REF_Industry_Wording!$A$2:$A$70,0)),""))</f>
        <v>Strengthen Data governance using the selected maturity treatment, crisis scenario and evidence requirements.</v>
      </c>
      <c r="CI861" t="str">
        <f>IF($CE861="","",IFERROR(INDEX(_REF_Industry_Wording!$H$2:$H$70,MATCH($CE861,_REF_Industry_Wording!$A$2:$A$70,0)),""))</f>
        <v>Data governance</v>
      </c>
      <c r="CJ861">
        <f>IF($CE861="","",IFERROR(INDEX(_REF_Industry_Wording!$I$2:$I$70,MATCH($CE861,_REF_Industry_Wording!$A$2:$A$70,0)),""))</f>
        <v>0</v>
      </c>
      <c r="CK861" t="str">
        <f>IF($CE861="","",IFERROR(INDEX(_REF_Industry_Wording!$J$2:$J$70,MATCH($CE861,_REF_Industry_Wording!$A$2:$A$70,0)),""))</f>
        <v>Data governance</v>
      </c>
      <c r="CL861" t="str">
        <f t="shared" si="211"/>
        <v>Wording by industry=0; capability=CAP_DATA_GOVERNANCE; risk label=Data governance weakness</v>
      </c>
      <c r="CM861" t="str">
        <f t="shared" si="212"/>
        <v>RISK-ONT-0362</v>
      </c>
      <c r="CN861" t="str">
        <f t="shared" si="213"/>
        <v>RISK-EVT-0362</v>
      </c>
      <c r="CO861" t="str">
        <f t="shared" si="214"/>
        <v>Data BI AI|Forecasting and scenarios|DATA-021|CAP_DATA_GOVERNANCE</v>
      </c>
      <c r="CP861" t="str">
        <f t="shared" si="215"/>
        <v>Active</v>
      </c>
      <c r="CQ861" t="str">
        <f t="shared" si="216"/>
        <v>OK: capability-driven</v>
      </c>
      <c r="CR861" t="str">
        <f t="shared" si="217"/>
        <v>Risk ontology uses capability=CAP_DATA_GOVERNANCE; bridge=BRG-023; treatment=TRT-DATA_GOVERNANCE-INITIAL; wording=IW-ALL-DATA_GOVERNANCE</v>
      </c>
      <c r="CS861" t="str">
        <f t="shared" si="218"/>
        <v>Yes</v>
      </c>
    </row>
    <row r="862" spans="1:97" ht="69.900000000000006" customHeight="1">
      <c r="A862">
        <f>IF(OR($B862&lt;&gt;"Yes",$BS862=""),"",SUMPRODUCT(($B$500:$B$923="Yes")*ISNUMBER($BS$500:$BS$923)*($BS$500:$BS$923&gt;$BS862))+COUNTIFS($B$500:$B862,"Yes",$BS$500:$BS862,$BS862))</f>
        <v>303</v>
      </c>
      <c r="B862" t="str">
        <f t="shared" si="187"/>
        <v>Yes</v>
      </c>
      <c r="C862" t="s">
        <v>2824</v>
      </c>
      <c r="D862" t="s">
        <v>2855</v>
      </c>
      <c r="E862" t="s">
        <v>2944</v>
      </c>
      <c r="F862" t="s">
        <v>4418</v>
      </c>
      <c r="G862" t="str">
        <f>IF($H862="","",IFERROR(INDEX(_ENGINE_Risk!$H$5:$M$499,MATCH($E862,_ENGINE_Risk!$A$5:$A$499,0),$H862+1),""))</f>
        <v>Severe risk: model validation and backtesting for forecasts and risk models is not reliably controlled. During Decision failure; Data loss; Regulatory/legal shock, the organization may face poor decisions, unreliable reporting, data quality problems and unsafe or ineffective AI usage with limited visibility or accountability.</v>
      </c>
      <c r="H862">
        <f>IFERROR(VALUE(INDEX(_DATA_Assessment_Model!$H$5:$H$884,MATCH($E862,_DATA_Assessment_Model!$A$5:$A$884,0))),"")</f>
        <v>0</v>
      </c>
      <c r="I862" t="str">
        <f>IF($H862="","",IFERROR(INDEX(_DATA_Assessment_Model!$L$5:$L$884,MATCH($E862,_DATA_Assessment_Model!$A$5:$A$884,0)),IF($H862&lt;=1,"Critical",IF($H862=2,"High",IF($H862=3,"Medium",IF($H862=4,"Low","Resilient"))))))</f>
        <v>Critical</v>
      </c>
      <c r="J862">
        <f t="shared" si="188"/>
        <v>3.5</v>
      </c>
      <c r="K862">
        <f t="shared" si="189"/>
        <v>4.3</v>
      </c>
      <c r="L862">
        <f t="shared" si="190"/>
        <v>15.049999999999999</v>
      </c>
      <c r="M862">
        <f t="shared" si="191"/>
        <v>4</v>
      </c>
      <c r="N862">
        <f>IF($H862="","",IFERROR(INDEX(_ENGINE_Risk!$T$5:$Y$499,MATCH($E862,_ENGINE_Risk!$A$5:$A$499,0),$H862+1),""))</f>
        <v>4</v>
      </c>
      <c r="O862">
        <f t="shared" si="192"/>
        <v>4.666666666666667</v>
      </c>
      <c r="P862">
        <f t="shared" si="193"/>
        <v>5</v>
      </c>
      <c r="Q862">
        <f t="shared" si="194"/>
        <v>5</v>
      </c>
      <c r="R862">
        <f t="shared" si="195"/>
        <v>5</v>
      </c>
      <c r="S862">
        <f t="shared" si="196"/>
        <v>1.23</v>
      </c>
      <c r="T862" t="str">
        <f>IF($H862="","",IFERROR(INDEX(_ENGINE_Risk!$N$5:$S$499,MATCH($E862,_ENGINE_Risk!$A$5:$A$499,0),$H862+1),""))</f>
        <v>Create an immediate risk owner, minimum control baseline and fallback procedure for model validation and backtesting for forecasts and risk models. Add it to the crisis risk register and collect first evidence.</v>
      </c>
      <c r="U862">
        <f>IFERROR(INDEX(_DATA_Assessment_Model!$G$5:$G$884,MATCH($E862,_DATA_Assessment_Model!$A$5:$A$884,0)),"")</f>
        <v>4</v>
      </c>
      <c r="V862">
        <f>IFERROR(INDEX(_DATA_Assessment_Model!$W$5:$W$884,MATCH($E862,_DATA_Assessment_Model!$A$5:$A$884,0)),"")</f>
        <v>5</v>
      </c>
      <c r="W862">
        <f>IFERROR(INDEX(_DATA_Assessment_Model!$X$5:$X$884,MATCH($E862,_DATA_Assessment_Model!$A$5:$A$884,0)),"")</f>
        <v>5</v>
      </c>
      <c r="X862">
        <f>IFERROR(INDEX(_DATA_Assessment_Model!$Y$5:$Y$884,MATCH($E862,_DATA_Assessment_Model!$A$5:$A$884,0)),"")</f>
        <v>5</v>
      </c>
      <c r="Y862" t="s">
        <v>2831</v>
      </c>
      <c r="Z862" t="s">
        <v>9432</v>
      </c>
      <c r="AA862" t="s">
        <v>2946</v>
      </c>
      <c r="AB862">
        <f>IFERROR(INDEX(_DATA_Assessment_Model!$U$5:$U$884,MATCH($E862,_DATA_Assessment_Model!$A$5:$A$884,0)),"")</f>
        <v>0</v>
      </c>
      <c r="AF862" t="s">
        <v>2945</v>
      </c>
      <c r="AO862">
        <f>IF($B862="Yes",IF(IFERROR(INDEX(_ENGINE_Crisis!$F$501:$F$517,MATCH($C862,_ENGINE_Crisis!$A$501:$A$517,0)),1)=0,1,IFERROR(INDEX(_ENGINE_Crisis!$F$501:$F$517,MATCH($C862,_ENGINE_Crisis!$A$501:$A$517,0)),1)),"")</f>
        <v>1</v>
      </c>
      <c r="AP862">
        <f t="shared" si="197"/>
        <v>15.1</v>
      </c>
      <c r="AQ862">
        <f t="shared" si="198"/>
        <v>1.23</v>
      </c>
      <c r="AR862" t="str">
        <f>IFERROR(INDEX(_ENGINE_Crisis!$E$41:$E$700,MATCH('Resilience &amp; Risk Scenario'!$B$6&amp;"|"&amp;$C862,_ENGINE_Crisis!$I$41:$I$700,0)),"")</f>
        <v/>
      </c>
      <c r="AS862" t="str">
        <f>IFERROR(INDEX(_ENGINE_Crisis!$G$41:$G$700,MATCH('Resilience &amp; Risk Scenario'!$B$6&amp;"|"&amp;$C862,_ENGINE_Crisis!$I$41:$I$700,0)),"")</f>
        <v/>
      </c>
      <c r="AT862" t="str">
        <f>IFERROR(INDEX(_ENGINE_Initiatives!$A$5:$A$532,MATCH(1,INDEX((_ENGINE_Initiatives!$B$5:$B$532=$C862)*(_ENGINE_Initiatives!$C$5:$C$532=$D862),0),0)),"")</f>
        <v>INI-061</v>
      </c>
      <c r="AU862" t="str">
        <f>IFERROR(INDEX(_ENGINE_Initiatives!$F$5:$F$532,MATCH(1,INDEX((_ENGINE_Initiatives!$B$5:$B$532=$C862)*(_ENGINE_Initiatives!$C$5:$C$532=$D862),0),0)),"")</f>
        <v>Build forecasting and scenario analytics capability</v>
      </c>
      <c r="AV862">
        <f>IFERROR(INDEX(_ENGINE_Initiatives!$AC$5:$AC$532,MATCH(1,INDEX((_ENGINE_Initiatives!$B$5:$B$532=$C862)*(_ENGINE_Initiatives!$C$5:$C$532=$D862),0),0)),"")</f>
        <v>1.28</v>
      </c>
      <c r="AW862" t="str">
        <f>IFERROR(INDEX(_ENGINE_Initiatives!$AE$5:$AE$532,MATCH(1,INDEX((_ENGINE_Initiatives!$B$5:$B$532=$C862)*(_ENGINE_Initiatives!$C$5:$C$532=$D862),0),0)),"")</f>
        <v>12+ months</v>
      </c>
      <c r="AX862">
        <f>IF($B862="Yes",IFERROR((IF(SUMIFS(_REF_Model_Content!$E$1:$E$613,_REF_Model_Content!$A$1:$A$613,PV_Canonical_Industry,_REF_Model_Content!$B$1:$B$613,$C862)=0,1,SUMIFS(_REF_Model_Content!$E$1:$E$613,_REF_Model_Content!$A$1:$A$613,PV_Canonical_Industry,_REF_Model_Content!$B$1:$B$613,$C862))*IFERROR($BU862,1)),1),"")</f>
        <v>1.25</v>
      </c>
      <c r="AY862">
        <f t="shared" si="199"/>
        <v>18.88</v>
      </c>
      <c r="AZ862">
        <f t="shared" si="200"/>
        <v>1.54</v>
      </c>
      <c r="BB862" t="str">
        <f>IF($H862="","",IFERROR(INDEX(_ENGINE_Risk!$AE$5:$AE$499,MATCH($E862,_ENGINE_Risk!$A$5:$A$499,0)),"Medium"))</f>
        <v>Slow</v>
      </c>
      <c r="BC862">
        <f t="shared" si="201"/>
        <v>0.85</v>
      </c>
      <c r="BD862">
        <f t="shared" si="202"/>
        <v>1.54</v>
      </c>
      <c r="BF862">
        <f>IF(OR($H862="",$J862=""),"",IFERROR(VLOOKUP(ROUND($J862,0),_CONFIG_Model_Settings!$D$154:$E$158,2,0),""))</f>
        <v>0.5</v>
      </c>
      <c r="BG862">
        <f>IFERROR(IF(OR($H862="",$K862=""),"",ROUND('Company Profile'!$B$113*INDEX(_CONFIG_Model_Settings!$H$154:$H$158,MATCH(ROUND($K862,0),_CONFIG_Model_Settings!$G$154:$G$158,0)),0)),0)</f>
        <v>875</v>
      </c>
      <c r="BH862">
        <f t="shared" si="203"/>
        <v>437.5</v>
      </c>
      <c r="BI862">
        <f t="shared" si="204"/>
        <v>437.5</v>
      </c>
      <c r="BJ862">
        <f>IF($E862="","",IFERROR(VLOOKUP($C862,_CONFIG_Risk_Calibration!$A$5:$H$21,2,FALSE),3))</f>
        <v>3</v>
      </c>
      <c r="BK862">
        <f>IF($E862="","",IFERROR(VLOOKUP($C862,_CONFIG_Risk_Calibration!$A$5:$H$21,3,FALSE),0))</f>
        <v>0</v>
      </c>
      <c r="BL862">
        <f>IF($E862="","",IFERROR(VLOOKUP($C862,_CONFIG_Risk_Calibration!$A$5:$H$21,4,FALSE),3))</f>
        <v>3</v>
      </c>
      <c r="BM862">
        <f>IF($E862="","",IFERROR(VLOOKUP($C862,_CONFIG_Risk_Calibration!$A$5:$H$21,5,FALSE),3))</f>
        <v>3</v>
      </c>
      <c r="BN862" t="str">
        <f>IF($E862="","",IFERROR(VLOOKUP($C862,_CONFIG_Risk_Calibration!$A$5:$H$21,6,FALSE),"No"))</f>
        <v>No</v>
      </c>
      <c r="BO862">
        <f>IF($E862="","",IFERROR(VLOOKUP($C862,_CONFIG_Risk_Calibration!$A$5:$H$21,7,FALSE),1))</f>
        <v>1</v>
      </c>
      <c r="BP862">
        <f>IF($H862="","",MAX(1,MIN(5,((6-$H862)*0.45)+($BJ862*0.2)+('Resilience &amp; Risk Scenario'!$B$7*0.15)+($BK862*0.1)+($BL862*0.05)+(IF($BB862="Fast",5,IF($BB862="Slow",1,3))*0.05))))</f>
        <v>3.5</v>
      </c>
      <c r="BQ862">
        <f t="shared" si="205"/>
        <v>4.3</v>
      </c>
      <c r="BR862">
        <f t="shared" si="206"/>
        <v>15.05</v>
      </c>
      <c r="BS862">
        <f t="shared" si="207"/>
        <v>15.99</v>
      </c>
      <c r="BT862" t="str">
        <f>IFERROR(INDEX(_REF_Capability_Bridge!$D:$D,MATCH($C862&amp;"|"&amp;$D862,_REF_Capability_Bridge!$J:$J,0)),IFERROR(INDEX(_REF_Capability_Bridge!$D:$D,MATCH($C862&amp;"|",_REF_Capability_Bridge!$J:$J,0)),"CAP_GENERIC"))</f>
        <v>CAP_DATA_GOVERNANCE</v>
      </c>
      <c r="BU862">
        <f>IFERROR(IFERROR(INDEX(_ENGINE_Relevance!$L:$L,MATCH($BT862,_ENGINE_Relevance!$B:$B,0)),1),1)</f>
        <v>1.25</v>
      </c>
      <c r="BV862" t="str">
        <f>IFERROR(INDEX(_REF_Capability_Bridge!$A:$A,MATCH($C862&amp;"|"&amp;$D862,_REF_Capability_Bridge!$J:$J,0)),IFERROR(INDEX(_REF_Capability_Bridge!$A:$A,MATCH($C862&amp;"|",_REF_Capability_Bridge!$J:$J,0)),"No bridge"))</f>
        <v>BRG-023</v>
      </c>
      <c r="BW862" t="str">
        <f t="shared" si="208"/>
        <v>Capability relevance increases risk priority</v>
      </c>
      <c r="BX862" t="str">
        <f t="shared" si="209"/>
        <v>Initial / absent</v>
      </c>
      <c r="BY862" t="str">
        <f>IF($E862="","",IFERROR(INDEX(_REF_Treatment_Library!$A$2:$A$296,MATCH(1,INDEX((_REF_Treatment_Library!$B$2:$B$296=$BT862)*(_REF_Treatment_Library!$C$2:$C$296=PV_Canonical_Industry)*(_REF_Treatment_Library!$E$2:$E$296&lt;=N($H862))*(_REF_Treatment_Library!$F$2:$F$296&gt;=N($H862))*(_REF_Treatment_Library!$O$2:$O$296="Yes"),0),0)),IFERROR(INDEX(_REF_Treatment_Library!$A$2:$A$296,MATCH(1,INDEX((_REF_Treatment_Library!$B$2:$B$296=$BT862)*(_REF_Treatment_Library!$C$2:$C$296="All")*(_REF_Treatment_Library!$E$2:$E$296&lt;=N($H862))*(_REF_Treatment_Library!$F$2:$F$296&gt;=N($H862))*(_REF_Treatment_Library!$O$2:$O$296="Yes"),0),0)),"")))</f>
        <v>TRT-DATA_GOVERNANCE-INITIAL</v>
      </c>
      <c r="BZ862" t="str">
        <f>IF($BY862="","",IFERROR(INDEX(_REF_Treatment_Library!$H$2:$H$296,MATCH($BY862,_REF_Treatment_Library!$A$2:$A$296,0)),""))</f>
        <v>Establish</v>
      </c>
      <c r="CA862" t="str">
        <f>IF($BY862="","",IFERROR(INDEX(_REF_Treatment_Library!$I$2:$I$296,MATCH($BY862,_REF_Treatment_Library!$A$2:$A$296,0)),""))</f>
        <v>Establish baseline controls for Data governance</v>
      </c>
      <c r="CB862" t="str">
        <f>IF($BY862="","",IFERROR(INDEX(_REF_Treatment_Library!$K$2:$K$296,MATCH($BY862,_REF_Treatment_Library!$A$2:$A$296,0)),""))</f>
        <v>Named owner, baseline process, minimum control checklist, first evidence package</v>
      </c>
      <c r="CC862" t="str">
        <f>IF($BY862="","",IFERROR(INDEX(_REF_Treatment_Library!$L$2:$L$296,MATCH($BY862,_REF_Treatment_Library!$A$2:$A$296,0)),""))</f>
        <v>Owner assigned; baseline evidence coverage; open critical gaps</v>
      </c>
      <c r="CD862" t="str">
        <f t="shared" si="210"/>
        <v>Treatment by capability=CAP_DATA_GOVERNANCE; band=Initial / absent; score=0.0; treatment=Establish</v>
      </c>
      <c r="CE862" t="str">
        <f>IF($E862="","",IFERROR(INDEX(_REF_Industry_Wording!$A$2:$A$70,MATCH(1,INDEX((_REF_Industry_Wording!$B$2:$B$70=$BT862)*(_REF_Industry_Wording!$C$2:$C$70=PV_Canonical_Industry)*(_REF_Industry_Wording!$K$2:$K$70="Yes"),0),0)),IFERROR(INDEX(_REF_Industry_Wording!$A$2:$A$70,MATCH(1,INDEX((_REF_Industry_Wording!$B$2:$B$70=$BT862)*(_REF_Industry_Wording!$C$2:$C$70="All")*(_REF_Industry_Wording!$K$2:$K$70="Yes"),0),0)),"")))</f>
        <v>IW-ALL-DATA_GOVERNANCE</v>
      </c>
      <c r="CF862" t="str">
        <f>IF($CE862="","",IFERROR(INDEX(_REF_Industry_Wording!$E$2:$E$70,MATCH($CE862,_REF_Industry_Wording!$A$2:$A$70,0)),""))</f>
        <v>Data governance weakness</v>
      </c>
      <c r="CG862" t="str">
        <f>IF($CE862="","",IFERROR(INDEX(_REF_Industry_Wording!$F$2:$F$70,MATCH($CE862,_REF_Industry_Wording!$A$2:$A$70,0)),""))</f>
        <v>Strengthen Data governance</v>
      </c>
      <c r="CH862" t="str">
        <f>IF($CE862="","",IFERROR(INDEX(_REF_Industry_Wording!$G$2:$G$70,MATCH($CE862,_REF_Industry_Wording!$A$2:$A$70,0)),""))</f>
        <v>Strengthen Data governance using the selected maturity treatment, crisis scenario and evidence requirements.</v>
      </c>
      <c r="CI862" t="str">
        <f>IF($CE862="","",IFERROR(INDEX(_REF_Industry_Wording!$H$2:$H$70,MATCH($CE862,_REF_Industry_Wording!$A$2:$A$70,0)),""))</f>
        <v>Data governance</v>
      </c>
      <c r="CJ862">
        <f>IF($CE862="","",IFERROR(INDEX(_REF_Industry_Wording!$I$2:$I$70,MATCH($CE862,_REF_Industry_Wording!$A$2:$A$70,0)),""))</f>
        <v>0</v>
      </c>
      <c r="CK862" t="str">
        <f>IF($CE862="","",IFERROR(INDEX(_REF_Industry_Wording!$J$2:$J$70,MATCH($CE862,_REF_Industry_Wording!$A$2:$A$70,0)),""))</f>
        <v>Data governance</v>
      </c>
      <c r="CL862" t="str">
        <f t="shared" si="211"/>
        <v>Wording by industry=0; capability=CAP_DATA_GOVERNANCE; risk label=Data governance weakness</v>
      </c>
      <c r="CM862" t="str">
        <f t="shared" si="212"/>
        <v>RISK-ONT-0363</v>
      </c>
      <c r="CN862" t="str">
        <f t="shared" si="213"/>
        <v>RISK-EVT-0363</v>
      </c>
      <c r="CO862" t="str">
        <f t="shared" si="214"/>
        <v>Data BI AI|Forecasting and scenarios|DATA-022|CAP_DATA_GOVERNANCE</v>
      </c>
      <c r="CP862" t="str">
        <f t="shared" si="215"/>
        <v>Active</v>
      </c>
      <c r="CQ862" t="str">
        <f t="shared" si="216"/>
        <v>OK: capability-driven</v>
      </c>
      <c r="CR862" t="str">
        <f t="shared" si="217"/>
        <v>Risk ontology uses capability=CAP_DATA_GOVERNANCE; bridge=BRG-023; treatment=TRT-DATA_GOVERNANCE-INITIAL; wording=IW-ALL-DATA_GOVERNANCE</v>
      </c>
      <c r="CS862" t="str">
        <f t="shared" si="218"/>
        <v>Yes</v>
      </c>
    </row>
    <row r="863" spans="1:97" ht="69.900000000000006" customHeight="1">
      <c r="A863">
        <f>IF(OR($B863&lt;&gt;"Yes",$BS863=""),"",SUMPRODUCT(($B$500:$B$923="Yes")*ISNUMBER($BS$500:$BS$923)*($BS$500:$BS$923&gt;$BS863))+COUNTIFS($B$500:$B863,"Yes",$BS$500:$BS863,$BS863))</f>
        <v>304</v>
      </c>
      <c r="B863" t="str">
        <f t="shared" si="187"/>
        <v>Yes</v>
      </c>
      <c r="C863" t="s">
        <v>2824</v>
      </c>
      <c r="D863" t="s">
        <v>2859</v>
      </c>
      <c r="E863" t="s">
        <v>2947</v>
      </c>
      <c r="F863" t="s">
        <v>4418</v>
      </c>
      <c r="G863" t="str">
        <f>IF($H863="","",IFERROR(INDEX(_ENGINE_Risk!$H$5:$M$499,MATCH($E863,_ENGINE_Risk!$A$5:$A$499,0),$H863+1),""))</f>
        <v>Severe risk: AI and analytics use case portfolio linked to business value, risk and feasibility is not reliably controlled. During Decision failure; Data loss; Regulatory/legal shock, the organization may face poor decisions, unreliable reporting, data quality problems and unsafe or ineffective AI usage with limited visibility or accountability.</v>
      </c>
      <c r="H863">
        <f>IFERROR(VALUE(INDEX(_DATA_Assessment_Model!$H$5:$H$884,MATCH($E863,_DATA_Assessment_Model!$A$5:$A$884,0))),"")</f>
        <v>0</v>
      </c>
      <c r="I863" t="str">
        <f>IF($H863="","",IFERROR(INDEX(_DATA_Assessment_Model!$L$5:$L$884,MATCH($E863,_DATA_Assessment_Model!$A$5:$A$884,0)),IF($H863&lt;=1,"Critical",IF($H863=2,"High",IF($H863=3,"Medium",IF($H863=4,"Low","Resilient"))))))</f>
        <v>Critical</v>
      </c>
      <c r="J863">
        <f t="shared" si="188"/>
        <v>3.5</v>
      </c>
      <c r="K863">
        <f t="shared" si="189"/>
        <v>4.3</v>
      </c>
      <c r="L863">
        <f t="shared" si="190"/>
        <v>15.049999999999999</v>
      </c>
      <c r="M863">
        <f t="shared" si="191"/>
        <v>4</v>
      </c>
      <c r="N863">
        <f>IF($H863="","",IFERROR(INDEX(_ENGINE_Risk!$T$5:$Y$499,MATCH($E863,_ENGINE_Risk!$A$5:$A$499,0),$H863+1),""))</f>
        <v>4</v>
      </c>
      <c r="O863">
        <f t="shared" si="192"/>
        <v>4.666666666666667</v>
      </c>
      <c r="P863">
        <f t="shared" si="193"/>
        <v>5</v>
      </c>
      <c r="Q863">
        <f t="shared" si="194"/>
        <v>5</v>
      </c>
      <c r="R863">
        <f t="shared" si="195"/>
        <v>5</v>
      </c>
      <c r="S863">
        <f t="shared" si="196"/>
        <v>1.23</v>
      </c>
      <c r="T863" t="str">
        <f>IF($H863="","",IFERROR(INDEX(_ENGINE_Risk!$N$5:$S$499,MATCH($E863,_ENGINE_Risk!$A$5:$A$499,0),$H863+1),""))</f>
        <v>Create an immediate risk owner, minimum control baseline and fallback procedure for AI and analytics use case portfolio linked to business value, risk and feasibility. Add it to the crisis risk register and collect first evidence.</v>
      </c>
      <c r="U863">
        <f>IFERROR(INDEX(_DATA_Assessment_Model!$G$5:$G$884,MATCH($E863,_DATA_Assessment_Model!$A$5:$A$884,0)),"")</f>
        <v>4</v>
      </c>
      <c r="V863">
        <f>IFERROR(INDEX(_DATA_Assessment_Model!$W$5:$W$884,MATCH($E863,_DATA_Assessment_Model!$A$5:$A$884,0)),"")</f>
        <v>5</v>
      </c>
      <c r="W863">
        <f>IFERROR(INDEX(_DATA_Assessment_Model!$X$5:$X$884,MATCH($E863,_DATA_Assessment_Model!$A$5:$A$884,0)),"")</f>
        <v>5</v>
      </c>
      <c r="X863">
        <f>IFERROR(INDEX(_DATA_Assessment_Model!$Y$5:$Y$884,MATCH($E863,_DATA_Assessment_Model!$A$5:$A$884,0)),"")</f>
        <v>5</v>
      </c>
      <c r="Y863" t="s">
        <v>2831</v>
      </c>
      <c r="Z863" t="s">
        <v>9432</v>
      </c>
      <c r="AA863" t="s">
        <v>2949</v>
      </c>
      <c r="AB863">
        <f>IFERROR(INDEX(_DATA_Assessment_Model!$U$5:$U$884,MATCH($E863,_DATA_Assessment_Model!$A$5:$A$884,0)),"")</f>
        <v>0</v>
      </c>
      <c r="AF863" t="s">
        <v>2948</v>
      </c>
      <c r="AO863">
        <f>IF($B863="Yes",IF(IFERROR(INDEX(_ENGINE_Crisis!$F$501:$F$517,MATCH($C863,_ENGINE_Crisis!$A$501:$A$517,0)),1)=0,1,IFERROR(INDEX(_ENGINE_Crisis!$F$501:$F$517,MATCH($C863,_ENGINE_Crisis!$A$501:$A$517,0)),1)),"")</f>
        <v>1</v>
      </c>
      <c r="AP863">
        <f t="shared" si="197"/>
        <v>15.1</v>
      </c>
      <c r="AQ863">
        <f t="shared" si="198"/>
        <v>1.23</v>
      </c>
      <c r="AR863" t="str">
        <f>IFERROR(INDEX(_ENGINE_Crisis!$E$41:$E$700,MATCH('Resilience &amp; Risk Scenario'!$B$6&amp;"|"&amp;$C863,_ENGINE_Crisis!$I$41:$I$700,0)),"")</f>
        <v/>
      </c>
      <c r="AS863" t="str">
        <f>IFERROR(INDEX(_ENGINE_Crisis!$G$41:$G$700,MATCH('Resilience &amp; Risk Scenario'!$B$6&amp;"|"&amp;$C863,_ENGINE_Crisis!$I$41:$I$700,0)),"")</f>
        <v/>
      </c>
      <c r="AT863" t="str">
        <f>IFERROR(INDEX(_ENGINE_Initiatives!$A$5:$A$532,MATCH(1,INDEX((_ENGINE_Initiatives!$B$5:$B$532=$C863)*(_ENGINE_Initiatives!$C$5:$C$532=$D863),0),0)),"")</f>
        <v>INI-062</v>
      </c>
      <c r="AU863" t="str">
        <f>IFERROR(INDEX(_ENGINE_Initiatives!$F$5:$F$532,MATCH(1,INDEX((_ENGINE_Initiatives!$B$5:$B$532=$C863)*(_ENGINE_Initiatives!$C$5:$C$532=$D863),0),0)),"")</f>
        <v>Implement AI readiness, governance and use-case portfolio</v>
      </c>
      <c r="AV863">
        <f>IFERROR(INDEX(_ENGINE_Initiatives!$AC$5:$AC$532,MATCH(1,INDEX((_ENGINE_Initiatives!$B$5:$B$532=$C863)*(_ENGINE_Initiatives!$C$5:$C$532=$D863),0),0)),"")</f>
        <v>1.3</v>
      </c>
      <c r="AW863" t="str">
        <f>IFERROR(INDEX(_ENGINE_Initiatives!$AE$5:$AE$532,MATCH(1,INDEX((_ENGINE_Initiatives!$B$5:$B$532=$C863)*(_ENGINE_Initiatives!$C$5:$C$532=$D863),0),0)),"")</f>
        <v>12+ months</v>
      </c>
      <c r="AX863">
        <f>IF($B863="Yes",IFERROR((IF(SUMIFS(_REF_Model_Content!$E$1:$E$613,_REF_Model_Content!$A$1:$A$613,PV_Canonical_Industry,_REF_Model_Content!$B$1:$B$613,$C863)=0,1,SUMIFS(_REF_Model_Content!$E$1:$E$613,_REF_Model_Content!$A$1:$A$613,PV_Canonical_Industry,_REF_Model_Content!$B$1:$B$613,$C863))*IFERROR($BU863,1)),1),"")</f>
        <v>1.25</v>
      </c>
      <c r="AY863">
        <f t="shared" si="199"/>
        <v>18.88</v>
      </c>
      <c r="AZ863">
        <f t="shared" si="200"/>
        <v>1.54</v>
      </c>
      <c r="BB863" t="str">
        <f>IF($H863="","",IFERROR(INDEX(_ENGINE_Risk!$AE$5:$AE$499,MATCH($E863,_ENGINE_Risk!$A$5:$A$499,0)),"Medium"))</f>
        <v>Slow</v>
      </c>
      <c r="BC863">
        <f t="shared" si="201"/>
        <v>0.85</v>
      </c>
      <c r="BD863">
        <f t="shared" si="202"/>
        <v>1.54</v>
      </c>
      <c r="BF863">
        <f>IF(OR($H863="",$J863=""),"",IFERROR(VLOOKUP(ROUND($J863,0),_CONFIG_Model_Settings!$D$154:$E$158,2,0),""))</f>
        <v>0.5</v>
      </c>
      <c r="BG863">
        <f>IFERROR(IF(OR($H863="",$K863=""),"",ROUND('Company Profile'!$B$113*INDEX(_CONFIG_Model_Settings!$H$154:$H$158,MATCH(ROUND($K863,0),_CONFIG_Model_Settings!$G$154:$G$158,0)),0)),0)</f>
        <v>875</v>
      </c>
      <c r="BH863">
        <f t="shared" si="203"/>
        <v>437.5</v>
      </c>
      <c r="BI863">
        <f t="shared" si="204"/>
        <v>437.5</v>
      </c>
      <c r="BJ863">
        <f>IF($E863="","",IFERROR(VLOOKUP($C863,_CONFIG_Risk_Calibration!$A$5:$H$21,2,FALSE),3))</f>
        <v>3</v>
      </c>
      <c r="BK863">
        <f>IF($E863="","",IFERROR(VLOOKUP($C863,_CONFIG_Risk_Calibration!$A$5:$H$21,3,FALSE),0))</f>
        <v>0</v>
      </c>
      <c r="BL863">
        <f>IF($E863="","",IFERROR(VLOOKUP($C863,_CONFIG_Risk_Calibration!$A$5:$H$21,4,FALSE),3))</f>
        <v>3</v>
      </c>
      <c r="BM863">
        <f>IF($E863="","",IFERROR(VLOOKUP($C863,_CONFIG_Risk_Calibration!$A$5:$H$21,5,FALSE),3))</f>
        <v>3</v>
      </c>
      <c r="BN863" t="str">
        <f>IF($E863="","",IFERROR(VLOOKUP($C863,_CONFIG_Risk_Calibration!$A$5:$H$21,6,FALSE),"No"))</f>
        <v>No</v>
      </c>
      <c r="BO863">
        <f>IF($E863="","",IFERROR(VLOOKUP($C863,_CONFIG_Risk_Calibration!$A$5:$H$21,7,FALSE),1))</f>
        <v>1</v>
      </c>
      <c r="BP863">
        <f>IF($H863="","",MAX(1,MIN(5,((6-$H863)*0.45)+($BJ863*0.2)+('Resilience &amp; Risk Scenario'!$B$7*0.15)+($BK863*0.1)+($BL863*0.05)+(IF($BB863="Fast",5,IF($BB863="Slow",1,3))*0.05))))</f>
        <v>3.5</v>
      </c>
      <c r="BQ863">
        <f t="shared" si="205"/>
        <v>4.3</v>
      </c>
      <c r="BR863">
        <f t="shared" si="206"/>
        <v>15.05</v>
      </c>
      <c r="BS863">
        <f t="shared" si="207"/>
        <v>15.99</v>
      </c>
      <c r="BT863" t="str">
        <f>IFERROR(INDEX(_REF_Capability_Bridge!$D:$D,MATCH($C863&amp;"|"&amp;$D863,_REF_Capability_Bridge!$J:$J,0)),IFERROR(INDEX(_REF_Capability_Bridge!$D:$D,MATCH($C863&amp;"|",_REF_Capability_Bridge!$J:$J,0)),"CAP_GENERIC"))</f>
        <v>CAP_AI_GOVERNANCE</v>
      </c>
      <c r="BU863">
        <f>IFERROR(IFERROR(INDEX(_ENGINE_Relevance!$L:$L,MATCH($BT863,_ENGINE_Relevance!$B:$B,0)),1),1)</f>
        <v>1.25</v>
      </c>
      <c r="BV863" t="str">
        <f>IFERROR(INDEX(_REF_Capability_Bridge!$A:$A,MATCH($C863&amp;"|"&amp;$D863,_REF_Capability_Bridge!$J:$J,0)),IFERROR(INDEX(_REF_Capability_Bridge!$A:$A,MATCH($C863&amp;"|",_REF_Capability_Bridge!$J:$J,0)),"No bridge"))</f>
        <v>BRG-019</v>
      </c>
      <c r="BW863" t="str">
        <f t="shared" si="208"/>
        <v>Capability relevance increases risk priority</v>
      </c>
      <c r="BX863" t="str">
        <f t="shared" si="209"/>
        <v>Initial / absent</v>
      </c>
      <c r="BY863" t="str">
        <f>IF($E863="","",IFERROR(INDEX(_REF_Treatment_Library!$A$2:$A$296,MATCH(1,INDEX((_REF_Treatment_Library!$B$2:$B$296=$BT863)*(_REF_Treatment_Library!$C$2:$C$296=PV_Canonical_Industry)*(_REF_Treatment_Library!$E$2:$E$296&lt;=N($H863))*(_REF_Treatment_Library!$F$2:$F$296&gt;=N($H863))*(_REF_Treatment_Library!$O$2:$O$296="Yes"),0),0)),IFERROR(INDEX(_REF_Treatment_Library!$A$2:$A$296,MATCH(1,INDEX((_REF_Treatment_Library!$B$2:$B$296=$BT863)*(_REF_Treatment_Library!$C$2:$C$296="All")*(_REF_Treatment_Library!$E$2:$E$296&lt;=N($H863))*(_REF_Treatment_Library!$F$2:$F$296&gt;=N($H863))*(_REF_Treatment_Library!$O$2:$O$296="Yes"),0),0)),"")))</f>
        <v>TRT-AI_GOVERNANCE-INITIAL</v>
      </c>
      <c r="BZ863" t="str">
        <f>IF($BY863="","",IFERROR(INDEX(_REF_Treatment_Library!$H$2:$H$296,MATCH($BY863,_REF_Treatment_Library!$A$2:$A$296,0)),""))</f>
        <v>Establish</v>
      </c>
      <c r="CA863" t="str">
        <f>IF($BY863="","",IFERROR(INDEX(_REF_Treatment_Library!$I$2:$I$296,MATCH($BY863,_REF_Treatment_Library!$A$2:$A$296,0)),""))</f>
        <v>Establish baseline controls for AI governance</v>
      </c>
      <c r="CB863" t="str">
        <f>IF($BY863="","",IFERROR(INDEX(_REF_Treatment_Library!$K$2:$K$296,MATCH($BY863,_REF_Treatment_Library!$A$2:$A$296,0)),""))</f>
        <v>Named owner, baseline process, minimum control checklist, first evidence package</v>
      </c>
      <c r="CC863" t="str">
        <f>IF($BY863="","",IFERROR(INDEX(_REF_Treatment_Library!$L$2:$L$296,MATCH($BY863,_REF_Treatment_Library!$A$2:$A$296,0)),""))</f>
        <v>Owner assigned; baseline evidence coverage; open critical gaps</v>
      </c>
      <c r="CD863" t="str">
        <f t="shared" si="210"/>
        <v>Treatment by capability=CAP_AI_GOVERNANCE; band=Initial / absent; score=0.0; treatment=Establish</v>
      </c>
      <c r="CE863" t="str">
        <f>IF($E863="","",IFERROR(INDEX(_REF_Industry_Wording!$A$2:$A$70,MATCH(1,INDEX((_REF_Industry_Wording!$B$2:$B$70=$BT863)*(_REF_Industry_Wording!$C$2:$C$70=PV_Canonical_Industry)*(_REF_Industry_Wording!$K$2:$K$70="Yes"),0),0)),IFERROR(INDEX(_REF_Industry_Wording!$A$2:$A$70,MATCH(1,INDEX((_REF_Industry_Wording!$B$2:$B$70=$BT863)*(_REF_Industry_Wording!$C$2:$C$70="All")*(_REF_Industry_Wording!$K$2:$K$70="Yes"),0),0)),"")))</f>
        <v>IW-ALL-AI_GOVERNANCE</v>
      </c>
      <c r="CF863" t="str">
        <f>IF($CE863="","",IFERROR(INDEX(_REF_Industry_Wording!$E$2:$E$70,MATCH($CE863,_REF_Industry_Wording!$A$2:$A$70,0)),""))</f>
        <v>AI governance weakness</v>
      </c>
      <c r="CG863" t="str">
        <f>IF($CE863="","",IFERROR(INDEX(_REF_Industry_Wording!$F$2:$F$70,MATCH($CE863,_REF_Industry_Wording!$A$2:$A$70,0)),""))</f>
        <v>Strengthen AI governance</v>
      </c>
      <c r="CH863" t="str">
        <f>IF($CE863="","",IFERROR(INDEX(_REF_Industry_Wording!$G$2:$G$70,MATCH($CE863,_REF_Industry_Wording!$A$2:$A$70,0)),""))</f>
        <v>Strengthen AI governance using the selected maturity treatment, crisis scenario and evidence requirements.</v>
      </c>
      <c r="CI863" t="str">
        <f>IF($CE863="","",IFERROR(INDEX(_REF_Industry_Wording!$H$2:$H$70,MATCH($CE863,_REF_Industry_Wording!$A$2:$A$70,0)),""))</f>
        <v>AI governance</v>
      </c>
      <c r="CJ863">
        <f>IF($CE863="","",IFERROR(INDEX(_REF_Industry_Wording!$I$2:$I$70,MATCH($CE863,_REF_Industry_Wording!$A$2:$A$70,0)),""))</f>
        <v>0</v>
      </c>
      <c r="CK863" t="str">
        <f>IF($CE863="","",IFERROR(INDEX(_REF_Industry_Wording!$J$2:$J$70,MATCH($CE863,_REF_Industry_Wording!$A$2:$A$70,0)),""))</f>
        <v>AI governance</v>
      </c>
      <c r="CL863" t="str">
        <f t="shared" si="211"/>
        <v>Wording by industry=0; capability=CAP_AI_GOVERNANCE; risk label=AI governance weakness</v>
      </c>
      <c r="CM863" t="str">
        <f t="shared" si="212"/>
        <v>RISK-ONT-0364</v>
      </c>
      <c r="CN863" t="str">
        <f t="shared" si="213"/>
        <v>RISK-EVT-0364</v>
      </c>
      <c r="CO863" t="str">
        <f t="shared" si="214"/>
        <v>Data BI AI|AI readiness|DATA-023|CAP_AI_GOVERNANCE</v>
      </c>
      <c r="CP863" t="str">
        <f t="shared" si="215"/>
        <v>Active</v>
      </c>
      <c r="CQ863" t="str">
        <f t="shared" si="216"/>
        <v>OK: capability-driven</v>
      </c>
      <c r="CR863" t="str">
        <f t="shared" si="217"/>
        <v>Risk ontology uses capability=CAP_AI_GOVERNANCE; bridge=BRG-019; treatment=TRT-AI_GOVERNANCE-INITIAL; wording=IW-ALL-AI_GOVERNANCE</v>
      </c>
      <c r="CS863" t="str">
        <f t="shared" si="218"/>
        <v>Yes</v>
      </c>
    </row>
    <row r="864" spans="1:97" ht="69.900000000000006" customHeight="1">
      <c r="A864">
        <f>IF(OR($B864&lt;&gt;"Yes",$BS864=""),"",SUMPRODUCT(($B$500:$B$923="Yes")*ISNUMBER($BS$500:$BS$923)*($BS$500:$BS$923&gt;$BS864))+COUNTIFS($B$500:$B864,"Yes",$BS$500:$BS864,$BS864))</f>
        <v>305</v>
      </c>
      <c r="B864" t="str">
        <f t="shared" si="187"/>
        <v>Yes</v>
      </c>
      <c r="C864" t="s">
        <v>2824</v>
      </c>
      <c r="D864" t="s">
        <v>2859</v>
      </c>
      <c r="E864" t="s">
        <v>2956</v>
      </c>
      <c r="F864" t="s">
        <v>4418</v>
      </c>
      <c r="G864" t="str">
        <f>IF($H864="","",IFERROR(INDEX(_ENGINE_Risk!$H$5:$M$499,MATCH($E864,_ENGINE_Risk!$A$5:$A$499,0),$H864+1),""))</f>
        <v>Severe risk: AI governance for privacy, security, explainability, bias, human oversight and model risk is not reliably controlled. During Decision failure; Data loss; Regulatory/legal shock, the organization may face poor decisions, unreliable reporting, data quality problems and unsafe or ineffective AI usage with limited visibility or accountability.</v>
      </c>
      <c r="H864">
        <f>IFERROR(VALUE(INDEX(_DATA_Assessment_Model!$H$5:$H$884,MATCH($E864,_DATA_Assessment_Model!$A$5:$A$884,0))),"")</f>
        <v>0</v>
      </c>
      <c r="I864" t="str">
        <f>IF($H864="","",IFERROR(INDEX(_DATA_Assessment_Model!$L$5:$L$884,MATCH($E864,_DATA_Assessment_Model!$A$5:$A$884,0)),IF($H864&lt;=1,"Critical",IF($H864=2,"High",IF($H864=3,"Medium",IF($H864=4,"Low","Resilient"))))))</f>
        <v>Critical</v>
      </c>
      <c r="J864">
        <f t="shared" si="188"/>
        <v>3.5</v>
      </c>
      <c r="K864">
        <f t="shared" si="189"/>
        <v>4.3</v>
      </c>
      <c r="L864">
        <f t="shared" si="190"/>
        <v>15.049999999999999</v>
      </c>
      <c r="M864">
        <f t="shared" si="191"/>
        <v>4</v>
      </c>
      <c r="N864">
        <f>IF($H864="","",IFERROR(INDEX(_ENGINE_Risk!$T$5:$Y$499,MATCH($E864,_ENGINE_Risk!$A$5:$A$499,0),$H864+1),""))</f>
        <v>4</v>
      </c>
      <c r="O864">
        <f t="shared" si="192"/>
        <v>4.666666666666667</v>
      </c>
      <c r="P864">
        <f t="shared" si="193"/>
        <v>5</v>
      </c>
      <c r="Q864">
        <f t="shared" si="194"/>
        <v>5</v>
      </c>
      <c r="R864">
        <f t="shared" si="195"/>
        <v>5</v>
      </c>
      <c r="S864">
        <f t="shared" si="196"/>
        <v>1.23</v>
      </c>
      <c r="T864" t="str">
        <f>IF($H864="","",IFERROR(INDEX(_ENGINE_Risk!$N$5:$S$499,MATCH($E864,_ENGINE_Risk!$A$5:$A$499,0),$H864+1),""))</f>
        <v>Create an immediate risk owner, minimum control baseline and fallback procedure for AI governance for privacy, security, explainability, bias, human oversight and model risk. Add it to the crisis risk register and collect first evidence.</v>
      </c>
      <c r="U864">
        <f>IFERROR(INDEX(_DATA_Assessment_Model!$G$5:$G$884,MATCH($E864,_DATA_Assessment_Model!$A$5:$A$884,0)),"")</f>
        <v>4</v>
      </c>
      <c r="V864">
        <f>IFERROR(INDEX(_DATA_Assessment_Model!$W$5:$W$884,MATCH($E864,_DATA_Assessment_Model!$A$5:$A$884,0)),"")</f>
        <v>5</v>
      </c>
      <c r="W864">
        <f>IFERROR(INDEX(_DATA_Assessment_Model!$X$5:$X$884,MATCH($E864,_DATA_Assessment_Model!$A$5:$A$884,0)),"")</f>
        <v>5</v>
      </c>
      <c r="X864">
        <f>IFERROR(INDEX(_DATA_Assessment_Model!$Y$5:$Y$884,MATCH($E864,_DATA_Assessment_Model!$A$5:$A$884,0)),"")</f>
        <v>5</v>
      </c>
      <c r="Y864" t="s">
        <v>2831</v>
      </c>
      <c r="Z864" t="s">
        <v>9432</v>
      </c>
      <c r="AA864" t="s">
        <v>2958</v>
      </c>
      <c r="AB864">
        <f>IFERROR(INDEX(_DATA_Assessment_Model!$U$5:$U$884,MATCH($E864,_DATA_Assessment_Model!$A$5:$A$884,0)),"")</f>
        <v>0</v>
      </c>
      <c r="AF864" t="s">
        <v>2957</v>
      </c>
      <c r="AO864">
        <f>IF($B864="Yes",IF(IFERROR(INDEX(_ENGINE_Crisis!$F$501:$F$517,MATCH($C864,_ENGINE_Crisis!$A$501:$A$517,0)),1)=0,1,IFERROR(INDEX(_ENGINE_Crisis!$F$501:$F$517,MATCH($C864,_ENGINE_Crisis!$A$501:$A$517,0)),1)),"")</f>
        <v>1</v>
      </c>
      <c r="AP864">
        <f t="shared" si="197"/>
        <v>15.1</v>
      </c>
      <c r="AQ864">
        <f t="shared" si="198"/>
        <v>1.23</v>
      </c>
      <c r="AR864" t="str">
        <f>IFERROR(INDEX(_ENGINE_Crisis!$E$41:$E$700,MATCH('Resilience &amp; Risk Scenario'!$B$6&amp;"|"&amp;$C864,_ENGINE_Crisis!$I$41:$I$700,0)),"")</f>
        <v/>
      </c>
      <c r="AS864" t="str">
        <f>IFERROR(INDEX(_ENGINE_Crisis!$G$41:$G$700,MATCH('Resilience &amp; Risk Scenario'!$B$6&amp;"|"&amp;$C864,_ENGINE_Crisis!$I$41:$I$700,0)),"")</f>
        <v/>
      </c>
      <c r="AT864" t="str">
        <f>IFERROR(INDEX(_ENGINE_Initiatives!$A$5:$A$532,MATCH(1,INDEX((_ENGINE_Initiatives!$B$5:$B$532=$C864)*(_ENGINE_Initiatives!$C$5:$C$532=$D864),0),0)),"")</f>
        <v>INI-062</v>
      </c>
      <c r="AU864" t="str">
        <f>IFERROR(INDEX(_ENGINE_Initiatives!$F$5:$F$532,MATCH(1,INDEX((_ENGINE_Initiatives!$B$5:$B$532=$C864)*(_ENGINE_Initiatives!$C$5:$C$532=$D864),0),0)),"")</f>
        <v>Implement AI readiness, governance and use-case portfolio</v>
      </c>
      <c r="AV864">
        <f>IFERROR(INDEX(_ENGINE_Initiatives!$AC$5:$AC$532,MATCH(1,INDEX((_ENGINE_Initiatives!$B$5:$B$532=$C864)*(_ENGINE_Initiatives!$C$5:$C$532=$D864),0),0)),"")</f>
        <v>1.3</v>
      </c>
      <c r="AW864" t="str">
        <f>IFERROR(INDEX(_ENGINE_Initiatives!$AE$5:$AE$532,MATCH(1,INDEX((_ENGINE_Initiatives!$B$5:$B$532=$C864)*(_ENGINE_Initiatives!$C$5:$C$532=$D864),0),0)),"")</f>
        <v>12+ months</v>
      </c>
      <c r="AX864">
        <f>IF($B864="Yes",IFERROR((IF(SUMIFS(_REF_Model_Content!$E$1:$E$613,_REF_Model_Content!$A$1:$A$613,PV_Canonical_Industry,_REF_Model_Content!$B$1:$B$613,$C864)=0,1,SUMIFS(_REF_Model_Content!$E$1:$E$613,_REF_Model_Content!$A$1:$A$613,PV_Canonical_Industry,_REF_Model_Content!$B$1:$B$613,$C864))*IFERROR($BU864,1)),1),"")</f>
        <v>1.25</v>
      </c>
      <c r="AY864">
        <f t="shared" si="199"/>
        <v>18.88</v>
      </c>
      <c r="AZ864">
        <f t="shared" si="200"/>
        <v>1.54</v>
      </c>
      <c r="BB864" t="str">
        <f>IF($H864="","",IFERROR(INDEX(_ENGINE_Risk!$AE$5:$AE$499,MATCH($E864,_ENGINE_Risk!$A$5:$A$499,0)),"Medium"))</f>
        <v>Slow</v>
      </c>
      <c r="BC864">
        <f t="shared" si="201"/>
        <v>0.85</v>
      </c>
      <c r="BD864">
        <f t="shared" si="202"/>
        <v>1.54</v>
      </c>
      <c r="BF864">
        <f>IF(OR($H864="",$J864=""),"",IFERROR(VLOOKUP(ROUND($J864,0),_CONFIG_Model_Settings!$D$154:$E$158,2,0),""))</f>
        <v>0.5</v>
      </c>
      <c r="BG864">
        <f>IFERROR(IF(OR($H864="",$K864=""),"",ROUND('Company Profile'!$B$113*INDEX(_CONFIG_Model_Settings!$H$154:$H$158,MATCH(ROUND($K864,0),_CONFIG_Model_Settings!$G$154:$G$158,0)),0)),0)</f>
        <v>875</v>
      </c>
      <c r="BH864">
        <f t="shared" si="203"/>
        <v>437.5</v>
      </c>
      <c r="BI864">
        <f t="shared" si="204"/>
        <v>437.5</v>
      </c>
      <c r="BJ864">
        <f>IF($E864="","",IFERROR(VLOOKUP($C864,_CONFIG_Risk_Calibration!$A$5:$H$21,2,FALSE),3))</f>
        <v>3</v>
      </c>
      <c r="BK864">
        <f>IF($E864="","",IFERROR(VLOOKUP($C864,_CONFIG_Risk_Calibration!$A$5:$H$21,3,FALSE),0))</f>
        <v>0</v>
      </c>
      <c r="BL864">
        <f>IF($E864="","",IFERROR(VLOOKUP($C864,_CONFIG_Risk_Calibration!$A$5:$H$21,4,FALSE),3))</f>
        <v>3</v>
      </c>
      <c r="BM864">
        <f>IF($E864="","",IFERROR(VLOOKUP($C864,_CONFIG_Risk_Calibration!$A$5:$H$21,5,FALSE),3))</f>
        <v>3</v>
      </c>
      <c r="BN864" t="str">
        <f>IF($E864="","",IFERROR(VLOOKUP($C864,_CONFIG_Risk_Calibration!$A$5:$H$21,6,FALSE),"No"))</f>
        <v>No</v>
      </c>
      <c r="BO864">
        <f>IF($E864="","",IFERROR(VLOOKUP($C864,_CONFIG_Risk_Calibration!$A$5:$H$21,7,FALSE),1))</f>
        <v>1</v>
      </c>
      <c r="BP864">
        <f>IF($H864="","",MAX(1,MIN(5,((6-$H864)*0.45)+($BJ864*0.2)+('Resilience &amp; Risk Scenario'!$B$7*0.15)+($BK864*0.1)+($BL864*0.05)+(IF($BB864="Fast",5,IF($BB864="Slow",1,3))*0.05))))</f>
        <v>3.5</v>
      </c>
      <c r="BQ864">
        <f t="shared" si="205"/>
        <v>4.3</v>
      </c>
      <c r="BR864">
        <f t="shared" si="206"/>
        <v>15.05</v>
      </c>
      <c r="BS864">
        <f t="shared" si="207"/>
        <v>15.99</v>
      </c>
      <c r="BT864" t="str">
        <f>IFERROR(INDEX(_REF_Capability_Bridge!$D:$D,MATCH($C864&amp;"|"&amp;$D864,_REF_Capability_Bridge!$J:$J,0)),IFERROR(INDEX(_REF_Capability_Bridge!$D:$D,MATCH($C864&amp;"|",_REF_Capability_Bridge!$J:$J,0)),"CAP_GENERIC"))</f>
        <v>CAP_AI_GOVERNANCE</v>
      </c>
      <c r="BU864">
        <f>IFERROR(IFERROR(INDEX(_ENGINE_Relevance!$L:$L,MATCH($BT864,_ENGINE_Relevance!$B:$B,0)),1),1)</f>
        <v>1.25</v>
      </c>
      <c r="BV864" t="str">
        <f>IFERROR(INDEX(_REF_Capability_Bridge!$A:$A,MATCH($C864&amp;"|"&amp;$D864,_REF_Capability_Bridge!$J:$J,0)),IFERROR(INDEX(_REF_Capability_Bridge!$A:$A,MATCH($C864&amp;"|",_REF_Capability_Bridge!$J:$J,0)),"No bridge"))</f>
        <v>BRG-019</v>
      </c>
      <c r="BW864" t="str">
        <f t="shared" si="208"/>
        <v>Capability relevance increases risk priority</v>
      </c>
      <c r="BX864" t="str">
        <f t="shared" si="209"/>
        <v>Initial / absent</v>
      </c>
      <c r="BY864" t="str">
        <f>IF($E864="","",IFERROR(INDEX(_REF_Treatment_Library!$A$2:$A$296,MATCH(1,INDEX((_REF_Treatment_Library!$B$2:$B$296=$BT864)*(_REF_Treatment_Library!$C$2:$C$296=PV_Canonical_Industry)*(_REF_Treatment_Library!$E$2:$E$296&lt;=N($H864))*(_REF_Treatment_Library!$F$2:$F$296&gt;=N($H864))*(_REF_Treatment_Library!$O$2:$O$296="Yes"),0),0)),IFERROR(INDEX(_REF_Treatment_Library!$A$2:$A$296,MATCH(1,INDEX((_REF_Treatment_Library!$B$2:$B$296=$BT864)*(_REF_Treatment_Library!$C$2:$C$296="All")*(_REF_Treatment_Library!$E$2:$E$296&lt;=N($H864))*(_REF_Treatment_Library!$F$2:$F$296&gt;=N($H864))*(_REF_Treatment_Library!$O$2:$O$296="Yes"),0),0)),"")))</f>
        <v>TRT-AI_GOVERNANCE-INITIAL</v>
      </c>
      <c r="BZ864" t="str">
        <f>IF($BY864="","",IFERROR(INDEX(_REF_Treatment_Library!$H$2:$H$296,MATCH($BY864,_REF_Treatment_Library!$A$2:$A$296,0)),""))</f>
        <v>Establish</v>
      </c>
      <c r="CA864" t="str">
        <f>IF($BY864="","",IFERROR(INDEX(_REF_Treatment_Library!$I$2:$I$296,MATCH($BY864,_REF_Treatment_Library!$A$2:$A$296,0)),""))</f>
        <v>Establish baseline controls for AI governance</v>
      </c>
      <c r="CB864" t="str">
        <f>IF($BY864="","",IFERROR(INDEX(_REF_Treatment_Library!$K$2:$K$296,MATCH($BY864,_REF_Treatment_Library!$A$2:$A$296,0)),""))</f>
        <v>Named owner, baseline process, minimum control checklist, first evidence package</v>
      </c>
      <c r="CC864" t="str">
        <f>IF($BY864="","",IFERROR(INDEX(_REF_Treatment_Library!$L$2:$L$296,MATCH($BY864,_REF_Treatment_Library!$A$2:$A$296,0)),""))</f>
        <v>Owner assigned; baseline evidence coverage; open critical gaps</v>
      </c>
      <c r="CD864" t="str">
        <f t="shared" si="210"/>
        <v>Treatment by capability=CAP_AI_GOVERNANCE; band=Initial / absent; score=0.0; treatment=Establish</v>
      </c>
      <c r="CE864" t="str">
        <f>IF($E864="","",IFERROR(INDEX(_REF_Industry_Wording!$A$2:$A$70,MATCH(1,INDEX((_REF_Industry_Wording!$B$2:$B$70=$BT864)*(_REF_Industry_Wording!$C$2:$C$70=PV_Canonical_Industry)*(_REF_Industry_Wording!$K$2:$K$70="Yes"),0),0)),IFERROR(INDEX(_REF_Industry_Wording!$A$2:$A$70,MATCH(1,INDEX((_REF_Industry_Wording!$B$2:$B$70=$BT864)*(_REF_Industry_Wording!$C$2:$C$70="All")*(_REF_Industry_Wording!$K$2:$K$70="Yes"),0),0)),"")))</f>
        <v>IW-ALL-AI_GOVERNANCE</v>
      </c>
      <c r="CF864" t="str">
        <f>IF($CE864="","",IFERROR(INDEX(_REF_Industry_Wording!$E$2:$E$70,MATCH($CE864,_REF_Industry_Wording!$A$2:$A$70,0)),""))</f>
        <v>AI governance weakness</v>
      </c>
      <c r="CG864" t="str">
        <f>IF($CE864="","",IFERROR(INDEX(_REF_Industry_Wording!$F$2:$F$70,MATCH($CE864,_REF_Industry_Wording!$A$2:$A$70,0)),""))</f>
        <v>Strengthen AI governance</v>
      </c>
      <c r="CH864" t="str">
        <f>IF($CE864="","",IFERROR(INDEX(_REF_Industry_Wording!$G$2:$G$70,MATCH($CE864,_REF_Industry_Wording!$A$2:$A$70,0)),""))</f>
        <v>Strengthen AI governance using the selected maturity treatment, crisis scenario and evidence requirements.</v>
      </c>
      <c r="CI864" t="str">
        <f>IF($CE864="","",IFERROR(INDEX(_REF_Industry_Wording!$H$2:$H$70,MATCH($CE864,_REF_Industry_Wording!$A$2:$A$70,0)),""))</f>
        <v>AI governance</v>
      </c>
      <c r="CJ864">
        <f>IF($CE864="","",IFERROR(INDEX(_REF_Industry_Wording!$I$2:$I$70,MATCH($CE864,_REF_Industry_Wording!$A$2:$A$70,0)),""))</f>
        <v>0</v>
      </c>
      <c r="CK864" t="str">
        <f>IF($CE864="","",IFERROR(INDEX(_REF_Industry_Wording!$J$2:$J$70,MATCH($CE864,_REF_Industry_Wording!$A$2:$A$70,0)),""))</f>
        <v>AI governance</v>
      </c>
      <c r="CL864" t="str">
        <f t="shared" si="211"/>
        <v>Wording by industry=0; capability=CAP_AI_GOVERNANCE; risk label=AI governance weakness</v>
      </c>
      <c r="CM864" t="str">
        <f t="shared" si="212"/>
        <v>RISK-ONT-0365</v>
      </c>
      <c r="CN864" t="str">
        <f t="shared" si="213"/>
        <v>RISK-EVT-0365</v>
      </c>
      <c r="CO864" t="str">
        <f t="shared" si="214"/>
        <v>Data BI AI|AI readiness|DATA-024|CAP_AI_GOVERNANCE</v>
      </c>
      <c r="CP864" t="str">
        <f t="shared" si="215"/>
        <v>Active</v>
      </c>
      <c r="CQ864" t="str">
        <f t="shared" si="216"/>
        <v>OK: capability-driven</v>
      </c>
      <c r="CR864" t="str">
        <f t="shared" si="217"/>
        <v>Risk ontology uses capability=CAP_AI_GOVERNANCE; bridge=BRG-019; treatment=TRT-AI_GOVERNANCE-INITIAL; wording=IW-ALL-AI_GOVERNANCE</v>
      </c>
      <c r="CS864" t="str">
        <f t="shared" si="218"/>
        <v>Yes</v>
      </c>
    </row>
    <row r="865" spans="1:97" ht="69.900000000000006" customHeight="1">
      <c r="A865">
        <f>IF(OR($B865&lt;&gt;"Yes",$BS865=""),"",SUMPRODUCT(($B$500:$B$923="Yes")*ISNUMBER($BS$500:$BS$923)*($BS$500:$BS$923&gt;$BS865))+COUNTIFS($B$500:$B865,"Yes",$BS$500:$BS865,$BS865))</f>
        <v>306</v>
      </c>
      <c r="B865" t="str">
        <f t="shared" si="187"/>
        <v>Yes</v>
      </c>
      <c r="C865" t="s">
        <v>2824</v>
      </c>
      <c r="D865" t="s">
        <v>2859</v>
      </c>
      <c r="E865" t="s">
        <v>2965</v>
      </c>
      <c r="F865" t="s">
        <v>4418</v>
      </c>
      <c r="G865" t="str">
        <f>IF($H865="","",IFERROR(INDEX(_ENGINE_Risk!$H$5:$M$499,MATCH($E865,_ENGINE_Risk!$A$5:$A$499,0),$H865+1),""))</f>
        <v>Severe risk: LLM usage policy covering data leakage, IP, accuracy, approval and acceptable use is not reliably controlled. During Decision failure; Data loss; Regulatory/legal shock, the organization may face poor decisions, unreliable reporting, data quality problems and unsafe or ineffective AI usage with limited visibility or accountability.</v>
      </c>
      <c r="H865">
        <f>IFERROR(VALUE(INDEX(_DATA_Assessment_Model!$H$5:$H$884,MATCH($E865,_DATA_Assessment_Model!$A$5:$A$884,0))),"")</f>
        <v>0</v>
      </c>
      <c r="I865" t="str">
        <f>IF($H865="","",IFERROR(INDEX(_DATA_Assessment_Model!$L$5:$L$884,MATCH($E865,_DATA_Assessment_Model!$A$5:$A$884,0)),IF($H865&lt;=1,"Critical",IF($H865=2,"High",IF($H865=3,"Medium",IF($H865=4,"Low","Resilient"))))))</f>
        <v>Critical</v>
      </c>
      <c r="J865">
        <f t="shared" si="188"/>
        <v>3.5</v>
      </c>
      <c r="K865">
        <f t="shared" si="189"/>
        <v>4.3</v>
      </c>
      <c r="L865">
        <f t="shared" si="190"/>
        <v>15.049999999999999</v>
      </c>
      <c r="M865">
        <f t="shared" si="191"/>
        <v>4</v>
      </c>
      <c r="N865">
        <f>IF($H865="","",IFERROR(INDEX(_ENGINE_Risk!$T$5:$Y$499,MATCH($E865,_ENGINE_Risk!$A$5:$A$499,0),$H865+1),""))</f>
        <v>4</v>
      </c>
      <c r="O865">
        <f t="shared" si="192"/>
        <v>4.666666666666667</v>
      </c>
      <c r="P865">
        <f t="shared" si="193"/>
        <v>5</v>
      </c>
      <c r="Q865">
        <f t="shared" si="194"/>
        <v>5</v>
      </c>
      <c r="R865">
        <f t="shared" si="195"/>
        <v>5</v>
      </c>
      <c r="S865">
        <f t="shared" si="196"/>
        <v>1.23</v>
      </c>
      <c r="T865" t="str">
        <f>IF($H865="","",IFERROR(INDEX(_ENGINE_Risk!$N$5:$S$499,MATCH($E865,_ENGINE_Risk!$A$5:$A$499,0),$H865+1),""))</f>
        <v>Create an immediate risk owner, minimum control baseline and fallback procedure for LLM usage policy covering data leakage, IP, accuracy, approval and acceptable use. Add it to the crisis risk register and collect first evidence.</v>
      </c>
      <c r="U865">
        <f>IFERROR(INDEX(_DATA_Assessment_Model!$G$5:$G$884,MATCH($E865,_DATA_Assessment_Model!$A$5:$A$884,0)),"")</f>
        <v>4</v>
      </c>
      <c r="V865">
        <f>IFERROR(INDEX(_DATA_Assessment_Model!$W$5:$W$884,MATCH($E865,_DATA_Assessment_Model!$A$5:$A$884,0)),"")</f>
        <v>5</v>
      </c>
      <c r="W865">
        <f>IFERROR(INDEX(_DATA_Assessment_Model!$X$5:$X$884,MATCH($E865,_DATA_Assessment_Model!$A$5:$A$884,0)),"")</f>
        <v>5</v>
      </c>
      <c r="X865">
        <f>IFERROR(INDEX(_DATA_Assessment_Model!$Y$5:$Y$884,MATCH($E865,_DATA_Assessment_Model!$A$5:$A$884,0)),"")</f>
        <v>5</v>
      </c>
      <c r="Y865" t="s">
        <v>2831</v>
      </c>
      <c r="Z865" t="s">
        <v>9432</v>
      </c>
      <c r="AA865" t="s">
        <v>2967</v>
      </c>
      <c r="AB865">
        <f>IFERROR(INDEX(_DATA_Assessment_Model!$U$5:$U$884,MATCH($E865,_DATA_Assessment_Model!$A$5:$A$884,0)),"")</f>
        <v>0</v>
      </c>
      <c r="AF865" t="s">
        <v>2966</v>
      </c>
      <c r="AO865">
        <f>IF($B865="Yes",IF(IFERROR(INDEX(_ENGINE_Crisis!$F$501:$F$517,MATCH($C865,_ENGINE_Crisis!$A$501:$A$517,0)),1)=0,1,IFERROR(INDEX(_ENGINE_Crisis!$F$501:$F$517,MATCH($C865,_ENGINE_Crisis!$A$501:$A$517,0)),1)),"")</f>
        <v>1</v>
      </c>
      <c r="AP865">
        <f t="shared" si="197"/>
        <v>15.1</v>
      </c>
      <c r="AQ865">
        <f t="shared" si="198"/>
        <v>1.23</v>
      </c>
      <c r="AR865" t="str">
        <f>IFERROR(INDEX(_ENGINE_Crisis!$E$41:$E$700,MATCH('Resilience &amp; Risk Scenario'!$B$6&amp;"|"&amp;$C865,_ENGINE_Crisis!$I$41:$I$700,0)),"")</f>
        <v/>
      </c>
      <c r="AS865" t="str">
        <f>IFERROR(INDEX(_ENGINE_Crisis!$G$41:$G$700,MATCH('Resilience &amp; Risk Scenario'!$B$6&amp;"|"&amp;$C865,_ENGINE_Crisis!$I$41:$I$700,0)),"")</f>
        <v/>
      </c>
      <c r="AT865" t="str">
        <f>IFERROR(INDEX(_ENGINE_Initiatives!$A$5:$A$532,MATCH(1,INDEX((_ENGINE_Initiatives!$B$5:$B$532=$C865)*(_ENGINE_Initiatives!$C$5:$C$532=$D865),0),0)),"")</f>
        <v>INI-062</v>
      </c>
      <c r="AU865" t="str">
        <f>IFERROR(INDEX(_ENGINE_Initiatives!$F$5:$F$532,MATCH(1,INDEX((_ENGINE_Initiatives!$B$5:$B$532=$C865)*(_ENGINE_Initiatives!$C$5:$C$532=$D865),0),0)),"")</f>
        <v>Implement AI readiness, governance and use-case portfolio</v>
      </c>
      <c r="AV865">
        <f>IFERROR(INDEX(_ENGINE_Initiatives!$AC$5:$AC$532,MATCH(1,INDEX((_ENGINE_Initiatives!$B$5:$B$532=$C865)*(_ENGINE_Initiatives!$C$5:$C$532=$D865),0),0)),"")</f>
        <v>1.3</v>
      </c>
      <c r="AW865" t="str">
        <f>IFERROR(INDEX(_ENGINE_Initiatives!$AE$5:$AE$532,MATCH(1,INDEX((_ENGINE_Initiatives!$B$5:$B$532=$C865)*(_ENGINE_Initiatives!$C$5:$C$532=$D865),0),0)),"")</f>
        <v>12+ months</v>
      </c>
      <c r="AX865">
        <f>IF($B865="Yes",IFERROR((IF(SUMIFS(_REF_Model_Content!$E$1:$E$613,_REF_Model_Content!$A$1:$A$613,PV_Canonical_Industry,_REF_Model_Content!$B$1:$B$613,$C865)=0,1,SUMIFS(_REF_Model_Content!$E$1:$E$613,_REF_Model_Content!$A$1:$A$613,PV_Canonical_Industry,_REF_Model_Content!$B$1:$B$613,$C865))*IFERROR($BU865,1)),1),"")</f>
        <v>1.25</v>
      </c>
      <c r="AY865">
        <f t="shared" si="199"/>
        <v>18.88</v>
      </c>
      <c r="AZ865">
        <f t="shared" si="200"/>
        <v>1.54</v>
      </c>
      <c r="BB865" t="str">
        <f>IF($H865="","",IFERROR(INDEX(_ENGINE_Risk!$AE$5:$AE$499,MATCH($E865,_ENGINE_Risk!$A$5:$A$499,0)),"Medium"))</f>
        <v>Slow</v>
      </c>
      <c r="BC865">
        <f t="shared" si="201"/>
        <v>0.85</v>
      </c>
      <c r="BD865">
        <f t="shared" si="202"/>
        <v>1.54</v>
      </c>
      <c r="BF865">
        <f>IF(OR($H865="",$J865=""),"",IFERROR(VLOOKUP(ROUND($J865,0),_CONFIG_Model_Settings!$D$154:$E$158,2,0),""))</f>
        <v>0.5</v>
      </c>
      <c r="BG865">
        <f>IFERROR(IF(OR($H865="",$K865=""),"",ROUND('Company Profile'!$B$113*INDEX(_CONFIG_Model_Settings!$H$154:$H$158,MATCH(ROUND($K865,0),_CONFIG_Model_Settings!$G$154:$G$158,0)),0)),0)</f>
        <v>875</v>
      </c>
      <c r="BH865">
        <f t="shared" si="203"/>
        <v>437.5</v>
      </c>
      <c r="BI865">
        <f t="shared" si="204"/>
        <v>437.5</v>
      </c>
      <c r="BJ865">
        <f>IF($E865="","",IFERROR(VLOOKUP($C865,_CONFIG_Risk_Calibration!$A$5:$H$21,2,FALSE),3))</f>
        <v>3</v>
      </c>
      <c r="BK865">
        <f>IF($E865="","",IFERROR(VLOOKUP($C865,_CONFIG_Risk_Calibration!$A$5:$H$21,3,FALSE),0))</f>
        <v>0</v>
      </c>
      <c r="BL865">
        <f>IF($E865="","",IFERROR(VLOOKUP($C865,_CONFIG_Risk_Calibration!$A$5:$H$21,4,FALSE),3))</f>
        <v>3</v>
      </c>
      <c r="BM865">
        <f>IF($E865="","",IFERROR(VLOOKUP($C865,_CONFIG_Risk_Calibration!$A$5:$H$21,5,FALSE),3))</f>
        <v>3</v>
      </c>
      <c r="BN865" t="str">
        <f>IF($E865="","",IFERROR(VLOOKUP($C865,_CONFIG_Risk_Calibration!$A$5:$H$21,6,FALSE),"No"))</f>
        <v>No</v>
      </c>
      <c r="BO865">
        <f>IF($E865="","",IFERROR(VLOOKUP($C865,_CONFIG_Risk_Calibration!$A$5:$H$21,7,FALSE),1))</f>
        <v>1</v>
      </c>
      <c r="BP865">
        <f>IF($H865="","",MAX(1,MIN(5,((6-$H865)*0.45)+($BJ865*0.2)+('Resilience &amp; Risk Scenario'!$B$7*0.15)+($BK865*0.1)+($BL865*0.05)+(IF($BB865="Fast",5,IF($BB865="Slow",1,3))*0.05))))</f>
        <v>3.5</v>
      </c>
      <c r="BQ865">
        <f t="shared" si="205"/>
        <v>4.3</v>
      </c>
      <c r="BR865">
        <f t="shared" si="206"/>
        <v>15.05</v>
      </c>
      <c r="BS865">
        <f t="shared" si="207"/>
        <v>15.99</v>
      </c>
      <c r="BT865" t="str">
        <f>IFERROR(INDEX(_REF_Capability_Bridge!$D:$D,MATCH($C865&amp;"|"&amp;$D865,_REF_Capability_Bridge!$J:$J,0)),IFERROR(INDEX(_REF_Capability_Bridge!$D:$D,MATCH($C865&amp;"|",_REF_Capability_Bridge!$J:$J,0)),"CAP_GENERIC"))</f>
        <v>CAP_AI_GOVERNANCE</v>
      </c>
      <c r="BU865">
        <f>IFERROR(IFERROR(INDEX(_ENGINE_Relevance!$L:$L,MATCH($BT865,_ENGINE_Relevance!$B:$B,0)),1),1)</f>
        <v>1.25</v>
      </c>
      <c r="BV865" t="str">
        <f>IFERROR(INDEX(_REF_Capability_Bridge!$A:$A,MATCH($C865&amp;"|"&amp;$D865,_REF_Capability_Bridge!$J:$J,0)),IFERROR(INDEX(_REF_Capability_Bridge!$A:$A,MATCH($C865&amp;"|",_REF_Capability_Bridge!$J:$J,0)),"No bridge"))</f>
        <v>BRG-019</v>
      </c>
      <c r="BW865" t="str">
        <f t="shared" si="208"/>
        <v>Capability relevance increases risk priority</v>
      </c>
      <c r="BX865" t="str">
        <f t="shared" si="209"/>
        <v>Initial / absent</v>
      </c>
      <c r="BY865" t="str">
        <f>IF($E865="","",IFERROR(INDEX(_REF_Treatment_Library!$A$2:$A$296,MATCH(1,INDEX((_REF_Treatment_Library!$B$2:$B$296=$BT865)*(_REF_Treatment_Library!$C$2:$C$296=PV_Canonical_Industry)*(_REF_Treatment_Library!$E$2:$E$296&lt;=N($H865))*(_REF_Treatment_Library!$F$2:$F$296&gt;=N($H865))*(_REF_Treatment_Library!$O$2:$O$296="Yes"),0),0)),IFERROR(INDEX(_REF_Treatment_Library!$A$2:$A$296,MATCH(1,INDEX((_REF_Treatment_Library!$B$2:$B$296=$BT865)*(_REF_Treatment_Library!$C$2:$C$296="All")*(_REF_Treatment_Library!$E$2:$E$296&lt;=N($H865))*(_REF_Treatment_Library!$F$2:$F$296&gt;=N($H865))*(_REF_Treatment_Library!$O$2:$O$296="Yes"),0),0)),"")))</f>
        <v>TRT-AI_GOVERNANCE-INITIAL</v>
      </c>
      <c r="BZ865" t="str">
        <f>IF($BY865="","",IFERROR(INDEX(_REF_Treatment_Library!$H$2:$H$296,MATCH($BY865,_REF_Treatment_Library!$A$2:$A$296,0)),""))</f>
        <v>Establish</v>
      </c>
      <c r="CA865" t="str">
        <f>IF($BY865="","",IFERROR(INDEX(_REF_Treatment_Library!$I$2:$I$296,MATCH($BY865,_REF_Treatment_Library!$A$2:$A$296,0)),""))</f>
        <v>Establish baseline controls for AI governance</v>
      </c>
      <c r="CB865" t="str">
        <f>IF($BY865="","",IFERROR(INDEX(_REF_Treatment_Library!$K$2:$K$296,MATCH($BY865,_REF_Treatment_Library!$A$2:$A$296,0)),""))</f>
        <v>Named owner, baseline process, minimum control checklist, first evidence package</v>
      </c>
      <c r="CC865" t="str">
        <f>IF($BY865="","",IFERROR(INDEX(_REF_Treatment_Library!$L$2:$L$296,MATCH($BY865,_REF_Treatment_Library!$A$2:$A$296,0)),""))</f>
        <v>Owner assigned; baseline evidence coverage; open critical gaps</v>
      </c>
      <c r="CD865" t="str">
        <f t="shared" si="210"/>
        <v>Treatment by capability=CAP_AI_GOVERNANCE; band=Initial / absent; score=0.0; treatment=Establish</v>
      </c>
      <c r="CE865" t="str">
        <f>IF($E865="","",IFERROR(INDEX(_REF_Industry_Wording!$A$2:$A$70,MATCH(1,INDEX((_REF_Industry_Wording!$B$2:$B$70=$BT865)*(_REF_Industry_Wording!$C$2:$C$70=PV_Canonical_Industry)*(_REF_Industry_Wording!$K$2:$K$70="Yes"),0),0)),IFERROR(INDEX(_REF_Industry_Wording!$A$2:$A$70,MATCH(1,INDEX((_REF_Industry_Wording!$B$2:$B$70=$BT865)*(_REF_Industry_Wording!$C$2:$C$70="All")*(_REF_Industry_Wording!$K$2:$K$70="Yes"),0),0)),"")))</f>
        <v>IW-ALL-AI_GOVERNANCE</v>
      </c>
      <c r="CF865" t="str">
        <f>IF($CE865="","",IFERROR(INDEX(_REF_Industry_Wording!$E$2:$E$70,MATCH($CE865,_REF_Industry_Wording!$A$2:$A$70,0)),""))</f>
        <v>AI governance weakness</v>
      </c>
      <c r="CG865" t="str">
        <f>IF($CE865="","",IFERROR(INDEX(_REF_Industry_Wording!$F$2:$F$70,MATCH($CE865,_REF_Industry_Wording!$A$2:$A$70,0)),""))</f>
        <v>Strengthen AI governance</v>
      </c>
      <c r="CH865" t="str">
        <f>IF($CE865="","",IFERROR(INDEX(_REF_Industry_Wording!$G$2:$G$70,MATCH($CE865,_REF_Industry_Wording!$A$2:$A$70,0)),""))</f>
        <v>Strengthen AI governance using the selected maturity treatment, crisis scenario and evidence requirements.</v>
      </c>
      <c r="CI865" t="str">
        <f>IF($CE865="","",IFERROR(INDEX(_REF_Industry_Wording!$H$2:$H$70,MATCH($CE865,_REF_Industry_Wording!$A$2:$A$70,0)),""))</f>
        <v>AI governance</v>
      </c>
      <c r="CJ865">
        <f>IF($CE865="","",IFERROR(INDEX(_REF_Industry_Wording!$I$2:$I$70,MATCH($CE865,_REF_Industry_Wording!$A$2:$A$70,0)),""))</f>
        <v>0</v>
      </c>
      <c r="CK865" t="str">
        <f>IF($CE865="","",IFERROR(INDEX(_REF_Industry_Wording!$J$2:$J$70,MATCH($CE865,_REF_Industry_Wording!$A$2:$A$70,0)),""))</f>
        <v>AI governance</v>
      </c>
      <c r="CL865" t="str">
        <f t="shared" si="211"/>
        <v>Wording by industry=0; capability=CAP_AI_GOVERNANCE; risk label=AI governance weakness</v>
      </c>
      <c r="CM865" t="str">
        <f t="shared" si="212"/>
        <v>RISK-ONT-0366</v>
      </c>
      <c r="CN865" t="str">
        <f t="shared" si="213"/>
        <v>RISK-EVT-0366</v>
      </c>
      <c r="CO865" t="str">
        <f t="shared" si="214"/>
        <v>Data BI AI|AI readiness|DATA-025|CAP_AI_GOVERNANCE</v>
      </c>
      <c r="CP865" t="str">
        <f t="shared" si="215"/>
        <v>Active</v>
      </c>
      <c r="CQ865" t="str">
        <f t="shared" si="216"/>
        <v>OK: capability-driven</v>
      </c>
      <c r="CR865" t="str">
        <f t="shared" si="217"/>
        <v>Risk ontology uses capability=CAP_AI_GOVERNANCE; bridge=BRG-019; treatment=TRT-AI_GOVERNANCE-INITIAL; wording=IW-ALL-AI_GOVERNANCE</v>
      </c>
      <c r="CS865" t="str">
        <f t="shared" si="218"/>
        <v>Yes</v>
      </c>
    </row>
    <row r="866" spans="1:97" ht="69.900000000000006" customHeight="1">
      <c r="A866">
        <f>IF(OR($B866&lt;&gt;"Yes",$BS866=""),"",SUMPRODUCT(($B$500:$B$923="Yes")*ISNUMBER($BS$500:$BS$923)*($BS$500:$BS$923&gt;$BS866))+COUNTIFS($B$500:$B866,"Yes",$BS$500:$BS866,$BS866))</f>
        <v>266</v>
      </c>
      <c r="B866" t="str">
        <f t="shared" si="187"/>
        <v>Yes</v>
      </c>
      <c r="C866" t="s">
        <v>2824</v>
      </c>
      <c r="D866" t="s">
        <v>2859</v>
      </c>
      <c r="E866" t="s">
        <v>2974</v>
      </c>
      <c r="F866" t="s">
        <v>4418</v>
      </c>
      <c r="G866" t="str">
        <f>IF($H866="","",IFERROR(INDEX(_ENGINE_Risk!$H$5:$M$499,MATCH($E866,_ENGINE_Risk!$A$5:$A$499,0),$H866+1),""))</f>
        <v>Severe risk: AI model register and monitoring for drift, accuracy, performance and business impact is not reliably controlled. During Decision failure; Data loss; Regulatory/legal shock, the organization may face poor decisions, unreliable reporting, data quality problems and unsafe or ineffective AI usage with limited visibility or accountability.</v>
      </c>
      <c r="H866">
        <f>IFERROR(VALUE(INDEX(_DATA_Assessment_Model!$H$5:$H$884,MATCH($E866,_DATA_Assessment_Model!$A$5:$A$884,0))),"")</f>
        <v>0</v>
      </c>
      <c r="I866" t="str">
        <f>IF($H866="","",IFERROR(INDEX(_DATA_Assessment_Model!$L$5:$L$884,MATCH($E866,_DATA_Assessment_Model!$A$5:$A$884,0)),IF($H866&lt;=1,"Critical",IF($H866=2,"High",IF($H866=3,"Medium",IF($H866=4,"Low","Resilient"))))))</f>
        <v>Critical</v>
      </c>
      <c r="J866">
        <f t="shared" si="188"/>
        <v>3.5</v>
      </c>
      <c r="K866">
        <f t="shared" si="189"/>
        <v>4.5</v>
      </c>
      <c r="L866">
        <f t="shared" si="190"/>
        <v>15.75</v>
      </c>
      <c r="M866">
        <f t="shared" si="191"/>
        <v>4</v>
      </c>
      <c r="N866">
        <f>IF($H866="","",IFERROR(INDEX(_ENGINE_Risk!$T$5:$Y$499,MATCH($E866,_ENGINE_Risk!$A$5:$A$499,0),$H866+1),""))</f>
        <v>4</v>
      </c>
      <c r="O866">
        <f t="shared" si="192"/>
        <v>5</v>
      </c>
      <c r="P866">
        <f t="shared" si="193"/>
        <v>5</v>
      </c>
      <c r="Q866">
        <f t="shared" si="194"/>
        <v>5</v>
      </c>
      <c r="R866">
        <f t="shared" si="195"/>
        <v>5</v>
      </c>
      <c r="S866">
        <f t="shared" si="196"/>
        <v>1.25</v>
      </c>
      <c r="T866" t="str">
        <f>IF($H866="","",IFERROR(INDEX(_ENGINE_Risk!$N$5:$S$499,MATCH($E866,_ENGINE_Risk!$A$5:$A$499,0),$H866+1),""))</f>
        <v>Create an immediate risk owner, minimum control baseline and fallback procedure for AI model register and monitoring for drift, accuracy, performance and business impact. Add it to the crisis risk register and collect first evidence.</v>
      </c>
      <c r="U866">
        <f>IFERROR(INDEX(_DATA_Assessment_Model!$G$5:$G$884,MATCH($E866,_DATA_Assessment_Model!$A$5:$A$884,0)),"")</f>
        <v>5</v>
      </c>
      <c r="V866">
        <f>IFERROR(INDEX(_DATA_Assessment_Model!$W$5:$W$884,MATCH($E866,_DATA_Assessment_Model!$A$5:$A$884,0)),"")</f>
        <v>5</v>
      </c>
      <c r="W866">
        <f>IFERROR(INDEX(_DATA_Assessment_Model!$X$5:$X$884,MATCH($E866,_DATA_Assessment_Model!$A$5:$A$884,0)),"")</f>
        <v>5</v>
      </c>
      <c r="X866">
        <f>IFERROR(INDEX(_DATA_Assessment_Model!$Y$5:$Y$884,MATCH($E866,_DATA_Assessment_Model!$A$5:$A$884,0)),"")</f>
        <v>5</v>
      </c>
      <c r="Y866" t="s">
        <v>2831</v>
      </c>
      <c r="Z866" t="s">
        <v>9432</v>
      </c>
      <c r="AA866" t="s">
        <v>2976</v>
      </c>
      <c r="AB866">
        <f>IFERROR(INDEX(_DATA_Assessment_Model!$U$5:$U$884,MATCH($E866,_DATA_Assessment_Model!$A$5:$A$884,0)),"")</f>
        <v>0</v>
      </c>
      <c r="AF866" t="s">
        <v>2975</v>
      </c>
      <c r="AO866">
        <f>IF($B866="Yes",IF(IFERROR(INDEX(_ENGINE_Crisis!$F$501:$F$517,MATCH($C866,_ENGINE_Crisis!$A$501:$A$517,0)),1)=0,1,IFERROR(INDEX(_ENGINE_Crisis!$F$501:$F$517,MATCH($C866,_ENGINE_Crisis!$A$501:$A$517,0)),1)),"")</f>
        <v>1</v>
      </c>
      <c r="AP866">
        <f t="shared" si="197"/>
        <v>15.8</v>
      </c>
      <c r="AQ866">
        <f t="shared" si="198"/>
        <v>1.25</v>
      </c>
      <c r="AR866" t="str">
        <f>IFERROR(INDEX(_ENGINE_Crisis!$E$41:$E$700,MATCH('Resilience &amp; Risk Scenario'!$B$6&amp;"|"&amp;$C866,_ENGINE_Crisis!$I$41:$I$700,0)),"")</f>
        <v/>
      </c>
      <c r="AS866" t="str">
        <f>IFERROR(INDEX(_ENGINE_Crisis!$G$41:$G$700,MATCH('Resilience &amp; Risk Scenario'!$B$6&amp;"|"&amp;$C866,_ENGINE_Crisis!$I$41:$I$700,0)),"")</f>
        <v/>
      </c>
      <c r="AT866" t="str">
        <f>IFERROR(INDEX(_ENGINE_Initiatives!$A$5:$A$532,MATCH(1,INDEX((_ENGINE_Initiatives!$B$5:$B$532=$C866)*(_ENGINE_Initiatives!$C$5:$C$532=$D866),0),0)),"")</f>
        <v>INI-062</v>
      </c>
      <c r="AU866" t="str">
        <f>IFERROR(INDEX(_ENGINE_Initiatives!$F$5:$F$532,MATCH(1,INDEX((_ENGINE_Initiatives!$B$5:$B$532=$C866)*(_ENGINE_Initiatives!$C$5:$C$532=$D866),0),0)),"")</f>
        <v>Implement AI readiness, governance and use-case portfolio</v>
      </c>
      <c r="AV866">
        <f>IFERROR(INDEX(_ENGINE_Initiatives!$AC$5:$AC$532,MATCH(1,INDEX((_ENGINE_Initiatives!$B$5:$B$532=$C866)*(_ENGINE_Initiatives!$C$5:$C$532=$D866),0),0)),"")</f>
        <v>1.3</v>
      </c>
      <c r="AW866" t="str">
        <f>IFERROR(INDEX(_ENGINE_Initiatives!$AE$5:$AE$532,MATCH(1,INDEX((_ENGINE_Initiatives!$B$5:$B$532=$C866)*(_ENGINE_Initiatives!$C$5:$C$532=$D866),0),0)),"")</f>
        <v>12+ months</v>
      </c>
      <c r="AX866">
        <f>IF($B866="Yes",IFERROR((IF(SUMIFS(_REF_Model_Content!$E$1:$E$613,_REF_Model_Content!$A$1:$A$613,PV_Canonical_Industry,_REF_Model_Content!$B$1:$B$613,$C866)=0,1,SUMIFS(_REF_Model_Content!$E$1:$E$613,_REF_Model_Content!$A$1:$A$613,PV_Canonical_Industry,_REF_Model_Content!$B$1:$B$613,$C866))*IFERROR($BU866,1)),1),"")</f>
        <v>1.25</v>
      </c>
      <c r="AY866">
        <f t="shared" si="199"/>
        <v>19.75</v>
      </c>
      <c r="AZ866">
        <f t="shared" si="200"/>
        <v>1.56</v>
      </c>
      <c r="BB866" t="str">
        <f>IF($H866="","",IFERROR(INDEX(_ENGINE_Risk!$AE$5:$AE$499,MATCH($E866,_ENGINE_Risk!$A$5:$A$499,0)),"Medium"))</f>
        <v>Slow</v>
      </c>
      <c r="BC866">
        <f t="shared" si="201"/>
        <v>0.85</v>
      </c>
      <c r="BD866">
        <f t="shared" si="202"/>
        <v>1.56</v>
      </c>
      <c r="BF866">
        <f>IF(OR($H866="",$J866=""),"",IFERROR(VLOOKUP(ROUND($J866,0),_CONFIG_Model_Settings!$D$154:$E$158,2,0),""))</f>
        <v>0.5</v>
      </c>
      <c r="BG866">
        <f>IFERROR(IF(OR($H866="",$K866=""),"",ROUND('Company Profile'!$B$113*INDEX(_CONFIG_Model_Settings!$H$154:$H$158,MATCH(ROUND($K866,0),_CONFIG_Model_Settings!$G$154:$G$158,0)),0)),0)</f>
        <v>1875</v>
      </c>
      <c r="BH866">
        <f t="shared" si="203"/>
        <v>937.5</v>
      </c>
      <c r="BI866">
        <f t="shared" si="204"/>
        <v>937.5</v>
      </c>
      <c r="BJ866">
        <f>IF($E866="","",IFERROR(VLOOKUP($C866,_CONFIG_Risk_Calibration!$A$5:$H$21,2,FALSE),3))</f>
        <v>3</v>
      </c>
      <c r="BK866">
        <f>IF($E866="","",IFERROR(VLOOKUP($C866,_CONFIG_Risk_Calibration!$A$5:$H$21,3,FALSE),0))</f>
        <v>0</v>
      </c>
      <c r="BL866">
        <f>IF($E866="","",IFERROR(VLOOKUP($C866,_CONFIG_Risk_Calibration!$A$5:$H$21,4,FALSE),3))</f>
        <v>3</v>
      </c>
      <c r="BM866">
        <f>IF($E866="","",IFERROR(VLOOKUP($C866,_CONFIG_Risk_Calibration!$A$5:$H$21,5,FALSE),3))</f>
        <v>3</v>
      </c>
      <c r="BN866" t="str">
        <f>IF($E866="","",IFERROR(VLOOKUP($C866,_CONFIG_Risk_Calibration!$A$5:$H$21,6,FALSE),"No"))</f>
        <v>No</v>
      </c>
      <c r="BO866">
        <f>IF($E866="","",IFERROR(VLOOKUP($C866,_CONFIG_Risk_Calibration!$A$5:$H$21,7,FALSE),1))</f>
        <v>1</v>
      </c>
      <c r="BP866">
        <f>IF($H866="","",MAX(1,MIN(5,((6-$H866)*0.45)+($BJ866*0.2)+('Resilience &amp; Risk Scenario'!$B$7*0.15)+($BK866*0.1)+($BL866*0.05)+(IF($BB866="Fast",5,IF($BB866="Slow",1,3))*0.05))))</f>
        <v>3.5</v>
      </c>
      <c r="BQ866">
        <f t="shared" si="205"/>
        <v>4.5</v>
      </c>
      <c r="BR866">
        <f t="shared" si="206"/>
        <v>15.75</v>
      </c>
      <c r="BS866">
        <f t="shared" si="207"/>
        <v>16.73</v>
      </c>
      <c r="BT866" t="str">
        <f>IFERROR(INDEX(_REF_Capability_Bridge!$D:$D,MATCH($C866&amp;"|"&amp;$D866,_REF_Capability_Bridge!$J:$J,0)),IFERROR(INDEX(_REF_Capability_Bridge!$D:$D,MATCH($C866&amp;"|",_REF_Capability_Bridge!$J:$J,0)),"CAP_GENERIC"))</f>
        <v>CAP_AI_GOVERNANCE</v>
      </c>
      <c r="BU866">
        <f>IFERROR(IFERROR(INDEX(_ENGINE_Relevance!$L:$L,MATCH($BT866,_ENGINE_Relevance!$B:$B,0)),1),1)</f>
        <v>1.25</v>
      </c>
      <c r="BV866" t="str">
        <f>IFERROR(INDEX(_REF_Capability_Bridge!$A:$A,MATCH($C866&amp;"|"&amp;$D866,_REF_Capability_Bridge!$J:$J,0)),IFERROR(INDEX(_REF_Capability_Bridge!$A:$A,MATCH($C866&amp;"|",_REF_Capability_Bridge!$J:$J,0)),"No bridge"))</f>
        <v>BRG-019</v>
      </c>
      <c r="BW866" t="str">
        <f t="shared" si="208"/>
        <v>Capability relevance increases risk priority</v>
      </c>
      <c r="BX866" t="str">
        <f t="shared" si="209"/>
        <v>Initial / absent</v>
      </c>
      <c r="BY866" t="str">
        <f>IF($E866="","",IFERROR(INDEX(_REF_Treatment_Library!$A$2:$A$296,MATCH(1,INDEX((_REF_Treatment_Library!$B$2:$B$296=$BT866)*(_REF_Treatment_Library!$C$2:$C$296=PV_Canonical_Industry)*(_REF_Treatment_Library!$E$2:$E$296&lt;=N($H866))*(_REF_Treatment_Library!$F$2:$F$296&gt;=N($H866))*(_REF_Treatment_Library!$O$2:$O$296="Yes"),0),0)),IFERROR(INDEX(_REF_Treatment_Library!$A$2:$A$296,MATCH(1,INDEX((_REF_Treatment_Library!$B$2:$B$296=$BT866)*(_REF_Treatment_Library!$C$2:$C$296="All")*(_REF_Treatment_Library!$E$2:$E$296&lt;=N($H866))*(_REF_Treatment_Library!$F$2:$F$296&gt;=N($H866))*(_REF_Treatment_Library!$O$2:$O$296="Yes"),0),0)),"")))</f>
        <v>TRT-AI_GOVERNANCE-INITIAL</v>
      </c>
      <c r="BZ866" t="str">
        <f>IF($BY866="","",IFERROR(INDEX(_REF_Treatment_Library!$H$2:$H$296,MATCH($BY866,_REF_Treatment_Library!$A$2:$A$296,0)),""))</f>
        <v>Establish</v>
      </c>
      <c r="CA866" t="str">
        <f>IF($BY866="","",IFERROR(INDEX(_REF_Treatment_Library!$I$2:$I$296,MATCH($BY866,_REF_Treatment_Library!$A$2:$A$296,0)),""))</f>
        <v>Establish baseline controls for AI governance</v>
      </c>
      <c r="CB866" t="str">
        <f>IF($BY866="","",IFERROR(INDEX(_REF_Treatment_Library!$K$2:$K$296,MATCH($BY866,_REF_Treatment_Library!$A$2:$A$296,0)),""))</f>
        <v>Named owner, baseline process, minimum control checklist, first evidence package</v>
      </c>
      <c r="CC866" t="str">
        <f>IF($BY866="","",IFERROR(INDEX(_REF_Treatment_Library!$L$2:$L$296,MATCH($BY866,_REF_Treatment_Library!$A$2:$A$296,0)),""))</f>
        <v>Owner assigned; baseline evidence coverage; open critical gaps</v>
      </c>
      <c r="CD866" t="str">
        <f t="shared" si="210"/>
        <v>Treatment by capability=CAP_AI_GOVERNANCE; band=Initial / absent; score=0.0; treatment=Establish</v>
      </c>
      <c r="CE866" t="str">
        <f>IF($E866="","",IFERROR(INDEX(_REF_Industry_Wording!$A$2:$A$70,MATCH(1,INDEX((_REF_Industry_Wording!$B$2:$B$70=$BT866)*(_REF_Industry_Wording!$C$2:$C$70=PV_Canonical_Industry)*(_REF_Industry_Wording!$K$2:$K$70="Yes"),0),0)),IFERROR(INDEX(_REF_Industry_Wording!$A$2:$A$70,MATCH(1,INDEX((_REF_Industry_Wording!$B$2:$B$70=$BT866)*(_REF_Industry_Wording!$C$2:$C$70="All")*(_REF_Industry_Wording!$K$2:$K$70="Yes"),0),0)),"")))</f>
        <v>IW-ALL-AI_GOVERNANCE</v>
      </c>
      <c r="CF866" t="str">
        <f>IF($CE866="","",IFERROR(INDEX(_REF_Industry_Wording!$E$2:$E$70,MATCH($CE866,_REF_Industry_Wording!$A$2:$A$70,0)),""))</f>
        <v>AI governance weakness</v>
      </c>
      <c r="CG866" t="str">
        <f>IF($CE866="","",IFERROR(INDEX(_REF_Industry_Wording!$F$2:$F$70,MATCH($CE866,_REF_Industry_Wording!$A$2:$A$70,0)),""))</f>
        <v>Strengthen AI governance</v>
      </c>
      <c r="CH866" t="str">
        <f>IF($CE866="","",IFERROR(INDEX(_REF_Industry_Wording!$G$2:$G$70,MATCH($CE866,_REF_Industry_Wording!$A$2:$A$70,0)),""))</f>
        <v>Strengthen AI governance using the selected maturity treatment, crisis scenario and evidence requirements.</v>
      </c>
      <c r="CI866" t="str">
        <f>IF($CE866="","",IFERROR(INDEX(_REF_Industry_Wording!$H$2:$H$70,MATCH($CE866,_REF_Industry_Wording!$A$2:$A$70,0)),""))</f>
        <v>AI governance</v>
      </c>
      <c r="CJ866">
        <f>IF($CE866="","",IFERROR(INDEX(_REF_Industry_Wording!$I$2:$I$70,MATCH($CE866,_REF_Industry_Wording!$A$2:$A$70,0)),""))</f>
        <v>0</v>
      </c>
      <c r="CK866" t="str">
        <f>IF($CE866="","",IFERROR(INDEX(_REF_Industry_Wording!$J$2:$J$70,MATCH($CE866,_REF_Industry_Wording!$A$2:$A$70,0)),""))</f>
        <v>AI governance</v>
      </c>
      <c r="CL866" t="str">
        <f t="shared" si="211"/>
        <v>Wording by industry=0; capability=CAP_AI_GOVERNANCE; risk label=AI governance weakness</v>
      </c>
      <c r="CM866" t="str">
        <f t="shared" si="212"/>
        <v>RISK-ONT-0367</v>
      </c>
      <c r="CN866" t="str">
        <f t="shared" si="213"/>
        <v>RISK-EVT-0367</v>
      </c>
      <c r="CO866" t="str">
        <f t="shared" si="214"/>
        <v>Data BI AI|AI readiness|DATA-026|CAP_AI_GOVERNANCE</v>
      </c>
      <c r="CP866" t="str">
        <f t="shared" si="215"/>
        <v>Active</v>
      </c>
      <c r="CQ866" t="str">
        <f t="shared" si="216"/>
        <v>OK: capability-driven</v>
      </c>
      <c r="CR866" t="str">
        <f t="shared" si="217"/>
        <v>Risk ontology uses capability=CAP_AI_GOVERNANCE; bridge=BRG-019; treatment=TRT-AI_GOVERNANCE-INITIAL; wording=IW-ALL-AI_GOVERNANCE</v>
      </c>
      <c r="CS866" t="str">
        <f t="shared" si="218"/>
        <v>Yes</v>
      </c>
    </row>
    <row r="867" spans="1:97" ht="69.900000000000006" customHeight="1">
      <c r="A867">
        <f>IF(OR($B867&lt;&gt;"Yes",$BS867=""),"",SUMPRODUCT(($B$500:$B$923="Yes")*ISNUMBER($BS$500:$BS$923)*($BS$500:$BS$923&gt;$BS867))+COUNTIFS($B$500:$B867,"Yes",$BS$500:$BS867,$BS867))</f>
        <v>307</v>
      </c>
      <c r="B867" t="str">
        <f t="shared" si="187"/>
        <v>Yes</v>
      </c>
      <c r="C867" t="s">
        <v>2824</v>
      </c>
      <c r="D867" t="s">
        <v>2859</v>
      </c>
      <c r="E867" t="s">
        <v>2977</v>
      </c>
      <c r="F867" t="s">
        <v>4418</v>
      </c>
      <c r="G867" t="str">
        <f>IF($H867="","",IFERROR(INDEX(_ENGINE_Risk!$H$5:$M$499,MATCH($E867,_ENGINE_Risk!$A$5:$A$499,0),$H867+1),""))</f>
        <v>Severe risk: responsible AI controls for customer-facing, employee-facing and decision-support use cases is not reliably controlled. During Decision failure; Data loss; Regulatory/legal shock, the organization may face poor decisions, unreliable reporting, data quality problems and unsafe or ineffective AI usage with limited visibility or accountability.</v>
      </c>
      <c r="H867">
        <f>IFERROR(VALUE(INDEX(_DATA_Assessment_Model!$H$5:$H$884,MATCH($E867,_DATA_Assessment_Model!$A$5:$A$884,0))),"")</f>
        <v>0</v>
      </c>
      <c r="I867" t="str">
        <f>IF($H867="","",IFERROR(INDEX(_DATA_Assessment_Model!$L$5:$L$884,MATCH($E867,_DATA_Assessment_Model!$A$5:$A$884,0)),IF($H867&lt;=1,"Critical",IF($H867=2,"High",IF($H867=3,"Medium",IF($H867=4,"Low","Resilient"))))))</f>
        <v>Critical</v>
      </c>
      <c r="J867">
        <f t="shared" si="188"/>
        <v>3.5</v>
      </c>
      <c r="K867">
        <f t="shared" si="189"/>
        <v>4.3</v>
      </c>
      <c r="L867">
        <f t="shared" si="190"/>
        <v>15.049999999999999</v>
      </c>
      <c r="M867">
        <f t="shared" si="191"/>
        <v>4</v>
      </c>
      <c r="N867">
        <f>IF($H867="","",IFERROR(INDEX(_ENGINE_Risk!$T$5:$Y$499,MATCH($E867,_ENGINE_Risk!$A$5:$A$499,0),$H867+1),""))</f>
        <v>4</v>
      </c>
      <c r="O867">
        <f t="shared" si="192"/>
        <v>4.666666666666667</v>
      </c>
      <c r="P867">
        <f t="shared" si="193"/>
        <v>5</v>
      </c>
      <c r="Q867">
        <f t="shared" si="194"/>
        <v>5</v>
      </c>
      <c r="R867">
        <f t="shared" si="195"/>
        <v>5</v>
      </c>
      <c r="S867">
        <f t="shared" si="196"/>
        <v>1.23</v>
      </c>
      <c r="T867" t="str">
        <f>IF($H867="","",IFERROR(INDEX(_ENGINE_Risk!$N$5:$S$499,MATCH($E867,_ENGINE_Risk!$A$5:$A$499,0),$H867+1),""))</f>
        <v>Create an immediate risk owner, minimum control baseline and fallback procedure for responsible AI controls for customer-facing, employee-facing and decision-support use cases. Add it to the crisis risk register and collect first evidence.</v>
      </c>
      <c r="U867">
        <f>IFERROR(INDEX(_DATA_Assessment_Model!$G$5:$G$884,MATCH($E867,_DATA_Assessment_Model!$A$5:$A$884,0)),"")</f>
        <v>4</v>
      </c>
      <c r="V867">
        <f>IFERROR(INDEX(_DATA_Assessment_Model!$W$5:$W$884,MATCH($E867,_DATA_Assessment_Model!$A$5:$A$884,0)),"")</f>
        <v>5</v>
      </c>
      <c r="W867">
        <f>IFERROR(INDEX(_DATA_Assessment_Model!$X$5:$X$884,MATCH($E867,_DATA_Assessment_Model!$A$5:$A$884,0)),"")</f>
        <v>5</v>
      </c>
      <c r="X867">
        <f>IFERROR(INDEX(_DATA_Assessment_Model!$Y$5:$Y$884,MATCH($E867,_DATA_Assessment_Model!$A$5:$A$884,0)),"")</f>
        <v>5</v>
      </c>
      <c r="Y867" t="s">
        <v>2831</v>
      </c>
      <c r="Z867" t="s">
        <v>9432</v>
      </c>
      <c r="AA867" t="s">
        <v>2979</v>
      </c>
      <c r="AB867">
        <f>IFERROR(INDEX(_DATA_Assessment_Model!$U$5:$U$884,MATCH($E867,_DATA_Assessment_Model!$A$5:$A$884,0)),"")</f>
        <v>0</v>
      </c>
      <c r="AF867" t="s">
        <v>2978</v>
      </c>
      <c r="AO867">
        <f>IF($B867="Yes",IF(IFERROR(INDEX(_ENGINE_Crisis!$F$501:$F$517,MATCH($C867,_ENGINE_Crisis!$A$501:$A$517,0)),1)=0,1,IFERROR(INDEX(_ENGINE_Crisis!$F$501:$F$517,MATCH($C867,_ENGINE_Crisis!$A$501:$A$517,0)),1)),"")</f>
        <v>1</v>
      </c>
      <c r="AP867">
        <f t="shared" si="197"/>
        <v>15.1</v>
      </c>
      <c r="AQ867">
        <f t="shared" si="198"/>
        <v>1.23</v>
      </c>
      <c r="AR867" t="str">
        <f>IFERROR(INDEX(_ENGINE_Crisis!$E$41:$E$700,MATCH('Resilience &amp; Risk Scenario'!$B$6&amp;"|"&amp;$C867,_ENGINE_Crisis!$I$41:$I$700,0)),"")</f>
        <v/>
      </c>
      <c r="AS867" t="str">
        <f>IFERROR(INDEX(_ENGINE_Crisis!$G$41:$G$700,MATCH('Resilience &amp; Risk Scenario'!$B$6&amp;"|"&amp;$C867,_ENGINE_Crisis!$I$41:$I$700,0)),"")</f>
        <v/>
      </c>
      <c r="AT867" t="str">
        <f>IFERROR(INDEX(_ENGINE_Initiatives!$A$5:$A$532,MATCH(1,INDEX((_ENGINE_Initiatives!$B$5:$B$532=$C867)*(_ENGINE_Initiatives!$C$5:$C$532=$D867),0),0)),"")</f>
        <v>INI-062</v>
      </c>
      <c r="AU867" t="str">
        <f>IFERROR(INDEX(_ENGINE_Initiatives!$F$5:$F$532,MATCH(1,INDEX((_ENGINE_Initiatives!$B$5:$B$532=$C867)*(_ENGINE_Initiatives!$C$5:$C$532=$D867),0),0)),"")</f>
        <v>Implement AI readiness, governance and use-case portfolio</v>
      </c>
      <c r="AV867">
        <f>IFERROR(INDEX(_ENGINE_Initiatives!$AC$5:$AC$532,MATCH(1,INDEX((_ENGINE_Initiatives!$B$5:$B$532=$C867)*(_ENGINE_Initiatives!$C$5:$C$532=$D867),0),0)),"")</f>
        <v>1.3</v>
      </c>
      <c r="AW867" t="str">
        <f>IFERROR(INDEX(_ENGINE_Initiatives!$AE$5:$AE$532,MATCH(1,INDEX((_ENGINE_Initiatives!$B$5:$B$532=$C867)*(_ENGINE_Initiatives!$C$5:$C$532=$D867),0),0)),"")</f>
        <v>12+ months</v>
      </c>
      <c r="AX867">
        <f>IF($B867="Yes",IFERROR((IF(SUMIFS(_REF_Model_Content!$E$1:$E$613,_REF_Model_Content!$A$1:$A$613,PV_Canonical_Industry,_REF_Model_Content!$B$1:$B$613,$C867)=0,1,SUMIFS(_REF_Model_Content!$E$1:$E$613,_REF_Model_Content!$A$1:$A$613,PV_Canonical_Industry,_REF_Model_Content!$B$1:$B$613,$C867))*IFERROR($BU867,1)),1),"")</f>
        <v>1.25</v>
      </c>
      <c r="AY867">
        <f t="shared" si="199"/>
        <v>18.88</v>
      </c>
      <c r="AZ867">
        <f t="shared" si="200"/>
        <v>1.54</v>
      </c>
      <c r="BB867" t="str">
        <f>IF($H867="","",IFERROR(INDEX(_ENGINE_Risk!$AE$5:$AE$499,MATCH($E867,_ENGINE_Risk!$A$5:$A$499,0)),"Medium"))</f>
        <v>Slow</v>
      </c>
      <c r="BC867">
        <f t="shared" si="201"/>
        <v>0.85</v>
      </c>
      <c r="BD867">
        <f t="shared" si="202"/>
        <v>1.54</v>
      </c>
      <c r="BF867">
        <f>IF(OR($H867="",$J867=""),"",IFERROR(VLOOKUP(ROUND($J867,0),_CONFIG_Model_Settings!$D$154:$E$158,2,0),""))</f>
        <v>0.5</v>
      </c>
      <c r="BG867">
        <f>IFERROR(IF(OR($H867="",$K867=""),"",ROUND('Company Profile'!$B$113*INDEX(_CONFIG_Model_Settings!$H$154:$H$158,MATCH(ROUND($K867,0),_CONFIG_Model_Settings!$G$154:$G$158,0)),0)),0)</f>
        <v>875</v>
      </c>
      <c r="BH867">
        <f t="shared" si="203"/>
        <v>437.5</v>
      </c>
      <c r="BI867">
        <f t="shared" si="204"/>
        <v>437.5</v>
      </c>
      <c r="BJ867">
        <f>IF($E867="","",IFERROR(VLOOKUP($C867,_CONFIG_Risk_Calibration!$A$5:$H$21,2,FALSE),3))</f>
        <v>3</v>
      </c>
      <c r="BK867">
        <f>IF($E867="","",IFERROR(VLOOKUP($C867,_CONFIG_Risk_Calibration!$A$5:$H$21,3,FALSE),0))</f>
        <v>0</v>
      </c>
      <c r="BL867">
        <f>IF($E867="","",IFERROR(VLOOKUP($C867,_CONFIG_Risk_Calibration!$A$5:$H$21,4,FALSE),3))</f>
        <v>3</v>
      </c>
      <c r="BM867">
        <f>IF($E867="","",IFERROR(VLOOKUP($C867,_CONFIG_Risk_Calibration!$A$5:$H$21,5,FALSE),3))</f>
        <v>3</v>
      </c>
      <c r="BN867" t="str">
        <f>IF($E867="","",IFERROR(VLOOKUP($C867,_CONFIG_Risk_Calibration!$A$5:$H$21,6,FALSE),"No"))</f>
        <v>No</v>
      </c>
      <c r="BO867">
        <f>IF($E867="","",IFERROR(VLOOKUP($C867,_CONFIG_Risk_Calibration!$A$5:$H$21,7,FALSE),1))</f>
        <v>1</v>
      </c>
      <c r="BP867">
        <f>IF($H867="","",MAX(1,MIN(5,((6-$H867)*0.45)+($BJ867*0.2)+('Resilience &amp; Risk Scenario'!$B$7*0.15)+($BK867*0.1)+($BL867*0.05)+(IF($BB867="Fast",5,IF($BB867="Slow",1,3))*0.05))))</f>
        <v>3.5</v>
      </c>
      <c r="BQ867">
        <f t="shared" si="205"/>
        <v>4.3</v>
      </c>
      <c r="BR867">
        <f t="shared" si="206"/>
        <v>15.05</v>
      </c>
      <c r="BS867">
        <f t="shared" si="207"/>
        <v>15.99</v>
      </c>
      <c r="BT867" t="str">
        <f>IFERROR(INDEX(_REF_Capability_Bridge!$D:$D,MATCH($C867&amp;"|"&amp;$D867,_REF_Capability_Bridge!$J:$J,0)),IFERROR(INDEX(_REF_Capability_Bridge!$D:$D,MATCH($C867&amp;"|",_REF_Capability_Bridge!$J:$J,0)),"CAP_GENERIC"))</f>
        <v>CAP_AI_GOVERNANCE</v>
      </c>
      <c r="BU867">
        <f>IFERROR(IFERROR(INDEX(_ENGINE_Relevance!$L:$L,MATCH($BT867,_ENGINE_Relevance!$B:$B,0)),1),1)</f>
        <v>1.25</v>
      </c>
      <c r="BV867" t="str">
        <f>IFERROR(INDEX(_REF_Capability_Bridge!$A:$A,MATCH($C867&amp;"|"&amp;$D867,_REF_Capability_Bridge!$J:$J,0)),IFERROR(INDEX(_REF_Capability_Bridge!$A:$A,MATCH($C867&amp;"|",_REF_Capability_Bridge!$J:$J,0)),"No bridge"))</f>
        <v>BRG-019</v>
      </c>
      <c r="BW867" t="str">
        <f t="shared" si="208"/>
        <v>Capability relevance increases risk priority</v>
      </c>
      <c r="BX867" t="str">
        <f t="shared" si="209"/>
        <v>Initial / absent</v>
      </c>
      <c r="BY867" t="str">
        <f>IF($E867="","",IFERROR(INDEX(_REF_Treatment_Library!$A$2:$A$296,MATCH(1,INDEX((_REF_Treatment_Library!$B$2:$B$296=$BT867)*(_REF_Treatment_Library!$C$2:$C$296=PV_Canonical_Industry)*(_REF_Treatment_Library!$E$2:$E$296&lt;=N($H867))*(_REF_Treatment_Library!$F$2:$F$296&gt;=N($H867))*(_REF_Treatment_Library!$O$2:$O$296="Yes"),0),0)),IFERROR(INDEX(_REF_Treatment_Library!$A$2:$A$296,MATCH(1,INDEX((_REF_Treatment_Library!$B$2:$B$296=$BT867)*(_REF_Treatment_Library!$C$2:$C$296="All")*(_REF_Treatment_Library!$E$2:$E$296&lt;=N($H867))*(_REF_Treatment_Library!$F$2:$F$296&gt;=N($H867))*(_REF_Treatment_Library!$O$2:$O$296="Yes"),0),0)),"")))</f>
        <v>TRT-AI_GOVERNANCE-INITIAL</v>
      </c>
      <c r="BZ867" t="str">
        <f>IF($BY867="","",IFERROR(INDEX(_REF_Treatment_Library!$H$2:$H$296,MATCH($BY867,_REF_Treatment_Library!$A$2:$A$296,0)),""))</f>
        <v>Establish</v>
      </c>
      <c r="CA867" t="str">
        <f>IF($BY867="","",IFERROR(INDEX(_REF_Treatment_Library!$I$2:$I$296,MATCH($BY867,_REF_Treatment_Library!$A$2:$A$296,0)),""))</f>
        <v>Establish baseline controls for AI governance</v>
      </c>
      <c r="CB867" t="str">
        <f>IF($BY867="","",IFERROR(INDEX(_REF_Treatment_Library!$K$2:$K$296,MATCH($BY867,_REF_Treatment_Library!$A$2:$A$296,0)),""))</f>
        <v>Named owner, baseline process, minimum control checklist, first evidence package</v>
      </c>
      <c r="CC867" t="str">
        <f>IF($BY867="","",IFERROR(INDEX(_REF_Treatment_Library!$L$2:$L$296,MATCH($BY867,_REF_Treatment_Library!$A$2:$A$296,0)),""))</f>
        <v>Owner assigned; baseline evidence coverage; open critical gaps</v>
      </c>
      <c r="CD867" t="str">
        <f t="shared" si="210"/>
        <v>Treatment by capability=CAP_AI_GOVERNANCE; band=Initial / absent; score=0.0; treatment=Establish</v>
      </c>
      <c r="CE867" t="str">
        <f>IF($E867="","",IFERROR(INDEX(_REF_Industry_Wording!$A$2:$A$70,MATCH(1,INDEX((_REF_Industry_Wording!$B$2:$B$70=$BT867)*(_REF_Industry_Wording!$C$2:$C$70=PV_Canonical_Industry)*(_REF_Industry_Wording!$K$2:$K$70="Yes"),0),0)),IFERROR(INDEX(_REF_Industry_Wording!$A$2:$A$70,MATCH(1,INDEX((_REF_Industry_Wording!$B$2:$B$70=$BT867)*(_REF_Industry_Wording!$C$2:$C$70="All")*(_REF_Industry_Wording!$K$2:$K$70="Yes"),0),0)),"")))</f>
        <v>IW-ALL-AI_GOVERNANCE</v>
      </c>
      <c r="CF867" t="str">
        <f>IF($CE867="","",IFERROR(INDEX(_REF_Industry_Wording!$E$2:$E$70,MATCH($CE867,_REF_Industry_Wording!$A$2:$A$70,0)),""))</f>
        <v>AI governance weakness</v>
      </c>
      <c r="CG867" t="str">
        <f>IF($CE867="","",IFERROR(INDEX(_REF_Industry_Wording!$F$2:$F$70,MATCH($CE867,_REF_Industry_Wording!$A$2:$A$70,0)),""))</f>
        <v>Strengthen AI governance</v>
      </c>
      <c r="CH867" t="str">
        <f>IF($CE867="","",IFERROR(INDEX(_REF_Industry_Wording!$G$2:$G$70,MATCH($CE867,_REF_Industry_Wording!$A$2:$A$70,0)),""))</f>
        <v>Strengthen AI governance using the selected maturity treatment, crisis scenario and evidence requirements.</v>
      </c>
      <c r="CI867" t="str">
        <f>IF($CE867="","",IFERROR(INDEX(_REF_Industry_Wording!$H$2:$H$70,MATCH($CE867,_REF_Industry_Wording!$A$2:$A$70,0)),""))</f>
        <v>AI governance</v>
      </c>
      <c r="CJ867">
        <f>IF($CE867="","",IFERROR(INDEX(_REF_Industry_Wording!$I$2:$I$70,MATCH($CE867,_REF_Industry_Wording!$A$2:$A$70,0)),""))</f>
        <v>0</v>
      </c>
      <c r="CK867" t="str">
        <f>IF($CE867="","",IFERROR(INDEX(_REF_Industry_Wording!$J$2:$J$70,MATCH($CE867,_REF_Industry_Wording!$A$2:$A$70,0)),""))</f>
        <v>AI governance</v>
      </c>
      <c r="CL867" t="str">
        <f t="shared" si="211"/>
        <v>Wording by industry=0; capability=CAP_AI_GOVERNANCE; risk label=AI governance weakness</v>
      </c>
      <c r="CM867" t="str">
        <f t="shared" si="212"/>
        <v>RISK-ONT-0368</v>
      </c>
      <c r="CN867" t="str">
        <f t="shared" si="213"/>
        <v>RISK-EVT-0368</v>
      </c>
      <c r="CO867" t="str">
        <f t="shared" si="214"/>
        <v>Data BI AI|AI readiness|DATA-027|CAP_AI_GOVERNANCE</v>
      </c>
      <c r="CP867" t="str">
        <f t="shared" si="215"/>
        <v>Active</v>
      </c>
      <c r="CQ867" t="str">
        <f t="shared" si="216"/>
        <v>OK: capability-driven</v>
      </c>
      <c r="CR867" t="str">
        <f t="shared" si="217"/>
        <v>Risk ontology uses capability=CAP_AI_GOVERNANCE; bridge=BRG-019; treatment=TRT-AI_GOVERNANCE-INITIAL; wording=IW-ALL-AI_GOVERNANCE</v>
      </c>
      <c r="CS867" t="str">
        <f t="shared" si="218"/>
        <v>Yes</v>
      </c>
    </row>
    <row r="868" spans="1:97" ht="69.900000000000006" customHeight="1">
      <c r="A868">
        <f>IF(OR($B868&lt;&gt;"Yes",$BS868=""),"",SUMPRODUCT(($B$500:$B$923="Yes")*ISNUMBER($BS$500:$BS$923)*($BS$500:$BS$923&gt;$BS868))+COUNTIFS($B$500:$B868,"Yes",$BS$500:$BS868,$BS868))</f>
        <v>17</v>
      </c>
      <c r="B868" t="str">
        <f t="shared" si="187"/>
        <v>Yes</v>
      </c>
      <c r="C868" t="s">
        <v>2986</v>
      </c>
      <c r="D868" t="s">
        <v>2988</v>
      </c>
      <c r="E868" t="s">
        <v>2987</v>
      </c>
      <c r="F868" t="s">
        <v>4460</v>
      </c>
      <c r="G868" t="str">
        <f>IF($H868="","",IFERROR(INDEX(_ENGINE_Risk!$H$5:$M$499,MATCH($E868,_ENGINE_Risk!$A$5:$A$499,0),$H868+1),""))</f>
        <v>Severe risk: information security management system with policies, owners, risks and controls is not reliably controlled. During Cyberattack; Data breach; Ransomware; Insider threat, the organization may face security incident, data breach, privilege misuse, privacy violation and regulatory exposure with limited visibility or accountability.</v>
      </c>
      <c r="H868">
        <f>IFERROR(VALUE(INDEX(_DATA_Assessment_Model!$H$5:$H$884,MATCH($E868,_DATA_Assessment_Model!$A$5:$A$884,0))),"")</f>
        <v>0</v>
      </c>
      <c r="I868" t="str">
        <f>IF($H868="","",IFERROR(INDEX(_DATA_Assessment_Model!$L$5:$L$884,MATCH($E868,_DATA_Assessment_Model!$A$5:$A$884,0)),IF($H868&lt;=1,"Critical",IF($H868=2,"High",IF($H868=3,"Medium",IF($H868=4,"Low","Resilient"))))))</f>
        <v>Critical</v>
      </c>
      <c r="J868">
        <f t="shared" si="188"/>
        <v>3.7</v>
      </c>
      <c r="K868">
        <f t="shared" si="189"/>
        <v>5</v>
      </c>
      <c r="L868">
        <f t="shared" si="190"/>
        <v>18.5</v>
      </c>
      <c r="M868">
        <f t="shared" si="191"/>
        <v>4</v>
      </c>
      <c r="N868">
        <f>IF($H868="","",IFERROR(INDEX(_ENGINE_Risk!$T$5:$Y$499,MATCH($E868,_ENGINE_Risk!$A$5:$A$499,0),$H868+1),""))</f>
        <v>4</v>
      </c>
      <c r="O868">
        <f t="shared" si="192"/>
        <v>4.666666666666667</v>
      </c>
      <c r="P868">
        <f t="shared" si="193"/>
        <v>5</v>
      </c>
      <c r="Q868">
        <f t="shared" si="194"/>
        <v>5</v>
      </c>
      <c r="R868">
        <f t="shared" si="195"/>
        <v>5</v>
      </c>
      <c r="S868">
        <f t="shared" si="196"/>
        <v>1.23</v>
      </c>
      <c r="T868" t="str">
        <f>IF($H868="","",IFERROR(INDEX(_ENGINE_Risk!$N$5:$S$499,MATCH($E868,_ENGINE_Risk!$A$5:$A$499,0),$H868+1),""))</f>
        <v>Create an immediate risk owner, minimum control baseline and fallback procedure for information security management system with policies, owners, risks and controls. Add it to the crisis risk register and collect first evidence.</v>
      </c>
      <c r="U868">
        <f>IFERROR(INDEX(_DATA_Assessment_Model!$G$5:$G$884,MATCH($E868,_DATA_Assessment_Model!$A$5:$A$884,0)),"")</f>
        <v>4</v>
      </c>
      <c r="V868">
        <f>IFERROR(INDEX(_DATA_Assessment_Model!$W$5:$W$884,MATCH($E868,_DATA_Assessment_Model!$A$5:$A$884,0)),"")</f>
        <v>5</v>
      </c>
      <c r="W868">
        <f>IFERROR(INDEX(_DATA_Assessment_Model!$X$5:$X$884,MATCH($E868,_DATA_Assessment_Model!$A$5:$A$884,0)),"")</f>
        <v>5</v>
      </c>
      <c r="X868">
        <f>IFERROR(INDEX(_DATA_Assessment_Model!$Y$5:$Y$884,MATCH($E868,_DATA_Assessment_Model!$A$5:$A$884,0)),"")</f>
        <v>5</v>
      </c>
      <c r="Y868" t="s">
        <v>2999</v>
      </c>
      <c r="Z868" t="s">
        <v>9811</v>
      </c>
      <c r="AA868" t="s">
        <v>2992</v>
      </c>
      <c r="AB868">
        <f>IFERROR(INDEX(_DATA_Assessment_Model!$U$5:$U$884,MATCH($E868,_DATA_Assessment_Model!$A$5:$A$884,0)),"")</f>
        <v>0</v>
      </c>
      <c r="AF868" t="s">
        <v>2989</v>
      </c>
      <c r="AO868">
        <f>IF($B868="Yes",IF(IFERROR(INDEX(_ENGINE_Crisis!$F$501:$F$517,MATCH($C868,_ENGINE_Crisis!$A$501:$A$517,0)),1)=0,1,IFERROR(INDEX(_ENGINE_Crisis!$F$501:$F$517,MATCH($C868,_ENGINE_Crisis!$A$501:$A$517,0)),1)),"")</f>
        <v>1</v>
      </c>
      <c r="AP868">
        <f t="shared" si="197"/>
        <v>18.5</v>
      </c>
      <c r="AQ868">
        <f t="shared" si="198"/>
        <v>1.23</v>
      </c>
      <c r="AR868" t="str">
        <f>IFERROR(INDEX(_ENGINE_Crisis!$E$41:$E$700,MATCH('Resilience &amp; Risk Scenario'!$B$6&amp;"|"&amp;$C868,_ENGINE_Crisis!$I$41:$I$700,0)),"")</f>
        <v/>
      </c>
      <c r="AS868" t="str">
        <f>IFERROR(INDEX(_ENGINE_Crisis!$G$41:$G$700,MATCH('Resilience &amp; Risk Scenario'!$B$6&amp;"|"&amp;$C868,_ENGINE_Crisis!$I$41:$I$700,0)),"")</f>
        <v/>
      </c>
      <c r="AT868" t="str">
        <f>IFERROR(INDEX(_ENGINE_Initiatives!$A$5:$A$532,MATCH(1,INDEX((_ENGINE_Initiatives!$B$5:$B$532=$C868)*(_ENGINE_Initiatives!$C$5:$C$532=$D868),0),0)),"")</f>
        <v>INI-063</v>
      </c>
      <c r="AU868" t="str">
        <f>IFERROR(INDEX(_ENGINE_Initiatives!$F$5:$F$532,MATCH(1,INDEX((_ENGINE_Initiatives!$B$5:$B$532=$C868)*(_ENGINE_Initiatives!$C$5:$C$532=$D868),0),0)),"")</f>
        <v>Implement security governance and risk-management operating model</v>
      </c>
      <c r="AV868">
        <f>IFERROR(INDEX(_ENGINE_Initiatives!$AC$5:$AC$532,MATCH(1,INDEX((_ENGINE_Initiatives!$B$5:$B$532=$C868)*(_ENGINE_Initiatives!$C$5:$C$532=$D868),0),0)),"")</f>
        <v>1.39</v>
      </c>
      <c r="AW868" t="str">
        <f>IFERROR(INDEX(_ENGINE_Initiatives!$AE$5:$AE$532,MATCH(1,INDEX((_ENGINE_Initiatives!$B$5:$B$532=$C868)*(_ENGINE_Initiatives!$C$5:$C$532=$D868),0),0)),"")</f>
        <v>6-12 months</v>
      </c>
      <c r="AX868">
        <f>IF($B868="Yes",IFERROR((IF(SUMIFS(_REF_Model_Content!$E$1:$E$613,_REF_Model_Content!$A$1:$A$613,PV_Canonical_Industry,_REF_Model_Content!$B$1:$B$613,$C868)=0,1,SUMIFS(_REF_Model_Content!$E$1:$E$613,_REF_Model_Content!$A$1:$A$613,PV_Canonical_Industry,_REF_Model_Content!$B$1:$B$613,$C868))*IFERROR($BU868,1)),1),"")</f>
        <v>1</v>
      </c>
      <c r="AY868">
        <f t="shared" si="199"/>
        <v>18.5</v>
      </c>
      <c r="AZ868">
        <f t="shared" si="200"/>
        <v>1.23</v>
      </c>
      <c r="BB868" t="str">
        <f>IF($H868="","",IFERROR(INDEX(_ENGINE_Risk!$AE$5:$AE$499,MATCH($E868,_ENGINE_Risk!$A$5:$A$499,0)),"Medium"))</f>
        <v>Fast</v>
      </c>
      <c r="BC868">
        <f t="shared" si="201"/>
        <v>1.25</v>
      </c>
      <c r="BD868">
        <f t="shared" si="202"/>
        <v>1.23</v>
      </c>
      <c r="BF868">
        <f>IF(OR($H868="",$J868=""),"",IFERROR(VLOOKUP(ROUND($J868,0),_CONFIG_Model_Settings!$D$154:$E$158,2,0),""))</f>
        <v>0.5</v>
      </c>
      <c r="BG868">
        <f>IFERROR(IF(OR($H868="",$K868=""),"",ROUND('Company Profile'!$B$113*INDEX(_CONFIG_Model_Settings!$H$154:$H$158,MATCH(ROUND($K868,0),_CONFIG_Model_Settings!$G$154:$G$158,0)),0)),0)</f>
        <v>1875</v>
      </c>
      <c r="BH868">
        <f t="shared" si="203"/>
        <v>937.5</v>
      </c>
      <c r="BI868">
        <f t="shared" si="204"/>
        <v>937.5</v>
      </c>
      <c r="BJ868">
        <f>IF($E868="","",IFERROR(VLOOKUP($C868,_CONFIG_Risk_Calibration!$A$5:$H$21,2,FALSE),3))</f>
        <v>3</v>
      </c>
      <c r="BK868">
        <f>IF($E868="","",IFERROR(VLOOKUP($C868,_CONFIG_Risk_Calibration!$A$5:$H$21,3,FALSE),0))</f>
        <v>0</v>
      </c>
      <c r="BL868">
        <f>IF($E868="","",IFERROR(VLOOKUP($C868,_CONFIG_Risk_Calibration!$A$5:$H$21,4,FALSE),3))</f>
        <v>3</v>
      </c>
      <c r="BM868">
        <f>IF($E868="","",IFERROR(VLOOKUP($C868,_CONFIG_Risk_Calibration!$A$5:$H$21,5,FALSE),3))</f>
        <v>4</v>
      </c>
      <c r="BN868" t="str">
        <f>IF($E868="","",IFERROR(VLOOKUP($C868,_CONFIG_Risk_Calibration!$A$5:$H$21,6,FALSE),"No"))</f>
        <v>Yes</v>
      </c>
      <c r="BO868">
        <f>IF($E868="","",IFERROR(VLOOKUP($C868,_CONFIG_Risk_Calibration!$A$5:$H$21,7,FALSE),1))</f>
        <v>5</v>
      </c>
      <c r="BP868">
        <f>IF($H868="","",MAX(1,MIN(5,((6-$H868)*0.45)+($BJ868*0.2)+('Resilience &amp; Risk Scenario'!$B$7*0.15)+($BK868*0.1)+($BL868*0.05)+(IF($BB868="Fast",5,IF($BB868="Slow",1,3))*0.05))))</f>
        <v>3.7</v>
      </c>
      <c r="BQ868">
        <f t="shared" si="205"/>
        <v>5</v>
      </c>
      <c r="BR868">
        <f t="shared" si="206"/>
        <v>18.5</v>
      </c>
      <c r="BS868">
        <f t="shared" si="207"/>
        <v>25.44</v>
      </c>
      <c r="BT868" t="str">
        <f>IFERROR(INDEX(_REF_Capability_Bridge!$D:$D,MATCH($C868&amp;"|"&amp;$D868,_REF_Capability_Bridge!$J:$J,0)),IFERROR(INDEX(_REF_Capability_Bridge!$D:$D,MATCH($C868&amp;"|",_REF_Capability_Bridge!$J:$J,0)),"CAP_GENERIC"))</f>
        <v>CAP_CYBER_GOVERNANCE</v>
      </c>
      <c r="BU868">
        <f>IFERROR(IFERROR(INDEX(_ENGINE_Relevance!$L:$L,MATCH($BT868,_ENGINE_Relevance!$B:$B,0)),1),1)</f>
        <v>1</v>
      </c>
      <c r="BV868" t="str">
        <f>IFERROR(INDEX(_REF_Capability_Bridge!$A:$A,MATCH($C868&amp;"|"&amp;$D868,_REF_Capability_Bridge!$J:$J,0)),IFERROR(INDEX(_REF_Capability_Bridge!$A:$A,MATCH($C868&amp;"|",_REF_Capability_Bridge!$J:$J,0)),"No bridge"))</f>
        <v>BRG-017</v>
      </c>
      <c r="BW868" t="str">
        <f t="shared" si="208"/>
        <v>Capability relevance neutral</v>
      </c>
      <c r="BX868" t="str">
        <f t="shared" si="209"/>
        <v>Initial / absent</v>
      </c>
      <c r="BY868" t="str">
        <f>IF($E868="","",IFERROR(INDEX(_REF_Treatment_Library!$A$2:$A$296,MATCH(1,INDEX((_REF_Treatment_Library!$B$2:$B$296=$BT868)*(_REF_Treatment_Library!$C$2:$C$296=PV_Canonical_Industry)*(_REF_Treatment_Library!$E$2:$E$296&lt;=N($H868))*(_REF_Treatment_Library!$F$2:$F$296&gt;=N($H868))*(_REF_Treatment_Library!$O$2:$O$296="Yes"),0),0)),IFERROR(INDEX(_REF_Treatment_Library!$A$2:$A$296,MATCH(1,INDEX((_REF_Treatment_Library!$B$2:$B$296=$BT868)*(_REF_Treatment_Library!$C$2:$C$296="All")*(_REF_Treatment_Library!$E$2:$E$296&lt;=N($H868))*(_REF_Treatment_Library!$F$2:$F$296&gt;=N($H868))*(_REF_Treatment_Library!$O$2:$O$296="Yes"),0),0)),"")))</f>
        <v>TRT-CYBER_GOVERNANCE-INITIAL</v>
      </c>
      <c r="BZ868" t="str">
        <f>IF($BY868="","",IFERROR(INDEX(_REF_Treatment_Library!$H$2:$H$296,MATCH($BY868,_REF_Treatment_Library!$A$2:$A$296,0)),""))</f>
        <v>Establish</v>
      </c>
      <c r="CA868" t="str">
        <f>IF($BY868="","",IFERROR(INDEX(_REF_Treatment_Library!$I$2:$I$296,MATCH($BY868,_REF_Treatment_Library!$A$2:$A$296,0)),""))</f>
        <v>Establish baseline controls for Security governance</v>
      </c>
      <c r="CB868" t="str">
        <f>IF($BY868="","",IFERROR(INDEX(_REF_Treatment_Library!$K$2:$K$296,MATCH($BY868,_REF_Treatment_Library!$A$2:$A$296,0)),""))</f>
        <v>Named owner, baseline process, minimum control checklist, first evidence package</v>
      </c>
      <c r="CC868" t="str">
        <f>IF($BY868="","",IFERROR(INDEX(_REF_Treatment_Library!$L$2:$L$296,MATCH($BY868,_REF_Treatment_Library!$A$2:$A$296,0)),""))</f>
        <v>Owner assigned; baseline evidence coverage; open critical gaps</v>
      </c>
      <c r="CD868" t="str">
        <f t="shared" si="210"/>
        <v>Treatment by capability=CAP_CYBER_GOVERNANCE; band=Initial / absent; score=0.0; treatment=Establish</v>
      </c>
      <c r="CE868" t="str">
        <f>IF($E868="","",IFERROR(INDEX(_REF_Industry_Wording!$A$2:$A$70,MATCH(1,INDEX((_REF_Industry_Wording!$B$2:$B$70=$BT868)*(_REF_Industry_Wording!$C$2:$C$70=PV_Canonical_Industry)*(_REF_Industry_Wording!$K$2:$K$70="Yes"),0),0)),IFERROR(INDEX(_REF_Industry_Wording!$A$2:$A$70,MATCH(1,INDEX((_REF_Industry_Wording!$B$2:$B$70=$BT868)*(_REF_Industry_Wording!$C$2:$C$70="All")*(_REF_Industry_Wording!$K$2:$K$70="Yes"),0),0)),"")))</f>
        <v>IW-ALL-CYBER_GOVERNANCE</v>
      </c>
      <c r="CF868" t="str">
        <f>IF($CE868="","",IFERROR(INDEX(_REF_Industry_Wording!$E$2:$E$70,MATCH($CE868,_REF_Industry_Wording!$A$2:$A$70,0)),""))</f>
        <v>Security governance weakness</v>
      </c>
      <c r="CG868" t="str">
        <f>IF($CE868="","",IFERROR(INDEX(_REF_Industry_Wording!$F$2:$F$70,MATCH($CE868,_REF_Industry_Wording!$A$2:$A$70,0)),""))</f>
        <v>Strengthen Security governance</v>
      </c>
      <c r="CH868" t="str">
        <f>IF($CE868="","",IFERROR(INDEX(_REF_Industry_Wording!$G$2:$G$70,MATCH($CE868,_REF_Industry_Wording!$A$2:$A$70,0)),""))</f>
        <v>Strengthen Security governance using the selected maturity treatment, crisis scenario and evidence requirements.</v>
      </c>
      <c r="CI868" t="str">
        <f>IF($CE868="","",IFERROR(INDEX(_REF_Industry_Wording!$H$2:$H$70,MATCH($CE868,_REF_Industry_Wording!$A$2:$A$70,0)),""))</f>
        <v>Security governance</v>
      </c>
      <c r="CJ868">
        <f>IF($CE868="","",IFERROR(INDEX(_REF_Industry_Wording!$I$2:$I$70,MATCH($CE868,_REF_Industry_Wording!$A$2:$A$70,0)),""))</f>
        <v>0</v>
      </c>
      <c r="CK868" t="str">
        <f>IF($CE868="","",IFERROR(INDEX(_REF_Industry_Wording!$J$2:$J$70,MATCH($CE868,_REF_Industry_Wording!$A$2:$A$70,0)),""))</f>
        <v>Security governance</v>
      </c>
      <c r="CL868" t="str">
        <f t="shared" si="211"/>
        <v>Wording by industry=0; capability=CAP_CYBER_GOVERNANCE; risk label=Security governance weakness</v>
      </c>
      <c r="CM868" t="str">
        <f t="shared" si="212"/>
        <v>RISK-ONT-0369</v>
      </c>
      <c r="CN868" t="str">
        <f t="shared" si="213"/>
        <v>RISK-EVT-0369</v>
      </c>
      <c r="CO868" t="str">
        <f t="shared" si="214"/>
        <v>Cyber Privacy|Security governance|CYBE-001|CAP_CYBER_GOVERNANCE</v>
      </c>
      <c r="CP868" t="str">
        <f t="shared" si="215"/>
        <v>Active</v>
      </c>
      <c r="CQ868" t="str">
        <f t="shared" si="216"/>
        <v>OK: capability-driven</v>
      </c>
      <c r="CR868" t="str">
        <f t="shared" si="217"/>
        <v>Risk ontology uses capability=CAP_CYBER_GOVERNANCE; bridge=BRG-017; treatment=TRT-CYBER_GOVERNANCE-INITIAL; wording=IW-ALL-CYBER_GOVERNANCE</v>
      </c>
      <c r="CS868" t="str">
        <f t="shared" si="218"/>
        <v>Yes</v>
      </c>
    </row>
    <row r="869" spans="1:97" ht="69.900000000000006" customHeight="1">
      <c r="A869">
        <f>IF(OR($B869&lt;&gt;"Yes",$BS869=""),"",SUMPRODUCT(($B$500:$B$923="Yes")*ISNUMBER($BS$500:$BS$923)*($BS$500:$BS$923&gt;$BS869))+COUNTIFS($B$500:$B869,"Yes",$BS$500:$BS869,$BS869))</f>
        <v>18</v>
      </c>
      <c r="B869" t="str">
        <f t="shared" si="187"/>
        <v>Yes</v>
      </c>
      <c r="C869" t="s">
        <v>2986</v>
      </c>
      <c r="D869" t="s">
        <v>2988</v>
      </c>
      <c r="E869" t="s">
        <v>3000</v>
      </c>
      <c r="F869" t="s">
        <v>4460</v>
      </c>
      <c r="G869" t="str">
        <f>IF($H869="","",IFERROR(INDEX(_ENGINE_Risk!$H$5:$M$499,MATCH($E869,_ENGINE_Risk!$A$5:$A$499,0),$H869+1),""))</f>
        <v>Severe risk: cyber risk register linked to business impact and crisis scenarios is not reliably controlled. During Cyberattack; Data breach; Ransomware; Insider threat, the organization may face security incident, data breach, privilege misuse, privacy violation and regulatory exposure with limited visibility or accountability.</v>
      </c>
      <c r="H869">
        <f>IFERROR(VALUE(INDEX(_DATA_Assessment_Model!$H$5:$H$884,MATCH($E869,_DATA_Assessment_Model!$A$5:$A$884,0))),"")</f>
        <v>0</v>
      </c>
      <c r="I869" t="str">
        <f>IF($H869="","",IFERROR(INDEX(_DATA_Assessment_Model!$L$5:$L$884,MATCH($E869,_DATA_Assessment_Model!$A$5:$A$884,0)),IF($H869&lt;=1,"Critical",IF($H869=2,"High",IF($H869=3,"Medium",IF($H869=4,"Low","Resilient"))))))</f>
        <v>Critical</v>
      </c>
      <c r="J869">
        <f t="shared" si="188"/>
        <v>3.7</v>
      </c>
      <c r="K869">
        <f t="shared" si="189"/>
        <v>5</v>
      </c>
      <c r="L869">
        <f t="shared" si="190"/>
        <v>18.5</v>
      </c>
      <c r="M869">
        <f t="shared" si="191"/>
        <v>4</v>
      </c>
      <c r="N869">
        <f>IF($H869="","",IFERROR(INDEX(_ENGINE_Risk!$T$5:$Y$499,MATCH($E869,_ENGINE_Risk!$A$5:$A$499,0),$H869+1),""))</f>
        <v>4</v>
      </c>
      <c r="O869">
        <f t="shared" si="192"/>
        <v>5</v>
      </c>
      <c r="P869">
        <f t="shared" si="193"/>
        <v>5</v>
      </c>
      <c r="Q869">
        <f t="shared" si="194"/>
        <v>5</v>
      </c>
      <c r="R869">
        <f t="shared" si="195"/>
        <v>5</v>
      </c>
      <c r="S869">
        <f t="shared" si="196"/>
        <v>1.25</v>
      </c>
      <c r="T869" t="str">
        <f>IF($H869="","",IFERROR(INDEX(_ENGINE_Risk!$N$5:$S$499,MATCH($E869,_ENGINE_Risk!$A$5:$A$499,0),$H869+1),""))</f>
        <v>Create an immediate risk owner, minimum control baseline and fallback procedure for cyber risk register linked to business impact and crisis scenarios. Add it to the crisis risk register and collect first evidence.</v>
      </c>
      <c r="U869">
        <f>IFERROR(INDEX(_DATA_Assessment_Model!$G$5:$G$884,MATCH($E869,_DATA_Assessment_Model!$A$5:$A$884,0)),"")</f>
        <v>5</v>
      </c>
      <c r="V869">
        <f>IFERROR(INDEX(_DATA_Assessment_Model!$W$5:$W$884,MATCH($E869,_DATA_Assessment_Model!$A$5:$A$884,0)),"")</f>
        <v>5</v>
      </c>
      <c r="W869">
        <f>IFERROR(INDEX(_DATA_Assessment_Model!$X$5:$X$884,MATCH($E869,_DATA_Assessment_Model!$A$5:$A$884,0)),"")</f>
        <v>5</v>
      </c>
      <c r="X869">
        <f>IFERROR(INDEX(_DATA_Assessment_Model!$Y$5:$Y$884,MATCH($E869,_DATA_Assessment_Model!$A$5:$A$884,0)),"")</f>
        <v>5</v>
      </c>
      <c r="Y869" t="s">
        <v>2999</v>
      </c>
      <c r="Z869" t="s">
        <v>9811</v>
      </c>
      <c r="AA869" t="s">
        <v>3002</v>
      </c>
      <c r="AB869">
        <f>IFERROR(INDEX(_DATA_Assessment_Model!$U$5:$U$884,MATCH($E869,_DATA_Assessment_Model!$A$5:$A$884,0)),"")</f>
        <v>0</v>
      </c>
      <c r="AF869" t="s">
        <v>3001</v>
      </c>
      <c r="AO869">
        <f>IF($B869="Yes",IF(IFERROR(INDEX(_ENGINE_Crisis!$F$501:$F$517,MATCH($C869,_ENGINE_Crisis!$A$501:$A$517,0)),1)=0,1,IFERROR(INDEX(_ENGINE_Crisis!$F$501:$F$517,MATCH($C869,_ENGINE_Crisis!$A$501:$A$517,0)),1)),"")</f>
        <v>1</v>
      </c>
      <c r="AP869">
        <f t="shared" si="197"/>
        <v>18.5</v>
      </c>
      <c r="AQ869">
        <f t="shared" si="198"/>
        <v>1.25</v>
      </c>
      <c r="AR869" t="str">
        <f>IFERROR(INDEX(_ENGINE_Crisis!$E$41:$E$700,MATCH('Resilience &amp; Risk Scenario'!$B$6&amp;"|"&amp;$C869,_ENGINE_Crisis!$I$41:$I$700,0)),"")</f>
        <v/>
      </c>
      <c r="AS869" t="str">
        <f>IFERROR(INDEX(_ENGINE_Crisis!$G$41:$G$700,MATCH('Resilience &amp; Risk Scenario'!$B$6&amp;"|"&amp;$C869,_ENGINE_Crisis!$I$41:$I$700,0)),"")</f>
        <v/>
      </c>
      <c r="AT869" t="str">
        <f>IFERROR(INDEX(_ENGINE_Initiatives!$A$5:$A$532,MATCH(1,INDEX((_ENGINE_Initiatives!$B$5:$B$532=$C869)*(_ENGINE_Initiatives!$C$5:$C$532=$D869),0),0)),"")</f>
        <v>INI-063</v>
      </c>
      <c r="AU869" t="str">
        <f>IFERROR(INDEX(_ENGINE_Initiatives!$F$5:$F$532,MATCH(1,INDEX((_ENGINE_Initiatives!$B$5:$B$532=$C869)*(_ENGINE_Initiatives!$C$5:$C$532=$D869),0),0)),"")</f>
        <v>Implement security governance and risk-management operating model</v>
      </c>
      <c r="AV869">
        <f>IFERROR(INDEX(_ENGINE_Initiatives!$AC$5:$AC$532,MATCH(1,INDEX((_ENGINE_Initiatives!$B$5:$B$532=$C869)*(_ENGINE_Initiatives!$C$5:$C$532=$D869),0),0)),"")</f>
        <v>1.39</v>
      </c>
      <c r="AW869" t="str">
        <f>IFERROR(INDEX(_ENGINE_Initiatives!$AE$5:$AE$532,MATCH(1,INDEX((_ENGINE_Initiatives!$B$5:$B$532=$C869)*(_ENGINE_Initiatives!$C$5:$C$532=$D869),0),0)),"")</f>
        <v>6-12 months</v>
      </c>
      <c r="AX869">
        <f>IF($B869="Yes",IFERROR((IF(SUMIFS(_REF_Model_Content!$E$1:$E$613,_REF_Model_Content!$A$1:$A$613,PV_Canonical_Industry,_REF_Model_Content!$B$1:$B$613,$C869)=0,1,SUMIFS(_REF_Model_Content!$E$1:$E$613,_REF_Model_Content!$A$1:$A$613,PV_Canonical_Industry,_REF_Model_Content!$B$1:$B$613,$C869))*IFERROR($BU869,1)),1),"")</f>
        <v>1</v>
      </c>
      <c r="AY869">
        <f t="shared" si="199"/>
        <v>18.5</v>
      </c>
      <c r="AZ869">
        <f t="shared" si="200"/>
        <v>1.25</v>
      </c>
      <c r="BB869" t="str">
        <f>IF($H869="","",IFERROR(INDEX(_ENGINE_Risk!$AE$5:$AE$499,MATCH($E869,_ENGINE_Risk!$A$5:$A$499,0)),"Medium"))</f>
        <v>Fast</v>
      </c>
      <c r="BC869">
        <f t="shared" si="201"/>
        <v>1.25</v>
      </c>
      <c r="BD869">
        <f t="shared" si="202"/>
        <v>1.25</v>
      </c>
      <c r="BF869">
        <f>IF(OR($H869="",$J869=""),"",IFERROR(VLOOKUP(ROUND($J869,0),_CONFIG_Model_Settings!$D$154:$E$158,2,0),""))</f>
        <v>0.5</v>
      </c>
      <c r="BG869">
        <f>IFERROR(IF(OR($H869="",$K869=""),"",ROUND('Company Profile'!$B$113*INDEX(_CONFIG_Model_Settings!$H$154:$H$158,MATCH(ROUND($K869,0),_CONFIG_Model_Settings!$G$154:$G$158,0)),0)),0)</f>
        <v>1875</v>
      </c>
      <c r="BH869">
        <f t="shared" si="203"/>
        <v>937.5</v>
      </c>
      <c r="BI869">
        <f t="shared" si="204"/>
        <v>937.5</v>
      </c>
      <c r="BJ869">
        <f>IF($E869="","",IFERROR(VLOOKUP($C869,_CONFIG_Risk_Calibration!$A$5:$H$21,2,FALSE),3))</f>
        <v>3</v>
      </c>
      <c r="BK869">
        <f>IF($E869="","",IFERROR(VLOOKUP($C869,_CONFIG_Risk_Calibration!$A$5:$H$21,3,FALSE),0))</f>
        <v>0</v>
      </c>
      <c r="BL869">
        <f>IF($E869="","",IFERROR(VLOOKUP($C869,_CONFIG_Risk_Calibration!$A$5:$H$21,4,FALSE),3))</f>
        <v>3</v>
      </c>
      <c r="BM869">
        <f>IF($E869="","",IFERROR(VLOOKUP($C869,_CONFIG_Risk_Calibration!$A$5:$H$21,5,FALSE),3))</f>
        <v>4</v>
      </c>
      <c r="BN869" t="str">
        <f>IF($E869="","",IFERROR(VLOOKUP($C869,_CONFIG_Risk_Calibration!$A$5:$H$21,6,FALSE),"No"))</f>
        <v>Yes</v>
      </c>
      <c r="BO869">
        <f>IF($E869="","",IFERROR(VLOOKUP($C869,_CONFIG_Risk_Calibration!$A$5:$H$21,7,FALSE),1))</f>
        <v>5</v>
      </c>
      <c r="BP869">
        <f>IF($H869="","",MAX(1,MIN(5,((6-$H869)*0.45)+($BJ869*0.2)+('Resilience &amp; Risk Scenario'!$B$7*0.15)+($BK869*0.1)+($BL869*0.05)+(IF($BB869="Fast",5,IF($BB869="Slow",1,3))*0.05))))</f>
        <v>3.7</v>
      </c>
      <c r="BQ869">
        <f t="shared" si="205"/>
        <v>5</v>
      </c>
      <c r="BR869">
        <f t="shared" si="206"/>
        <v>18.5</v>
      </c>
      <c r="BS869">
        <f t="shared" si="207"/>
        <v>25.44</v>
      </c>
      <c r="BT869" t="str">
        <f>IFERROR(INDEX(_REF_Capability_Bridge!$D:$D,MATCH($C869&amp;"|"&amp;$D869,_REF_Capability_Bridge!$J:$J,0)),IFERROR(INDEX(_REF_Capability_Bridge!$D:$D,MATCH($C869&amp;"|",_REF_Capability_Bridge!$J:$J,0)),"CAP_GENERIC"))</f>
        <v>CAP_CYBER_GOVERNANCE</v>
      </c>
      <c r="BU869">
        <f>IFERROR(IFERROR(INDEX(_ENGINE_Relevance!$L:$L,MATCH($BT869,_ENGINE_Relevance!$B:$B,0)),1),1)</f>
        <v>1</v>
      </c>
      <c r="BV869" t="str">
        <f>IFERROR(INDEX(_REF_Capability_Bridge!$A:$A,MATCH($C869&amp;"|"&amp;$D869,_REF_Capability_Bridge!$J:$J,0)),IFERROR(INDEX(_REF_Capability_Bridge!$A:$A,MATCH($C869&amp;"|",_REF_Capability_Bridge!$J:$J,0)),"No bridge"))</f>
        <v>BRG-017</v>
      </c>
      <c r="BW869" t="str">
        <f t="shared" si="208"/>
        <v>Capability relevance neutral</v>
      </c>
      <c r="BX869" t="str">
        <f t="shared" si="209"/>
        <v>Initial / absent</v>
      </c>
      <c r="BY869" t="str">
        <f>IF($E869="","",IFERROR(INDEX(_REF_Treatment_Library!$A$2:$A$296,MATCH(1,INDEX((_REF_Treatment_Library!$B$2:$B$296=$BT869)*(_REF_Treatment_Library!$C$2:$C$296=PV_Canonical_Industry)*(_REF_Treatment_Library!$E$2:$E$296&lt;=N($H869))*(_REF_Treatment_Library!$F$2:$F$296&gt;=N($H869))*(_REF_Treatment_Library!$O$2:$O$296="Yes"),0),0)),IFERROR(INDEX(_REF_Treatment_Library!$A$2:$A$296,MATCH(1,INDEX((_REF_Treatment_Library!$B$2:$B$296=$BT869)*(_REF_Treatment_Library!$C$2:$C$296="All")*(_REF_Treatment_Library!$E$2:$E$296&lt;=N($H869))*(_REF_Treatment_Library!$F$2:$F$296&gt;=N($H869))*(_REF_Treatment_Library!$O$2:$O$296="Yes"),0),0)),"")))</f>
        <v>TRT-CYBER_GOVERNANCE-INITIAL</v>
      </c>
      <c r="BZ869" t="str">
        <f>IF($BY869="","",IFERROR(INDEX(_REF_Treatment_Library!$H$2:$H$296,MATCH($BY869,_REF_Treatment_Library!$A$2:$A$296,0)),""))</f>
        <v>Establish</v>
      </c>
      <c r="CA869" t="str">
        <f>IF($BY869="","",IFERROR(INDEX(_REF_Treatment_Library!$I$2:$I$296,MATCH($BY869,_REF_Treatment_Library!$A$2:$A$296,0)),""))</f>
        <v>Establish baseline controls for Security governance</v>
      </c>
      <c r="CB869" t="str">
        <f>IF($BY869="","",IFERROR(INDEX(_REF_Treatment_Library!$K$2:$K$296,MATCH($BY869,_REF_Treatment_Library!$A$2:$A$296,0)),""))</f>
        <v>Named owner, baseline process, minimum control checklist, first evidence package</v>
      </c>
      <c r="CC869" t="str">
        <f>IF($BY869="","",IFERROR(INDEX(_REF_Treatment_Library!$L$2:$L$296,MATCH($BY869,_REF_Treatment_Library!$A$2:$A$296,0)),""))</f>
        <v>Owner assigned; baseline evidence coverage; open critical gaps</v>
      </c>
      <c r="CD869" t="str">
        <f t="shared" si="210"/>
        <v>Treatment by capability=CAP_CYBER_GOVERNANCE; band=Initial / absent; score=0.0; treatment=Establish</v>
      </c>
      <c r="CE869" t="str">
        <f>IF($E869="","",IFERROR(INDEX(_REF_Industry_Wording!$A$2:$A$70,MATCH(1,INDEX((_REF_Industry_Wording!$B$2:$B$70=$BT869)*(_REF_Industry_Wording!$C$2:$C$70=PV_Canonical_Industry)*(_REF_Industry_Wording!$K$2:$K$70="Yes"),0),0)),IFERROR(INDEX(_REF_Industry_Wording!$A$2:$A$70,MATCH(1,INDEX((_REF_Industry_Wording!$B$2:$B$70=$BT869)*(_REF_Industry_Wording!$C$2:$C$70="All")*(_REF_Industry_Wording!$K$2:$K$70="Yes"),0),0)),"")))</f>
        <v>IW-ALL-CYBER_GOVERNANCE</v>
      </c>
      <c r="CF869" t="str">
        <f>IF($CE869="","",IFERROR(INDEX(_REF_Industry_Wording!$E$2:$E$70,MATCH($CE869,_REF_Industry_Wording!$A$2:$A$70,0)),""))</f>
        <v>Security governance weakness</v>
      </c>
      <c r="CG869" t="str">
        <f>IF($CE869="","",IFERROR(INDEX(_REF_Industry_Wording!$F$2:$F$70,MATCH($CE869,_REF_Industry_Wording!$A$2:$A$70,0)),""))</f>
        <v>Strengthen Security governance</v>
      </c>
      <c r="CH869" t="str">
        <f>IF($CE869="","",IFERROR(INDEX(_REF_Industry_Wording!$G$2:$G$70,MATCH($CE869,_REF_Industry_Wording!$A$2:$A$70,0)),""))</f>
        <v>Strengthen Security governance using the selected maturity treatment, crisis scenario and evidence requirements.</v>
      </c>
      <c r="CI869" t="str">
        <f>IF($CE869="","",IFERROR(INDEX(_REF_Industry_Wording!$H$2:$H$70,MATCH($CE869,_REF_Industry_Wording!$A$2:$A$70,0)),""))</f>
        <v>Security governance</v>
      </c>
      <c r="CJ869">
        <f>IF($CE869="","",IFERROR(INDEX(_REF_Industry_Wording!$I$2:$I$70,MATCH($CE869,_REF_Industry_Wording!$A$2:$A$70,0)),""))</f>
        <v>0</v>
      </c>
      <c r="CK869" t="str">
        <f>IF($CE869="","",IFERROR(INDEX(_REF_Industry_Wording!$J$2:$J$70,MATCH($CE869,_REF_Industry_Wording!$A$2:$A$70,0)),""))</f>
        <v>Security governance</v>
      </c>
      <c r="CL869" t="str">
        <f t="shared" si="211"/>
        <v>Wording by industry=0; capability=CAP_CYBER_GOVERNANCE; risk label=Security governance weakness</v>
      </c>
      <c r="CM869" t="str">
        <f t="shared" si="212"/>
        <v>RISK-ONT-0370</v>
      </c>
      <c r="CN869" t="str">
        <f t="shared" si="213"/>
        <v>RISK-EVT-0370</v>
      </c>
      <c r="CO869" t="str">
        <f t="shared" si="214"/>
        <v>Cyber Privacy|Security governance|CYBE-002|CAP_CYBER_GOVERNANCE</v>
      </c>
      <c r="CP869" t="str">
        <f t="shared" si="215"/>
        <v>Active</v>
      </c>
      <c r="CQ869" t="str">
        <f t="shared" si="216"/>
        <v>OK: capability-driven</v>
      </c>
      <c r="CR869" t="str">
        <f t="shared" si="217"/>
        <v>Risk ontology uses capability=CAP_CYBER_GOVERNANCE; bridge=BRG-017; treatment=TRT-CYBER_GOVERNANCE-INITIAL; wording=IW-ALL-CYBER_GOVERNANCE</v>
      </c>
      <c r="CS869" t="str">
        <f t="shared" si="218"/>
        <v>Yes</v>
      </c>
    </row>
    <row r="870" spans="1:97" ht="69.900000000000006" customHeight="1">
      <c r="A870">
        <f>IF(OR($B870&lt;&gt;"Yes",$BS870=""),"",SUMPRODUCT(($B$500:$B$923="Yes")*ISNUMBER($BS$500:$BS$923)*($BS$500:$BS$923&gt;$BS870))+COUNTIFS($B$500:$B870,"Yes",$BS$500:$BS870,$BS870))</f>
        <v>19</v>
      </c>
      <c r="B870" t="str">
        <f t="shared" si="187"/>
        <v>Yes</v>
      </c>
      <c r="C870" t="s">
        <v>2986</v>
      </c>
      <c r="D870" t="s">
        <v>2988</v>
      </c>
      <c r="E870" t="s">
        <v>3004</v>
      </c>
      <c r="F870" t="s">
        <v>4460</v>
      </c>
      <c r="G870" t="str">
        <f>IF($H870="","",IFERROR(INDEX(_ENGINE_Risk!$H$5:$M$499,MATCH($E870,_ENGINE_Risk!$A$5:$A$499,0),$H870+1),""))</f>
        <v>Severe risk: security KPI reporting to leadership covering vulnerabilities, incidents, MFA, phishing, backups and access reviews is not reliably controlled. During Cyberattack; Data breach; Ransomware; Insider threat, the organization may face security incident, data breach, privilege misuse, privacy violation and regulatory exposure with limited visibility or accountability.</v>
      </c>
      <c r="H870">
        <f>IFERROR(VALUE(INDEX(_DATA_Assessment_Model!$H$5:$H$884,MATCH($E870,_DATA_Assessment_Model!$A$5:$A$884,0))),"")</f>
        <v>0</v>
      </c>
      <c r="I870" t="str">
        <f>IF($H870="","",IFERROR(INDEX(_DATA_Assessment_Model!$L$5:$L$884,MATCH($E870,_DATA_Assessment_Model!$A$5:$A$884,0)),IF($H870&lt;=1,"Critical",IF($H870=2,"High",IF($H870=3,"Medium",IF($H870=4,"Low","Resilient"))))))</f>
        <v>Critical</v>
      </c>
      <c r="J870">
        <f t="shared" si="188"/>
        <v>3.7</v>
      </c>
      <c r="K870">
        <f t="shared" si="189"/>
        <v>5</v>
      </c>
      <c r="L870">
        <f t="shared" si="190"/>
        <v>18.5</v>
      </c>
      <c r="M870">
        <f t="shared" si="191"/>
        <v>4</v>
      </c>
      <c r="N870">
        <f>IF($H870="","",IFERROR(INDEX(_ENGINE_Risk!$T$5:$Y$499,MATCH($E870,_ENGINE_Risk!$A$5:$A$499,0),$H870+1),""))</f>
        <v>4</v>
      </c>
      <c r="O870">
        <f t="shared" si="192"/>
        <v>5</v>
      </c>
      <c r="P870">
        <f t="shared" si="193"/>
        <v>5</v>
      </c>
      <c r="Q870">
        <f t="shared" si="194"/>
        <v>5</v>
      </c>
      <c r="R870">
        <f t="shared" si="195"/>
        <v>5</v>
      </c>
      <c r="S870">
        <f t="shared" si="196"/>
        <v>1.25</v>
      </c>
      <c r="T870" t="str">
        <f>IF($H870="","",IFERROR(INDEX(_ENGINE_Risk!$N$5:$S$499,MATCH($E870,_ENGINE_Risk!$A$5:$A$499,0),$H870+1),""))</f>
        <v>Create an immediate risk owner, minimum control baseline and fallback procedure for security KPI reporting to leadership covering vulnerabilities, incidents, MFA, phishing, backups and access reviews. Add it to the crisis risk register and collect first evidence.</v>
      </c>
      <c r="U870">
        <f>IFERROR(INDEX(_DATA_Assessment_Model!$G$5:$G$884,MATCH($E870,_DATA_Assessment_Model!$A$5:$A$884,0)),"")</f>
        <v>5</v>
      </c>
      <c r="V870">
        <f>IFERROR(INDEX(_DATA_Assessment_Model!$W$5:$W$884,MATCH($E870,_DATA_Assessment_Model!$A$5:$A$884,0)),"")</f>
        <v>5</v>
      </c>
      <c r="W870">
        <f>IFERROR(INDEX(_DATA_Assessment_Model!$X$5:$X$884,MATCH($E870,_DATA_Assessment_Model!$A$5:$A$884,0)),"")</f>
        <v>5</v>
      </c>
      <c r="X870">
        <f>IFERROR(INDEX(_DATA_Assessment_Model!$Y$5:$Y$884,MATCH($E870,_DATA_Assessment_Model!$A$5:$A$884,0)),"")</f>
        <v>5</v>
      </c>
      <c r="Y870" t="s">
        <v>2999</v>
      </c>
      <c r="Z870" t="s">
        <v>9811</v>
      </c>
      <c r="AA870" t="s">
        <v>3006</v>
      </c>
      <c r="AB870">
        <f>IFERROR(INDEX(_DATA_Assessment_Model!$U$5:$U$884,MATCH($E870,_DATA_Assessment_Model!$A$5:$A$884,0)),"")</f>
        <v>0</v>
      </c>
      <c r="AF870" t="s">
        <v>3005</v>
      </c>
      <c r="AO870">
        <f>IF($B870="Yes",IF(IFERROR(INDEX(_ENGINE_Crisis!$F$501:$F$517,MATCH($C870,_ENGINE_Crisis!$A$501:$A$517,0)),1)=0,1,IFERROR(INDEX(_ENGINE_Crisis!$F$501:$F$517,MATCH($C870,_ENGINE_Crisis!$A$501:$A$517,0)),1)),"")</f>
        <v>1</v>
      </c>
      <c r="AP870">
        <f t="shared" si="197"/>
        <v>18.5</v>
      </c>
      <c r="AQ870">
        <f t="shared" si="198"/>
        <v>1.25</v>
      </c>
      <c r="AR870" t="str">
        <f>IFERROR(INDEX(_ENGINE_Crisis!$E$41:$E$700,MATCH('Resilience &amp; Risk Scenario'!$B$6&amp;"|"&amp;$C870,_ENGINE_Crisis!$I$41:$I$700,0)),"")</f>
        <v/>
      </c>
      <c r="AS870" t="str">
        <f>IFERROR(INDEX(_ENGINE_Crisis!$G$41:$G$700,MATCH('Resilience &amp; Risk Scenario'!$B$6&amp;"|"&amp;$C870,_ENGINE_Crisis!$I$41:$I$700,0)),"")</f>
        <v/>
      </c>
      <c r="AT870" t="str">
        <f>IFERROR(INDEX(_ENGINE_Initiatives!$A$5:$A$532,MATCH(1,INDEX((_ENGINE_Initiatives!$B$5:$B$532=$C870)*(_ENGINE_Initiatives!$C$5:$C$532=$D870),0),0)),"")</f>
        <v>INI-063</v>
      </c>
      <c r="AU870" t="str">
        <f>IFERROR(INDEX(_ENGINE_Initiatives!$F$5:$F$532,MATCH(1,INDEX((_ENGINE_Initiatives!$B$5:$B$532=$C870)*(_ENGINE_Initiatives!$C$5:$C$532=$D870),0),0)),"")</f>
        <v>Implement security governance and risk-management operating model</v>
      </c>
      <c r="AV870">
        <f>IFERROR(INDEX(_ENGINE_Initiatives!$AC$5:$AC$532,MATCH(1,INDEX((_ENGINE_Initiatives!$B$5:$B$532=$C870)*(_ENGINE_Initiatives!$C$5:$C$532=$D870),0),0)),"")</f>
        <v>1.39</v>
      </c>
      <c r="AW870" t="str">
        <f>IFERROR(INDEX(_ENGINE_Initiatives!$AE$5:$AE$532,MATCH(1,INDEX((_ENGINE_Initiatives!$B$5:$B$532=$C870)*(_ENGINE_Initiatives!$C$5:$C$532=$D870),0),0)),"")</f>
        <v>6-12 months</v>
      </c>
      <c r="AX870">
        <f>IF($B870="Yes",IFERROR((IF(SUMIFS(_REF_Model_Content!$E$1:$E$613,_REF_Model_Content!$A$1:$A$613,PV_Canonical_Industry,_REF_Model_Content!$B$1:$B$613,$C870)=0,1,SUMIFS(_REF_Model_Content!$E$1:$E$613,_REF_Model_Content!$A$1:$A$613,PV_Canonical_Industry,_REF_Model_Content!$B$1:$B$613,$C870))*IFERROR($BU870,1)),1),"")</f>
        <v>1</v>
      </c>
      <c r="AY870">
        <f t="shared" si="199"/>
        <v>18.5</v>
      </c>
      <c r="AZ870">
        <f t="shared" si="200"/>
        <v>1.25</v>
      </c>
      <c r="BB870" t="str">
        <f>IF($H870="","",IFERROR(INDEX(_ENGINE_Risk!$AE$5:$AE$499,MATCH($E870,_ENGINE_Risk!$A$5:$A$499,0)),"Medium"))</f>
        <v>Fast</v>
      </c>
      <c r="BC870">
        <f t="shared" si="201"/>
        <v>1.25</v>
      </c>
      <c r="BD870">
        <f t="shared" si="202"/>
        <v>1.25</v>
      </c>
      <c r="BF870">
        <f>IF(OR($H870="",$J870=""),"",IFERROR(VLOOKUP(ROUND($J870,0),_CONFIG_Model_Settings!$D$154:$E$158,2,0),""))</f>
        <v>0.5</v>
      </c>
      <c r="BG870">
        <f>IFERROR(IF(OR($H870="",$K870=""),"",ROUND('Company Profile'!$B$113*INDEX(_CONFIG_Model_Settings!$H$154:$H$158,MATCH(ROUND($K870,0),_CONFIG_Model_Settings!$G$154:$G$158,0)),0)),0)</f>
        <v>1875</v>
      </c>
      <c r="BH870">
        <f t="shared" si="203"/>
        <v>937.5</v>
      </c>
      <c r="BI870">
        <f t="shared" si="204"/>
        <v>937.5</v>
      </c>
      <c r="BJ870">
        <f>IF($E870="","",IFERROR(VLOOKUP($C870,_CONFIG_Risk_Calibration!$A$5:$H$21,2,FALSE),3))</f>
        <v>3</v>
      </c>
      <c r="BK870">
        <f>IF($E870="","",IFERROR(VLOOKUP($C870,_CONFIG_Risk_Calibration!$A$5:$H$21,3,FALSE),0))</f>
        <v>0</v>
      </c>
      <c r="BL870">
        <f>IF($E870="","",IFERROR(VLOOKUP($C870,_CONFIG_Risk_Calibration!$A$5:$H$21,4,FALSE),3))</f>
        <v>3</v>
      </c>
      <c r="BM870">
        <f>IF($E870="","",IFERROR(VLOOKUP($C870,_CONFIG_Risk_Calibration!$A$5:$H$21,5,FALSE),3))</f>
        <v>4</v>
      </c>
      <c r="BN870" t="str">
        <f>IF($E870="","",IFERROR(VLOOKUP($C870,_CONFIG_Risk_Calibration!$A$5:$H$21,6,FALSE),"No"))</f>
        <v>Yes</v>
      </c>
      <c r="BO870">
        <f>IF($E870="","",IFERROR(VLOOKUP($C870,_CONFIG_Risk_Calibration!$A$5:$H$21,7,FALSE),1))</f>
        <v>5</v>
      </c>
      <c r="BP870">
        <f>IF($H870="","",MAX(1,MIN(5,((6-$H870)*0.45)+($BJ870*0.2)+('Resilience &amp; Risk Scenario'!$B$7*0.15)+($BK870*0.1)+($BL870*0.05)+(IF($BB870="Fast",5,IF($BB870="Slow",1,3))*0.05))))</f>
        <v>3.7</v>
      </c>
      <c r="BQ870">
        <f t="shared" si="205"/>
        <v>5</v>
      </c>
      <c r="BR870">
        <f t="shared" si="206"/>
        <v>18.5</v>
      </c>
      <c r="BS870">
        <f t="shared" si="207"/>
        <v>25.44</v>
      </c>
      <c r="BT870" t="str">
        <f>IFERROR(INDEX(_REF_Capability_Bridge!$D:$D,MATCH($C870&amp;"|"&amp;$D870,_REF_Capability_Bridge!$J:$J,0)),IFERROR(INDEX(_REF_Capability_Bridge!$D:$D,MATCH($C870&amp;"|",_REF_Capability_Bridge!$J:$J,0)),"CAP_GENERIC"))</f>
        <v>CAP_CYBER_GOVERNANCE</v>
      </c>
      <c r="BU870">
        <f>IFERROR(IFERROR(INDEX(_ENGINE_Relevance!$L:$L,MATCH($BT870,_ENGINE_Relevance!$B:$B,0)),1),1)</f>
        <v>1</v>
      </c>
      <c r="BV870" t="str">
        <f>IFERROR(INDEX(_REF_Capability_Bridge!$A:$A,MATCH($C870&amp;"|"&amp;$D870,_REF_Capability_Bridge!$J:$J,0)),IFERROR(INDEX(_REF_Capability_Bridge!$A:$A,MATCH($C870&amp;"|",_REF_Capability_Bridge!$J:$J,0)),"No bridge"))</f>
        <v>BRG-017</v>
      </c>
      <c r="BW870" t="str">
        <f t="shared" si="208"/>
        <v>Capability relevance neutral</v>
      </c>
      <c r="BX870" t="str">
        <f t="shared" si="209"/>
        <v>Initial / absent</v>
      </c>
      <c r="BY870" t="str">
        <f>IF($E870="","",IFERROR(INDEX(_REF_Treatment_Library!$A$2:$A$296,MATCH(1,INDEX((_REF_Treatment_Library!$B$2:$B$296=$BT870)*(_REF_Treatment_Library!$C$2:$C$296=PV_Canonical_Industry)*(_REF_Treatment_Library!$E$2:$E$296&lt;=N($H870))*(_REF_Treatment_Library!$F$2:$F$296&gt;=N($H870))*(_REF_Treatment_Library!$O$2:$O$296="Yes"),0),0)),IFERROR(INDEX(_REF_Treatment_Library!$A$2:$A$296,MATCH(1,INDEX((_REF_Treatment_Library!$B$2:$B$296=$BT870)*(_REF_Treatment_Library!$C$2:$C$296="All")*(_REF_Treatment_Library!$E$2:$E$296&lt;=N($H870))*(_REF_Treatment_Library!$F$2:$F$296&gt;=N($H870))*(_REF_Treatment_Library!$O$2:$O$296="Yes"),0),0)),"")))</f>
        <v>TRT-CYBER_GOVERNANCE-INITIAL</v>
      </c>
      <c r="BZ870" t="str">
        <f>IF($BY870="","",IFERROR(INDEX(_REF_Treatment_Library!$H$2:$H$296,MATCH($BY870,_REF_Treatment_Library!$A$2:$A$296,0)),""))</f>
        <v>Establish</v>
      </c>
      <c r="CA870" t="str">
        <f>IF($BY870="","",IFERROR(INDEX(_REF_Treatment_Library!$I$2:$I$296,MATCH($BY870,_REF_Treatment_Library!$A$2:$A$296,0)),""))</f>
        <v>Establish baseline controls for Security governance</v>
      </c>
      <c r="CB870" t="str">
        <f>IF($BY870="","",IFERROR(INDEX(_REF_Treatment_Library!$K$2:$K$296,MATCH($BY870,_REF_Treatment_Library!$A$2:$A$296,0)),""))</f>
        <v>Named owner, baseline process, minimum control checklist, first evidence package</v>
      </c>
      <c r="CC870" t="str">
        <f>IF($BY870="","",IFERROR(INDEX(_REF_Treatment_Library!$L$2:$L$296,MATCH($BY870,_REF_Treatment_Library!$A$2:$A$296,0)),""))</f>
        <v>Owner assigned; baseline evidence coverage; open critical gaps</v>
      </c>
      <c r="CD870" t="str">
        <f t="shared" si="210"/>
        <v>Treatment by capability=CAP_CYBER_GOVERNANCE; band=Initial / absent; score=0.0; treatment=Establish</v>
      </c>
      <c r="CE870" t="str">
        <f>IF($E870="","",IFERROR(INDEX(_REF_Industry_Wording!$A$2:$A$70,MATCH(1,INDEX((_REF_Industry_Wording!$B$2:$B$70=$BT870)*(_REF_Industry_Wording!$C$2:$C$70=PV_Canonical_Industry)*(_REF_Industry_Wording!$K$2:$K$70="Yes"),0),0)),IFERROR(INDEX(_REF_Industry_Wording!$A$2:$A$70,MATCH(1,INDEX((_REF_Industry_Wording!$B$2:$B$70=$BT870)*(_REF_Industry_Wording!$C$2:$C$70="All")*(_REF_Industry_Wording!$K$2:$K$70="Yes"),0),0)),"")))</f>
        <v>IW-ALL-CYBER_GOVERNANCE</v>
      </c>
      <c r="CF870" t="str">
        <f>IF($CE870="","",IFERROR(INDEX(_REF_Industry_Wording!$E$2:$E$70,MATCH($CE870,_REF_Industry_Wording!$A$2:$A$70,0)),""))</f>
        <v>Security governance weakness</v>
      </c>
      <c r="CG870" t="str">
        <f>IF($CE870="","",IFERROR(INDEX(_REF_Industry_Wording!$F$2:$F$70,MATCH($CE870,_REF_Industry_Wording!$A$2:$A$70,0)),""))</f>
        <v>Strengthen Security governance</v>
      </c>
      <c r="CH870" t="str">
        <f>IF($CE870="","",IFERROR(INDEX(_REF_Industry_Wording!$G$2:$G$70,MATCH($CE870,_REF_Industry_Wording!$A$2:$A$70,0)),""))</f>
        <v>Strengthen Security governance using the selected maturity treatment, crisis scenario and evidence requirements.</v>
      </c>
      <c r="CI870" t="str">
        <f>IF($CE870="","",IFERROR(INDEX(_REF_Industry_Wording!$H$2:$H$70,MATCH($CE870,_REF_Industry_Wording!$A$2:$A$70,0)),""))</f>
        <v>Security governance</v>
      </c>
      <c r="CJ870">
        <f>IF($CE870="","",IFERROR(INDEX(_REF_Industry_Wording!$I$2:$I$70,MATCH($CE870,_REF_Industry_Wording!$A$2:$A$70,0)),""))</f>
        <v>0</v>
      </c>
      <c r="CK870" t="str">
        <f>IF($CE870="","",IFERROR(INDEX(_REF_Industry_Wording!$J$2:$J$70,MATCH($CE870,_REF_Industry_Wording!$A$2:$A$70,0)),""))</f>
        <v>Security governance</v>
      </c>
      <c r="CL870" t="str">
        <f t="shared" si="211"/>
        <v>Wording by industry=0; capability=CAP_CYBER_GOVERNANCE; risk label=Security governance weakness</v>
      </c>
      <c r="CM870" t="str">
        <f t="shared" si="212"/>
        <v>RISK-ONT-0371</v>
      </c>
      <c r="CN870" t="str">
        <f t="shared" si="213"/>
        <v>RISK-EVT-0371</v>
      </c>
      <c r="CO870" t="str">
        <f t="shared" si="214"/>
        <v>Cyber Privacy|Security governance|CYBE-003|CAP_CYBER_GOVERNANCE</v>
      </c>
      <c r="CP870" t="str">
        <f t="shared" si="215"/>
        <v>Active</v>
      </c>
      <c r="CQ870" t="str">
        <f t="shared" si="216"/>
        <v>OK: capability-driven</v>
      </c>
      <c r="CR870" t="str">
        <f t="shared" si="217"/>
        <v>Risk ontology uses capability=CAP_CYBER_GOVERNANCE; bridge=BRG-017; treatment=TRT-CYBER_GOVERNANCE-INITIAL; wording=IW-ALL-CYBER_GOVERNANCE</v>
      </c>
      <c r="CS870" t="str">
        <f t="shared" si="218"/>
        <v>Yes</v>
      </c>
    </row>
    <row r="871" spans="1:97" ht="69.900000000000006" customHeight="1">
      <c r="A871">
        <f>IF(OR($B871&lt;&gt;"Yes",$BS871=""),"",SUMPRODUCT(($B$500:$B$923="Yes")*ISNUMBER($BS$500:$BS$923)*($BS$500:$BS$923&gt;$BS871))+COUNTIFS($B$500:$B871,"Yes",$BS$500:$BS871,$BS871))</f>
        <v>20</v>
      </c>
      <c r="B871" t="str">
        <f t="shared" si="187"/>
        <v>Yes</v>
      </c>
      <c r="C871" t="s">
        <v>2986</v>
      </c>
      <c r="D871" t="s">
        <v>2988</v>
      </c>
      <c r="E871" t="s">
        <v>3014</v>
      </c>
      <c r="F871" t="s">
        <v>4460</v>
      </c>
      <c r="G871" t="str">
        <f>IF($H871="","",IFERROR(INDEX(_ENGINE_Risk!$H$5:$M$499,MATCH($E871,_ENGINE_Risk!$A$5:$A$499,0),$H871+1),""))</f>
        <v>Severe risk: security evidence readiness for customers, regulators, insurers and partners is not reliably controlled. During Cyberattack; Data breach; Ransomware; Insider threat, the organization may face security incident, data breach, privilege misuse, privacy violation and regulatory exposure with limited visibility or accountability.</v>
      </c>
      <c r="H871">
        <f>IFERROR(VALUE(INDEX(_DATA_Assessment_Model!$H$5:$H$884,MATCH($E871,_DATA_Assessment_Model!$A$5:$A$884,0))),"")</f>
        <v>0</v>
      </c>
      <c r="I871" t="str">
        <f>IF($H871="","",IFERROR(INDEX(_DATA_Assessment_Model!$L$5:$L$884,MATCH($E871,_DATA_Assessment_Model!$A$5:$A$884,0)),IF($H871&lt;=1,"Critical",IF($H871=2,"High",IF($H871=3,"Medium",IF($H871=4,"Low","Resilient"))))))</f>
        <v>Critical</v>
      </c>
      <c r="J871">
        <f t="shared" si="188"/>
        <v>3.7</v>
      </c>
      <c r="K871">
        <f t="shared" si="189"/>
        <v>5</v>
      </c>
      <c r="L871">
        <f t="shared" si="190"/>
        <v>18.5</v>
      </c>
      <c r="M871">
        <f t="shared" si="191"/>
        <v>4</v>
      </c>
      <c r="N871">
        <f>IF($H871="","",IFERROR(INDEX(_ENGINE_Risk!$T$5:$Y$499,MATCH($E871,_ENGINE_Risk!$A$5:$A$499,0),$H871+1),""))</f>
        <v>4</v>
      </c>
      <c r="O871">
        <f t="shared" si="192"/>
        <v>4.666666666666667</v>
      </c>
      <c r="P871">
        <f t="shared" si="193"/>
        <v>5</v>
      </c>
      <c r="Q871">
        <f t="shared" si="194"/>
        <v>5</v>
      </c>
      <c r="R871">
        <f t="shared" si="195"/>
        <v>5</v>
      </c>
      <c r="S871">
        <f t="shared" si="196"/>
        <v>1.23</v>
      </c>
      <c r="T871" t="str">
        <f>IF($H871="","",IFERROR(INDEX(_ENGINE_Risk!$N$5:$S$499,MATCH($E871,_ENGINE_Risk!$A$5:$A$499,0),$H871+1),""))</f>
        <v>Create an immediate risk owner, minimum control baseline and fallback procedure for security evidence readiness for customers, regulators, insurers and partners. Add it to the crisis risk register and collect first evidence.</v>
      </c>
      <c r="U871">
        <f>IFERROR(INDEX(_DATA_Assessment_Model!$G$5:$G$884,MATCH($E871,_DATA_Assessment_Model!$A$5:$A$884,0)),"")</f>
        <v>4</v>
      </c>
      <c r="V871">
        <f>IFERROR(INDEX(_DATA_Assessment_Model!$W$5:$W$884,MATCH($E871,_DATA_Assessment_Model!$A$5:$A$884,0)),"")</f>
        <v>5</v>
      </c>
      <c r="W871">
        <f>IFERROR(INDEX(_DATA_Assessment_Model!$X$5:$X$884,MATCH($E871,_DATA_Assessment_Model!$A$5:$A$884,0)),"")</f>
        <v>5</v>
      </c>
      <c r="X871">
        <f>IFERROR(INDEX(_DATA_Assessment_Model!$Y$5:$Y$884,MATCH($E871,_DATA_Assessment_Model!$A$5:$A$884,0)),"")</f>
        <v>5</v>
      </c>
      <c r="Y871" t="s">
        <v>2999</v>
      </c>
      <c r="Z871" t="s">
        <v>9811</v>
      </c>
      <c r="AA871" t="s">
        <v>3016</v>
      </c>
      <c r="AB871">
        <f>IFERROR(INDEX(_DATA_Assessment_Model!$U$5:$U$884,MATCH($E871,_DATA_Assessment_Model!$A$5:$A$884,0)),"")</f>
        <v>0</v>
      </c>
      <c r="AF871" t="s">
        <v>3015</v>
      </c>
      <c r="AO871">
        <f>IF($B871="Yes",IF(IFERROR(INDEX(_ENGINE_Crisis!$F$501:$F$517,MATCH($C871,_ENGINE_Crisis!$A$501:$A$517,0)),1)=0,1,IFERROR(INDEX(_ENGINE_Crisis!$F$501:$F$517,MATCH($C871,_ENGINE_Crisis!$A$501:$A$517,0)),1)),"")</f>
        <v>1</v>
      </c>
      <c r="AP871">
        <f t="shared" si="197"/>
        <v>18.5</v>
      </c>
      <c r="AQ871">
        <f t="shared" si="198"/>
        <v>1.23</v>
      </c>
      <c r="AR871" t="str">
        <f>IFERROR(INDEX(_ENGINE_Crisis!$E$41:$E$700,MATCH('Resilience &amp; Risk Scenario'!$B$6&amp;"|"&amp;$C871,_ENGINE_Crisis!$I$41:$I$700,0)),"")</f>
        <v/>
      </c>
      <c r="AS871" t="str">
        <f>IFERROR(INDEX(_ENGINE_Crisis!$G$41:$G$700,MATCH('Resilience &amp; Risk Scenario'!$B$6&amp;"|"&amp;$C871,_ENGINE_Crisis!$I$41:$I$700,0)),"")</f>
        <v/>
      </c>
      <c r="AT871" t="str">
        <f>IFERROR(INDEX(_ENGINE_Initiatives!$A$5:$A$532,MATCH(1,INDEX((_ENGINE_Initiatives!$B$5:$B$532=$C871)*(_ENGINE_Initiatives!$C$5:$C$532=$D871),0),0)),"")</f>
        <v>INI-063</v>
      </c>
      <c r="AU871" t="str">
        <f>IFERROR(INDEX(_ENGINE_Initiatives!$F$5:$F$532,MATCH(1,INDEX((_ENGINE_Initiatives!$B$5:$B$532=$C871)*(_ENGINE_Initiatives!$C$5:$C$532=$D871),0),0)),"")</f>
        <v>Implement security governance and risk-management operating model</v>
      </c>
      <c r="AV871">
        <f>IFERROR(INDEX(_ENGINE_Initiatives!$AC$5:$AC$532,MATCH(1,INDEX((_ENGINE_Initiatives!$B$5:$B$532=$C871)*(_ENGINE_Initiatives!$C$5:$C$532=$D871),0),0)),"")</f>
        <v>1.39</v>
      </c>
      <c r="AW871" t="str">
        <f>IFERROR(INDEX(_ENGINE_Initiatives!$AE$5:$AE$532,MATCH(1,INDEX((_ENGINE_Initiatives!$B$5:$B$532=$C871)*(_ENGINE_Initiatives!$C$5:$C$532=$D871),0),0)),"")</f>
        <v>6-12 months</v>
      </c>
      <c r="AX871">
        <f>IF($B871="Yes",IFERROR((IF(SUMIFS(_REF_Model_Content!$E$1:$E$613,_REF_Model_Content!$A$1:$A$613,PV_Canonical_Industry,_REF_Model_Content!$B$1:$B$613,$C871)=0,1,SUMIFS(_REF_Model_Content!$E$1:$E$613,_REF_Model_Content!$A$1:$A$613,PV_Canonical_Industry,_REF_Model_Content!$B$1:$B$613,$C871))*IFERROR($BU871,1)),1),"")</f>
        <v>1</v>
      </c>
      <c r="AY871">
        <f t="shared" si="199"/>
        <v>18.5</v>
      </c>
      <c r="AZ871">
        <f t="shared" si="200"/>
        <v>1.23</v>
      </c>
      <c r="BB871" t="str">
        <f>IF($H871="","",IFERROR(INDEX(_ENGINE_Risk!$AE$5:$AE$499,MATCH($E871,_ENGINE_Risk!$A$5:$A$499,0)),"Medium"))</f>
        <v>Fast</v>
      </c>
      <c r="BC871">
        <f t="shared" si="201"/>
        <v>1.25</v>
      </c>
      <c r="BD871">
        <f t="shared" si="202"/>
        <v>1.23</v>
      </c>
      <c r="BF871">
        <f>IF(OR($H871="",$J871=""),"",IFERROR(VLOOKUP(ROUND($J871,0),_CONFIG_Model_Settings!$D$154:$E$158,2,0),""))</f>
        <v>0.5</v>
      </c>
      <c r="BG871">
        <f>IFERROR(IF(OR($H871="",$K871=""),"",ROUND('Company Profile'!$B$113*INDEX(_CONFIG_Model_Settings!$H$154:$H$158,MATCH(ROUND($K871,0),_CONFIG_Model_Settings!$G$154:$G$158,0)),0)),0)</f>
        <v>1875</v>
      </c>
      <c r="BH871">
        <f t="shared" si="203"/>
        <v>937.5</v>
      </c>
      <c r="BI871">
        <f t="shared" si="204"/>
        <v>937.5</v>
      </c>
      <c r="BJ871">
        <f>IF($E871="","",IFERROR(VLOOKUP($C871,_CONFIG_Risk_Calibration!$A$5:$H$21,2,FALSE),3))</f>
        <v>3</v>
      </c>
      <c r="BK871">
        <f>IF($E871="","",IFERROR(VLOOKUP($C871,_CONFIG_Risk_Calibration!$A$5:$H$21,3,FALSE),0))</f>
        <v>0</v>
      </c>
      <c r="BL871">
        <f>IF($E871="","",IFERROR(VLOOKUP($C871,_CONFIG_Risk_Calibration!$A$5:$H$21,4,FALSE),3))</f>
        <v>3</v>
      </c>
      <c r="BM871">
        <f>IF($E871="","",IFERROR(VLOOKUP($C871,_CONFIG_Risk_Calibration!$A$5:$H$21,5,FALSE),3))</f>
        <v>4</v>
      </c>
      <c r="BN871" t="str">
        <f>IF($E871="","",IFERROR(VLOOKUP($C871,_CONFIG_Risk_Calibration!$A$5:$H$21,6,FALSE),"No"))</f>
        <v>Yes</v>
      </c>
      <c r="BO871">
        <f>IF($E871="","",IFERROR(VLOOKUP($C871,_CONFIG_Risk_Calibration!$A$5:$H$21,7,FALSE),1))</f>
        <v>5</v>
      </c>
      <c r="BP871">
        <f>IF($H871="","",MAX(1,MIN(5,((6-$H871)*0.45)+($BJ871*0.2)+('Resilience &amp; Risk Scenario'!$B$7*0.15)+($BK871*0.1)+($BL871*0.05)+(IF($BB871="Fast",5,IF($BB871="Slow",1,3))*0.05))))</f>
        <v>3.7</v>
      </c>
      <c r="BQ871">
        <f t="shared" si="205"/>
        <v>5</v>
      </c>
      <c r="BR871">
        <f t="shared" si="206"/>
        <v>18.5</v>
      </c>
      <c r="BS871">
        <f t="shared" si="207"/>
        <v>25.44</v>
      </c>
      <c r="BT871" t="str">
        <f>IFERROR(INDEX(_REF_Capability_Bridge!$D:$D,MATCH($C871&amp;"|"&amp;$D871,_REF_Capability_Bridge!$J:$J,0)),IFERROR(INDEX(_REF_Capability_Bridge!$D:$D,MATCH($C871&amp;"|",_REF_Capability_Bridge!$J:$J,0)),"CAP_GENERIC"))</f>
        <v>CAP_CYBER_GOVERNANCE</v>
      </c>
      <c r="BU871">
        <f>IFERROR(IFERROR(INDEX(_ENGINE_Relevance!$L:$L,MATCH($BT871,_ENGINE_Relevance!$B:$B,0)),1),1)</f>
        <v>1</v>
      </c>
      <c r="BV871" t="str">
        <f>IFERROR(INDEX(_REF_Capability_Bridge!$A:$A,MATCH($C871&amp;"|"&amp;$D871,_REF_Capability_Bridge!$J:$J,0)),IFERROR(INDEX(_REF_Capability_Bridge!$A:$A,MATCH($C871&amp;"|",_REF_Capability_Bridge!$J:$J,0)),"No bridge"))</f>
        <v>BRG-017</v>
      </c>
      <c r="BW871" t="str">
        <f t="shared" si="208"/>
        <v>Capability relevance neutral</v>
      </c>
      <c r="BX871" t="str">
        <f t="shared" si="209"/>
        <v>Initial / absent</v>
      </c>
      <c r="BY871" t="str">
        <f>IF($E871="","",IFERROR(INDEX(_REF_Treatment_Library!$A$2:$A$296,MATCH(1,INDEX((_REF_Treatment_Library!$B$2:$B$296=$BT871)*(_REF_Treatment_Library!$C$2:$C$296=PV_Canonical_Industry)*(_REF_Treatment_Library!$E$2:$E$296&lt;=N($H871))*(_REF_Treatment_Library!$F$2:$F$296&gt;=N($H871))*(_REF_Treatment_Library!$O$2:$O$296="Yes"),0),0)),IFERROR(INDEX(_REF_Treatment_Library!$A$2:$A$296,MATCH(1,INDEX((_REF_Treatment_Library!$B$2:$B$296=$BT871)*(_REF_Treatment_Library!$C$2:$C$296="All")*(_REF_Treatment_Library!$E$2:$E$296&lt;=N($H871))*(_REF_Treatment_Library!$F$2:$F$296&gt;=N($H871))*(_REF_Treatment_Library!$O$2:$O$296="Yes"),0),0)),"")))</f>
        <v>TRT-CYBER_GOVERNANCE-INITIAL</v>
      </c>
      <c r="BZ871" t="str">
        <f>IF($BY871="","",IFERROR(INDEX(_REF_Treatment_Library!$H$2:$H$296,MATCH($BY871,_REF_Treatment_Library!$A$2:$A$296,0)),""))</f>
        <v>Establish</v>
      </c>
      <c r="CA871" t="str">
        <f>IF($BY871="","",IFERROR(INDEX(_REF_Treatment_Library!$I$2:$I$296,MATCH($BY871,_REF_Treatment_Library!$A$2:$A$296,0)),""))</f>
        <v>Establish baseline controls for Security governance</v>
      </c>
      <c r="CB871" t="str">
        <f>IF($BY871="","",IFERROR(INDEX(_REF_Treatment_Library!$K$2:$K$296,MATCH($BY871,_REF_Treatment_Library!$A$2:$A$296,0)),""))</f>
        <v>Named owner, baseline process, minimum control checklist, first evidence package</v>
      </c>
      <c r="CC871" t="str">
        <f>IF($BY871="","",IFERROR(INDEX(_REF_Treatment_Library!$L$2:$L$296,MATCH($BY871,_REF_Treatment_Library!$A$2:$A$296,0)),""))</f>
        <v>Owner assigned; baseline evidence coverage; open critical gaps</v>
      </c>
      <c r="CD871" t="str">
        <f t="shared" si="210"/>
        <v>Treatment by capability=CAP_CYBER_GOVERNANCE; band=Initial / absent; score=0.0; treatment=Establish</v>
      </c>
      <c r="CE871" t="str">
        <f>IF($E871="","",IFERROR(INDEX(_REF_Industry_Wording!$A$2:$A$70,MATCH(1,INDEX((_REF_Industry_Wording!$B$2:$B$70=$BT871)*(_REF_Industry_Wording!$C$2:$C$70=PV_Canonical_Industry)*(_REF_Industry_Wording!$K$2:$K$70="Yes"),0),0)),IFERROR(INDEX(_REF_Industry_Wording!$A$2:$A$70,MATCH(1,INDEX((_REF_Industry_Wording!$B$2:$B$70=$BT871)*(_REF_Industry_Wording!$C$2:$C$70="All")*(_REF_Industry_Wording!$K$2:$K$70="Yes"),0),0)),"")))</f>
        <v>IW-ALL-CYBER_GOVERNANCE</v>
      </c>
      <c r="CF871" t="str">
        <f>IF($CE871="","",IFERROR(INDEX(_REF_Industry_Wording!$E$2:$E$70,MATCH($CE871,_REF_Industry_Wording!$A$2:$A$70,0)),""))</f>
        <v>Security governance weakness</v>
      </c>
      <c r="CG871" t="str">
        <f>IF($CE871="","",IFERROR(INDEX(_REF_Industry_Wording!$F$2:$F$70,MATCH($CE871,_REF_Industry_Wording!$A$2:$A$70,0)),""))</f>
        <v>Strengthen Security governance</v>
      </c>
      <c r="CH871" t="str">
        <f>IF($CE871="","",IFERROR(INDEX(_REF_Industry_Wording!$G$2:$G$70,MATCH($CE871,_REF_Industry_Wording!$A$2:$A$70,0)),""))</f>
        <v>Strengthen Security governance using the selected maturity treatment, crisis scenario and evidence requirements.</v>
      </c>
      <c r="CI871" t="str">
        <f>IF($CE871="","",IFERROR(INDEX(_REF_Industry_Wording!$H$2:$H$70,MATCH($CE871,_REF_Industry_Wording!$A$2:$A$70,0)),""))</f>
        <v>Security governance</v>
      </c>
      <c r="CJ871">
        <f>IF($CE871="","",IFERROR(INDEX(_REF_Industry_Wording!$I$2:$I$70,MATCH($CE871,_REF_Industry_Wording!$A$2:$A$70,0)),""))</f>
        <v>0</v>
      </c>
      <c r="CK871" t="str">
        <f>IF($CE871="","",IFERROR(INDEX(_REF_Industry_Wording!$J$2:$J$70,MATCH($CE871,_REF_Industry_Wording!$A$2:$A$70,0)),""))</f>
        <v>Security governance</v>
      </c>
      <c r="CL871" t="str">
        <f t="shared" si="211"/>
        <v>Wording by industry=0; capability=CAP_CYBER_GOVERNANCE; risk label=Security governance weakness</v>
      </c>
      <c r="CM871" t="str">
        <f t="shared" si="212"/>
        <v>RISK-ONT-0372</v>
      </c>
      <c r="CN871" t="str">
        <f t="shared" si="213"/>
        <v>RISK-EVT-0372</v>
      </c>
      <c r="CO871" t="str">
        <f t="shared" si="214"/>
        <v>Cyber Privacy|Security governance|CYBE-004|CAP_CYBER_GOVERNANCE</v>
      </c>
      <c r="CP871" t="str">
        <f t="shared" si="215"/>
        <v>Active</v>
      </c>
      <c r="CQ871" t="str">
        <f t="shared" si="216"/>
        <v>OK: capability-driven</v>
      </c>
      <c r="CR871" t="str">
        <f t="shared" si="217"/>
        <v>Risk ontology uses capability=CAP_CYBER_GOVERNANCE; bridge=BRG-017; treatment=TRT-CYBER_GOVERNANCE-INITIAL; wording=IW-ALL-CYBER_GOVERNANCE</v>
      </c>
      <c r="CS871" t="str">
        <f t="shared" si="218"/>
        <v>Yes</v>
      </c>
    </row>
    <row r="872" spans="1:97" ht="69.900000000000006" customHeight="1">
      <c r="A872">
        <f>IF(OR($B872&lt;&gt;"Yes",$BS872=""),"",SUMPRODUCT(($B$500:$B$923="Yes")*ISNUMBER($BS$500:$BS$923)*($BS$500:$BS$923&gt;$BS872))+COUNTIFS($B$500:$B872,"Yes",$BS$500:$BS872,$BS872))</f>
        <v>21</v>
      </c>
      <c r="B872" t="str">
        <f t="shared" si="187"/>
        <v>Yes</v>
      </c>
      <c r="C872" t="s">
        <v>2986</v>
      </c>
      <c r="D872" t="s">
        <v>2988</v>
      </c>
      <c r="E872" t="s">
        <v>3024</v>
      </c>
      <c r="F872" t="s">
        <v>4460</v>
      </c>
      <c r="G872" t="str">
        <f>IF($H872="","",IFERROR(INDEX(_ENGINE_Risk!$H$5:$M$499,MATCH($E872,_ENGINE_Risk!$A$5:$A$499,0),$H872+1),""))</f>
        <v>Severe risk: third-party cyber risk assessment for critical vendors and outsourced services is not reliably controlled. During Cyberattack; Data breach; Ransomware; Insider threat, the organization may face security incident, data breach, privilege misuse, privacy violation and regulatory exposure with limited visibility or accountability.</v>
      </c>
      <c r="H872">
        <f>IFERROR(VALUE(INDEX(_DATA_Assessment_Model!$H$5:$H$884,MATCH($E872,_DATA_Assessment_Model!$A$5:$A$884,0))),"")</f>
        <v>0</v>
      </c>
      <c r="I872" t="str">
        <f>IF($H872="","",IFERROR(INDEX(_DATA_Assessment_Model!$L$5:$L$884,MATCH($E872,_DATA_Assessment_Model!$A$5:$A$884,0)),IF($H872&lt;=1,"Critical",IF($H872=2,"High",IF($H872=3,"Medium",IF($H872=4,"Low","Resilient"))))))</f>
        <v>Critical</v>
      </c>
      <c r="J872">
        <f t="shared" si="188"/>
        <v>3.7</v>
      </c>
      <c r="K872">
        <f t="shared" si="189"/>
        <v>5</v>
      </c>
      <c r="L872">
        <f t="shared" si="190"/>
        <v>18.5</v>
      </c>
      <c r="M872">
        <f t="shared" si="191"/>
        <v>4</v>
      </c>
      <c r="N872">
        <f>IF($H872="","",IFERROR(INDEX(_ENGINE_Risk!$T$5:$Y$499,MATCH($E872,_ENGINE_Risk!$A$5:$A$499,0),$H872+1),""))</f>
        <v>4</v>
      </c>
      <c r="O872">
        <f t="shared" si="192"/>
        <v>5</v>
      </c>
      <c r="P872">
        <f t="shared" si="193"/>
        <v>5</v>
      </c>
      <c r="Q872">
        <f t="shared" si="194"/>
        <v>5</v>
      </c>
      <c r="R872">
        <f t="shared" si="195"/>
        <v>5</v>
      </c>
      <c r="S872">
        <f t="shared" si="196"/>
        <v>1.25</v>
      </c>
      <c r="T872" t="str">
        <f>IF($H872="","",IFERROR(INDEX(_ENGINE_Risk!$N$5:$S$499,MATCH($E872,_ENGINE_Risk!$A$5:$A$499,0),$H872+1),""))</f>
        <v>Create an immediate risk owner, minimum control baseline and fallback procedure for third-party cyber risk assessment for critical vendors and outsourced services. Add it to the crisis risk register and collect first evidence.</v>
      </c>
      <c r="U872">
        <f>IFERROR(INDEX(_DATA_Assessment_Model!$G$5:$G$884,MATCH($E872,_DATA_Assessment_Model!$A$5:$A$884,0)),"")</f>
        <v>5</v>
      </c>
      <c r="V872">
        <f>IFERROR(INDEX(_DATA_Assessment_Model!$W$5:$W$884,MATCH($E872,_DATA_Assessment_Model!$A$5:$A$884,0)),"")</f>
        <v>5</v>
      </c>
      <c r="W872">
        <f>IFERROR(INDEX(_DATA_Assessment_Model!$X$5:$X$884,MATCH($E872,_DATA_Assessment_Model!$A$5:$A$884,0)),"")</f>
        <v>5</v>
      </c>
      <c r="X872">
        <f>IFERROR(INDEX(_DATA_Assessment_Model!$Y$5:$Y$884,MATCH($E872,_DATA_Assessment_Model!$A$5:$A$884,0)),"")</f>
        <v>5</v>
      </c>
      <c r="Y872" t="s">
        <v>2999</v>
      </c>
      <c r="Z872" t="s">
        <v>9811</v>
      </c>
      <c r="AA872" t="s">
        <v>3026</v>
      </c>
      <c r="AB872">
        <f>IFERROR(INDEX(_DATA_Assessment_Model!$U$5:$U$884,MATCH($E872,_DATA_Assessment_Model!$A$5:$A$884,0)),"")</f>
        <v>0</v>
      </c>
      <c r="AF872" t="s">
        <v>3025</v>
      </c>
      <c r="AO872">
        <f>IF($B872="Yes",IF(IFERROR(INDEX(_ENGINE_Crisis!$F$501:$F$517,MATCH($C872,_ENGINE_Crisis!$A$501:$A$517,0)),1)=0,1,IFERROR(INDEX(_ENGINE_Crisis!$F$501:$F$517,MATCH($C872,_ENGINE_Crisis!$A$501:$A$517,0)),1)),"")</f>
        <v>1</v>
      </c>
      <c r="AP872">
        <f t="shared" si="197"/>
        <v>18.5</v>
      </c>
      <c r="AQ872">
        <f t="shared" si="198"/>
        <v>1.25</v>
      </c>
      <c r="AR872" t="str">
        <f>IFERROR(INDEX(_ENGINE_Crisis!$E$41:$E$700,MATCH('Resilience &amp; Risk Scenario'!$B$6&amp;"|"&amp;$C872,_ENGINE_Crisis!$I$41:$I$700,0)),"")</f>
        <v/>
      </c>
      <c r="AS872" t="str">
        <f>IFERROR(INDEX(_ENGINE_Crisis!$G$41:$G$700,MATCH('Resilience &amp; Risk Scenario'!$B$6&amp;"|"&amp;$C872,_ENGINE_Crisis!$I$41:$I$700,0)),"")</f>
        <v/>
      </c>
      <c r="AT872" t="str">
        <f>IFERROR(INDEX(_ENGINE_Initiatives!$A$5:$A$532,MATCH(1,INDEX((_ENGINE_Initiatives!$B$5:$B$532=$C872)*(_ENGINE_Initiatives!$C$5:$C$532=$D872),0),0)),"")</f>
        <v>INI-063</v>
      </c>
      <c r="AU872" t="str">
        <f>IFERROR(INDEX(_ENGINE_Initiatives!$F$5:$F$532,MATCH(1,INDEX((_ENGINE_Initiatives!$B$5:$B$532=$C872)*(_ENGINE_Initiatives!$C$5:$C$532=$D872),0),0)),"")</f>
        <v>Implement security governance and risk-management operating model</v>
      </c>
      <c r="AV872">
        <f>IFERROR(INDEX(_ENGINE_Initiatives!$AC$5:$AC$532,MATCH(1,INDEX((_ENGINE_Initiatives!$B$5:$B$532=$C872)*(_ENGINE_Initiatives!$C$5:$C$532=$D872),0),0)),"")</f>
        <v>1.39</v>
      </c>
      <c r="AW872" t="str">
        <f>IFERROR(INDEX(_ENGINE_Initiatives!$AE$5:$AE$532,MATCH(1,INDEX((_ENGINE_Initiatives!$B$5:$B$532=$C872)*(_ENGINE_Initiatives!$C$5:$C$532=$D872),0),0)),"")</f>
        <v>6-12 months</v>
      </c>
      <c r="AX872">
        <f>IF($B872="Yes",IFERROR((IF(SUMIFS(_REF_Model_Content!$E$1:$E$613,_REF_Model_Content!$A$1:$A$613,PV_Canonical_Industry,_REF_Model_Content!$B$1:$B$613,$C872)=0,1,SUMIFS(_REF_Model_Content!$E$1:$E$613,_REF_Model_Content!$A$1:$A$613,PV_Canonical_Industry,_REF_Model_Content!$B$1:$B$613,$C872))*IFERROR($BU872,1)),1),"")</f>
        <v>1</v>
      </c>
      <c r="AY872">
        <f t="shared" si="199"/>
        <v>18.5</v>
      </c>
      <c r="AZ872">
        <f t="shared" si="200"/>
        <v>1.25</v>
      </c>
      <c r="BB872" t="str">
        <f>IF($H872="","",IFERROR(INDEX(_ENGINE_Risk!$AE$5:$AE$499,MATCH($E872,_ENGINE_Risk!$A$5:$A$499,0)),"Medium"))</f>
        <v>Fast</v>
      </c>
      <c r="BC872">
        <f t="shared" si="201"/>
        <v>1.25</v>
      </c>
      <c r="BD872">
        <f t="shared" si="202"/>
        <v>1.25</v>
      </c>
      <c r="BF872">
        <f>IF(OR($H872="",$J872=""),"",IFERROR(VLOOKUP(ROUND($J872,0),_CONFIG_Model_Settings!$D$154:$E$158,2,0),""))</f>
        <v>0.5</v>
      </c>
      <c r="BG872">
        <f>IFERROR(IF(OR($H872="",$K872=""),"",ROUND('Company Profile'!$B$113*INDEX(_CONFIG_Model_Settings!$H$154:$H$158,MATCH(ROUND($K872,0),_CONFIG_Model_Settings!$G$154:$G$158,0)),0)),0)</f>
        <v>1875</v>
      </c>
      <c r="BH872">
        <f t="shared" si="203"/>
        <v>937.5</v>
      </c>
      <c r="BI872">
        <f t="shared" si="204"/>
        <v>937.5</v>
      </c>
      <c r="BJ872">
        <f>IF($E872="","",IFERROR(VLOOKUP($C872,_CONFIG_Risk_Calibration!$A$5:$H$21,2,FALSE),3))</f>
        <v>3</v>
      </c>
      <c r="BK872">
        <f>IF($E872="","",IFERROR(VLOOKUP($C872,_CONFIG_Risk_Calibration!$A$5:$H$21,3,FALSE),0))</f>
        <v>0</v>
      </c>
      <c r="BL872">
        <f>IF($E872="","",IFERROR(VLOOKUP($C872,_CONFIG_Risk_Calibration!$A$5:$H$21,4,FALSE),3))</f>
        <v>3</v>
      </c>
      <c r="BM872">
        <f>IF($E872="","",IFERROR(VLOOKUP($C872,_CONFIG_Risk_Calibration!$A$5:$H$21,5,FALSE),3))</f>
        <v>4</v>
      </c>
      <c r="BN872" t="str">
        <f>IF($E872="","",IFERROR(VLOOKUP($C872,_CONFIG_Risk_Calibration!$A$5:$H$21,6,FALSE),"No"))</f>
        <v>Yes</v>
      </c>
      <c r="BO872">
        <f>IF($E872="","",IFERROR(VLOOKUP($C872,_CONFIG_Risk_Calibration!$A$5:$H$21,7,FALSE),1))</f>
        <v>5</v>
      </c>
      <c r="BP872">
        <f>IF($H872="","",MAX(1,MIN(5,((6-$H872)*0.45)+($BJ872*0.2)+('Resilience &amp; Risk Scenario'!$B$7*0.15)+($BK872*0.1)+($BL872*0.05)+(IF($BB872="Fast",5,IF($BB872="Slow",1,3))*0.05))))</f>
        <v>3.7</v>
      </c>
      <c r="BQ872">
        <f t="shared" si="205"/>
        <v>5</v>
      </c>
      <c r="BR872">
        <f t="shared" si="206"/>
        <v>18.5</v>
      </c>
      <c r="BS872">
        <f t="shared" si="207"/>
        <v>25.44</v>
      </c>
      <c r="BT872" t="str">
        <f>IFERROR(INDEX(_REF_Capability_Bridge!$D:$D,MATCH($C872&amp;"|"&amp;$D872,_REF_Capability_Bridge!$J:$J,0)),IFERROR(INDEX(_REF_Capability_Bridge!$D:$D,MATCH($C872&amp;"|",_REF_Capability_Bridge!$J:$J,0)),"CAP_GENERIC"))</f>
        <v>CAP_CYBER_GOVERNANCE</v>
      </c>
      <c r="BU872">
        <f>IFERROR(IFERROR(INDEX(_ENGINE_Relevance!$L:$L,MATCH($BT872,_ENGINE_Relevance!$B:$B,0)),1),1)</f>
        <v>1</v>
      </c>
      <c r="BV872" t="str">
        <f>IFERROR(INDEX(_REF_Capability_Bridge!$A:$A,MATCH($C872&amp;"|"&amp;$D872,_REF_Capability_Bridge!$J:$J,0)),IFERROR(INDEX(_REF_Capability_Bridge!$A:$A,MATCH($C872&amp;"|",_REF_Capability_Bridge!$J:$J,0)),"No bridge"))</f>
        <v>BRG-017</v>
      </c>
      <c r="BW872" t="str">
        <f t="shared" si="208"/>
        <v>Capability relevance neutral</v>
      </c>
      <c r="BX872" t="str">
        <f t="shared" si="209"/>
        <v>Initial / absent</v>
      </c>
      <c r="BY872" t="str">
        <f>IF($E872="","",IFERROR(INDEX(_REF_Treatment_Library!$A$2:$A$296,MATCH(1,INDEX((_REF_Treatment_Library!$B$2:$B$296=$BT872)*(_REF_Treatment_Library!$C$2:$C$296=PV_Canonical_Industry)*(_REF_Treatment_Library!$E$2:$E$296&lt;=N($H872))*(_REF_Treatment_Library!$F$2:$F$296&gt;=N($H872))*(_REF_Treatment_Library!$O$2:$O$296="Yes"),0),0)),IFERROR(INDEX(_REF_Treatment_Library!$A$2:$A$296,MATCH(1,INDEX((_REF_Treatment_Library!$B$2:$B$296=$BT872)*(_REF_Treatment_Library!$C$2:$C$296="All")*(_REF_Treatment_Library!$E$2:$E$296&lt;=N($H872))*(_REF_Treatment_Library!$F$2:$F$296&gt;=N($H872))*(_REF_Treatment_Library!$O$2:$O$296="Yes"),0),0)),"")))</f>
        <v>TRT-CYBER_GOVERNANCE-INITIAL</v>
      </c>
      <c r="BZ872" t="str">
        <f>IF($BY872="","",IFERROR(INDEX(_REF_Treatment_Library!$H$2:$H$296,MATCH($BY872,_REF_Treatment_Library!$A$2:$A$296,0)),""))</f>
        <v>Establish</v>
      </c>
      <c r="CA872" t="str">
        <f>IF($BY872="","",IFERROR(INDEX(_REF_Treatment_Library!$I$2:$I$296,MATCH($BY872,_REF_Treatment_Library!$A$2:$A$296,0)),""))</f>
        <v>Establish baseline controls for Security governance</v>
      </c>
      <c r="CB872" t="str">
        <f>IF($BY872="","",IFERROR(INDEX(_REF_Treatment_Library!$K$2:$K$296,MATCH($BY872,_REF_Treatment_Library!$A$2:$A$296,0)),""))</f>
        <v>Named owner, baseline process, minimum control checklist, first evidence package</v>
      </c>
      <c r="CC872" t="str">
        <f>IF($BY872="","",IFERROR(INDEX(_REF_Treatment_Library!$L$2:$L$296,MATCH($BY872,_REF_Treatment_Library!$A$2:$A$296,0)),""))</f>
        <v>Owner assigned; baseline evidence coverage; open critical gaps</v>
      </c>
      <c r="CD872" t="str">
        <f t="shared" si="210"/>
        <v>Treatment by capability=CAP_CYBER_GOVERNANCE; band=Initial / absent; score=0.0; treatment=Establish</v>
      </c>
      <c r="CE872" t="str">
        <f>IF($E872="","",IFERROR(INDEX(_REF_Industry_Wording!$A$2:$A$70,MATCH(1,INDEX((_REF_Industry_Wording!$B$2:$B$70=$BT872)*(_REF_Industry_Wording!$C$2:$C$70=PV_Canonical_Industry)*(_REF_Industry_Wording!$K$2:$K$70="Yes"),0),0)),IFERROR(INDEX(_REF_Industry_Wording!$A$2:$A$70,MATCH(1,INDEX((_REF_Industry_Wording!$B$2:$B$70=$BT872)*(_REF_Industry_Wording!$C$2:$C$70="All")*(_REF_Industry_Wording!$K$2:$K$70="Yes"),0),0)),"")))</f>
        <v>IW-ALL-CYBER_GOVERNANCE</v>
      </c>
      <c r="CF872" t="str">
        <f>IF($CE872="","",IFERROR(INDEX(_REF_Industry_Wording!$E$2:$E$70,MATCH($CE872,_REF_Industry_Wording!$A$2:$A$70,0)),""))</f>
        <v>Security governance weakness</v>
      </c>
      <c r="CG872" t="str">
        <f>IF($CE872="","",IFERROR(INDEX(_REF_Industry_Wording!$F$2:$F$70,MATCH($CE872,_REF_Industry_Wording!$A$2:$A$70,0)),""))</f>
        <v>Strengthen Security governance</v>
      </c>
      <c r="CH872" t="str">
        <f>IF($CE872="","",IFERROR(INDEX(_REF_Industry_Wording!$G$2:$G$70,MATCH($CE872,_REF_Industry_Wording!$A$2:$A$70,0)),""))</f>
        <v>Strengthen Security governance using the selected maturity treatment, crisis scenario and evidence requirements.</v>
      </c>
      <c r="CI872" t="str">
        <f>IF($CE872="","",IFERROR(INDEX(_REF_Industry_Wording!$H$2:$H$70,MATCH($CE872,_REF_Industry_Wording!$A$2:$A$70,0)),""))</f>
        <v>Security governance</v>
      </c>
      <c r="CJ872">
        <f>IF($CE872="","",IFERROR(INDEX(_REF_Industry_Wording!$I$2:$I$70,MATCH($CE872,_REF_Industry_Wording!$A$2:$A$70,0)),""))</f>
        <v>0</v>
      </c>
      <c r="CK872" t="str">
        <f>IF($CE872="","",IFERROR(INDEX(_REF_Industry_Wording!$J$2:$J$70,MATCH($CE872,_REF_Industry_Wording!$A$2:$A$70,0)),""))</f>
        <v>Security governance</v>
      </c>
      <c r="CL872" t="str">
        <f t="shared" si="211"/>
        <v>Wording by industry=0; capability=CAP_CYBER_GOVERNANCE; risk label=Security governance weakness</v>
      </c>
      <c r="CM872" t="str">
        <f t="shared" si="212"/>
        <v>RISK-ONT-0373</v>
      </c>
      <c r="CN872" t="str">
        <f t="shared" si="213"/>
        <v>RISK-EVT-0373</v>
      </c>
      <c r="CO872" t="str">
        <f t="shared" si="214"/>
        <v>Cyber Privacy|Security governance|CYBE-005|CAP_CYBER_GOVERNANCE</v>
      </c>
      <c r="CP872" t="str">
        <f t="shared" si="215"/>
        <v>Active</v>
      </c>
      <c r="CQ872" t="str">
        <f t="shared" si="216"/>
        <v>OK: capability-driven</v>
      </c>
      <c r="CR872" t="str">
        <f t="shared" si="217"/>
        <v>Risk ontology uses capability=CAP_CYBER_GOVERNANCE; bridge=BRG-017; treatment=TRT-CYBER_GOVERNANCE-INITIAL; wording=IW-ALL-CYBER_GOVERNANCE</v>
      </c>
      <c r="CS872" t="str">
        <f t="shared" si="218"/>
        <v>Yes</v>
      </c>
    </row>
    <row r="873" spans="1:97" ht="69.900000000000006" customHeight="1">
      <c r="A873">
        <f>IF(OR($B873&lt;&gt;"Yes",$BS873=""),"",SUMPRODUCT(($B$500:$B$923="Yes")*ISNUMBER($BS$500:$BS$923)*($BS$500:$BS$923&gt;$BS873))+COUNTIFS($B$500:$B873,"Yes",$BS$500:$BS873,$BS873))</f>
        <v>22</v>
      </c>
      <c r="B873" t="str">
        <f t="shared" si="187"/>
        <v>Yes</v>
      </c>
      <c r="C873" t="s">
        <v>2986</v>
      </c>
      <c r="D873" t="s">
        <v>2988</v>
      </c>
      <c r="E873" t="s">
        <v>3028</v>
      </c>
      <c r="F873" t="s">
        <v>4460</v>
      </c>
      <c r="G873" t="str">
        <f>IF($H873="","",IFERROR(INDEX(_ENGINE_Risk!$H$5:$M$499,MATCH($E873,_ENGINE_Risk!$A$5:$A$499,0),$H873+1),""))</f>
        <v>Severe risk: security awareness and phishing training for employees and contractors is not reliably controlled. During Cyberattack; Data breach; Ransomware; Insider threat, the organization may face security incident, data breach, privilege misuse, privacy violation and regulatory exposure with limited visibility or accountability.</v>
      </c>
      <c r="H873">
        <f>IFERROR(VALUE(INDEX(_DATA_Assessment_Model!$H$5:$H$884,MATCH($E873,_DATA_Assessment_Model!$A$5:$A$884,0))),"")</f>
        <v>0</v>
      </c>
      <c r="I873" t="str">
        <f>IF($H873="","",IFERROR(INDEX(_DATA_Assessment_Model!$L$5:$L$884,MATCH($E873,_DATA_Assessment_Model!$A$5:$A$884,0)),IF($H873&lt;=1,"Critical",IF($H873=2,"High",IF($H873=3,"Medium",IF($H873=4,"Low","Resilient"))))))</f>
        <v>Critical</v>
      </c>
      <c r="J873">
        <f t="shared" si="188"/>
        <v>3.7</v>
      </c>
      <c r="K873">
        <f t="shared" si="189"/>
        <v>5</v>
      </c>
      <c r="L873">
        <f t="shared" si="190"/>
        <v>18.5</v>
      </c>
      <c r="M873">
        <f t="shared" si="191"/>
        <v>4</v>
      </c>
      <c r="N873">
        <f>IF($H873="","",IFERROR(INDEX(_ENGINE_Risk!$T$5:$Y$499,MATCH($E873,_ENGINE_Risk!$A$5:$A$499,0),$H873+1),""))</f>
        <v>4</v>
      </c>
      <c r="O873">
        <f t="shared" si="192"/>
        <v>4.666666666666667</v>
      </c>
      <c r="P873">
        <f t="shared" si="193"/>
        <v>5</v>
      </c>
      <c r="Q873">
        <f t="shared" si="194"/>
        <v>5</v>
      </c>
      <c r="R873">
        <f t="shared" si="195"/>
        <v>5</v>
      </c>
      <c r="S873">
        <f t="shared" si="196"/>
        <v>1.23</v>
      </c>
      <c r="T873" t="str">
        <f>IF($H873="","",IFERROR(INDEX(_ENGINE_Risk!$N$5:$S$499,MATCH($E873,_ENGINE_Risk!$A$5:$A$499,0),$H873+1),""))</f>
        <v>Create an immediate risk owner, minimum control baseline and fallback procedure for security awareness and phishing training for employees and contractors. Add it to the crisis risk register and collect first evidence.</v>
      </c>
      <c r="U873">
        <f>IFERROR(INDEX(_DATA_Assessment_Model!$G$5:$G$884,MATCH($E873,_DATA_Assessment_Model!$A$5:$A$884,0)),"")</f>
        <v>4</v>
      </c>
      <c r="V873">
        <f>IFERROR(INDEX(_DATA_Assessment_Model!$W$5:$W$884,MATCH($E873,_DATA_Assessment_Model!$A$5:$A$884,0)),"")</f>
        <v>5</v>
      </c>
      <c r="W873">
        <f>IFERROR(INDEX(_DATA_Assessment_Model!$X$5:$X$884,MATCH($E873,_DATA_Assessment_Model!$A$5:$A$884,0)),"")</f>
        <v>5</v>
      </c>
      <c r="X873">
        <f>IFERROR(INDEX(_DATA_Assessment_Model!$Y$5:$Y$884,MATCH($E873,_DATA_Assessment_Model!$A$5:$A$884,0)),"")</f>
        <v>5</v>
      </c>
      <c r="Y873" t="s">
        <v>2999</v>
      </c>
      <c r="Z873" t="s">
        <v>9811</v>
      </c>
      <c r="AA873" t="s">
        <v>3030</v>
      </c>
      <c r="AB873">
        <f>IFERROR(INDEX(_DATA_Assessment_Model!$U$5:$U$884,MATCH($E873,_DATA_Assessment_Model!$A$5:$A$884,0)),"")</f>
        <v>0</v>
      </c>
      <c r="AF873" t="s">
        <v>3029</v>
      </c>
      <c r="AO873">
        <f>IF($B873="Yes",IF(IFERROR(INDEX(_ENGINE_Crisis!$F$501:$F$517,MATCH($C873,_ENGINE_Crisis!$A$501:$A$517,0)),1)=0,1,IFERROR(INDEX(_ENGINE_Crisis!$F$501:$F$517,MATCH($C873,_ENGINE_Crisis!$A$501:$A$517,0)),1)),"")</f>
        <v>1</v>
      </c>
      <c r="AP873">
        <f t="shared" si="197"/>
        <v>18.5</v>
      </c>
      <c r="AQ873">
        <f t="shared" si="198"/>
        <v>1.23</v>
      </c>
      <c r="AR873" t="str">
        <f>IFERROR(INDEX(_ENGINE_Crisis!$E$41:$E$700,MATCH('Resilience &amp; Risk Scenario'!$B$6&amp;"|"&amp;$C873,_ENGINE_Crisis!$I$41:$I$700,0)),"")</f>
        <v/>
      </c>
      <c r="AS873" t="str">
        <f>IFERROR(INDEX(_ENGINE_Crisis!$G$41:$G$700,MATCH('Resilience &amp; Risk Scenario'!$B$6&amp;"|"&amp;$C873,_ENGINE_Crisis!$I$41:$I$700,0)),"")</f>
        <v/>
      </c>
      <c r="AT873" t="str">
        <f>IFERROR(INDEX(_ENGINE_Initiatives!$A$5:$A$532,MATCH(1,INDEX((_ENGINE_Initiatives!$B$5:$B$532=$C873)*(_ENGINE_Initiatives!$C$5:$C$532=$D873),0),0)),"")</f>
        <v>INI-063</v>
      </c>
      <c r="AU873" t="str">
        <f>IFERROR(INDEX(_ENGINE_Initiatives!$F$5:$F$532,MATCH(1,INDEX((_ENGINE_Initiatives!$B$5:$B$532=$C873)*(_ENGINE_Initiatives!$C$5:$C$532=$D873),0),0)),"")</f>
        <v>Implement security governance and risk-management operating model</v>
      </c>
      <c r="AV873">
        <f>IFERROR(INDEX(_ENGINE_Initiatives!$AC$5:$AC$532,MATCH(1,INDEX((_ENGINE_Initiatives!$B$5:$B$532=$C873)*(_ENGINE_Initiatives!$C$5:$C$532=$D873),0),0)),"")</f>
        <v>1.39</v>
      </c>
      <c r="AW873" t="str">
        <f>IFERROR(INDEX(_ENGINE_Initiatives!$AE$5:$AE$532,MATCH(1,INDEX((_ENGINE_Initiatives!$B$5:$B$532=$C873)*(_ENGINE_Initiatives!$C$5:$C$532=$D873),0),0)),"")</f>
        <v>6-12 months</v>
      </c>
      <c r="AX873">
        <f>IF($B873="Yes",IFERROR((IF(SUMIFS(_REF_Model_Content!$E$1:$E$613,_REF_Model_Content!$A$1:$A$613,PV_Canonical_Industry,_REF_Model_Content!$B$1:$B$613,$C873)=0,1,SUMIFS(_REF_Model_Content!$E$1:$E$613,_REF_Model_Content!$A$1:$A$613,PV_Canonical_Industry,_REF_Model_Content!$B$1:$B$613,$C873))*IFERROR($BU873,1)),1),"")</f>
        <v>1</v>
      </c>
      <c r="AY873">
        <f t="shared" si="199"/>
        <v>18.5</v>
      </c>
      <c r="AZ873">
        <f t="shared" si="200"/>
        <v>1.23</v>
      </c>
      <c r="BB873" t="str">
        <f>IF($H873="","",IFERROR(INDEX(_ENGINE_Risk!$AE$5:$AE$499,MATCH($E873,_ENGINE_Risk!$A$5:$A$499,0)),"Medium"))</f>
        <v>Fast</v>
      </c>
      <c r="BC873">
        <f t="shared" si="201"/>
        <v>1.25</v>
      </c>
      <c r="BD873">
        <f t="shared" si="202"/>
        <v>1.23</v>
      </c>
      <c r="BF873">
        <f>IF(OR($H873="",$J873=""),"",IFERROR(VLOOKUP(ROUND($J873,0),_CONFIG_Model_Settings!$D$154:$E$158,2,0),""))</f>
        <v>0.5</v>
      </c>
      <c r="BG873">
        <f>IFERROR(IF(OR($H873="",$K873=""),"",ROUND('Company Profile'!$B$113*INDEX(_CONFIG_Model_Settings!$H$154:$H$158,MATCH(ROUND($K873,0),_CONFIG_Model_Settings!$G$154:$G$158,0)),0)),0)</f>
        <v>1875</v>
      </c>
      <c r="BH873">
        <f t="shared" si="203"/>
        <v>937.5</v>
      </c>
      <c r="BI873">
        <f t="shared" si="204"/>
        <v>937.5</v>
      </c>
      <c r="BJ873">
        <f>IF($E873="","",IFERROR(VLOOKUP($C873,_CONFIG_Risk_Calibration!$A$5:$H$21,2,FALSE),3))</f>
        <v>3</v>
      </c>
      <c r="BK873">
        <f>IF($E873="","",IFERROR(VLOOKUP($C873,_CONFIG_Risk_Calibration!$A$5:$H$21,3,FALSE),0))</f>
        <v>0</v>
      </c>
      <c r="BL873">
        <f>IF($E873="","",IFERROR(VLOOKUP($C873,_CONFIG_Risk_Calibration!$A$5:$H$21,4,FALSE),3))</f>
        <v>3</v>
      </c>
      <c r="BM873">
        <f>IF($E873="","",IFERROR(VLOOKUP($C873,_CONFIG_Risk_Calibration!$A$5:$H$21,5,FALSE),3))</f>
        <v>4</v>
      </c>
      <c r="BN873" t="str">
        <f>IF($E873="","",IFERROR(VLOOKUP($C873,_CONFIG_Risk_Calibration!$A$5:$H$21,6,FALSE),"No"))</f>
        <v>Yes</v>
      </c>
      <c r="BO873">
        <f>IF($E873="","",IFERROR(VLOOKUP($C873,_CONFIG_Risk_Calibration!$A$5:$H$21,7,FALSE),1))</f>
        <v>5</v>
      </c>
      <c r="BP873">
        <f>IF($H873="","",MAX(1,MIN(5,((6-$H873)*0.45)+($BJ873*0.2)+('Resilience &amp; Risk Scenario'!$B$7*0.15)+($BK873*0.1)+($BL873*0.05)+(IF($BB873="Fast",5,IF($BB873="Slow",1,3))*0.05))))</f>
        <v>3.7</v>
      </c>
      <c r="BQ873">
        <f t="shared" si="205"/>
        <v>5</v>
      </c>
      <c r="BR873">
        <f t="shared" si="206"/>
        <v>18.5</v>
      </c>
      <c r="BS873">
        <f t="shared" si="207"/>
        <v>25.44</v>
      </c>
      <c r="BT873" t="str">
        <f>IFERROR(INDEX(_REF_Capability_Bridge!$D:$D,MATCH($C873&amp;"|"&amp;$D873,_REF_Capability_Bridge!$J:$J,0)),IFERROR(INDEX(_REF_Capability_Bridge!$D:$D,MATCH($C873&amp;"|",_REF_Capability_Bridge!$J:$J,0)),"CAP_GENERIC"))</f>
        <v>CAP_CYBER_GOVERNANCE</v>
      </c>
      <c r="BU873">
        <f>IFERROR(IFERROR(INDEX(_ENGINE_Relevance!$L:$L,MATCH($BT873,_ENGINE_Relevance!$B:$B,0)),1),1)</f>
        <v>1</v>
      </c>
      <c r="BV873" t="str">
        <f>IFERROR(INDEX(_REF_Capability_Bridge!$A:$A,MATCH($C873&amp;"|"&amp;$D873,_REF_Capability_Bridge!$J:$J,0)),IFERROR(INDEX(_REF_Capability_Bridge!$A:$A,MATCH($C873&amp;"|",_REF_Capability_Bridge!$J:$J,0)),"No bridge"))</f>
        <v>BRG-017</v>
      </c>
      <c r="BW873" t="str">
        <f t="shared" si="208"/>
        <v>Capability relevance neutral</v>
      </c>
      <c r="BX873" t="str">
        <f t="shared" si="209"/>
        <v>Initial / absent</v>
      </c>
      <c r="BY873" t="str">
        <f>IF($E873="","",IFERROR(INDEX(_REF_Treatment_Library!$A$2:$A$296,MATCH(1,INDEX((_REF_Treatment_Library!$B$2:$B$296=$BT873)*(_REF_Treatment_Library!$C$2:$C$296=PV_Canonical_Industry)*(_REF_Treatment_Library!$E$2:$E$296&lt;=N($H873))*(_REF_Treatment_Library!$F$2:$F$296&gt;=N($H873))*(_REF_Treatment_Library!$O$2:$O$296="Yes"),0),0)),IFERROR(INDEX(_REF_Treatment_Library!$A$2:$A$296,MATCH(1,INDEX((_REF_Treatment_Library!$B$2:$B$296=$BT873)*(_REF_Treatment_Library!$C$2:$C$296="All")*(_REF_Treatment_Library!$E$2:$E$296&lt;=N($H873))*(_REF_Treatment_Library!$F$2:$F$296&gt;=N($H873))*(_REF_Treatment_Library!$O$2:$O$296="Yes"),0),0)),"")))</f>
        <v>TRT-CYBER_GOVERNANCE-INITIAL</v>
      </c>
      <c r="BZ873" t="str">
        <f>IF($BY873="","",IFERROR(INDEX(_REF_Treatment_Library!$H$2:$H$296,MATCH($BY873,_REF_Treatment_Library!$A$2:$A$296,0)),""))</f>
        <v>Establish</v>
      </c>
      <c r="CA873" t="str">
        <f>IF($BY873="","",IFERROR(INDEX(_REF_Treatment_Library!$I$2:$I$296,MATCH($BY873,_REF_Treatment_Library!$A$2:$A$296,0)),""))</f>
        <v>Establish baseline controls for Security governance</v>
      </c>
      <c r="CB873" t="str">
        <f>IF($BY873="","",IFERROR(INDEX(_REF_Treatment_Library!$K$2:$K$296,MATCH($BY873,_REF_Treatment_Library!$A$2:$A$296,0)),""))</f>
        <v>Named owner, baseline process, minimum control checklist, first evidence package</v>
      </c>
      <c r="CC873" t="str">
        <f>IF($BY873="","",IFERROR(INDEX(_REF_Treatment_Library!$L$2:$L$296,MATCH($BY873,_REF_Treatment_Library!$A$2:$A$296,0)),""))</f>
        <v>Owner assigned; baseline evidence coverage; open critical gaps</v>
      </c>
      <c r="CD873" t="str">
        <f t="shared" si="210"/>
        <v>Treatment by capability=CAP_CYBER_GOVERNANCE; band=Initial / absent; score=0.0; treatment=Establish</v>
      </c>
      <c r="CE873" t="str">
        <f>IF($E873="","",IFERROR(INDEX(_REF_Industry_Wording!$A$2:$A$70,MATCH(1,INDEX((_REF_Industry_Wording!$B$2:$B$70=$BT873)*(_REF_Industry_Wording!$C$2:$C$70=PV_Canonical_Industry)*(_REF_Industry_Wording!$K$2:$K$70="Yes"),0),0)),IFERROR(INDEX(_REF_Industry_Wording!$A$2:$A$70,MATCH(1,INDEX((_REF_Industry_Wording!$B$2:$B$70=$BT873)*(_REF_Industry_Wording!$C$2:$C$70="All")*(_REF_Industry_Wording!$K$2:$K$70="Yes"),0),0)),"")))</f>
        <v>IW-ALL-CYBER_GOVERNANCE</v>
      </c>
      <c r="CF873" t="str">
        <f>IF($CE873="","",IFERROR(INDEX(_REF_Industry_Wording!$E$2:$E$70,MATCH($CE873,_REF_Industry_Wording!$A$2:$A$70,0)),""))</f>
        <v>Security governance weakness</v>
      </c>
      <c r="CG873" t="str">
        <f>IF($CE873="","",IFERROR(INDEX(_REF_Industry_Wording!$F$2:$F$70,MATCH($CE873,_REF_Industry_Wording!$A$2:$A$70,0)),""))</f>
        <v>Strengthen Security governance</v>
      </c>
      <c r="CH873" t="str">
        <f>IF($CE873="","",IFERROR(INDEX(_REF_Industry_Wording!$G$2:$G$70,MATCH($CE873,_REF_Industry_Wording!$A$2:$A$70,0)),""))</f>
        <v>Strengthen Security governance using the selected maturity treatment, crisis scenario and evidence requirements.</v>
      </c>
      <c r="CI873" t="str">
        <f>IF($CE873="","",IFERROR(INDEX(_REF_Industry_Wording!$H$2:$H$70,MATCH($CE873,_REF_Industry_Wording!$A$2:$A$70,0)),""))</f>
        <v>Security governance</v>
      </c>
      <c r="CJ873">
        <f>IF($CE873="","",IFERROR(INDEX(_REF_Industry_Wording!$I$2:$I$70,MATCH($CE873,_REF_Industry_Wording!$A$2:$A$70,0)),""))</f>
        <v>0</v>
      </c>
      <c r="CK873" t="str">
        <f>IF($CE873="","",IFERROR(INDEX(_REF_Industry_Wording!$J$2:$J$70,MATCH($CE873,_REF_Industry_Wording!$A$2:$A$70,0)),""))</f>
        <v>Security governance</v>
      </c>
      <c r="CL873" t="str">
        <f t="shared" si="211"/>
        <v>Wording by industry=0; capability=CAP_CYBER_GOVERNANCE; risk label=Security governance weakness</v>
      </c>
      <c r="CM873" t="str">
        <f t="shared" si="212"/>
        <v>RISK-ONT-0374</v>
      </c>
      <c r="CN873" t="str">
        <f t="shared" si="213"/>
        <v>RISK-EVT-0374</v>
      </c>
      <c r="CO873" t="str">
        <f t="shared" si="214"/>
        <v>Cyber Privacy|Security governance|CYBE-006|CAP_CYBER_GOVERNANCE</v>
      </c>
      <c r="CP873" t="str">
        <f t="shared" si="215"/>
        <v>Active</v>
      </c>
      <c r="CQ873" t="str">
        <f t="shared" si="216"/>
        <v>OK: capability-driven</v>
      </c>
      <c r="CR873" t="str">
        <f t="shared" si="217"/>
        <v>Risk ontology uses capability=CAP_CYBER_GOVERNANCE; bridge=BRG-017; treatment=TRT-CYBER_GOVERNANCE-INITIAL; wording=IW-ALL-CYBER_GOVERNANCE</v>
      </c>
      <c r="CS873" t="str">
        <f t="shared" si="218"/>
        <v>Yes</v>
      </c>
    </row>
    <row r="874" spans="1:97" ht="69.900000000000006" customHeight="1">
      <c r="A874">
        <f>IF(OR($B874&lt;&gt;"Yes",$BS874=""),"",SUMPRODUCT(($B$500:$B$923="Yes")*ISNUMBER($BS$500:$BS$923)*($BS$500:$BS$923&gt;$BS874))+COUNTIFS($B$500:$B874,"Yes",$BS$500:$BS874,$BS874))</f>
        <v>23</v>
      </c>
      <c r="B874" t="str">
        <f t="shared" si="187"/>
        <v>Yes</v>
      </c>
      <c r="C874" t="s">
        <v>2986</v>
      </c>
      <c r="D874" t="s">
        <v>3003</v>
      </c>
      <c r="E874" t="s">
        <v>3032</v>
      </c>
      <c r="F874" t="s">
        <v>4460</v>
      </c>
      <c r="G874" t="str">
        <f>IF($H874="","",IFERROR(INDEX(_ENGINE_Risk!$H$5:$M$499,MATCH($E874,_ENGINE_Risk!$A$5:$A$499,0),$H874+1),""))</f>
        <v>Severe risk: joiner-mover-leaver access lifecycle across systems, SaaS and physical access is not reliably controlled. During Cyberattack; Data breach; Ransomware; Insider threat, the organization may face security incident, data breach, privilege misuse, privacy violation and regulatory exposure with limited visibility or accountability.</v>
      </c>
      <c r="H874">
        <f>IFERROR(VALUE(INDEX(_DATA_Assessment_Model!$H$5:$H$884,MATCH($E874,_DATA_Assessment_Model!$A$5:$A$884,0))),"")</f>
        <v>0</v>
      </c>
      <c r="I874" t="str">
        <f>IF($H874="","",IFERROR(INDEX(_DATA_Assessment_Model!$L$5:$L$884,MATCH($E874,_DATA_Assessment_Model!$A$5:$A$884,0)),IF($H874&lt;=1,"Critical",IF($H874=2,"High",IF($H874=3,"Medium",IF($H874=4,"Low","Resilient"))))))</f>
        <v>Critical</v>
      </c>
      <c r="J874">
        <f t="shared" si="188"/>
        <v>3.7</v>
      </c>
      <c r="K874">
        <f t="shared" si="189"/>
        <v>5</v>
      </c>
      <c r="L874">
        <f t="shared" si="190"/>
        <v>18.5</v>
      </c>
      <c r="M874">
        <f t="shared" si="191"/>
        <v>4</v>
      </c>
      <c r="N874">
        <f>IF($H874="","",IFERROR(INDEX(_ENGINE_Risk!$T$5:$Y$499,MATCH($E874,_ENGINE_Risk!$A$5:$A$499,0),$H874+1),""))</f>
        <v>4</v>
      </c>
      <c r="O874">
        <f t="shared" si="192"/>
        <v>4.666666666666667</v>
      </c>
      <c r="P874">
        <f t="shared" si="193"/>
        <v>5</v>
      </c>
      <c r="Q874">
        <f t="shared" si="194"/>
        <v>5</v>
      </c>
      <c r="R874">
        <f t="shared" si="195"/>
        <v>5</v>
      </c>
      <c r="S874">
        <f t="shared" si="196"/>
        <v>1.23</v>
      </c>
      <c r="T874" t="str">
        <f>IF($H874="","",IFERROR(INDEX(_ENGINE_Risk!$N$5:$S$499,MATCH($E874,_ENGINE_Risk!$A$5:$A$499,0),$H874+1),""))</f>
        <v>Create an immediate risk owner, minimum control baseline and fallback procedure for joiner-mover-leaver access lifecycle across systems, SaaS and physical access. Add it to the crisis risk register and collect first evidence.</v>
      </c>
      <c r="U874">
        <f>IFERROR(INDEX(_DATA_Assessment_Model!$G$5:$G$884,MATCH($E874,_DATA_Assessment_Model!$A$5:$A$884,0)),"")</f>
        <v>4</v>
      </c>
      <c r="V874">
        <f>IFERROR(INDEX(_DATA_Assessment_Model!$W$5:$W$884,MATCH($E874,_DATA_Assessment_Model!$A$5:$A$884,0)),"")</f>
        <v>5</v>
      </c>
      <c r="W874">
        <f>IFERROR(INDEX(_DATA_Assessment_Model!$X$5:$X$884,MATCH($E874,_DATA_Assessment_Model!$A$5:$A$884,0)),"")</f>
        <v>5</v>
      </c>
      <c r="X874">
        <f>IFERROR(INDEX(_DATA_Assessment_Model!$Y$5:$Y$884,MATCH($E874,_DATA_Assessment_Model!$A$5:$A$884,0)),"")</f>
        <v>5</v>
      </c>
      <c r="Y874" t="s">
        <v>2999</v>
      </c>
      <c r="Z874" t="s">
        <v>9811</v>
      </c>
      <c r="AA874" t="s">
        <v>3034</v>
      </c>
      <c r="AB874">
        <f>IFERROR(INDEX(_DATA_Assessment_Model!$U$5:$U$884,MATCH($E874,_DATA_Assessment_Model!$A$5:$A$884,0)),"")</f>
        <v>0</v>
      </c>
      <c r="AF874" t="s">
        <v>3033</v>
      </c>
      <c r="AO874">
        <f>IF($B874="Yes",IF(IFERROR(INDEX(_ENGINE_Crisis!$F$501:$F$517,MATCH($C874,_ENGINE_Crisis!$A$501:$A$517,0)),1)=0,1,IFERROR(INDEX(_ENGINE_Crisis!$F$501:$F$517,MATCH($C874,_ENGINE_Crisis!$A$501:$A$517,0)),1)),"")</f>
        <v>1</v>
      </c>
      <c r="AP874">
        <f t="shared" si="197"/>
        <v>18.5</v>
      </c>
      <c r="AQ874">
        <f t="shared" si="198"/>
        <v>1.23</v>
      </c>
      <c r="AR874" t="str">
        <f>IFERROR(INDEX(_ENGINE_Crisis!$E$41:$E$700,MATCH('Resilience &amp; Risk Scenario'!$B$6&amp;"|"&amp;$C874,_ENGINE_Crisis!$I$41:$I$700,0)),"")</f>
        <v/>
      </c>
      <c r="AS874" t="str">
        <f>IFERROR(INDEX(_ENGINE_Crisis!$G$41:$G$700,MATCH('Resilience &amp; Risk Scenario'!$B$6&amp;"|"&amp;$C874,_ENGINE_Crisis!$I$41:$I$700,0)),"")</f>
        <v/>
      </c>
      <c r="AT874" t="str">
        <f>IFERROR(INDEX(_ENGINE_Initiatives!$A$5:$A$532,MATCH(1,INDEX((_ENGINE_Initiatives!$B$5:$B$532=$C874)*(_ENGINE_Initiatives!$C$5:$C$532=$D874),0),0)),"")</f>
        <v>INI-064</v>
      </c>
      <c r="AU874" t="str">
        <f>IFERROR(INDEX(_ENGINE_Initiatives!$F$5:$F$532,MATCH(1,INDEX((_ENGINE_Initiatives!$B$5:$B$532=$C874)*(_ENGINE_Initiatives!$C$5:$C$532=$D874),0),0)),"")</f>
        <v>Strengthen IAM, MFA, privileged access and joiner/mover/leaver controls</v>
      </c>
      <c r="AV874">
        <f>IFERROR(INDEX(_ENGINE_Initiatives!$AC$5:$AC$532,MATCH(1,INDEX((_ENGINE_Initiatives!$B$5:$B$532=$C874)*(_ENGINE_Initiatives!$C$5:$C$532=$D874),0),0)),"")</f>
        <v>1.39</v>
      </c>
      <c r="AW874" t="str">
        <f>IFERROR(INDEX(_ENGINE_Initiatives!$AE$5:$AE$532,MATCH(1,INDEX((_ENGINE_Initiatives!$B$5:$B$532=$C874)*(_ENGINE_Initiatives!$C$5:$C$532=$D874),0),0)),"")</f>
        <v>6-12 months</v>
      </c>
      <c r="AX874">
        <f>IF($B874="Yes",IFERROR((IF(SUMIFS(_REF_Model_Content!$E$1:$E$613,_REF_Model_Content!$A$1:$A$613,PV_Canonical_Industry,_REF_Model_Content!$B$1:$B$613,$C874)=0,1,SUMIFS(_REF_Model_Content!$E$1:$E$613,_REF_Model_Content!$A$1:$A$613,PV_Canonical_Industry,_REF_Model_Content!$B$1:$B$613,$C874))*IFERROR($BU874,1)),1),"")</f>
        <v>1</v>
      </c>
      <c r="AY874">
        <f t="shared" si="199"/>
        <v>18.5</v>
      </c>
      <c r="AZ874">
        <f t="shared" si="200"/>
        <v>1.23</v>
      </c>
      <c r="BB874" t="str">
        <f>IF($H874="","",IFERROR(INDEX(_ENGINE_Risk!$AE$5:$AE$499,MATCH($E874,_ENGINE_Risk!$A$5:$A$499,0)),"Medium"))</f>
        <v>Fast</v>
      </c>
      <c r="BC874">
        <f t="shared" si="201"/>
        <v>1.25</v>
      </c>
      <c r="BD874">
        <f t="shared" si="202"/>
        <v>1.23</v>
      </c>
      <c r="BF874">
        <f>IF(OR($H874="",$J874=""),"",IFERROR(VLOOKUP(ROUND($J874,0),_CONFIG_Model_Settings!$D$154:$E$158,2,0),""))</f>
        <v>0.5</v>
      </c>
      <c r="BG874">
        <f>IFERROR(IF(OR($H874="",$K874=""),"",ROUND('Company Profile'!$B$113*INDEX(_CONFIG_Model_Settings!$H$154:$H$158,MATCH(ROUND($K874,0),_CONFIG_Model_Settings!$G$154:$G$158,0)),0)),0)</f>
        <v>1875</v>
      </c>
      <c r="BH874">
        <f t="shared" si="203"/>
        <v>937.5</v>
      </c>
      <c r="BI874">
        <f t="shared" si="204"/>
        <v>937.5</v>
      </c>
      <c r="BJ874">
        <f>IF($E874="","",IFERROR(VLOOKUP($C874,_CONFIG_Risk_Calibration!$A$5:$H$21,2,FALSE),3))</f>
        <v>3</v>
      </c>
      <c r="BK874">
        <f>IF($E874="","",IFERROR(VLOOKUP($C874,_CONFIG_Risk_Calibration!$A$5:$H$21,3,FALSE),0))</f>
        <v>0</v>
      </c>
      <c r="BL874">
        <f>IF($E874="","",IFERROR(VLOOKUP($C874,_CONFIG_Risk_Calibration!$A$5:$H$21,4,FALSE),3))</f>
        <v>3</v>
      </c>
      <c r="BM874">
        <f>IF($E874="","",IFERROR(VLOOKUP($C874,_CONFIG_Risk_Calibration!$A$5:$H$21,5,FALSE),3))</f>
        <v>4</v>
      </c>
      <c r="BN874" t="str">
        <f>IF($E874="","",IFERROR(VLOOKUP($C874,_CONFIG_Risk_Calibration!$A$5:$H$21,6,FALSE),"No"))</f>
        <v>Yes</v>
      </c>
      <c r="BO874">
        <f>IF($E874="","",IFERROR(VLOOKUP($C874,_CONFIG_Risk_Calibration!$A$5:$H$21,7,FALSE),1))</f>
        <v>5</v>
      </c>
      <c r="BP874">
        <f>IF($H874="","",MAX(1,MIN(5,((6-$H874)*0.45)+($BJ874*0.2)+('Resilience &amp; Risk Scenario'!$B$7*0.15)+($BK874*0.1)+($BL874*0.05)+(IF($BB874="Fast",5,IF($BB874="Slow",1,3))*0.05))))</f>
        <v>3.7</v>
      </c>
      <c r="BQ874">
        <f t="shared" si="205"/>
        <v>5</v>
      </c>
      <c r="BR874">
        <f t="shared" si="206"/>
        <v>18.5</v>
      </c>
      <c r="BS874">
        <f t="shared" si="207"/>
        <v>25.44</v>
      </c>
      <c r="BT874" t="str">
        <f>IFERROR(INDEX(_REF_Capability_Bridge!$D:$D,MATCH($C874&amp;"|"&amp;$D874,_REF_Capability_Bridge!$J:$J,0)),IFERROR(INDEX(_REF_Capability_Bridge!$D:$D,MATCH($C874&amp;"|",_REF_Capability_Bridge!$J:$J,0)),"CAP_GENERIC"))</f>
        <v>CAP_IAM_PAM</v>
      </c>
      <c r="BU874">
        <f>IFERROR(IFERROR(INDEX(_ENGINE_Relevance!$L:$L,MATCH($BT874,_ENGINE_Relevance!$B:$B,0)),1),1)</f>
        <v>1</v>
      </c>
      <c r="BV874" t="str">
        <f>IFERROR(INDEX(_REF_Capability_Bridge!$A:$A,MATCH($C874&amp;"|"&amp;$D874,_REF_Capability_Bridge!$J:$J,0)),IFERROR(INDEX(_REF_Capability_Bridge!$A:$A,MATCH($C874&amp;"|",_REF_Capability_Bridge!$J:$J,0)),"No bridge"))</f>
        <v>BRG-014</v>
      </c>
      <c r="BW874" t="str">
        <f t="shared" si="208"/>
        <v>Capability relevance neutral</v>
      </c>
      <c r="BX874" t="str">
        <f t="shared" si="209"/>
        <v>Initial / absent</v>
      </c>
      <c r="BY874" t="str">
        <f>IF($E874="","",IFERROR(INDEX(_REF_Treatment_Library!$A$2:$A$296,MATCH(1,INDEX((_REF_Treatment_Library!$B$2:$B$296=$BT874)*(_REF_Treatment_Library!$C$2:$C$296=PV_Canonical_Industry)*(_REF_Treatment_Library!$E$2:$E$296&lt;=N($H874))*(_REF_Treatment_Library!$F$2:$F$296&gt;=N($H874))*(_REF_Treatment_Library!$O$2:$O$296="Yes"),0),0)),IFERROR(INDEX(_REF_Treatment_Library!$A$2:$A$296,MATCH(1,INDEX((_REF_Treatment_Library!$B$2:$B$296=$BT874)*(_REF_Treatment_Library!$C$2:$C$296="All")*(_REF_Treatment_Library!$E$2:$E$296&lt;=N($H874))*(_REF_Treatment_Library!$F$2:$F$296&gt;=N($H874))*(_REF_Treatment_Library!$O$2:$O$296="Yes"),0),0)),"")))</f>
        <v>TRT-IAM_PAM-INITIAL</v>
      </c>
      <c r="BZ874" t="str">
        <f>IF($BY874="","",IFERROR(INDEX(_REF_Treatment_Library!$H$2:$H$296,MATCH($BY874,_REF_Treatment_Library!$A$2:$A$296,0)),""))</f>
        <v>Establish</v>
      </c>
      <c r="CA874" t="str">
        <f>IF($BY874="","",IFERROR(INDEX(_REF_Treatment_Library!$I$2:$I$296,MATCH($BY874,_REF_Treatment_Library!$A$2:$A$296,0)),""))</f>
        <v>Establish baseline controls for Identity / PAM</v>
      </c>
      <c r="CB874" t="str">
        <f>IF($BY874="","",IFERROR(INDEX(_REF_Treatment_Library!$K$2:$K$296,MATCH($BY874,_REF_Treatment_Library!$A$2:$A$296,0)),""))</f>
        <v>Named owner, baseline process, minimum control checklist, first evidence package</v>
      </c>
      <c r="CC874" t="str">
        <f>IF($BY874="","",IFERROR(INDEX(_REF_Treatment_Library!$L$2:$L$296,MATCH($BY874,_REF_Treatment_Library!$A$2:$A$296,0)),""))</f>
        <v>Owner assigned; baseline evidence coverage; open critical gaps</v>
      </c>
      <c r="CD874" t="str">
        <f t="shared" si="210"/>
        <v>Treatment by capability=CAP_IAM_PAM; band=Initial / absent; score=0.0; treatment=Establish</v>
      </c>
      <c r="CE874" t="str">
        <f>IF($E874="","",IFERROR(INDEX(_REF_Industry_Wording!$A$2:$A$70,MATCH(1,INDEX((_REF_Industry_Wording!$B$2:$B$70=$BT874)*(_REF_Industry_Wording!$C$2:$C$70=PV_Canonical_Industry)*(_REF_Industry_Wording!$K$2:$K$70="Yes"),0),0)),IFERROR(INDEX(_REF_Industry_Wording!$A$2:$A$70,MATCH(1,INDEX((_REF_Industry_Wording!$B$2:$B$70=$BT874)*(_REF_Industry_Wording!$C$2:$C$70="All")*(_REF_Industry_Wording!$K$2:$K$70="Yes"),0),0)),"")))</f>
        <v>IW-ALL-IAM_PAM</v>
      </c>
      <c r="CF874" t="str">
        <f>IF($CE874="","",IFERROR(INDEX(_REF_Industry_Wording!$E$2:$E$70,MATCH($CE874,_REF_Industry_Wording!$A$2:$A$70,0)),""))</f>
        <v>Identity / PAM weakness</v>
      </c>
      <c r="CG874" t="str">
        <f>IF($CE874="","",IFERROR(INDEX(_REF_Industry_Wording!$F$2:$F$70,MATCH($CE874,_REF_Industry_Wording!$A$2:$A$70,0)),""))</f>
        <v>Strengthen Identity / PAM</v>
      </c>
      <c r="CH874" t="str">
        <f>IF($CE874="","",IFERROR(INDEX(_REF_Industry_Wording!$G$2:$G$70,MATCH($CE874,_REF_Industry_Wording!$A$2:$A$70,0)),""))</f>
        <v>Strengthen Identity / PAM using the selected maturity treatment, crisis scenario and evidence requirements.</v>
      </c>
      <c r="CI874" t="str">
        <f>IF($CE874="","",IFERROR(INDEX(_REF_Industry_Wording!$H$2:$H$70,MATCH($CE874,_REF_Industry_Wording!$A$2:$A$70,0)),""))</f>
        <v>Identity / PAM</v>
      </c>
      <c r="CJ874">
        <f>IF($CE874="","",IFERROR(INDEX(_REF_Industry_Wording!$I$2:$I$70,MATCH($CE874,_REF_Industry_Wording!$A$2:$A$70,0)),""))</f>
        <v>0</v>
      </c>
      <c r="CK874" t="str">
        <f>IF($CE874="","",IFERROR(INDEX(_REF_Industry_Wording!$J$2:$J$70,MATCH($CE874,_REF_Industry_Wording!$A$2:$A$70,0)),""))</f>
        <v>Identity / PAM</v>
      </c>
      <c r="CL874" t="str">
        <f t="shared" si="211"/>
        <v>Wording by industry=0; capability=CAP_IAM_PAM; risk label=Identity / PAM weakness</v>
      </c>
      <c r="CM874" t="str">
        <f t="shared" si="212"/>
        <v>RISK-ONT-0375</v>
      </c>
      <c r="CN874" t="str">
        <f t="shared" si="213"/>
        <v>RISK-EVT-0375</v>
      </c>
      <c r="CO874" t="str">
        <f t="shared" si="214"/>
        <v>Cyber Privacy|Identity and access|CYBE-007|CAP_IAM_PAM</v>
      </c>
      <c r="CP874" t="str">
        <f t="shared" si="215"/>
        <v>Active</v>
      </c>
      <c r="CQ874" t="str">
        <f t="shared" si="216"/>
        <v>OK: capability-driven</v>
      </c>
      <c r="CR874" t="str">
        <f t="shared" si="217"/>
        <v>Risk ontology uses capability=CAP_IAM_PAM; bridge=BRG-014; treatment=TRT-IAM_PAM-INITIAL; wording=IW-ALL-IAM_PAM</v>
      </c>
      <c r="CS874" t="str">
        <f t="shared" si="218"/>
        <v>Yes</v>
      </c>
    </row>
    <row r="875" spans="1:97" ht="69.900000000000006" customHeight="1">
      <c r="A875">
        <f>IF(OR($B875&lt;&gt;"Yes",$BS875=""),"",SUMPRODUCT(($B$500:$B$923="Yes")*ISNUMBER($BS$500:$BS$923)*($BS$500:$BS$923&gt;$BS875))+COUNTIFS($B$500:$B875,"Yes",$BS$500:$BS875,$BS875))</f>
        <v>24</v>
      </c>
      <c r="B875" t="str">
        <f t="shared" si="187"/>
        <v>Yes</v>
      </c>
      <c r="C875" t="s">
        <v>2986</v>
      </c>
      <c r="D875" t="s">
        <v>3003</v>
      </c>
      <c r="E875" t="s">
        <v>3041</v>
      </c>
      <c r="F875" t="s">
        <v>4460</v>
      </c>
      <c r="G875" t="str">
        <f>IF($H875="","",IFERROR(INDEX(_ENGINE_Risk!$H$5:$M$499,MATCH($E875,_ENGINE_Risk!$A$5:$A$499,0),$H875+1),""))</f>
        <v>Severe risk: MFA enforcement for email, cloud, VPN/ZTNA, admin accounts, finance systems and critical SaaS is not reliably controlled. During Cyberattack; Data breach; Ransomware; Insider threat, the organization may face security incident, data breach, privilege misuse, privacy violation and regulatory exposure with limited visibility or accountability.</v>
      </c>
      <c r="H875">
        <f>IFERROR(VALUE(INDEX(_DATA_Assessment_Model!$H$5:$H$884,MATCH($E875,_DATA_Assessment_Model!$A$5:$A$884,0))),"")</f>
        <v>0</v>
      </c>
      <c r="I875" t="str">
        <f>IF($H875="","",IFERROR(INDEX(_DATA_Assessment_Model!$L$5:$L$884,MATCH($E875,_DATA_Assessment_Model!$A$5:$A$884,0)),IF($H875&lt;=1,"Critical",IF($H875=2,"High",IF($H875=3,"Medium",IF($H875=4,"Low","Resilient"))))))</f>
        <v>Critical</v>
      </c>
      <c r="J875">
        <f t="shared" si="188"/>
        <v>3.7</v>
      </c>
      <c r="K875">
        <f t="shared" si="189"/>
        <v>5</v>
      </c>
      <c r="L875">
        <f t="shared" si="190"/>
        <v>18.5</v>
      </c>
      <c r="M875">
        <f t="shared" si="191"/>
        <v>4</v>
      </c>
      <c r="N875">
        <f>IF($H875="","",IFERROR(INDEX(_ENGINE_Risk!$T$5:$Y$499,MATCH($E875,_ENGINE_Risk!$A$5:$A$499,0),$H875+1),""))</f>
        <v>4</v>
      </c>
      <c r="O875">
        <f t="shared" si="192"/>
        <v>5</v>
      </c>
      <c r="P875">
        <f t="shared" si="193"/>
        <v>5</v>
      </c>
      <c r="Q875">
        <f t="shared" si="194"/>
        <v>5</v>
      </c>
      <c r="R875">
        <f t="shared" si="195"/>
        <v>5</v>
      </c>
      <c r="S875">
        <f t="shared" si="196"/>
        <v>1.25</v>
      </c>
      <c r="T875" t="str">
        <f>IF($H875="","",IFERROR(INDEX(_ENGINE_Risk!$N$5:$S$499,MATCH($E875,_ENGINE_Risk!$A$5:$A$499,0),$H875+1),""))</f>
        <v>Create an immediate risk owner, minimum control baseline and fallback procedure for MFA enforcement for email, cloud, VPN/ZTNA, admin accounts, finance systems and critical SaaS. Add it to the crisis risk register and collect first evidence.</v>
      </c>
      <c r="U875">
        <f>IFERROR(INDEX(_DATA_Assessment_Model!$G$5:$G$884,MATCH($E875,_DATA_Assessment_Model!$A$5:$A$884,0)),"")</f>
        <v>5</v>
      </c>
      <c r="V875">
        <f>IFERROR(INDEX(_DATA_Assessment_Model!$W$5:$W$884,MATCH($E875,_DATA_Assessment_Model!$A$5:$A$884,0)),"")</f>
        <v>5</v>
      </c>
      <c r="W875">
        <f>IFERROR(INDEX(_DATA_Assessment_Model!$X$5:$X$884,MATCH($E875,_DATA_Assessment_Model!$A$5:$A$884,0)),"")</f>
        <v>5</v>
      </c>
      <c r="X875">
        <f>IFERROR(INDEX(_DATA_Assessment_Model!$Y$5:$Y$884,MATCH($E875,_DATA_Assessment_Model!$A$5:$A$884,0)),"")</f>
        <v>5</v>
      </c>
      <c r="Y875" t="s">
        <v>2999</v>
      </c>
      <c r="Z875" t="s">
        <v>9811</v>
      </c>
      <c r="AA875" t="s">
        <v>3043</v>
      </c>
      <c r="AB875">
        <f>IFERROR(INDEX(_DATA_Assessment_Model!$U$5:$U$884,MATCH($E875,_DATA_Assessment_Model!$A$5:$A$884,0)),"")</f>
        <v>0</v>
      </c>
      <c r="AF875" t="s">
        <v>3042</v>
      </c>
      <c r="AO875">
        <f>IF($B875="Yes",IF(IFERROR(INDEX(_ENGINE_Crisis!$F$501:$F$517,MATCH($C875,_ENGINE_Crisis!$A$501:$A$517,0)),1)=0,1,IFERROR(INDEX(_ENGINE_Crisis!$F$501:$F$517,MATCH($C875,_ENGINE_Crisis!$A$501:$A$517,0)),1)),"")</f>
        <v>1</v>
      </c>
      <c r="AP875">
        <f t="shared" si="197"/>
        <v>18.5</v>
      </c>
      <c r="AQ875">
        <f t="shared" si="198"/>
        <v>1.25</v>
      </c>
      <c r="AR875" t="str">
        <f>IFERROR(INDEX(_ENGINE_Crisis!$E$41:$E$700,MATCH('Resilience &amp; Risk Scenario'!$B$6&amp;"|"&amp;$C875,_ENGINE_Crisis!$I$41:$I$700,0)),"")</f>
        <v/>
      </c>
      <c r="AS875" t="str">
        <f>IFERROR(INDEX(_ENGINE_Crisis!$G$41:$G$700,MATCH('Resilience &amp; Risk Scenario'!$B$6&amp;"|"&amp;$C875,_ENGINE_Crisis!$I$41:$I$700,0)),"")</f>
        <v/>
      </c>
      <c r="AT875" t="str">
        <f>IFERROR(INDEX(_ENGINE_Initiatives!$A$5:$A$532,MATCH(1,INDEX((_ENGINE_Initiatives!$B$5:$B$532=$C875)*(_ENGINE_Initiatives!$C$5:$C$532=$D875),0),0)),"")</f>
        <v>INI-064</v>
      </c>
      <c r="AU875" t="str">
        <f>IFERROR(INDEX(_ENGINE_Initiatives!$F$5:$F$532,MATCH(1,INDEX((_ENGINE_Initiatives!$B$5:$B$532=$C875)*(_ENGINE_Initiatives!$C$5:$C$532=$D875),0),0)),"")</f>
        <v>Strengthen IAM, MFA, privileged access and joiner/mover/leaver controls</v>
      </c>
      <c r="AV875">
        <f>IFERROR(INDEX(_ENGINE_Initiatives!$AC$5:$AC$532,MATCH(1,INDEX((_ENGINE_Initiatives!$B$5:$B$532=$C875)*(_ENGINE_Initiatives!$C$5:$C$532=$D875),0),0)),"")</f>
        <v>1.39</v>
      </c>
      <c r="AW875" t="str">
        <f>IFERROR(INDEX(_ENGINE_Initiatives!$AE$5:$AE$532,MATCH(1,INDEX((_ENGINE_Initiatives!$B$5:$B$532=$C875)*(_ENGINE_Initiatives!$C$5:$C$532=$D875),0),0)),"")</f>
        <v>6-12 months</v>
      </c>
      <c r="AX875">
        <f>IF($B875="Yes",IFERROR((IF(SUMIFS(_REF_Model_Content!$E$1:$E$613,_REF_Model_Content!$A$1:$A$613,PV_Canonical_Industry,_REF_Model_Content!$B$1:$B$613,$C875)=0,1,SUMIFS(_REF_Model_Content!$E$1:$E$613,_REF_Model_Content!$A$1:$A$613,PV_Canonical_Industry,_REF_Model_Content!$B$1:$B$613,$C875))*IFERROR($BU875,1)),1),"")</f>
        <v>1</v>
      </c>
      <c r="AY875">
        <f t="shared" si="199"/>
        <v>18.5</v>
      </c>
      <c r="AZ875">
        <f t="shared" si="200"/>
        <v>1.25</v>
      </c>
      <c r="BB875" t="str">
        <f>IF($H875="","",IFERROR(INDEX(_ENGINE_Risk!$AE$5:$AE$499,MATCH($E875,_ENGINE_Risk!$A$5:$A$499,0)),"Medium"))</f>
        <v>Fast</v>
      </c>
      <c r="BC875">
        <f t="shared" si="201"/>
        <v>1.25</v>
      </c>
      <c r="BD875">
        <f t="shared" si="202"/>
        <v>1.25</v>
      </c>
      <c r="BF875">
        <f>IF(OR($H875="",$J875=""),"",IFERROR(VLOOKUP(ROUND($J875,0),_CONFIG_Model_Settings!$D$154:$E$158,2,0),""))</f>
        <v>0.5</v>
      </c>
      <c r="BG875">
        <f>IFERROR(IF(OR($H875="",$K875=""),"",ROUND('Company Profile'!$B$113*INDEX(_CONFIG_Model_Settings!$H$154:$H$158,MATCH(ROUND($K875,0),_CONFIG_Model_Settings!$G$154:$G$158,0)),0)),0)</f>
        <v>1875</v>
      </c>
      <c r="BH875">
        <f t="shared" si="203"/>
        <v>937.5</v>
      </c>
      <c r="BI875">
        <f t="shared" si="204"/>
        <v>937.5</v>
      </c>
      <c r="BJ875">
        <f>IF($E875="","",IFERROR(VLOOKUP($C875,_CONFIG_Risk_Calibration!$A$5:$H$21,2,FALSE),3))</f>
        <v>3</v>
      </c>
      <c r="BK875">
        <f>IF($E875="","",IFERROR(VLOOKUP($C875,_CONFIG_Risk_Calibration!$A$5:$H$21,3,FALSE),0))</f>
        <v>0</v>
      </c>
      <c r="BL875">
        <f>IF($E875="","",IFERROR(VLOOKUP($C875,_CONFIG_Risk_Calibration!$A$5:$H$21,4,FALSE),3))</f>
        <v>3</v>
      </c>
      <c r="BM875">
        <f>IF($E875="","",IFERROR(VLOOKUP($C875,_CONFIG_Risk_Calibration!$A$5:$H$21,5,FALSE),3))</f>
        <v>4</v>
      </c>
      <c r="BN875" t="str">
        <f>IF($E875="","",IFERROR(VLOOKUP($C875,_CONFIG_Risk_Calibration!$A$5:$H$21,6,FALSE),"No"))</f>
        <v>Yes</v>
      </c>
      <c r="BO875">
        <f>IF($E875="","",IFERROR(VLOOKUP($C875,_CONFIG_Risk_Calibration!$A$5:$H$21,7,FALSE),1))</f>
        <v>5</v>
      </c>
      <c r="BP875">
        <f>IF($H875="","",MAX(1,MIN(5,((6-$H875)*0.45)+($BJ875*0.2)+('Resilience &amp; Risk Scenario'!$B$7*0.15)+($BK875*0.1)+($BL875*0.05)+(IF($BB875="Fast",5,IF($BB875="Slow",1,3))*0.05))))</f>
        <v>3.7</v>
      </c>
      <c r="BQ875">
        <f t="shared" si="205"/>
        <v>5</v>
      </c>
      <c r="BR875">
        <f t="shared" si="206"/>
        <v>18.5</v>
      </c>
      <c r="BS875">
        <f t="shared" si="207"/>
        <v>25.44</v>
      </c>
      <c r="BT875" t="str">
        <f>IFERROR(INDEX(_REF_Capability_Bridge!$D:$D,MATCH($C875&amp;"|"&amp;$D875,_REF_Capability_Bridge!$J:$J,0)),IFERROR(INDEX(_REF_Capability_Bridge!$D:$D,MATCH($C875&amp;"|",_REF_Capability_Bridge!$J:$J,0)),"CAP_GENERIC"))</f>
        <v>CAP_IAM_PAM</v>
      </c>
      <c r="BU875">
        <f>IFERROR(IFERROR(INDEX(_ENGINE_Relevance!$L:$L,MATCH($BT875,_ENGINE_Relevance!$B:$B,0)),1),1)</f>
        <v>1</v>
      </c>
      <c r="BV875" t="str">
        <f>IFERROR(INDEX(_REF_Capability_Bridge!$A:$A,MATCH($C875&amp;"|"&amp;$D875,_REF_Capability_Bridge!$J:$J,0)),IFERROR(INDEX(_REF_Capability_Bridge!$A:$A,MATCH($C875&amp;"|",_REF_Capability_Bridge!$J:$J,0)),"No bridge"))</f>
        <v>BRG-014</v>
      </c>
      <c r="BW875" t="str">
        <f t="shared" si="208"/>
        <v>Capability relevance neutral</v>
      </c>
      <c r="BX875" t="str">
        <f t="shared" si="209"/>
        <v>Initial / absent</v>
      </c>
      <c r="BY875" t="str">
        <f>IF($E875="","",IFERROR(INDEX(_REF_Treatment_Library!$A$2:$A$296,MATCH(1,INDEX((_REF_Treatment_Library!$B$2:$B$296=$BT875)*(_REF_Treatment_Library!$C$2:$C$296=PV_Canonical_Industry)*(_REF_Treatment_Library!$E$2:$E$296&lt;=N($H875))*(_REF_Treatment_Library!$F$2:$F$296&gt;=N($H875))*(_REF_Treatment_Library!$O$2:$O$296="Yes"),0),0)),IFERROR(INDEX(_REF_Treatment_Library!$A$2:$A$296,MATCH(1,INDEX((_REF_Treatment_Library!$B$2:$B$296=$BT875)*(_REF_Treatment_Library!$C$2:$C$296="All")*(_REF_Treatment_Library!$E$2:$E$296&lt;=N($H875))*(_REF_Treatment_Library!$F$2:$F$296&gt;=N($H875))*(_REF_Treatment_Library!$O$2:$O$296="Yes"),0),0)),"")))</f>
        <v>TRT-IAM_PAM-INITIAL</v>
      </c>
      <c r="BZ875" t="str">
        <f>IF($BY875="","",IFERROR(INDEX(_REF_Treatment_Library!$H$2:$H$296,MATCH($BY875,_REF_Treatment_Library!$A$2:$A$296,0)),""))</f>
        <v>Establish</v>
      </c>
      <c r="CA875" t="str">
        <f>IF($BY875="","",IFERROR(INDEX(_REF_Treatment_Library!$I$2:$I$296,MATCH($BY875,_REF_Treatment_Library!$A$2:$A$296,0)),""))</f>
        <v>Establish baseline controls for Identity / PAM</v>
      </c>
      <c r="CB875" t="str">
        <f>IF($BY875="","",IFERROR(INDEX(_REF_Treatment_Library!$K$2:$K$296,MATCH($BY875,_REF_Treatment_Library!$A$2:$A$296,0)),""))</f>
        <v>Named owner, baseline process, minimum control checklist, first evidence package</v>
      </c>
      <c r="CC875" t="str">
        <f>IF($BY875="","",IFERROR(INDEX(_REF_Treatment_Library!$L$2:$L$296,MATCH($BY875,_REF_Treatment_Library!$A$2:$A$296,0)),""))</f>
        <v>Owner assigned; baseline evidence coverage; open critical gaps</v>
      </c>
      <c r="CD875" t="str">
        <f t="shared" si="210"/>
        <v>Treatment by capability=CAP_IAM_PAM; band=Initial / absent; score=0.0; treatment=Establish</v>
      </c>
      <c r="CE875" t="str">
        <f>IF($E875="","",IFERROR(INDEX(_REF_Industry_Wording!$A$2:$A$70,MATCH(1,INDEX((_REF_Industry_Wording!$B$2:$B$70=$BT875)*(_REF_Industry_Wording!$C$2:$C$70=PV_Canonical_Industry)*(_REF_Industry_Wording!$K$2:$K$70="Yes"),0),0)),IFERROR(INDEX(_REF_Industry_Wording!$A$2:$A$70,MATCH(1,INDEX((_REF_Industry_Wording!$B$2:$B$70=$BT875)*(_REF_Industry_Wording!$C$2:$C$70="All")*(_REF_Industry_Wording!$K$2:$K$70="Yes"),0),0)),"")))</f>
        <v>IW-ALL-IAM_PAM</v>
      </c>
      <c r="CF875" t="str">
        <f>IF($CE875="","",IFERROR(INDEX(_REF_Industry_Wording!$E$2:$E$70,MATCH($CE875,_REF_Industry_Wording!$A$2:$A$70,0)),""))</f>
        <v>Identity / PAM weakness</v>
      </c>
      <c r="CG875" t="str">
        <f>IF($CE875="","",IFERROR(INDEX(_REF_Industry_Wording!$F$2:$F$70,MATCH($CE875,_REF_Industry_Wording!$A$2:$A$70,0)),""))</f>
        <v>Strengthen Identity / PAM</v>
      </c>
      <c r="CH875" t="str">
        <f>IF($CE875="","",IFERROR(INDEX(_REF_Industry_Wording!$G$2:$G$70,MATCH($CE875,_REF_Industry_Wording!$A$2:$A$70,0)),""))</f>
        <v>Strengthen Identity / PAM using the selected maturity treatment, crisis scenario and evidence requirements.</v>
      </c>
      <c r="CI875" t="str">
        <f>IF($CE875="","",IFERROR(INDEX(_REF_Industry_Wording!$H$2:$H$70,MATCH($CE875,_REF_Industry_Wording!$A$2:$A$70,0)),""))</f>
        <v>Identity / PAM</v>
      </c>
      <c r="CJ875">
        <f>IF($CE875="","",IFERROR(INDEX(_REF_Industry_Wording!$I$2:$I$70,MATCH($CE875,_REF_Industry_Wording!$A$2:$A$70,0)),""))</f>
        <v>0</v>
      </c>
      <c r="CK875" t="str">
        <f>IF($CE875="","",IFERROR(INDEX(_REF_Industry_Wording!$J$2:$J$70,MATCH($CE875,_REF_Industry_Wording!$A$2:$A$70,0)),""))</f>
        <v>Identity / PAM</v>
      </c>
      <c r="CL875" t="str">
        <f t="shared" si="211"/>
        <v>Wording by industry=0; capability=CAP_IAM_PAM; risk label=Identity / PAM weakness</v>
      </c>
      <c r="CM875" t="str">
        <f t="shared" si="212"/>
        <v>RISK-ONT-0376</v>
      </c>
      <c r="CN875" t="str">
        <f t="shared" si="213"/>
        <v>RISK-EVT-0376</v>
      </c>
      <c r="CO875" t="str">
        <f t="shared" si="214"/>
        <v>Cyber Privacy|Identity and access|CYBE-008|CAP_IAM_PAM</v>
      </c>
      <c r="CP875" t="str">
        <f t="shared" si="215"/>
        <v>Active</v>
      </c>
      <c r="CQ875" t="str">
        <f t="shared" si="216"/>
        <v>OK: capability-driven</v>
      </c>
      <c r="CR875" t="str">
        <f t="shared" si="217"/>
        <v>Risk ontology uses capability=CAP_IAM_PAM; bridge=BRG-014; treatment=TRT-IAM_PAM-INITIAL; wording=IW-ALL-IAM_PAM</v>
      </c>
      <c r="CS875" t="str">
        <f t="shared" si="218"/>
        <v>Yes</v>
      </c>
    </row>
    <row r="876" spans="1:97" ht="69.900000000000006" customHeight="1">
      <c r="A876">
        <f>IF(OR($B876&lt;&gt;"Yes",$BS876=""),"",SUMPRODUCT(($B$500:$B$923="Yes")*ISNUMBER($BS$500:$BS$923)*($BS$500:$BS$923&gt;$BS876))+COUNTIFS($B$500:$B876,"Yes",$BS$500:$BS876,$BS876))</f>
        <v>25</v>
      </c>
      <c r="B876" t="str">
        <f t="shared" si="187"/>
        <v>Yes</v>
      </c>
      <c r="C876" t="s">
        <v>2986</v>
      </c>
      <c r="D876" t="s">
        <v>3003</v>
      </c>
      <c r="E876" t="s">
        <v>3050</v>
      </c>
      <c r="F876" t="s">
        <v>4460</v>
      </c>
      <c r="G876" t="str">
        <f>IF($H876="","",IFERROR(INDEX(_ENGINE_Risk!$H$5:$M$499,MATCH($E876,_ENGINE_Risk!$A$5:$A$499,0),$H876+1),""))</f>
        <v>Severe risk: privileged access management for admin accounts and superusers is not reliably controlled. During Cyberattack; Data breach; Ransomware; Insider threat, the organization may face security incident, data breach, privilege misuse, privacy violation and regulatory exposure with limited visibility or accountability.</v>
      </c>
      <c r="H876">
        <f>IFERROR(VALUE(INDEX(_DATA_Assessment_Model!$H$5:$H$884,MATCH($E876,_DATA_Assessment_Model!$A$5:$A$884,0))),"")</f>
        <v>0</v>
      </c>
      <c r="I876" t="str">
        <f>IF($H876="","",IFERROR(INDEX(_DATA_Assessment_Model!$L$5:$L$884,MATCH($E876,_DATA_Assessment_Model!$A$5:$A$884,0)),IF($H876&lt;=1,"Critical",IF($H876=2,"High",IF($H876=3,"Medium",IF($H876=4,"Low","Resilient"))))))</f>
        <v>Critical</v>
      </c>
      <c r="J876">
        <f t="shared" si="188"/>
        <v>3.7</v>
      </c>
      <c r="K876">
        <f t="shared" si="189"/>
        <v>5</v>
      </c>
      <c r="L876">
        <f t="shared" si="190"/>
        <v>18.5</v>
      </c>
      <c r="M876">
        <f t="shared" si="191"/>
        <v>4</v>
      </c>
      <c r="N876">
        <f>IF($H876="","",IFERROR(INDEX(_ENGINE_Risk!$T$5:$Y$499,MATCH($E876,_ENGINE_Risk!$A$5:$A$499,0),$H876+1),""))</f>
        <v>4</v>
      </c>
      <c r="O876">
        <f t="shared" si="192"/>
        <v>4.666666666666667</v>
      </c>
      <c r="P876">
        <f t="shared" si="193"/>
        <v>5</v>
      </c>
      <c r="Q876">
        <f t="shared" si="194"/>
        <v>5</v>
      </c>
      <c r="R876">
        <f t="shared" si="195"/>
        <v>5</v>
      </c>
      <c r="S876">
        <f t="shared" si="196"/>
        <v>1.23</v>
      </c>
      <c r="T876" t="str">
        <f>IF($H876="","",IFERROR(INDEX(_ENGINE_Risk!$N$5:$S$499,MATCH($E876,_ENGINE_Risk!$A$5:$A$499,0),$H876+1),""))</f>
        <v>Create an immediate risk owner, minimum control baseline and fallback procedure for privileged access management for admin accounts and superusers. Add it to the crisis risk register and collect first evidence.</v>
      </c>
      <c r="U876">
        <f>IFERROR(INDEX(_DATA_Assessment_Model!$G$5:$G$884,MATCH($E876,_DATA_Assessment_Model!$A$5:$A$884,0)),"")</f>
        <v>4</v>
      </c>
      <c r="V876">
        <f>IFERROR(INDEX(_DATA_Assessment_Model!$W$5:$W$884,MATCH($E876,_DATA_Assessment_Model!$A$5:$A$884,0)),"")</f>
        <v>5</v>
      </c>
      <c r="W876">
        <f>IFERROR(INDEX(_DATA_Assessment_Model!$X$5:$X$884,MATCH($E876,_DATA_Assessment_Model!$A$5:$A$884,0)),"")</f>
        <v>5</v>
      </c>
      <c r="X876">
        <f>IFERROR(INDEX(_DATA_Assessment_Model!$Y$5:$Y$884,MATCH($E876,_DATA_Assessment_Model!$A$5:$A$884,0)),"")</f>
        <v>5</v>
      </c>
      <c r="Y876" t="s">
        <v>2999</v>
      </c>
      <c r="Z876" t="s">
        <v>9811</v>
      </c>
      <c r="AA876" t="s">
        <v>3052</v>
      </c>
      <c r="AB876">
        <f>IFERROR(INDEX(_DATA_Assessment_Model!$U$5:$U$884,MATCH($E876,_DATA_Assessment_Model!$A$5:$A$884,0)),"")</f>
        <v>0</v>
      </c>
      <c r="AF876" t="s">
        <v>3051</v>
      </c>
      <c r="AO876">
        <f>IF($B876="Yes",IF(IFERROR(INDEX(_ENGINE_Crisis!$F$501:$F$517,MATCH($C876,_ENGINE_Crisis!$A$501:$A$517,0)),1)=0,1,IFERROR(INDEX(_ENGINE_Crisis!$F$501:$F$517,MATCH($C876,_ENGINE_Crisis!$A$501:$A$517,0)),1)),"")</f>
        <v>1</v>
      </c>
      <c r="AP876">
        <f t="shared" si="197"/>
        <v>18.5</v>
      </c>
      <c r="AQ876">
        <f t="shared" si="198"/>
        <v>1.23</v>
      </c>
      <c r="AR876" t="str">
        <f>IFERROR(INDEX(_ENGINE_Crisis!$E$41:$E$700,MATCH('Resilience &amp; Risk Scenario'!$B$6&amp;"|"&amp;$C876,_ENGINE_Crisis!$I$41:$I$700,0)),"")</f>
        <v/>
      </c>
      <c r="AS876" t="str">
        <f>IFERROR(INDEX(_ENGINE_Crisis!$G$41:$G$700,MATCH('Resilience &amp; Risk Scenario'!$B$6&amp;"|"&amp;$C876,_ENGINE_Crisis!$I$41:$I$700,0)),"")</f>
        <v/>
      </c>
      <c r="AT876" t="str">
        <f>IFERROR(INDEX(_ENGINE_Initiatives!$A$5:$A$532,MATCH(1,INDEX((_ENGINE_Initiatives!$B$5:$B$532=$C876)*(_ENGINE_Initiatives!$C$5:$C$532=$D876),0),0)),"")</f>
        <v>INI-064</v>
      </c>
      <c r="AU876" t="str">
        <f>IFERROR(INDEX(_ENGINE_Initiatives!$F$5:$F$532,MATCH(1,INDEX((_ENGINE_Initiatives!$B$5:$B$532=$C876)*(_ENGINE_Initiatives!$C$5:$C$532=$D876),0),0)),"")</f>
        <v>Strengthen IAM, MFA, privileged access and joiner/mover/leaver controls</v>
      </c>
      <c r="AV876">
        <f>IFERROR(INDEX(_ENGINE_Initiatives!$AC$5:$AC$532,MATCH(1,INDEX((_ENGINE_Initiatives!$B$5:$B$532=$C876)*(_ENGINE_Initiatives!$C$5:$C$532=$D876),0),0)),"")</f>
        <v>1.39</v>
      </c>
      <c r="AW876" t="str">
        <f>IFERROR(INDEX(_ENGINE_Initiatives!$AE$5:$AE$532,MATCH(1,INDEX((_ENGINE_Initiatives!$B$5:$B$532=$C876)*(_ENGINE_Initiatives!$C$5:$C$532=$D876),0),0)),"")</f>
        <v>6-12 months</v>
      </c>
      <c r="AX876">
        <f>IF($B876="Yes",IFERROR((IF(SUMIFS(_REF_Model_Content!$E$1:$E$613,_REF_Model_Content!$A$1:$A$613,PV_Canonical_Industry,_REF_Model_Content!$B$1:$B$613,$C876)=0,1,SUMIFS(_REF_Model_Content!$E$1:$E$613,_REF_Model_Content!$A$1:$A$613,PV_Canonical_Industry,_REF_Model_Content!$B$1:$B$613,$C876))*IFERROR($BU876,1)),1),"")</f>
        <v>1</v>
      </c>
      <c r="AY876">
        <f t="shared" si="199"/>
        <v>18.5</v>
      </c>
      <c r="AZ876">
        <f t="shared" si="200"/>
        <v>1.23</v>
      </c>
      <c r="BB876" t="str">
        <f>IF($H876="","",IFERROR(INDEX(_ENGINE_Risk!$AE$5:$AE$499,MATCH($E876,_ENGINE_Risk!$A$5:$A$499,0)),"Medium"))</f>
        <v>Fast</v>
      </c>
      <c r="BC876">
        <f t="shared" si="201"/>
        <v>1.25</v>
      </c>
      <c r="BD876">
        <f t="shared" si="202"/>
        <v>1.23</v>
      </c>
      <c r="BF876">
        <f>IF(OR($H876="",$J876=""),"",IFERROR(VLOOKUP(ROUND($J876,0),_CONFIG_Model_Settings!$D$154:$E$158,2,0),""))</f>
        <v>0.5</v>
      </c>
      <c r="BG876">
        <f>IFERROR(IF(OR($H876="",$K876=""),"",ROUND('Company Profile'!$B$113*INDEX(_CONFIG_Model_Settings!$H$154:$H$158,MATCH(ROUND($K876,0),_CONFIG_Model_Settings!$G$154:$G$158,0)),0)),0)</f>
        <v>1875</v>
      </c>
      <c r="BH876">
        <f t="shared" si="203"/>
        <v>937.5</v>
      </c>
      <c r="BI876">
        <f t="shared" si="204"/>
        <v>937.5</v>
      </c>
      <c r="BJ876">
        <f>IF($E876="","",IFERROR(VLOOKUP($C876,_CONFIG_Risk_Calibration!$A$5:$H$21,2,FALSE),3))</f>
        <v>3</v>
      </c>
      <c r="BK876">
        <f>IF($E876="","",IFERROR(VLOOKUP($C876,_CONFIG_Risk_Calibration!$A$5:$H$21,3,FALSE),0))</f>
        <v>0</v>
      </c>
      <c r="BL876">
        <f>IF($E876="","",IFERROR(VLOOKUP($C876,_CONFIG_Risk_Calibration!$A$5:$H$21,4,FALSE),3))</f>
        <v>3</v>
      </c>
      <c r="BM876">
        <f>IF($E876="","",IFERROR(VLOOKUP($C876,_CONFIG_Risk_Calibration!$A$5:$H$21,5,FALSE),3))</f>
        <v>4</v>
      </c>
      <c r="BN876" t="str">
        <f>IF($E876="","",IFERROR(VLOOKUP($C876,_CONFIG_Risk_Calibration!$A$5:$H$21,6,FALSE),"No"))</f>
        <v>Yes</v>
      </c>
      <c r="BO876">
        <f>IF($E876="","",IFERROR(VLOOKUP($C876,_CONFIG_Risk_Calibration!$A$5:$H$21,7,FALSE),1))</f>
        <v>5</v>
      </c>
      <c r="BP876">
        <f>IF($H876="","",MAX(1,MIN(5,((6-$H876)*0.45)+($BJ876*0.2)+('Resilience &amp; Risk Scenario'!$B$7*0.15)+($BK876*0.1)+($BL876*0.05)+(IF($BB876="Fast",5,IF($BB876="Slow",1,3))*0.05))))</f>
        <v>3.7</v>
      </c>
      <c r="BQ876">
        <f t="shared" si="205"/>
        <v>5</v>
      </c>
      <c r="BR876">
        <f t="shared" si="206"/>
        <v>18.5</v>
      </c>
      <c r="BS876">
        <f t="shared" si="207"/>
        <v>25.44</v>
      </c>
      <c r="BT876" t="str">
        <f>IFERROR(INDEX(_REF_Capability_Bridge!$D:$D,MATCH($C876&amp;"|"&amp;$D876,_REF_Capability_Bridge!$J:$J,0)),IFERROR(INDEX(_REF_Capability_Bridge!$D:$D,MATCH($C876&amp;"|",_REF_Capability_Bridge!$J:$J,0)),"CAP_GENERIC"))</f>
        <v>CAP_IAM_PAM</v>
      </c>
      <c r="BU876">
        <f>IFERROR(IFERROR(INDEX(_ENGINE_Relevance!$L:$L,MATCH($BT876,_ENGINE_Relevance!$B:$B,0)),1),1)</f>
        <v>1</v>
      </c>
      <c r="BV876" t="str">
        <f>IFERROR(INDEX(_REF_Capability_Bridge!$A:$A,MATCH($C876&amp;"|"&amp;$D876,_REF_Capability_Bridge!$J:$J,0)),IFERROR(INDEX(_REF_Capability_Bridge!$A:$A,MATCH($C876&amp;"|",_REF_Capability_Bridge!$J:$J,0)),"No bridge"))</f>
        <v>BRG-014</v>
      </c>
      <c r="BW876" t="str">
        <f t="shared" si="208"/>
        <v>Capability relevance neutral</v>
      </c>
      <c r="BX876" t="str">
        <f t="shared" si="209"/>
        <v>Initial / absent</v>
      </c>
      <c r="BY876" t="str">
        <f>IF($E876="","",IFERROR(INDEX(_REF_Treatment_Library!$A$2:$A$296,MATCH(1,INDEX((_REF_Treatment_Library!$B$2:$B$296=$BT876)*(_REF_Treatment_Library!$C$2:$C$296=PV_Canonical_Industry)*(_REF_Treatment_Library!$E$2:$E$296&lt;=N($H876))*(_REF_Treatment_Library!$F$2:$F$296&gt;=N($H876))*(_REF_Treatment_Library!$O$2:$O$296="Yes"),0),0)),IFERROR(INDEX(_REF_Treatment_Library!$A$2:$A$296,MATCH(1,INDEX((_REF_Treatment_Library!$B$2:$B$296=$BT876)*(_REF_Treatment_Library!$C$2:$C$296="All")*(_REF_Treatment_Library!$E$2:$E$296&lt;=N($H876))*(_REF_Treatment_Library!$F$2:$F$296&gt;=N($H876))*(_REF_Treatment_Library!$O$2:$O$296="Yes"),0),0)),"")))</f>
        <v>TRT-IAM_PAM-INITIAL</v>
      </c>
      <c r="BZ876" t="str">
        <f>IF($BY876="","",IFERROR(INDEX(_REF_Treatment_Library!$H$2:$H$296,MATCH($BY876,_REF_Treatment_Library!$A$2:$A$296,0)),""))</f>
        <v>Establish</v>
      </c>
      <c r="CA876" t="str">
        <f>IF($BY876="","",IFERROR(INDEX(_REF_Treatment_Library!$I$2:$I$296,MATCH($BY876,_REF_Treatment_Library!$A$2:$A$296,0)),""))</f>
        <v>Establish baseline controls for Identity / PAM</v>
      </c>
      <c r="CB876" t="str">
        <f>IF($BY876="","",IFERROR(INDEX(_REF_Treatment_Library!$K$2:$K$296,MATCH($BY876,_REF_Treatment_Library!$A$2:$A$296,0)),""))</f>
        <v>Named owner, baseline process, minimum control checklist, first evidence package</v>
      </c>
      <c r="CC876" t="str">
        <f>IF($BY876="","",IFERROR(INDEX(_REF_Treatment_Library!$L$2:$L$296,MATCH($BY876,_REF_Treatment_Library!$A$2:$A$296,0)),""))</f>
        <v>Owner assigned; baseline evidence coverage; open critical gaps</v>
      </c>
      <c r="CD876" t="str">
        <f t="shared" si="210"/>
        <v>Treatment by capability=CAP_IAM_PAM; band=Initial / absent; score=0.0; treatment=Establish</v>
      </c>
      <c r="CE876" t="str">
        <f>IF($E876="","",IFERROR(INDEX(_REF_Industry_Wording!$A$2:$A$70,MATCH(1,INDEX((_REF_Industry_Wording!$B$2:$B$70=$BT876)*(_REF_Industry_Wording!$C$2:$C$70=PV_Canonical_Industry)*(_REF_Industry_Wording!$K$2:$K$70="Yes"),0),0)),IFERROR(INDEX(_REF_Industry_Wording!$A$2:$A$70,MATCH(1,INDEX((_REF_Industry_Wording!$B$2:$B$70=$BT876)*(_REF_Industry_Wording!$C$2:$C$70="All")*(_REF_Industry_Wording!$K$2:$K$70="Yes"),0),0)),"")))</f>
        <v>IW-ALL-IAM_PAM</v>
      </c>
      <c r="CF876" t="str">
        <f>IF($CE876="","",IFERROR(INDEX(_REF_Industry_Wording!$E$2:$E$70,MATCH($CE876,_REF_Industry_Wording!$A$2:$A$70,0)),""))</f>
        <v>Identity / PAM weakness</v>
      </c>
      <c r="CG876" t="str">
        <f>IF($CE876="","",IFERROR(INDEX(_REF_Industry_Wording!$F$2:$F$70,MATCH($CE876,_REF_Industry_Wording!$A$2:$A$70,0)),""))</f>
        <v>Strengthen Identity / PAM</v>
      </c>
      <c r="CH876" t="str">
        <f>IF($CE876="","",IFERROR(INDEX(_REF_Industry_Wording!$G$2:$G$70,MATCH($CE876,_REF_Industry_Wording!$A$2:$A$70,0)),""))</f>
        <v>Strengthen Identity / PAM using the selected maturity treatment, crisis scenario and evidence requirements.</v>
      </c>
      <c r="CI876" t="str">
        <f>IF($CE876="","",IFERROR(INDEX(_REF_Industry_Wording!$H$2:$H$70,MATCH($CE876,_REF_Industry_Wording!$A$2:$A$70,0)),""))</f>
        <v>Identity / PAM</v>
      </c>
      <c r="CJ876">
        <f>IF($CE876="","",IFERROR(INDEX(_REF_Industry_Wording!$I$2:$I$70,MATCH($CE876,_REF_Industry_Wording!$A$2:$A$70,0)),""))</f>
        <v>0</v>
      </c>
      <c r="CK876" t="str">
        <f>IF($CE876="","",IFERROR(INDEX(_REF_Industry_Wording!$J$2:$J$70,MATCH($CE876,_REF_Industry_Wording!$A$2:$A$70,0)),""))</f>
        <v>Identity / PAM</v>
      </c>
      <c r="CL876" t="str">
        <f t="shared" si="211"/>
        <v>Wording by industry=0; capability=CAP_IAM_PAM; risk label=Identity / PAM weakness</v>
      </c>
      <c r="CM876" t="str">
        <f t="shared" si="212"/>
        <v>RISK-ONT-0377</v>
      </c>
      <c r="CN876" t="str">
        <f t="shared" si="213"/>
        <v>RISK-EVT-0377</v>
      </c>
      <c r="CO876" t="str">
        <f t="shared" si="214"/>
        <v>Cyber Privacy|Identity and access|CYBE-009|CAP_IAM_PAM</v>
      </c>
      <c r="CP876" t="str">
        <f t="shared" si="215"/>
        <v>Active</v>
      </c>
      <c r="CQ876" t="str">
        <f t="shared" si="216"/>
        <v>OK: capability-driven</v>
      </c>
      <c r="CR876" t="str">
        <f t="shared" si="217"/>
        <v>Risk ontology uses capability=CAP_IAM_PAM; bridge=BRG-014; treatment=TRT-IAM_PAM-INITIAL; wording=IW-ALL-IAM_PAM</v>
      </c>
      <c r="CS876" t="str">
        <f t="shared" si="218"/>
        <v>Yes</v>
      </c>
    </row>
    <row r="877" spans="1:97" ht="69.900000000000006" customHeight="1">
      <c r="A877">
        <f>IF(OR($B877&lt;&gt;"Yes",$BS877=""),"",SUMPRODUCT(($B$500:$B$923="Yes")*ISNUMBER($BS$500:$BS$923)*($BS$500:$BS$923&gt;$BS877))+COUNTIFS($B$500:$B877,"Yes",$BS$500:$BS877,$BS877))</f>
        <v>26</v>
      </c>
      <c r="B877" t="str">
        <f t="shared" si="187"/>
        <v>Yes</v>
      </c>
      <c r="C877" t="s">
        <v>2986</v>
      </c>
      <c r="D877" t="s">
        <v>3003</v>
      </c>
      <c r="E877" t="s">
        <v>3059</v>
      </c>
      <c r="F877" t="s">
        <v>4460</v>
      </c>
      <c r="G877" t="str">
        <f>IF($H877="","",IFERROR(INDEX(_ENGINE_Risk!$H$5:$M$499,MATCH($E877,_ENGINE_Risk!$A$5:$A$499,0),$H877+1),""))</f>
        <v>Severe risk: break-glass account control, monitoring and testing is not reliably controlled. During Cyberattack; Data breach; Ransomware; Insider threat, the organization may face security incident, data breach, privilege misuse, privacy violation and regulatory exposure with limited visibility or accountability.</v>
      </c>
      <c r="H877">
        <f>IFERROR(VALUE(INDEX(_DATA_Assessment_Model!$H$5:$H$884,MATCH($E877,_DATA_Assessment_Model!$A$5:$A$884,0))),"")</f>
        <v>0</v>
      </c>
      <c r="I877" t="str">
        <f>IF($H877="","",IFERROR(INDEX(_DATA_Assessment_Model!$L$5:$L$884,MATCH($E877,_DATA_Assessment_Model!$A$5:$A$884,0)),IF($H877&lt;=1,"Critical",IF($H877=2,"High",IF($H877=3,"Medium",IF($H877=4,"Low","Resilient"))))))</f>
        <v>Critical</v>
      </c>
      <c r="J877">
        <f t="shared" si="188"/>
        <v>3.7</v>
      </c>
      <c r="K877">
        <f t="shared" si="189"/>
        <v>5</v>
      </c>
      <c r="L877">
        <f t="shared" si="190"/>
        <v>18.5</v>
      </c>
      <c r="M877">
        <f t="shared" si="191"/>
        <v>4</v>
      </c>
      <c r="N877">
        <f>IF($H877="","",IFERROR(INDEX(_ENGINE_Risk!$T$5:$Y$499,MATCH($E877,_ENGINE_Risk!$A$5:$A$499,0),$H877+1),""))</f>
        <v>4</v>
      </c>
      <c r="O877">
        <f t="shared" si="192"/>
        <v>4.333333333333333</v>
      </c>
      <c r="P877">
        <f t="shared" si="193"/>
        <v>5</v>
      </c>
      <c r="Q877">
        <f t="shared" si="194"/>
        <v>5</v>
      </c>
      <c r="R877">
        <f t="shared" si="195"/>
        <v>5</v>
      </c>
      <c r="S877">
        <f t="shared" si="196"/>
        <v>1.21</v>
      </c>
      <c r="T877" t="str">
        <f>IF($H877="","",IFERROR(INDEX(_ENGINE_Risk!$N$5:$S$499,MATCH($E877,_ENGINE_Risk!$A$5:$A$499,0),$H877+1),""))</f>
        <v>Create an immediate risk owner, minimum control baseline and fallback procedure for break-glass account control, monitoring and testing. Add it to the crisis risk register and collect first evidence.</v>
      </c>
      <c r="U877">
        <f>IFERROR(INDEX(_DATA_Assessment_Model!$G$5:$G$884,MATCH($E877,_DATA_Assessment_Model!$A$5:$A$884,0)),"")</f>
        <v>3</v>
      </c>
      <c r="V877">
        <f>IFERROR(INDEX(_DATA_Assessment_Model!$W$5:$W$884,MATCH($E877,_DATA_Assessment_Model!$A$5:$A$884,0)),"")</f>
        <v>5</v>
      </c>
      <c r="W877">
        <f>IFERROR(INDEX(_DATA_Assessment_Model!$X$5:$X$884,MATCH($E877,_DATA_Assessment_Model!$A$5:$A$884,0)),"")</f>
        <v>5</v>
      </c>
      <c r="X877">
        <f>IFERROR(INDEX(_DATA_Assessment_Model!$Y$5:$Y$884,MATCH($E877,_DATA_Assessment_Model!$A$5:$A$884,0)),"")</f>
        <v>5</v>
      </c>
      <c r="Y877" t="s">
        <v>2999</v>
      </c>
      <c r="Z877" t="s">
        <v>9811</v>
      </c>
      <c r="AA877" t="s">
        <v>3061</v>
      </c>
      <c r="AB877">
        <f>IFERROR(INDEX(_DATA_Assessment_Model!$U$5:$U$884,MATCH($E877,_DATA_Assessment_Model!$A$5:$A$884,0)),"")</f>
        <v>0</v>
      </c>
      <c r="AF877" t="s">
        <v>3060</v>
      </c>
      <c r="AO877">
        <f>IF($B877="Yes",IF(IFERROR(INDEX(_ENGINE_Crisis!$F$501:$F$517,MATCH($C877,_ENGINE_Crisis!$A$501:$A$517,0)),1)=0,1,IFERROR(INDEX(_ENGINE_Crisis!$F$501:$F$517,MATCH($C877,_ENGINE_Crisis!$A$501:$A$517,0)),1)),"")</f>
        <v>1</v>
      </c>
      <c r="AP877">
        <f t="shared" si="197"/>
        <v>18.5</v>
      </c>
      <c r="AQ877">
        <f t="shared" si="198"/>
        <v>1.21</v>
      </c>
      <c r="AR877" t="str">
        <f>IFERROR(INDEX(_ENGINE_Crisis!$E$41:$E$700,MATCH('Resilience &amp; Risk Scenario'!$B$6&amp;"|"&amp;$C877,_ENGINE_Crisis!$I$41:$I$700,0)),"")</f>
        <v/>
      </c>
      <c r="AS877" t="str">
        <f>IFERROR(INDEX(_ENGINE_Crisis!$G$41:$G$700,MATCH('Resilience &amp; Risk Scenario'!$B$6&amp;"|"&amp;$C877,_ENGINE_Crisis!$I$41:$I$700,0)),"")</f>
        <v/>
      </c>
      <c r="AT877" t="str">
        <f>IFERROR(INDEX(_ENGINE_Initiatives!$A$5:$A$532,MATCH(1,INDEX((_ENGINE_Initiatives!$B$5:$B$532=$C877)*(_ENGINE_Initiatives!$C$5:$C$532=$D877),0),0)),"")</f>
        <v>INI-064</v>
      </c>
      <c r="AU877" t="str">
        <f>IFERROR(INDEX(_ENGINE_Initiatives!$F$5:$F$532,MATCH(1,INDEX((_ENGINE_Initiatives!$B$5:$B$532=$C877)*(_ENGINE_Initiatives!$C$5:$C$532=$D877),0),0)),"")</f>
        <v>Strengthen IAM, MFA, privileged access and joiner/mover/leaver controls</v>
      </c>
      <c r="AV877">
        <f>IFERROR(INDEX(_ENGINE_Initiatives!$AC$5:$AC$532,MATCH(1,INDEX((_ENGINE_Initiatives!$B$5:$B$532=$C877)*(_ENGINE_Initiatives!$C$5:$C$532=$D877),0),0)),"")</f>
        <v>1.39</v>
      </c>
      <c r="AW877" t="str">
        <f>IFERROR(INDEX(_ENGINE_Initiatives!$AE$5:$AE$532,MATCH(1,INDEX((_ENGINE_Initiatives!$B$5:$B$532=$C877)*(_ENGINE_Initiatives!$C$5:$C$532=$D877),0),0)),"")</f>
        <v>6-12 months</v>
      </c>
      <c r="AX877">
        <f>IF($B877="Yes",IFERROR((IF(SUMIFS(_REF_Model_Content!$E$1:$E$613,_REF_Model_Content!$A$1:$A$613,PV_Canonical_Industry,_REF_Model_Content!$B$1:$B$613,$C877)=0,1,SUMIFS(_REF_Model_Content!$E$1:$E$613,_REF_Model_Content!$A$1:$A$613,PV_Canonical_Industry,_REF_Model_Content!$B$1:$B$613,$C877))*IFERROR($BU877,1)),1),"")</f>
        <v>1</v>
      </c>
      <c r="AY877">
        <f t="shared" si="199"/>
        <v>18.5</v>
      </c>
      <c r="AZ877">
        <f t="shared" si="200"/>
        <v>1.21</v>
      </c>
      <c r="BB877" t="str">
        <f>IF($H877="","",IFERROR(INDEX(_ENGINE_Risk!$AE$5:$AE$499,MATCH($E877,_ENGINE_Risk!$A$5:$A$499,0)),"Medium"))</f>
        <v>Fast</v>
      </c>
      <c r="BC877">
        <f t="shared" si="201"/>
        <v>1.25</v>
      </c>
      <c r="BD877">
        <f t="shared" si="202"/>
        <v>1.21</v>
      </c>
      <c r="BF877">
        <f>IF(OR($H877="",$J877=""),"",IFERROR(VLOOKUP(ROUND($J877,0),_CONFIG_Model_Settings!$D$154:$E$158,2,0),""))</f>
        <v>0.5</v>
      </c>
      <c r="BG877">
        <f>IFERROR(IF(OR($H877="",$K877=""),"",ROUND('Company Profile'!$B$113*INDEX(_CONFIG_Model_Settings!$H$154:$H$158,MATCH(ROUND($K877,0),_CONFIG_Model_Settings!$G$154:$G$158,0)),0)),0)</f>
        <v>1875</v>
      </c>
      <c r="BH877">
        <f t="shared" si="203"/>
        <v>937.5</v>
      </c>
      <c r="BI877">
        <f t="shared" si="204"/>
        <v>937.5</v>
      </c>
      <c r="BJ877">
        <f>IF($E877="","",IFERROR(VLOOKUP($C877,_CONFIG_Risk_Calibration!$A$5:$H$21,2,FALSE),3))</f>
        <v>3</v>
      </c>
      <c r="BK877">
        <f>IF($E877="","",IFERROR(VLOOKUP($C877,_CONFIG_Risk_Calibration!$A$5:$H$21,3,FALSE),0))</f>
        <v>0</v>
      </c>
      <c r="BL877">
        <f>IF($E877="","",IFERROR(VLOOKUP($C877,_CONFIG_Risk_Calibration!$A$5:$H$21,4,FALSE),3))</f>
        <v>3</v>
      </c>
      <c r="BM877">
        <f>IF($E877="","",IFERROR(VLOOKUP($C877,_CONFIG_Risk_Calibration!$A$5:$H$21,5,FALSE),3))</f>
        <v>4</v>
      </c>
      <c r="BN877" t="str">
        <f>IF($E877="","",IFERROR(VLOOKUP($C877,_CONFIG_Risk_Calibration!$A$5:$H$21,6,FALSE),"No"))</f>
        <v>Yes</v>
      </c>
      <c r="BO877">
        <f>IF($E877="","",IFERROR(VLOOKUP($C877,_CONFIG_Risk_Calibration!$A$5:$H$21,7,FALSE),1))</f>
        <v>5</v>
      </c>
      <c r="BP877">
        <f>IF($H877="","",MAX(1,MIN(5,((6-$H877)*0.45)+($BJ877*0.2)+('Resilience &amp; Risk Scenario'!$B$7*0.15)+($BK877*0.1)+($BL877*0.05)+(IF($BB877="Fast",5,IF($BB877="Slow",1,3))*0.05))))</f>
        <v>3.7</v>
      </c>
      <c r="BQ877">
        <f t="shared" si="205"/>
        <v>5</v>
      </c>
      <c r="BR877">
        <f t="shared" si="206"/>
        <v>18.5</v>
      </c>
      <c r="BS877">
        <f t="shared" si="207"/>
        <v>25.44</v>
      </c>
      <c r="BT877" t="str">
        <f>IFERROR(INDEX(_REF_Capability_Bridge!$D:$D,MATCH($C877&amp;"|"&amp;$D877,_REF_Capability_Bridge!$J:$J,0)),IFERROR(INDEX(_REF_Capability_Bridge!$D:$D,MATCH($C877&amp;"|",_REF_Capability_Bridge!$J:$J,0)),"CAP_GENERIC"))</f>
        <v>CAP_IAM_PAM</v>
      </c>
      <c r="BU877">
        <f>IFERROR(IFERROR(INDEX(_ENGINE_Relevance!$L:$L,MATCH($BT877,_ENGINE_Relevance!$B:$B,0)),1),1)</f>
        <v>1</v>
      </c>
      <c r="BV877" t="str">
        <f>IFERROR(INDEX(_REF_Capability_Bridge!$A:$A,MATCH($C877&amp;"|"&amp;$D877,_REF_Capability_Bridge!$J:$J,0)),IFERROR(INDEX(_REF_Capability_Bridge!$A:$A,MATCH($C877&amp;"|",_REF_Capability_Bridge!$J:$J,0)),"No bridge"))</f>
        <v>BRG-014</v>
      </c>
      <c r="BW877" t="str">
        <f t="shared" si="208"/>
        <v>Capability relevance neutral</v>
      </c>
      <c r="BX877" t="str">
        <f t="shared" si="209"/>
        <v>Initial / absent</v>
      </c>
      <c r="BY877" t="str">
        <f>IF($E877="","",IFERROR(INDEX(_REF_Treatment_Library!$A$2:$A$296,MATCH(1,INDEX((_REF_Treatment_Library!$B$2:$B$296=$BT877)*(_REF_Treatment_Library!$C$2:$C$296=PV_Canonical_Industry)*(_REF_Treatment_Library!$E$2:$E$296&lt;=N($H877))*(_REF_Treatment_Library!$F$2:$F$296&gt;=N($H877))*(_REF_Treatment_Library!$O$2:$O$296="Yes"),0),0)),IFERROR(INDEX(_REF_Treatment_Library!$A$2:$A$296,MATCH(1,INDEX((_REF_Treatment_Library!$B$2:$B$296=$BT877)*(_REF_Treatment_Library!$C$2:$C$296="All")*(_REF_Treatment_Library!$E$2:$E$296&lt;=N($H877))*(_REF_Treatment_Library!$F$2:$F$296&gt;=N($H877))*(_REF_Treatment_Library!$O$2:$O$296="Yes"),0),0)),"")))</f>
        <v>TRT-IAM_PAM-INITIAL</v>
      </c>
      <c r="BZ877" t="str">
        <f>IF($BY877="","",IFERROR(INDEX(_REF_Treatment_Library!$H$2:$H$296,MATCH($BY877,_REF_Treatment_Library!$A$2:$A$296,0)),""))</f>
        <v>Establish</v>
      </c>
      <c r="CA877" t="str">
        <f>IF($BY877="","",IFERROR(INDEX(_REF_Treatment_Library!$I$2:$I$296,MATCH($BY877,_REF_Treatment_Library!$A$2:$A$296,0)),""))</f>
        <v>Establish baseline controls for Identity / PAM</v>
      </c>
      <c r="CB877" t="str">
        <f>IF($BY877="","",IFERROR(INDEX(_REF_Treatment_Library!$K$2:$K$296,MATCH($BY877,_REF_Treatment_Library!$A$2:$A$296,0)),""))</f>
        <v>Named owner, baseline process, minimum control checklist, first evidence package</v>
      </c>
      <c r="CC877" t="str">
        <f>IF($BY877="","",IFERROR(INDEX(_REF_Treatment_Library!$L$2:$L$296,MATCH($BY877,_REF_Treatment_Library!$A$2:$A$296,0)),""))</f>
        <v>Owner assigned; baseline evidence coverage; open critical gaps</v>
      </c>
      <c r="CD877" t="str">
        <f t="shared" si="210"/>
        <v>Treatment by capability=CAP_IAM_PAM; band=Initial / absent; score=0.0; treatment=Establish</v>
      </c>
      <c r="CE877" t="str">
        <f>IF($E877="","",IFERROR(INDEX(_REF_Industry_Wording!$A$2:$A$70,MATCH(1,INDEX((_REF_Industry_Wording!$B$2:$B$70=$BT877)*(_REF_Industry_Wording!$C$2:$C$70=PV_Canonical_Industry)*(_REF_Industry_Wording!$K$2:$K$70="Yes"),0),0)),IFERROR(INDEX(_REF_Industry_Wording!$A$2:$A$70,MATCH(1,INDEX((_REF_Industry_Wording!$B$2:$B$70=$BT877)*(_REF_Industry_Wording!$C$2:$C$70="All")*(_REF_Industry_Wording!$K$2:$K$70="Yes"),0),0)),"")))</f>
        <v>IW-ALL-IAM_PAM</v>
      </c>
      <c r="CF877" t="str">
        <f>IF($CE877="","",IFERROR(INDEX(_REF_Industry_Wording!$E$2:$E$70,MATCH($CE877,_REF_Industry_Wording!$A$2:$A$70,0)),""))</f>
        <v>Identity / PAM weakness</v>
      </c>
      <c r="CG877" t="str">
        <f>IF($CE877="","",IFERROR(INDEX(_REF_Industry_Wording!$F$2:$F$70,MATCH($CE877,_REF_Industry_Wording!$A$2:$A$70,0)),""))</f>
        <v>Strengthen Identity / PAM</v>
      </c>
      <c r="CH877" t="str">
        <f>IF($CE877="","",IFERROR(INDEX(_REF_Industry_Wording!$G$2:$G$70,MATCH($CE877,_REF_Industry_Wording!$A$2:$A$70,0)),""))</f>
        <v>Strengthen Identity / PAM using the selected maturity treatment, crisis scenario and evidence requirements.</v>
      </c>
      <c r="CI877" t="str">
        <f>IF($CE877="","",IFERROR(INDEX(_REF_Industry_Wording!$H$2:$H$70,MATCH($CE877,_REF_Industry_Wording!$A$2:$A$70,0)),""))</f>
        <v>Identity / PAM</v>
      </c>
      <c r="CJ877">
        <f>IF($CE877="","",IFERROR(INDEX(_REF_Industry_Wording!$I$2:$I$70,MATCH($CE877,_REF_Industry_Wording!$A$2:$A$70,0)),""))</f>
        <v>0</v>
      </c>
      <c r="CK877" t="str">
        <f>IF($CE877="","",IFERROR(INDEX(_REF_Industry_Wording!$J$2:$J$70,MATCH($CE877,_REF_Industry_Wording!$A$2:$A$70,0)),""))</f>
        <v>Identity / PAM</v>
      </c>
      <c r="CL877" t="str">
        <f t="shared" si="211"/>
        <v>Wording by industry=0; capability=CAP_IAM_PAM; risk label=Identity / PAM weakness</v>
      </c>
      <c r="CM877" t="str">
        <f t="shared" si="212"/>
        <v>RISK-ONT-0378</v>
      </c>
      <c r="CN877" t="str">
        <f t="shared" si="213"/>
        <v>RISK-EVT-0378</v>
      </c>
      <c r="CO877" t="str">
        <f t="shared" si="214"/>
        <v>Cyber Privacy|Identity and access|CYBE-010|CAP_IAM_PAM</v>
      </c>
      <c r="CP877" t="str">
        <f t="shared" si="215"/>
        <v>Active</v>
      </c>
      <c r="CQ877" t="str">
        <f t="shared" si="216"/>
        <v>OK: capability-driven</v>
      </c>
      <c r="CR877" t="str">
        <f t="shared" si="217"/>
        <v>Risk ontology uses capability=CAP_IAM_PAM; bridge=BRG-014; treatment=TRT-IAM_PAM-INITIAL; wording=IW-ALL-IAM_PAM</v>
      </c>
      <c r="CS877" t="str">
        <f t="shared" si="218"/>
        <v>Yes</v>
      </c>
    </row>
    <row r="878" spans="1:97" ht="69.900000000000006" customHeight="1">
      <c r="A878">
        <f>IF(OR($B878&lt;&gt;"Yes",$BS878=""),"",SUMPRODUCT(($B$500:$B$923="Yes")*ISNUMBER($BS$500:$BS$923)*($BS$500:$BS$923&gt;$BS878))+COUNTIFS($B$500:$B878,"Yes",$BS$500:$BS878,$BS878))</f>
        <v>27</v>
      </c>
      <c r="B878" t="str">
        <f t="shared" si="187"/>
        <v>Yes</v>
      </c>
      <c r="C878" t="s">
        <v>2986</v>
      </c>
      <c r="D878" t="s">
        <v>3003</v>
      </c>
      <c r="E878" t="s">
        <v>3062</v>
      </c>
      <c r="F878" t="s">
        <v>4460</v>
      </c>
      <c r="G878" t="str">
        <f>IF($H878="","",IFERROR(INDEX(_ENGINE_Risk!$H$5:$M$499,MATCH($E878,_ENGINE_Risk!$A$5:$A$499,0),$H878+1),""))</f>
        <v>Severe risk: third-party access that is limited, monitored, time-bound and reviewed is not reliably controlled. During Cyberattack; Data breach; Ransomware; Insider threat, the organization may face security incident, data breach, privilege misuse, privacy violation and regulatory exposure with limited visibility or accountability.</v>
      </c>
      <c r="H878">
        <f>IFERROR(VALUE(INDEX(_DATA_Assessment_Model!$H$5:$H$884,MATCH($E878,_DATA_Assessment_Model!$A$5:$A$884,0))),"")</f>
        <v>0</v>
      </c>
      <c r="I878" t="str">
        <f>IF($H878="","",IFERROR(INDEX(_DATA_Assessment_Model!$L$5:$L$884,MATCH($E878,_DATA_Assessment_Model!$A$5:$A$884,0)),IF($H878&lt;=1,"Critical",IF($H878=2,"High",IF($H878=3,"Medium",IF($H878=4,"Low","Resilient"))))))</f>
        <v>Critical</v>
      </c>
      <c r="J878">
        <f t="shared" si="188"/>
        <v>3.7</v>
      </c>
      <c r="K878">
        <f t="shared" si="189"/>
        <v>5</v>
      </c>
      <c r="L878">
        <f t="shared" si="190"/>
        <v>18.5</v>
      </c>
      <c r="M878">
        <f t="shared" si="191"/>
        <v>4</v>
      </c>
      <c r="N878">
        <f>IF($H878="","",IFERROR(INDEX(_ENGINE_Risk!$T$5:$Y$499,MATCH($E878,_ENGINE_Risk!$A$5:$A$499,0),$H878+1),""))</f>
        <v>4</v>
      </c>
      <c r="O878">
        <f t="shared" si="192"/>
        <v>4.666666666666667</v>
      </c>
      <c r="P878">
        <f t="shared" si="193"/>
        <v>5</v>
      </c>
      <c r="Q878">
        <f t="shared" si="194"/>
        <v>5</v>
      </c>
      <c r="R878">
        <f t="shared" si="195"/>
        <v>5</v>
      </c>
      <c r="S878">
        <f t="shared" si="196"/>
        <v>1.23</v>
      </c>
      <c r="T878" t="str">
        <f>IF($H878="","",IFERROR(INDEX(_ENGINE_Risk!$N$5:$S$499,MATCH($E878,_ENGINE_Risk!$A$5:$A$499,0),$H878+1),""))</f>
        <v>Create an immediate risk owner, minimum control baseline and fallback procedure for third-party access that is limited, monitored, time-bound and reviewed. Add it to the crisis risk register and collect first evidence.</v>
      </c>
      <c r="U878">
        <f>IFERROR(INDEX(_DATA_Assessment_Model!$G$5:$G$884,MATCH($E878,_DATA_Assessment_Model!$A$5:$A$884,0)),"")</f>
        <v>4</v>
      </c>
      <c r="V878">
        <f>IFERROR(INDEX(_DATA_Assessment_Model!$W$5:$W$884,MATCH($E878,_DATA_Assessment_Model!$A$5:$A$884,0)),"")</f>
        <v>5</v>
      </c>
      <c r="W878">
        <f>IFERROR(INDEX(_DATA_Assessment_Model!$X$5:$X$884,MATCH($E878,_DATA_Assessment_Model!$A$5:$A$884,0)),"")</f>
        <v>5</v>
      </c>
      <c r="X878">
        <f>IFERROR(INDEX(_DATA_Assessment_Model!$Y$5:$Y$884,MATCH($E878,_DATA_Assessment_Model!$A$5:$A$884,0)),"")</f>
        <v>5</v>
      </c>
      <c r="Y878" t="s">
        <v>2999</v>
      </c>
      <c r="Z878" t="s">
        <v>9811</v>
      </c>
      <c r="AA878" t="s">
        <v>3064</v>
      </c>
      <c r="AB878">
        <f>IFERROR(INDEX(_DATA_Assessment_Model!$U$5:$U$884,MATCH($E878,_DATA_Assessment_Model!$A$5:$A$884,0)),"")</f>
        <v>0</v>
      </c>
      <c r="AF878" t="s">
        <v>3063</v>
      </c>
      <c r="AO878">
        <f>IF($B878="Yes",IF(IFERROR(INDEX(_ENGINE_Crisis!$F$501:$F$517,MATCH($C878,_ENGINE_Crisis!$A$501:$A$517,0)),1)=0,1,IFERROR(INDEX(_ENGINE_Crisis!$F$501:$F$517,MATCH($C878,_ENGINE_Crisis!$A$501:$A$517,0)),1)),"")</f>
        <v>1</v>
      </c>
      <c r="AP878">
        <f t="shared" si="197"/>
        <v>18.5</v>
      </c>
      <c r="AQ878">
        <f t="shared" si="198"/>
        <v>1.23</v>
      </c>
      <c r="AR878" t="str">
        <f>IFERROR(INDEX(_ENGINE_Crisis!$E$41:$E$700,MATCH('Resilience &amp; Risk Scenario'!$B$6&amp;"|"&amp;$C878,_ENGINE_Crisis!$I$41:$I$700,0)),"")</f>
        <v/>
      </c>
      <c r="AS878" t="str">
        <f>IFERROR(INDEX(_ENGINE_Crisis!$G$41:$G$700,MATCH('Resilience &amp; Risk Scenario'!$B$6&amp;"|"&amp;$C878,_ENGINE_Crisis!$I$41:$I$700,0)),"")</f>
        <v/>
      </c>
      <c r="AT878" t="str">
        <f>IFERROR(INDEX(_ENGINE_Initiatives!$A$5:$A$532,MATCH(1,INDEX((_ENGINE_Initiatives!$B$5:$B$532=$C878)*(_ENGINE_Initiatives!$C$5:$C$532=$D878),0),0)),"")</f>
        <v>INI-064</v>
      </c>
      <c r="AU878" t="str">
        <f>IFERROR(INDEX(_ENGINE_Initiatives!$F$5:$F$532,MATCH(1,INDEX((_ENGINE_Initiatives!$B$5:$B$532=$C878)*(_ENGINE_Initiatives!$C$5:$C$532=$D878),0),0)),"")</f>
        <v>Strengthen IAM, MFA, privileged access and joiner/mover/leaver controls</v>
      </c>
      <c r="AV878">
        <f>IFERROR(INDEX(_ENGINE_Initiatives!$AC$5:$AC$532,MATCH(1,INDEX((_ENGINE_Initiatives!$B$5:$B$532=$C878)*(_ENGINE_Initiatives!$C$5:$C$532=$D878),0),0)),"")</f>
        <v>1.39</v>
      </c>
      <c r="AW878" t="str">
        <f>IFERROR(INDEX(_ENGINE_Initiatives!$AE$5:$AE$532,MATCH(1,INDEX((_ENGINE_Initiatives!$B$5:$B$532=$C878)*(_ENGINE_Initiatives!$C$5:$C$532=$D878),0),0)),"")</f>
        <v>6-12 months</v>
      </c>
      <c r="AX878">
        <f>IF($B878="Yes",IFERROR((IF(SUMIFS(_REF_Model_Content!$E$1:$E$613,_REF_Model_Content!$A$1:$A$613,PV_Canonical_Industry,_REF_Model_Content!$B$1:$B$613,$C878)=0,1,SUMIFS(_REF_Model_Content!$E$1:$E$613,_REF_Model_Content!$A$1:$A$613,PV_Canonical_Industry,_REF_Model_Content!$B$1:$B$613,$C878))*IFERROR($BU878,1)),1),"")</f>
        <v>1</v>
      </c>
      <c r="AY878">
        <f t="shared" si="199"/>
        <v>18.5</v>
      </c>
      <c r="AZ878">
        <f t="shared" si="200"/>
        <v>1.23</v>
      </c>
      <c r="BB878" t="str">
        <f>IF($H878="","",IFERROR(INDEX(_ENGINE_Risk!$AE$5:$AE$499,MATCH($E878,_ENGINE_Risk!$A$5:$A$499,0)),"Medium"))</f>
        <v>Fast</v>
      </c>
      <c r="BC878">
        <f t="shared" si="201"/>
        <v>1.25</v>
      </c>
      <c r="BD878">
        <f t="shared" si="202"/>
        <v>1.23</v>
      </c>
      <c r="BF878">
        <f>IF(OR($H878="",$J878=""),"",IFERROR(VLOOKUP(ROUND($J878,0),_CONFIG_Model_Settings!$D$154:$E$158,2,0),""))</f>
        <v>0.5</v>
      </c>
      <c r="BG878">
        <f>IFERROR(IF(OR($H878="",$K878=""),"",ROUND('Company Profile'!$B$113*INDEX(_CONFIG_Model_Settings!$H$154:$H$158,MATCH(ROUND($K878,0),_CONFIG_Model_Settings!$G$154:$G$158,0)),0)),0)</f>
        <v>1875</v>
      </c>
      <c r="BH878">
        <f t="shared" si="203"/>
        <v>937.5</v>
      </c>
      <c r="BI878">
        <f t="shared" si="204"/>
        <v>937.5</v>
      </c>
      <c r="BJ878">
        <f>IF($E878="","",IFERROR(VLOOKUP($C878,_CONFIG_Risk_Calibration!$A$5:$H$21,2,FALSE),3))</f>
        <v>3</v>
      </c>
      <c r="BK878">
        <f>IF($E878="","",IFERROR(VLOOKUP($C878,_CONFIG_Risk_Calibration!$A$5:$H$21,3,FALSE),0))</f>
        <v>0</v>
      </c>
      <c r="BL878">
        <f>IF($E878="","",IFERROR(VLOOKUP($C878,_CONFIG_Risk_Calibration!$A$5:$H$21,4,FALSE),3))</f>
        <v>3</v>
      </c>
      <c r="BM878">
        <f>IF($E878="","",IFERROR(VLOOKUP($C878,_CONFIG_Risk_Calibration!$A$5:$H$21,5,FALSE),3))</f>
        <v>4</v>
      </c>
      <c r="BN878" t="str">
        <f>IF($E878="","",IFERROR(VLOOKUP($C878,_CONFIG_Risk_Calibration!$A$5:$H$21,6,FALSE),"No"))</f>
        <v>Yes</v>
      </c>
      <c r="BO878">
        <f>IF($E878="","",IFERROR(VLOOKUP($C878,_CONFIG_Risk_Calibration!$A$5:$H$21,7,FALSE),1))</f>
        <v>5</v>
      </c>
      <c r="BP878">
        <f>IF($H878="","",MAX(1,MIN(5,((6-$H878)*0.45)+($BJ878*0.2)+('Resilience &amp; Risk Scenario'!$B$7*0.15)+($BK878*0.1)+($BL878*0.05)+(IF($BB878="Fast",5,IF($BB878="Slow",1,3))*0.05))))</f>
        <v>3.7</v>
      </c>
      <c r="BQ878">
        <f t="shared" si="205"/>
        <v>5</v>
      </c>
      <c r="BR878">
        <f t="shared" si="206"/>
        <v>18.5</v>
      </c>
      <c r="BS878">
        <f t="shared" si="207"/>
        <v>25.44</v>
      </c>
      <c r="BT878" t="str">
        <f>IFERROR(INDEX(_REF_Capability_Bridge!$D:$D,MATCH($C878&amp;"|"&amp;$D878,_REF_Capability_Bridge!$J:$J,0)),IFERROR(INDEX(_REF_Capability_Bridge!$D:$D,MATCH($C878&amp;"|",_REF_Capability_Bridge!$J:$J,0)),"CAP_GENERIC"))</f>
        <v>CAP_IAM_PAM</v>
      </c>
      <c r="BU878">
        <f>IFERROR(IFERROR(INDEX(_ENGINE_Relevance!$L:$L,MATCH($BT878,_ENGINE_Relevance!$B:$B,0)),1),1)</f>
        <v>1</v>
      </c>
      <c r="BV878" t="str">
        <f>IFERROR(INDEX(_REF_Capability_Bridge!$A:$A,MATCH($C878&amp;"|"&amp;$D878,_REF_Capability_Bridge!$J:$J,0)),IFERROR(INDEX(_REF_Capability_Bridge!$A:$A,MATCH($C878&amp;"|",_REF_Capability_Bridge!$J:$J,0)),"No bridge"))</f>
        <v>BRG-014</v>
      </c>
      <c r="BW878" t="str">
        <f t="shared" si="208"/>
        <v>Capability relevance neutral</v>
      </c>
      <c r="BX878" t="str">
        <f t="shared" si="209"/>
        <v>Initial / absent</v>
      </c>
      <c r="BY878" t="str">
        <f>IF($E878="","",IFERROR(INDEX(_REF_Treatment_Library!$A$2:$A$296,MATCH(1,INDEX((_REF_Treatment_Library!$B$2:$B$296=$BT878)*(_REF_Treatment_Library!$C$2:$C$296=PV_Canonical_Industry)*(_REF_Treatment_Library!$E$2:$E$296&lt;=N($H878))*(_REF_Treatment_Library!$F$2:$F$296&gt;=N($H878))*(_REF_Treatment_Library!$O$2:$O$296="Yes"),0),0)),IFERROR(INDEX(_REF_Treatment_Library!$A$2:$A$296,MATCH(1,INDEX((_REF_Treatment_Library!$B$2:$B$296=$BT878)*(_REF_Treatment_Library!$C$2:$C$296="All")*(_REF_Treatment_Library!$E$2:$E$296&lt;=N($H878))*(_REF_Treatment_Library!$F$2:$F$296&gt;=N($H878))*(_REF_Treatment_Library!$O$2:$O$296="Yes"),0),0)),"")))</f>
        <v>TRT-IAM_PAM-INITIAL</v>
      </c>
      <c r="BZ878" t="str">
        <f>IF($BY878="","",IFERROR(INDEX(_REF_Treatment_Library!$H$2:$H$296,MATCH($BY878,_REF_Treatment_Library!$A$2:$A$296,0)),""))</f>
        <v>Establish</v>
      </c>
      <c r="CA878" t="str">
        <f>IF($BY878="","",IFERROR(INDEX(_REF_Treatment_Library!$I$2:$I$296,MATCH($BY878,_REF_Treatment_Library!$A$2:$A$296,0)),""))</f>
        <v>Establish baseline controls for Identity / PAM</v>
      </c>
      <c r="CB878" t="str">
        <f>IF($BY878="","",IFERROR(INDEX(_REF_Treatment_Library!$K$2:$K$296,MATCH($BY878,_REF_Treatment_Library!$A$2:$A$296,0)),""))</f>
        <v>Named owner, baseline process, minimum control checklist, first evidence package</v>
      </c>
      <c r="CC878" t="str">
        <f>IF($BY878="","",IFERROR(INDEX(_REF_Treatment_Library!$L$2:$L$296,MATCH($BY878,_REF_Treatment_Library!$A$2:$A$296,0)),""))</f>
        <v>Owner assigned; baseline evidence coverage; open critical gaps</v>
      </c>
      <c r="CD878" t="str">
        <f t="shared" si="210"/>
        <v>Treatment by capability=CAP_IAM_PAM; band=Initial / absent; score=0.0; treatment=Establish</v>
      </c>
      <c r="CE878" t="str">
        <f>IF($E878="","",IFERROR(INDEX(_REF_Industry_Wording!$A$2:$A$70,MATCH(1,INDEX((_REF_Industry_Wording!$B$2:$B$70=$BT878)*(_REF_Industry_Wording!$C$2:$C$70=PV_Canonical_Industry)*(_REF_Industry_Wording!$K$2:$K$70="Yes"),0),0)),IFERROR(INDEX(_REF_Industry_Wording!$A$2:$A$70,MATCH(1,INDEX((_REF_Industry_Wording!$B$2:$B$70=$BT878)*(_REF_Industry_Wording!$C$2:$C$70="All")*(_REF_Industry_Wording!$K$2:$K$70="Yes"),0),0)),"")))</f>
        <v>IW-ALL-IAM_PAM</v>
      </c>
      <c r="CF878" t="str">
        <f>IF($CE878="","",IFERROR(INDEX(_REF_Industry_Wording!$E$2:$E$70,MATCH($CE878,_REF_Industry_Wording!$A$2:$A$70,0)),""))</f>
        <v>Identity / PAM weakness</v>
      </c>
      <c r="CG878" t="str">
        <f>IF($CE878="","",IFERROR(INDEX(_REF_Industry_Wording!$F$2:$F$70,MATCH($CE878,_REF_Industry_Wording!$A$2:$A$70,0)),""))</f>
        <v>Strengthen Identity / PAM</v>
      </c>
      <c r="CH878" t="str">
        <f>IF($CE878="","",IFERROR(INDEX(_REF_Industry_Wording!$G$2:$G$70,MATCH($CE878,_REF_Industry_Wording!$A$2:$A$70,0)),""))</f>
        <v>Strengthen Identity / PAM using the selected maturity treatment, crisis scenario and evidence requirements.</v>
      </c>
      <c r="CI878" t="str">
        <f>IF($CE878="","",IFERROR(INDEX(_REF_Industry_Wording!$H$2:$H$70,MATCH($CE878,_REF_Industry_Wording!$A$2:$A$70,0)),""))</f>
        <v>Identity / PAM</v>
      </c>
      <c r="CJ878">
        <f>IF($CE878="","",IFERROR(INDEX(_REF_Industry_Wording!$I$2:$I$70,MATCH($CE878,_REF_Industry_Wording!$A$2:$A$70,0)),""))</f>
        <v>0</v>
      </c>
      <c r="CK878" t="str">
        <f>IF($CE878="","",IFERROR(INDEX(_REF_Industry_Wording!$J$2:$J$70,MATCH($CE878,_REF_Industry_Wording!$A$2:$A$70,0)),""))</f>
        <v>Identity / PAM</v>
      </c>
      <c r="CL878" t="str">
        <f t="shared" si="211"/>
        <v>Wording by industry=0; capability=CAP_IAM_PAM; risk label=Identity / PAM weakness</v>
      </c>
      <c r="CM878" t="str">
        <f t="shared" si="212"/>
        <v>RISK-ONT-0379</v>
      </c>
      <c r="CN878" t="str">
        <f t="shared" si="213"/>
        <v>RISK-EVT-0379</v>
      </c>
      <c r="CO878" t="str">
        <f t="shared" si="214"/>
        <v>Cyber Privacy|Identity and access|CYBE-011|CAP_IAM_PAM</v>
      </c>
      <c r="CP878" t="str">
        <f t="shared" si="215"/>
        <v>Active</v>
      </c>
      <c r="CQ878" t="str">
        <f t="shared" si="216"/>
        <v>OK: capability-driven</v>
      </c>
      <c r="CR878" t="str">
        <f t="shared" si="217"/>
        <v>Risk ontology uses capability=CAP_IAM_PAM; bridge=BRG-014; treatment=TRT-IAM_PAM-INITIAL; wording=IW-ALL-IAM_PAM</v>
      </c>
      <c r="CS878" t="str">
        <f t="shared" si="218"/>
        <v>Yes</v>
      </c>
    </row>
    <row r="879" spans="1:97" ht="69.900000000000006" customHeight="1">
      <c r="A879">
        <f>IF(OR($B879&lt;&gt;"Yes",$BS879=""),"",SUMPRODUCT(($B$500:$B$923="Yes")*ISNUMBER($BS$500:$BS$923)*($BS$500:$BS$923&gt;$BS879))+COUNTIFS($B$500:$B879,"Yes",$BS$500:$BS879,$BS879))</f>
        <v>28</v>
      </c>
      <c r="B879" t="str">
        <f t="shared" si="187"/>
        <v>Yes</v>
      </c>
      <c r="C879" t="s">
        <v>2986</v>
      </c>
      <c r="D879" t="s">
        <v>3003</v>
      </c>
      <c r="E879" t="s">
        <v>3071</v>
      </c>
      <c r="F879" t="s">
        <v>4460</v>
      </c>
      <c r="G879" t="str">
        <f>IF($H879="","",IFERROR(INDEX(_ENGINE_Risk!$H$5:$M$499,MATCH($E879,_ENGINE_Risk!$A$5:$A$499,0),$H879+1),""))</f>
        <v>Severe risk: access reviews for critical systems, datasets, ERP, CRM, HRMS, MES and cloud is not reliably controlled. During Cyberattack; Data breach; Ransomware; Insider threat, the organization may face security incident, data breach, privilege misuse, privacy violation and regulatory exposure with limited visibility or accountability.</v>
      </c>
      <c r="H879">
        <f>IFERROR(VALUE(INDEX(_DATA_Assessment_Model!$H$5:$H$884,MATCH($E879,_DATA_Assessment_Model!$A$5:$A$884,0))),"")</f>
        <v>0</v>
      </c>
      <c r="I879" t="str">
        <f>IF($H879="","",IFERROR(INDEX(_DATA_Assessment_Model!$L$5:$L$884,MATCH($E879,_DATA_Assessment_Model!$A$5:$A$884,0)),IF($H879&lt;=1,"Critical",IF($H879=2,"High",IF($H879=3,"Medium",IF($H879=4,"Low","Resilient"))))))</f>
        <v>Critical</v>
      </c>
      <c r="J879">
        <f t="shared" si="188"/>
        <v>3.7</v>
      </c>
      <c r="K879">
        <f t="shared" si="189"/>
        <v>5</v>
      </c>
      <c r="L879">
        <f t="shared" si="190"/>
        <v>18.5</v>
      </c>
      <c r="M879">
        <f t="shared" si="191"/>
        <v>4</v>
      </c>
      <c r="N879">
        <f>IF($H879="","",IFERROR(INDEX(_ENGINE_Risk!$T$5:$Y$499,MATCH($E879,_ENGINE_Risk!$A$5:$A$499,0),$H879+1),""))</f>
        <v>4</v>
      </c>
      <c r="O879">
        <f t="shared" si="192"/>
        <v>5</v>
      </c>
      <c r="P879">
        <f t="shared" si="193"/>
        <v>5</v>
      </c>
      <c r="Q879">
        <f t="shared" si="194"/>
        <v>5</v>
      </c>
      <c r="R879">
        <f t="shared" si="195"/>
        <v>5</v>
      </c>
      <c r="S879">
        <f t="shared" si="196"/>
        <v>1.25</v>
      </c>
      <c r="T879" t="str">
        <f>IF($H879="","",IFERROR(INDEX(_ENGINE_Risk!$N$5:$S$499,MATCH($E879,_ENGINE_Risk!$A$5:$A$499,0),$H879+1),""))</f>
        <v>Create an immediate risk owner, minimum control baseline and fallback procedure for access reviews for critical systems, datasets, ERP, CRM, HRMS, MES and cloud. Add it to the crisis risk register and collect first evidence.</v>
      </c>
      <c r="U879">
        <f>IFERROR(INDEX(_DATA_Assessment_Model!$G$5:$G$884,MATCH($E879,_DATA_Assessment_Model!$A$5:$A$884,0)),"")</f>
        <v>5</v>
      </c>
      <c r="V879">
        <f>IFERROR(INDEX(_DATA_Assessment_Model!$W$5:$W$884,MATCH($E879,_DATA_Assessment_Model!$A$5:$A$884,0)),"")</f>
        <v>5</v>
      </c>
      <c r="W879">
        <f>IFERROR(INDEX(_DATA_Assessment_Model!$X$5:$X$884,MATCH($E879,_DATA_Assessment_Model!$A$5:$A$884,0)),"")</f>
        <v>5</v>
      </c>
      <c r="X879">
        <f>IFERROR(INDEX(_DATA_Assessment_Model!$Y$5:$Y$884,MATCH($E879,_DATA_Assessment_Model!$A$5:$A$884,0)),"")</f>
        <v>5</v>
      </c>
      <c r="Y879" t="s">
        <v>2999</v>
      </c>
      <c r="Z879" t="s">
        <v>9811</v>
      </c>
      <c r="AA879" t="s">
        <v>3073</v>
      </c>
      <c r="AB879">
        <f>IFERROR(INDEX(_DATA_Assessment_Model!$U$5:$U$884,MATCH($E879,_DATA_Assessment_Model!$A$5:$A$884,0)),"")</f>
        <v>0</v>
      </c>
      <c r="AF879" t="s">
        <v>3072</v>
      </c>
      <c r="AO879">
        <f>IF($B879="Yes",IF(IFERROR(INDEX(_ENGINE_Crisis!$F$501:$F$517,MATCH($C879,_ENGINE_Crisis!$A$501:$A$517,0)),1)=0,1,IFERROR(INDEX(_ENGINE_Crisis!$F$501:$F$517,MATCH($C879,_ENGINE_Crisis!$A$501:$A$517,0)),1)),"")</f>
        <v>1</v>
      </c>
      <c r="AP879">
        <f t="shared" si="197"/>
        <v>18.5</v>
      </c>
      <c r="AQ879">
        <f t="shared" si="198"/>
        <v>1.25</v>
      </c>
      <c r="AR879" t="str">
        <f>IFERROR(INDEX(_ENGINE_Crisis!$E$41:$E$700,MATCH('Resilience &amp; Risk Scenario'!$B$6&amp;"|"&amp;$C879,_ENGINE_Crisis!$I$41:$I$700,0)),"")</f>
        <v/>
      </c>
      <c r="AS879" t="str">
        <f>IFERROR(INDEX(_ENGINE_Crisis!$G$41:$G$700,MATCH('Resilience &amp; Risk Scenario'!$B$6&amp;"|"&amp;$C879,_ENGINE_Crisis!$I$41:$I$700,0)),"")</f>
        <v/>
      </c>
      <c r="AT879" t="str">
        <f>IFERROR(INDEX(_ENGINE_Initiatives!$A$5:$A$532,MATCH(1,INDEX((_ENGINE_Initiatives!$B$5:$B$532=$C879)*(_ENGINE_Initiatives!$C$5:$C$532=$D879),0),0)),"")</f>
        <v>INI-064</v>
      </c>
      <c r="AU879" t="str">
        <f>IFERROR(INDEX(_ENGINE_Initiatives!$F$5:$F$532,MATCH(1,INDEX((_ENGINE_Initiatives!$B$5:$B$532=$C879)*(_ENGINE_Initiatives!$C$5:$C$532=$D879),0),0)),"")</f>
        <v>Strengthen IAM, MFA, privileged access and joiner/mover/leaver controls</v>
      </c>
      <c r="AV879">
        <f>IFERROR(INDEX(_ENGINE_Initiatives!$AC$5:$AC$532,MATCH(1,INDEX((_ENGINE_Initiatives!$B$5:$B$532=$C879)*(_ENGINE_Initiatives!$C$5:$C$532=$D879),0),0)),"")</f>
        <v>1.39</v>
      </c>
      <c r="AW879" t="str">
        <f>IFERROR(INDEX(_ENGINE_Initiatives!$AE$5:$AE$532,MATCH(1,INDEX((_ENGINE_Initiatives!$B$5:$B$532=$C879)*(_ENGINE_Initiatives!$C$5:$C$532=$D879),0),0)),"")</f>
        <v>6-12 months</v>
      </c>
      <c r="AX879">
        <f>IF($B879="Yes",IFERROR((IF(SUMIFS(_REF_Model_Content!$E$1:$E$613,_REF_Model_Content!$A$1:$A$613,PV_Canonical_Industry,_REF_Model_Content!$B$1:$B$613,$C879)=0,1,SUMIFS(_REF_Model_Content!$E$1:$E$613,_REF_Model_Content!$A$1:$A$613,PV_Canonical_Industry,_REF_Model_Content!$B$1:$B$613,$C879))*IFERROR($BU879,1)),1),"")</f>
        <v>1</v>
      </c>
      <c r="AY879">
        <f t="shared" si="199"/>
        <v>18.5</v>
      </c>
      <c r="AZ879">
        <f t="shared" si="200"/>
        <v>1.25</v>
      </c>
      <c r="BB879" t="str">
        <f>IF($H879="","",IFERROR(INDEX(_ENGINE_Risk!$AE$5:$AE$499,MATCH($E879,_ENGINE_Risk!$A$5:$A$499,0)),"Medium"))</f>
        <v>Fast</v>
      </c>
      <c r="BC879">
        <f t="shared" si="201"/>
        <v>1.25</v>
      </c>
      <c r="BD879">
        <f t="shared" si="202"/>
        <v>1.25</v>
      </c>
      <c r="BF879">
        <f>IF(OR($H879="",$J879=""),"",IFERROR(VLOOKUP(ROUND($J879,0),_CONFIG_Model_Settings!$D$154:$E$158,2,0),""))</f>
        <v>0.5</v>
      </c>
      <c r="BG879">
        <f>IFERROR(IF(OR($H879="",$K879=""),"",ROUND('Company Profile'!$B$113*INDEX(_CONFIG_Model_Settings!$H$154:$H$158,MATCH(ROUND($K879,0),_CONFIG_Model_Settings!$G$154:$G$158,0)),0)),0)</f>
        <v>1875</v>
      </c>
      <c r="BH879">
        <f t="shared" si="203"/>
        <v>937.5</v>
      </c>
      <c r="BI879">
        <f t="shared" si="204"/>
        <v>937.5</v>
      </c>
      <c r="BJ879">
        <f>IF($E879="","",IFERROR(VLOOKUP($C879,_CONFIG_Risk_Calibration!$A$5:$H$21,2,FALSE),3))</f>
        <v>3</v>
      </c>
      <c r="BK879">
        <f>IF($E879="","",IFERROR(VLOOKUP($C879,_CONFIG_Risk_Calibration!$A$5:$H$21,3,FALSE),0))</f>
        <v>0</v>
      </c>
      <c r="BL879">
        <f>IF($E879="","",IFERROR(VLOOKUP($C879,_CONFIG_Risk_Calibration!$A$5:$H$21,4,FALSE),3))</f>
        <v>3</v>
      </c>
      <c r="BM879">
        <f>IF($E879="","",IFERROR(VLOOKUP($C879,_CONFIG_Risk_Calibration!$A$5:$H$21,5,FALSE),3))</f>
        <v>4</v>
      </c>
      <c r="BN879" t="str">
        <f>IF($E879="","",IFERROR(VLOOKUP($C879,_CONFIG_Risk_Calibration!$A$5:$H$21,6,FALSE),"No"))</f>
        <v>Yes</v>
      </c>
      <c r="BO879">
        <f>IF($E879="","",IFERROR(VLOOKUP($C879,_CONFIG_Risk_Calibration!$A$5:$H$21,7,FALSE),1))</f>
        <v>5</v>
      </c>
      <c r="BP879">
        <f>IF($H879="","",MAX(1,MIN(5,((6-$H879)*0.45)+($BJ879*0.2)+('Resilience &amp; Risk Scenario'!$B$7*0.15)+($BK879*0.1)+($BL879*0.05)+(IF($BB879="Fast",5,IF($BB879="Slow",1,3))*0.05))))</f>
        <v>3.7</v>
      </c>
      <c r="BQ879">
        <f t="shared" si="205"/>
        <v>5</v>
      </c>
      <c r="BR879">
        <f t="shared" si="206"/>
        <v>18.5</v>
      </c>
      <c r="BS879">
        <f t="shared" si="207"/>
        <v>25.44</v>
      </c>
      <c r="BT879" t="str">
        <f>IFERROR(INDEX(_REF_Capability_Bridge!$D:$D,MATCH($C879&amp;"|"&amp;$D879,_REF_Capability_Bridge!$J:$J,0)),IFERROR(INDEX(_REF_Capability_Bridge!$D:$D,MATCH($C879&amp;"|",_REF_Capability_Bridge!$J:$J,0)),"CAP_GENERIC"))</f>
        <v>CAP_IAM_PAM</v>
      </c>
      <c r="BU879">
        <f>IFERROR(IFERROR(INDEX(_ENGINE_Relevance!$L:$L,MATCH($BT879,_ENGINE_Relevance!$B:$B,0)),1),1)</f>
        <v>1</v>
      </c>
      <c r="BV879" t="str">
        <f>IFERROR(INDEX(_REF_Capability_Bridge!$A:$A,MATCH($C879&amp;"|"&amp;$D879,_REF_Capability_Bridge!$J:$J,0)),IFERROR(INDEX(_REF_Capability_Bridge!$A:$A,MATCH($C879&amp;"|",_REF_Capability_Bridge!$J:$J,0)),"No bridge"))</f>
        <v>BRG-014</v>
      </c>
      <c r="BW879" t="str">
        <f t="shared" si="208"/>
        <v>Capability relevance neutral</v>
      </c>
      <c r="BX879" t="str">
        <f t="shared" si="209"/>
        <v>Initial / absent</v>
      </c>
      <c r="BY879" t="str">
        <f>IF($E879="","",IFERROR(INDEX(_REF_Treatment_Library!$A$2:$A$296,MATCH(1,INDEX((_REF_Treatment_Library!$B$2:$B$296=$BT879)*(_REF_Treatment_Library!$C$2:$C$296=PV_Canonical_Industry)*(_REF_Treatment_Library!$E$2:$E$296&lt;=N($H879))*(_REF_Treatment_Library!$F$2:$F$296&gt;=N($H879))*(_REF_Treatment_Library!$O$2:$O$296="Yes"),0),0)),IFERROR(INDEX(_REF_Treatment_Library!$A$2:$A$296,MATCH(1,INDEX((_REF_Treatment_Library!$B$2:$B$296=$BT879)*(_REF_Treatment_Library!$C$2:$C$296="All")*(_REF_Treatment_Library!$E$2:$E$296&lt;=N($H879))*(_REF_Treatment_Library!$F$2:$F$296&gt;=N($H879))*(_REF_Treatment_Library!$O$2:$O$296="Yes"),0),0)),"")))</f>
        <v>TRT-IAM_PAM-INITIAL</v>
      </c>
      <c r="BZ879" t="str">
        <f>IF($BY879="","",IFERROR(INDEX(_REF_Treatment_Library!$H$2:$H$296,MATCH($BY879,_REF_Treatment_Library!$A$2:$A$296,0)),""))</f>
        <v>Establish</v>
      </c>
      <c r="CA879" t="str">
        <f>IF($BY879="","",IFERROR(INDEX(_REF_Treatment_Library!$I$2:$I$296,MATCH($BY879,_REF_Treatment_Library!$A$2:$A$296,0)),""))</f>
        <v>Establish baseline controls for Identity / PAM</v>
      </c>
      <c r="CB879" t="str">
        <f>IF($BY879="","",IFERROR(INDEX(_REF_Treatment_Library!$K$2:$K$296,MATCH($BY879,_REF_Treatment_Library!$A$2:$A$296,0)),""))</f>
        <v>Named owner, baseline process, minimum control checklist, first evidence package</v>
      </c>
      <c r="CC879" t="str">
        <f>IF($BY879="","",IFERROR(INDEX(_REF_Treatment_Library!$L$2:$L$296,MATCH($BY879,_REF_Treatment_Library!$A$2:$A$296,0)),""))</f>
        <v>Owner assigned; baseline evidence coverage; open critical gaps</v>
      </c>
      <c r="CD879" t="str">
        <f t="shared" si="210"/>
        <v>Treatment by capability=CAP_IAM_PAM; band=Initial / absent; score=0.0; treatment=Establish</v>
      </c>
      <c r="CE879" t="str">
        <f>IF($E879="","",IFERROR(INDEX(_REF_Industry_Wording!$A$2:$A$70,MATCH(1,INDEX((_REF_Industry_Wording!$B$2:$B$70=$BT879)*(_REF_Industry_Wording!$C$2:$C$70=PV_Canonical_Industry)*(_REF_Industry_Wording!$K$2:$K$70="Yes"),0),0)),IFERROR(INDEX(_REF_Industry_Wording!$A$2:$A$70,MATCH(1,INDEX((_REF_Industry_Wording!$B$2:$B$70=$BT879)*(_REF_Industry_Wording!$C$2:$C$70="All")*(_REF_Industry_Wording!$K$2:$K$70="Yes"),0),0)),"")))</f>
        <v>IW-ALL-IAM_PAM</v>
      </c>
      <c r="CF879" t="str">
        <f>IF($CE879="","",IFERROR(INDEX(_REF_Industry_Wording!$E$2:$E$70,MATCH($CE879,_REF_Industry_Wording!$A$2:$A$70,0)),""))</f>
        <v>Identity / PAM weakness</v>
      </c>
      <c r="CG879" t="str">
        <f>IF($CE879="","",IFERROR(INDEX(_REF_Industry_Wording!$F$2:$F$70,MATCH($CE879,_REF_Industry_Wording!$A$2:$A$70,0)),""))</f>
        <v>Strengthen Identity / PAM</v>
      </c>
      <c r="CH879" t="str">
        <f>IF($CE879="","",IFERROR(INDEX(_REF_Industry_Wording!$G$2:$G$70,MATCH($CE879,_REF_Industry_Wording!$A$2:$A$70,0)),""))</f>
        <v>Strengthen Identity / PAM using the selected maturity treatment, crisis scenario and evidence requirements.</v>
      </c>
      <c r="CI879" t="str">
        <f>IF($CE879="","",IFERROR(INDEX(_REF_Industry_Wording!$H$2:$H$70,MATCH($CE879,_REF_Industry_Wording!$A$2:$A$70,0)),""))</f>
        <v>Identity / PAM</v>
      </c>
      <c r="CJ879">
        <f>IF($CE879="","",IFERROR(INDEX(_REF_Industry_Wording!$I$2:$I$70,MATCH($CE879,_REF_Industry_Wording!$A$2:$A$70,0)),""))</f>
        <v>0</v>
      </c>
      <c r="CK879" t="str">
        <f>IF($CE879="","",IFERROR(INDEX(_REF_Industry_Wording!$J$2:$J$70,MATCH($CE879,_REF_Industry_Wording!$A$2:$A$70,0)),""))</f>
        <v>Identity / PAM</v>
      </c>
      <c r="CL879" t="str">
        <f t="shared" si="211"/>
        <v>Wording by industry=0; capability=CAP_IAM_PAM; risk label=Identity / PAM weakness</v>
      </c>
      <c r="CM879" t="str">
        <f t="shared" si="212"/>
        <v>RISK-ONT-0380</v>
      </c>
      <c r="CN879" t="str">
        <f t="shared" si="213"/>
        <v>RISK-EVT-0380</v>
      </c>
      <c r="CO879" t="str">
        <f t="shared" si="214"/>
        <v>Cyber Privacy|Identity and access|CYBE-012|CAP_IAM_PAM</v>
      </c>
      <c r="CP879" t="str">
        <f t="shared" si="215"/>
        <v>Active</v>
      </c>
      <c r="CQ879" t="str">
        <f t="shared" si="216"/>
        <v>OK: capability-driven</v>
      </c>
      <c r="CR879" t="str">
        <f t="shared" si="217"/>
        <v>Risk ontology uses capability=CAP_IAM_PAM; bridge=BRG-014; treatment=TRT-IAM_PAM-INITIAL; wording=IW-ALL-IAM_PAM</v>
      </c>
      <c r="CS879" t="str">
        <f t="shared" si="218"/>
        <v>Yes</v>
      </c>
    </row>
    <row r="880" spans="1:97" ht="69.900000000000006" customHeight="1">
      <c r="A880">
        <f>IF(OR($B880&lt;&gt;"Yes",$BS880=""),"",SUMPRODUCT(($B$500:$B$923="Yes")*ISNUMBER($BS$500:$BS$923)*($BS$500:$BS$923&gt;$BS880))+COUNTIFS($B$500:$B880,"Yes",$BS$500:$BS880,$BS880))</f>
        <v>29</v>
      </c>
      <c r="B880" t="str">
        <f t="shared" si="187"/>
        <v>Yes</v>
      </c>
      <c r="C880" t="s">
        <v>2986</v>
      </c>
      <c r="D880" t="s">
        <v>3013</v>
      </c>
      <c r="E880" t="s">
        <v>3074</v>
      </c>
      <c r="F880" t="s">
        <v>4460</v>
      </c>
      <c r="G880" t="str">
        <f>IF($H880="","",IFERROR(INDEX(_ENGINE_Risk!$H$5:$M$499,MATCH($E880,_ENGINE_Risk!$A$5:$A$499,0),$H880+1),""))</f>
        <v>Severe risk: endpoint protection with EDR, disk encryption, patching and remote management is not reliably controlled. During Cyberattack; Data breach; Ransomware; Insider threat, the organization may face security incident, data breach, privilege misuse, privacy violation and regulatory exposure with limited visibility or accountability.</v>
      </c>
      <c r="H880">
        <f>IFERROR(VALUE(INDEX(_DATA_Assessment_Model!$H$5:$H$884,MATCH($E880,_DATA_Assessment_Model!$A$5:$A$884,0))),"")</f>
        <v>0</v>
      </c>
      <c r="I880" t="str">
        <f>IF($H880="","",IFERROR(INDEX(_DATA_Assessment_Model!$L$5:$L$884,MATCH($E880,_DATA_Assessment_Model!$A$5:$A$884,0)),IF($H880&lt;=1,"Critical",IF($H880=2,"High",IF($H880=3,"Medium",IF($H880=4,"Low","Resilient"))))))</f>
        <v>Critical</v>
      </c>
      <c r="J880">
        <f t="shared" si="188"/>
        <v>3.7</v>
      </c>
      <c r="K880">
        <f t="shared" si="189"/>
        <v>5</v>
      </c>
      <c r="L880">
        <f t="shared" si="190"/>
        <v>18.5</v>
      </c>
      <c r="M880">
        <f t="shared" si="191"/>
        <v>4</v>
      </c>
      <c r="N880">
        <f>IF($H880="","",IFERROR(INDEX(_ENGINE_Risk!$T$5:$Y$499,MATCH($E880,_ENGINE_Risk!$A$5:$A$499,0),$H880+1),""))</f>
        <v>4</v>
      </c>
      <c r="O880">
        <f t="shared" si="192"/>
        <v>5</v>
      </c>
      <c r="P880">
        <f t="shared" si="193"/>
        <v>5</v>
      </c>
      <c r="Q880">
        <f t="shared" si="194"/>
        <v>5</v>
      </c>
      <c r="R880">
        <f t="shared" si="195"/>
        <v>5</v>
      </c>
      <c r="S880">
        <f t="shared" si="196"/>
        <v>1.25</v>
      </c>
      <c r="T880" t="str">
        <f>IF($H880="","",IFERROR(INDEX(_ENGINE_Risk!$N$5:$S$499,MATCH($E880,_ENGINE_Risk!$A$5:$A$499,0),$H880+1),""))</f>
        <v>Create an immediate risk owner, minimum control baseline and fallback procedure for endpoint protection with EDR, disk encryption, patching and remote management. Add it to the crisis risk register and collect first evidence.</v>
      </c>
      <c r="U880">
        <f>IFERROR(INDEX(_DATA_Assessment_Model!$G$5:$G$884,MATCH($E880,_DATA_Assessment_Model!$A$5:$A$884,0)),"")</f>
        <v>5</v>
      </c>
      <c r="V880">
        <f>IFERROR(INDEX(_DATA_Assessment_Model!$W$5:$W$884,MATCH($E880,_DATA_Assessment_Model!$A$5:$A$884,0)),"")</f>
        <v>5</v>
      </c>
      <c r="W880">
        <f>IFERROR(INDEX(_DATA_Assessment_Model!$X$5:$X$884,MATCH($E880,_DATA_Assessment_Model!$A$5:$A$884,0)),"")</f>
        <v>5</v>
      </c>
      <c r="X880">
        <f>IFERROR(INDEX(_DATA_Assessment_Model!$Y$5:$Y$884,MATCH($E880,_DATA_Assessment_Model!$A$5:$A$884,0)),"")</f>
        <v>5</v>
      </c>
      <c r="Y880" t="s">
        <v>2999</v>
      </c>
      <c r="Z880" t="s">
        <v>9811</v>
      </c>
      <c r="AA880" t="s">
        <v>3076</v>
      </c>
      <c r="AB880">
        <f>IFERROR(INDEX(_DATA_Assessment_Model!$U$5:$U$884,MATCH($E880,_DATA_Assessment_Model!$A$5:$A$884,0)),"")</f>
        <v>0</v>
      </c>
      <c r="AF880" t="s">
        <v>3075</v>
      </c>
      <c r="AO880">
        <f>IF($B880="Yes",IF(IFERROR(INDEX(_ENGINE_Crisis!$F$501:$F$517,MATCH($C880,_ENGINE_Crisis!$A$501:$A$517,0)),1)=0,1,IFERROR(INDEX(_ENGINE_Crisis!$F$501:$F$517,MATCH($C880,_ENGINE_Crisis!$A$501:$A$517,0)),1)),"")</f>
        <v>1</v>
      </c>
      <c r="AP880">
        <f t="shared" si="197"/>
        <v>18.5</v>
      </c>
      <c r="AQ880">
        <f t="shared" si="198"/>
        <v>1.25</v>
      </c>
      <c r="AR880" t="str">
        <f>IFERROR(INDEX(_ENGINE_Crisis!$E$41:$E$700,MATCH('Resilience &amp; Risk Scenario'!$B$6&amp;"|"&amp;$C880,_ENGINE_Crisis!$I$41:$I$700,0)),"")</f>
        <v/>
      </c>
      <c r="AS880" t="str">
        <f>IFERROR(INDEX(_ENGINE_Crisis!$G$41:$G$700,MATCH('Resilience &amp; Risk Scenario'!$B$6&amp;"|"&amp;$C880,_ENGINE_Crisis!$I$41:$I$700,0)),"")</f>
        <v/>
      </c>
      <c r="AT880" t="str">
        <f>IFERROR(INDEX(_ENGINE_Initiatives!$A$5:$A$532,MATCH(1,INDEX((_ENGINE_Initiatives!$B$5:$B$532=$C880)*(_ENGINE_Initiatives!$C$5:$C$532=$D880),0),0)),"")</f>
        <v>INI-065</v>
      </c>
      <c r="AU880" t="str">
        <f>IFERROR(INDEX(_ENGINE_Initiatives!$F$5:$F$532,MATCH(1,INDEX((_ENGINE_Initiatives!$B$5:$B$532=$C880)*(_ENGINE_Initiatives!$C$5:$C$532=$D880),0),0)),"")</f>
        <v>Improve endpoint, network, backup and vulnerability protection</v>
      </c>
      <c r="AV880">
        <f>IFERROR(INDEX(_ENGINE_Initiatives!$AC$5:$AC$532,MATCH(1,INDEX((_ENGINE_Initiatives!$B$5:$B$532=$C880)*(_ENGINE_Initiatives!$C$5:$C$532=$D880),0),0)),"")</f>
        <v>1.39</v>
      </c>
      <c r="AW880" t="str">
        <f>IFERROR(INDEX(_ENGINE_Initiatives!$AE$5:$AE$532,MATCH(1,INDEX((_ENGINE_Initiatives!$B$5:$B$532=$C880)*(_ENGINE_Initiatives!$C$5:$C$532=$D880),0),0)),"")</f>
        <v>6-12 months</v>
      </c>
      <c r="AX880">
        <f>IF($B880="Yes",IFERROR((IF(SUMIFS(_REF_Model_Content!$E$1:$E$613,_REF_Model_Content!$A$1:$A$613,PV_Canonical_Industry,_REF_Model_Content!$B$1:$B$613,$C880)=0,1,SUMIFS(_REF_Model_Content!$E$1:$E$613,_REF_Model_Content!$A$1:$A$613,PV_Canonical_Industry,_REF_Model_Content!$B$1:$B$613,$C880))*IFERROR($BU880,1)),1),"")</f>
        <v>1</v>
      </c>
      <c r="AY880">
        <f t="shared" si="199"/>
        <v>18.5</v>
      </c>
      <c r="AZ880">
        <f t="shared" si="200"/>
        <v>1.25</v>
      </c>
      <c r="BB880" t="str">
        <f>IF($H880="","",IFERROR(INDEX(_ENGINE_Risk!$AE$5:$AE$499,MATCH($E880,_ENGINE_Risk!$A$5:$A$499,0)),"Medium"))</f>
        <v>Fast</v>
      </c>
      <c r="BC880">
        <f t="shared" si="201"/>
        <v>1.25</v>
      </c>
      <c r="BD880">
        <f t="shared" si="202"/>
        <v>1.25</v>
      </c>
      <c r="BF880">
        <f>IF(OR($H880="",$J880=""),"",IFERROR(VLOOKUP(ROUND($J880,0),_CONFIG_Model_Settings!$D$154:$E$158,2,0),""))</f>
        <v>0.5</v>
      </c>
      <c r="BG880">
        <f>IFERROR(IF(OR($H880="",$K880=""),"",ROUND('Company Profile'!$B$113*INDEX(_CONFIG_Model_Settings!$H$154:$H$158,MATCH(ROUND($K880,0),_CONFIG_Model_Settings!$G$154:$G$158,0)),0)),0)</f>
        <v>1875</v>
      </c>
      <c r="BH880">
        <f t="shared" si="203"/>
        <v>937.5</v>
      </c>
      <c r="BI880">
        <f t="shared" si="204"/>
        <v>937.5</v>
      </c>
      <c r="BJ880">
        <f>IF($E880="","",IFERROR(VLOOKUP($C880,_CONFIG_Risk_Calibration!$A$5:$H$21,2,FALSE),3))</f>
        <v>3</v>
      </c>
      <c r="BK880">
        <f>IF($E880="","",IFERROR(VLOOKUP($C880,_CONFIG_Risk_Calibration!$A$5:$H$21,3,FALSE),0))</f>
        <v>0</v>
      </c>
      <c r="BL880">
        <f>IF($E880="","",IFERROR(VLOOKUP($C880,_CONFIG_Risk_Calibration!$A$5:$H$21,4,FALSE),3))</f>
        <v>3</v>
      </c>
      <c r="BM880">
        <f>IF($E880="","",IFERROR(VLOOKUP($C880,_CONFIG_Risk_Calibration!$A$5:$H$21,5,FALSE),3))</f>
        <v>4</v>
      </c>
      <c r="BN880" t="str">
        <f>IF($E880="","",IFERROR(VLOOKUP($C880,_CONFIG_Risk_Calibration!$A$5:$H$21,6,FALSE),"No"))</f>
        <v>Yes</v>
      </c>
      <c r="BO880">
        <f>IF($E880="","",IFERROR(VLOOKUP($C880,_CONFIG_Risk_Calibration!$A$5:$H$21,7,FALSE),1))</f>
        <v>5</v>
      </c>
      <c r="BP880">
        <f>IF($H880="","",MAX(1,MIN(5,((6-$H880)*0.45)+($BJ880*0.2)+('Resilience &amp; Risk Scenario'!$B$7*0.15)+($BK880*0.1)+($BL880*0.05)+(IF($BB880="Fast",5,IF($BB880="Slow",1,3))*0.05))))</f>
        <v>3.7</v>
      </c>
      <c r="BQ880">
        <f t="shared" si="205"/>
        <v>5</v>
      </c>
      <c r="BR880">
        <f t="shared" si="206"/>
        <v>18.5</v>
      </c>
      <c r="BS880">
        <f t="shared" si="207"/>
        <v>25.44</v>
      </c>
      <c r="BT880" t="str">
        <f>IFERROR(INDEX(_REF_Capability_Bridge!$D:$D,MATCH($C880&amp;"|"&amp;$D880,_REF_Capability_Bridge!$J:$J,0)),IFERROR(INDEX(_REF_Capability_Bridge!$D:$D,MATCH($C880&amp;"|",_REF_Capability_Bridge!$J:$J,0)),"CAP_GENERIC"))</f>
        <v>CAP_BACKUP_RECOVERY</v>
      </c>
      <c r="BU880">
        <f>IFERROR(IFERROR(INDEX(_ENGINE_Relevance!$L:$L,MATCH($BT880,_ENGINE_Relevance!$B:$B,0)),1),1)</f>
        <v>1</v>
      </c>
      <c r="BV880" t="str">
        <f>IFERROR(INDEX(_REF_Capability_Bridge!$A:$A,MATCH($C880&amp;"|"&amp;$D880,_REF_Capability_Bridge!$J:$J,0)),IFERROR(INDEX(_REF_Capability_Bridge!$A:$A,MATCH($C880&amp;"|",_REF_Capability_Bridge!$J:$J,0)),"No bridge"))</f>
        <v>BRG-016</v>
      </c>
      <c r="BW880" t="str">
        <f t="shared" si="208"/>
        <v>Capability relevance neutral</v>
      </c>
      <c r="BX880" t="str">
        <f t="shared" si="209"/>
        <v>Initial / absent</v>
      </c>
      <c r="BY880" t="str">
        <f>IF($E880="","",IFERROR(INDEX(_REF_Treatment_Library!$A$2:$A$296,MATCH(1,INDEX((_REF_Treatment_Library!$B$2:$B$296=$BT880)*(_REF_Treatment_Library!$C$2:$C$296=PV_Canonical_Industry)*(_REF_Treatment_Library!$E$2:$E$296&lt;=N($H880))*(_REF_Treatment_Library!$F$2:$F$296&gt;=N($H880))*(_REF_Treatment_Library!$O$2:$O$296="Yes"),0),0)),IFERROR(INDEX(_REF_Treatment_Library!$A$2:$A$296,MATCH(1,INDEX((_REF_Treatment_Library!$B$2:$B$296=$BT880)*(_REF_Treatment_Library!$C$2:$C$296="All")*(_REF_Treatment_Library!$E$2:$E$296&lt;=N($H880))*(_REF_Treatment_Library!$F$2:$F$296&gt;=N($H880))*(_REF_Treatment_Library!$O$2:$O$296="Yes"),0),0)),"")))</f>
        <v>TRT-BACKUP_RECOVERY-INITIAL</v>
      </c>
      <c r="BZ880" t="str">
        <f>IF($BY880="","",IFERROR(INDEX(_REF_Treatment_Library!$H$2:$H$296,MATCH($BY880,_REF_Treatment_Library!$A$2:$A$296,0)),""))</f>
        <v>Establish</v>
      </c>
      <c r="CA880" t="str">
        <f>IF($BY880="","",IFERROR(INDEX(_REF_Treatment_Library!$I$2:$I$296,MATCH($BY880,_REF_Treatment_Library!$A$2:$A$296,0)),""))</f>
        <v>Establish baseline controls for Backup / recovery</v>
      </c>
      <c r="CB880" t="str">
        <f>IF($BY880="","",IFERROR(INDEX(_REF_Treatment_Library!$K$2:$K$296,MATCH($BY880,_REF_Treatment_Library!$A$2:$A$296,0)),""))</f>
        <v>Named owner, baseline process, minimum control checklist, first evidence package</v>
      </c>
      <c r="CC880" t="str">
        <f>IF($BY880="","",IFERROR(INDEX(_REF_Treatment_Library!$L$2:$L$296,MATCH($BY880,_REF_Treatment_Library!$A$2:$A$296,0)),""))</f>
        <v>Owner assigned; baseline evidence coverage; open critical gaps</v>
      </c>
      <c r="CD880" t="str">
        <f t="shared" si="210"/>
        <v>Treatment by capability=CAP_BACKUP_RECOVERY; band=Initial / absent; score=0.0; treatment=Establish</v>
      </c>
      <c r="CE880" t="str">
        <f>IF($E880="","",IFERROR(INDEX(_REF_Industry_Wording!$A$2:$A$70,MATCH(1,INDEX((_REF_Industry_Wording!$B$2:$B$70=$BT880)*(_REF_Industry_Wording!$C$2:$C$70=PV_Canonical_Industry)*(_REF_Industry_Wording!$K$2:$K$70="Yes"),0),0)),IFERROR(INDEX(_REF_Industry_Wording!$A$2:$A$70,MATCH(1,INDEX((_REF_Industry_Wording!$B$2:$B$70=$BT880)*(_REF_Industry_Wording!$C$2:$C$70="All")*(_REF_Industry_Wording!$K$2:$K$70="Yes"),0),0)),"")))</f>
        <v>IW-ALL-BACKUP_RECOVERY</v>
      </c>
      <c r="CF880" t="str">
        <f>IF($CE880="","",IFERROR(INDEX(_REF_Industry_Wording!$E$2:$E$70,MATCH($CE880,_REF_Industry_Wording!$A$2:$A$70,0)),""))</f>
        <v>Backup / recovery weakness</v>
      </c>
      <c r="CG880" t="str">
        <f>IF($CE880="","",IFERROR(INDEX(_REF_Industry_Wording!$F$2:$F$70,MATCH($CE880,_REF_Industry_Wording!$A$2:$A$70,0)),""))</f>
        <v>Strengthen Backup / recovery</v>
      </c>
      <c r="CH880" t="str">
        <f>IF($CE880="","",IFERROR(INDEX(_REF_Industry_Wording!$G$2:$G$70,MATCH($CE880,_REF_Industry_Wording!$A$2:$A$70,0)),""))</f>
        <v>Strengthen Backup / recovery using the selected maturity treatment, crisis scenario and evidence requirements.</v>
      </c>
      <c r="CI880" t="str">
        <f>IF($CE880="","",IFERROR(INDEX(_REF_Industry_Wording!$H$2:$H$70,MATCH($CE880,_REF_Industry_Wording!$A$2:$A$70,0)),""))</f>
        <v>Backup / recovery</v>
      </c>
      <c r="CJ880">
        <f>IF($CE880="","",IFERROR(INDEX(_REF_Industry_Wording!$I$2:$I$70,MATCH($CE880,_REF_Industry_Wording!$A$2:$A$70,0)),""))</f>
        <v>0</v>
      </c>
      <c r="CK880" t="str">
        <f>IF($CE880="","",IFERROR(INDEX(_REF_Industry_Wording!$J$2:$J$70,MATCH($CE880,_REF_Industry_Wording!$A$2:$A$70,0)),""))</f>
        <v>Backup / recovery</v>
      </c>
      <c r="CL880" t="str">
        <f t="shared" si="211"/>
        <v>Wording by industry=0; capability=CAP_BACKUP_RECOVERY; risk label=Backup / recovery weakness</v>
      </c>
      <c r="CM880" t="str">
        <f t="shared" si="212"/>
        <v>RISK-ONT-0381</v>
      </c>
      <c r="CN880" t="str">
        <f t="shared" si="213"/>
        <v>RISK-EVT-0381</v>
      </c>
      <c r="CO880" t="str">
        <f t="shared" si="214"/>
        <v>Cyber Privacy|Protection|CYBE-013|CAP_BACKUP_RECOVERY</v>
      </c>
      <c r="CP880" t="str">
        <f t="shared" si="215"/>
        <v>Active</v>
      </c>
      <c r="CQ880" t="str">
        <f t="shared" si="216"/>
        <v>OK: capability-driven</v>
      </c>
      <c r="CR880" t="str">
        <f t="shared" si="217"/>
        <v>Risk ontology uses capability=CAP_BACKUP_RECOVERY; bridge=BRG-016; treatment=TRT-BACKUP_RECOVERY-INITIAL; wording=IW-ALL-BACKUP_RECOVERY</v>
      </c>
      <c r="CS880" t="str">
        <f t="shared" si="218"/>
        <v>Yes</v>
      </c>
    </row>
    <row r="881" spans="1:97" ht="69.900000000000006" customHeight="1">
      <c r="A881">
        <f>IF(OR($B881&lt;&gt;"Yes",$BS881=""),"",SUMPRODUCT(($B$500:$B$923="Yes")*ISNUMBER($BS$500:$BS$923)*($BS$500:$BS$923&gt;$BS881))+COUNTIFS($B$500:$B881,"Yes",$BS$500:$BS881,$BS881))</f>
        <v>30</v>
      </c>
      <c r="B881" t="str">
        <f t="shared" si="187"/>
        <v>Yes</v>
      </c>
      <c r="C881" t="s">
        <v>2986</v>
      </c>
      <c r="D881" t="s">
        <v>3013</v>
      </c>
      <c r="E881" t="s">
        <v>3077</v>
      </c>
      <c r="F881" t="s">
        <v>4460</v>
      </c>
      <c r="G881" t="str">
        <f>IF($H881="","",IFERROR(INDEX(_ENGINE_Risk!$H$5:$M$499,MATCH($E881,_ENGINE_Risk!$A$5:$A$499,0),$H881+1),""))</f>
        <v>Severe risk: vulnerability and patch management prioritized by risk, exposure and asset criticality is not reliably controlled. During Cyberattack; Data breach; Ransomware; Insider threat, the organization may face security incident, data breach, privilege misuse, privacy violation and regulatory exposure with limited visibility or accountability.</v>
      </c>
      <c r="H881">
        <f>IFERROR(VALUE(INDEX(_DATA_Assessment_Model!$H$5:$H$884,MATCH($E881,_DATA_Assessment_Model!$A$5:$A$884,0))),"")</f>
        <v>0</v>
      </c>
      <c r="I881" t="str">
        <f>IF($H881="","",IFERROR(INDEX(_DATA_Assessment_Model!$L$5:$L$884,MATCH($E881,_DATA_Assessment_Model!$A$5:$A$884,0)),IF($H881&lt;=1,"Critical",IF($H881=2,"High",IF($H881=3,"Medium",IF($H881=4,"Low","Resilient"))))))</f>
        <v>Critical</v>
      </c>
      <c r="J881">
        <f t="shared" si="188"/>
        <v>3.7</v>
      </c>
      <c r="K881">
        <f t="shared" si="189"/>
        <v>5</v>
      </c>
      <c r="L881">
        <f t="shared" si="190"/>
        <v>18.5</v>
      </c>
      <c r="M881">
        <f t="shared" si="191"/>
        <v>4</v>
      </c>
      <c r="N881">
        <f>IF($H881="","",IFERROR(INDEX(_ENGINE_Risk!$T$5:$Y$499,MATCH($E881,_ENGINE_Risk!$A$5:$A$499,0),$H881+1),""))</f>
        <v>4</v>
      </c>
      <c r="O881">
        <f t="shared" si="192"/>
        <v>5</v>
      </c>
      <c r="P881">
        <f t="shared" si="193"/>
        <v>5</v>
      </c>
      <c r="Q881">
        <f t="shared" si="194"/>
        <v>5</v>
      </c>
      <c r="R881">
        <f t="shared" si="195"/>
        <v>5</v>
      </c>
      <c r="S881">
        <f t="shared" si="196"/>
        <v>1.25</v>
      </c>
      <c r="T881" t="str">
        <f>IF($H881="","",IFERROR(INDEX(_ENGINE_Risk!$N$5:$S$499,MATCH($E881,_ENGINE_Risk!$A$5:$A$499,0),$H881+1),""))</f>
        <v>Create an immediate risk owner, minimum control baseline and fallback procedure for vulnerability and patch management prioritized by risk, exposure and asset criticality. Add it to the crisis risk register and collect first evidence.</v>
      </c>
      <c r="U881">
        <f>IFERROR(INDEX(_DATA_Assessment_Model!$G$5:$G$884,MATCH($E881,_DATA_Assessment_Model!$A$5:$A$884,0)),"")</f>
        <v>5</v>
      </c>
      <c r="V881">
        <f>IFERROR(INDEX(_DATA_Assessment_Model!$W$5:$W$884,MATCH($E881,_DATA_Assessment_Model!$A$5:$A$884,0)),"")</f>
        <v>5</v>
      </c>
      <c r="W881">
        <f>IFERROR(INDEX(_DATA_Assessment_Model!$X$5:$X$884,MATCH($E881,_DATA_Assessment_Model!$A$5:$A$884,0)),"")</f>
        <v>5</v>
      </c>
      <c r="X881">
        <f>IFERROR(INDEX(_DATA_Assessment_Model!$Y$5:$Y$884,MATCH($E881,_DATA_Assessment_Model!$A$5:$A$884,0)),"")</f>
        <v>5</v>
      </c>
      <c r="Y881" t="s">
        <v>2999</v>
      </c>
      <c r="Z881" t="s">
        <v>9811</v>
      </c>
      <c r="AA881" t="s">
        <v>3079</v>
      </c>
      <c r="AB881">
        <f>IFERROR(INDEX(_DATA_Assessment_Model!$U$5:$U$884,MATCH($E881,_DATA_Assessment_Model!$A$5:$A$884,0)),"")</f>
        <v>0</v>
      </c>
      <c r="AF881" t="s">
        <v>3078</v>
      </c>
      <c r="AO881">
        <f>IF($B881="Yes",IF(IFERROR(INDEX(_ENGINE_Crisis!$F$501:$F$517,MATCH($C881,_ENGINE_Crisis!$A$501:$A$517,0)),1)=0,1,IFERROR(INDEX(_ENGINE_Crisis!$F$501:$F$517,MATCH($C881,_ENGINE_Crisis!$A$501:$A$517,0)),1)),"")</f>
        <v>1</v>
      </c>
      <c r="AP881">
        <f t="shared" si="197"/>
        <v>18.5</v>
      </c>
      <c r="AQ881">
        <f t="shared" si="198"/>
        <v>1.25</v>
      </c>
      <c r="AR881" t="str">
        <f>IFERROR(INDEX(_ENGINE_Crisis!$E$41:$E$700,MATCH('Resilience &amp; Risk Scenario'!$B$6&amp;"|"&amp;$C881,_ENGINE_Crisis!$I$41:$I$700,0)),"")</f>
        <v/>
      </c>
      <c r="AS881" t="str">
        <f>IFERROR(INDEX(_ENGINE_Crisis!$G$41:$G$700,MATCH('Resilience &amp; Risk Scenario'!$B$6&amp;"|"&amp;$C881,_ENGINE_Crisis!$I$41:$I$700,0)),"")</f>
        <v/>
      </c>
      <c r="AT881" t="str">
        <f>IFERROR(INDEX(_ENGINE_Initiatives!$A$5:$A$532,MATCH(1,INDEX((_ENGINE_Initiatives!$B$5:$B$532=$C881)*(_ENGINE_Initiatives!$C$5:$C$532=$D881),0),0)),"")</f>
        <v>INI-065</v>
      </c>
      <c r="AU881" t="str">
        <f>IFERROR(INDEX(_ENGINE_Initiatives!$F$5:$F$532,MATCH(1,INDEX((_ENGINE_Initiatives!$B$5:$B$532=$C881)*(_ENGINE_Initiatives!$C$5:$C$532=$D881),0),0)),"")</f>
        <v>Improve endpoint, network, backup and vulnerability protection</v>
      </c>
      <c r="AV881">
        <f>IFERROR(INDEX(_ENGINE_Initiatives!$AC$5:$AC$532,MATCH(1,INDEX((_ENGINE_Initiatives!$B$5:$B$532=$C881)*(_ENGINE_Initiatives!$C$5:$C$532=$D881),0),0)),"")</f>
        <v>1.39</v>
      </c>
      <c r="AW881" t="str">
        <f>IFERROR(INDEX(_ENGINE_Initiatives!$AE$5:$AE$532,MATCH(1,INDEX((_ENGINE_Initiatives!$B$5:$B$532=$C881)*(_ENGINE_Initiatives!$C$5:$C$532=$D881),0),0)),"")</f>
        <v>6-12 months</v>
      </c>
      <c r="AX881">
        <f>IF($B881="Yes",IFERROR((IF(SUMIFS(_REF_Model_Content!$E$1:$E$613,_REF_Model_Content!$A$1:$A$613,PV_Canonical_Industry,_REF_Model_Content!$B$1:$B$613,$C881)=0,1,SUMIFS(_REF_Model_Content!$E$1:$E$613,_REF_Model_Content!$A$1:$A$613,PV_Canonical_Industry,_REF_Model_Content!$B$1:$B$613,$C881))*IFERROR($BU881,1)),1),"")</f>
        <v>1</v>
      </c>
      <c r="AY881">
        <f t="shared" si="199"/>
        <v>18.5</v>
      </c>
      <c r="AZ881">
        <f t="shared" si="200"/>
        <v>1.25</v>
      </c>
      <c r="BB881" t="str">
        <f>IF($H881="","",IFERROR(INDEX(_ENGINE_Risk!$AE$5:$AE$499,MATCH($E881,_ENGINE_Risk!$A$5:$A$499,0)),"Medium"))</f>
        <v>Fast</v>
      </c>
      <c r="BC881">
        <f t="shared" si="201"/>
        <v>1.25</v>
      </c>
      <c r="BD881">
        <f t="shared" si="202"/>
        <v>1.25</v>
      </c>
      <c r="BF881">
        <f>IF(OR($H881="",$J881=""),"",IFERROR(VLOOKUP(ROUND($J881,0),_CONFIG_Model_Settings!$D$154:$E$158,2,0),""))</f>
        <v>0.5</v>
      </c>
      <c r="BG881">
        <f>IFERROR(IF(OR($H881="",$K881=""),"",ROUND('Company Profile'!$B$113*INDEX(_CONFIG_Model_Settings!$H$154:$H$158,MATCH(ROUND($K881,0),_CONFIG_Model_Settings!$G$154:$G$158,0)),0)),0)</f>
        <v>1875</v>
      </c>
      <c r="BH881">
        <f t="shared" si="203"/>
        <v>937.5</v>
      </c>
      <c r="BI881">
        <f t="shared" si="204"/>
        <v>937.5</v>
      </c>
      <c r="BJ881">
        <f>IF($E881="","",IFERROR(VLOOKUP($C881,_CONFIG_Risk_Calibration!$A$5:$H$21,2,FALSE),3))</f>
        <v>3</v>
      </c>
      <c r="BK881">
        <f>IF($E881="","",IFERROR(VLOOKUP($C881,_CONFIG_Risk_Calibration!$A$5:$H$21,3,FALSE),0))</f>
        <v>0</v>
      </c>
      <c r="BL881">
        <f>IF($E881="","",IFERROR(VLOOKUP($C881,_CONFIG_Risk_Calibration!$A$5:$H$21,4,FALSE),3))</f>
        <v>3</v>
      </c>
      <c r="BM881">
        <f>IF($E881="","",IFERROR(VLOOKUP($C881,_CONFIG_Risk_Calibration!$A$5:$H$21,5,FALSE),3))</f>
        <v>4</v>
      </c>
      <c r="BN881" t="str">
        <f>IF($E881="","",IFERROR(VLOOKUP($C881,_CONFIG_Risk_Calibration!$A$5:$H$21,6,FALSE),"No"))</f>
        <v>Yes</v>
      </c>
      <c r="BO881">
        <f>IF($E881="","",IFERROR(VLOOKUP($C881,_CONFIG_Risk_Calibration!$A$5:$H$21,7,FALSE),1))</f>
        <v>5</v>
      </c>
      <c r="BP881">
        <f>IF($H881="","",MAX(1,MIN(5,((6-$H881)*0.45)+($BJ881*0.2)+('Resilience &amp; Risk Scenario'!$B$7*0.15)+($BK881*0.1)+($BL881*0.05)+(IF($BB881="Fast",5,IF($BB881="Slow",1,3))*0.05))))</f>
        <v>3.7</v>
      </c>
      <c r="BQ881">
        <f t="shared" si="205"/>
        <v>5</v>
      </c>
      <c r="BR881">
        <f t="shared" si="206"/>
        <v>18.5</v>
      </c>
      <c r="BS881">
        <f t="shared" si="207"/>
        <v>25.44</v>
      </c>
      <c r="BT881" t="str">
        <f>IFERROR(INDEX(_REF_Capability_Bridge!$D:$D,MATCH($C881&amp;"|"&amp;$D881,_REF_Capability_Bridge!$J:$J,0)),IFERROR(INDEX(_REF_Capability_Bridge!$D:$D,MATCH($C881&amp;"|",_REF_Capability_Bridge!$J:$J,0)),"CAP_GENERIC"))</f>
        <v>CAP_BACKUP_RECOVERY</v>
      </c>
      <c r="BU881">
        <f>IFERROR(IFERROR(INDEX(_ENGINE_Relevance!$L:$L,MATCH($BT881,_ENGINE_Relevance!$B:$B,0)),1),1)</f>
        <v>1</v>
      </c>
      <c r="BV881" t="str">
        <f>IFERROR(INDEX(_REF_Capability_Bridge!$A:$A,MATCH($C881&amp;"|"&amp;$D881,_REF_Capability_Bridge!$J:$J,0)),IFERROR(INDEX(_REF_Capability_Bridge!$A:$A,MATCH($C881&amp;"|",_REF_Capability_Bridge!$J:$J,0)),"No bridge"))</f>
        <v>BRG-016</v>
      </c>
      <c r="BW881" t="str">
        <f t="shared" si="208"/>
        <v>Capability relevance neutral</v>
      </c>
      <c r="BX881" t="str">
        <f t="shared" si="209"/>
        <v>Initial / absent</v>
      </c>
      <c r="BY881" t="str">
        <f>IF($E881="","",IFERROR(INDEX(_REF_Treatment_Library!$A$2:$A$296,MATCH(1,INDEX((_REF_Treatment_Library!$B$2:$B$296=$BT881)*(_REF_Treatment_Library!$C$2:$C$296=PV_Canonical_Industry)*(_REF_Treatment_Library!$E$2:$E$296&lt;=N($H881))*(_REF_Treatment_Library!$F$2:$F$296&gt;=N($H881))*(_REF_Treatment_Library!$O$2:$O$296="Yes"),0),0)),IFERROR(INDEX(_REF_Treatment_Library!$A$2:$A$296,MATCH(1,INDEX((_REF_Treatment_Library!$B$2:$B$296=$BT881)*(_REF_Treatment_Library!$C$2:$C$296="All")*(_REF_Treatment_Library!$E$2:$E$296&lt;=N($H881))*(_REF_Treatment_Library!$F$2:$F$296&gt;=N($H881))*(_REF_Treatment_Library!$O$2:$O$296="Yes"),0),0)),"")))</f>
        <v>TRT-BACKUP_RECOVERY-INITIAL</v>
      </c>
      <c r="BZ881" t="str">
        <f>IF($BY881="","",IFERROR(INDEX(_REF_Treatment_Library!$H$2:$H$296,MATCH($BY881,_REF_Treatment_Library!$A$2:$A$296,0)),""))</f>
        <v>Establish</v>
      </c>
      <c r="CA881" t="str">
        <f>IF($BY881="","",IFERROR(INDEX(_REF_Treatment_Library!$I$2:$I$296,MATCH($BY881,_REF_Treatment_Library!$A$2:$A$296,0)),""))</f>
        <v>Establish baseline controls for Backup / recovery</v>
      </c>
      <c r="CB881" t="str">
        <f>IF($BY881="","",IFERROR(INDEX(_REF_Treatment_Library!$K$2:$K$296,MATCH($BY881,_REF_Treatment_Library!$A$2:$A$296,0)),""))</f>
        <v>Named owner, baseline process, minimum control checklist, first evidence package</v>
      </c>
      <c r="CC881" t="str">
        <f>IF($BY881="","",IFERROR(INDEX(_REF_Treatment_Library!$L$2:$L$296,MATCH($BY881,_REF_Treatment_Library!$A$2:$A$296,0)),""))</f>
        <v>Owner assigned; baseline evidence coverage; open critical gaps</v>
      </c>
      <c r="CD881" t="str">
        <f t="shared" si="210"/>
        <v>Treatment by capability=CAP_BACKUP_RECOVERY; band=Initial / absent; score=0.0; treatment=Establish</v>
      </c>
      <c r="CE881" t="str">
        <f>IF($E881="","",IFERROR(INDEX(_REF_Industry_Wording!$A$2:$A$70,MATCH(1,INDEX((_REF_Industry_Wording!$B$2:$B$70=$BT881)*(_REF_Industry_Wording!$C$2:$C$70=PV_Canonical_Industry)*(_REF_Industry_Wording!$K$2:$K$70="Yes"),0),0)),IFERROR(INDEX(_REF_Industry_Wording!$A$2:$A$70,MATCH(1,INDEX((_REF_Industry_Wording!$B$2:$B$70=$BT881)*(_REF_Industry_Wording!$C$2:$C$70="All")*(_REF_Industry_Wording!$K$2:$K$70="Yes"),0),0)),"")))</f>
        <v>IW-ALL-BACKUP_RECOVERY</v>
      </c>
      <c r="CF881" t="str">
        <f>IF($CE881="","",IFERROR(INDEX(_REF_Industry_Wording!$E$2:$E$70,MATCH($CE881,_REF_Industry_Wording!$A$2:$A$70,0)),""))</f>
        <v>Backup / recovery weakness</v>
      </c>
      <c r="CG881" t="str">
        <f>IF($CE881="","",IFERROR(INDEX(_REF_Industry_Wording!$F$2:$F$70,MATCH($CE881,_REF_Industry_Wording!$A$2:$A$70,0)),""))</f>
        <v>Strengthen Backup / recovery</v>
      </c>
      <c r="CH881" t="str">
        <f>IF($CE881="","",IFERROR(INDEX(_REF_Industry_Wording!$G$2:$G$70,MATCH($CE881,_REF_Industry_Wording!$A$2:$A$70,0)),""))</f>
        <v>Strengthen Backup / recovery using the selected maturity treatment, crisis scenario and evidence requirements.</v>
      </c>
      <c r="CI881" t="str">
        <f>IF($CE881="","",IFERROR(INDEX(_REF_Industry_Wording!$H$2:$H$70,MATCH($CE881,_REF_Industry_Wording!$A$2:$A$70,0)),""))</f>
        <v>Backup / recovery</v>
      </c>
      <c r="CJ881">
        <f>IF($CE881="","",IFERROR(INDEX(_REF_Industry_Wording!$I$2:$I$70,MATCH($CE881,_REF_Industry_Wording!$A$2:$A$70,0)),""))</f>
        <v>0</v>
      </c>
      <c r="CK881" t="str">
        <f>IF($CE881="","",IFERROR(INDEX(_REF_Industry_Wording!$J$2:$J$70,MATCH($CE881,_REF_Industry_Wording!$A$2:$A$70,0)),""))</f>
        <v>Backup / recovery</v>
      </c>
      <c r="CL881" t="str">
        <f t="shared" si="211"/>
        <v>Wording by industry=0; capability=CAP_BACKUP_RECOVERY; risk label=Backup / recovery weakness</v>
      </c>
      <c r="CM881" t="str">
        <f t="shared" si="212"/>
        <v>RISK-ONT-0382</v>
      </c>
      <c r="CN881" t="str">
        <f t="shared" si="213"/>
        <v>RISK-EVT-0382</v>
      </c>
      <c r="CO881" t="str">
        <f t="shared" si="214"/>
        <v>Cyber Privacy|Protection|CYBE-014|CAP_BACKUP_RECOVERY</v>
      </c>
      <c r="CP881" t="str">
        <f t="shared" si="215"/>
        <v>Active</v>
      </c>
      <c r="CQ881" t="str">
        <f t="shared" si="216"/>
        <v>OK: capability-driven</v>
      </c>
      <c r="CR881" t="str">
        <f t="shared" si="217"/>
        <v>Risk ontology uses capability=CAP_BACKUP_RECOVERY; bridge=BRG-016; treatment=TRT-BACKUP_RECOVERY-INITIAL; wording=IW-ALL-BACKUP_RECOVERY</v>
      </c>
      <c r="CS881" t="str">
        <f t="shared" si="218"/>
        <v>Yes</v>
      </c>
    </row>
    <row r="882" spans="1:97" ht="69.900000000000006" customHeight="1">
      <c r="A882">
        <f>IF(OR($B882&lt;&gt;"Yes",$BS882=""),"",SUMPRODUCT(($B$500:$B$923="Yes")*ISNUMBER($BS$500:$BS$923)*($BS$500:$BS$923&gt;$BS882))+COUNTIFS($B$500:$B882,"Yes",$BS$500:$BS882,$BS882))</f>
        <v>31</v>
      </c>
      <c r="B882" t="str">
        <f t="shared" si="187"/>
        <v>Yes</v>
      </c>
      <c r="C882" t="s">
        <v>2986</v>
      </c>
      <c r="D882" t="s">
        <v>3013</v>
      </c>
      <c r="E882" t="s">
        <v>3080</v>
      </c>
      <c r="F882" t="s">
        <v>4460</v>
      </c>
      <c r="G882" t="str">
        <f>IF($H882="","",IFERROR(INDEX(_ENGINE_Risk!$H$5:$M$499,MATCH($E882,_ENGINE_Risk!$A$5:$A$499,0),$H882+1),""))</f>
        <v>Severe risk: network segmentation for users, servers, cloud, OT, guest, production and sensitive systems is not reliably controlled. During Cyberattack; Data breach; Ransomware; Insider threat, the organization may face security incident, data breach, privilege misuse, privacy violation and regulatory exposure with limited visibility or accountability.</v>
      </c>
      <c r="H882">
        <f>IFERROR(VALUE(INDEX(_DATA_Assessment_Model!$H$5:$H$884,MATCH($E882,_DATA_Assessment_Model!$A$5:$A$884,0))),"")</f>
        <v>0</v>
      </c>
      <c r="I882" t="str">
        <f>IF($H882="","",IFERROR(INDEX(_DATA_Assessment_Model!$L$5:$L$884,MATCH($E882,_DATA_Assessment_Model!$A$5:$A$884,0)),IF($H882&lt;=1,"Critical",IF($H882=2,"High",IF($H882=3,"Medium",IF($H882=4,"Low","Resilient"))))))</f>
        <v>Critical</v>
      </c>
      <c r="J882">
        <f t="shared" si="188"/>
        <v>3.7</v>
      </c>
      <c r="K882">
        <f t="shared" si="189"/>
        <v>5</v>
      </c>
      <c r="L882">
        <f t="shared" si="190"/>
        <v>18.5</v>
      </c>
      <c r="M882">
        <f t="shared" si="191"/>
        <v>4</v>
      </c>
      <c r="N882">
        <f>IF($H882="","",IFERROR(INDEX(_ENGINE_Risk!$T$5:$Y$499,MATCH($E882,_ENGINE_Risk!$A$5:$A$499,0),$H882+1),""))</f>
        <v>4</v>
      </c>
      <c r="O882">
        <f t="shared" si="192"/>
        <v>5</v>
      </c>
      <c r="P882">
        <f t="shared" si="193"/>
        <v>5</v>
      </c>
      <c r="Q882">
        <f t="shared" si="194"/>
        <v>5</v>
      </c>
      <c r="R882">
        <f t="shared" si="195"/>
        <v>5</v>
      </c>
      <c r="S882">
        <f t="shared" si="196"/>
        <v>1.25</v>
      </c>
      <c r="T882" t="str">
        <f>IF($H882="","",IFERROR(INDEX(_ENGINE_Risk!$N$5:$S$499,MATCH($E882,_ENGINE_Risk!$A$5:$A$499,0),$H882+1),""))</f>
        <v>Create an immediate risk owner, minimum control baseline and fallback procedure for network segmentation for users, servers, cloud, OT, guest, production and sensitive systems. Add it to the crisis risk register and collect first evidence.</v>
      </c>
      <c r="U882">
        <f>IFERROR(INDEX(_DATA_Assessment_Model!$G$5:$G$884,MATCH($E882,_DATA_Assessment_Model!$A$5:$A$884,0)),"")</f>
        <v>5</v>
      </c>
      <c r="V882">
        <f>IFERROR(INDEX(_DATA_Assessment_Model!$W$5:$W$884,MATCH($E882,_DATA_Assessment_Model!$A$5:$A$884,0)),"")</f>
        <v>5</v>
      </c>
      <c r="W882">
        <f>IFERROR(INDEX(_DATA_Assessment_Model!$X$5:$X$884,MATCH($E882,_DATA_Assessment_Model!$A$5:$A$884,0)),"")</f>
        <v>5</v>
      </c>
      <c r="X882">
        <f>IFERROR(INDEX(_DATA_Assessment_Model!$Y$5:$Y$884,MATCH($E882,_DATA_Assessment_Model!$A$5:$A$884,0)),"")</f>
        <v>5</v>
      </c>
      <c r="Y882" t="s">
        <v>2999</v>
      </c>
      <c r="Z882" t="s">
        <v>9811</v>
      </c>
      <c r="AA882" t="s">
        <v>3082</v>
      </c>
      <c r="AB882">
        <f>IFERROR(INDEX(_DATA_Assessment_Model!$U$5:$U$884,MATCH($E882,_DATA_Assessment_Model!$A$5:$A$884,0)),"")</f>
        <v>0</v>
      </c>
      <c r="AF882" t="s">
        <v>3081</v>
      </c>
      <c r="AO882">
        <f>IF($B882="Yes",IF(IFERROR(INDEX(_ENGINE_Crisis!$F$501:$F$517,MATCH($C882,_ENGINE_Crisis!$A$501:$A$517,0)),1)=0,1,IFERROR(INDEX(_ENGINE_Crisis!$F$501:$F$517,MATCH($C882,_ENGINE_Crisis!$A$501:$A$517,0)),1)),"")</f>
        <v>1</v>
      </c>
      <c r="AP882">
        <f t="shared" si="197"/>
        <v>18.5</v>
      </c>
      <c r="AQ882">
        <f t="shared" si="198"/>
        <v>1.25</v>
      </c>
      <c r="AR882" t="str">
        <f>IFERROR(INDEX(_ENGINE_Crisis!$E$41:$E$700,MATCH('Resilience &amp; Risk Scenario'!$B$6&amp;"|"&amp;$C882,_ENGINE_Crisis!$I$41:$I$700,0)),"")</f>
        <v/>
      </c>
      <c r="AS882" t="str">
        <f>IFERROR(INDEX(_ENGINE_Crisis!$G$41:$G$700,MATCH('Resilience &amp; Risk Scenario'!$B$6&amp;"|"&amp;$C882,_ENGINE_Crisis!$I$41:$I$700,0)),"")</f>
        <v/>
      </c>
      <c r="AT882" t="str">
        <f>IFERROR(INDEX(_ENGINE_Initiatives!$A$5:$A$532,MATCH(1,INDEX((_ENGINE_Initiatives!$B$5:$B$532=$C882)*(_ENGINE_Initiatives!$C$5:$C$532=$D882),0),0)),"")</f>
        <v>INI-065</v>
      </c>
      <c r="AU882" t="str">
        <f>IFERROR(INDEX(_ENGINE_Initiatives!$F$5:$F$532,MATCH(1,INDEX((_ENGINE_Initiatives!$B$5:$B$532=$C882)*(_ENGINE_Initiatives!$C$5:$C$532=$D882),0),0)),"")</f>
        <v>Improve endpoint, network, backup and vulnerability protection</v>
      </c>
      <c r="AV882">
        <f>IFERROR(INDEX(_ENGINE_Initiatives!$AC$5:$AC$532,MATCH(1,INDEX((_ENGINE_Initiatives!$B$5:$B$532=$C882)*(_ENGINE_Initiatives!$C$5:$C$532=$D882),0),0)),"")</f>
        <v>1.39</v>
      </c>
      <c r="AW882" t="str">
        <f>IFERROR(INDEX(_ENGINE_Initiatives!$AE$5:$AE$532,MATCH(1,INDEX((_ENGINE_Initiatives!$B$5:$B$532=$C882)*(_ENGINE_Initiatives!$C$5:$C$532=$D882),0),0)),"")</f>
        <v>6-12 months</v>
      </c>
      <c r="AX882">
        <f>IF($B882="Yes",IFERROR((IF(SUMIFS(_REF_Model_Content!$E$1:$E$613,_REF_Model_Content!$A$1:$A$613,PV_Canonical_Industry,_REF_Model_Content!$B$1:$B$613,$C882)=0,1,SUMIFS(_REF_Model_Content!$E$1:$E$613,_REF_Model_Content!$A$1:$A$613,PV_Canonical_Industry,_REF_Model_Content!$B$1:$B$613,$C882))*IFERROR($BU882,1)),1),"")</f>
        <v>1</v>
      </c>
      <c r="AY882">
        <f t="shared" si="199"/>
        <v>18.5</v>
      </c>
      <c r="AZ882">
        <f t="shared" si="200"/>
        <v>1.25</v>
      </c>
      <c r="BB882" t="str">
        <f>IF($H882="","",IFERROR(INDEX(_ENGINE_Risk!$AE$5:$AE$499,MATCH($E882,_ENGINE_Risk!$A$5:$A$499,0)),"Medium"))</f>
        <v>Fast</v>
      </c>
      <c r="BC882">
        <f t="shared" si="201"/>
        <v>1.25</v>
      </c>
      <c r="BD882">
        <f t="shared" si="202"/>
        <v>1.25</v>
      </c>
      <c r="BF882">
        <f>IF(OR($H882="",$J882=""),"",IFERROR(VLOOKUP(ROUND($J882,0),_CONFIG_Model_Settings!$D$154:$E$158,2,0),""))</f>
        <v>0.5</v>
      </c>
      <c r="BG882">
        <f>IFERROR(IF(OR($H882="",$K882=""),"",ROUND('Company Profile'!$B$113*INDEX(_CONFIG_Model_Settings!$H$154:$H$158,MATCH(ROUND($K882,0),_CONFIG_Model_Settings!$G$154:$G$158,0)),0)),0)</f>
        <v>1875</v>
      </c>
      <c r="BH882">
        <f t="shared" si="203"/>
        <v>937.5</v>
      </c>
      <c r="BI882">
        <f t="shared" si="204"/>
        <v>937.5</v>
      </c>
      <c r="BJ882">
        <f>IF($E882="","",IFERROR(VLOOKUP($C882,_CONFIG_Risk_Calibration!$A$5:$H$21,2,FALSE),3))</f>
        <v>3</v>
      </c>
      <c r="BK882">
        <f>IF($E882="","",IFERROR(VLOOKUP($C882,_CONFIG_Risk_Calibration!$A$5:$H$21,3,FALSE),0))</f>
        <v>0</v>
      </c>
      <c r="BL882">
        <f>IF($E882="","",IFERROR(VLOOKUP($C882,_CONFIG_Risk_Calibration!$A$5:$H$21,4,FALSE),3))</f>
        <v>3</v>
      </c>
      <c r="BM882">
        <f>IF($E882="","",IFERROR(VLOOKUP($C882,_CONFIG_Risk_Calibration!$A$5:$H$21,5,FALSE),3))</f>
        <v>4</v>
      </c>
      <c r="BN882" t="str">
        <f>IF($E882="","",IFERROR(VLOOKUP($C882,_CONFIG_Risk_Calibration!$A$5:$H$21,6,FALSE),"No"))</f>
        <v>Yes</v>
      </c>
      <c r="BO882">
        <f>IF($E882="","",IFERROR(VLOOKUP($C882,_CONFIG_Risk_Calibration!$A$5:$H$21,7,FALSE),1))</f>
        <v>5</v>
      </c>
      <c r="BP882">
        <f>IF($H882="","",MAX(1,MIN(5,((6-$H882)*0.45)+($BJ882*0.2)+('Resilience &amp; Risk Scenario'!$B$7*0.15)+($BK882*0.1)+($BL882*0.05)+(IF($BB882="Fast",5,IF($BB882="Slow",1,3))*0.05))))</f>
        <v>3.7</v>
      </c>
      <c r="BQ882">
        <f t="shared" si="205"/>
        <v>5</v>
      </c>
      <c r="BR882">
        <f t="shared" si="206"/>
        <v>18.5</v>
      </c>
      <c r="BS882">
        <f t="shared" si="207"/>
        <v>25.44</v>
      </c>
      <c r="BT882" t="str">
        <f>IFERROR(INDEX(_REF_Capability_Bridge!$D:$D,MATCH($C882&amp;"|"&amp;$D882,_REF_Capability_Bridge!$J:$J,0)),IFERROR(INDEX(_REF_Capability_Bridge!$D:$D,MATCH($C882&amp;"|",_REF_Capability_Bridge!$J:$J,0)),"CAP_GENERIC"))</f>
        <v>CAP_BACKUP_RECOVERY</v>
      </c>
      <c r="BU882">
        <f>IFERROR(IFERROR(INDEX(_ENGINE_Relevance!$L:$L,MATCH($BT882,_ENGINE_Relevance!$B:$B,0)),1),1)</f>
        <v>1</v>
      </c>
      <c r="BV882" t="str">
        <f>IFERROR(INDEX(_REF_Capability_Bridge!$A:$A,MATCH($C882&amp;"|"&amp;$D882,_REF_Capability_Bridge!$J:$J,0)),IFERROR(INDEX(_REF_Capability_Bridge!$A:$A,MATCH($C882&amp;"|",_REF_Capability_Bridge!$J:$J,0)),"No bridge"))</f>
        <v>BRG-016</v>
      </c>
      <c r="BW882" t="str">
        <f t="shared" si="208"/>
        <v>Capability relevance neutral</v>
      </c>
      <c r="BX882" t="str">
        <f t="shared" si="209"/>
        <v>Initial / absent</v>
      </c>
      <c r="BY882" t="str">
        <f>IF($E882="","",IFERROR(INDEX(_REF_Treatment_Library!$A$2:$A$296,MATCH(1,INDEX((_REF_Treatment_Library!$B$2:$B$296=$BT882)*(_REF_Treatment_Library!$C$2:$C$296=PV_Canonical_Industry)*(_REF_Treatment_Library!$E$2:$E$296&lt;=N($H882))*(_REF_Treatment_Library!$F$2:$F$296&gt;=N($H882))*(_REF_Treatment_Library!$O$2:$O$296="Yes"),0),0)),IFERROR(INDEX(_REF_Treatment_Library!$A$2:$A$296,MATCH(1,INDEX((_REF_Treatment_Library!$B$2:$B$296=$BT882)*(_REF_Treatment_Library!$C$2:$C$296="All")*(_REF_Treatment_Library!$E$2:$E$296&lt;=N($H882))*(_REF_Treatment_Library!$F$2:$F$296&gt;=N($H882))*(_REF_Treatment_Library!$O$2:$O$296="Yes"),0),0)),"")))</f>
        <v>TRT-BACKUP_RECOVERY-INITIAL</v>
      </c>
      <c r="BZ882" t="str">
        <f>IF($BY882="","",IFERROR(INDEX(_REF_Treatment_Library!$H$2:$H$296,MATCH($BY882,_REF_Treatment_Library!$A$2:$A$296,0)),""))</f>
        <v>Establish</v>
      </c>
      <c r="CA882" t="str">
        <f>IF($BY882="","",IFERROR(INDEX(_REF_Treatment_Library!$I$2:$I$296,MATCH($BY882,_REF_Treatment_Library!$A$2:$A$296,0)),""))</f>
        <v>Establish baseline controls for Backup / recovery</v>
      </c>
      <c r="CB882" t="str">
        <f>IF($BY882="","",IFERROR(INDEX(_REF_Treatment_Library!$K$2:$K$296,MATCH($BY882,_REF_Treatment_Library!$A$2:$A$296,0)),""))</f>
        <v>Named owner, baseline process, minimum control checklist, first evidence package</v>
      </c>
      <c r="CC882" t="str">
        <f>IF($BY882="","",IFERROR(INDEX(_REF_Treatment_Library!$L$2:$L$296,MATCH($BY882,_REF_Treatment_Library!$A$2:$A$296,0)),""))</f>
        <v>Owner assigned; baseline evidence coverage; open critical gaps</v>
      </c>
      <c r="CD882" t="str">
        <f t="shared" si="210"/>
        <v>Treatment by capability=CAP_BACKUP_RECOVERY; band=Initial / absent; score=0.0; treatment=Establish</v>
      </c>
      <c r="CE882" t="str">
        <f>IF($E882="","",IFERROR(INDEX(_REF_Industry_Wording!$A$2:$A$70,MATCH(1,INDEX((_REF_Industry_Wording!$B$2:$B$70=$BT882)*(_REF_Industry_Wording!$C$2:$C$70=PV_Canonical_Industry)*(_REF_Industry_Wording!$K$2:$K$70="Yes"),0),0)),IFERROR(INDEX(_REF_Industry_Wording!$A$2:$A$70,MATCH(1,INDEX((_REF_Industry_Wording!$B$2:$B$70=$BT882)*(_REF_Industry_Wording!$C$2:$C$70="All")*(_REF_Industry_Wording!$K$2:$K$70="Yes"),0),0)),"")))</f>
        <v>IW-ALL-BACKUP_RECOVERY</v>
      </c>
      <c r="CF882" t="str">
        <f>IF($CE882="","",IFERROR(INDEX(_REF_Industry_Wording!$E$2:$E$70,MATCH($CE882,_REF_Industry_Wording!$A$2:$A$70,0)),""))</f>
        <v>Backup / recovery weakness</v>
      </c>
      <c r="CG882" t="str">
        <f>IF($CE882="","",IFERROR(INDEX(_REF_Industry_Wording!$F$2:$F$70,MATCH($CE882,_REF_Industry_Wording!$A$2:$A$70,0)),""))</f>
        <v>Strengthen Backup / recovery</v>
      </c>
      <c r="CH882" t="str">
        <f>IF($CE882="","",IFERROR(INDEX(_REF_Industry_Wording!$G$2:$G$70,MATCH($CE882,_REF_Industry_Wording!$A$2:$A$70,0)),""))</f>
        <v>Strengthen Backup / recovery using the selected maturity treatment, crisis scenario and evidence requirements.</v>
      </c>
      <c r="CI882" t="str">
        <f>IF($CE882="","",IFERROR(INDEX(_REF_Industry_Wording!$H$2:$H$70,MATCH($CE882,_REF_Industry_Wording!$A$2:$A$70,0)),""))</f>
        <v>Backup / recovery</v>
      </c>
      <c r="CJ882">
        <f>IF($CE882="","",IFERROR(INDEX(_REF_Industry_Wording!$I$2:$I$70,MATCH($CE882,_REF_Industry_Wording!$A$2:$A$70,0)),""))</f>
        <v>0</v>
      </c>
      <c r="CK882" t="str">
        <f>IF($CE882="","",IFERROR(INDEX(_REF_Industry_Wording!$J$2:$J$70,MATCH($CE882,_REF_Industry_Wording!$A$2:$A$70,0)),""))</f>
        <v>Backup / recovery</v>
      </c>
      <c r="CL882" t="str">
        <f t="shared" si="211"/>
        <v>Wording by industry=0; capability=CAP_BACKUP_RECOVERY; risk label=Backup / recovery weakness</v>
      </c>
      <c r="CM882" t="str">
        <f t="shared" si="212"/>
        <v>RISK-ONT-0383</v>
      </c>
      <c r="CN882" t="str">
        <f t="shared" si="213"/>
        <v>RISK-EVT-0383</v>
      </c>
      <c r="CO882" t="str">
        <f t="shared" si="214"/>
        <v>Cyber Privacy|Protection|CYBE-015|CAP_BACKUP_RECOVERY</v>
      </c>
      <c r="CP882" t="str">
        <f t="shared" si="215"/>
        <v>Active</v>
      </c>
      <c r="CQ882" t="str">
        <f t="shared" si="216"/>
        <v>OK: capability-driven</v>
      </c>
      <c r="CR882" t="str">
        <f t="shared" si="217"/>
        <v>Risk ontology uses capability=CAP_BACKUP_RECOVERY; bridge=BRG-016; treatment=TRT-BACKUP_RECOVERY-INITIAL; wording=IW-ALL-BACKUP_RECOVERY</v>
      </c>
      <c r="CS882" t="str">
        <f t="shared" si="218"/>
        <v>Yes</v>
      </c>
    </row>
    <row r="883" spans="1:97" ht="69.900000000000006" customHeight="1">
      <c r="A883">
        <f>IF(OR($B883&lt;&gt;"Yes",$BS883=""),"",SUMPRODUCT(($B$500:$B$923="Yes")*ISNUMBER($BS$500:$BS$923)*($BS$500:$BS$923&gt;$BS883))+COUNTIFS($B$500:$B883,"Yes",$BS$500:$BS883,$BS883))</f>
        <v>32</v>
      </c>
      <c r="B883" t="str">
        <f t="shared" si="187"/>
        <v>Yes</v>
      </c>
      <c r="C883" t="s">
        <v>2986</v>
      </c>
      <c r="D883" t="s">
        <v>3013</v>
      </c>
      <c r="E883" t="s">
        <v>3083</v>
      </c>
      <c r="F883" t="s">
        <v>4460</v>
      </c>
      <c r="G883" t="str">
        <f>IF($H883="","",IFERROR(INDEX(_ENGINE_Risk!$H$5:$M$499,MATCH($E883,_ENGINE_Risk!$A$5:$A$499,0),$H883+1),""))</f>
        <v>Severe risk: email protection against phishing, spoofing, malware and business email compromise is not reliably controlled. During Cyberattack; Data breach; Ransomware; Insider threat, the organization may face security incident, data breach, privilege misuse, privacy violation and regulatory exposure with limited visibility or accountability.</v>
      </c>
      <c r="H883">
        <f>IFERROR(VALUE(INDEX(_DATA_Assessment_Model!$H$5:$H$884,MATCH($E883,_DATA_Assessment_Model!$A$5:$A$884,0))),"")</f>
        <v>0</v>
      </c>
      <c r="I883" t="str">
        <f>IF($H883="","",IFERROR(INDEX(_DATA_Assessment_Model!$L$5:$L$884,MATCH($E883,_DATA_Assessment_Model!$A$5:$A$884,0)),IF($H883&lt;=1,"Critical",IF($H883=2,"High",IF($H883=3,"Medium",IF($H883=4,"Low","Resilient"))))))</f>
        <v>Critical</v>
      </c>
      <c r="J883">
        <f t="shared" si="188"/>
        <v>3.7</v>
      </c>
      <c r="K883">
        <f t="shared" si="189"/>
        <v>5</v>
      </c>
      <c r="L883">
        <f t="shared" si="190"/>
        <v>18.5</v>
      </c>
      <c r="M883">
        <f t="shared" si="191"/>
        <v>4</v>
      </c>
      <c r="N883">
        <f>IF($H883="","",IFERROR(INDEX(_ENGINE_Risk!$T$5:$Y$499,MATCH($E883,_ENGINE_Risk!$A$5:$A$499,0),$H883+1),""))</f>
        <v>4</v>
      </c>
      <c r="O883">
        <f t="shared" si="192"/>
        <v>4.333333333333333</v>
      </c>
      <c r="P883">
        <f t="shared" si="193"/>
        <v>5</v>
      </c>
      <c r="Q883">
        <f t="shared" si="194"/>
        <v>5</v>
      </c>
      <c r="R883">
        <f t="shared" si="195"/>
        <v>5</v>
      </c>
      <c r="S883">
        <f t="shared" si="196"/>
        <v>1.21</v>
      </c>
      <c r="T883" t="str">
        <f>IF($H883="","",IFERROR(INDEX(_ENGINE_Risk!$N$5:$S$499,MATCH($E883,_ENGINE_Risk!$A$5:$A$499,0),$H883+1),""))</f>
        <v>Create an immediate risk owner, minimum control baseline and fallback procedure for email protection against phishing, spoofing, malware and business email compromise. Add it to the crisis risk register and collect first evidence.</v>
      </c>
      <c r="U883">
        <f>IFERROR(INDEX(_DATA_Assessment_Model!$G$5:$G$884,MATCH($E883,_DATA_Assessment_Model!$A$5:$A$884,0)),"")</f>
        <v>3</v>
      </c>
      <c r="V883">
        <f>IFERROR(INDEX(_DATA_Assessment_Model!$W$5:$W$884,MATCH($E883,_DATA_Assessment_Model!$A$5:$A$884,0)),"")</f>
        <v>5</v>
      </c>
      <c r="W883">
        <f>IFERROR(INDEX(_DATA_Assessment_Model!$X$5:$X$884,MATCH($E883,_DATA_Assessment_Model!$A$5:$A$884,0)),"")</f>
        <v>5</v>
      </c>
      <c r="X883">
        <f>IFERROR(INDEX(_DATA_Assessment_Model!$Y$5:$Y$884,MATCH($E883,_DATA_Assessment_Model!$A$5:$A$884,0)),"")</f>
        <v>5</v>
      </c>
      <c r="Y883" t="s">
        <v>2999</v>
      </c>
      <c r="Z883" t="s">
        <v>9811</v>
      </c>
      <c r="AA883" t="s">
        <v>3085</v>
      </c>
      <c r="AB883">
        <f>IFERROR(INDEX(_DATA_Assessment_Model!$U$5:$U$884,MATCH($E883,_DATA_Assessment_Model!$A$5:$A$884,0)),"")</f>
        <v>0</v>
      </c>
      <c r="AF883" t="s">
        <v>3084</v>
      </c>
      <c r="AO883">
        <f>IF($B883="Yes",IF(IFERROR(INDEX(_ENGINE_Crisis!$F$501:$F$517,MATCH($C883,_ENGINE_Crisis!$A$501:$A$517,0)),1)=0,1,IFERROR(INDEX(_ENGINE_Crisis!$F$501:$F$517,MATCH($C883,_ENGINE_Crisis!$A$501:$A$517,0)),1)),"")</f>
        <v>1</v>
      </c>
      <c r="AP883">
        <f t="shared" si="197"/>
        <v>18.5</v>
      </c>
      <c r="AQ883">
        <f t="shared" si="198"/>
        <v>1.21</v>
      </c>
      <c r="AR883" t="str">
        <f>IFERROR(INDEX(_ENGINE_Crisis!$E$41:$E$700,MATCH('Resilience &amp; Risk Scenario'!$B$6&amp;"|"&amp;$C883,_ENGINE_Crisis!$I$41:$I$700,0)),"")</f>
        <v/>
      </c>
      <c r="AS883" t="str">
        <f>IFERROR(INDEX(_ENGINE_Crisis!$G$41:$G$700,MATCH('Resilience &amp; Risk Scenario'!$B$6&amp;"|"&amp;$C883,_ENGINE_Crisis!$I$41:$I$700,0)),"")</f>
        <v/>
      </c>
      <c r="AT883" t="str">
        <f>IFERROR(INDEX(_ENGINE_Initiatives!$A$5:$A$532,MATCH(1,INDEX((_ENGINE_Initiatives!$B$5:$B$532=$C883)*(_ENGINE_Initiatives!$C$5:$C$532=$D883),0),0)),"")</f>
        <v>INI-065</v>
      </c>
      <c r="AU883" t="str">
        <f>IFERROR(INDEX(_ENGINE_Initiatives!$F$5:$F$532,MATCH(1,INDEX((_ENGINE_Initiatives!$B$5:$B$532=$C883)*(_ENGINE_Initiatives!$C$5:$C$532=$D883),0),0)),"")</f>
        <v>Improve endpoint, network, backup and vulnerability protection</v>
      </c>
      <c r="AV883">
        <f>IFERROR(INDEX(_ENGINE_Initiatives!$AC$5:$AC$532,MATCH(1,INDEX((_ENGINE_Initiatives!$B$5:$B$532=$C883)*(_ENGINE_Initiatives!$C$5:$C$532=$D883),0),0)),"")</f>
        <v>1.39</v>
      </c>
      <c r="AW883" t="str">
        <f>IFERROR(INDEX(_ENGINE_Initiatives!$AE$5:$AE$532,MATCH(1,INDEX((_ENGINE_Initiatives!$B$5:$B$532=$C883)*(_ENGINE_Initiatives!$C$5:$C$532=$D883),0),0)),"")</f>
        <v>6-12 months</v>
      </c>
      <c r="AX883">
        <f>IF($B883="Yes",IFERROR((IF(SUMIFS(_REF_Model_Content!$E$1:$E$613,_REF_Model_Content!$A$1:$A$613,PV_Canonical_Industry,_REF_Model_Content!$B$1:$B$613,$C883)=0,1,SUMIFS(_REF_Model_Content!$E$1:$E$613,_REF_Model_Content!$A$1:$A$613,PV_Canonical_Industry,_REF_Model_Content!$B$1:$B$613,$C883))*IFERROR($BU883,1)),1),"")</f>
        <v>1</v>
      </c>
      <c r="AY883">
        <f t="shared" si="199"/>
        <v>18.5</v>
      </c>
      <c r="AZ883">
        <f t="shared" si="200"/>
        <v>1.21</v>
      </c>
      <c r="BB883" t="str">
        <f>IF($H883="","",IFERROR(INDEX(_ENGINE_Risk!$AE$5:$AE$499,MATCH($E883,_ENGINE_Risk!$A$5:$A$499,0)),"Medium"))</f>
        <v>Fast</v>
      </c>
      <c r="BC883">
        <f t="shared" si="201"/>
        <v>1.25</v>
      </c>
      <c r="BD883">
        <f t="shared" si="202"/>
        <v>1.21</v>
      </c>
      <c r="BF883">
        <f>IF(OR($H883="",$J883=""),"",IFERROR(VLOOKUP(ROUND($J883,0),_CONFIG_Model_Settings!$D$154:$E$158,2,0),""))</f>
        <v>0.5</v>
      </c>
      <c r="BG883">
        <f>IFERROR(IF(OR($H883="",$K883=""),"",ROUND('Company Profile'!$B$113*INDEX(_CONFIG_Model_Settings!$H$154:$H$158,MATCH(ROUND($K883,0),_CONFIG_Model_Settings!$G$154:$G$158,0)),0)),0)</f>
        <v>1875</v>
      </c>
      <c r="BH883">
        <f t="shared" si="203"/>
        <v>937.5</v>
      </c>
      <c r="BI883">
        <f t="shared" si="204"/>
        <v>937.5</v>
      </c>
      <c r="BJ883">
        <f>IF($E883="","",IFERROR(VLOOKUP($C883,_CONFIG_Risk_Calibration!$A$5:$H$21,2,FALSE),3))</f>
        <v>3</v>
      </c>
      <c r="BK883">
        <f>IF($E883="","",IFERROR(VLOOKUP($C883,_CONFIG_Risk_Calibration!$A$5:$H$21,3,FALSE),0))</f>
        <v>0</v>
      </c>
      <c r="BL883">
        <f>IF($E883="","",IFERROR(VLOOKUP($C883,_CONFIG_Risk_Calibration!$A$5:$H$21,4,FALSE),3))</f>
        <v>3</v>
      </c>
      <c r="BM883">
        <f>IF($E883="","",IFERROR(VLOOKUP($C883,_CONFIG_Risk_Calibration!$A$5:$H$21,5,FALSE),3))</f>
        <v>4</v>
      </c>
      <c r="BN883" t="str">
        <f>IF($E883="","",IFERROR(VLOOKUP($C883,_CONFIG_Risk_Calibration!$A$5:$H$21,6,FALSE),"No"))</f>
        <v>Yes</v>
      </c>
      <c r="BO883">
        <f>IF($E883="","",IFERROR(VLOOKUP($C883,_CONFIG_Risk_Calibration!$A$5:$H$21,7,FALSE),1))</f>
        <v>5</v>
      </c>
      <c r="BP883">
        <f>IF($H883="","",MAX(1,MIN(5,((6-$H883)*0.45)+($BJ883*0.2)+('Resilience &amp; Risk Scenario'!$B$7*0.15)+($BK883*0.1)+($BL883*0.05)+(IF($BB883="Fast",5,IF($BB883="Slow",1,3))*0.05))))</f>
        <v>3.7</v>
      </c>
      <c r="BQ883">
        <f t="shared" si="205"/>
        <v>5</v>
      </c>
      <c r="BR883">
        <f t="shared" si="206"/>
        <v>18.5</v>
      </c>
      <c r="BS883">
        <f t="shared" si="207"/>
        <v>25.44</v>
      </c>
      <c r="BT883" t="str">
        <f>IFERROR(INDEX(_REF_Capability_Bridge!$D:$D,MATCH($C883&amp;"|"&amp;$D883,_REF_Capability_Bridge!$J:$J,0)),IFERROR(INDEX(_REF_Capability_Bridge!$D:$D,MATCH($C883&amp;"|",_REF_Capability_Bridge!$J:$J,0)),"CAP_GENERIC"))</f>
        <v>CAP_BACKUP_RECOVERY</v>
      </c>
      <c r="BU883">
        <f>IFERROR(IFERROR(INDEX(_ENGINE_Relevance!$L:$L,MATCH($BT883,_ENGINE_Relevance!$B:$B,0)),1),1)</f>
        <v>1</v>
      </c>
      <c r="BV883" t="str">
        <f>IFERROR(INDEX(_REF_Capability_Bridge!$A:$A,MATCH($C883&amp;"|"&amp;$D883,_REF_Capability_Bridge!$J:$J,0)),IFERROR(INDEX(_REF_Capability_Bridge!$A:$A,MATCH($C883&amp;"|",_REF_Capability_Bridge!$J:$J,0)),"No bridge"))</f>
        <v>BRG-016</v>
      </c>
      <c r="BW883" t="str">
        <f t="shared" si="208"/>
        <v>Capability relevance neutral</v>
      </c>
      <c r="BX883" t="str">
        <f t="shared" si="209"/>
        <v>Initial / absent</v>
      </c>
      <c r="BY883" t="str">
        <f>IF($E883="","",IFERROR(INDEX(_REF_Treatment_Library!$A$2:$A$296,MATCH(1,INDEX((_REF_Treatment_Library!$B$2:$B$296=$BT883)*(_REF_Treatment_Library!$C$2:$C$296=PV_Canonical_Industry)*(_REF_Treatment_Library!$E$2:$E$296&lt;=N($H883))*(_REF_Treatment_Library!$F$2:$F$296&gt;=N($H883))*(_REF_Treatment_Library!$O$2:$O$296="Yes"),0),0)),IFERROR(INDEX(_REF_Treatment_Library!$A$2:$A$296,MATCH(1,INDEX((_REF_Treatment_Library!$B$2:$B$296=$BT883)*(_REF_Treatment_Library!$C$2:$C$296="All")*(_REF_Treatment_Library!$E$2:$E$296&lt;=N($H883))*(_REF_Treatment_Library!$F$2:$F$296&gt;=N($H883))*(_REF_Treatment_Library!$O$2:$O$296="Yes"),0),0)),"")))</f>
        <v>TRT-BACKUP_RECOVERY-INITIAL</v>
      </c>
      <c r="BZ883" t="str">
        <f>IF($BY883="","",IFERROR(INDEX(_REF_Treatment_Library!$H$2:$H$296,MATCH($BY883,_REF_Treatment_Library!$A$2:$A$296,0)),""))</f>
        <v>Establish</v>
      </c>
      <c r="CA883" t="str">
        <f>IF($BY883="","",IFERROR(INDEX(_REF_Treatment_Library!$I$2:$I$296,MATCH($BY883,_REF_Treatment_Library!$A$2:$A$296,0)),""))</f>
        <v>Establish baseline controls for Backup / recovery</v>
      </c>
      <c r="CB883" t="str">
        <f>IF($BY883="","",IFERROR(INDEX(_REF_Treatment_Library!$K$2:$K$296,MATCH($BY883,_REF_Treatment_Library!$A$2:$A$296,0)),""))</f>
        <v>Named owner, baseline process, minimum control checklist, first evidence package</v>
      </c>
      <c r="CC883" t="str">
        <f>IF($BY883="","",IFERROR(INDEX(_REF_Treatment_Library!$L$2:$L$296,MATCH($BY883,_REF_Treatment_Library!$A$2:$A$296,0)),""))</f>
        <v>Owner assigned; baseline evidence coverage; open critical gaps</v>
      </c>
      <c r="CD883" t="str">
        <f t="shared" si="210"/>
        <v>Treatment by capability=CAP_BACKUP_RECOVERY; band=Initial / absent; score=0.0; treatment=Establish</v>
      </c>
      <c r="CE883" t="str">
        <f>IF($E883="","",IFERROR(INDEX(_REF_Industry_Wording!$A$2:$A$70,MATCH(1,INDEX((_REF_Industry_Wording!$B$2:$B$70=$BT883)*(_REF_Industry_Wording!$C$2:$C$70=PV_Canonical_Industry)*(_REF_Industry_Wording!$K$2:$K$70="Yes"),0),0)),IFERROR(INDEX(_REF_Industry_Wording!$A$2:$A$70,MATCH(1,INDEX((_REF_Industry_Wording!$B$2:$B$70=$BT883)*(_REF_Industry_Wording!$C$2:$C$70="All")*(_REF_Industry_Wording!$K$2:$K$70="Yes"),0),0)),"")))</f>
        <v>IW-ALL-BACKUP_RECOVERY</v>
      </c>
      <c r="CF883" t="str">
        <f>IF($CE883="","",IFERROR(INDEX(_REF_Industry_Wording!$E$2:$E$70,MATCH($CE883,_REF_Industry_Wording!$A$2:$A$70,0)),""))</f>
        <v>Backup / recovery weakness</v>
      </c>
      <c r="CG883" t="str">
        <f>IF($CE883="","",IFERROR(INDEX(_REF_Industry_Wording!$F$2:$F$70,MATCH($CE883,_REF_Industry_Wording!$A$2:$A$70,0)),""))</f>
        <v>Strengthen Backup / recovery</v>
      </c>
      <c r="CH883" t="str">
        <f>IF($CE883="","",IFERROR(INDEX(_REF_Industry_Wording!$G$2:$G$70,MATCH($CE883,_REF_Industry_Wording!$A$2:$A$70,0)),""))</f>
        <v>Strengthen Backup / recovery using the selected maturity treatment, crisis scenario and evidence requirements.</v>
      </c>
      <c r="CI883" t="str">
        <f>IF($CE883="","",IFERROR(INDEX(_REF_Industry_Wording!$H$2:$H$70,MATCH($CE883,_REF_Industry_Wording!$A$2:$A$70,0)),""))</f>
        <v>Backup / recovery</v>
      </c>
      <c r="CJ883">
        <f>IF($CE883="","",IFERROR(INDEX(_REF_Industry_Wording!$I$2:$I$70,MATCH($CE883,_REF_Industry_Wording!$A$2:$A$70,0)),""))</f>
        <v>0</v>
      </c>
      <c r="CK883" t="str">
        <f>IF($CE883="","",IFERROR(INDEX(_REF_Industry_Wording!$J$2:$J$70,MATCH($CE883,_REF_Industry_Wording!$A$2:$A$70,0)),""))</f>
        <v>Backup / recovery</v>
      </c>
      <c r="CL883" t="str">
        <f t="shared" si="211"/>
        <v>Wording by industry=0; capability=CAP_BACKUP_RECOVERY; risk label=Backup / recovery weakness</v>
      </c>
      <c r="CM883" t="str">
        <f t="shared" si="212"/>
        <v>RISK-ONT-0384</v>
      </c>
      <c r="CN883" t="str">
        <f t="shared" si="213"/>
        <v>RISK-EVT-0384</v>
      </c>
      <c r="CO883" t="str">
        <f t="shared" si="214"/>
        <v>Cyber Privacy|Protection|CYBE-016|CAP_BACKUP_RECOVERY</v>
      </c>
      <c r="CP883" t="str">
        <f t="shared" si="215"/>
        <v>Active</v>
      </c>
      <c r="CQ883" t="str">
        <f t="shared" si="216"/>
        <v>OK: capability-driven</v>
      </c>
      <c r="CR883" t="str">
        <f t="shared" si="217"/>
        <v>Risk ontology uses capability=CAP_BACKUP_RECOVERY; bridge=BRG-016; treatment=TRT-BACKUP_RECOVERY-INITIAL; wording=IW-ALL-BACKUP_RECOVERY</v>
      </c>
      <c r="CS883" t="str">
        <f t="shared" si="218"/>
        <v>Yes</v>
      </c>
    </row>
    <row r="884" spans="1:97" ht="69.900000000000006" customHeight="1">
      <c r="A884">
        <f>IF(OR($B884&lt;&gt;"Yes",$BS884=""),"",SUMPRODUCT(($B$500:$B$923="Yes")*ISNUMBER($BS$500:$BS$923)*($BS$500:$BS$923&gt;$BS884))+COUNTIFS($B$500:$B884,"Yes",$BS$500:$BS884,$BS884))</f>
        <v>33</v>
      </c>
      <c r="B884" t="str">
        <f t="shared" ref="B884:B923" si="219">IF($H884="","",IF($BU884=0,"",IF($H884&lt;5,"Yes","Maintain")))</f>
        <v>Yes</v>
      </c>
      <c r="C884" t="s">
        <v>2986</v>
      </c>
      <c r="D884" t="s">
        <v>3013</v>
      </c>
      <c r="E884" t="s">
        <v>3092</v>
      </c>
      <c r="F884" t="s">
        <v>4460</v>
      </c>
      <c r="G884" t="str">
        <f>IF($H884="","",IFERROR(INDEX(_ENGINE_Risk!$H$5:$M$499,MATCH($E884,_ENGINE_Risk!$A$5:$A$499,0),$H884+1),""))</f>
        <v>Severe risk: cloud security guardrails for IAM, logging, encryption, public exposure, secrets and network access is not reliably controlled. During Cyberattack; Data breach; Ransomware; Insider threat, the organization may face security incident, data breach, privilege misuse, privacy violation and regulatory exposure with limited visibility or accountability.</v>
      </c>
      <c r="H884">
        <f>IFERROR(VALUE(INDEX(_DATA_Assessment_Model!$H$5:$H$884,MATCH($E884,_DATA_Assessment_Model!$A$5:$A$884,0))),"")</f>
        <v>0</v>
      </c>
      <c r="I884" t="str">
        <f>IF($H884="","",IFERROR(INDEX(_DATA_Assessment_Model!$L$5:$L$884,MATCH($E884,_DATA_Assessment_Model!$A$5:$A$884,0)),IF($H884&lt;=1,"Critical",IF($H884=2,"High",IF($H884=3,"Medium",IF($H884=4,"Low","Resilient"))))))</f>
        <v>Critical</v>
      </c>
      <c r="J884">
        <f t="shared" ref="J884:J923" si="220">IF($H884="","",$BP884)</f>
        <v>3.7</v>
      </c>
      <c r="K884">
        <f t="shared" ref="K884:K923" si="221">IF($H884="","",$BQ884)</f>
        <v>5</v>
      </c>
      <c r="L884">
        <f t="shared" ref="L884:L923" si="222">IF($H884="","",$J884*$K884)</f>
        <v>18.5</v>
      </c>
      <c r="M884">
        <f t="shared" ref="M884:M923" si="223">IF($H884="","",MAX(1,MIN(5,ROUNDUP($L884/5,0))))</f>
        <v>4</v>
      </c>
      <c r="N884">
        <f>IF($H884="","",IFERROR(INDEX(_ENGINE_Risk!$T$5:$Y$499,MATCH($E884,_ENGINE_Risk!$A$5:$A$499,0),$H884+1),""))</f>
        <v>4</v>
      </c>
      <c r="O884">
        <f t="shared" ref="O884:O923" si="224">IF($H884="","",MAX(1,MIN(5,($U884+$V884+$X884)/3)))</f>
        <v>5</v>
      </c>
      <c r="P884">
        <f t="shared" ref="P884:P923" si="225">IF($H884="","",IF($I884="Critical",5,IF($I884="High",4,IF($I884="Medium",3,IF($I884="Low",2,1)))))</f>
        <v>5</v>
      </c>
      <c r="Q884">
        <f t="shared" ref="Q884:Q923" si="226">IF($H884="","",MAX(1,MIN(5,((5-$H884)*0.65)+($W884*0.35))))</f>
        <v>5</v>
      </c>
      <c r="R884">
        <f t="shared" ref="R884:R923" si="227">IF($H884="","",MAX(1,MIN(5,($V884+$X884)/2)))</f>
        <v>5</v>
      </c>
      <c r="S884">
        <f t="shared" ref="S884:S923" si="228">IF(OR($H884="",$N884=""),"",ROUND((($O884+$P884+$Q884+$R884)/4)/$N884,2))</f>
        <v>1.25</v>
      </c>
      <c r="T884" t="str">
        <f>IF($H884="","",IFERROR(INDEX(_ENGINE_Risk!$N$5:$S$499,MATCH($E884,_ENGINE_Risk!$A$5:$A$499,0),$H884+1),""))</f>
        <v>Create an immediate risk owner, minimum control baseline and fallback procedure for cloud security guardrails for IAM, logging, encryption, public exposure, secrets and network access. Add it to the crisis risk register and collect first evidence.</v>
      </c>
      <c r="U884">
        <f>IFERROR(INDEX(_DATA_Assessment_Model!$G$5:$G$884,MATCH($E884,_DATA_Assessment_Model!$A$5:$A$884,0)),"")</f>
        <v>5</v>
      </c>
      <c r="V884">
        <f>IFERROR(INDEX(_DATA_Assessment_Model!$W$5:$W$884,MATCH($E884,_DATA_Assessment_Model!$A$5:$A$884,0)),"")</f>
        <v>5</v>
      </c>
      <c r="W884">
        <f>IFERROR(INDEX(_DATA_Assessment_Model!$X$5:$X$884,MATCH($E884,_DATA_Assessment_Model!$A$5:$A$884,0)),"")</f>
        <v>5</v>
      </c>
      <c r="X884">
        <f>IFERROR(INDEX(_DATA_Assessment_Model!$Y$5:$Y$884,MATCH($E884,_DATA_Assessment_Model!$A$5:$A$884,0)),"")</f>
        <v>5</v>
      </c>
      <c r="Y884" t="s">
        <v>2999</v>
      </c>
      <c r="Z884" t="s">
        <v>9811</v>
      </c>
      <c r="AA884" t="s">
        <v>3094</v>
      </c>
      <c r="AB884">
        <f>IFERROR(INDEX(_DATA_Assessment_Model!$U$5:$U$884,MATCH($E884,_DATA_Assessment_Model!$A$5:$A$884,0)),"")</f>
        <v>0</v>
      </c>
      <c r="AF884" t="s">
        <v>3093</v>
      </c>
      <c r="AO884">
        <f>IF($B884="Yes",IF(IFERROR(INDEX(_ENGINE_Crisis!$F$501:$F$517,MATCH($C884,_ENGINE_Crisis!$A$501:$A$517,0)),1)=0,1,IFERROR(INDEX(_ENGINE_Crisis!$F$501:$F$517,MATCH($C884,_ENGINE_Crisis!$A$501:$A$517,0)),1)),"")</f>
        <v>1</v>
      </c>
      <c r="AP884">
        <f t="shared" ref="AP884:AP947" si="229">IF(AO884="","",ROUND($L884*AO884,1))</f>
        <v>18.5</v>
      </c>
      <c r="AQ884">
        <f t="shared" ref="AQ884:AQ923" si="230">IF(OR(AO884="",$S884=""),"",ROUND($S884*(0.7+0.3*AO884),2))</f>
        <v>1.25</v>
      </c>
      <c r="AR884" t="str">
        <f>IFERROR(INDEX(_ENGINE_Crisis!$E$41:$E$700,MATCH('Resilience &amp; Risk Scenario'!$B$6&amp;"|"&amp;$C884,_ENGINE_Crisis!$I$41:$I$700,0)),"")</f>
        <v/>
      </c>
      <c r="AS884" t="str">
        <f>IFERROR(INDEX(_ENGINE_Crisis!$G$41:$G$700,MATCH('Resilience &amp; Risk Scenario'!$B$6&amp;"|"&amp;$C884,_ENGINE_Crisis!$I$41:$I$700,0)),"")</f>
        <v/>
      </c>
      <c r="AT884" t="str">
        <f>IFERROR(INDEX(_ENGINE_Initiatives!$A$5:$A$532,MATCH(1,INDEX((_ENGINE_Initiatives!$B$5:$B$532=$C884)*(_ENGINE_Initiatives!$C$5:$C$532=$D884),0),0)),"")</f>
        <v>INI-065</v>
      </c>
      <c r="AU884" t="str">
        <f>IFERROR(INDEX(_ENGINE_Initiatives!$F$5:$F$532,MATCH(1,INDEX((_ENGINE_Initiatives!$B$5:$B$532=$C884)*(_ENGINE_Initiatives!$C$5:$C$532=$D884),0),0)),"")</f>
        <v>Improve endpoint, network, backup and vulnerability protection</v>
      </c>
      <c r="AV884">
        <f>IFERROR(INDEX(_ENGINE_Initiatives!$AC$5:$AC$532,MATCH(1,INDEX((_ENGINE_Initiatives!$B$5:$B$532=$C884)*(_ENGINE_Initiatives!$C$5:$C$532=$D884),0),0)),"")</f>
        <v>1.39</v>
      </c>
      <c r="AW884" t="str">
        <f>IFERROR(INDEX(_ENGINE_Initiatives!$AE$5:$AE$532,MATCH(1,INDEX((_ENGINE_Initiatives!$B$5:$B$532=$C884)*(_ENGINE_Initiatives!$C$5:$C$532=$D884),0),0)),"")</f>
        <v>6-12 months</v>
      </c>
      <c r="AX884">
        <f>IF($B884="Yes",IFERROR((IF(SUMIFS(_REF_Model_Content!$E$1:$E$613,_REF_Model_Content!$A$1:$A$613,PV_Canonical_Industry,_REF_Model_Content!$B$1:$B$613,$C884)=0,1,SUMIFS(_REF_Model_Content!$E$1:$E$613,_REF_Model_Content!$A$1:$A$613,PV_Canonical_Industry,_REF_Model_Content!$B$1:$B$613,$C884))*IFERROR($BU884,1)),1),"")</f>
        <v>1</v>
      </c>
      <c r="AY884">
        <f t="shared" ref="AY884:AY923" si="231">IF($L884="","",ROUND(IF($AP884="",$L884,$AP884)*IF($AX884="",1,$AX884),2))</f>
        <v>18.5</v>
      </c>
      <c r="AZ884">
        <f t="shared" ref="AZ884:AZ923" si="232">IF($S884="","",ROUND(IF($AQ884="",$S884,$AQ884)*IF($AX884="",1,$AX884),2))</f>
        <v>1.25</v>
      </c>
      <c r="BB884" t="str">
        <f>IF($H884="","",IFERROR(INDEX(_ENGINE_Risk!$AE$5:$AE$499,MATCH($E884,_ENGINE_Risk!$A$5:$A$499,0)),"Medium"))</f>
        <v>Fast</v>
      </c>
      <c r="BC884">
        <f t="shared" ref="BC884:BC923" si="233">IF($BB884="","",IF($BB884="Fast",1.25,IF($BB884="Slow",0.85,1)))</f>
        <v>1.25</v>
      </c>
      <c r="BD884">
        <f t="shared" ref="BD884:BD923" si="234">IF($S884="","",ROUND($S884*IF($AX884="",1,$AX884),2))</f>
        <v>1.25</v>
      </c>
      <c r="BF884">
        <f>IF(OR($H884="",$J884=""),"",IFERROR(VLOOKUP(ROUND($J884,0),_CONFIG_Model_Settings!$D$154:$E$158,2,0),""))</f>
        <v>0.5</v>
      </c>
      <c r="BG884">
        <f>IFERROR(IF(OR($H884="",$K884=""),"",ROUND('Company Profile'!$B$113*INDEX(_CONFIG_Model_Settings!$H$154:$H$158,MATCH(ROUND($K884,0),_CONFIG_Model_Settings!$G$154:$G$158,0)),0)),0)</f>
        <v>1875</v>
      </c>
      <c r="BH884">
        <f t="shared" ref="BH884:BH923" si="235">IFERROR(IF(OR($BF884="",$BG884=""),"",ROUND($BF884*$BG884,1)),"")</f>
        <v>937.5</v>
      </c>
      <c r="BI884">
        <f t="shared" ref="BI884:BI923" si="236">IFERROR(IF($BH884="","",ROUND($BH884*IF(OR($AO884="",$AO884=0),1,$AO884),1)),"")</f>
        <v>937.5</v>
      </c>
      <c r="BJ884">
        <f>IF($E884="","",IFERROR(VLOOKUP($C884,_CONFIG_Risk_Calibration!$A$5:$H$21,2,FALSE),3))</f>
        <v>3</v>
      </c>
      <c r="BK884">
        <f>IF($E884="","",IFERROR(VLOOKUP($C884,_CONFIG_Risk_Calibration!$A$5:$H$21,3,FALSE),0))</f>
        <v>0</v>
      </c>
      <c r="BL884">
        <f>IF($E884="","",IFERROR(VLOOKUP($C884,_CONFIG_Risk_Calibration!$A$5:$H$21,4,FALSE),3))</f>
        <v>3</v>
      </c>
      <c r="BM884">
        <f>IF($E884="","",IFERROR(VLOOKUP($C884,_CONFIG_Risk_Calibration!$A$5:$H$21,5,FALSE),3))</f>
        <v>4</v>
      </c>
      <c r="BN884" t="str">
        <f>IF($E884="","",IFERROR(VLOOKUP($C884,_CONFIG_Risk_Calibration!$A$5:$H$21,6,FALSE),"No"))</f>
        <v>Yes</v>
      </c>
      <c r="BO884">
        <f>IF($E884="","",IFERROR(VLOOKUP($C884,_CONFIG_Risk_Calibration!$A$5:$H$21,7,FALSE),1))</f>
        <v>5</v>
      </c>
      <c r="BP884">
        <f>IF($H884="","",MAX(1,MIN(5,((6-$H884)*0.45)+($BJ884*0.2)+('Resilience &amp; Risk Scenario'!$B$7*0.15)+($BK884*0.1)+($BL884*0.05)+(IF($BB884="Fast",5,IF($BB884="Slow",1,3))*0.05))))</f>
        <v>3.7</v>
      </c>
      <c r="BQ884">
        <f t="shared" ref="BQ884:BQ923" si="237">IF($H884="","",MAX(IF($BN884="Yes",$BO884,1),MIN(5,($U884*0.2)+($V884*0.15)+($W884*0.25)+($X884*0.15)+($BJ884*0.1)+($BM884*0.15))))</f>
        <v>5</v>
      </c>
      <c r="BR884">
        <f t="shared" ref="BR884:BR923" si="238">IF(OR($BP884="",$BQ884=""),"",ROUND($BP884*$BQ884,2))</f>
        <v>18.5</v>
      </c>
      <c r="BS884">
        <f t="shared" ref="BS884:BS923" si="239">IF($BR884="","",ROUND($BR884*IF(OR($AO884="",$AO884=0),1,$AO884)*IF($AX884="",1,$AX884)*(1+(($BM884-3)*0.1))*IF($BC884="",1,$BC884),2))</f>
        <v>25.44</v>
      </c>
      <c r="BT884" t="str">
        <f>IFERROR(INDEX(_REF_Capability_Bridge!$D:$D,MATCH($C884&amp;"|"&amp;$D884,_REF_Capability_Bridge!$J:$J,0)),IFERROR(INDEX(_REF_Capability_Bridge!$D:$D,MATCH($C884&amp;"|",_REF_Capability_Bridge!$J:$J,0)),"CAP_GENERIC"))</f>
        <v>CAP_BACKUP_RECOVERY</v>
      </c>
      <c r="BU884">
        <f>IFERROR(IFERROR(INDEX(_ENGINE_Relevance!$L:$L,MATCH($BT884,_ENGINE_Relevance!$B:$B,0)),1),1)</f>
        <v>1</v>
      </c>
      <c r="BV884" t="str">
        <f>IFERROR(INDEX(_REF_Capability_Bridge!$A:$A,MATCH($C884&amp;"|"&amp;$D884,_REF_Capability_Bridge!$J:$J,0)),IFERROR(INDEX(_REF_Capability_Bridge!$A:$A,MATCH($C884&amp;"|",_REF_Capability_Bridge!$J:$J,0)),"No bridge"))</f>
        <v>BRG-016</v>
      </c>
      <c r="BW884" t="str">
        <f t="shared" ref="BW884:BW923" si="240">IF($BU884=0,"Hard-excluded at capability level",IF($BU884&gt;1,"Capability relevance increases risk priority",IF($BU884&lt;1,"Capability relevance lowers risk priority","Capability relevance neutral")))</f>
        <v>Capability relevance neutral</v>
      </c>
      <c r="BX884" t="str">
        <f t="shared" ref="BX884:BX923" si="241">IF($E884="","",IF(N($H884)&lt;1.5,"Initial / absent",IF(N($H884)&lt;2.5,"Basic",IF(N($H884)&lt;3.5,"Defined",IF(N($H884)&lt;4.3,"Managed","Optimized")))))</f>
        <v>Initial / absent</v>
      </c>
      <c r="BY884" t="str">
        <f>IF($E884="","",IFERROR(INDEX(_REF_Treatment_Library!$A$2:$A$296,MATCH(1,INDEX((_REF_Treatment_Library!$B$2:$B$296=$BT884)*(_REF_Treatment_Library!$C$2:$C$296=PV_Canonical_Industry)*(_REF_Treatment_Library!$E$2:$E$296&lt;=N($H884))*(_REF_Treatment_Library!$F$2:$F$296&gt;=N($H884))*(_REF_Treatment_Library!$O$2:$O$296="Yes"),0),0)),IFERROR(INDEX(_REF_Treatment_Library!$A$2:$A$296,MATCH(1,INDEX((_REF_Treatment_Library!$B$2:$B$296=$BT884)*(_REF_Treatment_Library!$C$2:$C$296="All")*(_REF_Treatment_Library!$E$2:$E$296&lt;=N($H884))*(_REF_Treatment_Library!$F$2:$F$296&gt;=N($H884))*(_REF_Treatment_Library!$O$2:$O$296="Yes"),0),0)),"")))</f>
        <v>TRT-BACKUP_RECOVERY-INITIAL</v>
      </c>
      <c r="BZ884" t="str">
        <f>IF($BY884="","",IFERROR(INDEX(_REF_Treatment_Library!$H$2:$H$296,MATCH($BY884,_REF_Treatment_Library!$A$2:$A$296,0)),""))</f>
        <v>Establish</v>
      </c>
      <c r="CA884" t="str">
        <f>IF($BY884="","",IFERROR(INDEX(_REF_Treatment_Library!$I$2:$I$296,MATCH($BY884,_REF_Treatment_Library!$A$2:$A$296,0)),""))</f>
        <v>Establish baseline controls for Backup / recovery</v>
      </c>
      <c r="CB884" t="str">
        <f>IF($BY884="","",IFERROR(INDEX(_REF_Treatment_Library!$K$2:$K$296,MATCH($BY884,_REF_Treatment_Library!$A$2:$A$296,0)),""))</f>
        <v>Named owner, baseline process, minimum control checklist, first evidence package</v>
      </c>
      <c r="CC884" t="str">
        <f>IF($BY884="","",IFERROR(INDEX(_REF_Treatment_Library!$L$2:$L$296,MATCH($BY884,_REF_Treatment_Library!$A$2:$A$296,0)),""))</f>
        <v>Owner assigned; baseline evidence coverage; open critical gaps</v>
      </c>
      <c r="CD884" t="str">
        <f t="shared" ref="CD884:CD923" si="242">IF($E884="","","Treatment by capability="&amp;$BT884&amp;"; band="&amp;$BX884&amp;"; score="&amp;TEXT(N($H884),"0.0")&amp;"; treatment="&amp;$BZ884)</f>
        <v>Treatment by capability=CAP_BACKUP_RECOVERY; band=Initial / absent; score=0.0; treatment=Establish</v>
      </c>
      <c r="CE884" t="str">
        <f>IF($E884="","",IFERROR(INDEX(_REF_Industry_Wording!$A$2:$A$70,MATCH(1,INDEX((_REF_Industry_Wording!$B$2:$B$70=$BT884)*(_REF_Industry_Wording!$C$2:$C$70=PV_Canonical_Industry)*(_REF_Industry_Wording!$K$2:$K$70="Yes"),0),0)),IFERROR(INDEX(_REF_Industry_Wording!$A$2:$A$70,MATCH(1,INDEX((_REF_Industry_Wording!$B$2:$B$70=$BT884)*(_REF_Industry_Wording!$C$2:$C$70="All")*(_REF_Industry_Wording!$K$2:$K$70="Yes"),0),0)),"")))</f>
        <v>IW-ALL-BACKUP_RECOVERY</v>
      </c>
      <c r="CF884" t="str">
        <f>IF($CE884="","",IFERROR(INDEX(_REF_Industry_Wording!$E$2:$E$70,MATCH($CE884,_REF_Industry_Wording!$A$2:$A$70,0)),""))</f>
        <v>Backup / recovery weakness</v>
      </c>
      <c r="CG884" t="str">
        <f>IF($CE884="","",IFERROR(INDEX(_REF_Industry_Wording!$F$2:$F$70,MATCH($CE884,_REF_Industry_Wording!$A$2:$A$70,0)),""))</f>
        <v>Strengthen Backup / recovery</v>
      </c>
      <c r="CH884" t="str">
        <f>IF($CE884="","",IFERROR(INDEX(_REF_Industry_Wording!$G$2:$G$70,MATCH($CE884,_REF_Industry_Wording!$A$2:$A$70,0)),""))</f>
        <v>Strengthen Backup / recovery using the selected maturity treatment, crisis scenario and evidence requirements.</v>
      </c>
      <c r="CI884" t="str">
        <f>IF($CE884="","",IFERROR(INDEX(_REF_Industry_Wording!$H$2:$H$70,MATCH($CE884,_REF_Industry_Wording!$A$2:$A$70,0)),""))</f>
        <v>Backup / recovery</v>
      </c>
      <c r="CJ884">
        <f>IF($CE884="","",IFERROR(INDEX(_REF_Industry_Wording!$I$2:$I$70,MATCH($CE884,_REF_Industry_Wording!$A$2:$A$70,0)),""))</f>
        <v>0</v>
      </c>
      <c r="CK884" t="str">
        <f>IF($CE884="","",IFERROR(INDEX(_REF_Industry_Wording!$J$2:$J$70,MATCH($CE884,_REF_Industry_Wording!$A$2:$A$70,0)),""))</f>
        <v>Backup / recovery</v>
      </c>
      <c r="CL884" t="str">
        <f t="shared" ref="CL884:CL923" si="243">IF($E884="","","Wording by industry="&amp;PV_Canonical_Industry&amp;"; capability="&amp;$BT884&amp;"; risk label="&amp;$CF884)</f>
        <v>Wording by industry=0; capability=CAP_BACKUP_RECOVERY; risk label=Backup / recovery weakness</v>
      </c>
      <c r="CM884" t="str">
        <f t="shared" ref="CM884:CM923" si="244">IF($E884="","","RISK-ONT-"&amp;TEXT(ROW()-499,"0000"))</f>
        <v>RISK-ONT-0385</v>
      </c>
      <c r="CN884" t="str">
        <f t="shared" ref="CN884:CN923" si="245">IF($E884="","","RISK-EVT-"&amp;TEXT(ROW()-499,"0000"))</f>
        <v>RISK-EVT-0385</v>
      </c>
      <c r="CO884" t="str">
        <f t="shared" ref="CO884:CO923" si="246">IF($E884="","",$C884&amp;"|"&amp;$D884&amp;"|"&amp;$E884&amp;"|"&amp;$BT884)</f>
        <v>Cyber Privacy|Protection|CYBE-017|CAP_BACKUP_RECOVERY</v>
      </c>
      <c r="CP884" t="str">
        <f t="shared" ref="CP884:CP923" si="247">IF($E884="","",IF(OR($BT884="",$BT884="CAP_GENERIC"),"CHECK","Active"))</f>
        <v>Active</v>
      </c>
      <c r="CQ884" t="str">
        <f t="shared" ref="CQ884:CQ923" si="248">IF($E884="","",IF($BT884="CAP_GENERIC","CHECK: generic capability fallback","OK: capability-driven"))</f>
        <v>OK: capability-driven</v>
      </c>
      <c r="CR884" t="str">
        <f t="shared" ref="CR884:CR923" si="249">IF($E884="","","Risk ontology uses capability="&amp;$BT884&amp;"; bridge="&amp;$BV884&amp;"; treatment="&amp;$BY884&amp;"; wording="&amp;$CE884)</f>
        <v>Risk ontology uses capability=CAP_BACKUP_RECOVERY; bridge=BRG-016; treatment=TRT-BACKUP_RECOVERY-INITIAL; wording=IW-ALL-BACKUP_RECOVERY</v>
      </c>
      <c r="CS884" t="str">
        <f t="shared" ref="CS884:CS923" si="250">IF($E884="","",IF($CP884="Active","Yes","No"))</f>
        <v>Yes</v>
      </c>
    </row>
    <row r="885" spans="1:97" ht="69.900000000000006" customHeight="1">
      <c r="A885">
        <f>IF(OR($B885&lt;&gt;"Yes",$BS885=""),"",SUMPRODUCT(($B$500:$B$923="Yes")*ISNUMBER($BS$500:$BS$923)*($BS$500:$BS$923&gt;$BS885))+COUNTIFS($B$500:$B885,"Yes",$BS$500:$BS885,$BS885))</f>
        <v>34</v>
      </c>
      <c r="B885" t="str">
        <f t="shared" si="219"/>
        <v>Yes</v>
      </c>
      <c r="C885" t="s">
        <v>2986</v>
      </c>
      <c r="D885" t="s">
        <v>3013</v>
      </c>
      <c r="E885" t="s">
        <v>3095</v>
      </c>
      <c r="F885" t="s">
        <v>4460</v>
      </c>
      <c r="G885" t="str">
        <f>IF($H885="","",IFERROR(INDEX(_ENGINE_Risk!$H$5:$M$499,MATCH($E885,_ENGINE_Risk!$A$5:$A$499,0),$H885+1),""))</f>
        <v>Severe risk: secrets, API keys, certificates and credentials management and rotation is not reliably controlled. During Cyberattack; Data breach; Ransomware; Insider threat, the organization may face security incident, data breach, privilege misuse, privacy violation and regulatory exposure with limited visibility or accountability.</v>
      </c>
      <c r="H885">
        <f>IFERROR(VALUE(INDEX(_DATA_Assessment_Model!$H$5:$H$884,MATCH($E885,_DATA_Assessment_Model!$A$5:$A$884,0))),"")</f>
        <v>0</v>
      </c>
      <c r="I885" t="str">
        <f>IF($H885="","",IFERROR(INDEX(_DATA_Assessment_Model!$L$5:$L$884,MATCH($E885,_DATA_Assessment_Model!$A$5:$A$884,0)),IF($H885&lt;=1,"Critical",IF($H885=2,"High",IF($H885=3,"Medium",IF($H885=4,"Low","Resilient"))))))</f>
        <v>Critical</v>
      </c>
      <c r="J885">
        <f t="shared" si="220"/>
        <v>3.7</v>
      </c>
      <c r="K885">
        <f t="shared" si="221"/>
        <v>5</v>
      </c>
      <c r="L885">
        <f t="shared" si="222"/>
        <v>18.5</v>
      </c>
      <c r="M885">
        <f t="shared" si="223"/>
        <v>4</v>
      </c>
      <c r="N885">
        <f>IF($H885="","",IFERROR(INDEX(_ENGINE_Risk!$T$5:$Y$499,MATCH($E885,_ENGINE_Risk!$A$5:$A$499,0),$H885+1),""))</f>
        <v>4</v>
      </c>
      <c r="O885">
        <f t="shared" si="224"/>
        <v>4.333333333333333</v>
      </c>
      <c r="P885">
        <f t="shared" si="225"/>
        <v>5</v>
      </c>
      <c r="Q885">
        <f t="shared" si="226"/>
        <v>5</v>
      </c>
      <c r="R885">
        <f t="shared" si="227"/>
        <v>5</v>
      </c>
      <c r="S885">
        <f t="shared" si="228"/>
        <v>1.21</v>
      </c>
      <c r="T885" t="str">
        <f>IF($H885="","",IFERROR(INDEX(_ENGINE_Risk!$N$5:$S$499,MATCH($E885,_ENGINE_Risk!$A$5:$A$499,0),$H885+1),""))</f>
        <v>Create an immediate risk owner, minimum control baseline and fallback procedure for secrets, API keys, certificates and credentials management and rotation. Add it to the crisis risk register and collect first evidence.</v>
      </c>
      <c r="U885">
        <f>IFERROR(INDEX(_DATA_Assessment_Model!$G$5:$G$884,MATCH($E885,_DATA_Assessment_Model!$A$5:$A$884,0)),"")</f>
        <v>3</v>
      </c>
      <c r="V885">
        <f>IFERROR(INDEX(_DATA_Assessment_Model!$W$5:$W$884,MATCH($E885,_DATA_Assessment_Model!$A$5:$A$884,0)),"")</f>
        <v>5</v>
      </c>
      <c r="W885">
        <f>IFERROR(INDEX(_DATA_Assessment_Model!$X$5:$X$884,MATCH($E885,_DATA_Assessment_Model!$A$5:$A$884,0)),"")</f>
        <v>5</v>
      </c>
      <c r="X885">
        <f>IFERROR(INDEX(_DATA_Assessment_Model!$Y$5:$Y$884,MATCH($E885,_DATA_Assessment_Model!$A$5:$A$884,0)),"")</f>
        <v>5</v>
      </c>
      <c r="Y885" t="s">
        <v>2999</v>
      </c>
      <c r="Z885" t="s">
        <v>9811</v>
      </c>
      <c r="AA885" t="s">
        <v>3097</v>
      </c>
      <c r="AB885">
        <f>IFERROR(INDEX(_DATA_Assessment_Model!$U$5:$U$884,MATCH($E885,_DATA_Assessment_Model!$A$5:$A$884,0)),"")</f>
        <v>0</v>
      </c>
      <c r="AF885" t="s">
        <v>3096</v>
      </c>
      <c r="AO885">
        <f>IF($B885="Yes",IF(IFERROR(INDEX(_ENGINE_Crisis!$F$501:$F$517,MATCH($C885,_ENGINE_Crisis!$A$501:$A$517,0)),1)=0,1,IFERROR(INDEX(_ENGINE_Crisis!$F$501:$F$517,MATCH($C885,_ENGINE_Crisis!$A$501:$A$517,0)),1)),"")</f>
        <v>1</v>
      </c>
      <c r="AP885">
        <f t="shared" si="229"/>
        <v>18.5</v>
      </c>
      <c r="AQ885">
        <f t="shared" si="230"/>
        <v>1.21</v>
      </c>
      <c r="AR885" t="str">
        <f>IFERROR(INDEX(_ENGINE_Crisis!$E$41:$E$700,MATCH('Resilience &amp; Risk Scenario'!$B$6&amp;"|"&amp;$C885,_ENGINE_Crisis!$I$41:$I$700,0)),"")</f>
        <v/>
      </c>
      <c r="AS885" t="str">
        <f>IFERROR(INDEX(_ENGINE_Crisis!$G$41:$G$700,MATCH('Resilience &amp; Risk Scenario'!$B$6&amp;"|"&amp;$C885,_ENGINE_Crisis!$I$41:$I$700,0)),"")</f>
        <v/>
      </c>
      <c r="AT885" t="str">
        <f>IFERROR(INDEX(_ENGINE_Initiatives!$A$5:$A$532,MATCH(1,INDEX((_ENGINE_Initiatives!$B$5:$B$532=$C885)*(_ENGINE_Initiatives!$C$5:$C$532=$D885),0),0)),"")</f>
        <v>INI-065</v>
      </c>
      <c r="AU885" t="str">
        <f>IFERROR(INDEX(_ENGINE_Initiatives!$F$5:$F$532,MATCH(1,INDEX((_ENGINE_Initiatives!$B$5:$B$532=$C885)*(_ENGINE_Initiatives!$C$5:$C$532=$D885),0),0)),"")</f>
        <v>Improve endpoint, network, backup and vulnerability protection</v>
      </c>
      <c r="AV885">
        <f>IFERROR(INDEX(_ENGINE_Initiatives!$AC$5:$AC$532,MATCH(1,INDEX((_ENGINE_Initiatives!$B$5:$B$532=$C885)*(_ENGINE_Initiatives!$C$5:$C$532=$D885),0),0)),"")</f>
        <v>1.39</v>
      </c>
      <c r="AW885" t="str">
        <f>IFERROR(INDEX(_ENGINE_Initiatives!$AE$5:$AE$532,MATCH(1,INDEX((_ENGINE_Initiatives!$B$5:$B$532=$C885)*(_ENGINE_Initiatives!$C$5:$C$532=$D885),0),0)),"")</f>
        <v>6-12 months</v>
      </c>
      <c r="AX885">
        <f>IF($B885="Yes",IFERROR((IF(SUMIFS(_REF_Model_Content!$E$1:$E$613,_REF_Model_Content!$A$1:$A$613,PV_Canonical_Industry,_REF_Model_Content!$B$1:$B$613,$C885)=0,1,SUMIFS(_REF_Model_Content!$E$1:$E$613,_REF_Model_Content!$A$1:$A$613,PV_Canonical_Industry,_REF_Model_Content!$B$1:$B$613,$C885))*IFERROR($BU885,1)),1),"")</f>
        <v>1</v>
      </c>
      <c r="AY885">
        <f t="shared" si="231"/>
        <v>18.5</v>
      </c>
      <c r="AZ885">
        <f t="shared" si="232"/>
        <v>1.21</v>
      </c>
      <c r="BB885" t="str">
        <f>IF($H885="","",IFERROR(INDEX(_ENGINE_Risk!$AE$5:$AE$499,MATCH($E885,_ENGINE_Risk!$A$5:$A$499,0)),"Medium"))</f>
        <v>Fast</v>
      </c>
      <c r="BC885">
        <f t="shared" si="233"/>
        <v>1.25</v>
      </c>
      <c r="BD885">
        <f t="shared" si="234"/>
        <v>1.21</v>
      </c>
      <c r="BF885">
        <f>IF(OR($H885="",$J885=""),"",IFERROR(VLOOKUP(ROUND($J885,0),_CONFIG_Model_Settings!$D$154:$E$158,2,0),""))</f>
        <v>0.5</v>
      </c>
      <c r="BG885">
        <f>IFERROR(IF(OR($H885="",$K885=""),"",ROUND('Company Profile'!$B$113*INDEX(_CONFIG_Model_Settings!$H$154:$H$158,MATCH(ROUND($K885,0),_CONFIG_Model_Settings!$G$154:$G$158,0)),0)),0)</f>
        <v>1875</v>
      </c>
      <c r="BH885">
        <f t="shared" si="235"/>
        <v>937.5</v>
      </c>
      <c r="BI885">
        <f t="shared" si="236"/>
        <v>937.5</v>
      </c>
      <c r="BJ885">
        <f>IF($E885="","",IFERROR(VLOOKUP($C885,_CONFIG_Risk_Calibration!$A$5:$H$21,2,FALSE),3))</f>
        <v>3</v>
      </c>
      <c r="BK885">
        <f>IF($E885="","",IFERROR(VLOOKUP($C885,_CONFIG_Risk_Calibration!$A$5:$H$21,3,FALSE),0))</f>
        <v>0</v>
      </c>
      <c r="BL885">
        <f>IF($E885="","",IFERROR(VLOOKUP($C885,_CONFIG_Risk_Calibration!$A$5:$H$21,4,FALSE),3))</f>
        <v>3</v>
      </c>
      <c r="BM885">
        <f>IF($E885="","",IFERROR(VLOOKUP($C885,_CONFIG_Risk_Calibration!$A$5:$H$21,5,FALSE),3))</f>
        <v>4</v>
      </c>
      <c r="BN885" t="str">
        <f>IF($E885="","",IFERROR(VLOOKUP($C885,_CONFIG_Risk_Calibration!$A$5:$H$21,6,FALSE),"No"))</f>
        <v>Yes</v>
      </c>
      <c r="BO885">
        <f>IF($E885="","",IFERROR(VLOOKUP($C885,_CONFIG_Risk_Calibration!$A$5:$H$21,7,FALSE),1))</f>
        <v>5</v>
      </c>
      <c r="BP885">
        <f>IF($H885="","",MAX(1,MIN(5,((6-$H885)*0.45)+($BJ885*0.2)+('Resilience &amp; Risk Scenario'!$B$7*0.15)+($BK885*0.1)+($BL885*0.05)+(IF($BB885="Fast",5,IF($BB885="Slow",1,3))*0.05))))</f>
        <v>3.7</v>
      </c>
      <c r="BQ885">
        <f t="shared" si="237"/>
        <v>5</v>
      </c>
      <c r="BR885">
        <f t="shared" si="238"/>
        <v>18.5</v>
      </c>
      <c r="BS885">
        <f t="shared" si="239"/>
        <v>25.44</v>
      </c>
      <c r="BT885" t="str">
        <f>IFERROR(INDEX(_REF_Capability_Bridge!$D:$D,MATCH($C885&amp;"|"&amp;$D885,_REF_Capability_Bridge!$J:$J,0)),IFERROR(INDEX(_REF_Capability_Bridge!$D:$D,MATCH($C885&amp;"|",_REF_Capability_Bridge!$J:$J,0)),"CAP_GENERIC"))</f>
        <v>CAP_BACKUP_RECOVERY</v>
      </c>
      <c r="BU885">
        <f>IFERROR(IFERROR(INDEX(_ENGINE_Relevance!$L:$L,MATCH($BT885,_ENGINE_Relevance!$B:$B,0)),1),1)</f>
        <v>1</v>
      </c>
      <c r="BV885" t="str">
        <f>IFERROR(INDEX(_REF_Capability_Bridge!$A:$A,MATCH($C885&amp;"|"&amp;$D885,_REF_Capability_Bridge!$J:$J,0)),IFERROR(INDEX(_REF_Capability_Bridge!$A:$A,MATCH($C885&amp;"|",_REF_Capability_Bridge!$J:$J,0)),"No bridge"))</f>
        <v>BRG-016</v>
      </c>
      <c r="BW885" t="str">
        <f t="shared" si="240"/>
        <v>Capability relevance neutral</v>
      </c>
      <c r="BX885" t="str">
        <f t="shared" si="241"/>
        <v>Initial / absent</v>
      </c>
      <c r="BY885" t="str">
        <f>IF($E885="","",IFERROR(INDEX(_REF_Treatment_Library!$A$2:$A$296,MATCH(1,INDEX((_REF_Treatment_Library!$B$2:$B$296=$BT885)*(_REF_Treatment_Library!$C$2:$C$296=PV_Canonical_Industry)*(_REF_Treatment_Library!$E$2:$E$296&lt;=N($H885))*(_REF_Treatment_Library!$F$2:$F$296&gt;=N($H885))*(_REF_Treatment_Library!$O$2:$O$296="Yes"),0),0)),IFERROR(INDEX(_REF_Treatment_Library!$A$2:$A$296,MATCH(1,INDEX((_REF_Treatment_Library!$B$2:$B$296=$BT885)*(_REF_Treatment_Library!$C$2:$C$296="All")*(_REF_Treatment_Library!$E$2:$E$296&lt;=N($H885))*(_REF_Treatment_Library!$F$2:$F$296&gt;=N($H885))*(_REF_Treatment_Library!$O$2:$O$296="Yes"),0),0)),"")))</f>
        <v>TRT-BACKUP_RECOVERY-INITIAL</v>
      </c>
      <c r="BZ885" t="str">
        <f>IF($BY885="","",IFERROR(INDEX(_REF_Treatment_Library!$H$2:$H$296,MATCH($BY885,_REF_Treatment_Library!$A$2:$A$296,0)),""))</f>
        <v>Establish</v>
      </c>
      <c r="CA885" t="str">
        <f>IF($BY885="","",IFERROR(INDEX(_REF_Treatment_Library!$I$2:$I$296,MATCH($BY885,_REF_Treatment_Library!$A$2:$A$296,0)),""))</f>
        <v>Establish baseline controls for Backup / recovery</v>
      </c>
      <c r="CB885" t="str">
        <f>IF($BY885="","",IFERROR(INDEX(_REF_Treatment_Library!$K$2:$K$296,MATCH($BY885,_REF_Treatment_Library!$A$2:$A$296,0)),""))</f>
        <v>Named owner, baseline process, minimum control checklist, first evidence package</v>
      </c>
      <c r="CC885" t="str">
        <f>IF($BY885="","",IFERROR(INDEX(_REF_Treatment_Library!$L$2:$L$296,MATCH($BY885,_REF_Treatment_Library!$A$2:$A$296,0)),""))</f>
        <v>Owner assigned; baseline evidence coverage; open critical gaps</v>
      </c>
      <c r="CD885" t="str">
        <f t="shared" si="242"/>
        <v>Treatment by capability=CAP_BACKUP_RECOVERY; band=Initial / absent; score=0.0; treatment=Establish</v>
      </c>
      <c r="CE885" t="str">
        <f>IF($E885="","",IFERROR(INDEX(_REF_Industry_Wording!$A$2:$A$70,MATCH(1,INDEX((_REF_Industry_Wording!$B$2:$B$70=$BT885)*(_REF_Industry_Wording!$C$2:$C$70=PV_Canonical_Industry)*(_REF_Industry_Wording!$K$2:$K$70="Yes"),0),0)),IFERROR(INDEX(_REF_Industry_Wording!$A$2:$A$70,MATCH(1,INDEX((_REF_Industry_Wording!$B$2:$B$70=$BT885)*(_REF_Industry_Wording!$C$2:$C$70="All")*(_REF_Industry_Wording!$K$2:$K$70="Yes"),0),0)),"")))</f>
        <v>IW-ALL-BACKUP_RECOVERY</v>
      </c>
      <c r="CF885" t="str">
        <f>IF($CE885="","",IFERROR(INDEX(_REF_Industry_Wording!$E$2:$E$70,MATCH($CE885,_REF_Industry_Wording!$A$2:$A$70,0)),""))</f>
        <v>Backup / recovery weakness</v>
      </c>
      <c r="CG885" t="str">
        <f>IF($CE885="","",IFERROR(INDEX(_REF_Industry_Wording!$F$2:$F$70,MATCH($CE885,_REF_Industry_Wording!$A$2:$A$70,0)),""))</f>
        <v>Strengthen Backup / recovery</v>
      </c>
      <c r="CH885" t="str">
        <f>IF($CE885="","",IFERROR(INDEX(_REF_Industry_Wording!$G$2:$G$70,MATCH($CE885,_REF_Industry_Wording!$A$2:$A$70,0)),""))</f>
        <v>Strengthen Backup / recovery using the selected maturity treatment, crisis scenario and evidence requirements.</v>
      </c>
      <c r="CI885" t="str">
        <f>IF($CE885="","",IFERROR(INDEX(_REF_Industry_Wording!$H$2:$H$70,MATCH($CE885,_REF_Industry_Wording!$A$2:$A$70,0)),""))</f>
        <v>Backup / recovery</v>
      </c>
      <c r="CJ885">
        <f>IF($CE885="","",IFERROR(INDEX(_REF_Industry_Wording!$I$2:$I$70,MATCH($CE885,_REF_Industry_Wording!$A$2:$A$70,0)),""))</f>
        <v>0</v>
      </c>
      <c r="CK885" t="str">
        <f>IF($CE885="","",IFERROR(INDEX(_REF_Industry_Wording!$J$2:$J$70,MATCH($CE885,_REF_Industry_Wording!$A$2:$A$70,0)),""))</f>
        <v>Backup / recovery</v>
      </c>
      <c r="CL885" t="str">
        <f t="shared" si="243"/>
        <v>Wording by industry=0; capability=CAP_BACKUP_RECOVERY; risk label=Backup / recovery weakness</v>
      </c>
      <c r="CM885" t="str">
        <f t="shared" si="244"/>
        <v>RISK-ONT-0386</v>
      </c>
      <c r="CN885" t="str">
        <f t="shared" si="245"/>
        <v>RISK-EVT-0386</v>
      </c>
      <c r="CO885" t="str">
        <f t="shared" si="246"/>
        <v>Cyber Privacy|Protection|CYBE-018|CAP_BACKUP_RECOVERY</v>
      </c>
      <c r="CP885" t="str">
        <f t="shared" si="247"/>
        <v>Active</v>
      </c>
      <c r="CQ885" t="str">
        <f t="shared" si="248"/>
        <v>OK: capability-driven</v>
      </c>
      <c r="CR885" t="str">
        <f t="shared" si="249"/>
        <v>Risk ontology uses capability=CAP_BACKUP_RECOVERY; bridge=BRG-016; treatment=TRT-BACKUP_RECOVERY-INITIAL; wording=IW-ALL-BACKUP_RECOVERY</v>
      </c>
      <c r="CS885" t="str">
        <f t="shared" si="250"/>
        <v>Yes</v>
      </c>
    </row>
    <row r="886" spans="1:97" ht="69.900000000000006" customHeight="1">
      <c r="A886">
        <f>IF(OR($B886&lt;&gt;"Yes",$BS886=""),"",SUMPRODUCT(($B$500:$B$923="Yes")*ISNUMBER($BS$500:$BS$923)*($BS$500:$BS$923&gt;$BS886))+COUNTIFS($B$500:$B886,"Yes",$BS$500:$BS886,$BS886))</f>
        <v>35</v>
      </c>
      <c r="B886" t="str">
        <f t="shared" si="219"/>
        <v>Yes</v>
      </c>
      <c r="C886" t="s">
        <v>2986</v>
      </c>
      <c r="D886" t="s">
        <v>3013</v>
      </c>
      <c r="E886" t="s">
        <v>3104</v>
      </c>
      <c r="F886" t="s">
        <v>4460</v>
      </c>
      <c r="G886" t="str">
        <f>IF($H886="","",IFERROR(INDEX(_ENGINE_Risk!$H$5:$M$499,MATCH($E886,_ENGINE_Risk!$A$5:$A$499,0),$H886+1),""))</f>
        <v>Severe risk: encryption for sensitive data at rest and in transit is not reliably controlled. During Cyberattack; Data breach; Ransomware; Insider threat, the organization may face security incident, data breach, privilege misuse, privacy violation and regulatory exposure with limited visibility or accountability.</v>
      </c>
      <c r="H886">
        <f>IFERROR(VALUE(INDEX(_DATA_Assessment_Model!$H$5:$H$884,MATCH($E886,_DATA_Assessment_Model!$A$5:$A$884,0))),"")</f>
        <v>0</v>
      </c>
      <c r="I886" t="str">
        <f>IF($H886="","",IFERROR(INDEX(_DATA_Assessment_Model!$L$5:$L$884,MATCH($E886,_DATA_Assessment_Model!$A$5:$A$884,0)),IF($H886&lt;=1,"Critical",IF($H886=2,"High",IF($H886=3,"Medium",IF($H886=4,"Low","Resilient"))))))</f>
        <v>Critical</v>
      </c>
      <c r="J886">
        <f t="shared" si="220"/>
        <v>3.7</v>
      </c>
      <c r="K886">
        <f t="shared" si="221"/>
        <v>5</v>
      </c>
      <c r="L886">
        <f t="shared" si="222"/>
        <v>18.5</v>
      </c>
      <c r="M886">
        <f t="shared" si="223"/>
        <v>4</v>
      </c>
      <c r="N886">
        <f>IF($H886="","",IFERROR(INDEX(_ENGINE_Risk!$T$5:$Y$499,MATCH($E886,_ENGINE_Risk!$A$5:$A$499,0),$H886+1),""))</f>
        <v>4</v>
      </c>
      <c r="O886">
        <f t="shared" si="224"/>
        <v>4.666666666666667</v>
      </c>
      <c r="P886">
        <f t="shared" si="225"/>
        <v>5</v>
      </c>
      <c r="Q886">
        <f t="shared" si="226"/>
        <v>5</v>
      </c>
      <c r="R886">
        <f t="shared" si="227"/>
        <v>5</v>
      </c>
      <c r="S886">
        <f t="shared" si="228"/>
        <v>1.23</v>
      </c>
      <c r="T886" t="str">
        <f>IF($H886="","",IFERROR(INDEX(_ENGINE_Risk!$N$5:$S$499,MATCH($E886,_ENGINE_Risk!$A$5:$A$499,0),$H886+1),""))</f>
        <v>Create an immediate risk owner, minimum control baseline and fallback procedure for encryption for sensitive data at rest and in transit. Add it to the crisis risk register and collect first evidence.</v>
      </c>
      <c r="U886">
        <f>IFERROR(INDEX(_DATA_Assessment_Model!$G$5:$G$884,MATCH($E886,_DATA_Assessment_Model!$A$5:$A$884,0)),"")</f>
        <v>4</v>
      </c>
      <c r="V886">
        <f>IFERROR(INDEX(_DATA_Assessment_Model!$W$5:$W$884,MATCH($E886,_DATA_Assessment_Model!$A$5:$A$884,0)),"")</f>
        <v>5</v>
      </c>
      <c r="W886">
        <f>IFERROR(INDEX(_DATA_Assessment_Model!$X$5:$X$884,MATCH($E886,_DATA_Assessment_Model!$A$5:$A$884,0)),"")</f>
        <v>5</v>
      </c>
      <c r="X886">
        <f>IFERROR(INDEX(_DATA_Assessment_Model!$Y$5:$Y$884,MATCH($E886,_DATA_Assessment_Model!$A$5:$A$884,0)),"")</f>
        <v>5</v>
      </c>
      <c r="Y886" t="s">
        <v>2999</v>
      </c>
      <c r="Z886" t="s">
        <v>9811</v>
      </c>
      <c r="AA886" t="s">
        <v>3106</v>
      </c>
      <c r="AB886">
        <f>IFERROR(INDEX(_DATA_Assessment_Model!$U$5:$U$884,MATCH($E886,_DATA_Assessment_Model!$A$5:$A$884,0)),"")</f>
        <v>0</v>
      </c>
      <c r="AF886" t="s">
        <v>3105</v>
      </c>
      <c r="AO886">
        <f>IF($B886="Yes",IF(IFERROR(INDEX(_ENGINE_Crisis!$F$501:$F$517,MATCH($C886,_ENGINE_Crisis!$A$501:$A$517,0)),1)=0,1,IFERROR(INDEX(_ENGINE_Crisis!$F$501:$F$517,MATCH($C886,_ENGINE_Crisis!$A$501:$A$517,0)),1)),"")</f>
        <v>1</v>
      </c>
      <c r="AP886">
        <f t="shared" si="229"/>
        <v>18.5</v>
      </c>
      <c r="AQ886">
        <f t="shared" si="230"/>
        <v>1.23</v>
      </c>
      <c r="AR886" t="str">
        <f>IFERROR(INDEX(_ENGINE_Crisis!$E$41:$E$700,MATCH('Resilience &amp; Risk Scenario'!$B$6&amp;"|"&amp;$C886,_ENGINE_Crisis!$I$41:$I$700,0)),"")</f>
        <v/>
      </c>
      <c r="AS886" t="str">
        <f>IFERROR(INDEX(_ENGINE_Crisis!$G$41:$G$700,MATCH('Resilience &amp; Risk Scenario'!$B$6&amp;"|"&amp;$C886,_ENGINE_Crisis!$I$41:$I$700,0)),"")</f>
        <v/>
      </c>
      <c r="AT886" t="str">
        <f>IFERROR(INDEX(_ENGINE_Initiatives!$A$5:$A$532,MATCH(1,INDEX((_ENGINE_Initiatives!$B$5:$B$532=$C886)*(_ENGINE_Initiatives!$C$5:$C$532=$D886),0),0)),"")</f>
        <v>INI-065</v>
      </c>
      <c r="AU886" t="str">
        <f>IFERROR(INDEX(_ENGINE_Initiatives!$F$5:$F$532,MATCH(1,INDEX((_ENGINE_Initiatives!$B$5:$B$532=$C886)*(_ENGINE_Initiatives!$C$5:$C$532=$D886),0),0)),"")</f>
        <v>Improve endpoint, network, backup and vulnerability protection</v>
      </c>
      <c r="AV886">
        <f>IFERROR(INDEX(_ENGINE_Initiatives!$AC$5:$AC$532,MATCH(1,INDEX((_ENGINE_Initiatives!$B$5:$B$532=$C886)*(_ENGINE_Initiatives!$C$5:$C$532=$D886),0),0)),"")</f>
        <v>1.39</v>
      </c>
      <c r="AW886" t="str">
        <f>IFERROR(INDEX(_ENGINE_Initiatives!$AE$5:$AE$532,MATCH(1,INDEX((_ENGINE_Initiatives!$B$5:$B$532=$C886)*(_ENGINE_Initiatives!$C$5:$C$532=$D886),0),0)),"")</f>
        <v>6-12 months</v>
      </c>
      <c r="AX886">
        <f>IF($B886="Yes",IFERROR((IF(SUMIFS(_REF_Model_Content!$E$1:$E$613,_REF_Model_Content!$A$1:$A$613,PV_Canonical_Industry,_REF_Model_Content!$B$1:$B$613,$C886)=0,1,SUMIFS(_REF_Model_Content!$E$1:$E$613,_REF_Model_Content!$A$1:$A$613,PV_Canonical_Industry,_REF_Model_Content!$B$1:$B$613,$C886))*IFERROR($BU886,1)),1),"")</f>
        <v>1</v>
      </c>
      <c r="AY886">
        <f t="shared" si="231"/>
        <v>18.5</v>
      </c>
      <c r="AZ886">
        <f t="shared" si="232"/>
        <v>1.23</v>
      </c>
      <c r="BB886" t="str">
        <f>IF($H886="","",IFERROR(INDEX(_ENGINE_Risk!$AE$5:$AE$499,MATCH($E886,_ENGINE_Risk!$A$5:$A$499,0)),"Medium"))</f>
        <v>Fast</v>
      </c>
      <c r="BC886">
        <f t="shared" si="233"/>
        <v>1.25</v>
      </c>
      <c r="BD886">
        <f t="shared" si="234"/>
        <v>1.23</v>
      </c>
      <c r="BF886">
        <f>IF(OR($H886="",$J886=""),"",IFERROR(VLOOKUP(ROUND($J886,0),_CONFIG_Model_Settings!$D$154:$E$158,2,0),""))</f>
        <v>0.5</v>
      </c>
      <c r="BG886">
        <f>IFERROR(IF(OR($H886="",$K886=""),"",ROUND('Company Profile'!$B$113*INDEX(_CONFIG_Model_Settings!$H$154:$H$158,MATCH(ROUND($K886,0),_CONFIG_Model_Settings!$G$154:$G$158,0)),0)),0)</f>
        <v>1875</v>
      </c>
      <c r="BH886">
        <f t="shared" si="235"/>
        <v>937.5</v>
      </c>
      <c r="BI886">
        <f t="shared" si="236"/>
        <v>937.5</v>
      </c>
      <c r="BJ886">
        <f>IF($E886="","",IFERROR(VLOOKUP($C886,_CONFIG_Risk_Calibration!$A$5:$H$21,2,FALSE),3))</f>
        <v>3</v>
      </c>
      <c r="BK886">
        <f>IF($E886="","",IFERROR(VLOOKUP($C886,_CONFIG_Risk_Calibration!$A$5:$H$21,3,FALSE),0))</f>
        <v>0</v>
      </c>
      <c r="BL886">
        <f>IF($E886="","",IFERROR(VLOOKUP($C886,_CONFIG_Risk_Calibration!$A$5:$H$21,4,FALSE),3))</f>
        <v>3</v>
      </c>
      <c r="BM886">
        <f>IF($E886="","",IFERROR(VLOOKUP($C886,_CONFIG_Risk_Calibration!$A$5:$H$21,5,FALSE),3))</f>
        <v>4</v>
      </c>
      <c r="BN886" t="str">
        <f>IF($E886="","",IFERROR(VLOOKUP($C886,_CONFIG_Risk_Calibration!$A$5:$H$21,6,FALSE),"No"))</f>
        <v>Yes</v>
      </c>
      <c r="BO886">
        <f>IF($E886="","",IFERROR(VLOOKUP($C886,_CONFIG_Risk_Calibration!$A$5:$H$21,7,FALSE),1))</f>
        <v>5</v>
      </c>
      <c r="BP886">
        <f>IF($H886="","",MAX(1,MIN(5,((6-$H886)*0.45)+($BJ886*0.2)+('Resilience &amp; Risk Scenario'!$B$7*0.15)+($BK886*0.1)+($BL886*0.05)+(IF($BB886="Fast",5,IF($BB886="Slow",1,3))*0.05))))</f>
        <v>3.7</v>
      </c>
      <c r="BQ886">
        <f t="shared" si="237"/>
        <v>5</v>
      </c>
      <c r="BR886">
        <f t="shared" si="238"/>
        <v>18.5</v>
      </c>
      <c r="BS886">
        <f t="shared" si="239"/>
        <v>25.44</v>
      </c>
      <c r="BT886" t="str">
        <f>IFERROR(INDEX(_REF_Capability_Bridge!$D:$D,MATCH($C886&amp;"|"&amp;$D886,_REF_Capability_Bridge!$J:$J,0)),IFERROR(INDEX(_REF_Capability_Bridge!$D:$D,MATCH($C886&amp;"|",_REF_Capability_Bridge!$J:$J,0)),"CAP_GENERIC"))</f>
        <v>CAP_BACKUP_RECOVERY</v>
      </c>
      <c r="BU886">
        <f>IFERROR(IFERROR(INDEX(_ENGINE_Relevance!$L:$L,MATCH($BT886,_ENGINE_Relevance!$B:$B,0)),1),1)</f>
        <v>1</v>
      </c>
      <c r="BV886" t="str">
        <f>IFERROR(INDEX(_REF_Capability_Bridge!$A:$A,MATCH($C886&amp;"|"&amp;$D886,_REF_Capability_Bridge!$J:$J,0)),IFERROR(INDEX(_REF_Capability_Bridge!$A:$A,MATCH($C886&amp;"|",_REF_Capability_Bridge!$J:$J,0)),"No bridge"))</f>
        <v>BRG-016</v>
      </c>
      <c r="BW886" t="str">
        <f t="shared" si="240"/>
        <v>Capability relevance neutral</v>
      </c>
      <c r="BX886" t="str">
        <f t="shared" si="241"/>
        <v>Initial / absent</v>
      </c>
      <c r="BY886" t="str">
        <f>IF($E886="","",IFERROR(INDEX(_REF_Treatment_Library!$A$2:$A$296,MATCH(1,INDEX((_REF_Treatment_Library!$B$2:$B$296=$BT886)*(_REF_Treatment_Library!$C$2:$C$296=PV_Canonical_Industry)*(_REF_Treatment_Library!$E$2:$E$296&lt;=N($H886))*(_REF_Treatment_Library!$F$2:$F$296&gt;=N($H886))*(_REF_Treatment_Library!$O$2:$O$296="Yes"),0),0)),IFERROR(INDEX(_REF_Treatment_Library!$A$2:$A$296,MATCH(1,INDEX((_REF_Treatment_Library!$B$2:$B$296=$BT886)*(_REF_Treatment_Library!$C$2:$C$296="All")*(_REF_Treatment_Library!$E$2:$E$296&lt;=N($H886))*(_REF_Treatment_Library!$F$2:$F$296&gt;=N($H886))*(_REF_Treatment_Library!$O$2:$O$296="Yes"),0),0)),"")))</f>
        <v>TRT-BACKUP_RECOVERY-INITIAL</v>
      </c>
      <c r="BZ886" t="str">
        <f>IF($BY886="","",IFERROR(INDEX(_REF_Treatment_Library!$H$2:$H$296,MATCH($BY886,_REF_Treatment_Library!$A$2:$A$296,0)),""))</f>
        <v>Establish</v>
      </c>
      <c r="CA886" t="str">
        <f>IF($BY886="","",IFERROR(INDEX(_REF_Treatment_Library!$I$2:$I$296,MATCH($BY886,_REF_Treatment_Library!$A$2:$A$296,0)),""))</f>
        <v>Establish baseline controls for Backup / recovery</v>
      </c>
      <c r="CB886" t="str">
        <f>IF($BY886="","",IFERROR(INDEX(_REF_Treatment_Library!$K$2:$K$296,MATCH($BY886,_REF_Treatment_Library!$A$2:$A$296,0)),""))</f>
        <v>Named owner, baseline process, minimum control checklist, first evidence package</v>
      </c>
      <c r="CC886" t="str">
        <f>IF($BY886="","",IFERROR(INDEX(_REF_Treatment_Library!$L$2:$L$296,MATCH($BY886,_REF_Treatment_Library!$A$2:$A$296,0)),""))</f>
        <v>Owner assigned; baseline evidence coverage; open critical gaps</v>
      </c>
      <c r="CD886" t="str">
        <f t="shared" si="242"/>
        <v>Treatment by capability=CAP_BACKUP_RECOVERY; band=Initial / absent; score=0.0; treatment=Establish</v>
      </c>
      <c r="CE886" t="str">
        <f>IF($E886="","",IFERROR(INDEX(_REF_Industry_Wording!$A$2:$A$70,MATCH(1,INDEX((_REF_Industry_Wording!$B$2:$B$70=$BT886)*(_REF_Industry_Wording!$C$2:$C$70=PV_Canonical_Industry)*(_REF_Industry_Wording!$K$2:$K$70="Yes"),0),0)),IFERROR(INDEX(_REF_Industry_Wording!$A$2:$A$70,MATCH(1,INDEX((_REF_Industry_Wording!$B$2:$B$70=$BT886)*(_REF_Industry_Wording!$C$2:$C$70="All")*(_REF_Industry_Wording!$K$2:$K$70="Yes"),0),0)),"")))</f>
        <v>IW-ALL-BACKUP_RECOVERY</v>
      </c>
      <c r="CF886" t="str">
        <f>IF($CE886="","",IFERROR(INDEX(_REF_Industry_Wording!$E$2:$E$70,MATCH($CE886,_REF_Industry_Wording!$A$2:$A$70,0)),""))</f>
        <v>Backup / recovery weakness</v>
      </c>
      <c r="CG886" t="str">
        <f>IF($CE886="","",IFERROR(INDEX(_REF_Industry_Wording!$F$2:$F$70,MATCH($CE886,_REF_Industry_Wording!$A$2:$A$70,0)),""))</f>
        <v>Strengthen Backup / recovery</v>
      </c>
      <c r="CH886" t="str">
        <f>IF($CE886="","",IFERROR(INDEX(_REF_Industry_Wording!$G$2:$G$70,MATCH($CE886,_REF_Industry_Wording!$A$2:$A$70,0)),""))</f>
        <v>Strengthen Backup / recovery using the selected maturity treatment, crisis scenario and evidence requirements.</v>
      </c>
      <c r="CI886" t="str">
        <f>IF($CE886="","",IFERROR(INDEX(_REF_Industry_Wording!$H$2:$H$70,MATCH($CE886,_REF_Industry_Wording!$A$2:$A$70,0)),""))</f>
        <v>Backup / recovery</v>
      </c>
      <c r="CJ886">
        <f>IF($CE886="","",IFERROR(INDEX(_REF_Industry_Wording!$I$2:$I$70,MATCH($CE886,_REF_Industry_Wording!$A$2:$A$70,0)),""))</f>
        <v>0</v>
      </c>
      <c r="CK886" t="str">
        <f>IF($CE886="","",IFERROR(INDEX(_REF_Industry_Wording!$J$2:$J$70,MATCH($CE886,_REF_Industry_Wording!$A$2:$A$70,0)),""))</f>
        <v>Backup / recovery</v>
      </c>
      <c r="CL886" t="str">
        <f t="shared" si="243"/>
        <v>Wording by industry=0; capability=CAP_BACKUP_RECOVERY; risk label=Backup / recovery weakness</v>
      </c>
      <c r="CM886" t="str">
        <f t="shared" si="244"/>
        <v>RISK-ONT-0387</v>
      </c>
      <c r="CN886" t="str">
        <f t="shared" si="245"/>
        <v>RISK-EVT-0387</v>
      </c>
      <c r="CO886" t="str">
        <f t="shared" si="246"/>
        <v>Cyber Privacy|Protection|CYBE-019|CAP_BACKUP_RECOVERY</v>
      </c>
      <c r="CP886" t="str">
        <f t="shared" si="247"/>
        <v>Active</v>
      </c>
      <c r="CQ886" t="str">
        <f t="shared" si="248"/>
        <v>OK: capability-driven</v>
      </c>
      <c r="CR886" t="str">
        <f t="shared" si="249"/>
        <v>Risk ontology uses capability=CAP_BACKUP_RECOVERY; bridge=BRG-016; treatment=TRT-BACKUP_RECOVERY-INITIAL; wording=IW-ALL-BACKUP_RECOVERY</v>
      </c>
      <c r="CS886" t="str">
        <f t="shared" si="250"/>
        <v>Yes</v>
      </c>
    </row>
    <row r="887" spans="1:97" ht="69.900000000000006" customHeight="1">
      <c r="A887">
        <f>IF(OR($B887&lt;&gt;"Yes",$BS887=""),"",SUMPRODUCT(($B$500:$B$923="Yes")*ISNUMBER($BS$500:$BS$923)*($BS$500:$BS$923&gt;$BS887))+COUNTIFS($B$500:$B887,"Yes",$BS$500:$BS887,$BS887))</f>
        <v>36</v>
      </c>
      <c r="B887" t="str">
        <f t="shared" si="219"/>
        <v>Yes</v>
      </c>
      <c r="C887" t="s">
        <v>2986</v>
      </c>
      <c r="D887" t="s">
        <v>3013</v>
      </c>
      <c r="E887" t="s">
        <v>3113</v>
      </c>
      <c r="F887" t="s">
        <v>4460</v>
      </c>
      <c r="G887" t="str">
        <f>IF($H887="","",IFERROR(INDEX(_ENGINE_Risk!$H$5:$M$499,MATCH($E887,_ENGINE_Risk!$A$5:$A$499,0),$H887+1),""))</f>
        <v>Severe risk: DLP controls for sensitive data in email, cloud storage, endpoints and collaboration tools is not reliably controlled. During Cyberattack; Data breach; Ransomware; Insider threat, the organization may face security incident, data breach, privilege misuse, privacy violation and regulatory exposure with limited visibility or accountability.</v>
      </c>
      <c r="H887">
        <f>IFERROR(VALUE(INDEX(_DATA_Assessment_Model!$H$5:$H$884,MATCH($E887,_DATA_Assessment_Model!$A$5:$A$884,0))),"")</f>
        <v>0</v>
      </c>
      <c r="I887" t="str">
        <f>IF($H887="","",IFERROR(INDEX(_DATA_Assessment_Model!$L$5:$L$884,MATCH($E887,_DATA_Assessment_Model!$A$5:$A$884,0)),IF($H887&lt;=1,"Critical",IF($H887=2,"High",IF($H887=3,"Medium",IF($H887=4,"Low","Resilient"))))))</f>
        <v>Critical</v>
      </c>
      <c r="J887">
        <f t="shared" si="220"/>
        <v>3.7</v>
      </c>
      <c r="K887">
        <f t="shared" si="221"/>
        <v>5</v>
      </c>
      <c r="L887">
        <f t="shared" si="222"/>
        <v>18.5</v>
      </c>
      <c r="M887">
        <f t="shared" si="223"/>
        <v>4</v>
      </c>
      <c r="N887">
        <f>IF($H887="","",IFERROR(INDEX(_ENGINE_Risk!$T$5:$Y$499,MATCH($E887,_ENGINE_Risk!$A$5:$A$499,0),$H887+1),""))</f>
        <v>4</v>
      </c>
      <c r="O887">
        <f t="shared" si="224"/>
        <v>5</v>
      </c>
      <c r="P887">
        <f t="shared" si="225"/>
        <v>5</v>
      </c>
      <c r="Q887">
        <f t="shared" si="226"/>
        <v>5</v>
      </c>
      <c r="R887">
        <f t="shared" si="227"/>
        <v>5</v>
      </c>
      <c r="S887">
        <f t="shared" si="228"/>
        <v>1.25</v>
      </c>
      <c r="T887" t="str">
        <f>IF($H887="","",IFERROR(INDEX(_ENGINE_Risk!$N$5:$S$499,MATCH($E887,_ENGINE_Risk!$A$5:$A$499,0),$H887+1),""))</f>
        <v>Create an immediate risk owner, minimum control baseline and fallback procedure for DLP controls for sensitive data in email, cloud storage, endpoints and collaboration tools. Add it to the crisis risk register and collect first evidence.</v>
      </c>
      <c r="U887">
        <f>IFERROR(INDEX(_DATA_Assessment_Model!$G$5:$G$884,MATCH($E887,_DATA_Assessment_Model!$A$5:$A$884,0)),"")</f>
        <v>5</v>
      </c>
      <c r="V887">
        <f>IFERROR(INDEX(_DATA_Assessment_Model!$W$5:$W$884,MATCH($E887,_DATA_Assessment_Model!$A$5:$A$884,0)),"")</f>
        <v>5</v>
      </c>
      <c r="W887">
        <f>IFERROR(INDEX(_DATA_Assessment_Model!$X$5:$X$884,MATCH($E887,_DATA_Assessment_Model!$A$5:$A$884,0)),"")</f>
        <v>5</v>
      </c>
      <c r="X887">
        <f>IFERROR(INDEX(_DATA_Assessment_Model!$Y$5:$Y$884,MATCH($E887,_DATA_Assessment_Model!$A$5:$A$884,0)),"")</f>
        <v>5</v>
      </c>
      <c r="Y887" t="s">
        <v>2999</v>
      </c>
      <c r="Z887" t="s">
        <v>9811</v>
      </c>
      <c r="AA887" t="s">
        <v>3115</v>
      </c>
      <c r="AB887">
        <f>IFERROR(INDEX(_DATA_Assessment_Model!$U$5:$U$884,MATCH($E887,_DATA_Assessment_Model!$A$5:$A$884,0)),"")</f>
        <v>0</v>
      </c>
      <c r="AF887" t="s">
        <v>3114</v>
      </c>
      <c r="AO887">
        <f>IF($B887="Yes",IF(IFERROR(INDEX(_ENGINE_Crisis!$F$501:$F$517,MATCH($C887,_ENGINE_Crisis!$A$501:$A$517,0)),1)=0,1,IFERROR(INDEX(_ENGINE_Crisis!$F$501:$F$517,MATCH($C887,_ENGINE_Crisis!$A$501:$A$517,0)),1)),"")</f>
        <v>1</v>
      </c>
      <c r="AP887">
        <f t="shared" si="229"/>
        <v>18.5</v>
      </c>
      <c r="AQ887">
        <f t="shared" si="230"/>
        <v>1.25</v>
      </c>
      <c r="AR887" t="str">
        <f>IFERROR(INDEX(_ENGINE_Crisis!$E$41:$E$700,MATCH('Resilience &amp; Risk Scenario'!$B$6&amp;"|"&amp;$C887,_ENGINE_Crisis!$I$41:$I$700,0)),"")</f>
        <v/>
      </c>
      <c r="AS887" t="str">
        <f>IFERROR(INDEX(_ENGINE_Crisis!$G$41:$G$700,MATCH('Resilience &amp; Risk Scenario'!$B$6&amp;"|"&amp;$C887,_ENGINE_Crisis!$I$41:$I$700,0)),"")</f>
        <v/>
      </c>
      <c r="AT887" t="str">
        <f>IFERROR(INDEX(_ENGINE_Initiatives!$A$5:$A$532,MATCH(1,INDEX((_ENGINE_Initiatives!$B$5:$B$532=$C887)*(_ENGINE_Initiatives!$C$5:$C$532=$D887),0),0)),"")</f>
        <v>INI-065</v>
      </c>
      <c r="AU887" t="str">
        <f>IFERROR(INDEX(_ENGINE_Initiatives!$F$5:$F$532,MATCH(1,INDEX((_ENGINE_Initiatives!$B$5:$B$532=$C887)*(_ENGINE_Initiatives!$C$5:$C$532=$D887),0),0)),"")</f>
        <v>Improve endpoint, network, backup and vulnerability protection</v>
      </c>
      <c r="AV887">
        <f>IFERROR(INDEX(_ENGINE_Initiatives!$AC$5:$AC$532,MATCH(1,INDEX((_ENGINE_Initiatives!$B$5:$B$532=$C887)*(_ENGINE_Initiatives!$C$5:$C$532=$D887),0),0)),"")</f>
        <v>1.39</v>
      </c>
      <c r="AW887" t="str">
        <f>IFERROR(INDEX(_ENGINE_Initiatives!$AE$5:$AE$532,MATCH(1,INDEX((_ENGINE_Initiatives!$B$5:$B$532=$C887)*(_ENGINE_Initiatives!$C$5:$C$532=$D887),0),0)),"")</f>
        <v>6-12 months</v>
      </c>
      <c r="AX887">
        <f>IF($B887="Yes",IFERROR((IF(SUMIFS(_REF_Model_Content!$E$1:$E$613,_REF_Model_Content!$A$1:$A$613,PV_Canonical_Industry,_REF_Model_Content!$B$1:$B$613,$C887)=0,1,SUMIFS(_REF_Model_Content!$E$1:$E$613,_REF_Model_Content!$A$1:$A$613,PV_Canonical_Industry,_REF_Model_Content!$B$1:$B$613,$C887))*IFERROR($BU887,1)),1),"")</f>
        <v>1</v>
      </c>
      <c r="AY887">
        <f t="shared" si="231"/>
        <v>18.5</v>
      </c>
      <c r="AZ887">
        <f t="shared" si="232"/>
        <v>1.25</v>
      </c>
      <c r="BB887" t="str">
        <f>IF($H887="","",IFERROR(INDEX(_ENGINE_Risk!$AE$5:$AE$499,MATCH($E887,_ENGINE_Risk!$A$5:$A$499,0)),"Medium"))</f>
        <v>Fast</v>
      </c>
      <c r="BC887">
        <f t="shared" si="233"/>
        <v>1.25</v>
      </c>
      <c r="BD887">
        <f t="shared" si="234"/>
        <v>1.25</v>
      </c>
      <c r="BF887">
        <f>IF(OR($H887="",$J887=""),"",IFERROR(VLOOKUP(ROUND($J887,0),_CONFIG_Model_Settings!$D$154:$E$158,2,0),""))</f>
        <v>0.5</v>
      </c>
      <c r="BG887">
        <f>IFERROR(IF(OR($H887="",$K887=""),"",ROUND('Company Profile'!$B$113*INDEX(_CONFIG_Model_Settings!$H$154:$H$158,MATCH(ROUND($K887,0),_CONFIG_Model_Settings!$G$154:$G$158,0)),0)),0)</f>
        <v>1875</v>
      </c>
      <c r="BH887">
        <f t="shared" si="235"/>
        <v>937.5</v>
      </c>
      <c r="BI887">
        <f t="shared" si="236"/>
        <v>937.5</v>
      </c>
      <c r="BJ887">
        <f>IF($E887="","",IFERROR(VLOOKUP($C887,_CONFIG_Risk_Calibration!$A$5:$H$21,2,FALSE),3))</f>
        <v>3</v>
      </c>
      <c r="BK887">
        <f>IF($E887="","",IFERROR(VLOOKUP($C887,_CONFIG_Risk_Calibration!$A$5:$H$21,3,FALSE),0))</f>
        <v>0</v>
      </c>
      <c r="BL887">
        <f>IF($E887="","",IFERROR(VLOOKUP($C887,_CONFIG_Risk_Calibration!$A$5:$H$21,4,FALSE),3))</f>
        <v>3</v>
      </c>
      <c r="BM887">
        <f>IF($E887="","",IFERROR(VLOOKUP($C887,_CONFIG_Risk_Calibration!$A$5:$H$21,5,FALSE),3))</f>
        <v>4</v>
      </c>
      <c r="BN887" t="str">
        <f>IF($E887="","",IFERROR(VLOOKUP($C887,_CONFIG_Risk_Calibration!$A$5:$H$21,6,FALSE),"No"))</f>
        <v>Yes</v>
      </c>
      <c r="BO887">
        <f>IF($E887="","",IFERROR(VLOOKUP($C887,_CONFIG_Risk_Calibration!$A$5:$H$21,7,FALSE),1))</f>
        <v>5</v>
      </c>
      <c r="BP887">
        <f>IF($H887="","",MAX(1,MIN(5,((6-$H887)*0.45)+($BJ887*0.2)+('Resilience &amp; Risk Scenario'!$B$7*0.15)+($BK887*0.1)+($BL887*0.05)+(IF($BB887="Fast",5,IF($BB887="Slow",1,3))*0.05))))</f>
        <v>3.7</v>
      </c>
      <c r="BQ887">
        <f t="shared" si="237"/>
        <v>5</v>
      </c>
      <c r="BR887">
        <f t="shared" si="238"/>
        <v>18.5</v>
      </c>
      <c r="BS887">
        <f t="shared" si="239"/>
        <v>25.44</v>
      </c>
      <c r="BT887" t="str">
        <f>IFERROR(INDEX(_REF_Capability_Bridge!$D:$D,MATCH($C887&amp;"|"&amp;$D887,_REF_Capability_Bridge!$J:$J,0)),IFERROR(INDEX(_REF_Capability_Bridge!$D:$D,MATCH($C887&amp;"|",_REF_Capability_Bridge!$J:$J,0)),"CAP_GENERIC"))</f>
        <v>CAP_BACKUP_RECOVERY</v>
      </c>
      <c r="BU887">
        <f>IFERROR(IFERROR(INDEX(_ENGINE_Relevance!$L:$L,MATCH($BT887,_ENGINE_Relevance!$B:$B,0)),1),1)</f>
        <v>1</v>
      </c>
      <c r="BV887" t="str">
        <f>IFERROR(INDEX(_REF_Capability_Bridge!$A:$A,MATCH($C887&amp;"|"&amp;$D887,_REF_Capability_Bridge!$J:$J,0)),IFERROR(INDEX(_REF_Capability_Bridge!$A:$A,MATCH($C887&amp;"|",_REF_Capability_Bridge!$J:$J,0)),"No bridge"))</f>
        <v>BRG-016</v>
      </c>
      <c r="BW887" t="str">
        <f t="shared" si="240"/>
        <v>Capability relevance neutral</v>
      </c>
      <c r="BX887" t="str">
        <f t="shared" si="241"/>
        <v>Initial / absent</v>
      </c>
      <c r="BY887" t="str">
        <f>IF($E887="","",IFERROR(INDEX(_REF_Treatment_Library!$A$2:$A$296,MATCH(1,INDEX((_REF_Treatment_Library!$B$2:$B$296=$BT887)*(_REF_Treatment_Library!$C$2:$C$296=PV_Canonical_Industry)*(_REF_Treatment_Library!$E$2:$E$296&lt;=N($H887))*(_REF_Treatment_Library!$F$2:$F$296&gt;=N($H887))*(_REF_Treatment_Library!$O$2:$O$296="Yes"),0),0)),IFERROR(INDEX(_REF_Treatment_Library!$A$2:$A$296,MATCH(1,INDEX((_REF_Treatment_Library!$B$2:$B$296=$BT887)*(_REF_Treatment_Library!$C$2:$C$296="All")*(_REF_Treatment_Library!$E$2:$E$296&lt;=N($H887))*(_REF_Treatment_Library!$F$2:$F$296&gt;=N($H887))*(_REF_Treatment_Library!$O$2:$O$296="Yes"),0),0)),"")))</f>
        <v>TRT-BACKUP_RECOVERY-INITIAL</v>
      </c>
      <c r="BZ887" t="str">
        <f>IF($BY887="","",IFERROR(INDEX(_REF_Treatment_Library!$H$2:$H$296,MATCH($BY887,_REF_Treatment_Library!$A$2:$A$296,0)),""))</f>
        <v>Establish</v>
      </c>
      <c r="CA887" t="str">
        <f>IF($BY887="","",IFERROR(INDEX(_REF_Treatment_Library!$I$2:$I$296,MATCH($BY887,_REF_Treatment_Library!$A$2:$A$296,0)),""))</f>
        <v>Establish baseline controls for Backup / recovery</v>
      </c>
      <c r="CB887" t="str">
        <f>IF($BY887="","",IFERROR(INDEX(_REF_Treatment_Library!$K$2:$K$296,MATCH($BY887,_REF_Treatment_Library!$A$2:$A$296,0)),""))</f>
        <v>Named owner, baseline process, minimum control checklist, first evidence package</v>
      </c>
      <c r="CC887" t="str">
        <f>IF($BY887="","",IFERROR(INDEX(_REF_Treatment_Library!$L$2:$L$296,MATCH($BY887,_REF_Treatment_Library!$A$2:$A$296,0)),""))</f>
        <v>Owner assigned; baseline evidence coverage; open critical gaps</v>
      </c>
      <c r="CD887" t="str">
        <f t="shared" si="242"/>
        <v>Treatment by capability=CAP_BACKUP_RECOVERY; band=Initial / absent; score=0.0; treatment=Establish</v>
      </c>
      <c r="CE887" t="str">
        <f>IF($E887="","",IFERROR(INDEX(_REF_Industry_Wording!$A$2:$A$70,MATCH(1,INDEX((_REF_Industry_Wording!$B$2:$B$70=$BT887)*(_REF_Industry_Wording!$C$2:$C$70=PV_Canonical_Industry)*(_REF_Industry_Wording!$K$2:$K$70="Yes"),0),0)),IFERROR(INDEX(_REF_Industry_Wording!$A$2:$A$70,MATCH(1,INDEX((_REF_Industry_Wording!$B$2:$B$70=$BT887)*(_REF_Industry_Wording!$C$2:$C$70="All")*(_REF_Industry_Wording!$K$2:$K$70="Yes"),0),0)),"")))</f>
        <v>IW-ALL-BACKUP_RECOVERY</v>
      </c>
      <c r="CF887" t="str">
        <f>IF($CE887="","",IFERROR(INDEX(_REF_Industry_Wording!$E$2:$E$70,MATCH($CE887,_REF_Industry_Wording!$A$2:$A$70,0)),""))</f>
        <v>Backup / recovery weakness</v>
      </c>
      <c r="CG887" t="str">
        <f>IF($CE887="","",IFERROR(INDEX(_REF_Industry_Wording!$F$2:$F$70,MATCH($CE887,_REF_Industry_Wording!$A$2:$A$70,0)),""))</f>
        <v>Strengthen Backup / recovery</v>
      </c>
      <c r="CH887" t="str">
        <f>IF($CE887="","",IFERROR(INDEX(_REF_Industry_Wording!$G$2:$G$70,MATCH($CE887,_REF_Industry_Wording!$A$2:$A$70,0)),""))</f>
        <v>Strengthen Backup / recovery using the selected maturity treatment, crisis scenario and evidence requirements.</v>
      </c>
      <c r="CI887" t="str">
        <f>IF($CE887="","",IFERROR(INDEX(_REF_Industry_Wording!$H$2:$H$70,MATCH($CE887,_REF_Industry_Wording!$A$2:$A$70,0)),""))</f>
        <v>Backup / recovery</v>
      </c>
      <c r="CJ887">
        <f>IF($CE887="","",IFERROR(INDEX(_REF_Industry_Wording!$I$2:$I$70,MATCH($CE887,_REF_Industry_Wording!$A$2:$A$70,0)),""))</f>
        <v>0</v>
      </c>
      <c r="CK887" t="str">
        <f>IF($CE887="","",IFERROR(INDEX(_REF_Industry_Wording!$J$2:$J$70,MATCH($CE887,_REF_Industry_Wording!$A$2:$A$70,0)),""))</f>
        <v>Backup / recovery</v>
      </c>
      <c r="CL887" t="str">
        <f t="shared" si="243"/>
        <v>Wording by industry=0; capability=CAP_BACKUP_RECOVERY; risk label=Backup / recovery weakness</v>
      </c>
      <c r="CM887" t="str">
        <f t="shared" si="244"/>
        <v>RISK-ONT-0388</v>
      </c>
      <c r="CN887" t="str">
        <f t="shared" si="245"/>
        <v>RISK-EVT-0388</v>
      </c>
      <c r="CO887" t="str">
        <f t="shared" si="246"/>
        <v>Cyber Privacy|Protection|CYBE-020|CAP_BACKUP_RECOVERY</v>
      </c>
      <c r="CP887" t="str">
        <f t="shared" si="247"/>
        <v>Active</v>
      </c>
      <c r="CQ887" t="str">
        <f t="shared" si="248"/>
        <v>OK: capability-driven</v>
      </c>
      <c r="CR887" t="str">
        <f t="shared" si="249"/>
        <v>Risk ontology uses capability=CAP_BACKUP_RECOVERY; bridge=BRG-016; treatment=TRT-BACKUP_RECOVERY-INITIAL; wording=IW-ALL-BACKUP_RECOVERY</v>
      </c>
      <c r="CS887" t="str">
        <f t="shared" si="250"/>
        <v>Yes</v>
      </c>
    </row>
    <row r="888" spans="1:97" ht="69.900000000000006" customHeight="1">
      <c r="A888">
        <f>IF(OR($B888&lt;&gt;"Yes",$BS888=""),"",SUMPRODUCT(($B$500:$B$923="Yes")*ISNUMBER($BS$500:$BS$923)*($BS$500:$BS$923&gt;$BS888))+COUNTIFS($B$500:$B888,"Yes",$BS$500:$BS888,$BS888))</f>
        <v>37</v>
      </c>
      <c r="B888" t="str">
        <f t="shared" si="219"/>
        <v>Yes</v>
      </c>
      <c r="C888" t="s">
        <v>2986</v>
      </c>
      <c r="D888" t="s">
        <v>3023</v>
      </c>
      <c r="E888" t="s">
        <v>3116</v>
      </c>
      <c r="F888" t="s">
        <v>4460</v>
      </c>
      <c r="G888" t="str">
        <f>IF($H888="","",IFERROR(INDEX(_ENGINE_Risk!$H$5:$M$499,MATCH($E888,_ENGINE_Risk!$A$5:$A$499,0),$H888+1),""))</f>
        <v>Severe risk: log collection and monitoring for identity, endpoints, cloud, network, critical apps and security tools is not reliably controlled. During Cyberattack; Data breach; Ransomware; Insider threat, the organization may face security incident, data breach, privilege misuse, privacy violation and regulatory exposure with limited visibility or accountability.</v>
      </c>
      <c r="H888">
        <f>IFERROR(VALUE(INDEX(_DATA_Assessment_Model!$H$5:$H$884,MATCH($E888,_DATA_Assessment_Model!$A$5:$A$884,0))),"")</f>
        <v>0</v>
      </c>
      <c r="I888" t="str">
        <f>IF($H888="","",IFERROR(INDEX(_DATA_Assessment_Model!$L$5:$L$884,MATCH($E888,_DATA_Assessment_Model!$A$5:$A$884,0)),IF($H888&lt;=1,"Critical",IF($H888=2,"High",IF($H888=3,"Medium",IF($H888=4,"Low","Resilient"))))))</f>
        <v>Critical</v>
      </c>
      <c r="J888">
        <f t="shared" si="220"/>
        <v>3.7</v>
      </c>
      <c r="K888">
        <f t="shared" si="221"/>
        <v>5</v>
      </c>
      <c r="L888">
        <f t="shared" si="222"/>
        <v>18.5</v>
      </c>
      <c r="M888">
        <f t="shared" si="223"/>
        <v>4</v>
      </c>
      <c r="N888">
        <f>IF($H888="","",IFERROR(INDEX(_ENGINE_Risk!$T$5:$Y$499,MATCH($E888,_ENGINE_Risk!$A$5:$A$499,0),$H888+1),""))</f>
        <v>4</v>
      </c>
      <c r="O888">
        <f t="shared" si="224"/>
        <v>5</v>
      </c>
      <c r="P888">
        <f t="shared" si="225"/>
        <v>5</v>
      </c>
      <c r="Q888">
        <f t="shared" si="226"/>
        <v>5</v>
      </c>
      <c r="R888">
        <f t="shared" si="227"/>
        <v>5</v>
      </c>
      <c r="S888">
        <f t="shared" si="228"/>
        <v>1.25</v>
      </c>
      <c r="T888" t="str">
        <f>IF($H888="","",IFERROR(INDEX(_ENGINE_Risk!$N$5:$S$499,MATCH($E888,_ENGINE_Risk!$A$5:$A$499,0),$H888+1),""))</f>
        <v>Create an immediate risk owner, minimum control baseline and fallback procedure for log collection and monitoring for identity, endpoints, cloud, network, critical apps and security tools. Add it to the crisis risk register and collect first evidence.</v>
      </c>
      <c r="U888">
        <f>IFERROR(INDEX(_DATA_Assessment_Model!$G$5:$G$884,MATCH($E888,_DATA_Assessment_Model!$A$5:$A$884,0)),"")</f>
        <v>5</v>
      </c>
      <c r="V888">
        <f>IFERROR(INDEX(_DATA_Assessment_Model!$W$5:$W$884,MATCH($E888,_DATA_Assessment_Model!$A$5:$A$884,0)),"")</f>
        <v>5</v>
      </c>
      <c r="W888">
        <f>IFERROR(INDEX(_DATA_Assessment_Model!$X$5:$X$884,MATCH($E888,_DATA_Assessment_Model!$A$5:$A$884,0)),"")</f>
        <v>5</v>
      </c>
      <c r="X888">
        <f>IFERROR(INDEX(_DATA_Assessment_Model!$Y$5:$Y$884,MATCH($E888,_DATA_Assessment_Model!$A$5:$A$884,0)),"")</f>
        <v>5</v>
      </c>
      <c r="Y888" t="s">
        <v>2999</v>
      </c>
      <c r="Z888" t="s">
        <v>9811</v>
      </c>
      <c r="AA888" t="s">
        <v>3118</v>
      </c>
      <c r="AB888">
        <f>IFERROR(INDEX(_DATA_Assessment_Model!$U$5:$U$884,MATCH($E888,_DATA_Assessment_Model!$A$5:$A$884,0)),"")</f>
        <v>0</v>
      </c>
      <c r="AF888" t="s">
        <v>3117</v>
      </c>
      <c r="AO888">
        <f>IF($B888="Yes",IF(IFERROR(INDEX(_ENGINE_Crisis!$F$501:$F$517,MATCH($C888,_ENGINE_Crisis!$A$501:$A$517,0)),1)=0,1,IFERROR(INDEX(_ENGINE_Crisis!$F$501:$F$517,MATCH($C888,_ENGINE_Crisis!$A$501:$A$517,0)),1)),"")</f>
        <v>1</v>
      </c>
      <c r="AP888">
        <f t="shared" si="229"/>
        <v>18.5</v>
      </c>
      <c r="AQ888">
        <f t="shared" si="230"/>
        <v>1.25</v>
      </c>
      <c r="AR888" t="str">
        <f>IFERROR(INDEX(_ENGINE_Crisis!$E$41:$E$700,MATCH('Resilience &amp; Risk Scenario'!$B$6&amp;"|"&amp;$C888,_ENGINE_Crisis!$I$41:$I$700,0)),"")</f>
        <v/>
      </c>
      <c r="AS888" t="str">
        <f>IFERROR(INDEX(_ENGINE_Crisis!$G$41:$G$700,MATCH('Resilience &amp; Risk Scenario'!$B$6&amp;"|"&amp;$C888,_ENGINE_Crisis!$I$41:$I$700,0)),"")</f>
        <v/>
      </c>
      <c r="AT888" t="str">
        <f>IFERROR(INDEX(_ENGINE_Initiatives!$A$5:$A$532,MATCH(1,INDEX((_ENGINE_Initiatives!$B$5:$B$532=$C888)*(_ENGINE_Initiatives!$C$5:$C$532=$D888),0),0)),"")</f>
        <v>INI-066</v>
      </c>
      <c r="AU888" t="str">
        <f>IFERROR(INDEX(_ENGINE_Initiatives!$F$5:$F$532,MATCH(1,INDEX((_ENGINE_Initiatives!$B$5:$B$532=$C888)*(_ENGINE_Initiatives!$C$5:$C$532=$D888),0),0)),"")</f>
        <v>Implement detection, response, logging and security incident exercises</v>
      </c>
      <c r="AV888">
        <f>IFERROR(INDEX(_ENGINE_Initiatives!$AC$5:$AC$532,MATCH(1,INDEX((_ENGINE_Initiatives!$B$5:$B$532=$C888)*(_ENGINE_Initiatives!$C$5:$C$532=$D888),0),0)),"")</f>
        <v>1.38</v>
      </c>
      <c r="AW888" t="str">
        <f>IFERROR(INDEX(_ENGINE_Initiatives!$AE$5:$AE$532,MATCH(1,INDEX((_ENGINE_Initiatives!$B$5:$B$532=$C888)*(_ENGINE_Initiatives!$C$5:$C$532=$D888),0),0)),"")</f>
        <v>6-12 months</v>
      </c>
      <c r="AX888">
        <f>IF($B888="Yes",IFERROR((IF(SUMIFS(_REF_Model_Content!$E$1:$E$613,_REF_Model_Content!$A$1:$A$613,PV_Canonical_Industry,_REF_Model_Content!$B$1:$B$613,$C888)=0,1,SUMIFS(_REF_Model_Content!$E$1:$E$613,_REF_Model_Content!$A$1:$A$613,PV_Canonical_Industry,_REF_Model_Content!$B$1:$B$613,$C888))*IFERROR($BU888,1)),1),"")</f>
        <v>1</v>
      </c>
      <c r="AY888">
        <f t="shared" si="231"/>
        <v>18.5</v>
      </c>
      <c r="AZ888">
        <f t="shared" si="232"/>
        <v>1.25</v>
      </c>
      <c r="BB888" t="str">
        <f>IF($H888="","",IFERROR(INDEX(_ENGINE_Risk!$AE$5:$AE$499,MATCH($E888,_ENGINE_Risk!$A$5:$A$499,0)),"Medium"))</f>
        <v>Fast</v>
      </c>
      <c r="BC888">
        <f t="shared" si="233"/>
        <v>1.25</v>
      </c>
      <c r="BD888">
        <f t="shared" si="234"/>
        <v>1.25</v>
      </c>
      <c r="BF888">
        <f>IF(OR($H888="",$J888=""),"",IFERROR(VLOOKUP(ROUND($J888,0),_CONFIG_Model_Settings!$D$154:$E$158,2,0),""))</f>
        <v>0.5</v>
      </c>
      <c r="BG888">
        <f>IFERROR(IF(OR($H888="",$K888=""),"",ROUND('Company Profile'!$B$113*INDEX(_CONFIG_Model_Settings!$H$154:$H$158,MATCH(ROUND($K888,0),_CONFIG_Model_Settings!$G$154:$G$158,0)),0)),0)</f>
        <v>1875</v>
      </c>
      <c r="BH888">
        <f t="shared" si="235"/>
        <v>937.5</v>
      </c>
      <c r="BI888">
        <f t="shared" si="236"/>
        <v>937.5</v>
      </c>
      <c r="BJ888">
        <f>IF($E888="","",IFERROR(VLOOKUP($C888,_CONFIG_Risk_Calibration!$A$5:$H$21,2,FALSE),3))</f>
        <v>3</v>
      </c>
      <c r="BK888">
        <f>IF($E888="","",IFERROR(VLOOKUP($C888,_CONFIG_Risk_Calibration!$A$5:$H$21,3,FALSE),0))</f>
        <v>0</v>
      </c>
      <c r="BL888">
        <f>IF($E888="","",IFERROR(VLOOKUP($C888,_CONFIG_Risk_Calibration!$A$5:$H$21,4,FALSE),3))</f>
        <v>3</v>
      </c>
      <c r="BM888">
        <f>IF($E888="","",IFERROR(VLOOKUP($C888,_CONFIG_Risk_Calibration!$A$5:$H$21,5,FALSE),3))</f>
        <v>4</v>
      </c>
      <c r="BN888" t="str">
        <f>IF($E888="","",IFERROR(VLOOKUP($C888,_CONFIG_Risk_Calibration!$A$5:$H$21,6,FALSE),"No"))</f>
        <v>Yes</v>
      </c>
      <c r="BO888">
        <f>IF($E888="","",IFERROR(VLOOKUP($C888,_CONFIG_Risk_Calibration!$A$5:$H$21,7,FALSE),1))</f>
        <v>5</v>
      </c>
      <c r="BP888">
        <f>IF($H888="","",MAX(1,MIN(5,((6-$H888)*0.45)+($BJ888*0.2)+('Resilience &amp; Risk Scenario'!$B$7*0.15)+($BK888*0.1)+($BL888*0.05)+(IF($BB888="Fast",5,IF($BB888="Slow",1,3))*0.05))))</f>
        <v>3.7</v>
      </c>
      <c r="BQ888">
        <f t="shared" si="237"/>
        <v>5</v>
      </c>
      <c r="BR888">
        <f t="shared" si="238"/>
        <v>18.5</v>
      </c>
      <c r="BS888">
        <f t="shared" si="239"/>
        <v>25.44</v>
      </c>
      <c r="BT888" t="str">
        <f>IFERROR(INDEX(_REF_Capability_Bridge!$D:$D,MATCH($C888&amp;"|"&amp;$D888,_REF_Capability_Bridge!$J:$J,0)),IFERROR(INDEX(_REF_Capability_Bridge!$D:$D,MATCH($C888&amp;"|",_REF_Capability_Bridge!$J:$J,0)),"CAP_GENERIC"))</f>
        <v>CAP_INCIDENT_RESPONSE</v>
      </c>
      <c r="BU888">
        <f>IFERROR(IFERROR(INDEX(_ENGINE_Relevance!$L:$L,MATCH($BT888,_ENGINE_Relevance!$B:$B,0)),1),1)</f>
        <v>1</v>
      </c>
      <c r="BV888" t="str">
        <f>IFERROR(INDEX(_REF_Capability_Bridge!$A:$A,MATCH($C888&amp;"|"&amp;$D888,_REF_Capability_Bridge!$J:$J,0)),IFERROR(INDEX(_REF_Capability_Bridge!$A:$A,MATCH($C888&amp;"|",_REF_Capability_Bridge!$J:$J,0)),"No bridge"))</f>
        <v>BRG-013</v>
      </c>
      <c r="BW888" t="str">
        <f t="shared" si="240"/>
        <v>Capability relevance neutral</v>
      </c>
      <c r="BX888" t="str">
        <f t="shared" si="241"/>
        <v>Initial / absent</v>
      </c>
      <c r="BY888" t="str">
        <f>IF($E888="","",IFERROR(INDEX(_REF_Treatment_Library!$A$2:$A$296,MATCH(1,INDEX((_REF_Treatment_Library!$B$2:$B$296=$BT888)*(_REF_Treatment_Library!$C$2:$C$296=PV_Canonical_Industry)*(_REF_Treatment_Library!$E$2:$E$296&lt;=N($H888))*(_REF_Treatment_Library!$F$2:$F$296&gt;=N($H888))*(_REF_Treatment_Library!$O$2:$O$296="Yes"),0),0)),IFERROR(INDEX(_REF_Treatment_Library!$A$2:$A$296,MATCH(1,INDEX((_REF_Treatment_Library!$B$2:$B$296=$BT888)*(_REF_Treatment_Library!$C$2:$C$296="All")*(_REF_Treatment_Library!$E$2:$E$296&lt;=N($H888))*(_REF_Treatment_Library!$F$2:$F$296&gt;=N($H888))*(_REF_Treatment_Library!$O$2:$O$296="Yes"),0),0)),"")))</f>
        <v>TRT-INCIDENT_RESPONSE-INITIAL</v>
      </c>
      <c r="BZ888" t="str">
        <f>IF($BY888="","",IFERROR(INDEX(_REF_Treatment_Library!$H$2:$H$296,MATCH($BY888,_REF_Treatment_Library!$A$2:$A$296,0)),""))</f>
        <v>Establish</v>
      </c>
      <c r="CA888" t="str">
        <f>IF($BY888="","",IFERROR(INDEX(_REF_Treatment_Library!$I$2:$I$296,MATCH($BY888,_REF_Treatment_Library!$A$2:$A$296,0)),""))</f>
        <v>Establish baseline controls for Incident response</v>
      </c>
      <c r="CB888" t="str">
        <f>IF($BY888="","",IFERROR(INDEX(_REF_Treatment_Library!$K$2:$K$296,MATCH($BY888,_REF_Treatment_Library!$A$2:$A$296,0)),""))</f>
        <v>Named owner, baseline process, minimum control checklist, first evidence package</v>
      </c>
      <c r="CC888" t="str">
        <f>IF($BY888="","",IFERROR(INDEX(_REF_Treatment_Library!$L$2:$L$296,MATCH($BY888,_REF_Treatment_Library!$A$2:$A$296,0)),""))</f>
        <v>Owner assigned; baseline evidence coverage; open critical gaps</v>
      </c>
      <c r="CD888" t="str">
        <f t="shared" si="242"/>
        <v>Treatment by capability=CAP_INCIDENT_RESPONSE; band=Initial / absent; score=0.0; treatment=Establish</v>
      </c>
      <c r="CE888" t="str">
        <f>IF($E888="","",IFERROR(INDEX(_REF_Industry_Wording!$A$2:$A$70,MATCH(1,INDEX((_REF_Industry_Wording!$B$2:$B$70=$BT888)*(_REF_Industry_Wording!$C$2:$C$70=PV_Canonical_Industry)*(_REF_Industry_Wording!$K$2:$K$70="Yes"),0),0)),IFERROR(INDEX(_REF_Industry_Wording!$A$2:$A$70,MATCH(1,INDEX((_REF_Industry_Wording!$B$2:$B$70=$BT888)*(_REF_Industry_Wording!$C$2:$C$70="All")*(_REF_Industry_Wording!$K$2:$K$70="Yes"),0),0)),"")))</f>
        <v>IW-ALL-INCIDENT_RESPONSE</v>
      </c>
      <c r="CF888" t="str">
        <f>IF($CE888="","",IFERROR(INDEX(_REF_Industry_Wording!$E$2:$E$70,MATCH($CE888,_REF_Industry_Wording!$A$2:$A$70,0)),""))</f>
        <v>Incident response weakness</v>
      </c>
      <c r="CG888" t="str">
        <f>IF($CE888="","",IFERROR(INDEX(_REF_Industry_Wording!$F$2:$F$70,MATCH($CE888,_REF_Industry_Wording!$A$2:$A$70,0)),""))</f>
        <v>Strengthen Incident response</v>
      </c>
      <c r="CH888" t="str">
        <f>IF($CE888="","",IFERROR(INDEX(_REF_Industry_Wording!$G$2:$G$70,MATCH($CE888,_REF_Industry_Wording!$A$2:$A$70,0)),""))</f>
        <v>Strengthen Incident response using the selected maturity treatment, crisis scenario and evidence requirements.</v>
      </c>
      <c r="CI888" t="str">
        <f>IF($CE888="","",IFERROR(INDEX(_REF_Industry_Wording!$H$2:$H$70,MATCH($CE888,_REF_Industry_Wording!$A$2:$A$70,0)),""))</f>
        <v>Incident response</v>
      </c>
      <c r="CJ888">
        <f>IF($CE888="","",IFERROR(INDEX(_REF_Industry_Wording!$I$2:$I$70,MATCH($CE888,_REF_Industry_Wording!$A$2:$A$70,0)),""))</f>
        <v>0</v>
      </c>
      <c r="CK888" t="str">
        <f>IF($CE888="","",IFERROR(INDEX(_REF_Industry_Wording!$J$2:$J$70,MATCH($CE888,_REF_Industry_Wording!$A$2:$A$70,0)),""))</f>
        <v>Incident response</v>
      </c>
      <c r="CL888" t="str">
        <f t="shared" si="243"/>
        <v>Wording by industry=0; capability=CAP_INCIDENT_RESPONSE; risk label=Incident response weakness</v>
      </c>
      <c r="CM888" t="str">
        <f t="shared" si="244"/>
        <v>RISK-ONT-0389</v>
      </c>
      <c r="CN888" t="str">
        <f t="shared" si="245"/>
        <v>RISK-EVT-0389</v>
      </c>
      <c r="CO888" t="str">
        <f t="shared" si="246"/>
        <v>Cyber Privacy|Detection and response|CYBE-021|CAP_INCIDENT_RESPONSE</v>
      </c>
      <c r="CP888" t="str">
        <f t="shared" si="247"/>
        <v>Active</v>
      </c>
      <c r="CQ888" t="str">
        <f t="shared" si="248"/>
        <v>OK: capability-driven</v>
      </c>
      <c r="CR888" t="str">
        <f t="shared" si="249"/>
        <v>Risk ontology uses capability=CAP_INCIDENT_RESPONSE; bridge=BRG-013; treatment=TRT-INCIDENT_RESPONSE-INITIAL; wording=IW-ALL-INCIDENT_RESPONSE</v>
      </c>
      <c r="CS888" t="str">
        <f t="shared" si="250"/>
        <v>Yes</v>
      </c>
    </row>
    <row r="889" spans="1:97" ht="69.900000000000006" customHeight="1">
      <c r="A889">
        <f>IF(OR($B889&lt;&gt;"Yes",$BS889=""),"",SUMPRODUCT(($B$500:$B$923="Yes")*ISNUMBER($BS$500:$BS$923)*($BS$500:$BS$923&gt;$BS889))+COUNTIFS($B$500:$B889,"Yes",$BS$500:$BS889,$BS889))</f>
        <v>38</v>
      </c>
      <c r="B889" t="str">
        <f t="shared" si="219"/>
        <v>Yes</v>
      </c>
      <c r="C889" t="s">
        <v>2986</v>
      </c>
      <c r="D889" t="s">
        <v>3023</v>
      </c>
      <c r="E889" t="s">
        <v>3119</v>
      </c>
      <c r="F889" t="s">
        <v>4460</v>
      </c>
      <c r="G889" t="str">
        <f>IF($H889="","",IFERROR(INDEX(_ENGINE_Risk!$H$5:$M$499,MATCH($E889,_ENGINE_Risk!$A$5:$A$499,0),$H889+1),""))</f>
        <v>Severe risk: threat detection coverage mapped to likely threat scenarios is not reliably controlled. During Cyberattack; Data breach; Ransomware; Insider threat, the organization may face security incident, data breach, privilege misuse, privacy violation and regulatory exposure with limited visibility or accountability.</v>
      </c>
      <c r="H889">
        <f>IFERROR(VALUE(INDEX(_DATA_Assessment_Model!$H$5:$H$884,MATCH($E889,_DATA_Assessment_Model!$A$5:$A$884,0))),"")</f>
        <v>0</v>
      </c>
      <c r="I889" t="str">
        <f>IF($H889="","",IFERROR(INDEX(_DATA_Assessment_Model!$L$5:$L$884,MATCH($E889,_DATA_Assessment_Model!$A$5:$A$884,0)),IF($H889&lt;=1,"Critical",IF($H889=2,"High",IF($H889=3,"Medium",IF($H889=4,"Low","Resilient"))))))</f>
        <v>Critical</v>
      </c>
      <c r="J889">
        <f t="shared" si="220"/>
        <v>3.7</v>
      </c>
      <c r="K889">
        <f t="shared" si="221"/>
        <v>5</v>
      </c>
      <c r="L889">
        <f t="shared" si="222"/>
        <v>18.5</v>
      </c>
      <c r="M889">
        <f t="shared" si="223"/>
        <v>4</v>
      </c>
      <c r="N889">
        <f>IF($H889="","",IFERROR(INDEX(_ENGINE_Risk!$T$5:$Y$499,MATCH($E889,_ENGINE_Risk!$A$5:$A$499,0),$H889+1),""))</f>
        <v>4</v>
      </c>
      <c r="O889">
        <f t="shared" si="224"/>
        <v>4.333333333333333</v>
      </c>
      <c r="P889">
        <f t="shared" si="225"/>
        <v>5</v>
      </c>
      <c r="Q889">
        <f t="shared" si="226"/>
        <v>5</v>
      </c>
      <c r="R889">
        <f t="shared" si="227"/>
        <v>5</v>
      </c>
      <c r="S889">
        <f t="shared" si="228"/>
        <v>1.21</v>
      </c>
      <c r="T889" t="str">
        <f>IF($H889="","",IFERROR(INDEX(_ENGINE_Risk!$N$5:$S$499,MATCH($E889,_ENGINE_Risk!$A$5:$A$499,0),$H889+1),""))</f>
        <v>Create an immediate risk owner, minimum control baseline and fallback procedure for threat detection coverage mapped to likely threat scenarios. Add it to the crisis risk register and collect first evidence.</v>
      </c>
      <c r="U889">
        <f>IFERROR(INDEX(_DATA_Assessment_Model!$G$5:$G$884,MATCH($E889,_DATA_Assessment_Model!$A$5:$A$884,0)),"")</f>
        <v>3</v>
      </c>
      <c r="V889">
        <f>IFERROR(INDEX(_DATA_Assessment_Model!$W$5:$W$884,MATCH($E889,_DATA_Assessment_Model!$A$5:$A$884,0)),"")</f>
        <v>5</v>
      </c>
      <c r="W889">
        <f>IFERROR(INDEX(_DATA_Assessment_Model!$X$5:$X$884,MATCH($E889,_DATA_Assessment_Model!$A$5:$A$884,0)),"")</f>
        <v>5</v>
      </c>
      <c r="X889">
        <f>IFERROR(INDEX(_DATA_Assessment_Model!$Y$5:$Y$884,MATCH($E889,_DATA_Assessment_Model!$A$5:$A$884,0)),"")</f>
        <v>5</v>
      </c>
      <c r="Y889" t="s">
        <v>2999</v>
      </c>
      <c r="Z889" t="s">
        <v>9811</v>
      </c>
      <c r="AA889" t="s">
        <v>3121</v>
      </c>
      <c r="AB889">
        <f>IFERROR(INDEX(_DATA_Assessment_Model!$U$5:$U$884,MATCH($E889,_DATA_Assessment_Model!$A$5:$A$884,0)),"")</f>
        <v>0</v>
      </c>
      <c r="AF889" t="s">
        <v>3120</v>
      </c>
      <c r="AO889">
        <f>IF($B889="Yes",IF(IFERROR(INDEX(_ENGINE_Crisis!$F$501:$F$517,MATCH($C889,_ENGINE_Crisis!$A$501:$A$517,0)),1)=0,1,IFERROR(INDEX(_ENGINE_Crisis!$F$501:$F$517,MATCH($C889,_ENGINE_Crisis!$A$501:$A$517,0)),1)),"")</f>
        <v>1</v>
      </c>
      <c r="AP889">
        <f t="shared" si="229"/>
        <v>18.5</v>
      </c>
      <c r="AQ889">
        <f t="shared" si="230"/>
        <v>1.21</v>
      </c>
      <c r="AR889" t="str">
        <f>IFERROR(INDEX(_ENGINE_Crisis!$E$41:$E$700,MATCH('Resilience &amp; Risk Scenario'!$B$6&amp;"|"&amp;$C889,_ENGINE_Crisis!$I$41:$I$700,0)),"")</f>
        <v/>
      </c>
      <c r="AS889" t="str">
        <f>IFERROR(INDEX(_ENGINE_Crisis!$G$41:$G$700,MATCH('Resilience &amp; Risk Scenario'!$B$6&amp;"|"&amp;$C889,_ENGINE_Crisis!$I$41:$I$700,0)),"")</f>
        <v/>
      </c>
      <c r="AT889" t="str">
        <f>IFERROR(INDEX(_ENGINE_Initiatives!$A$5:$A$532,MATCH(1,INDEX((_ENGINE_Initiatives!$B$5:$B$532=$C889)*(_ENGINE_Initiatives!$C$5:$C$532=$D889),0),0)),"")</f>
        <v>INI-066</v>
      </c>
      <c r="AU889" t="str">
        <f>IFERROR(INDEX(_ENGINE_Initiatives!$F$5:$F$532,MATCH(1,INDEX((_ENGINE_Initiatives!$B$5:$B$532=$C889)*(_ENGINE_Initiatives!$C$5:$C$532=$D889),0),0)),"")</f>
        <v>Implement detection, response, logging and security incident exercises</v>
      </c>
      <c r="AV889">
        <f>IFERROR(INDEX(_ENGINE_Initiatives!$AC$5:$AC$532,MATCH(1,INDEX((_ENGINE_Initiatives!$B$5:$B$532=$C889)*(_ENGINE_Initiatives!$C$5:$C$532=$D889),0),0)),"")</f>
        <v>1.38</v>
      </c>
      <c r="AW889" t="str">
        <f>IFERROR(INDEX(_ENGINE_Initiatives!$AE$5:$AE$532,MATCH(1,INDEX((_ENGINE_Initiatives!$B$5:$B$532=$C889)*(_ENGINE_Initiatives!$C$5:$C$532=$D889),0),0)),"")</f>
        <v>6-12 months</v>
      </c>
      <c r="AX889">
        <f>IF($B889="Yes",IFERROR((IF(SUMIFS(_REF_Model_Content!$E$1:$E$613,_REF_Model_Content!$A$1:$A$613,PV_Canonical_Industry,_REF_Model_Content!$B$1:$B$613,$C889)=0,1,SUMIFS(_REF_Model_Content!$E$1:$E$613,_REF_Model_Content!$A$1:$A$613,PV_Canonical_Industry,_REF_Model_Content!$B$1:$B$613,$C889))*IFERROR($BU889,1)),1),"")</f>
        <v>1</v>
      </c>
      <c r="AY889">
        <f t="shared" si="231"/>
        <v>18.5</v>
      </c>
      <c r="AZ889">
        <f t="shared" si="232"/>
        <v>1.21</v>
      </c>
      <c r="BB889" t="str">
        <f>IF($H889="","",IFERROR(INDEX(_ENGINE_Risk!$AE$5:$AE$499,MATCH($E889,_ENGINE_Risk!$A$5:$A$499,0)),"Medium"))</f>
        <v>Fast</v>
      </c>
      <c r="BC889">
        <f t="shared" si="233"/>
        <v>1.25</v>
      </c>
      <c r="BD889">
        <f t="shared" si="234"/>
        <v>1.21</v>
      </c>
      <c r="BF889">
        <f>IF(OR($H889="",$J889=""),"",IFERROR(VLOOKUP(ROUND($J889,0),_CONFIG_Model_Settings!$D$154:$E$158,2,0),""))</f>
        <v>0.5</v>
      </c>
      <c r="BG889">
        <f>IFERROR(IF(OR($H889="",$K889=""),"",ROUND('Company Profile'!$B$113*INDEX(_CONFIG_Model_Settings!$H$154:$H$158,MATCH(ROUND($K889,0),_CONFIG_Model_Settings!$G$154:$G$158,0)),0)),0)</f>
        <v>1875</v>
      </c>
      <c r="BH889">
        <f t="shared" si="235"/>
        <v>937.5</v>
      </c>
      <c r="BI889">
        <f t="shared" si="236"/>
        <v>937.5</v>
      </c>
      <c r="BJ889">
        <f>IF($E889="","",IFERROR(VLOOKUP($C889,_CONFIG_Risk_Calibration!$A$5:$H$21,2,FALSE),3))</f>
        <v>3</v>
      </c>
      <c r="BK889">
        <f>IF($E889="","",IFERROR(VLOOKUP($C889,_CONFIG_Risk_Calibration!$A$5:$H$21,3,FALSE),0))</f>
        <v>0</v>
      </c>
      <c r="BL889">
        <f>IF($E889="","",IFERROR(VLOOKUP($C889,_CONFIG_Risk_Calibration!$A$5:$H$21,4,FALSE),3))</f>
        <v>3</v>
      </c>
      <c r="BM889">
        <f>IF($E889="","",IFERROR(VLOOKUP($C889,_CONFIG_Risk_Calibration!$A$5:$H$21,5,FALSE),3))</f>
        <v>4</v>
      </c>
      <c r="BN889" t="str">
        <f>IF($E889="","",IFERROR(VLOOKUP($C889,_CONFIG_Risk_Calibration!$A$5:$H$21,6,FALSE),"No"))</f>
        <v>Yes</v>
      </c>
      <c r="BO889">
        <f>IF($E889="","",IFERROR(VLOOKUP($C889,_CONFIG_Risk_Calibration!$A$5:$H$21,7,FALSE),1))</f>
        <v>5</v>
      </c>
      <c r="BP889">
        <f>IF($H889="","",MAX(1,MIN(5,((6-$H889)*0.45)+($BJ889*0.2)+('Resilience &amp; Risk Scenario'!$B$7*0.15)+($BK889*0.1)+($BL889*0.05)+(IF($BB889="Fast",5,IF($BB889="Slow",1,3))*0.05))))</f>
        <v>3.7</v>
      </c>
      <c r="BQ889">
        <f t="shared" si="237"/>
        <v>5</v>
      </c>
      <c r="BR889">
        <f t="shared" si="238"/>
        <v>18.5</v>
      </c>
      <c r="BS889">
        <f t="shared" si="239"/>
        <v>25.44</v>
      </c>
      <c r="BT889" t="str">
        <f>IFERROR(INDEX(_REF_Capability_Bridge!$D:$D,MATCH($C889&amp;"|"&amp;$D889,_REF_Capability_Bridge!$J:$J,0)),IFERROR(INDEX(_REF_Capability_Bridge!$D:$D,MATCH($C889&amp;"|",_REF_Capability_Bridge!$J:$J,0)),"CAP_GENERIC"))</f>
        <v>CAP_INCIDENT_RESPONSE</v>
      </c>
      <c r="BU889">
        <f>IFERROR(IFERROR(INDEX(_ENGINE_Relevance!$L:$L,MATCH($BT889,_ENGINE_Relevance!$B:$B,0)),1),1)</f>
        <v>1</v>
      </c>
      <c r="BV889" t="str">
        <f>IFERROR(INDEX(_REF_Capability_Bridge!$A:$A,MATCH($C889&amp;"|"&amp;$D889,_REF_Capability_Bridge!$J:$J,0)),IFERROR(INDEX(_REF_Capability_Bridge!$A:$A,MATCH($C889&amp;"|",_REF_Capability_Bridge!$J:$J,0)),"No bridge"))</f>
        <v>BRG-013</v>
      </c>
      <c r="BW889" t="str">
        <f t="shared" si="240"/>
        <v>Capability relevance neutral</v>
      </c>
      <c r="BX889" t="str">
        <f t="shared" si="241"/>
        <v>Initial / absent</v>
      </c>
      <c r="BY889" t="str">
        <f>IF($E889="","",IFERROR(INDEX(_REF_Treatment_Library!$A$2:$A$296,MATCH(1,INDEX((_REF_Treatment_Library!$B$2:$B$296=$BT889)*(_REF_Treatment_Library!$C$2:$C$296=PV_Canonical_Industry)*(_REF_Treatment_Library!$E$2:$E$296&lt;=N($H889))*(_REF_Treatment_Library!$F$2:$F$296&gt;=N($H889))*(_REF_Treatment_Library!$O$2:$O$296="Yes"),0),0)),IFERROR(INDEX(_REF_Treatment_Library!$A$2:$A$296,MATCH(1,INDEX((_REF_Treatment_Library!$B$2:$B$296=$BT889)*(_REF_Treatment_Library!$C$2:$C$296="All")*(_REF_Treatment_Library!$E$2:$E$296&lt;=N($H889))*(_REF_Treatment_Library!$F$2:$F$296&gt;=N($H889))*(_REF_Treatment_Library!$O$2:$O$296="Yes"),0),0)),"")))</f>
        <v>TRT-INCIDENT_RESPONSE-INITIAL</v>
      </c>
      <c r="BZ889" t="str">
        <f>IF($BY889="","",IFERROR(INDEX(_REF_Treatment_Library!$H$2:$H$296,MATCH($BY889,_REF_Treatment_Library!$A$2:$A$296,0)),""))</f>
        <v>Establish</v>
      </c>
      <c r="CA889" t="str">
        <f>IF($BY889="","",IFERROR(INDEX(_REF_Treatment_Library!$I$2:$I$296,MATCH($BY889,_REF_Treatment_Library!$A$2:$A$296,0)),""))</f>
        <v>Establish baseline controls for Incident response</v>
      </c>
      <c r="CB889" t="str">
        <f>IF($BY889="","",IFERROR(INDEX(_REF_Treatment_Library!$K$2:$K$296,MATCH($BY889,_REF_Treatment_Library!$A$2:$A$296,0)),""))</f>
        <v>Named owner, baseline process, minimum control checklist, first evidence package</v>
      </c>
      <c r="CC889" t="str">
        <f>IF($BY889="","",IFERROR(INDEX(_REF_Treatment_Library!$L$2:$L$296,MATCH($BY889,_REF_Treatment_Library!$A$2:$A$296,0)),""))</f>
        <v>Owner assigned; baseline evidence coverage; open critical gaps</v>
      </c>
      <c r="CD889" t="str">
        <f t="shared" si="242"/>
        <v>Treatment by capability=CAP_INCIDENT_RESPONSE; band=Initial / absent; score=0.0; treatment=Establish</v>
      </c>
      <c r="CE889" t="str">
        <f>IF($E889="","",IFERROR(INDEX(_REF_Industry_Wording!$A$2:$A$70,MATCH(1,INDEX((_REF_Industry_Wording!$B$2:$B$70=$BT889)*(_REF_Industry_Wording!$C$2:$C$70=PV_Canonical_Industry)*(_REF_Industry_Wording!$K$2:$K$70="Yes"),0),0)),IFERROR(INDEX(_REF_Industry_Wording!$A$2:$A$70,MATCH(1,INDEX((_REF_Industry_Wording!$B$2:$B$70=$BT889)*(_REF_Industry_Wording!$C$2:$C$70="All")*(_REF_Industry_Wording!$K$2:$K$70="Yes"),0),0)),"")))</f>
        <v>IW-ALL-INCIDENT_RESPONSE</v>
      </c>
      <c r="CF889" t="str">
        <f>IF($CE889="","",IFERROR(INDEX(_REF_Industry_Wording!$E$2:$E$70,MATCH($CE889,_REF_Industry_Wording!$A$2:$A$70,0)),""))</f>
        <v>Incident response weakness</v>
      </c>
      <c r="CG889" t="str">
        <f>IF($CE889="","",IFERROR(INDEX(_REF_Industry_Wording!$F$2:$F$70,MATCH($CE889,_REF_Industry_Wording!$A$2:$A$70,0)),""))</f>
        <v>Strengthen Incident response</v>
      </c>
      <c r="CH889" t="str">
        <f>IF($CE889="","",IFERROR(INDEX(_REF_Industry_Wording!$G$2:$G$70,MATCH($CE889,_REF_Industry_Wording!$A$2:$A$70,0)),""))</f>
        <v>Strengthen Incident response using the selected maturity treatment, crisis scenario and evidence requirements.</v>
      </c>
      <c r="CI889" t="str">
        <f>IF($CE889="","",IFERROR(INDEX(_REF_Industry_Wording!$H$2:$H$70,MATCH($CE889,_REF_Industry_Wording!$A$2:$A$70,0)),""))</f>
        <v>Incident response</v>
      </c>
      <c r="CJ889">
        <f>IF($CE889="","",IFERROR(INDEX(_REF_Industry_Wording!$I$2:$I$70,MATCH($CE889,_REF_Industry_Wording!$A$2:$A$70,0)),""))</f>
        <v>0</v>
      </c>
      <c r="CK889" t="str">
        <f>IF($CE889="","",IFERROR(INDEX(_REF_Industry_Wording!$J$2:$J$70,MATCH($CE889,_REF_Industry_Wording!$A$2:$A$70,0)),""))</f>
        <v>Incident response</v>
      </c>
      <c r="CL889" t="str">
        <f t="shared" si="243"/>
        <v>Wording by industry=0; capability=CAP_INCIDENT_RESPONSE; risk label=Incident response weakness</v>
      </c>
      <c r="CM889" t="str">
        <f t="shared" si="244"/>
        <v>RISK-ONT-0390</v>
      </c>
      <c r="CN889" t="str">
        <f t="shared" si="245"/>
        <v>RISK-EVT-0390</v>
      </c>
      <c r="CO889" t="str">
        <f t="shared" si="246"/>
        <v>Cyber Privacy|Detection and response|CYBE-022|CAP_INCIDENT_RESPONSE</v>
      </c>
      <c r="CP889" t="str">
        <f t="shared" si="247"/>
        <v>Active</v>
      </c>
      <c r="CQ889" t="str">
        <f t="shared" si="248"/>
        <v>OK: capability-driven</v>
      </c>
      <c r="CR889" t="str">
        <f t="shared" si="249"/>
        <v>Risk ontology uses capability=CAP_INCIDENT_RESPONSE; bridge=BRG-013; treatment=TRT-INCIDENT_RESPONSE-INITIAL; wording=IW-ALL-INCIDENT_RESPONSE</v>
      </c>
      <c r="CS889" t="str">
        <f t="shared" si="250"/>
        <v>Yes</v>
      </c>
    </row>
    <row r="890" spans="1:97" ht="69.900000000000006" customHeight="1">
      <c r="A890">
        <f>IF(OR($B890&lt;&gt;"Yes",$BS890=""),"",SUMPRODUCT(($B$500:$B$923="Yes")*ISNUMBER($BS$500:$BS$923)*($BS$500:$BS$923&gt;$BS890))+COUNTIFS($B$500:$B890,"Yes",$BS$500:$BS890,$BS890))</f>
        <v>39</v>
      </c>
      <c r="B890" t="str">
        <f t="shared" si="219"/>
        <v>Yes</v>
      </c>
      <c r="C890" t="s">
        <v>2986</v>
      </c>
      <c r="D890" t="s">
        <v>3023</v>
      </c>
      <c r="E890" t="s">
        <v>3128</v>
      </c>
      <c r="F890" t="s">
        <v>4460</v>
      </c>
      <c r="G890" t="str">
        <f>IF($H890="","",IFERROR(INDEX(_ENGINE_Risk!$H$5:$M$499,MATCH($E890,_ENGINE_Risk!$A$5:$A$499,0),$H890+1),""))</f>
        <v>Severe risk: cyber incident response plan involving IT, legal, communications, executives and insurers is not reliably controlled. During Cyberattack; Data breach; Ransomware; Insider threat, the organization may face security incident, data breach, privilege misuse, privacy violation and regulatory exposure with limited visibility or accountability.</v>
      </c>
      <c r="H890">
        <f>IFERROR(VALUE(INDEX(_DATA_Assessment_Model!$H$5:$H$884,MATCH($E890,_DATA_Assessment_Model!$A$5:$A$884,0))),"")</f>
        <v>0</v>
      </c>
      <c r="I890" t="str">
        <f>IF($H890="","",IFERROR(INDEX(_DATA_Assessment_Model!$L$5:$L$884,MATCH($E890,_DATA_Assessment_Model!$A$5:$A$884,0)),IF($H890&lt;=1,"Critical",IF($H890=2,"High",IF($H890=3,"Medium",IF($H890=4,"Low","Resilient"))))))</f>
        <v>Critical</v>
      </c>
      <c r="J890">
        <f t="shared" si="220"/>
        <v>3.7</v>
      </c>
      <c r="K890">
        <f t="shared" si="221"/>
        <v>5</v>
      </c>
      <c r="L890">
        <f t="shared" si="222"/>
        <v>18.5</v>
      </c>
      <c r="M890">
        <f t="shared" si="223"/>
        <v>4</v>
      </c>
      <c r="N890">
        <f>IF($H890="","",IFERROR(INDEX(_ENGINE_Risk!$T$5:$Y$499,MATCH($E890,_ENGINE_Risk!$A$5:$A$499,0),$H890+1),""))</f>
        <v>4</v>
      </c>
      <c r="O890">
        <f t="shared" si="224"/>
        <v>5</v>
      </c>
      <c r="P890">
        <f t="shared" si="225"/>
        <v>5</v>
      </c>
      <c r="Q890">
        <f t="shared" si="226"/>
        <v>5</v>
      </c>
      <c r="R890">
        <f t="shared" si="227"/>
        <v>5</v>
      </c>
      <c r="S890">
        <f t="shared" si="228"/>
        <v>1.25</v>
      </c>
      <c r="T890" t="str">
        <f>IF($H890="","",IFERROR(INDEX(_ENGINE_Risk!$N$5:$S$499,MATCH($E890,_ENGINE_Risk!$A$5:$A$499,0),$H890+1),""))</f>
        <v>Create an immediate risk owner, minimum control baseline and fallback procedure for cyber incident response plan involving IT, legal, communications, executives and insurers. Add it to the crisis risk register and collect first evidence.</v>
      </c>
      <c r="U890">
        <f>IFERROR(INDEX(_DATA_Assessment_Model!$G$5:$G$884,MATCH($E890,_DATA_Assessment_Model!$A$5:$A$884,0)),"")</f>
        <v>5</v>
      </c>
      <c r="V890">
        <f>IFERROR(INDEX(_DATA_Assessment_Model!$W$5:$W$884,MATCH($E890,_DATA_Assessment_Model!$A$5:$A$884,0)),"")</f>
        <v>5</v>
      </c>
      <c r="W890">
        <f>IFERROR(INDEX(_DATA_Assessment_Model!$X$5:$X$884,MATCH($E890,_DATA_Assessment_Model!$A$5:$A$884,0)),"")</f>
        <v>5</v>
      </c>
      <c r="X890">
        <f>IFERROR(INDEX(_DATA_Assessment_Model!$Y$5:$Y$884,MATCH($E890,_DATA_Assessment_Model!$A$5:$A$884,0)),"")</f>
        <v>5</v>
      </c>
      <c r="Y890" t="s">
        <v>2999</v>
      </c>
      <c r="Z890" t="s">
        <v>9811</v>
      </c>
      <c r="AA890" t="s">
        <v>3130</v>
      </c>
      <c r="AB890">
        <f>IFERROR(INDEX(_DATA_Assessment_Model!$U$5:$U$884,MATCH($E890,_DATA_Assessment_Model!$A$5:$A$884,0)),"")</f>
        <v>0</v>
      </c>
      <c r="AF890" t="s">
        <v>3129</v>
      </c>
      <c r="AO890">
        <f>IF($B890="Yes",IF(IFERROR(INDEX(_ENGINE_Crisis!$F$501:$F$517,MATCH($C890,_ENGINE_Crisis!$A$501:$A$517,0)),1)=0,1,IFERROR(INDEX(_ENGINE_Crisis!$F$501:$F$517,MATCH($C890,_ENGINE_Crisis!$A$501:$A$517,0)),1)),"")</f>
        <v>1</v>
      </c>
      <c r="AP890">
        <f t="shared" si="229"/>
        <v>18.5</v>
      </c>
      <c r="AQ890">
        <f t="shared" si="230"/>
        <v>1.25</v>
      </c>
      <c r="AR890" t="str">
        <f>IFERROR(INDEX(_ENGINE_Crisis!$E$41:$E$700,MATCH('Resilience &amp; Risk Scenario'!$B$6&amp;"|"&amp;$C890,_ENGINE_Crisis!$I$41:$I$700,0)),"")</f>
        <v/>
      </c>
      <c r="AS890" t="str">
        <f>IFERROR(INDEX(_ENGINE_Crisis!$G$41:$G$700,MATCH('Resilience &amp; Risk Scenario'!$B$6&amp;"|"&amp;$C890,_ENGINE_Crisis!$I$41:$I$700,0)),"")</f>
        <v/>
      </c>
      <c r="AT890" t="str">
        <f>IFERROR(INDEX(_ENGINE_Initiatives!$A$5:$A$532,MATCH(1,INDEX((_ENGINE_Initiatives!$B$5:$B$532=$C890)*(_ENGINE_Initiatives!$C$5:$C$532=$D890),0),0)),"")</f>
        <v>INI-066</v>
      </c>
      <c r="AU890" t="str">
        <f>IFERROR(INDEX(_ENGINE_Initiatives!$F$5:$F$532,MATCH(1,INDEX((_ENGINE_Initiatives!$B$5:$B$532=$C890)*(_ENGINE_Initiatives!$C$5:$C$532=$D890),0),0)),"")</f>
        <v>Implement detection, response, logging and security incident exercises</v>
      </c>
      <c r="AV890">
        <f>IFERROR(INDEX(_ENGINE_Initiatives!$AC$5:$AC$532,MATCH(1,INDEX((_ENGINE_Initiatives!$B$5:$B$532=$C890)*(_ENGINE_Initiatives!$C$5:$C$532=$D890),0),0)),"")</f>
        <v>1.38</v>
      </c>
      <c r="AW890" t="str">
        <f>IFERROR(INDEX(_ENGINE_Initiatives!$AE$5:$AE$532,MATCH(1,INDEX((_ENGINE_Initiatives!$B$5:$B$532=$C890)*(_ENGINE_Initiatives!$C$5:$C$532=$D890),0),0)),"")</f>
        <v>6-12 months</v>
      </c>
      <c r="AX890">
        <f>IF($B890="Yes",IFERROR((IF(SUMIFS(_REF_Model_Content!$E$1:$E$613,_REF_Model_Content!$A$1:$A$613,PV_Canonical_Industry,_REF_Model_Content!$B$1:$B$613,$C890)=0,1,SUMIFS(_REF_Model_Content!$E$1:$E$613,_REF_Model_Content!$A$1:$A$613,PV_Canonical_Industry,_REF_Model_Content!$B$1:$B$613,$C890))*IFERROR($BU890,1)),1),"")</f>
        <v>1</v>
      </c>
      <c r="AY890">
        <f t="shared" si="231"/>
        <v>18.5</v>
      </c>
      <c r="AZ890">
        <f t="shared" si="232"/>
        <v>1.25</v>
      </c>
      <c r="BB890" t="str">
        <f>IF($H890="","",IFERROR(INDEX(_ENGINE_Risk!$AE$5:$AE$499,MATCH($E890,_ENGINE_Risk!$A$5:$A$499,0)),"Medium"))</f>
        <v>Fast</v>
      </c>
      <c r="BC890">
        <f t="shared" si="233"/>
        <v>1.25</v>
      </c>
      <c r="BD890">
        <f t="shared" si="234"/>
        <v>1.25</v>
      </c>
      <c r="BF890">
        <f>IF(OR($H890="",$J890=""),"",IFERROR(VLOOKUP(ROUND($J890,0),_CONFIG_Model_Settings!$D$154:$E$158,2,0),""))</f>
        <v>0.5</v>
      </c>
      <c r="BG890">
        <f>IFERROR(IF(OR($H890="",$K890=""),"",ROUND('Company Profile'!$B$113*INDEX(_CONFIG_Model_Settings!$H$154:$H$158,MATCH(ROUND($K890,0),_CONFIG_Model_Settings!$G$154:$G$158,0)),0)),0)</f>
        <v>1875</v>
      </c>
      <c r="BH890">
        <f t="shared" si="235"/>
        <v>937.5</v>
      </c>
      <c r="BI890">
        <f t="shared" si="236"/>
        <v>937.5</v>
      </c>
      <c r="BJ890">
        <f>IF($E890="","",IFERROR(VLOOKUP($C890,_CONFIG_Risk_Calibration!$A$5:$H$21,2,FALSE),3))</f>
        <v>3</v>
      </c>
      <c r="BK890">
        <f>IF($E890="","",IFERROR(VLOOKUP($C890,_CONFIG_Risk_Calibration!$A$5:$H$21,3,FALSE),0))</f>
        <v>0</v>
      </c>
      <c r="BL890">
        <f>IF($E890="","",IFERROR(VLOOKUP($C890,_CONFIG_Risk_Calibration!$A$5:$H$21,4,FALSE),3))</f>
        <v>3</v>
      </c>
      <c r="BM890">
        <f>IF($E890="","",IFERROR(VLOOKUP($C890,_CONFIG_Risk_Calibration!$A$5:$H$21,5,FALSE),3))</f>
        <v>4</v>
      </c>
      <c r="BN890" t="str">
        <f>IF($E890="","",IFERROR(VLOOKUP($C890,_CONFIG_Risk_Calibration!$A$5:$H$21,6,FALSE),"No"))</f>
        <v>Yes</v>
      </c>
      <c r="BO890">
        <f>IF($E890="","",IFERROR(VLOOKUP($C890,_CONFIG_Risk_Calibration!$A$5:$H$21,7,FALSE),1))</f>
        <v>5</v>
      </c>
      <c r="BP890">
        <f>IF($H890="","",MAX(1,MIN(5,((6-$H890)*0.45)+($BJ890*0.2)+('Resilience &amp; Risk Scenario'!$B$7*0.15)+($BK890*0.1)+($BL890*0.05)+(IF($BB890="Fast",5,IF($BB890="Slow",1,3))*0.05))))</f>
        <v>3.7</v>
      </c>
      <c r="BQ890">
        <f t="shared" si="237"/>
        <v>5</v>
      </c>
      <c r="BR890">
        <f t="shared" si="238"/>
        <v>18.5</v>
      </c>
      <c r="BS890">
        <f t="shared" si="239"/>
        <v>25.44</v>
      </c>
      <c r="BT890" t="str">
        <f>IFERROR(INDEX(_REF_Capability_Bridge!$D:$D,MATCH($C890&amp;"|"&amp;$D890,_REF_Capability_Bridge!$J:$J,0)),IFERROR(INDEX(_REF_Capability_Bridge!$D:$D,MATCH($C890&amp;"|",_REF_Capability_Bridge!$J:$J,0)),"CAP_GENERIC"))</f>
        <v>CAP_INCIDENT_RESPONSE</v>
      </c>
      <c r="BU890">
        <f>IFERROR(IFERROR(INDEX(_ENGINE_Relevance!$L:$L,MATCH($BT890,_ENGINE_Relevance!$B:$B,0)),1),1)</f>
        <v>1</v>
      </c>
      <c r="BV890" t="str">
        <f>IFERROR(INDEX(_REF_Capability_Bridge!$A:$A,MATCH($C890&amp;"|"&amp;$D890,_REF_Capability_Bridge!$J:$J,0)),IFERROR(INDEX(_REF_Capability_Bridge!$A:$A,MATCH($C890&amp;"|",_REF_Capability_Bridge!$J:$J,0)),"No bridge"))</f>
        <v>BRG-013</v>
      </c>
      <c r="BW890" t="str">
        <f t="shared" si="240"/>
        <v>Capability relevance neutral</v>
      </c>
      <c r="BX890" t="str">
        <f t="shared" si="241"/>
        <v>Initial / absent</v>
      </c>
      <c r="BY890" t="str">
        <f>IF($E890="","",IFERROR(INDEX(_REF_Treatment_Library!$A$2:$A$296,MATCH(1,INDEX((_REF_Treatment_Library!$B$2:$B$296=$BT890)*(_REF_Treatment_Library!$C$2:$C$296=PV_Canonical_Industry)*(_REF_Treatment_Library!$E$2:$E$296&lt;=N($H890))*(_REF_Treatment_Library!$F$2:$F$296&gt;=N($H890))*(_REF_Treatment_Library!$O$2:$O$296="Yes"),0),0)),IFERROR(INDEX(_REF_Treatment_Library!$A$2:$A$296,MATCH(1,INDEX((_REF_Treatment_Library!$B$2:$B$296=$BT890)*(_REF_Treatment_Library!$C$2:$C$296="All")*(_REF_Treatment_Library!$E$2:$E$296&lt;=N($H890))*(_REF_Treatment_Library!$F$2:$F$296&gt;=N($H890))*(_REF_Treatment_Library!$O$2:$O$296="Yes"),0),0)),"")))</f>
        <v>TRT-INCIDENT_RESPONSE-INITIAL</v>
      </c>
      <c r="BZ890" t="str">
        <f>IF($BY890="","",IFERROR(INDEX(_REF_Treatment_Library!$H$2:$H$296,MATCH($BY890,_REF_Treatment_Library!$A$2:$A$296,0)),""))</f>
        <v>Establish</v>
      </c>
      <c r="CA890" t="str">
        <f>IF($BY890="","",IFERROR(INDEX(_REF_Treatment_Library!$I$2:$I$296,MATCH($BY890,_REF_Treatment_Library!$A$2:$A$296,0)),""))</f>
        <v>Establish baseline controls for Incident response</v>
      </c>
      <c r="CB890" t="str">
        <f>IF($BY890="","",IFERROR(INDEX(_REF_Treatment_Library!$K$2:$K$296,MATCH($BY890,_REF_Treatment_Library!$A$2:$A$296,0)),""))</f>
        <v>Named owner, baseline process, minimum control checklist, first evidence package</v>
      </c>
      <c r="CC890" t="str">
        <f>IF($BY890="","",IFERROR(INDEX(_REF_Treatment_Library!$L$2:$L$296,MATCH($BY890,_REF_Treatment_Library!$A$2:$A$296,0)),""))</f>
        <v>Owner assigned; baseline evidence coverage; open critical gaps</v>
      </c>
      <c r="CD890" t="str">
        <f t="shared" si="242"/>
        <v>Treatment by capability=CAP_INCIDENT_RESPONSE; band=Initial / absent; score=0.0; treatment=Establish</v>
      </c>
      <c r="CE890" t="str">
        <f>IF($E890="","",IFERROR(INDEX(_REF_Industry_Wording!$A$2:$A$70,MATCH(1,INDEX((_REF_Industry_Wording!$B$2:$B$70=$BT890)*(_REF_Industry_Wording!$C$2:$C$70=PV_Canonical_Industry)*(_REF_Industry_Wording!$K$2:$K$70="Yes"),0),0)),IFERROR(INDEX(_REF_Industry_Wording!$A$2:$A$70,MATCH(1,INDEX((_REF_Industry_Wording!$B$2:$B$70=$BT890)*(_REF_Industry_Wording!$C$2:$C$70="All")*(_REF_Industry_Wording!$K$2:$K$70="Yes"),0),0)),"")))</f>
        <v>IW-ALL-INCIDENT_RESPONSE</v>
      </c>
      <c r="CF890" t="str">
        <f>IF($CE890="","",IFERROR(INDEX(_REF_Industry_Wording!$E$2:$E$70,MATCH($CE890,_REF_Industry_Wording!$A$2:$A$70,0)),""))</f>
        <v>Incident response weakness</v>
      </c>
      <c r="CG890" t="str">
        <f>IF($CE890="","",IFERROR(INDEX(_REF_Industry_Wording!$F$2:$F$70,MATCH($CE890,_REF_Industry_Wording!$A$2:$A$70,0)),""))</f>
        <v>Strengthen Incident response</v>
      </c>
      <c r="CH890" t="str">
        <f>IF($CE890="","",IFERROR(INDEX(_REF_Industry_Wording!$G$2:$G$70,MATCH($CE890,_REF_Industry_Wording!$A$2:$A$70,0)),""))</f>
        <v>Strengthen Incident response using the selected maturity treatment, crisis scenario and evidence requirements.</v>
      </c>
      <c r="CI890" t="str">
        <f>IF($CE890="","",IFERROR(INDEX(_REF_Industry_Wording!$H$2:$H$70,MATCH($CE890,_REF_Industry_Wording!$A$2:$A$70,0)),""))</f>
        <v>Incident response</v>
      </c>
      <c r="CJ890">
        <f>IF($CE890="","",IFERROR(INDEX(_REF_Industry_Wording!$I$2:$I$70,MATCH($CE890,_REF_Industry_Wording!$A$2:$A$70,0)),""))</f>
        <v>0</v>
      </c>
      <c r="CK890" t="str">
        <f>IF($CE890="","",IFERROR(INDEX(_REF_Industry_Wording!$J$2:$J$70,MATCH($CE890,_REF_Industry_Wording!$A$2:$A$70,0)),""))</f>
        <v>Incident response</v>
      </c>
      <c r="CL890" t="str">
        <f t="shared" si="243"/>
        <v>Wording by industry=0; capability=CAP_INCIDENT_RESPONSE; risk label=Incident response weakness</v>
      </c>
      <c r="CM890" t="str">
        <f t="shared" si="244"/>
        <v>RISK-ONT-0391</v>
      </c>
      <c r="CN890" t="str">
        <f t="shared" si="245"/>
        <v>RISK-EVT-0391</v>
      </c>
      <c r="CO890" t="str">
        <f t="shared" si="246"/>
        <v>Cyber Privacy|Detection and response|CYBE-023|CAP_INCIDENT_RESPONSE</v>
      </c>
      <c r="CP890" t="str">
        <f t="shared" si="247"/>
        <v>Active</v>
      </c>
      <c r="CQ890" t="str">
        <f t="shared" si="248"/>
        <v>OK: capability-driven</v>
      </c>
      <c r="CR890" t="str">
        <f t="shared" si="249"/>
        <v>Risk ontology uses capability=CAP_INCIDENT_RESPONSE; bridge=BRG-013; treatment=TRT-INCIDENT_RESPONSE-INITIAL; wording=IW-ALL-INCIDENT_RESPONSE</v>
      </c>
      <c r="CS890" t="str">
        <f t="shared" si="250"/>
        <v>Yes</v>
      </c>
    </row>
    <row r="891" spans="1:97" ht="69.900000000000006" customHeight="1">
      <c r="A891">
        <f>IF(OR($B891&lt;&gt;"Yes",$BS891=""),"",SUMPRODUCT(($B$500:$B$923="Yes")*ISNUMBER($BS$500:$BS$923)*($BS$500:$BS$923&gt;$BS891))+COUNTIFS($B$500:$B891,"Yes",$BS$500:$BS891,$BS891))</f>
        <v>40</v>
      </c>
      <c r="B891" t="str">
        <f t="shared" si="219"/>
        <v>Yes</v>
      </c>
      <c r="C891" t="s">
        <v>2986</v>
      </c>
      <c r="D891" t="s">
        <v>3023</v>
      </c>
      <c r="E891" t="s">
        <v>3131</v>
      </c>
      <c r="F891" t="s">
        <v>4460</v>
      </c>
      <c r="G891" t="str">
        <f>IF($H891="","",IFERROR(INDEX(_ENGINE_Risk!$H$5:$M$499,MATCH($E891,_ENGINE_Risk!$A$5:$A$499,0),$H891+1),""))</f>
        <v>Severe risk: ransomware playbook covering isolation, recovery, communication, legal and decision-making is not reliably controlled. During Cyberattack; Data breach; Ransomware; Insider threat, the organization may face security incident, data breach, privilege misuse, privacy violation and regulatory exposure with limited visibility or accountability.</v>
      </c>
      <c r="H891">
        <f>IFERROR(VALUE(INDEX(_DATA_Assessment_Model!$H$5:$H$884,MATCH($E891,_DATA_Assessment_Model!$A$5:$A$884,0))),"")</f>
        <v>0</v>
      </c>
      <c r="I891" t="str">
        <f>IF($H891="","",IFERROR(INDEX(_DATA_Assessment_Model!$L$5:$L$884,MATCH($E891,_DATA_Assessment_Model!$A$5:$A$884,0)),IF($H891&lt;=1,"Critical",IF($H891=2,"High",IF($H891=3,"Medium",IF($H891=4,"Low","Resilient"))))))</f>
        <v>Critical</v>
      </c>
      <c r="J891">
        <f t="shared" si="220"/>
        <v>3.7</v>
      </c>
      <c r="K891">
        <f t="shared" si="221"/>
        <v>5</v>
      </c>
      <c r="L891">
        <f t="shared" si="222"/>
        <v>18.5</v>
      </c>
      <c r="M891">
        <f t="shared" si="223"/>
        <v>4</v>
      </c>
      <c r="N891">
        <f>IF($H891="","",IFERROR(INDEX(_ENGINE_Risk!$T$5:$Y$499,MATCH($E891,_ENGINE_Risk!$A$5:$A$499,0),$H891+1),""))</f>
        <v>4</v>
      </c>
      <c r="O891">
        <f t="shared" si="224"/>
        <v>5</v>
      </c>
      <c r="P891">
        <f t="shared" si="225"/>
        <v>5</v>
      </c>
      <c r="Q891">
        <f t="shared" si="226"/>
        <v>5</v>
      </c>
      <c r="R891">
        <f t="shared" si="227"/>
        <v>5</v>
      </c>
      <c r="S891">
        <f t="shared" si="228"/>
        <v>1.25</v>
      </c>
      <c r="T891" t="str">
        <f>IF($H891="","",IFERROR(INDEX(_ENGINE_Risk!$N$5:$S$499,MATCH($E891,_ENGINE_Risk!$A$5:$A$499,0),$H891+1),""))</f>
        <v>Create an immediate risk owner, minimum control baseline and fallback procedure for ransomware playbook covering isolation, recovery, communication, legal and decision-making. Add it to the crisis risk register and collect first evidence.</v>
      </c>
      <c r="U891">
        <f>IFERROR(INDEX(_DATA_Assessment_Model!$G$5:$G$884,MATCH($E891,_DATA_Assessment_Model!$A$5:$A$884,0)),"")</f>
        <v>5</v>
      </c>
      <c r="V891">
        <f>IFERROR(INDEX(_DATA_Assessment_Model!$W$5:$W$884,MATCH($E891,_DATA_Assessment_Model!$A$5:$A$884,0)),"")</f>
        <v>5</v>
      </c>
      <c r="W891">
        <f>IFERROR(INDEX(_DATA_Assessment_Model!$X$5:$X$884,MATCH($E891,_DATA_Assessment_Model!$A$5:$A$884,0)),"")</f>
        <v>5</v>
      </c>
      <c r="X891">
        <f>IFERROR(INDEX(_DATA_Assessment_Model!$Y$5:$Y$884,MATCH($E891,_DATA_Assessment_Model!$A$5:$A$884,0)),"")</f>
        <v>5</v>
      </c>
      <c r="Y891" t="s">
        <v>2999</v>
      </c>
      <c r="Z891" t="s">
        <v>9811</v>
      </c>
      <c r="AA891" t="s">
        <v>3133</v>
      </c>
      <c r="AB891">
        <f>IFERROR(INDEX(_DATA_Assessment_Model!$U$5:$U$884,MATCH($E891,_DATA_Assessment_Model!$A$5:$A$884,0)),"")</f>
        <v>0</v>
      </c>
      <c r="AF891" t="s">
        <v>3132</v>
      </c>
      <c r="AO891">
        <f>IF($B891="Yes",IF(IFERROR(INDEX(_ENGINE_Crisis!$F$501:$F$517,MATCH($C891,_ENGINE_Crisis!$A$501:$A$517,0)),1)=0,1,IFERROR(INDEX(_ENGINE_Crisis!$F$501:$F$517,MATCH($C891,_ENGINE_Crisis!$A$501:$A$517,0)),1)),"")</f>
        <v>1</v>
      </c>
      <c r="AP891">
        <f t="shared" si="229"/>
        <v>18.5</v>
      </c>
      <c r="AQ891">
        <f t="shared" si="230"/>
        <v>1.25</v>
      </c>
      <c r="AR891" t="str">
        <f>IFERROR(INDEX(_ENGINE_Crisis!$E$41:$E$700,MATCH('Resilience &amp; Risk Scenario'!$B$6&amp;"|"&amp;$C891,_ENGINE_Crisis!$I$41:$I$700,0)),"")</f>
        <v/>
      </c>
      <c r="AS891" t="str">
        <f>IFERROR(INDEX(_ENGINE_Crisis!$G$41:$G$700,MATCH('Resilience &amp; Risk Scenario'!$B$6&amp;"|"&amp;$C891,_ENGINE_Crisis!$I$41:$I$700,0)),"")</f>
        <v/>
      </c>
      <c r="AT891" t="str">
        <f>IFERROR(INDEX(_ENGINE_Initiatives!$A$5:$A$532,MATCH(1,INDEX((_ENGINE_Initiatives!$B$5:$B$532=$C891)*(_ENGINE_Initiatives!$C$5:$C$532=$D891),0),0)),"")</f>
        <v>INI-066</v>
      </c>
      <c r="AU891" t="str">
        <f>IFERROR(INDEX(_ENGINE_Initiatives!$F$5:$F$532,MATCH(1,INDEX((_ENGINE_Initiatives!$B$5:$B$532=$C891)*(_ENGINE_Initiatives!$C$5:$C$532=$D891),0),0)),"")</f>
        <v>Implement detection, response, logging and security incident exercises</v>
      </c>
      <c r="AV891">
        <f>IFERROR(INDEX(_ENGINE_Initiatives!$AC$5:$AC$532,MATCH(1,INDEX((_ENGINE_Initiatives!$B$5:$B$532=$C891)*(_ENGINE_Initiatives!$C$5:$C$532=$D891),0),0)),"")</f>
        <v>1.38</v>
      </c>
      <c r="AW891" t="str">
        <f>IFERROR(INDEX(_ENGINE_Initiatives!$AE$5:$AE$532,MATCH(1,INDEX((_ENGINE_Initiatives!$B$5:$B$532=$C891)*(_ENGINE_Initiatives!$C$5:$C$532=$D891),0),0)),"")</f>
        <v>6-12 months</v>
      </c>
      <c r="AX891">
        <f>IF($B891="Yes",IFERROR((IF(SUMIFS(_REF_Model_Content!$E$1:$E$613,_REF_Model_Content!$A$1:$A$613,PV_Canonical_Industry,_REF_Model_Content!$B$1:$B$613,$C891)=0,1,SUMIFS(_REF_Model_Content!$E$1:$E$613,_REF_Model_Content!$A$1:$A$613,PV_Canonical_Industry,_REF_Model_Content!$B$1:$B$613,$C891))*IFERROR($BU891,1)),1),"")</f>
        <v>1</v>
      </c>
      <c r="AY891">
        <f t="shared" si="231"/>
        <v>18.5</v>
      </c>
      <c r="AZ891">
        <f t="shared" si="232"/>
        <v>1.25</v>
      </c>
      <c r="BB891" t="str">
        <f>IF($H891="","",IFERROR(INDEX(_ENGINE_Risk!$AE$5:$AE$499,MATCH($E891,_ENGINE_Risk!$A$5:$A$499,0)),"Medium"))</f>
        <v>Fast</v>
      </c>
      <c r="BC891">
        <f t="shared" si="233"/>
        <v>1.25</v>
      </c>
      <c r="BD891">
        <f t="shared" si="234"/>
        <v>1.25</v>
      </c>
      <c r="BF891">
        <f>IF(OR($H891="",$J891=""),"",IFERROR(VLOOKUP(ROUND($J891,0),_CONFIG_Model_Settings!$D$154:$E$158,2,0),""))</f>
        <v>0.5</v>
      </c>
      <c r="BG891">
        <f>IFERROR(IF(OR($H891="",$K891=""),"",ROUND('Company Profile'!$B$113*INDEX(_CONFIG_Model_Settings!$H$154:$H$158,MATCH(ROUND($K891,0),_CONFIG_Model_Settings!$G$154:$G$158,0)),0)),0)</f>
        <v>1875</v>
      </c>
      <c r="BH891">
        <f t="shared" si="235"/>
        <v>937.5</v>
      </c>
      <c r="BI891">
        <f t="shared" si="236"/>
        <v>937.5</v>
      </c>
      <c r="BJ891">
        <f>IF($E891="","",IFERROR(VLOOKUP($C891,_CONFIG_Risk_Calibration!$A$5:$H$21,2,FALSE),3))</f>
        <v>3</v>
      </c>
      <c r="BK891">
        <f>IF($E891="","",IFERROR(VLOOKUP($C891,_CONFIG_Risk_Calibration!$A$5:$H$21,3,FALSE),0))</f>
        <v>0</v>
      </c>
      <c r="BL891">
        <f>IF($E891="","",IFERROR(VLOOKUP($C891,_CONFIG_Risk_Calibration!$A$5:$H$21,4,FALSE),3))</f>
        <v>3</v>
      </c>
      <c r="BM891">
        <f>IF($E891="","",IFERROR(VLOOKUP($C891,_CONFIG_Risk_Calibration!$A$5:$H$21,5,FALSE),3))</f>
        <v>4</v>
      </c>
      <c r="BN891" t="str">
        <f>IF($E891="","",IFERROR(VLOOKUP($C891,_CONFIG_Risk_Calibration!$A$5:$H$21,6,FALSE),"No"))</f>
        <v>Yes</v>
      </c>
      <c r="BO891">
        <f>IF($E891="","",IFERROR(VLOOKUP($C891,_CONFIG_Risk_Calibration!$A$5:$H$21,7,FALSE),1))</f>
        <v>5</v>
      </c>
      <c r="BP891">
        <f>IF($H891="","",MAX(1,MIN(5,((6-$H891)*0.45)+($BJ891*0.2)+('Resilience &amp; Risk Scenario'!$B$7*0.15)+($BK891*0.1)+($BL891*0.05)+(IF($BB891="Fast",5,IF($BB891="Slow",1,3))*0.05))))</f>
        <v>3.7</v>
      </c>
      <c r="BQ891">
        <f t="shared" si="237"/>
        <v>5</v>
      </c>
      <c r="BR891">
        <f t="shared" si="238"/>
        <v>18.5</v>
      </c>
      <c r="BS891">
        <f t="shared" si="239"/>
        <v>25.44</v>
      </c>
      <c r="BT891" t="str">
        <f>IFERROR(INDEX(_REF_Capability_Bridge!$D:$D,MATCH($C891&amp;"|"&amp;$D891,_REF_Capability_Bridge!$J:$J,0)),IFERROR(INDEX(_REF_Capability_Bridge!$D:$D,MATCH($C891&amp;"|",_REF_Capability_Bridge!$J:$J,0)),"CAP_GENERIC"))</f>
        <v>CAP_INCIDENT_RESPONSE</v>
      </c>
      <c r="BU891">
        <f>IFERROR(IFERROR(INDEX(_ENGINE_Relevance!$L:$L,MATCH($BT891,_ENGINE_Relevance!$B:$B,0)),1),1)</f>
        <v>1</v>
      </c>
      <c r="BV891" t="str">
        <f>IFERROR(INDEX(_REF_Capability_Bridge!$A:$A,MATCH($C891&amp;"|"&amp;$D891,_REF_Capability_Bridge!$J:$J,0)),IFERROR(INDEX(_REF_Capability_Bridge!$A:$A,MATCH($C891&amp;"|",_REF_Capability_Bridge!$J:$J,0)),"No bridge"))</f>
        <v>BRG-013</v>
      </c>
      <c r="BW891" t="str">
        <f t="shared" si="240"/>
        <v>Capability relevance neutral</v>
      </c>
      <c r="BX891" t="str">
        <f t="shared" si="241"/>
        <v>Initial / absent</v>
      </c>
      <c r="BY891" t="str">
        <f>IF($E891="","",IFERROR(INDEX(_REF_Treatment_Library!$A$2:$A$296,MATCH(1,INDEX((_REF_Treatment_Library!$B$2:$B$296=$BT891)*(_REF_Treatment_Library!$C$2:$C$296=PV_Canonical_Industry)*(_REF_Treatment_Library!$E$2:$E$296&lt;=N($H891))*(_REF_Treatment_Library!$F$2:$F$296&gt;=N($H891))*(_REF_Treatment_Library!$O$2:$O$296="Yes"),0),0)),IFERROR(INDEX(_REF_Treatment_Library!$A$2:$A$296,MATCH(1,INDEX((_REF_Treatment_Library!$B$2:$B$296=$BT891)*(_REF_Treatment_Library!$C$2:$C$296="All")*(_REF_Treatment_Library!$E$2:$E$296&lt;=N($H891))*(_REF_Treatment_Library!$F$2:$F$296&gt;=N($H891))*(_REF_Treatment_Library!$O$2:$O$296="Yes"),0),0)),"")))</f>
        <v>TRT-INCIDENT_RESPONSE-INITIAL</v>
      </c>
      <c r="BZ891" t="str">
        <f>IF($BY891="","",IFERROR(INDEX(_REF_Treatment_Library!$H$2:$H$296,MATCH($BY891,_REF_Treatment_Library!$A$2:$A$296,0)),""))</f>
        <v>Establish</v>
      </c>
      <c r="CA891" t="str">
        <f>IF($BY891="","",IFERROR(INDEX(_REF_Treatment_Library!$I$2:$I$296,MATCH($BY891,_REF_Treatment_Library!$A$2:$A$296,0)),""))</f>
        <v>Establish baseline controls for Incident response</v>
      </c>
      <c r="CB891" t="str">
        <f>IF($BY891="","",IFERROR(INDEX(_REF_Treatment_Library!$K$2:$K$296,MATCH($BY891,_REF_Treatment_Library!$A$2:$A$296,0)),""))</f>
        <v>Named owner, baseline process, minimum control checklist, first evidence package</v>
      </c>
      <c r="CC891" t="str">
        <f>IF($BY891="","",IFERROR(INDEX(_REF_Treatment_Library!$L$2:$L$296,MATCH($BY891,_REF_Treatment_Library!$A$2:$A$296,0)),""))</f>
        <v>Owner assigned; baseline evidence coverage; open critical gaps</v>
      </c>
      <c r="CD891" t="str">
        <f t="shared" si="242"/>
        <v>Treatment by capability=CAP_INCIDENT_RESPONSE; band=Initial / absent; score=0.0; treatment=Establish</v>
      </c>
      <c r="CE891" t="str">
        <f>IF($E891="","",IFERROR(INDEX(_REF_Industry_Wording!$A$2:$A$70,MATCH(1,INDEX((_REF_Industry_Wording!$B$2:$B$70=$BT891)*(_REF_Industry_Wording!$C$2:$C$70=PV_Canonical_Industry)*(_REF_Industry_Wording!$K$2:$K$70="Yes"),0),0)),IFERROR(INDEX(_REF_Industry_Wording!$A$2:$A$70,MATCH(1,INDEX((_REF_Industry_Wording!$B$2:$B$70=$BT891)*(_REF_Industry_Wording!$C$2:$C$70="All")*(_REF_Industry_Wording!$K$2:$K$70="Yes"),0),0)),"")))</f>
        <v>IW-ALL-INCIDENT_RESPONSE</v>
      </c>
      <c r="CF891" t="str">
        <f>IF($CE891="","",IFERROR(INDEX(_REF_Industry_Wording!$E$2:$E$70,MATCH($CE891,_REF_Industry_Wording!$A$2:$A$70,0)),""))</f>
        <v>Incident response weakness</v>
      </c>
      <c r="CG891" t="str">
        <f>IF($CE891="","",IFERROR(INDEX(_REF_Industry_Wording!$F$2:$F$70,MATCH($CE891,_REF_Industry_Wording!$A$2:$A$70,0)),""))</f>
        <v>Strengthen Incident response</v>
      </c>
      <c r="CH891" t="str">
        <f>IF($CE891="","",IFERROR(INDEX(_REF_Industry_Wording!$G$2:$G$70,MATCH($CE891,_REF_Industry_Wording!$A$2:$A$70,0)),""))</f>
        <v>Strengthen Incident response using the selected maturity treatment, crisis scenario and evidence requirements.</v>
      </c>
      <c r="CI891" t="str">
        <f>IF($CE891="","",IFERROR(INDEX(_REF_Industry_Wording!$H$2:$H$70,MATCH($CE891,_REF_Industry_Wording!$A$2:$A$70,0)),""))</f>
        <v>Incident response</v>
      </c>
      <c r="CJ891">
        <f>IF($CE891="","",IFERROR(INDEX(_REF_Industry_Wording!$I$2:$I$70,MATCH($CE891,_REF_Industry_Wording!$A$2:$A$70,0)),""))</f>
        <v>0</v>
      </c>
      <c r="CK891" t="str">
        <f>IF($CE891="","",IFERROR(INDEX(_REF_Industry_Wording!$J$2:$J$70,MATCH($CE891,_REF_Industry_Wording!$A$2:$A$70,0)),""))</f>
        <v>Incident response</v>
      </c>
      <c r="CL891" t="str">
        <f t="shared" si="243"/>
        <v>Wording by industry=0; capability=CAP_INCIDENT_RESPONSE; risk label=Incident response weakness</v>
      </c>
      <c r="CM891" t="str">
        <f t="shared" si="244"/>
        <v>RISK-ONT-0392</v>
      </c>
      <c r="CN891" t="str">
        <f t="shared" si="245"/>
        <v>RISK-EVT-0392</v>
      </c>
      <c r="CO891" t="str">
        <f t="shared" si="246"/>
        <v>Cyber Privacy|Detection and response|CYBE-024|CAP_INCIDENT_RESPONSE</v>
      </c>
      <c r="CP891" t="str">
        <f t="shared" si="247"/>
        <v>Active</v>
      </c>
      <c r="CQ891" t="str">
        <f t="shared" si="248"/>
        <v>OK: capability-driven</v>
      </c>
      <c r="CR891" t="str">
        <f t="shared" si="249"/>
        <v>Risk ontology uses capability=CAP_INCIDENT_RESPONSE; bridge=BRG-013; treatment=TRT-INCIDENT_RESPONSE-INITIAL; wording=IW-ALL-INCIDENT_RESPONSE</v>
      </c>
      <c r="CS891" t="str">
        <f t="shared" si="250"/>
        <v>Yes</v>
      </c>
    </row>
    <row r="892" spans="1:97" ht="69.900000000000006" customHeight="1">
      <c r="A892">
        <f>IF(OR($B892&lt;&gt;"Yes",$BS892=""),"",SUMPRODUCT(($B$500:$B$923="Yes")*ISNUMBER($BS$500:$BS$923)*($BS$500:$BS$923&gt;$BS892))+COUNTIFS($B$500:$B892,"Yes",$BS$500:$BS892,$BS892))</f>
        <v>41</v>
      </c>
      <c r="B892" t="str">
        <f t="shared" si="219"/>
        <v>Yes</v>
      </c>
      <c r="C892" t="s">
        <v>2986</v>
      </c>
      <c r="D892" t="s">
        <v>3023</v>
      </c>
      <c r="E892" t="s">
        <v>3134</v>
      </c>
      <c r="F892" t="s">
        <v>4460</v>
      </c>
      <c r="G892" t="str">
        <f>IF($H892="","",IFERROR(INDEX(_ENGINE_Risk!$H$5:$M$499,MATCH($E892,_ENGINE_Risk!$A$5:$A$499,0),$H892+1),""))</f>
        <v>Severe risk: cyber incident exercises with business, legal, communication, IT and executives is not reliably controlled. During Cyberattack; Data breach; Ransomware; Insider threat, the organization may face security incident, data breach, privilege misuse, privacy violation and regulatory exposure with limited visibility or accountability.</v>
      </c>
      <c r="H892">
        <f>IFERROR(VALUE(INDEX(_DATA_Assessment_Model!$H$5:$H$884,MATCH($E892,_DATA_Assessment_Model!$A$5:$A$884,0))),"")</f>
        <v>0</v>
      </c>
      <c r="I892" t="str">
        <f>IF($H892="","",IFERROR(INDEX(_DATA_Assessment_Model!$L$5:$L$884,MATCH($E892,_DATA_Assessment_Model!$A$5:$A$884,0)),IF($H892&lt;=1,"Critical",IF($H892=2,"High",IF($H892=3,"Medium",IF($H892=4,"Low","Resilient"))))))</f>
        <v>Critical</v>
      </c>
      <c r="J892">
        <f t="shared" si="220"/>
        <v>3.7</v>
      </c>
      <c r="K892">
        <f t="shared" si="221"/>
        <v>5</v>
      </c>
      <c r="L892">
        <f t="shared" si="222"/>
        <v>18.5</v>
      </c>
      <c r="M892">
        <f t="shared" si="223"/>
        <v>4</v>
      </c>
      <c r="N892">
        <f>IF($H892="","",IFERROR(INDEX(_ENGINE_Risk!$T$5:$Y$499,MATCH($E892,_ENGINE_Risk!$A$5:$A$499,0),$H892+1),""))</f>
        <v>4</v>
      </c>
      <c r="O892">
        <f t="shared" si="224"/>
        <v>5</v>
      </c>
      <c r="P892">
        <f t="shared" si="225"/>
        <v>5</v>
      </c>
      <c r="Q892">
        <f t="shared" si="226"/>
        <v>5</v>
      </c>
      <c r="R892">
        <f t="shared" si="227"/>
        <v>5</v>
      </c>
      <c r="S892">
        <f t="shared" si="228"/>
        <v>1.25</v>
      </c>
      <c r="T892" t="str">
        <f>IF($H892="","",IFERROR(INDEX(_ENGINE_Risk!$N$5:$S$499,MATCH($E892,_ENGINE_Risk!$A$5:$A$499,0),$H892+1),""))</f>
        <v>Create an immediate risk owner, minimum control baseline and fallback procedure for cyber incident exercises with business, legal, communication, IT and executives. Add it to the crisis risk register and collect first evidence.</v>
      </c>
      <c r="U892">
        <f>IFERROR(INDEX(_DATA_Assessment_Model!$G$5:$G$884,MATCH($E892,_DATA_Assessment_Model!$A$5:$A$884,0)),"")</f>
        <v>5</v>
      </c>
      <c r="V892">
        <f>IFERROR(INDEX(_DATA_Assessment_Model!$W$5:$W$884,MATCH($E892,_DATA_Assessment_Model!$A$5:$A$884,0)),"")</f>
        <v>5</v>
      </c>
      <c r="W892">
        <f>IFERROR(INDEX(_DATA_Assessment_Model!$X$5:$X$884,MATCH($E892,_DATA_Assessment_Model!$A$5:$A$884,0)),"")</f>
        <v>5</v>
      </c>
      <c r="X892">
        <f>IFERROR(INDEX(_DATA_Assessment_Model!$Y$5:$Y$884,MATCH($E892,_DATA_Assessment_Model!$A$5:$A$884,0)),"")</f>
        <v>5</v>
      </c>
      <c r="Y892" t="s">
        <v>2999</v>
      </c>
      <c r="Z892" t="s">
        <v>9811</v>
      </c>
      <c r="AA892" t="s">
        <v>3136</v>
      </c>
      <c r="AB892">
        <f>IFERROR(INDEX(_DATA_Assessment_Model!$U$5:$U$884,MATCH($E892,_DATA_Assessment_Model!$A$5:$A$884,0)),"")</f>
        <v>0</v>
      </c>
      <c r="AF892" t="s">
        <v>3135</v>
      </c>
      <c r="AO892">
        <f>IF($B892="Yes",IF(IFERROR(INDEX(_ENGINE_Crisis!$F$501:$F$517,MATCH($C892,_ENGINE_Crisis!$A$501:$A$517,0)),1)=0,1,IFERROR(INDEX(_ENGINE_Crisis!$F$501:$F$517,MATCH($C892,_ENGINE_Crisis!$A$501:$A$517,0)),1)),"")</f>
        <v>1</v>
      </c>
      <c r="AP892">
        <f t="shared" si="229"/>
        <v>18.5</v>
      </c>
      <c r="AQ892">
        <f t="shared" si="230"/>
        <v>1.25</v>
      </c>
      <c r="AR892" t="str">
        <f>IFERROR(INDEX(_ENGINE_Crisis!$E$41:$E$700,MATCH('Resilience &amp; Risk Scenario'!$B$6&amp;"|"&amp;$C892,_ENGINE_Crisis!$I$41:$I$700,0)),"")</f>
        <v/>
      </c>
      <c r="AS892" t="str">
        <f>IFERROR(INDEX(_ENGINE_Crisis!$G$41:$G$700,MATCH('Resilience &amp; Risk Scenario'!$B$6&amp;"|"&amp;$C892,_ENGINE_Crisis!$I$41:$I$700,0)),"")</f>
        <v/>
      </c>
      <c r="AT892" t="str">
        <f>IFERROR(INDEX(_ENGINE_Initiatives!$A$5:$A$532,MATCH(1,INDEX((_ENGINE_Initiatives!$B$5:$B$532=$C892)*(_ENGINE_Initiatives!$C$5:$C$532=$D892),0),0)),"")</f>
        <v>INI-066</v>
      </c>
      <c r="AU892" t="str">
        <f>IFERROR(INDEX(_ENGINE_Initiatives!$F$5:$F$532,MATCH(1,INDEX((_ENGINE_Initiatives!$B$5:$B$532=$C892)*(_ENGINE_Initiatives!$C$5:$C$532=$D892),0),0)),"")</f>
        <v>Implement detection, response, logging and security incident exercises</v>
      </c>
      <c r="AV892">
        <f>IFERROR(INDEX(_ENGINE_Initiatives!$AC$5:$AC$532,MATCH(1,INDEX((_ENGINE_Initiatives!$B$5:$B$532=$C892)*(_ENGINE_Initiatives!$C$5:$C$532=$D892),0),0)),"")</f>
        <v>1.38</v>
      </c>
      <c r="AW892" t="str">
        <f>IFERROR(INDEX(_ENGINE_Initiatives!$AE$5:$AE$532,MATCH(1,INDEX((_ENGINE_Initiatives!$B$5:$B$532=$C892)*(_ENGINE_Initiatives!$C$5:$C$532=$D892),0),0)),"")</f>
        <v>6-12 months</v>
      </c>
      <c r="AX892">
        <f>IF($B892="Yes",IFERROR((IF(SUMIFS(_REF_Model_Content!$E$1:$E$613,_REF_Model_Content!$A$1:$A$613,PV_Canonical_Industry,_REF_Model_Content!$B$1:$B$613,$C892)=0,1,SUMIFS(_REF_Model_Content!$E$1:$E$613,_REF_Model_Content!$A$1:$A$613,PV_Canonical_Industry,_REF_Model_Content!$B$1:$B$613,$C892))*IFERROR($BU892,1)),1),"")</f>
        <v>1</v>
      </c>
      <c r="AY892">
        <f t="shared" si="231"/>
        <v>18.5</v>
      </c>
      <c r="AZ892">
        <f t="shared" si="232"/>
        <v>1.25</v>
      </c>
      <c r="BB892" t="str">
        <f>IF($H892="","",IFERROR(INDEX(_ENGINE_Risk!$AE$5:$AE$499,MATCH($E892,_ENGINE_Risk!$A$5:$A$499,0)),"Medium"))</f>
        <v>Fast</v>
      </c>
      <c r="BC892">
        <f t="shared" si="233"/>
        <v>1.25</v>
      </c>
      <c r="BD892">
        <f t="shared" si="234"/>
        <v>1.25</v>
      </c>
      <c r="BF892">
        <f>IF(OR($H892="",$J892=""),"",IFERROR(VLOOKUP(ROUND($J892,0),_CONFIG_Model_Settings!$D$154:$E$158,2,0),""))</f>
        <v>0.5</v>
      </c>
      <c r="BG892">
        <f>IFERROR(IF(OR($H892="",$K892=""),"",ROUND('Company Profile'!$B$113*INDEX(_CONFIG_Model_Settings!$H$154:$H$158,MATCH(ROUND($K892,0),_CONFIG_Model_Settings!$G$154:$G$158,0)),0)),0)</f>
        <v>1875</v>
      </c>
      <c r="BH892">
        <f t="shared" si="235"/>
        <v>937.5</v>
      </c>
      <c r="BI892">
        <f t="shared" si="236"/>
        <v>937.5</v>
      </c>
      <c r="BJ892">
        <f>IF($E892="","",IFERROR(VLOOKUP($C892,_CONFIG_Risk_Calibration!$A$5:$H$21,2,FALSE),3))</f>
        <v>3</v>
      </c>
      <c r="BK892">
        <f>IF($E892="","",IFERROR(VLOOKUP($C892,_CONFIG_Risk_Calibration!$A$5:$H$21,3,FALSE),0))</f>
        <v>0</v>
      </c>
      <c r="BL892">
        <f>IF($E892="","",IFERROR(VLOOKUP($C892,_CONFIG_Risk_Calibration!$A$5:$H$21,4,FALSE),3))</f>
        <v>3</v>
      </c>
      <c r="BM892">
        <f>IF($E892="","",IFERROR(VLOOKUP($C892,_CONFIG_Risk_Calibration!$A$5:$H$21,5,FALSE),3))</f>
        <v>4</v>
      </c>
      <c r="BN892" t="str">
        <f>IF($E892="","",IFERROR(VLOOKUP($C892,_CONFIG_Risk_Calibration!$A$5:$H$21,6,FALSE),"No"))</f>
        <v>Yes</v>
      </c>
      <c r="BO892">
        <f>IF($E892="","",IFERROR(VLOOKUP($C892,_CONFIG_Risk_Calibration!$A$5:$H$21,7,FALSE),1))</f>
        <v>5</v>
      </c>
      <c r="BP892">
        <f>IF($H892="","",MAX(1,MIN(5,((6-$H892)*0.45)+($BJ892*0.2)+('Resilience &amp; Risk Scenario'!$B$7*0.15)+($BK892*0.1)+($BL892*0.05)+(IF($BB892="Fast",5,IF($BB892="Slow",1,3))*0.05))))</f>
        <v>3.7</v>
      </c>
      <c r="BQ892">
        <f t="shared" si="237"/>
        <v>5</v>
      </c>
      <c r="BR892">
        <f t="shared" si="238"/>
        <v>18.5</v>
      </c>
      <c r="BS892">
        <f t="shared" si="239"/>
        <v>25.44</v>
      </c>
      <c r="BT892" t="str">
        <f>IFERROR(INDEX(_REF_Capability_Bridge!$D:$D,MATCH($C892&amp;"|"&amp;$D892,_REF_Capability_Bridge!$J:$J,0)),IFERROR(INDEX(_REF_Capability_Bridge!$D:$D,MATCH($C892&amp;"|",_REF_Capability_Bridge!$J:$J,0)),"CAP_GENERIC"))</f>
        <v>CAP_INCIDENT_RESPONSE</v>
      </c>
      <c r="BU892">
        <f>IFERROR(IFERROR(INDEX(_ENGINE_Relevance!$L:$L,MATCH($BT892,_ENGINE_Relevance!$B:$B,0)),1),1)</f>
        <v>1</v>
      </c>
      <c r="BV892" t="str">
        <f>IFERROR(INDEX(_REF_Capability_Bridge!$A:$A,MATCH($C892&amp;"|"&amp;$D892,_REF_Capability_Bridge!$J:$J,0)),IFERROR(INDEX(_REF_Capability_Bridge!$A:$A,MATCH($C892&amp;"|",_REF_Capability_Bridge!$J:$J,0)),"No bridge"))</f>
        <v>BRG-013</v>
      </c>
      <c r="BW892" t="str">
        <f t="shared" si="240"/>
        <v>Capability relevance neutral</v>
      </c>
      <c r="BX892" t="str">
        <f t="shared" si="241"/>
        <v>Initial / absent</v>
      </c>
      <c r="BY892" t="str">
        <f>IF($E892="","",IFERROR(INDEX(_REF_Treatment_Library!$A$2:$A$296,MATCH(1,INDEX((_REF_Treatment_Library!$B$2:$B$296=$BT892)*(_REF_Treatment_Library!$C$2:$C$296=PV_Canonical_Industry)*(_REF_Treatment_Library!$E$2:$E$296&lt;=N($H892))*(_REF_Treatment_Library!$F$2:$F$296&gt;=N($H892))*(_REF_Treatment_Library!$O$2:$O$296="Yes"),0),0)),IFERROR(INDEX(_REF_Treatment_Library!$A$2:$A$296,MATCH(1,INDEX((_REF_Treatment_Library!$B$2:$B$296=$BT892)*(_REF_Treatment_Library!$C$2:$C$296="All")*(_REF_Treatment_Library!$E$2:$E$296&lt;=N($H892))*(_REF_Treatment_Library!$F$2:$F$296&gt;=N($H892))*(_REF_Treatment_Library!$O$2:$O$296="Yes"),0),0)),"")))</f>
        <v>TRT-INCIDENT_RESPONSE-INITIAL</v>
      </c>
      <c r="BZ892" t="str">
        <f>IF($BY892="","",IFERROR(INDEX(_REF_Treatment_Library!$H$2:$H$296,MATCH($BY892,_REF_Treatment_Library!$A$2:$A$296,0)),""))</f>
        <v>Establish</v>
      </c>
      <c r="CA892" t="str">
        <f>IF($BY892="","",IFERROR(INDEX(_REF_Treatment_Library!$I$2:$I$296,MATCH($BY892,_REF_Treatment_Library!$A$2:$A$296,0)),""))</f>
        <v>Establish baseline controls for Incident response</v>
      </c>
      <c r="CB892" t="str">
        <f>IF($BY892="","",IFERROR(INDEX(_REF_Treatment_Library!$K$2:$K$296,MATCH($BY892,_REF_Treatment_Library!$A$2:$A$296,0)),""))</f>
        <v>Named owner, baseline process, minimum control checklist, first evidence package</v>
      </c>
      <c r="CC892" t="str">
        <f>IF($BY892="","",IFERROR(INDEX(_REF_Treatment_Library!$L$2:$L$296,MATCH($BY892,_REF_Treatment_Library!$A$2:$A$296,0)),""))</f>
        <v>Owner assigned; baseline evidence coverage; open critical gaps</v>
      </c>
      <c r="CD892" t="str">
        <f t="shared" si="242"/>
        <v>Treatment by capability=CAP_INCIDENT_RESPONSE; band=Initial / absent; score=0.0; treatment=Establish</v>
      </c>
      <c r="CE892" t="str">
        <f>IF($E892="","",IFERROR(INDEX(_REF_Industry_Wording!$A$2:$A$70,MATCH(1,INDEX((_REF_Industry_Wording!$B$2:$B$70=$BT892)*(_REF_Industry_Wording!$C$2:$C$70=PV_Canonical_Industry)*(_REF_Industry_Wording!$K$2:$K$70="Yes"),0),0)),IFERROR(INDEX(_REF_Industry_Wording!$A$2:$A$70,MATCH(1,INDEX((_REF_Industry_Wording!$B$2:$B$70=$BT892)*(_REF_Industry_Wording!$C$2:$C$70="All")*(_REF_Industry_Wording!$K$2:$K$70="Yes"),0),0)),"")))</f>
        <v>IW-ALL-INCIDENT_RESPONSE</v>
      </c>
      <c r="CF892" t="str">
        <f>IF($CE892="","",IFERROR(INDEX(_REF_Industry_Wording!$E$2:$E$70,MATCH($CE892,_REF_Industry_Wording!$A$2:$A$70,0)),""))</f>
        <v>Incident response weakness</v>
      </c>
      <c r="CG892" t="str">
        <f>IF($CE892="","",IFERROR(INDEX(_REF_Industry_Wording!$F$2:$F$70,MATCH($CE892,_REF_Industry_Wording!$A$2:$A$70,0)),""))</f>
        <v>Strengthen Incident response</v>
      </c>
      <c r="CH892" t="str">
        <f>IF($CE892="","",IFERROR(INDEX(_REF_Industry_Wording!$G$2:$G$70,MATCH($CE892,_REF_Industry_Wording!$A$2:$A$70,0)),""))</f>
        <v>Strengthen Incident response using the selected maturity treatment, crisis scenario and evidence requirements.</v>
      </c>
      <c r="CI892" t="str">
        <f>IF($CE892="","",IFERROR(INDEX(_REF_Industry_Wording!$H$2:$H$70,MATCH($CE892,_REF_Industry_Wording!$A$2:$A$70,0)),""))</f>
        <v>Incident response</v>
      </c>
      <c r="CJ892">
        <f>IF($CE892="","",IFERROR(INDEX(_REF_Industry_Wording!$I$2:$I$70,MATCH($CE892,_REF_Industry_Wording!$A$2:$A$70,0)),""))</f>
        <v>0</v>
      </c>
      <c r="CK892" t="str">
        <f>IF($CE892="","",IFERROR(INDEX(_REF_Industry_Wording!$J$2:$J$70,MATCH($CE892,_REF_Industry_Wording!$A$2:$A$70,0)),""))</f>
        <v>Incident response</v>
      </c>
      <c r="CL892" t="str">
        <f t="shared" si="243"/>
        <v>Wording by industry=0; capability=CAP_INCIDENT_RESPONSE; risk label=Incident response weakness</v>
      </c>
      <c r="CM892" t="str">
        <f t="shared" si="244"/>
        <v>RISK-ONT-0393</v>
      </c>
      <c r="CN892" t="str">
        <f t="shared" si="245"/>
        <v>RISK-EVT-0393</v>
      </c>
      <c r="CO892" t="str">
        <f t="shared" si="246"/>
        <v>Cyber Privacy|Detection and response|CYBE-025|CAP_INCIDENT_RESPONSE</v>
      </c>
      <c r="CP892" t="str">
        <f t="shared" si="247"/>
        <v>Active</v>
      </c>
      <c r="CQ892" t="str">
        <f t="shared" si="248"/>
        <v>OK: capability-driven</v>
      </c>
      <c r="CR892" t="str">
        <f t="shared" si="249"/>
        <v>Risk ontology uses capability=CAP_INCIDENT_RESPONSE; bridge=BRG-013; treatment=TRT-INCIDENT_RESPONSE-INITIAL; wording=IW-ALL-INCIDENT_RESPONSE</v>
      </c>
      <c r="CS892" t="str">
        <f t="shared" si="250"/>
        <v>Yes</v>
      </c>
    </row>
    <row r="893" spans="1:97" ht="69.900000000000006" customHeight="1">
      <c r="A893">
        <f>IF(OR($B893&lt;&gt;"Yes",$BS893=""),"",SUMPRODUCT(($B$500:$B$923="Yes")*ISNUMBER($BS$500:$BS$923)*($BS$500:$BS$923&gt;$BS893))+COUNTIFS($B$500:$B893,"Yes",$BS$500:$BS893,$BS893))</f>
        <v>42</v>
      </c>
      <c r="B893" t="str">
        <f t="shared" si="219"/>
        <v>Yes</v>
      </c>
      <c r="C893" t="s">
        <v>2986</v>
      </c>
      <c r="D893" t="s">
        <v>3023</v>
      </c>
      <c r="E893" t="s">
        <v>3137</v>
      </c>
      <c r="F893" t="s">
        <v>4460</v>
      </c>
      <c r="G893" t="str">
        <f>IF($H893="","",IFERROR(INDEX(_ENGINE_Risk!$H$5:$M$499,MATCH($E893,_ENGINE_Risk!$A$5:$A$499,0),$H893+1),""))</f>
        <v>Severe risk: immutable or isolated backups protected against ransomware is not reliably controlled. During Cyberattack; Data breach; Ransomware; Insider threat, the organization may face security incident, data breach, privilege misuse, privacy violation and regulatory exposure with limited visibility or accountability.</v>
      </c>
      <c r="H893">
        <f>IFERROR(VALUE(INDEX(_DATA_Assessment_Model!$H$5:$H$884,MATCH($E893,_DATA_Assessment_Model!$A$5:$A$884,0))),"")</f>
        <v>0</v>
      </c>
      <c r="I893" t="str">
        <f>IF($H893="","",IFERROR(INDEX(_DATA_Assessment_Model!$L$5:$L$884,MATCH($E893,_DATA_Assessment_Model!$A$5:$A$884,0)),IF($H893&lt;=1,"Critical",IF($H893=2,"High",IF($H893=3,"Medium",IF($H893=4,"Low","Resilient"))))))</f>
        <v>Critical</v>
      </c>
      <c r="J893">
        <f t="shared" si="220"/>
        <v>3.7</v>
      </c>
      <c r="K893">
        <f t="shared" si="221"/>
        <v>5</v>
      </c>
      <c r="L893">
        <f t="shared" si="222"/>
        <v>18.5</v>
      </c>
      <c r="M893">
        <f t="shared" si="223"/>
        <v>4</v>
      </c>
      <c r="N893">
        <f>IF($H893="","",IFERROR(INDEX(_ENGINE_Risk!$T$5:$Y$499,MATCH($E893,_ENGINE_Risk!$A$5:$A$499,0),$H893+1),""))</f>
        <v>4</v>
      </c>
      <c r="O893">
        <f t="shared" si="224"/>
        <v>5</v>
      </c>
      <c r="P893">
        <f t="shared" si="225"/>
        <v>5</v>
      </c>
      <c r="Q893">
        <f t="shared" si="226"/>
        <v>5</v>
      </c>
      <c r="R893">
        <f t="shared" si="227"/>
        <v>5</v>
      </c>
      <c r="S893">
        <f t="shared" si="228"/>
        <v>1.25</v>
      </c>
      <c r="T893" t="str">
        <f>IF($H893="","",IFERROR(INDEX(_ENGINE_Risk!$N$5:$S$499,MATCH($E893,_ENGINE_Risk!$A$5:$A$499,0),$H893+1),""))</f>
        <v>Create an immediate risk owner, minimum control baseline and fallback procedure for immutable or isolated backups protected against ransomware. Add it to the crisis risk register and collect first evidence.</v>
      </c>
      <c r="U893">
        <f>IFERROR(INDEX(_DATA_Assessment_Model!$G$5:$G$884,MATCH($E893,_DATA_Assessment_Model!$A$5:$A$884,0)),"")</f>
        <v>5</v>
      </c>
      <c r="V893">
        <f>IFERROR(INDEX(_DATA_Assessment_Model!$W$5:$W$884,MATCH($E893,_DATA_Assessment_Model!$A$5:$A$884,0)),"")</f>
        <v>5</v>
      </c>
      <c r="W893">
        <f>IFERROR(INDEX(_DATA_Assessment_Model!$X$5:$X$884,MATCH($E893,_DATA_Assessment_Model!$A$5:$A$884,0)),"")</f>
        <v>5</v>
      </c>
      <c r="X893">
        <f>IFERROR(INDEX(_DATA_Assessment_Model!$Y$5:$Y$884,MATCH($E893,_DATA_Assessment_Model!$A$5:$A$884,0)),"")</f>
        <v>5</v>
      </c>
      <c r="Y893" t="s">
        <v>2999</v>
      </c>
      <c r="Z893" t="s">
        <v>9811</v>
      </c>
      <c r="AA893" t="s">
        <v>3139</v>
      </c>
      <c r="AB893">
        <f>IFERROR(INDEX(_DATA_Assessment_Model!$U$5:$U$884,MATCH($E893,_DATA_Assessment_Model!$A$5:$A$884,0)),"")</f>
        <v>0</v>
      </c>
      <c r="AF893" t="s">
        <v>3138</v>
      </c>
      <c r="AO893">
        <f>IF($B893="Yes",IF(IFERROR(INDEX(_ENGINE_Crisis!$F$501:$F$517,MATCH($C893,_ENGINE_Crisis!$A$501:$A$517,0)),1)=0,1,IFERROR(INDEX(_ENGINE_Crisis!$F$501:$F$517,MATCH($C893,_ENGINE_Crisis!$A$501:$A$517,0)),1)),"")</f>
        <v>1</v>
      </c>
      <c r="AP893">
        <f t="shared" si="229"/>
        <v>18.5</v>
      </c>
      <c r="AQ893">
        <f t="shared" si="230"/>
        <v>1.25</v>
      </c>
      <c r="AR893" t="str">
        <f>IFERROR(INDEX(_ENGINE_Crisis!$E$41:$E$700,MATCH('Resilience &amp; Risk Scenario'!$B$6&amp;"|"&amp;$C893,_ENGINE_Crisis!$I$41:$I$700,0)),"")</f>
        <v/>
      </c>
      <c r="AS893" t="str">
        <f>IFERROR(INDEX(_ENGINE_Crisis!$G$41:$G$700,MATCH('Resilience &amp; Risk Scenario'!$B$6&amp;"|"&amp;$C893,_ENGINE_Crisis!$I$41:$I$700,0)),"")</f>
        <v/>
      </c>
      <c r="AT893" t="str">
        <f>IFERROR(INDEX(_ENGINE_Initiatives!$A$5:$A$532,MATCH(1,INDEX((_ENGINE_Initiatives!$B$5:$B$532=$C893)*(_ENGINE_Initiatives!$C$5:$C$532=$D893),0),0)),"")</f>
        <v>INI-066</v>
      </c>
      <c r="AU893" t="str">
        <f>IFERROR(INDEX(_ENGINE_Initiatives!$F$5:$F$532,MATCH(1,INDEX((_ENGINE_Initiatives!$B$5:$B$532=$C893)*(_ENGINE_Initiatives!$C$5:$C$532=$D893),0),0)),"")</f>
        <v>Implement detection, response, logging and security incident exercises</v>
      </c>
      <c r="AV893">
        <f>IFERROR(INDEX(_ENGINE_Initiatives!$AC$5:$AC$532,MATCH(1,INDEX((_ENGINE_Initiatives!$B$5:$B$532=$C893)*(_ENGINE_Initiatives!$C$5:$C$532=$D893),0),0)),"")</f>
        <v>1.38</v>
      </c>
      <c r="AW893" t="str">
        <f>IFERROR(INDEX(_ENGINE_Initiatives!$AE$5:$AE$532,MATCH(1,INDEX((_ENGINE_Initiatives!$B$5:$B$532=$C893)*(_ENGINE_Initiatives!$C$5:$C$532=$D893),0),0)),"")</f>
        <v>6-12 months</v>
      </c>
      <c r="AX893">
        <f>IF($B893="Yes",IFERROR((IF(SUMIFS(_REF_Model_Content!$E$1:$E$613,_REF_Model_Content!$A$1:$A$613,PV_Canonical_Industry,_REF_Model_Content!$B$1:$B$613,$C893)=0,1,SUMIFS(_REF_Model_Content!$E$1:$E$613,_REF_Model_Content!$A$1:$A$613,PV_Canonical_Industry,_REF_Model_Content!$B$1:$B$613,$C893))*IFERROR($BU893,1)),1),"")</f>
        <v>1</v>
      </c>
      <c r="AY893">
        <f t="shared" si="231"/>
        <v>18.5</v>
      </c>
      <c r="AZ893">
        <f t="shared" si="232"/>
        <v>1.25</v>
      </c>
      <c r="BB893" t="str">
        <f>IF($H893="","",IFERROR(INDEX(_ENGINE_Risk!$AE$5:$AE$499,MATCH($E893,_ENGINE_Risk!$A$5:$A$499,0)),"Medium"))</f>
        <v>Fast</v>
      </c>
      <c r="BC893">
        <f t="shared" si="233"/>
        <v>1.25</v>
      </c>
      <c r="BD893">
        <f t="shared" si="234"/>
        <v>1.25</v>
      </c>
      <c r="BF893">
        <f>IF(OR($H893="",$J893=""),"",IFERROR(VLOOKUP(ROUND($J893,0),_CONFIG_Model_Settings!$D$154:$E$158,2,0),""))</f>
        <v>0.5</v>
      </c>
      <c r="BG893">
        <f>IFERROR(IF(OR($H893="",$K893=""),"",ROUND('Company Profile'!$B$113*INDEX(_CONFIG_Model_Settings!$H$154:$H$158,MATCH(ROUND($K893,0),_CONFIG_Model_Settings!$G$154:$G$158,0)),0)),0)</f>
        <v>1875</v>
      </c>
      <c r="BH893">
        <f t="shared" si="235"/>
        <v>937.5</v>
      </c>
      <c r="BI893">
        <f t="shared" si="236"/>
        <v>937.5</v>
      </c>
      <c r="BJ893">
        <f>IF($E893="","",IFERROR(VLOOKUP($C893,_CONFIG_Risk_Calibration!$A$5:$H$21,2,FALSE),3))</f>
        <v>3</v>
      </c>
      <c r="BK893">
        <f>IF($E893="","",IFERROR(VLOOKUP($C893,_CONFIG_Risk_Calibration!$A$5:$H$21,3,FALSE),0))</f>
        <v>0</v>
      </c>
      <c r="BL893">
        <f>IF($E893="","",IFERROR(VLOOKUP($C893,_CONFIG_Risk_Calibration!$A$5:$H$21,4,FALSE),3))</f>
        <v>3</v>
      </c>
      <c r="BM893">
        <f>IF($E893="","",IFERROR(VLOOKUP($C893,_CONFIG_Risk_Calibration!$A$5:$H$21,5,FALSE),3))</f>
        <v>4</v>
      </c>
      <c r="BN893" t="str">
        <f>IF($E893="","",IFERROR(VLOOKUP($C893,_CONFIG_Risk_Calibration!$A$5:$H$21,6,FALSE),"No"))</f>
        <v>Yes</v>
      </c>
      <c r="BO893">
        <f>IF($E893="","",IFERROR(VLOOKUP($C893,_CONFIG_Risk_Calibration!$A$5:$H$21,7,FALSE),1))</f>
        <v>5</v>
      </c>
      <c r="BP893">
        <f>IF($H893="","",MAX(1,MIN(5,((6-$H893)*0.45)+($BJ893*0.2)+('Resilience &amp; Risk Scenario'!$B$7*0.15)+($BK893*0.1)+($BL893*0.05)+(IF($BB893="Fast",5,IF($BB893="Slow",1,3))*0.05))))</f>
        <v>3.7</v>
      </c>
      <c r="BQ893">
        <f t="shared" si="237"/>
        <v>5</v>
      </c>
      <c r="BR893">
        <f t="shared" si="238"/>
        <v>18.5</v>
      </c>
      <c r="BS893">
        <f t="shared" si="239"/>
        <v>25.44</v>
      </c>
      <c r="BT893" t="str">
        <f>IFERROR(INDEX(_REF_Capability_Bridge!$D:$D,MATCH($C893&amp;"|"&amp;$D893,_REF_Capability_Bridge!$J:$J,0)),IFERROR(INDEX(_REF_Capability_Bridge!$D:$D,MATCH($C893&amp;"|",_REF_Capability_Bridge!$J:$J,0)),"CAP_GENERIC"))</f>
        <v>CAP_INCIDENT_RESPONSE</v>
      </c>
      <c r="BU893">
        <f>IFERROR(IFERROR(INDEX(_ENGINE_Relevance!$L:$L,MATCH($BT893,_ENGINE_Relevance!$B:$B,0)),1),1)</f>
        <v>1</v>
      </c>
      <c r="BV893" t="str">
        <f>IFERROR(INDEX(_REF_Capability_Bridge!$A:$A,MATCH($C893&amp;"|"&amp;$D893,_REF_Capability_Bridge!$J:$J,0)),IFERROR(INDEX(_REF_Capability_Bridge!$A:$A,MATCH($C893&amp;"|",_REF_Capability_Bridge!$J:$J,0)),"No bridge"))</f>
        <v>BRG-013</v>
      </c>
      <c r="BW893" t="str">
        <f t="shared" si="240"/>
        <v>Capability relevance neutral</v>
      </c>
      <c r="BX893" t="str">
        <f t="shared" si="241"/>
        <v>Initial / absent</v>
      </c>
      <c r="BY893" t="str">
        <f>IF($E893="","",IFERROR(INDEX(_REF_Treatment_Library!$A$2:$A$296,MATCH(1,INDEX((_REF_Treatment_Library!$B$2:$B$296=$BT893)*(_REF_Treatment_Library!$C$2:$C$296=PV_Canonical_Industry)*(_REF_Treatment_Library!$E$2:$E$296&lt;=N($H893))*(_REF_Treatment_Library!$F$2:$F$296&gt;=N($H893))*(_REF_Treatment_Library!$O$2:$O$296="Yes"),0),0)),IFERROR(INDEX(_REF_Treatment_Library!$A$2:$A$296,MATCH(1,INDEX((_REF_Treatment_Library!$B$2:$B$296=$BT893)*(_REF_Treatment_Library!$C$2:$C$296="All")*(_REF_Treatment_Library!$E$2:$E$296&lt;=N($H893))*(_REF_Treatment_Library!$F$2:$F$296&gt;=N($H893))*(_REF_Treatment_Library!$O$2:$O$296="Yes"),0),0)),"")))</f>
        <v>TRT-INCIDENT_RESPONSE-INITIAL</v>
      </c>
      <c r="BZ893" t="str">
        <f>IF($BY893="","",IFERROR(INDEX(_REF_Treatment_Library!$H$2:$H$296,MATCH($BY893,_REF_Treatment_Library!$A$2:$A$296,0)),""))</f>
        <v>Establish</v>
      </c>
      <c r="CA893" t="str">
        <f>IF($BY893="","",IFERROR(INDEX(_REF_Treatment_Library!$I$2:$I$296,MATCH($BY893,_REF_Treatment_Library!$A$2:$A$296,0)),""))</f>
        <v>Establish baseline controls for Incident response</v>
      </c>
      <c r="CB893" t="str">
        <f>IF($BY893="","",IFERROR(INDEX(_REF_Treatment_Library!$K$2:$K$296,MATCH($BY893,_REF_Treatment_Library!$A$2:$A$296,0)),""))</f>
        <v>Named owner, baseline process, minimum control checklist, first evidence package</v>
      </c>
      <c r="CC893" t="str">
        <f>IF($BY893="","",IFERROR(INDEX(_REF_Treatment_Library!$L$2:$L$296,MATCH($BY893,_REF_Treatment_Library!$A$2:$A$296,0)),""))</f>
        <v>Owner assigned; baseline evidence coverage; open critical gaps</v>
      </c>
      <c r="CD893" t="str">
        <f t="shared" si="242"/>
        <v>Treatment by capability=CAP_INCIDENT_RESPONSE; band=Initial / absent; score=0.0; treatment=Establish</v>
      </c>
      <c r="CE893" t="str">
        <f>IF($E893="","",IFERROR(INDEX(_REF_Industry_Wording!$A$2:$A$70,MATCH(1,INDEX((_REF_Industry_Wording!$B$2:$B$70=$BT893)*(_REF_Industry_Wording!$C$2:$C$70=PV_Canonical_Industry)*(_REF_Industry_Wording!$K$2:$K$70="Yes"),0),0)),IFERROR(INDEX(_REF_Industry_Wording!$A$2:$A$70,MATCH(1,INDEX((_REF_Industry_Wording!$B$2:$B$70=$BT893)*(_REF_Industry_Wording!$C$2:$C$70="All")*(_REF_Industry_Wording!$K$2:$K$70="Yes"),0),0)),"")))</f>
        <v>IW-ALL-INCIDENT_RESPONSE</v>
      </c>
      <c r="CF893" t="str">
        <f>IF($CE893="","",IFERROR(INDEX(_REF_Industry_Wording!$E$2:$E$70,MATCH($CE893,_REF_Industry_Wording!$A$2:$A$70,0)),""))</f>
        <v>Incident response weakness</v>
      </c>
      <c r="CG893" t="str">
        <f>IF($CE893="","",IFERROR(INDEX(_REF_Industry_Wording!$F$2:$F$70,MATCH($CE893,_REF_Industry_Wording!$A$2:$A$70,0)),""))</f>
        <v>Strengthen Incident response</v>
      </c>
      <c r="CH893" t="str">
        <f>IF($CE893="","",IFERROR(INDEX(_REF_Industry_Wording!$G$2:$G$70,MATCH($CE893,_REF_Industry_Wording!$A$2:$A$70,0)),""))</f>
        <v>Strengthen Incident response using the selected maturity treatment, crisis scenario and evidence requirements.</v>
      </c>
      <c r="CI893" t="str">
        <f>IF($CE893="","",IFERROR(INDEX(_REF_Industry_Wording!$H$2:$H$70,MATCH($CE893,_REF_Industry_Wording!$A$2:$A$70,0)),""))</f>
        <v>Incident response</v>
      </c>
      <c r="CJ893">
        <f>IF($CE893="","",IFERROR(INDEX(_REF_Industry_Wording!$I$2:$I$70,MATCH($CE893,_REF_Industry_Wording!$A$2:$A$70,0)),""))</f>
        <v>0</v>
      </c>
      <c r="CK893" t="str">
        <f>IF($CE893="","",IFERROR(INDEX(_REF_Industry_Wording!$J$2:$J$70,MATCH($CE893,_REF_Industry_Wording!$A$2:$A$70,0)),""))</f>
        <v>Incident response</v>
      </c>
      <c r="CL893" t="str">
        <f t="shared" si="243"/>
        <v>Wording by industry=0; capability=CAP_INCIDENT_RESPONSE; risk label=Incident response weakness</v>
      </c>
      <c r="CM893" t="str">
        <f t="shared" si="244"/>
        <v>RISK-ONT-0394</v>
      </c>
      <c r="CN893" t="str">
        <f t="shared" si="245"/>
        <v>RISK-EVT-0394</v>
      </c>
      <c r="CO893" t="str">
        <f t="shared" si="246"/>
        <v>Cyber Privacy|Detection and response|CYBE-026|CAP_INCIDENT_RESPONSE</v>
      </c>
      <c r="CP893" t="str">
        <f t="shared" si="247"/>
        <v>Active</v>
      </c>
      <c r="CQ893" t="str">
        <f t="shared" si="248"/>
        <v>OK: capability-driven</v>
      </c>
      <c r="CR893" t="str">
        <f t="shared" si="249"/>
        <v>Risk ontology uses capability=CAP_INCIDENT_RESPONSE; bridge=BRG-013; treatment=TRT-INCIDENT_RESPONSE-INITIAL; wording=IW-ALL-INCIDENT_RESPONSE</v>
      </c>
      <c r="CS893" t="str">
        <f t="shared" si="250"/>
        <v>Yes</v>
      </c>
    </row>
    <row r="894" spans="1:97" ht="69.900000000000006" customHeight="1">
      <c r="A894">
        <f>IF(OR($B894&lt;&gt;"Yes",$BS894=""),"",SUMPRODUCT(($B$500:$B$923="Yes")*ISNUMBER($BS$500:$BS$923)*($BS$500:$BS$923&gt;$BS894))+COUNTIFS($B$500:$B894,"Yes",$BS$500:$BS894,$BS894))</f>
        <v>43</v>
      </c>
      <c r="B894" t="str">
        <f t="shared" si="219"/>
        <v>Yes</v>
      </c>
      <c r="C894" t="s">
        <v>2986</v>
      </c>
      <c r="D894" t="s">
        <v>3027</v>
      </c>
      <c r="E894" t="s">
        <v>3140</v>
      </c>
      <c r="F894" t="s">
        <v>4460</v>
      </c>
      <c r="G894" t="str">
        <f>IF($H894="","",IFERROR(INDEX(_ENGINE_Risk!$H$5:$M$499,MATCH($E894,_ENGINE_Risk!$A$5:$A$499,0),$H894+1),""))</f>
        <v>Severe risk: secure SDLC for internally developed applications, APIs and integrations is not reliably controlled. During Cyberattack; Data breach; Ransomware; Insider threat, the organization may face security incident, data breach, privilege misuse, privacy violation and regulatory exposure with limited visibility or accountability.</v>
      </c>
      <c r="H894">
        <f>IFERROR(VALUE(INDEX(_DATA_Assessment_Model!$H$5:$H$884,MATCH($E894,_DATA_Assessment_Model!$A$5:$A$884,0))),"")</f>
        <v>0</v>
      </c>
      <c r="I894" t="str">
        <f>IF($H894="","",IFERROR(INDEX(_DATA_Assessment_Model!$L$5:$L$884,MATCH($E894,_DATA_Assessment_Model!$A$5:$A$884,0)),IF($H894&lt;=1,"Critical",IF($H894=2,"High",IF($H894=3,"Medium",IF($H894=4,"Low","Resilient"))))))</f>
        <v>Critical</v>
      </c>
      <c r="J894">
        <f t="shared" si="220"/>
        <v>3.7</v>
      </c>
      <c r="K894">
        <f t="shared" si="221"/>
        <v>5</v>
      </c>
      <c r="L894">
        <f t="shared" si="222"/>
        <v>18.5</v>
      </c>
      <c r="M894">
        <f t="shared" si="223"/>
        <v>4</v>
      </c>
      <c r="N894">
        <f>IF($H894="","",IFERROR(INDEX(_ENGINE_Risk!$T$5:$Y$499,MATCH($E894,_ENGINE_Risk!$A$5:$A$499,0),$H894+1),""))</f>
        <v>4</v>
      </c>
      <c r="O894">
        <f t="shared" si="224"/>
        <v>4.333333333333333</v>
      </c>
      <c r="P894">
        <f t="shared" si="225"/>
        <v>5</v>
      </c>
      <c r="Q894">
        <f t="shared" si="226"/>
        <v>5</v>
      </c>
      <c r="R894">
        <f t="shared" si="227"/>
        <v>5</v>
      </c>
      <c r="S894">
        <f t="shared" si="228"/>
        <v>1.21</v>
      </c>
      <c r="T894" t="str">
        <f>IF($H894="","",IFERROR(INDEX(_ENGINE_Risk!$N$5:$S$499,MATCH($E894,_ENGINE_Risk!$A$5:$A$499,0),$H894+1),""))</f>
        <v>Create an immediate risk owner, minimum control baseline and fallback procedure for secure SDLC for internally developed applications, APIs and integrations. Add it to the crisis risk register and collect first evidence.</v>
      </c>
      <c r="U894">
        <f>IFERROR(INDEX(_DATA_Assessment_Model!$G$5:$G$884,MATCH($E894,_DATA_Assessment_Model!$A$5:$A$884,0)),"")</f>
        <v>3</v>
      </c>
      <c r="V894">
        <f>IFERROR(INDEX(_DATA_Assessment_Model!$W$5:$W$884,MATCH($E894,_DATA_Assessment_Model!$A$5:$A$884,0)),"")</f>
        <v>5</v>
      </c>
      <c r="W894">
        <f>IFERROR(INDEX(_DATA_Assessment_Model!$X$5:$X$884,MATCH($E894,_DATA_Assessment_Model!$A$5:$A$884,0)),"")</f>
        <v>5</v>
      </c>
      <c r="X894">
        <f>IFERROR(INDEX(_DATA_Assessment_Model!$Y$5:$Y$884,MATCH($E894,_DATA_Assessment_Model!$A$5:$A$884,0)),"")</f>
        <v>5</v>
      </c>
      <c r="Y894" t="s">
        <v>2999</v>
      </c>
      <c r="Z894" t="s">
        <v>9811</v>
      </c>
      <c r="AA894" t="s">
        <v>3142</v>
      </c>
      <c r="AB894">
        <f>IFERROR(INDEX(_DATA_Assessment_Model!$U$5:$U$884,MATCH($E894,_DATA_Assessment_Model!$A$5:$A$884,0)),"")</f>
        <v>0</v>
      </c>
      <c r="AF894" t="s">
        <v>3141</v>
      </c>
      <c r="AO894">
        <f>IF($B894="Yes",IF(IFERROR(INDEX(_ENGINE_Crisis!$F$501:$F$517,MATCH($C894,_ENGINE_Crisis!$A$501:$A$517,0)),1)=0,1,IFERROR(INDEX(_ENGINE_Crisis!$F$501:$F$517,MATCH($C894,_ENGINE_Crisis!$A$501:$A$517,0)),1)),"")</f>
        <v>1</v>
      </c>
      <c r="AP894">
        <f t="shared" si="229"/>
        <v>18.5</v>
      </c>
      <c r="AQ894">
        <f t="shared" si="230"/>
        <v>1.21</v>
      </c>
      <c r="AR894" t="str">
        <f>IFERROR(INDEX(_ENGINE_Crisis!$E$41:$E$700,MATCH('Resilience &amp; Risk Scenario'!$B$6&amp;"|"&amp;$C894,_ENGINE_Crisis!$I$41:$I$700,0)),"")</f>
        <v/>
      </c>
      <c r="AS894" t="str">
        <f>IFERROR(INDEX(_ENGINE_Crisis!$G$41:$G$700,MATCH('Resilience &amp; Risk Scenario'!$B$6&amp;"|"&amp;$C894,_ENGINE_Crisis!$I$41:$I$700,0)),"")</f>
        <v/>
      </c>
      <c r="AT894" t="str">
        <f>IFERROR(INDEX(_ENGINE_Initiatives!$A$5:$A$532,MATCH(1,INDEX((_ENGINE_Initiatives!$B$5:$B$532=$C894)*(_ENGINE_Initiatives!$C$5:$C$532=$D894),0),0)),"")</f>
        <v>INI-067</v>
      </c>
      <c r="AU894" t="str">
        <f>IFERROR(INDEX(_ENGINE_Initiatives!$F$5:$F$532,MATCH(1,INDEX((_ENGINE_Initiatives!$B$5:$B$532=$C894)*(_ENGINE_Initiatives!$C$5:$C$532=$D894),0),0)),"")</f>
        <v>Strengthen application, API and OT security controls</v>
      </c>
      <c r="AV894">
        <f>IFERROR(INDEX(_ENGINE_Initiatives!$AC$5:$AC$532,MATCH(1,INDEX((_ENGINE_Initiatives!$B$5:$B$532=$C894)*(_ENGINE_Initiatives!$C$5:$C$532=$D894),0),0)),"")</f>
        <v>1.32</v>
      </c>
      <c r="AW894" t="str">
        <f>IFERROR(INDEX(_ENGINE_Initiatives!$AE$5:$AE$532,MATCH(1,INDEX((_ENGINE_Initiatives!$B$5:$B$532=$C894)*(_ENGINE_Initiatives!$C$5:$C$532=$D894),0),0)),"")</f>
        <v>12+ months</v>
      </c>
      <c r="AX894">
        <f>IF($B894="Yes",IFERROR((IF(SUMIFS(_REF_Model_Content!$E$1:$E$613,_REF_Model_Content!$A$1:$A$613,PV_Canonical_Industry,_REF_Model_Content!$B$1:$B$613,$C894)=0,1,SUMIFS(_REF_Model_Content!$E$1:$E$613,_REF_Model_Content!$A$1:$A$613,PV_Canonical_Industry,_REF_Model_Content!$B$1:$B$613,$C894))*IFERROR($BU894,1)),1),"")</f>
        <v>1</v>
      </c>
      <c r="AY894">
        <f t="shared" si="231"/>
        <v>18.5</v>
      </c>
      <c r="AZ894">
        <f t="shared" si="232"/>
        <v>1.21</v>
      </c>
      <c r="BB894" t="str">
        <f>IF($H894="","",IFERROR(INDEX(_ENGINE_Risk!$AE$5:$AE$499,MATCH($E894,_ENGINE_Risk!$A$5:$A$499,0)),"Medium"))</f>
        <v>Fast</v>
      </c>
      <c r="BC894">
        <f t="shared" si="233"/>
        <v>1.25</v>
      </c>
      <c r="BD894">
        <f t="shared" si="234"/>
        <v>1.21</v>
      </c>
      <c r="BF894">
        <f>IF(OR($H894="",$J894=""),"",IFERROR(VLOOKUP(ROUND($J894,0),_CONFIG_Model_Settings!$D$154:$E$158,2,0),""))</f>
        <v>0.5</v>
      </c>
      <c r="BG894">
        <f>IFERROR(IF(OR($H894="",$K894=""),"",ROUND('Company Profile'!$B$113*INDEX(_CONFIG_Model_Settings!$H$154:$H$158,MATCH(ROUND($K894,0),_CONFIG_Model_Settings!$G$154:$G$158,0)),0)),0)</f>
        <v>1875</v>
      </c>
      <c r="BH894">
        <f t="shared" si="235"/>
        <v>937.5</v>
      </c>
      <c r="BI894">
        <f t="shared" si="236"/>
        <v>937.5</v>
      </c>
      <c r="BJ894">
        <f>IF($E894="","",IFERROR(VLOOKUP($C894,_CONFIG_Risk_Calibration!$A$5:$H$21,2,FALSE),3))</f>
        <v>3</v>
      </c>
      <c r="BK894">
        <f>IF($E894="","",IFERROR(VLOOKUP($C894,_CONFIG_Risk_Calibration!$A$5:$H$21,3,FALSE),0))</f>
        <v>0</v>
      </c>
      <c r="BL894">
        <f>IF($E894="","",IFERROR(VLOOKUP($C894,_CONFIG_Risk_Calibration!$A$5:$H$21,4,FALSE),3))</f>
        <v>3</v>
      </c>
      <c r="BM894">
        <f>IF($E894="","",IFERROR(VLOOKUP($C894,_CONFIG_Risk_Calibration!$A$5:$H$21,5,FALSE),3))</f>
        <v>4</v>
      </c>
      <c r="BN894" t="str">
        <f>IF($E894="","",IFERROR(VLOOKUP($C894,_CONFIG_Risk_Calibration!$A$5:$H$21,6,FALSE),"No"))</f>
        <v>Yes</v>
      </c>
      <c r="BO894">
        <f>IF($E894="","",IFERROR(VLOOKUP($C894,_CONFIG_Risk_Calibration!$A$5:$H$21,7,FALSE),1))</f>
        <v>5</v>
      </c>
      <c r="BP894">
        <f>IF($H894="","",MAX(1,MIN(5,((6-$H894)*0.45)+($BJ894*0.2)+('Resilience &amp; Risk Scenario'!$B$7*0.15)+($BK894*0.1)+($BL894*0.05)+(IF($BB894="Fast",5,IF($BB894="Slow",1,3))*0.05))))</f>
        <v>3.7</v>
      </c>
      <c r="BQ894">
        <f t="shared" si="237"/>
        <v>5</v>
      </c>
      <c r="BR894">
        <f t="shared" si="238"/>
        <v>18.5</v>
      </c>
      <c r="BS894">
        <f t="shared" si="239"/>
        <v>25.44</v>
      </c>
      <c r="BT894" t="str">
        <f>IFERROR(INDEX(_REF_Capability_Bridge!$D:$D,MATCH($C894&amp;"|"&amp;$D894,_REF_Capability_Bridge!$J:$J,0)),IFERROR(INDEX(_REF_Capability_Bridge!$D:$D,MATCH($C894&amp;"|",_REF_Capability_Bridge!$J:$J,0)),"CAP_GENERIC"))</f>
        <v>CAP_PRODUCT_SECURITY</v>
      </c>
      <c r="BU894">
        <f>IFERROR(IFERROR(INDEX(_ENGINE_Relevance!$L:$L,MATCH($BT894,_ENGINE_Relevance!$B:$B,0)),1),1)</f>
        <v>1</v>
      </c>
      <c r="BV894" t="str">
        <f>IFERROR(INDEX(_REF_Capability_Bridge!$A:$A,MATCH($C894&amp;"|"&amp;$D894,_REF_Capability_Bridge!$J:$J,0)),IFERROR(INDEX(_REF_Capability_Bridge!$A:$A,MATCH($C894&amp;"|",_REF_Capability_Bridge!$J:$J,0)),"No bridge"))</f>
        <v>BRG-012</v>
      </c>
      <c r="BW894" t="str">
        <f t="shared" si="240"/>
        <v>Capability relevance neutral</v>
      </c>
      <c r="BX894" t="str">
        <f t="shared" si="241"/>
        <v>Initial / absent</v>
      </c>
      <c r="BY894" t="str">
        <f>IF($E894="","",IFERROR(INDEX(_REF_Treatment_Library!$A$2:$A$296,MATCH(1,INDEX((_REF_Treatment_Library!$B$2:$B$296=$BT894)*(_REF_Treatment_Library!$C$2:$C$296=PV_Canonical_Industry)*(_REF_Treatment_Library!$E$2:$E$296&lt;=N($H894))*(_REF_Treatment_Library!$F$2:$F$296&gt;=N($H894))*(_REF_Treatment_Library!$O$2:$O$296="Yes"),0),0)),IFERROR(INDEX(_REF_Treatment_Library!$A$2:$A$296,MATCH(1,INDEX((_REF_Treatment_Library!$B$2:$B$296=$BT894)*(_REF_Treatment_Library!$C$2:$C$296="All")*(_REF_Treatment_Library!$E$2:$E$296&lt;=N($H894))*(_REF_Treatment_Library!$F$2:$F$296&gt;=N($H894))*(_REF_Treatment_Library!$O$2:$O$296="Yes"),0),0)),"")))</f>
        <v>TRT-PRODUCT_SECURITY-INITIAL</v>
      </c>
      <c r="BZ894" t="str">
        <f>IF($BY894="","",IFERROR(INDEX(_REF_Treatment_Library!$H$2:$H$296,MATCH($BY894,_REF_Treatment_Library!$A$2:$A$296,0)),""))</f>
        <v>Establish</v>
      </c>
      <c r="CA894" t="str">
        <f>IF($BY894="","",IFERROR(INDEX(_REF_Treatment_Library!$I$2:$I$296,MATCH($BY894,_REF_Treatment_Library!$A$2:$A$296,0)),""))</f>
        <v>Establish baseline controls for Product security</v>
      </c>
      <c r="CB894" t="str">
        <f>IF($BY894="","",IFERROR(INDEX(_REF_Treatment_Library!$K$2:$K$296,MATCH($BY894,_REF_Treatment_Library!$A$2:$A$296,0)),""))</f>
        <v>Named owner, baseline process, minimum control checklist, first evidence package</v>
      </c>
      <c r="CC894" t="str">
        <f>IF($BY894="","",IFERROR(INDEX(_REF_Treatment_Library!$L$2:$L$296,MATCH($BY894,_REF_Treatment_Library!$A$2:$A$296,0)),""))</f>
        <v>Owner assigned; baseline evidence coverage; open critical gaps</v>
      </c>
      <c r="CD894" t="str">
        <f t="shared" si="242"/>
        <v>Treatment by capability=CAP_PRODUCT_SECURITY; band=Initial / absent; score=0.0; treatment=Establish</v>
      </c>
      <c r="CE894" t="str">
        <f>IF($E894="","",IFERROR(INDEX(_REF_Industry_Wording!$A$2:$A$70,MATCH(1,INDEX((_REF_Industry_Wording!$B$2:$B$70=$BT894)*(_REF_Industry_Wording!$C$2:$C$70=PV_Canonical_Industry)*(_REF_Industry_Wording!$K$2:$K$70="Yes"),0),0)),IFERROR(INDEX(_REF_Industry_Wording!$A$2:$A$70,MATCH(1,INDEX((_REF_Industry_Wording!$B$2:$B$70=$BT894)*(_REF_Industry_Wording!$C$2:$C$70="All")*(_REF_Industry_Wording!$K$2:$K$70="Yes"),0),0)),"")))</f>
        <v>IW-ALL-PRODUCT_SECURITY</v>
      </c>
      <c r="CF894" t="str">
        <f>IF($CE894="","",IFERROR(INDEX(_REF_Industry_Wording!$E$2:$E$70,MATCH($CE894,_REF_Industry_Wording!$A$2:$A$70,0)),""))</f>
        <v>Product security weakness</v>
      </c>
      <c r="CG894" t="str">
        <f>IF($CE894="","",IFERROR(INDEX(_REF_Industry_Wording!$F$2:$F$70,MATCH($CE894,_REF_Industry_Wording!$A$2:$A$70,0)),""))</f>
        <v>Strengthen Product security</v>
      </c>
      <c r="CH894" t="str">
        <f>IF($CE894="","",IFERROR(INDEX(_REF_Industry_Wording!$G$2:$G$70,MATCH($CE894,_REF_Industry_Wording!$A$2:$A$70,0)),""))</f>
        <v>Strengthen Product security using the selected maturity treatment, crisis scenario and evidence requirements.</v>
      </c>
      <c r="CI894" t="str">
        <f>IF($CE894="","",IFERROR(INDEX(_REF_Industry_Wording!$H$2:$H$70,MATCH($CE894,_REF_Industry_Wording!$A$2:$A$70,0)),""))</f>
        <v>Product security</v>
      </c>
      <c r="CJ894">
        <f>IF($CE894="","",IFERROR(INDEX(_REF_Industry_Wording!$I$2:$I$70,MATCH($CE894,_REF_Industry_Wording!$A$2:$A$70,0)),""))</f>
        <v>0</v>
      </c>
      <c r="CK894" t="str">
        <f>IF($CE894="","",IFERROR(INDEX(_REF_Industry_Wording!$J$2:$J$70,MATCH($CE894,_REF_Industry_Wording!$A$2:$A$70,0)),""))</f>
        <v>Product security</v>
      </c>
      <c r="CL894" t="str">
        <f t="shared" si="243"/>
        <v>Wording by industry=0; capability=CAP_PRODUCT_SECURITY; risk label=Product security weakness</v>
      </c>
      <c r="CM894" t="str">
        <f t="shared" si="244"/>
        <v>RISK-ONT-0395</v>
      </c>
      <c r="CN894" t="str">
        <f t="shared" si="245"/>
        <v>RISK-EVT-0395</v>
      </c>
      <c r="CO894" t="str">
        <f t="shared" si="246"/>
        <v>Cyber Privacy|Application and OT security|CYBE-027|CAP_PRODUCT_SECURITY</v>
      </c>
      <c r="CP894" t="str">
        <f t="shared" si="247"/>
        <v>Active</v>
      </c>
      <c r="CQ894" t="str">
        <f t="shared" si="248"/>
        <v>OK: capability-driven</v>
      </c>
      <c r="CR894" t="str">
        <f t="shared" si="249"/>
        <v>Risk ontology uses capability=CAP_PRODUCT_SECURITY; bridge=BRG-012; treatment=TRT-PRODUCT_SECURITY-INITIAL; wording=IW-ALL-PRODUCT_SECURITY</v>
      </c>
      <c r="CS894" t="str">
        <f t="shared" si="250"/>
        <v>Yes</v>
      </c>
    </row>
    <row r="895" spans="1:97" ht="69.900000000000006" customHeight="1">
      <c r="A895">
        <f>IF(OR($B895&lt;&gt;"Yes",$BS895=""),"",SUMPRODUCT(($B$500:$B$923="Yes")*ISNUMBER($BS$500:$BS$923)*($BS$500:$BS$923&gt;$BS895))+COUNTIFS($B$500:$B895,"Yes",$BS$500:$BS895,$BS895))</f>
        <v>44</v>
      </c>
      <c r="B895" t="str">
        <f t="shared" si="219"/>
        <v>Yes</v>
      </c>
      <c r="C895" t="s">
        <v>2986</v>
      </c>
      <c r="D895" t="s">
        <v>3027</v>
      </c>
      <c r="E895" t="s">
        <v>3149</v>
      </c>
      <c r="F895" t="s">
        <v>4460</v>
      </c>
      <c r="G895" t="str">
        <f>IF($H895="","",IFERROR(INDEX(_ENGINE_Risk!$H$5:$M$499,MATCH($E895,_ENGINE_Risk!$A$5:$A$499,0),$H895+1),""))</f>
        <v>Severe risk: application vulnerability testing through SAST, DAST, code review and penetration testing is not reliably controlled. During Cyberattack; Data breach; Ransomware; Insider threat, the organization may face security incident, data breach, privilege misuse, privacy violation and regulatory exposure with limited visibility or accountability.</v>
      </c>
      <c r="H895">
        <f>IFERROR(VALUE(INDEX(_DATA_Assessment_Model!$H$5:$H$884,MATCH($E895,_DATA_Assessment_Model!$A$5:$A$884,0))),"")</f>
        <v>0</v>
      </c>
      <c r="I895" t="str">
        <f>IF($H895="","",IFERROR(INDEX(_DATA_Assessment_Model!$L$5:$L$884,MATCH($E895,_DATA_Assessment_Model!$A$5:$A$884,0)),IF($H895&lt;=1,"Critical",IF($H895=2,"High",IF($H895=3,"Medium",IF($H895=4,"Low","Resilient"))))))</f>
        <v>Critical</v>
      </c>
      <c r="J895">
        <f t="shared" si="220"/>
        <v>3.7</v>
      </c>
      <c r="K895">
        <f t="shared" si="221"/>
        <v>5</v>
      </c>
      <c r="L895">
        <f t="shared" si="222"/>
        <v>18.5</v>
      </c>
      <c r="M895">
        <f t="shared" si="223"/>
        <v>4</v>
      </c>
      <c r="N895">
        <f>IF($H895="","",IFERROR(INDEX(_ENGINE_Risk!$T$5:$Y$499,MATCH($E895,_ENGINE_Risk!$A$5:$A$499,0),$H895+1),""))</f>
        <v>4</v>
      </c>
      <c r="O895">
        <f t="shared" si="224"/>
        <v>4.333333333333333</v>
      </c>
      <c r="P895">
        <f t="shared" si="225"/>
        <v>5</v>
      </c>
      <c r="Q895">
        <f t="shared" si="226"/>
        <v>5</v>
      </c>
      <c r="R895">
        <f t="shared" si="227"/>
        <v>5</v>
      </c>
      <c r="S895">
        <f t="shared" si="228"/>
        <v>1.21</v>
      </c>
      <c r="T895" t="str">
        <f>IF($H895="","",IFERROR(INDEX(_ENGINE_Risk!$N$5:$S$499,MATCH($E895,_ENGINE_Risk!$A$5:$A$499,0),$H895+1),""))</f>
        <v>Create an immediate risk owner, minimum control baseline and fallback procedure for application vulnerability testing through SAST, DAST, code review and penetration testing. Add it to the crisis risk register and collect first evidence.</v>
      </c>
      <c r="U895">
        <f>IFERROR(INDEX(_DATA_Assessment_Model!$G$5:$G$884,MATCH($E895,_DATA_Assessment_Model!$A$5:$A$884,0)),"")</f>
        <v>3</v>
      </c>
      <c r="V895">
        <f>IFERROR(INDEX(_DATA_Assessment_Model!$W$5:$W$884,MATCH($E895,_DATA_Assessment_Model!$A$5:$A$884,0)),"")</f>
        <v>5</v>
      </c>
      <c r="W895">
        <f>IFERROR(INDEX(_DATA_Assessment_Model!$X$5:$X$884,MATCH($E895,_DATA_Assessment_Model!$A$5:$A$884,0)),"")</f>
        <v>5</v>
      </c>
      <c r="X895">
        <f>IFERROR(INDEX(_DATA_Assessment_Model!$Y$5:$Y$884,MATCH($E895,_DATA_Assessment_Model!$A$5:$A$884,0)),"")</f>
        <v>5</v>
      </c>
      <c r="Y895" t="s">
        <v>2999</v>
      </c>
      <c r="Z895" t="s">
        <v>9811</v>
      </c>
      <c r="AA895" t="s">
        <v>3151</v>
      </c>
      <c r="AB895">
        <f>IFERROR(INDEX(_DATA_Assessment_Model!$U$5:$U$884,MATCH($E895,_DATA_Assessment_Model!$A$5:$A$884,0)),"")</f>
        <v>0</v>
      </c>
      <c r="AF895" t="s">
        <v>3150</v>
      </c>
      <c r="AO895">
        <f>IF($B895="Yes",IF(IFERROR(INDEX(_ENGINE_Crisis!$F$501:$F$517,MATCH($C895,_ENGINE_Crisis!$A$501:$A$517,0)),1)=0,1,IFERROR(INDEX(_ENGINE_Crisis!$F$501:$F$517,MATCH($C895,_ENGINE_Crisis!$A$501:$A$517,0)),1)),"")</f>
        <v>1</v>
      </c>
      <c r="AP895">
        <f t="shared" si="229"/>
        <v>18.5</v>
      </c>
      <c r="AQ895">
        <f t="shared" si="230"/>
        <v>1.21</v>
      </c>
      <c r="AR895" t="str">
        <f>IFERROR(INDEX(_ENGINE_Crisis!$E$41:$E$700,MATCH('Resilience &amp; Risk Scenario'!$B$6&amp;"|"&amp;$C895,_ENGINE_Crisis!$I$41:$I$700,0)),"")</f>
        <v/>
      </c>
      <c r="AS895" t="str">
        <f>IFERROR(INDEX(_ENGINE_Crisis!$G$41:$G$700,MATCH('Resilience &amp; Risk Scenario'!$B$6&amp;"|"&amp;$C895,_ENGINE_Crisis!$I$41:$I$700,0)),"")</f>
        <v/>
      </c>
      <c r="AT895" t="str">
        <f>IFERROR(INDEX(_ENGINE_Initiatives!$A$5:$A$532,MATCH(1,INDEX((_ENGINE_Initiatives!$B$5:$B$532=$C895)*(_ENGINE_Initiatives!$C$5:$C$532=$D895),0),0)),"")</f>
        <v>INI-067</v>
      </c>
      <c r="AU895" t="str">
        <f>IFERROR(INDEX(_ENGINE_Initiatives!$F$5:$F$532,MATCH(1,INDEX((_ENGINE_Initiatives!$B$5:$B$532=$C895)*(_ENGINE_Initiatives!$C$5:$C$532=$D895),0),0)),"")</f>
        <v>Strengthen application, API and OT security controls</v>
      </c>
      <c r="AV895">
        <f>IFERROR(INDEX(_ENGINE_Initiatives!$AC$5:$AC$532,MATCH(1,INDEX((_ENGINE_Initiatives!$B$5:$B$532=$C895)*(_ENGINE_Initiatives!$C$5:$C$532=$D895),0),0)),"")</f>
        <v>1.32</v>
      </c>
      <c r="AW895" t="str">
        <f>IFERROR(INDEX(_ENGINE_Initiatives!$AE$5:$AE$532,MATCH(1,INDEX((_ENGINE_Initiatives!$B$5:$B$532=$C895)*(_ENGINE_Initiatives!$C$5:$C$532=$D895),0),0)),"")</f>
        <v>12+ months</v>
      </c>
      <c r="AX895">
        <f>IF($B895="Yes",IFERROR((IF(SUMIFS(_REF_Model_Content!$E$1:$E$613,_REF_Model_Content!$A$1:$A$613,PV_Canonical_Industry,_REF_Model_Content!$B$1:$B$613,$C895)=0,1,SUMIFS(_REF_Model_Content!$E$1:$E$613,_REF_Model_Content!$A$1:$A$613,PV_Canonical_Industry,_REF_Model_Content!$B$1:$B$613,$C895))*IFERROR($BU895,1)),1),"")</f>
        <v>1</v>
      </c>
      <c r="AY895">
        <f t="shared" si="231"/>
        <v>18.5</v>
      </c>
      <c r="AZ895">
        <f t="shared" si="232"/>
        <v>1.21</v>
      </c>
      <c r="BB895" t="str">
        <f>IF($H895="","",IFERROR(INDEX(_ENGINE_Risk!$AE$5:$AE$499,MATCH($E895,_ENGINE_Risk!$A$5:$A$499,0)),"Medium"))</f>
        <v>Fast</v>
      </c>
      <c r="BC895">
        <f t="shared" si="233"/>
        <v>1.25</v>
      </c>
      <c r="BD895">
        <f t="shared" si="234"/>
        <v>1.21</v>
      </c>
      <c r="BF895">
        <f>IF(OR($H895="",$J895=""),"",IFERROR(VLOOKUP(ROUND($J895,0),_CONFIG_Model_Settings!$D$154:$E$158,2,0),""))</f>
        <v>0.5</v>
      </c>
      <c r="BG895">
        <f>IFERROR(IF(OR($H895="",$K895=""),"",ROUND('Company Profile'!$B$113*INDEX(_CONFIG_Model_Settings!$H$154:$H$158,MATCH(ROUND($K895,0),_CONFIG_Model_Settings!$G$154:$G$158,0)),0)),0)</f>
        <v>1875</v>
      </c>
      <c r="BH895">
        <f t="shared" si="235"/>
        <v>937.5</v>
      </c>
      <c r="BI895">
        <f t="shared" si="236"/>
        <v>937.5</v>
      </c>
      <c r="BJ895">
        <f>IF($E895="","",IFERROR(VLOOKUP($C895,_CONFIG_Risk_Calibration!$A$5:$H$21,2,FALSE),3))</f>
        <v>3</v>
      </c>
      <c r="BK895">
        <f>IF($E895="","",IFERROR(VLOOKUP($C895,_CONFIG_Risk_Calibration!$A$5:$H$21,3,FALSE),0))</f>
        <v>0</v>
      </c>
      <c r="BL895">
        <f>IF($E895="","",IFERROR(VLOOKUP($C895,_CONFIG_Risk_Calibration!$A$5:$H$21,4,FALSE),3))</f>
        <v>3</v>
      </c>
      <c r="BM895">
        <f>IF($E895="","",IFERROR(VLOOKUP($C895,_CONFIG_Risk_Calibration!$A$5:$H$21,5,FALSE),3))</f>
        <v>4</v>
      </c>
      <c r="BN895" t="str">
        <f>IF($E895="","",IFERROR(VLOOKUP($C895,_CONFIG_Risk_Calibration!$A$5:$H$21,6,FALSE),"No"))</f>
        <v>Yes</v>
      </c>
      <c r="BO895">
        <f>IF($E895="","",IFERROR(VLOOKUP($C895,_CONFIG_Risk_Calibration!$A$5:$H$21,7,FALSE),1))</f>
        <v>5</v>
      </c>
      <c r="BP895">
        <f>IF($H895="","",MAX(1,MIN(5,((6-$H895)*0.45)+($BJ895*0.2)+('Resilience &amp; Risk Scenario'!$B$7*0.15)+($BK895*0.1)+($BL895*0.05)+(IF($BB895="Fast",5,IF($BB895="Slow",1,3))*0.05))))</f>
        <v>3.7</v>
      </c>
      <c r="BQ895">
        <f t="shared" si="237"/>
        <v>5</v>
      </c>
      <c r="BR895">
        <f t="shared" si="238"/>
        <v>18.5</v>
      </c>
      <c r="BS895">
        <f t="shared" si="239"/>
        <v>25.44</v>
      </c>
      <c r="BT895" t="str">
        <f>IFERROR(INDEX(_REF_Capability_Bridge!$D:$D,MATCH($C895&amp;"|"&amp;$D895,_REF_Capability_Bridge!$J:$J,0)),IFERROR(INDEX(_REF_Capability_Bridge!$D:$D,MATCH($C895&amp;"|",_REF_Capability_Bridge!$J:$J,0)),"CAP_GENERIC"))</f>
        <v>CAP_PRODUCT_SECURITY</v>
      </c>
      <c r="BU895">
        <f>IFERROR(IFERROR(INDEX(_ENGINE_Relevance!$L:$L,MATCH($BT895,_ENGINE_Relevance!$B:$B,0)),1),1)</f>
        <v>1</v>
      </c>
      <c r="BV895" t="str">
        <f>IFERROR(INDEX(_REF_Capability_Bridge!$A:$A,MATCH($C895&amp;"|"&amp;$D895,_REF_Capability_Bridge!$J:$J,0)),IFERROR(INDEX(_REF_Capability_Bridge!$A:$A,MATCH($C895&amp;"|",_REF_Capability_Bridge!$J:$J,0)),"No bridge"))</f>
        <v>BRG-012</v>
      </c>
      <c r="BW895" t="str">
        <f t="shared" si="240"/>
        <v>Capability relevance neutral</v>
      </c>
      <c r="BX895" t="str">
        <f t="shared" si="241"/>
        <v>Initial / absent</v>
      </c>
      <c r="BY895" t="str">
        <f>IF($E895="","",IFERROR(INDEX(_REF_Treatment_Library!$A$2:$A$296,MATCH(1,INDEX((_REF_Treatment_Library!$B$2:$B$296=$BT895)*(_REF_Treatment_Library!$C$2:$C$296=PV_Canonical_Industry)*(_REF_Treatment_Library!$E$2:$E$296&lt;=N($H895))*(_REF_Treatment_Library!$F$2:$F$296&gt;=N($H895))*(_REF_Treatment_Library!$O$2:$O$296="Yes"),0),0)),IFERROR(INDEX(_REF_Treatment_Library!$A$2:$A$296,MATCH(1,INDEX((_REF_Treatment_Library!$B$2:$B$296=$BT895)*(_REF_Treatment_Library!$C$2:$C$296="All")*(_REF_Treatment_Library!$E$2:$E$296&lt;=N($H895))*(_REF_Treatment_Library!$F$2:$F$296&gt;=N($H895))*(_REF_Treatment_Library!$O$2:$O$296="Yes"),0),0)),"")))</f>
        <v>TRT-PRODUCT_SECURITY-INITIAL</v>
      </c>
      <c r="BZ895" t="str">
        <f>IF($BY895="","",IFERROR(INDEX(_REF_Treatment_Library!$H$2:$H$296,MATCH($BY895,_REF_Treatment_Library!$A$2:$A$296,0)),""))</f>
        <v>Establish</v>
      </c>
      <c r="CA895" t="str">
        <f>IF($BY895="","",IFERROR(INDEX(_REF_Treatment_Library!$I$2:$I$296,MATCH($BY895,_REF_Treatment_Library!$A$2:$A$296,0)),""))</f>
        <v>Establish baseline controls for Product security</v>
      </c>
      <c r="CB895" t="str">
        <f>IF($BY895="","",IFERROR(INDEX(_REF_Treatment_Library!$K$2:$K$296,MATCH($BY895,_REF_Treatment_Library!$A$2:$A$296,0)),""))</f>
        <v>Named owner, baseline process, minimum control checklist, first evidence package</v>
      </c>
      <c r="CC895" t="str">
        <f>IF($BY895="","",IFERROR(INDEX(_REF_Treatment_Library!$L$2:$L$296,MATCH($BY895,_REF_Treatment_Library!$A$2:$A$296,0)),""))</f>
        <v>Owner assigned; baseline evidence coverage; open critical gaps</v>
      </c>
      <c r="CD895" t="str">
        <f t="shared" si="242"/>
        <v>Treatment by capability=CAP_PRODUCT_SECURITY; band=Initial / absent; score=0.0; treatment=Establish</v>
      </c>
      <c r="CE895" t="str">
        <f>IF($E895="","",IFERROR(INDEX(_REF_Industry_Wording!$A$2:$A$70,MATCH(1,INDEX((_REF_Industry_Wording!$B$2:$B$70=$BT895)*(_REF_Industry_Wording!$C$2:$C$70=PV_Canonical_Industry)*(_REF_Industry_Wording!$K$2:$K$70="Yes"),0),0)),IFERROR(INDEX(_REF_Industry_Wording!$A$2:$A$70,MATCH(1,INDEX((_REF_Industry_Wording!$B$2:$B$70=$BT895)*(_REF_Industry_Wording!$C$2:$C$70="All")*(_REF_Industry_Wording!$K$2:$K$70="Yes"),0),0)),"")))</f>
        <v>IW-ALL-PRODUCT_SECURITY</v>
      </c>
      <c r="CF895" t="str">
        <f>IF($CE895="","",IFERROR(INDEX(_REF_Industry_Wording!$E$2:$E$70,MATCH($CE895,_REF_Industry_Wording!$A$2:$A$70,0)),""))</f>
        <v>Product security weakness</v>
      </c>
      <c r="CG895" t="str">
        <f>IF($CE895="","",IFERROR(INDEX(_REF_Industry_Wording!$F$2:$F$70,MATCH($CE895,_REF_Industry_Wording!$A$2:$A$70,0)),""))</f>
        <v>Strengthen Product security</v>
      </c>
      <c r="CH895" t="str">
        <f>IF($CE895="","",IFERROR(INDEX(_REF_Industry_Wording!$G$2:$G$70,MATCH($CE895,_REF_Industry_Wording!$A$2:$A$70,0)),""))</f>
        <v>Strengthen Product security using the selected maturity treatment, crisis scenario and evidence requirements.</v>
      </c>
      <c r="CI895" t="str">
        <f>IF($CE895="","",IFERROR(INDEX(_REF_Industry_Wording!$H$2:$H$70,MATCH($CE895,_REF_Industry_Wording!$A$2:$A$70,0)),""))</f>
        <v>Product security</v>
      </c>
      <c r="CJ895">
        <f>IF($CE895="","",IFERROR(INDEX(_REF_Industry_Wording!$I$2:$I$70,MATCH($CE895,_REF_Industry_Wording!$A$2:$A$70,0)),""))</f>
        <v>0</v>
      </c>
      <c r="CK895" t="str">
        <f>IF($CE895="","",IFERROR(INDEX(_REF_Industry_Wording!$J$2:$J$70,MATCH($CE895,_REF_Industry_Wording!$A$2:$A$70,0)),""))</f>
        <v>Product security</v>
      </c>
      <c r="CL895" t="str">
        <f t="shared" si="243"/>
        <v>Wording by industry=0; capability=CAP_PRODUCT_SECURITY; risk label=Product security weakness</v>
      </c>
      <c r="CM895" t="str">
        <f t="shared" si="244"/>
        <v>RISK-ONT-0396</v>
      </c>
      <c r="CN895" t="str">
        <f t="shared" si="245"/>
        <v>RISK-EVT-0396</v>
      </c>
      <c r="CO895" t="str">
        <f t="shared" si="246"/>
        <v>Cyber Privacy|Application and OT security|CYBE-028|CAP_PRODUCT_SECURITY</v>
      </c>
      <c r="CP895" t="str">
        <f t="shared" si="247"/>
        <v>Active</v>
      </c>
      <c r="CQ895" t="str">
        <f t="shared" si="248"/>
        <v>OK: capability-driven</v>
      </c>
      <c r="CR895" t="str">
        <f t="shared" si="249"/>
        <v>Risk ontology uses capability=CAP_PRODUCT_SECURITY; bridge=BRG-012; treatment=TRT-PRODUCT_SECURITY-INITIAL; wording=IW-ALL-PRODUCT_SECURITY</v>
      </c>
      <c r="CS895" t="str">
        <f t="shared" si="250"/>
        <v>Yes</v>
      </c>
    </row>
    <row r="896" spans="1:97" ht="69.900000000000006" customHeight="1">
      <c r="A896">
        <f>IF(OR($B896&lt;&gt;"Yes",$BS896=""),"",SUMPRODUCT(($B$500:$B$923="Yes")*ISNUMBER($BS$500:$BS$923)*($BS$500:$BS$923&gt;$BS896))+COUNTIFS($B$500:$B896,"Yes",$BS$500:$BS896,$BS896))</f>
        <v>45</v>
      </c>
      <c r="B896" t="str">
        <f t="shared" si="219"/>
        <v>Yes</v>
      </c>
      <c r="C896" t="s">
        <v>2986</v>
      </c>
      <c r="D896" t="s">
        <v>3031</v>
      </c>
      <c r="E896" t="s">
        <v>3152</v>
      </c>
      <c r="F896" t="s">
        <v>4460</v>
      </c>
      <c r="G896" t="str">
        <f>IF($H896="","",IFERROR(INDEX(_ENGINE_Risk!$H$5:$M$499,MATCH($E896,_ENGINE_Risk!$A$5:$A$499,0),$H896+1),""))</f>
        <v>Severe risk: privacy governance with roles, lawful basis, DPIA, RoPA and data subject processes is not reliably controlled. During Cyberattack; Data breach; Ransomware; Insider threat, the organization may face security incident, data breach, privilege misuse, privacy violation and regulatory exposure with limited visibility or accountability.</v>
      </c>
      <c r="H896">
        <f>IFERROR(VALUE(INDEX(_DATA_Assessment_Model!$H$5:$H$884,MATCH($E896,_DATA_Assessment_Model!$A$5:$A$884,0))),"")</f>
        <v>0</v>
      </c>
      <c r="I896" t="str">
        <f>IF($H896="","",IFERROR(INDEX(_DATA_Assessment_Model!$L$5:$L$884,MATCH($E896,_DATA_Assessment_Model!$A$5:$A$884,0)),IF($H896&lt;=1,"Critical",IF($H896=2,"High",IF($H896=3,"Medium",IF($H896=4,"Low","Resilient"))))))</f>
        <v>Critical</v>
      </c>
      <c r="J896">
        <f t="shared" si="220"/>
        <v>3.7</v>
      </c>
      <c r="K896">
        <f t="shared" si="221"/>
        <v>5</v>
      </c>
      <c r="L896">
        <f t="shared" si="222"/>
        <v>18.5</v>
      </c>
      <c r="M896">
        <f t="shared" si="223"/>
        <v>4</v>
      </c>
      <c r="N896">
        <f>IF($H896="","",IFERROR(INDEX(_ENGINE_Risk!$T$5:$Y$499,MATCH($E896,_ENGINE_Risk!$A$5:$A$499,0),$H896+1),""))</f>
        <v>4</v>
      </c>
      <c r="O896">
        <f t="shared" si="224"/>
        <v>4.666666666666667</v>
      </c>
      <c r="P896">
        <f t="shared" si="225"/>
        <v>5</v>
      </c>
      <c r="Q896">
        <f t="shared" si="226"/>
        <v>5</v>
      </c>
      <c r="R896">
        <f t="shared" si="227"/>
        <v>5</v>
      </c>
      <c r="S896">
        <f t="shared" si="228"/>
        <v>1.23</v>
      </c>
      <c r="T896" t="str">
        <f>IF($H896="","",IFERROR(INDEX(_ENGINE_Risk!$N$5:$S$499,MATCH($E896,_ENGINE_Risk!$A$5:$A$499,0),$H896+1),""))</f>
        <v>Create an immediate risk owner, minimum control baseline and fallback procedure for privacy governance with roles, lawful basis, DPIA, RoPA and data subject processes. Add it to the crisis risk register and collect first evidence.</v>
      </c>
      <c r="U896">
        <f>IFERROR(INDEX(_DATA_Assessment_Model!$G$5:$G$884,MATCH($E896,_DATA_Assessment_Model!$A$5:$A$884,0)),"")</f>
        <v>4</v>
      </c>
      <c r="V896">
        <f>IFERROR(INDEX(_DATA_Assessment_Model!$W$5:$W$884,MATCH($E896,_DATA_Assessment_Model!$A$5:$A$884,0)),"")</f>
        <v>5</v>
      </c>
      <c r="W896">
        <f>IFERROR(INDEX(_DATA_Assessment_Model!$X$5:$X$884,MATCH($E896,_DATA_Assessment_Model!$A$5:$A$884,0)),"")</f>
        <v>5</v>
      </c>
      <c r="X896">
        <f>IFERROR(INDEX(_DATA_Assessment_Model!$Y$5:$Y$884,MATCH($E896,_DATA_Assessment_Model!$A$5:$A$884,0)),"")</f>
        <v>5</v>
      </c>
      <c r="Y896" t="s">
        <v>2999</v>
      </c>
      <c r="Z896" t="s">
        <v>9811</v>
      </c>
      <c r="AA896" t="s">
        <v>3154</v>
      </c>
      <c r="AB896">
        <f>IFERROR(INDEX(_DATA_Assessment_Model!$U$5:$U$884,MATCH($E896,_DATA_Assessment_Model!$A$5:$A$884,0)),"")</f>
        <v>0</v>
      </c>
      <c r="AF896" t="s">
        <v>3153</v>
      </c>
      <c r="AO896">
        <f>IF($B896="Yes",IF(IFERROR(INDEX(_ENGINE_Crisis!$F$501:$F$517,MATCH($C896,_ENGINE_Crisis!$A$501:$A$517,0)),1)=0,1,IFERROR(INDEX(_ENGINE_Crisis!$F$501:$F$517,MATCH($C896,_ENGINE_Crisis!$A$501:$A$517,0)),1)),"")</f>
        <v>1</v>
      </c>
      <c r="AP896">
        <f t="shared" si="229"/>
        <v>18.5</v>
      </c>
      <c r="AQ896">
        <f t="shared" si="230"/>
        <v>1.23</v>
      </c>
      <c r="AR896" t="str">
        <f>IFERROR(INDEX(_ENGINE_Crisis!$E$41:$E$700,MATCH('Resilience &amp; Risk Scenario'!$B$6&amp;"|"&amp;$C896,_ENGINE_Crisis!$I$41:$I$700,0)),"")</f>
        <v/>
      </c>
      <c r="AS896" t="str">
        <f>IFERROR(INDEX(_ENGINE_Crisis!$G$41:$G$700,MATCH('Resilience &amp; Risk Scenario'!$B$6&amp;"|"&amp;$C896,_ENGINE_Crisis!$I$41:$I$700,0)),"")</f>
        <v/>
      </c>
      <c r="AT896" t="str">
        <f>IFERROR(INDEX(_ENGINE_Initiatives!$A$5:$A$532,MATCH(1,INDEX((_ENGINE_Initiatives!$B$5:$B$532=$C896)*(_ENGINE_Initiatives!$C$5:$C$532=$D896),0),0)),"")</f>
        <v>INI-068</v>
      </c>
      <c r="AU896" t="str">
        <f>IFERROR(INDEX(_ENGINE_Initiatives!$F$5:$F$532,MATCH(1,INDEX((_ENGINE_Initiatives!$B$5:$B$532=$C896)*(_ENGINE_Initiatives!$C$5:$C$532=$D896),0),0)),"")</f>
        <v>Implement privacy governance, DPIA and personal-data controls</v>
      </c>
      <c r="AV896">
        <f>IFERROR(INDEX(_ENGINE_Initiatives!$AC$5:$AC$532,MATCH(1,INDEX((_ENGINE_Initiatives!$B$5:$B$532=$C896)*(_ENGINE_Initiatives!$C$5:$C$532=$D896),0),0)),"")</f>
        <v>1.32</v>
      </c>
      <c r="AW896" t="str">
        <f>IFERROR(INDEX(_ENGINE_Initiatives!$AE$5:$AE$532,MATCH(1,INDEX((_ENGINE_Initiatives!$B$5:$B$532=$C896)*(_ENGINE_Initiatives!$C$5:$C$532=$D896),0),0)),"")</f>
        <v>12+ months</v>
      </c>
      <c r="AX896">
        <f>IF($B896="Yes",IFERROR((IF(SUMIFS(_REF_Model_Content!$E$1:$E$613,_REF_Model_Content!$A$1:$A$613,PV_Canonical_Industry,_REF_Model_Content!$B$1:$B$613,$C896)=0,1,SUMIFS(_REF_Model_Content!$E$1:$E$613,_REF_Model_Content!$A$1:$A$613,PV_Canonical_Industry,_REF_Model_Content!$B$1:$B$613,$C896))*IFERROR($BU896,1)),1),"")</f>
        <v>1</v>
      </c>
      <c r="AY896">
        <f t="shared" si="231"/>
        <v>18.5</v>
      </c>
      <c r="AZ896">
        <f t="shared" si="232"/>
        <v>1.23</v>
      </c>
      <c r="BB896" t="str">
        <f>IF($H896="","",IFERROR(INDEX(_ENGINE_Risk!$AE$5:$AE$499,MATCH($E896,_ENGINE_Risk!$A$5:$A$499,0)),"Medium"))</f>
        <v>Fast</v>
      </c>
      <c r="BC896">
        <f t="shared" si="233"/>
        <v>1.25</v>
      </c>
      <c r="BD896">
        <f t="shared" si="234"/>
        <v>1.23</v>
      </c>
      <c r="BF896">
        <f>IF(OR($H896="",$J896=""),"",IFERROR(VLOOKUP(ROUND($J896,0),_CONFIG_Model_Settings!$D$154:$E$158,2,0),""))</f>
        <v>0.5</v>
      </c>
      <c r="BG896">
        <f>IFERROR(IF(OR($H896="",$K896=""),"",ROUND('Company Profile'!$B$113*INDEX(_CONFIG_Model_Settings!$H$154:$H$158,MATCH(ROUND($K896,0),_CONFIG_Model_Settings!$G$154:$G$158,0)),0)),0)</f>
        <v>1875</v>
      </c>
      <c r="BH896">
        <f t="shared" si="235"/>
        <v>937.5</v>
      </c>
      <c r="BI896">
        <f t="shared" si="236"/>
        <v>937.5</v>
      </c>
      <c r="BJ896">
        <f>IF($E896="","",IFERROR(VLOOKUP($C896,_CONFIG_Risk_Calibration!$A$5:$H$21,2,FALSE),3))</f>
        <v>3</v>
      </c>
      <c r="BK896">
        <f>IF($E896="","",IFERROR(VLOOKUP($C896,_CONFIG_Risk_Calibration!$A$5:$H$21,3,FALSE),0))</f>
        <v>0</v>
      </c>
      <c r="BL896">
        <f>IF($E896="","",IFERROR(VLOOKUP($C896,_CONFIG_Risk_Calibration!$A$5:$H$21,4,FALSE),3))</f>
        <v>3</v>
      </c>
      <c r="BM896">
        <f>IF($E896="","",IFERROR(VLOOKUP($C896,_CONFIG_Risk_Calibration!$A$5:$H$21,5,FALSE),3))</f>
        <v>4</v>
      </c>
      <c r="BN896" t="str">
        <f>IF($E896="","",IFERROR(VLOOKUP($C896,_CONFIG_Risk_Calibration!$A$5:$H$21,6,FALSE),"No"))</f>
        <v>Yes</v>
      </c>
      <c r="BO896">
        <f>IF($E896="","",IFERROR(VLOOKUP($C896,_CONFIG_Risk_Calibration!$A$5:$H$21,7,FALSE),1))</f>
        <v>5</v>
      </c>
      <c r="BP896">
        <f>IF($H896="","",MAX(1,MIN(5,((6-$H896)*0.45)+($BJ896*0.2)+('Resilience &amp; Risk Scenario'!$B$7*0.15)+($BK896*0.1)+($BL896*0.05)+(IF($BB896="Fast",5,IF($BB896="Slow",1,3))*0.05))))</f>
        <v>3.7</v>
      </c>
      <c r="BQ896">
        <f t="shared" si="237"/>
        <v>5</v>
      </c>
      <c r="BR896">
        <f t="shared" si="238"/>
        <v>18.5</v>
      </c>
      <c r="BS896">
        <f t="shared" si="239"/>
        <v>25.44</v>
      </c>
      <c r="BT896" t="str">
        <f>IFERROR(INDEX(_REF_Capability_Bridge!$D:$D,MATCH($C896&amp;"|"&amp;$D896,_REF_Capability_Bridge!$J:$J,0)),IFERROR(INDEX(_REF_Capability_Bridge!$D:$D,MATCH($C896&amp;"|",_REF_Capability_Bridge!$J:$J,0)),"CAP_GENERIC"))</f>
        <v>CAP_LEGAL_BREACH_RESPONSE</v>
      </c>
      <c r="BU896">
        <f>IFERROR(IFERROR(INDEX(_ENGINE_Relevance!$L:$L,MATCH($BT896,_ENGINE_Relevance!$B:$B,0)),1),1)</f>
        <v>1</v>
      </c>
      <c r="BV896" t="str">
        <f>IFERROR(INDEX(_REF_Capability_Bridge!$A:$A,MATCH($C896&amp;"|"&amp;$D896,_REF_Capability_Bridge!$J:$J,0)),IFERROR(INDEX(_REF_Capability_Bridge!$A:$A,MATCH($C896&amp;"|",_REF_Capability_Bridge!$J:$J,0)),"No bridge"))</f>
        <v>BRG-015</v>
      </c>
      <c r="BW896" t="str">
        <f t="shared" si="240"/>
        <v>Capability relevance neutral</v>
      </c>
      <c r="BX896" t="str">
        <f t="shared" si="241"/>
        <v>Initial / absent</v>
      </c>
      <c r="BY896" t="str">
        <f>IF($E896="","",IFERROR(INDEX(_REF_Treatment_Library!$A$2:$A$296,MATCH(1,INDEX((_REF_Treatment_Library!$B$2:$B$296=$BT896)*(_REF_Treatment_Library!$C$2:$C$296=PV_Canonical_Industry)*(_REF_Treatment_Library!$E$2:$E$296&lt;=N($H896))*(_REF_Treatment_Library!$F$2:$F$296&gt;=N($H896))*(_REF_Treatment_Library!$O$2:$O$296="Yes"),0),0)),IFERROR(INDEX(_REF_Treatment_Library!$A$2:$A$296,MATCH(1,INDEX((_REF_Treatment_Library!$B$2:$B$296=$BT896)*(_REF_Treatment_Library!$C$2:$C$296="All")*(_REF_Treatment_Library!$E$2:$E$296&lt;=N($H896))*(_REF_Treatment_Library!$F$2:$F$296&gt;=N($H896))*(_REF_Treatment_Library!$O$2:$O$296="Yes"),0),0)),"")))</f>
        <v>TRT-LEGAL_BREACH_RESPONSE-INITIAL</v>
      </c>
      <c r="BZ896" t="str">
        <f>IF($BY896="","",IFERROR(INDEX(_REF_Treatment_Library!$H$2:$H$296,MATCH($BY896,_REF_Treatment_Library!$A$2:$A$296,0)),""))</f>
        <v>Establish</v>
      </c>
      <c r="CA896" t="str">
        <f>IF($BY896="","",IFERROR(INDEX(_REF_Treatment_Library!$I$2:$I$296,MATCH($BY896,_REF_Treatment_Library!$A$2:$A$296,0)),""))</f>
        <v>Establish baseline controls for Breach / notification</v>
      </c>
      <c r="CB896" t="str">
        <f>IF($BY896="","",IFERROR(INDEX(_REF_Treatment_Library!$K$2:$K$296,MATCH($BY896,_REF_Treatment_Library!$A$2:$A$296,0)),""))</f>
        <v>Named owner, baseline process, minimum control checklist, first evidence package</v>
      </c>
      <c r="CC896" t="str">
        <f>IF($BY896="","",IFERROR(INDEX(_REF_Treatment_Library!$L$2:$L$296,MATCH($BY896,_REF_Treatment_Library!$A$2:$A$296,0)),""))</f>
        <v>Owner assigned; baseline evidence coverage; open critical gaps</v>
      </c>
      <c r="CD896" t="str">
        <f t="shared" si="242"/>
        <v>Treatment by capability=CAP_LEGAL_BREACH_RESPONSE; band=Initial / absent; score=0.0; treatment=Establish</v>
      </c>
      <c r="CE896" t="str">
        <f>IF($E896="","",IFERROR(INDEX(_REF_Industry_Wording!$A$2:$A$70,MATCH(1,INDEX((_REF_Industry_Wording!$B$2:$B$70=$BT896)*(_REF_Industry_Wording!$C$2:$C$70=PV_Canonical_Industry)*(_REF_Industry_Wording!$K$2:$K$70="Yes"),0),0)),IFERROR(INDEX(_REF_Industry_Wording!$A$2:$A$70,MATCH(1,INDEX((_REF_Industry_Wording!$B$2:$B$70=$BT896)*(_REF_Industry_Wording!$C$2:$C$70="All")*(_REF_Industry_Wording!$K$2:$K$70="Yes"),0),0)),"")))</f>
        <v>IW-ALL-LEGAL_BREACH_RESPONSE</v>
      </c>
      <c r="CF896" t="str">
        <f>IF($CE896="","",IFERROR(INDEX(_REF_Industry_Wording!$E$2:$E$70,MATCH($CE896,_REF_Industry_Wording!$A$2:$A$70,0)),""))</f>
        <v>Breach / notification weakness</v>
      </c>
      <c r="CG896" t="str">
        <f>IF($CE896="","",IFERROR(INDEX(_REF_Industry_Wording!$F$2:$F$70,MATCH($CE896,_REF_Industry_Wording!$A$2:$A$70,0)),""))</f>
        <v>Strengthen Breach / notification</v>
      </c>
      <c r="CH896" t="str">
        <f>IF($CE896="","",IFERROR(INDEX(_REF_Industry_Wording!$G$2:$G$70,MATCH($CE896,_REF_Industry_Wording!$A$2:$A$70,0)),""))</f>
        <v>Strengthen Breach / notification using the selected maturity treatment, crisis scenario and evidence requirements.</v>
      </c>
      <c r="CI896" t="str">
        <f>IF($CE896="","",IFERROR(INDEX(_REF_Industry_Wording!$H$2:$H$70,MATCH($CE896,_REF_Industry_Wording!$A$2:$A$70,0)),""))</f>
        <v>Breach / notification</v>
      </c>
      <c r="CJ896">
        <f>IF($CE896="","",IFERROR(INDEX(_REF_Industry_Wording!$I$2:$I$70,MATCH($CE896,_REF_Industry_Wording!$A$2:$A$70,0)),""))</f>
        <v>0</v>
      </c>
      <c r="CK896" t="str">
        <f>IF($CE896="","",IFERROR(INDEX(_REF_Industry_Wording!$J$2:$J$70,MATCH($CE896,_REF_Industry_Wording!$A$2:$A$70,0)),""))</f>
        <v>Breach / notification</v>
      </c>
      <c r="CL896" t="str">
        <f t="shared" si="243"/>
        <v>Wording by industry=0; capability=CAP_LEGAL_BREACH_RESPONSE; risk label=Breach / notification weakness</v>
      </c>
      <c r="CM896" t="str">
        <f t="shared" si="244"/>
        <v>RISK-ONT-0397</v>
      </c>
      <c r="CN896" t="str">
        <f t="shared" si="245"/>
        <v>RISK-EVT-0397</v>
      </c>
      <c r="CO896" t="str">
        <f t="shared" si="246"/>
        <v>Cyber Privacy|Privacy|CYBE-032|CAP_LEGAL_BREACH_RESPONSE</v>
      </c>
      <c r="CP896" t="str">
        <f t="shared" si="247"/>
        <v>Active</v>
      </c>
      <c r="CQ896" t="str">
        <f t="shared" si="248"/>
        <v>OK: capability-driven</v>
      </c>
      <c r="CR896" t="str">
        <f t="shared" si="249"/>
        <v>Risk ontology uses capability=CAP_LEGAL_BREACH_RESPONSE; bridge=BRG-015; treatment=TRT-LEGAL_BREACH_RESPONSE-INITIAL; wording=IW-ALL-LEGAL_BREACH_RESPONSE</v>
      </c>
      <c r="CS896" t="str">
        <f t="shared" si="250"/>
        <v>Yes</v>
      </c>
    </row>
    <row r="897" spans="1:97" ht="69.900000000000006" customHeight="1">
      <c r="A897">
        <f>IF(OR($B897&lt;&gt;"Yes",$BS897=""),"",SUMPRODUCT(($B$500:$B$923="Yes")*ISNUMBER($BS$500:$BS$923)*($BS$500:$BS$923&gt;$BS897))+COUNTIFS($B$500:$B897,"Yes",$BS$500:$BS897,$BS897))</f>
        <v>46</v>
      </c>
      <c r="B897" t="str">
        <f t="shared" si="219"/>
        <v>Yes</v>
      </c>
      <c r="C897" t="s">
        <v>2986</v>
      </c>
      <c r="D897" t="s">
        <v>3031</v>
      </c>
      <c r="E897" t="s">
        <v>3161</v>
      </c>
      <c r="F897" t="s">
        <v>4460</v>
      </c>
      <c r="G897" t="str">
        <f>IF($H897="","",IFERROR(INDEX(_ENGINE_Risk!$H$5:$M$499,MATCH($E897,_ENGINE_Risk!$A$5:$A$499,0),$H897+1),""))</f>
        <v>Severe risk: personal data breach detection, assessment and notification within required timelines is not reliably controlled. During Cyberattack; Data breach; Ransomware; Insider threat, the organization may face security incident, data breach, privilege misuse, privacy violation and regulatory exposure with limited visibility or accountability.</v>
      </c>
      <c r="H897">
        <f>IFERROR(VALUE(INDEX(_DATA_Assessment_Model!$H$5:$H$884,MATCH($E897,_DATA_Assessment_Model!$A$5:$A$884,0))),"")</f>
        <v>0</v>
      </c>
      <c r="I897" t="str">
        <f>IF($H897="","",IFERROR(INDEX(_DATA_Assessment_Model!$L$5:$L$884,MATCH($E897,_DATA_Assessment_Model!$A$5:$A$884,0)),IF($H897&lt;=1,"Critical",IF($H897=2,"High",IF($H897=3,"Medium",IF($H897=4,"Low","Resilient"))))))</f>
        <v>Critical</v>
      </c>
      <c r="J897">
        <f t="shared" si="220"/>
        <v>3.7</v>
      </c>
      <c r="K897">
        <f t="shared" si="221"/>
        <v>5</v>
      </c>
      <c r="L897">
        <f t="shared" si="222"/>
        <v>18.5</v>
      </c>
      <c r="M897">
        <f t="shared" si="223"/>
        <v>4</v>
      </c>
      <c r="N897">
        <f>IF($H897="","",IFERROR(INDEX(_ENGINE_Risk!$T$5:$Y$499,MATCH($E897,_ENGINE_Risk!$A$5:$A$499,0),$H897+1),""))</f>
        <v>4</v>
      </c>
      <c r="O897">
        <f t="shared" si="224"/>
        <v>4.666666666666667</v>
      </c>
      <c r="P897">
        <f t="shared" si="225"/>
        <v>5</v>
      </c>
      <c r="Q897">
        <f t="shared" si="226"/>
        <v>5</v>
      </c>
      <c r="R897">
        <f t="shared" si="227"/>
        <v>5</v>
      </c>
      <c r="S897">
        <f t="shared" si="228"/>
        <v>1.23</v>
      </c>
      <c r="T897" t="str">
        <f>IF($H897="","",IFERROR(INDEX(_ENGINE_Risk!$N$5:$S$499,MATCH($E897,_ENGINE_Risk!$A$5:$A$499,0),$H897+1),""))</f>
        <v>Create an immediate risk owner, minimum control baseline and fallback procedure for personal data breach detection, assessment and notification within required timelines. Add it to the crisis risk register and collect first evidence.</v>
      </c>
      <c r="U897">
        <f>IFERROR(INDEX(_DATA_Assessment_Model!$G$5:$G$884,MATCH($E897,_DATA_Assessment_Model!$A$5:$A$884,0)),"")</f>
        <v>4</v>
      </c>
      <c r="V897">
        <f>IFERROR(INDEX(_DATA_Assessment_Model!$W$5:$W$884,MATCH($E897,_DATA_Assessment_Model!$A$5:$A$884,0)),"")</f>
        <v>5</v>
      </c>
      <c r="W897">
        <f>IFERROR(INDEX(_DATA_Assessment_Model!$X$5:$X$884,MATCH($E897,_DATA_Assessment_Model!$A$5:$A$884,0)),"")</f>
        <v>5</v>
      </c>
      <c r="X897">
        <f>IFERROR(INDEX(_DATA_Assessment_Model!$Y$5:$Y$884,MATCH($E897,_DATA_Assessment_Model!$A$5:$A$884,0)),"")</f>
        <v>5</v>
      </c>
      <c r="Y897" t="s">
        <v>2999</v>
      </c>
      <c r="Z897" t="s">
        <v>9811</v>
      </c>
      <c r="AA897" t="s">
        <v>3163</v>
      </c>
      <c r="AB897">
        <f>IFERROR(INDEX(_DATA_Assessment_Model!$U$5:$U$884,MATCH($E897,_DATA_Assessment_Model!$A$5:$A$884,0)),"")</f>
        <v>0</v>
      </c>
      <c r="AF897" t="s">
        <v>3162</v>
      </c>
      <c r="AO897">
        <f>IF($B897="Yes",IF(IFERROR(INDEX(_ENGINE_Crisis!$F$501:$F$517,MATCH($C897,_ENGINE_Crisis!$A$501:$A$517,0)),1)=0,1,IFERROR(INDEX(_ENGINE_Crisis!$F$501:$F$517,MATCH($C897,_ENGINE_Crisis!$A$501:$A$517,0)),1)),"")</f>
        <v>1</v>
      </c>
      <c r="AP897">
        <f t="shared" si="229"/>
        <v>18.5</v>
      </c>
      <c r="AQ897">
        <f t="shared" si="230"/>
        <v>1.23</v>
      </c>
      <c r="AR897" t="str">
        <f>IFERROR(INDEX(_ENGINE_Crisis!$E$41:$E$700,MATCH('Resilience &amp; Risk Scenario'!$B$6&amp;"|"&amp;$C897,_ENGINE_Crisis!$I$41:$I$700,0)),"")</f>
        <v/>
      </c>
      <c r="AS897" t="str">
        <f>IFERROR(INDEX(_ENGINE_Crisis!$G$41:$G$700,MATCH('Resilience &amp; Risk Scenario'!$B$6&amp;"|"&amp;$C897,_ENGINE_Crisis!$I$41:$I$700,0)),"")</f>
        <v/>
      </c>
      <c r="AT897" t="str">
        <f>IFERROR(INDEX(_ENGINE_Initiatives!$A$5:$A$532,MATCH(1,INDEX((_ENGINE_Initiatives!$B$5:$B$532=$C897)*(_ENGINE_Initiatives!$C$5:$C$532=$D897),0),0)),"")</f>
        <v>INI-068</v>
      </c>
      <c r="AU897" t="str">
        <f>IFERROR(INDEX(_ENGINE_Initiatives!$F$5:$F$532,MATCH(1,INDEX((_ENGINE_Initiatives!$B$5:$B$532=$C897)*(_ENGINE_Initiatives!$C$5:$C$532=$D897),0),0)),"")</f>
        <v>Implement privacy governance, DPIA and personal-data controls</v>
      </c>
      <c r="AV897">
        <f>IFERROR(INDEX(_ENGINE_Initiatives!$AC$5:$AC$532,MATCH(1,INDEX((_ENGINE_Initiatives!$B$5:$B$532=$C897)*(_ENGINE_Initiatives!$C$5:$C$532=$D897),0),0)),"")</f>
        <v>1.32</v>
      </c>
      <c r="AW897" t="str">
        <f>IFERROR(INDEX(_ENGINE_Initiatives!$AE$5:$AE$532,MATCH(1,INDEX((_ENGINE_Initiatives!$B$5:$B$532=$C897)*(_ENGINE_Initiatives!$C$5:$C$532=$D897),0),0)),"")</f>
        <v>12+ months</v>
      </c>
      <c r="AX897">
        <f>IF($B897="Yes",IFERROR((IF(SUMIFS(_REF_Model_Content!$E$1:$E$613,_REF_Model_Content!$A$1:$A$613,PV_Canonical_Industry,_REF_Model_Content!$B$1:$B$613,$C897)=0,1,SUMIFS(_REF_Model_Content!$E$1:$E$613,_REF_Model_Content!$A$1:$A$613,PV_Canonical_Industry,_REF_Model_Content!$B$1:$B$613,$C897))*IFERROR($BU897,1)),1),"")</f>
        <v>1</v>
      </c>
      <c r="AY897">
        <f t="shared" si="231"/>
        <v>18.5</v>
      </c>
      <c r="AZ897">
        <f t="shared" si="232"/>
        <v>1.23</v>
      </c>
      <c r="BB897" t="str">
        <f>IF($H897="","",IFERROR(INDEX(_ENGINE_Risk!$AE$5:$AE$499,MATCH($E897,_ENGINE_Risk!$A$5:$A$499,0)),"Medium"))</f>
        <v>Fast</v>
      </c>
      <c r="BC897">
        <f t="shared" si="233"/>
        <v>1.25</v>
      </c>
      <c r="BD897">
        <f t="shared" si="234"/>
        <v>1.23</v>
      </c>
      <c r="BF897">
        <f>IF(OR($H897="",$J897=""),"",IFERROR(VLOOKUP(ROUND($J897,0),_CONFIG_Model_Settings!$D$154:$E$158,2,0),""))</f>
        <v>0.5</v>
      </c>
      <c r="BG897">
        <f>IFERROR(IF(OR($H897="",$K897=""),"",ROUND('Company Profile'!$B$113*INDEX(_CONFIG_Model_Settings!$H$154:$H$158,MATCH(ROUND($K897,0),_CONFIG_Model_Settings!$G$154:$G$158,0)),0)),0)</f>
        <v>1875</v>
      </c>
      <c r="BH897">
        <f t="shared" si="235"/>
        <v>937.5</v>
      </c>
      <c r="BI897">
        <f t="shared" si="236"/>
        <v>937.5</v>
      </c>
      <c r="BJ897">
        <f>IF($E897="","",IFERROR(VLOOKUP($C897,_CONFIG_Risk_Calibration!$A$5:$H$21,2,FALSE),3))</f>
        <v>3</v>
      </c>
      <c r="BK897">
        <f>IF($E897="","",IFERROR(VLOOKUP($C897,_CONFIG_Risk_Calibration!$A$5:$H$21,3,FALSE),0))</f>
        <v>0</v>
      </c>
      <c r="BL897">
        <f>IF($E897="","",IFERROR(VLOOKUP($C897,_CONFIG_Risk_Calibration!$A$5:$H$21,4,FALSE),3))</f>
        <v>3</v>
      </c>
      <c r="BM897">
        <f>IF($E897="","",IFERROR(VLOOKUP($C897,_CONFIG_Risk_Calibration!$A$5:$H$21,5,FALSE),3))</f>
        <v>4</v>
      </c>
      <c r="BN897" t="str">
        <f>IF($E897="","",IFERROR(VLOOKUP($C897,_CONFIG_Risk_Calibration!$A$5:$H$21,6,FALSE),"No"))</f>
        <v>Yes</v>
      </c>
      <c r="BO897">
        <f>IF($E897="","",IFERROR(VLOOKUP($C897,_CONFIG_Risk_Calibration!$A$5:$H$21,7,FALSE),1))</f>
        <v>5</v>
      </c>
      <c r="BP897">
        <f>IF($H897="","",MAX(1,MIN(5,((6-$H897)*0.45)+($BJ897*0.2)+('Resilience &amp; Risk Scenario'!$B$7*0.15)+($BK897*0.1)+($BL897*0.05)+(IF($BB897="Fast",5,IF($BB897="Slow",1,3))*0.05))))</f>
        <v>3.7</v>
      </c>
      <c r="BQ897">
        <f t="shared" si="237"/>
        <v>5</v>
      </c>
      <c r="BR897">
        <f t="shared" si="238"/>
        <v>18.5</v>
      </c>
      <c r="BS897">
        <f t="shared" si="239"/>
        <v>25.44</v>
      </c>
      <c r="BT897" t="str">
        <f>IFERROR(INDEX(_REF_Capability_Bridge!$D:$D,MATCH($C897&amp;"|"&amp;$D897,_REF_Capability_Bridge!$J:$J,0)),IFERROR(INDEX(_REF_Capability_Bridge!$D:$D,MATCH($C897&amp;"|",_REF_Capability_Bridge!$J:$J,0)),"CAP_GENERIC"))</f>
        <v>CAP_LEGAL_BREACH_RESPONSE</v>
      </c>
      <c r="BU897">
        <f>IFERROR(IFERROR(INDEX(_ENGINE_Relevance!$L:$L,MATCH($BT897,_ENGINE_Relevance!$B:$B,0)),1),1)</f>
        <v>1</v>
      </c>
      <c r="BV897" t="str">
        <f>IFERROR(INDEX(_REF_Capability_Bridge!$A:$A,MATCH($C897&amp;"|"&amp;$D897,_REF_Capability_Bridge!$J:$J,0)),IFERROR(INDEX(_REF_Capability_Bridge!$A:$A,MATCH($C897&amp;"|",_REF_Capability_Bridge!$J:$J,0)),"No bridge"))</f>
        <v>BRG-015</v>
      </c>
      <c r="BW897" t="str">
        <f t="shared" si="240"/>
        <v>Capability relevance neutral</v>
      </c>
      <c r="BX897" t="str">
        <f t="shared" si="241"/>
        <v>Initial / absent</v>
      </c>
      <c r="BY897" t="str">
        <f>IF($E897="","",IFERROR(INDEX(_REF_Treatment_Library!$A$2:$A$296,MATCH(1,INDEX((_REF_Treatment_Library!$B$2:$B$296=$BT897)*(_REF_Treatment_Library!$C$2:$C$296=PV_Canonical_Industry)*(_REF_Treatment_Library!$E$2:$E$296&lt;=N($H897))*(_REF_Treatment_Library!$F$2:$F$296&gt;=N($H897))*(_REF_Treatment_Library!$O$2:$O$296="Yes"),0),0)),IFERROR(INDEX(_REF_Treatment_Library!$A$2:$A$296,MATCH(1,INDEX((_REF_Treatment_Library!$B$2:$B$296=$BT897)*(_REF_Treatment_Library!$C$2:$C$296="All")*(_REF_Treatment_Library!$E$2:$E$296&lt;=N($H897))*(_REF_Treatment_Library!$F$2:$F$296&gt;=N($H897))*(_REF_Treatment_Library!$O$2:$O$296="Yes"),0),0)),"")))</f>
        <v>TRT-LEGAL_BREACH_RESPONSE-INITIAL</v>
      </c>
      <c r="BZ897" t="str">
        <f>IF($BY897="","",IFERROR(INDEX(_REF_Treatment_Library!$H$2:$H$296,MATCH($BY897,_REF_Treatment_Library!$A$2:$A$296,0)),""))</f>
        <v>Establish</v>
      </c>
      <c r="CA897" t="str">
        <f>IF($BY897="","",IFERROR(INDEX(_REF_Treatment_Library!$I$2:$I$296,MATCH($BY897,_REF_Treatment_Library!$A$2:$A$296,0)),""))</f>
        <v>Establish baseline controls for Breach / notification</v>
      </c>
      <c r="CB897" t="str">
        <f>IF($BY897="","",IFERROR(INDEX(_REF_Treatment_Library!$K$2:$K$296,MATCH($BY897,_REF_Treatment_Library!$A$2:$A$296,0)),""))</f>
        <v>Named owner, baseline process, minimum control checklist, first evidence package</v>
      </c>
      <c r="CC897" t="str">
        <f>IF($BY897="","",IFERROR(INDEX(_REF_Treatment_Library!$L$2:$L$296,MATCH($BY897,_REF_Treatment_Library!$A$2:$A$296,0)),""))</f>
        <v>Owner assigned; baseline evidence coverage; open critical gaps</v>
      </c>
      <c r="CD897" t="str">
        <f t="shared" si="242"/>
        <v>Treatment by capability=CAP_LEGAL_BREACH_RESPONSE; band=Initial / absent; score=0.0; treatment=Establish</v>
      </c>
      <c r="CE897" t="str">
        <f>IF($E897="","",IFERROR(INDEX(_REF_Industry_Wording!$A$2:$A$70,MATCH(1,INDEX((_REF_Industry_Wording!$B$2:$B$70=$BT897)*(_REF_Industry_Wording!$C$2:$C$70=PV_Canonical_Industry)*(_REF_Industry_Wording!$K$2:$K$70="Yes"),0),0)),IFERROR(INDEX(_REF_Industry_Wording!$A$2:$A$70,MATCH(1,INDEX((_REF_Industry_Wording!$B$2:$B$70=$BT897)*(_REF_Industry_Wording!$C$2:$C$70="All")*(_REF_Industry_Wording!$K$2:$K$70="Yes"),0),0)),"")))</f>
        <v>IW-ALL-LEGAL_BREACH_RESPONSE</v>
      </c>
      <c r="CF897" t="str">
        <f>IF($CE897="","",IFERROR(INDEX(_REF_Industry_Wording!$E$2:$E$70,MATCH($CE897,_REF_Industry_Wording!$A$2:$A$70,0)),""))</f>
        <v>Breach / notification weakness</v>
      </c>
      <c r="CG897" t="str">
        <f>IF($CE897="","",IFERROR(INDEX(_REF_Industry_Wording!$F$2:$F$70,MATCH($CE897,_REF_Industry_Wording!$A$2:$A$70,0)),""))</f>
        <v>Strengthen Breach / notification</v>
      </c>
      <c r="CH897" t="str">
        <f>IF($CE897="","",IFERROR(INDEX(_REF_Industry_Wording!$G$2:$G$70,MATCH($CE897,_REF_Industry_Wording!$A$2:$A$70,0)),""))</f>
        <v>Strengthen Breach / notification using the selected maturity treatment, crisis scenario and evidence requirements.</v>
      </c>
      <c r="CI897" t="str">
        <f>IF($CE897="","",IFERROR(INDEX(_REF_Industry_Wording!$H$2:$H$70,MATCH($CE897,_REF_Industry_Wording!$A$2:$A$70,0)),""))</f>
        <v>Breach / notification</v>
      </c>
      <c r="CJ897">
        <f>IF($CE897="","",IFERROR(INDEX(_REF_Industry_Wording!$I$2:$I$70,MATCH($CE897,_REF_Industry_Wording!$A$2:$A$70,0)),""))</f>
        <v>0</v>
      </c>
      <c r="CK897" t="str">
        <f>IF($CE897="","",IFERROR(INDEX(_REF_Industry_Wording!$J$2:$J$70,MATCH($CE897,_REF_Industry_Wording!$A$2:$A$70,0)),""))</f>
        <v>Breach / notification</v>
      </c>
      <c r="CL897" t="str">
        <f t="shared" si="243"/>
        <v>Wording by industry=0; capability=CAP_LEGAL_BREACH_RESPONSE; risk label=Breach / notification weakness</v>
      </c>
      <c r="CM897" t="str">
        <f t="shared" si="244"/>
        <v>RISK-ONT-0398</v>
      </c>
      <c r="CN897" t="str">
        <f t="shared" si="245"/>
        <v>RISK-EVT-0398</v>
      </c>
      <c r="CO897" t="str">
        <f t="shared" si="246"/>
        <v>Cyber Privacy|Privacy|CYBE-033|CAP_LEGAL_BREACH_RESPONSE</v>
      </c>
      <c r="CP897" t="str">
        <f t="shared" si="247"/>
        <v>Active</v>
      </c>
      <c r="CQ897" t="str">
        <f t="shared" si="248"/>
        <v>OK: capability-driven</v>
      </c>
      <c r="CR897" t="str">
        <f t="shared" si="249"/>
        <v>Risk ontology uses capability=CAP_LEGAL_BREACH_RESPONSE; bridge=BRG-015; treatment=TRT-LEGAL_BREACH_RESPONSE-INITIAL; wording=IW-ALL-LEGAL_BREACH_RESPONSE</v>
      </c>
      <c r="CS897" t="str">
        <f t="shared" si="250"/>
        <v>Yes</v>
      </c>
    </row>
    <row r="898" spans="1:97" ht="69.900000000000006" customHeight="1">
      <c r="A898">
        <f>IF(OR($B898&lt;&gt;"Yes",$BS898=""),"",SUMPRODUCT(($B$500:$B$923="Yes")*ISNUMBER($BS$500:$BS$923)*($BS$500:$BS$923&gt;$BS898))+COUNTIFS($B$500:$B898,"Yes",$BS$500:$BS898,$BS898))</f>
        <v>47</v>
      </c>
      <c r="B898" t="str">
        <f t="shared" si="219"/>
        <v>Yes</v>
      </c>
      <c r="C898" t="s">
        <v>2986</v>
      </c>
      <c r="D898" t="s">
        <v>2988</v>
      </c>
      <c r="E898" t="s">
        <v>3170</v>
      </c>
      <c r="F898" t="s">
        <v>10219</v>
      </c>
      <c r="G898" t="str">
        <f>IF($H898="","",IFERROR(INDEX(_ENGINE_Risk!$H$5:$M$499,MATCH($E898,_ENGINE_Risk!$A$5:$A$499,0),$H898+1),""))</f>
        <v>Severe risk: inclusion of critical suppliers and service providers in incident response planning, contact lists and joint exercises is not reliably controlled. During Cyberattack/ransomware; Supplier/logistics disruption; Cloud/SaaS outage, the organization may face uncoordinated vendor response, slow joint recovery and contractual disputes during cyber incidents with limited visibility or accountability.</v>
      </c>
      <c r="H898">
        <f>IFERROR(VALUE(INDEX(_DATA_Assessment_Model!$H$5:$H$884,MATCH($E898,_DATA_Assessment_Model!$A$5:$A$884,0))),"")</f>
        <v>0</v>
      </c>
      <c r="I898" t="str">
        <f>IF($H898="","",IFERROR(INDEX(_DATA_Assessment_Model!$L$5:$L$884,MATCH($E898,_DATA_Assessment_Model!$A$5:$A$884,0)),IF($H898&lt;=1,"Critical",IF($H898=2,"High",IF($H898=3,"Medium",IF($H898=4,"Low","Resilient"))))))</f>
        <v>Critical</v>
      </c>
      <c r="J898">
        <f t="shared" si="220"/>
        <v>3.7</v>
      </c>
      <c r="K898">
        <f t="shared" si="221"/>
        <v>5</v>
      </c>
      <c r="L898">
        <f t="shared" si="222"/>
        <v>18.5</v>
      </c>
      <c r="M898">
        <f t="shared" si="223"/>
        <v>4</v>
      </c>
      <c r="N898">
        <f>IF($H898="","",IFERROR(INDEX(_ENGINE_Risk!$T$5:$Y$499,MATCH($E898,_ENGINE_Risk!$A$5:$A$499,0),$H898+1),""))</f>
        <v>3</v>
      </c>
      <c r="O898">
        <f t="shared" si="224"/>
        <v>3.6666666666666665</v>
      </c>
      <c r="P898">
        <f t="shared" si="225"/>
        <v>5</v>
      </c>
      <c r="Q898">
        <f t="shared" si="226"/>
        <v>5</v>
      </c>
      <c r="R898">
        <f t="shared" si="227"/>
        <v>3.5</v>
      </c>
      <c r="S898">
        <f t="shared" si="228"/>
        <v>1.43</v>
      </c>
      <c r="T898" t="str">
        <f>IF($H898="","",IFERROR(INDEX(_ENGINE_Risk!$N$5:$S$499,MATCH($E898,_ENGINE_Risk!$A$5:$A$499,0),$H898+1),""))</f>
        <v>Create an immediate risk owner, minimum control baseline and fallback procedure for inclusion of critical suppliers and service providers in incident response planning, contact lists and joint exercises. Add it to the crisis risk register and collect first evidence.</v>
      </c>
      <c r="U898">
        <f>IFERROR(INDEX(_DATA_Assessment_Model!$G$5:$G$884,MATCH($E898,_DATA_Assessment_Model!$A$5:$A$884,0)),"")</f>
        <v>4</v>
      </c>
      <c r="V898">
        <f>IFERROR(INDEX(_DATA_Assessment_Model!$W$5:$W$884,MATCH($E898,_DATA_Assessment_Model!$A$5:$A$884,0)),"")</f>
        <v>3</v>
      </c>
      <c r="W898">
        <f>IFERROR(INDEX(_DATA_Assessment_Model!$X$5:$X$884,MATCH($E898,_DATA_Assessment_Model!$A$5:$A$884,0)),"")</f>
        <v>5</v>
      </c>
      <c r="X898">
        <f>IFERROR(INDEX(_DATA_Assessment_Model!$Y$5:$Y$884,MATCH($E898,_DATA_Assessment_Model!$A$5:$A$884,0)),"")</f>
        <v>4</v>
      </c>
      <c r="Y898" t="s">
        <v>3174</v>
      </c>
      <c r="Z898" t="s">
        <v>10234</v>
      </c>
      <c r="AA898" t="s">
        <v>10233</v>
      </c>
      <c r="AB898">
        <f>IFERROR(INDEX(_DATA_Assessment_Model!$U$5:$U$884,MATCH($E898,_DATA_Assessment_Model!$A$5:$A$884,0)),"")</f>
        <v>0</v>
      </c>
      <c r="AF898" t="s">
        <v>3171</v>
      </c>
      <c r="AO898">
        <f>IF($B898="Yes",IF(IFERROR(INDEX(_ENGINE_Crisis!$F$501:$F$517,MATCH($C898,_ENGINE_Crisis!$A$501:$A$517,0)),1)=0,1,IFERROR(INDEX(_ENGINE_Crisis!$F$501:$F$517,MATCH($C898,_ENGINE_Crisis!$A$501:$A$517,0)),1)),"")</f>
        <v>1</v>
      </c>
      <c r="AP898">
        <f t="shared" si="229"/>
        <v>18.5</v>
      </c>
      <c r="AQ898">
        <f t="shared" si="230"/>
        <v>1.43</v>
      </c>
      <c r="AR898" t="str">
        <f>IFERROR(INDEX(_ENGINE_Crisis!$E$41:$E$700,MATCH('Resilience &amp; Risk Scenario'!$B$6&amp;"|"&amp;$C898,_ENGINE_Crisis!$I$41:$I$700,0)),"")</f>
        <v/>
      </c>
      <c r="AS898" t="str">
        <f>IFERROR(INDEX(_ENGINE_Crisis!$G$41:$G$700,MATCH('Resilience &amp; Risk Scenario'!$B$6&amp;"|"&amp;$C898,_ENGINE_Crisis!$I$41:$I$700,0)),"")</f>
        <v/>
      </c>
      <c r="AT898" t="str">
        <f>IFERROR(INDEX(_ENGINE_Initiatives!$A$5:$A$532,MATCH(1,INDEX((_ENGINE_Initiatives!$B$5:$B$532=$C898)*(_ENGINE_Initiatives!$C$5:$C$532=$D898),0),0)),"")</f>
        <v>INI-063</v>
      </c>
      <c r="AU898" t="str">
        <f>IFERROR(INDEX(_ENGINE_Initiatives!$F$5:$F$532,MATCH(1,INDEX((_ENGINE_Initiatives!$B$5:$B$532=$C898)*(_ENGINE_Initiatives!$C$5:$C$532=$D898),0),0)),"")</f>
        <v>Implement security governance and risk-management operating model</v>
      </c>
      <c r="AV898">
        <f>IFERROR(INDEX(_ENGINE_Initiatives!$AC$5:$AC$532,MATCH(1,INDEX((_ENGINE_Initiatives!$B$5:$B$532=$C898)*(_ENGINE_Initiatives!$C$5:$C$532=$D898),0),0)),"")</f>
        <v>1.39</v>
      </c>
      <c r="AW898" t="str">
        <f>IFERROR(INDEX(_ENGINE_Initiatives!$AE$5:$AE$532,MATCH(1,INDEX((_ENGINE_Initiatives!$B$5:$B$532=$C898)*(_ENGINE_Initiatives!$C$5:$C$532=$D898),0),0)),"")</f>
        <v>6-12 months</v>
      </c>
      <c r="AX898">
        <f>IF($B898="Yes",IFERROR((IF(SUMIFS(_REF_Model_Content!$E$1:$E$613,_REF_Model_Content!$A$1:$A$613,PV_Canonical_Industry,_REF_Model_Content!$B$1:$B$613,$C898)=0,1,SUMIFS(_REF_Model_Content!$E$1:$E$613,_REF_Model_Content!$A$1:$A$613,PV_Canonical_Industry,_REF_Model_Content!$B$1:$B$613,$C898))*IFERROR($BU898,1)),1),"")</f>
        <v>1</v>
      </c>
      <c r="AY898">
        <f t="shared" si="231"/>
        <v>18.5</v>
      </c>
      <c r="AZ898">
        <f t="shared" si="232"/>
        <v>1.43</v>
      </c>
      <c r="BB898" t="str">
        <f>IF($H898="","",IFERROR(INDEX(_ENGINE_Risk!$AE$5:$AE$499,MATCH($E898,_ENGINE_Risk!$A$5:$A$499,0)),"Medium"))</f>
        <v>Fast</v>
      </c>
      <c r="BC898">
        <f t="shared" si="233"/>
        <v>1.25</v>
      </c>
      <c r="BD898">
        <f t="shared" si="234"/>
        <v>1.43</v>
      </c>
      <c r="BF898">
        <f>IF(OR($H898="",$J898=""),"",IFERROR(VLOOKUP(ROUND($J898,0),_CONFIG_Model_Settings!$D$154:$E$158,2,0),""))</f>
        <v>0.5</v>
      </c>
      <c r="BG898">
        <f>IFERROR(IF(OR($H898="",$K898=""),"",ROUND('Company Profile'!$B$113*INDEX(_CONFIG_Model_Settings!$H$154:$H$158,MATCH(ROUND($K898,0),_CONFIG_Model_Settings!$G$154:$G$158,0)),0)),0)</f>
        <v>1875</v>
      </c>
      <c r="BH898">
        <f t="shared" si="235"/>
        <v>937.5</v>
      </c>
      <c r="BI898">
        <f t="shared" si="236"/>
        <v>937.5</v>
      </c>
      <c r="BJ898">
        <f>IF($E898="","",IFERROR(VLOOKUP($C898,_CONFIG_Risk_Calibration!$A$5:$H$21,2,FALSE),3))</f>
        <v>3</v>
      </c>
      <c r="BK898">
        <f>IF($E898="","",IFERROR(VLOOKUP($C898,_CONFIG_Risk_Calibration!$A$5:$H$21,3,FALSE),0))</f>
        <v>0</v>
      </c>
      <c r="BL898">
        <f>IF($E898="","",IFERROR(VLOOKUP($C898,_CONFIG_Risk_Calibration!$A$5:$H$21,4,FALSE),3))</f>
        <v>3</v>
      </c>
      <c r="BM898">
        <f>IF($E898="","",IFERROR(VLOOKUP($C898,_CONFIG_Risk_Calibration!$A$5:$H$21,5,FALSE),3))</f>
        <v>4</v>
      </c>
      <c r="BN898" t="str">
        <f>IF($E898="","",IFERROR(VLOOKUP($C898,_CONFIG_Risk_Calibration!$A$5:$H$21,6,FALSE),"No"))</f>
        <v>Yes</v>
      </c>
      <c r="BO898">
        <f>IF($E898="","",IFERROR(VLOOKUP($C898,_CONFIG_Risk_Calibration!$A$5:$H$21,7,FALSE),1))</f>
        <v>5</v>
      </c>
      <c r="BP898">
        <f>IF($H898="","",MAX(1,MIN(5,((6-$H898)*0.45)+($BJ898*0.2)+('Resilience &amp; Risk Scenario'!$B$7*0.15)+($BK898*0.1)+($BL898*0.05)+(IF($BB898="Fast",5,IF($BB898="Slow",1,3))*0.05))))</f>
        <v>3.7</v>
      </c>
      <c r="BQ898">
        <f t="shared" si="237"/>
        <v>5</v>
      </c>
      <c r="BR898">
        <f t="shared" si="238"/>
        <v>18.5</v>
      </c>
      <c r="BS898">
        <f t="shared" si="239"/>
        <v>25.44</v>
      </c>
      <c r="BT898" t="str">
        <f>IFERROR(INDEX(_REF_Capability_Bridge!$D:$D,MATCH($C898&amp;"|"&amp;$D898,_REF_Capability_Bridge!$J:$J,0)),IFERROR(INDEX(_REF_Capability_Bridge!$D:$D,MATCH($C898&amp;"|",_REF_Capability_Bridge!$J:$J,0)),"CAP_GENERIC"))</f>
        <v>CAP_CYBER_GOVERNANCE</v>
      </c>
      <c r="BU898">
        <f>IFERROR(IFERROR(INDEX(_ENGINE_Relevance!$L:$L,MATCH($BT898,_ENGINE_Relevance!$B:$B,0)),1),1)</f>
        <v>1</v>
      </c>
      <c r="BV898" t="str">
        <f>IFERROR(INDEX(_REF_Capability_Bridge!$A:$A,MATCH($C898&amp;"|"&amp;$D898,_REF_Capability_Bridge!$J:$J,0)),IFERROR(INDEX(_REF_Capability_Bridge!$A:$A,MATCH($C898&amp;"|",_REF_Capability_Bridge!$J:$J,0)),"No bridge"))</f>
        <v>BRG-017</v>
      </c>
      <c r="BW898" t="str">
        <f t="shared" si="240"/>
        <v>Capability relevance neutral</v>
      </c>
      <c r="BX898" t="str">
        <f t="shared" si="241"/>
        <v>Initial / absent</v>
      </c>
      <c r="BY898" t="str">
        <f>IF($E898="","",IFERROR(INDEX(_REF_Treatment_Library!$A$2:$A$296,MATCH(1,INDEX((_REF_Treatment_Library!$B$2:$B$296=$BT898)*(_REF_Treatment_Library!$C$2:$C$296=PV_Canonical_Industry)*(_REF_Treatment_Library!$E$2:$E$296&lt;=N($H898))*(_REF_Treatment_Library!$F$2:$F$296&gt;=N($H898))*(_REF_Treatment_Library!$O$2:$O$296="Yes"),0),0)),IFERROR(INDEX(_REF_Treatment_Library!$A$2:$A$296,MATCH(1,INDEX((_REF_Treatment_Library!$B$2:$B$296=$BT898)*(_REF_Treatment_Library!$C$2:$C$296="All")*(_REF_Treatment_Library!$E$2:$E$296&lt;=N($H898))*(_REF_Treatment_Library!$F$2:$F$296&gt;=N($H898))*(_REF_Treatment_Library!$O$2:$O$296="Yes"),0),0)),"")))</f>
        <v>TRT-CYBER_GOVERNANCE-INITIAL</v>
      </c>
      <c r="BZ898" t="str">
        <f>IF($BY898="","",IFERROR(INDEX(_REF_Treatment_Library!$H$2:$H$296,MATCH($BY898,_REF_Treatment_Library!$A$2:$A$296,0)),""))</f>
        <v>Establish</v>
      </c>
      <c r="CA898" t="str">
        <f>IF($BY898="","",IFERROR(INDEX(_REF_Treatment_Library!$I$2:$I$296,MATCH($BY898,_REF_Treatment_Library!$A$2:$A$296,0)),""))</f>
        <v>Establish baseline controls for Security governance</v>
      </c>
      <c r="CB898" t="str">
        <f>IF($BY898="","",IFERROR(INDEX(_REF_Treatment_Library!$K$2:$K$296,MATCH($BY898,_REF_Treatment_Library!$A$2:$A$296,0)),""))</f>
        <v>Named owner, baseline process, minimum control checklist, first evidence package</v>
      </c>
      <c r="CC898" t="str">
        <f>IF($BY898="","",IFERROR(INDEX(_REF_Treatment_Library!$L$2:$L$296,MATCH($BY898,_REF_Treatment_Library!$A$2:$A$296,0)),""))</f>
        <v>Owner assigned; baseline evidence coverage; open critical gaps</v>
      </c>
      <c r="CD898" t="str">
        <f t="shared" si="242"/>
        <v>Treatment by capability=CAP_CYBER_GOVERNANCE; band=Initial / absent; score=0.0; treatment=Establish</v>
      </c>
      <c r="CE898" t="str">
        <f>IF($E898="","",IFERROR(INDEX(_REF_Industry_Wording!$A$2:$A$70,MATCH(1,INDEX((_REF_Industry_Wording!$B$2:$B$70=$BT898)*(_REF_Industry_Wording!$C$2:$C$70=PV_Canonical_Industry)*(_REF_Industry_Wording!$K$2:$K$70="Yes"),0),0)),IFERROR(INDEX(_REF_Industry_Wording!$A$2:$A$70,MATCH(1,INDEX((_REF_Industry_Wording!$B$2:$B$70=$BT898)*(_REF_Industry_Wording!$C$2:$C$70="All")*(_REF_Industry_Wording!$K$2:$K$70="Yes"),0),0)),"")))</f>
        <v>IW-ALL-CYBER_GOVERNANCE</v>
      </c>
      <c r="CF898" t="str">
        <f>IF($CE898="","",IFERROR(INDEX(_REF_Industry_Wording!$E$2:$E$70,MATCH($CE898,_REF_Industry_Wording!$A$2:$A$70,0)),""))</f>
        <v>Security governance weakness</v>
      </c>
      <c r="CG898" t="str">
        <f>IF($CE898="","",IFERROR(INDEX(_REF_Industry_Wording!$F$2:$F$70,MATCH($CE898,_REF_Industry_Wording!$A$2:$A$70,0)),""))</f>
        <v>Strengthen Security governance</v>
      </c>
      <c r="CH898" t="str">
        <f>IF($CE898="","",IFERROR(INDEX(_REF_Industry_Wording!$G$2:$G$70,MATCH($CE898,_REF_Industry_Wording!$A$2:$A$70,0)),""))</f>
        <v>Strengthen Security governance using the selected maturity treatment, crisis scenario and evidence requirements.</v>
      </c>
      <c r="CI898" t="str">
        <f>IF($CE898="","",IFERROR(INDEX(_REF_Industry_Wording!$H$2:$H$70,MATCH($CE898,_REF_Industry_Wording!$A$2:$A$70,0)),""))</f>
        <v>Security governance</v>
      </c>
      <c r="CJ898">
        <f>IF($CE898="","",IFERROR(INDEX(_REF_Industry_Wording!$I$2:$I$70,MATCH($CE898,_REF_Industry_Wording!$A$2:$A$70,0)),""))</f>
        <v>0</v>
      </c>
      <c r="CK898" t="str">
        <f>IF($CE898="","",IFERROR(INDEX(_REF_Industry_Wording!$J$2:$J$70,MATCH($CE898,_REF_Industry_Wording!$A$2:$A$70,0)),""))</f>
        <v>Security governance</v>
      </c>
      <c r="CL898" t="str">
        <f t="shared" si="243"/>
        <v>Wording by industry=0; capability=CAP_CYBER_GOVERNANCE; risk label=Security governance weakness</v>
      </c>
      <c r="CM898" t="str">
        <f t="shared" si="244"/>
        <v>RISK-ONT-0399</v>
      </c>
      <c r="CN898" t="str">
        <f t="shared" si="245"/>
        <v>RISK-EVT-0399</v>
      </c>
      <c r="CO898" t="str">
        <f t="shared" si="246"/>
        <v>Cyber Privacy|Security governance|CYBE-035|CAP_CYBER_GOVERNANCE</v>
      </c>
      <c r="CP898" t="str">
        <f t="shared" si="247"/>
        <v>Active</v>
      </c>
      <c r="CQ898" t="str">
        <f t="shared" si="248"/>
        <v>OK: capability-driven</v>
      </c>
      <c r="CR898" t="str">
        <f t="shared" si="249"/>
        <v>Risk ontology uses capability=CAP_CYBER_GOVERNANCE; bridge=BRG-017; treatment=TRT-CYBER_GOVERNANCE-INITIAL; wording=IW-ALL-CYBER_GOVERNANCE</v>
      </c>
      <c r="CS898" t="str">
        <f t="shared" si="250"/>
        <v>Yes</v>
      </c>
    </row>
    <row r="899" spans="1:97" ht="69.900000000000006" customHeight="1">
      <c r="A899">
        <f>IF(OR($B899&lt;&gt;"Yes",$BS899=""),"",SUMPRODUCT(($B$500:$B$923="Yes")*ISNUMBER($BS$500:$BS$923)*($BS$500:$BS$923&gt;$BS899))+COUNTIFS($B$500:$B899,"Yes",$BS$500:$BS899,$BS899))</f>
        <v>48</v>
      </c>
      <c r="B899" t="str">
        <f t="shared" si="219"/>
        <v>Yes</v>
      </c>
      <c r="C899" t="s">
        <v>2986</v>
      </c>
      <c r="D899" t="s">
        <v>2988</v>
      </c>
      <c r="E899" t="s">
        <v>3175</v>
      </c>
      <c r="F899" t="s">
        <v>10219</v>
      </c>
      <c r="G899" t="str">
        <f>IF($H899="","",IFERROR(INDEX(_ENGINE_Risk!$H$5:$M$499,MATCH($E899,_ENGINE_Risk!$A$5:$A$499,0),$H899+1),""))</f>
        <v>Severe risk: vendor offboarding with access revocation, data return or deletion and post-contract security obligations is not reliably controlled. During Cyberattack/ransomware; Regulatory/legal shock, the organization may face orphaned vendor access, residual data exposure and untracked obligations after contract end with limited visibility or accountability.</v>
      </c>
      <c r="H899">
        <f>IFERROR(VALUE(INDEX(_DATA_Assessment_Model!$H$5:$H$884,MATCH($E899,_DATA_Assessment_Model!$A$5:$A$884,0))),"")</f>
        <v>0</v>
      </c>
      <c r="I899" t="str">
        <f>IF($H899="","",IFERROR(INDEX(_DATA_Assessment_Model!$L$5:$L$884,MATCH($E899,_DATA_Assessment_Model!$A$5:$A$884,0)),IF($H899&lt;=1,"Critical",IF($H899=2,"High",IF($H899=3,"Medium",IF($H899=4,"Low","Resilient"))))))</f>
        <v>Critical</v>
      </c>
      <c r="J899">
        <f t="shared" si="220"/>
        <v>3.7</v>
      </c>
      <c r="K899">
        <f t="shared" si="221"/>
        <v>5</v>
      </c>
      <c r="L899">
        <f t="shared" si="222"/>
        <v>18.5</v>
      </c>
      <c r="M899">
        <f t="shared" si="223"/>
        <v>4</v>
      </c>
      <c r="N899">
        <f>IF($H899="","",IFERROR(INDEX(_ENGINE_Risk!$T$5:$Y$499,MATCH($E899,_ENGINE_Risk!$A$5:$A$499,0),$H899+1),""))</f>
        <v>2</v>
      </c>
      <c r="O899">
        <f t="shared" si="224"/>
        <v>4</v>
      </c>
      <c r="P899">
        <f t="shared" si="225"/>
        <v>5</v>
      </c>
      <c r="Q899">
        <f t="shared" si="226"/>
        <v>4.6500000000000004</v>
      </c>
      <c r="R899">
        <f t="shared" si="227"/>
        <v>4</v>
      </c>
      <c r="S899">
        <f t="shared" si="228"/>
        <v>2.21</v>
      </c>
      <c r="T899" t="str">
        <f>IF($H899="","",IFERROR(INDEX(_ENGINE_Risk!$N$5:$S$499,MATCH($E899,_ENGINE_Risk!$A$5:$A$499,0),$H899+1),""))</f>
        <v>Create an immediate risk owner, minimum control baseline and fallback procedure for vendor offboarding with access revocation, data return or deletion and post-contract security obligations. Add it to the crisis risk register and collect first evidence.</v>
      </c>
      <c r="U899">
        <f>IFERROR(INDEX(_DATA_Assessment_Model!$G$5:$G$884,MATCH($E899,_DATA_Assessment_Model!$A$5:$A$884,0)),"")</f>
        <v>4</v>
      </c>
      <c r="V899">
        <f>IFERROR(INDEX(_DATA_Assessment_Model!$W$5:$W$884,MATCH($E899,_DATA_Assessment_Model!$A$5:$A$884,0)),"")</f>
        <v>4</v>
      </c>
      <c r="W899">
        <f>IFERROR(INDEX(_DATA_Assessment_Model!$X$5:$X$884,MATCH($E899,_DATA_Assessment_Model!$A$5:$A$884,0)),"")</f>
        <v>4</v>
      </c>
      <c r="X899">
        <f>IFERROR(INDEX(_DATA_Assessment_Model!$Y$5:$Y$884,MATCH($E899,_DATA_Assessment_Model!$A$5:$A$884,0)),"")</f>
        <v>4</v>
      </c>
      <c r="Y899" t="s">
        <v>1373</v>
      </c>
      <c r="Z899" t="s">
        <v>10250</v>
      </c>
      <c r="AA899" t="s">
        <v>10249</v>
      </c>
      <c r="AB899">
        <f>IFERROR(INDEX(_DATA_Assessment_Model!$U$5:$U$884,MATCH($E899,_DATA_Assessment_Model!$A$5:$A$884,0)),"")</f>
        <v>0</v>
      </c>
      <c r="AF899" t="s">
        <v>3176</v>
      </c>
      <c r="AO899">
        <f>IF($B899="Yes",IF(IFERROR(INDEX(_ENGINE_Crisis!$F$501:$F$517,MATCH($C899,_ENGINE_Crisis!$A$501:$A$517,0)),1)=0,1,IFERROR(INDEX(_ENGINE_Crisis!$F$501:$F$517,MATCH($C899,_ENGINE_Crisis!$A$501:$A$517,0)),1)),"")</f>
        <v>1</v>
      </c>
      <c r="AP899">
        <f t="shared" si="229"/>
        <v>18.5</v>
      </c>
      <c r="AQ899">
        <f t="shared" si="230"/>
        <v>2.21</v>
      </c>
      <c r="AR899" t="str">
        <f>IFERROR(INDEX(_ENGINE_Crisis!$E$41:$E$700,MATCH('Resilience &amp; Risk Scenario'!$B$6&amp;"|"&amp;$C899,_ENGINE_Crisis!$I$41:$I$700,0)),"")</f>
        <v/>
      </c>
      <c r="AS899" t="str">
        <f>IFERROR(INDEX(_ENGINE_Crisis!$G$41:$G$700,MATCH('Resilience &amp; Risk Scenario'!$B$6&amp;"|"&amp;$C899,_ENGINE_Crisis!$I$41:$I$700,0)),"")</f>
        <v/>
      </c>
      <c r="AT899" t="str">
        <f>IFERROR(INDEX(_ENGINE_Initiatives!$A$5:$A$532,MATCH(1,INDEX((_ENGINE_Initiatives!$B$5:$B$532=$C899)*(_ENGINE_Initiatives!$C$5:$C$532=$D899),0),0)),"")</f>
        <v>INI-063</v>
      </c>
      <c r="AU899" t="str">
        <f>IFERROR(INDEX(_ENGINE_Initiatives!$F$5:$F$532,MATCH(1,INDEX((_ENGINE_Initiatives!$B$5:$B$532=$C899)*(_ENGINE_Initiatives!$C$5:$C$532=$D899),0),0)),"")</f>
        <v>Implement security governance and risk-management operating model</v>
      </c>
      <c r="AV899">
        <f>IFERROR(INDEX(_ENGINE_Initiatives!$AC$5:$AC$532,MATCH(1,INDEX((_ENGINE_Initiatives!$B$5:$B$532=$C899)*(_ENGINE_Initiatives!$C$5:$C$532=$D899),0),0)),"")</f>
        <v>1.39</v>
      </c>
      <c r="AW899" t="str">
        <f>IFERROR(INDEX(_ENGINE_Initiatives!$AE$5:$AE$532,MATCH(1,INDEX((_ENGINE_Initiatives!$B$5:$B$532=$C899)*(_ENGINE_Initiatives!$C$5:$C$532=$D899),0),0)),"")</f>
        <v>6-12 months</v>
      </c>
      <c r="AX899">
        <f>IF($B899="Yes",IFERROR((IF(SUMIFS(_REF_Model_Content!$E$1:$E$613,_REF_Model_Content!$A$1:$A$613,PV_Canonical_Industry,_REF_Model_Content!$B$1:$B$613,$C899)=0,1,SUMIFS(_REF_Model_Content!$E$1:$E$613,_REF_Model_Content!$A$1:$A$613,PV_Canonical_Industry,_REF_Model_Content!$B$1:$B$613,$C899))*IFERROR($BU899,1)),1),"")</f>
        <v>1</v>
      </c>
      <c r="AY899">
        <f t="shared" si="231"/>
        <v>18.5</v>
      </c>
      <c r="AZ899">
        <f t="shared" si="232"/>
        <v>2.21</v>
      </c>
      <c r="BB899" t="str">
        <f>IF($H899="","",IFERROR(INDEX(_ENGINE_Risk!$AE$5:$AE$499,MATCH($E899,_ENGINE_Risk!$A$5:$A$499,0)),"Medium"))</f>
        <v>Fast</v>
      </c>
      <c r="BC899">
        <f t="shared" si="233"/>
        <v>1.25</v>
      </c>
      <c r="BD899">
        <f t="shared" si="234"/>
        <v>2.21</v>
      </c>
      <c r="BF899">
        <f>IF(OR($H899="",$J899=""),"",IFERROR(VLOOKUP(ROUND($J899,0),_CONFIG_Model_Settings!$D$154:$E$158,2,0),""))</f>
        <v>0.5</v>
      </c>
      <c r="BG899">
        <f>IFERROR(IF(OR($H899="",$K899=""),"",ROUND('Company Profile'!$B$113*INDEX(_CONFIG_Model_Settings!$H$154:$H$158,MATCH(ROUND($K899,0),_CONFIG_Model_Settings!$G$154:$G$158,0)),0)),0)</f>
        <v>1875</v>
      </c>
      <c r="BH899">
        <f t="shared" si="235"/>
        <v>937.5</v>
      </c>
      <c r="BI899">
        <f t="shared" si="236"/>
        <v>937.5</v>
      </c>
      <c r="BJ899">
        <f>IF($E899="","",IFERROR(VLOOKUP($C899,_CONFIG_Risk_Calibration!$A$5:$H$21,2,FALSE),3))</f>
        <v>3</v>
      </c>
      <c r="BK899">
        <f>IF($E899="","",IFERROR(VLOOKUP($C899,_CONFIG_Risk_Calibration!$A$5:$H$21,3,FALSE),0))</f>
        <v>0</v>
      </c>
      <c r="BL899">
        <f>IF($E899="","",IFERROR(VLOOKUP($C899,_CONFIG_Risk_Calibration!$A$5:$H$21,4,FALSE),3))</f>
        <v>3</v>
      </c>
      <c r="BM899">
        <f>IF($E899="","",IFERROR(VLOOKUP($C899,_CONFIG_Risk_Calibration!$A$5:$H$21,5,FALSE),3))</f>
        <v>4</v>
      </c>
      <c r="BN899" t="str">
        <f>IF($E899="","",IFERROR(VLOOKUP($C899,_CONFIG_Risk_Calibration!$A$5:$H$21,6,FALSE),"No"))</f>
        <v>Yes</v>
      </c>
      <c r="BO899">
        <f>IF($E899="","",IFERROR(VLOOKUP($C899,_CONFIG_Risk_Calibration!$A$5:$H$21,7,FALSE),1))</f>
        <v>5</v>
      </c>
      <c r="BP899">
        <f>IF($H899="","",MAX(1,MIN(5,((6-$H899)*0.45)+($BJ899*0.2)+('Resilience &amp; Risk Scenario'!$B$7*0.15)+($BK899*0.1)+($BL899*0.05)+(IF($BB899="Fast",5,IF($BB899="Slow",1,3))*0.05))))</f>
        <v>3.7</v>
      </c>
      <c r="BQ899">
        <f t="shared" si="237"/>
        <v>5</v>
      </c>
      <c r="BR899">
        <f t="shared" si="238"/>
        <v>18.5</v>
      </c>
      <c r="BS899">
        <f t="shared" si="239"/>
        <v>25.44</v>
      </c>
      <c r="BT899" t="str">
        <f>IFERROR(INDEX(_REF_Capability_Bridge!$D:$D,MATCH($C899&amp;"|"&amp;$D899,_REF_Capability_Bridge!$J:$J,0)),IFERROR(INDEX(_REF_Capability_Bridge!$D:$D,MATCH($C899&amp;"|",_REF_Capability_Bridge!$J:$J,0)),"CAP_GENERIC"))</f>
        <v>CAP_CYBER_GOVERNANCE</v>
      </c>
      <c r="BU899">
        <f>IFERROR(IFERROR(INDEX(_ENGINE_Relevance!$L:$L,MATCH($BT899,_ENGINE_Relevance!$B:$B,0)),1),1)</f>
        <v>1</v>
      </c>
      <c r="BV899" t="str">
        <f>IFERROR(INDEX(_REF_Capability_Bridge!$A:$A,MATCH($C899&amp;"|"&amp;$D899,_REF_Capability_Bridge!$J:$J,0)),IFERROR(INDEX(_REF_Capability_Bridge!$A:$A,MATCH($C899&amp;"|",_REF_Capability_Bridge!$J:$J,0)),"No bridge"))</f>
        <v>BRG-017</v>
      </c>
      <c r="BW899" t="str">
        <f t="shared" si="240"/>
        <v>Capability relevance neutral</v>
      </c>
      <c r="BX899" t="str">
        <f t="shared" si="241"/>
        <v>Initial / absent</v>
      </c>
      <c r="BY899" t="str">
        <f>IF($E899="","",IFERROR(INDEX(_REF_Treatment_Library!$A$2:$A$296,MATCH(1,INDEX((_REF_Treatment_Library!$B$2:$B$296=$BT899)*(_REF_Treatment_Library!$C$2:$C$296=PV_Canonical_Industry)*(_REF_Treatment_Library!$E$2:$E$296&lt;=N($H899))*(_REF_Treatment_Library!$F$2:$F$296&gt;=N($H899))*(_REF_Treatment_Library!$O$2:$O$296="Yes"),0),0)),IFERROR(INDEX(_REF_Treatment_Library!$A$2:$A$296,MATCH(1,INDEX((_REF_Treatment_Library!$B$2:$B$296=$BT899)*(_REF_Treatment_Library!$C$2:$C$296="All")*(_REF_Treatment_Library!$E$2:$E$296&lt;=N($H899))*(_REF_Treatment_Library!$F$2:$F$296&gt;=N($H899))*(_REF_Treatment_Library!$O$2:$O$296="Yes"),0),0)),"")))</f>
        <v>TRT-CYBER_GOVERNANCE-INITIAL</v>
      </c>
      <c r="BZ899" t="str">
        <f>IF($BY899="","",IFERROR(INDEX(_REF_Treatment_Library!$H$2:$H$296,MATCH($BY899,_REF_Treatment_Library!$A$2:$A$296,0)),""))</f>
        <v>Establish</v>
      </c>
      <c r="CA899" t="str">
        <f>IF($BY899="","",IFERROR(INDEX(_REF_Treatment_Library!$I$2:$I$296,MATCH($BY899,_REF_Treatment_Library!$A$2:$A$296,0)),""))</f>
        <v>Establish baseline controls for Security governance</v>
      </c>
      <c r="CB899" t="str">
        <f>IF($BY899="","",IFERROR(INDEX(_REF_Treatment_Library!$K$2:$K$296,MATCH($BY899,_REF_Treatment_Library!$A$2:$A$296,0)),""))</f>
        <v>Named owner, baseline process, minimum control checklist, first evidence package</v>
      </c>
      <c r="CC899" t="str">
        <f>IF($BY899="","",IFERROR(INDEX(_REF_Treatment_Library!$L$2:$L$296,MATCH($BY899,_REF_Treatment_Library!$A$2:$A$296,0)),""))</f>
        <v>Owner assigned; baseline evidence coverage; open critical gaps</v>
      </c>
      <c r="CD899" t="str">
        <f t="shared" si="242"/>
        <v>Treatment by capability=CAP_CYBER_GOVERNANCE; band=Initial / absent; score=0.0; treatment=Establish</v>
      </c>
      <c r="CE899" t="str">
        <f>IF($E899="","",IFERROR(INDEX(_REF_Industry_Wording!$A$2:$A$70,MATCH(1,INDEX((_REF_Industry_Wording!$B$2:$B$70=$BT899)*(_REF_Industry_Wording!$C$2:$C$70=PV_Canonical_Industry)*(_REF_Industry_Wording!$K$2:$K$70="Yes"),0),0)),IFERROR(INDEX(_REF_Industry_Wording!$A$2:$A$70,MATCH(1,INDEX((_REF_Industry_Wording!$B$2:$B$70=$BT899)*(_REF_Industry_Wording!$C$2:$C$70="All")*(_REF_Industry_Wording!$K$2:$K$70="Yes"),0),0)),"")))</f>
        <v>IW-ALL-CYBER_GOVERNANCE</v>
      </c>
      <c r="CF899" t="str">
        <f>IF($CE899="","",IFERROR(INDEX(_REF_Industry_Wording!$E$2:$E$70,MATCH($CE899,_REF_Industry_Wording!$A$2:$A$70,0)),""))</f>
        <v>Security governance weakness</v>
      </c>
      <c r="CG899" t="str">
        <f>IF($CE899="","",IFERROR(INDEX(_REF_Industry_Wording!$F$2:$F$70,MATCH($CE899,_REF_Industry_Wording!$A$2:$A$70,0)),""))</f>
        <v>Strengthen Security governance</v>
      </c>
      <c r="CH899" t="str">
        <f>IF($CE899="","",IFERROR(INDEX(_REF_Industry_Wording!$G$2:$G$70,MATCH($CE899,_REF_Industry_Wording!$A$2:$A$70,0)),""))</f>
        <v>Strengthen Security governance using the selected maturity treatment, crisis scenario and evidence requirements.</v>
      </c>
      <c r="CI899" t="str">
        <f>IF($CE899="","",IFERROR(INDEX(_REF_Industry_Wording!$H$2:$H$70,MATCH($CE899,_REF_Industry_Wording!$A$2:$A$70,0)),""))</f>
        <v>Security governance</v>
      </c>
      <c r="CJ899">
        <f>IF($CE899="","",IFERROR(INDEX(_REF_Industry_Wording!$I$2:$I$70,MATCH($CE899,_REF_Industry_Wording!$A$2:$A$70,0)),""))</f>
        <v>0</v>
      </c>
      <c r="CK899" t="str">
        <f>IF($CE899="","",IFERROR(INDEX(_REF_Industry_Wording!$J$2:$J$70,MATCH($CE899,_REF_Industry_Wording!$A$2:$A$70,0)),""))</f>
        <v>Security governance</v>
      </c>
      <c r="CL899" t="str">
        <f t="shared" si="243"/>
        <v>Wording by industry=0; capability=CAP_CYBER_GOVERNANCE; risk label=Security governance weakness</v>
      </c>
      <c r="CM899" t="str">
        <f t="shared" si="244"/>
        <v>RISK-ONT-0400</v>
      </c>
      <c r="CN899" t="str">
        <f t="shared" si="245"/>
        <v>RISK-EVT-0400</v>
      </c>
      <c r="CO899" t="str">
        <f t="shared" si="246"/>
        <v>Cyber Privacy|Security governance|CYBE-036|CAP_CYBER_GOVERNANCE</v>
      </c>
      <c r="CP899" t="str">
        <f t="shared" si="247"/>
        <v>Active</v>
      </c>
      <c r="CQ899" t="str">
        <f t="shared" si="248"/>
        <v>OK: capability-driven</v>
      </c>
      <c r="CR899" t="str">
        <f t="shared" si="249"/>
        <v>Risk ontology uses capability=CAP_CYBER_GOVERNANCE; bridge=BRG-017; treatment=TRT-CYBER_GOVERNANCE-INITIAL; wording=IW-ALL-CYBER_GOVERNANCE</v>
      </c>
      <c r="CS899" t="str">
        <f t="shared" si="250"/>
        <v>Yes</v>
      </c>
    </row>
    <row r="900" spans="1:97" ht="69.900000000000006" customHeight="1">
      <c r="A900">
        <f>IF(OR($B900&lt;&gt;"Yes",$BS900=""),"",SUMPRODUCT(($B$500:$B$923="Yes")*ISNUMBER($BS$500:$BS$923)*($BS$500:$BS$923&gt;$BS900))+COUNTIFS($B$500:$B900,"Yes",$BS$500:$BS900,$BS900))</f>
        <v>154</v>
      </c>
      <c r="B900" t="str">
        <f t="shared" si="219"/>
        <v>Yes</v>
      </c>
      <c r="C900" t="s">
        <v>2986</v>
      </c>
      <c r="D900" t="s">
        <v>3023</v>
      </c>
      <c r="E900" t="s">
        <v>3184</v>
      </c>
      <c r="F900" t="s">
        <v>10252</v>
      </c>
      <c r="G900" t="str">
        <f>IF($H900="","",IFERROR(INDEX(_ENGINE_Risk!$H$5:$M$499,MATCH($E900,_ENGINE_Risk!$A$5:$A$499,0),$H900+1),""))</f>
        <v>Severe risk: threat intelligence intake from CERT, sector and vendor sources integrated into detection and patch priorities is not reliably controlled. During Cyberattack/ransomware, the organization may face late awareness of active threats, generic defenses and slower-than-attacker reaction time with limited visibility or accountability.</v>
      </c>
      <c r="H900">
        <f>IFERROR(VALUE(INDEX(_DATA_Assessment_Model!$H$5:$H$884,MATCH($E900,_DATA_Assessment_Model!$A$5:$A$884,0))),"")</f>
        <v>0</v>
      </c>
      <c r="I900" t="str">
        <f>IF($H900="","",IFERROR(INDEX(_DATA_Assessment_Model!$L$5:$L$884,MATCH($E900,_DATA_Assessment_Model!$A$5:$A$884,0)),IF($H900&lt;=1,"Critical",IF($H900=2,"High",IF($H900=3,"Medium",IF($H900=4,"Low","Resilient"))))))</f>
        <v>Critical</v>
      </c>
      <c r="J900">
        <f t="shared" si="220"/>
        <v>3.6</v>
      </c>
      <c r="K900">
        <f t="shared" si="221"/>
        <v>5</v>
      </c>
      <c r="L900">
        <f t="shared" si="222"/>
        <v>18</v>
      </c>
      <c r="M900">
        <f t="shared" si="223"/>
        <v>4</v>
      </c>
      <c r="N900">
        <f>IF($H900="","",IFERROR(INDEX(_ENGINE_Risk!$T$5:$Y$499,MATCH($E900,_ENGINE_Risk!$A$5:$A$499,0),$H900+1),""))</f>
        <v>3</v>
      </c>
      <c r="O900">
        <f t="shared" si="224"/>
        <v>3.3333333333333335</v>
      </c>
      <c r="P900">
        <f t="shared" si="225"/>
        <v>5</v>
      </c>
      <c r="Q900">
        <f t="shared" si="226"/>
        <v>4.6500000000000004</v>
      </c>
      <c r="R900">
        <f t="shared" si="227"/>
        <v>3.5</v>
      </c>
      <c r="S900">
        <f t="shared" si="228"/>
        <v>1.37</v>
      </c>
      <c r="T900" t="str">
        <f>IF($H900="","",IFERROR(INDEX(_ENGINE_Risk!$N$5:$S$499,MATCH($E900,_ENGINE_Risk!$A$5:$A$499,0),$H900+1),""))</f>
        <v>Create an immediate risk owner, minimum control baseline and fallback procedure for threat intelligence intake from CERT, sector and vendor sources integrated into detection and patch priorities. Add it to the crisis risk register and collect first evidence.</v>
      </c>
      <c r="U900">
        <f>IFERROR(INDEX(_DATA_Assessment_Model!$G$5:$G$884,MATCH($E900,_DATA_Assessment_Model!$A$5:$A$884,0)),"")</f>
        <v>3</v>
      </c>
      <c r="V900">
        <f>IFERROR(INDEX(_DATA_Assessment_Model!$W$5:$W$884,MATCH($E900,_DATA_Assessment_Model!$A$5:$A$884,0)),"")</f>
        <v>4</v>
      </c>
      <c r="W900">
        <f>IFERROR(INDEX(_DATA_Assessment_Model!$X$5:$X$884,MATCH($E900,_DATA_Assessment_Model!$A$5:$A$884,0)),"")</f>
        <v>4</v>
      </c>
      <c r="X900">
        <f>IFERROR(INDEX(_DATA_Assessment_Model!$Y$5:$Y$884,MATCH($E900,_DATA_Assessment_Model!$A$5:$A$884,0)),"")</f>
        <v>3</v>
      </c>
      <c r="Y900" t="s">
        <v>3194</v>
      </c>
      <c r="Z900" t="s">
        <v>10267</v>
      </c>
      <c r="AA900" t="s">
        <v>10266</v>
      </c>
      <c r="AB900">
        <f>IFERROR(INDEX(_DATA_Assessment_Model!$U$5:$U$884,MATCH($E900,_DATA_Assessment_Model!$A$5:$A$884,0)),"")</f>
        <v>0</v>
      </c>
      <c r="AF900" t="s">
        <v>3185</v>
      </c>
      <c r="AO900">
        <f>IF($B900="Yes",IF(IFERROR(INDEX(_ENGINE_Crisis!$F$501:$F$517,MATCH($C900,_ENGINE_Crisis!$A$501:$A$517,0)),1)=0,1,IFERROR(INDEX(_ENGINE_Crisis!$F$501:$F$517,MATCH($C900,_ENGINE_Crisis!$A$501:$A$517,0)),1)),"")</f>
        <v>1</v>
      </c>
      <c r="AP900">
        <f t="shared" si="229"/>
        <v>18</v>
      </c>
      <c r="AQ900">
        <f t="shared" si="230"/>
        <v>1.37</v>
      </c>
      <c r="AR900" t="str">
        <f>IFERROR(INDEX(_ENGINE_Crisis!$E$41:$E$700,MATCH('Resilience &amp; Risk Scenario'!$B$6&amp;"|"&amp;$C900,_ENGINE_Crisis!$I$41:$I$700,0)),"")</f>
        <v/>
      </c>
      <c r="AS900" t="str">
        <f>IFERROR(INDEX(_ENGINE_Crisis!$G$41:$G$700,MATCH('Resilience &amp; Risk Scenario'!$B$6&amp;"|"&amp;$C900,_ENGINE_Crisis!$I$41:$I$700,0)),"")</f>
        <v/>
      </c>
      <c r="AT900" t="str">
        <f>IFERROR(INDEX(_ENGINE_Initiatives!$A$5:$A$532,MATCH(1,INDEX((_ENGINE_Initiatives!$B$5:$B$532=$C900)*(_ENGINE_Initiatives!$C$5:$C$532=$D900),0),0)),"")</f>
        <v>INI-066</v>
      </c>
      <c r="AU900" t="str">
        <f>IFERROR(INDEX(_ENGINE_Initiatives!$F$5:$F$532,MATCH(1,INDEX((_ENGINE_Initiatives!$B$5:$B$532=$C900)*(_ENGINE_Initiatives!$C$5:$C$532=$D900),0),0)),"")</f>
        <v>Implement detection, response, logging and security incident exercises</v>
      </c>
      <c r="AV900">
        <f>IFERROR(INDEX(_ENGINE_Initiatives!$AC$5:$AC$532,MATCH(1,INDEX((_ENGINE_Initiatives!$B$5:$B$532=$C900)*(_ENGINE_Initiatives!$C$5:$C$532=$D900),0),0)),"")</f>
        <v>1.38</v>
      </c>
      <c r="AW900" t="str">
        <f>IFERROR(INDEX(_ENGINE_Initiatives!$AE$5:$AE$532,MATCH(1,INDEX((_ENGINE_Initiatives!$B$5:$B$532=$C900)*(_ENGINE_Initiatives!$C$5:$C$532=$D900),0),0)),"")</f>
        <v>6-12 months</v>
      </c>
      <c r="AX900">
        <f>IF($B900="Yes",IFERROR((IF(SUMIFS(_REF_Model_Content!$E$1:$E$613,_REF_Model_Content!$A$1:$A$613,PV_Canonical_Industry,_REF_Model_Content!$B$1:$B$613,$C900)=0,1,SUMIFS(_REF_Model_Content!$E$1:$E$613,_REF_Model_Content!$A$1:$A$613,PV_Canonical_Industry,_REF_Model_Content!$B$1:$B$613,$C900))*IFERROR($BU900,1)),1),"")</f>
        <v>1</v>
      </c>
      <c r="AY900">
        <f t="shared" si="231"/>
        <v>18</v>
      </c>
      <c r="AZ900">
        <f t="shared" si="232"/>
        <v>1.37</v>
      </c>
      <c r="BB900" t="str">
        <f>IF($H900="","",IFERROR(INDEX(_ENGINE_Risk!$AE$5:$AE$499,MATCH($E900,_ENGINE_Risk!$A$5:$A$499,0)),"Medium"))</f>
        <v>Medium</v>
      </c>
      <c r="BC900">
        <f t="shared" si="233"/>
        <v>1</v>
      </c>
      <c r="BD900">
        <f t="shared" si="234"/>
        <v>1.37</v>
      </c>
      <c r="BF900">
        <f>IF(OR($H900="",$J900=""),"",IFERROR(VLOOKUP(ROUND($J900,0),_CONFIG_Model_Settings!$D$154:$E$158,2,0),""))</f>
        <v>0.5</v>
      </c>
      <c r="BG900">
        <f>IFERROR(IF(OR($H900="",$K900=""),"",ROUND('Company Profile'!$B$113*INDEX(_CONFIG_Model_Settings!$H$154:$H$158,MATCH(ROUND($K900,0),_CONFIG_Model_Settings!$G$154:$G$158,0)),0)),0)</f>
        <v>1875</v>
      </c>
      <c r="BH900">
        <f t="shared" si="235"/>
        <v>937.5</v>
      </c>
      <c r="BI900">
        <f t="shared" si="236"/>
        <v>937.5</v>
      </c>
      <c r="BJ900">
        <f>IF($E900="","",IFERROR(VLOOKUP($C900,_CONFIG_Risk_Calibration!$A$5:$H$21,2,FALSE),3))</f>
        <v>3</v>
      </c>
      <c r="BK900">
        <f>IF($E900="","",IFERROR(VLOOKUP($C900,_CONFIG_Risk_Calibration!$A$5:$H$21,3,FALSE),0))</f>
        <v>0</v>
      </c>
      <c r="BL900">
        <f>IF($E900="","",IFERROR(VLOOKUP($C900,_CONFIG_Risk_Calibration!$A$5:$H$21,4,FALSE),3))</f>
        <v>3</v>
      </c>
      <c r="BM900">
        <f>IF($E900="","",IFERROR(VLOOKUP($C900,_CONFIG_Risk_Calibration!$A$5:$H$21,5,FALSE),3))</f>
        <v>4</v>
      </c>
      <c r="BN900" t="str">
        <f>IF($E900="","",IFERROR(VLOOKUP($C900,_CONFIG_Risk_Calibration!$A$5:$H$21,6,FALSE),"No"))</f>
        <v>Yes</v>
      </c>
      <c r="BO900">
        <f>IF($E900="","",IFERROR(VLOOKUP($C900,_CONFIG_Risk_Calibration!$A$5:$H$21,7,FALSE),1))</f>
        <v>5</v>
      </c>
      <c r="BP900">
        <f>IF($H900="","",MAX(1,MIN(5,((6-$H900)*0.45)+($BJ900*0.2)+('Resilience &amp; Risk Scenario'!$B$7*0.15)+($BK900*0.1)+($BL900*0.05)+(IF($BB900="Fast",5,IF($BB900="Slow",1,3))*0.05))))</f>
        <v>3.6</v>
      </c>
      <c r="BQ900">
        <f t="shared" si="237"/>
        <v>5</v>
      </c>
      <c r="BR900">
        <f t="shared" si="238"/>
        <v>18</v>
      </c>
      <c r="BS900">
        <f t="shared" si="239"/>
        <v>19.8</v>
      </c>
      <c r="BT900" t="str">
        <f>IFERROR(INDEX(_REF_Capability_Bridge!$D:$D,MATCH($C900&amp;"|"&amp;$D900,_REF_Capability_Bridge!$J:$J,0)),IFERROR(INDEX(_REF_Capability_Bridge!$D:$D,MATCH($C900&amp;"|",_REF_Capability_Bridge!$J:$J,0)),"CAP_GENERIC"))</f>
        <v>CAP_INCIDENT_RESPONSE</v>
      </c>
      <c r="BU900">
        <f>IFERROR(IFERROR(INDEX(_ENGINE_Relevance!$L:$L,MATCH($BT900,_ENGINE_Relevance!$B:$B,0)),1),1)</f>
        <v>1</v>
      </c>
      <c r="BV900" t="str">
        <f>IFERROR(INDEX(_REF_Capability_Bridge!$A:$A,MATCH($C900&amp;"|"&amp;$D900,_REF_Capability_Bridge!$J:$J,0)),IFERROR(INDEX(_REF_Capability_Bridge!$A:$A,MATCH($C900&amp;"|",_REF_Capability_Bridge!$J:$J,0)),"No bridge"))</f>
        <v>BRG-013</v>
      </c>
      <c r="BW900" t="str">
        <f t="shared" si="240"/>
        <v>Capability relevance neutral</v>
      </c>
      <c r="BX900" t="str">
        <f t="shared" si="241"/>
        <v>Initial / absent</v>
      </c>
      <c r="BY900" t="str">
        <f>IF($E900="","",IFERROR(INDEX(_REF_Treatment_Library!$A$2:$A$296,MATCH(1,INDEX((_REF_Treatment_Library!$B$2:$B$296=$BT900)*(_REF_Treatment_Library!$C$2:$C$296=PV_Canonical_Industry)*(_REF_Treatment_Library!$E$2:$E$296&lt;=N($H900))*(_REF_Treatment_Library!$F$2:$F$296&gt;=N($H900))*(_REF_Treatment_Library!$O$2:$O$296="Yes"),0),0)),IFERROR(INDEX(_REF_Treatment_Library!$A$2:$A$296,MATCH(1,INDEX((_REF_Treatment_Library!$B$2:$B$296=$BT900)*(_REF_Treatment_Library!$C$2:$C$296="All")*(_REF_Treatment_Library!$E$2:$E$296&lt;=N($H900))*(_REF_Treatment_Library!$F$2:$F$296&gt;=N($H900))*(_REF_Treatment_Library!$O$2:$O$296="Yes"),0),0)),"")))</f>
        <v>TRT-INCIDENT_RESPONSE-INITIAL</v>
      </c>
      <c r="BZ900" t="str">
        <f>IF($BY900="","",IFERROR(INDEX(_REF_Treatment_Library!$H$2:$H$296,MATCH($BY900,_REF_Treatment_Library!$A$2:$A$296,0)),""))</f>
        <v>Establish</v>
      </c>
      <c r="CA900" t="str">
        <f>IF($BY900="","",IFERROR(INDEX(_REF_Treatment_Library!$I$2:$I$296,MATCH($BY900,_REF_Treatment_Library!$A$2:$A$296,0)),""))</f>
        <v>Establish baseline controls for Incident response</v>
      </c>
      <c r="CB900" t="str">
        <f>IF($BY900="","",IFERROR(INDEX(_REF_Treatment_Library!$K$2:$K$296,MATCH($BY900,_REF_Treatment_Library!$A$2:$A$296,0)),""))</f>
        <v>Named owner, baseline process, minimum control checklist, first evidence package</v>
      </c>
      <c r="CC900" t="str">
        <f>IF($BY900="","",IFERROR(INDEX(_REF_Treatment_Library!$L$2:$L$296,MATCH($BY900,_REF_Treatment_Library!$A$2:$A$296,0)),""))</f>
        <v>Owner assigned; baseline evidence coverage; open critical gaps</v>
      </c>
      <c r="CD900" t="str">
        <f t="shared" si="242"/>
        <v>Treatment by capability=CAP_INCIDENT_RESPONSE; band=Initial / absent; score=0.0; treatment=Establish</v>
      </c>
      <c r="CE900" t="str">
        <f>IF($E900="","",IFERROR(INDEX(_REF_Industry_Wording!$A$2:$A$70,MATCH(1,INDEX((_REF_Industry_Wording!$B$2:$B$70=$BT900)*(_REF_Industry_Wording!$C$2:$C$70=PV_Canonical_Industry)*(_REF_Industry_Wording!$K$2:$K$70="Yes"),0),0)),IFERROR(INDEX(_REF_Industry_Wording!$A$2:$A$70,MATCH(1,INDEX((_REF_Industry_Wording!$B$2:$B$70=$BT900)*(_REF_Industry_Wording!$C$2:$C$70="All")*(_REF_Industry_Wording!$K$2:$K$70="Yes"),0),0)),"")))</f>
        <v>IW-ALL-INCIDENT_RESPONSE</v>
      </c>
      <c r="CF900" t="str">
        <f>IF($CE900="","",IFERROR(INDEX(_REF_Industry_Wording!$E$2:$E$70,MATCH($CE900,_REF_Industry_Wording!$A$2:$A$70,0)),""))</f>
        <v>Incident response weakness</v>
      </c>
      <c r="CG900" t="str">
        <f>IF($CE900="","",IFERROR(INDEX(_REF_Industry_Wording!$F$2:$F$70,MATCH($CE900,_REF_Industry_Wording!$A$2:$A$70,0)),""))</f>
        <v>Strengthen Incident response</v>
      </c>
      <c r="CH900" t="str">
        <f>IF($CE900="","",IFERROR(INDEX(_REF_Industry_Wording!$G$2:$G$70,MATCH($CE900,_REF_Industry_Wording!$A$2:$A$70,0)),""))</f>
        <v>Strengthen Incident response using the selected maturity treatment, crisis scenario and evidence requirements.</v>
      </c>
      <c r="CI900" t="str">
        <f>IF($CE900="","",IFERROR(INDEX(_REF_Industry_Wording!$H$2:$H$70,MATCH($CE900,_REF_Industry_Wording!$A$2:$A$70,0)),""))</f>
        <v>Incident response</v>
      </c>
      <c r="CJ900">
        <f>IF($CE900="","",IFERROR(INDEX(_REF_Industry_Wording!$I$2:$I$70,MATCH($CE900,_REF_Industry_Wording!$A$2:$A$70,0)),""))</f>
        <v>0</v>
      </c>
      <c r="CK900" t="str">
        <f>IF($CE900="","",IFERROR(INDEX(_REF_Industry_Wording!$J$2:$J$70,MATCH($CE900,_REF_Industry_Wording!$A$2:$A$70,0)),""))</f>
        <v>Incident response</v>
      </c>
      <c r="CL900" t="str">
        <f t="shared" si="243"/>
        <v>Wording by industry=0; capability=CAP_INCIDENT_RESPONSE; risk label=Incident response weakness</v>
      </c>
      <c r="CM900" t="str">
        <f t="shared" si="244"/>
        <v>RISK-ONT-0401</v>
      </c>
      <c r="CN900" t="str">
        <f t="shared" si="245"/>
        <v>RISK-EVT-0401</v>
      </c>
      <c r="CO900" t="str">
        <f t="shared" si="246"/>
        <v>Cyber Privacy|Detection and response|CYBE-037|CAP_INCIDENT_RESPONSE</v>
      </c>
      <c r="CP900" t="str">
        <f t="shared" si="247"/>
        <v>Active</v>
      </c>
      <c r="CQ900" t="str">
        <f t="shared" si="248"/>
        <v>OK: capability-driven</v>
      </c>
      <c r="CR900" t="str">
        <f t="shared" si="249"/>
        <v>Risk ontology uses capability=CAP_INCIDENT_RESPONSE; bridge=BRG-013; treatment=TRT-INCIDENT_RESPONSE-INITIAL; wording=IW-ALL-INCIDENT_RESPONSE</v>
      </c>
      <c r="CS900" t="str">
        <f t="shared" si="250"/>
        <v>Yes</v>
      </c>
    </row>
    <row r="901" spans="1:97" ht="69.900000000000006" customHeight="1">
      <c r="A901">
        <f>IF(OR($B901&lt;&gt;"Yes",$BS901=""),"",SUMPRODUCT(($B$500:$B$923="Yes")*ISNUMBER($BS$500:$BS$923)*($BS$500:$BS$923&gt;$BS901))+COUNTIFS($B$500:$B901,"Yes",$BS$500:$BS901,$BS901))</f>
        <v>155</v>
      </c>
      <c r="B901" t="str">
        <f t="shared" si="219"/>
        <v>Yes</v>
      </c>
      <c r="C901" t="s">
        <v>2986</v>
      </c>
      <c r="D901" t="s">
        <v>3023</v>
      </c>
      <c r="E901" t="s">
        <v>3195</v>
      </c>
      <c r="F901" t="s">
        <v>10252</v>
      </c>
      <c r="G901" t="str">
        <f>IF($H901="","",IFERROR(INDEX(_ENGINE_Risk!$H$5:$M$499,MATCH($E901,_ENGINE_Risk!$A$5:$A$499,0),$H901+1),""))</f>
        <v>Severe risk: forensic evidence preservation with defined collection procedures, integrity protection and chain of custody is not reliably controlled. During Cyberattack/ransomware; Regulatory/legal shock, the organization may face lost legal and insurance claims, unprovable incident scope and repeat compromise from unknown root cause with limited visibility or accountability.</v>
      </c>
      <c r="H901">
        <f>IFERROR(VALUE(INDEX(_DATA_Assessment_Model!$H$5:$H$884,MATCH($E901,_DATA_Assessment_Model!$A$5:$A$884,0))),"")</f>
        <v>0</v>
      </c>
      <c r="I901" t="str">
        <f>IF($H901="","",IFERROR(INDEX(_DATA_Assessment_Model!$L$5:$L$884,MATCH($E901,_DATA_Assessment_Model!$A$5:$A$884,0)),IF($H901&lt;=1,"Critical",IF($H901=2,"High",IF($H901=3,"Medium",IF($H901=4,"Low","Resilient"))))))</f>
        <v>Critical</v>
      </c>
      <c r="J901">
        <f t="shared" si="220"/>
        <v>3.6</v>
      </c>
      <c r="K901">
        <f t="shared" si="221"/>
        <v>5</v>
      </c>
      <c r="L901">
        <f t="shared" si="222"/>
        <v>18</v>
      </c>
      <c r="M901">
        <f t="shared" si="223"/>
        <v>4</v>
      </c>
      <c r="N901">
        <f>IF($H901="","",IFERROR(INDEX(_ENGINE_Risk!$T$5:$Y$499,MATCH($E901,_ENGINE_Risk!$A$5:$A$499,0),$H901+1),""))</f>
        <v>3</v>
      </c>
      <c r="O901">
        <f t="shared" si="224"/>
        <v>3.3333333333333335</v>
      </c>
      <c r="P901">
        <f t="shared" si="225"/>
        <v>5</v>
      </c>
      <c r="Q901">
        <f t="shared" si="226"/>
        <v>4.6500000000000004</v>
      </c>
      <c r="R901">
        <f t="shared" si="227"/>
        <v>3.5</v>
      </c>
      <c r="S901">
        <f t="shared" si="228"/>
        <v>1.37</v>
      </c>
      <c r="T901" t="str">
        <f>IF($H901="","",IFERROR(INDEX(_ENGINE_Risk!$N$5:$S$499,MATCH($E901,_ENGINE_Risk!$A$5:$A$499,0),$H901+1),""))</f>
        <v>Create an immediate risk owner, minimum control baseline and fallback procedure for forensic evidence preservation with defined collection procedures, integrity protection and chain of custody. Add it to the crisis risk register and collect first evidence.</v>
      </c>
      <c r="U901">
        <f>IFERROR(INDEX(_DATA_Assessment_Model!$G$5:$G$884,MATCH($E901,_DATA_Assessment_Model!$A$5:$A$884,0)),"")</f>
        <v>3</v>
      </c>
      <c r="V901">
        <f>IFERROR(INDEX(_DATA_Assessment_Model!$W$5:$W$884,MATCH($E901,_DATA_Assessment_Model!$A$5:$A$884,0)),"")</f>
        <v>3</v>
      </c>
      <c r="W901">
        <f>IFERROR(INDEX(_DATA_Assessment_Model!$X$5:$X$884,MATCH($E901,_DATA_Assessment_Model!$A$5:$A$884,0)),"")</f>
        <v>4</v>
      </c>
      <c r="X901">
        <f>IFERROR(INDEX(_DATA_Assessment_Model!$Y$5:$Y$884,MATCH($E901,_DATA_Assessment_Model!$A$5:$A$884,0)),"")</f>
        <v>4</v>
      </c>
      <c r="Y901" t="s">
        <v>1373</v>
      </c>
      <c r="Z901" t="s">
        <v>10283</v>
      </c>
      <c r="AA901" t="s">
        <v>10282</v>
      </c>
      <c r="AB901">
        <f>IFERROR(INDEX(_DATA_Assessment_Model!$U$5:$U$884,MATCH($E901,_DATA_Assessment_Model!$A$5:$A$884,0)),"")</f>
        <v>0</v>
      </c>
      <c r="AF901" t="s">
        <v>3196</v>
      </c>
      <c r="AO901">
        <f>IF($B901="Yes",IF(IFERROR(INDEX(_ENGINE_Crisis!$F$501:$F$517,MATCH($C901,_ENGINE_Crisis!$A$501:$A$517,0)),1)=0,1,IFERROR(INDEX(_ENGINE_Crisis!$F$501:$F$517,MATCH($C901,_ENGINE_Crisis!$A$501:$A$517,0)),1)),"")</f>
        <v>1</v>
      </c>
      <c r="AP901">
        <f t="shared" si="229"/>
        <v>18</v>
      </c>
      <c r="AQ901">
        <f t="shared" si="230"/>
        <v>1.37</v>
      </c>
      <c r="AR901" t="str">
        <f>IFERROR(INDEX(_ENGINE_Crisis!$E$41:$E$700,MATCH('Resilience &amp; Risk Scenario'!$B$6&amp;"|"&amp;$C901,_ENGINE_Crisis!$I$41:$I$700,0)),"")</f>
        <v/>
      </c>
      <c r="AS901" t="str">
        <f>IFERROR(INDEX(_ENGINE_Crisis!$G$41:$G$700,MATCH('Resilience &amp; Risk Scenario'!$B$6&amp;"|"&amp;$C901,_ENGINE_Crisis!$I$41:$I$700,0)),"")</f>
        <v/>
      </c>
      <c r="AT901" t="str">
        <f>IFERROR(INDEX(_ENGINE_Initiatives!$A$5:$A$532,MATCH(1,INDEX((_ENGINE_Initiatives!$B$5:$B$532=$C901)*(_ENGINE_Initiatives!$C$5:$C$532=$D901),0),0)),"")</f>
        <v>INI-066</v>
      </c>
      <c r="AU901" t="str">
        <f>IFERROR(INDEX(_ENGINE_Initiatives!$F$5:$F$532,MATCH(1,INDEX((_ENGINE_Initiatives!$B$5:$B$532=$C901)*(_ENGINE_Initiatives!$C$5:$C$532=$D901),0),0)),"")</f>
        <v>Implement detection, response, logging and security incident exercises</v>
      </c>
      <c r="AV901">
        <f>IFERROR(INDEX(_ENGINE_Initiatives!$AC$5:$AC$532,MATCH(1,INDEX((_ENGINE_Initiatives!$B$5:$B$532=$C901)*(_ENGINE_Initiatives!$C$5:$C$532=$D901),0),0)),"")</f>
        <v>1.38</v>
      </c>
      <c r="AW901" t="str">
        <f>IFERROR(INDEX(_ENGINE_Initiatives!$AE$5:$AE$532,MATCH(1,INDEX((_ENGINE_Initiatives!$B$5:$B$532=$C901)*(_ENGINE_Initiatives!$C$5:$C$532=$D901),0),0)),"")</f>
        <v>6-12 months</v>
      </c>
      <c r="AX901">
        <f>IF($B901="Yes",IFERROR((IF(SUMIFS(_REF_Model_Content!$E$1:$E$613,_REF_Model_Content!$A$1:$A$613,PV_Canonical_Industry,_REF_Model_Content!$B$1:$B$613,$C901)=0,1,SUMIFS(_REF_Model_Content!$E$1:$E$613,_REF_Model_Content!$A$1:$A$613,PV_Canonical_Industry,_REF_Model_Content!$B$1:$B$613,$C901))*IFERROR($BU901,1)),1),"")</f>
        <v>1</v>
      </c>
      <c r="AY901">
        <f t="shared" si="231"/>
        <v>18</v>
      </c>
      <c r="AZ901">
        <f t="shared" si="232"/>
        <v>1.37</v>
      </c>
      <c r="BB901" t="str">
        <f>IF($H901="","",IFERROR(INDEX(_ENGINE_Risk!$AE$5:$AE$499,MATCH($E901,_ENGINE_Risk!$A$5:$A$499,0)),"Medium"))</f>
        <v>Medium</v>
      </c>
      <c r="BC901">
        <f t="shared" si="233"/>
        <v>1</v>
      </c>
      <c r="BD901">
        <f t="shared" si="234"/>
        <v>1.37</v>
      </c>
      <c r="BF901">
        <f>IF(OR($H901="",$J901=""),"",IFERROR(VLOOKUP(ROUND($J901,0),_CONFIG_Model_Settings!$D$154:$E$158,2,0),""))</f>
        <v>0.5</v>
      </c>
      <c r="BG901">
        <f>IFERROR(IF(OR($H901="",$K901=""),"",ROUND('Company Profile'!$B$113*INDEX(_CONFIG_Model_Settings!$H$154:$H$158,MATCH(ROUND($K901,0),_CONFIG_Model_Settings!$G$154:$G$158,0)),0)),0)</f>
        <v>1875</v>
      </c>
      <c r="BH901">
        <f t="shared" si="235"/>
        <v>937.5</v>
      </c>
      <c r="BI901">
        <f t="shared" si="236"/>
        <v>937.5</v>
      </c>
      <c r="BJ901">
        <f>IF($E901="","",IFERROR(VLOOKUP($C901,_CONFIG_Risk_Calibration!$A$5:$H$21,2,FALSE),3))</f>
        <v>3</v>
      </c>
      <c r="BK901">
        <f>IF($E901="","",IFERROR(VLOOKUP($C901,_CONFIG_Risk_Calibration!$A$5:$H$21,3,FALSE),0))</f>
        <v>0</v>
      </c>
      <c r="BL901">
        <f>IF($E901="","",IFERROR(VLOOKUP($C901,_CONFIG_Risk_Calibration!$A$5:$H$21,4,FALSE),3))</f>
        <v>3</v>
      </c>
      <c r="BM901">
        <f>IF($E901="","",IFERROR(VLOOKUP($C901,_CONFIG_Risk_Calibration!$A$5:$H$21,5,FALSE),3))</f>
        <v>4</v>
      </c>
      <c r="BN901" t="str">
        <f>IF($E901="","",IFERROR(VLOOKUP($C901,_CONFIG_Risk_Calibration!$A$5:$H$21,6,FALSE),"No"))</f>
        <v>Yes</v>
      </c>
      <c r="BO901">
        <f>IF($E901="","",IFERROR(VLOOKUP($C901,_CONFIG_Risk_Calibration!$A$5:$H$21,7,FALSE),1))</f>
        <v>5</v>
      </c>
      <c r="BP901">
        <f>IF($H901="","",MAX(1,MIN(5,((6-$H901)*0.45)+($BJ901*0.2)+('Resilience &amp; Risk Scenario'!$B$7*0.15)+($BK901*0.1)+($BL901*0.05)+(IF($BB901="Fast",5,IF($BB901="Slow",1,3))*0.05))))</f>
        <v>3.6</v>
      </c>
      <c r="BQ901">
        <f t="shared" si="237"/>
        <v>5</v>
      </c>
      <c r="BR901">
        <f t="shared" si="238"/>
        <v>18</v>
      </c>
      <c r="BS901">
        <f t="shared" si="239"/>
        <v>19.8</v>
      </c>
      <c r="BT901" t="str">
        <f>IFERROR(INDEX(_REF_Capability_Bridge!$D:$D,MATCH($C901&amp;"|"&amp;$D901,_REF_Capability_Bridge!$J:$J,0)),IFERROR(INDEX(_REF_Capability_Bridge!$D:$D,MATCH($C901&amp;"|",_REF_Capability_Bridge!$J:$J,0)),"CAP_GENERIC"))</f>
        <v>CAP_INCIDENT_RESPONSE</v>
      </c>
      <c r="BU901">
        <f>IFERROR(IFERROR(INDEX(_ENGINE_Relevance!$L:$L,MATCH($BT901,_ENGINE_Relevance!$B:$B,0)),1),1)</f>
        <v>1</v>
      </c>
      <c r="BV901" t="str">
        <f>IFERROR(INDEX(_REF_Capability_Bridge!$A:$A,MATCH($C901&amp;"|"&amp;$D901,_REF_Capability_Bridge!$J:$J,0)),IFERROR(INDEX(_REF_Capability_Bridge!$A:$A,MATCH($C901&amp;"|",_REF_Capability_Bridge!$J:$J,0)),"No bridge"))</f>
        <v>BRG-013</v>
      </c>
      <c r="BW901" t="str">
        <f t="shared" si="240"/>
        <v>Capability relevance neutral</v>
      </c>
      <c r="BX901" t="str">
        <f t="shared" si="241"/>
        <v>Initial / absent</v>
      </c>
      <c r="BY901" t="str">
        <f>IF($E901="","",IFERROR(INDEX(_REF_Treatment_Library!$A$2:$A$296,MATCH(1,INDEX((_REF_Treatment_Library!$B$2:$B$296=$BT901)*(_REF_Treatment_Library!$C$2:$C$296=PV_Canonical_Industry)*(_REF_Treatment_Library!$E$2:$E$296&lt;=N($H901))*(_REF_Treatment_Library!$F$2:$F$296&gt;=N($H901))*(_REF_Treatment_Library!$O$2:$O$296="Yes"),0),0)),IFERROR(INDEX(_REF_Treatment_Library!$A$2:$A$296,MATCH(1,INDEX((_REF_Treatment_Library!$B$2:$B$296=$BT901)*(_REF_Treatment_Library!$C$2:$C$296="All")*(_REF_Treatment_Library!$E$2:$E$296&lt;=N($H901))*(_REF_Treatment_Library!$F$2:$F$296&gt;=N($H901))*(_REF_Treatment_Library!$O$2:$O$296="Yes"),0),0)),"")))</f>
        <v>TRT-INCIDENT_RESPONSE-INITIAL</v>
      </c>
      <c r="BZ901" t="str">
        <f>IF($BY901="","",IFERROR(INDEX(_REF_Treatment_Library!$H$2:$H$296,MATCH($BY901,_REF_Treatment_Library!$A$2:$A$296,0)),""))</f>
        <v>Establish</v>
      </c>
      <c r="CA901" t="str">
        <f>IF($BY901="","",IFERROR(INDEX(_REF_Treatment_Library!$I$2:$I$296,MATCH($BY901,_REF_Treatment_Library!$A$2:$A$296,0)),""))</f>
        <v>Establish baseline controls for Incident response</v>
      </c>
      <c r="CB901" t="str">
        <f>IF($BY901="","",IFERROR(INDEX(_REF_Treatment_Library!$K$2:$K$296,MATCH($BY901,_REF_Treatment_Library!$A$2:$A$296,0)),""))</f>
        <v>Named owner, baseline process, minimum control checklist, first evidence package</v>
      </c>
      <c r="CC901" t="str">
        <f>IF($BY901="","",IFERROR(INDEX(_REF_Treatment_Library!$L$2:$L$296,MATCH($BY901,_REF_Treatment_Library!$A$2:$A$296,0)),""))</f>
        <v>Owner assigned; baseline evidence coverage; open critical gaps</v>
      </c>
      <c r="CD901" t="str">
        <f t="shared" si="242"/>
        <v>Treatment by capability=CAP_INCIDENT_RESPONSE; band=Initial / absent; score=0.0; treatment=Establish</v>
      </c>
      <c r="CE901" t="str">
        <f>IF($E901="","",IFERROR(INDEX(_REF_Industry_Wording!$A$2:$A$70,MATCH(1,INDEX((_REF_Industry_Wording!$B$2:$B$70=$BT901)*(_REF_Industry_Wording!$C$2:$C$70=PV_Canonical_Industry)*(_REF_Industry_Wording!$K$2:$K$70="Yes"),0),0)),IFERROR(INDEX(_REF_Industry_Wording!$A$2:$A$70,MATCH(1,INDEX((_REF_Industry_Wording!$B$2:$B$70=$BT901)*(_REF_Industry_Wording!$C$2:$C$70="All")*(_REF_Industry_Wording!$K$2:$K$70="Yes"),0),0)),"")))</f>
        <v>IW-ALL-INCIDENT_RESPONSE</v>
      </c>
      <c r="CF901" t="str">
        <f>IF($CE901="","",IFERROR(INDEX(_REF_Industry_Wording!$E$2:$E$70,MATCH($CE901,_REF_Industry_Wording!$A$2:$A$70,0)),""))</f>
        <v>Incident response weakness</v>
      </c>
      <c r="CG901" t="str">
        <f>IF($CE901="","",IFERROR(INDEX(_REF_Industry_Wording!$F$2:$F$70,MATCH($CE901,_REF_Industry_Wording!$A$2:$A$70,0)),""))</f>
        <v>Strengthen Incident response</v>
      </c>
      <c r="CH901" t="str">
        <f>IF($CE901="","",IFERROR(INDEX(_REF_Industry_Wording!$G$2:$G$70,MATCH($CE901,_REF_Industry_Wording!$A$2:$A$70,0)),""))</f>
        <v>Strengthen Incident response using the selected maturity treatment, crisis scenario and evidence requirements.</v>
      </c>
      <c r="CI901" t="str">
        <f>IF($CE901="","",IFERROR(INDEX(_REF_Industry_Wording!$H$2:$H$70,MATCH($CE901,_REF_Industry_Wording!$A$2:$A$70,0)),""))</f>
        <v>Incident response</v>
      </c>
      <c r="CJ901">
        <f>IF($CE901="","",IFERROR(INDEX(_REF_Industry_Wording!$I$2:$I$70,MATCH($CE901,_REF_Industry_Wording!$A$2:$A$70,0)),""))</f>
        <v>0</v>
      </c>
      <c r="CK901" t="str">
        <f>IF($CE901="","",IFERROR(INDEX(_REF_Industry_Wording!$J$2:$J$70,MATCH($CE901,_REF_Industry_Wording!$A$2:$A$70,0)),""))</f>
        <v>Incident response</v>
      </c>
      <c r="CL901" t="str">
        <f t="shared" si="243"/>
        <v>Wording by industry=0; capability=CAP_INCIDENT_RESPONSE; risk label=Incident response weakness</v>
      </c>
      <c r="CM901" t="str">
        <f t="shared" si="244"/>
        <v>RISK-ONT-0402</v>
      </c>
      <c r="CN901" t="str">
        <f t="shared" si="245"/>
        <v>RISK-EVT-0402</v>
      </c>
      <c r="CO901" t="str">
        <f t="shared" si="246"/>
        <v>Cyber Privacy|Detection and response|CYBE-038|CAP_INCIDENT_RESPONSE</v>
      </c>
      <c r="CP901" t="str">
        <f t="shared" si="247"/>
        <v>Active</v>
      </c>
      <c r="CQ901" t="str">
        <f t="shared" si="248"/>
        <v>OK: capability-driven</v>
      </c>
      <c r="CR901" t="str">
        <f t="shared" si="249"/>
        <v>Risk ontology uses capability=CAP_INCIDENT_RESPONSE; bridge=BRG-013; treatment=TRT-INCIDENT_RESPONSE-INITIAL; wording=IW-ALL-INCIDENT_RESPONSE</v>
      </c>
      <c r="CS901" t="str">
        <f t="shared" si="250"/>
        <v>Yes</v>
      </c>
    </row>
    <row r="902" spans="1:97" ht="69.900000000000006" customHeight="1">
      <c r="A902">
        <f>IF(OR($B902&lt;&gt;"Yes",$BS902=""),"",SUMPRODUCT(($B$500:$B$923="Yes")*ISNUMBER($BS$500:$BS$923)*($BS$500:$BS$923&gt;$BS902))+COUNTIFS($B$500:$B902,"Yes",$BS$500:$BS902,$BS902))</f>
        <v>382</v>
      </c>
      <c r="B902" t="str">
        <f t="shared" si="219"/>
        <v>Yes</v>
      </c>
      <c r="C902" t="s">
        <v>3204</v>
      </c>
      <c r="D902" t="s">
        <v>3206</v>
      </c>
      <c r="E902" t="s">
        <v>3205</v>
      </c>
      <c r="F902" t="s">
        <v>4507</v>
      </c>
      <c r="G902" t="str">
        <f>IF($H902="","",IFERROR(INDEX(_ENGINE_Risk!$H$5:$M$499,MATCH($E902,_ENGINE_Risk!$A$5:$A$499,0),$H902+1),""))</f>
        <v>Severe risk: process architecture covering major value streams and support processes is not reliably controlled. During Execution failure; Delivery disruption; Decision failure, the organization may face poor quality control, failed change execution, unmanaged portfolio trade-offs and benefit erosion with limited visibility or accountability.</v>
      </c>
      <c r="H902">
        <f>IFERROR(VALUE(INDEX(_DATA_Assessment_Model!$H$5:$H$884,MATCH($E902,_DATA_Assessment_Model!$A$5:$A$884,0))),"")</f>
        <v>0</v>
      </c>
      <c r="I902" t="str">
        <f>IF($H902="","",IFERROR(INDEX(_DATA_Assessment_Model!$L$5:$L$884,MATCH($E902,_DATA_Assessment_Model!$A$5:$A$884,0)),IF($H902&lt;=1,"Critical",IF($H902=2,"High",IF($H902=3,"Medium",IF($H902=4,"Low","Resilient"))))))</f>
        <v>Critical</v>
      </c>
      <c r="J902">
        <f t="shared" si="220"/>
        <v>3.5</v>
      </c>
      <c r="K902">
        <f t="shared" si="221"/>
        <v>4</v>
      </c>
      <c r="L902">
        <f t="shared" si="222"/>
        <v>14</v>
      </c>
      <c r="M902">
        <f t="shared" si="223"/>
        <v>3</v>
      </c>
      <c r="N902">
        <f>IF($H902="","",IFERROR(INDEX(_ENGINE_Risk!$T$5:$Y$499,MATCH($E902,_ENGINE_Risk!$A$5:$A$499,0),$H902+1),""))</f>
        <v>3</v>
      </c>
      <c r="O902">
        <f t="shared" si="224"/>
        <v>4</v>
      </c>
      <c r="P902">
        <f t="shared" si="225"/>
        <v>5</v>
      </c>
      <c r="Q902">
        <f t="shared" si="226"/>
        <v>5</v>
      </c>
      <c r="R902">
        <f t="shared" si="227"/>
        <v>4.5</v>
      </c>
      <c r="S902">
        <f t="shared" si="228"/>
        <v>1.54</v>
      </c>
      <c r="T902" t="str">
        <f>IF($H902="","",IFERROR(INDEX(_ENGINE_Risk!$N$5:$S$499,MATCH($E902,_ENGINE_Risk!$A$5:$A$499,0),$H902+1),""))</f>
        <v>Create an immediate risk owner, minimum control baseline and fallback procedure for process architecture covering major value streams and support processes. Add it to the crisis risk register and collect first evidence.</v>
      </c>
      <c r="U902">
        <f>IFERROR(INDEX(_DATA_Assessment_Model!$G$5:$G$884,MATCH($E902,_DATA_Assessment_Model!$A$5:$A$884,0)),"")</f>
        <v>3</v>
      </c>
      <c r="V902">
        <f>IFERROR(INDEX(_DATA_Assessment_Model!$W$5:$W$884,MATCH($E902,_DATA_Assessment_Model!$A$5:$A$884,0)),"")</f>
        <v>4</v>
      </c>
      <c r="W902">
        <f>IFERROR(INDEX(_DATA_Assessment_Model!$X$5:$X$884,MATCH($E902,_DATA_Assessment_Model!$A$5:$A$884,0)),"")</f>
        <v>5</v>
      </c>
      <c r="X902">
        <f>IFERROR(INDEX(_DATA_Assessment_Model!$Y$5:$Y$884,MATCH($E902,_DATA_Assessment_Model!$A$5:$A$884,0)),"")</f>
        <v>5</v>
      </c>
      <c r="Y902" t="s">
        <v>3217</v>
      </c>
      <c r="Z902" t="s">
        <v>10298</v>
      </c>
      <c r="AA902" t="s">
        <v>3210</v>
      </c>
      <c r="AB902">
        <f>IFERROR(INDEX(_DATA_Assessment_Model!$U$5:$U$884,MATCH($E902,_DATA_Assessment_Model!$A$5:$A$884,0)),"")</f>
        <v>0</v>
      </c>
      <c r="AF902" t="s">
        <v>3207</v>
      </c>
      <c r="AO902">
        <f>IF($B902="Yes",IF(IFERROR(INDEX(_ENGINE_Crisis!$F$501:$F$517,MATCH($C902,_ENGINE_Crisis!$A$501:$A$517,0)),1)=0,1,IFERROR(INDEX(_ENGINE_Crisis!$F$501:$F$517,MATCH($C902,_ENGINE_Crisis!$A$501:$A$517,0)),1)),"")</f>
        <v>1</v>
      </c>
      <c r="AP902">
        <f t="shared" si="229"/>
        <v>14</v>
      </c>
      <c r="AQ902">
        <f t="shared" si="230"/>
        <v>1.54</v>
      </c>
      <c r="AR902" t="str">
        <f>IFERROR(INDEX(_ENGINE_Crisis!$E$41:$E$700,MATCH('Resilience &amp; Risk Scenario'!$B$6&amp;"|"&amp;$C902,_ENGINE_Crisis!$I$41:$I$700,0)),"")</f>
        <v/>
      </c>
      <c r="AS902" t="str">
        <f>IFERROR(INDEX(_ENGINE_Crisis!$G$41:$G$700,MATCH('Resilience &amp; Risk Scenario'!$B$6&amp;"|"&amp;$C902,_ENGINE_Crisis!$I$41:$I$700,0)),"")</f>
        <v/>
      </c>
      <c r="AT902" t="str">
        <f>IFERROR(INDEX(_ENGINE_Initiatives!$A$5:$A$532,MATCH(1,INDEX((_ENGINE_Initiatives!$B$5:$B$532=$C902)*(_ENGINE_Initiatives!$C$5:$C$532=$D902),0),0)),"")</f>
        <v>INI-069</v>
      </c>
      <c r="AU902" t="str">
        <f>IFERROR(INDEX(_ENGINE_Initiatives!$F$5:$F$532,MATCH(1,INDEX((_ENGINE_Initiatives!$B$5:$B$532=$C902)*(_ENGINE_Initiatives!$C$5:$C$532=$D902),0),0)),"")</f>
        <v>Build process ownership, SOP and continuous-improvement model</v>
      </c>
      <c r="AV902">
        <f>IFERROR(INDEX(_ENGINE_Initiatives!$AC$5:$AC$532,MATCH(1,INDEX((_ENGINE_Initiatives!$B$5:$B$532=$C902)*(_ENGINE_Initiatives!$C$5:$C$532=$D902),0),0)),"")</f>
        <v>2.54</v>
      </c>
      <c r="AW902" t="str">
        <f>IFERROR(INDEX(_ENGINE_Initiatives!$AE$5:$AE$532,MATCH(1,INDEX((_ENGINE_Initiatives!$B$5:$B$532=$C902)*(_ENGINE_Initiatives!$C$5:$C$532=$D902),0),0)),"")</f>
        <v>0-90 days</v>
      </c>
      <c r="AX902">
        <f>IF($B902="Yes",IFERROR((IF(SUMIFS(_REF_Model_Content!$E$1:$E$613,_REF_Model_Content!$A$1:$A$613,PV_Canonical_Industry,_REF_Model_Content!$B$1:$B$613,$C902)=0,1,SUMIFS(_REF_Model_Content!$E$1:$E$613,_REF_Model_Content!$A$1:$A$613,PV_Canonical_Industry,_REF_Model_Content!$B$1:$B$613,$C902))*IFERROR($BU902,1)),1),"")</f>
        <v>1</v>
      </c>
      <c r="AY902">
        <f t="shared" si="231"/>
        <v>14</v>
      </c>
      <c r="AZ902">
        <f t="shared" si="232"/>
        <v>1.54</v>
      </c>
      <c r="BB902" t="str">
        <f>IF($H902="","",IFERROR(INDEX(_ENGINE_Risk!$AE$5:$AE$499,MATCH($E902,_ENGINE_Risk!$A$5:$A$499,0)),"Medium"))</f>
        <v>Slow</v>
      </c>
      <c r="BC902">
        <f t="shared" si="233"/>
        <v>0.85</v>
      </c>
      <c r="BD902">
        <f t="shared" si="234"/>
        <v>1.54</v>
      </c>
      <c r="BF902">
        <f>IF(OR($H902="",$J902=""),"",IFERROR(VLOOKUP(ROUND($J902,0),_CONFIG_Model_Settings!$D$154:$E$158,2,0),""))</f>
        <v>0.5</v>
      </c>
      <c r="BG902">
        <f>IFERROR(IF(OR($H902="",$K902=""),"",ROUND('Company Profile'!$B$113*INDEX(_CONFIG_Model_Settings!$H$154:$H$158,MATCH(ROUND($K902,0),_CONFIG_Model_Settings!$G$154:$G$158,0)),0)),0)</f>
        <v>875</v>
      </c>
      <c r="BH902">
        <f t="shared" si="235"/>
        <v>437.5</v>
      </c>
      <c r="BI902">
        <f t="shared" si="236"/>
        <v>437.5</v>
      </c>
      <c r="BJ902">
        <f>IF($E902="","",IFERROR(VLOOKUP($C902,_CONFIG_Risk_Calibration!$A$5:$H$21,2,FALSE),3))</f>
        <v>3</v>
      </c>
      <c r="BK902">
        <f>IF($E902="","",IFERROR(VLOOKUP($C902,_CONFIG_Risk_Calibration!$A$5:$H$21,3,FALSE),0))</f>
        <v>0</v>
      </c>
      <c r="BL902">
        <f>IF($E902="","",IFERROR(VLOOKUP($C902,_CONFIG_Risk_Calibration!$A$5:$H$21,4,FALSE),3))</f>
        <v>3</v>
      </c>
      <c r="BM902">
        <f>IF($E902="","",IFERROR(VLOOKUP($C902,_CONFIG_Risk_Calibration!$A$5:$H$21,5,FALSE),3))</f>
        <v>3</v>
      </c>
      <c r="BN902" t="str">
        <f>IF($E902="","",IFERROR(VLOOKUP($C902,_CONFIG_Risk_Calibration!$A$5:$H$21,6,FALSE),"No"))</f>
        <v>Yes</v>
      </c>
      <c r="BO902">
        <f>IF($E902="","",IFERROR(VLOOKUP($C902,_CONFIG_Risk_Calibration!$A$5:$H$21,7,FALSE),1))</f>
        <v>4</v>
      </c>
      <c r="BP902">
        <f>IF($H902="","",MAX(1,MIN(5,((6-$H902)*0.45)+($BJ902*0.2)+('Resilience &amp; Risk Scenario'!$B$7*0.15)+($BK902*0.1)+($BL902*0.05)+(IF($BB902="Fast",5,IF($BB902="Slow",1,3))*0.05))))</f>
        <v>3.5</v>
      </c>
      <c r="BQ902">
        <f t="shared" si="237"/>
        <v>4</v>
      </c>
      <c r="BR902">
        <f t="shared" si="238"/>
        <v>14</v>
      </c>
      <c r="BS902">
        <f t="shared" si="239"/>
        <v>11.9</v>
      </c>
      <c r="BT902" t="str">
        <f>IFERROR(INDEX(_REF_Capability_Bridge!$D:$D,MATCH($C902&amp;"|"&amp;$D902,_REF_Capability_Bridge!$J:$J,0)),IFERROR(INDEX(_REF_Capability_Bridge!$D:$D,MATCH($C902&amp;"|",_REF_Capability_Bridge!$J:$J,0)),"CAP_GENERIC"))</f>
        <v>CAP_DELIVERY_CONTINUITY</v>
      </c>
      <c r="BU902">
        <f>IFERROR(IFERROR(INDEX(_ENGINE_Relevance!$L:$L,MATCH($BT902,_ENGINE_Relevance!$B:$B,0)),1),1)</f>
        <v>1</v>
      </c>
      <c r="BV902" t="str">
        <f>IFERROR(INDEX(_REF_Capability_Bridge!$A:$A,MATCH($C902&amp;"|"&amp;$D902,_REF_Capability_Bridge!$J:$J,0)),IFERROR(INDEX(_REF_Capability_Bridge!$A:$A,MATCH($C902&amp;"|",_REF_Capability_Bridge!$J:$J,0)),"No bridge"))</f>
        <v>BRG-074</v>
      </c>
      <c r="BW902" t="str">
        <f t="shared" si="240"/>
        <v>Capability relevance neutral</v>
      </c>
      <c r="BX902" t="str">
        <f t="shared" si="241"/>
        <v>Initial / absent</v>
      </c>
      <c r="BY902" t="str">
        <f>IF($E902="","",IFERROR(INDEX(_REF_Treatment_Library!$A$2:$A$296,MATCH(1,INDEX((_REF_Treatment_Library!$B$2:$B$296=$BT902)*(_REF_Treatment_Library!$C$2:$C$296=PV_Canonical_Industry)*(_REF_Treatment_Library!$E$2:$E$296&lt;=N($H902))*(_REF_Treatment_Library!$F$2:$F$296&gt;=N($H902))*(_REF_Treatment_Library!$O$2:$O$296="Yes"),0),0)),IFERROR(INDEX(_REF_Treatment_Library!$A$2:$A$296,MATCH(1,INDEX((_REF_Treatment_Library!$B$2:$B$296=$BT902)*(_REF_Treatment_Library!$C$2:$C$296="All")*(_REF_Treatment_Library!$E$2:$E$296&lt;=N($H902))*(_REF_Treatment_Library!$F$2:$F$296&gt;=N($H902))*(_REF_Treatment_Library!$O$2:$O$296="Yes"),0),0)),"")))</f>
        <v>TRT-DELIVERY_CONTINUITY-INITIAL</v>
      </c>
      <c r="BZ902" t="str">
        <f>IF($BY902="","",IFERROR(INDEX(_REF_Treatment_Library!$H$2:$H$296,MATCH($BY902,_REF_Treatment_Library!$A$2:$A$296,0)),""))</f>
        <v>Establish</v>
      </c>
      <c r="CA902" t="str">
        <f>IF($BY902="","",IFERROR(INDEX(_REF_Treatment_Library!$I$2:$I$296,MATCH($BY902,_REF_Treatment_Library!$A$2:$A$296,0)),""))</f>
        <v>Establish baseline controls for Delivery continuity</v>
      </c>
      <c r="CB902" t="str">
        <f>IF($BY902="","",IFERROR(INDEX(_REF_Treatment_Library!$K$2:$K$296,MATCH($BY902,_REF_Treatment_Library!$A$2:$A$296,0)),""))</f>
        <v>Named owner, baseline process, minimum control checklist, first evidence package</v>
      </c>
      <c r="CC902" t="str">
        <f>IF($BY902="","",IFERROR(INDEX(_REF_Treatment_Library!$L$2:$L$296,MATCH($BY902,_REF_Treatment_Library!$A$2:$A$296,0)),""))</f>
        <v>Owner assigned; baseline evidence coverage; open critical gaps</v>
      </c>
      <c r="CD902" t="str">
        <f t="shared" si="242"/>
        <v>Treatment by capability=CAP_DELIVERY_CONTINUITY; band=Initial / absent; score=0.0; treatment=Establish</v>
      </c>
      <c r="CE902" t="str">
        <f>IF($E902="","",IFERROR(INDEX(_REF_Industry_Wording!$A$2:$A$70,MATCH(1,INDEX((_REF_Industry_Wording!$B$2:$B$70=$BT902)*(_REF_Industry_Wording!$C$2:$C$70=PV_Canonical_Industry)*(_REF_Industry_Wording!$K$2:$K$70="Yes"),0),0)),IFERROR(INDEX(_REF_Industry_Wording!$A$2:$A$70,MATCH(1,INDEX((_REF_Industry_Wording!$B$2:$B$70=$BT902)*(_REF_Industry_Wording!$C$2:$C$70="All")*(_REF_Industry_Wording!$K$2:$K$70="Yes"),0),0)),"")))</f>
        <v>IW-ALL-DELIVERY_CONTINUITY</v>
      </c>
      <c r="CF902" t="str">
        <f>IF($CE902="","",IFERROR(INDEX(_REF_Industry_Wording!$E$2:$E$70,MATCH($CE902,_REF_Industry_Wording!$A$2:$A$70,0)),""))</f>
        <v>Delivery continuity weakness</v>
      </c>
      <c r="CG902" t="str">
        <f>IF($CE902="","",IFERROR(INDEX(_REF_Industry_Wording!$F$2:$F$70,MATCH($CE902,_REF_Industry_Wording!$A$2:$A$70,0)),""))</f>
        <v>Strengthen Delivery continuity</v>
      </c>
      <c r="CH902" t="str">
        <f>IF($CE902="","",IFERROR(INDEX(_REF_Industry_Wording!$G$2:$G$70,MATCH($CE902,_REF_Industry_Wording!$A$2:$A$70,0)),""))</f>
        <v>Strengthen Delivery continuity using the selected maturity treatment, crisis scenario and evidence requirements.</v>
      </c>
      <c r="CI902" t="str">
        <f>IF($CE902="","",IFERROR(INDEX(_REF_Industry_Wording!$H$2:$H$70,MATCH($CE902,_REF_Industry_Wording!$A$2:$A$70,0)),""))</f>
        <v>Delivery continuity</v>
      </c>
      <c r="CJ902">
        <f>IF($CE902="","",IFERROR(INDEX(_REF_Industry_Wording!$I$2:$I$70,MATCH($CE902,_REF_Industry_Wording!$A$2:$A$70,0)),""))</f>
        <v>0</v>
      </c>
      <c r="CK902" t="str">
        <f>IF($CE902="","",IFERROR(INDEX(_REF_Industry_Wording!$J$2:$J$70,MATCH($CE902,_REF_Industry_Wording!$A$2:$A$70,0)),""))</f>
        <v>Delivery continuity</v>
      </c>
      <c r="CL902" t="str">
        <f t="shared" si="243"/>
        <v>Wording by industry=0; capability=CAP_DELIVERY_CONTINUITY; risk label=Delivery continuity weakness</v>
      </c>
      <c r="CM902" t="str">
        <f t="shared" si="244"/>
        <v>RISK-ONT-0403</v>
      </c>
      <c r="CN902" t="str">
        <f t="shared" si="245"/>
        <v>RISK-EVT-0403</v>
      </c>
      <c r="CO902" t="str">
        <f t="shared" si="246"/>
        <v>Quality Portfolio|Process management|QUAL-001|CAP_DELIVERY_CONTINUITY</v>
      </c>
      <c r="CP902" t="str">
        <f t="shared" si="247"/>
        <v>Active</v>
      </c>
      <c r="CQ902" t="str">
        <f t="shared" si="248"/>
        <v>OK: capability-driven</v>
      </c>
      <c r="CR902" t="str">
        <f t="shared" si="249"/>
        <v>Risk ontology uses capability=CAP_DELIVERY_CONTINUITY; bridge=BRG-074; treatment=TRT-DELIVERY_CONTINUITY-INITIAL; wording=IW-ALL-DELIVERY_CONTINUITY</v>
      </c>
      <c r="CS902" t="str">
        <f t="shared" si="250"/>
        <v>Yes</v>
      </c>
    </row>
    <row r="903" spans="1:97" ht="69.900000000000006" customHeight="1">
      <c r="A903">
        <f>IF(OR($B903&lt;&gt;"Yes",$BS903=""),"",SUMPRODUCT(($B$500:$B$923="Yes")*ISNUMBER($BS$500:$BS$923)*($BS$500:$BS$923&gt;$BS903))+COUNTIFS($B$500:$B903,"Yes",$BS$500:$BS903,$BS903))</f>
        <v>363</v>
      </c>
      <c r="B903" t="str">
        <f t="shared" si="219"/>
        <v>Yes</v>
      </c>
      <c r="C903" t="s">
        <v>3204</v>
      </c>
      <c r="D903" t="s">
        <v>3206</v>
      </c>
      <c r="E903" t="s">
        <v>3218</v>
      </c>
      <c r="F903" t="s">
        <v>4507</v>
      </c>
      <c r="G903" t="str">
        <f>IF($H903="","",IFERROR(INDEX(_ENGINE_Risk!$H$5:$M$499,MATCH($E903,_ENGINE_Risk!$A$5:$A$499,0),$H903+1),""))</f>
        <v>Severe risk: process ownership for critical processes with inputs, outputs, controls and KPIs is not reliably controlled. During Execution failure; Delivery disruption; Decision failure, the organization may face poor quality control, failed change execution, unmanaged portfolio trade-offs and benefit erosion with limited visibility or accountability.</v>
      </c>
      <c r="H903">
        <f>IFERROR(VALUE(INDEX(_DATA_Assessment_Model!$H$5:$H$884,MATCH($E903,_DATA_Assessment_Model!$A$5:$A$884,0))),"")</f>
        <v>0</v>
      </c>
      <c r="I903" t="str">
        <f>IF($H903="","",IFERROR(INDEX(_DATA_Assessment_Model!$L$5:$L$884,MATCH($E903,_DATA_Assessment_Model!$A$5:$A$884,0)),IF($H903&lt;=1,"Critical",IF($H903=2,"High",IF($H903=3,"Medium",IF($H903=4,"Low","Resilient"))))))</f>
        <v>Critical</v>
      </c>
      <c r="J903">
        <f t="shared" si="220"/>
        <v>3.5</v>
      </c>
      <c r="K903">
        <f t="shared" si="221"/>
        <v>4.3500000000000005</v>
      </c>
      <c r="L903">
        <f t="shared" si="222"/>
        <v>15.225000000000001</v>
      </c>
      <c r="M903">
        <f t="shared" si="223"/>
        <v>4</v>
      </c>
      <c r="N903">
        <f>IF($H903="","",IFERROR(INDEX(_ENGINE_Risk!$T$5:$Y$499,MATCH($E903,_ENGINE_Risk!$A$5:$A$499,0),$H903+1),""))</f>
        <v>3</v>
      </c>
      <c r="O903">
        <f t="shared" si="224"/>
        <v>4.666666666666667</v>
      </c>
      <c r="P903">
        <f t="shared" si="225"/>
        <v>5</v>
      </c>
      <c r="Q903">
        <f t="shared" si="226"/>
        <v>5</v>
      </c>
      <c r="R903">
        <f t="shared" si="227"/>
        <v>4.5</v>
      </c>
      <c r="S903">
        <f t="shared" si="228"/>
        <v>1.6</v>
      </c>
      <c r="T903" t="str">
        <f>IF($H903="","",IFERROR(INDEX(_ENGINE_Risk!$N$5:$S$499,MATCH($E903,_ENGINE_Risk!$A$5:$A$499,0),$H903+1),""))</f>
        <v>Create an immediate risk owner, minimum control baseline and fallback procedure for process ownership for critical processes with inputs, outputs, controls and KPIs. Add it to the crisis risk register and collect first evidence.</v>
      </c>
      <c r="U903">
        <f>IFERROR(INDEX(_DATA_Assessment_Model!$G$5:$G$884,MATCH($E903,_DATA_Assessment_Model!$A$5:$A$884,0)),"")</f>
        <v>5</v>
      </c>
      <c r="V903">
        <f>IFERROR(INDEX(_DATA_Assessment_Model!$W$5:$W$884,MATCH($E903,_DATA_Assessment_Model!$A$5:$A$884,0)),"")</f>
        <v>4</v>
      </c>
      <c r="W903">
        <f>IFERROR(INDEX(_DATA_Assessment_Model!$X$5:$X$884,MATCH($E903,_DATA_Assessment_Model!$A$5:$A$884,0)),"")</f>
        <v>5</v>
      </c>
      <c r="X903">
        <f>IFERROR(INDEX(_DATA_Assessment_Model!$Y$5:$Y$884,MATCH($E903,_DATA_Assessment_Model!$A$5:$A$884,0)),"")</f>
        <v>5</v>
      </c>
      <c r="Y903" t="s">
        <v>3217</v>
      </c>
      <c r="Z903" t="s">
        <v>10298</v>
      </c>
      <c r="AA903" t="s">
        <v>3220</v>
      </c>
      <c r="AB903">
        <f>IFERROR(INDEX(_DATA_Assessment_Model!$U$5:$U$884,MATCH($E903,_DATA_Assessment_Model!$A$5:$A$884,0)),"")</f>
        <v>0</v>
      </c>
      <c r="AF903" t="s">
        <v>3219</v>
      </c>
      <c r="AO903">
        <f>IF($B903="Yes",IF(IFERROR(INDEX(_ENGINE_Crisis!$F$501:$F$517,MATCH($C903,_ENGINE_Crisis!$A$501:$A$517,0)),1)=0,1,IFERROR(INDEX(_ENGINE_Crisis!$F$501:$F$517,MATCH($C903,_ENGINE_Crisis!$A$501:$A$517,0)),1)),"")</f>
        <v>1</v>
      </c>
      <c r="AP903">
        <f t="shared" si="229"/>
        <v>15.2</v>
      </c>
      <c r="AQ903">
        <f t="shared" si="230"/>
        <v>1.6</v>
      </c>
      <c r="AR903" t="str">
        <f>IFERROR(INDEX(_ENGINE_Crisis!$E$41:$E$700,MATCH('Resilience &amp; Risk Scenario'!$B$6&amp;"|"&amp;$C903,_ENGINE_Crisis!$I$41:$I$700,0)),"")</f>
        <v/>
      </c>
      <c r="AS903" t="str">
        <f>IFERROR(INDEX(_ENGINE_Crisis!$G$41:$G$700,MATCH('Resilience &amp; Risk Scenario'!$B$6&amp;"|"&amp;$C903,_ENGINE_Crisis!$I$41:$I$700,0)),"")</f>
        <v/>
      </c>
      <c r="AT903" t="str">
        <f>IFERROR(INDEX(_ENGINE_Initiatives!$A$5:$A$532,MATCH(1,INDEX((_ENGINE_Initiatives!$B$5:$B$532=$C903)*(_ENGINE_Initiatives!$C$5:$C$532=$D903),0),0)),"")</f>
        <v>INI-069</v>
      </c>
      <c r="AU903" t="str">
        <f>IFERROR(INDEX(_ENGINE_Initiatives!$F$5:$F$532,MATCH(1,INDEX((_ENGINE_Initiatives!$B$5:$B$532=$C903)*(_ENGINE_Initiatives!$C$5:$C$532=$D903),0),0)),"")</f>
        <v>Build process ownership, SOP and continuous-improvement model</v>
      </c>
      <c r="AV903">
        <f>IFERROR(INDEX(_ENGINE_Initiatives!$AC$5:$AC$532,MATCH(1,INDEX((_ENGINE_Initiatives!$B$5:$B$532=$C903)*(_ENGINE_Initiatives!$C$5:$C$532=$D903),0),0)),"")</f>
        <v>2.54</v>
      </c>
      <c r="AW903" t="str">
        <f>IFERROR(INDEX(_ENGINE_Initiatives!$AE$5:$AE$532,MATCH(1,INDEX((_ENGINE_Initiatives!$B$5:$B$532=$C903)*(_ENGINE_Initiatives!$C$5:$C$532=$D903),0),0)),"")</f>
        <v>0-90 days</v>
      </c>
      <c r="AX903">
        <f>IF($B903="Yes",IFERROR((IF(SUMIFS(_REF_Model_Content!$E$1:$E$613,_REF_Model_Content!$A$1:$A$613,PV_Canonical_Industry,_REF_Model_Content!$B$1:$B$613,$C903)=0,1,SUMIFS(_REF_Model_Content!$E$1:$E$613,_REF_Model_Content!$A$1:$A$613,PV_Canonical_Industry,_REF_Model_Content!$B$1:$B$613,$C903))*IFERROR($BU903,1)),1),"")</f>
        <v>1</v>
      </c>
      <c r="AY903">
        <f t="shared" si="231"/>
        <v>15.2</v>
      </c>
      <c r="AZ903">
        <f t="shared" si="232"/>
        <v>1.6</v>
      </c>
      <c r="BB903" t="str">
        <f>IF($H903="","",IFERROR(INDEX(_ENGINE_Risk!$AE$5:$AE$499,MATCH($E903,_ENGINE_Risk!$A$5:$A$499,0)),"Medium"))</f>
        <v>Slow</v>
      </c>
      <c r="BC903">
        <f t="shared" si="233"/>
        <v>0.85</v>
      </c>
      <c r="BD903">
        <f t="shared" si="234"/>
        <v>1.6</v>
      </c>
      <c r="BF903">
        <f>IF(OR($H903="",$J903=""),"",IFERROR(VLOOKUP(ROUND($J903,0),_CONFIG_Model_Settings!$D$154:$E$158,2,0),""))</f>
        <v>0.5</v>
      </c>
      <c r="BG903">
        <f>IFERROR(IF(OR($H903="",$K903=""),"",ROUND('Company Profile'!$B$113*INDEX(_CONFIG_Model_Settings!$H$154:$H$158,MATCH(ROUND($K903,0),_CONFIG_Model_Settings!$G$154:$G$158,0)),0)),0)</f>
        <v>875</v>
      </c>
      <c r="BH903">
        <f t="shared" si="235"/>
        <v>437.5</v>
      </c>
      <c r="BI903">
        <f t="shared" si="236"/>
        <v>437.5</v>
      </c>
      <c r="BJ903">
        <f>IF($E903="","",IFERROR(VLOOKUP($C903,_CONFIG_Risk_Calibration!$A$5:$H$21,2,FALSE),3))</f>
        <v>3</v>
      </c>
      <c r="BK903">
        <f>IF($E903="","",IFERROR(VLOOKUP($C903,_CONFIG_Risk_Calibration!$A$5:$H$21,3,FALSE),0))</f>
        <v>0</v>
      </c>
      <c r="BL903">
        <f>IF($E903="","",IFERROR(VLOOKUP($C903,_CONFIG_Risk_Calibration!$A$5:$H$21,4,FALSE),3))</f>
        <v>3</v>
      </c>
      <c r="BM903">
        <f>IF($E903="","",IFERROR(VLOOKUP($C903,_CONFIG_Risk_Calibration!$A$5:$H$21,5,FALSE),3))</f>
        <v>3</v>
      </c>
      <c r="BN903" t="str">
        <f>IF($E903="","",IFERROR(VLOOKUP($C903,_CONFIG_Risk_Calibration!$A$5:$H$21,6,FALSE),"No"))</f>
        <v>Yes</v>
      </c>
      <c r="BO903">
        <f>IF($E903="","",IFERROR(VLOOKUP($C903,_CONFIG_Risk_Calibration!$A$5:$H$21,7,FALSE),1))</f>
        <v>4</v>
      </c>
      <c r="BP903">
        <f>IF($H903="","",MAX(1,MIN(5,((6-$H903)*0.45)+($BJ903*0.2)+('Resilience &amp; Risk Scenario'!$B$7*0.15)+($BK903*0.1)+($BL903*0.05)+(IF($BB903="Fast",5,IF($BB903="Slow",1,3))*0.05))))</f>
        <v>3.5</v>
      </c>
      <c r="BQ903">
        <f t="shared" si="237"/>
        <v>4.3500000000000005</v>
      </c>
      <c r="BR903">
        <f t="shared" si="238"/>
        <v>15.23</v>
      </c>
      <c r="BS903">
        <f t="shared" si="239"/>
        <v>12.95</v>
      </c>
      <c r="BT903" t="str">
        <f>IFERROR(INDEX(_REF_Capability_Bridge!$D:$D,MATCH($C903&amp;"|"&amp;$D903,_REF_Capability_Bridge!$J:$J,0)),IFERROR(INDEX(_REF_Capability_Bridge!$D:$D,MATCH($C903&amp;"|",_REF_Capability_Bridge!$J:$J,0)),"CAP_GENERIC"))</f>
        <v>CAP_DELIVERY_CONTINUITY</v>
      </c>
      <c r="BU903">
        <f>IFERROR(IFERROR(INDEX(_ENGINE_Relevance!$L:$L,MATCH($BT903,_ENGINE_Relevance!$B:$B,0)),1),1)</f>
        <v>1</v>
      </c>
      <c r="BV903" t="str">
        <f>IFERROR(INDEX(_REF_Capability_Bridge!$A:$A,MATCH($C903&amp;"|"&amp;$D903,_REF_Capability_Bridge!$J:$J,0)),IFERROR(INDEX(_REF_Capability_Bridge!$A:$A,MATCH($C903&amp;"|",_REF_Capability_Bridge!$J:$J,0)),"No bridge"))</f>
        <v>BRG-074</v>
      </c>
      <c r="BW903" t="str">
        <f t="shared" si="240"/>
        <v>Capability relevance neutral</v>
      </c>
      <c r="BX903" t="str">
        <f t="shared" si="241"/>
        <v>Initial / absent</v>
      </c>
      <c r="BY903" t="str">
        <f>IF($E903="","",IFERROR(INDEX(_REF_Treatment_Library!$A$2:$A$296,MATCH(1,INDEX((_REF_Treatment_Library!$B$2:$B$296=$BT903)*(_REF_Treatment_Library!$C$2:$C$296=PV_Canonical_Industry)*(_REF_Treatment_Library!$E$2:$E$296&lt;=N($H903))*(_REF_Treatment_Library!$F$2:$F$296&gt;=N($H903))*(_REF_Treatment_Library!$O$2:$O$296="Yes"),0),0)),IFERROR(INDEX(_REF_Treatment_Library!$A$2:$A$296,MATCH(1,INDEX((_REF_Treatment_Library!$B$2:$B$296=$BT903)*(_REF_Treatment_Library!$C$2:$C$296="All")*(_REF_Treatment_Library!$E$2:$E$296&lt;=N($H903))*(_REF_Treatment_Library!$F$2:$F$296&gt;=N($H903))*(_REF_Treatment_Library!$O$2:$O$296="Yes"),0),0)),"")))</f>
        <v>TRT-DELIVERY_CONTINUITY-INITIAL</v>
      </c>
      <c r="BZ903" t="str">
        <f>IF($BY903="","",IFERROR(INDEX(_REF_Treatment_Library!$H$2:$H$296,MATCH($BY903,_REF_Treatment_Library!$A$2:$A$296,0)),""))</f>
        <v>Establish</v>
      </c>
      <c r="CA903" t="str">
        <f>IF($BY903="","",IFERROR(INDEX(_REF_Treatment_Library!$I$2:$I$296,MATCH($BY903,_REF_Treatment_Library!$A$2:$A$296,0)),""))</f>
        <v>Establish baseline controls for Delivery continuity</v>
      </c>
      <c r="CB903" t="str">
        <f>IF($BY903="","",IFERROR(INDEX(_REF_Treatment_Library!$K$2:$K$296,MATCH($BY903,_REF_Treatment_Library!$A$2:$A$296,0)),""))</f>
        <v>Named owner, baseline process, minimum control checklist, first evidence package</v>
      </c>
      <c r="CC903" t="str">
        <f>IF($BY903="","",IFERROR(INDEX(_REF_Treatment_Library!$L$2:$L$296,MATCH($BY903,_REF_Treatment_Library!$A$2:$A$296,0)),""))</f>
        <v>Owner assigned; baseline evidence coverage; open critical gaps</v>
      </c>
      <c r="CD903" t="str">
        <f t="shared" si="242"/>
        <v>Treatment by capability=CAP_DELIVERY_CONTINUITY; band=Initial / absent; score=0.0; treatment=Establish</v>
      </c>
      <c r="CE903" t="str">
        <f>IF($E903="","",IFERROR(INDEX(_REF_Industry_Wording!$A$2:$A$70,MATCH(1,INDEX((_REF_Industry_Wording!$B$2:$B$70=$BT903)*(_REF_Industry_Wording!$C$2:$C$70=PV_Canonical_Industry)*(_REF_Industry_Wording!$K$2:$K$70="Yes"),0),0)),IFERROR(INDEX(_REF_Industry_Wording!$A$2:$A$70,MATCH(1,INDEX((_REF_Industry_Wording!$B$2:$B$70=$BT903)*(_REF_Industry_Wording!$C$2:$C$70="All")*(_REF_Industry_Wording!$K$2:$K$70="Yes"),0),0)),"")))</f>
        <v>IW-ALL-DELIVERY_CONTINUITY</v>
      </c>
      <c r="CF903" t="str">
        <f>IF($CE903="","",IFERROR(INDEX(_REF_Industry_Wording!$E$2:$E$70,MATCH($CE903,_REF_Industry_Wording!$A$2:$A$70,0)),""))</f>
        <v>Delivery continuity weakness</v>
      </c>
      <c r="CG903" t="str">
        <f>IF($CE903="","",IFERROR(INDEX(_REF_Industry_Wording!$F$2:$F$70,MATCH($CE903,_REF_Industry_Wording!$A$2:$A$70,0)),""))</f>
        <v>Strengthen Delivery continuity</v>
      </c>
      <c r="CH903" t="str">
        <f>IF($CE903="","",IFERROR(INDEX(_REF_Industry_Wording!$G$2:$G$70,MATCH($CE903,_REF_Industry_Wording!$A$2:$A$70,0)),""))</f>
        <v>Strengthen Delivery continuity using the selected maturity treatment, crisis scenario and evidence requirements.</v>
      </c>
      <c r="CI903" t="str">
        <f>IF($CE903="","",IFERROR(INDEX(_REF_Industry_Wording!$H$2:$H$70,MATCH($CE903,_REF_Industry_Wording!$A$2:$A$70,0)),""))</f>
        <v>Delivery continuity</v>
      </c>
      <c r="CJ903">
        <f>IF($CE903="","",IFERROR(INDEX(_REF_Industry_Wording!$I$2:$I$70,MATCH($CE903,_REF_Industry_Wording!$A$2:$A$70,0)),""))</f>
        <v>0</v>
      </c>
      <c r="CK903" t="str">
        <f>IF($CE903="","",IFERROR(INDEX(_REF_Industry_Wording!$J$2:$J$70,MATCH($CE903,_REF_Industry_Wording!$A$2:$A$70,0)),""))</f>
        <v>Delivery continuity</v>
      </c>
      <c r="CL903" t="str">
        <f t="shared" si="243"/>
        <v>Wording by industry=0; capability=CAP_DELIVERY_CONTINUITY; risk label=Delivery continuity weakness</v>
      </c>
      <c r="CM903" t="str">
        <f t="shared" si="244"/>
        <v>RISK-ONT-0404</v>
      </c>
      <c r="CN903" t="str">
        <f t="shared" si="245"/>
        <v>RISK-EVT-0404</v>
      </c>
      <c r="CO903" t="str">
        <f t="shared" si="246"/>
        <v>Quality Portfolio|Process management|QUAL-002|CAP_DELIVERY_CONTINUITY</v>
      </c>
      <c r="CP903" t="str">
        <f t="shared" si="247"/>
        <v>Active</v>
      </c>
      <c r="CQ903" t="str">
        <f t="shared" si="248"/>
        <v>OK: capability-driven</v>
      </c>
      <c r="CR903" t="str">
        <f t="shared" si="249"/>
        <v>Risk ontology uses capability=CAP_DELIVERY_CONTINUITY; bridge=BRG-074; treatment=TRT-DELIVERY_CONTINUITY-INITIAL; wording=IW-ALL-DELIVERY_CONTINUITY</v>
      </c>
      <c r="CS903" t="str">
        <f t="shared" si="250"/>
        <v>Yes</v>
      </c>
    </row>
    <row r="904" spans="1:97" ht="69.900000000000006" customHeight="1">
      <c r="A904">
        <f>IF(OR($B904&lt;&gt;"Yes",$BS904=""),"",SUMPRODUCT(($B$500:$B$923="Yes")*ISNUMBER($BS$500:$BS$923)*($BS$500:$BS$923&gt;$BS904))+COUNTIFS($B$500:$B904,"Yes",$BS$500:$BS904,$BS904))</f>
        <v>383</v>
      </c>
      <c r="B904" t="str">
        <f t="shared" si="219"/>
        <v>Yes</v>
      </c>
      <c r="C904" t="s">
        <v>3204</v>
      </c>
      <c r="D904" t="s">
        <v>3206</v>
      </c>
      <c r="E904" t="s">
        <v>3222</v>
      </c>
      <c r="F904" t="s">
        <v>4507</v>
      </c>
      <c r="G904" t="str">
        <f>IF($H904="","",IFERROR(INDEX(_ENGINE_Risk!$H$5:$M$499,MATCH($E904,_ENGINE_Risk!$A$5:$A$499,0),$H904+1),""))</f>
        <v>Severe risk: SOP and policy document control with versioning, ownership and review cadence is not reliably controlled. During Execution failure; Delivery disruption; Decision failure, the organization may face poor quality control, failed change execution, unmanaged portfolio trade-offs and benefit erosion with limited visibility or accountability.</v>
      </c>
      <c r="H904">
        <f>IFERROR(VALUE(INDEX(_DATA_Assessment_Model!$H$5:$H$884,MATCH($E904,_DATA_Assessment_Model!$A$5:$A$884,0))),"")</f>
        <v>0</v>
      </c>
      <c r="I904" t="str">
        <f>IF($H904="","",IFERROR(INDEX(_DATA_Assessment_Model!$L$5:$L$884,MATCH($E904,_DATA_Assessment_Model!$A$5:$A$884,0)),IF($H904&lt;=1,"Critical",IF($H904=2,"High",IF($H904=3,"Medium",IF($H904=4,"Low","Resilient"))))))</f>
        <v>Critical</v>
      </c>
      <c r="J904">
        <f t="shared" si="220"/>
        <v>3.5</v>
      </c>
      <c r="K904">
        <f t="shared" si="221"/>
        <v>4</v>
      </c>
      <c r="L904">
        <f t="shared" si="222"/>
        <v>14</v>
      </c>
      <c r="M904">
        <f t="shared" si="223"/>
        <v>3</v>
      </c>
      <c r="N904">
        <f>IF($H904="","",IFERROR(INDEX(_ENGINE_Risk!$T$5:$Y$499,MATCH($E904,_ENGINE_Risk!$A$5:$A$499,0),$H904+1),""))</f>
        <v>3</v>
      </c>
      <c r="O904">
        <f t="shared" si="224"/>
        <v>4</v>
      </c>
      <c r="P904">
        <f t="shared" si="225"/>
        <v>5</v>
      </c>
      <c r="Q904">
        <f t="shared" si="226"/>
        <v>5</v>
      </c>
      <c r="R904">
        <f t="shared" si="227"/>
        <v>4.5</v>
      </c>
      <c r="S904">
        <f t="shared" si="228"/>
        <v>1.54</v>
      </c>
      <c r="T904" t="str">
        <f>IF($H904="","",IFERROR(INDEX(_ENGINE_Risk!$N$5:$S$499,MATCH($E904,_ENGINE_Risk!$A$5:$A$499,0),$H904+1),""))</f>
        <v>Create an immediate risk owner, minimum control baseline and fallback procedure for SOP and policy document control with versioning, ownership and review cadence. Add it to the crisis risk register and collect first evidence.</v>
      </c>
      <c r="U904">
        <f>IFERROR(INDEX(_DATA_Assessment_Model!$G$5:$G$884,MATCH($E904,_DATA_Assessment_Model!$A$5:$A$884,0)),"")</f>
        <v>3</v>
      </c>
      <c r="V904">
        <f>IFERROR(INDEX(_DATA_Assessment_Model!$W$5:$W$884,MATCH($E904,_DATA_Assessment_Model!$A$5:$A$884,0)),"")</f>
        <v>4</v>
      </c>
      <c r="W904">
        <f>IFERROR(INDEX(_DATA_Assessment_Model!$X$5:$X$884,MATCH($E904,_DATA_Assessment_Model!$A$5:$A$884,0)),"")</f>
        <v>5</v>
      </c>
      <c r="X904">
        <f>IFERROR(INDEX(_DATA_Assessment_Model!$Y$5:$Y$884,MATCH($E904,_DATA_Assessment_Model!$A$5:$A$884,0)),"")</f>
        <v>5</v>
      </c>
      <c r="Y904" t="s">
        <v>3217</v>
      </c>
      <c r="Z904" t="s">
        <v>10298</v>
      </c>
      <c r="AA904" t="s">
        <v>3224</v>
      </c>
      <c r="AB904">
        <f>IFERROR(INDEX(_DATA_Assessment_Model!$U$5:$U$884,MATCH($E904,_DATA_Assessment_Model!$A$5:$A$884,0)),"")</f>
        <v>0</v>
      </c>
      <c r="AF904" t="s">
        <v>3223</v>
      </c>
      <c r="AO904">
        <f>IF($B904="Yes",IF(IFERROR(INDEX(_ENGINE_Crisis!$F$501:$F$517,MATCH($C904,_ENGINE_Crisis!$A$501:$A$517,0)),1)=0,1,IFERROR(INDEX(_ENGINE_Crisis!$F$501:$F$517,MATCH($C904,_ENGINE_Crisis!$A$501:$A$517,0)),1)),"")</f>
        <v>1</v>
      </c>
      <c r="AP904">
        <f t="shared" si="229"/>
        <v>14</v>
      </c>
      <c r="AQ904">
        <f t="shared" si="230"/>
        <v>1.54</v>
      </c>
      <c r="AR904" t="str">
        <f>IFERROR(INDEX(_ENGINE_Crisis!$E$41:$E$700,MATCH('Resilience &amp; Risk Scenario'!$B$6&amp;"|"&amp;$C904,_ENGINE_Crisis!$I$41:$I$700,0)),"")</f>
        <v/>
      </c>
      <c r="AS904" t="str">
        <f>IFERROR(INDEX(_ENGINE_Crisis!$G$41:$G$700,MATCH('Resilience &amp; Risk Scenario'!$B$6&amp;"|"&amp;$C904,_ENGINE_Crisis!$I$41:$I$700,0)),"")</f>
        <v/>
      </c>
      <c r="AT904" t="str">
        <f>IFERROR(INDEX(_ENGINE_Initiatives!$A$5:$A$532,MATCH(1,INDEX((_ENGINE_Initiatives!$B$5:$B$532=$C904)*(_ENGINE_Initiatives!$C$5:$C$532=$D904),0),0)),"")</f>
        <v>INI-069</v>
      </c>
      <c r="AU904" t="str">
        <f>IFERROR(INDEX(_ENGINE_Initiatives!$F$5:$F$532,MATCH(1,INDEX((_ENGINE_Initiatives!$B$5:$B$532=$C904)*(_ENGINE_Initiatives!$C$5:$C$532=$D904),0),0)),"")</f>
        <v>Build process ownership, SOP and continuous-improvement model</v>
      </c>
      <c r="AV904">
        <f>IFERROR(INDEX(_ENGINE_Initiatives!$AC$5:$AC$532,MATCH(1,INDEX((_ENGINE_Initiatives!$B$5:$B$532=$C904)*(_ENGINE_Initiatives!$C$5:$C$532=$D904),0),0)),"")</f>
        <v>2.54</v>
      </c>
      <c r="AW904" t="str">
        <f>IFERROR(INDEX(_ENGINE_Initiatives!$AE$5:$AE$532,MATCH(1,INDEX((_ENGINE_Initiatives!$B$5:$B$532=$C904)*(_ENGINE_Initiatives!$C$5:$C$532=$D904),0),0)),"")</f>
        <v>0-90 days</v>
      </c>
      <c r="AX904">
        <f>IF($B904="Yes",IFERROR((IF(SUMIFS(_REF_Model_Content!$E$1:$E$613,_REF_Model_Content!$A$1:$A$613,PV_Canonical_Industry,_REF_Model_Content!$B$1:$B$613,$C904)=0,1,SUMIFS(_REF_Model_Content!$E$1:$E$613,_REF_Model_Content!$A$1:$A$613,PV_Canonical_Industry,_REF_Model_Content!$B$1:$B$613,$C904))*IFERROR($BU904,1)),1),"")</f>
        <v>1</v>
      </c>
      <c r="AY904">
        <f t="shared" si="231"/>
        <v>14</v>
      </c>
      <c r="AZ904">
        <f t="shared" si="232"/>
        <v>1.54</v>
      </c>
      <c r="BB904" t="str">
        <f>IF($H904="","",IFERROR(INDEX(_ENGINE_Risk!$AE$5:$AE$499,MATCH($E904,_ENGINE_Risk!$A$5:$A$499,0)),"Medium"))</f>
        <v>Slow</v>
      </c>
      <c r="BC904">
        <f t="shared" si="233"/>
        <v>0.85</v>
      </c>
      <c r="BD904">
        <f t="shared" si="234"/>
        <v>1.54</v>
      </c>
      <c r="BF904">
        <f>IF(OR($H904="",$J904=""),"",IFERROR(VLOOKUP(ROUND($J904,0),_CONFIG_Model_Settings!$D$154:$E$158,2,0),""))</f>
        <v>0.5</v>
      </c>
      <c r="BG904">
        <f>IFERROR(IF(OR($H904="",$K904=""),"",ROUND('Company Profile'!$B$113*INDEX(_CONFIG_Model_Settings!$H$154:$H$158,MATCH(ROUND($K904,0),_CONFIG_Model_Settings!$G$154:$G$158,0)),0)),0)</f>
        <v>875</v>
      </c>
      <c r="BH904">
        <f t="shared" si="235"/>
        <v>437.5</v>
      </c>
      <c r="BI904">
        <f t="shared" si="236"/>
        <v>437.5</v>
      </c>
      <c r="BJ904">
        <f>IF($E904="","",IFERROR(VLOOKUP($C904,_CONFIG_Risk_Calibration!$A$5:$H$21,2,FALSE),3))</f>
        <v>3</v>
      </c>
      <c r="BK904">
        <f>IF($E904="","",IFERROR(VLOOKUP($C904,_CONFIG_Risk_Calibration!$A$5:$H$21,3,FALSE),0))</f>
        <v>0</v>
      </c>
      <c r="BL904">
        <f>IF($E904="","",IFERROR(VLOOKUP($C904,_CONFIG_Risk_Calibration!$A$5:$H$21,4,FALSE),3))</f>
        <v>3</v>
      </c>
      <c r="BM904">
        <f>IF($E904="","",IFERROR(VLOOKUP($C904,_CONFIG_Risk_Calibration!$A$5:$H$21,5,FALSE),3))</f>
        <v>3</v>
      </c>
      <c r="BN904" t="str">
        <f>IF($E904="","",IFERROR(VLOOKUP($C904,_CONFIG_Risk_Calibration!$A$5:$H$21,6,FALSE),"No"))</f>
        <v>Yes</v>
      </c>
      <c r="BO904">
        <f>IF($E904="","",IFERROR(VLOOKUP($C904,_CONFIG_Risk_Calibration!$A$5:$H$21,7,FALSE),1))</f>
        <v>4</v>
      </c>
      <c r="BP904">
        <f>IF($H904="","",MAX(1,MIN(5,((6-$H904)*0.45)+($BJ904*0.2)+('Resilience &amp; Risk Scenario'!$B$7*0.15)+($BK904*0.1)+($BL904*0.05)+(IF($BB904="Fast",5,IF($BB904="Slow",1,3))*0.05))))</f>
        <v>3.5</v>
      </c>
      <c r="BQ904">
        <f t="shared" si="237"/>
        <v>4</v>
      </c>
      <c r="BR904">
        <f t="shared" si="238"/>
        <v>14</v>
      </c>
      <c r="BS904">
        <f t="shared" si="239"/>
        <v>11.9</v>
      </c>
      <c r="BT904" t="str">
        <f>IFERROR(INDEX(_REF_Capability_Bridge!$D:$D,MATCH($C904&amp;"|"&amp;$D904,_REF_Capability_Bridge!$J:$J,0)),IFERROR(INDEX(_REF_Capability_Bridge!$D:$D,MATCH($C904&amp;"|",_REF_Capability_Bridge!$J:$J,0)),"CAP_GENERIC"))</f>
        <v>CAP_DELIVERY_CONTINUITY</v>
      </c>
      <c r="BU904">
        <f>IFERROR(IFERROR(INDEX(_ENGINE_Relevance!$L:$L,MATCH($BT904,_ENGINE_Relevance!$B:$B,0)),1),1)</f>
        <v>1</v>
      </c>
      <c r="BV904" t="str">
        <f>IFERROR(INDEX(_REF_Capability_Bridge!$A:$A,MATCH($C904&amp;"|"&amp;$D904,_REF_Capability_Bridge!$J:$J,0)),IFERROR(INDEX(_REF_Capability_Bridge!$A:$A,MATCH($C904&amp;"|",_REF_Capability_Bridge!$J:$J,0)),"No bridge"))</f>
        <v>BRG-074</v>
      </c>
      <c r="BW904" t="str">
        <f t="shared" si="240"/>
        <v>Capability relevance neutral</v>
      </c>
      <c r="BX904" t="str">
        <f t="shared" si="241"/>
        <v>Initial / absent</v>
      </c>
      <c r="BY904" t="str">
        <f>IF($E904="","",IFERROR(INDEX(_REF_Treatment_Library!$A$2:$A$296,MATCH(1,INDEX((_REF_Treatment_Library!$B$2:$B$296=$BT904)*(_REF_Treatment_Library!$C$2:$C$296=PV_Canonical_Industry)*(_REF_Treatment_Library!$E$2:$E$296&lt;=N($H904))*(_REF_Treatment_Library!$F$2:$F$296&gt;=N($H904))*(_REF_Treatment_Library!$O$2:$O$296="Yes"),0),0)),IFERROR(INDEX(_REF_Treatment_Library!$A$2:$A$296,MATCH(1,INDEX((_REF_Treatment_Library!$B$2:$B$296=$BT904)*(_REF_Treatment_Library!$C$2:$C$296="All")*(_REF_Treatment_Library!$E$2:$E$296&lt;=N($H904))*(_REF_Treatment_Library!$F$2:$F$296&gt;=N($H904))*(_REF_Treatment_Library!$O$2:$O$296="Yes"),0),0)),"")))</f>
        <v>TRT-DELIVERY_CONTINUITY-INITIAL</v>
      </c>
      <c r="BZ904" t="str">
        <f>IF($BY904="","",IFERROR(INDEX(_REF_Treatment_Library!$H$2:$H$296,MATCH($BY904,_REF_Treatment_Library!$A$2:$A$296,0)),""))</f>
        <v>Establish</v>
      </c>
      <c r="CA904" t="str">
        <f>IF($BY904="","",IFERROR(INDEX(_REF_Treatment_Library!$I$2:$I$296,MATCH($BY904,_REF_Treatment_Library!$A$2:$A$296,0)),""))</f>
        <v>Establish baseline controls for Delivery continuity</v>
      </c>
      <c r="CB904" t="str">
        <f>IF($BY904="","",IFERROR(INDEX(_REF_Treatment_Library!$K$2:$K$296,MATCH($BY904,_REF_Treatment_Library!$A$2:$A$296,0)),""))</f>
        <v>Named owner, baseline process, minimum control checklist, first evidence package</v>
      </c>
      <c r="CC904" t="str">
        <f>IF($BY904="","",IFERROR(INDEX(_REF_Treatment_Library!$L$2:$L$296,MATCH($BY904,_REF_Treatment_Library!$A$2:$A$296,0)),""))</f>
        <v>Owner assigned; baseline evidence coverage; open critical gaps</v>
      </c>
      <c r="CD904" t="str">
        <f t="shared" si="242"/>
        <v>Treatment by capability=CAP_DELIVERY_CONTINUITY; band=Initial / absent; score=0.0; treatment=Establish</v>
      </c>
      <c r="CE904" t="str">
        <f>IF($E904="","",IFERROR(INDEX(_REF_Industry_Wording!$A$2:$A$70,MATCH(1,INDEX((_REF_Industry_Wording!$B$2:$B$70=$BT904)*(_REF_Industry_Wording!$C$2:$C$70=PV_Canonical_Industry)*(_REF_Industry_Wording!$K$2:$K$70="Yes"),0),0)),IFERROR(INDEX(_REF_Industry_Wording!$A$2:$A$70,MATCH(1,INDEX((_REF_Industry_Wording!$B$2:$B$70=$BT904)*(_REF_Industry_Wording!$C$2:$C$70="All")*(_REF_Industry_Wording!$K$2:$K$70="Yes"),0),0)),"")))</f>
        <v>IW-ALL-DELIVERY_CONTINUITY</v>
      </c>
      <c r="CF904" t="str">
        <f>IF($CE904="","",IFERROR(INDEX(_REF_Industry_Wording!$E$2:$E$70,MATCH($CE904,_REF_Industry_Wording!$A$2:$A$70,0)),""))</f>
        <v>Delivery continuity weakness</v>
      </c>
      <c r="CG904" t="str">
        <f>IF($CE904="","",IFERROR(INDEX(_REF_Industry_Wording!$F$2:$F$70,MATCH($CE904,_REF_Industry_Wording!$A$2:$A$70,0)),""))</f>
        <v>Strengthen Delivery continuity</v>
      </c>
      <c r="CH904" t="str">
        <f>IF($CE904="","",IFERROR(INDEX(_REF_Industry_Wording!$G$2:$G$70,MATCH($CE904,_REF_Industry_Wording!$A$2:$A$70,0)),""))</f>
        <v>Strengthen Delivery continuity using the selected maturity treatment, crisis scenario and evidence requirements.</v>
      </c>
      <c r="CI904" t="str">
        <f>IF($CE904="","",IFERROR(INDEX(_REF_Industry_Wording!$H$2:$H$70,MATCH($CE904,_REF_Industry_Wording!$A$2:$A$70,0)),""))</f>
        <v>Delivery continuity</v>
      </c>
      <c r="CJ904">
        <f>IF($CE904="","",IFERROR(INDEX(_REF_Industry_Wording!$I$2:$I$70,MATCH($CE904,_REF_Industry_Wording!$A$2:$A$70,0)),""))</f>
        <v>0</v>
      </c>
      <c r="CK904" t="str">
        <f>IF($CE904="","",IFERROR(INDEX(_REF_Industry_Wording!$J$2:$J$70,MATCH($CE904,_REF_Industry_Wording!$A$2:$A$70,0)),""))</f>
        <v>Delivery continuity</v>
      </c>
      <c r="CL904" t="str">
        <f t="shared" si="243"/>
        <v>Wording by industry=0; capability=CAP_DELIVERY_CONTINUITY; risk label=Delivery continuity weakness</v>
      </c>
      <c r="CM904" t="str">
        <f t="shared" si="244"/>
        <v>RISK-ONT-0405</v>
      </c>
      <c r="CN904" t="str">
        <f t="shared" si="245"/>
        <v>RISK-EVT-0405</v>
      </c>
      <c r="CO904" t="str">
        <f t="shared" si="246"/>
        <v>Quality Portfolio|Process management|QUAL-004|CAP_DELIVERY_CONTINUITY</v>
      </c>
      <c r="CP904" t="str">
        <f t="shared" si="247"/>
        <v>Active</v>
      </c>
      <c r="CQ904" t="str">
        <f t="shared" si="248"/>
        <v>OK: capability-driven</v>
      </c>
      <c r="CR904" t="str">
        <f t="shared" si="249"/>
        <v>Risk ontology uses capability=CAP_DELIVERY_CONTINUITY; bridge=BRG-074; treatment=TRT-DELIVERY_CONTINUITY-INITIAL; wording=IW-ALL-DELIVERY_CONTINUITY</v>
      </c>
      <c r="CS904" t="str">
        <f t="shared" si="250"/>
        <v>Yes</v>
      </c>
    </row>
    <row r="905" spans="1:97" ht="69.900000000000006" customHeight="1">
      <c r="A905">
        <f>IF(OR($B905&lt;&gt;"Yes",$BS905=""),"",SUMPRODUCT(($B$500:$B$923="Yes")*ISNUMBER($BS$500:$BS$923)*($BS$500:$BS$923&gt;$BS905))+COUNTIFS($B$500:$B905,"Yes",$BS$500:$BS905,$BS905))</f>
        <v>384</v>
      </c>
      <c r="B905" t="str">
        <f t="shared" si="219"/>
        <v>Yes</v>
      </c>
      <c r="C905" t="s">
        <v>3204</v>
      </c>
      <c r="D905" t="s">
        <v>3206</v>
      </c>
      <c r="E905" t="s">
        <v>3226</v>
      </c>
      <c r="F905" t="s">
        <v>4507</v>
      </c>
      <c r="G905" t="str">
        <f>IF($H905="","",IFERROR(INDEX(_ENGINE_Risk!$H$5:$M$499,MATCH($E905,_ENGINE_Risk!$A$5:$A$499,0),$H905+1),""))</f>
        <v>Severe risk: process automation documented, monitored and covered by manual fallback is not reliably controlled. During Execution failure; Delivery disruption; Decision failure, the organization may face poor quality control, failed change execution, unmanaged portfolio trade-offs and benefit erosion with limited visibility or accountability.</v>
      </c>
      <c r="H905">
        <f>IFERROR(VALUE(INDEX(_DATA_Assessment_Model!$H$5:$H$884,MATCH($E905,_DATA_Assessment_Model!$A$5:$A$884,0))),"")</f>
        <v>0</v>
      </c>
      <c r="I905" t="str">
        <f>IF($H905="","",IFERROR(INDEX(_DATA_Assessment_Model!$L$5:$L$884,MATCH($E905,_DATA_Assessment_Model!$A$5:$A$884,0)),IF($H905&lt;=1,"Critical",IF($H905=2,"High",IF($H905=3,"Medium",IF($H905=4,"Low","Resilient"))))))</f>
        <v>Critical</v>
      </c>
      <c r="J905">
        <f t="shared" si="220"/>
        <v>3.5</v>
      </c>
      <c r="K905">
        <f t="shared" si="221"/>
        <v>4</v>
      </c>
      <c r="L905">
        <f t="shared" si="222"/>
        <v>14</v>
      </c>
      <c r="M905">
        <f t="shared" si="223"/>
        <v>3</v>
      </c>
      <c r="N905">
        <f>IF($H905="","",IFERROR(INDEX(_ENGINE_Risk!$T$5:$Y$499,MATCH($E905,_ENGINE_Risk!$A$5:$A$499,0),$H905+1),""))</f>
        <v>3</v>
      </c>
      <c r="O905">
        <f t="shared" si="224"/>
        <v>4</v>
      </c>
      <c r="P905">
        <f t="shared" si="225"/>
        <v>5</v>
      </c>
      <c r="Q905">
        <f t="shared" si="226"/>
        <v>5</v>
      </c>
      <c r="R905">
        <f t="shared" si="227"/>
        <v>4.5</v>
      </c>
      <c r="S905">
        <f t="shared" si="228"/>
        <v>1.54</v>
      </c>
      <c r="T905" t="str">
        <f>IF($H905="","",IFERROR(INDEX(_ENGINE_Risk!$N$5:$S$499,MATCH($E905,_ENGINE_Risk!$A$5:$A$499,0),$H905+1),""))</f>
        <v>Create an immediate risk owner, minimum control baseline and fallback procedure for process automation documented, monitored and covered by manual fallback. Add it to the crisis risk register and collect first evidence.</v>
      </c>
      <c r="U905">
        <f>IFERROR(INDEX(_DATA_Assessment_Model!$G$5:$G$884,MATCH($E905,_DATA_Assessment_Model!$A$5:$A$884,0)),"")</f>
        <v>3</v>
      </c>
      <c r="V905">
        <f>IFERROR(INDEX(_DATA_Assessment_Model!$W$5:$W$884,MATCH($E905,_DATA_Assessment_Model!$A$5:$A$884,0)),"")</f>
        <v>4</v>
      </c>
      <c r="W905">
        <f>IFERROR(INDEX(_DATA_Assessment_Model!$X$5:$X$884,MATCH($E905,_DATA_Assessment_Model!$A$5:$A$884,0)),"")</f>
        <v>5</v>
      </c>
      <c r="X905">
        <f>IFERROR(INDEX(_DATA_Assessment_Model!$Y$5:$Y$884,MATCH($E905,_DATA_Assessment_Model!$A$5:$A$884,0)),"")</f>
        <v>5</v>
      </c>
      <c r="Y905" t="s">
        <v>3217</v>
      </c>
      <c r="Z905" t="s">
        <v>10298</v>
      </c>
      <c r="AA905" t="s">
        <v>3228</v>
      </c>
      <c r="AB905">
        <f>IFERROR(INDEX(_DATA_Assessment_Model!$U$5:$U$884,MATCH($E905,_DATA_Assessment_Model!$A$5:$A$884,0)),"")</f>
        <v>0</v>
      </c>
      <c r="AF905" t="s">
        <v>3227</v>
      </c>
      <c r="AO905">
        <f>IF($B905="Yes",IF(IFERROR(INDEX(_ENGINE_Crisis!$F$501:$F$517,MATCH($C905,_ENGINE_Crisis!$A$501:$A$517,0)),1)=0,1,IFERROR(INDEX(_ENGINE_Crisis!$F$501:$F$517,MATCH($C905,_ENGINE_Crisis!$A$501:$A$517,0)),1)),"")</f>
        <v>1</v>
      </c>
      <c r="AP905">
        <f t="shared" si="229"/>
        <v>14</v>
      </c>
      <c r="AQ905">
        <f t="shared" si="230"/>
        <v>1.54</v>
      </c>
      <c r="AR905" t="str">
        <f>IFERROR(INDEX(_ENGINE_Crisis!$E$41:$E$700,MATCH('Resilience &amp; Risk Scenario'!$B$6&amp;"|"&amp;$C905,_ENGINE_Crisis!$I$41:$I$700,0)),"")</f>
        <v/>
      </c>
      <c r="AS905" t="str">
        <f>IFERROR(INDEX(_ENGINE_Crisis!$G$41:$G$700,MATCH('Resilience &amp; Risk Scenario'!$B$6&amp;"|"&amp;$C905,_ENGINE_Crisis!$I$41:$I$700,0)),"")</f>
        <v/>
      </c>
      <c r="AT905" t="str">
        <f>IFERROR(INDEX(_ENGINE_Initiatives!$A$5:$A$532,MATCH(1,INDEX((_ENGINE_Initiatives!$B$5:$B$532=$C905)*(_ENGINE_Initiatives!$C$5:$C$532=$D905),0),0)),"")</f>
        <v>INI-069</v>
      </c>
      <c r="AU905" t="str">
        <f>IFERROR(INDEX(_ENGINE_Initiatives!$F$5:$F$532,MATCH(1,INDEX((_ENGINE_Initiatives!$B$5:$B$532=$C905)*(_ENGINE_Initiatives!$C$5:$C$532=$D905),0),0)),"")</f>
        <v>Build process ownership, SOP and continuous-improvement model</v>
      </c>
      <c r="AV905">
        <f>IFERROR(INDEX(_ENGINE_Initiatives!$AC$5:$AC$532,MATCH(1,INDEX((_ENGINE_Initiatives!$B$5:$B$532=$C905)*(_ENGINE_Initiatives!$C$5:$C$532=$D905),0),0)),"")</f>
        <v>2.54</v>
      </c>
      <c r="AW905" t="str">
        <f>IFERROR(INDEX(_ENGINE_Initiatives!$AE$5:$AE$532,MATCH(1,INDEX((_ENGINE_Initiatives!$B$5:$B$532=$C905)*(_ENGINE_Initiatives!$C$5:$C$532=$D905),0),0)),"")</f>
        <v>0-90 days</v>
      </c>
      <c r="AX905">
        <f>IF($B905="Yes",IFERROR((IF(SUMIFS(_REF_Model_Content!$E$1:$E$613,_REF_Model_Content!$A$1:$A$613,PV_Canonical_Industry,_REF_Model_Content!$B$1:$B$613,$C905)=0,1,SUMIFS(_REF_Model_Content!$E$1:$E$613,_REF_Model_Content!$A$1:$A$613,PV_Canonical_Industry,_REF_Model_Content!$B$1:$B$613,$C905))*IFERROR($BU905,1)),1),"")</f>
        <v>1</v>
      </c>
      <c r="AY905">
        <f t="shared" si="231"/>
        <v>14</v>
      </c>
      <c r="AZ905">
        <f t="shared" si="232"/>
        <v>1.54</v>
      </c>
      <c r="BB905" t="str">
        <f>IF($H905="","",IFERROR(INDEX(_ENGINE_Risk!$AE$5:$AE$499,MATCH($E905,_ENGINE_Risk!$A$5:$A$499,0)),"Medium"))</f>
        <v>Slow</v>
      </c>
      <c r="BC905">
        <f t="shared" si="233"/>
        <v>0.85</v>
      </c>
      <c r="BD905">
        <f t="shared" si="234"/>
        <v>1.54</v>
      </c>
      <c r="BF905">
        <f>IF(OR($H905="",$J905=""),"",IFERROR(VLOOKUP(ROUND($J905,0),_CONFIG_Model_Settings!$D$154:$E$158,2,0),""))</f>
        <v>0.5</v>
      </c>
      <c r="BG905">
        <f>IFERROR(IF(OR($H905="",$K905=""),"",ROUND('Company Profile'!$B$113*INDEX(_CONFIG_Model_Settings!$H$154:$H$158,MATCH(ROUND($K905,0),_CONFIG_Model_Settings!$G$154:$G$158,0)),0)),0)</f>
        <v>875</v>
      </c>
      <c r="BH905">
        <f t="shared" si="235"/>
        <v>437.5</v>
      </c>
      <c r="BI905">
        <f t="shared" si="236"/>
        <v>437.5</v>
      </c>
      <c r="BJ905">
        <f>IF($E905="","",IFERROR(VLOOKUP($C905,_CONFIG_Risk_Calibration!$A$5:$H$21,2,FALSE),3))</f>
        <v>3</v>
      </c>
      <c r="BK905">
        <f>IF($E905="","",IFERROR(VLOOKUP($C905,_CONFIG_Risk_Calibration!$A$5:$H$21,3,FALSE),0))</f>
        <v>0</v>
      </c>
      <c r="BL905">
        <f>IF($E905="","",IFERROR(VLOOKUP($C905,_CONFIG_Risk_Calibration!$A$5:$H$21,4,FALSE),3))</f>
        <v>3</v>
      </c>
      <c r="BM905">
        <f>IF($E905="","",IFERROR(VLOOKUP($C905,_CONFIG_Risk_Calibration!$A$5:$H$21,5,FALSE),3))</f>
        <v>3</v>
      </c>
      <c r="BN905" t="str">
        <f>IF($E905="","",IFERROR(VLOOKUP($C905,_CONFIG_Risk_Calibration!$A$5:$H$21,6,FALSE),"No"))</f>
        <v>Yes</v>
      </c>
      <c r="BO905">
        <f>IF($E905="","",IFERROR(VLOOKUP($C905,_CONFIG_Risk_Calibration!$A$5:$H$21,7,FALSE),1))</f>
        <v>4</v>
      </c>
      <c r="BP905">
        <f>IF($H905="","",MAX(1,MIN(5,((6-$H905)*0.45)+($BJ905*0.2)+('Resilience &amp; Risk Scenario'!$B$7*0.15)+($BK905*0.1)+($BL905*0.05)+(IF($BB905="Fast",5,IF($BB905="Slow",1,3))*0.05))))</f>
        <v>3.5</v>
      </c>
      <c r="BQ905">
        <f t="shared" si="237"/>
        <v>4</v>
      </c>
      <c r="BR905">
        <f t="shared" si="238"/>
        <v>14</v>
      </c>
      <c r="BS905">
        <f t="shared" si="239"/>
        <v>11.9</v>
      </c>
      <c r="BT905" t="str">
        <f>IFERROR(INDEX(_REF_Capability_Bridge!$D:$D,MATCH($C905&amp;"|"&amp;$D905,_REF_Capability_Bridge!$J:$J,0)),IFERROR(INDEX(_REF_Capability_Bridge!$D:$D,MATCH($C905&amp;"|",_REF_Capability_Bridge!$J:$J,0)),"CAP_GENERIC"))</f>
        <v>CAP_DELIVERY_CONTINUITY</v>
      </c>
      <c r="BU905">
        <f>IFERROR(IFERROR(INDEX(_ENGINE_Relevance!$L:$L,MATCH($BT905,_ENGINE_Relevance!$B:$B,0)),1),1)</f>
        <v>1</v>
      </c>
      <c r="BV905" t="str">
        <f>IFERROR(INDEX(_REF_Capability_Bridge!$A:$A,MATCH($C905&amp;"|"&amp;$D905,_REF_Capability_Bridge!$J:$J,0)),IFERROR(INDEX(_REF_Capability_Bridge!$A:$A,MATCH($C905&amp;"|",_REF_Capability_Bridge!$J:$J,0)),"No bridge"))</f>
        <v>BRG-074</v>
      </c>
      <c r="BW905" t="str">
        <f t="shared" si="240"/>
        <v>Capability relevance neutral</v>
      </c>
      <c r="BX905" t="str">
        <f t="shared" si="241"/>
        <v>Initial / absent</v>
      </c>
      <c r="BY905" t="str">
        <f>IF($E905="","",IFERROR(INDEX(_REF_Treatment_Library!$A$2:$A$296,MATCH(1,INDEX((_REF_Treatment_Library!$B$2:$B$296=$BT905)*(_REF_Treatment_Library!$C$2:$C$296=PV_Canonical_Industry)*(_REF_Treatment_Library!$E$2:$E$296&lt;=N($H905))*(_REF_Treatment_Library!$F$2:$F$296&gt;=N($H905))*(_REF_Treatment_Library!$O$2:$O$296="Yes"),0),0)),IFERROR(INDEX(_REF_Treatment_Library!$A$2:$A$296,MATCH(1,INDEX((_REF_Treatment_Library!$B$2:$B$296=$BT905)*(_REF_Treatment_Library!$C$2:$C$296="All")*(_REF_Treatment_Library!$E$2:$E$296&lt;=N($H905))*(_REF_Treatment_Library!$F$2:$F$296&gt;=N($H905))*(_REF_Treatment_Library!$O$2:$O$296="Yes"),0),0)),"")))</f>
        <v>TRT-DELIVERY_CONTINUITY-INITIAL</v>
      </c>
      <c r="BZ905" t="str">
        <f>IF($BY905="","",IFERROR(INDEX(_REF_Treatment_Library!$H$2:$H$296,MATCH($BY905,_REF_Treatment_Library!$A$2:$A$296,0)),""))</f>
        <v>Establish</v>
      </c>
      <c r="CA905" t="str">
        <f>IF($BY905="","",IFERROR(INDEX(_REF_Treatment_Library!$I$2:$I$296,MATCH($BY905,_REF_Treatment_Library!$A$2:$A$296,0)),""))</f>
        <v>Establish baseline controls for Delivery continuity</v>
      </c>
      <c r="CB905" t="str">
        <f>IF($BY905="","",IFERROR(INDEX(_REF_Treatment_Library!$K$2:$K$296,MATCH($BY905,_REF_Treatment_Library!$A$2:$A$296,0)),""))</f>
        <v>Named owner, baseline process, minimum control checklist, first evidence package</v>
      </c>
      <c r="CC905" t="str">
        <f>IF($BY905="","",IFERROR(INDEX(_REF_Treatment_Library!$L$2:$L$296,MATCH($BY905,_REF_Treatment_Library!$A$2:$A$296,0)),""))</f>
        <v>Owner assigned; baseline evidence coverage; open critical gaps</v>
      </c>
      <c r="CD905" t="str">
        <f t="shared" si="242"/>
        <v>Treatment by capability=CAP_DELIVERY_CONTINUITY; band=Initial / absent; score=0.0; treatment=Establish</v>
      </c>
      <c r="CE905" t="str">
        <f>IF($E905="","",IFERROR(INDEX(_REF_Industry_Wording!$A$2:$A$70,MATCH(1,INDEX((_REF_Industry_Wording!$B$2:$B$70=$BT905)*(_REF_Industry_Wording!$C$2:$C$70=PV_Canonical_Industry)*(_REF_Industry_Wording!$K$2:$K$70="Yes"),0),0)),IFERROR(INDEX(_REF_Industry_Wording!$A$2:$A$70,MATCH(1,INDEX((_REF_Industry_Wording!$B$2:$B$70=$BT905)*(_REF_Industry_Wording!$C$2:$C$70="All")*(_REF_Industry_Wording!$K$2:$K$70="Yes"),0),0)),"")))</f>
        <v>IW-ALL-DELIVERY_CONTINUITY</v>
      </c>
      <c r="CF905" t="str">
        <f>IF($CE905="","",IFERROR(INDEX(_REF_Industry_Wording!$E$2:$E$70,MATCH($CE905,_REF_Industry_Wording!$A$2:$A$70,0)),""))</f>
        <v>Delivery continuity weakness</v>
      </c>
      <c r="CG905" t="str">
        <f>IF($CE905="","",IFERROR(INDEX(_REF_Industry_Wording!$F$2:$F$70,MATCH($CE905,_REF_Industry_Wording!$A$2:$A$70,0)),""))</f>
        <v>Strengthen Delivery continuity</v>
      </c>
      <c r="CH905" t="str">
        <f>IF($CE905="","",IFERROR(INDEX(_REF_Industry_Wording!$G$2:$G$70,MATCH($CE905,_REF_Industry_Wording!$A$2:$A$70,0)),""))</f>
        <v>Strengthen Delivery continuity using the selected maturity treatment, crisis scenario and evidence requirements.</v>
      </c>
      <c r="CI905" t="str">
        <f>IF($CE905="","",IFERROR(INDEX(_REF_Industry_Wording!$H$2:$H$70,MATCH($CE905,_REF_Industry_Wording!$A$2:$A$70,0)),""))</f>
        <v>Delivery continuity</v>
      </c>
      <c r="CJ905">
        <f>IF($CE905="","",IFERROR(INDEX(_REF_Industry_Wording!$I$2:$I$70,MATCH($CE905,_REF_Industry_Wording!$A$2:$A$70,0)),""))</f>
        <v>0</v>
      </c>
      <c r="CK905" t="str">
        <f>IF($CE905="","",IFERROR(INDEX(_REF_Industry_Wording!$J$2:$J$70,MATCH($CE905,_REF_Industry_Wording!$A$2:$A$70,0)),""))</f>
        <v>Delivery continuity</v>
      </c>
      <c r="CL905" t="str">
        <f t="shared" si="243"/>
        <v>Wording by industry=0; capability=CAP_DELIVERY_CONTINUITY; risk label=Delivery continuity weakness</v>
      </c>
      <c r="CM905" t="str">
        <f t="shared" si="244"/>
        <v>RISK-ONT-0406</v>
      </c>
      <c r="CN905" t="str">
        <f t="shared" si="245"/>
        <v>RISK-EVT-0406</v>
      </c>
      <c r="CO905" t="str">
        <f t="shared" si="246"/>
        <v>Quality Portfolio|Process management|QUAL-005|CAP_DELIVERY_CONTINUITY</v>
      </c>
      <c r="CP905" t="str">
        <f t="shared" si="247"/>
        <v>Active</v>
      </c>
      <c r="CQ905" t="str">
        <f t="shared" si="248"/>
        <v>OK: capability-driven</v>
      </c>
      <c r="CR905" t="str">
        <f t="shared" si="249"/>
        <v>Risk ontology uses capability=CAP_DELIVERY_CONTINUITY; bridge=BRG-074; treatment=TRT-DELIVERY_CONTINUITY-INITIAL; wording=IW-ALL-DELIVERY_CONTINUITY</v>
      </c>
      <c r="CS905" t="str">
        <f t="shared" si="250"/>
        <v>Yes</v>
      </c>
    </row>
    <row r="906" spans="1:97" ht="69.900000000000006" customHeight="1">
      <c r="A906">
        <f>IF(OR($B906&lt;&gt;"Yes",$BS906=""),"",SUMPRODUCT(($B$500:$B$923="Yes")*ISNUMBER($BS$500:$BS$923)*($BS$500:$BS$923&gt;$BS906))+COUNTIFS($B$500:$B906,"Yes",$BS$500:$BS906,$BS906))</f>
        <v>372</v>
      </c>
      <c r="B906" t="str">
        <f t="shared" si="219"/>
        <v>Yes</v>
      </c>
      <c r="C906" t="s">
        <v>3204</v>
      </c>
      <c r="D906" t="s">
        <v>3221</v>
      </c>
      <c r="E906" t="s">
        <v>3236</v>
      </c>
      <c r="F906" t="s">
        <v>4507</v>
      </c>
      <c r="G906" t="str">
        <f>IF($H906="","",IFERROR(INDEX(_ENGINE_Risk!$H$5:$M$499,MATCH($E906,_ENGINE_Risk!$A$5:$A$499,0),$H906+1),""))</f>
        <v>Severe risk: quality objectives linked to customer, delivery and operational performance is not reliably controlled. During Execution failure; Delivery disruption; Decision failure, the organization may face poor quality control, failed change execution, unmanaged portfolio trade-offs and benefit erosion with limited visibility or accountability.</v>
      </c>
      <c r="H906">
        <f>IFERROR(VALUE(INDEX(_DATA_Assessment_Model!$H$5:$H$884,MATCH($E906,_DATA_Assessment_Model!$A$5:$A$884,0))),"")</f>
        <v>0</v>
      </c>
      <c r="I906" t="str">
        <f>IF($H906="","",IFERROR(INDEX(_DATA_Assessment_Model!$L$5:$L$884,MATCH($E906,_DATA_Assessment_Model!$A$5:$A$884,0)),IF($H906&lt;=1,"Critical",IF($H906=2,"High",IF($H906=3,"Medium",IF($H906=4,"Low","Resilient"))))))</f>
        <v>Critical</v>
      </c>
      <c r="J906">
        <f t="shared" si="220"/>
        <v>3.5</v>
      </c>
      <c r="K906">
        <f t="shared" si="221"/>
        <v>4.1500000000000004</v>
      </c>
      <c r="L906">
        <f t="shared" si="222"/>
        <v>14.525000000000002</v>
      </c>
      <c r="M906">
        <f t="shared" si="223"/>
        <v>3</v>
      </c>
      <c r="N906">
        <f>IF($H906="","",IFERROR(INDEX(_ENGINE_Risk!$T$5:$Y$499,MATCH($E906,_ENGINE_Risk!$A$5:$A$499,0),$H906+1),""))</f>
        <v>3</v>
      </c>
      <c r="O906">
        <f t="shared" si="224"/>
        <v>4.333333333333333</v>
      </c>
      <c r="P906">
        <f t="shared" si="225"/>
        <v>5</v>
      </c>
      <c r="Q906">
        <f t="shared" si="226"/>
        <v>5</v>
      </c>
      <c r="R906">
        <f t="shared" si="227"/>
        <v>4.5</v>
      </c>
      <c r="S906">
        <f t="shared" si="228"/>
        <v>1.57</v>
      </c>
      <c r="T906" t="str">
        <f>IF($H906="","",IFERROR(INDEX(_ENGINE_Risk!$N$5:$S$499,MATCH($E906,_ENGINE_Risk!$A$5:$A$499,0),$H906+1),""))</f>
        <v>Create an immediate risk owner, minimum control baseline and fallback procedure for quality objectives linked to customer, delivery and operational performance. Add it to the crisis risk register and collect first evidence.</v>
      </c>
      <c r="U906">
        <f>IFERROR(INDEX(_DATA_Assessment_Model!$G$5:$G$884,MATCH($E906,_DATA_Assessment_Model!$A$5:$A$884,0)),"")</f>
        <v>4</v>
      </c>
      <c r="V906">
        <f>IFERROR(INDEX(_DATA_Assessment_Model!$W$5:$W$884,MATCH($E906,_DATA_Assessment_Model!$A$5:$A$884,0)),"")</f>
        <v>4</v>
      </c>
      <c r="W906">
        <f>IFERROR(INDEX(_DATA_Assessment_Model!$X$5:$X$884,MATCH($E906,_DATA_Assessment_Model!$A$5:$A$884,0)),"")</f>
        <v>5</v>
      </c>
      <c r="X906">
        <f>IFERROR(INDEX(_DATA_Assessment_Model!$Y$5:$Y$884,MATCH($E906,_DATA_Assessment_Model!$A$5:$A$884,0)),"")</f>
        <v>5</v>
      </c>
      <c r="Y906" t="s">
        <v>3217</v>
      </c>
      <c r="Z906" t="s">
        <v>10298</v>
      </c>
      <c r="AA906" t="s">
        <v>3238</v>
      </c>
      <c r="AB906">
        <f>IFERROR(INDEX(_DATA_Assessment_Model!$U$5:$U$884,MATCH($E906,_DATA_Assessment_Model!$A$5:$A$884,0)),"")</f>
        <v>0</v>
      </c>
      <c r="AF906" t="s">
        <v>3237</v>
      </c>
      <c r="AO906">
        <f>IF($B906="Yes",IF(IFERROR(INDEX(_ENGINE_Crisis!$F$501:$F$517,MATCH($C906,_ENGINE_Crisis!$A$501:$A$517,0)),1)=0,1,IFERROR(INDEX(_ENGINE_Crisis!$F$501:$F$517,MATCH($C906,_ENGINE_Crisis!$A$501:$A$517,0)),1)),"")</f>
        <v>1</v>
      </c>
      <c r="AP906">
        <f t="shared" si="229"/>
        <v>14.5</v>
      </c>
      <c r="AQ906">
        <f t="shared" si="230"/>
        <v>1.57</v>
      </c>
      <c r="AR906" t="str">
        <f>IFERROR(INDEX(_ENGINE_Crisis!$E$41:$E$700,MATCH('Resilience &amp; Risk Scenario'!$B$6&amp;"|"&amp;$C906,_ENGINE_Crisis!$I$41:$I$700,0)),"")</f>
        <v/>
      </c>
      <c r="AS906" t="str">
        <f>IFERROR(INDEX(_ENGINE_Crisis!$G$41:$G$700,MATCH('Resilience &amp; Risk Scenario'!$B$6&amp;"|"&amp;$C906,_ENGINE_Crisis!$I$41:$I$700,0)),"")</f>
        <v/>
      </c>
      <c r="AT906" t="str">
        <f>IFERROR(INDEX(_ENGINE_Initiatives!$A$5:$A$532,MATCH(1,INDEX((_ENGINE_Initiatives!$B$5:$B$532=$C906)*(_ENGINE_Initiatives!$C$5:$C$532=$D906),0),0)),"")</f>
        <v>INI-070</v>
      </c>
      <c r="AU906" t="str">
        <f>IFERROR(INDEX(_ENGINE_Initiatives!$F$5:$F$532,MATCH(1,INDEX((_ENGINE_Initiatives!$B$5:$B$532=$C906)*(_ENGINE_Initiatives!$C$5:$C$532=$D906),0),0)),"")</f>
        <v>Strengthen quality management and audit readiness</v>
      </c>
      <c r="AV906">
        <f>IFERROR(INDEX(_ENGINE_Initiatives!$AC$5:$AC$532,MATCH(1,INDEX((_ENGINE_Initiatives!$B$5:$B$532=$C906)*(_ENGINE_Initiatives!$C$5:$C$532=$D906),0),0)),"")</f>
        <v>2.59</v>
      </c>
      <c r="AW906" t="str">
        <f>IFERROR(INDEX(_ENGINE_Initiatives!$AE$5:$AE$532,MATCH(1,INDEX((_ENGINE_Initiatives!$B$5:$B$532=$C906)*(_ENGINE_Initiatives!$C$5:$C$532=$D906),0),0)),"")</f>
        <v>0-90 days</v>
      </c>
      <c r="AX906">
        <f>IF($B906="Yes",IFERROR((IF(SUMIFS(_REF_Model_Content!$E$1:$E$613,_REF_Model_Content!$A$1:$A$613,PV_Canonical_Industry,_REF_Model_Content!$B$1:$B$613,$C906)=0,1,SUMIFS(_REF_Model_Content!$E$1:$E$613,_REF_Model_Content!$A$1:$A$613,PV_Canonical_Industry,_REF_Model_Content!$B$1:$B$613,$C906))*IFERROR($BU906,1)),1),"")</f>
        <v>1</v>
      </c>
      <c r="AY906">
        <f t="shared" si="231"/>
        <v>14.5</v>
      </c>
      <c r="AZ906">
        <f t="shared" si="232"/>
        <v>1.57</v>
      </c>
      <c r="BB906" t="str">
        <f>IF($H906="","",IFERROR(INDEX(_ENGINE_Risk!$AE$5:$AE$499,MATCH($E906,_ENGINE_Risk!$A$5:$A$499,0)),"Medium"))</f>
        <v>Slow</v>
      </c>
      <c r="BC906">
        <f t="shared" si="233"/>
        <v>0.85</v>
      </c>
      <c r="BD906">
        <f t="shared" si="234"/>
        <v>1.57</v>
      </c>
      <c r="BF906">
        <f>IF(OR($H906="",$J906=""),"",IFERROR(VLOOKUP(ROUND($J906,0),_CONFIG_Model_Settings!$D$154:$E$158,2,0),""))</f>
        <v>0.5</v>
      </c>
      <c r="BG906">
        <f>IFERROR(IF(OR($H906="",$K906=""),"",ROUND('Company Profile'!$B$113*INDEX(_CONFIG_Model_Settings!$H$154:$H$158,MATCH(ROUND($K906,0),_CONFIG_Model_Settings!$G$154:$G$158,0)),0)),0)</f>
        <v>875</v>
      </c>
      <c r="BH906">
        <f t="shared" si="235"/>
        <v>437.5</v>
      </c>
      <c r="BI906">
        <f t="shared" si="236"/>
        <v>437.5</v>
      </c>
      <c r="BJ906">
        <f>IF($E906="","",IFERROR(VLOOKUP($C906,_CONFIG_Risk_Calibration!$A$5:$H$21,2,FALSE),3))</f>
        <v>3</v>
      </c>
      <c r="BK906">
        <f>IF($E906="","",IFERROR(VLOOKUP($C906,_CONFIG_Risk_Calibration!$A$5:$H$21,3,FALSE),0))</f>
        <v>0</v>
      </c>
      <c r="BL906">
        <f>IF($E906="","",IFERROR(VLOOKUP($C906,_CONFIG_Risk_Calibration!$A$5:$H$21,4,FALSE),3))</f>
        <v>3</v>
      </c>
      <c r="BM906">
        <f>IF($E906="","",IFERROR(VLOOKUP($C906,_CONFIG_Risk_Calibration!$A$5:$H$21,5,FALSE),3))</f>
        <v>3</v>
      </c>
      <c r="BN906" t="str">
        <f>IF($E906="","",IFERROR(VLOOKUP($C906,_CONFIG_Risk_Calibration!$A$5:$H$21,6,FALSE),"No"))</f>
        <v>Yes</v>
      </c>
      <c r="BO906">
        <f>IF($E906="","",IFERROR(VLOOKUP($C906,_CONFIG_Risk_Calibration!$A$5:$H$21,7,FALSE),1))</f>
        <v>4</v>
      </c>
      <c r="BP906">
        <f>IF($H906="","",MAX(1,MIN(5,((6-$H906)*0.45)+($BJ906*0.2)+('Resilience &amp; Risk Scenario'!$B$7*0.15)+($BK906*0.1)+($BL906*0.05)+(IF($BB906="Fast",5,IF($BB906="Slow",1,3))*0.05))))</f>
        <v>3.5</v>
      </c>
      <c r="BQ906">
        <f t="shared" si="237"/>
        <v>4.1500000000000004</v>
      </c>
      <c r="BR906">
        <f t="shared" si="238"/>
        <v>14.53</v>
      </c>
      <c r="BS906">
        <f t="shared" si="239"/>
        <v>12.35</v>
      </c>
      <c r="BT906" t="str">
        <f>IFERROR(INDEX(_REF_Capability_Bridge!$D:$D,MATCH($C906&amp;"|"&amp;$D906,_REF_Capability_Bridge!$J:$J,0)),IFERROR(INDEX(_REF_Capability_Bridge!$D:$D,MATCH($C906&amp;"|",_REF_Capability_Bridge!$J:$J,0)),"CAP_GENERIC"))</f>
        <v>CAP_DELIVERY_CONTINUITY</v>
      </c>
      <c r="BU906">
        <f>IFERROR(IFERROR(INDEX(_ENGINE_Relevance!$L:$L,MATCH($BT906,_ENGINE_Relevance!$B:$B,0)),1),1)</f>
        <v>1</v>
      </c>
      <c r="BV906" t="str">
        <f>IFERROR(INDEX(_REF_Capability_Bridge!$A:$A,MATCH($C906&amp;"|"&amp;$D906,_REF_Capability_Bridge!$J:$J,0)),IFERROR(INDEX(_REF_Capability_Bridge!$A:$A,MATCH($C906&amp;"|",_REF_Capability_Bridge!$J:$J,0)),"No bridge"))</f>
        <v>BRG-075</v>
      </c>
      <c r="BW906" t="str">
        <f t="shared" si="240"/>
        <v>Capability relevance neutral</v>
      </c>
      <c r="BX906" t="str">
        <f t="shared" si="241"/>
        <v>Initial / absent</v>
      </c>
      <c r="BY906" t="str">
        <f>IF($E906="","",IFERROR(INDEX(_REF_Treatment_Library!$A$2:$A$296,MATCH(1,INDEX((_REF_Treatment_Library!$B$2:$B$296=$BT906)*(_REF_Treatment_Library!$C$2:$C$296=PV_Canonical_Industry)*(_REF_Treatment_Library!$E$2:$E$296&lt;=N($H906))*(_REF_Treatment_Library!$F$2:$F$296&gt;=N($H906))*(_REF_Treatment_Library!$O$2:$O$296="Yes"),0),0)),IFERROR(INDEX(_REF_Treatment_Library!$A$2:$A$296,MATCH(1,INDEX((_REF_Treatment_Library!$B$2:$B$296=$BT906)*(_REF_Treatment_Library!$C$2:$C$296="All")*(_REF_Treatment_Library!$E$2:$E$296&lt;=N($H906))*(_REF_Treatment_Library!$F$2:$F$296&gt;=N($H906))*(_REF_Treatment_Library!$O$2:$O$296="Yes"),0),0)),"")))</f>
        <v>TRT-DELIVERY_CONTINUITY-INITIAL</v>
      </c>
      <c r="BZ906" t="str">
        <f>IF($BY906="","",IFERROR(INDEX(_REF_Treatment_Library!$H$2:$H$296,MATCH($BY906,_REF_Treatment_Library!$A$2:$A$296,0)),""))</f>
        <v>Establish</v>
      </c>
      <c r="CA906" t="str">
        <f>IF($BY906="","",IFERROR(INDEX(_REF_Treatment_Library!$I$2:$I$296,MATCH($BY906,_REF_Treatment_Library!$A$2:$A$296,0)),""))</f>
        <v>Establish baseline controls for Delivery continuity</v>
      </c>
      <c r="CB906" t="str">
        <f>IF($BY906="","",IFERROR(INDEX(_REF_Treatment_Library!$K$2:$K$296,MATCH($BY906,_REF_Treatment_Library!$A$2:$A$296,0)),""))</f>
        <v>Named owner, baseline process, minimum control checklist, first evidence package</v>
      </c>
      <c r="CC906" t="str">
        <f>IF($BY906="","",IFERROR(INDEX(_REF_Treatment_Library!$L$2:$L$296,MATCH($BY906,_REF_Treatment_Library!$A$2:$A$296,0)),""))</f>
        <v>Owner assigned; baseline evidence coverage; open critical gaps</v>
      </c>
      <c r="CD906" t="str">
        <f t="shared" si="242"/>
        <v>Treatment by capability=CAP_DELIVERY_CONTINUITY; band=Initial / absent; score=0.0; treatment=Establish</v>
      </c>
      <c r="CE906" t="str">
        <f>IF($E906="","",IFERROR(INDEX(_REF_Industry_Wording!$A$2:$A$70,MATCH(1,INDEX((_REF_Industry_Wording!$B$2:$B$70=$BT906)*(_REF_Industry_Wording!$C$2:$C$70=PV_Canonical_Industry)*(_REF_Industry_Wording!$K$2:$K$70="Yes"),0),0)),IFERROR(INDEX(_REF_Industry_Wording!$A$2:$A$70,MATCH(1,INDEX((_REF_Industry_Wording!$B$2:$B$70=$BT906)*(_REF_Industry_Wording!$C$2:$C$70="All")*(_REF_Industry_Wording!$K$2:$K$70="Yes"),0),0)),"")))</f>
        <v>IW-ALL-DELIVERY_CONTINUITY</v>
      </c>
      <c r="CF906" t="str">
        <f>IF($CE906="","",IFERROR(INDEX(_REF_Industry_Wording!$E$2:$E$70,MATCH($CE906,_REF_Industry_Wording!$A$2:$A$70,0)),""))</f>
        <v>Delivery continuity weakness</v>
      </c>
      <c r="CG906" t="str">
        <f>IF($CE906="","",IFERROR(INDEX(_REF_Industry_Wording!$F$2:$F$70,MATCH($CE906,_REF_Industry_Wording!$A$2:$A$70,0)),""))</f>
        <v>Strengthen Delivery continuity</v>
      </c>
      <c r="CH906" t="str">
        <f>IF($CE906="","",IFERROR(INDEX(_REF_Industry_Wording!$G$2:$G$70,MATCH($CE906,_REF_Industry_Wording!$A$2:$A$70,0)),""))</f>
        <v>Strengthen Delivery continuity using the selected maturity treatment, crisis scenario and evidence requirements.</v>
      </c>
      <c r="CI906" t="str">
        <f>IF($CE906="","",IFERROR(INDEX(_REF_Industry_Wording!$H$2:$H$70,MATCH($CE906,_REF_Industry_Wording!$A$2:$A$70,0)),""))</f>
        <v>Delivery continuity</v>
      </c>
      <c r="CJ906">
        <f>IF($CE906="","",IFERROR(INDEX(_REF_Industry_Wording!$I$2:$I$70,MATCH($CE906,_REF_Industry_Wording!$A$2:$A$70,0)),""))</f>
        <v>0</v>
      </c>
      <c r="CK906" t="str">
        <f>IF($CE906="","",IFERROR(INDEX(_REF_Industry_Wording!$J$2:$J$70,MATCH($CE906,_REF_Industry_Wording!$A$2:$A$70,0)),""))</f>
        <v>Delivery continuity</v>
      </c>
      <c r="CL906" t="str">
        <f t="shared" si="243"/>
        <v>Wording by industry=0; capability=CAP_DELIVERY_CONTINUITY; risk label=Delivery continuity weakness</v>
      </c>
      <c r="CM906" t="str">
        <f t="shared" si="244"/>
        <v>RISK-ONT-0407</v>
      </c>
      <c r="CN906" t="str">
        <f t="shared" si="245"/>
        <v>RISK-EVT-0407</v>
      </c>
      <c r="CO906" t="str">
        <f t="shared" si="246"/>
        <v>Quality Portfolio|Quality management|QUAL-006|CAP_DELIVERY_CONTINUITY</v>
      </c>
      <c r="CP906" t="str">
        <f t="shared" si="247"/>
        <v>Active</v>
      </c>
      <c r="CQ906" t="str">
        <f t="shared" si="248"/>
        <v>OK: capability-driven</v>
      </c>
      <c r="CR906" t="str">
        <f t="shared" si="249"/>
        <v>Risk ontology uses capability=CAP_DELIVERY_CONTINUITY; bridge=BRG-075; treatment=TRT-DELIVERY_CONTINUITY-INITIAL; wording=IW-ALL-DELIVERY_CONTINUITY</v>
      </c>
      <c r="CS906" t="str">
        <f t="shared" si="250"/>
        <v>Yes</v>
      </c>
    </row>
    <row r="907" spans="1:97">
      <c r="A907">
        <f>IF(OR($B907&lt;&gt;"Yes",$BS907=""),"",SUMPRODUCT(($B$500:$B$923="Yes")*ISNUMBER($BS$500:$BS$923)*($BS$500:$BS$923&gt;$BS907))+COUNTIFS($B$500:$B907,"Yes",$BS$500:$BS907,$BS907))</f>
        <v>385</v>
      </c>
      <c r="B907" t="str">
        <f t="shared" si="219"/>
        <v>Yes</v>
      </c>
      <c r="C907" t="s">
        <v>3204</v>
      </c>
      <c r="D907" t="s">
        <v>3221</v>
      </c>
      <c r="E907" t="s">
        <v>3245</v>
      </c>
      <c r="F907" t="s">
        <v>4507</v>
      </c>
      <c r="G907" t="str">
        <f>IF($H907="","",IFERROR(INDEX(_ENGINE_Risk!$H$5:$M$499,MATCH($E907,_ENGINE_Risk!$A$5:$A$499,0),$H907+1),""))</f>
        <v>Severe risk: nonconformity, defect, complaint and corrective action management is not reliably controlled. During Execution failure; Delivery disruption; Decision failure, the organization may face poor quality control, failed change execution, unmanaged portfolio trade-offs and benefit erosion with limited visibility or accountability.</v>
      </c>
      <c r="H907">
        <f>IFERROR(VALUE(INDEX(_DATA_Assessment_Model!$H$5:$H$884,MATCH($E907,_DATA_Assessment_Model!$A$5:$A$884,0))),"")</f>
        <v>0</v>
      </c>
      <c r="I907" t="str">
        <f>IF($H907="","",IFERROR(INDEX(_DATA_Assessment_Model!$L$5:$L$884,MATCH($E907,_DATA_Assessment_Model!$A$5:$A$884,0)),IF($H907&lt;=1,"Critical",IF($H907=2,"High",IF($H907=3,"Medium",IF($H907=4,"Low","Resilient"))))))</f>
        <v>Critical</v>
      </c>
      <c r="J907">
        <f t="shared" si="220"/>
        <v>3.5</v>
      </c>
      <c r="K907">
        <f t="shared" si="221"/>
        <v>4</v>
      </c>
      <c r="L907">
        <f t="shared" si="222"/>
        <v>14</v>
      </c>
      <c r="M907">
        <f t="shared" si="223"/>
        <v>3</v>
      </c>
      <c r="N907">
        <f>IF($H907="","",IFERROR(INDEX(_ENGINE_Risk!$T$5:$Y$499,MATCH($E907,_ENGINE_Risk!$A$5:$A$499,0),$H907+1),""))</f>
        <v>3</v>
      </c>
      <c r="O907">
        <f t="shared" si="224"/>
        <v>4</v>
      </c>
      <c r="P907">
        <f t="shared" si="225"/>
        <v>5</v>
      </c>
      <c r="Q907">
        <f t="shared" si="226"/>
        <v>5</v>
      </c>
      <c r="R907">
        <f t="shared" si="227"/>
        <v>4.5</v>
      </c>
      <c r="S907">
        <f t="shared" si="228"/>
        <v>1.54</v>
      </c>
      <c r="T907" t="str">
        <f>IF($H907="","",IFERROR(INDEX(_ENGINE_Risk!$N$5:$S$499,MATCH($E907,_ENGINE_Risk!$A$5:$A$499,0),$H907+1),""))</f>
        <v>Create an immediate risk owner, minimum control baseline and fallback procedure for nonconformity, defect, complaint and corrective action management. Add it to the crisis risk register and collect first evidence.</v>
      </c>
      <c r="U907">
        <f>IFERROR(INDEX(_DATA_Assessment_Model!$G$5:$G$884,MATCH($E907,_DATA_Assessment_Model!$A$5:$A$884,0)),"")</f>
        <v>3</v>
      </c>
      <c r="V907">
        <f>IFERROR(INDEX(_DATA_Assessment_Model!$W$5:$W$884,MATCH($E907,_DATA_Assessment_Model!$A$5:$A$884,0)),"")</f>
        <v>4</v>
      </c>
      <c r="W907">
        <f>IFERROR(INDEX(_DATA_Assessment_Model!$X$5:$X$884,MATCH($E907,_DATA_Assessment_Model!$A$5:$A$884,0)),"")</f>
        <v>5</v>
      </c>
      <c r="X907">
        <f>IFERROR(INDEX(_DATA_Assessment_Model!$Y$5:$Y$884,MATCH($E907,_DATA_Assessment_Model!$A$5:$A$884,0)),"")</f>
        <v>5</v>
      </c>
      <c r="Y907" t="s">
        <v>3217</v>
      </c>
      <c r="Z907" t="s">
        <v>10298</v>
      </c>
      <c r="AA907" t="s">
        <v>3247</v>
      </c>
      <c r="AB907">
        <f>IFERROR(INDEX(_DATA_Assessment_Model!$U$5:$U$884,MATCH($E907,_DATA_Assessment_Model!$A$5:$A$884,0)),"")</f>
        <v>0</v>
      </c>
      <c r="AF907" t="s">
        <v>3246</v>
      </c>
      <c r="AO907">
        <f>IF($B907="Yes",IF(IFERROR(INDEX(_ENGINE_Crisis!$F$501:$F$517,MATCH($C907,_ENGINE_Crisis!$A$501:$A$517,0)),1)=0,1,IFERROR(INDEX(_ENGINE_Crisis!$F$501:$F$517,MATCH($C907,_ENGINE_Crisis!$A$501:$A$517,0)),1)),"")</f>
        <v>1</v>
      </c>
      <c r="AP907">
        <f t="shared" si="229"/>
        <v>14</v>
      </c>
      <c r="AQ907">
        <f t="shared" si="230"/>
        <v>1.54</v>
      </c>
      <c r="AR907" t="str">
        <f>IFERROR(INDEX(_ENGINE_Crisis!$E$41:$E$700,MATCH('Resilience &amp; Risk Scenario'!$B$6&amp;"|"&amp;$C907,_ENGINE_Crisis!$I$41:$I$700,0)),"")</f>
        <v/>
      </c>
      <c r="AS907" t="str">
        <f>IFERROR(INDEX(_ENGINE_Crisis!$G$41:$G$700,MATCH('Resilience &amp; Risk Scenario'!$B$6&amp;"|"&amp;$C907,_ENGINE_Crisis!$I$41:$I$700,0)),"")</f>
        <v/>
      </c>
      <c r="AT907" t="str">
        <f>IFERROR(INDEX(_ENGINE_Initiatives!$A$5:$A$532,MATCH(1,INDEX((_ENGINE_Initiatives!$B$5:$B$532=$C907)*(_ENGINE_Initiatives!$C$5:$C$532=$D907),0),0)),"")</f>
        <v>INI-070</v>
      </c>
      <c r="AU907" t="str">
        <f>IFERROR(INDEX(_ENGINE_Initiatives!$F$5:$F$532,MATCH(1,INDEX((_ENGINE_Initiatives!$B$5:$B$532=$C907)*(_ENGINE_Initiatives!$C$5:$C$532=$D907),0),0)),"")</f>
        <v>Strengthen quality management and audit readiness</v>
      </c>
      <c r="AV907">
        <f>IFERROR(INDEX(_ENGINE_Initiatives!$AC$5:$AC$532,MATCH(1,INDEX((_ENGINE_Initiatives!$B$5:$B$532=$C907)*(_ENGINE_Initiatives!$C$5:$C$532=$D907),0),0)),"")</f>
        <v>2.59</v>
      </c>
      <c r="AW907" t="str">
        <f>IFERROR(INDEX(_ENGINE_Initiatives!$AE$5:$AE$532,MATCH(1,INDEX((_ENGINE_Initiatives!$B$5:$B$532=$C907)*(_ENGINE_Initiatives!$C$5:$C$532=$D907),0),0)),"")</f>
        <v>0-90 days</v>
      </c>
      <c r="AX907">
        <f>IF($B907="Yes",IFERROR((IF(SUMIFS(_REF_Model_Content!$E$1:$E$613,_REF_Model_Content!$A$1:$A$613,PV_Canonical_Industry,_REF_Model_Content!$B$1:$B$613,$C907)=0,1,SUMIFS(_REF_Model_Content!$E$1:$E$613,_REF_Model_Content!$A$1:$A$613,PV_Canonical_Industry,_REF_Model_Content!$B$1:$B$613,$C907))*IFERROR($BU907,1)),1),"")</f>
        <v>1</v>
      </c>
      <c r="AY907">
        <f t="shared" si="231"/>
        <v>14</v>
      </c>
      <c r="AZ907">
        <f t="shared" si="232"/>
        <v>1.54</v>
      </c>
      <c r="BB907" t="str">
        <f>IF($H907="","",IFERROR(INDEX(_ENGINE_Risk!$AE$5:$AE$499,MATCH($E907,_ENGINE_Risk!$A$5:$A$499,0)),"Medium"))</f>
        <v>Slow</v>
      </c>
      <c r="BC907">
        <f t="shared" si="233"/>
        <v>0.85</v>
      </c>
      <c r="BD907">
        <f t="shared" si="234"/>
        <v>1.54</v>
      </c>
      <c r="BF907">
        <f>IF(OR($H907="",$J907=""),"",IFERROR(VLOOKUP(ROUND($J907,0),_CONFIG_Model_Settings!$D$154:$E$158,2,0),""))</f>
        <v>0.5</v>
      </c>
      <c r="BG907">
        <f>IFERROR(IF(OR($H907="",$K907=""),"",ROUND('Company Profile'!$B$113*INDEX(_CONFIG_Model_Settings!$H$154:$H$158,MATCH(ROUND($K907,0),_CONFIG_Model_Settings!$G$154:$G$158,0)),0)),0)</f>
        <v>875</v>
      </c>
      <c r="BH907">
        <f t="shared" si="235"/>
        <v>437.5</v>
      </c>
      <c r="BI907">
        <f t="shared" si="236"/>
        <v>437.5</v>
      </c>
      <c r="BJ907">
        <f>IF($E907="","",IFERROR(VLOOKUP($C907,_CONFIG_Risk_Calibration!$A$5:$H$21,2,FALSE),3))</f>
        <v>3</v>
      </c>
      <c r="BK907">
        <f>IF($E907="","",IFERROR(VLOOKUP($C907,_CONFIG_Risk_Calibration!$A$5:$H$21,3,FALSE),0))</f>
        <v>0</v>
      </c>
      <c r="BL907">
        <f>IF($E907="","",IFERROR(VLOOKUP($C907,_CONFIG_Risk_Calibration!$A$5:$H$21,4,FALSE),3))</f>
        <v>3</v>
      </c>
      <c r="BM907">
        <f>IF($E907="","",IFERROR(VLOOKUP($C907,_CONFIG_Risk_Calibration!$A$5:$H$21,5,FALSE),3))</f>
        <v>3</v>
      </c>
      <c r="BN907" t="str">
        <f>IF($E907="","",IFERROR(VLOOKUP($C907,_CONFIG_Risk_Calibration!$A$5:$H$21,6,FALSE),"No"))</f>
        <v>Yes</v>
      </c>
      <c r="BO907">
        <f>IF($E907="","",IFERROR(VLOOKUP($C907,_CONFIG_Risk_Calibration!$A$5:$H$21,7,FALSE),1))</f>
        <v>4</v>
      </c>
      <c r="BP907">
        <f>IF($H907="","",MAX(1,MIN(5,((6-$H907)*0.45)+($BJ907*0.2)+('Resilience &amp; Risk Scenario'!$B$7*0.15)+($BK907*0.1)+($BL907*0.05)+(IF($BB907="Fast",5,IF($BB907="Slow",1,3))*0.05))))</f>
        <v>3.5</v>
      </c>
      <c r="BQ907">
        <f t="shared" si="237"/>
        <v>4</v>
      </c>
      <c r="BR907">
        <f t="shared" si="238"/>
        <v>14</v>
      </c>
      <c r="BS907">
        <f t="shared" si="239"/>
        <v>11.9</v>
      </c>
      <c r="BT907" t="str">
        <f>IFERROR(INDEX(_REF_Capability_Bridge!$D:$D,MATCH($C907&amp;"|"&amp;$D907,_REF_Capability_Bridge!$J:$J,0)),IFERROR(INDEX(_REF_Capability_Bridge!$D:$D,MATCH($C907&amp;"|",_REF_Capability_Bridge!$J:$J,0)),"CAP_GENERIC"))</f>
        <v>CAP_DELIVERY_CONTINUITY</v>
      </c>
      <c r="BU907">
        <f>IFERROR(IFERROR(INDEX(_ENGINE_Relevance!$L:$L,MATCH($BT907,_ENGINE_Relevance!$B:$B,0)),1),1)</f>
        <v>1</v>
      </c>
      <c r="BV907" t="str">
        <f>IFERROR(INDEX(_REF_Capability_Bridge!$A:$A,MATCH($C907&amp;"|"&amp;$D907,_REF_Capability_Bridge!$J:$J,0)),IFERROR(INDEX(_REF_Capability_Bridge!$A:$A,MATCH($C907&amp;"|",_REF_Capability_Bridge!$J:$J,0)),"No bridge"))</f>
        <v>BRG-075</v>
      </c>
      <c r="BW907" t="str">
        <f t="shared" si="240"/>
        <v>Capability relevance neutral</v>
      </c>
      <c r="BX907" t="str">
        <f t="shared" si="241"/>
        <v>Initial / absent</v>
      </c>
      <c r="BY907" t="str">
        <f>IF($E907="","",IFERROR(INDEX(_REF_Treatment_Library!$A$2:$A$296,MATCH(1,INDEX((_REF_Treatment_Library!$B$2:$B$296=$BT907)*(_REF_Treatment_Library!$C$2:$C$296=PV_Canonical_Industry)*(_REF_Treatment_Library!$E$2:$E$296&lt;=N($H907))*(_REF_Treatment_Library!$F$2:$F$296&gt;=N($H907))*(_REF_Treatment_Library!$O$2:$O$296="Yes"),0),0)),IFERROR(INDEX(_REF_Treatment_Library!$A$2:$A$296,MATCH(1,INDEX((_REF_Treatment_Library!$B$2:$B$296=$BT907)*(_REF_Treatment_Library!$C$2:$C$296="All")*(_REF_Treatment_Library!$E$2:$E$296&lt;=N($H907))*(_REF_Treatment_Library!$F$2:$F$296&gt;=N($H907))*(_REF_Treatment_Library!$O$2:$O$296="Yes"),0),0)),"")))</f>
        <v>TRT-DELIVERY_CONTINUITY-INITIAL</v>
      </c>
      <c r="BZ907" t="str">
        <f>IF($BY907="","",IFERROR(INDEX(_REF_Treatment_Library!$H$2:$H$296,MATCH($BY907,_REF_Treatment_Library!$A$2:$A$296,0)),""))</f>
        <v>Establish</v>
      </c>
      <c r="CA907" t="str">
        <f>IF($BY907="","",IFERROR(INDEX(_REF_Treatment_Library!$I$2:$I$296,MATCH($BY907,_REF_Treatment_Library!$A$2:$A$296,0)),""))</f>
        <v>Establish baseline controls for Delivery continuity</v>
      </c>
      <c r="CB907" t="str">
        <f>IF($BY907="","",IFERROR(INDEX(_REF_Treatment_Library!$K$2:$K$296,MATCH($BY907,_REF_Treatment_Library!$A$2:$A$296,0)),""))</f>
        <v>Named owner, baseline process, minimum control checklist, first evidence package</v>
      </c>
      <c r="CC907" t="str">
        <f>IF($BY907="","",IFERROR(INDEX(_REF_Treatment_Library!$L$2:$L$296,MATCH($BY907,_REF_Treatment_Library!$A$2:$A$296,0)),""))</f>
        <v>Owner assigned; baseline evidence coverage; open critical gaps</v>
      </c>
      <c r="CD907" t="str">
        <f t="shared" si="242"/>
        <v>Treatment by capability=CAP_DELIVERY_CONTINUITY; band=Initial / absent; score=0.0; treatment=Establish</v>
      </c>
      <c r="CE907" t="str">
        <f>IF($E907="","",IFERROR(INDEX(_REF_Industry_Wording!$A$2:$A$70,MATCH(1,INDEX((_REF_Industry_Wording!$B$2:$B$70=$BT907)*(_REF_Industry_Wording!$C$2:$C$70=PV_Canonical_Industry)*(_REF_Industry_Wording!$K$2:$K$70="Yes"),0),0)),IFERROR(INDEX(_REF_Industry_Wording!$A$2:$A$70,MATCH(1,INDEX((_REF_Industry_Wording!$B$2:$B$70=$BT907)*(_REF_Industry_Wording!$C$2:$C$70="All")*(_REF_Industry_Wording!$K$2:$K$70="Yes"),0),0)),"")))</f>
        <v>IW-ALL-DELIVERY_CONTINUITY</v>
      </c>
      <c r="CF907" t="str">
        <f>IF($CE907="","",IFERROR(INDEX(_REF_Industry_Wording!$E$2:$E$70,MATCH($CE907,_REF_Industry_Wording!$A$2:$A$70,0)),""))</f>
        <v>Delivery continuity weakness</v>
      </c>
      <c r="CG907" t="str">
        <f>IF($CE907="","",IFERROR(INDEX(_REF_Industry_Wording!$F$2:$F$70,MATCH($CE907,_REF_Industry_Wording!$A$2:$A$70,0)),""))</f>
        <v>Strengthen Delivery continuity</v>
      </c>
      <c r="CH907" t="str">
        <f>IF($CE907="","",IFERROR(INDEX(_REF_Industry_Wording!$G$2:$G$70,MATCH($CE907,_REF_Industry_Wording!$A$2:$A$70,0)),""))</f>
        <v>Strengthen Delivery continuity using the selected maturity treatment, crisis scenario and evidence requirements.</v>
      </c>
      <c r="CI907" t="str">
        <f>IF($CE907="","",IFERROR(INDEX(_REF_Industry_Wording!$H$2:$H$70,MATCH($CE907,_REF_Industry_Wording!$A$2:$A$70,0)),""))</f>
        <v>Delivery continuity</v>
      </c>
      <c r="CJ907">
        <f>IF($CE907="","",IFERROR(INDEX(_REF_Industry_Wording!$I$2:$I$70,MATCH($CE907,_REF_Industry_Wording!$A$2:$A$70,0)),""))</f>
        <v>0</v>
      </c>
      <c r="CK907" t="str">
        <f>IF($CE907="","",IFERROR(INDEX(_REF_Industry_Wording!$J$2:$J$70,MATCH($CE907,_REF_Industry_Wording!$A$2:$A$70,0)),""))</f>
        <v>Delivery continuity</v>
      </c>
      <c r="CL907" t="str">
        <f t="shared" si="243"/>
        <v>Wording by industry=0; capability=CAP_DELIVERY_CONTINUITY; risk label=Delivery continuity weakness</v>
      </c>
      <c r="CM907" t="str">
        <f t="shared" si="244"/>
        <v>RISK-ONT-0408</v>
      </c>
      <c r="CN907" t="str">
        <f t="shared" si="245"/>
        <v>RISK-EVT-0408</v>
      </c>
      <c r="CO907" t="str">
        <f t="shared" si="246"/>
        <v>Quality Portfolio|Quality management|QUAL-007|CAP_DELIVERY_CONTINUITY</v>
      </c>
      <c r="CP907" t="str">
        <f t="shared" si="247"/>
        <v>Active</v>
      </c>
      <c r="CQ907" t="str">
        <f t="shared" si="248"/>
        <v>OK: capability-driven</v>
      </c>
      <c r="CR907" t="str">
        <f t="shared" si="249"/>
        <v>Risk ontology uses capability=CAP_DELIVERY_CONTINUITY; bridge=BRG-075; treatment=TRT-DELIVERY_CONTINUITY-INITIAL; wording=IW-ALL-DELIVERY_CONTINUITY</v>
      </c>
      <c r="CS907" t="str">
        <f t="shared" si="250"/>
        <v>Yes</v>
      </c>
    </row>
    <row r="908" spans="1:97">
      <c r="A908">
        <f>IF(OR($B908&lt;&gt;"Yes",$BS908=""),"",SUMPRODUCT(($B$500:$B$923="Yes")*ISNUMBER($BS$500:$BS$923)*($BS$500:$BS$923&gt;$BS908))+COUNTIFS($B$500:$B908,"Yes",$BS$500:$BS908,$BS908))</f>
        <v>364</v>
      </c>
      <c r="B908" t="str">
        <f t="shared" si="219"/>
        <v>Yes</v>
      </c>
      <c r="C908" t="s">
        <v>3204</v>
      </c>
      <c r="D908" t="s">
        <v>3221</v>
      </c>
      <c r="E908" t="s">
        <v>3254</v>
      </c>
      <c r="F908" t="s">
        <v>4507</v>
      </c>
      <c r="G908" t="str">
        <f>IF($H908="","",IFERROR(INDEX(_ENGINE_Risk!$H$5:$M$499,MATCH($E908,_ENGINE_Risk!$A$5:$A$499,0),$H908+1),""))</f>
        <v>Severe risk: internal audit program for critical processes and controls is not reliably controlled. During Execution failure; Delivery disruption; Decision failure, the organization may face poor quality control, failed change execution, unmanaged portfolio trade-offs and benefit erosion with limited visibility or accountability.</v>
      </c>
      <c r="H908">
        <f>IFERROR(VALUE(INDEX(_DATA_Assessment_Model!$H$5:$H$884,MATCH($E908,_DATA_Assessment_Model!$A$5:$A$884,0))),"")</f>
        <v>0</v>
      </c>
      <c r="I908" t="str">
        <f>IF($H908="","",IFERROR(INDEX(_DATA_Assessment_Model!$L$5:$L$884,MATCH($E908,_DATA_Assessment_Model!$A$5:$A$884,0)),IF($H908&lt;=1,"Critical",IF($H908=2,"High",IF($H908=3,"Medium",IF($H908=4,"Low","Resilient"))))))</f>
        <v>Critical</v>
      </c>
      <c r="J908">
        <f t="shared" si="220"/>
        <v>3.5</v>
      </c>
      <c r="K908">
        <f t="shared" si="221"/>
        <v>4.3500000000000005</v>
      </c>
      <c r="L908">
        <f t="shared" si="222"/>
        <v>15.225000000000001</v>
      </c>
      <c r="M908">
        <f t="shared" si="223"/>
        <v>4</v>
      </c>
      <c r="N908">
        <f>IF($H908="","",IFERROR(INDEX(_ENGINE_Risk!$T$5:$Y$499,MATCH($E908,_ENGINE_Risk!$A$5:$A$499,0),$H908+1),""))</f>
        <v>3</v>
      </c>
      <c r="O908">
        <f t="shared" si="224"/>
        <v>4.666666666666667</v>
      </c>
      <c r="P908">
        <f t="shared" si="225"/>
        <v>5</v>
      </c>
      <c r="Q908">
        <f t="shared" si="226"/>
        <v>5</v>
      </c>
      <c r="R908">
        <f t="shared" si="227"/>
        <v>4.5</v>
      </c>
      <c r="S908">
        <f t="shared" si="228"/>
        <v>1.6</v>
      </c>
      <c r="T908" t="str">
        <f>IF($H908="","",IFERROR(INDEX(_ENGINE_Risk!$N$5:$S$499,MATCH($E908,_ENGINE_Risk!$A$5:$A$499,0),$H908+1),""))</f>
        <v>Create an immediate risk owner, minimum control baseline and fallback procedure for internal audit program for critical processes and controls. Add it to the crisis risk register and collect first evidence.</v>
      </c>
      <c r="U908">
        <f>IFERROR(INDEX(_DATA_Assessment_Model!$G$5:$G$884,MATCH($E908,_DATA_Assessment_Model!$A$5:$A$884,0)),"")</f>
        <v>5</v>
      </c>
      <c r="V908">
        <f>IFERROR(INDEX(_DATA_Assessment_Model!$W$5:$W$884,MATCH($E908,_DATA_Assessment_Model!$A$5:$A$884,0)),"")</f>
        <v>4</v>
      </c>
      <c r="W908">
        <f>IFERROR(INDEX(_DATA_Assessment_Model!$X$5:$X$884,MATCH($E908,_DATA_Assessment_Model!$A$5:$A$884,0)),"")</f>
        <v>5</v>
      </c>
      <c r="X908">
        <f>IFERROR(INDEX(_DATA_Assessment_Model!$Y$5:$Y$884,MATCH($E908,_DATA_Assessment_Model!$A$5:$A$884,0)),"")</f>
        <v>5</v>
      </c>
      <c r="Y908" t="s">
        <v>3217</v>
      </c>
      <c r="Z908" t="s">
        <v>10298</v>
      </c>
      <c r="AA908" t="s">
        <v>3256</v>
      </c>
      <c r="AB908">
        <f>IFERROR(INDEX(_DATA_Assessment_Model!$U$5:$U$884,MATCH($E908,_DATA_Assessment_Model!$A$5:$A$884,0)),"")</f>
        <v>0</v>
      </c>
      <c r="AF908" t="s">
        <v>3255</v>
      </c>
      <c r="AO908">
        <f>IF($B908="Yes",IF(IFERROR(INDEX(_ENGINE_Crisis!$F$501:$F$517,MATCH($C908,_ENGINE_Crisis!$A$501:$A$517,0)),1)=0,1,IFERROR(INDEX(_ENGINE_Crisis!$F$501:$F$517,MATCH($C908,_ENGINE_Crisis!$A$501:$A$517,0)),1)),"")</f>
        <v>1</v>
      </c>
      <c r="AP908">
        <f t="shared" si="229"/>
        <v>15.2</v>
      </c>
      <c r="AQ908">
        <f t="shared" si="230"/>
        <v>1.6</v>
      </c>
      <c r="AR908" t="str">
        <f>IFERROR(INDEX(_ENGINE_Crisis!$E$41:$E$700,MATCH('Resilience &amp; Risk Scenario'!$B$6&amp;"|"&amp;$C908,_ENGINE_Crisis!$I$41:$I$700,0)),"")</f>
        <v/>
      </c>
      <c r="AS908" t="str">
        <f>IFERROR(INDEX(_ENGINE_Crisis!$G$41:$G$700,MATCH('Resilience &amp; Risk Scenario'!$B$6&amp;"|"&amp;$C908,_ENGINE_Crisis!$I$41:$I$700,0)),"")</f>
        <v/>
      </c>
      <c r="AT908" t="str">
        <f>IFERROR(INDEX(_ENGINE_Initiatives!$A$5:$A$532,MATCH(1,INDEX((_ENGINE_Initiatives!$B$5:$B$532=$C908)*(_ENGINE_Initiatives!$C$5:$C$532=$D908),0),0)),"")</f>
        <v>INI-070</v>
      </c>
      <c r="AU908" t="str">
        <f>IFERROR(INDEX(_ENGINE_Initiatives!$F$5:$F$532,MATCH(1,INDEX((_ENGINE_Initiatives!$B$5:$B$532=$C908)*(_ENGINE_Initiatives!$C$5:$C$532=$D908),0),0)),"")</f>
        <v>Strengthen quality management and audit readiness</v>
      </c>
      <c r="AV908">
        <f>IFERROR(INDEX(_ENGINE_Initiatives!$AC$5:$AC$532,MATCH(1,INDEX((_ENGINE_Initiatives!$B$5:$B$532=$C908)*(_ENGINE_Initiatives!$C$5:$C$532=$D908),0),0)),"")</f>
        <v>2.59</v>
      </c>
      <c r="AW908" t="str">
        <f>IFERROR(INDEX(_ENGINE_Initiatives!$AE$5:$AE$532,MATCH(1,INDEX((_ENGINE_Initiatives!$B$5:$B$532=$C908)*(_ENGINE_Initiatives!$C$5:$C$532=$D908),0),0)),"")</f>
        <v>0-90 days</v>
      </c>
      <c r="AX908">
        <f>IF($B908="Yes",IFERROR((IF(SUMIFS(_REF_Model_Content!$E$1:$E$613,_REF_Model_Content!$A$1:$A$613,PV_Canonical_Industry,_REF_Model_Content!$B$1:$B$613,$C908)=0,1,SUMIFS(_REF_Model_Content!$E$1:$E$613,_REF_Model_Content!$A$1:$A$613,PV_Canonical_Industry,_REF_Model_Content!$B$1:$B$613,$C908))*IFERROR($BU908,1)),1),"")</f>
        <v>1</v>
      </c>
      <c r="AY908">
        <f t="shared" si="231"/>
        <v>15.2</v>
      </c>
      <c r="AZ908">
        <f t="shared" si="232"/>
        <v>1.6</v>
      </c>
      <c r="BB908" t="str">
        <f>IF($H908="","",IFERROR(INDEX(_ENGINE_Risk!$AE$5:$AE$499,MATCH($E908,_ENGINE_Risk!$A$5:$A$499,0)),"Medium"))</f>
        <v>Slow</v>
      </c>
      <c r="BC908">
        <f t="shared" si="233"/>
        <v>0.85</v>
      </c>
      <c r="BD908">
        <f t="shared" si="234"/>
        <v>1.6</v>
      </c>
      <c r="BF908">
        <f>IF(OR($H908="",$J908=""),"",IFERROR(VLOOKUP(ROUND($J908,0),_CONFIG_Model_Settings!$D$154:$E$158,2,0),""))</f>
        <v>0.5</v>
      </c>
      <c r="BG908">
        <f>IFERROR(IF(OR($H908="",$K908=""),"",ROUND('Company Profile'!$B$113*INDEX(_CONFIG_Model_Settings!$H$154:$H$158,MATCH(ROUND($K908,0),_CONFIG_Model_Settings!$G$154:$G$158,0)),0)),0)</f>
        <v>875</v>
      </c>
      <c r="BH908">
        <f t="shared" si="235"/>
        <v>437.5</v>
      </c>
      <c r="BI908">
        <f t="shared" si="236"/>
        <v>437.5</v>
      </c>
      <c r="BJ908">
        <f>IF($E908="","",IFERROR(VLOOKUP($C908,_CONFIG_Risk_Calibration!$A$5:$H$21,2,FALSE),3))</f>
        <v>3</v>
      </c>
      <c r="BK908">
        <f>IF($E908="","",IFERROR(VLOOKUP($C908,_CONFIG_Risk_Calibration!$A$5:$H$21,3,FALSE),0))</f>
        <v>0</v>
      </c>
      <c r="BL908">
        <f>IF($E908="","",IFERROR(VLOOKUP($C908,_CONFIG_Risk_Calibration!$A$5:$H$21,4,FALSE),3))</f>
        <v>3</v>
      </c>
      <c r="BM908">
        <f>IF($E908="","",IFERROR(VLOOKUP($C908,_CONFIG_Risk_Calibration!$A$5:$H$21,5,FALSE),3))</f>
        <v>3</v>
      </c>
      <c r="BN908" t="str">
        <f>IF($E908="","",IFERROR(VLOOKUP($C908,_CONFIG_Risk_Calibration!$A$5:$H$21,6,FALSE),"No"))</f>
        <v>Yes</v>
      </c>
      <c r="BO908">
        <f>IF($E908="","",IFERROR(VLOOKUP($C908,_CONFIG_Risk_Calibration!$A$5:$H$21,7,FALSE),1))</f>
        <v>4</v>
      </c>
      <c r="BP908">
        <f>IF($H908="","",MAX(1,MIN(5,((6-$H908)*0.45)+($BJ908*0.2)+('Resilience &amp; Risk Scenario'!$B$7*0.15)+($BK908*0.1)+($BL908*0.05)+(IF($BB908="Fast",5,IF($BB908="Slow",1,3))*0.05))))</f>
        <v>3.5</v>
      </c>
      <c r="BQ908">
        <f t="shared" si="237"/>
        <v>4.3500000000000005</v>
      </c>
      <c r="BR908">
        <f t="shared" si="238"/>
        <v>15.23</v>
      </c>
      <c r="BS908">
        <f t="shared" si="239"/>
        <v>12.95</v>
      </c>
      <c r="BT908" t="str">
        <f>IFERROR(INDEX(_REF_Capability_Bridge!$D:$D,MATCH($C908&amp;"|"&amp;$D908,_REF_Capability_Bridge!$J:$J,0)),IFERROR(INDEX(_REF_Capability_Bridge!$D:$D,MATCH($C908&amp;"|",_REF_Capability_Bridge!$J:$J,0)),"CAP_GENERIC"))</f>
        <v>CAP_DELIVERY_CONTINUITY</v>
      </c>
      <c r="BU908">
        <f>IFERROR(IFERROR(INDEX(_ENGINE_Relevance!$L:$L,MATCH($BT908,_ENGINE_Relevance!$B:$B,0)),1),1)</f>
        <v>1</v>
      </c>
      <c r="BV908" t="str">
        <f>IFERROR(INDEX(_REF_Capability_Bridge!$A:$A,MATCH($C908&amp;"|"&amp;$D908,_REF_Capability_Bridge!$J:$J,0)),IFERROR(INDEX(_REF_Capability_Bridge!$A:$A,MATCH($C908&amp;"|",_REF_Capability_Bridge!$J:$J,0)),"No bridge"))</f>
        <v>BRG-075</v>
      </c>
      <c r="BW908" t="str">
        <f t="shared" si="240"/>
        <v>Capability relevance neutral</v>
      </c>
      <c r="BX908" t="str">
        <f t="shared" si="241"/>
        <v>Initial / absent</v>
      </c>
      <c r="BY908" t="str">
        <f>IF($E908="","",IFERROR(INDEX(_REF_Treatment_Library!$A$2:$A$296,MATCH(1,INDEX((_REF_Treatment_Library!$B$2:$B$296=$BT908)*(_REF_Treatment_Library!$C$2:$C$296=PV_Canonical_Industry)*(_REF_Treatment_Library!$E$2:$E$296&lt;=N($H908))*(_REF_Treatment_Library!$F$2:$F$296&gt;=N($H908))*(_REF_Treatment_Library!$O$2:$O$296="Yes"),0),0)),IFERROR(INDEX(_REF_Treatment_Library!$A$2:$A$296,MATCH(1,INDEX((_REF_Treatment_Library!$B$2:$B$296=$BT908)*(_REF_Treatment_Library!$C$2:$C$296="All")*(_REF_Treatment_Library!$E$2:$E$296&lt;=N($H908))*(_REF_Treatment_Library!$F$2:$F$296&gt;=N($H908))*(_REF_Treatment_Library!$O$2:$O$296="Yes"),0),0)),"")))</f>
        <v>TRT-DELIVERY_CONTINUITY-INITIAL</v>
      </c>
      <c r="BZ908" t="str">
        <f>IF($BY908="","",IFERROR(INDEX(_REF_Treatment_Library!$H$2:$H$296,MATCH($BY908,_REF_Treatment_Library!$A$2:$A$296,0)),""))</f>
        <v>Establish</v>
      </c>
      <c r="CA908" t="str">
        <f>IF($BY908="","",IFERROR(INDEX(_REF_Treatment_Library!$I$2:$I$296,MATCH($BY908,_REF_Treatment_Library!$A$2:$A$296,0)),""))</f>
        <v>Establish baseline controls for Delivery continuity</v>
      </c>
      <c r="CB908" t="str">
        <f>IF($BY908="","",IFERROR(INDEX(_REF_Treatment_Library!$K$2:$K$296,MATCH($BY908,_REF_Treatment_Library!$A$2:$A$296,0)),""))</f>
        <v>Named owner, baseline process, minimum control checklist, first evidence package</v>
      </c>
      <c r="CC908" t="str">
        <f>IF($BY908="","",IFERROR(INDEX(_REF_Treatment_Library!$L$2:$L$296,MATCH($BY908,_REF_Treatment_Library!$A$2:$A$296,0)),""))</f>
        <v>Owner assigned; baseline evidence coverage; open critical gaps</v>
      </c>
      <c r="CD908" t="str">
        <f t="shared" si="242"/>
        <v>Treatment by capability=CAP_DELIVERY_CONTINUITY; band=Initial / absent; score=0.0; treatment=Establish</v>
      </c>
      <c r="CE908" t="str">
        <f>IF($E908="","",IFERROR(INDEX(_REF_Industry_Wording!$A$2:$A$70,MATCH(1,INDEX((_REF_Industry_Wording!$B$2:$B$70=$BT908)*(_REF_Industry_Wording!$C$2:$C$70=PV_Canonical_Industry)*(_REF_Industry_Wording!$K$2:$K$70="Yes"),0),0)),IFERROR(INDEX(_REF_Industry_Wording!$A$2:$A$70,MATCH(1,INDEX((_REF_Industry_Wording!$B$2:$B$70=$BT908)*(_REF_Industry_Wording!$C$2:$C$70="All")*(_REF_Industry_Wording!$K$2:$K$70="Yes"),0),0)),"")))</f>
        <v>IW-ALL-DELIVERY_CONTINUITY</v>
      </c>
      <c r="CF908" t="str">
        <f>IF($CE908="","",IFERROR(INDEX(_REF_Industry_Wording!$E$2:$E$70,MATCH($CE908,_REF_Industry_Wording!$A$2:$A$70,0)),""))</f>
        <v>Delivery continuity weakness</v>
      </c>
      <c r="CG908" t="str">
        <f>IF($CE908="","",IFERROR(INDEX(_REF_Industry_Wording!$F$2:$F$70,MATCH($CE908,_REF_Industry_Wording!$A$2:$A$70,0)),""))</f>
        <v>Strengthen Delivery continuity</v>
      </c>
      <c r="CH908" t="str">
        <f>IF($CE908="","",IFERROR(INDEX(_REF_Industry_Wording!$G$2:$G$70,MATCH($CE908,_REF_Industry_Wording!$A$2:$A$70,0)),""))</f>
        <v>Strengthen Delivery continuity using the selected maturity treatment, crisis scenario and evidence requirements.</v>
      </c>
      <c r="CI908" t="str">
        <f>IF($CE908="","",IFERROR(INDEX(_REF_Industry_Wording!$H$2:$H$70,MATCH($CE908,_REF_Industry_Wording!$A$2:$A$70,0)),""))</f>
        <v>Delivery continuity</v>
      </c>
      <c r="CJ908">
        <f>IF($CE908="","",IFERROR(INDEX(_REF_Industry_Wording!$I$2:$I$70,MATCH($CE908,_REF_Industry_Wording!$A$2:$A$70,0)),""))</f>
        <v>0</v>
      </c>
      <c r="CK908" t="str">
        <f>IF($CE908="","",IFERROR(INDEX(_REF_Industry_Wording!$J$2:$J$70,MATCH($CE908,_REF_Industry_Wording!$A$2:$A$70,0)),""))</f>
        <v>Delivery continuity</v>
      </c>
      <c r="CL908" t="str">
        <f t="shared" si="243"/>
        <v>Wording by industry=0; capability=CAP_DELIVERY_CONTINUITY; risk label=Delivery continuity weakness</v>
      </c>
      <c r="CM908" t="str">
        <f t="shared" si="244"/>
        <v>RISK-ONT-0409</v>
      </c>
      <c r="CN908" t="str">
        <f t="shared" si="245"/>
        <v>RISK-EVT-0409</v>
      </c>
      <c r="CO908" t="str">
        <f t="shared" si="246"/>
        <v>Quality Portfolio|Quality management|QUAL-008|CAP_DELIVERY_CONTINUITY</v>
      </c>
      <c r="CP908" t="str">
        <f t="shared" si="247"/>
        <v>Active</v>
      </c>
      <c r="CQ908" t="str">
        <f t="shared" si="248"/>
        <v>OK: capability-driven</v>
      </c>
      <c r="CR908" t="str">
        <f t="shared" si="249"/>
        <v>Risk ontology uses capability=CAP_DELIVERY_CONTINUITY; bridge=BRG-075; treatment=TRT-DELIVERY_CONTINUITY-INITIAL; wording=IW-ALL-DELIVERY_CONTINUITY</v>
      </c>
      <c r="CS908" t="str">
        <f t="shared" si="250"/>
        <v>Yes</v>
      </c>
    </row>
    <row r="909" spans="1:97">
      <c r="A909">
        <f>IF(OR($B909&lt;&gt;"Yes",$BS909=""),"",SUMPRODUCT(($B$500:$B$923="Yes")*ISNUMBER($BS$500:$BS$923)*($BS$500:$BS$923&gt;$BS909))+COUNTIFS($B$500:$B909,"Yes",$BS$500:$BS909,$BS909))</f>
        <v>386</v>
      </c>
      <c r="B909" t="str">
        <f t="shared" si="219"/>
        <v>Yes</v>
      </c>
      <c r="C909" t="s">
        <v>3204</v>
      </c>
      <c r="D909" t="s">
        <v>3221</v>
      </c>
      <c r="E909" t="s">
        <v>3257</v>
      </c>
      <c r="F909" t="s">
        <v>4507</v>
      </c>
      <c r="G909" t="str">
        <f>IF($H909="","",IFERROR(INDEX(_ENGINE_Risk!$H$5:$M$499,MATCH($E909,_ENGINE_Risk!$A$5:$A$499,0),$H909+1),""))</f>
        <v>Severe risk: control testing for effectiveness, not only existence is not reliably controlled. During Execution failure; Delivery disruption; Decision failure, the organization may face poor quality control, failed change execution, unmanaged portfolio trade-offs and benefit erosion with limited visibility or accountability.</v>
      </c>
      <c r="H909">
        <f>IFERROR(VALUE(INDEX(_DATA_Assessment_Model!$H$5:$H$884,MATCH($E909,_DATA_Assessment_Model!$A$5:$A$884,0))),"")</f>
        <v>0</v>
      </c>
      <c r="I909" t="str">
        <f>IF($H909="","",IFERROR(INDEX(_DATA_Assessment_Model!$L$5:$L$884,MATCH($E909,_DATA_Assessment_Model!$A$5:$A$884,0)),IF($H909&lt;=1,"Critical",IF($H909=2,"High",IF($H909=3,"Medium",IF($H909=4,"Low","Resilient"))))))</f>
        <v>Critical</v>
      </c>
      <c r="J909">
        <f t="shared" si="220"/>
        <v>3.5</v>
      </c>
      <c r="K909">
        <f t="shared" si="221"/>
        <v>4</v>
      </c>
      <c r="L909">
        <f t="shared" si="222"/>
        <v>14</v>
      </c>
      <c r="M909">
        <f t="shared" si="223"/>
        <v>3</v>
      </c>
      <c r="N909">
        <f>IF($H909="","",IFERROR(INDEX(_ENGINE_Risk!$T$5:$Y$499,MATCH($E909,_ENGINE_Risk!$A$5:$A$499,0),$H909+1),""))</f>
        <v>3</v>
      </c>
      <c r="O909">
        <f t="shared" si="224"/>
        <v>4</v>
      </c>
      <c r="P909">
        <f t="shared" si="225"/>
        <v>5</v>
      </c>
      <c r="Q909">
        <f t="shared" si="226"/>
        <v>5</v>
      </c>
      <c r="R909">
        <f t="shared" si="227"/>
        <v>4.5</v>
      </c>
      <c r="S909">
        <f t="shared" si="228"/>
        <v>1.54</v>
      </c>
      <c r="T909" t="str">
        <f>IF($H909="","",IFERROR(INDEX(_ENGINE_Risk!$N$5:$S$499,MATCH($E909,_ENGINE_Risk!$A$5:$A$499,0),$H909+1),""))</f>
        <v>Create an immediate risk owner, minimum control baseline and fallback procedure for control testing for effectiveness, not only existence. Add it to the crisis risk register and collect first evidence.</v>
      </c>
      <c r="U909">
        <f>IFERROR(INDEX(_DATA_Assessment_Model!$G$5:$G$884,MATCH($E909,_DATA_Assessment_Model!$A$5:$A$884,0)),"")</f>
        <v>3</v>
      </c>
      <c r="V909">
        <f>IFERROR(INDEX(_DATA_Assessment_Model!$W$5:$W$884,MATCH($E909,_DATA_Assessment_Model!$A$5:$A$884,0)),"")</f>
        <v>4</v>
      </c>
      <c r="W909">
        <f>IFERROR(INDEX(_DATA_Assessment_Model!$X$5:$X$884,MATCH($E909,_DATA_Assessment_Model!$A$5:$A$884,0)),"")</f>
        <v>5</v>
      </c>
      <c r="X909">
        <f>IFERROR(INDEX(_DATA_Assessment_Model!$Y$5:$Y$884,MATCH($E909,_DATA_Assessment_Model!$A$5:$A$884,0)),"")</f>
        <v>5</v>
      </c>
      <c r="Y909" t="s">
        <v>3217</v>
      </c>
      <c r="Z909" t="s">
        <v>10298</v>
      </c>
      <c r="AA909" t="s">
        <v>3259</v>
      </c>
      <c r="AB909">
        <f>IFERROR(INDEX(_DATA_Assessment_Model!$U$5:$U$884,MATCH($E909,_DATA_Assessment_Model!$A$5:$A$884,0)),"")</f>
        <v>0</v>
      </c>
      <c r="AF909" t="s">
        <v>3258</v>
      </c>
      <c r="AO909">
        <f>IF($B909="Yes",IF(IFERROR(INDEX(_ENGINE_Crisis!$F$501:$F$517,MATCH($C909,_ENGINE_Crisis!$A$501:$A$517,0)),1)=0,1,IFERROR(INDEX(_ENGINE_Crisis!$F$501:$F$517,MATCH($C909,_ENGINE_Crisis!$A$501:$A$517,0)),1)),"")</f>
        <v>1</v>
      </c>
      <c r="AP909">
        <f t="shared" si="229"/>
        <v>14</v>
      </c>
      <c r="AQ909">
        <f t="shared" si="230"/>
        <v>1.54</v>
      </c>
      <c r="AR909" t="str">
        <f>IFERROR(INDEX(_ENGINE_Crisis!$E$41:$E$700,MATCH('Resilience &amp; Risk Scenario'!$B$6&amp;"|"&amp;$C909,_ENGINE_Crisis!$I$41:$I$700,0)),"")</f>
        <v/>
      </c>
      <c r="AS909" t="str">
        <f>IFERROR(INDEX(_ENGINE_Crisis!$G$41:$G$700,MATCH('Resilience &amp; Risk Scenario'!$B$6&amp;"|"&amp;$C909,_ENGINE_Crisis!$I$41:$I$700,0)),"")</f>
        <v/>
      </c>
      <c r="AT909" t="str">
        <f>IFERROR(INDEX(_ENGINE_Initiatives!$A$5:$A$532,MATCH(1,INDEX((_ENGINE_Initiatives!$B$5:$B$532=$C909)*(_ENGINE_Initiatives!$C$5:$C$532=$D909),0),0)),"")</f>
        <v>INI-070</v>
      </c>
      <c r="AU909" t="str">
        <f>IFERROR(INDEX(_ENGINE_Initiatives!$F$5:$F$532,MATCH(1,INDEX((_ENGINE_Initiatives!$B$5:$B$532=$C909)*(_ENGINE_Initiatives!$C$5:$C$532=$D909),0),0)),"")</f>
        <v>Strengthen quality management and audit readiness</v>
      </c>
      <c r="AV909">
        <f>IFERROR(INDEX(_ENGINE_Initiatives!$AC$5:$AC$532,MATCH(1,INDEX((_ENGINE_Initiatives!$B$5:$B$532=$C909)*(_ENGINE_Initiatives!$C$5:$C$532=$D909),0),0)),"")</f>
        <v>2.59</v>
      </c>
      <c r="AW909" t="str">
        <f>IFERROR(INDEX(_ENGINE_Initiatives!$AE$5:$AE$532,MATCH(1,INDEX((_ENGINE_Initiatives!$B$5:$B$532=$C909)*(_ENGINE_Initiatives!$C$5:$C$532=$D909),0),0)),"")</f>
        <v>0-90 days</v>
      </c>
      <c r="AX909">
        <f>IF($B909="Yes",IFERROR((IF(SUMIFS(_REF_Model_Content!$E$1:$E$613,_REF_Model_Content!$A$1:$A$613,PV_Canonical_Industry,_REF_Model_Content!$B$1:$B$613,$C909)=0,1,SUMIFS(_REF_Model_Content!$E$1:$E$613,_REF_Model_Content!$A$1:$A$613,PV_Canonical_Industry,_REF_Model_Content!$B$1:$B$613,$C909))*IFERROR($BU909,1)),1),"")</f>
        <v>1</v>
      </c>
      <c r="AY909">
        <f t="shared" si="231"/>
        <v>14</v>
      </c>
      <c r="AZ909">
        <f t="shared" si="232"/>
        <v>1.54</v>
      </c>
      <c r="BB909" t="str">
        <f>IF($H909="","",IFERROR(INDEX(_ENGINE_Risk!$AE$5:$AE$499,MATCH($E909,_ENGINE_Risk!$A$5:$A$499,0)),"Medium"))</f>
        <v>Slow</v>
      </c>
      <c r="BC909">
        <f t="shared" si="233"/>
        <v>0.85</v>
      </c>
      <c r="BD909">
        <f t="shared" si="234"/>
        <v>1.54</v>
      </c>
      <c r="BF909">
        <f>IF(OR($H909="",$J909=""),"",IFERROR(VLOOKUP(ROUND($J909,0),_CONFIG_Model_Settings!$D$154:$E$158,2,0),""))</f>
        <v>0.5</v>
      </c>
      <c r="BG909">
        <f>IFERROR(IF(OR($H909="",$K909=""),"",ROUND('Company Profile'!$B$113*INDEX(_CONFIG_Model_Settings!$H$154:$H$158,MATCH(ROUND($K909,0),_CONFIG_Model_Settings!$G$154:$G$158,0)),0)),0)</f>
        <v>875</v>
      </c>
      <c r="BH909">
        <f t="shared" si="235"/>
        <v>437.5</v>
      </c>
      <c r="BI909">
        <f t="shared" si="236"/>
        <v>437.5</v>
      </c>
      <c r="BJ909">
        <f>IF($E909="","",IFERROR(VLOOKUP($C909,_CONFIG_Risk_Calibration!$A$5:$H$21,2,FALSE),3))</f>
        <v>3</v>
      </c>
      <c r="BK909">
        <f>IF($E909="","",IFERROR(VLOOKUP($C909,_CONFIG_Risk_Calibration!$A$5:$H$21,3,FALSE),0))</f>
        <v>0</v>
      </c>
      <c r="BL909">
        <f>IF($E909="","",IFERROR(VLOOKUP($C909,_CONFIG_Risk_Calibration!$A$5:$H$21,4,FALSE),3))</f>
        <v>3</v>
      </c>
      <c r="BM909">
        <f>IF($E909="","",IFERROR(VLOOKUP($C909,_CONFIG_Risk_Calibration!$A$5:$H$21,5,FALSE),3))</f>
        <v>3</v>
      </c>
      <c r="BN909" t="str">
        <f>IF($E909="","",IFERROR(VLOOKUP($C909,_CONFIG_Risk_Calibration!$A$5:$H$21,6,FALSE),"No"))</f>
        <v>Yes</v>
      </c>
      <c r="BO909">
        <f>IF($E909="","",IFERROR(VLOOKUP($C909,_CONFIG_Risk_Calibration!$A$5:$H$21,7,FALSE),1))</f>
        <v>4</v>
      </c>
      <c r="BP909">
        <f>IF($H909="","",MAX(1,MIN(5,((6-$H909)*0.45)+($BJ909*0.2)+('Resilience &amp; Risk Scenario'!$B$7*0.15)+($BK909*0.1)+($BL909*0.05)+(IF($BB909="Fast",5,IF($BB909="Slow",1,3))*0.05))))</f>
        <v>3.5</v>
      </c>
      <c r="BQ909">
        <f t="shared" si="237"/>
        <v>4</v>
      </c>
      <c r="BR909">
        <f t="shared" si="238"/>
        <v>14</v>
      </c>
      <c r="BS909">
        <f t="shared" si="239"/>
        <v>11.9</v>
      </c>
      <c r="BT909" t="str">
        <f>IFERROR(INDEX(_REF_Capability_Bridge!$D:$D,MATCH($C909&amp;"|"&amp;$D909,_REF_Capability_Bridge!$J:$J,0)),IFERROR(INDEX(_REF_Capability_Bridge!$D:$D,MATCH($C909&amp;"|",_REF_Capability_Bridge!$J:$J,0)),"CAP_GENERIC"))</f>
        <v>CAP_DELIVERY_CONTINUITY</v>
      </c>
      <c r="BU909">
        <f>IFERROR(IFERROR(INDEX(_ENGINE_Relevance!$L:$L,MATCH($BT909,_ENGINE_Relevance!$B:$B,0)),1),1)</f>
        <v>1</v>
      </c>
      <c r="BV909" t="str">
        <f>IFERROR(INDEX(_REF_Capability_Bridge!$A:$A,MATCH($C909&amp;"|"&amp;$D909,_REF_Capability_Bridge!$J:$J,0)),IFERROR(INDEX(_REF_Capability_Bridge!$A:$A,MATCH($C909&amp;"|",_REF_Capability_Bridge!$J:$J,0)),"No bridge"))</f>
        <v>BRG-075</v>
      </c>
      <c r="BW909" t="str">
        <f t="shared" si="240"/>
        <v>Capability relevance neutral</v>
      </c>
      <c r="BX909" t="str">
        <f t="shared" si="241"/>
        <v>Initial / absent</v>
      </c>
      <c r="BY909" t="str">
        <f>IF($E909="","",IFERROR(INDEX(_REF_Treatment_Library!$A$2:$A$296,MATCH(1,INDEX((_REF_Treatment_Library!$B$2:$B$296=$BT909)*(_REF_Treatment_Library!$C$2:$C$296=PV_Canonical_Industry)*(_REF_Treatment_Library!$E$2:$E$296&lt;=N($H909))*(_REF_Treatment_Library!$F$2:$F$296&gt;=N($H909))*(_REF_Treatment_Library!$O$2:$O$296="Yes"),0),0)),IFERROR(INDEX(_REF_Treatment_Library!$A$2:$A$296,MATCH(1,INDEX((_REF_Treatment_Library!$B$2:$B$296=$BT909)*(_REF_Treatment_Library!$C$2:$C$296="All")*(_REF_Treatment_Library!$E$2:$E$296&lt;=N($H909))*(_REF_Treatment_Library!$F$2:$F$296&gt;=N($H909))*(_REF_Treatment_Library!$O$2:$O$296="Yes"),0),0)),"")))</f>
        <v>TRT-DELIVERY_CONTINUITY-INITIAL</v>
      </c>
      <c r="BZ909" t="str">
        <f>IF($BY909="","",IFERROR(INDEX(_REF_Treatment_Library!$H$2:$H$296,MATCH($BY909,_REF_Treatment_Library!$A$2:$A$296,0)),""))</f>
        <v>Establish</v>
      </c>
      <c r="CA909" t="str">
        <f>IF($BY909="","",IFERROR(INDEX(_REF_Treatment_Library!$I$2:$I$296,MATCH($BY909,_REF_Treatment_Library!$A$2:$A$296,0)),""))</f>
        <v>Establish baseline controls for Delivery continuity</v>
      </c>
      <c r="CB909" t="str">
        <f>IF($BY909="","",IFERROR(INDEX(_REF_Treatment_Library!$K$2:$K$296,MATCH($BY909,_REF_Treatment_Library!$A$2:$A$296,0)),""))</f>
        <v>Named owner, baseline process, minimum control checklist, first evidence package</v>
      </c>
      <c r="CC909" t="str">
        <f>IF($BY909="","",IFERROR(INDEX(_REF_Treatment_Library!$L$2:$L$296,MATCH($BY909,_REF_Treatment_Library!$A$2:$A$296,0)),""))</f>
        <v>Owner assigned; baseline evidence coverage; open critical gaps</v>
      </c>
      <c r="CD909" t="str">
        <f t="shared" si="242"/>
        <v>Treatment by capability=CAP_DELIVERY_CONTINUITY; band=Initial / absent; score=0.0; treatment=Establish</v>
      </c>
      <c r="CE909" t="str">
        <f>IF($E909="","",IFERROR(INDEX(_REF_Industry_Wording!$A$2:$A$70,MATCH(1,INDEX((_REF_Industry_Wording!$B$2:$B$70=$BT909)*(_REF_Industry_Wording!$C$2:$C$70=PV_Canonical_Industry)*(_REF_Industry_Wording!$K$2:$K$70="Yes"),0),0)),IFERROR(INDEX(_REF_Industry_Wording!$A$2:$A$70,MATCH(1,INDEX((_REF_Industry_Wording!$B$2:$B$70=$BT909)*(_REF_Industry_Wording!$C$2:$C$70="All")*(_REF_Industry_Wording!$K$2:$K$70="Yes"),0),0)),"")))</f>
        <v>IW-ALL-DELIVERY_CONTINUITY</v>
      </c>
      <c r="CF909" t="str">
        <f>IF($CE909="","",IFERROR(INDEX(_REF_Industry_Wording!$E$2:$E$70,MATCH($CE909,_REF_Industry_Wording!$A$2:$A$70,0)),""))</f>
        <v>Delivery continuity weakness</v>
      </c>
      <c r="CG909" t="str">
        <f>IF($CE909="","",IFERROR(INDEX(_REF_Industry_Wording!$F$2:$F$70,MATCH($CE909,_REF_Industry_Wording!$A$2:$A$70,0)),""))</f>
        <v>Strengthen Delivery continuity</v>
      </c>
      <c r="CH909" t="str">
        <f>IF($CE909="","",IFERROR(INDEX(_REF_Industry_Wording!$G$2:$G$70,MATCH($CE909,_REF_Industry_Wording!$A$2:$A$70,0)),""))</f>
        <v>Strengthen Delivery continuity using the selected maturity treatment, crisis scenario and evidence requirements.</v>
      </c>
      <c r="CI909" t="str">
        <f>IF($CE909="","",IFERROR(INDEX(_REF_Industry_Wording!$H$2:$H$70,MATCH($CE909,_REF_Industry_Wording!$A$2:$A$70,0)),""))</f>
        <v>Delivery continuity</v>
      </c>
      <c r="CJ909">
        <f>IF($CE909="","",IFERROR(INDEX(_REF_Industry_Wording!$I$2:$I$70,MATCH($CE909,_REF_Industry_Wording!$A$2:$A$70,0)),""))</f>
        <v>0</v>
      </c>
      <c r="CK909" t="str">
        <f>IF($CE909="","",IFERROR(INDEX(_REF_Industry_Wording!$J$2:$J$70,MATCH($CE909,_REF_Industry_Wording!$A$2:$A$70,0)),""))</f>
        <v>Delivery continuity</v>
      </c>
      <c r="CL909" t="str">
        <f t="shared" si="243"/>
        <v>Wording by industry=0; capability=CAP_DELIVERY_CONTINUITY; risk label=Delivery continuity weakness</v>
      </c>
      <c r="CM909" t="str">
        <f t="shared" si="244"/>
        <v>RISK-ONT-0410</v>
      </c>
      <c r="CN909" t="str">
        <f t="shared" si="245"/>
        <v>RISK-EVT-0410</v>
      </c>
      <c r="CO909" t="str">
        <f t="shared" si="246"/>
        <v>Quality Portfolio|Quality management|QUAL-009|CAP_DELIVERY_CONTINUITY</v>
      </c>
      <c r="CP909" t="str">
        <f t="shared" si="247"/>
        <v>Active</v>
      </c>
      <c r="CQ909" t="str">
        <f t="shared" si="248"/>
        <v>OK: capability-driven</v>
      </c>
      <c r="CR909" t="str">
        <f t="shared" si="249"/>
        <v>Risk ontology uses capability=CAP_DELIVERY_CONTINUITY; bridge=BRG-075; treatment=TRT-DELIVERY_CONTINUITY-INITIAL; wording=IW-ALL-DELIVERY_CONTINUITY</v>
      </c>
      <c r="CS909" t="str">
        <f t="shared" si="250"/>
        <v>Yes</v>
      </c>
    </row>
    <row r="910" spans="1:97">
      <c r="A910">
        <f>IF(OR($B910&lt;&gt;"Yes",$BS910=""),"",SUMPRODUCT(($B$500:$B$923="Yes")*ISNUMBER($BS$500:$BS$923)*($BS$500:$BS$923&gt;$BS910))+COUNTIFS($B$500:$B910,"Yes",$BS$500:$BS910,$BS910))</f>
        <v>373</v>
      </c>
      <c r="B910" t="str">
        <f t="shared" si="219"/>
        <v>Yes</v>
      </c>
      <c r="C910" t="s">
        <v>3204</v>
      </c>
      <c r="D910" t="s">
        <v>3221</v>
      </c>
      <c r="E910" t="s">
        <v>3260</v>
      </c>
      <c r="F910" t="s">
        <v>4507</v>
      </c>
      <c r="G910" t="str">
        <f>IF($H910="","",IFERROR(INDEX(_ENGINE_Risk!$H$5:$M$499,MATCH($E910,_ENGINE_Risk!$A$5:$A$499,0),$H910+1),""))</f>
        <v>Severe risk: customer complaint handling and root cause analysis is not reliably controlled. During Execution failure; Delivery disruption; Decision failure, the organization may face poor quality control, failed change execution, unmanaged portfolio trade-offs and benefit erosion with limited visibility or accountability.</v>
      </c>
      <c r="H910">
        <f>IFERROR(VALUE(INDEX(_DATA_Assessment_Model!$H$5:$H$884,MATCH($E910,_DATA_Assessment_Model!$A$5:$A$884,0))),"")</f>
        <v>0</v>
      </c>
      <c r="I910" t="str">
        <f>IF($H910="","",IFERROR(INDEX(_DATA_Assessment_Model!$L$5:$L$884,MATCH($E910,_DATA_Assessment_Model!$A$5:$A$884,0)),IF($H910&lt;=1,"Critical",IF($H910=2,"High",IF($H910=3,"Medium",IF($H910=4,"Low","Resilient"))))))</f>
        <v>Critical</v>
      </c>
      <c r="J910">
        <f t="shared" si="220"/>
        <v>3.5</v>
      </c>
      <c r="K910">
        <f t="shared" si="221"/>
        <v>4.1500000000000004</v>
      </c>
      <c r="L910">
        <f t="shared" si="222"/>
        <v>14.525000000000002</v>
      </c>
      <c r="M910">
        <f t="shared" si="223"/>
        <v>3</v>
      </c>
      <c r="N910">
        <f>IF($H910="","",IFERROR(INDEX(_ENGINE_Risk!$T$5:$Y$499,MATCH($E910,_ENGINE_Risk!$A$5:$A$499,0),$H910+1),""))</f>
        <v>3</v>
      </c>
      <c r="O910">
        <f t="shared" si="224"/>
        <v>4.333333333333333</v>
      </c>
      <c r="P910">
        <f t="shared" si="225"/>
        <v>5</v>
      </c>
      <c r="Q910">
        <f t="shared" si="226"/>
        <v>5</v>
      </c>
      <c r="R910">
        <f t="shared" si="227"/>
        <v>4.5</v>
      </c>
      <c r="S910">
        <f t="shared" si="228"/>
        <v>1.57</v>
      </c>
      <c r="T910" t="str">
        <f>IF($H910="","",IFERROR(INDEX(_ENGINE_Risk!$N$5:$S$499,MATCH($E910,_ENGINE_Risk!$A$5:$A$499,0),$H910+1),""))</f>
        <v>Create an immediate risk owner, minimum control baseline and fallback procedure for customer complaint handling and root cause analysis. Add it to the crisis risk register and collect first evidence.</v>
      </c>
      <c r="U910">
        <f>IFERROR(INDEX(_DATA_Assessment_Model!$G$5:$G$884,MATCH($E910,_DATA_Assessment_Model!$A$5:$A$884,0)),"")</f>
        <v>4</v>
      </c>
      <c r="V910">
        <f>IFERROR(INDEX(_DATA_Assessment_Model!$W$5:$W$884,MATCH($E910,_DATA_Assessment_Model!$A$5:$A$884,0)),"")</f>
        <v>4</v>
      </c>
      <c r="W910">
        <f>IFERROR(INDEX(_DATA_Assessment_Model!$X$5:$X$884,MATCH($E910,_DATA_Assessment_Model!$A$5:$A$884,0)),"")</f>
        <v>5</v>
      </c>
      <c r="X910">
        <f>IFERROR(INDEX(_DATA_Assessment_Model!$Y$5:$Y$884,MATCH($E910,_DATA_Assessment_Model!$A$5:$A$884,0)),"")</f>
        <v>5</v>
      </c>
      <c r="Y910" t="s">
        <v>3217</v>
      </c>
      <c r="Z910" t="s">
        <v>10298</v>
      </c>
      <c r="AA910" t="s">
        <v>3262</v>
      </c>
      <c r="AB910">
        <f>IFERROR(INDEX(_DATA_Assessment_Model!$U$5:$U$884,MATCH($E910,_DATA_Assessment_Model!$A$5:$A$884,0)),"")</f>
        <v>0</v>
      </c>
      <c r="AF910" t="s">
        <v>3261</v>
      </c>
      <c r="AO910">
        <f>IF($B910="Yes",IF(IFERROR(INDEX(_ENGINE_Crisis!$F$501:$F$517,MATCH($C910,_ENGINE_Crisis!$A$501:$A$517,0)),1)=0,1,IFERROR(INDEX(_ENGINE_Crisis!$F$501:$F$517,MATCH($C910,_ENGINE_Crisis!$A$501:$A$517,0)),1)),"")</f>
        <v>1</v>
      </c>
      <c r="AP910">
        <f t="shared" si="229"/>
        <v>14.5</v>
      </c>
      <c r="AQ910">
        <f t="shared" si="230"/>
        <v>1.57</v>
      </c>
      <c r="AR910" t="str">
        <f>IFERROR(INDEX(_ENGINE_Crisis!$E$41:$E$700,MATCH('Resilience &amp; Risk Scenario'!$B$6&amp;"|"&amp;$C910,_ENGINE_Crisis!$I$41:$I$700,0)),"")</f>
        <v/>
      </c>
      <c r="AS910" t="str">
        <f>IFERROR(INDEX(_ENGINE_Crisis!$G$41:$G$700,MATCH('Resilience &amp; Risk Scenario'!$B$6&amp;"|"&amp;$C910,_ENGINE_Crisis!$I$41:$I$700,0)),"")</f>
        <v/>
      </c>
      <c r="AT910" t="str">
        <f>IFERROR(INDEX(_ENGINE_Initiatives!$A$5:$A$532,MATCH(1,INDEX((_ENGINE_Initiatives!$B$5:$B$532=$C910)*(_ENGINE_Initiatives!$C$5:$C$532=$D910),0),0)),"")</f>
        <v>INI-070</v>
      </c>
      <c r="AU910" t="str">
        <f>IFERROR(INDEX(_ENGINE_Initiatives!$F$5:$F$532,MATCH(1,INDEX((_ENGINE_Initiatives!$B$5:$B$532=$C910)*(_ENGINE_Initiatives!$C$5:$C$532=$D910),0),0)),"")</f>
        <v>Strengthen quality management and audit readiness</v>
      </c>
      <c r="AV910">
        <f>IFERROR(INDEX(_ENGINE_Initiatives!$AC$5:$AC$532,MATCH(1,INDEX((_ENGINE_Initiatives!$B$5:$B$532=$C910)*(_ENGINE_Initiatives!$C$5:$C$532=$D910),0),0)),"")</f>
        <v>2.59</v>
      </c>
      <c r="AW910" t="str">
        <f>IFERROR(INDEX(_ENGINE_Initiatives!$AE$5:$AE$532,MATCH(1,INDEX((_ENGINE_Initiatives!$B$5:$B$532=$C910)*(_ENGINE_Initiatives!$C$5:$C$532=$D910),0),0)),"")</f>
        <v>0-90 days</v>
      </c>
      <c r="AX910">
        <f>IF($B910="Yes",IFERROR((IF(SUMIFS(_REF_Model_Content!$E$1:$E$613,_REF_Model_Content!$A$1:$A$613,PV_Canonical_Industry,_REF_Model_Content!$B$1:$B$613,$C910)=0,1,SUMIFS(_REF_Model_Content!$E$1:$E$613,_REF_Model_Content!$A$1:$A$613,PV_Canonical_Industry,_REF_Model_Content!$B$1:$B$613,$C910))*IFERROR($BU910,1)),1),"")</f>
        <v>1</v>
      </c>
      <c r="AY910">
        <f t="shared" si="231"/>
        <v>14.5</v>
      </c>
      <c r="AZ910">
        <f t="shared" si="232"/>
        <v>1.57</v>
      </c>
      <c r="BB910" t="str">
        <f>IF($H910="","",IFERROR(INDEX(_ENGINE_Risk!$AE$5:$AE$499,MATCH($E910,_ENGINE_Risk!$A$5:$A$499,0)),"Medium"))</f>
        <v>Slow</v>
      </c>
      <c r="BC910">
        <f t="shared" si="233"/>
        <v>0.85</v>
      </c>
      <c r="BD910">
        <f t="shared" si="234"/>
        <v>1.57</v>
      </c>
      <c r="BF910">
        <f>IF(OR($H910="",$J910=""),"",IFERROR(VLOOKUP(ROUND($J910,0),_CONFIG_Model_Settings!$D$154:$E$158,2,0),""))</f>
        <v>0.5</v>
      </c>
      <c r="BG910">
        <f>IFERROR(IF(OR($H910="",$K910=""),"",ROUND('Company Profile'!$B$113*INDEX(_CONFIG_Model_Settings!$H$154:$H$158,MATCH(ROUND($K910,0),_CONFIG_Model_Settings!$G$154:$G$158,0)),0)),0)</f>
        <v>875</v>
      </c>
      <c r="BH910">
        <f t="shared" si="235"/>
        <v>437.5</v>
      </c>
      <c r="BI910">
        <f t="shared" si="236"/>
        <v>437.5</v>
      </c>
      <c r="BJ910">
        <f>IF($E910="","",IFERROR(VLOOKUP($C910,_CONFIG_Risk_Calibration!$A$5:$H$21,2,FALSE),3))</f>
        <v>3</v>
      </c>
      <c r="BK910">
        <f>IF($E910="","",IFERROR(VLOOKUP($C910,_CONFIG_Risk_Calibration!$A$5:$H$21,3,FALSE),0))</f>
        <v>0</v>
      </c>
      <c r="BL910">
        <f>IF($E910="","",IFERROR(VLOOKUP($C910,_CONFIG_Risk_Calibration!$A$5:$H$21,4,FALSE),3))</f>
        <v>3</v>
      </c>
      <c r="BM910">
        <f>IF($E910="","",IFERROR(VLOOKUP($C910,_CONFIG_Risk_Calibration!$A$5:$H$21,5,FALSE),3))</f>
        <v>3</v>
      </c>
      <c r="BN910" t="str">
        <f>IF($E910="","",IFERROR(VLOOKUP($C910,_CONFIG_Risk_Calibration!$A$5:$H$21,6,FALSE),"No"))</f>
        <v>Yes</v>
      </c>
      <c r="BO910">
        <f>IF($E910="","",IFERROR(VLOOKUP($C910,_CONFIG_Risk_Calibration!$A$5:$H$21,7,FALSE),1))</f>
        <v>4</v>
      </c>
      <c r="BP910">
        <f>IF($H910="","",MAX(1,MIN(5,((6-$H910)*0.45)+($BJ910*0.2)+('Resilience &amp; Risk Scenario'!$B$7*0.15)+($BK910*0.1)+($BL910*0.05)+(IF($BB910="Fast",5,IF($BB910="Slow",1,3))*0.05))))</f>
        <v>3.5</v>
      </c>
      <c r="BQ910">
        <f t="shared" si="237"/>
        <v>4.1500000000000004</v>
      </c>
      <c r="BR910">
        <f t="shared" si="238"/>
        <v>14.53</v>
      </c>
      <c r="BS910">
        <f t="shared" si="239"/>
        <v>12.35</v>
      </c>
      <c r="BT910" t="str">
        <f>IFERROR(INDEX(_REF_Capability_Bridge!$D:$D,MATCH($C910&amp;"|"&amp;$D910,_REF_Capability_Bridge!$J:$J,0)),IFERROR(INDEX(_REF_Capability_Bridge!$D:$D,MATCH($C910&amp;"|",_REF_Capability_Bridge!$J:$J,0)),"CAP_GENERIC"))</f>
        <v>CAP_DELIVERY_CONTINUITY</v>
      </c>
      <c r="BU910">
        <f>IFERROR(IFERROR(INDEX(_ENGINE_Relevance!$L:$L,MATCH($BT910,_ENGINE_Relevance!$B:$B,0)),1),1)</f>
        <v>1</v>
      </c>
      <c r="BV910" t="str">
        <f>IFERROR(INDEX(_REF_Capability_Bridge!$A:$A,MATCH($C910&amp;"|"&amp;$D910,_REF_Capability_Bridge!$J:$J,0)),IFERROR(INDEX(_REF_Capability_Bridge!$A:$A,MATCH($C910&amp;"|",_REF_Capability_Bridge!$J:$J,0)),"No bridge"))</f>
        <v>BRG-075</v>
      </c>
      <c r="BW910" t="str">
        <f t="shared" si="240"/>
        <v>Capability relevance neutral</v>
      </c>
      <c r="BX910" t="str">
        <f t="shared" si="241"/>
        <v>Initial / absent</v>
      </c>
      <c r="BY910" t="str">
        <f>IF($E910="","",IFERROR(INDEX(_REF_Treatment_Library!$A$2:$A$296,MATCH(1,INDEX((_REF_Treatment_Library!$B$2:$B$296=$BT910)*(_REF_Treatment_Library!$C$2:$C$296=PV_Canonical_Industry)*(_REF_Treatment_Library!$E$2:$E$296&lt;=N($H910))*(_REF_Treatment_Library!$F$2:$F$296&gt;=N($H910))*(_REF_Treatment_Library!$O$2:$O$296="Yes"),0),0)),IFERROR(INDEX(_REF_Treatment_Library!$A$2:$A$296,MATCH(1,INDEX((_REF_Treatment_Library!$B$2:$B$296=$BT910)*(_REF_Treatment_Library!$C$2:$C$296="All")*(_REF_Treatment_Library!$E$2:$E$296&lt;=N($H910))*(_REF_Treatment_Library!$F$2:$F$296&gt;=N($H910))*(_REF_Treatment_Library!$O$2:$O$296="Yes"),0),0)),"")))</f>
        <v>TRT-DELIVERY_CONTINUITY-INITIAL</v>
      </c>
      <c r="BZ910" t="str">
        <f>IF($BY910="","",IFERROR(INDEX(_REF_Treatment_Library!$H$2:$H$296,MATCH($BY910,_REF_Treatment_Library!$A$2:$A$296,0)),""))</f>
        <v>Establish</v>
      </c>
      <c r="CA910" t="str">
        <f>IF($BY910="","",IFERROR(INDEX(_REF_Treatment_Library!$I$2:$I$296,MATCH($BY910,_REF_Treatment_Library!$A$2:$A$296,0)),""))</f>
        <v>Establish baseline controls for Delivery continuity</v>
      </c>
      <c r="CB910" t="str">
        <f>IF($BY910="","",IFERROR(INDEX(_REF_Treatment_Library!$K$2:$K$296,MATCH($BY910,_REF_Treatment_Library!$A$2:$A$296,0)),""))</f>
        <v>Named owner, baseline process, minimum control checklist, first evidence package</v>
      </c>
      <c r="CC910" t="str">
        <f>IF($BY910="","",IFERROR(INDEX(_REF_Treatment_Library!$L$2:$L$296,MATCH($BY910,_REF_Treatment_Library!$A$2:$A$296,0)),""))</f>
        <v>Owner assigned; baseline evidence coverage; open critical gaps</v>
      </c>
      <c r="CD910" t="str">
        <f t="shared" si="242"/>
        <v>Treatment by capability=CAP_DELIVERY_CONTINUITY; band=Initial / absent; score=0.0; treatment=Establish</v>
      </c>
      <c r="CE910" t="str">
        <f>IF($E910="","",IFERROR(INDEX(_REF_Industry_Wording!$A$2:$A$70,MATCH(1,INDEX((_REF_Industry_Wording!$B$2:$B$70=$BT910)*(_REF_Industry_Wording!$C$2:$C$70=PV_Canonical_Industry)*(_REF_Industry_Wording!$K$2:$K$70="Yes"),0),0)),IFERROR(INDEX(_REF_Industry_Wording!$A$2:$A$70,MATCH(1,INDEX((_REF_Industry_Wording!$B$2:$B$70=$BT910)*(_REF_Industry_Wording!$C$2:$C$70="All")*(_REF_Industry_Wording!$K$2:$K$70="Yes"),0),0)),"")))</f>
        <v>IW-ALL-DELIVERY_CONTINUITY</v>
      </c>
      <c r="CF910" t="str">
        <f>IF($CE910="","",IFERROR(INDEX(_REF_Industry_Wording!$E$2:$E$70,MATCH($CE910,_REF_Industry_Wording!$A$2:$A$70,0)),""))</f>
        <v>Delivery continuity weakness</v>
      </c>
      <c r="CG910" t="str">
        <f>IF($CE910="","",IFERROR(INDEX(_REF_Industry_Wording!$F$2:$F$70,MATCH($CE910,_REF_Industry_Wording!$A$2:$A$70,0)),""))</f>
        <v>Strengthen Delivery continuity</v>
      </c>
      <c r="CH910" t="str">
        <f>IF($CE910="","",IFERROR(INDEX(_REF_Industry_Wording!$G$2:$G$70,MATCH($CE910,_REF_Industry_Wording!$A$2:$A$70,0)),""))</f>
        <v>Strengthen Delivery continuity using the selected maturity treatment, crisis scenario and evidence requirements.</v>
      </c>
      <c r="CI910" t="str">
        <f>IF($CE910="","",IFERROR(INDEX(_REF_Industry_Wording!$H$2:$H$70,MATCH($CE910,_REF_Industry_Wording!$A$2:$A$70,0)),""))</f>
        <v>Delivery continuity</v>
      </c>
      <c r="CJ910">
        <f>IF($CE910="","",IFERROR(INDEX(_REF_Industry_Wording!$I$2:$I$70,MATCH($CE910,_REF_Industry_Wording!$A$2:$A$70,0)),""))</f>
        <v>0</v>
      </c>
      <c r="CK910" t="str">
        <f>IF($CE910="","",IFERROR(INDEX(_REF_Industry_Wording!$J$2:$J$70,MATCH($CE910,_REF_Industry_Wording!$A$2:$A$70,0)),""))</f>
        <v>Delivery continuity</v>
      </c>
      <c r="CL910" t="str">
        <f t="shared" si="243"/>
        <v>Wording by industry=0; capability=CAP_DELIVERY_CONTINUITY; risk label=Delivery continuity weakness</v>
      </c>
      <c r="CM910" t="str">
        <f t="shared" si="244"/>
        <v>RISK-ONT-0411</v>
      </c>
      <c r="CN910" t="str">
        <f t="shared" si="245"/>
        <v>RISK-EVT-0411</v>
      </c>
      <c r="CO910" t="str">
        <f t="shared" si="246"/>
        <v>Quality Portfolio|Quality management|QUAL-010|CAP_DELIVERY_CONTINUITY</v>
      </c>
      <c r="CP910" t="str">
        <f t="shared" si="247"/>
        <v>Active</v>
      </c>
      <c r="CQ910" t="str">
        <f t="shared" si="248"/>
        <v>OK: capability-driven</v>
      </c>
      <c r="CR910" t="str">
        <f t="shared" si="249"/>
        <v>Risk ontology uses capability=CAP_DELIVERY_CONTINUITY; bridge=BRG-075; treatment=TRT-DELIVERY_CONTINUITY-INITIAL; wording=IW-ALL-DELIVERY_CONTINUITY</v>
      </c>
      <c r="CS910" t="str">
        <f t="shared" si="250"/>
        <v>Yes</v>
      </c>
    </row>
    <row r="911" spans="1:97">
      <c r="A911">
        <f>IF(OR($B911&lt;&gt;"Yes",$BS911=""),"",SUMPRODUCT(($B$500:$B$923="Yes")*ISNUMBER($BS$500:$BS$923)*($BS$500:$BS$923&gt;$BS911))+COUNTIFS($B$500:$B911,"Yes",$BS$500:$BS911,$BS911))</f>
        <v>374</v>
      </c>
      <c r="B911" t="str">
        <f t="shared" si="219"/>
        <v>Yes</v>
      </c>
      <c r="C911" t="s">
        <v>3204</v>
      </c>
      <c r="D911" t="s">
        <v>3225</v>
      </c>
      <c r="E911" t="s">
        <v>3269</v>
      </c>
      <c r="F911" t="s">
        <v>4507</v>
      </c>
      <c r="G911" t="str">
        <f>IF($H911="","",IFERROR(INDEX(_ENGINE_Risk!$H$5:$M$499,MATCH($E911,_ENGINE_Risk!$A$5:$A$499,0),$H911+1),""))</f>
        <v>Severe risk: portfolio governance with prioritization, capacity, benefits, risks and dependencies is not reliably controlled. During Execution failure; Delivery disruption; Decision failure, the organization may face poor quality control, failed change execution, unmanaged portfolio trade-offs and benefit erosion with limited visibility or accountability.</v>
      </c>
      <c r="H911">
        <f>IFERROR(VALUE(INDEX(_DATA_Assessment_Model!$H$5:$H$884,MATCH($E911,_DATA_Assessment_Model!$A$5:$A$884,0))),"")</f>
        <v>0</v>
      </c>
      <c r="I911" t="str">
        <f>IF($H911="","",IFERROR(INDEX(_DATA_Assessment_Model!$L$5:$L$884,MATCH($E911,_DATA_Assessment_Model!$A$5:$A$884,0)),IF($H911&lt;=1,"Critical",IF($H911=2,"High",IF($H911=3,"Medium",IF($H911=4,"Low","Resilient"))))))</f>
        <v>Critical</v>
      </c>
      <c r="J911">
        <f t="shared" si="220"/>
        <v>3.5</v>
      </c>
      <c r="K911">
        <f t="shared" si="221"/>
        <v>4.1500000000000004</v>
      </c>
      <c r="L911">
        <f t="shared" si="222"/>
        <v>14.525000000000002</v>
      </c>
      <c r="M911">
        <f t="shared" si="223"/>
        <v>3</v>
      </c>
      <c r="N911">
        <f>IF($H911="","",IFERROR(INDEX(_ENGINE_Risk!$T$5:$Y$499,MATCH($E911,_ENGINE_Risk!$A$5:$A$499,0),$H911+1),""))</f>
        <v>3</v>
      </c>
      <c r="O911">
        <f t="shared" si="224"/>
        <v>4.333333333333333</v>
      </c>
      <c r="P911">
        <f t="shared" si="225"/>
        <v>5</v>
      </c>
      <c r="Q911">
        <f t="shared" si="226"/>
        <v>5</v>
      </c>
      <c r="R911">
        <f t="shared" si="227"/>
        <v>4.5</v>
      </c>
      <c r="S911">
        <f t="shared" si="228"/>
        <v>1.57</v>
      </c>
      <c r="T911" t="str">
        <f>IF($H911="","",IFERROR(INDEX(_ENGINE_Risk!$N$5:$S$499,MATCH($E911,_ENGINE_Risk!$A$5:$A$499,0),$H911+1),""))</f>
        <v>Create an immediate risk owner, minimum control baseline and fallback procedure for portfolio governance with prioritization, capacity, benefits, risks and dependencies. Add it to the crisis risk register and collect first evidence.</v>
      </c>
      <c r="U911">
        <f>IFERROR(INDEX(_DATA_Assessment_Model!$G$5:$G$884,MATCH($E911,_DATA_Assessment_Model!$A$5:$A$884,0)),"")</f>
        <v>4</v>
      </c>
      <c r="V911">
        <f>IFERROR(INDEX(_DATA_Assessment_Model!$W$5:$W$884,MATCH($E911,_DATA_Assessment_Model!$A$5:$A$884,0)),"")</f>
        <v>4</v>
      </c>
      <c r="W911">
        <f>IFERROR(INDEX(_DATA_Assessment_Model!$X$5:$X$884,MATCH($E911,_DATA_Assessment_Model!$A$5:$A$884,0)),"")</f>
        <v>5</v>
      </c>
      <c r="X911">
        <f>IFERROR(INDEX(_DATA_Assessment_Model!$Y$5:$Y$884,MATCH($E911,_DATA_Assessment_Model!$A$5:$A$884,0)),"")</f>
        <v>5</v>
      </c>
      <c r="Y911" t="s">
        <v>3217</v>
      </c>
      <c r="Z911" t="s">
        <v>10298</v>
      </c>
      <c r="AA911" t="s">
        <v>3271</v>
      </c>
      <c r="AB911">
        <f>IFERROR(INDEX(_DATA_Assessment_Model!$U$5:$U$884,MATCH($E911,_DATA_Assessment_Model!$A$5:$A$884,0)),"")</f>
        <v>0</v>
      </c>
      <c r="AF911" t="s">
        <v>3270</v>
      </c>
      <c r="AO911">
        <f>IF($B911="Yes",IF(IFERROR(INDEX(_ENGINE_Crisis!$F$501:$F$517,MATCH($C911,_ENGINE_Crisis!$A$501:$A$517,0)),1)=0,1,IFERROR(INDEX(_ENGINE_Crisis!$F$501:$F$517,MATCH($C911,_ENGINE_Crisis!$A$501:$A$517,0)),1)),"")</f>
        <v>1</v>
      </c>
      <c r="AP911">
        <f t="shared" si="229"/>
        <v>14.5</v>
      </c>
      <c r="AQ911">
        <f t="shared" si="230"/>
        <v>1.57</v>
      </c>
      <c r="AR911" t="str">
        <f>IFERROR(INDEX(_ENGINE_Crisis!$E$41:$E$700,MATCH('Resilience &amp; Risk Scenario'!$B$6&amp;"|"&amp;$C911,_ENGINE_Crisis!$I$41:$I$700,0)),"")</f>
        <v/>
      </c>
      <c r="AS911" t="str">
        <f>IFERROR(INDEX(_ENGINE_Crisis!$G$41:$G$700,MATCH('Resilience &amp; Risk Scenario'!$B$6&amp;"|"&amp;$C911,_ENGINE_Crisis!$I$41:$I$700,0)),"")</f>
        <v/>
      </c>
      <c r="AT911" t="str">
        <f>IFERROR(INDEX(_ENGINE_Initiatives!$A$5:$A$532,MATCH(1,INDEX((_ENGINE_Initiatives!$B$5:$B$532=$C911)*(_ENGINE_Initiatives!$C$5:$C$532=$D911),0),0)),"")</f>
        <v>INI-071</v>
      </c>
      <c r="AU911" t="str">
        <f>IFERROR(INDEX(_ENGINE_Initiatives!$F$5:$F$532,MATCH(1,INDEX((_ENGINE_Initiatives!$B$5:$B$532=$C911)*(_ENGINE_Initiatives!$C$5:$C$532=$D911),0),0)),"")</f>
        <v>Implement portfolio governance, prioritization and change control</v>
      </c>
      <c r="AV911">
        <f>IFERROR(INDEX(_ENGINE_Initiatives!$AC$5:$AC$532,MATCH(1,INDEX((_ENGINE_Initiatives!$B$5:$B$532=$C911)*(_ENGINE_Initiatives!$C$5:$C$532=$D911),0),0)),"")</f>
        <v>2.54</v>
      </c>
      <c r="AW911" t="str">
        <f>IFERROR(INDEX(_ENGINE_Initiatives!$AE$5:$AE$532,MATCH(1,INDEX((_ENGINE_Initiatives!$B$5:$B$532=$C911)*(_ENGINE_Initiatives!$C$5:$C$532=$D911),0),0)),"")</f>
        <v>0-90 days</v>
      </c>
      <c r="AX911">
        <f>IF($B911="Yes",IFERROR((IF(SUMIFS(_REF_Model_Content!$E$1:$E$613,_REF_Model_Content!$A$1:$A$613,PV_Canonical_Industry,_REF_Model_Content!$B$1:$B$613,$C911)=0,1,SUMIFS(_REF_Model_Content!$E$1:$E$613,_REF_Model_Content!$A$1:$A$613,PV_Canonical_Industry,_REF_Model_Content!$B$1:$B$613,$C911))*IFERROR($BU911,1)),1),"")</f>
        <v>1</v>
      </c>
      <c r="AY911">
        <f t="shared" si="231"/>
        <v>14.5</v>
      </c>
      <c r="AZ911">
        <f t="shared" si="232"/>
        <v>1.57</v>
      </c>
      <c r="BB911" t="str">
        <f>IF($H911="","",IFERROR(INDEX(_ENGINE_Risk!$AE$5:$AE$499,MATCH($E911,_ENGINE_Risk!$A$5:$A$499,0)),"Medium"))</f>
        <v>Slow</v>
      </c>
      <c r="BC911">
        <f t="shared" si="233"/>
        <v>0.85</v>
      </c>
      <c r="BD911">
        <f t="shared" si="234"/>
        <v>1.57</v>
      </c>
      <c r="BF911">
        <f>IF(OR($H911="",$J911=""),"",IFERROR(VLOOKUP(ROUND($J911,0),_CONFIG_Model_Settings!$D$154:$E$158,2,0),""))</f>
        <v>0.5</v>
      </c>
      <c r="BG911">
        <f>IFERROR(IF(OR($H911="",$K911=""),"",ROUND('Company Profile'!$B$113*INDEX(_CONFIG_Model_Settings!$H$154:$H$158,MATCH(ROUND($K911,0),_CONFIG_Model_Settings!$G$154:$G$158,0)),0)),0)</f>
        <v>875</v>
      </c>
      <c r="BH911">
        <f t="shared" si="235"/>
        <v>437.5</v>
      </c>
      <c r="BI911">
        <f t="shared" si="236"/>
        <v>437.5</v>
      </c>
      <c r="BJ911">
        <f>IF($E911="","",IFERROR(VLOOKUP($C911,_CONFIG_Risk_Calibration!$A$5:$H$21,2,FALSE),3))</f>
        <v>3</v>
      </c>
      <c r="BK911">
        <f>IF($E911="","",IFERROR(VLOOKUP($C911,_CONFIG_Risk_Calibration!$A$5:$H$21,3,FALSE),0))</f>
        <v>0</v>
      </c>
      <c r="BL911">
        <f>IF($E911="","",IFERROR(VLOOKUP($C911,_CONFIG_Risk_Calibration!$A$5:$H$21,4,FALSE),3))</f>
        <v>3</v>
      </c>
      <c r="BM911">
        <f>IF($E911="","",IFERROR(VLOOKUP($C911,_CONFIG_Risk_Calibration!$A$5:$H$21,5,FALSE),3))</f>
        <v>3</v>
      </c>
      <c r="BN911" t="str">
        <f>IF($E911="","",IFERROR(VLOOKUP($C911,_CONFIG_Risk_Calibration!$A$5:$H$21,6,FALSE),"No"))</f>
        <v>Yes</v>
      </c>
      <c r="BO911">
        <f>IF($E911="","",IFERROR(VLOOKUP($C911,_CONFIG_Risk_Calibration!$A$5:$H$21,7,FALSE),1))</f>
        <v>4</v>
      </c>
      <c r="BP911">
        <f>IF($H911="","",MAX(1,MIN(5,((6-$H911)*0.45)+($BJ911*0.2)+('Resilience &amp; Risk Scenario'!$B$7*0.15)+($BK911*0.1)+($BL911*0.05)+(IF($BB911="Fast",5,IF($BB911="Slow",1,3))*0.05))))</f>
        <v>3.5</v>
      </c>
      <c r="BQ911">
        <f t="shared" si="237"/>
        <v>4.1500000000000004</v>
      </c>
      <c r="BR911">
        <f t="shared" si="238"/>
        <v>14.53</v>
      </c>
      <c r="BS911">
        <f t="shared" si="239"/>
        <v>12.35</v>
      </c>
      <c r="BT911" t="str">
        <f>IFERROR(INDEX(_REF_Capability_Bridge!$D:$D,MATCH($C911&amp;"|"&amp;$D911,_REF_Capability_Bridge!$J:$J,0)),IFERROR(INDEX(_REF_Capability_Bridge!$D:$D,MATCH($C911&amp;"|",_REF_Capability_Bridge!$J:$J,0)),"CAP_GENERIC"))</f>
        <v>CAP_DELIVERY_CONTINUITY</v>
      </c>
      <c r="BU911">
        <f>IFERROR(IFERROR(INDEX(_ENGINE_Relevance!$L:$L,MATCH($BT911,_ENGINE_Relevance!$B:$B,0)),1),1)</f>
        <v>1</v>
      </c>
      <c r="BV911" t="str">
        <f>IFERROR(INDEX(_REF_Capability_Bridge!$A:$A,MATCH($C911&amp;"|"&amp;$D911,_REF_Capability_Bridge!$J:$J,0)),IFERROR(INDEX(_REF_Capability_Bridge!$A:$A,MATCH($C911&amp;"|",_REF_Capability_Bridge!$J:$J,0)),"No bridge"))</f>
        <v>BRG-073</v>
      </c>
      <c r="BW911" t="str">
        <f t="shared" si="240"/>
        <v>Capability relevance neutral</v>
      </c>
      <c r="BX911" t="str">
        <f t="shared" si="241"/>
        <v>Initial / absent</v>
      </c>
      <c r="BY911" t="str">
        <f>IF($E911="","",IFERROR(INDEX(_REF_Treatment_Library!$A$2:$A$296,MATCH(1,INDEX((_REF_Treatment_Library!$B$2:$B$296=$BT911)*(_REF_Treatment_Library!$C$2:$C$296=PV_Canonical_Industry)*(_REF_Treatment_Library!$E$2:$E$296&lt;=N($H911))*(_REF_Treatment_Library!$F$2:$F$296&gt;=N($H911))*(_REF_Treatment_Library!$O$2:$O$296="Yes"),0),0)),IFERROR(INDEX(_REF_Treatment_Library!$A$2:$A$296,MATCH(1,INDEX((_REF_Treatment_Library!$B$2:$B$296=$BT911)*(_REF_Treatment_Library!$C$2:$C$296="All")*(_REF_Treatment_Library!$E$2:$E$296&lt;=N($H911))*(_REF_Treatment_Library!$F$2:$F$296&gt;=N($H911))*(_REF_Treatment_Library!$O$2:$O$296="Yes"),0),0)),"")))</f>
        <v>TRT-DELIVERY_CONTINUITY-INITIAL</v>
      </c>
      <c r="BZ911" t="str">
        <f>IF($BY911="","",IFERROR(INDEX(_REF_Treatment_Library!$H$2:$H$296,MATCH($BY911,_REF_Treatment_Library!$A$2:$A$296,0)),""))</f>
        <v>Establish</v>
      </c>
      <c r="CA911" t="str">
        <f>IF($BY911="","",IFERROR(INDEX(_REF_Treatment_Library!$I$2:$I$296,MATCH($BY911,_REF_Treatment_Library!$A$2:$A$296,0)),""))</f>
        <v>Establish baseline controls for Delivery continuity</v>
      </c>
      <c r="CB911" t="str">
        <f>IF($BY911="","",IFERROR(INDEX(_REF_Treatment_Library!$K$2:$K$296,MATCH($BY911,_REF_Treatment_Library!$A$2:$A$296,0)),""))</f>
        <v>Named owner, baseline process, minimum control checklist, first evidence package</v>
      </c>
      <c r="CC911" t="str">
        <f>IF($BY911="","",IFERROR(INDEX(_REF_Treatment_Library!$L$2:$L$296,MATCH($BY911,_REF_Treatment_Library!$A$2:$A$296,0)),""))</f>
        <v>Owner assigned; baseline evidence coverage; open critical gaps</v>
      </c>
      <c r="CD911" t="str">
        <f t="shared" si="242"/>
        <v>Treatment by capability=CAP_DELIVERY_CONTINUITY; band=Initial / absent; score=0.0; treatment=Establish</v>
      </c>
      <c r="CE911" t="str">
        <f>IF($E911="","",IFERROR(INDEX(_REF_Industry_Wording!$A$2:$A$70,MATCH(1,INDEX((_REF_Industry_Wording!$B$2:$B$70=$BT911)*(_REF_Industry_Wording!$C$2:$C$70=PV_Canonical_Industry)*(_REF_Industry_Wording!$K$2:$K$70="Yes"),0),0)),IFERROR(INDEX(_REF_Industry_Wording!$A$2:$A$70,MATCH(1,INDEX((_REF_Industry_Wording!$B$2:$B$70=$BT911)*(_REF_Industry_Wording!$C$2:$C$70="All")*(_REF_Industry_Wording!$K$2:$K$70="Yes"),0),0)),"")))</f>
        <v>IW-ALL-DELIVERY_CONTINUITY</v>
      </c>
      <c r="CF911" t="str">
        <f>IF($CE911="","",IFERROR(INDEX(_REF_Industry_Wording!$E$2:$E$70,MATCH($CE911,_REF_Industry_Wording!$A$2:$A$70,0)),""))</f>
        <v>Delivery continuity weakness</v>
      </c>
      <c r="CG911" t="str">
        <f>IF($CE911="","",IFERROR(INDEX(_REF_Industry_Wording!$F$2:$F$70,MATCH($CE911,_REF_Industry_Wording!$A$2:$A$70,0)),""))</f>
        <v>Strengthen Delivery continuity</v>
      </c>
      <c r="CH911" t="str">
        <f>IF($CE911="","",IFERROR(INDEX(_REF_Industry_Wording!$G$2:$G$70,MATCH($CE911,_REF_Industry_Wording!$A$2:$A$70,0)),""))</f>
        <v>Strengthen Delivery continuity using the selected maturity treatment, crisis scenario and evidence requirements.</v>
      </c>
      <c r="CI911" t="str">
        <f>IF($CE911="","",IFERROR(INDEX(_REF_Industry_Wording!$H$2:$H$70,MATCH($CE911,_REF_Industry_Wording!$A$2:$A$70,0)),""))</f>
        <v>Delivery continuity</v>
      </c>
      <c r="CJ911">
        <f>IF($CE911="","",IFERROR(INDEX(_REF_Industry_Wording!$I$2:$I$70,MATCH($CE911,_REF_Industry_Wording!$A$2:$A$70,0)),""))</f>
        <v>0</v>
      </c>
      <c r="CK911" t="str">
        <f>IF($CE911="","",IFERROR(INDEX(_REF_Industry_Wording!$J$2:$J$70,MATCH($CE911,_REF_Industry_Wording!$A$2:$A$70,0)),""))</f>
        <v>Delivery continuity</v>
      </c>
      <c r="CL911" t="str">
        <f t="shared" si="243"/>
        <v>Wording by industry=0; capability=CAP_DELIVERY_CONTINUITY; risk label=Delivery continuity weakness</v>
      </c>
      <c r="CM911" t="str">
        <f t="shared" si="244"/>
        <v>RISK-ONT-0412</v>
      </c>
      <c r="CN911" t="str">
        <f t="shared" si="245"/>
        <v>RISK-EVT-0412</v>
      </c>
      <c r="CO911" t="str">
        <f t="shared" si="246"/>
        <v>Quality Portfolio|Portfolio and change|QUAL-011|CAP_DELIVERY_CONTINUITY</v>
      </c>
      <c r="CP911" t="str">
        <f t="shared" si="247"/>
        <v>Active</v>
      </c>
      <c r="CQ911" t="str">
        <f t="shared" si="248"/>
        <v>OK: capability-driven</v>
      </c>
      <c r="CR911" t="str">
        <f t="shared" si="249"/>
        <v>Risk ontology uses capability=CAP_DELIVERY_CONTINUITY; bridge=BRG-073; treatment=TRT-DELIVERY_CONTINUITY-INITIAL; wording=IW-ALL-DELIVERY_CONTINUITY</v>
      </c>
      <c r="CS911" t="str">
        <f t="shared" si="250"/>
        <v>Yes</v>
      </c>
    </row>
    <row r="912" spans="1:97">
      <c r="A912">
        <f>IF(OR($B912&lt;&gt;"Yes",$BS912=""),"",SUMPRODUCT(($B$500:$B$923="Yes")*ISNUMBER($BS$500:$BS$923)*($BS$500:$BS$923&gt;$BS912))+COUNTIFS($B$500:$B912,"Yes",$BS$500:$BS912,$BS912))</f>
        <v>365</v>
      </c>
      <c r="B912" t="str">
        <f t="shared" si="219"/>
        <v>Yes</v>
      </c>
      <c r="C912" t="s">
        <v>3204</v>
      </c>
      <c r="D912" t="s">
        <v>3225</v>
      </c>
      <c r="E912" t="s">
        <v>3278</v>
      </c>
      <c r="F912" t="s">
        <v>4507</v>
      </c>
      <c r="G912" t="str">
        <f>IF($H912="","",IFERROR(INDEX(_ENGINE_Risk!$H$5:$M$499,MATCH($E912,_ENGINE_Risk!$A$5:$A$499,0),$H912+1),""))</f>
        <v>Severe risk: rapid reprioritization of initiatives during crisis using value, urgency, risk and capacity is not reliably controlled. During Execution failure; Delivery disruption; Decision failure, the organization may face poor quality control, failed change execution, unmanaged portfolio trade-offs and benefit erosion with limited visibility or accountability.</v>
      </c>
      <c r="H912">
        <f>IFERROR(VALUE(INDEX(_DATA_Assessment_Model!$H$5:$H$884,MATCH($E912,_DATA_Assessment_Model!$A$5:$A$884,0))),"")</f>
        <v>0</v>
      </c>
      <c r="I912" t="str">
        <f>IF($H912="","",IFERROR(INDEX(_DATA_Assessment_Model!$L$5:$L$884,MATCH($E912,_DATA_Assessment_Model!$A$5:$A$884,0)),IF($H912&lt;=1,"Critical",IF($H912=2,"High",IF($H912=3,"Medium",IF($H912=4,"Low","Resilient"))))))</f>
        <v>Critical</v>
      </c>
      <c r="J912">
        <f t="shared" si="220"/>
        <v>3.5</v>
      </c>
      <c r="K912">
        <f t="shared" si="221"/>
        <v>4.3500000000000005</v>
      </c>
      <c r="L912">
        <f t="shared" si="222"/>
        <v>15.225000000000001</v>
      </c>
      <c r="M912">
        <f t="shared" si="223"/>
        <v>4</v>
      </c>
      <c r="N912">
        <f>IF($H912="","",IFERROR(INDEX(_ENGINE_Risk!$T$5:$Y$499,MATCH($E912,_ENGINE_Risk!$A$5:$A$499,0),$H912+1),""))</f>
        <v>3</v>
      </c>
      <c r="O912">
        <f t="shared" si="224"/>
        <v>4.666666666666667</v>
      </c>
      <c r="P912">
        <f t="shared" si="225"/>
        <v>5</v>
      </c>
      <c r="Q912">
        <f t="shared" si="226"/>
        <v>5</v>
      </c>
      <c r="R912">
        <f t="shared" si="227"/>
        <v>4.5</v>
      </c>
      <c r="S912">
        <f t="shared" si="228"/>
        <v>1.6</v>
      </c>
      <c r="T912" t="str">
        <f>IF($H912="","",IFERROR(INDEX(_ENGINE_Risk!$N$5:$S$499,MATCH($E912,_ENGINE_Risk!$A$5:$A$499,0),$H912+1),""))</f>
        <v>Create an immediate risk owner, minimum control baseline and fallback procedure for rapid reprioritization of initiatives during crisis using value, urgency, risk and capacity. Add it to the crisis risk register and collect first evidence.</v>
      </c>
      <c r="U912">
        <f>IFERROR(INDEX(_DATA_Assessment_Model!$G$5:$G$884,MATCH($E912,_DATA_Assessment_Model!$A$5:$A$884,0)),"")</f>
        <v>5</v>
      </c>
      <c r="V912">
        <f>IFERROR(INDEX(_DATA_Assessment_Model!$W$5:$W$884,MATCH($E912,_DATA_Assessment_Model!$A$5:$A$884,0)),"")</f>
        <v>4</v>
      </c>
      <c r="W912">
        <f>IFERROR(INDEX(_DATA_Assessment_Model!$X$5:$X$884,MATCH($E912,_DATA_Assessment_Model!$A$5:$A$884,0)),"")</f>
        <v>5</v>
      </c>
      <c r="X912">
        <f>IFERROR(INDEX(_DATA_Assessment_Model!$Y$5:$Y$884,MATCH($E912,_DATA_Assessment_Model!$A$5:$A$884,0)),"")</f>
        <v>5</v>
      </c>
      <c r="Y912" t="s">
        <v>3217</v>
      </c>
      <c r="Z912" t="s">
        <v>10298</v>
      </c>
      <c r="AA912" t="s">
        <v>3280</v>
      </c>
      <c r="AB912">
        <f>IFERROR(INDEX(_DATA_Assessment_Model!$U$5:$U$884,MATCH($E912,_DATA_Assessment_Model!$A$5:$A$884,0)),"")</f>
        <v>0</v>
      </c>
      <c r="AF912" t="s">
        <v>3279</v>
      </c>
      <c r="AO912">
        <f>IF($B912="Yes",IF(IFERROR(INDEX(_ENGINE_Crisis!$F$501:$F$517,MATCH($C912,_ENGINE_Crisis!$A$501:$A$517,0)),1)=0,1,IFERROR(INDEX(_ENGINE_Crisis!$F$501:$F$517,MATCH($C912,_ENGINE_Crisis!$A$501:$A$517,0)),1)),"")</f>
        <v>1</v>
      </c>
      <c r="AP912">
        <f t="shared" si="229"/>
        <v>15.2</v>
      </c>
      <c r="AQ912">
        <f t="shared" si="230"/>
        <v>1.6</v>
      </c>
      <c r="AR912" t="str">
        <f>IFERROR(INDEX(_ENGINE_Crisis!$E$41:$E$700,MATCH('Resilience &amp; Risk Scenario'!$B$6&amp;"|"&amp;$C912,_ENGINE_Crisis!$I$41:$I$700,0)),"")</f>
        <v/>
      </c>
      <c r="AS912" t="str">
        <f>IFERROR(INDEX(_ENGINE_Crisis!$G$41:$G$700,MATCH('Resilience &amp; Risk Scenario'!$B$6&amp;"|"&amp;$C912,_ENGINE_Crisis!$I$41:$I$700,0)),"")</f>
        <v/>
      </c>
      <c r="AT912" t="str">
        <f>IFERROR(INDEX(_ENGINE_Initiatives!$A$5:$A$532,MATCH(1,INDEX((_ENGINE_Initiatives!$B$5:$B$532=$C912)*(_ENGINE_Initiatives!$C$5:$C$532=$D912),0),0)),"")</f>
        <v>INI-071</v>
      </c>
      <c r="AU912" t="str">
        <f>IFERROR(INDEX(_ENGINE_Initiatives!$F$5:$F$532,MATCH(1,INDEX((_ENGINE_Initiatives!$B$5:$B$532=$C912)*(_ENGINE_Initiatives!$C$5:$C$532=$D912),0),0)),"")</f>
        <v>Implement portfolio governance, prioritization and change control</v>
      </c>
      <c r="AV912">
        <f>IFERROR(INDEX(_ENGINE_Initiatives!$AC$5:$AC$532,MATCH(1,INDEX((_ENGINE_Initiatives!$B$5:$B$532=$C912)*(_ENGINE_Initiatives!$C$5:$C$532=$D912),0),0)),"")</f>
        <v>2.54</v>
      </c>
      <c r="AW912" t="str">
        <f>IFERROR(INDEX(_ENGINE_Initiatives!$AE$5:$AE$532,MATCH(1,INDEX((_ENGINE_Initiatives!$B$5:$B$532=$C912)*(_ENGINE_Initiatives!$C$5:$C$532=$D912),0),0)),"")</f>
        <v>0-90 days</v>
      </c>
      <c r="AX912">
        <f>IF($B912="Yes",IFERROR((IF(SUMIFS(_REF_Model_Content!$E$1:$E$613,_REF_Model_Content!$A$1:$A$613,PV_Canonical_Industry,_REF_Model_Content!$B$1:$B$613,$C912)=0,1,SUMIFS(_REF_Model_Content!$E$1:$E$613,_REF_Model_Content!$A$1:$A$613,PV_Canonical_Industry,_REF_Model_Content!$B$1:$B$613,$C912))*IFERROR($BU912,1)),1),"")</f>
        <v>1</v>
      </c>
      <c r="AY912">
        <f t="shared" si="231"/>
        <v>15.2</v>
      </c>
      <c r="AZ912">
        <f t="shared" si="232"/>
        <v>1.6</v>
      </c>
      <c r="BB912" t="str">
        <f>IF($H912="","",IFERROR(INDEX(_ENGINE_Risk!$AE$5:$AE$499,MATCH($E912,_ENGINE_Risk!$A$5:$A$499,0)),"Medium"))</f>
        <v>Slow</v>
      </c>
      <c r="BC912">
        <f t="shared" si="233"/>
        <v>0.85</v>
      </c>
      <c r="BD912">
        <f t="shared" si="234"/>
        <v>1.6</v>
      </c>
      <c r="BF912">
        <f>IF(OR($H912="",$J912=""),"",IFERROR(VLOOKUP(ROUND($J912,0),_CONFIG_Model_Settings!$D$154:$E$158,2,0),""))</f>
        <v>0.5</v>
      </c>
      <c r="BG912">
        <f>IFERROR(IF(OR($H912="",$K912=""),"",ROUND('Company Profile'!$B$113*INDEX(_CONFIG_Model_Settings!$H$154:$H$158,MATCH(ROUND($K912,0),_CONFIG_Model_Settings!$G$154:$G$158,0)),0)),0)</f>
        <v>875</v>
      </c>
      <c r="BH912">
        <f t="shared" si="235"/>
        <v>437.5</v>
      </c>
      <c r="BI912">
        <f t="shared" si="236"/>
        <v>437.5</v>
      </c>
      <c r="BJ912">
        <f>IF($E912="","",IFERROR(VLOOKUP($C912,_CONFIG_Risk_Calibration!$A$5:$H$21,2,FALSE),3))</f>
        <v>3</v>
      </c>
      <c r="BK912">
        <f>IF($E912="","",IFERROR(VLOOKUP($C912,_CONFIG_Risk_Calibration!$A$5:$H$21,3,FALSE),0))</f>
        <v>0</v>
      </c>
      <c r="BL912">
        <f>IF($E912="","",IFERROR(VLOOKUP($C912,_CONFIG_Risk_Calibration!$A$5:$H$21,4,FALSE),3))</f>
        <v>3</v>
      </c>
      <c r="BM912">
        <f>IF($E912="","",IFERROR(VLOOKUP($C912,_CONFIG_Risk_Calibration!$A$5:$H$21,5,FALSE),3))</f>
        <v>3</v>
      </c>
      <c r="BN912" t="str">
        <f>IF($E912="","",IFERROR(VLOOKUP($C912,_CONFIG_Risk_Calibration!$A$5:$H$21,6,FALSE),"No"))</f>
        <v>Yes</v>
      </c>
      <c r="BO912">
        <f>IF($E912="","",IFERROR(VLOOKUP($C912,_CONFIG_Risk_Calibration!$A$5:$H$21,7,FALSE),1))</f>
        <v>4</v>
      </c>
      <c r="BP912">
        <f>IF($H912="","",MAX(1,MIN(5,((6-$H912)*0.45)+($BJ912*0.2)+('Resilience &amp; Risk Scenario'!$B$7*0.15)+($BK912*0.1)+($BL912*0.05)+(IF($BB912="Fast",5,IF($BB912="Slow",1,3))*0.05))))</f>
        <v>3.5</v>
      </c>
      <c r="BQ912">
        <f t="shared" si="237"/>
        <v>4.3500000000000005</v>
      </c>
      <c r="BR912">
        <f t="shared" si="238"/>
        <v>15.23</v>
      </c>
      <c r="BS912">
        <f t="shared" si="239"/>
        <v>12.95</v>
      </c>
      <c r="BT912" t="str">
        <f>IFERROR(INDEX(_REF_Capability_Bridge!$D:$D,MATCH($C912&amp;"|"&amp;$D912,_REF_Capability_Bridge!$J:$J,0)),IFERROR(INDEX(_REF_Capability_Bridge!$D:$D,MATCH($C912&amp;"|",_REF_Capability_Bridge!$J:$J,0)),"CAP_GENERIC"))</f>
        <v>CAP_DELIVERY_CONTINUITY</v>
      </c>
      <c r="BU912">
        <f>IFERROR(IFERROR(INDEX(_ENGINE_Relevance!$L:$L,MATCH($BT912,_ENGINE_Relevance!$B:$B,0)),1),1)</f>
        <v>1</v>
      </c>
      <c r="BV912" t="str">
        <f>IFERROR(INDEX(_REF_Capability_Bridge!$A:$A,MATCH($C912&amp;"|"&amp;$D912,_REF_Capability_Bridge!$J:$J,0)),IFERROR(INDEX(_REF_Capability_Bridge!$A:$A,MATCH($C912&amp;"|",_REF_Capability_Bridge!$J:$J,0)),"No bridge"))</f>
        <v>BRG-073</v>
      </c>
      <c r="BW912" t="str">
        <f t="shared" si="240"/>
        <v>Capability relevance neutral</v>
      </c>
      <c r="BX912" t="str">
        <f t="shared" si="241"/>
        <v>Initial / absent</v>
      </c>
      <c r="BY912" t="str">
        <f>IF($E912="","",IFERROR(INDEX(_REF_Treatment_Library!$A$2:$A$296,MATCH(1,INDEX((_REF_Treatment_Library!$B$2:$B$296=$BT912)*(_REF_Treatment_Library!$C$2:$C$296=PV_Canonical_Industry)*(_REF_Treatment_Library!$E$2:$E$296&lt;=N($H912))*(_REF_Treatment_Library!$F$2:$F$296&gt;=N($H912))*(_REF_Treatment_Library!$O$2:$O$296="Yes"),0),0)),IFERROR(INDEX(_REF_Treatment_Library!$A$2:$A$296,MATCH(1,INDEX((_REF_Treatment_Library!$B$2:$B$296=$BT912)*(_REF_Treatment_Library!$C$2:$C$296="All")*(_REF_Treatment_Library!$E$2:$E$296&lt;=N($H912))*(_REF_Treatment_Library!$F$2:$F$296&gt;=N($H912))*(_REF_Treatment_Library!$O$2:$O$296="Yes"),0),0)),"")))</f>
        <v>TRT-DELIVERY_CONTINUITY-INITIAL</v>
      </c>
      <c r="BZ912" t="str">
        <f>IF($BY912="","",IFERROR(INDEX(_REF_Treatment_Library!$H$2:$H$296,MATCH($BY912,_REF_Treatment_Library!$A$2:$A$296,0)),""))</f>
        <v>Establish</v>
      </c>
      <c r="CA912" t="str">
        <f>IF($BY912="","",IFERROR(INDEX(_REF_Treatment_Library!$I$2:$I$296,MATCH($BY912,_REF_Treatment_Library!$A$2:$A$296,0)),""))</f>
        <v>Establish baseline controls for Delivery continuity</v>
      </c>
      <c r="CB912" t="str">
        <f>IF($BY912="","",IFERROR(INDEX(_REF_Treatment_Library!$K$2:$K$296,MATCH($BY912,_REF_Treatment_Library!$A$2:$A$296,0)),""))</f>
        <v>Named owner, baseline process, minimum control checklist, first evidence package</v>
      </c>
      <c r="CC912" t="str">
        <f>IF($BY912="","",IFERROR(INDEX(_REF_Treatment_Library!$L$2:$L$296,MATCH($BY912,_REF_Treatment_Library!$A$2:$A$296,0)),""))</f>
        <v>Owner assigned; baseline evidence coverage; open critical gaps</v>
      </c>
      <c r="CD912" t="str">
        <f t="shared" si="242"/>
        <v>Treatment by capability=CAP_DELIVERY_CONTINUITY; band=Initial / absent; score=0.0; treatment=Establish</v>
      </c>
      <c r="CE912" t="str">
        <f>IF($E912="","",IFERROR(INDEX(_REF_Industry_Wording!$A$2:$A$70,MATCH(1,INDEX((_REF_Industry_Wording!$B$2:$B$70=$BT912)*(_REF_Industry_Wording!$C$2:$C$70=PV_Canonical_Industry)*(_REF_Industry_Wording!$K$2:$K$70="Yes"),0),0)),IFERROR(INDEX(_REF_Industry_Wording!$A$2:$A$70,MATCH(1,INDEX((_REF_Industry_Wording!$B$2:$B$70=$BT912)*(_REF_Industry_Wording!$C$2:$C$70="All")*(_REF_Industry_Wording!$K$2:$K$70="Yes"),0),0)),"")))</f>
        <v>IW-ALL-DELIVERY_CONTINUITY</v>
      </c>
      <c r="CF912" t="str">
        <f>IF($CE912="","",IFERROR(INDEX(_REF_Industry_Wording!$E$2:$E$70,MATCH($CE912,_REF_Industry_Wording!$A$2:$A$70,0)),""))</f>
        <v>Delivery continuity weakness</v>
      </c>
      <c r="CG912" t="str">
        <f>IF($CE912="","",IFERROR(INDEX(_REF_Industry_Wording!$F$2:$F$70,MATCH($CE912,_REF_Industry_Wording!$A$2:$A$70,0)),""))</f>
        <v>Strengthen Delivery continuity</v>
      </c>
      <c r="CH912" t="str">
        <f>IF($CE912="","",IFERROR(INDEX(_REF_Industry_Wording!$G$2:$G$70,MATCH($CE912,_REF_Industry_Wording!$A$2:$A$70,0)),""))</f>
        <v>Strengthen Delivery continuity using the selected maturity treatment, crisis scenario and evidence requirements.</v>
      </c>
      <c r="CI912" t="str">
        <f>IF($CE912="","",IFERROR(INDEX(_REF_Industry_Wording!$H$2:$H$70,MATCH($CE912,_REF_Industry_Wording!$A$2:$A$70,0)),""))</f>
        <v>Delivery continuity</v>
      </c>
      <c r="CJ912">
        <f>IF($CE912="","",IFERROR(INDEX(_REF_Industry_Wording!$I$2:$I$70,MATCH($CE912,_REF_Industry_Wording!$A$2:$A$70,0)),""))</f>
        <v>0</v>
      </c>
      <c r="CK912" t="str">
        <f>IF($CE912="","",IFERROR(INDEX(_REF_Industry_Wording!$J$2:$J$70,MATCH($CE912,_REF_Industry_Wording!$A$2:$A$70,0)),""))</f>
        <v>Delivery continuity</v>
      </c>
      <c r="CL912" t="str">
        <f t="shared" si="243"/>
        <v>Wording by industry=0; capability=CAP_DELIVERY_CONTINUITY; risk label=Delivery continuity weakness</v>
      </c>
      <c r="CM912" t="str">
        <f t="shared" si="244"/>
        <v>RISK-ONT-0413</v>
      </c>
      <c r="CN912" t="str">
        <f t="shared" si="245"/>
        <v>RISK-EVT-0413</v>
      </c>
      <c r="CO912" t="str">
        <f t="shared" si="246"/>
        <v>Quality Portfolio|Portfolio and change|QUAL-012|CAP_DELIVERY_CONTINUITY</v>
      </c>
      <c r="CP912" t="str">
        <f t="shared" si="247"/>
        <v>Active</v>
      </c>
      <c r="CQ912" t="str">
        <f t="shared" si="248"/>
        <v>OK: capability-driven</v>
      </c>
      <c r="CR912" t="str">
        <f t="shared" si="249"/>
        <v>Risk ontology uses capability=CAP_DELIVERY_CONTINUITY; bridge=BRG-073; treatment=TRT-DELIVERY_CONTINUITY-INITIAL; wording=IW-ALL-DELIVERY_CONTINUITY</v>
      </c>
      <c r="CS912" t="str">
        <f t="shared" si="250"/>
        <v>Yes</v>
      </c>
    </row>
    <row r="913" spans="1:97">
      <c r="A913">
        <f>IF(OR($B913&lt;&gt;"Yes",$BS913=""),"",SUMPRODUCT(($B$500:$B$923="Yes")*ISNUMBER($BS$500:$BS$923)*($BS$500:$BS$923&gt;$BS913))+COUNTIFS($B$500:$B913,"Yes",$BS$500:$BS913,$BS913))</f>
        <v>387</v>
      </c>
      <c r="B913" t="str">
        <f t="shared" si="219"/>
        <v>Yes</v>
      </c>
      <c r="C913" t="s">
        <v>3204</v>
      </c>
      <c r="D913" t="s">
        <v>3225</v>
      </c>
      <c r="E913" t="s">
        <v>3281</v>
      </c>
      <c r="F913" t="s">
        <v>4507</v>
      </c>
      <c r="G913" t="str">
        <f>IF($H913="","",IFERROR(INDEX(_ENGINE_Risk!$H$5:$M$499,MATCH($E913,_ENGINE_Risk!$A$5:$A$499,0),$H913+1),""))</f>
        <v>Severe risk: benefits realization tracking for resilience, digital and operational initiatives is not reliably controlled. During Execution failure; Delivery disruption; Decision failure, the organization may face poor quality control, failed change execution, unmanaged portfolio trade-offs and benefit erosion with limited visibility or accountability.</v>
      </c>
      <c r="H913">
        <f>IFERROR(VALUE(INDEX(_DATA_Assessment_Model!$H$5:$H$884,MATCH($E913,_DATA_Assessment_Model!$A$5:$A$884,0))),"")</f>
        <v>0</v>
      </c>
      <c r="I913" t="str">
        <f>IF($H913="","",IFERROR(INDEX(_DATA_Assessment_Model!$L$5:$L$884,MATCH($E913,_DATA_Assessment_Model!$A$5:$A$884,0)),IF($H913&lt;=1,"Critical",IF($H913=2,"High",IF($H913=3,"Medium",IF($H913=4,"Low","Resilient"))))))</f>
        <v>Critical</v>
      </c>
      <c r="J913">
        <f t="shared" si="220"/>
        <v>3.5</v>
      </c>
      <c r="K913">
        <f t="shared" si="221"/>
        <v>4</v>
      </c>
      <c r="L913">
        <f t="shared" si="222"/>
        <v>14</v>
      </c>
      <c r="M913">
        <f t="shared" si="223"/>
        <v>3</v>
      </c>
      <c r="N913">
        <f>IF($H913="","",IFERROR(INDEX(_ENGINE_Risk!$T$5:$Y$499,MATCH($E913,_ENGINE_Risk!$A$5:$A$499,0),$H913+1),""))</f>
        <v>3</v>
      </c>
      <c r="O913">
        <f t="shared" si="224"/>
        <v>4</v>
      </c>
      <c r="P913">
        <f t="shared" si="225"/>
        <v>5</v>
      </c>
      <c r="Q913">
        <f t="shared" si="226"/>
        <v>5</v>
      </c>
      <c r="R913">
        <f t="shared" si="227"/>
        <v>4.5</v>
      </c>
      <c r="S913">
        <f t="shared" si="228"/>
        <v>1.54</v>
      </c>
      <c r="T913" t="str">
        <f>IF($H913="","",IFERROR(INDEX(_ENGINE_Risk!$N$5:$S$499,MATCH($E913,_ENGINE_Risk!$A$5:$A$499,0),$H913+1),""))</f>
        <v>Create an immediate risk owner, minimum control baseline and fallback procedure for benefits realization tracking for resilience, digital and operational initiatives. Add it to the crisis risk register and collect first evidence.</v>
      </c>
      <c r="U913">
        <f>IFERROR(INDEX(_DATA_Assessment_Model!$G$5:$G$884,MATCH($E913,_DATA_Assessment_Model!$A$5:$A$884,0)),"")</f>
        <v>3</v>
      </c>
      <c r="V913">
        <f>IFERROR(INDEX(_DATA_Assessment_Model!$W$5:$W$884,MATCH($E913,_DATA_Assessment_Model!$A$5:$A$884,0)),"")</f>
        <v>4</v>
      </c>
      <c r="W913">
        <f>IFERROR(INDEX(_DATA_Assessment_Model!$X$5:$X$884,MATCH($E913,_DATA_Assessment_Model!$A$5:$A$884,0)),"")</f>
        <v>5</v>
      </c>
      <c r="X913">
        <f>IFERROR(INDEX(_DATA_Assessment_Model!$Y$5:$Y$884,MATCH($E913,_DATA_Assessment_Model!$A$5:$A$884,0)),"")</f>
        <v>5</v>
      </c>
      <c r="Y913" t="s">
        <v>3217</v>
      </c>
      <c r="Z913" t="s">
        <v>10298</v>
      </c>
      <c r="AA913" t="s">
        <v>3283</v>
      </c>
      <c r="AB913">
        <f>IFERROR(INDEX(_DATA_Assessment_Model!$U$5:$U$884,MATCH($E913,_DATA_Assessment_Model!$A$5:$A$884,0)),"")</f>
        <v>0</v>
      </c>
      <c r="AF913" t="s">
        <v>3282</v>
      </c>
      <c r="AO913">
        <f>IF($B913="Yes",IF(IFERROR(INDEX(_ENGINE_Crisis!$F$501:$F$517,MATCH($C913,_ENGINE_Crisis!$A$501:$A$517,0)),1)=0,1,IFERROR(INDEX(_ENGINE_Crisis!$F$501:$F$517,MATCH($C913,_ENGINE_Crisis!$A$501:$A$517,0)),1)),"")</f>
        <v>1</v>
      </c>
      <c r="AP913">
        <f t="shared" si="229"/>
        <v>14</v>
      </c>
      <c r="AQ913">
        <f t="shared" si="230"/>
        <v>1.54</v>
      </c>
      <c r="AR913" t="str">
        <f>IFERROR(INDEX(_ENGINE_Crisis!$E$41:$E$700,MATCH('Resilience &amp; Risk Scenario'!$B$6&amp;"|"&amp;$C913,_ENGINE_Crisis!$I$41:$I$700,0)),"")</f>
        <v/>
      </c>
      <c r="AS913" t="str">
        <f>IFERROR(INDEX(_ENGINE_Crisis!$G$41:$G$700,MATCH('Resilience &amp; Risk Scenario'!$B$6&amp;"|"&amp;$C913,_ENGINE_Crisis!$I$41:$I$700,0)),"")</f>
        <v/>
      </c>
      <c r="AT913" t="str">
        <f>IFERROR(INDEX(_ENGINE_Initiatives!$A$5:$A$532,MATCH(1,INDEX((_ENGINE_Initiatives!$B$5:$B$532=$C913)*(_ENGINE_Initiatives!$C$5:$C$532=$D913),0),0)),"")</f>
        <v>INI-071</v>
      </c>
      <c r="AU913" t="str">
        <f>IFERROR(INDEX(_ENGINE_Initiatives!$F$5:$F$532,MATCH(1,INDEX((_ENGINE_Initiatives!$B$5:$B$532=$C913)*(_ENGINE_Initiatives!$C$5:$C$532=$D913),0),0)),"")</f>
        <v>Implement portfolio governance, prioritization and change control</v>
      </c>
      <c r="AV913">
        <f>IFERROR(INDEX(_ENGINE_Initiatives!$AC$5:$AC$532,MATCH(1,INDEX((_ENGINE_Initiatives!$B$5:$B$532=$C913)*(_ENGINE_Initiatives!$C$5:$C$532=$D913),0),0)),"")</f>
        <v>2.54</v>
      </c>
      <c r="AW913" t="str">
        <f>IFERROR(INDEX(_ENGINE_Initiatives!$AE$5:$AE$532,MATCH(1,INDEX((_ENGINE_Initiatives!$B$5:$B$532=$C913)*(_ENGINE_Initiatives!$C$5:$C$532=$D913),0),0)),"")</f>
        <v>0-90 days</v>
      </c>
      <c r="AX913">
        <f>IF($B913="Yes",IFERROR((IF(SUMIFS(_REF_Model_Content!$E$1:$E$613,_REF_Model_Content!$A$1:$A$613,PV_Canonical_Industry,_REF_Model_Content!$B$1:$B$613,$C913)=0,1,SUMIFS(_REF_Model_Content!$E$1:$E$613,_REF_Model_Content!$A$1:$A$613,PV_Canonical_Industry,_REF_Model_Content!$B$1:$B$613,$C913))*IFERROR($BU913,1)),1),"")</f>
        <v>1</v>
      </c>
      <c r="AY913">
        <f t="shared" si="231"/>
        <v>14</v>
      </c>
      <c r="AZ913">
        <f t="shared" si="232"/>
        <v>1.54</v>
      </c>
      <c r="BB913" t="str">
        <f>IF($H913="","",IFERROR(INDEX(_ENGINE_Risk!$AE$5:$AE$499,MATCH($E913,_ENGINE_Risk!$A$5:$A$499,0)),"Medium"))</f>
        <v>Slow</v>
      </c>
      <c r="BC913">
        <f t="shared" si="233"/>
        <v>0.85</v>
      </c>
      <c r="BD913">
        <f t="shared" si="234"/>
        <v>1.54</v>
      </c>
      <c r="BF913">
        <f>IF(OR($H913="",$J913=""),"",IFERROR(VLOOKUP(ROUND($J913,0),_CONFIG_Model_Settings!$D$154:$E$158,2,0),""))</f>
        <v>0.5</v>
      </c>
      <c r="BG913">
        <f>IFERROR(IF(OR($H913="",$K913=""),"",ROUND('Company Profile'!$B$113*INDEX(_CONFIG_Model_Settings!$H$154:$H$158,MATCH(ROUND($K913,0),_CONFIG_Model_Settings!$G$154:$G$158,0)),0)),0)</f>
        <v>875</v>
      </c>
      <c r="BH913">
        <f t="shared" si="235"/>
        <v>437.5</v>
      </c>
      <c r="BI913">
        <f t="shared" si="236"/>
        <v>437.5</v>
      </c>
      <c r="BJ913">
        <f>IF($E913="","",IFERROR(VLOOKUP($C913,_CONFIG_Risk_Calibration!$A$5:$H$21,2,FALSE),3))</f>
        <v>3</v>
      </c>
      <c r="BK913">
        <f>IF($E913="","",IFERROR(VLOOKUP($C913,_CONFIG_Risk_Calibration!$A$5:$H$21,3,FALSE),0))</f>
        <v>0</v>
      </c>
      <c r="BL913">
        <f>IF($E913="","",IFERROR(VLOOKUP($C913,_CONFIG_Risk_Calibration!$A$5:$H$21,4,FALSE),3))</f>
        <v>3</v>
      </c>
      <c r="BM913">
        <f>IF($E913="","",IFERROR(VLOOKUP($C913,_CONFIG_Risk_Calibration!$A$5:$H$21,5,FALSE),3))</f>
        <v>3</v>
      </c>
      <c r="BN913" t="str">
        <f>IF($E913="","",IFERROR(VLOOKUP($C913,_CONFIG_Risk_Calibration!$A$5:$H$21,6,FALSE),"No"))</f>
        <v>Yes</v>
      </c>
      <c r="BO913">
        <f>IF($E913="","",IFERROR(VLOOKUP($C913,_CONFIG_Risk_Calibration!$A$5:$H$21,7,FALSE),1))</f>
        <v>4</v>
      </c>
      <c r="BP913">
        <f>IF($H913="","",MAX(1,MIN(5,((6-$H913)*0.45)+($BJ913*0.2)+('Resilience &amp; Risk Scenario'!$B$7*0.15)+($BK913*0.1)+($BL913*0.05)+(IF($BB913="Fast",5,IF($BB913="Slow",1,3))*0.05))))</f>
        <v>3.5</v>
      </c>
      <c r="BQ913">
        <f t="shared" si="237"/>
        <v>4</v>
      </c>
      <c r="BR913">
        <f t="shared" si="238"/>
        <v>14</v>
      </c>
      <c r="BS913">
        <f t="shared" si="239"/>
        <v>11.9</v>
      </c>
      <c r="BT913" t="str">
        <f>IFERROR(INDEX(_REF_Capability_Bridge!$D:$D,MATCH($C913&amp;"|"&amp;$D913,_REF_Capability_Bridge!$J:$J,0)),IFERROR(INDEX(_REF_Capability_Bridge!$D:$D,MATCH($C913&amp;"|",_REF_Capability_Bridge!$J:$J,0)),"CAP_GENERIC"))</f>
        <v>CAP_DELIVERY_CONTINUITY</v>
      </c>
      <c r="BU913">
        <f>IFERROR(IFERROR(INDEX(_ENGINE_Relevance!$L:$L,MATCH($BT913,_ENGINE_Relevance!$B:$B,0)),1),1)</f>
        <v>1</v>
      </c>
      <c r="BV913" t="str">
        <f>IFERROR(INDEX(_REF_Capability_Bridge!$A:$A,MATCH($C913&amp;"|"&amp;$D913,_REF_Capability_Bridge!$J:$J,0)),IFERROR(INDEX(_REF_Capability_Bridge!$A:$A,MATCH($C913&amp;"|",_REF_Capability_Bridge!$J:$J,0)),"No bridge"))</f>
        <v>BRG-073</v>
      </c>
      <c r="BW913" t="str">
        <f t="shared" si="240"/>
        <v>Capability relevance neutral</v>
      </c>
      <c r="BX913" t="str">
        <f t="shared" si="241"/>
        <v>Initial / absent</v>
      </c>
      <c r="BY913" t="str">
        <f>IF($E913="","",IFERROR(INDEX(_REF_Treatment_Library!$A$2:$A$296,MATCH(1,INDEX((_REF_Treatment_Library!$B$2:$B$296=$BT913)*(_REF_Treatment_Library!$C$2:$C$296=PV_Canonical_Industry)*(_REF_Treatment_Library!$E$2:$E$296&lt;=N($H913))*(_REF_Treatment_Library!$F$2:$F$296&gt;=N($H913))*(_REF_Treatment_Library!$O$2:$O$296="Yes"),0),0)),IFERROR(INDEX(_REF_Treatment_Library!$A$2:$A$296,MATCH(1,INDEX((_REF_Treatment_Library!$B$2:$B$296=$BT913)*(_REF_Treatment_Library!$C$2:$C$296="All")*(_REF_Treatment_Library!$E$2:$E$296&lt;=N($H913))*(_REF_Treatment_Library!$F$2:$F$296&gt;=N($H913))*(_REF_Treatment_Library!$O$2:$O$296="Yes"),0),0)),"")))</f>
        <v>TRT-DELIVERY_CONTINUITY-INITIAL</v>
      </c>
      <c r="BZ913" t="str">
        <f>IF($BY913="","",IFERROR(INDEX(_REF_Treatment_Library!$H$2:$H$296,MATCH($BY913,_REF_Treatment_Library!$A$2:$A$296,0)),""))</f>
        <v>Establish</v>
      </c>
      <c r="CA913" t="str">
        <f>IF($BY913="","",IFERROR(INDEX(_REF_Treatment_Library!$I$2:$I$296,MATCH($BY913,_REF_Treatment_Library!$A$2:$A$296,0)),""))</f>
        <v>Establish baseline controls for Delivery continuity</v>
      </c>
      <c r="CB913" t="str">
        <f>IF($BY913="","",IFERROR(INDEX(_REF_Treatment_Library!$K$2:$K$296,MATCH($BY913,_REF_Treatment_Library!$A$2:$A$296,0)),""))</f>
        <v>Named owner, baseline process, minimum control checklist, first evidence package</v>
      </c>
      <c r="CC913" t="str">
        <f>IF($BY913="","",IFERROR(INDEX(_REF_Treatment_Library!$L$2:$L$296,MATCH($BY913,_REF_Treatment_Library!$A$2:$A$296,0)),""))</f>
        <v>Owner assigned; baseline evidence coverage; open critical gaps</v>
      </c>
      <c r="CD913" t="str">
        <f t="shared" si="242"/>
        <v>Treatment by capability=CAP_DELIVERY_CONTINUITY; band=Initial / absent; score=0.0; treatment=Establish</v>
      </c>
      <c r="CE913" t="str">
        <f>IF($E913="","",IFERROR(INDEX(_REF_Industry_Wording!$A$2:$A$70,MATCH(1,INDEX((_REF_Industry_Wording!$B$2:$B$70=$BT913)*(_REF_Industry_Wording!$C$2:$C$70=PV_Canonical_Industry)*(_REF_Industry_Wording!$K$2:$K$70="Yes"),0),0)),IFERROR(INDEX(_REF_Industry_Wording!$A$2:$A$70,MATCH(1,INDEX((_REF_Industry_Wording!$B$2:$B$70=$BT913)*(_REF_Industry_Wording!$C$2:$C$70="All")*(_REF_Industry_Wording!$K$2:$K$70="Yes"),0),0)),"")))</f>
        <v>IW-ALL-DELIVERY_CONTINUITY</v>
      </c>
      <c r="CF913" t="str">
        <f>IF($CE913="","",IFERROR(INDEX(_REF_Industry_Wording!$E$2:$E$70,MATCH($CE913,_REF_Industry_Wording!$A$2:$A$70,0)),""))</f>
        <v>Delivery continuity weakness</v>
      </c>
      <c r="CG913" t="str">
        <f>IF($CE913="","",IFERROR(INDEX(_REF_Industry_Wording!$F$2:$F$70,MATCH($CE913,_REF_Industry_Wording!$A$2:$A$70,0)),""))</f>
        <v>Strengthen Delivery continuity</v>
      </c>
      <c r="CH913" t="str">
        <f>IF($CE913="","",IFERROR(INDEX(_REF_Industry_Wording!$G$2:$G$70,MATCH($CE913,_REF_Industry_Wording!$A$2:$A$70,0)),""))</f>
        <v>Strengthen Delivery continuity using the selected maturity treatment, crisis scenario and evidence requirements.</v>
      </c>
      <c r="CI913" t="str">
        <f>IF($CE913="","",IFERROR(INDEX(_REF_Industry_Wording!$H$2:$H$70,MATCH($CE913,_REF_Industry_Wording!$A$2:$A$70,0)),""))</f>
        <v>Delivery continuity</v>
      </c>
      <c r="CJ913">
        <f>IF($CE913="","",IFERROR(INDEX(_REF_Industry_Wording!$I$2:$I$70,MATCH($CE913,_REF_Industry_Wording!$A$2:$A$70,0)),""))</f>
        <v>0</v>
      </c>
      <c r="CK913" t="str">
        <f>IF($CE913="","",IFERROR(INDEX(_REF_Industry_Wording!$J$2:$J$70,MATCH($CE913,_REF_Industry_Wording!$A$2:$A$70,0)),""))</f>
        <v>Delivery continuity</v>
      </c>
      <c r="CL913" t="str">
        <f t="shared" si="243"/>
        <v>Wording by industry=0; capability=CAP_DELIVERY_CONTINUITY; risk label=Delivery continuity weakness</v>
      </c>
      <c r="CM913" t="str">
        <f t="shared" si="244"/>
        <v>RISK-ONT-0414</v>
      </c>
      <c r="CN913" t="str">
        <f t="shared" si="245"/>
        <v>RISK-EVT-0414</v>
      </c>
      <c r="CO913" t="str">
        <f t="shared" si="246"/>
        <v>Quality Portfolio|Portfolio and change|QUAL-013|CAP_DELIVERY_CONTINUITY</v>
      </c>
      <c r="CP913" t="str">
        <f t="shared" si="247"/>
        <v>Active</v>
      </c>
      <c r="CQ913" t="str">
        <f t="shared" si="248"/>
        <v>OK: capability-driven</v>
      </c>
      <c r="CR913" t="str">
        <f t="shared" si="249"/>
        <v>Risk ontology uses capability=CAP_DELIVERY_CONTINUITY; bridge=BRG-073; treatment=TRT-DELIVERY_CONTINUITY-INITIAL; wording=IW-ALL-DELIVERY_CONTINUITY</v>
      </c>
      <c r="CS913" t="str">
        <f t="shared" si="250"/>
        <v>Yes</v>
      </c>
    </row>
    <row r="914" spans="1:97">
      <c r="A914">
        <f>IF(OR($B914&lt;&gt;"Yes",$BS914=""),"",SUMPRODUCT(($B$500:$B$923="Yes")*ISNUMBER($BS$500:$BS$923)*($BS$500:$BS$923&gt;$BS914))+COUNTIFS($B$500:$B914,"Yes",$BS$500:$BS914,$BS914))</f>
        <v>388</v>
      </c>
      <c r="B914" t="str">
        <f t="shared" si="219"/>
        <v>Yes</v>
      </c>
      <c r="C914" t="s">
        <v>3204</v>
      </c>
      <c r="D914" t="s">
        <v>3225</v>
      </c>
      <c r="E914" t="s">
        <v>3290</v>
      </c>
      <c r="F914" t="s">
        <v>4507</v>
      </c>
      <c r="G914" t="str">
        <f>IF($H914="","",IFERROR(INDEX(_ENGINE_Risk!$H$5:$M$499,MATCH($E914,_ENGINE_Risk!$A$5:$A$499,0),$H914+1),""))</f>
        <v>Severe risk: change adoption management with communication, training, sponsor accountability and adoption metrics is not reliably controlled. During Execution failure; Delivery disruption; Decision failure, the organization may face poor quality control, failed change execution, unmanaged portfolio trade-offs and benefit erosion with limited visibility or accountability.</v>
      </c>
      <c r="H914">
        <f>IFERROR(VALUE(INDEX(_DATA_Assessment_Model!$H$5:$H$884,MATCH($E914,_DATA_Assessment_Model!$A$5:$A$884,0))),"")</f>
        <v>0</v>
      </c>
      <c r="I914" t="str">
        <f>IF($H914="","",IFERROR(INDEX(_DATA_Assessment_Model!$L$5:$L$884,MATCH($E914,_DATA_Assessment_Model!$A$5:$A$884,0)),IF($H914&lt;=1,"Critical",IF($H914=2,"High",IF($H914=3,"Medium",IF($H914=4,"Low","Resilient"))))))</f>
        <v>Critical</v>
      </c>
      <c r="J914">
        <f t="shared" si="220"/>
        <v>3.5</v>
      </c>
      <c r="K914">
        <f t="shared" si="221"/>
        <v>4</v>
      </c>
      <c r="L914">
        <f t="shared" si="222"/>
        <v>14</v>
      </c>
      <c r="M914">
        <f t="shared" si="223"/>
        <v>3</v>
      </c>
      <c r="N914">
        <f>IF($H914="","",IFERROR(INDEX(_ENGINE_Risk!$T$5:$Y$499,MATCH($E914,_ENGINE_Risk!$A$5:$A$499,0),$H914+1),""))</f>
        <v>3</v>
      </c>
      <c r="O914">
        <f t="shared" si="224"/>
        <v>4</v>
      </c>
      <c r="P914">
        <f t="shared" si="225"/>
        <v>5</v>
      </c>
      <c r="Q914">
        <f t="shared" si="226"/>
        <v>5</v>
      </c>
      <c r="R914">
        <f t="shared" si="227"/>
        <v>4.5</v>
      </c>
      <c r="S914">
        <f t="shared" si="228"/>
        <v>1.54</v>
      </c>
      <c r="T914" t="str">
        <f>IF($H914="","",IFERROR(INDEX(_ENGINE_Risk!$N$5:$S$499,MATCH($E914,_ENGINE_Risk!$A$5:$A$499,0),$H914+1),""))</f>
        <v>Create an immediate risk owner, minimum control baseline and fallback procedure for change adoption management with communication, training, sponsor accountability and adoption metrics. Add it to the crisis risk register and collect first evidence.</v>
      </c>
      <c r="U914">
        <f>IFERROR(INDEX(_DATA_Assessment_Model!$G$5:$G$884,MATCH($E914,_DATA_Assessment_Model!$A$5:$A$884,0)),"")</f>
        <v>3</v>
      </c>
      <c r="V914">
        <f>IFERROR(INDEX(_DATA_Assessment_Model!$W$5:$W$884,MATCH($E914,_DATA_Assessment_Model!$A$5:$A$884,0)),"")</f>
        <v>4</v>
      </c>
      <c r="W914">
        <f>IFERROR(INDEX(_DATA_Assessment_Model!$X$5:$X$884,MATCH($E914,_DATA_Assessment_Model!$A$5:$A$884,0)),"")</f>
        <v>5</v>
      </c>
      <c r="X914">
        <f>IFERROR(INDEX(_DATA_Assessment_Model!$Y$5:$Y$884,MATCH($E914,_DATA_Assessment_Model!$A$5:$A$884,0)),"")</f>
        <v>5</v>
      </c>
      <c r="Y914" t="s">
        <v>3217</v>
      </c>
      <c r="Z914" t="s">
        <v>10298</v>
      </c>
      <c r="AA914" t="s">
        <v>3292</v>
      </c>
      <c r="AB914">
        <f>IFERROR(INDEX(_DATA_Assessment_Model!$U$5:$U$884,MATCH($E914,_DATA_Assessment_Model!$A$5:$A$884,0)),"")</f>
        <v>0</v>
      </c>
      <c r="AF914" t="s">
        <v>3291</v>
      </c>
      <c r="AO914">
        <f>IF($B914="Yes",IF(IFERROR(INDEX(_ENGINE_Crisis!$F$501:$F$517,MATCH($C914,_ENGINE_Crisis!$A$501:$A$517,0)),1)=0,1,IFERROR(INDEX(_ENGINE_Crisis!$F$501:$F$517,MATCH($C914,_ENGINE_Crisis!$A$501:$A$517,0)),1)),"")</f>
        <v>1</v>
      </c>
      <c r="AP914">
        <f t="shared" si="229"/>
        <v>14</v>
      </c>
      <c r="AQ914">
        <f t="shared" si="230"/>
        <v>1.54</v>
      </c>
      <c r="AR914" t="str">
        <f>IFERROR(INDEX(_ENGINE_Crisis!$E$41:$E$700,MATCH('Resilience &amp; Risk Scenario'!$B$6&amp;"|"&amp;$C914,_ENGINE_Crisis!$I$41:$I$700,0)),"")</f>
        <v/>
      </c>
      <c r="AS914" t="str">
        <f>IFERROR(INDEX(_ENGINE_Crisis!$G$41:$G$700,MATCH('Resilience &amp; Risk Scenario'!$B$6&amp;"|"&amp;$C914,_ENGINE_Crisis!$I$41:$I$700,0)),"")</f>
        <v/>
      </c>
      <c r="AT914" t="str">
        <f>IFERROR(INDEX(_ENGINE_Initiatives!$A$5:$A$532,MATCH(1,INDEX((_ENGINE_Initiatives!$B$5:$B$532=$C914)*(_ENGINE_Initiatives!$C$5:$C$532=$D914),0),0)),"")</f>
        <v>INI-071</v>
      </c>
      <c r="AU914" t="str">
        <f>IFERROR(INDEX(_ENGINE_Initiatives!$F$5:$F$532,MATCH(1,INDEX((_ENGINE_Initiatives!$B$5:$B$532=$C914)*(_ENGINE_Initiatives!$C$5:$C$532=$D914),0),0)),"")</f>
        <v>Implement portfolio governance, prioritization and change control</v>
      </c>
      <c r="AV914">
        <f>IFERROR(INDEX(_ENGINE_Initiatives!$AC$5:$AC$532,MATCH(1,INDEX((_ENGINE_Initiatives!$B$5:$B$532=$C914)*(_ENGINE_Initiatives!$C$5:$C$532=$D914),0),0)),"")</f>
        <v>2.54</v>
      </c>
      <c r="AW914" t="str">
        <f>IFERROR(INDEX(_ENGINE_Initiatives!$AE$5:$AE$532,MATCH(1,INDEX((_ENGINE_Initiatives!$B$5:$B$532=$C914)*(_ENGINE_Initiatives!$C$5:$C$532=$D914),0),0)),"")</f>
        <v>0-90 days</v>
      </c>
      <c r="AX914">
        <f>IF($B914="Yes",IFERROR((IF(SUMIFS(_REF_Model_Content!$E$1:$E$613,_REF_Model_Content!$A$1:$A$613,PV_Canonical_Industry,_REF_Model_Content!$B$1:$B$613,$C914)=0,1,SUMIFS(_REF_Model_Content!$E$1:$E$613,_REF_Model_Content!$A$1:$A$613,PV_Canonical_Industry,_REF_Model_Content!$B$1:$B$613,$C914))*IFERROR($BU914,1)),1),"")</f>
        <v>1</v>
      </c>
      <c r="AY914">
        <f t="shared" si="231"/>
        <v>14</v>
      </c>
      <c r="AZ914">
        <f t="shared" si="232"/>
        <v>1.54</v>
      </c>
      <c r="BB914" t="str">
        <f>IF($H914="","",IFERROR(INDEX(_ENGINE_Risk!$AE$5:$AE$499,MATCH($E914,_ENGINE_Risk!$A$5:$A$499,0)),"Medium"))</f>
        <v>Slow</v>
      </c>
      <c r="BC914">
        <f t="shared" si="233"/>
        <v>0.85</v>
      </c>
      <c r="BD914">
        <f t="shared" si="234"/>
        <v>1.54</v>
      </c>
      <c r="BF914">
        <f>IF(OR($H914="",$J914=""),"",IFERROR(VLOOKUP(ROUND($J914,0),_CONFIG_Model_Settings!$D$154:$E$158,2,0),""))</f>
        <v>0.5</v>
      </c>
      <c r="BG914">
        <f>IFERROR(IF(OR($H914="",$K914=""),"",ROUND('Company Profile'!$B$113*INDEX(_CONFIG_Model_Settings!$H$154:$H$158,MATCH(ROUND($K914,0),_CONFIG_Model_Settings!$G$154:$G$158,0)),0)),0)</f>
        <v>875</v>
      </c>
      <c r="BH914">
        <f t="shared" si="235"/>
        <v>437.5</v>
      </c>
      <c r="BI914">
        <f t="shared" si="236"/>
        <v>437.5</v>
      </c>
      <c r="BJ914">
        <f>IF($E914="","",IFERROR(VLOOKUP($C914,_CONFIG_Risk_Calibration!$A$5:$H$21,2,FALSE),3))</f>
        <v>3</v>
      </c>
      <c r="BK914">
        <f>IF($E914="","",IFERROR(VLOOKUP($C914,_CONFIG_Risk_Calibration!$A$5:$H$21,3,FALSE),0))</f>
        <v>0</v>
      </c>
      <c r="BL914">
        <f>IF($E914="","",IFERROR(VLOOKUP($C914,_CONFIG_Risk_Calibration!$A$5:$H$21,4,FALSE),3))</f>
        <v>3</v>
      </c>
      <c r="BM914">
        <f>IF($E914="","",IFERROR(VLOOKUP($C914,_CONFIG_Risk_Calibration!$A$5:$H$21,5,FALSE),3))</f>
        <v>3</v>
      </c>
      <c r="BN914" t="str">
        <f>IF($E914="","",IFERROR(VLOOKUP($C914,_CONFIG_Risk_Calibration!$A$5:$H$21,6,FALSE),"No"))</f>
        <v>Yes</v>
      </c>
      <c r="BO914">
        <f>IF($E914="","",IFERROR(VLOOKUP($C914,_CONFIG_Risk_Calibration!$A$5:$H$21,7,FALSE),1))</f>
        <v>4</v>
      </c>
      <c r="BP914">
        <f>IF($H914="","",MAX(1,MIN(5,((6-$H914)*0.45)+($BJ914*0.2)+('Resilience &amp; Risk Scenario'!$B$7*0.15)+($BK914*0.1)+($BL914*0.05)+(IF($BB914="Fast",5,IF($BB914="Slow",1,3))*0.05))))</f>
        <v>3.5</v>
      </c>
      <c r="BQ914">
        <f t="shared" si="237"/>
        <v>4</v>
      </c>
      <c r="BR914">
        <f t="shared" si="238"/>
        <v>14</v>
      </c>
      <c r="BS914">
        <f t="shared" si="239"/>
        <v>11.9</v>
      </c>
      <c r="BT914" t="str">
        <f>IFERROR(INDEX(_REF_Capability_Bridge!$D:$D,MATCH($C914&amp;"|"&amp;$D914,_REF_Capability_Bridge!$J:$J,0)),IFERROR(INDEX(_REF_Capability_Bridge!$D:$D,MATCH($C914&amp;"|",_REF_Capability_Bridge!$J:$J,0)),"CAP_GENERIC"))</f>
        <v>CAP_DELIVERY_CONTINUITY</v>
      </c>
      <c r="BU914">
        <f>IFERROR(IFERROR(INDEX(_ENGINE_Relevance!$L:$L,MATCH($BT914,_ENGINE_Relevance!$B:$B,0)),1),1)</f>
        <v>1</v>
      </c>
      <c r="BV914" t="str">
        <f>IFERROR(INDEX(_REF_Capability_Bridge!$A:$A,MATCH($C914&amp;"|"&amp;$D914,_REF_Capability_Bridge!$J:$J,0)),IFERROR(INDEX(_REF_Capability_Bridge!$A:$A,MATCH($C914&amp;"|",_REF_Capability_Bridge!$J:$J,0)),"No bridge"))</f>
        <v>BRG-073</v>
      </c>
      <c r="BW914" t="str">
        <f t="shared" si="240"/>
        <v>Capability relevance neutral</v>
      </c>
      <c r="BX914" t="str">
        <f t="shared" si="241"/>
        <v>Initial / absent</v>
      </c>
      <c r="BY914" t="str">
        <f>IF($E914="","",IFERROR(INDEX(_REF_Treatment_Library!$A$2:$A$296,MATCH(1,INDEX((_REF_Treatment_Library!$B$2:$B$296=$BT914)*(_REF_Treatment_Library!$C$2:$C$296=PV_Canonical_Industry)*(_REF_Treatment_Library!$E$2:$E$296&lt;=N($H914))*(_REF_Treatment_Library!$F$2:$F$296&gt;=N($H914))*(_REF_Treatment_Library!$O$2:$O$296="Yes"),0),0)),IFERROR(INDEX(_REF_Treatment_Library!$A$2:$A$296,MATCH(1,INDEX((_REF_Treatment_Library!$B$2:$B$296=$BT914)*(_REF_Treatment_Library!$C$2:$C$296="All")*(_REF_Treatment_Library!$E$2:$E$296&lt;=N($H914))*(_REF_Treatment_Library!$F$2:$F$296&gt;=N($H914))*(_REF_Treatment_Library!$O$2:$O$296="Yes"),0),0)),"")))</f>
        <v>TRT-DELIVERY_CONTINUITY-INITIAL</v>
      </c>
      <c r="BZ914" t="str">
        <f>IF($BY914="","",IFERROR(INDEX(_REF_Treatment_Library!$H$2:$H$296,MATCH($BY914,_REF_Treatment_Library!$A$2:$A$296,0)),""))</f>
        <v>Establish</v>
      </c>
      <c r="CA914" t="str">
        <f>IF($BY914="","",IFERROR(INDEX(_REF_Treatment_Library!$I$2:$I$296,MATCH($BY914,_REF_Treatment_Library!$A$2:$A$296,0)),""))</f>
        <v>Establish baseline controls for Delivery continuity</v>
      </c>
      <c r="CB914" t="str">
        <f>IF($BY914="","",IFERROR(INDEX(_REF_Treatment_Library!$K$2:$K$296,MATCH($BY914,_REF_Treatment_Library!$A$2:$A$296,0)),""))</f>
        <v>Named owner, baseline process, minimum control checklist, first evidence package</v>
      </c>
      <c r="CC914" t="str">
        <f>IF($BY914="","",IFERROR(INDEX(_REF_Treatment_Library!$L$2:$L$296,MATCH($BY914,_REF_Treatment_Library!$A$2:$A$296,0)),""))</f>
        <v>Owner assigned; baseline evidence coverage; open critical gaps</v>
      </c>
      <c r="CD914" t="str">
        <f t="shared" si="242"/>
        <v>Treatment by capability=CAP_DELIVERY_CONTINUITY; band=Initial / absent; score=0.0; treatment=Establish</v>
      </c>
      <c r="CE914" t="str">
        <f>IF($E914="","",IFERROR(INDEX(_REF_Industry_Wording!$A$2:$A$70,MATCH(1,INDEX((_REF_Industry_Wording!$B$2:$B$70=$BT914)*(_REF_Industry_Wording!$C$2:$C$70=PV_Canonical_Industry)*(_REF_Industry_Wording!$K$2:$K$70="Yes"),0),0)),IFERROR(INDEX(_REF_Industry_Wording!$A$2:$A$70,MATCH(1,INDEX((_REF_Industry_Wording!$B$2:$B$70=$BT914)*(_REF_Industry_Wording!$C$2:$C$70="All")*(_REF_Industry_Wording!$K$2:$K$70="Yes"),0),0)),"")))</f>
        <v>IW-ALL-DELIVERY_CONTINUITY</v>
      </c>
      <c r="CF914" t="str">
        <f>IF($CE914="","",IFERROR(INDEX(_REF_Industry_Wording!$E$2:$E$70,MATCH($CE914,_REF_Industry_Wording!$A$2:$A$70,0)),""))</f>
        <v>Delivery continuity weakness</v>
      </c>
      <c r="CG914" t="str">
        <f>IF($CE914="","",IFERROR(INDEX(_REF_Industry_Wording!$F$2:$F$70,MATCH($CE914,_REF_Industry_Wording!$A$2:$A$70,0)),""))</f>
        <v>Strengthen Delivery continuity</v>
      </c>
      <c r="CH914" t="str">
        <f>IF($CE914="","",IFERROR(INDEX(_REF_Industry_Wording!$G$2:$G$70,MATCH($CE914,_REF_Industry_Wording!$A$2:$A$70,0)),""))</f>
        <v>Strengthen Delivery continuity using the selected maturity treatment, crisis scenario and evidence requirements.</v>
      </c>
      <c r="CI914" t="str">
        <f>IF($CE914="","",IFERROR(INDEX(_REF_Industry_Wording!$H$2:$H$70,MATCH($CE914,_REF_Industry_Wording!$A$2:$A$70,0)),""))</f>
        <v>Delivery continuity</v>
      </c>
      <c r="CJ914">
        <f>IF($CE914="","",IFERROR(INDEX(_REF_Industry_Wording!$I$2:$I$70,MATCH($CE914,_REF_Industry_Wording!$A$2:$A$70,0)),""))</f>
        <v>0</v>
      </c>
      <c r="CK914" t="str">
        <f>IF($CE914="","",IFERROR(INDEX(_REF_Industry_Wording!$J$2:$J$70,MATCH($CE914,_REF_Industry_Wording!$A$2:$A$70,0)),""))</f>
        <v>Delivery continuity</v>
      </c>
      <c r="CL914" t="str">
        <f t="shared" si="243"/>
        <v>Wording by industry=0; capability=CAP_DELIVERY_CONTINUITY; risk label=Delivery continuity weakness</v>
      </c>
      <c r="CM914" t="str">
        <f t="shared" si="244"/>
        <v>RISK-ONT-0415</v>
      </c>
      <c r="CN914" t="str">
        <f t="shared" si="245"/>
        <v>RISK-EVT-0415</v>
      </c>
      <c r="CO914" t="str">
        <f t="shared" si="246"/>
        <v>Quality Portfolio|Portfolio and change|QUAL-014|CAP_DELIVERY_CONTINUITY</v>
      </c>
      <c r="CP914" t="str">
        <f t="shared" si="247"/>
        <v>Active</v>
      </c>
      <c r="CQ914" t="str">
        <f t="shared" si="248"/>
        <v>OK: capability-driven</v>
      </c>
      <c r="CR914" t="str">
        <f t="shared" si="249"/>
        <v>Risk ontology uses capability=CAP_DELIVERY_CONTINUITY; bridge=BRG-073; treatment=TRT-DELIVERY_CONTINUITY-INITIAL; wording=IW-ALL-DELIVERY_CONTINUITY</v>
      </c>
      <c r="CS914" t="str">
        <f t="shared" si="250"/>
        <v>Yes</v>
      </c>
    </row>
    <row r="915" spans="1:97">
      <c r="A915">
        <f>IF(OR($B915&lt;&gt;"Yes",$BS915=""),"",SUMPRODUCT(($B$500:$B$923="Yes")*ISNUMBER($BS$500:$BS$923)*($BS$500:$BS$923&gt;$BS915))+COUNTIFS($B$500:$B915,"Yes",$BS$500:$BS915,$BS915))</f>
        <v>366</v>
      </c>
      <c r="B915" t="str">
        <f t="shared" si="219"/>
        <v>Yes</v>
      </c>
      <c r="C915" t="s">
        <v>3204</v>
      </c>
      <c r="D915" t="s">
        <v>3225</v>
      </c>
      <c r="E915" t="s">
        <v>3293</v>
      </c>
      <c r="F915" t="s">
        <v>4507</v>
      </c>
      <c r="G915" t="str">
        <f>IF($H915="","",IFERROR(INDEX(_ENGINE_Risk!$H$5:$M$499,MATCH($E915,_ENGINE_Risk!$A$5:$A$499,0),$H915+1),""))</f>
        <v>Severe risk: improvement backlog linked to incidents, audits, customer feedback, risk and strategy is not reliably controlled. During Execution failure; Delivery disruption; Decision failure, the organization may face poor quality control, failed change execution, unmanaged portfolio trade-offs and benefit erosion with limited visibility or accountability.</v>
      </c>
      <c r="H915">
        <f>IFERROR(VALUE(INDEX(_DATA_Assessment_Model!$H$5:$H$884,MATCH($E915,_DATA_Assessment_Model!$A$5:$A$884,0))),"")</f>
        <v>0</v>
      </c>
      <c r="I915" t="str">
        <f>IF($H915="","",IFERROR(INDEX(_DATA_Assessment_Model!$L$5:$L$884,MATCH($E915,_DATA_Assessment_Model!$A$5:$A$884,0)),IF($H915&lt;=1,"Critical",IF($H915=2,"High",IF($H915=3,"Medium",IF($H915=4,"Low","Resilient"))))))</f>
        <v>Critical</v>
      </c>
      <c r="J915">
        <f t="shared" si="220"/>
        <v>3.5</v>
      </c>
      <c r="K915">
        <f t="shared" si="221"/>
        <v>4.3500000000000005</v>
      </c>
      <c r="L915">
        <f t="shared" si="222"/>
        <v>15.225000000000001</v>
      </c>
      <c r="M915">
        <f t="shared" si="223"/>
        <v>4</v>
      </c>
      <c r="N915">
        <f>IF($H915="","",IFERROR(INDEX(_ENGINE_Risk!$T$5:$Y$499,MATCH($E915,_ENGINE_Risk!$A$5:$A$499,0),$H915+1),""))</f>
        <v>3</v>
      </c>
      <c r="O915">
        <f t="shared" si="224"/>
        <v>4.666666666666667</v>
      </c>
      <c r="P915">
        <f t="shared" si="225"/>
        <v>5</v>
      </c>
      <c r="Q915">
        <f t="shared" si="226"/>
        <v>5</v>
      </c>
      <c r="R915">
        <f t="shared" si="227"/>
        <v>4.5</v>
      </c>
      <c r="S915">
        <f t="shared" si="228"/>
        <v>1.6</v>
      </c>
      <c r="T915" t="str">
        <f>IF($H915="","",IFERROR(INDEX(_ENGINE_Risk!$N$5:$S$499,MATCH($E915,_ENGINE_Risk!$A$5:$A$499,0),$H915+1),""))</f>
        <v>Create an immediate risk owner, minimum control baseline and fallback procedure for improvement backlog linked to incidents, audits, customer feedback, risk and strategy. Add it to the crisis risk register and collect first evidence.</v>
      </c>
      <c r="U915">
        <f>IFERROR(INDEX(_DATA_Assessment_Model!$G$5:$G$884,MATCH($E915,_DATA_Assessment_Model!$A$5:$A$884,0)),"")</f>
        <v>5</v>
      </c>
      <c r="V915">
        <f>IFERROR(INDEX(_DATA_Assessment_Model!$W$5:$W$884,MATCH($E915,_DATA_Assessment_Model!$A$5:$A$884,0)),"")</f>
        <v>4</v>
      </c>
      <c r="W915">
        <f>IFERROR(INDEX(_DATA_Assessment_Model!$X$5:$X$884,MATCH($E915,_DATA_Assessment_Model!$A$5:$A$884,0)),"")</f>
        <v>5</v>
      </c>
      <c r="X915">
        <f>IFERROR(INDEX(_DATA_Assessment_Model!$Y$5:$Y$884,MATCH($E915,_DATA_Assessment_Model!$A$5:$A$884,0)),"")</f>
        <v>5</v>
      </c>
      <c r="Y915" t="s">
        <v>3217</v>
      </c>
      <c r="Z915" t="s">
        <v>10298</v>
      </c>
      <c r="AA915" t="s">
        <v>3295</v>
      </c>
      <c r="AB915">
        <f>IFERROR(INDEX(_DATA_Assessment_Model!$U$5:$U$884,MATCH($E915,_DATA_Assessment_Model!$A$5:$A$884,0)),"")</f>
        <v>0</v>
      </c>
      <c r="AF915" t="s">
        <v>3294</v>
      </c>
      <c r="AO915">
        <f>IF($B915="Yes",IF(IFERROR(INDEX(_ENGINE_Crisis!$F$501:$F$517,MATCH($C915,_ENGINE_Crisis!$A$501:$A$517,0)),1)=0,1,IFERROR(INDEX(_ENGINE_Crisis!$F$501:$F$517,MATCH($C915,_ENGINE_Crisis!$A$501:$A$517,0)),1)),"")</f>
        <v>1</v>
      </c>
      <c r="AP915">
        <f t="shared" si="229"/>
        <v>15.2</v>
      </c>
      <c r="AQ915">
        <f t="shared" si="230"/>
        <v>1.6</v>
      </c>
      <c r="AR915" t="str">
        <f>IFERROR(INDEX(_ENGINE_Crisis!$E$41:$E$700,MATCH('Resilience &amp; Risk Scenario'!$B$6&amp;"|"&amp;$C915,_ENGINE_Crisis!$I$41:$I$700,0)),"")</f>
        <v/>
      </c>
      <c r="AS915" t="str">
        <f>IFERROR(INDEX(_ENGINE_Crisis!$G$41:$G$700,MATCH('Resilience &amp; Risk Scenario'!$B$6&amp;"|"&amp;$C915,_ENGINE_Crisis!$I$41:$I$700,0)),"")</f>
        <v/>
      </c>
      <c r="AT915" t="str">
        <f>IFERROR(INDEX(_ENGINE_Initiatives!$A$5:$A$532,MATCH(1,INDEX((_ENGINE_Initiatives!$B$5:$B$532=$C915)*(_ENGINE_Initiatives!$C$5:$C$532=$D915),0),0)),"")</f>
        <v>INI-071</v>
      </c>
      <c r="AU915" t="str">
        <f>IFERROR(INDEX(_ENGINE_Initiatives!$F$5:$F$532,MATCH(1,INDEX((_ENGINE_Initiatives!$B$5:$B$532=$C915)*(_ENGINE_Initiatives!$C$5:$C$532=$D915),0),0)),"")</f>
        <v>Implement portfolio governance, prioritization and change control</v>
      </c>
      <c r="AV915">
        <f>IFERROR(INDEX(_ENGINE_Initiatives!$AC$5:$AC$532,MATCH(1,INDEX((_ENGINE_Initiatives!$B$5:$B$532=$C915)*(_ENGINE_Initiatives!$C$5:$C$532=$D915),0),0)),"")</f>
        <v>2.54</v>
      </c>
      <c r="AW915" t="str">
        <f>IFERROR(INDEX(_ENGINE_Initiatives!$AE$5:$AE$532,MATCH(1,INDEX((_ENGINE_Initiatives!$B$5:$B$532=$C915)*(_ENGINE_Initiatives!$C$5:$C$532=$D915),0),0)),"")</f>
        <v>0-90 days</v>
      </c>
      <c r="AX915">
        <f>IF($B915="Yes",IFERROR((IF(SUMIFS(_REF_Model_Content!$E$1:$E$613,_REF_Model_Content!$A$1:$A$613,PV_Canonical_Industry,_REF_Model_Content!$B$1:$B$613,$C915)=0,1,SUMIFS(_REF_Model_Content!$E$1:$E$613,_REF_Model_Content!$A$1:$A$613,PV_Canonical_Industry,_REF_Model_Content!$B$1:$B$613,$C915))*IFERROR($BU915,1)),1),"")</f>
        <v>1</v>
      </c>
      <c r="AY915">
        <f t="shared" si="231"/>
        <v>15.2</v>
      </c>
      <c r="AZ915">
        <f t="shared" si="232"/>
        <v>1.6</v>
      </c>
      <c r="BB915" t="str">
        <f>IF($H915="","",IFERROR(INDEX(_ENGINE_Risk!$AE$5:$AE$499,MATCH($E915,_ENGINE_Risk!$A$5:$A$499,0)),"Medium"))</f>
        <v>Slow</v>
      </c>
      <c r="BC915">
        <f t="shared" si="233"/>
        <v>0.85</v>
      </c>
      <c r="BD915">
        <f t="shared" si="234"/>
        <v>1.6</v>
      </c>
      <c r="BF915">
        <f>IF(OR($H915="",$J915=""),"",IFERROR(VLOOKUP(ROUND($J915,0),_CONFIG_Model_Settings!$D$154:$E$158,2,0),""))</f>
        <v>0.5</v>
      </c>
      <c r="BG915">
        <f>IFERROR(IF(OR($H915="",$K915=""),"",ROUND('Company Profile'!$B$113*INDEX(_CONFIG_Model_Settings!$H$154:$H$158,MATCH(ROUND($K915,0),_CONFIG_Model_Settings!$G$154:$G$158,0)),0)),0)</f>
        <v>875</v>
      </c>
      <c r="BH915">
        <f t="shared" si="235"/>
        <v>437.5</v>
      </c>
      <c r="BI915">
        <f t="shared" si="236"/>
        <v>437.5</v>
      </c>
      <c r="BJ915">
        <f>IF($E915="","",IFERROR(VLOOKUP($C915,_CONFIG_Risk_Calibration!$A$5:$H$21,2,FALSE),3))</f>
        <v>3</v>
      </c>
      <c r="BK915">
        <f>IF($E915="","",IFERROR(VLOOKUP($C915,_CONFIG_Risk_Calibration!$A$5:$H$21,3,FALSE),0))</f>
        <v>0</v>
      </c>
      <c r="BL915">
        <f>IF($E915="","",IFERROR(VLOOKUP($C915,_CONFIG_Risk_Calibration!$A$5:$H$21,4,FALSE),3))</f>
        <v>3</v>
      </c>
      <c r="BM915">
        <f>IF($E915="","",IFERROR(VLOOKUP($C915,_CONFIG_Risk_Calibration!$A$5:$H$21,5,FALSE),3))</f>
        <v>3</v>
      </c>
      <c r="BN915" t="str">
        <f>IF($E915="","",IFERROR(VLOOKUP($C915,_CONFIG_Risk_Calibration!$A$5:$H$21,6,FALSE),"No"))</f>
        <v>Yes</v>
      </c>
      <c r="BO915">
        <f>IF($E915="","",IFERROR(VLOOKUP($C915,_CONFIG_Risk_Calibration!$A$5:$H$21,7,FALSE),1))</f>
        <v>4</v>
      </c>
      <c r="BP915">
        <f>IF($H915="","",MAX(1,MIN(5,((6-$H915)*0.45)+($BJ915*0.2)+('Resilience &amp; Risk Scenario'!$B$7*0.15)+($BK915*0.1)+($BL915*0.05)+(IF($BB915="Fast",5,IF($BB915="Slow",1,3))*0.05))))</f>
        <v>3.5</v>
      </c>
      <c r="BQ915">
        <f t="shared" si="237"/>
        <v>4.3500000000000005</v>
      </c>
      <c r="BR915">
        <f t="shared" si="238"/>
        <v>15.23</v>
      </c>
      <c r="BS915">
        <f t="shared" si="239"/>
        <v>12.95</v>
      </c>
      <c r="BT915" t="str">
        <f>IFERROR(INDEX(_REF_Capability_Bridge!$D:$D,MATCH($C915&amp;"|"&amp;$D915,_REF_Capability_Bridge!$J:$J,0)),IFERROR(INDEX(_REF_Capability_Bridge!$D:$D,MATCH($C915&amp;"|",_REF_Capability_Bridge!$J:$J,0)),"CAP_GENERIC"))</f>
        <v>CAP_DELIVERY_CONTINUITY</v>
      </c>
      <c r="BU915">
        <f>IFERROR(IFERROR(INDEX(_ENGINE_Relevance!$L:$L,MATCH($BT915,_ENGINE_Relevance!$B:$B,0)),1),1)</f>
        <v>1</v>
      </c>
      <c r="BV915" t="str">
        <f>IFERROR(INDEX(_REF_Capability_Bridge!$A:$A,MATCH($C915&amp;"|"&amp;$D915,_REF_Capability_Bridge!$J:$J,0)),IFERROR(INDEX(_REF_Capability_Bridge!$A:$A,MATCH($C915&amp;"|",_REF_Capability_Bridge!$J:$J,0)),"No bridge"))</f>
        <v>BRG-073</v>
      </c>
      <c r="BW915" t="str">
        <f t="shared" si="240"/>
        <v>Capability relevance neutral</v>
      </c>
      <c r="BX915" t="str">
        <f t="shared" si="241"/>
        <v>Initial / absent</v>
      </c>
      <c r="BY915" t="str">
        <f>IF($E915="","",IFERROR(INDEX(_REF_Treatment_Library!$A$2:$A$296,MATCH(1,INDEX((_REF_Treatment_Library!$B$2:$B$296=$BT915)*(_REF_Treatment_Library!$C$2:$C$296=PV_Canonical_Industry)*(_REF_Treatment_Library!$E$2:$E$296&lt;=N($H915))*(_REF_Treatment_Library!$F$2:$F$296&gt;=N($H915))*(_REF_Treatment_Library!$O$2:$O$296="Yes"),0),0)),IFERROR(INDEX(_REF_Treatment_Library!$A$2:$A$296,MATCH(1,INDEX((_REF_Treatment_Library!$B$2:$B$296=$BT915)*(_REF_Treatment_Library!$C$2:$C$296="All")*(_REF_Treatment_Library!$E$2:$E$296&lt;=N($H915))*(_REF_Treatment_Library!$F$2:$F$296&gt;=N($H915))*(_REF_Treatment_Library!$O$2:$O$296="Yes"),0),0)),"")))</f>
        <v>TRT-DELIVERY_CONTINUITY-INITIAL</v>
      </c>
      <c r="BZ915" t="str">
        <f>IF($BY915="","",IFERROR(INDEX(_REF_Treatment_Library!$H$2:$H$296,MATCH($BY915,_REF_Treatment_Library!$A$2:$A$296,0)),""))</f>
        <v>Establish</v>
      </c>
      <c r="CA915" t="str">
        <f>IF($BY915="","",IFERROR(INDEX(_REF_Treatment_Library!$I$2:$I$296,MATCH($BY915,_REF_Treatment_Library!$A$2:$A$296,0)),""))</f>
        <v>Establish baseline controls for Delivery continuity</v>
      </c>
      <c r="CB915" t="str">
        <f>IF($BY915="","",IFERROR(INDEX(_REF_Treatment_Library!$K$2:$K$296,MATCH($BY915,_REF_Treatment_Library!$A$2:$A$296,0)),""))</f>
        <v>Named owner, baseline process, minimum control checklist, first evidence package</v>
      </c>
      <c r="CC915" t="str">
        <f>IF($BY915="","",IFERROR(INDEX(_REF_Treatment_Library!$L$2:$L$296,MATCH($BY915,_REF_Treatment_Library!$A$2:$A$296,0)),""))</f>
        <v>Owner assigned; baseline evidence coverage; open critical gaps</v>
      </c>
      <c r="CD915" t="str">
        <f t="shared" si="242"/>
        <v>Treatment by capability=CAP_DELIVERY_CONTINUITY; band=Initial / absent; score=0.0; treatment=Establish</v>
      </c>
      <c r="CE915" t="str">
        <f>IF($E915="","",IFERROR(INDEX(_REF_Industry_Wording!$A$2:$A$70,MATCH(1,INDEX((_REF_Industry_Wording!$B$2:$B$70=$BT915)*(_REF_Industry_Wording!$C$2:$C$70=PV_Canonical_Industry)*(_REF_Industry_Wording!$K$2:$K$70="Yes"),0),0)),IFERROR(INDEX(_REF_Industry_Wording!$A$2:$A$70,MATCH(1,INDEX((_REF_Industry_Wording!$B$2:$B$70=$BT915)*(_REF_Industry_Wording!$C$2:$C$70="All")*(_REF_Industry_Wording!$K$2:$K$70="Yes"),0),0)),"")))</f>
        <v>IW-ALL-DELIVERY_CONTINUITY</v>
      </c>
      <c r="CF915" t="str">
        <f>IF($CE915="","",IFERROR(INDEX(_REF_Industry_Wording!$E$2:$E$70,MATCH($CE915,_REF_Industry_Wording!$A$2:$A$70,0)),""))</f>
        <v>Delivery continuity weakness</v>
      </c>
      <c r="CG915" t="str">
        <f>IF($CE915="","",IFERROR(INDEX(_REF_Industry_Wording!$F$2:$F$70,MATCH($CE915,_REF_Industry_Wording!$A$2:$A$70,0)),""))</f>
        <v>Strengthen Delivery continuity</v>
      </c>
      <c r="CH915" t="str">
        <f>IF($CE915="","",IFERROR(INDEX(_REF_Industry_Wording!$G$2:$G$70,MATCH($CE915,_REF_Industry_Wording!$A$2:$A$70,0)),""))</f>
        <v>Strengthen Delivery continuity using the selected maturity treatment, crisis scenario and evidence requirements.</v>
      </c>
      <c r="CI915" t="str">
        <f>IF($CE915="","",IFERROR(INDEX(_REF_Industry_Wording!$H$2:$H$70,MATCH($CE915,_REF_Industry_Wording!$A$2:$A$70,0)),""))</f>
        <v>Delivery continuity</v>
      </c>
      <c r="CJ915">
        <f>IF($CE915="","",IFERROR(INDEX(_REF_Industry_Wording!$I$2:$I$70,MATCH($CE915,_REF_Industry_Wording!$A$2:$A$70,0)),""))</f>
        <v>0</v>
      </c>
      <c r="CK915" t="str">
        <f>IF($CE915="","",IFERROR(INDEX(_REF_Industry_Wording!$J$2:$J$70,MATCH($CE915,_REF_Industry_Wording!$A$2:$A$70,0)),""))</f>
        <v>Delivery continuity</v>
      </c>
      <c r="CL915" t="str">
        <f t="shared" si="243"/>
        <v>Wording by industry=0; capability=CAP_DELIVERY_CONTINUITY; risk label=Delivery continuity weakness</v>
      </c>
      <c r="CM915" t="str">
        <f t="shared" si="244"/>
        <v>RISK-ONT-0416</v>
      </c>
      <c r="CN915" t="str">
        <f t="shared" si="245"/>
        <v>RISK-EVT-0416</v>
      </c>
      <c r="CO915" t="str">
        <f t="shared" si="246"/>
        <v>Quality Portfolio|Portfolio and change|QUAL-015|CAP_DELIVERY_CONTINUITY</v>
      </c>
      <c r="CP915" t="str">
        <f t="shared" si="247"/>
        <v>Active</v>
      </c>
      <c r="CQ915" t="str">
        <f t="shared" si="248"/>
        <v>OK: capability-driven</v>
      </c>
      <c r="CR915" t="str">
        <f t="shared" si="249"/>
        <v>Risk ontology uses capability=CAP_DELIVERY_CONTINUITY; bridge=BRG-073; treatment=TRT-DELIVERY_CONTINUITY-INITIAL; wording=IW-ALL-DELIVERY_CONTINUITY</v>
      </c>
      <c r="CS915" t="str">
        <f t="shared" si="250"/>
        <v>Yes</v>
      </c>
    </row>
    <row r="916" spans="1:97">
      <c r="A916">
        <f>IF(OR($B916&lt;&gt;"Yes",$BS916=""),"",SUMPRODUCT(($B$500:$B$923="Yes")*ISNUMBER($BS$500:$BS$923)*($BS$500:$BS$923&gt;$BS916))+COUNTIFS($B$500:$B916,"Yes",$BS$500:$BS916,$BS916))</f>
        <v>367</v>
      </c>
      <c r="B916" t="str">
        <f t="shared" si="219"/>
        <v>Yes</v>
      </c>
      <c r="C916" t="s">
        <v>3204</v>
      </c>
      <c r="D916" t="s">
        <v>3235</v>
      </c>
      <c r="E916" t="s">
        <v>3296</v>
      </c>
      <c r="F916" t="s">
        <v>4507</v>
      </c>
      <c r="G916" t="str">
        <f>IF($H916="","",IFERROR(INDEX(_ENGINE_Risk!$H$5:$M$499,MATCH($E916,_ENGINE_Risk!$A$5:$A$499,0),$H916+1),""))</f>
        <v>Severe risk: KPI hierarchy from strategy to functions, processes, teams and crisis readiness is not reliably controlled. During Execution failure; Delivery disruption; Decision failure, the organization may face poor quality control, failed change execution, unmanaged portfolio trade-offs and benefit erosion with limited visibility or accountability.</v>
      </c>
      <c r="H916">
        <f>IFERROR(VALUE(INDEX(_DATA_Assessment_Model!$H$5:$H$884,MATCH($E916,_DATA_Assessment_Model!$A$5:$A$884,0))),"")</f>
        <v>0</v>
      </c>
      <c r="I916" t="str">
        <f>IF($H916="","",IFERROR(INDEX(_DATA_Assessment_Model!$L$5:$L$884,MATCH($E916,_DATA_Assessment_Model!$A$5:$A$884,0)),IF($H916&lt;=1,"Critical",IF($H916=2,"High",IF($H916=3,"Medium",IF($H916=4,"Low","Resilient"))))))</f>
        <v>Critical</v>
      </c>
      <c r="J916">
        <f t="shared" si="220"/>
        <v>3.5</v>
      </c>
      <c r="K916">
        <f t="shared" si="221"/>
        <v>4.3500000000000005</v>
      </c>
      <c r="L916">
        <f t="shared" si="222"/>
        <v>15.225000000000001</v>
      </c>
      <c r="M916">
        <f t="shared" si="223"/>
        <v>4</v>
      </c>
      <c r="N916">
        <f>IF($H916="","",IFERROR(INDEX(_ENGINE_Risk!$T$5:$Y$499,MATCH($E916,_ENGINE_Risk!$A$5:$A$499,0),$H916+1),""))</f>
        <v>3</v>
      </c>
      <c r="O916">
        <f t="shared" si="224"/>
        <v>4.666666666666667</v>
      </c>
      <c r="P916">
        <f t="shared" si="225"/>
        <v>5</v>
      </c>
      <c r="Q916">
        <f t="shared" si="226"/>
        <v>5</v>
      </c>
      <c r="R916">
        <f t="shared" si="227"/>
        <v>4.5</v>
      </c>
      <c r="S916">
        <f t="shared" si="228"/>
        <v>1.6</v>
      </c>
      <c r="T916" t="str">
        <f>IF($H916="","",IFERROR(INDEX(_ENGINE_Risk!$N$5:$S$499,MATCH($E916,_ENGINE_Risk!$A$5:$A$499,0),$H916+1),""))</f>
        <v>Create an immediate risk owner, minimum control baseline and fallback procedure for KPI hierarchy from strategy to functions, processes, teams and crisis readiness. Add it to the crisis risk register and collect first evidence.</v>
      </c>
      <c r="U916">
        <f>IFERROR(INDEX(_DATA_Assessment_Model!$G$5:$G$884,MATCH($E916,_DATA_Assessment_Model!$A$5:$A$884,0)),"")</f>
        <v>5</v>
      </c>
      <c r="V916">
        <f>IFERROR(INDEX(_DATA_Assessment_Model!$W$5:$W$884,MATCH($E916,_DATA_Assessment_Model!$A$5:$A$884,0)),"")</f>
        <v>4</v>
      </c>
      <c r="W916">
        <f>IFERROR(INDEX(_DATA_Assessment_Model!$X$5:$X$884,MATCH($E916,_DATA_Assessment_Model!$A$5:$A$884,0)),"")</f>
        <v>5</v>
      </c>
      <c r="X916">
        <f>IFERROR(INDEX(_DATA_Assessment_Model!$Y$5:$Y$884,MATCH($E916,_DATA_Assessment_Model!$A$5:$A$884,0)),"")</f>
        <v>5</v>
      </c>
      <c r="Y916" t="s">
        <v>3217</v>
      </c>
      <c r="Z916" t="s">
        <v>10298</v>
      </c>
      <c r="AA916" t="s">
        <v>3298</v>
      </c>
      <c r="AB916">
        <f>IFERROR(INDEX(_DATA_Assessment_Model!$U$5:$U$884,MATCH($E916,_DATA_Assessment_Model!$A$5:$A$884,0)),"")</f>
        <v>0</v>
      </c>
      <c r="AF916" t="s">
        <v>3297</v>
      </c>
      <c r="AO916">
        <f>IF($B916="Yes",IF(IFERROR(INDEX(_ENGINE_Crisis!$F$501:$F$517,MATCH($C916,_ENGINE_Crisis!$A$501:$A$517,0)),1)=0,1,IFERROR(INDEX(_ENGINE_Crisis!$F$501:$F$517,MATCH($C916,_ENGINE_Crisis!$A$501:$A$517,0)),1)),"")</f>
        <v>1</v>
      </c>
      <c r="AP916">
        <f t="shared" si="229"/>
        <v>15.2</v>
      </c>
      <c r="AQ916">
        <f t="shared" si="230"/>
        <v>1.6</v>
      </c>
      <c r="AR916" t="str">
        <f>IFERROR(INDEX(_ENGINE_Crisis!$E$41:$E$700,MATCH('Resilience &amp; Risk Scenario'!$B$6&amp;"|"&amp;$C916,_ENGINE_Crisis!$I$41:$I$700,0)),"")</f>
        <v/>
      </c>
      <c r="AS916" t="str">
        <f>IFERROR(INDEX(_ENGINE_Crisis!$G$41:$G$700,MATCH('Resilience &amp; Risk Scenario'!$B$6&amp;"|"&amp;$C916,_ENGINE_Crisis!$I$41:$I$700,0)),"")</f>
        <v/>
      </c>
      <c r="AT916" t="str">
        <f>IFERROR(INDEX(_ENGINE_Initiatives!$A$5:$A$532,MATCH(1,INDEX((_ENGINE_Initiatives!$B$5:$B$532=$C916)*(_ENGINE_Initiatives!$C$5:$C$532=$D916),0),0)),"")</f>
        <v>INI-072</v>
      </c>
      <c r="AU916" t="str">
        <f>IFERROR(INDEX(_ENGINE_Initiatives!$F$5:$F$532,MATCH(1,INDEX((_ENGINE_Initiatives!$B$5:$B$532=$C916)*(_ENGINE_Initiatives!$C$5:$C$532=$D916),0),0)),"")</f>
        <v>Integrate management system, KPIs and continual improvement cycle</v>
      </c>
      <c r="AV916">
        <f>IFERROR(INDEX(_ENGINE_Initiatives!$AC$5:$AC$532,MATCH(1,INDEX((_ENGINE_Initiatives!$B$5:$B$532=$C916)*(_ENGINE_Initiatives!$C$5:$C$532=$D916),0),0)),"")</f>
        <v>2.5099999999999998</v>
      </c>
      <c r="AW916" t="str">
        <f>IFERROR(INDEX(_ENGINE_Initiatives!$AE$5:$AE$532,MATCH(1,INDEX((_ENGINE_Initiatives!$B$5:$B$532=$C916)*(_ENGINE_Initiatives!$C$5:$C$532=$D916),0),0)),"")</f>
        <v>3-6 months</v>
      </c>
      <c r="AX916">
        <f>IF($B916="Yes",IFERROR((IF(SUMIFS(_REF_Model_Content!$E$1:$E$613,_REF_Model_Content!$A$1:$A$613,PV_Canonical_Industry,_REF_Model_Content!$B$1:$B$613,$C916)=0,1,SUMIFS(_REF_Model_Content!$E$1:$E$613,_REF_Model_Content!$A$1:$A$613,PV_Canonical_Industry,_REF_Model_Content!$B$1:$B$613,$C916))*IFERROR($BU916,1)),1),"")</f>
        <v>1</v>
      </c>
      <c r="AY916">
        <f t="shared" si="231"/>
        <v>15.2</v>
      </c>
      <c r="AZ916">
        <f t="shared" si="232"/>
        <v>1.6</v>
      </c>
      <c r="BB916" t="str">
        <f>IF($H916="","",IFERROR(INDEX(_ENGINE_Risk!$AE$5:$AE$499,MATCH($E916,_ENGINE_Risk!$A$5:$A$499,0)),"Medium"))</f>
        <v>Slow</v>
      </c>
      <c r="BC916">
        <f t="shared" si="233"/>
        <v>0.85</v>
      </c>
      <c r="BD916">
        <f t="shared" si="234"/>
        <v>1.6</v>
      </c>
      <c r="BF916">
        <f>IF(OR($H916="",$J916=""),"",IFERROR(VLOOKUP(ROUND($J916,0),_CONFIG_Model_Settings!$D$154:$E$158,2,0),""))</f>
        <v>0.5</v>
      </c>
      <c r="BG916">
        <f>IFERROR(IF(OR($H916="",$K916=""),"",ROUND('Company Profile'!$B$113*INDEX(_CONFIG_Model_Settings!$H$154:$H$158,MATCH(ROUND($K916,0),_CONFIG_Model_Settings!$G$154:$G$158,0)),0)),0)</f>
        <v>875</v>
      </c>
      <c r="BH916">
        <f t="shared" si="235"/>
        <v>437.5</v>
      </c>
      <c r="BI916">
        <f t="shared" si="236"/>
        <v>437.5</v>
      </c>
      <c r="BJ916">
        <f>IF($E916="","",IFERROR(VLOOKUP($C916,_CONFIG_Risk_Calibration!$A$5:$H$21,2,FALSE),3))</f>
        <v>3</v>
      </c>
      <c r="BK916">
        <f>IF($E916="","",IFERROR(VLOOKUP($C916,_CONFIG_Risk_Calibration!$A$5:$H$21,3,FALSE),0))</f>
        <v>0</v>
      </c>
      <c r="BL916">
        <f>IF($E916="","",IFERROR(VLOOKUP($C916,_CONFIG_Risk_Calibration!$A$5:$H$21,4,FALSE),3))</f>
        <v>3</v>
      </c>
      <c r="BM916">
        <f>IF($E916="","",IFERROR(VLOOKUP($C916,_CONFIG_Risk_Calibration!$A$5:$H$21,5,FALSE),3))</f>
        <v>3</v>
      </c>
      <c r="BN916" t="str">
        <f>IF($E916="","",IFERROR(VLOOKUP($C916,_CONFIG_Risk_Calibration!$A$5:$H$21,6,FALSE),"No"))</f>
        <v>Yes</v>
      </c>
      <c r="BO916">
        <f>IF($E916="","",IFERROR(VLOOKUP($C916,_CONFIG_Risk_Calibration!$A$5:$H$21,7,FALSE),1))</f>
        <v>4</v>
      </c>
      <c r="BP916">
        <f>IF($H916="","",MAX(1,MIN(5,((6-$H916)*0.45)+($BJ916*0.2)+('Resilience &amp; Risk Scenario'!$B$7*0.15)+($BK916*0.1)+($BL916*0.05)+(IF($BB916="Fast",5,IF($BB916="Slow",1,3))*0.05))))</f>
        <v>3.5</v>
      </c>
      <c r="BQ916">
        <f t="shared" si="237"/>
        <v>4.3500000000000005</v>
      </c>
      <c r="BR916">
        <f t="shared" si="238"/>
        <v>15.23</v>
      </c>
      <c r="BS916">
        <f t="shared" si="239"/>
        <v>12.95</v>
      </c>
      <c r="BT916" t="str">
        <f>IFERROR(INDEX(_REF_Capability_Bridge!$D:$D,MATCH($C916&amp;"|"&amp;$D916,_REF_Capability_Bridge!$J:$J,0)),IFERROR(INDEX(_REF_Capability_Bridge!$D:$D,MATCH($C916&amp;"|",_REF_Capability_Bridge!$J:$J,0)),"CAP_GENERIC"))</f>
        <v>CAP_BUSINESS_SYSTEMS</v>
      </c>
      <c r="BU916">
        <f>IFERROR(IFERROR(INDEX(_ENGINE_Relevance!$L:$L,MATCH($BT916,_ENGINE_Relevance!$B:$B,0)),1),1)</f>
        <v>1</v>
      </c>
      <c r="BV916" t="str">
        <f>IFERROR(INDEX(_REF_Capability_Bridge!$A:$A,MATCH($C916&amp;"|"&amp;$D916,_REF_Capability_Bridge!$J:$J,0)),IFERROR(INDEX(_REF_Capability_Bridge!$A:$A,MATCH($C916&amp;"|",_REF_Capability_Bridge!$J:$J,0)),"No bridge"))</f>
        <v>BRG-072</v>
      </c>
      <c r="BW916" t="str">
        <f t="shared" si="240"/>
        <v>Capability relevance neutral</v>
      </c>
      <c r="BX916" t="str">
        <f t="shared" si="241"/>
        <v>Initial / absent</v>
      </c>
      <c r="BY916" t="str">
        <f>IF($E916="","",IFERROR(INDEX(_REF_Treatment_Library!$A$2:$A$296,MATCH(1,INDEX((_REF_Treatment_Library!$B$2:$B$296=$BT916)*(_REF_Treatment_Library!$C$2:$C$296=PV_Canonical_Industry)*(_REF_Treatment_Library!$E$2:$E$296&lt;=N($H916))*(_REF_Treatment_Library!$F$2:$F$296&gt;=N($H916))*(_REF_Treatment_Library!$O$2:$O$296="Yes"),0),0)),IFERROR(INDEX(_REF_Treatment_Library!$A$2:$A$296,MATCH(1,INDEX((_REF_Treatment_Library!$B$2:$B$296=$BT916)*(_REF_Treatment_Library!$C$2:$C$296="All")*(_REF_Treatment_Library!$E$2:$E$296&lt;=N($H916))*(_REF_Treatment_Library!$F$2:$F$296&gt;=N($H916))*(_REF_Treatment_Library!$O$2:$O$296="Yes"),0),0)),"")))</f>
        <v>TRT-BUSINESS_SYSTEMS-INITIAL</v>
      </c>
      <c r="BZ916" t="str">
        <f>IF($BY916="","",IFERROR(INDEX(_REF_Treatment_Library!$H$2:$H$296,MATCH($BY916,_REF_Treatment_Library!$A$2:$A$296,0)),""))</f>
        <v>Establish</v>
      </c>
      <c r="CA916" t="str">
        <f>IF($BY916="","",IFERROR(INDEX(_REF_Treatment_Library!$I$2:$I$296,MATCH($BY916,_REF_Treatment_Library!$A$2:$A$296,0)),""))</f>
        <v>Establish baseline controls for Generic business systems</v>
      </c>
      <c r="CB916" t="str">
        <f>IF($BY916="","",IFERROR(INDEX(_REF_Treatment_Library!$K$2:$K$296,MATCH($BY916,_REF_Treatment_Library!$A$2:$A$296,0)),""))</f>
        <v>Named owner, baseline process, minimum control checklist, first evidence package</v>
      </c>
      <c r="CC916" t="str">
        <f>IF($BY916="","",IFERROR(INDEX(_REF_Treatment_Library!$L$2:$L$296,MATCH($BY916,_REF_Treatment_Library!$A$2:$A$296,0)),""))</f>
        <v>Owner assigned; baseline evidence coverage; open critical gaps</v>
      </c>
      <c r="CD916" t="str">
        <f t="shared" si="242"/>
        <v>Treatment by capability=CAP_BUSINESS_SYSTEMS; band=Initial / absent; score=0.0; treatment=Establish</v>
      </c>
      <c r="CE916" t="str">
        <f>IF($E916="","",IFERROR(INDEX(_REF_Industry_Wording!$A$2:$A$70,MATCH(1,INDEX((_REF_Industry_Wording!$B$2:$B$70=$BT916)*(_REF_Industry_Wording!$C$2:$C$70=PV_Canonical_Industry)*(_REF_Industry_Wording!$K$2:$K$70="Yes"),0),0)),IFERROR(INDEX(_REF_Industry_Wording!$A$2:$A$70,MATCH(1,INDEX((_REF_Industry_Wording!$B$2:$B$70=$BT916)*(_REF_Industry_Wording!$C$2:$C$70="All")*(_REF_Industry_Wording!$K$2:$K$70="Yes"),0),0)),"")))</f>
        <v>IW-ALL-BUSINESS_SYSTEMS</v>
      </c>
      <c r="CF916" t="str">
        <f>IF($CE916="","",IFERROR(INDEX(_REF_Industry_Wording!$E$2:$E$70,MATCH($CE916,_REF_Industry_Wording!$A$2:$A$70,0)),""))</f>
        <v>Generic business systems weakness</v>
      </c>
      <c r="CG916" t="str">
        <f>IF($CE916="","",IFERROR(INDEX(_REF_Industry_Wording!$F$2:$F$70,MATCH($CE916,_REF_Industry_Wording!$A$2:$A$70,0)),""))</f>
        <v>Strengthen Generic business systems</v>
      </c>
      <c r="CH916" t="str">
        <f>IF($CE916="","",IFERROR(INDEX(_REF_Industry_Wording!$G$2:$G$70,MATCH($CE916,_REF_Industry_Wording!$A$2:$A$70,0)),""))</f>
        <v>Strengthen Generic business systems using the selected maturity treatment, crisis scenario and evidence requirements.</v>
      </c>
      <c r="CI916" t="str">
        <f>IF($CE916="","",IFERROR(INDEX(_REF_Industry_Wording!$H$2:$H$70,MATCH($CE916,_REF_Industry_Wording!$A$2:$A$70,0)),""))</f>
        <v>Generic business systems</v>
      </c>
      <c r="CJ916">
        <f>IF($CE916="","",IFERROR(INDEX(_REF_Industry_Wording!$I$2:$I$70,MATCH($CE916,_REF_Industry_Wording!$A$2:$A$70,0)),""))</f>
        <v>0</v>
      </c>
      <c r="CK916" t="str">
        <f>IF($CE916="","",IFERROR(INDEX(_REF_Industry_Wording!$J$2:$J$70,MATCH($CE916,_REF_Industry_Wording!$A$2:$A$70,0)),""))</f>
        <v>Generic business systems</v>
      </c>
      <c r="CL916" t="str">
        <f t="shared" si="243"/>
        <v>Wording by industry=0; capability=CAP_BUSINESS_SYSTEMS; risk label=Generic business systems weakness</v>
      </c>
      <c r="CM916" t="str">
        <f t="shared" si="244"/>
        <v>RISK-ONT-0417</v>
      </c>
      <c r="CN916" t="str">
        <f t="shared" si="245"/>
        <v>RISK-EVT-0417</v>
      </c>
      <c r="CO916" t="str">
        <f t="shared" si="246"/>
        <v>Quality Portfolio|Management system|QUAL-016|CAP_BUSINESS_SYSTEMS</v>
      </c>
      <c r="CP916" t="str">
        <f t="shared" si="247"/>
        <v>Active</v>
      </c>
      <c r="CQ916" t="str">
        <f t="shared" si="248"/>
        <v>OK: capability-driven</v>
      </c>
      <c r="CR916" t="str">
        <f t="shared" si="249"/>
        <v>Risk ontology uses capability=CAP_BUSINESS_SYSTEMS; bridge=BRG-072; treatment=TRT-BUSINESS_SYSTEMS-INITIAL; wording=IW-ALL-BUSINESS_SYSTEMS</v>
      </c>
      <c r="CS916" t="str">
        <f t="shared" si="250"/>
        <v>Yes</v>
      </c>
    </row>
    <row r="917" spans="1:97">
      <c r="A917">
        <f>IF(OR($B917&lt;&gt;"Yes",$BS917=""),"",SUMPRODUCT(($B$500:$B$923="Yes")*ISNUMBER($BS$500:$BS$923)*($BS$500:$BS$923&gt;$BS917))+COUNTIFS($B$500:$B917,"Yes",$BS$500:$BS917,$BS917))</f>
        <v>368</v>
      </c>
      <c r="B917" t="str">
        <f t="shared" si="219"/>
        <v>Yes</v>
      </c>
      <c r="C917" t="s">
        <v>3204</v>
      </c>
      <c r="D917" t="s">
        <v>3235</v>
      </c>
      <c r="E917" t="s">
        <v>3299</v>
      </c>
      <c r="F917" t="s">
        <v>4507</v>
      </c>
      <c r="G917" t="str">
        <f>IF($H917="","",IFERROR(INDEX(_ENGINE_Risk!$H$5:$M$499,MATCH($E917,_ENGINE_Risk!$A$5:$A$499,0),$H917+1),""))</f>
        <v>Severe risk: management review of performance, risks, audit findings, incidents, customers and improvements is not reliably controlled. During Execution failure; Delivery disruption; Decision failure, the organization may face poor quality control, failed change execution, unmanaged portfolio trade-offs and benefit erosion with limited visibility or accountability.</v>
      </c>
      <c r="H917">
        <f>IFERROR(VALUE(INDEX(_DATA_Assessment_Model!$H$5:$H$884,MATCH($E917,_DATA_Assessment_Model!$A$5:$A$884,0))),"")</f>
        <v>0</v>
      </c>
      <c r="I917" t="str">
        <f>IF($H917="","",IFERROR(INDEX(_DATA_Assessment_Model!$L$5:$L$884,MATCH($E917,_DATA_Assessment_Model!$A$5:$A$884,0)),IF($H917&lt;=1,"Critical",IF($H917=2,"High",IF($H917=3,"Medium",IF($H917=4,"Low","Resilient"))))))</f>
        <v>Critical</v>
      </c>
      <c r="J917">
        <f t="shared" si="220"/>
        <v>3.5</v>
      </c>
      <c r="K917">
        <f t="shared" si="221"/>
        <v>4.3500000000000005</v>
      </c>
      <c r="L917">
        <f t="shared" si="222"/>
        <v>15.225000000000001</v>
      </c>
      <c r="M917">
        <f t="shared" si="223"/>
        <v>4</v>
      </c>
      <c r="N917">
        <f>IF($H917="","",IFERROR(INDEX(_ENGINE_Risk!$T$5:$Y$499,MATCH($E917,_ENGINE_Risk!$A$5:$A$499,0),$H917+1),""))</f>
        <v>3</v>
      </c>
      <c r="O917">
        <f t="shared" si="224"/>
        <v>4.666666666666667</v>
      </c>
      <c r="P917">
        <f t="shared" si="225"/>
        <v>5</v>
      </c>
      <c r="Q917">
        <f t="shared" si="226"/>
        <v>5</v>
      </c>
      <c r="R917">
        <f t="shared" si="227"/>
        <v>4.5</v>
      </c>
      <c r="S917">
        <f t="shared" si="228"/>
        <v>1.6</v>
      </c>
      <c r="T917" t="str">
        <f>IF($H917="","",IFERROR(INDEX(_ENGINE_Risk!$N$5:$S$499,MATCH($E917,_ENGINE_Risk!$A$5:$A$499,0),$H917+1),""))</f>
        <v>Create an immediate risk owner, minimum control baseline and fallback procedure for management review of performance, risks, audit findings, incidents, customers and improvements. Add it to the crisis risk register and collect first evidence.</v>
      </c>
      <c r="U917">
        <f>IFERROR(INDEX(_DATA_Assessment_Model!$G$5:$G$884,MATCH($E917,_DATA_Assessment_Model!$A$5:$A$884,0)),"")</f>
        <v>5</v>
      </c>
      <c r="V917">
        <f>IFERROR(INDEX(_DATA_Assessment_Model!$W$5:$W$884,MATCH($E917,_DATA_Assessment_Model!$A$5:$A$884,0)),"")</f>
        <v>4</v>
      </c>
      <c r="W917">
        <f>IFERROR(INDEX(_DATA_Assessment_Model!$X$5:$X$884,MATCH($E917,_DATA_Assessment_Model!$A$5:$A$884,0)),"")</f>
        <v>5</v>
      </c>
      <c r="X917">
        <f>IFERROR(INDEX(_DATA_Assessment_Model!$Y$5:$Y$884,MATCH($E917,_DATA_Assessment_Model!$A$5:$A$884,0)),"")</f>
        <v>5</v>
      </c>
      <c r="Y917" t="s">
        <v>3217</v>
      </c>
      <c r="Z917" t="s">
        <v>10298</v>
      </c>
      <c r="AA917" t="s">
        <v>3301</v>
      </c>
      <c r="AB917">
        <f>IFERROR(INDEX(_DATA_Assessment_Model!$U$5:$U$884,MATCH($E917,_DATA_Assessment_Model!$A$5:$A$884,0)),"")</f>
        <v>0</v>
      </c>
      <c r="AF917" t="s">
        <v>3300</v>
      </c>
      <c r="AO917">
        <f>IF($B917="Yes",IF(IFERROR(INDEX(_ENGINE_Crisis!$F$501:$F$517,MATCH($C917,_ENGINE_Crisis!$A$501:$A$517,0)),1)=0,1,IFERROR(INDEX(_ENGINE_Crisis!$F$501:$F$517,MATCH($C917,_ENGINE_Crisis!$A$501:$A$517,0)),1)),"")</f>
        <v>1</v>
      </c>
      <c r="AP917">
        <f t="shared" si="229"/>
        <v>15.2</v>
      </c>
      <c r="AQ917">
        <f t="shared" si="230"/>
        <v>1.6</v>
      </c>
      <c r="AR917" t="str">
        <f>IFERROR(INDEX(_ENGINE_Crisis!$E$41:$E$700,MATCH('Resilience &amp; Risk Scenario'!$B$6&amp;"|"&amp;$C917,_ENGINE_Crisis!$I$41:$I$700,0)),"")</f>
        <v/>
      </c>
      <c r="AS917" t="str">
        <f>IFERROR(INDEX(_ENGINE_Crisis!$G$41:$G$700,MATCH('Resilience &amp; Risk Scenario'!$B$6&amp;"|"&amp;$C917,_ENGINE_Crisis!$I$41:$I$700,0)),"")</f>
        <v/>
      </c>
      <c r="AT917" t="str">
        <f>IFERROR(INDEX(_ENGINE_Initiatives!$A$5:$A$532,MATCH(1,INDEX((_ENGINE_Initiatives!$B$5:$B$532=$C917)*(_ENGINE_Initiatives!$C$5:$C$532=$D917),0),0)),"")</f>
        <v>INI-072</v>
      </c>
      <c r="AU917" t="str">
        <f>IFERROR(INDEX(_ENGINE_Initiatives!$F$5:$F$532,MATCH(1,INDEX((_ENGINE_Initiatives!$B$5:$B$532=$C917)*(_ENGINE_Initiatives!$C$5:$C$532=$D917),0),0)),"")</f>
        <v>Integrate management system, KPIs and continual improvement cycle</v>
      </c>
      <c r="AV917">
        <f>IFERROR(INDEX(_ENGINE_Initiatives!$AC$5:$AC$532,MATCH(1,INDEX((_ENGINE_Initiatives!$B$5:$B$532=$C917)*(_ENGINE_Initiatives!$C$5:$C$532=$D917),0),0)),"")</f>
        <v>2.5099999999999998</v>
      </c>
      <c r="AW917" t="str">
        <f>IFERROR(INDEX(_ENGINE_Initiatives!$AE$5:$AE$532,MATCH(1,INDEX((_ENGINE_Initiatives!$B$5:$B$532=$C917)*(_ENGINE_Initiatives!$C$5:$C$532=$D917),0),0)),"")</f>
        <v>3-6 months</v>
      </c>
      <c r="AX917">
        <f>IF($B917="Yes",IFERROR((IF(SUMIFS(_REF_Model_Content!$E$1:$E$613,_REF_Model_Content!$A$1:$A$613,PV_Canonical_Industry,_REF_Model_Content!$B$1:$B$613,$C917)=0,1,SUMIFS(_REF_Model_Content!$E$1:$E$613,_REF_Model_Content!$A$1:$A$613,PV_Canonical_Industry,_REF_Model_Content!$B$1:$B$613,$C917))*IFERROR($BU917,1)),1),"")</f>
        <v>1</v>
      </c>
      <c r="AY917">
        <f t="shared" si="231"/>
        <v>15.2</v>
      </c>
      <c r="AZ917">
        <f t="shared" si="232"/>
        <v>1.6</v>
      </c>
      <c r="BB917" t="str">
        <f>IF($H917="","",IFERROR(INDEX(_ENGINE_Risk!$AE$5:$AE$499,MATCH($E917,_ENGINE_Risk!$A$5:$A$499,0)),"Medium"))</f>
        <v>Slow</v>
      </c>
      <c r="BC917">
        <f t="shared" si="233"/>
        <v>0.85</v>
      </c>
      <c r="BD917">
        <f t="shared" si="234"/>
        <v>1.6</v>
      </c>
      <c r="BF917">
        <f>IF(OR($H917="",$J917=""),"",IFERROR(VLOOKUP(ROUND($J917,0),_CONFIG_Model_Settings!$D$154:$E$158,2,0),""))</f>
        <v>0.5</v>
      </c>
      <c r="BG917">
        <f>IFERROR(IF(OR($H917="",$K917=""),"",ROUND('Company Profile'!$B$113*INDEX(_CONFIG_Model_Settings!$H$154:$H$158,MATCH(ROUND($K917,0),_CONFIG_Model_Settings!$G$154:$G$158,0)),0)),0)</f>
        <v>875</v>
      </c>
      <c r="BH917">
        <f t="shared" si="235"/>
        <v>437.5</v>
      </c>
      <c r="BI917">
        <f t="shared" si="236"/>
        <v>437.5</v>
      </c>
      <c r="BJ917">
        <f>IF($E917="","",IFERROR(VLOOKUP($C917,_CONFIG_Risk_Calibration!$A$5:$H$21,2,FALSE),3))</f>
        <v>3</v>
      </c>
      <c r="BK917">
        <f>IF($E917="","",IFERROR(VLOOKUP($C917,_CONFIG_Risk_Calibration!$A$5:$H$21,3,FALSE),0))</f>
        <v>0</v>
      </c>
      <c r="BL917">
        <f>IF($E917="","",IFERROR(VLOOKUP($C917,_CONFIG_Risk_Calibration!$A$5:$H$21,4,FALSE),3))</f>
        <v>3</v>
      </c>
      <c r="BM917">
        <f>IF($E917="","",IFERROR(VLOOKUP($C917,_CONFIG_Risk_Calibration!$A$5:$H$21,5,FALSE),3))</f>
        <v>3</v>
      </c>
      <c r="BN917" t="str">
        <f>IF($E917="","",IFERROR(VLOOKUP($C917,_CONFIG_Risk_Calibration!$A$5:$H$21,6,FALSE),"No"))</f>
        <v>Yes</v>
      </c>
      <c r="BO917">
        <f>IF($E917="","",IFERROR(VLOOKUP($C917,_CONFIG_Risk_Calibration!$A$5:$H$21,7,FALSE),1))</f>
        <v>4</v>
      </c>
      <c r="BP917">
        <f>IF($H917="","",MAX(1,MIN(5,((6-$H917)*0.45)+($BJ917*0.2)+('Resilience &amp; Risk Scenario'!$B$7*0.15)+($BK917*0.1)+($BL917*0.05)+(IF($BB917="Fast",5,IF($BB917="Slow",1,3))*0.05))))</f>
        <v>3.5</v>
      </c>
      <c r="BQ917">
        <f t="shared" si="237"/>
        <v>4.3500000000000005</v>
      </c>
      <c r="BR917">
        <f t="shared" si="238"/>
        <v>15.23</v>
      </c>
      <c r="BS917">
        <f t="shared" si="239"/>
        <v>12.95</v>
      </c>
      <c r="BT917" t="str">
        <f>IFERROR(INDEX(_REF_Capability_Bridge!$D:$D,MATCH($C917&amp;"|"&amp;$D917,_REF_Capability_Bridge!$J:$J,0)),IFERROR(INDEX(_REF_Capability_Bridge!$D:$D,MATCH($C917&amp;"|",_REF_Capability_Bridge!$J:$J,0)),"CAP_GENERIC"))</f>
        <v>CAP_BUSINESS_SYSTEMS</v>
      </c>
      <c r="BU917">
        <f>IFERROR(IFERROR(INDEX(_ENGINE_Relevance!$L:$L,MATCH($BT917,_ENGINE_Relevance!$B:$B,0)),1),1)</f>
        <v>1</v>
      </c>
      <c r="BV917" t="str">
        <f>IFERROR(INDEX(_REF_Capability_Bridge!$A:$A,MATCH($C917&amp;"|"&amp;$D917,_REF_Capability_Bridge!$J:$J,0)),IFERROR(INDEX(_REF_Capability_Bridge!$A:$A,MATCH($C917&amp;"|",_REF_Capability_Bridge!$J:$J,0)),"No bridge"))</f>
        <v>BRG-072</v>
      </c>
      <c r="BW917" t="str">
        <f t="shared" si="240"/>
        <v>Capability relevance neutral</v>
      </c>
      <c r="BX917" t="str">
        <f t="shared" si="241"/>
        <v>Initial / absent</v>
      </c>
      <c r="BY917" t="str">
        <f>IF($E917="","",IFERROR(INDEX(_REF_Treatment_Library!$A$2:$A$296,MATCH(1,INDEX((_REF_Treatment_Library!$B$2:$B$296=$BT917)*(_REF_Treatment_Library!$C$2:$C$296=PV_Canonical_Industry)*(_REF_Treatment_Library!$E$2:$E$296&lt;=N($H917))*(_REF_Treatment_Library!$F$2:$F$296&gt;=N($H917))*(_REF_Treatment_Library!$O$2:$O$296="Yes"),0),0)),IFERROR(INDEX(_REF_Treatment_Library!$A$2:$A$296,MATCH(1,INDEX((_REF_Treatment_Library!$B$2:$B$296=$BT917)*(_REF_Treatment_Library!$C$2:$C$296="All")*(_REF_Treatment_Library!$E$2:$E$296&lt;=N($H917))*(_REF_Treatment_Library!$F$2:$F$296&gt;=N($H917))*(_REF_Treatment_Library!$O$2:$O$296="Yes"),0),0)),"")))</f>
        <v>TRT-BUSINESS_SYSTEMS-INITIAL</v>
      </c>
      <c r="BZ917" t="str">
        <f>IF($BY917="","",IFERROR(INDEX(_REF_Treatment_Library!$H$2:$H$296,MATCH($BY917,_REF_Treatment_Library!$A$2:$A$296,0)),""))</f>
        <v>Establish</v>
      </c>
      <c r="CA917" t="str">
        <f>IF($BY917="","",IFERROR(INDEX(_REF_Treatment_Library!$I$2:$I$296,MATCH($BY917,_REF_Treatment_Library!$A$2:$A$296,0)),""))</f>
        <v>Establish baseline controls for Generic business systems</v>
      </c>
      <c r="CB917" t="str">
        <f>IF($BY917="","",IFERROR(INDEX(_REF_Treatment_Library!$K$2:$K$296,MATCH($BY917,_REF_Treatment_Library!$A$2:$A$296,0)),""))</f>
        <v>Named owner, baseline process, minimum control checklist, first evidence package</v>
      </c>
      <c r="CC917" t="str">
        <f>IF($BY917="","",IFERROR(INDEX(_REF_Treatment_Library!$L$2:$L$296,MATCH($BY917,_REF_Treatment_Library!$A$2:$A$296,0)),""))</f>
        <v>Owner assigned; baseline evidence coverage; open critical gaps</v>
      </c>
      <c r="CD917" t="str">
        <f t="shared" si="242"/>
        <v>Treatment by capability=CAP_BUSINESS_SYSTEMS; band=Initial / absent; score=0.0; treatment=Establish</v>
      </c>
      <c r="CE917" t="str">
        <f>IF($E917="","",IFERROR(INDEX(_REF_Industry_Wording!$A$2:$A$70,MATCH(1,INDEX((_REF_Industry_Wording!$B$2:$B$70=$BT917)*(_REF_Industry_Wording!$C$2:$C$70=PV_Canonical_Industry)*(_REF_Industry_Wording!$K$2:$K$70="Yes"),0),0)),IFERROR(INDEX(_REF_Industry_Wording!$A$2:$A$70,MATCH(1,INDEX((_REF_Industry_Wording!$B$2:$B$70=$BT917)*(_REF_Industry_Wording!$C$2:$C$70="All")*(_REF_Industry_Wording!$K$2:$K$70="Yes"),0),0)),"")))</f>
        <v>IW-ALL-BUSINESS_SYSTEMS</v>
      </c>
      <c r="CF917" t="str">
        <f>IF($CE917="","",IFERROR(INDEX(_REF_Industry_Wording!$E$2:$E$70,MATCH($CE917,_REF_Industry_Wording!$A$2:$A$70,0)),""))</f>
        <v>Generic business systems weakness</v>
      </c>
      <c r="CG917" t="str">
        <f>IF($CE917="","",IFERROR(INDEX(_REF_Industry_Wording!$F$2:$F$70,MATCH($CE917,_REF_Industry_Wording!$A$2:$A$70,0)),""))</f>
        <v>Strengthen Generic business systems</v>
      </c>
      <c r="CH917" t="str">
        <f>IF($CE917="","",IFERROR(INDEX(_REF_Industry_Wording!$G$2:$G$70,MATCH($CE917,_REF_Industry_Wording!$A$2:$A$70,0)),""))</f>
        <v>Strengthen Generic business systems using the selected maturity treatment, crisis scenario and evidence requirements.</v>
      </c>
      <c r="CI917" t="str">
        <f>IF($CE917="","",IFERROR(INDEX(_REF_Industry_Wording!$H$2:$H$70,MATCH($CE917,_REF_Industry_Wording!$A$2:$A$70,0)),""))</f>
        <v>Generic business systems</v>
      </c>
      <c r="CJ917">
        <f>IF($CE917="","",IFERROR(INDEX(_REF_Industry_Wording!$I$2:$I$70,MATCH($CE917,_REF_Industry_Wording!$A$2:$A$70,0)),""))</f>
        <v>0</v>
      </c>
      <c r="CK917" t="str">
        <f>IF($CE917="","",IFERROR(INDEX(_REF_Industry_Wording!$J$2:$J$70,MATCH($CE917,_REF_Industry_Wording!$A$2:$A$70,0)),""))</f>
        <v>Generic business systems</v>
      </c>
      <c r="CL917" t="str">
        <f t="shared" si="243"/>
        <v>Wording by industry=0; capability=CAP_BUSINESS_SYSTEMS; risk label=Generic business systems weakness</v>
      </c>
      <c r="CM917" t="str">
        <f t="shared" si="244"/>
        <v>RISK-ONT-0418</v>
      </c>
      <c r="CN917" t="str">
        <f t="shared" si="245"/>
        <v>RISK-EVT-0418</v>
      </c>
      <c r="CO917" t="str">
        <f t="shared" si="246"/>
        <v>Quality Portfolio|Management system|QUAL-017|CAP_BUSINESS_SYSTEMS</v>
      </c>
      <c r="CP917" t="str">
        <f t="shared" si="247"/>
        <v>Active</v>
      </c>
      <c r="CQ917" t="str">
        <f t="shared" si="248"/>
        <v>OK: capability-driven</v>
      </c>
      <c r="CR917" t="str">
        <f t="shared" si="249"/>
        <v>Risk ontology uses capability=CAP_BUSINESS_SYSTEMS; bridge=BRG-072; treatment=TRT-BUSINESS_SYSTEMS-INITIAL; wording=IW-ALL-BUSINESS_SYSTEMS</v>
      </c>
      <c r="CS917" t="str">
        <f t="shared" si="250"/>
        <v>Yes</v>
      </c>
    </row>
    <row r="918" spans="1:97">
      <c r="A918">
        <f>IF(OR($B918&lt;&gt;"Yes",$BS918=""),"",SUMPRODUCT(($B$500:$B$923="Yes")*ISNUMBER($BS$500:$BS$923)*($BS$500:$BS$923&gt;$BS918))+COUNTIFS($B$500:$B918,"Yes",$BS$500:$BS918,$BS918))</f>
        <v>375</v>
      </c>
      <c r="B918" t="str">
        <f t="shared" si="219"/>
        <v>Yes</v>
      </c>
      <c r="C918" t="s">
        <v>3204</v>
      </c>
      <c r="D918" t="s">
        <v>3235</v>
      </c>
      <c r="E918" t="s">
        <v>3302</v>
      </c>
      <c r="F918" t="s">
        <v>4507</v>
      </c>
      <c r="G918" t="str">
        <f>IF($H918="","",IFERROR(INDEX(_ENGINE_Risk!$H$5:$M$499,MATCH($E918,_ENGINE_Risk!$A$5:$A$499,0),$H918+1),""))</f>
        <v>Severe risk: decision log for major decisions with alternatives, risks, assumptions, owners and follow-up is not reliably controlled. During Execution failure; Delivery disruption; Decision failure, the organization may face poor quality control, failed change execution, unmanaged portfolio trade-offs and benefit erosion with limited visibility or accountability.</v>
      </c>
      <c r="H918">
        <f>IFERROR(VALUE(INDEX(_DATA_Assessment_Model!$H$5:$H$884,MATCH($E918,_DATA_Assessment_Model!$A$5:$A$884,0))),"")</f>
        <v>0</v>
      </c>
      <c r="I918" t="str">
        <f>IF($H918="","",IFERROR(INDEX(_DATA_Assessment_Model!$L$5:$L$884,MATCH($E918,_DATA_Assessment_Model!$A$5:$A$884,0)),IF($H918&lt;=1,"Critical",IF($H918=2,"High",IF($H918=3,"Medium",IF($H918=4,"Low","Resilient"))))))</f>
        <v>Critical</v>
      </c>
      <c r="J918">
        <f t="shared" si="220"/>
        <v>3.5</v>
      </c>
      <c r="K918">
        <f t="shared" si="221"/>
        <v>4.1500000000000004</v>
      </c>
      <c r="L918">
        <f t="shared" si="222"/>
        <v>14.525000000000002</v>
      </c>
      <c r="M918">
        <f t="shared" si="223"/>
        <v>3</v>
      </c>
      <c r="N918">
        <f>IF($H918="","",IFERROR(INDEX(_ENGINE_Risk!$T$5:$Y$499,MATCH($E918,_ENGINE_Risk!$A$5:$A$499,0),$H918+1),""))</f>
        <v>3</v>
      </c>
      <c r="O918">
        <f t="shared" si="224"/>
        <v>4.333333333333333</v>
      </c>
      <c r="P918">
        <f t="shared" si="225"/>
        <v>5</v>
      </c>
      <c r="Q918">
        <f t="shared" si="226"/>
        <v>5</v>
      </c>
      <c r="R918">
        <f t="shared" si="227"/>
        <v>4.5</v>
      </c>
      <c r="S918">
        <f t="shared" si="228"/>
        <v>1.57</v>
      </c>
      <c r="T918" t="str">
        <f>IF($H918="","",IFERROR(INDEX(_ENGINE_Risk!$N$5:$S$499,MATCH($E918,_ENGINE_Risk!$A$5:$A$499,0),$H918+1),""))</f>
        <v>Create an immediate risk owner, minimum control baseline and fallback procedure for decision log for major decisions with alternatives, risks, assumptions, owners and follow-up. Add it to the crisis risk register and collect first evidence.</v>
      </c>
      <c r="U918">
        <f>IFERROR(INDEX(_DATA_Assessment_Model!$G$5:$G$884,MATCH($E918,_DATA_Assessment_Model!$A$5:$A$884,0)),"")</f>
        <v>4</v>
      </c>
      <c r="V918">
        <f>IFERROR(INDEX(_DATA_Assessment_Model!$W$5:$W$884,MATCH($E918,_DATA_Assessment_Model!$A$5:$A$884,0)),"")</f>
        <v>4</v>
      </c>
      <c r="W918">
        <f>IFERROR(INDEX(_DATA_Assessment_Model!$X$5:$X$884,MATCH($E918,_DATA_Assessment_Model!$A$5:$A$884,0)),"")</f>
        <v>5</v>
      </c>
      <c r="X918">
        <f>IFERROR(INDEX(_DATA_Assessment_Model!$Y$5:$Y$884,MATCH($E918,_DATA_Assessment_Model!$A$5:$A$884,0)),"")</f>
        <v>5</v>
      </c>
      <c r="Y918" t="s">
        <v>3217</v>
      </c>
      <c r="Z918" t="s">
        <v>10298</v>
      </c>
      <c r="AA918" t="s">
        <v>3304</v>
      </c>
      <c r="AB918">
        <f>IFERROR(INDEX(_DATA_Assessment_Model!$U$5:$U$884,MATCH($E918,_DATA_Assessment_Model!$A$5:$A$884,0)),"")</f>
        <v>0</v>
      </c>
      <c r="AF918" t="s">
        <v>3303</v>
      </c>
      <c r="AO918">
        <f>IF($B918="Yes",IF(IFERROR(INDEX(_ENGINE_Crisis!$F$501:$F$517,MATCH($C918,_ENGINE_Crisis!$A$501:$A$517,0)),1)=0,1,IFERROR(INDEX(_ENGINE_Crisis!$F$501:$F$517,MATCH($C918,_ENGINE_Crisis!$A$501:$A$517,0)),1)),"")</f>
        <v>1</v>
      </c>
      <c r="AP918">
        <f t="shared" si="229"/>
        <v>14.5</v>
      </c>
      <c r="AQ918">
        <f t="shared" si="230"/>
        <v>1.57</v>
      </c>
      <c r="AR918" t="str">
        <f>IFERROR(INDEX(_ENGINE_Crisis!$E$41:$E$700,MATCH('Resilience &amp; Risk Scenario'!$B$6&amp;"|"&amp;$C918,_ENGINE_Crisis!$I$41:$I$700,0)),"")</f>
        <v/>
      </c>
      <c r="AS918" t="str">
        <f>IFERROR(INDEX(_ENGINE_Crisis!$G$41:$G$700,MATCH('Resilience &amp; Risk Scenario'!$B$6&amp;"|"&amp;$C918,_ENGINE_Crisis!$I$41:$I$700,0)),"")</f>
        <v/>
      </c>
      <c r="AT918" t="str">
        <f>IFERROR(INDEX(_ENGINE_Initiatives!$A$5:$A$532,MATCH(1,INDEX((_ENGINE_Initiatives!$B$5:$B$532=$C918)*(_ENGINE_Initiatives!$C$5:$C$532=$D918),0),0)),"")</f>
        <v>INI-072</v>
      </c>
      <c r="AU918" t="str">
        <f>IFERROR(INDEX(_ENGINE_Initiatives!$F$5:$F$532,MATCH(1,INDEX((_ENGINE_Initiatives!$B$5:$B$532=$C918)*(_ENGINE_Initiatives!$C$5:$C$532=$D918),0),0)),"")</f>
        <v>Integrate management system, KPIs and continual improvement cycle</v>
      </c>
      <c r="AV918">
        <f>IFERROR(INDEX(_ENGINE_Initiatives!$AC$5:$AC$532,MATCH(1,INDEX((_ENGINE_Initiatives!$B$5:$B$532=$C918)*(_ENGINE_Initiatives!$C$5:$C$532=$D918),0),0)),"")</f>
        <v>2.5099999999999998</v>
      </c>
      <c r="AW918" t="str">
        <f>IFERROR(INDEX(_ENGINE_Initiatives!$AE$5:$AE$532,MATCH(1,INDEX((_ENGINE_Initiatives!$B$5:$B$532=$C918)*(_ENGINE_Initiatives!$C$5:$C$532=$D918),0),0)),"")</f>
        <v>3-6 months</v>
      </c>
      <c r="AX918">
        <f>IF($B918="Yes",IFERROR((IF(SUMIFS(_REF_Model_Content!$E$1:$E$613,_REF_Model_Content!$A$1:$A$613,PV_Canonical_Industry,_REF_Model_Content!$B$1:$B$613,$C918)=0,1,SUMIFS(_REF_Model_Content!$E$1:$E$613,_REF_Model_Content!$A$1:$A$613,PV_Canonical_Industry,_REF_Model_Content!$B$1:$B$613,$C918))*IFERROR($BU918,1)),1),"")</f>
        <v>1</v>
      </c>
      <c r="AY918">
        <f t="shared" si="231"/>
        <v>14.5</v>
      </c>
      <c r="AZ918">
        <f t="shared" si="232"/>
        <v>1.57</v>
      </c>
      <c r="BB918" t="str">
        <f>IF($H918="","",IFERROR(INDEX(_ENGINE_Risk!$AE$5:$AE$499,MATCH($E918,_ENGINE_Risk!$A$5:$A$499,0)),"Medium"))</f>
        <v>Slow</v>
      </c>
      <c r="BC918">
        <f t="shared" si="233"/>
        <v>0.85</v>
      </c>
      <c r="BD918">
        <f t="shared" si="234"/>
        <v>1.57</v>
      </c>
      <c r="BF918">
        <f>IF(OR($H918="",$J918=""),"",IFERROR(VLOOKUP(ROUND($J918,0),_CONFIG_Model_Settings!$D$154:$E$158,2,0),""))</f>
        <v>0.5</v>
      </c>
      <c r="BG918">
        <f>IFERROR(IF(OR($H918="",$K918=""),"",ROUND('Company Profile'!$B$113*INDEX(_CONFIG_Model_Settings!$H$154:$H$158,MATCH(ROUND($K918,0),_CONFIG_Model_Settings!$G$154:$G$158,0)),0)),0)</f>
        <v>875</v>
      </c>
      <c r="BH918">
        <f t="shared" si="235"/>
        <v>437.5</v>
      </c>
      <c r="BI918">
        <f t="shared" si="236"/>
        <v>437.5</v>
      </c>
      <c r="BJ918">
        <f>IF($E918="","",IFERROR(VLOOKUP($C918,_CONFIG_Risk_Calibration!$A$5:$H$21,2,FALSE),3))</f>
        <v>3</v>
      </c>
      <c r="BK918">
        <f>IF($E918="","",IFERROR(VLOOKUP($C918,_CONFIG_Risk_Calibration!$A$5:$H$21,3,FALSE),0))</f>
        <v>0</v>
      </c>
      <c r="BL918">
        <f>IF($E918="","",IFERROR(VLOOKUP($C918,_CONFIG_Risk_Calibration!$A$5:$H$21,4,FALSE),3))</f>
        <v>3</v>
      </c>
      <c r="BM918">
        <f>IF($E918="","",IFERROR(VLOOKUP($C918,_CONFIG_Risk_Calibration!$A$5:$H$21,5,FALSE),3))</f>
        <v>3</v>
      </c>
      <c r="BN918" t="str">
        <f>IF($E918="","",IFERROR(VLOOKUP($C918,_CONFIG_Risk_Calibration!$A$5:$H$21,6,FALSE),"No"))</f>
        <v>Yes</v>
      </c>
      <c r="BO918">
        <f>IF($E918="","",IFERROR(VLOOKUP($C918,_CONFIG_Risk_Calibration!$A$5:$H$21,7,FALSE),1))</f>
        <v>4</v>
      </c>
      <c r="BP918">
        <f>IF($H918="","",MAX(1,MIN(5,((6-$H918)*0.45)+($BJ918*0.2)+('Resilience &amp; Risk Scenario'!$B$7*0.15)+($BK918*0.1)+($BL918*0.05)+(IF($BB918="Fast",5,IF($BB918="Slow",1,3))*0.05))))</f>
        <v>3.5</v>
      </c>
      <c r="BQ918">
        <f t="shared" si="237"/>
        <v>4.1500000000000004</v>
      </c>
      <c r="BR918">
        <f t="shared" si="238"/>
        <v>14.53</v>
      </c>
      <c r="BS918">
        <f t="shared" si="239"/>
        <v>12.35</v>
      </c>
      <c r="BT918" t="str">
        <f>IFERROR(INDEX(_REF_Capability_Bridge!$D:$D,MATCH($C918&amp;"|"&amp;$D918,_REF_Capability_Bridge!$J:$J,0)),IFERROR(INDEX(_REF_Capability_Bridge!$D:$D,MATCH($C918&amp;"|",_REF_Capability_Bridge!$J:$J,0)),"CAP_GENERIC"))</f>
        <v>CAP_BUSINESS_SYSTEMS</v>
      </c>
      <c r="BU918">
        <f>IFERROR(IFERROR(INDEX(_ENGINE_Relevance!$L:$L,MATCH($BT918,_ENGINE_Relevance!$B:$B,0)),1),1)</f>
        <v>1</v>
      </c>
      <c r="BV918" t="str">
        <f>IFERROR(INDEX(_REF_Capability_Bridge!$A:$A,MATCH($C918&amp;"|"&amp;$D918,_REF_Capability_Bridge!$J:$J,0)),IFERROR(INDEX(_REF_Capability_Bridge!$A:$A,MATCH($C918&amp;"|",_REF_Capability_Bridge!$J:$J,0)),"No bridge"))</f>
        <v>BRG-072</v>
      </c>
      <c r="BW918" t="str">
        <f t="shared" si="240"/>
        <v>Capability relevance neutral</v>
      </c>
      <c r="BX918" t="str">
        <f t="shared" si="241"/>
        <v>Initial / absent</v>
      </c>
      <c r="BY918" t="str">
        <f>IF($E918="","",IFERROR(INDEX(_REF_Treatment_Library!$A$2:$A$296,MATCH(1,INDEX((_REF_Treatment_Library!$B$2:$B$296=$BT918)*(_REF_Treatment_Library!$C$2:$C$296=PV_Canonical_Industry)*(_REF_Treatment_Library!$E$2:$E$296&lt;=N($H918))*(_REF_Treatment_Library!$F$2:$F$296&gt;=N($H918))*(_REF_Treatment_Library!$O$2:$O$296="Yes"),0),0)),IFERROR(INDEX(_REF_Treatment_Library!$A$2:$A$296,MATCH(1,INDEX((_REF_Treatment_Library!$B$2:$B$296=$BT918)*(_REF_Treatment_Library!$C$2:$C$296="All")*(_REF_Treatment_Library!$E$2:$E$296&lt;=N($H918))*(_REF_Treatment_Library!$F$2:$F$296&gt;=N($H918))*(_REF_Treatment_Library!$O$2:$O$296="Yes"),0),0)),"")))</f>
        <v>TRT-BUSINESS_SYSTEMS-INITIAL</v>
      </c>
      <c r="BZ918" t="str">
        <f>IF($BY918="","",IFERROR(INDEX(_REF_Treatment_Library!$H$2:$H$296,MATCH($BY918,_REF_Treatment_Library!$A$2:$A$296,0)),""))</f>
        <v>Establish</v>
      </c>
      <c r="CA918" t="str">
        <f>IF($BY918="","",IFERROR(INDEX(_REF_Treatment_Library!$I$2:$I$296,MATCH($BY918,_REF_Treatment_Library!$A$2:$A$296,0)),""))</f>
        <v>Establish baseline controls for Generic business systems</v>
      </c>
      <c r="CB918" t="str">
        <f>IF($BY918="","",IFERROR(INDEX(_REF_Treatment_Library!$K$2:$K$296,MATCH($BY918,_REF_Treatment_Library!$A$2:$A$296,0)),""))</f>
        <v>Named owner, baseline process, minimum control checklist, first evidence package</v>
      </c>
      <c r="CC918" t="str">
        <f>IF($BY918="","",IFERROR(INDEX(_REF_Treatment_Library!$L$2:$L$296,MATCH($BY918,_REF_Treatment_Library!$A$2:$A$296,0)),""))</f>
        <v>Owner assigned; baseline evidence coverage; open critical gaps</v>
      </c>
      <c r="CD918" t="str">
        <f t="shared" si="242"/>
        <v>Treatment by capability=CAP_BUSINESS_SYSTEMS; band=Initial / absent; score=0.0; treatment=Establish</v>
      </c>
      <c r="CE918" t="str">
        <f>IF($E918="","",IFERROR(INDEX(_REF_Industry_Wording!$A$2:$A$70,MATCH(1,INDEX((_REF_Industry_Wording!$B$2:$B$70=$BT918)*(_REF_Industry_Wording!$C$2:$C$70=PV_Canonical_Industry)*(_REF_Industry_Wording!$K$2:$K$70="Yes"),0),0)),IFERROR(INDEX(_REF_Industry_Wording!$A$2:$A$70,MATCH(1,INDEX((_REF_Industry_Wording!$B$2:$B$70=$BT918)*(_REF_Industry_Wording!$C$2:$C$70="All")*(_REF_Industry_Wording!$K$2:$K$70="Yes"),0),0)),"")))</f>
        <v>IW-ALL-BUSINESS_SYSTEMS</v>
      </c>
      <c r="CF918" t="str">
        <f>IF($CE918="","",IFERROR(INDEX(_REF_Industry_Wording!$E$2:$E$70,MATCH($CE918,_REF_Industry_Wording!$A$2:$A$70,0)),""))</f>
        <v>Generic business systems weakness</v>
      </c>
      <c r="CG918" t="str">
        <f>IF($CE918="","",IFERROR(INDEX(_REF_Industry_Wording!$F$2:$F$70,MATCH($CE918,_REF_Industry_Wording!$A$2:$A$70,0)),""))</f>
        <v>Strengthen Generic business systems</v>
      </c>
      <c r="CH918" t="str">
        <f>IF($CE918="","",IFERROR(INDEX(_REF_Industry_Wording!$G$2:$G$70,MATCH($CE918,_REF_Industry_Wording!$A$2:$A$70,0)),""))</f>
        <v>Strengthen Generic business systems using the selected maturity treatment, crisis scenario and evidence requirements.</v>
      </c>
      <c r="CI918" t="str">
        <f>IF($CE918="","",IFERROR(INDEX(_REF_Industry_Wording!$H$2:$H$70,MATCH($CE918,_REF_Industry_Wording!$A$2:$A$70,0)),""))</f>
        <v>Generic business systems</v>
      </c>
      <c r="CJ918">
        <f>IF($CE918="","",IFERROR(INDEX(_REF_Industry_Wording!$I$2:$I$70,MATCH($CE918,_REF_Industry_Wording!$A$2:$A$70,0)),""))</f>
        <v>0</v>
      </c>
      <c r="CK918" t="str">
        <f>IF($CE918="","",IFERROR(INDEX(_REF_Industry_Wording!$J$2:$J$70,MATCH($CE918,_REF_Industry_Wording!$A$2:$A$70,0)),""))</f>
        <v>Generic business systems</v>
      </c>
      <c r="CL918" t="str">
        <f t="shared" si="243"/>
        <v>Wording by industry=0; capability=CAP_BUSINESS_SYSTEMS; risk label=Generic business systems weakness</v>
      </c>
      <c r="CM918" t="str">
        <f t="shared" si="244"/>
        <v>RISK-ONT-0419</v>
      </c>
      <c r="CN918" t="str">
        <f t="shared" si="245"/>
        <v>RISK-EVT-0419</v>
      </c>
      <c r="CO918" t="str">
        <f t="shared" si="246"/>
        <v>Quality Portfolio|Management system|QUAL-018|CAP_BUSINESS_SYSTEMS</v>
      </c>
      <c r="CP918" t="str">
        <f t="shared" si="247"/>
        <v>Active</v>
      </c>
      <c r="CQ918" t="str">
        <f t="shared" si="248"/>
        <v>OK: capability-driven</v>
      </c>
      <c r="CR918" t="str">
        <f t="shared" si="249"/>
        <v>Risk ontology uses capability=CAP_BUSINESS_SYSTEMS; bridge=BRG-072; treatment=TRT-BUSINESS_SYSTEMS-INITIAL; wording=IW-ALL-BUSINESS_SYSTEMS</v>
      </c>
      <c r="CS918" t="str">
        <f t="shared" si="250"/>
        <v>Yes</v>
      </c>
    </row>
    <row r="919" spans="1:97">
      <c r="A919">
        <f>IF(OR($B919&lt;&gt;"Yes",$BS919=""),"",SUMPRODUCT(($B$500:$B$923="Yes")*ISNUMBER($BS$500:$BS$923)*($BS$500:$BS$923&gt;$BS919))+COUNTIFS($B$500:$B919,"Yes",$BS$500:$BS919,$BS919))</f>
        <v>369</v>
      </c>
      <c r="B919" t="str">
        <f t="shared" si="219"/>
        <v>Yes</v>
      </c>
      <c r="C919" t="s">
        <v>3204</v>
      </c>
      <c r="D919" t="s">
        <v>3235</v>
      </c>
      <c r="E919" t="s">
        <v>3311</v>
      </c>
      <c r="F919" t="s">
        <v>4507</v>
      </c>
      <c r="G919" t="str">
        <f>IF($H919="","",IFERROR(INDEX(_ENGINE_Risk!$H$5:$M$499,MATCH($E919,_ENGINE_Risk!$A$5:$A$499,0),$H919+1),""))</f>
        <v>Severe risk: evidence readiness for audits, customers, insurers or regulators during crisis is not reliably controlled. During Execution failure; Delivery disruption; Decision failure, the organization may face poor quality control, failed change execution, unmanaged portfolio trade-offs and benefit erosion with limited visibility or accountability.</v>
      </c>
      <c r="H919">
        <f>IFERROR(VALUE(INDEX(_DATA_Assessment_Model!$H$5:$H$884,MATCH($E919,_DATA_Assessment_Model!$A$5:$A$884,0))),"")</f>
        <v>0</v>
      </c>
      <c r="I919" t="str">
        <f>IF($H919="","",IFERROR(INDEX(_DATA_Assessment_Model!$L$5:$L$884,MATCH($E919,_DATA_Assessment_Model!$A$5:$A$884,0)),IF($H919&lt;=1,"Critical",IF($H919=2,"High",IF($H919=3,"Medium",IF($H919=4,"Low","Resilient"))))))</f>
        <v>Critical</v>
      </c>
      <c r="J919">
        <f t="shared" si="220"/>
        <v>3.5</v>
      </c>
      <c r="K919">
        <f t="shared" si="221"/>
        <v>4.3500000000000005</v>
      </c>
      <c r="L919">
        <f t="shared" si="222"/>
        <v>15.225000000000001</v>
      </c>
      <c r="M919">
        <f t="shared" si="223"/>
        <v>4</v>
      </c>
      <c r="N919">
        <f>IF($H919="","",IFERROR(INDEX(_ENGINE_Risk!$T$5:$Y$499,MATCH($E919,_ENGINE_Risk!$A$5:$A$499,0),$H919+1),""))</f>
        <v>3</v>
      </c>
      <c r="O919">
        <f t="shared" si="224"/>
        <v>4.666666666666667</v>
      </c>
      <c r="P919">
        <f t="shared" si="225"/>
        <v>5</v>
      </c>
      <c r="Q919">
        <f t="shared" si="226"/>
        <v>5</v>
      </c>
      <c r="R919">
        <f t="shared" si="227"/>
        <v>4.5</v>
      </c>
      <c r="S919">
        <f t="shared" si="228"/>
        <v>1.6</v>
      </c>
      <c r="T919" t="str">
        <f>IF($H919="","",IFERROR(INDEX(_ENGINE_Risk!$N$5:$S$499,MATCH($E919,_ENGINE_Risk!$A$5:$A$499,0),$H919+1),""))</f>
        <v>Create an immediate risk owner, minimum control baseline and fallback procedure for evidence readiness for audits, customers, insurers or regulators during crisis. Add it to the crisis risk register and collect first evidence.</v>
      </c>
      <c r="U919">
        <f>IFERROR(INDEX(_DATA_Assessment_Model!$G$5:$G$884,MATCH($E919,_DATA_Assessment_Model!$A$5:$A$884,0)),"")</f>
        <v>5</v>
      </c>
      <c r="V919">
        <f>IFERROR(INDEX(_DATA_Assessment_Model!$W$5:$W$884,MATCH($E919,_DATA_Assessment_Model!$A$5:$A$884,0)),"")</f>
        <v>4</v>
      </c>
      <c r="W919">
        <f>IFERROR(INDEX(_DATA_Assessment_Model!$X$5:$X$884,MATCH($E919,_DATA_Assessment_Model!$A$5:$A$884,0)),"")</f>
        <v>5</v>
      </c>
      <c r="X919">
        <f>IFERROR(INDEX(_DATA_Assessment_Model!$Y$5:$Y$884,MATCH($E919,_DATA_Assessment_Model!$A$5:$A$884,0)),"")</f>
        <v>5</v>
      </c>
      <c r="Y919" t="s">
        <v>3217</v>
      </c>
      <c r="Z919" t="s">
        <v>10298</v>
      </c>
      <c r="AA919" t="s">
        <v>3313</v>
      </c>
      <c r="AB919">
        <f>IFERROR(INDEX(_DATA_Assessment_Model!$U$5:$U$884,MATCH($E919,_DATA_Assessment_Model!$A$5:$A$884,0)),"")</f>
        <v>0</v>
      </c>
      <c r="AF919" t="s">
        <v>3312</v>
      </c>
      <c r="AO919">
        <f>IF($B919="Yes",IF(IFERROR(INDEX(_ENGINE_Crisis!$F$501:$F$517,MATCH($C919,_ENGINE_Crisis!$A$501:$A$517,0)),1)=0,1,IFERROR(INDEX(_ENGINE_Crisis!$F$501:$F$517,MATCH($C919,_ENGINE_Crisis!$A$501:$A$517,0)),1)),"")</f>
        <v>1</v>
      </c>
      <c r="AP919">
        <f t="shared" si="229"/>
        <v>15.2</v>
      </c>
      <c r="AQ919">
        <f t="shared" si="230"/>
        <v>1.6</v>
      </c>
      <c r="AR919" t="str">
        <f>IFERROR(INDEX(_ENGINE_Crisis!$E$41:$E$700,MATCH('Resilience &amp; Risk Scenario'!$B$6&amp;"|"&amp;$C919,_ENGINE_Crisis!$I$41:$I$700,0)),"")</f>
        <v/>
      </c>
      <c r="AS919" t="str">
        <f>IFERROR(INDEX(_ENGINE_Crisis!$G$41:$G$700,MATCH('Resilience &amp; Risk Scenario'!$B$6&amp;"|"&amp;$C919,_ENGINE_Crisis!$I$41:$I$700,0)),"")</f>
        <v/>
      </c>
      <c r="AT919" t="str">
        <f>IFERROR(INDEX(_ENGINE_Initiatives!$A$5:$A$532,MATCH(1,INDEX((_ENGINE_Initiatives!$B$5:$B$532=$C919)*(_ENGINE_Initiatives!$C$5:$C$532=$D919),0),0)),"")</f>
        <v>INI-072</v>
      </c>
      <c r="AU919" t="str">
        <f>IFERROR(INDEX(_ENGINE_Initiatives!$F$5:$F$532,MATCH(1,INDEX((_ENGINE_Initiatives!$B$5:$B$532=$C919)*(_ENGINE_Initiatives!$C$5:$C$532=$D919),0),0)),"")</f>
        <v>Integrate management system, KPIs and continual improvement cycle</v>
      </c>
      <c r="AV919">
        <f>IFERROR(INDEX(_ENGINE_Initiatives!$AC$5:$AC$532,MATCH(1,INDEX((_ENGINE_Initiatives!$B$5:$B$532=$C919)*(_ENGINE_Initiatives!$C$5:$C$532=$D919),0),0)),"")</f>
        <v>2.5099999999999998</v>
      </c>
      <c r="AW919" t="str">
        <f>IFERROR(INDEX(_ENGINE_Initiatives!$AE$5:$AE$532,MATCH(1,INDEX((_ENGINE_Initiatives!$B$5:$B$532=$C919)*(_ENGINE_Initiatives!$C$5:$C$532=$D919),0),0)),"")</f>
        <v>3-6 months</v>
      </c>
      <c r="AX919">
        <f>IF($B919="Yes",IFERROR((IF(SUMIFS(_REF_Model_Content!$E$1:$E$613,_REF_Model_Content!$A$1:$A$613,PV_Canonical_Industry,_REF_Model_Content!$B$1:$B$613,$C919)=0,1,SUMIFS(_REF_Model_Content!$E$1:$E$613,_REF_Model_Content!$A$1:$A$613,PV_Canonical_Industry,_REF_Model_Content!$B$1:$B$613,$C919))*IFERROR($BU919,1)),1),"")</f>
        <v>1</v>
      </c>
      <c r="AY919">
        <f t="shared" si="231"/>
        <v>15.2</v>
      </c>
      <c r="AZ919">
        <f t="shared" si="232"/>
        <v>1.6</v>
      </c>
      <c r="BB919" t="str">
        <f>IF($H919="","",IFERROR(INDEX(_ENGINE_Risk!$AE$5:$AE$499,MATCH($E919,_ENGINE_Risk!$A$5:$A$499,0)),"Medium"))</f>
        <v>Slow</v>
      </c>
      <c r="BC919">
        <f t="shared" si="233"/>
        <v>0.85</v>
      </c>
      <c r="BD919">
        <f t="shared" si="234"/>
        <v>1.6</v>
      </c>
      <c r="BF919">
        <f>IF(OR($H919="",$J919=""),"",IFERROR(VLOOKUP(ROUND($J919,0),_CONFIG_Model_Settings!$D$154:$E$158,2,0),""))</f>
        <v>0.5</v>
      </c>
      <c r="BG919">
        <f>IFERROR(IF(OR($H919="",$K919=""),"",ROUND('Company Profile'!$B$113*INDEX(_CONFIG_Model_Settings!$H$154:$H$158,MATCH(ROUND($K919,0),_CONFIG_Model_Settings!$G$154:$G$158,0)),0)),0)</f>
        <v>875</v>
      </c>
      <c r="BH919">
        <f t="shared" si="235"/>
        <v>437.5</v>
      </c>
      <c r="BI919">
        <f t="shared" si="236"/>
        <v>437.5</v>
      </c>
      <c r="BJ919">
        <f>IF($E919="","",IFERROR(VLOOKUP($C919,_CONFIG_Risk_Calibration!$A$5:$H$21,2,FALSE),3))</f>
        <v>3</v>
      </c>
      <c r="BK919">
        <f>IF($E919="","",IFERROR(VLOOKUP($C919,_CONFIG_Risk_Calibration!$A$5:$H$21,3,FALSE),0))</f>
        <v>0</v>
      </c>
      <c r="BL919">
        <f>IF($E919="","",IFERROR(VLOOKUP($C919,_CONFIG_Risk_Calibration!$A$5:$H$21,4,FALSE),3))</f>
        <v>3</v>
      </c>
      <c r="BM919">
        <f>IF($E919="","",IFERROR(VLOOKUP($C919,_CONFIG_Risk_Calibration!$A$5:$H$21,5,FALSE),3))</f>
        <v>3</v>
      </c>
      <c r="BN919" t="str">
        <f>IF($E919="","",IFERROR(VLOOKUP($C919,_CONFIG_Risk_Calibration!$A$5:$H$21,6,FALSE),"No"))</f>
        <v>Yes</v>
      </c>
      <c r="BO919">
        <f>IF($E919="","",IFERROR(VLOOKUP($C919,_CONFIG_Risk_Calibration!$A$5:$H$21,7,FALSE),1))</f>
        <v>4</v>
      </c>
      <c r="BP919">
        <f>IF($H919="","",MAX(1,MIN(5,((6-$H919)*0.45)+($BJ919*0.2)+('Resilience &amp; Risk Scenario'!$B$7*0.15)+($BK919*0.1)+($BL919*0.05)+(IF($BB919="Fast",5,IF($BB919="Slow",1,3))*0.05))))</f>
        <v>3.5</v>
      </c>
      <c r="BQ919">
        <f t="shared" si="237"/>
        <v>4.3500000000000005</v>
      </c>
      <c r="BR919">
        <f t="shared" si="238"/>
        <v>15.23</v>
      </c>
      <c r="BS919">
        <f t="shared" si="239"/>
        <v>12.95</v>
      </c>
      <c r="BT919" t="str">
        <f>IFERROR(INDEX(_REF_Capability_Bridge!$D:$D,MATCH($C919&amp;"|"&amp;$D919,_REF_Capability_Bridge!$J:$J,0)),IFERROR(INDEX(_REF_Capability_Bridge!$D:$D,MATCH($C919&amp;"|",_REF_Capability_Bridge!$J:$J,0)),"CAP_GENERIC"))</f>
        <v>CAP_BUSINESS_SYSTEMS</v>
      </c>
      <c r="BU919">
        <f>IFERROR(IFERROR(INDEX(_ENGINE_Relevance!$L:$L,MATCH($BT919,_ENGINE_Relevance!$B:$B,0)),1),1)</f>
        <v>1</v>
      </c>
      <c r="BV919" t="str">
        <f>IFERROR(INDEX(_REF_Capability_Bridge!$A:$A,MATCH($C919&amp;"|"&amp;$D919,_REF_Capability_Bridge!$J:$J,0)),IFERROR(INDEX(_REF_Capability_Bridge!$A:$A,MATCH($C919&amp;"|",_REF_Capability_Bridge!$J:$J,0)),"No bridge"))</f>
        <v>BRG-072</v>
      </c>
      <c r="BW919" t="str">
        <f t="shared" si="240"/>
        <v>Capability relevance neutral</v>
      </c>
      <c r="BX919" t="str">
        <f t="shared" si="241"/>
        <v>Initial / absent</v>
      </c>
      <c r="BY919" t="str">
        <f>IF($E919="","",IFERROR(INDEX(_REF_Treatment_Library!$A$2:$A$296,MATCH(1,INDEX((_REF_Treatment_Library!$B$2:$B$296=$BT919)*(_REF_Treatment_Library!$C$2:$C$296=PV_Canonical_Industry)*(_REF_Treatment_Library!$E$2:$E$296&lt;=N($H919))*(_REF_Treatment_Library!$F$2:$F$296&gt;=N($H919))*(_REF_Treatment_Library!$O$2:$O$296="Yes"),0),0)),IFERROR(INDEX(_REF_Treatment_Library!$A$2:$A$296,MATCH(1,INDEX((_REF_Treatment_Library!$B$2:$B$296=$BT919)*(_REF_Treatment_Library!$C$2:$C$296="All")*(_REF_Treatment_Library!$E$2:$E$296&lt;=N($H919))*(_REF_Treatment_Library!$F$2:$F$296&gt;=N($H919))*(_REF_Treatment_Library!$O$2:$O$296="Yes"),0),0)),"")))</f>
        <v>TRT-BUSINESS_SYSTEMS-INITIAL</v>
      </c>
      <c r="BZ919" t="str">
        <f>IF($BY919="","",IFERROR(INDEX(_REF_Treatment_Library!$H$2:$H$296,MATCH($BY919,_REF_Treatment_Library!$A$2:$A$296,0)),""))</f>
        <v>Establish</v>
      </c>
      <c r="CA919" t="str">
        <f>IF($BY919="","",IFERROR(INDEX(_REF_Treatment_Library!$I$2:$I$296,MATCH($BY919,_REF_Treatment_Library!$A$2:$A$296,0)),""))</f>
        <v>Establish baseline controls for Generic business systems</v>
      </c>
      <c r="CB919" t="str">
        <f>IF($BY919="","",IFERROR(INDEX(_REF_Treatment_Library!$K$2:$K$296,MATCH($BY919,_REF_Treatment_Library!$A$2:$A$296,0)),""))</f>
        <v>Named owner, baseline process, minimum control checklist, first evidence package</v>
      </c>
      <c r="CC919" t="str">
        <f>IF($BY919="","",IFERROR(INDEX(_REF_Treatment_Library!$L$2:$L$296,MATCH($BY919,_REF_Treatment_Library!$A$2:$A$296,0)),""))</f>
        <v>Owner assigned; baseline evidence coverage; open critical gaps</v>
      </c>
      <c r="CD919" t="str">
        <f t="shared" si="242"/>
        <v>Treatment by capability=CAP_BUSINESS_SYSTEMS; band=Initial / absent; score=0.0; treatment=Establish</v>
      </c>
      <c r="CE919" t="str">
        <f>IF($E919="","",IFERROR(INDEX(_REF_Industry_Wording!$A$2:$A$70,MATCH(1,INDEX((_REF_Industry_Wording!$B$2:$B$70=$BT919)*(_REF_Industry_Wording!$C$2:$C$70=PV_Canonical_Industry)*(_REF_Industry_Wording!$K$2:$K$70="Yes"),0),0)),IFERROR(INDEX(_REF_Industry_Wording!$A$2:$A$70,MATCH(1,INDEX((_REF_Industry_Wording!$B$2:$B$70=$BT919)*(_REF_Industry_Wording!$C$2:$C$70="All")*(_REF_Industry_Wording!$K$2:$K$70="Yes"),0),0)),"")))</f>
        <v>IW-ALL-BUSINESS_SYSTEMS</v>
      </c>
      <c r="CF919" t="str">
        <f>IF($CE919="","",IFERROR(INDEX(_REF_Industry_Wording!$E$2:$E$70,MATCH($CE919,_REF_Industry_Wording!$A$2:$A$70,0)),""))</f>
        <v>Generic business systems weakness</v>
      </c>
      <c r="CG919" t="str">
        <f>IF($CE919="","",IFERROR(INDEX(_REF_Industry_Wording!$F$2:$F$70,MATCH($CE919,_REF_Industry_Wording!$A$2:$A$70,0)),""))</f>
        <v>Strengthen Generic business systems</v>
      </c>
      <c r="CH919" t="str">
        <f>IF($CE919="","",IFERROR(INDEX(_REF_Industry_Wording!$G$2:$G$70,MATCH($CE919,_REF_Industry_Wording!$A$2:$A$70,0)),""))</f>
        <v>Strengthen Generic business systems using the selected maturity treatment, crisis scenario and evidence requirements.</v>
      </c>
      <c r="CI919" t="str">
        <f>IF($CE919="","",IFERROR(INDEX(_REF_Industry_Wording!$H$2:$H$70,MATCH($CE919,_REF_Industry_Wording!$A$2:$A$70,0)),""))</f>
        <v>Generic business systems</v>
      </c>
      <c r="CJ919">
        <f>IF($CE919="","",IFERROR(INDEX(_REF_Industry_Wording!$I$2:$I$70,MATCH($CE919,_REF_Industry_Wording!$A$2:$A$70,0)),""))</f>
        <v>0</v>
      </c>
      <c r="CK919" t="str">
        <f>IF($CE919="","",IFERROR(INDEX(_REF_Industry_Wording!$J$2:$J$70,MATCH($CE919,_REF_Industry_Wording!$A$2:$A$70,0)),""))</f>
        <v>Generic business systems</v>
      </c>
      <c r="CL919" t="str">
        <f t="shared" si="243"/>
        <v>Wording by industry=0; capability=CAP_BUSINESS_SYSTEMS; risk label=Generic business systems weakness</v>
      </c>
      <c r="CM919" t="str">
        <f t="shared" si="244"/>
        <v>RISK-ONT-0420</v>
      </c>
      <c r="CN919" t="str">
        <f t="shared" si="245"/>
        <v>RISK-EVT-0420</v>
      </c>
      <c r="CO919" t="str">
        <f t="shared" si="246"/>
        <v>Quality Portfolio|Management system|QUAL-019|CAP_BUSINESS_SYSTEMS</v>
      </c>
      <c r="CP919" t="str">
        <f t="shared" si="247"/>
        <v>Active</v>
      </c>
      <c r="CQ919" t="str">
        <f t="shared" si="248"/>
        <v>OK: capability-driven</v>
      </c>
      <c r="CR919" t="str">
        <f t="shared" si="249"/>
        <v>Risk ontology uses capability=CAP_BUSINESS_SYSTEMS; bridge=BRG-072; treatment=TRT-BUSINESS_SYSTEMS-INITIAL; wording=IW-ALL-BUSINESS_SYSTEMS</v>
      </c>
      <c r="CS919" t="str">
        <f t="shared" si="250"/>
        <v>Yes</v>
      </c>
    </row>
    <row r="920" spans="1:97">
      <c r="A920">
        <f>IF(OR($B920&lt;&gt;"Yes",$BS920=""),"",SUMPRODUCT(($B$500:$B$923="Yes")*ISNUMBER($BS$500:$BS$923)*($BS$500:$BS$923&gt;$BS920))+COUNTIFS($B$500:$B920,"Yes",$BS$500:$BS920,$BS920))</f>
        <v>389</v>
      </c>
      <c r="B920" t="str">
        <f t="shared" si="219"/>
        <v>Yes</v>
      </c>
      <c r="C920" t="s">
        <v>3204</v>
      </c>
      <c r="D920" t="s">
        <v>3225</v>
      </c>
      <c r="E920" t="s">
        <v>3314</v>
      </c>
      <c r="F920" t="s">
        <v>10538</v>
      </c>
      <c r="G920" t="str">
        <f>IF($H920="","",IFERROR(INDEX(_ENGINE_Risk!$H$5:$M$499,MATCH($E920,_ENGINE_Risk!$A$5:$A$499,0),$H920+1),""))</f>
        <v>Severe risk: organizational project management alignment connecting strategy to portfolios, programs and projects with defined governance layers is not reliably controlled. During Financial/liquidity crisis; Demand shock, the organization may face initiatives disconnected from strategy, duplicated effort and value leakage across the portfolio with limited visibility or accountability.</v>
      </c>
      <c r="H920">
        <f>IFERROR(VALUE(INDEX(_DATA_Assessment_Model!$H$5:$H$884,MATCH($E920,_DATA_Assessment_Model!$A$5:$A$884,0))),"")</f>
        <v>0</v>
      </c>
      <c r="I920" t="str">
        <f>IF($H920="","",IFERROR(INDEX(_DATA_Assessment_Model!$L$5:$L$884,MATCH($E920,_DATA_Assessment_Model!$A$5:$A$884,0)),IF($H920&lt;=1,"Critical",IF($H920=2,"High",IF($H920=3,"Medium",IF($H920=4,"Low","Resilient"))))))</f>
        <v>Critical</v>
      </c>
      <c r="J920">
        <f t="shared" si="220"/>
        <v>3.5</v>
      </c>
      <c r="K920">
        <f t="shared" si="221"/>
        <v>4</v>
      </c>
      <c r="L920">
        <f t="shared" si="222"/>
        <v>14</v>
      </c>
      <c r="M920">
        <f t="shared" si="223"/>
        <v>3</v>
      </c>
      <c r="N920">
        <f>IF($H920="","",IFERROR(INDEX(_ENGINE_Risk!$T$5:$Y$499,MATCH($E920,_ENGINE_Risk!$A$5:$A$499,0),$H920+1),""))</f>
        <v>3</v>
      </c>
      <c r="O920">
        <f t="shared" si="224"/>
        <v>4</v>
      </c>
      <c r="P920">
        <f t="shared" si="225"/>
        <v>5</v>
      </c>
      <c r="Q920">
        <f t="shared" si="226"/>
        <v>4.3</v>
      </c>
      <c r="R920">
        <f t="shared" si="227"/>
        <v>4</v>
      </c>
      <c r="S920">
        <f t="shared" si="228"/>
        <v>1.44</v>
      </c>
      <c r="T920" t="str">
        <f>IF($H920="","",IFERROR(INDEX(_ENGINE_Risk!$N$5:$S$499,MATCH($E920,_ENGINE_Risk!$A$5:$A$499,0),$H920+1),""))</f>
        <v>Create an immediate risk owner, minimum control baseline and fallback procedure for organizational project management alignment connecting strategy to portfolios, programs and projects with defined governance layers. Add it to the crisis risk register and collect first evidence.</v>
      </c>
      <c r="U920">
        <f>IFERROR(INDEX(_DATA_Assessment_Model!$G$5:$G$884,MATCH($E920,_DATA_Assessment_Model!$A$5:$A$884,0)),"")</f>
        <v>4</v>
      </c>
      <c r="V920">
        <f>IFERROR(INDEX(_DATA_Assessment_Model!$W$5:$W$884,MATCH($E920,_DATA_Assessment_Model!$A$5:$A$884,0)),"")</f>
        <v>3</v>
      </c>
      <c r="W920">
        <f>IFERROR(INDEX(_DATA_Assessment_Model!$X$5:$X$884,MATCH($E920,_DATA_Assessment_Model!$A$5:$A$884,0)),"")</f>
        <v>3</v>
      </c>
      <c r="X920">
        <f>IFERROR(INDEX(_DATA_Assessment_Model!$Y$5:$Y$884,MATCH($E920,_DATA_Assessment_Model!$A$5:$A$884,0)),"")</f>
        <v>5</v>
      </c>
      <c r="Y920" t="s">
        <v>1530</v>
      </c>
      <c r="Z920" t="s">
        <v>10553</v>
      </c>
      <c r="AA920" t="s">
        <v>10552</v>
      </c>
      <c r="AB920">
        <f>IFERROR(INDEX(_DATA_Assessment_Model!$U$5:$U$884,MATCH($E920,_DATA_Assessment_Model!$A$5:$A$884,0)),"")</f>
        <v>0</v>
      </c>
      <c r="AF920" t="s">
        <v>3315</v>
      </c>
      <c r="AO920">
        <f>IF($B920="Yes",IF(IFERROR(INDEX(_ENGINE_Crisis!$F$501:$F$517,MATCH($C920,_ENGINE_Crisis!$A$501:$A$517,0)),1)=0,1,IFERROR(INDEX(_ENGINE_Crisis!$F$501:$F$517,MATCH($C920,_ENGINE_Crisis!$A$501:$A$517,0)),1)),"")</f>
        <v>1</v>
      </c>
      <c r="AP920">
        <f t="shared" si="229"/>
        <v>14</v>
      </c>
      <c r="AQ920">
        <f t="shared" si="230"/>
        <v>1.44</v>
      </c>
      <c r="AR920" t="str">
        <f>IFERROR(INDEX(_ENGINE_Crisis!$E$41:$E$700,MATCH('Resilience &amp; Risk Scenario'!$B$6&amp;"|"&amp;$C920,_ENGINE_Crisis!$I$41:$I$700,0)),"")</f>
        <v/>
      </c>
      <c r="AS920" t="str">
        <f>IFERROR(INDEX(_ENGINE_Crisis!$G$41:$G$700,MATCH('Resilience &amp; Risk Scenario'!$B$6&amp;"|"&amp;$C920,_ENGINE_Crisis!$I$41:$I$700,0)),"")</f>
        <v/>
      </c>
      <c r="AT920" t="str">
        <f>IFERROR(INDEX(_ENGINE_Initiatives!$A$5:$A$532,MATCH(1,INDEX((_ENGINE_Initiatives!$B$5:$B$532=$C920)*(_ENGINE_Initiatives!$C$5:$C$532=$D920),0),0)),"")</f>
        <v>INI-071</v>
      </c>
      <c r="AU920" t="str">
        <f>IFERROR(INDEX(_ENGINE_Initiatives!$F$5:$F$532,MATCH(1,INDEX((_ENGINE_Initiatives!$B$5:$B$532=$C920)*(_ENGINE_Initiatives!$C$5:$C$532=$D920),0),0)),"")</f>
        <v>Implement portfolio governance, prioritization and change control</v>
      </c>
      <c r="AV920">
        <f>IFERROR(INDEX(_ENGINE_Initiatives!$AC$5:$AC$532,MATCH(1,INDEX((_ENGINE_Initiatives!$B$5:$B$532=$C920)*(_ENGINE_Initiatives!$C$5:$C$532=$D920),0),0)),"")</f>
        <v>2.54</v>
      </c>
      <c r="AW920" t="str">
        <f>IFERROR(INDEX(_ENGINE_Initiatives!$AE$5:$AE$532,MATCH(1,INDEX((_ENGINE_Initiatives!$B$5:$B$532=$C920)*(_ENGINE_Initiatives!$C$5:$C$532=$D920),0),0)),"")</f>
        <v>0-90 days</v>
      </c>
      <c r="AX920">
        <f>IF($B920="Yes",IFERROR((IF(SUMIFS(_REF_Model_Content!$E$1:$E$613,_REF_Model_Content!$A$1:$A$613,PV_Canonical_Industry,_REF_Model_Content!$B$1:$B$613,$C920)=0,1,SUMIFS(_REF_Model_Content!$E$1:$E$613,_REF_Model_Content!$A$1:$A$613,PV_Canonical_Industry,_REF_Model_Content!$B$1:$B$613,$C920))*IFERROR($BU920,1)),1),"")</f>
        <v>1</v>
      </c>
      <c r="AY920">
        <f t="shared" si="231"/>
        <v>14</v>
      </c>
      <c r="AZ920">
        <f t="shared" si="232"/>
        <v>1.44</v>
      </c>
      <c r="BB920" t="str">
        <f>IF($H920="","",IFERROR(INDEX(_ENGINE_Risk!$AE$5:$AE$499,MATCH($E920,_ENGINE_Risk!$A$5:$A$499,0)),"Medium"))</f>
        <v>Slow</v>
      </c>
      <c r="BC920">
        <f t="shared" si="233"/>
        <v>0.85</v>
      </c>
      <c r="BD920">
        <f t="shared" si="234"/>
        <v>1.44</v>
      </c>
      <c r="BF920">
        <f>IF(OR($H920="",$J920=""),"",IFERROR(VLOOKUP(ROUND($J920,0),_CONFIG_Model_Settings!$D$154:$E$158,2,0),""))</f>
        <v>0.5</v>
      </c>
      <c r="BG920">
        <f>IFERROR(IF(OR($H920="",$K920=""),"",ROUND('Company Profile'!$B$113*INDEX(_CONFIG_Model_Settings!$H$154:$H$158,MATCH(ROUND($K920,0),_CONFIG_Model_Settings!$G$154:$G$158,0)),0)),0)</f>
        <v>875</v>
      </c>
      <c r="BH920">
        <f t="shared" si="235"/>
        <v>437.5</v>
      </c>
      <c r="BI920">
        <f t="shared" si="236"/>
        <v>437.5</v>
      </c>
      <c r="BJ920">
        <f>IF($E920="","",IFERROR(VLOOKUP($C920,_CONFIG_Risk_Calibration!$A$5:$H$21,2,FALSE),3))</f>
        <v>3</v>
      </c>
      <c r="BK920">
        <f>IF($E920="","",IFERROR(VLOOKUP($C920,_CONFIG_Risk_Calibration!$A$5:$H$21,3,FALSE),0))</f>
        <v>0</v>
      </c>
      <c r="BL920">
        <f>IF($E920="","",IFERROR(VLOOKUP($C920,_CONFIG_Risk_Calibration!$A$5:$H$21,4,FALSE),3))</f>
        <v>3</v>
      </c>
      <c r="BM920">
        <f>IF($E920="","",IFERROR(VLOOKUP($C920,_CONFIG_Risk_Calibration!$A$5:$H$21,5,FALSE),3))</f>
        <v>3</v>
      </c>
      <c r="BN920" t="str">
        <f>IF($E920="","",IFERROR(VLOOKUP($C920,_CONFIG_Risk_Calibration!$A$5:$H$21,6,FALSE),"No"))</f>
        <v>Yes</v>
      </c>
      <c r="BO920">
        <f>IF($E920="","",IFERROR(VLOOKUP($C920,_CONFIG_Risk_Calibration!$A$5:$H$21,7,FALSE),1))</f>
        <v>4</v>
      </c>
      <c r="BP920">
        <f>IF($H920="","",MAX(1,MIN(5,((6-$H920)*0.45)+($BJ920*0.2)+('Resilience &amp; Risk Scenario'!$B$7*0.15)+($BK920*0.1)+($BL920*0.05)+(IF($BB920="Fast",5,IF($BB920="Slow",1,3))*0.05))))</f>
        <v>3.5</v>
      </c>
      <c r="BQ920">
        <f t="shared" si="237"/>
        <v>4</v>
      </c>
      <c r="BR920">
        <f t="shared" si="238"/>
        <v>14</v>
      </c>
      <c r="BS920">
        <f t="shared" si="239"/>
        <v>11.9</v>
      </c>
      <c r="BT920" t="str">
        <f>IFERROR(INDEX(_REF_Capability_Bridge!$D:$D,MATCH($C920&amp;"|"&amp;$D920,_REF_Capability_Bridge!$J:$J,0)),IFERROR(INDEX(_REF_Capability_Bridge!$D:$D,MATCH($C920&amp;"|",_REF_Capability_Bridge!$J:$J,0)),"CAP_GENERIC"))</f>
        <v>CAP_DELIVERY_CONTINUITY</v>
      </c>
      <c r="BU920">
        <f>IFERROR(IFERROR(INDEX(_ENGINE_Relevance!$L:$L,MATCH($BT920,_ENGINE_Relevance!$B:$B,0)),1),1)</f>
        <v>1</v>
      </c>
      <c r="BV920" t="str">
        <f>IFERROR(INDEX(_REF_Capability_Bridge!$A:$A,MATCH($C920&amp;"|"&amp;$D920,_REF_Capability_Bridge!$J:$J,0)),IFERROR(INDEX(_REF_Capability_Bridge!$A:$A,MATCH($C920&amp;"|",_REF_Capability_Bridge!$J:$J,0)),"No bridge"))</f>
        <v>BRG-073</v>
      </c>
      <c r="BW920" t="str">
        <f t="shared" si="240"/>
        <v>Capability relevance neutral</v>
      </c>
      <c r="BX920" t="str">
        <f t="shared" si="241"/>
        <v>Initial / absent</v>
      </c>
      <c r="BY920" t="str">
        <f>IF($E920="","",IFERROR(INDEX(_REF_Treatment_Library!$A$2:$A$296,MATCH(1,INDEX((_REF_Treatment_Library!$B$2:$B$296=$BT920)*(_REF_Treatment_Library!$C$2:$C$296=PV_Canonical_Industry)*(_REF_Treatment_Library!$E$2:$E$296&lt;=N($H920))*(_REF_Treatment_Library!$F$2:$F$296&gt;=N($H920))*(_REF_Treatment_Library!$O$2:$O$296="Yes"),0),0)),IFERROR(INDEX(_REF_Treatment_Library!$A$2:$A$296,MATCH(1,INDEX((_REF_Treatment_Library!$B$2:$B$296=$BT920)*(_REF_Treatment_Library!$C$2:$C$296="All")*(_REF_Treatment_Library!$E$2:$E$296&lt;=N($H920))*(_REF_Treatment_Library!$F$2:$F$296&gt;=N($H920))*(_REF_Treatment_Library!$O$2:$O$296="Yes"),0),0)),"")))</f>
        <v>TRT-DELIVERY_CONTINUITY-INITIAL</v>
      </c>
      <c r="BZ920" t="str">
        <f>IF($BY920="","",IFERROR(INDEX(_REF_Treatment_Library!$H$2:$H$296,MATCH($BY920,_REF_Treatment_Library!$A$2:$A$296,0)),""))</f>
        <v>Establish</v>
      </c>
      <c r="CA920" t="str">
        <f>IF($BY920="","",IFERROR(INDEX(_REF_Treatment_Library!$I$2:$I$296,MATCH($BY920,_REF_Treatment_Library!$A$2:$A$296,0)),""))</f>
        <v>Establish baseline controls for Delivery continuity</v>
      </c>
      <c r="CB920" t="str">
        <f>IF($BY920="","",IFERROR(INDEX(_REF_Treatment_Library!$K$2:$K$296,MATCH($BY920,_REF_Treatment_Library!$A$2:$A$296,0)),""))</f>
        <v>Named owner, baseline process, minimum control checklist, first evidence package</v>
      </c>
      <c r="CC920" t="str">
        <f>IF($BY920="","",IFERROR(INDEX(_REF_Treatment_Library!$L$2:$L$296,MATCH($BY920,_REF_Treatment_Library!$A$2:$A$296,0)),""))</f>
        <v>Owner assigned; baseline evidence coverage; open critical gaps</v>
      </c>
      <c r="CD920" t="str">
        <f t="shared" si="242"/>
        <v>Treatment by capability=CAP_DELIVERY_CONTINUITY; band=Initial / absent; score=0.0; treatment=Establish</v>
      </c>
      <c r="CE920" t="str">
        <f>IF($E920="","",IFERROR(INDEX(_REF_Industry_Wording!$A$2:$A$70,MATCH(1,INDEX((_REF_Industry_Wording!$B$2:$B$70=$BT920)*(_REF_Industry_Wording!$C$2:$C$70=PV_Canonical_Industry)*(_REF_Industry_Wording!$K$2:$K$70="Yes"),0),0)),IFERROR(INDEX(_REF_Industry_Wording!$A$2:$A$70,MATCH(1,INDEX((_REF_Industry_Wording!$B$2:$B$70=$BT920)*(_REF_Industry_Wording!$C$2:$C$70="All")*(_REF_Industry_Wording!$K$2:$K$70="Yes"),0),0)),"")))</f>
        <v>IW-ALL-DELIVERY_CONTINUITY</v>
      </c>
      <c r="CF920" t="str">
        <f>IF($CE920="","",IFERROR(INDEX(_REF_Industry_Wording!$E$2:$E$70,MATCH($CE920,_REF_Industry_Wording!$A$2:$A$70,0)),""))</f>
        <v>Delivery continuity weakness</v>
      </c>
      <c r="CG920" t="str">
        <f>IF($CE920="","",IFERROR(INDEX(_REF_Industry_Wording!$F$2:$F$70,MATCH($CE920,_REF_Industry_Wording!$A$2:$A$70,0)),""))</f>
        <v>Strengthen Delivery continuity</v>
      </c>
      <c r="CH920" t="str">
        <f>IF($CE920="","",IFERROR(INDEX(_REF_Industry_Wording!$G$2:$G$70,MATCH($CE920,_REF_Industry_Wording!$A$2:$A$70,0)),""))</f>
        <v>Strengthen Delivery continuity using the selected maturity treatment, crisis scenario and evidence requirements.</v>
      </c>
      <c r="CI920" t="str">
        <f>IF($CE920="","",IFERROR(INDEX(_REF_Industry_Wording!$H$2:$H$70,MATCH($CE920,_REF_Industry_Wording!$A$2:$A$70,0)),""))</f>
        <v>Delivery continuity</v>
      </c>
      <c r="CJ920">
        <f>IF($CE920="","",IFERROR(INDEX(_REF_Industry_Wording!$I$2:$I$70,MATCH($CE920,_REF_Industry_Wording!$A$2:$A$70,0)),""))</f>
        <v>0</v>
      </c>
      <c r="CK920" t="str">
        <f>IF($CE920="","",IFERROR(INDEX(_REF_Industry_Wording!$J$2:$J$70,MATCH($CE920,_REF_Industry_Wording!$A$2:$A$70,0)),""))</f>
        <v>Delivery continuity</v>
      </c>
      <c r="CL920" t="str">
        <f t="shared" si="243"/>
        <v>Wording by industry=0; capability=CAP_DELIVERY_CONTINUITY; risk label=Delivery continuity weakness</v>
      </c>
      <c r="CM920" t="str">
        <f t="shared" si="244"/>
        <v>RISK-ONT-0421</v>
      </c>
      <c r="CN920" t="str">
        <f t="shared" si="245"/>
        <v>RISK-EVT-0421</v>
      </c>
      <c r="CO920" t="str">
        <f t="shared" si="246"/>
        <v>Quality Portfolio|Portfolio and change|QUAL-021|CAP_DELIVERY_CONTINUITY</v>
      </c>
      <c r="CP920" t="str">
        <f t="shared" si="247"/>
        <v>Active</v>
      </c>
      <c r="CQ920" t="str">
        <f t="shared" si="248"/>
        <v>OK: capability-driven</v>
      </c>
      <c r="CR920" t="str">
        <f t="shared" si="249"/>
        <v>Risk ontology uses capability=CAP_DELIVERY_CONTINUITY; bridge=BRG-073; treatment=TRT-DELIVERY_CONTINUITY-INITIAL; wording=IW-ALL-DELIVERY_CONTINUITY</v>
      </c>
      <c r="CS920" t="str">
        <f t="shared" si="250"/>
        <v>Yes</v>
      </c>
    </row>
    <row r="921" spans="1:97">
      <c r="A921">
        <f>IF(OR($B921&lt;&gt;"Yes",$BS921=""),"",SUMPRODUCT(($B$500:$B$923="Yes")*ISNUMBER($BS$500:$BS$923)*($BS$500:$BS$923&gt;$BS921))+COUNTIFS($B$500:$B921,"Yes",$BS$500:$BS921,$BS921))</f>
        <v>390</v>
      </c>
      <c r="B921" t="str">
        <f t="shared" si="219"/>
        <v>Yes</v>
      </c>
      <c r="C921" t="s">
        <v>3204</v>
      </c>
      <c r="D921" t="s">
        <v>3225</v>
      </c>
      <c r="E921" t="s">
        <v>3323</v>
      </c>
      <c r="F921" t="s">
        <v>10538</v>
      </c>
      <c r="G921" t="str">
        <f>IF($H921="","",IFERROR(INDEX(_ENGINE_Risk!$H$5:$M$499,MATCH($E921,_ENGINE_Risk!$A$5:$A$499,0),$H921+1),""))</f>
        <v>Severe risk: standardized and tailored project delivery methodology with knowledge transfer between initiatives is not reliably controlled. During Demand shock; Workforce disruption, the organization may face every project reinventing its approach, repeated mistakes and unpredictable delivery quality with limited visibility or accountability.</v>
      </c>
      <c r="H921">
        <f>IFERROR(VALUE(INDEX(_DATA_Assessment_Model!$H$5:$H$884,MATCH($E921,_DATA_Assessment_Model!$A$5:$A$884,0))),"")</f>
        <v>0</v>
      </c>
      <c r="I921" t="str">
        <f>IF($H921="","",IFERROR(INDEX(_DATA_Assessment_Model!$L$5:$L$884,MATCH($E921,_DATA_Assessment_Model!$A$5:$A$884,0)),IF($H921&lt;=1,"Critical",IF($H921=2,"High",IF($H921=3,"Medium",IF($H921=4,"Low","Resilient"))))))</f>
        <v>Critical</v>
      </c>
      <c r="J921">
        <f t="shared" si="220"/>
        <v>3.5</v>
      </c>
      <c r="K921">
        <f t="shared" si="221"/>
        <v>4</v>
      </c>
      <c r="L921">
        <f t="shared" si="222"/>
        <v>14</v>
      </c>
      <c r="M921">
        <f t="shared" si="223"/>
        <v>3</v>
      </c>
      <c r="N921">
        <f>IF($H921="","",IFERROR(INDEX(_ENGINE_Risk!$T$5:$Y$499,MATCH($E921,_ENGINE_Risk!$A$5:$A$499,0),$H921+1),""))</f>
        <v>2</v>
      </c>
      <c r="O921">
        <f t="shared" si="224"/>
        <v>3.6666666666666665</v>
      </c>
      <c r="P921">
        <f t="shared" si="225"/>
        <v>5</v>
      </c>
      <c r="Q921">
        <f t="shared" si="226"/>
        <v>4.3</v>
      </c>
      <c r="R921">
        <f t="shared" si="227"/>
        <v>4</v>
      </c>
      <c r="S921">
        <f t="shared" si="228"/>
        <v>2.12</v>
      </c>
      <c r="T921" t="str">
        <f>IF($H921="","",IFERROR(INDEX(_ENGINE_Risk!$N$5:$S$499,MATCH($E921,_ENGINE_Risk!$A$5:$A$499,0),$H921+1),""))</f>
        <v>Create an immediate risk owner, minimum control baseline and fallback procedure for standardized and tailored project delivery methodology with knowledge transfer between initiatives. Add it to the crisis risk register and collect first evidence.</v>
      </c>
      <c r="U921">
        <f>IFERROR(INDEX(_DATA_Assessment_Model!$G$5:$G$884,MATCH($E921,_DATA_Assessment_Model!$A$5:$A$884,0)),"")</f>
        <v>3</v>
      </c>
      <c r="V921">
        <f>IFERROR(INDEX(_DATA_Assessment_Model!$W$5:$W$884,MATCH($E921,_DATA_Assessment_Model!$A$5:$A$884,0)),"")</f>
        <v>3</v>
      </c>
      <c r="W921">
        <f>IFERROR(INDEX(_DATA_Assessment_Model!$X$5:$X$884,MATCH($E921,_DATA_Assessment_Model!$A$5:$A$884,0)),"")</f>
        <v>3</v>
      </c>
      <c r="X921">
        <f>IFERROR(INDEX(_DATA_Assessment_Model!$Y$5:$Y$884,MATCH($E921,_DATA_Assessment_Model!$A$5:$A$884,0)),"")</f>
        <v>5</v>
      </c>
      <c r="Y921" t="s">
        <v>3333</v>
      </c>
      <c r="Z921" t="s">
        <v>10569</v>
      </c>
      <c r="AA921" t="s">
        <v>10568</v>
      </c>
      <c r="AB921">
        <f>IFERROR(INDEX(_DATA_Assessment_Model!$U$5:$U$884,MATCH($E921,_DATA_Assessment_Model!$A$5:$A$884,0)),"")</f>
        <v>0</v>
      </c>
      <c r="AF921" t="s">
        <v>3324</v>
      </c>
      <c r="AO921">
        <f>IF($B921="Yes",IF(IFERROR(INDEX(_ENGINE_Crisis!$F$501:$F$517,MATCH($C921,_ENGINE_Crisis!$A$501:$A$517,0)),1)=0,1,IFERROR(INDEX(_ENGINE_Crisis!$F$501:$F$517,MATCH($C921,_ENGINE_Crisis!$A$501:$A$517,0)),1)),"")</f>
        <v>1</v>
      </c>
      <c r="AP921">
        <f t="shared" si="229"/>
        <v>14</v>
      </c>
      <c r="AQ921">
        <f t="shared" si="230"/>
        <v>2.12</v>
      </c>
      <c r="AR921" t="str">
        <f>IFERROR(INDEX(_ENGINE_Crisis!$E$41:$E$700,MATCH('Resilience &amp; Risk Scenario'!$B$6&amp;"|"&amp;$C921,_ENGINE_Crisis!$I$41:$I$700,0)),"")</f>
        <v/>
      </c>
      <c r="AS921" t="str">
        <f>IFERROR(INDEX(_ENGINE_Crisis!$G$41:$G$700,MATCH('Resilience &amp; Risk Scenario'!$B$6&amp;"|"&amp;$C921,_ENGINE_Crisis!$I$41:$I$700,0)),"")</f>
        <v/>
      </c>
      <c r="AT921" t="str">
        <f>IFERROR(INDEX(_ENGINE_Initiatives!$A$5:$A$532,MATCH(1,INDEX((_ENGINE_Initiatives!$B$5:$B$532=$C921)*(_ENGINE_Initiatives!$C$5:$C$532=$D921),0),0)),"")</f>
        <v>INI-071</v>
      </c>
      <c r="AU921" t="str">
        <f>IFERROR(INDEX(_ENGINE_Initiatives!$F$5:$F$532,MATCH(1,INDEX((_ENGINE_Initiatives!$B$5:$B$532=$C921)*(_ENGINE_Initiatives!$C$5:$C$532=$D921),0),0)),"")</f>
        <v>Implement portfolio governance, prioritization and change control</v>
      </c>
      <c r="AV921">
        <f>IFERROR(INDEX(_ENGINE_Initiatives!$AC$5:$AC$532,MATCH(1,INDEX((_ENGINE_Initiatives!$B$5:$B$532=$C921)*(_ENGINE_Initiatives!$C$5:$C$532=$D921),0),0)),"")</f>
        <v>2.54</v>
      </c>
      <c r="AW921" t="str">
        <f>IFERROR(INDEX(_ENGINE_Initiatives!$AE$5:$AE$532,MATCH(1,INDEX((_ENGINE_Initiatives!$B$5:$B$532=$C921)*(_ENGINE_Initiatives!$C$5:$C$532=$D921),0),0)),"")</f>
        <v>0-90 days</v>
      </c>
      <c r="AX921">
        <f>IF($B921="Yes",IFERROR((IF(SUMIFS(_REF_Model_Content!$E$1:$E$613,_REF_Model_Content!$A$1:$A$613,PV_Canonical_Industry,_REF_Model_Content!$B$1:$B$613,$C921)=0,1,SUMIFS(_REF_Model_Content!$E$1:$E$613,_REF_Model_Content!$A$1:$A$613,PV_Canonical_Industry,_REF_Model_Content!$B$1:$B$613,$C921))*IFERROR($BU921,1)),1),"")</f>
        <v>1</v>
      </c>
      <c r="AY921">
        <f t="shared" si="231"/>
        <v>14</v>
      </c>
      <c r="AZ921">
        <f t="shared" si="232"/>
        <v>2.12</v>
      </c>
      <c r="BB921" t="str">
        <f>IF($H921="","",IFERROR(INDEX(_ENGINE_Risk!$AE$5:$AE$499,MATCH($E921,_ENGINE_Risk!$A$5:$A$499,0)),"Medium"))</f>
        <v>Slow</v>
      </c>
      <c r="BC921">
        <f t="shared" si="233"/>
        <v>0.85</v>
      </c>
      <c r="BD921">
        <f t="shared" si="234"/>
        <v>2.12</v>
      </c>
      <c r="BF921">
        <f>IF(OR($H921="",$J921=""),"",IFERROR(VLOOKUP(ROUND($J921,0),_CONFIG_Model_Settings!$D$154:$E$158,2,0),""))</f>
        <v>0.5</v>
      </c>
      <c r="BG921">
        <f>IFERROR(IF(OR($H921="",$K921=""),"",ROUND('Company Profile'!$B$113*INDEX(_CONFIG_Model_Settings!$H$154:$H$158,MATCH(ROUND($K921,0),_CONFIG_Model_Settings!$G$154:$G$158,0)),0)),0)</f>
        <v>875</v>
      </c>
      <c r="BH921">
        <f t="shared" si="235"/>
        <v>437.5</v>
      </c>
      <c r="BI921">
        <f t="shared" si="236"/>
        <v>437.5</v>
      </c>
      <c r="BJ921">
        <f>IF($E921="","",IFERROR(VLOOKUP($C921,_CONFIG_Risk_Calibration!$A$5:$H$21,2,FALSE),3))</f>
        <v>3</v>
      </c>
      <c r="BK921">
        <f>IF($E921="","",IFERROR(VLOOKUP($C921,_CONFIG_Risk_Calibration!$A$5:$H$21,3,FALSE),0))</f>
        <v>0</v>
      </c>
      <c r="BL921">
        <f>IF($E921="","",IFERROR(VLOOKUP($C921,_CONFIG_Risk_Calibration!$A$5:$H$21,4,FALSE),3))</f>
        <v>3</v>
      </c>
      <c r="BM921">
        <f>IF($E921="","",IFERROR(VLOOKUP($C921,_CONFIG_Risk_Calibration!$A$5:$H$21,5,FALSE),3))</f>
        <v>3</v>
      </c>
      <c r="BN921" t="str">
        <f>IF($E921="","",IFERROR(VLOOKUP($C921,_CONFIG_Risk_Calibration!$A$5:$H$21,6,FALSE),"No"))</f>
        <v>Yes</v>
      </c>
      <c r="BO921">
        <f>IF($E921="","",IFERROR(VLOOKUP($C921,_CONFIG_Risk_Calibration!$A$5:$H$21,7,FALSE),1))</f>
        <v>4</v>
      </c>
      <c r="BP921">
        <f>IF($H921="","",MAX(1,MIN(5,((6-$H921)*0.45)+($BJ921*0.2)+('Resilience &amp; Risk Scenario'!$B$7*0.15)+($BK921*0.1)+($BL921*0.05)+(IF($BB921="Fast",5,IF($BB921="Slow",1,3))*0.05))))</f>
        <v>3.5</v>
      </c>
      <c r="BQ921">
        <f t="shared" si="237"/>
        <v>4</v>
      </c>
      <c r="BR921">
        <f t="shared" si="238"/>
        <v>14</v>
      </c>
      <c r="BS921">
        <f t="shared" si="239"/>
        <v>11.9</v>
      </c>
      <c r="BT921" t="str">
        <f>IFERROR(INDEX(_REF_Capability_Bridge!$D:$D,MATCH($C921&amp;"|"&amp;$D921,_REF_Capability_Bridge!$J:$J,0)),IFERROR(INDEX(_REF_Capability_Bridge!$D:$D,MATCH($C921&amp;"|",_REF_Capability_Bridge!$J:$J,0)),"CAP_GENERIC"))</f>
        <v>CAP_DELIVERY_CONTINUITY</v>
      </c>
      <c r="BU921">
        <f>IFERROR(IFERROR(INDEX(_ENGINE_Relevance!$L:$L,MATCH($BT921,_ENGINE_Relevance!$B:$B,0)),1),1)</f>
        <v>1</v>
      </c>
      <c r="BV921" t="str">
        <f>IFERROR(INDEX(_REF_Capability_Bridge!$A:$A,MATCH($C921&amp;"|"&amp;$D921,_REF_Capability_Bridge!$J:$J,0)),IFERROR(INDEX(_REF_Capability_Bridge!$A:$A,MATCH($C921&amp;"|",_REF_Capability_Bridge!$J:$J,0)),"No bridge"))</f>
        <v>BRG-073</v>
      </c>
      <c r="BW921" t="str">
        <f t="shared" si="240"/>
        <v>Capability relevance neutral</v>
      </c>
      <c r="BX921" t="str">
        <f t="shared" si="241"/>
        <v>Initial / absent</v>
      </c>
      <c r="BY921" t="str">
        <f>IF($E921="","",IFERROR(INDEX(_REF_Treatment_Library!$A$2:$A$296,MATCH(1,INDEX((_REF_Treatment_Library!$B$2:$B$296=$BT921)*(_REF_Treatment_Library!$C$2:$C$296=PV_Canonical_Industry)*(_REF_Treatment_Library!$E$2:$E$296&lt;=N($H921))*(_REF_Treatment_Library!$F$2:$F$296&gt;=N($H921))*(_REF_Treatment_Library!$O$2:$O$296="Yes"),0),0)),IFERROR(INDEX(_REF_Treatment_Library!$A$2:$A$296,MATCH(1,INDEX((_REF_Treatment_Library!$B$2:$B$296=$BT921)*(_REF_Treatment_Library!$C$2:$C$296="All")*(_REF_Treatment_Library!$E$2:$E$296&lt;=N($H921))*(_REF_Treatment_Library!$F$2:$F$296&gt;=N($H921))*(_REF_Treatment_Library!$O$2:$O$296="Yes"),0),0)),"")))</f>
        <v>TRT-DELIVERY_CONTINUITY-INITIAL</v>
      </c>
      <c r="BZ921" t="str">
        <f>IF($BY921="","",IFERROR(INDEX(_REF_Treatment_Library!$H$2:$H$296,MATCH($BY921,_REF_Treatment_Library!$A$2:$A$296,0)),""))</f>
        <v>Establish</v>
      </c>
      <c r="CA921" t="str">
        <f>IF($BY921="","",IFERROR(INDEX(_REF_Treatment_Library!$I$2:$I$296,MATCH($BY921,_REF_Treatment_Library!$A$2:$A$296,0)),""))</f>
        <v>Establish baseline controls for Delivery continuity</v>
      </c>
      <c r="CB921" t="str">
        <f>IF($BY921="","",IFERROR(INDEX(_REF_Treatment_Library!$K$2:$K$296,MATCH($BY921,_REF_Treatment_Library!$A$2:$A$296,0)),""))</f>
        <v>Named owner, baseline process, minimum control checklist, first evidence package</v>
      </c>
      <c r="CC921" t="str">
        <f>IF($BY921="","",IFERROR(INDEX(_REF_Treatment_Library!$L$2:$L$296,MATCH($BY921,_REF_Treatment_Library!$A$2:$A$296,0)),""))</f>
        <v>Owner assigned; baseline evidence coverage; open critical gaps</v>
      </c>
      <c r="CD921" t="str">
        <f t="shared" si="242"/>
        <v>Treatment by capability=CAP_DELIVERY_CONTINUITY; band=Initial / absent; score=0.0; treatment=Establish</v>
      </c>
      <c r="CE921" t="str">
        <f>IF($E921="","",IFERROR(INDEX(_REF_Industry_Wording!$A$2:$A$70,MATCH(1,INDEX((_REF_Industry_Wording!$B$2:$B$70=$BT921)*(_REF_Industry_Wording!$C$2:$C$70=PV_Canonical_Industry)*(_REF_Industry_Wording!$K$2:$K$70="Yes"),0),0)),IFERROR(INDEX(_REF_Industry_Wording!$A$2:$A$70,MATCH(1,INDEX((_REF_Industry_Wording!$B$2:$B$70=$BT921)*(_REF_Industry_Wording!$C$2:$C$70="All")*(_REF_Industry_Wording!$K$2:$K$70="Yes"),0),0)),"")))</f>
        <v>IW-ALL-DELIVERY_CONTINUITY</v>
      </c>
      <c r="CF921" t="str">
        <f>IF($CE921="","",IFERROR(INDEX(_REF_Industry_Wording!$E$2:$E$70,MATCH($CE921,_REF_Industry_Wording!$A$2:$A$70,0)),""))</f>
        <v>Delivery continuity weakness</v>
      </c>
      <c r="CG921" t="str">
        <f>IF($CE921="","",IFERROR(INDEX(_REF_Industry_Wording!$F$2:$F$70,MATCH($CE921,_REF_Industry_Wording!$A$2:$A$70,0)),""))</f>
        <v>Strengthen Delivery continuity</v>
      </c>
      <c r="CH921" t="str">
        <f>IF($CE921="","",IFERROR(INDEX(_REF_Industry_Wording!$G$2:$G$70,MATCH($CE921,_REF_Industry_Wording!$A$2:$A$70,0)),""))</f>
        <v>Strengthen Delivery continuity using the selected maturity treatment, crisis scenario and evidence requirements.</v>
      </c>
      <c r="CI921" t="str">
        <f>IF($CE921="","",IFERROR(INDEX(_REF_Industry_Wording!$H$2:$H$70,MATCH($CE921,_REF_Industry_Wording!$A$2:$A$70,0)),""))</f>
        <v>Delivery continuity</v>
      </c>
      <c r="CJ921">
        <f>IF($CE921="","",IFERROR(INDEX(_REF_Industry_Wording!$I$2:$I$70,MATCH($CE921,_REF_Industry_Wording!$A$2:$A$70,0)),""))</f>
        <v>0</v>
      </c>
      <c r="CK921" t="str">
        <f>IF($CE921="","",IFERROR(INDEX(_REF_Industry_Wording!$J$2:$J$70,MATCH($CE921,_REF_Industry_Wording!$A$2:$A$70,0)),""))</f>
        <v>Delivery continuity</v>
      </c>
      <c r="CL921" t="str">
        <f t="shared" si="243"/>
        <v>Wording by industry=0; capability=CAP_DELIVERY_CONTINUITY; risk label=Delivery continuity weakness</v>
      </c>
      <c r="CM921" t="str">
        <f t="shared" si="244"/>
        <v>RISK-ONT-0422</v>
      </c>
      <c r="CN921" t="str">
        <f t="shared" si="245"/>
        <v>RISK-EVT-0422</v>
      </c>
      <c r="CO921" t="str">
        <f t="shared" si="246"/>
        <v>Quality Portfolio|Portfolio and change|QUAL-022|CAP_DELIVERY_CONTINUITY</v>
      </c>
      <c r="CP921" t="str">
        <f t="shared" si="247"/>
        <v>Active</v>
      </c>
      <c r="CQ921" t="str">
        <f t="shared" si="248"/>
        <v>OK: capability-driven</v>
      </c>
      <c r="CR921" t="str">
        <f t="shared" si="249"/>
        <v>Risk ontology uses capability=CAP_DELIVERY_CONTINUITY; bridge=BRG-073; treatment=TRT-DELIVERY_CONTINUITY-INITIAL; wording=IW-ALL-DELIVERY_CONTINUITY</v>
      </c>
      <c r="CS921" t="str">
        <f t="shared" si="250"/>
        <v>Yes</v>
      </c>
    </row>
    <row r="922" spans="1:97">
      <c r="A922">
        <f>IF(OR($B922&lt;&gt;"Yes",$BS922=""),"",SUMPRODUCT(($B$500:$B$923="Yes")*ISNUMBER($BS$500:$BS$923)*($BS$500:$BS$923&gt;$BS922))+COUNTIFS($B$500:$B922,"Yes",$BS$500:$BS922,$BS922))</f>
        <v>391</v>
      </c>
      <c r="B922" t="str">
        <f t="shared" si="219"/>
        <v>Yes</v>
      </c>
      <c r="C922" t="s">
        <v>3204</v>
      </c>
      <c r="D922" t="s">
        <v>3225</v>
      </c>
      <c r="E922" t="s">
        <v>3334</v>
      </c>
      <c r="F922" t="s">
        <v>10538</v>
      </c>
      <c r="G922" t="str">
        <f>IF($H922="","",IFERROR(INDEX(_ENGINE_Risk!$H$5:$M$499,MATCH($E922,_ENGINE_Risk!$A$5:$A$499,0),$H922+1),""))</f>
        <v>Severe risk: project and change management competency development with a visible resource pool and capacity view is not reliably controlled. During Workforce disruption; Demand shock, the organization may face initiative overload on few skilled people, delivery bottlenecks and burnout of change leaders with limited visibility or accountability.</v>
      </c>
      <c r="H922">
        <f>IFERROR(VALUE(INDEX(_DATA_Assessment_Model!$H$5:$H$884,MATCH($E922,_DATA_Assessment_Model!$A$5:$A$884,0))),"")</f>
        <v>0</v>
      </c>
      <c r="I922" t="str">
        <f>IF($H922="","",IFERROR(INDEX(_DATA_Assessment_Model!$L$5:$L$884,MATCH($E922,_DATA_Assessment_Model!$A$5:$A$884,0)),IF($H922&lt;=1,"Critical",IF($H922=2,"High",IF($H922=3,"Medium",IF($H922=4,"Low","Resilient"))))))</f>
        <v>Critical</v>
      </c>
      <c r="J922">
        <f t="shared" si="220"/>
        <v>3.5</v>
      </c>
      <c r="K922">
        <f t="shared" si="221"/>
        <v>4</v>
      </c>
      <c r="L922">
        <f t="shared" si="222"/>
        <v>14</v>
      </c>
      <c r="M922">
        <f t="shared" si="223"/>
        <v>3</v>
      </c>
      <c r="N922">
        <f>IF($H922="","",IFERROR(INDEX(_ENGINE_Risk!$T$5:$Y$499,MATCH($E922,_ENGINE_Risk!$A$5:$A$499,0),$H922+1),""))</f>
        <v>2</v>
      </c>
      <c r="O922">
        <f t="shared" si="224"/>
        <v>3.3333333333333335</v>
      </c>
      <c r="P922">
        <f t="shared" si="225"/>
        <v>5</v>
      </c>
      <c r="Q922">
        <f t="shared" si="226"/>
        <v>4.3</v>
      </c>
      <c r="R922">
        <f t="shared" si="227"/>
        <v>3.5</v>
      </c>
      <c r="S922">
        <f t="shared" si="228"/>
        <v>2.02</v>
      </c>
      <c r="T922" t="str">
        <f>IF($H922="","",IFERROR(INDEX(_ENGINE_Risk!$N$5:$S$499,MATCH($E922,_ENGINE_Risk!$A$5:$A$499,0),$H922+1),""))</f>
        <v>Create an immediate risk owner, minimum control baseline and fallback procedure for project and change management competency development with a visible resource pool and capacity view. Add it to the crisis risk register and collect first evidence.</v>
      </c>
      <c r="U922">
        <f>IFERROR(INDEX(_DATA_Assessment_Model!$G$5:$G$884,MATCH($E922,_DATA_Assessment_Model!$A$5:$A$884,0)),"")</f>
        <v>3</v>
      </c>
      <c r="V922">
        <f>IFERROR(INDEX(_DATA_Assessment_Model!$W$5:$W$884,MATCH($E922,_DATA_Assessment_Model!$A$5:$A$884,0)),"")</f>
        <v>3</v>
      </c>
      <c r="W922">
        <f>IFERROR(INDEX(_DATA_Assessment_Model!$X$5:$X$884,MATCH($E922,_DATA_Assessment_Model!$A$5:$A$884,0)),"")</f>
        <v>3</v>
      </c>
      <c r="X922">
        <f>IFERROR(INDEX(_DATA_Assessment_Model!$Y$5:$Y$884,MATCH($E922,_DATA_Assessment_Model!$A$5:$A$884,0)),"")</f>
        <v>4</v>
      </c>
      <c r="Y922" t="s">
        <v>3344</v>
      </c>
      <c r="Z922" t="s">
        <v>10585</v>
      </c>
      <c r="AA922" t="s">
        <v>10584</v>
      </c>
      <c r="AB922">
        <f>IFERROR(INDEX(_DATA_Assessment_Model!$U$5:$U$884,MATCH($E922,_DATA_Assessment_Model!$A$5:$A$884,0)),"")</f>
        <v>0</v>
      </c>
      <c r="AF922" t="s">
        <v>3335</v>
      </c>
      <c r="AO922">
        <f>IF($B922="Yes",IF(IFERROR(INDEX(_ENGINE_Crisis!$F$501:$F$517,MATCH($C922,_ENGINE_Crisis!$A$501:$A$517,0)),1)=0,1,IFERROR(INDEX(_ENGINE_Crisis!$F$501:$F$517,MATCH($C922,_ENGINE_Crisis!$A$501:$A$517,0)),1)),"")</f>
        <v>1</v>
      </c>
      <c r="AP922">
        <f t="shared" si="229"/>
        <v>14</v>
      </c>
      <c r="AQ922">
        <f t="shared" si="230"/>
        <v>2.02</v>
      </c>
      <c r="AR922" t="str">
        <f>IFERROR(INDEX(_ENGINE_Crisis!$E$41:$E$700,MATCH('Resilience &amp; Risk Scenario'!$B$6&amp;"|"&amp;$C922,_ENGINE_Crisis!$I$41:$I$700,0)),"")</f>
        <v/>
      </c>
      <c r="AS922" t="str">
        <f>IFERROR(INDEX(_ENGINE_Crisis!$G$41:$G$700,MATCH('Resilience &amp; Risk Scenario'!$B$6&amp;"|"&amp;$C922,_ENGINE_Crisis!$I$41:$I$700,0)),"")</f>
        <v/>
      </c>
      <c r="AT922" t="str">
        <f>IFERROR(INDEX(_ENGINE_Initiatives!$A$5:$A$532,MATCH(1,INDEX((_ENGINE_Initiatives!$B$5:$B$532=$C922)*(_ENGINE_Initiatives!$C$5:$C$532=$D922),0),0)),"")</f>
        <v>INI-071</v>
      </c>
      <c r="AU922" t="str">
        <f>IFERROR(INDEX(_ENGINE_Initiatives!$F$5:$F$532,MATCH(1,INDEX((_ENGINE_Initiatives!$B$5:$B$532=$C922)*(_ENGINE_Initiatives!$C$5:$C$532=$D922),0),0)),"")</f>
        <v>Implement portfolio governance, prioritization and change control</v>
      </c>
      <c r="AV922">
        <f>IFERROR(INDEX(_ENGINE_Initiatives!$AC$5:$AC$532,MATCH(1,INDEX((_ENGINE_Initiatives!$B$5:$B$532=$C922)*(_ENGINE_Initiatives!$C$5:$C$532=$D922),0),0)),"")</f>
        <v>2.54</v>
      </c>
      <c r="AW922" t="str">
        <f>IFERROR(INDEX(_ENGINE_Initiatives!$AE$5:$AE$532,MATCH(1,INDEX((_ENGINE_Initiatives!$B$5:$B$532=$C922)*(_ENGINE_Initiatives!$C$5:$C$532=$D922),0),0)),"")</f>
        <v>0-90 days</v>
      </c>
      <c r="AX922">
        <f>IF($B922="Yes",IFERROR((IF(SUMIFS(_REF_Model_Content!$E$1:$E$613,_REF_Model_Content!$A$1:$A$613,PV_Canonical_Industry,_REF_Model_Content!$B$1:$B$613,$C922)=0,1,SUMIFS(_REF_Model_Content!$E$1:$E$613,_REF_Model_Content!$A$1:$A$613,PV_Canonical_Industry,_REF_Model_Content!$B$1:$B$613,$C922))*IFERROR($BU922,1)),1),"")</f>
        <v>1</v>
      </c>
      <c r="AY922">
        <f t="shared" si="231"/>
        <v>14</v>
      </c>
      <c r="AZ922">
        <f t="shared" si="232"/>
        <v>2.02</v>
      </c>
      <c r="BB922" t="str">
        <f>IF($H922="","",IFERROR(INDEX(_ENGINE_Risk!$AE$5:$AE$499,MATCH($E922,_ENGINE_Risk!$A$5:$A$499,0)),"Medium"))</f>
        <v>Slow</v>
      </c>
      <c r="BC922">
        <f t="shared" si="233"/>
        <v>0.85</v>
      </c>
      <c r="BD922">
        <f t="shared" si="234"/>
        <v>2.02</v>
      </c>
      <c r="BF922">
        <f>IF(OR($H922="",$J922=""),"",IFERROR(VLOOKUP(ROUND($J922,0),_CONFIG_Model_Settings!$D$154:$E$158,2,0),""))</f>
        <v>0.5</v>
      </c>
      <c r="BG922">
        <f>IFERROR(IF(OR($H922="",$K922=""),"",ROUND('Company Profile'!$B$113*INDEX(_CONFIG_Model_Settings!$H$154:$H$158,MATCH(ROUND($K922,0),_CONFIG_Model_Settings!$G$154:$G$158,0)),0)),0)</f>
        <v>875</v>
      </c>
      <c r="BH922">
        <f t="shared" si="235"/>
        <v>437.5</v>
      </c>
      <c r="BI922">
        <f t="shared" si="236"/>
        <v>437.5</v>
      </c>
      <c r="BJ922">
        <f>IF($E922="","",IFERROR(VLOOKUP($C922,_CONFIG_Risk_Calibration!$A$5:$H$21,2,FALSE),3))</f>
        <v>3</v>
      </c>
      <c r="BK922">
        <f>IF($E922="","",IFERROR(VLOOKUP($C922,_CONFIG_Risk_Calibration!$A$5:$H$21,3,FALSE),0))</f>
        <v>0</v>
      </c>
      <c r="BL922">
        <f>IF($E922="","",IFERROR(VLOOKUP($C922,_CONFIG_Risk_Calibration!$A$5:$H$21,4,FALSE),3))</f>
        <v>3</v>
      </c>
      <c r="BM922">
        <f>IF($E922="","",IFERROR(VLOOKUP($C922,_CONFIG_Risk_Calibration!$A$5:$H$21,5,FALSE),3))</f>
        <v>3</v>
      </c>
      <c r="BN922" t="str">
        <f>IF($E922="","",IFERROR(VLOOKUP($C922,_CONFIG_Risk_Calibration!$A$5:$H$21,6,FALSE),"No"))</f>
        <v>Yes</v>
      </c>
      <c r="BO922">
        <f>IF($E922="","",IFERROR(VLOOKUP($C922,_CONFIG_Risk_Calibration!$A$5:$H$21,7,FALSE),1))</f>
        <v>4</v>
      </c>
      <c r="BP922">
        <f>IF($H922="","",MAX(1,MIN(5,((6-$H922)*0.45)+($BJ922*0.2)+('Resilience &amp; Risk Scenario'!$B$7*0.15)+($BK922*0.1)+($BL922*0.05)+(IF($BB922="Fast",5,IF($BB922="Slow",1,3))*0.05))))</f>
        <v>3.5</v>
      </c>
      <c r="BQ922">
        <f t="shared" si="237"/>
        <v>4</v>
      </c>
      <c r="BR922">
        <f t="shared" si="238"/>
        <v>14</v>
      </c>
      <c r="BS922">
        <f t="shared" si="239"/>
        <v>11.9</v>
      </c>
      <c r="BT922" t="str">
        <f>IFERROR(INDEX(_REF_Capability_Bridge!$D:$D,MATCH($C922&amp;"|"&amp;$D922,_REF_Capability_Bridge!$J:$J,0)),IFERROR(INDEX(_REF_Capability_Bridge!$D:$D,MATCH($C922&amp;"|",_REF_Capability_Bridge!$J:$J,0)),"CAP_GENERIC"))</f>
        <v>CAP_DELIVERY_CONTINUITY</v>
      </c>
      <c r="BU922">
        <f>IFERROR(IFERROR(INDEX(_ENGINE_Relevance!$L:$L,MATCH($BT922,_ENGINE_Relevance!$B:$B,0)),1),1)</f>
        <v>1</v>
      </c>
      <c r="BV922" t="str">
        <f>IFERROR(INDEX(_REF_Capability_Bridge!$A:$A,MATCH($C922&amp;"|"&amp;$D922,_REF_Capability_Bridge!$J:$J,0)),IFERROR(INDEX(_REF_Capability_Bridge!$A:$A,MATCH($C922&amp;"|",_REF_Capability_Bridge!$J:$J,0)),"No bridge"))</f>
        <v>BRG-073</v>
      </c>
      <c r="BW922" t="str">
        <f t="shared" si="240"/>
        <v>Capability relevance neutral</v>
      </c>
      <c r="BX922" t="str">
        <f t="shared" si="241"/>
        <v>Initial / absent</v>
      </c>
      <c r="BY922" t="str">
        <f>IF($E922="","",IFERROR(INDEX(_REF_Treatment_Library!$A$2:$A$296,MATCH(1,INDEX((_REF_Treatment_Library!$B$2:$B$296=$BT922)*(_REF_Treatment_Library!$C$2:$C$296=PV_Canonical_Industry)*(_REF_Treatment_Library!$E$2:$E$296&lt;=N($H922))*(_REF_Treatment_Library!$F$2:$F$296&gt;=N($H922))*(_REF_Treatment_Library!$O$2:$O$296="Yes"),0),0)),IFERROR(INDEX(_REF_Treatment_Library!$A$2:$A$296,MATCH(1,INDEX((_REF_Treatment_Library!$B$2:$B$296=$BT922)*(_REF_Treatment_Library!$C$2:$C$296="All")*(_REF_Treatment_Library!$E$2:$E$296&lt;=N($H922))*(_REF_Treatment_Library!$F$2:$F$296&gt;=N($H922))*(_REF_Treatment_Library!$O$2:$O$296="Yes"),0),0)),"")))</f>
        <v>TRT-DELIVERY_CONTINUITY-INITIAL</v>
      </c>
      <c r="BZ922" t="str">
        <f>IF($BY922="","",IFERROR(INDEX(_REF_Treatment_Library!$H$2:$H$296,MATCH($BY922,_REF_Treatment_Library!$A$2:$A$296,0)),""))</f>
        <v>Establish</v>
      </c>
      <c r="CA922" t="str">
        <f>IF($BY922="","",IFERROR(INDEX(_REF_Treatment_Library!$I$2:$I$296,MATCH($BY922,_REF_Treatment_Library!$A$2:$A$296,0)),""))</f>
        <v>Establish baseline controls for Delivery continuity</v>
      </c>
      <c r="CB922" t="str">
        <f>IF($BY922="","",IFERROR(INDEX(_REF_Treatment_Library!$K$2:$K$296,MATCH($BY922,_REF_Treatment_Library!$A$2:$A$296,0)),""))</f>
        <v>Named owner, baseline process, minimum control checklist, first evidence package</v>
      </c>
      <c r="CC922" t="str">
        <f>IF($BY922="","",IFERROR(INDEX(_REF_Treatment_Library!$L$2:$L$296,MATCH($BY922,_REF_Treatment_Library!$A$2:$A$296,0)),""))</f>
        <v>Owner assigned; baseline evidence coverage; open critical gaps</v>
      </c>
      <c r="CD922" t="str">
        <f t="shared" si="242"/>
        <v>Treatment by capability=CAP_DELIVERY_CONTINUITY; band=Initial / absent; score=0.0; treatment=Establish</v>
      </c>
      <c r="CE922" t="str">
        <f>IF($E922="","",IFERROR(INDEX(_REF_Industry_Wording!$A$2:$A$70,MATCH(1,INDEX((_REF_Industry_Wording!$B$2:$B$70=$BT922)*(_REF_Industry_Wording!$C$2:$C$70=PV_Canonical_Industry)*(_REF_Industry_Wording!$K$2:$K$70="Yes"),0),0)),IFERROR(INDEX(_REF_Industry_Wording!$A$2:$A$70,MATCH(1,INDEX((_REF_Industry_Wording!$B$2:$B$70=$BT922)*(_REF_Industry_Wording!$C$2:$C$70="All")*(_REF_Industry_Wording!$K$2:$K$70="Yes"),0),0)),"")))</f>
        <v>IW-ALL-DELIVERY_CONTINUITY</v>
      </c>
      <c r="CF922" t="str">
        <f>IF($CE922="","",IFERROR(INDEX(_REF_Industry_Wording!$E$2:$E$70,MATCH($CE922,_REF_Industry_Wording!$A$2:$A$70,0)),""))</f>
        <v>Delivery continuity weakness</v>
      </c>
      <c r="CG922" t="str">
        <f>IF($CE922="","",IFERROR(INDEX(_REF_Industry_Wording!$F$2:$F$70,MATCH($CE922,_REF_Industry_Wording!$A$2:$A$70,0)),""))</f>
        <v>Strengthen Delivery continuity</v>
      </c>
      <c r="CH922" t="str">
        <f>IF($CE922="","",IFERROR(INDEX(_REF_Industry_Wording!$G$2:$G$70,MATCH($CE922,_REF_Industry_Wording!$A$2:$A$70,0)),""))</f>
        <v>Strengthen Delivery continuity using the selected maturity treatment, crisis scenario and evidence requirements.</v>
      </c>
      <c r="CI922" t="str">
        <f>IF($CE922="","",IFERROR(INDEX(_REF_Industry_Wording!$H$2:$H$70,MATCH($CE922,_REF_Industry_Wording!$A$2:$A$70,0)),""))</f>
        <v>Delivery continuity</v>
      </c>
      <c r="CJ922">
        <f>IF($CE922="","",IFERROR(INDEX(_REF_Industry_Wording!$I$2:$I$70,MATCH($CE922,_REF_Industry_Wording!$A$2:$A$70,0)),""))</f>
        <v>0</v>
      </c>
      <c r="CK922" t="str">
        <f>IF($CE922="","",IFERROR(INDEX(_REF_Industry_Wording!$J$2:$J$70,MATCH($CE922,_REF_Industry_Wording!$A$2:$A$70,0)),""))</f>
        <v>Delivery continuity</v>
      </c>
      <c r="CL922" t="str">
        <f t="shared" si="243"/>
        <v>Wording by industry=0; capability=CAP_DELIVERY_CONTINUITY; risk label=Delivery continuity weakness</v>
      </c>
      <c r="CM922" t="str">
        <f t="shared" si="244"/>
        <v>RISK-ONT-0423</v>
      </c>
      <c r="CN922" t="str">
        <f t="shared" si="245"/>
        <v>RISK-EVT-0423</v>
      </c>
      <c r="CO922" t="str">
        <f t="shared" si="246"/>
        <v>Quality Portfolio|Portfolio and change|QUAL-023|CAP_DELIVERY_CONTINUITY</v>
      </c>
      <c r="CP922" t="str">
        <f t="shared" si="247"/>
        <v>Active</v>
      </c>
      <c r="CQ922" t="str">
        <f t="shared" si="248"/>
        <v>OK: capability-driven</v>
      </c>
      <c r="CR922" t="str">
        <f t="shared" si="249"/>
        <v>Risk ontology uses capability=CAP_DELIVERY_CONTINUITY; bridge=BRG-073; treatment=TRT-DELIVERY_CONTINUITY-INITIAL; wording=IW-ALL-DELIVERY_CONTINUITY</v>
      </c>
      <c r="CS922" t="str">
        <f t="shared" si="250"/>
        <v>Yes</v>
      </c>
    </row>
    <row r="923" spans="1:97">
      <c r="A923">
        <f>IF(OR($B923&lt;&gt;"Yes",$BS923=""),"",SUMPRODUCT(($B$500:$B$923="Yes")*ISNUMBER($BS$500:$BS$923)*($BS$500:$BS$923&gt;$BS923))+COUNTIFS($B$500:$B923,"Yes",$BS$500:$BS923,$BS923))</f>
        <v>392</v>
      </c>
      <c r="B923" t="str">
        <f t="shared" si="219"/>
        <v>Yes</v>
      </c>
      <c r="C923" t="s">
        <v>3204</v>
      </c>
      <c r="D923" t="s">
        <v>3225</v>
      </c>
      <c r="E923" t="s">
        <v>3345</v>
      </c>
      <c r="F923" t="s">
        <v>10538</v>
      </c>
      <c r="G923" t="str">
        <f>IF($H923="","",IFERROR(INDEX(_ENGINE_Risk!$H$5:$M$499,MATCH($E923,_ENGINE_Risk!$A$5:$A$499,0),$H923+1),""))</f>
        <v>Severe risk: innovation and idea pipeline capturing, evaluating and funding employee and customer-driven improvements is not reliably controlled. During Demand shock; Reputation crisis, the organization may face missed improvement potential, a reactive-only change agenda and weak adaptation capacity with limited visibility or accountability.</v>
      </c>
      <c r="H923">
        <f>IFERROR(VALUE(INDEX(_DATA_Assessment_Model!$H$5:$H$884,MATCH($E923,_DATA_Assessment_Model!$A$5:$A$884,0))),"")</f>
        <v>0</v>
      </c>
      <c r="I923" t="str">
        <f>IF($H923="","",IFERROR(INDEX(_DATA_Assessment_Model!$L$5:$L$884,MATCH($E923,_DATA_Assessment_Model!$A$5:$A$884,0)),IF($H923&lt;=1,"Critical",IF($H923=2,"High",IF($H923=3,"Medium",IF($H923=4,"Low","Resilient"))))))</f>
        <v>Critical</v>
      </c>
      <c r="J923">
        <f t="shared" si="220"/>
        <v>3.5</v>
      </c>
      <c r="K923">
        <f t="shared" si="221"/>
        <v>4</v>
      </c>
      <c r="L923">
        <f t="shared" si="222"/>
        <v>14</v>
      </c>
      <c r="M923">
        <f t="shared" si="223"/>
        <v>3</v>
      </c>
      <c r="N923">
        <f>IF($H923="","",IFERROR(INDEX(_ENGINE_Risk!$T$5:$Y$499,MATCH($E923,_ENGINE_Risk!$A$5:$A$499,0),$H923+1),""))</f>
        <v>2</v>
      </c>
      <c r="O923">
        <f t="shared" si="224"/>
        <v>3.3333333333333335</v>
      </c>
      <c r="P923">
        <f t="shared" si="225"/>
        <v>5</v>
      </c>
      <c r="Q923">
        <f t="shared" si="226"/>
        <v>4.3</v>
      </c>
      <c r="R923">
        <f t="shared" si="227"/>
        <v>3.5</v>
      </c>
      <c r="S923">
        <f t="shared" si="228"/>
        <v>2.02</v>
      </c>
      <c r="T923" t="str">
        <f>IF($H923="","",IFERROR(INDEX(_ENGINE_Risk!$N$5:$S$499,MATCH($E923,_ENGINE_Risk!$A$5:$A$499,0),$H923+1),""))</f>
        <v>Create an immediate risk owner, minimum control baseline and fallback procedure for innovation and idea pipeline capturing, evaluating and funding employee and customer-driven improvements. Add it to the crisis risk register and collect first evidence.</v>
      </c>
      <c r="U923">
        <f>IFERROR(INDEX(_DATA_Assessment_Model!$G$5:$G$884,MATCH($E923,_DATA_Assessment_Model!$A$5:$A$884,0)),"")</f>
        <v>3</v>
      </c>
      <c r="V923">
        <f>IFERROR(INDEX(_DATA_Assessment_Model!$W$5:$W$884,MATCH($E923,_DATA_Assessment_Model!$A$5:$A$884,0)),"")</f>
        <v>3</v>
      </c>
      <c r="W923">
        <f>IFERROR(INDEX(_DATA_Assessment_Model!$X$5:$X$884,MATCH($E923,_DATA_Assessment_Model!$A$5:$A$884,0)),"")</f>
        <v>3</v>
      </c>
      <c r="X923">
        <f>IFERROR(INDEX(_DATA_Assessment_Model!$Y$5:$Y$884,MATCH($E923,_DATA_Assessment_Model!$A$5:$A$884,0)),"")</f>
        <v>4</v>
      </c>
      <c r="Y923" t="s">
        <v>3355</v>
      </c>
      <c r="Z923" t="s">
        <v>10601</v>
      </c>
      <c r="AA923" t="s">
        <v>10600</v>
      </c>
      <c r="AB923">
        <f>IFERROR(INDEX(_DATA_Assessment_Model!$U$5:$U$884,MATCH($E923,_DATA_Assessment_Model!$A$5:$A$884,0)),"")</f>
        <v>0</v>
      </c>
      <c r="AF923" t="s">
        <v>3346</v>
      </c>
      <c r="AO923">
        <f>IF($B923="Yes",IF(IFERROR(INDEX(_ENGINE_Crisis!$F$501:$F$517,MATCH($C923,_ENGINE_Crisis!$A$501:$A$517,0)),1)=0,1,IFERROR(INDEX(_ENGINE_Crisis!$F$501:$F$517,MATCH($C923,_ENGINE_Crisis!$A$501:$A$517,0)),1)),"")</f>
        <v>1</v>
      </c>
      <c r="AP923">
        <f t="shared" si="229"/>
        <v>14</v>
      </c>
      <c r="AQ923">
        <f t="shared" si="230"/>
        <v>2.02</v>
      </c>
      <c r="AR923" t="str">
        <f>IFERROR(INDEX(_ENGINE_Crisis!$E$41:$E$700,MATCH('Resilience &amp; Risk Scenario'!$B$6&amp;"|"&amp;$C923,_ENGINE_Crisis!$I$41:$I$700,0)),"")</f>
        <v/>
      </c>
      <c r="AS923" t="str">
        <f>IFERROR(INDEX(_ENGINE_Crisis!$G$41:$G$700,MATCH('Resilience &amp; Risk Scenario'!$B$6&amp;"|"&amp;$C923,_ENGINE_Crisis!$I$41:$I$700,0)),"")</f>
        <v/>
      </c>
      <c r="AT923" t="str">
        <f>IFERROR(INDEX(_ENGINE_Initiatives!$A$5:$A$532,MATCH(1,INDEX((_ENGINE_Initiatives!$B$5:$B$532=$C923)*(_ENGINE_Initiatives!$C$5:$C$532=$D923),0),0)),"")</f>
        <v>INI-071</v>
      </c>
      <c r="AU923" t="str">
        <f>IFERROR(INDEX(_ENGINE_Initiatives!$F$5:$F$532,MATCH(1,INDEX((_ENGINE_Initiatives!$B$5:$B$532=$C923)*(_ENGINE_Initiatives!$C$5:$C$532=$D923),0),0)),"")</f>
        <v>Implement portfolio governance, prioritization and change control</v>
      </c>
      <c r="AV923">
        <f>IFERROR(INDEX(_ENGINE_Initiatives!$AC$5:$AC$532,MATCH(1,INDEX((_ENGINE_Initiatives!$B$5:$B$532=$C923)*(_ENGINE_Initiatives!$C$5:$C$532=$D923),0),0)),"")</f>
        <v>2.54</v>
      </c>
      <c r="AW923" t="str">
        <f>IFERROR(INDEX(_ENGINE_Initiatives!$AE$5:$AE$532,MATCH(1,INDEX((_ENGINE_Initiatives!$B$5:$B$532=$C923)*(_ENGINE_Initiatives!$C$5:$C$532=$D923),0),0)),"")</f>
        <v>0-90 days</v>
      </c>
      <c r="AX923">
        <f>IF($B923="Yes",IFERROR((IF(SUMIFS(_REF_Model_Content!$E$1:$E$613,_REF_Model_Content!$A$1:$A$613,PV_Canonical_Industry,_REF_Model_Content!$B$1:$B$613,$C923)=0,1,SUMIFS(_REF_Model_Content!$E$1:$E$613,_REF_Model_Content!$A$1:$A$613,PV_Canonical_Industry,_REF_Model_Content!$B$1:$B$613,$C923))*IFERROR($BU923,1)),1),"")</f>
        <v>1</v>
      </c>
      <c r="AY923">
        <f t="shared" si="231"/>
        <v>14</v>
      </c>
      <c r="AZ923">
        <f t="shared" si="232"/>
        <v>2.02</v>
      </c>
      <c r="BB923" t="str">
        <f>IF($H923="","",IFERROR(INDEX(_ENGINE_Risk!$AE$5:$AE$499,MATCH($E923,_ENGINE_Risk!$A$5:$A$499,0)),"Medium"))</f>
        <v>Slow</v>
      </c>
      <c r="BC923">
        <f t="shared" si="233"/>
        <v>0.85</v>
      </c>
      <c r="BD923">
        <f t="shared" si="234"/>
        <v>2.02</v>
      </c>
      <c r="BF923">
        <f>IF(OR($H923="",$J923=""),"",IFERROR(VLOOKUP(ROUND($J923,0),_CONFIG_Model_Settings!$D$154:$E$158,2,0),""))</f>
        <v>0.5</v>
      </c>
      <c r="BG923">
        <f>IFERROR(IF(OR($H923="",$K923=""),"",ROUND('Company Profile'!$B$113*INDEX(_CONFIG_Model_Settings!$H$154:$H$158,MATCH(ROUND($K923,0),_CONFIG_Model_Settings!$G$154:$G$158,0)),0)),0)</f>
        <v>875</v>
      </c>
      <c r="BH923">
        <f t="shared" si="235"/>
        <v>437.5</v>
      </c>
      <c r="BI923">
        <f t="shared" si="236"/>
        <v>437.5</v>
      </c>
      <c r="BJ923">
        <f>IF($E923="","",IFERROR(VLOOKUP($C923,_CONFIG_Risk_Calibration!$A$5:$H$21,2,FALSE),3))</f>
        <v>3</v>
      </c>
      <c r="BK923">
        <f>IF($E923="","",IFERROR(VLOOKUP($C923,_CONFIG_Risk_Calibration!$A$5:$H$21,3,FALSE),0))</f>
        <v>0</v>
      </c>
      <c r="BL923">
        <f>IF($E923="","",IFERROR(VLOOKUP($C923,_CONFIG_Risk_Calibration!$A$5:$H$21,4,FALSE),3))</f>
        <v>3</v>
      </c>
      <c r="BM923">
        <f>IF($E923="","",IFERROR(VLOOKUP($C923,_CONFIG_Risk_Calibration!$A$5:$H$21,5,FALSE),3))</f>
        <v>3</v>
      </c>
      <c r="BN923" t="str">
        <f>IF($E923="","",IFERROR(VLOOKUP($C923,_CONFIG_Risk_Calibration!$A$5:$H$21,6,FALSE),"No"))</f>
        <v>Yes</v>
      </c>
      <c r="BO923">
        <f>IF($E923="","",IFERROR(VLOOKUP($C923,_CONFIG_Risk_Calibration!$A$5:$H$21,7,FALSE),1))</f>
        <v>4</v>
      </c>
      <c r="BP923">
        <f>IF($H923="","",MAX(1,MIN(5,((6-$H923)*0.45)+($BJ923*0.2)+('Resilience &amp; Risk Scenario'!$B$7*0.15)+($BK923*0.1)+($BL923*0.05)+(IF($BB923="Fast",5,IF($BB923="Slow",1,3))*0.05))))</f>
        <v>3.5</v>
      </c>
      <c r="BQ923">
        <f t="shared" si="237"/>
        <v>4</v>
      </c>
      <c r="BR923">
        <f t="shared" si="238"/>
        <v>14</v>
      </c>
      <c r="BS923">
        <f t="shared" si="239"/>
        <v>11.9</v>
      </c>
      <c r="BT923" t="str">
        <f>IFERROR(INDEX(_REF_Capability_Bridge!$D:$D,MATCH($C923&amp;"|"&amp;$D923,_REF_Capability_Bridge!$J:$J,0)),IFERROR(INDEX(_REF_Capability_Bridge!$D:$D,MATCH($C923&amp;"|",_REF_Capability_Bridge!$J:$J,0)),"CAP_GENERIC"))</f>
        <v>CAP_DELIVERY_CONTINUITY</v>
      </c>
      <c r="BU923">
        <f>IFERROR(IFERROR(INDEX(_ENGINE_Relevance!$L:$L,MATCH($BT923,_ENGINE_Relevance!$B:$B,0)),1),1)</f>
        <v>1</v>
      </c>
      <c r="BV923" t="str">
        <f>IFERROR(INDEX(_REF_Capability_Bridge!$A:$A,MATCH($C923&amp;"|"&amp;$D923,_REF_Capability_Bridge!$J:$J,0)),IFERROR(INDEX(_REF_Capability_Bridge!$A:$A,MATCH($C923&amp;"|",_REF_Capability_Bridge!$J:$J,0)),"No bridge"))</f>
        <v>BRG-073</v>
      </c>
      <c r="BW923" t="str">
        <f t="shared" si="240"/>
        <v>Capability relevance neutral</v>
      </c>
      <c r="BX923" t="str">
        <f t="shared" si="241"/>
        <v>Initial / absent</v>
      </c>
      <c r="BY923" t="str">
        <f>IF($E923="","",IFERROR(INDEX(_REF_Treatment_Library!$A$2:$A$296,MATCH(1,INDEX((_REF_Treatment_Library!$B$2:$B$296=$BT923)*(_REF_Treatment_Library!$C$2:$C$296=PV_Canonical_Industry)*(_REF_Treatment_Library!$E$2:$E$296&lt;=N($H923))*(_REF_Treatment_Library!$F$2:$F$296&gt;=N($H923))*(_REF_Treatment_Library!$O$2:$O$296="Yes"),0),0)),IFERROR(INDEX(_REF_Treatment_Library!$A$2:$A$296,MATCH(1,INDEX((_REF_Treatment_Library!$B$2:$B$296=$BT923)*(_REF_Treatment_Library!$C$2:$C$296="All")*(_REF_Treatment_Library!$E$2:$E$296&lt;=N($H923))*(_REF_Treatment_Library!$F$2:$F$296&gt;=N($H923))*(_REF_Treatment_Library!$O$2:$O$296="Yes"),0),0)),"")))</f>
        <v>TRT-DELIVERY_CONTINUITY-INITIAL</v>
      </c>
      <c r="BZ923" t="str">
        <f>IF($BY923="","",IFERROR(INDEX(_REF_Treatment_Library!$H$2:$H$296,MATCH($BY923,_REF_Treatment_Library!$A$2:$A$296,0)),""))</f>
        <v>Establish</v>
      </c>
      <c r="CA923" t="str">
        <f>IF($BY923="","",IFERROR(INDEX(_REF_Treatment_Library!$I$2:$I$296,MATCH($BY923,_REF_Treatment_Library!$A$2:$A$296,0)),""))</f>
        <v>Establish baseline controls for Delivery continuity</v>
      </c>
      <c r="CB923" t="str">
        <f>IF($BY923="","",IFERROR(INDEX(_REF_Treatment_Library!$K$2:$K$296,MATCH($BY923,_REF_Treatment_Library!$A$2:$A$296,0)),""))</f>
        <v>Named owner, baseline process, minimum control checklist, first evidence package</v>
      </c>
      <c r="CC923" t="str">
        <f>IF($BY923="","",IFERROR(INDEX(_REF_Treatment_Library!$L$2:$L$296,MATCH($BY923,_REF_Treatment_Library!$A$2:$A$296,0)),""))</f>
        <v>Owner assigned; baseline evidence coverage; open critical gaps</v>
      </c>
      <c r="CD923" t="str">
        <f t="shared" si="242"/>
        <v>Treatment by capability=CAP_DELIVERY_CONTINUITY; band=Initial / absent; score=0.0; treatment=Establish</v>
      </c>
      <c r="CE923" t="str">
        <f>IF($E923="","",IFERROR(INDEX(_REF_Industry_Wording!$A$2:$A$70,MATCH(1,INDEX((_REF_Industry_Wording!$B$2:$B$70=$BT923)*(_REF_Industry_Wording!$C$2:$C$70=PV_Canonical_Industry)*(_REF_Industry_Wording!$K$2:$K$70="Yes"),0),0)),IFERROR(INDEX(_REF_Industry_Wording!$A$2:$A$70,MATCH(1,INDEX((_REF_Industry_Wording!$B$2:$B$70=$BT923)*(_REF_Industry_Wording!$C$2:$C$70="All")*(_REF_Industry_Wording!$K$2:$K$70="Yes"),0),0)),"")))</f>
        <v>IW-ALL-DELIVERY_CONTINUITY</v>
      </c>
      <c r="CF923" t="str">
        <f>IF($CE923="","",IFERROR(INDEX(_REF_Industry_Wording!$E$2:$E$70,MATCH($CE923,_REF_Industry_Wording!$A$2:$A$70,0)),""))</f>
        <v>Delivery continuity weakness</v>
      </c>
      <c r="CG923" t="str">
        <f>IF($CE923="","",IFERROR(INDEX(_REF_Industry_Wording!$F$2:$F$70,MATCH($CE923,_REF_Industry_Wording!$A$2:$A$70,0)),""))</f>
        <v>Strengthen Delivery continuity</v>
      </c>
      <c r="CH923" t="str">
        <f>IF($CE923="","",IFERROR(INDEX(_REF_Industry_Wording!$G$2:$G$70,MATCH($CE923,_REF_Industry_Wording!$A$2:$A$70,0)),""))</f>
        <v>Strengthen Delivery continuity using the selected maturity treatment, crisis scenario and evidence requirements.</v>
      </c>
      <c r="CI923" t="str">
        <f>IF($CE923="","",IFERROR(INDEX(_REF_Industry_Wording!$H$2:$H$70,MATCH($CE923,_REF_Industry_Wording!$A$2:$A$70,0)),""))</f>
        <v>Delivery continuity</v>
      </c>
      <c r="CJ923">
        <f>IF($CE923="","",IFERROR(INDEX(_REF_Industry_Wording!$I$2:$I$70,MATCH($CE923,_REF_Industry_Wording!$A$2:$A$70,0)),""))</f>
        <v>0</v>
      </c>
      <c r="CK923" t="str">
        <f>IF($CE923="","",IFERROR(INDEX(_REF_Industry_Wording!$J$2:$J$70,MATCH($CE923,_REF_Industry_Wording!$A$2:$A$70,0)),""))</f>
        <v>Delivery continuity</v>
      </c>
      <c r="CL923" t="str">
        <f t="shared" si="243"/>
        <v>Wording by industry=0; capability=CAP_DELIVERY_CONTINUITY; risk label=Delivery continuity weakness</v>
      </c>
      <c r="CM923" t="str">
        <f t="shared" si="244"/>
        <v>RISK-ONT-0424</v>
      </c>
      <c r="CN923" t="str">
        <f t="shared" si="245"/>
        <v>RISK-EVT-0424</v>
      </c>
      <c r="CO923" t="str">
        <f t="shared" si="246"/>
        <v>Quality Portfolio|Portfolio and change|QUAL-024|CAP_DELIVERY_CONTINUITY</v>
      </c>
      <c r="CP923" t="str">
        <f t="shared" si="247"/>
        <v>Active</v>
      </c>
      <c r="CQ923" t="str">
        <f t="shared" si="248"/>
        <v>OK: capability-driven</v>
      </c>
      <c r="CR923" t="str">
        <f t="shared" si="249"/>
        <v>Risk ontology uses capability=CAP_DELIVERY_CONTINUITY; bridge=BRG-073; treatment=TRT-DELIVERY_CONTINUITY-INITIAL; wording=IW-ALL-DELIVERY_CONTINUITY</v>
      </c>
      <c r="CS923" t="str">
        <f t="shared" si="250"/>
        <v>Yes</v>
      </c>
    </row>
  </sheetData>
  <autoFilter ref="A4:AL428" xr:uid="{00000000-0009-0000-0000-000009000000}"/>
  <mergeCells count="2">
    <mergeCell ref="A2:AD2"/>
    <mergeCell ref="A1:AD1"/>
  </mergeCells>
  <pageMargins left="0.75" right="0.75" top="1" bottom="1" header="0.5" footer="0.5"/>
  <pageSetup fitToHeight="0" orientation="landscape"/>
  <headerFooter>
    <oddFooter>&amp;R© Roman Reznikov / RR-framework — CC BY-NC-SA 4.0 — For authorized use only</oddFooter>
    <evenFooter>&amp;R© Roman Reznikov / RR-framework — CC BY-NC-SA 4.0 — For authorized use only</evenFooter>
    <firstFooter>&amp;R© Roman Reznikov / RR-framework — CC BY-NC-SA 4.0 — For authorized use only</first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11827"/>
    <pageSetUpPr fitToPage="1"/>
  </sheetPr>
  <dimension ref="A1:BB517"/>
  <sheetViews>
    <sheetView showGridLines="0" workbookViewId="0">
      <pane ySplit="3" topLeftCell="A4" activePane="bottomLeft" state="frozen"/>
      <selection pane="bottomLeft"/>
    </sheetView>
  </sheetViews>
  <sheetFormatPr defaultRowHeight="14.15"/>
  <cols>
    <col min="1" max="1" width="26" customWidth="1"/>
    <col min="2" max="2" width="24" customWidth="1"/>
    <col min="3" max="3" width="16" customWidth="1"/>
    <col min="4" max="4" width="22" customWidth="1"/>
    <col min="5" max="5" width="55" customWidth="1"/>
    <col min="6" max="6" width="30" customWidth="1"/>
    <col min="7" max="7" width="55" customWidth="1"/>
    <col min="8" max="8" width="35" customWidth="1"/>
    <col min="9" max="10" width="45" customWidth="1"/>
    <col min="33" max="33" width="26" customWidth="1"/>
  </cols>
  <sheetData>
    <row r="1" spans="1:11" ht="25.95" customHeight="1">
      <c r="A1" s="303" t="s">
        <v>10659</v>
      </c>
      <c r="B1" s="304"/>
      <c r="C1" s="304"/>
      <c r="D1" s="304"/>
      <c r="E1" s="304"/>
      <c r="F1" s="304"/>
      <c r="G1" s="304"/>
      <c r="H1" s="304"/>
      <c r="I1" s="304"/>
      <c r="J1" s="305"/>
      <c r="K1" s="97"/>
    </row>
    <row r="2" spans="1:11" ht="34.1" customHeight="1">
      <c r="A2" s="306" t="s">
        <v>10660</v>
      </c>
      <c r="B2" s="267"/>
      <c r="C2" s="267"/>
      <c r="D2" s="267"/>
      <c r="E2" s="267"/>
      <c r="F2" s="267"/>
      <c r="G2" s="267"/>
      <c r="H2" s="267"/>
      <c r="I2" s="267"/>
      <c r="J2" s="267"/>
      <c r="K2" s="77"/>
    </row>
    <row r="4" spans="1:11" ht="27.9" customHeight="1">
      <c r="A4" s="15" t="s">
        <v>10661</v>
      </c>
      <c r="B4" s="15" t="s">
        <v>764</v>
      </c>
      <c r="C4" s="15" t="s">
        <v>10662</v>
      </c>
      <c r="D4" s="15" t="s">
        <v>10663</v>
      </c>
      <c r="E4" s="15" t="s">
        <v>3897</v>
      </c>
      <c r="F4" s="15" t="s">
        <v>10664</v>
      </c>
      <c r="G4" s="15" t="s">
        <v>10665</v>
      </c>
      <c r="H4" s="15" t="s">
        <v>10666</v>
      </c>
      <c r="I4" s="15" t="s">
        <v>10667</v>
      </c>
      <c r="J4" s="15" t="s">
        <v>744</v>
      </c>
      <c r="K4" t="s">
        <v>10668</v>
      </c>
    </row>
    <row r="5" spans="1:11" ht="28.5" customHeight="1">
      <c r="A5" s="14" t="s">
        <v>642</v>
      </c>
      <c r="B5" s="14" t="s">
        <v>815</v>
      </c>
      <c r="C5" s="14">
        <v>1.6</v>
      </c>
      <c r="D5" s="14">
        <f>ROUND(C5*(1+('Resilience &amp; Risk Scenario'!$B$7-3)*0.15),2)</f>
        <v>0.88</v>
      </c>
      <c r="E5" s="14" t="s">
        <v>10669</v>
      </c>
      <c r="F5" s="14" t="s">
        <v>10670</v>
      </c>
      <c r="G5" s="14" t="s">
        <v>10671</v>
      </c>
      <c r="H5" s="14" t="s">
        <v>10672</v>
      </c>
      <c r="I5" s="14" t="str">
        <f t="shared" ref="I5:I68" si="0">A5&amp;"|"&amp;B5</f>
        <v>War / geopolitical escalation|Company Geography</v>
      </c>
      <c r="J5" s="14" t="s">
        <v>10673</v>
      </c>
      <c r="K5">
        <f>IFERROR(INDEX(_ENGINE_Crisis!$AH$292:$AS$303,MATCH('Resilience &amp; Risk Scenario'!$B$6,_ENGINE_Crisis!$AG$292:$AG$303,0),MATCH($A5,_ENGINE_Crisis!$AH$291:$AS$291,0)),0)</f>
        <v>0</v>
      </c>
    </row>
    <row r="6" spans="1:11" ht="28.5" customHeight="1">
      <c r="A6" s="14" t="s">
        <v>642</v>
      </c>
      <c r="B6" s="14" t="s">
        <v>949</v>
      </c>
      <c r="C6" s="14">
        <v>1</v>
      </c>
      <c r="D6" s="14">
        <f>ROUND(C6*(1+('Resilience &amp; Risk Scenario'!$B$7-3)*0.15),2)</f>
        <v>0.55000000000000004</v>
      </c>
      <c r="E6" s="14" t="s">
        <v>10674</v>
      </c>
      <c r="F6" s="14" t="s">
        <v>10675</v>
      </c>
      <c r="G6" s="14" t="s">
        <v>10676</v>
      </c>
      <c r="H6" s="14" t="s">
        <v>10677</v>
      </c>
      <c r="I6" s="14" t="str">
        <f t="shared" si="0"/>
        <v>War / geopolitical escalation|Strategy GTM</v>
      </c>
      <c r="J6" s="14" t="s">
        <v>10673</v>
      </c>
      <c r="K6">
        <f>IFERROR(INDEX(_ENGINE_Crisis!$AH$292:$AS$303,MATCH('Resilience &amp; Risk Scenario'!$B$6,_ENGINE_Crisis!$AG$292:$AG$303,0),MATCH($A6,_ENGINE_Crisis!$AH$291:$AS$291,0)),0)</f>
        <v>0</v>
      </c>
    </row>
    <row r="7" spans="1:11" ht="28.5" customHeight="1">
      <c r="A7" s="14" t="s">
        <v>642</v>
      </c>
      <c r="B7" s="14" t="s">
        <v>1150</v>
      </c>
      <c r="C7" s="14">
        <v>1.4</v>
      </c>
      <c r="D7" s="14">
        <f>ROUND(C7*(1+('Resilience &amp; Risk Scenario'!$B$7-3)*0.15),2)</f>
        <v>0.77</v>
      </c>
      <c r="E7" s="14" t="s">
        <v>10678</v>
      </c>
      <c r="F7" s="14" t="s">
        <v>10670</v>
      </c>
      <c r="G7" s="14" t="s">
        <v>10679</v>
      </c>
      <c r="H7" s="14" t="s">
        <v>10680</v>
      </c>
      <c r="I7" s="14" t="str">
        <f t="shared" si="0"/>
        <v>War / geopolitical escalation|Governance Crisis</v>
      </c>
      <c r="J7" s="14" t="s">
        <v>10673</v>
      </c>
      <c r="K7">
        <f>IFERROR(INDEX(_ENGINE_Crisis!$AH$292:$AS$303,MATCH('Resilience &amp; Risk Scenario'!$B$6,_ENGINE_Crisis!$AG$292:$AG$303,0),MATCH($A7,_ENGINE_Crisis!$AH$291:$AS$291,0)),0)</f>
        <v>0</v>
      </c>
    </row>
    <row r="8" spans="1:11" ht="28.5" customHeight="1">
      <c r="A8" s="14" t="s">
        <v>642</v>
      </c>
      <c r="B8" s="14" t="s">
        <v>1259</v>
      </c>
      <c r="C8" s="14">
        <v>1.8</v>
      </c>
      <c r="D8" s="14">
        <f>ROUND(C8*(1+('Resilience &amp; Risk Scenario'!$B$7-3)*0.15),2)</f>
        <v>0.99</v>
      </c>
      <c r="E8" s="14" t="s">
        <v>10681</v>
      </c>
      <c r="F8" s="14" t="s">
        <v>10682</v>
      </c>
      <c r="G8" s="14" t="s">
        <v>10683</v>
      </c>
      <c r="H8" s="14" t="s">
        <v>10684</v>
      </c>
      <c r="I8" s="14" t="str">
        <f t="shared" si="0"/>
        <v>War / geopolitical escalation|HR Workforce</v>
      </c>
      <c r="J8" s="14" t="s">
        <v>10673</v>
      </c>
      <c r="K8">
        <f>IFERROR(INDEX(_ENGINE_Crisis!$AH$292:$AS$303,MATCH('Resilience &amp; Risk Scenario'!$B$6,_ENGINE_Crisis!$AG$292:$AG$303,0),MATCH($A8,_ENGINE_Crisis!$AH$291:$AS$291,0)),0)</f>
        <v>0</v>
      </c>
    </row>
    <row r="9" spans="1:11" ht="28.5" customHeight="1">
      <c r="A9" s="14" t="s">
        <v>642</v>
      </c>
      <c r="B9" s="14" t="s">
        <v>1401</v>
      </c>
      <c r="C9" s="14">
        <v>1.3</v>
      </c>
      <c r="D9" s="14">
        <f>ROUND(C9*(1+('Resilience &amp; Risk Scenario'!$B$7-3)*0.15),2)</f>
        <v>0.72</v>
      </c>
      <c r="E9" s="14" t="s">
        <v>10685</v>
      </c>
      <c r="F9" s="14" t="s">
        <v>10670</v>
      </c>
      <c r="G9" s="14" t="s">
        <v>10686</v>
      </c>
      <c r="H9" s="14" t="s">
        <v>10687</v>
      </c>
      <c r="I9" s="14" t="str">
        <f t="shared" si="0"/>
        <v>War / geopolitical escalation|Finance Procurement</v>
      </c>
      <c r="J9" s="14" t="s">
        <v>10673</v>
      </c>
      <c r="K9">
        <f>IFERROR(INDEX(_ENGINE_Crisis!$AH$292:$AS$303,MATCH('Resilience &amp; Risk Scenario'!$B$6,_ENGINE_Crisis!$AG$292:$AG$303,0),MATCH($A9,_ENGINE_Crisis!$AH$291:$AS$291,0)),0)</f>
        <v>0</v>
      </c>
    </row>
    <row r="10" spans="1:11" ht="28.5" customHeight="1">
      <c r="A10" s="14" t="s">
        <v>642</v>
      </c>
      <c r="B10" s="14" t="s">
        <v>1551</v>
      </c>
      <c r="C10" s="14">
        <v>1.4</v>
      </c>
      <c r="D10" s="14">
        <f>ROUND(C10*(1+('Resilience &amp; Risk Scenario'!$B$7-3)*0.15),2)</f>
        <v>0.77</v>
      </c>
      <c r="E10" s="14" t="s">
        <v>10688</v>
      </c>
      <c r="F10" s="14" t="s">
        <v>10670</v>
      </c>
      <c r="G10" s="14" t="s">
        <v>10689</v>
      </c>
      <c r="H10" s="14" t="s">
        <v>10690</v>
      </c>
      <c r="I10" s="14" t="str">
        <f t="shared" si="0"/>
        <v>War / geopolitical escalation|Legal Risk</v>
      </c>
      <c r="J10" s="14" t="s">
        <v>10673</v>
      </c>
      <c r="K10">
        <f>IFERROR(INDEX(_ENGINE_Crisis!$AH$292:$AS$303,MATCH('Resilience &amp; Risk Scenario'!$B$6,_ENGINE_Crisis!$AG$292:$AG$303,0),MATCH($A10,_ENGINE_Crisis!$AH$291:$AS$291,0)),0)</f>
        <v>0</v>
      </c>
    </row>
    <row r="11" spans="1:11" ht="28.5" customHeight="1">
      <c r="A11" s="14" t="s">
        <v>642</v>
      </c>
      <c r="B11" s="14" t="s">
        <v>1666</v>
      </c>
      <c r="C11" s="14">
        <v>2</v>
      </c>
      <c r="D11" s="14">
        <f>ROUND(C11*(1+('Resilience &amp; Risk Scenario'!$B$7-3)*0.15),2)</f>
        <v>1.1000000000000001</v>
      </c>
      <c r="E11" s="14" t="s">
        <v>10691</v>
      </c>
      <c r="F11" s="14" t="s">
        <v>10682</v>
      </c>
      <c r="G11" s="14" t="s">
        <v>10692</v>
      </c>
      <c r="H11" s="14" t="s">
        <v>10693</v>
      </c>
      <c r="I11" s="14" t="str">
        <f t="shared" si="0"/>
        <v>War / geopolitical escalation|Physical Safety</v>
      </c>
      <c r="J11" s="14" t="s">
        <v>10673</v>
      </c>
      <c r="K11">
        <f>IFERROR(INDEX(_ENGINE_Crisis!$AH$292:$AS$303,MATCH('Resilience &amp; Risk Scenario'!$B$6,_ENGINE_Crisis!$AG$292:$AG$303,0),MATCH($A11,_ENGINE_Crisis!$AH$291:$AS$291,0)),0)</f>
        <v>0</v>
      </c>
    </row>
    <row r="12" spans="1:11" ht="28.5" customHeight="1">
      <c r="A12" s="14" t="s">
        <v>642</v>
      </c>
      <c r="B12" s="14" t="s">
        <v>1859</v>
      </c>
      <c r="C12" s="14">
        <v>1.7</v>
      </c>
      <c r="D12" s="14">
        <f>ROUND(C12*(1+('Resilience &amp; Risk Scenario'!$B$7-3)*0.15),2)</f>
        <v>0.94</v>
      </c>
      <c r="E12" s="14" t="s">
        <v>10694</v>
      </c>
      <c r="F12" s="14" t="s">
        <v>10682</v>
      </c>
      <c r="G12" s="14" t="s">
        <v>10695</v>
      </c>
      <c r="H12" s="14" t="s">
        <v>10696</v>
      </c>
      <c r="I12" s="14" t="str">
        <f t="shared" si="0"/>
        <v>War / geopolitical escalation|Delivery Ops</v>
      </c>
      <c r="J12" s="14" t="s">
        <v>10673</v>
      </c>
      <c r="K12">
        <f>IFERROR(INDEX(_ENGINE_Crisis!$AH$292:$AS$303,MATCH('Resilience &amp; Risk Scenario'!$B$6,_ENGINE_Crisis!$AG$292:$AG$303,0),MATCH($A12,_ENGINE_Crisis!$AH$291:$AS$291,0)),0)</f>
        <v>0</v>
      </c>
    </row>
    <row r="13" spans="1:11" ht="28.5" customHeight="1">
      <c r="A13" s="14" t="s">
        <v>642</v>
      </c>
      <c r="B13" s="14" t="s">
        <v>1987</v>
      </c>
      <c r="C13" s="14">
        <v>1.7</v>
      </c>
      <c r="D13" s="14">
        <f>ROUND(C13*(1+('Resilience &amp; Risk Scenario'!$B$7-3)*0.15),2)</f>
        <v>0.94</v>
      </c>
      <c r="E13" s="14" t="s">
        <v>10697</v>
      </c>
      <c r="F13" s="14" t="s">
        <v>10682</v>
      </c>
      <c r="G13" s="14" t="s">
        <v>10698</v>
      </c>
      <c r="H13" s="14" t="s">
        <v>10699</v>
      </c>
      <c r="I13" s="14" t="str">
        <f t="shared" si="0"/>
        <v>War / geopolitical escalation|Supply Chain</v>
      </c>
      <c r="J13" s="14" t="s">
        <v>10673</v>
      </c>
      <c r="K13">
        <f>IFERROR(INDEX(_ENGINE_Crisis!$AH$292:$AS$303,MATCH('Resilience &amp; Risk Scenario'!$B$6,_ENGINE_Crisis!$AG$292:$AG$303,0),MATCH($A13,_ENGINE_Crisis!$AH$291:$AS$291,0)),0)</f>
        <v>0</v>
      </c>
    </row>
    <row r="14" spans="1:11" ht="28.5" customHeight="1">
      <c r="A14" s="14" t="s">
        <v>642</v>
      </c>
      <c r="B14" s="14" t="s">
        <v>2145</v>
      </c>
      <c r="C14" s="14">
        <v>1.4</v>
      </c>
      <c r="D14" s="14">
        <f>ROUND(C14*(1+('Resilience &amp; Risk Scenario'!$B$7-3)*0.15),2)</f>
        <v>0.77</v>
      </c>
      <c r="E14" s="14" t="s">
        <v>10700</v>
      </c>
      <c r="F14" s="14" t="s">
        <v>10670</v>
      </c>
      <c r="G14" s="14" t="s">
        <v>10701</v>
      </c>
      <c r="H14" s="14" t="s">
        <v>10702</v>
      </c>
      <c r="I14" s="14" t="str">
        <f t="shared" si="0"/>
        <v>War / geopolitical escalation|Manufacturing MES</v>
      </c>
      <c r="J14" s="14" t="s">
        <v>10673</v>
      </c>
      <c r="K14">
        <f>IFERROR(INDEX(_ENGINE_Crisis!$AH$292:$AS$303,MATCH('Resilience &amp; Risk Scenario'!$B$6,_ENGINE_Crisis!$AG$292:$AG$303,0),MATCH($A14,_ENGINE_Crisis!$AH$291:$AS$291,0)),0)</f>
        <v>0</v>
      </c>
    </row>
    <row r="15" spans="1:11" ht="28.5" customHeight="1">
      <c r="A15" s="14" t="s">
        <v>642</v>
      </c>
      <c r="B15" s="14" t="s">
        <v>2286</v>
      </c>
      <c r="C15" s="14">
        <v>1</v>
      </c>
      <c r="D15" s="14">
        <f>ROUND(C15*(1+('Resilience &amp; Risk Scenario'!$B$7-3)*0.15),2)</f>
        <v>0.55000000000000004</v>
      </c>
      <c r="E15" s="14" t="s">
        <v>10703</v>
      </c>
      <c r="F15" s="14" t="s">
        <v>10675</v>
      </c>
      <c r="G15" s="14" t="s">
        <v>10704</v>
      </c>
      <c r="H15" s="14" t="s">
        <v>10705</v>
      </c>
      <c r="I15" s="14" t="str">
        <f t="shared" si="0"/>
        <v>War / geopolitical escalation|Sales CRM</v>
      </c>
      <c r="J15" s="14" t="s">
        <v>10673</v>
      </c>
      <c r="K15">
        <f>IFERROR(INDEX(_ENGINE_Crisis!$AH$292:$AS$303,MATCH('Resilience &amp; Risk Scenario'!$B$6,_ENGINE_Crisis!$AG$292:$AG$303,0),MATCH($A15,_ENGINE_Crisis!$AH$291:$AS$291,0)),0)</f>
        <v>0</v>
      </c>
    </row>
    <row r="16" spans="1:11" ht="28.5" customHeight="1">
      <c r="A16" s="14" t="s">
        <v>642</v>
      </c>
      <c r="B16" s="14" t="s">
        <v>2473</v>
      </c>
      <c r="C16" s="14">
        <v>1.2</v>
      </c>
      <c r="D16" s="14">
        <f>ROUND(C16*(1+('Resilience &amp; Risk Scenario'!$B$7-3)*0.15),2)</f>
        <v>0.66</v>
      </c>
      <c r="E16" s="14" t="s">
        <v>10706</v>
      </c>
      <c r="F16" s="14" t="s">
        <v>10675</v>
      </c>
      <c r="G16" s="14" t="s">
        <v>10707</v>
      </c>
      <c r="H16" s="14" t="s">
        <v>10708</v>
      </c>
      <c r="I16" s="14" t="str">
        <f t="shared" si="0"/>
        <v>War / geopolitical escalation|Marketing Comms</v>
      </c>
      <c r="J16" s="14" t="s">
        <v>10673</v>
      </c>
      <c r="K16">
        <f>IFERROR(INDEX(_ENGINE_Crisis!$AH$292:$AS$303,MATCH('Resilience &amp; Risk Scenario'!$B$6,_ENGINE_Crisis!$AG$292:$AG$303,0),MATCH($A16,_ENGINE_Crisis!$AH$291:$AS$291,0)),0)</f>
        <v>0</v>
      </c>
    </row>
    <row r="17" spans="1:11" ht="28.5" customHeight="1">
      <c r="A17" s="14" t="s">
        <v>642</v>
      </c>
      <c r="B17" s="14" t="s">
        <v>2588</v>
      </c>
      <c r="C17" s="14">
        <v>1.7</v>
      </c>
      <c r="D17" s="14">
        <f>ROUND(C17*(1+('Resilience &amp; Risk Scenario'!$B$7-3)*0.15),2)</f>
        <v>0.94</v>
      </c>
      <c r="E17" s="14" t="s">
        <v>10709</v>
      </c>
      <c r="F17" s="14" t="s">
        <v>10682</v>
      </c>
      <c r="G17" s="14" t="s">
        <v>10710</v>
      </c>
      <c r="H17" s="14" t="s">
        <v>10711</v>
      </c>
      <c r="I17" s="14" t="str">
        <f t="shared" si="0"/>
        <v>War / geopolitical escalation|IT Cloud DR</v>
      </c>
      <c r="J17" s="14" t="s">
        <v>10673</v>
      </c>
      <c r="K17">
        <f>IFERROR(INDEX(_ENGINE_Crisis!$AH$292:$AS$303,MATCH('Resilience &amp; Risk Scenario'!$B$6,_ENGINE_Crisis!$AG$292:$AG$303,0),MATCH($A17,_ENGINE_Crisis!$AH$291:$AS$291,0)),0)</f>
        <v>0</v>
      </c>
    </row>
    <row r="18" spans="1:11" ht="28.5" customHeight="1">
      <c r="A18" s="14" t="s">
        <v>642</v>
      </c>
      <c r="B18" s="14" t="s">
        <v>2729</v>
      </c>
      <c r="C18" s="14">
        <v>1</v>
      </c>
      <c r="D18" s="14">
        <f>ROUND(C18*(1+('Resilience &amp; Risk Scenario'!$B$7-3)*0.15),2)</f>
        <v>0.55000000000000004</v>
      </c>
      <c r="E18" s="14" t="s">
        <v>10712</v>
      </c>
      <c r="F18" s="14" t="s">
        <v>10675</v>
      </c>
      <c r="G18" s="14" t="s">
        <v>10713</v>
      </c>
      <c r="H18" s="14" t="s">
        <v>10714</v>
      </c>
      <c r="I18" s="14" t="str">
        <f t="shared" si="0"/>
        <v>War / geopolitical escalation|Business Systems</v>
      </c>
      <c r="J18" s="14" t="s">
        <v>10673</v>
      </c>
      <c r="K18">
        <f>IFERROR(INDEX(_ENGINE_Crisis!$AH$292:$AS$303,MATCH('Resilience &amp; Risk Scenario'!$B$6,_ENGINE_Crisis!$AG$292:$AG$303,0),MATCH($A18,_ENGINE_Crisis!$AH$291:$AS$291,0)),0)</f>
        <v>0</v>
      </c>
    </row>
    <row r="19" spans="1:11" ht="28.5" customHeight="1">
      <c r="A19" s="14" t="s">
        <v>642</v>
      </c>
      <c r="B19" s="14" t="s">
        <v>2824</v>
      </c>
      <c r="C19" s="14">
        <v>1</v>
      </c>
      <c r="D19" s="14">
        <f>ROUND(C19*(1+('Resilience &amp; Risk Scenario'!$B$7-3)*0.15),2)</f>
        <v>0.55000000000000004</v>
      </c>
      <c r="E19" s="14" t="s">
        <v>10715</v>
      </c>
      <c r="F19" s="14" t="s">
        <v>10675</v>
      </c>
      <c r="G19" s="14" t="s">
        <v>10716</v>
      </c>
      <c r="H19" s="14" t="s">
        <v>10717</v>
      </c>
      <c r="I19" s="14" t="str">
        <f t="shared" si="0"/>
        <v>War / geopolitical escalation|Data BI AI</v>
      </c>
      <c r="J19" s="14" t="s">
        <v>10673</v>
      </c>
      <c r="K19">
        <f>IFERROR(INDEX(_ENGINE_Crisis!$AH$292:$AS$303,MATCH('Resilience &amp; Risk Scenario'!$B$6,_ENGINE_Crisis!$AG$292:$AG$303,0),MATCH($A19,_ENGINE_Crisis!$AH$291:$AS$291,0)),0)</f>
        <v>0</v>
      </c>
    </row>
    <row r="20" spans="1:11" ht="28.5" customHeight="1">
      <c r="A20" s="14" t="s">
        <v>642</v>
      </c>
      <c r="B20" s="14" t="s">
        <v>2986</v>
      </c>
      <c r="C20" s="14">
        <v>1.5</v>
      </c>
      <c r="D20" s="14">
        <f>ROUND(C20*(1+('Resilience &amp; Risk Scenario'!$B$7-3)*0.15),2)</f>
        <v>0.83</v>
      </c>
      <c r="E20" s="14" t="s">
        <v>10718</v>
      </c>
      <c r="F20" s="14" t="s">
        <v>10670</v>
      </c>
      <c r="G20" s="14" t="s">
        <v>10719</v>
      </c>
      <c r="H20" s="14" t="s">
        <v>10720</v>
      </c>
      <c r="I20" s="14" t="str">
        <f t="shared" si="0"/>
        <v>War / geopolitical escalation|Cyber Privacy</v>
      </c>
      <c r="J20" s="14" t="s">
        <v>10673</v>
      </c>
      <c r="K20">
        <f>IFERROR(INDEX(_ENGINE_Crisis!$AH$292:$AS$303,MATCH('Resilience &amp; Risk Scenario'!$B$6,_ENGINE_Crisis!$AG$292:$AG$303,0),MATCH($A20,_ENGINE_Crisis!$AH$291:$AS$291,0)),0)</f>
        <v>0</v>
      </c>
    </row>
    <row r="21" spans="1:11" ht="28.5" customHeight="1">
      <c r="A21" s="14" t="s">
        <v>642</v>
      </c>
      <c r="B21" s="14" t="s">
        <v>3204</v>
      </c>
      <c r="C21" s="14">
        <v>1</v>
      </c>
      <c r="D21" s="14">
        <f>ROUND(C21*(1+('Resilience &amp; Risk Scenario'!$B$7-3)*0.15),2)</f>
        <v>0.55000000000000004</v>
      </c>
      <c r="E21" s="14" t="s">
        <v>10721</v>
      </c>
      <c r="F21" s="14" t="s">
        <v>10675</v>
      </c>
      <c r="G21" s="14" t="s">
        <v>10722</v>
      </c>
      <c r="H21" s="14" t="s">
        <v>10723</v>
      </c>
      <c r="I21" s="14" t="str">
        <f t="shared" si="0"/>
        <v>War / geopolitical escalation|Quality Portfolio</v>
      </c>
      <c r="J21" s="14" t="s">
        <v>10673</v>
      </c>
      <c r="K21">
        <f>IFERROR(INDEX(_ENGINE_Crisis!$AH$292:$AS$303,MATCH('Resilience &amp; Risk Scenario'!$B$6,_ENGINE_Crisis!$AG$292:$AG$303,0),MATCH($A21,_ENGINE_Crisis!$AH$291:$AS$291,0)),0)</f>
        <v>0</v>
      </c>
    </row>
    <row r="22" spans="1:11" ht="28.5" customHeight="1">
      <c r="A22" s="14" t="s">
        <v>3610</v>
      </c>
      <c r="B22" s="14" t="s">
        <v>815</v>
      </c>
      <c r="C22" s="14">
        <v>1.3</v>
      </c>
      <c r="D22" s="14">
        <f>ROUND(C22*(1+('Resilience &amp; Risk Scenario'!$B$7-3)*0.15),2)</f>
        <v>0.72</v>
      </c>
      <c r="E22" s="14" t="s">
        <v>10669</v>
      </c>
      <c r="F22" s="14" t="s">
        <v>10670</v>
      </c>
      <c r="G22" s="14" t="s">
        <v>10671</v>
      </c>
      <c r="H22" s="14" t="s">
        <v>10672</v>
      </c>
      <c r="I22" s="14" t="str">
        <f t="shared" si="0"/>
        <v>Physical site loss|Company Geography</v>
      </c>
      <c r="J22" s="14" t="s">
        <v>10673</v>
      </c>
      <c r="K22">
        <f>IFERROR(INDEX(_ENGINE_Crisis!$AH$292:$AS$303,MATCH('Resilience &amp; Risk Scenario'!$B$6,_ENGINE_Crisis!$AG$292:$AG$303,0),MATCH($A22,_ENGINE_Crisis!$AH$291:$AS$291,0)),0)</f>
        <v>0</v>
      </c>
    </row>
    <row r="23" spans="1:11" ht="28.5" customHeight="1">
      <c r="A23" s="14" t="s">
        <v>3610</v>
      </c>
      <c r="B23" s="14" t="s">
        <v>949</v>
      </c>
      <c r="C23" s="14">
        <v>1</v>
      </c>
      <c r="D23" s="14">
        <f>ROUND(C23*(1+('Resilience &amp; Risk Scenario'!$B$7-3)*0.15),2)</f>
        <v>0.55000000000000004</v>
      </c>
      <c r="E23" s="14" t="s">
        <v>10674</v>
      </c>
      <c r="F23" s="14" t="s">
        <v>10675</v>
      </c>
      <c r="G23" s="14" t="s">
        <v>10676</v>
      </c>
      <c r="H23" s="14" t="s">
        <v>10677</v>
      </c>
      <c r="I23" s="14" t="str">
        <f t="shared" si="0"/>
        <v>Physical site loss|Strategy GTM</v>
      </c>
      <c r="J23" s="14" t="s">
        <v>10673</v>
      </c>
      <c r="K23">
        <f>IFERROR(INDEX(_ENGINE_Crisis!$AH$292:$AS$303,MATCH('Resilience &amp; Risk Scenario'!$B$6,_ENGINE_Crisis!$AG$292:$AG$303,0),MATCH($A23,_ENGINE_Crisis!$AH$291:$AS$291,0)),0)</f>
        <v>0</v>
      </c>
    </row>
    <row r="24" spans="1:11" ht="28.5" customHeight="1">
      <c r="A24" s="14" t="s">
        <v>3610</v>
      </c>
      <c r="B24" s="14" t="s">
        <v>1150</v>
      </c>
      <c r="C24" s="14">
        <v>1</v>
      </c>
      <c r="D24" s="14">
        <f>ROUND(C24*(1+('Resilience &amp; Risk Scenario'!$B$7-3)*0.15),2)</f>
        <v>0.55000000000000004</v>
      </c>
      <c r="E24" s="14" t="s">
        <v>10678</v>
      </c>
      <c r="F24" s="14" t="s">
        <v>10675</v>
      </c>
      <c r="G24" s="14" t="s">
        <v>10679</v>
      </c>
      <c r="H24" s="14" t="s">
        <v>10680</v>
      </c>
      <c r="I24" s="14" t="str">
        <f t="shared" si="0"/>
        <v>Physical site loss|Governance Crisis</v>
      </c>
      <c r="J24" s="14" t="s">
        <v>10673</v>
      </c>
      <c r="K24">
        <f>IFERROR(INDEX(_ENGINE_Crisis!$AH$292:$AS$303,MATCH('Resilience &amp; Risk Scenario'!$B$6,_ENGINE_Crisis!$AG$292:$AG$303,0),MATCH($A24,_ENGINE_Crisis!$AH$291:$AS$291,0)),0)</f>
        <v>0</v>
      </c>
    </row>
    <row r="25" spans="1:11" ht="28.5" customHeight="1">
      <c r="A25" s="14" t="s">
        <v>3610</v>
      </c>
      <c r="B25" s="14" t="s">
        <v>1259</v>
      </c>
      <c r="C25" s="14">
        <v>1.3</v>
      </c>
      <c r="D25" s="14">
        <f>ROUND(C25*(1+('Resilience &amp; Risk Scenario'!$B$7-3)*0.15),2)</f>
        <v>0.72</v>
      </c>
      <c r="E25" s="14" t="s">
        <v>10681</v>
      </c>
      <c r="F25" s="14" t="s">
        <v>10670</v>
      </c>
      <c r="G25" s="14" t="s">
        <v>10683</v>
      </c>
      <c r="H25" s="14" t="s">
        <v>10684</v>
      </c>
      <c r="I25" s="14" t="str">
        <f t="shared" si="0"/>
        <v>Physical site loss|HR Workforce</v>
      </c>
      <c r="J25" s="14" t="s">
        <v>10673</v>
      </c>
      <c r="K25">
        <f>IFERROR(INDEX(_ENGINE_Crisis!$AH$292:$AS$303,MATCH('Resilience &amp; Risk Scenario'!$B$6,_ENGINE_Crisis!$AG$292:$AG$303,0),MATCH($A25,_ENGINE_Crisis!$AH$291:$AS$291,0)),0)</f>
        <v>0</v>
      </c>
    </row>
    <row r="26" spans="1:11" ht="28.5" customHeight="1">
      <c r="A26" s="14" t="s">
        <v>3610</v>
      </c>
      <c r="B26" s="14" t="s">
        <v>1401</v>
      </c>
      <c r="C26" s="14">
        <v>1</v>
      </c>
      <c r="D26" s="14">
        <f>ROUND(C26*(1+('Resilience &amp; Risk Scenario'!$B$7-3)*0.15),2)</f>
        <v>0.55000000000000004</v>
      </c>
      <c r="E26" s="14" t="s">
        <v>10685</v>
      </c>
      <c r="F26" s="14" t="s">
        <v>10675</v>
      </c>
      <c r="G26" s="14" t="s">
        <v>10686</v>
      </c>
      <c r="H26" s="14" t="s">
        <v>10687</v>
      </c>
      <c r="I26" s="14" t="str">
        <f t="shared" si="0"/>
        <v>Physical site loss|Finance Procurement</v>
      </c>
      <c r="J26" s="14" t="s">
        <v>10673</v>
      </c>
      <c r="K26">
        <f>IFERROR(INDEX(_ENGINE_Crisis!$AH$292:$AS$303,MATCH('Resilience &amp; Risk Scenario'!$B$6,_ENGINE_Crisis!$AG$292:$AG$303,0),MATCH($A26,_ENGINE_Crisis!$AH$291:$AS$291,0)),0)</f>
        <v>0</v>
      </c>
    </row>
    <row r="27" spans="1:11" ht="28.5" customHeight="1">
      <c r="A27" s="14" t="s">
        <v>3610</v>
      </c>
      <c r="B27" s="14" t="s">
        <v>1551</v>
      </c>
      <c r="C27" s="14">
        <v>1</v>
      </c>
      <c r="D27" s="14">
        <f>ROUND(C27*(1+('Resilience &amp; Risk Scenario'!$B$7-3)*0.15),2)</f>
        <v>0.55000000000000004</v>
      </c>
      <c r="E27" s="14" t="s">
        <v>10688</v>
      </c>
      <c r="F27" s="14" t="s">
        <v>10675</v>
      </c>
      <c r="G27" s="14" t="s">
        <v>10689</v>
      </c>
      <c r="H27" s="14" t="s">
        <v>10690</v>
      </c>
      <c r="I27" s="14" t="str">
        <f t="shared" si="0"/>
        <v>Physical site loss|Legal Risk</v>
      </c>
      <c r="J27" s="14" t="s">
        <v>10673</v>
      </c>
      <c r="K27">
        <f>IFERROR(INDEX(_ENGINE_Crisis!$AH$292:$AS$303,MATCH('Resilience &amp; Risk Scenario'!$B$6,_ENGINE_Crisis!$AG$292:$AG$303,0),MATCH($A27,_ENGINE_Crisis!$AH$291:$AS$291,0)),0)</f>
        <v>0</v>
      </c>
    </row>
    <row r="28" spans="1:11" ht="28.5" customHeight="1">
      <c r="A28" s="14" t="s">
        <v>3610</v>
      </c>
      <c r="B28" s="14" t="s">
        <v>1666</v>
      </c>
      <c r="C28" s="14">
        <v>2</v>
      </c>
      <c r="D28" s="14">
        <f>ROUND(C28*(1+('Resilience &amp; Risk Scenario'!$B$7-3)*0.15),2)</f>
        <v>1.1000000000000001</v>
      </c>
      <c r="E28" s="14" t="s">
        <v>10691</v>
      </c>
      <c r="F28" s="14" t="s">
        <v>10682</v>
      </c>
      <c r="G28" s="14" t="s">
        <v>10692</v>
      </c>
      <c r="H28" s="14" t="s">
        <v>10693</v>
      </c>
      <c r="I28" s="14" t="str">
        <f t="shared" si="0"/>
        <v>Physical site loss|Physical Safety</v>
      </c>
      <c r="J28" s="14" t="s">
        <v>10673</v>
      </c>
      <c r="K28">
        <f>IFERROR(INDEX(_ENGINE_Crisis!$AH$292:$AS$303,MATCH('Resilience &amp; Risk Scenario'!$B$6,_ENGINE_Crisis!$AG$292:$AG$303,0),MATCH($A28,_ENGINE_Crisis!$AH$291:$AS$291,0)),0)</f>
        <v>0</v>
      </c>
    </row>
    <row r="29" spans="1:11" ht="28.5" customHeight="1">
      <c r="A29" s="14" t="s">
        <v>3610</v>
      </c>
      <c r="B29" s="14" t="s">
        <v>1859</v>
      </c>
      <c r="C29" s="14">
        <v>1.7</v>
      </c>
      <c r="D29" s="14">
        <f>ROUND(C29*(1+('Resilience &amp; Risk Scenario'!$B$7-3)*0.15),2)</f>
        <v>0.94</v>
      </c>
      <c r="E29" s="14" t="s">
        <v>10694</v>
      </c>
      <c r="F29" s="14" t="s">
        <v>10682</v>
      </c>
      <c r="G29" s="14" t="s">
        <v>10695</v>
      </c>
      <c r="H29" s="14" t="s">
        <v>10696</v>
      </c>
      <c r="I29" s="14" t="str">
        <f t="shared" si="0"/>
        <v>Physical site loss|Delivery Ops</v>
      </c>
      <c r="J29" s="14" t="s">
        <v>10673</v>
      </c>
      <c r="K29">
        <f>IFERROR(INDEX(_ENGINE_Crisis!$AH$292:$AS$303,MATCH('Resilience &amp; Risk Scenario'!$B$6,_ENGINE_Crisis!$AG$292:$AG$303,0),MATCH($A29,_ENGINE_Crisis!$AH$291:$AS$291,0)),0)</f>
        <v>0</v>
      </c>
    </row>
    <row r="30" spans="1:11" ht="28.5" customHeight="1">
      <c r="A30" s="14" t="s">
        <v>3610</v>
      </c>
      <c r="B30" s="14" t="s">
        <v>1987</v>
      </c>
      <c r="C30" s="14">
        <v>1.5</v>
      </c>
      <c r="D30" s="14">
        <f>ROUND(C30*(1+('Resilience &amp; Risk Scenario'!$B$7-3)*0.15),2)</f>
        <v>0.83</v>
      </c>
      <c r="E30" s="14" t="s">
        <v>10697</v>
      </c>
      <c r="F30" s="14" t="s">
        <v>10670</v>
      </c>
      <c r="G30" s="14" t="s">
        <v>10698</v>
      </c>
      <c r="H30" s="14" t="s">
        <v>10699</v>
      </c>
      <c r="I30" s="14" t="str">
        <f t="shared" si="0"/>
        <v>Physical site loss|Supply Chain</v>
      </c>
      <c r="J30" s="14" t="s">
        <v>10673</v>
      </c>
      <c r="K30">
        <f>IFERROR(INDEX(_ENGINE_Crisis!$AH$292:$AS$303,MATCH('Resilience &amp; Risk Scenario'!$B$6,_ENGINE_Crisis!$AG$292:$AG$303,0),MATCH($A30,_ENGINE_Crisis!$AH$291:$AS$291,0)),0)</f>
        <v>0</v>
      </c>
    </row>
    <row r="31" spans="1:11" ht="28.5" customHeight="1">
      <c r="A31" s="14" t="s">
        <v>3610</v>
      </c>
      <c r="B31" s="14" t="s">
        <v>2145</v>
      </c>
      <c r="C31" s="14">
        <v>1.9</v>
      </c>
      <c r="D31" s="14">
        <f>ROUND(C31*(1+('Resilience &amp; Risk Scenario'!$B$7-3)*0.15),2)</f>
        <v>1.05</v>
      </c>
      <c r="E31" s="14" t="s">
        <v>10700</v>
      </c>
      <c r="F31" s="14" t="s">
        <v>10682</v>
      </c>
      <c r="G31" s="14" t="s">
        <v>10701</v>
      </c>
      <c r="H31" s="14" t="s">
        <v>10702</v>
      </c>
      <c r="I31" s="14" t="str">
        <f t="shared" si="0"/>
        <v>Physical site loss|Manufacturing MES</v>
      </c>
      <c r="J31" s="14" t="s">
        <v>10673</v>
      </c>
      <c r="K31">
        <f>IFERROR(INDEX(_ENGINE_Crisis!$AH$292:$AS$303,MATCH('Resilience &amp; Risk Scenario'!$B$6,_ENGINE_Crisis!$AG$292:$AG$303,0),MATCH($A31,_ENGINE_Crisis!$AH$291:$AS$291,0)),0)</f>
        <v>0</v>
      </c>
    </row>
    <row r="32" spans="1:11" ht="28.5" customHeight="1">
      <c r="A32" s="14" t="s">
        <v>3610</v>
      </c>
      <c r="B32" s="14" t="s">
        <v>2286</v>
      </c>
      <c r="C32" s="14">
        <v>1</v>
      </c>
      <c r="D32" s="14">
        <f>ROUND(C32*(1+('Resilience &amp; Risk Scenario'!$B$7-3)*0.15),2)</f>
        <v>0.55000000000000004</v>
      </c>
      <c r="E32" s="14" t="s">
        <v>10703</v>
      </c>
      <c r="F32" s="14" t="s">
        <v>10675</v>
      </c>
      <c r="G32" s="14" t="s">
        <v>10704</v>
      </c>
      <c r="H32" s="14" t="s">
        <v>10705</v>
      </c>
      <c r="I32" s="14" t="str">
        <f t="shared" si="0"/>
        <v>Physical site loss|Sales CRM</v>
      </c>
      <c r="J32" s="14" t="s">
        <v>10673</v>
      </c>
      <c r="K32">
        <f>IFERROR(INDEX(_ENGINE_Crisis!$AH$292:$AS$303,MATCH('Resilience &amp; Risk Scenario'!$B$6,_ENGINE_Crisis!$AG$292:$AG$303,0),MATCH($A32,_ENGINE_Crisis!$AH$291:$AS$291,0)),0)</f>
        <v>0</v>
      </c>
    </row>
    <row r="33" spans="1:11" ht="28.5" customHeight="1">
      <c r="A33" s="14" t="s">
        <v>3610</v>
      </c>
      <c r="B33" s="14" t="s">
        <v>2473</v>
      </c>
      <c r="C33" s="14">
        <v>1</v>
      </c>
      <c r="D33" s="14">
        <f>ROUND(C33*(1+('Resilience &amp; Risk Scenario'!$B$7-3)*0.15),2)</f>
        <v>0.55000000000000004</v>
      </c>
      <c r="E33" s="14" t="s">
        <v>10706</v>
      </c>
      <c r="F33" s="14" t="s">
        <v>10675</v>
      </c>
      <c r="G33" s="14" t="s">
        <v>10707</v>
      </c>
      <c r="H33" s="14" t="s">
        <v>10708</v>
      </c>
      <c r="I33" s="14" t="str">
        <f t="shared" si="0"/>
        <v>Physical site loss|Marketing Comms</v>
      </c>
      <c r="J33" s="14" t="s">
        <v>10673</v>
      </c>
      <c r="K33">
        <f>IFERROR(INDEX(_ENGINE_Crisis!$AH$292:$AS$303,MATCH('Resilience &amp; Risk Scenario'!$B$6,_ENGINE_Crisis!$AG$292:$AG$303,0),MATCH($A33,_ENGINE_Crisis!$AH$291:$AS$291,0)),0)</f>
        <v>0</v>
      </c>
    </row>
    <row r="34" spans="1:11" ht="28.5" customHeight="1">
      <c r="A34" s="14" t="s">
        <v>3610</v>
      </c>
      <c r="B34" s="14" t="s">
        <v>2588</v>
      </c>
      <c r="C34" s="14">
        <v>1.6</v>
      </c>
      <c r="D34" s="14">
        <f>ROUND(C34*(1+('Resilience &amp; Risk Scenario'!$B$7-3)*0.15),2)</f>
        <v>0.88</v>
      </c>
      <c r="E34" s="14" t="s">
        <v>10709</v>
      </c>
      <c r="F34" s="14" t="s">
        <v>10670</v>
      </c>
      <c r="G34" s="14" t="s">
        <v>10710</v>
      </c>
      <c r="H34" s="14" t="s">
        <v>10711</v>
      </c>
      <c r="I34" s="14" t="str">
        <f t="shared" si="0"/>
        <v>Physical site loss|IT Cloud DR</v>
      </c>
      <c r="J34" s="14" t="s">
        <v>10673</v>
      </c>
      <c r="K34">
        <f>IFERROR(INDEX(_ENGINE_Crisis!$AH$292:$AS$303,MATCH('Resilience &amp; Risk Scenario'!$B$6,_ENGINE_Crisis!$AG$292:$AG$303,0),MATCH($A34,_ENGINE_Crisis!$AH$291:$AS$291,0)),0)</f>
        <v>0</v>
      </c>
    </row>
    <row r="35" spans="1:11" ht="28.5" customHeight="1">
      <c r="A35" s="14" t="s">
        <v>3610</v>
      </c>
      <c r="B35" s="14" t="s">
        <v>2729</v>
      </c>
      <c r="C35" s="14">
        <v>1.3</v>
      </c>
      <c r="D35" s="14">
        <f>ROUND(C35*(1+('Resilience &amp; Risk Scenario'!$B$7-3)*0.15),2)</f>
        <v>0.72</v>
      </c>
      <c r="E35" s="14" t="s">
        <v>10712</v>
      </c>
      <c r="F35" s="14" t="s">
        <v>10670</v>
      </c>
      <c r="G35" s="14" t="s">
        <v>10713</v>
      </c>
      <c r="H35" s="14" t="s">
        <v>10714</v>
      </c>
      <c r="I35" s="14" t="str">
        <f t="shared" si="0"/>
        <v>Physical site loss|Business Systems</v>
      </c>
      <c r="J35" s="14" t="s">
        <v>10673</v>
      </c>
      <c r="K35">
        <f>IFERROR(INDEX(_ENGINE_Crisis!$AH$292:$AS$303,MATCH('Resilience &amp; Risk Scenario'!$B$6,_ENGINE_Crisis!$AG$292:$AG$303,0),MATCH($A35,_ENGINE_Crisis!$AH$291:$AS$291,0)),0)</f>
        <v>0</v>
      </c>
    </row>
    <row r="36" spans="1:11" ht="28.5" customHeight="1">
      <c r="A36" s="14" t="s">
        <v>3610</v>
      </c>
      <c r="B36" s="14" t="s">
        <v>2824</v>
      </c>
      <c r="C36" s="14">
        <v>1</v>
      </c>
      <c r="D36" s="14">
        <f>ROUND(C36*(1+('Resilience &amp; Risk Scenario'!$B$7-3)*0.15),2)</f>
        <v>0.55000000000000004</v>
      </c>
      <c r="E36" s="14" t="s">
        <v>10715</v>
      </c>
      <c r="F36" s="14" t="s">
        <v>10675</v>
      </c>
      <c r="G36" s="14" t="s">
        <v>10716</v>
      </c>
      <c r="H36" s="14" t="s">
        <v>10717</v>
      </c>
      <c r="I36" s="14" t="str">
        <f t="shared" si="0"/>
        <v>Physical site loss|Data BI AI</v>
      </c>
      <c r="J36" s="14" t="s">
        <v>10673</v>
      </c>
      <c r="K36">
        <f>IFERROR(INDEX(_ENGINE_Crisis!$AH$292:$AS$303,MATCH('Resilience &amp; Risk Scenario'!$B$6,_ENGINE_Crisis!$AG$292:$AG$303,0),MATCH($A36,_ENGINE_Crisis!$AH$291:$AS$291,0)),0)</f>
        <v>0</v>
      </c>
    </row>
    <row r="37" spans="1:11" ht="28.5" customHeight="1">
      <c r="A37" s="14" t="s">
        <v>3610</v>
      </c>
      <c r="B37" s="14" t="s">
        <v>2986</v>
      </c>
      <c r="C37" s="14">
        <v>1</v>
      </c>
      <c r="D37" s="14">
        <f>ROUND(C37*(1+('Resilience &amp; Risk Scenario'!$B$7-3)*0.15),2)</f>
        <v>0.55000000000000004</v>
      </c>
      <c r="E37" s="14" t="s">
        <v>10718</v>
      </c>
      <c r="F37" s="14" t="s">
        <v>10675</v>
      </c>
      <c r="G37" s="14" t="s">
        <v>10719</v>
      </c>
      <c r="H37" s="14" t="s">
        <v>10720</v>
      </c>
      <c r="I37" s="14" t="str">
        <f t="shared" si="0"/>
        <v>Physical site loss|Cyber Privacy</v>
      </c>
      <c r="J37" s="14" t="s">
        <v>10673</v>
      </c>
      <c r="K37">
        <f>IFERROR(INDEX(_ENGINE_Crisis!$AH$292:$AS$303,MATCH('Resilience &amp; Risk Scenario'!$B$6,_ENGINE_Crisis!$AG$292:$AG$303,0),MATCH($A37,_ENGINE_Crisis!$AH$291:$AS$291,0)),0)</f>
        <v>0</v>
      </c>
    </row>
    <row r="38" spans="1:11" ht="28.5" customHeight="1">
      <c r="A38" s="14" t="s">
        <v>3610</v>
      </c>
      <c r="B38" s="14" t="s">
        <v>3204</v>
      </c>
      <c r="C38" s="14">
        <v>1</v>
      </c>
      <c r="D38" s="14">
        <f>ROUND(C38*(1+('Resilience &amp; Risk Scenario'!$B$7-3)*0.15),2)</f>
        <v>0.55000000000000004</v>
      </c>
      <c r="E38" s="14" t="s">
        <v>10721</v>
      </c>
      <c r="F38" s="14" t="s">
        <v>10675</v>
      </c>
      <c r="G38" s="14" t="s">
        <v>10722</v>
      </c>
      <c r="H38" s="14" t="s">
        <v>10723</v>
      </c>
      <c r="I38" s="14" t="str">
        <f t="shared" si="0"/>
        <v>Physical site loss|Quality Portfolio</v>
      </c>
      <c r="J38" s="14" t="s">
        <v>10673</v>
      </c>
      <c r="K38">
        <f>IFERROR(INDEX(_ENGINE_Crisis!$AH$292:$AS$303,MATCH('Resilience &amp; Risk Scenario'!$B$6,_ENGINE_Crisis!$AG$292:$AG$303,0),MATCH($A38,_ENGINE_Crisis!$AH$291:$AS$291,0)),0)</f>
        <v>0</v>
      </c>
    </row>
    <row r="39" spans="1:11" ht="28.5" customHeight="1">
      <c r="A39" s="14" t="s">
        <v>643</v>
      </c>
      <c r="B39" s="14" t="s">
        <v>815</v>
      </c>
      <c r="C39" s="14">
        <v>1</v>
      </c>
      <c r="D39" s="14">
        <f>ROUND(C39*(1+('Resilience &amp; Risk Scenario'!$B$7-3)*0.15),2)</f>
        <v>0.55000000000000004</v>
      </c>
      <c r="E39" s="14" t="s">
        <v>10669</v>
      </c>
      <c r="F39" s="14" t="s">
        <v>10675</v>
      </c>
      <c r="G39" s="14" t="s">
        <v>10671</v>
      </c>
      <c r="H39" s="14" t="s">
        <v>10672</v>
      </c>
      <c r="I39" s="14" t="str">
        <f t="shared" si="0"/>
        <v>Cyberattack / ransomware|Company Geography</v>
      </c>
      <c r="J39" s="14" t="s">
        <v>10673</v>
      </c>
      <c r="K39">
        <f>IFERROR(INDEX(_ENGINE_Crisis!$AH$292:$AS$303,MATCH('Resilience &amp; Risk Scenario'!$B$6,_ENGINE_Crisis!$AG$292:$AG$303,0),MATCH($A39,_ENGINE_Crisis!$AH$291:$AS$291,0)),0)</f>
        <v>0</v>
      </c>
    </row>
    <row r="40" spans="1:11" ht="28.5" customHeight="1">
      <c r="A40" s="14" t="s">
        <v>643</v>
      </c>
      <c r="B40" s="14" t="s">
        <v>949</v>
      </c>
      <c r="C40" s="14">
        <v>1</v>
      </c>
      <c r="D40" s="14">
        <f>ROUND(C40*(1+('Resilience &amp; Risk Scenario'!$B$7-3)*0.15),2)</f>
        <v>0.55000000000000004</v>
      </c>
      <c r="E40" s="14" t="s">
        <v>10674</v>
      </c>
      <c r="F40" s="14" t="s">
        <v>10675</v>
      </c>
      <c r="G40" s="14" t="s">
        <v>10676</v>
      </c>
      <c r="H40" s="14" t="s">
        <v>10677</v>
      </c>
      <c r="I40" s="14" t="str">
        <f t="shared" si="0"/>
        <v>Cyberattack / ransomware|Strategy GTM</v>
      </c>
      <c r="J40" s="14" t="s">
        <v>10673</v>
      </c>
      <c r="K40">
        <f>IFERROR(INDEX(_ENGINE_Crisis!$AH$292:$AS$303,MATCH('Resilience &amp; Risk Scenario'!$B$6,_ENGINE_Crisis!$AG$292:$AG$303,0),MATCH($A40,_ENGINE_Crisis!$AH$291:$AS$291,0)),0)</f>
        <v>0</v>
      </c>
    </row>
    <row r="41" spans="1:11" ht="28.5" customHeight="1">
      <c r="A41" s="14" t="s">
        <v>643</v>
      </c>
      <c r="B41" s="14" t="s">
        <v>1150</v>
      </c>
      <c r="C41" s="14">
        <v>1.2</v>
      </c>
      <c r="D41" s="14">
        <f>ROUND(C41*(1+('Resilience &amp; Risk Scenario'!$B$7-3)*0.15),2)</f>
        <v>0.66</v>
      </c>
      <c r="E41" s="14" t="s">
        <v>10678</v>
      </c>
      <c r="F41" s="14" t="s">
        <v>10675</v>
      </c>
      <c r="G41" s="14" t="s">
        <v>10679</v>
      </c>
      <c r="H41" s="14" t="s">
        <v>10680</v>
      </c>
      <c r="I41" s="14" t="str">
        <f t="shared" si="0"/>
        <v>Cyberattack / ransomware|Governance Crisis</v>
      </c>
      <c r="J41" s="14" t="s">
        <v>10673</v>
      </c>
      <c r="K41">
        <f>IFERROR(INDEX(_ENGINE_Crisis!$AH$292:$AS$303,MATCH('Resilience &amp; Risk Scenario'!$B$6,_ENGINE_Crisis!$AG$292:$AG$303,0),MATCH($A41,_ENGINE_Crisis!$AH$291:$AS$291,0)),0)</f>
        <v>0</v>
      </c>
    </row>
    <row r="42" spans="1:11" ht="28.5" customHeight="1">
      <c r="A42" s="14" t="s">
        <v>643</v>
      </c>
      <c r="B42" s="14" t="s">
        <v>1259</v>
      </c>
      <c r="C42" s="14">
        <v>1</v>
      </c>
      <c r="D42" s="14">
        <f>ROUND(C42*(1+('Resilience &amp; Risk Scenario'!$B$7-3)*0.15),2)</f>
        <v>0.55000000000000004</v>
      </c>
      <c r="E42" s="14" t="s">
        <v>10681</v>
      </c>
      <c r="F42" s="14" t="s">
        <v>10675</v>
      </c>
      <c r="G42" s="14" t="s">
        <v>10683</v>
      </c>
      <c r="H42" s="14" t="s">
        <v>10684</v>
      </c>
      <c r="I42" s="14" t="str">
        <f t="shared" si="0"/>
        <v>Cyberattack / ransomware|HR Workforce</v>
      </c>
      <c r="J42" s="14" t="s">
        <v>10673</v>
      </c>
      <c r="K42">
        <f>IFERROR(INDEX(_ENGINE_Crisis!$AH$292:$AS$303,MATCH('Resilience &amp; Risk Scenario'!$B$6,_ENGINE_Crisis!$AG$292:$AG$303,0),MATCH($A42,_ENGINE_Crisis!$AH$291:$AS$291,0)),0)</f>
        <v>0</v>
      </c>
    </row>
    <row r="43" spans="1:11" ht="28.5" customHeight="1">
      <c r="A43" s="14" t="s">
        <v>643</v>
      </c>
      <c r="B43" s="14" t="s">
        <v>1401</v>
      </c>
      <c r="C43" s="14">
        <v>1.3</v>
      </c>
      <c r="D43" s="14">
        <f>ROUND(C43*(1+('Resilience &amp; Risk Scenario'!$B$7-3)*0.15),2)</f>
        <v>0.72</v>
      </c>
      <c r="E43" s="14" t="s">
        <v>10685</v>
      </c>
      <c r="F43" s="14" t="s">
        <v>10670</v>
      </c>
      <c r="G43" s="14" t="s">
        <v>10686</v>
      </c>
      <c r="H43" s="14" t="s">
        <v>10687</v>
      </c>
      <c r="I43" s="14" t="str">
        <f t="shared" si="0"/>
        <v>Cyberattack / ransomware|Finance Procurement</v>
      </c>
      <c r="J43" s="14" t="s">
        <v>10673</v>
      </c>
      <c r="K43">
        <f>IFERROR(INDEX(_ENGINE_Crisis!$AH$292:$AS$303,MATCH('Resilience &amp; Risk Scenario'!$B$6,_ENGINE_Crisis!$AG$292:$AG$303,0),MATCH($A43,_ENGINE_Crisis!$AH$291:$AS$291,0)),0)</f>
        <v>0</v>
      </c>
    </row>
    <row r="44" spans="1:11" ht="28.5" customHeight="1">
      <c r="A44" s="14" t="s">
        <v>643</v>
      </c>
      <c r="B44" s="14" t="s">
        <v>1551</v>
      </c>
      <c r="C44" s="14">
        <v>1.5</v>
      </c>
      <c r="D44" s="14">
        <f>ROUND(C44*(1+('Resilience &amp; Risk Scenario'!$B$7-3)*0.15),2)</f>
        <v>0.83</v>
      </c>
      <c r="E44" s="14" t="s">
        <v>10688</v>
      </c>
      <c r="F44" s="14" t="s">
        <v>10670</v>
      </c>
      <c r="G44" s="14" t="s">
        <v>10689</v>
      </c>
      <c r="H44" s="14" t="s">
        <v>10690</v>
      </c>
      <c r="I44" s="14" t="str">
        <f t="shared" si="0"/>
        <v>Cyberattack / ransomware|Legal Risk</v>
      </c>
      <c r="J44" s="14" t="s">
        <v>10673</v>
      </c>
      <c r="K44">
        <f>IFERROR(INDEX(_ENGINE_Crisis!$AH$292:$AS$303,MATCH('Resilience &amp; Risk Scenario'!$B$6,_ENGINE_Crisis!$AG$292:$AG$303,0),MATCH($A44,_ENGINE_Crisis!$AH$291:$AS$291,0)),0)</f>
        <v>0</v>
      </c>
    </row>
    <row r="45" spans="1:11" ht="28.5" customHeight="1">
      <c r="A45" s="14" t="s">
        <v>643</v>
      </c>
      <c r="B45" s="14" t="s">
        <v>1666</v>
      </c>
      <c r="C45" s="14">
        <v>1</v>
      </c>
      <c r="D45" s="14">
        <f>ROUND(C45*(1+('Resilience &amp; Risk Scenario'!$B$7-3)*0.15),2)</f>
        <v>0.55000000000000004</v>
      </c>
      <c r="E45" s="14" t="s">
        <v>10691</v>
      </c>
      <c r="F45" s="14" t="s">
        <v>10675</v>
      </c>
      <c r="G45" s="14" t="s">
        <v>10692</v>
      </c>
      <c r="H45" s="14" t="s">
        <v>10693</v>
      </c>
      <c r="I45" s="14" t="str">
        <f t="shared" si="0"/>
        <v>Cyberattack / ransomware|Physical Safety</v>
      </c>
      <c r="J45" s="14" t="s">
        <v>10673</v>
      </c>
      <c r="K45">
        <f>IFERROR(INDEX(_ENGINE_Crisis!$AH$292:$AS$303,MATCH('Resilience &amp; Risk Scenario'!$B$6,_ENGINE_Crisis!$AG$292:$AG$303,0),MATCH($A45,_ENGINE_Crisis!$AH$291:$AS$291,0)),0)</f>
        <v>0</v>
      </c>
    </row>
    <row r="46" spans="1:11" ht="28.5" customHeight="1">
      <c r="A46" s="14" t="s">
        <v>643</v>
      </c>
      <c r="B46" s="14" t="s">
        <v>1859</v>
      </c>
      <c r="C46" s="14">
        <v>1</v>
      </c>
      <c r="D46" s="14">
        <f>ROUND(C46*(1+('Resilience &amp; Risk Scenario'!$B$7-3)*0.15),2)</f>
        <v>0.55000000000000004</v>
      </c>
      <c r="E46" s="14" t="s">
        <v>10694</v>
      </c>
      <c r="F46" s="14" t="s">
        <v>10675</v>
      </c>
      <c r="G46" s="14" t="s">
        <v>10695</v>
      </c>
      <c r="H46" s="14" t="s">
        <v>10696</v>
      </c>
      <c r="I46" s="14" t="str">
        <f t="shared" si="0"/>
        <v>Cyberattack / ransomware|Delivery Ops</v>
      </c>
      <c r="J46" s="14" t="s">
        <v>10673</v>
      </c>
      <c r="K46">
        <f>IFERROR(INDEX(_ENGINE_Crisis!$AH$292:$AS$303,MATCH('Resilience &amp; Risk Scenario'!$B$6,_ENGINE_Crisis!$AG$292:$AG$303,0),MATCH($A46,_ENGINE_Crisis!$AH$291:$AS$291,0)),0)</f>
        <v>0</v>
      </c>
    </row>
    <row r="47" spans="1:11" ht="28.5" customHeight="1">
      <c r="A47" s="14" t="s">
        <v>643</v>
      </c>
      <c r="B47" s="14" t="s">
        <v>1987</v>
      </c>
      <c r="C47" s="14">
        <v>1</v>
      </c>
      <c r="D47" s="14">
        <f>ROUND(C47*(1+('Resilience &amp; Risk Scenario'!$B$7-3)*0.15),2)</f>
        <v>0.55000000000000004</v>
      </c>
      <c r="E47" s="14" t="s">
        <v>10697</v>
      </c>
      <c r="F47" s="14" t="s">
        <v>10675</v>
      </c>
      <c r="G47" s="14" t="s">
        <v>10698</v>
      </c>
      <c r="H47" s="14" t="s">
        <v>10699</v>
      </c>
      <c r="I47" s="14" t="str">
        <f t="shared" si="0"/>
        <v>Cyberattack / ransomware|Supply Chain</v>
      </c>
      <c r="J47" s="14" t="s">
        <v>10673</v>
      </c>
      <c r="K47">
        <f>IFERROR(INDEX(_ENGINE_Crisis!$AH$292:$AS$303,MATCH('Resilience &amp; Risk Scenario'!$B$6,_ENGINE_Crisis!$AG$292:$AG$303,0),MATCH($A47,_ENGINE_Crisis!$AH$291:$AS$291,0)),0)</f>
        <v>0</v>
      </c>
    </row>
    <row r="48" spans="1:11" ht="28.5" customHeight="1">
      <c r="A48" s="14" t="s">
        <v>643</v>
      </c>
      <c r="B48" s="14" t="s">
        <v>2145</v>
      </c>
      <c r="C48" s="14">
        <v>1</v>
      </c>
      <c r="D48" s="14">
        <f>ROUND(C48*(1+('Resilience &amp; Risk Scenario'!$B$7-3)*0.15),2)</f>
        <v>0.55000000000000004</v>
      </c>
      <c r="E48" s="14" t="s">
        <v>10700</v>
      </c>
      <c r="F48" s="14" t="s">
        <v>10675</v>
      </c>
      <c r="G48" s="14" t="s">
        <v>10701</v>
      </c>
      <c r="H48" s="14" t="s">
        <v>10702</v>
      </c>
      <c r="I48" s="14" t="str">
        <f t="shared" si="0"/>
        <v>Cyberattack / ransomware|Manufacturing MES</v>
      </c>
      <c r="J48" s="14" t="s">
        <v>10673</v>
      </c>
      <c r="K48">
        <f>IFERROR(INDEX(_ENGINE_Crisis!$AH$292:$AS$303,MATCH('Resilience &amp; Risk Scenario'!$B$6,_ENGINE_Crisis!$AG$292:$AG$303,0),MATCH($A48,_ENGINE_Crisis!$AH$291:$AS$291,0)),0)</f>
        <v>0</v>
      </c>
    </row>
    <row r="49" spans="1:11" ht="28.5" customHeight="1">
      <c r="A49" s="14" t="s">
        <v>643</v>
      </c>
      <c r="B49" s="14" t="s">
        <v>2286</v>
      </c>
      <c r="C49" s="14">
        <v>1.2</v>
      </c>
      <c r="D49" s="14">
        <f>ROUND(C49*(1+('Resilience &amp; Risk Scenario'!$B$7-3)*0.15),2)</f>
        <v>0.66</v>
      </c>
      <c r="E49" s="14" t="s">
        <v>10703</v>
      </c>
      <c r="F49" s="14" t="s">
        <v>10675</v>
      </c>
      <c r="G49" s="14" t="s">
        <v>10704</v>
      </c>
      <c r="H49" s="14" t="s">
        <v>10705</v>
      </c>
      <c r="I49" s="14" t="str">
        <f t="shared" si="0"/>
        <v>Cyberattack / ransomware|Sales CRM</v>
      </c>
      <c r="J49" s="14" t="s">
        <v>10673</v>
      </c>
      <c r="K49">
        <f>IFERROR(INDEX(_ENGINE_Crisis!$AH$292:$AS$303,MATCH('Resilience &amp; Risk Scenario'!$B$6,_ENGINE_Crisis!$AG$292:$AG$303,0),MATCH($A49,_ENGINE_Crisis!$AH$291:$AS$291,0)),0)</f>
        <v>0</v>
      </c>
    </row>
    <row r="50" spans="1:11" ht="28.5" customHeight="1">
      <c r="A50" s="14" t="s">
        <v>643</v>
      </c>
      <c r="B50" s="14" t="s">
        <v>2473</v>
      </c>
      <c r="C50" s="14">
        <v>1.4</v>
      </c>
      <c r="D50" s="14">
        <f>ROUND(C50*(1+('Resilience &amp; Risk Scenario'!$B$7-3)*0.15),2)</f>
        <v>0.77</v>
      </c>
      <c r="E50" s="14" t="s">
        <v>10706</v>
      </c>
      <c r="F50" s="14" t="s">
        <v>10670</v>
      </c>
      <c r="G50" s="14" t="s">
        <v>10707</v>
      </c>
      <c r="H50" s="14" t="s">
        <v>10708</v>
      </c>
      <c r="I50" s="14" t="str">
        <f t="shared" si="0"/>
        <v>Cyberattack / ransomware|Marketing Comms</v>
      </c>
      <c r="J50" s="14" t="s">
        <v>10673</v>
      </c>
      <c r="K50">
        <f>IFERROR(INDEX(_ENGINE_Crisis!$AH$292:$AS$303,MATCH('Resilience &amp; Risk Scenario'!$B$6,_ENGINE_Crisis!$AG$292:$AG$303,0),MATCH($A50,_ENGINE_Crisis!$AH$291:$AS$291,0)),0)</f>
        <v>0</v>
      </c>
    </row>
    <row r="51" spans="1:11" ht="28.5" customHeight="1">
      <c r="A51" s="14" t="s">
        <v>643</v>
      </c>
      <c r="B51" s="14" t="s">
        <v>2588</v>
      </c>
      <c r="C51" s="14">
        <v>1.8</v>
      </c>
      <c r="D51" s="14">
        <f>ROUND(C51*(1+('Resilience &amp; Risk Scenario'!$B$7-3)*0.15),2)</f>
        <v>0.99</v>
      </c>
      <c r="E51" s="14" t="s">
        <v>10709</v>
      </c>
      <c r="F51" s="14" t="s">
        <v>10682</v>
      </c>
      <c r="G51" s="14" t="s">
        <v>10710</v>
      </c>
      <c r="H51" s="14" t="s">
        <v>10711</v>
      </c>
      <c r="I51" s="14" t="str">
        <f t="shared" si="0"/>
        <v>Cyberattack / ransomware|IT Cloud DR</v>
      </c>
      <c r="J51" s="14" t="s">
        <v>10673</v>
      </c>
      <c r="K51">
        <f>IFERROR(INDEX(_ENGINE_Crisis!$AH$292:$AS$303,MATCH('Resilience &amp; Risk Scenario'!$B$6,_ENGINE_Crisis!$AG$292:$AG$303,0),MATCH($A51,_ENGINE_Crisis!$AH$291:$AS$291,0)),0)</f>
        <v>0</v>
      </c>
    </row>
    <row r="52" spans="1:11" ht="28.5" customHeight="1">
      <c r="A52" s="14" t="s">
        <v>643</v>
      </c>
      <c r="B52" s="14" t="s">
        <v>2729</v>
      </c>
      <c r="C52" s="14">
        <v>1.7</v>
      </c>
      <c r="D52" s="14">
        <f>ROUND(C52*(1+('Resilience &amp; Risk Scenario'!$B$7-3)*0.15),2)</f>
        <v>0.94</v>
      </c>
      <c r="E52" s="14" t="s">
        <v>10712</v>
      </c>
      <c r="F52" s="14" t="s">
        <v>10682</v>
      </c>
      <c r="G52" s="14" t="s">
        <v>10713</v>
      </c>
      <c r="H52" s="14" t="s">
        <v>10714</v>
      </c>
      <c r="I52" s="14" t="str">
        <f t="shared" si="0"/>
        <v>Cyberattack / ransomware|Business Systems</v>
      </c>
      <c r="J52" s="14" t="s">
        <v>10673</v>
      </c>
      <c r="K52">
        <f>IFERROR(INDEX(_ENGINE_Crisis!$AH$292:$AS$303,MATCH('Resilience &amp; Risk Scenario'!$B$6,_ENGINE_Crisis!$AG$292:$AG$303,0),MATCH($A52,_ENGINE_Crisis!$AH$291:$AS$291,0)),0)</f>
        <v>0</v>
      </c>
    </row>
    <row r="53" spans="1:11" ht="28.5" customHeight="1">
      <c r="A53" s="14" t="s">
        <v>643</v>
      </c>
      <c r="B53" s="14" t="s">
        <v>2824</v>
      </c>
      <c r="C53" s="14">
        <v>1.6</v>
      </c>
      <c r="D53" s="14">
        <f>ROUND(C53*(1+('Resilience &amp; Risk Scenario'!$B$7-3)*0.15),2)</f>
        <v>0.88</v>
      </c>
      <c r="E53" s="14" t="s">
        <v>10715</v>
      </c>
      <c r="F53" s="14" t="s">
        <v>10670</v>
      </c>
      <c r="G53" s="14" t="s">
        <v>10716</v>
      </c>
      <c r="H53" s="14" t="s">
        <v>10717</v>
      </c>
      <c r="I53" s="14" t="str">
        <f t="shared" si="0"/>
        <v>Cyberattack / ransomware|Data BI AI</v>
      </c>
      <c r="J53" s="14" t="s">
        <v>10673</v>
      </c>
      <c r="K53">
        <f>IFERROR(INDEX(_ENGINE_Crisis!$AH$292:$AS$303,MATCH('Resilience &amp; Risk Scenario'!$B$6,_ENGINE_Crisis!$AG$292:$AG$303,0),MATCH($A53,_ENGINE_Crisis!$AH$291:$AS$291,0)),0)</f>
        <v>0</v>
      </c>
    </row>
    <row r="54" spans="1:11" ht="28.5" customHeight="1">
      <c r="A54" s="14" t="s">
        <v>643</v>
      </c>
      <c r="B54" s="14" t="s">
        <v>2986</v>
      </c>
      <c r="C54" s="14">
        <v>2</v>
      </c>
      <c r="D54" s="14">
        <f>ROUND(C54*(1+('Resilience &amp; Risk Scenario'!$B$7-3)*0.15),2)</f>
        <v>1.1000000000000001</v>
      </c>
      <c r="E54" s="14" t="s">
        <v>10718</v>
      </c>
      <c r="F54" s="14" t="s">
        <v>10682</v>
      </c>
      <c r="G54" s="14" t="s">
        <v>10719</v>
      </c>
      <c r="H54" s="14" t="s">
        <v>10720</v>
      </c>
      <c r="I54" s="14" t="str">
        <f t="shared" si="0"/>
        <v>Cyberattack / ransomware|Cyber Privacy</v>
      </c>
      <c r="J54" s="14" t="s">
        <v>10673</v>
      </c>
      <c r="K54">
        <f>IFERROR(INDEX(_ENGINE_Crisis!$AH$292:$AS$303,MATCH('Resilience &amp; Risk Scenario'!$B$6,_ENGINE_Crisis!$AG$292:$AG$303,0),MATCH($A54,_ENGINE_Crisis!$AH$291:$AS$291,0)),0)</f>
        <v>0</v>
      </c>
    </row>
    <row r="55" spans="1:11" ht="28.5" customHeight="1">
      <c r="A55" s="14" t="s">
        <v>643</v>
      </c>
      <c r="B55" s="14" t="s">
        <v>3204</v>
      </c>
      <c r="C55" s="14">
        <v>1</v>
      </c>
      <c r="D55" s="14">
        <f>ROUND(C55*(1+('Resilience &amp; Risk Scenario'!$B$7-3)*0.15),2)</f>
        <v>0.55000000000000004</v>
      </c>
      <c r="E55" s="14" t="s">
        <v>10721</v>
      </c>
      <c r="F55" s="14" t="s">
        <v>10675</v>
      </c>
      <c r="G55" s="14" t="s">
        <v>10722</v>
      </c>
      <c r="H55" s="14" t="s">
        <v>10723</v>
      </c>
      <c r="I55" s="14" t="str">
        <f t="shared" si="0"/>
        <v>Cyberattack / ransomware|Quality Portfolio</v>
      </c>
      <c r="J55" s="14" t="s">
        <v>10673</v>
      </c>
      <c r="K55">
        <f>IFERROR(INDEX(_ENGINE_Crisis!$AH$292:$AS$303,MATCH('Resilience &amp; Risk Scenario'!$B$6,_ENGINE_Crisis!$AG$292:$AG$303,0),MATCH($A55,_ENGINE_Crisis!$AH$291:$AS$291,0)),0)</f>
        <v>0</v>
      </c>
    </row>
    <row r="56" spans="1:11" ht="28.5" customHeight="1">
      <c r="A56" s="14" t="s">
        <v>3615</v>
      </c>
      <c r="B56" s="14" t="s">
        <v>815</v>
      </c>
      <c r="C56" s="14">
        <v>1</v>
      </c>
      <c r="D56" s="14">
        <f>ROUND(C56*(1+('Resilience &amp; Risk Scenario'!$B$7-3)*0.15),2)</f>
        <v>0.55000000000000004</v>
      </c>
      <c r="E56" s="14" t="s">
        <v>10669</v>
      </c>
      <c r="F56" s="14" t="s">
        <v>10675</v>
      </c>
      <c r="G56" s="14" t="s">
        <v>10671</v>
      </c>
      <c r="H56" s="14" t="s">
        <v>10672</v>
      </c>
      <c r="I56" s="14" t="str">
        <f t="shared" si="0"/>
        <v>Cloud / SaaS outage|Company Geography</v>
      </c>
      <c r="J56" s="14" t="s">
        <v>10673</v>
      </c>
      <c r="K56">
        <f>IFERROR(INDEX(_ENGINE_Crisis!$AH$292:$AS$303,MATCH('Resilience &amp; Risk Scenario'!$B$6,_ENGINE_Crisis!$AG$292:$AG$303,0),MATCH($A56,_ENGINE_Crisis!$AH$291:$AS$291,0)),0)</f>
        <v>0</v>
      </c>
    </row>
    <row r="57" spans="1:11" ht="28.5" customHeight="1">
      <c r="A57" s="14" t="s">
        <v>3615</v>
      </c>
      <c r="B57" s="14" t="s">
        <v>949</v>
      </c>
      <c r="C57" s="14">
        <v>1</v>
      </c>
      <c r="D57" s="14">
        <f>ROUND(C57*(1+('Resilience &amp; Risk Scenario'!$B$7-3)*0.15),2)</f>
        <v>0.55000000000000004</v>
      </c>
      <c r="E57" s="14" t="s">
        <v>10674</v>
      </c>
      <c r="F57" s="14" t="s">
        <v>10675</v>
      </c>
      <c r="G57" s="14" t="s">
        <v>10676</v>
      </c>
      <c r="H57" s="14" t="s">
        <v>10677</v>
      </c>
      <c r="I57" s="14" t="str">
        <f t="shared" si="0"/>
        <v>Cloud / SaaS outage|Strategy GTM</v>
      </c>
      <c r="J57" s="14" t="s">
        <v>10673</v>
      </c>
      <c r="K57">
        <f>IFERROR(INDEX(_ENGINE_Crisis!$AH$292:$AS$303,MATCH('Resilience &amp; Risk Scenario'!$B$6,_ENGINE_Crisis!$AG$292:$AG$303,0),MATCH($A57,_ENGINE_Crisis!$AH$291:$AS$291,0)),0)</f>
        <v>0</v>
      </c>
    </row>
    <row r="58" spans="1:11" ht="28.5" customHeight="1">
      <c r="A58" s="14" t="s">
        <v>3615</v>
      </c>
      <c r="B58" s="14" t="s">
        <v>1150</v>
      </c>
      <c r="C58" s="14">
        <v>1</v>
      </c>
      <c r="D58" s="14">
        <f>ROUND(C58*(1+('Resilience &amp; Risk Scenario'!$B$7-3)*0.15),2)</f>
        <v>0.55000000000000004</v>
      </c>
      <c r="E58" s="14" t="s">
        <v>10678</v>
      </c>
      <c r="F58" s="14" t="s">
        <v>10675</v>
      </c>
      <c r="G58" s="14" t="s">
        <v>10679</v>
      </c>
      <c r="H58" s="14" t="s">
        <v>10680</v>
      </c>
      <c r="I58" s="14" t="str">
        <f t="shared" si="0"/>
        <v>Cloud / SaaS outage|Governance Crisis</v>
      </c>
      <c r="J58" s="14" t="s">
        <v>10673</v>
      </c>
      <c r="K58">
        <f>IFERROR(INDEX(_ENGINE_Crisis!$AH$292:$AS$303,MATCH('Resilience &amp; Risk Scenario'!$B$6,_ENGINE_Crisis!$AG$292:$AG$303,0),MATCH($A58,_ENGINE_Crisis!$AH$291:$AS$291,0)),0)</f>
        <v>0</v>
      </c>
    </row>
    <row r="59" spans="1:11" ht="28.5" customHeight="1">
      <c r="A59" s="14" t="s">
        <v>3615</v>
      </c>
      <c r="B59" s="14" t="s">
        <v>1259</v>
      </c>
      <c r="C59" s="14">
        <v>1</v>
      </c>
      <c r="D59" s="14">
        <f>ROUND(C59*(1+('Resilience &amp; Risk Scenario'!$B$7-3)*0.15),2)</f>
        <v>0.55000000000000004</v>
      </c>
      <c r="E59" s="14" t="s">
        <v>10681</v>
      </c>
      <c r="F59" s="14" t="s">
        <v>10675</v>
      </c>
      <c r="G59" s="14" t="s">
        <v>10683</v>
      </c>
      <c r="H59" s="14" t="s">
        <v>10684</v>
      </c>
      <c r="I59" s="14" t="str">
        <f t="shared" si="0"/>
        <v>Cloud / SaaS outage|HR Workforce</v>
      </c>
      <c r="J59" s="14" t="s">
        <v>10673</v>
      </c>
      <c r="K59">
        <f>IFERROR(INDEX(_ENGINE_Crisis!$AH$292:$AS$303,MATCH('Resilience &amp; Risk Scenario'!$B$6,_ENGINE_Crisis!$AG$292:$AG$303,0),MATCH($A59,_ENGINE_Crisis!$AH$291:$AS$291,0)),0)</f>
        <v>0</v>
      </c>
    </row>
    <row r="60" spans="1:11" ht="28.5" customHeight="1">
      <c r="A60" s="14" t="s">
        <v>3615</v>
      </c>
      <c r="B60" s="14" t="s">
        <v>1401</v>
      </c>
      <c r="C60" s="14">
        <v>1.2</v>
      </c>
      <c r="D60" s="14">
        <f>ROUND(C60*(1+('Resilience &amp; Risk Scenario'!$B$7-3)*0.15),2)</f>
        <v>0.66</v>
      </c>
      <c r="E60" s="14" t="s">
        <v>10685</v>
      </c>
      <c r="F60" s="14" t="s">
        <v>10675</v>
      </c>
      <c r="G60" s="14" t="s">
        <v>10686</v>
      </c>
      <c r="H60" s="14" t="s">
        <v>10687</v>
      </c>
      <c r="I60" s="14" t="str">
        <f t="shared" si="0"/>
        <v>Cloud / SaaS outage|Finance Procurement</v>
      </c>
      <c r="J60" s="14" t="s">
        <v>10673</v>
      </c>
      <c r="K60">
        <f>IFERROR(INDEX(_ENGINE_Crisis!$AH$292:$AS$303,MATCH('Resilience &amp; Risk Scenario'!$B$6,_ENGINE_Crisis!$AG$292:$AG$303,0),MATCH($A60,_ENGINE_Crisis!$AH$291:$AS$291,0)),0)</f>
        <v>0</v>
      </c>
    </row>
    <row r="61" spans="1:11" ht="28.5" customHeight="1">
      <c r="A61" s="14" t="s">
        <v>3615</v>
      </c>
      <c r="B61" s="14" t="s">
        <v>1551</v>
      </c>
      <c r="C61" s="14">
        <v>1</v>
      </c>
      <c r="D61" s="14">
        <f>ROUND(C61*(1+('Resilience &amp; Risk Scenario'!$B$7-3)*0.15),2)</f>
        <v>0.55000000000000004</v>
      </c>
      <c r="E61" s="14" t="s">
        <v>10688</v>
      </c>
      <c r="F61" s="14" t="s">
        <v>10675</v>
      </c>
      <c r="G61" s="14" t="s">
        <v>10689</v>
      </c>
      <c r="H61" s="14" t="s">
        <v>10690</v>
      </c>
      <c r="I61" s="14" t="str">
        <f t="shared" si="0"/>
        <v>Cloud / SaaS outage|Legal Risk</v>
      </c>
      <c r="J61" s="14" t="s">
        <v>10673</v>
      </c>
      <c r="K61">
        <f>IFERROR(INDEX(_ENGINE_Crisis!$AH$292:$AS$303,MATCH('Resilience &amp; Risk Scenario'!$B$6,_ENGINE_Crisis!$AG$292:$AG$303,0),MATCH($A61,_ENGINE_Crisis!$AH$291:$AS$291,0)),0)</f>
        <v>0</v>
      </c>
    </row>
    <row r="62" spans="1:11" ht="28.5" customHeight="1">
      <c r="A62" s="14" t="s">
        <v>3615</v>
      </c>
      <c r="B62" s="14" t="s">
        <v>1666</v>
      </c>
      <c r="C62" s="14">
        <v>1</v>
      </c>
      <c r="D62" s="14">
        <f>ROUND(C62*(1+('Resilience &amp; Risk Scenario'!$B$7-3)*0.15),2)</f>
        <v>0.55000000000000004</v>
      </c>
      <c r="E62" s="14" t="s">
        <v>10691</v>
      </c>
      <c r="F62" s="14" t="s">
        <v>10675</v>
      </c>
      <c r="G62" s="14" t="s">
        <v>10692</v>
      </c>
      <c r="H62" s="14" t="s">
        <v>10693</v>
      </c>
      <c r="I62" s="14" t="str">
        <f t="shared" si="0"/>
        <v>Cloud / SaaS outage|Physical Safety</v>
      </c>
      <c r="J62" s="14" t="s">
        <v>10673</v>
      </c>
      <c r="K62">
        <f>IFERROR(INDEX(_ENGINE_Crisis!$AH$292:$AS$303,MATCH('Resilience &amp; Risk Scenario'!$B$6,_ENGINE_Crisis!$AG$292:$AG$303,0),MATCH($A62,_ENGINE_Crisis!$AH$291:$AS$291,0)),0)</f>
        <v>0</v>
      </c>
    </row>
    <row r="63" spans="1:11" ht="28.5" customHeight="1">
      <c r="A63" s="14" t="s">
        <v>3615</v>
      </c>
      <c r="B63" s="14" t="s">
        <v>1859</v>
      </c>
      <c r="C63" s="14">
        <v>1.4</v>
      </c>
      <c r="D63" s="14">
        <f>ROUND(C63*(1+('Resilience &amp; Risk Scenario'!$B$7-3)*0.15),2)</f>
        <v>0.77</v>
      </c>
      <c r="E63" s="14" t="s">
        <v>10694</v>
      </c>
      <c r="F63" s="14" t="s">
        <v>10670</v>
      </c>
      <c r="G63" s="14" t="s">
        <v>10695</v>
      </c>
      <c r="H63" s="14" t="s">
        <v>10696</v>
      </c>
      <c r="I63" s="14" t="str">
        <f t="shared" si="0"/>
        <v>Cloud / SaaS outage|Delivery Ops</v>
      </c>
      <c r="J63" s="14" t="s">
        <v>10673</v>
      </c>
      <c r="K63">
        <f>IFERROR(INDEX(_ENGINE_Crisis!$AH$292:$AS$303,MATCH('Resilience &amp; Risk Scenario'!$B$6,_ENGINE_Crisis!$AG$292:$AG$303,0),MATCH($A63,_ENGINE_Crisis!$AH$291:$AS$291,0)),0)</f>
        <v>0</v>
      </c>
    </row>
    <row r="64" spans="1:11" ht="28.5" customHeight="1">
      <c r="A64" s="14" t="s">
        <v>3615</v>
      </c>
      <c r="B64" s="14" t="s">
        <v>1987</v>
      </c>
      <c r="C64" s="14">
        <v>1</v>
      </c>
      <c r="D64" s="14">
        <f>ROUND(C64*(1+('Resilience &amp; Risk Scenario'!$B$7-3)*0.15),2)</f>
        <v>0.55000000000000004</v>
      </c>
      <c r="E64" s="14" t="s">
        <v>10697</v>
      </c>
      <c r="F64" s="14" t="s">
        <v>10675</v>
      </c>
      <c r="G64" s="14" t="s">
        <v>10698</v>
      </c>
      <c r="H64" s="14" t="s">
        <v>10699</v>
      </c>
      <c r="I64" s="14" t="str">
        <f t="shared" si="0"/>
        <v>Cloud / SaaS outage|Supply Chain</v>
      </c>
      <c r="J64" s="14" t="s">
        <v>10673</v>
      </c>
      <c r="K64">
        <f>IFERROR(INDEX(_ENGINE_Crisis!$AH$292:$AS$303,MATCH('Resilience &amp; Risk Scenario'!$B$6,_ENGINE_Crisis!$AG$292:$AG$303,0),MATCH($A64,_ENGINE_Crisis!$AH$291:$AS$291,0)),0)</f>
        <v>0</v>
      </c>
    </row>
    <row r="65" spans="1:11" ht="28.5" customHeight="1">
      <c r="A65" s="14" t="s">
        <v>3615</v>
      </c>
      <c r="B65" s="14" t="s">
        <v>2145</v>
      </c>
      <c r="C65" s="14">
        <v>1</v>
      </c>
      <c r="D65" s="14">
        <f>ROUND(C65*(1+('Resilience &amp; Risk Scenario'!$B$7-3)*0.15),2)</f>
        <v>0.55000000000000004</v>
      </c>
      <c r="E65" s="14" t="s">
        <v>10700</v>
      </c>
      <c r="F65" s="14" t="s">
        <v>10675</v>
      </c>
      <c r="G65" s="14" t="s">
        <v>10701</v>
      </c>
      <c r="H65" s="14" t="s">
        <v>10702</v>
      </c>
      <c r="I65" s="14" t="str">
        <f t="shared" si="0"/>
        <v>Cloud / SaaS outage|Manufacturing MES</v>
      </c>
      <c r="J65" s="14" t="s">
        <v>10673</v>
      </c>
      <c r="K65">
        <f>IFERROR(INDEX(_ENGINE_Crisis!$AH$292:$AS$303,MATCH('Resilience &amp; Risk Scenario'!$B$6,_ENGINE_Crisis!$AG$292:$AG$303,0),MATCH($A65,_ENGINE_Crisis!$AH$291:$AS$291,0)),0)</f>
        <v>0</v>
      </c>
    </row>
    <row r="66" spans="1:11" ht="28.5" customHeight="1">
      <c r="A66" s="14" t="s">
        <v>3615</v>
      </c>
      <c r="B66" s="14" t="s">
        <v>2286</v>
      </c>
      <c r="C66" s="14">
        <v>1.5</v>
      </c>
      <c r="D66" s="14">
        <f>ROUND(C66*(1+('Resilience &amp; Risk Scenario'!$B$7-3)*0.15),2)</f>
        <v>0.83</v>
      </c>
      <c r="E66" s="14" t="s">
        <v>10703</v>
      </c>
      <c r="F66" s="14" t="s">
        <v>10670</v>
      </c>
      <c r="G66" s="14" t="s">
        <v>10704</v>
      </c>
      <c r="H66" s="14" t="s">
        <v>10705</v>
      </c>
      <c r="I66" s="14" t="str">
        <f t="shared" si="0"/>
        <v>Cloud / SaaS outage|Sales CRM</v>
      </c>
      <c r="J66" s="14" t="s">
        <v>10673</v>
      </c>
      <c r="K66">
        <f>IFERROR(INDEX(_ENGINE_Crisis!$AH$292:$AS$303,MATCH('Resilience &amp; Risk Scenario'!$B$6,_ENGINE_Crisis!$AG$292:$AG$303,0),MATCH($A66,_ENGINE_Crisis!$AH$291:$AS$291,0)),0)</f>
        <v>0</v>
      </c>
    </row>
    <row r="67" spans="1:11" ht="28.5" customHeight="1">
      <c r="A67" s="14" t="s">
        <v>3615</v>
      </c>
      <c r="B67" s="14" t="s">
        <v>2473</v>
      </c>
      <c r="C67" s="14">
        <v>1.3</v>
      </c>
      <c r="D67" s="14">
        <f>ROUND(C67*(1+('Resilience &amp; Risk Scenario'!$B$7-3)*0.15),2)</f>
        <v>0.72</v>
      </c>
      <c r="E67" s="14" t="s">
        <v>10706</v>
      </c>
      <c r="F67" s="14" t="s">
        <v>10670</v>
      </c>
      <c r="G67" s="14" t="s">
        <v>10707</v>
      </c>
      <c r="H67" s="14" t="s">
        <v>10708</v>
      </c>
      <c r="I67" s="14" t="str">
        <f t="shared" si="0"/>
        <v>Cloud / SaaS outage|Marketing Comms</v>
      </c>
      <c r="J67" s="14" t="s">
        <v>10673</v>
      </c>
      <c r="K67">
        <f>IFERROR(INDEX(_ENGINE_Crisis!$AH$292:$AS$303,MATCH('Resilience &amp; Risk Scenario'!$B$6,_ENGINE_Crisis!$AG$292:$AG$303,0),MATCH($A67,_ENGINE_Crisis!$AH$291:$AS$291,0)),0)</f>
        <v>0</v>
      </c>
    </row>
    <row r="68" spans="1:11" ht="28.5" customHeight="1">
      <c r="A68" s="14" t="s">
        <v>3615</v>
      </c>
      <c r="B68" s="14" t="s">
        <v>2588</v>
      </c>
      <c r="C68" s="14">
        <v>2</v>
      </c>
      <c r="D68" s="14">
        <f>ROUND(C68*(1+('Resilience &amp; Risk Scenario'!$B$7-3)*0.15),2)</f>
        <v>1.1000000000000001</v>
      </c>
      <c r="E68" s="14" t="s">
        <v>10709</v>
      </c>
      <c r="F68" s="14" t="s">
        <v>10682</v>
      </c>
      <c r="G68" s="14" t="s">
        <v>10710</v>
      </c>
      <c r="H68" s="14" t="s">
        <v>10711</v>
      </c>
      <c r="I68" s="14" t="str">
        <f t="shared" si="0"/>
        <v>Cloud / SaaS outage|IT Cloud DR</v>
      </c>
      <c r="J68" s="14" t="s">
        <v>10673</v>
      </c>
      <c r="K68">
        <f>IFERROR(INDEX(_ENGINE_Crisis!$AH$292:$AS$303,MATCH('Resilience &amp; Risk Scenario'!$B$6,_ENGINE_Crisis!$AG$292:$AG$303,0),MATCH($A68,_ENGINE_Crisis!$AH$291:$AS$291,0)),0)</f>
        <v>0</v>
      </c>
    </row>
    <row r="69" spans="1:11" ht="28.5" customHeight="1">
      <c r="A69" s="14" t="s">
        <v>3615</v>
      </c>
      <c r="B69" s="14" t="s">
        <v>2729</v>
      </c>
      <c r="C69" s="14">
        <v>1.8</v>
      </c>
      <c r="D69" s="14">
        <f>ROUND(C69*(1+('Resilience &amp; Risk Scenario'!$B$7-3)*0.15),2)</f>
        <v>0.99</v>
      </c>
      <c r="E69" s="14" t="s">
        <v>10712</v>
      </c>
      <c r="F69" s="14" t="s">
        <v>10682</v>
      </c>
      <c r="G69" s="14" t="s">
        <v>10713</v>
      </c>
      <c r="H69" s="14" t="s">
        <v>10714</v>
      </c>
      <c r="I69" s="14" t="str">
        <f t="shared" ref="I69:I132" si="1">A69&amp;"|"&amp;B69</f>
        <v>Cloud / SaaS outage|Business Systems</v>
      </c>
      <c r="J69" s="14" t="s">
        <v>10673</v>
      </c>
      <c r="K69">
        <f>IFERROR(INDEX(_ENGINE_Crisis!$AH$292:$AS$303,MATCH('Resilience &amp; Risk Scenario'!$B$6,_ENGINE_Crisis!$AG$292:$AG$303,0),MATCH($A69,_ENGINE_Crisis!$AH$291:$AS$291,0)),0)</f>
        <v>0</v>
      </c>
    </row>
    <row r="70" spans="1:11" ht="28.5" customHeight="1">
      <c r="A70" s="14" t="s">
        <v>3615</v>
      </c>
      <c r="B70" s="14" t="s">
        <v>2824</v>
      </c>
      <c r="C70" s="14">
        <v>1.6</v>
      </c>
      <c r="D70" s="14">
        <f>ROUND(C70*(1+('Resilience &amp; Risk Scenario'!$B$7-3)*0.15),2)</f>
        <v>0.88</v>
      </c>
      <c r="E70" s="14" t="s">
        <v>10715</v>
      </c>
      <c r="F70" s="14" t="s">
        <v>10670</v>
      </c>
      <c r="G70" s="14" t="s">
        <v>10716</v>
      </c>
      <c r="H70" s="14" t="s">
        <v>10717</v>
      </c>
      <c r="I70" s="14" t="str">
        <f t="shared" si="1"/>
        <v>Cloud / SaaS outage|Data BI AI</v>
      </c>
      <c r="J70" s="14" t="s">
        <v>10673</v>
      </c>
      <c r="K70">
        <f>IFERROR(INDEX(_ENGINE_Crisis!$AH$292:$AS$303,MATCH('Resilience &amp; Risk Scenario'!$B$6,_ENGINE_Crisis!$AG$292:$AG$303,0),MATCH($A70,_ENGINE_Crisis!$AH$291:$AS$291,0)),0)</f>
        <v>0</v>
      </c>
    </row>
    <row r="71" spans="1:11" ht="28.5" customHeight="1">
      <c r="A71" s="14" t="s">
        <v>3615</v>
      </c>
      <c r="B71" s="14" t="s">
        <v>2986</v>
      </c>
      <c r="C71" s="14">
        <v>1.3</v>
      </c>
      <c r="D71" s="14">
        <f>ROUND(C71*(1+('Resilience &amp; Risk Scenario'!$B$7-3)*0.15),2)</f>
        <v>0.72</v>
      </c>
      <c r="E71" s="14" t="s">
        <v>10718</v>
      </c>
      <c r="F71" s="14" t="s">
        <v>10670</v>
      </c>
      <c r="G71" s="14" t="s">
        <v>10719</v>
      </c>
      <c r="H71" s="14" t="s">
        <v>10720</v>
      </c>
      <c r="I71" s="14" t="str">
        <f t="shared" si="1"/>
        <v>Cloud / SaaS outage|Cyber Privacy</v>
      </c>
      <c r="J71" s="14" t="s">
        <v>10673</v>
      </c>
      <c r="K71">
        <f>IFERROR(INDEX(_ENGINE_Crisis!$AH$292:$AS$303,MATCH('Resilience &amp; Risk Scenario'!$B$6,_ENGINE_Crisis!$AG$292:$AG$303,0),MATCH($A71,_ENGINE_Crisis!$AH$291:$AS$291,0)),0)</f>
        <v>0</v>
      </c>
    </row>
    <row r="72" spans="1:11" ht="28.5" customHeight="1">
      <c r="A72" s="14" t="s">
        <v>3615</v>
      </c>
      <c r="B72" s="14" t="s">
        <v>3204</v>
      </c>
      <c r="C72" s="14">
        <v>1</v>
      </c>
      <c r="D72" s="14">
        <f>ROUND(C72*(1+('Resilience &amp; Risk Scenario'!$B$7-3)*0.15),2)</f>
        <v>0.55000000000000004</v>
      </c>
      <c r="E72" s="14" t="s">
        <v>10721</v>
      </c>
      <c r="F72" s="14" t="s">
        <v>10675</v>
      </c>
      <c r="G72" s="14" t="s">
        <v>10722</v>
      </c>
      <c r="H72" s="14" t="s">
        <v>10723</v>
      </c>
      <c r="I72" s="14" t="str">
        <f t="shared" si="1"/>
        <v>Cloud / SaaS outage|Quality Portfolio</v>
      </c>
      <c r="J72" s="14" t="s">
        <v>10673</v>
      </c>
      <c r="K72">
        <f>IFERROR(INDEX(_ENGINE_Crisis!$AH$292:$AS$303,MATCH('Resilience &amp; Risk Scenario'!$B$6,_ENGINE_Crisis!$AG$292:$AG$303,0),MATCH($A72,_ENGINE_Crisis!$AH$291:$AS$291,0)),0)</f>
        <v>0</v>
      </c>
    </row>
    <row r="73" spans="1:11" ht="28.5" customHeight="1">
      <c r="A73" s="14" t="s">
        <v>644</v>
      </c>
      <c r="B73" s="14" t="s">
        <v>815</v>
      </c>
      <c r="C73" s="14">
        <v>1.3</v>
      </c>
      <c r="D73" s="14">
        <f>ROUND(C73*(1+('Resilience &amp; Risk Scenario'!$B$7-3)*0.15),2)</f>
        <v>0.72</v>
      </c>
      <c r="E73" s="14" t="s">
        <v>10669</v>
      </c>
      <c r="F73" s="14" t="s">
        <v>10670</v>
      </c>
      <c r="G73" s="14" t="s">
        <v>10671</v>
      </c>
      <c r="H73" s="14" t="s">
        <v>10672</v>
      </c>
      <c r="I73" s="14" t="str">
        <f t="shared" si="1"/>
        <v>Supply chain disruption|Company Geography</v>
      </c>
      <c r="J73" s="14" t="s">
        <v>10673</v>
      </c>
      <c r="K73">
        <f>IFERROR(INDEX(_ENGINE_Crisis!$AH$292:$AS$303,MATCH('Resilience &amp; Risk Scenario'!$B$6,_ENGINE_Crisis!$AG$292:$AG$303,0),MATCH($A73,_ENGINE_Crisis!$AH$291:$AS$291,0)),0)</f>
        <v>0</v>
      </c>
    </row>
    <row r="74" spans="1:11" ht="28.5" customHeight="1">
      <c r="A74" s="14" t="s">
        <v>644</v>
      </c>
      <c r="B74" s="14" t="s">
        <v>949</v>
      </c>
      <c r="C74" s="14">
        <v>1.2</v>
      </c>
      <c r="D74" s="14">
        <f>ROUND(C74*(1+('Resilience &amp; Risk Scenario'!$B$7-3)*0.15),2)</f>
        <v>0.66</v>
      </c>
      <c r="E74" s="14" t="s">
        <v>10674</v>
      </c>
      <c r="F74" s="14" t="s">
        <v>10675</v>
      </c>
      <c r="G74" s="14" t="s">
        <v>10676</v>
      </c>
      <c r="H74" s="14" t="s">
        <v>10677</v>
      </c>
      <c r="I74" s="14" t="str">
        <f t="shared" si="1"/>
        <v>Supply chain disruption|Strategy GTM</v>
      </c>
      <c r="J74" s="14" t="s">
        <v>10673</v>
      </c>
      <c r="K74">
        <f>IFERROR(INDEX(_ENGINE_Crisis!$AH$292:$AS$303,MATCH('Resilience &amp; Risk Scenario'!$B$6,_ENGINE_Crisis!$AG$292:$AG$303,0),MATCH($A74,_ENGINE_Crisis!$AH$291:$AS$291,0)),0)</f>
        <v>0</v>
      </c>
    </row>
    <row r="75" spans="1:11" ht="28.5" customHeight="1">
      <c r="A75" s="14" t="s">
        <v>644</v>
      </c>
      <c r="B75" s="14" t="s">
        <v>1150</v>
      </c>
      <c r="C75" s="14">
        <v>1</v>
      </c>
      <c r="D75" s="14">
        <f>ROUND(C75*(1+('Resilience &amp; Risk Scenario'!$B$7-3)*0.15),2)</f>
        <v>0.55000000000000004</v>
      </c>
      <c r="E75" s="14" t="s">
        <v>10678</v>
      </c>
      <c r="F75" s="14" t="s">
        <v>10675</v>
      </c>
      <c r="G75" s="14" t="s">
        <v>10679</v>
      </c>
      <c r="H75" s="14" t="s">
        <v>10680</v>
      </c>
      <c r="I75" s="14" t="str">
        <f t="shared" si="1"/>
        <v>Supply chain disruption|Governance Crisis</v>
      </c>
      <c r="J75" s="14" t="s">
        <v>10673</v>
      </c>
      <c r="K75">
        <f>IFERROR(INDEX(_ENGINE_Crisis!$AH$292:$AS$303,MATCH('Resilience &amp; Risk Scenario'!$B$6,_ENGINE_Crisis!$AG$292:$AG$303,0),MATCH($A75,_ENGINE_Crisis!$AH$291:$AS$291,0)),0)</f>
        <v>0</v>
      </c>
    </row>
    <row r="76" spans="1:11" ht="28.5" customHeight="1">
      <c r="A76" s="14" t="s">
        <v>644</v>
      </c>
      <c r="B76" s="14" t="s">
        <v>1259</v>
      </c>
      <c r="C76" s="14">
        <v>1</v>
      </c>
      <c r="D76" s="14">
        <f>ROUND(C76*(1+('Resilience &amp; Risk Scenario'!$B$7-3)*0.15),2)</f>
        <v>0.55000000000000004</v>
      </c>
      <c r="E76" s="14" t="s">
        <v>10681</v>
      </c>
      <c r="F76" s="14" t="s">
        <v>10675</v>
      </c>
      <c r="G76" s="14" t="s">
        <v>10683</v>
      </c>
      <c r="H76" s="14" t="s">
        <v>10684</v>
      </c>
      <c r="I76" s="14" t="str">
        <f t="shared" si="1"/>
        <v>Supply chain disruption|HR Workforce</v>
      </c>
      <c r="J76" s="14" t="s">
        <v>10673</v>
      </c>
      <c r="K76">
        <f>IFERROR(INDEX(_ENGINE_Crisis!$AH$292:$AS$303,MATCH('Resilience &amp; Risk Scenario'!$B$6,_ENGINE_Crisis!$AG$292:$AG$303,0),MATCH($A76,_ENGINE_Crisis!$AH$291:$AS$291,0)),0)</f>
        <v>0</v>
      </c>
    </row>
    <row r="77" spans="1:11" ht="28.5" customHeight="1">
      <c r="A77" s="14" t="s">
        <v>644</v>
      </c>
      <c r="B77" s="14" t="s">
        <v>1401</v>
      </c>
      <c r="C77" s="14">
        <v>1.4</v>
      </c>
      <c r="D77" s="14">
        <f>ROUND(C77*(1+('Resilience &amp; Risk Scenario'!$B$7-3)*0.15),2)</f>
        <v>0.77</v>
      </c>
      <c r="E77" s="14" t="s">
        <v>10685</v>
      </c>
      <c r="F77" s="14" t="s">
        <v>10670</v>
      </c>
      <c r="G77" s="14" t="s">
        <v>10686</v>
      </c>
      <c r="H77" s="14" t="s">
        <v>10687</v>
      </c>
      <c r="I77" s="14" t="str">
        <f t="shared" si="1"/>
        <v>Supply chain disruption|Finance Procurement</v>
      </c>
      <c r="J77" s="14" t="s">
        <v>10673</v>
      </c>
      <c r="K77">
        <f>IFERROR(INDEX(_ENGINE_Crisis!$AH$292:$AS$303,MATCH('Resilience &amp; Risk Scenario'!$B$6,_ENGINE_Crisis!$AG$292:$AG$303,0),MATCH($A77,_ENGINE_Crisis!$AH$291:$AS$291,0)),0)</f>
        <v>0</v>
      </c>
    </row>
    <row r="78" spans="1:11" ht="28.5" customHeight="1">
      <c r="A78" s="14" t="s">
        <v>644</v>
      </c>
      <c r="B78" s="14" t="s">
        <v>1551</v>
      </c>
      <c r="C78" s="14">
        <v>1</v>
      </c>
      <c r="D78" s="14">
        <f>ROUND(C78*(1+('Resilience &amp; Risk Scenario'!$B$7-3)*0.15),2)</f>
        <v>0.55000000000000004</v>
      </c>
      <c r="E78" s="14" t="s">
        <v>10688</v>
      </c>
      <c r="F78" s="14" t="s">
        <v>10675</v>
      </c>
      <c r="G78" s="14" t="s">
        <v>10689</v>
      </c>
      <c r="H78" s="14" t="s">
        <v>10690</v>
      </c>
      <c r="I78" s="14" t="str">
        <f t="shared" si="1"/>
        <v>Supply chain disruption|Legal Risk</v>
      </c>
      <c r="J78" s="14" t="s">
        <v>10673</v>
      </c>
      <c r="K78">
        <f>IFERROR(INDEX(_ENGINE_Crisis!$AH$292:$AS$303,MATCH('Resilience &amp; Risk Scenario'!$B$6,_ENGINE_Crisis!$AG$292:$AG$303,0),MATCH($A78,_ENGINE_Crisis!$AH$291:$AS$291,0)),0)</f>
        <v>0</v>
      </c>
    </row>
    <row r="79" spans="1:11" ht="28.5" customHeight="1">
      <c r="A79" s="14" t="s">
        <v>644</v>
      </c>
      <c r="B79" s="14" t="s">
        <v>1666</v>
      </c>
      <c r="C79" s="14">
        <v>1.2</v>
      </c>
      <c r="D79" s="14">
        <f>ROUND(C79*(1+('Resilience &amp; Risk Scenario'!$B$7-3)*0.15),2)</f>
        <v>0.66</v>
      </c>
      <c r="E79" s="14" t="s">
        <v>10691</v>
      </c>
      <c r="F79" s="14" t="s">
        <v>10675</v>
      </c>
      <c r="G79" s="14" t="s">
        <v>10692</v>
      </c>
      <c r="H79" s="14" t="s">
        <v>10693</v>
      </c>
      <c r="I79" s="14" t="str">
        <f t="shared" si="1"/>
        <v>Supply chain disruption|Physical Safety</v>
      </c>
      <c r="J79" s="14" t="s">
        <v>10673</v>
      </c>
      <c r="K79">
        <f>IFERROR(INDEX(_ENGINE_Crisis!$AH$292:$AS$303,MATCH('Resilience &amp; Risk Scenario'!$B$6,_ENGINE_Crisis!$AG$292:$AG$303,0),MATCH($A79,_ENGINE_Crisis!$AH$291:$AS$291,0)),0)</f>
        <v>0</v>
      </c>
    </row>
    <row r="80" spans="1:11" ht="28.5" customHeight="1">
      <c r="A80" s="14" t="s">
        <v>644</v>
      </c>
      <c r="B80" s="14" t="s">
        <v>1859</v>
      </c>
      <c r="C80" s="14">
        <v>1.7</v>
      </c>
      <c r="D80" s="14">
        <f>ROUND(C80*(1+('Resilience &amp; Risk Scenario'!$B$7-3)*0.15),2)</f>
        <v>0.94</v>
      </c>
      <c r="E80" s="14" t="s">
        <v>10694</v>
      </c>
      <c r="F80" s="14" t="s">
        <v>10682</v>
      </c>
      <c r="G80" s="14" t="s">
        <v>10695</v>
      </c>
      <c r="H80" s="14" t="s">
        <v>10696</v>
      </c>
      <c r="I80" s="14" t="str">
        <f t="shared" si="1"/>
        <v>Supply chain disruption|Delivery Ops</v>
      </c>
      <c r="J80" s="14" t="s">
        <v>10673</v>
      </c>
      <c r="K80">
        <f>IFERROR(INDEX(_ENGINE_Crisis!$AH$292:$AS$303,MATCH('Resilience &amp; Risk Scenario'!$B$6,_ENGINE_Crisis!$AG$292:$AG$303,0),MATCH($A80,_ENGINE_Crisis!$AH$291:$AS$291,0)),0)</f>
        <v>0</v>
      </c>
    </row>
    <row r="81" spans="1:11" ht="28.5" customHeight="1">
      <c r="A81" s="14" t="s">
        <v>644</v>
      </c>
      <c r="B81" s="14" t="s">
        <v>1987</v>
      </c>
      <c r="C81" s="14">
        <v>2</v>
      </c>
      <c r="D81" s="14">
        <f>ROUND(C81*(1+('Resilience &amp; Risk Scenario'!$B$7-3)*0.15),2)</f>
        <v>1.1000000000000001</v>
      </c>
      <c r="E81" s="14" t="s">
        <v>10697</v>
      </c>
      <c r="F81" s="14" t="s">
        <v>10682</v>
      </c>
      <c r="G81" s="14" t="s">
        <v>10698</v>
      </c>
      <c r="H81" s="14" t="s">
        <v>10699</v>
      </c>
      <c r="I81" s="14" t="str">
        <f t="shared" si="1"/>
        <v>Supply chain disruption|Supply Chain</v>
      </c>
      <c r="J81" s="14" t="s">
        <v>10673</v>
      </c>
      <c r="K81">
        <f>IFERROR(INDEX(_ENGINE_Crisis!$AH$292:$AS$303,MATCH('Resilience &amp; Risk Scenario'!$B$6,_ENGINE_Crisis!$AG$292:$AG$303,0),MATCH($A81,_ENGINE_Crisis!$AH$291:$AS$291,0)),0)</f>
        <v>0</v>
      </c>
    </row>
    <row r="82" spans="1:11" ht="28.5" customHeight="1">
      <c r="A82" s="14" t="s">
        <v>644</v>
      </c>
      <c r="B82" s="14" t="s">
        <v>2145</v>
      </c>
      <c r="C82" s="14">
        <v>1.8</v>
      </c>
      <c r="D82" s="14">
        <f>ROUND(C82*(1+('Resilience &amp; Risk Scenario'!$B$7-3)*0.15),2)</f>
        <v>0.99</v>
      </c>
      <c r="E82" s="14" t="s">
        <v>10700</v>
      </c>
      <c r="F82" s="14" t="s">
        <v>10682</v>
      </c>
      <c r="G82" s="14" t="s">
        <v>10701</v>
      </c>
      <c r="H82" s="14" t="s">
        <v>10702</v>
      </c>
      <c r="I82" s="14" t="str">
        <f t="shared" si="1"/>
        <v>Supply chain disruption|Manufacturing MES</v>
      </c>
      <c r="J82" s="14" t="s">
        <v>10673</v>
      </c>
      <c r="K82">
        <f>IFERROR(INDEX(_ENGINE_Crisis!$AH$292:$AS$303,MATCH('Resilience &amp; Risk Scenario'!$B$6,_ENGINE_Crisis!$AG$292:$AG$303,0),MATCH($A82,_ENGINE_Crisis!$AH$291:$AS$291,0)),0)</f>
        <v>0</v>
      </c>
    </row>
    <row r="83" spans="1:11" ht="28.5" customHeight="1">
      <c r="A83" s="14" t="s">
        <v>644</v>
      </c>
      <c r="B83" s="14" t="s">
        <v>2286</v>
      </c>
      <c r="C83" s="14">
        <v>1</v>
      </c>
      <c r="D83" s="14">
        <f>ROUND(C83*(1+('Resilience &amp; Risk Scenario'!$B$7-3)*0.15),2)</f>
        <v>0.55000000000000004</v>
      </c>
      <c r="E83" s="14" t="s">
        <v>10703</v>
      </c>
      <c r="F83" s="14" t="s">
        <v>10675</v>
      </c>
      <c r="G83" s="14" t="s">
        <v>10704</v>
      </c>
      <c r="H83" s="14" t="s">
        <v>10705</v>
      </c>
      <c r="I83" s="14" t="str">
        <f t="shared" si="1"/>
        <v>Supply chain disruption|Sales CRM</v>
      </c>
      <c r="J83" s="14" t="s">
        <v>10673</v>
      </c>
      <c r="K83">
        <f>IFERROR(INDEX(_ENGINE_Crisis!$AH$292:$AS$303,MATCH('Resilience &amp; Risk Scenario'!$B$6,_ENGINE_Crisis!$AG$292:$AG$303,0),MATCH($A83,_ENGINE_Crisis!$AH$291:$AS$291,0)),0)</f>
        <v>0</v>
      </c>
    </row>
    <row r="84" spans="1:11" ht="28.5" customHeight="1">
      <c r="A84" s="14" t="s">
        <v>644</v>
      </c>
      <c r="B84" s="14" t="s">
        <v>2473</v>
      </c>
      <c r="C84" s="14">
        <v>1</v>
      </c>
      <c r="D84" s="14">
        <f>ROUND(C84*(1+('Resilience &amp; Risk Scenario'!$B$7-3)*0.15),2)</f>
        <v>0.55000000000000004</v>
      </c>
      <c r="E84" s="14" t="s">
        <v>10706</v>
      </c>
      <c r="F84" s="14" t="s">
        <v>10675</v>
      </c>
      <c r="G84" s="14" t="s">
        <v>10707</v>
      </c>
      <c r="H84" s="14" t="s">
        <v>10708</v>
      </c>
      <c r="I84" s="14" t="str">
        <f t="shared" si="1"/>
        <v>Supply chain disruption|Marketing Comms</v>
      </c>
      <c r="J84" s="14" t="s">
        <v>10673</v>
      </c>
      <c r="K84">
        <f>IFERROR(INDEX(_ENGINE_Crisis!$AH$292:$AS$303,MATCH('Resilience &amp; Risk Scenario'!$B$6,_ENGINE_Crisis!$AG$292:$AG$303,0),MATCH($A84,_ENGINE_Crisis!$AH$291:$AS$291,0)),0)</f>
        <v>0</v>
      </c>
    </row>
    <row r="85" spans="1:11" ht="28.5" customHeight="1">
      <c r="A85" s="14" t="s">
        <v>644</v>
      </c>
      <c r="B85" s="14" t="s">
        <v>2588</v>
      </c>
      <c r="C85" s="14">
        <v>1</v>
      </c>
      <c r="D85" s="14">
        <f>ROUND(C85*(1+('Resilience &amp; Risk Scenario'!$B$7-3)*0.15),2)</f>
        <v>0.55000000000000004</v>
      </c>
      <c r="E85" s="14" t="s">
        <v>10709</v>
      </c>
      <c r="F85" s="14" t="s">
        <v>10675</v>
      </c>
      <c r="G85" s="14" t="s">
        <v>10710</v>
      </c>
      <c r="H85" s="14" t="s">
        <v>10711</v>
      </c>
      <c r="I85" s="14" t="str">
        <f t="shared" si="1"/>
        <v>Supply chain disruption|IT Cloud DR</v>
      </c>
      <c r="J85" s="14" t="s">
        <v>10673</v>
      </c>
      <c r="K85">
        <f>IFERROR(INDEX(_ENGINE_Crisis!$AH$292:$AS$303,MATCH('Resilience &amp; Risk Scenario'!$B$6,_ENGINE_Crisis!$AG$292:$AG$303,0),MATCH($A85,_ENGINE_Crisis!$AH$291:$AS$291,0)),0)</f>
        <v>0</v>
      </c>
    </row>
    <row r="86" spans="1:11" ht="28.5" customHeight="1">
      <c r="A86" s="14" t="s">
        <v>644</v>
      </c>
      <c r="B86" s="14" t="s">
        <v>2729</v>
      </c>
      <c r="C86" s="14">
        <v>1</v>
      </c>
      <c r="D86" s="14">
        <f>ROUND(C86*(1+('Resilience &amp; Risk Scenario'!$B$7-3)*0.15),2)</f>
        <v>0.55000000000000004</v>
      </c>
      <c r="E86" s="14" t="s">
        <v>10712</v>
      </c>
      <c r="F86" s="14" t="s">
        <v>10675</v>
      </c>
      <c r="G86" s="14" t="s">
        <v>10713</v>
      </c>
      <c r="H86" s="14" t="s">
        <v>10714</v>
      </c>
      <c r="I86" s="14" t="str">
        <f t="shared" si="1"/>
        <v>Supply chain disruption|Business Systems</v>
      </c>
      <c r="J86" s="14" t="s">
        <v>10673</v>
      </c>
      <c r="K86">
        <f>IFERROR(INDEX(_ENGINE_Crisis!$AH$292:$AS$303,MATCH('Resilience &amp; Risk Scenario'!$B$6,_ENGINE_Crisis!$AG$292:$AG$303,0),MATCH($A86,_ENGINE_Crisis!$AH$291:$AS$291,0)),0)</f>
        <v>0</v>
      </c>
    </row>
    <row r="87" spans="1:11" ht="28.5" customHeight="1">
      <c r="A87" s="14" t="s">
        <v>644</v>
      </c>
      <c r="B87" s="14" t="s">
        <v>2824</v>
      </c>
      <c r="C87" s="14">
        <v>1</v>
      </c>
      <c r="D87" s="14">
        <f>ROUND(C87*(1+('Resilience &amp; Risk Scenario'!$B$7-3)*0.15),2)</f>
        <v>0.55000000000000004</v>
      </c>
      <c r="E87" s="14" t="s">
        <v>10715</v>
      </c>
      <c r="F87" s="14" t="s">
        <v>10675</v>
      </c>
      <c r="G87" s="14" t="s">
        <v>10716</v>
      </c>
      <c r="H87" s="14" t="s">
        <v>10717</v>
      </c>
      <c r="I87" s="14" t="str">
        <f t="shared" si="1"/>
        <v>Supply chain disruption|Data BI AI</v>
      </c>
      <c r="J87" s="14" t="s">
        <v>10673</v>
      </c>
      <c r="K87">
        <f>IFERROR(INDEX(_ENGINE_Crisis!$AH$292:$AS$303,MATCH('Resilience &amp; Risk Scenario'!$B$6,_ENGINE_Crisis!$AG$292:$AG$303,0),MATCH($A87,_ENGINE_Crisis!$AH$291:$AS$291,0)),0)</f>
        <v>0</v>
      </c>
    </row>
    <row r="88" spans="1:11" ht="28.5" customHeight="1">
      <c r="A88" s="14" t="s">
        <v>644</v>
      </c>
      <c r="B88" s="14" t="s">
        <v>2986</v>
      </c>
      <c r="C88" s="14">
        <v>1</v>
      </c>
      <c r="D88" s="14">
        <f>ROUND(C88*(1+('Resilience &amp; Risk Scenario'!$B$7-3)*0.15),2)</f>
        <v>0.55000000000000004</v>
      </c>
      <c r="E88" s="14" t="s">
        <v>10718</v>
      </c>
      <c r="F88" s="14" t="s">
        <v>10675</v>
      </c>
      <c r="G88" s="14" t="s">
        <v>10719</v>
      </c>
      <c r="H88" s="14" t="s">
        <v>10720</v>
      </c>
      <c r="I88" s="14" t="str">
        <f t="shared" si="1"/>
        <v>Supply chain disruption|Cyber Privacy</v>
      </c>
      <c r="J88" s="14" t="s">
        <v>10673</v>
      </c>
      <c r="K88">
        <f>IFERROR(INDEX(_ENGINE_Crisis!$AH$292:$AS$303,MATCH('Resilience &amp; Risk Scenario'!$B$6,_ENGINE_Crisis!$AG$292:$AG$303,0),MATCH($A88,_ENGINE_Crisis!$AH$291:$AS$291,0)),0)</f>
        <v>0</v>
      </c>
    </row>
    <row r="89" spans="1:11" ht="28.5" customHeight="1">
      <c r="A89" s="14" t="s">
        <v>644</v>
      </c>
      <c r="B89" s="14" t="s">
        <v>3204</v>
      </c>
      <c r="C89" s="14">
        <v>1</v>
      </c>
      <c r="D89" s="14">
        <f>ROUND(C89*(1+('Resilience &amp; Risk Scenario'!$B$7-3)*0.15),2)</f>
        <v>0.55000000000000004</v>
      </c>
      <c r="E89" s="14" t="s">
        <v>10721</v>
      </c>
      <c r="F89" s="14" t="s">
        <v>10675</v>
      </c>
      <c r="G89" s="14" t="s">
        <v>10722</v>
      </c>
      <c r="H89" s="14" t="s">
        <v>10723</v>
      </c>
      <c r="I89" s="14" t="str">
        <f t="shared" si="1"/>
        <v>Supply chain disruption|Quality Portfolio</v>
      </c>
      <c r="J89" s="14" t="s">
        <v>10673</v>
      </c>
      <c r="K89">
        <f>IFERROR(INDEX(_ENGINE_Crisis!$AH$292:$AS$303,MATCH('Resilience &amp; Risk Scenario'!$B$6,_ENGINE_Crisis!$AG$292:$AG$303,0),MATCH($A89,_ENGINE_Crisis!$AH$291:$AS$291,0)),0)</f>
        <v>0</v>
      </c>
    </row>
    <row r="90" spans="1:11" ht="28.5" customHeight="1">
      <c r="A90" s="14" t="s">
        <v>3620</v>
      </c>
      <c r="B90" s="14" t="s">
        <v>815</v>
      </c>
      <c r="C90" s="14">
        <v>1</v>
      </c>
      <c r="D90" s="14">
        <f>ROUND(C90*(1+('Resilience &amp; Risk Scenario'!$B$7-3)*0.15),2)</f>
        <v>0.55000000000000004</v>
      </c>
      <c r="E90" s="14" t="s">
        <v>10669</v>
      </c>
      <c r="F90" s="14" t="s">
        <v>10675</v>
      </c>
      <c r="G90" s="14" t="s">
        <v>10671</v>
      </c>
      <c r="H90" s="14" t="s">
        <v>10672</v>
      </c>
      <c r="I90" s="14" t="str">
        <f t="shared" si="1"/>
        <v>Energy / utilities outage|Company Geography</v>
      </c>
      <c r="J90" s="14" t="s">
        <v>10673</v>
      </c>
      <c r="K90">
        <f>IFERROR(INDEX(_ENGINE_Crisis!$AH$292:$AS$303,MATCH('Resilience &amp; Risk Scenario'!$B$6,_ENGINE_Crisis!$AG$292:$AG$303,0),MATCH($A90,_ENGINE_Crisis!$AH$291:$AS$291,0)),0)</f>
        <v>0</v>
      </c>
    </row>
    <row r="91" spans="1:11" ht="28.5" customHeight="1">
      <c r="A91" s="14" t="s">
        <v>3620</v>
      </c>
      <c r="B91" s="14" t="s">
        <v>949</v>
      </c>
      <c r="C91" s="14">
        <v>1</v>
      </c>
      <c r="D91" s="14">
        <f>ROUND(C91*(1+('Resilience &amp; Risk Scenario'!$B$7-3)*0.15),2)</f>
        <v>0.55000000000000004</v>
      </c>
      <c r="E91" s="14" t="s">
        <v>10674</v>
      </c>
      <c r="F91" s="14" t="s">
        <v>10675</v>
      </c>
      <c r="G91" s="14" t="s">
        <v>10676</v>
      </c>
      <c r="H91" s="14" t="s">
        <v>10677</v>
      </c>
      <c r="I91" s="14" t="str">
        <f t="shared" si="1"/>
        <v>Energy / utilities outage|Strategy GTM</v>
      </c>
      <c r="J91" s="14" t="s">
        <v>10673</v>
      </c>
      <c r="K91">
        <f>IFERROR(INDEX(_ENGINE_Crisis!$AH$292:$AS$303,MATCH('Resilience &amp; Risk Scenario'!$B$6,_ENGINE_Crisis!$AG$292:$AG$303,0),MATCH($A91,_ENGINE_Crisis!$AH$291:$AS$291,0)),0)</f>
        <v>0</v>
      </c>
    </row>
    <row r="92" spans="1:11" ht="28.5" customHeight="1">
      <c r="A92" s="14" t="s">
        <v>3620</v>
      </c>
      <c r="B92" s="14" t="s">
        <v>1150</v>
      </c>
      <c r="C92" s="14">
        <v>1</v>
      </c>
      <c r="D92" s="14">
        <f>ROUND(C92*(1+('Resilience &amp; Risk Scenario'!$B$7-3)*0.15),2)</f>
        <v>0.55000000000000004</v>
      </c>
      <c r="E92" s="14" t="s">
        <v>10678</v>
      </c>
      <c r="F92" s="14" t="s">
        <v>10675</v>
      </c>
      <c r="G92" s="14" t="s">
        <v>10679</v>
      </c>
      <c r="H92" s="14" t="s">
        <v>10680</v>
      </c>
      <c r="I92" s="14" t="str">
        <f t="shared" si="1"/>
        <v>Energy / utilities outage|Governance Crisis</v>
      </c>
      <c r="J92" s="14" t="s">
        <v>10673</v>
      </c>
      <c r="K92">
        <f>IFERROR(INDEX(_ENGINE_Crisis!$AH$292:$AS$303,MATCH('Resilience &amp; Risk Scenario'!$B$6,_ENGINE_Crisis!$AG$292:$AG$303,0),MATCH($A92,_ENGINE_Crisis!$AH$291:$AS$291,0)),0)</f>
        <v>0</v>
      </c>
    </row>
    <row r="93" spans="1:11" ht="28.5" customHeight="1">
      <c r="A93" s="14" t="s">
        <v>3620</v>
      </c>
      <c r="B93" s="14" t="s">
        <v>1259</v>
      </c>
      <c r="C93" s="14">
        <v>1.2</v>
      </c>
      <c r="D93" s="14">
        <f>ROUND(C93*(1+('Resilience &amp; Risk Scenario'!$B$7-3)*0.15),2)</f>
        <v>0.66</v>
      </c>
      <c r="E93" s="14" t="s">
        <v>10681</v>
      </c>
      <c r="F93" s="14" t="s">
        <v>10675</v>
      </c>
      <c r="G93" s="14" t="s">
        <v>10683</v>
      </c>
      <c r="H93" s="14" t="s">
        <v>10684</v>
      </c>
      <c r="I93" s="14" t="str">
        <f t="shared" si="1"/>
        <v>Energy / utilities outage|HR Workforce</v>
      </c>
      <c r="J93" s="14" t="s">
        <v>10673</v>
      </c>
      <c r="K93">
        <f>IFERROR(INDEX(_ENGINE_Crisis!$AH$292:$AS$303,MATCH('Resilience &amp; Risk Scenario'!$B$6,_ENGINE_Crisis!$AG$292:$AG$303,0),MATCH($A93,_ENGINE_Crisis!$AH$291:$AS$291,0)),0)</f>
        <v>0</v>
      </c>
    </row>
    <row r="94" spans="1:11" ht="28.5" customHeight="1">
      <c r="A94" s="14" t="s">
        <v>3620</v>
      </c>
      <c r="B94" s="14" t="s">
        <v>1401</v>
      </c>
      <c r="C94" s="14">
        <v>1</v>
      </c>
      <c r="D94" s="14">
        <f>ROUND(C94*(1+('Resilience &amp; Risk Scenario'!$B$7-3)*0.15),2)</f>
        <v>0.55000000000000004</v>
      </c>
      <c r="E94" s="14" t="s">
        <v>10685</v>
      </c>
      <c r="F94" s="14" t="s">
        <v>10675</v>
      </c>
      <c r="G94" s="14" t="s">
        <v>10686</v>
      </c>
      <c r="H94" s="14" t="s">
        <v>10687</v>
      </c>
      <c r="I94" s="14" t="str">
        <f t="shared" si="1"/>
        <v>Energy / utilities outage|Finance Procurement</v>
      </c>
      <c r="J94" s="14" t="s">
        <v>10673</v>
      </c>
      <c r="K94">
        <f>IFERROR(INDEX(_ENGINE_Crisis!$AH$292:$AS$303,MATCH('Resilience &amp; Risk Scenario'!$B$6,_ENGINE_Crisis!$AG$292:$AG$303,0),MATCH($A94,_ENGINE_Crisis!$AH$291:$AS$291,0)),0)</f>
        <v>0</v>
      </c>
    </row>
    <row r="95" spans="1:11" ht="28.5" customHeight="1">
      <c r="A95" s="14" t="s">
        <v>3620</v>
      </c>
      <c r="B95" s="14" t="s">
        <v>1551</v>
      </c>
      <c r="C95" s="14">
        <v>1</v>
      </c>
      <c r="D95" s="14">
        <f>ROUND(C95*(1+('Resilience &amp; Risk Scenario'!$B$7-3)*0.15),2)</f>
        <v>0.55000000000000004</v>
      </c>
      <c r="E95" s="14" t="s">
        <v>10688</v>
      </c>
      <c r="F95" s="14" t="s">
        <v>10675</v>
      </c>
      <c r="G95" s="14" t="s">
        <v>10689</v>
      </c>
      <c r="H95" s="14" t="s">
        <v>10690</v>
      </c>
      <c r="I95" s="14" t="str">
        <f t="shared" si="1"/>
        <v>Energy / utilities outage|Legal Risk</v>
      </c>
      <c r="J95" s="14" t="s">
        <v>10673</v>
      </c>
      <c r="K95">
        <f>IFERROR(INDEX(_ENGINE_Crisis!$AH$292:$AS$303,MATCH('Resilience &amp; Risk Scenario'!$B$6,_ENGINE_Crisis!$AG$292:$AG$303,0),MATCH($A95,_ENGINE_Crisis!$AH$291:$AS$291,0)),0)</f>
        <v>0</v>
      </c>
    </row>
    <row r="96" spans="1:11" ht="28.5" customHeight="1">
      <c r="A96" s="14" t="s">
        <v>3620</v>
      </c>
      <c r="B96" s="14" t="s">
        <v>1666</v>
      </c>
      <c r="C96" s="14">
        <v>1.8</v>
      </c>
      <c r="D96" s="14">
        <f>ROUND(C96*(1+('Resilience &amp; Risk Scenario'!$B$7-3)*0.15),2)</f>
        <v>0.99</v>
      </c>
      <c r="E96" s="14" t="s">
        <v>10691</v>
      </c>
      <c r="F96" s="14" t="s">
        <v>10682</v>
      </c>
      <c r="G96" s="14" t="s">
        <v>10692</v>
      </c>
      <c r="H96" s="14" t="s">
        <v>10693</v>
      </c>
      <c r="I96" s="14" t="str">
        <f t="shared" si="1"/>
        <v>Energy / utilities outage|Physical Safety</v>
      </c>
      <c r="J96" s="14" t="s">
        <v>10673</v>
      </c>
      <c r="K96">
        <f>IFERROR(INDEX(_ENGINE_Crisis!$AH$292:$AS$303,MATCH('Resilience &amp; Risk Scenario'!$B$6,_ENGINE_Crisis!$AG$292:$AG$303,0),MATCH($A96,_ENGINE_Crisis!$AH$291:$AS$291,0)),0)</f>
        <v>0</v>
      </c>
    </row>
    <row r="97" spans="1:11" ht="28.5" customHeight="1">
      <c r="A97" s="14" t="s">
        <v>3620</v>
      </c>
      <c r="B97" s="14" t="s">
        <v>1859</v>
      </c>
      <c r="C97" s="14">
        <v>1.4</v>
      </c>
      <c r="D97" s="14">
        <f>ROUND(C97*(1+('Resilience &amp; Risk Scenario'!$B$7-3)*0.15),2)</f>
        <v>0.77</v>
      </c>
      <c r="E97" s="14" t="s">
        <v>10694</v>
      </c>
      <c r="F97" s="14" t="s">
        <v>10670</v>
      </c>
      <c r="G97" s="14" t="s">
        <v>10695</v>
      </c>
      <c r="H97" s="14" t="s">
        <v>10696</v>
      </c>
      <c r="I97" s="14" t="str">
        <f t="shared" si="1"/>
        <v>Energy / utilities outage|Delivery Ops</v>
      </c>
      <c r="J97" s="14" t="s">
        <v>10673</v>
      </c>
      <c r="K97">
        <f>IFERROR(INDEX(_ENGINE_Crisis!$AH$292:$AS$303,MATCH('Resilience &amp; Risk Scenario'!$B$6,_ENGINE_Crisis!$AG$292:$AG$303,0),MATCH($A97,_ENGINE_Crisis!$AH$291:$AS$291,0)),0)</f>
        <v>0</v>
      </c>
    </row>
    <row r="98" spans="1:11" ht="28.5" customHeight="1">
      <c r="A98" s="14" t="s">
        <v>3620</v>
      </c>
      <c r="B98" s="14" t="s">
        <v>1987</v>
      </c>
      <c r="C98" s="14">
        <v>1.3</v>
      </c>
      <c r="D98" s="14">
        <f>ROUND(C98*(1+('Resilience &amp; Risk Scenario'!$B$7-3)*0.15),2)</f>
        <v>0.72</v>
      </c>
      <c r="E98" s="14" t="s">
        <v>10697</v>
      </c>
      <c r="F98" s="14" t="s">
        <v>10670</v>
      </c>
      <c r="G98" s="14" t="s">
        <v>10698</v>
      </c>
      <c r="H98" s="14" t="s">
        <v>10699</v>
      </c>
      <c r="I98" s="14" t="str">
        <f t="shared" si="1"/>
        <v>Energy / utilities outage|Supply Chain</v>
      </c>
      <c r="J98" s="14" t="s">
        <v>10673</v>
      </c>
      <c r="K98">
        <f>IFERROR(INDEX(_ENGINE_Crisis!$AH$292:$AS$303,MATCH('Resilience &amp; Risk Scenario'!$B$6,_ENGINE_Crisis!$AG$292:$AG$303,0),MATCH($A98,_ENGINE_Crisis!$AH$291:$AS$291,0)),0)</f>
        <v>0</v>
      </c>
    </row>
    <row r="99" spans="1:11" ht="28.5" customHeight="1">
      <c r="A99" s="14" t="s">
        <v>3620</v>
      </c>
      <c r="B99" s="14" t="s">
        <v>2145</v>
      </c>
      <c r="C99" s="14">
        <v>2</v>
      </c>
      <c r="D99" s="14">
        <f>ROUND(C99*(1+('Resilience &amp; Risk Scenario'!$B$7-3)*0.15),2)</f>
        <v>1.1000000000000001</v>
      </c>
      <c r="E99" s="14" t="s">
        <v>10700</v>
      </c>
      <c r="F99" s="14" t="s">
        <v>10682</v>
      </c>
      <c r="G99" s="14" t="s">
        <v>10701</v>
      </c>
      <c r="H99" s="14" t="s">
        <v>10702</v>
      </c>
      <c r="I99" s="14" t="str">
        <f t="shared" si="1"/>
        <v>Energy / utilities outage|Manufacturing MES</v>
      </c>
      <c r="J99" s="14" t="s">
        <v>10673</v>
      </c>
      <c r="K99">
        <f>IFERROR(INDEX(_ENGINE_Crisis!$AH$292:$AS$303,MATCH('Resilience &amp; Risk Scenario'!$B$6,_ENGINE_Crisis!$AG$292:$AG$303,0),MATCH($A99,_ENGINE_Crisis!$AH$291:$AS$291,0)),0)</f>
        <v>0</v>
      </c>
    </row>
    <row r="100" spans="1:11" ht="28.5" customHeight="1">
      <c r="A100" s="14" t="s">
        <v>3620</v>
      </c>
      <c r="B100" s="14" t="s">
        <v>2286</v>
      </c>
      <c r="C100" s="14">
        <v>1</v>
      </c>
      <c r="D100" s="14">
        <f>ROUND(C100*(1+('Resilience &amp; Risk Scenario'!$B$7-3)*0.15),2)</f>
        <v>0.55000000000000004</v>
      </c>
      <c r="E100" s="14" t="s">
        <v>10703</v>
      </c>
      <c r="F100" s="14" t="s">
        <v>10675</v>
      </c>
      <c r="G100" s="14" t="s">
        <v>10704</v>
      </c>
      <c r="H100" s="14" t="s">
        <v>10705</v>
      </c>
      <c r="I100" s="14" t="str">
        <f t="shared" si="1"/>
        <v>Energy / utilities outage|Sales CRM</v>
      </c>
      <c r="J100" s="14" t="s">
        <v>10673</v>
      </c>
      <c r="K100">
        <f>IFERROR(INDEX(_ENGINE_Crisis!$AH$292:$AS$303,MATCH('Resilience &amp; Risk Scenario'!$B$6,_ENGINE_Crisis!$AG$292:$AG$303,0),MATCH($A100,_ENGINE_Crisis!$AH$291:$AS$291,0)),0)</f>
        <v>0</v>
      </c>
    </row>
    <row r="101" spans="1:11" ht="28.5" customHeight="1">
      <c r="A101" s="14" t="s">
        <v>3620</v>
      </c>
      <c r="B101" s="14" t="s">
        <v>2473</v>
      </c>
      <c r="C101" s="14">
        <v>1</v>
      </c>
      <c r="D101" s="14">
        <f>ROUND(C101*(1+('Resilience &amp; Risk Scenario'!$B$7-3)*0.15),2)</f>
        <v>0.55000000000000004</v>
      </c>
      <c r="E101" s="14" t="s">
        <v>10706</v>
      </c>
      <c r="F101" s="14" t="s">
        <v>10675</v>
      </c>
      <c r="G101" s="14" t="s">
        <v>10707</v>
      </c>
      <c r="H101" s="14" t="s">
        <v>10708</v>
      </c>
      <c r="I101" s="14" t="str">
        <f t="shared" si="1"/>
        <v>Energy / utilities outage|Marketing Comms</v>
      </c>
      <c r="J101" s="14" t="s">
        <v>10673</v>
      </c>
      <c r="K101">
        <f>IFERROR(INDEX(_ENGINE_Crisis!$AH$292:$AS$303,MATCH('Resilience &amp; Risk Scenario'!$B$6,_ENGINE_Crisis!$AG$292:$AG$303,0),MATCH($A101,_ENGINE_Crisis!$AH$291:$AS$291,0)),0)</f>
        <v>0</v>
      </c>
    </row>
    <row r="102" spans="1:11" ht="28.5" customHeight="1">
      <c r="A102" s="14" t="s">
        <v>3620</v>
      </c>
      <c r="B102" s="14" t="s">
        <v>2588</v>
      </c>
      <c r="C102" s="14">
        <v>1.5</v>
      </c>
      <c r="D102" s="14">
        <f>ROUND(C102*(1+('Resilience &amp; Risk Scenario'!$B$7-3)*0.15),2)</f>
        <v>0.83</v>
      </c>
      <c r="E102" s="14" t="s">
        <v>10709</v>
      </c>
      <c r="F102" s="14" t="s">
        <v>10670</v>
      </c>
      <c r="G102" s="14" t="s">
        <v>10710</v>
      </c>
      <c r="H102" s="14" t="s">
        <v>10711</v>
      </c>
      <c r="I102" s="14" t="str">
        <f t="shared" si="1"/>
        <v>Energy / utilities outage|IT Cloud DR</v>
      </c>
      <c r="J102" s="14" t="s">
        <v>10673</v>
      </c>
      <c r="K102">
        <f>IFERROR(INDEX(_ENGINE_Crisis!$AH$292:$AS$303,MATCH('Resilience &amp; Risk Scenario'!$B$6,_ENGINE_Crisis!$AG$292:$AG$303,0),MATCH($A102,_ENGINE_Crisis!$AH$291:$AS$291,0)),0)</f>
        <v>0</v>
      </c>
    </row>
    <row r="103" spans="1:11" ht="28.5" customHeight="1">
      <c r="A103" s="14" t="s">
        <v>3620</v>
      </c>
      <c r="B103" s="14" t="s">
        <v>2729</v>
      </c>
      <c r="C103" s="14">
        <v>1.3</v>
      </c>
      <c r="D103" s="14">
        <f>ROUND(C103*(1+('Resilience &amp; Risk Scenario'!$B$7-3)*0.15),2)</f>
        <v>0.72</v>
      </c>
      <c r="E103" s="14" t="s">
        <v>10712</v>
      </c>
      <c r="F103" s="14" t="s">
        <v>10670</v>
      </c>
      <c r="G103" s="14" t="s">
        <v>10713</v>
      </c>
      <c r="H103" s="14" t="s">
        <v>10714</v>
      </c>
      <c r="I103" s="14" t="str">
        <f t="shared" si="1"/>
        <v>Energy / utilities outage|Business Systems</v>
      </c>
      <c r="J103" s="14" t="s">
        <v>10673</v>
      </c>
      <c r="K103">
        <f>IFERROR(INDEX(_ENGINE_Crisis!$AH$292:$AS$303,MATCH('Resilience &amp; Risk Scenario'!$B$6,_ENGINE_Crisis!$AG$292:$AG$303,0),MATCH($A103,_ENGINE_Crisis!$AH$291:$AS$291,0)),0)</f>
        <v>0</v>
      </c>
    </row>
    <row r="104" spans="1:11" ht="28.5" customHeight="1">
      <c r="A104" s="14" t="s">
        <v>3620</v>
      </c>
      <c r="B104" s="14" t="s">
        <v>2824</v>
      </c>
      <c r="C104" s="14">
        <v>1</v>
      </c>
      <c r="D104" s="14">
        <f>ROUND(C104*(1+('Resilience &amp; Risk Scenario'!$B$7-3)*0.15),2)</f>
        <v>0.55000000000000004</v>
      </c>
      <c r="E104" s="14" t="s">
        <v>10715</v>
      </c>
      <c r="F104" s="14" t="s">
        <v>10675</v>
      </c>
      <c r="G104" s="14" t="s">
        <v>10716</v>
      </c>
      <c r="H104" s="14" t="s">
        <v>10717</v>
      </c>
      <c r="I104" s="14" t="str">
        <f t="shared" si="1"/>
        <v>Energy / utilities outage|Data BI AI</v>
      </c>
      <c r="J104" s="14" t="s">
        <v>10673</v>
      </c>
      <c r="K104">
        <f>IFERROR(INDEX(_ENGINE_Crisis!$AH$292:$AS$303,MATCH('Resilience &amp; Risk Scenario'!$B$6,_ENGINE_Crisis!$AG$292:$AG$303,0),MATCH($A104,_ENGINE_Crisis!$AH$291:$AS$291,0)),0)</f>
        <v>0</v>
      </c>
    </row>
    <row r="105" spans="1:11" ht="28.5" customHeight="1">
      <c r="A105" s="14" t="s">
        <v>3620</v>
      </c>
      <c r="B105" s="14" t="s">
        <v>2986</v>
      </c>
      <c r="C105" s="14">
        <v>1</v>
      </c>
      <c r="D105" s="14">
        <f>ROUND(C105*(1+('Resilience &amp; Risk Scenario'!$B$7-3)*0.15),2)</f>
        <v>0.55000000000000004</v>
      </c>
      <c r="E105" s="14" t="s">
        <v>10718</v>
      </c>
      <c r="F105" s="14" t="s">
        <v>10675</v>
      </c>
      <c r="G105" s="14" t="s">
        <v>10719</v>
      </c>
      <c r="H105" s="14" t="s">
        <v>10720</v>
      </c>
      <c r="I105" s="14" t="str">
        <f t="shared" si="1"/>
        <v>Energy / utilities outage|Cyber Privacy</v>
      </c>
      <c r="J105" s="14" t="s">
        <v>10673</v>
      </c>
      <c r="K105">
        <f>IFERROR(INDEX(_ENGINE_Crisis!$AH$292:$AS$303,MATCH('Resilience &amp; Risk Scenario'!$B$6,_ENGINE_Crisis!$AG$292:$AG$303,0),MATCH($A105,_ENGINE_Crisis!$AH$291:$AS$291,0)),0)</f>
        <v>0</v>
      </c>
    </row>
    <row r="106" spans="1:11" ht="28.5" customHeight="1">
      <c r="A106" s="14" t="s">
        <v>3620</v>
      </c>
      <c r="B106" s="14" t="s">
        <v>3204</v>
      </c>
      <c r="C106" s="14">
        <v>1</v>
      </c>
      <c r="D106" s="14">
        <f>ROUND(C106*(1+('Resilience &amp; Risk Scenario'!$B$7-3)*0.15),2)</f>
        <v>0.55000000000000004</v>
      </c>
      <c r="E106" s="14" t="s">
        <v>10721</v>
      </c>
      <c r="F106" s="14" t="s">
        <v>10675</v>
      </c>
      <c r="G106" s="14" t="s">
        <v>10722</v>
      </c>
      <c r="H106" s="14" t="s">
        <v>10723</v>
      </c>
      <c r="I106" s="14" t="str">
        <f t="shared" si="1"/>
        <v>Energy / utilities outage|Quality Portfolio</v>
      </c>
      <c r="J106" s="14" t="s">
        <v>10673</v>
      </c>
      <c r="K106">
        <f>IFERROR(INDEX(_ENGINE_Crisis!$AH$292:$AS$303,MATCH('Resilience &amp; Risk Scenario'!$B$6,_ENGINE_Crisis!$AG$292:$AG$303,0),MATCH($A106,_ENGINE_Crisis!$AH$291:$AS$291,0)),0)</f>
        <v>0</v>
      </c>
    </row>
    <row r="107" spans="1:11" ht="28.5" customHeight="1">
      <c r="A107" s="14" t="s">
        <v>3623</v>
      </c>
      <c r="B107" s="14" t="s">
        <v>815</v>
      </c>
      <c r="C107" s="14">
        <v>1</v>
      </c>
      <c r="D107" s="14">
        <f>ROUND(C107*(1+('Resilience &amp; Risk Scenario'!$B$7-3)*0.15),2)</f>
        <v>0.55000000000000004</v>
      </c>
      <c r="E107" s="14" t="s">
        <v>10669</v>
      </c>
      <c r="F107" s="14" t="s">
        <v>10675</v>
      </c>
      <c r="G107" s="14" t="s">
        <v>10671</v>
      </c>
      <c r="H107" s="14" t="s">
        <v>10672</v>
      </c>
      <c r="I107" s="14" t="str">
        <f t="shared" si="1"/>
        <v>Financial / liquidity shock|Company Geography</v>
      </c>
      <c r="J107" s="14" t="s">
        <v>10673</v>
      </c>
      <c r="K107">
        <f>IFERROR(INDEX(_ENGINE_Crisis!$AH$292:$AS$303,MATCH('Resilience &amp; Risk Scenario'!$B$6,_ENGINE_Crisis!$AG$292:$AG$303,0),MATCH($A107,_ENGINE_Crisis!$AH$291:$AS$291,0)),0)</f>
        <v>0</v>
      </c>
    </row>
    <row r="108" spans="1:11" ht="28.5" customHeight="1">
      <c r="A108" s="14" t="s">
        <v>3623</v>
      </c>
      <c r="B108" s="14" t="s">
        <v>949</v>
      </c>
      <c r="C108" s="14">
        <v>1.8</v>
      </c>
      <c r="D108" s="14">
        <f>ROUND(C108*(1+('Resilience &amp; Risk Scenario'!$B$7-3)*0.15),2)</f>
        <v>0.99</v>
      </c>
      <c r="E108" s="14" t="s">
        <v>10674</v>
      </c>
      <c r="F108" s="14" t="s">
        <v>10682</v>
      </c>
      <c r="G108" s="14" t="s">
        <v>10676</v>
      </c>
      <c r="H108" s="14" t="s">
        <v>10677</v>
      </c>
      <c r="I108" s="14" t="str">
        <f t="shared" si="1"/>
        <v>Financial / liquidity shock|Strategy GTM</v>
      </c>
      <c r="J108" s="14" t="s">
        <v>10673</v>
      </c>
      <c r="K108">
        <f>IFERROR(INDEX(_ENGINE_Crisis!$AH$292:$AS$303,MATCH('Resilience &amp; Risk Scenario'!$B$6,_ENGINE_Crisis!$AG$292:$AG$303,0),MATCH($A108,_ENGINE_Crisis!$AH$291:$AS$291,0)),0)</f>
        <v>0</v>
      </c>
    </row>
    <row r="109" spans="1:11" ht="28.5" customHeight="1">
      <c r="A109" s="14" t="s">
        <v>3623</v>
      </c>
      <c r="B109" s="14" t="s">
        <v>1150</v>
      </c>
      <c r="C109" s="14">
        <v>1.4</v>
      </c>
      <c r="D109" s="14">
        <f>ROUND(C109*(1+('Resilience &amp; Risk Scenario'!$B$7-3)*0.15),2)</f>
        <v>0.77</v>
      </c>
      <c r="E109" s="14" t="s">
        <v>10678</v>
      </c>
      <c r="F109" s="14" t="s">
        <v>10670</v>
      </c>
      <c r="G109" s="14" t="s">
        <v>10679</v>
      </c>
      <c r="H109" s="14" t="s">
        <v>10680</v>
      </c>
      <c r="I109" s="14" t="str">
        <f t="shared" si="1"/>
        <v>Financial / liquidity shock|Governance Crisis</v>
      </c>
      <c r="J109" s="14" t="s">
        <v>10673</v>
      </c>
      <c r="K109">
        <f>IFERROR(INDEX(_ENGINE_Crisis!$AH$292:$AS$303,MATCH('Resilience &amp; Risk Scenario'!$B$6,_ENGINE_Crisis!$AG$292:$AG$303,0),MATCH($A109,_ENGINE_Crisis!$AH$291:$AS$291,0)),0)</f>
        <v>0</v>
      </c>
    </row>
    <row r="110" spans="1:11" ht="28.5" customHeight="1">
      <c r="A110" s="14" t="s">
        <v>3623</v>
      </c>
      <c r="B110" s="14" t="s">
        <v>1259</v>
      </c>
      <c r="C110" s="14">
        <v>1.2</v>
      </c>
      <c r="D110" s="14">
        <f>ROUND(C110*(1+('Resilience &amp; Risk Scenario'!$B$7-3)*0.15),2)</f>
        <v>0.66</v>
      </c>
      <c r="E110" s="14" t="s">
        <v>10681</v>
      </c>
      <c r="F110" s="14" t="s">
        <v>10675</v>
      </c>
      <c r="G110" s="14" t="s">
        <v>10683</v>
      </c>
      <c r="H110" s="14" t="s">
        <v>10684</v>
      </c>
      <c r="I110" s="14" t="str">
        <f t="shared" si="1"/>
        <v>Financial / liquidity shock|HR Workforce</v>
      </c>
      <c r="J110" s="14" t="s">
        <v>10673</v>
      </c>
      <c r="K110">
        <f>IFERROR(INDEX(_ENGINE_Crisis!$AH$292:$AS$303,MATCH('Resilience &amp; Risk Scenario'!$B$6,_ENGINE_Crisis!$AG$292:$AG$303,0),MATCH($A110,_ENGINE_Crisis!$AH$291:$AS$291,0)),0)</f>
        <v>0</v>
      </c>
    </row>
    <row r="111" spans="1:11" ht="28.5" customHeight="1">
      <c r="A111" s="14" t="s">
        <v>3623</v>
      </c>
      <c r="B111" s="14" t="s">
        <v>1401</v>
      </c>
      <c r="C111" s="14">
        <v>2</v>
      </c>
      <c r="D111" s="14">
        <f>ROUND(C111*(1+('Resilience &amp; Risk Scenario'!$B$7-3)*0.15),2)</f>
        <v>1.1000000000000001</v>
      </c>
      <c r="E111" s="14" t="s">
        <v>10685</v>
      </c>
      <c r="F111" s="14" t="s">
        <v>10682</v>
      </c>
      <c r="G111" s="14" t="s">
        <v>10686</v>
      </c>
      <c r="H111" s="14" t="s">
        <v>10687</v>
      </c>
      <c r="I111" s="14" t="str">
        <f t="shared" si="1"/>
        <v>Financial / liquidity shock|Finance Procurement</v>
      </c>
      <c r="J111" s="14" t="s">
        <v>10673</v>
      </c>
      <c r="K111">
        <f>IFERROR(INDEX(_ENGINE_Crisis!$AH$292:$AS$303,MATCH('Resilience &amp; Risk Scenario'!$B$6,_ENGINE_Crisis!$AG$292:$AG$303,0),MATCH($A111,_ENGINE_Crisis!$AH$291:$AS$291,0)),0)</f>
        <v>0</v>
      </c>
    </row>
    <row r="112" spans="1:11" ht="28.5" customHeight="1">
      <c r="A112" s="14" t="s">
        <v>3623</v>
      </c>
      <c r="B112" s="14" t="s">
        <v>1551</v>
      </c>
      <c r="C112" s="14">
        <v>1</v>
      </c>
      <c r="D112" s="14">
        <f>ROUND(C112*(1+('Resilience &amp; Risk Scenario'!$B$7-3)*0.15),2)</f>
        <v>0.55000000000000004</v>
      </c>
      <c r="E112" s="14" t="s">
        <v>10688</v>
      </c>
      <c r="F112" s="14" t="s">
        <v>10675</v>
      </c>
      <c r="G112" s="14" t="s">
        <v>10689</v>
      </c>
      <c r="H112" s="14" t="s">
        <v>10690</v>
      </c>
      <c r="I112" s="14" t="str">
        <f t="shared" si="1"/>
        <v>Financial / liquidity shock|Legal Risk</v>
      </c>
      <c r="J112" s="14" t="s">
        <v>10673</v>
      </c>
      <c r="K112">
        <f>IFERROR(INDEX(_ENGINE_Crisis!$AH$292:$AS$303,MATCH('Resilience &amp; Risk Scenario'!$B$6,_ENGINE_Crisis!$AG$292:$AG$303,0),MATCH($A112,_ENGINE_Crisis!$AH$291:$AS$291,0)),0)</f>
        <v>0</v>
      </c>
    </row>
    <row r="113" spans="1:11" ht="28.5" customHeight="1">
      <c r="A113" s="14" t="s">
        <v>3623</v>
      </c>
      <c r="B113" s="14" t="s">
        <v>1666</v>
      </c>
      <c r="C113" s="14">
        <v>1</v>
      </c>
      <c r="D113" s="14">
        <f>ROUND(C113*(1+('Resilience &amp; Risk Scenario'!$B$7-3)*0.15),2)</f>
        <v>0.55000000000000004</v>
      </c>
      <c r="E113" s="14" t="s">
        <v>10691</v>
      </c>
      <c r="F113" s="14" t="s">
        <v>10675</v>
      </c>
      <c r="G113" s="14" t="s">
        <v>10692</v>
      </c>
      <c r="H113" s="14" t="s">
        <v>10693</v>
      </c>
      <c r="I113" s="14" t="str">
        <f t="shared" si="1"/>
        <v>Financial / liquidity shock|Physical Safety</v>
      </c>
      <c r="J113" s="14" t="s">
        <v>10673</v>
      </c>
      <c r="K113">
        <f>IFERROR(INDEX(_ENGINE_Crisis!$AH$292:$AS$303,MATCH('Resilience &amp; Risk Scenario'!$B$6,_ENGINE_Crisis!$AG$292:$AG$303,0),MATCH($A113,_ENGINE_Crisis!$AH$291:$AS$291,0)),0)</f>
        <v>0</v>
      </c>
    </row>
    <row r="114" spans="1:11" ht="28.5" customHeight="1">
      <c r="A114" s="14" t="s">
        <v>3623</v>
      </c>
      <c r="B114" s="14" t="s">
        <v>1859</v>
      </c>
      <c r="C114" s="14">
        <v>1</v>
      </c>
      <c r="D114" s="14">
        <f>ROUND(C114*(1+('Resilience &amp; Risk Scenario'!$B$7-3)*0.15),2)</f>
        <v>0.55000000000000004</v>
      </c>
      <c r="E114" s="14" t="s">
        <v>10694</v>
      </c>
      <c r="F114" s="14" t="s">
        <v>10675</v>
      </c>
      <c r="G114" s="14" t="s">
        <v>10695</v>
      </c>
      <c r="H114" s="14" t="s">
        <v>10696</v>
      </c>
      <c r="I114" s="14" t="str">
        <f t="shared" si="1"/>
        <v>Financial / liquidity shock|Delivery Ops</v>
      </c>
      <c r="J114" s="14" t="s">
        <v>10673</v>
      </c>
      <c r="K114">
        <f>IFERROR(INDEX(_ENGINE_Crisis!$AH$292:$AS$303,MATCH('Resilience &amp; Risk Scenario'!$B$6,_ENGINE_Crisis!$AG$292:$AG$303,0),MATCH($A114,_ENGINE_Crisis!$AH$291:$AS$291,0)),0)</f>
        <v>0</v>
      </c>
    </row>
    <row r="115" spans="1:11" ht="28.5" customHeight="1">
      <c r="A115" s="14" t="s">
        <v>3623</v>
      </c>
      <c r="B115" s="14" t="s">
        <v>1987</v>
      </c>
      <c r="C115" s="14">
        <v>1</v>
      </c>
      <c r="D115" s="14">
        <f>ROUND(C115*(1+('Resilience &amp; Risk Scenario'!$B$7-3)*0.15),2)</f>
        <v>0.55000000000000004</v>
      </c>
      <c r="E115" s="14" t="s">
        <v>10697</v>
      </c>
      <c r="F115" s="14" t="s">
        <v>10675</v>
      </c>
      <c r="G115" s="14" t="s">
        <v>10698</v>
      </c>
      <c r="H115" s="14" t="s">
        <v>10699</v>
      </c>
      <c r="I115" s="14" t="str">
        <f t="shared" si="1"/>
        <v>Financial / liquidity shock|Supply Chain</v>
      </c>
      <c r="J115" s="14" t="s">
        <v>10673</v>
      </c>
      <c r="K115">
        <f>IFERROR(INDEX(_ENGINE_Crisis!$AH$292:$AS$303,MATCH('Resilience &amp; Risk Scenario'!$B$6,_ENGINE_Crisis!$AG$292:$AG$303,0),MATCH($A115,_ENGINE_Crisis!$AH$291:$AS$291,0)),0)</f>
        <v>0</v>
      </c>
    </row>
    <row r="116" spans="1:11" ht="28.5" customHeight="1">
      <c r="A116" s="14" t="s">
        <v>3623</v>
      </c>
      <c r="B116" s="14" t="s">
        <v>2145</v>
      </c>
      <c r="C116" s="14">
        <v>1</v>
      </c>
      <c r="D116" s="14">
        <f>ROUND(C116*(1+('Resilience &amp; Risk Scenario'!$B$7-3)*0.15),2)</f>
        <v>0.55000000000000004</v>
      </c>
      <c r="E116" s="14" t="s">
        <v>10700</v>
      </c>
      <c r="F116" s="14" t="s">
        <v>10675</v>
      </c>
      <c r="G116" s="14" t="s">
        <v>10701</v>
      </c>
      <c r="H116" s="14" t="s">
        <v>10702</v>
      </c>
      <c r="I116" s="14" t="str">
        <f t="shared" si="1"/>
        <v>Financial / liquidity shock|Manufacturing MES</v>
      </c>
      <c r="J116" s="14" t="s">
        <v>10673</v>
      </c>
      <c r="K116">
        <f>IFERROR(INDEX(_ENGINE_Crisis!$AH$292:$AS$303,MATCH('Resilience &amp; Risk Scenario'!$B$6,_ENGINE_Crisis!$AG$292:$AG$303,0),MATCH($A116,_ENGINE_Crisis!$AH$291:$AS$291,0)),0)</f>
        <v>0</v>
      </c>
    </row>
    <row r="117" spans="1:11" ht="28.5" customHeight="1">
      <c r="A117" s="14" t="s">
        <v>3623</v>
      </c>
      <c r="B117" s="14" t="s">
        <v>2286</v>
      </c>
      <c r="C117" s="14">
        <v>1.6</v>
      </c>
      <c r="D117" s="14">
        <f>ROUND(C117*(1+('Resilience &amp; Risk Scenario'!$B$7-3)*0.15),2)</f>
        <v>0.88</v>
      </c>
      <c r="E117" s="14" t="s">
        <v>10703</v>
      </c>
      <c r="F117" s="14" t="s">
        <v>10670</v>
      </c>
      <c r="G117" s="14" t="s">
        <v>10704</v>
      </c>
      <c r="H117" s="14" t="s">
        <v>10705</v>
      </c>
      <c r="I117" s="14" t="str">
        <f t="shared" si="1"/>
        <v>Financial / liquidity shock|Sales CRM</v>
      </c>
      <c r="J117" s="14" t="s">
        <v>10673</v>
      </c>
      <c r="K117">
        <f>IFERROR(INDEX(_ENGINE_Crisis!$AH$292:$AS$303,MATCH('Resilience &amp; Risk Scenario'!$B$6,_ENGINE_Crisis!$AG$292:$AG$303,0),MATCH($A117,_ENGINE_Crisis!$AH$291:$AS$291,0)),0)</f>
        <v>0</v>
      </c>
    </row>
    <row r="118" spans="1:11" ht="28.5" customHeight="1">
      <c r="A118" s="14" t="s">
        <v>3623</v>
      </c>
      <c r="B118" s="14" t="s">
        <v>2473</v>
      </c>
      <c r="C118" s="14">
        <v>1</v>
      </c>
      <c r="D118" s="14">
        <f>ROUND(C118*(1+('Resilience &amp; Risk Scenario'!$B$7-3)*0.15),2)</f>
        <v>0.55000000000000004</v>
      </c>
      <c r="E118" s="14" t="s">
        <v>10706</v>
      </c>
      <c r="F118" s="14" t="s">
        <v>10675</v>
      </c>
      <c r="G118" s="14" t="s">
        <v>10707</v>
      </c>
      <c r="H118" s="14" t="s">
        <v>10708</v>
      </c>
      <c r="I118" s="14" t="str">
        <f t="shared" si="1"/>
        <v>Financial / liquidity shock|Marketing Comms</v>
      </c>
      <c r="J118" s="14" t="s">
        <v>10673</v>
      </c>
      <c r="K118">
        <f>IFERROR(INDEX(_ENGINE_Crisis!$AH$292:$AS$303,MATCH('Resilience &amp; Risk Scenario'!$B$6,_ENGINE_Crisis!$AG$292:$AG$303,0),MATCH($A118,_ENGINE_Crisis!$AH$291:$AS$291,0)),0)</f>
        <v>0</v>
      </c>
    </row>
    <row r="119" spans="1:11" ht="28.5" customHeight="1">
      <c r="A119" s="14" t="s">
        <v>3623</v>
      </c>
      <c r="B119" s="14" t="s">
        <v>2588</v>
      </c>
      <c r="C119" s="14">
        <v>1</v>
      </c>
      <c r="D119" s="14">
        <f>ROUND(C119*(1+('Resilience &amp; Risk Scenario'!$B$7-3)*0.15),2)</f>
        <v>0.55000000000000004</v>
      </c>
      <c r="E119" s="14" t="s">
        <v>10709</v>
      </c>
      <c r="F119" s="14" t="s">
        <v>10675</v>
      </c>
      <c r="G119" s="14" t="s">
        <v>10710</v>
      </c>
      <c r="H119" s="14" t="s">
        <v>10711</v>
      </c>
      <c r="I119" s="14" t="str">
        <f t="shared" si="1"/>
        <v>Financial / liquidity shock|IT Cloud DR</v>
      </c>
      <c r="J119" s="14" t="s">
        <v>10673</v>
      </c>
      <c r="K119">
        <f>IFERROR(INDEX(_ENGINE_Crisis!$AH$292:$AS$303,MATCH('Resilience &amp; Risk Scenario'!$B$6,_ENGINE_Crisis!$AG$292:$AG$303,0),MATCH($A119,_ENGINE_Crisis!$AH$291:$AS$291,0)),0)</f>
        <v>0</v>
      </c>
    </row>
    <row r="120" spans="1:11" ht="28.5" customHeight="1">
      <c r="A120" s="14" t="s">
        <v>3623</v>
      </c>
      <c r="B120" s="14" t="s">
        <v>2729</v>
      </c>
      <c r="C120" s="14">
        <v>1</v>
      </c>
      <c r="D120" s="14">
        <f>ROUND(C120*(1+('Resilience &amp; Risk Scenario'!$B$7-3)*0.15),2)</f>
        <v>0.55000000000000004</v>
      </c>
      <c r="E120" s="14" t="s">
        <v>10712</v>
      </c>
      <c r="F120" s="14" t="s">
        <v>10675</v>
      </c>
      <c r="G120" s="14" t="s">
        <v>10713</v>
      </c>
      <c r="H120" s="14" t="s">
        <v>10714</v>
      </c>
      <c r="I120" s="14" t="str">
        <f t="shared" si="1"/>
        <v>Financial / liquidity shock|Business Systems</v>
      </c>
      <c r="J120" s="14" t="s">
        <v>10673</v>
      </c>
      <c r="K120">
        <f>IFERROR(INDEX(_ENGINE_Crisis!$AH$292:$AS$303,MATCH('Resilience &amp; Risk Scenario'!$B$6,_ENGINE_Crisis!$AG$292:$AG$303,0),MATCH($A120,_ENGINE_Crisis!$AH$291:$AS$291,0)),0)</f>
        <v>0</v>
      </c>
    </row>
    <row r="121" spans="1:11" ht="28.5" customHeight="1">
      <c r="A121" s="14" t="s">
        <v>3623</v>
      </c>
      <c r="B121" s="14" t="s">
        <v>2824</v>
      </c>
      <c r="C121" s="14">
        <v>1.2</v>
      </c>
      <c r="D121" s="14">
        <f>ROUND(C121*(1+('Resilience &amp; Risk Scenario'!$B$7-3)*0.15),2)</f>
        <v>0.66</v>
      </c>
      <c r="E121" s="14" t="s">
        <v>10715</v>
      </c>
      <c r="F121" s="14" t="s">
        <v>10675</v>
      </c>
      <c r="G121" s="14" t="s">
        <v>10716</v>
      </c>
      <c r="H121" s="14" t="s">
        <v>10717</v>
      </c>
      <c r="I121" s="14" t="str">
        <f t="shared" si="1"/>
        <v>Financial / liquidity shock|Data BI AI</v>
      </c>
      <c r="J121" s="14" t="s">
        <v>10673</v>
      </c>
      <c r="K121">
        <f>IFERROR(INDEX(_ENGINE_Crisis!$AH$292:$AS$303,MATCH('Resilience &amp; Risk Scenario'!$B$6,_ENGINE_Crisis!$AG$292:$AG$303,0),MATCH($A121,_ENGINE_Crisis!$AH$291:$AS$291,0)),0)</f>
        <v>0</v>
      </c>
    </row>
    <row r="122" spans="1:11" ht="28.5" customHeight="1">
      <c r="A122" s="14" t="s">
        <v>3623</v>
      </c>
      <c r="B122" s="14" t="s">
        <v>2986</v>
      </c>
      <c r="C122" s="14">
        <v>1</v>
      </c>
      <c r="D122" s="14">
        <f>ROUND(C122*(1+('Resilience &amp; Risk Scenario'!$B$7-3)*0.15),2)</f>
        <v>0.55000000000000004</v>
      </c>
      <c r="E122" s="14" t="s">
        <v>10718</v>
      </c>
      <c r="F122" s="14" t="s">
        <v>10675</v>
      </c>
      <c r="G122" s="14" t="s">
        <v>10719</v>
      </c>
      <c r="H122" s="14" t="s">
        <v>10720</v>
      </c>
      <c r="I122" s="14" t="str">
        <f t="shared" si="1"/>
        <v>Financial / liquidity shock|Cyber Privacy</v>
      </c>
      <c r="J122" s="14" t="s">
        <v>10673</v>
      </c>
      <c r="K122">
        <f>IFERROR(INDEX(_ENGINE_Crisis!$AH$292:$AS$303,MATCH('Resilience &amp; Risk Scenario'!$B$6,_ENGINE_Crisis!$AG$292:$AG$303,0),MATCH($A122,_ENGINE_Crisis!$AH$291:$AS$291,0)),0)</f>
        <v>0</v>
      </c>
    </row>
    <row r="123" spans="1:11" ht="28.5" customHeight="1">
      <c r="A123" s="14" t="s">
        <v>3623</v>
      </c>
      <c r="B123" s="14" t="s">
        <v>3204</v>
      </c>
      <c r="C123" s="14">
        <v>1.3</v>
      </c>
      <c r="D123" s="14">
        <f>ROUND(C123*(1+('Resilience &amp; Risk Scenario'!$B$7-3)*0.15),2)</f>
        <v>0.72</v>
      </c>
      <c r="E123" s="14" t="s">
        <v>10721</v>
      </c>
      <c r="F123" s="14" t="s">
        <v>10670</v>
      </c>
      <c r="G123" s="14" t="s">
        <v>10722</v>
      </c>
      <c r="H123" s="14" t="s">
        <v>10723</v>
      </c>
      <c r="I123" s="14" t="str">
        <f t="shared" si="1"/>
        <v>Financial / liquidity shock|Quality Portfolio</v>
      </c>
      <c r="J123" s="14" t="s">
        <v>10673</v>
      </c>
      <c r="K123">
        <f>IFERROR(INDEX(_ENGINE_Crisis!$AH$292:$AS$303,MATCH('Resilience &amp; Risk Scenario'!$B$6,_ENGINE_Crisis!$AG$292:$AG$303,0),MATCH($A123,_ENGINE_Crisis!$AH$291:$AS$291,0)),0)</f>
        <v>0</v>
      </c>
    </row>
    <row r="124" spans="1:11" ht="28.5" customHeight="1">
      <c r="A124" s="14" t="s">
        <v>3626</v>
      </c>
      <c r="B124" s="14" t="s">
        <v>815</v>
      </c>
      <c r="C124" s="14">
        <v>1</v>
      </c>
      <c r="D124" s="14">
        <f>ROUND(C124*(1+('Resilience &amp; Risk Scenario'!$B$7-3)*0.15),2)</f>
        <v>0.55000000000000004</v>
      </c>
      <c r="E124" s="14" t="s">
        <v>10669</v>
      </c>
      <c r="F124" s="14" t="s">
        <v>10675</v>
      </c>
      <c r="G124" s="14" t="s">
        <v>10671</v>
      </c>
      <c r="H124" s="14" t="s">
        <v>10672</v>
      </c>
      <c r="I124" s="14" t="str">
        <f t="shared" si="1"/>
        <v>Demand shock|Company Geography</v>
      </c>
      <c r="J124" s="14" t="s">
        <v>10673</v>
      </c>
      <c r="K124">
        <f>IFERROR(INDEX(_ENGINE_Crisis!$AH$292:$AS$303,MATCH('Resilience &amp; Risk Scenario'!$B$6,_ENGINE_Crisis!$AG$292:$AG$303,0),MATCH($A124,_ENGINE_Crisis!$AH$291:$AS$291,0)),0)</f>
        <v>0</v>
      </c>
    </row>
    <row r="125" spans="1:11" ht="28.5" customHeight="1">
      <c r="A125" s="14" t="s">
        <v>3626</v>
      </c>
      <c r="B125" s="14" t="s">
        <v>949</v>
      </c>
      <c r="C125" s="14">
        <v>2</v>
      </c>
      <c r="D125" s="14">
        <f>ROUND(C125*(1+('Resilience &amp; Risk Scenario'!$B$7-3)*0.15),2)</f>
        <v>1.1000000000000001</v>
      </c>
      <c r="E125" s="14" t="s">
        <v>10674</v>
      </c>
      <c r="F125" s="14" t="s">
        <v>10682</v>
      </c>
      <c r="G125" s="14" t="s">
        <v>10676</v>
      </c>
      <c r="H125" s="14" t="s">
        <v>10677</v>
      </c>
      <c r="I125" s="14" t="str">
        <f t="shared" si="1"/>
        <v>Demand shock|Strategy GTM</v>
      </c>
      <c r="J125" s="14" t="s">
        <v>10673</v>
      </c>
      <c r="K125">
        <f>IFERROR(INDEX(_ENGINE_Crisis!$AH$292:$AS$303,MATCH('Resilience &amp; Risk Scenario'!$B$6,_ENGINE_Crisis!$AG$292:$AG$303,0),MATCH($A125,_ENGINE_Crisis!$AH$291:$AS$291,0)),0)</f>
        <v>0</v>
      </c>
    </row>
    <row r="126" spans="1:11" ht="28.5" customHeight="1">
      <c r="A126" s="14" t="s">
        <v>3626</v>
      </c>
      <c r="B126" s="14" t="s">
        <v>1150</v>
      </c>
      <c r="C126" s="14">
        <v>1</v>
      </c>
      <c r="D126" s="14">
        <f>ROUND(C126*(1+('Resilience &amp; Risk Scenario'!$B$7-3)*0.15),2)</f>
        <v>0.55000000000000004</v>
      </c>
      <c r="E126" s="14" t="s">
        <v>10678</v>
      </c>
      <c r="F126" s="14" t="s">
        <v>10675</v>
      </c>
      <c r="G126" s="14" t="s">
        <v>10679</v>
      </c>
      <c r="H126" s="14" t="s">
        <v>10680</v>
      </c>
      <c r="I126" s="14" t="str">
        <f t="shared" si="1"/>
        <v>Demand shock|Governance Crisis</v>
      </c>
      <c r="J126" s="14" t="s">
        <v>10673</v>
      </c>
      <c r="K126">
        <f>IFERROR(INDEX(_ENGINE_Crisis!$AH$292:$AS$303,MATCH('Resilience &amp; Risk Scenario'!$B$6,_ENGINE_Crisis!$AG$292:$AG$303,0),MATCH($A126,_ENGINE_Crisis!$AH$291:$AS$291,0)),0)</f>
        <v>0</v>
      </c>
    </row>
    <row r="127" spans="1:11" ht="28.5" customHeight="1">
      <c r="A127" s="14" t="s">
        <v>3626</v>
      </c>
      <c r="B127" s="14" t="s">
        <v>1259</v>
      </c>
      <c r="C127" s="14">
        <v>1</v>
      </c>
      <c r="D127" s="14">
        <f>ROUND(C127*(1+('Resilience &amp; Risk Scenario'!$B$7-3)*0.15),2)</f>
        <v>0.55000000000000004</v>
      </c>
      <c r="E127" s="14" t="s">
        <v>10681</v>
      </c>
      <c r="F127" s="14" t="s">
        <v>10675</v>
      </c>
      <c r="G127" s="14" t="s">
        <v>10683</v>
      </c>
      <c r="H127" s="14" t="s">
        <v>10684</v>
      </c>
      <c r="I127" s="14" t="str">
        <f t="shared" si="1"/>
        <v>Demand shock|HR Workforce</v>
      </c>
      <c r="J127" s="14" t="s">
        <v>10673</v>
      </c>
      <c r="K127">
        <f>IFERROR(INDEX(_ENGINE_Crisis!$AH$292:$AS$303,MATCH('Resilience &amp; Risk Scenario'!$B$6,_ENGINE_Crisis!$AG$292:$AG$303,0),MATCH($A127,_ENGINE_Crisis!$AH$291:$AS$291,0)),0)</f>
        <v>0</v>
      </c>
    </row>
    <row r="128" spans="1:11" ht="28.5" customHeight="1">
      <c r="A128" s="14" t="s">
        <v>3626</v>
      </c>
      <c r="B128" s="14" t="s">
        <v>1401</v>
      </c>
      <c r="C128" s="14">
        <v>1.5</v>
      </c>
      <c r="D128" s="14">
        <f>ROUND(C128*(1+('Resilience &amp; Risk Scenario'!$B$7-3)*0.15),2)</f>
        <v>0.83</v>
      </c>
      <c r="E128" s="14" t="s">
        <v>10685</v>
      </c>
      <c r="F128" s="14" t="s">
        <v>10670</v>
      </c>
      <c r="G128" s="14" t="s">
        <v>10686</v>
      </c>
      <c r="H128" s="14" t="s">
        <v>10687</v>
      </c>
      <c r="I128" s="14" t="str">
        <f t="shared" si="1"/>
        <v>Demand shock|Finance Procurement</v>
      </c>
      <c r="J128" s="14" t="s">
        <v>10673</v>
      </c>
      <c r="K128">
        <f>IFERROR(INDEX(_ENGINE_Crisis!$AH$292:$AS$303,MATCH('Resilience &amp; Risk Scenario'!$B$6,_ENGINE_Crisis!$AG$292:$AG$303,0),MATCH($A128,_ENGINE_Crisis!$AH$291:$AS$291,0)),0)</f>
        <v>0</v>
      </c>
    </row>
    <row r="129" spans="1:11" ht="28.5" customHeight="1">
      <c r="A129" s="14" t="s">
        <v>3626</v>
      </c>
      <c r="B129" s="14" t="s">
        <v>1551</v>
      </c>
      <c r="C129" s="14">
        <v>1</v>
      </c>
      <c r="D129" s="14">
        <f>ROUND(C129*(1+('Resilience &amp; Risk Scenario'!$B$7-3)*0.15),2)</f>
        <v>0.55000000000000004</v>
      </c>
      <c r="E129" s="14" t="s">
        <v>10688</v>
      </c>
      <c r="F129" s="14" t="s">
        <v>10675</v>
      </c>
      <c r="G129" s="14" t="s">
        <v>10689</v>
      </c>
      <c r="H129" s="14" t="s">
        <v>10690</v>
      </c>
      <c r="I129" s="14" t="str">
        <f t="shared" si="1"/>
        <v>Demand shock|Legal Risk</v>
      </c>
      <c r="J129" s="14" t="s">
        <v>10673</v>
      </c>
      <c r="K129">
        <f>IFERROR(INDEX(_ENGINE_Crisis!$AH$292:$AS$303,MATCH('Resilience &amp; Risk Scenario'!$B$6,_ENGINE_Crisis!$AG$292:$AG$303,0),MATCH($A129,_ENGINE_Crisis!$AH$291:$AS$291,0)),0)</f>
        <v>0</v>
      </c>
    </row>
    <row r="130" spans="1:11" ht="28.5" customHeight="1">
      <c r="A130" s="14" t="s">
        <v>3626</v>
      </c>
      <c r="B130" s="14" t="s">
        <v>1666</v>
      </c>
      <c r="C130" s="14">
        <v>1</v>
      </c>
      <c r="D130" s="14">
        <f>ROUND(C130*(1+('Resilience &amp; Risk Scenario'!$B$7-3)*0.15),2)</f>
        <v>0.55000000000000004</v>
      </c>
      <c r="E130" s="14" t="s">
        <v>10691</v>
      </c>
      <c r="F130" s="14" t="s">
        <v>10675</v>
      </c>
      <c r="G130" s="14" t="s">
        <v>10692</v>
      </c>
      <c r="H130" s="14" t="s">
        <v>10693</v>
      </c>
      <c r="I130" s="14" t="str">
        <f t="shared" si="1"/>
        <v>Demand shock|Physical Safety</v>
      </c>
      <c r="J130" s="14" t="s">
        <v>10673</v>
      </c>
      <c r="K130">
        <f>IFERROR(INDEX(_ENGINE_Crisis!$AH$292:$AS$303,MATCH('Resilience &amp; Risk Scenario'!$B$6,_ENGINE_Crisis!$AG$292:$AG$303,0),MATCH($A130,_ENGINE_Crisis!$AH$291:$AS$291,0)),0)</f>
        <v>0</v>
      </c>
    </row>
    <row r="131" spans="1:11" ht="28.5" customHeight="1">
      <c r="A131" s="14" t="s">
        <v>3626</v>
      </c>
      <c r="B131" s="14" t="s">
        <v>1859</v>
      </c>
      <c r="C131" s="14">
        <v>1.2</v>
      </c>
      <c r="D131" s="14">
        <f>ROUND(C131*(1+('Resilience &amp; Risk Scenario'!$B$7-3)*0.15),2)</f>
        <v>0.66</v>
      </c>
      <c r="E131" s="14" t="s">
        <v>10694</v>
      </c>
      <c r="F131" s="14" t="s">
        <v>10675</v>
      </c>
      <c r="G131" s="14" t="s">
        <v>10695</v>
      </c>
      <c r="H131" s="14" t="s">
        <v>10696</v>
      </c>
      <c r="I131" s="14" t="str">
        <f t="shared" si="1"/>
        <v>Demand shock|Delivery Ops</v>
      </c>
      <c r="J131" s="14" t="s">
        <v>10673</v>
      </c>
      <c r="K131">
        <f>IFERROR(INDEX(_ENGINE_Crisis!$AH$292:$AS$303,MATCH('Resilience &amp; Risk Scenario'!$B$6,_ENGINE_Crisis!$AG$292:$AG$303,0),MATCH($A131,_ENGINE_Crisis!$AH$291:$AS$291,0)),0)</f>
        <v>0</v>
      </c>
    </row>
    <row r="132" spans="1:11" ht="28.5" customHeight="1">
      <c r="A132" s="14" t="s">
        <v>3626</v>
      </c>
      <c r="B132" s="14" t="s">
        <v>1987</v>
      </c>
      <c r="C132" s="14">
        <v>1</v>
      </c>
      <c r="D132" s="14">
        <f>ROUND(C132*(1+('Resilience &amp; Risk Scenario'!$B$7-3)*0.15),2)</f>
        <v>0.55000000000000004</v>
      </c>
      <c r="E132" s="14" t="s">
        <v>10697</v>
      </c>
      <c r="F132" s="14" t="s">
        <v>10675</v>
      </c>
      <c r="G132" s="14" t="s">
        <v>10698</v>
      </c>
      <c r="H132" s="14" t="s">
        <v>10699</v>
      </c>
      <c r="I132" s="14" t="str">
        <f t="shared" si="1"/>
        <v>Demand shock|Supply Chain</v>
      </c>
      <c r="J132" s="14" t="s">
        <v>10673</v>
      </c>
      <c r="K132">
        <f>IFERROR(INDEX(_ENGINE_Crisis!$AH$292:$AS$303,MATCH('Resilience &amp; Risk Scenario'!$B$6,_ENGINE_Crisis!$AG$292:$AG$303,0),MATCH($A132,_ENGINE_Crisis!$AH$291:$AS$291,0)),0)</f>
        <v>0</v>
      </c>
    </row>
    <row r="133" spans="1:11" ht="28.5" customHeight="1">
      <c r="A133" s="14" t="s">
        <v>3626</v>
      </c>
      <c r="B133" s="14" t="s">
        <v>2145</v>
      </c>
      <c r="C133" s="14">
        <v>1</v>
      </c>
      <c r="D133" s="14">
        <f>ROUND(C133*(1+('Resilience &amp; Risk Scenario'!$B$7-3)*0.15),2)</f>
        <v>0.55000000000000004</v>
      </c>
      <c r="E133" s="14" t="s">
        <v>10700</v>
      </c>
      <c r="F133" s="14" t="s">
        <v>10675</v>
      </c>
      <c r="G133" s="14" t="s">
        <v>10701</v>
      </c>
      <c r="H133" s="14" t="s">
        <v>10702</v>
      </c>
      <c r="I133" s="14" t="str">
        <f t="shared" ref="I133:I196" si="2">A133&amp;"|"&amp;B133</f>
        <v>Demand shock|Manufacturing MES</v>
      </c>
      <c r="J133" s="14" t="s">
        <v>10673</v>
      </c>
      <c r="K133">
        <f>IFERROR(INDEX(_ENGINE_Crisis!$AH$292:$AS$303,MATCH('Resilience &amp; Risk Scenario'!$B$6,_ENGINE_Crisis!$AG$292:$AG$303,0),MATCH($A133,_ENGINE_Crisis!$AH$291:$AS$291,0)),0)</f>
        <v>0</v>
      </c>
    </row>
    <row r="134" spans="1:11" ht="28.5" customHeight="1">
      <c r="A134" s="14" t="s">
        <v>3626</v>
      </c>
      <c r="B134" s="14" t="s">
        <v>2286</v>
      </c>
      <c r="C134" s="14">
        <v>1.9</v>
      </c>
      <c r="D134" s="14">
        <f>ROUND(C134*(1+('Resilience &amp; Risk Scenario'!$B$7-3)*0.15),2)</f>
        <v>1.05</v>
      </c>
      <c r="E134" s="14" t="s">
        <v>10703</v>
      </c>
      <c r="F134" s="14" t="s">
        <v>10682</v>
      </c>
      <c r="G134" s="14" t="s">
        <v>10704</v>
      </c>
      <c r="H134" s="14" t="s">
        <v>10705</v>
      </c>
      <c r="I134" s="14" t="str">
        <f t="shared" si="2"/>
        <v>Demand shock|Sales CRM</v>
      </c>
      <c r="J134" s="14" t="s">
        <v>10673</v>
      </c>
      <c r="K134">
        <f>IFERROR(INDEX(_ENGINE_Crisis!$AH$292:$AS$303,MATCH('Resilience &amp; Risk Scenario'!$B$6,_ENGINE_Crisis!$AG$292:$AG$303,0),MATCH($A134,_ENGINE_Crisis!$AH$291:$AS$291,0)),0)</f>
        <v>0</v>
      </c>
    </row>
    <row r="135" spans="1:11" ht="28.5" customHeight="1">
      <c r="A135" s="14" t="s">
        <v>3626</v>
      </c>
      <c r="B135" s="14" t="s">
        <v>2473</v>
      </c>
      <c r="C135" s="14">
        <v>1.7</v>
      </c>
      <c r="D135" s="14">
        <f>ROUND(C135*(1+('Resilience &amp; Risk Scenario'!$B$7-3)*0.15),2)</f>
        <v>0.94</v>
      </c>
      <c r="E135" s="14" t="s">
        <v>10706</v>
      </c>
      <c r="F135" s="14" t="s">
        <v>10682</v>
      </c>
      <c r="G135" s="14" t="s">
        <v>10707</v>
      </c>
      <c r="H135" s="14" t="s">
        <v>10708</v>
      </c>
      <c r="I135" s="14" t="str">
        <f t="shared" si="2"/>
        <v>Demand shock|Marketing Comms</v>
      </c>
      <c r="J135" s="14" t="s">
        <v>10673</v>
      </c>
      <c r="K135">
        <f>IFERROR(INDEX(_ENGINE_Crisis!$AH$292:$AS$303,MATCH('Resilience &amp; Risk Scenario'!$B$6,_ENGINE_Crisis!$AG$292:$AG$303,0),MATCH($A135,_ENGINE_Crisis!$AH$291:$AS$291,0)),0)</f>
        <v>0</v>
      </c>
    </row>
    <row r="136" spans="1:11" ht="28.5" customHeight="1">
      <c r="A136" s="14" t="s">
        <v>3626</v>
      </c>
      <c r="B136" s="14" t="s">
        <v>2588</v>
      </c>
      <c r="C136" s="14">
        <v>1</v>
      </c>
      <c r="D136" s="14">
        <f>ROUND(C136*(1+('Resilience &amp; Risk Scenario'!$B$7-3)*0.15),2)</f>
        <v>0.55000000000000004</v>
      </c>
      <c r="E136" s="14" t="s">
        <v>10709</v>
      </c>
      <c r="F136" s="14" t="s">
        <v>10675</v>
      </c>
      <c r="G136" s="14" t="s">
        <v>10710</v>
      </c>
      <c r="H136" s="14" t="s">
        <v>10711</v>
      </c>
      <c r="I136" s="14" t="str">
        <f t="shared" si="2"/>
        <v>Demand shock|IT Cloud DR</v>
      </c>
      <c r="J136" s="14" t="s">
        <v>10673</v>
      </c>
      <c r="K136">
        <f>IFERROR(INDEX(_ENGINE_Crisis!$AH$292:$AS$303,MATCH('Resilience &amp; Risk Scenario'!$B$6,_ENGINE_Crisis!$AG$292:$AG$303,0),MATCH($A136,_ENGINE_Crisis!$AH$291:$AS$291,0)),0)</f>
        <v>0</v>
      </c>
    </row>
    <row r="137" spans="1:11" ht="28.5" customHeight="1">
      <c r="A137" s="14" t="s">
        <v>3626</v>
      </c>
      <c r="B137" s="14" t="s">
        <v>2729</v>
      </c>
      <c r="C137" s="14">
        <v>1</v>
      </c>
      <c r="D137" s="14">
        <f>ROUND(C137*(1+('Resilience &amp; Risk Scenario'!$B$7-3)*0.15),2)</f>
        <v>0.55000000000000004</v>
      </c>
      <c r="E137" s="14" t="s">
        <v>10712</v>
      </c>
      <c r="F137" s="14" t="s">
        <v>10675</v>
      </c>
      <c r="G137" s="14" t="s">
        <v>10713</v>
      </c>
      <c r="H137" s="14" t="s">
        <v>10714</v>
      </c>
      <c r="I137" s="14" t="str">
        <f t="shared" si="2"/>
        <v>Demand shock|Business Systems</v>
      </c>
      <c r="J137" s="14" t="s">
        <v>10673</v>
      </c>
      <c r="K137">
        <f>IFERROR(INDEX(_ENGINE_Crisis!$AH$292:$AS$303,MATCH('Resilience &amp; Risk Scenario'!$B$6,_ENGINE_Crisis!$AG$292:$AG$303,0),MATCH($A137,_ENGINE_Crisis!$AH$291:$AS$291,0)),0)</f>
        <v>0</v>
      </c>
    </row>
    <row r="138" spans="1:11" ht="28.5" customHeight="1">
      <c r="A138" s="14" t="s">
        <v>3626</v>
      </c>
      <c r="B138" s="14" t="s">
        <v>2824</v>
      </c>
      <c r="C138" s="14">
        <v>1.3</v>
      </c>
      <c r="D138" s="14">
        <f>ROUND(C138*(1+('Resilience &amp; Risk Scenario'!$B$7-3)*0.15),2)</f>
        <v>0.72</v>
      </c>
      <c r="E138" s="14" t="s">
        <v>10715</v>
      </c>
      <c r="F138" s="14" t="s">
        <v>10670</v>
      </c>
      <c r="G138" s="14" t="s">
        <v>10716</v>
      </c>
      <c r="H138" s="14" t="s">
        <v>10717</v>
      </c>
      <c r="I138" s="14" t="str">
        <f t="shared" si="2"/>
        <v>Demand shock|Data BI AI</v>
      </c>
      <c r="J138" s="14" t="s">
        <v>10673</v>
      </c>
      <c r="K138">
        <f>IFERROR(INDEX(_ENGINE_Crisis!$AH$292:$AS$303,MATCH('Resilience &amp; Risk Scenario'!$B$6,_ENGINE_Crisis!$AG$292:$AG$303,0),MATCH($A138,_ENGINE_Crisis!$AH$291:$AS$291,0)),0)</f>
        <v>0</v>
      </c>
    </row>
    <row r="139" spans="1:11" ht="28.5" customHeight="1">
      <c r="A139" s="14" t="s">
        <v>3626</v>
      </c>
      <c r="B139" s="14" t="s">
        <v>2986</v>
      </c>
      <c r="C139" s="14">
        <v>1</v>
      </c>
      <c r="D139" s="14">
        <f>ROUND(C139*(1+('Resilience &amp; Risk Scenario'!$B$7-3)*0.15),2)</f>
        <v>0.55000000000000004</v>
      </c>
      <c r="E139" s="14" t="s">
        <v>10718</v>
      </c>
      <c r="F139" s="14" t="s">
        <v>10675</v>
      </c>
      <c r="G139" s="14" t="s">
        <v>10719</v>
      </c>
      <c r="H139" s="14" t="s">
        <v>10720</v>
      </c>
      <c r="I139" s="14" t="str">
        <f t="shared" si="2"/>
        <v>Demand shock|Cyber Privacy</v>
      </c>
      <c r="J139" s="14" t="s">
        <v>10673</v>
      </c>
      <c r="K139">
        <f>IFERROR(INDEX(_ENGINE_Crisis!$AH$292:$AS$303,MATCH('Resilience &amp; Risk Scenario'!$B$6,_ENGINE_Crisis!$AG$292:$AG$303,0),MATCH($A139,_ENGINE_Crisis!$AH$291:$AS$291,0)),0)</f>
        <v>0</v>
      </c>
    </row>
    <row r="140" spans="1:11" ht="28.5" customHeight="1">
      <c r="A140" s="14" t="s">
        <v>3626</v>
      </c>
      <c r="B140" s="14" t="s">
        <v>3204</v>
      </c>
      <c r="C140" s="14">
        <v>1.2</v>
      </c>
      <c r="D140" s="14">
        <f>ROUND(C140*(1+('Resilience &amp; Risk Scenario'!$B$7-3)*0.15),2)</f>
        <v>0.66</v>
      </c>
      <c r="E140" s="14" t="s">
        <v>10721</v>
      </c>
      <c r="F140" s="14" t="s">
        <v>10675</v>
      </c>
      <c r="G140" s="14" t="s">
        <v>10722</v>
      </c>
      <c r="H140" s="14" t="s">
        <v>10723</v>
      </c>
      <c r="I140" s="14" t="str">
        <f t="shared" si="2"/>
        <v>Demand shock|Quality Portfolio</v>
      </c>
      <c r="J140" s="14" t="s">
        <v>10673</v>
      </c>
      <c r="K140">
        <f>IFERROR(INDEX(_ENGINE_Crisis!$AH$292:$AS$303,MATCH('Resilience &amp; Risk Scenario'!$B$6,_ENGINE_Crisis!$AG$292:$AG$303,0),MATCH($A140,_ENGINE_Crisis!$AH$291:$AS$291,0)),0)</f>
        <v>0</v>
      </c>
    </row>
    <row r="141" spans="1:11" ht="28.5" customHeight="1">
      <c r="A141" s="14" t="s">
        <v>3629</v>
      </c>
      <c r="B141" s="14" t="s">
        <v>815</v>
      </c>
      <c r="C141" s="14">
        <v>1</v>
      </c>
      <c r="D141" s="14">
        <f>ROUND(C141*(1+('Resilience &amp; Risk Scenario'!$B$7-3)*0.15),2)</f>
        <v>0.55000000000000004</v>
      </c>
      <c r="E141" s="14" t="s">
        <v>10669</v>
      </c>
      <c r="F141" s="14" t="s">
        <v>10675</v>
      </c>
      <c r="G141" s="14" t="s">
        <v>10671</v>
      </c>
      <c r="H141" s="14" t="s">
        <v>10672</v>
      </c>
      <c r="I141" s="14" t="str">
        <f t="shared" si="2"/>
        <v>Pandemic / workforce disruption|Company Geography</v>
      </c>
      <c r="J141" s="14" t="s">
        <v>10673</v>
      </c>
      <c r="K141">
        <f>IFERROR(INDEX(_ENGINE_Crisis!$AH$292:$AS$303,MATCH('Resilience &amp; Risk Scenario'!$B$6,_ENGINE_Crisis!$AG$292:$AG$303,0),MATCH($A141,_ENGINE_Crisis!$AH$291:$AS$291,0)),0)</f>
        <v>0</v>
      </c>
    </row>
    <row r="142" spans="1:11" ht="28.5" customHeight="1">
      <c r="A142" s="14" t="s">
        <v>3629</v>
      </c>
      <c r="B142" s="14" t="s">
        <v>949</v>
      </c>
      <c r="C142" s="14">
        <v>1</v>
      </c>
      <c r="D142" s="14">
        <f>ROUND(C142*(1+('Resilience &amp; Risk Scenario'!$B$7-3)*0.15),2)</f>
        <v>0.55000000000000004</v>
      </c>
      <c r="E142" s="14" t="s">
        <v>10674</v>
      </c>
      <c r="F142" s="14" t="s">
        <v>10675</v>
      </c>
      <c r="G142" s="14" t="s">
        <v>10676</v>
      </c>
      <c r="H142" s="14" t="s">
        <v>10677</v>
      </c>
      <c r="I142" s="14" t="str">
        <f t="shared" si="2"/>
        <v>Pandemic / workforce disruption|Strategy GTM</v>
      </c>
      <c r="J142" s="14" t="s">
        <v>10673</v>
      </c>
      <c r="K142">
        <f>IFERROR(INDEX(_ENGINE_Crisis!$AH$292:$AS$303,MATCH('Resilience &amp; Risk Scenario'!$B$6,_ENGINE_Crisis!$AG$292:$AG$303,0),MATCH($A142,_ENGINE_Crisis!$AH$291:$AS$291,0)),0)</f>
        <v>0</v>
      </c>
    </row>
    <row r="143" spans="1:11" ht="28.5" customHeight="1">
      <c r="A143" s="14" t="s">
        <v>3629</v>
      </c>
      <c r="B143" s="14" t="s">
        <v>1150</v>
      </c>
      <c r="C143" s="14">
        <v>1.3</v>
      </c>
      <c r="D143" s="14">
        <f>ROUND(C143*(1+('Resilience &amp; Risk Scenario'!$B$7-3)*0.15),2)</f>
        <v>0.72</v>
      </c>
      <c r="E143" s="14" t="s">
        <v>10678</v>
      </c>
      <c r="F143" s="14" t="s">
        <v>10670</v>
      </c>
      <c r="G143" s="14" t="s">
        <v>10679</v>
      </c>
      <c r="H143" s="14" t="s">
        <v>10680</v>
      </c>
      <c r="I143" s="14" t="str">
        <f t="shared" si="2"/>
        <v>Pandemic / workforce disruption|Governance Crisis</v>
      </c>
      <c r="J143" s="14" t="s">
        <v>10673</v>
      </c>
      <c r="K143">
        <f>IFERROR(INDEX(_ENGINE_Crisis!$AH$292:$AS$303,MATCH('Resilience &amp; Risk Scenario'!$B$6,_ENGINE_Crisis!$AG$292:$AG$303,0),MATCH($A143,_ENGINE_Crisis!$AH$291:$AS$291,0)),0)</f>
        <v>0</v>
      </c>
    </row>
    <row r="144" spans="1:11" ht="28.5" customHeight="1">
      <c r="A144" s="14" t="s">
        <v>3629</v>
      </c>
      <c r="B144" s="14" t="s">
        <v>1259</v>
      </c>
      <c r="C144" s="14">
        <v>2</v>
      </c>
      <c r="D144" s="14">
        <f>ROUND(C144*(1+('Resilience &amp; Risk Scenario'!$B$7-3)*0.15),2)</f>
        <v>1.1000000000000001</v>
      </c>
      <c r="E144" s="14" t="s">
        <v>10681</v>
      </c>
      <c r="F144" s="14" t="s">
        <v>10682</v>
      </c>
      <c r="G144" s="14" t="s">
        <v>10683</v>
      </c>
      <c r="H144" s="14" t="s">
        <v>10684</v>
      </c>
      <c r="I144" s="14" t="str">
        <f t="shared" si="2"/>
        <v>Pandemic / workforce disruption|HR Workforce</v>
      </c>
      <c r="J144" s="14" t="s">
        <v>10673</v>
      </c>
      <c r="K144">
        <f>IFERROR(INDEX(_ENGINE_Crisis!$AH$292:$AS$303,MATCH('Resilience &amp; Risk Scenario'!$B$6,_ENGINE_Crisis!$AG$292:$AG$303,0),MATCH($A144,_ENGINE_Crisis!$AH$291:$AS$291,0)),0)</f>
        <v>0</v>
      </c>
    </row>
    <row r="145" spans="1:11" ht="28.5" customHeight="1">
      <c r="A145" s="14" t="s">
        <v>3629</v>
      </c>
      <c r="B145" s="14" t="s">
        <v>1401</v>
      </c>
      <c r="C145" s="14">
        <v>1</v>
      </c>
      <c r="D145" s="14">
        <f>ROUND(C145*(1+('Resilience &amp; Risk Scenario'!$B$7-3)*0.15),2)</f>
        <v>0.55000000000000004</v>
      </c>
      <c r="E145" s="14" t="s">
        <v>10685</v>
      </c>
      <c r="F145" s="14" t="s">
        <v>10675</v>
      </c>
      <c r="G145" s="14" t="s">
        <v>10686</v>
      </c>
      <c r="H145" s="14" t="s">
        <v>10687</v>
      </c>
      <c r="I145" s="14" t="str">
        <f t="shared" si="2"/>
        <v>Pandemic / workforce disruption|Finance Procurement</v>
      </c>
      <c r="J145" s="14" t="s">
        <v>10673</v>
      </c>
      <c r="K145">
        <f>IFERROR(INDEX(_ENGINE_Crisis!$AH$292:$AS$303,MATCH('Resilience &amp; Risk Scenario'!$B$6,_ENGINE_Crisis!$AG$292:$AG$303,0),MATCH($A145,_ENGINE_Crisis!$AH$291:$AS$291,0)),0)</f>
        <v>0</v>
      </c>
    </row>
    <row r="146" spans="1:11" ht="28.5" customHeight="1">
      <c r="A146" s="14" t="s">
        <v>3629</v>
      </c>
      <c r="B146" s="14" t="s">
        <v>1551</v>
      </c>
      <c r="C146" s="14">
        <v>1</v>
      </c>
      <c r="D146" s="14">
        <f>ROUND(C146*(1+('Resilience &amp; Risk Scenario'!$B$7-3)*0.15),2)</f>
        <v>0.55000000000000004</v>
      </c>
      <c r="E146" s="14" t="s">
        <v>10688</v>
      </c>
      <c r="F146" s="14" t="s">
        <v>10675</v>
      </c>
      <c r="G146" s="14" t="s">
        <v>10689</v>
      </c>
      <c r="H146" s="14" t="s">
        <v>10690</v>
      </c>
      <c r="I146" s="14" t="str">
        <f t="shared" si="2"/>
        <v>Pandemic / workforce disruption|Legal Risk</v>
      </c>
      <c r="J146" s="14" t="s">
        <v>10673</v>
      </c>
      <c r="K146">
        <f>IFERROR(INDEX(_ENGINE_Crisis!$AH$292:$AS$303,MATCH('Resilience &amp; Risk Scenario'!$B$6,_ENGINE_Crisis!$AG$292:$AG$303,0),MATCH($A146,_ENGINE_Crisis!$AH$291:$AS$291,0)),0)</f>
        <v>0</v>
      </c>
    </row>
    <row r="147" spans="1:11" ht="28.5" customHeight="1">
      <c r="A147" s="14" t="s">
        <v>3629</v>
      </c>
      <c r="B147" s="14" t="s">
        <v>1666</v>
      </c>
      <c r="C147" s="14">
        <v>1.6</v>
      </c>
      <c r="D147" s="14">
        <f>ROUND(C147*(1+('Resilience &amp; Risk Scenario'!$B$7-3)*0.15),2)</f>
        <v>0.88</v>
      </c>
      <c r="E147" s="14" t="s">
        <v>10691</v>
      </c>
      <c r="F147" s="14" t="s">
        <v>10670</v>
      </c>
      <c r="G147" s="14" t="s">
        <v>10692</v>
      </c>
      <c r="H147" s="14" t="s">
        <v>10693</v>
      </c>
      <c r="I147" s="14" t="str">
        <f t="shared" si="2"/>
        <v>Pandemic / workforce disruption|Physical Safety</v>
      </c>
      <c r="J147" s="14" t="s">
        <v>10673</v>
      </c>
      <c r="K147">
        <f>IFERROR(INDEX(_ENGINE_Crisis!$AH$292:$AS$303,MATCH('Resilience &amp; Risk Scenario'!$B$6,_ENGINE_Crisis!$AG$292:$AG$303,0),MATCH($A147,_ENGINE_Crisis!$AH$291:$AS$291,0)),0)</f>
        <v>0</v>
      </c>
    </row>
    <row r="148" spans="1:11" ht="28.5" customHeight="1">
      <c r="A148" s="14" t="s">
        <v>3629</v>
      </c>
      <c r="B148" s="14" t="s">
        <v>1859</v>
      </c>
      <c r="C148" s="14">
        <v>1.5</v>
      </c>
      <c r="D148" s="14">
        <f>ROUND(C148*(1+('Resilience &amp; Risk Scenario'!$B$7-3)*0.15),2)</f>
        <v>0.83</v>
      </c>
      <c r="E148" s="14" t="s">
        <v>10694</v>
      </c>
      <c r="F148" s="14" t="s">
        <v>10670</v>
      </c>
      <c r="G148" s="14" t="s">
        <v>10695</v>
      </c>
      <c r="H148" s="14" t="s">
        <v>10696</v>
      </c>
      <c r="I148" s="14" t="str">
        <f t="shared" si="2"/>
        <v>Pandemic / workforce disruption|Delivery Ops</v>
      </c>
      <c r="J148" s="14" t="s">
        <v>10673</v>
      </c>
      <c r="K148">
        <f>IFERROR(INDEX(_ENGINE_Crisis!$AH$292:$AS$303,MATCH('Resilience &amp; Risk Scenario'!$B$6,_ENGINE_Crisis!$AG$292:$AG$303,0),MATCH($A148,_ENGINE_Crisis!$AH$291:$AS$291,0)),0)</f>
        <v>0</v>
      </c>
    </row>
    <row r="149" spans="1:11" ht="28.5" customHeight="1">
      <c r="A149" s="14" t="s">
        <v>3629</v>
      </c>
      <c r="B149" s="14" t="s">
        <v>1987</v>
      </c>
      <c r="C149" s="14">
        <v>1.4</v>
      </c>
      <c r="D149" s="14">
        <f>ROUND(C149*(1+('Resilience &amp; Risk Scenario'!$B$7-3)*0.15),2)</f>
        <v>0.77</v>
      </c>
      <c r="E149" s="14" t="s">
        <v>10697</v>
      </c>
      <c r="F149" s="14" t="s">
        <v>10670</v>
      </c>
      <c r="G149" s="14" t="s">
        <v>10698</v>
      </c>
      <c r="H149" s="14" t="s">
        <v>10699</v>
      </c>
      <c r="I149" s="14" t="str">
        <f t="shared" si="2"/>
        <v>Pandemic / workforce disruption|Supply Chain</v>
      </c>
      <c r="J149" s="14" t="s">
        <v>10673</v>
      </c>
      <c r="K149">
        <f>IFERROR(INDEX(_ENGINE_Crisis!$AH$292:$AS$303,MATCH('Resilience &amp; Risk Scenario'!$B$6,_ENGINE_Crisis!$AG$292:$AG$303,0),MATCH($A149,_ENGINE_Crisis!$AH$291:$AS$291,0)),0)</f>
        <v>0</v>
      </c>
    </row>
    <row r="150" spans="1:11" ht="28.5" customHeight="1">
      <c r="A150" s="14" t="s">
        <v>3629</v>
      </c>
      <c r="B150" s="14" t="s">
        <v>2145</v>
      </c>
      <c r="C150" s="14">
        <v>1</v>
      </c>
      <c r="D150" s="14">
        <f>ROUND(C150*(1+('Resilience &amp; Risk Scenario'!$B$7-3)*0.15),2)</f>
        <v>0.55000000000000004</v>
      </c>
      <c r="E150" s="14" t="s">
        <v>10700</v>
      </c>
      <c r="F150" s="14" t="s">
        <v>10675</v>
      </c>
      <c r="G150" s="14" t="s">
        <v>10701</v>
      </c>
      <c r="H150" s="14" t="s">
        <v>10702</v>
      </c>
      <c r="I150" s="14" t="str">
        <f t="shared" si="2"/>
        <v>Pandemic / workforce disruption|Manufacturing MES</v>
      </c>
      <c r="J150" s="14" t="s">
        <v>10673</v>
      </c>
      <c r="K150">
        <f>IFERROR(INDEX(_ENGINE_Crisis!$AH$292:$AS$303,MATCH('Resilience &amp; Risk Scenario'!$B$6,_ENGINE_Crisis!$AG$292:$AG$303,0),MATCH($A150,_ENGINE_Crisis!$AH$291:$AS$291,0)),0)</f>
        <v>0</v>
      </c>
    </row>
    <row r="151" spans="1:11" ht="28.5" customHeight="1">
      <c r="A151" s="14" t="s">
        <v>3629</v>
      </c>
      <c r="B151" s="14" t="s">
        <v>2286</v>
      </c>
      <c r="C151" s="14">
        <v>1</v>
      </c>
      <c r="D151" s="14">
        <f>ROUND(C151*(1+('Resilience &amp; Risk Scenario'!$B$7-3)*0.15),2)</f>
        <v>0.55000000000000004</v>
      </c>
      <c r="E151" s="14" t="s">
        <v>10703</v>
      </c>
      <c r="F151" s="14" t="s">
        <v>10675</v>
      </c>
      <c r="G151" s="14" t="s">
        <v>10704</v>
      </c>
      <c r="H151" s="14" t="s">
        <v>10705</v>
      </c>
      <c r="I151" s="14" t="str">
        <f t="shared" si="2"/>
        <v>Pandemic / workforce disruption|Sales CRM</v>
      </c>
      <c r="J151" s="14" t="s">
        <v>10673</v>
      </c>
      <c r="K151">
        <f>IFERROR(INDEX(_ENGINE_Crisis!$AH$292:$AS$303,MATCH('Resilience &amp; Risk Scenario'!$B$6,_ENGINE_Crisis!$AG$292:$AG$303,0),MATCH($A151,_ENGINE_Crisis!$AH$291:$AS$291,0)),0)</f>
        <v>0</v>
      </c>
    </row>
    <row r="152" spans="1:11" ht="28.5" customHeight="1">
      <c r="A152" s="14" t="s">
        <v>3629</v>
      </c>
      <c r="B152" s="14" t="s">
        <v>2473</v>
      </c>
      <c r="C152" s="14">
        <v>1.2</v>
      </c>
      <c r="D152" s="14">
        <f>ROUND(C152*(1+('Resilience &amp; Risk Scenario'!$B$7-3)*0.15),2)</f>
        <v>0.66</v>
      </c>
      <c r="E152" s="14" t="s">
        <v>10706</v>
      </c>
      <c r="F152" s="14" t="s">
        <v>10675</v>
      </c>
      <c r="G152" s="14" t="s">
        <v>10707</v>
      </c>
      <c r="H152" s="14" t="s">
        <v>10708</v>
      </c>
      <c r="I152" s="14" t="str">
        <f t="shared" si="2"/>
        <v>Pandemic / workforce disruption|Marketing Comms</v>
      </c>
      <c r="J152" s="14" t="s">
        <v>10673</v>
      </c>
      <c r="K152">
        <f>IFERROR(INDEX(_ENGINE_Crisis!$AH$292:$AS$303,MATCH('Resilience &amp; Risk Scenario'!$B$6,_ENGINE_Crisis!$AG$292:$AG$303,0),MATCH($A152,_ENGINE_Crisis!$AH$291:$AS$291,0)),0)</f>
        <v>0</v>
      </c>
    </row>
    <row r="153" spans="1:11" ht="28.5" customHeight="1">
      <c r="A153" s="14" t="s">
        <v>3629</v>
      </c>
      <c r="B153" s="14" t="s">
        <v>2588</v>
      </c>
      <c r="C153" s="14">
        <v>1.4</v>
      </c>
      <c r="D153" s="14">
        <f>ROUND(C153*(1+('Resilience &amp; Risk Scenario'!$B$7-3)*0.15),2)</f>
        <v>0.77</v>
      </c>
      <c r="E153" s="14" t="s">
        <v>10709</v>
      </c>
      <c r="F153" s="14" t="s">
        <v>10670</v>
      </c>
      <c r="G153" s="14" t="s">
        <v>10710</v>
      </c>
      <c r="H153" s="14" t="s">
        <v>10711</v>
      </c>
      <c r="I153" s="14" t="str">
        <f t="shared" si="2"/>
        <v>Pandemic / workforce disruption|IT Cloud DR</v>
      </c>
      <c r="J153" s="14" t="s">
        <v>10673</v>
      </c>
      <c r="K153">
        <f>IFERROR(INDEX(_ENGINE_Crisis!$AH$292:$AS$303,MATCH('Resilience &amp; Risk Scenario'!$B$6,_ENGINE_Crisis!$AG$292:$AG$303,0),MATCH($A153,_ENGINE_Crisis!$AH$291:$AS$291,0)),0)</f>
        <v>0</v>
      </c>
    </row>
    <row r="154" spans="1:11" ht="28.5" customHeight="1">
      <c r="A154" s="14" t="s">
        <v>3629</v>
      </c>
      <c r="B154" s="14" t="s">
        <v>2729</v>
      </c>
      <c r="C154" s="14">
        <v>1.2</v>
      </c>
      <c r="D154" s="14">
        <f>ROUND(C154*(1+('Resilience &amp; Risk Scenario'!$B$7-3)*0.15),2)</f>
        <v>0.66</v>
      </c>
      <c r="E154" s="14" t="s">
        <v>10712</v>
      </c>
      <c r="F154" s="14" t="s">
        <v>10675</v>
      </c>
      <c r="G154" s="14" t="s">
        <v>10713</v>
      </c>
      <c r="H154" s="14" t="s">
        <v>10714</v>
      </c>
      <c r="I154" s="14" t="str">
        <f t="shared" si="2"/>
        <v>Pandemic / workforce disruption|Business Systems</v>
      </c>
      <c r="J154" s="14" t="s">
        <v>10673</v>
      </c>
      <c r="K154">
        <f>IFERROR(INDEX(_ENGINE_Crisis!$AH$292:$AS$303,MATCH('Resilience &amp; Risk Scenario'!$B$6,_ENGINE_Crisis!$AG$292:$AG$303,0),MATCH($A154,_ENGINE_Crisis!$AH$291:$AS$291,0)),0)</f>
        <v>0</v>
      </c>
    </row>
    <row r="155" spans="1:11" ht="28.5" customHeight="1">
      <c r="A155" s="14" t="s">
        <v>3629</v>
      </c>
      <c r="B155" s="14" t="s">
        <v>2824</v>
      </c>
      <c r="C155" s="14">
        <v>1</v>
      </c>
      <c r="D155" s="14">
        <f>ROUND(C155*(1+('Resilience &amp; Risk Scenario'!$B$7-3)*0.15),2)</f>
        <v>0.55000000000000004</v>
      </c>
      <c r="E155" s="14" t="s">
        <v>10715</v>
      </c>
      <c r="F155" s="14" t="s">
        <v>10675</v>
      </c>
      <c r="G155" s="14" t="s">
        <v>10716</v>
      </c>
      <c r="H155" s="14" t="s">
        <v>10717</v>
      </c>
      <c r="I155" s="14" t="str">
        <f t="shared" si="2"/>
        <v>Pandemic / workforce disruption|Data BI AI</v>
      </c>
      <c r="J155" s="14" t="s">
        <v>10673</v>
      </c>
      <c r="K155">
        <f>IFERROR(INDEX(_ENGINE_Crisis!$AH$292:$AS$303,MATCH('Resilience &amp; Risk Scenario'!$B$6,_ENGINE_Crisis!$AG$292:$AG$303,0),MATCH($A155,_ENGINE_Crisis!$AH$291:$AS$291,0)),0)</f>
        <v>0</v>
      </c>
    </row>
    <row r="156" spans="1:11" ht="28.5" customHeight="1">
      <c r="A156" s="14" t="s">
        <v>3629</v>
      </c>
      <c r="B156" s="14" t="s">
        <v>2986</v>
      </c>
      <c r="C156" s="14">
        <v>1</v>
      </c>
      <c r="D156" s="14">
        <f>ROUND(C156*(1+('Resilience &amp; Risk Scenario'!$B$7-3)*0.15),2)</f>
        <v>0.55000000000000004</v>
      </c>
      <c r="E156" s="14" t="s">
        <v>10718</v>
      </c>
      <c r="F156" s="14" t="s">
        <v>10675</v>
      </c>
      <c r="G156" s="14" t="s">
        <v>10719</v>
      </c>
      <c r="H156" s="14" t="s">
        <v>10720</v>
      </c>
      <c r="I156" s="14" t="str">
        <f t="shared" si="2"/>
        <v>Pandemic / workforce disruption|Cyber Privacy</v>
      </c>
      <c r="J156" s="14" t="s">
        <v>10673</v>
      </c>
      <c r="K156">
        <f>IFERROR(INDEX(_ENGINE_Crisis!$AH$292:$AS$303,MATCH('Resilience &amp; Risk Scenario'!$B$6,_ENGINE_Crisis!$AG$292:$AG$303,0),MATCH($A156,_ENGINE_Crisis!$AH$291:$AS$291,0)),0)</f>
        <v>0</v>
      </c>
    </row>
    <row r="157" spans="1:11" ht="28.5" customHeight="1">
      <c r="A157" s="14" t="s">
        <v>3629</v>
      </c>
      <c r="B157" s="14" t="s">
        <v>3204</v>
      </c>
      <c r="C157" s="14">
        <v>1</v>
      </c>
      <c r="D157" s="14">
        <f>ROUND(C157*(1+('Resilience &amp; Risk Scenario'!$B$7-3)*0.15),2)</f>
        <v>0.55000000000000004</v>
      </c>
      <c r="E157" s="14" t="s">
        <v>10721</v>
      </c>
      <c r="F157" s="14" t="s">
        <v>10675</v>
      </c>
      <c r="G157" s="14" t="s">
        <v>10722</v>
      </c>
      <c r="H157" s="14" t="s">
        <v>10723</v>
      </c>
      <c r="I157" s="14" t="str">
        <f t="shared" si="2"/>
        <v>Pandemic / workforce disruption|Quality Portfolio</v>
      </c>
      <c r="J157" s="14" t="s">
        <v>10673</v>
      </c>
      <c r="K157">
        <f>IFERROR(INDEX(_ENGINE_Crisis!$AH$292:$AS$303,MATCH('Resilience &amp; Risk Scenario'!$B$6,_ENGINE_Crisis!$AG$292:$AG$303,0),MATCH($A157,_ENGINE_Crisis!$AH$291:$AS$291,0)),0)</f>
        <v>0</v>
      </c>
    </row>
    <row r="158" spans="1:11" ht="28.5" customHeight="1">
      <c r="A158" s="14" t="s">
        <v>3632</v>
      </c>
      <c r="B158" s="14" t="s">
        <v>815</v>
      </c>
      <c r="C158" s="14">
        <v>1</v>
      </c>
      <c r="D158" s="14">
        <f>ROUND(C158*(1+('Resilience &amp; Risk Scenario'!$B$7-3)*0.15),2)</f>
        <v>0.55000000000000004</v>
      </c>
      <c r="E158" s="14" t="s">
        <v>10669</v>
      </c>
      <c r="F158" s="14" t="s">
        <v>10675</v>
      </c>
      <c r="G158" s="14" t="s">
        <v>10671</v>
      </c>
      <c r="H158" s="14" t="s">
        <v>10672</v>
      </c>
      <c r="I158" s="14" t="str">
        <f t="shared" si="2"/>
        <v>Regulatory / compliance shock|Company Geography</v>
      </c>
      <c r="J158" s="14" t="s">
        <v>10673</v>
      </c>
      <c r="K158">
        <f>IFERROR(INDEX(_ENGINE_Crisis!$AH$292:$AS$303,MATCH('Resilience &amp; Risk Scenario'!$B$6,_ENGINE_Crisis!$AG$292:$AG$303,0),MATCH($A158,_ENGINE_Crisis!$AH$291:$AS$291,0)),0)</f>
        <v>0</v>
      </c>
    </row>
    <row r="159" spans="1:11" ht="28.5" customHeight="1">
      <c r="A159" s="14" t="s">
        <v>3632</v>
      </c>
      <c r="B159" s="14" t="s">
        <v>949</v>
      </c>
      <c r="C159" s="14">
        <v>1.2</v>
      </c>
      <c r="D159" s="14">
        <f>ROUND(C159*(1+('Resilience &amp; Risk Scenario'!$B$7-3)*0.15),2)</f>
        <v>0.66</v>
      </c>
      <c r="E159" s="14" t="s">
        <v>10674</v>
      </c>
      <c r="F159" s="14" t="s">
        <v>10675</v>
      </c>
      <c r="G159" s="14" t="s">
        <v>10676</v>
      </c>
      <c r="H159" s="14" t="s">
        <v>10677</v>
      </c>
      <c r="I159" s="14" t="str">
        <f t="shared" si="2"/>
        <v>Regulatory / compliance shock|Strategy GTM</v>
      </c>
      <c r="J159" s="14" t="s">
        <v>10673</v>
      </c>
      <c r="K159">
        <f>IFERROR(INDEX(_ENGINE_Crisis!$AH$292:$AS$303,MATCH('Resilience &amp; Risk Scenario'!$B$6,_ENGINE_Crisis!$AG$292:$AG$303,0),MATCH($A159,_ENGINE_Crisis!$AH$291:$AS$291,0)),0)</f>
        <v>0</v>
      </c>
    </row>
    <row r="160" spans="1:11" ht="28.5" customHeight="1">
      <c r="A160" s="14" t="s">
        <v>3632</v>
      </c>
      <c r="B160" s="14" t="s">
        <v>1150</v>
      </c>
      <c r="C160" s="14">
        <v>1.3</v>
      </c>
      <c r="D160" s="14">
        <f>ROUND(C160*(1+('Resilience &amp; Risk Scenario'!$B$7-3)*0.15),2)</f>
        <v>0.72</v>
      </c>
      <c r="E160" s="14" t="s">
        <v>10678</v>
      </c>
      <c r="F160" s="14" t="s">
        <v>10670</v>
      </c>
      <c r="G160" s="14" t="s">
        <v>10679</v>
      </c>
      <c r="H160" s="14" t="s">
        <v>10680</v>
      </c>
      <c r="I160" s="14" t="str">
        <f t="shared" si="2"/>
        <v>Regulatory / compliance shock|Governance Crisis</v>
      </c>
      <c r="J160" s="14" t="s">
        <v>10673</v>
      </c>
      <c r="K160">
        <f>IFERROR(INDEX(_ENGINE_Crisis!$AH$292:$AS$303,MATCH('Resilience &amp; Risk Scenario'!$B$6,_ENGINE_Crisis!$AG$292:$AG$303,0),MATCH($A160,_ENGINE_Crisis!$AH$291:$AS$291,0)),0)</f>
        <v>0</v>
      </c>
    </row>
    <row r="161" spans="1:11" ht="28.5" customHeight="1">
      <c r="A161" s="14" t="s">
        <v>3632</v>
      </c>
      <c r="B161" s="14" t="s">
        <v>1259</v>
      </c>
      <c r="C161" s="14">
        <v>1</v>
      </c>
      <c r="D161" s="14">
        <f>ROUND(C161*(1+('Resilience &amp; Risk Scenario'!$B$7-3)*0.15),2)</f>
        <v>0.55000000000000004</v>
      </c>
      <c r="E161" s="14" t="s">
        <v>10681</v>
      </c>
      <c r="F161" s="14" t="s">
        <v>10675</v>
      </c>
      <c r="G161" s="14" t="s">
        <v>10683</v>
      </c>
      <c r="H161" s="14" t="s">
        <v>10684</v>
      </c>
      <c r="I161" s="14" t="str">
        <f t="shared" si="2"/>
        <v>Regulatory / compliance shock|HR Workforce</v>
      </c>
      <c r="J161" s="14" t="s">
        <v>10673</v>
      </c>
      <c r="K161">
        <f>IFERROR(INDEX(_ENGINE_Crisis!$AH$292:$AS$303,MATCH('Resilience &amp; Risk Scenario'!$B$6,_ENGINE_Crisis!$AG$292:$AG$303,0),MATCH($A161,_ENGINE_Crisis!$AH$291:$AS$291,0)),0)</f>
        <v>0</v>
      </c>
    </row>
    <row r="162" spans="1:11" ht="28.5" customHeight="1">
      <c r="A162" s="14" t="s">
        <v>3632</v>
      </c>
      <c r="B162" s="14" t="s">
        <v>1401</v>
      </c>
      <c r="C162" s="14">
        <v>1.4</v>
      </c>
      <c r="D162" s="14">
        <f>ROUND(C162*(1+('Resilience &amp; Risk Scenario'!$B$7-3)*0.15),2)</f>
        <v>0.77</v>
      </c>
      <c r="E162" s="14" t="s">
        <v>10685</v>
      </c>
      <c r="F162" s="14" t="s">
        <v>10670</v>
      </c>
      <c r="G162" s="14" t="s">
        <v>10686</v>
      </c>
      <c r="H162" s="14" t="s">
        <v>10687</v>
      </c>
      <c r="I162" s="14" t="str">
        <f t="shared" si="2"/>
        <v>Regulatory / compliance shock|Finance Procurement</v>
      </c>
      <c r="J162" s="14" t="s">
        <v>10673</v>
      </c>
      <c r="K162">
        <f>IFERROR(INDEX(_ENGINE_Crisis!$AH$292:$AS$303,MATCH('Resilience &amp; Risk Scenario'!$B$6,_ENGINE_Crisis!$AG$292:$AG$303,0),MATCH($A162,_ENGINE_Crisis!$AH$291:$AS$291,0)),0)</f>
        <v>0</v>
      </c>
    </row>
    <row r="163" spans="1:11" ht="28.5" customHeight="1">
      <c r="A163" s="14" t="s">
        <v>3632</v>
      </c>
      <c r="B163" s="14" t="s">
        <v>1551</v>
      </c>
      <c r="C163" s="14">
        <v>2</v>
      </c>
      <c r="D163" s="14">
        <f>ROUND(C163*(1+('Resilience &amp; Risk Scenario'!$B$7-3)*0.15),2)</f>
        <v>1.1000000000000001</v>
      </c>
      <c r="E163" s="14" t="s">
        <v>10688</v>
      </c>
      <c r="F163" s="14" t="s">
        <v>10682</v>
      </c>
      <c r="G163" s="14" t="s">
        <v>10689</v>
      </c>
      <c r="H163" s="14" t="s">
        <v>10690</v>
      </c>
      <c r="I163" s="14" t="str">
        <f t="shared" si="2"/>
        <v>Regulatory / compliance shock|Legal Risk</v>
      </c>
      <c r="J163" s="14" t="s">
        <v>10673</v>
      </c>
      <c r="K163">
        <f>IFERROR(INDEX(_ENGINE_Crisis!$AH$292:$AS$303,MATCH('Resilience &amp; Risk Scenario'!$B$6,_ENGINE_Crisis!$AG$292:$AG$303,0),MATCH($A163,_ENGINE_Crisis!$AH$291:$AS$291,0)),0)</f>
        <v>0</v>
      </c>
    </row>
    <row r="164" spans="1:11" ht="28.5" customHeight="1">
      <c r="A164" s="14" t="s">
        <v>3632</v>
      </c>
      <c r="B164" s="14" t="s">
        <v>1666</v>
      </c>
      <c r="C164" s="14">
        <v>1</v>
      </c>
      <c r="D164" s="14">
        <f>ROUND(C164*(1+('Resilience &amp; Risk Scenario'!$B$7-3)*0.15),2)</f>
        <v>0.55000000000000004</v>
      </c>
      <c r="E164" s="14" t="s">
        <v>10691</v>
      </c>
      <c r="F164" s="14" t="s">
        <v>10675</v>
      </c>
      <c r="G164" s="14" t="s">
        <v>10692</v>
      </c>
      <c r="H164" s="14" t="s">
        <v>10693</v>
      </c>
      <c r="I164" s="14" t="str">
        <f t="shared" si="2"/>
        <v>Regulatory / compliance shock|Physical Safety</v>
      </c>
      <c r="J164" s="14" t="s">
        <v>10673</v>
      </c>
      <c r="K164">
        <f>IFERROR(INDEX(_ENGINE_Crisis!$AH$292:$AS$303,MATCH('Resilience &amp; Risk Scenario'!$B$6,_ENGINE_Crisis!$AG$292:$AG$303,0),MATCH($A164,_ENGINE_Crisis!$AH$291:$AS$291,0)),0)</f>
        <v>0</v>
      </c>
    </row>
    <row r="165" spans="1:11" ht="28.5" customHeight="1">
      <c r="A165" s="14" t="s">
        <v>3632</v>
      </c>
      <c r="B165" s="14" t="s">
        <v>1859</v>
      </c>
      <c r="C165" s="14">
        <v>1</v>
      </c>
      <c r="D165" s="14">
        <f>ROUND(C165*(1+('Resilience &amp; Risk Scenario'!$B$7-3)*0.15),2)</f>
        <v>0.55000000000000004</v>
      </c>
      <c r="E165" s="14" t="s">
        <v>10694</v>
      </c>
      <c r="F165" s="14" t="s">
        <v>10675</v>
      </c>
      <c r="G165" s="14" t="s">
        <v>10695</v>
      </c>
      <c r="H165" s="14" t="s">
        <v>10696</v>
      </c>
      <c r="I165" s="14" t="str">
        <f t="shared" si="2"/>
        <v>Regulatory / compliance shock|Delivery Ops</v>
      </c>
      <c r="J165" s="14" t="s">
        <v>10673</v>
      </c>
      <c r="K165">
        <f>IFERROR(INDEX(_ENGINE_Crisis!$AH$292:$AS$303,MATCH('Resilience &amp; Risk Scenario'!$B$6,_ENGINE_Crisis!$AG$292:$AG$303,0),MATCH($A165,_ENGINE_Crisis!$AH$291:$AS$291,0)),0)</f>
        <v>0</v>
      </c>
    </row>
    <row r="166" spans="1:11" ht="28.5" customHeight="1">
      <c r="A166" s="14" t="s">
        <v>3632</v>
      </c>
      <c r="B166" s="14" t="s">
        <v>1987</v>
      </c>
      <c r="C166" s="14">
        <v>1</v>
      </c>
      <c r="D166" s="14">
        <f>ROUND(C166*(1+('Resilience &amp; Risk Scenario'!$B$7-3)*0.15),2)</f>
        <v>0.55000000000000004</v>
      </c>
      <c r="E166" s="14" t="s">
        <v>10697</v>
      </c>
      <c r="F166" s="14" t="s">
        <v>10675</v>
      </c>
      <c r="G166" s="14" t="s">
        <v>10698</v>
      </c>
      <c r="H166" s="14" t="s">
        <v>10699</v>
      </c>
      <c r="I166" s="14" t="str">
        <f t="shared" si="2"/>
        <v>Regulatory / compliance shock|Supply Chain</v>
      </c>
      <c r="J166" s="14" t="s">
        <v>10673</v>
      </c>
      <c r="K166">
        <f>IFERROR(INDEX(_ENGINE_Crisis!$AH$292:$AS$303,MATCH('Resilience &amp; Risk Scenario'!$B$6,_ENGINE_Crisis!$AG$292:$AG$303,0),MATCH($A166,_ENGINE_Crisis!$AH$291:$AS$291,0)),0)</f>
        <v>0</v>
      </c>
    </row>
    <row r="167" spans="1:11" ht="28.5" customHeight="1">
      <c r="A167" s="14" t="s">
        <v>3632</v>
      </c>
      <c r="B167" s="14" t="s">
        <v>2145</v>
      </c>
      <c r="C167" s="14">
        <v>1</v>
      </c>
      <c r="D167" s="14">
        <f>ROUND(C167*(1+('Resilience &amp; Risk Scenario'!$B$7-3)*0.15),2)</f>
        <v>0.55000000000000004</v>
      </c>
      <c r="E167" s="14" t="s">
        <v>10700</v>
      </c>
      <c r="F167" s="14" t="s">
        <v>10675</v>
      </c>
      <c r="G167" s="14" t="s">
        <v>10701</v>
      </c>
      <c r="H167" s="14" t="s">
        <v>10702</v>
      </c>
      <c r="I167" s="14" t="str">
        <f t="shared" si="2"/>
        <v>Regulatory / compliance shock|Manufacturing MES</v>
      </c>
      <c r="J167" s="14" t="s">
        <v>10673</v>
      </c>
      <c r="K167">
        <f>IFERROR(INDEX(_ENGINE_Crisis!$AH$292:$AS$303,MATCH('Resilience &amp; Risk Scenario'!$B$6,_ENGINE_Crisis!$AG$292:$AG$303,0),MATCH($A167,_ENGINE_Crisis!$AH$291:$AS$291,0)),0)</f>
        <v>0</v>
      </c>
    </row>
    <row r="168" spans="1:11" ht="28.5" customHeight="1">
      <c r="A168" s="14" t="s">
        <v>3632</v>
      </c>
      <c r="B168" s="14" t="s">
        <v>2286</v>
      </c>
      <c r="C168" s="14">
        <v>1</v>
      </c>
      <c r="D168" s="14">
        <f>ROUND(C168*(1+('Resilience &amp; Risk Scenario'!$B$7-3)*0.15),2)</f>
        <v>0.55000000000000004</v>
      </c>
      <c r="E168" s="14" t="s">
        <v>10703</v>
      </c>
      <c r="F168" s="14" t="s">
        <v>10675</v>
      </c>
      <c r="G168" s="14" t="s">
        <v>10704</v>
      </c>
      <c r="H168" s="14" t="s">
        <v>10705</v>
      </c>
      <c r="I168" s="14" t="str">
        <f t="shared" si="2"/>
        <v>Regulatory / compliance shock|Sales CRM</v>
      </c>
      <c r="J168" s="14" t="s">
        <v>10673</v>
      </c>
      <c r="K168">
        <f>IFERROR(INDEX(_ENGINE_Crisis!$AH$292:$AS$303,MATCH('Resilience &amp; Risk Scenario'!$B$6,_ENGINE_Crisis!$AG$292:$AG$303,0),MATCH($A168,_ENGINE_Crisis!$AH$291:$AS$291,0)),0)</f>
        <v>0</v>
      </c>
    </row>
    <row r="169" spans="1:11" ht="28.5" customHeight="1">
      <c r="A169" s="14" t="s">
        <v>3632</v>
      </c>
      <c r="B169" s="14" t="s">
        <v>2473</v>
      </c>
      <c r="C169" s="14">
        <v>1.2</v>
      </c>
      <c r="D169" s="14">
        <f>ROUND(C169*(1+('Resilience &amp; Risk Scenario'!$B$7-3)*0.15),2)</f>
        <v>0.66</v>
      </c>
      <c r="E169" s="14" t="s">
        <v>10706</v>
      </c>
      <c r="F169" s="14" t="s">
        <v>10675</v>
      </c>
      <c r="G169" s="14" t="s">
        <v>10707</v>
      </c>
      <c r="H169" s="14" t="s">
        <v>10708</v>
      </c>
      <c r="I169" s="14" t="str">
        <f t="shared" si="2"/>
        <v>Regulatory / compliance shock|Marketing Comms</v>
      </c>
      <c r="J169" s="14" t="s">
        <v>10673</v>
      </c>
      <c r="K169">
        <f>IFERROR(INDEX(_ENGINE_Crisis!$AH$292:$AS$303,MATCH('Resilience &amp; Risk Scenario'!$B$6,_ENGINE_Crisis!$AG$292:$AG$303,0),MATCH($A169,_ENGINE_Crisis!$AH$291:$AS$291,0)),0)</f>
        <v>0</v>
      </c>
    </row>
    <row r="170" spans="1:11" ht="28.5" customHeight="1">
      <c r="A170" s="14" t="s">
        <v>3632</v>
      </c>
      <c r="B170" s="14" t="s">
        <v>2588</v>
      </c>
      <c r="C170" s="14">
        <v>1</v>
      </c>
      <c r="D170" s="14">
        <f>ROUND(C170*(1+('Resilience &amp; Risk Scenario'!$B$7-3)*0.15),2)</f>
        <v>0.55000000000000004</v>
      </c>
      <c r="E170" s="14" t="s">
        <v>10709</v>
      </c>
      <c r="F170" s="14" t="s">
        <v>10675</v>
      </c>
      <c r="G170" s="14" t="s">
        <v>10710</v>
      </c>
      <c r="H170" s="14" t="s">
        <v>10711</v>
      </c>
      <c r="I170" s="14" t="str">
        <f t="shared" si="2"/>
        <v>Regulatory / compliance shock|IT Cloud DR</v>
      </c>
      <c r="J170" s="14" t="s">
        <v>10673</v>
      </c>
      <c r="K170">
        <f>IFERROR(INDEX(_ENGINE_Crisis!$AH$292:$AS$303,MATCH('Resilience &amp; Risk Scenario'!$B$6,_ENGINE_Crisis!$AG$292:$AG$303,0),MATCH($A170,_ENGINE_Crisis!$AH$291:$AS$291,0)),0)</f>
        <v>0</v>
      </c>
    </row>
    <row r="171" spans="1:11" ht="28.5" customHeight="1">
      <c r="A171" s="14" t="s">
        <v>3632</v>
      </c>
      <c r="B171" s="14" t="s">
        <v>2729</v>
      </c>
      <c r="C171" s="14">
        <v>1.2</v>
      </c>
      <c r="D171" s="14">
        <f>ROUND(C171*(1+('Resilience &amp; Risk Scenario'!$B$7-3)*0.15),2)</f>
        <v>0.66</v>
      </c>
      <c r="E171" s="14" t="s">
        <v>10712</v>
      </c>
      <c r="F171" s="14" t="s">
        <v>10675</v>
      </c>
      <c r="G171" s="14" t="s">
        <v>10713</v>
      </c>
      <c r="H171" s="14" t="s">
        <v>10714</v>
      </c>
      <c r="I171" s="14" t="str">
        <f t="shared" si="2"/>
        <v>Regulatory / compliance shock|Business Systems</v>
      </c>
      <c r="J171" s="14" t="s">
        <v>10673</v>
      </c>
      <c r="K171">
        <f>IFERROR(INDEX(_ENGINE_Crisis!$AH$292:$AS$303,MATCH('Resilience &amp; Risk Scenario'!$B$6,_ENGINE_Crisis!$AG$292:$AG$303,0),MATCH($A171,_ENGINE_Crisis!$AH$291:$AS$291,0)),0)</f>
        <v>0</v>
      </c>
    </row>
    <row r="172" spans="1:11" ht="28.5" customHeight="1">
      <c r="A172" s="14" t="s">
        <v>3632</v>
      </c>
      <c r="B172" s="14" t="s">
        <v>2824</v>
      </c>
      <c r="C172" s="14">
        <v>1.4</v>
      </c>
      <c r="D172" s="14">
        <f>ROUND(C172*(1+('Resilience &amp; Risk Scenario'!$B$7-3)*0.15),2)</f>
        <v>0.77</v>
      </c>
      <c r="E172" s="14" t="s">
        <v>10715</v>
      </c>
      <c r="F172" s="14" t="s">
        <v>10670</v>
      </c>
      <c r="G172" s="14" t="s">
        <v>10716</v>
      </c>
      <c r="H172" s="14" t="s">
        <v>10717</v>
      </c>
      <c r="I172" s="14" t="str">
        <f t="shared" si="2"/>
        <v>Regulatory / compliance shock|Data BI AI</v>
      </c>
      <c r="J172" s="14" t="s">
        <v>10673</v>
      </c>
      <c r="K172">
        <f>IFERROR(INDEX(_ENGINE_Crisis!$AH$292:$AS$303,MATCH('Resilience &amp; Risk Scenario'!$B$6,_ENGINE_Crisis!$AG$292:$AG$303,0),MATCH($A172,_ENGINE_Crisis!$AH$291:$AS$291,0)),0)</f>
        <v>0</v>
      </c>
    </row>
    <row r="173" spans="1:11" ht="28.5" customHeight="1">
      <c r="A173" s="14" t="s">
        <v>3632</v>
      </c>
      <c r="B173" s="14" t="s">
        <v>2986</v>
      </c>
      <c r="C173" s="14">
        <v>1.6</v>
      </c>
      <c r="D173" s="14">
        <f>ROUND(C173*(1+('Resilience &amp; Risk Scenario'!$B$7-3)*0.15),2)</f>
        <v>0.88</v>
      </c>
      <c r="E173" s="14" t="s">
        <v>10718</v>
      </c>
      <c r="F173" s="14" t="s">
        <v>10670</v>
      </c>
      <c r="G173" s="14" t="s">
        <v>10719</v>
      </c>
      <c r="H173" s="14" t="s">
        <v>10720</v>
      </c>
      <c r="I173" s="14" t="str">
        <f t="shared" si="2"/>
        <v>Regulatory / compliance shock|Cyber Privacy</v>
      </c>
      <c r="J173" s="14" t="s">
        <v>10673</v>
      </c>
      <c r="K173">
        <f>IFERROR(INDEX(_ENGINE_Crisis!$AH$292:$AS$303,MATCH('Resilience &amp; Risk Scenario'!$B$6,_ENGINE_Crisis!$AG$292:$AG$303,0),MATCH($A173,_ENGINE_Crisis!$AH$291:$AS$291,0)),0)</f>
        <v>0</v>
      </c>
    </row>
    <row r="174" spans="1:11" ht="28.5" customHeight="1">
      <c r="A174" s="14" t="s">
        <v>3632</v>
      </c>
      <c r="B174" s="14" t="s">
        <v>3204</v>
      </c>
      <c r="C174" s="14">
        <v>1</v>
      </c>
      <c r="D174" s="14">
        <f>ROUND(C174*(1+('Resilience &amp; Risk Scenario'!$B$7-3)*0.15),2)</f>
        <v>0.55000000000000004</v>
      </c>
      <c r="E174" s="14" t="s">
        <v>10721</v>
      </c>
      <c r="F174" s="14" t="s">
        <v>10675</v>
      </c>
      <c r="G174" s="14" t="s">
        <v>10722</v>
      </c>
      <c r="H174" s="14" t="s">
        <v>10723</v>
      </c>
      <c r="I174" s="14" t="str">
        <f t="shared" si="2"/>
        <v>Regulatory / compliance shock|Quality Portfolio</v>
      </c>
      <c r="J174" s="14" t="s">
        <v>10673</v>
      </c>
      <c r="K174">
        <f>IFERROR(INDEX(_ENGINE_Crisis!$AH$292:$AS$303,MATCH('Resilience &amp; Risk Scenario'!$B$6,_ENGINE_Crisis!$AG$292:$AG$303,0),MATCH($A174,_ENGINE_Crisis!$AH$291:$AS$291,0)),0)</f>
        <v>0</v>
      </c>
    </row>
    <row r="175" spans="1:11" ht="28.5" customHeight="1">
      <c r="A175" s="14" t="s">
        <v>3635</v>
      </c>
      <c r="B175" s="14" t="s">
        <v>815</v>
      </c>
      <c r="C175" s="14">
        <v>1</v>
      </c>
      <c r="D175" s="14">
        <f>ROUND(C175*(1+('Resilience &amp; Risk Scenario'!$B$7-3)*0.15),2)</f>
        <v>0.55000000000000004</v>
      </c>
      <c r="E175" s="14" t="s">
        <v>10669</v>
      </c>
      <c r="F175" s="14" t="s">
        <v>10675</v>
      </c>
      <c r="G175" s="14" t="s">
        <v>10671</v>
      </c>
      <c r="H175" s="14" t="s">
        <v>10672</v>
      </c>
      <c r="I175" s="14" t="str">
        <f t="shared" si="2"/>
        <v>Reputation crisis|Company Geography</v>
      </c>
      <c r="J175" s="14" t="s">
        <v>10673</v>
      </c>
      <c r="K175">
        <f>IFERROR(INDEX(_ENGINE_Crisis!$AH$292:$AS$303,MATCH('Resilience &amp; Risk Scenario'!$B$6,_ENGINE_Crisis!$AG$292:$AG$303,0),MATCH($A175,_ENGINE_Crisis!$AH$291:$AS$291,0)),0)</f>
        <v>0</v>
      </c>
    </row>
    <row r="176" spans="1:11" ht="28.5" customHeight="1">
      <c r="A176" s="14" t="s">
        <v>3635</v>
      </c>
      <c r="B176" s="14" t="s">
        <v>949</v>
      </c>
      <c r="C176" s="14">
        <v>1.3</v>
      </c>
      <c r="D176" s="14">
        <f>ROUND(C176*(1+('Resilience &amp; Risk Scenario'!$B$7-3)*0.15),2)</f>
        <v>0.72</v>
      </c>
      <c r="E176" s="14" t="s">
        <v>10674</v>
      </c>
      <c r="F176" s="14" t="s">
        <v>10670</v>
      </c>
      <c r="G176" s="14" t="s">
        <v>10676</v>
      </c>
      <c r="H176" s="14" t="s">
        <v>10677</v>
      </c>
      <c r="I176" s="14" t="str">
        <f t="shared" si="2"/>
        <v>Reputation crisis|Strategy GTM</v>
      </c>
      <c r="J176" s="14" t="s">
        <v>10673</v>
      </c>
      <c r="K176">
        <f>IFERROR(INDEX(_ENGINE_Crisis!$AH$292:$AS$303,MATCH('Resilience &amp; Risk Scenario'!$B$6,_ENGINE_Crisis!$AG$292:$AG$303,0),MATCH($A176,_ENGINE_Crisis!$AH$291:$AS$291,0)),0)</f>
        <v>0</v>
      </c>
    </row>
    <row r="177" spans="1:11" ht="28.5" customHeight="1">
      <c r="A177" s="14" t="s">
        <v>3635</v>
      </c>
      <c r="B177" s="14" t="s">
        <v>1150</v>
      </c>
      <c r="C177" s="14">
        <v>1.5</v>
      </c>
      <c r="D177" s="14">
        <f>ROUND(C177*(1+('Resilience &amp; Risk Scenario'!$B$7-3)*0.15),2)</f>
        <v>0.83</v>
      </c>
      <c r="E177" s="14" t="s">
        <v>10678</v>
      </c>
      <c r="F177" s="14" t="s">
        <v>10670</v>
      </c>
      <c r="G177" s="14" t="s">
        <v>10679</v>
      </c>
      <c r="H177" s="14" t="s">
        <v>10680</v>
      </c>
      <c r="I177" s="14" t="str">
        <f t="shared" si="2"/>
        <v>Reputation crisis|Governance Crisis</v>
      </c>
      <c r="J177" s="14" t="s">
        <v>10673</v>
      </c>
      <c r="K177">
        <f>IFERROR(INDEX(_ENGINE_Crisis!$AH$292:$AS$303,MATCH('Resilience &amp; Risk Scenario'!$B$6,_ENGINE_Crisis!$AG$292:$AG$303,0),MATCH($A177,_ENGINE_Crisis!$AH$291:$AS$291,0)),0)</f>
        <v>0</v>
      </c>
    </row>
    <row r="178" spans="1:11" ht="28.5" customHeight="1">
      <c r="A178" s="14" t="s">
        <v>3635</v>
      </c>
      <c r="B178" s="14" t="s">
        <v>1259</v>
      </c>
      <c r="C178" s="14">
        <v>1.2</v>
      </c>
      <c r="D178" s="14">
        <f>ROUND(C178*(1+('Resilience &amp; Risk Scenario'!$B$7-3)*0.15),2)</f>
        <v>0.66</v>
      </c>
      <c r="E178" s="14" t="s">
        <v>10681</v>
      </c>
      <c r="F178" s="14" t="s">
        <v>10675</v>
      </c>
      <c r="G178" s="14" t="s">
        <v>10683</v>
      </c>
      <c r="H178" s="14" t="s">
        <v>10684</v>
      </c>
      <c r="I178" s="14" t="str">
        <f t="shared" si="2"/>
        <v>Reputation crisis|HR Workforce</v>
      </c>
      <c r="J178" s="14" t="s">
        <v>10673</v>
      </c>
      <c r="K178">
        <f>IFERROR(INDEX(_ENGINE_Crisis!$AH$292:$AS$303,MATCH('Resilience &amp; Risk Scenario'!$B$6,_ENGINE_Crisis!$AG$292:$AG$303,0),MATCH($A178,_ENGINE_Crisis!$AH$291:$AS$291,0)),0)</f>
        <v>0</v>
      </c>
    </row>
    <row r="179" spans="1:11" ht="28.5" customHeight="1">
      <c r="A179" s="14" t="s">
        <v>3635</v>
      </c>
      <c r="B179" s="14" t="s">
        <v>1401</v>
      </c>
      <c r="C179" s="14">
        <v>1</v>
      </c>
      <c r="D179" s="14">
        <f>ROUND(C179*(1+('Resilience &amp; Risk Scenario'!$B$7-3)*0.15),2)</f>
        <v>0.55000000000000004</v>
      </c>
      <c r="E179" s="14" t="s">
        <v>10685</v>
      </c>
      <c r="F179" s="14" t="s">
        <v>10675</v>
      </c>
      <c r="G179" s="14" t="s">
        <v>10686</v>
      </c>
      <c r="H179" s="14" t="s">
        <v>10687</v>
      </c>
      <c r="I179" s="14" t="str">
        <f t="shared" si="2"/>
        <v>Reputation crisis|Finance Procurement</v>
      </c>
      <c r="J179" s="14" t="s">
        <v>10673</v>
      </c>
      <c r="K179">
        <f>IFERROR(INDEX(_ENGINE_Crisis!$AH$292:$AS$303,MATCH('Resilience &amp; Risk Scenario'!$B$6,_ENGINE_Crisis!$AG$292:$AG$303,0),MATCH($A179,_ENGINE_Crisis!$AH$291:$AS$291,0)),0)</f>
        <v>0</v>
      </c>
    </row>
    <row r="180" spans="1:11" ht="28.5" customHeight="1">
      <c r="A180" s="14" t="s">
        <v>3635</v>
      </c>
      <c r="B180" s="14" t="s">
        <v>1551</v>
      </c>
      <c r="C180" s="14">
        <v>1.4</v>
      </c>
      <c r="D180" s="14">
        <f>ROUND(C180*(1+('Resilience &amp; Risk Scenario'!$B$7-3)*0.15),2)</f>
        <v>0.77</v>
      </c>
      <c r="E180" s="14" t="s">
        <v>10688</v>
      </c>
      <c r="F180" s="14" t="s">
        <v>10670</v>
      </c>
      <c r="G180" s="14" t="s">
        <v>10689</v>
      </c>
      <c r="H180" s="14" t="s">
        <v>10690</v>
      </c>
      <c r="I180" s="14" t="str">
        <f t="shared" si="2"/>
        <v>Reputation crisis|Legal Risk</v>
      </c>
      <c r="J180" s="14" t="s">
        <v>10673</v>
      </c>
      <c r="K180">
        <f>IFERROR(INDEX(_ENGINE_Crisis!$AH$292:$AS$303,MATCH('Resilience &amp; Risk Scenario'!$B$6,_ENGINE_Crisis!$AG$292:$AG$303,0),MATCH($A180,_ENGINE_Crisis!$AH$291:$AS$291,0)),0)</f>
        <v>0</v>
      </c>
    </row>
    <row r="181" spans="1:11" ht="28.5" customHeight="1">
      <c r="A181" s="14" t="s">
        <v>3635</v>
      </c>
      <c r="B181" s="14" t="s">
        <v>1666</v>
      </c>
      <c r="C181" s="14">
        <v>1</v>
      </c>
      <c r="D181" s="14">
        <f>ROUND(C181*(1+('Resilience &amp; Risk Scenario'!$B$7-3)*0.15),2)</f>
        <v>0.55000000000000004</v>
      </c>
      <c r="E181" s="14" t="s">
        <v>10691</v>
      </c>
      <c r="F181" s="14" t="s">
        <v>10675</v>
      </c>
      <c r="G181" s="14" t="s">
        <v>10692</v>
      </c>
      <c r="H181" s="14" t="s">
        <v>10693</v>
      </c>
      <c r="I181" s="14" t="str">
        <f t="shared" si="2"/>
        <v>Reputation crisis|Physical Safety</v>
      </c>
      <c r="J181" s="14" t="s">
        <v>10673</v>
      </c>
      <c r="K181">
        <f>IFERROR(INDEX(_ENGINE_Crisis!$AH$292:$AS$303,MATCH('Resilience &amp; Risk Scenario'!$B$6,_ENGINE_Crisis!$AG$292:$AG$303,0),MATCH($A181,_ENGINE_Crisis!$AH$291:$AS$291,0)),0)</f>
        <v>0</v>
      </c>
    </row>
    <row r="182" spans="1:11" ht="28.5" customHeight="1">
      <c r="A182" s="14" t="s">
        <v>3635</v>
      </c>
      <c r="B182" s="14" t="s">
        <v>1859</v>
      </c>
      <c r="C182" s="14">
        <v>1</v>
      </c>
      <c r="D182" s="14">
        <f>ROUND(C182*(1+('Resilience &amp; Risk Scenario'!$B$7-3)*0.15),2)</f>
        <v>0.55000000000000004</v>
      </c>
      <c r="E182" s="14" t="s">
        <v>10694</v>
      </c>
      <c r="F182" s="14" t="s">
        <v>10675</v>
      </c>
      <c r="G182" s="14" t="s">
        <v>10695</v>
      </c>
      <c r="H182" s="14" t="s">
        <v>10696</v>
      </c>
      <c r="I182" s="14" t="str">
        <f t="shared" si="2"/>
        <v>Reputation crisis|Delivery Ops</v>
      </c>
      <c r="J182" s="14" t="s">
        <v>10673</v>
      </c>
      <c r="K182">
        <f>IFERROR(INDEX(_ENGINE_Crisis!$AH$292:$AS$303,MATCH('Resilience &amp; Risk Scenario'!$B$6,_ENGINE_Crisis!$AG$292:$AG$303,0),MATCH($A182,_ENGINE_Crisis!$AH$291:$AS$291,0)),0)</f>
        <v>0</v>
      </c>
    </row>
    <row r="183" spans="1:11" ht="28.5" customHeight="1">
      <c r="A183" s="14" t="s">
        <v>3635</v>
      </c>
      <c r="B183" s="14" t="s">
        <v>1987</v>
      </c>
      <c r="C183" s="14">
        <v>1</v>
      </c>
      <c r="D183" s="14">
        <f>ROUND(C183*(1+('Resilience &amp; Risk Scenario'!$B$7-3)*0.15),2)</f>
        <v>0.55000000000000004</v>
      </c>
      <c r="E183" s="14" t="s">
        <v>10697</v>
      </c>
      <c r="F183" s="14" t="s">
        <v>10675</v>
      </c>
      <c r="G183" s="14" t="s">
        <v>10698</v>
      </c>
      <c r="H183" s="14" t="s">
        <v>10699</v>
      </c>
      <c r="I183" s="14" t="str">
        <f t="shared" si="2"/>
        <v>Reputation crisis|Supply Chain</v>
      </c>
      <c r="J183" s="14" t="s">
        <v>10673</v>
      </c>
      <c r="K183">
        <f>IFERROR(INDEX(_ENGINE_Crisis!$AH$292:$AS$303,MATCH('Resilience &amp; Risk Scenario'!$B$6,_ENGINE_Crisis!$AG$292:$AG$303,0),MATCH($A183,_ENGINE_Crisis!$AH$291:$AS$291,0)),0)</f>
        <v>0</v>
      </c>
    </row>
    <row r="184" spans="1:11" ht="28.5" customHeight="1">
      <c r="A184" s="14" t="s">
        <v>3635</v>
      </c>
      <c r="B184" s="14" t="s">
        <v>2145</v>
      </c>
      <c r="C184" s="14">
        <v>1</v>
      </c>
      <c r="D184" s="14">
        <f>ROUND(C184*(1+('Resilience &amp; Risk Scenario'!$B$7-3)*0.15),2)</f>
        <v>0.55000000000000004</v>
      </c>
      <c r="E184" s="14" t="s">
        <v>10700</v>
      </c>
      <c r="F184" s="14" t="s">
        <v>10675</v>
      </c>
      <c r="G184" s="14" t="s">
        <v>10701</v>
      </c>
      <c r="H184" s="14" t="s">
        <v>10702</v>
      </c>
      <c r="I184" s="14" t="str">
        <f t="shared" si="2"/>
        <v>Reputation crisis|Manufacturing MES</v>
      </c>
      <c r="J184" s="14" t="s">
        <v>10673</v>
      </c>
      <c r="K184">
        <f>IFERROR(INDEX(_ENGINE_Crisis!$AH$292:$AS$303,MATCH('Resilience &amp; Risk Scenario'!$B$6,_ENGINE_Crisis!$AG$292:$AG$303,0),MATCH($A184,_ENGINE_Crisis!$AH$291:$AS$291,0)),0)</f>
        <v>0</v>
      </c>
    </row>
    <row r="185" spans="1:11" ht="28.5" customHeight="1">
      <c r="A185" s="14" t="s">
        <v>3635</v>
      </c>
      <c r="B185" s="14" t="s">
        <v>2286</v>
      </c>
      <c r="C185" s="14">
        <v>1.8</v>
      </c>
      <c r="D185" s="14">
        <f>ROUND(C185*(1+('Resilience &amp; Risk Scenario'!$B$7-3)*0.15),2)</f>
        <v>0.99</v>
      </c>
      <c r="E185" s="14" t="s">
        <v>10703</v>
      </c>
      <c r="F185" s="14" t="s">
        <v>10682</v>
      </c>
      <c r="G185" s="14" t="s">
        <v>10704</v>
      </c>
      <c r="H185" s="14" t="s">
        <v>10705</v>
      </c>
      <c r="I185" s="14" t="str">
        <f t="shared" si="2"/>
        <v>Reputation crisis|Sales CRM</v>
      </c>
      <c r="J185" s="14" t="s">
        <v>10673</v>
      </c>
      <c r="K185">
        <f>IFERROR(INDEX(_ENGINE_Crisis!$AH$292:$AS$303,MATCH('Resilience &amp; Risk Scenario'!$B$6,_ENGINE_Crisis!$AG$292:$AG$303,0),MATCH($A185,_ENGINE_Crisis!$AH$291:$AS$291,0)),0)</f>
        <v>0</v>
      </c>
    </row>
    <row r="186" spans="1:11" ht="28.5" customHeight="1">
      <c r="A186" s="14" t="s">
        <v>3635</v>
      </c>
      <c r="B186" s="14" t="s">
        <v>2473</v>
      </c>
      <c r="C186" s="14">
        <v>2</v>
      </c>
      <c r="D186" s="14">
        <f>ROUND(C186*(1+('Resilience &amp; Risk Scenario'!$B$7-3)*0.15),2)</f>
        <v>1.1000000000000001</v>
      </c>
      <c r="E186" s="14" t="s">
        <v>10706</v>
      </c>
      <c r="F186" s="14" t="s">
        <v>10682</v>
      </c>
      <c r="G186" s="14" t="s">
        <v>10707</v>
      </c>
      <c r="H186" s="14" t="s">
        <v>10708</v>
      </c>
      <c r="I186" s="14" t="str">
        <f t="shared" si="2"/>
        <v>Reputation crisis|Marketing Comms</v>
      </c>
      <c r="J186" s="14" t="s">
        <v>10673</v>
      </c>
      <c r="K186">
        <f>IFERROR(INDEX(_ENGINE_Crisis!$AH$292:$AS$303,MATCH('Resilience &amp; Risk Scenario'!$B$6,_ENGINE_Crisis!$AG$292:$AG$303,0),MATCH($A186,_ENGINE_Crisis!$AH$291:$AS$291,0)),0)</f>
        <v>0</v>
      </c>
    </row>
    <row r="187" spans="1:11" ht="28.5" customHeight="1">
      <c r="A187" s="14" t="s">
        <v>3635</v>
      </c>
      <c r="B187" s="14" t="s">
        <v>2588</v>
      </c>
      <c r="C187" s="14">
        <v>1</v>
      </c>
      <c r="D187" s="14">
        <f>ROUND(C187*(1+('Resilience &amp; Risk Scenario'!$B$7-3)*0.15),2)</f>
        <v>0.55000000000000004</v>
      </c>
      <c r="E187" s="14" t="s">
        <v>10709</v>
      </c>
      <c r="F187" s="14" t="s">
        <v>10675</v>
      </c>
      <c r="G187" s="14" t="s">
        <v>10710</v>
      </c>
      <c r="H187" s="14" t="s">
        <v>10711</v>
      </c>
      <c r="I187" s="14" t="str">
        <f t="shared" si="2"/>
        <v>Reputation crisis|IT Cloud DR</v>
      </c>
      <c r="J187" s="14" t="s">
        <v>10673</v>
      </c>
      <c r="K187">
        <f>IFERROR(INDEX(_ENGINE_Crisis!$AH$292:$AS$303,MATCH('Resilience &amp; Risk Scenario'!$B$6,_ENGINE_Crisis!$AG$292:$AG$303,0),MATCH($A187,_ENGINE_Crisis!$AH$291:$AS$291,0)),0)</f>
        <v>0</v>
      </c>
    </row>
    <row r="188" spans="1:11" ht="28.5" customHeight="1">
      <c r="A188" s="14" t="s">
        <v>3635</v>
      </c>
      <c r="B188" s="14" t="s">
        <v>2729</v>
      </c>
      <c r="C188" s="14">
        <v>1</v>
      </c>
      <c r="D188" s="14">
        <f>ROUND(C188*(1+('Resilience &amp; Risk Scenario'!$B$7-3)*0.15),2)</f>
        <v>0.55000000000000004</v>
      </c>
      <c r="E188" s="14" t="s">
        <v>10712</v>
      </c>
      <c r="F188" s="14" t="s">
        <v>10675</v>
      </c>
      <c r="G188" s="14" t="s">
        <v>10713</v>
      </c>
      <c r="H188" s="14" t="s">
        <v>10714</v>
      </c>
      <c r="I188" s="14" t="str">
        <f t="shared" si="2"/>
        <v>Reputation crisis|Business Systems</v>
      </c>
      <c r="J188" s="14" t="s">
        <v>10673</v>
      </c>
      <c r="K188">
        <f>IFERROR(INDEX(_ENGINE_Crisis!$AH$292:$AS$303,MATCH('Resilience &amp; Risk Scenario'!$B$6,_ENGINE_Crisis!$AG$292:$AG$303,0),MATCH($A188,_ENGINE_Crisis!$AH$291:$AS$291,0)),0)</f>
        <v>0</v>
      </c>
    </row>
    <row r="189" spans="1:11" ht="28.5" customHeight="1">
      <c r="A189" s="14" t="s">
        <v>3635</v>
      </c>
      <c r="B189" s="14" t="s">
        <v>2824</v>
      </c>
      <c r="C189" s="14">
        <v>1</v>
      </c>
      <c r="D189" s="14">
        <f>ROUND(C189*(1+('Resilience &amp; Risk Scenario'!$B$7-3)*0.15),2)</f>
        <v>0.55000000000000004</v>
      </c>
      <c r="E189" s="14" t="s">
        <v>10715</v>
      </c>
      <c r="F189" s="14" t="s">
        <v>10675</v>
      </c>
      <c r="G189" s="14" t="s">
        <v>10716</v>
      </c>
      <c r="H189" s="14" t="s">
        <v>10717</v>
      </c>
      <c r="I189" s="14" t="str">
        <f t="shared" si="2"/>
        <v>Reputation crisis|Data BI AI</v>
      </c>
      <c r="J189" s="14" t="s">
        <v>10673</v>
      </c>
      <c r="K189">
        <f>IFERROR(INDEX(_ENGINE_Crisis!$AH$292:$AS$303,MATCH('Resilience &amp; Risk Scenario'!$B$6,_ENGINE_Crisis!$AG$292:$AG$303,0),MATCH($A189,_ENGINE_Crisis!$AH$291:$AS$291,0)),0)</f>
        <v>0</v>
      </c>
    </row>
    <row r="190" spans="1:11" ht="28.5" customHeight="1">
      <c r="A190" s="14" t="s">
        <v>3635</v>
      </c>
      <c r="B190" s="14" t="s">
        <v>2986</v>
      </c>
      <c r="C190" s="14">
        <v>1.3</v>
      </c>
      <c r="D190" s="14">
        <f>ROUND(C190*(1+('Resilience &amp; Risk Scenario'!$B$7-3)*0.15),2)</f>
        <v>0.72</v>
      </c>
      <c r="E190" s="14" t="s">
        <v>10718</v>
      </c>
      <c r="F190" s="14" t="s">
        <v>10670</v>
      </c>
      <c r="G190" s="14" t="s">
        <v>10719</v>
      </c>
      <c r="H190" s="14" t="s">
        <v>10720</v>
      </c>
      <c r="I190" s="14" t="str">
        <f t="shared" si="2"/>
        <v>Reputation crisis|Cyber Privacy</v>
      </c>
      <c r="J190" s="14" t="s">
        <v>10673</v>
      </c>
      <c r="K190">
        <f>IFERROR(INDEX(_ENGINE_Crisis!$AH$292:$AS$303,MATCH('Resilience &amp; Risk Scenario'!$B$6,_ENGINE_Crisis!$AG$292:$AG$303,0),MATCH($A190,_ENGINE_Crisis!$AH$291:$AS$291,0)),0)</f>
        <v>0</v>
      </c>
    </row>
    <row r="191" spans="1:11" ht="28.5" customHeight="1">
      <c r="A191" s="14" t="s">
        <v>3635</v>
      </c>
      <c r="B191" s="14" t="s">
        <v>3204</v>
      </c>
      <c r="C191" s="14">
        <v>1</v>
      </c>
      <c r="D191" s="14">
        <f>ROUND(C191*(1+('Resilience &amp; Risk Scenario'!$B$7-3)*0.15),2)</f>
        <v>0.55000000000000004</v>
      </c>
      <c r="E191" s="14" t="s">
        <v>10721</v>
      </c>
      <c r="F191" s="14" t="s">
        <v>10675</v>
      </c>
      <c r="G191" s="14" t="s">
        <v>10722</v>
      </c>
      <c r="H191" s="14" t="s">
        <v>10723</v>
      </c>
      <c r="I191" s="14" t="str">
        <f t="shared" si="2"/>
        <v>Reputation crisis|Quality Portfolio</v>
      </c>
      <c r="J191" s="14" t="s">
        <v>10673</v>
      </c>
      <c r="K191">
        <f>IFERROR(INDEX(_ENGINE_Crisis!$AH$292:$AS$303,MATCH('Resilience &amp; Risk Scenario'!$B$6,_ENGINE_Crisis!$AG$292:$AG$303,0),MATCH($A191,_ENGINE_Crisis!$AH$291:$AS$291,0)),0)</f>
        <v>0</v>
      </c>
    </row>
    <row r="192" spans="1:11">
      <c r="A192" t="s">
        <v>3638</v>
      </c>
      <c r="B192" t="s">
        <v>815</v>
      </c>
      <c r="C192">
        <v>1.6</v>
      </c>
      <c r="D192">
        <f>ROUND(C192*(1+('Resilience &amp; Risk Scenario'!$B$7-3)*0.15),2)</f>
        <v>0.88</v>
      </c>
      <c r="E192" t="s">
        <v>10724</v>
      </c>
      <c r="F192" t="s">
        <v>10682</v>
      </c>
      <c r="G192" t="s">
        <v>10725</v>
      </c>
      <c r="H192" t="s">
        <v>10726</v>
      </c>
      <c r="I192" t="str">
        <f t="shared" si="2"/>
        <v>Natural disaster / climate shock|Company Geography</v>
      </c>
      <c r="J192" t="s">
        <v>10673</v>
      </c>
      <c r="K192">
        <f>IFERROR(INDEX(_ENGINE_Crisis!$AH$292:$AS$303,MATCH('Resilience &amp; Risk Scenario'!$B$6,_ENGINE_Crisis!$AG$292:$AG$303,0),MATCH($A192,_ENGINE_Crisis!$AH$291:$AS$291,0)),0)</f>
        <v>0</v>
      </c>
    </row>
    <row r="193" spans="1:11">
      <c r="A193" t="s">
        <v>3638</v>
      </c>
      <c r="B193" t="s">
        <v>949</v>
      </c>
      <c r="C193">
        <v>1</v>
      </c>
      <c r="D193">
        <f>ROUND(C193*(1+('Resilience &amp; Risk Scenario'!$B$7-3)*0.15),2)</f>
        <v>0.55000000000000004</v>
      </c>
      <c r="E193" t="s">
        <v>10727</v>
      </c>
      <c r="F193" t="s">
        <v>10675</v>
      </c>
      <c r="G193" t="s">
        <v>10728</v>
      </c>
      <c r="H193" t="s">
        <v>10726</v>
      </c>
      <c r="I193" t="str">
        <f t="shared" si="2"/>
        <v>Natural disaster / climate shock|Strategy GTM</v>
      </c>
      <c r="J193" t="s">
        <v>10673</v>
      </c>
      <c r="K193">
        <f>IFERROR(INDEX(_ENGINE_Crisis!$AH$292:$AS$303,MATCH('Resilience &amp; Risk Scenario'!$B$6,_ENGINE_Crisis!$AG$292:$AG$303,0),MATCH($A193,_ENGINE_Crisis!$AH$291:$AS$291,0)),0)</f>
        <v>0</v>
      </c>
    </row>
    <row r="194" spans="1:11">
      <c r="A194" t="s">
        <v>3638</v>
      </c>
      <c r="B194" t="s">
        <v>1150</v>
      </c>
      <c r="C194">
        <v>1.3</v>
      </c>
      <c r="D194">
        <f>ROUND(C194*(1+('Resilience &amp; Risk Scenario'!$B$7-3)*0.15),2)</f>
        <v>0.72</v>
      </c>
      <c r="E194" t="s">
        <v>10729</v>
      </c>
      <c r="F194" t="s">
        <v>10670</v>
      </c>
      <c r="G194" t="s">
        <v>10730</v>
      </c>
      <c r="H194" t="s">
        <v>10726</v>
      </c>
      <c r="I194" t="str">
        <f t="shared" si="2"/>
        <v>Natural disaster / climate shock|Governance Crisis</v>
      </c>
      <c r="J194" t="s">
        <v>10673</v>
      </c>
      <c r="K194">
        <f>IFERROR(INDEX(_ENGINE_Crisis!$AH$292:$AS$303,MATCH('Resilience &amp; Risk Scenario'!$B$6,_ENGINE_Crisis!$AG$292:$AG$303,0),MATCH($A194,_ENGINE_Crisis!$AH$291:$AS$291,0)),0)</f>
        <v>0</v>
      </c>
    </row>
    <row r="195" spans="1:11">
      <c r="A195" t="s">
        <v>3638</v>
      </c>
      <c r="B195" t="s">
        <v>1259</v>
      </c>
      <c r="C195">
        <v>1.3</v>
      </c>
      <c r="D195">
        <f>ROUND(C195*(1+('Resilience &amp; Risk Scenario'!$B$7-3)*0.15),2)</f>
        <v>0.72</v>
      </c>
      <c r="E195" t="s">
        <v>10731</v>
      </c>
      <c r="F195" t="s">
        <v>10670</v>
      </c>
      <c r="G195" t="s">
        <v>10730</v>
      </c>
      <c r="H195" t="s">
        <v>10726</v>
      </c>
      <c r="I195" t="str">
        <f t="shared" si="2"/>
        <v>Natural disaster / climate shock|HR Workforce</v>
      </c>
      <c r="J195" t="s">
        <v>10673</v>
      </c>
      <c r="K195">
        <f>IFERROR(INDEX(_ENGINE_Crisis!$AH$292:$AS$303,MATCH('Resilience &amp; Risk Scenario'!$B$6,_ENGINE_Crisis!$AG$292:$AG$303,0),MATCH($A195,_ENGINE_Crisis!$AH$291:$AS$291,0)),0)</f>
        <v>0</v>
      </c>
    </row>
    <row r="196" spans="1:11">
      <c r="A196" t="s">
        <v>3638</v>
      </c>
      <c r="B196" t="s">
        <v>1401</v>
      </c>
      <c r="C196">
        <v>1.2</v>
      </c>
      <c r="D196">
        <f>ROUND(C196*(1+('Resilience &amp; Risk Scenario'!$B$7-3)*0.15),2)</f>
        <v>0.66</v>
      </c>
      <c r="E196" t="s">
        <v>10732</v>
      </c>
      <c r="F196" t="s">
        <v>10670</v>
      </c>
      <c r="G196" t="s">
        <v>10730</v>
      </c>
      <c r="H196" t="s">
        <v>10726</v>
      </c>
      <c r="I196" t="str">
        <f t="shared" si="2"/>
        <v>Natural disaster / climate shock|Finance Procurement</v>
      </c>
      <c r="J196" t="s">
        <v>10673</v>
      </c>
      <c r="K196">
        <f>IFERROR(INDEX(_ENGINE_Crisis!$AH$292:$AS$303,MATCH('Resilience &amp; Risk Scenario'!$B$6,_ENGINE_Crisis!$AG$292:$AG$303,0),MATCH($A196,_ENGINE_Crisis!$AH$291:$AS$291,0)),0)</f>
        <v>0</v>
      </c>
    </row>
    <row r="197" spans="1:11">
      <c r="A197" t="s">
        <v>3638</v>
      </c>
      <c r="B197" t="s">
        <v>1551</v>
      </c>
      <c r="C197">
        <v>1.1000000000000001</v>
      </c>
      <c r="D197">
        <f>ROUND(C197*(1+('Resilience &amp; Risk Scenario'!$B$7-3)*0.15),2)</f>
        <v>0.61</v>
      </c>
      <c r="E197" t="s">
        <v>10733</v>
      </c>
      <c r="F197" t="s">
        <v>10675</v>
      </c>
      <c r="G197" t="s">
        <v>10728</v>
      </c>
      <c r="H197" t="s">
        <v>10726</v>
      </c>
      <c r="I197" t="str">
        <f t="shared" ref="I197:I208" si="3">A197&amp;"|"&amp;B197</f>
        <v>Natural disaster / climate shock|Legal Risk</v>
      </c>
      <c r="J197" t="s">
        <v>10673</v>
      </c>
      <c r="K197">
        <f>IFERROR(INDEX(_ENGINE_Crisis!$AH$292:$AS$303,MATCH('Resilience &amp; Risk Scenario'!$B$6,_ENGINE_Crisis!$AG$292:$AG$303,0),MATCH($A197,_ENGINE_Crisis!$AH$291:$AS$291,0)),0)</f>
        <v>0</v>
      </c>
    </row>
    <row r="198" spans="1:11">
      <c r="A198" t="s">
        <v>3638</v>
      </c>
      <c r="B198" t="s">
        <v>1666</v>
      </c>
      <c r="C198">
        <v>1.9</v>
      </c>
      <c r="D198">
        <f>ROUND(C198*(1+('Resilience &amp; Risk Scenario'!$B$7-3)*0.15),2)</f>
        <v>1.05</v>
      </c>
      <c r="E198" t="s">
        <v>10734</v>
      </c>
      <c r="F198" t="s">
        <v>10682</v>
      </c>
      <c r="G198" t="s">
        <v>10725</v>
      </c>
      <c r="H198" t="s">
        <v>10726</v>
      </c>
      <c r="I198" t="str">
        <f t="shared" si="3"/>
        <v>Natural disaster / climate shock|Physical Safety</v>
      </c>
      <c r="J198" t="s">
        <v>10673</v>
      </c>
      <c r="K198">
        <f>IFERROR(INDEX(_ENGINE_Crisis!$AH$292:$AS$303,MATCH('Resilience &amp; Risk Scenario'!$B$6,_ENGINE_Crisis!$AG$292:$AG$303,0),MATCH($A198,_ENGINE_Crisis!$AH$291:$AS$291,0)),0)</f>
        <v>0</v>
      </c>
    </row>
    <row r="199" spans="1:11">
      <c r="A199" t="s">
        <v>3638</v>
      </c>
      <c r="B199" t="s">
        <v>1859</v>
      </c>
      <c r="C199">
        <v>1.6</v>
      </c>
      <c r="D199">
        <f>ROUND(C199*(1+('Resilience &amp; Risk Scenario'!$B$7-3)*0.15),2)</f>
        <v>0.88</v>
      </c>
      <c r="E199" t="s">
        <v>10735</v>
      </c>
      <c r="F199" t="s">
        <v>10682</v>
      </c>
      <c r="G199" t="s">
        <v>10725</v>
      </c>
      <c r="H199" t="s">
        <v>10726</v>
      </c>
      <c r="I199" t="str">
        <f t="shared" si="3"/>
        <v>Natural disaster / climate shock|Delivery Ops</v>
      </c>
      <c r="J199" t="s">
        <v>10673</v>
      </c>
      <c r="K199">
        <f>IFERROR(INDEX(_ENGINE_Crisis!$AH$292:$AS$303,MATCH('Resilience &amp; Risk Scenario'!$B$6,_ENGINE_Crisis!$AG$292:$AG$303,0),MATCH($A199,_ENGINE_Crisis!$AH$291:$AS$291,0)),0)</f>
        <v>0</v>
      </c>
    </row>
    <row r="200" spans="1:11">
      <c r="A200" t="s">
        <v>3638</v>
      </c>
      <c r="B200" t="s">
        <v>1987</v>
      </c>
      <c r="C200">
        <v>1.7</v>
      </c>
      <c r="D200">
        <f>ROUND(C200*(1+('Resilience &amp; Risk Scenario'!$B$7-3)*0.15),2)</f>
        <v>0.94</v>
      </c>
      <c r="E200" t="s">
        <v>10736</v>
      </c>
      <c r="F200" t="s">
        <v>10682</v>
      </c>
      <c r="G200" t="s">
        <v>10725</v>
      </c>
      <c r="H200" t="s">
        <v>10726</v>
      </c>
      <c r="I200" t="str">
        <f t="shared" si="3"/>
        <v>Natural disaster / climate shock|Supply Chain</v>
      </c>
      <c r="J200" t="s">
        <v>10673</v>
      </c>
      <c r="K200">
        <f>IFERROR(INDEX(_ENGINE_Crisis!$AH$292:$AS$303,MATCH('Resilience &amp; Risk Scenario'!$B$6,_ENGINE_Crisis!$AG$292:$AG$303,0),MATCH($A200,_ENGINE_Crisis!$AH$291:$AS$291,0)),0)</f>
        <v>0</v>
      </c>
    </row>
    <row r="201" spans="1:11">
      <c r="A201" t="s">
        <v>3638</v>
      </c>
      <c r="B201" t="s">
        <v>2145</v>
      </c>
      <c r="C201">
        <v>1.6</v>
      </c>
      <c r="D201">
        <f>ROUND(C201*(1+('Resilience &amp; Risk Scenario'!$B$7-3)*0.15),2)</f>
        <v>0.88</v>
      </c>
      <c r="E201" t="s">
        <v>10737</v>
      </c>
      <c r="F201" t="s">
        <v>10682</v>
      </c>
      <c r="G201" t="s">
        <v>10725</v>
      </c>
      <c r="H201" t="s">
        <v>10726</v>
      </c>
      <c r="I201" t="str">
        <f t="shared" si="3"/>
        <v>Natural disaster / climate shock|Manufacturing MES</v>
      </c>
      <c r="J201" t="s">
        <v>10673</v>
      </c>
      <c r="K201">
        <f>IFERROR(INDEX(_ENGINE_Crisis!$AH$292:$AS$303,MATCH('Resilience &amp; Risk Scenario'!$B$6,_ENGINE_Crisis!$AG$292:$AG$303,0),MATCH($A201,_ENGINE_Crisis!$AH$291:$AS$291,0)),0)</f>
        <v>0</v>
      </c>
    </row>
    <row r="202" spans="1:11">
      <c r="A202" t="s">
        <v>3638</v>
      </c>
      <c r="B202" t="s">
        <v>2286</v>
      </c>
      <c r="C202">
        <v>1</v>
      </c>
      <c r="D202">
        <f>ROUND(C202*(1+('Resilience &amp; Risk Scenario'!$B$7-3)*0.15),2)</f>
        <v>0.55000000000000004</v>
      </c>
      <c r="E202" t="s">
        <v>10738</v>
      </c>
      <c r="F202" t="s">
        <v>10675</v>
      </c>
      <c r="G202" t="s">
        <v>10728</v>
      </c>
      <c r="H202" t="s">
        <v>10726</v>
      </c>
      <c r="I202" t="str">
        <f t="shared" si="3"/>
        <v>Natural disaster / climate shock|Sales CRM</v>
      </c>
      <c r="J202" t="s">
        <v>10673</v>
      </c>
      <c r="K202">
        <f>IFERROR(INDEX(_ENGINE_Crisis!$AH$292:$AS$303,MATCH('Resilience &amp; Risk Scenario'!$B$6,_ENGINE_Crisis!$AG$292:$AG$303,0),MATCH($A202,_ENGINE_Crisis!$AH$291:$AS$291,0)),0)</f>
        <v>0</v>
      </c>
    </row>
    <row r="203" spans="1:11">
      <c r="A203" t="s">
        <v>3638</v>
      </c>
      <c r="B203" t="s">
        <v>2473</v>
      </c>
      <c r="C203">
        <v>1.1000000000000001</v>
      </c>
      <c r="D203">
        <f>ROUND(C203*(1+('Resilience &amp; Risk Scenario'!$B$7-3)*0.15),2)</f>
        <v>0.61</v>
      </c>
      <c r="E203" t="s">
        <v>10739</v>
      </c>
      <c r="F203" t="s">
        <v>10675</v>
      </c>
      <c r="G203" t="s">
        <v>10728</v>
      </c>
      <c r="H203" t="s">
        <v>10726</v>
      </c>
      <c r="I203" t="str">
        <f t="shared" si="3"/>
        <v>Natural disaster / climate shock|Marketing Comms</v>
      </c>
      <c r="J203" t="s">
        <v>10673</v>
      </c>
      <c r="K203">
        <f>IFERROR(INDEX(_ENGINE_Crisis!$AH$292:$AS$303,MATCH('Resilience &amp; Risk Scenario'!$B$6,_ENGINE_Crisis!$AG$292:$AG$303,0),MATCH($A203,_ENGINE_Crisis!$AH$291:$AS$291,0)),0)</f>
        <v>0</v>
      </c>
    </row>
    <row r="204" spans="1:11">
      <c r="A204" t="s">
        <v>3638</v>
      </c>
      <c r="B204" t="s">
        <v>2588</v>
      </c>
      <c r="C204">
        <v>1.4</v>
      </c>
      <c r="D204">
        <f>ROUND(C204*(1+('Resilience &amp; Risk Scenario'!$B$7-3)*0.15),2)</f>
        <v>0.77</v>
      </c>
      <c r="E204" t="s">
        <v>10740</v>
      </c>
      <c r="F204" t="s">
        <v>10670</v>
      </c>
      <c r="G204" t="s">
        <v>10730</v>
      </c>
      <c r="H204" t="s">
        <v>10726</v>
      </c>
      <c r="I204" t="str">
        <f t="shared" si="3"/>
        <v>Natural disaster / climate shock|IT Cloud DR</v>
      </c>
      <c r="J204" t="s">
        <v>10673</v>
      </c>
      <c r="K204">
        <f>IFERROR(INDEX(_ENGINE_Crisis!$AH$292:$AS$303,MATCH('Resilience &amp; Risk Scenario'!$B$6,_ENGINE_Crisis!$AG$292:$AG$303,0),MATCH($A204,_ENGINE_Crisis!$AH$291:$AS$291,0)),0)</f>
        <v>0</v>
      </c>
    </row>
    <row r="205" spans="1:11">
      <c r="A205" t="s">
        <v>3638</v>
      </c>
      <c r="B205" t="s">
        <v>2729</v>
      </c>
      <c r="C205">
        <v>1</v>
      </c>
      <c r="D205">
        <f>ROUND(C205*(1+('Resilience &amp; Risk Scenario'!$B$7-3)*0.15),2)</f>
        <v>0.55000000000000004</v>
      </c>
      <c r="E205" t="s">
        <v>10741</v>
      </c>
      <c r="F205" t="s">
        <v>10675</v>
      </c>
      <c r="G205" t="s">
        <v>10728</v>
      </c>
      <c r="H205" t="s">
        <v>10726</v>
      </c>
      <c r="I205" t="str">
        <f t="shared" si="3"/>
        <v>Natural disaster / climate shock|Business Systems</v>
      </c>
      <c r="J205" t="s">
        <v>10673</v>
      </c>
      <c r="K205">
        <f>IFERROR(INDEX(_ENGINE_Crisis!$AH$292:$AS$303,MATCH('Resilience &amp; Risk Scenario'!$B$6,_ENGINE_Crisis!$AG$292:$AG$303,0),MATCH($A205,_ENGINE_Crisis!$AH$291:$AS$291,0)),0)</f>
        <v>0</v>
      </c>
    </row>
    <row r="206" spans="1:11">
      <c r="A206" t="s">
        <v>3638</v>
      </c>
      <c r="B206" t="s">
        <v>2824</v>
      </c>
      <c r="C206">
        <v>1</v>
      </c>
      <c r="D206">
        <f>ROUND(C206*(1+('Resilience &amp; Risk Scenario'!$B$7-3)*0.15),2)</f>
        <v>0.55000000000000004</v>
      </c>
      <c r="E206" t="s">
        <v>10742</v>
      </c>
      <c r="F206" t="s">
        <v>10675</v>
      </c>
      <c r="G206" t="s">
        <v>10728</v>
      </c>
      <c r="H206" t="s">
        <v>10726</v>
      </c>
      <c r="I206" t="str">
        <f t="shared" si="3"/>
        <v>Natural disaster / climate shock|Data BI AI</v>
      </c>
      <c r="J206" t="s">
        <v>10673</v>
      </c>
      <c r="K206">
        <f>IFERROR(INDEX(_ENGINE_Crisis!$AH$292:$AS$303,MATCH('Resilience &amp; Risk Scenario'!$B$6,_ENGINE_Crisis!$AG$292:$AG$303,0),MATCH($A206,_ENGINE_Crisis!$AH$291:$AS$291,0)),0)</f>
        <v>0</v>
      </c>
    </row>
    <row r="207" spans="1:11">
      <c r="A207" t="s">
        <v>3638</v>
      </c>
      <c r="B207" t="s">
        <v>2986</v>
      </c>
      <c r="C207">
        <v>1</v>
      </c>
      <c r="D207">
        <f>ROUND(C207*(1+('Resilience &amp; Risk Scenario'!$B$7-3)*0.15),2)</f>
        <v>0.55000000000000004</v>
      </c>
      <c r="E207" t="s">
        <v>10743</v>
      </c>
      <c r="F207" t="s">
        <v>10675</v>
      </c>
      <c r="G207" t="s">
        <v>10728</v>
      </c>
      <c r="H207" t="s">
        <v>10726</v>
      </c>
      <c r="I207" t="str">
        <f t="shared" si="3"/>
        <v>Natural disaster / climate shock|Cyber Privacy</v>
      </c>
      <c r="J207" t="s">
        <v>10673</v>
      </c>
      <c r="K207">
        <f>IFERROR(INDEX(_ENGINE_Crisis!$AH$292:$AS$303,MATCH('Resilience &amp; Risk Scenario'!$B$6,_ENGINE_Crisis!$AG$292:$AG$303,0),MATCH($A207,_ENGINE_Crisis!$AH$291:$AS$291,0)),0)</f>
        <v>0</v>
      </c>
    </row>
    <row r="208" spans="1:11">
      <c r="A208" t="s">
        <v>3638</v>
      </c>
      <c r="B208" t="s">
        <v>3204</v>
      </c>
      <c r="C208">
        <v>1</v>
      </c>
      <c r="D208">
        <f>ROUND(C208*(1+('Resilience &amp; Risk Scenario'!$B$7-3)*0.15),2)</f>
        <v>0.55000000000000004</v>
      </c>
      <c r="E208" t="s">
        <v>10744</v>
      </c>
      <c r="F208" t="s">
        <v>10675</v>
      </c>
      <c r="G208" t="s">
        <v>10728</v>
      </c>
      <c r="H208" t="s">
        <v>10726</v>
      </c>
      <c r="I208" t="str">
        <f t="shared" si="3"/>
        <v>Natural disaster / climate shock|Quality Portfolio</v>
      </c>
      <c r="J208" t="s">
        <v>10673</v>
      </c>
      <c r="K208">
        <f>IFERROR(INDEX(_ENGINE_Crisis!$AH$292:$AS$303,MATCH('Resilience &amp; Risk Scenario'!$B$6,_ENGINE_Crisis!$AG$292:$AG$303,0),MATCH($A208,_ENGINE_Crisis!$AH$291:$AS$291,0)),0)</f>
        <v>0</v>
      </c>
    </row>
    <row r="250" spans="1:54" ht="25.95" customHeight="1">
      <c r="A250" s="85" t="s">
        <v>10745</v>
      </c>
      <c r="B250" s="85"/>
      <c r="C250" s="85"/>
      <c r="D250" s="85"/>
      <c r="E250" s="85"/>
      <c r="F250" s="85"/>
      <c r="G250" s="85"/>
      <c r="H250" s="85"/>
      <c r="I250" s="85"/>
      <c r="J250" s="85"/>
      <c r="K250" s="85"/>
      <c r="L250" s="85"/>
      <c r="AG250" s="85" t="s">
        <v>10746</v>
      </c>
      <c r="AH250" s="85"/>
      <c r="AI250" s="85"/>
      <c r="AJ250" s="85"/>
      <c r="AK250" s="85"/>
      <c r="AL250" s="85"/>
      <c r="AM250" s="85"/>
      <c r="AN250" s="85"/>
      <c r="AO250" s="85"/>
      <c r="AP250" s="85"/>
      <c r="AQ250" s="85"/>
      <c r="AR250" s="85"/>
    </row>
    <row r="251" spans="1:54" ht="34.1" customHeight="1">
      <c r="A251" s="77" t="s">
        <v>10747</v>
      </c>
      <c r="B251" s="77"/>
      <c r="C251" s="77"/>
      <c r="D251" s="77"/>
      <c r="E251" s="77"/>
      <c r="F251" s="77"/>
      <c r="G251" s="77"/>
      <c r="H251" s="77"/>
      <c r="I251" s="77"/>
      <c r="J251" s="77"/>
      <c r="K251" s="77"/>
      <c r="L251" s="77"/>
      <c r="AG251" s="102" t="s">
        <v>10748</v>
      </c>
      <c r="AH251" s="102"/>
      <c r="AI251" s="102"/>
      <c r="AJ251" s="102"/>
      <c r="AK251" s="102"/>
      <c r="AL251" s="102"/>
      <c r="AM251" s="102"/>
      <c r="AN251" s="102"/>
      <c r="AO251" s="102"/>
      <c r="AP251" s="102"/>
      <c r="AQ251" s="102"/>
      <c r="AR251" s="102"/>
    </row>
    <row r="252" spans="1:54" ht="94.5" customHeight="1">
      <c r="AG252" s="103" t="s">
        <v>10749</v>
      </c>
      <c r="AI252" s="36" t="s">
        <v>815</v>
      </c>
      <c r="AJ252" s="36" t="s">
        <v>949</v>
      </c>
      <c r="AK252" s="36" t="s">
        <v>1150</v>
      </c>
      <c r="AL252" s="36" t="s">
        <v>1259</v>
      </c>
      <c r="AM252" s="36" t="s">
        <v>1401</v>
      </c>
      <c r="AN252" s="36" t="s">
        <v>1551</v>
      </c>
      <c r="AO252" s="36" t="s">
        <v>1666</v>
      </c>
      <c r="AP252" s="36" t="s">
        <v>1859</v>
      </c>
      <c r="AQ252" s="36" t="s">
        <v>1987</v>
      </c>
      <c r="AR252" s="36" t="s">
        <v>2145</v>
      </c>
      <c r="AS252" s="36" t="s">
        <v>2286</v>
      </c>
      <c r="AT252" s="36" t="s">
        <v>2473</v>
      </c>
      <c r="AU252" s="36" t="s">
        <v>2588</v>
      </c>
      <c r="AV252" s="36" t="s">
        <v>2729</v>
      </c>
      <c r="AW252" s="36" t="s">
        <v>2824</v>
      </c>
      <c r="AX252" s="36" t="s">
        <v>2986</v>
      </c>
      <c r="AY252" s="36" t="s">
        <v>3204</v>
      </c>
      <c r="BB252" s="104" t="s">
        <v>10750</v>
      </c>
    </row>
    <row r="253" spans="1:54" ht="51" customHeight="1">
      <c r="A253" s="40" t="s">
        <v>764</v>
      </c>
      <c r="B253" s="40" t="s">
        <v>10751</v>
      </c>
      <c r="C253" s="40" t="s">
        <v>10752</v>
      </c>
      <c r="D253" s="40" t="s">
        <v>10753</v>
      </c>
      <c r="E253" s="40" t="s">
        <v>10754</v>
      </c>
      <c r="F253" s="40" t="s">
        <v>10755</v>
      </c>
      <c r="G253" s="40" t="s">
        <v>10756</v>
      </c>
      <c r="H253" s="40" t="s">
        <v>10757</v>
      </c>
      <c r="I253" s="40" t="s">
        <v>10758</v>
      </c>
      <c r="J253" s="40" t="s">
        <v>10759</v>
      </c>
      <c r="K253" s="40" t="s">
        <v>10760</v>
      </c>
      <c r="L253" s="40" t="s">
        <v>10761</v>
      </c>
      <c r="M253" s="40" t="s">
        <v>10762</v>
      </c>
      <c r="N253" s="40" t="s">
        <v>10763</v>
      </c>
      <c r="O253" s="40" t="s">
        <v>10764</v>
      </c>
      <c r="P253" s="40" t="s">
        <v>10765</v>
      </c>
      <c r="Q253" s="40" t="s">
        <v>10766</v>
      </c>
      <c r="R253" s="40" t="s">
        <v>10767</v>
      </c>
      <c r="S253" s="40" t="s">
        <v>10768</v>
      </c>
      <c r="T253" s="40" t="s">
        <v>10769</v>
      </c>
      <c r="U253" s="40" t="s">
        <v>10770</v>
      </c>
      <c r="V253" s="40" t="s">
        <v>10771</v>
      </c>
      <c r="W253" s="40" t="s">
        <v>10772</v>
      </c>
      <c r="X253" s="40" t="s">
        <v>10773</v>
      </c>
      <c r="Y253" s="40" t="s">
        <v>799</v>
      </c>
      <c r="AG253" s="37" t="s">
        <v>815</v>
      </c>
      <c r="AI253" s="38">
        <v>0</v>
      </c>
      <c r="AJ253" s="38">
        <v>0</v>
      </c>
      <c r="AK253" s="38">
        <v>0</v>
      </c>
      <c r="AL253" s="38">
        <v>0.3</v>
      </c>
      <c r="AM253" s="38">
        <v>0</v>
      </c>
      <c r="AN253" s="38">
        <v>0</v>
      </c>
      <c r="AO253" s="38">
        <v>0.4</v>
      </c>
      <c r="AP253" s="38">
        <v>0.3</v>
      </c>
      <c r="AQ253" s="38">
        <v>0.3</v>
      </c>
      <c r="AR253" s="38">
        <v>0.3</v>
      </c>
      <c r="AS253" s="38">
        <v>0</v>
      </c>
      <c r="AT253" s="38">
        <v>0</v>
      </c>
      <c r="AU253" s="38">
        <v>0</v>
      </c>
      <c r="AV253" s="38">
        <v>0</v>
      </c>
      <c r="AW253" s="38">
        <v>0</v>
      </c>
      <c r="AX253" s="38">
        <v>0</v>
      </c>
      <c r="AY253" s="38">
        <v>0</v>
      </c>
      <c r="BB253" s="105">
        <f t="shared" ref="BB253:BB269" si="4">SUM(C253:S253)</f>
        <v>0</v>
      </c>
    </row>
    <row r="254" spans="1:54">
      <c r="A254" t="str">
        <f>_DATA_Dashboard_Facts!$A$5</f>
        <v>Company Geography</v>
      </c>
      <c r="B254" s="4">
        <f>IF($Y254=0,"",_DATA_Dashboard_Facts!$H$5)</f>
        <v>0</v>
      </c>
      <c r="C254" s="4">
        <f>IFERROR(IF($Y254=0,"",MIN(IF((_DATA_Assessment_Model!$H$5:$H$23&lt;&gt;"")*(_DATA_Assessment_Model!$H$5:$H$23&lt;&gt;"N/A"),_DATA_Assessment_Model!$H$5:$H$23+0))),0)</f>
        <v>0</v>
      </c>
      <c r="D254" s="4">
        <f>IFERROR(IF(B254="","",_ENGINE_Crisis!$AH$276*B254+(1-_ENGINE_Crisis!$AH$276)*C254),0)</f>
        <v>0</v>
      </c>
      <c r="E254" s="4"/>
      <c r="F254" s="4">
        <f>IF(AND(E254&lt;&gt;"",E254&lt;_ENGINE_Crisis!$AH$279),1,0)</f>
        <v>0</v>
      </c>
      <c r="G254" s="4">
        <f>IFERROR(IF(B254="","",IF(F254=1,MIN(D254,_ENGINE_Crisis!$AH$280),D254)),0)</f>
        <v>0</v>
      </c>
      <c r="H254" s="4">
        <f>1+MIN(_ENGINE_Crisis!$AH$281,MAX(IFERROR(VLOOKUP('Company Profile'!$B$74,_ENGINE_Crisis!$AN$276:$AO$281,2,FALSE),0),IFERROR(VLOOKUP('Company Profile'!$B$75,_ENGINE_Crisis!$AN$276:$AO$281,2,FALSE),0)))</f>
        <v>1</v>
      </c>
      <c r="I254" s="4">
        <f t="shared" ref="I254:I270" si="5">IFERROR(IF(B254="",0,5-G254),0)</f>
        <v>5</v>
      </c>
      <c r="J254" s="4">
        <f t="shared" ref="J254:J270" si="6">IFERROR(IF(B254="",0,MIN(5,I254*H254)),0)</f>
        <v>5</v>
      </c>
      <c r="K254" s="4">
        <f>IFERROR(SUMPRODUCT(_ENGINE_Crisis!AI$253:AI$269,$J$254:$J$270),0)</f>
        <v>1.5</v>
      </c>
      <c r="L254" s="4">
        <f>IFERROR(_ENGINE_Crisis!$AH$277*K254,0)</f>
        <v>0.52499999999999991</v>
      </c>
      <c r="M254" s="4">
        <f t="shared" ref="M254:M270" si="7">IFERROR(MIN(5,J254+L254),0)</f>
        <v>5</v>
      </c>
      <c r="N254" s="4">
        <f t="shared" ref="N254:N270" si="8">IFERROR(IF(B254="","",ROUND(M254,2)),0)</f>
        <v>5</v>
      </c>
      <c r="O254" t="str">
        <f t="shared" ref="O254:O270" si="9">IFERROR(IF(B254="","",IF(M254&gt;=4,"Critical",IF(M254&gt;=3,"High",IF(M254&gt;=2,"Medium",IF(M254&gt;=1,"Low","Minimal"))))),"")</f>
        <v>Critical</v>
      </c>
      <c r="P254" s="4">
        <f>IFERROR(IF(SUMIFS(_ENGINE_Crisis!$C$5:$C$208,_ENGINE_Crisis!$A$5:$A$208,'Resilience &amp; Risk Scenario'!$B$6,_ENGINE_Crisis!$B$5:$B$208,A254)=0,1,SUMIFS(_ENGINE_Crisis!$C$5:$C$208,_ENGINE_Crisis!$A$5:$A$208,'Resilience &amp; Risk Scenario'!$B$6,_ENGINE_Crisis!$B$5:$B$208,A254)),1)</f>
        <v>1</v>
      </c>
      <c r="Q254" s="4">
        <f t="shared" ref="Q254:Q270" si="10">MAX(0,P254-1)</f>
        <v>0</v>
      </c>
      <c r="R254" s="4">
        <f>SUMPRODUCT(_ENGINE_Crisis!AI$253:AI$269,$Q$254:$Q$270)</f>
        <v>0</v>
      </c>
      <c r="S254" s="4">
        <f>MIN(_ENGINE_Crisis!$AH$283,1+('Resilience &amp; Risk Scenario'!$B$7/5)*(Q254+_ENGINE_Crisis!$AH$278*R254))</f>
        <v>1</v>
      </c>
      <c r="T254" s="4">
        <f t="shared" ref="T254:T270" si="11">IFERROR(MIN(5,M254*S254),0)</f>
        <v>5</v>
      </c>
      <c r="U254" s="4">
        <f t="shared" ref="U254:U270" si="12">IFERROR(IF(B254="","",ROUND(T254,2)),0)</f>
        <v>5</v>
      </c>
      <c r="V254" s="4" t="str">
        <f t="shared" ref="V254:V270" si="13">IFERROR(IF(B254="","",IF(T254&gt;=4,"Critical",IF(T254&gt;=3,"High",IF(T254&gt;=2,"Medium",IF(T254&gt;=1,"Low","Minimal"))))),"")</f>
        <v>Critical</v>
      </c>
      <c r="W254" s="4">
        <f t="shared" ref="W254:W270" si="14">IFERROR(IF(B254="","",ROUND(5-M254,2)),0)</f>
        <v>0</v>
      </c>
      <c r="X254" s="4">
        <f>IFERROR(IF(B254="","",RANK(T254,$T$254:$T$270)+COUNTIF($T$254:T254,T254)-1),0)</f>
        <v>1</v>
      </c>
      <c r="Y254">
        <f>SUMPRODUCT(--(_DATA_Assessment_Model!$H$5:$H$23&lt;&gt;""),--(_DATA_Assessment_Model!$H$5:$H$23&lt;&gt;"N/A"))</f>
        <v>19</v>
      </c>
      <c r="AG254" s="37" t="s">
        <v>949</v>
      </c>
      <c r="AI254" s="38">
        <v>0</v>
      </c>
      <c r="AJ254" s="38">
        <v>0</v>
      </c>
      <c r="AK254" s="38">
        <v>0</v>
      </c>
      <c r="AL254" s="38">
        <v>0</v>
      </c>
      <c r="AM254" s="38">
        <v>0</v>
      </c>
      <c r="AN254" s="38">
        <v>0</v>
      </c>
      <c r="AO254" s="38">
        <v>0</v>
      </c>
      <c r="AP254" s="38">
        <v>0</v>
      </c>
      <c r="AQ254" s="38">
        <v>0</v>
      </c>
      <c r="AR254" s="38">
        <v>0</v>
      </c>
      <c r="AS254" s="38">
        <v>0.5</v>
      </c>
      <c r="AT254" s="38">
        <v>0.5</v>
      </c>
      <c r="AU254" s="38">
        <v>0</v>
      </c>
      <c r="AV254" s="38">
        <v>0</v>
      </c>
      <c r="AW254" s="38">
        <v>0</v>
      </c>
      <c r="AX254" s="38">
        <v>0</v>
      </c>
      <c r="AY254" s="38">
        <v>0.3</v>
      </c>
      <c r="BB254" s="105">
        <f t="shared" si="4"/>
        <v>25.024999999999999</v>
      </c>
    </row>
    <row r="255" spans="1:54">
      <c r="A255" t="str">
        <f>_DATA_Dashboard_Facts!$A$6</f>
        <v>Strategy GTM</v>
      </c>
      <c r="B255" s="4">
        <f>IF($Y255=0,"",_DATA_Dashboard_Facts!$H$6)</f>
        <v>0</v>
      </c>
      <c r="C255" s="4">
        <f>IFERROR(IF($Y255=0,"",MIN(IF((_DATA_Assessment_Model!$H$24:$H$49&lt;&gt;"")*(_DATA_Assessment_Model!$H$24:$H$49&lt;&gt;"N/A"),_DATA_Assessment_Model!$H$24:$H$49+0))),0)</f>
        <v>0</v>
      </c>
      <c r="D255" s="4">
        <f>IFERROR(IF(B255="","",_ENGINE_Crisis!$AH$276*B255+(1-_ENGINE_Crisis!$AH$276)*C255),0)</f>
        <v>0</v>
      </c>
      <c r="E255" s="4"/>
      <c r="F255" s="4">
        <f>IF(AND(E255&lt;&gt;"",E255&lt;_ENGINE_Crisis!$AH$279),1,0)</f>
        <v>0</v>
      </c>
      <c r="G255" s="4">
        <f>IFERROR(IF(B255="","",IF(F255=1,MIN(D255,_ENGINE_Crisis!$AH$280),D255)),0)</f>
        <v>0</v>
      </c>
      <c r="H255" s="4">
        <f>1+MIN(_ENGINE_Crisis!$AH$281,IFERROR(VLOOKUP('Company Profile'!$B$54,_ENGINE_Crisis!$AK$276:$AL$282,2,FALSE),0))</f>
        <v>1</v>
      </c>
      <c r="I255" s="4">
        <f t="shared" si="5"/>
        <v>5</v>
      </c>
      <c r="J255" s="4">
        <f t="shared" si="6"/>
        <v>5</v>
      </c>
      <c r="K255" s="4">
        <f>IFERROR(SUMPRODUCT(_ENGINE_Crisis!AJ$253:AJ$269,$J$254:$J$270),0)</f>
        <v>5.5</v>
      </c>
      <c r="L255" s="4">
        <f>IFERROR(_ENGINE_Crisis!$AH$277*K255,0)</f>
        <v>1.9249999999999998</v>
      </c>
      <c r="M255" s="4">
        <f t="shared" si="7"/>
        <v>5</v>
      </c>
      <c r="N255" s="4">
        <f t="shared" si="8"/>
        <v>5</v>
      </c>
      <c r="O255" t="str">
        <f t="shared" si="9"/>
        <v>Critical</v>
      </c>
      <c r="P255" s="4">
        <f>IFERROR(IF(SUMIFS(_ENGINE_Crisis!$C$5:$C$208,_ENGINE_Crisis!$A$5:$A$208,'Resilience &amp; Risk Scenario'!$B$6,_ENGINE_Crisis!$B$5:$B$208,A255)=0,1,SUMIFS(_ENGINE_Crisis!$C$5:$C$208,_ENGINE_Crisis!$A$5:$A$208,'Resilience &amp; Risk Scenario'!$B$6,_ENGINE_Crisis!$B$5:$B$208,A255)),1)</f>
        <v>1</v>
      </c>
      <c r="Q255" s="4">
        <f t="shared" si="10"/>
        <v>0</v>
      </c>
      <c r="R255" s="4">
        <f>SUMPRODUCT(_ENGINE_Crisis!AJ$253:AJ$269,$Q$254:$Q$270)</f>
        <v>0</v>
      </c>
      <c r="S255" s="4">
        <f>MIN(_ENGINE_Crisis!$AH$283,1+('Resilience &amp; Risk Scenario'!$B$7/5)*(Q255+_ENGINE_Crisis!$AH$278*R255))</f>
        <v>1</v>
      </c>
      <c r="T255" s="4">
        <f t="shared" si="11"/>
        <v>5</v>
      </c>
      <c r="U255" s="4">
        <f t="shared" si="12"/>
        <v>5</v>
      </c>
      <c r="V255" s="4" t="str">
        <f t="shared" si="13"/>
        <v>Critical</v>
      </c>
      <c r="W255" s="4">
        <f t="shared" si="14"/>
        <v>0</v>
      </c>
      <c r="X255" s="4">
        <f>IFERROR(IF(B255="","",RANK(T255,$T$254:$T$270)+COUNTIF($T$254:T255,T255)-1),0)</f>
        <v>2</v>
      </c>
      <c r="Y255">
        <f>SUMPRODUCT(--(_DATA_Assessment_Model!$H$24:$H$49&lt;&gt;""),--(_DATA_Assessment_Model!$H$24:$H$49&lt;&gt;"N/A"))</f>
        <v>26</v>
      </c>
      <c r="AG255" s="37" t="s">
        <v>1150</v>
      </c>
      <c r="AI255" s="38">
        <v>0</v>
      </c>
      <c r="AJ255" s="38">
        <v>0.3</v>
      </c>
      <c r="AK255" s="38">
        <v>0</v>
      </c>
      <c r="AL255" s="38">
        <v>0.2</v>
      </c>
      <c r="AM255" s="38">
        <v>0.2</v>
      </c>
      <c r="AN255" s="38">
        <v>0.2</v>
      </c>
      <c r="AO255" s="38">
        <v>0</v>
      </c>
      <c r="AP255" s="38">
        <v>0.2</v>
      </c>
      <c r="AQ255" s="38">
        <v>0</v>
      </c>
      <c r="AR255" s="38">
        <v>0</v>
      </c>
      <c r="AS255" s="38">
        <v>0</v>
      </c>
      <c r="AT255" s="38">
        <v>0.3</v>
      </c>
      <c r="AU255" s="38">
        <v>0</v>
      </c>
      <c r="AV255" s="38">
        <v>0</v>
      </c>
      <c r="AW255" s="38">
        <v>0</v>
      </c>
      <c r="AX255" s="38">
        <v>0</v>
      </c>
      <c r="AY255" s="38">
        <v>0</v>
      </c>
      <c r="BB255" s="105">
        <f t="shared" si="4"/>
        <v>30.425000000000001</v>
      </c>
    </row>
    <row r="256" spans="1:54">
      <c r="A256" t="str">
        <f>_DATA_Dashboard_Facts!$A$7</f>
        <v>Governance Crisis</v>
      </c>
      <c r="B256" s="4">
        <f>IF($Y256=0,"",_DATA_Dashboard_Facts!$H$7)</f>
        <v>0</v>
      </c>
      <c r="C256" s="4">
        <f>IFERROR(IF($Y256=0,"",MIN(IF((_DATA_Assessment_Model!$H$50:$H$71&lt;&gt;"")*(_DATA_Assessment_Model!$H$50:$H$71&lt;&gt;"N/A"),_DATA_Assessment_Model!$H$50:$H$71+0))),0)</f>
        <v>0</v>
      </c>
      <c r="D256" s="4">
        <f>IFERROR(IF(B256="","",_ENGINE_Crisis!$AH$276*B256+(1-_ENGINE_Crisis!$AH$276)*C256),0)</f>
        <v>0</v>
      </c>
      <c r="E256" s="4">
        <f>IF(COUNT(AA256:AB256)=0,"",MIN(AA256:AB256))</f>
        <v>0</v>
      </c>
      <c r="F256" s="4">
        <f>IF(AND(E256&lt;&gt;"",E256&lt;_ENGINE_Crisis!$AH$279),1,0)</f>
        <v>1</v>
      </c>
      <c r="G256" s="4">
        <f>IFERROR(IF(B256="","",IF(F256=1,MIN(D256,_ENGINE_Crisis!$AH$280),D256)),0)</f>
        <v>0</v>
      </c>
      <c r="H256" s="4">
        <f>1</f>
        <v>1</v>
      </c>
      <c r="I256" s="4">
        <f t="shared" si="5"/>
        <v>5</v>
      </c>
      <c r="J256" s="4">
        <f t="shared" si="6"/>
        <v>5</v>
      </c>
      <c r="K256" s="4">
        <f>IFERROR(SUMPRODUCT(_ENGINE_Crisis!AK$253:AK$269,$J$254:$J$270),0)</f>
        <v>6</v>
      </c>
      <c r="L256" s="4">
        <f>IFERROR(_ENGINE_Crisis!$AH$277*K256,0)</f>
        <v>2.0999999999999996</v>
      </c>
      <c r="M256" s="4">
        <f t="shared" si="7"/>
        <v>5</v>
      </c>
      <c r="N256" s="4">
        <f t="shared" si="8"/>
        <v>5</v>
      </c>
      <c r="O256" t="str">
        <f t="shared" si="9"/>
        <v>Critical</v>
      </c>
      <c r="P256" s="4">
        <f>IFERROR(IF(SUMIFS(_ENGINE_Crisis!$C$5:$C$208,_ENGINE_Crisis!$A$5:$A$208,'Resilience &amp; Risk Scenario'!$B$6,_ENGINE_Crisis!$B$5:$B$208,A256)=0,1,SUMIFS(_ENGINE_Crisis!$C$5:$C$208,_ENGINE_Crisis!$A$5:$A$208,'Resilience &amp; Risk Scenario'!$B$6,_ENGINE_Crisis!$B$5:$B$208,A256)),1)</f>
        <v>1</v>
      </c>
      <c r="Q256" s="4">
        <f t="shared" si="10"/>
        <v>0</v>
      </c>
      <c r="R256" s="4">
        <f>SUMPRODUCT(_ENGINE_Crisis!AK$253:AK$269,$Q$254:$Q$270)</f>
        <v>0</v>
      </c>
      <c r="S256" s="4">
        <f>MIN(_ENGINE_Crisis!$AH$283,1+('Resilience &amp; Risk Scenario'!$B$7/5)*(Q256+_ENGINE_Crisis!$AH$278*R256))</f>
        <v>1</v>
      </c>
      <c r="T256" s="4">
        <f t="shared" si="11"/>
        <v>5</v>
      </c>
      <c r="U256" s="4">
        <f t="shared" si="12"/>
        <v>5</v>
      </c>
      <c r="V256" s="4" t="str">
        <f t="shared" si="13"/>
        <v>Critical</v>
      </c>
      <c r="W256" s="4">
        <f t="shared" si="14"/>
        <v>0</v>
      </c>
      <c r="X256" s="4">
        <f>IFERROR(IF(B256="","",RANK(T256,$T$254:$T$270)+COUNTIF($T$254:T256,T256)-1),0)</f>
        <v>3</v>
      </c>
      <c r="Y256">
        <f>SUMPRODUCT(--(_DATA_Assessment_Model!$H$50:$H$71&lt;&gt;""),--(_DATA_Assessment_Model!$H$50:$H$71&lt;&gt;"N/A"))</f>
        <v>22</v>
      </c>
      <c r="AA256">
        <f>IF(OR(_DATA_Assessment_Model!H50="",_DATA_Assessment_Model!H50="N/A"),"",_DATA_Assessment_Model!H50+0)</f>
        <v>0</v>
      </c>
      <c r="AB256">
        <f>IF(OR(_DATA_Assessment_Model!H60="",_DATA_Assessment_Model!H60="N/A"),"",_DATA_Assessment_Model!H60+0)</f>
        <v>0</v>
      </c>
      <c r="AG256" s="37" t="s">
        <v>1259</v>
      </c>
      <c r="AI256" s="38">
        <v>0</v>
      </c>
      <c r="AJ256" s="38">
        <v>0</v>
      </c>
      <c r="AK256" s="38">
        <v>0.3</v>
      </c>
      <c r="AL256" s="38">
        <v>0</v>
      </c>
      <c r="AM256" s="38">
        <v>0</v>
      </c>
      <c r="AN256" s="38">
        <v>0</v>
      </c>
      <c r="AO256" s="38">
        <v>0.3</v>
      </c>
      <c r="AP256" s="38">
        <v>0.5</v>
      </c>
      <c r="AQ256" s="38">
        <v>0</v>
      </c>
      <c r="AR256" s="38">
        <v>0.5</v>
      </c>
      <c r="AS256" s="38">
        <v>0.3</v>
      </c>
      <c r="AT256" s="38">
        <v>0</v>
      </c>
      <c r="AU256" s="38">
        <v>0.3</v>
      </c>
      <c r="AV256" s="38">
        <v>0</v>
      </c>
      <c r="AW256" s="38">
        <v>0</v>
      </c>
      <c r="AX256" s="38">
        <v>0</v>
      </c>
      <c r="AY256" s="38">
        <v>0</v>
      </c>
      <c r="BB256" s="105">
        <f t="shared" si="4"/>
        <v>32.1</v>
      </c>
    </row>
    <row r="257" spans="1:54">
      <c r="A257" t="str">
        <f>_DATA_Dashboard_Facts!$A$8</f>
        <v>HR Workforce</v>
      </c>
      <c r="B257" s="4">
        <f>IF($Y257=0,"",_DATA_Dashboard_Facts!$H$8)</f>
        <v>0</v>
      </c>
      <c r="C257" s="4">
        <f>IFERROR(IF($Y257=0,"",MIN(IF((_DATA_Assessment_Model!$H$72:$H$97&lt;&gt;"")*(_DATA_Assessment_Model!$H$72:$H$97&lt;&gt;"N/A"),_DATA_Assessment_Model!$H$72:$H$97+0))),0)</f>
        <v>0</v>
      </c>
      <c r="D257" s="4">
        <f>IFERROR(IF(B257="","",_ENGINE_Crisis!$AH$276*B257+(1-_ENGINE_Crisis!$AH$276)*C257),0)</f>
        <v>0</v>
      </c>
      <c r="E257" s="4"/>
      <c r="F257" s="4">
        <f>IF(AND(E257&lt;&gt;"",E257&lt;_ENGINE_Crisis!$AH$279),1,0)</f>
        <v>0</v>
      </c>
      <c r="G257" s="4">
        <f>IFERROR(IF(B257="","",IF(F257=1,MIN(D257,_ENGINE_Crisis!$AH$280),D257)),0)</f>
        <v>0</v>
      </c>
      <c r="H257" s="4">
        <f>1+MIN(_ENGINE_Crisis!$AH$281,MAX(IFERROR(VLOOKUP('Company Profile'!$B$74,_ENGINE_Crisis!$AN$276:$AO$281,2,FALSE),0),IFERROR(VLOOKUP('Company Profile'!$B$75,_ENGINE_Crisis!$AN$276:$AO$281,2,FALSE),0)))</f>
        <v>1</v>
      </c>
      <c r="I257" s="4">
        <f t="shared" si="5"/>
        <v>5</v>
      </c>
      <c r="J257" s="4">
        <f t="shared" si="6"/>
        <v>5</v>
      </c>
      <c r="K257" s="4">
        <f>IFERROR(SUMPRODUCT(_ENGINE_Crisis!AL$253:AL$269,$J$254:$J$270),0)</f>
        <v>4.5</v>
      </c>
      <c r="L257" s="4">
        <f>IFERROR(_ENGINE_Crisis!$AH$277*K257,0)</f>
        <v>1.575</v>
      </c>
      <c r="M257" s="4">
        <f t="shared" si="7"/>
        <v>5</v>
      </c>
      <c r="N257" s="4">
        <f t="shared" si="8"/>
        <v>5</v>
      </c>
      <c r="O257" t="str">
        <f t="shared" si="9"/>
        <v>Critical</v>
      </c>
      <c r="P257" s="4">
        <f>IFERROR(IF(SUMIFS(_ENGINE_Crisis!$C$5:$C$208,_ENGINE_Crisis!$A$5:$A$208,'Resilience &amp; Risk Scenario'!$B$6,_ENGINE_Crisis!$B$5:$B$208,A257)=0,1,SUMIFS(_ENGINE_Crisis!$C$5:$C$208,_ENGINE_Crisis!$A$5:$A$208,'Resilience &amp; Risk Scenario'!$B$6,_ENGINE_Crisis!$B$5:$B$208,A257)),1)</f>
        <v>1</v>
      </c>
      <c r="Q257" s="4">
        <f t="shared" si="10"/>
        <v>0</v>
      </c>
      <c r="R257" s="4">
        <f>SUMPRODUCT(_ENGINE_Crisis!AL$253:AL$269,$Q$254:$Q$270)</f>
        <v>0</v>
      </c>
      <c r="S257" s="4">
        <f>MIN(_ENGINE_Crisis!$AH$283,1+('Resilience &amp; Risk Scenario'!$B$7/5)*(Q257+_ENGINE_Crisis!$AH$278*R257))</f>
        <v>1</v>
      </c>
      <c r="T257" s="4">
        <f t="shared" si="11"/>
        <v>5</v>
      </c>
      <c r="U257" s="4">
        <f t="shared" si="12"/>
        <v>5</v>
      </c>
      <c r="V257" s="4" t="str">
        <f t="shared" si="13"/>
        <v>Critical</v>
      </c>
      <c r="W257" s="4">
        <f t="shared" si="14"/>
        <v>0</v>
      </c>
      <c r="X257" s="4">
        <f>IFERROR(IF(B257="","",RANK(T257,$T$254:$T$270)+COUNTIF($T$254:T257,T257)-1),0)</f>
        <v>4</v>
      </c>
      <c r="Y257">
        <f>SUMPRODUCT(--(_DATA_Assessment_Model!$H$72:$H$97&lt;&gt;""),--(_DATA_Assessment_Model!$H$72:$H$97&lt;&gt;"N/A"))</f>
        <v>26</v>
      </c>
      <c r="AG257" s="37" t="s">
        <v>1401</v>
      </c>
      <c r="AI257" s="38">
        <v>0</v>
      </c>
      <c r="AJ257" s="38">
        <v>0.3</v>
      </c>
      <c r="AK257" s="38">
        <v>0.3</v>
      </c>
      <c r="AL257" s="38">
        <v>0</v>
      </c>
      <c r="AM257" s="38">
        <v>0</v>
      </c>
      <c r="AN257" s="38">
        <v>0</v>
      </c>
      <c r="AO257" s="38">
        <v>0</v>
      </c>
      <c r="AP257" s="38">
        <v>0.3</v>
      </c>
      <c r="AQ257" s="38">
        <v>0.4</v>
      </c>
      <c r="AR257" s="38">
        <v>0</v>
      </c>
      <c r="AS257" s="38">
        <v>0</v>
      </c>
      <c r="AT257" s="38">
        <v>0</v>
      </c>
      <c r="AU257" s="38">
        <v>0</v>
      </c>
      <c r="AV257" s="38">
        <v>0</v>
      </c>
      <c r="AW257" s="38">
        <v>0</v>
      </c>
      <c r="AX257" s="38">
        <v>0</v>
      </c>
      <c r="AY257" s="38">
        <v>0</v>
      </c>
      <c r="BB257" s="105">
        <f t="shared" si="4"/>
        <v>29.074999999999999</v>
      </c>
    </row>
    <row r="258" spans="1:54">
      <c r="A258" t="str">
        <f>_DATA_Dashboard_Facts!$A$9</f>
        <v>Finance Procurement</v>
      </c>
      <c r="B258" s="4">
        <f>IF($Y258=0,"",_DATA_Dashboard_Facts!$H$9)</f>
        <v>0</v>
      </c>
      <c r="C258" s="4">
        <f>IFERROR(IF($Y258=0,"",MIN(IF((_DATA_Assessment_Model!$H$98:$H$123&lt;&gt;"")*(_DATA_Assessment_Model!$H$98:$H$123&lt;&gt;"N/A"),_DATA_Assessment_Model!$H$98:$H$123+0))),0)</f>
        <v>0</v>
      </c>
      <c r="D258" s="4">
        <f>IFERROR(IF(B258="","",_ENGINE_Crisis!$AH$276*B258+(1-_ENGINE_Crisis!$AH$276)*C258),0)</f>
        <v>0</v>
      </c>
      <c r="E258" s="4">
        <f>IF(COUNT(AA258:AB258)=0,"",MIN(AA258:AB258))</f>
        <v>0</v>
      </c>
      <c r="F258" s="4">
        <f>IF(AND(E258&lt;&gt;"",E258&lt;_ENGINE_Crisis!$AH$279),1,0)</f>
        <v>1</v>
      </c>
      <c r="G258" s="4">
        <f>IFERROR(IF(B258="","",IF(F258=1,MIN(D258,_ENGINE_Crisis!$AH$280),D258)),0)</f>
        <v>0</v>
      </c>
      <c r="H258" s="4">
        <f>1+MIN(_ENGINE_Crisis!$AH$281,IFERROR(VLOOKUP('Company Profile'!$B$57,_ENGINE_Crisis!$AK$276:$AL$282,2,FALSE),0)+IFERROR(VLOOKUP('Company Profile'!$B$59,_ENGINE_Crisis!$AQ$276:$AR$282,2,FALSE),0))</f>
        <v>1</v>
      </c>
      <c r="I258" s="4">
        <f t="shared" si="5"/>
        <v>5</v>
      </c>
      <c r="J258" s="4">
        <f t="shared" si="6"/>
        <v>5</v>
      </c>
      <c r="K258" s="4">
        <f>IFERROR(SUMPRODUCT(_ENGINE_Crisis!AM$253:AM$269,$J$254:$J$270),0)</f>
        <v>16</v>
      </c>
      <c r="L258" s="4">
        <f>IFERROR(_ENGINE_Crisis!$AH$277*K258,0)</f>
        <v>5.6</v>
      </c>
      <c r="M258" s="4">
        <f t="shared" si="7"/>
        <v>5</v>
      </c>
      <c r="N258" s="4">
        <f t="shared" si="8"/>
        <v>5</v>
      </c>
      <c r="O258" t="str">
        <f t="shared" si="9"/>
        <v>Critical</v>
      </c>
      <c r="P258" s="4">
        <f>IFERROR(IF(SUMIFS(_ENGINE_Crisis!$C$5:$C$208,_ENGINE_Crisis!$A$5:$A$208,'Resilience &amp; Risk Scenario'!$B$6,_ENGINE_Crisis!$B$5:$B$208,A258)=0,1,SUMIFS(_ENGINE_Crisis!$C$5:$C$208,_ENGINE_Crisis!$A$5:$A$208,'Resilience &amp; Risk Scenario'!$B$6,_ENGINE_Crisis!$B$5:$B$208,A258)),1)</f>
        <v>1</v>
      </c>
      <c r="Q258" s="4">
        <f t="shared" si="10"/>
        <v>0</v>
      </c>
      <c r="R258" s="4">
        <f>SUMPRODUCT(_ENGINE_Crisis!AM$253:AM$269,$Q$254:$Q$270)</f>
        <v>0</v>
      </c>
      <c r="S258" s="4">
        <f>MIN(_ENGINE_Crisis!$AH$283,1+('Resilience &amp; Risk Scenario'!$B$7/5)*(Q258+_ENGINE_Crisis!$AH$278*R258))</f>
        <v>1</v>
      </c>
      <c r="T258" s="4">
        <f t="shared" si="11"/>
        <v>5</v>
      </c>
      <c r="U258" s="4">
        <f t="shared" si="12"/>
        <v>5</v>
      </c>
      <c r="V258" s="4" t="str">
        <f t="shared" si="13"/>
        <v>Critical</v>
      </c>
      <c r="W258" s="4">
        <f t="shared" si="14"/>
        <v>0</v>
      </c>
      <c r="X258" s="4">
        <f>IFERROR(IF(B258="","",RANK(T258,$T$254:$T$270)+COUNTIF($T$254:T258,T258)-1),0)</f>
        <v>5</v>
      </c>
      <c r="Y258">
        <f>SUMPRODUCT(--(_DATA_Assessment_Model!$H$98:$H$123&lt;&gt;""),--(_DATA_Assessment_Model!$H$98:$H$123&lt;&gt;"N/A"))</f>
        <v>26</v>
      </c>
      <c r="AA258">
        <f>IF(OR(_DATA_Assessment_Model!H100="",_DATA_Assessment_Model!H100="N/A"),"",_DATA_Assessment_Model!H100+0)</f>
        <v>0</v>
      </c>
      <c r="AB258">
        <f>IF(OR(_DATA_Assessment_Model!H105="",_DATA_Assessment_Model!H105="N/A"),"",_DATA_Assessment_Model!H105+0)</f>
        <v>0</v>
      </c>
      <c r="AG258" s="37" t="s">
        <v>1551</v>
      </c>
      <c r="AI258" s="38">
        <v>0</v>
      </c>
      <c r="AJ258" s="38">
        <v>0.2</v>
      </c>
      <c r="AK258" s="38">
        <v>0</v>
      </c>
      <c r="AL258" s="38">
        <v>0</v>
      </c>
      <c r="AM258" s="38">
        <v>0.3</v>
      </c>
      <c r="AN258" s="38">
        <v>0</v>
      </c>
      <c r="AO258" s="38">
        <v>0</v>
      </c>
      <c r="AP258" s="38">
        <v>0</v>
      </c>
      <c r="AQ258" s="38">
        <v>0.3</v>
      </c>
      <c r="AR258" s="38">
        <v>0</v>
      </c>
      <c r="AS258" s="38">
        <v>0.3</v>
      </c>
      <c r="AT258" s="38">
        <v>0</v>
      </c>
      <c r="AU258" s="38">
        <v>0</v>
      </c>
      <c r="AV258" s="38">
        <v>0</v>
      </c>
      <c r="AW258" s="38">
        <v>0</v>
      </c>
      <c r="AX258" s="38">
        <v>0</v>
      </c>
      <c r="AY258" s="38">
        <v>0</v>
      </c>
      <c r="BB258" s="105">
        <f t="shared" si="4"/>
        <v>45.6</v>
      </c>
    </row>
    <row r="259" spans="1:54">
      <c r="A259" t="str">
        <f>_DATA_Dashboard_Facts!$A$10</f>
        <v>Legal Risk</v>
      </c>
      <c r="B259" s="4">
        <f>IF($Y259=0,"",_DATA_Dashboard_Facts!$H$10)</f>
        <v>0</v>
      </c>
      <c r="C259" s="4">
        <f>IFERROR(IF($Y259=0,"",MIN(IF((_DATA_Assessment_Model!$H$124:$H$144&lt;&gt;"")*(_DATA_Assessment_Model!$H$124:$H$144&lt;&gt;"N/A"),_DATA_Assessment_Model!$H$124:$H$144+0))),0)</f>
        <v>0</v>
      </c>
      <c r="D259" s="4">
        <f>IFERROR(IF(B259="","",_ENGINE_Crisis!$AH$276*B259+(1-_ENGINE_Crisis!$AH$276)*C259),0)</f>
        <v>0</v>
      </c>
      <c r="E259" s="4">
        <f>IF(COUNT(AA259:AB259)=0,"",MIN(AA259:AB259))</f>
        <v>0</v>
      </c>
      <c r="F259" s="4">
        <f>IF(AND(E259&lt;&gt;"",E259&lt;_ENGINE_Crisis!$AH$279),1,0)</f>
        <v>1</v>
      </c>
      <c r="G259" s="4">
        <f>IFERROR(IF(B259="","",IF(F259=1,MIN(D259,_ENGINE_Crisis!$AH$280),D259)),0)</f>
        <v>0</v>
      </c>
      <c r="H259" s="4">
        <f>1</f>
        <v>1</v>
      </c>
      <c r="I259" s="4">
        <f t="shared" si="5"/>
        <v>5</v>
      </c>
      <c r="J259" s="4">
        <f t="shared" si="6"/>
        <v>5</v>
      </c>
      <c r="K259" s="4">
        <f>IFERROR(SUMPRODUCT(_ENGINE_Crisis!AN$253:AN$269,$J$254:$J$270),0)</f>
        <v>3</v>
      </c>
      <c r="L259" s="4">
        <f>IFERROR(_ENGINE_Crisis!$AH$277*K259,0)</f>
        <v>1.0499999999999998</v>
      </c>
      <c r="M259" s="4">
        <f t="shared" si="7"/>
        <v>5</v>
      </c>
      <c r="N259" s="4">
        <f t="shared" si="8"/>
        <v>5</v>
      </c>
      <c r="O259" t="str">
        <f t="shared" si="9"/>
        <v>Critical</v>
      </c>
      <c r="P259" s="4">
        <f>IFERROR(IF(SUMIFS(_ENGINE_Crisis!$C$5:$C$208,_ENGINE_Crisis!$A$5:$A$208,'Resilience &amp; Risk Scenario'!$B$6,_ENGINE_Crisis!$B$5:$B$208,A259)=0,1,SUMIFS(_ENGINE_Crisis!$C$5:$C$208,_ENGINE_Crisis!$A$5:$A$208,'Resilience &amp; Risk Scenario'!$B$6,_ENGINE_Crisis!$B$5:$B$208,A259)),1)</f>
        <v>1</v>
      </c>
      <c r="Q259" s="4">
        <f t="shared" si="10"/>
        <v>0</v>
      </c>
      <c r="R259" s="4">
        <f>SUMPRODUCT(_ENGINE_Crisis!AN$253:AN$269,$Q$254:$Q$270)</f>
        <v>0</v>
      </c>
      <c r="S259" s="4">
        <f>MIN(_ENGINE_Crisis!$AH$283,1+('Resilience &amp; Risk Scenario'!$B$7/5)*(Q259+_ENGINE_Crisis!$AH$278*R259))</f>
        <v>1</v>
      </c>
      <c r="T259" s="4">
        <f t="shared" si="11"/>
        <v>5</v>
      </c>
      <c r="U259" s="4">
        <f t="shared" si="12"/>
        <v>5</v>
      </c>
      <c r="V259" s="4" t="str">
        <f t="shared" si="13"/>
        <v>Critical</v>
      </c>
      <c r="W259" s="4">
        <f t="shared" si="14"/>
        <v>0</v>
      </c>
      <c r="X259" s="4">
        <f>IFERROR(IF(B259="","",RANK(T259,$T$254:$T$270)+COUNTIF($T$254:T259,T259)-1),0)</f>
        <v>6</v>
      </c>
      <c r="Y259">
        <f>SUMPRODUCT(--(_DATA_Assessment_Model!$H$124:$H$144&lt;&gt;""),--(_DATA_Assessment_Model!$H$124:$H$144&lt;&gt;"N/A"))</f>
        <v>21</v>
      </c>
      <c r="AA259">
        <f>IF(OR(_DATA_Assessment_Model!H124="",_DATA_Assessment_Model!H124="N/A"),"",_DATA_Assessment_Model!H124+0)</f>
        <v>0</v>
      </c>
      <c r="AB259">
        <f>IF(OR(_DATA_Assessment_Model!H137="",_DATA_Assessment_Model!H137="N/A"),"",_DATA_Assessment_Model!H137+0)</f>
        <v>0</v>
      </c>
      <c r="AG259" s="37" t="s">
        <v>1666</v>
      </c>
      <c r="AI259" s="38">
        <v>0.3</v>
      </c>
      <c r="AJ259" s="38">
        <v>0</v>
      </c>
      <c r="AK259" s="38">
        <v>0</v>
      </c>
      <c r="AL259" s="38">
        <v>0.4</v>
      </c>
      <c r="AM259" s="38">
        <v>0</v>
      </c>
      <c r="AN259" s="38">
        <v>0</v>
      </c>
      <c r="AO259" s="38">
        <v>0</v>
      </c>
      <c r="AP259" s="38">
        <v>0.4</v>
      </c>
      <c r="AQ259" s="38">
        <v>0</v>
      </c>
      <c r="AR259" s="38">
        <v>0.5</v>
      </c>
      <c r="AS259" s="38">
        <v>0</v>
      </c>
      <c r="AT259" s="38">
        <v>0</v>
      </c>
      <c r="AU259" s="38">
        <v>0</v>
      </c>
      <c r="AV259" s="38">
        <v>0</v>
      </c>
      <c r="AW259" s="38">
        <v>0</v>
      </c>
      <c r="AX259" s="38">
        <v>0</v>
      </c>
      <c r="AY259" s="38">
        <v>0</v>
      </c>
      <c r="BB259" s="105">
        <f t="shared" si="4"/>
        <v>28.05</v>
      </c>
    </row>
    <row r="260" spans="1:54">
      <c r="A260" t="str">
        <f>_DATA_Dashboard_Facts!$A$11</f>
        <v>Physical Safety</v>
      </c>
      <c r="B260" s="4">
        <f>IF($Y260=0,"",_DATA_Dashboard_Facts!$H$11)</f>
        <v>0</v>
      </c>
      <c r="C260" s="4">
        <f>IFERROR(IF($Y260=0,"",MIN(IF((_DATA_Assessment_Model!$H$145:$H$175&lt;&gt;"")*(_DATA_Assessment_Model!$H$145:$H$175&lt;&gt;"N/A"),_DATA_Assessment_Model!$H$145:$H$175+0))),0)</f>
        <v>0</v>
      </c>
      <c r="D260" s="4">
        <f>IFERROR(IF(B260="","",_ENGINE_Crisis!$AH$276*B260+(1-_ENGINE_Crisis!$AH$276)*C260),0)</f>
        <v>0</v>
      </c>
      <c r="E260" s="4">
        <f>IF(COUNT(AA260:AB260)=0,"",MIN(AA260:AB260))</f>
        <v>0</v>
      </c>
      <c r="F260" s="4">
        <f>IF(AND(E260&lt;&gt;"",E260&lt;_ENGINE_Crisis!$AH$279),1,0)</f>
        <v>1</v>
      </c>
      <c r="G260" s="4">
        <f>IFERROR(IF(B260="","",IF(F260=1,MIN(D260,_ENGINE_Crisis!$AH$280),D260)),0)</f>
        <v>0</v>
      </c>
      <c r="H260" s="4">
        <f>1+MIN(_ENGINE_Crisis!$AH$281,MAX(IFERROR(VLOOKUP('Company Profile'!$B$74,_ENGINE_Crisis!$AN$276:$AO$281,2,FALSE),0),IFERROR(VLOOKUP('Company Profile'!$B$75,_ENGINE_Crisis!$AN$276:$AO$281,2,FALSE),0)))</f>
        <v>1</v>
      </c>
      <c r="I260" s="4">
        <f t="shared" si="5"/>
        <v>5</v>
      </c>
      <c r="J260" s="4">
        <f t="shared" si="6"/>
        <v>5</v>
      </c>
      <c r="K260" s="4">
        <f>IFERROR(SUMPRODUCT(_ENGINE_Crisis!AO$253:AO$269,$J$254:$J$270),0)</f>
        <v>3.5</v>
      </c>
      <c r="L260" s="4">
        <f>IFERROR(_ENGINE_Crisis!$AH$277*K260,0)</f>
        <v>1.2249999999999999</v>
      </c>
      <c r="M260" s="4">
        <f t="shared" si="7"/>
        <v>5</v>
      </c>
      <c r="N260" s="4">
        <f t="shared" si="8"/>
        <v>5</v>
      </c>
      <c r="O260" t="str">
        <f t="shared" si="9"/>
        <v>Critical</v>
      </c>
      <c r="P260" s="4">
        <f>IFERROR(IF(SUMIFS(_ENGINE_Crisis!$C$5:$C$208,_ENGINE_Crisis!$A$5:$A$208,'Resilience &amp; Risk Scenario'!$B$6,_ENGINE_Crisis!$B$5:$B$208,A260)=0,1,SUMIFS(_ENGINE_Crisis!$C$5:$C$208,_ENGINE_Crisis!$A$5:$A$208,'Resilience &amp; Risk Scenario'!$B$6,_ENGINE_Crisis!$B$5:$B$208,A260)),1)</f>
        <v>1</v>
      </c>
      <c r="Q260" s="4">
        <f t="shared" si="10"/>
        <v>0</v>
      </c>
      <c r="R260" s="4">
        <f>SUMPRODUCT(_ENGINE_Crisis!AO$253:AO$269,$Q$254:$Q$270)</f>
        <v>0</v>
      </c>
      <c r="S260" s="4">
        <f>MIN(_ENGINE_Crisis!$AH$283,1+('Resilience &amp; Risk Scenario'!$B$7/5)*(Q260+_ENGINE_Crisis!$AH$278*R260))</f>
        <v>1</v>
      </c>
      <c r="T260" s="4">
        <f t="shared" si="11"/>
        <v>5</v>
      </c>
      <c r="U260" s="4">
        <f t="shared" si="12"/>
        <v>5</v>
      </c>
      <c r="V260" s="4" t="str">
        <f t="shared" si="13"/>
        <v>Critical</v>
      </c>
      <c r="W260" s="4">
        <f t="shared" si="14"/>
        <v>0</v>
      </c>
      <c r="X260" s="4">
        <f>IFERROR(IF(B260="","",RANK(T260,$T$254:$T$270)+COUNTIF($T$254:T260,T260)-1),0)</f>
        <v>7</v>
      </c>
      <c r="Y260">
        <f>SUMPRODUCT(--(_DATA_Assessment_Model!$H$145:$H$175&lt;&gt;""),--(_DATA_Assessment_Model!$H$145:$H$175&lt;&gt;"N/A"))</f>
        <v>31</v>
      </c>
      <c r="AA260">
        <f>IF(OR(_DATA_Assessment_Model!H157="",_DATA_Assessment_Model!H157="N/A"),"",_DATA_Assessment_Model!H157+0)</f>
        <v>0</v>
      </c>
      <c r="AB260">
        <f>IF(OR(_DATA_Assessment_Model!H158="",_DATA_Assessment_Model!H158="N/A"),"",_DATA_Assessment_Model!H158+0)</f>
        <v>0</v>
      </c>
      <c r="AG260" s="37" t="s">
        <v>1859</v>
      </c>
      <c r="AI260" s="38">
        <v>0</v>
      </c>
      <c r="AJ260" s="38">
        <v>0</v>
      </c>
      <c r="AK260" s="38">
        <v>0</v>
      </c>
      <c r="AL260" s="38">
        <v>0</v>
      </c>
      <c r="AM260" s="38">
        <v>0.4</v>
      </c>
      <c r="AN260" s="38">
        <v>0</v>
      </c>
      <c r="AO260" s="38">
        <v>0</v>
      </c>
      <c r="AP260" s="38">
        <v>0</v>
      </c>
      <c r="AQ260" s="38">
        <v>0</v>
      </c>
      <c r="AR260" s="38">
        <v>0</v>
      </c>
      <c r="AS260" s="38">
        <v>0.5</v>
      </c>
      <c r="AT260" s="38">
        <v>0.3</v>
      </c>
      <c r="AU260" s="38">
        <v>0</v>
      </c>
      <c r="AV260" s="38">
        <v>0</v>
      </c>
      <c r="AW260" s="38">
        <v>0</v>
      </c>
      <c r="AX260" s="38">
        <v>0</v>
      </c>
      <c r="AY260" s="38">
        <v>0.4</v>
      </c>
      <c r="BB260" s="105">
        <f t="shared" si="4"/>
        <v>28.725000000000001</v>
      </c>
    </row>
    <row r="261" spans="1:54">
      <c r="A261" t="str">
        <f>_DATA_Dashboard_Facts!$A$12</f>
        <v>Delivery Ops</v>
      </c>
      <c r="B261" s="4">
        <f>IF($Y261=0,"",_DATA_Dashboard_Facts!$H$12)</f>
        <v>0</v>
      </c>
      <c r="C261" s="4">
        <f>IFERROR(IF($Y261=0,"",MIN(IF((_DATA_Assessment_Model!$H$176:$H$199&lt;&gt;"")*(_DATA_Assessment_Model!$H$176:$H$199&lt;&gt;"N/A"),_DATA_Assessment_Model!$H$176:$H$199+0))),0)</f>
        <v>0</v>
      </c>
      <c r="D261" s="4">
        <f>IFERROR(IF(B261="","",_ENGINE_Crisis!$AH$276*B261+(1-_ENGINE_Crisis!$AH$276)*C261),0)</f>
        <v>0</v>
      </c>
      <c r="E261" s="4"/>
      <c r="F261" s="4">
        <f>IF(AND(E261&lt;&gt;"",E261&lt;_ENGINE_Crisis!$AH$279),1,0)</f>
        <v>0</v>
      </c>
      <c r="G261" s="4">
        <f>IFERROR(IF(B261="","",IF(F261=1,MIN(D261,_ENGINE_Crisis!$AH$280),D261)),0)</f>
        <v>0</v>
      </c>
      <c r="H261" s="4">
        <f>1+MIN(_ENGINE_Crisis!$AH$281,IFERROR(VLOOKUP('Company Profile'!$B$57,_ENGINE_Crisis!$AK$276:$AL$282,2,FALSE),0)+IFERROR(VLOOKUP('Company Profile'!$B$59,_ENGINE_Crisis!$AQ$276:$AR$282,2,FALSE),0))</f>
        <v>1</v>
      </c>
      <c r="I261" s="4">
        <f t="shared" si="5"/>
        <v>5</v>
      </c>
      <c r="J261" s="4">
        <f t="shared" si="6"/>
        <v>5</v>
      </c>
      <c r="K261" s="4">
        <f>IFERROR(SUMPRODUCT(_ENGINE_Crisis!AP$253:AP$269,$J$254:$J$270),0)</f>
        <v>25</v>
      </c>
      <c r="L261" s="4">
        <f>IFERROR(_ENGINE_Crisis!$AH$277*K261,0)</f>
        <v>8.75</v>
      </c>
      <c r="M261" s="4">
        <f t="shared" si="7"/>
        <v>5</v>
      </c>
      <c r="N261" s="4">
        <f t="shared" si="8"/>
        <v>5</v>
      </c>
      <c r="O261" t="str">
        <f t="shared" si="9"/>
        <v>Critical</v>
      </c>
      <c r="P261" s="4">
        <f>IFERROR(IF(SUMIFS(_ENGINE_Crisis!$C$5:$C$208,_ENGINE_Crisis!$A$5:$A$208,'Resilience &amp; Risk Scenario'!$B$6,_ENGINE_Crisis!$B$5:$B$208,A261)=0,1,SUMIFS(_ENGINE_Crisis!$C$5:$C$208,_ENGINE_Crisis!$A$5:$A$208,'Resilience &amp; Risk Scenario'!$B$6,_ENGINE_Crisis!$B$5:$B$208,A261)),1)</f>
        <v>1</v>
      </c>
      <c r="Q261" s="4">
        <f t="shared" si="10"/>
        <v>0</v>
      </c>
      <c r="R261" s="4">
        <f>SUMPRODUCT(_ENGINE_Crisis!AP$253:AP$269,$Q$254:$Q$270)</f>
        <v>0</v>
      </c>
      <c r="S261" s="4">
        <f>MIN(_ENGINE_Crisis!$AH$283,1+('Resilience &amp; Risk Scenario'!$B$7/5)*(Q261+_ENGINE_Crisis!$AH$278*R261))</f>
        <v>1</v>
      </c>
      <c r="T261" s="4">
        <f t="shared" si="11"/>
        <v>5</v>
      </c>
      <c r="U261" s="4">
        <f t="shared" si="12"/>
        <v>5</v>
      </c>
      <c r="V261" s="4" t="str">
        <f t="shared" si="13"/>
        <v>Critical</v>
      </c>
      <c r="W261" s="4">
        <f t="shared" si="14"/>
        <v>0</v>
      </c>
      <c r="X261" s="4">
        <f>IFERROR(IF(B261="","",RANK(T261,$T$254:$T$270)+COUNTIF($T$254:T261,T261)-1),0)</f>
        <v>8</v>
      </c>
      <c r="Y261">
        <f>SUMPRODUCT(--(_DATA_Assessment_Model!$H$176:$H$199&lt;&gt;""),--(_DATA_Assessment_Model!$H$176:$H$199&lt;&gt;"N/A"))</f>
        <v>24</v>
      </c>
      <c r="AG261" s="37" t="s">
        <v>1987</v>
      </c>
      <c r="AI261" s="38">
        <v>0</v>
      </c>
      <c r="AJ261" s="38">
        <v>0</v>
      </c>
      <c r="AK261" s="38">
        <v>0</v>
      </c>
      <c r="AL261" s="38">
        <v>0</v>
      </c>
      <c r="AM261" s="38">
        <v>0.3</v>
      </c>
      <c r="AN261" s="38">
        <v>0</v>
      </c>
      <c r="AO261" s="38">
        <v>0</v>
      </c>
      <c r="AP261" s="38">
        <v>0.7</v>
      </c>
      <c r="AQ261" s="38">
        <v>0</v>
      </c>
      <c r="AR261" s="38">
        <v>0.7</v>
      </c>
      <c r="AS261" s="38">
        <v>0.3</v>
      </c>
      <c r="AT261" s="38">
        <v>0</v>
      </c>
      <c r="AU261" s="38">
        <v>0</v>
      </c>
      <c r="AV261" s="38">
        <v>0</v>
      </c>
      <c r="AW261" s="38">
        <v>0</v>
      </c>
      <c r="AX261" s="38">
        <v>0</v>
      </c>
      <c r="AY261" s="38">
        <v>0.4</v>
      </c>
      <c r="BB261" s="105">
        <f t="shared" si="4"/>
        <v>56.75</v>
      </c>
    </row>
    <row r="262" spans="1:54">
      <c r="A262" t="str">
        <f>_DATA_Dashboard_Facts!$A$13</f>
        <v>Supply Chain</v>
      </c>
      <c r="B262" s="4">
        <f>IF($Y262=0,"",_DATA_Dashboard_Facts!$H$13)</f>
        <v>0</v>
      </c>
      <c r="C262" s="4">
        <f>IFERROR(IF($Y262=0,"",MIN(IF((_DATA_Assessment_Model!$H$200:$H$228&lt;&gt;"")*(_DATA_Assessment_Model!$H$200:$H$228&lt;&gt;"N/A"),_DATA_Assessment_Model!$H$200:$H$228+0))),0)</f>
        <v>0</v>
      </c>
      <c r="D262" s="4">
        <f>IFERROR(IF(B262="","",_ENGINE_Crisis!$AH$276*B262+(1-_ENGINE_Crisis!$AH$276)*C262),0)</f>
        <v>0</v>
      </c>
      <c r="E262" s="4">
        <f>IF(COUNT(AA262:AB262)=0,"",MIN(AA262:AB262))</f>
        <v>0</v>
      </c>
      <c r="F262" s="4">
        <f>IF(AND(E262&lt;&gt;"",E262&lt;_ENGINE_Crisis!$AH$279),1,0)</f>
        <v>1</v>
      </c>
      <c r="G262" s="4">
        <f>IFERROR(IF(B262="","",IF(F262=1,MIN(D262,_ENGINE_Crisis!$AH$280),D262)),0)</f>
        <v>0</v>
      </c>
      <c r="H262" s="4">
        <f>1+MIN(_ENGINE_Crisis!$AH$281,IFERROR(VLOOKUP('Company Profile'!$B$57,_ENGINE_Crisis!$AK$276:$AL$282,2,FALSE),0)+IFERROR(VLOOKUP('Company Profile'!$B$59,_ENGINE_Crisis!$AQ$276:$AR$282,2,FALSE),0))</f>
        <v>1</v>
      </c>
      <c r="I262" s="4">
        <f t="shared" si="5"/>
        <v>5</v>
      </c>
      <c r="J262" s="4">
        <f t="shared" si="6"/>
        <v>5</v>
      </c>
      <c r="K262" s="4">
        <f>IFERROR(SUMPRODUCT(_ENGINE_Crisis!AQ$253:AQ$269,$J$254:$J$270),0)</f>
        <v>7</v>
      </c>
      <c r="L262" s="4">
        <f>IFERROR(_ENGINE_Crisis!$AH$277*K262,0)</f>
        <v>2.4499999999999997</v>
      </c>
      <c r="M262" s="4">
        <f t="shared" si="7"/>
        <v>5</v>
      </c>
      <c r="N262" s="4">
        <f t="shared" si="8"/>
        <v>5</v>
      </c>
      <c r="O262" t="str">
        <f t="shared" si="9"/>
        <v>Critical</v>
      </c>
      <c r="P262" s="4">
        <f>IFERROR(IF(SUMIFS(_ENGINE_Crisis!$C$5:$C$208,_ENGINE_Crisis!$A$5:$A$208,'Resilience &amp; Risk Scenario'!$B$6,_ENGINE_Crisis!$B$5:$B$208,A262)=0,1,SUMIFS(_ENGINE_Crisis!$C$5:$C$208,_ENGINE_Crisis!$A$5:$A$208,'Resilience &amp; Risk Scenario'!$B$6,_ENGINE_Crisis!$B$5:$B$208,A262)),1)</f>
        <v>1</v>
      </c>
      <c r="Q262" s="4">
        <f t="shared" si="10"/>
        <v>0</v>
      </c>
      <c r="R262" s="4">
        <f>SUMPRODUCT(_ENGINE_Crisis!AQ$253:AQ$269,$Q$254:$Q$270)</f>
        <v>0</v>
      </c>
      <c r="S262" s="4">
        <f>MIN(_ENGINE_Crisis!$AH$283,1+('Resilience &amp; Risk Scenario'!$B$7/5)*(Q262+_ENGINE_Crisis!$AH$278*R262))</f>
        <v>1</v>
      </c>
      <c r="T262" s="4">
        <f t="shared" si="11"/>
        <v>5</v>
      </c>
      <c r="U262" s="4">
        <f t="shared" si="12"/>
        <v>5</v>
      </c>
      <c r="V262" s="4" t="str">
        <f t="shared" si="13"/>
        <v>Critical</v>
      </c>
      <c r="W262" s="4">
        <f t="shared" si="14"/>
        <v>0</v>
      </c>
      <c r="X262" s="4">
        <f>IFERROR(IF(B262="","",RANK(T262,$T$254:$T$270)+COUNTIF($T$254:T262,T262)-1),0)</f>
        <v>9</v>
      </c>
      <c r="Y262">
        <f>SUMPRODUCT(--(_DATA_Assessment_Model!$H$200:$H$228&lt;&gt;""),--(_DATA_Assessment_Model!$H$200:$H$228&lt;&gt;"N/A"))</f>
        <v>29</v>
      </c>
      <c r="AA262">
        <f>IF(OR(_DATA_Assessment_Model!H204="",_DATA_Assessment_Model!H204="N/A"),"",_DATA_Assessment_Model!H204+0)</f>
        <v>0</v>
      </c>
      <c r="AB262">
        <f>IF(OR(_DATA_Assessment_Model!H205="",_DATA_Assessment_Model!H205="N/A"),"",_DATA_Assessment_Model!H205+0)</f>
        <v>0</v>
      </c>
      <c r="AG262" s="37" t="s">
        <v>2145</v>
      </c>
      <c r="AI262" s="38">
        <v>0</v>
      </c>
      <c r="AJ262" s="38">
        <v>0</v>
      </c>
      <c r="AK262" s="38">
        <v>0</v>
      </c>
      <c r="AL262" s="38">
        <v>0</v>
      </c>
      <c r="AM262" s="38">
        <v>0</v>
      </c>
      <c r="AN262" s="38">
        <v>0</v>
      </c>
      <c r="AO262" s="38">
        <v>0</v>
      </c>
      <c r="AP262" s="38">
        <v>0.7</v>
      </c>
      <c r="AQ262" s="38">
        <v>0</v>
      </c>
      <c r="AR262" s="38">
        <v>0</v>
      </c>
      <c r="AS262" s="38">
        <v>0.3</v>
      </c>
      <c r="AT262" s="38">
        <v>0</v>
      </c>
      <c r="AU262" s="38">
        <v>0</v>
      </c>
      <c r="AV262" s="38">
        <v>0</v>
      </c>
      <c r="AW262" s="38">
        <v>0</v>
      </c>
      <c r="AX262" s="38">
        <v>0</v>
      </c>
      <c r="AY262" s="38">
        <v>0.5</v>
      </c>
      <c r="BB262" s="105">
        <f t="shared" si="4"/>
        <v>33.450000000000003</v>
      </c>
    </row>
    <row r="263" spans="1:54">
      <c r="A263" t="str">
        <f>_DATA_Dashboard_Facts!$A$14</f>
        <v>Manufacturing MES</v>
      </c>
      <c r="B263" s="4">
        <f>IF($Y263=0,"",_DATA_Dashboard_Facts!$H$14)</f>
        <v>0</v>
      </c>
      <c r="C263" s="4">
        <f>IFERROR(IF($Y263=0,"",MIN(IF((_DATA_Assessment_Model!$H$229:$H$256&lt;&gt;"")*(_DATA_Assessment_Model!$H$229:$H$256&lt;&gt;"N/A"),_DATA_Assessment_Model!$H$229:$H$256+0))),0)</f>
        <v>0</v>
      </c>
      <c r="D263" s="4">
        <f>IFERROR(IF(B263="","",_ENGINE_Crisis!$AH$276*B263+(1-_ENGINE_Crisis!$AH$276)*C263),0)</f>
        <v>0</v>
      </c>
      <c r="E263" s="4"/>
      <c r="F263" s="4">
        <f>IF(AND(E263&lt;&gt;"",E263&lt;_ENGINE_Crisis!$AH$279),1,0)</f>
        <v>0</v>
      </c>
      <c r="G263" s="4">
        <f>IFERROR(IF(B263="","",IF(F263=1,MIN(D263,_ENGINE_Crisis!$AH$280),D263)),0)</f>
        <v>0</v>
      </c>
      <c r="H263" s="4">
        <f>1+MIN(_ENGINE_Crisis!$AH$281,IFERROR(VLOOKUP('Company Profile'!$B$57,_ENGINE_Crisis!$AK$276:$AL$282,2,FALSE),0)+IFERROR(VLOOKUP('Company Profile'!$B$59,_ENGINE_Crisis!$AQ$276:$AR$282,2,FALSE),0))</f>
        <v>1</v>
      </c>
      <c r="I263" s="4">
        <f t="shared" si="5"/>
        <v>5</v>
      </c>
      <c r="J263" s="4">
        <f t="shared" si="6"/>
        <v>5</v>
      </c>
      <c r="K263" s="4">
        <f>IFERROR(SUMPRODUCT(_ENGINE_Crisis!AR$253:AR$269,$J$254:$J$270),0)</f>
        <v>18</v>
      </c>
      <c r="L263" s="4">
        <f>IFERROR(_ENGINE_Crisis!$AH$277*K263,0)</f>
        <v>6.3</v>
      </c>
      <c r="M263" s="4">
        <f t="shared" si="7"/>
        <v>5</v>
      </c>
      <c r="N263" s="4">
        <f t="shared" si="8"/>
        <v>5</v>
      </c>
      <c r="O263" t="str">
        <f t="shared" si="9"/>
        <v>Critical</v>
      </c>
      <c r="P263" s="4">
        <f>IFERROR(IF(SUMIFS(_ENGINE_Crisis!$C$5:$C$208,_ENGINE_Crisis!$A$5:$A$208,'Resilience &amp; Risk Scenario'!$B$6,_ENGINE_Crisis!$B$5:$B$208,A263)=0,1,SUMIFS(_ENGINE_Crisis!$C$5:$C$208,_ENGINE_Crisis!$A$5:$A$208,'Resilience &amp; Risk Scenario'!$B$6,_ENGINE_Crisis!$B$5:$B$208,A263)),1)</f>
        <v>1</v>
      </c>
      <c r="Q263" s="4">
        <f t="shared" si="10"/>
        <v>0</v>
      </c>
      <c r="R263" s="4">
        <f>SUMPRODUCT(_ENGINE_Crisis!AR$253:AR$269,$Q$254:$Q$270)</f>
        <v>0</v>
      </c>
      <c r="S263" s="4">
        <f>MIN(_ENGINE_Crisis!$AH$283,1+('Resilience &amp; Risk Scenario'!$B$7/5)*(Q263+_ENGINE_Crisis!$AH$278*R263))</f>
        <v>1</v>
      </c>
      <c r="T263" s="4">
        <f t="shared" si="11"/>
        <v>5</v>
      </c>
      <c r="U263" s="4">
        <f t="shared" si="12"/>
        <v>5</v>
      </c>
      <c r="V263" s="4" t="str">
        <f t="shared" si="13"/>
        <v>Critical</v>
      </c>
      <c r="W263" s="4">
        <f t="shared" si="14"/>
        <v>0</v>
      </c>
      <c r="X263" s="4">
        <f>IFERROR(IF(B263="","",RANK(T263,$T$254:$T$270)+COUNTIF($T$254:T263,T263)-1),0)</f>
        <v>10</v>
      </c>
      <c r="Y263">
        <f>SUMPRODUCT(--(_DATA_Assessment_Model!$H$229:$H$256&lt;&gt;""),--(_DATA_Assessment_Model!$H$229:$H$256&lt;&gt;"N/A"))</f>
        <v>28</v>
      </c>
      <c r="AG263" s="37" t="s">
        <v>2286</v>
      </c>
      <c r="AI263" s="38">
        <v>0</v>
      </c>
      <c r="AJ263" s="38">
        <v>0</v>
      </c>
      <c r="AK263" s="38">
        <v>0</v>
      </c>
      <c r="AL263" s="38">
        <v>0</v>
      </c>
      <c r="AM263" s="38">
        <v>0.4</v>
      </c>
      <c r="AN263" s="38">
        <v>0</v>
      </c>
      <c r="AO263" s="38">
        <v>0</v>
      </c>
      <c r="AP263" s="38">
        <v>0.3</v>
      </c>
      <c r="AQ263" s="38">
        <v>0</v>
      </c>
      <c r="AR263" s="38">
        <v>0</v>
      </c>
      <c r="AS263" s="38">
        <v>0</v>
      </c>
      <c r="AT263" s="38">
        <v>0.3</v>
      </c>
      <c r="AU263" s="38">
        <v>0</v>
      </c>
      <c r="AV263" s="38">
        <v>0</v>
      </c>
      <c r="AW263" s="38">
        <v>0</v>
      </c>
      <c r="AX263" s="38">
        <v>0</v>
      </c>
      <c r="AY263" s="38">
        <v>0</v>
      </c>
      <c r="BB263" s="105">
        <f t="shared" si="4"/>
        <v>47.3</v>
      </c>
    </row>
    <row r="264" spans="1:54">
      <c r="A264" t="str">
        <f>_DATA_Dashboard_Facts!$A$15</f>
        <v>Sales CRM</v>
      </c>
      <c r="B264" s="4">
        <f>IF($Y264=0,"",_DATA_Dashboard_Facts!$H$15)</f>
        <v>0</v>
      </c>
      <c r="C264" s="4">
        <f>IF($Y264=0,"",MIN(IF((_DATA_Assessment_Model!$H$257:$H$280&lt;&gt;"")*(_DATA_Assessment_Model!$H$257:$H$280&lt;&gt;"N/A"),_DATA_Assessment_Model!$H$257:$H$280+0)))</f>
        <v>0</v>
      </c>
      <c r="D264" s="4">
        <f>IF(B264="","",_ENGINE_Crisis!$AH$276*B264+(1-_ENGINE_Crisis!$AH$276)*C264)</f>
        <v>0</v>
      </c>
      <c r="E264" s="4"/>
      <c r="F264" s="4">
        <f>IF(AND(E264&lt;&gt;"",E264&lt;_ENGINE_Crisis!$AH$279),1,0)</f>
        <v>0</v>
      </c>
      <c r="G264" s="4">
        <f>IF(B264="","",IF(F264=1,MIN(D264,_ENGINE_Crisis!$AH$280),D264))</f>
        <v>0</v>
      </c>
      <c r="H264" s="4">
        <f>1+MIN(_ENGINE_Crisis!$AH$281,IFERROR(VLOOKUP('Company Profile'!$B$54,_ENGINE_Crisis!$AK$276:$AL$282,2,FALSE),0))</f>
        <v>1</v>
      </c>
      <c r="I264" s="4">
        <f t="shared" si="5"/>
        <v>5</v>
      </c>
      <c r="J264" s="4">
        <f t="shared" si="6"/>
        <v>5</v>
      </c>
      <c r="K264" s="4">
        <f>IFERROR(SUMPRODUCT(_ENGINE_Crisis!AS$253:AS$269,$J$254:$J$270),0)</f>
        <v>21.5</v>
      </c>
      <c r="L264" s="4">
        <f>IFERROR(_ENGINE_Crisis!$AH$277*K264,0)</f>
        <v>7.5249999999999995</v>
      </c>
      <c r="M264" s="4">
        <f t="shared" si="7"/>
        <v>5</v>
      </c>
      <c r="N264" s="4">
        <f t="shared" si="8"/>
        <v>5</v>
      </c>
      <c r="O264" t="str">
        <f t="shared" si="9"/>
        <v>Critical</v>
      </c>
      <c r="P264" s="4">
        <f>IFERROR(IF(SUMIFS(_ENGINE_Crisis!$C$5:$C$208,_ENGINE_Crisis!$A$5:$A$208,'Resilience &amp; Risk Scenario'!$B$6,_ENGINE_Crisis!$B$5:$B$208,A264)=0,1,SUMIFS(_ENGINE_Crisis!$C$5:$C$208,_ENGINE_Crisis!$A$5:$A$208,'Resilience &amp; Risk Scenario'!$B$6,_ENGINE_Crisis!$B$5:$B$208,A264)),1)</f>
        <v>1</v>
      </c>
      <c r="Q264" s="4">
        <f t="shared" si="10"/>
        <v>0</v>
      </c>
      <c r="R264" s="4">
        <f>SUMPRODUCT(_ENGINE_Crisis!AS$253:AS$269,$Q$254:$Q$270)</f>
        <v>0</v>
      </c>
      <c r="S264" s="4">
        <f>MIN(_ENGINE_Crisis!$AH$283,1+('Resilience &amp; Risk Scenario'!$B$7/5)*(Q264+_ENGINE_Crisis!$AH$278*R264))</f>
        <v>1</v>
      </c>
      <c r="T264" s="4">
        <f t="shared" si="11"/>
        <v>5</v>
      </c>
      <c r="U264" s="4">
        <f t="shared" si="12"/>
        <v>5</v>
      </c>
      <c r="V264" s="4" t="str">
        <f t="shared" si="13"/>
        <v>Critical</v>
      </c>
      <c r="W264" s="4">
        <f t="shared" si="14"/>
        <v>0</v>
      </c>
      <c r="X264" s="4">
        <f>IFERROR(IF(B264="","",RANK(T264,$T$254:$T$270)+COUNTIF($T$254:T264,T264)-1),0)</f>
        <v>11</v>
      </c>
      <c r="Y264">
        <f>SUMPRODUCT(--(_DATA_Assessment_Model!$H$257:$H$280&lt;&gt;""),--(_DATA_Assessment_Model!$H$257:$H$280&lt;&gt;"N/A"))</f>
        <v>24</v>
      </c>
      <c r="AG264" s="37" t="s">
        <v>2473</v>
      </c>
      <c r="AI264" s="38">
        <v>0</v>
      </c>
      <c r="AJ264" s="38">
        <v>0</v>
      </c>
      <c r="AK264" s="38">
        <v>0.2</v>
      </c>
      <c r="AL264" s="38">
        <v>0</v>
      </c>
      <c r="AM264" s="38">
        <v>0</v>
      </c>
      <c r="AN264" s="38">
        <v>0</v>
      </c>
      <c r="AO264" s="38">
        <v>0</v>
      </c>
      <c r="AP264" s="38">
        <v>0</v>
      </c>
      <c r="AQ264" s="38">
        <v>0</v>
      </c>
      <c r="AR264" s="38">
        <v>0</v>
      </c>
      <c r="AS264" s="38">
        <v>0.3</v>
      </c>
      <c r="AT264" s="38">
        <v>0</v>
      </c>
      <c r="AU264" s="38">
        <v>0</v>
      </c>
      <c r="AV264" s="38">
        <v>0</v>
      </c>
      <c r="AW264" s="38">
        <v>0</v>
      </c>
      <c r="AX264" s="38">
        <v>0</v>
      </c>
      <c r="AY264" s="38">
        <v>0</v>
      </c>
      <c r="BB264" s="105">
        <f t="shared" si="4"/>
        <v>52.024999999999999</v>
      </c>
    </row>
    <row r="265" spans="1:54">
      <c r="A265" t="str">
        <f>_DATA_Dashboard_Facts!$A$16</f>
        <v>Marketing Comms</v>
      </c>
      <c r="B265" s="4">
        <f>IF($Y265=0,"",_DATA_Dashboard_Facts!$H$16)</f>
        <v>0</v>
      </c>
      <c r="C265" s="4">
        <f>IFERROR(IF($Y265=0,"",MIN(IF((_DATA_Assessment_Model!$H$281:$H$296&lt;&gt;"")*(_DATA_Assessment_Model!$H$281:$H$296&lt;&gt;"N/A"),_DATA_Assessment_Model!$H$281:$H$296+0))),0)</f>
        <v>0</v>
      </c>
      <c r="D265" s="4">
        <f>IFERROR(IF(B265="","",_ENGINE_Crisis!$AH$276*B265+(1-_ENGINE_Crisis!$AH$276)*C265),0)</f>
        <v>0</v>
      </c>
      <c r="E265" s="4"/>
      <c r="F265" s="4">
        <f>IF(AND(E265&lt;&gt;"",E265&lt;_ENGINE_Crisis!$AH$279),1,0)</f>
        <v>0</v>
      </c>
      <c r="G265" s="4">
        <f>IFERROR(IF(B265="","",IF(F265=1,MIN(D265,_ENGINE_Crisis!$AH$280),D265)),0)</f>
        <v>0</v>
      </c>
      <c r="H265" s="4">
        <f>1+MIN(_ENGINE_Crisis!$AH$281,IFERROR(VLOOKUP('Company Profile'!$B$54,_ENGINE_Crisis!$AK$276:$AL$282,2,FALSE),0))</f>
        <v>1</v>
      </c>
      <c r="I265" s="4">
        <f t="shared" si="5"/>
        <v>5</v>
      </c>
      <c r="J265" s="4">
        <f t="shared" si="6"/>
        <v>5</v>
      </c>
      <c r="K265" s="4">
        <f>IFERROR(SUMPRODUCT(_ENGINE_Crisis!AT$253:AT$269,$J$254:$J$270),0)</f>
        <v>8.5</v>
      </c>
      <c r="L265" s="4">
        <f>IFERROR(_ENGINE_Crisis!$AH$277*K265,0)</f>
        <v>2.9749999999999996</v>
      </c>
      <c r="M265" s="4">
        <f t="shared" si="7"/>
        <v>5</v>
      </c>
      <c r="N265" s="4">
        <f t="shared" si="8"/>
        <v>5</v>
      </c>
      <c r="O265" t="str">
        <f t="shared" si="9"/>
        <v>Critical</v>
      </c>
      <c r="P265" s="4">
        <f>IFERROR(IF(SUMIFS(_ENGINE_Crisis!$C$5:$C$208,_ENGINE_Crisis!$A$5:$A$208,'Resilience &amp; Risk Scenario'!$B$6,_ENGINE_Crisis!$B$5:$B$208,A265)=0,1,SUMIFS(_ENGINE_Crisis!$C$5:$C$208,_ENGINE_Crisis!$A$5:$A$208,'Resilience &amp; Risk Scenario'!$B$6,_ENGINE_Crisis!$B$5:$B$208,A265)),1)</f>
        <v>1</v>
      </c>
      <c r="Q265" s="4">
        <f t="shared" si="10"/>
        <v>0</v>
      </c>
      <c r="R265" s="4">
        <f>SUMPRODUCT(_ENGINE_Crisis!AT$253:AT$269,$Q$254:$Q$270)</f>
        <v>0</v>
      </c>
      <c r="S265" s="4">
        <f>MIN(_ENGINE_Crisis!$AH$283,1+('Resilience &amp; Risk Scenario'!$B$7/5)*(Q265+_ENGINE_Crisis!$AH$278*R265))</f>
        <v>1</v>
      </c>
      <c r="T265" s="4">
        <f t="shared" si="11"/>
        <v>5</v>
      </c>
      <c r="U265" s="4">
        <f t="shared" si="12"/>
        <v>5</v>
      </c>
      <c r="V265" s="4" t="str">
        <f t="shared" si="13"/>
        <v>Critical</v>
      </c>
      <c r="W265" s="4">
        <f t="shared" si="14"/>
        <v>0</v>
      </c>
      <c r="X265" s="4">
        <f>IFERROR(IF(B265="","",RANK(T265,$T$254:$T$270)+COUNTIF($T$254:T265,T265)-1),0)</f>
        <v>12</v>
      </c>
      <c r="Y265">
        <f>SUMPRODUCT(--(_DATA_Assessment_Model!$H$281:$H$296&lt;&gt;""),--(_DATA_Assessment_Model!$H$281:$H$296&lt;&gt;"N/A"))</f>
        <v>16</v>
      </c>
      <c r="AG265" s="37" t="s">
        <v>2588</v>
      </c>
      <c r="AI265" s="38">
        <v>0</v>
      </c>
      <c r="AJ265" s="38">
        <v>0</v>
      </c>
      <c r="AK265" s="38">
        <v>0</v>
      </c>
      <c r="AL265" s="38">
        <v>0</v>
      </c>
      <c r="AM265" s="38">
        <v>0.5</v>
      </c>
      <c r="AN265" s="38">
        <v>0</v>
      </c>
      <c r="AO265" s="38">
        <v>0</v>
      </c>
      <c r="AP265" s="38">
        <v>0.5</v>
      </c>
      <c r="AQ265" s="38">
        <v>0</v>
      </c>
      <c r="AR265" s="38">
        <v>0.5</v>
      </c>
      <c r="AS265" s="38">
        <v>0.5</v>
      </c>
      <c r="AT265" s="38">
        <v>0.3</v>
      </c>
      <c r="AU265" s="38">
        <v>0</v>
      </c>
      <c r="AV265" s="38">
        <v>0.7</v>
      </c>
      <c r="AW265" s="38">
        <v>0.6</v>
      </c>
      <c r="AX265" s="38">
        <v>0</v>
      </c>
      <c r="AY265" s="38">
        <v>0.3</v>
      </c>
      <c r="BB265" s="105">
        <f t="shared" si="4"/>
        <v>34.475000000000001</v>
      </c>
    </row>
    <row r="266" spans="1:54">
      <c r="A266" t="str">
        <f>_DATA_Dashboard_Facts!$A$17</f>
        <v>IT Cloud DR</v>
      </c>
      <c r="B266" s="4">
        <f>IF($Y266=0,"",_DATA_Dashboard_Facts!$H$17)</f>
        <v>0</v>
      </c>
      <c r="C266" s="4">
        <f>IFERROR(IF($Y266=0,"",MIN(IF((_DATA_Assessment_Model!$H$297:$H$324&lt;&gt;"")*(_DATA_Assessment_Model!$H$297:$H$324&lt;&gt;"N/A"),_DATA_Assessment_Model!$H$297:$H$324+0))),0)</f>
        <v>0</v>
      </c>
      <c r="D266" s="4">
        <f>IFERROR(IF(B266="","",_ENGINE_Crisis!$AH$276*B266+(1-_ENGINE_Crisis!$AH$276)*C266),0)</f>
        <v>0</v>
      </c>
      <c r="E266" s="4">
        <f>IF(COUNT(AA266:AB266)=0,"",MIN(AA266:AB266))</f>
        <v>0</v>
      </c>
      <c r="F266" s="4">
        <f>IF(AND(E266&lt;&gt;"",E266&lt;_ENGINE_Crisis!$AH$279),1,0)</f>
        <v>1</v>
      </c>
      <c r="G266" s="4">
        <f>IFERROR(IF(B266="","",IF(F266=1,MIN(D266,_ENGINE_Crisis!$AH$280),D266)),0)</f>
        <v>0</v>
      </c>
      <c r="H266" s="4">
        <f>1</f>
        <v>1</v>
      </c>
      <c r="I266" s="4">
        <f t="shared" si="5"/>
        <v>5</v>
      </c>
      <c r="J266" s="4">
        <f t="shared" si="6"/>
        <v>5</v>
      </c>
      <c r="K266" s="4">
        <f>IFERROR(SUMPRODUCT(_ENGINE_Crisis!AU$253:AU$269,$J$254:$J$270),0)</f>
        <v>4.5</v>
      </c>
      <c r="L266" s="4">
        <f>IFERROR(_ENGINE_Crisis!$AH$277*K266,0)</f>
        <v>1.575</v>
      </c>
      <c r="M266" s="4">
        <f t="shared" si="7"/>
        <v>5</v>
      </c>
      <c r="N266" s="4">
        <f t="shared" si="8"/>
        <v>5</v>
      </c>
      <c r="O266" t="str">
        <f t="shared" si="9"/>
        <v>Critical</v>
      </c>
      <c r="P266" s="4">
        <f>IFERROR(IF(SUMIFS(_ENGINE_Crisis!$C$5:$C$208,_ENGINE_Crisis!$A$5:$A$208,'Resilience &amp; Risk Scenario'!$B$6,_ENGINE_Crisis!$B$5:$B$208,A266)=0,1,SUMIFS(_ENGINE_Crisis!$C$5:$C$208,_ENGINE_Crisis!$A$5:$A$208,'Resilience &amp; Risk Scenario'!$B$6,_ENGINE_Crisis!$B$5:$B$208,A266)),1)</f>
        <v>1</v>
      </c>
      <c r="Q266" s="4">
        <f t="shared" si="10"/>
        <v>0</v>
      </c>
      <c r="R266" s="4">
        <f>SUMPRODUCT(_ENGINE_Crisis!AU$253:AU$269,$Q$254:$Q$270)</f>
        <v>0</v>
      </c>
      <c r="S266" s="4">
        <f>MIN(_ENGINE_Crisis!$AH$283,1+('Resilience &amp; Risk Scenario'!$B$7/5)*(Q266+_ENGINE_Crisis!$AH$278*R266))</f>
        <v>1</v>
      </c>
      <c r="T266" s="4">
        <f t="shared" si="11"/>
        <v>5</v>
      </c>
      <c r="U266" s="4">
        <f t="shared" si="12"/>
        <v>5</v>
      </c>
      <c r="V266" s="4" t="str">
        <f t="shared" si="13"/>
        <v>Critical</v>
      </c>
      <c r="W266" s="4">
        <f t="shared" si="14"/>
        <v>0</v>
      </c>
      <c r="X266" s="4">
        <f>IFERROR(IF(B266="","",RANK(T266,$T$254:$T$270)+COUNTIF($T$254:T266,T266)-1),0)</f>
        <v>13</v>
      </c>
      <c r="Y266">
        <f>SUMPRODUCT(--(_DATA_Assessment_Model!$H$297:$H$324&lt;&gt;""),--(_DATA_Assessment_Model!$H$297:$H$324&lt;&gt;"N/A"))</f>
        <v>28</v>
      </c>
      <c r="AA266">
        <f>IF(OR(_DATA_Assessment_Model!H309="",_DATA_Assessment_Model!H309="N/A"),"",_DATA_Assessment_Model!H309+0)</f>
        <v>0</v>
      </c>
      <c r="AB266">
        <f>IF(OR(_DATA_Assessment_Model!H310="",_DATA_Assessment_Model!H310="N/A"),"",_DATA_Assessment_Model!H310+0)</f>
        <v>0</v>
      </c>
      <c r="AG266" s="37" t="s">
        <v>2729</v>
      </c>
      <c r="AI266" s="38">
        <v>0</v>
      </c>
      <c r="AJ266" s="38">
        <v>0</v>
      </c>
      <c r="AK266" s="38">
        <v>0</v>
      </c>
      <c r="AL266" s="38">
        <v>0</v>
      </c>
      <c r="AM266" s="38">
        <v>0.5</v>
      </c>
      <c r="AN266" s="38">
        <v>0</v>
      </c>
      <c r="AO266" s="38">
        <v>0</v>
      </c>
      <c r="AP266" s="38">
        <v>0.5</v>
      </c>
      <c r="AQ266" s="38">
        <v>0.4</v>
      </c>
      <c r="AR266" s="38">
        <v>0.4</v>
      </c>
      <c r="AS266" s="38">
        <v>0.4</v>
      </c>
      <c r="AT266" s="38">
        <v>0</v>
      </c>
      <c r="AU266" s="38">
        <v>0</v>
      </c>
      <c r="AV266" s="38">
        <v>0</v>
      </c>
      <c r="AW266" s="38">
        <v>0.5</v>
      </c>
      <c r="AX266" s="38">
        <v>0</v>
      </c>
      <c r="AY266" s="38">
        <v>0</v>
      </c>
      <c r="BB266" s="105">
        <f t="shared" si="4"/>
        <v>30.074999999999999</v>
      </c>
    </row>
    <row r="267" spans="1:54">
      <c r="A267" t="str">
        <f>_DATA_Dashboard_Facts!$A$18</f>
        <v>Business Systems</v>
      </c>
      <c r="B267" s="4">
        <f>IF($Y267=0,"",_DATA_Dashboard_Facts!$H$18)</f>
        <v>0</v>
      </c>
      <c r="C267" s="4">
        <f>IFERROR(IF($Y267=0,"",MIN(IF((_DATA_Assessment_Model!$H$325:$H$345&lt;&gt;"")*(_DATA_Assessment_Model!$H$325:$H$345&lt;&gt;"N/A"),_DATA_Assessment_Model!$H$325:$H$345+0))),0)</f>
        <v>0</v>
      </c>
      <c r="D267" s="4">
        <f>IFERROR(IF(B267="","",_ENGINE_Crisis!$AH$276*B267+(1-_ENGINE_Crisis!$AH$276)*C267),0)</f>
        <v>0</v>
      </c>
      <c r="E267" s="4"/>
      <c r="F267" s="4">
        <f>IF(AND(E267&lt;&gt;"",E267&lt;_ENGINE_Crisis!$AH$279),1,0)</f>
        <v>0</v>
      </c>
      <c r="G267" s="4">
        <f>IFERROR(IF(B267="","",IF(F267=1,MIN(D267,_ENGINE_Crisis!$AH$280),D267)),0)</f>
        <v>0</v>
      </c>
      <c r="H267" s="4">
        <f>1</f>
        <v>1</v>
      </c>
      <c r="I267" s="4">
        <f t="shared" si="5"/>
        <v>5</v>
      </c>
      <c r="J267" s="4">
        <f t="shared" si="6"/>
        <v>5</v>
      </c>
      <c r="K267" s="4">
        <f>IFERROR(SUMPRODUCT(_ENGINE_Crisis!AV$253:AV$269,$J$254:$J$270),0)</f>
        <v>6</v>
      </c>
      <c r="L267" s="4">
        <f>IFERROR(_ENGINE_Crisis!$AH$277*K267,0)</f>
        <v>2.0999999999999996</v>
      </c>
      <c r="M267" s="4">
        <f t="shared" si="7"/>
        <v>5</v>
      </c>
      <c r="N267" s="4">
        <f t="shared" si="8"/>
        <v>5</v>
      </c>
      <c r="O267" t="str">
        <f t="shared" si="9"/>
        <v>Critical</v>
      </c>
      <c r="P267" s="4">
        <f>IFERROR(IF(SUMIFS(_ENGINE_Crisis!$C$5:$C$208,_ENGINE_Crisis!$A$5:$A$208,'Resilience &amp; Risk Scenario'!$B$6,_ENGINE_Crisis!$B$5:$B$208,A267)=0,1,SUMIFS(_ENGINE_Crisis!$C$5:$C$208,_ENGINE_Crisis!$A$5:$A$208,'Resilience &amp; Risk Scenario'!$B$6,_ENGINE_Crisis!$B$5:$B$208,A267)),1)</f>
        <v>1</v>
      </c>
      <c r="Q267" s="4">
        <f t="shared" si="10"/>
        <v>0</v>
      </c>
      <c r="R267" s="4">
        <f>SUMPRODUCT(_ENGINE_Crisis!AV$253:AV$269,$Q$254:$Q$270)</f>
        <v>0</v>
      </c>
      <c r="S267" s="4">
        <f>MIN(_ENGINE_Crisis!$AH$283,1+('Resilience &amp; Risk Scenario'!$B$7/5)*(Q267+_ENGINE_Crisis!$AH$278*R267))</f>
        <v>1</v>
      </c>
      <c r="T267" s="4">
        <f t="shared" si="11"/>
        <v>5</v>
      </c>
      <c r="U267" s="4">
        <f t="shared" si="12"/>
        <v>5</v>
      </c>
      <c r="V267" s="4" t="str">
        <f t="shared" si="13"/>
        <v>Critical</v>
      </c>
      <c r="W267" s="4">
        <f t="shared" si="14"/>
        <v>0</v>
      </c>
      <c r="X267" s="4">
        <f>IFERROR(IF(B267="","",RANK(T267,$T$254:$T$270)+COUNTIF($T$254:T267,T267)-1),0)</f>
        <v>14</v>
      </c>
      <c r="Y267">
        <f>SUMPRODUCT(--(_DATA_Assessment_Model!$H$325:$H$345&lt;&gt;""),--(_DATA_Assessment_Model!$H$325:$H$345&lt;&gt;"N/A"))</f>
        <v>21</v>
      </c>
      <c r="AG267" s="37" t="s">
        <v>2824</v>
      </c>
      <c r="AI267" s="38">
        <v>0</v>
      </c>
      <c r="AJ267" s="38">
        <v>0.3</v>
      </c>
      <c r="AK267" s="38">
        <v>0.4</v>
      </c>
      <c r="AL267" s="38">
        <v>0</v>
      </c>
      <c r="AM267" s="38">
        <v>0.3</v>
      </c>
      <c r="AN267" s="38">
        <v>0</v>
      </c>
      <c r="AO267" s="38">
        <v>0</v>
      </c>
      <c r="AP267" s="38">
        <v>0</v>
      </c>
      <c r="AQ267" s="38">
        <v>0</v>
      </c>
      <c r="AR267" s="38">
        <v>0</v>
      </c>
      <c r="AS267" s="38">
        <v>0.3</v>
      </c>
      <c r="AT267" s="38">
        <v>0</v>
      </c>
      <c r="AU267" s="38">
        <v>0</v>
      </c>
      <c r="AV267" s="38">
        <v>0</v>
      </c>
      <c r="AW267" s="38">
        <v>0</v>
      </c>
      <c r="AX267" s="38">
        <v>0</v>
      </c>
      <c r="AY267" s="38">
        <v>0.3</v>
      </c>
      <c r="BB267" s="105">
        <f t="shared" si="4"/>
        <v>31.1</v>
      </c>
    </row>
    <row r="268" spans="1:54">
      <c r="A268" t="str">
        <f>_DATA_Dashboard_Facts!$A$19</f>
        <v>Data BI AI</v>
      </c>
      <c r="B268" s="4">
        <f>IF($Y268=0,"",_DATA_Dashboard_Facts!$H$19)</f>
        <v>0</v>
      </c>
      <c r="C268" s="4">
        <f>IFERROR(IF($Y268=0,"",MIN(IF((_DATA_Assessment_Model!$H$346:$H$372&lt;&gt;"")*(_DATA_Assessment_Model!$H$346:$H$372&lt;&gt;"N/A"),_DATA_Assessment_Model!$H$346:$H$372+0))),0)</f>
        <v>0</v>
      </c>
      <c r="D268" s="4">
        <f>IFERROR(IF(B268="","",_ENGINE_Crisis!$AH$276*B268+(1-_ENGINE_Crisis!$AH$276)*C268),0)</f>
        <v>0</v>
      </c>
      <c r="E268" s="4">
        <f>IF(COUNT(AA268:AA268)=0,"",MIN(AA268:AA268))</f>
        <v>0</v>
      </c>
      <c r="F268" s="4">
        <f>IF(AND(E268&lt;&gt;"",E268&lt;_ENGINE_Crisis!$AH$279),1,0)</f>
        <v>1</v>
      </c>
      <c r="G268" s="4">
        <f>IFERROR(IF(B268="","",IF(F268=1,MIN(D268,_ENGINE_Crisis!$AH$280),D268)),0)</f>
        <v>0</v>
      </c>
      <c r="H268" s="4">
        <f>1</f>
        <v>1</v>
      </c>
      <c r="I268" s="4">
        <f t="shared" si="5"/>
        <v>5</v>
      </c>
      <c r="J268" s="4">
        <f t="shared" si="6"/>
        <v>5</v>
      </c>
      <c r="K268" s="4">
        <f>IFERROR(SUMPRODUCT(_ENGINE_Crisis!AW$253:AW$269,$J$254:$J$270),0)</f>
        <v>8</v>
      </c>
      <c r="L268" s="4">
        <f>IFERROR(_ENGINE_Crisis!$AH$277*K268,0)</f>
        <v>2.8</v>
      </c>
      <c r="M268" s="4">
        <f t="shared" si="7"/>
        <v>5</v>
      </c>
      <c r="N268" s="4">
        <f t="shared" si="8"/>
        <v>5</v>
      </c>
      <c r="O268" t="str">
        <f t="shared" si="9"/>
        <v>Critical</v>
      </c>
      <c r="P268" s="4">
        <f>IFERROR(IF(SUMIFS(_ENGINE_Crisis!$C$5:$C$208,_ENGINE_Crisis!$A$5:$A$208,'Resilience &amp; Risk Scenario'!$B$6,_ENGINE_Crisis!$B$5:$B$208,A268)=0,1,SUMIFS(_ENGINE_Crisis!$C$5:$C$208,_ENGINE_Crisis!$A$5:$A$208,'Resilience &amp; Risk Scenario'!$B$6,_ENGINE_Crisis!$B$5:$B$208,A268)),1)</f>
        <v>1</v>
      </c>
      <c r="Q268" s="4">
        <f t="shared" si="10"/>
        <v>0</v>
      </c>
      <c r="R268" s="4">
        <f>SUMPRODUCT(_ENGINE_Crisis!AW$253:AW$269,$Q$254:$Q$270)</f>
        <v>0</v>
      </c>
      <c r="S268" s="4">
        <f>MIN(_ENGINE_Crisis!$AH$283,1+('Resilience &amp; Risk Scenario'!$B$7/5)*(Q268+_ENGINE_Crisis!$AH$278*R268))</f>
        <v>1</v>
      </c>
      <c r="T268" s="4">
        <f t="shared" si="11"/>
        <v>5</v>
      </c>
      <c r="U268" s="4">
        <f t="shared" si="12"/>
        <v>5</v>
      </c>
      <c r="V268" s="4" t="str">
        <f t="shared" si="13"/>
        <v>Critical</v>
      </c>
      <c r="W268" s="4">
        <f t="shared" si="14"/>
        <v>0</v>
      </c>
      <c r="X268" s="4">
        <f>IFERROR(IF(B268="","",RANK(T268,$T$254:$T$270)+COUNTIF($T$254:T268,T268)-1),0)</f>
        <v>15</v>
      </c>
      <c r="Y268">
        <f>SUMPRODUCT(--(_DATA_Assessment_Model!$H$346:$H$372&lt;&gt;""),--(_DATA_Assessment_Model!$H$346:$H$372&lt;&gt;"N/A"))</f>
        <v>27</v>
      </c>
      <c r="AA268">
        <f>IF(OR(_DATA_Assessment_Model!H355="",_DATA_Assessment_Model!H355="N/A"),"",_DATA_Assessment_Model!H355+0)</f>
        <v>0</v>
      </c>
      <c r="AG268" s="37" t="s">
        <v>2986</v>
      </c>
      <c r="AI268" s="38">
        <v>0</v>
      </c>
      <c r="AJ268" s="38">
        <v>0</v>
      </c>
      <c r="AK268" s="38">
        <v>0</v>
      </c>
      <c r="AL268" s="38">
        <v>0</v>
      </c>
      <c r="AM268" s="38">
        <v>0.3</v>
      </c>
      <c r="AN268" s="38">
        <v>0.4</v>
      </c>
      <c r="AO268" s="38">
        <v>0</v>
      </c>
      <c r="AP268" s="38">
        <v>0.3</v>
      </c>
      <c r="AQ268" s="38">
        <v>0</v>
      </c>
      <c r="AR268" s="38">
        <v>0.4</v>
      </c>
      <c r="AS268" s="38">
        <v>0.3</v>
      </c>
      <c r="AT268" s="38">
        <v>0</v>
      </c>
      <c r="AU268" s="38">
        <v>0.6</v>
      </c>
      <c r="AV268" s="38">
        <v>0.5</v>
      </c>
      <c r="AW268" s="38">
        <v>0.5</v>
      </c>
      <c r="AX268" s="38">
        <v>0</v>
      </c>
      <c r="AY268" s="38">
        <v>0</v>
      </c>
      <c r="BB268" s="105">
        <f t="shared" si="4"/>
        <v>34.799999999999997</v>
      </c>
    </row>
    <row r="269" spans="1:54">
      <c r="A269" t="str">
        <f>_DATA_Dashboard_Facts!$A$20</f>
        <v>Cyber Privacy</v>
      </c>
      <c r="B269" s="4">
        <f>IF($Y269=0,"",_DATA_Dashboard_Facts!$H$20)</f>
        <v>0</v>
      </c>
      <c r="C269" s="4">
        <f>IFERROR(IF($Y269=0,"",MIN(IF((_DATA_Assessment_Model!$H$373:$H$406&lt;&gt;"")*(_DATA_Assessment_Model!$H$373:$H$406&lt;&gt;"N/A"),_DATA_Assessment_Model!$H$373:$H$406+0))),0)</f>
        <v>0</v>
      </c>
      <c r="D269" s="4">
        <f>IFERROR(IF(B269="","",_ENGINE_Crisis!$AH$276*B269+(1-_ENGINE_Crisis!$AH$276)*C269),0)</f>
        <v>0</v>
      </c>
      <c r="E269" s="4">
        <f>IF(COUNT(AA269:AC269)=0,"",MIN(AA269:AC269))</f>
        <v>0</v>
      </c>
      <c r="F269" s="4">
        <f>IF(AND(E269&lt;&gt;"",E269&lt;_ENGINE_Crisis!$AH$279),1,0)</f>
        <v>1</v>
      </c>
      <c r="G269" s="4">
        <f>IFERROR(IF(B269="","",IF(F269=1,MIN(D269,_ENGINE_Crisis!$AH$280),D269)),0)</f>
        <v>0</v>
      </c>
      <c r="H269" s="4">
        <f>1</f>
        <v>1</v>
      </c>
      <c r="I269" s="4">
        <f t="shared" si="5"/>
        <v>5</v>
      </c>
      <c r="J269" s="4">
        <f t="shared" si="6"/>
        <v>5</v>
      </c>
      <c r="K269" s="4">
        <f>IFERROR(SUMPRODUCT(_ENGINE_Crisis!AX$253:AX$269,$J$254:$J$270),0)</f>
        <v>0</v>
      </c>
      <c r="L269" s="4">
        <f>IFERROR(_ENGINE_Crisis!$AH$277*K269,0)</f>
        <v>0</v>
      </c>
      <c r="M269" s="4">
        <f t="shared" si="7"/>
        <v>5</v>
      </c>
      <c r="N269" s="4">
        <f t="shared" si="8"/>
        <v>5</v>
      </c>
      <c r="O269" t="str">
        <f t="shared" si="9"/>
        <v>Critical</v>
      </c>
      <c r="P269" s="4">
        <f>IFERROR(IF(SUMIFS(_ENGINE_Crisis!$C$5:$C$208,_ENGINE_Crisis!$A$5:$A$208,'Resilience &amp; Risk Scenario'!$B$6,_ENGINE_Crisis!$B$5:$B$208,A269)=0,1,SUMIFS(_ENGINE_Crisis!$C$5:$C$208,_ENGINE_Crisis!$A$5:$A$208,'Resilience &amp; Risk Scenario'!$B$6,_ENGINE_Crisis!$B$5:$B$208,A269)),1)</f>
        <v>1</v>
      </c>
      <c r="Q269" s="4">
        <f t="shared" si="10"/>
        <v>0</v>
      </c>
      <c r="R269" s="4">
        <f>SUMPRODUCT(_ENGINE_Crisis!AX$253:AX$269,$Q$254:$Q$270)</f>
        <v>0</v>
      </c>
      <c r="S269" s="4">
        <f>MIN(_ENGINE_Crisis!$AH$283,1+('Resilience &amp; Risk Scenario'!$B$7/5)*(Q269+_ENGINE_Crisis!$AH$278*R269))</f>
        <v>1</v>
      </c>
      <c r="T269" s="4">
        <f t="shared" si="11"/>
        <v>5</v>
      </c>
      <c r="U269" s="4">
        <f t="shared" si="12"/>
        <v>5</v>
      </c>
      <c r="V269" s="4" t="str">
        <f t="shared" si="13"/>
        <v>Critical</v>
      </c>
      <c r="W269" s="4">
        <f t="shared" si="14"/>
        <v>0</v>
      </c>
      <c r="X269" s="4">
        <f>IFERROR(IF(B269="","",RANK(T269,$T$254:$T$270)+COUNTIF($T$254:T269,T269)-1),0)</f>
        <v>16</v>
      </c>
      <c r="Y269">
        <f>SUMPRODUCT(--(_DATA_Assessment_Model!$H$373:$H$406&lt;&gt;""),--(_DATA_Assessment_Model!$H$373:$H$406&lt;&gt;"N/A"))</f>
        <v>34</v>
      </c>
      <c r="AA269">
        <f>IF(OR(_DATA_Assessment_Model!H380="",_DATA_Assessment_Model!H380="N/A"),"",_DATA_Assessment_Model!H380+0)</f>
        <v>0</v>
      </c>
      <c r="AB269">
        <f>IF(OR(_DATA_Assessment_Model!H395="",_DATA_Assessment_Model!H395="N/A"),"",_DATA_Assessment_Model!H395+0)</f>
        <v>0</v>
      </c>
      <c r="AC269">
        <f>IF(OR(_DATA_Assessment_Model!H398="",_DATA_Assessment_Model!H398="N/A"),"",_DATA_Assessment_Model!H398+0)</f>
        <v>0</v>
      </c>
      <c r="AG269" s="37" t="s">
        <v>3204</v>
      </c>
      <c r="AI269" s="38">
        <v>0</v>
      </c>
      <c r="AJ269" s="38">
        <v>0</v>
      </c>
      <c r="AK269" s="38">
        <v>0</v>
      </c>
      <c r="AL269" s="38">
        <v>0</v>
      </c>
      <c r="AM269" s="38">
        <v>0</v>
      </c>
      <c r="AN269" s="38">
        <v>0</v>
      </c>
      <c r="AO269" s="38">
        <v>0</v>
      </c>
      <c r="AP269" s="38">
        <v>0.3</v>
      </c>
      <c r="AQ269" s="38">
        <v>0</v>
      </c>
      <c r="AR269" s="38">
        <v>0.3</v>
      </c>
      <c r="AS269" s="38">
        <v>0.3</v>
      </c>
      <c r="AT269" s="38">
        <v>0</v>
      </c>
      <c r="AU269" s="38">
        <v>0</v>
      </c>
      <c r="AV269" s="38">
        <v>0</v>
      </c>
      <c r="AW269" s="38">
        <v>0</v>
      </c>
      <c r="AX269" s="38">
        <v>0</v>
      </c>
      <c r="AY269" s="38">
        <v>0</v>
      </c>
      <c r="BB269" s="105">
        <f t="shared" si="4"/>
        <v>24</v>
      </c>
    </row>
    <row r="270" spans="1:54">
      <c r="A270" t="str">
        <f>_DATA_Dashboard_Facts!$A$21</f>
        <v>Quality Portfolio</v>
      </c>
      <c r="B270" s="4">
        <f>IF($Y270=0,"",_DATA_Dashboard_Facts!$H$21)</f>
        <v>0</v>
      </c>
      <c r="C270" s="4">
        <f>IFERROR(IF($Y270=0,"",MIN(IF((_DATA_Assessment_Model!$H$407:$H$428&lt;&gt;"")*(_DATA_Assessment_Model!$H$407:$H$428&lt;&gt;"N/A"),_DATA_Assessment_Model!$H$407:$H$428+0))),0)</f>
        <v>0</v>
      </c>
      <c r="D270" s="4">
        <f>IFERROR(IF(B270="","",_ENGINE_Crisis!$AH$276*B270+(1-_ENGINE_Crisis!$AH$276)*C270),0)</f>
        <v>0</v>
      </c>
      <c r="E270" s="4"/>
      <c r="F270" s="4">
        <f>IF(AND(E270&lt;&gt;"",E270&lt;_ENGINE_Crisis!$AH$279),1,0)</f>
        <v>0</v>
      </c>
      <c r="G270" s="4">
        <f>IFERROR(IF(B270="","",IF(F270=1,MIN(D270,_ENGINE_Crisis!$AH$280),D270)),0)</f>
        <v>0</v>
      </c>
      <c r="H270" s="4">
        <f>1</f>
        <v>1</v>
      </c>
      <c r="I270" s="4">
        <f t="shared" si="5"/>
        <v>5</v>
      </c>
      <c r="J270" s="4">
        <f t="shared" si="6"/>
        <v>5</v>
      </c>
      <c r="K270" s="4">
        <f>IFERROR(SUMPRODUCT(_ENGINE_Crisis!AY$253:AY$269,$J$254:$J$270),0)</f>
        <v>11</v>
      </c>
      <c r="L270" s="4">
        <f>IFERROR(_ENGINE_Crisis!$AH$277*K270,0)</f>
        <v>3.8499999999999996</v>
      </c>
      <c r="M270" s="4">
        <f t="shared" si="7"/>
        <v>5</v>
      </c>
      <c r="N270" s="4">
        <f t="shared" si="8"/>
        <v>5</v>
      </c>
      <c r="O270" t="str">
        <f t="shared" si="9"/>
        <v>Critical</v>
      </c>
      <c r="P270" s="4">
        <f>IFERROR(IF(SUMIFS(_ENGINE_Crisis!$C$5:$C$208,_ENGINE_Crisis!$A$5:$A$208,'Resilience &amp; Risk Scenario'!$B$6,_ENGINE_Crisis!$B$5:$B$208,A270)=0,1,SUMIFS(_ENGINE_Crisis!$C$5:$C$208,_ENGINE_Crisis!$A$5:$A$208,'Resilience &amp; Risk Scenario'!$B$6,_ENGINE_Crisis!$B$5:$B$208,A270)),1)</f>
        <v>1</v>
      </c>
      <c r="Q270" s="4">
        <f t="shared" si="10"/>
        <v>0</v>
      </c>
      <c r="R270" s="4">
        <f>SUMPRODUCT(_ENGINE_Crisis!AY$253:AY$269,$Q$254:$Q$270)</f>
        <v>0</v>
      </c>
      <c r="S270" s="4">
        <f>MIN(_ENGINE_Crisis!$AH$283,1+('Resilience &amp; Risk Scenario'!$B$7/5)*(Q270+_ENGINE_Crisis!$AH$278*R270))</f>
        <v>1</v>
      </c>
      <c r="T270" s="4">
        <f t="shared" si="11"/>
        <v>5</v>
      </c>
      <c r="U270" s="4">
        <f t="shared" si="12"/>
        <v>5</v>
      </c>
      <c r="V270" s="4" t="str">
        <f t="shared" si="13"/>
        <v>Critical</v>
      </c>
      <c r="W270" s="4">
        <f t="shared" si="14"/>
        <v>0</v>
      </c>
      <c r="X270" s="4">
        <f>IFERROR(IF(B270="","",RANK(T270,$T$254:$T$270)+COUNTIF($T$254:T270,T270)-1),0)</f>
        <v>17</v>
      </c>
      <c r="Y270">
        <f>SUMPRODUCT(--(_DATA_Assessment_Model!$H$407:$H$428&lt;&gt;""),--(_DATA_Assessment_Model!$H$407:$H$428&lt;&gt;"N/A"))</f>
        <v>22</v>
      </c>
      <c r="AG270" s="106" t="s">
        <v>10774</v>
      </c>
      <c r="AI270" s="105">
        <f t="shared" ref="AI270:AY270" si="15">IFERROR(SUM(C253:C269),0)</f>
        <v>0</v>
      </c>
      <c r="AJ270" s="105">
        <f t="shared" si="15"/>
        <v>0</v>
      </c>
      <c r="AK270" s="105">
        <f t="shared" si="15"/>
        <v>0</v>
      </c>
      <c r="AL270" s="105">
        <f t="shared" si="15"/>
        <v>8</v>
      </c>
      <c r="AM270" s="105">
        <f t="shared" si="15"/>
        <v>0</v>
      </c>
      <c r="AN270" s="105">
        <f t="shared" si="15"/>
        <v>16</v>
      </c>
      <c r="AO270" s="105">
        <f t="shared" si="15"/>
        <v>80</v>
      </c>
      <c r="AP270" s="105">
        <f t="shared" si="15"/>
        <v>80</v>
      </c>
      <c r="AQ270" s="105">
        <f t="shared" si="15"/>
        <v>138.5</v>
      </c>
      <c r="AR270" s="105">
        <f t="shared" si="15"/>
        <v>48.475000000000001</v>
      </c>
      <c r="AS270" s="105">
        <f t="shared" si="15"/>
        <v>80</v>
      </c>
      <c r="AT270" s="105">
        <f t="shared" si="15"/>
        <v>80</v>
      </c>
      <c r="AU270" s="105">
        <f t="shared" si="15"/>
        <v>0</v>
      </c>
      <c r="AV270" s="105">
        <f t="shared" si="15"/>
        <v>16</v>
      </c>
      <c r="AW270" s="105">
        <f t="shared" si="15"/>
        <v>0</v>
      </c>
      <c r="AX270" s="105">
        <f t="shared" si="15"/>
        <v>0</v>
      </c>
      <c r="AY270" s="105">
        <f t="shared" si="15"/>
        <v>16</v>
      </c>
    </row>
    <row r="272" spans="1:54" ht="15" customHeight="1">
      <c r="A272" s="39" t="s">
        <v>10775</v>
      </c>
      <c r="B272">
        <f>IFERROR(AVERAGE(B254:B270),"")</f>
        <v>0</v>
      </c>
    </row>
    <row r="273" spans="1:44" ht="15" customHeight="1">
      <c r="A273" s="39" t="s">
        <v>10776</v>
      </c>
      <c r="B273">
        <f>IFERROR(AVERAGE(G254:G270),"")</f>
        <v>0</v>
      </c>
    </row>
    <row r="274" spans="1:44" ht="15" customHeight="1">
      <c r="A274" s="39" t="s">
        <v>10777</v>
      </c>
      <c r="B274">
        <f>IFERROR(MIN(G254:G270),"")</f>
        <v>0</v>
      </c>
      <c r="AG274" s="107" t="s">
        <v>10778</v>
      </c>
      <c r="AK274" s="107" t="s">
        <v>10779</v>
      </c>
    </row>
    <row r="275" spans="1:44" ht="15" customHeight="1">
      <c r="A275" s="39" t="s">
        <v>10780</v>
      </c>
      <c r="B275">
        <f>IFERROR(_ENGINE_Crisis!$AH$282*B273+(1-_ENGINE_Crisis!$AH$282)*B274,"")</f>
        <v>0</v>
      </c>
      <c r="AG275" s="108" t="s">
        <v>10781</v>
      </c>
      <c r="AH275" s="108" t="s">
        <v>348</v>
      </c>
      <c r="AI275" s="108" t="s">
        <v>46</v>
      </c>
      <c r="AK275" t="s">
        <v>10782</v>
      </c>
      <c r="AL275" t="s">
        <v>10783</v>
      </c>
      <c r="AN275" t="s">
        <v>10784</v>
      </c>
      <c r="AO275" t="s">
        <v>10783</v>
      </c>
      <c r="AQ275" t="s">
        <v>3815</v>
      </c>
      <c r="AR275" t="s">
        <v>10783</v>
      </c>
    </row>
    <row r="276" spans="1:44" ht="15" customHeight="1">
      <c r="A276" s="39" t="s">
        <v>10785</v>
      </c>
      <c r="B276">
        <f>IFERROR(MAX(N254:N270),"")</f>
        <v>5</v>
      </c>
      <c r="AG276" t="s">
        <v>10786</v>
      </c>
      <c r="AH276" s="109">
        <v>0.65</v>
      </c>
      <c r="AI276" s="110" t="s">
        <v>10787</v>
      </c>
      <c r="AK276" t="s">
        <v>10788</v>
      </c>
      <c r="AL276">
        <v>0</v>
      </c>
      <c r="AN276" t="s">
        <v>10789</v>
      </c>
      <c r="AO276">
        <v>0.05</v>
      </c>
      <c r="AQ276" t="s">
        <v>10790</v>
      </c>
      <c r="AR276">
        <v>0</v>
      </c>
    </row>
    <row r="277" spans="1:44" ht="15" customHeight="1">
      <c r="A277" s="39" t="s">
        <v>10791</v>
      </c>
      <c r="B277">
        <f>COUNTIF(O254:O270,"Critical")</f>
        <v>17</v>
      </c>
      <c r="AG277" t="s">
        <v>10792</v>
      </c>
      <c r="AH277" s="109">
        <v>0.35</v>
      </c>
      <c r="AI277" s="110" t="s">
        <v>10793</v>
      </c>
      <c r="AK277" t="s">
        <v>10794</v>
      </c>
      <c r="AL277">
        <v>0.1</v>
      </c>
      <c r="AN277" t="s">
        <v>10795</v>
      </c>
      <c r="AO277">
        <v>0.2</v>
      </c>
      <c r="AQ277" t="s">
        <v>10796</v>
      </c>
      <c r="AR277">
        <v>0.1</v>
      </c>
    </row>
    <row r="278" spans="1:44" ht="15" customHeight="1">
      <c r="A278" s="39" t="s">
        <v>10797</v>
      </c>
      <c r="B278">
        <f>COUNTIF(O254:O270,"High")</f>
        <v>0</v>
      </c>
      <c r="AG278" t="s">
        <v>10798</v>
      </c>
      <c r="AH278" s="109">
        <v>0.5</v>
      </c>
      <c r="AI278" s="110" t="s">
        <v>10799</v>
      </c>
      <c r="AK278" t="s">
        <v>10795</v>
      </c>
      <c r="AL278">
        <v>0.25</v>
      </c>
      <c r="AN278" t="s">
        <v>10800</v>
      </c>
      <c r="AO278">
        <v>0.4</v>
      </c>
      <c r="AQ278" t="s">
        <v>10801</v>
      </c>
      <c r="AR278">
        <v>0.2</v>
      </c>
    </row>
    <row r="279" spans="1:44" ht="15" customHeight="1">
      <c r="A279" s="39" t="s">
        <v>10802</v>
      </c>
      <c r="B279">
        <f>IFERROR(MAX(U254:U270),"")</f>
        <v>5</v>
      </c>
      <c r="AG279" t="s">
        <v>10803</v>
      </c>
      <c r="AH279" s="109">
        <v>3</v>
      </c>
      <c r="AI279" s="110" t="s">
        <v>10804</v>
      </c>
      <c r="AK279" t="s">
        <v>10800</v>
      </c>
      <c r="AL279">
        <v>0.45</v>
      </c>
      <c r="AN279" t="s">
        <v>10805</v>
      </c>
      <c r="AO279">
        <v>0.65</v>
      </c>
      <c r="AQ279" t="s">
        <v>10806</v>
      </c>
      <c r="AR279">
        <v>0.5</v>
      </c>
    </row>
    <row r="280" spans="1:44" ht="15" customHeight="1">
      <c r="A280" s="39" t="s">
        <v>10807</v>
      </c>
      <c r="B280" t="str">
        <f>IFERROR(INDEX(A254:A270,MATCH(MAX(U254:U270),U254:U270,0)),"")</f>
        <v>Company Geography</v>
      </c>
      <c r="AG280" t="s">
        <v>10808</v>
      </c>
      <c r="AH280" s="109">
        <v>2</v>
      </c>
      <c r="AI280" s="110" t="s">
        <v>10809</v>
      </c>
      <c r="AK280" t="s">
        <v>10805</v>
      </c>
      <c r="AL280">
        <v>0.7</v>
      </c>
      <c r="AN280" t="s">
        <v>10810</v>
      </c>
      <c r="AO280">
        <v>0</v>
      </c>
      <c r="AQ280" t="s">
        <v>10811</v>
      </c>
      <c r="AR280">
        <v>0.3</v>
      </c>
    </row>
    <row r="281" spans="1:44" ht="15" customHeight="1">
      <c r="A281" s="39" t="s">
        <v>10812</v>
      </c>
      <c r="B281" t="str">
        <f>IFERROR(INDEX(_ENGINE_Crisis!AG253:AG269,MATCH(MAX(_ENGINE_Crisis!BB253:BB269),_ENGINE_Crisis!BB253:BB269,0)),"")</f>
        <v>Supply Chain</v>
      </c>
      <c r="AG281" t="s">
        <v>10813</v>
      </c>
      <c r="AH281" s="109">
        <v>0.8</v>
      </c>
      <c r="AI281" s="110" t="s">
        <v>10814</v>
      </c>
      <c r="AK281" t="s">
        <v>10810</v>
      </c>
      <c r="AL281">
        <v>0</v>
      </c>
      <c r="AN281" t="s">
        <v>10815</v>
      </c>
      <c r="AO281">
        <v>0.1</v>
      </c>
      <c r="AQ281" t="s">
        <v>10810</v>
      </c>
      <c r="AR281">
        <v>0</v>
      </c>
    </row>
    <row r="282" spans="1:44">
      <c r="AG282" t="s">
        <v>10816</v>
      </c>
      <c r="AH282" s="109">
        <v>0.6</v>
      </c>
      <c r="AI282" s="110" t="s">
        <v>10817</v>
      </c>
      <c r="AK282" t="s">
        <v>10815</v>
      </c>
      <c r="AL282">
        <v>0.1</v>
      </c>
      <c r="AQ282" t="s">
        <v>10815</v>
      </c>
      <c r="AR282">
        <v>0.15</v>
      </c>
    </row>
    <row r="283" spans="1:44">
      <c r="AG283" t="s">
        <v>10818</v>
      </c>
      <c r="AH283" s="109">
        <v>2</v>
      </c>
      <c r="AI283" s="110" t="s">
        <v>10819</v>
      </c>
    </row>
    <row r="289" spans="33:45" ht="25.95" customHeight="1">
      <c r="AG289" s="85" t="s">
        <v>10820</v>
      </c>
      <c r="AH289" s="85"/>
      <c r="AI289" s="85"/>
      <c r="AJ289" s="85"/>
      <c r="AK289" s="85"/>
      <c r="AL289" s="85"/>
      <c r="AM289" s="85"/>
      <c r="AN289" s="85"/>
      <c r="AO289" s="85"/>
      <c r="AP289" s="85"/>
      <c r="AQ289" s="85"/>
      <c r="AR289" s="85"/>
    </row>
    <row r="290" spans="33:45" ht="34.1" customHeight="1">
      <c r="AG290" s="102" t="s">
        <v>10821</v>
      </c>
      <c r="AH290" s="102"/>
      <c r="AI290" s="102"/>
      <c r="AJ290" s="102"/>
      <c r="AK290" s="102"/>
      <c r="AL290" s="102"/>
      <c r="AM290" s="102"/>
      <c r="AN290" s="102"/>
      <c r="AO290" s="102"/>
      <c r="AP290" s="102"/>
      <c r="AQ290" s="102"/>
      <c r="AR290" s="102"/>
    </row>
    <row r="291" spans="33:45">
      <c r="AG291" t="s">
        <v>10822</v>
      </c>
      <c r="AH291" t="s">
        <v>642</v>
      </c>
      <c r="AI291" t="s">
        <v>3610</v>
      </c>
      <c r="AJ291" t="s">
        <v>643</v>
      </c>
      <c r="AK291" t="s">
        <v>3615</v>
      </c>
      <c r="AL291" t="s">
        <v>644</v>
      </c>
      <c r="AM291" t="s">
        <v>3620</v>
      </c>
      <c r="AN291" t="s">
        <v>3623</v>
      </c>
      <c r="AO291" t="s">
        <v>3626</v>
      </c>
      <c r="AP291" t="s">
        <v>3629</v>
      </c>
      <c r="AQ291" t="s">
        <v>3632</v>
      </c>
      <c r="AR291" t="s">
        <v>3635</v>
      </c>
      <c r="AS291" t="s">
        <v>3638</v>
      </c>
    </row>
    <row r="292" spans="33:45">
      <c r="AG292" t="s">
        <v>642</v>
      </c>
      <c r="AH292">
        <v>0</v>
      </c>
      <c r="AI292">
        <v>0.6</v>
      </c>
      <c r="AJ292">
        <v>0.5</v>
      </c>
      <c r="AK292">
        <v>0.3</v>
      </c>
      <c r="AL292">
        <v>0.7</v>
      </c>
      <c r="AM292">
        <v>0.7</v>
      </c>
      <c r="AN292">
        <v>0.5</v>
      </c>
      <c r="AO292">
        <v>0.5</v>
      </c>
      <c r="AP292">
        <v>0.1</v>
      </c>
      <c r="AQ292">
        <v>0.4</v>
      </c>
      <c r="AR292">
        <v>0.1</v>
      </c>
      <c r="AS292">
        <v>0</v>
      </c>
    </row>
    <row r="293" spans="33:45">
      <c r="AG293" t="s">
        <v>3610</v>
      </c>
      <c r="AH293">
        <v>0</v>
      </c>
      <c r="AI293">
        <v>0</v>
      </c>
      <c r="AJ293">
        <v>0.1</v>
      </c>
      <c r="AK293">
        <v>0.2</v>
      </c>
      <c r="AL293">
        <v>0.3</v>
      </c>
      <c r="AM293">
        <v>0.4</v>
      </c>
      <c r="AN293">
        <v>0.2</v>
      </c>
      <c r="AO293">
        <v>0.1</v>
      </c>
      <c r="AP293">
        <v>0</v>
      </c>
      <c r="AQ293">
        <v>0.1</v>
      </c>
      <c r="AR293">
        <v>0.2</v>
      </c>
      <c r="AS293">
        <v>0</v>
      </c>
    </row>
    <row r="294" spans="33:45">
      <c r="AG294" t="s">
        <v>643</v>
      </c>
      <c r="AH294">
        <v>0</v>
      </c>
      <c r="AI294">
        <v>0</v>
      </c>
      <c r="AJ294">
        <v>0</v>
      </c>
      <c r="AK294">
        <v>0.5</v>
      </c>
      <c r="AL294">
        <v>0.2</v>
      </c>
      <c r="AM294">
        <v>0.1</v>
      </c>
      <c r="AN294">
        <v>0.3</v>
      </c>
      <c r="AO294">
        <v>0.2</v>
      </c>
      <c r="AP294">
        <v>0</v>
      </c>
      <c r="AQ294">
        <v>0.6</v>
      </c>
      <c r="AR294">
        <v>0.7</v>
      </c>
      <c r="AS294">
        <v>0</v>
      </c>
    </row>
    <row r="295" spans="33:45">
      <c r="AG295" t="s">
        <v>3615</v>
      </c>
      <c r="AH295">
        <v>0</v>
      </c>
      <c r="AI295">
        <v>0</v>
      </c>
      <c r="AJ295">
        <v>0.2</v>
      </c>
      <c r="AK295">
        <v>0</v>
      </c>
      <c r="AL295">
        <v>0.1</v>
      </c>
      <c r="AM295">
        <v>0</v>
      </c>
      <c r="AN295">
        <v>0.1</v>
      </c>
      <c r="AO295">
        <v>0.2</v>
      </c>
      <c r="AP295">
        <v>0</v>
      </c>
      <c r="AQ295">
        <v>0.2</v>
      </c>
      <c r="AR295">
        <v>0.4</v>
      </c>
      <c r="AS295">
        <v>0</v>
      </c>
    </row>
    <row r="296" spans="33:45">
      <c r="AG296" t="s">
        <v>644</v>
      </c>
      <c r="AH296">
        <v>0</v>
      </c>
      <c r="AI296">
        <v>0.1</v>
      </c>
      <c r="AJ296">
        <v>0</v>
      </c>
      <c r="AK296">
        <v>0</v>
      </c>
      <c r="AL296">
        <v>0</v>
      </c>
      <c r="AM296">
        <v>0.1</v>
      </c>
      <c r="AN296">
        <v>0.4</v>
      </c>
      <c r="AO296">
        <v>0.3</v>
      </c>
      <c r="AP296">
        <v>0</v>
      </c>
      <c r="AQ296">
        <v>0.1</v>
      </c>
      <c r="AR296">
        <v>0.2</v>
      </c>
      <c r="AS296">
        <v>0</v>
      </c>
    </row>
    <row r="297" spans="33:45">
      <c r="AG297" t="s">
        <v>3620</v>
      </c>
      <c r="AH297">
        <v>0</v>
      </c>
      <c r="AI297">
        <v>0.4</v>
      </c>
      <c r="AJ297">
        <v>0.1</v>
      </c>
      <c r="AK297">
        <v>0.3</v>
      </c>
      <c r="AL297">
        <v>0.4</v>
      </c>
      <c r="AM297">
        <v>0</v>
      </c>
      <c r="AN297">
        <v>0.3</v>
      </c>
      <c r="AO297">
        <v>0.2</v>
      </c>
      <c r="AP297">
        <v>0</v>
      </c>
      <c r="AQ297">
        <v>0</v>
      </c>
      <c r="AR297">
        <v>0.1</v>
      </c>
      <c r="AS297">
        <v>0</v>
      </c>
    </row>
    <row r="298" spans="33:45">
      <c r="AG298" t="s">
        <v>3623</v>
      </c>
      <c r="AH298">
        <v>0</v>
      </c>
      <c r="AI298">
        <v>0</v>
      </c>
      <c r="AJ298">
        <v>0.1</v>
      </c>
      <c r="AK298">
        <v>0</v>
      </c>
      <c r="AL298">
        <v>0.4</v>
      </c>
      <c r="AM298">
        <v>0</v>
      </c>
      <c r="AN298">
        <v>0</v>
      </c>
      <c r="AO298">
        <v>0.3</v>
      </c>
      <c r="AP298">
        <v>0</v>
      </c>
      <c r="AQ298">
        <v>0.3</v>
      </c>
      <c r="AR298">
        <v>0.4</v>
      </c>
      <c r="AS298">
        <v>0</v>
      </c>
    </row>
    <row r="299" spans="33:45">
      <c r="AG299" t="s">
        <v>3626</v>
      </c>
      <c r="AH299">
        <v>0</v>
      </c>
      <c r="AI299">
        <v>0</v>
      </c>
      <c r="AJ299">
        <v>0</v>
      </c>
      <c r="AK299">
        <v>0</v>
      </c>
      <c r="AL299">
        <v>0.2</v>
      </c>
      <c r="AM299">
        <v>0</v>
      </c>
      <c r="AN299">
        <v>0.6</v>
      </c>
      <c r="AO299">
        <v>0</v>
      </c>
      <c r="AP299">
        <v>0</v>
      </c>
      <c r="AQ299">
        <v>0.1</v>
      </c>
      <c r="AR299">
        <v>0.2</v>
      </c>
      <c r="AS299">
        <v>0</v>
      </c>
    </row>
    <row r="300" spans="33:45">
      <c r="AG300" t="s">
        <v>3629</v>
      </c>
      <c r="AH300">
        <v>0</v>
      </c>
      <c r="AI300">
        <v>0.2</v>
      </c>
      <c r="AJ300">
        <v>0.1</v>
      </c>
      <c r="AK300">
        <v>0.1</v>
      </c>
      <c r="AL300">
        <v>0.4</v>
      </c>
      <c r="AM300">
        <v>0.1</v>
      </c>
      <c r="AN300">
        <v>0.3</v>
      </c>
      <c r="AO300">
        <v>0.4</v>
      </c>
      <c r="AP300">
        <v>0</v>
      </c>
      <c r="AQ300">
        <v>0.1</v>
      </c>
      <c r="AR300">
        <v>0</v>
      </c>
      <c r="AS300">
        <v>0</v>
      </c>
    </row>
    <row r="301" spans="33:45">
      <c r="AG301" t="s">
        <v>3632</v>
      </c>
      <c r="AH301">
        <v>0</v>
      </c>
      <c r="AI301">
        <v>0</v>
      </c>
      <c r="AJ301">
        <v>0</v>
      </c>
      <c r="AK301">
        <v>0</v>
      </c>
      <c r="AL301">
        <v>0.1</v>
      </c>
      <c r="AM301">
        <v>0</v>
      </c>
      <c r="AN301">
        <v>0.3</v>
      </c>
      <c r="AO301">
        <v>0.2</v>
      </c>
      <c r="AP301">
        <v>0</v>
      </c>
      <c r="AQ301">
        <v>0</v>
      </c>
      <c r="AR301">
        <v>0.4</v>
      </c>
      <c r="AS301">
        <v>0</v>
      </c>
    </row>
    <row r="302" spans="33:45">
      <c r="AG302" t="s">
        <v>3635</v>
      </c>
      <c r="AH302">
        <v>0</v>
      </c>
      <c r="AI302">
        <v>0</v>
      </c>
      <c r="AJ302">
        <v>0</v>
      </c>
      <c r="AK302">
        <v>0</v>
      </c>
      <c r="AL302">
        <v>0</v>
      </c>
      <c r="AM302">
        <v>0</v>
      </c>
      <c r="AN302">
        <v>0.3</v>
      </c>
      <c r="AO302">
        <v>0.5</v>
      </c>
      <c r="AP302">
        <v>0</v>
      </c>
      <c r="AQ302">
        <v>0.3</v>
      </c>
      <c r="AR302">
        <v>0</v>
      </c>
      <c r="AS302">
        <v>0</v>
      </c>
    </row>
    <row r="303" spans="33:45">
      <c r="AG303" t="s">
        <v>3638</v>
      </c>
      <c r="AH303">
        <v>0</v>
      </c>
      <c r="AI303">
        <v>0.6</v>
      </c>
      <c r="AJ303">
        <v>0</v>
      </c>
      <c r="AK303">
        <v>0.2</v>
      </c>
      <c r="AL303">
        <v>0.5</v>
      </c>
      <c r="AM303">
        <v>0.5</v>
      </c>
      <c r="AN303">
        <v>0.2</v>
      </c>
      <c r="AO303">
        <v>0.1</v>
      </c>
      <c r="AP303">
        <v>0.1</v>
      </c>
      <c r="AQ303">
        <v>0.1</v>
      </c>
      <c r="AR303">
        <v>0.1</v>
      </c>
      <c r="AS303">
        <v>0</v>
      </c>
    </row>
    <row r="305" spans="33:45">
      <c r="AG305" t="s">
        <v>10823</v>
      </c>
      <c r="AH305">
        <v>0.5</v>
      </c>
    </row>
    <row r="306" spans="33:45">
      <c r="AG306" t="s">
        <v>10824</v>
      </c>
      <c r="AH306">
        <v>2.5</v>
      </c>
    </row>
    <row r="308" spans="33:45">
      <c r="AG308" t="s">
        <v>10825</v>
      </c>
      <c r="AH308">
        <f>IFERROR(INDEX($B$253:$M$264,MATCH('Resilience &amp; Risk Scenario'!$B$6,$A$253:$A$264,0),1),0)</f>
        <v>0</v>
      </c>
      <c r="AI308">
        <f>IFERROR(INDEX($B$253:$M$264,MATCH('Resilience &amp; Risk Scenario'!$B$6,$A$253:$A$264,0),2),0)</f>
        <v>0</v>
      </c>
      <c r="AJ308">
        <f>IFERROR(INDEX($B$253:$M$264,MATCH('Resilience &amp; Risk Scenario'!$B$6,$A$253:$A$264,0),3),0)</f>
        <v>0</v>
      </c>
      <c r="AK308">
        <f>IFERROR(INDEX($B$253:$M$264,MATCH('Resilience &amp; Risk Scenario'!$B$6,$A$253:$A$264,0),4),0)</f>
        <v>0</v>
      </c>
      <c r="AL308">
        <f>IFERROR(INDEX($B$253:$M$264,MATCH('Resilience &amp; Risk Scenario'!$B$6,$A$253:$A$264,0),5),0)</f>
        <v>0</v>
      </c>
      <c r="AM308">
        <f>IFERROR(INDEX($B$253:$M$264,MATCH('Resilience &amp; Risk Scenario'!$B$6,$A$253:$A$264,0),6),0)</f>
        <v>0</v>
      </c>
      <c r="AN308">
        <f>IFERROR(INDEX($B$253:$M$264,MATCH('Resilience &amp; Risk Scenario'!$B$6,$A$253:$A$264,0),7),0)</f>
        <v>0</v>
      </c>
      <c r="AO308">
        <f>IFERROR(INDEX($B$253:$M$264,MATCH('Resilience &amp; Risk Scenario'!$B$6,$A$253:$A$264,0),8),0)</f>
        <v>0</v>
      </c>
      <c r="AP308">
        <f>IFERROR(INDEX($B$253:$M$264,MATCH('Resilience &amp; Risk Scenario'!$B$6,$A$253:$A$264,0),9),0)</f>
        <v>0</v>
      </c>
      <c r="AQ308">
        <f>IFERROR(INDEX($B$253:$M$264,MATCH('Resilience &amp; Risk Scenario'!$B$6,$A$253:$A$264,0),10),0)</f>
        <v>0</v>
      </c>
      <c r="AR308">
        <f>IFERROR(INDEX($B$253:$M$264,MATCH('Resilience &amp; Risk Scenario'!$B$6,$A$253:$A$264,0),11),0)</f>
        <v>0</v>
      </c>
      <c r="AS308">
        <f>IFERROR(INDEX($B$253:$M$264,MATCH('Resilience &amp; Risk Scenario'!$B$6,$A$253:$A$264,0),12),0)</f>
        <v>0</v>
      </c>
    </row>
    <row r="498" spans="1:6">
      <c r="A498" t="s">
        <v>10826</v>
      </c>
    </row>
    <row r="499" spans="1:6">
      <c r="A499" t="s">
        <v>764</v>
      </c>
      <c r="F499" t="s">
        <v>10629</v>
      </c>
    </row>
    <row r="501" spans="1:6">
      <c r="A501" t="str">
        <f>_DATA_Dashboard_Facts!$A$5</f>
        <v>Company Geography</v>
      </c>
      <c r="F501">
        <f>IF(OR('Resilience &amp; Risk Scenario'!$B$6="",'Resilience &amp; Risk Scenario'!$B$6=0,'Resilience &amp; Risk Scenario'!$B$7&lt;=0),1,IFERROR(IF(SUMIFS(_ENGINE_Crisis!$D$5:$D$208,_ENGINE_Crisis!$A$5:$A$208,'Resilience &amp; Risk Scenario'!$B$6,_ENGINE_Crisis!$B$5:$B$208,$A501)=0,1,ROUND(MIN(_ENGINE_Crisis!$AH$306,SUMIFS(_ENGINE_Crisis!$D$5:$D$208,_ENGINE_Crisis!$A$5:$A$208,'Resilience &amp; Risk Scenario'!$B$6,_ENGINE_Crisis!$B$5:$B$208,$A501)+_ENGINE_Crisis!$AH$305*SUMPRODUCT((_ENGINE_Crisis!$A$253:$A$269=$A501)*(_ENGINE_Crisis!$AH$291:$AS$291&lt;&gt;'Resilience &amp; Risk Scenario'!$B$6)*(_ENGINE_Crisis!$AH$292:$AS$292)*(_ENGINE_Crisis!$AH$308:$AS$308))),2)),1))</f>
        <v>1</v>
      </c>
    </row>
    <row r="502" spans="1:6">
      <c r="A502" t="str">
        <f>_DATA_Dashboard_Facts!$A$6</f>
        <v>Strategy GTM</v>
      </c>
      <c r="F502">
        <f>IF(OR('Resilience &amp; Risk Scenario'!$B$6="",'Resilience &amp; Risk Scenario'!$B$6=0,'Resilience &amp; Risk Scenario'!$B$7&lt;=0),1,IFERROR(IF(SUMIFS(_ENGINE_Crisis!$D$5:$D$208,_ENGINE_Crisis!$A$5:$A$208,'Resilience &amp; Risk Scenario'!$B$6,_ENGINE_Crisis!$B$5:$B$208,$A502)=0,1,ROUND(MIN(_ENGINE_Crisis!$AH$306,SUMIFS(_ENGINE_Crisis!$D$5:$D$208,_ENGINE_Crisis!$A$5:$A$208,'Resilience &amp; Risk Scenario'!$B$6,_ENGINE_Crisis!$B$5:$B$208,$A502)+_ENGINE_Crisis!$AH$305*SUMPRODUCT((_ENGINE_Crisis!$A$253:$A$269=$A502)*(_ENGINE_Crisis!$AH$291:$AS$291&lt;&gt;'Resilience &amp; Risk Scenario'!$B$6)*(_ENGINE_Crisis!$AH$292:$AS$292)*(_ENGINE_Crisis!$AH$308:$AS$308))),2)),1))</f>
        <v>1</v>
      </c>
    </row>
    <row r="503" spans="1:6">
      <c r="A503" t="str">
        <f>_DATA_Dashboard_Facts!$A$7</f>
        <v>Governance Crisis</v>
      </c>
      <c r="F503">
        <f>IF(OR('Resilience &amp; Risk Scenario'!$B$6="",'Resilience &amp; Risk Scenario'!$B$6=0,'Resilience &amp; Risk Scenario'!$B$7&lt;=0),1,IFERROR(IF(SUMIFS(_ENGINE_Crisis!$D$5:$D$208,_ENGINE_Crisis!$A$5:$A$208,'Resilience &amp; Risk Scenario'!$B$6,_ENGINE_Crisis!$B$5:$B$208,$A503)=0,1,ROUND(MIN(_ENGINE_Crisis!$AH$306,SUMIFS(_ENGINE_Crisis!$D$5:$D$208,_ENGINE_Crisis!$A$5:$A$208,'Resilience &amp; Risk Scenario'!$B$6,_ENGINE_Crisis!$B$5:$B$208,$A503)+_ENGINE_Crisis!$AH$305*SUMPRODUCT((_ENGINE_Crisis!$A$253:$A$269=$A503)*(_ENGINE_Crisis!$AH$291:$AS$291&lt;&gt;'Resilience &amp; Risk Scenario'!$B$6)*(_ENGINE_Crisis!$AH$292:$AS$292)*(_ENGINE_Crisis!$AH$308:$AS$308))),2)),1))</f>
        <v>1</v>
      </c>
    </row>
    <row r="504" spans="1:6">
      <c r="A504" t="str">
        <f>_DATA_Dashboard_Facts!$A$8</f>
        <v>HR Workforce</v>
      </c>
      <c r="F504">
        <f>IF(OR('Resilience &amp; Risk Scenario'!$B$6="",'Resilience &amp; Risk Scenario'!$B$6=0,'Resilience &amp; Risk Scenario'!$B$7&lt;=0),1,IFERROR(IF(SUMIFS(_ENGINE_Crisis!$D$5:$D$208,_ENGINE_Crisis!$A$5:$A$208,'Resilience &amp; Risk Scenario'!$B$6,_ENGINE_Crisis!$B$5:$B$208,$A504)=0,1,ROUND(MIN(_ENGINE_Crisis!$AH$306,SUMIFS(_ENGINE_Crisis!$D$5:$D$208,_ENGINE_Crisis!$A$5:$A$208,'Resilience &amp; Risk Scenario'!$B$6,_ENGINE_Crisis!$B$5:$B$208,$A504)+_ENGINE_Crisis!$AH$305*SUMPRODUCT((_ENGINE_Crisis!$A$253:$A$269=$A504)*(_ENGINE_Crisis!$AH$291:$AS$291&lt;&gt;'Resilience &amp; Risk Scenario'!$B$6)*(_ENGINE_Crisis!$AH$292:$AS$292)*(_ENGINE_Crisis!$AH$308:$AS$308))),2)),1))</f>
        <v>1</v>
      </c>
    </row>
    <row r="505" spans="1:6">
      <c r="A505" t="str">
        <f>_DATA_Dashboard_Facts!$A$9</f>
        <v>Finance Procurement</v>
      </c>
      <c r="F505">
        <f>IF(OR('Resilience &amp; Risk Scenario'!$B$6="",'Resilience &amp; Risk Scenario'!$B$6=0,'Resilience &amp; Risk Scenario'!$B$7&lt;=0),1,IFERROR(IF(SUMIFS(_ENGINE_Crisis!$D$5:$D$208,_ENGINE_Crisis!$A$5:$A$208,'Resilience &amp; Risk Scenario'!$B$6,_ENGINE_Crisis!$B$5:$B$208,$A505)=0,1,ROUND(MIN(_ENGINE_Crisis!$AH$306,SUMIFS(_ENGINE_Crisis!$D$5:$D$208,_ENGINE_Crisis!$A$5:$A$208,'Resilience &amp; Risk Scenario'!$B$6,_ENGINE_Crisis!$B$5:$B$208,$A505)+_ENGINE_Crisis!$AH$305*SUMPRODUCT((_ENGINE_Crisis!$A$253:$A$269=$A505)*(_ENGINE_Crisis!$AH$291:$AS$291&lt;&gt;'Resilience &amp; Risk Scenario'!$B$6)*(_ENGINE_Crisis!$AH$292:$AS$292)*(_ENGINE_Crisis!$AH$308:$AS$308))),2)),1))</f>
        <v>1</v>
      </c>
    </row>
    <row r="506" spans="1:6">
      <c r="A506" t="str">
        <f>_DATA_Dashboard_Facts!$A$10</f>
        <v>Legal Risk</v>
      </c>
      <c r="F506">
        <f>IF(OR('Resilience &amp; Risk Scenario'!$B$6="",'Resilience &amp; Risk Scenario'!$B$6=0,'Resilience &amp; Risk Scenario'!$B$7&lt;=0),1,IFERROR(IF(SUMIFS(_ENGINE_Crisis!$D$5:$D$208,_ENGINE_Crisis!$A$5:$A$208,'Resilience &amp; Risk Scenario'!$B$6,_ENGINE_Crisis!$B$5:$B$208,$A506)=0,1,ROUND(MIN(_ENGINE_Crisis!$AH$306,SUMIFS(_ENGINE_Crisis!$D$5:$D$208,_ENGINE_Crisis!$A$5:$A$208,'Resilience &amp; Risk Scenario'!$B$6,_ENGINE_Crisis!$B$5:$B$208,$A506)+_ENGINE_Crisis!$AH$305*SUMPRODUCT((_ENGINE_Crisis!$A$253:$A$269=$A506)*(_ENGINE_Crisis!$AH$291:$AS$291&lt;&gt;'Resilience &amp; Risk Scenario'!$B$6)*(_ENGINE_Crisis!$AH$292:$AS$292)*(_ENGINE_Crisis!$AH$308:$AS$308))),2)),1))</f>
        <v>1</v>
      </c>
    </row>
    <row r="507" spans="1:6">
      <c r="A507" t="str">
        <f>_DATA_Dashboard_Facts!$A$11</f>
        <v>Physical Safety</v>
      </c>
      <c r="F507">
        <f>IF(OR('Resilience &amp; Risk Scenario'!$B$6="",'Resilience &amp; Risk Scenario'!$B$6=0,'Resilience &amp; Risk Scenario'!$B$7&lt;=0),1,IFERROR(IF(SUMIFS(_ENGINE_Crisis!$D$5:$D$208,_ENGINE_Crisis!$A$5:$A$208,'Resilience &amp; Risk Scenario'!$B$6,_ENGINE_Crisis!$B$5:$B$208,$A507)=0,1,ROUND(MIN(_ENGINE_Crisis!$AH$306,SUMIFS(_ENGINE_Crisis!$D$5:$D$208,_ENGINE_Crisis!$A$5:$A$208,'Resilience &amp; Risk Scenario'!$B$6,_ENGINE_Crisis!$B$5:$B$208,$A507)+_ENGINE_Crisis!$AH$305*SUMPRODUCT((_ENGINE_Crisis!$A$253:$A$269=$A507)*(_ENGINE_Crisis!$AH$291:$AS$291&lt;&gt;'Resilience &amp; Risk Scenario'!$B$6)*(_ENGINE_Crisis!$AH$292:$AS$292)*(_ENGINE_Crisis!$AH$308:$AS$308))),2)),1))</f>
        <v>1</v>
      </c>
    </row>
    <row r="508" spans="1:6">
      <c r="A508" t="str">
        <f>_DATA_Dashboard_Facts!$A$12</f>
        <v>Delivery Ops</v>
      </c>
      <c r="F508">
        <f>IF(OR('Resilience &amp; Risk Scenario'!$B$6="",'Resilience &amp; Risk Scenario'!$B$6=0,'Resilience &amp; Risk Scenario'!$B$7&lt;=0),1,IFERROR(IF(SUMIFS(_ENGINE_Crisis!$D$5:$D$208,_ENGINE_Crisis!$A$5:$A$208,'Resilience &amp; Risk Scenario'!$B$6,_ENGINE_Crisis!$B$5:$B$208,$A508)=0,1,ROUND(MIN(_ENGINE_Crisis!$AH$306,SUMIFS(_ENGINE_Crisis!$D$5:$D$208,_ENGINE_Crisis!$A$5:$A$208,'Resilience &amp; Risk Scenario'!$B$6,_ENGINE_Crisis!$B$5:$B$208,$A508)+_ENGINE_Crisis!$AH$305*SUMPRODUCT((_ENGINE_Crisis!$A$253:$A$269=$A508)*(_ENGINE_Crisis!$AH$291:$AS$291&lt;&gt;'Resilience &amp; Risk Scenario'!$B$6)*(_ENGINE_Crisis!$AH$292:$AS$292)*(_ENGINE_Crisis!$AH$308:$AS$308))),2)),1))</f>
        <v>1</v>
      </c>
    </row>
    <row r="509" spans="1:6">
      <c r="A509" t="str">
        <f>_DATA_Dashboard_Facts!$A$13</f>
        <v>Supply Chain</v>
      </c>
      <c r="F509">
        <f>IF(OR('Resilience &amp; Risk Scenario'!$B$6="",'Resilience &amp; Risk Scenario'!$B$6=0,'Resilience &amp; Risk Scenario'!$B$7&lt;=0),1,IFERROR(IF(SUMIFS(_ENGINE_Crisis!$D$5:$D$208,_ENGINE_Crisis!$A$5:$A$208,'Resilience &amp; Risk Scenario'!$B$6,_ENGINE_Crisis!$B$5:$B$208,$A509)=0,1,ROUND(MIN(_ENGINE_Crisis!$AH$306,SUMIFS(_ENGINE_Crisis!$D$5:$D$208,_ENGINE_Crisis!$A$5:$A$208,'Resilience &amp; Risk Scenario'!$B$6,_ENGINE_Crisis!$B$5:$B$208,$A509)+_ENGINE_Crisis!$AH$305*SUMPRODUCT((_ENGINE_Crisis!$A$253:$A$269=$A509)*(_ENGINE_Crisis!$AH$291:$AS$291&lt;&gt;'Resilience &amp; Risk Scenario'!$B$6)*(_ENGINE_Crisis!$AH$292:$AS$292)*(_ENGINE_Crisis!$AH$308:$AS$308))),2)),1))</f>
        <v>1</v>
      </c>
    </row>
    <row r="510" spans="1:6">
      <c r="A510" t="str">
        <f>_DATA_Dashboard_Facts!$A$14</f>
        <v>Manufacturing MES</v>
      </c>
      <c r="F510">
        <f>IF(OR('Resilience &amp; Risk Scenario'!$B$6="",'Resilience &amp; Risk Scenario'!$B$6=0,'Resilience &amp; Risk Scenario'!$B$7&lt;=0),1,IFERROR(IF(SUMIFS(_ENGINE_Crisis!$D$5:$D$208,_ENGINE_Crisis!$A$5:$A$208,'Resilience &amp; Risk Scenario'!$B$6,_ENGINE_Crisis!$B$5:$B$208,$A510)=0,1,ROUND(MIN(_ENGINE_Crisis!$AH$306,SUMIFS(_ENGINE_Crisis!$D$5:$D$208,_ENGINE_Crisis!$A$5:$A$208,'Resilience &amp; Risk Scenario'!$B$6,_ENGINE_Crisis!$B$5:$B$208,$A510)+_ENGINE_Crisis!$AH$305*SUMPRODUCT((_ENGINE_Crisis!$A$253:$A$269=$A510)*(_ENGINE_Crisis!$AH$291:$AS$291&lt;&gt;'Resilience &amp; Risk Scenario'!$B$6)*(_ENGINE_Crisis!$AH$292:$AS$292)*(_ENGINE_Crisis!$AH$308:$AS$308))),2)),1))</f>
        <v>1</v>
      </c>
    </row>
    <row r="511" spans="1:6">
      <c r="A511" t="str">
        <f>_DATA_Dashboard_Facts!$A$15</f>
        <v>Sales CRM</v>
      </c>
      <c r="F511">
        <f>IF(OR('Resilience &amp; Risk Scenario'!$B$6="",'Resilience &amp; Risk Scenario'!$B$6=0,'Resilience &amp; Risk Scenario'!$B$7&lt;=0),1,IFERROR(IF(SUMIFS(_ENGINE_Crisis!$D$5:$D$208,_ENGINE_Crisis!$A$5:$A$208,'Resilience &amp; Risk Scenario'!$B$6,_ENGINE_Crisis!$B$5:$B$208,$A511)=0,1,ROUND(MIN(_ENGINE_Crisis!$AH$306,SUMIFS(_ENGINE_Crisis!$D$5:$D$208,_ENGINE_Crisis!$A$5:$A$208,'Resilience &amp; Risk Scenario'!$B$6,_ENGINE_Crisis!$B$5:$B$208,$A511)+_ENGINE_Crisis!$AH$305*SUMPRODUCT((_ENGINE_Crisis!$A$253:$A$269=$A511)*(_ENGINE_Crisis!$AH$291:$AS$291&lt;&gt;'Resilience &amp; Risk Scenario'!$B$6)*(_ENGINE_Crisis!$AH$292:$AS$292)*(_ENGINE_Crisis!$AH$308:$AS$308))),2)),1))</f>
        <v>1</v>
      </c>
    </row>
    <row r="512" spans="1:6">
      <c r="A512" t="str">
        <f>_DATA_Dashboard_Facts!$A$16</f>
        <v>Marketing Comms</v>
      </c>
      <c r="F512">
        <f>IF(OR('Resilience &amp; Risk Scenario'!$B$6="",'Resilience &amp; Risk Scenario'!$B$6=0,'Resilience &amp; Risk Scenario'!$B$7&lt;=0),1,IFERROR(IF(SUMIFS(_ENGINE_Crisis!$D$5:$D$208,_ENGINE_Crisis!$A$5:$A$208,'Resilience &amp; Risk Scenario'!$B$6,_ENGINE_Crisis!$B$5:$B$208,$A512)=0,1,ROUND(MIN(_ENGINE_Crisis!$AH$306,SUMIFS(_ENGINE_Crisis!$D$5:$D$208,_ENGINE_Crisis!$A$5:$A$208,'Resilience &amp; Risk Scenario'!$B$6,_ENGINE_Crisis!$B$5:$B$208,$A512)+_ENGINE_Crisis!$AH$305*SUMPRODUCT((_ENGINE_Crisis!$A$253:$A$269=$A512)*(_ENGINE_Crisis!$AH$291:$AS$291&lt;&gt;'Resilience &amp; Risk Scenario'!$B$6)*(_ENGINE_Crisis!$AH$292:$AS$292)*(_ENGINE_Crisis!$AH$308:$AS$308))),2)),1))</f>
        <v>1</v>
      </c>
    </row>
    <row r="513" spans="1:6">
      <c r="A513" t="str">
        <f>_DATA_Dashboard_Facts!$A$17</f>
        <v>IT Cloud DR</v>
      </c>
      <c r="F513">
        <f>IF(OR('Resilience &amp; Risk Scenario'!$B$6="",'Resilience &amp; Risk Scenario'!$B$6=0,'Resilience &amp; Risk Scenario'!$B$7&lt;=0),1,IFERROR(IF(SUMIFS(_ENGINE_Crisis!$D$5:$D$208,_ENGINE_Crisis!$A$5:$A$208,'Resilience &amp; Risk Scenario'!$B$6,_ENGINE_Crisis!$B$5:$B$208,$A513)=0,1,ROUND(MIN(_ENGINE_Crisis!$AH$306,SUMIFS(_ENGINE_Crisis!$D$5:$D$208,_ENGINE_Crisis!$A$5:$A$208,'Resilience &amp; Risk Scenario'!$B$6,_ENGINE_Crisis!$B$5:$B$208,$A513)+_ENGINE_Crisis!$AH$305*SUMPRODUCT((_ENGINE_Crisis!$A$253:$A$269=$A513)*(_ENGINE_Crisis!$AH$291:$AS$291&lt;&gt;'Resilience &amp; Risk Scenario'!$B$6)*(_ENGINE_Crisis!$AH$292:$AS$292)*(_ENGINE_Crisis!$AH$308:$AS$308))),2)),1))</f>
        <v>1</v>
      </c>
    </row>
    <row r="514" spans="1:6">
      <c r="A514" t="str">
        <f>_DATA_Dashboard_Facts!$A$18</f>
        <v>Business Systems</v>
      </c>
      <c r="F514">
        <f>IF(OR('Resilience &amp; Risk Scenario'!$B$6="",'Resilience &amp; Risk Scenario'!$B$6=0,'Resilience &amp; Risk Scenario'!$B$7&lt;=0),1,IFERROR(IF(SUMIFS(_ENGINE_Crisis!$D$5:$D$208,_ENGINE_Crisis!$A$5:$A$208,'Resilience &amp; Risk Scenario'!$B$6,_ENGINE_Crisis!$B$5:$B$208,$A514)=0,1,ROUND(MIN(_ENGINE_Crisis!$AH$306,SUMIFS(_ENGINE_Crisis!$D$5:$D$208,_ENGINE_Crisis!$A$5:$A$208,'Resilience &amp; Risk Scenario'!$B$6,_ENGINE_Crisis!$B$5:$B$208,$A514)+_ENGINE_Crisis!$AH$305*SUMPRODUCT((_ENGINE_Crisis!$A$253:$A$269=$A514)*(_ENGINE_Crisis!$AH$291:$AS$291&lt;&gt;'Resilience &amp; Risk Scenario'!$B$6)*(_ENGINE_Crisis!$AH$292:$AS$292)*(_ENGINE_Crisis!$AH$308:$AS$308))),2)),1))</f>
        <v>1</v>
      </c>
    </row>
    <row r="515" spans="1:6">
      <c r="A515" t="str">
        <f>_DATA_Dashboard_Facts!$A$19</f>
        <v>Data BI AI</v>
      </c>
      <c r="F515">
        <f>IF(OR('Resilience &amp; Risk Scenario'!$B$6="",'Resilience &amp; Risk Scenario'!$B$6=0,'Resilience &amp; Risk Scenario'!$B$7&lt;=0),1,IFERROR(IF(SUMIFS(_ENGINE_Crisis!$D$5:$D$208,_ENGINE_Crisis!$A$5:$A$208,'Resilience &amp; Risk Scenario'!$B$6,_ENGINE_Crisis!$B$5:$B$208,$A515)=0,1,ROUND(MIN(_ENGINE_Crisis!$AH$306,SUMIFS(_ENGINE_Crisis!$D$5:$D$208,_ENGINE_Crisis!$A$5:$A$208,'Resilience &amp; Risk Scenario'!$B$6,_ENGINE_Crisis!$B$5:$B$208,$A515)+_ENGINE_Crisis!$AH$305*SUMPRODUCT((_ENGINE_Crisis!$A$253:$A$269=$A515)*(_ENGINE_Crisis!$AH$291:$AS$291&lt;&gt;'Resilience &amp; Risk Scenario'!$B$6)*(_ENGINE_Crisis!$AH$292:$AS$292)*(_ENGINE_Crisis!$AH$308:$AS$308))),2)),1))</f>
        <v>1</v>
      </c>
    </row>
    <row r="516" spans="1:6">
      <c r="A516" t="str">
        <f>_DATA_Dashboard_Facts!$A$20</f>
        <v>Cyber Privacy</v>
      </c>
      <c r="F516">
        <f>IF(OR('Resilience &amp; Risk Scenario'!$B$6="",'Resilience &amp; Risk Scenario'!$B$6=0,'Resilience &amp; Risk Scenario'!$B$7&lt;=0),1,IFERROR(IF(SUMIFS(_ENGINE_Crisis!$D$5:$D$208,_ENGINE_Crisis!$A$5:$A$208,'Resilience &amp; Risk Scenario'!$B$6,_ENGINE_Crisis!$B$5:$B$208,$A516)=0,1,ROUND(MIN(_ENGINE_Crisis!$AH$306,SUMIFS(_ENGINE_Crisis!$D$5:$D$208,_ENGINE_Crisis!$A$5:$A$208,'Resilience &amp; Risk Scenario'!$B$6,_ENGINE_Crisis!$B$5:$B$208,$A516)+_ENGINE_Crisis!$AH$305*SUMPRODUCT((_ENGINE_Crisis!$A$253:$A$269=$A516)*(_ENGINE_Crisis!$AH$291:$AS$291&lt;&gt;'Resilience &amp; Risk Scenario'!$B$6)*(_ENGINE_Crisis!$AH$292:$AS$292)*(_ENGINE_Crisis!$AH$308:$AS$308))),2)),1))</f>
        <v>1</v>
      </c>
    </row>
    <row r="517" spans="1:6">
      <c r="A517" t="str">
        <f>_DATA_Dashboard_Facts!$A$21</f>
        <v>Quality Portfolio</v>
      </c>
      <c r="F517">
        <f>IF(OR('Resilience &amp; Risk Scenario'!$B$6="",'Resilience &amp; Risk Scenario'!$B$6=0,'Resilience &amp; Risk Scenario'!$B$7&lt;=0),1,IFERROR(IF(SUMIFS(_ENGINE_Crisis!$D$5:$D$208,_ENGINE_Crisis!$A$5:$A$208,'Resilience &amp; Risk Scenario'!$B$6,_ENGINE_Crisis!$B$5:$B$208,$A517)=0,1,ROUND(MIN(_ENGINE_Crisis!$AH$306,SUMIFS(_ENGINE_Crisis!$D$5:$D$208,_ENGINE_Crisis!$A$5:$A$208,'Resilience &amp; Risk Scenario'!$B$6,_ENGINE_Crisis!$B$5:$B$208,$A517)+_ENGINE_Crisis!$AH$305*SUMPRODUCT((_ENGINE_Crisis!$A$253:$A$269=$A517)*(_ENGINE_Crisis!$AH$291:$AS$291&lt;&gt;'Resilience &amp; Risk Scenario'!$B$6)*(_ENGINE_Crisis!$AH$292:$AS$292)*(_ENGINE_Crisis!$AH$308:$AS$308))),2)),1))</f>
        <v>1</v>
      </c>
    </row>
  </sheetData>
  <autoFilter ref="A4:J191" xr:uid="{00000000-0009-0000-0000-00000A000000}"/>
  <mergeCells count="2">
    <mergeCell ref="A1:J1"/>
    <mergeCell ref="A2:J2"/>
  </mergeCells>
  <pageMargins left="0.75" right="0.75" top="1" bottom="1" header="0.5" footer="0.5"/>
  <pageSetup fitToHeight="0" orientation="landscape"/>
  <headerFooter>
    <oddFooter>&amp;R© Roman Reznikov / RR-framework — CC BY-NC-SA 4.0 — For authorized use only</oddFooter>
    <evenFooter>&amp;R© Roman Reznikov / RR-framework — CC BY-NC-SA 4.0 — For authorized use only</evenFooter>
    <firstFooter>&amp;R© Roman Reznikov / RR-framework — CC BY-NC-SA 4.0 — For authorized use only</first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11827"/>
    <pageSetUpPr fitToPage="1"/>
  </sheetPr>
  <dimension ref="A1:AR113"/>
  <sheetViews>
    <sheetView showGridLines="0" workbookViewId="0">
      <pane ySplit="3" topLeftCell="A4" activePane="bottomLeft" state="frozen"/>
      <selection pane="bottomLeft"/>
    </sheetView>
  </sheetViews>
  <sheetFormatPr defaultRowHeight="14.15"/>
  <cols>
    <col min="1" max="1" width="18" customWidth="1"/>
    <col min="2" max="6" width="42" customWidth="1"/>
    <col min="7" max="8" width="18" customWidth="1"/>
    <col min="9" max="9" width="42" customWidth="1"/>
    <col min="10" max="14" width="18" customWidth="1"/>
    <col min="15" max="15" width="42" customWidth="1"/>
    <col min="16" max="26" width="18" customWidth="1"/>
    <col min="27" max="43" width="16" customWidth="1"/>
    <col min="44" max="44" width="42" customWidth="1"/>
  </cols>
  <sheetData>
    <row r="1" spans="1:44" ht="25.95" customHeight="1">
      <c r="A1" s="303" t="s">
        <v>10827</v>
      </c>
      <c r="B1" s="304"/>
      <c r="C1" s="304"/>
      <c r="D1" s="304"/>
      <c r="E1" s="304"/>
      <c r="F1" s="304"/>
      <c r="G1" s="304"/>
      <c r="H1" s="304"/>
      <c r="I1" s="304"/>
      <c r="J1" s="304"/>
      <c r="K1" s="304"/>
      <c r="L1" s="304"/>
      <c r="M1" s="304"/>
      <c r="N1" s="304"/>
      <c r="O1" s="304"/>
      <c r="P1" s="304"/>
      <c r="Q1" s="304"/>
      <c r="R1" s="304"/>
      <c r="S1" s="304"/>
      <c r="T1" s="304"/>
      <c r="U1" s="304"/>
      <c r="V1" s="304"/>
      <c r="W1" s="304"/>
      <c r="X1" s="304"/>
      <c r="Y1" s="304"/>
      <c r="Z1" s="304"/>
      <c r="AA1" s="304"/>
      <c r="AB1" s="304"/>
      <c r="AC1" s="304"/>
      <c r="AD1" s="304"/>
      <c r="AE1" s="304"/>
      <c r="AF1" s="304"/>
      <c r="AG1" s="304"/>
      <c r="AH1" s="304"/>
      <c r="AI1" s="304"/>
      <c r="AJ1" s="304"/>
      <c r="AK1" s="304"/>
      <c r="AL1" s="304"/>
      <c r="AM1" s="304"/>
      <c r="AN1" s="304"/>
      <c r="AO1" s="304"/>
      <c r="AP1" s="304"/>
      <c r="AQ1" s="304"/>
      <c r="AR1" s="305"/>
    </row>
    <row r="2" spans="1:44" ht="34.1" customHeight="1">
      <c r="A2" s="306" t="s">
        <v>10828</v>
      </c>
      <c r="B2" s="267"/>
      <c r="C2" s="267"/>
      <c r="D2" s="267"/>
      <c r="E2" s="267"/>
      <c r="F2" s="267"/>
      <c r="G2" s="267"/>
      <c r="H2" s="267"/>
      <c r="I2" s="267"/>
      <c r="J2" s="267"/>
      <c r="K2" s="267"/>
      <c r="L2" s="267"/>
      <c r="M2" s="267"/>
      <c r="N2" s="267"/>
      <c r="O2" s="267"/>
      <c r="P2" s="267"/>
      <c r="Q2" s="267"/>
      <c r="R2" s="267"/>
      <c r="S2" s="267"/>
      <c r="T2" s="267"/>
      <c r="U2" s="267"/>
      <c r="V2" s="267"/>
      <c r="W2" s="267"/>
      <c r="X2" s="267"/>
      <c r="Y2" s="267"/>
      <c r="Z2" s="267"/>
      <c r="AA2" s="267"/>
      <c r="AB2" s="267"/>
      <c r="AC2" s="267"/>
      <c r="AD2" s="267"/>
      <c r="AE2" s="267"/>
      <c r="AF2" s="267"/>
      <c r="AG2" s="267"/>
      <c r="AH2" s="267"/>
      <c r="AI2" s="267"/>
      <c r="AJ2" s="267"/>
      <c r="AK2" s="267"/>
      <c r="AL2" s="267"/>
      <c r="AM2" s="267"/>
      <c r="AN2" s="267"/>
      <c r="AO2" s="267"/>
      <c r="AP2" s="267"/>
      <c r="AQ2" s="267"/>
      <c r="AR2" s="267"/>
    </row>
    <row r="4" spans="1:44" ht="27.9" customHeight="1">
      <c r="A4" s="15" t="s">
        <v>3839</v>
      </c>
      <c r="B4" s="15" t="s">
        <v>3510</v>
      </c>
      <c r="C4" s="15" t="s">
        <v>46</v>
      </c>
      <c r="D4" s="15" t="s">
        <v>10829</v>
      </c>
      <c r="E4" s="15" t="s">
        <v>10830</v>
      </c>
      <c r="F4" s="15" t="s">
        <v>10831</v>
      </c>
      <c r="G4" s="15" t="s">
        <v>3858</v>
      </c>
      <c r="H4" s="15" t="s">
        <v>10832</v>
      </c>
      <c r="I4" s="15" t="s">
        <v>3861</v>
      </c>
      <c r="J4" s="15" t="s">
        <v>10833</v>
      </c>
      <c r="K4" s="15" t="s">
        <v>10834</v>
      </c>
      <c r="L4" s="15" t="s">
        <v>10835</v>
      </c>
      <c r="M4" s="15" t="s">
        <v>10836</v>
      </c>
      <c r="N4" s="15" t="s">
        <v>3856</v>
      </c>
      <c r="O4" s="15" t="s">
        <v>3897</v>
      </c>
      <c r="P4" s="15" t="s">
        <v>642</v>
      </c>
      <c r="Q4" s="15" t="s">
        <v>3610</v>
      </c>
      <c r="R4" s="15" t="s">
        <v>643</v>
      </c>
      <c r="S4" s="15" t="s">
        <v>3615</v>
      </c>
      <c r="T4" s="15" t="s">
        <v>644</v>
      </c>
      <c r="U4" s="15" t="s">
        <v>3620</v>
      </c>
      <c r="V4" s="15" t="s">
        <v>3623</v>
      </c>
      <c r="W4" s="15" t="s">
        <v>3626</v>
      </c>
      <c r="X4" s="15" t="s">
        <v>3629</v>
      </c>
      <c r="Y4" s="15" t="s">
        <v>3632</v>
      </c>
      <c r="Z4" s="15" t="s">
        <v>3635</v>
      </c>
      <c r="AA4" s="15" t="s">
        <v>815</v>
      </c>
      <c r="AB4" s="15" t="s">
        <v>949</v>
      </c>
      <c r="AC4" s="15" t="s">
        <v>1150</v>
      </c>
      <c r="AD4" s="15" t="s">
        <v>1259</v>
      </c>
      <c r="AE4" s="15" t="s">
        <v>1401</v>
      </c>
      <c r="AF4" s="15" t="s">
        <v>1551</v>
      </c>
      <c r="AG4" s="15" t="s">
        <v>1666</v>
      </c>
      <c r="AH4" s="15" t="s">
        <v>1859</v>
      </c>
      <c r="AI4" s="15" t="s">
        <v>1987</v>
      </c>
      <c r="AJ4" s="15" t="s">
        <v>2145</v>
      </c>
      <c r="AK4" s="15" t="s">
        <v>2286</v>
      </c>
      <c r="AL4" s="15" t="s">
        <v>2473</v>
      </c>
      <c r="AM4" s="15" t="s">
        <v>2588</v>
      </c>
      <c r="AN4" s="15" t="s">
        <v>2729</v>
      </c>
      <c r="AO4" s="15" t="s">
        <v>2824</v>
      </c>
      <c r="AP4" s="15" t="s">
        <v>2986</v>
      </c>
      <c r="AQ4" s="15" t="s">
        <v>3204</v>
      </c>
      <c r="AR4" s="15" t="s">
        <v>10837</v>
      </c>
    </row>
    <row r="5" spans="1:44" ht="28.5" customHeight="1">
      <c r="A5" s="14" t="s">
        <v>4374</v>
      </c>
      <c r="B5" s="14" t="s">
        <v>4373</v>
      </c>
      <c r="C5" s="14" t="s">
        <v>10838</v>
      </c>
      <c r="D5" s="14" t="s">
        <v>10839</v>
      </c>
      <c r="E5" s="14" t="s">
        <v>10840</v>
      </c>
      <c r="F5" s="14" t="s">
        <v>10841</v>
      </c>
      <c r="G5" s="14" t="s">
        <v>10842</v>
      </c>
      <c r="H5" s="14" t="s">
        <v>10843</v>
      </c>
      <c r="I5" s="14" t="s">
        <v>10844</v>
      </c>
      <c r="J5" s="14">
        <v>4</v>
      </c>
      <c r="K5" s="14">
        <v>5</v>
      </c>
      <c r="L5" s="14">
        <v>3</v>
      </c>
      <c r="M5" s="14">
        <v>4</v>
      </c>
      <c r="N5" s="14">
        <v>3</v>
      </c>
      <c r="O5" s="14" t="s">
        <v>10838</v>
      </c>
      <c r="P5" s="14">
        <v>1</v>
      </c>
      <c r="Q5" s="14">
        <v>1</v>
      </c>
      <c r="R5" s="14">
        <v>1.3</v>
      </c>
      <c r="S5" s="14">
        <v>1.4</v>
      </c>
      <c r="T5" s="14">
        <v>1</v>
      </c>
      <c r="U5" s="14">
        <v>1</v>
      </c>
      <c r="V5" s="14">
        <v>1.2</v>
      </c>
      <c r="W5" s="14">
        <v>1.3</v>
      </c>
      <c r="X5" s="14">
        <v>1</v>
      </c>
      <c r="Y5" s="14">
        <v>1</v>
      </c>
      <c r="Z5" s="14">
        <v>1</v>
      </c>
      <c r="AA5" s="14">
        <v>0</v>
      </c>
      <c r="AB5" s="14">
        <v>2</v>
      </c>
      <c r="AC5" s="14">
        <v>3</v>
      </c>
      <c r="AD5" s="14">
        <v>0</v>
      </c>
      <c r="AE5" s="14">
        <v>0</v>
      </c>
      <c r="AF5" s="14">
        <v>0</v>
      </c>
      <c r="AG5" s="14">
        <v>0</v>
      </c>
      <c r="AH5" s="14">
        <v>0</v>
      </c>
      <c r="AI5" s="14">
        <v>0</v>
      </c>
      <c r="AJ5" s="14">
        <v>0</v>
      </c>
      <c r="AK5" s="14">
        <v>0</v>
      </c>
      <c r="AL5" s="14">
        <v>0</v>
      </c>
      <c r="AM5" s="14">
        <v>4</v>
      </c>
      <c r="AN5" s="14">
        <v>5</v>
      </c>
      <c r="AO5" s="14">
        <v>4</v>
      </c>
      <c r="AP5" s="14">
        <v>0</v>
      </c>
      <c r="AQ5" s="14">
        <v>3</v>
      </c>
      <c r="AR5" s="14" t="s">
        <v>10845</v>
      </c>
    </row>
    <row r="6" spans="1:44" ht="42.75" customHeight="1">
      <c r="A6" s="14" t="s">
        <v>3924</v>
      </c>
      <c r="B6" s="14" t="s">
        <v>3923</v>
      </c>
      <c r="C6" s="14" t="s">
        <v>10846</v>
      </c>
      <c r="D6" s="14" t="s">
        <v>10847</v>
      </c>
      <c r="E6" s="14" t="s">
        <v>10848</v>
      </c>
      <c r="F6" s="14" t="s">
        <v>10849</v>
      </c>
      <c r="G6" s="14" t="s">
        <v>3929</v>
      </c>
      <c r="H6" s="14" t="s">
        <v>10843</v>
      </c>
      <c r="I6" s="14" t="s">
        <v>10850</v>
      </c>
      <c r="J6" s="14">
        <v>5</v>
      </c>
      <c r="K6" s="14">
        <v>2</v>
      </c>
      <c r="L6" s="14">
        <v>5</v>
      </c>
      <c r="M6" s="14">
        <v>4</v>
      </c>
      <c r="N6" s="14">
        <v>3</v>
      </c>
      <c r="O6" s="14" t="s">
        <v>10846</v>
      </c>
      <c r="P6" s="14">
        <v>1.8</v>
      </c>
      <c r="Q6" s="14">
        <v>1.8</v>
      </c>
      <c r="R6" s="14">
        <v>1</v>
      </c>
      <c r="S6" s="14">
        <v>1.4</v>
      </c>
      <c r="T6" s="14">
        <v>1.4</v>
      </c>
      <c r="U6" s="14">
        <v>1.6</v>
      </c>
      <c r="V6" s="14">
        <v>1</v>
      </c>
      <c r="W6" s="14">
        <v>1</v>
      </c>
      <c r="X6" s="14">
        <v>1.5</v>
      </c>
      <c r="Y6" s="14">
        <v>1</v>
      </c>
      <c r="Z6" s="14">
        <v>1</v>
      </c>
      <c r="AA6" s="14">
        <v>3</v>
      </c>
      <c r="AB6" s="14">
        <v>0</v>
      </c>
      <c r="AC6" s="14">
        <v>5</v>
      </c>
      <c r="AD6" s="14">
        <v>4</v>
      </c>
      <c r="AE6" s="14">
        <v>0</v>
      </c>
      <c r="AF6" s="14">
        <v>0</v>
      </c>
      <c r="AG6" s="14">
        <v>5</v>
      </c>
      <c r="AH6" s="14">
        <v>4</v>
      </c>
      <c r="AI6" s="14">
        <v>4</v>
      </c>
      <c r="AJ6" s="14">
        <v>3</v>
      </c>
      <c r="AK6" s="14">
        <v>0</v>
      </c>
      <c r="AL6" s="14">
        <v>0</v>
      </c>
      <c r="AM6" s="14">
        <v>4</v>
      </c>
      <c r="AN6" s="14">
        <v>0</v>
      </c>
      <c r="AO6" s="14">
        <v>0</v>
      </c>
      <c r="AP6" s="14">
        <v>0</v>
      </c>
      <c r="AQ6" s="14">
        <v>0</v>
      </c>
      <c r="AR6" s="14" t="s">
        <v>10851</v>
      </c>
    </row>
    <row r="7" spans="1:44" ht="42.75" customHeight="1">
      <c r="A7" s="14" t="s">
        <v>4330</v>
      </c>
      <c r="B7" s="14" t="s">
        <v>4329</v>
      </c>
      <c r="C7" s="14" t="s">
        <v>10852</v>
      </c>
      <c r="D7" s="14" t="s">
        <v>10853</v>
      </c>
      <c r="E7" s="14" t="s">
        <v>10854</v>
      </c>
      <c r="F7" s="14" t="s">
        <v>10855</v>
      </c>
      <c r="G7" s="14" t="s">
        <v>10856</v>
      </c>
      <c r="H7" s="14" t="s">
        <v>10857</v>
      </c>
      <c r="I7" s="14" t="s">
        <v>10858</v>
      </c>
      <c r="J7" s="14">
        <v>5</v>
      </c>
      <c r="K7" s="14">
        <v>5</v>
      </c>
      <c r="L7" s="14">
        <v>5</v>
      </c>
      <c r="M7" s="14">
        <v>3</v>
      </c>
      <c r="N7" s="14">
        <v>4</v>
      </c>
      <c r="O7" s="14" t="s">
        <v>10852</v>
      </c>
      <c r="P7" s="14">
        <v>1.5</v>
      </c>
      <c r="Q7" s="14">
        <v>1.8</v>
      </c>
      <c r="R7" s="14">
        <v>1.6</v>
      </c>
      <c r="S7" s="14">
        <v>2</v>
      </c>
      <c r="T7" s="14">
        <v>1</v>
      </c>
      <c r="U7" s="14">
        <v>1.5</v>
      </c>
      <c r="V7" s="14">
        <v>1</v>
      </c>
      <c r="W7" s="14">
        <v>1</v>
      </c>
      <c r="X7" s="14">
        <v>1</v>
      </c>
      <c r="Y7" s="14">
        <v>1</v>
      </c>
      <c r="Z7" s="14">
        <v>1</v>
      </c>
      <c r="AA7" s="14">
        <v>0</v>
      </c>
      <c r="AB7" s="14">
        <v>0</v>
      </c>
      <c r="AC7" s="14">
        <v>0</v>
      </c>
      <c r="AD7" s="14">
        <v>0</v>
      </c>
      <c r="AE7" s="14">
        <v>0</v>
      </c>
      <c r="AF7" s="14">
        <v>0</v>
      </c>
      <c r="AG7" s="14">
        <v>2</v>
      </c>
      <c r="AH7" s="14">
        <v>2</v>
      </c>
      <c r="AI7" s="14">
        <v>0</v>
      </c>
      <c r="AJ7" s="14">
        <v>0</v>
      </c>
      <c r="AK7" s="14">
        <v>0</v>
      </c>
      <c r="AL7" s="14">
        <v>0</v>
      </c>
      <c r="AM7" s="14">
        <v>5</v>
      </c>
      <c r="AN7" s="14">
        <v>4</v>
      </c>
      <c r="AO7" s="14">
        <v>3</v>
      </c>
      <c r="AP7" s="14">
        <v>4</v>
      </c>
      <c r="AQ7" s="14">
        <v>0</v>
      </c>
      <c r="AR7" s="14" t="s">
        <v>10859</v>
      </c>
    </row>
    <row r="8" spans="1:44" ht="42.75" customHeight="1">
      <c r="A8" s="14" t="s">
        <v>4457</v>
      </c>
      <c r="B8" s="14" t="s">
        <v>4456</v>
      </c>
      <c r="C8" s="14" t="s">
        <v>10860</v>
      </c>
      <c r="D8" s="14" t="s">
        <v>10861</v>
      </c>
      <c r="E8" s="14" t="s">
        <v>10862</v>
      </c>
      <c r="F8" s="14" t="s">
        <v>10863</v>
      </c>
      <c r="G8" s="14" t="s">
        <v>10864</v>
      </c>
      <c r="H8" s="14" t="s">
        <v>10857</v>
      </c>
      <c r="I8" s="14" t="s">
        <v>10865</v>
      </c>
      <c r="J8" s="14">
        <v>5</v>
      </c>
      <c r="K8" s="14">
        <v>4</v>
      </c>
      <c r="L8" s="14">
        <v>5</v>
      </c>
      <c r="M8" s="14">
        <v>4</v>
      </c>
      <c r="N8" s="14">
        <v>4</v>
      </c>
      <c r="O8" s="14" t="s">
        <v>10860</v>
      </c>
      <c r="P8" s="14">
        <v>1</v>
      </c>
      <c r="Q8" s="14">
        <v>1</v>
      </c>
      <c r="R8" s="14">
        <v>2</v>
      </c>
      <c r="S8" s="14">
        <v>1.6</v>
      </c>
      <c r="T8" s="14">
        <v>1</v>
      </c>
      <c r="U8" s="14">
        <v>1</v>
      </c>
      <c r="V8" s="14">
        <v>1</v>
      </c>
      <c r="W8" s="14">
        <v>1</v>
      </c>
      <c r="X8" s="14">
        <v>1</v>
      </c>
      <c r="Y8" s="14">
        <v>1.3</v>
      </c>
      <c r="Z8" s="14">
        <v>1.4</v>
      </c>
      <c r="AA8" s="14">
        <v>0</v>
      </c>
      <c r="AB8" s="14">
        <v>0</v>
      </c>
      <c r="AC8" s="14">
        <v>0</v>
      </c>
      <c r="AD8" s="14">
        <v>0</v>
      </c>
      <c r="AE8" s="14">
        <v>2</v>
      </c>
      <c r="AF8" s="14">
        <v>3</v>
      </c>
      <c r="AG8" s="14">
        <v>0</v>
      </c>
      <c r="AH8" s="14">
        <v>0</v>
      </c>
      <c r="AI8" s="14">
        <v>0</v>
      </c>
      <c r="AJ8" s="14">
        <v>0</v>
      </c>
      <c r="AK8" s="14">
        <v>0</v>
      </c>
      <c r="AL8" s="14">
        <v>2</v>
      </c>
      <c r="AM8" s="14">
        <v>4</v>
      </c>
      <c r="AN8" s="14">
        <v>4</v>
      </c>
      <c r="AO8" s="14">
        <v>3</v>
      </c>
      <c r="AP8" s="14">
        <v>5</v>
      </c>
      <c r="AQ8" s="14">
        <v>0</v>
      </c>
      <c r="AR8" s="14" t="s">
        <v>10866</v>
      </c>
    </row>
    <row r="9" spans="1:44" ht="42.75" customHeight="1">
      <c r="A9" s="14" t="s">
        <v>4415</v>
      </c>
      <c r="B9" s="14" t="s">
        <v>4414</v>
      </c>
      <c r="C9" s="14" t="s">
        <v>10867</v>
      </c>
      <c r="D9" s="14" t="s">
        <v>10868</v>
      </c>
      <c r="E9" s="14" t="s">
        <v>10869</v>
      </c>
      <c r="F9" s="14" t="s">
        <v>10870</v>
      </c>
      <c r="G9" s="14" t="s">
        <v>10871</v>
      </c>
      <c r="H9" s="14" t="s">
        <v>10872</v>
      </c>
      <c r="I9" s="14" t="s">
        <v>10873</v>
      </c>
      <c r="J9" s="14">
        <v>4</v>
      </c>
      <c r="K9" s="14">
        <v>5</v>
      </c>
      <c r="L9" s="14">
        <v>3</v>
      </c>
      <c r="M9" s="14">
        <v>3</v>
      </c>
      <c r="N9" s="14">
        <v>4</v>
      </c>
      <c r="O9" s="14" t="s">
        <v>10867</v>
      </c>
      <c r="P9" s="14">
        <v>1</v>
      </c>
      <c r="Q9" s="14">
        <v>1</v>
      </c>
      <c r="R9" s="14">
        <v>1.2</v>
      </c>
      <c r="S9" s="14">
        <v>1.2</v>
      </c>
      <c r="T9" s="14">
        <v>1</v>
      </c>
      <c r="U9" s="14">
        <v>1</v>
      </c>
      <c r="V9" s="14">
        <v>1.3</v>
      </c>
      <c r="W9" s="14">
        <v>1.5</v>
      </c>
      <c r="X9" s="14">
        <v>1</v>
      </c>
      <c r="Y9" s="14">
        <v>1.4</v>
      </c>
      <c r="Z9" s="14">
        <v>1</v>
      </c>
      <c r="AA9" s="14">
        <v>0</v>
      </c>
      <c r="AB9" s="14">
        <v>3</v>
      </c>
      <c r="AC9" s="14">
        <v>0</v>
      </c>
      <c r="AD9" s="14">
        <v>0</v>
      </c>
      <c r="AE9" s="14">
        <v>3</v>
      </c>
      <c r="AF9" s="14">
        <v>0</v>
      </c>
      <c r="AG9" s="14">
        <v>0</v>
      </c>
      <c r="AH9" s="14">
        <v>0</v>
      </c>
      <c r="AI9" s="14">
        <v>0</v>
      </c>
      <c r="AJ9" s="14">
        <v>0</v>
      </c>
      <c r="AK9" s="14">
        <v>3</v>
      </c>
      <c r="AL9" s="14">
        <v>0</v>
      </c>
      <c r="AM9" s="14">
        <v>0</v>
      </c>
      <c r="AN9" s="14">
        <v>4</v>
      </c>
      <c r="AO9" s="14">
        <v>5</v>
      </c>
      <c r="AP9" s="14">
        <v>2</v>
      </c>
      <c r="AQ9" s="14">
        <v>2</v>
      </c>
      <c r="AR9" s="14" t="s">
        <v>10874</v>
      </c>
    </row>
    <row r="10" spans="1:44" ht="42.75" customHeight="1">
      <c r="A10" s="14" t="s">
        <v>4021</v>
      </c>
      <c r="B10" s="14" t="s">
        <v>4020</v>
      </c>
      <c r="C10" s="14" t="s">
        <v>10875</v>
      </c>
      <c r="D10" s="14" t="s">
        <v>10876</v>
      </c>
      <c r="E10" s="14" t="s">
        <v>10877</v>
      </c>
      <c r="F10" s="14" t="s">
        <v>10878</v>
      </c>
      <c r="G10" s="14" t="s">
        <v>10879</v>
      </c>
      <c r="H10" s="14" t="s">
        <v>10843</v>
      </c>
      <c r="I10" s="14" t="s">
        <v>10880</v>
      </c>
      <c r="J10" s="14">
        <v>4</v>
      </c>
      <c r="K10" s="14">
        <v>2</v>
      </c>
      <c r="L10" s="14">
        <v>5</v>
      </c>
      <c r="M10" s="14">
        <v>4</v>
      </c>
      <c r="N10" s="14">
        <v>3</v>
      </c>
      <c r="O10" s="14" t="s">
        <v>10875</v>
      </c>
      <c r="P10" s="14">
        <v>1.6</v>
      </c>
      <c r="Q10" s="14">
        <v>1.2</v>
      </c>
      <c r="R10" s="14">
        <v>1</v>
      </c>
      <c r="S10" s="14">
        <v>1</v>
      </c>
      <c r="T10" s="14">
        <v>1</v>
      </c>
      <c r="U10" s="14">
        <v>1</v>
      </c>
      <c r="V10" s="14">
        <v>1.2</v>
      </c>
      <c r="W10" s="14">
        <v>1</v>
      </c>
      <c r="X10" s="14">
        <v>2</v>
      </c>
      <c r="Y10" s="14">
        <v>1</v>
      </c>
      <c r="Z10" s="14">
        <v>1</v>
      </c>
      <c r="AA10" s="14">
        <v>0</v>
      </c>
      <c r="AB10" s="14">
        <v>0</v>
      </c>
      <c r="AC10" s="14">
        <v>3</v>
      </c>
      <c r="AD10" s="14">
        <v>5</v>
      </c>
      <c r="AE10" s="14">
        <v>0</v>
      </c>
      <c r="AF10" s="14">
        <v>0</v>
      </c>
      <c r="AG10" s="14">
        <v>3</v>
      </c>
      <c r="AH10" s="14">
        <v>3</v>
      </c>
      <c r="AI10" s="14">
        <v>0</v>
      </c>
      <c r="AJ10" s="14">
        <v>0</v>
      </c>
      <c r="AK10" s="14">
        <v>0</v>
      </c>
      <c r="AL10" s="14">
        <v>0</v>
      </c>
      <c r="AM10" s="14">
        <v>0</v>
      </c>
      <c r="AN10" s="14">
        <v>2</v>
      </c>
      <c r="AO10" s="14">
        <v>0</v>
      </c>
      <c r="AP10" s="14">
        <v>0</v>
      </c>
      <c r="AQ10" s="14">
        <v>2</v>
      </c>
      <c r="AR10" s="14" t="s">
        <v>1259</v>
      </c>
    </row>
    <row r="11" spans="1:44" ht="42.75" customHeight="1">
      <c r="A11" s="14" t="s">
        <v>4165</v>
      </c>
      <c r="B11" s="14" t="s">
        <v>4164</v>
      </c>
      <c r="C11" s="14" t="s">
        <v>10881</v>
      </c>
      <c r="D11" s="14" t="s">
        <v>10882</v>
      </c>
      <c r="E11" s="14" t="s">
        <v>10883</v>
      </c>
      <c r="F11" s="14" t="s">
        <v>10884</v>
      </c>
      <c r="G11" s="14" t="s">
        <v>4510</v>
      </c>
      <c r="H11" s="14" t="s">
        <v>10872</v>
      </c>
      <c r="I11" s="14" t="s">
        <v>10885</v>
      </c>
      <c r="J11" s="14">
        <v>4</v>
      </c>
      <c r="K11" s="14">
        <v>4</v>
      </c>
      <c r="L11" s="14">
        <v>3</v>
      </c>
      <c r="M11" s="14">
        <v>5</v>
      </c>
      <c r="N11" s="14">
        <v>4</v>
      </c>
      <c r="O11" s="14" t="s">
        <v>10881</v>
      </c>
      <c r="P11" s="14">
        <v>1</v>
      </c>
      <c r="Q11" s="14">
        <v>1</v>
      </c>
      <c r="R11" s="14">
        <v>1</v>
      </c>
      <c r="S11" s="14">
        <v>1</v>
      </c>
      <c r="T11" s="14">
        <v>1.3</v>
      </c>
      <c r="U11" s="14">
        <v>1.4</v>
      </c>
      <c r="V11" s="14">
        <v>1.7</v>
      </c>
      <c r="W11" s="14">
        <v>1.4</v>
      </c>
      <c r="X11" s="14">
        <v>1</v>
      </c>
      <c r="Y11" s="14">
        <v>1</v>
      </c>
      <c r="Z11" s="14">
        <v>1</v>
      </c>
      <c r="AA11" s="14">
        <v>0</v>
      </c>
      <c r="AB11" s="14">
        <v>0</v>
      </c>
      <c r="AC11" s="14">
        <v>0</v>
      </c>
      <c r="AD11" s="14">
        <v>0</v>
      </c>
      <c r="AE11" s="14">
        <v>3</v>
      </c>
      <c r="AF11" s="14">
        <v>0</v>
      </c>
      <c r="AG11" s="14">
        <v>0</v>
      </c>
      <c r="AH11" s="14">
        <v>4</v>
      </c>
      <c r="AI11" s="14">
        <v>3</v>
      </c>
      <c r="AJ11" s="14">
        <v>4</v>
      </c>
      <c r="AK11" s="14">
        <v>0</v>
      </c>
      <c r="AL11" s="14">
        <v>0</v>
      </c>
      <c r="AM11" s="14">
        <v>0</v>
      </c>
      <c r="AN11" s="14">
        <v>4</v>
      </c>
      <c r="AO11" s="14">
        <v>3</v>
      </c>
      <c r="AP11" s="14">
        <v>0</v>
      </c>
      <c r="AQ11" s="14">
        <v>5</v>
      </c>
      <c r="AR11" s="14" t="s">
        <v>10886</v>
      </c>
    </row>
    <row r="12" spans="1:44" ht="42.75" customHeight="1">
      <c r="A12" s="14" t="s">
        <v>4075</v>
      </c>
      <c r="B12" s="14" t="s">
        <v>4074</v>
      </c>
      <c r="C12" s="14" t="s">
        <v>10887</v>
      </c>
      <c r="D12" s="14" t="s">
        <v>10888</v>
      </c>
      <c r="E12" s="14" t="s">
        <v>10889</v>
      </c>
      <c r="F12" s="14" t="s">
        <v>10890</v>
      </c>
      <c r="G12" s="14" t="s">
        <v>10891</v>
      </c>
      <c r="H12" s="14" t="s">
        <v>10857</v>
      </c>
      <c r="I12" s="14" t="s">
        <v>10892</v>
      </c>
      <c r="J12" s="14">
        <v>5</v>
      </c>
      <c r="K12" s="14">
        <v>3</v>
      </c>
      <c r="L12" s="14">
        <v>5</v>
      </c>
      <c r="M12" s="14">
        <v>4</v>
      </c>
      <c r="N12" s="14">
        <v>4</v>
      </c>
      <c r="O12" s="14" t="s">
        <v>10887</v>
      </c>
      <c r="P12" s="14">
        <v>1.6</v>
      </c>
      <c r="Q12" s="14">
        <v>1.4</v>
      </c>
      <c r="R12" s="14">
        <v>1</v>
      </c>
      <c r="S12" s="14">
        <v>1</v>
      </c>
      <c r="T12" s="14">
        <v>2</v>
      </c>
      <c r="U12" s="14">
        <v>1.5</v>
      </c>
      <c r="V12" s="14">
        <v>1</v>
      </c>
      <c r="W12" s="14">
        <v>1</v>
      </c>
      <c r="X12" s="14">
        <v>1</v>
      </c>
      <c r="Y12" s="14">
        <v>1</v>
      </c>
      <c r="Z12" s="14">
        <v>1</v>
      </c>
      <c r="AA12" s="14">
        <v>3</v>
      </c>
      <c r="AB12" s="14">
        <v>0</v>
      </c>
      <c r="AC12" s="14">
        <v>0</v>
      </c>
      <c r="AD12" s="14">
        <v>0</v>
      </c>
      <c r="AE12" s="14">
        <v>3</v>
      </c>
      <c r="AF12" s="14">
        <v>0</v>
      </c>
      <c r="AG12" s="14">
        <v>2</v>
      </c>
      <c r="AH12" s="14">
        <v>5</v>
      </c>
      <c r="AI12" s="14">
        <v>5</v>
      </c>
      <c r="AJ12" s="14">
        <v>4</v>
      </c>
      <c r="AK12" s="14">
        <v>0</v>
      </c>
      <c r="AL12" s="14">
        <v>0</v>
      </c>
      <c r="AM12" s="14">
        <v>0</v>
      </c>
      <c r="AN12" s="14">
        <v>0</v>
      </c>
      <c r="AO12" s="14">
        <v>0</v>
      </c>
      <c r="AP12" s="14">
        <v>0</v>
      </c>
      <c r="AQ12" s="14">
        <v>0</v>
      </c>
      <c r="AR12" s="14" t="s">
        <v>10893</v>
      </c>
    </row>
    <row r="13" spans="1:44" ht="42.75" customHeight="1">
      <c r="A13" s="14" t="s">
        <v>4231</v>
      </c>
      <c r="B13" s="14" t="s">
        <v>4230</v>
      </c>
      <c r="C13" s="14" t="s">
        <v>10894</v>
      </c>
      <c r="D13" s="14" t="s">
        <v>10895</v>
      </c>
      <c r="E13" s="14" t="s">
        <v>10896</v>
      </c>
      <c r="F13" s="14" t="s">
        <v>10897</v>
      </c>
      <c r="G13" s="14" t="s">
        <v>10898</v>
      </c>
      <c r="H13" s="14" t="s">
        <v>10872</v>
      </c>
      <c r="I13" s="14" t="s">
        <v>10899</v>
      </c>
      <c r="J13" s="14">
        <v>4</v>
      </c>
      <c r="K13" s="14">
        <v>4</v>
      </c>
      <c r="L13" s="14">
        <v>5</v>
      </c>
      <c r="M13" s="14">
        <v>4</v>
      </c>
      <c r="N13" s="14">
        <v>5</v>
      </c>
      <c r="O13" s="14" t="s">
        <v>10894</v>
      </c>
      <c r="P13" s="14">
        <v>1.3</v>
      </c>
      <c r="Q13" s="14">
        <v>1.7</v>
      </c>
      <c r="R13" s="14">
        <v>1</v>
      </c>
      <c r="S13" s="14">
        <v>1</v>
      </c>
      <c r="T13" s="14">
        <v>1.5</v>
      </c>
      <c r="U13" s="14">
        <v>1.8</v>
      </c>
      <c r="V13" s="14">
        <v>1</v>
      </c>
      <c r="W13" s="14">
        <v>1</v>
      </c>
      <c r="X13" s="14">
        <v>1</v>
      </c>
      <c r="Y13" s="14">
        <v>1</v>
      </c>
      <c r="Z13" s="14">
        <v>1</v>
      </c>
      <c r="AA13" s="14">
        <v>0</v>
      </c>
      <c r="AB13" s="14">
        <v>0</v>
      </c>
      <c r="AC13" s="14">
        <v>0</v>
      </c>
      <c r="AD13" s="14">
        <v>0</v>
      </c>
      <c r="AE13" s="14">
        <v>0</v>
      </c>
      <c r="AF13" s="14">
        <v>0</v>
      </c>
      <c r="AG13" s="14">
        <v>4</v>
      </c>
      <c r="AH13" s="14">
        <v>3</v>
      </c>
      <c r="AI13" s="14">
        <v>4</v>
      </c>
      <c r="AJ13" s="14">
        <v>5</v>
      </c>
      <c r="AK13" s="14">
        <v>0</v>
      </c>
      <c r="AL13" s="14">
        <v>0</v>
      </c>
      <c r="AM13" s="14">
        <v>3</v>
      </c>
      <c r="AN13" s="14">
        <v>3</v>
      </c>
      <c r="AO13" s="14">
        <v>0</v>
      </c>
      <c r="AP13" s="14">
        <v>0</v>
      </c>
      <c r="AQ13" s="14">
        <v>0</v>
      </c>
      <c r="AR13" s="14" t="s">
        <v>10900</v>
      </c>
    </row>
    <row r="14" spans="1:44" ht="42.75" customHeight="1">
      <c r="A14" s="14" t="s">
        <v>4123</v>
      </c>
      <c r="B14" s="14" t="s">
        <v>4122</v>
      </c>
      <c r="C14" s="14" t="s">
        <v>10901</v>
      </c>
      <c r="D14" s="14" t="s">
        <v>10902</v>
      </c>
      <c r="E14" s="14" t="s">
        <v>10903</v>
      </c>
      <c r="F14" s="14" t="s">
        <v>10904</v>
      </c>
      <c r="G14" s="14" t="s">
        <v>4128</v>
      </c>
      <c r="H14" s="14" t="s">
        <v>10843</v>
      </c>
      <c r="I14" s="14" t="s">
        <v>10905</v>
      </c>
      <c r="J14" s="14">
        <v>5</v>
      </c>
      <c r="K14" s="14">
        <v>2</v>
      </c>
      <c r="L14" s="14">
        <v>5</v>
      </c>
      <c r="M14" s="14">
        <v>4</v>
      </c>
      <c r="N14" s="14">
        <v>3</v>
      </c>
      <c r="O14" s="14" t="s">
        <v>10901</v>
      </c>
      <c r="P14" s="14">
        <v>1.8</v>
      </c>
      <c r="Q14" s="14">
        <v>2</v>
      </c>
      <c r="R14" s="14">
        <v>1</v>
      </c>
      <c r="S14" s="14">
        <v>1</v>
      </c>
      <c r="T14" s="14">
        <v>1</v>
      </c>
      <c r="U14" s="14">
        <v>1.5</v>
      </c>
      <c r="V14" s="14">
        <v>1</v>
      </c>
      <c r="W14" s="14">
        <v>1</v>
      </c>
      <c r="X14" s="14">
        <v>1.5</v>
      </c>
      <c r="Y14" s="14">
        <v>1</v>
      </c>
      <c r="Z14" s="14">
        <v>1</v>
      </c>
      <c r="AA14" s="14">
        <v>3</v>
      </c>
      <c r="AB14" s="14">
        <v>0</v>
      </c>
      <c r="AC14" s="14">
        <v>3</v>
      </c>
      <c r="AD14" s="14">
        <v>3</v>
      </c>
      <c r="AE14" s="14">
        <v>0</v>
      </c>
      <c r="AF14" s="14">
        <v>0</v>
      </c>
      <c r="AG14" s="14">
        <v>5</v>
      </c>
      <c r="AH14" s="14">
        <v>2</v>
      </c>
      <c r="AI14" s="14">
        <v>0</v>
      </c>
      <c r="AJ14" s="14">
        <v>3</v>
      </c>
      <c r="AK14" s="14">
        <v>0</v>
      </c>
      <c r="AL14" s="14">
        <v>0</v>
      </c>
      <c r="AM14" s="14">
        <v>0</v>
      </c>
      <c r="AN14" s="14">
        <v>0</v>
      </c>
      <c r="AO14" s="14">
        <v>0</v>
      </c>
      <c r="AP14" s="14">
        <v>0</v>
      </c>
      <c r="AQ14" s="14">
        <v>0</v>
      </c>
      <c r="AR14" s="14" t="s">
        <v>1666</v>
      </c>
    </row>
    <row r="15" spans="1:44" ht="42.75" customHeight="1">
      <c r="A15" s="14" t="s">
        <v>3972</v>
      </c>
      <c r="B15" s="14" t="s">
        <v>3971</v>
      </c>
      <c r="C15" s="14" t="s">
        <v>10906</v>
      </c>
      <c r="D15" s="14" t="s">
        <v>10907</v>
      </c>
      <c r="E15" s="14" t="s">
        <v>10908</v>
      </c>
      <c r="F15" s="14" t="s">
        <v>10909</v>
      </c>
      <c r="G15" s="14" t="s">
        <v>10910</v>
      </c>
      <c r="H15" s="14" t="s">
        <v>10872</v>
      </c>
      <c r="I15" s="14" t="s">
        <v>10911</v>
      </c>
      <c r="J15" s="14">
        <v>4</v>
      </c>
      <c r="K15" s="14">
        <v>4</v>
      </c>
      <c r="L15" s="14">
        <v>4</v>
      </c>
      <c r="M15" s="14">
        <v>3</v>
      </c>
      <c r="N15" s="14">
        <v>4</v>
      </c>
      <c r="O15" s="14" t="s">
        <v>10906</v>
      </c>
      <c r="P15" s="14">
        <v>1.2</v>
      </c>
      <c r="Q15" s="14">
        <v>1</v>
      </c>
      <c r="R15" s="14">
        <v>1</v>
      </c>
      <c r="S15" s="14">
        <v>1</v>
      </c>
      <c r="T15" s="14">
        <v>1</v>
      </c>
      <c r="U15" s="14">
        <v>1</v>
      </c>
      <c r="V15" s="14">
        <v>1.5</v>
      </c>
      <c r="W15" s="14">
        <v>2</v>
      </c>
      <c r="X15" s="14">
        <v>1</v>
      </c>
      <c r="Y15" s="14">
        <v>1</v>
      </c>
      <c r="Z15" s="14">
        <v>1.4</v>
      </c>
      <c r="AA15" s="14">
        <v>2</v>
      </c>
      <c r="AB15" s="14">
        <v>5</v>
      </c>
      <c r="AC15" s="14">
        <v>0</v>
      </c>
      <c r="AD15" s="14">
        <v>0</v>
      </c>
      <c r="AE15" s="14">
        <v>2</v>
      </c>
      <c r="AF15" s="14">
        <v>0</v>
      </c>
      <c r="AG15" s="14">
        <v>0</v>
      </c>
      <c r="AH15" s="14">
        <v>0</v>
      </c>
      <c r="AI15" s="14">
        <v>0</v>
      </c>
      <c r="AJ15" s="14">
        <v>0</v>
      </c>
      <c r="AK15" s="14">
        <v>5</v>
      </c>
      <c r="AL15" s="14">
        <v>4</v>
      </c>
      <c r="AM15" s="14">
        <v>0</v>
      </c>
      <c r="AN15" s="14">
        <v>0</v>
      </c>
      <c r="AO15" s="14">
        <v>3</v>
      </c>
      <c r="AP15" s="14">
        <v>0</v>
      </c>
      <c r="AQ15" s="14">
        <v>0</v>
      </c>
      <c r="AR15" s="14" t="s">
        <v>10912</v>
      </c>
    </row>
    <row r="16" spans="1:44" ht="42.75" customHeight="1">
      <c r="A16" s="14" t="s">
        <v>4273</v>
      </c>
      <c r="B16" s="14" t="s">
        <v>4272</v>
      </c>
      <c r="C16" s="14" t="s">
        <v>10913</v>
      </c>
      <c r="D16" s="14" t="s">
        <v>10914</v>
      </c>
      <c r="E16" s="14" t="s">
        <v>10915</v>
      </c>
      <c r="F16" s="14" t="s">
        <v>10916</v>
      </c>
      <c r="G16" s="14" t="s">
        <v>10917</v>
      </c>
      <c r="H16" s="14" t="s">
        <v>10843</v>
      </c>
      <c r="I16" s="14" t="s">
        <v>10918</v>
      </c>
      <c r="J16" s="14">
        <v>4</v>
      </c>
      <c r="K16" s="14">
        <v>4</v>
      </c>
      <c r="L16" s="14">
        <v>4</v>
      </c>
      <c r="M16" s="14">
        <v>3</v>
      </c>
      <c r="N16" s="14">
        <v>3</v>
      </c>
      <c r="O16" s="14" t="s">
        <v>10913</v>
      </c>
      <c r="P16" s="14">
        <v>1</v>
      </c>
      <c r="Q16" s="14">
        <v>1</v>
      </c>
      <c r="R16" s="14">
        <v>1</v>
      </c>
      <c r="S16" s="14">
        <v>1</v>
      </c>
      <c r="T16" s="14">
        <v>1</v>
      </c>
      <c r="U16" s="14">
        <v>1</v>
      </c>
      <c r="V16" s="14">
        <v>1.6</v>
      </c>
      <c r="W16" s="14">
        <v>1.8</v>
      </c>
      <c r="X16" s="14">
        <v>1</v>
      </c>
      <c r="Y16" s="14">
        <v>1</v>
      </c>
      <c r="Z16" s="14">
        <v>1.7</v>
      </c>
      <c r="AA16" s="14">
        <v>0</v>
      </c>
      <c r="AB16" s="14">
        <v>4</v>
      </c>
      <c r="AC16" s="14">
        <v>0</v>
      </c>
      <c r="AD16" s="14">
        <v>0</v>
      </c>
      <c r="AE16" s="14">
        <v>2</v>
      </c>
      <c r="AF16" s="14">
        <v>0</v>
      </c>
      <c r="AG16" s="14">
        <v>0</v>
      </c>
      <c r="AH16" s="14">
        <v>2</v>
      </c>
      <c r="AI16" s="14">
        <v>0</v>
      </c>
      <c r="AJ16" s="14">
        <v>0</v>
      </c>
      <c r="AK16" s="14">
        <v>5</v>
      </c>
      <c r="AL16" s="14">
        <v>4</v>
      </c>
      <c r="AM16" s="14">
        <v>0</v>
      </c>
      <c r="AN16" s="14">
        <v>0</v>
      </c>
      <c r="AO16" s="14">
        <v>3</v>
      </c>
      <c r="AP16" s="14">
        <v>0</v>
      </c>
      <c r="AQ16" s="14">
        <v>0</v>
      </c>
      <c r="AR16" s="14" t="s">
        <v>10919</v>
      </c>
    </row>
    <row r="17" spans="1:44" ht="42.75" customHeight="1">
      <c r="A17" s="14" t="s">
        <v>4065</v>
      </c>
      <c r="B17" s="14" t="s">
        <v>4064</v>
      </c>
      <c r="C17" s="14" t="s">
        <v>10920</v>
      </c>
      <c r="D17" s="14" t="s">
        <v>10921</v>
      </c>
      <c r="E17" s="14" t="s">
        <v>10922</v>
      </c>
      <c r="F17" s="14" t="s">
        <v>10923</v>
      </c>
      <c r="G17" s="14" t="s">
        <v>4096</v>
      </c>
      <c r="H17" s="14" t="s">
        <v>10857</v>
      </c>
      <c r="I17" s="14" t="s">
        <v>10924</v>
      </c>
      <c r="J17" s="14">
        <v>4</v>
      </c>
      <c r="K17" s="14">
        <v>3</v>
      </c>
      <c r="L17" s="14">
        <v>4</v>
      </c>
      <c r="M17" s="14">
        <v>5</v>
      </c>
      <c r="N17" s="14">
        <v>3</v>
      </c>
      <c r="O17" s="14" t="s">
        <v>10920</v>
      </c>
      <c r="P17" s="14">
        <v>1</v>
      </c>
      <c r="Q17" s="14">
        <v>1</v>
      </c>
      <c r="R17" s="14">
        <v>1.5</v>
      </c>
      <c r="S17" s="14">
        <v>1</v>
      </c>
      <c r="T17" s="14">
        <v>1</v>
      </c>
      <c r="U17" s="14">
        <v>1</v>
      </c>
      <c r="V17" s="14">
        <v>1.2</v>
      </c>
      <c r="W17" s="14">
        <v>1</v>
      </c>
      <c r="X17" s="14">
        <v>1</v>
      </c>
      <c r="Y17" s="14">
        <v>2</v>
      </c>
      <c r="Z17" s="14">
        <v>1.4</v>
      </c>
      <c r="AA17" s="14">
        <v>0</v>
      </c>
      <c r="AB17" s="14">
        <v>0</v>
      </c>
      <c r="AC17" s="14">
        <v>4</v>
      </c>
      <c r="AD17" s="14">
        <v>0</v>
      </c>
      <c r="AE17" s="14">
        <v>3</v>
      </c>
      <c r="AF17" s="14">
        <v>5</v>
      </c>
      <c r="AG17" s="14">
        <v>0</v>
      </c>
      <c r="AH17" s="14">
        <v>0</v>
      </c>
      <c r="AI17" s="14">
        <v>0</v>
      </c>
      <c r="AJ17" s="14">
        <v>0</v>
      </c>
      <c r="AK17" s="14">
        <v>0</v>
      </c>
      <c r="AL17" s="14">
        <v>0</v>
      </c>
      <c r="AM17" s="14">
        <v>0</v>
      </c>
      <c r="AN17" s="14">
        <v>2</v>
      </c>
      <c r="AO17" s="14">
        <v>3</v>
      </c>
      <c r="AP17" s="14">
        <v>4</v>
      </c>
      <c r="AQ17" s="14">
        <v>0</v>
      </c>
      <c r="AR17" s="14" t="s">
        <v>10925</v>
      </c>
    </row>
    <row r="18" spans="1:44" ht="42.75" customHeight="1">
      <c r="A18" s="14" t="s">
        <v>3957</v>
      </c>
      <c r="B18" s="14" t="s">
        <v>3956</v>
      </c>
      <c r="C18" s="14" t="s">
        <v>10926</v>
      </c>
      <c r="D18" s="14" t="s">
        <v>10927</v>
      </c>
      <c r="E18" s="14" t="s">
        <v>10928</v>
      </c>
      <c r="F18" s="14" t="s">
        <v>10929</v>
      </c>
      <c r="G18" s="14" t="s">
        <v>10930</v>
      </c>
      <c r="H18" s="14" t="s">
        <v>10931</v>
      </c>
      <c r="I18" s="14" t="s">
        <v>10932</v>
      </c>
      <c r="J18" s="14">
        <v>5</v>
      </c>
      <c r="K18" s="14">
        <v>2</v>
      </c>
      <c r="L18" s="14">
        <v>4</v>
      </c>
      <c r="M18" s="14">
        <v>5</v>
      </c>
      <c r="N18" s="14">
        <v>2</v>
      </c>
      <c r="O18" s="14" t="s">
        <v>10926</v>
      </c>
      <c r="P18" s="14">
        <v>1.5</v>
      </c>
      <c r="Q18" s="14">
        <v>1</v>
      </c>
      <c r="R18" s="14">
        <v>1</v>
      </c>
      <c r="S18" s="14">
        <v>1</v>
      </c>
      <c r="T18" s="14">
        <v>1</v>
      </c>
      <c r="U18" s="14">
        <v>1</v>
      </c>
      <c r="V18" s="14">
        <v>1.4</v>
      </c>
      <c r="W18" s="14">
        <v>1.2</v>
      </c>
      <c r="X18" s="14">
        <v>1</v>
      </c>
      <c r="Y18" s="14">
        <v>1.3</v>
      </c>
      <c r="Z18" s="14">
        <v>1.4</v>
      </c>
      <c r="AA18" s="14">
        <v>3</v>
      </c>
      <c r="AB18" s="14">
        <v>3</v>
      </c>
      <c r="AC18" s="14">
        <v>5</v>
      </c>
      <c r="AD18" s="14">
        <v>2</v>
      </c>
      <c r="AE18" s="14">
        <v>3</v>
      </c>
      <c r="AF18" s="14">
        <v>2</v>
      </c>
      <c r="AG18" s="14">
        <v>0</v>
      </c>
      <c r="AH18" s="14">
        <v>0</v>
      </c>
      <c r="AI18" s="14">
        <v>0</v>
      </c>
      <c r="AJ18" s="14">
        <v>0</v>
      </c>
      <c r="AK18" s="14">
        <v>0</v>
      </c>
      <c r="AL18" s="14">
        <v>0</v>
      </c>
      <c r="AM18" s="14">
        <v>0</v>
      </c>
      <c r="AN18" s="14">
        <v>0</v>
      </c>
      <c r="AO18" s="14">
        <v>0</v>
      </c>
      <c r="AP18" s="14">
        <v>0</v>
      </c>
      <c r="AQ18" s="14">
        <v>5</v>
      </c>
      <c r="AR18" s="14" t="s">
        <v>10933</v>
      </c>
    </row>
    <row r="93" spans="1:2">
      <c r="A93" t="s">
        <v>10934</v>
      </c>
    </row>
    <row r="94" spans="1:2">
      <c r="A94" t="s">
        <v>10935</v>
      </c>
    </row>
    <row r="95" spans="1:2">
      <c r="A95" t="s">
        <v>3486</v>
      </c>
      <c r="B95" t="str">
        <f>IFERROR(INDEX($B$100:$B$113,MATCH(1,$A$100:$A$113,0)),"")</f>
        <v>Cloud and Infrastructure Resilience Strategy</v>
      </c>
    </row>
    <row r="96" spans="1:2">
      <c r="A96" t="s">
        <v>3496</v>
      </c>
      <c r="B96" t="str">
        <f>IFERROR(INDEX($B$100:$B$113,MATCH(2,$A$100:$A$113,0)),"")</f>
        <v/>
      </c>
    </row>
    <row r="97" spans="1:24">
      <c r="A97" t="s">
        <v>10936</v>
      </c>
      <c r="B97" t="str">
        <f>IFERROR(INDEX($B$100:$B$113,MATCH(3,$A$100:$A$113,0)),"")</f>
        <v/>
      </c>
    </row>
    <row r="99" spans="1:24">
      <c r="A99" t="s">
        <v>3447</v>
      </c>
      <c r="B99" t="s">
        <v>3510</v>
      </c>
      <c r="C99" t="s">
        <v>3839</v>
      </c>
      <c r="D99" t="s">
        <v>10937</v>
      </c>
      <c r="E99" t="s">
        <v>10938</v>
      </c>
      <c r="F99" t="s">
        <v>10939</v>
      </c>
      <c r="G99" t="s">
        <v>10940</v>
      </c>
      <c r="H99" t="s">
        <v>10941</v>
      </c>
      <c r="I99" t="s">
        <v>10942</v>
      </c>
      <c r="J99" t="s">
        <v>10943</v>
      </c>
      <c r="K99" t="s">
        <v>10944</v>
      </c>
      <c r="L99" t="s">
        <v>10945</v>
      </c>
      <c r="M99" t="s">
        <v>10830</v>
      </c>
      <c r="N99" t="s">
        <v>10946</v>
      </c>
      <c r="O99" t="s">
        <v>10831</v>
      </c>
      <c r="P99" t="s">
        <v>3858</v>
      </c>
      <c r="Q99" t="s">
        <v>10832</v>
      </c>
      <c r="R99" t="s">
        <v>3861</v>
      </c>
      <c r="S99" t="s">
        <v>3856</v>
      </c>
      <c r="T99" t="s">
        <v>10947</v>
      </c>
      <c r="U99" t="s">
        <v>3499</v>
      </c>
      <c r="V99" t="s">
        <v>10948</v>
      </c>
      <c r="W99" t="s">
        <v>10949</v>
      </c>
      <c r="X99" t="s">
        <v>10950</v>
      </c>
    </row>
    <row r="100" spans="1:24">
      <c r="A100">
        <f t="shared" ref="A100:A113" si="0">IF($X100="","",1+COUNTIF($X$100:$X$113,"&gt;"&amp;$X100))</f>
        <v>7</v>
      </c>
      <c r="B100" t="str">
        <f>_ENGINE_Strategy!B5</f>
        <v>Digital Foundation Strategy</v>
      </c>
      <c r="C100" t="str">
        <f>_ENGINE_Strategy!A5</f>
        <v>STR-01</v>
      </c>
      <c r="D100">
        <f>IFERROR(ROUND(INDEX(_ENGINE_Strategy!$P5:$Z5,1,MATCH('Resilience &amp; Risk Scenario'!$B$6,_ENGINE_Strategy!$P$4:$Z$4,0))*cfg_ScenarioFitScale,2),0)</f>
        <v>0</v>
      </c>
      <c r="E100">
        <f>IF(SUM(_ENGINE_Strategy!$AA$5*--(N(_DATA_Dashboard_Facts!$F$5)&gt;0),_ENGINE_Strategy!$AB$5*--(N(_DATA_Dashboard_Facts!$F$6)&gt;0),_ENGINE_Strategy!$AC$5*--(N(_DATA_Dashboard_Facts!$F$7)&gt;0),_ENGINE_Strategy!$AD$5*--(N(_DATA_Dashboard_Facts!$F$8)&gt;0),_ENGINE_Strategy!$AE$5*--(N(_DATA_Dashboard_Facts!$F$9)&gt;0),_ENGINE_Strategy!$AF$5*--(N(_DATA_Dashboard_Facts!$F$10)&gt;0),_ENGINE_Strategy!$AG$5*--(N(_DATA_Dashboard_Facts!$F$11)&gt;0),_ENGINE_Strategy!$AH$5*--(N(_DATA_Dashboard_Facts!$F$12)&gt;0),_ENGINE_Strategy!$AI$5*--(N(_DATA_Dashboard_Facts!$F$13)&gt;0),_ENGINE_Strategy!$AJ$5*--(N(_DATA_Dashboard_Facts!$F$14)&gt;0),_ENGINE_Strategy!$AK$5*--(N(_DATA_Dashboard_Facts!$F$15)&gt;0),_ENGINE_Strategy!$AL$5*--(N(_DATA_Dashboard_Facts!$F$16)&gt;0),_ENGINE_Strategy!$AM$5*--(N(_DATA_Dashboard_Facts!$F$17)&gt;0),_ENGINE_Strategy!$AN$5*--(N(_DATA_Dashboard_Facts!$F$18)&gt;0),_ENGINE_Strategy!$AO$5*--(N(_DATA_Dashboard_Facts!$F$19)&gt;0),_ENGINE_Strategy!$AP$5*--(N(_DATA_Dashboard_Facts!$F$20)&gt;0),_ENGINE_Strategy!$AQ$5*--(N(_DATA_Dashboard_Facts!$F$21)&gt;0))=0,0,ROUND(SUM(_ENGINE_Strategy!$AA$5*(5-N(_DATA_Dashboard_Facts!$H$5))*--(N(_DATA_Dashboard_Facts!$F$5)&gt;0),_ENGINE_Strategy!$AB$5*(5-N(_DATA_Dashboard_Facts!$H$6))*--(N(_DATA_Dashboard_Facts!$F$6)&gt;0),_ENGINE_Strategy!$AC$5*(5-N(_DATA_Dashboard_Facts!$H$7))*--(N(_DATA_Dashboard_Facts!$F$7)&gt;0),_ENGINE_Strategy!$AD$5*(5-N(_DATA_Dashboard_Facts!$H$8))*--(N(_DATA_Dashboard_Facts!$F$8)&gt;0),_ENGINE_Strategy!$AE$5*(5-N(_DATA_Dashboard_Facts!$H$9))*--(N(_DATA_Dashboard_Facts!$F$9)&gt;0),_ENGINE_Strategy!$AF$5*(5-N(_DATA_Dashboard_Facts!$H$10))*--(N(_DATA_Dashboard_Facts!$F$10)&gt;0),_ENGINE_Strategy!$AG$5*(5-N(_DATA_Dashboard_Facts!$H$11))*--(N(_DATA_Dashboard_Facts!$F$11)&gt;0),_ENGINE_Strategy!$AH$5*(5-N(_DATA_Dashboard_Facts!$H$12))*--(N(_DATA_Dashboard_Facts!$F$12)&gt;0),_ENGINE_Strategy!$AI$5*(5-N(_DATA_Dashboard_Facts!$H$13))*--(N(_DATA_Dashboard_Facts!$F$13)&gt;0),_ENGINE_Strategy!$AJ$5*(5-N(_DATA_Dashboard_Facts!$H$14))*--(N(_DATA_Dashboard_Facts!$F$14)&gt;0),_ENGINE_Strategy!$AK$5*(5-N(_DATA_Dashboard_Facts!$H$15))*--(N(_DATA_Dashboard_Facts!$F$15)&gt;0),_ENGINE_Strategy!$AL$5*(5-N(_DATA_Dashboard_Facts!$H$16))*--(N(_DATA_Dashboard_Facts!$F$16)&gt;0),_ENGINE_Strategy!$AM$5*(5-N(_DATA_Dashboard_Facts!$H$17))*--(N(_DATA_Dashboard_Facts!$F$17)&gt;0),_ENGINE_Strategy!$AN$5*(5-N(_DATA_Dashboard_Facts!$H$18))*--(N(_DATA_Dashboard_Facts!$F$18)&gt;0),_ENGINE_Strategy!$AO$5*(5-N(_DATA_Dashboard_Facts!$H$19))*--(N(_DATA_Dashboard_Facts!$F$19)&gt;0),_ENGINE_Strategy!$AP$5*(5-N(_DATA_Dashboard_Facts!$H$20))*--(N(_DATA_Dashboard_Facts!$F$20)&gt;0),_ENGINE_Strategy!$AQ$5*(5-N(_DATA_Dashboard_Facts!$H$21))*--(N(_DATA_Dashboard_Facts!$F$21)&gt;0))/SUM(_ENGINE_Strategy!$AA$5*--(N(_DATA_Dashboard_Facts!$F$5)&gt;0),_ENGINE_Strategy!$AB$5*--(N(_DATA_Dashboard_Facts!$F$6)&gt;0),_ENGINE_Strategy!$AC$5*--(N(_DATA_Dashboard_Facts!$F$7)&gt;0),_ENGINE_Strategy!$AD$5*--(N(_DATA_Dashboard_Facts!$F$8)&gt;0),_ENGINE_Strategy!$AE$5*--(N(_DATA_Dashboard_Facts!$F$9)&gt;0),_ENGINE_Strategy!$AF$5*--(N(_DATA_Dashboard_Facts!$F$10)&gt;0),_ENGINE_Strategy!$AG$5*--(N(_DATA_Dashboard_Facts!$F$11)&gt;0),_ENGINE_Strategy!$AH$5*--(N(_DATA_Dashboard_Facts!$F$12)&gt;0),_ENGINE_Strategy!$AI$5*--(N(_DATA_Dashboard_Facts!$F$13)&gt;0),_ENGINE_Strategy!$AJ$5*--(N(_DATA_Dashboard_Facts!$F$14)&gt;0),_ENGINE_Strategy!$AK$5*--(N(_DATA_Dashboard_Facts!$F$15)&gt;0),_ENGINE_Strategy!$AL$5*--(N(_DATA_Dashboard_Facts!$F$16)&gt;0),_ENGINE_Strategy!$AM$5*--(N(_DATA_Dashboard_Facts!$F$17)&gt;0),_ENGINE_Strategy!$AN$5*--(N(_DATA_Dashboard_Facts!$F$18)&gt;0),_ENGINE_Strategy!$AO$5*--(N(_DATA_Dashboard_Facts!$F$19)&gt;0),_ENGINE_Strategy!$AP$5*--(N(_DATA_Dashboard_Facts!$F$20)&gt;0),_ENGINE_Strategy!$AQ$5*--(N(_DATA_Dashboard_Facts!$F$21)&gt;0)),2))</f>
        <v>5</v>
      </c>
      <c r="F100">
        <f>IF(SUM(_ENGINE_Strategy!$AA$5*--(N(_DATA_Dashboard_Facts!$F$5)&gt;0),_ENGINE_Strategy!$AB$5*--(N(_DATA_Dashboard_Facts!$F$6)&gt;0),_ENGINE_Strategy!$AC$5*--(N(_DATA_Dashboard_Facts!$F$7)&gt;0),_ENGINE_Strategy!$AD$5*--(N(_DATA_Dashboard_Facts!$F$8)&gt;0),_ENGINE_Strategy!$AE$5*--(N(_DATA_Dashboard_Facts!$F$9)&gt;0),_ENGINE_Strategy!$AF$5*--(N(_DATA_Dashboard_Facts!$F$10)&gt;0),_ENGINE_Strategy!$AG$5*--(N(_DATA_Dashboard_Facts!$F$11)&gt;0),_ENGINE_Strategy!$AH$5*--(N(_DATA_Dashboard_Facts!$F$12)&gt;0),_ENGINE_Strategy!$AI$5*--(N(_DATA_Dashboard_Facts!$F$13)&gt;0),_ENGINE_Strategy!$AJ$5*--(N(_DATA_Dashboard_Facts!$F$14)&gt;0),_ENGINE_Strategy!$AK$5*--(N(_DATA_Dashboard_Facts!$F$15)&gt;0),_ENGINE_Strategy!$AL$5*--(N(_DATA_Dashboard_Facts!$F$16)&gt;0),_ENGINE_Strategy!$AM$5*--(N(_DATA_Dashboard_Facts!$F$17)&gt;0),_ENGINE_Strategy!$AN$5*--(N(_DATA_Dashboard_Facts!$F$18)&gt;0),_ENGINE_Strategy!$AO$5*--(N(_DATA_Dashboard_Facts!$F$19)&gt;0),_ENGINE_Strategy!$AP$5*--(N(_DATA_Dashboard_Facts!$F$20)&gt;0),_ENGINE_Strategy!$AQ$5*--(N(_DATA_Dashboard_Facts!$F$21)&gt;0))=0,0,ROUND(MIN(5,(SUM(_ENGINE_Strategy!$AA$5*(N(_DATA_Dashboard_Facts!$J$5)+cfg_RiskSecondaryWeight*N(_DATA_Dashboard_Facts!$K$5))*--(N(_DATA_Dashboard_Facts!$F$5)&gt;0),_ENGINE_Strategy!$AB$5*(N(_DATA_Dashboard_Facts!$J$6)+cfg_RiskSecondaryWeight*N(_DATA_Dashboard_Facts!$K$6))*--(N(_DATA_Dashboard_Facts!$F$6)&gt;0),_ENGINE_Strategy!$AC$5*(N(_DATA_Dashboard_Facts!$J$7)+cfg_RiskSecondaryWeight*N(_DATA_Dashboard_Facts!$K$7))*--(N(_DATA_Dashboard_Facts!$F$7)&gt;0),_ENGINE_Strategy!$AD$5*(N(_DATA_Dashboard_Facts!$J$8)+cfg_RiskSecondaryWeight*N(_DATA_Dashboard_Facts!$K$8))*--(N(_DATA_Dashboard_Facts!$F$8)&gt;0),_ENGINE_Strategy!$AE$5*(N(_DATA_Dashboard_Facts!$J$9)+cfg_RiskSecondaryWeight*N(_DATA_Dashboard_Facts!$K$9))*--(N(_DATA_Dashboard_Facts!$F$9)&gt;0),_ENGINE_Strategy!$AF$5*(N(_DATA_Dashboard_Facts!$J$10)+cfg_RiskSecondaryWeight*N(_DATA_Dashboard_Facts!$K$10))*--(N(_DATA_Dashboard_Facts!$F$10)&gt;0),_ENGINE_Strategy!$AG$5*(N(_DATA_Dashboard_Facts!$J$11)+cfg_RiskSecondaryWeight*N(_DATA_Dashboard_Facts!$K$11))*--(N(_DATA_Dashboard_Facts!$F$11)&gt;0),_ENGINE_Strategy!$AH$5*(N(_DATA_Dashboard_Facts!$J$12)+cfg_RiskSecondaryWeight*N(_DATA_Dashboard_Facts!$K$12))*--(N(_DATA_Dashboard_Facts!$F$12)&gt;0),_ENGINE_Strategy!$AI$5*(N(_DATA_Dashboard_Facts!$J$13)+cfg_RiskSecondaryWeight*N(_DATA_Dashboard_Facts!$K$13))*--(N(_DATA_Dashboard_Facts!$F$13)&gt;0),_ENGINE_Strategy!$AJ$5*(N(_DATA_Dashboard_Facts!$J$14)+cfg_RiskSecondaryWeight*N(_DATA_Dashboard_Facts!$K$14))*--(N(_DATA_Dashboard_Facts!$F$14)&gt;0),_ENGINE_Strategy!$AK$5*(N(_DATA_Dashboard_Facts!$J$15)+cfg_RiskSecondaryWeight*N(_DATA_Dashboard_Facts!$K$15))*--(N(_DATA_Dashboard_Facts!$F$15)&gt;0),_ENGINE_Strategy!$AL$5*(N(_DATA_Dashboard_Facts!$J$16)+cfg_RiskSecondaryWeight*N(_DATA_Dashboard_Facts!$K$16))*--(N(_DATA_Dashboard_Facts!$F$16)&gt;0),_ENGINE_Strategy!$AM$5*(N(_DATA_Dashboard_Facts!$J$17)+cfg_RiskSecondaryWeight*N(_DATA_Dashboard_Facts!$K$17))*--(N(_DATA_Dashboard_Facts!$F$17)&gt;0),_ENGINE_Strategy!$AN$5*(N(_DATA_Dashboard_Facts!$J$18)+cfg_RiskSecondaryWeight*N(_DATA_Dashboard_Facts!$K$18))*--(N(_DATA_Dashboard_Facts!$F$18)&gt;0),_ENGINE_Strategy!$AO$5*(N(_DATA_Dashboard_Facts!$J$19)+cfg_RiskSecondaryWeight*N(_DATA_Dashboard_Facts!$K$19))*--(N(_DATA_Dashboard_Facts!$F$19)&gt;0),_ENGINE_Strategy!$AP$5*(N(_DATA_Dashboard_Facts!$J$20)+cfg_RiskSecondaryWeight*N(_DATA_Dashboard_Facts!$K$20))*--(N(_DATA_Dashboard_Facts!$F$20)&gt;0),_ENGINE_Strategy!$AQ$5*(N(_DATA_Dashboard_Facts!$J$21)+cfg_RiskSecondaryWeight*N(_DATA_Dashboard_Facts!$K$21))*--(N(_DATA_Dashboard_Facts!$F$21)&gt;0))/SUM(_ENGINE_Strategy!$AA$5*--(N(_DATA_Dashboard_Facts!$F$5)&gt;0),_ENGINE_Strategy!$AB$5*--(N(_DATA_Dashboard_Facts!$F$6)&gt;0),_ENGINE_Strategy!$AC$5*--(N(_DATA_Dashboard_Facts!$F$7)&gt;0),_ENGINE_Strategy!$AD$5*--(N(_DATA_Dashboard_Facts!$F$8)&gt;0),_ENGINE_Strategy!$AE$5*--(N(_DATA_Dashboard_Facts!$F$9)&gt;0),_ENGINE_Strategy!$AF$5*--(N(_DATA_Dashboard_Facts!$F$10)&gt;0),_ENGINE_Strategy!$AG$5*--(N(_DATA_Dashboard_Facts!$F$11)&gt;0),_ENGINE_Strategy!$AH$5*--(N(_DATA_Dashboard_Facts!$F$12)&gt;0),_ENGINE_Strategy!$AI$5*--(N(_DATA_Dashboard_Facts!$F$13)&gt;0),_ENGINE_Strategy!$AJ$5*--(N(_DATA_Dashboard_Facts!$F$14)&gt;0),_ENGINE_Strategy!$AK$5*--(N(_DATA_Dashboard_Facts!$F$15)&gt;0),_ENGINE_Strategy!$AL$5*--(N(_DATA_Dashboard_Facts!$F$16)&gt;0),_ENGINE_Strategy!$AM$5*--(N(_DATA_Dashboard_Facts!$F$17)&gt;0),_ENGINE_Strategy!$AN$5*--(N(_DATA_Dashboard_Facts!$F$18)&gt;0),_ENGINE_Strategy!$AO$5*--(N(_DATA_Dashboard_Facts!$F$19)&gt;0),_ENGINE_Strategy!$AP$5*--(N(_DATA_Dashboard_Facts!$F$20)&gt;0),_ENGINE_Strategy!$AQ$5*--(N(_DATA_Dashboard_Facts!$F$21)&gt;0)))/MAX(0.1,cfg_RiskFitScale)),2))</f>
        <v>4.8499999999999996</v>
      </c>
      <c r="G100">
        <f>IFERROR(ROUND((5-_DATA_Dashboard_Facts!$R$9)*(_ENGINE_Strategy!K5/5),2),0)</f>
        <v>5</v>
      </c>
      <c r="H100">
        <f>IFERROR(ROUND((5-_DATA_Dashboard_Facts!$R$9)*(_ENGINE_Strategy!L5/5),2),0)</f>
        <v>3</v>
      </c>
      <c r="I100">
        <f>IFERROR(ROUND((5-_DATA_Dashboard_Facts!$R$9)*(_ENGINE_Strategy!M5/5),2),0)</f>
        <v>4</v>
      </c>
      <c r="J100">
        <f t="shared" ref="J100:J113" si="1">IFERROR(ROUND(20*(0.25*$D100+0.25*$E100+0.2*$F100+0.1*$G100+0.1*$H100+0.1*$I100),1),0)</f>
        <v>68.400000000000006</v>
      </c>
      <c r="K100" t="str">
        <f>IF(_DATA_Dashboard_Facts!$R$7&gt;=0.8,"High",IF(_DATA_Dashboard_Facts!$R$7&gt;=0.5,"Medium","Low - assessment incomplete"))</f>
        <v>High</v>
      </c>
      <c r="L100" t="str">
        <f t="shared" ref="L100:L113" si="2">IF($A100=1,"Primary",IF($A100&lt;=3,"Supporting",IF($J100&gt;=50,"Watchlist","Not prioritized")))</f>
        <v>Watchlist</v>
      </c>
      <c r="M100" t="str">
        <f>_ENGINE_Strategy!E5</f>
        <v>Basic tools, process ownership, reporting and control are established.</v>
      </c>
      <c r="N100" t="str">
        <f>"Crisis fit: "&amp;D100&amp;"; domain gap fit: "&amp;E100&amp;"; risk fit: "&amp;F100&amp;". Trigger domains: "&amp;_ENGINE_Strategy!AR5</f>
        <v>Crisis fit: 0; domain gap fit: 5; risk fit: 4.85. Trigger domains: Business Systems; Data BI AI; IT Cloud DR</v>
      </c>
      <c r="O100" t="str">
        <f>_ENGINE_Strategy!F5</f>
        <v>Process ownership, workflow tools, baseline systems, master data, reporting discipline.</v>
      </c>
      <c r="P100" t="str">
        <f>_ENGINE_Strategy!G5</f>
        <v>COO / CIO</v>
      </c>
      <c r="Q100" t="str">
        <f>_ENGINE_Strategy!H5</f>
        <v>0-6 months</v>
      </c>
      <c r="R100" t="str">
        <f>_ENGINE_Strategy!I5</f>
        <v>Tool adoption; process coverage; manual work reduction; report cycle time</v>
      </c>
      <c r="S100">
        <f>_ENGINE_Strategy!N5</f>
        <v>3</v>
      </c>
      <c r="T100">
        <f>COUNTIF(_ENGINE_Initiatives!$D$5:$D$76,$B100)</f>
        <v>3</v>
      </c>
      <c r="U100" t="str">
        <f>IFERROR(INDEX(_ENGINE_Initiatives!$AE$5:$AE$76,MATCH($B100,_ENGINE_Initiatives!$D$5:$D$76,0)),"")</f>
        <v>6-12 months</v>
      </c>
      <c r="V100">
        <f>IFERROR(ROUND(AVERAGEIF(_ENGINE_Initiatives!$D$5:$D$76,$B100,_ENGINE_Initiatives!$AC$5:$AC$76),2),"")</f>
        <v>1.34</v>
      </c>
      <c r="W100">
        <f>IFERROR(SUMIFS(_REF_Model_Content!$D$300:$D$429,_REF_Model_Content!$A$300:$A$429,PV_Canonical_Industry,_REF_Model_Content!$B$300:$B$429,$C100),3)</f>
        <v>0</v>
      </c>
      <c r="X100">
        <f>IF(OR($J100="",AND($C100="STR-09",SUMIF(_DATA_Dashboard_Facts!$A$5:$A$21,"Manufacturing MES",_DATA_Dashboard_Facts!$F$5:$F$21)=0)),"",ROUND($J100*(1+($W100-3)*0.06),2))</f>
        <v>56.09</v>
      </c>
    </row>
    <row r="101" spans="1:24">
      <c r="A101">
        <f t="shared" si="0"/>
        <v>8</v>
      </c>
      <c r="B101" t="str">
        <f>_ENGINE_Strategy!B6</f>
        <v>Business Continuity and Resilience Strategy</v>
      </c>
      <c r="C101" t="str">
        <f>_ENGINE_Strategy!A6</f>
        <v>STR-02</v>
      </c>
      <c r="D101">
        <f>IFERROR(ROUND(INDEX(_ENGINE_Strategy!$P6:$Z6,1,MATCH('Resilience &amp; Risk Scenario'!$B$6,_ENGINE_Strategy!$P$4:$Z$4,0))*cfg_ScenarioFitScale,2),0)</f>
        <v>0</v>
      </c>
      <c r="E101">
        <f>IF(SUM(_ENGINE_Strategy!$AA$6*--(N(_DATA_Dashboard_Facts!$F$5)&gt;0),_ENGINE_Strategy!$AB$6*--(N(_DATA_Dashboard_Facts!$F$6)&gt;0),_ENGINE_Strategy!$AC$6*--(N(_DATA_Dashboard_Facts!$F$7)&gt;0),_ENGINE_Strategy!$AD$6*--(N(_DATA_Dashboard_Facts!$F$8)&gt;0),_ENGINE_Strategy!$AE$6*--(N(_DATA_Dashboard_Facts!$F$9)&gt;0),_ENGINE_Strategy!$AF$6*--(N(_DATA_Dashboard_Facts!$F$10)&gt;0),_ENGINE_Strategy!$AG$6*--(N(_DATA_Dashboard_Facts!$F$11)&gt;0),_ENGINE_Strategy!$AH$6*--(N(_DATA_Dashboard_Facts!$F$12)&gt;0),_ENGINE_Strategy!$AI$6*--(N(_DATA_Dashboard_Facts!$F$13)&gt;0),_ENGINE_Strategy!$AJ$6*--(N(_DATA_Dashboard_Facts!$F$14)&gt;0),_ENGINE_Strategy!$AK$6*--(N(_DATA_Dashboard_Facts!$F$15)&gt;0),_ENGINE_Strategy!$AL$6*--(N(_DATA_Dashboard_Facts!$F$16)&gt;0),_ENGINE_Strategy!$AM$6*--(N(_DATA_Dashboard_Facts!$F$17)&gt;0),_ENGINE_Strategy!$AN$6*--(N(_DATA_Dashboard_Facts!$F$18)&gt;0),_ENGINE_Strategy!$AO$6*--(N(_DATA_Dashboard_Facts!$F$19)&gt;0),_ENGINE_Strategy!$AP$6*--(N(_DATA_Dashboard_Facts!$F$20)&gt;0),_ENGINE_Strategy!$AQ$6*--(N(_DATA_Dashboard_Facts!$F$21)&gt;0))=0,0,ROUND(SUM(_ENGINE_Strategy!$AA$6*(5-N(_DATA_Dashboard_Facts!$H$5))*--(N(_DATA_Dashboard_Facts!$F$5)&gt;0),_ENGINE_Strategy!$AB$6*(5-N(_DATA_Dashboard_Facts!$H$6))*--(N(_DATA_Dashboard_Facts!$F$6)&gt;0),_ENGINE_Strategy!$AC$6*(5-N(_DATA_Dashboard_Facts!$H$7))*--(N(_DATA_Dashboard_Facts!$F$7)&gt;0),_ENGINE_Strategy!$AD$6*(5-N(_DATA_Dashboard_Facts!$H$8))*--(N(_DATA_Dashboard_Facts!$F$8)&gt;0),_ENGINE_Strategy!$AE$6*(5-N(_DATA_Dashboard_Facts!$H$9))*--(N(_DATA_Dashboard_Facts!$F$9)&gt;0),_ENGINE_Strategy!$AF$6*(5-N(_DATA_Dashboard_Facts!$H$10))*--(N(_DATA_Dashboard_Facts!$F$10)&gt;0),_ENGINE_Strategy!$AG$6*(5-N(_DATA_Dashboard_Facts!$H$11))*--(N(_DATA_Dashboard_Facts!$F$11)&gt;0),_ENGINE_Strategy!$AH$6*(5-N(_DATA_Dashboard_Facts!$H$12))*--(N(_DATA_Dashboard_Facts!$F$12)&gt;0),_ENGINE_Strategy!$AI$6*(5-N(_DATA_Dashboard_Facts!$H$13))*--(N(_DATA_Dashboard_Facts!$F$13)&gt;0),_ENGINE_Strategy!$AJ$6*(5-N(_DATA_Dashboard_Facts!$H$14))*--(N(_DATA_Dashboard_Facts!$F$14)&gt;0),_ENGINE_Strategy!$AK$6*(5-N(_DATA_Dashboard_Facts!$H$15))*--(N(_DATA_Dashboard_Facts!$F$15)&gt;0),_ENGINE_Strategy!$AL$6*(5-N(_DATA_Dashboard_Facts!$H$16))*--(N(_DATA_Dashboard_Facts!$F$16)&gt;0),_ENGINE_Strategy!$AM$6*(5-N(_DATA_Dashboard_Facts!$H$17))*--(N(_DATA_Dashboard_Facts!$F$17)&gt;0),_ENGINE_Strategy!$AN$6*(5-N(_DATA_Dashboard_Facts!$H$18))*--(N(_DATA_Dashboard_Facts!$F$18)&gt;0),_ENGINE_Strategy!$AO$6*(5-N(_DATA_Dashboard_Facts!$H$19))*--(N(_DATA_Dashboard_Facts!$F$19)&gt;0),_ENGINE_Strategy!$AP$6*(5-N(_DATA_Dashboard_Facts!$H$20))*--(N(_DATA_Dashboard_Facts!$F$20)&gt;0),_ENGINE_Strategy!$AQ$6*(5-N(_DATA_Dashboard_Facts!$H$21))*--(N(_DATA_Dashboard_Facts!$F$21)&gt;0))/SUM(_ENGINE_Strategy!$AA$6*--(N(_DATA_Dashboard_Facts!$F$5)&gt;0),_ENGINE_Strategy!$AB$6*--(N(_DATA_Dashboard_Facts!$F$6)&gt;0),_ENGINE_Strategy!$AC$6*--(N(_DATA_Dashboard_Facts!$F$7)&gt;0),_ENGINE_Strategy!$AD$6*--(N(_DATA_Dashboard_Facts!$F$8)&gt;0),_ENGINE_Strategy!$AE$6*--(N(_DATA_Dashboard_Facts!$F$9)&gt;0),_ENGINE_Strategy!$AF$6*--(N(_DATA_Dashboard_Facts!$F$10)&gt;0),_ENGINE_Strategy!$AG$6*--(N(_DATA_Dashboard_Facts!$F$11)&gt;0),_ENGINE_Strategy!$AH$6*--(N(_DATA_Dashboard_Facts!$F$12)&gt;0),_ENGINE_Strategy!$AI$6*--(N(_DATA_Dashboard_Facts!$F$13)&gt;0),_ENGINE_Strategy!$AJ$6*--(N(_DATA_Dashboard_Facts!$F$14)&gt;0),_ENGINE_Strategy!$AK$6*--(N(_DATA_Dashboard_Facts!$F$15)&gt;0),_ENGINE_Strategy!$AL$6*--(N(_DATA_Dashboard_Facts!$F$16)&gt;0),_ENGINE_Strategy!$AM$6*--(N(_DATA_Dashboard_Facts!$F$17)&gt;0),_ENGINE_Strategy!$AN$6*--(N(_DATA_Dashboard_Facts!$F$18)&gt;0),_ENGINE_Strategy!$AO$6*--(N(_DATA_Dashboard_Facts!$F$19)&gt;0),_ENGINE_Strategy!$AP$6*--(N(_DATA_Dashboard_Facts!$F$20)&gt;0),_ENGINE_Strategy!$AQ$6*--(N(_DATA_Dashboard_Facts!$F$21)&gt;0)),2))</f>
        <v>5</v>
      </c>
      <c r="F101">
        <f>IF(SUM(_ENGINE_Strategy!$AA$6*--(N(_DATA_Dashboard_Facts!$F$5)&gt;0),_ENGINE_Strategy!$AB$6*--(N(_DATA_Dashboard_Facts!$F$6)&gt;0),_ENGINE_Strategy!$AC$6*--(N(_DATA_Dashboard_Facts!$F$7)&gt;0),_ENGINE_Strategy!$AD$6*--(N(_DATA_Dashboard_Facts!$F$8)&gt;0),_ENGINE_Strategy!$AE$6*--(N(_DATA_Dashboard_Facts!$F$9)&gt;0),_ENGINE_Strategy!$AF$6*--(N(_DATA_Dashboard_Facts!$F$10)&gt;0),_ENGINE_Strategy!$AG$6*--(N(_DATA_Dashboard_Facts!$F$11)&gt;0),_ENGINE_Strategy!$AH$6*--(N(_DATA_Dashboard_Facts!$F$12)&gt;0),_ENGINE_Strategy!$AI$6*--(N(_DATA_Dashboard_Facts!$F$13)&gt;0),_ENGINE_Strategy!$AJ$6*--(N(_DATA_Dashboard_Facts!$F$14)&gt;0),_ENGINE_Strategy!$AK$6*--(N(_DATA_Dashboard_Facts!$F$15)&gt;0),_ENGINE_Strategy!$AL$6*--(N(_DATA_Dashboard_Facts!$F$16)&gt;0),_ENGINE_Strategy!$AM$6*--(N(_DATA_Dashboard_Facts!$F$17)&gt;0),_ENGINE_Strategy!$AN$6*--(N(_DATA_Dashboard_Facts!$F$18)&gt;0),_ENGINE_Strategy!$AO$6*--(N(_DATA_Dashboard_Facts!$F$19)&gt;0),_ENGINE_Strategy!$AP$6*--(N(_DATA_Dashboard_Facts!$F$20)&gt;0),_ENGINE_Strategy!$AQ$6*--(N(_DATA_Dashboard_Facts!$F$21)&gt;0))=0,0,ROUND(MIN(5,(SUM(_ENGINE_Strategy!$AA$6*(N(_DATA_Dashboard_Facts!$J$5)+cfg_RiskSecondaryWeight*N(_DATA_Dashboard_Facts!$K$5))*--(N(_DATA_Dashboard_Facts!$F$5)&gt;0),_ENGINE_Strategy!$AB$6*(N(_DATA_Dashboard_Facts!$J$6)+cfg_RiskSecondaryWeight*N(_DATA_Dashboard_Facts!$K$6))*--(N(_DATA_Dashboard_Facts!$F$6)&gt;0),_ENGINE_Strategy!$AC$6*(N(_DATA_Dashboard_Facts!$J$7)+cfg_RiskSecondaryWeight*N(_DATA_Dashboard_Facts!$K$7))*--(N(_DATA_Dashboard_Facts!$F$7)&gt;0),_ENGINE_Strategy!$AD$6*(N(_DATA_Dashboard_Facts!$J$8)+cfg_RiskSecondaryWeight*N(_DATA_Dashboard_Facts!$K$8))*--(N(_DATA_Dashboard_Facts!$F$8)&gt;0),_ENGINE_Strategy!$AE$6*(N(_DATA_Dashboard_Facts!$J$9)+cfg_RiskSecondaryWeight*N(_DATA_Dashboard_Facts!$K$9))*--(N(_DATA_Dashboard_Facts!$F$9)&gt;0),_ENGINE_Strategy!$AF$6*(N(_DATA_Dashboard_Facts!$J$10)+cfg_RiskSecondaryWeight*N(_DATA_Dashboard_Facts!$K$10))*--(N(_DATA_Dashboard_Facts!$F$10)&gt;0),_ENGINE_Strategy!$AG$6*(N(_DATA_Dashboard_Facts!$J$11)+cfg_RiskSecondaryWeight*N(_DATA_Dashboard_Facts!$K$11))*--(N(_DATA_Dashboard_Facts!$F$11)&gt;0),_ENGINE_Strategy!$AH$6*(N(_DATA_Dashboard_Facts!$J$12)+cfg_RiskSecondaryWeight*N(_DATA_Dashboard_Facts!$K$12))*--(N(_DATA_Dashboard_Facts!$F$12)&gt;0),_ENGINE_Strategy!$AI$6*(N(_DATA_Dashboard_Facts!$J$13)+cfg_RiskSecondaryWeight*N(_DATA_Dashboard_Facts!$K$13))*--(N(_DATA_Dashboard_Facts!$F$13)&gt;0),_ENGINE_Strategy!$AJ$6*(N(_DATA_Dashboard_Facts!$J$14)+cfg_RiskSecondaryWeight*N(_DATA_Dashboard_Facts!$K$14))*--(N(_DATA_Dashboard_Facts!$F$14)&gt;0),_ENGINE_Strategy!$AK$6*(N(_DATA_Dashboard_Facts!$J$15)+cfg_RiskSecondaryWeight*N(_DATA_Dashboard_Facts!$K$15))*--(N(_DATA_Dashboard_Facts!$F$15)&gt;0),_ENGINE_Strategy!$AL$6*(N(_DATA_Dashboard_Facts!$J$16)+cfg_RiskSecondaryWeight*N(_DATA_Dashboard_Facts!$K$16))*--(N(_DATA_Dashboard_Facts!$F$16)&gt;0),_ENGINE_Strategy!$AM$6*(N(_DATA_Dashboard_Facts!$J$17)+cfg_RiskSecondaryWeight*N(_DATA_Dashboard_Facts!$K$17))*--(N(_DATA_Dashboard_Facts!$F$17)&gt;0),_ENGINE_Strategy!$AN$6*(N(_DATA_Dashboard_Facts!$J$18)+cfg_RiskSecondaryWeight*N(_DATA_Dashboard_Facts!$K$18))*--(N(_DATA_Dashboard_Facts!$F$18)&gt;0),_ENGINE_Strategy!$AO$6*(N(_DATA_Dashboard_Facts!$J$19)+cfg_RiskSecondaryWeight*N(_DATA_Dashboard_Facts!$K$19))*--(N(_DATA_Dashboard_Facts!$F$19)&gt;0),_ENGINE_Strategy!$AP$6*(N(_DATA_Dashboard_Facts!$J$20)+cfg_RiskSecondaryWeight*N(_DATA_Dashboard_Facts!$K$20))*--(N(_DATA_Dashboard_Facts!$F$20)&gt;0),_ENGINE_Strategy!$AQ$6*(N(_DATA_Dashboard_Facts!$J$21)+cfg_RiskSecondaryWeight*N(_DATA_Dashboard_Facts!$K$21))*--(N(_DATA_Dashboard_Facts!$F$21)&gt;0))/SUM(_ENGINE_Strategy!$AA$6*--(N(_DATA_Dashboard_Facts!$F$5)&gt;0),_ENGINE_Strategy!$AB$6*--(N(_DATA_Dashboard_Facts!$F$6)&gt;0),_ENGINE_Strategy!$AC$6*--(N(_DATA_Dashboard_Facts!$F$7)&gt;0),_ENGINE_Strategy!$AD$6*--(N(_DATA_Dashboard_Facts!$F$8)&gt;0),_ENGINE_Strategy!$AE$6*--(N(_DATA_Dashboard_Facts!$F$9)&gt;0),_ENGINE_Strategy!$AF$6*--(N(_DATA_Dashboard_Facts!$F$10)&gt;0),_ENGINE_Strategy!$AG$6*--(N(_DATA_Dashboard_Facts!$F$11)&gt;0),_ENGINE_Strategy!$AH$6*--(N(_DATA_Dashboard_Facts!$F$12)&gt;0),_ENGINE_Strategy!$AI$6*--(N(_DATA_Dashboard_Facts!$F$13)&gt;0),_ENGINE_Strategy!$AJ$6*--(N(_DATA_Dashboard_Facts!$F$14)&gt;0),_ENGINE_Strategy!$AK$6*--(N(_DATA_Dashboard_Facts!$F$15)&gt;0),_ENGINE_Strategy!$AL$6*--(N(_DATA_Dashboard_Facts!$F$16)&gt;0),_ENGINE_Strategy!$AM$6*--(N(_DATA_Dashboard_Facts!$F$17)&gt;0),_ENGINE_Strategy!$AN$6*--(N(_DATA_Dashboard_Facts!$F$18)&gt;0),_ENGINE_Strategy!$AO$6*--(N(_DATA_Dashboard_Facts!$F$19)&gt;0),_ENGINE_Strategy!$AP$6*--(N(_DATA_Dashboard_Facts!$F$20)&gt;0),_ENGINE_Strategy!$AQ$6*--(N(_DATA_Dashboard_Facts!$F$21)&gt;0)))/MAX(0.1,cfg_RiskFitScale)),2))</f>
        <v>5</v>
      </c>
      <c r="G101">
        <f>IFERROR(ROUND((5-_DATA_Dashboard_Facts!$R$9)*(_ENGINE_Strategy!K6/5),2),0)</f>
        <v>2</v>
      </c>
      <c r="H101">
        <f>IFERROR(ROUND((5-_DATA_Dashboard_Facts!$R$9)*(_ENGINE_Strategy!L6/5),2),0)</f>
        <v>5</v>
      </c>
      <c r="I101">
        <f>IFERROR(ROUND((5-_DATA_Dashboard_Facts!$R$9)*(_ENGINE_Strategy!M6/5),2),0)</f>
        <v>4</v>
      </c>
      <c r="J101">
        <f t="shared" si="1"/>
        <v>67</v>
      </c>
      <c r="K101" t="str">
        <f>IF(_DATA_Dashboard_Facts!$R$7&gt;=0.8,"High",IF(_DATA_Dashboard_Facts!$R$7&gt;=0.5,"Medium","Low - assessment incomplete"))</f>
        <v>High</v>
      </c>
      <c r="L101" t="str">
        <f t="shared" si="2"/>
        <v>Watchlist</v>
      </c>
      <c r="M101" t="str">
        <f>_ENGINE_Strategy!E6</f>
        <v>Critical operations can continue or recover faster under crisis conditions.</v>
      </c>
      <c r="N101" t="str">
        <f>"Crisis fit: "&amp;D101&amp;"; domain gap fit: "&amp;E101&amp;"; risk fit: "&amp;F101&amp;". Trigger domains: "&amp;_ENGINE_Strategy!AR6</f>
        <v>Crisis fit: 0; domain gap fit: 5; risk fit: 5. Trigger domains: Governance Crisis; Physical Safety; Delivery Ops; IT Cloud DR; Supply Chain; HR Workforce</v>
      </c>
      <c r="O101" t="str">
        <f>_ENGINE_Strategy!F6</f>
        <v>BIA, BCP, crisis governance, RTO/RPO alignment, tabletop exercises, recovery playbooks.</v>
      </c>
      <c r="P101" t="str">
        <f>_ENGINE_Strategy!G6</f>
        <v>CEO / COO / Risk Lead</v>
      </c>
      <c r="Q101" t="str">
        <f>_ENGINE_Strategy!H6</f>
        <v>0-6 months</v>
      </c>
      <c r="R101" t="str">
        <f>_ENGINE_Strategy!I6</f>
        <v>BIA coverage; tested recovery plans; RTO achievement; crisis exercise completion</v>
      </c>
      <c r="S101">
        <f>_ENGINE_Strategy!N6</f>
        <v>3</v>
      </c>
      <c r="T101">
        <f>COUNTIF(_ENGINE_Initiatives!$D$5:$D$76,$B101)</f>
        <v>6</v>
      </c>
      <c r="U101" t="str">
        <f>IFERROR(INDEX(_ENGINE_Initiatives!$AE$5:$AE$76,MATCH($B101,_ENGINE_Initiatives!$D$5:$D$76,0)),"")</f>
        <v>0-90 days</v>
      </c>
      <c r="V101">
        <f>IFERROR(ROUND(AVERAGEIF(_ENGINE_Initiatives!$D$5:$D$76,$B101,_ENGINE_Initiatives!$AC$5:$AC$76),2),"")</f>
        <v>2.17</v>
      </c>
      <c r="W101">
        <f>IFERROR(SUMIFS(_REF_Model_Content!$D$300:$D$429,_REF_Model_Content!$A$300:$A$429,PV_Canonical_Industry,_REF_Model_Content!$B$300:$B$429,$C101),3)</f>
        <v>0</v>
      </c>
      <c r="X101">
        <f>IF(OR($J101="",AND($C101="STR-09",SUMIF(_DATA_Dashboard_Facts!$A$5:$A$21,"Manufacturing MES",_DATA_Dashboard_Facts!$F$5:$F$21)=0)),"",ROUND($J101*(1+($W101-3)*0.06),2))</f>
        <v>54.94</v>
      </c>
    </row>
    <row r="102" spans="1:24">
      <c r="A102">
        <f t="shared" si="0"/>
        <v>1</v>
      </c>
      <c r="B102" t="str">
        <f>_ENGINE_Strategy!B7</f>
        <v>Cloud and Infrastructure Resilience Strategy</v>
      </c>
      <c r="C102" t="str">
        <f>_ENGINE_Strategy!A7</f>
        <v>STR-03</v>
      </c>
      <c r="D102">
        <f>IFERROR(ROUND(INDEX(_ENGINE_Strategy!$P7:$Z7,1,MATCH('Resilience &amp; Risk Scenario'!$B$6,_ENGINE_Strategy!$P$4:$Z$4,0))*cfg_ScenarioFitScale,2),0)</f>
        <v>0</v>
      </c>
      <c r="E102">
        <f>IF(SUM(_ENGINE_Strategy!$AA$7*--(N(_DATA_Dashboard_Facts!$F$5)&gt;0),_ENGINE_Strategy!$AB$7*--(N(_DATA_Dashboard_Facts!$F$6)&gt;0),_ENGINE_Strategy!$AC$7*--(N(_DATA_Dashboard_Facts!$F$7)&gt;0),_ENGINE_Strategy!$AD$7*--(N(_DATA_Dashboard_Facts!$F$8)&gt;0),_ENGINE_Strategy!$AE$7*--(N(_DATA_Dashboard_Facts!$F$9)&gt;0),_ENGINE_Strategy!$AF$7*--(N(_DATA_Dashboard_Facts!$F$10)&gt;0),_ENGINE_Strategy!$AG$7*--(N(_DATA_Dashboard_Facts!$F$11)&gt;0),_ENGINE_Strategy!$AH$7*--(N(_DATA_Dashboard_Facts!$F$12)&gt;0),_ENGINE_Strategy!$AI$7*--(N(_DATA_Dashboard_Facts!$F$13)&gt;0),_ENGINE_Strategy!$AJ$7*--(N(_DATA_Dashboard_Facts!$F$14)&gt;0),_ENGINE_Strategy!$AK$7*--(N(_DATA_Dashboard_Facts!$F$15)&gt;0),_ENGINE_Strategy!$AL$7*--(N(_DATA_Dashboard_Facts!$F$16)&gt;0),_ENGINE_Strategy!$AM$7*--(N(_DATA_Dashboard_Facts!$F$17)&gt;0),_ENGINE_Strategy!$AN$7*--(N(_DATA_Dashboard_Facts!$F$18)&gt;0),_ENGINE_Strategy!$AO$7*--(N(_DATA_Dashboard_Facts!$F$19)&gt;0),_ENGINE_Strategy!$AP$7*--(N(_DATA_Dashboard_Facts!$F$20)&gt;0),_ENGINE_Strategy!$AQ$7*--(N(_DATA_Dashboard_Facts!$F$21)&gt;0))=0,0,ROUND(SUM(_ENGINE_Strategy!$AA$7*(5-N(_DATA_Dashboard_Facts!$H$5))*--(N(_DATA_Dashboard_Facts!$F$5)&gt;0),_ENGINE_Strategy!$AB$7*(5-N(_DATA_Dashboard_Facts!$H$6))*--(N(_DATA_Dashboard_Facts!$F$6)&gt;0),_ENGINE_Strategy!$AC$7*(5-N(_DATA_Dashboard_Facts!$H$7))*--(N(_DATA_Dashboard_Facts!$F$7)&gt;0),_ENGINE_Strategy!$AD$7*(5-N(_DATA_Dashboard_Facts!$H$8))*--(N(_DATA_Dashboard_Facts!$F$8)&gt;0),_ENGINE_Strategy!$AE$7*(5-N(_DATA_Dashboard_Facts!$H$9))*--(N(_DATA_Dashboard_Facts!$F$9)&gt;0),_ENGINE_Strategy!$AF$7*(5-N(_DATA_Dashboard_Facts!$H$10))*--(N(_DATA_Dashboard_Facts!$F$10)&gt;0),_ENGINE_Strategy!$AG$7*(5-N(_DATA_Dashboard_Facts!$H$11))*--(N(_DATA_Dashboard_Facts!$F$11)&gt;0),_ENGINE_Strategy!$AH$7*(5-N(_DATA_Dashboard_Facts!$H$12))*--(N(_DATA_Dashboard_Facts!$F$12)&gt;0),_ENGINE_Strategy!$AI$7*(5-N(_DATA_Dashboard_Facts!$H$13))*--(N(_DATA_Dashboard_Facts!$F$13)&gt;0),_ENGINE_Strategy!$AJ$7*(5-N(_DATA_Dashboard_Facts!$H$14))*--(N(_DATA_Dashboard_Facts!$F$14)&gt;0),_ENGINE_Strategy!$AK$7*(5-N(_DATA_Dashboard_Facts!$H$15))*--(N(_DATA_Dashboard_Facts!$F$15)&gt;0),_ENGINE_Strategy!$AL$7*(5-N(_DATA_Dashboard_Facts!$H$16))*--(N(_DATA_Dashboard_Facts!$F$16)&gt;0),_ENGINE_Strategy!$AM$7*(5-N(_DATA_Dashboard_Facts!$H$17))*--(N(_DATA_Dashboard_Facts!$F$17)&gt;0),_ENGINE_Strategy!$AN$7*(5-N(_DATA_Dashboard_Facts!$H$18))*--(N(_DATA_Dashboard_Facts!$F$18)&gt;0),_ENGINE_Strategy!$AO$7*(5-N(_DATA_Dashboard_Facts!$H$19))*--(N(_DATA_Dashboard_Facts!$F$19)&gt;0),_ENGINE_Strategy!$AP$7*(5-N(_DATA_Dashboard_Facts!$H$20))*--(N(_DATA_Dashboard_Facts!$F$20)&gt;0),_ENGINE_Strategy!$AQ$7*(5-N(_DATA_Dashboard_Facts!$H$21))*--(N(_DATA_Dashboard_Facts!$F$21)&gt;0))/SUM(_ENGINE_Strategy!$AA$7*--(N(_DATA_Dashboard_Facts!$F$5)&gt;0),_ENGINE_Strategy!$AB$7*--(N(_DATA_Dashboard_Facts!$F$6)&gt;0),_ENGINE_Strategy!$AC$7*--(N(_DATA_Dashboard_Facts!$F$7)&gt;0),_ENGINE_Strategy!$AD$7*--(N(_DATA_Dashboard_Facts!$F$8)&gt;0),_ENGINE_Strategy!$AE$7*--(N(_DATA_Dashboard_Facts!$F$9)&gt;0),_ENGINE_Strategy!$AF$7*--(N(_DATA_Dashboard_Facts!$F$10)&gt;0),_ENGINE_Strategy!$AG$7*--(N(_DATA_Dashboard_Facts!$F$11)&gt;0),_ENGINE_Strategy!$AH$7*--(N(_DATA_Dashboard_Facts!$F$12)&gt;0),_ENGINE_Strategy!$AI$7*--(N(_DATA_Dashboard_Facts!$F$13)&gt;0),_ENGINE_Strategy!$AJ$7*--(N(_DATA_Dashboard_Facts!$F$14)&gt;0),_ENGINE_Strategy!$AK$7*--(N(_DATA_Dashboard_Facts!$F$15)&gt;0),_ENGINE_Strategy!$AL$7*--(N(_DATA_Dashboard_Facts!$F$16)&gt;0),_ENGINE_Strategy!$AM$7*--(N(_DATA_Dashboard_Facts!$F$17)&gt;0),_ENGINE_Strategy!$AN$7*--(N(_DATA_Dashboard_Facts!$F$18)&gt;0),_ENGINE_Strategy!$AO$7*--(N(_DATA_Dashboard_Facts!$F$19)&gt;0),_ENGINE_Strategy!$AP$7*--(N(_DATA_Dashboard_Facts!$F$20)&gt;0),_ENGINE_Strategy!$AQ$7*--(N(_DATA_Dashboard_Facts!$F$21)&gt;0)),2))</f>
        <v>5</v>
      </c>
      <c r="F102">
        <f>IF(SUM(_ENGINE_Strategy!$AA$7*--(N(_DATA_Dashboard_Facts!$F$5)&gt;0),_ENGINE_Strategy!$AB$7*--(N(_DATA_Dashboard_Facts!$F$6)&gt;0),_ENGINE_Strategy!$AC$7*--(N(_DATA_Dashboard_Facts!$F$7)&gt;0),_ENGINE_Strategy!$AD$7*--(N(_DATA_Dashboard_Facts!$F$8)&gt;0),_ENGINE_Strategy!$AE$7*--(N(_DATA_Dashboard_Facts!$F$9)&gt;0),_ENGINE_Strategy!$AF$7*--(N(_DATA_Dashboard_Facts!$F$10)&gt;0),_ENGINE_Strategy!$AG$7*--(N(_DATA_Dashboard_Facts!$F$11)&gt;0),_ENGINE_Strategy!$AH$7*--(N(_DATA_Dashboard_Facts!$F$12)&gt;0),_ENGINE_Strategy!$AI$7*--(N(_DATA_Dashboard_Facts!$F$13)&gt;0),_ENGINE_Strategy!$AJ$7*--(N(_DATA_Dashboard_Facts!$F$14)&gt;0),_ENGINE_Strategy!$AK$7*--(N(_DATA_Dashboard_Facts!$F$15)&gt;0),_ENGINE_Strategy!$AL$7*--(N(_DATA_Dashboard_Facts!$F$16)&gt;0),_ENGINE_Strategy!$AM$7*--(N(_DATA_Dashboard_Facts!$F$17)&gt;0),_ENGINE_Strategy!$AN$7*--(N(_DATA_Dashboard_Facts!$F$18)&gt;0),_ENGINE_Strategy!$AO$7*--(N(_DATA_Dashboard_Facts!$F$19)&gt;0),_ENGINE_Strategy!$AP$7*--(N(_DATA_Dashboard_Facts!$F$20)&gt;0),_ENGINE_Strategy!$AQ$7*--(N(_DATA_Dashboard_Facts!$F$21)&gt;0))=0,0,ROUND(MIN(5,(SUM(_ENGINE_Strategy!$AA$7*(N(_DATA_Dashboard_Facts!$J$5)+cfg_RiskSecondaryWeight*N(_DATA_Dashboard_Facts!$K$5))*--(N(_DATA_Dashboard_Facts!$F$5)&gt;0),_ENGINE_Strategy!$AB$7*(N(_DATA_Dashboard_Facts!$J$6)+cfg_RiskSecondaryWeight*N(_DATA_Dashboard_Facts!$K$6))*--(N(_DATA_Dashboard_Facts!$F$6)&gt;0),_ENGINE_Strategy!$AC$7*(N(_DATA_Dashboard_Facts!$J$7)+cfg_RiskSecondaryWeight*N(_DATA_Dashboard_Facts!$K$7))*--(N(_DATA_Dashboard_Facts!$F$7)&gt;0),_ENGINE_Strategy!$AD$7*(N(_DATA_Dashboard_Facts!$J$8)+cfg_RiskSecondaryWeight*N(_DATA_Dashboard_Facts!$K$8))*--(N(_DATA_Dashboard_Facts!$F$8)&gt;0),_ENGINE_Strategy!$AE$7*(N(_DATA_Dashboard_Facts!$J$9)+cfg_RiskSecondaryWeight*N(_DATA_Dashboard_Facts!$K$9))*--(N(_DATA_Dashboard_Facts!$F$9)&gt;0),_ENGINE_Strategy!$AF$7*(N(_DATA_Dashboard_Facts!$J$10)+cfg_RiskSecondaryWeight*N(_DATA_Dashboard_Facts!$K$10))*--(N(_DATA_Dashboard_Facts!$F$10)&gt;0),_ENGINE_Strategy!$AG$7*(N(_DATA_Dashboard_Facts!$J$11)+cfg_RiskSecondaryWeight*N(_DATA_Dashboard_Facts!$K$11))*--(N(_DATA_Dashboard_Facts!$F$11)&gt;0),_ENGINE_Strategy!$AH$7*(N(_DATA_Dashboard_Facts!$J$12)+cfg_RiskSecondaryWeight*N(_DATA_Dashboard_Facts!$K$12))*--(N(_DATA_Dashboard_Facts!$F$12)&gt;0),_ENGINE_Strategy!$AI$7*(N(_DATA_Dashboard_Facts!$J$13)+cfg_RiskSecondaryWeight*N(_DATA_Dashboard_Facts!$K$13))*--(N(_DATA_Dashboard_Facts!$F$13)&gt;0),_ENGINE_Strategy!$AJ$7*(N(_DATA_Dashboard_Facts!$J$14)+cfg_RiskSecondaryWeight*N(_DATA_Dashboard_Facts!$K$14))*--(N(_DATA_Dashboard_Facts!$F$14)&gt;0),_ENGINE_Strategy!$AK$7*(N(_DATA_Dashboard_Facts!$J$15)+cfg_RiskSecondaryWeight*N(_DATA_Dashboard_Facts!$K$15))*--(N(_DATA_Dashboard_Facts!$F$15)&gt;0),_ENGINE_Strategy!$AL$7*(N(_DATA_Dashboard_Facts!$J$16)+cfg_RiskSecondaryWeight*N(_DATA_Dashboard_Facts!$K$16))*--(N(_DATA_Dashboard_Facts!$F$16)&gt;0),_ENGINE_Strategy!$AM$7*(N(_DATA_Dashboard_Facts!$J$17)+cfg_RiskSecondaryWeight*N(_DATA_Dashboard_Facts!$K$17))*--(N(_DATA_Dashboard_Facts!$F$17)&gt;0),_ENGINE_Strategy!$AN$7*(N(_DATA_Dashboard_Facts!$J$18)+cfg_RiskSecondaryWeight*N(_DATA_Dashboard_Facts!$K$18))*--(N(_DATA_Dashboard_Facts!$F$18)&gt;0),_ENGINE_Strategy!$AO$7*(N(_DATA_Dashboard_Facts!$J$19)+cfg_RiskSecondaryWeight*N(_DATA_Dashboard_Facts!$K$19))*--(N(_DATA_Dashboard_Facts!$F$19)&gt;0),_ENGINE_Strategy!$AP$7*(N(_DATA_Dashboard_Facts!$J$20)+cfg_RiskSecondaryWeight*N(_DATA_Dashboard_Facts!$K$20))*--(N(_DATA_Dashboard_Facts!$F$20)&gt;0),_ENGINE_Strategy!$AQ$7*(N(_DATA_Dashboard_Facts!$J$21)+cfg_RiskSecondaryWeight*N(_DATA_Dashboard_Facts!$K$21))*--(N(_DATA_Dashboard_Facts!$F$21)&gt;0))/SUM(_ENGINE_Strategy!$AA$7*--(N(_DATA_Dashboard_Facts!$F$5)&gt;0),_ENGINE_Strategy!$AB$7*--(N(_DATA_Dashboard_Facts!$F$6)&gt;0),_ENGINE_Strategy!$AC$7*--(N(_DATA_Dashboard_Facts!$F$7)&gt;0),_ENGINE_Strategy!$AD$7*--(N(_DATA_Dashboard_Facts!$F$8)&gt;0),_ENGINE_Strategy!$AE$7*--(N(_DATA_Dashboard_Facts!$F$9)&gt;0),_ENGINE_Strategy!$AF$7*--(N(_DATA_Dashboard_Facts!$F$10)&gt;0),_ENGINE_Strategy!$AG$7*--(N(_DATA_Dashboard_Facts!$F$11)&gt;0),_ENGINE_Strategy!$AH$7*--(N(_DATA_Dashboard_Facts!$F$12)&gt;0),_ENGINE_Strategy!$AI$7*--(N(_DATA_Dashboard_Facts!$F$13)&gt;0),_ENGINE_Strategy!$AJ$7*--(N(_DATA_Dashboard_Facts!$F$14)&gt;0),_ENGINE_Strategy!$AK$7*--(N(_DATA_Dashboard_Facts!$F$15)&gt;0),_ENGINE_Strategy!$AL$7*--(N(_DATA_Dashboard_Facts!$F$16)&gt;0),_ENGINE_Strategy!$AM$7*--(N(_DATA_Dashboard_Facts!$F$17)&gt;0),_ENGINE_Strategy!$AN$7*--(N(_DATA_Dashboard_Facts!$F$18)&gt;0),_ENGINE_Strategy!$AO$7*--(N(_DATA_Dashboard_Facts!$F$19)&gt;0),_ENGINE_Strategy!$AP$7*--(N(_DATA_Dashboard_Facts!$F$20)&gt;0),_ENGINE_Strategy!$AQ$7*--(N(_DATA_Dashboard_Facts!$F$21)&gt;0)))/MAX(0.1,cfg_RiskFitScale)),2))</f>
        <v>5</v>
      </c>
      <c r="G102">
        <f>IFERROR(ROUND((5-_DATA_Dashboard_Facts!$R$9)*(_ENGINE_Strategy!K7/5),2),0)</f>
        <v>5</v>
      </c>
      <c r="H102">
        <f>IFERROR(ROUND((5-_DATA_Dashboard_Facts!$R$9)*(_ENGINE_Strategy!L7/5),2),0)</f>
        <v>5</v>
      </c>
      <c r="I102">
        <f>IFERROR(ROUND((5-_DATA_Dashboard_Facts!$R$9)*(_ENGINE_Strategy!M7/5),2),0)</f>
        <v>3</v>
      </c>
      <c r="J102">
        <f t="shared" si="1"/>
        <v>71</v>
      </c>
      <c r="K102" t="str">
        <f>IF(_DATA_Dashboard_Facts!$R$7&gt;=0.8,"High",IF(_DATA_Dashboard_Facts!$R$7&gt;=0.5,"Medium","Low - assessment incomplete"))</f>
        <v>High</v>
      </c>
      <c r="L102" t="str">
        <f t="shared" si="2"/>
        <v>Primary</v>
      </c>
      <c r="M102" t="str">
        <f>_ENGINE_Strategy!E7</f>
        <v>Infrastructure risk, recovery time and data loss exposure are reduced.</v>
      </c>
      <c r="N102" t="str">
        <f>"Crisis fit: "&amp;D102&amp;"; domain gap fit: "&amp;E102&amp;"; risk fit: "&amp;F102&amp;". Trigger domains: "&amp;_ENGINE_Strategy!AR7</f>
        <v>Crisis fit: 0; domain gap fit: 5; risk fit: 5. Trigger domains: IT Cloud DR; Business Systems; Cyber Privacy</v>
      </c>
      <c r="O102" t="str">
        <f>_ENGINE_Strategy!F7</f>
        <v>Cloud landing zone, backup modernization, restore tests, DR runbooks, failover, identity resilience.</v>
      </c>
      <c r="P102" t="str">
        <f>_ENGINE_Strategy!G7</f>
        <v>CIO / CTO</v>
      </c>
      <c r="Q102" t="str">
        <f>_ENGINE_Strategy!H7</f>
        <v>0-9 months</v>
      </c>
      <c r="R102" t="str">
        <f>_ENGINE_Strategy!I7</f>
        <v>RTO/RPO achieved; restore test success; backup coverage; cloud resilience score</v>
      </c>
      <c r="S102">
        <f>_ENGINE_Strategy!N7</f>
        <v>4</v>
      </c>
      <c r="T102">
        <f>COUNTIF(_ENGINE_Initiatives!$D$5:$D$76,$B102)</f>
        <v>5</v>
      </c>
      <c r="U102" t="str">
        <f>IFERROR(INDEX(_ENGINE_Initiatives!$AE$5:$AE$76,MATCH($B102,_ENGINE_Initiatives!$D$5:$D$76,0)),"")</f>
        <v>12+ months</v>
      </c>
      <c r="V102">
        <f>IFERROR(ROUND(AVERAGEIF(_ENGINE_Initiatives!$D$5:$D$76,$B102,_ENGINE_Initiatives!$AC$5:$AC$76),2),"")</f>
        <v>1.34</v>
      </c>
      <c r="W102">
        <f>IFERROR(SUMIFS(_REF_Model_Content!$D$300:$D$429,_REF_Model_Content!$A$300:$A$429,PV_Canonical_Industry,_REF_Model_Content!$B$300:$B$429,$C102),3)</f>
        <v>0</v>
      </c>
      <c r="X102">
        <f>IF(OR($J102="",AND($C102="STR-09",SUMIF(_DATA_Dashboard_Facts!$A$5:$A$21,"Manufacturing MES",_DATA_Dashboard_Facts!$F$5:$F$21)=0)),"",ROUND($J102*(1+($W102-3)*0.06),2))</f>
        <v>58.22</v>
      </c>
    </row>
    <row r="103" spans="1:24">
      <c r="A103">
        <f t="shared" si="0"/>
        <v>1</v>
      </c>
      <c r="B103" t="str">
        <f>_ENGINE_Strategy!B8</f>
        <v>Cyber Resilience Strategy</v>
      </c>
      <c r="C103" t="str">
        <f>_ENGINE_Strategy!A8</f>
        <v>STR-04</v>
      </c>
      <c r="D103">
        <f>IFERROR(ROUND(INDEX(_ENGINE_Strategy!$P8:$Z8,1,MATCH('Resilience &amp; Risk Scenario'!$B$6,_ENGINE_Strategy!$P$4:$Z$4,0))*cfg_ScenarioFitScale,2),0)</f>
        <v>0</v>
      </c>
      <c r="E103">
        <f>IF(SUM(_ENGINE_Strategy!$AA$8*--(N(_DATA_Dashboard_Facts!$F$5)&gt;0),_ENGINE_Strategy!$AB$8*--(N(_DATA_Dashboard_Facts!$F$6)&gt;0),_ENGINE_Strategy!$AC$8*--(N(_DATA_Dashboard_Facts!$F$7)&gt;0),_ENGINE_Strategy!$AD$8*--(N(_DATA_Dashboard_Facts!$F$8)&gt;0),_ENGINE_Strategy!$AE$8*--(N(_DATA_Dashboard_Facts!$F$9)&gt;0),_ENGINE_Strategy!$AF$8*--(N(_DATA_Dashboard_Facts!$F$10)&gt;0),_ENGINE_Strategy!$AG$8*--(N(_DATA_Dashboard_Facts!$F$11)&gt;0),_ENGINE_Strategy!$AH$8*--(N(_DATA_Dashboard_Facts!$F$12)&gt;0),_ENGINE_Strategy!$AI$8*--(N(_DATA_Dashboard_Facts!$F$13)&gt;0),_ENGINE_Strategy!$AJ$8*--(N(_DATA_Dashboard_Facts!$F$14)&gt;0),_ENGINE_Strategy!$AK$8*--(N(_DATA_Dashboard_Facts!$F$15)&gt;0),_ENGINE_Strategy!$AL$8*--(N(_DATA_Dashboard_Facts!$F$16)&gt;0),_ENGINE_Strategy!$AM$8*--(N(_DATA_Dashboard_Facts!$F$17)&gt;0),_ENGINE_Strategy!$AN$8*--(N(_DATA_Dashboard_Facts!$F$18)&gt;0),_ENGINE_Strategy!$AO$8*--(N(_DATA_Dashboard_Facts!$F$19)&gt;0),_ENGINE_Strategy!$AP$8*--(N(_DATA_Dashboard_Facts!$F$20)&gt;0),_ENGINE_Strategy!$AQ$8*--(N(_DATA_Dashboard_Facts!$F$21)&gt;0))=0,0,ROUND(SUM(_ENGINE_Strategy!$AA$8*(5-N(_DATA_Dashboard_Facts!$H$5))*--(N(_DATA_Dashboard_Facts!$F$5)&gt;0),_ENGINE_Strategy!$AB$8*(5-N(_DATA_Dashboard_Facts!$H$6))*--(N(_DATA_Dashboard_Facts!$F$6)&gt;0),_ENGINE_Strategy!$AC$8*(5-N(_DATA_Dashboard_Facts!$H$7))*--(N(_DATA_Dashboard_Facts!$F$7)&gt;0),_ENGINE_Strategy!$AD$8*(5-N(_DATA_Dashboard_Facts!$H$8))*--(N(_DATA_Dashboard_Facts!$F$8)&gt;0),_ENGINE_Strategy!$AE$8*(5-N(_DATA_Dashboard_Facts!$H$9))*--(N(_DATA_Dashboard_Facts!$F$9)&gt;0),_ENGINE_Strategy!$AF$8*(5-N(_DATA_Dashboard_Facts!$H$10))*--(N(_DATA_Dashboard_Facts!$F$10)&gt;0),_ENGINE_Strategy!$AG$8*(5-N(_DATA_Dashboard_Facts!$H$11))*--(N(_DATA_Dashboard_Facts!$F$11)&gt;0),_ENGINE_Strategy!$AH$8*(5-N(_DATA_Dashboard_Facts!$H$12))*--(N(_DATA_Dashboard_Facts!$F$12)&gt;0),_ENGINE_Strategy!$AI$8*(5-N(_DATA_Dashboard_Facts!$H$13))*--(N(_DATA_Dashboard_Facts!$F$13)&gt;0),_ENGINE_Strategy!$AJ$8*(5-N(_DATA_Dashboard_Facts!$H$14))*--(N(_DATA_Dashboard_Facts!$F$14)&gt;0),_ENGINE_Strategy!$AK$8*(5-N(_DATA_Dashboard_Facts!$H$15))*--(N(_DATA_Dashboard_Facts!$F$15)&gt;0),_ENGINE_Strategy!$AL$8*(5-N(_DATA_Dashboard_Facts!$H$16))*--(N(_DATA_Dashboard_Facts!$F$16)&gt;0),_ENGINE_Strategy!$AM$8*(5-N(_DATA_Dashboard_Facts!$H$17))*--(N(_DATA_Dashboard_Facts!$F$17)&gt;0),_ENGINE_Strategy!$AN$8*(5-N(_DATA_Dashboard_Facts!$H$18))*--(N(_DATA_Dashboard_Facts!$F$18)&gt;0),_ENGINE_Strategy!$AO$8*(5-N(_DATA_Dashboard_Facts!$H$19))*--(N(_DATA_Dashboard_Facts!$F$19)&gt;0),_ENGINE_Strategy!$AP$8*(5-N(_DATA_Dashboard_Facts!$H$20))*--(N(_DATA_Dashboard_Facts!$F$20)&gt;0),_ENGINE_Strategy!$AQ$8*(5-N(_DATA_Dashboard_Facts!$H$21))*--(N(_DATA_Dashboard_Facts!$F$21)&gt;0))/SUM(_ENGINE_Strategy!$AA$8*--(N(_DATA_Dashboard_Facts!$F$5)&gt;0),_ENGINE_Strategy!$AB$8*--(N(_DATA_Dashboard_Facts!$F$6)&gt;0),_ENGINE_Strategy!$AC$8*--(N(_DATA_Dashboard_Facts!$F$7)&gt;0),_ENGINE_Strategy!$AD$8*--(N(_DATA_Dashboard_Facts!$F$8)&gt;0),_ENGINE_Strategy!$AE$8*--(N(_DATA_Dashboard_Facts!$F$9)&gt;0),_ENGINE_Strategy!$AF$8*--(N(_DATA_Dashboard_Facts!$F$10)&gt;0),_ENGINE_Strategy!$AG$8*--(N(_DATA_Dashboard_Facts!$F$11)&gt;0),_ENGINE_Strategy!$AH$8*--(N(_DATA_Dashboard_Facts!$F$12)&gt;0),_ENGINE_Strategy!$AI$8*--(N(_DATA_Dashboard_Facts!$F$13)&gt;0),_ENGINE_Strategy!$AJ$8*--(N(_DATA_Dashboard_Facts!$F$14)&gt;0),_ENGINE_Strategy!$AK$8*--(N(_DATA_Dashboard_Facts!$F$15)&gt;0),_ENGINE_Strategy!$AL$8*--(N(_DATA_Dashboard_Facts!$F$16)&gt;0),_ENGINE_Strategy!$AM$8*--(N(_DATA_Dashboard_Facts!$F$17)&gt;0),_ENGINE_Strategy!$AN$8*--(N(_DATA_Dashboard_Facts!$F$18)&gt;0),_ENGINE_Strategy!$AO$8*--(N(_DATA_Dashboard_Facts!$F$19)&gt;0),_ENGINE_Strategy!$AP$8*--(N(_DATA_Dashboard_Facts!$F$20)&gt;0),_ENGINE_Strategy!$AQ$8*--(N(_DATA_Dashboard_Facts!$F$21)&gt;0)),2))</f>
        <v>5</v>
      </c>
      <c r="F103">
        <f>IF(SUM(_ENGINE_Strategy!$AA$8*--(N(_DATA_Dashboard_Facts!$F$5)&gt;0),_ENGINE_Strategy!$AB$8*--(N(_DATA_Dashboard_Facts!$F$6)&gt;0),_ENGINE_Strategy!$AC$8*--(N(_DATA_Dashboard_Facts!$F$7)&gt;0),_ENGINE_Strategy!$AD$8*--(N(_DATA_Dashboard_Facts!$F$8)&gt;0),_ENGINE_Strategy!$AE$8*--(N(_DATA_Dashboard_Facts!$F$9)&gt;0),_ENGINE_Strategy!$AF$8*--(N(_DATA_Dashboard_Facts!$F$10)&gt;0),_ENGINE_Strategy!$AG$8*--(N(_DATA_Dashboard_Facts!$F$11)&gt;0),_ENGINE_Strategy!$AH$8*--(N(_DATA_Dashboard_Facts!$F$12)&gt;0),_ENGINE_Strategy!$AI$8*--(N(_DATA_Dashboard_Facts!$F$13)&gt;0),_ENGINE_Strategy!$AJ$8*--(N(_DATA_Dashboard_Facts!$F$14)&gt;0),_ENGINE_Strategy!$AK$8*--(N(_DATA_Dashboard_Facts!$F$15)&gt;0),_ENGINE_Strategy!$AL$8*--(N(_DATA_Dashboard_Facts!$F$16)&gt;0),_ENGINE_Strategy!$AM$8*--(N(_DATA_Dashboard_Facts!$F$17)&gt;0),_ENGINE_Strategy!$AN$8*--(N(_DATA_Dashboard_Facts!$F$18)&gt;0),_ENGINE_Strategy!$AO$8*--(N(_DATA_Dashboard_Facts!$F$19)&gt;0),_ENGINE_Strategy!$AP$8*--(N(_DATA_Dashboard_Facts!$F$20)&gt;0),_ENGINE_Strategy!$AQ$8*--(N(_DATA_Dashboard_Facts!$F$21)&gt;0))=0,0,ROUND(MIN(5,(SUM(_ENGINE_Strategy!$AA$8*(N(_DATA_Dashboard_Facts!$J$5)+cfg_RiskSecondaryWeight*N(_DATA_Dashboard_Facts!$K$5))*--(N(_DATA_Dashboard_Facts!$F$5)&gt;0),_ENGINE_Strategy!$AB$8*(N(_DATA_Dashboard_Facts!$J$6)+cfg_RiskSecondaryWeight*N(_DATA_Dashboard_Facts!$K$6))*--(N(_DATA_Dashboard_Facts!$F$6)&gt;0),_ENGINE_Strategy!$AC$8*(N(_DATA_Dashboard_Facts!$J$7)+cfg_RiskSecondaryWeight*N(_DATA_Dashboard_Facts!$K$7))*--(N(_DATA_Dashboard_Facts!$F$7)&gt;0),_ENGINE_Strategy!$AD$8*(N(_DATA_Dashboard_Facts!$J$8)+cfg_RiskSecondaryWeight*N(_DATA_Dashboard_Facts!$K$8))*--(N(_DATA_Dashboard_Facts!$F$8)&gt;0),_ENGINE_Strategy!$AE$8*(N(_DATA_Dashboard_Facts!$J$9)+cfg_RiskSecondaryWeight*N(_DATA_Dashboard_Facts!$K$9))*--(N(_DATA_Dashboard_Facts!$F$9)&gt;0),_ENGINE_Strategy!$AF$8*(N(_DATA_Dashboard_Facts!$J$10)+cfg_RiskSecondaryWeight*N(_DATA_Dashboard_Facts!$K$10))*--(N(_DATA_Dashboard_Facts!$F$10)&gt;0),_ENGINE_Strategy!$AG$8*(N(_DATA_Dashboard_Facts!$J$11)+cfg_RiskSecondaryWeight*N(_DATA_Dashboard_Facts!$K$11))*--(N(_DATA_Dashboard_Facts!$F$11)&gt;0),_ENGINE_Strategy!$AH$8*(N(_DATA_Dashboard_Facts!$J$12)+cfg_RiskSecondaryWeight*N(_DATA_Dashboard_Facts!$K$12))*--(N(_DATA_Dashboard_Facts!$F$12)&gt;0),_ENGINE_Strategy!$AI$8*(N(_DATA_Dashboard_Facts!$J$13)+cfg_RiskSecondaryWeight*N(_DATA_Dashboard_Facts!$K$13))*--(N(_DATA_Dashboard_Facts!$F$13)&gt;0),_ENGINE_Strategy!$AJ$8*(N(_DATA_Dashboard_Facts!$J$14)+cfg_RiskSecondaryWeight*N(_DATA_Dashboard_Facts!$K$14))*--(N(_DATA_Dashboard_Facts!$F$14)&gt;0),_ENGINE_Strategy!$AK$8*(N(_DATA_Dashboard_Facts!$J$15)+cfg_RiskSecondaryWeight*N(_DATA_Dashboard_Facts!$K$15))*--(N(_DATA_Dashboard_Facts!$F$15)&gt;0),_ENGINE_Strategy!$AL$8*(N(_DATA_Dashboard_Facts!$J$16)+cfg_RiskSecondaryWeight*N(_DATA_Dashboard_Facts!$K$16))*--(N(_DATA_Dashboard_Facts!$F$16)&gt;0),_ENGINE_Strategy!$AM$8*(N(_DATA_Dashboard_Facts!$J$17)+cfg_RiskSecondaryWeight*N(_DATA_Dashboard_Facts!$K$17))*--(N(_DATA_Dashboard_Facts!$F$17)&gt;0),_ENGINE_Strategy!$AN$8*(N(_DATA_Dashboard_Facts!$J$18)+cfg_RiskSecondaryWeight*N(_DATA_Dashboard_Facts!$K$18))*--(N(_DATA_Dashboard_Facts!$F$18)&gt;0),_ENGINE_Strategy!$AO$8*(N(_DATA_Dashboard_Facts!$J$19)+cfg_RiskSecondaryWeight*N(_DATA_Dashboard_Facts!$K$19))*--(N(_DATA_Dashboard_Facts!$F$19)&gt;0),_ENGINE_Strategy!$AP$8*(N(_DATA_Dashboard_Facts!$J$20)+cfg_RiskSecondaryWeight*N(_DATA_Dashboard_Facts!$K$20))*--(N(_DATA_Dashboard_Facts!$F$20)&gt;0),_ENGINE_Strategy!$AQ$8*(N(_DATA_Dashboard_Facts!$J$21)+cfg_RiskSecondaryWeight*N(_DATA_Dashboard_Facts!$K$21))*--(N(_DATA_Dashboard_Facts!$F$21)&gt;0))/SUM(_ENGINE_Strategy!$AA$8*--(N(_DATA_Dashboard_Facts!$F$5)&gt;0),_ENGINE_Strategy!$AB$8*--(N(_DATA_Dashboard_Facts!$F$6)&gt;0),_ENGINE_Strategy!$AC$8*--(N(_DATA_Dashboard_Facts!$F$7)&gt;0),_ENGINE_Strategy!$AD$8*--(N(_DATA_Dashboard_Facts!$F$8)&gt;0),_ENGINE_Strategy!$AE$8*--(N(_DATA_Dashboard_Facts!$F$9)&gt;0),_ENGINE_Strategy!$AF$8*--(N(_DATA_Dashboard_Facts!$F$10)&gt;0),_ENGINE_Strategy!$AG$8*--(N(_DATA_Dashboard_Facts!$F$11)&gt;0),_ENGINE_Strategy!$AH$8*--(N(_DATA_Dashboard_Facts!$F$12)&gt;0),_ENGINE_Strategy!$AI$8*--(N(_DATA_Dashboard_Facts!$F$13)&gt;0),_ENGINE_Strategy!$AJ$8*--(N(_DATA_Dashboard_Facts!$F$14)&gt;0),_ENGINE_Strategy!$AK$8*--(N(_DATA_Dashboard_Facts!$F$15)&gt;0),_ENGINE_Strategy!$AL$8*--(N(_DATA_Dashboard_Facts!$F$16)&gt;0),_ENGINE_Strategy!$AM$8*--(N(_DATA_Dashboard_Facts!$F$17)&gt;0),_ENGINE_Strategy!$AN$8*--(N(_DATA_Dashboard_Facts!$F$18)&gt;0),_ENGINE_Strategy!$AO$8*--(N(_DATA_Dashboard_Facts!$F$19)&gt;0),_ENGINE_Strategy!$AP$8*--(N(_DATA_Dashboard_Facts!$F$20)&gt;0),_ENGINE_Strategy!$AQ$8*--(N(_DATA_Dashboard_Facts!$F$21)&gt;0)))/MAX(0.1,cfg_RiskFitScale)),2))</f>
        <v>5</v>
      </c>
      <c r="G103">
        <f>IFERROR(ROUND((5-_DATA_Dashboard_Facts!$R$9)*(_ENGINE_Strategy!K8/5),2),0)</f>
        <v>4</v>
      </c>
      <c r="H103">
        <f>IFERROR(ROUND((5-_DATA_Dashboard_Facts!$R$9)*(_ENGINE_Strategy!L8/5),2),0)</f>
        <v>5</v>
      </c>
      <c r="I103">
        <f>IFERROR(ROUND((5-_DATA_Dashboard_Facts!$R$9)*(_ENGINE_Strategy!M8/5),2),0)</f>
        <v>4</v>
      </c>
      <c r="J103">
        <f t="shared" si="1"/>
        <v>71</v>
      </c>
      <c r="K103" t="str">
        <f>IF(_DATA_Dashboard_Facts!$R$7&gt;=0.8,"High",IF(_DATA_Dashboard_Facts!$R$7&gt;=0.5,"Medium","Low - assessment incomplete"))</f>
        <v>High</v>
      </c>
      <c r="L103" t="str">
        <f t="shared" si="2"/>
        <v>Primary</v>
      </c>
      <c r="M103" t="str">
        <f>_ENGINE_Strategy!E8</f>
        <v>Probability and impact of cyber disruption are reduced and response speed increases.</v>
      </c>
      <c r="N103" t="str">
        <f>"Crisis fit: "&amp;D103&amp;"; domain gap fit: "&amp;E103&amp;"; risk fit: "&amp;F103&amp;". Trigger domains: "&amp;_ENGINE_Strategy!AR8</f>
        <v>Crisis fit: 0; domain gap fit: 5; risk fit: 5. Trigger domains: Cyber Privacy; IT Cloud DR; Business Systems</v>
      </c>
      <c r="O103" t="str">
        <f>_ENGINE_Strategy!F8</f>
        <v>MFA, EDR, SIEM/logging, IR playbook, ransomware tabletop, backup isolation, awareness.</v>
      </c>
      <c r="P103" t="str">
        <f>_ENGINE_Strategy!G8</f>
        <v>CISO / CIO</v>
      </c>
      <c r="Q103" t="str">
        <f>_ENGINE_Strategy!H8</f>
        <v>0-9 months</v>
      </c>
      <c r="R103" t="str">
        <f>_ENGINE_Strategy!I8</f>
        <v>MFA coverage; critical vulnerabilities; MTTD/MTTR; phishing failure rate; restore success</v>
      </c>
      <c r="S103">
        <f>_ENGINE_Strategy!N8</f>
        <v>4</v>
      </c>
      <c r="T103">
        <f>COUNTIF(_ENGINE_Initiatives!$D$5:$D$76,$B103)</f>
        <v>6</v>
      </c>
      <c r="U103" t="str">
        <f>IFERROR(INDEX(_ENGINE_Initiatives!$AE$5:$AE$76,MATCH($B103,_ENGINE_Initiatives!$D$5:$D$76,0)),"")</f>
        <v>6-12 months</v>
      </c>
      <c r="V103">
        <f>IFERROR(ROUND(AVERAGEIF(_ENGINE_Initiatives!$D$5:$D$76,$B103,_ENGINE_Initiatives!$AC$5:$AC$76),2),"")</f>
        <v>1.37</v>
      </c>
      <c r="W103">
        <f>IFERROR(SUMIFS(_REF_Model_Content!$D$300:$D$429,_REF_Model_Content!$A$300:$A$429,PV_Canonical_Industry,_REF_Model_Content!$B$300:$B$429,$C103),3)</f>
        <v>0</v>
      </c>
      <c r="X103">
        <f>IF(OR($J103="",AND($C103="STR-09",SUMIF(_DATA_Dashboard_Facts!$A$5:$A$21,"Manufacturing MES",_DATA_Dashboard_Facts!$F$5:$F$21)=0)),"",ROUND($J103*(1+($W103-3)*0.06),2))</f>
        <v>58.22</v>
      </c>
    </row>
    <row r="104" spans="1:24">
      <c r="A104">
        <f t="shared" si="0"/>
        <v>8</v>
      </c>
      <c r="B104" t="str">
        <f>_ENGINE_Strategy!B9</f>
        <v>Data Governance and AI Readiness Strategy</v>
      </c>
      <c r="C104" t="str">
        <f>_ENGINE_Strategy!A9</f>
        <v>STR-05</v>
      </c>
      <c r="D104">
        <f>IFERROR(ROUND(INDEX(_ENGINE_Strategy!$P9:$Z9,1,MATCH('Resilience &amp; Risk Scenario'!$B$6,_ENGINE_Strategy!$P$4:$Z$4,0))*cfg_ScenarioFitScale,2),0)</f>
        <v>0</v>
      </c>
      <c r="E104">
        <f>IF(SUM(_ENGINE_Strategy!$AA$9*--(N(_DATA_Dashboard_Facts!$F$5)&gt;0),_ENGINE_Strategy!$AB$9*--(N(_DATA_Dashboard_Facts!$F$6)&gt;0),_ENGINE_Strategy!$AC$9*--(N(_DATA_Dashboard_Facts!$F$7)&gt;0),_ENGINE_Strategy!$AD$9*--(N(_DATA_Dashboard_Facts!$F$8)&gt;0),_ENGINE_Strategy!$AE$9*--(N(_DATA_Dashboard_Facts!$F$9)&gt;0),_ENGINE_Strategy!$AF$9*--(N(_DATA_Dashboard_Facts!$F$10)&gt;0),_ENGINE_Strategy!$AG$9*--(N(_DATA_Dashboard_Facts!$F$11)&gt;0),_ENGINE_Strategy!$AH$9*--(N(_DATA_Dashboard_Facts!$F$12)&gt;0),_ENGINE_Strategy!$AI$9*--(N(_DATA_Dashboard_Facts!$F$13)&gt;0),_ENGINE_Strategy!$AJ$9*--(N(_DATA_Dashboard_Facts!$F$14)&gt;0),_ENGINE_Strategy!$AK$9*--(N(_DATA_Dashboard_Facts!$F$15)&gt;0),_ENGINE_Strategy!$AL$9*--(N(_DATA_Dashboard_Facts!$F$16)&gt;0),_ENGINE_Strategy!$AM$9*--(N(_DATA_Dashboard_Facts!$F$17)&gt;0),_ENGINE_Strategy!$AN$9*--(N(_DATA_Dashboard_Facts!$F$18)&gt;0),_ENGINE_Strategy!$AO$9*--(N(_DATA_Dashboard_Facts!$F$19)&gt;0),_ENGINE_Strategy!$AP$9*--(N(_DATA_Dashboard_Facts!$F$20)&gt;0),_ENGINE_Strategy!$AQ$9*--(N(_DATA_Dashboard_Facts!$F$21)&gt;0))=0,0,ROUND(SUM(_ENGINE_Strategy!$AA$9*(5-N(_DATA_Dashboard_Facts!$H$5))*--(N(_DATA_Dashboard_Facts!$F$5)&gt;0),_ENGINE_Strategy!$AB$9*(5-N(_DATA_Dashboard_Facts!$H$6))*--(N(_DATA_Dashboard_Facts!$F$6)&gt;0),_ENGINE_Strategy!$AC$9*(5-N(_DATA_Dashboard_Facts!$H$7))*--(N(_DATA_Dashboard_Facts!$F$7)&gt;0),_ENGINE_Strategy!$AD$9*(5-N(_DATA_Dashboard_Facts!$H$8))*--(N(_DATA_Dashboard_Facts!$F$8)&gt;0),_ENGINE_Strategy!$AE$9*(5-N(_DATA_Dashboard_Facts!$H$9))*--(N(_DATA_Dashboard_Facts!$F$9)&gt;0),_ENGINE_Strategy!$AF$9*(5-N(_DATA_Dashboard_Facts!$H$10))*--(N(_DATA_Dashboard_Facts!$F$10)&gt;0),_ENGINE_Strategy!$AG$9*(5-N(_DATA_Dashboard_Facts!$H$11))*--(N(_DATA_Dashboard_Facts!$F$11)&gt;0),_ENGINE_Strategy!$AH$9*(5-N(_DATA_Dashboard_Facts!$H$12))*--(N(_DATA_Dashboard_Facts!$F$12)&gt;0),_ENGINE_Strategy!$AI$9*(5-N(_DATA_Dashboard_Facts!$H$13))*--(N(_DATA_Dashboard_Facts!$F$13)&gt;0),_ENGINE_Strategy!$AJ$9*(5-N(_DATA_Dashboard_Facts!$H$14))*--(N(_DATA_Dashboard_Facts!$F$14)&gt;0),_ENGINE_Strategy!$AK$9*(5-N(_DATA_Dashboard_Facts!$H$15))*--(N(_DATA_Dashboard_Facts!$F$15)&gt;0),_ENGINE_Strategy!$AL$9*(5-N(_DATA_Dashboard_Facts!$H$16))*--(N(_DATA_Dashboard_Facts!$F$16)&gt;0),_ENGINE_Strategy!$AM$9*(5-N(_DATA_Dashboard_Facts!$H$17))*--(N(_DATA_Dashboard_Facts!$F$17)&gt;0),_ENGINE_Strategy!$AN$9*(5-N(_DATA_Dashboard_Facts!$H$18))*--(N(_DATA_Dashboard_Facts!$F$18)&gt;0),_ENGINE_Strategy!$AO$9*(5-N(_DATA_Dashboard_Facts!$H$19))*--(N(_DATA_Dashboard_Facts!$F$19)&gt;0),_ENGINE_Strategy!$AP$9*(5-N(_DATA_Dashboard_Facts!$H$20))*--(N(_DATA_Dashboard_Facts!$F$20)&gt;0),_ENGINE_Strategy!$AQ$9*(5-N(_DATA_Dashboard_Facts!$H$21))*--(N(_DATA_Dashboard_Facts!$F$21)&gt;0))/SUM(_ENGINE_Strategy!$AA$9*--(N(_DATA_Dashboard_Facts!$F$5)&gt;0),_ENGINE_Strategy!$AB$9*--(N(_DATA_Dashboard_Facts!$F$6)&gt;0),_ENGINE_Strategy!$AC$9*--(N(_DATA_Dashboard_Facts!$F$7)&gt;0),_ENGINE_Strategy!$AD$9*--(N(_DATA_Dashboard_Facts!$F$8)&gt;0),_ENGINE_Strategy!$AE$9*--(N(_DATA_Dashboard_Facts!$F$9)&gt;0),_ENGINE_Strategy!$AF$9*--(N(_DATA_Dashboard_Facts!$F$10)&gt;0),_ENGINE_Strategy!$AG$9*--(N(_DATA_Dashboard_Facts!$F$11)&gt;0),_ENGINE_Strategy!$AH$9*--(N(_DATA_Dashboard_Facts!$F$12)&gt;0),_ENGINE_Strategy!$AI$9*--(N(_DATA_Dashboard_Facts!$F$13)&gt;0),_ENGINE_Strategy!$AJ$9*--(N(_DATA_Dashboard_Facts!$F$14)&gt;0),_ENGINE_Strategy!$AK$9*--(N(_DATA_Dashboard_Facts!$F$15)&gt;0),_ENGINE_Strategy!$AL$9*--(N(_DATA_Dashboard_Facts!$F$16)&gt;0),_ENGINE_Strategy!$AM$9*--(N(_DATA_Dashboard_Facts!$F$17)&gt;0),_ENGINE_Strategy!$AN$9*--(N(_DATA_Dashboard_Facts!$F$18)&gt;0),_ENGINE_Strategy!$AO$9*--(N(_DATA_Dashboard_Facts!$F$19)&gt;0),_ENGINE_Strategy!$AP$9*--(N(_DATA_Dashboard_Facts!$F$20)&gt;0),_ENGINE_Strategy!$AQ$9*--(N(_DATA_Dashboard_Facts!$F$21)&gt;0)),2))</f>
        <v>5</v>
      </c>
      <c r="F104">
        <f>IF(SUM(_ENGINE_Strategy!$AA$9*--(N(_DATA_Dashboard_Facts!$F$5)&gt;0),_ENGINE_Strategy!$AB$9*--(N(_DATA_Dashboard_Facts!$F$6)&gt;0),_ENGINE_Strategy!$AC$9*--(N(_DATA_Dashboard_Facts!$F$7)&gt;0),_ENGINE_Strategy!$AD$9*--(N(_DATA_Dashboard_Facts!$F$8)&gt;0),_ENGINE_Strategy!$AE$9*--(N(_DATA_Dashboard_Facts!$F$9)&gt;0),_ENGINE_Strategy!$AF$9*--(N(_DATA_Dashboard_Facts!$F$10)&gt;0),_ENGINE_Strategy!$AG$9*--(N(_DATA_Dashboard_Facts!$F$11)&gt;0),_ENGINE_Strategy!$AH$9*--(N(_DATA_Dashboard_Facts!$F$12)&gt;0),_ENGINE_Strategy!$AI$9*--(N(_DATA_Dashboard_Facts!$F$13)&gt;0),_ENGINE_Strategy!$AJ$9*--(N(_DATA_Dashboard_Facts!$F$14)&gt;0),_ENGINE_Strategy!$AK$9*--(N(_DATA_Dashboard_Facts!$F$15)&gt;0),_ENGINE_Strategy!$AL$9*--(N(_DATA_Dashboard_Facts!$F$16)&gt;0),_ENGINE_Strategy!$AM$9*--(N(_DATA_Dashboard_Facts!$F$17)&gt;0),_ENGINE_Strategy!$AN$9*--(N(_DATA_Dashboard_Facts!$F$18)&gt;0),_ENGINE_Strategy!$AO$9*--(N(_DATA_Dashboard_Facts!$F$19)&gt;0),_ENGINE_Strategy!$AP$9*--(N(_DATA_Dashboard_Facts!$F$20)&gt;0),_ENGINE_Strategy!$AQ$9*--(N(_DATA_Dashboard_Facts!$F$21)&gt;0))=0,0,ROUND(MIN(5,(SUM(_ENGINE_Strategy!$AA$9*(N(_DATA_Dashboard_Facts!$J$5)+cfg_RiskSecondaryWeight*N(_DATA_Dashboard_Facts!$K$5))*--(N(_DATA_Dashboard_Facts!$F$5)&gt;0),_ENGINE_Strategy!$AB$9*(N(_DATA_Dashboard_Facts!$J$6)+cfg_RiskSecondaryWeight*N(_DATA_Dashboard_Facts!$K$6))*--(N(_DATA_Dashboard_Facts!$F$6)&gt;0),_ENGINE_Strategy!$AC$9*(N(_DATA_Dashboard_Facts!$J$7)+cfg_RiskSecondaryWeight*N(_DATA_Dashboard_Facts!$K$7))*--(N(_DATA_Dashboard_Facts!$F$7)&gt;0),_ENGINE_Strategy!$AD$9*(N(_DATA_Dashboard_Facts!$J$8)+cfg_RiskSecondaryWeight*N(_DATA_Dashboard_Facts!$K$8))*--(N(_DATA_Dashboard_Facts!$F$8)&gt;0),_ENGINE_Strategy!$AE$9*(N(_DATA_Dashboard_Facts!$J$9)+cfg_RiskSecondaryWeight*N(_DATA_Dashboard_Facts!$K$9))*--(N(_DATA_Dashboard_Facts!$F$9)&gt;0),_ENGINE_Strategy!$AF$9*(N(_DATA_Dashboard_Facts!$J$10)+cfg_RiskSecondaryWeight*N(_DATA_Dashboard_Facts!$K$10))*--(N(_DATA_Dashboard_Facts!$F$10)&gt;0),_ENGINE_Strategy!$AG$9*(N(_DATA_Dashboard_Facts!$J$11)+cfg_RiskSecondaryWeight*N(_DATA_Dashboard_Facts!$K$11))*--(N(_DATA_Dashboard_Facts!$F$11)&gt;0),_ENGINE_Strategy!$AH$9*(N(_DATA_Dashboard_Facts!$J$12)+cfg_RiskSecondaryWeight*N(_DATA_Dashboard_Facts!$K$12))*--(N(_DATA_Dashboard_Facts!$F$12)&gt;0),_ENGINE_Strategy!$AI$9*(N(_DATA_Dashboard_Facts!$J$13)+cfg_RiskSecondaryWeight*N(_DATA_Dashboard_Facts!$K$13))*--(N(_DATA_Dashboard_Facts!$F$13)&gt;0),_ENGINE_Strategy!$AJ$9*(N(_DATA_Dashboard_Facts!$J$14)+cfg_RiskSecondaryWeight*N(_DATA_Dashboard_Facts!$K$14))*--(N(_DATA_Dashboard_Facts!$F$14)&gt;0),_ENGINE_Strategy!$AK$9*(N(_DATA_Dashboard_Facts!$J$15)+cfg_RiskSecondaryWeight*N(_DATA_Dashboard_Facts!$K$15))*--(N(_DATA_Dashboard_Facts!$F$15)&gt;0),_ENGINE_Strategy!$AL$9*(N(_DATA_Dashboard_Facts!$J$16)+cfg_RiskSecondaryWeight*N(_DATA_Dashboard_Facts!$K$16))*--(N(_DATA_Dashboard_Facts!$F$16)&gt;0),_ENGINE_Strategy!$AM$9*(N(_DATA_Dashboard_Facts!$J$17)+cfg_RiskSecondaryWeight*N(_DATA_Dashboard_Facts!$K$17))*--(N(_DATA_Dashboard_Facts!$F$17)&gt;0),_ENGINE_Strategy!$AN$9*(N(_DATA_Dashboard_Facts!$J$18)+cfg_RiskSecondaryWeight*N(_DATA_Dashboard_Facts!$K$18))*--(N(_DATA_Dashboard_Facts!$F$18)&gt;0),_ENGINE_Strategy!$AO$9*(N(_DATA_Dashboard_Facts!$J$19)+cfg_RiskSecondaryWeight*N(_DATA_Dashboard_Facts!$K$19))*--(N(_DATA_Dashboard_Facts!$F$19)&gt;0),_ENGINE_Strategy!$AP$9*(N(_DATA_Dashboard_Facts!$J$20)+cfg_RiskSecondaryWeight*N(_DATA_Dashboard_Facts!$K$20))*--(N(_DATA_Dashboard_Facts!$F$20)&gt;0),_ENGINE_Strategy!$AQ$9*(N(_DATA_Dashboard_Facts!$J$21)+cfg_RiskSecondaryWeight*N(_DATA_Dashboard_Facts!$K$21))*--(N(_DATA_Dashboard_Facts!$F$21)&gt;0))/SUM(_ENGINE_Strategy!$AA$9*--(N(_DATA_Dashboard_Facts!$F$5)&gt;0),_ENGINE_Strategy!$AB$9*--(N(_DATA_Dashboard_Facts!$F$6)&gt;0),_ENGINE_Strategy!$AC$9*--(N(_DATA_Dashboard_Facts!$F$7)&gt;0),_ENGINE_Strategy!$AD$9*--(N(_DATA_Dashboard_Facts!$F$8)&gt;0),_ENGINE_Strategy!$AE$9*--(N(_DATA_Dashboard_Facts!$F$9)&gt;0),_ENGINE_Strategy!$AF$9*--(N(_DATA_Dashboard_Facts!$F$10)&gt;0),_ENGINE_Strategy!$AG$9*--(N(_DATA_Dashboard_Facts!$F$11)&gt;0),_ENGINE_Strategy!$AH$9*--(N(_DATA_Dashboard_Facts!$F$12)&gt;0),_ENGINE_Strategy!$AI$9*--(N(_DATA_Dashboard_Facts!$F$13)&gt;0),_ENGINE_Strategy!$AJ$9*--(N(_DATA_Dashboard_Facts!$F$14)&gt;0),_ENGINE_Strategy!$AK$9*--(N(_DATA_Dashboard_Facts!$F$15)&gt;0),_ENGINE_Strategy!$AL$9*--(N(_DATA_Dashboard_Facts!$F$16)&gt;0),_ENGINE_Strategy!$AM$9*--(N(_DATA_Dashboard_Facts!$F$17)&gt;0),_ENGINE_Strategy!$AN$9*--(N(_DATA_Dashboard_Facts!$F$18)&gt;0),_ENGINE_Strategy!$AO$9*--(N(_DATA_Dashboard_Facts!$F$19)&gt;0),_ENGINE_Strategy!$AP$9*--(N(_DATA_Dashboard_Facts!$F$20)&gt;0),_ENGINE_Strategy!$AQ$9*--(N(_DATA_Dashboard_Facts!$F$21)&gt;0)))/MAX(0.1,cfg_RiskFitScale)),2))</f>
        <v>5</v>
      </c>
      <c r="G104">
        <f>IFERROR(ROUND((5-_DATA_Dashboard_Facts!$R$9)*(_ENGINE_Strategy!K9/5),2),0)</f>
        <v>5</v>
      </c>
      <c r="H104">
        <f>IFERROR(ROUND((5-_DATA_Dashboard_Facts!$R$9)*(_ENGINE_Strategy!L9/5),2),0)</f>
        <v>3</v>
      </c>
      <c r="I104">
        <f>IFERROR(ROUND((5-_DATA_Dashboard_Facts!$R$9)*(_ENGINE_Strategy!M9/5),2),0)</f>
        <v>3</v>
      </c>
      <c r="J104">
        <f t="shared" si="1"/>
        <v>67</v>
      </c>
      <c r="K104" t="str">
        <f>IF(_DATA_Dashboard_Facts!$R$7&gt;=0.8,"High",IF(_DATA_Dashboard_Facts!$R$7&gt;=0.5,"Medium","Low - assessment incomplete"))</f>
        <v>High</v>
      </c>
      <c r="L104" t="str">
        <f t="shared" si="2"/>
        <v>Watchlist</v>
      </c>
      <c r="M104" t="str">
        <f>_ENGINE_Strategy!E9</f>
        <v>Reliable data foundation for analytics, forecasting, AI and executive decisions.</v>
      </c>
      <c r="N104" t="str">
        <f>"Crisis fit: "&amp;D104&amp;"; domain gap fit: "&amp;E104&amp;"; risk fit: "&amp;F104&amp;". Trigger domains: "&amp;_ENGINE_Strategy!AR9</f>
        <v>Crisis fit: 0; domain gap fit: 5; risk fit: 5. Trigger domains: Data BI AI; Business Systems</v>
      </c>
      <c r="O104" t="str">
        <f>_ENGINE_Strategy!F9</f>
        <v>Data owners, data catalog, BI standards, data quality rules, AI governance, decision dashboards.</v>
      </c>
      <c r="P104" t="str">
        <f>_ENGINE_Strategy!G9</f>
        <v>CDO / CIO / CFO</v>
      </c>
      <c r="Q104" t="str">
        <f>_ENGINE_Strategy!H9</f>
        <v>3-12 months</v>
      </c>
      <c r="R104" t="str">
        <f>_ENGINE_Strategy!I9</f>
        <v>Data owner coverage; data quality score; BI adoption; forecast accuracy; AI use-case governance</v>
      </c>
      <c r="S104">
        <f>_ENGINE_Strategy!N9</f>
        <v>4</v>
      </c>
      <c r="T104">
        <f>COUNTIF(_ENGINE_Initiatives!$D$5:$D$76,$B104)</f>
        <v>5</v>
      </c>
      <c r="U104" t="str">
        <f>IFERROR(INDEX(_ENGINE_Initiatives!$AE$5:$AE$76,MATCH($B104,_ENGINE_Initiatives!$D$5:$D$76,0)),"")</f>
        <v>12+ months</v>
      </c>
      <c r="V104">
        <f>IFERROR(ROUND(AVERAGEIF(_ENGINE_Initiatives!$D$5:$D$76,$B104,_ENGINE_Initiatives!$AC$5:$AC$76),2),"")</f>
        <v>1.3</v>
      </c>
      <c r="W104">
        <f>IFERROR(SUMIFS(_REF_Model_Content!$D$300:$D$429,_REF_Model_Content!$A$300:$A$429,PV_Canonical_Industry,_REF_Model_Content!$B$300:$B$429,$C104),3)</f>
        <v>0</v>
      </c>
      <c r="X104">
        <f>IF(OR($J104="",AND($C104="STR-09",SUMIF(_DATA_Dashboard_Facts!$A$5:$A$21,"Manufacturing MES",_DATA_Dashboard_Facts!$F$5:$F$21)=0)),"",ROUND($J104*(1+($W104-3)*0.06),2))</f>
        <v>54.94</v>
      </c>
    </row>
    <row r="105" spans="1:24">
      <c r="A105">
        <f t="shared" si="0"/>
        <v>11</v>
      </c>
      <c r="B105" t="str">
        <f>_ENGINE_Strategy!B10</f>
        <v>Workforce Resilience Strategy</v>
      </c>
      <c r="C105" t="str">
        <f>_ENGINE_Strategy!A10</f>
        <v>STR-06</v>
      </c>
      <c r="D105">
        <f>IFERROR(ROUND(INDEX(_ENGINE_Strategy!$P10:$Z10,1,MATCH('Resilience &amp; Risk Scenario'!$B$6,_ENGINE_Strategy!$P$4:$Z$4,0))*cfg_ScenarioFitScale,2),0)</f>
        <v>0</v>
      </c>
      <c r="E105">
        <f>IF(SUM(_ENGINE_Strategy!$AA$10*--(N(_DATA_Dashboard_Facts!$F$5)&gt;0),_ENGINE_Strategy!$AB$10*--(N(_DATA_Dashboard_Facts!$F$6)&gt;0),_ENGINE_Strategy!$AC$10*--(N(_DATA_Dashboard_Facts!$F$7)&gt;0),_ENGINE_Strategy!$AD$10*--(N(_DATA_Dashboard_Facts!$F$8)&gt;0),_ENGINE_Strategy!$AE$10*--(N(_DATA_Dashboard_Facts!$F$9)&gt;0),_ENGINE_Strategy!$AF$10*--(N(_DATA_Dashboard_Facts!$F$10)&gt;0),_ENGINE_Strategy!$AG$10*--(N(_DATA_Dashboard_Facts!$F$11)&gt;0),_ENGINE_Strategy!$AH$10*--(N(_DATA_Dashboard_Facts!$F$12)&gt;0),_ENGINE_Strategy!$AI$10*--(N(_DATA_Dashboard_Facts!$F$13)&gt;0),_ENGINE_Strategy!$AJ$10*--(N(_DATA_Dashboard_Facts!$F$14)&gt;0),_ENGINE_Strategy!$AK$10*--(N(_DATA_Dashboard_Facts!$F$15)&gt;0),_ENGINE_Strategy!$AL$10*--(N(_DATA_Dashboard_Facts!$F$16)&gt;0),_ENGINE_Strategy!$AM$10*--(N(_DATA_Dashboard_Facts!$F$17)&gt;0),_ENGINE_Strategy!$AN$10*--(N(_DATA_Dashboard_Facts!$F$18)&gt;0),_ENGINE_Strategy!$AO$10*--(N(_DATA_Dashboard_Facts!$F$19)&gt;0),_ENGINE_Strategy!$AP$10*--(N(_DATA_Dashboard_Facts!$F$20)&gt;0),_ENGINE_Strategy!$AQ$10*--(N(_DATA_Dashboard_Facts!$F$21)&gt;0))=0,0,ROUND(SUM(_ENGINE_Strategy!$AA$10*(5-N(_DATA_Dashboard_Facts!$H$5))*--(N(_DATA_Dashboard_Facts!$F$5)&gt;0),_ENGINE_Strategy!$AB$10*(5-N(_DATA_Dashboard_Facts!$H$6))*--(N(_DATA_Dashboard_Facts!$F$6)&gt;0),_ENGINE_Strategy!$AC$10*(5-N(_DATA_Dashboard_Facts!$H$7))*--(N(_DATA_Dashboard_Facts!$F$7)&gt;0),_ENGINE_Strategy!$AD$10*(5-N(_DATA_Dashboard_Facts!$H$8))*--(N(_DATA_Dashboard_Facts!$F$8)&gt;0),_ENGINE_Strategy!$AE$10*(5-N(_DATA_Dashboard_Facts!$H$9))*--(N(_DATA_Dashboard_Facts!$F$9)&gt;0),_ENGINE_Strategy!$AF$10*(5-N(_DATA_Dashboard_Facts!$H$10))*--(N(_DATA_Dashboard_Facts!$F$10)&gt;0),_ENGINE_Strategy!$AG$10*(5-N(_DATA_Dashboard_Facts!$H$11))*--(N(_DATA_Dashboard_Facts!$F$11)&gt;0),_ENGINE_Strategy!$AH$10*(5-N(_DATA_Dashboard_Facts!$H$12))*--(N(_DATA_Dashboard_Facts!$F$12)&gt;0),_ENGINE_Strategy!$AI$10*(5-N(_DATA_Dashboard_Facts!$H$13))*--(N(_DATA_Dashboard_Facts!$F$13)&gt;0),_ENGINE_Strategy!$AJ$10*(5-N(_DATA_Dashboard_Facts!$H$14))*--(N(_DATA_Dashboard_Facts!$F$14)&gt;0),_ENGINE_Strategy!$AK$10*(5-N(_DATA_Dashboard_Facts!$H$15))*--(N(_DATA_Dashboard_Facts!$F$15)&gt;0),_ENGINE_Strategy!$AL$10*(5-N(_DATA_Dashboard_Facts!$H$16))*--(N(_DATA_Dashboard_Facts!$F$16)&gt;0),_ENGINE_Strategy!$AM$10*(5-N(_DATA_Dashboard_Facts!$H$17))*--(N(_DATA_Dashboard_Facts!$F$17)&gt;0),_ENGINE_Strategy!$AN$10*(5-N(_DATA_Dashboard_Facts!$H$18))*--(N(_DATA_Dashboard_Facts!$F$18)&gt;0),_ENGINE_Strategy!$AO$10*(5-N(_DATA_Dashboard_Facts!$H$19))*--(N(_DATA_Dashboard_Facts!$F$19)&gt;0),_ENGINE_Strategy!$AP$10*(5-N(_DATA_Dashboard_Facts!$H$20))*--(N(_DATA_Dashboard_Facts!$F$20)&gt;0),_ENGINE_Strategy!$AQ$10*(5-N(_DATA_Dashboard_Facts!$H$21))*--(N(_DATA_Dashboard_Facts!$F$21)&gt;0))/SUM(_ENGINE_Strategy!$AA$10*--(N(_DATA_Dashboard_Facts!$F$5)&gt;0),_ENGINE_Strategy!$AB$10*--(N(_DATA_Dashboard_Facts!$F$6)&gt;0),_ENGINE_Strategy!$AC$10*--(N(_DATA_Dashboard_Facts!$F$7)&gt;0),_ENGINE_Strategy!$AD$10*--(N(_DATA_Dashboard_Facts!$F$8)&gt;0),_ENGINE_Strategy!$AE$10*--(N(_DATA_Dashboard_Facts!$F$9)&gt;0),_ENGINE_Strategy!$AF$10*--(N(_DATA_Dashboard_Facts!$F$10)&gt;0),_ENGINE_Strategy!$AG$10*--(N(_DATA_Dashboard_Facts!$F$11)&gt;0),_ENGINE_Strategy!$AH$10*--(N(_DATA_Dashboard_Facts!$F$12)&gt;0),_ENGINE_Strategy!$AI$10*--(N(_DATA_Dashboard_Facts!$F$13)&gt;0),_ENGINE_Strategy!$AJ$10*--(N(_DATA_Dashboard_Facts!$F$14)&gt;0),_ENGINE_Strategy!$AK$10*--(N(_DATA_Dashboard_Facts!$F$15)&gt;0),_ENGINE_Strategy!$AL$10*--(N(_DATA_Dashboard_Facts!$F$16)&gt;0),_ENGINE_Strategy!$AM$10*--(N(_DATA_Dashboard_Facts!$F$17)&gt;0),_ENGINE_Strategy!$AN$10*--(N(_DATA_Dashboard_Facts!$F$18)&gt;0),_ENGINE_Strategy!$AO$10*--(N(_DATA_Dashboard_Facts!$F$19)&gt;0),_ENGINE_Strategy!$AP$10*--(N(_DATA_Dashboard_Facts!$F$20)&gt;0),_ENGINE_Strategy!$AQ$10*--(N(_DATA_Dashboard_Facts!$F$21)&gt;0)),2))</f>
        <v>5</v>
      </c>
      <c r="F105">
        <f>IF(SUM(_ENGINE_Strategy!$AA$10*--(N(_DATA_Dashboard_Facts!$F$5)&gt;0),_ENGINE_Strategy!$AB$10*--(N(_DATA_Dashboard_Facts!$F$6)&gt;0),_ENGINE_Strategy!$AC$10*--(N(_DATA_Dashboard_Facts!$F$7)&gt;0),_ENGINE_Strategy!$AD$10*--(N(_DATA_Dashboard_Facts!$F$8)&gt;0),_ENGINE_Strategy!$AE$10*--(N(_DATA_Dashboard_Facts!$F$9)&gt;0),_ENGINE_Strategy!$AF$10*--(N(_DATA_Dashboard_Facts!$F$10)&gt;0),_ENGINE_Strategy!$AG$10*--(N(_DATA_Dashboard_Facts!$F$11)&gt;0),_ENGINE_Strategy!$AH$10*--(N(_DATA_Dashboard_Facts!$F$12)&gt;0),_ENGINE_Strategy!$AI$10*--(N(_DATA_Dashboard_Facts!$F$13)&gt;0),_ENGINE_Strategy!$AJ$10*--(N(_DATA_Dashboard_Facts!$F$14)&gt;0),_ENGINE_Strategy!$AK$10*--(N(_DATA_Dashboard_Facts!$F$15)&gt;0),_ENGINE_Strategy!$AL$10*--(N(_DATA_Dashboard_Facts!$F$16)&gt;0),_ENGINE_Strategy!$AM$10*--(N(_DATA_Dashboard_Facts!$F$17)&gt;0),_ENGINE_Strategy!$AN$10*--(N(_DATA_Dashboard_Facts!$F$18)&gt;0),_ENGINE_Strategy!$AO$10*--(N(_DATA_Dashboard_Facts!$F$19)&gt;0),_ENGINE_Strategy!$AP$10*--(N(_DATA_Dashboard_Facts!$F$20)&gt;0),_ENGINE_Strategy!$AQ$10*--(N(_DATA_Dashboard_Facts!$F$21)&gt;0))=0,0,ROUND(MIN(5,(SUM(_ENGINE_Strategy!$AA$10*(N(_DATA_Dashboard_Facts!$J$5)+cfg_RiskSecondaryWeight*N(_DATA_Dashboard_Facts!$K$5))*--(N(_DATA_Dashboard_Facts!$F$5)&gt;0),_ENGINE_Strategy!$AB$10*(N(_DATA_Dashboard_Facts!$J$6)+cfg_RiskSecondaryWeight*N(_DATA_Dashboard_Facts!$K$6))*--(N(_DATA_Dashboard_Facts!$F$6)&gt;0),_ENGINE_Strategy!$AC$10*(N(_DATA_Dashboard_Facts!$J$7)+cfg_RiskSecondaryWeight*N(_DATA_Dashboard_Facts!$K$7))*--(N(_DATA_Dashboard_Facts!$F$7)&gt;0),_ENGINE_Strategy!$AD$10*(N(_DATA_Dashboard_Facts!$J$8)+cfg_RiskSecondaryWeight*N(_DATA_Dashboard_Facts!$K$8))*--(N(_DATA_Dashboard_Facts!$F$8)&gt;0),_ENGINE_Strategy!$AE$10*(N(_DATA_Dashboard_Facts!$J$9)+cfg_RiskSecondaryWeight*N(_DATA_Dashboard_Facts!$K$9))*--(N(_DATA_Dashboard_Facts!$F$9)&gt;0),_ENGINE_Strategy!$AF$10*(N(_DATA_Dashboard_Facts!$J$10)+cfg_RiskSecondaryWeight*N(_DATA_Dashboard_Facts!$K$10))*--(N(_DATA_Dashboard_Facts!$F$10)&gt;0),_ENGINE_Strategy!$AG$10*(N(_DATA_Dashboard_Facts!$J$11)+cfg_RiskSecondaryWeight*N(_DATA_Dashboard_Facts!$K$11))*--(N(_DATA_Dashboard_Facts!$F$11)&gt;0),_ENGINE_Strategy!$AH$10*(N(_DATA_Dashboard_Facts!$J$12)+cfg_RiskSecondaryWeight*N(_DATA_Dashboard_Facts!$K$12))*--(N(_DATA_Dashboard_Facts!$F$12)&gt;0),_ENGINE_Strategy!$AI$10*(N(_DATA_Dashboard_Facts!$J$13)+cfg_RiskSecondaryWeight*N(_DATA_Dashboard_Facts!$K$13))*--(N(_DATA_Dashboard_Facts!$F$13)&gt;0),_ENGINE_Strategy!$AJ$10*(N(_DATA_Dashboard_Facts!$J$14)+cfg_RiskSecondaryWeight*N(_DATA_Dashboard_Facts!$K$14))*--(N(_DATA_Dashboard_Facts!$F$14)&gt;0),_ENGINE_Strategy!$AK$10*(N(_DATA_Dashboard_Facts!$J$15)+cfg_RiskSecondaryWeight*N(_DATA_Dashboard_Facts!$K$15))*--(N(_DATA_Dashboard_Facts!$F$15)&gt;0),_ENGINE_Strategy!$AL$10*(N(_DATA_Dashboard_Facts!$J$16)+cfg_RiskSecondaryWeight*N(_DATA_Dashboard_Facts!$K$16))*--(N(_DATA_Dashboard_Facts!$F$16)&gt;0),_ENGINE_Strategy!$AM$10*(N(_DATA_Dashboard_Facts!$J$17)+cfg_RiskSecondaryWeight*N(_DATA_Dashboard_Facts!$K$17))*--(N(_DATA_Dashboard_Facts!$F$17)&gt;0),_ENGINE_Strategy!$AN$10*(N(_DATA_Dashboard_Facts!$J$18)+cfg_RiskSecondaryWeight*N(_DATA_Dashboard_Facts!$K$18))*--(N(_DATA_Dashboard_Facts!$F$18)&gt;0),_ENGINE_Strategy!$AO$10*(N(_DATA_Dashboard_Facts!$J$19)+cfg_RiskSecondaryWeight*N(_DATA_Dashboard_Facts!$K$19))*--(N(_DATA_Dashboard_Facts!$F$19)&gt;0),_ENGINE_Strategy!$AP$10*(N(_DATA_Dashboard_Facts!$J$20)+cfg_RiskSecondaryWeight*N(_DATA_Dashboard_Facts!$K$20))*--(N(_DATA_Dashboard_Facts!$F$20)&gt;0),_ENGINE_Strategy!$AQ$10*(N(_DATA_Dashboard_Facts!$J$21)+cfg_RiskSecondaryWeight*N(_DATA_Dashboard_Facts!$K$21))*--(N(_DATA_Dashboard_Facts!$F$21)&gt;0))/SUM(_ENGINE_Strategy!$AA$10*--(N(_DATA_Dashboard_Facts!$F$5)&gt;0),_ENGINE_Strategy!$AB$10*--(N(_DATA_Dashboard_Facts!$F$6)&gt;0),_ENGINE_Strategy!$AC$10*--(N(_DATA_Dashboard_Facts!$F$7)&gt;0),_ENGINE_Strategy!$AD$10*--(N(_DATA_Dashboard_Facts!$F$8)&gt;0),_ENGINE_Strategy!$AE$10*--(N(_DATA_Dashboard_Facts!$F$9)&gt;0),_ENGINE_Strategy!$AF$10*--(N(_DATA_Dashboard_Facts!$F$10)&gt;0),_ENGINE_Strategy!$AG$10*--(N(_DATA_Dashboard_Facts!$F$11)&gt;0),_ENGINE_Strategy!$AH$10*--(N(_DATA_Dashboard_Facts!$F$12)&gt;0),_ENGINE_Strategy!$AI$10*--(N(_DATA_Dashboard_Facts!$F$13)&gt;0),_ENGINE_Strategy!$AJ$10*--(N(_DATA_Dashboard_Facts!$F$14)&gt;0),_ENGINE_Strategy!$AK$10*--(N(_DATA_Dashboard_Facts!$F$15)&gt;0),_ENGINE_Strategy!$AL$10*--(N(_DATA_Dashboard_Facts!$F$16)&gt;0),_ENGINE_Strategy!$AM$10*--(N(_DATA_Dashboard_Facts!$F$17)&gt;0),_ENGINE_Strategy!$AN$10*--(N(_DATA_Dashboard_Facts!$F$18)&gt;0),_ENGINE_Strategy!$AO$10*--(N(_DATA_Dashboard_Facts!$F$19)&gt;0),_ENGINE_Strategy!$AP$10*--(N(_DATA_Dashboard_Facts!$F$20)&gt;0),_ENGINE_Strategy!$AQ$10*--(N(_DATA_Dashboard_Facts!$F$21)&gt;0)))/MAX(0.1,cfg_RiskFitScale)),2))</f>
        <v>4.97</v>
      </c>
      <c r="G105">
        <f>IFERROR(ROUND((5-_DATA_Dashboard_Facts!$R$9)*(_ENGINE_Strategy!K10/5),2),0)</f>
        <v>2</v>
      </c>
      <c r="H105">
        <f>IFERROR(ROUND((5-_DATA_Dashboard_Facts!$R$9)*(_ENGINE_Strategy!L10/5),2),0)</f>
        <v>5</v>
      </c>
      <c r="I105">
        <f>IFERROR(ROUND((5-_DATA_Dashboard_Facts!$R$9)*(_ENGINE_Strategy!M10/5),2),0)</f>
        <v>4</v>
      </c>
      <c r="J105">
        <f t="shared" si="1"/>
        <v>66.900000000000006</v>
      </c>
      <c r="K105" t="str">
        <f>IF(_DATA_Dashboard_Facts!$R$7&gt;=0.8,"High",IF(_DATA_Dashboard_Facts!$R$7&gt;=0.5,"Medium","Low - assessment incomplete"))</f>
        <v>High</v>
      </c>
      <c r="L105" t="str">
        <f t="shared" si="2"/>
        <v>Watchlist</v>
      </c>
      <c r="M105" t="str">
        <f>_ENGINE_Strategy!E10</f>
        <v>Knowledge, productivity and continuity of critical roles improve.</v>
      </c>
      <c r="N105" t="str">
        <f>"Crisis fit: "&amp;D105&amp;"; domain gap fit: "&amp;E105&amp;"; risk fit: "&amp;F105&amp;". Trigger domains: "&amp;_ENGINE_Strategy!AR10</f>
        <v>Crisis fit: 0; domain gap fit: 5; risk fit: 4.97. Trigger domains: HR Workforce</v>
      </c>
      <c r="O105" t="str">
        <f>_ENGINE_Strategy!F10</f>
        <v>Critical role matrix, succession, backup teams, knowledge base, cross-training, remote work readiness.</v>
      </c>
      <c r="P105" t="str">
        <f>_ENGINE_Strategy!G10</f>
        <v>CHRO / COO</v>
      </c>
      <c r="Q105" t="str">
        <f>_ENGINE_Strategy!H10</f>
        <v>0-6 months</v>
      </c>
      <c r="R105" t="str">
        <f>_ENGINE_Strategy!I10</f>
        <v>Critical roles with backups; cross-training coverage; attrition risk; onboarding time; knowledge coverage</v>
      </c>
      <c r="S105">
        <f>_ENGINE_Strategy!N10</f>
        <v>3</v>
      </c>
      <c r="T105">
        <f>COUNTIF(_ENGINE_Initiatives!$D$5:$D$76,$B105)</f>
        <v>4</v>
      </c>
      <c r="U105" t="str">
        <f>IFERROR(INDEX(_ENGINE_Initiatives!$AE$5:$AE$76,MATCH($B105,_ENGINE_Initiatives!$D$5:$D$76,0)),"")</f>
        <v>3-6 months</v>
      </c>
      <c r="V105">
        <f>IFERROR(ROUND(AVERAGEIF(_ENGINE_Initiatives!$D$5:$D$76,$B105,_ENGINE_Initiatives!$AC$5:$AC$76),2),"")</f>
        <v>1.78</v>
      </c>
      <c r="W105">
        <f>IFERROR(SUMIFS(_REF_Model_Content!$D$300:$D$429,_REF_Model_Content!$A$300:$A$429,PV_Canonical_Industry,_REF_Model_Content!$B$300:$B$429,$C105),3)</f>
        <v>0</v>
      </c>
      <c r="X105">
        <f>IF(OR($J105="",AND($C105="STR-09",SUMIF(_DATA_Dashboard_Facts!$A$5:$A$21,"Manufacturing MES",_DATA_Dashboard_Facts!$F$5:$F$21)=0)),"",ROUND($J105*(1+($W105-3)*0.06),2))</f>
        <v>54.86</v>
      </c>
    </row>
    <row r="106" spans="1:24">
      <c r="A106">
        <f t="shared" si="0"/>
        <v>6</v>
      </c>
      <c r="B106" t="str">
        <f>_ENGINE_Strategy!B11</f>
        <v>Operational Excellence and Automation Strategy</v>
      </c>
      <c r="C106" t="str">
        <f>_ENGINE_Strategy!A11</f>
        <v>STR-07</v>
      </c>
      <c r="D106">
        <f>IFERROR(ROUND(INDEX(_ENGINE_Strategy!$P11:$Z11,1,MATCH('Resilience &amp; Risk Scenario'!$B$6,_ENGINE_Strategy!$P$4:$Z$4,0))*cfg_ScenarioFitScale,2),0)</f>
        <v>0</v>
      </c>
      <c r="E106">
        <f>IF(SUM(_ENGINE_Strategy!$AA$11*--(N(_DATA_Dashboard_Facts!$F$5)&gt;0),_ENGINE_Strategy!$AB$11*--(N(_DATA_Dashboard_Facts!$F$6)&gt;0),_ENGINE_Strategy!$AC$11*--(N(_DATA_Dashboard_Facts!$F$7)&gt;0),_ENGINE_Strategy!$AD$11*--(N(_DATA_Dashboard_Facts!$F$8)&gt;0),_ENGINE_Strategy!$AE$11*--(N(_DATA_Dashboard_Facts!$F$9)&gt;0),_ENGINE_Strategy!$AF$11*--(N(_DATA_Dashboard_Facts!$F$10)&gt;0),_ENGINE_Strategy!$AG$11*--(N(_DATA_Dashboard_Facts!$F$11)&gt;0),_ENGINE_Strategy!$AH$11*--(N(_DATA_Dashboard_Facts!$F$12)&gt;0),_ENGINE_Strategy!$AI$11*--(N(_DATA_Dashboard_Facts!$F$13)&gt;0),_ENGINE_Strategy!$AJ$11*--(N(_DATA_Dashboard_Facts!$F$14)&gt;0),_ENGINE_Strategy!$AK$11*--(N(_DATA_Dashboard_Facts!$F$15)&gt;0),_ENGINE_Strategy!$AL$11*--(N(_DATA_Dashboard_Facts!$F$16)&gt;0),_ENGINE_Strategy!$AM$11*--(N(_DATA_Dashboard_Facts!$F$17)&gt;0),_ENGINE_Strategy!$AN$11*--(N(_DATA_Dashboard_Facts!$F$18)&gt;0),_ENGINE_Strategy!$AO$11*--(N(_DATA_Dashboard_Facts!$F$19)&gt;0),_ENGINE_Strategy!$AP$11*--(N(_DATA_Dashboard_Facts!$F$20)&gt;0),_ENGINE_Strategy!$AQ$11*--(N(_DATA_Dashboard_Facts!$F$21)&gt;0))=0,0,ROUND(SUM(_ENGINE_Strategy!$AA$11*(5-N(_DATA_Dashboard_Facts!$H$5))*--(N(_DATA_Dashboard_Facts!$F$5)&gt;0),_ENGINE_Strategy!$AB$11*(5-N(_DATA_Dashboard_Facts!$H$6))*--(N(_DATA_Dashboard_Facts!$F$6)&gt;0),_ENGINE_Strategy!$AC$11*(5-N(_DATA_Dashboard_Facts!$H$7))*--(N(_DATA_Dashboard_Facts!$F$7)&gt;0),_ENGINE_Strategy!$AD$11*(5-N(_DATA_Dashboard_Facts!$H$8))*--(N(_DATA_Dashboard_Facts!$F$8)&gt;0),_ENGINE_Strategy!$AE$11*(5-N(_DATA_Dashboard_Facts!$H$9))*--(N(_DATA_Dashboard_Facts!$F$9)&gt;0),_ENGINE_Strategy!$AF$11*(5-N(_DATA_Dashboard_Facts!$H$10))*--(N(_DATA_Dashboard_Facts!$F$10)&gt;0),_ENGINE_Strategy!$AG$11*(5-N(_DATA_Dashboard_Facts!$H$11))*--(N(_DATA_Dashboard_Facts!$F$11)&gt;0),_ENGINE_Strategy!$AH$11*(5-N(_DATA_Dashboard_Facts!$H$12))*--(N(_DATA_Dashboard_Facts!$F$12)&gt;0),_ENGINE_Strategy!$AI$11*(5-N(_DATA_Dashboard_Facts!$H$13))*--(N(_DATA_Dashboard_Facts!$F$13)&gt;0),_ENGINE_Strategy!$AJ$11*(5-N(_DATA_Dashboard_Facts!$H$14))*--(N(_DATA_Dashboard_Facts!$F$14)&gt;0),_ENGINE_Strategy!$AK$11*(5-N(_DATA_Dashboard_Facts!$H$15))*--(N(_DATA_Dashboard_Facts!$F$15)&gt;0),_ENGINE_Strategy!$AL$11*(5-N(_DATA_Dashboard_Facts!$H$16))*--(N(_DATA_Dashboard_Facts!$F$16)&gt;0),_ENGINE_Strategy!$AM$11*(5-N(_DATA_Dashboard_Facts!$H$17))*--(N(_DATA_Dashboard_Facts!$F$17)&gt;0),_ENGINE_Strategy!$AN$11*(5-N(_DATA_Dashboard_Facts!$H$18))*--(N(_DATA_Dashboard_Facts!$F$18)&gt;0),_ENGINE_Strategy!$AO$11*(5-N(_DATA_Dashboard_Facts!$H$19))*--(N(_DATA_Dashboard_Facts!$F$19)&gt;0),_ENGINE_Strategy!$AP$11*(5-N(_DATA_Dashboard_Facts!$H$20))*--(N(_DATA_Dashboard_Facts!$F$20)&gt;0),_ENGINE_Strategy!$AQ$11*(5-N(_DATA_Dashboard_Facts!$H$21))*--(N(_DATA_Dashboard_Facts!$F$21)&gt;0))/SUM(_ENGINE_Strategy!$AA$11*--(N(_DATA_Dashboard_Facts!$F$5)&gt;0),_ENGINE_Strategy!$AB$11*--(N(_DATA_Dashboard_Facts!$F$6)&gt;0),_ENGINE_Strategy!$AC$11*--(N(_DATA_Dashboard_Facts!$F$7)&gt;0),_ENGINE_Strategy!$AD$11*--(N(_DATA_Dashboard_Facts!$F$8)&gt;0),_ENGINE_Strategy!$AE$11*--(N(_DATA_Dashboard_Facts!$F$9)&gt;0),_ENGINE_Strategy!$AF$11*--(N(_DATA_Dashboard_Facts!$F$10)&gt;0),_ENGINE_Strategy!$AG$11*--(N(_DATA_Dashboard_Facts!$F$11)&gt;0),_ENGINE_Strategy!$AH$11*--(N(_DATA_Dashboard_Facts!$F$12)&gt;0),_ENGINE_Strategy!$AI$11*--(N(_DATA_Dashboard_Facts!$F$13)&gt;0),_ENGINE_Strategy!$AJ$11*--(N(_DATA_Dashboard_Facts!$F$14)&gt;0),_ENGINE_Strategy!$AK$11*--(N(_DATA_Dashboard_Facts!$F$15)&gt;0),_ENGINE_Strategy!$AL$11*--(N(_DATA_Dashboard_Facts!$F$16)&gt;0),_ENGINE_Strategy!$AM$11*--(N(_DATA_Dashboard_Facts!$F$17)&gt;0),_ENGINE_Strategy!$AN$11*--(N(_DATA_Dashboard_Facts!$F$18)&gt;0),_ENGINE_Strategy!$AO$11*--(N(_DATA_Dashboard_Facts!$F$19)&gt;0),_ENGINE_Strategy!$AP$11*--(N(_DATA_Dashboard_Facts!$F$20)&gt;0),_ENGINE_Strategy!$AQ$11*--(N(_DATA_Dashboard_Facts!$F$21)&gt;0)),2))</f>
        <v>5</v>
      </c>
      <c r="F106">
        <f>IF(SUM(_ENGINE_Strategy!$AA$11*--(N(_DATA_Dashboard_Facts!$F$5)&gt;0),_ENGINE_Strategy!$AB$11*--(N(_DATA_Dashboard_Facts!$F$6)&gt;0),_ENGINE_Strategy!$AC$11*--(N(_DATA_Dashboard_Facts!$F$7)&gt;0),_ENGINE_Strategy!$AD$11*--(N(_DATA_Dashboard_Facts!$F$8)&gt;0),_ENGINE_Strategy!$AE$11*--(N(_DATA_Dashboard_Facts!$F$9)&gt;0),_ENGINE_Strategy!$AF$11*--(N(_DATA_Dashboard_Facts!$F$10)&gt;0),_ENGINE_Strategy!$AG$11*--(N(_DATA_Dashboard_Facts!$F$11)&gt;0),_ENGINE_Strategy!$AH$11*--(N(_DATA_Dashboard_Facts!$F$12)&gt;0),_ENGINE_Strategy!$AI$11*--(N(_DATA_Dashboard_Facts!$F$13)&gt;0),_ENGINE_Strategy!$AJ$11*--(N(_DATA_Dashboard_Facts!$F$14)&gt;0),_ENGINE_Strategy!$AK$11*--(N(_DATA_Dashboard_Facts!$F$15)&gt;0),_ENGINE_Strategy!$AL$11*--(N(_DATA_Dashboard_Facts!$F$16)&gt;0),_ENGINE_Strategy!$AM$11*--(N(_DATA_Dashboard_Facts!$F$17)&gt;0),_ENGINE_Strategy!$AN$11*--(N(_DATA_Dashboard_Facts!$F$18)&gt;0),_ENGINE_Strategy!$AO$11*--(N(_DATA_Dashboard_Facts!$F$19)&gt;0),_ENGINE_Strategy!$AP$11*--(N(_DATA_Dashboard_Facts!$F$20)&gt;0),_ENGINE_Strategy!$AQ$11*--(N(_DATA_Dashboard_Facts!$F$21)&gt;0))=0,0,ROUND(MIN(5,(SUM(_ENGINE_Strategy!$AA$11*(N(_DATA_Dashboard_Facts!$J$5)+cfg_RiskSecondaryWeight*N(_DATA_Dashboard_Facts!$K$5))*--(N(_DATA_Dashboard_Facts!$F$5)&gt;0),_ENGINE_Strategy!$AB$11*(N(_DATA_Dashboard_Facts!$J$6)+cfg_RiskSecondaryWeight*N(_DATA_Dashboard_Facts!$K$6))*--(N(_DATA_Dashboard_Facts!$F$6)&gt;0),_ENGINE_Strategy!$AC$11*(N(_DATA_Dashboard_Facts!$J$7)+cfg_RiskSecondaryWeight*N(_DATA_Dashboard_Facts!$K$7))*--(N(_DATA_Dashboard_Facts!$F$7)&gt;0),_ENGINE_Strategy!$AD$11*(N(_DATA_Dashboard_Facts!$J$8)+cfg_RiskSecondaryWeight*N(_DATA_Dashboard_Facts!$K$8))*--(N(_DATA_Dashboard_Facts!$F$8)&gt;0),_ENGINE_Strategy!$AE$11*(N(_DATA_Dashboard_Facts!$J$9)+cfg_RiskSecondaryWeight*N(_DATA_Dashboard_Facts!$K$9))*--(N(_DATA_Dashboard_Facts!$F$9)&gt;0),_ENGINE_Strategy!$AF$11*(N(_DATA_Dashboard_Facts!$J$10)+cfg_RiskSecondaryWeight*N(_DATA_Dashboard_Facts!$K$10))*--(N(_DATA_Dashboard_Facts!$F$10)&gt;0),_ENGINE_Strategy!$AG$11*(N(_DATA_Dashboard_Facts!$J$11)+cfg_RiskSecondaryWeight*N(_DATA_Dashboard_Facts!$K$11))*--(N(_DATA_Dashboard_Facts!$F$11)&gt;0),_ENGINE_Strategy!$AH$11*(N(_DATA_Dashboard_Facts!$J$12)+cfg_RiskSecondaryWeight*N(_DATA_Dashboard_Facts!$K$12))*--(N(_DATA_Dashboard_Facts!$F$12)&gt;0),_ENGINE_Strategy!$AI$11*(N(_DATA_Dashboard_Facts!$J$13)+cfg_RiskSecondaryWeight*N(_DATA_Dashboard_Facts!$K$13))*--(N(_DATA_Dashboard_Facts!$F$13)&gt;0),_ENGINE_Strategy!$AJ$11*(N(_DATA_Dashboard_Facts!$J$14)+cfg_RiskSecondaryWeight*N(_DATA_Dashboard_Facts!$K$14))*--(N(_DATA_Dashboard_Facts!$F$14)&gt;0),_ENGINE_Strategy!$AK$11*(N(_DATA_Dashboard_Facts!$J$15)+cfg_RiskSecondaryWeight*N(_DATA_Dashboard_Facts!$K$15))*--(N(_DATA_Dashboard_Facts!$F$15)&gt;0),_ENGINE_Strategy!$AL$11*(N(_DATA_Dashboard_Facts!$J$16)+cfg_RiskSecondaryWeight*N(_DATA_Dashboard_Facts!$K$16))*--(N(_DATA_Dashboard_Facts!$F$16)&gt;0),_ENGINE_Strategy!$AM$11*(N(_DATA_Dashboard_Facts!$J$17)+cfg_RiskSecondaryWeight*N(_DATA_Dashboard_Facts!$K$17))*--(N(_DATA_Dashboard_Facts!$F$17)&gt;0),_ENGINE_Strategy!$AN$11*(N(_DATA_Dashboard_Facts!$J$18)+cfg_RiskSecondaryWeight*N(_DATA_Dashboard_Facts!$K$18))*--(N(_DATA_Dashboard_Facts!$F$18)&gt;0),_ENGINE_Strategy!$AO$11*(N(_DATA_Dashboard_Facts!$J$19)+cfg_RiskSecondaryWeight*N(_DATA_Dashboard_Facts!$K$19))*--(N(_DATA_Dashboard_Facts!$F$19)&gt;0),_ENGINE_Strategy!$AP$11*(N(_DATA_Dashboard_Facts!$J$20)+cfg_RiskSecondaryWeight*N(_DATA_Dashboard_Facts!$K$20))*--(N(_DATA_Dashboard_Facts!$F$20)&gt;0),_ENGINE_Strategy!$AQ$11*(N(_DATA_Dashboard_Facts!$J$21)+cfg_RiskSecondaryWeight*N(_DATA_Dashboard_Facts!$K$21))*--(N(_DATA_Dashboard_Facts!$F$21)&gt;0))/SUM(_ENGINE_Strategy!$AA$11*--(N(_DATA_Dashboard_Facts!$F$5)&gt;0),_ENGINE_Strategy!$AB$11*--(N(_DATA_Dashboard_Facts!$F$6)&gt;0),_ENGINE_Strategy!$AC$11*--(N(_DATA_Dashboard_Facts!$F$7)&gt;0),_ENGINE_Strategy!$AD$11*--(N(_DATA_Dashboard_Facts!$F$8)&gt;0),_ENGINE_Strategy!$AE$11*--(N(_DATA_Dashboard_Facts!$F$9)&gt;0),_ENGINE_Strategy!$AF$11*--(N(_DATA_Dashboard_Facts!$F$10)&gt;0),_ENGINE_Strategy!$AG$11*--(N(_DATA_Dashboard_Facts!$F$11)&gt;0),_ENGINE_Strategy!$AH$11*--(N(_DATA_Dashboard_Facts!$F$12)&gt;0),_ENGINE_Strategy!$AI$11*--(N(_DATA_Dashboard_Facts!$F$13)&gt;0),_ENGINE_Strategy!$AJ$11*--(N(_DATA_Dashboard_Facts!$F$14)&gt;0),_ENGINE_Strategy!$AK$11*--(N(_DATA_Dashboard_Facts!$F$15)&gt;0),_ENGINE_Strategy!$AL$11*--(N(_DATA_Dashboard_Facts!$F$16)&gt;0),_ENGINE_Strategy!$AM$11*--(N(_DATA_Dashboard_Facts!$F$17)&gt;0),_ENGINE_Strategy!$AN$11*--(N(_DATA_Dashboard_Facts!$F$18)&gt;0),_ENGINE_Strategy!$AO$11*--(N(_DATA_Dashboard_Facts!$F$19)&gt;0),_ENGINE_Strategy!$AP$11*--(N(_DATA_Dashboard_Facts!$F$20)&gt;0),_ENGINE_Strategy!$AQ$11*--(N(_DATA_Dashboard_Facts!$F$21)&gt;0)))/MAX(0.1,cfg_RiskFitScale)),2))</f>
        <v>4.9800000000000004</v>
      </c>
      <c r="G106">
        <f>IFERROR(ROUND((5-_DATA_Dashboard_Facts!$R$9)*(_ENGINE_Strategy!K11/5),2),0)</f>
        <v>4</v>
      </c>
      <c r="H106">
        <f>IFERROR(ROUND((5-_DATA_Dashboard_Facts!$R$9)*(_ENGINE_Strategy!L11/5),2),0)</f>
        <v>3</v>
      </c>
      <c r="I106">
        <f>IFERROR(ROUND((5-_DATA_Dashboard_Facts!$R$9)*(_ENGINE_Strategy!M11/5),2),0)</f>
        <v>5</v>
      </c>
      <c r="J106">
        <f t="shared" si="1"/>
        <v>68.900000000000006</v>
      </c>
      <c r="K106" t="str">
        <f>IF(_DATA_Dashboard_Facts!$R$7&gt;=0.8,"High",IF(_DATA_Dashboard_Facts!$R$7&gt;=0.5,"Medium","Low - assessment incomplete"))</f>
        <v>High</v>
      </c>
      <c r="L106" t="str">
        <f t="shared" si="2"/>
        <v>Watchlist</v>
      </c>
      <c r="M106" t="str">
        <f>_ENGINE_Strategy!E11</f>
        <v>Cost-to-serve decreases and execution reliability improves.</v>
      </c>
      <c r="N106" t="str">
        <f>"Crisis fit: "&amp;D106&amp;"; domain gap fit: "&amp;E106&amp;"; risk fit: "&amp;F106&amp;". Trigger domains: "&amp;_ENGINE_Strategy!AR11</f>
        <v>Crisis fit: 0; domain gap fit: 5; risk fit: 4.98. Trigger domains: Delivery Ops; Manufacturing MES; Business Systems; Quality Portfolio</v>
      </c>
      <c r="O106" t="str">
        <f>_ENGINE_Strategy!F11</f>
        <v>Process mapping, KPI cadence, automation, workflow redesign, standard work, performance management.</v>
      </c>
      <c r="P106" t="str">
        <f>_ENGINE_Strategy!G11</f>
        <v>COO / Transformation Lead</v>
      </c>
      <c r="Q106" t="str">
        <f>_ENGINE_Strategy!H11</f>
        <v>3-12 months</v>
      </c>
      <c r="R106" t="str">
        <f>_ENGINE_Strategy!I11</f>
        <v>Cycle time; automation rate; defect rate; productivity; process owner coverage</v>
      </c>
      <c r="S106">
        <f>_ENGINE_Strategy!N11</f>
        <v>4</v>
      </c>
      <c r="T106">
        <f>COUNTIF(_ENGINE_Initiatives!$D$5:$D$76,$B106)</f>
        <v>6</v>
      </c>
      <c r="U106" t="str">
        <f>IFERROR(INDEX(_ENGINE_Initiatives!$AE$5:$AE$76,MATCH($B106,_ENGINE_Initiatives!$D$5:$D$76,0)),"")</f>
        <v>3-6 months</v>
      </c>
      <c r="V106">
        <f>IFERROR(ROUND(AVERAGEIF(_ENGINE_Initiatives!$D$5:$D$76,$B106,_ENGINE_Initiatives!$AC$5:$AC$76),2),"")</f>
        <v>2.0499999999999998</v>
      </c>
      <c r="W106">
        <f>IFERROR(SUMIFS(_REF_Model_Content!$D$300:$D$429,_REF_Model_Content!$A$300:$A$429,PV_Canonical_Industry,_REF_Model_Content!$B$300:$B$429,$C106),3)</f>
        <v>0</v>
      </c>
      <c r="X106">
        <f>IF(OR($J106="",AND($C106="STR-09",SUMIF(_DATA_Dashboard_Facts!$A$5:$A$21,"Manufacturing MES",_DATA_Dashboard_Facts!$F$5:$F$21)=0)),"",ROUND($J106*(1+($W106-3)*0.06),2))</f>
        <v>56.5</v>
      </c>
    </row>
    <row r="107" spans="1:24">
      <c r="A107">
        <f t="shared" si="0"/>
        <v>4</v>
      </c>
      <c r="B107" t="str">
        <f>_ENGINE_Strategy!B12</f>
        <v>Supply Chain and Delivery Resilience Strategy</v>
      </c>
      <c r="C107" t="str">
        <f>_ENGINE_Strategy!A12</f>
        <v>STR-08</v>
      </c>
      <c r="D107">
        <f>IFERROR(ROUND(INDEX(_ENGINE_Strategy!$P12:$Z12,1,MATCH('Resilience &amp; Risk Scenario'!$B$6,_ENGINE_Strategy!$P$4:$Z$4,0))*cfg_ScenarioFitScale,2),0)</f>
        <v>0</v>
      </c>
      <c r="E107">
        <f>IF(SUM(_ENGINE_Strategy!$AA$12*--(N(_DATA_Dashboard_Facts!$F$5)&gt;0),_ENGINE_Strategy!$AB$12*--(N(_DATA_Dashboard_Facts!$F$6)&gt;0),_ENGINE_Strategy!$AC$12*--(N(_DATA_Dashboard_Facts!$F$7)&gt;0),_ENGINE_Strategy!$AD$12*--(N(_DATA_Dashboard_Facts!$F$8)&gt;0),_ENGINE_Strategy!$AE$12*--(N(_DATA_Dashboard_Facts!$F$9)&gt;0),_ENGINE_Strategy!$AF$12*--(N(_DATA_Dashboard_Facts!$F$10)&gt;0),_ENGINE_Strategy!$AG$12*--(N(_DATA_Dashboard_Facts!$F$11)&gt;0),_ENGINE_Strategy!$AH$12*--(N(_DATA_Dashboard_Facts!$F$12)&gt;0),_ENGINE_Strategy!$AI$12*--(N(_DATA_Dashboard_Facts!$F$13)&gt;0),_ENGINE_Strategy!$AJ$12*--(N(_DATA_Dashboard_Facts!$F$14)&gt;0),_ENGINE_Strategy!$AK$12*--(N(_DATA_Dashboard_Facts!$F$15)&gt;0),_ENGINE_Strategy!$AL$12*--(N(_DATA_Dashboard_Facts!$F$16)&gt;0),_ENGINE_Strategy!$AM$12*--(N(_DATA_Dashboard_Facts!$F$17)&gt;0),_ENGINE_Strategy!$AN$12*--(N(_DATA_Dashboard_Facts!$F$18)&gt;0),_ENGINE_Strategy!$AO$12*--(N(_DATA_Dashboard_Facts!$F$19)&gt;0),_ENGINE_Strategy!$AP$12*--(N(_DATA_Dashboard_Facts!$F$20)&gt;0),_ENGINE_Strategy!$AQ$12*--(N(_DATA_Dashboard_Facts!$F$21)&gt;0))=0,0,ROUND(SUM(_ENGINE_Strategy!$AA$12*(5-N(_DATA_Dashboard_Facts!$H$5))*--(N(_DATA_Dashboard_Facts!$F$5)&gt;0),_ENGINE_Strategy!$AB$12*(5-N(_DATA_Dashboard_Facts!$H$6))*--(N(_DATA_Dashboard_Facts!$F$6)&gt;0),_ENGINE_Strategy!$AC$12*(5-N(_DATA_Dashboard_Facts!$H$7))*--(N(_DATA_Dashboard_Facts!$F$7)&gt;0),_ENGINE_Strategy!$AD$12*(5-N(_DATA_Dashboard_Facts!$H$8))*--(N(_DATA_Dashboard_Facts!$F$8)&gt;0),_ENGINE_Strategy!$AE$12*(5-N(_DATA_Dashboard_Facts!$H$9))*--(N(_DATA_Dashboard_Facts!$F$9)&gt;0),_ENGINE_Strategy!$AF$12*(5-N(_DATA_Dashboard_Facts!$H$10))*--(N(_DATA_Dashboard_Facts!$F$10)&gt;0),_ENGINE_Strategy!$AG$12*(5-N(_DATA_Dashboard_Facts!$H$11))*--(N(_DATA_Dashboard_Facts!$F$11)&gt;0),_ENGINE_Strategy!$AH$12*(5-N(_DATA_Dashboard_Facts!$H$12))*--(N(_DATA_Dashboard_Facts!$F$12)&gt;0),_ENGINE_Strategy!$AI$12*(5-N(_DATA_Dashboard_Facts!$H$13))*--(N(_DATA_Dashboard_Facts!$F$13)&gt;0),_ENGINE_Strategy!$AJ$12*(5-N(_DATA_Dashboard_Facts!$H$14))*--(N(_DATA_Dashboard_Facts!$F$14)&gt;0),_ENGINE_Strategy!$AK$12*(5-N(_DATA_Dashboard_Facts!$H$15))*--(N(_DATA_Dashboard_Facts!$F$15)&gt;0),_ENGINE_Strategy!$AL$12*(5-N(_DATA_Dashboard_Facts!$H$16))*--(N(_DATA_Dashboard_Facts!$F$16)&gt;0),_ENGINE_Strategy!$AM$12*(5-N(_DATA_Dashboard_Facts!$H$17))*--(N(_DATA_Dashboard_Facts!$F$17)&gt;0),_ENGINE_Strategy!$AN$12*(5-N(_DATA_Dashboard_Facts!$H$18))*--(N(_DATA_Dashboard_Facts!$F$18)&gt;0),_ENGINE_Strategy!$AO$12*(5-N(_DATA_Dashboard_Facts!$H$19))*--(N(_DATA_Dashboard_Facts!$F$19)&gt;0),_ENGINE_Strategy!$AP$12*(5-N(_DATA_Dashboard_Facts!$H$20))*--(N(_DATA_Dashboard_Facts!$F$20)&gt;0),_ENGINE_Strategy!$AQ$12*(5-N(_DATA_Dashboard_Facts!$H$21))*--(N(_DATA_Dashboard_Facts!$F$21)&gt;0))/SUM(_ENGINE_Strategy!$AA$12*--(N(_DATA_Dashboard_Facts!$F$5)&gt;0),_ENGINE_Strategy!$AB$12*--(N(_DATA_Dashboard_Facts!$F$6)&gt;0),_ENGINE_Strategy!$AC$12*--(N(_DATA_Dashboard_Facts!$F$7)&gt;0),_ENGINE_Strategy!$AD$12*--(N(_DATA_Dashboard_Facts!$F$8)&gt;0),_ENGINE_Strategy!$AE$12*--(N(_DATA_Dashboard_Facts!$F$9)&gt;0),_ENGINE_Strategy!$AF$12*--(N(_DATA_Dashboard_Facts!$F$10)&gt;0),_ENGINE_Strategy!$AG$12*--(N(_DATA_Dashboard_Facts!$F$11)&gt;0),_ENGINE_Strategy!$AH$12*--(N(_DATA_Dashboard_Facts!$F$12)&gt;0),_ENGINE_Strategy!$AI$12*--(N(_DATA_Dashboard_Facts!$F$13)&gt;0),_ENGINE_Strategy!$AJ$12*--(N(_DATA_Dashboard_Facts!$F$14)&gt;0),_ENGINE_Strategy!$AK$12*--(N(_DATA_Dashboard_Facts!$F$15)&gt;0),_ENGINE_Strategy!$AL$12*--(N(_DATA_Dashboard_Facts!$F$16)&gt;0),_ENGINE_Strategy!$AM$12*--(N(_DATA_Dashboard_Facts!$F$17)&gt;0),_ENGINE_Strategy!$AN$12*--(N(_DATA_Dashboard_Facts!$F$18)&gt;0),_ENGINE_Strategy!$AO$12*--(N(_DATA_Dashboard_Facts!$F$19)&gt;0),_ENGINE_Strategy!$AP$12*--(N(_DATA_Dashboard_Facts!$F$20)&gt;0),_ENGINE_Strategy!$AQ$12*--(N(_DATA_Dashboard_Facts!$F$21)&gt;0)),2))</f>
        <v>5</v>
      </c>
      <c r="F107">
        <f>IF(SUM(_ENGINE_Strategy!$AA$12*--(N(_DATA_Dashboard_Facts!$F$5)&gt;0),_ENGINE_Strategy!$AB$12*--(N(_DATA_Dashboard_Facts!$F$6)&gt;0),_ENGINE_Strategy!$AC$12*--(N(_DATA_Dashboard_Facts!$F$7)&gt;0),_ENGINE_Strategy!$AD$12*--(N(_DATA_Dashboard_Facts!$F$8)&gt;0),_ENGINE_Strategy!$AE$12*--(N(_DATA_Dashboard_Facts!$F$9)&gt;0),_ENGINE_Strategy!$AF$12*--(N(_DATA_Dashboard_Facts!$F$10)&gt;0),_ENGINE_Strategy!$AG$12*--(N(_DATA_Dashboard_Facts!$F$11)&gt;0),_ENGINE_Strategy!$AH$12*--(N(_DATA_Dashboard_Facts!$F$12)&gt;0),_ENGINE_Strategy!$AI$12*--(N(_DATA_Dashboard_Facts!$F$13)&gt;0),_ENGINE_Strategy!$AJ$12*--(N(_DATA_Dashboard_Facts!$F$14)&gt;0),_ENGINE_Strategy!$AK$12*--(N(_DATA_Dashboard_Facts!$F$15)&gt;0),_ENGINE_Strategy!$AL$12*--(N(_DATA_Dashboard_Facts!$F$16)&gt;0),_ENGINE_Strategy!$AM$12*--(N(_DATA_Dashboard_Facts!$F$17)&gt;0),_ENGINE_Strategy!$AN$12*--(N(_DATA_Dashboard_Facts!$F$18)&gt;0),_ENGINE_Strategy!$AO$12*--(N(_DATA_Dashboard_Facts!$F$19)&gt;0),_ENGINE_Strategy!$AP$12*--(N(_DATA_Dashboard_Facts!$F$20)&gt;0),_ENGINE_Strategy!$AQ$12*--(N(_DATA_Dashboard_Facts!$F$21)&gt;0))=0,0,ROUND(MIN(5,(SUM(_ENGINE_Strategy!$AA$12*(N(_DATA_Dashboard_Facts!$J$5)+cfg_RiskSecondaryWeight*N(_DATA_Dashboard_Facts!$K$5))*--(N(_DATA_Dashboard_Facts!$F$5)&gt;0),_ENGINE_Strategy!$AB$12*(N(_DATA_Dashboard_Facts!$J$6)+cfg_RiskSecondaryWeight*N(_DATA_Dashboard_Facts!$K$6))*--(N(_DATA_Dashboard_Facts!$F$6)&gt;0),_ENGINE_Strategy!$AC$12*(N(_DATA_Dashboard_Facts!$J$7)+cfg_RiskSecondaryWeight*N(_DATA_Dashboard_Facts!$K$7))*--(N(_DATA_Dashboard_Facts!$F$7)&gt;0),_ENGINE_Strategy!$AD$12*(N(_DATA_Dashboard_Facts!$J$8)+cfg_RiskSecondaryWeight*N(_DATA_Dashboard_Facts!$K$8))*--(N(_DATA_Dashboard_Facts!$F$8)&gt;0),_ENGINE_Strategy!$AE$12*(N(_DATA_Dashboard_Facts!$J$9)+cfg_RiskSecondaryWeight*N(_DATA_Dashboard_Facts!$K$9))*--(N(_DATA_Dashboard_Facts!$F$9)&gt;0),_ENGINE_Strategy!$AF$12*(N(_DATA_Dashboard_Facts!$J$10)+cfg_RiskSecondaryWeight*N(_DATA_Dashboard_Facts!$K$10))*--(N(_DATA_Dashboard_Facts!$F$10)&gt;0),_ENGINE_Strategy!$AG$12*(N(_DATA_Dashboard_Facts!$J$11)+cfg_RiskSecondaryWeight*N(_DATA_Dashboard_Facts!$K$11))*--(N(_DATA_Dashboard_Facts!$F$11)&gt;0),_ENGINE_Strategy!$AH$12*(N(_DATA_Dashboard_Facts!$J$12)+cfg_RiskSecondaryWeight*N(_DATA_Dashboard_Facts!$K$12))*--(N(_DATA_Dashboard_Facts!$F$12)&gt;0),_ENGINE_Strategy!$AI$12*(N(_DATA_Dashboard_Facts!$J$13)+cfg_RiskSecondaryWeight*N(_DATA_Dashboard_Facts!$K$13))*--(N(_DATA_Dashboard_Facts!$F$13)&gt;0),_ENGINE_Strategy!$AJ$12*(N(_DATA_Dashboard_Facts!$J$14)+cfg_RiskSecondaryWeight*N(_DATA_Dashboard_Facts!$K$14))*--(N(_DATA_Dashboard_Facts!$F$14)&gt;0),_ENGINE_Strategy!$AK$12*(N(_DATA_Dashboard_Facts!$J$15)+cfg_RiskSecondaryWeight*N(_DATA_Dashboard_Facts!$K$15))*--(N(_DATA_Dashboard_Facts!$F$15)&gt;0),_ENGINE_Strategy!$AL$12*(N(_DATA_Dashboard_Facts!$J$16)+cfg_RiskSecondaryWeight*N(_DATA_Dashboard_Facts!$K$16))*--(N(_DATA_Dashboard_Facts!$F$16)&gt;0),_ENGINE_Strategy!$AM$12*(N(_DATA_Dashboard_Facts!$J$17)+cfg_RiskSecondaryWeight*N(_DATA_Dashboard_Facts!$K$17))*--(N(_DATA_Dashboard_Facts!$F$17)&gt;0),_ENGINE_Strategy!$AN$12*(N(_DATA_Dashboard_Facts!$J$18)+cfg_RiskSecondaryWeight*N(_DATA_Dashboard_Facts!$K$18))*--(N(_DATA_Dashboard_Facts!$F$18)&gt;0),_ENGINE_Strategy!$AO$12*(N(_DATA_Dashboard_Facts!$J$19)+cfg_RiskSecondaryWeight*N(_DATA_Dashboard_Facts!$K$19))*--(N(_DATA_Dashboard_Facts!$F$19)&gt;0),_ENGINE_Strategy!$AP$12*(N(_DATA_Dashboard_Facts!$J$20)+cfg_RiskSecondaryWeight*N(_DATA_Dashboard_Facts!$K$20))*--(N(_DATA_Dashboard_Facts!$F$20)&gt;0),_ENGINE_Strategy!$AQ$12*(N(_DATA_Dashboard_Facts!$J$21)+cfg_RiskSecondaryWeight*N(_DATA_Dashboard_Facts!$K$21))*--(N(_DATA_Dashboard_Facts!$F$21)&gt;0))/SUM(_ENGINE_Strategy!$AA$12*--(N(_DATA_Dashboard_Facts!$F$5)&gt;0),_ENGINE_Strategy!$AB$12*--(N(_DATA_Dashboard_Facts!$F$6)&gt;0),_ENGINE_Strategy!$AC$12*--(N(_DATA_Dashboard_Facts!$F$7)&gt;0),_ENGINE_Strategy!$AD$12*--(N(_DATA_Dashboard_Facts!$F$8)&gt;0),_ENGINE_Strategy!$AE$12*--(N(_DATA_Dashboard_Facts!$F$9)&gt;0),_ENGINE_Strategy!$AF$12*--(N(_DATA_Dashboard_Facts!$F$10)&gt;0),_ENGINE_Strategy!$AG$12*--(N(_DATA_Dashboard_Facts!$F$11)&gt;0),_ENGINE_Strategy!$AH$12*--(N(_DATA_Dashboard_Facts!$F$12)&gt;0),_ENGINE_Strategy!$AI$12*--(N(_DATA_Dashboard_Facts!$F$13)&gt;0),_ENGINE_Strategy!$AJ$12*--(N(_DATA_Dashboard_Facts!$F$14)&gt;0),_ENGINE_Strategy!$AK$12*--(N(_DATA_Dashboard_Facts!$F$15)&gt;0),_ENGINE_Strategy!$AL$12*--(N(_DATA_Dashboard_Facts!$F$16)&gt;0),_ENGINE_Strategy!$AM$12*--(N(_DATA_Dashboard_Facts!$F$17)&gt;0),_ENGINE_Strategy!$AN$12*--(N(_DATA_Dashboard_Facts!$F$18)&gt;0),_ENGINE_Strategy!$AO$12*--(N(_DATA_Dashboard_Facts!$F$19)&gt;0),_ENGINE_Strategy!$AP$12*--(N(_DATA_Dashboard_Facts!$F$20)&gt;0),_ENGINE_Strategy!$AQ$12*--(N(_DATA_Dashboard_Facts!$F$21)&gt;0)))/MAX(0.1,cfg_RiskFitScale)),2))</f>
        <v>5</v>
      </c>
      <c r="G107">
        <f>IFERROR(ROUND((5-_DATA_Dashboard_Facts!$R$9)*(_ENGINE_Strategy!K12/5),2),0)</f>
        <v>3</v>
      </c>
      <c r="H107">
        <f>IFERROR(ROUND((5-_DATA_Dashboard_Facts!$R$9)*(_ENGINE_Strategy!L12/5),2),0)</f>
        <v>5</v>
      </c>
      <c r="I107">
        <f>IFERROR(ROUND((5-_DATA_Dashboard_Facts!$R$9)*(_ENGINE_Strategy!M12/5),2),0)</f>
        <v>4</v>
      </c>
      <c r="J107">
        <f t="shared" si="1"/>
        <v>69</v>
      </c>
      <c r="K107" t="str">
        <f>IF(_DATA_Dashboard_Facts!$R$7&gt;=0.8,"High",IF(_DATA_Dashboard_Facts!$R$7&gt;=0.5,"Medium","Low - assessment incomplete"))</f>
        <v>High</v>
      </c>
      <c r="L107" t="str">
        <f t="shared" si="2"/>
        <v>Watchlist</v>
      </c>
      <c r="M107" t="str">
        <f>_ENGINE_Strategy!E12</f>
        <v>Alternative suppliers, locations and delivery models are strengthened.</v>
      </c>
      <c r="N107" t="str">
        <f>"Crisis fit: "&amp;D107&amp;"; domain gap fit: "&amp;E107&amp;"; risk fit: "&amp;F107&amp;". Trigger domains: "&amp;_ENGINE_Strategy!AR12</f>
        <v>Crisis fit: 0; domain gap fit: 5; risk fit: 5. Trigger domains: Supply Chain; Delivery Ops; Manufacturing MES</v>
      </c>
      <c r="O107" t="str">
        <f>_ENGINE_Strategy!F12</f>
        <v>Supplier map, dual sourcing, inventory visibility, route alternatives, SLA triage, delivery fallback.</v>
      </c>
      <c r="P107" t="str">
        <f>_ENGINE_Strategy!G12</f>
        <v>COO / Procurement Lead</v>
      </c>
      <c r="Q107" t="str">
        <f>_ENGINE_Strategy!H12</f>
        <v>0-9 months</v>
      </c>
      <c r="R107" t="str">
        <f>_ENGINE_Strategy!I12</f>
        <v>Critical suppliers with alternatives; OTIF; safety stock coverage; route alternatives; supplier risk score</v>
      </c>
      <c r="S107">
        <f>_ENGINE_Strategy!N12</f>
        <v>4</v>
      </c>
      <c r="T107">
        <f>COUNTIF(_ENGINE_Initiatives!$D$5:$D$76,$B107)</f>
        <v>5</v>
      </c>
      <c r="U107" t="str">
        <f>IFERROR(INDEX(_ENGINE_Initiatives!$AE$5:$AE$76,MATCH($B107,_ENGINE_Initiatives!$D$5:$D$76,0)),"")</f>
        <v>3-6 months</v>
      </c>
      <c r="V107">
        <f>IFERROR(ROUND(AVERAGEIF(_ENGINE_Initiatives!$D$5:$D$76,$B107,_ENGINE_Initiatives!$AC$5:$AC$76),2),"")</f>
        <v>1.77</v>
      </c>
      <c r="W107">
        <f>IFERROR(SUMIFS(_REF_Model_Content!$D$300:$D$429,_REF_Model_Content!$A$300:$A$429,PV_Canonical_Industry,_REF_Model_Content!$B$300:$B$429,$C107),3)</f>
        <v>0</v>
      </c>
      <c r="X107">
        <f>IF(OR($J107="",AND($C107="STR-09",SUMIF(_DATA_Dashboard_Facts!$A$5:$A$21,"Manufacturing MES",_DATA_Dashboard_Facts!$F$5:$F$21)=0)),"",ROUND($J107*(1+($W107-3)*0.06),2))</f>
        <v>56.58</v>
      </c>
    </row>
    <row r="108" spans="1:24">
      <c r="A108">
        <f t="shared" si="0"/>
        <v>1</v>
      </c>
      <c r="B108" t="str">
        <f>_ENGINE_Strategy!B13</f>
        <v>Manufacturing Continuity and MES Strategy</v>
      </c>
      <c r="C108" t="str">
        <f>_ENGINE_Strategy!A13</f>
        <v>STR-09</v>
      </c>
      <c r="D108">
        <f>IFERROR(ROUND(INDEX(_ENGINE_Strategy!$P13:$Z13,1,MATCH('Resilience &amp; Risk Scenario'!$B$6,_ENGINE_Strategy!$P$4:$Z$4,0))*cfg_ScenarioFitScale,2),0)</f>
        <v>0</v>
      </c>
      <c r="E108">
        <f>IF(SUM(_ENGINE_Strategy!$AA$13*--(N(_DATA_Dashboard_Facts!$F$5)&gt;0),_ENGINE_Strategy!$AB$13*--(N(_DATA_Dashboard_Facts!$F$6)&gt;0),_ENGINE_Strategy!$AC$13*--(N(_DATA_Dashboard_Facts!$F$7)&gt;0),_ENGINE_Strategy!$AD$13*--(N(_DATA_Dashboard_Facts!$F$8)&gt;0),_ENGINE_Strategy!$AE$13*--(N(_DATA_Dashboard_Facts!$F$9)&gt;0),_ENGINE_Strategy!$AF$13*--(N(_DATA_Dashboard_Facts!$F$10)&gt;0),_ENGINE_Strategy!$AG$13*--(N(_DATA_Dashboard_Facts!$F$11)&gt;0),_ENGINE_Strategy!$AH$13*--(N(_DATA_Dashboard_Facts!$F$12)&gt;0),_ENGINE_Strategy!$AI$13*--(N(_DATA_Dashboard_Facts!$F$13)&gt;0),_ENGINE_Strategy!$AJ$13*--(N(_DATA_Dashboard_Facts!$F$14)&gt;0),_ENGINE_Strategy!$AK$13*--(N(_DATA_Dashboard_Facts!$F$15)&gt;0),_ENGINE_Strategy!$AL$13*--(N(_DATA_Dashboard_Facts!$F$16)&gt;0),_ENGINE_Strategy!$AM$13*--(N(_DATA_Dashboard_Facts!$F$17)&gt;0),_ENGINE_Strategy!$AN$13*--(N(_DATA_Dashboard_Facts!$F$18)&gt;0),_ENGINE_Strategy!$AO$13*--(N(_DATA_Dashboard_Facts!$F$19)&gt;0),_ENGINE_Strategy!$AP$13*--(N(_DATA_Dashboard_Facts!$F$20)&gt;0),_ENGINE_Strategy!$AQ$13*--(N(_DATA_Dashboard_Facts!$F$21)&gt;0))=0,0,ROUND(SUM(_ENGINE_Strategy!$AA$13*(5-N(_DATA_Dashboard_Facts!$H$5))*--(N(_DATA_Dashboard_Facts!$F$5)&gt;0),_ENGINE_Strategy!$AB$13*(5-N(_DATA_Dashboard_Facts!$H$6))*--(N(_DATA_Dashboard_Facts!$F$6)&gt;0),_ENGINE_Strategy!$AC$13*(5-N(_DATA_Dashboard_Facts!$H$7))*--(N(_DATA_Dashboard_Facts!$F$7)&gt;0),_ENGINE_Strategy!$AD$13*(5-N(_DATA_Dashboard_Facts!$H$8))*--(N(_DATA_Dashboard_Facts!$F$8)&gt;0),_ENGINE_Strategy!$AE$13*(5-N(_DATA_Dashboard_Facts!$H$9))*--(N(_DATA_Dashboard_Facts!$F$9)&gt;0),_ENGINE_Strategy!$AF$13*(5-N(_DATA_Dashboard_Facts!$H$10))*--(N(_DATA_Dashboard_Facts!$F$10)&gt;0),_ENGINE_Strategy!$AG$13*(5-N(_DATA_Dashboard_Facts!$H$11))*--(N(_DATA_Dashboard_Facts!$F$11)&gt;0),_ENGINE_Strategy!$AH$13*(5-N(_DATA_Dashboard_Facts!$H$12))*--(N(_DATA_Dashboard_Facts!$F$12)&gt;0),_ENGINE_Strategy!$AI$13*(5-N(_DATA_Dashboard_Facts!$H$13))*--(N(_DATA_Dashboard_Facts!$F$13)&gt;0),_ENGINE_Strategy!$AJ$13*(5-N(_DATA_Dashboard_Facts!$H$14))*--(N(_DATA_Dashboard_Facts!$F$14)&gt;0),_ENGINE_Strategy!$AK$13*(5-N(_DATA_Dashboard_Facts!$H$15))*--(N(_DATA_Dashboard_Facts!$F$15)&gt;0),_ENGINE_Strategy!$AL$13*(5-N(_DATA_Dashboard_Facts!$H$16))*--(N(_DATA_Dashboard_Facts!$F$16)&gt;0),_ENGINE_Strategy!$AM$13*(5-N(_DATA_Dashboard_Facts!$H$17))*--(N(_DATA_Dashboard_Facts!$F$17)&gt;0),_ENGINE_Strategy!$AN$13*(5-N(_DATA_Dashboard_Facts!$H$18))*--(N(_DATA_Dashboard_Facts!$F$18)&gt;0),_ENGINE_Strategy!$AO$13*(5-N(_DATA_Dashboard_Facts!$H$19))*--(N(_DATA_Dashboard_Facts!$F$19)&gt;0),_ENGINE_Strategy!$AP$13*(5-N(_DATA_Dashboard_Facts!$H$20))*--(N(_DATA_Dashboard_Facts!$F$20)&gt;0),_ENGINE_Strategy!$AQ$13*(5-N(_DATA_Dashboard_Facts!$H$21))*--(N(_DATA_Dashboard_Facts!$F$21)&gt;0))/SUM(_ENGINE_Strategy!$AA$13*--(N(_DATA_Dashboard_Facts!$F$5)&gt;0),_ENGINE_Strategy!$AB$13*--(N(_DATA_Dashboard_Facts!$F$6)&gt;0),_ENGINE_Strategy!$AC$13*--(N(_DATA_Dashboard_Facts!$F$7)&gt;0),_ENGINE_Strategy!$AD$13*--(N(_DATA_Dashboard_Facts!$F$8)&gt;0),_ENGINE_Strategy!$AE$13*--(N(_DATA_Dashboard_Facts!$F$9)&gt;0),_ENGINE_Strategy!$AF$13*--(N(_DATA_Dashboard_Facts!$F$10)&gt;0),_ENGINE_Strategy!$AG$13*--(N(_DATA_Dashboard_Facts!$F$11)&gt;0),_ENGINE_Strategy!$AH$13*--(N(_DATA_Dashboard_Facts!$F$12)&gt;0),_ENGINE_Strategy!$AI$13*--(N(_DATA_Dashboard_Facts!$F$13)&gt;0),_ENGINE_Strategy!$AJ$13*--(N(_DATA_Dashboard_Facts!$F$14)&gt;0),_ENGINE_Strategy!$AK$13*--(N(_DATA_Dashboard_Facts!$F$15)&gt;0),_ENGINE_Strategy!$AL$13*--(N(_DATA_Dashboard_Facts!$F$16)&gt;0),_ENGINE_Strategy!$AM$13*--(N(_DATA_Dashboard_Facts!$F$17)&gt;0),_ENGINE_Strategy!$AN$13*--(N(_DATA_Dashboard_Facts!$F$18)&gt;0),_ENGINE_Strategy!$AO$13*--(N(_DATA_Dashboard_Facts!$F$19)&gt;0),_ENGINE_Strategy!$AP$13*--(N(_DATA_Dashboard_Facts!$F$20)&gt;0),_ENGINE_Strategy!$AQ$13*--(N(_DATA_Dashboard_Facts!$F$21)&gt;0)),2))</f>
        <v>5</v>
      </c>
      <c r="F108">
        <f>IF(SUM(_ENGINE_Strategy!$AA$13*--(N(_DATA_Dashboard_Facts!$F$5)&gt;0),_ENGINE_Strategy!$AB$13*--(N(_DATA_Dashboard_Facts!$F$6)&gt;0),_ENGINE_Strategy!$AC$13*--(N(_DATA_Dashboard_Facts!$F$7)&gt;0),_ENGINE_Strategy!$AD$13*--(N(_DATA_Dashboard_Facts!$F$8)&gt;0),_ENGINE_Strategy!$AE$13*--(N(_DATA_Dashboard_Facts!$F$9)&gt;0),_ENGINE_Strategy!$AF$13*--(N(_DATA_Dashboard_Facts!$F$10)&gt;0),_ENGINE_Strategy!$AG$13*--(N(_DATA_Dashboard_Facts!$F$11)&gt;0),_ENGINE_Strategy!$AH$13*--(N(_DATA_Dashboard_Facts!$F$12)&gt;0),_ENGINE_Strategy!$AI$13*--(N(_DATA_Dashboard_Facts!$F$13)&gt;0),_ENGINE_Strategy!$AJ$13*--(N(_DATA_Dashboard_Facts!$F$14)&gt;0),_ENGINE_Strategy!$AK$13*--(N(_DATA_Dashboard_Facts!$F$15)&gt;0),_ENGINE_Strategy!$AL$13*--(N(_DATA_Dashboard_Facts!$F$16)&gt;0),_ENGINE_Strategy!$AM$13*--(N(_DATA_Dashboard_Facts!$F$17)&gt;0),_ENGINE_Strategy!$AN$13*--(N(_DATA_Dashboard_Facts!$F$18)&gt;0),_ENGINE_Strategy!$AO$13*--(N(_DATA_Dashboard_Facts!$F$19)&gt;0),_ENGINE_Strategy!$AP$13*--(N(_DATA_Dashboard_Facts!$F$20)&gt;0),_ENGINE_Strategy!$AQ$13*--(N(_DATA_Dashboard_Facts!$F$21)&gt;0))=0,0,ROUND(MIN(5,(SUM(_ENGINE_Strategy!$AA$13*(N(_DATA_Dashboard_Facts!$J$5)+cfg_RiskSecondaryWeight*N(_DATA_Dashboard_Facts!$K$5))*--(N(_DATA_Dashboard_Facts!$F$5)&gt;0),_ENGINE_Strategy!$AB$13*(N(_DATA_Dashboard_Facts!$J$6)+cfg_RiskSecondaryWeight*N(_DATA_Dashboard_Facts!$K$6))*--(N(_DATA_Dashboard_Facts!$F$6)&gt;0),_ENGINE_Strategy!$AC$13*(N(_DATA_Dashboard_Facts!$J$7)+cfg_RiskSecondaryWeight*N(_DATA_Dashboard_Facts!$K$7))*--(N(_DATA_Dashboard_Facts!$F$7)&gt;0),_ENGINE_Strategy!$AD$13*(N(_DATA_Dashboard_Facts!$J$8)+cfg_RiskSecondaryWeight*N(_DATA_Dashboard_Facts!$K$8))*--(N(_DATA_Dashboard_Facts!$F$8)&gt;0),_ENGINE_Strategy!$AE$13*(N(_DATA_Dashboard_Facts!$J$9)+cfg_RiskSecondaryWeight*N(_DATA_Dashboard_Facts!$K$9))*--(N(_DATA_Dashboard_Facts!$F$9)&gt;0),_ENGINE_Strategy!$AF$13*(N(_DATA_Dashboard_Facts!$J$10)+cfg_RiskSecondaryWeight*N(_DATA_Dashboard_Facts!$K$10))*--(N(_DATA_Dashboard_Facts!$F$10)&gt;0),_ENGINE_Strategy!$AG$13*(N(_DATA_Dashboard_Facts!$J$11)+cfg_RiskSecondaryWeight*N(_DATA_Dashboard_Facts!$K$11))*--(N(_DATA_Dashboard_Facts!$F$11)&gt;0),_ENGINE_Strategy!$AH$13*(N(_DATA_Dashboard_Facts!$J$12)+cfg_RiskSecondaryWeight*N(_DATA_Dashboard_Facts!$K$12))*--(N(_DATA_Dashboard_Facts!$F$12)&gt;0),_ENGINE_Strategy!$AI$13*(N(_DATA_Dashboard_Facts!$J$13)+cfg_RiskSecondaryWeight*N(_DATA_Dashboard_Facts!$K$13))*--(N(_DATA_Dashboard_Facts!$F$13)&gt;0),_ENGINE_Strategy!$AJ$13*(N(_DATA_Dashboard_Facts!$J$14)+cfg_RiskSecondaryWeight*N(_DATA_Dashboard_Facts!$K$14))*--(N(_DATA_Dashboard_Facts!$F$14)&gt;0),_ENGINE_Strategy!$AK$13*(N(_DATA_Dashboard_Facts!$J$15)+cfg_RiskSecondaryWeight*N(_DATA_Dashboard_Facts!$K$15))*--(N(_DATA_Dashboard_Facts!$F$15)&gt;0),_ENGINE_Strategy!$AL$13*(N(_DATA_Dashboard_Facts!$J$16)+cfg_RiskSecondaryWeight*N(_DATA_Dashboard_Facts!$K$16))*--(N(_DATA_Dashboard_Facts!$F$16)&gt;0),_ENGINE_Strategy!$AM$13*(N(_DATA_Dashboard_Facts!$J$17)+cfg_RiskSecondaryWeight*N(_DATA_Dashboard_Facts!$K$17))*--(N(_DATA_Dashboard_Facts!$F$17)&gt;0),_ENGINE_Strategy!$AN$13*(N(_DATA_Dashboard_Facts!$J$18)+cfg_RiskSecondaryWeight*N(_DATA_Dashboard_Facts!$K$18))*--(N(_DATA_Dashboard_Facts!$F$18)&gt;0),_ENGINE_Strategy!$AO$13*(N(_DATA_Dashboard_Facts!$J$19)+cfg_RiskSecondaryWeight*N(_DATA_Dashboard_Facts!$K$19))*--(N(_DATA_Dashboard_Facts!$F$19)&gt;0),_ENGINE_Strategy!$AP$13*(N(_DATA_Dashboard_Facts!$J$20)+cfg_RiskSecondaryWeight*N(_DATA_Dashboard_Facts!$K$20))*--(N(_DATA_Dashboard_Facts!$F$20)&gt;0),_ENGINE_Strategy!$AQ$13*(N(_DATA_Dashboard_Facts!$J$21)+cfg_RiskSecondaryWeight*N(_DATA_Dashboard_Facts!$K$21))*--(N(_DATA_Dashboard_Facts!$F$21)&gt;0))/SUM(_ENGINE_Strategy!$AA$13*--(N(_DATA_Dashboard_Facts!$F$5)&gt;0),_ENGINE_Strategy!$AB$13*--(N(_DATA_Dashboard_Facts!$F$6)&gt;0),_ENGINE_Strategy!$AC$13*--(N(_DATA_Dashboard_Facts!$F$7)&gt;0),_ENGINE_Strategy!$AD$13*--(N(_DATA_Dashboard_Facts!$F$8)&gt;0),_ENGINE_Strategy!$AE$13*--(N(_DATA_Dashboard_Facts!$F$9)&gt;0),_ENGINE_Strategy!$AF$13*--(N(_DATA_Dashboard_Facts!$F$10)&gt;0),_ENGINE_Strategy!$AG$13*--(N(_DATA_Dashboard_Facts!$F$11)&gt;0),_ENGINE_Strategy!$AH$13*--(N(_DATA_Dashboard_Facts!$F$12)&gt;0),_ENGINE_Strategy!$AI$13*--(N(_DATA_Dashboard_Facts!$F$13)&gt;0),_ENGINE_Strategy!$AJ$13*--(N(_DATA_Dashboard_Facts!$F$14)&gt;0),_ENGINE_Strategy!$AK$13*--(N(_DATA_Dashboard_Facts!$F$15)&gt;0),_ENGINE_Strategy!$AL$13*--(N(_DATA_Dashboard_Facts!$F$16)&gt;0),_ENGINE_Strategy!$AM$13*--(N(_DATA_Dashboard_Facts!$F$17)&gt;0),_ENGINE_Strategy!$AN$13*--(N(_DATA_Dashboard_Facts!$F$18)&gt;0),_ENGINE_Strategy!$AO$13*--(N(_DATA_Dashboard_Facts!$F$19)&gt;0),_ENGINE_Strategy!$AP$13*--(N(_DATA_Dashboard_Facts!$F$20)&gt;0),_ENGINE_Strategy!$AQ$13*--(N(_DATA_Dashboard_Facts!$F$21)&gt;0)))/MAX(0.1,cfg_RiskFitScale)),2))</f>
        <v>5</v>
      </c>
      <c r="G108">
        <f>IFERROR(ROUND((5-_DATA_Dashboard_Facts!$R$9)*(_ENGINE_Strategy!K13/5),2),0)</f>
        <v>4</v>
      </c>
      <c r="H108">
        <f>IFERROR(ROUND((5-_DATA_Dashboard_Facts!$R$9)*(_ENGINE_Strategy!L13/5),2),0)</f>
        <v>5</v>
      </c>
      <c r="I108">
        <f>IFERROR(ROUND((5-_DATA_Dashboard_Facts!$R$9)*(_ENGINE_Strategy!M13/5),2),0)</f>
        <v>4</v>
      </c>
      <c r="J108">
        <f t="shared" si="1"/>
        <v>71</v>
      </c>
      <c r="K108" t="str">
        <f>IF(_DATA_Dashboard_Facts!$R$7&gt;=0.8,"High",IF(_DATA_Dashboard_Facts!$R$7&gt;=0.5,"Medium","Low - assessment incomplete"))</f>
        <v>High</v>
      </c>
      <c r="L108" t="str">
        <f t="shared" si="2"/>
        <v>Primary</v>
      </c>
      <c r="M108" t="str">
        <f>_ENGINE_Strategy!E13</f>
        <v>Production visibility, recoverability and operational control improve.</v>
      </c>
      <c r="N108" t="str">
        <f>"Crisis fit: "&amp;D108&amp;"; domain gap fit: "&amp;E108&amp;"; risk fit: "&amp;F108&amp;". Trigger domains: "&amp;_ENGINE_Strategy!AR13</f>
        <v>Crisis fit: 0; domain gap fit: 5; risk fit: 5. Trigger domains: Manufacturing MES; Physical Safety; Supply Chain</v>
      </c>
      <c r="O108" t="str">
        <f>_ENGINE_Strategy!F13</f>
        <v>MES continuity, OEE visibility, maintenance planning, spare parts, utility backup, production recovery sequence.</v>
      </c>
      <c r="P108" t="str">
        <f>_ENGINE_Strategy!G13</f>
        <v>Plant Manager / COO</v>
      </c>
      <c r="Q108" t="str">
        <f>_ENGINE_Strategy!H13</f>
        <v>3-12 months</v>
      </c>
      <c r="R108" t="str">
        <f>_ENGINE_Strategy!I13</f>
        <v>OEE; unplanned downtime; MES availability; spare parts coverage; production recovery time</v>
      </c>
      <c r="S108">
        <f>_ENGINE_Strategy!N13</f>
        <v>5</v>
      </c>
      <c r="T108">
        <f>COUNTIF(_ENGINE_Initiatives!$D$5:$D$76,$B108)</f>
        <v>6</v>
      </c>
      <c r="U108" t="str">
        <f>IFERROR(INDEX(_ENGINE_Initiatives!$AE$5:$AE$76,MATCH($B108,_ENGINE_Initiatives!$D$5:$D$76,0)),"")</f>
        <v>12+ months</v>
      </c>
      <c r="V108">
        <f>IFERROR(ROUND(AVERAGEIF(_ENGINE_Initiatives!$D$5:$D$76,$B108,_ENGINE_Initiatives!$AC$5:$AC$76),2),"")</f>
        <v>1.35</v>
      </c>
      <c r="W108">
        <f>IFERROR(SUMIFS(_REF_Model_Content!$D$300:$D$429,_REF_Model_Content!$A$300:$A$429,PV_Canonical_Industry,_REF_Model_Content!$B$300:$B$429,$C108),3)</f>
        <v>0</v>
      </c>
      <c r="X108">
        <f>IF(OR($J108="",AND($C108="STR-09",SUMIF(_DATA_Dashboard_Facts!$A$5:$A$21,"Manufacturing MES",_DATA_Dashboard_Facts!$F$5:$F$21)=0)),"",ROUND($J108*(1+($W108-3)*0.06),2))</f>
        <v>58.22</v>
      </c>
    </row>
    <row r="109" spans="1:24">
      <c r="A109">
        <f t="shared" si="0"/>
        <v>8</v>
      </c>
      <c r="B109" t="str">
        <f>_ENGINE_Strategy!B14</f>
        <v>Physical Safety and Site Resilience Strategy</v>
      </c>
      <c r="C109" t="str">
        <f>_ENGINE_Strategy!A14</f>
        <v>STR-10</v>
      </c>
      <c r="D109">
        <f>IFERROR(ROUND(INDEX(_ENGINE_Strategy!$P14:$Z14,1,MATCH('Resilience &amp; Risk Scenario'!$B$6,_ENGINE_Strategy!$P$4:$Z$4,0))*cfg_ScenarioFitScale,2),0)</f>
        <v>0</v>
      </c>
      <c r="E109">
        <f>IF(SUM(_ENGINE_Strategy!$AA$14*--(N(_DATA_Dashboard_Facts!$F$5)&gt;0),_ENGINE_Strategy!$AB$14*--(N(_DATA_Dashboard_Facts!$F$6)&gt;0),_ENGINE_Strategy!$AC$14*--(N(_DATA_Dashboard_Facts!$F$7)&gt;0),_ENGINE_Strategy!$AD$14*--(N(_DATA_Dashboard_Facts!$F$8)&gt;0),_ENGINE_Strategy!$AE$14*--(N(_DATA_Dashboard_Facts!$F$9)&gt;0),_ENGINE_Strategy!$AF$14*--(N(_DATA_Dashboard_Facts!$F$10)&gt;0),_ENGINE_Strategy!$AG$14*--(N(_DATA_Dashboard_Facts!$F$11)&gt;0),_ENGINE_Strategy!$AH$14*--(N(_DATA_Dashboard_Facts!$F$12)&gt;0),_ENGINE_Strategy!$AI$14*--(N(_DATA_Dashboard_Facts!$F$13)&gt;0),_ENGINE_Strategy!$AJ$14*--(N(_DATA_Dashboard_Facts!$F$14)&gt;0),_ENGINE_Strategy!$AK$14*--(N(_DATA_Dashboard_Facts!$F$15)&gt;0),_ENGINE_Strategy!$AL$14*--(N(_DATA_Dashboard_Facts!$F$16)&gt;0),_ENGINE_Strategy!$AM$14*--(N(_DATA_Dashboard_Facts!$F$17)&gt;0),_ENGINE_Strategy!$AN$14*--(N(_DATA_Dashboard_Facts!$F$18)&gt;0),_ENGINE_Strategy!$AO$14*--(N(_DATA_Dashboard_Facts!$F$19)&gt;0),_ENGINE_Strategy!$AP$14*--(N(_DATA_Dashboard_Facts!$F$20)&gt;0),_ENGINE_Strategy!$AQ$14*--(N(_DATA_Dashboard_Facts!$F$21)&gt;0))=0,0,ROUND(SUM(_ENGINE_Strategy!$AA$14*(5-N(_DATA_Dashboard_Facts!$H$5))*--(N(_DATA_Dashboard_Facts!$F$5)&gt;0),_ENGINE_Strategy!$AB$14*(5-N(_DATA_Dashboard_Facts!$H$6))*--(N(_DATA_Dashboard_Facts!$F$6)&gt;0),_ENGINE_Strategy!$AC$14*(5-N(_DATA_Dashboard_Facts!$H$7))*--(N(_DATA_Dashboard_Facts!$F$7)&gt;0),_ENGINE_Strategy!$AD$14*(5-N(_DATA_Dashboard_Facts!$H$8))*--(N(_DATA_Dashboard_Facts!$F$8)&gt;0),_ENGINE_Strategy!$AE$14*(5-N(_DATA_Dashboard_Facts!$H$9))*--(N(_DATA_Dashboard_Facts!$F$9)&gt;0),_ENGINE_Strategy!$AF$14*(5-N(_DATA_Dashboard_Facts!$H$10))*--(N(_DATA_Dashboard_Facts!$F$10)&gt;0),_ENGINE_Strategy!$AG$14*(5-N(_DATA_Dashboard_Facts!$H$11))*--(N(_DATA_Dashboard_Facts!$F$11)&gt;0),_ENGINE_Strategy!$AH$14*(5-N(_DATA_Dashboard_Facts!$H$12))*--(N(_DATA_Dashboard_Facts!$F$12)&gt;0),_ENGINE_Strategy!$AI$14*(5-N(_DATA_Dashboard_Facts!$H$13))*--(N(_DATA_Dashboard_Facts!$F$13)&gt;0),_ENGINE_Strategy!$AJ$14*(5-N(_DATA_Dashboard_Facts!$H$14))*--(N(_DATA_Dashboard_Facts!$F$14)&gt;0),_ENGINE_Strategy!$AK$14*(5-N(_DATA_Dashboard_Facts!$H$15))*--(N(_DATA_Dashboard_Facts!$F$15)&gt;0),_ENGINE_Strategy!$AL$14*(5-N(_DATA_Dashboard_Facts!$H$16))*--(N(_DATA_Dashboard_Facts!$F$16)&gt;0),_ENGINE_Strategy!$AM$14*(5-N(_DATA_Dashboard_Facts!$H$17))*--(N(_DATA_Dashboard_Facts!$F$17)&gt;0),_ENGINE_Strategy!$AN$14*(5-N(_DATA_Dashboard_Facts!$H$18))*--(N(_DATA_Dashboard_Facts!$F$18)&gt;0),_ENGINE_Strategy!$AO$14*(5-N(_DATA_Dashboard_Facts!$H$19))*--(N(_DATA_Dashboard_Facts!$F$19)&gt;0),_ENGINE_Strategy!$AP$14*(5-N(_DATA_Dashboard_Facts!$H$20))*--(N(_DATA_Dashboard_Facts!$F$20)&gt;0),_ENGINE_Strategy!$AQ$14*(5-N(_DATA_Dashboard_Facts!$H$21))*--(N(_DATA_Dashboard_Facts!$F$21)&gt;0))/SUM(_ENGINE_Strategy!$AA$14*--(N(_DATA_Dashboard_Facts!$F$5)&gt;0),_ENGINE_Strategy!$AB$14*--(N(_DATA_Dashboard_Facts!$F$6)&gt;0),_ENGINE_Strategy!$AC$14*--(N(_DATA_Dashboard_Facts!$F$7)&gt;0),_ENGINE_Strategy!$AD$14*--(N(_DATA_Dashboard_Facts!$F$8)&gt;0),_ENGINE_Strategy!$AE$14*--(N(_DATA_Dashboard_Facts!$F$9)&gt;0),_ENGINE_Strategy!$AF$14*--(N(_DATA_Dashboard_Facts!$F$10)&gt;0),_ENGINE_Strategy!$AG$14*--(N(_DATA_Dashboard_Facts!$F$11)&gt;0),_ENGINE_Strategy!$AH$14*--(N(_DATA_Dashboard_Facts!$F$12)&gt;0),_ENGINE_Strategy!$AI$14*--(N(_DATA_Dashboard_Facts!$F$13)&gt;0),_ENGINE_Strategy!$AJ$14*--(N(_DATA_Dashboard_Facts!$F$14)&gt;0),_ENGINE_Strategy!$AK$14*--(N(_DATA_Dashboard_Facts!$F$15)&gt;0),_ENGINE_Strategy!$AL$14*--(N(_DATA_Dashboard_Facts!$F$16)&gt;0),_ENGINE_Strategy!$AM$14*--(N(_DATA_Dashboard_Facts!$F$17)&gt;0),_ENGINE_Strategy!$AN$14*--(N(_DATA_Dashboard_Facts!$F$18)&gt;0),_ENGINE_Strategy!$AO$14*--(N(_DATA_Dashboard_Facts!$F$19)&gt;0),_ENGINE_Strategy!$AP$14*--(N(_DATA_Dashboard_Facts!$F$20)&gt;0),_ENGINE_Strategy!$AQ$14*--(N(_DATA_Dashboard_Facts!$F$21)&gt;0)),2))</f>
        <v>5</v>
      </c>
      <c r="F109">
        <f>IF(SUM(_ENGINE_Strategy!$AA$14*--(N(_DATA_Dashboard_Facts!$F$5)&gt;0),_ENGINE_Strategy!$AB$14*--(N(_DATA_Dashboard_Facts!$F$6)&gt;0),_ENGINE_Strategy!$AC$14*--(N(_DATA_Dashboard_Facts!$F$7)&gt;0),_ENGINE_Strategy!$AD$14*--(N(_DATA_Dashboard_Facts!$F$8)&gt;0),_ENGINE_Strategy!$AE$14*--(N(_DATA_Dashboard_Facts!$F$9)&gt;0),_ENGINE_Strategy!$AF$14*--(N(_DATA_Dashboard_Facts!$F$10)&gt;0),_ENGINE_Strategy!$AG$14*--(N(_DATA_Dashboard_Facts!$F$11)&gt;0),_ENGINE_Strategy!$AH$14*--(N(_DATA_Dashboard_Facts!$F$12)&gt;0),_ENGINE_Strategy!$AI$14*--(N(_DATA_Dashboard_Facts!$F$13)&gt;0),_ENGINE_Strategy!$AJ$14*--(N(_DATA_Dashboard_Facts!$F$14)&gt;0),_ENGINE_Strategy!$AK$14*--(N(_DATA_Dashboard_Facts!$F$15)&gt;0),_ENGINE_Strategy!$AL$14*--(N(_DATA_Dashboard_Facts!$F$16)&gt;0),_ENGINE_Strategy!$AM$14*--(N(_DATA_Dashboard_Facts!$F$17)&gt;0),_ENGINE_Strategy!$AN$14*--(N(_DATA_Dashboard_Facts!$F$18)&gt;0),_ENGINE_Strategy!$AO$14*--(N(_DATA_Dashboard_Facts!$F$19)&gt;0),_ENGINE_Strategy!$AP$14*--(N(_DATA_Dashboard_Facts!$F$20)&gt;0),_ENGINE_Strategy!$AQ$14*--(N(_DATA_Dashboard_Facts!$F$21)&gt;0))=0,0,ROUND(MIN(5,(SUM(_ENGINE_Strategy!$AA$14*(N(_DATA_Dashboard_Facts!$J$5)+cfg_RiskSecondaryWeight*N(_DATA_Dashboard_Facts!$K$5))*--(N(_DATA_Dashboard_Facts!$F$5)&gt;0),_ENGINE_Strategy!$AB$14*(N(_DATA_Dashboard_Facts!$J$6)+cfg_RiskSecondaryWeight*N(_DATA_Dashboard_Facts!$K$6))*--(N(_DATA_Dashboard_Facts!$F$6)&gt;0),_ENGINE_Strategy!$AC$14*(N(_DATA_Dashboard_Facts!$J$7)+cfg_RiskSecondaryWeight*N(_DATA_Dashboard_Facts!$K$7))*--(N(_DATA_Dashboard_Facts!$F$7)&gt;0),_ENGINE_Strategy!$AD$14*(N(_DATA_Dashboard_Facts!$J$8)+cfg_RiskSecondaryWeight*N(_DATA_Dashboard_Facts!$K$8))*--(N(_DATA_Dashboard_Facts!$F$8)&gt;0),_ENGINE_Strategy!$AE$14*(N(_DATA_Dashboard_Facts!$J$9)+cfg_RiskSecondaryWeight*N(_DATA_Dashboard_Facts!$K$9))*--(N(_DATA_Dashboard_Facts!$F$9)&gt;0),_ENGINE_Strategy!$AF$14*(N(_DATA_Dashboard_Facts!$J$10)+cfg_RiskSecondaryWeight*N(_DATA_Dashboard_Facts!$K$10))*--(N(_DATA_Dashboard_Facts!$F$10)&gt;0),_ENGINE_Strategy!$AG$14*(N(_DATA_Dashboard_Facts!$J$11)+cfg_RiskSecondaryWeight*N(_DATA_Dashboard_Facts!$K$11))*--(N(_DATA_Dashboard_Facts!$F$11)&gt;0),_ENGINE_Strategy!$AH$14*(N(_DATA_Dashboard_Facts!$J$12)+cfg_RiskSecondaryWeight*N(_DATA_Dashboard_Facts!$K$12))*--(N(_DATA_Dashboard_Facts!$F$12)&gt;0),_ENGINE_Strategy!$AI$14*(N(_DATA_Dashboard_Facts!$J$13)+cfg_RiskSecondaryWeight*N(_DATA_Dashboard_Facts!$K$13))*--(N(_DATA_Dashboard_Facts!$F$13)&gt;0),_ENGINE_Strategy!$AJ$14*(N(_DATA_Dashboard_Facts!$J$14)+cfg_RiskSecondaryWeight*N(_DATA_Dashboard_Facts!$K$14))*--(N(_DATA_Dashboard_Facts!$F$14)&gt;0),_ENGINE_Strategy!$AK$14*(N(_DATA_Dashboard_Facts!$J$15)+cfg_RiskSecondaryWeight*N(_DATA_Dashboard_Facts!$K$15))*--(N(_DATA_Dashboard_Facts!$F$15)&gt;0),_ENGINE_Strategy!$AL$14*(N(_DATA_Dashboard_Facts!$J$16)+cfg_RiskSecondaryWeight*N(_DATA_Dashboard_Facts!$K$16))*--(N(_DATA_Dashboard_Facts!$F$16)&gt;0),_ENGINE_Strategy!$AM$14*(N(_DATA_Dashboard_Facts!$J$17)+cfg_RiskSecondaryWeight*N(_DATA_Dashboard_Facts!$K$17))*--(N(_DATA_Dashboard_Facts!$F$17)&gt;0),_ENGINE_Strategy!$AN$14*(N(_DATA_Dashboard_Facts!$J$18)+cfg_RiskSecondaryWeight*N(_DATA_Dashboard_Facts!$K$18))*--(N(_DATA_Dashboard_Facts!$F$18)&gt;0),_ENGINE_Strategy!$AO$14*(N(_DATA_Dashboard_Facts!$J$19)+cfg_RiskSecondaryWeight*N(_DATA_Dashboard_Facts!$K$19))*--(N(_DATA_Dashboard_Facts!$F$19)&gt;0),_ENGINE_Strategy!$AP$14*(N(_DATA_Dashboard_Facts!$J$20)+cfg_RiskSecondaryWeight*N(_DATA_Dashboard_Facts!$K$20))*--(N(_DATA_Dashboard_Facts!$F$20)&gt;0),_ENGINE_Strategy!$AQ$14*(N(_DATA_Dashboard_Facts!$J$21)+cfg_RiskSecondaryWeight*N(_DATA_Dashboard_Facts!$K$21))*--(N(_DATA_Dashboard_Facts!$F$21)&gt;0))/SUM(_ENGINE_Strategy!$AA$14*--(N(_DATA_Dashboard_Facts!$F$5)&gt;0),_ENGINE_Strategy!$AB$14*--(N(_DATA_Dashboard_Facts!$F$6)&gt;0),_ENGINE_Strategy!$AC$14*--(N(_DATA_Dashboard_Facts!$F$7)&gt;0),_ENGINE_Strategy!$AD$14*--(N(_DATA_Dashboard_Facts!$F$8)&gt;0),_ENGINE_Strategy!$AE$14*--(N(_DATA_Dashboard_Facts!$F$9)&gt;0),_ENGINE_Strategy!$AF$14*--(N(_DATA_Dashboard_Facts!$F$10)&gt;0),_ENGINE_Strategy!$AG$14*--(N(_DATA_Dashboard_Facts!$F$11)&gt;0),_ENGINE_Strategy!$AH$14*--(N(_DATA_Dashboard_Facts!$F$12)&gt;0),_ENGINE_Strategy!$AI$14*--(N(_DATA_Dashboard_Facts!$F$13)&gt;0),_ENGINE_Strategy!$AJ$14*--(N(_DATA_Dashboard_Facts!$F$14)&gt;0),_ENGINE_Strategy!$AK$14*--(N(_DATA_Dashboard_Facts!$F$15)&gt;0),_ENGINE_Strategy!$AL$14*--(N(_DATA_Dashboard_Facts!$F$16)&gt;0),_ENGINE_Strategy!$AM$14*--(N(_DATA_Dashboard_Facts!$F$17)&gt;0),_ENGINE_Strategy!$AN$14*--(N(_DATA_Dashboard_Facts!$F$18)&gt;0),_ENGINE_Strategy!$AO$14*--(N(_DATA_Dashboard_Facts!$F$19)&gt;0),_ENGINE_Strategy!$AP$14*--(N(_DATA_Dashboard_Facts!$F$20)&gt;0),_ENGINE_Strategy!$AQ$14*--(N(_DATA_Dashboard_Facts!$F$21)&gt;0)))/MAX(0.1,cfg_RiskFitScale)),2))</f>
        <v>5</v>
      </c>
      <c r="G109">
        <f>IFERROR(ROUND((5-_DATA_Dashboard_Facts!$R$9)*(_ENGINE_Strategy!K14/5),2),0)</f>
        <v>2</v>
      </c>
      <c r="H109">
        <f>IFERROR(ROUND((5-_DATA_Dashboard_Facts!$R$9)*(_ENGINE_Strategy!L14/5),2),0)</f>
        <v>5</v>
      </c>
      <c r="I109">
        <f>IFERROR(ROUND((5-_DATA_Dashboard_Facts!$R$9)*(_ENGINE_Strategy!M14/5),2),0)</f>
        <v>4</v>
      </c>
      <c r="J109">
        <f t="shared" si="1"/>
        <v>67</v>
      </c>
      <c r="K109" t="str">
        <f>IF(_DATA_Dashboard_Facts!$R$7&gt;=0.8,"High",IF(_DATA_Dashboard_Facts!$R$7&gt;=0.5,"Medium","Low - assessment incomplete"))</f>
        <v>High</v>
      </c>
      <c r="L109" t="str">
        <f t="shared" si="2"/>
        <v>Watchlist</v>
      </c>
      <c r="M109" t="str">
        <f>_ENGINE_Strategy!E14</f>
        <v>People safety and site continuity are strengthened under physical disruption.</v>
      </c>
      <c r="N109" t="str">
        <f>"Crisis fit: "&amp;D109&amp;"; domain gap fit: "&amp;E109&amp;"; risk fit: "&amp;F109&amp;". Trigger domains: "&amp;_ENGINE_Strategy!AR14</f>
        <v>Crisis fit: 0; domain gap fit: 5; risk fit: 5. Trigger domains: Physical Safety</v>
      </c>
      <c r="O109" t="str">
        <f>_ENGINE_Strategy!F14</f>
        <v>Site risk assessment, evacuation, emergency roles, access control, travel risk, alternate site, security providers.</v>
      </c>
      <c r="P109" t="str">
        <f>_ENGINE_Strategy!G14</f>
        <v>COO / HSE / Security Lead</v>
      </c>
      <c r="Q109" t="str">
        <f>_ENGINE_Strategy!H14</f>
        <v>0-6 months</v>
      </c>
      <c r="R109" t="str">
        <f>_ENGINE_Strategy!I14</f>
        <v>Drill completion; incident rate; access review coverage; evacuation readiness; site risk actions closed</v>
      </c>
      <c r="S109">
        <f>_ENGINE_Strategy!N14</f>
        <v>3</v>
      </c>
      <c r="T109">
        <f>COUNTIF(_ENGINE_Initiatives!$D$5:$D$76,$B109)</f>
        <v>5</v>
      </c>
      <c r="U109" t="str">
        <f>IFERROR(INDEX(_ENGINE_Initiatives!$AE$5:$AE$76,MATCH($B109,_ENGINE_Initiatives!$D$5:$D$76,0)),"")</f>
        <v>6-12 months</v>
      </c>
      <c r="V109">
        <f>IFERROR(ROUND(AVERAGEIF(_ENGINE_Initiatives!$D$5:$D$76,$B109,_ENGINE_Initiatives!$AC$5:$AC$76),2),"")</f>
        <v>1.77</v>
      </c>
      <c r="W109">
        <f>IFERROR(SUMIFS(_REF_Model_Content!$D$300:$D$429,_REF_Model_Content!$A$300:$A$429,PV_Canonical_Industry,_REF_Model_Content!$B$300:$B$429,$C109),3)</f>
        <v>0</v>
      </c>
      <c r="X109">
        <f>IF(OR($J109="",AND($C109="STR-09",SUMIF(_DATA_Dashboard_Facts!$A$5:$A$21,"Manufacturing MES",_DATA_Dashboard_Facts!$F$5:$F$21)=0)),"",ROUND($J109*(1+($W109-3)*0.06),2))</f>
        <v>54.94</v>
      </c>
    </row>
    <row r="110" spans="1:24">
      <c r="A110">
        <f t="shared" si="0"/>
        <v>13</v>
      </c>
      <c r="B110" t="str">
        <f>_ENGINE_Strategy!B15</f>
        <v>Sales Channel Diversification Strategy</v>
      </c>
      <c r="C110" t="str">
        <f>_ENGINE_Strategy!A15</f>
        <v>STR-11</v>
      </c>
      <c r="D110">
        <f>IFERROR(ROUND(INDEX(_ENGINE_Strategy!$P15:$Z15,1,MATCH('Resilience &amp; Risk Scenario'!$B$6,_ENGINE_Strategy!$P$4:$Z$4,0))*cfg_ScenarioFitScale,2),0)</f>
        <v>0</v>
      </c>
      <c r="E110">
        <f>IF(SUM(_ENGINE_Strategy!$AA$15*--(N(_DATA_Dashboard_Facts!$F$5)&gt;0),_ENGINE_Strategy!$AB$15*--(N(_DATA_Dashboard_Facts!$F$6)&gt;0),_ENGINE_Strategy!$AC$15*--(N(_DATA_Dashboard_Facts!$F$7)&gt;0),_ENGINE_Strategy!$AD$15*--(N(_DATA_Dashboard_Facts!$F$8)&gt;0),_ENGINE_Strategy!$AE$15*--(N(_DATA_Dashboard_Facts!$F$9)&gt;0),_ENGINE_Strategy!$AF$15*--(N(_DATA_Dashboard_Facts!$F$10)&gt;0),_ENGINE_Strategy!$AG$15*--(N(_DATA_Dashboard_Facts!$F$11)&gt;0),_ENGINE_Strategy!$AH$15*--(N(_DATA_Dashboard_Facts!$F$12)&gt;0),_ENGINE_Strategy!$AI$15*--(N(_DATA_Dashboard_Facts!$F$13)&gt;0),_ENGINE_Strategy!$AJ$15*--(N(_DATA_Dashboard_Facts!$F$14)&gt;0),_ENGINE_Strategy!$AK$15*--(N(_DATA_Dashboard_Facts!$F$15)&gt;0),_ENGINE_Strategy!$AL$15*--(N(_DATA_Dashboard_Facts!$F$16)&gt;0),_ENGINE_Strategy!$AM$15*--(N(_DATA_Dashboard_Facts!$F$17)&gt;0),_ENGINE_Strategy!$AN$15*--(N(_DATA_Dashboard_Facts!$F$18)&gt;0),_ENGINE_Strategy!$AO$15*--(N(_DATA_Dashboard_Facts!$F$19)&gt;0),_ENGINE_Strategy!$AP$15*--(N(_DATA_Dashboard_Facts!$F$20)&gt;0),_ENGINE_Strategy!$AQ$15*--(N(_DATA_Dashboard_Facts!$F$21)&gt;0))=0,0,ROUND(SUM(_ENGINE_Strategy!$AA$15*(5-N(_DATA_Dashboard_Facts!$H$5))*--(N(_DATA_Dashboard_Facts!$F$5)&gt;0),_ENGINE_Strategy!$AB$15*(5-N(_DATA_Dashboard_Facts!$H$6))*--(N(_DATA_Dashboard_Facts!$F$6)&gt;0),_ENGINE_Strategy!$AC$15*(5-N(_DATA_Dashboard_Facts!$H$7))*--(N(_DATA_Dashboard_Facts!$F$7)&gt;0),_ENGINE_Strategy!$AD$15*(5-N(_DATA_Dashboard_Facts!$H$8))*--(N(_DATA_Dashboard_Facts!$F$8)&gt;0),_ENGINE_Strategy!$AE$15*(5-N(_DATA_Dashboard_Facts!$H$9))*--(N(_DATA_Dashboard_Facts!$F$9)&gt;0),_ENGINE_Strategy!$AF$15*(5-N(_DATA_Dashboard_Facts!$H$10))*--(N(_DATA_Dashboard_Facts!$F$10)&gt;0),_ENGINE_Strategy!$AG$15*(5-N(_DATA_Dashboard_Facts!$H$11))*--(N(_DATA_Dashboard_Facts!$F$11)&gt;0),_ENGINE_Strategy!$AH$15*(5-N(_DATA_Dashboard_Facts!$H$12))*--(N(_DATA_Dashboard_Facts!$F$12)&gt;0),_ENGINE_Strategy!$AI$15*(5-N(_DATA_Dashboard_Facts!$H$13))*--(N(_DATA_Dashboard_Facts!$F$13)&gt;0),_ENGINE_Strategy!$AJ$15*(5-N(_DATA_Dashboard_Facts!$H$14))*--(N(_DATA_Dashboard_Facts!$F$14)&gt;0),_ENGINE_Strategy!$AK$15*(5-N(_DATA_Dashboard_Facts!$H$15))*--(N(_DATA_Dashboard_Facts!$F$15)&gt;0),_ENGINE_Strategy!$AL$15*(5-N(_DATA_Dashboard_Facts!$H$16))*--(N(_DATA_Dashboard_Facts!$F$16)&gt;0),_ENGINE_Strategy!$AM$15*(5-N(_DATA_Dashboard_Facts!$H$17))*--(N(_DATA_Dashboard_Facts!$F$17)&gt;0),_ENGINE_Strategy!$AN$15*(5-N(_DATA_Dashboard_Facts!$H$18))*--(N(_DATA_Dashboard_Facts!$F$18)&gt;0),_ENGINE_Strategy!$AO$15*(5-N(_DATA_Dashboard_Facts!$H$19))*--(N(_DATA_Dashboard_Facts!$F$19)&gt;0),_ENGINE_Strategy!$AP$15*(5-N(_DATA_Dashboard_Facts!$H$20))*--(N(_DATA_Dashboard_Facts!$F$20)&gt;0),_ENGINE_Strategy!$AQ$15*(5-N(_DATA_Dashboard_Facts!$H$21))*--(N(_DATA_Dashboard_Facts!$F$21)&gt;0))/SUM(_ENGINE_Strategy!$AA$15*--(N(_DATA_Dashboard_Facts!$F$5)&gt;0),_ENGINE_Strategy!$AB$15*--(N(_DATA_Dashboard_Facts!$F$6)&gt;0),_ENGINE_Strategy!$AC$15*--(N(_DATA_Dashboard_Facts!$F$7)&gt;0),_ENGINE_Strategy!$AD$15*--(N(_DATA_Dashboard_Facts!$F$8)&gt;0),_ENGINE_Strategy!$AE$15*--(N(_DATA_Dashboard_Facts!$F$9)&gt;0),_ENGINE_Strategy!$AF$15*--(N(_DATA_Dashboard_Facts!$F$10)&gt;0),_ENGINE_Strategy!$AG$15*--(N(_DATA_Dashboard_Facts!$F$11)&gt;0),_ENGINE_Strategy!$AH$15*--(N(_DATA_Dashboard_Facts!$F$12)&gt;0),_ENGINE_Strategy!$AI$15*--(N(_DATA_Dashboard_Facts!$F$13)&gt;0),_ENGINE_Strategy!$AJ$15*--(N(_DATA_Dashboard_Facts!$F$14)&gt;0),_ENGINE_Strategy!$AK$15*--(N(_DATA_Dashboard_Facts!$F$15)&gt;0),_ENGINE_Strategy!$AL$15*--(N(_DATA_Dashboard_Facts!$F$16)&gt;0),_ENGINE_Strategy!$AM$15*--(N(_DATA_Dashboard_Facts!$F$17)&gt;0),_ENGINE_Strategy!$AN$15*--(N(_DATA_Dashboard_Facts!$F$18)&gt;0),_ENGINE_Strategy!$AO$15*--(N(_DATA_Dashboard_Facts!$F$19)&gt;0),_ENGINE_Strategy!$AP$15*--(N(_DATA_Dashboard_Facts!$F$20)&gt;0),_ENGINE_Strategy!$AQ$15*--(N(_DATA_Dashboard_Facts!$F$21)&gt;0)),2))</f>
        <v>5</v>
      </c>
      <c r="F110">
        <f>IF(SUM(_ENGINE_Strategy!$AA$15*--(N(_DATA_Dashboard_Facts!$F$5)&gt;0),_ENGINE_Strategy!$AB$15*--(N(_DATA_Dashboard_Facts!$F$6)&gt;0),_ENGINE_Strategy!$AC$15*--(N(_DATA_Dashboard_Facts!$F$7)&gt;0),_ENGINE_Strategy!$AD$15*--(N(_DATA_Dashboard_Facts!$F$8)&gt;0),_ENGINE_Strategy!$AE$15*--(N(_DATA_Dashboard_Facts!$F$9)&gt;0),_ENGINE_Strategy!$AF$15*--(N(_DATA_Dashboard_Facts!$F$10)&gt;0),_ENGINE_Strategy!$AG$15*--(N(_DATA_Dashboard_Facts!$F$11)&gt;0),_ENGINE_Strategy!$AH$15*--(N(_DATA_Dashboard_Facts!$F$12)&gt;0),_ENGINE_Strategy!$AI$15*--(N(_DATA_Dashboard_Facts!$F$13)&gt;0),_ENGINE_Strategy!$AJ$15*--(N(_DATA_Dashboard_Facts!$F$14)&gt;0),_ENGINE_Strategy!$AK$15*--(N(_DATA_Dashboard_Facts!$F$15)&gt;0),_ENGINE_Strategy!$AL$15*--(N(_DATA_Dashboard_Facts!$F$16)&gt;0),_ENGINE_Strategy!$AM$15*--(N(_DATA_Dashboard_Facts!$F$17)&gt;0),_ENGINE_Strategy!$AN$15*--(N(_DATA_Dashboard_Facts!$F$18)&gt;0),_ENGINE_Strategy!$AO$15*--(N(_DATA_Dashboard_Facts!$F$19)&gt;0),_ENGINE_Strategy!$AP$15*--(N(_DATA_Dashboard_Facts!$F$20)&gt;0),_ENGINE_Strategy!$AQ$15*--(N(_DATA_Dashboard_Facts!$F$21)&gt;0))=0,0,ROUND(MIN(5,(SUM(_ENGINE_Strategy!$AA$15*(N(_DATA_Dashboard_Facts!$J$5)+cfg_RiskSecondaryWeight*N(_DATA_Dashboard_Facts!$K$5))*--(N(_DATA_Dashboard_Facts!$F$5)&gt;0),_ENGINE_Strategy!$AB$15*(N(_DATA_Dashboard_Facts!$J$6)+cfg_RiskSecondaryWeight*N(_DATA_Dashboard_Facts!$K$6))*--(N(_DATA_Dashboard_Facts!$F$6)&gt;0),_ENGINE_Strategy!$AC$15*(N(_DATA_Dashboard_Facts!$J$7)+cfg_RiskSecondaryWeight*N(_DATA_Dashboard_Facts!$K$7))*--(N(_DATA_Dashboard_Facts!$F$7)&gt;0),_ENGINE_Strategy!$AD$15*(N(_DATA_Dashboard_Facts!$J$8)+cfg_RiskSecondaryWeight*N(_DATA_Dashboard_Facts!$K$8))*--(N(_DATA_Dashboard_Facts!$F$8)&gt;0),_ENGINE_Strategy!$AE$15*(N(_DATA_Dashboard_Facts!$J$9)+cfg_RiskSecondaryWeight*N(_DATA_Dashboard_Facts!$K$9))*--(N(_DATA_Dashboard_Facts!$F$9)&gt;0),_ENGINE_Strategy!$AF$15*(N(_DATA_Dashboard_Facts!$J$10)+cfg_RiskSecondaryWeight*N(_DATA_Dashboard_Facts!$K$10))*--(N(_DATA_Dashboard_Facts!$F$10)&gt;0),_ENGINE_Strategy!$AG$15*(N(_DATA_Dashboard_Facts!$J$11)+cfg_RiskSecondaryWeight*N(_DATA_Dashboard_Facts!$K$11))*--(N(_DATA_Dashboard_Facts!$F$11)&gt;0),_ENGINE_Strategy!$AH$15*(N(_DATA_Dashboard_Facts!$J$12)+cfg_RiskSecondaryWeight*N(_DATA_Dashboard_Facts!$K$12))*--(N(_DATA_Dashboard_Facts!$F$12)&gt;0),_ENGINE_Strategy!$AI$15*(N(_DATA_Dashboard_Facts!$J$13)+cfg_RiskSecondaryWeight*N(_DATA_Dashboard_Facts!$K$13))*--(N(_DATA_Dashboard_Facts!$F$13)&gt;0),_ENGINE_Strategy!$AJ$15*(N(_DATA_Dashboard_Facts!$J$14)+cfg_RiskSecondaryWeight*N(_DATA_Dashboard_Facts!$K$14))*--(N(_DATA_Dashboard_Facts!$F$14)&gt;0),_ENGINE_Strategy!$AK$15*(N(_DATA_Dashboard_Facts!$J$15)+cfg_RiskSecondaryWeight*N(_DATA_Dashboard_Facts!$K$15))*--(N(_DATA_Dashboard_Facts!$F$15)&gt;0),_ENGINE_Strategy!$AL$15*(N(_DATA_Dashboard_Facts!$J$16)+cfg_RiskSecondaryWeight*N(_DATA_Dashboard_Facts!$K$16))*--(N(_DATA_Dashboard_Facts!$F$16)&gt;0),_ENGINE_Strategy!$AM$15*(N(_DATA_Dashboard_Facts!$J$17)+cfg_RiskSecondaryWeight*N(_DATA_Dashboard_Facts!$K$17))*--(N(_DATA_Dashboard_Facts!$F$17)&gt;0),_ENGINE_Strategy!$AN$15*(N(_DATA_Dashboard_Facts!$J$18)+cfg_RiskSecondaryWeight*N(_DATA_Dashboard_Facts!$K$18))*--(N(_DATA_Dashboard_Facts!$F$18)&gt;0),_ENGINE_Strategy!$AO$15*(N(_DATA_Dashboard_Facts!$J$19)+cfg_RiskSecondaryWeight*N(_DATA_Dashboard_Facts!$K$19))*--(N(_DATA_Dashboard_Facts!$F$19)&gt;0),_ENGINE_Strategy!$AP$15*(N(_DATA_Dashboard_Facts!$J$20)+cfg_RiskSecondaryWeight*N(_DATA_Dashboard_Facts!$K$20))*--(N(_DATA_Dashboard_Facts!$F$20)&gt;0),_ENGINE_Strategy!$AQ$15*(N(_DATA_Dashboard_Facts!$J$21)+cfg_RiskSecondaryWeight*N(_DATA_Dashboard_Facts!$K$21))*--(N(_DATA_Dashboard_Facts!$F$21)&gt;0))/SUM(_ENGINE_Strategy!$AA$15*--(N(_DATA_Dashboard_Facts!$F$5)&gt;0),_ENGINE_Strategy!$AB$15*--(N(_DATA_Dashboard_Facts!$F$6)&gt;0),_ENGINE_Strategy!$AC$15*--(N(_DATA_Dashboard_Facts!$F$7)&gt;0),_ENGINE_Strategy!$AD$15*--(N(_DATA_Dashboard_Facts!$F$8)&gt;0),_ENGINE_Strategy!$AE$15*--(N(_DATA_Dashboard_Facts!$F$9)&gt;0),_ENGINE_Strategy!$AF$15*--(N(_DATA_Dashboard_Facts!$F$10)&gt;0),_ENGINE_Strategy!$AG$15*--(N(_DATA_Dashboard_Facts!$F$11)&gt;0),_ENGINE_Strategy!$AH$15*--(N(_DATA_Dashboard_Facts!$F$12)&gt;0),_ENGINE_Strategy!$AI$15*--(N(_DATA_Dashboard_Facts!$F$13)&gt;0),_ENGINE_Strategy!$AJ$15*--(N(_DATA_Dashboard_Facts!$F$14)&gt;0),_ENGINE_Strategy!$AK$15*--(N(_DATA_Dashboard_Facts!$F$15)&gt;0),_ENGINE_Strategy!$AL$15*--(N(_DATA_Dashboard_Facts!$F$16)&gt;0),_ENGINE_Strategy!$AM$15*--(N(_DATA_Dashboard_Facts!$F$17)&gt;0),_ENGINE_Strategy!$AN$15*--(N(_DATA_Dashboard_Facts!$F$18)&gt;0),_ENGINE_Strategy!$AO$15*--(N(_DATA_Dashboard_Facts!$F$19)&gt;0),_ENGINE_Strategy!$AP$15*--(N(_DATA_Dashboard_Facts!$F$20)&gt;0),_ENGINE_Strategy!$AQ$15*--(N(_DATA_Dashboard_Facts!$F$21)&gt;0)))/MAX(0.1,cfg_RiskFitScale)),2))</f>
        <v>4.62</v>
      </c>
      <c r="G110">
        <f>IFERROR(ROUND((5-_DATA_Dashboard_Facts!$R$9)*(_ENGINE_Strategy!K15/5),2),0)</f>
        <v>4</v>
      </c>
      <c r="H110">
        <f>IFERROR(ROUND((5-_DATA_Dashboard_Facts!$R$9)*(_ENGINE_Strategy!L15/5),2),0)</f>
        <v>4</v>
      </c>
      <c r="I110">
        <f>IFERROR(ROUND((5-_DATA_Dashboard_Facts!$R$9)*(_ENGINE_Strategy!M15/5),2),0)</f>
        <v>3</v>
      </c>
      <c r="J110">
        <f t="shared" si="1"/>
        <v>65.5</v>
      </c>
      <c r="K110" t="str">
        <f>IF(_DATA_Dashboard_Facts!$R$7&gt;=0.8,"High",IF(_DATA_Dashboard_Facts!$R$7&gt;=0.5,"Medium","Low - assessment incomplete"))</f>
        <v>High</v>
      </c>
      <c r="L110" t="str">
        <f t="shared" si="2"/>
        <v>Watchlist</v>
      </c>
      <c r="M110" t="str">
        <f>_ENGINE_Strategy!E15</f>
        <v>Revenue risk is reduced through digital channels and diversified markets.</v>
      </c>
      <c r="N110" t="str">
        <f>"Crisis fit: "&amp;D110&amp;"; domain gap fit: "&amp;E110&amp;"; risk fit: "&amp;F110&amp;". Trigger domains: "&amp;_ENGINE_Strategy!AR15</f>
        <v>Crisis fit: 0; domain gap fit: 5; risk fit: 4.62. Trigger domains: Strategy GTM; Sales CRM; Marketing Comms</v>
      </c>
      <c r="O110" t="str">
        <f>_ENGINE_Strategy!F15</f>
        <v>ICP validation, channel mix, ecommerce/digital sales, partner channels, pricing, market diversification.</v>
      </c>
      <c r="P110" t="str">
        <f>_ENGINE_Strategy!G15</f>
        <v>CRO / CMO</v>
      </c>
      <c r="Q110" t="str">
        <f>_ENGINE_Strategy!H15</f>
        <v>3-12 months</v>
      </c>
      <c r="R110" t="str">
        <f>_ENGINE_Strategy!I15</f>
        <v>Pipeline diversification; channel revenue mix; win rate; customer concentration; digital lead share</v>
      </c>
      <c r="S110">
        <f>_ENGINE_Strategy!N15</f>
        <v>4</v>
      </c>
      <c r="T110">
        <f>COUNTIF(_ENGINE_Initiatives!$D$5:$D$76,$B110)</f>
        <v>3</v>
      </c>
      <c r="U110" t="str">
        <f>IFERROR(INDEX(_ENGINE_Initiatives!$AE$5:$AE$76,MATCH($B110,_ENGINE_Initiatives!$D$5:$D$76,0)),"")</f>
        <v>6-12 months</v>
      </c>
      <c r="V110">
        <f>IFERROR(ROUND(AVERAGEIF(_ENGINE_Initiatives!$D$5:$D$76,$B110,_ENGINE_Initiatives!$AC$5:$AC$76),2),"")</f>
        <v>1.72</v>
      </c>
      <c r="W110">
        <f>IFERROR(SUMIFS(_REF_Model_Content!$D$300:$D$429,_REF_Model_Content!$A$300:$A$429,PV_Canonical_Industry,_REF_Model_Content!$B$300:$B$429,$C110),3)</f>
        <v>0</v>
      </c>
      <c r="X110">
        <f>IF(OR($J110="",AND($C110="STR-09",SUMIF(_DATA_Dashboard_Facts!$A$5:$A$21,"Manufacturing MES",_DATA_Dashboard_Facts!$F$5:$F$21)=0)),"",ROUND($J110*(1+($W110-3)*0.06),2))</f>
        <v>53.71</v>
      </c>
    </row>
    <row r="111" spans="1:24">
      <c r="A111">
        <f t="shared" si="0"/>
        <v>12</v>
      </c>
      <c r="B111" t="str">
        <f>_ENGINE_Strategy!B16</f>
        <v>Customer Retention and Revenue Protection Strategy</v>
      </c>
      <c r="C111" t="str">
        <f>_ENGINE_Strategy!A16</f>
        <v>STR-12</v>
      </c>
      <c r="D111">
        <f>IFERROR(ROUND(INDEX(_ENGINE_Strategy!$P16:$Z16,1,MATCH('Resilience &amp; Risk Scenario'!$B$6,_ENGINE_Strategy!$P$4:$Z$4,0))*cfg_ScenarioFitScale,2),0)</f>
        <v>0</v>
      </c>
      <c r="E111">
        <f>IF(SUM(_ENGINE_Strategy!$AA$16*--(N(_DATA_Dashboard_Facts!$F$5)&gt;0),_ENGINE_Strategy!$AB$16*--(N(_DATA_Dashboard_Facts!$F$6)&gt;0),_ENGINE_Strategy!$AC$16*--(N(_DATA_Dashboard_Facts!$F$7)&gt;0),_ENGINE_Strategy!$AD$16*--(N(_DATA_Dashboard_Facts!$F$8)&gt;0),_ENGINE_Strategy!$AE$16*--(N(_DATA_Dashboard_Facts!$F$9)&gt;0),_ENGINE_Strategy!$AF$16*--(N(_DATA_Dashboard_Facts!$F$10)&gt;0),_ENGINE_Strategy!$AG$16*--(N(_DATA_Dashboard_Facts!$F$11)&gt;0),_ENGINE_Strategy!$AH$16*--(N(_DATA_Dashboard_Facts!$F$12)&gt;0),_ENGINE_Strategy!$AI$16*--(N(_DATA_Dashboard_Facts!$F$13)&gt;0),_ENGINE_Strategy!$AJ$16*--(N(_DATA_Dashboard_Facts!$F$14)&gt;0),_ENGINE_Strategy!$AK$16*--(N(_DATA_Dashboard_Facts!$F$15)&gt;0),_ENGINE_Strategy!$AL$16*--(N(_DATA_Dashboard_Facts!$F$16)&gt;0),_ENGINE_Strategy!$AM$16*--(N(_DATA_Dashboard_Facts!$F$17)&gt;0),_ENGINE_Strategy!$AN$16*--(N(_DATA_Dashboard_Facts!$F$18)&gt;0),_ENGINE_Strategy!$AO$16*--(N(_DATA_Dashboard_Facts!$F$19)&gt;0),_ENGINE_Strategy!$AP$16*--(N(_DATA_Dashboard_Facts!$F$20)&gt;0),_ENGINE_Strategy!$AQ$16*--(N(_DATA_Dashboard_Facts!$F$21)&gt;0))=0,0,ROUND(SUM(_ENGINE_Strategy!$AA$16*(5-N(_DATA_Dashboard_Facts!$H$5))*--(N(_DATA_Dashboard_Facts!$F$5)&gt;0),_ENGINE_Strategy!$AB$16*(5-N(_DATA_Dashboard_Facts!$H$6))*--(N(_DATA_Dashboard_Facts!$F$6)&gt;0),_ENGINE_Strategy!$AC$16*(5-N(_DATA_Dashboard_Facts!$H$7))*--(N(_DATA_Dashboard_Facts!$F$7)&gt;0),_ENGINE_Strategy!$AD$16*(5-N(_DATA_Dashboard_Facts!$H$8))*--(N(_DATA_Dashboard_Facts!$F$8)&gt;0),_ENGINE_Strategy!$AE$16*(5-N(_DATA_Dashboard_Facts!$H$9))*--(N(_DATA_Dashboard_Facts!$F$9)&gt;0),_ENGINE_Strategy!$AF$16*(5-N(_DATA_Dashboard_Facts!$H$10))*--(N(_DATA_Dashboard_Facts!$F$10)&gt;0),_ENGINE_Strategy!$AG$16*(5-N(_DATA_Dashboard_Facts!$H$11))*--(N(_DATA_Dashboard_Facts!$F$11)&gt;0),_ENGINE_Strategy!$AH$16*(5-N(_DATA_Dashboard_Facts!$H$12))*--(N(_DATA_Dashboard_Facts!$F$12)&gt;0),_ENGINE_Strategy!$AI$16*(5-N(_DATA_Dashboard_Facts!$H$13))*--(N(_DATA_Dashboard_Facts!$F$13)&gt;0),_ENGINE_Strategy!$AJ$16*(5-N(_DATA_Dashboard_Facts!$H$14))*--(N(_DATA_Dashboard_Facts!$F$14)&gt;0),_ENGINE_Strategy!$AK$16*(5-N(_DATA_Dashboard_Facts!$H$15))*--(N(_DATA_Dashboard_Facts!$F$15)&gt;0),_ENGINE_Strategy!$AL$16*(5-N(_DATA_Dashboard_Facts!$H$16))*--(N(_DATA_Dashboard_Facts!$F$16)&gt;0),_ENGINE_Strategy!$AM$16*(5-N(_DATA_Dashboard_Facts!$H$17))*--(N(_DATA_Dashboard_Facts!$F$17)&gt;0),_ENGINE_Strategy!$AN$16*(5-N(_DATA_Dashboard_Facts!$H$18))*--(N(_DATA_Dashboard_Facts!$F$18)&gt;0),_ENGINE_Strategy!$AO$16*(5-N(_DATA_Dashboard_Facts!$H$19))*--(N(_DATA_Dashboard_Facts!$F$19)&gt;0),_ENGINE_Strategy!$AP$16*(5-N(_DATA_Dashboard_Facts!$H$20))*--(N(_DATA_Dashboard_Facts!$F$20)&gt;0),_ENGINE_Strategy!$AQ$16*(5-N(_DATA_Dashboard_Facts!$H$21))*--(N(_DATA_Dashboard_Facts!$F$21)&gt;0))/SUM(_ENGINE_Strategy!$AA$16*--(N(_DATA_Dashboard_Facts!$F$5)&gt;0),_ENGINE_Strategy!$AB$16*--(N(_DATA_Dashboard_Facts!$F$6)&gt;0),_ENGINE_Strategy!$AC$16*--(N(_DATA_Dashboard_Facts!$F$7)&gt;0),_ENGINE_Strategy!$AD$16*--(N(_DATA_Dashboard_Facts!$F$8)&gt;0),_ENGINE_Strategy!$AE$16*--(N(_DATA_Dashboard_Facts!$F$9)&gt;0),_ENGINE_Strategy!$AF$16*--(N(_DATA_Dashboard_Facts!$F$10)&gt;0),_ENGINE_Strategy!$AG$16*--(N(_DATA_Dashboard_Facts!$F$11)&gt;0),_ENGINE_Strategy!$AH$16*--(N(_DATA_Dashboard_Facts!$F$12)&gt;0),_ENGINE_Strategy!$AI$16*--(N(_DATA_Dashboard_Facts!$F$13)&gt;0),_ENGINE_Strategy!$AJ$16*--(N(_DATA_Dashboard_Facts!$F$14)&gt;0),_ENGINE_Strategy!$AK$16*--(N(_DATA_Dashboard_Facts!$F$15)&gt;0),_ENGINE_Strategy!$AL$16*--(N(_DATA_Dashboard_Facts!$F$16)&gt;0),_ENGINE_Strategy!$AM$16*--(N(_DATA_Dashboard_Facts!$F$17)&gt;0),_ENGINE_Strategy!$AN$16*--(N(_DATA_Dashboard_Facts!$F$18)&gt;0),_ENGINE_Strategy!$AO$16*--(N(_DATA_Dashboard_Facts!$F$19)&gt;0),_ENGINE_Strategy!$AP$16*--(N(_DATA_Dashboard_Facts!$F$20)&gt;0),_ENGINE_Strategy!$AQ$16*--(N(_DATA_Dashboard_Facts!$F$21)&gt;0)),2))</f>
        <v>5</v>
      </c>
      <c r="F111">
        <f>IF(SUM(_ENGINE_Strategy!$AA$16*--(N(_DATA_Dashboard_Facts!$F$5)&gt;0),_ENGINE_Strategy!$AB$16*--(N(_DATA_Dashboard_Facts!$F$6)&gt;0),_ENGINE_Strategy!$AC$16*--(N(_DATA_Dashboard_Facts!$F$7)&gt;0),_ENGINE_Strategy!$AD$16*--(N(_DATA_Dashboard_Facts!$F$8)&gt;0),_ENGINE_Strategy!$AE$16*--(N(_DATA_Dashboard_Facts!$F$9)&gt;0),_ENGINE_Strategy!$AF$16*--(N(_DATA_Dashboard_Facts!$F$10)&gt;0),_ENGINE_Strategy!$AG$16*--(N(_DATA_Dashboard_Facts!$F$11)&gt;0),_ENGINE_Strategy!$AH$16*--(N(_DATA_Dashboard_Facts!$F$12)&gt;0),_ENGINE_Strategy!$AI$16*--(N(_DATA_Dashboard_Facts!$F$13)&gt;0),_ENGINE_Strategy!$AJ$16*--(N(_DATA_Dashboard_Facts!$F$14)&gt;0),_ENGINE_Strategy!$AK$16*--(N(_DATA_Dashboard_Facts!$F$15)&gt;0),_ENGINE_Strategy!$AL$16*--(N(_DATA_Dashboard_Facts!$F$16)&gt;0),_ENGINE_Strategy!$AM$16*--(N(_DATA_Dashboard_Facts!$F$17)&gt;0),_ENGINE_Strategy!$AN$16*--(N(_DATA_Dashboard_Facts!$F$18)&gt;0),_ENGINE_Strategy!$AO$16*--(N(_DATA_Dashboard_Facts!$F$19)&gt;0),_ENGINE_Strategy!$AP$16*--(N(_DATA_Dashboard_Facts!$F$20)&gt;0),_ENGINE_Strategy!$AQ$16*--(N(_DATA_Dashboard_Facts!$F$21)&gt;0))=0,0,ROUND(MIN(5,(SUM(_ENGINE_Strategy!$AA$16*(N(_DATA_Dashboard_Facts!$J$5)+cfg_RiskSecondaryWeight*N(_DATA_Dashboard_Facts!$K$5))*--(N(_DATA_Dashboard_Facts!$F$5)&gt;0),_ENGINE_Strategy!$AB$16*(N(_DATA_Dashboard_Facts!$J$6)+cfg_RiskSecondaryWeight*N(_DATA_Dashboard_Facts!$K$6))*--(N(_DATA_Dashboard_Facts!$F$6)&gt;0),_ENGINE_Strategy!$AC$16*(N(_DATA_Dashboard_Facts!$J$7)+cfg_RiskSecondaryWeight*N(_DATA_Dashboard_Facts!$K$7))*--(N(_DATA_Dashboard_Facts!$F$7)&gt;0),_ENGINE_Strategy!$AD$16*(N(_DATA_Dashboard_Facts!$J$8)+cfg_RiskSecondaryWeight*N(_DATA_Dashboard_Facts!$K$8))*--(N(_DATA_Dashboard_Facts!$F$8)&gt;0),_ENGINE_Strategy!$AE$16*(N(_DATA_Dashboard_Facts!$J$9)+cfg_RiskSecondaryWeight*N(_DATA_Dashboard_Facts!$K$9))*--(N(_DATA_Dashboard_Facts!$F$9)&gt;0),_ENGINE_Strategy!$AF$16*(N(_DATA_Dashboard_Facts!$J$10)+cfg_RiskSecondaryWeight*N(_DATA_Dashboard_Facts!$K$10))*--(N(_DATA_Dashboard_Facts!$F$10)&gt;0),_ENGINE_Strategy!$AG$16*(N(_DATA_Dashboard_Facts!$J$11)+cfg_RiskSecondaryWeight*N(_DATA_Dashboard_Facts!$K$11))*--(N(_DATA_Dashboard_Facts!$F$11)&gt;0),_ENGINE_Strategy!$AH$16*(N(_DATA_Dashboard_Facts!$J$12)+cfg_RiskSecondaryWeight*N(_DATA_Dashboard_Facts!$K$12))*--(N(_DATA_Dashboard_Facts!$F$12)&gt;0),_ENGINE_Strategy!$AI$16*(N(_DATA_Dashboard_Facts!$J$13)+cfg_RiskSecondaryWeight*N(_DATA_Dashboard_Facts!$K$13))*--(N(_DATA_Dashboard_Facts!$F$13)&gt;0),_ENGINE_Strategy!$AJ$16*(N(_DATA_Dashboard_Facts!$J$14)+cfg_RiskSecondaryWeight*N(_DATA_Dashboard_Facts!$K$14))*--(N(_DATA_Dashboard_Facts!$F$14)&gt;0),_ENGINE_Strategy!$AK$16*(N(_DATA_Dashboard_Facts!$J$15)+cfg_RiskSecondaryWeight*N(_DATA_Dashboard_Facts!$K$15))*--(N(_DATA_Dashboard_Facts!$F$15)&gt;0),_ENGINE_Strategy!$AL$16*(N(_DATA_Dashboard_Facts!$J$16)+cfg_RiskSecondaryWeight*N(_DATA_Dashboard_Facts!$K$16))*--(N(_DATA_Dashboard_Facts!$F$16)&gt;0),_ENGINE_Strategy!$AM$16*(N(_DATA_Dashboard_Facts!$J$17)+cfg_RiskSecondaryWeight*N(_DATA_Dashboard_Facts!$K$17))*--(N(_DATA_Dashboard_Facts!$F$17)&gt;0),_ENGINE_Strategy!$AN$16*(N(_DATA_Dashboard_Facts!$J$18)+cfg_RiskSecondaryWeight*N(_DATA_Dashboard_Facts!$K$18))*--(N(_DATA_Dashboard_Facts!$F$18)&gt;0),_ENGINE_Strategy!$AO$16*(N(_DATA_Dashboard_Facts!$J$19)+cfg_RiskSecondaryWeight*N(_DATA_Dashboard_Facts!$K$19))*--(N(_DATA_Dashboard_Facts!$F$19)&gt;0),_ENGINE_Strategy!$AP$16*(N(_DATA_Dashboard_Facts!$J$20)+cfg_RiskSecondaryWeight*N(_DATA_Dashboard_Facts!$K$20))*--(N(_DATA_Dashboard_Facts!$F$20)&gt;0),_ENGINE_Strategy!$AQ$16*(N(_DATA_Dashboard_Facts!$J$21)+cfg_RiskSecondaryWeight*N(_DATA_Dashboard_Facts!$K$21))*--(N(_DATA_Dashboard_Facts!$F$21)&gt;0))/SUM(_ENGINE_Strategy!$AA$16*--(N(_DATA_Dashboard_Facts!$F$5)&gt;0),_ENGINE_Strategy!$AB$16*--(N(_DATA_Dashboard_Facts!$F$6)&gt;0),_ENGINE_Strategy!$AC$16*--(N(_DATA_Dashboard_Facts!$F$7)&gt;0),_ENGINE_Strategy!$AD$16*--(N(_DATA_Dashboard_Facts!$F$8)&gt;0),_ENGINE_Strategy!$AE$16*--(N(_DATA_Dashboard_Facts!$F$9)&gt;0),_ENGINE_Strategy!$AF$16*--(N(_DATA_Dashboard_Facts!$F$10)&gt;0),_ENGINE_Strategy!$AG$16*--(N(_DATA_Dashboard_Facts!$F$11)&gt;0),_ENGINE_Strategy!$AH$16*--(N(_DATA_Dashboard_Facts!$F$12)&gt;0),_ENGINE_Strategy!$AI$16*--(N(_DATA_Dashboard_Facts!$F$13)&gt;0),_ENGINE_Strategy!$AJ$16*--(N(_DATA_Dashboard_Facts!$F$14)&gt;0),_ENGINE_Strategy!$AK$16*--(N(_DATA_Dashboard_Facts!$F$15)&gt;0),_ENGINE_Strategy!$AL$16*--(N(_DATA_Dashboard_Facts!$F$16)&gt;0),_ENGINE_Strategy!$AM$16*--(N(_DATA_Dashboard_Facts!$F$17)&gt;0),_ENGINE_Strategy!$AN$16*--(N(_DATA_Dashboard_Facts!$F$18)&gt;0),_ENGINE_Strategy!$AO$16*--(N(_DATA_Dashboard_Facts!$F$19)&gt;0),_ENGINE_Strategy!$AP$16*--(N(_DATA_Dashboard_Facts!$F$20)&gt;0),_ENGINE_Strategy!$AQ$16*--(N(_DATA_Dashboard_Facts!$F$21)&gt;0)))/MAX(0.1,cfg_RiskFitScale)),2))</f>
        <v>4.6900000000000004</v>
      </c>
      <c r="G111">
        <f>IFERROR(ROUND((5-_DATA_Dashboard_Facts!$R$9)*(_ENGINE_Strategy!K16/5),2),0)</f>
        <v>4</v>
      </c>
      <c r="H111">
        <f>IFERROR(ROUND((5-_DATA_Dashboard_Facts!$R$9)*(_ENGINE_Strategy!L16/5),2),0)</f>
        <v>4</v>
      </c>
      <c r="I111">
        <f>IFERROR(ROUND((5-_DATA_Dashboard_Facts!$R$9)*(_ENGINE_Strategy!M16/5),2),0)</f>
        <v>3</v>
      </c>
      <c r="J111">
        <f t="shared" si="1"/>
        <v>65.8</v>
      </c>
      <c r="K111" t="str">
        <f>IF(_DATA_Dashboard_Facts!$R$7&gt;=0.8,"High",IF(_DATA_Dashboard_Facts!$R$7&gt;=0.5,"Medium","Low - assessment incomplete"))</f>
        <v>High</v>
      </c>
      <c r="L111" t="str">
        <f t="shared" si="2"/>
        <v>Watchlist</v>
      </c>
      <c r="M111" t="str">
        <f>_ENGINE_Strategy!E16</f>
        <v>Customer retention, revenue visibility and forecasting improve.</v>
      </c>
      <c r="N111" t="str">
        <f>"Crisis fit: "&amp;D111&amp;"; domain gap fit: "&amp;E111&amp;"; risk fit: "&amp;F111&amp;". Trigger domains: "&amp;_ENGINE_Strategy!AR16</f>
        <v>Crisis fit: 0; domain gap fit: 5; risk fit: 4.69. Trigger domains: Sales CRM; Marketing Comms; Strategy GTM</v>
      </c>
      <c r="O111" t="str">
        <f>_ENGINE_Strategy!F16</f>
        <v>Customer health score, churn playbooks, account coverage, retention offers, comms scripts, revenue risk dashboard.</v>
      </c>
      <c r="P111" t="str">
        <f>_ENGINE_Strategy!G16</f>
        <v>CRO / Customer Success Lead</v>
      </c>
      <c r="Q111" t="str">
        <f>_ENGINE_Strategy!H16</f>
        <v>0-6 months</v>
      </c>
      <c r="R111" t="str">
        <f>_ENGINE_Strategy!I16</f>
        <v>Churn rate; retention rate; revenue at risk; account coverage; forecast accuracy</v>
      </c>
      <c r="S111">
        <f>_ENGINE_Strategy!N16</f>
        <v>3</v>
      </c>
      <c r="T111">
        <f>COUNTIF(_ENGINE_Initiatives!$D$5:$D$76,$B111)</f>
        <v>7</v>
      </c>
      <c r="U111" t="str">
        <f>IFERROR(INDEX(_ENGINE_Initiatives!$AE$5:$AE$76,MATCH($B111,_ENGINE_Initiatives!$D$5:$D$76,0)),"")</f>
        <v>6-12 months</v>
      </c>
      <c r="V111">
        <f>IFERROR(ROUND(AVERAGEIF(_ENGINE_Initiatives!$D$5:$D$76,$B111,_ENGINE_Initiatives!$AC$5:$AC$76),2),"")</f>
        <v>1.68</v>
      </c>
      <c r="W111">
        <f>IFERROR(SUMIFS(_REF_Model_Content!$D$300:$D$429,_REF_Model_Content!$A$300:$A$429,PV_Canonical_Industry,_REF_Model_Content!$B$300:$B$429,$C111),3)</f>
        <v>0</v>
      </c>
      <c r="X111">
        <f>IF(OR($J111="",AND($C111="STR-09",SUMIF(_DATA_Dashboard_Facts!$A$5:$A$21,"Manufacturing MES",_DATA_Dashboard_Facts!$F$5:$F$21)=0)),"",ROUND($J111*(1+($W111-3)*0.06),2))</f>
        <v>53.96</v>
      </c>
    </row>
    <row r="112" spans="1:24">
      <c r="A112">
        <f t="shared" si="0"/>
        <v>4</v>
      </c>
      <c r="B112" t="str">
        <f>_ENGINE_Strategy!B17</f>
        <v>Compliance and Risk Control Strategy</v>
      </c>
      <c r="C112" t="str">
        <f>_ENGINE_Strategy!A17</f>
        <v>STR-13</v>
      </c>
      <c r="D112">
        <f>IFERROR(ROUND(INDEX(_ENGINE_Strategy!$P17:$Z17,1,MATCH('Resilience &amp; Risk Scenario'!$B$6,_ENGINE_Strategy!$P$4:$Z$4,0))*cfg_ScenarioFitScale,2),0)</f>
        <v>0</v>
      </c>
      <c r="E112">
        <f>IF(SUM(_ENGINE_Strategy!$AA$17*--(N(_DATA_Dashboard_Facts!$F$5)&gt;0),_ENGINE_Strategy!$AB$17*--(N(_DATA_Dashboard_Facts!$F$6)&gt;0),_ENGINE_Strategy!$AC$17*--(N(_DATA_Dashboard_Facts!$F$7)&gt;0),_ENGINE_Strategy!$AD$17*--(N(_DATA_Dashboard_Facts!$F$8)&gt;0),_ENGINE_Strategy!$AE$17*--(N(_DATA_Dashboard_Facts!$F$9)&gt;0),_ENGINE_Strategy!$AF$17*--(N(_DATA_Dashboard_Facts!$F$10)&gt;0),_ENGINE_Strategy!$AG$17*--(N(_DATA_Dashboard_Facts!$F$11)&gt;0),_ENGINE_Strategy!$AH$17*--(N(_DATA_Dashboard_Facts!$F$12)&gt;0),_ENGINE_Strategy!$AI$17*--(N(_DATA_Dashboard_Facts!$F$13)&gt;0),_ENGINE_Strategy!$AJ$17*--(N(_DATA_Dashboard_Facts!$F$14)&gt;0),_ENGINE_Strategy!$AK$17*--(N(_DATA_Dashboard_Facts!$F$15)&gt;0),_ENGINE_Strategy!$AL$17*--(N(_DATA_Dashboard_Facts!$F$16)&gt;0),_ENGINE_Strategy!$AM$17*--(N(_DATA_Dashboard_Facts!$F$17)&gt;0),_ENGINE_Strategy!$AN$17*--(N(_DATA_Dashboard_Facts!$F$18)&gt;0),_ENGINE_Strategy!$AO$17*--(N(_DATA_Dashboard_Facts!$F$19)&gt;0),_ENGINE_Strategy!$AP$17*--(N(_DATA_Dashboard_Facts!$F$20)&gt;0),_ENGINE_Strategy!$AQ$17*--(N(_DATA_Dashboard_Facts!$F$21)&gt;0))=0,0,ROUND(SUM(_ENGINE_Strategy!$AA$17*(5-N(_DATA_Dashboard_Facts!$H$5))*--(N(_DATA_Dashboard_Facts!$F$5)&gt;0),_ENGINE_Strategy!$AB$17*(5-N(_DATA_Dashboard_Facts!$H$6))*--(N(_DATA_Dashboard_Facts!$F$6)&gt;0),_ENGINE_Strategy!$AC$17*(5-N(_DATA_Dashboard_Facts!$H$7))*--(N(_DATA_Dashboard_Facts!$F$7)&gt;0),_ENGINE_Strategy!$AD$17*(5-N(_DATA_Dashboard_Facts!$H$8))*--(N(_DATA_Dashboard_Facts!$F$8)&gt;0),_ENGINE_Strategy!$AE$17*(5-N(_DATA_Dashboard_Facts!$H$9))*--(N(_DATA_Dashboard_Facts!$F$9)&gt;0),_ENGINE_Strategy!$AF$17*(5-N(_DATA_Dashboard_Facts!$H$10))*--(N(_DATA_Dashboard_Facts!$F$10)&gt;0),_ENGINE_Strategy!$AG$17*(5-N(_DATA_Dashboard_Facts!$H$11))*--(N(_DATA_Dashboard_Facts!$F$11)&gt;0),_ENGINE_Strategy!$AH$17*(5-N(_DATA_Dashboard_Facts!$H$12))*--(N(_DATA_Dashboard_Facts!$F$12)&gt;0),_ENGINE_Strategy!$AI$17*(5-N(_DATA_Dashboard_Facts!$H$13))*--(N(_DATA_Dashboard_Facts!$F$13)&gt;0),_ENGINE_Strategy!$AJ$17*(5-N(_DATA_Dashboard_Facts!$H$14))*--(N(_DATA_Dashboard_Facts!$F$14)&gt;0),_ENGINE_Strategy!$AK$17*(5-N(_DATA_Dashboard_Facts!$H$15))*--(N(_DATA_Dashboard_Facts!$F$15)&gt;0),_ENGINE_Strategy!$AL$17*(5-N(_DATA_Dashboard_Facts!$H$16))*--(N(_DATA_Dashboard_Facts!$F$16)&gt;0),_ENGINE_Strategy!$AM$17*(5-N(_DATA_Dashboard_Facts!$H$17))*--(N(_DATA_Dashboard_Facts!$F$17)&gt;0),_ENGINE_Strategy!$AN$17*(5-N(_DATA_Dashboard_Facts!$H$18))*--(N(_DATA_Dashboard_Facts!$F$18)&gt;0),_ENGINE_Strategy!$AO$17*(5-N(_DATA_Dashboard_Facts!$H$19))*--(N(_DATA_Dashboard_Facts!$F$19)&gt;0),_ENGINE_Strategy!$AP$17*(5-N(_DATA_Dashboard_Facts!$H$20))*--(N(_DATA_Dashboard_Facts!$F$20)&gt;0),_ENGINE_Strategy!$AQ$17*(5-N(_DATA_Dashboard_Facts!$H$21))*--(N(_DATA_Dashboard_Facts!$F$21)&gt;0))/SUM(_ENGINE_Strategy!$AA$17*--(N(_DATA_Dashboard_Facts!$F$5)&gt;0),_ENGINE_Strategy!$AB$17*--(N(_DATA_Dashboard_Facts!$F$6)&gt;0),_ENGINE_Strategy!$AC$17*--(N(_DATA_Dashboard_Facts!$F$7)&gt;0),_ENGINE_Strategy!$AD$17*--(N(_DATA_Dashboard_Facts!$F$8)&gt;0),_ENGINE_Strategy!$AE$17*--(N(_DATA_Dashboard_Facts!$F$9)&gt;0),_ENGINE_Strategy!$AF$17*--(N(_DATA_Dashboard_Facts!$F$10)&gt;0),_ENGINE_Strategy!$AG$17*--(N(_DATA_Dashboard_Facts!$F$11)&gt;0),_ENGINE_Strategy!$AH$17*--(N(_DATA_Dashboard_Facts!$F$12)&gt;0),_ENGINE_Strategy!$AI$17*--(N(_DATA_Dashboard_Facts!$F$13)&gt;0),_ENGINE_Strategy!$AJ$17*--(N(_DATA_Dashboard_Facts!$F$14)&gt;0),_ENGINE_Strategy!$AK$17*--(N(_DATA_Dashboard_Facts!$F$15)&gt;0),_ENGINE_Strategy!$AL$17*--(N(_DATA_Dashboard_Facts!$F$16)&gt;0),_ENGINE_Strategy!$AM$17*--(N(_DATA_Dashboard_Facts!$F$17)&gt;0),_ENGINE_Strategy!$AN$17*--(N(_DATA_Dashboard_Facts!$F$18)&gt;0),_ENGINE_Strategy!$AO$17*--(N(_DATA_Dashboard_Facts!$F$19)&gt;0),_ENGINE_Strategy!$AP$17*--(N(_DATA_Dashboard_Facts!$F$20)&gt;0),_ENGINE_Strategy!$AQ$17*--(N(_DATA_Dashboard_Facts!$F$21)&gt;0)),2))</f>
        <v>5</v>
      </c>
      <c r="F112">
        <f>IF(SUM(_ENGINE_Strategy!$AA$17*--(N(_DATA_Dashboard_Facts!$F$5)&gt;0),_ENGINE_Strategy!$AB$17*--(N(_DATA_Dashboard_Facts!$F$6)&gt;0),_ENGINE_Strategy!$AC$17*--(N(_DATA_Dashboard_Facts!$F$7)&gt;0),_ENGINE_Strategy!$AD$17*--(N(_DATA_Dashboard_Facts!$F$8)&gt;0),_ENGINE_Strategy!$AE$17*--(N(_DATA_Dashboard_Facts!$F$9)&gt;0),_ENGINE_Strategy!$AF$17*--(N(_DATA_Dashboard_Facts!$F$10)&gt;0),_ENGINE_Strategy!$AG$17*--(N(_DATA_Dashboard_Facts!$F$11)&gt;0),_ENGINE_Strategy!$AH$17*--(N(_DATA_Dashboard_Facts!$F$12)&gt;0),_ENGINE_Strategy!$AI$17*--(N(_DATA_Dashboard_Facts!$F$13)&gt;0),_ENGINE_Strategy!$AJ$17*--(N(_DATA_Dashboard_Facts!$F$14)&gt;0),_ENGINE_Strategy!$AK$17*--(N(_DATA_Dashboard_Facts!$F$15)&gt;0),_ENGINE_Strategy!$AL$17*--(N(_DATA_Dashboard_Facts!$F$16)&gt;0),_ENGINE_Strategy!$AM$17*--(N(_DATA_Dashboard_Facts!$F$17)&gt;0),_ENGINE_Strategy!$AN$17*--(N(_DATA_Dashboard_Facts!$F$18)&gt;0),_ENGINE_Strategy!$AO$17*--(N(_DATA_Dashboard_Facts!$F$19)&gt;0),_ENGINE_Strategy!$AP$17*--(N(_DATA_Dashboard_Facts!$F$20)&gt;0),_ENGINE_Strategy!$AQ$17*--(N(_DATA_Dashboard_Facts!$F$21)&gt;0))=0,0,ROUND(MIN(5,(SUM(_ENGINE_Strategy!$AA$17*(N(_DATA_Dashboard_Facts!$J$5)+cfg_RiskSecondaryWeight*N(_DATA_Dashboard_Facts!$K$5))*--(N(_DATA_Dashboard_Facts!$F$5)&gt;0),_ENGINE_Strategy!$AB$17*(N(_DATA_Dashboard_Facts!$J$6)+cfg_RiskSecondaryWeight*N(_DATA_Dashboard_Facts!$K$6))*--(N(_DATA_Dashboard_Facts!$F$6)&gt;0),_ENGINE_Strategy!$AC$17*(N(_DATA_Dashboard_Facts!$J$7)+cfg_RiskSecondaryWeight*N(_DATA_Dashboard_Facts!$K$7))*--(N(_DATA_Dashboard_Facts!$F$7)&gt;0),_ENGINE_Strategy!$AD$17*(N(_DATA_Dashboard_Facts!$J$8)+cfg_RiskSecondaryWeight*N(_DATA_Dashboard_Facts!$K$8))*--(N(_DATA_Dashboard_Facts!$F$8)&gt;0),_ENGINE_Strategy!$AE$17*(N(_DATA_Dashboard_Facts!$J$9)+cfg_RiskSecondaryWeight*N(_DATA_Dashboard_Facts!$K$9))*--(N(_DATA_Dashboard_Facts!$F$9)&gt;0),_ENGINE_Strategy!$AF$17*(N(_DATA_Dashboard_Facts!$J$10)+cfg_RiskSecondaryWeight*N(_DATA_Dashboard_Facts!$K$10))*--(N(_DATA_Dashboard_Facts!$F$10)&gt;0),_ENGINE_Strategy!$AG$17*(N(_DATA_Dashboard_Facts!$J$11)+cfg_RiskSecondaryWeight*N(_DATA_Dashboard_Facts!$K$11))*--(N(_DATA_Dashboard_Facts!$F$11)&gt;0),_ENGINE_Strategy!$AH$17*(N(_DATA_Dashboard_Facts!$J$12)+cfg_RiskSecondaryWeight*N(_DATA_Dashboard_Facts!$K$12))*--(N(_DATA_Dashboard_Facts!$F$12)&gt;0),_ENGINE_Strategy!$AI$17*(N(_DATA_Dashboard_Facts!$J$13)+cfg_RiskSecondaryWeight*N(_DATA_Dashboard_Facts!$K$13))*--(N(_DATA_Dashboard_Facts!$F$13)&gt;0),_ENGINE_Strategy!$AJ$17*(N(_DATA_Dashboard_Facts!$J$14)+cfg_RiskSecondaryWeight*N(_DATA_Dashboard_Facts!$K$14))*--(N(_DATA_Dashboard_Facts!$F$14)&gt;0),_ENGINE_Strategy!$AK$17*(N(_DATA_Dashboard_Facts!$J$15)+cfg_RiskSecondaryWeight*N(_DATA_Dashboard_Facts!$K$15))*--(N(_DATA_Dashboard_Facts!$F$15)&gt;0),_ENGINE_Strategy!$AL$17*(N(_DATA_Dashboard_Facts!$J$16)+cfg_RiskSecondaryWeight*N(_DATA_Dashboard_Facts!$K$16))*--(N(_DATA_Dashboard_Facts!$F$16)&gt;0),_ENGINE_Strategy!$AM$17*(N(_DATA_Dashboard_Facts!$J$17)+cfg_RiskSecondaryWeight*N(_DATA_Dashboard_Facts!$K$17))*--(N(_DATA_Dashboard_Facts!$F$17)&gt;0),_ENGINE_Strategy!$AN$17*(N(_DATA_Dashboard_Facts!$J$18)+cfg_RiskSecondaryWeight*N(_DATA_Dashboard_Facts!$K$18))*--(N(_DATA_Dashboard_Facts!$F$18)&gt;0),_ENGINE_Strategy!$AO$17*(N(_DATA_Dashboard_Facts!$J$19)+cfg_RiskSecondaryWeight*N(_DATA_Dashboard_Facts!$K$19))*--(N(_DATA_Dashboard_Facts!$F$19)&gt;0),_ENGINE_Strategy!$AP$17*(N(_DATA_Dashboard_Facts!$J$20)+cfg_RiskSecondaryWeight*N(_DATA_Dashboard_Facts!$K$20))*--(N(_DATA_Dashboard_Facts!$F$20)&gt;0),_ENGINE_Strategy!$AQ$17*(N(_DATA_Dashboard_Facts!$J$21)+cfg_RiskSecondaryWeight*N(_DATA_Dashboard_Facts!$K$21))*--(N(_DATA_Dashboard_Facts!$F$21)&gt;0))/SUM(_ENGINE_Strategy!$AA$17*--(N(_DATA_Dashboard_Facts!$F$5)&gt;0),_ENGINE_Strategy!$AB$17*--(N(_DATA_Dashboard_Facts!$F$6)&gt;0),_ENGINE_Strategy!$AC$17*--(N(_DATA_Dashboard_Facts!$F$7)&gt;0),_ENGINE_Strategy!$AD$17*--(N(_DATA_Dashboard_Facts!$F$8)&gt;0),_ENGINE_Strategy!$AE$17*--(N(_DATA_Dashboard_Facts!$F$9)&gt;0),_ENGINE_Strategy!$AF$17*--(N(_DATA_Dashboard_Facts!$F$10)&gt;0),_ENGINE_Strategy!$AG$17*--(N(_DATA_Dashboard_Facts!$F$11)&gt;0),_ENGINE_Strategy!$AH$17*--(N(_DATA_Dashboard_Facts!$F$12)&gt;0),_ENGINE_Strategy!$AI$17*--(N(_DATA_Dashboard_Facts!$F$13)&gt;0),_ENGINE_Strategy!$AJ$17*--(N(_DATA_Dashboard_Facts!$F$14)&gt;0),_ENGINE_Strategy!$AK$17*--(N(_DATA_Dashboard_Facts!$F$15)&gt;0),_ENGINE_Strategy!$AL$17*--(N(_DATA_Dashboard_Facts!$F$16)&gt;0),_ENGINE_Strategy!$AM$17*--(N(_DATA_Dashboard_Facts!$F$17)&gt;0),_ENGINE_Strategy!$AN$17*--(N(_DATA_Dashboard_Facts!$F$18)&gt;0),_ENGINE_Strategy!$AO$17*--(N(_DATA_Dashboard_Facts!$F$19)&gt;0),_ENGINE_Strategy!$AP$17*--(N(_DATA_Dashboard_Facts!$F$20)&gt;0),_ENGINE_Strategy!$AQ$17*--(N(_DATA_Dashboard_Facts!$F$21)&gt;0)))/MAX(0.1,cfg_RiskFitScale)),2))</f>
        <v>5</v>
      </c>
      <c r="G112">
        <f>IFERROR(ROUND((5-_DATA_Dashboard_Facts!$R$9)*(_ENGINE_Strategy!K17/5),2),0)</f>
        <v>3</v>
      </c>
      <c r="H112">
        <f>IFERROR(ROUND((5-_DATA_Dashboard_Facts!$R$9)*(_ENGINE_Strategy!L17/5),2),0)</f>
        <v>4</v>
      </c>
      <c r="I112">
        <f>IFERROR(ROUND((5-_DATA_Dashboard_Facts!$R$9)*(_ENGINE_Strategy!M17/5),2),0)</f>
        <v>5</v>
      </c>
      <c r="J112">
        <f t="shared" si="1"/>
        <v>69</v>
      </c>
      <c r="K112" t="str">
        <f>IF(_DATA_Dashboard_Facts!$R$7&gt;=0.8,"High",IF(_DATA_Dashboard_Facts!$R$7&gt;=0.5,"Medium","Low - assessment incomplete"))</f>
        <v>High</v>
      </c>
      <c r="L112" t="str">
        <f t="shared" si="2"/>
        <v>Watchlist</v>
      </c>
      <c r="M112" t="str">
        <f>_ENGINE_Strategy!E17</f>
        <v>Compliance risk is reduced and controls become auditable.</v>
      </c>
      <c r="N112" t="str">
        <f>"Crisis fit: "&amp;D112&amp;"; domain gap fit: "&amp;E112&amp;"; risk fit: "&amp;F112&amp;". Trigger domains: "&amp;_ENGINE_Strategy!AR17</f>
        <v>Crisis fit: 0; domain gap fit: 5; risk fit: 5. Trigger domains: Legal Risk; Cyber Privacy; Governance Crisis</v>
      </c>
      <c r="O112" t="str">
        <f>_ENGINE_Strategy!F17</f>
        <v>Obligation register, risk register, compliance calendar, policy automation, audit trail, contract controls.</v>
      </c>
      <c r="P112" t="str">
        <f>_ENGINE_Strategy!G17</f>
        <v>General Counsel / Compliance Lead</v>
      </c>
      <c r="Q112" t="str">
        <f>_ENGINE_Strategy!H17</f>
        <v>0-9 months</v>
      </c>
      <c r="R112" t="str">
        <f>_ENGINE_Strategy!I17</f>
        <v>Obligations mapped; control tests; audit findings; policy exceptions; risk register completeness</v>
      </c>
      <c r="S112">
        <f>_ENGINE_Strategy!N17</f>
        <v>3</v>
      </c>
      <c r="T112">
        <f>COUNTIF(_ENGINE_Initiatives!$D$5:$D$76,$B112)</f>
        <v>6</v>
      </c>
      <c r="U112" t="str">
        <f>IFERROR(INDEX(_ENGINE_Initiatives!$AE$5:$AE$76,MATCH($B112,_ENGINE_Initiatives!$D$5:$D$76,0)),"")</f>
        <v>3-6 months</v>
      </c>
      <c r="V112">
        <f>IFERROR(ROUND(AVERAGEIF(_ENGINE_Initiatives!$D$5:$D$76,$B112,_ENGINE_Initiatives!$AC$5:$AC$76),2),"")</f>
        <v>2.42</v>
      </c>
      <c r="W112">
        <f>IFERROR(SUMIFS(_REF_Model_Content!$D$300:$D$429,_REF_Model_Content!$A$300:$A$429,PV_Canonical_Industry,_REF_Model_Content!$B$300:$B$429,$C112),3)</f>
        <v>0</v>
      </c>
      <c r="X112">
        <f>IF(OR($J112="",AND($C112="STR-09",SUMIF(_DATA_Dashboard_Facts!$A$5:$A$21,"Manufacturing MES",_DATA_Dashboard_Facts!$F$5:$F$21)=0)),"",ROUND($J112*(1+($W112-3)*0.06),2))</f>
        <v>56.58</v>
      </c>
    </row>
    <row r="113" spans="1:24">
      <c r="A113">
        <f t="shared" si="0"/>
        <v>14</v>
      </c>
      <c r="B113" t="str">
        <f>_ENGINE_Strategy!B18</f>
        <v>Governance and Decision-Speed Strategy</v>
      </c>
      <c r="C113" t="str">
        <f>_ENGINE_Strategy!A18</f>
        <v>STR-14</v>
      </c>
      <c r="D113">
        <f>IFERROR(ROUND(INDEX(_ENGINE_Strategy!$P18:$Z18,1,MATCH('Resilience &amp; Risk Scenario'!$B$6,_ENGINE_Strategy!$P$4:$Z$4,0))*cfg_ScenarioFitScale,2),0)</f>
        <v>0</v>
      </c>
      <c r="E113">
        <f>IF(SUM(_ENGINE_Strategy!$AA$18*--(N(_DATA_Dashboard_Facts!$F$5)&gt;0),_ENGINE_Strategy!$AB$18*--(N(_DATA_Dashboard_Facts!$F$6)&gt;0),_ENGINE_Strategy!$AC$18*--(N(_DATA_Dashboard_Facts!$F$7)&gt;0),_ENGINE_Strategy!$AD$18*--(N(_DATA_Dashboard_Facts!$F$8)&gt;0),_ENGINE_Strategy!$AE$18*--(N(_DATA_Dashboard_Facts!$F$9)&gt;0),_ENGINE_Strategy!$AF$18*--(N(_DATA_Dashboard_Facts!$F$10)&gt;0),_ENGINE_Strategy!$AG$18*--(N(_DATA_Dashboard_Facts!$F$11)&gt;0),_ENGINE_Strategy!$AH$18*--(N(_DATA_Dashboard_Facts!$F$12)&gt;0),_ENGINE_Strategy!$AI$18*--(N(_DATA_Dashboard_Facts!$F$13)&gt;0),_ENGINE_Strategy!$AJ$18*--(N(_DATA_Dashboard_Facts!$F$14)&gt;0),_ENGINE_Strategy!$AK$18*--(N(_DATA_Dashboard_Facts!$F$15)&gt;0),_ENGINE_Strategy!$AL$18*--(N(_DATA_Dashboard_Facts!$F$16)&gt;0),_ENGINE_Strategy!$AM$18*--(N(_DATA_Dashboard_Facts!$F$17)&gt;0),_ENGINE_Strategy!$AN$18*--(N(_DATA_Dashboard_Facts!$F$18)&gt;0),_ENGINE_Strategy!$AO$18*--(N(_DATA_Dashboard_Facts!$F$19)&gt;0),_ENGINE_Strategy!$AP$18*--(N(_DATA_Dashboard_Facts!$F$20)&gt;0),_ENGINE_Strategy!$AQ$18*--(N(_DATA_Dashboard_Facts!$F$21)&gt;0))=0,0,ROUND(SUM(_ENGINE_Strategy!$AA$18*(5-N(_DATA_Dashboard_Facts!$H$5))*--(N(_DATA_Dashboard_Facts!$F$5)&gt;0),_ENGINE_Strategy!$AB$18*(5-N(_DATA_Dashboard_Facts!$H$6))*--(N(_DATA_Dashboard_Facts!$F$6)&gt;0),_ENGINE_Strategy!$AC$18*(5-N(_DATA_Dashboard_Facts!$H$7))*--(N(_DATA_Dashboard_Facts!$F$7)&gt;0),_ENGINE_Strategy!$AD$18*(5-N(_DATA_Dashboard_Facts!$H$8))*--(N(_DATA_Dashboard_Facts!$F$8)&gt;0),_ENGINE_Strategy!$AE$18*(5-N(_DATA_Dashboard_Facts!$H$9))*--(N(_DATA_Dashboard_Facts!$F$9)&gt;0),_ENGINE_Strategy!$AF$18*(5-N(_DATA_Dashboard_Facts!$H$10))*--(N(_DATA_Dashboard_Facts!$F$10)&gt;0),_ENGINE_Strategy!$AG$18*(5-N(_DATA_Dashboard_Facts!$H$11))*--(N(_DATA_Dashboard_Facts!$F$11)&gt;0),_ENGINE_Strategy!$AH$18*(5-N(_DATA_Dashboard_Facts!$H$12))*--(N(_DATA_Dashboard_Facts!$F$12)&gt;0),_ENGINE_Strategy!$AI$18*(5-N(_DATA_Dashboard_Facts!$H$13))*--(N(_DATA_Dashboard_Facts!$F$13)&gt;0),_ENGINE_Strategy!$AJ$18*(5-N(_DATA_Dashboard_Facts!$H$14))*--(N(_DATA_Dashboard_Facts!$F$14)&gt;0),_ENGINE_Strategy!$AK$18*(5-N(_DATA_Dashboard_Facts!$H$15))*--(N(_DATA_Dashboard_Facts!$F$15)&gt;0),_ENGINE_Strategy!$AL$18*(5-N(_DATA_Dashboard_Facts!$H$16))*--(N(_DATA_Dashboard_Facts!$F$16)&gt;0),_ENGINE_Strategy!$AM$18*(5-N(_DATA_Dashboard_Facts!$H$17))*--(N(_DATA_Dashboard_Facts!$F$17)&gt;0),_ENGINE_Strategy!$AN$18*(5-N(_DATA_Dashboard_Facts!$H$18))*--(N(_DATA_Dashboard_Facts!$F$18)&gt;0),_ENGINE_Strategy!$AO$18*(5-N(_DATA_Dashboard_Facts!$H$19))*--(N(_DATA_Dashboard_Facts!$F$19)&gt;0),_ENGINE_Strategy!$AP$18*(5-N(_DATA_Dashboard_Facts!$H$20))*--(N(_DATA_Dashboard_Facts!$F$20)&gt;0),_ENGINE_Strategy!$AQ$18*(5-N(_DATA_Dashboard_Facts!$H$21))*--(N(_DATA_Dashboard_Facts!$F$21)&gt;0))/SUM(_ENGINE_Strategy!$AA$18*--(N(_DATA_Dashboard_Facts!$F$5)&gt;0),_ENGINE_Strategy!$AB$18*--(N(_DATA_Dashboard_Facts!$F$6)&gt;0),_ENGINE_Strategy!$AC$18*--(N(_DATA_Dashboard_Facts!$F$7)&gt;0),_ENGINE_Strategy!$AD$18*--(N(_DATA_Dashboard_Facts!$F$8)&gt;0),_ENGINE_Strategy!$AE$18*--(N(_DATA_Dashboard_Facts!$F$9)&gt;0),_ENGINE_Strategy!$AF$18*--(N(_DATA_Dashboard_Facts!$F$10)&gt;0),_ENGINE_Strategy!$AG$18*--(N(_DATA_Dashboard_Facts!$F$11)&gt;0),_ENGINE_Strategy!$AH$18*--(N(_DATA_Dashboard_Facts!$F$12)&gt;0),_ENGINE_Strategy!$AI$18*--(N(_DATA_Dashboard_Facts!$F$13)&gt;0),_ENGINE_Strategy!$AJ$18*--(N(_DATA_Dashboard_Facts!$F$14)&gt;0),_ENGINE_Strategy!$AK$18*--(N(_DATA_Dashboard_Facts!$F$15)&gt;0),_ENGINE_Strategy!$AL$18*--(N(_DATA_Dashboard_Facts!$F$16)&gt;0),_ENGINE_Strategy!$AM$18*--(N(_DATA_Dashboard_Facts!$F$17)&gt;0),_ENGINE_Strategy!$AN$18*--(N(_DATA_Dashboard_Facts!$F$18)&gt;0),_ENGINE_Strategy!$AO$18*--(N(_DATA_Dashboard_Facts!$F$19)&gt;0),_ENGINE_Strategy!$AP$18*--(N(_DATA_Dashboard_Facts!$F$20)&gt;0),_ENGINE_Strategy!$AQ$18*--(N(_DATA_Dashboard_Facts!$F$21)&gt;0)),2))</f>
        <v>5</v>
      </c>
      <c r="F113">
        <f>IF(SUM(_ENGINE_Strategy!$AA$18*--(N(_DATA_Dashboard_Facts!$F$5)&gt;0),_ENGINE_Strategy!$AB$18*--(N(_DATA_Dashboard_Facts!$F$6)&gt;0),_ENGINE_Strategy!$AC$18*--(N(_DATA_Dashboard_Facts!$F$7)&gt;0),_ENGINE_Strategy!$AD$18*--(N(_DATA_Dashboard_Facts!$F$8)&gt;0),_ENGINE_Strategy!$AE$18*--(N(_DATA_Dashboard_Facts!$F$9)&gt;0),_ENGINE_Strategy!$AF$18*--(N(_DATA_Dashboard_Facts!$F$10)&gt;0),_ENGINE_Strategy!$AG$18*--(N(_DATA_Dashboard_Facts!$F$11)&gt;0),_ENGINE_Strategy!$AH$18*--(N(_DATA_Dashboard_Facts!$F$12)&gt;0),_ENGINE_Strategy!$AI$18*--(N(_DATA_Dashboard_Facts!$F$13)&gt;0),_ENGINE_Strategy!$AJ$18*--(N(_DATA_Dashboard_Facts!$F$14)&gt;0),_ENGINE_Strategy!$AK$18*--(N(_DATA_Dashboard_Facts!$F$15)&gt;0),_ENGINE_Strategy!$AL$18*--(N(_DATA_Dashboard_Facts!$F$16)&gt;0),_ENGINE_Strategy!$AM$18*--(N(_DATA_Dashboard_Facts!$F$17)&gt;0),_ENGINE_Strategy!$AN$18*--(N(_DATA_Dashboard_Facts!$F$18)&gt;0),_ENGINE_Strategy!$AO$18*--(N(_DATA_Dashboard_Facts!$F$19)&gt;0),_ENGINE_Strategy!$AP$18*--(N(_DATA_Dashboard_Facts!$F$20)&gt;0),_ENGINE_Strategy!$AQ$18*--(N(_DATA_Dashboard_Facts!$F$21)&gt;0))=0,0,ROUND(MIN(5,(SUM(_ENGINE_Strategy!$AA$18*(N(_DATA_Dashboard_Facts!$J$5)+cfg_RiskSecondaryWeight*N(_DATA_Dashboard_Facts!$K$5))*--(N(_DATA_Dashboard_Facts!$F$5)&gt;0),_ENGINE_Strategy!$AB$18*(N(_DATA_Dashboard_Facts!$J$6)+cfg_RiskSecondaryWeight*N(_DATA_Dashboard_Facts!$K$6))*--(N(_DATA_Dashboard_Facts!$F$6)&gt;0),_ENGINE_Strategy!$AC$18*(N(_DATA_Dashboard_Facts!$J$7)+cfg_RiskSecondaryWeight*N(_DATA_Dashboard_Facts!$K$7))*--(N(_DATA_Dashboard_Facts!$F$7)&gt;0),_ENGINE_Strategy!$AD$18*(N(_DATA_Dashboard_Facts!$J$8)+cfg_RiskSecondaryWeight*N(_DATA_Dashboard_Facts!$K$8))*--(N(_DATA_Dashboard_Facts!$F$8)&gt;0),_ENGINE_Strategy!$AE$18*(N(_DATA_Dashboard_Facts!$J$9)+cfg_RiskSecondaryWeight*N(_DATA_Dashboard_Facts!$K$9))*--(N(_DATA_Dashboard_Facts!$F$9)&gt;0),_ENGINE_Strategy!$AF$18*(N(_DATA_Dashboard_Facts!$J$10)+cfg_RiskSecondaryWeight*N(_DATA_Dashboard_Facts!$K$10))*--(N(_DATA_Dashboard_Facts!$F$10)&gt;0),_ENGINE_Strategy!$AG$18*(N(_DATA_Dashboard_Facts!$J$11)+cfg_RiskSecondaryWeight*N(_DATA_Dashboard_Facts!$K$11))*--(N(_DATA_Dashboard_Facts!$F$11)&gt;0),_ENGINE_Strategy!$AH$18*(N(_DATA_Dashboard_Facts!$J$12)+cfg_RiskSecondaryWeight*N(_DATA_Dashboard_Facts!$K$12))*--(N(_DATA_Dashboard_Facts!$F$12)&gt;0),_ENGINE_Strategy!$AI$18*(N(_DATA_Dashboard_Facts!$J$13)+cfg_RiskSecondaryWeight*N(_DATA_Dashboard_Facts!$K$13))*--(N(_DATA_Dashboard_Facts!$F$13)&gt;0),_ENGINE_Strategy!$AJ$18*(N(_DATA_Dashboard_Facts!$J$14)+cfg_RiskSecondaryWeight*N(_DATA_Dashboard_Facts!$K$14))*--(N(_DATA_Dashboard_Facts!$F$14)&gt;0),_ENGINE_Strategy!$AK$18*(N(_DATA_Dashboard_Facts!$J$15)+cfg_RiskSecondaryWeight*N(_DATA_Dashboard_Facts!$K$15))*--(N(_DATA_Dashboard_Facts!$F$15)&gt;0),_ENGINE_Strategy!$AL$18*(N(_DATA_Dashboard_Facts!$J$16)+cfg_RiskSecondaryWeight*N(_DATA_Dashboard_Facts!$K$16))*--(N(_DATA_Dashboard_Facts!$F$16)&gt;0),_ENGINE_Strategy!$AM$18*(N(_DATA_Dashboard_Facts!$J$17)+cfg_RiskSecondaryWeight*N(_DATA_Dashboard_Facts!$K$17))*--(N(_DATA_Dashboard_Facts!$F$17)&gt;0),_ENGINE_Strategy!$AN$18*(N(_DATA_Dashboard_Facts!$J$18)+cfg_RiskSecondaryWeight*N(_DATA_Dashboard_Facts!$K$18))*--(N(_DATA_Dashboard_Facts!$F$18)&gt;0),_ENGINE_Strategy!$AO$18*(N(_DATA_Dashboard_Facts!$J$19)+cfg_RiskSecondaryWeight*N(_DATA_Dashboard_Facts!$K$19))*--(N(_DATA_Dashboard_Facts!$F$19)&gt;0),_ENGINE_Strategy!$AP$18*(N(_DATA_Dashboard_Facts!$J$20)+cfg_RiskSecondaryWeight*N(_DATA_Dashboard_Facts!$K$20))*--(N(_DATA_Dashboard_Facts!$F$20)&gt;0),_ENGINE_Strategy!$AQ$18*(N(_DATA_Dashboard_Facts!$J$21)+cfg_RiskSecondaryWeight*N(_DATA_Dashboard_Facts!$K$21))*--(N(_DATA_Dashboard_Facts!$F$21)&gt;0))/SUM(_ENGINE_Strategy!$AA$18*--(N(_DATA_Dashboard_Facts!$F$5)&gt;0),_ENGINE_Strategy!$AB$18*--(N(_DATA_Dashboard_Facts!$F$6)&gt;0),_ENGINE_Strategy!$AC$18*--(N(_DATA_Dashboard_Facts!$F$7)&gt;0),_ENGINE_Strategy!$AD$18*--(N(_DATA_Dashboard_Facts!$F$8)&gt;0),_ENGINE_Strategy!$AE$18*--(N(_DATA_Dashboard_Facts!$F$9)&gt;0),_ENGINE_Strategy!$AF$18*--(N(_DATA_Dashboard_Facts!$F$10)&gt;0),_ENGINE_Strategy!$AG$18*--(N(_DATA_Dashboard_Facts!$F$11)&gt;0),_ENGINE_Strategy!$AH$18*--(N(_DATA_Dashboard_Facts!$F$12)&gt;0),_ENGINE_Strategy!$AI$18*--(N(_DATA_Dashboard_Facts!$F$13)&gt;0),_ENGINE_Strategy!$AJ$18*--(N(_DATA_Dashboard_Facts!$F$14)&gt;0),_ENGINE_Strategy!$AK$18*--(N(_DATA_Dashboard_Facts!$F$15)&gt;0),_ENGINE_Strategy!$AL$18*--(N(_DATA_Dashboard_Facts!$F$16)&gt;0),_ENGINE_Strategy!$AM$18*--(N(_DATA_Dashboard_Facts!$F$17)&gt;0),_ENGINE_Strategy!$AN$18*--(N(_DATA_Dashboard_Facts!$F$18)&gt;0),_ENGINE_Strategy!$AO$18*--(N(_DATA_Dashboard_Facts!$F$19)&gt;0),_ENGINE_Strategy!$AP$18*--(N(_DATA_Dashboard_Facts!$F$20)&gt;0),_ENGINE_Strategy!$AQ$18*--(N(_DATA_Dashboard_Facts!$F$21)&gt;0)))/MAX(0.1,cfg_RiskFitScale)),2))</f>
        <v>4.58</v>
      </c>
      <c r="G113">
        <f>IFERROR(ROUND((5-_DATA_Dashboard_Facts!$R$9)*(_ENGINE_Strategy!K18/5),2),0)</f>
        <v>2</v>
      </c>
      <c r="H113">
        <f>IFERROR(ROUND((5-_DATA_Dashboard_Facts!$R$9)*(_ENGINE_Strategy!L18/5),2),0)</f>
        <v>4</v>
      </c>
      <c r="I113">
        <f>IFERROR(ROUND((5-_DATA_Dashboard_Facts!$R$9)*(_ENGINE_Strategy!M18/5),2),0)</f>
        <v>5</v>
      </c>
      <c r="J113">
        <f t="shared" si="1"/>
        <v>65.3</v>
      </c>
      <c r="K113" t="str">
        <f>IF(_DATA_Dashboard_Facts!$R$7&gt;=0.8,"High",IF(_DATA_Dashboard_Facts!$R$7&gt;=0.5,"Medium","Low - assessment incomplete"))</f>
        <v>High</v>
      </c>
      <c r="L113" t="str">
        <f t="shared" si="2"/>
        <v>Watchlist</v>
      </c>
      <c r="M113" t="str">
        <f>_ENGINE_Strategy!E18</f>
        <v>Management decisions become faster, clearer and better aligned to risk and value.</v>
      </c>
      <c r="N113" t="str">
        <f>"Crisis fit: "&amp;D113&amp;"; domain gap fit: "&amp;E113&amp;"; risk fit: "&amp;F113&amp;". Trigger domains: "&amp;_ENGINE_Strategy!AR18</f>
        <v>Crisis fit: 0; domain gap fit: 5; risk fit: 4.58. Trigger domains: Governance Crisis; Quality Portfolio</v>
      </c>
      <c r="O113" t="str">
        <f>_ENGINE_Strategy!F18</f>
        <v>RACI, decision rights, RAPID, crisis board, portfolio steering, KPI cadence, escalation triggers.</v>
      </c>
      <c r="P113" t="str">
        <f>_ENGINE_Strategy!G18</f>
        <v>CEO / COO</v>
      </c>
      <c r="Q113" t="str">
        <f>_ENGINE_Strategy!H18</f>
        <v>0-3 months</v>
      </c>
      <c r="R113" t="str">
        <f>_ENGINE_Strategy!I18</f>
        <v>Decision cycle time; owner coverage; escalation SLA; portfolio focus; action closure rate</v>
      </c>
      <c r="S113">
        <f>_ENGINE_Strategy!N18</f>
        <v>2</v>
      </c>
      <c r="T113">
        <f>COUNTIF(_ENGINE_Initiatives!$D$5:$D$76,$B113)</f>
        <v>5</v>
      </c>
      <c r="U113" t="str">
        <f>IFERROR(INDEX(_ENGINE_Initiatives!$AE$5:$AE$76,MATCH($B113,_ENGINE_Initiatives!$D$5:$D$76,0)),"")</f>
        <v>6-12 months</v>
      </c>
      <c r="V113">
        <f>IFERROR(ROUND(AVERAGEIF(_ENGINE_Initiatives!$D$5:$D$76,$B113,_ENGINE_Initiatives!$AC$5:$AC$76),2),"")</f>
        <v>2.42</v>
      </c>
      <c r="W113">
        <f>IFERROR(SUMIFS(_REF_Model_Content!$D$300:$D$429,_REF_Model_Content!$A$300:$A$429,PV_Canonical_Industry,_REF_Model_Content!$B$300:$B$429,$C113),3)</f>
        <v>0</v>
      </c>
      <c r="X113">
        <f>IF(OR($J113="",AND($C113="STR-09",SUMIF(_DATA_Dashboard_Facts!$A$5:$A$21,"Manufacturing MES",_DATA_Dashboard_Facts!$F$5:$F$21)=0)),"",ROUND($J113*(1+($W113-3)*0.06),2))</f>
        <v>53.55</v>
      </c>
    </row>
  </sheetData>
  <autoFilter ref="A4:AR18" xr:uid="{00000000-0009-0000-0000-00000B000000}"/>
  <mergeCells count="2">
    <mergeCell ref="A1:AR1"/>
    <mergeCell ref="A2:AR2"/>
  </mergeCells>
  <pageMargins left="0.75" right="0.75" top="1" bottom="1" header="0.5" footer="0.5"/>
  <pageSetup fitToHeight="0" orientation="landscape"/>
  <headerFooter>
    <oddFooter>&amp;R© Roman Reznikov / RR-framework — CC BY-NC-SA 4.0 — For authorized use only</oddFooter>
    <evenFooter>&amp;R© Roman Reznikov / RR-framework — CC BY-NC-SA 4.0 — For authorized use only</evenFooter>
    <firstFooter>&amp;R© Roman Reznikov / RR-framework — CC BY-NC-SA 4.0 — For authorized use only</first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6B7280"/>
    <pageSetUpPr fitToPage="1"/>
  </sheetPr>
  <dimension ref="A1:Y736"/>
  <sheetViews>
    <sheetView showGridLines="0" workbookViewId="0">
      <pane ySplit="3" topLeftCell="A4" activePane="bottomLeft" state="frozen"/>
      <selection pane="bottomLeft"/>
    </sheetView>
  </sheetViews>
  <sheetFormatPr defaultRowHeight="14.15"/>
  <cols>
    <col min="1" max="1" width="28" customWidth="1"/>
    <col min="2" max="2" width="22" customWidth="1"/>
    <col min="3" max="3" width="16" customWidth="1"/>
    <col min="4" max="5" width="18" customWidth="1"/>
    <col min="6" max="7" width="20" customWidth="1"/>
    <col min="8" max="8" width="45" customWidth="1"/>
    <col min="9" max="9" width="50" customWidth="1"/>
    <col min="10" max="10" width="18" customWidth="1"/>
    <col min="11" max="11" width="55" customWidth="1"/>
    <col min="12" max="12" width="45" customWidth="1"/>
  </cols>
  <sheetData>
    <row r="1" spans="1:14" ht="25.95" customHeight="1">
      <c r="A1" s="307" t="s">
        <v>10951</v>
      </c>
      <c r="B1" s="304"/>
      <c r="C1" s="304"/>
      <c r="D1" s="304"/>
      <c r="E1" s="304"/>
      <c r="F1" s="304"/>
      <c r="G1" s="304"/>
      <c r="H1" s="304"/>
      <c r="I1" s="304"/>
      <c r="J1" s="304"/>
      <c r="K1" s="304"/>
      <c r="L1" s="305"/>
    </row>
    <row r="2" spans="1:14" ht="34.1" customHeight="1">
      <c r="A2" s="77" t="s">
        <v>10952</v>
      </c>
      <c r="B2" s="77"/>
      <c r="C2" s="77"/>
      <c r="D2" s="77"/>
      <c r="E2" s="77"/>
      <c r="F2" s="77"/>
      <c r="G2" s="77"/>
      <c r="H2" s="77"/>
      <c r="I2" s="77"/>
      <c r="J2" s="77"/>
      <c r="K2" s="77"/>
      <c r="L2" s="77"/>
    </row>
    <row r="4" spans="1:14" ht="30" customHeight="1">
      <c r="A4" s="15" t="s">
        <v>10953</v>
      </c>
      <c r="B4" s="15" t="s">
        <v>764</v>
      </c>
      <c r="C4" s="15" t="s">
        <v>10954</v>
      </c>
      <c r="D4" s="15" t="s">
        <v>10955</v>
      </c>
      <c r="E4" s="15" t="s">
        <v>10956</v>
      </c>
      <c r="F4" s="15" t="s">
        <v>10957</v>
      </c>
      <c r="G4" s="15" t="s">
        <v>10958</v>
      </c>
      <c r="H4" s="15" t="s">
        <v>555</v>
      </c>
      <c r="I4" s="15" t="s">
        <v>556</v>
      </c>
      <c r="J4" s="15" t="s">
        <v>10959</v>
      </c>
      <c r="K4" s="15" t="s">
        <v>10960</v>
      </c>
      <c r="L4" s="15" t="s">
        <v>10961</v>
      </c>
      <c r="N4" t="s">
        <v>10962</v>
      </c>
    </row>
    <row r="5" spans="1:14" ht="42.75" customHeight="1">
      <c r="A5" s="14" t="s">
        <v>10963</v>
      </c>
      <c r="B5" s="14" t="s">
        <v>815</v>
      </c>
      <c r="C5" s="14">
        <v>3</v>
      </c>
      <c r="D5" s="14">
        <v>3.5</v>
      </c>
      <c r="E5" s="14">
        <v>1</v>
      </c>
      <c r="F5" s="14">
        <v>2.5</v>
      </c>
      <c r="G5" s="14" t="s">
        <v>3406</v>
      </c>
      <c r="H5" s="14" t="s">
        <v>10964</v>
      </c>
      <c r="I5" s="14" t="s">
        <v>10965</v>
      </c>
      <c r="J5" s="14">
        <v>1</v>
      </c>
      <c r="K5" s="14" t="s">
        <v>10966</v>
      </c>
      <c r="L5" s="14" t="s">
        <v>10967</v>
      </c>
      <c r="N5" t="s">
        <v>10963</v>
      </c>
    </row>
    <row r="6" spans="1:14" ht="42.75" customHeight="1">
      <c r="A6" s="23" t="s">
        <v>10963</v>
      </c>
      <c r="B6" s="23" t="s">
        <v>949</v>
      </c>
      <c r="C6" s="23">
        <v>3</v>
      </c>
      <c r="D6" s="23">
        <v>3.5</v>
      </c>
      <c r="E6" s="23">
        <v>1</v>
      </c>
      <c r="F6" s="23">
        <v>2.5</v>
      </c>
      <c r="G6" s="23" t="s">
        <v>3406</v>
      </c>
      <c r="H6" s="23" t="s">
        <v>10964</v>
      </c>
      <c r="I6" s="23" t="s">
        <v>10965</v>
      </c>
      <c r="J6" s="23">
        <v>1</v>
      </c>
      <c r="K6" s="23" t="s">
        <v>10966</v>
      </c>
      <c r="L6" s="23" t="s">
        <v>10967</v>
      </c>
      <c r="N6" t="s">
        <v>10968</v>
      </c>
    </row>
    <row r="7" spans="1:14" ht="42.75" customHeight="1">
      <c r="A7" s="14" t="s">
        <v>10963</v>
      </c>
      <c r="B7" s="14" t="s">
        <v>1150</v>
      </c>
      <c r="C7" s="14">
        <v>3</v>
      </c>
      <c r="D7" s="14">
        <v>4</v>
      </c>
      <c r="E7" s="14">
        <v>1.1499999999999999</v>
      </c>
      <c r="F7" s="14">
        <v>3</v>
      </c>
      <c r="G7" s="14" t="s">
        <v>546</v>
      </c>
      <c r="H7" s="14" t="s">
        <v>10964</v>
      </c>
      <c r="I7" s="14" t="s">
        <v>10965</v>
      </c>
      <c r="J7" s="14">
        <v>1.1000000000000001</v>
      </c>
      <c r="K7" s="14" t="s">
        <v>10966</v>
      </c>
      <c r="L7" s="14" t="s">
        <v>10967</v>
      </c>
      <c r="N7" t="s">
        <v>10969</v>
      </c>
    </row>
    <row r="8" spans="1:14" ht="42.75" customHeight="1">
      <c r="A8" s="23" t="s">
        <v>10963</v>
      </c>
      <c r="B8" s="23" t="s">
        <v>1259</v>
      </c>
      <c r="C8" s="23">
        <v>5</v>
      </c>
      <c r="D8" s="23">
        <v>4</v>
      </c>
      <c r="E8" s="23">
        <v>1.25</v>
      </c>
      <c r="F8" s="23">
        <v>3</v>
      </c>
      <c r="G8" s="23" t="s">
        <v>546</v>
      </c>
      <c r="H8" s="23" t="s">
        <v>10964</v>
      </c>
      <c r="I8" s="23" t="s">
        <v>10965</v>
      </c>
      <c r="J8" s="23">
        <v>1.2</v>
      </c>
      <c r="K8" s="23" t="s">
        <v>10966</v>
      </c>
      <c r="L8" s="23" t="s">
        <v>10967</v>
      </c>
      <c r="N8" t="s">
        <v>10970</v>
      </c>
    </row>
    <row r="9" spans="1:14" ht="42.75" customHeight="1">
      <c r="A9" s="14" t="s">
        <v>10963</v>
      </c>
      <c r="B9" s="14" t="s">
        <v>1401</v>
      </c>
      <c r="C9" s="14">
        <v>3</v>
      </c>
      <c r="D9" s="14">
        <v>3.5</v>
      </c>
      <c r="E9" s="14">
        <v>1</v>
      </c>
      <c r="F9" s="14">
        <v>2.5</v>
      </c>
      <c r="G9" s="14" t="s">
        <v>3406</v>
      </c>
      <c r="H9" s="14" t="s">
        <v>10964</v>
      </c>
      <c r="I9" s="14" t="s">
        <v>10965</v>
      </c>
      <c r="J9" s="14">
        <v>1</v>
      </c>
      <c r="K9" s="14" t="s">
        <v>10966</v>
      </c>
      <c r="L9" s="14" t="s">
        <v>10967</v>
      </c>
      <c r="N9" t="s">
        <v>10971</v>
      </c>
    </row>
    <row r="10" spans="1:14" ht="42.75" customHeight="1">
      <c r="A10" s="23" t="s">
        <v>10963</v>
      </c>
      <c r="B10" s="23" t="s">
        <v>1551</v>
      </c>
      <c r="C10" s="23">
        <v>3</v>
      </c>
      <c r="D10" s="23">
        <v>3.5</v>
      </c>
      <c r="E10" s="23">
        <v>1</v>
      </c>
      <c r="F10" s="23">
        <v>2.5</v>
      </c>
      <c r="G10" s="23" t="s">
        <v>3406</v>
      </c>
      <c r="H10" s="23" t="s">
        <v>10964</v>
      </c>
      <c r="I10" s="23" t="s">
        <v>10965</v>
      </c>
      <c r="J10" s="23">
        <v>1</v>
      </c>
      <c r="K10" s="23" t="s">
        <v>10966</v>
      </c>
      <c r="L10" s="23" t="s">
        <v>10967</v>
      </c>
      <c r="N10" t="s">
        <v>10972</v>
      </c>
    </row>
    <row r="11" spans="1:14" ht="42.75" customHeight="1">
      <c r="A11" s="14" t="s">
        <v>10963</v>
      </c>
      <c r="B11" s="14" t="s">
        <v>1666</v>
      </c>
      <c r="C11" s="14">
        <v>2</v>
      </c>
      <c r="D11" s="14">
        <v>2.8</v>
      </c>
      <c r="E11" s="14">
        <v>0.9</v>
      </c>
      <c r="F11" s="14">
        <v>2</v>
      </c>
      <c r="G11" s="14" t="s">
        <v>3406</v>
      </c>
      <c r="H11" s="14" t="s">
        <v>10964</v>
      </c>
      <c r="I11" s="14" t="s">
        <v>10965</v>
      </c>
      <c r="J11" s="14">
        <v>0.9</v>
      </c>
      <c r="K11" s="14" t="s">
        <v>10966</v>
      </c>
      <c r="L11" s="14" t="s">
        <v>10967</v>
      </c>
      <c r="N11" t="s">
        <v>10973</v>
      </c>
    </row>
    <row r="12" spans="1:14" ht="42.75" customHeight="1">
      <c r="A12" s="23" t="s">
        <v>10963</v>
      </c>
      <c r="B12" s="23" t="s">
        <v>1859</v>
      </c>
      <c r="C12" s="23">
        <v>5</v>
      </c>
      <c r="D12" s="23">
        <v>4</v>
      </c>
      <c r="E12" s="23">
        <v>1.25</v>
      </c>
      <c r="F12" s="23">
        <v>3</v>
      </c>
      <c r="G12" s="23" t="s">
        <v>546</v>
      </c>
      <c r="H12" s="23" t="s">
        <v>10964</v>
      </c>
      <c r="I12" s="23" t="s">
        <v>10965</v>
      </c>
      <c r="J12" s="23">
        <v>1.2</v>
      </c>
      <c r="K12" s="23" t="s">
        <v>10966</v>
      </c>
      <c r="L12" s="23" t="s">
        <v>10967</v>
      </c>
      <c r="N12" t="s">
        <v>10974</v>
      </c>
    </row>
    <row r="13" spans="1:14" ht="42.75" customHeight="1">
      <c r="A13" s="14" t="s">
        <v>10963</v>
      </c>
      <c r="B13" s="14" t="s">
        <v>1987</v>
      </c>
      <c r="C13" s="14">
        <v>3</v>
      </c>
      <c r="D13" s="14">
        <v>3.5</v>
      </c>
      <c r="E13" s="14">
        <v>1</v>
      </c>
      <c r="F13" s="14">
        <v>2.5</v>
      </c>
      <c r="G13" s="14" t="s">
        <v>3406</v>
      </c>
      <c r="H13" s="14" t="s">
        <v>10964</v>
      </c>
      <c r="I13" s="14" t="s">
        <v>10965</v>
      </c>
      <c r="J13" s="14">
        <v>1</v>
      </c>
      <c r="K13" s="14" t="s">
        <v>10966</v>
      </c>
      <c r="L13" s="14" t="s">
        <v>10967</v>
      </c>
      <c r="N13" t="s">
        <v>10975</v>
      </c>
    </row>
    <row r="14" spans="1:14" ht="42.75" customHeight="1">
      <c r="A14" s="23" t="s">
        <v>10963</v>
      </c>
      <c r="B14" s="23" t="s">
        <v>2145</v>
      </c>
      <c r="C14" s="23">
        <v>1</v>
      </c>
      <c r="D14" s="23">
        <v>1</v>
      </c>
      <c r="E14" s="23">
        <v>0.6</v>
      </c>
      <c r="F14" s="23">
        <v>0</v>
      </c>
      <c r="G14" s="23" t="s">
        <v>3406</v>
      </c>
      <c r="H14" s="23" t="s">
        <v>10964</v>
      </c>
      <c r="I14" s="23" t="s">
        <v>10965</v>
      </c>
      <c r="J14" s="23">
        <v>0.7</v>
      </c>
      <c r="K14" s="23" t="s">
        <v>10966</v>
      </c>
      <c r="L14" s="23" t="s">
        <v>10967</v>
      </c>
    </row>
    <row r="15" spans="1:14" ht="42.75" customHeight="1">
      <c r="A15" s="14" t="s">
        <v>10963</v>
      </c>
      <c r="B15" s="14" t="s">
        <v>2286</v>
      </c>
      <c r="C15" s="14">
        <v>4</v>
      </c>
      <c r="D15" s="14">
        <v>3.8</v>
      </c>
      <c r="E15" s="14">
        <v>1.1000000000000001</v>
      </c>
      <c r="F15" s="14">
        <v>2.8</v>
      </c>
      <c r="G15" s="14" t="s">
        <v>546</v>
      </c>
      <c r="H15" s="14" t="s">
        <v>10964</v>
      </c>
      <c r="I15" s="14" t="s">
        <v>10965</v>
      </c>
      <c r="J15" s="14">
        <v>1.1000000000000001</v>
      </c>
      <c r="K15" s="14" t="s">
        <v>10966</v>
      </c>
      <c r="L15" s="14" t="s">
        <v>10967</v>
      </c>
    </row>
    <row r="16" spans="1:14" ht="42.75" customHeight="1">
      <c r="A16" s="23" t="s">
        <v>10963</v>
      </c>
      <c r="B16" s="23" t="s">
        <v>2473</v>
      </c>
      <c r="C16" s="23">
        <v>3</v>
      </c>
      <c r="D16" s="23">
        <v>3.5</v>
      </c>
      <c r="E16" s="23">
        <v>1</v>
      </c>
      <c r="F16" s="23">
        <v>2.5</v>
      </c>
      <c r="G16" s="23" t="s">
        <v>3406</v>
      </c>
      <c r="H16" s="23" t="s">
        <v>10964</v>
      </c>
      <c r="I16" s="23" t="s">
        <v>10965</v>
      </c>
      <c r="J16" s="23">
        <v>1</v>
      </c>
      <c r="K16" s="23" t="s">
        <v>10966</v>
      </c>
      <c r="L16" s="23" t="s">
        <v>10967</v>
      </c>
    </row>
    <row r="17" spans="1:12" ht="42.75" customHeight="1">
      <c r="A17" s="14" t="s">
        <v>10963</v>
      </c>
      <c r="B17" s="14" t="s">
        <v>2588</v>
      </c>
      <c r="C17" s="14">
        <v>3</v>
      </c>
      <c r="D17" s="14">
        <v>4</v>
      </c>
      <c r="E17" s="14">
        <v>1.1499999999999999</v>
      </c>
      <c r="F17" s="14">
        <v>3</v>
      </c>
      <c r="G17" s="14" t="s">
        <v>546</v>
      </c>
      <c r="H17" s="14" t="s">
        <v>10964</v>
      </c>
      <c r="I17" s="14" t="s">
        <v>10965</v>
      </c>
      <c r="J17" s="14">
        <v>1.1000000000000001</v>
      </c>
      <c r="K17" s="14" t="s">
        <v>10966</v>
      </c>
      <c r="L17" s="14" t="s">
        <v>10967</v>
      </c>
    </row>
    <row r="18" spans="1:12" ht="42.75" customHeight="1">
      <c r="A18" s="23" t="s">
        <v>10963</v>
      </c>
      <c r="B18" s="23" t="s">
        <v>2729</v>
      </c>
      <c r="C18" s="23">
        <v>4</v>
      </c>
      <c r="D18" s="23">
        <v>4</v>
      </c>
      <c r="E18" s="23">
        <v>1.1499999999999999</v>
      </c>
      <c r="F18" s="23">
        <v>3</v>
      </c>
      <c r="G18" s="23" t="s">
        <v>546</v>
      </c>
      <c r="H18" s="23" t="s">
        <v>10964</v>
      </c>
      <c r="I18" s="23" t="s">
        <v>10965</v>
      </c>
      <c r="J18" s="23">
        <v>1.1499999999999999</v>
      </c>
      <c r="K18" s="23" t="s">
        <v>10966</v>
      </c>
      <c r="L18" s="23" t="s">
        <v>10967</v>
      </c>
    </row>
    <row r="19" spans="1:12" ht="42.75" customHeight="1">
      <c r="A19" s="14" t="s">
        <v>10963</v>
      </c>
      <c r="B19" s="14" t="s">
        <v>2824</v>
      </c>
      <c r="C19" s="14">
        <v>3</v>
      </c>
      <c r="D19" s="14">
        <v>3.5</v>
      </c>
      <c r="E19" s="14">
        <v>1</v>
      </c>
      <c r="F19" s="14">
        <v>2.5</v>
      </c>
      <c r="G19" s="14" t="s">
        <v>3406</v>
      </c>
      <c r="H19" s="14" t="s">
        <v>10964</v>
      </c>
      <c r="I19" s="14" t="s">
        <v>10965</v>
      </c>
      <c r="J19" s="14">
        <v>1</v>
      </c>
      <c r="K19" s="14" t="s">
        <v>10966</v>
      </c>
      <c r="L19" s="14" t="s">
        <v>10967</v>
      </c>
    </row>
    <row r="20" spans="1:12" ht="42.75" customHeight="1">
      <c r="A20" s="23" t="s">
        <v>10963</v>
      </c>
      <c r="B20" s="23" t="s">
        <v>2986</v>
      </c>
      <c r="C20" s="23">
        <v>3</v>
      </c>
      <c r="D20" s="23">
        <v>4</v>
      </c>
      <c r="E20" s="23">
        <v>1.1499999999999999</v>
      </c>
      <c r="F20" s="23">
        <v>3</v>
      </c>
      <c r="G20" s="23" t="s">
        <v>546</v>
      </c>
      <c r="H20" s="23" t="s">
        <v>10964</v>
      </c>
      <c r="I20" s="23" t="s">
        <v>10965</v>
      </c>
      <c r="J20" s="23">
        <v>1.1000000000000001</v>
      </c>
      <c r="K20" s="23" t="s">
        <v>10966</v>
      </c>
      <c r="L20" s="23" t="s">
        <v>10967</v>
      </c>
    </row>
    <row r="21" spans="1:12" ht="42.75" customHeight="1">
      <c r="A21" s="14" t="s">
        <v>10963</v>
      </c>
      <c r="B21" s="14" t="s">
        <v>3204</v>
      </c>
      <c r="C21" s="14">
        <v>5</v>
      </c>
      <c r="D21" s="14">
        <v>4</v>
      </c>
      <c r="E21" s="14">
        <v>1.2</v>
      </c>
      <c r="F21" s="14">
        <v>3</v>
      </c>
      <c r="G21" s="14" t="s">
        <v>546</v>
      </c>
      <c r="H21" s="14" t="s">
        <v>10964</v>
      </c>
      <c r="I21" s="14" t="s">
        <v>10965</v>
      </c>
      <c r="J21" s="14">
        <v>1.2</v>
      </c>
      <c r="K21" s="14" t="s">
        <v>10966</v>
      </c>
      <c r="L21" s="14" t="s">
        <v>10967</v>
      </c>
    </row>
    <row r="22" spans="1:12" ht="42.75" customHeight="1">
      <c r="A22" s="23" t="s">
        <v>10968</v>
      </c>
      <c r="B22" s="23" t="s">
        <v>815</v>
      </c>
      <c r="C22" s="23">
        <v>3</v>
      </c>
      <c r="D22" s="23">
        <v>3.5</v>
      </c>
      <c r="E22" s="23">
        <v>1</v>
      </c>
      <c r="F22" s="23">
        <v>2.5</v>
      </c>
      <c r="G22" s="23" t="s">
        <v>3406</v>
      </c>
      <c r="H22" s="23" t="s">
        <v>10976</v>
      </c>
      <c r="I22" s="23" t="s">
        <v>10977</v>
      </c>
      <c r="J22" s="23">
        <v>1</v>
      </c>
      <c r="K22" s="23" t="s">
        <v>10966</v>
      </c>
      <c r="L22" s="23" t="s">
        <v>10978</v>
      </c>
    </row>
    <row r="23" spans="1:12" ht="42.75" customHeight="1">
      <c r="A23" s="14" t="s">
        <v>10968</v>
      </c>
      <c r="B23" s="14" t="s">
        <v>949</v>
      </c>
      <c r="C23" s="14">
        <v>5</v>
      </c>
      <c r="D23" s="14">
        <v>4</v>
      </c>
      <c r="E23" s="14">
        <v>1.2</v>
      </c>
      <c r="F23" s="14">
        <v>3</v>
      </c>
      <c r="G23" s="14" t="s">
        <v>546</v>
      </c>
      <c r="H23" s="14" t="s">
        <v>10976</v>
      </c>
      <c r="I23" s="14" t="s">
        <v>10977</v>
      </c>
      <c r="J23" s="14">
        <v>1.1499999999999999</v>
      </c>
      <c r="K23" s="14" t="s">
        <v>10966</v>
      </c>
      <c r="L23" s="14" t="s">
        <v>10978</v>
      </c>
    </row>
    <row r="24" spans="1:12" ht="42.75" customHeight="1">
      <c r="A24" s="23" t="s">
        <v>10968</v>
      </c>
      <c r="B24" s="23" t="s">
        <v>1150</v>
      </c>
      <c r="C24" s="23">
        <v>3</v>
      </c>
      <c r="D24" s="23">
        <v>4</v>
      </c>
      <c r="E24" s="23">
        <v>1.1499999999999999</v>
      </c>
      <c r="F24" s="23">
        <v>3</v>
      </c>
      <c r="G24" s="23" t="s">
        <v>546</v>
      </c>
      <c r="H24" s="23" t="s">
        <v>10976</v>
      </c>
      <c r="I24" s="23" t="s">
        <v>10977</v>
      </c>
      <c r="J24" s="23">
        <v>1.1000000000000001</v>
      </c>
      <c r="K24" s="23" t="s">
        <v>10966</v>
      </c>
      <c r="L24" s="23" t="s">
        <v>10978</v>
      </c>
    </row>
    <row r="25" spans="1:12" ht="42.75" customHeight="1">
      <c r="A25" s="14" t="s">
        <v>10968</v>
      </c>
      <c r="B25" s="14" t="s">
        <v>1259</v>
      </c>
      <c r="C25" s="14">
        <v>3</v>
      </c>
      <c r="D25" s="14">
        <v>3.5</v>
      </c>
      <c r="E25" s="14">
        <v>1</v>
      </c>
      <c r="F25" s="14">
        <v>2.5</v>
      </c>
      <c r="G25" s="14" t="s">
        <v>3406</v>
      </c>
      <c r="H25" s="14" t="s">
        <v>10976</v>
      </c>
      <c r="I25" s="14" t="s">
        <v>10977</v>
      </c>
      <c r="J25" s="14">
        <v>1</v>
      </c>
      <c r="K25" s="14" t="s">
        <v>10966</v>
      </c>
      <c r="L25" s="14" t="s">
        <v>10978</v>
      </c>
    </row>
    <row r="26" spans="1:12" ht="42.75" customHeight="1">
      <c r="A26" s="23" t="s">
        <v>10968</v>
      </c>
      <c r="B26" s="23" t="s">
        <v>1401</v>
      </c>
      <c r="C26" s="23">
        <v>3</v>
      </c>
      <c r="D26" s="23">
        <v>3.5</v>
      </c>
      <c r="E26" s="23">
        <v>1</v>
      </c>
      <c r="F26" s="23">
        <v>2.5</v>
      </c>
      <c r="G26" s="23" t="s">
        <v>3406</v>
      </c>
      <c r="H26" s="23" t="s">
        <v>10976</v>
      </c>
      <c r="I26" s="23" t="s">
        <v>10977</v>
      </c>
      <c r="J26" s="23">
        <v>1</v>
      </c>
      <c r="K26" s="23" t="s">
        <v>10966</v>
      </c>
      <c r="L26" s="23" t="s">
        <v>10978</v>
      </c>
    </row>
    <row r="27" spans="1:12" ht="42.75" customHeight="1">
      <c r="A27" s="14" t="s">
        <v>10968</v>
      </c>
      <c r="B27" s="14" t="s">
        <v>1551</v>
      </c>
      <c r="C27" s="14">
        <v>3</v>
      </c>
      <c r="D27" s="14">
        <v>3.5</v>
      </c>
      <c r="E27" s="14">
        <v>1</v>
      </c>
      <c r="F27" s="14">
        <v>2.5</v>
      </c>
      <c r="G27" s="14" t="s">
        <v>3406</v>
      </c>
      <c r="H27" s="14" t="s">
        <v>10976</v>
      </c>
      <c r="I27" s="14" t="s">
        <v>10977</v>
      </c>
      <c r="J27" s="14">
        <v>1</v>
      </c>
      <c r="K27" s="14" t="s">
        <v>10966</v>
      </c>
      <c r="L27" s="14" t="s">
        <v>10978</v>
      </c>
    </row>
    <row r="28" spans="1:12" ht="42.75" customHeight="1">
      <c r="A28" s="23" t="s">
        <v>10968</v>
      </c>
      <c r="B28" s="23" t="s">
        <v>1666</v>
      </c>
      <c r="C28" s="23">
        <v>2</v>
      </c>
      <c r="D28" s="23">
        <v>2.5</v>
      </c>
      <c r="E28" s="23">
        <v>0.8</v>
      </c>
      <c r="F28" s="23">
        <v>1.8</v>
      </c>
      <c r="G28" s="23" t="s">
        <v>3406</v>
      </c>
      <c r="H28" s="23" t="s">
        <v>10976</v>
      </c>
      <c r="I28" s="23" t="s">
        <v>10977</v>
      </c>
      <c r="J28" s="23">
        <v>0.8</v>
      </c>
      <c r="K28" s="23" t="s">
        <v>10966</v>
      </c>
      <c r="L28" s="23" t="s">
        <v>10978</v>
      </c>
    </row>
    <row r="29" spans="1:12" ht="42.75" customHeight="1">
      <c r="A29" s="14" t="s">
        <v>10968</v>
      </c>
      <c r="B29" s="14" t="s">
        <v>1859</v>
      </c>
      <c r="C29" s="14">
        <v>3</v>
      </c>
      <c r="D29" s="14">
        <v>3.5</v>
      </c>
      <c r="E29" s="14">
        <v>1</v>
      </c>
      <c r="F29" s="14">
        <v>2.5</v>
      </c>
      <c r="G29" s="14" t="s">
        <v>3406</v>
      </c>
      <c r="H29" s="14" t="s">
        <v>10976</v>
      </c>
      <c r="I29" s="14" t="s">
        <v>10977</v>
      </c>
      <c r="J29" s="14">
        <v>1</v>
      </c>
      <c r="K29" s="14" t="s">
        <v>10966</v>
      </c>
      <c r="L29" s="14" t="s">
        <v>10978</v>
      </c>
    </row>
    <row r="30" spans="1:12" ht="42.75" customHeight="1">
      <c r="A30" s="23" t="s">
        <v>10968</v>
      </c>
      <c r="B30" s="23" t="s">
        <v>1987</v>
      </c>
      <c r="C30" s="23">
        <v>2</v>
      </c>
      <c r="D30" s="23">
        <v>2.5</v>
      </c>
      <c r="E30" s="23">
        <v>0.8</v>
      </c>
      <c r="F30" s="23">
        <v>1.8</v>
      </c>
      <c r="G30" s="23" t="s">
        <v>3406</v>
      </c>
      <c r="H30" s="23" t="s">
        <v>10976</v>
      </c>
      <c r="I30" s="23" t="s">
        <v>10977</v>
      </c>
      <c r="J30" s="23">
        <v>0.8</v>
      </c>
      <c r="K30" s="23" t="s">
        <v>10966</v>
      </c>
      <c r="L30" s="23" t="s">
        <v>10978</v>
      </c>
    </row>
    <row r="31" spans="1:12" ht="42.75" customHeight="1">
      <c r="A31" s="14" t="s">
        <v>10968</v>
      </c>
      <c r="B31" s="14" t="s">
        <v>2145</v>
      </c>
      <c r="C31" s="14">
        <v>1</v>
      </c>
      <c r="D31" s="14">
        <v>0.5</v>
      </c>
      <c r="E31" s="14">
        <v>0.5</v>
      </c>
      <c r="F31" s="14">
        <v>0</v>
      </c>
      <c r="G31" s="14" t="s">
        <v>3406</v>
      </c>
      <c r="H31" s="14" t="s">
        <v>10976</v>
      </c>
      <c r="I31" s="14" t="s">
        <v>10977</v>
      </c>
      <c r="J31" s="14">
        <v>0.6</v>
      </c>
      <c r="K31" s="14" t="s">
        <v>10966</v>
      </c>
      <c r="L31" s="14" t="s">
        <v>10978</v>
      </c>
    </row>
    <row r="32" spans="1:12" ht="42.75" customHeight="1">
      <c r="A32" s="23" t="s">
        <v>10968</v>
      </c>
      <c r="B32" s="23" t="s">
        <v>2286</v>
      </c>
      <c r="C32" s="23">
        <v>4</v>
      </c>
      <c r="D32" s="23">
        <v>4</v>
      </c>
      <c r="E32" s="23">
        <v>1.1499999999999999</v>
      </c>
      <c r="F32" s="23">
        <v>3</v>
      </c>
      <c r="G32" s="23" t="s">
        <v>546</v>
      </c>
      <c r="H32" s="23" t="s">
        <v>10976</v>
      </c>
      <c r="I32" s="23" t="s">
        <v>10977</v>
      </c>
      <c r="J32" s="23">
        <v>1.1499999999999999</v>
      </c>
      <c r="K32" s="23" t="s">
        <v>10966</v>
      </c>
      <c r="L32" s="23" t="s">
        <v>10978</v>
      </c>
    </row>
    <row r="33" spans="1:12" ht="42.75" customHeight="1">
      <c r="A33" s="14" t="s">
        <v>10968</v>
      </c>
      <c r="B33" s="14" t="s">
        <v>2473</v>
      </c>
      <c r="C33" s="14">
        <v>3</v>
      </c>
      <c r="D33" s="14">
        <v>3.5</v>
      </c>
      <c r="E33" s="14">
        <v>1</v>
      </c>
      <c r="F33" s="14">
        <v>2.5</v>
      </c>
      <c r="G33" s="14" t="s">
        <v>3406</v>
      </c>
      <c r="H33" s="14" t="s">
        <v>10976</v>
      </c>
      <c r="I33" s="14" t="s">
        <v>10977</v>
      </c>
      <c r="J33" s="14">
        <v>1</v>
      </c>
      <c r="K33" s="14" t="s">
        <v>10966</v>
      </c>
      <c r="L33" s="14" t="s">
        <v>10978</v>
      </c>
    </row>
    <row r="34" spans="1:12" ht="42.75" customHeight="1">
      <c r="A34" s="23" t="s">
        <v>10968</v>
      </c>
      <c r="B34" s="23" t="s">
        <v>2588</v>
      </c>
      <c r="C34" s="23">
        <v>5</v>
      </c>
      <c r="D34" s="23">
        <v>4.5</v>
      </c>
      <c r="E34" s="23">
        <v>1.4</v>
      </c>
      <c r="F34" s="23">
        <v>3.5</v>
      </c>
      <c r="G34" s="23" t="s">
        <v>3404</v>
      </c>
      <c r="H34" s="23" t="s">
        <v>10976</v>
      </c>
      <c r="I34" s="23" t="s">
        <v>10977</v>
      </c>
      <c r="J34" s="23">
        <v>1.3</v>
      </c>
      <c r="K34" s="23" t="s">
        <v>10966</v>
      </c>
      <c r="L34" s="23" t="s">
        <v>10978</v>
      </c>
    </row>
    <row r="35" spans="1:12" ht="42.75" customHeight="1">
      <c r="A35" s="14" t="s">
        <v>10968</v>
      </c>
      <c r="B35" s="14" t="s">
        <v>2729</v>
      </c>
      <c r="C35" s="14">
        <v>5</v>
      </c>
      <c r="D35" s="14">
        <v>4.2</v>
      </c>
      <c r="E35" s="14">
        <v>1.25</v>
      </c>
      <c r="F35" s="14">
        <v>3.2</v>
      </c>
      <c r="G35" s="14" t="s">
        <v>546</v>
      </c>
      <c r="H35" s="14" t="s">
        <v>10976</v>
      </c>
      <c r="I35" s="14" t="s">
        <v>10977</v>
      </c>
      <c r="J35" s="14">
        <v>1.2</v>
      </c>
      <c r="K35" s="14" t="s">
        <v>10966</v>
      </c>
      <c r="L35" s="14" t="s">
        <v>10978</v>
      </c>
    </row>
    <row r="36" spans="1:12" ht="42.75" customHeight="1">
      <c r="A36" s="23" t="s">
        <v>10968</v>
      </c>
      <c r="B36" s="23" t="s">
        <v>2824</v>
      </c>
      <c r="C36" s="23">
        <v>5</v>
      </c>
      <c r="D36" s="23">
        <v>4.2</v>
      </c>
      <c r="E36" s="23">
        <v>1.25</v>
      </c>
      <c r="F36" s="23">
        <v>3.2</v>
      </c>
      <c r="G36" s="23" t="s">
        <v>546</v>
      </c>
      <c r="H36" s="23" t="s">
        <v>10976</v>
      </c>
      <c r="I36" s="23" t="s">
        <v>10977</v>
      </c>
      <c r="J36" s="23">
        <v>1.2</v>
      </c>
      <c r="K36" s="23" t="s">
        <v>10966</v>
      </c>
      <c r="L36" s="23" t="s">
        <v>10978</v>
      </c>
    </row>
    <row r="37" spans="1:12" ht="42.75" customHeight="1">
      <c r="A37" s="14" t="s">
        <v>10968</v>
      </c>
      <c r="B37" s="14" t="s">
        <v>2986</v>
      </c>
      <c r="C37" s="14">
        <v>5</v>
      </c>
      <c r="D37" s="14">
        <v>4.5</v>
      </c>
      <c r="E37" s="14">
        <v>1.4</v>
      </c>
      <c r="F37" s="14">
        <v>3.5</v>
      </c>
      <c r="G37" s="14" t="s">
        <v>3404</v>
      </c>
      <c r="H37" s="14" t="s">
        <v>10976</v>
      </c>
      <c r="I37" s="14" t="s">
        <v>10977</v>
      </c>
      <c r="J37" s="14">
        <v>1.3</v>
      </c>
      <c r="K37" s="14" t="s">
        <v>10966</v>
      </c>
      <c r="L37" s="14" t="s">
        <v>10978</v>
      </c>
    </row>
    <row r="38" spans="1:12" ht="42.75" customHeight="1">
      <c r="A38" s="23" t="s">
        <v>10968</v>
      </c>
      <c r="B38" s="23" t="s">
        <v>3204</v>
      </c>
      <c r="C38" s="23">
        <v>3</v>
      </c>
      <c r="D38" s="23">
        <v>3.5</v>
      </c>
      <c r="E38" s="23">
        <v>1</v>
      </c>
      <c r="F38" s="23">
        <v>2.5</v>
      </c>
      <c r="G38" s="23" t="s">
        <v>3406</v>
      </c>
      <c r="H38" s="23" t="s">
        <v>10976</v>
      </c>
      <c r="I38" s="23" t="s">
        <v>10977</v>
      </c>
      <c r="J38" s="23">
        <v>1</v>
      </c>
      <c r="K38" s="23" t="s">
        <v>10966</v>
      </c>
      <c r="L38" s="23" t="s">
        <v>10978</v>
      </c>
    </row>
    <row r="39" spans="1:12" ht="42.75" customHeight="1">
      <c r="A39" s="14" t="s">
        <v>10969</v>
      </c>
      <c r="B39" s="14" t="s">
        <v>815</v>
      </c>
      <c r="C39" s="14">
        <v>3</v>
      </c>
      <c r="D39" s="14">
        <v>3.5</v>
      </c>
      <c r="E39" s="14">
        <v>1</v>
      </c>
      <c r="F39" s="14">
        <v>2.5</v>
      </c>
      <c r="G39" s="14" t="s">
        <v>3406</v>
      </c>
      <c r="H39" s="14" t="s">
        <v>10979</v>
      </c>
      <c r="I39" s="14" t="s">
        <v>10980</v>
      </c>
      <c r="J39" s="14">
        <v>1</v>
      </c>
      <c r="K39" s="14" t="s">
        <v>10966</v>
      </c>
      <c r="L39" s="14" t="s">
        <v>10981</v>
      </c>
    </row>
    <row r="40" spans="1:12" ht="42.75" customHeight="1">
      <c r="A40" s="23" t="s">
        <v>10969</v>
      </c>
      <c r="B40" s="23" t="s">
        <v>949</v>
      </c>
      <c r="C40" s="23">
        <v>3</v>
      </c>
      <c r="D40" s="23">
        <v>3.5</v>
      </c>
      <c r="E40" s="23">
        <v>1</v>
      </c>
      <c r="F40" s="23">
        <v>2.5</v>
      </c>
      <c r="G40" s="23" t="s">
        <v>3406</v>
      </c>
      <c r="H40" s="23" t="s">
        <v>10979</v>
      </c>
      <c r="I40" s="23" t="s">
        <v>10980</v>
      </c>
      <c r="J40" s="23">
        <v>1</v>
      </c>
      <c r="K40" s="23" t="s">
        <v>10966</v>
      </c>
      <c r="L40" s="23" t="s">
        <v>10981</v>
      </c>
    </row>
    <row r="41" spans="1:12" ht="42.75" customHeight="1">
      <c r="A41" s="14" t="s">
        <v>10969</v>
      </c>
      <c r="B41" s="14" t="s">
        <v>1150</v>
      </c>
      <c r="C41" s="14">
        <v>3</v>
      </c>
      <c r="D41" s="14">
        <v>4</v>
      </c>
      <c r="E41" s="14">
        <v>1.1499999999999999</v>
      </c>
      <c r="F41" s="14">
        <v>3</v>
      </c>
      <c r="G41" s="14" t="s">
        <v>546</v>
      </c>
      <c r="H41" s="14" t="s">
        <v>10979</v>
      </c>
      <c r="I41" s="14" t="s">
        <v>10980</v>
      </c>
      <c r="J41" s="14">
        <v>1.1000000000000001</v>
      </c>
      <c r="K41" s="14" t="s">
        <v>10966</v>
      </c>
      <c r="L41" s="14" t="s">
        <v>10981</v>
      </c>
    </row>
    <row r="42" spans="1:12" ht="42.75" customHeight="1">
      <c r="A42" s="23" t="s">
        <v>10969</v>
      </c>
      <c r="B42" s="23" t="s">
        <v>1259</v>
      </c>
      <c r="C42" s="23">
        <v>3</v>
      </c>
      <c r="D42" s="23">
        <v>3.5</v>
      </c>
      <c r="E42" s="23">
        <v>1</v>
      </c>
      <c r="F42" s="23">
        <v>2.5</v>
      </c>
      <c r="G42" s="23" t="s">
        <v>3406</v>
      </c>
      <c r="H42" s="23" t="s">
        <v>10979</v>
      </c>
      <c r="I42" s="23" t="s">
        <v>10980</v>
      </c>
      <c r="J42" s="23">
        <v>1</v>
      </c>
      <c r="K42" s="23" t="s">
        <v>10966</v>
      </c>
      <c r="L42" s="23" t="s">
        <v>10981</v>
      </c>
    </row>
    <row r="43" spans="1:12" ht="42.75" customHeight="1">
      <c r="A43" s="14" t="s">
        <v>10969</v>
      </c>
      <c r="B43" s="14" t="s">
        <v>1401</v>
      </c>
      <c r="C43" s="14">
        <v>3</v>
      </c>
      <c r="D43" s="14">
        <v>3.5</v>
      </c>
      <c r="E43" s="14">
        <v>1</v>
      </c>
      <c r="F43" s="14">
        <v>2.5</v>
      </c>
      <c r="G43" s="14" t="s">
        <v>3406</v>
      </c>
      <c r="H43" s="14" t="s">
        <v>10979</v>
      </c>
      <c r="I43" s="14" t="s">
        <v>10980</v>
      </c>
      <c r="J43" s="14">
        <v>1</v>
      </c>
      <c r="K43" s="14" t="s">
        <v>10966</v>
      </c>
      <c r="L43" s="14" t="s">
        <v>10981</v>
      </c>
    </row>
    <row r="44" spans="1:12" ht="42.75" customHeight="1">
      <c r="A44" s="23" t="s">
        <v>10969</v>
      </c>
      <c r="B44" s="23" t="s">
        <v>1551</v>
      </c>
      <c r="C44" s="23">
        <v>3</v>
      </c>
      <c r="D44" s="23">
        <v>3.5</v>
      </c>
      <c r="E44" s="23">
        <v>1</v>
      </c>
      <c r="F44" s="23">
        <v>2.5</v>
      </c>
      <c r="G44" s="23" t="s">
        <v>3406</v>
      </c>
      <c r="H44" s="23" t="s">
        <v>10979</v>
      </c>
      <c r="I44" s="23" t="s">
        <v>10980</v>
      </c>
      <c r="J44" s="23">
        <v>1</v>
      </c>
      <c r="K44" s="23" t="s">
        <v>10966</v>
      </c>
      <c r="L44" s="23" t="s">
        <v>10981</v>
      </c>
    </row>
    <row r="45" spans="1:12" ht="42.75" customHeight="1">
      <c r="A45" s="14" t="s">
        <v>10969</v>
      </c>
      <c r="B45" s="14" t="s">
        <v>1666</v>
      </c>
      <c r="C45" s="14">
        <v>5</v>
      </c>
      <c r="D45" s="14">
        <v>4.5</v>
      </c>
      <c r="E45" s="14">
        <v>1.5</v>
      </c>
      <c r="F45" s="14">
        <v>3.5</v>
      </c>
      <c r="G45" s="14" t="s">
        <v>3404</v>
      </c>
      <c r="H45" s="14" t="s">
        <v>10979</v>
      </c>
      <c r="I45" s="14" t="s">
        <v>10980</v>
      </c>
      <c r="J45" s="14">
        <v>1.35</v>
      </c>
      <c r="K45" s="14" t="s">
        <v>10966</v>
      </c>
      <c r="L45" s="14" t="s">
        <v>10981</v>
      </c>
    </row>
    <row r="46" spans="1:12" ht="42.75" customHeight="1">
      <c r="A46" s="23" t="s">
        <v>10969</v>
      </c>
      <c r="B46" s="23" t="s">
        <v>1859</v>
      </c>
      <c r="C46" s="23">
        <v>5</v>
      </c>
      <c r="D46" s="23">
        <v>4.2</v>
      </c>
      <c r="E46" s="23">
        <v>1.3</v>
      </c>
      <c r="F46" s="23">
        <v>3.2</v>
      </c>
      <c r="G46" s="23" t="s">
        <v>3404</v>
      </c>
      <c r="H46" s="23" t="s">
        <v>10979</v>
      </c>
      <c r="I46" s="23" t="s">
        <v>10980</v>
      </c>
      <c r="J46" s="23">
        <v>1.25</v>
      </c>
      <c r="K46" s="23" t="s">
        <v>10966</v>
      </c>
      <c r="L46" s="23" t="s">
        <v>10981</v>
      </c>
    </row>
    <row r="47" spans="1:12" ht="42.75" customHeight="1">
      <c r="A47" s="14" t="s">
        <v>10969</v>
      </c>
      <c r="B47" s="14" t="s">
        <v>1987</v>
      </c>
      <c r="C47" s="14">
        <v>5</v>
      </c>
      <c r="D47" s="14">
        <v>4.2</v>
      </c>
      <c r="E47" s="14">
        <v>1.35</v>
      </c>
      <c r="F47" s="14">
        <v>3.2</v>
      </c>
      <c r="G47" s="14" t="s">
        <v>3404</v>
      </c>
      <c r="H47" s="14" t="s">
        <v>10979</v>
      </c>
      <c r="I47" s="14" t="s">
        <v>10980</v>
      </c>
      <c r="J47" s="14">
        <v>1.3</v>
      </c>
      <c r="K47" s="14" t="s">
        <v>10966</v>
      </c>
      <c r="L47" s="14" t="s">
        <v>10981</v>
      </c>
    </row>
    <row r="48" spans="1:12" ht="42.75" customHeight="1">
      <c r="A48" s="23" t="s">
        <v>10969</v>
      </c>
      <c r="B48" s="23" t="s">
        <v>2145</v>
      </c>
      <c r="C48" s="23">
        <v>5</v>
      </c>
      <c r="D48" s="23">
        <v>4.3</v>
      </c>
      <c r="E48" s="23">
        <v>1.4</v>
      </c>
      <c r="F48" s="23">
        <v>3.3</v>
      </c>
      <c r="G48" s="23" t="s">
        <v>3404</v>
      </c>
      <c r="H48" s="23" t="s">
        <v>10979</v>
      </c>
      <c r="I48" s="23" t="s">
        <v>10980</v>
      </c>
      <c r="J48" s="23">
        <v>1.35</v>
      </c>
      <c r="K48" s="23" t="s">
        <v>10966</v>
      </c>
      <c r="L48" s="23" t="s">
        <v>10981</v>
      </c>
    </row>
    <row r="49" spans="1:12" ht="42.75" customHeight="1">
      <c r="A49" s="14" t="s">
        <v>10969</v>
      </c>
      <c r="B49" s="14" t="s">
        <v>2286</v>
      </c>
      <c r="C49" s="14">
        <v>3</v>
      </c>
      <c r="D49" s="14">
        <v>3.2</v>
      </c>
      <c r="E49" s="14">
        <v>0.95</v>
      </c>
      <c r="F49" s="14">
        <v>2.2000000000000002</v>
      </c>
      <c r="G49" s="14" t="s">
        <v>3406</v>
      </c>
      <c r="H49" s="14" t="s">
        <v>10979</v>
      </c>
      <c r="I49" s="14" t="s">
        <v>10980</v>
      </c>
      <c r="J49" s="14">
        <v>0.95</v>
      </c>
      <c r="K49" s="14" t="s">
        <v>10966</v>
      </c>
      <c r="L49" s="14" t="s">
        <v>10981</v>
      </c>
    </row>
    <row r="50" spans="1:12" ht="42.75" customHeight="1">
      <c r="A50" s="23" t="s">
        <v>10969</v>
      </c>
      <c r="B50" s="23" t="s">
        <v>2473</v>
      </c>
      <c r="C50" s="23">
        <v>3</v>
      </c>
      <c r="D50" s="23">
        <v>3.5</v>
      </c>
      <c r="E50" s="23">
        <v>1</v>
      </c>
      <c r="F50" s="23">
        <v>2.5</v>
      </c>
      <c r="G50" s="23" t="s">
        <v>3406</v>
      </c>
      <c r="H50" s="23" t="s">
        <v>10979</v>
      </c>
      <c r="I50" s="23" t="s">
        <v>10980</v>
      </c>
      <c r="J50" s="23">
        <v>1</v>
      </c>
      <c r="K50" s="23" t="s">
        <v>10966</v>
      </c>
      <c r="L50" s="23" t="s">
        <v>10981</v>
      </c>
    </row>
    <row r="51" spans="1:12" ht="42.75" customHeight="1">
      <c r="A51" s="14" t="s">
        <v>10969</v>
      </c>
      <c r="B51" s="14" t="s">
        <v>2588</v>
      </c>
      <c r="C51" s="14">
        <v>4</v>
      </c>
      <c r="D51" s="14">
        <v>3.8</v>
      </c>
      <c r="E51" s="14">
        <v>1.1000000000000001</v>
      </c>
      <c r="F51" s="14">
        <v>2.8</v>
      </c>
      <c r="G51" s="14" t="s">
        <v>546</v>
      </c>
      <c r="H51" s="14" t="s">
        <v>10979</v>
      </c>
      <c r="I51" s="14" t="s">
        <v>10980</v>
      </c>
      <c r="J51" s="14">
        <v>1.1000000000000001</v>
      </c>
      <c r="K51" s="14" t="s">
        <v>10966</v>
      </c>
      <c r="L51" s="14" t="s">
        <v>10981</v>
      </c>
    </row>
    <row r="52" spans="1:12" ht="42.75" customHeight="1">
      <c r="A52" s="23" t="s">
        <v>10969</v>
      </c>
      <c r="B52" s="23" t="s">
        <v>2729</v>
      </c>
      <c r="C52" s="23">
        <v>4</v>
      </c>
      <c r="D52" s="23">
        <v>4</v>
      </c>
      <c r="E52" s="23">
        <v>1.1499999999999999</v>
      </c>
      <c r="F52" s="23">
        <v>3</v>
      </c>
      <c r="G52" s="23" t="s">
        <v>546</v>
      </c>
      <c r="H52" s="23" t="s">
        <v>10979</v>
      </c>
      <c r="I52" s="23" t="s">
        <v>10980</v>
      </c>
      <c r="J52" s="23">
        <v>1.1499999999999999</v>
      </c>
      <c r="K52" s="23" t="s">
        <v>10966</v>
      </c>
      <c r="L52" s="23" t="s">
        <v>10981</v>
      </c>
    </row>
    <row r="53" spans="1:12" ht="42.75" customHeight="1">
      <c r="A53" s="14" t="s">
        <v>10969</v>
      </c>
      <c r="B53" s="14" t="s">
        <v>2824</v>
      </c>
      <c r="C53" s="14">
        <v>3</v>
      </c>
      <c r="D53" s="14">
        <v>3.5</v>
      </c>
      <c r="E53" s="14">
        <v>1</v>
      </c>
      <c r="F53" s="14">
        <v>2.5</v>
      </c>
      <c r="G53" s="14" t="s">
        <v>3406</v>
      </c>
      <c r="H53" s="14" t="s">
        <v>10979</v>
      </c>
      <c r="I53" s="14" t="s">
        <v>10980</v>
      </c>
      <c r="J53" s="14">
        <v>1</v>
      </c>
      <c r="K53" s="14" t="s">
        <v>10966</v>
      </c>
      <c r="L53" s="14" t="s">
        <v>10981</v>
      </c>
    </row>
    <row r="54" spans="1:12" ht="42.75" customHeight="1">
      <c r="A54" s="23" t="s">
        <v>10969</v>
      </c>
      <c r="B54" s="23" t="s">
        <v>2986</v>
      </c>
      <c r="C54" s="23">
        <v>4</v>
      </c>
      <c r="D54" s="23">
        <v>4</v>
      </c>
      <c r="E54" s="23">
        <v>1.2</v>
      </c>
      <c r="F54" s="23">
        <v>3</v>
      </c>
      <c r="G54" s="23" t="s">
        <v>546</v>
      </c>
      <c r="H54" s="23" t="s">
        <v>10979</v>
      </c>
      <c r="I54" s="23" t="s">
        <v>10980</v>
      </c>
      <c r="J54" s="23">
        <v>1.1499999999999999</v>
      </c>
      <c r="K54" s="23" t="s">
        <v>10966</v>
      </c>
      <c r="L54" s="23" t="s">
        <v>10981</v>
      </c>
    </row>
    <row r="55" spans="1:12" ht="42.75" customHeight="1">
      <c r="A55" s="14" t="s">
        <v>10969</v>
      </c>
      <c r="B55" s="14" t="s">
        <v>3204</v>
      </c>
      <c r="C55" s="14">
        <v>3</v>
      </c>
      <c r="D55" s="14">
        <v>3.5</v>
      </c>
      <c r="E55" s="14">
        <v>1</v>
      </c>
      <c r="F55" s="14">
        <v>2.5</v>
      </c>
      <c r="G55" s="14" t="s">
        <v>3406</v>
      </c>
      <c r="H55" s="14" t="s">
        <v>10979</v>
      </c>
      <c r="I55" s="14" t="s">
        <v>10980</v>
      </c>
      <c r="J55" s="14">
        <v>1</v>
      </c>
      <c r="K55" s="14" t="s">
        <v>10966</v>
      </c>
      <c r="L55" s="14" t="s">
        <v>10981</v>
      </c>
    </row>
    <row r="56" spans="1:12" ht="42.75" customHeight="1">
      <c r="A56" s="23" t="s">
        <v>10970</v>
      </c>
      <c r="B56" s="23" t="s">
        <v>815</v>
      </c>
      <c r="C56" s="23">
        <v>3</v>
      </c>
      <c r="D56" s="23">
        <v>3.5</v>
      </c>
      <c r="E56" s="23">
        <v>1</v>
      </c>
      <c r="F56" s="23">
        <v>2.5</v>
      </c>
      <c r="G56" s="23" t="s">
        <v>3406</v>
      </c>
      <c r="H56" s="23" t="s">
        <v>10982</v>
      </c>
      <c r="I56" s="23" t="s">
        <v>10983</v>
      </c>
      <c r="J56" s="23">
        <v>1</v>
      </c>
      <c r="K56" s="23" t="s">
        <v>10966</v>
      </c>
      <c r="L56" s="23" t="s">
        <v>10984</v>
      </c>
    </row>
    <row r="57" spans="1:12" ht="42.75" customHeight="1">
      <c r="A57" s="14" t="s">
        <v>10970</v>
      </c>
      <c r="B57" s="14" t="s">
        <v>949</v>
      </c>
      <c r="C57" s="14">
        <v>5</v>
      </c>
      <c r="D57" s="14">
        <v>4</v>
      </c>
      <c r="E57" s="14">
        <v>1.25</v>
      </c>
      <c r="F57" s="14">
        <v>3</v>
      </c>
      <c r="G57" s="14" t="s">
        <v>546</v>
      </c>
      <c r="H57" s="14" t="s">
        <v>10982</v>
      </c>
      <c r="I57" s="14" t="s">
        <v>10983</v>
      </c>
      <c r="J57" s="14">
        <v>1.2</v>
      </c>
      <c r="K57" s="14" t="s">
        <v>10966</v>
      </c>
      <c r="L57" s="14" t="s">
        <v>10984</v>
      </c>
    </row>
    <row r="58" spans="1:12" ht="42.75" customHeight="1">
      <c r="A58" s="23" t="s">
        <v>10970</v>
      </c>
      <c r="B58" s="23" t="s">
        <v>1150</v>
      </c>
      <c r="C58" s="23">
        <v>3</v>
      </c>
      <c r="D58" s="23">
        <v>4</v>
      </c>
      <c r="E58" s="23">
        <v>1.1499999999999999</v>
      </c>
      <c r="F58" s="23">
        <v>3</v>
      </c>
      <c r="G58" s="23" t="s">
        <v>546</v>
      </c>
      <c r="H58" s="23" t="s">
        <v>10982</v>
      </c>
      <c r="I58" s="23" t="s">
        <v>10983</v>
      </c>
      <c r="J58" s="23">
        <v>1.1000000000000001</v>
      </c>
      <c r="K58" s="23" t="s">
        <v>10966</v>
      </c>
      <c r="L58" s="23" t="s">
        <v>10984</v>
      </c>
    </row>
    <row r="59" spans="1:12" ht="42.75" customHeight="1">
      <c r="A59" s="14" t="s">
        <v>10970</v>
      </c>
      <c r="B59" s="14" t="s">
        <v>1259</v>
      </c>
      <c r="C59" s="14">
        <v>3</v>
      </c>
      <c r="D59" s="14">
        <v>3.5</v>
      </c>
      <c r="E59" s="14">
        <v>1</v>
      </c>
      <c r="F59" s="14">
        <v>2.5</v>
      </c>
      <c r="G59" s="14" t="s">
        <v>3406</v>
      </c>
      <c r="H59" s="14" t="s">
        <v>10982</v>
      </c>
      <c r="I59" s="14" t="s">
        <v>10983</v>
      </c>
      <c r="J59" s="14">
        <v>1</v>
      </c>
      <c r="K59" s="14" t="s">
        <v>10966</v>
      </c>
      <c r="L59" s="14" t="s">
        <v>10984</v>
      </c>
    </row>
    <row r="60" spans="1:12" ht="42.75" customHeight="1">
      <c r="A60" s="23" t="s">
        <v>10970</v>
      </c>
      <c r="B60" s="23" t="s">
        <v>1401</v>
      </c>
      <c r="C60" s="23">
        <v>3</v>
      </c>
      <c r="D60" s="23">
        <v>3.5</v>
      </c>
      <c r="E60" s="23">
        <v>1</v>
      </c>
      <c r="F60" s="23">
        <v>2.5</v>
      </c>
      <c r="G60" s="23" t="s">
        <v>3406</v>
      </c>
      <c r="H60" s="23" t="s">
        <v>10982</v>
      </c>
      <c r="I60" s="23" t="s">
        <v>10983</v>
      </c>
      <c r="J60" s="23">
        <v>1</v>
      </c>
      <c r="K60" s="23" t="s">
        <v>10966</v>
      </c>
      <c r="L60" s="23" t="s">
        <v>10984</v>
      </c>
    </row>
    <row r="61" spans="1:12" ht="42.75" customHeight="1">
      <c r="A61" s="14" t="s">
        <v>10970</v>
      </c>
      <c r="B61" s="14" t="s">
        <v>1551</v>
      </c>
      <c r="C61" s="14">
        <v>3</v>
      </c>
      <c r="D61" s="14">
        <v>3.5</v>
      </c>
      <c r="E61" s="14">
        <v>1</v>
      </c>
      <c r="F61" s="14">
        <v>2.5</v>
      </c>
      <c r="G61" s="14" t="s">
        <v>3406</v>
      </c>
      <c r="H61" s="14" t="s">
        <v>10982</v>
      </c>
      <c r="I61" s="14" t="s">
        <v>10983</v>
      </c>
      <c r="J61" s="14">
        <v>1</v>
      </c>
      <c r="K61" s="14" t="s">
        <v>10966</v>
      </c>
      <c r="L61" s="14" t="s">
        <v>10984</v>
      </c>
    </row>
    <row r="62" spans="1:12" ht="42.75" customHeight="1">
      <c r="A62" s="23" t="s">
        <v>10970</v>
      </c>
      <c r="B62" s="23" t="s">
        <v>1666</v>
      </c>
      <c r="C62" s="23">
        <v>3</v>
      </c>
      <c r="D62" s="23">
        <v>3.5</v>
      </c>
      <c r="E62" s="23">
        <v>1</v>
      </c>
      <c r="F62" s="23">
        <v>2.5</v>
      </c>
      <c r="G62" s="23" t="s">
        <v>3406</v>
      </c>
      <c r="H62" s="23" t="s">
        <v>10982</v>
      </c>
      <c r="I62" s="23" t="s">
        <v>10983</v>
      </c>
      <c r="J62" s="23">
        <v>1</v>
      </c>
      <c r="K62" s="23" t="s">
        <v>10966</v>
      </c>
      <c r="L62" s="23" t="s">
        <v>10984</v>
      </c>
    </row>
    <row r="63" spans="1:12" ht="42.75" customHeight="1">
      <c r="A63" s="14" t="s">
        <v>10970</v>
      </c>
      <c r="B63" s="14" t="s">
        <v>1859</v>
      </c>
      <c r="C63" s="14">
        <v>3</v>
      </c>
      <c r="D63" s="14">
        <v>3.5</v>
      </c>
      <c r="E63" s="14">
        <v>1</v>
      </c>
      <c r="F63" s="14">
        <v>2.5</v>
      </c>
      <c r="G63" s="14" t="s">
        <v>3406</v>
      </c>
      <c r="H63" s="14" t="s">
        <v>10982</v>
      </c>
      <c r="I63" s="14" t="s">
        <v>10983</v>
      </c>
      <c r="J63" s="14">
        <v>1</v>
      </c>
      <c r="K63" s="14" t="s">
        <v>10966</v>
      </c>
      <c r="L63" s="14" t="s">
        <v>10984</v>
      </c>
    </row>
    <row r="64" spans="1:12" ht="42.75" customHeight="1">
      <c r="A64" s="23" t="s">
        <v>10970</v>
      </c>
      <c r="B64" s="23" t="s">
        <v>1987</v>
      </c>
      <c r="C64" s="23">
        <v>5</v>
      </c>
      <c r="D64" s="23">
        <v>4</v>
      </c>
      <c r="E64" s="23">
        <v>1.25</v>
      </c>
      <c r="F64" s="23">
        <v>3</v>
      </c>
      <c r="G64" s="23" t="s">
        <v>546</v>
      </c>
      <c r="H64" s="23" t="s">
        <v>10982</v>
      </c>
      <c r="I64" s="23" t="s">
        <v>10983</v>
      </c>
      <c r="J64" s="23">
        <v>1.2</v>
      </c>
      <c r="K64" s="23" t="s">
        <v>10966</v>
      </c>
      <c r="L64" s="23" t="s">
        <v>10984</v>
      </c>
    </row>
    <row r="65" spans="1:12" ht="42.75" customHeight="1">
      <c r="A65" s="14" t="s">
        <v>10970</v>
      </c>
      <c r="B65" s="14" t="s">
        <v>2145</v>
      </c>
      <c r="C65" s="14">
        <v>1</v>
      </c>
      <c r="D65" s="14">
        <v>1</v>
      </c>
      <c r="E65" s="14">
        <v>0.6</v>
      </c>
      <c r="F65" s="14">
        <v>0</v>
      </c>
      <c r="G65" s="14" t="s">
        <v>3406</v>
      </c>
      <c r="H65" s="14" t="s">
        <v>10982</v>
      </c>
      <c r="I65" s="14" t="s">
        <v>10983</v>
      </c>
      <c r="J65" s="14">
        <v>0.7</v>
      </c>
      <c r="K65" s="14" t="s">
        <v>10966</v>
      </c>
      <c r="L65" s="14" t="s">
        <v>10984</v>
      </c>
    </row>
    <row r="66" spans="1:12" ht="42.75" customHeight="1">
      <c r="A66" s="23" t="s">
        <v>10970</v>
      </c>
      <c r="B66" s="23" t="s">
        <v>2286</v>
      </c>
      <c r="C66" s="23">
        <v>5</v>
      </c>
      <c r="D66" s="23">
        <v>4.2</v>
      </c>
      <c r="E66" s="23">
        <v>1.35</v>
      </c>
      <c r="F66" s="23">
        <v>3.2</v>
      </c>
      <c r="G66" s="23" t="s">
        <v>3404</v>
      </c>
      <c r="H66" s="23" t="s">
        <v>10982</v>
      </c>
      <c r="I66" s="23" t="s">
        <v>10983</v>
      </c>
      <c r="J66" s="23">
        <v>1.3</v>
      </c>
      <c r="K66" s="23" t="s">
        <v>10966</v>
      </c>
      <c r="L66" s="23" t="s">
        <v>10984</v>
      </c>
    </row>
    <row r="67" spans="1:12" ht="42.75" customHeight="1">
      <c r="A67" s="14" t="s">
        <v>10970</v>
      </c>
      <c r="B67" s="14" t="s">
        <v>2473</v>
      </c>
      <c r="C67" s="14">
        <v>5</v>
      </c>
      <c r="D67" s="14">
        <v>4</v>
      </c>
      <c r="E67" s="14">
        <v>1.25</v>
      </c>
      <c r="F67" s="14">
        <v>3</v>
      </c>
      <c r="G67" s="14" t="s">
        <v>546</v>
      </c>
      <c r="H67" s="14" t="s">
        <v>10982</v>
      </c>
      <c r="I67" s="14" t="s">
        <v>10983</v>
      </c>
      <c r="J67" s="14">
        <v>1.25</v>
      </c>
      <c r="K67" s="14" t="s">
        <v>10966</v>
      </c>
      <c r="L67" s="14" t="s">
        <v>10984</v>
      </c>
    </row>
    <row r="68" spans="1:12" ht="42.75" customHeight="1">
      <c r="A68" s="23" t="s">
        <v>10970</v>
      </c>
      <c r="B68" s="23" t="s">
        <v>2588</v>
      </c>
      <c r="C68" s="23">
        <v>3</v>
      </c>
      <c r="D68" s="23">
        <v>4</v>
      </c>
      <c r="E68" s="23">
        <v>1.1499999999999999</v>
      </c>
      <c r="F68" s="23">
        <v>3</v>
      </c>
      <c r="G68" s="23" t="s">
        <v>546</v>
      </c>
      <c r="H68" s="23" t="s">
        <v>10982</v>
      </c>
      <c r="I68" s="23" t="s">
        <v>10983</v>
      </c>
      <c r="J68" s="23">
        <v>1.1000000000000001</v>
      </c>
      <c r="K68" s="23" t="s">
        <v>10966</v>
      </c>
      <c r="L68" s="23" t="s">
        <v>10984</v>
      </c>
    </row>
    <row r="69" spans="1:12" ht="42.75" customHeight="1">
      <c r="A69" s="14" t="s">
        <v>10970</v>
      </c>
      <c r="B69" s="14" t="s">
        <v>2729</v>
      </c>
      <c r="C69" s="14">
        <v>5</v>
      </c>
      <c r="D69" s="14">
        <v>4</v>
      </c>
      <c r="E69" s="14">
        <v>1.25</v>
      </c>
      <c r="F69" s="14">
        <v>3</v>
      </c>
      <c r="G69" s="14" t="s">
        <v>546</v>
      </c>
      <c r="H69" s="14" t="s">
        <v>10982</v>
      </c>
      <c r="I69" s="14" t="s">
        <v>10983</v>
      </c>
      <c r="J69" s="14">
        <v>1.2</v>
      </c>
      <c r="K69" s="14" t="s">
        <v>10966</v>
      </c>
      <c r="L69" s="14" t="s">
        <v>10984</v>
      </c>
    </row>
    <row r="70" spans="1:12" ht="42.75" customHeight="1">
      <c r="A70" s="23" t="s">
        <v>10970</v>
      </c>
      <c r="B70" s="23" t="s">
        <v>2824</v>
      </c>
      <c r="C70" s="23">
        <v>4</v>
      </c>
      <c r="D70" s="23">
        <v>4</v>
      </c>
      <c r="E70" s="23">
        <v>1.1499999999999999</v>
      </c>
      <c r="F70" s="23">
        <v>3</v>
      </c>
      <c r="G70" s="23" t="s">
        <v>546</v>
      </c>
      <c r="H70" s="23" t="s">
        <v>10982</v>
      </c>
      <c r="I70" s="23" t="s">
        <v>10983</v>
      </c>
      <c r="J70" s="23">
        <v>1.1499999999999999</v>
      </c>
      <c r="K70" s="23" t="s">
        <v>10966</v>
      </c>
      <c r="L70" s="23" t="s">
        <v>10984</v>
      </c>
    </row>
    <row r="71" spans="1:12" ht="42.75" customHeight="1">
      <c r="A71" s="14" t="s">
        <v>10970</v>
      </c>
      <c r="B71" s="14" t="s">
        <v>2986</v>
      </c>
      <c r="C71" s="14">
        <v>5</v>
      </c>
      <c r="D71" s="14">
        <v>4.2</v>
      </c>
      <c r="E71" s="14">
        <v>1.35</v>
      </c>
      <c r="F71" s="14">
        <v>3.2</v>
      </c>
      <c r="G71" s="14" t="s">
        <v>3404</v>
      </c>
      <c r="H71" s="14" t="s">
        <v>10982</v>
      </c>
      <c r="I71" s="14" t="s">
        <v>10983</v>
      </c>
      <c r="J71" s="14">
        <v>1.25</v>
      </c>
      <c r="K71" s="14" t="s">
        <v>10966</v>
      </c>
      <c r="L71" s="14" t="s">
        <v>10984</v>
      </c>
    </row>
    <row r="72" spans="1:12" ht="42.75" customHeight="1">
      <c r="A72" s="23" t="s">
        <v>10970</v>
      </c>
      <c r="B72" s="23" t="s">
        <v>3204</v>
      </c>
      <c r="C72" s="23">
        <v>3</v>
      </c>
      <c r="D72" s="23">
        <v>3.5</v>
      </c>
      <c r="E72" s="23">
        <v>1</v>
      </c>
      <c r="F72" s="23">
        <v>2.5</v>
      </c>
      <c r="G72" s="23" t="s">
        <v>3406</v>
      </c>
      <c r="H72" s="23" t="s">
        <v>10982</v>
      </c>
      <c r="I72" s="23" t="s">
        <v>10983</v>
      </c>
      <c r="J72" s="23">
        <v>1</v>
      </c>
      <c r="K72" s="23" t="s">
        <v>10966</v>
      </c>
      <c r="L72" s="23" t="s">
        <v>10984</v>
      </c>
    </row>
    <row r="73" spans="1:12" ht="42.75" customHeight="1">
      <c r="A73" s="14" t="s">
        <v>10971</v>
      </c>
      <c r="B73" s="14" t="s">
        <v>815</v>
      </c>
      <c r="C73" s="14">
        <v>3</v>
      </c>
      <c r="D73" s="14">
        <v>3.5</v>
      </c>
      <c r="E73" s="14">
        <v>1</v>
      </c>
      <c r="F73" s="14">
        <v>2.5</v>
      </c>
      <c r="G73" s="14" t="s">
        <v>3406</v>
      </c>
      <c r="H73" s="14" t="s">
        <v>10985</v>
      </c>
      <c r="I73" s="14" t="s">
        <v>10986</v>
      </c>
      <c r="J73" s="14">
        <v>1</v>
      </c>
      <c r="K73" s="14" t="s">
        <v>10966</v>
      </c>
      <c r="L73" s="14" t="s">
        <v>10981</v>
      </c>
    </row>
    <row r="74" spans="1:12" ht="42.75" customHeight="1">
      <c r="A74" s="23" t="s">
        <v>10971</v>
      </c>
      <c r="B74" s="23" t="s">
        <v>949</v>
      </c>
      <c r="C74" s="23">
        <v>3</v>
      </c>
      <c r="D74" s="23">
        <v>3.5</v>
      </c>
      <c r="E74" s="23">
        <v>1</v>
      </c>
      <c r="F74" s="23">
        <v>2.5</v>
      </c>
      <c r="G74" s="23" t="s">
        <v>3406</v>
      </c>
      <c r="H74" s="23" t="s">
        <v>10985</v>
      </c>
      <c r="I74" s="23" t="s">
        <v>10986</v>
      </c>
      <c r="J74" s="23">
        <v>1</v>
      </c>
      <c r="K74" s="23" t="s">
        <v>10966</v>
      </c>
      <c r="L74" s="23" t="s">
        <v>10981</v>
      </c>
    </row>
    <row r="75" spans="1:12" ht="42.75" customHeight="1">
      <c r="A75" s="14" t="s">
        <v>10971</v>
      </c>
      <c r="B75" s="14" t="s">
        <v>1150</v>
      </c>
      <c r="C75" s="14">
        <v>3</v>
      </c>
      <c r="D75" s="14">
        <v>4</v>
      </c>
      <c r="E75" s="14">
        <v>1.1499999999999999</v>
      </c>
      <c r="F75" s="14">
        <v>3</v>
      </c>
      <c r="G75" s="14" t="s">
        <v>546</v>
      </c>
      <c r="H75" s="14" t="s">
        <v>10985</v>
      </c>
      <c r="I75" s="14" t="s">
        <v>10986</v>
      </c>
      <c r="J75" s="14">
        <v>1.1000000000000001</v>
      </c>
      <c r="K75" s="14" t="s">
        <v>10966</v>
      </c>
      <c r="L75" s="14" t="s">
        <v>10981</v>
      </c>
    </row>
    <row r="76" spans="1:12" ht="42.75" customHeight="1">
      <c r="A76" s="23" t="s">
        <v>10971</v>
      </c>
      <c r="B76" s="23" t="s">
        <v>1259</v>
      </c>
      <c r="C76" s="23">
        <v>3</v>
      </c>
      <c r="D76" s="23">
        <v>3.5</v>
      </c>
      <c r="E76" s="23">
        <v>1</v>
      </c>
      <c r="F76" s="23">
        <v>2.5</v>
      </c>
      <c r="G76" s="23" t="s">
        <v>3406</v>
      </c>
      <c r="H76" s="23" t="s">
        <v>10985</v>
      </c>
      <c r="I76" s="23" t="s">
        <v>10986</v>
      </c>
      <c r="J76" s="23">
        <v>1</v>
      </c>
      <c r="K76" s="23" t="s">
        <v>10966</v>
      </c>
      <c r="L76" s="23" t="s">
        <v>10981</v>
      </c>
    </row>
    <row r="77" spans="1:12" ht="42.75" customHeight="1">
      <c r="A77" s="14" t="s">
        <v>10971</v>
      </c>
      <c r="B77" s="14" t="s">
        <v>1401</v>
      </c>
      <c r="C77" s="14">
        <v>3</v>
      </c>
      <c r="D77" s="14">
        <v>3.5</v>
      </c>
      <c r="E77" s="14">
        <v>1</v>
      </c>
      <c r="F77" s="14">
        <v>2.5</v>
      </c>
      <c r="G77" s="14" t="s">
        <v>3406</v>
      </c>
      <c r="H77" s="14" t="s">
        <v>10985</v>
      </c>
      <c r="I77" s="14" t="s">
        <v>10986</v>
      </c>
      <c r="J77" s="14">
        <v>1</v>
      </c>
      <c r="K77" s="14" t="s">
        <v>10966</v>
      </c>
      <c r="L77" s="14" t="s">
        <v>10981</v>
      </c>
    </row>
    <row r="78" spans="1:12" ht="42.75" customHeight="1">
      <c r="A78" s="23" t="s">
        <v>10971</v>
      </c>
      <c r="B78" s="23" t="s">
        <v>1551</v>
      </c>
      <c r="C78" s="23">
        <v>3</v>
      </c>
      <c r="D78" s="23">
        <v>3.5</v>
      </c>
      <c r="E78" s="23">
        <v>1</v>
      </c>
      <c r="F78" s="23">
        <v>2.5</v>
      </c>
      <c r="G78" s="23" t="s">
        <v>3406</v>
      </c>
      <c r="H78" s="23" t="s">
        <v>10985</v>
      </c>
      <c r="I78" s="23" t="s">
        <v>10986</v>
      </c>
      <c r="J78" s="23">
        <v>1</v>
      </c>
      <c r="K78" s="23" t="s">
        <v>10966</v>
      </c>
      <c r="L78" s="23" t="s">
        <v>10981</v>
      </c>
    </row>
    <row r="79" spans="1:12" ht="42.75" customHeight="1">
      <c r="A79" s="14" t="s">
        <v>10971</v>
      </c>
      <c r="B79" s="14" t="s">
        <v>1666</v>
      </c>
      <c r="C79" s="14">
        <v>4</v>
      </c>
      <c r="D79" s="14">
        <v>4</v>
      </c>
      <c r="E79" s="14">
        <v>1.25</v>
      </c>
      <c r="F79" s="14">
        <v>3</v>
      </c>
      <c r="G79" s="14" t="s">
        <v>546</v>
      </c>
      <c r="H79" s="14" t="s">
        <v>10985</v>
      </c>
      <c r="I79" s="14" t="s">
        <v>10986</v>
      </c>
      <c r="J79" s="14">
        <v>1.2</v>
      </c>
      <c r="K79" s="14" t="s">
        <v>10966</v>
      </c>
      <c r="L79" s="14" t="s">
        <v>10981</v>
      </c>
    </row>
    <row r="80" spans="1:12" ht="42.75" customHeight="1">
      <c r="A80" s="23" t="s">
        <v>10971</v>
      </c>
      <c r="B80" s="23" t="s">
        <v>1859</v>
      </c>
      <c r="C80" s="23">
        <v>5</v>
      </c>
      <c r="D80" s="23">
        <v>4.3</v>
      </c>
      <c r="E80" s="23">
        <v>1.4</v>
      </c>
      <c r="F80" s="23">
        <v>3.3</v>
      </c>
      <c r="G80" s="23" t="s">
        <v>3404</v>
      </c>
      <c r="H80" s="23" t="s">
        <v>10985</v>
      </c>
      <c r="I80" s="23" t="s">
        <v>10986</v>
      </c>
      <c r="J80" s="23">
        <v>1.35</v>
      </c>
      <c r="K80" s="23" t="s">
        <v>10966</v>
      </c>
      <c r="L80" s="23" t="s">
        <v>10981</v>
      </c>
    </row>
    <row r="81" spans="1:12" ht="42.75" customHeight="1">
      <c r="A81" s="14" t="s">
        <v>10971</v>
      </c>
      <c r="B81" s="14" t="s">
        <v>1987</v>
      </c>
      <c r="C81" s="14">
        <v>5</v>
      </c>
      <c r="D81" s="14">
        <v>4.3</v>
      </c>
      <c r="E81" s="14">
        <v>1.45</v>
      </c>
      <c r="F81" s="14">
        <v>3.3</v>
      </c>
      <c r="G81" s="14" t="s">
        <v>3404</v>
      </c>
      <c r="H81" s="14" t="s">
        <v>10985</v>
      </c>
      <c r="I81" s="14" t="s">
        <v>10986</v>
      </c>
      <c r="J81" s="14">
        <v>1.35</v>
      </c>
      <c r="K81" s="14" t="s">
        <v>10966</v>
      </c>
      <c r="L81" s="14" t="s">
        <v>10981</v>
      </c>
    </row>
    <row r="82" spans="1:12" ht="42.75" customHeight="1">
      <c r="A82" s="23" t="s">
        <v>10971</v>
      </c>
      <c r="B82" s="23" t="s">
        <v>2145</v>
      </c>
      <c r="C82" s="23">
        <v>1</v>
      </c>
      <c r="D82" s="23">
        <v>1</v>
      </c>
      <c r="E82" s="23">
        <v>0.6</v>
      </c>
      <c r="F82" s="23">
        <v>0</v>
      </c>
      <c r="G82" s="23" t="s">
        <v>3406</v>
      </c>
      <c r="H82" s="23" t="s">
        <v>10985</v>
      </c>
      <c r="I82" s="23" t="s">
        <v>10986</v>
      </c>
      <c r="J82" s="23">
        <v>0.7</v>
      </c>
      <c r="K82" s="23" t="s">
        <v>10966</v>
      </c>
      <c r="L82" s="23" t="s">
        <v>10981</v>
      </c>
    </row>
    <row r="83" spans="1:12" ht="42.75" customHeight="1">
      <c r="A83" s="14" t="s">
        <v>10971</v>
      </c>
      <c r="B83" s="14" t="s">
        <v>2286</v>
      </c>
      <c r="C83" s="14">
        <v>3</v>
      </c>
      <c r="D83" s="14">
        <v>3.5</v>
      </c>
      <c r="E83" s="14">
        <v>1</v>
      </c>
      <c r="F83" s="14">
        <v>2.5</v>
      </c>
      <c r="G83" s="14" t="s">
        <v>3406</v>
      </c>
      <c r="H83" s="14" t="s">
        <v>10985</v>
      </c>
      <c r="I83" s="14" t="s">
        <v>10986</v>
      </c>
      <c r="J83" s="14">
        <v>1</v>
      </c>
      <c r="K83" s="14" t="s">
        <v>10966</v>
      </c>
      <c r="L83" s="14" t="s">
        <v>10981</v>
      </c>
    </row>
    <row r="84" spans="1:12" ht="42.75" customHeight="1">
      <c r="A84" s="23" t="s">
        <v>10971</v>
      </c>
      <c r="B84" s="23" t="s">
        <v>2473</v>
      </c>
      <c r="C84" s="23">
        <v>3</v>
      </c>
      <c r="D84" s="23">
        <v>3.5</v>
      </c>
      <c r="E84" s="23">
        <v>1</v>
      </c>
      <c r="F84" s="23">
        <v>2.5</v>
      </c>
      <c r="G84" s="23" t="s">
        <v>3406</v>
      </c>
      <c r="H84" s="23" t="s">
        <v>10985</v>
      </c>
      <c r="I84" s="23" t="s">
        <v>10986</v>
      </c>
      <c r="J84" s="23">
        <v>1</v>
      </c>
      <c r="K84" s="23" t="s">
        <v>10966</v>
      </c>
      <c r="L84" s="23" t="s">
        <v>10981</v>
      </c>
    </row>
    <row r="85" spans="1:12" ht="42.75" customHeight="1">
      <c r="A85" s="14" t="s">
        <v>10971</v>
      </c>
      <c r="B85" s="14" t="s">
        <v>2588</v>
      </c>
      <c r="C85" s="14">
        <v>4</v>
      </c>
      <c r="D85" s="14">
        <v>3.8</v>
      </c>
      <c r="E85" s="14">
        <v>1.1499999999999999</v>
      </c>
      <c r="F85" s="14">
        <v>2.8</v>
      </c>
      <c r="G85" s="14" t="s">
        <v>546</v>
      </c>
      <c r="H85" s="14" t="s">
        <v>10985</v>
      </c>
      <c r="I85" s="14" t="s">
        <v>10986</v>
      </c>
      <c r="J85" s="14">
        <v>1.1000000000000001</v>
      </c>
      <c r="K85" s="14" t="s">
        <v>10966</v>
      </c>
      <c r="L85" s="14" t="s">
        <v>10981</v>
      </c>
    </row>
    <row r="86" spans="1:12" ht="42.75" customHeight="1">
      <c r="A86" s="23" t="s">
        <v>10971</v>
      </c>
      <c r="B86" s="23" t="s">
        <v>2729</v>
      </c>
      <c r="C86" s="23">
        <v>4</v>
      </c>
      <c r="D86" s="23">
        <v>4</v>
      </c>
      <c r="E86" s="23">
        <v>1.2</v>
      </c>
      <c r="F86" s="23">
        <v>3</v>
      </c>
      <c r="G86" s="23" t="s">
        <v>546</v>
      </c>
      <c r="H86" s="23" t="s">
        <v>10985</v>
      </c>
      <c r="I86" s="23" t="s">
        <v>10986</v>
      </c>
      <c r="J86" s="23">
        <v>1.1499999999999999</v>
      </c>
      <c r="K86" s="23" t="s">
        <v>10966</v>
      </c>
      <c r="L86" s="23" t="s">
        <v>10981</v>
      </c>
    </row>
    <row r="87" spans="1:12" ht="42.75" customHeight="1">
      <c r="A87" s="14" t="s">
        <v>10971</v>
      </c>
      <c r="B87" s="14" t="s">
        <v>2824</v>
      </c>
      <c r="C87" s="14">
        <v>4</v>
      </c>
      <c r="D87" s="14">
        <v>3.8</v>
      </c>
      <c r="E87" s="14">
        <v>1.1499999999999999</v>
      </c>
      <c r="F87" s="14">
        <v>2.8</v>
      </c>
      <c r="G87" s="14" t="s">
        <v>546</v>
      </c>
      <c r="H87" s="14" t="s">
        <v>10985</v>
      </c>
      <c r="I87" s="14" t="s">
        <v>10986</v>
      </c>
      <c r="J87" s="14">
        <v>1.1000000000000001</v>
      </c>
      <c r="K87" s="14" t="s">
        <v>10966</v>
      </c>
      <c r="L87" s="14" t="s">
        <v>10981</v>
      </c>
    </row>
    <row r="88" spans="1:12" ht="42.75" customHeight="1">
      <c r="A88" s="23" t="s">
        <v>10971</v>
      </c>
      <c r="B88" s="23" t="s">
        <v>2986</v>
      </c>
      <c r="C88" s="23">
        <v>3</v>
      </c>
      <c r="D88" s="23">
        <v>4</v>
      </c>
      <c r="E88" s="23">
        <v>1.1499999999999999</v>
      </c>
      <c r="F88" s="23">
        <v>3</v>
      </c>
      <c r="G88" s="23" t="s">
        <v>546</v>
      </c>
      <c r="H88" s="23" t="s">
        <v>10985</v>
      </c>
      <c r="I88" s="23" t="s">
        <v>10986</v>
      </c>
      <c r="J88" s="23">
        <v>1.1000000000000001</v>
      </c>
      <c r="K88" s="23" t="s">
        <v>10966</v>
      </c>
      <c r="L88" s="23" t="s">
        <v>10981</v>
      </c>
    </row>
    <row r="89" spans="1:12" ht="42.75" customHeight="1">
      <c r="A89" s="14" t="s">
        <v>10971</v>
      </c>
      <c r="B89" s="14" t="s">
        <v>3204</v>
      </c>
      <c r="C89" s="14">
        <v>3</v>
      </c>
      <c r="D89" s="14">
        <v>3.5</v>
      </c>
      <c r="E89" s="14">
        <v>1</v>
      </c>
      <c r="F89" s="14">
        <v>2.5</v>
      </c>
      <c r="G89" s="14" t="s">
        <v>3406</v>
      </c>
      <c r="H89" s="14" t="s">
        <v>10985</v>
      </c>
      <c r="I89" s="14" t="s">
        <v>10986</v>
      </c>
      <c r="J89" s="14">
        <v>1</v>
      </c>
      <c r="K89" s="14" t="s">
        <v>10966</v>
      </c>
      <c r="L89" s="14" t="s">
        <v>10981</v>
      </c>
    </row>
    <row r="90" spans="1:12" ht="42.75" customHeight="1">
      <c r="A90" s="23" t="s">
        <v>10972</v>
      </c>
      <c r="B90" s="23" t="s">
        <v>815</v>
      </c>
      <c r="C90" s="23">
        <v>3</v>
      </c>
      <c r="D90" s="23">
        <v>3.5</v>
      </c>
      <c r="E90" s="23">
        <v>1</v>
      </c>
      <c r="F90" s="23">
        <v>2.5</v>
      </c>
      <c r="G90" s="23" t="s">
        <v>3406</v>
      </c>
      <c r="H90" s="23" t="s">
        <v>10987</v>
      </c>
      <c r="I90" s="23" t="s">
        <v>10988</v>
      </c>
      <c r="J90" s="23">
        <v>1</v>
      </c>
      <c r="K90" s="23" t="s">
        <v>10966</v>
      </c>
      <c r="L90" s="23" t="s">
        <v>10989</v>
      </c>
    </row>
    <row r="91" spans="1:12" ht="42.75" customHeight="1">
      <c r="A91" s="14" t="s">
        <v>10972</v>
      </c>
      <c r="B91" s="14" t="s">
        <v>949</v>
      </c>
      <c r="C91" s="14">
        <v>3</v>
      </c>
      <c r="D91" s="14">
        <v>3.5</v>
      </c>
      <c r="E91" s="14">
        <v>1</v>
      </c>
      <c r="F91" s="14">
        <v>2.5</v>
      </c>
      <c r="G91" s="14" t="s">
        <v>3406</v>
      </c>
      <c r="H91" s="14" t="s">
        <v>10987</v>
      </c>
      <c r="I91" s="14" t="s">
        <v>10988</v>
      </c>
      <c r="J91" s="14">
        <v>1</v>
      </c>
      <c r="K91" s="14" t="s">
        <v>10966</v>
      </c>
      <c r="L91" s="14" t="s">
        <v>10989</v>
      </c>
    </row>
    <row r="92" spans="1:12" ht="42.75" customHeight="1">
      <c r="A92" s="23" t="s">
        <v>10972</v>
      </c>
      <c r="B92" s="23" t="s">
        <v>1150</v>
      </c>
      <c r="C92" s="23">
        <v>3</v>
      </c>
      <c r="D92" s="23">
        <v>4</v>
      </c>
      <c r="E92" s="23">
        <v>1.1499999999999999</v>
      </c>
      <c r="F92" s="23">
        <v>3</v>
      </c>
      <c r="G92" s="23" t="s">
        <v>546</v>
      </c>
      <c r="H92" s="23" t="s">
        <v>10987</v>
      </c>
      <c r="I92" s="23" t="s">
        <v>10988</v>
      </c>
      <c r="J92" s="23">
        <v>1.1000000000000001</v>
      </c>
      <c r="K92" s="23" t="s">
        <v>10966</v>
      </c>
      <c r="L92" s="23" t="s">
        <v>10989</v>
      </c>
    </row>
    <row r="93" spans="1:12" ht="42.75" customHeight="1">
      <c r="A93" s="14" t="s">
        <v>10972</v>
      </c>
      <c r="B93" s="14" t="s">
        <v>1259</v>
      </c>
      <c r="C93" s="14">
        <v>3</v>
      </c>
      <c r="D93" s="14">
        <v>3.5</v>
      </c>
      <c r="E93" s="14">
        <v>1</v>
      </c>
      <c r="F93" s="14">
        <v>2.5</v>
      </c>
      <c r="G93" s="14" t="s">
        <v>3406</v>
      </c>
      <c r="H93" s="14" t="s">
        <v>10987</v>
      </c>
      <c r="I93" s="14" t="s">
        <v>10988</v>
      </c>
      <c r="J93" s="14">
        <v>1</v>
      </c>
      <c r="K93" s="14" t="s">
        <v>10966</v>
      </c>
      <c r="L93" s="14" t="s">
        <v>10989</v>
      </c>
    </row>
    <row r="94" spans="1:12" ht="42.75" customHeight="1">
      <c r="A94" s="23" t="s">
        <v>10972</v>
      </c>
      <c r="B94" s="23" t="s">
        <v>1401</v>
      </c>
      <c r="C94" s="23">
        <v>3</v>
      </c>
      <c r="D94" s="23">
        <v>3.5</v>
      </c>
      <c r="E94" s="23">
        <v>1</v>
      </c>
      <c r="F94" s="23">
        <v>2.5</v>
      </c>
      <c r="G94" s="23" t="s">
        <v>3406</v>
      </c>
      <c r="H94" s="23" t="s">
        <v>10987</v>
      </c>
      <c r="I94" s="23" t="s">
        <v>10988</v>
      </c>
      <c r="J94" s="23">
        <v>1</v>
      </c>
      <c r="K94" s="23" t="s">
        <v>10966</v>
      </c>
      <c r="L94" s="23" t="s">
        <v>10989</v>
      </c>
    </row>
    <row r="95" spans="1:12" ht="42.75" customHeight="1">
      <c r="A95" s="14" t="s">
        <v>10972</v>
      </c>
      <c r="B95" s="14" t="s">
        <v>1551</v>
      </c>
      <c r="C95" s="14">
        <v>5</v>
      </c>
      <c r="D95" s="14">
        <v>4.5</v>
      </c>
      <c r="E95" s="14">
        <v>1.45</v>
      </c>
      <c r="F95" s="14">
        <v>3.5</v>
      </c>
      <c r="G95" s="14" t="s">
        <v>3404</v>
      </c>
      <c r="H95" s="14" t="s">
        <v>10987</v>
      </c>
      <c r="I95" s="14" t="s">
        <v>10988</v>
      </c>
      <c r="J95" s="14">
        <v>1.3</v>
      </c>
      <c r="K95" s="14" t="s">
        <v>10966</v>
      </c>
      <c r="L95" s="14" t="s">
        <v>10989</v>
      </c>
    </row>
    <row r="96" spans="1:12" ht="42.75" customHeight="1">
      <c r="A96" s="23" t="s">
        <v>10972</v>
      </c>
      <c r="B96" s="23" t="s">
        <v>1666</v>
      </c>
      <c r="C96" s="23">
        <v>5</v>
      </c>
      <c r="D96" s="23">
        <v>4.3</v>
      </c>
      <c r="E96" s="23">
        <v>1.35</v>
      </c>
      <c r="F96" s="23">
        <v>3.3</v>
      </c>
      <c r="G96" s="23" t="s">
        <v>3404</v>
      </c>
      <c r="H96" s="23" t="s">
        <v>10987</v>
      </c>
      <c r="I96" s="23" t="s">
        <v>10988</v>
      </c>
      <c r="J96" s="23">
        <v>1.25</v>
      </c>
      <c r="K96" s="23" t="s">
        <v>10966</v>
      </c>
      <c r="L96" s="23" t="s">
        <v>10989</v>
      </c>
    </row>
    <row r="97" spans="1:12" ht="42.75" customHeight="1">
      <c r="A97" s="14" t="s">
        <v>10972</v>
      </c>
      <c r="B97" s="14" t="s">
        <v>1859</v>
      </c>
      <c r="C97" s="14">
        <v>3</v>
      </c>
      <c r="D97" s="14">
        <v>3.5</v>
      </c>
      <c r="E97" s="14">
        <v>1</v>
      </c>
      <c r="F97" s="14">
        <v>2.5</v>
      </c>
      <c r="G97" s="14" t="s">
        <v>3406</v>
      </c>
      <c r="H97" s="14" t="s">
        <v>10987</v>
      </c>
      <c r="I97" s="14" t="s">
        <v>10988</v>
      </c>
      <c r="J97" s="14">
        <v>1</v>
      </c>
      <c r="K97" s="14" t="s">
        <v>10966</v>
      </c>
      <c r="L97" s="14" t="s">
        <v>10989</v>
      </c>
    </row>
    <row r="98" spans="1:12" ht="42.75" customHeight="1">
      <c r="A98" s="23" t="s">
        <v>10972</v>
      </c>
      <c r="B98" s="23" t="s">
        <v>1987</v>
      </c>
      <c r="C98" s="23">
        <v>4</v>
      </c>
      <c r="D98" s="23">
        <v>4</v>
      </c>
      <c r="E98" s="23">
        <v>1.2</v>
      </c>
      <c r="F98" s="23">
        <v>3</v>
      </c>
      <c r="G98" s="23" t="s">
        <v>546</v>
      </c>
      <c r="H98" s="23" t="s">
        <v>10987</v>
      </c>
      <c r="I98" s="23" t="s">
        <v>10988</v>
      </c>
      <c r="J98" s="23">
        <v>1.1499999999999999</v>
      </c>
      <c r="K98" s="23" t="s">
        <v>10966</v>
      </c>
      <c r="L98" s="23" t="s">
        <v>10989</v>
      </c>
    </row>
    <row r="99" spans="1:12" ht="42.75" customHeight="1">
      <c r="A99" s="14" t="s">
        <v>10972</v>
      </c>
      <c r="B99" s="14" t="s">
        <v>2145</v>
      </c>
      <c r="C99" s="14">
        <v>3</v>
      </c>
      <c r="D99" s="14">
        <v>3.5</v>
      </c>
      <c r="E99" s="14">
        <v>1</v>
      </c>
      <c r="F99" s="14">
        <v>2.5</v>
      </c>
      <c r="G99" s="14" t="s">
        <v>3406</v>
      </c>
      <c r="H99" s="14" t="s">
        <v>10987</v>
      </c>
      <c r="I99" s="14" t="s">
        <v>10988</v>
      </c>
      <c r="J99" s="14">
        <v>1</v>
      </c>
      <c r="K99" s="14" t="s">
        <v>10966</v>
      </c>
      <c r="L99" s="14" t="s">
        <v>10989</v>
      </c>
    </row>
    <row r="100" spans="1:12" ht="42.75" customHeight="1">
      <c r="A100" s="23" t="s">
        <v>10972</v>
      </c>
      <c r="B100" s="23" t="s">
        <v>2286</v>
      </c>
      <c r="C100" s="23">
        <v>3</v>
      </c>
      <c r="D100" s="23">
        <v>3.5</v>
      </c>
      <c r="E100" s="23">
        <v>1</v>
      </c>
      <c r="F100" s="23">
        <v>2.5</v>
      </c>
      <c r="G100" s="23" t="s">
        <v>3406</v>
      </c>
      <c r="H100" s="23" t="s">
        <v>10987</v>
      </c>
      <c r="I100" s="23" t="s">
        <v>10988</v>
      </c>
      <c r="J100" s="23">
        <v>1</v>
      </c>
      <c r="K100" s="23" t="s">
        <v>10966</v>
      </c>
      <c r="L100" s="23" t="s">
        <v>10989</v>
      </c>
    </row>
    <row r="101" spans="1:12" ht="42.75" customHeight="1">
      <c r="A101" s="14" t="s">
        <v>10972</v>
      </c>
      <c r="B101" s="14" t="s">
        <v>2473</v>
      </c>
      <c r="C101" s="14">
        <v>3</v>
      </c>
      <c r="D101" s="14">
        <v>3.5</v>
      </c>
      <c r="E101" s="14">
        <v>1</v>
      </c>
      <c r="F101" s="14">
        <v>2.5</v>
      </c>
      <c r="G101" s="14" t="s">
        <v>3406</v>
      </c>
      <c r="H101" s="14" t="s">
        <v>10987</v>
      </c>
      <c r="I101" s="14" t="s">
        <v>10988</v>
      </c>
      <c r="J101" s="14">
        <v>1</v>
      </c>
      <c r="K101" s="14" t="s">
        <v>10966</v>
      </c>
      <c r="L101" s="14" t="s">
        <v>10989</v>
      </c>
    </row>
    <row r="102" spans="1:12" ht="42.75" customHeight="1">
      <c r="A102" s="23" t="s">
        <v>10972</v>
      </c>
      <c r="B102" s="23" t="s">
        <v>2588</v>
      </c>
      <c r="C102" s="23">
        <v>3</v>
      </c>
      <c r="D102" s="23">
        <v>4</v>
      </c>
      <c r="E102" s="23">
        <v>1.1499999999999999</v>
      </c>
      <c r="F102" s="23">
        <v>3</v>
      </c>
      <c r="G102" s="23" t="s">
        <v>546</v>
      </c>
      <c r="H102" s="23" t="s">
        <v>10987</v>
      </c>
      <c r="I102" s="23" t="s">
        <v>10988</v>
      </c>
      <c r="J102" s="23">
        <v>1.1000000000000001</v>
      </c>
      <c r="K102" s="23" t="s">
        <v>10966</v>
      </c>
      <c r="L102" s="23" t="s">
        <v>10989</v>
      </c>
    </row>
    <row r="103" spans="1:12" ht="42.75" customHeight="1">
      <c r="A103" s="14" t="s">
        <v>10972</v>
      </c>
      <c r="B103" s="14" t="s">
        <v>2729</v>
      </c>
      <c r="C103" s="14">
        <v>4</v>
      </c>
      <c r="D103" s="14">
        <v>4.2</v>
      </c>
      <c r="E103" s="14">
        <v>1.25</v>
      </c>
      <c r="F103" s="14">
        <v>3.2</v>
      </c>
      <c r="G103" s="14" t="s">
        <v>546</v>
      </c>
      <c r="H103" s="14" t="s">
        <v>10987</v>
      </c>
      <c r="I103" s="14" t="s">
        <v>10988</v>
      </c>
      <c r="J103" s="14">
        <v>1.2</v>
      </c>
      <c r="K103" s="14" t="s">
        <v>10966</v>
      </c>
      <c r="L103" s="14" t="s">
        <v>10989</v>
      </c>
    </row>
    <row r="104" spans="1:12" ht="42.75" customHeight="1">
      <c r="A104" s="23" t="s">
        <v>10972</v>
      </c>
      <c r="B104" s="23" t="s">
        <v>2824</v>
      </c>
      <c r="C104" s="23">
        <v>4</v>
      </c>
      <c r="D104" s="23">
        <v>4</v>
      </c>
      <c r="E104" s="23">
        <v>1.2</v>
      </c>
      <c r="F104" s="23">
        <v>3</v>
      </c>
      <c r="G104" s="23" t="s">
        <v>546</v>
      </c>
      <c r="H104" s="23" t="s">
        <v>10987</v>
      </c>
      <c r="I104" s="23" t="s">
        <v>10988</v>
      </c>
      <c r="J104" s="23">
        <v>1.1499999999999999</v>
      </c>
      <c r="K104" s="23" t="s">
        <v>10966</v>
      </c>
      <c r="L104" s="23" t="s">
        <v>10989</v>
      </c>
    </row>
    <row r="105" spans="1:12" ht="42.75" customHeight="1">
      <c r="A105" s="14" t="s">
        <v>10972</v>
      </c>
      <c r="B105" s="14" t="s">
        <v>2986</v>
      </c>
      <c r="C105" s="14">
        <v>5</v>
      </c>
      <c r="D105" s="14">
        <v>4.5</v>
      </c>
      <c r="E105" s="14">
        <v>1.45</v>
      </c>
      <c r="F105" s="14">
        <v>3.5</v>
      </c>
      <c r="G105" s="14" t="s">
        <v>3404</v>
      </c>
      <c r="H105" s="14" t="s">
        <v>10987</v>
      </c>
      <c r="I105" s="14" t="s">
        <v>10988</v>
      </c>
      <c r="J105" s="14">
        <v>1.3</v>
      </c>
      <c r="K105" s="14" t="s">
        <v>10966</v>
      </c>
      <c r="L105" s="14" t="s">
        <v>10989</v>
      </c>
    </row>
    <row r="106" spans="1:12" ht="42.75" customHeight="1">
      <c r="A106" s="23" t="s">
        <v>10972</v>
      </c>
      <c r="B106" s="23" t="s">
        <v>3204</v>
      </c>
      <c r="C106" s="23">
        <v>5</v>
      </c>
      <c r="D106" s="23">
        <v>4.3</v>
      </c>
      <c r="E106" s="23">
        <v>1.35</v>
      </c>
      <c r="F106" s="23">
        <v>3.3</v>
      </c>
      <c r="G106" s="23" t="s">
        <v>3404</v>
      </c>
      <c r="H106" s="23" t="s">
        <v>10987</v>
      </c>
      <c r="I106" s="23" t="s">
        <v>10988</v>
      </c>
      <c r="J106" s="23">
        <v>1.25</v>
      </c>
      <c r="K106" s="23" t="s">
        <v>10966</v>
      </c>
      <c r="L106" s="23" t="s">
        <v>10989</v>
      </c>
    </row>
    <row r="107" spans="1:12" ht="42.75" customHeight="1">
      <c r="A107" s="14" t="s">
        <v>10973</v>
      </c>
      <c r="B107" s="14" t="s">
        <v>815</v>
      </c>
      <c r="C107" s="14">
        <v>3</v>
      </c>
      <c r="D107" s="14">
        <v>3.5</v>
      </c>
      <c r="E107" s="14">
        <v>1</v>
      </c>
      <c r="F107" s="14">
        <v>2.5</v>
      </c>
      <c r="G107" s="14" t="s">
        <v>3406</v>
      </c>
      <c r="H107" s="14" t="s">
        <v>10990</v>
      </c>
      <c r="I107" s="14" t="s">
        <v>10991</v>
      </c>
      <c r="J107" s="14">
        <v>1</v>
      </c>
      <c r="K107" s="14" t="s">
        <v>10966</v>
      </c>
      <c r="L107" s="14" t="s">
        <v>10992</v>
      </c>
    </row>
    <row r="108" spans="1:12" ht="42.75" customHeight="1">
      <c r="A108" s="23" t="s">
        <v>10973</v>
      </c>
      <c r="B108" s="23" t="s">
        <v>949</v>
      </c>
      <c r="C108" s="23">
        <v>3</v>
      </c>
      <c r="D108" s="23">
        <v>3.5</v>
      </c>
      <c r="E108" s="23">
        <v>1</v>
      </c>
      <c r="F108" s="23">
        <v>2.5</v>
      </c>
      <c r="G108" s="23" t="s">
        <v>3406</v>
      </c>
      <c r="H108" s="23" t="s">
        <v>10990</v>
      </c>
      <c r="I108" s="23" t="s">
        <v>10991</v>
      </c>
      <c r="J108" s="23">
        <v>1</v>
      </c>
      <c r="K108" s="23" t="s">
        <v>10966</v>
      </c>
      <c r="L108" s="23" t="s">
        <v>10992</v>
      </c>
    </row>
    <row r="109" spans="1:12" ht="42.75" customHeight="1">
      <c r="A109" s="14" t="s">
        <v>10973</v>
      </c>
      <c r="B109" s="14" t="s">
        <v>1150</v>
      </c>
      <c r="C109" s="14">
        <v>5</v>
      </c>
      <c r="D109" s="14">
        <v>4.5</v>
      </c>
      <c r="E109" s="14">
        <v>1.45</v>
      </c>
      <c r="F109" s="14">
        <v>3.5</v>
      </c>
      <c r="G109" s="14" t="s">
        <v>3404</v>
      </c>
      <c r="H109" s="14" t="s">
        <v>10990</v>
      </c>
      <c r="I109" s="14" t="s">
        <v>10991</v>
      </c>
      <c r="J109" s="14">
        <v>1.35</v>
      </c>
      <c r="K109" s="14" t="s">
        <v>10966</v>
      </c>
      <c r="L109" s="14" t="s">
        <v>10992</v>
      </c>
    </row>
    <row r="110" spans="1:12" ht="42.75" customHeight="1">
      <c r="A110" s="23" t="s">
        <v>10973</v>
      </c>
      <c r="B110" s="23" t="s">
        <v>1259</v>
      </c>
      <c r="C110" s="23">
        <v>3</v>
      </c>
      <c r="D110" s="23">
        <v>3.5</v>
      </c>
      <c r="E110" s="23">
        <v>1</v>
      </c>
      <c r="F110" s="23">
        <v>2.5</v>
      </c>
      <c r="G110" s="23" t="s">
        <v>3406</v>
      </c>
      <c r="H110" s="23" t="s">
        <v>10990</v>
      </c>
      <c r="I110" s="23" t="s">
        <v>10991</v>
      </c>
      <c r="J110" s="23">
        <v>1</v>
      </c>
      <c r="K110" s="23" t="s">
        <v>10966</v>
      </c>
      <c r="L110" s="23" t="s">
        <v>10992</v>
      </c>
    </row>
    <row r="111" spans="1:12" ht="42.75" customHeight="1">
      <c r="A111" s="14" t="s">
        <v>10973</v>
      </c>
      <c r="B111" s="14" t="s">
        <v>1401</v>
      </c>
      <c r="C111" s="14">
        <v>3</v>
      </c>
      <c r="D111" s="14">
        <v>3.5</v>
      </c>
      <c r="E111" s="14">
        <v>1</v>
      </c>
      <c r="F111" s="14">
        <v>2.5</v>
      </c>
      <c r="G111" s="14" t="s">
        <v>3406</v>
      </c>
      <c r="H111" s="14" t="s">
        <v>10990</v>
      </c>
      <c r="I111" s="14" t="s">
        <v>10991</v>
      </c>
      <c r="J111" s="14">
        <v>1</v>
      </c>
      <c r="K111" s="14" t="s">
        <v>10966</v>
      </c>
      <c r="L111" s="14" t="s">
        <v>10992</v>
      </c>
    </row>
    <row r="112" spans="1:12" ht="42.75" customHeight="1">
      <c r="A112" s="23" t="s">
        <v>10973</v>
      </c>
      <c r="B112" s="23" t="s">
        <v>1551</v>
      </c>
      <c r="C112" s="23">
        <v>3</v>
      </c>
      <c r="D112" s="23">
        <v>3.5</v>
      </c>
      <c r="E112" s="23">
        <v>1</v>
      </c>
      <c r="F112" s="23">
        <v>2.5</v>
      </c>
      <c r="G112" s="23" t="s">
        <v>3406</v>
      </c>
      <c r="H112" s="23" t="s">
        <v>10990</v>
      </c>
      <c r="I112" s="23" t="s">
        <v>10991</v>
      </c>
      <c r="J112" s="23">
        <v>1</v>
      </c>
      <c r="K112" s="23" t="s">
        <v>10966</v>
      </c>
      <c r="L112" s="23" t="s">
        <v>10992</v>
      </c>
    </row>
    <row r="113" spans="1:12" ht="42.75" customHeight="1">
      <c r="A113" s="14" t="s">
        <v>10973</v>
      </c>
      <c r="B113" s="14" t="s">
        <v>1666</v>
      </c>
      <c r="C113" s="14">
        <v>5</v>
      </c>
      <c r="D113" s="14">
        <v>4.5</v>
      </c>
      <c r="E113" s="14">
        <v>1.5</v>
      </c>
      <c r="F113" s="14">
        <v>3.5</v>
      </c>
      <c r="G113" s="14" t="s">
        <v>3404</v>
      </c>
      <c r="H113" s="14" t="s">
        <v>10990</v>
      </c>
      <c r="I113" s="14" t="s">
        <v>10991</v>
      </c>
      <c r="J113" s="14">
        <v>1.35</v>
      </c>
      <c r="K113" s="14" t="s">
        <v>10966</v>
      </c>
      <c r="L113" s="14" t="s">
        <v>10992</v>
      </c>
    </row>
    <row r="114" spans="1:12" ht="42.75" customHeight="1">
      <c r="A114" s="23" t="s">
        <v>10973</v>
      </c>
      <c r="B114" s="23" t="s">
        <v>1859</v>
      </c>
      <c r="C114" s="23">
        <v>5</v>
      </c>
      <c r="D114" s="23">
        <v>4.2</v>
      </c>
      <c r="E114" s="23">
        <v>1.35</v>
      </c>
      <c r="F114" s="23">
        <v>3.2</v>
      </c>
      <c r="G114" s="23" t="s">
        <v>3404</v>
      </c>
      <c r="H114" s="23" t="s">
        <v>10990</v>
      </c>
      <c r="I114" s="23" t="s">
        <v>10991</v>
      </c>
      <c r="J114" s="23">
        <v>1.25</v>
      </c>
      <c r="K114" s="23" t="s">
        <v>10966</v>
      </c>
      <c r="L114" s="23" t="s">
        <v>10992</v>
      </c>
    </row>
    <row r="115" spans="1:12" ht="42.75" customHeight="1">
      <c r="A115" s="14" t="s">
        <v>10973</v>
      </c>
      <c r="B115" s="14" t="s">
        <v>1987</v>
      </c>
      <c r="C115" s="14">
        <v>4</v>
      </c>
      <c r="D115" s="14">
        <v>4</v>
      </c>
      <c r="E115" s="14">
        <v>1.25</v>
      </c>
      <c r="F115" s="14">
        <v>3</v>
      </c>
      <c r="G115" s="14" t="s">
        <v>546</v>
      </c>
      <c r="H115" s="14" t="s">
        <v>10990</v>
      </c>
      <c r="I115" s="14" t="s">
        <v>10991</v>
      </c>
      <c r="J115" s="14">
        <v>1.2</v>
      </c>
      <c r="K115" s="14" t="s">
        <v>10966</v>
      </c>
      <c r="L115" s="14" t="s">
        <v>10992</v>
      </c>
    </row>
    <row r="116" spans="1:12" ht="42.75" customHeight="1">
      <c r="A116" s="23" t="s">
        <v>10973</v>
      </c>
      <c r="B116" s="23" t="s">
        <v>2145</v>
      </c>
      <c r="C116" s="23">
        <v>3</v>
      </c>
      <c r="D116" s="23">
        <v>3.5</v>
      </c>
      <c r="E116" s="23">
        <v>1</v>
      </c>
      <c r="F116" s="23">
        <v>2.5</v>
      </c>
      <c r="G116" s="23" t="s">
        <v>3406</v>
      </c>
      <c r="H116" s="23" t="s">
        <v>10990</v>
      </c>
      <c r="I116" s="23" t="s">
        <v>10991</v>
      </c>
      <c r="J116" s="23">
        <v>1</v>
      </c>
      <c r="K116" s="23" t="s">
        <v>10966</v>
      </c>
      <c r="L116" s="23" t="s">
        <v>10992</v>
      </c>
    </row>
    <row r="117" spans="1:12" ht="42.75" customHeight="1">
      <c r="A117" s="14" t="s">
        <v>10973</v>
      </c>
      <c r="B117" s="14" t="s">
        <v>2286</v>
      </c>
      <c r="C117" s="14">
        <v>3</v>
      </c>
      <c r="D117" s="14">
        <v>3.5</v>
      </c>
      <c r="E117" s="14">
        <v>1</v>
      </c>
      <c r="F117" s="14">
        <v>2.5</v>
      </c>
      <c r="G117" s="14" t="s">
        <v>3406</v>
      </c>
      <c r="H117" s="14" t="s">
        <v>10990</v>
      </c>
      <c r="I117" s="14" t="s">
        <v>10991</v>
      </c>
      <c r="J117" s="14">
        <v>1</v>
      </c>
      <c r="K117" s="14" t="s">
        <v>10966</v>
      </c>
      <c r="L117" s="14" t="s">
        <v>10992</v>
      </c>
    </row>
    <row r="118" spans="1:12" ht="42.75" customHeight="1">
      <c r="A118" s="23" t="s">
        <v>10973</v>
      </c>
      <c r="B118" s="23" t="s">
        <v>2473</v>
      </c>
      <c r="C118" s="23">
        <v>3</v>
      </c>
      <c r="D118" s="23">
        <v>3.5</v>
      </c>
      <c r="E118" s="23">
        <v>1</v>
      </c>
      <c r="F118" s="23">
        <v>2.5</v>
      </c>
      <c r="G118" s="23" t="s">
        <v>3406</v>
      </c>
      <c r="H118" s="23" t="s">
        <v>10990</v>
      </c>
      <c r="I118" s="23" t="s">
        <v>10991</v>
      </c>
      <c r="J118" s="23">
        <v>1</v>
      </c>
      <c r="K118" s="23" t="s">
        <v>10966</v>
      </c>
      <c r="L118" s="23" t="s">
        <v>10992</v>
      </c>
    </row>
    <row r="119" spans="1:12" ht="42.75" customHeight="1">
      <c r="A119" s="14" t="s">
        <v>10973</v>
      </c>
      <c r="B119" s="14" t="s">
        <v>2588</v>
      </c>
      <c r="C119" s="14">
        <v>5</v>
      </c>
      <c r="D119" s="14">
        <v>4.3</v>
      </c>
      <c r="E119" s="14">
        <v>1.35</v>
      </c>
      <c r="F119" s="14">
        <v>3.3</v>
      </c>
      <c r="G119" s="14" t="s">
        <v>3404</v>
      </c>
      <c r="H119" s="14" t="s">
        <v>10990</v>
      </c>
      <c r="I119" s="14" t="s">
        <v>10991</v>
      </c>
      <c r="J119" s="14">
        <v>1.25</v>
      </c>
      <c r="K119" s="14" t="s">
        <v>10966</v>
      </c>
      <c r="L119" s="14" t="s">
        <v>10992</v>
      </c>
    </row>
    <row r="120" spans="1:12" ht="42.75" customHeight="1">
      <c r="A120" s="23" t="s">
        <v>10973</v>
      </c>
      <c r="B120" s="23" t="s">
        <v>2729</v>
      </c>
      <c r="C120" s="23">
        <v>3</v>
      </c>
      <c r="D120" s="23">
        <v>3.5</v>
      </c>
      <c r="E120" s="23">
        <v>1</v>
      </c>
      <c r="F120" s="23">
        <v>2.5</v>
      </c>
      <c r="G120" s="23" t="s">
        <v>3406</v>
      </c>
      <c r="H120" s="23" t="s">
        <v>10990</v>
      </c>
      <c r="I120" s="23" t="s">
        <v>10991</v>
      </c>
      <c r="J120" s="23">
        <v>1</v>
      </c>
      <c r="K120" s="23" t="s">
        <v>10966</v>
      </c>
      <c r="L120" s="23" t="s">
        <v>10992</v>
      </c>
    </row>
    <row r="121" spans="1:12" ht="42.75" customHeight="1">
      <c r="A121" s="14" t="s">
        <v>10973</v>
      </c>
      <c r="B121" s="14" t="s">
        <v>2824</v>
      </c>
      <c r="C121" s="14">
        <v>3</v>
      </c>
      <c r="D121" s="14">
        <v>3.5</v>
      </c>
      <c r="E121" s="14">
        <v>1</v>
      </c>
      <c r="F121" s="14">
        <v>2.5</v>
      </c>
      <c r="G121" s="14" t="s">
        <v>3406</v>
      </c>
      <c r="H121" s="14" t="s">
        <v>10990</v>
      </c>
      <c r="I121" s="14" t="s">
        <v>10991</v>
      </c>
      <c r="J121" s="14">
        <v>1</v>
      </c>
      <c r="K121" s="14" t="s">
        <v>10966</v>
      </c>
      <c r="L121" s="14" t="s">
        <v>10992</v>
      </c>
    </row>
    <row r="122" spans="1:12" ht="42.75" customHeight="1">
      <c r="A122" s="23" t="s">
        <v>10973</v>
      </c>
      <c r="B122" s="23" t="s">
        <v>2986</v>
      </c>
      <c r="C122" s="23">
        <v>5</v>
      </c>
      <c r="D122" s="23">
        <v>4.5</v>
      </c>
      <c r="E122" s="23">
        <v>1.45</v>
      </c>
      <c r="F122" s="23">
        <v>3.5</v>
      </c>
      <c r="G122" s="23" t="s">
        <v>3404</v>
      </c>
      <c r="H122" s="23" t="s">
        <v>10990</v>
      </c>
      <c r="I122" s="23" t="s">
        <v>10991</v>
      </c>
      <c r="J122" s="23">
        <v>1.3</v>
      </c>
      <c r="K122" s="23" t="s">
        <v>10966</v>
      </c>
      <c r="L122" s="23" t="s">
        <v>10992</v>
      </c>
    </row>
    <row r="123" spans="1:12" ht="42.75" customHeight="1">
      <c r="A123" s="14" t="s">
        <v>10973</v>
      </c>
      <c r="B123" s="14" t="s">
        <v>3204</v>
      </c>
      <c r="C123" s="14">
        <v>3</v>
      </c>
      <c r="D123" s="14">
        <v>3.5</v>
      </c>
      <c r="E123" s="14">
        <v>1</v>
      </c>
      <c r="F123" s="14">
        <v>2.5</v>
      </c>
      <c r="G123" s="14" t="s">
        <v>3406</v>
      </c>
      <c r="H123" s="14" t="s">
        <v>10990</v>
      </c>
      <c r="I123" s="14" t="s">
        <v>10991</v>
      </c>
      <c r="J123" s="14">
        <v>1</v>
      </c>
      <c r="K123" s="14" t="s">
        <v>10966</v>
      </c>
      <c r="L123" s="14" t="s">
        <v>10992</v>
      </c>
    </row>
    <row r="124" spans="1:12" ht="42.75" customHeight="1">
      <c r="A124" s="23" t="s">
        <v>10974</v>
      </c>
      <c r="B124" s="23" t="s">
        <v>815</v>
      </c>
      <c r="C124" s="23">
        <v>3</v>
      </c>
      <c r="D124" s="23">
        <v>3.5</v>
      </c>
      <c r="E124" s="23">
        <v>1</v>
      </c>
      <c r="F124" s="23">
        <v>2.5</v>
      </c>
      <c r="G124" s="23" t="s">
        <v>3406</v>
      </c>
      <c r="H124" s="23" t="s">
        <v>10993</v>
      </c>
      <c r="I124" s="23" t="s">
        <v>10994</v>
      </c>
      <c r="J124" s="23">
        <v>1</v>
      </c>
      <c r="K124" s="23" t="s">
        <v>10966</v>
      </c>
      <c r="L124" s="23" t="s">
        <v>10995</v>
      </c>
    </row>
    <row r="125" spans="1:12" ht="42.75" customHeight="1">
      <c r="A125" s="14" t="s">
        <v>10974</v>
      </c>
      <c r="B125" s="14" t="s">
        <v>949</v>
      </c>
      <c r="C125" s="14">
        <v>5</v>
      </c>
      <c r="D125" s="14">
        <v>3.8</v>
      </c>
      <c r="E125" s="14">
        <v>1.2</v>
      </c>
      <c r="F125" s="14">
        <v>2.8</v>
      </c>
      <c r="G125" s="14" t="s">
        <v>546</v>
      </c>
      <c r="H125" s="14" t="s">
        <v>10993</v>
      </c>
      <c r="I125" s="14" t="s">
        <v>10994</v>
      </c>
      <c r="J125" s="14">
        <v>1.1499999999999999</v>
      </c>
      <c r="K125" s="14" t="s">
        <v>10966</v>
      </c>
      <c r="L125" s="14" t="s">
        <v>10995</v>
      </c>
    </row>
    <row r="126" spans="1:12" ht="42.75" customHeight="1">
      <c r="A126" s="23" t="s">
        <v>10974</v>
      </c>
      <c r="B126" s="23" t="s">
        <v>1150</v>
      </c>
      <c r="C126" s="23">
        <v>3</v>
      </c>
      <c r="D126" s="23">
        <v>4</v>
      </c>
      <c r="E126" s="23">
        <v>1.1499999999999999</v>
      </c>
      <c r="F126" s="23">
        <v>3</v>
      </c>
      <c r="G126" s="23" t="s">
        <v>546</v>
      </c>
      <c r="H126" s="23" t="s">
        <v>10993</v>
      </c>
      <c r="I126" s="23" t="s">
        <v>10994</v>
      </c>
      <c r="J126" s="23">
        <v>1.1000000000000001</v>
      </c>
      <c r="K126" s="23" t="s">
        <v>10966</v>
      </c>
      <c r="L126" s="23" t="s">
        <v>10995</v>
      </c>
    </row>
    <row r="127" spans="1:12" ht="42.75" customHeight="1">
      <c r="A127" s="14" t="s">
        <v>10974</v>
      </c>
      <c r="B127" s="14" t="s">
        <v>1259</v>
      </c>
      <c r="C127" s="14">
        <v>5</v>
      </c>
      <c r="D127" s="14">
        <v>4</v>
      </c>
      <c r="E127" s="14">
        <v>1.3</v>
      </c>
      <c r="F127" s="14">
        <v>3</v>
      </c>
      <c r="G127" s="14" t="s">
        <v>3404</v>
      </c>
      <c r="H127" s="14" t="s">
        <v>10993</v>
      </c>
      <c r="I127" s="14" t="s">
        <v>10994</v>
      </c>
      <c r="J127" s="14">
        <v>1.25</v>
      </c>
      <c r="K127" s="14" t="s">
        <v>10966</v>
      </c>
      <c r="L127" s="14" t="s">
        <v>10995</v>
      </c>
    </row>
    <row r="128" spans="1:12" ht="42.75" customHeight="1">
      <c r="A128" s="23" t="s">
        <v>10974</v>
      </c>
      <c r="B128" s="23" t="s">
        <v>1401</v>
      </c>
      <c r="C128" s="23">
        <v>3</v>
      </c>
      <c r="D128" s="23">
        <v>3.5</v>
      </c>
      <c r="E128" s="23">
        <v>1</v>
      </c>
      <c r="F128" s="23">
        <v>2.5</v>
      </c>
      <c r="G128" s="23" t="s">
        <v>3406</v>
      </c>
      <c r="H128" s="23" t="s">
        <v>10993</v>
      </c>
      <c r="I128" s="23" t="s">
        <v>10994</v>
      </c>
      <c r="J128" s="23">
        <v>1</v>
      </c>
      <c r="K128" s="23" t="s">
        <v>10966</v>
      </c>
      <c r="L128" s="23" t="s">
        <v>10995</v>
      </c>
    </row>
    <row r="129" spans="1:12" ht="42.75" customHeight="1">
      <c r="A129" s="14" t="s">
        <v>10974</v>
      </c>
      <c r="B129" s="14" t="s">
        <v>1551</v>
      </c>
      <c r="C129" s="14">
        <v>3</v>
      </c>
      <c r="D129" s="14">
        <v>3.5</v>
      </c>
      <c r="E129" s="14">
        <v>1</v>
      </c>
      <c r="F129" s="14">
        <v>2.5</v>
      </c>
      <c r="G129" s="14" t="s">
        <v>3406</v>
      </c>
      <c r="H129" s="14" t="s">
        <v>10993</v>
      </c>
      <c r="I129" s="14" t="s">
        <v>10994</v>
      </c>
      <c r="J129" s="14">
        <v>1</v>
      </c>
      <c r="K129" s="14" t="s">
        <v>10966</v>
      </c>
      <c r="L129" s="14" t="s">
        <v>10995</v>
      </c>
    </row>
    <row r="130" spans="1:12" ht="42.75" customHeight="1">
      <c r="A130" s="23" t="s">
        <v>10974</v>
      </c>
      <c r="B130" s="23" t="s">
        <v>1666</v>
      </c>
      <c r="C130" s="23">
        <v>2</v>
      </c>
      <c r="D130" s="23">
        <v>2.8</v>
      </c>
      <c r="E130" s="23">
        <v>0.85</v>
      </c>
      <c r="F130" s="23">
        <v>2</v>
      </c>
      <c r="G130" s="23" t="s">
        <v>3406</v>
      </c>
      <c r="H130" s="23" t="s">
        <v>10993</v>
      </c>
      <c r="I130" s="23" t="s">
        <v>10994</v>
      </c>
      <c r="J130" s="23">
        <v>0.85</v>
      </c>
      <c r="K130" s="23" t="s">
        <v>10966</v>
      </c>
      <c r="L130" s="23" t="s">
        <v>10995</v>
      </c>
    </row>
    <row r="131" spans="1:12" ht="42.75" customHeight="1">
      <c r="A131" s="14" t="s">
        <v>10974</v>
      </c>
      <c r="B131" s="14" t="s">
        <v>1859</v>
      </c>
      <c r="C131" s="14">
        <v>3</v>
      </c>
      <c r="D131" s="14">
        <v>3.5</v>
      </c>
      <c r="E131" s="14">
        <v>1</v>
      </c>
      <c r="F131" s="14">
        <v>2.5</v>
      </c>
      <c r="G131" s="14" t="s">
        <v>3406</v>
      </c>
      <c r="H131" s="14" t="s">
        <v>10993</v>
      </c>
      <c r="I131" s="14" t="s">
        <v>10994</v>
      </c>
      <c r="J131" s="14">
        <v>1</v>
      </c>
      <c r="K131" s="14" t="s">
        <v>10966</v>
      </c>
      <c r="L131" s="14" t="s">
        <v>10995</v>
      </c>
    </row>
    <row r="132" spans="1:12" ht="42.75" customHeight="1">
      <c r="A132" s="23" t="s">
        <v>10974</v>
      </c>
      <c r="B132" s="23" t="s">
        <v>1987</v>
      </c>
      <c r="C132" s="23">
        <v>3</v>
      </c>
      <c r="D132" s="23">
        <v>3.5</v>
      </c>
      <c r="E132" s="23">
        <v>1</v>
      </c>
      <c r="F132" s="23">
        <v>2.5</v>
      </c>
      <c r="G132" s="23" t="s">
        <v>3406</v>
      </c>
      <c r="H132" s="23" t="s">
        <v>10993</v>
      </c>
      <c r="I132" s="23" t="s">
        <v>10994</v>
      </c>
      <c r="J132" s="23">
        <v>1</v>
      </c>
      <c r="K132" s="23" t="s">
        <v>10966</v>
      </c>
      <c r="L132" s="23" t="s">
        <v>10995</v>
      </c>
    </row>
    <row r="133" spans="1:12" ht="42.75" customHeight="1">
      <c r="A133" s="14" t="s">
        <v>10974</v>
      </c>
      <c r="B133" s="14" t="s">
        <v>2145</v>
      </c>
      <c r="C133" s="14">
        <v>1</v>
      </c>
      <c r="D133" s="14">
        <v>0.5</v>
      </c>
      <c r="E133" s="14">
        <v>0.5</v>
      </c>
      <c r="F133" s="14">
        <v>0</v>
      </c>
      <c r="G133" s="14" t="s">
        <v>3406</v>
      </c>
      <c r="H133" s="14" t="s">
        <v>10993</v>
      </c>
      <c r="I133" s="14" t="s">
        <v>10994</v>
      </c>
      <c r="J133" s="14">
        <v>0.6</v>
      </c>
      <c r="K133" s="14" t="s">
        <v>10966</v>
      </c>
      <c r="L133" s="14" t="s">
        <v>10995</v>
      </c>
    </row>
    <row r="134" spans="1:12" ht="42.75" customHeight="1">
      <c r="A134" s="23" t="s">
        <v>10974</v>
      </c>
      <c r="B134" s="23" t="s">
        <v>2286</v>
      </c>
      <c r="C134" s="23">
        <v>4</v>
      </c>
      <c r="D134" s="23">
        <v>3.8</v>
      </c>
      <c r="E134" s="23">
        <v>1.1499999999999999</v>
      </c>
      <c r="F134" s="23">
        <v>2.8</v>
      </c>
      <c r="G134" s="23" t="s">
        <v>546</v>
      </c>
      <c r="H134" s="23" t="s">
        <v>10993</v>
      </c>
      <c r="I134" s="23" t="s">
        <v>10994</v>
      </c>
      <c r="J134" s="23">
        <v>1.1000000000000001</v>
      </c>
      <c r="K134" s="23" t="s">
        <v>10966</v>
      </c>
      <c r="L134" s="23" t="s">
        <v>10995</v>
      </c>
    </row>
    <row r="135" spans="1:12" ht="42.75" customHeight="1">
      <c r="A135" s="14" t="s">
        <v>10974</v>
      </c>
      <c r="B135" s="14" t="s">
        <v>2473</v>
      </c>
      <c r="C135" s="14">
        <v>3</v>
      </c>
      <c r="D135" s="14">
        <v>3.5</v>
      </c>
      <c r="E135" s="14">
        <v>1</v>
      </c>
      <c r="F135" s="14">
        <v>2.5</v>
      </c>
      <c r="G135" s="14" t="s">
        <v>3406</v>
      </c>
      <c r="H135" s="14" t="s">
        <v>10993</v>
      </c>
      <c r="I135" s="14" t="s">
        <v>10994</v>
      </c>
      <c r="J135" s="14">
        <v>1</v>
      </c>
      <c r="K135" s="14" t="s">
        <v>10966</v>
      </c>
      <c r="L135" s="14" t="s">
        <v>10995</v>
      </c>
    </row>
    <row r="136" spans="1:12" ht="42.75" customHeight="1">
      <c r="A136" s="23" t="s">
        <v>10974</v>
      </c>
      <c r="B136" s="23" t="s">
        <v>2588</v>
      </c>
      <c r="C136" s="23">
        <v>3</v>
      </c>
      <c r="D136" s="23">
        <v>3.5</v>
      </c>
      <c r="E136" s="23">
        <v>1</v>
      </c>
      <c r="F136" s="23">
        <v>2.5</v>
      </c>
      <c r="G136" s="23" t="s">
        <v>3406</v>
      </c>
      <c r="H136" s="23" t="s">
        <v>10993</v>
      </c>
      <c r="I136" s="23" t="s">
        <v>10994</v>
      </c>
      <c r="J136" s="23">
        <v>1</v>
      </c>
      <c r="K136" s="23" t="s">
        <v>10966</v>
      </c>
      <c r="L136" s="23" t="s">
        <v>10995</v>
      </c>
    </row>
    <row r="137" spans="1:12" ht="42.75" customHeight="1">
      <c r="A137" s="14" t="s">
        <v>10974</v>
      </c>
      <c r="B137" s="14" t="s">
        <v>2729</v>
      </c>
      <c r="C137" s="14">
        <v>3</v>
      </c>
      <c r="D137" s="14">
        <v>3.5</v>
      </c>
      <c r="E137" s="14">
        <v>1</v>
      </c>
      <c r="F137" s="14">
        <v>2.5</v>
      </c>
      <c r="G137" s="14" t="s">
        <v>3406</v>
      </c>
      <c r="H137" s="14" t="s">
        <v>10993</v>
      </c>
      <c r="I137" s="14" t="s">
        <v>10994</v>
      </c>
      <c r="J137" s="14">
        <v>1</v>
      </c>
      <c r="K137" s="14" t="s">
        <v>10966</v>
      </c>
      <c r="L137" s="14" t="s">
        <v>10995</v>
      </c>
    </row>
    <row r="138" spans="1:12" ht="42.75" customHeight="1">
      <c r="A138" s="23" t="s">
        <v>10974</v>
      </c>
      <c r="B138" s="23" t="s">
        <v>2824</v>
      </c>
      <c r="C138" s="23">
        <v>3</v>
      </c>
      <c r="D138" s="23">
        <v>3.5</v>
      </c>
      <c r="E138" s="23">
        <v>1</v>
      </c>
      <c r="F138" s="23">
        <v>2.5</v>
      </c>
      <c r="G138" s="23" t="s">
        <v>3406</v>
      </c>
      <c r="H138" s="23" t="s">
        <v>10993</v>
      </c>
      <c r="I138" s="23" t="s">
        <v>10994</v>
      </c>
      <c r="J138" s="23">
        <v>1</v>
      </c>
      <c r="K138" s="23" t="s">
        <v>10966</v>
      </c>
      <c r="L138" s="23" t="s">
        <v>10995</v>
      </c>
    </row>
    <row r="139" spans="1:12" ht="42.75" customHeight="1">
      <c r="A139" s="14" t="s">
        <v>10974</v>
      </c>
      <c r="B139" s="14" t="s">
        <v>2986</v>
      </c>
      <c r="C139" s="14">
        <v>4</v>
      </c>
      <c r="D139" s="14">
        <v>4</v>
      </c>
      <c r="E139" s="14">
        <v>1.2</v>
      </c>
      <c r="F139" s="14">
        <v>3</v>
      </c>
      <c r="G139" s="14" t="s">
        <v>546</v>
      </c>
      <c r="H139" s="14" t="s">
        <v>10993</v>
      </c>
      <c r="I139" s="14" t="s">
        <v>10994</v>
      </c>
      <c r="J139" s="14">
        <v>1.1499999999999999</v>
      </c>
      <c r="K139" s="14" t="s">
        <v>10966</v>
      </c>
      <c r="L139" s="14" t="s">
        <v>10995</v>
      </c>
    </row>
    <row r="140" spans="1:12" ht="42.75" customHeight="1">
      <c r="A140" s="23" t="s">
        <v>10974</v>
      </c>
      <c r="B140" s="23" t="s">
        <v>3204</v>
      </c>
      <c r="C140" s="23">
        <v>4</v>
      </c>
      <c r="D140" s="23">
        <v>3.8</v>
      </c>
      <c r="E140" s="23">
        <v>1.1000000000000001</v>
      </c>
      <c r="F140" s="23">
        <v>2.8</v>
      </c>
      <c r="G140" s="23" t="s">
        <v>546</v>
      </c>
      <c r="H140" s="23" t="s">
        <v>10993</v>
      </c>
      <c r="I140" s="23" t="s">
        <v>10994</v>
      </c>
      <c r="J140" s="23">
        <v>1.1000000000000001</v>
      </c>
      <c r="K140" s="23" t="s">
        <v>10966</v>
      </c>
      <c r="L140" s="23" t="s">
        <v>10995</v>
      </c>
    </row>
    <row r="141" spans="1:12" ht="42.75" customHeight="1">
      <c r="A141" s="14" t="s">
        <v>10975</v>
      </c>
      <c r="B141" s="14" t="s">
        <v>815</v>
      </c>
      <c r="C141" s="14">
        <v>3</v>
      </c>
      <c r="D141" s="14">
        <v>3.5</v>
      </c>
      <c r="E141" s="14">
        <v>1</v>
      </c>
      <c r="F141" s="14">
        <v>2.5</v>
      </c>
      <c r="G141" s="14" t="s">
        <v>3406</v>
      </c>
      <c r="H141" s="14" t="s">
        <v>10996</v>
      </c>
      <c r="I141" s="14" t="s">
        <v>10997</v>
      </c>
      <c r="J141" s="14">
        <v>1</v>
      </c>
      <c r="K141" s="14" t="s">
        <v>10966</v>
      </c>
      <c r="L141" s="14" t="s">
        <v>10998</v>
      </c>
    </row>
    <row r="142" spans="1:12" ht="42.75" customHeight="1">
      <c r="A142" s="23" t="s">
        <v>10975</v>
      </c>
      <c r="B142" s="23" t="s">
        <v>949</v>
      </c>
      <c r="C142" s="23">
        <v>3</v>
      </c>
      <c r="D142" s="23">
        <v>3.5</v>
      </c>
      <c r="E142" s="23">
        <v>1</v>
      </c>
      <c r="F142" s="23">
        <v>2.5</v>
      </c>
      <c r="G142" s="23" t="s">
        <v>3406</v>
      </c>
      <c r="H142" s="23" t="s">
        <v>10996</v>
      </c>
      <c r="I142" s="23" t="s">
        <v>10997</v>
      </c>
      <c r="J142" s="23">
        <v>1</v>
      </c>
      <c r="K142" s="23" t="s">
        <v>10966</v>
      </c>
      <c r="L142" s="23" t="s">
        <v>10998</v>
      </c>
    </row>
    <row r="143" spans="1:12" ht="42.75" customHeight="1">
      <c r="A143" s="14" t="s">
        <v>10975</v>
      </c>
      <c r="B143" s="14" t="s">
        <v>1150</v>
      </c>
      <c r="C143" s="14">
        <v>5</v>
      </c>
      <c r="D143" s="14">
        <v>4.5</v>
      </c>
      <c r="E143" s="14">
        <v>1.45</v>
      </c>
      <c r="F143" s="14">
        <v>3.5</v>
      </c>
      <c r="G143" s="14" t="s">
        <v>3404</v>
      </c>
      <c r="H143" s="14" t="s">
        <v>10996</v>
      </c>
      <c r="I143" s="14" t="s">
        <v>10997</v>
      </c>
      <c r="J143" s="14">
        <v>1.3</v>
      </c>
      <c r="K143" s="14" t="s">
        <v>10966</v>
      </c>
      <c r="L143" s="14" t="s">
        <v>10998</v>
      </c>
    </row>
    <row r="144" spans="1:12" ht="42.75" customHeight="1">
      <c r="A144" s="23" t="s">
        <v>10975</v>
      </c>
      <c r="B144" s="23" t="s">
        <v>1259</v>
      </c>
      <c r="C144" s="23">
        <v>3</v>
      </c>
      <c r="D144" s="23">
        <v>3.5</v>
      </c>
      <c r="E144" s="23">
        <v>1</v>
      </c>
      <c r="F144" s="23">
        <v>2.5</v>
      </c>
      <c r="G144" s="23" t="s">
        <v>3406</v>
      </c>
      <c r="H144" s="23" t="s">
        <v>10996</v>
      </c>
      <c r="I144" s="23" t="s">
        <v>10997</v>
      </c>
      <c r="J144" s="23">
        <v>1</v>
      </c>
      <c r="K144" s="23" t="s">
        <v>10966</v>
      </c>
      <c r="L144" s="23" t="s">
        <v>10998</v>
      </c>
    </row>
    <row r="145" spans="1:12" ht="42.75" customHeight="1">
      <c r="A145" s="14" t="s">
        <v>10975</v>
      </c>
      <c r="B145" s="14" t="s">
        <v>1401</v>
      </c>
      <c r="C145" s="14">
        <v>5</v>
      </c>
      <c r="D145" s="14">
        <v>4</v>
      </c>
      <c r="E145" s="14">
        <v>1.25</v>
      </c>
      <c r="F145" s="14">
        <v>3</v>
      </c>
      <c r="G145" s="14" t="s">
        <v>546</v>
      </c>
      <c r="H145" s="14" t="s">
        <v>10996</v>
      </c>
      <c r="I145" s="14" t="s">
        <v>10997</v>
      </c>
      <c r="J145" s="14">
        <v>1.2</v>
      </c>
      <c r="K145" s="14" t="s">
        <v>10966</v>
      </c>
      <c r="L145" s="14" t="s">
        <v>10998</v>
      </c>
    </row>
    <row r="146" spans="1:12" ht="42.75" customHeight="1">
      <c r="A146" s="23" t="s">
        <v>10975</v>
      </c>
      <c r="B146" s="23" t="s">
        <v>1551</v>
      </c>
      <c r="C146" s="23">
        <v>5</v>
      </c>
      <c r="D146" s="23">
        <v>4.5</v>
      </c>
      <c r="E146" s="23">
        <v>1.45</v>
      </c>
      <c r="F146" s="23">
        <v>3.5</v>
      </c>
      <c r="G146" s="23" t="s">
        <v>3404</v>
      </c>
      <c r="H146" s="23" t="s">
        <v>10996</v>
      </c>
      <c r="I146" s="23" t="s">
        <v>10997</v>
      </c>
      <c r="J146" s="23">
        <v>1.3</v>
      </c>
      <c r="K146" s="23" t="s">
        <v>10966</v>
      </c>
      <c r="L146" s="23" t="s">
        <v>10998</v>
      </c>
    </row>
    <row r="147" spans="1:12" ht="42.75" customHeight="1">
      <c r="A147" s="14" t="s">
        <v>10975</v>
      </c>
      <c r="B147" s="14" t="s">
        <v>1666</v>
      </c>
      <c r="C147" s="14">
        <v>4</v>
      </c>
      <c r="D147" s="14">
        <v>4</v>
      </c>
      <c r="E147" s="14">
        <v>1.2</v>
      </c>
      <c r="F147" s="14">
        <v>3</v>
      </c>
      <c r="G147" s="14" t="s">
        <v>546</v>
      </c>
      <c r="H147" s="14" t="s">
        <v>10996</v>
      </c>
      <c r="I147" s="14" t="s">
        <v>10997</v>
      </c>
      <c r="J147" s="14">
        <v>1.1499999999999999</v>
      </c>
      <c r="K147" s="14" t="s">
        <v>10966</v>
      </c>
      <c r="L147" s="14" t="s">
        <v>10998</v>
      </c>
    </row>
    <row r="148" spans="1:12" ht="42.75" customHeight="1">
      <c r="A148" s="23" t="s">
        <v>10975</v>
      </c>
      <c r="B148" s="23" t="s">
        <v>1859</v>
      </c>
      <c r="C148" s="23">
        <v>3</v>
      </c>
      <c r="D148" s="23">
        <v>3.5</v>
      </c>
      <c r="E148" s="23">
        <v>1</v>
      </c>
      <c r="F148" s="23">
        <v>2.5</v>
      </c>
      <c r="G148" s="23" t="s">
        <v>3406</v>
      </c>
      <c r="H148" s="23" t="s">
        <v>10996</v>
      </c>
      <c r="I148" s="23" t="s">
        <v>10997</v>
      </c>
      <c r="J148" s="23">
        <v>1</v>
      </c>
      <c r="K148" s="23" t="s">
        <v>10966</v>
      </c>
      <c r="L148" s="23" t="s">
        <v>10998</v>
      </c>
    </row>
    <row r="149" spans="1:12" ht="42.75" customHeight="1">
      <c r="A149" s="14" t="s">
        <v>10975</v>
      </c>
      <c r="B149" s="14" t="s">
        <v>1987</v>
      </c>
      <c r="C149" s="14">
        <v>3</v>
      </c>
      <c r="D149" s="14">
        <v>3.5</v>
      </c>
      <c r="E149" s="14">
        <v>1</v>
      </c>
      <c r="F149" s="14">
        <v>2.5</v>
      </c>
      <c r="G149" s="14" t="s">
        <v>3406</v>
      </c>
      <c r="H149" s="14" t="s">
        <v>10996</v>
      </c>
      <c r="I149" s="14" t="s">
        <v>10997</v>
      </c>
      <c r="J149" s="14">
        <v>1</v>
      </c>
      <c r="K149" s="14" t="s">
        <v>10966</v>
      </c>
      <c r="L149" s="14" t="s">
        <v>10998</v>
      </c>
    </row>
    <row r="150" spans="1:12" ht="42.75" customHeight="1">
      <c r="A150" s="23" t="s">
        <v>10975</v>
      </c>
      <c r="B150" s="23" t="s">
        <v>2145</v>
      </c>
      <c r="C150" s="23">
        <v>1</v>
      </c>
      <c r="D150" s="23">
        <v>0.5</v>
      </c>
      <c r="E150" s="23">
        <v>0.5</v>
      </c>
      <c r="F150" s="23">
        <v>0</v>
      </c>
      <c r="G150" s="23" t="s">
        <v>3406</v>
      </c>
      <c r="H150" s="23" t="s">
        <v>10996</v>
      </c>
      <c r="I150" s="23" t="s">
        <v>10997</v>
      </c>
      <c r="J150" s="23">
        <v>0.6</v>
      </c>
      <c r="K150" s="23" t="s">
        <v>10966</v>
      </c>
      <c r="L150" s="23" t="s">
        <v>10998</v>
      </c>
    </row>
    <row r="151" spans="1:12" ht="42.75" customHeight="1">
      <c r="A151" s="14" t="s">
        <v>10975</v>
      </c>
      <c r="B151" s="14" t="s">
        <v>2286</v>
      </c>
      <c r="C151" s="14">
        <v>3</v>
      </c>
      <c r="D151" s="14">
        <v>3.5</v>
      </c>
      <c r="E151" s="14">
        <v>1</v>
      </c>
      <c r="F151" s="14">
        <v>2.5</v>
      </c>
      <c r="G151" s="14" t="s">
        <v>3406</v>
      </c>
      <c r="H151" s="14" t="s">
        <v>10996</v>
      </c>
      <c r="I151" s="14" t="s">
        <v>10997</v>
      </c>
      <c r="J151" s="14">
        <v>1</v>
      </c>
      <c r="K151" s="14" t="s">
        <v>10966</v>
      </c>
      <c r="L151" s="14" t="s">
        <v>10998</v>
      </c>
    </row>
    <row r="152" spans="1:12" ht="42.75" customHeight="1">
      <c r="A152" s="23" t="s">
        <v>10975</v>
      </c>
      <c r="B152" s="23" t="s">
        <v>2473</v>
      </c>
      <c r="C152" s="23">
        <v>3</v>
      </c>
      <c r="D152" s="23">
        <v>3.5</v>
      </c>
      <c r="E152" s="23">
        <v>1</v>
      </c>
      <c r="F152" s="23">
        <v>2.5</v>
      </c>
      <c r="G152" s="23" t="s">
        <v>3406</v>
      </c>
      <c r="H152" s="23" t="s">
        <v>10996</v>
      </c>
      <c r="I152" s="23" t="s">
        <v>10997</v>
      </c>
      <c r="J152" s="23">
        <v>1</v>
      </c>
      <c r="K152" s="23" t="s">
        <v>10966</v>
      </c>
      <c r="L152" s="23" t="s">
        <v>10998</v>
      </c>
    </row>
    <row r="153" spans="1:12" ht="42.75" customHeight="1">
      <c r="A153" s="14" t="s">
        <v>10975</v>
      </c>
      <c r="B153" s="14" t="s">
        <v>2588</v>
      </c>
      <c r="C153" s="14">
        <v>5</v>
      </c>
      <c r="D153" s="14">
        <v>4.2</v>
      </c>
      <c r="E153" s="14">
        <v>1.3</v>
      </c>
      <c r="F153" s="14">
        <v>3.2</v>
      </c>
      <c r="G153" s="14" t="s">
        <v>3404</v>
      </c>
      <c r="H153" s="14" t="s">
        <v>10996</v>
      </c>
      <c r="I153" s="14" t="s">
        <v>10997</v>
      </c>
      <c r="J153" s="14">
        <v>1.2</v>
      </c>
      <c r="K153" s="14" t="s">
        <v>10966</v>
      </c>
      <c r="L153" s="14" t="s">
        <v>10998</v>
      </c>
    </row>
    <row r="154" spans="1:12" ht="42.75" customHeight="1">
      <c r="A154" s="23" t="s">
        <v>10975</v>
      </c>
      <c r="B154" s="23" t="s">
        <v>2729</v>
      </c>
      <c r="C154" s="23">
        <v>3</v>
      </c>
      <c r="D154" s="23">
        <v>3.5</v>
      </c>
      <c r="E154" s="23">
        <v>1</v>
      </c>
      <c r="F154" s="23">
        <v>2.5</v>
      </c>
      <c r="G154" s="23" t="s">
        <v>3406</v>
      </c>
      <c r="H154" s="23" t="s">
        <v>10996</v>
      </c>
      <c r="I154" s="23" t="s">
        <v>10997</v>
      </c>
      <c r="J154" s="23">
        <v>1</v>
      </c>
      <c r="K154" s="23" t="s">
        <v>10966</v>
      </c>
      <c r="L154" s="23" t="s">
        <v>10998</v>
      </c>
    </row>
    <row r="155" spans="1:12" ht="42.75" customHeight="1">
      <c r="A155" s="14" t="s">
        <v>10975</v>
      </c>
      <c r="B155" s="14" t="s">
        <v>2824</v>
      </c>
      <c r="C155" s="14">
        <v>3</v>
      </c>
      <c r="D155" s="14">
        <v>3.5</v>
      </c>
      <c r="E155" s="14">
        <v>1</v>
      </c>
      <c r="F155" s="14">
        <v>2.5</v>
      </c>
      <c r="G155" s="14" t="s">
        <v>3406</v>
      </c>
      <c r="H155" s="14" t="s">
        <v>10996</v>
      </c>
      <c r="I155" s="14" t="s">
        <v>10997</v>
      </c>
      <c r="J155" s="14">
        <v>1</v>
      </c>
      <c r="K155" s="14" t="s">
        <v>10966</v>
      </c>
      <c r="L155" s="14" t="s">
        <v>10998</v>
      </c>
    </row>
    <row r="156" spans="1:12" ht="42.75" customHeight="1">
      <c r="A156" s="23" t="s">
        <v>10975</v>
      </c>
      <c r="B156" s="23" t="s">
        <v>2986</v>
      </c>
      <c r="C156" s="23">
        <v>5</v>
      </c>
      <c r="D156" s="23">
        <v>4.5</v>
      </c>
      <c r="E156" s="23">
        <v>1.45</v>
      </c>
      <c r="F156" s="23">
        <v>3.5</v>
      </c>
      <c r="G156" s="23" t="s">
        <v>3404</v>
      </c>
      <c r="H156" s="23" t="s">
        <v>10996</v>
      </c>
      <c r="I156" s="23" t="s">
        <v>10997</v>
      </c>
      <c r="J156" s="23">
        <v>1.3</v>
      </c>
      <c r="K156" s="23" t="s">
        <v>10966</v>
      </c>
      <c r="L156" s="23" t="s">
        <v>10998</v>
      </c>
    </row>
    <row r="157" spans="1:12" ht="42.75" customHeight="1">
      <c r="A157" s="14" t="s">
        <v>10975</v>
      </c>
      <c r="B157" s="14" t="s">
        <v>3204</v>
      </c>
      <c r="C157" s="14">
        <v>4</v>
      </c>
      <c r="D157" s="14">
        <v>4</v>
      </c>
      <c r="E157" s="14">
        <v>1.1499999999999999</v>
      </c>
      <c r="F157" s="14">
        <v>3</v>
      </c>
      <c r="G157" s="14" t="s">
        <v>546</v>
      </c>
      <c r="H157" s="14" t="s">
        <v>10996</v>
      </c>
      <c r="I157" s="14" t="s">
        <v>10997</v>
      </c>
      <c r="J157" s="14">
        <v>1.1000000000000001</v>
      </c>
      <c r="K157" s="14" t="s">
        <v>10966</v>
      </c>
      <c r="L157" s="14" t="s">
        <v>10998</v>
      </c>
    </row>
    <row r="158" spans="1:12">
      <c r="A158" t="s">
        <v>10999</v>
      </c>
      <c r="B158" t="s">
        <v>815</v>
      </c>
      <c r="C158">
        <v>3</v>
      </c>
      <c r="D158">
        <v>3.5</v>
      </c>
      <c r="E158">
        <v>1</v>
      </c>
      <c r="F158">
        <v>2.5</v>
      </c>
    </row>
    <row r="159" spans="1:12">
      <c r="A159" t="s">
        <v>10999</v>
      </c>
      <c r="B159" t="s">
        <v>949</v>
      </c>
      <c r="C159">
        <v>3</v>
      </c>
      <c r="D159">
        <v>3.5</v>
      </c>
      <c r="E159">
        <v>1</v>
      </c>
      <c r="F159">
        <v>2.5</v>
      </c>
    </row>
    <row r="160" spans="1:12">
      <c r="A160" t="s">
        <v>10999</v>
      </c>
      <c r="B160" t="s">
        <v>1150</v>
      </c>
      <c r="C160">
        <v>5</v>
      </c>
      <c r="D160">
        <v>4.2</v>
      </c>
      <c r="E160">
        <v>1.3</v>
      </c>
      <c r="F160">
        <v>3.2</v>
      </c>
    </row>
    <row r="161" spans="1:6">
      <c r="A161" t="s">
        <v>10999</v>
      </c>
      <c r="B161" t="s">
        <v>1259</v>
      </c>
      <c r="C161">
        <v>4</v>
      </c>
      <c r="D161">
        <v>3.8</v>
      </c>
      <c r="E161">
        <v>1.1000000000000001</v>
      </c>
      <c r="F161">
        <v>2.8</v>
      </c>
    </row>
    <row r="162" spans="1:6">
      <c r="A162" t="s">
        <v>10999</v>
      </c>
      <c r="B162" t="s">
        <v>1401</v>
      </c>
      <c r="C162">
        <v>5</v>
      </c>
      <c r="D162">
        <v>4</v>
      </c>
      <c r="E162">
        <v>1.2</v>
      </c>
      <c r="F162">
        <v>3</v>
      </c>
    </row>
    <row r="163" spans="1:6">
      <c r="A163" t="s">
        <v>10999</v>
      </c>
      <c r="B163" t="s">
        <v>1551</v>
      </c>
      <c r="C163">
        <v>5</v>
      </c>
      <c r="D163">
        <v>4.5</v>
      </c>
      <c r="E163">
        <v>1.4</v>
      </c>
      <c r="F163">
        <v>3.5</v>
      </c>
    </row>
    <row r="164" spans="1:6">
      <c r="A164" t="s">
        <v>10999</v>
      </c>
      <c r="B164" t="s">
        <v>1666</v>
      </c>
      <c r="C164">
        <v>2</v>
      </c>
      <c r="D164">
        <v>3</v>
      </c>
      <c r="E164">
        <v>0.8</v>
      </c>
      <c r="F164">
        <v>2</v>
      </c>
    </row>
    <row r="165" spans="1:6">
      <c r="A165" t="s">
        <v>10999</v>
      </c>
      <c r="B165" t="s">
        <v>1859</v>
      </c>
      <c r="C165">
        <v>3</v>
      </c>
      <c r="D165">
        <v>3.5</v>
      </c>
      <c r="E165">
        <v>1</v>
      </c>
      <c r="F165">
        <v>2.5</v>
      </c>
    </row>
    <row r="166" spans="1:6">
      <c r="A166" t="s">
        <v>10999</v>
      </c>
      <c r="B166" t="s">
        <v>1987</v>
      </c>
      <c r="C166">
        <v>2</v>
      </c>
      <c r="D166">
        <v>2.5</v>
      </c>
      <c r="E166">
        <v>0.8</v>
      </c>
      <c r="F166">
        <v>1.8</v>
      </c>
    </row>
    <row r="167" spans="1:6">
      <c r="A167" t="s">
        <v>10999</v>
      </c>
      <c r="B167" t="s">
        <v>2145</v>
      </c>
      <c r="C167">
        <v>1</v>
      </c>
      <c r="D167">
        <v>0.5</v>
      </c>
      <c r="E167">
        <v>0.5</v>
      </c>
      <c r="F167">
        <v>0</v>
      </c>
    </row>
    <row r="168" spans="1:6">
      <c r="A168" t="s">
        <v>10999</v>
      </c>
      <c r="B168" t="s">
        <v>2286</v>
      </c>
      <c r="C168">
        <v>4</v>
      </c>
      <c r="D168">
        <v>4</v>
      </c>
      <c r="E168">
        <v>1.1499999999999999</v>
      </c>
      <c r="F168">
        <v>3</v>
      </c>
    </row>
    <row r="169" spans="1:6">
      <c r="A169" t="s">
        <v>10999</v>
      </c>
      <c r="B169" t="s">
        <v>2473</v>
      </c>
      <c r="C169">
        <v>3</v>
      </c>
      <c r="D169">
        <v>3.5</v>
      </c>
      <c r="E169">
        <v>1</v>
      </c>
      <c r="F169">
        <v>2.5</v>
      </c>
    </row>
    <row r="170" spans="1:6">
      <c r="A170" t="s">
        <v>10999</v>
      </c>
      <c r="B170" t="s">
        <v>2588</v>
      </c>
      <c r="C170">
        <v>5</v>
      </c>
      <c r="D170">
        <v>4.5</v>
      </c>
      <c r="E170">
        <v>1.4</v>
      </c>
      <c r="F170">
        <v>3.5</v>
      </c>
    </row>
    <row r="171" spans="1:6">
      <c r="A171" t="s">
        <v>10999</v>
      </c>
      <c r="B171" t="s">
        <v>2729</v>
      </c>
      <c r="C171">
        <v>5</v>
      </c>
      <c r="D171">
        <v>4.2</v>
      </c>
      <c r="E171">
        <v>1.25</v>
      </c>
      <c r="F171">
        <v>3.2</v>
      </c>
    </row>
    <row r="172" spans="1:6">
      <c r="A172" t="s">
        <v>10999</v>
      </c>
      <c r="B172" t="s">
        <v>2824</v>
      </c>
      <c r="C172">
        <v>5</v>
      </c>
      <c r="D172">
        <v>4.2</v>
      </c>
      <c r="E172">
        <v>1.25</v>
      </c>
      <c r="F172">
        <v>3.2</v>
      </c>
    </row>
    <row r="173" spans="1:6">
      <c r="A173" t="s">
        <v>10999</v>
      </c>
      <c r="B173" t="s">
        <v>2986</v>
      </c>
      <c r="C173">
        <v>5</v>
      </c>
      <c r="D173">
        <v>4.5</v>
      </c>
      <c r="E173">
        <v>1.4</v>
      </c>
      <c r="F173">
        <v>3.5</v>
      </c>
    </row>
    <row r="174" spans="1:6">
      <c r="A174" t="s">
        <v>10999</v>
      </c>
      <c r="B174" t="s">
        <v>3204</v>
      </c>
      <c r="C174">
        <v>4</v>
      </c>
      <c r="D174">
        <v>4</v>
      </c>
      <c r="E174">
        <v>1.1499999999999999</v>
      </c>
      <c r="F174">
        <v>3</v>
      </c>
    </row>
    <row r="300" spans="1:5" ht="25.95" customHeight="1">
      <c r="A300" s="307" t="s">
        <v>11000</v>
      </c>
      <c r="B300" s="304"/>
      <c r="C300" s="304"/>
      <c r="D300" s="304"/>
      <c r="E300" s="305"/>
    </row>
    <row r="301" spans="1:5" ht="34.1" customHeight="1">
      <c r="A301" s="77" t="s">
        <v>11001</v>
      </c>
      <c r="B301" s="77"/>
      <c r="C301" s="77"/>
      <c r="D301" s="77"/>
      <c r="E301" s="77"/>
    </row>
    <row r="303" spans="1:5" ht="15" customHeight="1">
      <c r="A303" s="15" t="s">
        <v>10953</v>
      </c>
      <c r="B303" s="15" t="s">
        <v>3839</v>
      </c>
      <c r="C303" s="15" t="s">
        <v>3510</v>
      </c>
      <c r="D303" s="15" t="s">
        <v>11002</v>
      </c>
      <c r="E303" s="15" t="s">
        <v>3897</v>
      </c>
    </row>
    <row r="304" spans="1:5" ht="28.5" customHeight="1">
      <c r="A304" s="14" t="s">
        <v>10963</v>
      </c>
      <c r="B304" s="14" t="s">
        <v>4374</v>
      </c>
      <c r="C304" s="14" t="s">
        <v>4373</v>
      </c>
      <c r="D304" s="14">
        <v>4.5</v>
      </c>
      <c r="E304" s="14" t="s">
        <v>11003</v>
      </c>
    </row>
    <row r="305" spans="1:5" ht="28.5" customHeight="1">
      <c r="A305" s="23" t="s">
        <v>10963</v>
      </c>
      <c r="B305" s="23" t="s">
        <v>3924</v>
      </c>
      <c r="C305" s="23" t="s">
        <v>3923</v>
      </c>
      <c r="D305" s="23">
        <v>4.5</v>
      </c>
      <c r="E305" s="23" t="s">
        <v>11004</v>
      </c>
    </row>
    <row r="306" spans="1:5" ht="28.5" customHeight="1">
      <c r="A306" s="14" t="s">
        <v>10963</v>
      </c>
      <c r="B306" s="14" t="s">
        <v>4330</v>
      </c>
      <c r="C306" s="14" t="s">
        <v>4329</v>
      </c>
      <c r="D306" s="14">
        <v>3</v>
      </c>
      <c r="E306" s="14" t="s">
        <v>11005</v>
      </c>
    </row>
    <row r="307" spans="1:5" ht="28.5" customHeight="1">
      <c r="A307" s="23" t="s">
        <v>10963</v>
      </c>
      <c r="B307" s="23" t="s">
        <v>4457</v>
      </c>
      <c r="C307" s="23" t="s">
        <v>4456</v>
      </c>
      <c r="D307" s="23">
        <v>3</v>
      </c>
      <c r="E307" s="23" t="s">
        <v>11006</v>
      </c>
    </row>
    <row r="308" spans="1:5" ht="28.5" customHeight="1">
      <c r="A308" s="14" t="s">
        <v>10963</v>
      </c>
      <c r="B308" s="14" t="s">
        <v>4415</v>
      </c>
      <c r="C308" s="14" t="s">
        <v>4414</v>
      </c>
      <c r="D308" s="14">
        <v>3</v>
      </c>
      <c r="E308" s="14" t="s">
        <v>11007</v>
      </c>
    </row>
    <row r="309" spans="1:5" ht="28.5" customHeight="1">
      <c r="A309" s="23" t="s">
        <v>10963</v>
      </c>
      <c r="B309" s="23" t="s">
        <v>4021</v>
      </c>
      <c r="C309" s="23" t="s">
        <v>4020</v>
      </c>
      <c r="D309" s="23">
        <v>5</v>
      </c>
      <c r="E309" s="23" t="s">
        <v>11008</v>
      </c>
    </row>
    <row r="310" spans="1:5" ht="28.5" customHeight="1">
      <c r="A310" s="14" t="s">
        <v>10963</v>
      </c>
      <c r="B310" s="14" t="s">
        <v>4165</v>
      </c>
      <c r="C310" s="14" t="s">
        <v>4164</v>
      </c>
      <c r="D310" s="14">
        <v>4</v>
      </c>
      <c r="E310" s="14" t="s">
        <v>11009</v>
      </c>
    </row>
    <row r="311" spans="1:5" ht="28.5" customHeight="1">
      <c r="A311" s="23" t="s">
        <v>10963</v>
      </c>
      <c r="B311" s="23" t="s">
        <v>4075</v>
      </c>
      <c r="C311" s="23" t="s">
        <v>4074</v>
      </c>
      <c r="D311" s="23">
        <v>3</v>
      </c>
      <c r="E311" s="23" t="s">
        <v>11010</v>
      </c>
    </row>
    <row r="312" spans="1:5" ht="28.5" customHeight="1">
      <c r="A312" s="14" t="s">
        <v>10963</v>
      </c>
      <c r="B312" s="14" t="s">
        <v>4231</v>
      </c>
      <c r="C312" s="14" t="s">
        <v>4230</v>
      </c>
      <c r="D312" s="14">
        <v>3</v>
      </c>
      <c r="E312" s="14" t="s">
        <v>11011</v>
      </c>
    </row>
    <row r="313" spans="1:5" ht="28.5" customHeight="1">
      <c r="A313" s="23" t="s">
        <v>10963</v>
      </c>
      <c r="B313" s="23" t="s">
        <v>4123</v>
      </c>
      <c r="C313" s="23" t="s">
        <v>4122</v>
      </c>
      <c r="D313" s="23">
        <v>4</v>
      </c>
      <c r="E313" s="23" t="s">
        <v>11012</v>
      </c>
    </row>
    <row r="314" spans="1:5" ht="28.5" customHeight="1">
      <c r="A314" s="14" t="s">
        <v>10963</v>
      </c>
      <c r="B314" s="14" t="s">
        <v>3972</v>
      </c>
      <c r="C314" s="14" t="s">
        <v>3971</v>
      </c>
      <c r="D314" s="14">
        <v>3</v>
      </c>
      <c r="E314" s="14" t="s">
        <v>11013</v>
      </c>
    </row>
    <row r="315" spans="1:5" ht="28.5" customHeight="1">
      <c r="A315" s="23" t="s">
        <v>10963</v>
      </c>
      <c r="B315" s="23" t="s">
        <v>4273</v>
      </c>
      <c r="C315" s="23" t="s">
        <v>4272</v>
      </c>
      <c r="D315" s="23">
        <v>3</v>
      </c>
      <c r="E315" s="23" t="s">
        <v>11014</v>
      </c>
    </row>
    <row r="316" spans="1:5" ht="28.5" customHeight="1">
      <c r="A316" s="14" t="s">
        <v>10963</v>
      </c>
      <c r="B316" s="14" t="s">
        <v>4065</v>
      </c>
      <c r="C316" s="14" t="s">
        <v>4064</v>
      </c>
      <c r="D316" s="14">
        <v>3</v>
      </c>
      <c r="E316" s="14" t="s">
        <v>11015</v>
      </c>
    </row>
    <row r="317" spans="1:5" ht="28.5" customHeight="1">
      <c r="A317" s="23" t="s">
        <v>10963</v>
      </c>
      <c r="B317" s="23" t="s">
        <v>3957</v>
      </c>
      <c r="C317" s="23" t="s">
        <v>3956</v>
      </c>
      <c r="D317" s="23">
        <v>3</v>
      </c>
      <c r="E317" s="23" t="s">
        <v>11016</v>
      </c>
    </row>
    <row r="318" spans="1:5" ht="28.5" customHeight="1">
      <c r="A318" s="14" t="s">
        <v>10968</v>
      </c>
      <c r="B318" s="14" t="s">
        <v>4374</v>
      </c>
      <c r="C318" s="14" t="s">
        <v>4373</v>
      </c>
      <c r="D318" s="14">
        <v>3</v>
      </c>
      <c r="E318" s="14" t="s">
        <v>11017</v>
      </c>
    </row>
    <row r="319" spans="1:5" ht="28.5" customHeight="1">
      <c r="A319" s="23" t="s">
        <v>10968</v>
      </c>
      <c r="B319" s="23" t="s">
        <v>3924</v>
      </c>
      <c r="C319" s="23" t="s">
        <v>3923</v>
      </c>
      <c r="D319" s="23">
        <v>3</v>
      </c>
      <c r="E319" s="23" t="s">
        <v>11018</v>
      </c>
    </row>
    <row r="320" spans="1:5" ht="28.5" customHeight="1">
      <c r="A320" s="14" t="s">
        <v>10968</v>
      </c>
      <c r="B320" s="14" t="s">
        <v>4330</v>
      </c>
      <c r="C320" s="14" t="s">
        <v>4329</v>
      </c>
      <c r="D320" s="14">
        <v>5</v>
      </c>
      <c r="E320" s="14" t="s">
        <v>11019</v>
      </c>
    </row>
    <row r="321" spans="1:5" ht="28.5" customHeight="1">
      <c r="A321" s="23" t="s">
        <v>10968</v>
      </c>
      <c r="B321" s="23" t="s">
        <v>4457</v>
      </c>
      <c r="C321" s="23" t="s">
        <v>4456</v>
      </c>
      <c r="D321" s="23">
        <v>5</v>
      </c>
      <c r="E321" s="23" t="s">
        <v>11020</v>
      </c>
    </row>
    <row r="322" spans="1:5" ht="28.5" customHeight="1">
      <c r="A322" s="14" t="s">
        <v>10968</v>
      </c>
      <c r="B322" s="14" t="s">
        <v>4415</v>
      </c>
      <c r="C322" s="14" t="s">
        <v>4414</v>
      </c>
      <c r="D322" s="14">
        <v>4.5</v>
      </c>
      <c r="E322" s="14" t="s">
        <v>11021</v>
      </c>
    </row>
    <row r="323" spans="1:5" ht="28.5" customHeight="1">
      <c r="A323" s="23" t="s">
        <v>10968</v>
      </c>
      <c r="B323" s="23" t="s">
        <v>4021</v>
      </c>
      <c r="C323" s="23" t="s">
        <v>4020</v>
      </c>
      <c r="D323" s="23">
        <v>3</v>
      </c>
      <c r="E323" s="23" t="s">
        <v>11022</v>
      </c>
    </row>
    <row r="324" spans="1:5" ht="28.5" customHeight="1">
      <c r="A324" s="14" t="s">
        <v>10968</v>
      </c>
      <c r="B324" s="14" t="s">
        <v>4165</v>
      </c>
      <c r="C324" s="14" t="s">
        <v>4164</v>
      </c>
      <c r="D324" s="14">
        <v>3</v>
      </c>
      <c r="E324" s="14" t="s">
        <v>11023</v>
      </c>
    </row>
    <row r="325" spans="1:5" ht="28.5" customHeight="1">
      <c r="A325" s="23" t="s">
        <v>10968</v>
      </c>
      <c r="B325" s="23" t="s">
        <v>4075</v>
      </c>
      <c r="C325" s="23" t="s">
        <v>4074</v>
      </c>
      <c r="D325" s="23">
        <v>3</v>
      </c>
      <c r="E325" s="23" t="s">
        <v>11024</v>
      </c>
    </row>
    <row r="326" spans="1:5" ht="28.5" customHeight="1">
      <c r="A326" s="14" t="s">
        <v>10968</v>
      </c>
      <c r="B326" s="14" t="s">
        <v>4231</v>
      </c>
      <c r="C326" s="14" t="s">
        <v>4230</v>
      </c>
      <c r="D326" s="14">
        <v>4</v>
      </c>
      <c r="E326" s="14" t="s">
        <v>11025</v>
      </c>
    </row>
    <row r="327" spans="1:5" ht="28.5" customHeight="1">
      <c r="A327" s="23" t="s">
        <v>10968</v>
      </c>
      <c r="B327" s="23" t="s">
        <v>4123</v>
      </c>
      <c r="C327" s="23" t="s">
        <v>4122</v>
      </c>
      <c r="D327" s="23">
        <v>4</v>
      </c>
      <c r="E327" s="23" t="s">
        <v>11026</v>
      </c>
    </row>
    <row r="328" spans="1:5" ht="28.5" customHeight="1">
      <c r="A328" s="14" t="s">
        <v>10968</v>
      </c>
      <c r="B328" s="14" t="s">
        <v>3972</v>
      </c>
      <c r="C328" s="14" t="s">
        <v>3971</v>
      </c>
      <c r="D328" s="14">
        <v>3</v>
      </c>
      <c r="E328" s="14" t="s">
        <v>11027</v>
      </c>
    </row>
    <row r="329" spans="1:5" ht="28.5" customHeight="1">
      <c r="A329" s="23" t="s">
        <v>10968</v>
      </c>
      <c r="B329" s="23" t="s">
        <v>4273</v>
      </c>
      <c r="C329" s="23" t="s">
        <v>4272</v>
      </c>
      <c r="D329" s="23">
        <v>3</v>
      </c>
      <c r="E329" s="23" t="s">
        <v>11028</v>
      </c>
    </row>
    <row r="330" spans="1:5" ht="28.5" customHeight="1">
      <c r="A330" s="14" t="s">
        <v>10968</v>
      </c>
      <c r="B330" s="14" t="s">
        <v>4065</v>
      </c>
      <c r="C330" s="14" t="s">
        <v>4064</v>
      </c>
      <c r="D330" s="14">
        <v>3</v>
      </c>
      <c r="E330" s="14" t="s">
        <v>11029</v>
      </c>
    </row>
    <row r="331" spans="1:5" ht="28.5" customHeight="1">
      <c r="A331" s="23" t="s">
        <v>10968</v>
      </c>
      <c r="B331" s="23" t="s">
        <v>3957</v>
      </c>
      <c r="C331" s="23" t="s">
        <v>3956</v>
      </c>
      <c r="D331" s="23">
        <v>3</v>
      </c>
      <c r="E331" s="23" t="s">
        <v>11030</v>
      </c>
    </row>
    <row r="332" spans="1:5" ht="28.5" customHeight="1">
      <c r="A332" s="14" t="s">
        <v>10969</v>
      </c>
      <c r="B332" s="14" t="s">
        <v>4374</v>
      </c>
      <c r="C332" s="14" t="s">
        <v>4373</v>
      </c>
      <c r="D332" s="14">
        <v>3</v>
      </c>
      <c r="E332" s="14" t="s">
        <v>11031</v>
      </c>
    </row>
    <row r="333" spans="1:5" ht="28.5" customHeight="1">
      <c r="A333" s="23" t="s">
        <v>10969</v>
      </c>
      <c r="B333" s="23" t="s">
        <v>3924</v>
      </c>
      <c r="C333" s="23" t="s">
        <v>3923</v>
      </c>
      <c r="D333" s="23">
        <v>4.5</v>
      </c>
      <c r="E333" s="23" t="s">
        <v>11032</v>
      </c>
    </row>
    <row r="334" spans="1:5" ht="28.5" customHeight="1">
      <c r="A334" s="14" t="s">
        <v>10969</v>
      </c>
      <c r="B334" s="14" t="s">
        <v>4330</v>
      </c>
      <c r="C334" s="14" t="s">
        <v>4329</v>
      </c>
      <c r="D334" s="14">
        <v>4</v>
      </c>
      <c r="E334" s="14" t="s">
        <v>11033</v>
      </c>
    </row>
    <row r="335" spans="1:5" ht="28.5" customHeight="1">
      <c r="A335" s="23" t="s">
        <v>10969</v>
      </c>
      <c r="B335" s="23" t="s">
        <v>4457</v>
      </c>
      <c r="C335" s="23" t="s">
        <v>4456</v>
      </c>
      <c r="D335" s="23">
        <v>3</v>
      </c>
      <c r="E335" s="23" t="s">
        <v>11034</v>
      </c>
    </row>
    <row r="336" spans="1:5" ht="28.5" customHeight="1">
      <c r="A336" s="14" t="s">
        <v>10969</v>
      </c>
      <c r="B336" s="14" t="s">
        <v>4415</v>
      </c>
      <c r="C336" s="14" t="s">
        <v>4414</v>
      </c>
      <c r="D336" s="14">
        <v>3</v>
      </c>
      <c r="E336" s="14" t="s">
        <v>11035</v>
      </c>
    </row>
    <row r="337" spans="1:5" ht="28.5" customHeight="1">
      <c r="A337" s="23" t="s">
        <v>10969</v>
      </c>
      <c r="B337" s="23" t="s">
        <v>4021</v>
      </c>
      <c r="C337" s="23" t="s">
        <v>4020</v>
      </c>
      <c r="D337" s="23">
        <v>3</v>
      </c>
      <c r="E337" s="23" t="s">
        <v>11036</v>
      </c>
    </row>
    <row r="338" spans="1:5" ht="28.5" customHeight="1">
      <c r="A338" s="14" t="s">
        <v>10969</v>
      </c>
      <c r="B338" s="14" t="s">
        <v>4165</v>
      </c>
      <c r="C338" s="14" t="s">
        <v>4164</v>
      </c>
      <c r="D338" s="14">
        <v>5</v>
      </c>
      <c r="E338" s="14" t="s">
        <v>11037</v>
      </c>
    </row>
    <row r="339" spans="1:5" ht="28.5" customHeight="1">
      <c r="A339" s="23" t="s">
        <v>10969</v>
      </c>
      <c r="B339" s="23" t="s">
        <v>4075</v>
      </c>
      <c r="C339" s="23" t="s">
        <v>4074</v>
      </c>
      <c r="D339" s="23">
        <v>5</v>
      </c>
      <c r="E339" s="23" t="s">
        <v>11038</v>
      </c>
    </row>
    <row r="340" spans="1:5" ht="28.5" customHeight="1">
      <c r="A340" s="14" t="s">
        <v>10969</v>
      </c>
      <c r="B340" s="14" t="s">
        <v>4231</v>
      </c>
      <c r="C340" s="14" t="s">
        <v>4230</v>
      </c>
      <c r="D340" s="14">
        <v>3</v>
      </c>
      <c r="E340" s="14" t="s">
        <v>11039</v>
      </c>
    </row>
    <row r="341" spans="1:5" ht="28.5" customHeight="1">
      <c r="A341" s="23" t="s">
        <v>10969</v>
      </c>
      <c r="B341" s="23" t="s">
        <v>4123</v>
      </c>
      <c r="C341" s="23" t="s">
        <v>4122</v>
      </c>
      <c r="D341" s="23">
        <v>3</v>
      </c>
      <c r="E341" s="23" t="s">
        <v>11040</v>
      </c>
    </row>
    <row r="342" spans="1:5" ht="28.5" customHeight="1">
      <c r="A342" s="14" t="s">
        <v>10969</v>
      </c>
      <c r="B342" s="14" t="s">
        <v>3972</v>
      </c>
      <c r="C342" s="14" t="s">
        <v>3971</v>
      </c>
      <c r="D342" s="14">
        <v>3</v>
      </c>
      <c r="E342" s="14" t="s">
        <v>11041</v>
      </c>
    </row>
    <row r="343" spans="1:5" ht="28.5" customHeight="1">
      <c r="A343" s="23" t="s">
        <v>10969</v>
      </c>
      <c r="B343" s="23" t="s">
        <v>4273</v>
      </c>
      <c r="C343" s="23" t="s">
        <v>4272</v>
      </c>
      <c r="D343" s="23">
        <v>4.5</v>
      </c>
      <c r="E343" s="23" t="s">
        <v>11042</v>
      </c>
    </row>
    <row r="344" spans="1:5" ht="28.5" customHeight="1">
      <c r="A344" s="14" t="s">
        <v>10969</v>
      </c>
      <c r="B344" s="14" t="s">
        <v>4065</v>
      </c>
      <c r="C344" s="14" t="s">
        <v>4064</v>
      </c>
      <c r="D344" s="14">
        <v>3</v>
      </c>
      <c r="E344" s="14" t="s">
        <v>11043</v>
      </c>
    </row>
    <row r="345" spans="1:5" ht="28.5" customHeight="1">
      <c r="A345" s="23" t="s">
        <v>10969</v>
      </c>
      <c r="B345" s="23" t="s">
        <v>3957</v>
      </c>
      <c r="C345" s="23" t="s">
        <v>3956</v>
      </c>
      <c r="D345" s="23">
        <v>3</v>
      </c>
      <c r="E345" s="23" t="s">
        <v>11044</v>
      </c>
    </row>
    <row r="346" spans="1:5" ht="28.5" customHeight="1">
      <c r="A346" s="14" t="s">
        <v>10970</v>
      </c>
      <c r="B346" s="14" t="s">
        <v>4374</v>
      </c>
      <c r="C346" s="14" t="s">
        <v>4373</v>
      </c>
      <c r="D346" s="14">
        <v>3</v>
      </c>
      <c r="E346" s="14" t="s">
        <v>11045</v>
      </c>
    </row>
    <row r="347" spans="1:5" ht="28.5" customHeight="1">
      <c r="A347" s="23" t="s">
        <v>10970</v>
      </c>
      <c r="B347" s="23" t="s">
        <v>3924</v>
      </c>
      <c r="C347" s="23" t="s">
        <v>3923</v>
      </c>
      <c r="D347" s="23">
        <v>3</v>
      </c>
      <c r="E347" s="23" t="s">
        <v>11046</v>
      </c>
    </row>
    <row r="348" spans="1:5" ht="28.5" customHeight="1">
      <c r="A348" s="14" t="s">
        <v>10970</v>
      </c>
      <c r="B348" s="14" t="s">
        <v>4330</v>
      </c>
      <c r="C348" s="14" t="s">
        <v>4329</v>
      </c>
      <c r="D348" s="14">
        <v>3</v>
      </c>
      <c r="E348" s="14" t="s">
        <v>11047</v>
      </c>
    </row>
    <row r="349" spans="1:5" ht="28.5" customHeight="1">
      <c r="A349" s="23" t="s">
        <v>10970</v>
      </c>
      <c r="B349" s="23" t="s">
        <v>4457</v>
      </c>
      <c r="C349" s="23" t="s">
        <v>4456</v>
      </c>
      <c r="D349" s="23">
        <v>4.5</v>
      </c>
      <c r="E349" s="23" t="s">
        <v>11048</v>
      </c>
    </row>
    <row r="350" spans="1:5" ht="28.5" customHeight="1">
      <c r="A350" s="14" t="s">
        <v>10970</v>
      </c>
      <c r="B350" s="14" t="s">
        <v>4415</v>
      </c>
      <c r="C350" s="14" t="s">
        <v>4414</v>
      </c>
      <c r="D350" s="14">
        <v>4</v>
      </c>
      <c r="E350" s="14" t="s">
        <v>11049</v>
      </c>
    </row>
    <row r="351" spans="1:5" ht="28.5" customHeight="1">
      <c r="A351" s="23" t="s">
        <v>10970</v>
      </c>
      <c r="B351" s="23" t="s">
        <v>4021</v>
      </c>
      <c r="C351" s="23" t="s">
        <v>4020</v>
      </c>
      <c r="D351" s="23">
        <v>3</v>
      </c>
      <c r="E351" s="23" t="s">
        <v>11050</v>
      </c>
    </row>
    <row r="352" spans="1:5" ht="28.5" customHeight="1">
      <c r="A352" s="14" t="s">
        <v>10970</v>
      </c>
      <c r="B352" s="14" t="s">
        <v>4165</v>
      </c>
      <c r="C352" s="14" t="s">
        <v>4164</v>
      </c>
      <c r="D352" s="14">
        <v>3</v>
      </c>
      <c r="E352" s="14" t="s">
        <v>11051</v>
      </c>
    </row>
    <row r="353" spans="1:5" ht="28.5" customHeight="1">
      <c r="A353" s="23" t="s">
        <v>10970</v>
      </c>
      <c r="B353" s="23" t="s">
        <v>4075</v>
      </c>
      <c r="C353" s="23" t="s">
        <v>4074</v>
      </c>
      <c r="D353" s="23">
        <v>4</v>
      </c>
      <c r="E353" s="23" t="s">
        <v>11052</v>
      </c>
    </row>
    <row r="354" spans="1:5" ht="28.5" customHeight="1">
      <c r="A354" s="14" t="s">
        <v>10970</v>
      </c>
      <c r="B354" s="14" t="s">
        <v>4231</v>
      </c>
      <c r="C354" s="14" t="s">
        <v>4230</v>
      </c>
      <c r="D354" s="14">
        <v>5</v>
      </c>
      <c r="E354" s="14" t="s">
        <v>11053</v>
      </c>
    </row>
    <row r="355" spans="1:5" ht="28.5" customHeight="1">
      <c r="A355" s="23" t="s">
        <v>10970</v>
      </c>
      <c r="B355" s="23" t="s">
        <v>4123</v>
      </c>
      <c r="C355" s="23" t="s">
        <v>4122</v>
      </c>
      <c r="D355" s="23">
        <v>5</v>
      </c>
      <c r="E355" s="23" t="s">
        <v>11054</v>
      </c>
    </row>
    <row r="356" spans="1:5" ht="28.5" customHeight="1">
      <c r="A356" s="14" t="s">
        <v>10970</v>
      </c>
      <c r="B356" s="14" t="s">
        <v>3972</v>
      </c>
      <c r="C356" s="14" t="s">
        <v>3971</v>
      </c>
      <c r="D356" s="14">
        <v>3</v>
      </c>
      <c r="E356" s="14" t="s">
        <v>11055</v>
      </c>
    </row>
    <row r="357" spans="1:5" ht="28.5" customHeight="1">
      <c r="A357" s="23" t="s">
        <v>10970</v>
      </c>
      <c r="B357" s="23" t="s">
        <v>4273</v>
      </c>
      <c r="C357" s="23" t="s">
        <v>4272</v>
      </c>
      <c r="D357" s="23">
        <v>3</v>
      </c>
      <c r="E357" s="23" t="s">
        <v>11056</v>
      </c>
    </row>
    <row r="358" spans="1:5" ht="28.5" customHeight="1">
      <c r="A358" s="14" t="s">
        <v>10970</v>
      </c>
      <c r="B358" s="14" t="s">
        <v>4065</v>
      </c>
      <c r="C358" s="14" t="s">
        <v>4064</v>
      </c>
      <c r="D358" s="14">
        <v>3</v>
      </c>
      <c r="E358" s="14" t="s">
        <v>11057</v>
      </c>
    </row>
    <row r="359" spans="1:5" ht="28.5" customHeight="1">
      <c r="A359" s="23" t="s">
        <v>10970</v>
      </c>
      <c r="B359" s="23" t="s">
        <v>3957</v>
      </c>
      <c r="C359" s="23" t="s">
        <v>3956</v>
      </c>
      <c r="D359" s="23">
        <v>3</v>
      </c>
      <c r="E359" s="23" t="s">
        <v>11058</v>
      </c>
    </row>
    <row r="360" spans="1:5" ht="28.5" customHeight="1">
      <c r="A360" s="14" t="s">
        <v>10971</v>
      </c>
      <c r="B360" s="14" t="s">
        <v>4374</v>
      </c>
      <c r="C360" s="14" t="s">
        <v>4373</v>
      </c>
      <c r="D360" s="14">
        <v>3</v>
      </c>
      <c r="E360" s="14" t="s">
        <v>11059</v>
      </c>
    </row>
    <row r="361" spans="1:5" ht="28.5" customHeight="1">
      <c r="A361" s="23" t="s">
        <v>10971</v>
      </c>
      <c r="B361" s="23" t="s">
        <v>3924</v>
      </c>
      <c r="C361" s="23" t="s">
        <v>3923</v>
      </c>
      <c r="D361" s="23">
        <v>4.5</v>
      </c>
      <c r="E361" s="23" t="s">
        <v>11060</v>
      </c>
    </row>
    <row r="362" spans="1:5" ht="28.5" customHeight="1">
      <c r="A362" s="14" t="s">
        <v>10971</v>
      </c>
      <c r="B362" s="14" t="s">
        <v>4330</v>
      </c>
      <c r="C362" s="14" t="s">
        <v>4329</v>
      </c>
      <c r="D362" s="14">
        <v>4</v>
      </c>
      <c r="E362" s="14" t="s">
        <v>11061</v>
      </c>
    </row>
    <row r="363" spans="1:5" ht="28.5" customHeight="1">
      <c r="A363" s="23" t="s">
        <v>10971</v>
      </c>
      <c r="B363" s="23" t="s">
        <v>4457</v>
      </c>
      <c r="C363" s="23" t="s">
        <v>4456</v>
      </c>
      <c r="D363" s="23">
        <v>3</v>
      </c>
      <c r="E363" s="23" t="s">
        <v>11062</v>
      </c>
    </row>
    <row r="364" spans="1:5" ht="28.5" customHeight="1">
      <c r="A364" s="14" t="s">
        <v>10971</v>
      </c>
      <c r="B364" s="14" t="s">
        <v>4415</v>
      </c>
      <c r="C364" s="14" t="s">
        <v>4414</v>
      </c>
      <c r="D364" s="14">
        <v>4</v>
      </c>
      <c r="E364" s="14" t="s">
        <v>11063</v>
      </c>
    </row>
    <row r="365" spans="1:5" ht="28.5" customHeight="1">
      <c r="A365" s="23" t="s">
        <v>10971</v>
      </c>
      <c r="B365" s="23" t="s">
        <v>4021</v>
      </c>
      <c r="C365" s="23" t="s">
        <v>4020</v>
      </c>
      <c r="D365" s="23">
        <v>3</v>
      </c>
      <c r="E365" s="23" t="s">
        <v>11064</v>
      </c>
    </row>
    <row r="366" spans="1:5" ht="28.5" customHeight="1">
      <c r="A366" s="14" t="s">
        <v>10971</v>
      </c>
      <c r="B366" s="14" t="s">
        <v>4165</v>
      </c>
      <c r="C366" s="14" t="s">
        <v>4164</v>
      </c>
      <c r="D366" s="14">
        <v>4.5</v>
      </c>
      <c r="E366" s="14" t="s">
        <v>11065</v>
      </c>
    </row>
    <row r="367" spans="1:5" ht="28.5" customHeight="1">
      <c r="A367" s="23" t="s">
        <v>10971</v>
      </c>
      <c r="B367" s="23" t="s">
        <v>4075</v>
      </c>
      <c r="C367" s="23" t="s">
        <v>4074</v>
      </c>
      <c r="D367" s="23">
        <v>5</v>
      </c>
      <c r="E367" s="23" t="s">
        <v>11066</v>
      </c>
    </row>
    <row r="368" spans="1:5" ht="28.5" customHeight="1">
      <c r="A368" s="14" t="s">
        <v>10971</v>
      </c>
      <c r="B368" s="14" t="s">
        <v>4231</v>
      </c>
      <c r="C368" s="14" t="s">
        <v>4230</v>
      </c>
      <c r="D368" s="14">
        <v>3</v>
      </c>
      <c r="E368" s="14" t="s">
        <v>11067</v>
      </c>
    </row>
    <row r="369" spans="1:5" ht="28.5" customHeight="1">
      <c r="A369" s="23" t="s">
        <v>10971</v>
      </c>
      <c r="B369" s="23" t="s">
        <v>4123</v>
      </c>
      <c r="C369" s="23" t="s">
        <v>4122</v>
      </c>
      <c r="D369" s="23">
        <v>3</v>
      </c>
      <c r="E369" s="23" t="s">
        <v>11068</v>
      </c>
    </row>
    <row r="370" spans="1:5" ht="28.5" customHeight="1">
      <c r="A370" s="14" t="s">
        <v>10971</v>
      </c>
      <c r="B370" s="14" t="s">
        <v>3972</v>
      </c>
      <c r="C370" s="14" t="s">
        <v>3971</v>
      </c>
      <c r="D370" s="14">
        <v>3</v>
      </c>
      <c r="E370" s="14" t="s">
        <v>11069</v>
      </c>
    </row>
    <row r="371" spans="1:5" ht="28.5" customHeight="1">
      <c r="A371" s="23" t="s">
        <v>10971</v>
      </c>
      <c r="B371" s="23" t="s">
        <v>4273</v>
      </c>
      <c r="C371" s="23" t="s">
        <v>4272</v>
      </c>
      <c r="D371" s="23">
        <v>3</v>
      </c>
      <c r="E371" s="23" t="s">
        <v>11070</v>
      </c>
    </row>
    <row r="372" spans="1:5" ht="28.5" customHeight="1">
      <c r="A372" s="14" t="s">
        <v>10971</v>
      </c>
      <c r="B372" s="14" t="s">
        <v>4065</v>
      </c>
      <c r="C372" s="14" t="s">
        <v>4064</v>
      </c>
      <c r="D372" s="14">
        <v>3</v>
      </c>
      <c r="E372" s="14" t="s">
        <v>11071</v>
      </c>
    </row>
    <row r="373" spans="1:5" ht="28.5" customHeight="1">
      <c r="A373" s="23" t="s">
        <v>10971</v>
      </c>
      <c r="B373" s="23" t="s">
        <v>3957</v>
      </c>
      <c r="C373" s="23" t="s">
        <v>3956</v>
      </c>
      <c r="D373" s="23">
        <v>3</v>
      </c>
      <c r="E373" s="23" t="s">
        <v>11072</v>
      </c>
    </row>
    <row r="374" spans="1:5" ht="28.5" customHeight="1">
      <c r="A374" s="14" t="s">
        <v>10972</v>
      </c>
      <c r="B374" s="14" t="s">
        <v>4374</v>
      </c>
      <c r="C374" s="14" t="s">
        <v>4373</v>
      </c>
      <c r="D374" s="14">
        <v>3</v>
      </c>
      <c r="E374" s="14" t="s">
        <v>11073</v>
      </c>
    </row>
    <row r="375" spans="1:5" ht="28.5" customHeight="1">
      <c r="A375" s="23" t="s">
        <v>10972</v>
      </c>
      <c r="B375" s="23" t="s">
        <v>3924</v>
      </c>
      <c r="C375" s="23" t="s">
        <v>3923</v>
      </c>
      <c r="D375" s="23">
        <v>4.5</v>
      </c>
      <c r="E375" s="23" t="s">
        <v>11074</v>
      </c>
    </row>
    <row r="376" spans="1:5" ht="28.5" customHeight="1">
      <c r="A376" s="14" t="s">
        <v>10972</v>
      </c>
      <c r="B376" s="14" t="s">
        <v>4330</v>
      </c>
      <c r="C376" s="14" t="s">
        <v>4329</v>
      </c>
      <c r="D376" s="14">
        <v>3</v>
      </c>
      <c r="E376" s="14" t="s">
        <v>11075</v>
      </c>
    </row>
    <row r="377" spans="1:5" ht="28.5" customHeight="1">
      <c r="A377" s="23" t="s">
        <v>10972</v>
      </c>
      <c r="B377" s="23" t="s">
        <v>4457</v>
      </c>
      <c r="C377" s="23" t="s">
        <v>4456</v>
      </c>
      <c r="D377" s="23">
        <v>5</v>
      </c>
      <c r="E377" s="23" t="s">
        <v>11076</v>
      </c>
    </row>
    <row r="378" spans="1:5" ht="28.5" customHeight="1">
      <c r="A378" s="14" t="s">
        <v>10972</v>
      </c>
      <c r="B378" s="14" t="s">
        <v>4415</v>
      </c>
      <c r="C378" s="14" t="s">
        <v>4414</v>
      </c>
      <c r="D378" s="14">
        <v>4.5</v>
      </c>
      <c r="E378" s="14" t="s">
        <v>11077</v>
      </c>
    </row>
    <row r="379" spans="1:5" ht="28.5" customHeight="1">
      <c r="A379" s="23" t="s">
        <v>10972</v>
      </c>
      <c r="B379" s="23" t="s">
        <v>4021</v>
      </c>
      <c r="C379" s="23" t="s">
        <v>4020</v>
      </c>
      <c r="D379" s="23">
        <v>3</v>
      </c>
      <c r="E379" s="23" t="s">
        <v>11078</v>
      </c>
    </row>
    <row r="380" spans="1:5" ht="28.5" customHeight="1">
      <c r="A380" s="14" t="s">
        <v>10972</v>
      </c>
      <c r="B380" s="14" t="s">
        <v>4165</v>
      </c>
      <c r="C380" s="14" t="s">
        <v>4164</v>
      </c>
      <c r="D380" s="14">
        <v>3</v>
      </c>
      <c r="E380" s="14" t="s">
        <v>11079</v>
      </c>
    </row>
    <row r="381" spans="1:5" ht="28.5" customHeight="1">
      <c r="A381" s="23" t="s">
        <v>10972</v>
      </c>
      <c r="B381" s="23" t="s">
        <v>4075</v>
      </c>
      <c r="C381" s="23" t="s">
        <v>4074</v>
      </c>
      <c r="D381" s="23">
        <v>3</v>
      </c>
      <c r="E381" s="23" t="s">
        <v>11080</v>
      </c>
    </row>
    <row r="382" spans="1:5" ht="28.5" customHeight="1">
      <c r="A382" s="14" t="s">
        <v>10972</v>
      </c>
      <c r="B382" s="14" t="s">
        <v>4231</v>
      </c>
      <c r="C382" s="14" t="s">
        <v>4230</v>
      </c>
      <c r="D382" s="14">
        <v>3</v>
      </c>
      <c r="E382" s="14" t="s">
        <v>11081</v>
      </c>
    </row>
    <row r="383" spans="1:5" ht="28.5" customHeight="1">
      <c r="A383" s="23" t="s">
        <v>10972</v>
      </c>
      <c r="B383" s="23" t="s">
        <v>4123</v>
      </c>
      <c r="C383" s="23" t="s">
        <v>4122</v>
      </c>
      <c r="D383" s="23">
        <v>3</v>
      </c>
      <c r="E383" s="23" t="s">
        <v>11082</v>
      </c>
    </row>
    <row r="384" spans="1:5" ht="28.5" customHeight="1">
      <c r="A384" s="14" t="s">
        <v>10972</v>
      </c>
      <c r="B384" s="14" t="s">
        <v>3972</v>
      </c>
      <c r="C384" s="14" t="s">
        <v>3971</v>
      </c>
      <c r="D384" s="14">
        <v>5</v>
      </c>
      <c r="E384" s="14" t="s">
        <v>11083</v>
      </c>
    </row>
    <row r="385" spans="1:5" ht="28.5" customHeight="1">
      <c r="A385" s="23" t="s">
        <v>10972</v>
      </c>
      <c r="B385" s="23" t="s">
        <v>4273</v>
      </c>
      <c r="C385" s="23" t="s">
        <v>4272</v>
      </c>
      <c r="D385" s="23">
        <v>3</v>
      </c>
      <c r="E385" s="23" t="s">
        <v>11084</v>
      </c>
    </row>
    <row r="386" spans="1:5" ht="28.5" customHeight="1">
      <c r="A386" s="14" t="s">
        <v>10972</v>
      </c>
      <c r="B386" s="14" t="s">
        <v>4065</v>
      </c>
      <c r="C386" s="14" t="s">
        <v>4064</v>
      </c>
      <c r="D386" s="14">
        <v>4</v>
      </c>
      <c r="E386" s="14" t="s">
        <v>11085</v>
      </c>
    </row>
    <row r="387" spans="1:5" ht="28.5" customHeight="1">
      <c r="A387" s="23" t="s">
        <v>10972</v>
      </c>
      <c r="B387" s="23" t="s">
        <v>3957</v>
      </c>
      <c r="C387" s="23" t="s">
        <v>3956</v>
      </c>
      <c r="D387" s="23">
        <v>3</v>
      </c>
      <c r="E387" s="23" t="s">
        <v>11086</v>
      </c>
    </row>
    <row r="388" spans="1:5" ht="28.5" customHeight="1">
      <c r="A388" s="14" t="s">
        <v>10973</v>
      </c>
      <c r="B388" s="14" t="s">
        <v>4374</v>
      </c>
      <c r="C388" s="14" t="s">
        <v>4373</v>
      </c>
      <c r="D388" s="14">
        <v>3</v>
      </c>
      <c r="E388" s="14" t="s">
        <v>11087</v>
      </c>
    </row>
    <row r="389" spans="1:5" ht="28.5" customHeight="1">
      <c r="A389" s="23" t="s">
        <v>10973</v>
      </c>
      <c r="B389" s="23" t="s">
        <v>3924</v>
      </c>
      <c r="C389" s="23" t="s">
        <v>3923</v>
      </c>
      <c r="D389" s="23">
        <v>5</v>
      </c>
      <c r="E389" s="23" t="s">
        <v>11088</v>
      </c>
    </row>
    <row r="390" spans="1:5" ht="28.5" customHeight="1">
      <c r="A390" s="14" t="s">
        <v>10973</v>
      </c>
      <c r="B390" s="14" t="s">
        <v>4330</v>
      </c>
      <c r="C390" s="14" t="s">
        <v>4329</v>
      </c>
      <c r="D390" s="14">
        <v>4.5</v>
      </c>
      <c r="E390" s="14" t="s">
        <v>11089</v>
      </c>
    </row>
    <row r="391" spans="1:5" ht="28.5" customHeight="1">
      <c r="A391" s="23" t="s">
        <v>10973</v>
      </c>
      <c r="B391" s="23" t="s">
        <v>4457</v>
      </c>
      <c r="C391" s="23" t="s">
        <v>4456</v>
      </c>
      <c r="D391" s="23">
        <v>5</v>
      </c>
      <c r="E391" s="23" t="s">
        <v>11090</v>
      </c>
    </row>
    <row r="392" spans="1:5" ht="28.5" customHeight="1">
      <c r="A392" s="14" t="s">
        <v>10973</v>
      </c>
      <c r="B392" s="14" t="s">
        <v>4415</v>
      </c>
      <c r="C392" s="14" t="s">
        <v>4414</v>
      </c>
      <c r="D392" s="14">
        <v>3</v>
      </c>
      <c r="E392" s="14" t="s">
        <v>11091</v>
      </c>
    </row>
    <row r="393" spans="1:5" ht="28.5" customHeight="1">
      <c r="A393" s="23" t="s">
        <v>10973</v>
      </c>
      <c r="B393" s="23" t="s">
        <v>4021</v>
      </c>
      <c r="C393" s="23" t="s">
        <v>4020</v>
      </c>
      <c r="D393" s="23">
        <v>3</v>
      </c>
      <c r="E393" s="23" t="s">
        <v>11092</v>
      </c>
    </row>
    <row r="394" spans="1:5" ht="28.5" customHeight="1">
      <c r="A394" s="14" t="s">
        <v>10973</v>
      </c>
      <c r="B394" s="14" t="s">
        <v>4165</v>
      </c>
      <c r="C394" s="14" t="s">
        <v>4164</v>
      </c>
      <c r="D394" s="14">
        <v>3</v>
      </c>
      <c r="E394" s="14" t="s">
        <v>11093</v>
      </c>
    </row>
    <row r="395" spans="1:5" ht="28.5" customHeight="1">
      <c r="A395" s="23" t="s">
        <v>10973</v>
      </c>
      <c r="B395" s="23" t="s">
        <v>4075</v>
      </c>
      <c r="C395" s="23" t="s">
        <v>4074</v>
      </c>
      <c r="D395" s="23">
        <v>4.5</v>
      </c>
      <c r="E395" s="23" t="s">
        <v>11094</v>
      </c>
    </row>
    <row r="396" spans="1:5" ht="28.5" customHeight="1">
      <c r="A396" s="14" t="s">
        <v>10973</v>
      </c>
      <c r="B396" s="14" t="s">
        <v>4231</v>
      </c>
      <c r="C396" s="14" t="s">
        <v>4230</v>
      </c>
      <c r="D396" s="14">
        <v>3</v>
      </c>
      <c r="E396" s="14" t="s">
        <v>11095</v>
      </c>
    </row>
    <row r="397" spans="1:5" ht="28.5" customHeight="1">
      <c r="A397" s="23" t="s">
        <v>10973</v>
      </c>
      <c r="B397" s="23" t="s">
        <v>4123</v>
      </c>
      <c r="C397" s="23" t="s">
        <v>4122</v>
      </c>
      <c r="D397" s="23">
        <v>3</v>
      </c>
      <c r="E397" s="23" t="s">
        <v>11096</v>
      </c>
    </row>
    <row r="398" spans="1:5" ht="28.5" customHeight="1">
      <c r="A398" s="14" t="s">
        <v>10973</v>
      </c>
      <c r="B398" s="14" t="s">
        <v>3972</v>
      </c>
      <c r="C398" s="14" t="s">
        <v>3971</v>
      </c>
      <c r="D398" s="14">
        <v>4</v>
      </c>
      <c r="E398" s="14" t="s">
        <v>11097</v>
      </c>
    </row>
    <row r="399" spans="1:5" ht="28.5" customHeight="1">
      <c r="A399" s="23" t="s">
        <v>10973</v>
      </c>
      <c r="B399" s="23" t="s">
        <v>4273</v>
      </c>
      <c r="C399" s="23" t="s">
        <v>4272</v>
      </c>
      <c r="D399" s="23">
        <v>3</v>
      </c>
      <c r="E399" s="23" t="s">
        <v>11098</v>
      </c>
    </row>
    <row r="400" spans="1:5" ht="28.5" customHeight="1">
      <c r="A400" s="14" t="s">
        <v>10973</v>
      </c>
      <c r="B400" s="14" t="s">
        <v>4065</v>
      </c>
      <c r="C400" s="14" t="s">
        <v>4064</v>
      </c>
      <c r="D400" s="14">
        <v>3</v>
      </c>
      <c r="E400" s="14" t="s">
        <v>11099</v>
      </c>
    </row>
    <row r="401" spans="1:5" ht="28.5" customHeight="1">
      <c r="A401" s="23" t="s">
        <v>10973</v>
      </c>
      <c r="B401" s="23" t="s">
        <v>3957</v>
      </c>
      <c r="C401" s="23" t="s">
        <v>3956</v>
      </c>
      <c r="D401" s="23">
        <v>3</v>
      </c>
      <c r="E401" s="23" t="s">
        <v>11100</v>
      </c>
    </row>
    <row r="402" spans="1:5" ht="28.5" customHeight="1">
      <c r="A402" s="14" t="s">
        <v>10974</v>
      </c>
      <c r="B402" s="14" t="s">
        <v>4374</v>
      </c>
      <c r="C402" s="14" t="s">
        <v>4373</v>
      </c>
      <c r="D402" s="14">
        <v>4</v>
      </c>
      <c r="E402" s="14" t="s">
        <v>11101</v>
      </c>
    </row>
    <row r="403" spans="1:5" ht="28.5" customHeight="1">
      <c r="A403" s="23" t="s">
        <v>10974</v>
      </c>
      <c r="B403" s="23" t="s">
        <v>3924</v>
      </c>
      <c r="C403" s="23" t="s">
        <v>3923</v>
      </c>
      <c r="D403" s="23">
        <v>4</v>
      </c>
      <c r="E403" s="23" t="s">
        <v>11102</v>
      </c>
    </row>
    <row r="404" spans="1:5" ht="28.5" customHeight="1">
      <c r="A404" s="14" t="s">
        <v>10974</v>
      </c>
      <c r="B404" s="14" t="s">
        <v>4330</v>
      </c>
      <c r="C404" s="14" t="s">
        <v>4329</v>
      </c>
      <c r="D404" s="14">
        <v>3</v>
      </c>
      <c r="E404" s="14" t="s">
        <v>11103</v>
      </c>
    </row>
    <row r="405" spans="1:5" ht="28.5" customHeight="1">
      <c r="A405" s="23" t="s">
        <v>10974</v>
      </c>
      <c r="B405" s="23" t="s">
        <v>4457</v>
      </c>
      <c r="C405" s="23" t="s">
        <v>4456</v>
      </c>
      <c r="D405" s="23">
        <v>3</v>
      </c>
      <c r="E405" s="23" t="s">
        <v>11104</v>
      </c>
    </row>
    <row r="406" spans="1:5" ht="28.5" customHeight="1">
      <c r="A406" s="14" t="s">
        <v>10974</v>
      </c>
      <c r="B406" s="14" t="s">
        <v>4415</v>
      </c>
      <c r="C406" s="14" t="s">
        <v>4414</v>
      </c>
      <c r="D406" s="14">
        <v>3</v>
      </c>
      <c r="E406" s="14" t="s">
        <v>11105</v>
      </c>
    </row>
    <row r="407" spans="1:5" ht="28.5" customHeight="1">
      <c r="A407" s="23" t="s">
        <v>10974</v>
      </c>
      <c r="B407" s="23" t="s">
        <v>4021</v>
      </c>
      <c r="C407" s="23" t="s">
        <v>4020</v>
      </c>
      <c r="D407" s="23">
        <v>5</v>
      </c>
      <c r="E407" s="23" t="s">
        <v>11106</v>
      </c>
    </row>
    <row r="408" spans="1:5" ht="28.5" customHeight="1">
      <c r="A408" s="14" t="s">
        <v>10974</v>
      </c>
      <c r="B408" s="14" t="s">
        <v>4165</v>
      </c>
      <c r="C408" s="14" t="s">
        <v>4164</v>
      </c>
      <c r="D408" s="14">
        <v>3</v>
      </c>
      <c r="E408" s="14" t="s">
        <v>11107</v>
      </c>
    </row>
    <row r="409" spans="1:5" ht="28.5" customHeight="1">
      <c r="A409" s="23" t="s">
        <v>10974</v>
      </c>
      <c r="B409" s="23" t="s">
        <v>4075</v>
      </c>
      <c r="C409" s="23" t="s">
        <v>4074</v>
      </c>
      <c r="D409" s="23">
        <v>3</v>
      </c>
      <c r="E409" s="23" t="s">
        <v>11108</v>
      </c>
    </row>
    <row r="410" spans="1:5" ht="28.5" customHeight="1">
      <c r="A410" s="14" t="s">
        <v>10974</v>
      </c>
      <c r="B410" s="14" t="s">
        <v>4231</v>
      </c>
      <c r="C410" s="14" t="s">
        <v>4230</v>
      </c>
      <c r="D410" s="14">
        <v>4</v>
      </c>
      <c r="E410" s="14" t="s">
        <v>11109</v>
      </c>
    </row>
    <row r="411" spans="1:5" ht="28.5" customHeight="1">
      <c r="A411" s="23" t="s">
        <v>10974</v>
      </c>
      <c r="B411" s="23" t="s">
        <v>4123</v>
      </c>
      <c r="C411" s="23" t="s">
        <v>4122</v>
      </c>
      <c r="D411" s="23">
        <v>4.5</v>
      </c>
      <c r="E411" s="23" t="s">
        <v>11110</v>
      </c>
    </row>
    <row r="412" spans="1:5" ht="28.5" customHeight="1">
      <c r="A412" s="14" t="s">
        <v>10974</v>
      </c>
      <c r="B412" s="14" t="s">
        <v>3972</v>
      </c>
      <c r="C412" s="14" t="s">
        <v>3971</v>
      </c>
      <c r="D412" s="14">
        <v>3</v>
      </c>
      <c r="E412" s="14" t="s">
        <v>11111</v>
      </c>
    </row>
    <row r="413" spans="1:5" ht="28.5" customHeight="1">
      <c r="A413" s="23" t="s">
        <v>10974</v>
      </c>
      <c r="B413" s="23" t="s">
        <v>4273</v>
      </c>
      <c r="C413" s="23" t="s">
        <v>4272</v>
      </c>
      <c r="D413" s="23">
        <v>3</v>
      </c>
      <c r="E413" s="23" t="s">
        <v>11112</v>
      </c>
    </row>
    <row r="414" spans="1:5" ht="28.5" customHeight="1">
      <c r="A414" s="14" t="s">
        <v>10974</v>
      </c>
      <c r="B414" s="14" t="s">
        <v>4065</v>
      </c>
      <c r="C414" s="14" t="s">
        <v>4064</v>
      </c>
      <c r="D414" s="14">
        <v>3</v>
      </c>
      <c r="E414" s="14" t="s">
        <v>11113</v>
      </c>
    </row>
    <row r="415" spans="1:5" ht="28.5" customHeight="1">
      <c r="A415" s="23" t="s">
        <v>10974</v>
      </c>
      <c r="B415" s="23" t="s">
        <v>3957</v>
      </c>
      <c r="C415" s="23" t="s">
        <v>3956</v>
      </c>
      <c r="D415" s="23">
        <v>3</v>
      </c>
      <c r="E415" s="23" t="s">
        <v>11114</v>
      </c>
    </row>
    <row r="416" spans="1:5" ht="28.5" customHeight="1">
      <c r="A416" s="14" t="s">
        <v>10975</v>
      </c>
      <c r="B416" s="14" t="s">
        <v>4374</v>
      </c>
      <c r="C416" s="14" t="s">
        <v>4373</v>
      </c>
      <c r="D416" s="14">
        <v>3</v>
      </c>
      <c r="E416" s="14" t="s">
        <v>11115</v>
      </c>
    </row>
    <row r="417" spans="1:5" ht="28.5" customHeight="1">
      <c r="A417" s="23" t="s">
        <v>10975</v>
      </c>
      <c r="B417" s="23" t="s">
        <v>3924</v>
      </c>
      <c r="C417" s="23" t="s">
        <v>3923</v>
      </c>
      <c r="D417" s="23">
        <v>5</v>
      </c>
      <c r="E417" s="23" t="s">
        <v>11116</v>
      </c>
    </row>
    <row r="418" spans="1:5" ht="28.5" customHeight="1">
      <c r="A418" s="14" t="s">
        <v>10975</v>
      </c>
      <c r="B418" s="14" t="s">
        <v>4330</v>
      </c>
      <c r="C418" s="14" t="s">
        <v>4329</v>
      </c>
      <c r="D418" s="14">
        <v>4</v>
      </c>
      <c r="E418" s="14" t="s">
        <v>11117</v>
      </c>
    </row>
    <row r="419" spans="1:5" ht="28.5" customHeight="1">
      <c r="A419" s="23" t="s">
        <v>10975</v>
      </c>
      <c r="B419" s="23" t="s">
        <v>4457</v>
      </c>
      <c r="C419" s="23" t="s">
        <v>4456</v>
      </c>
      <c r="D419" s="23">
        <v>4.5</v>
      </c>
      <c r="E419" s="23" t="s">
        <v>11118</v>
      </c>
    </row>
    <row r="420" spans="1:5" ht="28.5" customHeight="1">
      <c r="A420" s="14" t="s">
        <v>10975</v>
      </c>
      <c r="B420" s="14" t="s">
        <v>4415</v>
      </c>
      <c r="C420" s="14" t="s">
        <v>4414</v>
      </c>
      <c r="D420" s="14">
        <v>4</v>
      </c>
      <c r="E420" s="14" t="s">
        <v>11119</v>
      </c>
    </row>
    <row r="421" spans="1:5" ht="28.5" customHeight="1">
      <c r="A421" s="23" t="s">
        <v>10975</v>
      </c>
      <c r="B421" s="23" t="s">
        <v>4021</v>
      </c>
      <c r="C421" s="23" t="s">
        <v>4020</v>
      </c>
      <c r="D421" s="23">
        <v>3</v>
      </c>
      <c r="E421" s="23" t="s">
        <v>11120</v>
      </c>
    </row>
    <row r="422" spans="1:5" ht="28.5" customHeight="1">
      <c r="A422" s="14" t="s">
        <v>10975</v>
      </c>
      <c r="B422" s="14" t="s">
        <v>4165</v>
      </c>
      <c r="C422" s="14" t="s">
        <v>4164</v>
      </c>
      <c r="D422" s="14">
        <v>3</v>
      </c>
      <c r="E422" s="14" t="s">
        <v>11121</v>
      </c>
    </row>
    <row r="423" spans="1:5" ht="28.5" customHeight="1">
      <c r="A423" s="23" t="s">
        <v>10975</v>
      </c>
      <c r="B423" s="23" t="s">
        <v>4075</v>
      </c>
      <c r="C423" s="23" t="s">
        <v>4074</v>
      </c>
      <c r="D423" s="23">
        <v>3</v>
      </c>
      <c r="E423" s="23" t="s">
        <v>11122</v>
      </c>
    </row>
    <row r="424" spans="1:5" ht="28.5" customHeight="1">
      <c r="A424" s="14" t="s">
        <v>10975</v>
      </c>
      <c r="B424" s="14" t="s">
        <v>4231</v>
      </c>
      <c r="C424" s="14" t="s">
        <v>4230</v>
      </c>
      <c r="D424" s="14">
        <v>3</v>
      </c>
      <c r="E424" s="14" t="s">
        <v>11123</v>
      </c>
    </row>
    <row r="425" spans="1:5" ht="28.5" customHeight="1">
      <c r="A425" s="23" t="s">
        <v>10975</v>
      </c>
      <c r="B425" s="23" t="s">
        <v>4123</v>
      </c>
      <c r="C425" s="23" t="s">
        <v>4122</v>
      </c>
      <c r="D425" s="23">
        <v>3</v>
      </c>
      <c r="E425" s="23" t="s">
        <v>11124</v>
      </c>
    </row>
    <row r="426" spans="1:5" ht="28.5" customHeight="1">
      <c r="A426" s="14" t="s">
        <v>10975</v>
      </c>
      <c r="B426" s="14" t="s">
        <v>3972</v>
      </c>
      <c r="C426" s="14" t="s">
        <v>3971</v>
      </c>
      <c r="D426" s="14">
        <v>5</v>
      </c>
      <c r="E426" s="14" t="s">
        <v>11125</v>
      </c>
    </row>
    <row r="427" spans="1:5" ht="28.5" customHeight="1">
      <c r="A427" s="23" t="s">
        <v>10975</v>
      </c>
      <c r="B427" s="23" t="s">
        <v>4273</v>
      </c>
      <c r="C427" s="23" t="s">
        <v>4272</v>
      </c>
      <c r="D427" s="23">
        <v>3</v>
      </c>
      <c r="E427" s="23" t="s">
        <v>11126</v>
      </c>
    </row>
    <row r="428" spans="1:5" ht="28.5" customHeight="1">
      <c r="A428" s="14" t="s">
        <v>10975</v>
      </c>
      <c r="B428" s="14" t="s">
        <v>4065</v>
      </c>
      <c r="C428" s="14" t="s">
        <v>4064</v>
      </c>
      <c r="D428" s="14">
        <v>3</v>
      </c>
      <c r="E428" s="14" t="s">
        <v>11127</v>
      </c>
    </row>
    <row r="429" spans="1:5" ht="28.5" customHeight="1">
      <c r="A429" s="23" t="s">
        <v>10975</v>
      </c>
      <c r="B429" s="23" t="s">
        <v>3957</v>
      </c>
      <c r="C429" s="23" t="s">
        <v>3956</v>
      </c>
      <c r="D429" s="23">
        <v>3</v>
      </c>
      <c r="E429" s="23" t="s">
        <v>11128</v>
      </c>
    </row>
    <row r="500" spans="1:25" ht="25.95" customHeight="1">
      <c r="A500" s="85" t="s">
        <v>11129</v>
      </c>
      <c r="B500" s="85"/>
      <c r="C500" s="85"/>
      <c r="D500" s="85"/>
      <c r="E500" s="85"/>
      <c r="F500" s="85"/>
      <c r="G500" s="85"/>
      <c r="H500" s="85"/>
      <c r="I500" s="85"/>
      <c r="J500" s="85"/>
      <c r="K500" s="85"/>
      <c r="L500" s="85"/>
    </row>
    <row r="501" spans="1:25" ht="34.1" customHeight="1">
      <c r="A501" s="78" t="s">
        <v>11130</v>
      </c>
      <c r="B501" s="77"/>
      <c r="C501" s="77"/>
      <c r="D501" s="77"/>
      <c r="E501" s="77"/>
      <c r="F501" s="77"/>
      <c r="G501" s="77"/>
      <c r="H501" s="77"/>
      <c r="I501" s="77"/>
      <c r="J501" s="77"/>
      <c r="K501" s="77"/>
      <c r="L501" s="77"/>
    </row>
    <row r="503" spans="1:25" ht="30" customHeight="1">
      <c r="A503" s="15" t="s">
        <v>11131</v>
      </c>
      <c r="B503" s="15" t="s">
        <v>11132</v>
      </c>
      <c r="C503" s="15" t="s">
        <v>11133</v>
      </c>
      <c r="D503" s="15" t="s">
        <v>10829</v>
      </c>
      <c r="E503" s="15" t="s">
        <v>11134</v>
      </c>
      <c r="F503" s="15" t="s">
        <v>11135</v>
      </c>
      <c r="G503" s="15" t="s">
        <v>11136</v>
      </c>
      <c r="H503" s="15" t="s">
        <v>11137</v>
      </c>
      <c r="I503" s="15" t="s">
        <v>11138</v>
      </c>
      <c r="J503" s="15" t="s">
        <v>11139</v>
      </c>
      <c r="K503" s="15" t="s">
        <v>11140</v>
      </c>
      <c r="L503" s="15" t="s">
        <v>11141</v>
      </c>
      <c r="M503" s="15" t="s">
        <v>11142</v>
      </c>
      <c r="N503" s="15" t="s">
        <v>11143</v>
      </c>
      <c r="O503" s="15" t="s">
        <v>11144</v>
      </c>
      <c r="P503" s="15" t="s">
        <v>3855</v>
      </c>
      <c r="Q503" s="15" t="s">
        <v>3529</v>
      </c>
      <c r="R503" s="15" t="s">
        <v>11145</v>
      </c>
      <c r="S503" s="15" t="s">
        <v>11146</v>
      </c>
      <c r="T503" s="15" t="s">
        <v>11147</v>
      </c>
      <c r="U503" s="15" t="s">
        <v>11148</v>
      </c>
      <c r="V503" s="15" t="s">
        <v>11149</v>
      </c>
      <c r="W503" s="15" t="s">
        <v>11150</v>
      </c>
      <c r="X503" s="15" t="s">
        <v>11151</v>
      </c>
      <c r="Y503" s="15" t="s">
        <v>11152</v>
      </c>
    </row>
    <row r="504" spans="1:25" ht="25.5" customHeight="1">
      <c r="A504" s="20" t="s">
        <v>11153</v>
      </c>
      <c r="B504" s="20" t="s">
        <v>4373</v>
      </c>
      <c r="C504" s="20" t="s">
        <v>11154</v>
      </c>
      <c r="D504" s="20" t="s">
        <v>11155</v>
      </c>
      <c r="E504" s="20" t="s">
        <v>11156</v>
      </c>
      <c r="F504" s="20" t="s">
        <v>11157</v>
      </c>
      <c r="G504" s="20" t="s">
        <v>11158</v>
      </c>
      <c r="H504" s="20" t="s">
        <v>11159</v>
      </c>
      <c r="I504" s="20" t="s">
        <v>11159</v>
      </c>
      <c r="J504" s="20" t="s">
        <v>11159</v>
      </c>
      <c r="K504" s="20" t="s">
        <v>10842</v>
      </c>
      <c r="L504" s="20" t="s">
        <v>10843</v>
      </c>
      <c r="M504" s="20">
        <v>4</v>
      </c>
      <c r="N504" s="20">
        <v>4</v>
      </c>
      <c r="O504" s="20">
        <v>3</v>
      </c>
      <c r="P504" s="20">
        <v>4</v>
      </c>
      <c r="Q504" s="20">
        <v>3</v>
      </c>
      <c r="R504" s="20">
        <f t="shared" ref="R504:R517" si="0">IF(OR(J504="All",ISNUMBER(SEARCH(PV_Canonical_Industry,J504))),1.3,1)</f>
        <v>1.3</v>
      </c>
      <c r="S504" s="20">
        <f>IF(OR(H504="All",ISNUMBER(SEARCH('Resilience &amp; Risk Scenario'!$B$6,H504))),1.4,1)</f>
        <v>1.4</v>
      </c>
      <c r="T504" s="20">
        <f>IF(OR(I504="All",ISNUMBER(SEARCH('Company Profile'!$B$50,I504))),1.2,1)</f>
        <v>1.2</v>
      </c>
      <c r="U504" s="20">
        <f>COUNTIF(_ENGINE_Initiatives!$D$5:$D$76,B504)</f>
        <v>3</v>
      </c>
      <c r="V504" s="20">
        <f>COUNTIF(_ENGINE_Risk!$B$500:$B$923,"Yes")</f>
        <v>424</v>
      </c>
      <c r="W504" s="20">
        <f t="shared" ref="W504:W517" si="1">ROUND((M504+N504+O504+P504)*R504*S504*T504+(U504/10)+(V504/100),2)+ROW()/100000</f>
        <v>37.305039999999998</v>
      </c>
      <c r="X504" s="20">
        <f t="shared" ref="X504:X517" si="2">IF(Q504=0,"",ROUND(W504/Q504,2))</f>
        <v>12.44</v>
      </c>
      <c r="Y504" s="20" t="str">
        <f t="shared" ref="Y504:Y517" si="3">IF(X504&gt;=5,"Critical",IF(X504&gt;=4,"High",IF(X504&gt;=3,"Medium","Monitor")))</f>
        <v>Critical</v>
      </c>
    </row>
    <row r="505" spans="1:25" ht="38.25" customHeight="1">
      <c r="A505" s="20" t="s">
        <v>11160</v>
      </c>
      <c r="B505" s="20" t="s">
        <v>3923</v>
      </c>
      <c r="C505" s="20" t="s">
        <v>11161</v>
      </c>
      <c r="D505" s="20" t="s">
        <v>11162</v>
      </c>
      <c r="E505" s="20" t="s">
        <v>11163</v>
      </c>
      <c r="F505" s="20" t="s">
        <v>11164</v>
      </c>
      <c r="G505" s="20" t="s">
        <v>11165</v>
      </c>
      <c r="H505" s="20" t="s">
        <v>11166</v>
      </c>
      <c r="I505" s="20" t="s">
        <v>11159</v>
      </c>
      <c r="J505" s="20" t="s">
        <v>11159</v>
      </c>
      <c r="K505" s="20" t="s">
        <v>3929</v>
      </c>
      <c r="L505" s="20" t="s">
        <v>10843</v>
      </c>
      <c r="M505" s="20">
        <v>5</v>
      </c>
      <c r="N505" s="20">
        <v>5</v>
      </c>
      <c r="O505" s="20">
        <v>5</v>
      </c>
      <c r="P505" s="20">
        <v>3</v>
      </c>
      <c r="Q505" s="20">
        <v>4</v>
      </c>
      <c r="R505" s="20">
        <f t="shared" si="0"/>
        <v>1.3</v>
      </c>
      <c r="S505" s="20">
        <f>IF(OR(H505="All",ISNUMBER(SEARCH('Resilience &amp; Risk Scenario'!$B$6,H505))),1.4,1)</f>
        <v>1.4</v>
      </c>
      <c r="T505" s="20">
        <f>IF(OR(I505="All",ISNUMBER(SEARCH('Company Profile'!$B$50,I505))),1.2,1)</f>
        <v>1.2</v>
      </c>
      <c r="U505" s="20">
        <f>COUNTIF(_ENGINE_Initiatives!$D$5:$D$76,B505)</f>
        <v>6</v>
      </c>
      <c r="V505" s="20">
        <f>COUNTIF(_ENGINE_Risk!$B$500:$B$923,"Yes")</f>
        <v>424</v>
      </c>
      <c r="W505" s="20">
        <f t="shared" si="1"/>
        <v>44.155049999999996</v>
      </c>
      <c r="X505" s="20">
        <f t="shared" si="2"/>
        <v>11.04</v>
      </c>
      <c r="Y505" s="20" t="str">
        <f t="shared" si="3"/>
        <v>Critical</v>
      </c>
    </row>
    <row r="506" spans="1:25" ht="38.25" customHeight="1">
      <c r="A506" s="20" t="s">
        <v>11167</v>
      </c>
      <c r="B506" s="20" t="s">
        <v>4329</v>
      </c>
      <c r="C506" s="20" t="s">
        <v>11168</v>
      </c>
      <c r="D506" s="20" t="s">
        <v>11169</v>
      </c>
      <c r="E506" s="20" t="s">
        <v>11170</v>
      </c>
      <c r="F506" s="20" t="s">
        <v>11171</v>
      </c>
      <c r="G506" s="20" t="s">
        <v>11172</v>
      </c>
      <c r="H506" s="20" t="s">
        <v>11173</v>
      </c>
      <c r="I506" s="20" t="s">
        <v>11174</v>
      </c>
      <c r="J506" s="20" t="s">
        <v>11175</v>
      </c>
      <c r="K506" s="20" t="s">
        <v>10856</v>
      </c>
      <c r="L506" s="20" t="s">
        <v>10857</v>
      </c>
      <c r="M506" s="20">
        <v>5</v>
      </c>
      <c r="N506" s="20">
        <v>5</v>
      </c>
      <c r="O506" s="20">
        <v>5</v>
      </c>
      <c r="P506" s="20">
        <v>4</v>
      </c>
      <c r="Q506" s="20">
        <v>4</v>
      </c>
      <c r="R506" s="20">
        <f t="shared" si="0"/>
        <v>1</v>
      </c>
      <c r="S506" s="20">
        <f>IF(OR(H506="All",ISNUMBER(SEARCH('Resilience &amp; Risk Scenario'!$B$6,H506))),1.4,1)</f>
        <v>1.4</v>
      </c>
      <c r="T506" s="20">
        <f>IF(OR(I506="All",ISNUMBER(SEARCH('Company Profile'!$B$50,I506))),1.2,1)</f>
        <v>1.2</v>
      </c>
      <c r="U506" s="20">
        <f>COUNTIF(_ENGINE_Initiatives!$D$5:$D$76,B506)</f>
        <v>5</v>
      </c>
      <c r="V506" s="20">
        <f>COUNTIF(_ENGINE_Risk!$B$500:$B$923,"Yes")</f>
        <v>424</v>
      </c>
      <c r="W506" s="20">
        <f t="shared" si="1"/>
        <v>36.665059999999997</v>
      </c>
      <c r="X506" s="20">
        <f t="shared" si="2"/>
        <v>9.17</v>
      </c>
      <c r="Y506" s="20" t="str">
        <f t="shared" si="3"/>
        <v>Critical</v>
      </c>
    </row>
    <row r="507" spans="1:25" ht="25.5" customHeight="1">
      <c r="A507" s="20" t="s">
        <v>11176</v>
      </c>
      <c r="B507" s="20" t="s">
        <v>4456</v>
      </c>
      <c r="C507" s="20" t="s">
        <v>11177</v>
      </c>
      <c r="D507" s="20" t="s">
        <v>11178</v>
      </c>
      <c r="E507" s="20" t="s">
        <v>11179</v>
      </c>
      <c r="F507" s="20" t="s">
        <v>11180</v>
      </c>
      <c r="G507" s="20" t="s">
        <v>11181</v>
      </c>
      <c r="H507" s="20" t="s">
        <v>11182</v>
      </c>
      <c r="I507" s="20" t="s">
        <v>11159</v>
      </c>
      <c r="J507" s="20" t="s">
        <v>11159</v>
      </c>
      <c r="K507" s="20" t="s">
        <v>10864</v>
      </c>
      <c r="L507" s="20" t="s">
        <v>10857</v>
      </c>
      <c r="M507" s="20">
        <v>5</v>
      </c>
      <c r="N507" s="20">
        <v>5</v>
      </c>
      <c r="O507" s="20">
        <v>5</v>
      </c>
      <c r="P507" s="20">
        <v>4</v>
      </c>
      <c r="Q507" s="20">
        <v>4</v>
      </c>
      <c r="R507" s="20">
        <f t="shared" si="0"/>
        <v>1.3</v>
      </c>
      <c r="S507" s="20">
        <f>IF(OR(H507="All",ISNUMBER(SEARCH('Resilience &amp; Risk Scenario'!$B$6,H507))),1.4,1)</f>
        <v>1.4</v>
      </c>
      <c r="T507" s="20">
        <f>IF(OR(I507="All",ISNUMBER(SEARCH('Company Profile'!$B$50,I507))),1.2,1)</f>
        <v>1.2</v>
      </c>
      <c r="U507" s="20">
        <f>COUNTIF(_ENGINE_Initiatives!$D$5:$D$76,B507)</f>
        <v>6</v>
      </c>
      <c r="V507" s="20">
        <f>COUNTIF(_ENGINE_Risk!$B$500:$B$923,"Yes")</f>
        <v>424</v>
      </c>
      <c r="W507" s="20">
        <f t="shared" si="1"/>
        <v>46.345070000000007</v>
      </c>
      <c r="X507" s="20">
        <f t="shared" si="2"/>
        <v>11.59</v>
      </c>
      <c r="Y507" s="20" t="str">
        <f t="shared" si="3"/>
        <v>Critical</v>
      </c>
    </row>
    <row r="508" spans="1:25" ht="25.5" customHeight="1">
      <c r="A508" s="20" t="s">
        <v>11183</v>
      </c>
      <c r="B508" s="20" t="s">
        <v>4414</v>
      </c>
      <c r="C508" s="20" t="s">
        <v>10867</v>
      </c>
      <c r="D508" s="20" t="s">
        <v>11184</v>
      </c>
      <c r="E508" s="20" t="s">
        <v>11185</v>
      </c>
      <c r="F508" s="20" t="s">
        <v>11186</v>
      </c>
      <c r="G508" s="20" t="s">
        <v>11187</v>
      </c>
      <c r="H508" s="20" t="s">
        <v>11188</v>
      </c>
      <c r="I508" s="20" t="s">
        <v>11189</v>
      </c>
      <c r="J508" s="20" t="s">
        <v>11190</v>
      </c>
      <c r="K508" s="20" t="s">
        <v>10871</v>
      </c>
      <c r="L508" s="20" t="s">
        <v>10872</v>
      </c>
      <c r="M508" s="20">
        <v>4</v>
      </c>
      <c r="N508" s="20">
        <v>3</v>
      </c>
      <c r="O508" s="20">
        <v>3</v>
      </c>
      <c r="P508" s="20">
        <v>5</v>
      </c>
      <c r="Q508" s="20">
        <v>4</v>
      </c>
      <c r="R508" s="20">
        <f t="shared" si="0"/>
        <v>1</v>
      </c>
      <c r="S508" s="20">
        <f>IF(OR(H508="All",ISNUMBER(SEARCH('Resilience &amp; Risk Scenario'!$B$6,H508))),1.4,1)</f>
        <v>1.4</v>
      </c>
      <c r="T508" s="20">
        <f>IF(OR(I508="All",ISNUMBER(SEARCH('Company Profile'!$B$50,I508))),1.2,1)</f>
        <v>1.2</v>
      </c>
      <c r="U508" s="20">
        <f>COUNTIF(_ENGINE_Initiatives!$D$5:$D$76,B508)</f>
        <v>5</v>
      </c>
      <c r="V508" s="20">
        <f>COUNTIF(_ENGINE_Risk!$B$500:$B$923,"Yes")</f>
        <v>424</v>
      </c>
      <c r="W508" s="20">
        <f t="shared" si="1"/>
        <v>29.945080000000001</v>
      </c>
      <c r="X508" s="20">
        <f t="shared" si="2"/>
        <v>7.49</v>
      </c>
      <c r="Y508" s="20" t="str">
        <f t="shared" si="3"/>
        <v>Critical</v>
      </c>
    </row>
    <row r="509" spans="1:25" ht="25.5" customHeight="1">
      <c r="A509" s="20" t="s">
        <v>11191</v>
      </c>
      <c r="B509" s="20" t="s">
        <v>4020</v>
      </c>
      <c r="C509" s="20" t="s">
        <v>11192</v>
      </c>
      <c r="D509" s="20" t="s">
        <v>11193</v>
      </c>
      <c r="E509" s="20" t="s">
        <v>11194</v>
      </c>
      <c r="F509" s="20" t="s">
        <v>11195</v>
      </c>
      <c r="G509" s="20" t="s">
        <v>11196</v>
      </c>
      <c r="H509" s="20" t="s">
        <v>11197</v>
      </c>
      <c r="I509" s="20" t="s">
        <v>11159</v>
      </c>
      <c r="J509" s="20" t="s">
        <v>11159</v>
      </c>
      <c r="K509" s="20" t="s">
        <v>10879</v>
      </c>
      <c r="L509" s="20" t="s">
        <v>10843</v>
      </c>
      <c r="M509" s="20">
        <v>4</v>
      </c>
      <c r="N509" s="20">
        <v>5</v>
      </c>
      <c r="O509" s="20">
        <v>5</v>
      </c>
      <c r="P509" s="20">
        <v>3</v>
      </c>
      <c r="Q509" s="20">
        <v>3</v>
      </c>
      <c r="R509" s="20">
        <f t="shared" si="0"/>
        <v>1.3</v>
      </c>
      <c r="S509" s="20">
        <f>IF(OR(H509="All",ISNUMBER(SEARCH('Resilience &amp; Risk Scenario'!$B$6,H509))),1.4,1)</f>
        <v>1.4</v>
      </c>
      <c r="T509" s="20">
        <f>IF(OR(I509="All",ISNUMBER(SEARCH('Company Profile'!$B$50,I509))),1.2,1)</f>
        <v>1.2</v>
      </c>
      <c r="U509" s="20">
        <f>COUNTIF(_ENGINE_Initiatives!$D$5:$D$76,B509)</f>
        <v>4</v>
      </c>
      <c r="V509" s="20">
        <f>COUNTIF(_ENGINE_Risk!$B$500:$B$923,"Yes")</f>
        <v>424</v>
      </c>
      <c r="W509" s="20">
        <f t="shared" si="1"/>
        <v>41.775090000000006</v>
      </c>
      <c r="X509" s="20">
        <f t="shared" si="2"/>
        <v>13.93</v>
      </c>
      <c r="Y509" s="20" t="str">
        <f t="shared" si="3"/>
        <v>Critical</v>
      </c>
    </row>
    <row r="510" spans="1:25" ht="25.5" customHeight="1">
      <c r="A510" s="20" t="s">
        <v>11198</v>
      </c>
      <c r="B510" s="20" t="s">
        <v>11199</v>
      </c>
      <c r="C510" s="20" t="s">
        <v>11200</v>
      </c>
      <c r="D510" s="20" t="s">
        <v>10882</v>
      </c>
      <c r="E510" s="20" t="s">
        <v>11201</v>
      </c>
      <c r="F510" s="20" t="s">
        <v>11202</v>
      </c>
      <c r="G510" s="20" t="s">
        <v>11203</v>
      </c>
      <c r="H510" s="20" t="s">
        <v>11204</v>
      </c>
      <c r="I510" s="20" t="s">
        <v>11205</v>
      </c>
      <c r="J510" s="20" t="s">
        <v>11206</v>
      </c>
      <c r="K510" s="20" t="s">
        <v>4510</v>
      </c>
      <c r="L510" s="20" t="s">
        <v>10872</v>
      </c>
      <c r="M510" s="20">
        <v>4</v>
      </c>
      <c r="N510" s="20">
        <v>3</v>
      </c>
      <c r="O510" s="20">
        <v>3</v>
      </c>
      <c r="P510" s="20">
        <v>4</v>
      </c>
      <c r="Q510" s="20">
        <v>3</v>
      </c>
      <c r="R510" s="20">
        <f t="shared" si="0"/>
        <v>1</v>
      </c>
      <c r="S510" s="20">
        <f>IF(OR(H510="All",ISNUMBER(SEARCH('Resilience &amp; Risk Scenario'!$B$6,H510))),1.4,1)</f>
        <v>1.4</v>
      </c>
      <c r="T510" s="20">
        <f>IF(OR(I510="All",ISNUMBER(SEARCH('Company Profile'!$B$50,I510))),1.2,1)</f>
        <v>1.2</v>
      </c>
      <c r="U510" s="20">
        <f>COUNTIF(_ENGINE_Initiatives!$D$5:$D$76,B510)</f>
        <v>0</v>
      </c>
      <c r="V510" s="20">
        <f>COUNTIF(_ENGINE_Risk!$B$500:$B$923,"Yes")</f>
        <v>424</v>
      </c>
      <c r="W510" s="20">
        <f t="shared" si="1"/>
        <v>27.7651</v>
      </c>
      <c r="X510" s="20">
        <f t="shared" si="2"/>
        <v>9.26</v>
      </c>
      <c r="Y510" s="20" t="str">
        <f t="shared" si="3"/>
        <v>Critical</v>
      </c>
    </row>
    <row r="511" spans="1:25" ht="25.5" customHeight="1">
      <c r="A511" s="20" t="s">
        <v>11207</v>
      </c>
      <c r="B511" s="20" t="s">
        <v>4074</v>
      </c>
      <c r="C511" s="20" t="s">
        <v>11208</v>
      </c>
      <c r="D511" s="20" t="s">
        <v>11209</v>
      </c>
      <c r="E511" s="20" t="s">
        <v>11210</v>
      </c>
      <c r="F511" s="20" t="s">
        <v>11211</v>
      </c>
      <c r="G511" s="20" t="s">
        <v>11212</v>
      </c>
      <c r="H511" s="20" t="s">
        <v>11213</v>
      </c>
      <c r="I511" s="20" t="s">
        <v>11214</v>
      </c>
      <c r="J511" s="20" t="s">
        <v>11215</v>
      </c>
      <c r="K511" s="20" t="s">
        <v>10891</v>
      </c>
      <c r="L511" s="20" t="s">
        <v>10857</v>
      </c>
      <c r="M511" s="20">
        <v>5</v>
      </c>
      <c r="N511" s="20">
        <v>5</v>
      </c>
      <c r="O511" s="20">
        <v>5</v>
      </c>
      <c r="P511" s="20">
        <v>3</v>
      </c>
      <c r="Q511" s="20">
        <v>4</v>
      </c>
      <c r="R511" s="20">
        <f t="shared" si="0"/>
        <v>1</v>
      </c>
      <c r="S511" s="20">
        <f>IF(OR(H511="All",ISNUMBER(SEARCH('Resilience &amp; Risk Scenario'!$B$6,H511))),1.4,1)</f>
        <v>1.4</v>
      </c>
      <c r="T511" s="20">
        <f>IF(OR(I511="All",ISNUMBER(SEARCH('Company Profile'!$B$50,I511))),1.2,1)</f>
        <v>1.2</v>
      </c>
      <c r="U511" s="20">
        <f>COUNTIF(_ENGINE_Initiatives!$D$5:$D$76,B511)</f>
        <v>5</v>
      </c>
      <c r="V511" s="20">
        <f>COUNTIF(_ENGINE_Risk!$B$500:$B$923,"Yes")</f>
        <v>424</v>
      </c>
      <c r="W511" s="20">
        <f t="shared" si="1"/>
        <v>34.985109999999999</v>
      </c>
      <c r="X511" s="20">
        <f t="shared" si="2"/>
        <v>8.75</v>
      </c>
      <c r="Y511" s="20" t="str">
        <f t="shared" si="3"/>
        <v>Critical</v>
      </c>
    </row>
    <row r="512" spans="1:25" ht="25.5" customHeight="1">
      <c r="A512" s="20" t="s">
        <v>11216</v>
      </c>
      <c r="B512" s="20" t="s">
        <v>4230</v>
      </c>
      <c r="C512" s="20" t="s">
        <v>11217</v>
      </c>
      <c r="D512" s="20" t="s">
        <v>11218</v>
      </c>
      <c r="E512" s="20" t="s">
        <v>11219</v>
      </c>
      <c r="F512" s="20" t="s">
        <v>11220</v>
      </c>
      <c r="G512" s="20" t="s">
        <v>11221</v>
      </c>
      <c r="H512" s="20" t="s">
        <v>11222</v>
      </c>
      <c r="I512" s="20" t="s">
        <v>11223</v>
      </c>
      <c r="J512" s="20" t="s">
        <v>11224</v>
      </c>
      <c r="K512" s="20" t="s">
        <v>10898</v>
      </c>
      <c r="L512" s="20" t="s">
        <v>10872</v>
      </c>
      <c r="M512" s="20">
        <v>4</v>
      </c>
      <c r="N512" s="20">
        <v>5</v>
      </c>
      <c r="O512" s="20">
        <v>5</v>
      </c>
      <c r="P512" s="20">
        <v>3</v>
      </c>
      <c r="Q512" s="20">
        <v>4</v>
      </c>
      <c r="R512" s="20">
        <f t="shared" si="0"/>
        <v>1</v>
      </c>
      <c r="S512" s="20">
        <f>IF(OR(H512="All",ISNUMBER(SEARCH('Resilience &amp; Risk Scenario'!$B$6,H512))),1.4,1)</f>
        <v>1.4</v>
      </c>
      <c r="T512" s="20">
        <f>IF(OR(I512="All",ISNUMBER(SEARCH('Company Profile'!$B$50,I512))),1.2,1)</f>
        <v>1.2</v>
      </c>
      <c r="U512" s="20">
        <f>COUNTIF(_ENGINE_Initiatives!$D$5:$D$76,B512)</f>
        <v>6</v>
      </c>
      <c r="V512" s="20">
        <f>COUNTIF(_ENGINE_Risk!$B$500:$B$923,"Yes")</f>
        <v>424</v>
      </c>
      <c r="W512" s="20">
        <f t="shared" si="1"/>
        <v>33.405119999999997</v>
      </c>
      <c r="X512" s="20">
        <f t="shared" si="2"/>
        <v>8.35</v>
      </c>
      <c r="Y512" s="20" t="str">
        <f t="shared" si="3"/>
        <v>Critical</v>
      </c>
    </row>
    <row r="513" spans="1:25" ht="38.25" customHeight="1">
      <c r="A513" s="20" t="s">
        <v>11225</v>
      </c>
      <c r="B513" s="20" t="s">
        <v>4122</v>
      </c>
      <c r="C513" s="20" t="s">
        <v>11226</v>
      </c>
      <c r="D513" s="20" t="s">
        <v>10902</v>
      </c>
      <c r="E513" s="20" t="s">
        <v>11227</v>
      </c>
      <c r="F513" s="20" t="s">
        <v>11228</v>
      </c>
      <c r="G513" s="20" t="s">
        <v>11229</v>
      </c>
      <c r="H513" s="20" t="s">
        <v>11230</v>
      </c>
      <c r="I513" s="20" t="s">
        <v>11159</v>
      </c>
      <c r="J513" s="20" t="s">
        <v>11231</v>
      </c>
      <c r="K513" s="20" t="s">
        <v>4128</v>
      </c>
      <c r="L513" s="20" t="s">
        <v>10843</v>
      </c>
      <c r="M513" s="20">
        <v>5</v>
      </c>
      <c r="N513" s="20">
        <v>5</v>
      </c>
      <c r="O513" s="20">
        <v>5</v>
      </c>
      <c r="P513" s="20">
        <v>2</v>
      </c>
      <c r="Q513" s="20">
        <v>3</v>
      </c>
      <c r="R513" s="20">
        <f t="shared" si="0"/>
        <v>1</v>
      </c>
      <c r="S513" s="20">
        <f>IF(OR(H513="All",ISNUMBER(SEARCH('Resilience &amp; Risk Scenario'!$B$6,H513))),1.4,1)</f>
        <v>1.4</v>
      </c>
      <c r="T513" s="20">
        <f>IF(OR(I513="All",ISNUMBER(SEARCH('Company Profile'!$B$50,I513))),1.2,1)</f>
        <v>1.2</v>
      </c>
      <c r="U513" s="20">
        <f>COUNTIF(_ENGINE_Initiatives!$D$5:$D$76,B513)</f>
        <v>5</v>
      </c>
      <c r="V513" s="20">
        <f>COUNTIF(_ENGINE_Risk!$B$500:$B$923,"Yes")</f>
        <v>424</v>
      </c>
      <c r="W513" s="20">
        <f t="shared" si="1"/>
        <v>33.305129999999998</v>
      </c>
      <c r="X513" s="20">
        <f t="shared" si="2"/>
        <v>11.1</v>
      </c>
      <c r="Y513" s="20" t="str">
        <f t="shared" si="3"/>
        <v>Critical</v>
      </c>
    </row>
    <row r="514" spans="1:25" ht="38.25" customHeight="1">
      <c r="A514" s="20" t="s">
        <v>11232</v>
      </c>
      <c r="B514" s="20" t="s">
        <v>11233</v>
      </c>
      <c r="C514" s="20" t="s">
        <v>11234</v>
      </c>
      <c r="D514" s="20" t="s">
        <v>11235</v>
      </c>
      <c r="E514" s="20" t="s">
        <v>11236</v>
      </c>
      <c r="F514" s="20" t="s">
        <v>10912</v>
      </c>
      <c r="G514" s="20" t="s">
        <v>11237</v>
      </c>
      <c r="H514" s="20" t="s">
        <v>11238</v>
      </c>
      <c r="I514" s="20" t="s">
        <v>11239</v>
      </c>
      <c r="J514" s="20" t="s">
        <v>11240</v>
      </c>
      <c r="K514" s="20" t="s">
        <v>10910</v>
      </c>
      <c r="L514" s="20" t="s">
        <v>10872</v>
      </c>
      <c r="M514" s="20">
        <v>5</v>
      </c>
      <c r="N514" s="20">
        <v>4</v>
      </c>
      <c r="O514" s="20">
        <v>4</v>
      </c>
      <c r="P514" s="20">
        <v>5</v>
      </c>
      <c r="Q514" s="20">
        <v>4</v>
      </c>
      <c r="R514" s="20">
        <f t="shared" si="0"/>
        <v>1</v>
      </c>
      <c r="S514" s="20">
        <f>IF(OR(H514="All",ISNUMBER(SEARCH('Resilience &amp; Risk Scenario'!$B$6,H514))),1.4,1)</f>
        <v>1.4</v>
      </c>
      <c r="T514" s="20">
        <f>IF(OR(I514="All",ISNUMBER(SEARCH('Company Profile'!$B$50,I514))),1.2,1)</f>
        <v>1.2</v>
      </c>
      <c r="U514" s="20">
        <f>COUNTIF(_ENGINE_Initiatives!$D$5:$D$76,B514)</f>
        <v>0</v>
      </c>
      <c r="V514" s="20">
        <f>COUNTIF(_ENGINE_Risk!$B$500:$B$923,"Yes")</f>
        <v>424</v>
      </c>
      <c r="W514" s="20">
        <f t="shared" si="1"/>
        <v>34.485139999999994</v>
      </c>
      <c r="X514" s="20">
        <f t="shared" si="2"/>
        <v>8.6199999999999992</v>
      </c>
      <c r="Y514" s="20" t="str">
        <f t="shared" si="3"/>
        <v>Critical</v>
      </c>
    </row>
    <row r="515" spans="1:25" ht="25.5" customHeight="1">
      <c r="A515" s="20" t="s">
        <v>11241</v>
      </c>
      <c r="B515" s="20" t="s">
        <v>4272</v>
      </c>
      <c r="C515" s="20" t="s">
        <v>10913</v>
      </c>
      <c r="D515" s="20" t="s">
        <v>10914</v>
      </c>
      <c r="E515" s="20" t="s">
        <v>11242</v>
      </c>
      <c r="F515" s="20" t="s">
        <v>11243</v>
      </c>
      <c r="G515" s="20" t="s">
        <v>11244</v>
      </c>
      <c r="H515" s="20" t="s">
        <v>11245</v>
      </c>
      <c r="I515" s="20" t="s">
        <v>11246</v>
      </c>
      <c r="J515" s="20" t="s">
        <v>11247</v>
      </c>
      <c r="K515" s="20" t="s">
        <v>10917</v>
      </c>
      <c r="L515" s="20" t="s">
        <v>10843</v>
      </c>
      <c r="M515" s="20">
        <v>5</v>
      </c>
      <c r="N515" s="20">
        <v>4</v>
      </c>
      <c r="O515" s="20">
        <v>4</v>
      </c>
      <c r="P515" s="20">
        <v>5</v>
      </c>
      <c r="Q515" s="20">
        <v>3</v>
      </c>
      <c r="R515" s="20">
        <f t="shared" si="0"/>
        <v>1</v>
      </c>
      <c r="S515" s="20">
        <f>IF(OR(H515="All",ISNUMBER(SEARCH('Resilience &amp; Risk Scenario'!$B$6,H515))),1.4,1)</f>
        <v>1.4</v>
      </c>
      <c r="T515" s="20">
        <f>IF(OR(I515="All",ISNUMBER(SEARCH('Company Profile'!$B$50,I515))),1.2,1)</f>
        <v>1.2</v>
      </c>
      <c r="U515" s="20">
        <f>COUNTIF(_ENGINE_Initiatives!$D$5:$D$76,B515)</f>
        <v>7</v>
      </c>
      <c r="V515" s="20">
        <f>COUNTIF(_ENGINE_Risk!$B$500:$B$923,"Yes")</f>
        <v>424</v>
      </c>
      <c r="W515" s="20">
        <f t="shared" si="1"/>
        <v>35.18515</v>
      </c>
      <c r="X515" s="20">
        <f t="shared" si="2"/>
        <v>11.73</v>
      </c>
      <c r="Y515" s="20" t="str">
        <f t="shared" si="3"/>
        <v>Critical</v>
      </c>
    </row>
    <row r="516" spans="1:25" ht="38.25" customHeight="1">
      <c r="A516" s="20" t="s">
        <v>11248</v>
      </c>
      <c r="B516" s="20" t="s">
        <v>4064</v>
      </c>
      <c r="C516" s="20" t="s">
        <v>11249</v>
      </c>
      <c r="D516" s="20" t="s">
        <v>10921</v>
      </c>
      <c r="E516" s="20" t="s">
        <v>11250</v>
      </c>
      <c r="F516" s="20" t="s">
        <v>11251</v>
      </c>
      <c r="G516" s="20" t="s">
        <v>11252</v>
      </c>
      <c r="H516" s="20" t="s">
        <v>11253</v>
      </c>
      <c r="I516" s="20" t="s">
        <v>11159</v>
      </c>
      <c r="J516" s="20" t="s">
        <v>11254</v>
      </c>
      <c r="K516" s="20" t="s">
        <v>4096</v>
      </c>
      <c r="L516" s="20" t="s">
        <v>10857</v>
      </c>
      <c r="M516" s="20">
        <v>4</v>
      </c>
      <c r="N516" s="20">
        <v>4</v>
      </c>
      <c r="O516" s="20">
        <v>4</v>
      </c>
      <c r="P516" s="20">
        <v>3</v>
      </c>
      <c r="Q516" s="20">
        <v>3</v>
      </c>
      <c r="R516" s="20">
        <f t="shared" si="0"/>
        <v>1</v>
      </c>
      <c r="S516" s="20">
        <f>IF(OR(H516="All",ISNUMBER(SEARCH('Resilience &amp; Risk Scenario'!$B$6,H516))),1.4,1)</f>
        <v>1.4</v>
      </c>
      <c r="T516" s="20">
        <f>IF(OR(I516="All",ISNUMBER(SEARCH('Company Profile'!$B$50,I516))),1.2,1)</f>
        <v>1.2</v>
      </c>
      <c r="U516" s="20">
        <f>COUNTIF(_ENGINE_Initiatives!$D$5:$D$76,B516)</f>
        <v>6</v>
      </c>
      <c r="V516" s="20">
        <f>COUNTIF(_ENGINE_Risk!$B$500:$B$923,"Yes")</f>
        <v>424</v>
      </c>
      <c r="W516" s="20">
        <f t="shared" si="1"/>
        <v>30.045159999999999</v>
      </c>
      <c r="X516" s="20">
        <f t="shared" si="2"/>
        <v>10.02</v>
      </c>
      <c r="Y516" s="20" t="str">
        <f t="shared" si="3"/>
        <v>Critical</v>
      </c>
    </row>
    <row r="517" spans="1:25" ht="38.25" customHeight="1">
      <c r="A517" s="20" t="s">
        <v>11255</v>
      </c>
      <c r="B517" s="20" t="s">
        <v>3956</v>
      </c>
      <c r="C517" s="20" t="s">
        <v>11256</v>
      </c>
      <c r="D517" s="20" t="s">
        <v>10927</v>
      </c>
      <c r="E517" s="20" t="s">
        <v>11257</v>
      </c>
      <c r="F517" s="20" t="s">
        <v>11258</v>
      </c>
      <c r="G517" s="20" t="s">
        <v>11259</v>
      </c>
      <c r="H517" s="20" t="s">
        <v>11159</v>
      </c>
      <c r="I517" s="20" t="s">
        <v>11159</v>
      </c>
      <c r="J517" s="20" t="s">
        <v>11159</v>
      </c>
      <c r="K517" s="20" t="s">
        <v>10930</v>
      </c>
      <c r="L517" s="20" t="s">
        <v>10931</v>
      </c>
      <c r="M517" s="20">
        <v>5</v>
      </c>
      <c r="N517" s="20">
        <v>5</v>
      </c>
      <c r="O517" s="20">
        <v>4</v>
      </c>
      <c r="P517" s="20">
        <v>3</v>
      </c>
      <c r="Q517" s="20">
        <v>2</v>
      </c>
      <c r="R517" s="20">
        <f t="shared" si="0"/>
        <v>1.3</v>
      </c>
      <c r="S517" s="20">
        <f>IF(OR(H517="All",ISNUMBER(SEARCH('Resilience &amp; Risk Scenario'!$B$6,H517))),1.4,1)</f>
        <v>1.4</v>
      </c>
      <c r="T517" s="20">
        <f>IF(OR(I517="All",ISNUMBER(SEARCH('Company Profile'!$B$50,I517))),1.2,1)</f>
        <v>1.2</v>
      </c>
      <c r="U517" s="20">
        <f>COUNTIF(_ENGINE_Initiatives!$D$5:$D$76,B517)</f>
        <v>5</v>
      </c>
      <c r="V517" s="20">
        <f>COUNTIF(_ENGINE_Risk!$B$500:$B$923,"Yes")</f>
        <v>424</v>
      </c>
      <c r="W517" s="20">
        <f t="shared" si="1"/>
        <v>41.875169999999997</v>
      </c>
      <c r="X517" s="20">
        <f t="shared" si="2"/>
        <v>20.94</v>
      </c>
      <c r="Y517" s="20" t="str">
        <f t="shared" si="3"/>
        <v>Critical</v>
      </c>
    </row>
    <row r="700" spans="1:4" ht="25.95" customHeight="1">
      <c r="A700" s="85" t="s">
        <v>11260</v>
      </c>
      <c r="B700" s="85"/>
      <c r="C700" s="85"/>
      <c r="D700" s="85"/>
    </row>
    <row r="701" spans="1:4" ht="34.1" customHeight="1">
      <c r="A701" s="77" t="s">
        <v>11261</v>
      </c>
      <c r="B701" s="77"/>
      <c r="C701" s="77"/>
      <c r="D701" s="77"/>
    </row>
    <row r="703" spans="1:4">
      <c r="A703" t="s">
        <v>764</v>
      </c>
      <c r="B703" t="s">
        <v>11262</v>
      </c>
      <c r="C703" t="s">
        <v>10944</v>
      </c>
      <c r="D703" t="s">
        <v>11263</v>
      </c>
    </row>
    <row r="704" spans="1:4">
      <c r="A704" t="s">
        <v>815</v>
      </c>
      <c r="B704">
        <v>1.8</v>
      </c>
      <c r="C704" t="s">
        <v>3406</v>
      </c>
      <c r="D704" t="s">
        <v>11264</v>
      </c>
    </row>
    <row r="705" spans="1:4">
      <c r="A705" t="s">
        <v>949</v>
      </c>
      <c r="B705">
        <v>2.4</v>
      </c>
      <c r="C705" t="s">
        <v>3406</v>
      </c>
      <c r="D705" t="s">
        <v>11265</v>
      </c>
    </row>
    <row r="706" spans="1:4">
      <c r="A706" t="s">
        <v>1150</v>
      </c>
      <c r="B706">
        <v>1.8</v>
      </c>
      <c r="C706" t="s">
        <v>546</v>
      </c>
      <c r="D706" t="s">
        <v>11266</v>
      </c>
    </row>
    <row r="707" spans="1:4">
      <c r="A707" t="s">
        <v>1259</v>
      </c>
      <c r="B707">
        <v>2.4</v>
      </c>
      <c r="C707" t="s">
        <v>3406</v>
      </c>
      <c r="D707" t="s">
        <v>11267</v>
      </c>
    </row>
    <row r="708" spans="1:4">
      <c r="A708" t="s">
        <v>1401</v>
      </c>
      <c r="B708">
        <v>2.9</v>
      </c>
      <c r="C708" t="s">
        <v>546</v>
      </c>
      <c r="D708" t="s">
        <v>11268</v>
      </c>
    </row>
    <row r="709" spans="1:4">
      <c r="A709" t="s">
        <v>1551</v>
      </c>
      <c r="B709">
        <v>2.5</v>
      </c>
      <c r="C709" t="s">
        <v>3406</v>
      </c>
      <c r="D709" t="s">
        <v>11269</v>
      </c>
    </row>
    <row r="710" spans="1:4">
      <c r="A710" t="s">
        <v>1666</v>
      </c>
      <c r="B710">
        <v>2.8</v>
      </c>
      <c r="C710" t="s">
        <v>546</v>
      </c>
      <c r="D710" t="s">
        <v>11270</v>
      </c>
    </row>
    <row r="711" spans="1:4">
      <c r="A711" t="s">
        <v>1859</v>
      </c>
      <c r="B711">
        <v>2.7</v>
      </c>
      <c r="C711" t="s">
        <v>3406</v>
      </c>
      <c r="D711" t="s">
        <v>11271</v>
      </c>
    </row>
    <row r="712" spans="1:4">
      <c r="A712" t="s">
        <v>1987</v>
      </c>
      <c r="B712">
        <v>2.2000000000000002</v>
      </c>
      <c r="C712" t="s">
        <v>546</v>
      </c>
      <c r="D712" t="s">
        <v>11272</v>
      </c>
    </row>
    <row r="713" spans="1:4">
      <c r="A713" t="s">
        <v>2145</v>
      </c>
      <c r="B713">
        <v>2.5</v>
      </c>
      <c r="C713" t="s">
        <v>3406</v>
      </c>
      <c r="D713" t="s">
        <v>11273</v>
      </c>
    </row>
    <row r="714" spans="1:4">
      <c r="A714" t="s">
        <v>2286</v>
      </c>
      <c r="B714">
        <v>2.5</v>
      </c>
      <c r="C714" t="s">
        <v>546</v>
      </c>
      <c r="D714" t="s">
        <v>11274</v>
      </c>
    </row>
    <row r="715" spans="1:4">
      <c r="A715" t="s">
        <v>2473</v>
      </c>
      <c r="B715">
        <v>2.2999999999999998</v>
      </c>
      <c r="C715" t="s">
        <v>3406</v>
      </c>
      <c r="D715" t="s">
        <v>11275</v>
      </c>
    </row>
    <row r="716" spans="1:4">
      <c r="A716" t="s">
        <v>2588</v>
      </c>
      <c r="B716">
        <v>2.4</v>
      </c>
      <c r="C716" t="s">
        <v>546</v>
      </c>
      <c r="D716" t="s">
        <v>11276</v>
      </c>
    </row>
    <row r="717" spans="1:4">
      <c r="A717" t="s">
        <v>2729</v>
      </c>
      <c r="B717">
        <v>2.7</v>
      </c>
      <c r="C717" t="s">
        <v>546</v>
      </c>
      <c r="D717" t="s">
        <v>11277</v>
      </c>
    </row>
    <row r="718" spans="1:4">
      <c r="A718" t="s">
        <v>2824</v>
      </c>
      <c r="B718">
        <v>2.2000000000000002</v>
      </c>
      <c r="C718" t="s">
        <v>546</v>
      </c>
      <c r="D718" t="s">
        <v>11278</v>
      </c>
    </row>
    <row r="719" spans="1:4">
      <c r="A719" t="s">
        <v>2986</v>
      </c>
      <c r="B719">
        <v>2</v>
      </c>
      <c r="C719" t="s">
        <v>546</v>
      </c>
      <c r="D719" t="s">
        <v>11279</v>
      </c>
    </row>
    <row r="720" spans="1:4">
      <c r="A720" t="s">
        <v>3204</v>
      </c>
      <c r="B720">
        <v>2.1</v>
      </c>
      <c r="C720" t="s">
        <v>3406</v>
      </c>
      <c r="D720" t="s">
        <v>11280</v>
      </c>
    </row>
    <row r="722" spans="1:4">
      <c r="A722" t="s">
        <v>11281</v>
      </c>
    </row>
    <row r="723" spans="1:4">
      <c r="A723" t="s">
        <v>11282</v>
      </c>
      <c r="B723">
        <v>-1</v>
      </c>
      <c r="D723" t="s">
        <v>11283</v>
      </c>
    </row>
    <row r="724" spans="1:4">
      <c r="A724" t="s">
        <v>11284</v>
      </c>
      <c r="B724">
        <v>-0.5</v>
      </c>
    </row>
    <row r="725" spans="1:4">
      <c r="A725" t="s">
        <v>11285</v>
      </c>
      <c r="B725">
        <v>0</v>
      </c>
    </row>
    <row r="726" spans="1:4">
      <c r="A726" t="s">
        <v>11286</v>
      </c>
      <c r="B726">
        <v>0.4</v>
      </c>
    </row>
    <row r="727" spans="1:4">
      <c r="A727" t="s">
        <v>11287</v>
      </c>
      <c r="B727">
        <v>0.7</v>
      </c>
    </row>
    <row r="730" spans="1:4">
      <c r="A730" t="s">
        <v>11288</v>
      </c>
      <c r="B730">
        <v>1</v>
      </c>
    </row>
    <row r="731" spans="1:4">
      <c r="A731" t="s">
        <v>11289</v>
      </c>
      <c r="B731">
        <v>0.7</v>
      </c>
    </row>
    <row r="732" spans="1:4">
      <c r="A732" t="s">
        <v>11290</v>
      </c>
      <c r="B732">
        <v>0.5</v>
      </c>
    </row>
    <row r="733" spans="1:4">
      <c r="A733" t="s">
        <v>11291</v>
      </c>
      <c r="B733">
        <v>2</v>
      </c>
    </row>
    <row r="734" spans="1:4">
      <c r="A734" t="s">
        <v>11292</v>
      </c>
      <c r="B734">
        <v>0.75</v>
      </c>
    </row>
    <row r="736" spans="1:4">
      <c r="A736" t="s">
        <v>11293</v>
      </c>
      <c r="B736" t="s">
        <v>11294</v>
      </c>
    </row>
  </sheetData>
  <mergeCells count="2">
    <mergeCell ref="A1:L1"/>
    <mergeCell ref="A300:E300"/>
  </mergeCells>
  <pageMargins left="0.75" right="0.75" top="1" bottom="1" header="0.5" footer="0.5"/>
  <pageSetup fitToHeight="0" orientation="landscape"/>
  <headerFooter>
    <oddFooter>&amp;R© Roman Reznikov / RR-framework — CC BY-NC-SA 4.0 — For authorized use only</oddFooter>
    <evenFooter>&amp;R© Roman Reznikov / RR-framework — CC BY-NC-SA 4.0 — For authorized use only</evenFooter>
    <firstFooter>&amp;R© Roman Reznikov / RR-framework — CC BY-NC-SA 4.0 — For authorized use only</first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6B7280"/>
    <pageSetUpPr fitToPage="1"/>
  </sheetPr>
  <dimension ref="A1:X181"/>
  <sheetViews>
    <sheetView showGridLines="0" workbookViewId="0">
      <pane ySplit="3" topLeftCell="A4" activePane="bottomLeft" state="frozen"/>
      <selection pane="bottomLeft"/>
    </sheetView>
  </sheetViews>
  <sheetFormatPr defaultRowHeight="14.15"/>
  <cols>
    <col min="1" max="1" width="22" customWidth="1"/>
    <col min="2" max="2" width="12" customWidth="1"/>
    <col min="3" max="3" width="70" customWidth="1"/>
  </cols>
  <sheetData>
    <row r="1" spans="1:4" ht="25.95" customHeight="1">
      <c r="A1" s="307" t="s">
        <v>11295</v>
      </c>
      <c r="B1" s="304"/>
      <c r="C1" s="304"/>
      <c r="D1" s="305"/>
    </row>
    <row r="2" spans="1:4" ht="34.1" customHeight="1">
      <c r="A2" s="77" t="str">
        <f>"Single hidden source for scoring thresholds, domain/AHP weights, P2 strategic weights and financial anchors. Current release: "&amp;Guidelines!$B$5</f>
        <v>Single hidden source for scoring thresholds, domain/AHP weights, P2 strategic weights and financial anchors. Current release: v3.0</v>
      </c>
      <c r="B2" s="77"/>
      <c r="C2" s="77"/>
      <c r="D2" s="77"/>
    </row>
    <row r="4" spans="1:4" ht="15" customHeight="1">
      <c r="A4" s="15" t="s">
        <v>11296</v>
      </c>
      <c r="B4" s="15" t="s">
        <v>10783</v>
      </c>
      <c r="C4" s="15" t="s">
        <v>3435</v>
      </c>
    </row>
    <row r="5" spans="1:4">
      <c r="A5" s="14" t="s">
        <v>11297</v>
      </c>
      <c r="B5" s="14">
        <v>0.65</v>
      </c>
      <c r="C5" s="14" t="s">
        <v>11298</v>
      </c>
    </row>
    <row r="6" spans="1:4">
      <c r="A6" s="23" t="s">
        <v>3406</v>
      </c>
      <c r="B6" s="23">
        <v>0.8</v>
      </c>
      <c r="C6" s="23" t="s">
        <v>11299</v>
      </c>
    </row>
    <row r="7" spans="1:4">
      <c r="A7" s="14" t="s">
        <v>546</v>
      </c>
      <c r="B7" s="14">
        <v>0.9</v>
      </c>
      <c r="C7" s="14" t="s">
        <v>11300</v>
      </c>
    </row>
    <row r="8" spans="1:4">
      <c r="A8" s="23" t="s">
        <v>3404</v>
      </c>
      <c r="B8" s="23">
        <v>1</v>
      </c>
      <c r="C8" s="23" t="s">
        <v>11301</v>
      </c>
    </row>
    <row r="10" spans="1:4">
      <c r="A10" t="s">
        <v>3596</v>
      </c>
      <c r="B10" t="s">
        <v>11302</v>
      </c>
      <c r="C10" t="s">
        <v>3435</v>
      </c>
    </row>
    <row r="11" spans="1:4">
      <c r="A11" t="s">
        <v>3406</v>
      </c>
      <c r="B11">
        <v>0.25</v>
      </c>
      <c r="C11" t="s">
        <v>11303</v>
      </c>
    </row>
    <row r="12" spans="1:4">
      <c r="A12" t="s">
        <v>11304</v>
      </c>
      <c r="B12">
        <v>0</v>
      </c>
      <c r="C12" t="s">
        <v>11305</v>
      </c>
    </row>
    <row r="13" spans="1:4">
      <c r="A13" t="s">
        <v>3404</v>
      </c>
      <c r="B13">
        <v>-0.25</v>
      </c>
      <c r="C13" t="s">
        <v>11306</v>
      </c>
    </row>
    <row r="15" spans="1:4">
      <c r="A15" t="s">
        <v>11307</v>
      </c>
    </row>
    <row r="16" spans="1:4">
      <c r="A16" t="s">
        <v>10781</v>
      </c>
      <c r="B16" t="s">
        <v>348</v>
      </c>
      <c r="C16" t="s">
        <v>11308</v>
      </c>
    </row>
    <row r="17" spans="1:3">
      <c r="A17" t="s">
        <v>11309</v>
      </c>
      <c r="B17">
        <f>_CONFIG!B5</f>
        <v>3.5</v>
      </c>
    </row>
    <row r="18" spans="1:3">
      <c r="A18" t="s">
        <v>11310</v>
      </c>
      <c r="B18">
        <f>_CONFIG!B6</f>
        <v>2</v>
      </c>
    </row>
    <row r="19" spans="1:3">
      <c r="A19" t="s">
        <v>11311</v>
      </c>
      <c r="B19">
        <f>_CONFIG!B7</f>
        <v>1.1499999999999999</v>
      </c>
      <c r="C19" t="s">
        <v>11312</v>
      </c>
    </row>
    <row r="20" spans="1:3">
      <c r="A20" t="s">
        <v>11313</v>
      </c>
      <c r="B20">
        <f>_CONFIG!B8</f>
        <v>0.9</v>
      </c>
      <c r="C20" t="s">
        <v>11314</v>
      </c>
    </row>
    <row r="21" spans="1:3">
      <c r="A21" t="s">
        <v>11315</v>
      </c>
      <c r="B21">
        <f>_CONFIG!B9</f>
        <v>12</v>
      </c>
      <c r="C21" t="s">
        <v>11316</v>
      </c>
    </row>
    <row r="22" spans="1:3">
      <c r="A22" t="s">
        <v>11317</v>
      </c>
      <c r="B22">
        <f>_CONFIG!B10</f>
        <v>32</v>
      </c>
      <c r="C22" t="s">
        <v>11318</v>
      </c>
    </row>
    <row r="23" spans="1:3">
      <c r="A23" t="s">
        <v>11319</v>
      </c>
      <c r="B23">
        <f>_CONFIG!B11</f>
        <v>55</v>
      </c>
      <c r="C23" t="s">
        <v>11320</v>
      </c>
    </row>
    <row r="24" spans="1:3">
      <c r="A24" t="s">
        <v>11321</v>
      </c>
      <c r="B24">
        <f>_CONFIG!B12</f>
        <v>1.05</v>
      </c>
      <c r="C24" t="s">
        <v>11322</v>
      </c>
    </row>
    <row r="25" spans="1:3">
      <c r="A25" t="s">
        <v>11323</v>
      </c>
      <c r="B25">
        <f>_CONFIG!B13</f>
        <v>0.7</v>
      </c>
      <c r="C25" t="s">
        <v>11324</v>
      </c>
    </row>
    <row r="26" spans="1:3">
      <c r="A26" t="s">
        <v>11325</v>
      </c>
      <c r="B26">
        <f>_CONFIG!B14</f>
        <v>5</v>
      </c>
      <c r="C26" t="s">
        <v>11326</v>
      </c>
    </row>
    <row r="27" spans="1:3">
      <c r="A27" t="s">
        <v>11327</v>
      </c>
      <c r="B27">
        <f>_CONFIG!B15</f>
        <v>2.5</v>
      </c>
      <c r="C27" t="s">
        <v>11328</v>
      </c>
    </row>
    <row r="29" spans="1:3">
      <c r="A29" t="s">
        <v>11329</v>
      </c>
    </row>
    <row r="30" spans="1:3">
      <c r="A30" t="s">
        <v>11330</v>
      </c>
      <c r="B30">
        <v>0.25</v>
      </c>
      <c r="C30" t="s">
        <v>11331</v>
      </c>
    </row>
    <row r="31" spans="1:3">
      <c r="A31" t="s">
        <v>11332</v>
      </c>
      <c r="B31" t="s">
        <v>11333</v>
      </c>
      <c r="C31" t="s">
        <v>11334</v>
      </c>
    </row>
    <row r="32" spans="1:3">
      <c r="A32" t="s">
        <v>11335</v>
      </c>
      <c r="B32">
        <v>0.9</v>
      </c>
      <c r="C32" t="s">
        <v>11336</v>
      </c>
    </row>
    <row r="33" spans="1:3">
      <c r="A33" t="s">
        <v>11337</v>
      </c>
      <c r="B33">
        <v>0.65</v>
      </c>
      <c r="C33" t="s">
        <v>11338</v>
      </c>
    </row>
    <row r="34" spans="1:3">
      <c r="A34" t="s">
        <v>11339</v>
      </c>
      <c r="B34">
        <v>0.8</v>
      </c>
      <c r="C34" t="s">
        <v>11340</v>
      </c>
    </row>
    <row r="50" spans="1:12" ht="25.95" customHeight="1">
      <c r="A50" s="101" t="s">
        <v>11341</v>
      </c>
      <c r="B50" s="86"/>
      <c r="C50" s="86"/>
      <c r="D50" s="86"/>
      <c r="E50" s="86"/>
      <c r="F50" s="86"/>
      <c r="G50" s="86"/>
      <c r="H50" s="86"/>
      <c r="I50" s="86"/>
      <c r="J50" s="86"/>
      <c r="K50" s="86"/>
      <c r="L50" s="86"/>
    </row>
    <row r="51" spans="1:12" ht="34.1" customHeight="1">
      <c r="A51" s="99" t="s">
        <v>11342</v>
      </c>
      <c r="B51" s="77"/>
      <c r="C51" s="77"/>
      <c r="D51" s="77"/>
      <c r="E51" s="77"/>
      <c r="F51" s="77"/>
      <c r="G51" s="77"/>
      <c r="H51" s="77"/>
      <c r="I51" s="77"/>
      <c r="J51" s="77"/>
      <c r="K51" s="77"/>
      <c r="L51" s="77"/>
    </row>
    <row r="52" spans="1:12" ht="14.4" customHeight="1">
      <c r="A52" s="100" t="str">
        <f>HYPERLINK("#'Guidelines'!A1","⌂ Guidelines")</f>
        <v>⌂ Guidelines</v>
      </c>
      <c r="C52" s="98" t="s">
        <v>11343</v>
      </c>
    </row>
    <row r="53" spans="1:12" ht="24" customHeight="1">
      <c r="A53" s="87" t="s">
        <v>11344</v>
      </c>
      <c r="B53" s="87" t="s">
        <v>11345</v>
      </c>
      <c r="C53" s="87" t="s">
        <v>11346</v>
      </c>
      <c r="D53" s="87" t="s">
        <v>11347</v>
      </c>
      <c r="E53" s="87" t="s">
        <v>11348</v>
      </c>
      <c r="F53" s="87" t="s">
        <v>11349</v>
      </c>
      <c r="G53" s="87" t="s">
        <v>11350</v>
      </c>
      <c r="H53" s="87" t="s">
        <v>11351</v>
      </c>
      <c r="I53" s="87" t="s">
        <v>11352</v>
      </c>
      <c r="J53" s="87"/>
      <c r="K53" s="87" t="s">
        <v>11353</v>
      </c>
      <c r="L53" s="87" t="s">
        <v>11354</v>
      </c>
    </row>
    <row r="54" spans="1:12">
      <c r="A54" s="35" t="s">
        <v>11345</v>
      </c>
      <c r="B54" s="88">
        <v>1</v>
      </c>
      <c r="C54" s="88">
        <v>0.64</v>
      </c>
      <c r="D54" s="88">
        <v>0.73</v>
      </c>
      <c r="E54" s="89">
        <v>1.07</v>
      </c>
      <c r="F54" s="90">
        <v>1.33</v>
      </c>
      <c r="G54" s="90">
        <v>1.6</v>
      </c>
      <c r="H54" s="42">
        <f t="shared" ref="H54:H59" si="0">GEOMEAN(B54:G54)</f>
        <v>1.0103605312058781</v>
      </c>
      <c r="I54" s="43">
        <f t="shared" ref="I54:I59" si="1">ROUND(H54/SUM($H$54:$H$59),4)</f>
        <v>0.16009999999999999</v>
      </c>
      <c r="K54" s="43">
        <f t="shared" ref="K54:K59" si="2">B54*$I$54+C54*$I$55+D54*$I$56+E54*$I$57+F54*$I$58+G54*$I$59</f>
        <v>0.96064999999999989</v>
      </c>
      <c r="L54" s="42">
        <f t="shared" ref="L54:L59" si="3">K54/I54</f>
        <v>6.0003123048094933</v>
      </c>
    </row>
    <row r="55" spans="1:12">
      <c r="A55" s="35" t="s">
        <v>11346</v>
      </c>
      <c r="B55" s="88">
        <f>1/C54</f>
        <v>1.5625</v>
      </c>
      <c r="C55" s="88">
        <v>1</v>
      </c>
      <c r="D55" s="88">
        <v>1.1399999999999999</v>
      </c>
      <c r="E55" s="88">
        <v>1.67</v>
      </c>
      <c r="F55" s="89">
        <v>2.08</v>
      </c>
      <c r="G55" s="90">
        <v>2.5</v>
      </c>
      <c r="H55" s="42">
        <f t="shared" si="0"/>
        <v>1.5784861731780782</v>
      </c>
      <c r="I55" s="43">
        <f t="shared" si="1"/>
        <v>0.25009999999999999</v>
      </c>
      <c r="K55" s="43">
        <f t="shared" si="2"/>
        <v>1.5008222499999999</v>
      </c>
      <c r="L55" s="42">
        <f t="shared" si="3"/>
        <v>6.000888644542183</v>
      </c>
    </row>
    <row r="56" spans="1:12">
      <c r="A56" s="35" t="s">
        <v>11347</v>
      </c>
      <c r="B56" s="88">
        <f>1/D54</f>
        <v>1.3698630136986301</v>
      </c>
      <c r="C56" s="88">
        <f>1/D55</f>
        <v>0.87719298245614041</v>
      </c>
      <c r="D56" s="88">
        <v>1</v>
      </c>
      <c r="E56" s="88">
        <v>1.47</v>
      </c>
      <c r="F56" s="88">
        <v>1.84</v>
      </c>
      <c r="G56" s="89">
        <v>2.2000000000000002</v>
      </c>
      <c r="H56" s="42">
        <f t="shared" si="0"/>
        <v>1.3879964473494772</v>
      </c>
      <c r="I56" s="43">
        <f t="shared" si="1"/>
        <v>0.22</v>
      </c>
      <c r="K56" s="43">
        <f t="shared" si="2"/>
        <v>1.3197070334054313</v>
      </c>
      <c r="L56" s="42">
        <f t="shared" si="3"/>
        <v>5.9986683336610511</v>
      </c>
    </row>
    <row r="57" spans="1:12">
      <c r="A57" s="35" t="s">
        <v>11348</v>
      </c>
      <c r="B57" s="88">
        <f>1/E54</f>
        <v>0.93457943925233644</v>
      </c>
      <c r="C57" s="88">
        <f>1/E55</f>
        <v>0.5988023952095809</v>
      </c>
      <c r="D57" s="88">
        <f>1/E56</f>
        <v>0.68027210884353739</v>
      </c>
      <c r="E57" s="88">
        <v>1</v>
      </c>
      <c r="F57" s="88">
        <v>1.25</v>
      </c>
      <c r="G57" s="88">
        <v>1.5</v>
      </c>
      <c r="H57" s="42">
        <f t="shared" si="0"/>
        <v>0.94536012819673509</v>
      </c>
      <c r="I57" s="43">
        <f t="shared" si="1"/>
        <v>0.14979999999999999</v>
      </c>
      <c r="K57" s="43">
        <f t="shared" si="2"/>
        <v>0.89884651121179349</v>
      </c>
      <c r="L57" s="42">
        <f t="shared" si="3"/>
        <v>6.0003104887302641</v>
      </c>
    </row>
    <row r="58" spans="1:12">
      <c r="A58" s="35" t="s">
        <v>11349</v>
      </c>
      <c r="B58" s="88">
        <f>1/F54</f>
        <v>0.75187969924812026</v>
      </c>
      <c r="C58" s="88">
        <f>1/F55</f>
        <v>0.48076923076923073</v>
      </c>
      <c r="D58" s="88">
        <f>1/F56</f>
        <v>0.54347826086956519</v>
      </c>
      <c r="E58" s="88">
        <f>1/F57</f>
        <v>0.8</v>
      </c>
      <c r="F58" s="88">
        <v>1</v>
      </c>
      <c r="G58" s="88">
        <v>1.2</v>
      </c>
      <c r="H58" s="42">
        <f t="shared" si="0"/>
        <v>0.75727985799198461</v>
      </c>
      <c r="I58" s="43">
        <f t="shared" si="1"/>
        <v>0.12</v>
      </c>
      <c r="K58" s="43">
        <f t="shared" si="2"/>
        <v>0.72002154185631295</v>
      </c>
      <c r="L58" s="42">
        <f t="shared" si="3"/>
        <v>6.0001795154692745</v>
      </c>
    </row>
    <row r="59" spans="1:12">
      <c r="A59" s="35" t="s">
        <v>11350</v>
      </c>
      <c r="B59" s="88">
        <f>1/G54</f>
        <v>0.625</v>
      </c>
      <c r="C59" s="88">
        <f>1/G55</f>
        <v>0.4</v>
      </c>
      <c r="D59" s="88">
        <f>1/G56</f>
        <v>0.45454545454545453</v>
      </c>
      <c r="E59" s="88">
        <f>1/G57</f>
        <v>0.66666666666666663</v>
      </c>
      <c r="F59" s="88">
        <f>1/G58</f>
        <v>0.83333333333333337</v>
      </c>
      <c r="G59" s="88">
        <v>1</v>
      </c>
      <c r="H59" s="42">
        <f t="shared" si="0"/>
        <v>0.63101662835836059</v>
      </c>
      <c r="I59" s="43">
        <f t="shared" si="1"/>
        <v>0.1</v>
      </c>
      <c r="K59" s="43">
        <f t="shared" si="2"/>
        <v>0.59996916666666666</v>
      </c>
      <c r="L59" s="42">
        <f t="shared" si="3"/>
        <v>5.9996916666666662</v>
      </c>
    </row>
    <row r="61" spans="1:12" ht="22.1" customHeight="1">
      <c r="A61" s="76" t="s">
        <v>11355</v>
      </c>
      <c r="B61" s="76" t="s">
        <v>11356</v>
      </c>
      <c r="C61" s="91">
        <f>AVERAGE(L54:L59)</f>
        <v>6.0000084923131558</v>
      </c>
      <c r="D61" s="76"/>
      <c r="E61" s="76"/>
      <c r="F61" s="76"/>
      <c r="G61" s="76"/>
      <c r="H61" s="76"/>
      <c r="I61" s="76"/>
      <c r="J61" s="76"/>
      <c r="K61" s="76"/>
      <c r="L61" s="76"/>
    </row>
    <row r="62" spans="1:12">
      <c r="B62" t="s">
        <v>11357</v>
      </c>
      <c r="C62" s="42">
        <f>(C61-6)/(6-1)</f>
        <v>1.6984626311611351E-6</v>
      </c>
    </row>
    <row r="63" spans="1:12">
      <c r="B63" t="s">
        <v>11358</v>
      </c>
      <c r="C63">
        <f>ROUND(C62/1.24,3)</f>
        <v>0</v>
      </c>
    </row>
    <row r="64" spans="1:12" ht="15" customHeight="1">
      <c r="B64" t="s">
        <v>742</v>
      </c>
      <c r="C64" s="39" t="str">
        <f>IF(C63&lt;=0.1,"Consistent","REVIEW judgments")</f>
        <v>Consistent</v>
      </c>
    </row>
    <row r="66" spans="1:12">
      <c r="A66" t="s">
        <v>11359</v>
      </c>
      <c r="B66" s="48">
        <v>0.5</v>
      </c>
      <c r="C66" s="34" t="s">
        <v>11360</v>
      </c>
    </row>
    <row r="67" spans="1:12" ht="22.1" customHeight="1">
      <c r="A67" s="76"/>
      <c r="B67" s="76"/>
      <c r="C67" s="76"/>
      <c r="D67" s="76"/>
      <c r="E67" s="76"/>
      <c r="F67" s="76"/>
      <c r="G67" s="76"/>
      <c r="H67" s="76"/>
      <c r="I67" s="76"/>
      <c r="J67" s="76"/>
      <c r="K67" s="76"/>
      <c r="L67" s="76"/>
    </row>
    <row r="68" spans="1:12" ht="24" customHeight="1">
      <c r="A68" s="87" t="s">
        <v>11361</v>
      </c>
      <c r="B68" s="87"/>
      <c r="C68" s="87"/>
      <c r="D68" s="87"/>
      <c r="E68" s="87"/>
      <c r="F68" s="87"/>
      <c r="G68" s="87"/>
      <c r="H68" s="87"/>
      <c r="I68" s="87"/>
      <c r="J68" s="87"/>
      <c r="K68" s="87"/>
      <c r="L68" s="87"/>
    </row>
    <row r="69" spans="1:12" ht="38.25" customHeight="1">
      <c r="A69" s="40" t="s">
        <v>764</v>
      </c>
      <c r="B69" s="40" t="s">
        <v>11362</v>
      </c>
      <c r="C69" s="40" t="s">
        <v>11363</v>
      </c>
      <c r="D69" s="40" t="s">
        <v>11364</v>
      </c>
      <c r="E69" s="40" t="s">
        <v>11365</v>
      </c>
      <c r="F69" s="40" t="s">
        <v>11366</v>
      </c>
      <c r="G69" s="40" t="s">
        <v>11367</v>
      </c>
      <c r="H69" s="40" t="s">
        <v>11368</v>
      </c>
    </row>
    <row r="70" spans="1:12">
      <c r="A70" s="44" t="s">
        <v>815</v>
      </c>
      <c r="B70" s="45" t="s">
        <v>11348</v>
      </c>
      <c r="C70" s="46">
        <f>_CONFIG_Model_Settings!$I$57</f>
        <v>0.14979999999999999</v>
      </c>
      <c r="D70" s="41">
        <f>IF(SUMIFS(_REF_Model_Content!$C$1:$C$174,_REF_Model_Content!$A$1:$A$174,PV_Canonical_Industry,_REF_Model_Content!$B$1:$B$174,$A70)=0,1,SUMIFS(_REF_Model_Content!$C$1:$C$174,_REF_Model_Content!$A$1:$A$174,PV_Canonical_Industry,_REF_Model_Content!$B$1:$B$174,$A70))</f>
        <v>1</v>
      </c>
      <c r="E70" s="47">
        <f t="shared" ref="E70:E86" si="4">IFERROR($D70/SUMIFS($D$70:$D$86,$B$70:$B$86,$B70),0)</f>
        <v>0.33333333333333331</v>
      </c>
      <c r="F70" s="46">
        <f t="shared" ref="F70:F86" si="5">$C70*$E70</f>
        <v>4.993333333333333E-2</v>
      </c>
      <c r="G70" s="46">
        <f t="shared" ref="G70:G86" si="6">IFERROR($D70/SUM($D$70:$D$86),0)</f>
        <v>5.8823529411764705E-2</v>
      </c>
      <c r="H70" s="46">
        <f>IFERROR((_CONFIG_Model_Settings!$B$66*$F70+(1-_CONFIG_Model_Settings!$B$66)*$G70)/SUMPRODUCT(_CONFIG_Model_Settings!$B$66*$F$70:$F$86+(1-_CONFIG_Model_Settings!$B$66)*$G$70:$G$86),0)</f>
        <v>5.4378431372549031E-2</v>
      </c>
    </row>
    <row r="71" spans="1:12">
      <c r="A71" s="44" t="s">
        <v>949</v>
      </c>
      <c r="B71" s="45" t="s">
        <v>11349</v>
      </c>
      <c r="C71" s="46">
        <f>_CONFIG_Model_Settings!$I$58</f>
        <v>0.12</v>
      </c>
      <c r="D71" s="41">
        <f>IF(SUMIFS(_REF_Model_Content!$C$1:$C$174,_REF_Model_Content!$A$1:$A$174,PV_Canonical_Industry,_REF_Model_Content!$B$1:$B$174,$A71)=0,1,SUMIFS(_REF_Model_Content!$C$1:$C$174,_REF_Model_Content!$A$1:$A$174,PV_Canonical_Industry,_REF_Model_Content!$B$1:$B$174,$A71))</f>
        <v>1</v>
      </c>
      <c r="E71" s="47">
        <f t="shared" si="4"/>
        <v>0.33333333333333331</v>
      </c>
      <c r="F71" s="46">
        <f t="shared" si="5"/>
        <v>3.9999999999999994E-2</v>
      </c>
      <c r="G71" s="46">
        <f t="shared" si="6"/>
        <v>5.8823529411764705E-2</v>
      </c>
      <c r="H71" s="46">
        <f>IFERROR((_CONFIG_Model_Settings!$B$66*$F71+(1-_CONFIG_Model_Settings!$B$66)*$G71)/SUMPRODUCT(_CONFIG_Model_Settings!$B$66*$F$70:$F$86+(1-_CONFIG_Model_Settings!$B$66)*$G$70:$G$86),0)</f>
        <v>4.9411764705882363E-2</v>
      </c>
    </row>
    <row r="72" spans="1:12">
      <c r="A72" s="44" t="s">
        <v>1150</v>
      </c>
      <c r="B72" s="45" t="s">
        <v>11345</v>
      </c>
      <c r="C72" s="46">
        <f>_CONFIG_Model_Settings!$I$54</f>
        <v>0.16009999999999999</v>
      </c>
      <c r="D72" s="41">
        <f>IF(SUMIFS(_REF_Model_Content!$C$1:$C$174,_REF_Model_Content!$A$1:$A$174,PV_Canonical_Industry,_REF_Model_Content!$B$1:$B$174,$A72)=0,1,SUMIFS(_REF_Model_Content!$C$1:$C$174,_REF_Model_Content!$A$1:$A$174,PV_Canonical_Industry,_REF_Model_Content!$B$1:$B$174,$A72))</f>
        <v>1</v>
      </c>
      <c r="E72" s="47">
        <f t="shared" si="4"/>
        <v>0.33333333333333331</v>
      </c>
      <c r="F72" s="46">
        <f t="shared" si="5"/>
        <v>5.3366666666666659E-2</v>
      </c>
      <c r="G72" s="46">
        <f t="shared" si="6"/>
        <v>5.8823529411764705E-2</v>
      </c>
      <c r="H72" s="46">
        <f>IFERROR((_CONFIG_Model_Settings!$B$66*$F72+(1-_CONFIG_Model_Settings!$B$66)*$G72)/SUMPRODUCT(_CONFIG_Model_Settings!$B$66*$F$70:$F$86+(1-_CONFIG_Model_Settings!$B$66)*$G$70:$G$86),0)</f>
        <v>5.6095098039215696E-2</v>
      </c>
    </row>
    <row r="73" spans="1:12">
      <c r="A73" s="44" t="s">
        <v>1259</v>
      </c>
      <c r="B73" s="45" t="s">
        <v>11348</v>
      </c>
      <c r="C73" s="46">
        <f>_CONFIG_Model_Settings!$I$57</f>
        <v>0.14979999999999999</v>
      </c>
      <c r="D73" s="41">
        <f>IF(SUMIFS(_REF_Model_Content!$C$1:$C$174,_REF_Model_Content!$A$1:$A$174,PV_Canonical_Industry,_REF_Model_Content!$B$1:$B$174,$A73)=0,1,SUMIFS(_REF_Model_Content!$C$1:$C$174,_REF_Model_Content!$A$1:$A$174,PV_Canonical_Industry,_REF_Model_Content!$B$1:$B$174,$A73))</f>
        <v>1</v>
      </c>
      <c r="E73" s="47">
        <f t="shared" si="4"/>
        <v>0.33333333333333331</v>
      </c>
      <c r="F73" s="46">
        <f t="shared" si="5"/>
        <v>4.993333333333333E-2</v>
      </c>
      <c r="G73" s="46">
        <f t="shared" si="6"/>
        <v>5.8823529411764705E-2</v>
      </c>
      <c r="H73" s="46">
        <f>IFERROR((_CONFIG_Model_Settings!$B$66*$F73+(1-_CONFIG_Model_Settings!$B$66)*$G73)/SUMPRODUCT(_CONFIG_Model_Settings!$B$66*$F$70:$F$86+(1-_CONFIG_Model_Settings!$B$66)*$G$70:$G$86),0)</f>
        <v>5.4378431372549031E-2</v>
      </c>
    </row>
    <row r="74" spans="1:12">
      <c r="A74" s="44" t="s">
        <v>1401</v>
      </c>
      <c r="B74" s="45" t="s">
        <v>11350</v>
      </c>
      <c r="C74" s="46">
        <f>_CONFIG_Model_Settings!$I$59</f>
        <v>0.1</v>
      </c>
      <c r="D74" s="41">
        <f>IF(SUMIFS(_REF_Model_Content!$C$1:$C$174,_REF_Model_Content!$A$1:$A$174,PV_Canonical_Industry,_REF_Model_Content!$B$1:$B$174,$A74)=0,1,SUMIFS(_REF_Model_Content!$C$1:$C$174,_REF_Model_Content!$A$1:$A$174,PV_Canonical_Industry,_REF_Model_Content!$B$1:$B$174,$A74))</f>
        <v>1</v>
      </c>
      <c r="E74" s="47">
        <f t="shared" si="4"/>
        <v>1</v>
      </c>
      <c r="F74" s="46">
        <f t="shared" si="5"/>
        <v>0.1</v>
      </c>
      <c r="G74" s="46">
        <f t="shared" si="6"/>
        <v>5.8823529411764705E-2</v>
      </c>
      <c r="H74" s="46">
        <f>IFERROR((_CONFIG_Model_Settings!$B$66*$F74+(1-_CONFIG_Model_Settings!$B$66)*$G74)/SUMPRODUCT(_CONFIG_Model_Settings!$B$66*$F$70:$F$86+(1-_CONFIG_Model_Settings!$B$66)*$G$70:$G$86),0)</f>
        <v>7.9411764705882362E-2</v>
      </c>
    </row>
    <row r="75" spans="1:12" ht="22.1" customHeight="1">
      <c r="A75" s="76" t="s">
        <v>1551</v>
      </c>
      <c r="B75" s="76" t="s">
        <v>11345</v>
      </c>
      <c r="C75" s="92">
        <f>_CONFIG_Model_Settings!$I$54</f>
        <v>0.16009999999999999</v>
      </c>
      <c r="D75" s="93">
        <f>IF(SUMIFS(_REF_Model_Content!$C$1:$C$174,_REF_Model_Content!$A$1:$A$174,PV_Canonical_Industry,_REF_Model_Content!$B$1:$B$174,$A75)=0,1,SUMIFS(_REF_Model_Content!$C$1:$C$174,_REF_Model_Content!$A$1:$A$174,PV_Canonical_Industry,_REF_Model_Content!$B$1:$B$174,$A75))</f>
        <v>1</v>
      </c>
      <c r="E75" s="91">
        <f t="shared" si="4"/>
        <v>0.33333333333333331</v>
      </c>
      <c r="F75" s="92">
        <f t="shared" si="5"/>
        <v>5.3366666666666659E-2</v>
      </c>
      <c r="G75" s="92">
        <f t="shared" si="6"/>
        <v>5.8823529411764705E-2</v>
      </c>
      <c r="H75" s="92">
        <f>IFERROR((_CONFIG_Model_Settings!$B$66*$F75+(1-_CONFIG_Model_Settings!$B$66)*$G75)/SUMPRODUCT(_CONFIG_Model_Settings!$B$66*$F$70:$F$86+(1-_CONFIG_Model_Settings!$B$66)*$G$70:$G$86),0)</f>
        <v>5.6095098039215696E-2</v>
      </c>
      <c r="I75" s="76"/>
      <c r="J75" s="76"/>
      <c r="K75" s="76"/>
      <c r="L75" s="76"/>
    </row>
    <row r="76" spans="1:12" ht="24" customHeight="1">
      <c r="A76" s="87" t="s">
        <v>1666</v>
      </c>
      <c r="B76" s="87" t="s">
        <v>11348</v>
      </c>
      <c r="C76" s="94">
        <f>_CONFIG_Model_Settings!$I$57</f>
        <v>0.14979999999999999</v>
      </c>
      <c r="D76" s="95">
        <f>IF(SUMIFS(_REF_Model_Content!$C$1:$C$174,_REF_Model_Content!$A$1:$A$174,PV_Canonical_Industry,_REF_Model_Content!$B$1:$B$174,$A76)=0,1,SUMIFS(_REF_Model_Content!$C$1:$C$174,_REF_Model_Content!$A$1:$A$174,PV_Canonical_Industry,_REF_Model_Content!$B$1:$B$174,$A76))</f>
        <v>1</v>
      </c>
      <c r="E76" s="96">
        <f t="shared" si="4"/>
        <v>0.33333333333333331</v>
      </c>
      <c r="F76" s="94">
        <f t="shared" si="5"/>
        <v>4.993333333333333E-2</v>
      </c>
      <c r="G76" s="94">
        <f t="shared" si="6"/>
        <v>5.8823529411764705E-2</v>
      </c>
      <c r="H76" s="94">
        <f>IFERROR((_CONFIG_Model_Settings!$B$66*$F76+(1-_CONFIG_Model_Settings!$B$66)*$G76)/SUMPRODUCT(_CONFIG_Model_Settings!$B$66*$F$70:$F$86+(1-_CONFIG_Model_Settings!$B$66)*$G$70:$G$86),0)</f>
        <v>5.4378431372549031E-2</v>
      </c>
      <c r="I76" s="87"/>
      <c r="J76" s="87"/>
      <c r="K76" s="87"/>
      <c r="L76" s="87"/>
    </row>
    <row r="77" spans="1:12">
      <c r="A77" s="44" t="s">
        <v>1859</v>
      </c>
      <c r="B77" s="45" t="s">
        <v>11347</v>
      </c>
      <c r="C77" s="46">
        <f>_CONFIG_Model_Settings!$I$56</f>
        <v>0.22</v>
      </c>
      <c r="D77" s="41">
        <f>IF(SUMIFS(_REF_Model_Content!$C$1:$C$174,_REF_Model_Content!$A$1:$A$174,PV_Canonical_Industry,_REF_Model_Content!$B$1:$B$174,$A77)=0,1,SUMIFS(_REF_Model_Content!$C$1:$C$174,_REF_Model_Content!$A$1:$A$174,PV_Canonical_Industry,_REF_Model_Content!$B$1:$B$174,$A77))</f>
        <v>1</v>
      </c>
      <c r="E77" s="47">
        <f t="shared" si="4"/>
        <v>0.33333333333333331</v>
      </c>
      <c r="F77" s="46">
        <f t="shared" si="5"/>
        <v>7.3333333333333334E-2</v>
      </c>
      <c r="G77" s="46">
        <f t="shared" si="6"/>
        <v>5.8823529411764705E-2</v>
      </c>
      <c r="H77" s="46">
        <f>IFERROR((_CONFIG_Model_Settings!$B$66*$F77+(1-_CONFIG_Model_Settings!$B$66)*$G77)/SUMPRODUCT(_CONFIG_Model_Settings!$B$66*$F$70:$F$86+(1-_CONFIG_Model_Settings!$B$66)*$G$70:$G$86),0)</f>
        <v>6.6078431372549026E-2</v>
      </c>
    </row>
    <row r="78" spans="1:12">
      <c r="A78" s="44" t="s">
        <v>1987</v>
      </c>
      <c r="B78" s="45" t="s">
        <v>11347</v>
      </c>
      <c r="C78" s="46">
        <f>_CONFIG_Model_Settings!$I$56</f>
        <v>0.22</v>
      </c>
      <c r="D78" s="41">
        <f>IF(SUMIFS(_REF_Model_Content!$C$1:$C$174,_REF_Model_Content!$A$1:$A$174,PV_Canonical_Industry,_REF_Model_Content!$B$1:$B$174,$A78)=0,1,SUMIFS(_REF_Model_Content!$C$1:$C$174,_REF_Model_Content!$A$1:$A$174,PV_Canonical_Industry,_REF_Model_Content!$B$1:$B$174,$A78))</f>
        <v>1</v>
      </c>
      <c r="E78" s="47">
        <f t="shared" si="4"/>
        <v>0.33333333333333331</v>
      </c>
      <c r="F78" s="46">
        <f t="shared" si="5"/>
        <v>7.3333333333333334E-2</v>
      </c>
      <c r="G78" s="46">
        <f t="shared" si="6"/>
        <v>5.8823529411764705E-2</v>
      </c>
      <c r="H78" s="46">
        <f>IFERROR((_CONFIG_Model_Settings!$B$66*$F78+(1-_CONFIG_Model_Settings!$B$66)*$G78)/SUMPRODUCT(_CONFIG_Model_Settings!$B$66*$F$70:$F$86+(1-_CONFIG_Model_Settings!$B$66)*$G$70:$G$86),0)</f>
        <v>6.6078431372549026E-2</v>
      </c>
    </row>
    <row r="79" spans="1:12">
      <c r="A79" s="44" t="s">
        <v>2145</v>
      </c>
      <c r="B79" s="45" t="s">
        <v>11347</v>
      </c>
      <c r="C79" s="46">
        <f>_CONFIG_Model_Settings!$I$56</f>
        <v>0.22</v>
      </c>
      <c r="D79" s="41">
        <f>IF(SUMIFS(_REF_Model_Content!$C$1:$C$174,_REF_Model_Content!$A$1:$A$174,PV_Canonical_Industry,_REF_Model_Content!$B$1:$B$174,$A79)=0,1,SUMIFS(_REF_Model_Content!$C$1:$C$174,_REF_Model_Content!$A$1:$A$174,PV_Canonical_Industry,_REF_Model_Content!$B$1:$B$174,$A79))</f>
        <v>1</v>
      </c>
      <c r="E79" s="47">
        <f t="shared" si="4"/>
        <v>0.33333333333333331</v>
      </c>
      <c r="F79" s="46">
        <f t="shared" si="5"/>
        <v>7.3333333333333334E-2</v>
      </c>
      <c r="G79" s="46">
        <f t="shared" si="6"/>
        <v>5.8823529411764705E-2</v>
      </c>
      <c r="H79" s="46">
        <f>IFERROR((_CONFIG_Model_Settings!$B$66*$F79+(1-_CONFIG_Model_Settings!$B$66)*$G79)/SUMPRODUCT(_CONFIG_Model_Settings!$B$66*$F$70:$F$86+(1-_CONFIG_Model_Settings!$B$66)*$G$70:$G$86),0)</f>
        <v>6.6078431372549026E-2</v>
      </c>
    </row>
    <row r="80" spans="1:12">
      <c r="A80" s="44" t="s">
        <v>2286</v>
      </c>
      <c r="B80" s="45" t="s">
        <v>11349</v>
      </c>
      <c r="C80" s="46">
        <f>_CONFIG_Model_Settings!$I$58</f>
        <v>0.12</v>
      </c>
      <c r="D80" s="41">
        <f>IF(SUMIFS(_REF_Model_Content!$C$1:$C$174,_REF_Model_Content!$A$1:$A$174,PV_Canonical_Industry,_REF_Model_Content!$B$1:$B$174,$A80)=0,1,SUMIFS(_REF_Model_Content!$C$1:$C$174,_REF_Model_Content!$A$1:$A$174,PV_Canonical_Industry,_REF_Model_Content!$B$1:$B$174,$A80))</f>
        <v>1</v>
      </c>
      <c r="E80" s="47">
        <f t="shared" si="4"/>
        <v>0.33333333333333331</v>
      </c>
      <c r="F80" s="46">
        <f t="shared" si="5"/>
        <v>3.9999999999999994E-2</v>
      </c>
      <c r="G80" s="46">
        <f t="shared" si="6"/>
        <v>5.8823529411764705E-2</v>
      </c>
      <c r="H80" s="46">
        <f>IFERROR((_CONFIG_Model_Settings!$B$66*$F80+(1-_CONFIG_Model_Settings!$B$66)*$G80)/SUMPRODUCT(_CONFIG_Model_Settings!$B$66*$F$70:$F$86+(1-_CONFIG_Model_Settings!$B$66)*$G$70:$G$86),0)</f>
        <v>4.9411764705882363E-2</v>
      </c>
    </row>
    <row r="81" spans="1:8">
      <c r="A81" s="44" t="s">
        <v>2473</v>
      </c>
      <c r="B81" s="45" t="s">
        <v>11349</v>
      </c>
      <c r="C81" s="46">
        <f>_CONFIG_Model_Settings!$I$58</f>
        <v>0.12</v>
      </c>
      <c r="D81" s="41">
        <f>IF(SUMIFS(_REF_Model_Content!$C$1:$C$174,_REF_Model_Content!$A$1:$A$174,PV_Canonical_Industry,_REF_Model_Content!$B$1:$B$174,$A81)=0,1,SUMIFS(_REF_Model_Content!$C$1:$C$174,_REF_Model_Content!$A$1:$A$174,PV_Canonical_Industry,_REF_Model_Content!$B$1:$B$174,$A81))</f>
        <v>1</v>
      </c>
      <c r="E81" s="47">
        <f t="shared" si="4"/>
        <v>0.33333333333333331</v>
      </c>
      <c r="F81" s="46">
        <f t="shared" si="5"/>
        <v>3.9999999999999994E-2</v>
      </c>
      <c r="G81" s="46">
        <f t="shared" si="6"/>
        <v>5.8823529411764705E-2</v>
      </c>
      <c r="H81" s="46">
        <f>IFERROR((_CONFIG_Model_Settings!$B$66*$F81+(1-_CONFIG_Model_Settings!$B$66)*$G81)/SUMPRODUCT(_CONFIG_Model_Settings!$B$66*$F$70:$F$86+(1-_CONFIG_Model_Settings!$B$66)*$G$70:$G$86),0)</f>
        <v>4.9411764705882363E-2</v>
      </c>
    </row>
    <row r="82" spans="1:8">
      <c r="A82" s="44" t="s">
        <v>2588</v>
      </c>
      <c r="B82" s="45" t="s">
        <v>11346</v>
      </c>
      <c r="C82" s="46">
        <f>_CONFIG_Model_Settings!$I$55</f>
        <v>0.25009999999999999</v>
      </c>
      <c r="D82" s="41">
        <f>IF(SUMIFS(_REF_Model_Content!$C$1:$C$174,_REF_Model_Content!$A$1:$A$174,PV_Canonical_Industry,_REF_Model_Content!$B$1:$B$174,$A82)=0,1,SUMIFS(_REF_Model_Content!$C$1:$C$174,_REF_Model_Content!$A$1:$A$174,PV_Canonical_Industry,_REF_Model_Content!$B$1:$B$174,$A82))</f>
        <v>1</v>
      </c>
      <c r="E82" s="47">
        <f t="shared" si="4"/>
        <v>0.25</v>
      </c>
      <c r="F82" s="46">
        <f t="shared" si="5"/>
        <v>6.2524999999999997E-2</v>
      </c>
      <c r="G82" s="46">
        <f t="shared" si="6"/>
        <v>5.8823529411764705E-2</v>
      </c>
      <c r="H82" s="46">
        <f>IFERROR((_CONFIG_Model_Settings!$B$66*$F82+(1-_CONFIG_Model_Settings!$B$66)*$G82)/SUMPRODUCT(_CONFIG_Model_Settings!$B$66*$F$70:$F$86+(1-_CONFIG_Model_Settings!$B$66)*$G$70:$G$86),0)</f>
        <v>6.0674264705882365E-2</v>
      </c>
    </row>
    <row r="83" spans="1:8">
      <c r="A83" s="44" t="s">
        <v>2729</v>
      </c>
      <c r="B83" s="45" t="s">
        <v>11346</v>
      </c>
      <c r="C83" s="46">
        <f>_CONFIG_Model_Settings!$I$55</f>
        <v>0.25009999999999999</v>
      </c>
      <c r="D83" s="41">
        <f>IF(SUMIFS(_REF_Model_Content!$C$1:$C$174,_REF_Model_Content!$A$1:$A$174,PV_Canonical_Industry,_REF_Model_Content!$B$1:$B$174,$A83)=0,1,SUMIFS(_REF_Model_Content!$C$1:$C$174,_REF_Model_Content!$A$1:$A$174,PV_Canonical_Industry,_REF_Model_Content!$B$1:$B$174,$A83))</f>
        <v>1</v>
      </c>
      <c r="E83" s="47">
        <f t="shared" si="4"/>
        <v>0.25</v>
      </c>
      <c r="F83" s="46">
        <f t="shared" si="5"/>
        <v>6.2524999999999997E-2</v>
      </c>
      <c r="G83" s="46">
        <f t="shared" si="6"/>
        <v>5.8823529411764705E-2</v>
      </c>
      <c r="H83" s="46">
        <f>IFERROR((_CONFIG_Model_Settings!$B$66*$F83+(1-_CONFIG_Model_Settings!$B$66)*$G83)/SUMPRODUCT(_CONFIG_Model_Settings!$B$66*$F$70:$F$86+(1-_CONFIG_Model_Settings!$B$66)*$G$70:$G$86),0)</f>
        <v>6.0674264705882365E-2</v>
      </c>
    </row>
    <row r="84" spans="1:8">
      <c r="A84" s="44" t="s">
        <v>2824</v>
      </c>
      <c r="B84" s="45" t="s">
        <v>11346</v>
      </c>
      <c r="C84" s="46">
        <f>_CONFIG_Model_Settings!$I$55</f>
        <v>0.25009999999999999</v>
      </c>
      <c r="D84" s="41">
        <f>IF(SUMIFS(_REF_Model_Content!$C$1:$C$174,_REF_Model_Content!$A$1:$A$174,PV_Canonical_Industry,_REF_Model_Content!$B$1:$B$174,$A84)=0,1,SUMIFS(_REF_Model_Content!$C$1:$C$174,_REF_Model_Content!$A$1:$A$174,PV_Canonical_Industry,_REF_Model_Content!$B$1:$B$174,$A84))</f>
        <v>1</v>
      </c>
      <c r="E84" s="47">
        <f t="shared" si="4"/>
        <v>0.25</v>
      </c>
      <c r="F84" s="46">
        <f t="shared" si="5"/>
        <v>6.2524999999999997E-2</v>
      </c>
      <c r="G84" s="46">
        <f t="shared" si="6"/>
        <v>5.8823529411764705E-2</v>
      </c>
      <c r="H84" s="46">
        <f>IFERROR((_CONFIG_Model_Settings!$B$66*$F84+(1-_CONFIG_Model_Settings!$B$66)*$G84)/SUMPRODUCT(_CONFIG_Model_Settings!$B$66*$F$70:$F$86+(1-_CONFIG_Model_Settings!$B$66)*$G$70:$G$86),0)</f>
        <v>6.0674264705882365E-2</v>
      </c>
    </row>
    <row r="85" spans="1:8">
      <c r="A85" s="44" t="s">
        <v>2986</v>
      </c>
      <c r="B85" s="45" t="s">
        <v>11346</v>
      </c>
      <c r="C85" s="46">
        <f>_CONFIG_Model_Settings!$I$55</f>
        <v>0.25009999999999999</v>
      </c>
      <c r="D85" s="41">
        <f>IF(SUMIFS(_REF_Model_Content!$C$1:$C$174,_REF_Model_Content!$A$1:$A$174,PV_Canonical_Industry,_REF_Model_Content!$B$1:$B$174,$A85)=0,1,SUMIFS(_REF_Model_Content!$C$1:$C$174,_REF_Model_Content!$A$1:$A$174,PV_Canonical_Industry,_REF_Model_Content!$B$1:$B$174,$A85))</f>
        <v>1</v>
      </c>
      <c r="E85" s="47">
        <f t="shared" si="4"/>
        <v>0.25</v>
      </c>
      <c r="F85" s="46">
        <f t="shared" si="5"/>
        <v>6.2524999999999997E-2</v>
      </c>
      <c r="G85" s="46">
        <f t="shared" si="6"/>
        <v>5.8823529411764705E-2</v>
      </c>
      <c r="H85" s="46">
        <f>IFERROR((_CONFIG_Model_Settings!$B$66*$F85+(1-_CONFIG_Model_Settings!$B$66)*$G85)/SUMPRODUCT(_CONFIG_Model_Settings!$B$66*$F$70:$F$86+(1-_CONFIG_Model_Settings!$B$66)*$G$70:$G$86),0)</f>
        <v>6.0674264705882365E-2</v>
      </c>
    </row>
    <row r="86" spans="1:8">
      <c r="A86" s="44" t="s">
        <v>3204</v>
      </c>
      <c r="B86" s="45" t="s">
        <v>11345</v>
      </c>
      <c r="C86" s="46">
        <f>_CONFIG_Model_Settings!$I$54</f>
        <v>0.16009999999999999</v>
      </c>
      <c r="D86" s="41">
        <f>IF(SUMIFS(_REF_Model_Content!$C$1:$C$174,_REF_Model_Content!$A$1:$A$174,PV_Canonical_Industry,_REF_Model_Content!$B$1:$B$174,$A86)=0,1,SUMIFS(_REF_Model_Content!$C$1:$C$174,_REF_Model_Content!$A$1:$A$174,PV_Canonical_Industry,_REF_Model_Content!$B$1:$B$174,$A86))</f>
        <v>1</v>
      </c>
      <c r="E86" s="47">
        <f t="shared" si="4"/>
        <v>0.33333333333333331</v>
      </c>
      <c r="F86" s="46">
        <f t="shared" si="5"/>
        <v>5.3366666666666659E-2</v>
      </c>
      <c r="G86" s="46">
        <f t="shared" si="6"/>
        <v>5.8823529411764705E-2</v>
      </c>
      <c r="H86" s="46">
        <f>IFERROR((_CONFIG_Model_Settings!$B$66*$F86+(1-_CONFIG_Model_Settings!$B$66)*$G86)/SUMPRODUCT(_CONFIG_Model_Settings!$B$66*$F$70:$F$86+(1-_CONFIG_Model_Settings!$B$66)*$G$70:$G$86),0)</f>
        <v>5.6095098039215696E-2</v>
      </c>
    </row>
    <row r="87" spans="1:8">
      <c r="G87" t="s">
        <v>11369</v>
      </c>
      <c r="H87" s="43">
        <f>SUM(H70:H86)</f>
        <v>1</v>
      </c>
    </row>
    <row r="100" spans="1:6">
      <c r="A100" t="s">
        <v>11370</v>
      </c>
    </row>
    <row r="101" spans="1:6">
      <c r="A101" t="s">
        <v>18</v>
      </c>
      <c r="B101" t="s">
        <v>11371</v>
      </c>
    </row>
    <row r="103" spans="1:6">
      <c r="A103" t="s">
        <v>11372</v>
      </c>
      <c r="B103" t="str">
        <f>IFERROR(INDEX(_ENGINE_Fuzzy_Posture!$A$11:$A$15,MATCH(MAX(_ENGINE_Fuzzy_Posture!$B$11:$B$15),_ENGINE_Fuzzy_Posture!$B$11:$B$15,0)),"Adaptive")</f>
        <v>Fragile</v>
      </c>
      <c r="C103" t="s">
        <v>11373</v>
      </c>
    </row>
    <row r="104" spans="1:6">
      <c r="A104" t="s">
        <v>11374</v>
      </c>
      <c r="C104" t="s">
        <v>11375</v>
      </c>
    </row>
    <row r="105" spans="1:6">
      <c r="A105" t="s">
        <v>11376</v>
      </c>
      <c r="B105">
        <v>75</v>
      </c>
      <c r="C105" t="s">
        <v>11377</v>
      </c>
    </row>
    <row r="106" spans="1:6">
      <c r="A106" t="s">
        <v>11378</v>
      </c>
      <c r="B106">
        <v>0.15</v>
      </c>
      <c r="C106" t="s">
        <v>11379</v>
      </c>
    </row>
    <row r="108" spans="1:6">
      <c r="A108" t="s">
        <v>11380</v>
      </c>
      <c r="B108" t="s">
        <v>11381</v>
      </c>
      <c r="C108" t="s">
        <v>11382</v>
      </c>
      <c r="D108" t="s">
        <v>11383</v>
      </c>
      <c r="E108" t="s">
        <v>11384</v>
      </c>
      <c r="F108" t="s">
        <v>11385</v>
      </c>
    </row>
    <row r="109" spans="1:6">
      <c r="A109" t="s">
        <v>3436</v>
      </c>
      <c r="B109">
        <v>0.2</v>
      </c>
      <c r="C109">
        <v>0.3</v>
      </c>
      <c r="D109">
        <v>0.4</v>
      </c>
      <c r="E109">
        <v>0.1</v>
      </c>
      <c r="F109" t="s">
        <v>11386</v>
      </c>
    </row>
    <row r="110" spans="1:6">
      <c r="A110" t="s">
        <v>3438</v>
      </c>
      <c r="B110">
        <v>0.25</v>
      </c>
      <c r="C110">
        <v>0.25</v>
      </c>
      <c r="D110">
        <v>0.35</v>
      </c>
      <c r="E110">
        <v>0.15</v>
      </c>
      <c r="F110" t="s">
        <v>11387</v>
      </c>
    </row>
    <row r="111" spans="1:6">
      <c r="A111" t="s">
        <v>3440</v>
      </c>
      <c r="B111">
        <v>0.3</v>
      </c>
      <c r="C111">
        <v>0.2</v>
      </c>
      <c r="D111">
        <v>0.25</v>
      </c>
      <c r="E111">
        <v>0.25</v>
      </c>
      <c r="F111" t="s">
        <v>11388</v>
      </c>
    </row>
    <row r="112" spans="1:6">
      <c r="A112" t="s">
        <v>3442</v>
      </c>
      <c r="B112">
        <v>0.3</v>
      </c>
      <c r="C112">
        <v>0.15</v>
      </c>
      <c r="D112">
        <v>0.2</v>
      </c>
      <c r="E112">
        <v>0.35</v>
      </c>
      <c r="F112" t="s">
        <v>11389</v>
      </c>
    </row>
    <row r="113" spans="1:7">
      <c r="A113" t="s">
        <v>3444</v>
      </c>
      <c r="B113">
        <v>0.35</v>
      </c>
      <c r="C113">
        <v>0.1</v>
      </c>
      <c r="D113">
        <v>0.15</v>
      </c>
      <c r="E113">
        <v>0.4</v>
      </c>
      <c r="F113" t="s">
        <v>11390</v>
      </c>
    </row>
    <row r="116" spans="1:7">
      <c r="A116" t="s">
        <v>11391</v>
      </c>
      <c r="B116" t="s">
        <v>11392</v>
      </c>
      <c r="C116" t="s">
        <v>11393</v>
      </c>
      <c r="D116" t="s">
        <v>11394</v>
      </c>
      <c r="E116" t="s">
        <v>11395</v>
      </c>
      <c r="F116" t="s">
        <v>11396</v>
      </c>
      <c r="G116" t="s">
        <v>3897</v>
      </c>
    </row>
    <row r="117" spans="1:7">
      <c r="A117" t="s">
        <v>11397</v>
      </c>
      <c r="B117">
        <v>1.2</v>
      </c>
      <c r="C117">
        <v>0.9</v>
      </c>
      <c r="D117">
        <v>1</v>
      </c>
      <c r="E117">
        <v>1.05</v>
      </c>
      <c r="F117">
        <v>1.2</v>
      </c>
      <c r="G117" t="s">
        <v>11398</v>
      </c>
    </row>
    <row r="118" spans="1:7">
      <c r="A118" t="s">
        <v>11399</v>
      </c>
      <c r="B118">
        <v>1.2</v>
      </c>
      <c r="C118">
        <v>1</v>
      </c>
      <c r="D118">
        <v>0.9</v>
      </c>
      <c r="E118">
        <v>1.25</v>
      </c>
      <c r="F118">
        <v>1.05</v>
      </c>
      <c r="G118" t="s">
        <v>11400</v>
      </c>
    </row>
    <row r="119" spans="1:7">
      <c r="A119" t="s">
        <v>11401</v>
      </c>
      <c r="B119">
        <v>1.1499999999999999</v>
      </c>
      <c r="C119">
        <v>1.05</v>
      </c>
      <c r="D119">
        <v>0.9</v>
      </c>
      <c r="E119">
        <v>1.3</v>
      </c>
      <c r="F119">
        <v>1</v>
      </c>
      <c r="G119" t="s">
        <v>11402</v>
      </c>
    </row>
    <row r="120" spans="1:7">
      <c r="A120" t="s">
        <v>11403</v>
      </c>
      <c r="B120">
        <v>1.25</v>
      </c>
      <c r="C120">
        <v>0.95</v>
      </c>
      <c r="D120">
        <v>1.05</v>
      </c>
      <c r="E120">
        <v>1.25</v>
      </c>
      <c r="F120">
        <v>1.1000000000000001</v>
      </c>
      <c r="G120" t="s">
        <v>11404</v>
      </c>
    </row>
    <row r="121" spans="1:7">
      <c r="A121" t="s">
        <v>11405</v>
      </c>
      <c r="B121">
        <v>1.1499999999999999</v>
      </c>
      <c r="C121">
        <v>0.95</v>
      </c>
      <c r="D121">
        <v>1.1000000000000001</v>
      </c>
      <c r="E121">
        <v>0.95</v>
      </c>
      <c r="F121">
        <v>1.2</v>
      </c>
      <c r="G121" t="s">
        <v>11406</v>
      </c>
    </row>
    <row r="122" spans="1:7">
      <c r="A122" t="s">
        <v>3743</v>
      </c>
      <c r="B122">
        <v>1</v>
      </c>
      <c r="C122">
        <v>1.2</v>
      </c>
      <c r="D122">
        <v>1.35</v>
      </c>
      <c r="E122">
        <v>0.9</v>
      </c>
      <c r="F122">
        <v>1.25</v>
      </c>
      <c r="G122" t="s">
        <v>11407</v>
      </c>
    </row>
    <row r="123" spans="1:7">
      <c r="A123" t="s">
        <v>1553</v>
      </c>
      <c r="B123">
        <v>0.95</v>
      </c>
      <c r="C123">
        <v>1.25</v>
      </c>
      <c r="D123">
        <v>1.3</v>
      </c>
      <c r="E123">
        <v>0.85</v>
      </c>
      <c r="F123">
        <v>1.3</v>
      </c>
      <c r="G123" t="s">
        <v>11408</v>
      </c>
    </row>
    <row r="126" spans="1:7">
      <c r="A126" t="s">
        <v>11409</v>
      </c>
      <c r="B126" t="s">
        <v>11410</v>
      </c>
    </row>
    <row r="127" spans="1:7">
      <c r="A127" t="s">
        <v>11411</v>
      </c>
      <c r="B127" t="s">
        <v>11412</v>
      </c>
    </row>
    <row r="128" spans="1:7">
      <c r="A128" t="s">
        <v>11413</v>
      </c>
      <c r="B128" t="s">
        <v>11414</v>
      </c>
    </row>
    <row r="130" spans="1:6">
      <c r="A130" t="s">
        <v>11415</v>
      </c>
      <c r="B130" t="s">
        <v>11416</v>
      </c>
    </row>
    <row r="132" spans="1:6">
      <c r="A132" t="s">
        <v>11417</v>
      </c>
      <c r="B132">
        <f>IFERROR(INDEX($B$117:$B$123,MATCH($B$104,$A$117:$A$123,0)),1)</f>
        <v>1</v>
      </c>
      <c r="C132">
        <f>IFERROR(INDEX($C$117:$C$123,MATCH($B$104,$A$117:$A$123,0)),1)</f>
        <v>1</v>
      </c>
      <c r="D132">
        <f>IFERROR(INDEX($D$117:$D$123,MATCH($B$104,$A$117:$A$123,0)),1)</f>
        <v>1</v>
      </c>
      <c r="E132">
        <f>IFERROR(INDEX($E$117:$E$123,MATCH($B$104,$A$117:$A$123,0)),1)</f>
        <v>1</v>
      </c>
      <c r="F132">
        <f>IFERROR(INDEX($F$117:$F$123,MATCH($B$104,$A$117:$A$123,0)),1)</f>
        <v>1</v>
      </c>
    </row>
    <row r="135" spans="1:6">
      <c r="A135" t="s">
        <v>11418</v>
      </c>
      <c r="B135" t="s">
        <v>11419</v>
      </c>
    </row>
    <row r="136" spans="1:6">
      <c r="A136" t="s">
        <v>11420</v>
      </c>
      <c r="B136" t="s">
        <v>11421</v>
      </c>
    </row>
    <row r="150" spans="1:24" ht="25.95" customHeight="1">
      <c r="A150" s="85" t="s">
        <v>11422</v>
      </c>
      <c r="B150" s="85"/>
      <c r="C150" s="85"/>
      <c r="D150" s="85"/>
      <c r="E150" s="85"/>
      <c r="F150" s="85"/>
      <c r="G150" s="85"/>
      <c r="H150" s="85"/>
      <c r="I150" s="85"/>
      <c r="J150" s="85"/>
      <c r="K150" s="85"/>
      <c r="L150" s="85"/>
    </row>
    <row r="151" spans="1:24" ht="34.1" customHeight="1">
      <c r="A151" s="77" t="s">
        <v>11423</v>
      </c>
      <c r="B151" s="77"/>
      <c r="C151" s="77"/>
      <c r="D151" s="77"/>
      <c r="E151" s="77"/>
      <c r="F151" s="77"/>
      <c r="G151" s="77"/>
      <c r="H151" s="77"/>
      <c r="I151" s="77"/>
      <c r="J151" s="77"/>
      <c r="K151" s="77"/>
      <c r="L151" s="77"/>
    </row>
    <row r="153" spans="1:24">
      <c r="A153" t="s">
        <v>373</v>
      </c>
      <c r="B153" t="s">
        <v>11424</v>
      </c>
      <c r="D153" t="s">
        <v>10617</v>
      </c>
      <c r="E153" t="s">
        <v>10642</v>
      </c>
      <c r="G153" t="s">
        <v>10618</v>
      </c>
      <c r="H153" t="s">
        <v>11425</v>
      </c>
      <c r="J153" t="s">
        <v>3807</v>
      </c>
      <c r="K153" t="s">
        <v>3804</v>
      </c>
      <c r="M153" t="s">
        <v>10782</v>
      </c>
      <c r="N153" t="s">
        <v>3804</v>
      </c>
      <c r="O153" t="s">
        <v>11426</v>
      </c>
      <c r="Q153" t="s">
        <v>665</v>
      </c>
      <c r="R153" t="s">
        <v>3804</v>
      </c>
      <c r="T153" t="s">
        <v>3820</v>
      </c>
      <c r="U153" t="s">
        <v>3804</v>
      </c>
      <c r="W153" t="s">
        <v>3815</v>
      </c>
      <c r="X153" t="s">
        <v>3804</v>
      </c>
    </row>
    <row r="154" spans="1:24">
      <c r="A154" t="s">
        <v>11427</v>
      </c>
      <c r="B154">
        <v>500</v>
      </c>
      <c r="D154">
        <v>1</v>
      </c>
      <c r="E154">
        <v>0.05</v>
      </c>
      <c r="G154">
        <v>1</v>
      </c>
      <c r="H154">
        <v>5.0000000000000001E-3</v>
      </c>
      <c r="J154" t="s">
        <v>11428</v>
      </c>
      <c r="K154">
        <v>1</v>
      </c>
      <c r="M154" t="s">
        <v>10788</v>
      </c>
      <c r="N154">
        <v>5</v>
      </c>
      <c r="O154">
        <v>0.05</v>
      </c>
      <c r="Q154" t="s">
        <v>11429</v>
      </c>
      <c r="R154">
        <v>5</v>
      </c>
      <c r="T154" t="s">
        <v>10788</v>
      </c>
      <c r="U154">
        <v>5</v>
      </c>
      <c r="W154" t="s">
        <v>11430</v>
      </c>
      <c r="X154">
        <v>5</v>
      </c>
    </row>
    <row r="155" spans="1:24">
      <c r="A155" t="s">
        <v>11431</v>
      </c>
      <c r="B155">
        <v>3000</v>
      </c>
      <c r="D155">
        <v>2</v>
      </c>
      <c r="E155">
        <v>0.15</v>
      </c>
      <c r="G155">
        <v>2</v>
      </c>
      <c r="H155">
        <v>0.01</v>
      </c>
      <c r="J155" t="s">
        <v>11432</v>
      </c>
      <c r="K155">
        <v>2.5</v>
      </c>
      <c r="M155" t="s">
        <v>11433</v>
      </c>
      <c r="N155">
        <v>4</v>
      </c>
      <c r="O155">
        <v>0.2</v>
      </c>
      <c r="Q155" t="s">
        <v>3406</v>
      </c>
      <c r="R155">
        <v>4</v>
      </c>
      <c r="T155" t="s">
        <v>11433</v>
      </c>
      <c r="U155">
        <v>4</v>
      </c>
      <c r="W155" t="s">
        <v>11434</v>
      </c>
      <c r="X155">
        <v>4</v>
      </c>
    </row>
    <row r="156" spans="1:24">
      <c r="A156" t="s">
        <v>11435</v>
      </c>
      <c r="B156">
        <v>12500</v>
      </c>
      <c r="D156">
        <v>3</v>
      </c>
      <c r="E156">
        <v>0.3</v>
      </c>
      <c r="G156">
        <v>3</v>
      </c>
      <c r="H156">
        <v>0.03</v>
      </c>
      <c r="J156" t="s">
        <v>11436</v>
      </c>
      <c r="K156">
        <v>3.5</v>
      </c>
      <c r="M156" t="s">
        <v>11437</v>
      </c>
      <c r="N156">
        <v>2.5</v>
      </c>
      <c r="O156">
        <v>0.45</v>
      </c>
      <c r="Q156" t="s">
        <v>3405</v>
      </c>
      <c r="R156">
        <v>3</v>
      </c>
      <c r="T156" t="s">
        <v>11437</v>
      </c>
      <c r="U156">
        <v>2.5</v>
      </c>
      <c r="W156" t="s">
        <v>11438</v>
      </c>
      <c r="X156">
        <v>3</v>
      </c>
    </row>
    <row r="157" spans="1:24">
      <c r="A157" t="s">
        <v>11439</v>
      </c>
      <c r="B157">
        <v>60000</v>
      </c>
      <c r="D157">
        <v>4</v>
      </c>
      <c r="E157">
        <v>0.5</v>
      </c>
      <c r="G157">
        <v>4</v>
      </c>
      <c r="H157">
        <v>7.0000000000000007E-2</v>
      </c>
      <c r="J157" t="s">
        <v>11440</v>
      </c>
      <c r="K157">
        <v>5</v>
      </c>
      <c r="M157" t="s">
        <v>11441</v>
      </c>
      <c r="N157">
        <v>1.5</v>
      </c>
      <c r="O157">
        <v>0.75</v>
      </c>
      <c r="Q157" t="s">
        <v>3404</v>
      </c>
      <c r="R157">
        <v>1.5</v>
      </c>
      <c r="T157" t="s">
        <v>11441</v>
      </c>
      <c r="U157">
        <v>1.5</v>
      </c>
      <c r="W157" t="s">
        <v>11442</v>
      </c>
      <c r="X157">
        <v>1</v>
      </c>
    </row>
    <row r="158" spans="1:24">
      <c r="A158" t="s">
        <v>11443</v>
      </c>
      <c r="B158">
        <v>200000</v>
      </c>
      <c r="D158">
        <v>5</v>
      </c>
      <c r="E158">
        <v>0.7</v>
      </c>
      <c r="G158">
        <v>5</v>
      </c>
      <c r="H158">
        <v>0.15</v>
      </c>
      <c r="J158" t="s">
        <v>11444</v>
      </c>
      <c r="K158">
        <v>2</v>
      </c>
      <c r="M158" t="s">
        <v>10815</v>
      </c>
      <c r="N158">
        <v>2</v>
      </c>
      <c r="O158">
        <v>0.3</v>
      </c>
      <c r="Q158" t="s">
        <v>11444</v>
      </c>
      <c r="R158">
        <v>2</v>
      </c>
      <c r="T158" t="s">
        <v>11444</v>
      </c>
      <c r="U158">
        <v>2</v>
      </c>
      <c r="W158" t="s">
        <v>11445</v>
      </c>
      <c r="X158">
        <v>1</v>
      </c>
    </row>
    <row r="159" spans="1:24">
      <c r="M159" t="s">
        <v>11444</v>
      </c>
      <c r="N159">
        <v>2</v>
      </c>
      <c r="O159">
        <v>0.3</v>
      </c>
      <c r="W159" t="s">
        <v>10815</v>
      </c>
      <c r="X159">
        <v>2</v>
      </c>
    </row>
    <row r="160" spans="1:24">
      <c r="M160" t="s">
        <v>10810</v>
      </c>
      <c r="N160">
        <v>3</v>
      </c>
      <c r="O160">
        <v>0</v>
      </c>
      <c r="W160" t="s">
        <v>11444</v>
      </c>
      <c r="X160">
        <v>2</v>
      </c>
    </row>
    <row r="169" spans="1:3">
      <c r="A169" t="s">
        <v>11446</v>
      </c>
      <c r="B169">
        <v>0.7</v>
      </c>
    </row>
    <row r="171" spans="1:3">
      <c r="A171" t="s">
        <v>11447</v>
      </c>
    </row>
    <row r="172" spans="1:3">
      <c r="A172" t="s">
        <v>11448</v>
      </c>
      <c r="B172">
        <v>20</v>
      </c>
      <c r="C172" t="s">
        <v>11449</v>
      </c>
    </row>
    <row r="173" spans="1:3">
      <c r="A173" t="s">
        <v>11450</v>
      </c>
      <c r="B173">
        <v>0.15</v>
      </c>
      <c r="C173" t="s">
        <v>11451</v>
      </c>
    </row>
    <row r="174" spans="1:3">
      <c r="A174" t="s">
        <v>11452</v>
      </c>
      <c r="B174">
        <v>0.1</v>
      </c>
      <c r="C174" t="s">
        <v>11453</v>
      </c>
    </row>
    <row r="175" spans="1:3">
      <c r="A175" t="s">
        <v>11454</v>
      </c>
      <c r="B175">
        <v>0.25</v>
      </c>
      <c r="C175" t="s">
        <v>11455</v>
      </c>
    </row>
    <row r="177" spans="1:3">
      <c r="A177" t="s">
        <v>11456</v>
      </c>
      <c r="B177" t="s">
        <v>11457</v>
      </c>
      <c r="C177" t="s">
        <v>11458</v>
      </c>
    </row>
    <row r="178" spans="1:3">
      <c r="A178" t="s">
        <v>11459</v>
      </c>
      <c r="B178" t="s">
        <v>11460</v>
      </c>
      <c r="C178" t="s">
        <v>11461</v>
      </c>
    </row>
    <row r="179" spans="1:3">
      <c r="A179" t="s">
        <v>11462</v>
      </c>
      <c r="B179">
        <f>_CONFIG!B16</f>
        <v>250620</v>
      </c>
      <c r="C179" t="s">
        <v>11463</v>
      </c>
    </row>
    <row r="180" spans="1:3">
      <c r="A180" t="s">
        <v>11464</v>
      </c>
      <c r="B180">
        <f>_CONFIG!B17</f>
        <v>250619</v>
      </c>
      <c r="C180" t="s">
        <v>11465</v>
      </c>
    </row>
    <row r="181" spans="1:3">
      <c r="A181" t="s">
        <v>11466</v>
      </c>
      <c r="B181" t="s">
        <v>11467</v>
      </c>
      <c r="C181" t="s">
        <v>11468</v>
      </c>
    </row>
  </sheetData>
  <mergeCells count="1">
    <mergeCell ref="A1:D1"/>
  </mergeCells>
  <dataValidations count="1">
    <dataValidation type="list" showErrorMessage="1" sqref="B178" xr:uid="{00000000-0002-0000-0D00-000000000000}">
      <formula1>"Frozen,Live"</formula1>
    </dataValidation>
  </dataValidations>
  <pageMargins left="0.75" right="0.75" top="1" bottom="1" header="0.5" footer="0.5"/>
  <pageSetup fitToHeight="0" orientation="landscape"/>
  <headerFooter>
    <oddFooter>&amp;R© Roman Reznikov / RR-framework — CC BY-NC-SA 4.0 — For authorized use only</oddFooter>
    <evenFooter>&amp;R© Roman Reznikov / RR-framework — CC BY-NC-SA 4.0 — For authorized use only</evenFooter>
    <firstFooter>&amp;R© Roman Reznikov / RR-framework — CC BY-NC-SA 4.0 — For authorized use only</first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35"/>
  <sheetViews>
    <sheetView workbookViewId="0">
      <pane ySplit="4" topLeftCell="A5" activePane="bottomLeft" state="frozen"/>
      <selection pane="bottomLeft"/>
    </sheetView>
  </sheetViews>
  <sheetFormatPr defaultRowHeight="14.15"/>
  <cols>
    <col min="1" max="1" width="26" customWidth="1"/>
    <col min="2" max="2" width="58" customWidth="1"/>
    <col min="3" max="3" width="20" customWidth="1"/>
    <col min="4" max="5" width="18" customWidth="1"/>
    <col min="6" max="6" width="12" customWidth="1"/>
  </cols>
  <sheetData>
    <row r="1" spans="1:6">
      <c r="A1" s="308" t="s">
        <v>11469</v>
      </c>
      <c r="B1" s="267"/>
      <c r="C1" s="267"/>
      <c r="D1" s="267"/>
      <c r="E1" s="267"/>
      <c r="F1" s="267"/>
    </row>
    <row r="2" spans="1:6">
      <c r="A2" t="s">
        <v>18</v>
      </c>
      <c r="B2" t="s">
        <v>11470</v>
      </c>
    </row>
    <row r="4" spans="1:6">
      <c r="A4" t="s">
        <v>11471</v>
      </c>
      <c r="B4" t="s">
        <v>348</v>
      </c>
      <c r="C4" t="s">
        <v>11472</v>
      </c>
      <c r="D4" t="s">
        <v>744</v>
      </c>
    </row>
    <row r="5" spans="1:6">
      <c r="A5" t="s">
        <v>3423</v>
      </c>
      <c r="B5">
        <f>IFERROR(SUM(_DATA_Dashboard_Facts!$E$5:$E$21)/SUM(_DATA_Dashboard_Facts!$F$5:$F$21)*5,3)</f>
        <v>0</v>
      </c>
      <c r="D5" t="s">
        <v>11473</v>
      </c>
    </row>
    <row r="6" spans="1:6">
      <c r="A6" t="s">
        <v>3646</v>
      </c>
      <c r="B6">
        <f>'Resilience &amp; Risk Scenario'!$B$6</f>
        <v>0</v>
      </c>
      <c r="D6" t="s">
        <v>11474</v>
      </c>
    </row>
    <row r="7" spans="1:6">
      <c r="A7" t="s">
        <v>3421</v>
      </c>
      <c r="B7">
        <f>'Resilience &amp; Risk Scenario'!$B$7</f>
        <v>0</v>
      </c>
      <c r="C7" t="s">
        <v>11475</v>
      </c>
      <c r="D7" t="s">
        <v>11476</v>
      </c>
    </row>
    <row r="8" spans="1:6">
      <c r="A8" t="s">
        <v>3426</v>
      </c>
      <c r="B8">
        <f>IFERROR((COUNTIFS(_ENGINE_Risk!$B$500:$B$923,"Yes",_ENGINE_Risk!$I$500:$I$923,"Critical")+COUNTIFS(_ENGINE_Risk!$B$500:$B$923,"Yes",_ENGINE_Risk!$I$500:$I$923,"High"))/COUNTIFS(_ENGINE_Risk!$B$500:$B$923,"Yes",_ENGINE_Risk!$I$500:$I$923,"&lt;&gt;"),0)</f>
        <v>1</v>
      </c>
      <c r="C8" t="s">
        <v>11477</v>
      </c>
      <c r="D8" t="s">
        <v>11478</v>
      </c>
    </row>
    <row r="10" spans="1:6">
      <c r="A10" t="s">
        <v>11380</v>
      </c>
      <c r="B10" t="s">
        <v>3434</v>
      </c>
      <c r="C10" t="s">
        <v>3435</v>
      </c>
      <c r="D10" t="s">
        <v>11479</v>
      </c>
    </row>
    <row r="11" spans="1:6">
      <c r="A11" t="s">
        <v>3436</v>
      </c>
      <c r="B11">
        <f>IFERROR(MAX(0,MIN(1,(2-IF(ISNUMBER($B$5),$B$5,3))/2)),0)</f>
        <v>1</v>
      </c>
      <c r="C11" t="s">
        <v>3437</v>
      </c>
      <c r="D11" t="s">
        <v>11480</v>
      </c>
    </row>
    <row r="12" spans="1:6">
      <c r="A12" t="s">
        <v>3438</v>
      </c>
      <c r="B12">
        <f>IFERROR(MAX(0,MIN((IF(ISNUMBER($B$5),$B$5,3)-0.5)/1.5,(3.2-IF(ISNUMBER($B$5),$B$5,3))/1.2)),0)</f>
        <v>0</v>
      </c>
      <c r="C12" t="s">
        <v>11481</v>
      </c>
      <c r="D12" t="s">
        <v>11482</v>
      </c>
    </row>
    <row r="13" spans="1:6">
      <c r="A13" t="s">
        <v>3440</v>
      </c>
      <c r="B13">
        <f>IFERROR(MAX(0,MIN((IF(ISNUMBER($B$5),$B$5,3)-2)/1.5,(4-IF(ISNUMBER($B$5),$B$5,3))/1)),0)</f>
        <v>0</v>
      </c>
      <c r="C13" t="s">
        <v>3441</v>
      </c>
      <c r="D13" t="s">
        <v>11483</v>
      </c>
    </row>
    <row r="14" spans="1:6">
      <c r="A14" t="s">
        <v>3442</v>
      </c>
      <c r="B14">
        <f>IFERROR(MAX(0,MIN((IF(ISNUMBER($B$5),$B$5,3)-3.2)/1,(4.8-IF(ISNUMBER($B$5),$B$5,3))/0.8)),0)</f>
        <v>0</v>
      </c>
      <c r="C14" t="s">
        <v>3443</v>
      </c>
      <c r="D14" t="s">
        <v>11484</v>
      </c>
    </row>
    <row r="15" spans="1:6">
      <c r="A15" t="s">
        <v>3444</v>
      </c>
      <c r="B15">
        <f>IFERROR(MAX(0,MIN(1,(IF(ISNUMBER($B$5),$B$5,3)-4.2)/0.8)),0)</f>
        <v>0</v>
      </c>
      <c r="C15" t="s">
        <v>3445</v>
      </c>
      <c r="D15" t="s">
        <v>11485</v>
      </c>
    </row>
    <row r="17" spans="1:6">
      <c r="A17" t="s">
        <v>3839</v>
      </c>
      <c r="B17" t="s">
        <v>11486</v>
      </c>
      <c r="C17" t="s">
        <v>10833</v>
      </c>
      <c r="D17" t="s">
        <v>3529</v>
      </c>
      <c r="E17" t="s">
        <v>11487</v>
      </c>
      <c r="F17" t="s">
        <v>3447</v>
      </c>
    </row>
    <row r="18" spans="1:6">
      <c r="A18" t="str">
        <f>_ENGINE_Strategy!$A$5</f>
        <v>STR-01</v>
      </c>
      <c r="B18" t="str">
        <f>_ENGINE_Strategy!$B$5</f>
        <v>Digital Foundation Strategy</v>
      </c>
      <c r="C18">
        <f>_ENGINE_Strategy!$J$5</f>
        <v>4</v>
      </c>
      <c r="D18">
        <f>_ENGINE_Strategy!$N$5</f>
        <v>3</v>
      </c>
      <c r="E18">
        <f>IFERROR(ROUND((_ENGINE_Strategy!$J$5*0.4)+(_ENGINE_Strategy!$L$5*($B$11+$B$12)*1.5)+(_ENGINE_Strategy!$M$5*$B$13*1)+(_ENGINE_Strategy!$K$5*($B$14+$B$15)*0.8)+($B$8*2)-(_ENGINE_Strategy!$N$5*0.15),2),0)</f>
        <v>7.65</v>
      </c>
      <c r="F18">
        <f t="shared" ref="F18:F31" si="0">1+COUNTIF($E$18:$E$31,"&gt;"&amp;E18)</f>
        <v>12</v>
      </c>
    </row>
    <row r="19" spans="1:6">
      <c r="A19" t="str">
        <f>_ENGINE_Strategy!$A$6</f>
        <v>STR-02</v>
      </c>
      <c r="B19" t="str">
        <f>_ENGINE_Strategy!$B$6</f>
        <v>Business Continuity and Resilience Strategy</v>
      </c>
      <c r="C19">
        <f>_ENGINE_Strategy!$J$6</f>
        <v>5</v>
      </c>
      <c r="D19">
        <f>_ENGINE_Strategy!$N$6</f>
        <v>3</v>
      </c>
      <c r="E19">
        <f>IFERROR(ROUND((_ENGINE_Strategy!$J$6*0.4)+(_ENGINE_Strategy!$L$6*($B$11+$B$12)*1.5)+(_ENGINE_Strategy!$M$6*$B$13*1)+(_ENGINE_Strategy!$K$6*($B$14+$B$15)*0.8)+($B$8*2)-(_ENGINE_Strategy!$N$6*0.15),2),0)</f>
        <v>11.05</v>
      </c>
      <c r="F19">
        <f t="shared" si="0"/>
        <v>1</v>
      </c>
    </row>
    <row r="20" spans="1:6">
      <c r="A20" t="str">
        <f>_ENGINE_Strategy!$A$7</f>
        <v>STR-03</v>
      </c>
      <c r="B20" t="str">
        <f>_ENGINE_Strategy!$B$7</f>
        <v>Cloud and Infrastructure Resilience Strategy</v>
      </c>
      <c r="C20">
        <f>_ENGINE_Strategy!$J$7</f>
        <v>5</v>
      </c>
      <c r="D20">
        <f>_ENGINE_Strategy!$N$7</f>
        <v>4</v>
      </c>
      <c r="E20">
        <f>IFERROR(ROUND((_ENGINE_Strategy!$J$7*0.4)+(_ENGINE_Strategy!$L$7*($B$11+$B$12)*1.5)+(_ENGINE_Strategy!$M$7*$B$13*1)+(_ENGINE_Strategy!$K$7*($B$14+$B$15)*0.8)+($B$8*2)-(_ENGINE_Strategy!$N$7*0.15),2),0)</f>
        <v>10.9</v>
      </c>
      <c r="F20">
        <f t="shared" si="0"/>
        <v>3</v>
      </c>
    </row>
    <row r="21" spans="1:6">
      <c r="A21" t="str">
        <f>_ENGINE_Strategy!$A$8</f>
        <v>STR-04</v>
      </c>
      <c r="B21" t="str">
        <f>_ENGINE_Strategy!$B$8</f>
        <v>Cyber Resilience Strategy</v>
      </c>
      <c r="C21">
        <f>_ENGINE_Strategy!$J$8</f>
        <v>5</v>
      </c>
      <c r="D21">
        <f>_ENGINE_Strategy!$N$8</f>
        <v>4</v>
      </c>
      <c r="E21">
        <f>IFERROR(ROUND((_ENGINE_Strategy!$J$8*0.4)+(_ENGINE_Strategy!$L$8*($B$11+$B$12)*1.5)+(_ENGINE_Strategy!$M$8*$B$13*1)+(_ENGINE_Strategy!$K$8*($B$14+$B$15)*0.8)+($B$8*2)-(_ENGINE_Strategy!$N$8*0.15),2),0)</f>
        <v>10.9</v>
      </c>
      <c r="F21">
        <f t="shared" si="0"/>
        <v>3</v>
      </c>
    </row>
    <row r="22" spans="1:6">
      <c r="A22" t="str">
        <f>_ENGINE_Strategy!$A$9</f>
        <v>STR-05</v>
      </c>
      <c r="B22" t="str">
        <f>_ENGINE_Strategy!$B$9</f>
        <v>Data Governance and AI Readiness Strategy</v>
      </c>
      <c r="C22">
        <f>_ENGINE_Strategy!$J$9</f>
        <v>4</v>
      </c>
      <c r="D22">
        <f>_ENGINE_Strategy!$N$9</f>
        <v>4</v>
      </c>
      <c r="E22">
        <f>IFERROR(ROUND((_ENGINE_Strategy!$J$9*0.4)+(_ENGINE_Strategy!$L$9*($B$11+$B$12)*1.5)+(_ENGINE_Strategy!$M$9*$B$13*1)+(_ENGINE_Strategy!$K$9*($B$14+$B$15)*0.8)+($B$8*2)-(_ENGINE_Strategy!$N$9*0.15),2),0)</f>
        <v>7.5</v>
      </c>
      <c r="F22">
        <f t="shared" si="0"/>
        <v>13</v>
      </c>
    </row>
    <row r="23" spans="1:6">
      <c r="A23" t="str">
        <f>_ENGINE_Strategy!$A$10</f>
        <v>STR-06</v>
      </c>
      <c r="B23" t="str">
        <f>_ENGINE_Strategy!$B$10</f>
        <v>Workforce Resilience Strategy</v>
      </c>
      <c r="C23">
        <f>_ENGINE_Strategy!$J$10</f>
        <v>4</v>
      </c>
      <c r="D23">
        <f>_ENGINE_Strategy!$N$10</f>
        <v>3</v>
      </c>
      <c r="E23">
        <f>IFERROR(ROUND((_ENGINE_Strategy!$J$10*0.4)+(_ENGINE_Strategy!$L$10*($B$11+$B$12)*1.5)+(_ENGINE_Strategy!$M$10*$B$13*1)+(_ENGINE_Strategy!$K$10*($B$14+$B$15)*0.8)+($B$8*2)-(_ENGINE_Strategy!$N$10*0.15),2),0)</f>
        <v>10.65</v>
      </c>
      <c r="F23">
        <f t="shared" si="0"/>
        <v>6</v>
      </c>
    </row>
    <row r="24" spans="1:6">
      <c r="A24" t="str">
        <f>_ENGINE_Strategy!$A$11</f>
        <v>STR-07</v>
      </c>
      <c r="B24" t="str">
        <f>_ENGINE_Strategy!$B$11</f>
        <v>Operational Excellence and Automation Strategy</v>
      </c>
      <c r="C24">
        <f>_ENGINE_Strategy!$J$11</f>
        <v>4</v>
      </c>
      <c r="D24">
        <f>_ENGINE_Strategy!$N$11</f>
        <v>4</v>
      </c>
      <c r="E24">
        <f>IFERROR(ROUND((_ENGINE_Strategy!$J$11*0.4)+(_ENGINE_Strategy!$L$11*($B$11+$B$12)*1.5)+(_ENGINE_Strategy!$M$11*$B$13*1)+(_ENGINE_Strategy!$K$11*($B$14+$B$15)*0.8)+($B$8*2)-(_ENGINE_Strategy!$N$11*0.15),2),0)</f>
        <v>7.5</v>
      </c>
      <c r="F24">
        <f t="shared" si="0"/>
        <v>13</v>
      </c>
    </row>
    <row r="25" spans="1:6">
      <c r="A25" t="str">
        <f>_ENGINE_Strategy!$A$12</f>
        <v>STR-08</v>
      </c>
      <c r="B25" t="str">
        <f>_ENGINE_Strategy!$B$12</f>
        <v>Supply Chain and Delivery Resilience Strategy</v>
      </c>
      <c r="C25">
        <f>_ENGINE_Strategy!$J$12</f>
        <v>5</v>
      </c>
      <c r="D25">
        <f>_ENGINE_Strategy!$N$12</f>
        <v>4</v>
      </c>
      <c r="E25">
        <f>IFERROR(ROUND((_ENGINE_Strategy!$J$12*0.4)+(_ENGINE_Strategy!$L$12*($B$11+$B$12)*1.5)+(_ENGINE_Strategy!$M$12*$B$13*1)+(_ENGINE_Strategy!$K$12*($B$14+$B$15)*0.8)+($B$8*2)-(_ENGINE_Strategy!$N$12*0.15),2),0)</f>
        <v>10.9</v>
      </c>
      <c r="F25">
        <f t="shared" si="0"/>
        <v>3</v>
      </c>
    </row>
    <row r="26" spans="1:6">
      <c r="A26" t="str">
        <f>_ENGINE_Strategy!$A$13</f>
        <v>STR-09</v>
      </c>
      <c r="B26" t="str">
        <f>_ENGINE_Strategy!$B$13</f>
        <v>Manufacturing Continuity and MES Strategy</v>
      </c>
      <c r="C26">
        <f>_ENGINE_Strategy!$J$13</f>
        <v>4</v>
      </c>
      <c r="D26">
        <f>_ENGINE_Strategy!$N$13</f>
        <v>5</v>
      </c>
      <c r="E26">
        <f>IFERROR(ROUND((_ENGINE_Strategy!$J$13*0.4)+(_ENGINE_Strategy!$L$13*($B$11+$B$12)*1.5)+(_ENGINE_Strategy!$M$13*$B$13*1)+(_ENGINE_Strategy!$K$13*($B$14+$B$15)*0.8)+($B$8*2)-(_ENGINE_Strategy!$N$13*0.15),2),0)</f>
        <v>10.35</v>
      </c>
      <c r="F26">
        <f t="shared" si="0"/>
        <v>7</v>
      </c>
    </row>
    <row r="27" spans="1:6">
      <c r="A27" t="str">
        <f>_ENGINE_Strategy!$A$14</f>
        <v>STR-10</v>
      </c>
      <c r="B27" t="str">
        <f>_ENGINE_Strategy!$B$14</f>
        <v>Physical Safety and Site Resilience Strategy</v>
      </c>
      <c r="C27">
        <f>_ENGINE_Strategy!$J$14</f>
        <v>5</v>
      </c>
      <c r="D27">
        <f>_ENGINE_Strategy!$N$14</f>
        <v>3</v>
      </c>
      <c r="E27">
        <f>IFERROR(ROUND((_ENGINE_Strategy!$J$14*0.4)+(_ENGINE_Strategy!$L$14*($B$11+$B$12)*1.5)+(_ENGINE_Strategy!$M$14*$B$13*1)+(_ENGINE_Strategy!$K$14*($B$14+$B$15)*0.8)+($B$8*2)-(_ENGINE_Strategy!$N$14*0.15),2),0)</f>
        <v>11.05</v>
      </c>
      <c r="F27">
        <f t="shared" si="0"/>
        <v>1</v>
      </c>
    </row>
    <row r="28" spans="1:6">
      <c r="A28" t="str">
        <f>_ENGINE_Strategy!$A$15</f>
        <v>STR-11</v>
      </c>
      <c r="B28" t="str">
        <f>_ENGINE_Strategy!$B$15</f>
        <v>Sales Channel Diversification Strategy</v>
      </c>
      <c r="C28">
        <f>_ENGINE_Strategy!$J$15</f>
        <v>4</v>
      </c>
      <c r="D28">
        <f>_ENGINE_Strategy!$N$15</f>
        <v>4</v>
      </c>
      <c r="E28">
        <f>IFERROR(ROUND((_ENGINE_Strategy!$J$15*0.4)+(_ENGINE_Strategy!$L$15*($B$11+$B$12)*1.5)+(_ENGINE_Strategy!$M$15*$B$13*1)+(_ENGINE_Strategy!$K$15*($B$14+$B$15)*0.8)+($B$8*2)-(_ENGINE_Strategy!$N$15*0.15),2),0)</f>
        <v>9</v>
      </c>
      <c r="F28">
        <f t="shared" si="0"/>
        <v>11</v>
      </c>
    </row>
    <row r="29" spans="1:6">
      <c r="A29" t="str">
        <f>_ENGINE_Strategy!$A$16</f>
        <v>STR-12</v>
      </c>
      <c r="B29" t="str">
        <f>_ENGINE_Strategy!$B$16</f>
        <v>Customer Retention and Revenue Protection Strategy</v>
      </c>
      <c r="C29">
        <f>_ENGINE_Strategy!$J$16</f>
        <v>4</v>
      </c>
      <c r="D29">
        <f>_ENGINE_Strategy!$N$16</f>
        <v>3</v>
      </c>
      <c r="E29">
        <f>IFERROR(ROUND((_ENGINE_Strategy!$J$16*0.4)+(_ENGINE_Strategy!$L$16*($B$11+$B$12)*1.5)+(_ENGINE_Strategy!$M$16*$B$13*1)+(_ENGINE_Strategy!$K$16*($B$14+$B$15)*0.8)+($B$8*2)-(_ENGINE_Strategy!$N$16*0.15),2),0)</f>
        <v>9.15</v>
      </c>
      <c r="F29">
        <f t="shared" si="0"/>
        <v>9</v>
      </c>
    </row>
    <row r="30" spans="1:6">
      <c r="A30" t="str">
        <f>_ENGINE_Strategy!$A$17</f>
        <v>STR-13</v>
      </c>
      <c r="B30" t="str">
        <f>_ENGINE_Strategy!$B$17</f>
        <v>Compliance and Risk Control Strategy</v>
      </c>
      <c r="C30">
        <f>_ENGINE_Strategy!$J$17</f>
        <v>4</v>
      </c>
      <c r="D30">
        <f>_ENGINE_Strategy!$N$17</f>
        <v>3</v>
      </c>
      <c r="E30">
        <f>IFERROR(ROUND((_ENGINE_Strategy!$J$17*0.4)+(_ENGINE_Strategy!$L$17*($B$11+$B$12)*1.5)+(_ENGINE_Strategy!$M$17*$B$13*1)+(_ENGINE_Strategy!$K$17*($B$14+$B$15)*0.8)+($B$8*2)-(_ENGINE_Strategy!$N$17*0.15),2),0)</f>
        <v>9.15</v>
      </c>
      <c r="F30">
        <f t="shared" si="0"/>
        <v>9</v>
      </c>
    </row>
    <row r="31" spans="1:6">
      <c r="A31" t="str">
        <f>_ENGINE_Strategy!$A$18</f>
        <v>STR-14</v>
      </c>
      <c r="B31" t="str">
        <f>_ENGINE_Strategy!$B$18</f>
        <v>Governance and Decision-Speed Strategy</v>
      </c>
      <c r="C31">
        <f>_ENGINE_Strategy!$J$18</f>
        <v>5</v>
      </c>
      <c r="D31">
        <f>_ENGINE_Strategy!$N$18</f>
        <v>2</v>
      </c>
      <c r="E31">
        <f>IFERROR(ROUND((_ENGINE_Strategy!$J$18*0.4)+(_ENGINE_Strategy!$L$18*($B$11+$B$12)*1.5)+(_ENGINE_Strategy!$M$18*$B$13*1)+(_ENGINE_Strategy!$K$18*($B$14+$B$15)*0.8)+($B$8*2)-(_ENGINE_Strategy!$N$18*0.15),2),0)</f>
        <v>9.6999999999999993</v>
      </c>
      <c r="F31">
        <f t="shared" si="0"/>
        <v>8</v>
      </c>
    </row>
    <row r="33" spans="1:3">
      <c r="A33" t="s">
        <v>11488</v>
      </c>
      <c r="B33" t="str">
        <f>IFERROR(INDEX($B$18:$B$31,MATCH(1,$F$18:$F$31,0)),"Adaptive resilience package")</f>
        <v>Business Continuity and Resilience Strategy</v>
      </c>
      <c r="C33" t="s">
        <v>11489</v>
      </c>
    </row>
    <row r="34" spans="1:3">
      <c r="A34" t="s">
        <v>11490</v>
      </c>
      <c r="B34" t="s">
        <v>11491</v>
      </c>
    </row>
    <row r="35" spans="1:3">
      <c r="A35" t="s">
        <v>11492</v>
      </c>
      <c r="B35" t="s">
        <v>11493</v>
      </c>
    </row>
  </sheetData>
  <mergeCells count="1">
    <mergeCell ref="A1:F1"/>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27"/>
  <sheetViews>
    <sheetView workbookViewId="0">
      <pane ySplit="4" topLeftCell="A5" activePane="bottomLeft" state="frozen"/>
      <selection pane="bottomLeft"/>
    </sheetView>
  </sheetViews>
  <sheetFormatPr defaultRowHeight="14.15"/>
  <cols>
    <col min="1" max="1" width="30" customWidth="1"/>
    <col min="2" max="2" width="16" customWidth="1"/>
    <col min="3" max="3" width="18" customWidth="1"/>
    <col min="4" max="4" width="22" customWidth="1"/>
    <col min="5" max="5" width="24" customWidth="1"/>
    <col min="6" max="6" width="15" customWidth="1"/>
    <col min="7" max="7" width="20" customWidth="1"/>
    <col min="8" max="8" width="82" customWidth="1"/>
  </cols>
  <sheetData>
    <row r="1" spans="1:8">
      <c r="A1" t="s">
        <v>11494</v>
      </c>
    </row>
    <row r="2" spans="1:8">
      <c r="A2" t="s">
        <v>18</v>
      </c>
      <c r="B2" t="s">
        <v>11495</v>
      </c>
    </row>
    <row r="4" spans="1:8">
      <c r="A4" t="s">
        <v>764</v>
      </c>
      <c r="B4" t="s">
        <v>11496</v>
      </c>
      <c r="C4" t="s">
        <v>11497</v>
      </c>
      <c r="D4" t="s">
        <v>11498</v>
      </c>
      <c r="E4" t="s">
        <v>11499</v>
      </c>
      <c r="F4" t="s">
        <v>11500</v>
      </c>
      <c r="G4" t="s">
        <v>11501</v>
      </c>
      <c r="H4" t="s">
        <v>3897</v>
      </c>
    </row>
    <row r="5" spans="1:8">
      <c r="A5" t="s">
        <v>815</v>
      </c>
      <c r="B5">
        <v>3</v>
      </c>
      <c r="C5">
        <v>0</v>
      </c>
      <c r="D5">
        <v>3</v>
      </c>
      <c r="E5">
        <v>3</v>
      </c>
      <c r="F5" t="s">
        <v>11502</v>
      </c>
      <c r="G5">
        <v>1</v>
      </c>
      <c r="H5" t="s">
        <v>11503</v>
      </c>
    </row>
    <row r="6" spans="1:8">
      <c r="A6" t="s">
        <v>949</v>
      </c>
      <c r="B6">
        <v>3</v>
      </c>
      <c r="C6">
        <v>0</v>
      </c>
      <c r="D6">
        <v>3</v>
      </c>
      <c r="E6">
        <v>3</v>
      </c>
      <c r="F6" t="s">
        <v>11502</v>
      </c>
      <c r="G6">
        <v>1</v>
      </c>
      <c r="H6" t="s">
        <v>11503</v>
      </c>
    </row>
    <row r="7" spans="1:8">
      <c r="A7" t="s">
        <v>1150</v>
      </c>
      <c r="B7">
        <v>3</v>
      </c>
      <c r="C7">
        <v>0</v>
      </c>
      <c r="D7">
        <v>3</v>
      </c>
      <c r="E7">
        <v>4</v>
      </c>
      <c r="F7" t="s">
        <v>11504</v>
      </c>
      <c r="G7">
        <v>4</v>
      </c>
      <c r="H7" t="s">
        <v>11503</v>
      </c>
    </row>
    <row r="8" spans="1:8">
      <c r="A8" t="s">
        <v>1259</v>
      </c>
      <c r="B8">
        <v>3</v>
      </c>
      <c r="C8">
        <v>0</v>
      </c>
      <c r="D8">
        <v>3</v>
      </c>
      <c r="E8">
        <v>3</v>
      </c>
      <c r="F8" t="s">
        <v>11502</v>
      </c>
      <c r="G8">
        <v>1</v>
      </c>
      <c r="H8" t="s">
        <v>11503</v>
      </c>
    </row>
    <row r="9" spans="1:8">
      <c r="A9" t="s">
        <v>1401</v>
      </c>
      <c r="B9">
        <v>3</v>
      </c>
      <c r="C9">
        <v>0</v>
      </c>
      <c r="D9">
        <v>3</v>
      </c>
      <c r="E9">
        <v>4</v>
      </c>
      <c r="F9" t="s">
        <v>11504</v>
      </c>
      <c r="G9">
        <v>4</v>
      </c>
      <c r="H9" t="s">
        <v>11503</v>
      </c>
    </row>
    <row r="10" spans="1:8">
      <c r="A10" t="s">
        <v>1551</v>
      </c>
      <c r="B10">
        <v>3</v>
      </c>
      <c r="C10">
        <v>0</v>
      </c>
      <c r="D10">
        <v>3</v>
      </c>
      <c r="E10">
        <v>4</v>
      </c>
      <c r="F10" t="s">
        <v>11504</v>
      </c>
      <c r="G10">
        <v>5</v>
      </c>
      <c r="H10" t="s">
        <v>11503</v>
      </c>
    </row>
    <row r="11" spans="1:8">
      <c r="A11" t="s">
        <v>1666</v>
      </c>
      <c r="B11">
        <v>3</v>
      </c>
      <c r="C11">
        <v>0</v>
      </c>
      <c r="D11">
        <v>3</v>
      </c>
      <c r="E11">
        <v>4</v>
      </c>
      <c r="F11" t="s">
        <v>11504</v>
      </c>
      <c r="G11">
        <v>5</v>
      </c>
      <c r="H11" t="s">
        <v>11503</v>
      </c>
    </row>
    <row r="12" spans="1:8">
      <c r="A12" t="s">
        <v>1859</v>
      </c>
      <c r="B12">
        <v>3</v>
      </c>
      <c r="C12">
        <v>0</v>
      </c>
      <c r="D12">
        <v>3</v>
      </c>
      <c r="E12">
        <v>3</v>
      </c>
      <c r="F12" t="s">
        <v>11502</v>
      </c>
      <c r="G12">
        <v>1</v>
      </c>
      <c r="H12" t="s">
        <v>11503</v>
      </c>
    </row>
    <row r="13" spans="1:8">
      <c r="A13" t="s">
        <v>1987</v>
      </c>
      <c r="B13">
        <v>3</v>
      </c>
      <c r="C13">
        <v>0</v>
      </c>
      <c r="D13">
        <v>3</v>
      </c>
      <c r="E13">
        <v>4</v>
      </c>
      <c r="F13" t="s">
        <v>11502</v>
      </c>
      <c r="G13">
        <v>1</v>
      </c>
      <c r="H13" t="s">
        <v>11503</v>
      </c>
    </row>
    <row r="14" spans="1:8">
      <c r="A14" t="s">
        <v>2145</v>
      </c>
      <c r="B14">
        <v>3</v>
      </c>
      <c r="C14">
        <v>0</v>
      </c>
      <c r="D14">
        <v>3</v>
      </c>
      <c r="E14">
        <v>4</v>
      </c>
      <c r="F14" t="s">
        <v>11502</v>
      </c>
      <c r="G14">
        <v>1</v>
      </c>
      <c r="H14" t="s">
        <v>11503</v>
      </c>
    </row>
    <row r="15" spans="1:8">
      <c r="A15" t="s">
        <v>2286</v>
      </c>
      <c r="B15">
        <v>3</v>
      </c>
      <c r="C15">
        <v>0</v>
      </c>
      <c r="D15">
        <v>3</v>
      </c>
      <c r="E15">
        <v>3</v>
      </c>
      <c r="F15" t="s">
        <v>11502</v>
      </c>
      <c r="G15">
        <v>1</v>
      </c>
      <c r="H15" t="s">
        <v>11503</v>
      </c>
    </row>
    <row r="16" spans="1:8">
      <c r="A16" t="s">
        <v>2473</v>
      </c>
      <c r="B16">
        <v>3</v>
      </c>
      <c r="C16">
        <v>0</v>
      </c>
      <c r="D16">
        <v>3</v>
      </c>
      <c r="E16">
        <v>2</v>
      </c>
      <c r="F16" t="s">
        <v>11502</v>
      </c>
      <c r="G16">
        <v>1</v>
      </c>
      <c r="H16" t="s">
        <v>11503</v>
      </c>
    </row>
    <row r="17" spans="1:8">
      <c r="A17" t="s">
        <v>2588</v>
      </c>
      <c r="B17">
        <v>3</v>
      </c>
      <c r="C17">
        <v>0</v>
      </c>
      <c r="D17">
        <v>3</v>
      </c>
      <c r="E17">
        <v>4</v>
      </c>
      <c r="F17" t="s">
        <v>11504</v>
      </c>
      <c r="G17">
        <v>4</v>
      </c>
      <c r="H17" t="s">
        <v>11503</v>
      </c>
    </row>
    <row r="18" spans="1:8">
      <c r="A18" t="s">
        <v>2729</v>
      </c>
      <c r="B18">
        <v>3</v>
      </c>
      <c r="C18">
        <v>0</v>
      </c>
      <c r="D18">
        <v>3</v>
      </c>
      <c r="E18">
        <v>4</v>
      </c>
      <c r="F18" t="s">
        <v>11504</v>
      </c>
      <c r="G18">
        <v>4</v>
      </c>
      <c r="H18" t="s">
        <v>11503</v>
      </c>
    </row>
    <row r="19" spans="1:8">
      <c r="A19" t="s">
        <v>2824</v>
      </c>
      <c r="B19">
        <v>3</v>
      </c>
      <c r="C19">
        <v>0</v>
      </c>
      <c r="D19">
        <v>3</v>
      </c>
      <c r="E19">
        <v>3</v>
      </c>
      <c r="F19" t="s">
        <v>11502</v>
      </c>
      <c r="G19">
        <v>1</v>
      </c>
      <c r="H19" t="s">
        <v>11503</v>
      </c>
    </row>
    <row r="20" spans="1:8">
      <c r="A20" t="s">
        <v>2986</v>
      </c>
      <c r="B20">
        <v>3</v>
      </c>
      <c r="C20">
        <v>0</v>
      </c>
      <c r="D20">
        <v>3</v>
      </c>
      <c r="E20">
        <v>4</v>
      </c>
      <c r="F20" t="s">
        <v>11504</v>
      </c>
      <c r="G20">
        <v>5</v>
      </c>
      <c r="H20" t="s">
        <v>11503</v>
      </c>
    </row>
    <row r="21" spans="1:8">
      <c r="A21" t="s">
        <v>3204</v>
      </c>
      <c r="B21">
        <v>3</v>
      </c>
      <c r="C21">
        <v>0</v>
      </c>
      <c r="D21">
        <v>3</v>
      </c>
      <c r="E21">
        <v>3</v>
      </c>
      <c r="F21" t="s">
        <v>11504</v>
      </c>
      <c r="G21">
        <v>4</v>
      </c>
      <c r="H21" t="s">
        <v>11503</v>
      </c>
    </row>
    <row r="23" spans="1:8">
      <c r="A23" t="s">
        <v>11505</v>
      </c>
    </row>
    <row r="24" spans="1:8">
      <c r="A24" t="s">
        <v>10652</v>
      </c>
      <c r="B24" t="s">
        <v>11506</v>
      </c>
    </row>
    <row r="25" spans="1:8">
      <c r="A25" t="s">
        <v>10653</v>
      </c>
      <c r="B25" t="s">
        <v>11507</v>
      </c>
    </row>
    <row r="26" spans="1:8">
      <c r="A26" t="s">
        <v>11508</v>
      </c>
      <c r="B26" t="s">
        <v>11509</v>
      </c>
    </row>
    <row r="27" spans="1:8">
      <c r="A27" t="s">
        <v>11415</v>
      </c>
      <c r="B27" t="s">
        <v>11510</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K34"/>
  <sheetViews>
    <sheetView workbookViewId="0"/>
  </sheetViews>
  <sheetFormatPr defaultRowHeight="14.15"/>
  <cols>
    <col min="1" max="1" width="34" customWidth="1"/>
    <col min="2" max="16" width="12" customWidth="1"/>
  </cols>
  <sheetData>
    <row r="1" spans="1:37">
      <c r="A1" t="s">
        <v>11511</v>
      </c>
    </row>
    <row r="2" spans="1:37">
      <c r="A2" t="s">
        <v>11512</v>
      </c>
    </row>
    <row r="4" spans="1:37">
      <c r="A4" t="s">
        <v>10792</v>
      </c>
      <c r="B4">
        <f>_ENGINE_Crisis!$AH$277</f>
        <v>0.35</v>
      </c>
      <c r="D4" t="s">
        <v>3411</v>
      </c>
      <c r="E4">
        <f>'Resilience &amp; Risk Scenario'!$B$6</f>
        <v>0</v>
      </c>
    </row>
    <row r="5" spans="1:37">
      <c r="U5">
        <v>1</v>
      </c>
      <c r="V5">
        <v>1</v>
      </c>
      <c r="W5">
        <v>1</v>
      </c>
      <c r="X5">
        <v>1</v>
      </c>
      <c r="Y5">
        <v>1</v>
      </c>
      <c r="Z5">
        <v>1</v>
      </c>
      <c r="AA5">
        <v>1</v>
      </c>
      <c r="AB5">
        <v>1</v>
      </c>
      <c r="AC5">
        <v>1</v>
      </c>
      <c r="AD5">
        <v>1</v>
      </c>
      <c r="AE5">
        <v>1</v>
      </c>
      <c r="AF5">
        <v>1</v>
      </c>
      <c r="AG5">
        <v>1</v>
      </c>
      <c r="AH5">
        <v>1</v>
      </c>
      <c r="AI5">
        <v>1</v>
      </c>
      <c r="AJ5">
        <v>1</v>
      </c>
      <c r="AK5">
        <v>1</v>
      </c>
    </row>
    <row r="6" spans="1:37">
      <c r="A6" t="s">
        <v>764</v>
      </c>
      <c r="B6" t="s">
        <v>11513</v>
      </c>
      <c r="C6" t="s">
        <v>11514</v>
      </c>
      <c r="D6" t="s">
        <v>11515</v>
      </c>
      <c r="E6" t="s">
        <v>11516</v>
      </c>
      <c r="F6" t="s">
        <v>11517</v>
      </c>
      <c r="G6" t="s">
        <v>11518</v>
      </c>
      <c r="H6" t="s">
        <v>11519</v>
      </c>
      <c r="I6" t="s">
        <v>11520</v>
      </c>
      <c r="J6" t="s">
        <v>11521</v>
      </c>
      <c r="K6" t="s">
        <v>11522</v>
      </c>
      <c r="L6" t="s">
        <v>11523</v>
      </c>
      <c r="M6" t="s">
        <v>11524</v>
      </c>
      <c r="N6" t="s">
        <v>11525</v>
      </c>
      <c r="O6" t="s">
        <v>11526</v>
      </c>
      <c r="P6" t="s">
        <v>11527</v>
      </c>
      <c r="Q6" t="s">
        <v>11528</v>
      </c>
      <c r="S6" t="s">
        <v>11529</v>
      </c>
    </row>
    <row r="7" spans="1:37">
      <c r="A7" t="str">
        <f>_CONFIG_Risk_Calibration!A5</f>
        <v>Company Geography</v>
      </c>
      <c r="B7">
        <f>COUNTIFS(_ENGINE_Risk!$B$5:$B$428,$A7)</f>
        <v>19</v>
      </c>
      <c r="C7">
        <f>IFERROR(AVERAGEIFS(_ENGINE_Risk!$AN$5:$AN$428,_ENGINE_Risk!$B$5:$B$428,$A7),0)</f>
        <v>1</v>
      </c>
      <c r="D7">
        <f>IFERROR(AVERAGEIFS(_ENGINE_Risk!$AO$5:$AO$428,_ENGINE_Risk!$B$5:$B$428,$A7),0)</f>
        <v>60</v>
      </c>
      <c r="E7">
        <f>IFERROR(VLOOKUP($A7,_CONFIG_Risk_Calibration!$A$5:$D$21,4,FALSE),3)</f>
        <v>3</v>
      </c>
      <c r="F7">
        <f>_CONFIG_Model_Settings!$B$173+_CONFIG_Model_Settings!$B$174*(E7-1)</f>
        <v>0.35</v>
      </c>
      <c r="G7">
        <f t="shared" ref="G7:G23" si="0">IFERROR(INDEX($S$7:$S$23,ROW()-6),1)</f>
        <v>1.1375865473482785</v>
      </c>
      <c r="H7">
        <f>IF(OR($E$4="",$E$4=0),1,IFERROR(IF(SUMIFS(_ENGINE_Crisis!$D$5:$D$208,_ENGINE_Crisis!$A$5:$A$208,$E$4,_ENGINE_Crisis!$B$5:$B$208,$A7)=0,1,SUMIFS(_ENGINE_Crisis!$D$5:$D$208,_ENGINE_Crisis!$A$5:$A$208,$E$4,_ENGINE_Crisis!$B$5:$B$208,$A7)),1))</f>
        <v>1</v>
      </c>
      <c r="I7">
        <f t="shared" ref="I7:I23" si="1">D7*G7*H7*Q7</f>
        <v>68.255192840896711</v>
      </c>
      <c r="J7">
        <f t="shared" ref="J7:J23" si="2">I7*(1-F7)</f>
        <v>44.365875346582861</v>
      </c>
      <c r="K7">
        <f t="shared" ref="K7:K23" si="3">I7*(1+F7)</f>
        <v>92.144510335210569</v>
      </c>
      <c r="L7">
        <f t="shared" ref="L7:L23" si="4">B7*C7</f>
        <v>19</v>
      </c>
      <c r="M7">
        <f t="shared" ref="M7:M23" si="5">B7*C7*(1-C7)</f>
        <v>0</v>
      </c>
      <c r="N7">
        <f t="shared" ref="N7:N23" si="6">(K7-J7)^2/24</f>
        <v>95.116581724021657</v>
      </c>
      <c r="O7">
        <f t="shared" ref="O7:O23" si="7">L7*I7</f>
        <v>1296.8486639770376</v>
      </c>
      <c r="P7">
        <f t="shared" ref="P7:P23" si="8">M7*I7^2+L7^2*N7+M7*N7</f>
        <v>34337.08600237182</v>
      </c>
      <c r="Q7">
        <f>IF(PV_Canonical_Industry="",1,IFERROR(SUMIFS(_REF_Model_Content!$C$5:$C$157,_REF_Model_Content!$A$5:$A$157,PV_Canonical_Industry,_REF_Model_Content!$B$5:$B$157,$A7)/AVERAGEIFS(_REF_Model_Content!$C$5:$C$157,_REF_Model_Content!$A$5:$A$157,PV_Canonical_Industry),1))</f>
        <v>1</v>
      </c>
      <c r="S7">
        <f t="shared" ref="S7:S23" si="9">IFERROR(SUMPRODUCT(INDEX(MINVERSE($U$7:$AK$23),ROW()-ROW($S$7)+1,0),$U$5:$AK$5),"")</f>
        <v>1.1375865473482785</v>
      </c>
      <c r="U7">
        <f>--((ROW()-ROW($U$7))=(COLUMN()-COLUMN($U$7)))-N($B$4)*N(INDEX(_ENGINE_Crisis!$AI$253:$AY$269,COLUMN()-COLUMN($U$7)+1,ROW()-ROW($U$7)+1))</f>
        <v>1</v>
      </c>
      <c r="V7">
        <f>--((ROW()-ROW($U$7))=(COLUMN()-COLUMN($U$7)))-N($B$4)*N(INDEX(_ENGINE_Crisis!$AI$253:$AY$269,COLUMN()-COLUMN($U$7)+1,ROW()-ROW($U$7)+1))</f>
        <v>0</v>
      </c>
      <c r="W7">
        <f>--((ROW()-ROW($U$7))=(COLUMN()-COLUMN($U$7)))-N($B$4)*N(INDEX(_ENGINE_Crisis!$AI$253:$AY$269,COLUMN()-COLUMN($U$7)+1,ROW()-ROW($U$7)+1))</f>
        <v>0</v>
      </c>
      <c r="X7">
        <f>--((ROW()-ROW($U$7))=(COLUMN()-COLUMN($U$7)))-N($B$4)*N(INDEX(_ENGINE_Crisis!$AI$253:$AY$269,COLUMN()-COLUMN($U$7)+1,ROW()-ROW($U$7)+1))</f>
        <v>0</v>
      </c>
      <c r="Y7">
        <f>--((ROW()-ROW($U$7))=(COLUMN()-COLUMN($U$7)))-N($B$4)*N(INDEX(_ENGINE_Crisis!$AI$253:$AY$269,COLUMN()-COLUMN($U$7)+1,ROW()-ROW($U$7)+1))</f>
        <v>0</v>
      </c>
      <c r="Z7">
        <f>--((ROW()-ROW($U$7))=(COLUMN()-COLUMN($U$7)))-N($B$4)*N(INDEX(_ENGINE_Crisis!$AI$253:$AY$269,COLUMN()-COLUMN($U$7)+1,ROW()-ROW($U$7)+1))</f>
        <v>0</v>
      </c>
      <c r="AA7">
        <f>--((ROW()-ROW($U$7))=(COLUMN()-COLUMN($U$7)))-N($B$4)*N(INDEX(_ENGINE_Crisis!$AI$253:$AY$269,COLUMN()-COLUMN($U$7)+1,ROW()-ROW($U$7)+1))</f>
        <v>-0.105</v>
      </c>
      <c r="AB7">
        <f>--((ROW()-ROW($U$7))=(COLUMN()-COLUMN($U$7)))-N($B$4)*N(INDEX(_ENGINE_Crisis!$AI$253:$AY$269,COLUMN()-COLUMN($U$7)+1,ROW()-ROW($U$7)+1))</f>
        <v>0</v>
      </c>
      <c r="AC7">
        <f>--((ROW()-ROW($U$7))=(COLUMN()-COLUMN($U$7)))-N($B$4)*N(INDEX(_ENGINE_Crisis!$AI$253:$AY$269,COLUMN()-COLUMN($U$7)+1,ROW()-ROW($U$7)+1))</f>
        <v>0</v>
      </c>
      <c r="AD7">
        <f>--((ROW()-ROW($U$7))=(COLUMN()-COLUMN($U$7)))-N($B$4)*N(INDEX(_ENGINE_Crisis!$AI$253:$AY$269,COLUMN()-COLUMN($U$7)+1,ROW()-ROW($U$7)+1))</f>
        <v>0</v>
      </c>
      <c r="AE7">
        <f>--((ROW()-ROW($U$7))=(COLUMN()-COLUMN($U$7)))-N($B$4)*N(INDEX(_ENGINE_Crisis!$AI$253:$AY$269,COLUMN()-COLUMN($U$7)+1,ROW()-ROW($U$7)+1))</f>
        <v>0</v>
      </c>
      <c r="AF7">
        <f>--((ROW()-ROW($U$7))=(COLUMN()-COLUMN($U$7)))-N($B$4)*N(INDEX(_ENGINE_Crisis!$AI$253:$AY$269,COLUMN()-COLUMN($U$7)+1,ROW()-ROW($U$7)+1))</f>
        <v>0</v>
      </c>
      <c r="AG7">
        <f>--((ROW()-ROW($U$7))=(COLUMN()-COLUMN($U$7)))-N($B$4)*N(INDEX(_ENGINE_Crisis!$AI$253:$AY$269,COLUMN()-COLUMN($U$7)+1,ROW()-ROW($U$7)+1))</f>
        <v>0</v>
      </c>
      <c r="AH7">
        <f>--((ROW()-ROW($U$7))=(COLUMN()-COLUMN($U$7)))-N($B$4)*N(INDEX(_ENGINE_Crisis!$AI$253:$AY$269,COLUMN()-COLUMN($U$7)+1,ROW()-ROW($U$7)+1))</f>
        <v>0</v>
      </c>
      <c r="AI7">
        <f>--((ROW()-ROW($U$7))=(COLUMN()-COLUMN($U$7)))-N($B$4)*N(INDEX(_ENGINE_Crisis!$AI$253:$AY$269,COLUMN()-COLUMN($U$7)+1,ROW()-ROW($U$7)+1))</f>
        <v>0</v>
      </c>
      <c r="AJ7">
        <f>--((ROW()-ROW($U$7))=(COLUMN()-COLUMN($U$7)))-N($B$4)*N(INDEX(_ENGINE_Crisis!$AI$253:$AY$269,COLUMN()-COLUMN($U$7)+1,ROW()-ROW($U$7)+1))</f>
        <v>0</v>
      </c>
      <c r="AK7">
        <f>--((ROW()-ROW($U$7))=(COLUMN()-COLUMN($U$7)))-N($B$4)*N(INDEX(_ENGINE_Crisis!$AI$253:$AY$269,COLUMN()-COLUMN($U$7)+1,ROW()-ROW($U$7)+1))</f>
        <v>0</v>
      </c>
    </row>
    <row r="8" spans="1:37">
      <c r="A8" t="str">
        <f>_CONFIG_Risk_Calibration!A6</f>
        <v>Strategy GTM</v>
      </c>
      <c r="B8">
        <f>COUNTIFS(_ENGINE_Risk!$B$5:$B$428,$A8)</f>
        <v>26</v>
      </c>
      <c r="C8">
        <f>IFERROR(AVERAGEIFS(_ENGINE_Risk!$AN$5:$AN$428,_ENGINE_Risk!$B$5:$B$428,$A8),0)</f>
        <v>1</v>
      </c>
      <c r="D8">
        <f>IFERROR(AVERAGEIFS(_ENGINE_Risk!$AO$5:$AO$428,_ENGINE_Risk!$B$5:$B$428,$A8),0)</f>
        <v>60</v>
      </c>
      <c r="E8">
        <f>IFERROR(VLOOKUP($A8,_CONFIG_Risk_Calibration!$A$5:$D$21,4,FALSE),3)</f>
        <v>3</v>
      </c>
      <c r="F8">
        <f>_CONFIG_Model_Settings!$B$173+_CONFIG_Model_Settings!$B$174*(E8-1)</f>
        <v>0.35</v>
      </c>
      <c r="G8">
        <f t="shared" si="0"/>
        <v>1.8428159209971169</v>
      </c>
      <c r="H8">
        <f>IF(OR($E$4="",$E$4=0),1,IFERROR(IF(SUMIFS(_ENGINE_Crisis!$D$5:$D$208,_ENGINE_Crisis!$A$5:$A$208,$E$4,_ENGINE_Crisis!$B$5:$B$208,$A8)=0,1,SUMIFS(_ENGINE_Crisis!$D$5:$D$208,_ENGINE_Crisis!$A$5:$A$208,$E$4,_ENGINE_Crisis!$B$5:$B$208,$A8)),1))</f>
        <v>1</v>
      </c>
      <c r="I8">
        <f t="shared" si="1"/>
        <v>110.56895525982701</v>
      </c>
      <c r="J8">
        <f t="shared" si="2"/>
        <v>71.869820918887555</v>
      </c>
      <c r="K8">
        <f t="shared" si="3"/>
        <v>149.26808960076647</v>
      </c>
      <c r="L8">
        <f t="shared" si="4"/>
        <v>26</v>
      </c>
      <c r="M8">
        <f t="shared" si="5"/>
        <v>0</v>
      </c>
      <c r="N8">
        <f t="shared" si="6"/>
        <v>249.60383312301329</v>
      </c>
      <c r="O8">
        <f t="shared" si="7"/>
        <v>2874.7928367555023</v>
      </c>
      <c r="P8">
        <f t="shared" si="8"/>
        <v>168732.19119115698</v>
      </c>
      <c r="Q8">
        <f>IF(PV_Canonical_Industry="",1,IFERROR(SUMIFS(_REF_Model_Content!$C$5:$C$157,_REF_Model_Content!$A$5:$A$157,PV_Canonical_Industry,_REF_Model_Content!$B$5:$B$157,$A8)/AVERAGEIFS(_REF_Model_Content!$C$5:$C$157,_REF_Model_Content!$A$5:$A$157,PV_Canonical_Industry),1))</f>
        <v>1</v>
      </c>
      <c r="S8">
        <f t="shared" si="9"/>
        <v>1.8428159209971169</v>
      </c>
      <c r="U8">
        <f>--((ROW()-ROW($U$7))=(COLUMN()-COLUMN($U$7)))-N($B$4)*N(INDEX(_ENGINE_Crisis!$AI$253:$AY$269,COLUMN()-COLUMN($U$7)+1,ROW()-ROW($U$7)+1))</f>
        <v>0</v>
      </c>
      <c r="V8">
        <f>--((ROW()-ROW($U$7))=(COLUMN()-COLUMN($U$7)))-N($B$4)*N(INDEX(_ENGINE_Crisis!$AI$253:$AY$269,COLUMN()-COLUMN($U$7)+1,ROW()-ROW($U$7)+1))</f>
        <v>1</v>
      </c>
      <c r="W8">
        <f>--((ROW()-ROW($U$7))=(COLUMN()-COLUMN($U$7)))-N($B$4)*N(INDEX(_ENGINE_Crisis!$AI$253:$AY$269,COLUMN()-COLUMN($U$7)+1,ROW()-ROW($U$7)+1))</f>
        <v>-0.105</v>
      </c>
      <c r="X8">
        <f>--((ROW()-ROW($U$7))=(COLUMN()-COLUMN($U$7)))-N($B$4)*N(INDEX(_ENGINE_Crisis!$AI$253:$AY$269,COLUMN()-COLUMN($U$7)+1,ROW()-ROW($U$7)+1))</f>
        <v>0</v>
      </c>
      <c r="Y8">
        <f>--((ROW()-ROW($U$7))=(COLUMN()-COLUMN($U$7)))-N($B$4)*N(INDEX(_ENGINE_Crisis!$AI$253:$AY$269,COLUMN()-COLUMN($U$7)+1,ROW()-ROW($U$7)+1))</f>
        <v>-0.105</v>
      </c>
      <c r="Z8">
        <f>--((ROW()-ROW($U$7))=(COLUMN()-COLUMN($U$7)))-N($B$4)*N(INDEX(_ENGINE_Crisis!$AI$253:$AY$269,COLUMN()-COLUMN($U$7)+1,ROW()-ROW($U$7)+1))</f>
        <v>-6.9999999999999993E-2</v>
      </c>
      <c r="AA8">
        <f>--((ROW()-ROW($U$7))=(COLUMN()-COLUMN($U$7)))-N($B$4)*N(INDEX(_ENGINE_Crisis!$AI$253:$AY$269,COLUMN()-COLUMN($U$7)+1,ROW()-ROW($U$7)+1))</f>
        <v>0</v>
      </c>
      <c r="AB8">
        <f>--((ROW()-ROW($U$7))=(COLUMN()-COLUMN($U$7)))-N($B$4)*N(INDEX(_ENGINE_Crisis!$AI$253:$AY$269,COLUMN()-COLUMN($U$7)+1,ROW()-ROW($U$7)+1))</f>
        <v>0</v>
      </c>
      <c r="AC8">
        <f>--((ROW()-ROW($U$7))=(COLUMN()-COLUMN($U$7)))-N($B$4)*N(INDEX(_ENGINE_Crisis!$AI$253:$AY$269,COLUMN()-COLUMN($U$7)+1,ROW()-ROW($U$7)+1))</f>
        <v>0</v>
      </c>
      <c r="AD8">
        <f>--((ROW()-ROW($U$7))=(COLUMN()-COLUMN($U$7)))-N($B$4)*N(INDEX(_ENGINE_Crisis!$AI$253:$AY$269,COLUMN()-COLUMN($U$7)+1,ROW()-ROW($U$7)+1))</f>
        <v>0</v>
      </c>
      <c r="AE8">
        <f>--((ROW()-ROW($U$7))=(COLUMN()-COLUMN($U$7)))-N($B$4)*N(INDEX(_ENGINE_Crisis!$AI$253:$AY$269,COLUMN()-COLUMN($U$7)+1,ROW()-ROW($U$7)+1))</f>
        <v>0</v>
      </c>
      <c r="AF8">
        <f>--((ROW()-ROW($U$7))=(COLUMN()-COLUMN($U$7)))-N($B$4)*N(INDEX(_ENGINE_Crisis!$AI$253:$AY$269,COLUMN()-COLUMN($U$7)+1,ROW()-ROW($U$7)+1))</f>
        <v>0</v>
      </c>
      <c r="AG8">
        <f>--((ROW()-ROW($U$7))=(COLUMN()-COLUMN($U$7)))-N($B$4)*N(INDEX(_ENGINE_Crisis!$AI$253:$AY$269,COLUMN()-COLUMN($U$7)+1,ROW()-ROW($U$7)+1))</f>
        <v>0</v>
      </c>
      <c r="AH8">
        <f>--((ROW()-ROW($U$7))=(COLUMN()-COLUMN($U$7)))-N($B$4)*N(INDEX(_ENGINE_Crisis!$AI$253:$AY$269,COLUMN()-COLUMN($U$7)+1,ROW()-ROW($U$7)+1))</f>
        <v>0</v>
      </c>
      <c r="AI8">
        <f>--((ROW()-ROW($U$7))=(COLUMN()-COLUMN($U$7)))-N($B$4)*N(INDEX(_ENGINE_Crisis!$AI$253:$AY$269,COLUMN()-COLUMN($U$7)+1,ROW()-ROW($U$7)+1))</f>
        <v>-0.105</v>
      </c>
      <c r="AJ8">
        <f>--((ROW()-ROW($U$7))=(COLUMN()-COLUMN($U$7)))-N($B$4)*N(INDEX(_ENGINE_Crisis!$AI$253:$AY$269,COLUMN()-COLUMN($U$7)+1,ROW()-ROW($U$7)+1))</f>
        <v>0</v>
      </c>
      <c r="AK8">
        <f>--((ROW()-ROW($U$7))=(COLUMN()-COLUMN($U$7)))-N($B$4)*N(INDEX(_ENGINE_Crisis!$AI$253:$AY$269,COLUMN()-COLUMN($U$7)+1,ROW()-ROW($U$7)+1))</f>
        <v>0</v>
      </c>
    </row>
    <row r="9" spans="1:37">
      <c r="A9" t="str">
        <f>_CONFIG_Risk_Calibration!A7</f>
        <v>Governance Crisis</v>
      </c>
      <c r="B9">
        <f>COUNTIFS(_ENGINE_Risk!$B$5:$B$428,$A9)</f>
        <v>22</v>
      </c>
      <c r="C9">
        <f>IFERROR(AVERAGEIFS(_ENGINE_Risk!$AN$5:$AN$428,_ENGINE_Risk!$B$5:$B$428,$A9),0)</f>
        <v>1</v>
      </c>
      <c r="D9">
        <f>IFERROR(AVERAGEIFS(_ENGINE_Risk!$AO$5:$AO$428,_ENGINE_Risk!$B$5:$B$428,$A9),0)</f>
        <v>80</v>
      </c>
      <c r="E9">
        <f>IFERROR(VLOOKUP($A9,_CONFIG_Risk_Calibration!$A$5:$D$21,4,FALSE),3)</f>
        <v>3</v>
      </c>
      <c r="F9">
        <f>_CONFIG_Model_Settings!$B$173+_CONFIG_Model_Settings!$B$174*(E9-1)</f>
        <v>0.35</v>
      </c>
      <c r="G9">
        <f t="shared" si="0"/>
        <v>1.9431217743634448</v>
      </c>
      <c r="H9">
        <f>IF(OR($E$4="",$E$4=0),1,IFERROR(IF(SUMIFS(_ENGINE_Crisis!$D$5:$D$208,_ENGINE_Crisis!$A$5:$A$208,$E$4,_ENGINE_Crisis!$B$5:$B$208,$A9)=0,1,SUMIFS(_ENGINE_Crisis!$D$5:$D$208,_ENGINE_Crisis!$A$5:$A$208,$E$4,_ENGINE_Crisis!$B$5:$B$208,$A9)),1))</f>
        <v>1</v>
      </c>
      <c r="I9">
        <f t="shared" si="1"/>
        <v>155.44974194907559</v>
      </c>
      <c r="J9">
        <f t="shared" si="2"/>
        <v>101.04233226689914</v>
      </c>
      <c r="K9">
        <f t="shared" si="3"/>
        <v>209.85715163125207</v>
      </c>
      <c r="L9">
        <f t="shared" si="4"/>
        <v>22</v>
      </c>
      <c r="M9">
        <f t="shared" si="5"/>
        <v>0</v>
      </c>
      <c r="N9">
        <f t="shared" si="6"/>
        <v>493.36103805403155</v>
      </c>
      <c r="O9">
        <f t="shared" si="7"/>
        <v>3419.8943228796629</v>
      </c>
      <c r="P9">
        <f t="shared" si="8"/>
        <v>238786.74241815126</v>
      </c>
      <c r="Q9">
        <f>IF(PV_Canonical_Industry="",1,IFERROR(SUMIFS(_REF_Model_Content!$C$5:$C$157,_REF_Model_Content!$A$5:$A$157,PV_Canonical_Industry,_REF_Model_Content!$B$5:$B$157,$A9)/AVERAGEIFS(_REF_Model_Content!$C$5:$C$157,_REF_Model_Content!$A$5:$A$157,PV_Canonical_Industry),1))</f>
        <v>1</v>
      </c>
      <c r="S9">
        <f t="shared" si="9"/>
        <v>1.9431217743634448</v>
      </c>
      <c r="U9">
        <f>--((ROW()-ROW($U$7))=(COLUMN()-COLUMN($U$7)))-N($B$4)*N(INDEX(_ENGINE_Crisis!$AI$253:$AY$269,COLUMN()-COLUMN($U$7)+1,ROW()-ROW($U$7)+1))</f>
        <v>0</v>
      </c>
      <c r="V9">
        <f>--((ROW()-ROW($U$7))=(COLUMN()-COLUMN($U$7)))-N($B$4)*N(INDEX(_ENGINE_Crisis!$AI$253:$AY$269,COLUMN()-COLUMN($U$7)+1,ROW()-ROW($U$7)+1))</f>
        <v>0</v>
      </c>
      <c r="W9">
        <f>--((ROW()-ROW($U$7))=(COLUMN()-COLUMN($U$7)))-N($B$4)*N(INDEX(_ENGINE_Crisis!$AI$253:$AY$269,COLUMN()-COLUMN($U$7)+1,ROW()-ROW($U$7)+1))</f>
        <v>1</v>
      </c>
      <c r="X9">
        <f>--((ROW()-ROW($U$7))=(COLUMN()-COLUMN($U$7)))-N($B$4)*N(INDEX(_ENGINE_Crisis!$AI$253:$AY$269,COLUMN()-COLUMN($U$7)+1,ROW()-ROW($U$7)+1))</f>
        <v>-0.105</v>
      </c>
      <c r="Y9">
        <f>--((ROW()-ROW($U$7))=(COLUMN()-COLUMN($U$7)))-N($B$4)*N(INDEX(_ENGINE_Crisis!$AI$253:$AY$269,COLUMN()-COLUMN($U$7)+1,ROW()-ROW($U$7)+1))</f>
        <v>-0.105</v>
      </c>
      <c r="Z9">
        <f>--((ROW()-ROW($U$7))=(COLUMN()-COLUMN($U$7)))-N($B$4)*N(INDEX(_ENGINE_Crisis!$AI$253:$AY$269,COLUMN()-COLUMN($U$7)+1,ROW()-ROW($U$7)+1))</f>
        <v>0</v>
      </c>
      <c r="AA9">
        <f>--((ROW()-ROW($U$7))=(COLUMN()-COLUMN($U$7)))-N($B$4)*N(INDEX(_ENGINE_Crisis!$AI$253:$AY$269,COLUMN()-COLUMN($U$7)+1,ROW()-ROW($U$7)+1))</f>
        <v>0</v>
      </c>
      <c r="AB9">
        <f>--((ROW()-ROW($U$7))=(COLUMN()-COLUMN($U$7)))-N($B$4)*N(INDEX(_ENGINE_Crisis!$AI$253:$AY$269,COLUMN()-COLUMN($U$7)+1,ROW()-ROW($U$7)+1))</f>
        <v>0</v>
      </c>
      <c r="AC9">
        <f>--((ROW()-ROW($U$7))=(COLUMN()-COLUMN($U$7)))-N($B$4)*N(INDEX(_ENGINE_Crisis!$AI$253:$AY$269,COLUMN()-COLUMN($U$7)+1,ROW()-ROW($U$7)+1))</f>
        <v>0</v>
      </c>
      <c r="AD9">
        <f>--((ROW()-ROW($U$7))=(COLUMN()-COLUMN($U$7)))-N($B$4)*N(INDEX(_ENGINE_Crisis!$AI$253:$AY$269,COLUMN()-COLUMN($U$7)+1,ROW()-ROW($U$7)+1))</f>
        <v>0</v>
      </c>
      <c r="AE9">
        <f>--((ROW()-ROW($U$7))=(COLUMN()-COLUMN($U$7)))-N($B$4)*N(INDEX(_ENGINE_Crisis!$AI$253:$AY$269,COLUMN()-COLUMN($U$7)+1,ROW()-ROW($U$7)+1))</f>
        <v>0</v>
      </c>
      <c r="AF9">
        <f>--((ROW()-ROW($U$7))=(COLUMN()-COLUMN($U$7)))-N($B$4)*N(INDEX(_ENGINE_Crisis!$AI$253:$AY$269,COLUMN()-COLUMN($U$7)+1,ROW()-ROW($U$7)+1))</f>
        <v>-6.9999999999999993E-2</v>
      </c>
      <c r="AG9">
        <f>--((ROW()-ROW($U$7))=(COLUMN()-COLUMN($U$7)))-N($B$4)*N(INDEX(_ENGINE_Crisis!$AI$253:$AY$269,COLUMN()-COLUMN($U$7)+1,ROW()-ROW($U$7)+1))</f>
        <v>0</v>
      </c>
      <c r="AH9">
        <f>--((ROW()-ROW($U$7))=(COLUMN()-COLUMN($U$7)))-N($B$4)*N(INDEX(_ENGINE_Crisis!$AI$253:$AY$269,COLUMN()-COLUMN($U$7)+1,ROW()-ROW($U$7)+1))</f>
        <v>0</v>
      </c>
      <c r="AI9">
        <f>--((ROW()-ROW($U$7))=(COLUMN()-COLUMN($U$7)))-N($B$4)*N(INDEX(_ENGINE_Crisis!$AI$253:$AY$269,COLUMN()-COLUMN($U$7)+1,ROW()-ROW($U$7)+1))</f>
        <v>-0.13999999999999999</v>
      </c>
      <c r="AJ9">
        <f>--((ROW()-ROW($U$7))=(COLUMN()-COLUMN($U$7)))-N($B$4)*N(INDEX(_ENGINE_Crisis!$AI$253:$AY$269,COLUMN()-COLUMN($U$7)+1,ROW()-ROW($U$7)+1))</f>
        <v>0</v>
      </c>
      <c r="AK9">
        <f>--((ROW()-ROW($U$7))=(COLUMN()-COLUMN($U$7)))-N($B$4)*N(INDEX(_ENGINE_Crisis!$AI$253:$AY$269,COLUMN()-COLUMN($U$7)+1,ROW()-ROW($U$7)+1))</f>
        <v>0</v>
      </c>
    </row>
    <row r="10" spans="1:37">
      <c r="A10" t="str">
        <f>_CONFIG_Risk_Calibration!A8</f>
        <v>HR Workforce</v>
      </c>
      <c r="B10">
        <f>COUNTIFS(_ENGINE_Risk!$B$5:$B$428,$A10)</f>
        <v>26</v>
      </c>
      <c r="C10">
        <f>IFERROR(AVERAGEIFS(_ENGINE_Risk!$AN$5:$AN$428,_ENGINE_Risk!$B$5:$B$428,$A10),0)</f>
        <v>1</v>
      </c>
      <c r="D10">
        <f>IFERROR(AVERAGEIFS(_ENGINE_Risk!$AO$5:$AO$428,_ENGINE_Risk!$B$5:$B$428,$A10),0)</f>
        <v>60</v>
      </c>
      <c r="E10">
        <f>IFERROR(VLOOKUP($A10,_CONFIG_Risk_Calibration!$A$5:$D$21,4,FALSE),3)</f>
        <v>3</v>
      </c>
      <c r="F10">
        <f>_CONFIG_Model_Settings!$B$173+_CONFIG_Model_Settings!$B$174*(E10-1)</f>
        <v>0.35</v>
      </c>
      <c r="G10">
        <f t="shared" si="0"/>
        <v>1.4389138414747149</v>
      </c>
      <c r="H10">
        <f>IF(OR($E$4="",$E$4=0),1,IFERROR(IF(SUMIFS(_ENGINE_Crisis!$D$5:$D$208,_ENGINE_Crisis!$A$5:$A$208,$E$4,_ENGINE_Crisis!$B$5:$B$208,$A10)=0,1,SUMIFS(_ENGINE_Crisis!$D$5:$D$208,_ENGINE_Crisis!$A$5:$A$208,$E$4,_ENGINE_Crisis!$B$5:$B$208,$A10)),1))</f>
        <v>1</v>
      </c>
      <c r="I10">
        <f t="shared" si="1"/>
        <v>86.334830488482893</v>
      </c>
      <c r="J10">
        <f t="shared" si="2"/>
        <v>56.117639817513883</v>
      </c>
      <c r="K10">
        <f t="shared" si="3"/>
        <v>116.55202115945191</v>
      </c>
      <c r="L10">
        <f t="shared" si="4"/>
        <v>26</v>
      </c>
      <c r="M10">
        <f t="shared" si="5"/>
        <v>0</v>
      </c>
      <c r="N10">
        <f t="shared" si="6"/>
        <v>152.1797686742828</v>
      </c>
      <c r="O10">
        <f t="shared" si="7"/>
        <v>2244.7055927005554</v>
      </c>
      <c r="P10">
        <f t="shared" si="8"/>
        <v>102873.52362381517</v>
      </c>
      <c r="Q10">
        <f>IF(PV_Canonical_Industry="",1,IFERROR(SUMIFS(_REF_Model_Content!$C$5:$C$157,_REF_Model_Content!$A$5:$A$157,PV_Canonical_Industry,_REF_Model_Content!$B$5:$B$157,$A10)/AVERAGEIFS(_REF_Model_Content!$C$5:$C$157,_REF_Model_Content!$A$5:$A$157,PV_Canonical_Industry),1))</f>
        <v>1</v>
      </c>
      <c r="S10">
        <f t="shared" si="9"/>
        <v>1.4389138414747149</v>
      </c>
      <c r="U10">
        <f>--((ROW()-ROW($U$7))=(COLUMN()-COLUMN($U$7)))-N($B$4)*N(INDEX(_ENGINE_Crisis!$AI$253:$AY$269,COLUMN()-COLUMN($U$7)+1,ROW()-ROW($U$7)+1))</f>
        <v>-0.105</v>
      </c>
      <c r="V10">
        <f>--((ROW()-ROW($U$7))=(COLUMN()-COLUMN($U$7)))-N($B$4)*N(INDEX(_ENGINE_Crisis!$AI$253:$AY$269,COLUMN()-COLUMN($U$7)+1,ROW()-ROW($U$7)+1))</f>
        <v>0</v>
      </c>
      <c r="W10">
        <f>--((ROW()-ROW($U$7))=(COLUMN()-COLUMN($U$7)))-N($B$4)*N(INDEX(_ENGINE_Crisis!$AI$253:$AY$269,COLUMN()-COLUMN($U$7)+1,ROW()-ROW($U$7)+1))</f>
        <v>-6.9999999999999993E-2</v>
      </c>
      <c r="X10">
        <f>--((ROW()-ROW($U$7))=(COLUMN()-COLUMN($U$7)))-N($B$4)*N(INDEX(_ENGINE_Crisis!$AI$253:$AY$269,COLUMN()-COLUMN($U$7)+1,ROW()-ROW($U$7)+1))</f>
        <v>1</v>
      </c>
      <c r="Y10">
        <f>--((ROW()-ROW($U$7))=(COLUMN()-COLUMN($U$7)))-N($B$4)*N(INDEX(_ENGINE_Crisis!$AI$253:$AY$269,COLUMN()-COLUMN($U$7)+1,ROW()-ROW($U$7)+1))</f>
        <v>0</v>
      </c>
      <c r="Z10">
        <f>--((ROW()-ROW($U$7))=(COLUMN()-COLUMN($U$7)))-N($B$4)*N(INDEX(_ENGINE_Crisis!$AI$253:$AY$269,COLUMN()-COLUMN($U$7)+1,ROW()-ROW($U$7)+1))</f>
        <v>0</v>
      </c>
      <c r="AA10">
        <f>--((ROW()-ROW($U$7))=(COLUMN()-COLUMN($U$7)))-N($B$4)*N(INDEX(_ENGINE_Crisis!$AI$253:$AY$269,COLUMN()-COLUMN($U$7)+1,ROW()-ROW($U$7)+1))</f>
        <v>-0.13999999999999999</v>
      </c>
      <c r="AB10">
        <f>--((ROW()-ROW($U$7))=(COLUMN()-COLUMN($U$7)))-N($B$4)*N(INDEX(_ENGINE_Crisis!$AI$253:$AY$269,COLUMN()-COLUMN($U$7)+1,ROW()-ROW($U$7)+1))</f>
        <v>0</v>
      </c>
      <c r="AC10">
        <f>--((ROW()-ROW($U$7))=(COLUMN()-COLUMN($U$7)))-N($B$4)*N(INDEX(_ENGINE_Crisis!$AI$253:$AY$269,COLUMN()-COLUMN($U$7)+1,ROW()-ROW($U$7)+1))</f>
        <v>0</v>
      </c>
      <c r="AD10">
        <f>--((ROW()-ROW($U$7))=(COLUMN()-COLUMN($U$7)))-N($B$4)*N(INDEX(_ENGINE_Crisis!$AI$253:$AY$269,COLUMN()-COLUMN($U$7)+1,ROW()-ROW($U$7)+1))</f>
        <v>0</v>
      </c>
      <c r="AE10">
        <f>--((ROW()-ROW($U$7))=(COLUMN()-COLUMN($U$7)))-N($B$4)*N(INDEX(_ENGINE_Crisis!$AI$253:$AY$269,COLUMN()-COLUMN($U$7)+1,ROW()-ROW($U$7)+1))</f>
        <v>0</v>
      </c>
      <c r="AF10">
        <f>--((ROW()-ROW($U$7))=(COLUMN()-COLUMN($U$7)))-N($B$4)*N(INDEX(_ENGINE_Crisis!$AI$253:$AY$269,COLUMN()-COLUMN($U$7)+1,ROW()-ROW($U$7)+1))</f>
        <v>0</v>
      </c>
      <c r="AG10">
        <f>--((ROW()-ROW($U$7))=(COLUMN()-COLUMN($U$7)))-N($B$4)*N(INDEX(_ENGINE_Crisis!$AI$253:$AY$269,COLUMN()-COLUMN($U$7)+1,ROW()-ROW($U$7)+1))</f>
        <v>0</v>
      </c>
      <c r="AH10">
        <f>--((ROW()-ROW($U$7))=(COLUMN()-COLUMN($U$7)))-N($B$4)*N(INDEX(_ENGINE_Crisis!$AI$253:$AY$269,COLUMN()-COLUMN($U$7)+1,ROW()-ROW($U$7)+1))</f>
        <v>0</v>
      </c>
      <c r="AI10">
        <f>--((ROW()-ROW($U$7))=(COLUMN()-COLUMN($U$7)))-N($B$4)*N(INDEX(_ENGINE_Crisis!$AI$253:$AY$269,COLUMN()-COLUMN($U$7)+1,ROW()-ROW($U$7)+1))</f>
        <v>0</v>
      </c>
      <c r="AJ10">
        <f>--((ROW()-ROW($U$7))=(COLUMN()-COLUMN($U$7)))-N($B$4)*N(INDEX(_ENGINE_Crisis!$AI$253:$AY$269,COLUMN()-COLUMN($U$7)+1,ROW()-ROW($U$7)+1))</f>
        <v>0</v>
      </c>
      <c r="AK10">
        <f>--((ROW()-ROW($U$7))=(COLUMN()-COLUMN($U$7)))-N($B$4)*N(INDEX(_ENGINE_Crisis!$AI$253:$AY$269,COLUMN()-COLUMN($U$7)+1,ROW()-ROW($U$7)+1))</f>
        <v>0</v>
      </c>
    </row>
    <row r="11" spans="1:37">
      <c r="A11" t="str">
        <f>_CONFIG_Risk_Calibration!A9</f>
        <v>Finance Procurement</v>
      </c>
      <c r="B11">
        <f>COUNTIFS(_ENGINE_Risk!$B$5:$B$428,$A11)</f>
        <v>26</v>
      </c>
      <c r="C11">
        <f>IFERROR(AVERAGEIFS(_ENGINE_Risk!$AN$5:$AN$428,_ENGINE_Risk!$B$5:$B$428,$A11),0)</f>
        <v>1</v>
      </c>
      <c r="D11">
        <f>IFERROR(AVERAGEIFS(_ENGINE_Risk!$AO$5:$AO$428,_ENGINE_Risk!$B$5:$B$428,$A11),0)</f>
        <v>80</v>
      </c>
      <c r="E11">
        <f>IFERROR(VLOOKUP($A11,_CONFIG_Risk_Calibration!$A$5:$D$21,4,FALSE),3)</f>
        <v>3</v>
      </c>
      <c r="F11">
        <f>_CONFIG_Model_Settings!$B$173+_CONFIG_Model_Settings!$B$174*(E11-1)</f>
        <v>0.35</v>
      </c>
      <c r="G11">
        <f t="shared" si="0"/>
        <v>3.5082078942556225</v>
      </c>
      <c r="H11">
        <f>IF(OR($E$4="",$E$4=0),1,IFERROR(IF(SUMIFS(_ENGINE_Crisis!$D$5:$D$208,_ENGINE_Crisis!$A$5:$A$208,$E$4,_ENGINE_Crisis!$B$5:$B$208,$A11)=0,1,SUMIFS(_ENGINE_Crisis!$D$5:$D$208,_ENGINE_Crisis!$A$5:$A$208,$E$4,_ENGINE_Crisis!$B$5:$B$208,$A11)),1))</f>
        <v>1</v>
      </c>
      <c r="I11">
        <f t="shared" si="1"/>
        <v>280.65663154044978</v>
      </c>
      <c r="J11">
        <f t="shared" si="2"/>
        <v>182.42681050129235</v>
      </c>
      <c r="K11">
        <f t="shared" si="3"/>
        <v>378.88645257960724</v>
      </c>
      <c r="L11">
        <f t="shared" si="4"/>
        <v>26</v>
      </c>
      <c r="M11">
        <f t="shared" si="5"/>
        <v>0</v>
      </c>
      <c r="N11">
        <f t="shared" si="6"/>
        <v>1608.1829568974829</v>
      </c>
      <c r="O11">
        <f t="shared" si="7"/>
        <v>7297.0724200516943</v>
      </c>
      <c r="P11">
        <f t="shared" si="8"/>
        <v>1087131.6788626984</v>
      </c>
      <c r="Q11">
        <f>IF(PV_Canonical_Industry="",1,IFERROR(SUMIFS(_REF_Model_Content!$C$5:$C$157,_REF_Model_Content!$A$5:$A$157,PV_Canonical_Industry,_REF_Model_Content!$B$5:$B$157,$A11)/AVERAGEIFS(_REF_Model_Content!$C$5:$C$157,_REF_Model_Content!$A$5:$A$157,PV_Canonical_Industry),1))</f>
        <v>1</v>
      </c>
      <c r="S11">
        <f t="shared" si="9"/>
        <v>3.5082078942556225</v>
      </c>
      <c r="U11">
        <f>--((ROW()-ROW($U$7))=(COLUMN()-COLUMN($U$7)))-N($B$4)*N(INDEX(_ENGINE_Crisis!$AI$253:$AY$269,COLUMN()-COLUMN($U$7)+1,ROW()-ROW($U$7)+1))</f>
        <v>0</v>
      </c>
      <c r="V11">
        <f>--((ROW()-ROW($U$7))=(COLUMN()-COLUMN($U$7)))-N($B$4)*N(INDEX(_ENGINE_Crisis!$AI$253:$AY$269,COLUMN()-COLUMN($U$7)+1,ROW()-ROW($U$7)+1))</f>
        <v>0</v>
      </c>
      <c r="W11">
        <f>--((ROW()-ROW($U$7))=(COLUMN()-COLUMN($U$7)))-N($B$4)*N(INDEX(_ENGINE_Crisis!$AI$253:$AY$269,COLUMN()-COLUMN($U$7)+1,ROW()-ROW($U$7)+1))</f>
        <v>-6.9999999999999993E-2</v>
      </c>
      <c r="X11">
        <f>--((ROW()-ROW($U$7))=(COLUMN()-COLUMN($U$7)))-N($B$4)*N(INDEX(_ENGINE_Crisis!$AI$253:$AY$269,COLUMN()-COLUMN($U$7)+1,ROW()-ROW($U$7)+1))</f>
        <v>0</v>
      </c>
      <c r="Y11">
        <f>--((ROW()-ROW($U$7))=(COLUMN()-COLUMN($U$7)))-N($B$4)*N(INDEX(_ENGINE_Crisis!$AI$253:$AY$269,COLUMN()-COLUMN($U$7)+1,ROW()-ROW($U$7)+1))</f>
        <v>1</v>
      </c>
      <c r="Z11">
        <f>--((ROW()-ROW($U$7))=(COLUMN()-COLUMN($U$7)))-N($B$4)*N(INDEX(_ENGINE_Crisis!$AI$253:$AY$269,COLUMN()-COLUMN($U$7)+1,ROW()-ROW($U$7)+1))</f>
        <v>-0.105</v>
      </c>
      <c r="AA11">
        <f>--((ROW()-ROW($U$7))=(COLUMN()-COLUMN($U$7)))-N($B$4)*N(INDEX(_ENGINE_Crisis!$AI$253:$AY$269,COLUMN()-COLUMN($U$7)+1,ROW()-ROW($U$7)+1))</f>
        <v>0</v>
      </c>
      <c r="AB11">
        <f>--((ROW()-ROW($U$7))=(COLUMN()-COLUMN($U$7)))-N($B$4)*N(INDEX(_ENGINE_Crisis!$AI$253:$AY$269,COLUMN()-COLUMN($U$7)+1,ROW()-ROW($U$7)+1))</f>
        <v>-0.13999999999999999</v>
      </c>
      <c r="AC11">
        <f>--((ROW()-ROW($U$7))=(COLUMN()-COLUMN($U$7)))-N($B$4)*N(INDEX(_ENGINE_Crisis!$AI$253:$AY$269,COLUMN()-COLUMN($U$7)+1,ROW()-ROW($U$7)+1))</f>
        <v>-0.105</v>
      </c>
      <c r="AD11">
        <f>--((ROW()-ROW($U$7))=(COLUMN()-COLUMN($U$7)))-N($B$4)*N(INDEX(_ENGINE_Crisis!$AI$253:$AY$269,COLUMN()-COLUMN($U$7)+1,ROW()-ROW($U$7)+1))</f>
        <v>0</v>
      </c>
      <c r="AE11">
        <f>--((ROW()-ROW($U$7))=(COLUMN()-COLUMN($U$7)))-N($B$4)*N(INDEX(_ENGINE_Crisis!$AI$253:$AY$269,COLUMN()-COLUMN($U$7)+1,ROW()-ROW($U$7)+1))</f>
        <v>-0.13999999999999999</v>
      </c>
      <c r="AF11">
        <f>--((ROW()-ROW($U$7))=(COLUMN()-COLUMN($U$7)))-N($B$4)*N(INDEX(_ENGINE_Crisis!$AI$253:$AY$269,COLUMN()-COLUMN($U$7)+1,ROW()-ROW($U$7)+1))</f>
        <v>0</v>
      </c>
      <c r="AG11">
        <f>--((ROW()-ROW($U$7))=(COLUMN()-COLUMN($U$7)))-N($B$4)*N(INDEX(_ENGINE_Crisis!$AI$253:$AY$269,COLUMN()-COLUMN($U$7)+1,ROW()-ROW($U$7)+1))</f>
        <v>-0.17499999999999999</v>
      </c>
      <c r="AH11">
        <f>--((ROW()-ROW($U$7))=(COLUMN()-COLUMN($U$7)))-N($B$4)*N(INDEX(_ENGINE_Crisis!$AI$253:$AY$269,COLUMN()-COLUMN($U$7)+1,ROW()-ROW($U$7)+1))</f>
        <v>-0.17499999999999999</v>
      </c>
      <c r="AI11">
        <f>--((ROW()-ROW($U$7))=(COLUMN()-COLUMN($U$7)))-N($B$4)*N(INDEX(_ENGINE_Crisis!$AI$253:$AY$269,COLUMN()-COLUMN($U$7)+1,ROW()-ROW($U$7)+1))</f>
        <v>-0.105</v>
      </c>
      <c r="AJ11">
        <f>--((ROW()-ROW($U$7))=(COLUMN()-COLUMN($U$7)))-N($B$4)*N(INDEX(_ENGINE_Crisis!$AI$253:$AY$269,COLUMN()-COLUMN($U$7)+1,ROW()-ROW($U$7)+1))</f>
        <v>-0.105</v>
      </c>
      <c r="AK11">
        <f>--((ROW()-ROW($U$7))=(COLUMN()-COLUMN($U$7)))-N($B$4)*N(INDEX(_ENGINE_Crisis!$AI$253:$AY$269,COLUMN()-COLUMN($U$7)+1,ROW()-ROW($U$7)+1))</f>
        <v>0</v>
      </c>
    </row>
    <row r="12" spans="1:37">
      <c r="A12" t="str">
        <f>_CONFIG_Risk_Calibration!A10</f>
        <v>Legal Risk</v>
      </c>
      <c r="B12">
        <f>COUNTIFS(_ENGINE_Risk!$B$5:$B$428,$A12)</f>
        <v>21</v>
      </c>
      <c r="C12">
        <f>IFERROR(AVERAGEIFS(_ENGINE_Risk!$AN$5:$AN$428,_ENGINE_Risk!$B$5:$B$428,$A12),0)</f>
        <v>1</v>
      </c>
      <c r="D12">
        <f>IFERROR(AVERAGEIFS(_ENGINE_Risk!$AO$5:$AO$428,_ENGINE_Risk!$B$5:$B$428,$A12),0)</f>
        <v>100</v>
      </c>
      <c r="E12">
        <f>IFERROR(VLOOKUP($A12,_CONFIG_Risk_Calibration!$A$5:$D$21,4,FALSE),3)</f>
        <v>3</v>
      </c>
      <c r="F12">
        <f>_CONFIG_Model_Settings!$B$173+_CONFIG_Model_Settings!$B$174*(E12-1)</f>
        <v>0.35</v>
      </c>
      <c r="G12">
        <f t="shared" si="0"/>
        <v>1.2760185242054409</v>
      </c>
      <c r="H12">
        <f>IF(OR($E$4="",$E$4=0),1,IFERROR(IF(SUMIFS(_ENGINE_Crisis!$D$5:$D$208,_ENGINE_Crisis!$A$5:$A$208,$E$4,_ENGINE_Crisis!$B$5:$B$208,$A12)=0,1,SUMIFS(_ENGINE_Crisis!$D$5:$D$208,_ENGINE_Crisis!$A$5:$A$208,$E$4,_ENGINE_Crisis!$B$5:$B$208,$A12)),1))</f>
        <v>1</v>
      </c>
      <c r="I12">
        <f t="shared" si="1"/>
        <v>127.60185242054409</v>
      </c>
      <c r="J12">
        <f t="shared" si="2"/>
        <v>82.94120407335366</v>
      </c>
      <c r="K12">
        <f t="shared" si="3"/>
        <v>172.26250076773454</v>
      </c>
      <c r="L12">
        <f t="shared" si="4"/>
        <v>21</v>
      </c>
      <c r="M12">
        <f t="shared" si="5"/>
        <v>0</v>
      </c>
      <c r="N12">
        <f t="shared" si="6"/>
        <v>332.42891846523401</v>
      </c>
      <c r="O12">
        <f t="shared" si="7"/>
        <v>2679.6389008314259</v>
      </c>
      <c r="P12">
        <f t="shared" si="8"/>
        <v>146601.15304316819</v>
      </c>
      <c r="Q12">
        <f>IF(PV_Canonical_Industry="",1,IFERROR(SUMIFS(_REF_Model_Content!$C$5:$C$157,_REF_Model_Content!$A$5:$A$157,PV_Canonical_Industry,_REF_Model_Content!$B$5:$B$157,$A12)/AVERAGEIFS(_REF_Model_Content!$C$5:$C$157,_REF_Model_Content!$A$5:$A$157,PV_Canonical_Industry),1))</f>
        <v>1</v>
      </c>
      <c r="S12">
        <f t="shared" si="9"/>
        <v>1.2760185242054409</v>
      </c>
      <c r="U12">
        <f>--((ROW()-ROW($U$7))=(COLUMN()-COLUMN($U$7)))-N($B$4)*N(INDEX(_ENGINE_Crisis!$AI$253:$AY$269,COLUMN()-COLUMN($U$7)+1,ROW()-ROW($U$7)+1))</f>
        <v>0</v>
      </c>
      <c r="V12">
        <f>--((ROW()-ROW($U$7))=(COLUMN()-COLUMN($U$7)))-N($B$4)*N(INDEX(_ENGINE_Crisis!$AI$253:$AY$269,COLUMN()-COLUMN($U$7)+1,ROW()-ROW($U$7)+1))</f>
        <v>0</v>
      </c>
      <c r="W12">
        <f>--((ROW()-ROW($U$7))=(COLUMN()-COLUMN($U$7)))-N($B$4)*N(INDEX(_ENGINE_Crisis!$AI$253:$AY$269,COLUMN()-COLUMN($U$7)+1,ROW()-ROW($U$7)+1))</f>
        <v>-6.9999999999999993E-2</v>
      </c>
      <c r="X12">
        <f>--((ROW()-ROW($U$7))=(COLUMN()-COLUMN($U$7)))-N($B$4)*N(INDEX(_ENGINE_Crisis!$AI$253:$AY$269,COLUMN()-COLUMN($U$7)+1,ROW()-ROW($U$7)+1))</f>
        <v>0</v>
      </c>
      <c r="Y12">
        <f>--((ROW()-ROW($U$7))=(COLUMN()-COLUMN($U$7)))-N($B$4)*N(INDEX(_ENGINE_Crisis!$AI$253:$AY$269,COLUMN()-COLUMN($U$7)+1,ROW()-ROW($U$7)+1))</f>
        <v>0</v>
      </c>
      <c r="Z12">
        <f>--((ROW()-ROW($U$7))=(COLUMN()-COLUMN($U$7)))-N($B$4)*N(INDEX(_ENGINE_Crisis!$AI$253:$AY$269,COLUMN()-COLUMN($U$7)+1,ROW()-ROW($U$7)+1))</f>
        <v>1</v>
      </c>
      <c r="AA12">
        <f>--((ROW()-ROW($U$7))=(COLUMN()-COLUMN($U$7)))-N($B$4)*N(INDEX(_ENGINE_Crisis!$AI$253:$AY$269,COLUMN()-COLUMN($U$7)+1,ROW()-ROW($U$7)+1))</f>
        <v>0</v>
      </c>
      <c r="AB12">
        <f>--((ROW()-ROW($U$7))=(COLUMN()-COLUMN($U$7)))-N($B$4)*N(INDEX(_ENGINE_Crisis!$AI$253:$AY$269,COLUMN()-COLUMN($U$7)+1,ROW()-ROW($U$7)+1))</f>
        <v>0</v>
      </c>
      <c r="AC12">
        <f>--((ROW()-ROW($U$7))=(COLUMN()-COLUMN($U$7)))-N($B$4)*N(INDEX(_ENGINE_Crisis!$AI$253:$AY$269,COLUMN()-COLUMN($U$7)+1,ROW()-ROW($U$7)+1))</f>
        <v>0</v>
      </c>
      <c r="AD12">
        <f>--((ROW()-ROW($U$7))=(COLUMN()-COLUMN($U$7)))-N($B$4)*N(INDEX(_ENGINE_Crisis!$AI$253:$AY$269,COLUMN()-COLUMN($U$7)+1,ROW()-ROW($U$7)+1))</f>
        <v>0</v>
      </c>
      <c r="AE12">
        <f>--((ROW()-ROW($U$7))=(COLUMN()-COLUMN($U$7)))-N($B$4)*N(INDEX(_ENGINE_Crisis!$AI$253:$AY$269,COLUMN()-COLUMN($U$7)+1,ROW()-ROW($U$7)+1))</f>
        <v>0</v>
      </c>
      <c r="AF12">
        <f>--((ROW()-ROW($U$7))=(COLUMN()-COLUMN($U$7)))-N($B$4)*N(INDEX(_ENGINE_Crisis!$AI$253:$AY$269,COLUMN()-COLUMN($U$7)+1,ROW()-ROW($U$7)+1))</f>
        <v>0</v>
      </c>
      <c r="AG12">
        <f>--((ROW()-ROW($U$7))=(COLUMN()-COLUMN($U$7)))-N($B$4)*N(INDEX(_ENGINE_Crisis!$AI$253:$AY$269,COLUMN()-COLUMN($U$7)+1,ROW()-ROW($U$7)+1))</f>
        <v>0</v>
      </c>
      <c r="AH12">
        <f>--((ROW()-ROW($U$7))=(COLUMN()-COLUMN($U$7)))-N($B$4)*N(INDEX(_ENGINE_Crisis!$AI$253:$AY$269,COLUMN()-COLUMN($U$7)+1,ROW()-ROW($U$7)+1))</f>
        <v>0</v>
      </c>
      <c r="AI12">
        <f>--((ROW()-ROW($U$7))=(COLUMN()-COLUMN($U$7)))-N($B$4)*N(INDEX(_ENGINE_Crisis!$AI$253:$AY$269,COLUMN()-COLUMN($U$7)+1,ROW()-ROW($U$7)+1))</f>
        <v>0</v>
      </c>
      <c r="AJ12">
        <f>--((ROW()-ROW($U$7))=(COLUMN()-COLUMN($U$7)))-N($B$4)*N(INDEX(_ENGINE_Crisis!$AI$253:$AY$269,COLUMN()-COLUMN($U$7)+1,ROW()-ROW($U$7)+1))</f>
        <v>-0.13999999999999999</v>
      </c>
      <c r="AK12">
        <f>--((ROW()-ROW($U$7))=(COLUMN()-COLUMN($U$7)))-N($B$4)*N(INDEX(_ENGINE_Crisis!$AI$253:$AY$269,COLUMN()-COLUMN($U$7)+1,ROW()-ROW($U$7)+1))</f>
        <v>0</v>
      </c>
    </row>
    <row r="13" spans="1:37">
      <c r="A13" t="str">
        <f>_CONFIG_Risk_Calibration!A11</f>
        <v>Physical Safety</v>
      </c>
      <c r="B13">
        <f>COUNTIFS(_ENGINE_Risk!$B$5:$B$428,$A13)</f>
        <v>31</v>
      </c>
      <c r="C13">
        <f>IFERROR(AVERAGEIFS(_ENGINE_Risk!$AN$5:$AN$428,_ENGINE_Risk!$B$5:$B$428,$A13),0)</f>
        <v>1</v>
      </c>
      <c r="D13">
        <f>IFERROR(AVERAGEIFS(_ENGINE_Risk!$AO$5:$AO$428,_ENGINE_Risk!$B$5:$B$428,$A13),0)</f>
        <v>100</v>
      </c>
      <c r="E13">
        <f>IFERROR(VLOOKUP($A13,_CONFIG_Risk_Calibration!$A$5:$D$21,4,FALSE),3)</f>
        <v>3</v>
      </c>
      <c r="F13">
        <f>_CONFIG_Model_Settings!$B$173+_CONFIG_Model_Settings!$B$174*(E13-1)</f>
        <v>0.35</v>
      </c>
      <c r="G13">
        <f t="shared" si="0"/>
        <v>1.3103480699836043</v>
      </c>
      <c r="H13">
        <f>IF(OR($E$4="",$E$4=0),1,IFERROR(IF(SUMIFS(_ENGINE_Crisis!$D$5:$D$208,_ENGINE_Crisis!$A$5:$A$208,$E$4,_ENGINE_Crisis!$B$5:$B$208,$A13)=0,1,SUMIFS(_ENGINE_Crisis!$D$5:$D$208,_ENGINE_Crisis!$A$5:$A$208,$E$4,_ENGINE_Crisis!$B$5:$B$208,$A13)),1))</f>
        <v>1</v>
      </c>
      <c r="I13">
        <f t="shared" si="1"/>
        <v>131.03480699836044</v>
      </c>
      <c r="J13">
        <f t="shared" si="2"/>
        <v>85.172624548934294</v>
      </c>
      <c r="K13">
        <f t="shared" si="3"/>
        <v>176.89698944778661</v>
      </c>
      <c r="L13">
        <f t="shared" si="4"/>
        <v>31</v>
      </c>
      <c r="M13">
        <f t="shared" si="5"/>
        <v>0</v>
      </c>
      <c r="N13">
        <f t="shared" si="6"/>
        <v>350.55662983740876</v>
      </c>
      <c r="O13">
        <f t="shared" si="7"/>
        <v>4062.0790169491734</v>
      </c>
      <c r="P13">
        <f t="shared" si="8"/>
        <v>336884.92127374985</v>
      </c>
      <c r="Q13">
        <f>IF(PV_Canonical_Industry="",1,IFERROR(SUMIFS(_REF_Model_Content!$C$5:$C$157,_REF_Model_Content!$A$5:$A$157,PV_Canonical_Industry,_REF_Model_Content!$B$5:$B$157,$A13)/AVERAGEIFS(_REF_Model_Content!$C$5:$C$157,_REF_Model_Content!$A$5:$A$157,PV_Canonical_Industry),1))</f>
        <v>1</v>
      </c>
      <c r="S13">
        <f t="shared" si="9"/>
        <v>1.3103480699836043</v>
      </c>
      <c r="U13">
        <f>--((ROW()-ROW($U$7))=(COLUMN()-COLUMN($U$7)))-N($B$4)*N(INDEX(_ENGINE_Crisis!$AI$253:$AY$269,COLUMN()-COLUMN($U$7)+1,ROW()-ROW($U$7)+1))</f>
        <v>-0.13999999999999999</v>
      </c>
      <c r="V13">
        <f>--((ROW()-ROW($U$7))=(COLUMN()-COLUMN($U$7)))-N($B$4)*N(INDEX(_ENGINE_Crisis!$AI$253:$AY$269,COLUMN()-COLUMN($U$7)+1,ROW()-ROW($U$7)+1))</f>
        <v>0</v>
      </c>
      <c r="W13">
        <f>--((ROW()-ROW($U$7))=(COLUMN()-COLUMN($U$7)))-N($B$4)*N(INDEX(_ENGINE_Crisis!$AI$253:$AY$269,COLUMN()-COLUMN($U$7)+1,ROW()-ROW($U$7)+1))</f>
        <v>0</v>
      </c>
      <c r="X13">
        <f>--((ROW()-ROW($U$7))=(COLUMN()-COLUMN($U$7)))-N($B$4)*N(INDEX(_ENGINE_Crisis!$AI$253:$AY$269,COLUMN()-COLUMN($U$7)+1,ROW()-ROW($U$7)+1))</f>
        <v>-0.105</v>
      </c>
      <c r="Y13">
        <f>--((ROW()-ROW($U$7))=(COLUMN()-COLUMN($U$7)))-N($B$4)*N(INDEX(_ENGINE_Crisis!$AI$253:$AY$269,COLUMN()-COLUMN($U$7)+1,ROW()-ROW($U$7)+1))</f>
        <v>0</v>
      </c>
      <c r="Z13">
        <f>--((ROW()-ROW($U$7))=(COLUMN()-COLUMN($U$7)))-N($B$4)*N(INDEX(_ENGINE_Crisis!$AI$253:$AY$269,COLUMN()-COLUMN($U$7)+1,ROW()-ROW($U$7)+1))</f>
        <v>0</v>
      </c>
      <c r="AA13">
        <f>--((ROW()-ROW($U$7))=(COLUMN()-COLUMN($U$7)))-N($B$4)*N(INDEX(_ENGINE_Crisis!$AI$253:$AY$269,COLUMN()-COLUMN($U$7)+1,ROW()-ROW($U$7)+1))</f>
        <v>1</v>
      </c>
      <c r="AB13">
        <f>--((ROW()-ROW($U$7))=(COLUMN()-COLUMN($U$7)))-N($B$4)*N(INDEX(_ENGINE_Crisis!$AI$253:$AY$269,COLUMN()-COLUMN($U$7)+1,ROW()-ROW($U$7)+1))</f>
        <v>0</v>
      </c>
      <c r="AC13">
        <f>--((ROW()-ROW($U$7))=(COLUMN()-COLUMN($U$7)))-N($B$4)*N(INDEX(_ENGINE_Crisis!$AI$253:$AY$269,COLUMN()-COLUMN($U$7)+1,ROW()-ROW($U$7)+1))</f>
        <v>0</v>
      </c>
      <c r="AD13">
        <f>--((ROW()-ROW($U$7))=(COLUMN()-COLUMN($U$7)))-N($B$4)*N(INDEX(_ENGINE_Crisis!$AI$253:$AY$269,COLUMN()-COLUMN($U$7)+1,ROW()-ROW($U$7)+1))</f>
        <v>0</v>
      </c>
      <c r="AE13">
        <f>--((ROW()-ROW($U$7))=(COLUMN()-COLUMN($U$7)))-N($B$4)*N(INDEX(_ENGINE_Crisis!$AI$253:$AY$269,COLUMN()-COLUMN($U$7)+1,ROW()-ROW($U$7)+1))</f>
        <v>0</v>
      </c>
      <c r="AF13">
        <f>--((ROW()-ROW($U$7))=(COLUMN()-COLUMN($U$7)))-N($B$4)*N(INDEX(_ENGINE_Crisis!$AI$253:$AY$269,COLUMN()-COLUMN($U$7)+1,ROW()-ROW($U$7)+1))</f>
        <v>0</v>
      </c>
      <c r="AG13">
        <f>--((ROW()-ROW($U$7))=(COLUMN()-COLUMN($U$7)))-N($B$4)*N(INDEX(_ENGINE_Crisis!$AI$253:$AY$269,COLUMN()-COLUMN($U$7)+1,ROW()-ROW($U$7)+1))</f>
        <v>0</v>
      </c>
      <c r="AH13">
        <f>--((ROW()-ROW($U$7))=(COLUMN()-COLUMN($U$7)))-N($B$4)*N(INDEX(_ENGINE_Crisis!$AI$253:$AY$269,COLUMN()-COLUMN($U$7)+1,ROW()-ROW($U$7)+1))</f>
        <v>0</v>
      </c>
      <c r="AI13">
        <f>--((ROW()-ROW($U$7))=(COLUMN()-COLUMN($U$7)))-N($B$4)*N(INDEX(_ENGINE_Crisis!$AI$253:$AY$269,COLUMN()-COLUMN($U$7)+1,ROW()-ROW($U$7)+1))</f>
        <v>0</v>
      </c>
      <c r="AJ13">
        <f>--((ROW()-ROW($U$7))=(COLUMN()-COLUMN($U$7)))-N($B$4)*N(INDEX(_ENGINE_Crisis!$AI$253:$AY$269,COLUMN()-COLUMN($U$7)+1,ROW()-ROW($U$7)+1))</f>
        <v>0</v>
      </c>
      <c r="AK13">
        <f>--((ROW()-ROW($U$7))=(COLUMN()-COLUMN($U$7)))-N($B$4)*N(INDEX(_ENGINE_Crisis!$AI$253:$AY$269,COLUMN()-COLUMN($U$7)+1,ROW()-ROW($U$7)+1))</f>
        <v>0</v>
      </c>
    </row>
    <row r="14" spans="1:37">
      <c r="A14" t="str">
        <f>_CONFIG_Risk_Calibration!A12</f>
        <v>Delivery Ops</v>
      </c>
      <c r="B14">
        <f>COUNTIFS(_ENGINE_Risk!$B$5:$B$428,$A14)</f>
        <v>24</v>
      </c>
      <c r="C14">
        <f>IFERROR(AVERAGEIFS(_ENGINE_Risk!$AN$5:$AN$428,_ENGINE_Risk!$B$5:$B$428,$A14),0)</f>
        <v>1</v>
      </c>
      <c r="D14">
        <f>IFERROR(AVERAGEIFS(_ENGINE_Risk!$AO$5:$AO$428,_ENGINE_Risk!$B$5:$B$428,$A14),0)</f>
        <v>60</v>
      </c>
      <c r="E14">
        <f>IFERROR(VLOOKUP($A14,_CONFIG_Risk_Calibration!$A$5:$D$21,4,FALSE),3)</f>
        <v>3</v>
      </c>
      <c r="F14">
        <f>_CONFIG_Model_Settings!$B$173+_CONFIG_Model_Settings!$B$174*(E14-1)</f>
        <v>0.35</v>
      </c>
      <c r="G14">
        <f t="shared" si="0"/>
        <v>4.6334163115243543</v>
      </c>
      <c r="H14">
        <f>IF(OR($E$4="",$E$4=0),1,IFERROR(IF(SUMIFS(_ENGINE_Crisis!$D$5:$D$208,_ENGINE_Crisis!$A$5:$A$208,$E$4,_ENGINE_Crisis!$B$5:$B$208,$A14)=0,1,SUMIFS(_ENGINE_Crisis!$D$5:$D$208,_ENGINE_Crisis!$A$5:$A$208,$E$4,_ENGINE_Crisis!$B$5:$B$208,$A14)),1))</f>
        <v>1</v>
      </c>
      <c r="I14">
        <f t="shared" si="1"/>
        <v>278.00497869146125</v>
      </c>
      <c r="J14">
        <f t="shared" si="2"/>
        <v>180.70323614944982</v>
      </c>
      <c r="K14">
        <f t="shared" si="3"/>
        <v>375.30672123347273</v>
      </c>
      <c r="L14">
        <f t="shared" si="4"/>
        <v>24</v>
      </c>
      <c r="M14">
        <f t="shared" si="5"/>
        <v>0</v>
      </c>
      <c r="N14">
        <f t="shared" si="6"/>
        <v>1577.9381836186469</v>
      </c>
      <c r="O14">
        <f t="shared" si="7"/>
        <v>6672.1194885950699</v>
      </c>
      <c r="P14">
        <f t="shared" si="8"/>
        <v>908892.39376434067</v>
      </c>
      <c r="Q14">
        <f>IF(PV_Canonical_Industry="",1,IFERROR(SUMIFS(_REF_Model_Content!$C$5:$C$157,_REF_Model_Content!$A$5:$A$157,PV_Canonical_Industry,_REF_Model_Content!$B$5:$B$157,$A14)/AVERAGEIFS(_REF_Model_Content!$C$5:$C$157,_REF_Model_Content!$A$5:$A$157,PV_Canonical_Industry),1))</f>
        <v>1</v>
      </c>
      <c r="S14">
        <f t="shared" si="9"/>
        <v>4.6334163115243543</v>
      </c>
      <c r="U14">
        <f>--((ROW()-ROW($U$7))=(COLUMN()-COLUMN($U$7)))-N($B$4)*N(INDEX(_ENGINE_Crisis!$AI$253:$AY$269,COLUMN()-COLUMN($U$7)+1,ROW()-ROW($U$7)+1))</f>
        <v>-0.105</v>
      </c>
      <c r="V14">
        <f>--((ROW()-ROW($U$7))=(COLUMN()-COLUMN($U$7)))-N($B$4)*N(INDEX(_ENGINE_Crisis!$AI$253:$AY$269,COLUMN()-COLUMN($U$7)+1,ROW()-ROW($U$7)+1))</f>
        <v>0</v>
      </c>
      <c r="W14">
        <f>--((ROW()-ROW($U$7))=(COLUMN()-COLUMN($U$7)))-N($B$4)*N(INDEX(_ENGINE_Crisis!$AI$253:$AY$269,COLUMN()-COLUMN($U$7)+1,ROW()-ROW($U$7)+1))</f>
        <v>-6.9999999999999993E-2</v>
      </c>
      <c r="X14">
        <f>--((ROW()-ROW($U$7))=(COLUMN()-COLUMN($U$7)))-N($B$4)*N(INDEX(_ENGINE_Crisis!$AI$253:$AY$269,COLUMN()-COLUMN($U$7)+1,ROW()-ROW($U$7)+1))</f>
        <v>-0.17499999999999999</v>
      </c>
      <c r="Y14">
        <f>--((ROW()-ROW($U$7))=(COLUMN()-COLUMN($U$7)))-N($B$4)*N(INDEX(_ENGINE_Crisis!$AI$253:$AY$269,COLUMN()-COLUMN($U$7)+1,ROW()-ROW($U$7)+1))</f>
        <v>-0.105</v>
      </c>
      <c r="Z14">
        <f>--((ROW()-ROW($U$7))=(COLUMN()-COLUMN($U$7)))-N($B$4)*N(INDEX(_ENGINE_Crisis!$AI$253:$AY$269,COLUMN()-COLUMN($U$7)+1,ROW()-ROW($U$7)+1))</f>
        <v>0</v>
      </c>
      <c r="AA14">
        <f>--((ROW()-ROW($U$7))=(COLUMN()-COLUMN($U$7)))-N($B$4)*N(INDEX(_ENGINE_Crisis!$AI$253:$AY$269,COLUMN()-COLUMN($U$7)+1,ROW()-ROW($U$7)+1))</f>
        <v>-0.13999999999999999</v>
      </c>
      <c r="AB14">
        <f>--((ROW()-ROW($U$7))=(COLUMN()-COLUMN($U$7)))-N($B$4)*N(INDEX(_ENGINE_Crisis!$AI$253:$AY$269,COLUMN()-COLUMN($U$7)+1,ROW()-ROW($U$7)+1))</f>
        <v>1</v>
      </c>
      <c r="AC14">
        <f>--((ROW()-ROW($U$7))=(COLUMN()-COLUMN($U$7)))-N($B$4)*N(INDEX(_ENGINE_Crisis!$AI$253:$AY$269,COLUMN()-COLUMN($U$7)+1,ROW()-ROW($U$7)+1))</f>
        <v>-0.24499999999999997</v>
      </c>
      <c r="AD14">
        <f>--((ROW()-ROW($U$7))=(COLUMN()-COLUMN($U$7)))-N($B$4)*N(INDEX(_ENGINE_Crisis!$AI$253:$AY$269,COLUMN()-COLUMN($U$7)+1,ROW()-ROW($U$7)+1))</f>
        <v>-0.24499999999999997</v>
      </c>
      <c r="AE14">
        <f>--((ROW()-ROW($U$7))=(COLUMN()-COLUMN($U$7)))-N($B$4)*N(INDEX(_ENGINE_Crisis!$AI$253:$AY$269,COLUMN()-COLUMN($U$7)+1,ROW()-ROW($U$7)+1))</f>
        <v>-0.105</v>
      </c>
      <c r="AF14">
        <f>--((ROW()-ROW($U$7))=(COLUMN()-COLUMN($U$7)))-N($B$4)*N(INDEX(_ENGINE_Crisis!$AI$253:$AY$269,COLUMN()-COLUMN($U$7)+1,ROW()-ROW($U$7)+1))</f>
        <v>0</v>
      </c>
      <c r="AG14">
        <f>--((ROW()-ROW($U$7))=(COLUMN()-COLUMN($U$7)))-N($B$4)*N(INDEX(_ENGINE_Crisis!$AI$253:$AY$269,COLUMN()-COLUMN($U$7)+1,ROW()-ROW($U$7)+1))</f>
        <v>-0.17499999999999999</v>
      </c>
      <c r="AH14">
        <f>--((ROW()-ROW($U$7))=(COLUMN()-COLUMN($U$7)))-N($B$4)*N(INDEX(_ENGINE_Crisis!$AI$253:$AY$269,COLUMN()-COLUMN($U$7)+1,ROW()-ROW($U$7)+1))</f>
        <v>-0.17499999999999999</v>
      </c>
      <c r="AI14">
        <f>--((ROW()-ROW($U$7))=(COLUMN()-COLUMN($U$7)))-N($B$4)*N(INDEX(_ENGINE_Crisis!$AI$253:$AY$269,COLUMN()-COLUMN($U$7)+1,ROW()-ROW($U$7)+1))</f>
        <v>0</v>
      </c>
      <c r="AJ14">
        <f>--((ROW()-ROW($U$7))=(COLUMN()-COLUMN($U$7)))-N($B$4)*N(INDEX(_ENGINE_Crisis!$AI$253:$AY$269,COLUMN()-COLUMN($U$7)+1,ROW()-ROW($U$7)+1))</f>
        <v>-0.105</v>
      </c>
      <c r="AK14">
        <f>--((ROW()-ROW($U$7))=(COLUMN()-COLUMN($U$7)))-N($B$4)*N(INDEX(_ENGINE_Crisis!$AI$253:$AY$269,COLUMN()-COLUMN($U$7)+1,ROW()-ROW($U$7)+1))</f>
        <v>-0.105</v>
      </c>
    </row>
    <row r="15" spans="1:37">
      <c r="A15" t="str">
        <f>_CONFIG_Risk_Calibration!A13</f>
        <v>Supply Chain</v>
      </c>
      <c r="B15">
        <f>COUNTIFS(_ENGINE_Risk!$B$5:$B$428,$A15)</f>
        <v>29</v>
      </c>
      <c r="C15">
        <f>IFERROR(AVERAGEIFS(_ENGINE_Risk!$AN$5:$AN$428,_ENGINE_Risk!$B$5:$B$428,$A15),0)</f>
        <v>1</v>
      </c>
      <c r="D15">
        <f>IFERROR(AVERAGEIFS(_ENGINE_Risk!$AO$5:$AO$428,_ENGINE_Risk!$B$5:$B$428,$A15),0)</f>
        <v>70</v>
      </c>
      <c r="E15">
        <f>IFERROR(VLOOKUP($A15,_CONFIG_Risk_Calibration!$A$5:$D$21,4,FALSE),3)</f>
        <v>3</v>
      </c>
      <c r="F15">
        <f>_CONFIG_Model_Settings!$B$173+_CONFIG_Model_Settings!$B$174*(E15-1)</f>
        <v>0.35</v>
      </c>
      <c r="G15">
        <f t="shared" si="0"/>
        <v>1.9557628859089984</v>
      </c>
      <c r="H15">
        <f>IF(OR($E$4="",$E$4=0),1,IFERROR(IF(SUMIFS(_ENGINE_Crisis!$D$5:$D$208,_ENGINE_Crisis!$A$5:$A$208,$E$4,_ENGINE_Crisis!$B$5:$B$208,$A15)=0,1,SUMIFS(_ENGINE_Crisis!$D$5:$D$208,_ENGINE_Crisis!$A$5:$A$208,$E$4,_ENGINE_Crisis!$B$5:$B$208,$A15)),1))</f>
        <v>1</v>
      </c>
      <c r="I15">
        <f t="shared" si="1"/>
        <v>136.90340201362989</v>
      </c>
      <c r="J15">
        <f t="shared" si="2"/>
        <v>88.987211308859429</v>
      </c>
      <c r="K15">
        <f t="shared" si="3"/>
        <v>184.81959271840037</v>
      </c>
      <c r="L15">
        <f t="shared" si="4"/>
        <v>29</v>
      </c>
      <c r="M15">
        <f t="shared" si="5"/>
        <v>0</v>
      </c>
      <c r="N15">
        <f t="shared" si="6"/>
        <v>382.66022194265537</v>
      </c>
      <c r="O15">
        <f t="shared" si="7"/>
        <v>3970.1986583952666</v>
      </c>
      <c r="P15">
        <f t="shared" si="8"/>
        <v>321817.24665377318</v>
      </c>
      <c r="Q15">
        <f>IF(PV_Canonical_Industry="",1,IFERROR(SUMIFS(_REF_Model_Content!$C$5:$C$157,_REF_Model_Content!$A$5:$A$157,PV_Canonical_Industry,_REF_Model_Content!$B$5:$B$157,$A15)/AVERAGEIFS(_REF_Model_Content!$C$5:$C$157,_REF_Model_Content!$A$5:$A$157,PV_Canonical_Industry),1))</f>
        <v>1</v>
      </c>
      <c r="S15">
        <f t="shared" si="9"/>
        <v>1.9557628859089984</v>
      </c>
      <c r="U15">
        <f>--((ROW()-ROW($U$7))=(COLUMN()-COLUMN($U$7)))-N($B$4)*N(INDEX(_ENGINE_Crisis!$AI$253:$AY$269,COLUMN()-COLUMN($U$7)+1,ROW()-ROW($U$7)+1))</f>
        <v>-0.105</v>
      </c>
      <c r="V15">
        <f>--((ROW()-ROW($U$7))=(COLUMN()-COLUMN($U$7)))-N($B$4)*N(INDEX(_ENGINE_Crisis!$AI$253:$AY$269,COLUMN()-COLUMN($U$7)+1,ROW()-ROW($U$7)+1))</f>
        <v>0</v>
      </c>
      <c r="W15">
        <f>--((ROW()-ROW($U$7))=(COLUMN()-COLUMN($U$7)))-N($B$4)*N(INDEX(_ENGINE_Crisis!$AI$253:$AY$269,COLUMN()-COLUMN($U$7)+1,ROW()-ROW($U$7)+1))</f>
        <v>0</v>
      </c>
      <c r="X15">
        <f>--((ROW()-ROW($U$7))=(COLUMN()-COLUMN($U$7)))-N($B$4)*N(INDEX(_ENGINE_Crisis!$AI$253:$AY$269,COLUMN()-COLUMN($U$7)+1,ROW()-ROW($U$7)+1))</f>
        <v>0</v>
      </c>
      <c r="Y15">
        <f>--((ROW()-ROW($U$7))=(COLUMN()-COLUMN($U$7)))-N($B$4)*N(INDEX(_ENGINE_Crisis!$AI$253:$AY$269,COLUMN()-COLUMN($U$7)+1,ROW()-ROW($U$7)+1))</f>
        <v>-0.13999999999999999</v>
      </c>
      <c r="Z15">
        <f>--((ROW()-ROW($U$7))=(COLUMN()-COLUMN($U$7)))-N($B$4)*N(INDEX(_ENGINE_Crisis!$AI$253:$AY$269,COLUMN()-COLUMN($U$7)+1,ROW()-ROW($U$7)+1))</f>
        <v>-0.105</v>
      </c>
      <c r="AA15">
        <f>--((ROW()-ROW($U$7))=(COLUMN()-COLUMN($U$7)))-N($B$4)*N(INDEX(_ENGINE_Crisis!$AI$253:$AY$269,COLUMN()-COLUMN($U$7)+1,ROW()-ROW($U$7)+1))</f>
        <v>0</v>
      </c>
      <c r="AB15">
        <f>--((ROW()-ROW($U$7))=(COLUMN()-COLUMN($U$7)))-N($B$4)*N(INDEX(_ENGINE_Crisis!$AI$253:$AY$269,COLUMN()-COLUMN($U$7)+1,ROW()-ROW($U$7)+1))</f>
        <v>0</v>
      </c>
      <c r="AC15">
        <f>--((ROW()-ROW($U$7))=(COLUMN()-COLUMN($U$7)))-N($B$4)*N(INDEX(_ENGINE_Crisis!$AI$253:$AY$269,COLUMN()-COLUMN($U$7)+1,ROW()-ROW($U$7)+1))</f>
        <v>1</v>
      </c>
      <c r="AD15">
        <f>--((ROW()-ROW($U$7))=(COLUMN()-COLUMN($U$7)))-N($B$4)*N(INDEX(_ENGINE_Crisis!$AI$253:$AY$269,COLUMN()-COLUMN($U$7)+1,ROW()-ROW($U$7)+1))</f>
        <v>0</v>
      </c>
      <c r="AE15">
        <f>--((ROW()-ROW($U$7))=(COLUMN()-COLUMN($U$7)))-N($B$4)*N(INDEX(_ENGINE_Crisis!$AI$253:$AY$269,COLUMN()-COLUMN($U$7)+1,ROW()-ROW($U$7)+1))</f>
        <v>0</v>
      </c>
      <c r="AF15">
        <f>--((ROW()-ROW($U$7))=(COLUMN()-COLUMN($U$7)))-N($B$4)*N(INDEX(_ENGINE_Crisis!$AI$253:$AY$269,COLUMN()-COLUMN($U$7)+1,ROW()-ROW($U$7)+1))</f>
        <v>0</v>
      </c>
      <c r="AG15">
        <f>--((ROW()-ROW($U$7))=(COLUMN()-COLUMN($U$7)))-N($B$4)*N(INDEX(_ENGINE_Crisis!$AI$253:$AY$269,COLUMN()-COLUMN($U$7)+1,ROW()-ROW($U$7)+1))</f>
        <v>0</v>
      </c>
      <c r="AH15">
        <f>--((ROW()-ROW($U$7))=(COLUMN()-COLUMN($U$7)))-N($B$4)*N(INDEX(_ENGINE_Crisis!$AI$253:$AY$269,COLUMN()-COLUMN($U$7)+1,ROW()-ROW($U$7)+1))</f>
        <v>-0.13999999999999999</v>
      </c>
      <c r="AI15">
        <f>--((ROW()-ROW($U$7))=(COLUMN()-COLUMN($U$7)))-N($B$4)*N(INDEX(_ENGINE_Crisis!$AI$253:$AY$269,COLUMN()-COLUMN($U$7)+1,ROW()-ROW($U$7)+1))</f>
        <v>0</v>
      </c>
      <c r="AJ15">
        <f>--((ROW()-ROW($U$7))=(COLUMN()-COLUMN($U$7)))-N($B$4)*N(INDEX(_ENGINE_Crisis!$AI$253:$AY$269,COLUMN()-COLUMN($U$7)+1,ROW()-ROW($U$7)+1))</f>
        <v>0</v>
      </c>
      <c r="AK15">
        <f>--((ROW()-ROW($U$7))=(COLUMN()-COLUMN($U$7)))-N($B$4)*N(INDEX(_ENGINE_Crisis!$AI$253:$AY$269,COLUMN()-COLUMN($U$7)+1,ROW()-ROW($U$7)+1))</f>
        <v>0</v>
      </c>
    </row>
    <row r="16" spans="1:37">
      <c r="A16" t="str">
        <f>_CONFIG_Risk_Calibration!A14</f>
        <v>Manufacturing MES</v>
      </c>
      <c r="B16">
        <f>COUNTIFS(_ENGINE_Risk!$B$5:$B$428,$A16)</f>
        <v>28</v>
      </c>
      <c r="C16">
        <f>IFERROR(AVERAGEIFS(_ENGINE_Risk!$AN$5:$AN$428,_ENGINE_Risk!$B$5:$B$428,$A16),0)</f>
        <v>1</v>
      </c>
      <c r="D16">
        <f>IFERROR(AVERAGEIFS(_ENGINE_Risk!$AO$5:$AO$428,_ENGINE_Risk!$B$5:$B$428,$A16),0)</f>
        <v>70</v>
      </c>
      <c r="E16">
        <f>IFERROR(VLOOKUP($A16,_CONFIG_Risk_Calibration!$A$5:$D$21,4,FALSE),3)</f>
        <v>3</v>
      </c>
      <c r="F16">
        <f>_CONFIG_Model_Settings!$B$173+_CONFIG_Model_Settings!$B$174*(E16-1)</f>
        <v>0.35</v>
      </c>
      <c r="G16">
        <f t="shared" si="0"/>
        <v>2.9800632597824128</v>
      </c>
      <c r="H16">
        <f>IF(OR($E$4="",$E$4=0),1,IFERROR(IF(SUMIFS(_ENGINE_Crisis!$D$5:$D$208,_ENGINE_Crisis!$A$5:$A$208,$E$4,_ENGINE_Crisis!$B$5:$B$208,$A16)=0,1,SUMIFS(_ENGINE_Crisis!$D$5:$D$208,_ENGINE_Crisis!$A$5:$A$208,$E$4,_ENGINE_Crisis!$B$5:$B$208,$A16)),1))</f>
        <v>1</v>
      </c>
      <c r="I16">
        <f t="shared" si="1"/>
        <v>208.60442818476889</v>
      </c>
      <c r="J16">
        <f t="shared" si="2"/>
        <v>135.59287832009977</v>
      </c>
      <c r="K16">
        <f t="shared" si="3"/>
        <v>281.61597804943801</v>
      </c>
      <c r="L16">
        <f t="shared" si="4"/>
        <v>28</v>
      </c>
      <c r="M16">
        <f t="shared" si="5"/>
        <v>0</v>
      </c>
      <c r="N16">
        <f t="shared" si="6"/>
        <v>888.44773560684428</v>
      </c>
      <c r="O16">
        <f t="shared" si="7"/>
        <v>5840.9239891735288</v>
      </c>
      <c r="P16">
        <f t="shared" si="8"/>
        <v>696543.02471576596</v>
      </c>
      <c r="Q16">
        <f>IF(PV_Canonical_Industry="",1,IFERROR(SUMIFS(_REF_Model_Content!$C$5:$C$157,_REF_Model_Content!$A$5:$A$157,PV_Canonical_Industry,_REF_Model_Content!$B$5:$B$157,$A16)/AVERAGEIFS(_REF_Model_Content!$C$5:$C$157,_REF_Model_Content!$A$5:$A$157,PV_Canonical_Industry),1))</f>
        <v>1</v>
      </c>
      <c r="S16">
        <f t="shared" si="9"/>
        <v>2.9800632597824128</v>
      </c>
      <c r="U16">
        <f>--((ROW()-ROW($U$7))=(COLUMN()-COLUMN($U$7)))-N($B$4)*N(INDEX(_ENGINE_Crisis!$AI$253:$AY$269,COLUMN()-COLUMN($U$7)+1,ROW()-ROW($U$7)+1))</f>
        <v>-0.105</v>
      </c>
      <c r="V16">
        <f>--((ROW()-ROW($U$7))=(COLUMN()-COLUMN($U$7)))-N($B$4)*N(INDEX(_ENGINE_Crisis!$AI$253:$AY$269,COLUMN()-COLUMN($U$7)+1,ROW()-ROW($U$7)+1))</f>
        <v>0</v>
      </c>
      <c r="W16">
        <f>--((ROW()-ROW($U$7))=(COLUMN()-COLUMN($U$7)))-N($B$4)*N(INDEX(_ENGINE_Crisis!$AI$253:$AY$269,COLUMN()-COLUMN($U$7)+1,ROW()-ROW($U$7)+1))</f>
        <v>0</v>
      </c>
      <c r="X16">
        <f>--((ROW()-ROW($U$7))=(COLUMN()-COLUMN($U$7)))-N($B$4)*N(INDEX(_ENGINE_Crisis!$AI$253:$AY$269,COLUMN()-COLUMN($U$7)+1,ROW()-ROW($U$7)+1))</f>
        <v>-0.17499999999999999</v>
      </c>
      <c r="Y16">
        <f>--((ROW()-ROW($U$7))=(COLUMN()-COLUMN($U$7)))-N($B$4)*N(INDEX(_ENGINE_Crisis!$AI$253:$AY$269,COLUMN()-COLUMN($U$7)+1,ROW()-ROW($U$7)+1))</f>
        <v>0</v>
      </c>
      <c r="Z16">
        <f>--((ROW()-ROW($U$7))=(COLUMN()-COLUMN($U$7)))-N($B$4)*N(INDEX(_ENGINE_Crisis!$AI$253:$AY$269,COLUMN()-COLUMN($U$7)+1,ROW()-ROW($U$7)+1))</f>
        <v>0</v>
      </c>
      <c r="AA16">
        <f>--((ROW()-ROW($U$7))=(COLUMN()-COLUMN($U$7)))-N($B$4)*N(INDEX(_ENGINE_Crisis!$AI$253:$AY$269,COLUMN()-COLUMN($U$7)+1,ROW()-ROW($U$7)+1))</f>
        <v>-0.17499999999999999</v>
      </c>
      <c r="AB16">
        <f>--((ROW()-ROW($U$7))=(COLUMN()-COLUMN($U$7)))-N($B$4)*N(INDEX(_ENGINE_Crisis!$AI$253:$AY$269,COLUMN()-COLUMN($U$7)+1,ROW()-ROW($U$7)+1))</f>
        <v>0</v>
      </c>
      <c r="AC16">
        <f>--((ROW()-ROW($U$7))=(COLUMN()-COLUMN($U$7)))-N($B$4)*N(INDEX(_ENGINE_Crisis!$AI$253:$AY$269,COLUMN()-COLUMN($U$7)+1,ROW()-ROW($U$7)+1))</f>
        <v>-0.24499999999999997</v>
      </c>
      <c r="AD16">
        <f>--((ROW()-ROW($U$7))=(COLUMN()-COLUMN($U$7)))-N($B$4)*N(INDEX(_ENGINE_Crisis!$AI$253:$AY$269,COLUMN()-COLUMN($U$7)+1,ROW()-ROW($U$7)+1))</f>
        <v>1</v>
      </c>
      <c r="AE16">
        <f>--((ROW()-ROW($U$7))=(COLUMN()-COLUMN($U$7)))-N($B$4)*N(INDEX(_ENGINE_Crisis!$AI$253:$AY$269,COLUMN()-COLUMN($U$7)+1,ROW()-ROW($U$7)+1))</f>
        <v>0</v>
      </c>
      <c r="AF16">
        <f>--((ROW()-ROW($U$7))=(COLUMN()-COLUMN($U$7)))-N($B$4)*N(INDEX(_ENGINE_Crisis!$AI$253:$AY$269,COLUMN()-COLUMN($U$7)+1,ROW()-ROW($U$7)+1))</f>
        <v>0</v>
      </c>
      <c r="AG16">
        <f>--((ROW()-ROW($U$7))=(COLUMN()-COLUMN($U$7)))-N($B$4)*N(INDEX(_ENGINE_Crisis!$AI$253:$AY$269,COLUMN()-COLUMN($U$7)+1,ROW()-ROW($U$7)+1))</f>
        <v>-0.17499999999999999</v>
      </c>
      <c r="AH16">
        <f>--((ROW()-ROW($U$7))=(COLUMN()-COLUMN($U$7)))-N($B$4)*N(INDEX(_ENGINE_Crisis!$AI$253:$AY$269,COLUMN()-COLUMN($U$7)+1,ROW()-ROW($U$7)+1))</f>
        <v>-0.13999999999999999</v>
      </c>
      <c r="AI16">
        <f>--((ROW()-ROW($U$7))=(COLUMN()-COLUMN($U$7)))-N($B$4)*N(INDEX(_ENGINE_Crisis!$AI$253:$AY$269,COLUMN()-COLUMN($U$7)+1,ROW()-ROW($U$7)+1))</f>
        <v>0</v>
      </c>
      <c r="AJ16">
        <f>--((ROW()-ROW($U$7))=(COLUMN()-COLUMN($U$7)))-N($B$4)*N(INDEX(_ENGINE_Crisis!$AI$253:$AY$269,COLUMN()-COLUMN($U$7)+1,ROW()-ROW($U$7)+1))</f>
        <v>-0.13999999999999999</v>
      </c>
      <c r="AK16">
        <f>--((ROW()-ROW($U$7))=(COLUMN()-COLUMN($U$7)))-N($B$4)*N(INDEX(_ENGINE_Crisis!$AI$253:$AY$269,COLUMN()-COLUMN($U$7)+1,ROW()-ROW($U$7)+1))</f>
        <v>-0.105</v>
      </c>
    </row>
    <row r="17" spans="1:37">
      <c r="A17" t="str">
        <f>_CONFIG_Risk_Calibration!A15</f>
        <v>Sales CRM</v>
      </c>
      <c r="B17">
        <f>COUNTIFS(_ENGINE_Risk!$B$5:$B$428,$A17)</f>
        <v>24</v>
      </c>
      <c r="C17">
        <f>IFERROR(AVERAGEIFS(_ENGINE_Risk!$AN$5:$AN$428,_ENGINE_Risk!$B$5:$B$428,$A17),0)</f>
        <v>1</v>
      </c>
      <c r="D17">
        <f>IFERROR(AVERAGEIFS(_ENGINE_Risk!$AO$5:$AO$428,_ENGINE_Risk!$B$5:$B$428,$A17),0)</f>
        <v>60</v>
      </c>
      <c r="E17">
        <f>IFERROR(VLOOKUP($A17,_CONFIG_Risk_Calibration!$A$5:$D$21,4,FALSE),3)</f>
        <v>3</v>
      </c>
      <c r="F17">
        <f>_CONFIG_Model_Settings!$B$173+_CONFIG_Model_Settings!$B$174*(E17-1)</f>
        <v>0.35</v>
      </c>
      <c r="G17">
        <f t="shared" si="0"/>
        <v>4.2564101942131103</v>
      </c>
      <c r="H17">
        <f>IF(OR($E$4="",$E$4=0),1,IFERROR(IF(SUMIFS(_ENGINE_Crisis!$D$5:$D$208,_ENGINE_Crisis!$A$5:$A$208,$E$4,_ENGINE_Crisis!$B$5:$B$208,$A17)=0,1,SUMIFS(_ENGINE_Crisis!$D$5:$D$208,_ENGINE_Crisis!$A$5:$A$208,$E$4,_ENGINE_Crisis!$B$5:$B$208,$A17)),1))</f>
        <v>1</v>
      </c>
      <c r="I17">
        <f t="shared" si="1"/>
        <v>255.38461165278662</v>
      </c>
      <c r="J17">
        <f t="shared" si="2"/>
        <v>165.99999757431129</v>
      </c>
      <c r="K17">
        <f t="shared" si="3"/>
        <v>344.76922573126194</v>
      </c>
      <c r="L17">
        <f t="shared" si="4"/>
        <v>24</v>
      </c>
      <c r="M17">
        <f t="shared" si="5"/>
        <v>0</v>
      </c>
      <c r="N17">
        <f t="shared" si="6"/>
        <v>1331.6015389929948</v>
      </c>
      <c r="O17">
        <f t="shared" si="7"/>
        <v>6129.230679666879</v>
      </c>
      <c r="P17">
        <f t="shared" si="8"/>
        <v>767002.486459965</v>
      </c>
      <c r="Q17">
        <f>IF(PV_Canonical_Industry="",1,IFERROR(SUMIFS(_REF_Model_Content!$C$5:$C$157,_REF_Model_Content!$A$5:$A$157,PV_Canonical_Industry,_REF_Model_Content!$B$5:$B$157,$A17)/AVERAGEIFS(_REF_Model_Content!$C$5:$C$157,_REF_Model_Content!$A$5:$A$157,PV_Canonical_Industry),1))</f>
        <v>1</v>
      </c>
      <c r="S17">
        <f t="shared" si="9"/>
        <v>4.2564101942131103</v>
      </c>
      <c r="U17">
        <f>--((ROW()-ROW($U$7))=(COLUMN()-COLUMN($U$7)))-N($B$4)*N(INDEX(_ENGINE_Crisis!$AI$253:$AY$269,COLUMN()-COLUMN($U$7)+1,ROW()-ROW($U$7)+1))</f>
        <v>0</v>
      </c>
      <c r="V17">
        <f>--((ROW()-ROW($U$7))=(COLUMN()-COLUMN($U$7)))-N($B$4)*N(INDEX(_ENGINE_Crisis!$AI$253:$AY$269,COLUMN()-COLUMN($U$7)+1,ROW()-ROW($U$7)+1))</f>
        <v>-0.17499999999999999</v>
      </c>
      <c r="W17">
        <f>--((ROW()-ROW($U$7))=(COLUMN()-COLUMN($U$7)))-N($B$4)*N(INDEX(_ENGINE_Crisis!$AI$253:$AY$269,COLUMN()-COLUMN($U$7)+1,ROW()-ROW($U$7)+1))</f>
        <v>0</v>
      </c>
      <c r="X17">
        <f>--((ROW()-ROW($U$7))=(COLUMN()-COLUMN($U$7)))-N($B$4)*N(INDEX(_ENGINE_Crisis!$AI$253:$AY$269,COLUMN()-COLUMN($U$7)+1,ROW()-ROW($U$7)+1))</f>
        <v>-0.105</v>
      </c>
      <c r="Y17">
        <f>--((ROW()-ROW($U$7))=(COLUMN()-COLUMN($U$7)))-N($B$4)*N(INDEX(_ENGINE_Crisis!$AI$253:$AY$269,COLUMN()-COLUMN($U$7)+1,ROW()-ROW($U$7)+1))</f>
        <v>0</v>
      </c>
      <c r="Z17">
        <f>--((ROW()-ROW($U$7))=(COLUMN()-COLUMN($U$7)))-N($B$4)*N(INDEX(_ENGINE_Crisis!$AI$253:$AY$269,COLUMN()-COLUMN($U$7)+1,ROW()-ROW($U$7)+1))</f>
        <v>-0.105</v>
      </c>
      <c r="AA17">
        <f>--((ROW()-ROW($U$7))=(COLUMN()-COLUMN($U$7)))-N($B$4)*N(INDEX(_ENGINE_Crisis!$AI$253:$AY$269,COLUMN()-COLUMN($U$7)+1,ROW()-ROW($U$7)+1))</f>
        <v>0</v>
      </c>
      <c r="AB17">
        <f>--((ROW()-ROW($U$7))=(COLUMN()-COLUMN($U$7)))-N($B$4)*N(INDEX(_ENGINE_Crisis!$AI$253:$AY$269,COLUMN()-COLUMN($U$7)+1,ROW()-ROW($U$7)+1))</f>
        <v>-0.17499999999999999</v>
      </c>
      <c r="AC17">
        <f>--((ROW()-ROW($U$7))=(COLUMN()-COLUMN($U$7)))-N($B$4)*N(INDEX(_ENGINE_Crisis!$AI$253:$AY$269,COLUMN()-COLUMN($U$7)+1,ROW()-ROW($U$7)+1))</f>
        <v>-0.105</v>
      </c>
      <c r="AD17">
        <f>--((ROW()-ROW($U$7))=(COLUMN()-COLUMN($U$7)))-N($B$4)*N(INDEX(_ENGINE_Crisis!$AI$253:$AY$269,COLUMN()-COLUMN($U$7)+1,ROW()-ROW($U$7)+1))</f>
        <v>-0.105</v>
      </c>
      <c r="AE17">
        <f>--((ROW()-ROW($U$7))=(COLUMN()-COLUMN($U$7)))-N($B$4)*N(INDEX(_ENGINE_Crisis!$AI$253:$AY$269,COLUMN()-COLUMN($U$7)+1,ROW()-ROW($U$7)+1))</f>
        <v>1</v>
      </c>
      <c r="AF17">
        <f>--((ROW()-ROW($U$7))=(COLUMN()-COLUMN($U$7)))-N($B$4)*N(INDEX(_ENGINE_Crisis!$AI$253:$AY$269,COLUMN()-COLUMN($U$7)+1,ROW()-ROW($U$7)+1))</f>
        <v>-0.105</v>
      </c>
      <c r="AG17">
        <f>--((ROW()-ROW($U$7))=(COLUMN()-COLUMN($U$7)))-N($B$4)*N(INDEX(_ENGINE_Crisis!$AI$253:$AY$269,COLUMN()-COLUMN($U$7)+1,ROW()-ROW($U$7)+1))</f>
        <v>-0.17499999999999999</v>
      </c>
      <c r="AH17">
        <f>--((ROW()-ROW($U$7))=(COLUMN()-COLUMN($U$7)))-N($B$4)*N(INDEX(_ENGINE_Crisis!$AI$253:$AY$269,COLUMN()-COLUMN($U$7)+1,ROW()-ROW($U$7)+1))</f>
        <v>-0.13999999999999999</v>
      </c>
      <c r="AI17">
        <f>--((ROW()-ROW($U$7))=(COLUMN()-COLUMN($U$7)))-N($B$4)*N(INDEX(_ENGINE_Crisis!$AI$253:$AY$269,COLUMN()-COLUMN($U$7)+1,ROW()-ROW($U$7)+1))</f>
        <v>-0.105</v>
      </c>
      <c r="AJ17">
        <f>--((ROW()-ROW($U$7))=(COLUMN()-COLUMN($U$7)))-N($B$4)*N(INDEX(_ENGINE_Crisis!$AI$253:$AY$269,COLUMN()-COLUMN($U$7)+1,ROW()-ROW($U$7)+1))</f>
        <v>-0.105</v>
      </c>
      <c r="AK17">
        <f>--((ROW()-ROW($U$7))=(COLUMN()-COLUMN($U$7)))-N($B$4)*N(INDEX(_ENGINE_Crisis!$AI$253:$AY$269,COLUMN()-COLUMN($U$7)+1,ROW()-ROW($U$7)+1))</f>
        <v>-0.105</v>
      </c>
    </row>
    <row r="18" spans="1:37">
      <c r="A18" t="str">
        <f>_CONFIG_Risk_Calibration!A16</f>
        <v>Marketing Comms</v>
      </c>
      <c r="B18">
        <f>COUNTIFS(_ENGINE_Risk!$B$5:$B$428,$A18)</f>
        <v>16</v>
      </c>
      <c r="C18">
        <f>IFERROR(AVERAGEIFS(_ENGINE_Risk!$AN$5:$AN$428,_ENGINE_Risk!$B$5:$B$428,$A18),0)</f>
        <v>1</v>
      </c>
      <c r="D18">
        <f>IFERROR(AVERAGEIFS(_ENGINE_Risk!$AO$5:$AO$428,_ENGINE_Risk!$B$5:$B$428,$A18),0)</f>
        <v>50</v>
      </c>
      <c r="E18">
        <f>IFERROR(VLOOKUP($A18,_CONFIG_Risk_Calibration!$A$5:$D$21,4,FALSE),3)</f>
        <v>3</v>
      </c>
      <c r="F18">
        <f>_CONFIG_Model_Settings!$B$173+_CONFIG_Model_Settings!$B$174*(E18-1)</f>
        <v>0.35</v>
      </c>
      <c r="G18">
        <f t="shared" si="0"/>
        <v>2.6028663806873498</v>
      </c>
      <c r="H18">
        <f>IF(OR($E$4="",$E$4=0),1,IFERROR(IF(SUMIFS(_ENGINE_Crisis!$D$5:$D$208,_ENGINE_Crisis!$A$5:$A$208,$E$4,_ENGINE_Crisis!$B$5:$B$208,$A18)=0,1,SUMIFS(_ENGINE_Crisis!$D$5:$D$208,_ENGINE_Crisis!$A$5:$A$208,$E$4,_ENGINE_Crisis!$B$5:$B$208,$A18)),1))</f>
        <v>1</v>
      </c>
      <c r="I18">
        <f t="shared" si="1"/>
        <v>130.14331903436749</v>
      </c>
      <c r="J18">
        <f t="shared" si="2"/>
        <v>84.593157372338879</v>
      </c>
      <c r="K18">
        <f t="shared" si="3"/>
        <v>175.69348069639614</v>
      </c>
      <c r="L18">
        <f t="shared" si="4"/>
        <v>16</v>
      </c>
      <c r="M18">
        <f t="shared" si="5"/>
        <v>0</v>
      </c>
      <c r="N18">
        <f t="shared" si="6"/>
        <v>345.80287123949046</v>
      </c>
      <c r="O18">
        <f t="shared" si="7"/>
        <v>2082.2931045498799</v>
      </c>
      <c r="P18">
        <f t="shared" si="8"/>
        <v>88525.535037309557</v>
      </c>
      <c r="Q18">
        <f>IF(PV_Canonical_Industry="",1,IFERROR(SUMIFS(_REF_Model_Content!$C$5:$C$157,_REF_Model_Content!$A$5:$A$157,PV_Canonical_Industry,_REF_Model_Content!$B$5:$B$157,$A18)/AVERAGEIFS(_REF_Model_Content!$C$5:$C$157,_REF_Model_Content!$A$5:$A$157,PV_Canonical_Industry),1))</f>
        <v>1</v>
      </c>
      <c r="S18">
        <f t="shared" si="9"/>
        <v>2.6028663806873498</v>
      </c>
      <c r="U18">
        <f>--((ROW()-ROW($U$7))=(COLUMN()-COLUMN($U$7)))-N($B$4)*N(INDEX(_ENGINE_Crisis!$AI$253:$AY$269,COLUMN()-COLUMN($U$7)+1,ROW()-ROW($U$7)+1))</f>
        <v>0</v>
      </c>
      <c r="V18">
        <f>--((ROW()-ROW($U$7))=(COLUMN()-COLUMN($U$7)))-N($B$4)*N(INDEX(_ENGINE_Crisis!$AI$253:$AY$269,COLUMN()-COLUMN($U$7)+1,ROW()-ROW($U$7)+1))</f>
        <v>-0.17499999999999999</v>
      </c>
      <c r="W18">
        <f>--((ROW()-ROW($U$7))=(COLUMN()-COLUMN($U$7)))-N($B$4)*N(INDEX(_ENGINE_Crisis!$AI$253:$AY$269,COLUMN()-COLUMN($U$7)+1,ROW()-ROW($U$7)+1))</f>
        <v>-0.105</v>
      </c>
      <c r="X18">
        <f>--((ROW()-ROW($U$7))=(COLUMN()-COLUMN($U$7)))-N($B$4)*N(INDEX(_ENGINE_Crisis!$AI$253:$AY$269,COLUMN()-COLUMN($U$7)+1,ROW()-ROW($U$7)+1))</f>
        <v>0</v>
      </c>
      <c r="Y18">
        <f>--((ROW()-ROW($U$7))=(COLUMN()-COLUMN($U$7)))-N($B$4)*N(INDEX(_ENGINE_Crisis!$AI$253:$AY$269,COLUMN()-COLUMN($U$7)+1,ROW()-ROW($U$7)+1))</f>
        <v>0</v>
      </c>
      <c r="Z18">
        <f>--((ROW()-ROW($U$7))=(COLUMN()-COLUMN($U$7)))-N($B$4)*N(INDEX(_ENGINE_Crisis!$AI$253:$AY$269,COLUMN()-COLUMN($U$7)+1,ROW()-ROW($U$7)+1))</f>
        <v>0</v>
      </c>
      <c r="AA18">
        <f>--((ROW()-ROW($U$7))=(COLUMN()-COLUMN($U$7)))-N($B$4)*N(INDEX(_ENGINE_Crisis!$AI$253:$AY$269,COLUMN()-COLUMN($U$7)+1,ROW()-ROW($U$7)+1))</f>
        <v>0</v>
      </c>
      <c r="AB18">
        <f>--((ROW()-ROW($U$7))=(COLUMN()-COLUMN($U$7)))-N($B$4)*N(INDEX(_ENGINE_Crisis!$AI$253:$AY$269,COLUMN()-COLUMN($U$7)+1,ROW()-ROW($U$7)+1))</f>
        <v>-0.105</v>
      </c>
      <c r="AC18">
        <f>--((ROW()-ROW($U$7))=(COLUMN()-COLUMN($U$7)))-N($B$4)*N(INDEX(_ENGINE_Crisis!$AI$253:$AY$269,COLUMN()-COLUMN($U$7)+1,ROW()-ROW($U$7)+1))</f>
        <v>0</v>
      </c>
      <c r="AD18">
        <f>--((ROW()-ROW($U$7))=(COLUMN()-COLUMN($U$7)))-N($B$4)*N(INDEX(_ENGINE_Crisis!$AI$253:$AY$269,COLUMN()-COLUMN($U$7)+1,ROW()-ROW($U$7)+1))</f>
        <v>0</v>
      </c>
      <c r="AE18">
        <f>--((ROW()-ROW($U$7))=(COLUMN()-COLUMN($U$7)))-N($B$4)*N(INDEX(_ENGINE_Crisis!$AI$253:$AY$269,COLUMN()-COLUMN($U$7)+1,ROW()-ROW($U$7)+1))</f>
        <v>-0.105</v>
      </c>
      <c r="AF18">
        <f>--((ROW()-ROW($U$7))=(COLUMN()-COLUMN($U$7)))-N($B$4)*N(INDEX(_ENGINE_Crisis!$AI$253:$AY$269,COLUMN()-COLUMN($U$7)+1,ROW()-ROW($U$7)+1))</f>
        <v>1</v>
      </c>
      <c r="AG18">
        <f>--((ROW()-ROW($U$7))=(COLUMN()-COLUMN($U$7)))-N($B$4)*N(INDEX(_ENGINE_Crisis!$AI$253:$AY$269,COLUMN()-COLUMN($U$7)+1,ROW()-ROW($U$7)+1))</f>
        <v>-0.105</v>
      </c>
      <c r="AH18">
        <f>--((ROW()-ROW($U$7))=(COLUMN()-COLUMN($U$7)))-N($B$4)*N(INDEX(_ENGINE_Crisis!$AI$253:$AY$269,COLUMN()-COLUMN($U$7)+1,ROW()-ROW($U$7)+1))</f>
        <v>0</v>
      </c>
      <c r="AI18">
        <f>--((ROW()-ROW($U$7))=(COLUMN()-COLUMN($U$7)))-N($B$4)*N(INDEX(_ENGINE_Crisis!$AI$253:$AY$269,COLUMN()-COLUMN($U$7)+1,ROW()-ROW($U$7)+1))</f>
        <v>0</v>
      </c>
      <c r="AJ18">
        <f>--((ROW()-ROW($U$7))=(COLUMN()-COLUMN($U$7)))-N($B$4)*N(INDEX(_ENGINE_Crisis!$AI$253:$AY$269,COLUMN()-COLUMN($U$7)+1,ROW()-ROW($U$7)+1))</f>
        <v>0</v>
      </c>
      <c r="AK18">
        <f>--((ROW()-ROW($U$7))=(COLUMN()-COLUMN($U$7)))-N($B$4)*N(INDEX(_ENGINE_Crisis!$AI$253:$AY$269,COLUMN()-COLUMN($U$7)+1,ROW()-ROW($U$7)+1))</f>
        <v>0</v>
      </c>
    </row>
    <row r="19" spans="1:37">
      <c r="A19" t="str">
        <f>_CONFIG_Risk_Calibration!A17</f>
        <v>IT Cloud DR</v>
      </c>
      <c r="B19">
        <f>COUNTIFS(_ENGINE_Risk!$B$5:$B$428,$A19)</f>
        <v>28</v>
      </c>
      <c r="C19">
        <f>IFERROR(AVERAGEIFS(_ENGINE_Risk!$AN$5:$AN$428,_ENGINE_Risk!$B$5:$B$428,$A19),0)</f>
        <v>1</v>
      </c>
      <c r="D19">
        <f>IFERROR(AVERAGEIFS(_ENGINE_Risk!$AO$5:$AO$428,_ENGINE_Risk!$B$5:$B$428,$A19),0)</f>
        <v>80</v>
      </c>
      <c r="E19">
        <f>IFERROR(VLOOKUP($A19,_CONFIG_Risk_Calibration!$A$5:$D$21,4,FALSE),3)</f>
        <v>3</v>
      </c>
      <c r="F19">
        <f>_CONFIG_Model_Settings!$B$173+_CONFIG_Model_Settings!$B$174*(E19-1)</f>
        <v>0.35</v>
      </c>
      <c r="G19">
        <f t="shared" si="0"/>
        <v>1.3610859533548447</v>
      </c>
      <c r="H19">
        <f>IF(OR($E$4="",$E$4=0),1,IFERROR(IF(SUMIFS(_ENGINE_Crisis!$D$5:$D$208,_ENGINE_Crisis!$A$5:$A$208,$E$4,_ENGINE_Crisis!$B$5:$B$208,$A19)=0,1,SUMIFS(_ENGINE_Crisis!$D$5:$D$208,_ENGINE_Crisis!$A$5:$A$208,$E$4,_ENGINE_Crisis!$B$5:$B$208,$A19)),1))</f>
        <v>1</v>
      </c>
      <c r="I19">
        <f t="shared" si="1"/>
        <v>108.88687626838758</v>
      </c>
      <c r="J19">
        <f t="shared" si="2"/>
        <v>70.776469574451937</v>
      </c>
      <c r="K19">
        <f t="shared" si="3"/>
        <v>146.99728296232325</v>
      </c>
      <c r="L19">
        <f t="shared" si="4"/>
        <v>28</v>
      </c>
      <c r="M19">
        <f t="shared" si="5"/>
        <v>0</v>
      </c>
      <c r="N19">
        <f t="shared" si="6"/>
        <v>242.06718306286265</v>
      </c>
      <c r="O19">
        <f t="shared" si="7"/>
        <v>3048.8325355148522</v>
      </c>
      <c r="P19">
        <f t="shared" si="8"/>
        <v>189780.67152128433</v>
      </c>
      <c r="Q19">
        <f>IF(PV_Canonical_Industry="",1,IFERROR(SUMIFS(_REF_Model_Content!$C$5:$C$157,_REF_Model_Content!$A$5:$A$157,PV_Canonical_Industry,_REF_Model_Content!$B$5:$B$157,$A19)/AVERAGEIFS(_REF_Model_Content!$C$5:$C$157,_REF_Model_Content!$A$5:$A$157,PV_Canonical_Industry),1))</f>
        <v>1</v>
      </c>
      <c r="S19">
        <f t="shared" si="9"/>
        <v>1.3610859533548447</v>
      </c>
      <c r="U19">
        <f>--((ROW()-ROW($U$7))=(COLUMN()-COLUMN($U$7)))-N($B$4)*N(INDEX(_ENGINE_Crisis!$AI$253:$AY$269,COLUMN()-COLUMN($U$7)+1,ROW()-ROW($U$7)+1))</f>
        <v>0</v>
      </c>
      <c r="V19">
        <f>--((ROW()-ROW($U$7))=(COLUMN()-COLUMN($U$7)))-N($B$4)*N(INDEX(_ENGINE_Crisis!$AI$253:$AY$269,COLUMN()-COLUMN($U$7)+1,ROW()-ROW($U$7)+1))</f>
        <v>0</v>
      </c>
      <c r="W19">
        <f>--((ROW()-ROW($U$7))=(COLUMN()-COLUMN($U$7)))-N($B$4)*N(INDEX(_ENGINE_Crisis!$AI$253:$AY$269,COLUMN()-COLUMN($U$7)+1,ROW()-ROW($U$7)+1))</f>
        <v>0</v>
      </c>
      <c r="X19">
        <f>--((ROW()-ROW($U$7))=(COLUMN()-COLUMN($U$7)))-N($B$4)*N(INDEX(_ENGINE_Crisis!$AI$253:$AY$269,COLUMN()-COLUMN($U$7)+1,ROW()-ROW($U$7)+1))</f>
        <v>-0.105</v>
      </c>
      <c r="Y19">
        <f>--((ROW()-ROW($U$7))=(COLUMN()-COLUMN($U$7)))-N($B$4)*N(INDEX(_ENGINE_Crisis!$AI$253:$AY$269,COLUMN()-COLUMN($U$7)+1,ROW()-ROW($U$7)+1))</f>
        <v>0</v>
      </c>
      <c r="Z19">
        <f>--((ROW()-ROW($U$7))=(COLUMN()-COLUMN($U$7)))-N($B$4)*N(INDEX(_ENGINE_Crisis!$AI$253:$AY$269,COLUMN()-COLUMN($U$7)+1,ROW()-ROW($U$7)+1))</f>
        <v>0</v>
      </c>
      <c r="AA19">
        <f>--((ROW()-ROW($U$7))=(COLUMN()-COLUMN($U$7)))-N($B$4)*N(INDEX(_ENGINE_Crisis!$AI$253:$AY$269,COLUMN()-COLUMN($U$7)+1,ROW()-ROW($U$7)+1))</f>
        <v>0</v>
      </c>
      <c r="AB19">
        <f>--((ROW()-ROW($U$7))=(COLUMN()-COLUMN($U$7)))-N($B$4)*N(INDEX(_ENGINE_Crisis!$AI$253:$AY$269,COLUMN()-COLUMN($U$7)+1,ROW()-ROW($U$7)+1))</f>
        <v>0</v>
      </c>
      <c r="AC19">
        <f>--((ROW()-ROW($U$7))=(COLUMN()-COLUMN($U$7)))-N($B$4)*N(INDEX(_ENGINE_Crisis!$AI$253:$AY$269,COLUMN()-COLUMN($U$7)+1,ROW()-ROW($U$7)+1))</f>
        <v>0</v>
      </c>
      <c r="AD19">
        <f>--((ROW()-ROW($U$7))=(COLUMN()-COLUMN($U$7)))-N($B$4)*N(INDEX(_ENGINE_Crisis!$AI$253:$AY$269,COLUMN()-COLUMN($U$7)+1,ROW()-ROW($U$7)+1))</f>
        <v>0</v>
      </c>
      <c r="AE19">
        <f>--((ROW()-ROW($U$7))=(COLUMN()-COLUMN($U$7)))-N($B$4)*N(INDEX(_ENGINE_Crisis!$AI$253:$AY$269,COLUMN()-COLUMN($U$7)+1,ROW()-ROW($U$7)+1))</f>
        <v>0</v>
      </c>
      <c r="AF19">
        <f>--((ROW()-ROW($U$7))=(COLUMN()-COLUMN($U$7)))-N($B$4)*N(INDEX(_ENGINE_Crisis!$AI$253:$AY$269,COLUMN()-COLUMN($U$7)+1,ROW()-ROW($U$7)+1))</f>
        <v>0</v>
      </c>
      <c r="AG19">
        <f>--((ROW()-ROW($U$7))=(COLUMN()-COLUMN($U$7)))-N($B$4)*N(INDEX(_ENGINE_Crisis!$AI$253:$AY$269,COLUMN()-COLUMN($U$7)+1,ROW()-ROW($U$7)+1))</f>
        <v>1</v>
      </c>
      <c r="AH19">
        <f>--((ROW()-ROW($U$7))=(COLUMN()-COLUMN($U$7)))-N($B$4)*N(INDEX(_ENGINE_Crisis!$AI$253:$AY$269,COLUMN()-COLUMN($U$7)+1,ROW()-ROW($U$7)+1))</f>
        <v>0</v>
      </c>
      <c r="AI19">
        <f>--((ROW()-ROW($U$7))=(COLUMN()-COLUMN($U$7)))-N($B$4)*N(INDEX(_ENGINE_Crisis!$AI$253:$AY$269,COLUMN()-COLUMN($U$7)+1,ROW()-ROW($U$7)+1))</f>
        <v>0</v>
      </c>
      <c r="AJ19">
        <f>--((ROW()-ROW($U$7))=(COLUMN()-COLUMN($U$7)))-N($B$4)*N(INDEX(_ENGINE_Crisis!$AI$253:$AY$269,COLUMN()-COLUMN($U$7)+1,ROW()-ROW($U$7)+1))</f>
        <v>-0.21</v>
      </c>
      <c r="AK19">
        <f>--((ROW()-ROW($U$7))=(COLUMN()-COLUMN($U$7)))-N($B$4)*N(INDEX(_ENGINE_Crisis!$AI$253:$AY$269,COLUMN()-COLUMN($U$7)+1,ROW()-ROW($U$7)+1))</f>
        <v>0</v>
      </c>
    </row>
    <row r="20" spans="1:37">
      <c r="A20" t="str">
        <f>_CONFIG_Risk_Calibration!A18</f>
        <v>Business Systems</v>
      </c>
      <c r="B20">
        <f>COUNTIFS(_ENGINE_Risk!$B$5:$B$428,$A20)</f>
        <v>21</v>
      </c>
      <c r="C20">
        <f>IFERROR(AVERAGEIFS(_ENGINE_Risk!$AN$5:$AN$428,_ENGINE_Risk!$B$5:$B$428,$A20),0)</f>
        <v>1</v>
      </c>
      <c r="D20">
        <f>IFERROR(AVERAGEIFS(_ENGINE_Risk!$AO$5:$AO$428,_ENGINE_Risk!$B$5:$B$428,$A20),0)</f>
        <v>80</v>
      </c>
      <c r="E20">
        <f>IFERROR(VLOOKUP($A20,_CONFIG_Risk_Calibration!$A$5:$D$21,4,FALSE),3)</f>
        <v>3</v>
      </c>
      <c r="F20">
        <f>_CONFIG_Model_Settings!$B$173+_CONFIG_Model_Settings!$B$174*(E20-1)</f>
        <v>0.35</v>
      </c>
      <c r="G20">
        <f t="shared" si="0"/>
        <v>1.5084660585719365</v>
      </c>
      <c r="H20">
        <f>IF(OR($E$4="",$E$4=0),1,IFERROR(IF(SUMIFS(_ENGINE_Crisis!$D$5:$D$208,_ENGINE_Crisis!$A$5:$A$208,$E$4,_ENGINE_Crisis!$B$5:$B$208,$A20)=0,1,SUMIFS(_ENGINE_Crisis!$D$5:$D$208,_ENGINE_Crisis!$A$5:$A$208,$E$4,_ENGINE_Crisis!$B$5:$B$208,$A20)),1))</f>
        <v>1</v>
      </c>
      <c r="I20">
        <f t="shared" si="1"/>
        <v>120.67728468575493</v>
      </c>
      <c r="J20">
        <f t="shared" si="2"/>
        <v>78.440235045740707</v>
      </c>
      <c r="K20">
        <f t="shared" si="3"/>
        <v>162.91433432576918</v>
      </c>
      <c r="L20">
        <f t="shared" si="4"/>
        <v>21</v>
      </c>
      <c r="M20">
        <f t="shared" si="5"/>
        <v>0</v>
      </c>
      <c r="N20">
        <f t="shared" si="6"/>
        <v>297.32806038217109</v>
      </c>
      <c r="O20">
        <f t="shared" si="7"/>
        <v>2534.2229784008537</v>
      </c>
      <c r="P20">
        <f t="shared" si="8"/>
        <v>131121.67462853744</v>
      </c>
      <c r="Q20">
        <f>IF(PV_Canonical_Industry="",1,IFERROR(SUMIFS(_REF_Model_Content!$C$5:$C$157,_REF_Model_Content!$A$5:$A$157,PV_Canonical_Industry,_REF_Model_Content!$B$5:$B$157,$A20)/AVERAGEIFS(_REF_Model_Content!$C$5:$C$157,_REF_Model_Content!$A$5:$A$157,PV_Canonical_Industry),1))</f>
        <v>1</v>
      </c>
      <c r="S20">
        <f t="shared" si="9"/>
        <v>1.5084660585719365</v>
      </c>
      <c r="U20">
        <f>--((ROW()-ROW($U$7))=(COLUMN()-COLUMN($U$7)))-N($B$4)*N(INDEX(_ENGINE_Crisis!$AI$253:$AY$269,COLUMN()-COLUMN($U$7)+1,ROW()-ROW($U$7)+1))</f>
        <v>0</v>
      </c>
      <c r="V20">
        <f>--((ROW()-ROW($U$7))=(COLUMN()-COLUMN($U$7)))-N($B$4)*N(INDEX(_ENGINE_Crisis!$AI$253:$AY$269,COLUMN()-COLUMN($U$7)+1,ROW()-ROW($U$7)+1))</f>
        <v>0</v>
      </c>
      <c r="W20">
        <f>--((ROW()-ROW($U$7))=(COLUMN()-COLUMN($U$7)))-N($B$4)*N(INDEX(_ENGINE_Crisis!$AI$253:$AY$269,COLUMN()-COLUMN($U$7)+1,ROW()-ROW($U$7)+1))</f>
        <v>0</v>
      </c>
      <c r="X20">
        <f>--((ROW()-ROW($U$7))=(COLUMN()-COLUMN($U$7)))-N($B$4)*N(INDEX(_ENGINE_Crisis!$AI$253:$AY$269,COLUMN()-COLUMN($U$7)+1,ROW()-ROW($U$7)+1))</f>
        <v>0</v>
      </c>
      <c r="Y20">
        <f>--((ROW()-ROW($U$7))=(COLUMN()-COLUMN($U$7)))-N($B$4)*N(INDEX(_ENGINE_Crisis!$AI$253:$AY$269,COLUMN()-COLUMN($U$7)+1,ROW()-ROW($U$7)+1))</f>
        <v>0</v>
      </c>
      <c r="Z20">
        <f>--((ROW()-ROW($U$7))=(COLUMN()-COLUMN($U$7)))-N($B$4)*N(INDEX(_ENGINE_Crisis!$AI$253:$AY$269,COLUMN()-COLUMN($U$7)+1,ROW()-ROW($U$7)+1))</f>
        <v>0</v>
      </c>
      <c r="AA20">
        <f>--((ROW()-ROW($U$7))=(COLUMN()-COLUMN($U$7)))-N($B$4)*N(INDEX(_ENGINE_Crisis!$AI$253:$AY$269,COLUMN()-COLUMN($U$7)+1,ROW()-ROW($U$7)+1))</f>
        <v>0</v>
      </c>
      <c r="AB20">
        <f>--((ROW()-ROW($U$7))=(COLUMN()-COLUMN($U$7)))-N($B$4)*N(INDEX(_ENGINE_Crisis!$AI$253:$AY$269,COLUMN()-COLUMN($U$7)+1,ROW()-ROW($U$7)+1))</f>
        <v>0</v>
      </c>
      <c r="AC20">
        <f>--((ROW()-ROW($U$7))=(COLUMN()-COLUMN($U$7)))-N($B$4)*N(INDEX(_ENGINE_Crisis!$AI$253:$AY$269,COLUMN()-COLUMN($U$7)+1,ROW()-ROW($U$7)+1))</f>
        <v>0</v>
      </c>
      <c r="AD20">
        <f>--((ROW()-ROW($U$7))=(COLUMN()-COLUMN($U$7)))-N($B$4)*N(INDEX(_ENGINE_Crisis!$AI$253:$AY$269,COLUMN()-COLUMN($U$7)+1,ROW()-ROW($U$7)+1))</f>
        <v>0</v>
      </c>
      <c r="AE20">
        <f>--((ROW()-ROW($U$7))=(COLUMN()-COLUMN($U$7)))-N($B$4)*N(INDEX(_ENGINE_Crisis!$AI$253:$AY$269,COLUMN()-COLUMN($U$7)+1,ROW()-ROW($U$7)+1))</f>
        <v>0</v>
      </c>
      <c r="AF20">
        <f>--((ROW()-ROW($U$7))=(COLUMN()-COLUMN($U$7)))-N($B$4)*N(INDEX(_ENGINE_Crisis!$AI$253:$AY$269,COLUMN()-COLUMN($U$7)+1,ROW()-ROW($U$7)+1))</f>
        <v>0</v>
      </c>
      <c r="AG20">
        <f>--((ROW()-ROW($U$7))=(COLUMN()-COLUMN($U$7)))-N($B$4)*N(INDEX(_ENGINE_Crisis!$AI$253:$AY$269,COLUMN()-COLUMN($U$7)+1,ROW()-ROW($U$7)+1))</f>
        <v>-0.24499999999999997</v>
      </c>
      <c r="AH20">
        <f>--((ROW()-ROW($U$7))=(COLUMN()-COLUMN($U$7)))-N($B$4)*N(INDEX(_ENGINE_Crisis!$AI$253:$AY$269,COLUMN()-COLUMN($U$7)+1,ROW()-ROW($U$7)+1))</f>
        <v>1</v>
      </c>
      <c r="AI20">
        <f>--((ROW()-ROW($U$7))=(COLUMN()-COLUMN($U$7)))-N($B$4)*N(INDEX(_ENGINE_Crisis!$AI$253:$AY$269,COLUMN()-COLUMN($U$7)+1,ROW()-ROW($U$7)+1))</f>
        <v>0</v>
      </c>
      <c r="AJ20">
        <f>--((ROW()-ROW($U$7))=(COLUMN()-COLUMN($U$7)))-N($B$4)*N(INDEX(_ENGINE_Crisis!$AI$253:$AY$269,COLUMN()-COLUMN($U$7)+1,ROW()-ROW($U$7)+1))</f>
        <v>-0.17499999999999999</v>
      </c>
      <c r="AK20">
        <f>--((ROW()-ROW($U$7))=(COLUMN()-COLUMN($U$7)))-N($B$4)*N(INDEX(_ENGINE_Crisis!$AI$253:$AY$269,COLUMN()-COLUMN($U$7)+1,ROW()-ROW($U$7)+1))</f>
        <v>0</v>
      </c>
    </row>
    <row r="21" spans="1:37">
      <c r="A21" t="str">
        <f>_CONFIG_Risk_Calibration!A19</f>
        <v>Data BI AI</v>
      </c>
      <c r="B21">
        <f>COUNTIFS(_ENGINE_Risk!$B$5:$B$428,$A21)</f>
        <v>27</v>
      </c>
      <c r="C21">
        <f>IFERROR(AVERAGEIFS(_ENGINE_Risk!$AN$5:$AN$428,_ENGINE_Risk!$B$5:$B$428,$A21),0)</f>
        <v>1</v>
      </c>
      <c r="D21">
        <f>IFERROR(AVERAGEIFS(_ENGINE_Risk!$AO$5:$AO$428,_ENGINE_Risk!$B$5:$B$428,$A21),0)</f>
        <v>60</v>
      </c>
      <c r="E21">
        <f>IFERROR(VLOOKUP($A21,_CONFIG_Risk_Calibration!$A$5:$D$21,4,FALSE),3)</f>
        <v>3</v>
      </c>
      <c r="F21">
        <f>_CONFIG_Model_Settings!$B$173+_CONFIG_Model_Settings!$B$174*(E21-1)</f>
        <v>0.35</v>
      </c>
      <c r="G21">
        <f t="shared" si="0"/>
        <v>1.7248096104546067</v>
      </c>
      <c r="H21">
        <f>IF(OR($E$4="",$E$4=0),1,IFERROR(IF(SUMIFS(_ENGINE_Crisis!$D$5:$D$208,_ENGINE_Crisis!$A$5:$A$208,$E$4,_ENGINE_Crisis!$B$5:$B$208,$A21)=0,1,SUMIFS(_ENGINE_Crisis!$D$5:$D$208,_ENGINE_Crisis!$A$5:$A$208,$E$4,_ENGINE_Crisis!$B$5:$B$208,$A21)),1))</f>
        <v>1</v>
      </c>
      <c r="I21">
        <f t="shared" si="1"/>
        <v>103.4885766272764</v>
      </c>
      <c r="J21">
        <f t="shared" si="2"/>
        <v>67.267574807729659</v>
      </c>
      <c r="K21">
        <f t="shared" si="3"/>
        <v>139.70957844682314</v>
      </c>
      <c r="L21">
        <f t="shared" si="4"/>
        <v>27</v>
      </c>
      <c r="M21">
        <f t="shared" si="5"/>
        <v>0</v>
      </c>
      <c r="N21">
        <f t="shared" si="6"/>
        <v>218.66016213526805</v>
      </c>
      <c r="O21">
        <f t="shared" si="7"/>
        <v>2794.1915689364628</v>
      </c>
      <c r="P21">
        <f t="shared" si="8"/>
        <v>159403.2581966104</v>
      </c>
      <c r="Q21">
        <f>IF(PV_Canonical_Industry="",1,IFERROR(SUMIFS(_REF_Model_Content!$C$5:$C$157,_REF_Model_Content!$A$5:$A$157,PV_Canonical_Industry,_REF_Model_Content!$B$5:$B$157,$A21)/AVERAGEIFS(_REF_Model_Content!$C$5:$C$157,_REF_Model_Content!$A$5:$A$157,PV_Canonical_Industry),1))</f>
        <v>1</v>
      </c>
      <c r="S21">
        <f t="shared" si="9"/>
        <v>1.7248096104546067</v>
      </c>
      <c r="U21">
        <f>--((ROW()-ROW($U$7))=(COLUMN()-COLUMN($U$7)))-N($B$4)*N(INDEX(_ENGINE_Crisis!$AI$253:$AY$269,COLUMN()-COLUMN($U$7)+1,ROW()-ROW($U$7)+1))</f>
        <v>0</v>
      </c>
      <c r="V21">
        <f>--((ROW()-ROW($U$7))=(COLUMN()-COLUMN($U$7)))-N($B$4)*N(INDEX(_ENGINE_Crisis!$AI$253:$AY$269,COLUMN()-COLUMN($U$7)+1,ROW()-ROW($U$7)+1))</f>
        <v>0</v>
      </c>
      <c r="W21">
        <f>--((ROW()-ROW($U$7))=(COLUMN()-COLUMN($U$7)))-N($B$4)*N(INDEX(_ENGINE_Crisis!$AI$253:$AY$269,COLUMN()-COLUMN($U$7)+1,ROW()-ROW($U$7)+1))</f>
        <v>0</v>
      </c>
      <c r="X21">
        <f>--((ROW()-ROW($U$7))=(COLUMN()-COLUMN($U$7)))-N($B$4)*N(INDEX(_ENGINE_Crisis!$AI$253:$AY$269,COLUMN()-COLUMN($U$7)+1,ROW()-ROW($U$7)+1))</f>
        <v>0</v>
      </c>
      <c r="Y21">
        <f>--((ROW()-ROW($U$7))=(COLUMN()-COLUMN($U$7)))-N($B$4)*N(INDEX(_ENGINE_Crisis!$AI$253:$AY$269,COLUMN()-COLUMN($U$7)+1,ROW()-ROW($U$7)+1))</f>
        <v>0</v>
      </c>
      <c r="Z21">
        <f>--((ROW()-ROW($U$7))=(COLUMN()-COLUMN($U$7)))-N($B$4)*N(INDEX(_ENGINE_Crisis!$AI$253:$AY$269,COLUMN()-COLUMN($U$7)+1,ROW()-ROW($U$7)+1))</f>
        <v>0</v>
      </c>
      <c r="AA21">
        <f>--((ROW()-ROW($U$7))=(COLUMN()-COLUMN($U$7)))-N($B$4)*N(INDEX(_ENGINE_Crisis!$AI$253:$AY$269,COLUMN()-COLUMN($U$7)+1,ROW()-ROW($U$7)+1))</f>
        <v>0</v>
      </c>
      <c r="AB21">
        <f>--((ROW()-ROW($U$7))=(COLUMN()-COLUMN($U$7)))-N($B$4)*N(INDEX(_ENGINE_Crisis!$AI$253:$AY$269,COLUMN()-COLUMN($U$7)+1,ROW()-ROW($U$7)+1))</f>
        <v>0</v>
      </c>
      <c r="AC21">
        <f>--((ROW()-ROW($U$7))=(COLUMN()-COLUMN($U$7)))-N($B$4)*N(INDEX(_ENGINE_Crisis!$AI$253:$AY$269,COLUMN()-COLUMN($U$7)+1,ROW()-ROW($U$7)+1))</f>
        <v>0</v>
      </c>
      <c r="AD21">
        <f>--((ROW()-ROW($U$7))=(COLUMN()-COLUMN($U$7)))-N($B$4)*N(INDEX(_ENGINE_Crisis!$AI$253:$AY$269,COLUMN()-COLUMN($U$7)+1,ROW()-ROW($U$7)+1))</f>
        <v>0</v>
      </c>
      <c r="AE21">
        <f>--((ROW()-ROW($U$7))=(COLUMN()-COLUMN($U$7)))-N($B$4)*N(INDEX(_ENGINE_Crisis!$AI$253:$AY$269,COLUMN()-COLUMN($U$7)+1,ROW()-ROW($U$7)+1))</f>
        <v>0</v>
      </c>
      <c r="AF21">
        <f>--((ROW()-ROW($U$7))=(COLUMN()-COLUMN($U$7)))-N($B$4)*N(INDEX(_ENGINE_Crisis!$AI$253:$AY$269,COLUMN()-COLUMN($U$7)+1,ROW()-ROW($U$7)+1))</f>
        <v>0</v>
      </c>
      <c r="AG21">
        <f>--((ROW()-ROW($U$7))=(COLUMN()-COLUMN($U$7)))-N($B$4)*N(INDEX(_ENGINE_Crisis!$AI$253:$AY$269,COLUMN()-COLUMN($U$7)+1,ROW()-ROW($U$7)+1))</f>
        <v>-0.21</v>
      </c>
      <c r="AH21">
        <f>--((ROW()-ROW($U$7))=(COLUMN()-COLUMN($U$7)))-N($B$4)*N(INDEX(_ENGINE_Crisis!$AI$253:$AY$269,COLUMN()-COLUMN($U$7)+1,ROW()-ROW($U$7)+1))</f>
        <v>-0.17499999999999999</v>
      </c>
      <c r="AI21">
        <f>--((ROW()-ROW($U$7))=(COLUMN()-COLUMN($U$7)))-N($B$4)*N(INDEX(_ENGINE_Crisis!$AI$253:$AY$269,COLUMN()-COLUMN($U$7)+1,ROW()-ROW($U$7)+1))</f>
        <v>1</v>
      </c>
      <c r="AJ21">
        <f>--((ROW()-ROW($U$7))=(COLUMN()-COLUMN($U$7)))-N($B$4)*N(INDEX(_ENGINE_Crisis!$AI$253:$AY$269,COLUMN()-COLUMN($U$7)+1,ROW()-ROW($U$7)+1))</f>
        <v>-0.17499999999999999</v>
      </c>
      <c r="AK21">
        <f>--((ROW()-ROW($U$7))=(COLUMN()-COLUMN($U$7)))-N($B$4)*N(INDEX(_ENGINE_Crisis!$AI$253:$AY$269,COLUMN()-COLUMN($U$7)+1,ROW()-ROW($U$7)+1))</f>
        <v>0</v>
      </c>
    </row>
    <row r="22" spans="1:37">
      <c r="A22" t="str">
        <f>_CONFIG_Risk_Calibration!A20</f>
        <v>Cyber Privacy</v>
      </c>
      <c r="B22">
        <f>COUNTIFS(_ENGINE_Risk!$B$5:$B$428,$A22)</f>
        <v>34</v>
      </c>
      <c r="C22">
        <f>IFERROR(AVERAGEIFS(_ENGINE_Risk!$AN$5:$AN$428,_ENGINE_Risk!$B$5:$B$428,$A22),0)</f>
        <v>1</v>
      </c>
      <c r="D22">
        <f>IFERROR(AVERAGEIFS(_ENGINE_Risk!$AO$5:$AO$428,_ENGINE_Risk!$B$5:$B$428,$A22),0)</f>
        <v>100</v>
      </c>
      <c r="E22">
        <f>IFERROR(VLOOKUP($A22,_CONFIG_Risk_Calibration!$A$5:$D$21,4,FALSE),3)</f>
        <v>3</v>
      </c>
      <c r="F22">
        <f>_CONFIG_Model_Settings!$B$173+_CONFIG_Model_Settings!$B$174*(E22-1)</f>
        <v>0.35</v>
      </c>
      <c r="G22">
        <f t="shared" si="0"/>
        <v>1</v>
      </c>
      <c r="H22">
        <f>IF(OR($E$4="",$E$4=0),1,IFERROR(IF(SUMIFS(_ENGINE_Crisis!$D$5:$D$208,_ENGINE_Crisis!$A$5:$A$208,$E$4,_ENGINE_Crisis!$B$5:$B$208,$A22)=0,1,SUMIFS(_ENGINE_Crisis!$D$5:$D$208,_ENGINE_Crisis!$A$5:$A$208,$E$4,_ENGINE_Crisis!$B$5:$B$208,$A22)),1))</f>
        <v>1</v>
      </c>
      <c r="I22">
        <f t="shared" si="1"/>
        <v>100</v>
      </c>
      <c r="J22">
        <f t="shared" si="2"/>
        <v>65</v>
      </c>
      <c r="K22">
        <f t="shared" si="3"/>
        <v>135</v>
      </c>
      <c r="L22">
        <f t="shared" si="4"/>
        <v>34</v>
      </c>
      <c r="M22">
        <f t="shared" si="5"/>
        <v>0</v>
      </c>
      <c r="N22">
        <f t="shared" si="6"/>
        <v>204.16666666666666</v>
      </c>
      <c r="O22">
        <f t="shared" si="7"/>
        <v>3400</v>
      </c>
      <c r="P22">
        <f t="shared" si="8"/>
        <v>236016.66666666666</v>
      </c>
      <c r="Q22">
        <f>IF(PV_Canonical_Industry="",1,IFERROR(SUMIFS(_REF_Model_Content!$C$5:$C$157,_REF_Model_Content!$A$5:$A$157,PV_Canonical_Industry,_REF_Model_Content!$B$5:$B$157,$A22)/AVERAGEIFS(_REF_Model_Content!$C$5:$C$157,_REF_Model_Content!$A$5:$A$157,PV_Canonical_Industry),1))</f>
        <v>1</v>
      </c>
      <c r="S22">
        <f t="shared" si="9"/>
        <v>1</v>
      </c>
      <c r="U22">
        <f>--((ROW()-ROW($U$7))=(COLUMN()-COLUMN($U$7)))-N($B$4)*N(INDEX(_ENGINE_Crisis!$AI$253:$AY$269,COLUMN()-COLUMN($U$7)+1,ROW()-ROW($U$7)+1))</f>
        <v>0</v>
      </c>
      <c r="V22">
        <f>--((ROW()-ROW($U$7))=(COLUMN()-COLUMN($U$7)))-N($B$4)*N(INDEX(_ENGINE_Crisis!$AI$253:$AY$269,COLUMN()-COLUMN($U$7)+1,ROW()-ROW($U$7)+1))</f>
        <v>0</v>
      </c>
      <c r="W22">
        <f>--((ROW()-ROW($U$7))=(COLUMN()-COLUMN($U$7)))-N($B$4)*N(INDEX(_ENGINE_Crisis!$AI$253:$AY$269,COLUMN()-COLUMN($U$7)+1,ROW()-ROW($U$7)+1))</f>
        <v>0</v>
      </c>
      <c r="X22">
        <f>--((ROW()-ROW($U$7))=(COLUMN()-COLUMN($U$7)))-N($B$4)*N(INDEX(_ENGINE_Crisis!$AI$253:$AY$269,COLUMN()-COLUMN($U$7)+1,ROW()-ROW($U$7)+1))</f>
        <v>0</v>
      </c>
      <c r="Y22">
        <f>--((ROW()-ROW($U$7))=(COLUMN()-COLUMN($U$7)))-N($B$4)*N(INDEX(_ENGINE_Crisis!$AI$253:$AY$269,COLUMN()-COLUMN($U$7)+1,ROW()-ROW($U$7)+1))</f>
        <v>0</v>
      </c>
      <c r="Z22">
        <f>--((ROW()-ROW($U$7))=(COLUMN()-COLUMN($U$7)))-N($B$4)*N(INDEX(_ENGINE_Crisis!$AI$253:$AY$269,COLUMN()-COLUMN($U$7)+1,ROW()-ROW($U$7)+1))</f>
        <v>0</v>
      </c>
      <c r="AA22">
        <f>--((ROW()-ROW($U$7))=(COLUMN()-COLUMN($U$7)))-N($B$4)*N(INDEX(_ENGINE_Crisis!$AI$253:$AY$269,COLUMN()-COLUMN($U$7)+1,ROW()-ROW($U$7)+1))</f>
        <v>0</v>
      </c>
      <c r="AB22">
        <f>--((ROW()-ROW($U$7))=(COLUMN()-COLUMN($U$7)))-N($B$4)*N(INDEX(_ENGINE_Crisis!$AI$253:$AY$269,COLUMN()-COLUMN($U$7)+1,ROW()-ROW($U$7)+1))</f>
        <v>0</v>
      </c>
      <c r="AC22">
        <f>--((ROW()-ROW($U$7))=(COLUMN()-COLUMN($U$7)))-N($B$4)*N(INDEX(_ENGINE_Crisis!$AI$253:$AY$269,COLUMN()-COLUMN($U$7)+1,ROW()-ROW($U$7)+1))</f>
        <v>0</v>
      </c>
      <c r="AD22">
        <f>--((ROW()-ROW($U$7))=(COLUMN()-COLUMN($U$7)))-N($B$4)*N(INDEX(_ENGINE_Crisis!$AI$253:$AY$269,COLUMN()-COLUMN($U$7)+1,ROW()-ROW($U$7)+1))</f>
        <v>0</v>
      </c>
      <c r="AE22">
        <f>--((ROW()-ROW($U$7))=(COLUMN()-COLUMN($U$7)))-N($B$4)*N(INDEX(_ENGINE_Crisis!$AI$253:$AY$269,COLUMN()-COLUMN($U$7)+1,ROW()-ROW($U$7)+1))</f>
        <v>0</v>
      </c>
      <c r="AF22">
        <f>--((ROW()-ROW($U$7))=(COLUMN()-COLUMN($U$7)))-N($B$4)*N(INDEX(_ENGINE_Crisis!$AI$253:$AY$269,COLUMN()-COLUMN($U$7)+1,ROW()-ROW($U$7)+1))</f>
        <v>0</v>
      </c>
      <c r="AG22">
        <f>--((ROW()-ROW($U$7))=(COLUMN()-COLUMN($U$7)))-N($B$4)*N(INDEX(_ENGINE_Crisis!$AI$253:$AY$269,COLUMN()-COLUMN($U$7)+1,ROW()-ROW($U$7)+1))</f>
        <v>0</v>
      </c>
      <c r="AH22">
        <f>--((ROW()-ROW($U$7))=(COLUMN()-COLUMN($U$7)))-N($B$4)*N(INDEX(_ENGINE_Crisis!$AI$253:$AY$269,COLUMN()-COLUMN($U$7)+1,ROW()-ROW($U$7)+1))</f>
        <v>0</v>
      </c>
      <c r="AI22">
        <f>--((ROW()-ROW($U$7))=(COLUMN()-COLUMN($U$7)))-N($B$4)*N(INDEX(_ENGINE_Crisis!$AI$253:$AY$269,COLUMN()-COLUMN($U$7)+1,ROW()-ROW($U$7)+1))</f>
        <v>0</v>
      </c>
      <c r="AJ22">
        <f>--((ROW()-ROW($U$7))=(COLUMN()-COLUMN($U$7)))-N($B$4)*N(INDEX(_ENGINE_Crisis!$AI$253:$AY$269,COLUMN()-COLUMN($U$7)+1,ROW()-ROW($U$7)+1))</f>
        <v>1</v>
      </c>
      <c r="AK22">
        <f>--((ROW()-ROW($U$7))=(COLUMN()-COLUMN($U$7)))-N($B$4)*N(INDEX(_ENGINE_Crisis!$AI$253:$AY$269,COLUMN()-COLUMN($U$7)+1,ROW()-ROW($U$7)+1))</f>
        <v>0</v>
      </c>
    </row>
    <row r="23" spans="1:37">
      <c r="A23" t="str">
        <f>_CONFIG_Risk_Calibration!A21</f>
        <v>Quality Portfolio</v>
      </c>
      <c r="B23">
        <f>COUNTIFS(_ENGINE_Risk!$B$5:$B$428,$A23)</f>
        <v>22</v>
      </c>
      <c r="C23">
        <f>IFERROR(AVERAGEIFS(_ENGINE_Risk!$AN$5:$AN$428,_ENGINE_Risk!$B$5:$B$428,$A23),0)</f>
        <v>1</v>
      </c>
      <c r="D23">
        <f>IFERROR(AVERAGEIFS(_ENGINE_Risk!$AO$5:$AO$428,_ENGINE_Risk!$B$5:$B$428,$A23),0)</f>
        <v>80</v>
      </c>
      <c r="E23">
        <f>IFERROR(VLOOKUP($A23,_CONFIG_Risk_Calibration!$A$5:$D$21,4,FALSE),3)</f>
        <v>3</v>
      </c>
      <c r="F23">
        <f>_CONFIG_Model_Settings!$B$173+_CONFIG_Model_Settings!$B$174*(E23-1)</f>
        <v>0.35</v>
      </c>
      <c r="G23">
        <f t="shared" si="0"/>
        <v>2.9615108640072809</v>
      </c>
      <c r="H23">
        <f>IF(OR($E$4="",$E$4=0),1,IFERROR(IF(SUMIFS(_ENGINE_Crisis!$D$5:$D$208,_ENGINE_Crisis!$A$5:$A$208,$E$4,_ENGINE_Crisis!$B$5:$B$208,$A23)=0,1,SUMIFS(_ENGINE_Crisis!$D$5:$D$208,_ENGINE_Crisis!$A$5:$A$208,$E$4,_ENGINE_Crisis!$B$5:$B$208,$A23)),1))</f>
        <v>1</v>
      </c>
      <c r="I23">
        <f t="shared" si="1"/>
        <v>236.92086912058247</v>
      </c>
      <c r="J23">
        <f t="shared" si="2"/>
        <v>153.99856492837861</v>
      </c>
      <c r="K23">
        <f t="shared" si="3"/>
        <v>319.84317331278635</v>
      </c>
      <c r="L23">
        <f t="shared" si="4"/>
        <v>22</v>
      </c>
      <c r="M23">
        <f t="shared" si="5"/>
        <v>0</v>
      </c>
      <c r="N23">
        <f t="shared" si="6"/>
        <v>1146.0180887573986</v>
      </c>
      <c r="O23">
        <f t="shared" si="7"/>
        <v>5212.2591206528141</v>
      </c>
      <c r="P23">
        <f t="shared" si="8"/>
        <v>554672.75495858095</v>
      </c>
      <c r="Q23">
        <f>IF(PV_Canonical_Industry="",1,IFERROR(SUMIFS(_REF_Model_Content!$C$5:$C$157,_REF_Model_Content!$A$5:$A$157,PV_Canonical_Industry,_REF_Model_Content!$B$5:$B$157,$A23)/AVERAGEIFS(_REF_Model_Content!$C$5:$C$157,_REF_Model_Content!$A$5:$A$157,PV_Canonical_Industry),1))</f>
        <v>1</v>
      </c>
      <c r="S23">
        <f t="shared" si="9"/>
        <v>2.9615108640072809</v>
      </c>
      <c r="U23">
        <f>--((ROW()-ROW($U$7))=(COLUMN()-COLUMN($U$7)))-N($B$4)*N(INDEX(_ENGINE_Crisis!$AI$253:$AY$269,COLUMN()-COLUMN($U$7)+1,ROW()-ROW($U$7)+1))</f>
        <v>0</v>
      </c>
      <c r="V23">
        <f>--((ROW()-ROW($U$7))=(COLUMN()-COLUMN($U$7)))-N($B$4)*N(INDEX(_ENGINE_Crisis!$AI$253:$AY$269,COLUMN()-COLUMN($U$7)+1,ROW()-ROW($U$7)+1))</f>
        <v>-0.105</v>
      </c>
      <c r="W23">
        <f>--((ROW()-ROW($U$7))=(COLUMN()-COLUMN($U$7)))-N($B$4)*N(INDEX(_ENGINE_Crisis!$AI$253:$AY$269,COLUMN()-COLUMN($U$7)+1,ROW()-ROW($U$7)+1))</f>
        <v>0</v>
      </c>
      <c r="X23">
        <f>--((ROW()-ROW($U$7))=(COLUMN()-COLUMN($U$7)))-N($B$4)*N(INDEX(_ENGINE_Crisis!$AI$253:$AY$269,COLUMN()-COLUMN($U$7)+1,ROW()-ROW($U$7)+1))</f>
        <v>0</v>
      </c>
      <c r="Y23">
        <f>--((ROW()-ROW($U$7))=(COLUMN()-COLUMN($U$7)))-N($B$4)*N(INDEX(_ENGINE_Crisis!$AI$253:$AY$269,COLUMN()-COLUMN($U$7)+1,ROW()-ROW($U$7)+1))</f>
        <v>0</v>
      </c>
      <c r="Z23">
        <f>--((ROW()-ROW($U$7))=(COLUMN()-COLUMN($U$7)))-N($B$4)*N(INDEX(_ENGINE_Crisis!$AI$253:$AY$269,COLUMN()-COLUMN($U$7)+1,ROW()-ROW($U$7)+1))</f>
        <v>0</v>
      </c>
      <c r="AA23">
        <f>--((ROW()-ROW($U$7))=(COLUMN()-COLUMN($U$7)))-N($B$4)*N(INDEX(_ENGINE_Crisis!$AI$253:$AY$269,COLUMN()-COLUMN($U$7)+1,ROW()-ROW($U$7)+1))</f>
        <v>0</v>
      </c>
      <c r="AB23">
        <f>--((ROW()-ROW($U$7))=(COLUMN()-COLUMN($U$7)))-N($B$4)*N(INDEX(_ENGINE_Crisis!$AI$253:$AY$269,COLUMN()-COLUMN($U$7)+1,ROW()-ROW($U$7)+1))</f>
        <v>-0.13999999999999999</v>
      </c>
      <c r="AC23">
        <f>--((ROW()-ROW($U$7))=(COLUMN()-COLUMN($U$7)))-N($B$4)*N(INDEX(_ENGINE_Crisis!$AI$253:$AY$269,COLUMN()-COLUMN($U$7)+1,ROW()-ROW($U$7)+1))</f>
        <v>-0.13999999999999999</v>
      </c>
      <c r="AD23">
        <f>--((ROW()-ROW($U$7))=(COLUMN()-COLUMN($U$7)))-N($B$4)*N(INDEX(_ENGINE_Crisis!$AI$253:$AY$269,COLUMN()-COLUMN($U$7)+1,ROW()-ROW($U$7)+1))</f>
        <v>-0.17499999999999999</v>
      </c>
      <c r="AE23">
        <f>--((ROW()-ROW($U$7))=(COLUMN()-COLUMN($U$7)))-N($B$4)*N(INDEX(_ENGINE_Crisis!$AI$253:$AY$269,COLUMN()-COLUMN($U$7)+1,ROW()-ROW($U$7)+1))</f>
        <v>0</v>
      </c>
      <c r="AF23">
        <f>--((ROW()-ROW($U$7))=(COLUMN()-COLUMN($U$7)))-N($B$4)*N(INDEX(_ENGINE_Crisis!$AI$253:$AY$269,COLUMN()-COLUMN($U$7)+1,ROW()-ROW($U$7)+1))</f>
        <v>0</v>
      </c>
      <c r="AG23">
        <f>--((ROW()-ROW($U$7))=(COLUMN()-COLUMN($U$7)))-N($B$4)*N(INDEX(_ENGINE_Crisis!$AI$253:$AY$269,COLUMN()-COLUMN($U$7)+1,ROW()-ROW($U$7)+1))</f>
        <v>-0.105</v>
      </c>
      <c r="AH23">
        <f>--((ROW()-ROW($U$7))=(COLUMN()-COLUMN($U$7)))-N($B$4)*N(INDEX(_ENGINE_Crisis!$AI$253:$AY$269,COLUMN()-COLUMN($U$7)+1,ROW()-ROW($U$7)+1))</f>
        <v>0</v>
      </c>
      <c r="AI23">
        <f>--((ROW()-ROW($U$7))=(COLUMN()-COLUMN($U$7)))-N($B$4)*N(INDEX(_ENGINE_Crisis!$AI$253:$AY$269,COLUMN()-COLUMN($U$7)+1,ROW()-ROW($U$7)+1))</f>
        <v>-0.105</v>
      </c>
      <c r="AJ23">
        <f>--((ROW()-ROW($U$7))=(COLUMN()-COLUMN($U$7)))-N($B$4)*N(INDEX(_ENGINE_Crisis!$AI$253:$AY$269,COLUMN()-COLUMN($U$7)+1,ROW()-ROW($U$7)+1))</f>
        <v>0</v>
      </c>
      <c r="AK23">
        <f>--((ROW()-ROW($U$7))=(COLUMN()-COLUMN($U$7)))-N($B$4)*N(INDEX(_ENGINE_Crisis!$AI$253:$AY$269,COLUMN()-COLUMN($U$7)+1,ROW()-ROW($U$7)+1))</f>
        <v>1</v>
      </c>
    </row>
    <row r="26" spans="1:37">
      <c r="A26" t="s">
        <v>11530</v>
      </c>
      <c r="B26">
        <f>IFERROR(SUM($O$7:$O$23),0)</f>
        <v>65559.303878030652</v>
      </c>
    </row>
    <row r="27" spans="1:37">
      <c r="A27" t="s">
        <v>11531</v>
      </c>
      <c r="B27">
        <f>IFERROR(SQRT(SUM($P$7:$P$23)),0)</f>
        <v>2483.7719317638539</v>
      </c>
    </row>
    <row r="28" spans="1:37">
      <c r="A28" t="s">
        <v>3467</v>
      </c>
      <c r="B28">
        <f>IFERROR($B$26+1.644853627*$B$33,0)</f>
        <v>93267.429398547945</v>
      </c>
    </row>
    <row r="29" spans="1:37">
      <c r="A29" t="s">
        <v>3468</v>
      </c>
      <c r="B29">
        <f>IFERROR($B$26+2.062712807*$B$33,0)</f>
        <v>100306.41111660961</v>
      </c>
    </row>
    <row r="30" spans="1:37">
      <c r="A30" t="s">
        <v>3469</v>
      </c>
      <c r="B30">
        <f>IFERROR($B$26+2.326347874*$B$33,0)</f>
        <v>104747.43456583229</v>
      </c>
    </row>
    <row r="31" spans="1:37">
      <c r="A31" t="s">
        <v>3471</v>
      </c>
      <c r="B31">
        <f>IFERROR($B$26+2.665214221*$B$33,0)</f>
        <v>110455.75482195144</v>
      </c>
    </row>
    <row r="33" spans="1:2">
      <c r="A33" t="s">
        <v>11532</v>
      </c>
      <c r="B33">
        <f>IFERROR(SQRT(MAX(0,EXP(_CONFIG_Model_Settings!$B$175^2)*($B$26^2+$B$27^2)-$B$26^2)),0)</f>
        <v>16845.344209170344</v>
      </c>
    </row>
    <row r="34" spans="1:2">
      <c r="A34" t="s">
        <v>11533</v>
      </c>
      <c r="B34">
        <f>IFERROR(1-$B$27^2/$B$33^2,0)</f>
        <v>0.97825979420673015</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G2015"/>
  <sheetViews>
    <sheetView workbookViewId="0"/>
  </sheetViews>
  <sheetFormatPr defaultRowHeight="14.15"/>
  <cols>
    <col min="1" max="1" width="32" customWidth="1"/>
    <col min="2" max="5" width="13" customWidth="1"/>
  </cols>
  <sheetData>
    <row r="1" spans="1:7">
      <c r="A1" t="s">
        <v>11534</v>
      </c>
    </row>
    <row r="2" spans="1:7">
      <c r="A2" t="s">
        <v>11535</v>
      </c>
    </row>
    <row r="4" spans="1:7">
      <c r="A4" t="s">
        <v>11536</v>
      </c>
      <c r="B4">
        <v>2000</v>
      </c>
      <c r="D4" t="s">
        <v>11537</v>
      </c>
      <c r="E4">
        <f>_CONFIG_Model_Settings!$B$175</f>
        <v>0.25</v>
      </c>
      <c r="G4" t="s">
        <v>11538</v>
      </c>
    </row>
    <row r="5" spans="1:7">
      <c r="A5" t="s">
        <v>11539</v>
      </c>
      <c r="B5">
        <f>IFERROR(_ENGINE_Simulation!$B$26,0)</f>
        <v>65559.303878030652</v>
      </c>
      <c r="D5" t="s">
        <v>11540</v>
      </c>
      <c r="E5">
        <f>IFERROR(_ENGINE_Simulation!$B$27,0)</f>
        <v>2483.7719317638539</v>
      </c>
      <c r="G5" t="s">
        <v>11541</v>
      </c>
    </row>
    <row r="7" spans="1:7">
      <c r="A7" t="s">
        <v>11542</v>
      </c>
      <c r="B7">
        <f>IFERROR(AVERAGE($E$16:$E$2015),0)</f>
        <v>66006.677059661641</v>
      </c>
      <c r="D7" t="s">
        <v>3474</v>
      </c>
      <c r="E7" t="str">
        <f>_CONFIG_Model_Settings!$B$178</f>
        <v>Frozen</v>
      </c>
      <c r="G7" t="s">
        <v>11543</v>
      </c>
    </row>
    <row r="8" spans="1:7">
      <c r="A8" t="s">
        <v>11544</v>
      </c>
      <c r="B8">
        <f>IFERROR(PERCENTILE($E$16:$E$2015,0.95),0)</f>
        <v>96534.816079446784</v>
      </c>
      <c r="D8" t="s">
        <v>3476</v>
      </c>
      <c r="E8">
        <f>IF($E$7="Live",_CONFIG_Model_Settings!$B$179,_CONFIG_Model_Settings!$B$180)</f>
        <v>250619</v>
      </c>
      <c r="G8" t="s">
        <v>11545</v>
      </c>
    </row>
    <row r="9" spans="1:7">
      <c r="A9" t="s">
        <v>11546</v>
      </c>
      <c r="B9">
        <f>IFERROR(AVERAGEIF($E$16:$E$2015,"&gt;="&amp;$B$8),0)</f>
        <v>107065.97820854252</v>
      </c>
      <c r="D9" t="s">
        <v>11547</v>
      </c>
      <c r="E9">
        <f>_CONFIG_Model_Settings!$B$180</f>
        <v>250619</v>
      </c>
    </row>
    <row r="10" spans="1:7">
      <c r="A10" t="s">
        <v>11548</v>
      </c>
      <c r="B10">
        <f>IFERROR(PERCENTILE($E$16:$E$2015,0.99),0)</f>
        <v>114856.44044063879</v>
      </c>
      <c r="D10" t="s">
        <v>11549</v>
      </c>
      <c r="E10">
        <f>_CONFIG_Model_Settings!$B$179</f>
        <v>250620</v>
      </c>
      <c r="G10" t="s">
        <v>11550</v>
      </c>
    </row>
    <row r="11" spans="1:7">
      <c r="A11" t="s">
        <v>11551</v>
      </c>
      <c r="B11">
        <f>IFERROR(AVERAGEIF($E$16:$E$2015,"&gt;="&amp;$B$10),0)</f>
        <v>121918.23786482445</v>
      </c>
      <c r="D11" t="s">
        <v>11552</v>
      </c>
      <c r="E11">
        <v>0</v>
      </c>
      <c r="G11" t="s">
        <v>11553</v>
      </c>
    </row>
    <row r="15" spans="1:7">
      <c r="A15" t="s">
        <v>11554</v>
      </c>
      <c r="B15" t="s">
        <v>11555</v>
      </c>
      <c r="C15" t="s">
        <v>11556</v>
      </c>
      <c r="D15" t="s">
        <v>11557</v>
      </c>
      <c r="E15" t="s">
        <v>11558</v>
      </c>
    </row>
    <row r="16" spans="1:7">
      <c r="A16">
        <f t="shared" ref="A16:A79" si="0">IFERROR(MOD(MOD(($E$8+((ROW()-15)*(ROW()-14)/2)*13)*171,30269)/30269+MOD(($E$8+((ROW()-15)*(ROW()-14)/2)*29)*172,30307)/30307+MOD(($E$8+((ROW()-15)*(ROW()-14)/2)*47)*170,30323)/30323,1),0.5)</f>
        <v>0.7083011221733706</v>
      </c>
      <c r="B16">
        <f t="shared" ref="B16:B79" si="1">IFERROR(MOD(MOD(($E$8+((ROW()-15)*(ROW()-14)/2)*17)*171,30269)/30269+MOD(($E$8+((ROW()-15)*(ROW()-14)/2)*41)*172,30307)/30307+MOD(($E$8+((ROW()-15)*(ROW()-14)/2)*83)*170,30323)/30323,1),0.5)</f>
        <v>8.2857353392462585E-4</v>
      </c>
      <c r="C16">
        <f t="shared" ref="C16:C79" si="2">IFERROR(EXP($E$4*NORMSINV(MIN(MAX(A16,0.000000001),0.999999999))-$E$4^2/2),1)</f>
        <v>1.1116630184765977</v>
      </c>
      <c r="D16">
        <f t="shared" ref="D16:D79" si="3">IFERROR($B$5+$E$5*NORMSINV(MIN(MAX(B16,0.000000001),0.999999999)),$B$5)</f>
        <v>57746.211424266337</v>
      </c>
      <c r="E16">
        <f t="shared" ref="E16:E79" si="4">IFERROR(C16*MAX(D16,0),0)</f>
        <v>64194.327697487701</v>
      </c>
    </row>
    <row r="17" spans="1:5">
      <c r="A17">
        <f t="shared" si="0"/>
        <v>0.71134166292943846</v>
      </c>
      <c r="B17">
        <f t="shared" si="1"/>
        <v>0.58892401701109998</v>
      </c>
      <c r="C17">
        <f t="shared" si="2"/>
        <v>1.1141336676124449</v>
      </c>
      <c r="D17">
        <f t="shared" si="3"/>
        <v>66117.601215197792</v>
      </c>
      <c r="E17">
        <f t="shared" si="4"/>
        <v>73663.845535625354</v>
      </c>
    </row>
    <row r="18" spans="1:5">
      <c r="A18">
        <f t="shared" si="0"/>
        <v>0.2159024740635398</v>
      </c>
      <c r="B18">
        <f t="shared" si="1"/>
        <v>0.97106718222686306</v>
      </c>
      <c r="C18">
        <f t="shared" si="2"/>
        <v>0.79630206350231902</v>
      </c>
      <c r="D18">
        <f t="shared" si="3"/>
        <v>70270.309991223112</v>
      </c>
      <c r="E18">
        <f t="shared" si="4"/>
        <v>55956.392848958589</v>
      </c>
    </row>
    <row r="19" spans="1:5">
      <c r="A19">
        <f t="shared" si="0"/>
        <v>0.22198355557567506</v>
      </c>
      <c r="B19">
        <f t="shared" si="1"/>
        <v>0.14725806918121354</v>
      </c>
      <c r="C19">
        <f t="shared" si="2"/>
        <v>0.8004126776812821</v>
      </c>
      <c r="D19">
        <f t="shared" si="3"/>
        <v>62955.650579842921</v>
      </c>
      <c r="E19">
        <f t="shared" si="4"/>
        <v>50390.500855779232</v>
      </c>
    </row>
    <row r="20" spans="1:5">
      <c r="A20">
        <f t="shared" si="0"/>
        <v>0.72958490746584426</v>
      </c>
      <c r="B20">
        <f t="shared" si="1"/>
        <v>0.11749667787415241</v>
      </c>
      <c r="C20">
        <f t="shared" si="2"/>
        <v>1.1293469194108225</v>
      </c>
      <c r="D20">
        <f t="shared" si="3"/>
        <v>62609.590937765694</v>
      </c>
      <c r="E20">
        <f t="shared" si="4"/>
        <v>70707.948651137442</v>
      </c>
    </row>
    <row r="21" spans="1:5">
      <c r="A21">
        <f t="shared" si="0"/>
        <v>0.73870652973404738</v>
      </c>
      <c r="B21">
        <f t="shared" si="1"/>
        <v>0.88178300830567835</v>
      </c>
      <c r="C21">
        <f t="shared" si="2"/>
        <v>1.137224564042439</v>
      </c>
      <c r="D21">
        <f t="shared" si="3"/>
        <v>68499.958582715219</v>
      </c>
      <c r="E21">
        <f t="shared" si="4"/>
        <v>77899.835536153449</v>
      </c>
    </row>
    <row r="22" spans="1:5">
      <c r="A22">
        <f t="shared" si="0"/>
        <v>0.24934842238028398</v>
      </c>
      <c r="B22">
        <f t="shared" si="1"/>
        <v>0.44011706047579202</v>
      </c>
      <c r="C22">
        <f t="shared" si="2"/>
        <v>0.81841527551990223</v>
      </c>
      <c r="D22">
        <f t="shared" si="3"/>
        <v>65185.067920376066</v>
      </c>
      <c r="E22">
        <f t="shared" si="4"/>
        <v>53348.455321838119</v>
      </c>
    </row>
    <row r="23" spans="1:5">
      <c r="A23">
        <f t="shared" si="0"/>
        <v>0.26151058540455474</v>
      </c>
      <c r="B23">
        <f t="shared" si="1"/>
        <v>0.79249883438449364</v>
      </c>
      <c r="C23">
        <f t="shared" si="2"/>
        <v>0.82619552118517348</v>
      </c>
      <c r="D23">
        <f t="shared" si="3"/>
        <v>67583.881667411842</v>
      </c>
      <c r="E23">
        <f t="shared" si="4"/>
        <v>55837.500337924415</v>
      </c>
    </row>
    <row r="24" spans="1:5">
      <c r="A24">
        <f t="shared" si="0"/>
        <v>0.7751930188068592</v>
      </c>
      <c r="B24">
        <f t="shared" si="1"/>
        <v>0.938928330031783</v>
      </c>
      <c r="C24">
        <f t="shared" si="2"/>
        <v>1.1708906419455323</v>
      </c>
      <c r="D24">
        <f t="shared" si="3"/>
        <v>69398.816586263638</v>
      </c>
      <c r="E24">
        <f t="shared" si="4"/>
        <v>81258.424902950486</v>
      </c>
    </row>
    <row r="25" spans="1:5">
      <c r="A25">
        <f t="shared" si="0"/>
        <v>0.79039572258719737</v>
      </c>
      <c r="B25">
        <f t="shared" si="1"/>
        <v>0.87940554741765964</v>
      </c>
      <c r="C25">
        <f t="shared" si="2"/>
        <v>1.1861333978177193</v>
      </c>
      <c r="D25">
        <f t="shared" si="3"/>
        <v>68470.33500834764</v>
      </c>
      <c r="E25">
        <f t="shared" si="4"/>
        <v>81214.951113168921</v>
      </c>
    </row>
    <row r="26" spans="1:5">
      <c r="A26">
        <f t="shared" si="0"/>
        <v>0.30711869674556969</v>
      </c>
      <c r="B26">
        <f t="shared" si="1"/>
        <v>0.61393048654212423</v>
      </c>
      <c r="C26">
        <f t="shared" si="2"/>
        <v>0.85448311862415949</v>
      </c>
      <c r="D26">
        <f t="shared" si="3"/>
        <v>66278.549822586254</v>
      </c>
      <c r="E26">
        <f t="shared" si="4"/>
        <v>56633.901950290237</v>
      </c>
    </row>
    <row r="27" spans="1:5">
      <c r="A27">
        <f t="shared" si="0"/>
        <v>0.32536194128197549</v>
      </c>
      <c r="B27">
        <f t="shared" si="1"/>
        <v>0.14250314740517656</v>
      </c>
      <c r="C27">
        <f t="shared" si="2"/>
        <v>0.86550753620003107</v>
      </c>
      <c r="D27">
        <f t="shared" si="3"/>
        <v>62903.802328014666</v>
      </c>
      <c r="E27">
        <f t="shared" si="4"/>
        <v>54443.714970533751</v>
      </c>
    </row>
    <row r="28" spans="1:5">
      <c r="A28">
        <f t="shared" si="0"/>
        <v>0.84512545619641521</v>
      </c>
      <c r="B28">
        <f t="shared" si="1"/>
        <v>0.46512353000681639</v>
      </c>
      <c r="C28">
        <f t="shared" si="2"/>
        <v>1.2494296486394321</v>
      </c>
      <c r="D28">
        <f t="shared" si="3"/>
        <v>65341.889382520698</v>
      </c>
      <c r="E28">
        <f t="shared" si="4"/>
        <v>81640.093892639474</v>
      </c>
    </row>
    <row r="29" spans="1:5">
      <c r="A29">
        <f t="shared" si="0"/>
        <v>0.86640924148888887</v>
      </c>
      <c r="B29">
        <f t="shared" si="1"/>
        <v>0.58179163434704417</v>
      </c>
      <c r="C29">
        <f t="shared" si="2"/>
        <v>1.2790839419160305</v>
      </c>
      <c r="D29">
        <f t="shared" si="3"/>
        <v>66072.150735875286</v>
      </c>
      <c r="E29">
        <f t="shared" si="4"/>
        <v>84511.827014113514</v>
      </c>
    </row>
    <row r="30" spans="1:5">
      <c r="A30">
        <f t="shared" si="0"/>
        <v>0.38921329715939623</v>
      </c>
      <c r="B30">
        <f t="shared" si="1"/>
        <v>0.49250746042585947</v>
      </c>
      <c r="C30">
        <f t="shared" si="2"/>
        <v>0.90339760200147257</v>
      </c>
      <c r="D30">
        <f t="shared" si="3"/>
        <v>65512.653386050217</v>
      </c>
      <c r="E30">
        <f t="shared" si="4"/>
        <v>59183.97396971142</v>
      </c>
    </row>
    <row r="31" spans="1:5">
      <c r="A31">
        <f t="shared" si="0"/>
        <v>0.41353762320793752</v>
      </c>
      <c r="B31">
        <f t="shared" si="1"/>
        <v>0.19727100824326227</v>
      </c>
      <c r="C31">
        <f t="shared" si="2"/>
        <v>0.91771944749879719</v>
      </c>
      <c r="D31">
        <f t="shared" si="3"/>
        <v>63444.597307374432</v>
      </c>
      <c r="E31">
        <f t="shared" si="4"/>
        <v>58224.34078770734</v>
      </c>
    </row>
    <row r="32" spans="1:5">
      <c r="A32">
        <f t="shared" si="0"/>
        <v>0.93938221963451263</v>
      </c>
      <c r="B32">
        <f t="shared" si="1"/>
        <v>0.69608227779925302</v>
      </c>
      <c r="C32">
        <f t="shared" si="2"/>
        <v>1.4278246665074579</v>
      </c>
      <c r="D32">
        <f t="shared" si="3"/>
        <v>66833.890342337516</v>
      </c>
      <c r="E32">
        <f t="shared" si="4"/>
        <v>95427.07718944407</v>
      </c>
    </row>
    <row r="33" spans="1:5">
      <c r="A33">
        <f t="shared" si="0"/>
        <v>0.96674708643912166</v>
      </c>
      <c r="B33">
        <f t="shared" si="1"/>
        <v>0.98894126909383151</v>
      </c>
      <c r="C33">
        <f t="shared" si="2"/>
        <v>1.5334188234902435</v>
      </c>
      <c r="D33">
        <f t="shared" si="3"/>
        <v>71243.029936999752</v>
      </c>
      <c r="E33">
        <f t="shared" si="4"/>
        <v>109245.40314787436</v>
      </c>
    </row>
    <row r="34" spans="1:5">
      <c r="A34">
        <f t="shared" si="0"/>
        <v>0.49563222362176407</v>
      </c>
      <c r="B34">
        <f t="shared" si="1"/>
        <v>7.5847982126997504E-2</v>
      </c>
      <c r="C34">
        <f t="shared" si="2"/>
        <v>0.96658392262342774</v>
      </c>
      <c r="D34">
        <f t="shared" si="3"/>
        <v>61998.651252766998</v>
      </c>
      <c r="E34">
        <f t="shared" si="4"/>
        <v>59926.899525261419</v>
      </c>
    </row>
    <row r="35" spans="1:5">
      <c r="A35">
        <f t="shared" si="0"/>
        <v>0.52603763118244062</v>
      </c>
      <c r="B35">
        <f t="shared" si="1"/>
        <v>0.95680241689875112</v>
      </c>
      <c r="C35">
        <f t="shared" si="2"/>
        <v>0.98518904442811439</v>
      </c>
      <c r="D35">
        <f t="shared" si="3"/>
        <v>69818.296360074426</v>
      </c>
      <c r="E35">
        <f t="shared" si="4"/>
        <v>68784.220674580618</v>
      </c>
    </row>
    <row r="36" spans="1:5">
      <c r="A36">
        <f t="shared" si="0"/>
        <v>5.7963309121150886E-2</v>
      </c>
      <c r="B36">
        <f t="shared" si="1"/>
        <v>0.63180457340909257</v>
      </c>
      <c r="C36">
        <f t="shared" si="2"/>
        <v>0.65424341579825807</v>
      </c>
      <c r="D36">
        <f t="shared" si="3"/>
        <v>66395.432445799568</v>
      </c>
      <c r="E36">
        <f t="shared" si="4"/>
        <v>43438.7745167424</v>
      </c>
    </row>
    <row r="37" spans="1:5">
      <c r="A37">
        <f t="shared" si="0"/>
        <v>9.1409257437895519E-2</v>
      </c>
      <c r="B37">
        <f t="shared" si="1"/>
        <v>0.10085445165802165</v>
      </c>
      <c r="C37">
        <f t="shared" si="2"/>
        <v>0.69469546605333876</v>
      </c>
      <c r="D37">
        <f t="shared" si="3"/>
        <v>62388.277329217097</v>
      </c>
      <c r="E37">
        <f t="shared" si="4"/>
        <v>43340.853395485421</v>
      </c>
    </row>
    <row r="38" spans="1:5">
      <c r="A38">
        <f t="shared" si="0"/>
        <v>0.62637547613267364</v>
      </c>
      <c r="B38">
        <f t="shared" si="1"/>
        <v>0.36395205164553834</v>
      </c>
      <c r="C38">
        <f t="shared" si="2"/>
        <v>1.0505535402570902</v>
      </c>
      <c r="D38">
        <f t="shared" si="3"/>
        <v>64695.162642381212</v>
      </c>
      <c r="E38">
        <f t="shared" si="4"/>
        <v>67965.732151461838</v>
      </c>
    </row>
    <row r="39" spans="1:5">
      <c r="A39">
        <f t="shared" si="0"/>
        <v>0.66286196520548546</v>
      </c>
      <c r="B39">
        <f t="shared" si="1"/>
        <v>0.42109737337164299</v>
      </c>
      <c r="C39">
        <f t="shared" si="2"/>
        <v>1.0766147844990324</v>
      </c>
      <c r="D39">
        <f t="shared" si="3"/>
        <v>65064.817355060834</v>
      </c>
      <c r="E39">
        <f t="shared" si="4"/>
        <v>70049.744315187723</v>
      </c>
    </row>
    <row r="40" spans="1:5">
      <c r="A40">
        <f t="shared" si="0"/>
        <v>0.20086872465633121</v>
      </c>
      <c r="B40">
        <f t="shared" si="1"/>
        <v>0.27229041683633515</v>
      </c>
      <c r="C40">
        <f t="shared" si="2"/>
        <v>0.78593548832807425</v>
      </c>
      <c r="D40">
        <f t="shared" si="3"/>
        <v>64054.385246073194</v>
      </c>
      <c r="E40">
        <f t="shared" si="4"/>
        <v>50342.614547927129</v>
      </c>
    </row>
    <row r="41" spans="1:5">
      <c r="A41">
        <f t="shared" si="0"/>
        <v>0.24039575448521067</v>
      </c>
      <c r="B41">
        <f t="shared" si="1"/>
        <v>0.91753118203961503</v>
      </c>
      <c r="C41">
        <f t="shared" si="2"/>
        <v>0.81260712831271109</v>
      </c>
      <c r="D41">
        <f t="shared" si="3"/>
        <v>69008.406583345975</v>
      </c>
      <c r="E41">
        <f t="shared" si="4"/>
        <v>56076.723103128759</v>
      </c>
    </row>
    <row r="42" spans="1:5">
      <c r="A42">
        <f t="shared" si="0"/>
        <v>0.78144305469212405</v>
      </c>
      <c r="B42">
        <f t="shared" si="1"/>
        <v>0.35681966898148243</v>
      </c>
      <c r="C42">
        <f t="shared" si="2"/>
        <v>1.1770590745848186</v>
      </c>
      <c r="D42">
        <f t="shared" si="3"/>
        <v>64647.827240265709</v>
      </c>
      <c r="E42">
        <f t="shared" si="4"/>
        <v>76094.311705346379</v>
      </c>
    </row>
    <row r="43" spans="1:5">
      <c r="A43">
        <f t="shared" si="0"/>
        <v>0.82401062527707114</v>
      </c>
      <c r="B43">
        <f t="shared" si="1"/>
        <v>0.590155877661938</v>
      </c>
      <c r="C43">
        <f t="shared" si="2"/>
        <v>1.2231622396984054</v>
      </c>
      <c r="D43">
        <f t="shared" si="3"/>
        <v>66125.469679434114</v>
      </c>
      <c r="E43">
        <f t="shared" si="4"/>
        <v>80882.177594205627</v>
      </c>
    </row>
    <row r="44" spans="1:5">
      <c r="A44">
        <f t="shared" si="0"/>
        <v>0.36809846624005216</v>
      </c>
      <c r="B44">
        <f t="shared" si="1"/>
        <v>0.61753980808098086</v>
      </c>
      <c r="C44">
        <f t="shared" si="2"/>
        <v>0.89094421857222317</v>
      </c>
      <c r="D44">
        <f t="shared" si="3"/>
        <v>66302.01568974604</v>
      </c>
      <c r="E44">
        <f t="shared" si="4"/>
        <v>59071.397558464065</v>
      </c>
    </row>
    <row r="45" spans="1:5">
      <c r="A45">
        <f t="shared" si="0"/>
        <v>0.41370657758106688</v>
      </c>
      <c r="B45">
        <f t="shared" si="1"/>
        <v>0.43897146023861122</v>
      </c>
      <c r="C45">
        <f t="shared" si="2"/>
        <v>0.91781895940630653</v>
      </c>
      <c r="D45">
        <f t="shared" si="3"/>
        <v>65177.852525327362</v>
      </c>
      <c r="E45">
        <f t="shared" si="4"/>
        <v>59821.46878113367</v>
      </c>
    </row>
    <row r="46" spans="1:5">
      <c r="A46">
        <f t="shared" si="0"/>
        <v>0.96083495930011553</v>
      </c>
      <c r="B46">
        <f t="shared" si="1"/>
        <v>5.4450834134829762E-2</v>
      </c>
      <c r="C46">
        <f t="shared" si="2"/>
        <v>1.5051079896013917</v>
      </c>
      <c r="D46">
        <f t="shared" si="3"/>
        <v>61577.446334199456</v>
      </c>
      <c r="E46">
        <f t="shared" si="4"/>
        <v>92680.706456854532</v>
      </c>
    </row>
    <row r="47" spans="1:5">
      <c r="A47">
        <f t="shared" si="0"/>
        <v>9.4836113971981106E-3</v>
      </c>
      <c r="B47">
        <f t="shared" si="1"/>
        <v>0.46397792976963581</v>
      </c>
      <c r="C47">
        <f t="shared" si="2"/>
        <v>0.53913264904461422</v>
      </c>
      <c r="D47">
        <f t="shared" si="3"/>
        <v>65334.728707413829</v>
      </c>
      <c r="E47">
        <f t="shared" si="4"/>
        <v>35224.08536263922</v>
      </c>
    </row>
    <row r="48" spans="1:5">
      <c r="A48">
        <f t="shared" si="0"/>
        <v>0.55965253387231439</v>
      </c>
      <c r="B48">
        <f t="shared" si="1"/>
        <v>0.66755274714302937</v>
      </c>
      <c r="C48">
        <f t="shared" si="2"/>
        <v>1.0062917915220007</v>
      </c>
      <c r="D48">
        <f t="shared" si="3"/>
        <v>66635.188308276411</v>
      </c>
      <c r="E48">
        <f t="shared" si="4"/>
        <v>67054.443021141342</v>
      </c>
    </row>
    <row r="49" spans="1:5">
      <c r="A49">
        <f t="shared" si="0"/>
        <v>0.61134172672546461</v>
      </c>
      <c r="B49">
        <f t="shared" si="1"/>
        <v>0.66517528625501088</v>
      </c>
      <c r="C49">
        <f t="shared" si="2"/>
        <v>1.0402431019044576</v>
      </c>
      <c r="D49">
        <f t="shared" si="3"/>
        <v>66618.953505305413</v>
      </c>
      <c r="E49">
        <f t="shared" si="4"/>
        <v>69299.906839987743</v>
      </c>
    </row>
    <row r="50" spans="1:5">
      <c r="A50">
        <f t="shared" si="0"/>
        <v>0.16455118995664855</v>
      </c>
      <c r="B50">
        <f t="shared" si="1"/>
        <v>0.45684554710557967</v>
      </c>
      <c r="C50">
        <f t="shared" si="2"/>
        <v>0.75939677889999246</v>
      </c>
      <c r="D50">
        <f t="shared" si="3"/>
        <v>65290.102746288023</v>
      </c>
      <c r="E50">
        <f t="shared" si="4"/>
        <v>49581.093719580676</v>
      </c>
    </row>
    <row r="51" spans="1:5">
      <c r="A51">
        <f t="shared" si="0"/>
        <v>0.21928092356586637</v>
      </c>
      <c r="B51">
        <f t="shared" si="1"/>
        <v>4.2563529694736424E-2</v>
      </c>
      <c r="C51">
        <f t="shared" si="2"/>
        <v>0.79859127462003787</v>
      </c>
      <c r="D51">
        <f t="shared" si="3"/>
        <v>61283.037349533675</v>
      </c>
      <c r="E51">
        <f t="shared" si="4"/>
        <v>48940.098909551489</v>
      </c>
    </row>
    <row r="52" spans="1:5">
      <c r="A52">
        <f t="shared" si="0"/>
        <v>0.77553092755311792</v>
      </c>
      <c r="B52">
        <f t="shared" si="1"/>
        <v>0.42232923402248068</v>
      </c>
      <c r="C52">
        <f t="shared" si="2"/>
        <v>1.1712207977348443</v>
      </c>
      <c r="D52">
        <f t="shared" si="3"/>
        <v>65072.63785623241</v>
      </c>
      <c r="E52">
        <f t="shared" si="4"/>
        <v>76214.426820687149</v>
      </c>
    </row>
    <row r="53" spans="1:5">
      <c r="A53">
        <f t="shared" si="0"/>
        <v>0.83330120191840351</v>
      </c>
      <c r="B53">
        <f t="shared" si="1"/>
        <v>0.59614266008881245</v>
      </c>
      <c r="C53">
        <f t="shared" si="2"/>
        <v>1.2343854599325148</v>
      </c>
      <c r="D53">
        <f t="shared" si="3"/>
        <v>66163.792606071496</v>
      </c>
      <c r="E53">
        <f t="shared" si="4"/>
        <v>81671.623566925089</v>
      </c>
    </row>
    <row r="54" spans="1:5">
      <c r="A54">
        <f t="shared" si="0"/>
        <v>0.39259174666172281</v>
      </c>
      <c r="B54">
        <f t="shared" si="1"/>
        <v>0.56400380789373283</v>
      </c>
      <c r="C54">
        <f t="shared" si="2"/>
        <v>0.90538719068509788</v>
      </c>
      <c r="D54">
        <f t="shared" si="3"/>
        <v>65959.509723136551</v>
      </c>
      <c r="E54">
        <f t="shared" si="4"/>
        <v>59718.895207196998</v>
      </c>
    </row>
    <row r="55" spans="1:5">
      <c r="A55">
        <f t="shared" si="0"/>
        <v>0.45340256178307586</v>
      </c>
      <c r="B55">
        <f t="shared" si="1"/>
        <v>0.32591267743724028</v>
      </c>
      <c r="C55">
        <f t="shared" si="2"/>
        <v>0.94127745711688693</v>
      </c>
      <c r="D55">
        <f t="shared" si="3"/>
        <v>64438.556863108366</v>
      </c>
      <c r="E55">
        <f t="shared" si="4"/>
        <v>60654.560944388562</v>
      </c>
    </row>
    <row r="56" spans="1:5">
      <c r="A56">
        <f t="shared" si="0"/>
        <v>1.5733647282462737E-2</v>
      </c>
      <c r="B56">
        <f t="shared" si="1"/>
        <v>0.88186926871933546</v>
      </c>
      <c r="C56">
        <f t="shared" si="2"/>
        <v>0.56607527828793525</v>
      </c>
      <c r="D56">
        <f t="shared" si="3"/>
        <v>68501.041280507372</v>
      </c>
      <c r="E56">
        <f t="shared" si="4"/>
        <v>38776.74600587655</v>
      </c>
    </row>
    <row r="57" spans="1:5">
      <c r="A57">
        <f t="shared" si="0"/>
        <v>7.9585003159883705E-2</v>
      </c>
      <c r="B57">
        <f t="shared" si="1"/>
        <v>0.23187358174001815</v>
      </c>
      <c r="C57">
        <f t="shared" si="2"/>
        <v>0.68166487340530901</v>
      </c>
      <c r="D57">
        <f t="shared" si="3"/>
        <v>63739.46755152379</v>
      </c>
      <c r="E57">
        <f t="shared" si="4"/>
        <v>43448.956079431264</v>
      </c>
    </row>
    <row r="58" spans="1:5">
      <c r="A58">
        <f t="shared" si="0"/>
        <v>0.64495662941533816</v>
      </c>
      <c r="B58">
        <f t="shared" si="1"/>
        <v>0.37592561649928879</v>
      </c>
      <c r="C58">
        <f t="shared" si="2"/>
        <v>1.0636271418721668</v>
      </c>
      <c r="D58">
        <f t="shared" si="3"/>
        <v>64773.936912102494</v>
      </c>
      <c r="E58">
        <f t="shared" si="4"/>
        <v>68895.317385627626</v>
      </c>
    </row>
    <row r="59" spans="1:5">
      <c r="A59">
        <f t="shared" si="0"/>
        <v>0.71184852604882654</v>
      </c>
      <c r="B59">
        <f t="shared" si="1"/>
        <v>0.31402537299714695</v>
      </c>
      <c r="C59">
        <f t="shared" si="2"/>
        <v>1.1145472506299281</v>
      </c>
      <c r="D59">
        <f t="shared" si="3"/>
        <v>64355.985274577288</v>
      </c>
      <c r="E59">
        <f t="shared" si="4"/>
        <v>71727.786449360254</v>
      </c>
    </row>
    <row r="60" spans="1:5">
      <c r="A60">
        <f t="shared" si="0"/>
        <v>0.28026069306034884</v>
      </c>
      <c r="B60">
        <f t="shared" si="1"/>
        <v>4.6172851233592827E-2</v>
      </c>
      <c r="C60">
        <f t="shared" si="2"/>
        <v>0.83797516782074</v>
      </c>
      <c r="D60">
        <f t="shared" si="3"/>
        <v>61378.738597815536</v>
      </c>
      <c r="E60">
        <f t="shared" si="4"/>
        <v>51433.858777129804</v>
      </c>
    </row>
    <row r="61" spans="1:5">
      <c r="A61">
        <f t="shared" si="0"/>
        <v>0.35019313044990508</v>
      </c>
      <c r="B61">
        <f t="shared" si="1"/>
        <v>0.57236805120862644</v>
      </c>
      <c r="C61">
        <f t="shared" si="2"/>
        <v>0.88033762817329442</v>
      </c>
      <c r="D61">
        <f t="shared" si="3"/>
        <v>66012.359477021862</v>
      </c>
      <c r="E61">
        <f t="shared" si="4"/>
        <v>58113.163972124319</v>
      </c>
    </row>
    <row r="62" spans="1:5">
      <c r="A62">
        <f t="shared" si="0"/>
        <v>0.92164583821749479</v>
      </c>
      <c r="B62">
        <f t="shared" si="1"/>
        <v>0.89261097292224756</v>
      </c>
      <c r="C62">
        <f t="shared" si="2"/>
        <v>1.380999307735985</v>
      </c>
      <c r="D62">
        <f t="shared" si="3"/>
        <v>68640.506684364023</v>
      </c>
      <c r="E62">
        <f t="shared" si="4"/>
        <v>94792.492213753969</v>
      </c>
    </row>
    <row r="63" spans="1:5">
      <c r="A63">
        <f t="shared" si="0"/>
        <v>0.99461881636311844</v>
      </c>
      <c r="B63">
        <f t="shared" si="1"/>
        <v>6.9016163744564096E-3</v>
      </c>
      <c r="C63">
        <f t="shared" si="2"/>
        <v>1.833690004747186</v>
      </c>
      <c r="D63">
        <f t="shared" si="3"/>
        <v>59443.403751475395</v>
      </c>
      <c r="E63">
        <f t="shared" si="4"/>
        <v>109000.77530723182</v>
      </c>
    </row>
    <row r="64" spans="1:5">
      <c r="A64">
        <f t="shared" si="0"/>
        <v>0.56911206488677601</v>
      </c>
      <c r="B64">
        <f t="shared" si="1"/>
        <v>0.91523998156525332</v>
      </c>
      <c r="C64">
        <f t="shared" si="2"/>
        <v>1.0123541904505788</v>
      </c>
      <c r="D64">
        <f t="shared" si="3"/>
        <v>68971.379743882891</v>
      </c>
      <c r="E64">
        <f t="shared" si="4"/>
        <v>69823.465304878016</v>
      </c>
    </row>
    <row r="65" spans="1:5">
      <c r="A65">
        <f t="shared" si="0"/>
        <v>0.64512558378846763</v>
      </c>
      <c r="B65">
        <f t="shared" si="1"/>
        <v>0.61762606849463775</v>
      </c>
      <c r="C65">
        <f t="shared" si="2"/>
        <v>1.0637478281038026</v>
      </c>
      <c r="D65">
        <f t="shared" si="3"/>
        <v>66302.577312116715</v>
      </c>
      <c r="E65">
        <f t="shared" si="4"/>
        <v>70529.222613448612</v>
      </c>
    </row>
    <row r="66" spans="1:5">
      <c r="A66">
        <f t="shared" si="0"/>
        <v>0.22265937306819295</v>
      </c>
      <c r="B66">
        <f t="shared" si="1"/>
        <v>0.11405987716260979</v>
      </c>
      <c r="C66">
        <f t="shared" si="2"/>
        <v>0.80086679662783256</v>
      </c>
      <c r="D66">
        <f t="shared" si="3"/>
        <v>62565.821092725542</v>
      </c>
      <c r="E66">
        <f t="shared" si="4"/>
        <v>50106.888716921181</v>
      </c>
    </row>
    <row r="67" spans="1:5">
      <c r="A67">
        <f t="shared" si="0"/>
        <v>0.30171343272595186</v>
      </c>
      <c r="B67">
        <f t="shared" si="1"/>
        <v>0.40454140756916934</v>
      </c>
      <c r="C67">
        <f t="shared" si="2"/>
        <v>0.85119016916537271</v>
      </c>
      <c r="D67">
        <f t="shared" si="3"/>
        <v>64959.20115951739</v>
      </c>
      <c r="E67">
        <f t="shared" si="4"/>
        <v>55292.633423817082</v>
      </c>
    </row>
    <row r="68" spans="1:5">
      <c r="A68">
        <f t="shared" si="0"/>
        <v>0.8822877627617447</v>
      </c>
      <c r="B68">
        <f t="shared" si="1"/>
        <v>0.48907065971431685</v>
      </c>
      <c r="C68">
        <f t="shared" si="2"/>
        <v>1.3039202067313256</v>
      </c>
      <c r="D68">
        <f t="shared" si="3"/>
        <v>65491.250461522824</v>
      </c>
      <c r="E68">
        <f t="shared" si="4"/>
        <v>85395.36484088187</v>
      </c>
    </row>
    <row r="69" spans="1:5">
      <c r="A69">
        <f t="shared" si="0"/>
        <v>0.96438236317557169</v>
      </c>
      <c r="B69">
        <f t="shared" si="1"/>
        <v>0.36764763359805186</v>
      </c>
      <c r="C69">
        <f t="shared" si="2"/>
        <v>1.5215714877980913</v>
      </c>
      <c r="D69">
        <f t="shared" si="3"/>
        <v>64719.565099459018</v>
      </c>
      <c r="E69">
        <f t="shared" si="4"/>
        <v>98475.444958029286</v>
      </c>
    </row>
    <row r="70" spans="1:5">
      <c r="A70">
        <f t="shared" si="0"/>
        <v>0.54799723396743216</v>
      </c>
      <c r="B70">
        <f t="shared" si="1"/>
        <v>4.0272329220374381E-2</v>
      </c>
      <c r="C70">
        <f t="shared" si="2"/>
        <v>0.99890134149107268</v>
      </c>
      <c r="D70">
        <f t="shared" si="3"/>
        <v>61218.826630683143</v>
      </c>
      <c r="E70">
        <f t="shared" si="4"/>
        <v>61151.568045898799</v>
      </c>
    </row>
    <row r="71" spans="1:5">
      <c r="A71">
        <f t="shared" si="0"/>
        <v>0.63313237513732634</v>
      </c>
      <c r="B71">
        <f t="shared" si="1"/>
        <v>0.50694474658128508</v>
      </c>
      <c r="C71">
        <f t="shared" si="2"/>
        <v>1.0552632502829502</v>
      </c>
      <c r="D71">
        <f t="shared" si="3"/>
        <v>65602.543310788096</v>
      </c>
      <c r="E71">
        <f t="shared" si="4"/>
        <v>69227.953080970256</v>
      </c>
    </row>
    <row r="72" spans="1:5">
      <c r="A72">
        <f t="shared" si="0"/>
        <v>0.21978778668525445</v>
      </c>
      <c r="B72">
        <f t="shared" si="1"/>
        <v>0.7676648856807835</v>
      </c>
      <c r="C72">
        <f t="shared" si="2"/>
        <v>0.79893352794960637</v>
      </c>
      <c r="D72">
        <f t="shared" si="3"/>
        <v>67375.384115298686</v>
      </c>
      <c r="E72">
        <f t="shared" si="4"/>
        <v>53828.45332819545</v>
      </c>
    </row>
    <row r="73" spans="1:5">
      <c r="A73">
        <f t="shared" si="0"/>
        <v>0.30796346861121648</v>
      </c>
      <c r="B73">
        <f t="shared" si="1"/>
        <v>0.82243274651886922</v>
      </c>
      <c r="C73">
        <f t="shared" si="2"/>
        <v>0.85499657915331218</v>
      </c>
      <c r="D73">
        <f t="shared" si="3"/>
        <v>67855.987982350576</v>
      </c>
      <c r="E73">
        <f t="shared" si="4"/>
        <v>58016.637599978007</v>
      </c>
    </row>
    <row r="74" spans="1:5">
      <c r="A74">
        <f t="shared" si="0"/>
        <v>0.89765942091521245</v>
      </c>
      <c r="B74">
        <f t="shared" si="1"/>
        <v>0.67124832909554266</v>
      </c>
      <c r="C74">
        <f t="shared" si="2"/>
        <v>1.3308685557127276</v>
      </c>
      <c r="D74">
        <f t="shared" si="3"/>
        <v>66660.51594499714</v>
      </c>
      <c r="E74">
        <f t="shared" si="4"/>
        <v>88716.384578783589</v>
      </c>
    </row>
    <row r="75" spans="1:5">
      <c r="A75">
        <f t="shared" si="0"/>
        <v>0.988875643597242</v>
      </c>
      <c r="B75">
        <f t="shared" si="1"/>
        <v>0.31411163341080384</v>
      </c>
      <c r="C75">
        <f t="shared" si="2"/>
        <v>1.7164766000183382</v>
      </c>
      <c r="D75">
        <f t="shared" si="3"/>
        <v>64356.589160592994</v>
      </c>
      <c r="E75">
        <f t="shared" si="4"/>
        <v>110466.5793511517</v>
      </c>
    </row>
    <row r="76" spans="1:5">
      <c r="A76">
        <f t="shared" si="0"/>
        <v>0.58161213665730571</v>
      </c>
      <c r="B76">
        <f t="shared" si="1"/>
        <v>0.75102265946465296</v>
      </c>
      <c r="C76">
        <f t="shared" si="2"/>
        <v>1.0204613814856249</v>
      </c>
      <c r="D76">
        <f t="shared" si="3"/>
        <v>67242.584493064307</v>
      </c>
      <c r="E76">
        <f t="shared" si="4"/>
        <v>68618.46066645626</v>
      </c>
    </row>
    <row r="77" spans="1:5">
      <c r="A77">
        <f t="shared" si="0"/>
        <v>0.67586890009540301</v>
      </c>
      <c r="B77">
        <f t="shared" si="1"/>
        <v>0.98198140725708938</v>
      </c>
      <c r="C77">
        <f t="shared" si="2"/>
        <v>1.0863184657074001</v>
      </c>
      <c r="D77">
        <f t="shared" si="3"/>
        <v>70766.550636596134</v>
      </c>
      <c r="E77">
        <f t="shared" si="4"/>
        <v>76875.010710952149</v>
      </c>
    </row>
    <row r="78" spans="1:5">
      <c r="A78">
        <f t="shared" si="0"/>
        <v>0.27164593391153424</v>
      </c>
      <c r="B78">
        <f t="shared" si="1"/>
        <v>6.9878767881135229E-3</v>
      </c>
      <c r="C78">
        <f t="shared" si="2"/>
        <v>0.8325927501810465</v>
      </c>
      <c r="D78">
        <f t="shared" si="3"/>
        <v>59454.475655185954</v>
      </c>
      <c r="E78">
        <f t="shared" si="4"/>
        <v>49501.365396323352</v>
      </c>
    </row>
    <row r="79" spans="1:5">
      <c r="A79">
        <f t="shared" si="0"/>
        <v>0.36894323810569896</v>
      </c>
      <c r="B79">
        <f t="shared" si="1"/>
        <v>0.82604206805772562</v>
      </c>
      <c r="C79">
        <f t="shared" si="2"/>
        <v>0.89144336003170799</v>
      </c>
      <c r="D79">
        <f t="shared" si="3"/>
        <v>67890.670328920343</v>
      </c>
      <c r="E79">
        <f t="shared" si="4"/>
        <v>60520.687272817733</v>
      </c>
    </row>
    <row r="80" spans="1:5">
      <c r="A80">
        <f t="shared" ref="A80:A143" si="5">IFERROR(MOD(MOD(($E$8+((ROW()-15)*(ROW()-14)/2)*13)*171,30269)/30269+MOD(($E$8+((ROW()-15)*(ROW()-14)/2)*29)*172,30307)/30307+MOD(($E$8+((ROW()-15)*(ROW()-14)/2)*47)*170,30323)/30323,1),0.5)</f>
        <v>0.96776081267789782</v>
      </c>
      <c r="B80">
        <f t="shared" ref="B80:B143" si="6">IFERROR(MOD(MOD(($E$8+((ROW()-15)*(ROW()-14)/2)*17)*171,30269)/30269+MOD(($E$8+((ROW()-15)*(ROW()-14)/2)*41)*172,30307)/30307+MOD(($E$8+((ROW()-15)*(ROW()-14)/2)*83)*170,30323)/30323,1),0.5)</f>
        <v>0.43914398106592523</v>
      </c>
      <c r="C80">
        <f t="shared" ref="C80:C143" si="7">IFERROR(EXP($E$4*NORMSINV(MIN(MAX(A80,0.000000001),0.999999999))-$E$4^2/2),1)</f>
        <v>1.5387407774054649</v>
      </c>
      <c r="D80">
        <f t="shared" ref="D80:D143" si="8">IFERROR($B$5+$E$5*NORMSINV(MIN(MAX(B80,0.000000001),0.999999999)),$B$5)</f>
        <v>65178.939326866217</v>
      </c>
      <c r="E80">
        <f t="shared" ref="E80:E143" si="9">IFERROR(C80*MAX(D80,0),0)</f>
        <v>100293.49177028575</v>
      </c>
    </row>
    <row r="81" spans="1:5">
      <c r="A81">
        <f t="shared" si="5"/>
        <v>6.809865762813061E-2</v>
      </c>
      <c r="B81">
        <f t="shared" si="6"/>
        <v>0.84629361581271256</v>
      </c>
      <c r="C81">
        <f t="shared" si="7"/>
        <v>0.6677939586928755</v>
      </c>
      <c r="D81">
        <f t="shared" si="8"/>
        <v>68094.40512554477</v>
      </c>
      <c r="E81">
        <f t="shared" si="9"/>
        <v>45473.032363623977</v>
      </c>
    </row>
    <row r="82" spans="1:5">
      <c r="A82">
        <f t="shared" si="5"/>
        <v>0.66995677295639711</v>
      </c>
      <c r="B82">
        <f t="shared" si="6"/>
        <v>4.749097229808763E-2</v>
      </c>
      <c r="C82">
        <f t="shared" si="7"/>
        <v>1.0818780342112519</v>
      </c>
      <c r="D82">
        <f t="shared" si="8"/>
        <v>61412.190170896858</v>
      </c>
      <c r="E82">
        <f t="shared" si="9"/>
        <v>66440.499578697461</v>
      </c>
    </row>
    <row r="83" spans="1:5">
      <c r="A83">
        <f t="shared" si="5"/>
        <v>0.77333515866269731</v>
      </c>
      <c r="B83">
        <f t="shared" si="6"/>
        <v>4.2736050522050206E-2</v>
      </c>
      <c r="C83">
        <f t="shared" si="7"/>
        <v>1.1690820621944165</v>
      </c>
      <c r="D83">
        <f t="shared" si="8"/>
        <v>61287.757963368902</v>
      </c>
      <c r="E83">
        <f t="shared" si="9"/>
        <v>71650.418467087584</v>
      </c>
    </row>
    <row r="84" spans="1:5">
      <c r="A84">
        <f t="shared" si="5"/>
        <v>0.37823381474703144</v>
      </c>
      <c r="B84">
        <f t="shared" si="6"/>
        <v>0.83202885048460073</v>
      </c>
      <c r="C84">
        <f t="shared" si="7"/>
        <v>0.89692710824781074</v>
      </c>
      <c r="D84">
        <f t="shared" si="8"/>
        <v>67949.223108426653</v>
      </c>
      <c r="E84">
        <f t="shared" si="9"/>
        <v>60945.500190326435</v>
      </c>
    </row>
    <row r="85" spans="1:5">
      <c r="A85">
        <f t="shared" si="5"/>
        <v>0.48465274120939927</v>
      </c>
      <c r="B85">
        <f t="shared" si="6"/>
        <v>0.41536937218573877</v>
      </c>
      <c r="C85">
        <f t="shared" si="7"/>
        <v>0.95995406787007209</v>
      </c>
      <c r="D85">
        <f t="shared" si="8"/>
        <v>65028.387201693848</v>
      </c>
      <c r="E85">
        <f t="shared" si="9"/>
        <v>62424.264821296143</v>
      </c>
    </row>
    <row r="86" spans="1:5">
      <c r="A86">
        <f t="shared" si="5"/>
        <v>9.2591938049801037E-2</v>
      </c>
      <c r="B86">
        <f t="shared" si="6"/>
        <v>0.79275761562546454</v>
      </c>
      <c r="C86">
        <f t="shared" si="7"/>
        <v>0.69594098848782304</v>
      </c>
      <c r="D86">
        <f t="shared" si="8"/>
        <v>67586.128509290284</v>
      </c>
      <c r="E86">
        <f t="shared" si="9"/>
        <v>47035.957082820518</v>
      </c>
    </row>
    <row r="87" spans="1:5">
      <c r="A87">
        <f t="shared" si="5"/>
        <v>0.20205140526823673</v>
      </c>
      <c r="B87">
        <f t="shared" si="6"/>
        <v>0.96419358080377826</v>
      </c>
      <c r="C87">
        <f t="shared" si="7"/>
        <v>0.78676234142949053</v>
      </c>
      <c r="D87">
        <f t="shared" si="8"/>
        <v>70033.996763924268</v>
      </c>
      <c r="E87">
        <f t="shared" si="9"/>
        <v>55100.111273650422</v>
      </c>
    </row>
    <row r="88" spans="1:5">
      <c r="A88">
        <f t="shared" si="5"/>
        <v>0.81303114286470612</v>
      </c>
      <c r="B88">
        <f t="shared" si="6"/>
        <v>0.92967726772067927</v>
      </c>
      <c r="C88">
        <f t="shared" si="7"/>
        <v>1.2104962603264562</v>
      </c>
      <c r="D88">
        <f t="shared" si="8"/>
        <v>69218.872665362796</v>
      </c>
      <c r="E88">
        <f t="shared" si="9"/>
        <v>83789.186505434831</v>
      </c>
    </row>
    <row r="89" spans="1:5">
      <c r="A89">
        <f t="shared" si="5"/>
        <v>0.92553115083920945</v>
      </c>
      <c r="B89">
        <f t="shared" si="6"/>
        <v>0.68920867637616801</v>
      </c>
      <c r="C89">
        <f t="shared" si="7"/>
        <v>1.3903749711815085</v>
      </c>
      <c r="D89">
        <f t="shared" si="8"/>
        <v>66785.314989264909</v>
      </c>
      <c r="E89">
        <f t="shared" si="9"/>
        <v>92856.630403547169</v>
      </c>
    </row>
    <row r="90" spans="1:5">
      <c r="A90">
        <f t="shared" si="5"/>
        <v>0.53955142919174659</v>
      </c>
      <c r="B90">
        <f t="shared" si="6"/>
        <v>0.24278780677024447</v>
      </c>
      <c r="C90">
        <f t="shared" si="7"/>
        <v>0.99359651498866997</v>
      </c>
      <c r="D90">
        <f t="shared" si="8"/>
        <v>63827.213085043797</v>
      </c>
      <c r="E90">
        <f t="shared" si="9"/>
        <v>63418.496482738752</v>
      </c>
    </row>
    <row r="91" spans="1:5">
      <c r="A91">
        <f t="shared" si="5"/>
        <v>0.65509197792231744</v>
      </c>
      <c r="B91">
        <f t="shared" si="6"/>
        <v>0.59041465890290867</v>
      </c>
      <c r="C91">
        <f t="shared" si="7"/>
        <v>1.0709286616430185</v>
      </c>
      <c r="D91">
        <f t="shared" si="8"/>
        <v>66127.123354811687</v>
      </c>
      <c r="E91">
        <f t="shared" si="9"/>
        <v>70817.43171267127</v>
      </c>
    </row>
    <row r="92" spans="1:5">
      <c r="A92">
        <f t="shared" si="5"/>
        <v>0.27215279703092232</v>
      </c>
      <c r="B92">
        <f t="shared" si="6"/>
        <v>0.7320892327741606</v>
      </c>
      <c r="C92">
        <f t="shared" si="7"/>
        <v>0.8329107776828476</v>
      </c>
      <c r="D92">
        <f t="shared" si="8"/>
        <v>67097.116234721805</v>
      </c>
      <c r="E92">
        <f t="shared" si="9"/>
        <v>55885.911263338559</v>
      </c>
    </row>
    <row r="93" spans="1:5">
      <c r="A93">
        <f t="shared" si="5"/>
        <v>0.39073388651756069</v>
      </c>
      <c r="B93">
        <f t="shared" si="6"/>
        <v>0.66781152838400004</v>
      </c>
      <c r="C93">
        <f t="shared" si="7"/>
        <v>0.90429314472553679</v>
      </c>
      <c r="D93">
        <f t="shared" si="8"/>
        <v>66636.958194534862</v>
      </c>
      <c r="E93">
        <f t="shared" si="9"/>
        <v>60259.344480680062</v>
      </c>
    </row>
    <row r="94" spans="1:5">
      <c r="A94">
        <f t="shared" si="5"/>
        <v>1.0835246382233432E-2</v>
      </c>
      <c r="B94">
        <f t="shared" si="6"/>
        <v>0.39758154573242743</v>
      </c>
      <c r="C94">
        <f t="shared" si="7"/>
        <v>0.54592506101358418</v>
      </c>
      <c r="D94">
        <f t="shared" si="8"/>
        <v>64914.486919477735</v>
      </c>
      <c r="E94">
        <f t="shared" si="9"/>
        <v>35438.445232181395</v>
      </c>
    </row>
    <row r="95" spans="1:5">
      <c r="A95">
        <f t="shared" si="5"/>
        <v>0.13245687662493966</v>
      </c>
      <c r="B95">
        <f t="shared" si="6"/>
        <v>0.92139928481944233</v>
      </c>
      <c r="C95">
        <f t="shared" si="7"/>
        <v>0.73347405338065386</v>
      </c>
      <c r="D95">
        <f t="shared" si="8"/>
        <v>69072.715397959168</v>
      </c>
      <c r="E95">
        <f t="shared" si="9"/>
        <v>50663.044540949413</v>
      </c>
    </row>
    <row r="96" spans="1:5">
      <c r="A96">
        <f t="shared" si="5"/>
        <v>0.75559877724567936</v>
      </c>
      <c r="B96">
        <f t="shared" si="6"/>
        <v>0.23926474564504496</v>
      </c>
      <c r="C96">
        <f t="shared" si="7"/>
        <v>1.1523504200465553</v>
      </c>
      <c r="D96">
        <f t="shared" si="8"/>
        <v>63799.130045311729</v>
      </c>
      <c r="E96">
        <f t="shared" si="9"/>
        <v>73518.954306319778</v>
      </c>
    </row>
    <row r="97" spans="1:5">
      <c r="A97">
        <f t="shared" si="5"/>
        <v>0.88026094824445344</v>
      </c>
      <c r="B97">
        <f t="shared" si="6"/>
        <v>0.35117792820923532</v>
      </c>
      <c r="C97">
        <f t="shared" si="7"/>
        <v>1.300596580900689</v>
      </c>
      <c r="D97">
        <f t="shared" si="8"/>
        <v>64610.149689447549</v>
      </c>
      <c r="E97">
        <f t="shared" si="9"/>
        <v>84031.739777577197</v>
      </c>
    </row>
    <row r="98" spans="1:5">
      <c r="A98">
        <f t="shared" si="5"/>
        <v>0.50644338962126101</v>
      </c>
      <c r="B98">
        <f t="shared" si="6"/>
        <v>0.25713883251201319</v>
      </c>
      <c r="C98">
        <f t="shared" si="7"/>
        <v>0.97315488280427487</v>
      </c>
      <c r="D98">
        <f t="shared" si="8"/>
        <v>63939.409022360705</v>
      </c>
      <c r="E98">
        <f t="shared" si="9"/>
        <v>62222.948093730025</v>
      </c>
    </row>
    <row r="99" spans="1:5">
      <c r="A99">
        <f t="shared" si="5"/>
        <v>0.63414610137610272</v>
      </c>
      <c r="B99">
        <f t="shared" si="6"/>
        <v>0.95714745855337902</v>
      </c>
      <c r="C99">
        <f t="shared" si="7"/>
        <v>1.0559741087848518</v>
      </c>
      <c r="D99">
        <f t="shared" si="8"/>
        <v>69827.671006711738</v>
      </c>
      <c r="E99">
        <f t="shared" si="9"/>
        <v>73736.212659834258</v>
      </c>
    </row>
    <row r="100" spans="1:5">
      <c r="A100">
        <f t="shared" si="5"/>
        <v>0.26336908350897814</v>
      </c>
      <c r="B100">
        <f t="shared" si="6"/>
        <v>0.45120380633333257</v>
      </c>
      <c r="C100">
        <f t="shared" si="7"/>
        <v>0.82737414985991486</v>
      </c>
      <c r="D100">
        <f t="shared" si="8"/>
        <v>65254.742497940439</v>
      </c>
      <c r="E100">
        <f t="shared" si="9"/>
        <v>53990.087098561125</v>
      </c>
    </row>
    <row r="101" spans="1:5">
      <c r="A101">
        <f t="shared" si="5"/>
        <v>0.39411233601988727</v>
      </c>
      <c r="B101">
        <f t="shared" si="6"/>
        <v>0.73930787585187341</v>
      </c>
      <c r="C101">
        <f t="shared" si="7"/>
        <v>0.90628253659703606</v>
      </c>
      <c r="D101">
        <f t="shared" si="8"/>
        <v>67151.930944796753</v>
      </c>
      <c r="E101">
        <f t="shared" si="9"/>
        <v>60858.622314039399</v>
      </c>
    </row>
    <row r="102" spans="1:5">
      <c r="A102">
        <f t="shared" si="5"/>
        <v>2.6375858908830097E-2</v>
      </c>
      <c r="B102">
        <f t="shared" si="6"/>
        <v>0.8214596671090022</v>
      </c>
      <c r="C102">
        <f t="shared" si="7"/>
        <v>0.5972097042817911</v>
      </c>
      <c r="D102">
        <f t="shared" si="8"/>
        <v>67846.713974746875</v>
      </c>
      <c r="E102">
        <f t="shared" si="9"/>
        <v>40518.715989349846</v>
      </c>
    </row>
    <row r="103" spans="1:5">
      <c r="A103">
        <f t="shared" si="5"/>
        <v>0.1601596521758073</v>
      </c>
      <c r="B103">
        <f t="shared" si="6"/>
        <v>0.6976591801047185</v>
      </c>
      <c r="C103">
        <f t="shared" si="7"/>
        <v>0.75601014504310182</v>
      </c>
      <c r="D103">
        <f t="shared" si="8"/>
        <v>66845.10262870013</v>
      </c>
      <c r="E103">
        <f t="shared" si="9"/>
        <v>50535.575733744612</v>
      </c>
    </row>
    <row r="104" spans="1:5">
      <c r="A104">
        <f t="shared" si="5"/>
        <v>0.79546371582081776</v>
      </c>
      <c r="B104">
        <f t="shared" si="6"/>
        <v>0.36790641483902276</v>
      </c>
      <c r="C104">
        <f t="shared" si="7"/>
        <v>1.191403116973941</v>
      </c>
      <c r="D104">
        <f t="shared" si="8"/>
        <v>64721.270808917798</v>
      </c>
      <c r="E104">
        <f t="shared" si="9"/>
        <v>77109.123776259206</v>
      </c>
    </row>
    <row r="105" spans="1:5">
      <c r="A105">
        <f t="shared" si="5"/>
        <v>0.93228804984386238</v>
      </c>
      <c r="B105">
        <f t="shared" si="6"/>
        <v>0.83220137131191452</v>
      </c>
      <c r="C105">
        <f t="shared" si="7"/>
        <v>1.4077781621105723</v>
      </c>
      <c r="D105">
        <f t="shared" si="8"/>
        <v>67950.930109063964</v>
      </c>
      <c r="E105">
        <f t="shared" si="9"/>
        <v>95659.835502642018</v>
      </c>
    </row>
    <row r="106" spans="1:5">
      <c r="A106">
        <f t="shared" si="5"/>
        <v>0.5706326542449407</v>
      </c>
      <c r="B106">
        <f t="shared" si="6"/>
        <v>9.0544049523394232E-2</v>
      </c>
      <c r="C106">
        <f t="shared" si="7"/>
        <v>1.0133343910032704</v>
      </c>
      <c r="D106">
        <f t="shared" si="8"/>
        <v>62237.476802048601</v>
      </c>
      <c r="E106">
        <f t="shared" si="9"/>
        <v>63067.375652784089</v>
      </c>
    </row>
    <row r="107" spans="1:5">
      <c r="A107">
        <f t="shared" si="5"/>
        <v>0.71049752902405294</v>
      </c>
      <c r="B107">
        <f t="shared" si="6"/>
        <v>0.14293444947346146</v>
      </c>
      <c r="C107">
        <f t="shared" si="7"/>
        <v>1.1134459812584385</v>
      </c>
      <c r="D107">
        <f t="shared" si="8"/>
        <v>62908.552967069678</v>
      </c>
      <c r="E107">
        <f t="shared" si="9"/>
        <v>70045.275487967345</v>
      </c>
    </row>
    <row r="108" spans="1:5">
      <c r="A108">
        <f t="shared" si="5"/>
        <v>0.35188267418119912</v>
      </c>
      <c r="B108">
        <f t="shared" si="6"/>
        <v>0.98937257116211619</v>
      </c>
      <c r="C108">
        <f t="shared" si="7"/>
        <v>0.88134101826988109</v>
      </c>
      <c r="D108">
        <f t="shared" si="8"/>
        <v>71280.489987506051</v>
      </c>
      <c r="E108">
        <f t="shared" si="9"/>
        <v>62822.419628364645</v>
      </c>
    </row>
    <row r="109" spans="1:5">
      <c r="A109">
        <f t="shared" si="5"/>
        <v>0.49478808971637855</v>
      </c>
      <c r="B109">
        <f t="shared" si="6"/>
        <v>0.62985841458935865</v>
      </c>
      <c r="C109">
        <f t="shared" si="7"/>
        <v>0.96607271494423708</v>
      </c>
      <c r="D109">
        <f t="shared" si="8"/>
        <v>66382.620568408645</v>
      </c>
      <c r="E109">
        <f t="shared" si="9"/>
        <v>64130.438477635696</v>
      </c>
    </row>
    <row r="110" spans="1:5">
      <c r="A110">
        <f t="shared" si="5"/>
        <v>0.13921377562959236</v>
      </c>
      <c r="B110">
        <f t="shared" si="6"/>
        <v>6.4391979755189066E-2</v>
      </c>
      <c r="C110">
        <f t="shared" si="7"/>
        <v>0.73917940514716984</v>
      </c>
      <c r="D110">
        <f t="shared" si="8"/>
        <v>61786.666092163388</v>
      </c>
      <c r="E110">
        <f t="shared" si="9"/>
        <v>45671.431088032143</v>
      </c>
    </row>
    <row r="111" spans="1:5">
      <c r="A111">
        <f t="shared" si="5"/>
        <v>0.28515973192083965</v>
      </c>
      <c r="B111">
        <f t="shared" si="6"/>
        <v>0.29297326665960677</v>
      </c>
      <c r="C111">
        <f t="shared" si="7"/>
        <v>0.84101543370959608</v>
      </c>
      <c r="D111">
        <f t="shared" si="8"/>
        <v>64206.345169575317</v>
      </c>
      <c r="E111">
        <f t="shared" si="9"/>
        <v>53998.527229698419</v>
      </c>
    </row>
    <row r="112" spans="1:5">
      <c r="A112">
        <f t="shared" si="5"/>
        <v>0.9326259585901211</v>
      </c>
      <c r="B112">
        <f t="shared" si="6"/>
        <v>0.31560227530261242</v>
      </c>
      <c r="C112">
        <f t="shared" si="7"/>
        <v>1.4086889300694396</v>
      </c>
      <c r="D112">
        <f t="shared" si="8"/>
        <v>64367.013560873842</v>
      </c>
      <c r="E112">
        <f t="shared" si="9"/>
        <v>90673.099464832485</v>
      </c>
    </row>
    <row r="113" spans="1:5">
      <c r="A113">
        <f t="shared" si="5"/>
        <v>8.1612455637436243E-2</v>
      </c>
      <c r="B113">
        <f t="shared" si="6"/>
        <v>0.13227900568420581</v>
      </c>
      <c r="C113">
        <f t="shared" si="7"/>
        <v>0.68397989465625431</v>
      </c>
      <c r="D113">
        <f t="shared" si="8"/>
        <v>62788.202694456129</v>
      </c>
      <c r="E113">
        <f t="shared" si="9"/>
        <v>42945.868264609649</v>
      </c>
    </row>
    <row r="114" spans="1:5">
      <c r="A114">
        <f t="shared" si="5"/>
        <v>0.73211922306278532</v>
      </c>
      <c r="B114">
        <f t="shared" si="6"/>
        <v>0.74300345780438692</v>
      </c>
      <c r="C114">
        <f t="shared" si="7"/>
        <v>1.1315164808721161</v>
      </c>
      <c r="D114">
        <f t="shared" si="8"/>
        <v>67180.294716863704</v>
      </c>
      <c r="E114">
        <f t="shared" si="9"/>
        <v>76015.610661977233</v>
      </c>
    </row>
    <row r="115" spans="1:5">
      <c r="A115">
        <f t="shared" si="5"/>
        <v>0.8841462608661681</v>
      </c>
      <c r="B115">
        <f t="shared" si="6"/>
        <v>0.14777563166315577</v>
      </c>
      <c r="C115">
        <f t="shared" si="7"/>
        <v>1.307011201367777</v>
      </c>
      <c r="D115">
        <f t="shared" si="8"/>
        <v>62961.225882449682</v>
      </c>
      <c r="E115">
        <f t="shared" si="9"/>
        <v>82291.027480208533</v>
      </c>
    </row>
    <row r="116" spans="1:5">
      <c r="A116">
        <f t="shared" si="5"/>
        <v>0.53769356904758459</v>
      </c>
      <c r="B116">
        <f t="shared" si="6"/>
        <v>0.3465955272605119</v>
      </c>
      <c r="C116">
        <f t="shared" si="7"/>
        <v>0.99243495654339398</v>
      </c>
      <c r="D116">
        <f t="shared" si="8"/>
        <v>64579.385617010892</v>
      </c>
      <c r="E116">
        <f t="shared" si="9"/>
        <v>64090.839758417285</v>
      </c>
    </row>
    <row r="117" spans="1:5">
      <c r="A117">
        <f t="shared" si="5"/>
        <v>0.69276114760703522</v>
      </c>
      <c r="B117">
        <f t="shared" si="6"/>
        <v>0.33946314459645599</v>
      </c>
      <c r="C117">
        <f t="shared" si="7"/>
        <v>1.0992993748115087</v>
      </c>
      <c r="D117">
        <f t="shared" si="8"/>
        <v>64531.199271328878</v>
      </c>
      <c r="E117">
        <f t="shared" si="9"/>
        <v>70939.107014808731</v>
      </c>
    </row>
    <row r="118" spans="1:5">
      <c r="A118">
        <f t="shared" si="5"/>
        <v>0.34934899654451934</v>
      </c>
      <c r="B118">
        <f t="shared" si="6"/>
        <v>0.12637848367098758</v>
      </c>
      <c r="C118">
        <f t="shared" si="7"/>
        <v>0.87983608223953214</v>
      </c>
      <c r="D118">
        <f t="shared" si="8"/>
        <v>62718.667167294487</v>
      </c>
      <c r="E118">
        <f t="shared" si="9"/>
        <v>55182.146403757557</v>
      </c>
    </row>
    <row r="119" spans="1:5">
      <c r="A119">
        <f t="shared" si="5"/>
        <v>0.50745711586003761</v>
      </c>
      <c r="B119">
        <f t="shared" si="6"/>
        <v>0.70734154448410713</v>
      </c>
      <c r="C119">
        <f t="shared" si="7"/>
        <v>0.97377337838486933</v>
      </c>
      <c r="D119">
        <f t="shared" si="8"/>
        <v>66914.536593781188</v>
      </c>
      <c r="E119">
        <f t="shared" si="9"/>
        <v>65159.594361984273</v>
      </c>
    </row>
    <row r="120" spans="1:5">
      <c r="A120">
        <f t="shared" si="5"/>
        <v>0.16708550555358936</v>
      </c>
      <c r="B120">
        <f t="shared" si="6"/>
        <v>8.2352327035814188E-2</v>
      </c>
      <c r="C120">
        <f t="shared" si="7"/>
        <v>0.76133131949365129</v>
      </c>
      <c r="D120">
        <f t="shared" si="8"/>
        <v>62108.298064220464</v>
      </c>
      <c r="E120">
        <f t="shared" si="9"/>
        <v>47284.992516737955</v>
      </c>
    </row>
    <row r="121" spans="1:5">
      <c r="A121">
        <f t="shared" si="5"/>
        <v>0.32823416562517505</v>
      </c>
      <c r="B121">
        <f t="shared" si="6"/>
        <v>0.2514108313261092</v>
      </c>
      <c r="C121">
        <f t="shared" si="7"/>
        <v>0.86723212574756436</v>
      </c>
      <c r="D121">
        <f t="shared" si="8"/>
        <v>63895.035918430498</v>
      </c>
      <c r="E121">
        <f t="shared" si="9"/>
        <v>55411.82782425746</v>
      </c>
    </row>
    <row r="122" spans="1:5">
      <c r="A122">
        <f t="shared" si="5"/>
        <v>0.99090309607479476</v>
      </c>
      <c r="B122">
        <f t="shared" si="6"/>
        <v>0.21451705735499171</v>
      </c>
      <c r="C122">
        <f t="shared" si="7"/>
        <v>1.7492069446929077</v>
      </c>
      <c r="D122">
        <f t="shared" si="8"/>
        <v>63595.023851869533</v>
      </c>
      <c r="E122">
        <f t="shared" si="9"/>
        <v>111240.8573696013</v>
      </c>
    </row>
    <row r="123" spans="1:5">
      <c r="A123">
        <f t="shared" si="5"/>
        <v>0.15509229690244819</v>
      </c>
      <c r="B123">
        <f t="shared" si="6"/>
        <v>0.97167100512246174</v>
      </c>
      <c r="C123">
        <f t="shared" si="7"/>
        <v>0.75204531775851302</v>
      </c>
      <c r="D123">
        <f t="shared" si="8"/>
        <v>70293.224169910929</v>
      </c>
      <c r="E123">
        <f t="shared" si="9"/>
        <v>52863.690107131049</v>
      </c>
    </row>
    <row r="124" spans="1:5">
      <c r="A124">
        <f t="shared" si="5"/>
        <v>0.82080176810813543</v>
      </c>
      <c r="B124">
        <f t="shared" si="6"/>
        <v>0.52287267462851972</v>
      </c>
      <c r="C124">
        <f t="shared" si="7"/>
        <v>1.2193966936478218</v>
      </c>
      <c r="D124">
        <f t="shared" si="8"/>
        <v>65701.784807215634</v>
      </c>
      <c r="E124">
        <f t="shared" si="9"/>
        <v>80116.539160679429</v>
      </c>
    </row>
    <row r="125" spans="1:5">
      <c r="A125">
        <f t="shared" si="5"/>
        <v>0.98803150969185649</v>
      </c>
      <c r="B125">
        <f t="shared" si="6"/>
        <v>0.86812206587316521</v>
      </c>
      <c r="C125">
        <f t="shared" si="7"/>
        <v>1.7045221492873104</v>
      </c>
      <c r="D125">
        <f t="shared" si="8"/>
        <v>68335.062761829788</v>
      </c>
      <c r="E125">
        <f t="shared" si="9"/>
        <v>116478.62805047736</v>
      </c>
    </row>
    <row r="126" spans="1:5">
      <c r="A126">
        <f t="shared" si="5"/>
        <v>0.65678152165361148</v>
      </c>
      <c r="B126">
        <f t="shared" si="6"/>
        <v>7.4191788563986449E-3</v>
      </c>
      <c r="C126">
        <f t="shared" si="7"/>
        <v>1.072158354452855</v>
      </c>
      <c r="D126">
        <f t="shared" si="8"/>
        <v>59508.089426268372</v>
      </c>
      <c r="E126">
        <f t="shared" si="9"/>
        <v>63802.095235901237</v>
      </c>
    </row>
    <row r="127" spans="1:5">
      <c r="A127">
        <f t="shared" si="5"/>
        <v>0.82705180399340028</v>
      </c>
      <c r="B127">
        <f t="shared" si="6"/>
        <v>0.94076401357821937</v>
      </c>
      <c r="C127">
        <f t="shared" si="7"/>
        <v>1.2267822663163204</v>
      </c>
      <c r="D127">
        <f t="shared" si="8"/>
        <v>69437.017016976475</v>
      </c>
      <c r="E127">
        <f t="shared" si="9"/>
        <v>85184.101102331304</v>
      </c>
    </row>
    <row r="128" spans="1:5">
      <c r="A128">
        <f t="shared" si="5"/>
        <v>0.49884235671122279</v>
      </c>
      <c r="B128">
        <f t="shared" si="6"/>
        <v>0.66815657003862794</v>
      </c>
      <c r="C128">
        <f t="shared" si="7"/>
        <v>0.96853036272537074</v>
      </c>
      <c r="D128">
        <f t="shared" si="8"/>
        <v>66639.318894558193</v>
      </c>
      <c r="E128">
        <f t="shared" si="9"/>
        <v>64542.203700718099</v>
      </c>
    </row>
    <row r="129" spans="1:5">
      <c r="A129">
        <f t="shared" si="5"/>
        <v>0.672153179807079</v>
      </c>
      <c r="B129">
        <f t="shared" si="6"/>
        <v>0.18959684823762424</v>
      </c>
      <c r="C129">
        <f t="shared" si="7"/>
        <v>1.0835217758157214</v>
      </c>
      <c r="D129">
        <f t="shared" si="8"/>
        <v>63375.117294684154</v>
      </c>
      <c r="E129">
        <f t="shared" si="9"/>
        <v>68668.319633665815</v>
      </c>
    </row>
    <row r="130" spans="1:5">
      <c r="A130">
        <f t="shared" si="5"/>
        <v>0.34698427328096937</v>
      </c>
      <c r="B130">
        <f t="shared" si="6"/>
        <v>0.50508484817520838</v>
      </c>
      <c r="C130">
        <f t="shared" si="7"/>
        <v>0.87843022741811383</v>
      </c>
      <c r="D130">
        <f t="shared" si="8"/>
        <v>65590.962455659494</v>
      </c>
      <c r="E130">
        <f t="shared" si="9"/>
        <v>57617.084066497933</v>
      </c>
    </row>
    <row r="131" spans="1:5">
      <c r="A131">
        <f t="shared" si="5"/>
        <v>0.52333563713289333</v>
      </c>
      <c r="B131">
        <f t="shared" si="6"/>
        <v>0.61462056985137981</v>
      </c>
      <c r="C131">
        <f t="shared" si="7"/>
        <v>0.98351911173839002</v>
      </c>
      <c r="D131">
        <f t="shared" si="8"/>
        <v>66283.031347815122</v>
      </c>
      <c r="E131">
        <f t="shared" si="9"/>
        <v>65190.628114530991</v>
      </c>
    </row>
    <row r="132" spans="1:5">
      <c r="A132">
        <f t="shared" si="5"/>
        <v>0.20120727136285144</v>
      </c>
      <c r="B132">
        <f t="shared" si="6"/>
        <v>0.51820401326613919</v>
      </c>
      <c r="C132">
        <f t="shared" si="7"/>
        <v>0.78617238662751499</v>
      </c>
      <c r="D132">
        <f t="shared" si="8"/>
        <v>65672.67947531071</v>
      </c>
      <c r="E132">
        <f t="shared" si="9"/>
        <v>51630.047159328838</v>
      </c>
    </row>
    <row r="133" spans="1:5">
      <c r="A133">
        <f t="shared" si="5"/>
        <v>0.38059917597084292</v>
      </c>
      <c r="B133">
        <f t="shared" si="6"/>
        <v>0.21583517841948635</v>
      </c>
      <c r="C133">
        <f t="shared" si="7"/>
        <v>0.89832183963140777</v>
      </c>
      <c r="D133">
        <f t="shared" si="8"/>
        <v>63606.22327652057</v>
      </c>
      <c r="E133">
        <f t="shared" si="9"/>
        <v>57138.85950577003</v>
      </c>
    </row>
    <row r="134" spans="1:5">
      <c r="A134">
        <f t="shared" si="5"/>
        <v>6.1511350956868549E-2</v>
      </c>
      <c r="B134">
        <f t="shared" si="6"/>
        <v>0.70751406531142114</v>
      </c>
      <c r="C134">
        <f t="shared" si="7"/>
        <v>0.65915117836186821</v>
      </c>
      <c r="D134">
        <f t="shared" si="8"/>
        <v>66915.783262882833</v>
      </c>
      <c r="E134">
        <f t="shared" si="9"/>
        <v>44107.617388736595</v>
      </c>
    </row>
    <row r="135" spans="1:5">
      <c r="A135">
        <f t="shared" si="5"/>
        <v>0.24394379632092783</v>
      </c>
      <c r="B135">
        <f t="shared" si="6"/>
        <v>0.99324067394194349</v>
      </c>
      <c r="C135">
        <f t="shared" si="7"/>
        <v>0.81491771486680986</v>
      </c>
      <c r="D135">
        <f t="shared" si="8"/>
        <v>71693.73752940644</v>
      </c>
      <c r="E135">
        <f t="shared" si="9"/>
        <v>58424.496757724744</v>
      </c>
    </row>
    <row r="136" spans="1:5">
      <c r="A136">
        <f t="shared" si="5"/>
        <v>0.92789651206302093</v>
      </c>
      <c r="B136">
        <f t="shared" si="6"/>
        <v>7.3015004311053566E-2</v>
      </c>
      <c r="C136">
        <f t="shared" si="7"/>
        <v>1.3962996164296357</v>
      </c>
      <c r="D136">
        <f t="shared" si="8"/>
        <v>61948.64919159389</v>
      </c>
      <c r="E136">
        <f t="shared" si="9"/>
        <v>86498.875104556617</v>
      </c>
    </row>
    <row r="137" spans="1:5">
      <c r="A137">
        <f t="shared" si="5"/>
        <v>0.11336949818314812</v>
      </c>
      <c r="B137">
        <f t="shared" si="6"/>
        <v>0.94683705641875138</v>
      </c>
      <c r="C137">
        <f t="shared" si="7"/>
        <v>0.71644739607790564</v>
      </c>
      <c r="D137">
        <f t="shared" si="8"/>
        <v>69570.421311314421</v>
      </c>
      <c r="E137">
        <f t="shared" si="9"/>
        <v>49843.547192534053</v>
      </c>
    </row>
    <row r="138" spans="1:5">
      <c r="A138">
        <f t="shared" si="5"/>
        <v>0.8003627546813088</v>
      </c>
      <c r="B138">
        <f t="shared" si="6"/>
        <v>0.61470683026503714</v>
      </c>
      <c r="C138">
        <f t="shared" si="7"/>
        <v>1.1965942747941867</v>
      </c>
      <c r="D138">
        <f t="shared" si="8"/>
        <v>66283.591703872633</v>
      </c>
      <c r="E138">
        <f t="shared" si="9"/>
        <v>79314.566345649437</v>
      </c>
    </row>
    <row r="139" spans="1:5">
      <c r="A139">
        <f t="shared" si="5"/>
        <v>0.98887628155750351</v>
      </c>
      <c r="B139">
        <f t="shared" si="6"/>
        <v>7.6624325849910191E-2</v>
      </c>
      <c r="C139">
        <f t="shared" si="7"/>
        <v>1.7164859612885055</v>
      </c>
      <c r="D139">
        <f t="shared" si="8"/>
        <v>62012.104675509821</v>
      </c>
      <c r="E139">
        <f t="shared" si="9"/>
        <v>106442.9071054659</v>
      </c>
    </row>
    <row r="140" spans="1:5">
      <c r="A140">
        <f t="shared" si="5"/>
        <v>0.67891007881173204</v>
      </c>
      <c r="B140">
        <f t="shared" si="6"/>
        <v>0.33258954317337097</v>
      </c>
      <c r="C140">
        <f t="shared" si="7"/>
        <v>1.0886226735364193</v>
      </c>
      <c r="D140">
        <f t="shared" si="8"/>
        <v>64484.392383208477</v>
      </c>
      <c r="E140">
        <f t="shared" si="9"/>
        <v>70199.17163757993</v>
      </c>
    </row>
    <row r="141" spans="1:5">
      <c r="A141">
        <f t="shared" si="5"/>
        <v>0.87046414644399439</v>
      </c>
      <c r="B141">
        <f t="shared" si="6"/>
        <v>0.38260248223541948</v>
      </c>
      <c r="C141">
        <f t="shared" si="7"/>
        <v>1.285177679910585</v>
      </c>
      <c r="D141">
        <f t="shared" si="8"/>
        <v>64817.518403961098</v>
      </c>
      <c r="E141">
        <f t="shared" si="9"/>
        <v>83302.02791996437</v>
      </c>
    </row>
    <row r="142" spans="1:5">
      <c r="A142">
        <f t="shared" si="5"/>
        <v>0.56353848445429033</v>
      </c>
      <c r="B142">
        <f t="shared" si="6"/>
        <v>0.2266631430360555</v>
      </c>
      <c r="C142">
        <f t="shared" si="7"/>
        <v>1.0087749606319605</v>
      </c>
      <c r="D142">
        <f t="shared" si="8"/>
        <v>63696.770116267333</v>
      </c>
      <c r="E142">
        <f t="shared" si="9"/>
        <v>64255.706766420619</v>
      </c>
    </row>
    <row r="143" spans="1:5">
      <c r="A143">
        <f t="shared" si="5"/>
        <v>0.75813309284262043</v>
      </c>
      <c r="B143">
        <f t="shared" si="6"/>
        <v>0.8647715255752797</v>
      </c>
      <c r="C143">
        <f t="shared" si="7"/>
        <v>1.1546848682977411</v>
      </c>
      <c r="D143">
        <f t="shared" si="8"/>
        <v>68296.447528876175</v>
      </c>
      <c r="E143">
        <f t="shared" si="9"/>
        <v>78860.874520083977</v>
      </c>
    </row>
    <row r="144" spans="1:5">
      <c r="A144">
        <f t="shared" ref="A144:A207" si="10">IFERROR(MOD(MOD(($E$8+((ROW()-15)*(ROW()-14)/2)*13)*171,30269)/30269+MOD(($E$8+((ROW()-15)*(ROW()-14)/2)*29)*172,30307)/30307+MOD(($E$8+((ROW()-15)*(ROW()-14)/2)*47)*170,30323)/30323,1),0.5)</f>
        <v>0.45424797160898422</v>
      </c>
      <c r="B144">
        <f t="shared" ref="B144:B207" si="11">IFERROR(MOD(MOD(($E$8+((ROW()-15)*(ROW()-14)/2)*17)*171,30269)/30269+MOD(($E$8+((ROW()-15)*(ROW()-14)/2)*41)*172,30307)/30307+MOD(($E$8+((ROW()-15)*(ROW()-14)/2)*83)*170,30323)/30323,1),0.5)</f>
        <v>0.29692762985309118</v>
      </c>
      <c r="C144">
        <f t="shared" ref="C144:C207" si="12">IFERROR(EXP($E$4*NORMSINV(MIN(MAX(A144,0.000000001),0.999999999))-$E$4^2/2),1)</f>
        <v>0.94177962954020988</v>
      </c>
      <c r="D144">
        <f t="shared" ref="D144:D207" si="13">IFERROR($B$5+$E$5*NORMSINV(MIN(MAX(B144,0.000000001),0.999999999)),$B$5)</f>
        <v>64234.813567830155</v>
      </c>
      <c r="E144">
        <f t="shared" ref="E144:E207" si="14">IFERROR(C144*MAX(D144,0),0)</f>
        <v>60495.03892549553</v>
      </c>
    </row>
    <row r="145" spans="1:5">
      <c r="A145">
        <f t="shared" si="10"/>
        <v>0.65188312075338173</v>
      </c>
      <c r="B145">
        <f t="shared" si="11"/>
        <v>0.52313145586949039</v>
      </c>
      <c r="C145">
        <f t="shared" si="12"/>
        <v>1.0686032019241558</v>
      </c>
      <c r="D145">
        <f t="shared" si="13"/>
        <v>65703.398634797923</v>
      </c>
      <c r="E145">
        <f t="shared" si="14"/>
        <v>70210.862158444274</v>
      </c>
    </row>
    <row r="146" spans="1:5">
      <c r="A146">
        <f t="shared" si="10"/>
        <v>0.35103854027581338</v>
      </c>
      <c r="B146">
        <f t="shared" si="11"/>
        <v>0.54338300362447745</v>
      </c>
      <c r="C146">
        <f t="shared" si="12"/>
        <v>0.88083977782929812</v>
      </c>
      <c r="D146">
        <f t="shared" si="13"/>
        <v>65829.936369183095</v>
      </c>
      <c r="E146">
        <f t="shared" si="14"/>
        <v>57985.626525948072</v>
      </c>
    </row>
    <row r="147" spans="1:5">
      <c r="A147">
        <f t="shared" si="10"/>
        <v>0.55171423017627863</v>
      </c>
      <c r="B147">
        <f t="shared" si="11"/>
        <v>0.35768227311805223</v>
      </c>
      <c r="C147">
        <f t="shared" si="12"/>
        <v>1.0012491639270689</v>
      </c>
      <c r="D147">
        <f t="shared" si="13"/>
        <v>64653.569361233669</v>
      </c>
      <c r="E147">
        <f t="shared" si="14"/>
        <v>64734.332267835969</v>
      </c>
    </row>
    <row r="148" spans="1:5">
      <c r="A148">
        <f t="shared" si="10"/>
        <v>0.25391019045477758</v>
      </c>
      <c r="B148">
        <f t="shared" si="11"/>
        <v>0.96602926435021463</v>
      </c>
      <c r="C148">
        <f t="shared" si="12"/>
        <v>0.82134762229264258</v>
      </c>
      <c r="D148">
        <f t="shared" si="13"/>
        <v>70093.168282076018</v>
      </c>
      <c r="E148">
        <f t="shared" si="14"/>
        <v>57570.85710744121</v>
      </c>
    </row>
    <row r="149" spans="1:5">
      <c r="A149">
        <f t="shared" si="10"/>
        <v>0.45762642111131058</v>
      </c>
      <c r="B149">
        <f t="shared" si="11"/>
        <v>0.36842397732096455</v>
      </c>
      <c r="C149">
        <f t="shared" si="12"/>
        <v>0.94378789194018631</v>
      </c>
      <c r="D149">
        <f t="shared" si="13"/>
        <v>64724.681043412042</v>
      </c>
      <c r="E149">
        <f t="shared" si="14"/>
        <v>61086.370278462789</v>
      </c>
    </row>
    <row r="150" spans="1:5">
      <c r="A150">
        <f t="shared" si="10"/>
        <v>0.1628629221458775</v>
      </c>
      <c r="B150">
        <f t="shared" si="11"/>
        <v>0.56486641203030219</v>
      </c>
      <c r="C150">
        <f t="shared" si="12"/>
        <v>0.75810008625618397</v>
      </c>
      <c r="D150">
        <f t="shared" si="13"/>
        <v>65964.95133838075</v>
      </c>
      <c r="E150">
        <f t="shared" si="14"/>
        <v>50008.035299511423</v>
      </c>
    </row>
    <row r="151" spans="1:5">
      <c r="A151">
        <f t="shared" si="10"/>
        <v>0.3696196935584779</v>
      </c>
      <c r="B151">
        <f t="shared" si="11"/>
        <v>0.55535656847822779</v>
      </c>
      <c r="C151">
        <f t="shared" si="12"/>
        <v>0.89184298180152355</v>
      </c>
      <c r="D151">
        <f t="shared" si="13"/>
        <v>65905.061418745434</v>
      </c>
      <c r="E151">
        <f t="shared" si="14"/>
        <v>58776.966491506479</v>
      </c>
    </row>
    <row r="152" spans="1:5">
      <c r="A152">
        <f t="shared" si="10"/>
        <v>7.7896735349112456E-2</v>
      </c>
      <c r="B152">
        <f t="shared" si="11"/>
        <v>0.33989444666474089</v>
      </c>
      <c r="C152">
        <f t="shared" si="12"/>
        <v>0.67970898920928668</v>
      </c>
      <c r="D152">
        <f t="shared" si="13"/>
        <v>64534.123981291137</v>
      </c>
      <c r="E152">
        <f t="shared" si="14"/>
        <v>43864.424180830189</v>
      </c>
    </row>
    <row r="153" spans="1:5">
      <c r="A153">
        <f t="shared" si="10"/>
        <v>0.28769404751778072</v>
      </c>
      <c r="B153">
        <f t="shared" si="11"/>
        <v>0.9184800465898415</v>
      </c>
      <c r="C153">
        <f t="shared" si="12"/>
        <v>0.84258268415516147</v>
      </c>
      <c r="D153">
        <f t="shared" si="13"/>
        <v>69023.967502581247</v>
      </c>
      <c r="E153">
        <f t="shared" si="14"/>
        <v>58158.399809363546</v>
      </c>
    </row>
    <row r="154" spans="1:5">
      <c r="A154">
        <f t="shared" si="10"/>
        <v>0.9990116300644829</v>
      </c>
      <c r="B154">
        <f t="shared" si="11"/>
        <v>0.29111336825353007</v>
      </c>
      <c r="C154">
        <f t="shared" si="12"/>
        <v>2.1005017186993507</v>
      </c>
      <c r="D154">
        <f t="shared" si="13"/>
        <v>64192.893840967372</v>
      </c>
      <c r="E154">
        <f t="shared" si="14"/>
        <v>134837.28384123693</v>
      </c>
    </row>
    <row r="155" spans="1:5">
      <c r="A155">
        <f t="shared" si="10"/>
        <v>0.2118494829892188</v>
      </c>
      <c r="B155">
        <f t="shared" si="11"/>
        <v>0.45779441165580614</v>
      </c>
      <c r="C155">
        <f t="shared" si="12"/>
        <v>0.79353700485772261</v>
      </c>
      <c r="D155">
        <f t="shared" si="13"/>
        <v>65296.044311007841</v>
      </c>
      <c r="E155">
        <f t="shared" si="14"/>
        <v>51814.8274316143</v>
      </c>
    </row>
    <row r="156" spans="1:5">
      <c r="A156">
        <f t="shared" si="10"/>
        <v>0.92620760629198839</v>
      </c>
      <c r="B156">
        <f t="shared" si="11"/>
        <v>0.41852317679666995</v>
      </c>
      <c r="C156">
        <f t="shared" si="12"/>
        <v>1.3920518959087251</v>
      </c>
      <c r="D156">
        <f t="shared" si="13"/>
        <v>65048.4590632748</v>
      </c>
      <c r="E156">
        <f t="shared" si="14"/>
        <v>90550.830764972779</v>
      </c>
    </row>
    <row r="157" spans="1:5">
      <c r="A157">
        <f t="shared" si="10"/>
        <v>0.14208599997279192</v>
      </c>
      <c r="B157">
        <f t="shared" si="11"/>
        <v>0.17329966367612126</v>
      </c>
      <c r="C157">
        <f t="shared" si="12"/>
        <v>0.74156046919046492</v>
      </c>
      <c r="D157">
        <f t="shared" si="13"/>
        <v>63221.562953348715</v>
      </c>
      <c r="E157">
        <f t="shared" si="14"/>
        <v>46882.611886639788</v>
      </c>
    </row>
    <row r="158" spans="1:5">
      <c r="A158">
        <f t="shared" si="10"/>
        <v>0.8594846640316296</v>
      </c>
      <c r="B158">
        <f t="shared" si="11"/>
        <v>0.72212387229416075</v>
      </c>
      <c r="C158">
        <f t="shared" si="12"/>
        <v>1.2690286023667865</v>
      </c>
      <c r="D158">
        <f t="shared" si="13"/>
        <v>67022.649213888362</v>
      </c>
      <c r="E158">
        <f t="shared" si="14"/>
        <v>85053.658858820156</v>
      </c>
    </row>
    <row r="159" spans="1:5">
      <c r="A159">
        <f t="shared" si="10"/>
        <v>7.8403598468500313E-2</v>
      </c>
      <c r="B159">
        <f t="shared" si="11"/>
        <v>6.4995802650787526E-2</v>
      </c>
      <c r="C159">
        <f t="shared" si="12"/>
        <v>0.68029895291455833</v>
      </c>
      <c r="D159">
        <f t="shared" si="13"/>
        <v>61798.537883718134</v>
      </c>
      <c r="E159">
        <f t="shared" si="14"/>
        <v>42041.480613944113</v>
      </c>
    </row>
    <row r="160" spans="1:5">
      <c r="A160">
        <f t="shared" si="10"/>
        <v>0.79884280328340573</v>
      </c>
      <c r="B160">
        <f t="shared" si="11"/>
        <v>0.20191545474600225</v>
      </c>
      <c r="C160">
        <f t="shared" si="12"/>
        <v>1.1949731862126216</v>
      </c>
      <c r="D160">
        <f t="shared" si="13"/>
        <v>63485.853643529583</v>
      </c>
      <c r="E160">
        <f t="shared" si="14"/>
        <v>75863.892807836717</v>
      </c>
    </row>
    <row r="161" spans="1:5">
      <c r="A161">
        <f t="shared" si="10"/>
        <v>2.080227847634486E-2</v>
      </c>
      <c r="B161">
        <f t="shared" si="11"/>
        <v>0.13288282857980471</v>
      </c>
      <c r="C161">
        <f t="shared" si="12"/>
        <v>0.58239083109697265</v>
      </c>
      <c r="D161">
        <f t="shared" si="13"/>
        <v>62795.196651522892</v>
      </c>
      <c r="E161">
        <f t="shared" si="14"/>
        <v>36571.346766778253</v>
      </c>
    </row>
    <row r="162" spans="1:5">
      <c r="A162">
        <f t="shared" si="10"/>
        <v>0.74428202404731714</v>
      </c>
      <c r="B162">
        <f t="shared" si="11"/>
        <v>0.85789792415219468</v>
      </c>
      <c r="C162">
        <f t="shared" si="12"/>
        <v>1.142136754397971</v>
      </c>
      <c r="D162">
        <f t="shared" si="13"/>
        <v>68219.231822579372</v>
      </c>
      <c r="E162">
        <f t="shared" si="14"/>
        <v>77915.692021363589</v>
      </c>
    </row>
    <row r="163" spans="1:5">
      <c r="A163">
        <f t="shared" si="10"/>
        <v>0.96928203999632379</v>
      </c>
      <c r="B163">
        <f t="shared" si="11"/>
        <v>0.37696074146317216</v>
      </c>
      <c r="C163">
        <f t="shared" si="12"/>
        <v>1.5470289078038568</v>
      </c>
      <c r="D163">
        <f t="shared" si="13"/>
        <v>64780.70893729954</v>
      </c>
      <c r="E163">
        <f t="shared" si="14"/>
        <v>100217.62939403005</v>
      </c>
    </row>
    <row r="164" spans="1:5">
      <c r="A164">
        <f t="shared" si="10"/>
        <v>0.69580232632336436</v>
      </c>
      <c r="B164">
        <f t="shared" si="11"/>
        <v>0.69007128051273747</v>
      </c>
      <c r="C164">
        <f t="shared" si="12"/>
        <v>1.1016855593611923</v>
      </c>
      <c r="D164">
        <f t="shared" si="13"/>
        <v>66791.384914403796</v>
      </c>
      <c r="E164">
        <f t="shared" si="14"/>
        <v>73583.104249933647</v>
      </c>
    </row>
    <row r="165" spans="1:5">
      <c r="A165">
        <f t="shared" si="10"/>
        <v>0.92384288302843853</v>
      </c>
      <c r="B165">
        <f t="shared" si="11"/>
        <v>0.79722954130089052</v>
      </c>
      <c r="C165">
        <f t="shared" si="12"/>
        <v>1.3862485305124876</v>
      </c>
      <c r="D165">
        <f t="shared" si="13"/>
        <v>67625.221456204585</v>
      </c>
      <c r="E165">
        <f t="shared" si="14"/>
        <v>93745.36386924515</v>
      </c>
    </row>
    <row r="166" spans="1:5">
      <c r="A166">
        <f t="shared" si="10"/>
        <v>0.65340371011154641</v>
      </c>
      <c r="B166">
        <f t="shared" si="11"/>
        <v>0.69843552382763141</v>
      </c>
      <c r="C166">
        <f t="shared" si="12"/>
        <v>1.0697035485933766</v>
      </c>
      <c r="D166">
        <f t="shared" si="13"/>
        <v>66850.632310224537</v>
      </c>
      <c r="E166">
        <f t="shared" si="14"/>
        <v>71510.358607958216</v>
      </c>
    </row>
    <row r="167" spans="1:5">
      <c r="A167">
        <f t="shared" si="10"/>
        <v>0.88448480757268833</v>
      </c>
      <c r="B167">
        <f t="shared" si="11"/>
        <v>0.39368922809295981</v>
      </c>
      <c r="C167">
        <f t="shared" si="12"/>
        <v>1.3075788370493646</v>
      </c>
      <c r="D167">
        <f t="shared" si="13"/>
        <v>64889.3898979816</v>
      </c>
      <c r="E167">
        <f t="shared" si="14"/>
        <v>84847.992979645569</v>
      </c>
    </row>
    <row r="168" spans="1:5">
      <c r="A168">
        <f t="shared" si="10"/>
        <v>0.61708617541186395</v>
      </c>
      <c r="B168">
        <f t="shared" si="11"/>
        <v>0.88299065409687583</v>
      </c>
      <c r="C168">
        <f t="shared" si="12"/>
        <v>1.0441563358112744</v>
      </c>
      <c r="D168">
        <f t="shared" si="13"/>
        <v>68515.167532267209</v>
      </c>
      <c r="E168">
        <f t="shared" si="14"/>
        <v>71540.546277987727</v>
      </c>
    </row>
    <row r="169" spans="1:5">
      <c r="A169">
        <f t="shared" si="10"/>
        <v>0.8512078136290735</v>
      </c>
      <c r="B169">
        <f t="shared" si="11"/>
        <v>0.16633980183937958</v>
      </c>
      <c r="C169">
        <f t="shared" si="12"/>
        <v>1.2575393278410807</v>
      </c>
      <c r="D169">
        <f t="shared" si="13"/>
        <v>63153.197918938509</v>
      </c>
      <c r="E169">
        <f t="shared" si="14"/>
        <v>79417.630061996664</v>
      </c>
    </row>
    <row r="170" spans="1:5">
      <c r="A170">
        <f t="shared" si="10"/>
        <v>0.58684972222431675</v>
      </c>
      <c r="B170">
        <f t="shared" si="11"/>
        <v>0.24373667132047094</v>
      </c>
      <c r="C170">
        <f t="shared" si="12"/>
        <v>1.0238931435225527</v>
      </c>
      <c r="D170">
        <f t="shared" si="13"/>
        <v>63834.738832445604</v>
      </c>
      <c r="E170">
        <f t="shared" si="14"/>
        <v>65359.95140909389</v>
      </c>
    </row>
    <row r="171" spans="1:5">
      <c r="A171">
        <f t="shared" si="10"/>
        <v>0.82401190119759393</v>
      </c>
      <c r="B171">
        <f t="shared" si="11"/>
        <v>0.11518126254015026</v>
      </c>
      <c r="C171">
        <f t="shared" si="12"/>
        <v>1.2231637478876145</v>
      </c>
      <c r="D171">
        <f t="shared" si="13"/>
        <v>62580.204409845624</v>
      </c>
      <c r="E171">
        <f t="shared" si="14"/>
        <v>76545.837369519795</v>
      </c>
    </row>
    <row r="172" spans="1:5">
      <c r="A172">
        <f t="shared" si="10"/>
        <v>0.56269435054890504</v>
      </c>
      <c r="B172">
        <f t="shared" si="11"/>
        <v>0.78067357549841698</v>
      </c>
      <c r="C172">
        <f t="shared" si="12"/>
        <v>1.0082347035909027</v>
      </c>
      <c r="D172">
        <f t="shared" si="13"/>
        <v>67482.910950164325</v>
      </c>
      <c r="E172">
        <f t="shared" si="14"/>
        <v>68038.612719290206</v>
      </c>
    </row>
    <row r="173" spans="1:5">
      <c r="A173">
        <f t="shared" si="10"/>
        <v>0.80289707027824986</v>
      </c>
      <c r="B173">
        <f t="shared" si="11"/>
        <v>0.24021361019527143</v>
      </c>
      <c r="C173">
        <f t="shared" si="12"/>
        <v>1.199318775174959</v>
      </c>
      <c r="D173">
        <f t="shared" si="13"/>
        <v>63806.715656632965</v>
      </c>
      <c r="E173">
        <f t="shared" si="14"/>
        <v>76524.59206924992</v>
      </c>
    </row>
    <row r="174" spans="1:5">
      <c r="A174">
        <f t="shared" si="10"/>
        <v>0.54462006038562838</v>
      </c>
      <c r="B174">
        <f t="shared" si="11"/>
        <v>0.49380136663071372</v>
      </c>
      <c r="C174">
        <f t="shared" si="12"/>
        <v>0.99677524099571246</v>
      </c>
      <c r="D174">
        <f t="shared" si="13"/>
        <v>65520.710297284939</v>
      </c>
      <c r="E174">
        <f t="shared" si="14"/>
        <v>65309.421796786453</v>
      </c>
    </row>
    <row r="175" spans="1:5">
      <c r="A175">
        <f t="shared" si="10"/>
        <v>0.78786332087104083</v>
      </c>
      <c r="B175">
        <f t="shared" si="11"/>
        <v>0.54143684480474352</v>
      </c>
      <c r="C175">
        <f t="shared" si="12"/>
        <v>1.1835369290985054</v>
      </c>
      <c r="D175">
        <f t="shared" si="13"/>
        <v>65817.750861369699</v>
      </c>
      <c r="E175">
        <f t="shared" si="14"/>
        <v>77897.738734636005</v>
      </c>
    </row>
    <row r="176" spans="1:5">
      <c r="A176">
        <f t="shared" si="10"/>
        <v>0.53262685173448698</v>
      </c>
      <c r="B176">
        <f t="shared" si="11"/>
        <v>0.38312004471736127</v>
      </c>
      <c r="C176">
        <f t="shared" si="12"/>
        <v>0.9892766028535015</v>
      </c>
      <c r="D176">
        <f t="shared" si="13"/>
        <v>64820.886967437509</v>
      </c>
      <c r="E176">
        <f t="shared" si="14"/>
        <v>64125.786853097386</v>
      </c>
    </row>
    <row r="177" spans="1:5">
      <c r="A177">
        <f t="shared" si="10"/>
        <v>0.77891065297596729</v>
      </c>
      <c r="B177">
        <f t="shared" si="11"/>
        <v>1.8850966368566535E-2</v>
      </c>
      <c r="C177">
        <f t="shared" si="12"/>
        <v>1.174543826799026</v>
      </c>
      <c r="D177">
        <f t="shared" si="13"/>
        <v>60397.825519515871</v>
      </c>
      <c r="E177">
        <f t="shared" si="14"/>
        <v>70939.89311603205</v>
      </c>
    </row>
    <row r="178" spans="1:5">
      <c r="A178">
        <f t="shared" si="10"/>
        <v>0.52671472459548108</v>
      </c>
      <c r="B178">
        <f t="shared" si="11"/>
        <v>0.4486296097583593</v>
      </c>
      <c r="C178">
        <f t="shared" si="12"/>
        <v>0.98560807053913113</v>
      </c>
      <c r="D178">
        <f t="shared" si="13"/>
        <v>65238.588331092404</v>
      </c>
      <c r="E178">
        <f t="shared" si="14"/>
        <v>64299.679169704657</v>
      </c>
    </row>
    <row r="179" spans="1:5">
      <c r="A179">
        <f t="shared" si="10"/>
        <v>0.77603906659302901</v>
      </c>
      <c r="B179">
        <f t="shared" si="11"/>
        <v>0.67245597488674003</v>
      </c>
      <c r="C179">
        <f t="shared" si="12"/>
        <v>1.1717179850954837</v>
      </c>
      <c r="D179">
        <f t="shared" si="13"/>
        <v>66668.81729107954</v>
      </c>
      <c r="E179">
        <f t="shared" si="14"/>
        <v>78117.052265002669</v>
      </c>
    </row>
    <row r="180" spans="1:5">
      <c r="A180">
        <f t="shared" si="10"/>
        <v>0.52688367896861044</v>
      </c>
      <c r="B180">
        <f t="shared" si="11"/>
        <v>0.69033006175370826</v>
      </c>
      <c r="C180">
        <f t="shared" si="12"/>
        <v>0.9857126648458362</v>
      </c>
      <c r="D180">
        <f t="shared" si="13"/>
        <v>66793.207326107513</v>
      </c>
      <c r="E180">
        <f t="shared" si="14"/>
        <v>65838.910387017866</v>
      </c>
    </row>
    <row r="181" spans="1:5">
      <c r="A181">
        <f t="shared" si="10"/>
        <v>0.77924856172222623</v>
      </c>
      <c r="B181">
        <f t="shared" si="11"/>
        <v>0.50225187035926444</v>
      </c>
      <c r="C181">
        <f t="shared" si="12"/>
        <v>1.1748781776418116</v>
      </c>
      <c r="D181">
        <f t="shared" si="13"/>
        <v>65573.323856279079</v>
      </c>
      <c r="E181">
        <f t="shared" si="14"/>
        <v>77040.667234181499</v>
      </c>
    </row>
    <row r="182" spans="1:5">
      <c r="A182">
        <f t="shared" si="10"/>
        <v>0.53313371485387528</v>
      </c>
      <c r="B182">
        <f t="shared" si="11"/>
        <v>0.10822140070340813</v>
      </c>
      <c r="C182">
        <f t="shared" si="12"/>
        <v>0.98959194789513449</v>
      </c>
      <c r="D182">
        <f t="shared" si="13"/>
        <v>62489.256444154656</v>
      </c>
      <c r="E182">
        <f t="shared" si="14"/>
        <v>61838.865007089589</v>
      </c>
    </row>
    <row r="183" spans="1:5">
      <c r="A183">
        <f t="shared" si="10"/>
        <v>0.78853913836355849</v>
      </c>
      <c r="B183">
        <f t="shared" si="11"/>
        <v>0.50823865278613933</v>
      </c>
      <c r="C183">
        <f t="shared" si="12"/>
        <v>1.184227503132079</v>
      </c>
      <c r="D183">
        <f t="shared" si="13"/>
        <v>65610.600494739876</v>
      </c>
      <c r="E183">
        <f t="shared" si="14"/>
        <v>77697.877602882159</v>
      </c>
    </row>
    <row r="184" spans="1:5">
      <c r="A184">
        <f t="shared" si="10"/>
        <v>0.54546483225127518</v>
      </c>
      <c r="B184">
        <f t="shared" si="11"/>
        <v>0.70230362660745849</v>
      </c>
      <c r="C184">
        <f t="shared" si="12"/>
        <v>0.99730644618880737</v>
      </c>
      <c r="D184">
        <f t="shared" si="13"/>
        <v>66878.280081370845</v>
      </c>
      <c r="E184">
        <f t="shared" si="14"/>
        <v>66698.139835171663</v>
      </c>
    </row>
    <row r="185" spans="1:5">
      <c r="A185">
        <f t="shared" si="10"/>
        <v>0.80391079651702602</v>
      </c>
      <c r="B185">
        <f t="shared" si="11"/>
        <v>0.69041632216736537</v>
      </c>
      <c r="C185">
        <f t="shared" si="12"/>
        <v>1.2004162514104642</v>
      </c>
      <c r="D185">
        <f t="shared" si="13"/>
        <v>66793.814944274476</v>
      </c>
      <c r="E185">
        <f t="shared" si="14"/>
        <v>80180.380952810214</v>
      </c>
    </row>
    <row r="186" spans="1:5">
      <c r="A186">
        <f t="shared" si="10"/>
        <v>0.56387703116081056</v>
      </c>
      <c r="B186">
        <f t="shared" si="11"/>
        <v>0.47257673946585982</v>
      </c>
      <c r="C186">
        <f t="shared" si="12"/>
        <v>1.0089917683173026</v>
      </c>
      <c r="D186">
        <f t="shared" si="13"/>
        <v>65388.434912454315</v>
      </c>
      <c r="E186">
        <f t="shared" si="14"/>
        <v>65976.392569818127</v>
      </c>
    </row>
    <row r="187" spans="1:5">
      <c r="A187">
        <f t="shared" si="10"/>
        <v>0.82536353618262903</v>
      </c>
      <c r="B187">
        <f t="shared" si="11"/>
        <v>4.8784878502941886E-2</v>
      </c>
      <c r="C187">
        <f t="shared" si="12"/>
        <v>1.2247663930783912</v>
      </c>
      <c r="D187">
        <f t="shared" si="13"/>
        <v>61444.311382536209</v>
      </c>
      <c r="E187">
        <f t="shared" si="14"/>
        <v>75254.927627174402</v>
      </c>
    </row>
    <row r="188" spans="1:5">
      <c r="A188">
        <f t="shared" si="10"/>
        <v>0.58837031158248143</v>
      </c>
      <c r="B188">
        <f t="shared" si="11"/>
        <v>0.41904073927861196</v>
      </c>
      <c r="C188">
        <f t="shared" si="12"/>
        <v>1.0248934961968816</v>
      </c>
      <c r="D188">
        <f t="shared" si="13"/>
        <v>65051.749783941181</v>
      </c>
      <c r="E188">
        <f t="shared" si="14"/>
        <v>66671.115269788221</v>
      </c>
    </row>
    <row r="189" spans="1:5">
      <c r="A189">
        <f t="shared" si="10"/>
        <v>0.85289735736036754</v>
      </c>
      <c r="B189">
        <f t="shared" si="11"/>
        <v>0.5833443217928691</v>
      </c>
      <c r="C189">
        <f t="shared" si="12"/>
        <v>1.2598406488306049</v>
      </c>
      <c r="D189">
        <f t="shared" si="13"/>
        <v>66082.029962048589</v>
      </c>
      <c r="E189">
        <f t="shared" si="14"/>
        <v>83252.827503430759</v>
      </c>
    </row>
    <row r="190" spans="1:5">
      <c r="A190">
        <f t="shared" si="10"/>
        <v>0.61894467351628712</v>
      </c>
      <c r="B190">
        <f t="shared" si="11"/>
        <v>0.54169562604571442</v>
      </c>
      <c r="C190">
        <f t="shared" si="12"/>
        <v>1.0454292569147399</v>
      </c>
      <c r="D190">
        <f t="shared" si="13"/>
        <v>65819.370806566614</v>
      </c>
      <c r="E190">
        <f t="shared" si="14"/>
        <v>68809.495912904662</v>
      </c>
    </row>
    <row r="191" spans="1:5">
      <c r="A191">
        <f t="shared" si="10"/>
        <v>0.88651226005024109</v>
      </c>
      <c r="B191">
        <f t="shared" si="11"/>
        <v>0.29409465203714724</v>
      </c>
      <c r="C191">
        <f t="shared" si="12"/>
        <v>1.3110084624785532</v>
      </c>
      <c r="D191">
        <f t="shared" si="13"/>
        <v>64214.436197274255</v>
      </c>
      <c r="E191">
        <f t="shared" si="14"/>
        <v>84185.669267915669</v>
      </c>
    </row>
    <row r="192" spans="1:5">
      <c r="A192">
        <f t="shared" si="10"/>
        <v>0.65560011696222853</v>
      </c>
      <c r="B192">
        <f t="shared" si="11"/>
        <v>0.8405413997671678</v>
      </c>
      <c r="C192">
        <f t="shared" si="12"/>
        <v>1.0712981118014189</v>
      </c>
      <c r="D192">
        <f t="shared" si="13"/>
        <v>68034.843294494931</v>
      </c>
      <c r="E192">
        <f t="shared" si="14"/>
        <v>72885.599158097844</v>
      </c>
    </row>
    <row r="193" spans="1:5">
      <c r="A193">
        <f t="shared" si="10"/>
        <v>0.9262082442522499</v>
      </c>
      <c r="B193">
        <f t="shared" si="11"/>
        <v>0.1810358692357763</v>
      </c>
      <c r="C193">
        <f t="shared" si="12"/>
        <v>1.3920534838949199</v>
      </c>
      <c r="D193">
        <f t="shared" si="13"/>
        <v>63295.533234934272</v>
      </c>
      <c r="E193">
        <f t="shared" si="14"/>
        <v>88110.767554676946</v>
      </c>
    </row>
    <row r="194" spans="1:5">
      <c r="A194">
        <f t="shared" si="10"/>
        <v>0.69833664192030476</v>
      </c>
      <c r="B194">
        <f t="shared" si="11"/>
        <v>0.31557806044297232</v>
      </c>
      <c r="C194">
        <f t="shared" si="12"/>
        <v>1.1036861508422409</v>
      </c>
      <c r="D194">
        <f t="shared" si="13"/>
        <v>64366.844389012993</v>
      </c>
      <c r="E194">
        <f t="shared" si="14"/>
        <v>71040.794725571235</v>
      </c>
    </row>
    <row r="195" spans="1:5">
      <c r="A195">
        <f t="shared" si="10"/>
        <v>0.97198530996639421</v>
      </c>
      <c r="B195">
        <f t="shared" si="11"/>
        <v>0.24416797338875562</v>
      </c>
      <c r="C195">
        <f t="shared" si="12"/>
        <v>1.5627573062526063</v>
      </c>
      <c r="D195">
        <f t="shared" si="13"/>
        <v>63838.154395616257</v>
      </c>
      <c r="E195">
        <f t="shared" si="14"/>
        <v>99763.542199431249</v>
      </c>
    </row>
    <row r="196" spans="1:5">
      <c r="A196">
        <f t="shared" si="10"/>
        <v>0.74715424839051703</v>
      </c>
      <c r="B196">
        <f t="shared" si="11"/>
        <v>0.96680560807312688</v>
      </c>
      <c r="C196">
        <f t="shared" si="12"/>
        <v>1.1446974234939173</v>
      </c>
      <c r="D196">
        <f t="shared" si="13"/>
        <v>70118.986497582329</v>
      </c>
      <c r="E196">
        <f t="shared" si="14"/>
        <v>80265.02318178727</v>
      </c>
    </row>
    <row r="197" spans="1:5">
      <c r="A197">
        <f t="shared" si="10"/>
        <v>2.3843457192673778E-2</v>
      </c>
      <c r="B197">
        <f t="shared" si="11"/>
        <v>0.48349096449608608</v>
      </c>
      <c r="C197">
        <f t="shared" si="12"/>
        <v>0.59079454003812892</v>
      </c>
      <c r="D197">
        <f t="shared" si="13"/>
        <v>65456.491037021726</v>
      </c>
      <c r="E197">
        <f t="shared" si="14"/>
        <v>38671.337514727158</v>
      </c>
    </row>
    <row r="198" spans="1:5">
      <c r="A198">
        <f t="shared" si="10"/>
        <v>0.80205293637286423</v>
      </c>
      <c r="B198">
        <f t="shared" si="11"/>
        <v>0.79422404265763302</v>
      </c>
      <c r="C198">
        <f t="shared" si="12"/>
        <v>1.1984082686777433</v>
      </c>
      <c r="D198">
        <f t="shared" si="13"/>
        <v>67598.892091987582</v>
      </c>
      <c r="E198">
        <f t="shared" si="14"/>
        <v>81011.071236492426</v>
      </c>
    </row>
    <row r="199" spans="1:5">
      <c r="A199">
        <f t="shared" si="10"/>
        <v>8.1782685931088395E-2</v>
      </c>
      <c r="B199">
        <f t="shared" si="11"/>
        <v>0.89900484255776725</v>
      </c>
      <c r="C199">
        <f t="shared" si="12"/>
        <v>0.684172640203913</v>
      </c>
      <c r="D199">
        <f t="shared" si="13"/>
        <v>68728.352393282155</v>
      </c>
      <c r="E199">
        <f t="shared" si="14"/>
        <v>47022.058313776775</v>
      </c>
    </row>
    <row r="200" spans="1:5">
      <c r="A200">
        <f t="shared" si="10"/>
        <v>0.86303270586734682</v>
      </c>
      <c r="B200">
        <f t="shared" si="11"/>
        <v>0.7978333641964892</v>
      </c>
      <c r="C200">
        <f t="shared" si="12"/>
        <v>1.2741274902188906</v>
      </c>
      <c r="D200">
        <f t="shared" si="13"/>
        <v>67630.539210503455</v>
      </c>
      <c r="E200">
        <f t="shared" si="14"/>
        <v>86169.929186429043</v>
      </c>
    </row>
    <row r="201" spans="1:5">
      <c r="A201">
        <f t="shared" si="10"/>
        <v>0.14580299618163872</v>
      </c>
      <c r="B201">
        <f t="shared" si="11"/>
        <v>0.49070960757379911</v>
      </c>
      <c r="C201">
        <f t="shared" si="12"/>
        <v>0.7446051039402003</v>
      </c>
      <c r="D201">
        <f t="shared" si="13"/>
        <v>65501.457660349231</v>
      </c>
      <c r="E201">
        <f t="shared" si="14"/>
        <v>48772.719689418969</v>
      </c>
    </row>
    <row r="202" spans="1:5">
      <c r="A202">
        <f t="shared" si="10"/>
        <v>0.93009355687396456</v>
      </c>
      <c r="B202">
        <f t="shared" si="11"/>
        <v>0.97763357268969642</v>
      </c>
      <c r="C202">
        <f t="shared" si="12"/>
        <v>1.40196110372516</v>
      </c>
      <c r="D202">
        <f t="shared" si="13"/>
        <v>70544.626289087697</v>
      </c>
      <c r="E202">
        <f t="shared" si="14"/>
        <v>98900.822134128321</v>
      </c>
    </row>
    <row r="203" spans="1:5">
      <c r="A203">
        <f t="shared" si="10"/>
        <v>0.21590438794432432</v>
      </c>
      <c r="B203">
        <f t="shared" si="11"/>
        <v>0.25860525954418168</v>
      </c>
      <c r="C203">
        <f t="shared" si="12"/>
        <v>0.79630336430386872</v>
      </c>
      <c r="D203">
        <f t="shared" si="13"/>
        <v>63950.685795352576</v>
      </c>
      <c r="E203">
        <f t="shared" si="14"/>
        <v>50924.146248378886</v>
      </c>
    </row>
    <row r="204" spans="1:5">
      <c r="A204">
        <f t="shared" si="10"/>
        <v>3.235489392717561E-3</v>
      </c>
      <c r="B204">
        <f t="shared" si="11"/>
        <v>0.33362466813725433</v>
      </c>
      <c r="C204">
        <f t="shared" si="12"/>
        <v>0.49067299698920513</v>
      </c>
      <c r="D204">
        <f t="shared" si="13"/>
        <v>64491.465284240789</v>
      </c>
      <c r="E204">
        <f t="shared" si="14"/>
        <v>31644.220551243707</v>
      </c>
    </row>
    <row r="205" spans="1:5">
      <c r="A205">
        <f t="shared" si="10"/>
        <v>0.29208686121914518</v>
      </c>
      <c r="B205">
        <f t="shared" si="11"/>
        <v>0.20269179846891472</v>
      </c>
      <c r="C205">
        <f t="shared" si="12"/>
        <v>0.84529076734487407</v>
      </c>
      <c r="D205">
        <f t="shared" si="13"/>
        <v>63492.694090807709</v>
      </c>
      <c r="E205">
        <f t="shared" si="14"/>
        <v>53669.788108812201</v>
      </c>
    </row>
    <row r="206" spans="1:5">
      <c r="A206">
        <f t="shared" si="10"/>
        <v>8.2458503423606277E-2</v>
      </c>
      <c r="B206">
        <f t="shared" si="11"/>
        <v>0.86580665053916306</v>
      </c>
      <c r="C206">
        <f t="shared" si="12"/>
        <v>0.68493540646506978</v>
      </c>
      <c r="D206">
        <f t="shared" si="13"/>
        <v>68308.306521761857</v>
      </c>
      <c r="E206">
        <f t="shared" si="14"/>
        <v>46786.777692423537</v>
      </c>
    </row>
    <row r="207" spans="1:5">
      <c r="A207">
        <f t="shared" si="10"/>
        <v>0.37435041600610108</v>
      </c>
      <c r="B207">
        <f t="shared" si="11"/>
        <v>0.32296922434799891</v>
      </c>
      <c r="C207">
        <f t="shared" si="12"/>
        <v>0.89463611125185505</v>
      </c>
      <c r="D207">
        <f t="shared" si="13"/>
        <v>64418.229649138295</v>
      </c>
      <c r="E207">
        <f t="shared" si="14"/>
        <v>57630.874467034038</v>
      </c>
    </row>
    <row r="208" spans="1:5">
      <c r="A208">
        <f t="shared" ref="A208:A271" si="15">IFERROR(MOD(MOD(($E$8+((ROW()-15)*(ROW()-14)/2)*13)*171,30269)/30269+MOD(($E$8+((ROW()-15)*(ROW()-14)/2)*29)*172,30307)/30307+MOD(($E$8+((ROW()-15)*(ROW()-14)/2)*47)*170,30323)/30323,1),0.5)</f>
        <v>0.16776259896662982</v>
      </c>
      <c r="B208">
        <f t="shared" ref="B208:B271" si="16">IFERROR(MOD(MOD(($E$8+((ROW()-15)*(ROW()-14)/2)*17)*171,30269)/30269+MOD(($E$8+((ROW()-15)*(ROW()-14)/2)*41)*172,30307)/30307+MOD(($E$8+((ROW()-15)*(ROW()-14)/2)*83)*170,30323)/30323,1),0.5)</f>
        <v>0.57417951989542249</v>
      </c>
      <c r="C208">
        <f t="shared" ref="C208:C271" si="17">IFERROR(EXP($E$4*NORMSINV(MIN(MAX(A208,0.000000001),0.999999999))-$E$4^2/2),1)</f>
        <v>0.76184578779453527</v>
      </c>
      <c r="D208">
        <f t="shared" ref="D208:D271" si="18">IFERROR($B$5+$E$5*NORMSINV(MIN(MAX(B208,0.000000001),0.999999999)),$B$5)</f>
        <v>66023.831549760696</v>
      </c>
      <c r="E208">
        <f t="shared" ref="E208:E271" si="19">IFERROR(C208*MAX(D208,0),0)</f>
        <v>50299.977960241129</v>
      </c>
    </row>
    <row r="209" spans="1:5">
      <c r="A209">
        <f t="shared" si="15"/>
        <v>0.46269505230519248</v>
      </c>
      <c r="B209">
        <f t="shared" si="16"/>
        <v>0.61943753718143379</v>
      </c>
      <c r="C209">
        <f t="shared" si="17"/>
        <v>0.94680550909691974</v>
      </c>
      <c r="D209">
        <f t="shared" si="18"/>
        <v>66314.380213375</v>
      </c>
      <c r="E209">
        <f t="shared" si="19"/>
        <v>62786.82051837122</v>
      </c>
    </row>
    <row r="210" spans="1:5">
      <c r="A210">
        <f t="shared" si="15"/>
        <v>0.25914777602178884</v>
      </c>
      <c r="B210">
        <f t="shared" si="16"/>
        <v>0.45874327620603284</v>
      </c>
      <c r="C210">
        <f t="shared" si="17"/>
        <v>0.82469327661798852</v>
      </c>
      <c r="D210">
        <f t="shared" si="18"/>
        <v>65301.984369630743</v>
      </c>
      <c r="E210">
        <f t="shared" si="19"/>
        <v>53854.107459447448</v>
      </c>
    </row>
    <row r="211" spans="1:5">
      <c r="A211">
        <f t="shared" si="15"/>
        <v>0.55712077011641936</v>
      </c>
      <c r="B211">
        <f t="shared" si="16"/>
        <v>9.2096736969219162E-2</v>
      </c>
      <c r="C211">
        <f t="shared" si="17"/>
        <v>1.0046792373859108</v>
      </c>
      <c r="D211">
        <f t="shared" si="18"/>
        <v>62260.970285475203</v>
      </c>
      <c r="E211">
        <f t="shared" si="19"/>
        <v>62552.304145318078</v>
      </c>
    </row>
    <row r="212" spans="1:5">
      <c r="A212">
        <f t="shared" si="15"/>
        <v>0.35661403458908336</v>
      </c>
      <c r="B212">
        <f t="shared" si="16"/>
        <v>0.51949791947099366</v>
      </c>
      <c r="C212">
        <f t="shared" si="17"/>
        <v>0.88414779487828887</v>
      </c>
      <c r="D212">
        <f t="shared" si="18"/>
        <v>65680.744205470983</v>
      </c>
      <c r="E212">
        <f t="shared" si="19"/>
        <v>58071.48515523212</v>
      </c>
    </row>
    <row r="213" spans="1:5">
      <c r="A213">
        <f t="shared" si="15"/>
        <v>0.65762756943978129</v>
      </c>
      <c r="B213">
        <f t="shared" si="16"/>
        <v>0.74094682371135567</v>
      </c>
      <c r="C213">
        <f t="shared" si="17"/>
        <v>1.0727755166420685</v>
      </c>
      <c r="D213">
        <f t="shared" si="18"/>
        <v>67164.484107738972</v>
      </c>
      <c r="E213">
        <f t="shared" si="19"/>
        <v>72052.414138677676</v>
      </c>
    </row>
    <row r="214" spans="1:5">
      <c r="A214">
        <f t="shared" si="15"/>
        <v>0.46016137466851292</v>
      </c>
      <c r="B214">
        <f t="shared" si="16"/>
        <v>0.75644344969030519</v>
      </c>
      <c r="C214">
        <f t="shared" si="17"/>
        <v>0.94529635799703637</v>
      </c>
      <c r="D214">
        <f t="shared" si="18"/>
        <v>67285.296301746377</v>
      </c>
      <c r="E214">
        <f t="shared" si="19"/>
        <v>63604.545540792307</v>
      </c>
    </row>
    <row r="215" spans="1:5">
      <c r="A215">
        <f t="shared" si="15"/>
        <v>0.76421545027527849</v>
      </c>
      <c r="B215">
        <f t="shared" si="16"/>
        <v>0.56598779740784255</v>
      </c>
      <c r="C215">
        <f t="shared" si="17"/>
        <v>1.1603620778682562</v>
      </c>
      <c r="D215">
        <f t="shared" si="18"/>
        <v>65972.028354228067</v>
      </c>
      <c r="E215">
        <f t="shared" si="19"/>
        <v>76551.439902295591</v>
      </c>
    </row>
    <row r="216" spans="1:5">
      <c r="A216">
        <f t="shared" si="15"/>
        <v>0.56978979626007797</v>
      </c>
      <c r="B216">
        <f t="shared" si="16"/>
        <v>0.16957986686396787</v>
      </c>
      <c r="C216">
        <f t="shared" si="17"/>
        <v>1.0127908692114347</v>
      </c>
      <c r="D216">
        <f t="shared" si="18"/>
        <v>63185.248040207349</v>
      </c>
      <c r="E216">
        <f t="shared" si="19"/>
        <v>63993.442283981698</v>
      </c>
    </row>
    <row r="217" spans="1:5">
      <c r="A217">
        <f t="shared" si="15"/>
        <v>0.87688441262291139</v>
      </c>
      <c r="B217">
        <f t="shared" si="16"/>
        <v>0.56721965805868058</v>
      </c>
      <c r="C217">
        <f t="shared" si="17"/>
        <v>1.2951649328361776</v>
      </c>
      <c r="D217">
        <f t="shared" si="18"/>
        <v>65979.806441128647</v>
      </c>
      <c r="E217">
        <f t="shared" si="19"/>
        <v>85454.731577868384</v>
      </c>
    </row>
    <row r="218" spans="1:5">
      <c r="A218">
        <f t="shared" si="15"/>
        <v>0.68549929936377829</v>
      </c>
      <c r="B218">
        <f t="shared" si="16"/>
        <v>0.7589071709919808</v>
      </c>
      <c r="C218">
        <f t="shared" si="17"/>
        <v>1.0936636596096758</v>
      </c>
      <c r="D218">
        <f t="shared" si="18"/>
        <v>67304.877827586941</v>
      </c>
      <c r="E218">
        <f t="shared" si="19"/>
        <v>73608.898994500865</v>
      </c>
    </row>
    <row r="219" spans="1:5">
      <c r="A219">
        <f t="shared" si="15"/>
        <v>0.99563445648267912</v>
      </c>
      <c r="B219">
        <f t="shared" si="16"/>
        <v>0.74464240566386897</v>
      </c>
      <c r="C219">
        <f t="shared" si="17"/>
        <v>1.8670356658670377</v>
      </c>
      <c r="D219">
        <f t="shared" si="18"/>
        <v>67192.94148224892</v>
      </c>
      <c r="E219">
        <f t="shared" si="19"/>
        <v>125451.61824187552</v>
      </c>
    </row>
    <row r="220" spans="1:5">
      <c r="A220">
        <f t="shared" si="15"/>
        <v>0.80728988397961388</v>
      </c>
      <c r="B220">
        <f t="shared" si="16"/>
        <v>0.52442536207434487</v>
      </c>
      <c r="C220">
        <f t="shared" si="17"/>
        <v>1.2041069510615308</v>
      </c>
      <c r="D220">
        <f t="shared" si="18"/>
        <v>65711.468698961748</v>
      </c>
      <c r="E220">
        <f t="shared" si="19"/>
        <v>79123.636224882037</v>
      </c>
    </row>
    <row r="221" spans="1:5">
      <c r="A221">
        <f t="shared" si="15"/>
        <v>0.12046558185458256</v>
      </c>
      <c r="B221">
        <f t="shared" si="16"/>
        <v>9.8256040223408281E-2</v>
      </c>
      <c r="C221">
        <f t="shared" si="17"/>
        <v>0.72294969881358184</v>
      </c>
      <c r="D221">
        <f t="shared" si="18"/>
        <v>62351.38144019818</v>
      </c>
      <c r="E221">
        <f t="shared" si="19"/>
        <v>45076.912432802033</v>
      </c>
    </row>
    <row r="222" spans="1:5">
      <c r="A222">
        <f t="shared" si="15"/>
        <v>0.93516155010758495</v>
      </c>
      <c r="B222">
        <f t="shared" si="16"/>
        <v>0.46613444011105942</v>
      </c>
      <c r="C222">
        <f t="shared" si="17"/>
        <v>1.4156578122880363</v>
      </c>
      <c r="D222">
        <f t="shared" si="18"/>
        <v>65348.206662645163</v>
      </c>
      <c r="E222">
        <f t="shared" si="19"/>
        <v>92510.699280986737</v>
      </c>
    </row>
    <row r="223" spans="1:5">
      <c r="A223">
        <f t="shared" si="15"/>
        <v>0.25137778873862104</v>
      </c>
      <c r="B223">
        <f t="shared" si="16"/>
        <v>0.62806056173729852</v>
      </c>
      <c r="C223">
        <f t="shared" si="17"/>
        <v>0.81972194541303689</v>
      </c>
      <c r="D223">
        <f t="shared" si="18"/>
        <v>66370.804455237187</v>
      </c>
      <c r="E223">
        <f t="shared" si="19"/>
        <v>54405.604946675281</v>
      </c>
    </row>
    <row r="224" spans="1:5">
      <c r="A224">
        <f t="shared" si="15"/>
        <v>6.9114297747691067E-2</v>
      </c>
      <c r="B224">
        <f t="shared" si="16"/>
        <v>0.58403440510212468</v>
      </c>
      <c r="C224">
        <f t="shared" si="17"/>
        <v>0.66907776745167569</v>
      </c>
      <c r="D224">
        <f t="shared" si="18"/>
        <v>66086.423375852275</v>
      </c>
      <c r="E224">
        <f t="shared" si="19"/>
        <v>44216.956611181471</v>
      </c>
    </row>
    <row r="225" spans="1:5">
      <c r="A225">
        <f t="shared" si="15"/>
        <v>0.3883710771347948</v>
      </c>
      <c r="B225">
        <f t="shared" si="16"/>
        <v>0.33405597020553923</v>
      </c>
      <c r="C225">
        <f t="shared" si="17"/>
        <v>0.9029015341246861</v>
      </c>
      <c r="D225">
        <f t="shared" si="18"/>
        <v>64494.409769296355</v>
      </c>
      <c r="E225">
        <f t="shared" si="19"/>
        <v>58232.101523163823</v>
      </c>
    </row>
    <row r="226" spans="1:5">
      <c r="A226">
        <f t="shared" si="15"/>
        <v>0.20914812689993267</v>
      </c>
      <c r="B226">
        <f t="shared" si="16"/>
        <v>0.8781252570475413</v>
      </c>
      <c r="C226">
        <f t="shared" si="17"/>
        <v>0.79168226227130745</v>
      </c>
      <c r="D226">
        <f t="shared" si="18"/>
        <v>68454.552529998371</v>
      </c>
      <c r="E226">
        <f t="shared" si="19"/>
        <v>54194.255009719163</v>
      </c>
    </row>
    <row r="227" spans="1:5">
      <c r="A227">
        <f t="shared" si="15"/>
        <v>0.53144544704310426</v>
      </c>
      <c r="B227">
        <f t="shared" si="16"/>
        <v>0.21624226562813065</v>
      </c>
      <c r="C227">
        <f t="shared" si="17"/>
        <v>0.98854210833429368</v>
      </c>
      <c r="D227">
        <f t="shared" si="18"/>
        <v>63609.674074942879</v>
      </c>
      <c r="E227">
        <f t="shared" si="19"/>
        <v>62880.841320501298</v>
      </c>
    </row>
    <row r="228" spans="1:5">
      <c r="A228">
        <f t="shared" si="15"/>
        <v>0.35526303756430955</v>
      </c>
      <c r="B228">
        <f t="shared" si="16"/>
        <v>0.34840699594730795</v>
      </c>
      <c r="C228">
        <f t="shared" si="17"/>
        <v>0.88334679286255069</v>
      </c>
      <c r="D228">
        <f t="shared" si="18"/>
        <v>64591.564672125387</v>
      </c>
      <c r="E228">
        <f t="shared" si="19"/>
        <v>57056.75149909599</v>
      </c>
    </row>
    <row r="229" spans="1:5">
      <c r="A229">
        <f t="shared" si="15"/>
        <v>0.68060089846354854</v>
      </c>
      <c r="B229">
        <f t="shared" si="16"/>
        <v>0.27461944800507299</v>
      </c>
      <c r="C229">
        <f t="shared" si="17"/>
        <v>1.0899098032158916</v>
      </c>
      <c r="D229">
        <f t="shared" si="18"/>
        <v>64071.770352466156</v>
      </c>
      <c r="E229">
        <f t="shared" si="19"/>
        <v>69832.450616550181</v>
      </c>
    </row>
    <row r="230" spans="1:5">
      <c r="A230">
        <f t="shared" si="15"/>
        <v>0.50745902974082169</v>
      </c>
      <c r="B230">
        <f t="shared" si="16"/>
        <v>0.99487962180142553</v>
      </c>
      <c r="C230">
        <f t="shared" si="17"/>
        <v>0.97377454648179806</v>
      </c>
      <c r="D230">
        <f t="shared" si="18"/>
        <v>71936.617212353216</v>
      </c>
      <c r="E230">
        <f t="shared" si="19"/>
        <v>70050.046801393968</v>
      </c>
    </row>
    <row r="231" spans="1:5">
      <c r="A231">
        <f t="shared" si="15"/>
        <v>0.83583743139612854</v>
      </c>
      <c r="B231">
        <f t="shared" si="16"/>
        <v>0.50918751733636602</v>
      </c>
      <c r="C231">
        <f t="shared" si="17"/>
        <v>1.2375371710302561</v>
      </c>
      <c r="D231">
        <f t="shared" si="18"/>
        <v>65616.509434605585</v>
      </c>
      <c r="E231">
        <f t="shared" si="19"/>
        <v>81202.869458581903</v>
      </c>
    </row>
    <row r="232" spans="1:5">
      <c r="A232">
        <f t="shared" si="15"/>
        <v>0.66573610342946932</v>
      </c>
      <c r="B232">
        <f t="shared" si="16"/>
        <v>0.81754313460989403</v>
      </c>
      <c r="C232">
        <f t="shared" si="17"/>
        <v>1.0787385507564804</v>
      </c>
      <c r="D232">
        <f t="shared" si="18"/>
        <v>67809.705058369393</v>
      </c>
      <c r="E232">
        <f t="shared" si="19"/>
        <v>73148.94296188977</v>
      </c>
    </row>
    <row r="233" spans="1:5">
      <c r="A233">
        <f t="shared" si="15"/>
        <v>0.9971550458408438</v>
      </c>
      <c r="B233">
        <f t="shared" si="16"/>
        <v>0.91994647362200999</v>
      </c>
      <c r="C233">
        <f t="shared" si="17"/>
        <v>1.9348580763190388</v>
      </c>
      <c r="D233">
        <f t="shared" si="18"/>
        <v>69048.287140649525</v>
      </c>
      <c r="E233">
        <f t="shared" si="19"/>
        <v>133598.63603008178</v>
      </c>
    </row>
    <row r="234" spans="1:5">
      <c r="A234">
        <f t="shared" si="15"/>
        <v>0.8300942586302521</v>
      </c>
      <c r="B234">
        <f t="shared" si="16"/>
        <v>0.81639753437271323</v>
      </c>
      <c r="C234">
        <f t="shared" si="17"/>
        <v>1.2304555308104987</v>
      </c>
      <c r="D234">
        <f t="shared" si="18"/>
        <v>67798.973951860404</v>
      </c>
      <c r="E234">
        <f t="shared" si="19"/>
        <v>83423.622482343577</v>
      </c>
    </row>
    <row r="235" spans="1:5">
      <c r="A235">
        <f t="shared" si="15"/>
        <v>0.16455374179769411</v>
      </c>
      <c r="B235">
        <f t="shared" si="16"/>
        <v>0.5068963168620042</v>
      </c>
      <c r="C235">
        <f t="shared" si="17"/>
        <v>0.7593987339933963</v>
      </c>
      <c r="D235">
        <f t="shared" si="18"/>
        <v>65602.241747164764</v>
      </c>
      <c r="E235">
        <f t="shared" si="19"/>
        <v>49818.259329925655</v>
      </c>
    </row>
    <row r="236" spans="1:5">
      <c r="A236">
        <f t="shared" si="15"/>
        <v>5.3349534316993186E-4</v>
      </c>
      <c r="B236">
        <f t="shared" si="16"/>
        <v>0.99144282108988291</v>
      </c>
      <c r="C236">
        <f t="shared" si="17"/>
        <v>0.42770998084146689</v>
      </c>
      <c r="D236">
        <f t="shared" si="18"/>
        <v>71481.216487285506</v>
      </c>
      <c r="E236">
        <f t="shared" si="19"/>
        <v>30573.229734301633</v>
      </c>
    </row>
    <row r="237" spans="1:5">
      <c r="A237">
        <f t="shared" si="15"/>
        <v>0.33803351926668013</v>
      </c>
      <c r="B237">
        <f t="shared" si="16"/>
        <v>0.27003704705634957</v>
      </c>
      <c r="C237">
        <f t="shared" si="17"/>
        <v>0.87309666981990275</v>
      </c>
      <c r="D237">
        <f t="shared" si="18"/>
        <v>64037.494455287837</v>
      </c>
      <c r="E237">
        <f t="shared" si="19"/>
        <v>55910.9231525223</v>
      </c>
    </row>
    <row r="238" spans="1:5">
      <c r="A238">
        <f t="shared" si="15"/>
        <v>0.17705381356822381</v>
      </c>
      <c r="B238">
        <f t="shared" si="16"/>
        <v>0.34267899476140373</v>
      </c>
      <c r="C238">
        <f t="shared" si="17"/>
        <v>0.76880892148547886</v>
      </c>
      <c r="D238">
        <f t="shared" si="18"/>
        <v>64552.972368514085</v>
      </c>
      <c r="E238">
        <f t="shared" si="19"/>
        <v>49628.901065319231</v>
      </c>
    </row>
    <row r="239" spans="1:5">
      <c r="A239">
        <f t="shared" si="15"/>
        <v>0.51759437824780119</v>
      </c>
      <c r="B239">
        <f t="shared" si="16"/>
        <v>0.2093686642050456</v>
      </c>
      <c r="C239">
        <f t="shared" si="17"/>
        <v>0.97998228711341062</v>
      </c>
      <c r="D239">
        <f t="shared" si="18"/>
        <v>63550.891634995212</v>
      </c>
      <c r="E239">
        <f t="shared" si="19"/>
        <v>62278.748132559122</v>
      </c>
    </row>
    <row r="240" spans="1:5">
      <c r="A240">
        <f t="shared" si="15"/>
        <v>0.3596552133054125</v>
      </c>
      <c r="B240">
        <f t="shared" si="16"/>
        <v>0.87010605538727526</v>
      </c>
      <c r="C240">
        <f t="shared" si="17"/>
        <v>0.88594966960447152</v>
      </c>
      <c r="D240">
        <f t="shared" si="18"/>
        <v>68358.248107026899</v>
      </c>
      <c r="E240">
        <f t="shared" si="19"/>
        <v>60561.967325160971</v>
      </c>
    </row>
    <row r="241" spans="1:5">
      <c r="A241">
        <f t="shared" si="15"/>
        <v>0.70323631874105752</v>
      </c>
      <c r="B241">
        <f t="shared" si="16"/>
        <v>0.32489116830809239</v>
      </c>
      <c r="C241">
        <f t="shared" si="17"/>
        <v>1.1075859828724088</v>
      </c>
      <c r="D241">
        <f t="shared" si="18"/>
        <v>64431.51098688379</v>
      </c>
      <c r="E241">
        <f t="shared" si="19"/>
        <v>71363.438424362088</v>
      </c>
    </row>
    <row r="242" spans="1:5">
      <c r="A242">
        <f t="shared" si="15"/>
        <v>0.54833769455473647</v>
      </c>
      <c r="B242">
        <f t="shared" si="16"/>
        <v>0.57372400296749726</v>
      </c>
      <c r="C242">
        <f t="shared" si="17"/>
        <v>0.99911604890584227</v>
      </c>
      <c r="D242">
        <f t="shared" si="18"/>
        <v>66020.94582741562</v>
      </c>
      <c r="E242">
        <f t="shared" si="19"/>
        <v>65962.586540114149</v>
      </c>
    </row>
    <row r="243" spans="1:5">
      <c r="A243">
        <f t="shared" si="15"/>
        <v>0.89495934074644934</v>
      </c>
      <c r="B243">
        <f t="shared" si="16"/>
        <v>0.61660455936548986</v>
      </c>
      <c r="C243">
        <f t="shared" si="17"/>
        <v>1.3258920343183938</v>
      </c>
      <c r="D243">
        <f t="shared" si="18"/>
        <v>66295.928923877582</v>
      </c>
      <c r="E243">
        <f t="shared" si="19"/>
        <v>87901.244067907683</v>
      </c>
    </row>
    <row r="244" spans="1:5">
      <c r="A244">
        <f t="shared" si="15"/>
        <v>0.7431012573161957</v>
      </c>
      <c r="B244">
        <f t="shared" si="16"/>
        <v>0.45353283750207019</v>
      </c>
      <c r="C244">
        <f t="shared" si="17"/>
        <v>1.1410900854647166</v>
      </c>
      <c r="D244">
        <f t="shared" si="18"/>
        <v>65269.347037147054</v>
      </c>
      <c r="E244">
        <f t="shared" si="19"/>
        <v>74478.204788844378</v>
      </c>
    </row>
    <row r="245" spans="1:5">
      <c r="A245">
        <f t="shared" si="15"/>
        <v>9.2763444263976425E-2</v>
      </c>
      <c r="B245">
        <f t="shared" si="16"/>
        <v>8.4508837377238244E-2</v>
      </c>
      <c r="C245">
        <f t="shared" si="17"/>
        <v>0.6961208126662729</v>
      </c>
      <c r="D245">
        <f t="shared" si="18"/>
        <v>62143.205770042754</v>
      </c>
      <c r="E245">
        <f t="shared" si="19"/>
        <v>43259.178902329579</v>
      </c>
    </row>
    <row r="246" spans="1:5">
      <c r="A246">
        <f t="shared" si="15"/>
        <v>0.94394590158979041</v>
      </c>
      <c r="B246">
        <f t="shared" si="16"/>
        <v>0.50953255899099403</v>
      </c>
      <c r="C246">
        <f t="shared" si="17"/>
        <v>1.4418789272756123</v>
      </c>
      <c r="D246">
        <f t="shared" si="18"/>
        <v>65618.658218527969</v>
      </c>
      <c r="E246">
        <f t="shared" si="19"/>
        <v>94614.160521396145</v>
      </c>
    </row>
    <row r="247" spans="1:5">
      <c r="A247">
        <f t="shared" si="15"/>
        <v>0.29664862929363833</v>
      </c>
      <c r="B247">
        <f t="shared" si="16"/>
        <v>0.72860400234333733</v>
      </c>
      <c r="C247">
        <f t="shared" si="17"/>
        <v>0.84809213532001471</v>
      </c>
      <c r="D247">
        <f t="shared" si="18"/>
        <v>67070.918518952662</v>
      </c>
      <c r="E247">
        <f t="shared" si="19"/>
        <v>56882.318504613278</v>
      </c>
    </row>
    <row r="248" spans="1:5">
      <c r="A248">
        <f t="shared" si="15"/>
        <v>0.1508716273755204</v>
      </c>
      <c r="B248">
        <f t="shared" si="16"/>
        <v>0.74172316743426814</v>
      </c>
      <c r="C248">
        <f t="shared" si="17"/>
        <v>0.74869351950107643</v>
      </c>
      <c r="D248">
        <f t="shared" si="18"/>
        <v>67170.44466453488</v>
      </c>
      <c r="E248">
        <f t="shared" si="19"/>
        <v>50290.076622342924</v>
      </c>
    </row>
    <row r="249" spans="1:5">
      <c r="A249">
        <f t="shared" si="15"/>
        <v>0.50661489583543617</v>
      </c>
      <c r="B249">
        <f t="shared" si="16"/>
        <v>0.5488900542637869</v>
      </c>
      <c r="C249">
        <f t="shared" si="17"/>
        <v>0.97325949282357105</v>
      </c>
      <c r="D249">
        <f t="shared" si="18"/>
        <v>65864.454042471159</v>
      </c>
      <c r="E249">
        <f t="shared" si="19"/>
        <v>64103.205136476885</v>
      </c>
    </row>
    <row r="250" spans="1:5">
      <c r="A250">
        <f t="shared" si="15"/>
        <v>0.36387843467338588</v>
      </c>
      <c r="B250">
        <f t="shared" si="16"/>
        <v>0.15010466283189317</v>
      </c>
      <c r="C250">
        <f t="shared" si="17"/>
        <v>0.88844926509785471</v>
      </c>
      <c r="D250">
        <f t="shared" si="18"/>
        <v>62986.154399218693</v>
      </c>
      <c r="E250">
        <f t="shared" si="19"/>
        <v>55960.002587325856</v>
      </c>
    </row>
    <row r="251" spans="1:5">
      <c r="A251">
        <f t="shared" si="15"/>
        <v>0.72266224388936928</v>
      </c>
      <c r="B251">
        <f t="shared" si="16"/>
        <v>0.54536699313858739</v>
      </c>
      <c r="C251">
        <f t="shared" si="17"/>
        <v>1.1234924996339097</v>
      </c>
      <c r="D251">
        <f t="shared" si="18"/>
        <v>65842.36545751903</v>
      </c>
      <c r="E251">
        <f t="shared" si="19"/>
        <v>73973.403749677454</v>
      </c>
    </row>
    <row r="252" spans="1:5">
      <c r="A252">
        <f t="shared" si="15"/>
        <v>0.58296632348338639</v>
      </c>
      <c r="B252">
        <f t="shared" si="16"/>
        <v>0.73467704518386912</v>
      </c>
      <c r="C252">
        <f t="shared" si="17"/>
        <v>1.0213466316944313</v>
      </c>
      <c r="D252">
        <f t="shared" si="18"/>
        <v>67116.679371605074</v>
      </c>
      <c r="E252">
        <f t="shared" si="19"/>
        <v>68549.394406703956</v>
      </c>
    </row>
    <row r="253" spans="1:5">
      <c r="A253">
        <f t="shared" si="15"/>
        <v>0.94479067345543744</v>
      </c>
      <c r="B253">
        <f t="shared" si="16"/>
        <v>0.71803481896773869</v>
      </c>
      <c r="C253">
        <f t="shared" si="17"/>
        <v>1.4445943553417526</v>
      </c>
      <c r="D253">
        <f t="shared" si="18"/>
        <v>66992.473717325091</v>
      </c>
      <c r="E253">
        <f t="shared" si="19"/>
        <v>96776.949382428546</v>
      </c>
    </row>
    <row r="254" spans="1:5">
      <c r="A254">
        <f t="shared" si="15"/>
        <v>0.8081352938055224</v>
      </c>
      <c r="B254">
        <f t="shared" si="16"/>
        <v>0.49544031449019599</v>
      </c>
      <c r="C254">
        <f t="shared" si="17"/>
        <v>1.2050382728103535</v>
      </c>
      <c r="D254">
        <f t="shared" si="18"/>
        <v>65530.915146057931</v>
      </c>
      <c r="E254">
        <f t="shared" si="19"/>
        <v>78967.260803287485</v>
      </c>
    </row>
    <row r="255" spans="1:5">
      <c r="A255">
        <f t="shared" si="15"/>
        <v>0.17300018453364108</v>
      </c>
      <c r="B255">
        <f t="shared" si="16"/>
        <v>6.6893531751240687E-2</v>
      </c>
      <c r="C255">
        <f t="shared" si="17"/>
        <v>0.76579260016367778</v>
      </c>
      <c r="D255">
        <f t="shared" si="18"/>
        <v>61835.300721739775</v>
      </c>
      <c r="E255">
        <f t="shared" si="19"/>
        <v>47353.015721604046</v>
      </c>
    </row>
    <row r="256" spans="1:5">
      <c r="A256">
        <f t="shared" si="15"/>
        <v>3.9385345639793456E-2</v>
      </c>
      <c r="B256">
        <f t="shared" si="16"/>
        <v>0.43239447075087312</v>
      </c>
      <c r="C256">
        <f t="shared" si="17"/>
        <v>0.62455496238366015</v>
      </c>
      <c r="D256">
        <f t="shared" si="18"/>
        <v>65136.364042210604</v>
      </c>
      <c r="E256">
        <f t="shared" si="19"/>
        <v>40681.239394191238</v>
      </c>
    </row>
    <row r="257" spans="1:5">
      <c r="A257">
        <f t="shared" si="15"/>
        <v>0.40729077712397999</v>
      </c>
      <c r="B257">
        <f t="shared" si="16"/>
        <v>0.5919431314890935</v>
      </c>
      <c r="C257">
        <f t="shared" si="17"/>
        <v>0.91404093599176028</v>
      </c>
      <c r="D257">
        <f t="shared" si="18"/>
        <v>66136.895829804096</v>
      </c>
      <c r="E257">
        <f t="shared" si="19"/>
        <v>60451.830167863685</v>
      </c>
    </row>
    <row r="258" spans="1:5">
      <c r="A258">
        <f t="shared" si="15"/>
        <v>0.2767164789862</v>
      </c>
      <c r="B258">
        <f t="shared" si="16"/>
        <v>0.54553951396590139</v>
      </c>
      <c r="C258">
        <f t="shared" si="17"/>
        <v>0.83576655433241209</v>
      </c>
      <c r="D258">
        <f t="shared" si="18"/>
        <v>65843.446578386327</v>
      </c>
      <c r="E258">
        <f t="shared" si="19"/>
        <v>55029.750472188192</v>
      </c>
    </row>
    <row r="259" spans="1:5">
      <c r="A259">
        <f t="shared" si="15"/>
        <v>0.64766245122645438</v>
      </c>
      <c r="B259">
        <f t="shared" si="16"/>
        <v>0.29318361818129679</v>
      </c>
      <c r="C259">
        <f t="shared" si="17"/>
        <v>1.0655640654921659</v>
      </c>
      <c r="D259">
        <f t="shared" si="18"/>
        <v>64207.8639911516</v>
      </c>
      <c r="E259">
        <f t="shared" si="19"/>
        <v>68417.592590979548</v>
      </c>
    </row>
    <row r="260" spans="1:5">
      <c r="A260">
        <f t="shared" si="15"/>
        <v>0.52012869384474203</v>
      </c>
      <c r="B260">
        <f t="shared" si="16"/>
        <v>0.83487544413528036</v>
      </c>
      <c r="C260">
        <f t="shared" si="17"/>
        <v>0.98154162648166576</v>
      </c>
      <c r="D260">
        <f t="shared" si="18"/>
        <v>67977.534606477348</v>
      </c>
      <c r="E260">
        <f t="shared" si="19"/>
        <v>66722.779881855502</v>
      </c>
    </row>
    <row r="261" spans="1:5">
      <c r="A261">
        <f t="shared" si="15"/>
        <v>0.89411520684106383</v>
      </c>
      <c r="B261">
        <f t="shared" si="16"/>
        <v>0.17061499182785123</v>
      </c>
      <c r="C261">
        <f t="shared" si="17"/>
        <v>1.3243590103422893</v>
      </c>
      <c r="D261">
        <f t="shared" si="18"/>
        <v>63195.404291825369</v>
      </c>
      <c r="E261">
        <f t="shared" si="19"/>
        <v>83693.403086102713</v>
      </c>
    </row>
    <row r="262" spans="1:5">
      <c r="A262">
        <f t="shared" si="15"/>
        <v>0.76962199021541911</v>
      </c>
      <c r="B262">
        <f t="shared" si="16"/>
        <v>0.30040226125900982</v>
      </c>
      <c r="C262">
        <f t="shared" si="17"/>
        <v>1.1655005270117524</v>
      </c>
      <c r="D262">
        <f t="shared" si="18"/>
        <v>64259.685320563942</v>
      </c>
      <c r="E262">
        <f t="shared" si="19"/>
        <v>74894.697106726642</v>
      </c>
    </row>
    <row r="263" spans="1:5">
      <c r="A263">
        <f t="shared" si="15"/>
        <v>0.14664904396780853</v>
      </c>
      <c r="B263">
        <f t="shared" si="16"/>
        <v>0.22423725242875614</v>
      </c>
      <c r="C263">
        <f t="shared" si="17"/>
        <v>0.74529251428867527</v>
      </c>
      <c r="D263">
        <f t="shared" si="18"/>
        <v>63676.702344068159</v>
      </c>
      <c r="E263">
        <f t="shared" si="19"/>
        <v>47457.769591622142</v>
      </c>
    </row>
    <row r="264" spans="1:5">
      <c r="A264">
        <f t="shared" si="15"/>
        <v>2.519636809823167E-2</v>
      </c>
      <c r="B264">
        <f t="shared" si="16"/>
        <v>0.9421199653370903</v>
      </c>
      <c r="C264">
        <f t="shared" si="17"/>
        <v>0.5942805411793749</v>
      </c>
      <c r="D264">
        <f t="shared" si="18"/>
        <v>69465.834701146945</v>
      </c>
      <c r="E264">
        <f t="shared" si="19"/>
        <v>41282.193839674605</v>
      </c>
    </row>
    <row r="265" spans="1:5">
      <c r="A265">
        <f t="shared" si="15"/>
        <v>0.40526396260668862</v>
      </c>
      <c r="B265">
        <f t="shared" si="16"/>
        <v>0.45405039998401175</v>
      </c>
      <c r="C265">
        <f t="shared" si="17"/>
        <v>0.91284767073550499</v>
      </c>
      <c r="D265">
        <f t="shared" si="18"/>
        <v>65272.591111563561</v>
      </c>
      <c r="E265">
        <f t="shared" si="19"/>
        <v>59583.93275906182</v>
      </c>
    </row>
    <row r="266" spans="1:5">
      <c r="A266">
        <f t="shared" si="15"/>
        <v>0.2868518274931795</v>
      </c>
      <c r="B266">
        <f t="shared" si="16"/>
        <v>0.76002855636952127</v>
      </c>
      <c r="C266">
        <f t="shared" si="17"/>
        <v>0.84206225114464239</v>
      </c>
      <c r="D266">
        <f t="shared" si="18"/>
        <v>67313.826522105795</v>
      </c>
      <c r="E266">
        <f t="shared" si="19"/>
        <v>56682.432294364342</v>
      </c>
    </row>
    <row r="267" spans="1:5">
      <c r="A267">
        <f t="shared" si="15"/>
        <v>0.6699599627577042</v>
      </c>
      <c r="B267">
        <f t="shared" si="16"/>
        <v>0.86005443449361829</v>
      </c>
      <c r="C267">
        <f t="shared" si="17"/>
        <v>1.0818804163854183</v>
      </c>
      <c r="D267">
        <f t="shared" si="18"/>
        <v>68243.178258265936</v>
      </c>
      <c r="E267">
        <f t="shared" si="19"/>
        <v>73830.958109517072</v>
      </c>
    </row>
    <row r="268" spans="1:5">
      <c r="A268">
        <f t="shared" si="15"/>
        <v>0.5545883684002626</v>
      </c>
      <c r="B268">
        <f t="shared" si="16"/>
        <v>0.75412803435630327</v>
      </c>
      <c r="C268">
        <f t="shared" si="17"/>
        <v>1.0030703438366084</v>
      </c>
      <c r="D268">
        <f t="shared" si="18"/>
        <v>67266.990801239735</v>
      </c>
      <c r="E268">
        <f t="shared" si="19"/>
        <v>67473.523591853518</v>
      </c>
    </row>
    <row r="269" spans="1:5">
      <c r="A269">
        <f t="shared" si="15"/>
        <v>0.94073704442085493</v>
      </c>
      <c r="B269">
        <f t="shared" si="16"/>
        <v>0.44224935595757575</v>
      </c>
      <c r="C269">
        <f t="shared" si="17"/>
        <v>1.4318935240365991</v>
      </c>
      <c r="D269">
        <f t="shared" si="18"/>
        <v>65198.489513056906</v>
      </c>
      <c r="E269">
        <f t="shared" si="19"/>
        <v>93357.294910714307</v>
      </c>
    </row>
    <row r="270" spans="1:5">
      <c r="A270">
        <f t="shared" si="15"/>
        <v>0.82840599081948119</v>
      </c>
      <c r="B270">
        <f t="shared" si="16"/>
        <v>0.92441839929743586</v>
      </c>
      <c r="C270">
        <f t="shared" si="17"/>
        <v>1.2284107268967988</v>
      </c>
      <c r="D270">
        <f t="shared" si="18"/>
        <v>69124.596839904872</v>
      </c>
      <c r="E270">
        <f t="shared" si="19"/>
        <v>84913.396250555699</v>
      </c>
    </row>
    <row r="271" spans="1:5">
      <c r="A271">
        <f t="shared" si="15"/>
        <v>0.21759520759614093</v>
      </c>
      <c r="B271">
        <f t="shared" si="16"/>
        <v>0.20063516437588369</v>
      </c>
      <c r="C271">
        <f t="shared" si="17"/>
        <v>0.79745078919971668</v>
      </c>
      <c r="D271">
        <f t="shared" si="18"/>
        <v>63474.538377072779</v>
      </c>
      <c r="E271">
        <f t="shared" si="19"/>
        <v>50617.820722884389</v>
      </c>
    </row>
    <row r="272" spans="1:5">
      <c r="A272">
        <f t="shared" ref="A272:A335" si="20">IFERROR(MOD(MOD(($E$8+((ROW()-15)*(ROW()-14)/2)*13)*171,30269)/30269+MOD(($E$8+((ROW()-15)*(ROW()-14)/2)*29)*172,30307)/30307+MOD(($E$8+((ROW()-15)*(ROW()-14)/2)*47)*170,30323)/30323,1),0.5)</f>
        <v>0.1083046947508346</v>
      </c>
      <c r="B272">
        <f t="shared" ref="B272:B335" si="21">IFERROR(MOD(MOD(($E$8+((ROW()-15)*(ROW()-14)/2)*17)*171,30269)/30269+MOD(($E$8+((ROW()-15)*(ROW()-14)/2)*41)*172,30307)/30307+MOD(($E$8+((ROW()-15)*(ROW()-14)/2)*83)*170,30323)/30323,1),0.5)</f>
        <v>0.27089965119291914</v>
      </c>
      <c r="C272">
        <f t="shared" ref="C272:C335" si="22">IFERROR(EXP($E$4*NORMSINV(MIN(MAX(A272,0.000000001),0.999999999))-$E$4^2/2),1)</f>
        <v>0.71166457215832069</v>
      </c>
      <c r="D272">
        <f t="shared" ref="D272:D335" si="23">IFERROR($B$5+$E$5*NORMSINV(MIN(MAX(B272,0.000000001),0.999999999)),$B$5)</f>
        <v>64043.968630392563</v>
      </c>
      <c r="E272">
        <f t="shared" ref="E272:E335" si="24">IFERROR(C272*MAX(D272,0),0)</f>
        <v>45577.823534669231</v>
      </c>
    </row>
    <row r="273" spans="1:5">
      <c r="A273">
        <f t="shared" si="20"/>
        <v>0.50053445228356219</v>
      </c>
      <c r="B273">
        <f t="shared" si="21"/>
        <v>0.13521185974854255</v>
      </c>
      <c r="C273">
        <f t="shared" si="22"/>
        <v>0.96955790288762789</v>
      </c>
      <c r="D273">
        <f t="shared" si="23"/>
        <v>62821.970372421114</v>
      </c>
      <c r="E273">
        <f t="shared" si="24"/>
        <v>60909.537849553308</v>
      </c>
    </row>
    <row r="274" spans="1:5">
      <c r="A274">
        <f t="shared" si="20"/>
        <v>0.39428448019432372</v>
      </c>
      <c r="B274">
        <f t="shared" si="21"/>
        <v>0.79357179004275324</v>
      </c>
      <c r="C274">
        <f t="shared" si="22"/>
        <v>0.90638389326691871</v>
      </c>
      <c r="D274">
        <f t="shared" si="23"/>
        <v>67593.208342030237</v>
      </c>
      <c r="E274">
        <f t="shared" si="24"/>
        <v>61265.395335451336</v>
      </c>
    </row>
    <row r="275" spans="1:5">
      <c r="A275">
        <f t="shared" si="20"/>
        <v>0.78955477848311895</v>
      </c>
      <c r="B275">
        <f t="shared" si="21"/>
        <v>0.24597944207555189</v>
      </c>
      <c r="C275">
        <f t="shared" si="22"/>
        <v>1.1852685162078045</v>
      </c>
      <c r="D275">
        <f t="shared" si="23"/>
        <v>63852.464399241595</v>
      </c>
      <c r="E275">
        <f t="shared" si="24"/>
        <v>75682.315734700751</v>
      </c>
    </row>
    <row r="276" spans="1:5">
      <c r="A276">
        <f t="shared" si="20"/>
        <v>0.6863453471499481</v>
      </c>
      <c r="B276">
        <f t="shared" si="21"/>
        <v>0.49243481584693827</v>
      </c>
      <c r="C276">
        <f t="shared" si="22"/>
        <v>1.09431585027156</v>
      </c>
      <c r="D276">
        <f t="shared" si="23"/>
        <v>65512.201028120624</v>
      </c>
      <c r="E276">
        <f t="shared" si="24"/>
        <v>71691.039971249193</v>
      </c>
    </row>
    <row r="277" spans="1:5">
      <c r="A277">
        <f t="shared" si="20"/>
        <v>8.4656186194811189E-2</v>
      </c>
      <c r="B277">
        <f t="shared" si="21"/>
        <v>0.53293791135691215</v>
      </c>
      <c r="C277">
        <f t="shared" si="22"/>
        <v>0.68738951994423636</v>
      </c>
      <c r="D277">
        <f t="shared" si="23"/>
        <v>65764.605325581259</v>
      </c>
      <c r="E277">
        <f t="shared" si="24"/>
        <v>45205.900484073471</v>
      </c>
    </row>
    <row r="278" spans="1:5">
      <c r="A278">
        <f t="shared" si="20"/>
        <v>0.98448729561770776</v>
      </c>
      <c r="B278">
        <f t="shared" si="21"/>
        <v>0.36748872860547377</v>
      </c>
      <c r="C278">
        <f t="shared" si="22"/>
        <v>1.6618586862860001</v>
      </c>
      <c r="D278">
        <f t="shared" si="23"/>
        <v>64718.517509878198</v>
      </c>
      <c r="E278">
        <f t="shared" si="24"/>
        <v>107553.03048734368</v>
      </c>
    </row>
    <row r="279" spans="1:5">
      <c r="A279">
        <f t="shared" si="20"/>
        <v>0.38583867541863848</v>
      </c>
      <c r="B279">
        <f t="shared" si="21"/>
        <v>0.996087267592623</v>
      </c>
      <c r="C279">
        <f t="shared" si="22"/>
        <v>0.90140971843138229</v>
      </c>
      <c r="D279">
        <f t="shared" si="23"/>
        <v>72164.917589271645</v>
      </c>
      <c r="E279">
        <f t="shared" si="24"/>
        <v>65050.158044769261</v>
      </c>
    </row>
    <row r="280" spans="1:5">
      <c r="A280">
        <f t="shared" si="20"/>
        <v>0.28871032559760268</v>
      </c>
      <c r="B280">
        <f t="shared" si="21"/>
        <v>0.41873352831836019</v>
      </c>
      <c r="C280">
        <f t="shared" si="22"/>
        <v>0.84321014272274442</v>
      </c>
      <c r="D280">
        <f t="shared" si="23"/>
        <v>65049.796609824669</v>
      </c>
      <c r="E280">
        <f t="shared" si="24"/>
        <v>54850.648283455754</v>
      </c>
    </row>
    <row r="281" spans="1:5">
      <c r="A281">
        <f t="shared" si="20"/>
        <v>0.69310224615460103</v>
      </c>
      <c r="B281">
        <f t="shared" si="21"/>
        <v>0.63542751078268478</v>
      </c>
      <c r="C281">
        <f t="shared" si="22"/>
        <v>1.0995662303820597</v>
      </c>
      <c r="D281">
        <f t="shared" si="23"/>
        <v>66419.342508923146</v>
      </c>
      <c r="E281">
        <f t="shared" si="24"/>
        <v>73032.466066991517</v>
      </c>
    </row>
    <row r="282" spans="1:5">
      <c r="A282">
        <f t="shared" si="20"/>
        <v>0.59901443708963309</v>
      </c>
      <c r="B282">
        <f t="shared" si="21"/>
        <v>0.6461692149855971</v>
      </c>
      <c r="C282">
        <f t="shared" si="22"/>
        <v>1.0319489812664409</v>
      </c>
      <c r="D282">
        <f t="shared" si="23"/>
        <v>66490.714667499647</v>
      </c>
      <c r="E282">
        <f t="shared" si="24"/>
        <v>68615.025264803859</v>
      </c>
    </row>
    <row r="283" spans="1:5">
      <c r="A283">
        <f t="shared" si="20"/>
        <v>6.446898402699075E-3</v>
      </c>
      <c r="B283">
        <f t="shared" si="21"/>
        <v>0.45095864092709737</v>
      </c>
      <c r="C283">
        <f t="shared" si="22"/>
        <v>0.52052242208503374</v>
      </c>
      <c r="D283">
        <f t="shared" si="23"/>
        <v>65253.204547524831</v>
      </c>
      <c r="E283">
        <f t="shared" si="24"/>
        <v>33965.75607988776</v>
      </c>
    </row>
    <row r="284" spans="1:5">
      <c r="A284">
        <f t="shared" si="20"/>
        <v>0.91539963009379877</v>
      </c>
      <c r="B284">
        <f t="shared" si="21"/>
        <v>4.9795788607184921E-2</v>
      </c>
      <c r="C284">
        <f t="shared" si="22"/>
        <v>1.3667615778706763</v>
      </c>
      <c r="D284">
        <f t="shared" si="23"/>
        <v>61468.936641927176</v>
      </c>
      <c r="E284">
        <f t="shared" si="24"/>
        <v>84013.380834753014</v>
      </c>
    </row>
    <row r="285" spans="1:5">
      <c r="A285">
        <f t="shared" si="20"/>
        <v>0.32587263216293216</v>
      </c>
      <c r="B285">
        <f t="shared" si="21"/>
        <v>0.44268065802586065</v>
      </c>
      <c r="C285">
        <f t="shared" si="22"/>
        <v>0.86581437434513242</v>
      </c>
      <c r="D285">
        <f t="shared" si="23"/>
        <v>65201.203022090704</v>
      </c>
      <c r="E285">
        <f t="shared" si="24"/>
        <v>56452.138801121422</v>
      </c>
    </row>
    <row r="286" spans="1:5">
      <c r="A286">
        <f t="shared" si="20"/>
        <v>0.23786590461009949</v>
      </c>
      <c r="B286">
        <f t="shared" si="21"/>
        <v>0.62961324918312356</v>
      </c>
      <c r="C286">
        <f t="shared" si="22"/>
        <v>0.8109523031497925</v>
      </c>
      <c r="D286">
        <f t="shared" si="23"/>
        <v>66381.008164556522</v>
      </c>
      <c r="E286">
        <f t="shared" si="24"/>
        <v>53831.831456452295</v>
      </c>
    </row>
    <row r="287" spans="1:5">
      <c r="A287">
        <f t="shared" si="20"/>
        <v>0.65137944743530074</v>
      </c>
      <c r="B287">
        <f t="shared" si="21"/>
        <v>0.61059356207897419</v>
      </c>
      <c r="C287">
        <f t="shared" si="22"/>
        <v>1.0682393676912973</v>
      </c>
      <c r="D287">
        <f t="shared" si="23"/>
        <v>66256.91194845704</v>
      </c>
      <c r="E287">
        <f t="shared" si="24"/>
        <v>70778.241724997715</v>
      </c>
    </row>
    <row r="288" spans="1:5">
      <c r="A288">
        <f t="shared" si="20"/>
        <v>0.56641326063853592</v>
      </c>
      <c r="B288">
        <f t="shared" si="21"/>
        <v>0.3856215967134129</v>
      </c>
      <c r="C288">
        <f t="shared" si="22"/>
        <v>1.0106184369013562</v>
      </c>
      <c r="D288">
        <f t="shared" si="23"/>
        <v>64837.149349112566</v>
      </c>
      <c r="E288">
        <f t="shared" si="24"/>
        <v>65525.618528339925</v>
      </c>
    </row>
    <row r="289" spans="1:5">
      <c r="A289">
        <f t="shared" si="20"/>
        <v>0.98296734421980458</v>
      </c>
      <c r="B289">
        <f t="shared" si="21"/>
        <v>0.95469735308643922</v>
      </c>
      <c r="C289">
        <f t="shared" si="22"/>
        <v>1.6463725906266418</v>
      </c>
      <c r="D289">
        <f t="shared" si="23"/>
        <v>69762.376006091989</v>
      </c>
      <c r="E289">
        <f t="shared" si="24"/>
        <v>114854.86371341955</v>
      </c>
    </row>
    <row r="290" spans="1:5">
      <c r="A290">
        <f t="shared" si="20"/>
        <v>0.90104169817910718</v>
      </c>
      <c r="B290">
        <f t="shared" si="21"/>
        <v>0.31782083119805304</v>
      </c>
      <c r="C290">
        <f t="shared" si="22"/>
        <v>1.3372663428701186</v>
      </c>
      <c r="D290">
        <f t="shared" si="23"/>
        <v>64382.489699145706</v>
      </c>
      <c r="E290">
        <f t="shared" si="24"/>
        <v>86096.53654484966</v>
      </c>
    </row>
    <row r="291" spans="1:5">
      <c r="A291">
        <f t="shared" si="20"/>
        <v>0.32063632251644369</v>
      </c>
      <c r="B291">
        <f t="shared" si="21"/>
        <v>0.47499203104825449</v>
      </c>
      <c r="C291">
        <f t="shared" si="22"/>
        <v>0.86266396670636958</v>
      </c>
      <c r="D291">
        <f t="shared" si="23"/>
        <v>65403.504831532009</v>
      </c>
      <c r="E291">
        <f t="shared" si="24"/>
        <v>56421.246914468611</v>
      </c>
    </row>
    <row r="292" spans="1:5">
      <c r="A292">
        <f t="shared" si="20"/>
        <v>0.24175121723181414</v>
      </c>
      <c r="B292">
        <f t="shared" si="21"/>
        <v>0.42621095263704389</v>
      </c>
      <c r="C292">
        <f t="shared" si="22"/>
        <v>0.81349123855479688</v>
      </c>
      <c r="D292">
        <f t="shared" si="23"/>
        <v>65097.249907398727</v>
      </c>
      <c r="E292">
        <f t="shared" si="24"/>
        <v>52956.04245368093</v>
      </c>
    </row>
    <row r="293" spans="1:5">
      <c r="A293">
        <f t="shared" si="20"/>
        <v>0.66438638232521807</v>
      </c>
      <c r="B293">
        <f t="shared" si="21"/>
        <v>0.1714775959644208</v>
      </c>
      <c r="C293">
        <f t="shared" si="22"/>
        <v>1.0777398050707501</v>
      </c>
      <c r="D293">
        <f t="shared" si="23"/>
        <v>63203.837738899223</v>
      </c>
      <c r="E293">
        <f t="shared" si="24"/>
        <v>68117.29176444457</v>
      </c>
    </row>
    <row r="294" spans="1:5">
      <c r="A294">
        <f t="shared" si="20"/>
        <v>0.58854181779665637</v>
      </c>
      <c r="B294">
        <f t="shared" si="21"/>
        <v>0.71079196103038544</v>
      </c>
      <c r="C294">
        <f t="shared" si="22"/>
        <v>1.0250064411334885</v>
      </c>
      <c r="D294">
        <f t="shared" si="23"/>
        <v>66939.535499674821</v>
      </c>
      <c r="E294">
        <f t="shared" si="24"/>
        <v>68613.455053650498</v>
      </c>
    </row>
    <row r="295" spans="1:5">
      <c r="A295">
        <f t="shared" si="20"/>
        <v>1.4217523646128161E-2</v>
      </c>
      <c r="B295">
        <f t="shared" si="21"/>
        <v>4.4154047834937593E-2</v>
      </c>
      <c r="C295">
        <f t="shared" si="22"/>
        <v>0.560426115383307</v>
      </c>
      <c r="D295">
        <f t="shared" si="23"/>
        <v>61325.985770197731</v>
      </c>
      <c r="E295">
        <f t="shared" si="24"/>
        <v>34368.683977243876</v>
      </c>
    </row>
    <row r="296" spans="1:5">
      <c r="A296">
        <f t="shared" si="20"/>
        <v>0.94141349987363387</v>
      </c>
      <c r="B296">
        <f t="shared" si="21"/>
        <v>0.17156385637807769</v>
      </c>
      <c r="C296">
        <f t="shared" si="22"/>
        <v>1.4339568455468124</v>
      </c>
      <c r="D296">
        <f t="shared" si="23"/>
        <v>63204.679590355561</v>
      </c>
      <c r="E296">
        <f t="shared" si="24"/>
        <v>90632.782969183259</v>
      </c>
    </row>
    <row r="297" spans="1:5">
      <c r="A297">
        <f t="shared" si="20"/>
        <v>0.37012974647917352</v>
      </c>
      <c r="B297">
        <f t="shared" si="21"/>
        <v>9.3021386659805305E-2</v>
      </c>
      <c r="C297">
        <f t="shared" si="22"/>
        <v>0.89214426055827467</v>
      </c>
      <c r="D297">
        <f t="shared" si="23"/>
        <v>62274.821968929995</v>
      </c>
      <c r="E297">
        <f t="shared" si="24"/>
        <v>55558.12499686925</v>
      </c>
    </row>
    <row r="298" spans="1:5">
      <c r="A298">
        <f t="shared" si="20"/>
        <v>0.30036626346274664</v>
      </c>
      <c r="B298">
        <f t="shared" si="21"/>
        <v>0.80852663868012076</v>
      </c>
      <c r="C298">
        <f t="shared" si="22"/>
        <v>0.85036734869807529</v>
      </c>
      <c r="D298">
        <f t="shared" si="23"/>
        <v>67726.34453719735</v>
      </c>
      <c r="E298">
        <f t="shared" si="24"/>
        <v>57592.272041108889</v>
      </c>
    </row>
    <row r="299" spans="1:5">
      <c r="A299">
        <f t="shared" si="20"/>
        <v>0.73212305082435369</v>
      </c>
      <c r="B299">
        <f t="shared" si="21"/>
        <v>0.31807961243902394</v>
      </c>
      <c r="C299">
        <f t="shared" si="22"/>
        <v>1.1315197686573495</v>
      </c>
      <c r="D299">
        <f t="shared" si="23"/>
        <v>64384.291914503767</v>
      </c>
      <c r="E299">
        <f t="shared" si="24"/>
        <v>72852.099092266566</v>
      </c>
    </row>
    <row r="300" spans="1:5">
      <c r="A300">
        <f t="shared" si="20"/>
        <v>0.66540010856399467</v>
      </c>
      <c r="B300">
        <f t="shared" si="21"/>
        <v>0.62168030793651452</v>
      </c>
      <c r="C300">
        <f t="shared" si="22"/>
        <v>1.0784896923414453</v>
      </c>
      <c r="D300">
        <f t="shared" si="23"/>
        <v>66329.017022115499</v>
      </c>
      <c r="E300">
        <f t="shared" si="24"/>
        <v>71535.161161491837</v>
      </c>
    </row>
    <row r="301" spans="1:5">
      <c r="A301">
        <f t="shared" si="20"/>
        <v>0.10019743668166958</v>
      </c>
      <c r="B301">
        <f t="shared" si="21"/>
        <v>0.71932872517259305</v>
      </c>
      <c r="C301">
        <f t="shared" si="22"/>
        <v>0.70373258743879885</v>
      </c>
      <c r="D301">
        <f t="shared" si="23"/>
        <v>67001.999132812751</v>
      </c>
      <c r="E301">
        <f t="shared" si="24"/>
        <v>47151.490213306475</v>
      </c>
    </row>
    <row r="302" spans="1:5">
      <c r="A302">
        <f t="shared" si="20"/>
        <v>3.6515035177378197E-2</v>
      </c>
      <c r="B302">
        <f t="shared" si="21"/>
        <v>0.61102486414725909</v>
      </c>
      <c r="C302">
        <f t="shared" si="22"/>
        <v>0.61914816015981144</v>
      </c>
      <c r="D302">
        <f t="shared" si="23"/>
        <v>66259.705661158107</v>
      </c>
      <c r="E302">
        <f t="shared" si="24"/>
        <v>41024.574852836682</v>
      </c>
    </row>
    <row r="303" spans="1:5">
      <c r="A303">
        <f t="shared" si="20"/>
        <v>0.47435290405112074</v>
      </c>
      <c r="B303">
        <f t="shared" si="21"/>
        <v>0.29676872486051309</v>
      </c>
      <c r="C303">
        <f t="shared" si="22"/>
        <v>0.95376971967490221</v>
      </c>
      <c r="D303">
        <f t="shared" si="23"/>
        <v>64233.672947329535</v>
      </c>
      <c r="E303">
        <f t="shared" si="24"/>
        <v>61264.132240663843</v>
      </c>
    </row>
    <row r="304" spans="1:5">
      <c r="A304">
        <f t="shared" si="20"/>
        <v>0.41371104330289699</v>
      </c>
      <c r="B304">
        <f t="shared" si="21"/>
        <v>0.77656030731235459</v>
      </c>
      <c r="C304">
        <f t="shared" si="22"/>
        <v>0.91782158967647254</v>
      </c>
      <c r="D304">
        <f t="shared" si="23"/>
        <v>67448.529961464257</v>
      </c>
      <c r="E304">
        <f t="shared" si="24"/>
        <v>61905.716990572313</v>
      </c>
    </row>
    <row r="305" spans="1:5">
      <c r="A305">
        <f t="shared" si="20"/>
        <v>0.85458945293270716</v>
      </c>
      <c r="B305">
        <f t="shared" si="21"/>
        <v>5.0399611502783603E-2</v>
      </c>
      <c r="C305">
        <f t="shared" si="22"/>
        <v>1.2621675473141096</v>
      </c>
      <c r="D305">
        <f t="shared" si="23"/>
        <v>61483.455768832195</v>
      </c>
      <c r="E305">
        <f t="shared" si="24"/>
        <v>77602.422568142472</v>
      </c>
    </row>
    <row r="306" spans="1:5">
      <c r="A306">
        <f t="shared" si="20"/>
        <v>0.79698813294055082</v>
      </c>
      <c r="B306">
        <f t="shared" si="21"/>
        <v>0.11828663743180057</v>
      </c>
      <c r="C306">
        <f t="shared" si="22"/>
        <v>1.1930079743939543</v>
      </c>
      <c r="D306">
        <f t="shared" si="23"/>
        <v>62619.522924464225</v>
      </c>
      <c r="E306">
        <f t="shared" si="24"/>
        <v>74705.590201630854</v>
      </c>
    </row>
    <row r="307" spans="1:5">
      <c r="A307">
        <f t="shared" si="20"/>
        <v>0.24090708332642841</v>
      </c>
      <c r="B307">
        <f t="shared" si="21"/>
        <v>0.98022138509940515</v>
      </c>
      <c r="C307">
        <f t="shared" si="22"/>
        <v>0.81294085087828882</v>
      </c>
      <c r="D307">
        <f t="shared" si="23"/>
        <v>70671.758172913833</v>
      </c>
      <c r="E307">
        <f t="shared" si="24"/>
        <v>57451.959222153237</v>
      </c>
    </row>
    <row r="308" spans="1:5">
      <c r="A308">
        <f t="shared" si="20"/>
        <v>0.18634630409034025</v>
      </c>
      <c r="B308">
        <f t="shared" si="21"/>
        <v>0.63620385450559747</v>
      </c>
      <c r="C308">
        <f t="shared" si="22"/>
        <v>0.77560627869733134</v>
      </c>
      <c r="D308">
        <f t="shared" si="23"/>
        <v>66424.476403707129</v>
      </c>
      <c r="E308">
        <f t="shared" si="24"/>
        <v>51519.240957897979</v>
      </c>
    </row>
    <row r="309" spans="1:5">
      <c r="A309">
        <f t="shared" si="20"/>
        <v>0.63330579523228581</v>
      </c>
      <c r="B309">
        <f t="shared" si="21"/>
        <v>8.6234045650376956E-2</v>
      </c>
      <c r="C309">
        <f t="shared" si="22"/>
        <v>1.055384777969075</v>
      </c>
      <c r="D309">
        <f t="shared" si="23"/>
        <v>62170.653767143536</v>
      </c>
      <c r="E309">
        <f t="shared" si="24"/>
        <v>65613.961622229021</v>
      </c>
    </row>
    <row r="310" spans="1:5">
      <c r="A310">
        <f t="shared" si="20"/>
        <v>0.58178555675226518</v>
      </c>
      <c r="B310">
        <f t="shared" si="21"/>
        <v>0.33031195853374484</v>
      </c>
      <c r="C310">
        <f t="shared" si="22"/>
        <v>1.0205746701667717</v>
      </c>
      <c r="D310">
        <f t="shared" si="23"/>
        <v>64468.799045727261</v>
      </c>
      <c r="E310">
        <f t="shared" si="24"/>
        <v>65795.223322140984</v>
      </c>
    </row>
    <row r="311" spans="1:5">
      <c r="A311">
        <f t="shared" si="20"/>
        <v>3.1785588650278029E-2</v>
      </c>
      <c r="B311">
        <f t="shared" si="21"/>
        <v>0.36843759315570024</v>
      </c>
      <c r="C311">
        <f t="shared" si="22"/>
        <v>0.6095441717170198</v>
      </c>
      <c r="D311">
        <f t="shared" si="23"/>
        <v>64724.770737284445</v>
      </c>
      <c r="E311">
        <f t="shared" si="24"/>
        <v>39452.606768632046</v>
      </c>
    </row>
    <row r="312" spans="1:5">
      <c r="A312">
        <f t="shared" si="20"/>
        <v>0.98330589092632503</v>
      </c>
      <c r="B312">
        <f t="shared" si="21"/>
        <v>0.20061094951624314</v>
      </c>
      <c r="C312">
        <f t="shared" si="22"/>
        <v>1.6497040638960678</v>
      </c>
      <c r="D312">
        <f t="shared" si="23"/>
        <v>63474.323948283651</v>
      </c>
      <c r="E312">
        <f t="shared" si="24"/>
        <v>104713.85017053904</v>
      </c>
    </row>
    <row r="313" spans="1:5">
      <c r="A313">
        <f t="shared" si="20"/>
        <v>0.43634646358040552</v>
      </c>
      <c r="B313">
        <f t="shared" si="21"/>
        <v>0.826832027615374</v>
      </c>
      <c r="C313">
        <f t="shared" si="22"/>
        <v>0.93117345148322583</v>
      </c>
      <c r="D313">
        <f t="shared" si="23"/>
        <v>67898.321911052743</v>
      </c>
      <c r="E313">
        <f t="shared" si="24"/>
        <v>63225.114763834121</v>
      </c>
    </row>
    <row r="314" spans="1:5">
      <c r="A314">
        <f t="shared" si="20"/>
        <v>0.39090730661252016</v>
      </c>
      <c r="B314">
        <f t="shared" si="21"/>
        <v>0.24710082745309236</v>
      </c>
      <c r="C314">
        <f t="shared" si="22"/>
        <v>0.90439527309306955</v>
      </c>
      <c r="D314">
        <f t="shared" si="23"/>
        <v>63861.29463394358</v>
      </c>
      <c r="E314">
        <f t="shared" si="24"/>
        <v>57755.853000542382</v>
      </c>
    </row>
    <row r="315" spans="1:5">
      <c r="A315">
        <f t="shared" si="20"/>
        <v>0.8469884200226685</v>
      </c>
      <c r="B315">
        <f t="shared" si="21"/>
        <v>0.46141734902939824</v>
      </c>
      <c r="C315">
        <f t="shared" si="22"/>
        <v>1.2518851987605852</v>
      </c>
      <c r="D315">
        <f t="shared" si="23"/>
        <v>65318.716731573615</v>
      </c>
      <c r="E315">
        <f t="shared" si="24"/>
        <v>81771.534678292403</v>
      </c>
    </row>
    <row r="316" spans="1:5">
      <c r="A316">
        <f t="shared" si="20"/>
        <v>0.80458980381085099</v>
      </c>
      <c r="B316">
        <f t="shared" si="21"/>
        <v>0.46978159234429206</v>
      </c>
      <c r="C316">
        <f t="shared" si="22"/>
        <v>1.2011538443892522</v>
      </c>
      <c r="D316">
        <f t="shared" si="23"/>
        <v>65370.98703888891</v>
      </c>
      <c r="E316">
        <f t="shared" si="24"/>
        <v>78520.612393281393</v>
      </c>
    </row>
    <row r="317" spans="1:5">
      <c r="A317">
        <f t="shared" si="20"/>
        <v>0.26371145797706674</v>
      </c>
      <c r="B317">
        <f t="shared" si="21"/>
        <v>0.2721935573977734</v>
      </c>
      <c r="C317">
        <f t="shared" si="22"/>
        <v>0.8275909965332412</v>
      </c>
      <c r="D317">
        <f t="shared" si="23"/>
        <v>64053.660643148309</v>
      </c>
      <c r="E317">
        <f t="shared" si="24"/>
        <v>53010.232843265163</v>
      </c>
    </row>
    <row r="318" spans="1:5">
      <c r="A318">
        <f t="shared" si="20"/>
        <v>0.22435338252131665</v>
      </c>
      <c r="B318">
        <f t="shared" si="21"/>
        <v>0.86865324418984269</v>
      </c>
      <c r="C318">
        <f t="shared" si="22"/>
        <v>0.80200278263305957</v>
      </c>
      <c r="D318">
        <f t="shared" si="23"/>
        <v>68341.246475766136</v>
      </c>
      <c r="E318">
        <f t="shared" si="24"/>
        <v>54809.869842176216</v>
      </c>
    </row>
    <row r="319" spans="1:5">
      <c r="A319">
        <f t="shared" si="20"/>
        <v>0.68651557744360048</v>
      </c>
      <c r="B319">
        <f t="shared" si="21"/>
        <v>0.25916065272049948</v>
      </c>
      <c r="C319">
        <f t="shared" si="22"/>
        <v>1.094447213466162</v>
      </c>
      <c r="D319">
        <f t="shared" si="23"/>
        <v>63954.948094483567</v>
      </c>
      <c r="E319">
        <f t="shared" si="24"/>
        <v>69995.314729380567</v>
      </c>
    </row>
    <row r="320" spans="1:5">
      <c r="A320">
        <f t="shared" si="20"/>
        <v>0.65019804274391801</v>
      </c>
      <c r="B320">
        <f t="shared" si="21"/>
        <v>0.44371578298974401</v>
      </c>
      <c r="C320">
        <f t="shared" si="22"/>
        <v>1.0673872061985832</v>
      </c>
      <c r="D320">
        <f t="shared" si="23"/>
        <v>65207.713706631141</v>
      </c>
      <c r="E320">
        <f t="shared" si="24"/>
        <v>69601.879355918078</v>
      </c>
    </row>
    <row r="321" spans="1:5">
      <c r="A321">
        <f t="shared" si="20"/>
        <v>0.11540077842226948</v>
      </c>
      <c r="B321">
        <f t="shared" si="21"/>
        <v>0.42231863499757605</v>
      </c>
      <c r="C321">
        <f t="shared" si="22"/>
        <v>0.71833147056040803</v>
      </c>
      <c r="D321">
        <f t="shared" si="23"/>
        <v>65072.570588716459</v>
      </c>
      <c r="E321">
        <f t="shared" si="24"/>
        <v>46743.675324138647</v>
      </c>
    </row>
    <row r="322" spans="1:5">
      <c r="A322">
        <f t="shared" si="20"/>
        <v>8.2123784478654205E-2</v>
      </c>
      <c r="B322">
        <f t="shared" si="21"/>
        <v>0.19496920874399581</v>
      </c>
      <c r="C322">
        <f t="shared" si="22"/>
        <v>0.68455810832600783</v>
      </c>
      <c r="D322">
        <f t="shared" si="23"/>
        <v>63423.932994967749</v>
      </c>
      <c r="E322">
        <f t="shared" si="24"/>
        <v>43417.367593630595</v>
      </c>
    </row>
    <row r="323" spans="1:5">
      <c r="A323">
        <f t="shared" si="20"/>
        <v>0.5503670609130733</v>
      </c>
      <c r="B323">
        <f t="shared" si="21"/>
        <v>0.76166750422900353</v>
      </c>
      <c r="C323">
        <f t="shared" si="22"/>
        <v>1.0003972737609257</v>
      </c>
      <c r="D323">
        <f t="shared" si="23"/>
        <v>67326.946520507932</v>
      </c>
      <c r="E323">
        <f t="shared" si="24"/>
        <v>67353.69374976377</v>
      </c>
    </row>
    <row r="324" spans="1:5">
      <c r="A324">
        <f t="shared" si="20"/>
        <v>0.52013060772552622</v>
      </c>
      <c r="B324">
        <f t="shared" si="21"/>
        <v>0.12241352145259876</v>
      </c>
      <c r="C324">
        <f t="shared" si="22"/>
        <v>0.98154280519209713</v>
      </c>
      <c r="D324">
        <f t="shared" si="23"/>
        <v>62670.662064693439</v>
      </c>
      <c r="E324">
        <f t="shared" si="24"/>
        <v>61513.937446225144</v>
      </c>
    </row>
    <row r="325" spans="1:5">
      <c r="A325">
        <f t="shared" si="20"/>
        <v>0.99141442491601295</v>
      </c>
      <c r="B325">
        <f t="shared" si="21"/>
        <v>0.2772072604147815</v>
      </c>
      <c r="C325">
        <f t="shared" si="22"/>
        <v>1.7585781200094759</v>
      </c>
      <c r="D325">
        <f t="shared" si="23"/>
        <v>64091.00208124613</v>
      </c>
      <c r="E325">
        <f t="shared" si="24"/>
        <v>112709.03394956123</v>
      </c>
    </row>
    <row r="326" spans="1:5">
      <c r="A326">
        <f t="shared" si="20"/>
        <v>0.96421851248453327</v>
      </c>
      <c r="B326">
        <f t="shared" si="21"/>
        <v>0.22604872111555219</v>
      </c>
      <c r="C326">
        <f t="shared" si="22"/>
        <v>1.5207780594174183</v>
      </c>
      <c r="D326">
        <f t="shared" si="23"/>
        <v>63691.698951893566</v>
      </c>
      <c r="E326">
        <f t="shared" si="24"/>
        <v>96860.938333059108</v>
      </c>
    </row>
    <row r="327" spans="1:5">
      <c r="A327">
        <f t="shared" si="20"/>
        <v>0.43854287043108742</v>
      </c>
      <c r="B327">
        <f t="shared" si="21"/>
        <v>0.96893790355491061</v>
      </c>
      <c r="C327">
        <f t="shared" si="22"/>
        <v>0.93247200489246762</v>
      </c>
      <c r="D327">
        <f t="shared" si="23"/>
        <v>70192.552689498727</v>
      </c>
      <c r="E327">
        <f t="shared" si="24"/>
        <v>65452.590334897046</v>
      </c>
    </row>
    <row r="328" spans="1:5">
      <c r="A328">
        <f t="shared" si="20"/>
        <v>0.41438749875567593</v>
      </c>
      <c r="B328">
        <f t="shared" si="21"/>
        <v>0.50587480773285654</v>
      </c>
      <c r="C328">
        <f t="shared" si="22"/>
        <v>0.91822002721842599</v>
      </c>
      <c r="D328">
        <f t="shared" si="23"/>
        <v>65595.881124127191</v>
      </c>
      <c r="E328">
        <f t="shared" si="24"/>
        <v>60231.451751212706</v>
      </c>
    </row>
    <row r="329" spans="1:5">
      <c r="A329">
        <f t="shared" si="20"/>
        <v>0.89175239745829771</v>
      </c>
      <c r="B329">
        <f t="shared" si="21"/>
        <v>0.83685943364939019</v>
      </c>
      <c r="C329">
        <f t="shared" si="22"/>
        <v>1.320123585677947</v>
      </c>
      <c r="D329">
        <f t="shared" si="23"/>
        <v>67997.454108713922</v>
      </c>
      <c r="E329">
        <f t="shared" si="24"/>
        <v>89765.042934967074</v>
      </c>
    </row>
    <row r="330" spans="1:5">
      <c r="A330">
        <f t="shared" si="20"/>
        <v>0.87063756653895363</v>
      </c>
      <c r="B330">
        <f t="shared" si="21"/>
        <v>0.96189178130451158</v>
      </c>
      <c r="C330">
        <f t="shared" si="22"/>
        <v>1.2854418730069046</v>
      </c>
      <c r="D330">
        <f t="shared" si="23"/>
        <v>69963.215435595223</v>
      </c>
      <c r="E330">
        <f t="shared" si="24"/>
        <v>89933.646691117101</v>
      </c>
    </row>
    <row r="331" spans="1:5">
      <c r="A331">
        <f t="shared" si="20"/>
        <v>0.35104300599764304</v>
      </c>
      <c r="B331">
        <f t="shared" si="21"/>
        <v>0.8809718506982207</v>
      </c>
      <c r="C331">
        <f t="shared" si="22"/>
        <v>0.88084242993722339</v>
      </c>
      <c r="D331">
        <f t="shared" si="23"/>
        <v>68489.804547991269</v>
      </c>
      <c r="E331">
        <f t="shared" si="24"/>
        <v>60328.725863978121</v>
      </c>
    </row>
    <row r="332" spans="1:5">
      <c r="A332">
        <f t="shared" si="20"/>
        <v>0.33296871583436682</v>
      </c>
      <c r="B332">
        <f t="shared" si="21"/>
        <v>0.59409964183051733</v>
      </c>
      <c r="C332">
        <f t="shared" si="22"/>
        <v>0.87006915779004845</v>
      </c>
      <c r="D332">
        <f t="shared" si="23"/>
        <v>66150.699000761975</v>
      </c>
      <c r="E332">
        <f t="shared" si="24"/>
        <v>57555.68296681597</v>
      </c>
    </row>
    <row r="333" spans="1:5">
      <c r="A333">
        <f t="shared" si="20"/>
        <v>0.81641469604912409</v>
      </c>
      <c r="B333">
        <f t="shared" si="21"/>
        <v>0.10127515470140169</v>
      </c>
      <c r="C333">
        <f t="shared" si="22"/>
        <v>1.2143348478943823</v>
      </c>
      <c r="D333">
        <f t="shared" si="23"/>
        <v>62394.185579646561</v>
      </c>
      <c r="E333">
        <f t="shared" si="24"/>
        <v>75767.433855353971</v>
      </c>
    </row>
    <row r="334" spans="1:5">
      <c r="A334">
        <f t="shared" si="20"/>
        <v>0.80138094664191528</v>
      </c>
      <c r="B334">
        <f t="shared" si="21"/>
        <v>0.40249838931087378</v>
      </c>
      <c r="C334">
        <f t="shared" si="22"/>
        <v>1.1976856097299731</v>
      </c>
      <c r="D334">
        <f t="shared" si="23"/>
        <v>64946.096411048653</v>
      </c>
      <c r="E334">
        <f t="shared" si="24"/>
        <v>77785.005079648428</v>
      </c>
    </row>
    <row r="335" spans="1:5">
      <c r="A335">
        <f t="shared" si="20"/>
        <v>0.28786746761274018</v>
      </c>
      <c r="B335">
        <f t="shared" si="21"/>
        <v>0.49776934565893366</v>
      </c>
      <c r="C335">
        <f t="shared" si="22"/>
        <v>0.84268979602886196</v>
      </c>
      <c r="D335">
        <f t="shared" si="23"/>
        <v>65545.415990524954</v>
      </c>
      <c r="E335">
        <f t="shared" si="24"/>
        <v>55234.453231682382</v>
      </c>
    </row>
    <row r="336" spans="1:5">
      <c r="A336">
        <f t="shared" ref="A336:A399" si="25">IFERROR(MOD(MOD(($E$8+((ROW()-15)*(ROW()-14)/2)*13)*171,30269)/30269+MOD(($E$8+((ROW()-15)*(ROW()-14)/2)*29)*172,30307)/30307+MOD(($E$8+((ROW()-15)*(ROW()-14)/2)*47)*170,30323)/30323,1),0.5)</f>
        <v>0.27587425896159878</v>
      </c>
      <c r="B336">
        <f t="shared" ref="B336:B399" si="26">IFERROR(MOD(MOD(($E$8+((ROW()-15)*(ROW()-14)/2)*17)*171,30269)/30269+MOD(($E$8+((ROW()-15)*(ROW()-14)/2)*41)*172,30307)/30307+MOD(($E$8+((ROW()-15)*(ROW()-14)/2)*83)*170,30323)/30323,1),0.5)</f>
        <v>0.38708802374558116</v>
      </c>
      <c r="C336">
        <f t="shared" ref="C336:C399" si="27">IFERROR(EXP($E$4*NORMSINV(MIN(MAX(A336,0.000000001),0.999999999))-$E$4^2/2),1)</f>
        <v>0.8352405479306968</v>
      </c>
      <c r="D336">
        <f t="shared" ref="D336:D399" si="28">IFERROR($B$5+$E$5*NORMSINV(MIN(MAX(B336,0.000000001),0.999999999)),$B$5)</f>
        <v>64846.668051424342</v>
      </c>
      <c r="E336">
        <f t="shared" ref="E336:E399" si="29">IFERROR(C336*MAX(D336,0),0)</f>
        <v>54162.566554751676</v>
      </c>
    </row>
    <row r="337" spans="1:5">
      <c r="A337">
        <f t="shared" si="25"/>
        <v>0.76540132068849132</v>
      </c>
      <c r="B337">
        <f t="shared" si="26"/>
        <v>7.0454423570816438E-2</v>
      </c>
      <c r="C337">
        <f t="shared" si="27"/>
        <v>1.1614815693502132</v>
      </c>
      <c r="D337">
        <f t="shared" si="28"/>
        <v>61902.160848863547</v>
      </c>
      <c r="E337">
        <f t="shared" si="29"/>
        <v>71898.218928907358</v>
      </c>
    </row>
    <row r="338" spans="1:5">
      <c r="A338">
        <f t="shared" si="25"/>
        <v>0.75644865279341778</v>
      </c>
      <c r="B338">
        <f t="shared" si="26"/>
        <v>0.54786854513463901</v>
      </c>
      <c r="C338">
        <f t="shared" si="27"/>
        <v>1.1531312801891667</v>
      </c>
      <c r="D338">
        <f t="shared" si="28"/>
        <v>65858.047065246617</v>
      </c>
      <c r="E338">
        <f t="shared" si="29"/>
        <v>75942.974123106222</v>
      </c>
    </row>
    <row r="339" spans="1:5">
      <c r="A339">
        <f t="shared" si="25"/>
        <v>0.24901625527637816</v>
      </c>
      <c r="B339">
        <f t="shared" si="26"/>
        <v>0.81933038843704975</v>
      </c>
      <c r="C339">
        <f t="shared" si="27"/>
        <v>0.81820106169704288</v>
      </c>
      <c r="D339">
        <f t="shared" si="28"/>
        <v>67826.531104002963</v>
      </c>
      <c r="E339">
        <f t="shared" si="29"/>
        <v>55495.739760522723</v>
      </c>
    </row>
    <row r="340" spans="1:5">
      <c r="A340">
        <f t="shared" si="25"/>
        <v>0.24310412813737226</v>
      </c>
      <c r="B340">
        <f t="shared" si="26"/>
        <v>0.884839953478048</v>
      </c>
      <c r="C340">
        <f t="shared" si="27"/>
        <v>0.81437196041330973</v>
      </c>
      <c r="D340">
        <f t="shared" si="28"/>
        <v>68538.674544338661</v>
      </c>
      <c r="E340">
        <f t="shared" si="29"/>
        <v>55815.974752802882</v>
      </c>
    </row>
    <row r="341" spans="1:5">
      <c r="A341">
        <f t="shared" si="25"/>
        <v>0.73871227137640005</v>
      </c>
      <c r="B341">
        <f t="shared" si="26"/>
        <v>0.74439724025763399</v>
      </c>
      <c r="C341">
        <f t="shared" si="27"/>
        <v>1.1372295837938646</v>
      </c>
      <c r="D341">
        <f t="shared" si="28"/>
        <v>67191.047001661311</v>
      </c>
      <c r="E341">
        <f t="shared" si="29"/>
        <v>76411.646416373289</v>
      </c>
    </row>
    <row r="342" spans="1:5">
      <c r="A342">
        <f t="shared" si="25"/>
        <v>0.73584068499346178</v>
      </c>
      <c r="B342">
        <f t="shared" si="26"/>
        <v>0.39800224877580748</v>
      </c>
      <c r="C342">
        <f t="shared" si="27"/>
        <v>1.1347288015132544</v>
      </c>
      <c r="D342">
        <f t="shared" si="28"/>
        <v>64917.195559444983</v>
      </c>
      <c r="E342">
        <f t="shared" si="29"/>
        <v>73663.41151477056</v>
      </c>
    </row>
    <row r="343" spans="1:5">
      <c r="A343">
        <f t="shared" si="25"/>
        <v>0.23448936898855743</v>
      </c>
      <c r="B343">
        <f t="shared" si="26"/>
        <v>0.84565497903256881</v>
      </c>
      <c r="C343">
        <f t="shared" si="27"/>
        <v>0.80873382909530567</v>
      </c>
      <c r="D343">
        <f t="shared" si="28"/>
        <v>68087.720539287402</v>
      </c>
      <c r="E343">
        <f t="shared" si="29"/>
        <v>55064.842946108991</v>
      </c>
    </row>
    <row r="344" spans="1:5">
      <c r="A344">
        <f t="shared" si="25"/>
        <v>0.23465832336168679</v>
      </c>
      <c r="B344">
        <f t="shared" si="26"/>
        <v>8.7355431027917652E-2</v>
      </c>
      <c r="C344">
        <f t="shared" si="27"/>
        <v>0.80884510888117289</v>
      </c>
      <c r="D344">
        <f t="shared" si="28"/>
        <v>62188.275373742814</v>
      </c>
      <c r="E344">
        <f t="shared" si="29"/>
        <v>50300.68236580737</v>
      </c>
    </row>
    <row r="345" spans="1:5">
      <c r="A345">
        <f t="shared" si="25"/>
        <v>0.73634754811285008</v>
      </c>
      <c r="B345">
        <f t="shared" si="26"/>
        <v>0.12310360476185433</v>
      </c>
      <c r="C345">
        <f t="shared" si="27"/>
        <v>1.1351688012875221</v>
      </c>
      <c r="D345">
        <f t="shared" si="28"/>
        <v>62679.094558282282</v>
      </c>
      <c r="E345">
        <f t="shared" si="29"/>
        <v>71151.35263551255</v>
      </c>
    </row>
    <row r="346" spans="1:5">
      <c r="A346">
        <f t="shared" si="25"/>
        <v>0.73955704324204707</v>
      </c>
      <c r="B346">
        <f t="shared" si="26"/>
        <v>0.95289950023437875</v>
      </c>
      <c r="C346">
        <f t="shared" si="27"/>
        <v>1.1379690042976853</v>
      </c>
      <c r="D346">
        <f t="shared" si="28"/>
        <v>69716.248641378377</v>
      </c>
      <c r="E346">
        <f t="shared" si="29"/>
        <v>79334.930049799208</v>
      </c>
    </row>
    <row r="347" spans="1:5">
      <c r="A347">
        <f t="shared" si="25"/>
        <v>0.24428680874927799</v>
      </c>
      <c r="B347">
        <f t="shared" si="26"/>
        <v>0.57674311744549067</v>
      </c>
      <c r="C347">
        <f t="shared" si="27"/>
        <v>0.81514047402217416</v>
      </c>
      <c r="D347">
        <f t="shared" si="28"/>
        <v>66040.083884873849</v>
      </c>
      <c r="E347">
        <f t="shared" si="29"/>
        <v>53831.945282380213</v>
      </c>
    </row>
    <row r="348" spans="1:5">
      <c r="A348">
        <f t="shared" si="25"/>
        <v>0.25053684463454262</v>
      </c>
      <c r="B348">
        <f t="shared" si="26"/>
        <v>0.99463445639519044</v>
      </c>
      <c r="C348">
        <f t="shared" si="27"/>
        <v>0.81918090574825952</v>
      </c>
      <c r="D348">
        <f t="shared" si="28"/>
        <v>71896.240163002163</v>
      </c>
      <c r="E348">
        <f t="shared" si="29"/>
        <v>58896.027136622506</v>
      </c>
    </row>
    <row r="349" spans="1:5">
      <c r="A349">
        <f t="shared" si="25"/>
        <v>0.75830715089784118</v>
      </c>
      <c r="B349">
        <f t="shared" si="26"/>
        <v>0.20657351708347793</v>
      </c>
      <c r="C349">
        <f t="shared" si="27"/>
        <v>1.1548458583380496</v>
      </c>
      <c r="D349">
        <f t="shared" si="28"/>
        <v>63526.664174534795</v>
      </c>
      <c r="E349">
        <f t="shared" si="29"/>
        <v>73363.505015993665</v>
      </c>
    </row>
    <row r="350" spans="1:5">
      <c r="A350">
        <f t="shared" si="25"/>
        <v>0.76759772753917355</v>
      </c>
      <c r="B350">
        <f t="shared" si="26"/>
        <v>0.21256029951035282</v>
      </c>
      <c r="C350">
        <f t="shared" si="27"/>
        <v>1.1635662092465049</v>
      </c>
      <c r="D350">
        <f t="shared" si="28"/>
        <v>63578.324178605777</v>
      </c>
      <c r="E350">
        <f t="shared" si="29"/>
        <v>73977.589654745738</v>
      </c>
    </row>
    <row r="351" spans="1:5">
      <c r="A351">
        <f t="shared" si="25"/>
        <v>0.27840857455853962</v>
      </c>
      <c r="B351">
        <f t="shared" si="26"/>
        <v>1.2594803675815669E-2</v>
      </c>
      <c r="C351">
        <f t="shared" si="27"/>
        <v>0.83682198255874818</v>
      </c>
      <c r="D351">
        <f t="shared" si="28"/>
        <v>59999.423874107451</v>
      </c>
      <c r="E351">
        <f t="shared" si="29"/>
        <v>50208.836838713287</v>
      </c>
    </row>
    <row r="352" spans="1:5">
      <c r="A352">
        <f t="shared" si="25"/>
        <v>0.29073969195593996</v>
      </c>
      <c r="B352">
        <f t="shared" si="26"/>
        <v>0.60667702957986647</v>
      </c>
      <c r="C352">
        <f t="shared" si="27"/>
        <v>0.84446138248862457</v>
      </c>
      <c r="D352">
        <f t="shared" si="28"/>
        <v>66231.582911792168</v>
      </c>
      <c r="E352">
        <f t="shared" si="29"/>
        <v>55930.014070101977</v>
      </c>
    </row>
    <row r="353" spans="1:5">
      <c r="A353">
        <f t="shared" si="25"/>
        <v>0.80459107973137367</v>
      </c>
      <c r="B353">
        <f t="shared" si="26"/>
        <v>0.99480697722250455</v>
      </c>
      <c r="C353">
        <f t="shared" si="27"/>
        <v>1.2011552322884873</v>
      </c>
      <c r="D353">
        <f t="shared" si="28"/>
        <v>71924.476947983247</v>
      </c>
      <c r="E353">
        <f t="shared" si="29"/>
        <v>86392.461815682764</v>
      </c>
    </row>
    <row r="354" spans="1:5">
      <c r="A354">
        <f t="shared" si="25"/>
        <v>0.8199627378848412</v>
      </c>
      <c r="B354">
        <f t="shared" si="26"/>
        <v>0.17698464660373014</v>
      </c>
      <c r="C354">
        <f t="shared" si="27"/>
        <v>1.2184210180909016</v>
      </c>
      <c r="D354">
        <f t="shared" si="28"/>
        <v>63257.051839414831</v>
      </c>
      <c r="E354">
        <f t="shared" si="29"/>
        <v>77073.721503608758</v>
      </c>
    </row>
    <row r="355" spans="1:5">
      <c r="A355">
        <f t="shared" si="25"/>
        <v>0.33685466641634276</v>
      </c>
      <c r="B355">
        <f t="shared" si="26"/>
        <v>0.15321003772354369</v>
      </c>
      <c r="C355">
        <f t="shared" si="27"/>
        <v>0.87239265586633641</v>
      </c>
      <c r="D355">
        <f t="shared" si="28"/>
        <v>63018.994683078192</v>
      </c>
      <c r="E355">
        <f t="shared" si="29"/>
        <v>54977.308141597117</v>
      </c>
    </row>
    <row r="356" spans="1:5">
      <c r="A356">
        <f t="shared" si="25"/>
        <v>0.35526686532587815</v>
      </c>
      <c r="B356">
        <f t="shared" si="26"/>
        <v>0.92348315058194497</v>
      </c>
      <c r="C356">
        <f t="shared" si="27"/>
        <v>0.88334906282287562</v>
      </c>
      <c r="D356">
        <f t="shared" si="28"/>
        <v>69108.359358345755</v>
      </c>
      <c r="E356">
        <f t="shared" si="29"/>
        <v>61046.80447242123</v>
      </c>
    </row>
    <row r="357" spans="1:5">
      <c r="A357">
        <f t="shared" si="25"/>
        <v>0.87519933461344723</v>
      </c>
      <c r="B357">
        <f t="shared" si="26"/>
        <v>0.48780398517893397</v>
      </c>
      <c r="C357">
        <f t="shared" si="27"/>
        <v>1.2925015971775038</v>
      </c>
      <c r="D357">
        <f t="shared" si="28"/>
        <v>65483.360964185958</v>
      </c>
      <c r="E357">
        <f t="shared" si="29"/>
        <v>84637.348634761351</v>
      </c>
    </row>
    <row r="358" spans="1:5">
      <c r="A358">
        <f t="shared" si="25"/>
        <v>0.89665207427905025</v>
      </c>
      <c r="B358">
        <f t="shared" si="26"/>
        <v>0.84617254151451049</v>
      </c>
      <c r="C358">
        <f t="shared" si="27"/>
        <v>1.3289987091715114</v>
      </c>
      <c r="D358">
        <f t="shared" si="28"/>
        <v>68093.136435684675</v>
      </c>
      <c r="E358">
        <f t="shared" si="29"/>
        <v>90495.690426464542</v>
      </c>
    </row>
    <row r="359" spans="1:5">
      <c r="A359">
        <f t="shared" si="25"/>
        <v>0.41962508432268697</v>
      </c>
      <c r="B359">
        <f t="shared" si="26"/>
        <v>0.99858881958867474</v>
      </c>
      <c r="C359">
        <f t="shared" si="27"/>
        <v>0.92130588609000741</v>
      </c>
      <c r="D359">
        <f t="shared" si="28"/>
        <v>72976.967000086035</v>
      </c>
      <c r="E359">
        <f t="shared" si="29"/>
        <v>67234.109246175489</v>
      </c>
    </row>
    <row r="360" spans="1:5">
      <c r="A360">
        <f t="shared" si="25"/>
        <v>0.44411836474435762</v>
      </c>
      <c r="B360">
        <f t="shared" si="26"/>
        <v>0.94505281940142671</v>
      </c>
      <c r="C360">
        <f t="shared" si="27"/>
        <v>0.93577152379736572</v>
      </c>
      <c r="D360">
        <f t="shared" si="28"/>
        <v>69530.03092337666</v>
      </c>
      <c r="E360">
        <f t="shared" si="29"/>
        <v>65064.222986846136</v>
      </c>
    </row>
    <row r="361" spans="1:5">
      <c r="A361">
        <f t="shared" si="25"/>
        <v>0.9701319155440622</v>
      </c>
      <c r="B361">
        <f t="shared" si="26"/>
        <v>0.68556454095276642</v>
      </c>
      <c r="C361">
        <f t="shared" si="27"/>
        <v>1.5518285926265025</v>
      </c>
      <c r="D361">
        <f t="shared" si="28"/>
        <v>66759.752212981504</v>
      </c>
      <c r="E361">
        <f t="shared" si="29"/>
        <v>103599.69232076513</v>
      </c>
    </row>
    <row r="362" spans="1:5">
      <c r="A362">
        <f t="shared" si="25"/>
        <v>0.99766573672180048</v>
      </c>
      <c r="B362">
        <f t="shared" si="26"/>
        <v>0.22012398424269364</v>
      </c>
      <c r="C362">
        <f t="shared" si="27"/>
        <v>1.9660264035498474</v>
      </c>
      <c r="D362">
        <f t="shared" si="28"/>
        <v>63642.391916663531</v>
      </c>
      <c r="E362">
        <f t="shared" si="29"/>
        <v>125122.62289322788</v>
      </c>
    </row>
    <row r="363" spans="1:5">
      <c r="A363">
        <f t="shared" si="25"/>
        <v>0.52671982827757247</v>
      </c>
      <c r="B363">
        <f t="shared" si="26"/>
        <v>0.54873114927120881</v>
      </c>
      <c r="C363">
        <f t="shared" si="27"/>
        <v>0.98561122986099103</v>
      </c>
      <c r="D363">
        <f t="shared" si="28"/>
        <v>65863.457246870006</v>
      </c>
      <c r="E363">
        <f t="shared" si="29"/>
        <v>64915.763099984346</v>
      </c>
    </row>
    <row r="364" spans="1:5">
      <c r="A364">
        <f t="shared" si="25"/>
        <v>0.5572941902113786</v>
      </c>
      <c r="B364">
        <f t="shared" si="26"/>
        <v>0.67138603603831148</v>
      </c>
      <c r="C364">
        <f t="shared" si="27"/>
        <v>1.0047895630899899</v>
      </c>
      <c r="D364">
        <f t="shared" si="28"/>
        <v>66661.461918386747</v>
      </c>
      <c r="E364">
        <f t="shared" si="29"/>
        <v>66980.74119591582</v>
      </c>
    </row>
    <row r="365" spans="1:5">
      <c r="A365">
        <f t="shared" si="25"/>
        <v>8.9388822523218447E-2</v>
      </c>
      <c r="B365">
        <f t="shared" si="26"/>
        <v>0.58808864454400189</v>
      </c>
      <c r="C365">
        <f t="shared" si="27"/>
        <v>0.69254500839475464</v>
      </c>
      <c r="D365">
        <f t="shared" si="28"/>
        <v>66112.268495721233</v>
      </c>
      <c r="E365">
        <f t="shared" si="29"/>
        <v>45785.721540365535</v>
      </c>
    </row>
    <row r="366" spans="1:5">
      <c r="A366">
        <f t="shared" si="25"/>
        <v>0.123003725213092</v>
      </c>
      <c r="B366">
        <f t="shared" si="26"/>
        <v>0.29883897478827981</v>
      </c>
      <c r="C366">
        <f t="shared" si="27"/>
        <v>0.72522350031543825</v>
      </c>
      <c r="D366">
        <f t="shared" si="28"/>
        <v>64248.511435017084</v>
      </c>
      <c r="E366">
        <f t="shared" si="29"/>
        <v>46594.530352959548</v>
      </c>
    </row>
    <row r="367" spans="1:5">
      <c r="A367">
        <f t="shared" si="25"/>
        <v>0.65813889828099947</v>
      </c>
      <c r="B367">
        <f t="shared" si="26"/>
        <v>0.80363702677114568</v>
      </c>
      <c r="C367">
        <f t="shared" si="27"/>
        <v>1.0731489651087118</v>
      </c>
      <c r="D367">
        <f t="shared" si="28"/>
        <v>67682.144743807468</v>
      </c>
      <c r="E367">
        <f t="shared" si="29"/>
        <v>72633.023588155018</v>
      </c>
    </row>
    <row r="368" spans="1:5">
      <c r="A368">
        <f t="shared" si="25"/>
        <v>0.69479434172694043</v>
      </c>
      <c r="B368">
        <f t="shared" si="26"/>
        <v>0.10248280049259906</v>
      </c>
      <c r="C368">
        <f t="shared" si="27"/>
        <v>1.1008929292182661</v>
      </c>
      <c r="D368">
        <f t="shared" si="28"/>
        <v>62411.046754694929</v>
      </c>
      <c r="E368">
        <f t="shared" si="29"/>
        <v>68707.880077354261</v>
      </c>
    </row>
    <row r="369" spans="1:5">
      <c r="A369">
        <f t="shared" si="25"/>
        <v>0.23297005555091577</v>
      </c>
      <c r="B369">
        <f t="shared" si="26"/>
        <v>0.19537629595264017</v>
      </c>
      <c r="C369">
        <f t="shared" si="27"/>
        <v>0.80773183998291875</v>
      </c>
      <c r="D369">
        <f t="shared" si="28"/>
        <v>63427.598338231663</v>
      </c>
      <c r="E369">
        <f t="shared" si="29"/>
        <v>51232.490711437378</v>
      </c>
    </row>
    <row r="370" spans="1:5">
      <c r="A370">
        <f t="shared" si="25"/>
        <v>0.27266603975292458</v>
      </c>
      <c r="B370">
        <f t="shared" si="26"/>
        <v>8.2317513151268784E-2</v>
      </c>
      <c r="C370">
        <f t="shared" si="27"/>
        <v>0.83323263176642481</v>
      </c>
      <c r="D370">
        <f t="shared" si="28"/>
        <v>62107.728917509638</v>
      </c>
      <c r="E370">
        <f t="shared" si="29"/>
        <v>51750.18641897224</v>
      </c>
    </row>
    <row r="371" spans="1:5">
      <c r="A371">
        <f t="shared" si="25"/>
        <v>0.81388229433296733</v>
      </c>
      <c r="B371">
        <f t="shared" si="26"/>
        <v>0.76330645208848558</v>
      </c>
      <c r="C371">
        <f t="shared" si="27"/>
        <v>1.2114566522956882</v>
      </c>
      <c r="D371">
        <f t="shared" si="28"/>
        <v>67340.116027195196</v>
      </c>
      <c r="E371">
        <f t="shared" si="29"/>
        <v>81579.631527509118</v>
      </c>
    </row>
    <row r="372" spans="1:5">
      <c r="A372">
        <f t="shared" si="25"/>
        <v>0.856618819291044</v>
      </c>
      <c r="B372">
        <f t="shared" si="26"/>
        <v>0.23834311276428988</v>
      </c>
      <c r="C372">
        <f t="shared" si="27"/>
        <v>1.2649881433998478</v>
      </c>
      <c r="D372">
        <f t="shared" si="28"/>
        <v>63791.746384531762</v>
      </c>
      <c r="E372">
        <f t="shared" si="29"/>
        <v>80695.802823202786</v>
      </c>
    </row>
    <row r="373" spans="1:5">
      <c r="A373">
        <f t="shared" si="25"/>
        <v>0.4008756146271546</v>
      </c>
      <c r="B373">
        <f t="shared" si="26"/>
        <v>0.50742749517868169</v>
      </c>
      <c r="C373">
        <f t="shared" si="27"/>
        <v>0.91026425384169363</v>
      </c>
      <c r="D373">
        <f t="shared" si="28"/>
        <v>65605.549339751669</v>
      </c>
      <c r="E373">
        <f t="shared" si="29"/>
        <v>59718.386417623471</v>
      </c>
    </row>
    <row r="374" spans="1:5">
      <c r="A374">
        <f t="shared" si="25"/>
        <v>0.44665268034129846</v>
      </c>
      <c r="B374">
        <f t="shared" si="26"/>
        <v>0.57055959933166123</v>
      </c>
      <c r="C374">
        <f t="shared" si="27"/>
        <v>0.93727295219377482</v>
      </c>
      <c r="D374">
        <f t="shared" si="28"/>
        <v>66000.916142980379</v>
      </c>
      <c r="E374">
        <f t="shared" si="29"/>
        <v>61860.873520824993</v>
      </c>
    </row>
    <row r="375" spans="1:5">
      <c r="A375">
        <f t="shared" si="25"/>
        <v>0.99395001643347658</v>
      </c>
      <c r="B375">
        <f t="shared" si="26"/>
        <v>0.4277394252232285</v>
      </c>
      <c r="C375">
        <f t="shared" si="27"/>
        <v>1.814942620222262</v>
      </c>
      <c r="D375">
        <f t="shared" si="28"/>
        <v>65106.928623696971</v>
      </c>
      <c r="E375">
        <f t="shared" si="29"/>
        <v>118165.33963091638</v>
      </c>
    </row>
    <row r="376" spans="1:5">
      <c r="A376">
        <f t="shared" si="25"/>
        <v>4.2767622903688629E-2</v>
      </c>
      <c r="B376">
        <f t="shared" si="26"/>
        <v>7.8966972853383499E-2</v>
      </c>
      <c r="C376">
        <f t="shared" si="27"/>
        <v>0.63058414272379493</v>
      </c>
      <c r="D376">
        <f t="shared" si="28"/>
        <v>62052.082807632527</v>
      </c>
      <c r="E376">
        <f t="shared" si="29"/>
        <v>39129.059441476893</v>
      </c>
    </row>
    <row r="377" spans="1:5">
      <c r="A377">
        <f t="shared" si="25"/>
        <v>0.59310549975193405</v>
      </c>
      <c r="B377">
        <f t="shared" si="26"/>
        <v>0.52424224222212623</v>
      </c>
      <c r="C377">
        <f t="shared" si="27"/>
        <v>1.0280205991085327</v>
      </c>
      <c r="D377">
        <f t="shared" si="28"/>
        <v>65710.326488906067</v>
      </c>
      <c r="E377">
        <f t="shared" si="29"/>
        <v>67551.569204742496</v>
      </c>
    </row>
    <row r="378" spans="1:5">
      <c r="A378">
        <f t="shared" si="25"/>
        <v>0.64496364697821384</v>
      </c>
      <c r="B378">
        <f t="shared" si="26"/>
        <v>0.76356523332945647</v>
      </c>
      <c r="C378">
        <f t="shared" si="27"/>
        <v>1.0636321539275304</v>
      </c>
      <c r="D378">
        <f t="shared" si="28"/>
        <v>67342.199997671385</v>
      </c>
      <c r="E378">
        <f t="shared" si="29"/>
        <v>71627.329233741752</v>
      </c>
    </row>
    <row r="379" spans="1:5">
      <c r="A379">
        <f t="shared" si="25"/>
        <v>0.19834206458252712</v>
      </c>
      <c r="B379">
        <f t="shared" si="26"/>
        <v>0.79693594617537467</v>
      </c>
      <c r="C379">
        <f t="shared" si="27"/>
        <v>0.78416210005940168</v>
      </c>
      <c r="D379">
        <f t="shared" si="28"/>
        <v>67622.639238529999</v>
      </c>
      <c r="E379">
        <f t="shared" si="29"/>
        <v>53027.11079684498</v>
      </c>
    </row>
    <row r="380" spans="1:5">
      <c r="A380">
        <f t="shared" si="25"/>
        <v>0.25324075256487433</v>
      </c>
      <c r="B380">
        <f t="shared" si="26"/>
        <v>0.62435438075988015</v>
      </c>
      <c r="C380">
        <f t="shared" si="27"/>
        <v>0.82091839645941223</v>
      </c>
      <c r="D380">
        <f t="shared" si="28"/>
        <v>66346.503651867199</v>
      </c>
      <c r="E380">
        <f t="shared" si="29"/>
        <v>54465.065388579358</v>
      </c>
    </row>
    <row r="381" spans="1:5">
      <c r="A381">
        <f t="shared" si="25"/>
        <v>0.80965971092525524</v>
      </c>
      <c r="B381">
        <f t="shared" si="26"/>
        <v>0.2458205370829738</v>
      </c>
      <c r="C381">
        <f t="shared" si="27"/>
        <v>1.2067258088897406</v>
      </c>
      <c r="D381">
        <f t="shared" si="28"/>
        <v>63851.211373760219</v>
      </c>
      <c r="E381">
        <f t="shared" si="29"/>
        <v>77050.904693590608</v>
      </c>
    </row>
    <row r="382" spans="1:5">
      <c r="A382">
        <f t="shared" si="25"/>
        <v>0.8675989396636703</v>
      </c>
      <c r="B382">
        <f t="shared" si="26"/>
        <v>0.66133441514465474</v>
      </c>
      <c r="C382">
        <f t="shared" si="27"/>
        <v>1.2808554568583739</v>
      </c>
      <c r="D382">
        <f t="shared" si="28"/>
        <v>66592.820592245684</v>
      </c>
      <c r="E382">
        <f t="shared" si="29"/>
        <v>85295.777643168578</v>
      </c>
    </row>
    <row r="383" spans="1:5">
      <c r="A383">
        <f t="shared" si="25"/>
        <v>0.42705843878011907</v>
      </c>
      <c r="B383">
        <f t="shared" si="26"/>
        <v>0.87089601494492341</v>
      </c>
      <c r="C383">
        <f t="shared" si="27"/>
        <v>0.92568891851028234</v>
      </c>
      <c r="D383">
        <f t="shared" si="28"/>
        <v>68367.547955416725</v>
      </c>
      <c r="E383">
        <f t="shared" si="29"/>
        <v>63287.081528049574</v>
      </c>
    </row>
    <row r="384" spans="1:5">
      <c r="A384">
        <f t="shared" si="25"/>
        <v>0.48803820827460132</v>
      </c>
      <c r="B384">
        <f t="shared" si="26"/>
        <v>0.87450533648377982</v>
      </c>
      <c r="C384">
        <f t="shared" si="27"/>
        <v>0.96199400045737027</v>
      </c>
      <c r="D384">
        <f t="shared" si="28"/>
        <v>68410.549135510912</v>
      </c>
      <c r="E384">
        <f t="shared" si="29"/>
        <v>65810.537836355637</v>
      </c>
    </row>
    <row r="385" spans="1:5">
      <c r="A385">
        <f t="shared" si="25"/>
        <v>5.0538248147117937E-2</v>
      </c>
      <c r="B385">
        <f t="shared" si="26"/>
        <v>0.67216237976122395</v>
      </c>
      <c r="C385">
        <f t="shared" si="27"/>
        <v>0.64328703179444646</v>
      </c>
      <c r="D385">
        <f t="shared" si="28"/>
        <v>66666.797983836033</v>
      </c>
      <c r="E385">
        <f t="shared" si="29"/>
        <v>42885.886594261872</v>
      </c>
    </row>
    <row r="386" spans="1:5">
      <c r="A386">
        <f t="shared" si="25"/>
        <v>0.11455855839766782</v>
      </c>
      <c r="B386">
        <f t="shared" si="26"/>
        <v>0.26386714477725587</v>
      </c>
      <c r="C386">
        <f t="shared" si="27"/>
        <v>0.71755257389159299</v>
      </c>
      <c r="D386">
        <f t="shared" si="28"/>
        <v>63990.880332797184</v>
      </c>
      <c r="E386">
        <f t="shared" si="29"/>
        <v>45916.820888387534</v>
      </c>
    </row>
    <row r="387" spans="1:5">
      <c r="A387">
        <f t="shared" si="25"/>
        <v>0.68009913902625185</v>
      </c>
      <c r="B387">
        <f t="shared" si="26"/>
        <v>0.64961963153187541</v>
      </c>
      <c r="C387">
        <f t="shared" si="27"/>
        <v>1.089527385309814</v>
      </c>
      <c r="D387">
        <f t="shared" si="28"/>
        <v>66513.801917453413</v>
      </c>
      <c r="E387">
        <f t="shared" si="29"/>
        <v>72468.608690137902</v>
      </c>
    </row>
    <row r="388" spans="1:5">
      <c r="A388">
        <f t="shared" si="25"/>
        <v>0.7471599900328697</v>
      </c>
      <c r="B388">
        <f t="shared" si="26"/>
        <v>0.82941984002508251</v>
      </c>
      <c r="C388">
        <f t="shared" si="27"/>
        <v>1.1447025633444565</v>
      </c>
      <c r="D388">
        <f t="shared" si="28"/>
        <v>67923.544578299639</v>
      </c>
      <c r="E388">
        <f t="shared" si="29"/>
        <v>77752.255590221059</v>
      </c>
    </row>
    <row r="389" spans="1:5">
      <c r="A389">
        <f t="shared" si="25"/>
        <v>0.31574111141752148</v>
      </c>
      <c r="B389">
        <f t="shared" si="26"/>
        <v>0.80326777025687734</v>
      </c>
      <c r="C389">
        <f t="shared" si="27"/>
        <v>0.85970977871618548</v>
      </c>
      <c r="D389">
        <f t="shared" si="28"/>
        <v>67678.834153783857</v>
      </c>
      <c r="E389">
        <f t="shared" si="29"/>
        <v>58184.155534118938</v>
      </c>
    </row>
    <row r="390" spans="1:5">
      <c r="A390">
        <f t="shared" si="25"/>
        <v>0.38584250318020685</v>
      </c>
      <c r="B390">
        <f t="shared" si="26"/>
        <v>0.57116342222725991</v>
      </c>
      <c r="C390">
        <f t="shared" si="27"/>
        <v>0.90141197361508651</v>
      </c>
      <c r="D390">
        <f t="shared" si="28"/>
        <v>66004.735896482918</v>
      </c>
      <c r="E390">
        <f t="shared" si="29"/>
        <v>59497.459252391214</v>
      </c>
    </row>
    <row r="391" spans="1:5">
      <c r="A391">
        <f t="shared" si="25"/>
        <v>0.95746416532092615</v>
      </c>
      <c r="B391">
        <f t="shared" si="26"/>
        <v>0.1331067959362302</v>
      </c>
      <c r="C391">
        <f t="shared" si="27"/>
        <v>1.4907018236927017</v>
      </c>
      <c r="D391">
        <f t="shared" si="28"/>
        <v>62797.785254480106</v>
      </c>
      <c r="E391">
        <f t="shared" si="29"/>
        <v>93612.773002716145</v>
      </c>
    </row>
    <row r="392" spans="1:5">
      <c r="A392">
        <f t="shared" si="25"/>
        <v>3.0606097839679158E-2</v>
      </c>
      <c r="B392">
        <f t="shared" si="26"/>
        <v>0.48909789138378823</v>
      </c>
      <c r="C392">
        <f t="shared" si="27"/>
        <v>0.60699186188373178</v>
      </c>
      <c r="D392">
        <f t="shared" si="28"/>
        <v>65491.420066474122</v>
      </c>
      <c r="E392">
        <f t="shared" si="29"/>
        <v>39752.75900355872</v>
      </c>
    </row>
    <row r="393" spans="1:5">
      <c r="A393">
        <f t="shared" si="25"/>
        <v>0.60526830073646631</v>
      </c>
      <c r="B393">
        <f t="shared" si="26"/>
        <v>0.63913670856993376</v>
      </c>
      <c r="C393">
        <f t="shared" si="27"/>
        <v>1.0361395868439043</v>
      </c>
      <c r="D393">
        <f t="shared" si="28"/>
        <v>66443.904728815469</v>
      </c>
      <c r="E393">
        <f t="shared" si="29"/>
        <v>68845.159994010595</v>
      </c>
    </row>
    <row r="394" spans="1:5">
      <c r="A394">
        <f t="shared" si="25"/>
        <v>0.68145077401128695</v>
      </c>
      <c r="B394">
        <f t="shared" si="26"/>
        <v>0.58322324749466725</v>
      </c>
      <c r="C394">
        <f t="shared" si="27"/>
        <v>1.0905584216408564</v>
      </c>
      <c r="D394">
        <f t="shared" si="28"/>
        <v>66081.25931181552</v>
      </c>
      <c r="E394">
        <f t="shared" si="29"/>
        <v>72065.473855133678</v>
      </c>
    </row>
    <row r="395" spans="1:5">
      <c r="A395">
        <f t="shared" si="25"/>
        <v>0.25915351766414174</v>
      </c>
      <c r="B395">
        <f t="shared" si="26"/>
        <v>0.32135750815798803</v>
      </c>
      <c r="C395">
        <f t="shared" si="27"/>
        <v>0.82469693230504193</v>
      </c>
      <c r="D395">
        <f t="shared" si="28"/>
        <v>64407.066907291512</v>
      </c>
      <c r="E395">
        <f t="shared" si="29"/>
        <v>53116.310497208891</v>
      </c>
    </row>
    <row r="396" spans="1:5">
      <c r="A396">
        <f t="shared" si="25"/>
        <v>0.33837653169503001</v>
      </c>
      <c r="B396">
        <f t="shared" si="26"/>
        <v>0.85353949055989675</v>
      </c>
      <c r="C396">
        <f t="shared" si="27"/>
        <v>0.87330144582735392</v>
      </c>
      <c r="D396">
        <f t="shared" si="28"/>
        <v>68171.574451008011</v>
      </c>
      <c r="E396">
        <f t="shared" si="29"/>
        <v>59534.3345323924</v>
      </c>
    </row>
    <row r="397" spans="1:5">
      <c r="A397">
        <f t="shared" si="25"/>
        <v>0.91911981610395244</v>
      </c>
      <c r="B397">
        <f t="shared" si="26"/>
        <v>0.17976919470039299</v>
      </c>
      <c r="C397">
        <f t="shared" si="27"/>
        <v>1.3751239463048219</v>
      </c>
      <c r="D397">
        <f t="shared" si="28"/>
        <v>63283.560176095787</v>
      </c>
      <c r="E397">
        <f t="shared" si="29"/>
        <v>87022.739005571508</v>
      </c>
    </row>
    <row r="398" spans="1:5">
      <c r="A398">
        <f t="shared" si="25"/>
        <v>1.383370890908564E-3</v>
      </c>
      <c r="B398">
        <f t="shared" si="26"/>
        <v>0.30004662057947729</v>
      </c>
      <c r="C398">
        <f t="shared" si="27"/>
        <v>0.45868900063832302</v>
      </c>
      <c r="D398">
        <f t="shared" si="28"/>
        <v>64257.145629954175</v>
      </c>
      <c r="E398">
        <f t="shared" si="29"/>
        <v>29474.045912874866</v>
      </c>
    </row>
    <row r="399" spans="1:5">
      <c r="A399">
        <f t="shared" si="25"/>
        <v>0.5851671960558984</v>
      </c>
      <c r="B399">
        <f t="shared" si="26"/>
        <v>0.21437176819714909</v>
      </c>
      <c r="C399">
        <f t="shared" si="27"/>
        <v>1.0227883913114912</v>
      </c>
      <c r="D399">
        <f t="shared" si="28"/>
        <v>63593.78695854047</v>
      </c>
      <c r="E399">
        <f t="shared" si="29"/>
        <v>65042.987060731299</v>
      </c>
    </row>
    <row r="400" spans="1:5">
      <c r="A400">
        <f t="shared" ref="A400:A463" si="30">IFERROR(MOD(MOD(($E$8+((ROW()-15)*(ROW()-14)/2)*13)*171,30269)/30269+MOD(($E$8+((ROW()-15)*(ROW()-14)/2)*29)*172,30307)/30307+MOD(($E$8+((ROW()-15)*(ROW()-14)/2)*47)*170,30323)/30323,1),0.5)</f>
        <v>0.67047129159892238</v>
      </c>
      <c r="B400">
        <f t="shared" ref="B400:B463" si="31">IFERROR(MOD(MOD(($E$8+((ROW()-15)*(ROW()-14)/2)*17)*171,30269)/30269+MOD(($E$8+((ROW()-15)*(ROW()-14)/2)*41)*172,30307)/30307+MOD(($E$8+((ROW()-15)*(ROW()-14)/2)*83)*170,30323)/30323,1),0.5)</f>
        <v>0.92274463755340852</v>
      </c>
      <c r="C400">
        <f t="shared" ref="C400:C463" si="32">IFERROR(EXP($E$4*NORMSINV(MIN(MAX(A400,0.000000001),0.999999999))-$E$4^2/2),1)</f>
        <v>1.0822624689982452</v>
      </c>
      <c r="D400">
        <f t="shared" ref="D400:D463" si="33">IFERROR($B$5+$E$5*NORMSINV(MIN(MAX(B400,0.000000001),0.999999999)),$B$5)</f>
        <v>69095.643893623768</v>
      </c>
      <c r="E400">
        <f t="shared" ref="E400:E463" si="34">IFERROR(C400*MAX(D400,0),0)</f>
        <v>74779.62215733678</v>
      </c>
    </row>
    <row r="401" spans="1:5">
      <c r="A401">
        <f t="shared" si="30"/>
        <v>0.25729565751997985</v>
      </c>
      <c r="B401">
        <f t="shared" si="31"/>
        <v>0.42516522864825568</v>
      </c>
      <c r="C401">
        <f t="shared" si="32"/>
        <v>0.8235126894710888</v>
      </c>
      <c r="D401">
        <f t="shared" si="33"/>
        <v>65090.624054757704</v>
      </c>
      <c r="E401">
        <f t="shared" si="34"/>
        <v>53602.954874685063</v>
      </c>
    </row>
    <row r="402" spans="1:5">
      <c r="A402">
        <f t="shared" si="30"/>
        <v>0.34564029381907124</v>
      </c>
      <c r="B402">
        <f t="shared" si="31"/>
        <v>0.72163354148169034</v>
      </c>
      <c r="C402">
        <f t="shared" si="32"/>
        <v>0.8776306443323928</v>
      </c>
      <c r="D402">
        <f t="shared" si="33"/>
        <v>67019.019448717023</v>
      </c>
      <c r="E402">
        <f t="shared" si="34"/>
        <v>58817.945221302682</v>
      </c>
    </row>
    <row r="403" spans="1:5">
      <c r="A403">
        <f t="shared" si="30"/>
        <v>0.93550520049619645</v>
      </c>
      <c r="B403">
        <f t="shared" si="31"/>
        <v>0.81214957605371296</v>
      </c>
      <c r="C403">
        <f t="shared" si="32"/>
        <v>1.4166211941415632</v>
      </c>
      <c r="D403">
        <f t="shared" si="33"/>
        <v>67759.541789019364</v>
      </c>
      <c r="E403">
        <f t="shared" si="34"/>
        <v>95989.603003645767</v>
      </c>
    </row>
    <row r="404" spans="1:5">
      <c r="A404">
        <f t="shared" si="30"/>
        <v>2.6890377551355371E-2</v>
      </c>
      <c r="B404">
        <f t="shared" si="31"/>
        <v>0.69671333236432287</v>
      </c>
      <c r="C404">
        <f t="shared" si="32"/>
        <v>0.59845762095531219</v>
      </c>
      <c r="D404">
        <f t="shared" si="33"/>
        <v>66838.374215138538</v>
      </c>
      <c r="E404">
        <f t="shared" si="34"/>
        <v>39999.93442131269</v>
      </c>
    </row>
    <row r="405" spans="1:5">
      <c r="A405">
        <f t="shared" si="30"/>
        <v>0.61979582498454833</v>
      </c>
      <c r="B405">
        <f t="shared" si="31"/>
        <v>0.37532481041352095</v>
      </c>
      <c r="C405">
        <f t="shared" si="32"/>
        <v>1.046013371338167</v>
      </c>
      <c r="D405">
        <f t="shared" si="33"/>
        <v>64770.003624550605</v>
      </c>
      <c r="E405">
        <f t="shared" si="34"/>
        <v>67750.289852901478</v>
      </c>
    </row>
    <row r="406" spans="1:5">
      <c r="A406">
        <f t="shared" si="30"/>
        <v>0.7142215427957751</v>
      </c>
      <c r="B406">
        <f t="shared" si="31"/>
        <v>0.84798401020130632</v>
      </c>
      <c r="C406">
        <f t="shared" si="32"/>
        <v>1.1164901945741501</v>
      </c>
      <c r="D406">
        <f t="shared" si="33"/>
        <v>68112.187685305442</v>
      </c>
      <c r="E406">
        <f t="shared" si="34"/>
        <v>76046.589681637706</v>
      </c>
    </row>
    <row r="407" spans="1:5">
      <c r="A407">
        <f t="shared" si="30"/>
        <v>0.3101675309850358</v>
      </c>
      <c r="B407">
        <f t="shared" si="31"/>
        <v>0.11469093172767986</v>
      </c>
      <c r="C407">
        <f t="shared" si="32"/>
        <v>0.85633477812329484</v>
      </c>
      <c r="D407">
        <f t="shared" si="33"/>
        <v>62573.927555625109</v>
      </c>
      <c r="E407">
        <f t="shared" si="34"/>
        <v>53584.230369649355</v>
      </c>
    </row>
    <row r="408" spans="1:5">
      <c r="A408">
        <f t="shared" si="30"/>
        <v>0.40763378955233032</v>
      </c>
      <c r="B408">
        <f t="shared" si="31"/>
        <v>0.17544557499264068</v>
      </c>
      <c r="C408">
        <f t="shared" si="32"/>
        <v>0.91424288952616162</v>
      </c>
      <c r="D408">
        <f t="shared" si="33"/>
        <v>63242.287067433441</v>
      </c>
      <c r="E408">
        <f t="shared" si="34"/>
        <v>57818.811268773352</v>
      </c>
    </row>
    <row r="409" spans="1:5">
      <c r="A409">
        <f t="shared" si="30"/>
        <v>6.6203184976583174E-3</v>
      </c>
      <c r="B409">
        <f t="shared" si="31"/>
        <v>3.0247939996189466E-2</v>
      </c>
      <c r="C409">
        <f t="shared" si="32"/>
        <v>0.52175475525272308</v>
      </c>
      <c r="D409">
        <f t="shared" si="33"/>
        <v>60896.861338069546</v>
      </c>
      <c r="E409">
        <f t="shared" si="34"/>
        <v>31773.22698310349</v>
      </c>
    </row>
    <row r="410" spans="1:5">
      <c r="A410">
        <f t="shared" si="30"/>
        <v>0.10712711782102047</v>
      </c>
      <c r="B410">
        <f t="shared" si="31"/>
        <v>0.67909802673832553</v>
      </c>
      <c r="C410">
        <f t="shared" si="32"/>
        <v>0.71053432255584481</v>
      </c>
      <c r="D410">
        <f t="shared" si="33"/>
        <v>66714.700095591426</v>
      </c>
      <c r="E410">
        <f t="shared" si="34"/>
        <v>47403.084236937408</v>
      </c>
    </row>
    <row r="411" spans="1:5">
      <c r="A411">
        <f t="shared" si="30"/>
        <v>0.7091541875224161</v>
      </c>
      <c r="B411">
        <f t="shared" si="31"/>
        <v>0.12199583521904955</v>
      </c>
      <c r="C411">
        <f t="shared" si="32"/>
        <v>1.1123544182072531</v>
      </c>
      <c r="D411">
        <f t="shared" si="33"/>
        <v>62665.541919154675</v>
      </c>
      <c r="E411">
        <f t="shared" si="34"/>
        <v>69706.292423123537</v>
      </c>
    </row>
    <row r="412" spans="1:5">
      <c r="A412">
        <f t="shared" si="30"/>
        <v>0.81270152760184589</v>
      </c>
      <c r="B412">
        <f t="shared" si="31"/>
        <v>0.3589413654383613</v>
      </c>
      <c r="C412">
        <f t="shared" si="32"/>
        <v>1.2101252717789668</v>
      </c>
      <c r="D412">
        <f t="shared" si="33"/>
        <v>64661.942124287954</v>
      </c>
      <c r="E412">
        <f t="shared" si="34"/>
        <v>78249.050286909784</v>
      </c>
    </row>
    <row r="413" spans="1:5">
      <c r="A413">
        <f t="shared" si="30"/>
        <v>0.41776913805930938</v>
      </c>
      <c r="B413">
        <f t="shared" si="31"/>
        <v>0.38993461739626079</v>
      </c>
      <c r="C413">
        <f t="shared" si="32"/>
        <v>0.92021221275120779</v>
      </c>
      <c r="D413">
        <f t="shared" si="33"/>
        <v>64865.115831872725</v>
      </c>
      <c r="E413">
        <f t="shared" si="34"/>
        <v>59689.671770011002</v>
      </c>
    </row>
    <row r="414" spans="1:5">
      <c r="A414">
        <f t="shared" si="30"/>
        <v>0.52435701889480679</v>
      </c>
      <c r="B414">
        <f t="shared" si="31"/>
        <v>0.214975591092748</v>
      </c>
      <c r="C414">
        <f t="shared" si="32"/>
        <v>0.98414994848333115</v>
      </c>
      <c r="D414">
        <f t="shared" si="33"/>
        <v>63598.924306867433</v>
      </c>
      <c r="E414">
        <f t="shared" si="34"/>
        <v>62590.878080198861</v>
      </c>
    </row>
    <row r="415" spans="1:5">
      <c r="A415">
        <f t="shared" si="30"/>
        <v>0.13246517010833792</v>
      </c>
      <c r="B415">
        <f t="shared" si="31"/>
        <v>0.8340642865278225</v>
      </c>
      <c r="C415">
        <f t="shared" si="32"/>
        <v>0.73348114974220369</v>
      </c>
      <c r="D415">
        <f t="shared" si="33"/>
        <v>67969.435139456458</v>
      </c>
      <c r="E415">
        <f t="shared" si="34"/>
        <v>49854.299433416665</v>
      </c>
    </row>
    <row r="416" spans="1:5">
      <c r="A416">
        <f t="shared" si="30"/>
        <v>0.24209359169990274</v>
      </c>
      <c r="B416">
        <f t="shared" si="31"/>
        <v>0.24720070370148495</v>
      </c>
      <c r="C416">
        <f t="shared" si="32"/>
        <v>0.81371428026096937</v>
      </c>
      <c r="D416">
        <f t="shared" si="33"/>
        <v>63862.080057760257</v>
      </c>
      <c r="E416">
        <f t="shared" si="34"/>
        <v>51965.48651016879</v>
      </c>
    </row>
    <row r="417" spans="1:5">
      <c r="A417">
        <f t="shared" si="30"/>
        <v>0.85324228366950172</v>
      </c>
      <c r="B417">
        <f t="shared" si="31"/>
        <v>0.45438484261373491</v>
      </c>
      <c r="C417">
        <f t="shared" si="32"/>
        <v>1.2603131656091497</v>
      </c>
      <c r="D417">
        <f t="shared" si="33"/>
        <v>65274.687132840052</v>
      </c>
      <c r="E417">
        <f t="shared" si="34"/>
        <v>82266.547574536482</v>
      </c>
    </row>
    <row r="418" spans="1:5">
      <c r="A418">
        <f t="shared" si="30"/>
        <v>0.96591124601713441</v>
      </c>
      <c r="B418">
        <f t="shared" si="31"/>
        <v>0.45561670326457282</v>
      </c>
      <c r="C418">
        <f t="shared" si="32"/>
        <v>1.5291437598441877</v>
      </c>
      <c r="D418">
        <f t="shared" si="33"/>
        <v>65282.405722623946</v>
      </c>
      <c r="E418">
        <f t="shared" si="34"/>
        <v>99826.1833383669</v>
      </c>
    </row>
    <row r="419" spans="1:5">
      <c r="A419">
        <f t="shared" si="30"/>
        <v>0.58010047874280102</v>
      </c>
      <c r="B419">
        <f t="shared" si="31"/>
        <v>0.25089628565399824</v>
      </c>
      <c r="C419">
        <f t="shared" si="32"/>
        <v>1.0194748416745478</v>
      </c>
      <c r="D419">
        <f t="shared" si="33"/>
        <v>63891.023976331628</v>
      </c>
      <c r="E419">
        <f t="shared" si="34"/>
        <v>65135.291552695424</v>
      </c>
    </row>
    <row r="420" spans="1:5">
      <c r="A420">
        <f t="shared" si="30"/>
        <v>0.69580998184650134</v>
      </c>
      <c r="B420">
        <f t="shared" si="31"/>
        <v>0.84022358978201139</v>
      </c>
      <c r="C420">
        <f t="shared" si="32"/>
        <v>1.1016915859450798</v>
      </c>
      <c r="D420">
        <f t="shared" si="33"/>
        <v>68031.59394600743</v>
      </c>
      <c r="E420">
        <f t="shared" si="34"/>
        <v>74949.834628748606</v>
      </c>
    </row>
    <row r="421" spans="1:5">
      <c r="A421">
        <f t="shared" si="30"/>
        <v>0.31303975532823536</v>
      </c>
      <c r="B421">
        <f t="shared" si="31"/>
        <v>0.2235986156486125</v>
      </c>
      <c r="C421">
        <f t="shared" si="32"/>
        <v>0.85807558617160506</v>
      </c>
      <c r="D421">
        <f t="shared" si="33"/>
        <v>63671.398883435657</v>
      </c>
      <c r="E421">
        <f t="shared" si="34"/>
        <v>54634.872919270128</v>
      </c>
    </row>
    <row r="422" spans="1:5">
      <c r="A422">
        <f t="shared" si="30"/>
        <v>0.43178979918800331</v>
      </c>
      <c r="B422">
        <f t="shared" si="31"/>
        <v>0.40102136325380089</v>
      </c>
      <c r="C422">
        <f t="shared" si="32"/>
        <v>0.92848150003378271</v>
      </c>
      <c r="D422">
        <f t="shared" si="33"/>
        <v>64936.611544290143</v>
      </c>
      <c r="E422">
        <f t="shared" si="34"/>
        <v>60292.442493753566</v>
      </c>
    </row>
    <row r="423" spans="1:5">
      <c r="A423">
        <f t="shared" si="30"/>
        <v>5.2060113425805188E-2</v>
      </c>
      <c r="B423">
        <f t="shared" si="31"/>
        <v>0.37249183259757723</v>
      </c>
      <c r="C423">
        <f t="shared" si="32"/>
        <v>0.64561645425061309</v>
      </c>
      <c r="D423">
        <f t="shared" si="33"/>
        <v>64751.430130478104</v>
      </c>
      <c r="E423">
        <f t="shared" si="34"/>
        <v>41804.58872849559</v>
      </c>
    </row>
    <row r="424" spans="1:5">
      <c r="A424">
        <f t="shared" si="30"/>
        <v>0.17385069804164077</v>
      </c>
      <c r="B424">
        <f t="shared" si="31"/>
        <v>0.13801002367994109</v>
      </c>
      <c r="C424">
        <f t="shared" si="32"/>
        <v>0.76642817453484513</v>
      </c>
      <c r="D424">
        <f t="shared" si="33"/>
        <v>62853.72229284831</v>
      </c>
      <c r="E424">
        <f t="shared" si="34"/>
        <v>48172.863639627831</v>
      </c>
    </row>
    <row r="425" spans="1:5">
      <c r="A425">
        <f t="shared" si="30"/>
        <v>0.79716155303551028</v>
      </c>
      <c r="B425">
        <f t="shared" si="31"/>
        <v>0.69757593650089267</v>
      </c>
      <c r="C425">
        <f t="shared" si="32"/>
        <v>1.1931911376162967</v>
      </c>
      <c r="D425">
        <f t="shared" si="33"/>
        <v>66844.51008616497</v>
      </c>
      <c r="E425">
        <f t="shared" si="34"/>
        <v>79758.277033115199</v>
      </c>
    </row>
    <row r="426" spans="1:5">
      <c r="A426">
        <f t="shared" si="30"/>
        <v>0.9219926784074135</v>
      </c>
      <c r="B426">
        <f t="shared" si="31"/>
        <v>5.118957106043176E-2</v>
      </c>
      <c r="C426">
        <f t="shared" si="32"/>
        <v>1.3818191786999712</v>
      </c>
      <c r="D426">
        <f t="shared" si="33"/>
        <v>61502.242795297258</v>
      </c>
      <c r="E426">
        <f t="shared" si="34"/>
        <v>84984.978627603879</v>
      </c>
    </row>
    <row r="427" spans="1:5">
      <c r="A427">
        <f t="shared" si="30"/>
        <v>0.54834407415735065</v>
      </c>
      <c r="B427">
        <f t="shared" si="31"/>
        <v>0.19885092735855903</v>
      </c>
      <c r="C427">
        <f t="shared" si="32"/>
        <v>0.99912007278023152</v>
      </c>
      <c r="D427">
        <f t="shared" si="33"/>
        <v>63458.69663771995</v>
      </c>
      <c r="E427">
        <f t="shared" si="34"/>
        <v>63402.857603217388</v>
      </c>
    </row>
    <row r="428" spans="1:5">
      <c r="A428">
        <f t="shared" si="30"/>
        <v>0.6762157402853215</v>
      </c>
      <c r="B428">
        <f t="shared" si="31"/>
        <v>0.14056000539527358</v>
      </c>
      <c r="C428">
        <f t="shared" si="32"/>
        <v>1.0865805569327107</v>
      </c>
      <c r="D428">
        <f t="shared" si="33"/>
        <v>62882.277747817956</v>
      </c>
      <c r="E428">
        <f t="shared" si="34"/>
        <v>68326.660376421438</v>
      </c>
    </row>
    <row r="429" spans="1:5">
      <c r="A429">
        <f t="shared" si="30"/>
        <v>0.30560767679132628</v>
      </c>
      <c r="B429">
        <f t="shared" si="31"/>
        <v>0.87631680517057597</v>
      </c>
      <c r="C429">
        <f t="shared" si="32"/>
        <v>0.85356392132309244</v>
      </c>
      <c r="D429">
        <f t="shared" si="33"/>
        <v>68432.456444130657</v>
      </c>
      <c r="E429">
        <f t="shared" si="34"/>
        <v>58411.47586822389</v>
      </c>
    </row>
    <row r="430" spans="1:5">
      <c r="A430">
        <f t="shared" si="30"/>
        <v>0.43651988367536493</v>
      </c>
      <c r="B430">
        <f t="shared" si="31"/>
        <v>0.40612132668446632</v>
      </c>
      <c r="C430">
        <f t="shared" si="32"/>
        <v>0.93127595626441373</v>
      </c>
      <c r="D430">
        <f t="shared" si="33"/>
        <v>64969.323940937429</v>
      </c>
      <c r="E430">
        <f t="shared" si="34"/>
        <v>60504.369280948973</v>
      </c>
    </row>
    <row r="431" spans="1:5">
      <c r="A431">
        <f t="shared" si="30"/>
        <v>6.8952360937437618E-2</v>
      </c>
      <c r="B431">
        <f t="shared" si="31"/>
        <v>0.72997356993694362</v>
      </c>
      <c r="C431">
        <f t="shared" si="32"/>
        <v>0.66887388754710397</v>
      </c>
      <c r="D431">
        <f t="shared" si="33"/>
        <v>67081.193049741385</v>
      </c>
      <c r="E431">
        <f t="shared" si="34"/>
        <v>44868.858376478289</v>
      </c>
    </row>
    <row r="432" spans="1:5">
      <c r="A432">
        <f t="shared" si="30"/>
        <v>0.20290510857754374</v>
      </c>
      <c r="B432">
        <f t="shared" si="31"/>
        <v>0.8478735349280091</v>
      </c>
      <c r="C432">
        <f t="shared" si="32"/>
        <v>0.78735793443911006</v>
      </c>
      <c r="D432">
        <f t="shared" si="33"/>
        <v>68111.021515675355</v>
      </c>
      <c r="E432">
        <f t="shared" si="34"/>
        <v>53627.753213119933</v>
      </c>
    </row>
    <row r="433" spans="1:5">
      <c r="A433">
        <f t="shared" si="30"/>
        <v>0.83837812659568378</v>
      </c>
      <c r="B433">
        <f t="shared" si="31"/>
        <v>0.75982122165766208</v>
      </c>
      <c r="C433">
        <f t="shared" si="32"/>
        <v>1.2407344485769853</v>
      </c>
      <c r="D433">
        <f t="shared" si="33"/>
        <v>67312.170270241942</v>
      </c>
      <c r="E433">
        <f t="shared" si="34"/>
        <v>83516.52846276878</v>
      </c>
    </row>
    <row r="434" spans="1:5">
      <c r="A434">
        <f t="shared" si="30"/>
        <v>0.97537141499185753</v>
      </c>
      <c r="B434">
        <f t="shared" si="31"/>
        <v>0.46581663012590302</v>
      </c>
      <c r="C434">
        <f t="shared" si="32"/>
        <v>1.5846122173188069</v>
      </c>
      <c r="D434">
        <f t="shared" si="33"/>
        <v>65346.220784801953</v>
      </c>
      <c r="E434">
        <f t="shared" si="34"/>
        <v>103548.41981120933</v>
      </c>
    </row>
    <row r="435" spans="1:5">
      <c r="A435">
        <f t="shared" si="30"/>
        <v>0.61388497376606521</v>
      </c>
      <c r="B435">
        <f t="shared" si="31"/>
        <v>0.96585976033273158</v>
      </c>
      <c r="C435">
        <f t="shared" si="32"/>
        <v>1.0419716984165632</v>
      </c>
      <c r="D435">
        <f t="shared" si="33"/>
        <v>70087.595893287551</v>
      </c>
      <c r="E435">
        <f t="shared" si="34"/>
        <v>73029.291330862572</v>
      </c>
    </row>
    <row r="436" spans="1:5">
      <c r="A436">
        <f t="shared" si="30"/>
        <v>0.75391880291830704</v>
      </c>
      <c r="B436">
        <f t="shared" si="31"/>
        <v>0.25995061227814764</v>
      </c>
      <c r="C436">
        <f t="shared" si="32"/>
        <v>1.1508127089240308</v>
      </c>
      <c r="D436">
        <f t="shared" si="33"/>
        <v>63961.002421011355</v>
      </c>
      <c r="E436">
        <f t="shared" si="34"/>
        <v>73607.134461620561</v>
      </c>
    </row>
    <row r="437" spans="1:5">
      <c r="A437">
        <f t="shared" si="30"/>
        <v>0.39547290244858235</v>
      </c>
      <c r="B437">
        <f t="shared" si="31"/>
        <v>0.34808918596215177</v>
      </c>
      <c r="C437">
        <f t="shared" si="32"/>
        <v>0.90708360234589047</v>
      </c>
      <c r="D437">
        <f t="shared" si="33"/>
        <v>64589.42962951737</v>
      </c>
      <c r="E437">
        <f t="shared" si="34"/>
        <v>58588.012501809011</v>
      </c>
    </row>
    <row r="438" spans="1:5">
      <c r="A438">
        <f t="shared" si="30"/>
        <v>0.53854727235689137</v>
      </c>
      <c r="B438">
        <f t="shared" si="31"/>
        <v>0.23027548138474319</v>
      </c>
      <c r="C438">
        <f t="shared" si="32"/>
        <v>0.99296846889429702</v>
      </c>
      <c r="D438">
        <f t="shared" si="33"/>
        <v>63726.429432336612</v>
      </c>
      <c r="E438">
        <f t="shared" si="34"/>
        <v>63278.335061527752</v>
      </c>
    </row>
    <row r="439" spans="1:5">
      <c r="A439">
        <f t="shared" si="30"/>
        <v>0.18314191264323454</v>
      </c>
      <c r="B439">
        <f t="shared" si="31"/>
        <v>0.90650949854592233</v>
      </c>
      <c r="C439">
        <f t="shared" si="32"/>
        <v>0.77328001649973122</v>
      </c>
      <c r="D439">
        <f t="shared" si="33"/>
        <v>68836.79712325288</v>
      </c>
      <c r="E439">
        <f t="shared" si="34"/>
        <v>53230.119615257638</v>
      </c>
    </row>
    <row r="440" spans="1:5">
      <c r="A440">
        <f t="shared" si="30"/>
        <v>0.32925682330761141</v>
      </c>
      <c r="B440">
        <f t="shared" si="31"/>
        <v>0.37679123744568921</v>
      </c>
      <c r="C440">
        <f t="shared" si="32"/>
        <v>0.86784551671330346</v>
      </c>
      <c r="D440">
        <f t="shared" si="33"/>
        <v>64779.600400650495</v>
      </c>
      <c r="E440">
        <f t="shared" si="34"/>
        <v>56218.685782183849</v>
      </c>
    </row>
    <row r="441" spans="1:5">
      <c r="A441">
        <f t="shared" si="30"/>
        <v>0.97689200435002199</v>
      </c>
      <c r="B441">
        <f t="shared" si="31"/>
        <v>0.64112069808404382</v>
      </c>
      <c r="C441">
        <f t="shared" si="32"/>
        <v>1.5953670285967363</v>
      </c>
      <c r="D441">
        <f t="shared" si="33"/>
        <v>66457.078104670247</v>
      </c>
      <c r="E441">
        <f t="shared" si="34"/>
        <v>106023.431225069</v>
      </c>
    </row>
    <row r="442" spans="1:5">
      <c r="A442">
        <f t="shared" si="30"/>
        <v>0.1260474557704665</v>
      </c>
      <c r="B442">
        <f t="shared" si="31"/>
        <v>0.69949788046098615</v>
      </c>
      <c r="C442">
        <f t="shared" si="32"/>
        <v>0.72791648225600991</v>
      </c>
      <c r="D442">
        <f t="shared" si="33"/>
        <v>66858.209574901659</v>
      </c>
      <c r="E442">
        <f t="shared" si="34"/>
        <v>48667.192723697495</v>
      </c>
    </row>
    <row r="443" spans="1:5">
      <c r="A443">
        <f t="shared" si="30"/>
        <v>0.77672317756894493</v>
      </c>
      <c r="B443">
        <f t="shared" si="31"/>
        <v>0.551922784576516</v>
      </c>
      <c r="C443">
        <f t="shared" si="32"/>
        <v>1.1723886994647281</v>
      </c>
      <c r="D443">
        <f t="shared" si="33"/>
        <v>65883.487677229612</v>
      </c>
      <c r="E443">
        <f t="shared" si="34"/>
        <v>77241.056434107668</v>
      </c>
    </row>
    <row r="444" spans="1:5">
      <c r="A444">
        <f t="shared" si="30"/>
        <v>0.92891916974545707</v>
      </c>
      <c r="B444">
        <f t="shared" si="31"/>
        <v>0.1983954104306338</v>
      </c>
      <c r="C444">
        <f t="shared" si="32"/>
        <v>1.3989152921085168</v>
      </c>
      <c r="D444">
        <f t="shared" si="33"/>
        <v>63454.638526382849</v>
      </c>
      <c r="E444">
        <f t="shared" si="34"/>
        <v>88767.664189775212</v>
      </c>
    </row>
    <row r="445" spans="1:5">
      <c r="A445">
        <f t="shared" si="30"/>
        <v>0.58263543230000314</v>
      </c>
      <c r="B445">
        <f t="shared" si="31"/>
        <v>0.63891575802333911</v>
      </c>
      <c r="C445">
        <f t="shared" si="32"/>
        <v>1.021130193792527</v>
      </c>
      <c r="D445">
        <f t="shared" si="33"/>
        <v>66442.439197741012</v>
      </c>
      <c r="E445">
        <f t="shared" si="34"/>
        <v>67846.380814037475</v>
      </c>
    </row>
    <row r="446" spans="1:5">
      <c r="A446">
        <f t="shared" si="30"/>
        <v>0.73787196523258314</v>
      </c>
      <c r="B446">
        <f t="shared" si="31"/>
        <v>0.87348382735463215</v>
      </c>
      <c r="C446">
        <f t="shared" si="32"/>
        <v>1.1364957650010876</v>
      </c>
      <c r="D446">
        <f t="shared" si="33"/>
        <v>68398.292560008762</v>
      </c>
      <c r="E446">
        <f t="shared" si="34"/>
        <v>77734.369827755363</v>
      </c>
    </row>
    <row r="447" spans="1:5">
      <c r="A447">
        <f t="shared" si="30"/>
        <v>0.39462876854319684</v>
      </c>
      <c r="B447">
        <f t="shared" si="31"/>
        <v>0.90209961842451269</v>
      </c>
      <c r="C447">
        <f t="shared" si="32"/>
        <v>0.90658660415585224</v>
      </c>
      <c r="D447">
        <f t="shared" si="33"/>
        <v>68772.331798961459</v>
      </c>
      <c r="E447">
        <f t="shared" si="34"/>
        <v>62348.074745500002</v>
      </c>
    </row>
    <row r="448" spans="1:5">
      <c r="A448">
        <f t="shared" si="30"/>
        <v>0.55290584223184425</v>
      </c>
      <c r="B448">
        <f t="shared" si="31"/>
        <v>0.72476313123298119</v>
      </c>
      <c r="C448">
        <f t="shared" si="32"/>
        <v>1.0020036056374229</v>
      </c>
      <c r="D448">
        <f t="shared" si="33"/>
        <v>67042.240881733334</v>
      </c>
      <c r="E448">
        <f t="shared" si="34"/>
        <v>67176.567093509439</v>
      </c>
    </row>
    <row r="449" spans="1:5">
      <c r="A449">
        <f t="shared" si="30"/>
        <v>0.21270318629852558</v>
      </c>
      <c r="B449">
        <f t="shared" si="31"/>
        <v>0.3414743657800372</v>
      </c>
      <c r="C449">
        <f t="shared" si="32"/>
        <v>0.79412116832979363</v>
      </c>
      <c r="D449">
        <f t="shared" si="33"/>
        <v>64544.825504576183</v>
      </c>
      <c r="E449">
        <f t="shared" si="34"/>
        <v>51256.4122393367</v>
      </c>
    </row>
    <row r="450" spans="1:5">
      <c r="A450">
        <f t="shared" si="30"/>
        <v>0.37402080074324084</v>
      </c>
      <c r="B450">
        <f t="shared" si="31"/>
        <v>0.75223332206568094</v>
      </c>
      <c r="C450">
        <f t="shared" si="32"/>
        <v>0.89444158331948143</v>
      </c>
      <c r="D450">
        <f t="shared" si="33"/>
        <v>67252.080094637815</v>
      </c>
      <c r="E450">
        <f t="shared" si="34"/>
        <v>60153.05700137643</v>
      </c>
    </row>
    <row r="451" spans="1:5">
      <c r="A451">
        <f t="shared" si="30"/>
        <v>3.6858685565989591E-2</v>
      </c>
      <c r="B451">
        <f t="shared" si="31"/>
        <v>0.95704000008991252</v>
      </c>
      <c r="C451">
        <f t="shared" si="32"/>
        <v>0.61981087336906127</v>
      </c>
      <c r="D451">
        <f t="shared" si="33"/>
        <v>69824.744883548556</v>
      </c>
      <c r="E451">
        <f t="shared" si="34"/>
        <v>43278.136109044121</v>
      </c>
    </row>
    <row r="452" spans="1:5">
      <c r="A452">
        <f t="shared" si="30"/>
        <v>0.20121684076677249</v>
      </c>
      <c r="B452">
        <f t="shared" si="31"/>
        <v>0.95589439985273184</v>
      </c>
      <c r="C452">
        <f t="shared" si="32"/>
        <v>0.78617908038634765</v>
      </c>
      <c r="D452">
        <f t="shared" si="33"/>
        <v>69793.911625409892</v>
      </c>
      <c r="E452">
        <f t="shared" si="34"/>
        <v>54870.513258230771</v>
      </c>
    </row>
    <row r="453" spans="1:5">
      <c r="A453">
        <f t="shared" si="30"/>
        <v>0.86709526634558909</v>
      </c>
      <c r="B453">
        <f t="shared" si="31"/>
        <v>0.74879652135413854</v>
      </c>
      <c r="C453">
        <f t="shared" si="32"/>
        <v>1.2801038326579799</v>
      </c>
      <c r="D453">
        <f t="shared" si="33"/>
        <v>67225.188055473162</v>
      </c>
      <c r="E453">
        <f t="shared" si="34"/>
        <v>86055.22088096464</v>
      </c>
    </row>
    <row r="454" spans="1:5">
      <c r="A454">
        <f t="shared" si="30"/>
        <v>3.4493962302439396E-2</v>
      </c>
      <c r="B454">
        <f t="shared" si="31"/>
        <v>0.33574636459413298</v>
      </c>
      <c r="C454">
        <f t="shared" si="32"/>
        <v>0.6151588764982695</v>
      </c>
      <c r="D454">
        <f t="shared" si="33"/>
        <v>64505.935669360006</v>
      </c>
      <c r="E454">
        <f t="shared" si="34"/>
        <v>39681.398913833153</v>
      </c>
    </row>
    <row r="455" spans="1:5">
      <c r="A455">
        <f t="shared" si="30"/>
        <v>0.70341292863732385</v>
      </c>
      <c r="B455">
        <f t="shared" si="31"/>
        <v>0.71674392957271538</v>
      </c>
      <c r="C455">
        <f t="shared" si="32"/>
        <v>1.1077273563367982</v>
      </c>
      <c r="D455">
        <f t="shared" si="33"/>
        <v>66982.991469680841</v>
      </c>
      <c r="E455">
        <f t="shared" si="34"/>
        <v>74198.892060239858</v>
      </c>
    </row>
    <row r="456" spans="1:5">
      <c r="A456">
        <f t="shared" si="30"/>
        <v>0.87385216535024179</v>
      </c>
      <c r="B456">
        <f t="shared" si="31"/>
        <v>0.89178921628988528</v>
      </c>
      <c r="C456">
        <f t="shared" si="32"/>
        <v>1.2903942544917935</v>
      </c>
      <c r="D456">
        <f t="shared" si="33"/>
        <v>68629.49320990227</v>
      </c>
      <c r="E456">
        <f t="shared" si="34"/>
        <v>88559.103726741436</v>
      </c>
    </row>
    <row r="457" spans="1:5">
      <c r="A457">
        <f t="shared" si="30"/>
        <v>0.54581167244119388</v>
      </c>
      <c r="B457">
        <f t="shared" si="31"/>
        <v>0.86088222474564269</v>
      </c>
      <c r="C457">
        <f t="shared" si="32"/>
        <v>0.99752466378453464</v>
      </c>
      <c r="D457">
        <f t="shared" si="33"/>
        <v>68252.436796833426</v>
      </c>
      <c r="E457">
        <f t="shared" si="34"/>
        <v>68083.489068236464</v>
      </c>
    </row>
    <row r="458" spans="1:5">
      <c r="A458">
        <f t="shared" si="30"/>
        <v>0.71929144991017968</v>
      </c>
      <c r="B458">
        <f t="shared" si="31"/>
        <v>0.62402295493998805</v>
      </c>
      <c r="C458">
        <f t="shared" si="32"/>
        <v>1.120678695813756</v>
      </c>
      <c r="D458">
        <f t="shared" si="33"/>
        <v>66344.334249058433</v>
      </c>
      <c r="E458">
        <f t="shared" si="34"/>
        <v>74350.681980866706</v>
      </c>
    </row>
    <row r="459" spans="1:5">
      <c r="A459">
        <f t="shared" si="30"/>
        <v>0.39429149775719941</v>
      </c>
      <c r="B459">
        <f t="shared" si="31"/>
        <v>0.18121140687292092</v>
      </c>
      <c r="C459">
        <f t="shared" si="32"/>
        <v>0.9063880251161327</v>
      </c>
      <c r="D459">
        <f t="shared" si="33"/>
        <v>63297.188330569777</v>
      </c>
      <c r="E459">
        <f t="shared" si="34"/>
        <v>57371.813526349062</v>
      </c>
    </row>
    <row r="460" spans="1:5">
      <c r="A460">
        <f t="shared" si="30"/>
        <v>0.57081181598225261</v>
      </c>
      <c r="B460">
        <f t="shared" si="31"/>
        <v>0.53244758054444175</v>
      </c>
      <c r="C460">
        <f t="shared" si="32"/>
        <v>1.0134499887450346</v>
      </c>
      <c r="D460">
        <f t="shared" si="33"/>
        <v>65761.542287452452</v>
      </c>
      <c r="E460">
        <f t="shared" si="34"/>
        <v>66646.0342910748</v>
      </c>
    </row>
    <row r="461" spans="1:5">
      <c r="A461">
        <f t="shared" si="30"/>
        <v>0.24885240458534019</v>
      </c>
      <c r="B461">
        <f t="shared" si="31"/>
        <v>0.67773147595455008</v>
      </c>
      <c r="C461">
        <f t="shared" si="32"/>
        <v>0.81809535942996814</v>
      </c>
      <c r="D461">
        <f t="shared" si="33"/>
        <v>66705.228310344377</v>
      </c>
      <c r="E461">
        <f t="shared" si="34"/>
        <v>54571.237730409266</v>
      </c>
    </row>
    <row r="462" spans="1:5">
      <c r="A462">
        <f t="shared" si="30"/>
        <v>0.42841326356646103</v>
      </c>
      <c r="B462">
        <f t="shared" si="31"/>
        <v>0.61706309310324592</v>
      </c>
      <c r="C462">
        <f t="shared" si="32"/>
        <v>0.92648832892216515</v>
      </c>
      <c r="D462">
        <f t="shared" si="33"/>
        <v>66298.912588398351</v>
      </c>
      <c r="E462">
        <f t="shared" si="34"/>
        <v>61425.168733381885</v>
      </c>
    </row>
    <row r="463" spans="1:5">
      <c r="A463">
        <f t="shared" si="30"/>
        <v>0.10949439292561602</v>
      </c>
      <c r="B463">
        <f t="shared" si="31"/>
        <v>0.35044243199052971</v>
      </c>
      <c r="C463">
        <f t="shared" si="32"/>
        <v>0.71279931457580026</v>
      </c>
      <c r="D463">
        <f t="shared" si="33"/>
        <v>64605.221838067257</v>
      </c>
      <c r="E463">
        <f t="shared" si="34"/>
        <v>46050.557844191862</v>
      </c>
    </row>
    <row r="464" spans="1:5">
      <c r="A464">
        <f t="shared" ref="A464:A527" si="35">IFERROR(MOD(MOD(($E$8+((ROW()-15)*(ROW()-14)/2)*13)*171,30269)/30269+MOD(($E$8+((ROW()-15)*(ROW()-14)/2)*29)*172,30307)/30307+MOD(($E$8+((ROW()-15)*(ROW()-14)/2)*47)*170,30323)/30323,1),0.5)</f>
        <v>0.29209579266280494</v>
      </c>
      <c r="B464">
        <f t="shared" ref="B464:B527" si="36">IFERROR(MOD(MOD(($E$8+((ROW()-15)*(ROW()-14)/2)*17)*171,30269)/30269+MOD(($E$8+((ROW()-15)*(ROW()-14)/2)*41)*172,30307)/30307+MOD(($E$8+((ROW()-15)*(ROW()-14)/2)*83)*170,30323)/30323,1),0.5)</f>
        <v>0.87786949261640124</v>
      </c>
      <c r="C464">
        <f t="shared" ref="C464:C527" si="37">IFERROR(EXP($E$4*NORMSINV(MIN(MAX(A464,0.000000001),0.999999999))-$E$4^2/2),1)</f>
        <v>0.84529626274570924</v>
      </c>
      <c r="D464">
        <f t="shared" ref="D464:D527" si="38">IFERROR($B$5+$E$5*NORMSINV(MIN(MAX(B464,0.000000001),0.999999999)),$B$5)</f>
        <v>68451.413635304008</v>
      </c>
      <c r="E464">
        <f t="shared" ref="E464:E527" si="39">IFERROR(C464*MAX(D464,0),0)</f>
        <v>57861.724125583161</v>
      </c>
    </row>
    <row r="465" spans="1:5">
      <c r="A465">
        <f t="shared" si="35"/>
        <v>0.97621746277802735</v>
      </c>
      <c r="B465">
        <f t="shared" si="36"/>
        <v>0.19934427498086027</v>
      </c>
      <c r="C465">
        <f t="shared" si="37"/>
        <v>1.5905158835601305</v>
      </c>
      <c r="D465">
        <f t="shared" si="38"/>
        <v>63463.085459472437</v>
      </c>
      <c r="E465">
        <f t="shared" si="39"/>
        <v>100939.04544302488</v>
      </c>
    </row>
    <row r="466" spans="1:5">
      <c r="A466">
        <f t="shared" si="35"/>
        <v>0.16185940327128367</v>
      </c>
      <c r="B466">
        <f t="shared" si="36"/>
        <v>0.31486677908390703</v>
      </c>
      <c r="C466">
        <f t="shared" si="37"/>
        <v>0.75732623534349153</v>
      </c>
      <c r="D466">
        <f t="shared" si="38"/>
        <v>64361.87270349342</v>
      </c>
      <c r="E466">
        <f t="shared" si="39"/>
        <v>48742.934754193702</v>
      </c>
    </row>
    <row r="467" spans="1:5">
      <c r="A467">
        <f t="shared" si="35"/>
        <v>0.84902161414257393</v>
      </c>
      <c r="B467">
        <f t="shared" si="36"/>
        <v>0.22443700492554153</v>
      </c>
      <c r="C467">
        <f t="shared" si="37"/>
        <v>1.2545934345750827</v>
      </c>
      <c r="D467">
        <f t="shared" si="38"/>
        <v>63678.359396080807</v>
      </c>
      <c r="E467">
        <f t="shared" si="39"/>
        <v>79890.451622835506</v>
      </c>
    </row>
    <row r="468" spans="1:5">
      <c r="A468">
        <f t="shared" si="35"/>
        <v>3.7704095391898118E-2</v>
      </c>
      <c r="B468">
        <f t="shared" si="36"/>
        <v>0.92805495250576375</v>
      </c>
      <c r="C468">
        <f t="shared" si="37"/>
        <v>0.62142291880568934</v>
      </c>
      <c r="D468">
        <f t="shared" si="38"/>
        <v>69189.229508591568</v>
      </c>
      <c r="E468">
        <f t="shared" si="39"/>
        <v>42995.7729511457</v>
      </c>
    </row>
    <row r="469" spans="1:5">
      <c r="A469">
        <f t="shared" si="35"/>
        <v>0.72790684701925601</v>
      </c>
      <c r="B469">
        <f t="shared" si="36"/>
        <v>0.42572062182457349</v>
      </c>
      <c r="C469">
        <f t="shared" si="37"/>
        <v>1.127918245463954</v>
      </c>
      <c r="D469">
        <f t="shared" si="38"/>
        <v>65094.143515470678</v>
      </c>
      <c r="E469">
        <f t="shared" si="39"/>
        <v>73420.872143948509</v>
      </c>
    </row>
    <row r="470" spans="1:5">
      <c r="A470">
        <f t="shared" si="35"/>
        <v>0.91962986902464772</v>
      </c>
      <c r="B470">
        <f t="shared" si="36"/>
        <v>0.71743401288197095</v>
      </c>
      <c r="C470">
        <f t="shared" si="37"/>
        <v>1.3762969957681443</v>
      </c>
      <c r="D470">
        <f t="shared" si="38"/>
        <v>66988.057896861617</v>
      </c>
      <c r="E470">
        <f t="shared" si="39"/>
        <v>92195.462835793165</v>
      </c>
    </row>
    <row r="471" spans="1:5">
      <c r="A471">
        <f t="shared" si="35"/>
        <v>0.61287316140807313</v>
      </c>
      <c r="B471">
        <f t="shared" si="36"/>
        <v>0.80319512567795615</v>
      </c>
      <c r="C471">
        <f t="shared" si="37"/>
        <v>1.0412832511466827</v>
      </c>
      <c r="D471">
        <f t="shared" si="38"/>
        <v>67678.183297952084</v>
      </c>
      <c r="E471">
        <f t="shared" si="39"/>
        <v>70472.158736192665</v>
      </c>
    </row>
    <row r="472" spans="1:5">
      <c r="A472">
        <f t="shared" si="35"/>
        <v>0.8076367241695328</v>
      </c>
      <c r="B472">
        <f t="shared" si="36"/>
        <v>0.68300396021252907</v>
      </c>
      <c r="C472">
        <f t="shared" si="37"/>
        <v>1.2044886477520209</v>
      </c>
      <c r="D472">
        <f t="shared" si="38"/>
        <v>66741.866246891237</v>
      </c>
      <c r="E472">
        <f t="shared" si="39"/>
        <v>80389.820224164272</v>
      </c>
    </row>
    <row r="473" spans="1:5">
      <c r="A473">
        <f t="shared" si="35"/>
        <v>0.50392055730902574</v>
      </c>
      <c r="B473">
        <f t="shared" si="36"/>
        <v>0.35686051648568951</v>
      </c>
      <c r="C473">
        <f t="shared" si="37"/>
        <v>0.97161745626459251</v>
      </c>
      <c r="D473">
        <f t="shared" si="38"/>
        <v>64648.09926065131</v>
      </c>
      <c r="E473">
        <f t="shared" si="39"/>
        <v>62813.221755974912</v>
      </c>
    </row>
    <row r="474" spans="1:5">
      <c r="A474">
        <f t="shared" si="35"/>
        <v>0.70172466082655283</v>
      </c>
      <c r="B474">
        <f t="shared" si="36"/>
        <v>0.82476479449743767</v>
      </c>
      <c r="C474">
        <f t="shared" si="37"/>
        <v>1.1063782300037042</v>
      </c>
      <c r="D474">
        <f t="shared" si="38"/>
        <v>67878.345189568659</v>
      </c>
      <c r="E474">
        <f t="shared" si="39"/>
        <v>75099.123406415427</v>
      </c>
    </row>
    <row r="475" spans="1:5">
      <c r="A475">
        <f t="shared" si="35"/>
        <v>0.40104903472211362</v>
      </c>
      <c r="B475">
        <f t="shared" si="36"/>
        <v>8.6716794247773787E-2</v>
      </c>
      <c r="C475">
        <f t="shared" si="37"/>
        <v>0.91036634452733789</v>
      </c>
      <c r="D475">
        <f t="shared" si="38"/>
        <v>62178.260612256534</v>
      </c>
      <c r="E475">
        <f t="shared" si="39"/>
        <v>56604.995822648132</v>
      </c>
    </row>
    <row r="476" spans="1:5">
      <c r="A476">
        <f t="shared" si="35"/>
        <v>0.60189367899570834</v>
      </c>
      <c r="B476">
        <f t="shared" si="36"/>
        <v>0.14271651573669741</v>
      </c>
      <c r="C476">
        <f t="shared" si="37"/>
        <v>1.0338740196546099</v>
      </c>
      <c r="D476">
        <f t="shared" si="38"/>
        <v>62906.153717505069</v>
      </c>
      <c r="E476">
        <f t="shared" si="39"/>
        <v>65037.038004927745</v>
      </c>
    </row>
    <row r="477" spans="1:5">
      <c r="A477">
        <f t="shared" si="35"/>
        <v>0.30425859364733698</v>
      </c>
      <c r="B477">
        <f t="shared" si="36"/>
        <v>0.99276395896420877</v>
      </c>
      <c r="C477">
        <f t="shared" si="37"/>
        <v>0.85274237019750376</v>
      </c>
      <c r="D477">
        <f t="shared" si="38"/>
        <v>71632.938692323165</v>
      </c>
      <c r="E477">
        <f t="shared" si="39"/>
        <v>61084.44192470413</v>
      </c>
    </row>
    <row r="478" spans="1:5">
      <c r="A478">
        <f t="shared" si="35"/>
        <v>0.50814377867699911</v>
      </c>
      <c r="B478">
        <f t="shared" si="36"/>
        <v>0.63685912393030764</v>
      </c>
      <c r="C478">
        <f t="shared" si="37"/>
        <v>0.9741925654890653</v>
      </c>
      <c r="D478">
        <f t="shared" si="38"/>
        <v>66428.812522069042</v>
      </c>
      <c r="E478">
        <f t="shared" si="39"/>
        <v>64714.455293266583</v>
      </c>
    </row>
    <row r="479" spans="1:5">
      <c r="A479">
        <f t="shared" si="35"/>
        <v>0.21354923408469517</v>
      </c>
      <c r="B479">
        <f t="shared" si="36"/>
        <v>7.5002010634994454E-2</v>
      </c>
      <c r="C479">
        <f t="shared" si="37"/>
        <v>0.79469916707880484</v>
      </c>
      <c r="D479">
        <f t="shared" si="38"/>
        <v>61983.87129443905</v>
      </c>
      <c r="E479">
        <f t="shared" si="39"/>
        <v>49258.530890010552</v>
      </c>
    </row>
    <row r="480" spans="1:5">
      <c r="A480">
        <f t="shared" si="35"/>
        <v>0.42047495987042538</v>
      </c>
      <c r="B480">
        <f t="shared" si="36"/>
        <v>0.30719261907826878</v>
      </c>
      <c r="C480">
        <f t="shared" si="37"/>
        <v>0.92180678162923924</v>
      </c>
      <c r="D480">
        <f t="shared" si="38"/>
        <v>64307.920594858246</v>
      </c>
      <c r="E480">
        <f t="shared" si="39"/>
        <v>59279.477316814955</v>
      </c>
    </row>
    <row r="481" spans="1:5">
      <c r="A481">
        <f t="shared" si="35"/>
        <v>0.12892095603418907</v>
      </c>
      <c r="B481">
        <f t="shared" si="36"/>
        <v>0.33343094926013106</v>
      </c>
      <c r="C481">
        <f t="shared" si="37"/>
        <v>0.73042650725735858</v>
      </c>
      <c r="D481">
        <f t="shared" si="38"/>
        <v>64490.142283520014</v>
      </c>
      <c r="E481">
        <f t="shared" si="39"/>
        <v>47105.309380681618</v>
      </c>
    </row>
    <row r="482" spans="1:5">
      <c r="A482">
        <f t="shared" si="35"/>
        <v>0.33888722257598669</v>
      </c>
      <c r="B482">
        <f t="shared" si="36"/>
        <v>0.15371700118058085</v>
      </c>
      <c r="C482">
        <f t="shared" si="37"/>
        <v>0.87360626536973784</v>
      </c>
      <c r="D482">
        <f t="shared" si="38"/>
        <v>63024.313908261756</v>
      </c>
      <c r="E482">
        <f t="shared" si="39"/>
        <v>55058.435500886582</v>
      </c>
    </row>
    <row r="483" spans="1:5">
      <c r="A483">
        <f t="shared" si="35"/>
        <v>5.0373759495818238E-2</v>
      </c>
      <c r="B483">
        <f t="shared" si="36"/>
        <v>0.76805077483961837</v>
      </c>
      <c r="C483">
        <f t="shared" si="37"/>
        <v>0.64303244052026276</v>
      </c>
      <c r="D483">
        <f t="shared" si="38"/>
        <v>67378.524310914421</v>
      </c>
      <c r="E483">
        <f t="shared" si="39"/>
        <v>43326.576926301153</v>
      </c>
    </row>
    <row r="484" spans="1:5">
      <c r="A484">
        <f t="shared" si="35"/>
        <v>0.26338056679368371</v>
      </c>
      <c r="B484">
        <f t="shared" si="36"/>
        <v>0.17643227023724339</v>
      </c>
      <c r="C484">
        <f t="shared" si="37"/>
        <v>0.82738142433573603</v>
      </c>
      <c r="D484">
        <f t="shared" si="38"/>
        <v>63251.762110345095</v>
      </c>
      <c r="E484">
        <f t="shared" si="39"/>
        <v>52333.333026602464</v>
      </c>
    </row>
    <row r="485" spans="1:5">
      <c r="A485">
        <f t="shared" si="35"/>
        <v>0.97790764446958267</v>
      </c>
      <c r="B485">
        <f t="shared" si="36"/>
        <v>0.37886148737345615</v>
      </c>
      <c r="C485">
        <f t="shared" si="37"/>
        <v>1.6029305862036443</v>
      </c>
      <c r="D485">
        <f t="shared" si="38"/>
        <v>64793.129037896782</v>
      </c>
      <c r="E485">
        <f t="shared" si="39"/>
        <v>103858.88831068425</v>
      </c>
    </row>
    <row r="486" spans="1:5">
      <c r="A486">
        <f t="shared" si="35"/>
        <v>0.19395499252351578</v>
      </c>
      <c r="B486">
        <f t="shared" si="36"/>
        <v>0.37533842624825664</v>
      </c>
      <c r="C486">
        <f t="shared" si="37"/>
        <v>0.7810598852841123</v>
      </c>
      <c r="D486">
        <f t="shared" si="38"/>
        <v>64770.092785004155</v>
      </c>
      <c r="E486">
        <f t="shared" si="39"/>
        <v>50589.321240496654</v>
      </c>
    </row>
    <row r="487" spans="1:5">
      <c r="A487">
        <f t="shared" si="35"/>
        <v>0.91152261095548237</v>
      </c>
      <c r="B487">
        <f t="shared" si="36"/>
        <v>0.16586308686164486</v>
      </c>
      <c r="C487">
        <f t="shared" si="37"/>
        <v>1.3583866490650618</v>
      </c>
      <c r="D487">
        <f t="shared" si="38"/>
        <v>63148.448479656086</v>
      </c>
      <c r="E487">
        <f t="shared" si="39"/>
        <v>85780.009323937731</v>
      </c>
    </row>
    <row r="488" spans="1:5">
      <c r="A488">
        <f t="shared" si="35"/>
        <v>0.13061049976548311</v>
      </c>
      <c r="B488">
        <f t="shared" si="36"/>
        <v>0.75043546921362081</v>
      </c>
      <c r="C488">
        <f t="shared" si="37"/>
        <v>0.73188822532962283</v>
      </c>
      <c r="D488">
        <f t="shared" si="38"/>
        <v>67237.987831678256</v>
      </c>
      <c r="E488">
        <f t="shared" si="39"/>
        <v>49210.691588861773</v>
      </c>
    </row>
    <row r="489" spans="1:5">
      <c r="A489">
        <f t="shared" si="35"/>
        <v>0.85121865895351756</v>
      </c>
      <c r="B489">
        <f t="shared" si="36"/>
        <v>0.12905557330418427</v>
      </c>
      <c r="C489">
        <f t="shared" si="37"/>
        <v>1.2575540309556898</v>
      </c>
      <c r="D489">
        <f t="shared" si="38"/>
        <v>62750.48858927752</v>
      </c>
      <c r="E489">
        <f t="shared" si="39"/>
        <v>78912.129869884971</v>
      </c>
    </row>
    <row r="490" spans="1:5">
      <c r="A490">
        <f t="shared" si="35"/>
        <v>7.3347088519585935E-2</v>
      </c>
      <c r="B490">
        <f t="shared" si="36"/>
        <v>0.30172339913333568</v>
      </c>
      <c r="C490">
        <f t="shared" si="37"/>
        <v>0.67430217077271748</v>
      </c>
      <c r="D490">
        <f t="shared" si="38"/>
        <v>64269.107930342805</v>
      </c>
      <c r="E490">
        <f t="shared" si="39"/>
        <v>43336.798991056225</v>
      </c>
    </row>
    <row r="491" spans="1:5">
      <c r="A491">
        <f t="shared" si="35"/>
        <v>0.79699578846368802</v>
      </c>
      <c r="B491">
        <f t="shared" si="36"/>
        <v>0.2684389467010746</v>
      </c>
      <c r="C491">
        <f t="shared" si="37"/>
        <v>1.1930160574563897</v>
      </c>
      <c r="D491">
        <f t="shared" si="38"/>
        <v>64025.472674589619</v>
      </c>
      <c r="E491">
        <f t="shared" si="39"/>
        <v>76383.416987020712</v>
      </c>
    </row>
    <row r="492" spans="1:5">
      <c r="A492">
        <f t="shared" si="35"/>
        <v>2.2164758785823802E-2</v>
      </c>
      <c r="B492">
        <f t="shared" si="36"/>
        <v>2.9202216007401027E-2</v>
      </c>
      <c r="C492">
        <f t="shared" si="37"/>
        <v>0.58626088691552347</v>
      </c>
      <c r="D492">
        <f t="shared" si="38"/>
        <v>60858.3929730522</v>
      </c>
      <c r="E492">
        <f t="shared" si="39"/>
        <v>35678.895440635046</v>
      </c>
    </row>
    <row r="493" spans="1:5">
      <c r="A493">
        <f t="shared" si="35"/>
        <v>0.74885399948599352</v>
      </c>
      <c r="B493">
        <f t="shared" si="36"/>
        <v>0.58401320705231541</v>
      </c>
      <c r="C493">
        <f t="shared" si="37"/>
        <v>1.1462227293132561</v>
      </c>
      <c r="D493">
        <f t="shared" si="38"/>
        <v>66086.288394031304</v>
      </c>
      <c r="E493">
        <f t="shared" si="39"/>
        <v>75749.605853189525</v>
      </c>
    </row>
    <row r="494" spans="1:5">
      <c r="A494">
        <f t="shared" si="35"/>
        <v>0.97706351056419716</v>
      </c>
      <c r="B494">
        <f t="shared" si="36"/>
        <v>0.9328719198358173</v>
      </c>
      <c r="C494">
        <f t="shared" si="37"/>
        <v>1.5966218486607058</v>
      </c>
      <c r="D494">
        <f t="shared" si="38"/>
        <v>69278.819648379154</v>
      </c>
      <c r="E494">
        <f t="shared" si="39"/>
        <v>110612.07710002676</v>
      </c>
    </row>
    <row r="495" spans="1:5">
      <c r="A495">
        <f t="shared" si="35"/>
        <v>0.70679329202043473</v>
      </c>
      <c r="B495">
        <f t="shared" si="36"/>
        <v>7.5778354357907141E-2</v>
      </c>
      <c r="C495">
        <f t="shared" si="37"/>
        <v>1.1104442862133568</v>
      </c>
      <c r="D495">
        <f t="shared" si="38"/>
        <v>61997.439544141802</v>
      </c>
      <c r="E495">
        <f t="shared" si="39"/>
        <v>68844.702501650288</v>
      </c>
    </row>
    <row r="496" spans="1:5">
      <c r="A496">
        <f t="shared" si="35"/>
        <v>0.93804334385470578</v>
      </c>
      <c r="B496">
        <f t="shared" si="36"/>
        <v>1.2732510618584492E-2</v>
      </c>
      <c r="C496">
        <f t="shared" si="37"/>
        <v>1.4238840745229286</v>
      </c>
      <c r="D496">
        <f t="shared" si="38"/>
        <v>60009.875742945558</v>
      </c>
      <c r="E496">
        <f t="shared" si="39"/>
        <v>85447.106384479979</v>
      </c>
    </row>
    <row r="497" spans="1:5">
      <c r="A497">
        <f t="shared" si="35"/>
        <v>0.67081366606701076</v>
      </c>
      <c r="B497">
        <f t="shared" si="36"/>
        <v>0.74373438861784957</v>
      </c>
      <c r="C497">
        <f t="shared" si="37"/>
        <v>1.0825184915187955</v>
      </c>
      <c r="D497">
        <f t="shared" si="38"/>
        <v>67185.929655311658</v>
      </c>
      <c r="E497">
        <f t="shared" si="39"/>
        <v>72730.011221755893</v>
      </c>
    </row>
    <row r="498" spans="1:5">
      <c r="A498">
        <f t="shared" si="35"/>
        <v>0.90510425865734967</v>
      </c>
      <c r="B498">
        <f t="shared" si="36"/>
        <v>0.26878398835570216</v>
      </c>
      <c r="C498">
        <f t="shared" si="37"/>
        <v>1.3452085440302606</v>
      </c>
      <c r="D498">
        <f t="shared" si="38"/>
        <v>64028.071299324198</v>
      </c>
      <c r="E498">
        <f t="shared" si="39"/>
        <v>86131.108569629621</v>
      </c>
    </row>
    <row r="499" spans="1:5">
      <c r="A499">
        <f t="shared" si="35"/>
        <v>0.64091512162572251</v>
      </c>
      <c r="B499">
        <f t="shared" si="36"/>
        <v>0.58788130983214271</v>
      </c>
      <c r="C499">
        <f t="shared" si="37"/>
        <v>1.0607502991117523</v>
      </c>
      <c r="D499">
        <f t="shared" si="38"/>
        <v>66110.945340664868</v>
      </c>
      <c r="E499">
        <f t="shared" si="39"/>
        <v>70127.205044670962</v>
      </c>
    </row>
    <row r="500" spans="1:5">
      <c r="A500">
        <f t="shared" si="35"/>
        <v>0.87824625497212905</v>
      </c>
      <c r="B500">
        <f t="shared" si="36"/>
        <v>0.70102635304717076</v>
      </c>
      <c r="C500">
        <f t="shared" si="37"/>
        <v>1.2973401687667412</v>
      </c>
      <c r="D500">
        <f t="shared" si="38"/>
        <v>66869.132684585187</v>
      </c>
      <c r="E500">
        <f t="shared" si="39"/>
        <v>86752.011882305349</v>
      </c>
    </row>
    <row r="501" spans="1:5">
      <c r="A501">
        <f t="shared" si="35"/>
        <v>0.6170976586965693</v>
      </c>
      <c r="B501">
        <f t="shared" si="36"/>
        <v>0.60821911800078676</v>
      </c>
      <c r="C501">
        <f t="shared" si="37"/>
        <v>1.0441641904754941</v>
      </c>
      <c r="D501">
        <f t="shared" si="38"/>
        <v>66241.547432034771</v>
      </c>
      <c r="E501">
        <f t="shared" si="39"/>
        <v>69167.051750214639</v>
      </c>
    </row>
    <row r="502" spans="1:5">
      <c r="A502">
        <f t="shared" si="35"/>
        <v>0.85746933279904369</v>
      </c>
      <c r="B502">
        <f t="shared" si="36"/>
        <v>0.30945960469299028</v>
      </c>
      <c r="C502">
        <f t="shared" si="37"/>
        <v>1.2661801655057177</v>
      </c>
      <c r="D502">
        <f t="shared" si="38"/>
        <v>64323.918711271603</v>
      </c>
      <c r="E502">
        <f t="shared" si="39"/>
        <v>81445.670039814213</v>
      </c>
    </row>
    <row r="503" spans="1:5">
      <c r="A503">
        <f t="shared" si="35"/>
        <v>0.5993612772795518</v>
      </c>
      <c r="B503">
        <f t="shared" si="36"/>
        <v>0.80474781312378152</v>
      </c>
      <c r="C503">
        <f t="shared" si="37"/>
        <v>1.0321804933073762</v>
      </c>
      <c r="D503">
        <f t="shared" si="38"/>
        <v>67692.126382428687</v>
      </c>
      <c r="E503">
        <f t="shared" si="39"/>
        <v>69870.49240244049</v>
      </c>
    </row>
    <row r="504" spans="1:5">
      <c r="A504">
        <f t="shared" si="35"/>
        <v>0.84277349213809361</v>
      </c>
      <c r="B504">
        <f t="shared" si="36"/>
        <v>9.4083743293160271E-2</v>
      </c>
      <c r="C504">
        <f t="shared" si="37"/>
        <v>1.2463640340969895</v>
      </c>
      <c r="D504">
        <f t="shared" si="38"/>
        <v>62290.611499333929</v>
      </c>
      <c r="E504">
        <f t="shared" si="39"/>
        <v>77636.777834678156</v>
      </c>
    </row>
    <row r="505" spans="1:5">
      <c r="A505">
        <f t="shared" si="35"/>
        <v>0.58770597737466912</v>
      </c>
      <c r="B505">
        <f t="shared" si="36"/>
        <v>0.17746739520112675</v>
      </c>
      <c r="C505">
        <f t="shared" si="37"/>
        <v>1.0244562229011402</v>
      </c>
      <c r="D505">
        <f t="shared" si="38"/>
        <v>63261.66625490164</v>
      </c>
      <c r="E505">
        <f t="shared" si="39"/>
        <v>64808.80766592906</v>
      </c>
    </row>
    <row r="506" spans="1:5">
      <c r="A506">
        <f t="shared" si="35"/>
        <v>0.83415873298927901</v>
      </c>
      <c r="B506">
        <f t="shared" si="36"/>
        <v>5.4898768847680746E-2</v>
      </c>
      <c r="C506">
        <f t="shared" si="37"/>
        <v>1.2354467032167549</v>
      </c>
      <c r="D506">
        <f t="shared" si="38"/>
        <v>61587.494712405642</v>
      </c>
      <c r="E506">
        <f t="shared" si="39"/>
        <v>76088.067301820876</v>
      </c>
    </row>
    <row r="507" spans="1:5">
      <c r="A507">
        <f t="shared" si="35"/>
        <v>0.58213175898192215</v>
      </c>
      <c r="B507">
        <f t="shared" si="36"/>
        <v>0.72637786423282313</v>
      </c>
      <c r="C507">
        <f t="shared" si="37"/>
        <v>1.020800899489535</v>
      </c>
      <c r="D507">
        <f t="shared" si="38"/>
        <v>67054.272893814035</v>
      </c>
      <c r="E507">
        <f t="shared" si="39"/>
        <v>68449.062084622114</v>
      </c>
    </row>
    <row r="508" spans="1:5">
      <c r="A508">
        <f t="shared" si="35"/>
        <v>0.83162505535259945</v>
      </c>
      <c r="B508">
        <f t="shared" si="36"/>
        <v>0.19190468135655259</v>
      </c>
      <c r="C508">
        <f t="shared" si="37"/>
        <v>1.232323866790016</v>
      </c>
      <c r="D508">
        <f t="shared" si="38"/>
        <v>63396.189658652416</v>
      </c>
      <c r="E508">
        <f t="shared" si="39"/>
        <v>78124.637579903778</v>
      </c>
    </row>
    <row r="509" spans="1:5">
      <c r="A509">
        <f t="shared" si="35"/>
        <v>0.58263862210131023</v>
      </c>
      <c r="B509">
        <f t="shared" si="36"/>
        <v>0.45147922021886977</v>
      </c>
      <c r="C509">
        <f t="shared" si="37"/>
        <v>1.0211322798587152</v>
      </c>
      <c r="D509">
        <f t="shared" si="38"/>
        <v>65256.470061268861</v>
      </c>
      <c r="E509">
        <f t="shared" si="39"/>
        <v>66635.488049195468</v>
      </c>
    </row>
    <row r="510" spans="1:5">
      <c r="A510">
        <f t="shared" si="35"/>
        <v>0.83517245922805516</v>
      </c>
      <c r="B510">
        <f t="shared" si="36"/>
        <v>0.50510148081977491</v>
      </c>
      <c r="C510">
        <f t="shared" si="37"/>
        <v>1.2367070160147295</v>
      </c>
      <c r="D510">
        <f t="shared" si="38"/>
        <v>65591.06601716383</v>
      </c>
      <c r="E510">
        <f t="shared" si="39"/>
        <v>81116.931531311813</v>
      </c>
    </row>
    <row r="511" spans="1:5">
      <c r="A511">
        <f t="shared" si="35"/>
        <v>0.5892265667328338</v>
      </c>
      <c r="B511">
        <f t="shared" si="36"/>
        <v>0.35277146315926755</v>
      </c>
      <c r="C511">
        <f t="shared" si="37"/>
        <v>1.0254576160387623</v>
      </c>
      <c r="D511">
        <f t="shared" si="38"/>
        <v>64620.81365785221</v>
      </c>
      <c r="E511">
        <f t="shared" si="39"/>
        <v>66265.905520066211</v>
      </c>
    </row>
    <row r="512" spans="1:5">
      <c r="A512">
        <f t="shared" si="35"/>
        <v>0.84480094461564592</v>
      </c>
      <c r="B512">
        <f t="shared" si="36"/>
        <v>0.9944891672373477</v>
      </c>
      <c r="C512">
        <f t="shared" si="37"/>
        <v>1.2490044043820752</v>
      </c>
      <c r="D512">
        <f t="shared" si="38"/>
        <v>71873.079840067032</v>
      </c>
      <c r="E512">
        <f t="shared" si="39"/>
        <v>89769.793276748256</v>
      </c>
    </row>
    <row r="513" spans="1:5">
      <c r="A513">
        <f t="shared" si="35"/>
        <v>0.60189559287649264</v>
      </c>
      <c r="B513">
        <f t="shared" si="36"/>
        <v>0.43025459305401581</v>
      </c>
      <c r="C513">
        <f t="shared" si="37"/>
        <v>1.0338753016763862</v>
      </c>
      <c r="D513">
        <f t="shared" si="38"/>
        <v>65122.840502030514</v>
      </c>
      <c r="E513">
        <f t="shared" si="39"/>
        <v>67328.896370059985</v>
      </c>
    </row>
    <row r="514" spans="1:5">
      <c r="A514">
        <f t="shared" si="35"/>
        <v>0.86051051151537261</v>
      </c>
      <c r="B514">
        <f t="shared" si="36"/>
        <v>0.66006774060927187</v>
      </c>
      <c r="C514">
        <f t="shared" si="37"/>
        <v>1.2704916582758863</v>
      </c>
      <c r="D514">
        <f t="shared" si="38"/>
        <v>66584.227430056199</v>
      </c>
      <c r="E514">
        <f t="shared" si="39"/>
        <v>84594.705522630858</v>
      </c>
    </row>
    <row r="515" spans="1:5">
      <c r="A515">
        <f t="shared" si="35"/>
        <v>0.62064570053228674</v>
      </c>
      <c r="B515">
        <f t="shared" si="36"/>
        <v>0.68392860990311521</v>
      </c>
      <c r="C515">
        <f t="shared" si="37"/>
        <v>1.0465973334607104</v>
      </c>
      <c r="D515">
        <f t="shared" si="38"/>
        <v>66748.317916616434</v>
      </c>
      <c r="E515">
        <f t="shared" si="39"/>
        <v>69858.611544518513</v>
      </c>
    </row>
    <row r="516" spans="1:5">
      <c r="A516">
        <f t="shared" si="35"/>
        <v>0.88230115992723457</v>
      </c>
      <c r="B516">
        <f t="shared" si="36"/>
        <v>0.50183720093554607</v>
      </c>
      <c r="C516">
        <f t="shared" si="37"/>
        <v>1.3039423382719577</v>
      </c>
      <c r="D516">
        <f t="shared" si="38"/>
        <v>65570.74213481645</v>
      </c>
      <c r="E516">
        <f t="shared" si="39"/>
        <v>85500.466821500144</v>
      </c>
    </row>
    <row r="517" spans="1:5">
      <c r="A517">
        <f t="shared" si="35"/>
        <v>0.64547688970021611</v>
      </c>
      <c r="B517">
        <f t="shared" si="36"/>
        <v>0.1137935137065651</v>
      </c>
      <c r="C517">
        <f t="shared" si="37"/>
        <v>1.063998879501566</v>
      </c>
      <c r="D517">
        <f t="shared" si="38"/>
        <v>62562.389826398023</v>
      </c>
      <c r="E517">
        <f t="shared" si="39"/>
        <v>66566.312674227665</v>
      </c>
    </row>
    <row r="518" spans="1:5">
      <c r="A518">
        <f t="shared" si="35"/>
        <v>0.91017288985123157</v>
      </c>
      <c r="B518">
        <f t="shared" si="36"/>
        <v>0.51979754821617163</v>
      </c>
      <c r="C518">
        <f t="shared" si="37"/>
        <v>1.3555470667511678</v>
      </c>
      <c r="D518">
        <f t="shared" si="38"/>
        <v>65682.611927564372</v>
      </c>
      <c r="E518">
        <f t="shared" si="39"/>
        <v>89035.871934965151</v>
      </c>
    </row>
    <row r="519" spans="1:5">
      <c r="A519">
        <f t="shared" si="35"/>
        <v>0.67638916038028096</v>
      </c>
      <c r="B519">
        <f t="shared" si="36"/>
        <v>0.71984930446436568</v>
      </c>
      <c r="C519">
        <f t="shared" si="37"/>
        <v>1.0867116696198849</v>
      </c>
      <c r="D519">
        <f t="shared" si="38"/>
        <v>67005.837493975254</v>
      </c>
      <c r="E519">
        <f t="shared" si="39"/>
        <v>72816.025537356531</v>
      </c>
    </row>
    <row r="520" spans="1:5">
      <c r="A520">
        <f t="shared" si="35"/>
        <v>0.94412570128736395</v>
      </c>
      <c r="B520">
        <f t="shared" si="36"/>
        <v>0.71394878245114757</v>
      </c>
      <c r="C520">
        <f t="shared" si="37"/>
        <v>1.4424537287595049</v>
      </c>
      <c r="D520">
        <f t="shared" si="38"/>
        <v>66962.53032424493</v>
      </c>
      <c r="E520">
        <f t="shared" si="39"/>
        <v>96590.351553378525</v>
      </c>
    </row>
    <row r="521" spans="1:5">
      <c r="A521">
        <f t="shared" si="35"/>
        <v>0.71338251257248086</v>
      </c>
      <c r="B521">
        <f t="shared" si="36"/>
        <v>0.50209598217651719</v>
      </c>
      <c r="C521">
        <f t="shared" si="37"/>
        <v>1.1158019680320901</v>
      </c>
      <c r="D521">
        <f t="shared" si="38"/>
        <v>65572.353298724716</v>
      </c>
      <c r="E521">
        <f t="shared" si="39"/>
        <v>73165.760859212547</v>
      </c>
    </row>
    <row r="522" spans="1:5">
      <c r="A522">
        <f t="shared" si="35"/>
        <v>0.98415959423563182</v>
      </c>
      <c r="B522">
        <f t="shared" si="36"/>
        <v>8.4290903640474424E-2</v>
      </c>
      <c r="C522">
        <f t="shared" si="37"/>
        <v>1.6584007273021006</v>
      </c>
      <c r="D522">
        <f t="shared" si="38"/>
        <v>62139.70865498983</v>
      </c>
      <c r="E522">
        <f t="shared" si="39"/>
        <v>103052.53802777578</v>
      </c>
    </row>
    <row r="523" spans="1:5">
      <c r="A523">
        <f t="shared" si="35"/>
        <v>0.75645694627681626</v>
      </c>
      <c r="B523">
        <f t="shared" si="36"/>
        <v>0.46053354684301917</v>
      </c>
      <c r="C523">
        <f t="shared" si="37"/>
        <v>1.1531389100361482</v>
      </c>
      <c r="D523">
        <f t="shared" si="38"/>
        <v>65313.187798953993</v>
      </c>
      <c r="E523">
        <f t="shared" si="39"/>
        <v>75315.178189472063</v>
      </c>
    </row>
    <row r="524" spans="1:5">
      <c r="A524">
        <f t="shared" si="35"/>
        <v>3.0274568696034621E-2</v>
      </c>
      <c r="B524">
        <f t="shared" si="36"/>
        <v>0.63082391178415187</v>
      </c>
      <c r="C524">
        <f t="shared" si="37"/>
        <v>0.60626179153817772</v>
      </c>
      <c r="D524">
        <f t="shared" si="38"/>
        <v>66388.973832806369</v>
      </c>
      <c r="E524">
        <f t="shared" si="39"/>
        <v>40249.098214258389</v>
      </c>
    </row>
    <row r="525" spans="1:5">
      <c r="A525">
        <f t="shared" si="35"/>
        <v>0.80561246149328691</v>
      </c>
      <c r="B525">
        <f t="shared" si="36"/>
        <v>0.59516199846387208</v>
      </c>
      <c r="C525">
        <f t="shared" si="37"/>
        <v>1.2022685421558947</v>
      </c>
      <c r="D525">
        <f t="shared" si="38"/>
        <v>66157.505518953069</v>
      </c>
      <c r="E525">
        <f t="shared" si="39"/>
        <v>79539.087712942259</v>
      </c>
    </row>
    <row r="526" spans="1:5">
      <c r="A526">
        <f t="shared" si="35"/>
        <v>8.2470624668573134E-2</v>
      </c>
      <c r="B526">
        <f t="shared" si="36"/>
        <v>0.35354780688218024</v>
      </c>
      <c r="C526">
        <f t="shared" si="37"/>
        <v>0.68494905187910515</v>
      </c>
      <c r="D526">
        <f t="shared" si="38"/>
        <v>64626.002693253904</v>
      </c>
      <c r="E526">
        <f t="shared" si="39"/>
        <v>44265.519271480756</v>
      </c>
    </row>
    <row r="527" spans="1:5">
      <c r="A527">
        <f t="shared" si="35"/>
        <v>0.86084905822189284</v>
      </c>
      <c r="B527">
        <f t="shared" si="36"/>
        <v>0.9059813370390758</v>
      </c>
      <c r="C527">
        <f t="shared" si="37"/>
        <v>1.2709764676793838</v>
      </c>
      <c r="D527">
        <f t="shared" si="38"/>
        <v>68828.959733358657</v>
      </c>
      <c r="E527">
        <f t="shared" si="39"/>
        <v>87479.98811595072</v>
      </c>
    </row>
    <row r="528" spans="1:5">
      <c r="A528">
        <f t="shared" ref="A528:A591" si="40">IFERROR(MOD(MOD(($E$8+((ROW()-15)*(ROW()-14)/2)*13)*171,30269)/30269+MOD(($E$8+((ROW()-15)*(ROW()-14)/2)*29)*172,30307)/30307+MOD(($E$8+((ROW()-15)*(ROW()-14)/2)*47)*170,30323)/30323,1),0.5)</f>
        <v>0.14074776215324669</v>
      </c>
      <c r="B528">
        <f t="shared" ref="B528:B591" si="41">IFERROR(MOD(MOD(($E$8+((ROW()-15)*(ROW()-14)/2)*17)*171,30269)/30269+MOD(($E$8+((ROW()-15)*(ROW()-14)/2)*41)*172,30307)/30307+MOD(($E$8+((ROW()-15)*(ROW()-14)/2)*83)*170,30323)/30323,1),0.5)</f>
        <v>0.25246258893455931</v>
      </c>
      <c r="C528">
        <f t="shared" ref="C528:C591" si="42">IFERROR(EXP($E$4*NORMSINV(MIN(MAX(A528,0.000000001),0.999999999))-$E$4^2/2),1)</f>
        <v>0.74045422651194359</v>
      </c>
      <c r="D528">
        <f t="shared" ref="D528:D591" si="43">IFERROR($B$5+$E$5*NORMSINV(MIN(MAX(B528,0.000000001),0.999999999)),$B$5)</f>
        <v>63903.223059811891</v>
      </c>
      <c r="E528">
        <f t="shared" ref="E528:E591" si="44">IFERROR(C528*MAX(D528,0),0)</f>
        <v>47317.411602373213</v>
      </c>
    </row>
    <row r="529" spans="1:5">
      <c r="A529">
        <f t="shared" si="40"/>
        <v>0.92216673646263414</v>
      </c>
      <c r="B529">
        <f t="shared" si="41"/>
        <v>0.39299156256863021</v>
      </c>
      <c r="C529">
        <f t="shared" si="42"/>
        <v>1.3822318488070506</v>
      </c>
      <c r="D529">
        <f t="shared" si="43"/>
        <v>64884.884302647391</v>
      </c>
      <c r="E529">
        <f t="shared" si="44"/>
        <v>89685.953589279889</v>
      </c>
    </row>
    <row r="530" spans="1:5">
      <c r="A530">
        <f t="shared" si="40"/>
        <v>0.20510598115005552</v>
      </c>
      <c r="B530">
        <f t="shared" si="41"/>
        <v>0.32756825794128908</v>
      </c>
      <c r="C530">
        <f t="shared" si="42"/>
        <v>0.78888859179787751</v>
      </c>
      <c r="D530">
        <f t="shared" si="43"/>
        <v>64449.957162820414</v>
      </c>
      <c r="E530">
        <f t="shared" si="44"/>
        <v>50843.835947610925</v>
      </c>
    </row>
    <row r="531" spans="1:5">
      <c r="A531">
        <f t="shared" si="40"/>
        <v>0.98956549621551071</v>
      </c>
      <c r="B531">
        <f t="shared" si="41"/>
        <v>5.6192675052535446E-2</v>
      </c>
      <c r="C531">
        <f t="shared" si="42"/>
        <v>1.7269148512341619</v>
      </c>
      <c r="D531">
        <f t="shared" si="43"/>
        <v>61616.161211339022</v>
      </c>
      <c r="E531">
        <f t="shared" si="44"/>
        <v>106405.86387189967</v>
      </c>
    </row>
    <row r="532" spans="1:5">
      <c r="A532">
        <f t="shared" si="40"/>
        <v>0.27554528165899983</v>
      </c>
      <c r="B532">
        <f t="shared" si="41"/>
        <v>0.57886481390236955</v>
      </c>
      <c r="C532">
        <f t="shared" si="42"/>
        <v>0.83503496191209736</v>
      </c>
      <c r="D532">
        <f t="shared" si="43"/>
        <v>66053.55027332317</v>
      </c>
      <c r="E532">
        <f t="shared" si="44"/>
        <v>55157.023836643224</v>
      </c>
    </row>
    <row r="533" spans="1:5">
      <c r="A533">
        <f t="shared" si="40"/>
        <v>6.3045337480522878E-2</v>
      </c>
      <c r="B533">
        <f t="shared" si="41"/>
        <v>0.89558467449079115</v>
      </c>
      <c r="C533">
        <f t="shared" si="42"/>
        <v>0.66121559208469693</v>
      </c>
      <c r="D533">
        <f t="shared" si="43"/>
        <v>68680.877000793713</v>
      </c>
      <c r="E533">
        <f t="shared" si="44"/>
        <v>45412.866750976056</v>
      </c>
    </row>
    <row r="534" spans="1:5">
      <c r="A534">
        <f t="shared" si="40"/>
        <v>0.35206566368007941</v>
      </c>
      <c r="B534">
        <f t="shared" si="41"/>
        <v>6.3522568178004946E-3</v>
      </c>
      <c r="C534">
        <f t="shared" si="42"/>
        <v>0.88144965639860107</v>
      </c>
      <c r="D534">
        <f t="shared" si="43"/>
        <v>59369.876856679941</v>
      </c>
      <c r="E534">
        <f t="shared" si="44"/>
        <v>52331.557555747793</v>
      </c>
    </row>
    <row r="535" spans="1:5">
      <c r="A535">
        <f t="shared" si="40"/>
        <v>0.14260626025767009</v>
      </c>
      <c r="B535">
        <f t="shared" si="41"/>
        <v>0.91116756088339779</v>
      </c>
      <c r="C535">
        <f t="shared" si="42"/>
        <v>0.7419890764839322</v>
      </c>
      <c r="D535">
        <f t="shared" si="43"/>
        <v>68907.378281071797</v>
      </c>
      <c r="E535">
        <f t="shared" si="44"/>
        <v>51128.521973701427</v>
      </c>
    </row>
    <row r="536" spans="1:5">
      <c r="A536">
        <f t="shared" si="40"/>
        <v>0.43466712721329426</v>
      </c>
      <c r="B536">
        <f t="shared" si="41"/>
        <v>0.61003058668758281</v>
      </c>
      <c r="C536">
        <f t="shared" si="42"/>
        <v>0.93018103951870057</v>
      </c>
      <c r="D536">
        <f t="shared" si="43"/>
        <v>66253.26666281026</v>
      </c>
      <c r="E536">
        <f t="shared" si="44"/>
        <v>61627.532455922519</v>
      </c>
    </row>
    <row r="537" spans="1:5">
      <c r="A537">
        <f t="shared" si="40"/>
        <v>0.22824826454695257</v>
      </c>
      <c r="B537">
        <f t="shared" si="41"/>
        <v>0.10294133423035534</v>
      </c>
      <c r="C537">
        <f t="shared" si="42"/>
        <v>0.80460239382685339</v>
      </c>
      <c r="D537">
        <f t="shared" si="43"/>
        <v>62417.410959118664</v>
      </c>
      <c r="E537">
        <f t="shared" si="44"/>
        <v>50221.198274181348</v>
      </c>
    </row>
    <row r="538" spans="1:5">
      <c r="A538">
        <f t="shared" si="40"/>
        <v>0.52334967225864437</v>
      </c>
      <c r="B538">
        <f t="shared" si="41"/>
        <v>0.38989980351171538</v>
      </c>
      <c r="C538">
        <f t="shared" si="42"/>
        <v>0.98352777687149107</v>
      </c>
      <c r="D538">
        <f t="shared" si="43"/>
        <v>64864.890448456405</v>
      </c>
      <c r="E538">
        <f t="shared" si="44"/>
        <v>63796.421499783144</v>
      </c>
    </row>
    <row r="539" spans="1:5">
      <c r="A539">
        <f t="shared" si="40"/>
        <v>0.31997135034837054</v>
      </c>
      <c r="B539">
        <f t="shared" si="41"/>
        <v>0.47090599453166337</v>
      </c>
      <c r="C539">
        <f t="shared" si="42"/>
        <v>0.86226319123744177</v>
      </c>
      <c r="D539">
        <f t="shared" si="43"/>
        <v>65378.00685359761</v>
      </c>
      <c r="E539">
        <f t="shared" si="44"/>
        <v>56373.048826326412</v>
      </c>
    </row>
    <row r="540" spans="1:5">
      <c r="A540">
        <f t="shared" si="40"/>
        <v>0.61811329881612997</v>
      </c>
      <c r="B540">
        <f t="shared" si="41"/>
        <v>0.3459599072901991</v>
      </c>
      <c r="C540">
        <f t="shared" si="42"/>
        <v>1.0448594103283411</v>
      </c>
      <c r="D540">
        <f t="shared" si="43"/>
        <v>64575.106575426529</v>
      </c>
      <c r="E540">
        <f t="shared" si="44"/>
        <v>67471.90777828994</v>
      </c>
    </row>
    <row r="541" spans="1:5">
      <c r="A541">
        <f t="shared" si="40"/>
        <v>0.41777551766192378</v>
      </c>
      <c r="B541">
        <f t="shared" si="41"/>
        <v>1.506154178732233E-2</v>
      </c>
      <c r="C541">
        <f t="shared" si="42"/>
        <v>0.92021597173646796</v>
      </c>
      <c r="D541">
        <f t="shared" si="43"/>
        <v>60173.323492874049</v>
      </c>
      <c r="E541">
        <f t="shared" si="44"/>
        <v>55372.453350607931</v>
      </c>
    </row>
    <row r="542" spans="1:5">
      <c r="A542">
        <f t="shared" si="40"/>
        <v>0.71895800688575084</v>
      </c>
      <c r="B542">
        <f t="shared" si="41"/>
        <v>0.47821089802303351</v>
      </c>
      <c r="C542">
        <f t="shared" si="42"/>
        <v>1.1204016263472425</v>
      </c>
      <c r="D542">
        <f t="shared" si="43"/>
        <v>65423.579746329277</v>
      </c>
      <c r="E542">
        <f t="shared" si="44"/>
        <v>73300.685149245837</v>
      </c>
    </row>
    <row r="543" spans="1:5">
      <c r="A543">
        <f t="shared" si="40"/>
        <v>0.52166076648761206</v>
      </c>
      <c r="B543">
        <f t="shared" si="41"/>
        <v>0.73540797599733188</v>
      </c>
      <c r="C543">
        <f t="shared" si="42"/>
        <v>0.98248573799334693</v>
      </c>
      <c r="D543">
        <f t="shared" si="43"/>
        <v>67122.222494683941</v>
      </c>
      <c r="E543">
        <f t="shared" si="44"/>
        <v>65946.62630344319</v>
      </c>
    </row>
    <row r="544" spans="1:5">
      <c r="A544">
        <f t="shared" si="40"/>
        <v>0.82588379646750698</v>
      </c>
      <c r="B544">
        <f t="shared" si="41"/>
        <v>0.7866527757102183</v>
      </c>
      <c r="C544">
        <f t="shared" si="42"/>
        <v>1.2253859298770013</v>
      </c>
      <c r="D544">
        <f t="shared" si="43"/>
        <v>67533.556952583604</v>
      </c>
      <c r="E544">
        <f t="shared" si="44"/>
        <v>82754.670484243092</v>
      </c>
    </row>
    <row r="545" spans="1:5">
      <c r="A545">
        <f t="shared" si="40"/>
        <v>0.63162709682543583</v>
      </c>
      <c r="B545">
        <f t="shared" si="41"/>
        <v>0.63194529716169234</v>
      </c>
      <c r="C545">
        <f t="shared" si="42"/>
        <v>1.0542097789642948</v>
      </c>
      <c r="D545">
        <f t="shared" si="43"/>
        <v>66396.359711928322</v>
      </c>
      <c r="E545">
        <f t="shared" si="44"/>
        <v>69995.691695945759</v>
      </c>
    </row>
    <row r="546" spans="1:5">
      <c r="A546">
        <f t="shared" si="40"/>
        <v>0.93889066756139838</v>
      </c>
      <c r="B546">
        <f t="shared" si="41"/>
        <v>0.27128554035175401</v>
      </c>
      <c r="C546">
        <f t="shared" si="42"/>
        <v>1.4263688291518037</v>
      </c>
      <c r="D546">
        <f t="shared" si="43"/>
        <v>64046.861544243242</v>
      </c>
      <c r="E546">
        <f t="shared" si="44"/>
        <v>91354.446911709922</v>
      </c>
    </row>
    <row r="547" spans="1:5">
      <c r="A547">
        <f t="shared" si="40"/>
        <v>0.74767450867539487</v>
      </c>
      <c r="B547">
        <f t="shared" si="41"/>
        <v>0.7046735052804034</v>
      </c>
      <c r="C547">
        <f t="shared" si="42"/>
        <v>1.1451634980098817</v>
      </c>
      <c r="D547">
        <f t="shared" si="43"/>
        <v>66895.299973851565</v>
      </c>
      <c r="E547">
        <f t="shared" si="44"/>
        <v>76606.0557184762</v>
      </c>
    </row>
    <row r="548" spans="1:5">
      <c r="A548">
        <f t="shared" si="40"/>
        <v>5.7978620167425277E-2</v>
      </c>
      <c r="B548">
        <f t="shared" si="41"/>
        <v>0.93210919194764053</v>
      </c>
      <c r="C548">
        <f t="shared" si="42"/>
        <v>0.65426501399598003</v>
      </c>
      <c r="D548">
        <f t="shared" si="43"/>
        <v>69264.310416028165</v>
      </c>
      <c r="E548">
        <f t="shared" si="44"/>
        <v>45317.215023764576</v>
      </c>
    </row>
    <row r="549" spans="1:5">
      <c r="A549">
        <f t="shared" si="40"/>
        <v>0.86980300203748928</v>
      </c>
      <c r="B549">
        <f t="shared" si="41"/>
        <v>0.95359260035346538</v>
      </c>
      <c r="C549">
        <f t="shared" si="42"/>
        <v>1.2841732111039346</v>
      </c>
      <c r="D549">
        <f t="shared" si="43"/>
        <v>69733.861180154301</v>
      </c>
      <c r="E549">
        <f t="shared" si="44"/>
        <v>89550.356434394751</v>
      </c>
    </row>
    <row r="550" spans="1:5">
      <c r="A550">
        <f t="shared" si="40"/>
        <v>0.18314765428558721</v>
      </c>
      <c r="B550">
        <f t="shared" si="41"/>
        <v>0.76912373049787774</v>
      </c>
      <c r="C550">
        <f t="shared" si="42"/>
        <v>0.77328420098999184</v>
      </c>
      <c r="D550">
        <f t="shared" si="43"/>
        <v>67387.270880243974</v>
      </c>
      <c r="E550">
        <f t="shared" si="44"/>
        <v>52109.511919525605</v>
      </c>
    </row>
    <row r="551" spans="1:5">
      <c r="A551">
        <f t="shared" si="40"/>
        <v>0.99801257691171896</v>
      </c>
      <c r="B551">
        <f t="shared" si="41"/>
        <v>0.37870258238087784</v>
      </c>
      <c r="C551">
        <f t="shared" si="42"/>
        <v>1.9913001678885656</v>
      </c>
      <c r="D551">
        <f t="shared" si="43"/>
        <v>64792.091438126597</v>
      </c>
      <c r="E551">
        <f t="shared" si="44"/>
        <v>129020.50255859278</v>
      </c>
    </row>
    <row r="552" spans="1:5">
      <c r="A552">
        <f t="shared" si="40"/>
        <v>0.31439776991588442</v>
      </c>
      <c r="B552">
        <f t="shared" si="41"/>
        <v>0.78232915600246589</v>
      </c>
      <c r="C552">
        <f t="shared" si="42"/>
        <v>0.85889748361157336</v>
      </c>
      <c r="D552">
        <f t="shared" si="43"/>
        <v>67496.85354787478</v>
      </c>
      <c r="E552">
        <f t="shared" si="44"/>
        <v>57972.877663968546</v>
      </c>
    </row>
    <row r="553" spans="1:5">
      <c r="A553">
        <f t="shared" si="40"/>
        <v>0.13230323329808424</v>
      </c>
      <c r="B553">
        <f t="shared" si="41"/>
        <v>0.98000345136264144</v>
      </c>
      <c r="C553">
        <f t="shared" si="42"/>
        <v>0.73334254469114524</v>
      </c>
      <c r="D553">
        <f t="shared" si="43"/>
        <v>70660.524839421851</v>
      </c>
      <c r="E553">
        <f t="shared" si="44"/>
        <v>51818.369094953494</v>
      </c>
    </row>
    <row r="554" spans="1:5">
      <c r="A554">
        <f t="shared" si="40"/>
        <v>0.45172896705831733</v>
      </c>
      <c r="B554">
        <f t="shared" si="41"/>
        <v>0.97172546846140451</v>
      </c>
      <c r="C554">
        <f t="shared" si="42"/>
        <v>0.94028376166513339</v>
      </c>
      <c r="D554">
        <f t="shared" si="43"/>
        <v>70295.310890399705</v>
      </c>
      <c r="E554">
        <f t="shared" si="44"/>
        <v>66097.539351445055</v>
      </c>
    </row>
    <row r="555" spans="1:5">
      <c r="A555">
        <f t="shared" si="40"/>
        <v>0.27267497119658435</v>
      </c>
      <c r="B555">
        <f t="shared" si="41"/>
        <v>0.75749520729875552</v>
      </c>
      <c r="C555">
        <f t="shared" si="42"/>
        <v>0.83323823110339745</v>
      </c>
      <c r="D555">
        <f t="shared" si="43"/>
        <v>67293.642425018566</v>
      </c>
      <c r="E555">
        <f t="shared" si="44"/>
        <v>56071.635578727015</v>
      </c>
    </row>
    <row r="556" spans="1:5">
      <c r="A556">
        <f t="shared" si="40"/>
        <v>0.59514124571288551</v>
      </c>
      <c r="B556">
        <f t="shared" si="41"/>
        <v>0.33731266787469405</v>
      </c>
      <c r="C556">
        <f t="shared" si="42"/>
        <v>1.0293706745791706</v>
      </c>
      <c r="D556">
        <f t="shared" si="43"/>
        <v>64516.595243822245</v>
      </c>
      <c r="E556">
        <f t="shared" si="44"/>
        <v>66411.49116768461</v>
      </c>
    </row>
    <row r="557" spans="1:5">
      <c r="A557">
        <f t="shared" si="40"/>
        <v>0.41912779060722016</v>
      </c>
      <c r="B557">
        <f t="shared" si="41"/>
        <v>0.71117785018922008</v>
      </c>
      <c r="C557">
        <f t="shared" si="42"/>
        <v>0.9210128174915938</v>
      </c>
      <c r="D557">
        <f t="shared" si="43"/>
        <v>66942.340004093552</v>
      </c>
      <c r="E557">
        <f t="shared" si="44"/>
        <v>61654.753176650433</v>
      </c>
    </row>
    <row r="558" spans="1:5">
      <c r="A558">
        <f t="shared" si="40"/>
        <v>0.74463460587958874</v>
      </c>
      <c r="B558">
        <f t="shared" si="41"/>
        <v>0.87909075424233418</v>
      </c>
      <c r="C558">
        <f t="shared" si="42"/>
        <v>1.1424499691777432</v>
      </c>
      <c r="D558">
        <f t="shared" si="43"/>
        <v>68466.443583505679</v>
      </c>
      <c r="E558">
        <f t="shared" si="44"/>
        <v>78219.486361685762</v>
      </c>
    </row>
    <row r="559" spans="1:5">
      <c r="A559">
        <f t="shared" si="40"/>
        <v>0.57166169152999124</v>
      </c>
      <c r="B559">
        <f t="shared" si="41"/>
        <v>0.84105138003403601</v>
      </c>
      <c r="C559">
        <f t="shared" si="42"/>
        <v>1.0139986491372295</v>
      </c>
      <c r="D559">
        <f t="shared" si="43"/>
        <v>68040.066300494684</v>
      </c>
      <c r="E559">
        <f t="shared" si="44"/>
        <v>68992.535315909146</v>
      </c>
    </row>
    <row r="560" spans="1:5">
      <c r="A560">
        <f t="shared" si="40"/>
        <v>0.90020904755842746</v>
      </c>
      <c r="B560">
        <f t="shared" si="41"/>
        <v>0.59705972756432502</v>
      </c>
      <c r="C560">
        <f t="shared" si="42"/>
        <v>1.3356738357069</v>
      </c>
      <c r="D560">
        <f t="shared" si="43"/>
        <v>66169.675492676266</v>
      </c>
      <c r="E560">
        <f t="shared" si="44"/>
        <v>88381.104272783763</v>
      </c>
    </row>
    <row r="561" spans="1:5">
      <c r="A561">
        <f t="shared" si="40"/>
        <v>0.73027667396489737</v>
      </c>
      <c r="B561">
        <f t="shared" si="41"/>
        <v>0.14711579683320219</v>
      </c>
      <c r="C561">
        <f t="shared" si="42"/>
        <v>1.1299376946375024</v>
      </c>
      <c r="D561">
        <f t="shared" si="43"/>
        <v>62954.115688864964</v>
      </c>
      <c r="E561">
        <f t="shared" si="44"/>
        <v>71134.2283494187</v>
      </c>
    </row>
    <row r="562" spans="1:5">
      <c r="A562">
        <f t="shared" si="40"/>
        <v>6.1864570749401215E-2</v>
      </c>
      <c r="B562">
        <f t="shared" si="41"/>
        <v>0.49121958784066688</v>
      </c>
      <c r="C562">
        <f t="shared" si="42"/>
        <v>0.65962949035012819</v>
      </c>
      <c r="D562">
        <f t="shared" si="43"/>
        <v>65504.633557687608</v>
      </c>
      <c r="E562">
        <f t="shared" si="44"/>
        <v>43208.788049229384</v>
      </c>
    </row>
    <row r="563" spans="1:5">
      <c r="A563">
        <f t="shared" si="40"/>
        <v>0.89497273791193876</v>
      </c>
      <c r="B563">
        <f t="shared" si="41"/>
        <v>0.6293711005867193</v>
      </c>
      <c r="C563">
        <f t="shared" si="42"/>
        <v>1.3259164508658516</v>
      </c>
      <c r="D563">
        <f t="shared" si="43"/>
        <v>66379.415941514104</v>
      </c>
      <c r="E563">
        <f t="shared" si="44"/>
        <v>88013.559595720508</v>
      </c>
    </row>
    <row r="564" spans="1:5">
      <c r="A564">
        <f t="shared" si="40"/>
        <v>0.22960117545251046</v>
      </c>
      <c r="B564">
        <f t="shared" si="41"/>
        <v>0.56157033507135945</v>
      </c>
      <c r="C564">
        <f t="shared" si="42"/>
        <v>0.80550148511379838</v>
      </c>
      <c r="D564">
        <f t="shared" si="43"/>
        <v>65944.16876683895</v>
      </c>
      <c r="E564">
        <f t="shared" si="44"/>
        <v>53118.125876283731</v>
      </c>
    </row>
    <row r="565" spans="1:5">
      <c r="A565">
        <f t="shared" si="40"/>
        <v>6.5749883371115869E-2</v>
      </c>
      <c r="B565">
        <f t="shared" si="41"/>
        <v>0.28781729129458716</v>
      </c>
      <c r="C565">
        <f t="shared" si="42"/>
        <v>0.66477708929125212</v>
      </c>
      <c r="D565">
        <f t="shared" si="43"/>
        <v>64168.956505710506</v>
      </c>
      <c r="E565">
        <f t="shared" si="44"/>
        <v>42658.05212872319</v>
      </c>
    </row>
    <row r="566" spans="1:5">
      <c r="A566">
        <f t="shared" si="40"/>
        <v>0.4034188616677552</v>
      </c>
      <c r="B566">
        <f t="shared" si="41"/>
        <v>0.80811196925640261</v>
      </c>
      <c r="C566">
        <f t="shared" si="42"/>
        <v>0.9117614438656747</v>
      </c>
      <c r="D566">
        <f t="shared" si="43"/>
        <v>67722.569572758599</v>
      </c>
      <c r="E566">
        <f t="shared" si="44"/>
        <v>61746.82781595199</v>
      </c>
    </row>
    <row r="567" spans="1:5">
      <c r="A567">
        <f t="shared" si="40"/>
        <v>0.24260811034242802</v>
      </c>
      <c r="B567">
        <f t="shared" si="41"/>
        <v>0.12245436895680561</v>
      </c>
      <c r="C567">
        <f t="shared" si="42"/>
        <v>0.81404925969414743</v>
      </c>
      <c r="D567">
        <f t="shared" si="43"/>
        <v>62671.162129188444</v>
      </c>
      <c r="E567">
        <f t="shared" si="44"/>
        <v>51017.413135437739</v>
      </c>
    </row>
    <row r="568" spans="1:5">
      <c r="A568">
        <f t="shared" si="40"/>
        <v>0.58331762939513476</v>
      </c>
      <c r="B568">
        <f t="shared" si="41"/>
        <v>0.23084449039579669</v>
      </c>
      <c r="C568">
        <f t="shared" si="42"/>
        <v>1.0215765152947094</v>
      </c>
      <c r="D568">
        <f t="shared" si="43"/>
        <v>63731.077472012876</v>
      </c>
      <c r="E568">
        <f t="shared" si="44"/>
        <v>65106.17203983607</v>
      </c>
    </row>
    <row r="569" spans="1:5">
      <c r="A569">
        <f t="shared" si="40"/>
        <v>0.42554741882587566</v>
      </c>
      <c r="B569">
        <f t="shared" si="41"/>
        <v>0.13328233357337504</v>
      </c>
      <c r="C569">
        <f t="shared" si="42"/>
        <v>0.92479756052825723</v>
      </c>
      <c r="D569">
        <f t="shared" si="43"/>
        <v>62799.812014459021</v>
      </c>
      <c r="E569">
        <f t="shared" si="44"/>
        <v>58077.112952604839</v>
      </c>
    </row>
    <row r="570" spans="1:5">
      <c r="A570">
        <f t="shared" si="40"/>
        <v>0.76929747863465003</v>
      </c>
      <c r="B570">
        <f t="shared" si="41"/>
        <v>0.82976789848954136</v>
      </c>
      <c r="C570">
        <f t="shared" si="42"/>
        <v>1.16518958143581</v>
      </c>
      <c r="D570">
        <f t="shared" si="43"/>
        <v>67926.955624507216</v>
      </c>
      <c r="E570">
        <f t="shared" si="44"/>
        <v>79147.780992328408</v>
      </c>
    </row>
    <row r="571" spans="1:5">
      <c r="A571">
        <f t="shared" si="40"/>
        <v>0.61456780882145834</v>
      </c>
      <c r="B571">
        <f t="shared" si="41"/>
        <v>0.32030118514429518</v>
      </c>
      <c r="C571">
        <f t="shared" si="42"/>
        <v>1.0424368613113639</v>
      </c>
      <c r="D571">
        <f t="shared" si="43"/>
        <v>64399.738185484392</v>
      </c>
      <c r="E571">
        <f t="shared" si="44"/>
        <v>67132.66094334994</v>
      </c>
    </row>
    <row r="572" spans="1:5">
      <c r="A572">
        <f t="shared" si="40"/>
        <v>0.96135840938630079</v>
      </c>
      <c r="B572">
        <f t="shared" si="41"/>
        <v>0.60488219353763673</v>
      </c>
      <c r="C572">
        <f t="shared" si="42"/>
        <v>1.5074477530860113</v>
      </c>
      <c r="D572">
        <f t="shared" si="43"/>
        <v>66219.998809473807</v>
      </c>
      <c r="E572">
        <f t="shared" si="44"/>
        <v>99823.188414699631</v>
      </c>
    </row>
    <row r="573" spans="1:5">
      <c r="A573">
        <f t="shared" si="40"/>
        <v>0.80966928032917673</v>
      </c>
      <c r="B573">
        <f t="shared" si="41"/>
        <v>0.68351092366956601</v>
      </c>
      <c r="C573">
        <f t="shared" si="42"/>
        <v>1.2067364358814536</v>
      </c>
      <c r="D573">
        <f t="shared" si="43"/>
        <v>66745.402553229374</v>
      </c>
      <c r="E573">
        <f t="shared" si="44"/>
        <v>80544.109188556889</v>
      </c>
    </row>
    <row r="574" spans="1:5">
      <c r="A574">
        <f t="shared" si="40"/>
        <v>0.15950042165008638</v>
      </c>
      <c r="B574">
        <f t="shared" si="41"/>
        <v>0.55618737554008302</v>
      </c>
      <c r="C574">
        <f t="shared" si="42"/>
        <v>0.75549787731793228</v>
      </c>
      <c r="D574">
        <f t="shared" si="43"/>
        <v>65910.285064362746</v>
      </c>
      <c r="E574">
        <f t="shared" si="44"/>
        <v>49795.080459545869</v>
      </c>
    </row>
    <row r="575" spans="1:5">
      <c r="A575">
        <f t="shared" si="40"/>
        <v>1.0851833349029949E-2</v>
      </c>
      <c r="B575">
        <f t="shared" si="41"/>
        <v>0.22291154914918776</v>
      </c>
      <c r="C575">
        <f t="shared" si="42"/>
        <v>0.54600421688449396</v>
      </c>
      <c r="D575">
        <f t="shared" si="43"/>
        <v>63665.683617242517</v>
      </c>
      <c r="E575">
        <f t="shared" si="44"/>
        <v>34761.731725848455</v>
      </c>
    </row>
    <row r="576" spans="1:5">
      <c r="A576">
        <f t="shared" si="40"/>
        <v>0.36372351542600745</v>
      </c>
      <c r="B576">
        <f t="shared" si="41"/>
        <v>0.68368344449688001</v>
      </c>
      <c r="C576">
        <f t="shared" si="42"/>
        <v>0.88835762386455863</v>
      </c>
      <c r="D576">
        <f t="shared" si="43"/>
        <v>66746.606514557992</v>
      </c>
      <c r="E576">
        <f t="shared" si="44"/>
        <v>59294.856764295408</v>
      </c>
    </row>
    <row r="577" spans="1:5">
      <c r="A577">
        <f t="shared" si="40"/>
        <v>0.21811546788101888</v>
      </c>
      <c r="B577">
        <f t="shared" si="41"/>
        <v>0.93850306158315977</v>
      </c>
      <c r="C577">
        <f t="shared" si="42"/>
        <v>0.79780314303283062</v>
      </c>
      <c r="D577">
        <f t="shared" si="43"/>
        <v>69390.095193917339</v>
      </c>
      <c r="E577">
        <f t="shared" si="44"/>
        <v>55359.636041054568</v>
      </c>
    </row>
    <row r="578" spans="1:5">
      <c r="A578">
        <f t="shared" si="40"/>
        <v>0.57402769071406379</v>
      </c>
      <c r="B578">
        <f t="shared" si="41"/>
        <v>0.9873704004080277</v>
      </c>
      <c r="C578">
        <f t="shared" si="42"/>
        <v>1.0155287906054102</v>
      </c>
      <c r="D578">
        <f t="shared" si="43"/>
        <v>71116.533591462663</v>
      </c>
      <c r="E578">
        <f t="shared" si="44"/>
        <v>72220.887350187113</v>
      </c>
    </row>
    <row r="579" spans="1:5">
      <c r="A579">
        <f t="shared" si="40"/>
        <v>0.43146018392514307</v>
      </c>
      <c r="B579">
        <f t="shared" si="41"/>
        <v>0.83028546097148304</v>
      </c>
      <c r="C579">
        <f t="shared" si="42"/>
        <v>0.92828687131721666</v>
      </c>
      <c r="D579">
        <f t="shared" si="43"/>
        <v>67932.036119119351</v>
      </c>
      <c r="E579">
        <f t="shared" si="44"/>
        <v>63060.417271225459</v>
      </c>
    </row>
    <row r="580" spans="1:5">
      <c r="A580">
        <f t="shared" si="40"/>
        <v>0.79041294751425584</v>
      </c>
      <c r="B580">
        <f t="shared" si="41"/>
        <v>0.46724824327352632</v>
      </c>
      <c r="C580">
        <f t="shared" si="42"/>
        <v>1.1861511409516907</v>
      </c>
      <c r="D580">
        <f t="shared" si="43"/>
        <v>65355.165352778757</v>
      </c>
      <c r="E580">
        <f t="shared" si="44"/>
        <v>77521.103950284931</v>
      </c>
    </row>
    <row r="581" spans="1:5">
      <c r="A581">
        <f t="shared" si="40"/>
        <v>0.65088598148140253</v>
      </c>
      <c r="B581">
        <f t="shared" si="41"/>
        <v>0.89825874731415678</v>
      </c>
      <c r="C581">
        <f t="shared" si="42"/>
        <v>1.0678832138027343</v>
      </c>
      <c r="D581">
        <f t="shared" si="43"/>
        <v>68717.897254008887</v>
      </c>
      <c r="E581">
        <f t="shared" si="44"/>
        <v>73382.688965377107</v>
      </c>
    </row>
    <row r="582" spans="1:5">
      <c r="A582">
        <f t="shared" si="40"/>
        <v>1.2879285826582709E-2</v>
      </c>
      <c r="B582">
        <f t="shared" si="41"/>
        <v>0.12331697309337541</v>
      </c>
      <c r="C582">
        <f t="shared" si="42"/>
        <v>0.55504388313759556</v>
      </c>
      <c r="D582">
        <f t="shared" si="43"/>
        <v>62681.695109551343</v>
      </c>
      <c r="E582">
        <f t="shared" si="44"/>
        <v>34791.091455252208</v>
      </c>
    </row>
    <row r="583" spans="1:5">
      <c r="A583">
        <f t="shared" si="40"/>
        <v>0.87639286054979704</v>
      </c>
      <c r="B583">
        <f t="shared" si="41"/>
        <v>0.14242292061118134</v>
      </c>
      <c r="C583">
        <f t="shared" si="42"/>
        <v>1.2943848244396985</v>
      </c>
      <c r="D583">
        <f t="shared" si="43"/>
        <v>62902.917586320989</v>
      </c>
      <c r="E583">
        <f t="shared" si="44"/>
        <v>81420.581936714923</v>
      </c>
    </row>
    <row r="584" spans="1:5">
      <c r="A584">
        <f t="shared" si="40"/>
        <v>0.24142670565104485</v>
      </c>
      <c r="B584">
        <f t="shared" si="41"/>
        <v>0.95557658986757543</v>
      </c>
      <c r="C584">
        <f t="shared" si="42"/>
        <v>0.81327973191503755</v>
      </c>
      <c r="D584">
        <f t="shared" si="43"/>
        <v>69785.47250098025</v>
      </c>
      <c r="E584">
        <f t="shared" si="44"/>
        <v>56755.11036716144</v>
      </c>
    </row>
    <row r="585" spans="1:5">
      <c r="A585">
        <f t="shared" si="40"/>
        <v>0.10798082113032725</v>
      </c>
      <c r="B585">
        <f t="shared" si="41"/>
        <v>0.56277798086255659</v>
      </c>
      <c r="C585">
        <f t="shared" si="42"/>
        <v>0.71135442241517644</v>
      </c>
      <c r="D585">
        <f t="shared" si="43"/>
        <v>65951.780064793798</v>
      </c>
      <c r="E585">
        <f t="shared" si="44"/>
        <v>46915.090415244144</v>
      </c>
    </row>
    <row r="586" spans="1:5">
      <c r="A586">
        <f t="shared" si="40"/>
        <v>0.4760552069876427</v>
      </c>
      <c r="B586">
        <f t="shared" si="41"/>
        <v>0.96402709359612593</v>
      </c>
      <c r="C586">
        <f t="shared" si="42"/>
        <v>0.9547896786920318</v>
      </c>
      <c r="D586">
        <f t="shared" si="43"/>
        <v>70028.754209014369</v>
      </c>
      <c r="E586">
        <f t="shared" si="44"/>
        <v>66862.731730428102</v>
      </c>
    </row>
    <row r="587" spans="1:5">
      <c r="A587">
        <f t="shared" si="40"/>
        <v>0.34564986322299251</v>
      </c>
      <c r="B587">
        <f t="shared" si="41"/>
        <v>0.15932392806828277</v>
      </c>
      <c r="C587">
        <f t="shared" si="42"/>
        <v>0.8776363390271964</v>
      </c>
      <c r="D587">
        <f t="shared" si="43"/>
        <v>63082.386269500006</v>
      </c>
      <c r="E587">
        <f t="shared" si="44"/>
        <v>55363.394542663467</v>
      </c>
    </row>
    <row r="588" spans="1:5">
      <c r="A588">
        <f t="shared" si="40"/>
        <v>0.71676478983637582</v>
      </c>
      <c r="B588">
        <f t="shared" si="41"/>
        <v>0.14866848427902735</v>
      </c>
      <c r="C588">
        <f t="shared" si="42"/>
        <v>1.1185848410691555</v>
      </c>
      <c r="D588">
        <f t="shared" si="43"/>
        <v>62970.813248925748</v>
      </c>
      <c r="E588">
        <f t="shared" si="44"/>
        <v>70438.197130045082</v>
      </c>
    </row>
    <row r="589" spans="1:5">
      <c r="A589">
        <f t="shared" si="40"/>
        <v>0.58939998682779304</v>
      </c>
      <c r="B589">
        <f t="shared" si="41"/>
        <v>0.93206076222835976</v>
      </c>
      <c r="C589">
        <f t="shared" si="42"/>
        <v>1.0255719408792388</v>
      </c>
      <c r="D589">
        <f t="shared" si="43"/>
        <v>69263.393406396674</v>
      </c>
      <c r="E589">
        <f t="shared" si="44"/>
        <v>71034.592807680499</v>
      </c>
    </row>
    <row r="590" spans="1:5">
      <c r="A590">
        <f t="shared" si="40"/>
        <v>0.9635554541972442</v>
      </c>
      <c r="B590">
        <f t="shared" si="41"/>
        <v>0.50950076191627947</v>
      </c>
      <c r="C590">
        <f t="shared" si="42"/>
        <v>1.5176015075325511</v>
      </c>
      <c r="D590">
        <f t="shared" si="43"/>
        <v>65618.460196999993</v>
      </c>
      <c r="E590">
        <f t="shared" si="44"/>
        <v>99582.674116931885</v>
      </c>
    </row>
    <row r="591" spans="1:5">
      <c r="A591">
        <f t="shared" si="40"/>
        <v>0.83923119194472906</v>
      </c>
      <c r="B591">
        <f t="shared" si="41"/>
        <v>0.88098848334278723</v>
      </c>
      <c r="C591">
        <f t="shared" si="42"/>
        <v>1.2418171700707563</v>
      </c>
      <c r="D591">
        <f t="shared" si="43"/>
        <v>68490.012263033161</v>
      </c>
      <c r="E591">
        <f t="shared" si="44"/>
        <v>85052.073206591231</v>
      </c>
    </row>
    <row r="592" spans="1:5">
      <c r="A592">
        <f t="shared" ref="A592:A655" si="45">IFERROR(MOD(MOD(($E$8+((ROW()-15)*(ROW()-14)/2)*13)*171,30269)/30269+MOD(($E$8+((ROW()-15)*(ROW()-14)/2)*29)*172,30307)/30307+MOD(($E$8+((ROW()-15)*(ROW()-14)/2)*47)*170,30323)/30323,1),0.5)</f>
        <v>0.21642720007024785</v>
      </c>
      <c r="B592">
        <f t="shared" ref="B592:B655" si="46">IFERROR(MOD(MOD(($E$8+((ROW()-15)*(ROW()-14)/2)*17)*171,30269)/30269+MOD(($E$8+((ROW()-15)*(ROW()-14)/2)*41)*172,30307)/30307+MOD(($E$8+((ROW()-15)*(ROW()-14)/2)*83)*170,30323)/30323,1),0.5)</f>
        <v>4.6523926507882507E-2</v>
      </c>
      <c r="C592">
        <f t="shared" ref="C592:C655" si="47">IFERROR(EXP($E$4*NORMSINV(MIN(MAX(A592,0.000000001),0.999999999))-$E$4^2/2),1)</f>
        <v>0.79665853212383575</v>
      </c>
      <c r="D592">
        <f t="shared" ref="D592:D655" si="48">IFERROR($B$5+$E$5*NORMSINV(MIN(MAX(B592,0.000000001),0.999999999)),$B$5)</f>
        <v>61387.722362062384</v>
      </c>
      <c r="E592">
        <f t="shared" ref="E592:E655" si="49">IFERROR(C592*MAX(D592,0),0)</f>
        <v>48905.052787386187</v>
      </c>
    </row>
    <row r="593" spans="1:5">
      <c r="A593">
        <f t="shared" si="45"/>
        <v>9.5143478573800344E-2</v>
      </c>
      <c r="B593">
        <f t="shared" si="46"/>
        <v>6.1070914115655128E-3</v>
      </c>
      <c r="C593">
        <f t="shared" si="47"/>
        <v>0.6985959997273109</v>
      </c>
      <c r="D593">
        <f t="shared" si="48"/>
        <v>59335.23180236722</v>
      </c>
      <c r="E593">
        <f t="shared" si="49"/>
        <v>41451.355580026458</v>
      </c>
    </row>
    <row r="594" spans="1:5">
      <c r="A594">
        <f t="shared" si="45"/>
        <v>0.47538002745538677</v>
      </c>
      <c r="B594">
        <f t="shared" si="46"/>
        <v>0.75973797805383625</v>
      </c>
      <c r="C594">
        <f t="shared" si="47"/>
        <v>0.95438503719982426</v>
      </c>
      <c r="D594">
        <f t="shared" si="48"/>
        <v>67311.505514636476</v>
      </c>
      <c r="E594">
        <f t="shared" si="49"/>
        <v>64241.093694562507</v>
      </c>
    </row>
    <row r="595" spans="1:5">
      <c r="A595">
        <f t="shared" si="45"/>
        <v>0.35713684671500667</v>
      </c>
      <c r="B595">
        <f t="shared" si="46"/>
        <v>0.30741658643469449</v>
      </c>
      <c r="C595">
        <f t="shared" si="47"/>
        <v>0.88445767647157514</v>
      </c>
      <c r="D595">
        <f t="shared" si="48"/>
        <v>64309.503434730868</v>
      </c>
      <c r="E595">
        <f t="shared" si="49"/>
        <v>56879.033982922847</v>
      </c>
    </row>
    <row r="596" spans="1:5">
      <c r="A596">
        <f t="shared" si="45"/>
        <v>0.74041393635266095</v>
      </c>
      <c r="B596">
        <f t="shared" si="46"/>
        <v>0.64914291655414047</v>
      </c>
      <c r="C596">
        <f t="shared" si="47"/>
        <v>1.1387207898345393</v>
      </c>
      <c r="D596">
        <f t="shared" si="48"/>
        <v>66510.607277629038</v>
      </c>
      <c r="E596">
        <f t="shared" si="49"/>
        <v>75737.0112515566</v>
      </c>
    </row>
    <row r="597" spans="1:5">
      <c r="A597">
        <f t="shared" si="45"/>
        <v>0.62521129636834871</v>
      </c>
      <c r="B597">
        <f t="shared" si="46"/>
        <v>0.7849169684121744</v>
      </c>
      <c r="C597">
        <f t="shared" si="47"/>
        <v>1.0497469752261928</v>
      </c>
      <c r="D597">
        <f t="shared" si="48"/>
        <v>67518.770220237435</v>
      </c>
      <c r="E597">
        <f t="shared" si="49"/>
        <v>70877.624809686589</v>
      </c>
    </row>
    <row r="598" spans="1:5">
      <c r="A598">
        <f t="shared" si="45"/>
        <v>1.1528926762070402E-2</v>
      </c>
      <c r="B598">
        <f t="shared" si="46"/>
        <v>0.71473874200879584</v>
      </c>
      <c r="C598">
        <f t="shared" si="47"/>
        <v>0.54915822200028597</v>
      </c>
      <c r="D598">
        <f t="shared" si="48"/>
        <v>66968.303310091971</v>
      </c>
      <c r="E598">
        <f t="shared" si="49"/>
        <v>36776.19437614597</v>
      </c>
    </row>
    <row r="599" spans="1:5">
      <c r="A599">
        <f t="shared" si="45"/>
        <v>0.89936682753382602</v>
      </c>
      <c r="B599">
        <f t="shared" si="46"/>
        <v>0.43860823734400478</v>
      </c>
      <c r="C599">
        <f t="shared" si="47"/>
        <v>1.3340747822360481</v>
      </c>
      <c r="D599">
        <f t="shared" si="48"/>
        <v>65175.564149811042</v>
      </c>
      <c r="E599">
        <f t="shared" si="49"/>
        <v>86949.076550270751</v>
      </c>
    </row>
    <row r="600" spans="1:5">
      <c r="A600">
        <f t="shared" si="45"/>
        <v>0.28872499868361534</v>
      </c>
      <c r="B600">
        <f t="shared" si="46"/>
        <v>0.95652545441780168</v>
      </c>
      <c r="C600">
        <f t="shared" si="47"/>
        <v>0.84321919779436449</v>
      </c>
      <c r="D600">
        <f t="shared" si="48"/>
        <v>69810.815056017076</v>
      </c>
      <c r="E600">
        <f t="shared" si="49"/>
        <v>58865.819468905465</v>
      </c>
    </row>
    <row r="601" spans="1:5">
      <c r="A601">
        <f t="shared" si="45"/>
        <v>0.17960344021143854</v>
      </c>
      <c r="B601">
        <f t="shared" si="46"/>
        <v>0.26849039323018631</v>
      </c>
      <c r="C601">
        <f t="shared" si="47"/>
        <v>0.77068977490107304</v>
      </c>
      <c r="D601">
        <f t="shared" si="48"/>
        <v>64025.860242153969</v>
      </c>
      <c r="E601">
        <f t="shared" si="49"/>
        <v>49344.075817873207</v>
      </c>
    </row>
    <row r="602" spans="1:5">
      <c r="A602">
        <f t="shared" si="45"/>
        <v>0.57200215211729555</v>
      </c>
      <c r="B602">
        <f t="shared" si="46"/>
        <v>0.37450305378115845</v>
      </c>
      <c r="C602">
        <f t="shared" si="47"/>
        <v>1.0142185861796367</v>
      </c>
      <c r="D602">
        <f t="shared" si="48"/>
        <v>64764.620634496423</v>
      </c>
      <c r="E602">
        <f t="shared" si="49"/>
        <v>65685.48197437948</v>
      </c>
    </row>
    <row r="603" spans="1:5">
      <c r="A603">
        <f t="shared" si="45"/>
        <v>0.46592113440118643</v>
      </c>
      <c r="B603">
        <f t="shared" si="46"/>
        <v>0.27456343607071831</v>
      </c>
      <c r="C603">
        <f t="shared" si="47"/>
        <v>0.94872926927818102</v>
      </c>
      <c r="D603">
        <f t="shared" si="48"/>
        <v>64071.353107632851</v>
      </c>
      <c r="E603">
        <f t="shared" si="49"/>
        <v>60786.368015468826</v>
      </c>
    </row>
    <row r="604" spans="1:5">
      <c r="A604">
        <f t="shared" si="45"/>
        <v>0.8613603870631108</v>
      </c>
      <c r="B604">
        <f t="shared" si="46"/>
        <v>0.96867154009886591</v>
      </c>
      <c r="C604">
        <f t="shared" si="47"/>
        <v>1.2717105827525952</v>
      </c>
      <c r="D604">
        <f t="shared" si="48"/>
        <v>70183.139020873146</v>
      </c>
      <c r="E604">
        <f t="shared" si="49"/>
        <v>89252.640623640997</v>
      </c>
    </row>
    <row r="605" spans="1:5">
      <c r="A605">
        <f t="shared" si="45"/>
        <v>0.75831991010306954</v>
      </c>
      <c r="B605">
        <f t="shared" si="46"/>
        <v>0.45682736586560102</v>
      </c>
      <c r="C605">
        <f t="shared" si="47"/>
        <v>1.1548576629596758</v>
      </c>
      <c r="D605">
        <f t="shared" si="48"/>
        <v>65289.988884742153</v>
      </c>
      <c r="E605">
        <f t="shared" si="49"/>
        <v>75400.64397809653</v>
      </c>
    </row>
    <row r="606" spans="1:5">
      <c r="A606">
        <f t="shared" si="45"/>
        <v>0.15679970352106176</v>
      </c>
      <c r="B606">
        <f t="shared" si="46"/>
        <v>0.73903091337092408</v>
      </c>
      <c r="C606">
        <f t="shared" si="47"/>
        <v>0.75338828722434414</v>
      </c>
      <c r="D606">
        <f t="shared" si="48"/>
        <v>67149.81363236309</v>
      </c>
      <c r="E606">
        <f t="shared" si="49"/>
        <v>50589.883079919942</v>
      </c>
    </row>
    <row r="607" spans="1:5">
      <c r="A607">
        <f t="shared" si="45"/>
        <v>5.6799767317088135E-2</v>
      </c>
      <c r="B607">
        <f t="shared" si="46"/>
        <v>0.81528218261483465</v>
      </c>
      <c r="C607">
        <f t="shared" si="47"/>
        <v>0.65259092261112706</v>
      </c>
      <c r="D607">
        <f t="shared" si="48"/>
        <v>67788.566204547518</v>
      </c>
      <c r="E607">
        <f t="shared" si="49"/>
        <v>44238.202961911134</v>
      </c>
    </row>
    <row r="608" spans="1:5">
      <c r="A608">
        <f t="shared" si="45"/>
        <v>0.45832010149114799</v>
      </c>
      <c r="B608">
        <f t="shared" si="46"/>
        <v>0.68558117359733295</v>
      </c>
      <c r="C608">
        <f t="shared" si="47"/>
        <v>0.94420053782578162</v>
      </c>
      <c r="D608">
        <f t="shared" si="48"/>
        <v>66759.868596740693</v>
      </c>
      <c r="E608">
        <f t="shared" si="49"/>
        <v>63034.703834221073</v>
      </c>
    </row>
    <row r="609" spans="1:5">
      <c r="A609">
        <f t="shared" si="45"/>
        <v>0.36136070604324155</v>
      </c>
      <c r="B609">
        <f t="shared" si="46"/>
        <v>0.34992788631841898</v>
      </c>
      <c r="C609">
        <f t="shared" si="47"/>
        <v>0.88695945163540402</v>
      </c>
      <c r="D609">
        <f t="shared" si="48"/>
        <v>64601.772130443562</v>
      </c>
      <c r="E609">
        <f t="shared" si="49"/>
        <v>57299.152383493551</v>
      </c>
    </row>
    <row r="610" spans="1:5">
      <c r="A610">
        <f t="shared" si="45"/>
        <v>0.76592158097336926</v>
      </c>
      <c r="B610">
        <f t="shared" si="46"/>
        <v>0.80832232077809252</v>
      </c>
      <c r="C610">
        <f t="shared" si="47"/>
        <v>1.1619740369354181</v>
      </c>
      <c r="D610">
        <f t="shared" si="48"/>
        <v>67724.483893613302</v>
      </c>
      <c r="E610">
        <f t="shared" si="49"/>
        <v>78694.091949229551</v>
      </c>
    </row>
    <row r="611" spans="1:5">
      <c r="A611">
        <f t="shared" si="45"/>
        <v>0.67200272628153068</v>
      </c>
      <c r="B611">
        <f t="shared" si="46"/>
        <v>6.0764476976354231E-2</v>
      </c>
      <c r="C611">
        <f t="shared" si="47"/>
        <v>1.0834089586333595</v>
      </c>
      <c r="D611">
        <f t="shared" si="48"/>
        <v>61713.461692067423</v>
      </c>
      <c r="E611">
        <f t="shared" si="49"/>
        <v>66860.917265462485</v>
      </c>
    </row>
    <row r="612" spans="1:5">
      <c r="A612">
        <f t="shared" si="45"/>
        <v>7.960414196772625E-2</v>
      </c>
      <c r="B612">
        <f t="shared" si="46"/>
        <v>0.10725435491320301</v>
      </c>
      <c r="C612">
        <f t="shared" si="47"/>
        <v>0.68168689706263497</v>
      </c>
      <c r="D612">
        <f t="shared" si="48"/>
        <v>62476.29036140682</v>
      </c>
      <c r="E612">
        <f t="shared" si="49"/>
        <v>42589.268516451622</v>
      </c>
    </row>
    <row r="613" spans="1:5">
      <c r="A613">
        <f t="shared" si="45"/>
        <v>0.98872582803195519</v>
      </c>
      <c r="B613">
        <f t="shared" si="46"/>
        <v>0.94779195458863974</v>
      </c>
      <c r="C613">
        <f t="shared" si="47"/>
        <v>1.714292458609558</v>
      </c>
      <c r="D613">
        <f t="shared" si="48"/>
        <v>69592.480770347</v>
      </c>
      <c r="E613">
        <f t="shared" si="49"/>
        <v>119301.86496053655</v>
      </c>
    </row>
    <row r="614" spans="1:5">
      <c r="A614">
        <f t="shared" si="45"/>
        <v>0.39936778447421806</v>
      </c>
      <c r="B614">
        <f t="shared" si="46"/>
        <v>0.5823772760026642</v>
      </c>
      <c r="C614">
        <f t="shared" si="47"/>
        <v>0.90937660491185202</v>
      </c>
      <c r="D614">
        <f t="shared" si="48"/>
        <v>66075.876014714042</v>
      </c>
      <c r="E614">
        <f t="shared" si="49"/>
        <v>60087.855796837131</v>
      </c>
    </row>
    <row r="615" spans="1:5">
      <c r="A615">
        <f t="shared" si="45"/>
        <v>0.31153001129451474</v>
      </c>
      <c r="B615">
        <f t="shared" si="46"/>
        <v>1.1010319155276171E-2</v>
      </c>
      <c r="C615">
        <f t="shared" si="47"/>
        <v>0.85716098065244917</v>
      </c>
      <c r="D615">
        <f t="shared" si="48"/>
        <v>59871.437089605228</v>
      </c>
      <c r="E615">
        <f t="shared" si="49"/>
        <v>51319.459728797432</v>
      </c>
    </row>
    <row r="616" spans="1:5">
      <c r="A616">
        <f t="shared" si="45"/>
        <v>0.72521250849284558</v>
      </c>
      <c r="B616">
        <f t="shared" si="46"/>
        <v>0.23369108404647632</v>
      </c>
      <c r="C616">
        <f t="shared" si="47"/>
        <v>1.1256372069524845</v>
      </c>
      <c r="D616">
        <f t="shared" si="48"/>
        <v>63754.234992227161</v>
      </c>
      <c r="E616">
        <f t="shared" si="49"/>
        <v>71764.139008042926</v>
      </c>
    </row>
    <row r="617" spans="1:5">
      <c r="A617">
        <f t="shared" si="45"/>
        <v>0.64041527606921012</v>
      </c>
      <c r="B617">
        <f t="shared" si="46"/>
        <v>0.25041957067626353</v>
      </c>
      <c r="C617">
        <f t="shared" si="47"/>
        <v>1.0603958239416325</v>
      </c>
      <c r="D617">
        <f t="shared" si="48"/>
        <v>63887.303114143229</v>
      </c>
      <c r="E617">
        <f t="shared" si="49"/>
        <v>67745.829425130723</v>
      </c>
    </row>
    <row r="618" spans="1:5">
      <c r="A618">
        <f t="shared" si="45"/>
        <v>5.7138314023608139E-2</v>
      </c>
      <c r="B618">
        <f t="shared" si="46"/>
        <v>6.1195779044638687E-2</v>
      </c>
      <c r="C618">
        <f t="shared" si="47"/>
        <v>0.65307403006365727</v>
      </c>
      <c r="D618">
        <f t="shared" si="48"/>
        <v>61722.341285621595</v>
      </c>
      <c r="E618">
        <f t="shared" si="49"/>
        <v>40309.258168365355</v>
      </c>
    </row>
    <row r="619" spans="1:5">
      <c r="A619">
        <f t="shared" si="45"/>
        <v>0.97538162235604031</v>
      </c>
      <c r="B619">
        <f t="shared" si="46"/>
        <v>0.66601970915160169</v>
      </c>
      <c r="C619">
        <f t="shared" si="47"/>
        <v>1.5846822928004853</v>
      </c>
      <c r="D619">
        <f t="shared" si="48"/>
        <v>66624.714538883491</v>
      </c>
      <c r="E619">
        <f t="shared" si="49"/>
        <v>105579.00539265572</v>
      </c>
    </row>
    <row r="620" spans="1:5">
      <c r="A620">
        <f t="shared" si="45"/>
        <v>0.39514520106650597</v>
      </c>
      <c r="B620">
        <f t="shared" si="46"/>
        <v>6.4891360997152203E-2</v>
      </c>
      <c r="C620">
        <f t="shared" si="47"/>
        <v>0.90689066466776147</v>
      </c>
      <c r="D620">
        <f t="shared" si="48"/>
        <v>61796.490594394796</v>
      </c>
      <c r="E620">
        <f t="shared" si="49"/>
        <v>56042.660429285766</v>
      </c>
    </row>
    <row r="621" spans="1:5">
      <c r="A621">
        <f t="shared" si="45"/>
        <v>0.31642905015500578</v>
      </c>
      <c r="B621">
        <f t="shared" si="46"/>
        <v>0.25781073458129034</v>
      </c>
      <c r="C621">
        <f t="shared" si="47"/>
        <v>0.86012548965975177</v>
      </c>
      <c r="D621">
        <f t="shared" si="48"/>
        <v>63944.580056991421</v>
      </c>
      <c r="E621">
        <f t="shared" si="49"/>
        <v>55000.363232606942</v>
      </c>
    </row>
    <row r="622" spans="1:5">
      <c r="A622">
        <f t="shared" si="45"/>
        <v>0.73923316962153929</v>
      </c>
      <c r="B622">
        <f t="shared" si="46"/>
        <v>0.2447778299040162</v>
      </c>
      <c r="C622">
        <f t="shared" si="47"/>
        <v>1.1376853184565969</v>
      </c>
      <c r="D622">
        <f t="shared" si="48"/>
        <v>63842.978418859268</v>
      </c>
      <c r="E622">
        <f t="shared" si="49"/>
        <v>72633.219233677548</v>
      </c>
    </row>
    <row r="623" spans="1:5">
      <c r="A623">
        <f t="shared" si="45"/>
        <v>0.66355755946610673</v>
      </c>
      <c r="B623">
        <f t="shared" si="46"/>
        <v>2.5792646965329791E-2</v>
      </c>
      <c r="C623">
        <f t="shared" si="47"/>
        <v>1.0771277414620775</v>
      </c>
      <c r="D623">
        <f t="shared" si="48"/>
        <v>60724.446953824219</v>
      </c>
      <c r="E623">
        <f t="shared" si="49"/>
        <v>65407.986398906411</v>
      </c>
    </row>
    <row r="624" spans="1:5">
      <c r="A624">
        <f t="shared" si="45"/>
        <v>8.9402219688708096E-2</v>
      </c>
      <c r="B624">
        <f t="shared" si="46"/>
        <v>0.60085518576523134</v>
      </c>
      <c r="C624">
        <f t="shared" si="47"/>
        <v>0.69255936396355422</v>
      </c>
      <c r="D624">
        <f t="shared" si="48"/>
        <v>66194.059784151672</v>
      </c>
      <c r="E624">
        <f t="shared" si="49"/>
        <v>45843.315942277564</v>
      </c>
    </row>
    <row r="625" spans="1:5">
      <c r="A625">
        <f t="shared" si="45"/>
        <v>1.6767150289343169E-2</v>
      </c>
      <c r="B625">
        <f t="shared" si="46"/>
        <v>0.96996544630372017</v>
      </c>
      <c r="C625">
        <f t="shared" si="47"/>
        <v>0.56969346863213821</v>
      </c>
      <c r="D625">
        <f t="shared" si="48"/>
        <v>70229.505521172003</v>
      </c>
      <c r="E625">
        <f t="shared" si="49"/>
        <v>40009.290600676381</v>
      </c>
    </row>
    <row r="626" spans="1:5">
      <c r="A626">
        <f t="shared" si="45"/>
        <v>0.44565235126801195</v>
      </c>
      <c r="B626">
        <f t="shared" si="46"/>
        <v>0.13312342858079695</v>
      </c>
      <c r="C626">
        <f t="shared" si="47"/>
        <v>0.93668018799418107</v>
      </c>
      <c r="D626">
        <f t="shared" si="48"/>
        <v>62797.977374081958</v>
      </c>
      <c r="E626">
        <f t="shared" si="49"/>
        <v>58821.621252409415</v>
      </c>
    </row>
    <row r="627" spans="1:5">
      <c r="A627">
        <f t="shared" si="45"/>
        <v>0.37605782262471465</v>
      </c>
      <c r="B627">
        <f t="shared" si="46"/>
        <v>9.0329132596461248E-2</v>
      </c>
      <c r="C627">
        <f t="shared" si="47"/>
        <v>0.89564357853565235</v>
      </c>
      <c r="D627">
        <f t="shared" si="48"/>
        <v>62234.201431672613</v>
      </c>
      <c r="E627">
        <f t="shared" si="49"/>
        <v>55739.662877571878</v>
      </c>
    </row>
    <row r="628" spans="1:5">
      <c r="A628">
        <f t="shared" si="45"/>
        <v>0.80798356435945107</v>
      </c>
      <c r="B628">
        <f t="shared" si="46"/>
        <v>0.84158255835071349</v>
      </c>
      <c r="C628">
        <f t="shared" si="47"/>
        <v>1.2048708867260902</v>
      </c>
      <c r="D628">
        <f t="shared" si="48"/>
        <v>68045.518097052234</v>
      </c>
      <c r="E628">
        <f t="shared" si="49"/>
        <v>81986.063727331551</v>
      </c>
    </row>
    <row r="629" spans="1:5">
      <c r="A629">
        <f t="shared" si="45"/>
        <v>0.74142957647222141</v>
      </c>
      <c r="B629">
        <f t="shared" si="46"/>
        <v>0.38688370584355303</v>
      </c>
      <c r="C629">
        <f t="shared" si="47"/>
        <v>1.1396141568793661</v>
      </c>
      <c r="D629">
        <f t="shared" si="48"/>
        <v>64845.342437154053</v>
      </c>
      <c r="E629">
        <f t="shared" si="49"/>
        <v>73898.670249071089</v>
      </c>
    </row>
    <row r="630" spans="1:5">
      <c r="A630">
        <f t="shared" si="45"/>
        <v>0.17639585896302568</v>
      </c>
      <c r="B630">
        <f t="shared" si="46"/>
        <v>0.72623257507498051</v>
      </c>
      <c r="C630">
        <f t="shared" si="47"/>
        <v>0.76832153001229431</v>
      </c>
      <c r="D630">
        <f t="shared" si="48"/>
        <v>67053.188853808184</v>
      </c>
      <c r="E630">
        <f t="shared" si="49"/>
        <v>51518.40865236122</v>
      </c>
    </row>
    <row r="631" spans="1:5">
      <c r="A631">
        <f t="shared" si="45"/>
        <v>0.11288241183186365</v>
      </c>
      <c r="B631">
        <f t="shared" si="46"/>
        <v>0.85962916604499551</v>
      </c>
      <c r="C631">
        <f t="shared" si="47"/>
        <v>0.71599277970262287</v>
      </c>
      <c r="D631">
        <f t="shared" si="48"/>
        <v>68238.436251799358</v>
      </c>
      <c r="E631">
        <f t="shared" si="49"/>
        <v>48858.227654486051</v>
      </c>
    </row>
    <row r="632" spans="1:5">
      <c r="A632">
        <f t="shared" si="45"/>
        <v>0.55088923507873533</v>
      </c>
      <c r="B632">
        <f t="shared" si="46"/>
        <v>0.78707347875359823</v>
      </c>
      <c r="C632">
        <f t="shared" si="47"/>
        <v>1.0007273434015256</v>
      </c>
      <c r="D632">
        <f t="shared" si="48"/>
        <v>67537.15131327101</v>
      </c>
      <c r="E632">
        <f t="shared" si="49"/>
        <v>67586.274014636554</v>
      </c>
    </row>
    <row r="633" spans="1:5">
      <c r="A633">
        <f t="shared" si="45"/>
        <v>0.49041632870364127</v>
      </c>
      <c r="B633">
        <f t="shared" si="46"/>
        <v>0.50856551320078891</v>
      </c>
      <c r="C633">
        <f t="shared" si="47"/>
        <v>0.96342922197569836</v>
      </c>
      <c r="D633">
        <f t="shared" si="48"/>
        <v>65612.635944188834</v>
      </c>
      <c r="E633">
        <f t="shared" si="49"/>
        <v>63213.130799484592</v>
      </c>
    </row>
    <row r="634" spans="1:5">
      <c r="A634">
        <f t="shared" si="45"/>
        <v>0.9314636927065808</v>
      </c>
      <c r="B634">
        <f t="shared" si="46"/>
        <v>2.4105269386566874E-2</v>
      </c>
      <c r="C634">
        <f t="shared" si="47"/>
        <v>1.4055733448266632</v>
      </c>
      <c r="D634">
        <f t="shared" si="48"/>
        <v>60652.59280031918</v>
      </c>
      <c r="E634">
        <f t="shared" si="49"/>
        <v>85251.667734754214</v>
      </c>
    </row>
    <row r="635" spans="1:5">
      <c r="A635">
        <f t="shared" si="45"/>
        <v>0.87403132708755404</v>
      </c>
      <c r="B635">
        <f t="shared" si="46"/>
        <v>0.33369274731093279</v>
      </c>
      <c r="C635">
        <f t="shared" si="47"/>
        <v>1.2906734068847368</v>
      </c>
      <c r="D635">
        <f t="shared" si="48"/>
        <v>64491.930158175041</v>
      </c>
      <c r="E635">
        <f t="shared" si="49"/>
        <v>83238.019213824286</v>
      </c>
    </row>
    <row r="636" spans="1:5">
      <c r="A636">
        <f t="shared" si="45"/>
        <v>0.31811923184656132</v>
      </c>
      <c r="B636">
        <f t="shared" si="46"/>
        <v>0.43732794697388622</v>
      </c>
      <c r="C636">
        <f t="shared" si="47"/>
        <v>0.86114606772847435</v>
      </c>
      <c r="D636">
        <f t="shared" si="48"/>
        <v>65167.495457580444</v>
      </c>
      <c r="E636">
        <f t="shared" si="49"/>
        <v>56118.732457008613</v>
      </c>
    </row>
    <row r="637" spans="1:5">
      <c r="A637">
        <f t="shared" si="45"/>
        <v>0.2637274069836022</v>
      </c>
      <c r="B637">
        <f t="shared" si="46"/>
        <v>0.3350108683754276</v>
      </c>
      <c r="C637">
        <f t="shared" si="47"/>
        <v>0.82760109589596653</v>
      </c>
      <c r="D637">
        <f t="shared" si="48"/>
        <v>64500.923513916059</v>
      </c>
      <c r="E637">
        <f t="shared" si="49"/>
        <v>53381.034986418847</v>
      </c>
    </row>
    <row r="638" spans="1:5">
      <c r="A638">
        <f t="shared" si="45"/>
        <v>0.710855852498677</v>
      </c>
      <c r="B638">
        <f t="shared" si="46"/>
        <v>2.6741511515556482E-2</v>
      </c>
      <c r="C638">
        <f t="shared" si="47"/>
        <v>1.1137377276563531</v>
      </c>
      <c r="D638">
        <f t="shared" si="48"/>
        <v>60763.139687597228</v>
      </c>
      <c r="E638">
        <f t="shared" si="49"/>
        <v>67674.201120930098</v>
      </c>
    </row>
    <row r="639" spans="1:5">
      <c r="A639">
        <f t="shared" si="45"/>
        <v>0.65950456839178573</v>
      </c>
      <c r="B639">
        <f t="shared" si="46"/>
        <v>0.5125198763942731</v>
      </c>
      <c r="C639">
        <f t="shared" si="47"/>
        <v>1.0741480608915235</v>
      </c>
      <c r="D639">
        <f t="shared" si="48"/>
        <v>65637.264087352974</v>
      </c>
      <c r="E639">
        <f t="shared" si="49"/>
        <v>70504.139941655027</v>
      </c>
    </row>
    <row r="640" spans="1:5">
      <c r="A640">
        <f t="shared" si="45"/>
        <v>0.10967355466292794</v>
      </c>
      <c r="B640">
        <f t="shared" si="46"/>
        <v>0.79234596301157723</v>
      </c>
      <c r="C640">
        <f t="shared" si="47"/>
        <v>0.71296958753360706</v>
      </c>
      <c r="D640">
        <f t="shared" si="48"/>
        <v>67582.55515534812</v>
      </c>
      <c r="E640">
        <f t="shared" si="49"/>
        <v>48184.306473575802</v>
      </c>
    </row>
    <row r="641" spans="1:5">
      <c r="A641">
        <f t="shared" si="45"/>
        <v>6.1362811312104526E-2</v>
      </c>
      <c r="B641">
        <f t="shared" si="46"/>
        <v>0.86621977136746919</v>
      </c>
      <c r="C641">
        <f t="shared" si="47"/>
        <v>0.65894949686756876</v>
      </c>
      <c r="D641">
        <f t="shared" si="48"/>
        <v>68313.057010853299</v>
      </c>
      <c r="E641">
        <f t="shared" si="49"/>
        <v>45014.854546787319</v>
      </c>
    </row>
    <row r="642" spans="1:5">
      <c r="A642">
        <f t="shared" si="45"/>
        <v>0.51457233833931415</v>
      </c>
      <c r="B642">
        <f t="shared" si="46"/>
        <v>0.73414130146194889</v>
      </c>
      <c r="C642">
        <f t="shared" si="47"/>
        <v>0.97812665863942949</v>
      </c>
      <c r="D642">
        <f t="shared" si="48"/>
        <v>67112.621401185446</v>
      </c>
      <c r="E642">
        <f t="shared" si="49"/>
        <v>65644.644123674589</v>
      </c>
    </row>
    <row r="643" spans="1:5">
      <c r="A643">
        <f t="shared" si="45"/>
        <v>0.46930213574455837</v>
      </c>
      <c r="B643">
        <f t="shared" si="46"/>
        <v>0.39611055329501632</v>
      </c>
      <c r="C643">
        <f t="shared" si="47"/>
        <v>0.95074817010075563</v>
      </c>
      <c r="D643">
        <f t="shared" si="48"/>
        <v>64905.010078506923</v>
      </c>
      <c r="E643">
        <f t="shared" si="49"/>
        <v>61708.319562511555</v>
      </c>
    </row>
    <row r="644" spans="1:5">
      <c r="A644">
        <f t="shared" si="45"/>
        <v>0.92555220352783629</v>
      </c>
      <c r="B644">
        <f t="shared" si="46"/>
        <v>0.85212752686667126</v>
      </c>
      <c r="C644">
        <f t="shared" si="47"/>
        <v>1.3904269544120638</v>
      </c>
      <c r="D644">
        <f t="shared" si="48"/>
        <v>68156.340128076612</v>
      </c>
      <c r="E644">
        <f t="shared" si="49"/>
        <v>94766.41242815429</v>
      </c>
    </row>
    <row r="645" spans="1:5">
      <c r="A645">
        <f t="shared" si="45"/>
        <v>0.88332254168914792</v>
      </c>
      <c r="B645">
        <f t="shared" si="46"/>
        <v>0.10219222217691404</v>
      </c>
      <c r="C645">
        <f t="shared" si="47"/>
        <v>1.3056360089753085</v>
      </c>
      <c r="D645">
        <f t="shared" si="48"/>
        <v>62407.002958800847</v>
      </c>
      <c r="E645">
        <f t="shared" si="49"/>
        <v>81480.830275239015</v>
      </c>
    </row>
    <row r="646" spans="1:5">
      <c r="A646">
        <f t="shared" si="45"/>
        <v>0.34261315022849326</v>
      </c>
      <c r="B646">
        <f t="shared" si="46"/>
        <v>0.14630463922574455</v>
      </c>
      <c r="C646">
        <f t="shared" si="47"/>
        <v>0.87582809600084988</v>
      </c>
      <c r="D646">
        <f t="shared" si="48"/>
        <v>62945.345521353309</v>
      </c>
      <c r="E646">
        <f t="shared" si="49"/>
        <v>55129.302120082495</v>
      </c>
    </row>
    <row r="647" spans="1:5">
      <c r="A647">
        <f t="shared" si="45"/>
        <v>0.30342402914587252</v>
      </c>
      <c r="B647">
        <f t="shared" si="46"/>
        <v>0.98446477801316234</v>
      </c>
      <c r="C647">
        <f t="shared" si="47"/>
        <v>0.85223373039961725</v>
      </c>
      <c r="D647">
        <f t="shared" si="48"/>
        <v>70914.736787410802</v>
      </c>
      <c r="E647">
        <f t="shared" si="49"/>
        <v>60435.930672642076</v>
      </c>
    </row>
    <row r="648" spans="1:5">
      <c r="A648">
        <f t="shared" si="45"/>
        <v>0.76575517844128549</v>
      </c>
      <c r="B648">
        <f t="shared" si="46"/>
        <v>0.61667263853916832</v>
      </c>
      <c r="C648">
        <f t="shared" si="47"/>
        <v>1.1618164352027323</v>
      </c>
      <c r="D648">
        <f t="shared" si="48"/>
        <v>66296.371845612972</v>
      </c>
      <c r="E648">
        <f t="shared" si="49"/>
        <v>77024.214404544851</v>
      </c>
    </row>
    <row r="649" spans="1:5">
      <c r="A649">
        <f t="shared" si="45"/>
        <v>0.72960659811473239</v>
      </c>
      <c r="B649">
        <f t="shared" si="46"/>
        <v>4.2928220803761796E-2</v>
      </c>
      <c r="C649">
        <f t="shared" si="47"/>
        <v>1.1293654272578992</v>
      </c>
      <c r="D649">
        <f t="shared" si="48"/>
        <v>61292.998135324509</v>
      </c>
      <c r="E649">
        <f t="shared" si="49"/>
        <v>69222.19302701838</v>
      </c>
    </row>
    <row r="650" spans="1:5">
      <c r="A650">
        <f t="shared" si="45"/>
        <v>0.19497828816621343</v>
      </c>
      <c r="B650">
        <f t="shared" si="46"/>
        <v>0.26323152480694301</v>
      </c>
      <c r="C650">
        <f t="shared" si="47"/>
        <v>0.78178615961899167</v>
      </c>
      <c r="D650">
        <f t="shared" si="48"/>
        <v>63986.046916023806</v>
      </c>
      <c r="E650">
        <f t="shared" si="49"/>
        <v>50023.405887678877</v>
      </c>
    </row>
    <row r="651" spans="1:5">
      <c r="A651">
        <f t="shared" si="45"/>
        <v>0.16187024859572796</v>
      </c>
      <c r="B651">
        <f t="shared" si="46"/>
        <v>0.27758255054871173</v>
      </c>
      <c r="C651">
        <f t="shared" si="47"/>
        <v>0.7573346110207968</v>
      </c>
      <c r="D651">
        <f t="shared" si="48"/>
        <v>64093.783786384985</v>
      </c>
      <c r="E651">
        <f t="shared" si="49"/>
        <v>48540.440812712928</v>
      </c>
    </row>
    <row r="652" spans="1:5">
      <c r="A652">
        <f t="shared" si="45"/>
        <v>0.6302824794032762</v>
      </c>
      <c r="B652">
        <f t="shared" si="46"/>
        <v>8.5981298029068398E-2</v>
      </c>
      <c r="C652">
        <f t="shared" si="47"/>
        <v>1.0532708295103161</v>
      </c>
      <c r="D652">
        <f t="shared" si="48"/>
        <v>62166.658422542765</v>
      </c>
      <c r="E652">
        <f t="shared" si="49"/>
        <v>65478.327884596103</v>
      </c>
    </row>
    <row r="653" spans="1:5">
      <c r="A653">
        <f t="shared" si="45"/>
        <v>0.60021498058885858</v>
      </c>
      <c r="B653">
        <f t="shared" si="46"/>
        <v>0.68842776724801247</v>
      </c>
      <c r="C653">
        <f t="shared" si="47"/>
        <v>1.0327507755833172</v>
      </c>
      <c r="D653">
        <f t="shared" si="48"/>
        <v>66779.826239694288</v>
      </c>
      <c r="E653">
        <f t="shared" si="49"/>
        <v>68966.917342363435</v>
      </c>
    </row>
    <row r="654" spans="1:5">
      <c r="A654">
        <f t="shared" si="45"/>
        <v>7.1667752152474673E-2</v>
      </c>
      <c r="B654">
        <f t="shared" si="46"/>
        <v>8.4921958205544268E-2</v>
      </c>
      <c r="C654">
        <f t="shared" si="47"/>
        <v>0.67225299512550085</v>
      </c>
      <c r="D654">
        <f t="shared" si="48"/>
        <v>62149.816468443343</v>
      </c>
      <c r="E654">
        <f t="shared" si="49"/>
        <v>41780.400267411213</v>
      </c>
    </row>
    <row r="655" spans="1:5">
      <c r="A655">
        <f t="shared" si="45"/>
        <v>4.464079409412447E-2</v>
      </c>
      <c r="B655">
        <f t="shared" si="46"/>
        <v>0.27546387090166413</v>
      </c>
      <c r="C655">
        <f t="shared" si="47"/>
        <v>0.63378221600294837</v>
      </c>
      <c r="D655">
        <f t="shared" si="48"/>
        <v>64078.055563704736</v>
      </c>
      <c r="E655">
        <f t="shared" si="49"/>
        <v>40611.532052324845</v>
      </c>
    </row>
    <row r="656" spans="1:5">
      <c r="A656">
        <f t="shared" ref="A656:A719" si="50">IFERROR(MOD(MOD(($E$8+((ROW()-15)*(ROW()-14)/2)*13)*171,30269)/30269+MOD(($E$8+((ROW()-15)*(ROW()-14)/2)*29)*172,30307)/30307+MOD(($E$8+((ROW()-15)*(ROW()-14)/2)*47)*170,30323)/30323,1),0.5)</f>
        <v>0.51913410641380819</v>
      </c>
      <c r="B656">
        <f t="shared" ref="B656:B719" si="51">IFERROR(MOD(MOD(($E$8+((ROW()-15)*(ROW()-14)/2)*17)*171,30269)/30269+MOD(($E$8+((ROW()-15)*(ROW()-14)/2)*41)*172,30307)/30307+MOD(($E$8+((ROW()-15)*(ROW()-14)/2)*83)*170,30323)/30323,1),0.5)</f>
        <v>0.26005350533637106</v>
      </c>
      <c r="C656">
        <f t="shared" ref="C656:C719" si="52">IFERROR(EXP($E$4*NORMSINV(MIN(MAX(A656,0.000000001),0.999999999))-$E$4^2/2),1)</f>
        <v>0.98092931487447765</v>
      </c>
      <c r="D656">
        <f t="shared" ref="D656:D719" si="53">IFERROR($B$5+$E$5*NORMSINV(MIN(MAX(B656,0.000000001),0.999999999)),$B$5)</f>
        <v>63961.79030403911</v>
      </c>
      <c r="E656">
        <f t="shared" ref="E656:E719" si="54">IFERROR(C656*MAX(D656,0),0)</f>
        <v>62741.995141086089</v>
      </c>
    </row>
    <row r="657" spans="1:5">
      <c r="A657">
        <f t="shared" si="50"/>
        <v>0.49514768911152562</v>
      </c>
      <c r="B657">
        <f t="shared" si="51"/>
        <v>3.8690861509666163E-2</v>
      </c>
      <c r="C657">
        <f t="shared" si="52"/>
        <v>0.96629045694802973</v>
      </c>
      <c r="D657">
        <f t="shared" si="53"/>
        <v>61172.75350141219</v>
      </c>
      <c r="E657">
        <f t="shared" si="54"/>
        <v>59110.647933648768</v>
      </c>
    </row>
    <row r="658" spans="1:5">
      <c r="A658">
        <f t="shared" si="50"/>
        <v>0.97268154218727698</v>
      </c>
      <c r="B658">
        <f t="shared" si="51"/>
        <v>0.61137593942154878</v>
      </c>
      <c r="C658">
        <f t="shared" si="52"/>
        <v>1.5670394043428899</v>
      </c>
      <c r="D658">
        <f t="shared" si="53"/>
        <v>66261.98036766093</v>
      </c>
      <c r="E658">
        <f t="shared" si="54"/>
        <v>103835.13424591965</v>
      </c>
    </row>
    <row r="659" spans="1:5">
      <c r="A659">
        <f t="shared" si="50"/>
        <v>0.95173566564106249</v>
      </c>
      <c r="B659">
        <f t="shared" si="51"/>
        <v>0.97810873907201923</v>
      </c>
      <c r="C659">
        <f t="shared" si="52"/>
        <v>1.4684834235898687</v>
      </c>
      <c r="D659">
        <f t="shared" si="53"/>
        <v>70567.002740918149</v>
      </c>
      <c r="E659">
        <f t="shared" si="54"/>
        <v>103626.47377745913</v>
      </c>
    </row>
    <row r="660" spans="1:5">
      <c r="A660">
        <f t="shared" si="50"/>
        <v>0.43231005947288148</v>
      </c>
      <c r="B660">
        <f t="shared" si="51"/>
        <v>0.13888926046107719</v>
      </c>
      <c r="C660">
        <f t="shared" si="52"/>
        <v>0.92878872539134649</v>
      </c>
      <c r="D660">
        <f t="shared" si="53"/>
        <v>62863.608503475101</v>
      </c>
      <c r="E660">
        <f t="shared" si="54"/>
        <v>58387.010815443253</v>
      </c>
    </row>
    <row r="661" spans="1:5">
      <c r="A661">
        <f t="shared" si="50"/>
        <v>0.41440472368273396</v>
      </c>
      <c r="B661">
        <f t="shared" si="51"/>
        <v>9.3717503588722995E-2</v>
      </c>
      <c r="C661">
        <f t="shared" si="52"/>
        <v>0.91823017313439692</v>
      </c>
      <c r="D661">
        <f t="shared" si="53"/>
        <v>62285.183113004408</v>
      </c>
      <c r="E661">
        <f t="shared" si="54"/>
        <v>57192.134473561651</v>
      </c>
    </row>
    <row r="662" spans="1:5">
      <c r="A662">
        <f t="shared" si="50"/>
        <v>0.8980196582706208</v>
      </c>
      <c r="B662">
        <f t="shared" si="51"/>
        <v>0.84259346845495631</v>
      </c>
      <c r="C662">
        <f t="shared" si="52"/>
        <v>1.3315411219152171</v>
      </c>
      <c r="D662">
        <f t="shared" si="53"/>
        <v>68055.92689379894</v>
      </c>
      <c r="E662">
        <f t="shared" si="54"/>
        <v>90619.265249149044</v>
      </c>
    </row>
    <row r="663" spans="1:5">
      <c r="A663">
        <f t="shared" si="50"/>
        <v>0.88315486323654135</v>
      </c>
      <c r="B663">
        <f t="shared" si="51"/>
        <v>0.38551715505977713</v>
      </c>
      <c r="C663">
        <f t="shared" si="52"/>
        <v>1.3053570920552204</v>
      </c>
      <c r="D663">
        <f t="shared" si="53"/>
        <v>64836.471006357264</v>
      </c>
      <c r="E663">
        <f t="shared" si="54"/>
        <v>84634.747251981127</v>
      </c>
    </row>
    <row r="664" spans="1:5">
      <c r="A664">
        <f t="shared" si="50"/>
        <v>0.36981033858049561</v>
      </c>
      <c r="B664">
        <f t="shared" si="51"/>
        <v>0.72248856340318612</v>
      </c>
      <c r="C664">
        <f t="shared" si="52"/>
        <v>0.89195559618172815</v>
      </c>
      <c r="D664">
        <f t="shared" si="53"/>
        <v>67025.35093540138</v>
      </c>
      <c r="E664">
        <f t="shared" si="54"/>
        <v>59783.63685287549</v>
      </c>
    </row>
    <row r="665" spans="1:5">
      <c r="A665">
        <f t="shared" si="50"/>
        <v>0.35798608430248358</v>
      </c>
      <c r="B665">
        <f t="shared" si="51"/>
        <v>0.85350769348518263</v>
      </c>
      <c r="C665">
        <f t="shared" si="52"/>
        <v>0.88496093001994469</v>
      </c>
      <c r="D665">
        <f t="shared" si="53"/>
        <v>68171.230296102556</v>
      </c>
      <c r="E665">
        <f t="shared" si="54"/>
        <v>60328.875363442748</v>
      </c>
    </row>
    <row r="666" spans="1:5">
      <c r="A666">
        <f t="shared" si="50"/>
        <v>0.84768210040250569</v>
      </c>
      <c r="B666">
        <f t="shared" si="51"/>
        <v>0.77857454530576686</v>
      </c>
      <c r="C666">
        <f t="shared" si="52"/>
        <v>1.2528058308483394</v>
      </c>
      <c r="D666">
        <f t="shared" si="53"/>
        <v>67465.320451353778</v>
      </c>
      <c r="E666">
        <f t="shared" si="54"/>
        <v>84520.946841507728</v>
      </c>
    </row>
    <row r="667" spans="1:5">
      <c r="A667">
        <f t="shared" si="50"/>
        <v>0.83889838688056173</v>
      </c>
      <c r="B667">
        <f t="shared" si="51"/>
        <v>0.49768911886493861</v>
      </c>
      <c r="C667">
        <f t="shared" si="52"/>
        <v>1.2413942123266983</v>
      </c>
      <c r="D667">
        <f t="shared" si="53"/>
        <v>65544.916499001396</v>
      </c>
      <c r="E667">
        <f t="shared" si="54"/>
        <v>81367.079989297054</v>
      </c>
    </row>
    <row r="668" spans="1:5">
      <c r="A668">
        <f t="shared" si="50"/>
        <v>0.33163494373665126</v>
      </c>
      <c r="B668">
        <f t="shared" si="51"/>
        <v>1.0851414162698081E-2</v>
      </c>
      <c r="C668">
        <f t="shared" si="52"/>
        <v>0.86927063828149576</v>
      </c>
      <c r="D668">
        <f t="shared" si="53"/>
        <v>59857.73346187397</v>
      </c>
      <c r="E668">
        <f t="shared" si="54"/>
        <v>52032.570172486834</v>
      </c>
    </row>
    <row r="669" spans="1:5">
      <c r="A669">
        <f t="shared" si="50"/>
        <v>0.32589177097077449</v>
      </c>
      <c r="B669">
        <f t="shared" si="51"/>
        <v>0.31806143119904529</v>
      </c>
      <c r="C669">
        <f t="shared" si="52"/>
        <v>0.86582587179905668</v>
      </c>
      <c r="D669">
        <f t="shared" si="53"/>
        <v>64384.165316150611</v>
      </c>
      <c r="E669">
        <f t="shared" si="54"/>
        <v>55745.47606491069</v>
      </c>
    </row>
    <row r="670" spans="1:5">
      <c r="A670">
        <f t="shared" si="50"/>
        <v>0.82166886858293187</v>
      </c>
      <c r="B670">
        <f t="shared" si="51"/>
        <v>0.41931916997398022</v>
      </c>
      <c r="C670">
        <f t="shared" si="52"/>
        <v>1.2204088595574298</v>
      </c>
      <c r="D670">
        <f t="shared" si="53"/>
        <v>65053.519708860862</v>
      </c>
      <c r="E670">
        <f t="shared" si="54"/>
        <v>79391.891798087672</v>
      </c>
    </row>
    <row r="671" spans="1:5">
      <c r="A671">
        <f t="shared" si="50"/>
        <v>0.81896623657312317</v>
      </c>
      <c r="B671">
        <f t="shared" si="51"/>
        <v>0.31462463048750289</v>
      </c>
      <c r="C671">
        <f t="shared" si="52"/>
        <v>1.2172669360290103</v>
      </c>
      <c r="D671">
        <f t="shared" si="53"/>
        <v>64360.179048796177</v>
      </c>
      <c r="E671">
        <f t="shared" si="54"/>
        <v>78343.517953006623</v>
      </c>
    </row>
    <row r="672" spans="1:5">
      <c r="A672">
        <f t="shared" si="50"/>
        <v>0.31778387494134797</v>
      </c>
      <c r="B672">
        <f t="shared" si="51"/>
        <v>3.9778127396128404E-3</v>
      </c>
      <c r="C672">
        <f t="shared" si="52"/>
        <v>0.86094365656493121</v>
      </c>
      <c r="D672">
        <f t="shared" si="53"/>
        <v>58967.50410829742</v>
      </c>
      <c r="E672">
        <f t="shared" si="54"/>
        <v>50767.698605505182</v>
      </c>
    </row>
    <row r="673" spans="1:5">
      <c r="A673">
        <f t="shared" si="50"/>
        <v>0.31812178368760691</v>
      </c>
      <c r="B673">
        <f t="shared" si="51"/>
        <v>0.48737871673031097</v>
      </c>
      <c r="C673">
        <f t="shared" si="52"/>
        <v>0.86114760777873012</v>
      </c>
      <c r="D673">
        <f t="shared" si="53"/>
        <v>65480.712006752015</v>
      </c>
      <c r="E673">
        <f t="shared" si="54"/>
        <v>56388.558500262472</v>
      </c>
    </row>
    <row r="674" spans="1:5">
      <c r="A674">
        <f t="shared" si="50"/>
        <v>0.81997996281189955</v>
      </c>
      <c r="B674">
        <f t="shared" si="51"/>
        <v>0.7648273424595966</v>
      </c>
      <c r="C674">
        <f t="shared" si="52"/>
        <v>1.2184410116949154</v>
      </c>
      <c r="D674">
        <f t="shared" si="53"/>
        <v>67352.3818419366</v>
      </c>
      <c r="E674">
        <f t="shared" si="54"/>
        <v>82064.904271551481</v>
      </c>
    </row>
    <row r="675" spans="1:5">
      <c r="A675">
        <f t="shared" si="50"/>
        <v>0.82335841231422568</v>
      </c>
      <c r="B675">
        <f t="shared" si="51"/>
        <v>0.83632368992746997</v>
      </c>
      <c r="C675">
        <f t="shared" si="52"/>
        <v>1.2223924447155921</v>
      </c>
      <c r="D675">
        <f t="shared" si="53"/>
        <v>67992.059754353017</v>
      </c>
      <c r="E675">
        <f t="shared" si="54"/>
        <v>83112.980144372195</v>
      </c>
    </row>
    <row r="676" spans="1:5">
      <c r="A676">
        <f t="shared" si="50"/>
        <v>0.32825713219458619</v>
      </c>
      <c r="B676">
        <f t="shared" si="51"/>
        <v>0.70186775913393085</v>
      </c>
      <c r="C676">
        <f t="shared" si="52"/>
        <v>0.86724590480785346</v>
      </c>
      <c r="D676">
        <f t="shared" si="53"/>
        <v>66875.156542478217</v>
      </c>
      <c r="E676">
        <f t="shared" si="54"/>
        <v>57997.205644848364</v>
      </c>
    </row>
    <row r="677" spans="1:5">
      <c r="A677">
        <f t="shared" si="50"/>
        <v>0.33467612245298017</v>
      </c>
      <c r="B677">
        <f t="shared" si="51"/>
        <v>0.36145955007897967</v>
      </c>
      <c r="C677">
        <f t="shared" si="52"/>
        <v>0.8710905941826691</v>
      </c>
      <c r="D677">
        <f t="shared" si="53"/>
        <v>64678.657215179774</v>
      </c>
      <c r="E677">
        <f t="shared" si="54"/>
        <v>56340.969944508128</v>
      </c>
    </row>
    <row r="678" spans="1:5">
      <c r="A678">
        <f t="shared" si="50"/>
        <v>0.84261538308940831</v>
      </c>
      <c r="B678">
        <f t="shared" si="51"/>
        <v>0.8150990627626159</v>
      </c>
      <c r="C678">
        <f t="shared" si="52"/>
        <v>1.2461593051678739</v>
      </c>
      <c r="D678">
        <f t="shared" si="53"/>
        <v>67786.861186961425</v>
      </c>
      <c r="E678">
        <f t="shared" si="54"/>
        <v>84473.22783625497</v>
      </c>
    </row>
    <row r="679" spans="1:5">
      <c r="A679">
        <f t="shared" si="50"/>
        <v>0.85207491410386993</v>
      </c>
      <c r="B679">
        <f t="shared" si="51"/>
        <v>6.2786297184840079E-2</v>
      </c>
      <c r="C679">
        <f t="shared" si="52"/>
        <v>1.2587176786665497</v>
      </c>
      <c r="D679">
        <f t="shared" si="53"/>
        <v>61754.670065402315</v>
      </c>
      <c r="E679">
        <f t="shared" si="54"/>
        <v>77731.694951541867</v>
      </c>
    </row>
    <row r="680" spans="1:5">
      <c r="A680">
        <f t="shared" si="50"/>
        <v>0.3630547154963657</v>
      </c>
      <c r="B680">
        <f t="shared" si="51"/>
        <v>0.10452125334565188</v>
      </c>
      <c r="C680">
        <f t="shared" si="52"/>
        <v>0.88796195768397135</v>
      </c>
      <c r="D680">
        <f t="shared" si="53"/>
        <v>62439.182998621123</v>
      </c>
      <c r="E680">
        <f t="shared" si="54"/>
        <v>55443.619171643353</v>
      </c>
    </row>
    <row r="681" spans="1:5">
      <c r="A681">
        <f t="shared" si="50"/>
        <v>0.37555478726689495</v>
      </c>
      <c r="B681">
        <f t="shared" si="51"/>
        <v>0.94030393124505129</v>
      </c>
      <c r="C681">
        <f t="shared" si="52"/>
        <v>0.89534679093120495</v>
      </c>
      <c r="D681">
        <f t="shared" si="53"/>
        <v>69427.356616743433</v>
      </c>
      <c r="E681">
        <f t="shared" si="54"/>
        <v>62161.560949637591</v>
      </c>
    </row>
    <row r="682" spans="1:5">
      <c r="A682">
        <f t="shared" si="50"/>
        <v>0.88957512941545813</v>
      </c>
      <c r="B682">
        <f t="shared" si="51"/>
        <v>0.57013433088303844</v>
      </c>
      <c r="C682">
        <f t="shared" si="52"/>
        <v>1.3162909962394176</v>
      </c>
      <c r="D682">
        <f t="shared" si="53"/>
        <v>65998.226543234545</v>
      </c>
      <c r="E682">
        <f t="shared" si="54"/>
        <v>86872.87136662897</v>
      </c>
    </row>
    <row r="683" spans="1:5">
      <c r="A683">
        <f t="shared" si="50"/>
        <v>0.90511574194205524</v>
      </c>
      <c r="B683">
        <f t="shared" si="51"/>
        <v>0.99401245225961321</v>
      </c>
      <c r="C683">
        <f t="shared" si="52"/>
        <v>1.3452314124413247</v>
      </c>
      <c r="D683">
        <f t="shared" si="53"/>
        <v>71800.718144489088</v>
      </c>
      <c r="E683">
        <f t="shared" si="54"/>
        <v>96588.581483812508</v>
      </c>
    </row>
    <row r="684" spans="1:5">
      <c r="A684">
        <f t="shared" si="50"/>
        <v>0.42217662484668605</v>
      </c>
      <c r="B684">
        <f t="shared" si="51"/>
        <v>0.21193829537477571</v>
      </c>
      <c r="C684">
        <f t="shared" si="52"/>
        <v>0.92280986446927205</v>
      </c>
      <c r="D684">
        <f t="shared" si="53"/>
        <v>63572.996995946552</v>
      </c>
      <c r="E684">
        <f t="shared" si="54"/>
        <v>58665.788741734876</v>
      </c>
    </row>
    <row r="685" spans="1:5">
      <c r="A685">
        <f t="shared" si="50"/>
        <v>0.4407577781293508</v>
      </c>
      <c r="B685">
        <f t="shared" si="51"/>
        <v>0.22391186022852594</v>
      </c>
      <c r="C685">
        <f t="shared" si="52"/>
        <v>0.93378219513523708</v>
      </c>
      <c r="D685">
        <f t="shared" si="53"/>
        <v>63674.001248786008</v>
      </c>
      <c r="E685">
        <f t="shared" si="54"/>
        <v>59457.648659135222</v>
      </c>
    </row>
    <row r="686" spans="1:5">
      <c r="A686">
        <f t="shared" si="50"/>
        <v>0.96085920179004947</v>
      </c>
      <c r="B686">
        <f t="shared" si="51"/>
        <v>2.9933146820863676E-2</v>
      </c>
      <c r="C686">
        <f t="shared" si="52"/>
        <v>1.5052157069546128</v>
      </c>
      <c r="D686">
        <f t="shared" si="53"/>
        <v>60885.398869121702</v>
      </c>
      <c r="E686">
        <f t="shared" si="54"/>
        <v>91645.658701998604</v>
      </c>
    </row>
    <row r="687" spans="1:5">
      <c r="A687">
        <f t="shared" si="50"/>
        <v>0.98248089582878184</v>
      </c>
      <c r="B687">
        <f t="shared" si="51"/>
        <v>0.63000215515178937</v>
      </c>
      <c r="C687">
        <f t="shared" si="52"/>
        <v>1.6416948243103018</v>
      </c>
      <c r="D687">
        <f t="shared" si="53"/>
        <v>66383.566082675301</v>
      </c>
      <c r="E687">
        <f t="shared" si="54"/>
        <v>108981.55685718893</v>
      </c>
    </row>
    <row r="688" spans="1:5">
      <c r="A688">
        <f t="shared" si="50"/>
        <v>0.50562286024554792</v>
      </c>
      <c r="B688">
        <f t="shared" si="51"/>
        <v>2.411888522130301E-2</v>
      </c>
      <c r="C688">
        <f t="shared" si="52"/>
        <v>0.97265456711568354</v>
      </c>
      <c r="D688">
        <f t="shared" si="53"/>
        <v>60653.189270256567</v>
      </c>
      <c r="E688">
        <f t="shared" si="54"/>
        <v>58994.601553847024</v>
      </c>
    </row>
    <row r="689" spans="1:5">
      <c r="A689">
        <f t="shared" si="50"/>
        <v>0.53028509504034815</v>
      </c>
      <c r="B689">
        <f t="shared" si="51"/>
        <v>0.2122833370294035</v>
      </c>
      <c r="C689">
        <f t="shared" si="52"/>
        <v>0.98782140080314673</v>
      </c>
      <c r="D689">
        <f t="shared" si="53"/>
        <v>63575.953247704158</v>
      </c>
      <c r="E689">
        <f t="shared" si="54"/>
        <v>62801.687194542486</v>
      </c>
    </row>
    <row r="690" spans="1:5">
      <c r="A690">
        <f t="shared" si="50"/>
        <v>5.6467600213181868E-2</v>
      </c>
      <c r="B690">
        <f t="shared" si="51"/>
        <v>0.19449551057609238</v>
      </c>
      <c r="C690">
        <f t="shared" si="52"/>
        <v>0.65211505936938785</v>
      </c>
      <c r="D690">
        <f t="shared" si="53"/>
        <v>63419.662035360438</v>
      </c>
      <c r="E690">
        <f t="shared" si="54"/>
        <v>41356.916673375585</v>
      </c>
    </row>
    <row r="691" spans="1:5">
      <c r="A691">
        <f t="shared" si="50"/>
        <v>8.417037576404951E-2</v>
      </c>
      <c r="B691">
        <f t="shared" si="51"/>
        <v>0.97075540586136855</v>
      </c>
      <c r="C691">
        <f t="shared" si="52"/>
        <v>0.68685042899105608</v>
      </c>
      <c r="D691">
        <f t="shared" si="53"/>
        <v>70258.633789143147</v>
      </c>
      <c r="E691">
        <f t="shared" si="54"/>
        <v>48257.172758398476</v>
      </c>
    </row>
    <row r="692" spans="1:5">
      <c r="A692">
        <f t="shared" si="50"/>
        <v>0.61339342169295108</v>
      </c>
      <c r="B692">
        <f t="shared" si="51"/>
        <v>0.54106302288523245</v>
      </c>
      <c r="C692">
        <f t="shared" si="52"/>
        <v>1.0416371191224509</v>
      </c>
      <c r="D692">
        <f t="shared" si="53"/>
        <v>65815.41096671726</v>
      </c>
      <c r="E692">
        <f t="shared" si="54"/>
        <v>68555.775073231533</v>
      </c>
    </row>
    <row r="693" spans="1:5">
      <c r="A693">
        <f t="shared" si="50"/>
        <v>0.64413673799988658</v>
      </c>
      <c r="B693">
        <f t="shared" si="51"/>
        <v>0.90541836164768408</v>
      </c>
      <c r="C693">
        <f t="shared" si="52"/>
        <v>1.0630419658907946</v>
      </c>
      <c r="D693">
        <f t="shared" si="53"/>
        <v>68820.641428508068</v>
      </c>
      <c r="E693">
        <f t="shared" si="54"/>
        <v>73159.229958026684</v>
      </c>
    </row>
    <row r="694" spans="1:5">
      <c r="A694">
        <f t="shared" si="50"/>
        <v>0.17640032468485556</v>
      </c>
      <c r="B694">
        <f t="shared" si="51"/>
        <v>6.3821422148723439E-2</v>
      </c>
      <c r="C694">
        <f t="shared" si="52"/>
        <v>0.76832484090311837</v>
      </c>
      <c r="D694">
        <f t="shared" si="53"/>
        <v>61775.368579382601</v>
      </c>
      <c r="E694">
        <f t="shared" si="54"/>
        <v>47463.550235485636</v>
      </c>
    </row>
    <row r="695" spans="1:5">
      <c r="A695">
        <f t="shared" si="50"/>
        <v>0.21018418174785847</v>
      </c>
      <c r="B695">
        <f t="shared" si="51"/>
        <v>1.6272204388350531E-2</v>
      </c>
      <c r="C695">
        <f t="shared" si="52"/>
        <v>0.79239475400204484</v>
      </c>
      <c r="D695">
        <f t="shared" si="53"/>
        <v>60249.845822790274</v>
      </c>
      <c r="E695">
        <f t="shared" si="54"/>
        <v>47741.661759411028</v>
      </c>
    </row>
    <row r="696" spans="1:5">
      <c r="A696">
        <f t="shared" si="50"/>
        <v>0.7454883091888953</v>
      </c>
      <c r="B696">
        <f t="shared" si="51"/>
        <v>0.76277070836656535</v>
      </c>
      <c r="C696">
        <f t="shared" si="52"/>
        <v>1.1432096478585929</v>
      </c>
      <c r="D696">
        <f t="shared" si="53"/>
        <v>67335.80565084875</v>
      </c>
      <c r="E696">
        <f t="shared" si="54"/>
        <v>76978.942666381452</v>
      </c>
    </row>
    <row r="697" spans="1:5">
      <c r="A697">
        <f t="shared" si="50"/>
        <v>0.78231270700796618</v>
      </c>
      <c r="B697">
        <f t="shared" si="51"/>
        <v>0.30331693408336768</v>
      </c>
      <c r="C697">
        <f t="shared" si="52"/>
        <v>1.1779279478806555</v>
      </c>
      <c r="D697">
        <f t="shared" si="53"/>
        <v>64280.448690149649</v>
      </c>
      <c r="E697">
        <f t="shared" si="54"/>
        <v>75717.737014435741</v>
      </c>
    </row>
    <row r="698" spans="1:5">
      <c r="A698">
        <f t="shared" si="50"/>
        <v>0.32065737520507054</v>
      </c>
      <c r="B698">
        <f t="shared" si="51"/>
        <v>0.63791088153875786</v>
      </c>
      <c r="C698">
        <f t="shared" si="52"/>
        <v>0.86267665242520231</v>
      </c>
      <c r="D698">
        <f t="shared" si="53"/>
        <v>66435.777874828884</v>
      </c>
      <c r="E698">
        <f t="shared" si="54"/>
        <v>57312.594458321706</v>
      </c>
    </row>
    <row r="699" spans="1:5">
      <c r="A699">
        <f t="shared" si="50"/>
        <v>0.36052231378020894</v>
      </c>
      <c r="B699">
        <f t="shared" si="51"/>
        <v>0.76655255073273576</v>
      </c>
      <c r="C699">
        <f t="shared" si="52"/>
        <v>0.8864631209202336</v>
      </c>
      <c r="D699">
        <f t="shared" si="53"/>
        <v>67366.348616857955</v>
      </c>
      <c r="E699">
        <f t="shared" si="54"/>
        <v>59717.783639900365</v>
      </c>
    </row>
    <row r="700" spans="1:5">
      <c r="A700">
        <f t="shared" si="50"/>
        <v>0.90190752273338104</v>
      </c>
      <c r="B700">
        <f t="shared" si="51"/>
        <v>0.68924194166530128</v>
      </c>
      <c r="C700">
        <f t="shared" si="52"/>
        <v>1.3389347614251017</v>
      </c>
      <c r="D700">
        <f t="shared" si="53"/>
        <v>66785.548932691832</v>
      </c>
      <c r="E700">
        <f t="shared" si="54"/>
        <v>89421.493026838201</v>
      </c>
    </row>
    <row r="701" spans="1:5">
      <c r="A701">
        <f t="shared" si="50"/>
        <v>0.94481300206458707</v>
      </c>
      <c r="B701">
        <f t="shared" si="51"/>
        <v>0.40597905433645454</v>
      </c>
      <c r="C701">
        <f t="shared" si="52"/>
        <v>1.4446666417307805</v>
      </c>
      <c r="D701">
        <f t="shared" si="53"/>
        <v>64968.412784319458</v>
      </c>
      <c r="E701">
        <f t="shared" si="54"/>
        <v>93857.698715701903</v>
      </c>
    </row>
    <row r="702" spans="1:5">
      <c r="A702">
        <f t="shared" si="50"/>
        <v>0.48923875177382681</v>
      </c>
      <c r="B702">
        <f t="shared" si="51"/>
        <v>0.9167638887461953</v>
      </c>
      <c r="C702">
        <f t="shared" si="52"/>
        <v>0.96271830295177485</v>
      </c>
      <c r="D702">
        <f t="shared" si="53"/>
        <v>68995.921627765478</v>
      </c>
      <c r="E702">
        <f t="shared" si="54"/>
        <v>66423.63658007604</v>
      </c>
    </row>
    <row r="703" spans="1:5">
      <c r="A703">
        <f t="shared" si="50"/>
        <v>0.53518477186110047</v>
      </c>
      <c r="B703">
        <f t="shared" si="51"/>
        <v>0.22159644489452379</v>
      </c>
      <c r="C703">
        <f t="shared" si="52"/>
        <v>0.99086938758732956</v>
      </c>
      <c r="D703">
        <f t="shared" si="53"/>
        <v>63654.716039497347</v>
      </c>
      <c r="E703">
        <f t="shared" si="54"/>
        <v>63073.509499102103</v>
      </c>
    </row>
    <row r="704" spans="1:5">
      <c r="A704">
        <f t="shared" si="50"/>
        <v>8.2651062326407843E-2</v>
      </c>
      <c r="B704">
        <f t="shared" si="51"/>
        <v>0.32047672278144024</v>
      </c>
      <c r="C704">
        <f t="shared" si="52"/>
        <v>0.68515203221982668</v>
      </c>
      <c r="D704">
        <f t="shared" si="53"/>
        <v>64400.956755683357</v>
      </c>
      <c r="E704">
        <f t="shared" si="54"/>
        <v>44124.446398057626</v>
      </c>
    </row>
    <row r="705" spans="1:5">
      <c r="A705">
        <f t="shared" si="50"/>
        <v>0.13163762316974914</v>
      </c>
      <c r="B705">
        <f t="shared" si="51"/>
        <v>0.21340472240694397</v>
      </c>
      <c r="C705">
        <f t="shared" si="52"/>
        <v>0.73277187971065227</v>
      </c>
      <c r="D705">
        <f t="shared" si="53"/>
        <v>63585.541728994693</v>
      </c>
      <c r="E705">
        <f t="shared" si="54"/>
        <v>46593.696935175562</v>
      </c>
    </row>
    <row r="706" spans="1:5">
      <c r="A706">
        <f t="shared" si="50"/>
        <v>0.68214445439112414</v>
      </c>
      <c r="B706">
        <f t="shared" si="51"/>
        <v>0.90038044377103554</v>
      </c>
      <c r="C706">
        <f t="shared" si="52"/>
        <v>1.0910886597462941</v>
      </c>
      <c r="D706">
        <f t="shared" si="53"/>
        <v>68747.777482297883</v>
      </c>
      <c r="E706">
        <f t="shared" si="54"/>
        <v>75009.920393696855</v>
      </c>
    </row>
    <row r="707" spans="1:5">
      <c r="A707">
        <f t="shared" si="50"/>
        <v>0.73417155599053308</v>
      </c>
      <c r="B707">
        <f t="shared" si="51"/>
        <v>0.38140388687371507</v>
      </c>
      <c r="C707">
        <f t="shared" si="52"/>
        <v>1.1332840861703688</v>
      </c>
      <c r="D707">
        <f t="shared" si="53"/>
        <v>64809.712074289717</v>
      </c>
      <c r="E707">
        <f t="shared" si="54"/>
        <v>73447.815323076138</v>
      </c>
    </row>
    <row r="708" spans="1:5">
      <c r="A708">
        <f t="shared" si="50"/>
        <v>0.28771892796797593</v>
      </c>
      <c r="B708">
        <f t="shared" si="51"/>
        <v>0.65647505171498199</v>
      </c>
      <c r="C708">
        <f t="shared" si="52"/>
        <v>0.84259805245208763</v>
      </c>
      <c r="D708">
        <f t="shared" si="53"/>
        <v>66559.920702791656</v>
      </c>
      <c r="E708">
        <f t="shared" si="54"/>
        <v>56083.259555537639</v>
      </c>
    </row>
    <row r="709" spans="1:5">
      <c r="A709">
        <f t="shared" si="50"/>
        <v>0.3427865703234525</v>
      </c>
      <c r="B709">
        <f t="shared" si="51"/>
        <v>0.72559393829483665</v>
      </c>
      <c r="C709">
        <f t="shared" si="52"/>
        <v>0.87593142210402464</v>
      </c>
      <c r="D709">
        <f t="shared" si="53"/>
        <v>67048.427188424335</v>
      </c>
      <c r="E709">
        <f t="shared" si="54"/>
        <v>58729.824176994676</v>
      </c>
    </row>
    <row r="710" spans="1:5">
      <c r="A710">
        <f t="shared" si="50"/>
        <v>0.89937448305696299</v>
      </c>
      <c r="B710">
        <f t="shared" si="51"/>
        <v>0.58876054661327881</v>
      </c>
      <c r="C710">
        <f t="shared" si="52"/>
        <v>1.334089264480768</v>
      </c>
      <c r="D710">
        <f t="shared" si="53"/>
        <v>66116.557476780639</v>
      </c>
      <c r="E710">
        <f t="shared" si="54"/>
        <v>88205.389534198708</v>
      </c>
    </row>
    <row r="711" spans="1:5">
      <c r="A711">
        <f t="shared" si="50"/>
        <v>0.95748266616850719</v>
      </c>
      <c r="B711">
        <f t="shared" si="51"/>
        <v>0.24597487667030893</v>
      </c>
      <c r="C711">
        <f t="shared" si="52"/>
        <v>1.4907779604177103</v>
      </c>
      <c r="D711">
        <f t="shared" si="53"/>
        <v>63852.428405370309</v>
      </c>
      <c r="E711">
        <f t="shared" si="54"/>
        <v>95189.792985875814</v>
      </c>
    </row>
    <row r="712" spans="1:5">
      <c r="A712">
        <f t="shared" si="50"/>
        <v>0.51711111965808509</v>
      </c>
      <c r="B712">
        <f t="shared" si="51"/>
        <v>0.69723692846592655</v>
      </c>
      <c r="C712">
        <f t="shared" si="52"/>
        <v>0.97968527575760356</v>
      </c>
      <c r="D712">
        <f t="shared" si="53"/>
        <v>66842.097722529681</v>
      </c>
      <c r="E712">
        <f t="shared" si="54"/>
        <v>65484.218939513172</v>
      </c>
    </row>
    <row r="713" spans="1:5">
      <c r="A713">
        <f t="shared" si="50"/>
        <v>0.57825984352569715</v>
      </c>
      <c r="B713">
        <f t="shared" si="51"/>
        <v>0.94254670200013213</v>
      </c>
      <c r="C713">
        <f t="shared" si="52"/>
        <v>1.0182759295480091</v>
      </c>
      <c r="D713">
        <f t="shared" si="53"/>
        <v>69475.013718466507</v>
      </c>
      <c r="E713">
        <f t="shared" si="54"/>
        <v>70744.734174532161</v>
      </c>
    </row>
    <row r="714" spans="1:5">
      <c r="A714">
        <f t="shared" si="50"/>
        <v>0.14092883777134313</v>
      </c>
      <c r="B714">
        <f t="shared" si="51"/>
        <v>0.98190419727292522</v>
      </c>
      <c r="C714">
        <f t="shared" si="52"/>
        <v>0.74060423024863498</v>
      </c>
      <c r="D714">
        <f t="shared" si="53"/>
        <v>70762.230275273745</v>
      </c>
      <c r="E714">
        <f t="shared" si="54"/>
        <v>52406.807083695763</v>
      </c>
    </row>
    <row r="715" spans="1:5">
      <c r="A715">
        <f t="shared" si="50"/>
        <v>0.20511810239502282</v>
      </c>
      <c r="B715">
        <f t="shared" si="51"/>
        <v>0.81530941428430603</v>
      </c>
      <c r="C715">
        <f t="shared" si="52"/>
        <v>0.78889700291773535</v>
      </c>
      <c r="D715">
        <f t="shared" si="53"/>
        <v>67788.819846662591</v>
      </c>
      <c r="E715">
        <f t="shared" si="54"/>
        <v>53478.396808362413</v>
      </c>
    </row>
    <row r="716" spans="1:5">
      <c r="A716">
        <f t="shared" si="50"/>
        <v>0.77082763739673599</v>
      </c>
      <c r="B716">
        <f t="shared" si="51"/>
        <v>0.44276235303427436</v>
      </c>
      <c r="C716">
        <f t="shared" si="52"/>
        <v>1.1666586540714006</v>
      </c>
      <c r="D716">
        <f t="shared" si="53"/>
        <v>65201.716952704759</v>
      </c>
      <c r="E716">
        <f t="shared" si="54"/>
        <v>76068.147343186953</v>
      </c>
    </row>
    <row r="717" spans="1:5">
      <c r="A717">
        <f t="shared" si="50"/>
        <v>0.83805744277648331</v>
      </c>
      <c r="B717">
        <f t="shared" si="51"/>
        <v>0.86426301352283064</v>
      </c>
      <c r="C717">
        <f t="shared" si="52"/>
        <v>1.2403286398387723</v>
      </c>
      <c r="D717">
        <f t="shared" si="53"/>
        <v>68290.644512959072</v>
      </c>
      <c r="E717">
        <f t="shared" si="54"/>
        <v>84702.842222471649</v>
      </c>
    </row>
    <row r="718" spans="1:5">
      <c r="A718">
        <f t="shared" si="50"/>
        <v>0.40680751853426411</v>
      </c>
      <c r="B718">
        <f t="shared" si="51"/>
        <v>7.9811395749974423E-2</v>
      </c>
      <c r="C718">
        <f t="shared" si="52"/>
        <v>0.91375641515094252</v>
      </c>
      <c r="D718">
        <f t="shared" si="53"/>
        <v>62066.27274391157</v>
      </c>
      <c r="E718">
        <f t="shared" si="54"/>
        <v>56713.454884257291</v>
      </c>
    </row>
    <row r="719" spans="1:5">
      <c r="A719">
        <f t="shared" si="50"/>
        <v>0.47707786467007907</v>
      </c>
      <c r="B719">
        <f t="shared" si="51"/>
        <v>8.9407499715706162E-2</v>
      </c>
      <c r="C719">
        <f t="shared" si="52"/>
        <v>0.9554028157294655</v>
      </c>
      <c r="D719">
        <f t="shared" si="53"/>
        <v>62220.089580786393</v>
      </c>
      <c r="E719">
        <f t="shared" si="54"/>
        <v>59445.248780422895</v>
      </c>
    </row>
    <row r="720" spans="1:5">
      <c r="A720">
        <f t="shared" ref="A720:A783" si="55">IFERROR(MOD(MOD(($E$8+((ROW()-15)*(ROW()-14)/2)*13)*171,30269)/30269+MOD(($E$8+((ROW()-15)*(ROW()-14)/2)*29)*172,30307)/30307+MOD(($E$8+((ROW()-15)*(ROW()-14)/2)*47)*170,30323)/30323,1),0.5)</f>
        <v>4.8868481183927726E-2</v>
      </c>
      <c r="B720">
        <f t="shared" ref="B720:B783" si="56">IFERROR(MOD(MOD(($E$8+((ROW()-15)*(ROW()-14)/2)*17)*171,30269)/30269+MOD(($E$8+((ROW()-15)*(ROW()-14)/2)*41)*172,30307)/30307+MOD(($E$8+((ROW()-15)*(ROW()-14)/2)*83)*170,30323)/30323,1),0.5)</f>
        <v>0.89305132542002541</v>
      </c>
      <c r="C720">
        <f t="shared" ref="C720:C783" si="57">IFERROR(EXP($E$4*NORMSINV(MIN(MAX(A720,0.000000001),0.999999999))-$E$4^2/2),1)</f>
        <v>0.64067606637373065</v>
      </c>
      <c r="D720">
        <f t="shared" ref="D720:D783" si="58">IFERROR($B$5+$E$5*NORMSINV(MIN(MAX(B720,0.000000001),0.999999999)),$B$5)</f>
        <v>68646.433456522893</v>
      </c>
      <c r="E720">
        <f t="shared" ref="E720:E783" si="59">IFERROR(C720*MAX(D720,0),0)</f>
        <v>43980.126957511144</v>
      </c>
    </row>
    <row r="721" spans="1:5">
      <c r="A721">
        <f t="shared" si="55"/>
        <v>0.12217936807581031</v>
      </c>
      <c r="B721">
        <f t="shared" si="56"/>
        <v>0.49074287286293217</v>
      </c>
      <c r="C721">
        <f t="shared" si="57"/>
        <v>0.72448786123747122</v>
      </c>
      <c r="D721">
        <f t="shared" si="58"/>
        <v>65501.664822453102</v>
      </c>
      <c r="E721">
        <f t="shared" si="59"/>
        <v>47455.161054712749</v>
      </c>
    </row>
    <row r="722" spans="1:5">
      <c r="A722">
        <f t="shared" si="55"/>
        <v>0.69701052534572661</v>
      </c>
      <c r="B722">
        <f t="shared" si="56"/>
        <v>0.88248214204442688</v>
      </c>
      <c r="C722">
        <f t="shared" si="57"/>
        <v>1.1026379260493808</v>
      </c>
      <c r="D722">
        <f t="shared" si="58"/>
        <v>68508.749910263461</v>
      </c>
      <c r="E722">
        <f t="shared" si="59"/>
        <v>75540.345917288607</v>
      </c>
    </row>
    <row r="723" spans="1:5">
      <c r="A723">
        <f t="shared" si="55"/>
        <v>0.77336195299367683</v>
      </c>
      <c r="B723">
        <f t="shared" si="56"/>
        <v>6.8269132964509094E-2</v>
      </c>
      <c r="C723">
        <f t="shared" si="57"/>
        <v>1.1691080663020244</v>
      </c>
      <c r="D723">
        <f t="shared" si="58"/>
        <v>61861.447475483743</v>
      </c>
      <c r="E723">
        <f t="shared" si="59"/>
        <v>72322.717236707045</v>
      </c>
    </row>
    <row r="724" spans="1:5">
      <c r="A724">
        <f t="shared" si="55"/>
        <v>0.35123365101966098</v>
      </c>
      <c r="B724">
        <f t="shared" si="56"/>
        <v>4.8103845623179042E-2</v>
      </c>
      <c r="C724">
        <f t="shared" si="57"/>
        <v>0.88095564647655344</v>
      </c>
      <c r="D724">
        <f t="shared" si="58"/>
        <v>61427.490906409439</v>
      </c>
      <c r="E724">
        <f t="shared" si="59"/>
        <v>54114.894962888538</v>
      </c>
    </row>
    <row r="725" spans="1:5">
      <c r="A725">
        <f t="shared" si="55"/>
        <v>0.43062561942367861</v>
      </c>
      <c r="B725">
        <f t="shared" si="56"/>
        <v>0.82198628002043694</v>
      </c>
      <c r="C725">
        <f t="shared" si="57"/>
        <v>0.92779414014332462</v>
      </c>
      <c r="D725">
        <f t="shared" si="58"/>
        <v>67851.728931469115</v>
      </c>
      <c r="E725">
        <f t="shared" si="59"/>
        <v>62952.43650121033</v>
      </c>
    </row>
    <row r="726" spans="1:5">
      <c r="A726">
        <f t="shared" si="55"/>
        <v>1.1537858205730389E-2</v>
      </c>
      <c r="B726">
        <f t="shared" si="56"/>
        <v>0.38991643615628213</v>
      </c>
      <c r="C726">
        <f t="shared" si="57"/>
        <v>0.54919885680285663</v>
      </c>
      <c r="D726">
        <f t="shared" si="58"/>
        <v>64864.99812811162</v>
      </c>
      <c r="E726">
        <f t="shared" si="59"/>
        <v>35623.782818478336</v>
      </c>
    </row>
    <row r="727" spans="1:5">
      <c r="A727">
        <f t="shared" si="55"/>
        <v>9.3970367365815655E-2</v>
      </c>
      <c r="B727">
        <f t="shared" si="56"/>
        <v>0.75189431403071505</v>
      </c>
      <c r="C727">
        <f t="shared" si="57"/>
        <v>0.69738067268178061</v>
      </c>
      <c r="D727">
        <f t="shared" si="58"/>
        <v>67249.41866067746</v>
      </c>
      <c r="E727">
        <f t="shared" si="59"/>
        <v>46898.444823041937</v>
      </c>
    </row>
    <row r="728" spans="1:5">
      <c r="A728">
        <f t="shared" si="55"/>
        <v>0.67792314690393507</v>
      </c>
      <c r="B728">
        <f t="shared" si="56"/>
        <v>0.90791991364373592</v>
      </c>
      <c r="C728">
        <f t="shared" si="57"/>
        <v>1.0878733829301308</v>
      </c>
      <c r="D728">
        <f t="shared" si="58"/>
        <v>68857.887845905556</v>
      </c>
      <c r="E728">
        <f t="shared" si="59"/>
        <v>74908.663392348812</v>
      </c>
    </row>
    <row r="729" spans="1:5">
      <c r="A729">
        <f t="shared" si="55"/>
        <v>0.76339619682008841</v>
      </c>
      <c r="B729">
        <f t="shared" si="56"/>
        <v>0.8579932349953443</v>
      </c>
      <c r="C729">
        <f t="shared" si="57"/>
        <v>1.1595911229065823</v>
      </c>
      <c r="D729">
        <f t="shared" si="58"/>
        <v>68220.284956119634</v>
      </c>
      <c r="E729">
        <f t="shared" si="59"/>
        <v>79107.636837273792</v>
      </c>
    </row>
    <row r="730" spans="1:5">
      <c r="A730">
        <f t="shared" si="55"/>
        <v>0.35038951711427524</v>
      </c>
      <c r="B730">
        <f t="shared" si="56"/>
        <v>0.60211427808554019</v>
      </c>
      <c r="C730">
        <f t="shared" si="57"/>
        <v>0.88045429000076625</v>
      </c>
      <c r="D730">
        <f t="shared" si="58"/>
        <v>66202.162362544041</v>
      </c>
      <c r="E730">
        <f t="shared" si="59"/>
        <v>58287.977859429164</v>
      </c>
    </row>
    <row r="731" spans="1:5">
      <c r="A731">
        <f t="shared" si="55"/>
        <v>0.43890310778649599</v>
      </c>
      <c r="B731">
        <f t="shared" si="56"/>
        <v>0.14028304291432425</v>
      </c>
      <c r="C731">
        <f t="shared" si="57"/>
        <v>0.93268504819103071</v>
      </c>
      <c r="D731">
        <f t="shared" si="58"/>
        <v>62879.193379953424</v>
      </c>
      <c r="E731">
        <f t="shared" si="59"/>
        <v>58646.483507794997</v>
      </c>
    </row>
    <row r="732" spans="1:5">
      <c r="A732">
        <f t="shared" si="55"/>
        <v>2.8936968836750676E-2</v>
      </c>
      <c r="B732">
        <f t="shared" si="56"/>
        <v>0.4724995294816956</v>
      </c>
      <c r="C732">
        <f t="shared" si="57"/>
        <v>0.6032564418515276</v>
      </c>
      <c r="D732">
        <f t="shared" si="58"/>
        <v>65387.953069301635</v>
      </c>
      <c r="E732">
        <f t="shared" si="59"/>
        <v>39445.703908541574</v>
      </c>
    </row>
    <row r="733" spans="1:5">
      <c r="A733">
        <f t="shared" si="55"/>
        <v>0.12049110026503929</v>
      </c>
      <c r="B733">
        <f t="shared" si="56"/>
        <v>0.5987637377876549</v>
      </c>
      <c r="C733">
        <f t="shared" si="57"/>
        <v>0.72297269063884473</v>
      </c>
      <c r="D733">
        <f t="shared" si="58"/>
        <v>66180.615655850939</v>
      </c>
      <c r="E733">
        <f t="shared" si="59"/>
        <v>47846.777768845808</v>
      </c>
    </row>
    <row r="734" spans="1:5">
      <c r="A734">
        <f t="shared" si="55"/>
        <v>0.71356550207136138</v>
      </c>
      <c r="B734">
        <f t="shared" si="56"/>
        <v>0.51907566783220171</v>
      </c>
      <c r="C734">
        <f t="shared" si="57"/>
        <v>1.1159519499666981</v>
      </c>
      <c r="D734">
        <f t="shared" si="58"/>
        <v>65678.11223549729</v>
      </c>
      <c r="E734">
        <f t="shared" si="59"/>
        <v>73293.617419334856</v>
      </c>
    </row>
    <row r="735" spans="1:5">
      <c r="A735">
        <f t="shared" si="55"/>
        <v>0.80816017425571762</v>
      </c>
      <c r="B735">
        <f t="shared" si="56"/>
        <v>0.23343531961533626</v>
      </c>
      <c r="C735">
        <f t="shared" si="57"/>
        <v>1.20506573057297</v>
      </c>
      <c r="D735">
        <f t="shared" si="58"/>
        <v>63752.160739092928</v>
      </c>
      <c r="E735">
        <f t="shared" si="59"/>
        <v>76825.544156660428</v>
      </c>
    </row>
    <row r="736" spans="1:5">
      <c r="A736">
        <f t="shared" si="55"/>
        <v>0.40427511681810757</v>
      </c>
      <c r="B736">
        <f t="shared" si="56"/>
        <v>0.74184269313705853</v>
      </c>
      <c r="C736">
        <f t="shared" si="57"/>
        <v>0.91226552364439639</v>
      </c>
      <c r="D736">
        <f t="shared" si="58"/>
        <v>67171.363174436585</v>
      </c>
      <c r="E736">
        <f t="shared" si="59"/>
        <v>61278.118800235316</v>
      </c>
    </row>
    <row r="737" spans="1:5">
      <c r="A737">
        <f t="shared" si="55"/>
        <v>0.50191032975853123</v>
      </c>
      <c r="B737">
        <f t="shared" si="56"/>
        <v>4.4297788397368087E-2</v>
      </c>
      <c r="C737">
        <f t="shared" si="57"/>
        <v>0.97039422378290874</v>
      </c>
      <c r="D737">
        <f t="shared" si="58"/>
        <v>61329.805330354618</v>
      </c>
      <c r="E737">
        <f t="shared" si="59"/>
        <v>59514.088838306372</v>
      </c>
    </row>
    <row r="738" spans="1:5">
      <c r="A738">
        <f t="shared" si="55"/>
        <v>0.10106581307698903</v>
      </c>
      <c r="B738">
        <f t="shared" si="56"/>
        <v>0.14080060539626604</v>
      </c>
      <c r="C738">
        <f t="shared" si="57"/>
        <v>0.70459966161995646</v>
      </c>
      <c r="D738">
        <f t="shared" si="58"/>
        <v>62884.953821301868</v>
      </c>
      <c r="E738">
        <f t="shared" si="59"/>
        <v>44308.717183475885</v>
      </c>
    </row>
    <row r="739" spans="1:5">
      <c r="A739">
        <f t="shared" si="55"/>
        <v>0.20174156677348032</v>
      </c>
      <c r="B739">
        <f t="shared" si="56"/>
        <v>3.1351144133751285E-2</v>
      </c>
      <c r="C739">
        <f t="shared" si="57"/>
        <v>0.78654591952680764</v>
      </c>
      <c r="D739">
        <f t="shared" si="58"/>
        <v>60936.267366112472</v>
      </c>
      <c r="E739">
        <f t="shared" si="59"/>
        <v>47929.172448010337</v>
      </c>
    </row>
    <row r="740" spans="1:5">
      <c r="A740">
        <f t="shared" si="55"/>
        <v>0.80393759084800553</v>
      </c>
      <c r="B740">
        <f t="shared" si="56"/>
        <v>0.71594940460982404</v>
      </c>
      <c r="C740">
        <f t="shared" si="57"/>
        <v>1.2004453196161839</v>
      </c>
      <c r="D740">
        <f t="shared" si="58"/>
        <v>66977.165582408343</v>
      </c>
      <c r="E740">
        <f t="shared" si="59"/>
        <v>80402.424944560262</v>
      </c>
    </row>
    <row r="741" spans="1:5">
      <c r="A741">
        <f t="shared" si="55"/>
        <v>0.90765388530056468</v>
      </c>
      <c r="B741">
        <f t="shared" si="56"/>
        <v>0.19459538682448474</v>
      </c>
      <c r="C741">
        <f t="shared" si="57"/>
        <v>1.3503466465906568</v>
      </c>
      <c r="D741">
        <f t="shared" si="58"/>
        <v>63420.563066112882</v>
      </c>
      <c r="E741">
        <f t="shared" si="59"/>
        <v>85639.744661216799</v>
      </c>
    </row>
    <row r="742" spans="1:5">
      <c r="A742">
        <f t="shared" si="55"/>
        <v>0.51289045013115775</v>
      </c>
      <c r="B742">
        <f t="shared" si="56"/>
        <v>0.46728909077773317</v>
      </c>
      <c r="C742">
        <f t="shared" si="57"/>
        <v>0.97709567716478374</v>
      </c>
      <c r="D742">
        <f t="shared" si="58"/>
        <v>65355.420524284345</v>
      </c>
      <c r="E742">
        <f t="shared" si="59"/>
        <v>63858.498873564815</v>
      </c>
    </row>
    <row r="743" spans="1:5">
      <c r="A743">
        <f t="shared" si="55"/>
        <v>0.6196472853397843</v>
      </c>
      <c r="B743">
        <f t="shared" si="56"/>
        <v>0.53403051646956912</v>
      </c>
      <c r="C743">
        <f t="shared" si="57"/>
        <v>1.0459113818636294</v>
      </c>
      <c r="D743">
        <f t="shared" si="58"/>
        <v>65771.431829564099</v>
      </c>
      <c r="E743">
        <f t="shared" si="59"/>
        <v>68791.089152008892</v>
      </c>
    </row>
    <row r="744" spans="1:5">
      <c r="A744">
        <f t="shared" si="55"/>
        <v>0.22792439092644479</v>
      </c>
      <c r="B744">
        <f t="shared" si="56"/>
        <v>0.39481966389999279</v>
      </c>
      <c r="C744">
        <f t="shared" si="57"/>
        <v>0.80438686573386475</v>
      </c>
      <c r="D744">
        <f t="shared" si="58"/>
        <v>64896.685698063622</v>
      </c>
      <c r="E744">
        <f t="shared" si="59"/>
        <v>52202.041605181126</v>
      </c>
    </row>
    <row r="745" spans="1:5">
      <c r="A745">
        <f t="shared" si="55"/>
        <v>0.3377217668911392</v>
      </c>
      <c r="B745">
        <f t="shared" si="56"/>
        <v>4.9656533069004416E-2</v>
      </c>
      <c r="C745">
        <f t="shared" si="57"/>
        <v>0.87291052787533618</v>
      </c>
      <c r="D745">
        <f t="shared" si="58"/>
        <v>61465.568285599918</v>
      </c>
      <c r="E745">
        <f t="shared" si="59"/>
        <v>53653.941658340547</v>
      </c>
    </row>
    <row r="746" spans="1:5">
      <c r="A746">
        <f t="shared" si="55"/>
        <v>0.94903941323386776</v>
      </c>
      <c r="B746">
        <f t="shared" si="56"/>
        <v>0.49854112397660333</v>
      </c>
      <c r="C746">
        <f t="shared" si="57"/>
        <v>1.4588560113840248</v>
      </c>
      <c r="D746">
        <f t="shared" si="58"/>
        <v>65550.221051835309</v>
      </c>
      <c r="E746">
        <f t="shared" si="59"/>
        <v>95628.334029021586</v>
      </c>
    </row>
    <row r="747" spans="1:5">
      <c r="A747">
        <f t="shared" si="55"/>
        <v>6.1877329954629579E-2</v>
      </c>
      <c r="B747">
        <f t="shared" si="56"/>
        <v>0.74147343662279019</v>
      </c>
      <c r="C747">
        <f t="shared" si="57"/>
        <v>0.65964673474589253</v>
      </c>
      <c r="D747">
        <f t="shared" si="58"/>
        <v>67168.52628817904</v>
      </c>
      <c r="E747">
        <f t="shared" si="59"/>
        <v>44307.49904369095</v>
      </c>
    </row>
    <row r="748" spans="1:5">
      <c r="A748">
        <f t="shared" si="55"/>
        <v>0.67623551705342555</v>
      </c>
      <c r="B748">
        <f t="shared" si="56"/>
        <v>0.77845347100756457</v>
      </c>
      <c r="C748">
        <f t="shared" si="57"/>
        <v>1.0865955067176223</v>
      </c>
      <c r="D748">
        <f t="shared" si="58"/>
        <v>67464.308731374069</v>
      </c>
      <c r="E748">
        <f t="shared" si="59"/>
        <v>73306.414731321522</v>
      </c>
    </row>
    <row r="749" spans="1:5">
      <c r="A749">
        <f t="shared" si="55"/>
        <v>0.79211397453025523</v>
      </c>
      <c r="B749">
        <f t="shared" si="56"/>
        <v>0.60948122713092667</v>
      </c>
      <c r="C749">
        <f t="shared" si="57"/>
        <v>1.1879089054386305</v>
      </c>
      <c r="D749">
        <f t="shared" si="58"/>
        <v>66249.710980641976</v>
      </c>
      <c r="E749">
        <f t="shared" si="59"/>
        <v>78698.621656640025</v>
      </c>
    </row>
    <row r="750" spans="1:5">
      <c r="A750">
        <f t="shared" si="55"/>
        <v>0.40951270238511883</v>
      </c>
      <c r="B750">
        <f t="shared" si="56"/>
        <v>0.23455670499287651</v>
      </c>
      <c r="C750">
        <f t="shared" si="57"/>
        <v>0.91534918262873222</v>
      </c>
      <c r="D750">
        <f t="shared" si="58"/>
        <v>63761.245873008382</v>
      </c>
      <c r="E750">
        <f t="shared" si="59"/>
        <v>58363.804293247849</v>
      </c>
    </row>
    <row r="751" spans="1:5">
      <c r="A751">
        <f t="shared" si="55"/>
        <v>0.52843170061801592</v>
      </c>
      <c r="B751">
        <f t="shared" si="56"/>
        <v>0.65367990459341418</v>
      </c>
      <c r="C751">
        <f t="shared" si="57"/>
        <v>0.98667165492198117</v>
      </c>
      <c r="D751">
        <f t="shared" si="58"/>
        <v>66541.07600924233</v>
      </c>
      <c r="E751">
        <f t="shared" si="59"/>
        <v>65654.193586328474</v>
      </c>
    </row>
    <row r="752" spans="1:5">
      <c r="A752">
        <f t="shared" si="55"/>
        <v>0.14887096922894716</v>
      </c>
      <c r="B752">
        <f t="shared" si="56"/>
        <v>0.86685082593253915</v>
      </c>
      <c r="C752">
        <f t="shared" si="57"/>
        <v>0.7470882350460688</v>
      </c>
      <c r="D752">
        <f t="shared" si="58"/>
        <v>68320.333034745403</v>
      </c>
      <c r="E752">
        <f t="shared" si="59"/>
        <v>51041.317024687574</v>
      </c>
    </row>
    <row r="753" spans="1:5">
      <c r="A753">
        <f t="shared" si="55"/>
        <v>0.27083050821791232</v>
      </c>
      <c r="B753">
        <f t="shared" si="56"/>
        <v>0.8740694690102524</v>
      </c>
      <c r="C753">
        <f t="shared" si="57"/>
        <v>0.83208075187767183</v>
      </c>
      <c r="D753">
        <f t="shared" si="58"/>
        <v>68405.310903211008</v>
      </c>
      <c r="E753">
        <f t="shared" si="59"/>
        <v>56918.742528769719</v>
      </c>
    </row>
    <row r="754" spans="1:5">
      <c r="A754">
        <f t="shared" si="55"/>
        <v>0.8943103175849112</v>
      </c>
      <c r="B754">
        <f t="shared" si="56"/>
        <v>0.67533583382655271</v>
      </c>
      <c r="C754">
        <f t="shared" si="57"/>
        <v>1.324712404356948</v>
      </c>
      <c r="D754">
        <f t="shared" si="58"/>
        <v>66688.663751437809</v>
      </c>
      <c r="E754">
        <f t="shared" si="59"/>
        <v>88343.300101519228</v>
      </c>
    </row>
    <row r="755" spans="1:5">
      <c r="A755">
        <f t="shared" si="55"/>
        <v>1.9310397329943996E-2</v>
      </c>
      <c r="B755">
        <f t="shared" si="56"/>
        <v>0.27064992038144098</v>
      </c>
      <c r="C755">
        <f t="shared" si="57"/>
        <v>0.57793080499698979</v>
      </c>
      <c r="D755">
        <f t="shared" si="58"/>
        <v>64042.095365388108</v>
      </c>
      <c r="E755">
        <f t="shared" si="59"/>
        <v>37011.899728212738</v>
      </c>
    </row>
    <row r="756" spans="1:5">
      <c r="A756">
        <f t="shared" si="55"/>
        <v>0.64583074745301028</v>
      </c>
      <c r="B756">
        <f t="shared" si="56"/>
        <v>0.66001172867491698</v>
      </c>
      <c r="C756">
        <f t="shared" si="57"/>
        <v>1.0642519038539497</v>
      </c>
      <c r="D756">
        <f t="shared" si="58"/>
        <v>66583.847727077082</v>
      </c>
      <c r="E756">
        <f t="shared" si="59"/>
        <v>70861.986709463265</v>
      </c>
    </row>
    <row r="757" spans="1:5">
      <c r="A757">
        <f t="shared" si="55"/>
        <v>0.77387136795411049</v>
      </c>
      <c r="B757">
        <f t="shared" si="56"/>
        <v>0.84342125870698048</v>
      </c>
      <c r="C757">
        <f t="shared" si="57"/>
        <v>1.1696028983017404</v>
      </c>
      <c r="D757">
        <f t="shared" si="58"/>
        <v>68064.482969089615</v>
      </c>
      <c r="E757">
        <f t="shared" si="59"/>
        <v>79608.41655205666</v>
      </c>
    </row>
    <row r="758" spans="1:5">
      <c r="A758">
        <f t="shared" si="55"/>
        <v>0.40343225883324463</v>
      </c>
      <c r="B758">
        <f t="shared" si="56"/>
        <v>0.82087851047763216</v>
      </c>
      <c r="C758">
        <f t="shared" si="57"/>
        <v>0.91176933076054245</v>
      </c>
      <c r="D758">
        <f t="shared" si="58"/>
        <v>67841.19039755204</v>
      </c>
      <c r="E758">
        <f t="shared" si="59"/>
        <v>61855.516766774563</v>
      </c>
    </row>
    <row r="759" spans="1:5">
      <c r="A759">
        <f t="shared" si="55"/>
        <v>0.53451342009041269</v>
      </c>
      <c r="B759">
        <f t="shared" si="56"/>
        <v>0.59238348398687091</v>
      </c>
      <c r="C759">
        <f t="shared" si="57"/>
        <v>0.99045101227326049</v>
      </c>
      <c r="D759">
        <f t="shared" si="58"/>
        <v>66139.712930162641</v>
      </c>
      <c r="E759">
        <f t="shared" si="59"/>
        <v>65508.145623142445</v>
      </c>
    </row>
    <row r="760" spans="1:5">
      <c r="A760">
        <f t="shared" si="55"/>
        <v>0.16711485172561469</v>
      </c>
      <c r="B760">
        <f t="shared" si="56"/>
        <v>0.15793617923469783</v>
      </c>
      <c r="C760">
        <f t="shared" si="57"/>
        <v>0.76135363788132304</v>
      </c>
      <c r="D760">
        <f t="shared" si="58"/>
        <v>63068.139815436756</v>
      </c>
      <c r="E760">
        <f t="shared" si="59"/>
        <v>48017.157682890691</v>
      </c>
    </row>
    <row r="761" spans="1:5">
      <c r="A761">
        <f t="shared" si="55"/>
        <v>0.30123655373885017</v>
      </c>
      <c r="B761">
        <f t="shared" si="56"/>
        <v>0.51753659622111226</v>
      </c>
      <c r="C761">
        <f t="shared" si="57"/>
        <v>0.85089900098283033</v>
      </c>
      <c r="D761">
        <f t="shared" si="58"/>
        <v>65668.520034044646</v>
      </c>
      <c r="E761">
        <f t="shared" si="59"/>
        <v>55877.278092989567</v>
      </c>
    </row>
    <row r="762" spans="1:5">
      <c r="A762">
        <f t="shared" si="55"/>
        <v>0.93687852613011979</v>
      </c>
      <c r="B762">
        <f t="shared" si="56"/>
        <v>0.67118473494611419</v>
      </c>
      <c r="C762">
        <f t="shared" si="57"/>
        <v>1.4205181214515734</v>
      </c>
      <c r="D762">
        <f t="shared" si="58"/>
        <v>66660.079140964051</v>
      </c>
      <c r="E762">
        <f t="shared" si="59"/>
        <v>94691.850397135466</v>
      </c>
    </row>
    <row r="763" spans="1:5">
      <c r="A763">
        <f t="shared" si="55"/>
        <v>7.4040768899422904E-2</v>
      </c>
      <c r="B763">
        <f t="shared" si="56"/>
        <v>0.61888059540970386</v>
      </c>
      <c r="C763">
        <f t="shared" si="57"/>
        <v>0.67513994149587631</v>
      </c>
      <c r="D763">
        <f t="shared" si="58"/>
        <v>66310.749570846761</v>
      </c>
      <c r="E763">
        <f t="shared" si="59"/>
        <v>44769.035585809186</v>
      </c>
    </row>
    <row r="764" spans="1:5">
      <c r="A764">
        <f t="shared" si="55"/>
        <v>0.71272328204676016</v>
      </c>
      <c r="B764">
        <f t="shared" si="56"/>
        <v>0.36062417761188126</v>
      </c>
      <c r="C764">
        <f t="shared" si="57"/>
        <v>1.1152621920419941</v>
      </c>
      <c r="D764">
        <f t="shared" si="58"/>
        <v>64673.116674894925</v>
      </c>
      <c r="E764">
        <f t="shared" si="59"/>
        <v>72127.481869030948</v>
      </c>
    </row>
    <row r="765" spans="1:5">
      <c r="A765">
        <f t="shared" si="55"/>
        <v>0.85292606557213113</v>
      </c>
      <c r="B765">
        <f t="shared" si="56"/>
        <v>0.89641548155264639</v>
      </c>
      <c r="C765">
        <f t="shared" si="57"/>
        <v>1.2598799412744197</v>
      </c>
      <c r="D765">
        <f t="shared" si="58"/>
        <v>68692.304351291212</v>
      </c>
      <c r="E765">
        <f t="shared" si="59"/>
        <v>86544.056372109335</v>
      </c>
    </row>
    <row r="766" spans="1:5">
      <c r="A766">
        <f t="shared" si="55"/>
        <v>0.49464911947553603</v>
      </c>
      <c r="B766">
        <f t="shared" si="56"/>
        <v>0.22625450723199947</v>
      </c>
      <c r="C766">
        <f t="shared" si="57"/>
        <v>0.96598857916557368</v>
      </c>
      <c r="D766">
        <f t="shared" si="58"/>
        <v>63693.398284867879</v>
      </c>
      <c r="E766">
        <f t="shared" si="59"/>
        <v>61527.095311426507</v>
      </c>
    </row>
    <row r="767" spans="1:5">
      <c r="A767">
        <f t="shared" si="55"/>
        <v>0.63789244375697451</v>
      </c>
      <c r="B767">
        <f t="shared" si="56"/>
        <v>0.35014125464993995</v>
      </c>
      <c r="C767">
        <f t="shared" si="57"/>
        <v>1.0586110935076516</v>
      </c>
      <c r="D767">
        <f t="shared" si="58"/>
        <v>64603.202855743009</v>
      </c>
      <c r="E767">
        <f t="shared" si="59"/>
        <v>68389.667219214753</v>
      </c>
    </row>
    <row r="768" spans="1:5">
      <c r="A768">
        <f t="shared" si="55"/>
        <v>0.28265603841644693</v>
      </c>
      <c r="B768">
        <f t="shared" si="56"/>
        <v>0.26807572380646816</v>
      </c>
      <c r="C768">
        <f t="shared" si="57"/>
        <v>0.8394634688833833</v>
      </c>
      <c r="D768">
        <f t="shared" si="58"/>
        <v>64022.735305555369</v>
      </c>
      <c r="E768">
        <f t="shared" si="59"/>
        <v>53744.747467004163</v>
      </c>
    </row>
    <row r="769" spans="1:5">
      <c r="A769">
        <f t="shared" si="55"/>
        <v>0.42893990345395316</v>
      </c>
      <c r="B769">
        <f t="shared" si="56"/>
        <v>0.98005791470158377</v>
      </c>
      <c r="C769">
        <f t="shared" si="57"/>
        <v>0.9267991225620581</v>
      </c>
      <c r="D769">
        <f t="shared" si="58"/>
        <v>70663.322363355386</v>
      </c>
      <c r="E769">
        <f t="shared" si="59"/>
        <v>65490.70516367763</v>
      </c>
    </row>
    <row r="770" spans="1:5">
      <c r="A770">
        <f t="shared" si="55"/>
        <v>7.6744038869493325E-2</v>
      </c>
      <c r="B770">
        <f t="shared" si="56"/>
        <v>0.48608782733528755</v>
      </c>
      <c r="C770">
        <f t="shared" si="57"/>
        <v>0.67835830754642146</v>
      </c>
      <c r="D770">
        <f t="shared" si="58"/>
        <v>65472.670617237214</v>
      </c>
      <c r="E770">
        <f t="shared" si="59"/>
        <v>44413.930030453354</v>
      </c>
    </row>
    <row r="771" spans="1:5">
      <c r="A771">
        <f t="shared" si="55"/>
        <v>0.22606844466306697</v>
      </c>
      <c r="B771">
        <f t="shared" si="56"/>
        <v>0.78616546170757884</v>
      </c>
      <c r="C771">
        <f t="shared" si="57"/>
        <v>0.8031495681149271</v>
      </c>
      <c r="D771">
        <f t="shared" si="58"/>
        <v>67529.39864903249</v>
      </c>
      <c r="E771">
        <f t="shared" si="59"/>
        <v>54236.207360031185</v>
      </c>
    </row>
    <row r="772" spans="1:5">
      <c r="A772">
        <f t="shared" si="55"/>
        <v>0.87691312083467499</v>
      </c>
      <c r="B772">
        <f t="shared" si="56"/>
        <v>0.88029081781845786</v>
      </c>
      <c r="C772">
        <f t="shared" si="57"/>
        <v>1.2952105756154684</v>
      </c>
      <c r="D772">
        <f t="shared" si="58"/>
        <v>68481.317075956846</v>
      </c>
      <c r="E772">
        <f t="shared" si="59"/>
        <v>88697.726108855466</v>
      </c>
    </row>
    <row r="773" spans="1:5">
      <c r="A773">
        <f t="shared" si="55"/>
        <v>2.9278067384316486E-2</v>
      </c>
      <c r="B773">
        <f t="shared" si="56"/>
        <v>0.76846389566792439</v>
      </c>
      <c r="C773">
        <f t="shared" si="57"/>
        <v>0.60403217970919088</v>
      </c>
      <c r="D773">
        <f t="shared" si="58"/>
        <v>67381.8893320145</v>
      </c>
      <c r="E773">
        <f t="shared" si="59"/>
        <v>40700.829486140196</v>
      </c>
    </row>
    <row r="774" spans="1:5">
      <c r="A774">
        <f t="shared" si="55"/>
        <v>0.68316328431199191</v>
      </c>
      <c r="B774">
        <f t="shared" si="56"/>
        <v>0.45068469525597887</v>
      </c>
      <c r="C774">
        <f t="shared" si="57"/>
        <v>1.0918687922409211</v>
      </c>
      <c r="D774">
        <f t="shared" si="58"/>
        <v>65251.485916367441</v>
      </c>
      <c r="E774">
        <f t="shared" si="59"/>
        <v>71246.061119429593</v>
      </c>
    </row>
    <row r="775" spans="1:5">
      <c r="A775">
        <f t="shared" si="55"/>
        <v>0.83856877161770127</v>
      </c>
      <c r="B775">
        <f t="shared" si="56"/>
        <v>0.92695321658262075</v>
      </c>
      <c r="C775">
        <f t="shared" si="57"/>
        <v>1.240976011774078</v>
      </c>
      <c r="D775">
        <f t="shared" si="58"/>
        <v>69169.389508628708</v>
      </c>
      <c r="E775">
        <f t="shared" si="59"/>
        <v>85837.553129265812</v>
      </c>
    </row>
    <row r="776" spans="1:5">
      <c r="A776">
        <f t="shared" si="55"/>
        <v>0.49549452930144411</v>
      </c>
      <c r="B776">
        <f t="shared" si="56"/>
        <v>0.19726945964785036</v>
      </c>
      <c r="C776">
        <f t="shared" si="57"/>
        <v>0.96650051732170894</v>
      </c>
      <c r="D776">
        <f t="shared" si="58"/>
        <v>63444.583454170992</v>
      </c>
      <c r="E776">
        <f t="shared" si="59"/>
        <v>61319.222729716603</v>
      </c>
    </row>
    <row r="777" spans="1:5">
      <c r="A777">
        <f t="shared" si="55"/>
        <v>0.65394055736322132</v>
      </c>
      <c r="B777">
        <f t="shared" si="56"/>
        <v>0.26163342445166782</v>
      </c>
      <c r="C777">
        <f t="shared" si="57"/>
        <v>1.0700927255089152</v>
      </c>
      <c r="D777">
        <f t="shared" si="58"/>
        <v>63973.868125395747</v>
      </c>
      <c r="E777">
        <f t="shared" si="59"/>
        <v>68457.970903652647</v>
      </c>
    </row>
    <row r="778" spans="1:5">
      <c r="A778">
        <f t="shared" si="55"/>
        <v>0.31390685580303201</v>
      </c>
      <c r="B778">
        <f t="shared" si="56"/>
        <v>0.12004511099407278</v>
      </c>
      <c r="C778">
        <f t="shared" si="57"/>
        <v>0.85860045803555995</v>
      </c>
      <c r="D778">
        <f t="shared" si="58"/>
        <v>62641.464703241523</v>
      </c>
      <c r="E778">
        <f t="shared" si="59"/>
        <v>53783.990286221531</v>
      </c>
    </row>
    <row r="779" spans="1:5">
      <c r="A779">
        <f t="shared" si="55"/>
        <v>0.47539342462087641</v>
      </c>
      <c r="B779">
        <f t="shared" si="56"/>
        <v>0.77250451927506569</v>
      </c>
      <c r="C779">
        <f t="shared" si="57"/>
        <v>0.95439306498830645</v>
      </c>
      <c r="D779">
        <f t="shared" si="58"/>
        <v>67414.980251639063</v>
      </c>
      <c r="E779">
        <f t="shared" si="59"/>
        <v>64340.389628487959</v>
      </c>
    </row>
    <row r="780" spans="1:5">
      <c r="A780">
        <f t="shared" si="55"/>
        <v>0.13840026381675474</v>
      </c>
      <c r="B780">
        <f t="shared" si="56"/>
        <v>0.21901164929464612</v>
      </c>
      <c r="C780">
        <f t="shared" si="57"/>
        <v>0.73850035227562583</v>
      </c>
      <c r="D780">
        <f t="shared" si="58"/>
        <v>63633.050578403338</v>
      </c>
      <c r="E780">
        <f t="shared" si="59"/>
        <v>46993.03026852358</v>
      </c>
    </row>
    <row r="781" spans="1:5">
      <c r="A781">
        <f t="shared" si="55"/>
        <v>0.302927373390667</v>
      </c>
      <c r="B781">
        <f t="shared" si="56"/>
        <v>0.45956650105281427</v>
      </c>
      <c r="C781">
        <f t="shared" si="57"/>
        <v>0.85193088258407901</v>
      </c>
      <c r="D781">
        <f t="shared" si="58"/>
        <v>65307.136708382459</v>
      </c>
      <c r="E781">
        <f t="shared" si="59"/>
        <v>55637.166615011374</v>
      </c>
    </row>
    <row r="782" spans="1:5">
      <c r="A782">
        <f t="shared" si="55"/>
        <v>0.96897475334261307</v>
      </c>
      <c r="B782">
        <f t="shared" si="56"/>
        <v>0.49416907454957038</v>
      </c>
      <c r="C782">
        <f t="shared" si="57"/>
        <v>1.545324144503436</v>
      </c>
      <c r="D782">
        <f t="shared" si="58"/>
        <v>65522.999867732899</v>
      </c>
      <c r="E782">
        <f t="shared" si="59"/>
        <v>101254.27371590309</v>
      </c>
    </row>
    <row r="783" spans="1:5">
      <c r="A783">
        <f t="shared" si="55"/>
        <v>0.13654240367259307</v>
      </c>
      <c r="B783">
        <f t="shared" si="56"/>
        <v>0.32281936978491355</v>
      </c>
      <c r="C783">
        <f t="shared" si="57"/>
        <v>0.7369416563478024</v>
      </c>
      <c r="D783">
        <f t="shared" si="58"/>
        <v>64417.192731620868</v>
      </c>
      <c r="E783">
        <f t="shared" si="59"/>
        <v>47471.712708916297</v>
      </c>
    </row>
    <row r="784" spans="1:5">
      <c r="A784">
        <f t="shared" ref="A784:A847" si="60">IFERROR(MOD(MOD(($E$8+((ROW()-15)*(ROW()-14)/2)*13)*171,30269)/30269+MOD(($E$8+((ROW()-15)*(ROW()-14)/2)*29)*172,30307)/30307+MOD(($E$8+((ROW()-15)*(ROW()-14)/2)*47)*170,30323)/30323,1),0.5)</f>
        <v>0.80563032438060656</v>
      </c>
      <c r="B784">
        <f t="shared" ref="B784:B847" si="61">IFERROR(MOD(MOD(($E$8+((ROW()-15)*(ROW()-14)/2)*17)*171,30269)/30269+MOD(($E$8+((ROW()-15)*(ROW()-14)/2)*41)*172,30307)/30307+MOD(($E$8+((ROW()-15)*(ROW()-14)/2)*83)*170,30323)/30323,1),0.5)</f>
        <v>0.94551738675884467</v>
      </c>
      <c r="C784">
        <f t="shared" ref="C784:C847" si="62">IFERROR(EXP($E$4*NORMSINV(MIN(MAX(A784,0.000000001),0.999999999))-$E$4^2/2),1)</f>
        <v>1.2022880535883846</v>
      </c>
      <c r="D784">
        <f t="shared" ref="D784:D847" si="63">IFERROR($B$5+$E$5*NORMSINV(MIN(MAX(B784,0.000000001),0.999999999)),$B$5)</f>
        <v>69540.446381349975</v>
      </c>
      <c r="E784">
        <f t="shared" ref="E784:E847" si="64">IFERROR(C784*MAX(D784,0),0)</f>
        <v>83607.647925500685</v>
      </c>
    </row>
    <row r="785" spans="1:5">
      <c r="A785">
        <f t="shared" si="60"/>
        <v>0.97623851546665419</v>
      </c>
      <c r="B785">
        <f t="shared" si="61"/>
        <v>0.36226312547136352</v>
      </c>
      <c r="C785">
        <f t="shared" si="62"/>
        <v>1.590665308400097</v>
      </c>
      <c r="D785">
        <f t="shared" si="63"/>
        <v>64683.982731709897</v>
      </c>
      <c r="E785">
        <f t="shared" si="64"/>
        <v>102890.56734048187</v>
      </c>
    </row>
    <row r="786" spans="1:5">
      <c r="A786">
        <f t="shared" si="60"/>
        <v>0.64836697693073553</v>
      </c>
      <c r="B786">
        <f t="shared" si="61"/>
        <v>0.57305658592247011</v>
      </c>
      <c r="C786">
        <f t="shared" si="62"/>
        <v>1.0660698435156981</v>
      </c>
      <c r="D786">
        <f t="shared" si="63"/>
        <v>66016.718831295526</v>
      </c>
      <c r="E786">
        <f t="shared" si="64"/>
        <v>70378.433113899067</v>
      </c>
    </row>
    <row r="787" spans="1:5">
      <c r="A787">
        <f t="shared" si="60"/>
        <v>0.82201570877285057</v>
      </c>
      <c r="B787">
        <f t="shared" si="61"/>
        <v>0.57789776811216442</v>
      </c>
      <c r="C787">
        <f t="shared" si="62"/>
        <v>1.2208148297165713</v>
      </c>
      <c r="D787">
        <f t="shared" si="63"/>
        <v>66047.410664236595</v>
      </c>
      <c r="E787">
        <f t="shared" si="64"/>
        <v>80631.658403280453</v>
      </c>
    </row>
    <row r="788" spans="1:5">
      <c r="A788">
        <f t="shared" si="60"/>
        <v>0.49718471099299943</v>
      </c>
      <c r="B788">
        <f t="shared" si="61"/>
        <v>0.37678667204044647</v>
      </c>
      <c r="C788">
        <f t="shared" si="62"/>
        <v>0.96752478638892481</v>
      </c>
      <c r="D788">
        <f t="shared" si="63"/>
        <v>64779.570541281762</v>
      </c>
      <c r="E788">
        <f t="shared" si="64"/>
        <v>62675.84015031992</v>
      </c>
    </row>
    <row r="789" spans="1:5">
      <c r="A789">
        <f t="shared" si="60"/>
        <v>0.67387398359118267</v>
      </c>
      <c r="B789">
        <f t="shared" si="61"/>
        <v>0.96972329770731602</v>
      </c>
      <c r="C789">
        <f t="shared" si="62"/>
        <v>1.0848144509960849</v>
      </c>
      <c r="D789">
        <f t="shared" si="63"/>
        <v>70220.704042888319</v>
      </c>
      <c r="E789">
        <f t="shared" si="64"/>
        <v>76176.434504844452</v>
      </c>
    </row>
    <row r="790" spans="1:5">
      <c r="A790">
        <f t="shared" si="60"/>
        <v>0.35208352656739894</v>
      </c>
      <c r="B790">
        <f t="shared" si="61"/>
        <v>0.35670764511277309</v>
      </c>
      <c r="C790">
        <f t="shared" si="62"/>
        <v>0.8814602609549298</v>
      </c>
      <c r="D790">
        <f t="shared" si="63"/>
        <v>64647.081170979574</v>
      </c>
      <c r="E790">
        <f t="shared" si="64"/>
        <v>56983.833038946184</v>
      </c>
    </row>
    <row r="791" spans="1:5">
      <c r="A791">
        <f t="shared" si="60"/>
        <v>0.53181333992164959</v>
      </c>
      <c r="B791">
        <f t="shared" si="61"/>
        <v>0.53773971425681832</v>
      </c>
      <c r="C791">
        <f t="shared" si="62"/>
        <v>0.98877075482953769</v>
      </c>
      <c r="D791">
        <f t="shared" si="63"/>
        <v>65794.618850979445</v>
      </c>
      <c r="E791">
        <f t="shared" si="64"/>
        <v>65055.794945004673</v>
      </c>
    </row>
    <row r="792" spans="1:5">
      <c r="A792">
        <f t="shared" si="60"/>
        <v>0.21306342365393371</v>
      </c>
      <c r="B792">
        <f t="shared" si="61"/>
        <v>0.51281950513945107</v>
      </c>
      <c r="C792">
        <f t="shared" si="62"/>
        <v>0.79436738573398036</v>
      </c>
      <c r="D792">
        <f t="shared" si="63"/>
        <v>65639.130485177971</v>
      </c>
      <c r="E792">
        <f t="shared" si="64"/>
        <v>52141.584485362437</v>
      </c>
    </row>
    <row r="793" spans="1:5">
      <c r="A793">
        <f t="shared" si="60"/>
        <v>0.39583377776425221</v>
      </c>
      <c r="B793">
        <f t="shared" si="61"/>
        <v>0.2819470177606711</v>
      </c>
      <c r="C793">
        <f t="shared" si="62"/>
        <v>0.90729606867168</v>
      </c>
      <c r="D793">
        <f t="shared" si="63"/>
        <v>64126.000471342653</v>
      </c>
      <c r="E793">
        <f t="shared" si="64"/>
        <v>58181.268127287491</v>
      </c>
    </row>
    <row r="794" spans="1:5">
      <c r="A794">
        <f t="shared" si="60"/>
        <v>8.0124402252603977E-2</v>
      </c>
      <c r="B794">
        <f t="shared" si="61"/>
        <v>0.84512225212047931</v>
      </c>
      <c r="C794">
        <f t="shared" si="62"/>
        <v>0.68228432055445842</v>
      </c>
      <c r="D794">
        <f t="shared" si="63"/>
        <v>68082.158485321037</v>
      </c>
      <c r="E794">
        <f t="shared" si="64"/>
        <v>46451.389244038219</v>
      </c>
    </row>
    <row r="795" spans="1:5">
      <c r="A795">
        <f t="shared" si="60"/>
        <v>0.26593529711898989</v>
      </c>
      <c r="B795">
        <f t="shared" si="61"/>
        <v>0.20234520821887503</v>
      </c>
      <c r="C795">
        <f t="shared" si="62"/>
        <v>0.82899739218933477</v>
      </c>
      <c r="D795">
        <f t="shared" si="63"/>
        <v>63489.642186984434</v>
      </c>
      <c r="E795">
        <f t="shared" si="64"/>
        <v>52632.747804044069</v>
      </c>
    </row>
    <row r="796" spans="1:5">
      <c r="A796">
        <f t="shared" si="60"/>
        <v>0.95326646236340951</v>
      </c>
      <c r="B796">
        <f t="shared" si="61"/>
        <v>0.35361588605585847</v>
      </c>
      <c r="C796">
        <f t="shared" si="62"/>
        <v>1.4741719406536167</v>
      </c>
      <c r="D796">
        <f t="shared" si="63"/>
        <v>64626.457535873771</v>
      </c>
      <c r="E796">
        <f t="shared" si="64"/>
        <v>95270.510323227587</v>
      </c>
    </row>
    <row r="797" spans="1:5">
      <c r="A797">
        <f t="shared" si="60"/>
        <v>0.14211789798586283</v>
      </c>
      <c r="B797">
        <f t="shared" si="61"/>
        <v>0.29893428563142965</v>
      </c>
      <c r="C797">
        <f t="shared" si="62"/>
        <v>0.74158677120317895</v>
      </c>
      <c r="D797">
        <f t="shared" si="63"/>
        <v>64249.193444923389</v>
      </c>
      <c r="E797">
        <f t="shared" si="64"/>
        <v>47646.351919229186</v>
      </c>
    </row>
    <row r="798" spans="1:5">
      <c r="A798">
        <f t="shared" si="60"/>
        <v>0.8324896039863503</v>
      </c>
      <c r="B798">
        <f t="shared" si="61"/>
        <v>3.8300406945588339E-2</v>
      </c>
      <c r="C798">
        <f t="shared" si="62"/>
        <v>1.2333851372088191</v>
      </c>
      <c r="D798">
        <f t="shared" si="63"/>
        <v>61161.142783747673</v>
      </c>
      <c r="E798">
        <f t="shared" si="64"/>
        <v>75435.244484180803</v>
      </c>
    </row>
    <row r="799" spans="1:5">
      <c r="A799">
        <f t="shared" si="60"/>
        <v>2.4381580364871258E-2</v>
      </c>
      <c r="B799">
        <f t="shared" si="61"/>
        <v>0.57171424999833498</v>
      </c>
      <c r="C799">
        <f t="shared" si="62"/>
        <v>0.59219804438191559</v>
      </c>
      <c r="D799">
        <f t="shared" si="63"/>
        <v>66008.221324333907</v>
      </c>
      <c r="E799">
        <f t="shared" si="64"/>
        <v>39089.939581399201</v>
      </c>
    </row>
    <row r="800" spans="1:5">
      <c r="A800">
        <f t="shared" si="60"/>
        <v>0.71779382712142592</v>
      </c>
      <c r="B800">
        <f t="shared" si="61"/>
        <v>0.89917581478966913</v>
      </c>
      <c r="C800">
        <f t="shared" si="62"/>
        <v>1.1194360464377411</v>
      </c>
      <c r="D800">
        <f t="shared" si="63"/>
        <v>68730.756173684917</v>
      </c>
      <c r="E800">
        <f t="shared" si="64"/>
        <v>76939.685959746203</v>
      </c>
    </row>
    <row r="801" spans="1:5">
      <c r="A801">
        <f t="shared" si="60"/>
        <v>0.91272634425601507</v>
      </c>
      <c r="B801">
        <f t="shared" si="61"/>
        <v>2.0685101319590782E-2</v>
      </c>
      <c r="C801">
        <f t="shared" si="62"/>
        <v>1.3609515500452085</v>
      </c>
      <c r="D801">
        <f t="shared" si="63"/>
        <v>60492.904715247256</v>
      </c>
      <c r="E801">
        <f t="shared" si="64"/>
        <v>82327.912438952859</v>
      </c>
    </row>
    <row r="802" spans="1:5">
      <c r="A802">
        <f t="shared" si="60"/>
        <v>0.60917913176863769</v>
      </c>
      <c r="B802">
        <f t="shared" si="61"/>
        <v>0.93624210958810039</v>
      </c>
      <c r="C802">
        <f t="shared" si="62"/>
        <v>1.038778030760436</v>
      </c>
      <c r="D802">
        <f t="shared" si="63"/>
        <v>69344.502010982527</v>
      </c>
      <c r="E802">
        <f t="shared" si="64"/>
        <v>72033.54524303152</v>
      </c>
    </row>
    <row r="803" spans="1:5">
      <c r="A803">
        <f t="shared" si="60"/>
        <v>0.80715218965929392</v>
      </c>
      <c r="B803">
        <f t="shared" si="61"/>
        <v>0.64584683959519773</v>
      </c>
      <c r="C803">
        <f t="shared" si="62"/>
        <v>1.2039555687721319</v>
      </c>
      <c r="D803">
        <f t="shared" si="63"/>
        <v>66488.561741568701</v>
      </c>
      <c r="E803">
        <f t="shared" si="64"/>
        <v>80049.274168411357</v>
      </c>
    </row>
    <row r="804" spans="1:5">
      <c r="A804">
        <f t="shared" si="60"/>
        <v>0.50664551792798418</v>
      </c>
      <c r="B804">
        <f t="shared" si="61"/>
        <v>0.14949929134088302</v>
      </c>
      <c r="C804">
        <f t="shared" si="62"/>
        <v>0.97327817199494471</v>
      </c>
      <c r="D804">
        <f t="shared" si="63"/>
        <v>62979.699864941169</v>
      </c>
      <c r="E804">
        <f t="shared" si="64"/>
        <v>61296.767157340204</v>
      </c>
    </row>
    <row r="805" spans="1:5">
      <c r="A805">
        <f t="shared" si="60"/>
        <v>0.70765911657470837</v>
      </c>
      <c r="B805">
        <f t="shared" si="61"/>
        <v>0.44719946482515538</v>
      </c>
      <c r="C805">
        <f t="shared" si="62"/>
        <v>1.1111435846575575</v>
      </c>
      <c r="D805">
        <f t="shared" si="63"/>
        <v>65229.607747833055</v>
      </c>
      <c r="E805">
        <f t="shared" si="64"/>
        <v>72479.4601787336</v>
      </c>
    </row>
    <row r="806" spans="1:5">
      <c r="A806">
        <f t="shared" si="60"/>
        <v>0.41019298559946615</v>
      </c>
      <c r="B806">
        <f t="shared" si="61"/>
        <v>0.53894736004801547</v>
      </c>
      <c r="C806">
        <f t="shared" si="62"/>
        <v>0.91574975609556986</v>
      </c>
      <c r="D806">
        <f t="shared" si="63"/>
        <v>65802.172443204749</v>
      </c>
      <c r="E806">
        <f t="shared" si="64"/>
        <v>60258.323365423377</v>
      </c>
    </row>
    <row r="807" spans="1:5">
      <c r="A807">
        <f t="shared" si="60"/>
        <v>0.61424712500225787</v>
      </c>
      <c r="B807">
        <f t="shared" si="61"/>
        <v>0.42474297700946373</v>
      </c>
      <c r="C807">
        <f t="shared" si="62"/>
        <v>1.0422183482533269</v>
      </c>
      <c r="D807">
        <f t="shared" si="63"/>
        <v>65087.947666730106</v>
      </c>
      <c r="E807">
        <f t="shared" si="64"/>
        <v>67835.853308418431</v>
      </c>
    </row>
    <row r="808" spans="1:5">
      <c r="A808">
        <f t="shared" si="60"/>
        <v>0.31982153478308328</v>
      </c>
      <c r="B808">
        <f t="shared" si="61"/>
        <v>0.10458631570949928</v>
      </c>
      <c r="C808">
        <f t="shared" si="62"/>
        <v>0.86217287577999635</v>
      </c>
      <c r="D808">
        <f t="shared" si="63"/>
        <v>62440.074458344687</v>
      </c>
      <c r="E808">
        <f t="shared" si="64"/>
        <v>53834.138559668136</v>
      </c>
    </row>
    <row r="809" spans="1:5">
      <c r="A809">
        <f t="shared" si="60"/>
        <v>0.52691621494194285</v>
      </c>
      <c r="B809">
        <f t="shared" si="61"/>
        <v>0.57847737614812256</v>
      </c>
      <c r="C809">
        <f t="shared" si="62"/>
        <v>0.98573280845526434</v>
      </c>
      <c r="D809">
        <f t="shared" si="63"/>
        <v>66051.090136484141</v>
      </c>
      <c r="E809">
        <f t="shared" si="64"/>
        <v>65108.726581768322</v>
      </c>
    </row>
    <row r="810" spans="1:5">
      <c r="A810">
        <f t="shared" si="60"/>
        <v>0.2355311654788359</v>
      </c>
      <c r="B810">
        <f t="shared" si="61"/>
        <v>0.84641615832533368</v>
      </c>
      <c r="C810">
        <f t="shared" si="62"/>
        <v>0.80941953529776622</v>
      </c>
      <c r="D810">
        <f t="shared" si="63"/>
        <v>68095.689874109055</v>
      </c>
      <c r="E810">
        <f t="shared" si="64"/>
        <v>55117.98165368216</v>
      </c>
    </row>
    <row r="811" spans="1:5">
      <c r="A811">
        <f t="shared" si="60"/>
        <v>0.44566638639376333</v>
      </c>
      <c r="B811">
        <f t="shared" si="61"/>
        <v>0.90840266224113275</v>
      </c>
      <c r="C811">
        <f t="shared" si="62"/>
        <v>0.93668850359253875</v>
      </c>
      <c r="D811">
        <f t="shared" si="63"/>
        <v>68865.161560511362</v>
      </c>
      <c r="E811">
        <f t="shared" si="64"/>
        <v>64505.205131773808</v>
      </c>
    </row>
    <row r="812" spans="1:5">
      <c r="A812">
        <f t="shared" si="60"/>
        <v>0.15732187768672401</v>
      </c>
      <c r="B812">
        <f t="shared" si="61"/>
        <v>0.76443688789551889</v>
      </c>
      <c r="C812">
        <f t="shared" si="62"/>
        <v>0.7537975576710525</v>
      </c>
      <c r="D812">
        <f t="shared" si="63"/>
        <v>67349.228705941016</v>
      </c>
      <c r="E812">
        <f t="shared" si="64"/>
        <v>50767.684109567475</v>
      </c>
    </row>
    <row r="813" spans="1:5">
      <c r="A813">
        <f t="shared" si="60"/>
        <v>0.37049763935771862</v>
      </c>
      <c r="B813">
        <f t="shared" si="61"/>
        <v>0.41451883528849276</v>
      </c>
      <c r="C813">
        <f t="shared" si="62"/>
        <v>0.89236154740431095</v>
      </c>
      <c r="D813">
        <f t="shared" si="63"/>
        <v>65022.968215300862</v>
      </c>
      <c r="E813">
        <f t="shared" si="64"/>
        <v>58023.996533427206</v>
      </c>
    </row>
    <row r="814" spans="1:5">
      <c r="A814">
        <f t="shared" si="60"/>
        <v>8.5193671406747384E-2</v>
      </c>
      <c r="B814">
        <f t="shared" si="61"/>
        <v>0.85864850442005469</v>
      </c>
      <c r="C814">
        <f t="shared" si="62"/>
        <v>0.68798374592883138</v>
      </c>
      <c r="D814">
        <f t="shared" si="63"/>
        <v>68227.538320363645</v>
      </c>
      <c r="E814">
        <f t="shared" si="64"/>
        <v>46939.437389146668</v>
      </c>
    </row>
    <row r="815" spans="1:5">
      <c r="A815">
        <f t="shared" si="60"/>
        <v>0.30140997383380963</v>
      </c>
      <c r="B815">
        <f t="shared" si="61"/>
        <v>9.6825895290204134E-2</v>
      </c>
      <c r="C815">
        <f t="shared" si="62"/>
        <v>0.85100489861480377</v>
      </c>
      <c r="D815">
        <f t="shared" si="63"/>
        <v>62330.768627408761</v>
      </c>
      <c r="E815">
        <f t="shared" si="64"/>
        <v>53043.789436350788</v>
      </c>
    </row>
    <row r="816" spans="1:5">
      <c r="A816">
        <f t="shared" si="60"/>
        <v>1.9146546638905804E-2</v>
      </c>
      <c r="B816">
        <f t="shared" si="61"/>
        <v>0.12905100789894153</v>
      </c>
      <c r="C816">
        <f t="shared" si="62"/>
        <v>0.57742547357238794</v>
      </c>
      <c r="D816">
        <f t="shared" si="63"/>
        <v>62750.434714289971</v>
      </c>
      <c r="E816">
        <f t="shared" si="64"/>
        <v>36233.699481772099</v>
      </c>
    </row>
    <row r="817" spans="1:5">
      <c r="A817">
        <f t="shared" si="60"/>
        <v>0.23840338982203568</v>
      </c>
      <c r="B817">
        <f t="shared" si="61"/>
        <v>0.95532384224626621</v>
      </c>
      <c r="C817">
        <f t="shared" si="62"/>
        <v>0.81130440255022895</v>
      </c>
      <c r="D817">
        <f t="shared" si="63"/>
        <v>69778.795702877571</v>
      </c>
      <c r="E817">
        <f t="shared" si="64"/>
        <v>56611.844158397573</v>
      </c>
    </row>
    <row r="818" spans="1:5">
      <c r="A818">
        <f t="shared" si="60"/>
        <v>0.9591805033831996</v>
      </c>
      <c r="B818">
        <f t="shared" si="61"/>
        <v>0.57564439833217884</v>
      </c>
      <c r="C818">
        <f t="shared" si="62"/>
        <v>1.4978992150288726</v>
      </c>
      <c r="D818">
        <f t="shared" si="63"/>
        <v>66033.115899784156</v>
      </c>
      <c r="E818">
        <f t="shared" si="64"/>
        <v>98910.952472197256</v>
      </c>
    </row>
    <row r="819" spans="1:5">
      <c r="A819">
        <f t="shared" si="60"/>
        <v>0.18147788732239722</v>
      </c>
      <c r="B819">
        <f t="shared" si="61"/>
        <v>0.99001267615667898</v>
      </c>
      <c r="C819">
        <f t="shared" si="62"/>
        <v>0.77206476984055472</v>
      </c>
      <c r="D819">
        <f t="shared" si="63"/>
        <v>71338.603404158595</v>
      </c>
      <c r="E819">
        <f t="shared" si="64"/>
        <v>55078.022417978318</v>
      </c>
    </row>
    <row r="820" spans="1:5">
      <c r="A820">
        <f t="shared" si="60"/>
        <v>0.90529554163962866</v>
      </c>
      <c r="B820">
        <f t="shared" si="61"/>
        <v>0.19842867571976708</v>
      </c>
      <c r="C820">
        <f t="shared" si="62"/>
        <v>1.3455897919269852</v>
      </c>
      <c r="D820">
        <f t="shared" si="63"/>
        <v>63454.93507045514</v>
      </c>
      <c r="E820">
        <f t="shared" si="64"/>
        <v>85384.31287819409</v>
      </c>
    </row>
    <row r="821" spans="1:5">
      <c r="A821">
        <f t="shared" si="60"/>
        <v>0.13063346633489381</v>
      </c>
      <c r="B821">
        <f t="shared" si="61"/>
        <v>0.20089239702144246</v>
      </c>
      <c r="C821">
        <f t="shared" si="62"/>
        <v>0.73190802462476323</v>
      </c>
      <c r="D821">
        <f t="shared" si="63"/>
        <v>63476.815279671915</v>
      </c>
      <c r="E821">
        <f t="shared" si="64"/>
        <v>46459.190480815661</v>
      </c>
    </row>
    <row r="822" spans="1:5">
      <c r="A822">
        <f t="shared" si="60"/>
        <v>0.85749166140819311</v>
      </c>
      <c r="B822">
        <f t="shared" si="61"/>
        <v>0.99740384006170579</v>
      </c>
      <c r="C822">
        <f t="shared" si="62"/>
        <v>1.2662115396215234</v>
      </c>
      <c r="D822">
        <f t="shared" si="63"/>
        <v>72501.083176455228</v>
      </c>
      <c r="E822">
        <f t="shared" si="64"/>
        <v>91801.7081530875</v>
      </c>
    </row>
    <row r="823" spans="1:5">
      <c r="A823">
        <f t="shared" si="60"/>
        <v>8.587012685952633E-2</v>
      </c>
      <c r="B823">
        <f t="shared" si="61"/>
        <v>0.58796300484055686</v>
      </c>
      <c r="C823">
        <f t="shared" si="62"/>
        <v>0.68872835793993115</v>
      </c>
      <c r="D823">
        <f t="shared" si="63"/>
        <v>66111.466677797347</v>
      </c>
      <c r="E823">
        <f t="shared" si="64"/>
        <v>45532.841885999842</v>
      </c>
    </row>
    <row r="824" spans="1:5">
      <c r="A824">
        <f t="shared" si="60"/>
        <v>0.81576886268889304</v>
      </c>
      <c r="B824">
        <f t="shared" si="61"/>
        <v>0.97256989135799543</v>
      </c>
      <c r="C824">
        <f t="shared" si="62"/>
        <v>1.2135978438615009</v>
      </c>
      <c r="D824">
        <f t="shared" si="63"/>
        <v>70328.100410004845</v>
      </c>
      <c r="E824">
        <f t="shared" si="64"/>
        <v>85350.031020457027</v>
      </c>
    </row>
    <row r="825" spans="1:5">
      <c r="A825">
        <f t="shared" si="60"/>
        <v>4.7187868896293672E-2</v>
      </c>
      <c r="B825">
        <f t="shared" si="61"/>
        <v>0.15122449961402173</v>
      </c>
      <c r="C825">
        <f t="shared" si="62"/>
        <v>0.63798628352892806</v>
      </c>
      <c r="D825">
        <f t="shared" si="63"/>
        <v>62998.048637696629</v>
      </c>
      <c r="E825">
        <f t="shared" si="64"/>
        <v>40191.89091993872</v>
      </c>
    </row>
    <row r="826" spans="1:5">
      <c r="A826">
        <f t="shared" si="60"/>
        <v>0.78012714548172823</v>
      </c>
      <c r="B826">
        <f t="shared" si="61"/>
        <v>0.12392682960863577</v>
      </c>
      <c r="C826">
        <f t="shared" si="62"/>
        <v>1.17574933212203</v>
      </c>
      <c r="D826">
        <f t="shared" si="63"/>
        <v>62689.110755248839</v>
      </c>
      <c r="E826">
        <f t="shared" si="64"/>
        <v>73706.680101807797</v>
      </c>
    </row>
    <row r="827" spans="1:5">
      <c r="A827">
        <f t="shared" si="60"/>
        <v>1.4586692445196503E-2</v>
      </c>
      <c r="B827">
        <f t="shared" si="61"/>
        <v>0.89067688134183753</v>
      </c>
      <c r="C827">
        <f t="shared" si="62"/>
        <v>0.56184239078845455</v>
      </c>
      <c r="D827">
        <f t="shared" si="63"/>
        <v>68614.680774000284</v>
      </c>
      <c r="E827">
        <f t="shared" si="64"/>
        <v>38550.636289250928</v>
      </c>
    </row>
    <row r="828" spans="1:5">
      <c r="A828">
        <f t="shared" si="60"/>
        <v>0.75056650978669848</v>
      </c>
      <c r="B828">
        <f t="shared" si="61"/>
        <v>0.45147465481362703</v>
      </c>
      <c r="C828">
        <f t="shared" si="62"/>
        <v>1.1477670835496749</v>
      </c>
      <c r="D828">
        <f t="shared" si="63"/>
        <v>65256.441425468045</v>
      </c>
      <c r="E828">
        <f t="shared" si="64"/>
        <v>74899.195457739654</v>
      </c>
    </row>
    <row r="829" spans="1:5">
      <c r="A829">
        <f t="shared" si="60"/>
        <v>0.9880665975062346</v>
      </c>
      <c r="B829">
        <f t="shared" si="61"/>
        <v>0.80632015002400403</v>
      </c>
      <c r="C829">
        <f t="shared" si="62"/>
        <v>1.7050026328602024</v>
      </c>
      <c r="D829">
        <f t="shared" si="63"/>
        <v>67706.314749167635</v>
      </c>
      <c r="E829">
        <f t="shared" si="64"/>
        <v>115439.44490859237</v>
      </c>
    </row>
    <row r="830" spans="1:5">
      <c r="A830">
        <f t="shared" si="60"/>
        <v>0.72708695560380421</v>
      </c>
      <c r="B830">
        <f t="shared" si="61"/>
        <v>0.95521336697296899</v>
      </c>
      <c r="C830">
        <f t="shared" si="62"/>
        <v>1.1272224529095138</v>
      </c>
      <c r="D830">
        <f t="shared" si="63"/>
        <v>69775.886845335903</v>
      </c>
      <c r="E830">
        <f t="shared" si="64"/>
        <v>78652.946323736222</v>
      </c>
    </row>
    <row r="831" spans="1:5">
      <c r="A831">
        <f t="shared" si="60"/>
        <v>0.96762758407940774</v>
      </c>
      <c r="B831">
        <f t="shared" si="61"/>
        <v>0.89815430566052135</v>
      </c>
      <c r="C831">
        <f t="shared" si="62"/>
        <v>1.5380324689773406</v>
      </c>
      <c r="D831">
        <f t="shared" si="63"/>
        <v>68716.438157814555</v>
      </c>
      <c r="E831">
        <f t="shared" si="64"/>
        <v>105688.11303919226</v>
      </c>
    </row>
    <row r="832" spans="1:5">
      <c r="A832">
        <f t="shared" si="60"/>
        <v>0.70968848293304521</v>
      </c>
      <c r="B832">
        <f t="shared" si="61"/>
        <v>0.63514296608666143</v>
      </c>
      <c r="C832">
        <f t="shared" si="62"/>
        <v>1.1127881605671679</v>
      </c>
      <c r="D832">
        <f t="shared" si="63"/>
        <v>66417.461760086386</v>
      </c>
      <c r="E832">
        <f t="shared" si="64"/>
        <v>73908.565101546745</v>
      </c>
    </row>
    <row r="833" spans="1:5">
      <c r="A833">
        <f t="shared" si="60"/>
        <v>0.9532696521647166</v>
      </c>
      <c r="B833">
        <f t="shared" si="61"/>
        <v>0.16617934825138936</v>
      </c>
      <c r="C833">
        <f t="shared" si="62"/>
        <v>1.4741839723215107</v>
      </c>
      <c r="D833">
        <f t="shared" si="63"/>
        <v>63151.600327008389</v>
      </c>
      <c r="E833">
        <f t="shared" si="64"/>
        <v>93097.077028529646</v>
      </c>
    </row>
    <row r="834" spans="1:5">
      <c r="A834">
        <f t="shared" si="60"/>
        <v>0.69837109177442169</v>
      </c>
      <c r="B834">
        <f t="shared" si="61"/>
        <v>0.49126345215470479</v>
      </c>
      <c r="C834">
        <f t="shared" si="62"/>
        <v>1.1037134224557374</v>
      </c>
      <c r="D834">
        <f t="shared" si="63"/>
        <v>65504.906718044171</v>
      </c>
      <c r="E834">
        <f t="shared" si="64"/>
        <v>72298.644781416355</v>
      </c>
    </row>
    <row r="835" spans="1:5">
      <c r="A835">
        <f t="shared" si="60"/>
        <v>0.94499280176216072</v>
      </c>
      <c r="B835">
        <f t="shared" si="61"/>
        <v>0.61039527779660796</v>
      </c>
      <c r="C835">
        <f t="shared" si="62"/>
        <v>1.4452496991379584</v>
      </c>
      <c r="D835">
        <f t="shared" si="63"/>
        <v>66255.627879668013</v>
      </c>
      <c r="E835">
        <f t="shared" si="64"/>
        <v>95755.926259286731</v>
      </c>
    </row>
    <row r="836" spans="1:5">
      <c r="A836">
        <f t="shared" si="60"/>
        <v>0.69313478212793322</v>
      </c>
      <c r="B836">
        <f t="shared" si="61"/>
        <v>0.52357482517709908</v>
      </c>
      <c r="C836">
        <f t="shared" si="62"/>
        <v>1.0995916948392979</v>
      </c>
      <c r="D836">
        <f t="shared" si="63"/>
        <v>65706.163743680561</v>
      </c>
      <c r="E836">
        <f t="shared" si="64"/>
        <v>72249.95195230213</v>
      </c>
    </row>
    <row r="837" spans="1:5">
      <c r="A837">
        <f t="shared" si="60"/>
        <v>0.94279703287173966</v>
      </c>
      <c r="B837">
        <f t="shared" si="61"/>
        <v>0.23080209429617771</v>
      </c>
      <c r="C837">
        <f t="shared" si="62"/>
        <v>1.4382453400502664</v>
      </c>
      <c r="D837">
        <f t="shared" si="63"/>
        <v>63730.731373661292</v>
      </c>
      <c r="E837">
        <f t="shared" si="64"/>
        <v>91660.427416163671</v>
      </c>
    </row>
    <row r="838" spans="1:5">
      <c r="A838">
        <f t="shared" si="60"/>
        <v>0.69397955399358024</v>
      </c>
      <c r="B838">
        <f t="shared" si="61"/>
        <v>0.73207708515384384</v>
      </c>
      <c r="C838">
        <f t="shared" si="62"/>
        <v>1.1002534846563128</v>
      </c>
      <c r="D838">
        <f t="shared" si="63"/>
        <v>67097.024627659688</v>
      </c>
      <c r="E838">
        <f t="shared" si="64"/>
        <v>73823.735156653012</v>
      </c>
    </row>
    <row r="839" spans="1:5">
      <c r="A839">
        <f t="shared" si="60"/>
        <v>0.94668234549345454</v>
      </c>
      <c r="B839">
        <f t="shared" si="61"/>
        <v>2.7399797750097932E-2</v>
      </c>
      <c r="C839">
        <f t="shared" si="62"/>
        <v>1.4508153480387265</v>
      </c>
      <c r="D839">
        <f t="shared" si="63"/>
        <v>60789.314795409242</v>
      </c>
      <c r="E839">
        <f t="shared" si="64"/>
        <v>88194.070901937361</v>
      </c>
    </row>
    <row r="840" spans="1:5">
      <c r="A840">
        <f t="shared" si="60"/>
        <v>0.70090540737136253</v>
      </c>
      <c r="B840">
        <f t="shared" si="61"/>
        <v>0.11677023208493953</v>
      </c>
      <c r="C840">
        <f t="shared" si="62"/>
        <v>1.1057253944781515</v>
      </c>
      <c r="D840">
        <f t="shared" si="63"/>
        <v>62600.415681160528</v>
      </c>
      <c r="E840">
        <f t="shared" si="64"/>
        <v>69218.869323547493</v>
      </c>
    </row>
    <row r="841" spans="1:5">
      <c r="A841">
        <f t="shared" si="60"/>
        <v>0.95664873962730423</v>
      </c>
      <c r="B841">
        <f t="shared" si="61"/>
        <v>1.8838815836907941E-4</v>
      </c>
      <c r="C841">
        <f t="shared" si="62"/>
        <v>1.4873761810271406</v>
      </c>
      <c r="D841">
        <f t="shared" si="63"/>
        <v>56727.413458738891</v>
      </c>
      <c r="E841">
        <f t="shared" si="64"/>
        <v>84375.003589806671</v>
      </c>
    </row>
    <row r="842" spans="1:5">
      <c r="A842">
        <f t="shared" si="60"/>
        <v>0.71391234226127986</v>
      </c>
      <c r="B842">
        <f t="shared" si="61"/>
        <v>0.67765426597038614</v>
      </c>
      <c r="C842">
        <f t="shared" si="62"/>
        <v>1.1162364074889866</v>
      </c>
      <c r="D842">
        <f t="shared" si="63"/>
        <v>66704.693653755443</v>
      </c>
      <c r="E842">
        <f t="shared" si="64"/>
        <v>74458.207606721378</v>
      </c>
    </row>
    <row r="843" spans="1:5">
      <c r="A843">
        <f t="shared" si="60"/>
        <v>0.97269621527328964</v>
      </c>
      <c r="B843">
        <f t="shared" si="61"/>
        <v>0.14916786552099071</v>
      </c>
      <c r="C843">
        <f t="shared" si="62"/>
        <v>1.5671307514503543</v>
      </c>
      <c r="D843">
        <f t="shared" si="63"/>
        <v>62976.158777633907</v>
      </c>
      <c r="E843">
        <f t="shared" si="64"/>
        <v>98691.875028650247</v>
      </c>
    </row>
    <row r="844" spans="1:5">
      <c r="A844">
        <f t="shared" si="60"/>
        <v>0.73300035866333302</v>
      </c>
      <c r="B844">
        <f t="shared" si="61"/>
        <v>0.41472918681018278</v>
      </c>
      <c r="C844">
        <f t="shared" si="62"/>
        <v>1.1322741943495056</v>
      </c>
      <c r="D844">
        <f t="shared" si="63"/>
        <v>65024.308654862711</v>
      </c>
      <c r="E844">
        <f t="shared" si="64"/>
        <v>73625.346695318265</v>
      </c>
    </row>
    <row r="845" spans="1:5">
      <c r="A845">
        <f t="shared" si="60"/>
        <v>0.99482477243141021</v>
      </c>
      <c r="B845">
        <f t="shared" si="61"/>
        <v>0.47433822983796303</v>
      </c>
      <c r="C845">
        <f t="shared" si="62"/>
        <v>1.8399235128400149</v>
      </c>
      <c r="D845">
        <f t="shared" si="63"/>
        <v>65399.426107418498</v>
      </c>
      <c r="E845">
        <f t="shared" si="64"/>
        <v>120329.94182128242</v>
      </c>
    </row>
    <row r="846" spans="1:5">
      <c r="A846">
        <f t="shared" si="60"/>
        <v>0.75816945657752122</v>
      </c>
      <c r="B846">
        <f t="shared" si="61"/>
        <v>0.32799499460433079</v>
      </c>
      <c r="C846">
        <f t="shared" si="62"/>
        <v>1.1547184948474085</v>
      </c>
      <c r="D846">
        <f t="shared" si="63"/>
        <v>64452.891870291547</v>
      </c>
      <c r="E846">
        <f t="shared" si="64"/>
        <v>74424.946289025829</v>
      </c>
    </row>
    <row r="847" spans="1:5">
      <c r="A847">
        <f t="shared" si="60"/>
        <v>2.3034411101666041E-2</v>
      </c>
      <c r="B847">
        <f t="shared" si="61"/>
        <v>0.97569948110928628</v>
      </c>
      <c r="C847">
        <f t="shared" si="62"/>
        <v>0.58863996373910865</v>
      </c>
      <c r="D847">
        <f t="shared" si="63"/>
        <v>70457.488576157426</v>
      </c>
      <c r="E847">
        <f t="shared" si="64"/>
        <v>41474.093520617971</v>
      </c>
    </row>
    <row r="848" spans="1:5">
      <c r="A848">
        <f t="shared" ref="A848:A911" si="65">IFERROR(MOD(MOD(($E$8+((ROW()-15)*(ROW()-14)/2)*13)*171,30269)/30269+MOD(($E$8+((ROW()-15)*(ROW()-14)/2)*29)*172,30307)/30307+MOD(($E$8+((ROW()-15)*(ROW()-14)/2)*47)*170,30323)/30323,1),0.5)</f>
        <v>0.78941963600384479</v>
      </c>
      <c r="B848">
        <f t="shared" ref="B848:B911" si="66">IFERROR(MOD(MOD(($E$8+((ROW()-15)*(ROW()-14)/2)*17)*171,30269)/30269+MOD(($E$8+((ROW()-15)*(ROW()-14)/2)*41)*172,30307)/30307+MOD(($E$8+((ROW()-15)*(ROW()-14)/2)*83)*170,30323)/30323,1),0.5)</f>
        <v>0.4174516893528295</v>
      </c>
      <c r="C848">
        <f t="shared" ref="C848:C911" si="67">IFERROR(EXP($E$4*NORMSINV(MIN(MAX(A848,0.000000001),0.999999999))-$E$4^2/2),1)</f>
        <v>1.1851297750533243</v>
      </c>
      <c r="D848">
        <f t="shared" ref="D848:D911" si="68">IFERROR($B$5+$E$5*NORMSINV(MIN(MAX(B848,0.000000001),0.999999999)),$B$5)</f>
        <v>65041.643567485182</v>
      </c>
      <c r="E848">
        <f t="shared" ref="E848:E911" si="69">IFERROR(C848*MAX(D848,0),0)</f>
        <v>77082.788410232213</v>
      </c>
    </row>
    <row r="849" spans="1:5">
      <c r="A849">
        <f t="shared" si="65"/>
        <v>5.7325131284057251E-2</v>
      </c>
      <c r="B849">
        <f t="shared" si="66"/>
        <v>0.65325161933496023</v>
      </c>
      <c r="C849">
        <f t="shared" si="67"/>
        <v>0.65333980730229491</v>
      </c>
      <c r="D849">
        <f t="shared" si="68"/>
        <v>66538.193552542289</v>
      </c>
      <c r="E849">
        <f t="shared" si="69"/>
        <v>43472.050553860783</v>
      </c>
    </row>
    <row r="850" spans="1:5">
      <c r="A850">
        <f t="shared" si="65"/>
        <v>0.82675089694230353</v>
      </c>
      <c r="B850">
        <f t="shared" si="66"/>
        <v>0.68309927105567869</v>
      </c>
      <c r="C850">
        <f t="shared" si="67"/>
        <v>1.2264218113801049</v>
      </c>
      <c r="D850">
        <f t="shared" si="68"/>
        <v>66742.530901268197</v>
      </c>
      <c r="E850">
        <f t="shared" si="69"/>
        <v>81854.49564402597</v>
      </c>
    </row>
    <row r="851" spans="1:5">
      <c r="A851">
        <f t="shared" si="65"/>
        <v>9.7696932978583728E-2</v>
      </c>
      <c r="B851">
        <f t="shared" si="66"/>
        <v>0.5069946445149851</v>
      </c>
      <c r="C851">
        <f t="shared" si="67"/>
        <v>0.7012108569652058</v>
      </c>
      <c r="D851">
        <f t="shared" si="68"/>
        <v>65602.854017399572</v>
      </c>
      <c r="E851">
        <f t="shared" si="69"/>
        <v>46001.433484904046</v>
      </c>
    </row>
    <row r="852" spans="1:5">
      <c r="A852">
        <f t="shared" si="65"/>
        <v>0.87016323939289753</v>
      </c>
      <c r="B852">
        <f t="shared" si="66"/>
        <v>0.12493773971287903</v>
      </c>
      <c r="C852">
        <f t="shared" si="67"/>
        <v>1.2847199789498533</v>
      </c>
      <c r="D852">
        <f t="shared" si="68"/>
        <v>62701.347029150231</v>
      </c>
      <c r="E852">
        <f t="shared" si="69"/>
        <v>80553.673235417329</v>
      </c>
    </row>
    <row r="853" spans="1:5">
      <c r="A853">
        <f t="shared" si="65"/>
        <v>0.14414981618524569</v>
      </c>
      <c r="B853">
        <f t="shared" si="66"/>
        <v>0.53692855664936046</v>
      </c>
      <c r="C853">
        <f t="shared" si="67"/>
        <v>0.74325596803885752</v>
      </c>
      <c r="D853">
        <f t="shared" si="68"/>
        <v>65789.546441991421</v>
      </c>
      <c r="E853">
        <f t="shared" si="69"/>
        <v>48898.473027579705</v>
      </c>
    </row>
    <row r="854" spans="1:5">
      <c r="A854">
        <f t="shared" si="65"/>
        <v>0.91965666335562712</v>
      </c>
      <c r="B854">
        <f t="shared" si="66"/>
        <v>0.74296709532442973</v>
      </c>
      <c r="C854">
        <f t="shared" si="67"/>
        <v>1.3763588019598241</v>
      </c>
      <c r="D854">
        <f t="shared" si="68"/>
        <v>67180.014606890501</v>
      </c>
      <c r="E854">
        <f t="shared" si="69"/>
        <v>92463.804419983295</v>
      </c>
    </row>
    <row r="855" spans="1:5">
      <c r="A855">
        <f t="shared" si="65"/>
        <v>0.1966837809040427</v>
      </c>
      <c r="B855">
        <f t="shared" si="66"/>
        <v>0.74305335573808673</v>
      </c>
      <c r="C855">
        <f t="shared" si="67"/>
        <v>0.78299297781778177</v>
      </c>
      <c r="D855">
        <f t="shared" si="68"/>
        <v>67180.679127641211</v>
      </c>
      <c r="E855">
        <f t="shared" si="69"/>
        <v>52602.000001972687</v>
      </c>
    </row>
    <row r="856" spans="1:5">
      <c r="A856">
        <f t="shared" si="65"/>
        <v>0.97523116883049199</v>
      </c>
      <c r="B856">
        <f t="shared" si="66"/>
        <v>0.53718733789033113</v>
      </c>
      <c r="C856">
        <f t="shared" si="67"/>
        <v>1.5836521721483425</v>
      </c>
      <c r="D856">
        <f t="shared" si="68"/>
        <v>65791.16457249118</v>
      </c>
      <c r="E856">
        <f t="shared" si="69"/>
        <v>104190.32068339473</v>
      </c>
    </row>
    <row r="857" spans="1:5">
      <c r="A857">
        <f t="shared" si="65"/>
        <v>0.25529882713497498</v>
      </c>
      <c r="B857">
        <f t="shared" si="66"/>
        <v>0.1253690417811637</v>
      </c>
      <c r="C857">
        <f t="shared" si="67"/>
        <v>0.82223680405136734</v>
      </c>
      <c r="D857">
        <f t="shared" si="68"/>
        <v>62706.54654897147</v>
      </c>
      <c r="E857">
        <f t="shared" si="69"/>
        <v>51559.6304275246</v>
      </c>
    </row>
    <row r="858" spans="1:5">
      <c r="A858">
        <f t="shared" si="65"/>
        <v>3.6886755817492123E-2</v>
      </c>
      <c r="B858">
        <f t="shared" si="66"/>
        <v>0.50759846741058379</v>
      </c>
      <c r="C858">
        <f t="shared" si="67"/>
        <v>0.61986481313651542</v>
      </c>
      <c r="D858">
        <f t="shared" si="68"/>
        <v>65606.613983368865</v>
      </c>
      <c r="E858">
        <f t="shared" si="69"/>
        <v>40667.231517320441</v>
      </c>
    </row>
    <row r="859" spans="1:5">
      <c r="A859">
        <f t="shared" si="65"/>
        <v>0.31999495487804275</v>
      </c>
      <c r="B859">
        <f t="shared" si="66"/>
        <v>0.68387561477859138</v>
      </c>
      <c r="C859">
        <f t="shared" si="67"/>
        <v>0.86227742034140475</v>
      </c>
      <c r="D859">
        <f t="shared" si="68"/>
        <v>66747.947930960014</v>
      </c>
      <c r="E859">
        <f t="shared" si="69"/>
        <v>57555.248354990603</v>
      </c>
    </row>
    <row r="860" spans="1:5">
      <c r="A860">
        <f t="shared" si="65"/>
        <v>0.1046234243166273</v>
      </c>
      <c r="B860">
        <f t="shared" si="66"/>
        <v>0.65420048388518692</v>
      </c>
      <c r="C860">
        <f t="shared" si="67"/>
        <v>0.70810720670149829</v>
      </c>
      <c r="D860">
        <f t="shared" si="68"/>
        <v>66544.581407341306</v>
      </c>
      <c r="E860">
        <f t="shared" si="69"/>
        <v>47120.697661472914</v>
      </c>
    </row>
    <row r="861" spans="1:5">
      <c r="A861">
        <f t="shared" si="65"/>
        <v>0.39077216413324578</v>
      </c>
      <c r="B861">
        <f t="shared" si="66"/>
        <v>0.41857307473036998</v>
      </c>
      <c r="C861">
        <f t="shared" si="67"/>
        <v>0.9043156868025386</v>
      </c>
      <c r="D861">
        <f t="shared" si="68"/>
        <v>65048.776358936986</v>
      </c>
      <c r="E861">
        <f t="shared" si="69"/>
        <v>58824.62886869684</v>
      </c>
    </row>
    <row r="862" spans="1:5">
      <c r="A862">
        <f t="shared" si="65"/>
        <v>0.17844117432789819</v>
      </c>
      <c r="B862">
        <f t="shared" si="66"/>
        <v>0.97699338731414054</v>
      </c>
      <c r="C862">
        <f t="shared" si="67"/>
        <v>0.76983390508506788</v>
      </c>
      <c r="D862">
        <f t="shared" si="68"/>
        <v>70515.104391332163</v>
      </c>
      <c r="E862">
        <f t="shared" si="69"/>
        <v>54284.918181060457</v>
      </c>
    </row>
    <row r="863" spans="1:5">
      <c r="A863">
        <f t="shared" si="65"/>
        <v>0.46763045490058419</v>
      </c>
      <c r="B863">
        <f t="shared" si="66"/>
        <v>0.32946142163649905</v>
      </c>
      <c r="C863">
        <f t="shared" si="67"/>
        <v>0.9497495955481845</v>
      </c>
      <c r="D863">
        <f t="shared" si="68"/>
        <v>64462.964892076649</v>
      </c>
      <c r="E863">
        <f t="shared" si="69"/>
        <v>61223.674834086611</v>
      </c>
    </row>
    <row r="864" spans="1:5">
      <c r="A864">
        <f t="shared" si="65"/>
        <v>0.25834000585130412</v>
      </c>
      <c r="B864">
        <f t="shared" si="66"/>
        <v>0.47597717769744519</v>
      </c>
      <c r="C864">
        <f t="shared" si="67"/>
        <v>0.82417871512072272</v>
      </c>
      <c r="D864">
        <f t="shared" si="68"/>
        <v>65409.649856836477</v>
      </c>
      <c r="E864">
        <f t="shared" si="69"/>
        <v>53909.241175503856</v>
      </c>
    </row>
    <row r="865" spans="1:5">
      <c r="A865">
        <f t="shared" si="65"/>
        <v>0.55056982718005787</v>
      </c>
      <c r="B865">
        <f t="shared" si="66"/>
        <v>0.41654065549697927</v>
      </c>
      <c r="C865">
        <f t="shared" si="67"/>
        <v>1.000525424108843</v>
      </c>
      <c r="D865">
        <f t="shared" si="68"/>
        <v>65035.845616138962</v>
      </c>
      <c r="E865">
        <f t="shared" si="69"/>
        <v>65070.017017364677</v>
      </c>
    </row>
    <row r="866" spans="1:5">
      <c r="A866">
        <f t="shared" si="65"/>
        <v>0.34431991888684554</v>
      </c>
      <c r="B866">
        <f t="shared" si="66"/>
        <v>0.15115185503510054</v>
      </c>
      <c r="C866">
        <f t="shared" si="67"/>
        <v>0.87684468683226924</v>
      </c>
      <c r="D866">
        <f t="shared" si="68"/>
        <v>62997.278832207317</v>
      </c>
      <c r="E866">
        <f t="shared" si="69"/>
        <v>55238.829228911971</v>
      </c>
    </row>
    <row r="867" spans="1:5">
      <c r="A867">
        <f t="shared" si="65"/>
        <v>0.63959028097166692</v>
      </c>
      <c r="B867">
        <f t="shared" si="66"/>
        <v>0.67981077631180975</v>
      </c>
      <c r="C867">
        <f t="shared" si="67"/>
        <v>1.0598113936522744</v>
      </c>
      <c r="D867">
        <f t="shared" si="68"/>
        <v>66719.646945091605</v>
      </c>
      <c r="E867">
        <f t="shared" si="69"/>
        <v>70710.242012865245</v>
      </c>
    </row>
    <row r="868" spans="1:5">
      <c r="A868">
        <f t="shared" si="65"/>
        <v>0.43638091343452201</v>
      </c>
      <c r="B868">
        <f t="shared" si="66"/>
        <v>2.5174193271066958E-3</v>
      </c>
      <c r="C868">
        <f t="shared" si="67"/>
        <v>0.9311938137067034</v>
      </c>
      <c r="D868">
        <f t="shared" si="68"/>
        <v>58592.829535660028</v>
      </c>
      <c r="E868">
        <f t="shared" si="69"/>
        <v>54561.280391178036</v>
      </c>
    </row>
    <row r="869" spans="1:5">
      <c r="A869">
        <f t="shared" si="65"/>
        <v>0.73469181627541102</v>
      </c>
      <c r="B869">
        <f t="shared" si="66"/>
        <v>0.11927178408099115</v>
      </c>
      <c r="C869">
        <f t="shared" si="67"/>
        <v>1.1337337048533982</v>
      </c>
      <c r="D869">
        <f t="shared" si="68"/>
        <v>62631.843469739528</v>
      </c>
      <c r="E869">
        <f t="shared" si="69"/>
        <v>71007.831938745905</v>
      </c>
    </row>
    <row r="870" spans="1:5">
      <c r="A870">
        <f t="shared" si="65"/>
        <v>0.53452298949433397</v>
      </c>
      <c r="B870">
        <f t="shared" si="66"/>
        <v>3.0073870573463557E-2</v>
      </c>
      <c r="C870">
        <f t="shared" si="67"/>
        <v>0.99045697409339994</v>
      </c>
      <c r="D870">
        <f t="shared" si="68"/>
        <v>60890.53529315078</v>
      </c>
      <c r="E870">
        <f t="shared" si="69"/>
        <v>60309.4553373815</v>
      </c>
    </row>
    <row r="871" spans="1:5">
      <c r="A871">
        <f t="shared" si="65"/>
        <v>0.83587443309129084</v>
      </c>
      <c r="B871">
        <f t="shared" si="66"/>
        <v>0.73492367880452347</v>
      </c>
      <c r="C871">
        <f t="shared" si="67"/>
        <v>1.2375834445208267</v>
      </c>
      <c r="D871">
        <f t="shared" si="68"/>
        <v>67118.548886206001</v>
      </c>
      <c r="E871">
        <f t="shared" si="69"/>
        <v>83064.80492183032</v>
      </c>
    </row>
    <row r="872" spans="1:5">
      <c r="A872">
        <f t="shared" si="65"/>
        <v>0.63874614706628141</v>
      </c>
      <c r="B872">
        <f t="shared" si="66"/>
        <v>0.23382120877417112</v>
      </c>
      <c r="C872">
        <f t="shared" si="67"/>
        <v>1.059214214652223</v>
      </c>
      <c r="D872">
        <f t="shared" si="68"/>
        <v>63755.289822528714</v>
      </c>
      <c r="E872">
        <f t="shared" si="69"/>
        <v>67530.50923929461</v>
      </c>
    </row>
    <row r="873" spans="1:5">
      <c r="A873">
        <f t="shared" si="65"/>
        <v>0.94313813141930547</v>
      </c>
      <c r="B873">
        <f t="shared" si="66"/>
        <v>0.52676646048240627</v>
      </c>
      <c r="C873">
        <f t="shared" si="67"/>
        <v>1.4393171501852318</v>
      </c>
      <c r="D873">
        <f t="shared" si="68"/>
        <v>65726.074219860195</v>
      </c>
      <c r="E873">
        <f t="shared" si="69"/>
        <v>94600.665838992209</v>
      </c>
    </row>
    <row r="874" spans="1:5">
      <c r="A874">
        <f t="shared" si="65"/>
        <v>0.7490503861503639</v>
      </c>
      <c r="B874">
        <f t="shared" si="66"/>
        <v>0.61375943392922938</v>
      </c>
      <c r="C874">
        <f t="shared" si="67"/>
        <v>1.1463994429992388</v>
      </c>
      <c r="D874">
        <f t="shared" si="68"/>
        <v>66277.439338736847</v>
      </c>
      <c r="E874">
        <f t="shared" si="69"/>
        <v>75980.419541343756</v>
      </c>
    </row>
    <row r="875" spans="1:5">
      <c r="A875">
        <f t="shared" si="65"/>
        <v>5.6482911259455815E-2</v>
      </c>
      <c r="B875">
        <f t="shared" si="66"/>
        <v>0.49480012911464</v>
      </c>
      <c r="C875">
        <f t="shared" si="67"/>
        <v>0.65213703478158325</v>
      </c>
      <c r="D875">
        <f t="shared" si="68"/>
        <v>65526.929121820926</v>
      </c>
      <c r="E875">
        <f t="shared" si="69"/>
        <v>42732.537255847274</v>
      </c>
    </row>
    <row r="876" spans="1:5">
      <c r="A876">
        <f t="shared" si="65"/>
        <v>0.86543570674658166</v>
      </c>
      <c r="B876">
        <f t="shared" si="66"/>
        <v>0.16988854603863857</v>
      </c>
      <c r="C876">
        <f t="shared" si="67"/>
        <v>1.2776441672869683</v>
      </c>
      <c r="D876">
        <f t="shared" si="68"/>
        <v>63188.280830745491</v>
      </c>
      <c r="E876">
        <f t="shared" si="69"/>
        <v>80732.138444292927</v>
      </c>
    </row>
    <row r="877" spans="1:5">
      <c r="A877">
        <f t="shared" si="65"/>
        <v>0.17590877261174143</v>
      </c>
      <c r="B877">
        <f t="shared" si="66"/>
        <v>0.63902468470122442</v>
      </c>
      <c r="C877">
        <f t="shared" si="67"/>
        <v>0.76796017055465549</v>
      </c>
      <c r="D877">
        <f t="shared" si="68"/>
        <v>66443.161653225368</v>
      </c>
      <c r="E877">
        <f t="shared" si="69"/>
        <v>51025.701755401496</v>
      </c>
    </row>
    <row r="878" spans="1:5">
      <c r="A878">
        <f t="shared" si="65"/>
        <v>0.9879021088549349</v>
      </c>
      <c r="B878">
        <f t="shared" si="66"/>
        <v>0.90220854510239823</v>
      </c>
      <c r="C878">
        <f t="shared" si="67"/>
        <v>1.7027618197757022</v>
      </c>
      <c r="D878">
        <f t="shared" si="68"/>
        <v>68773.898160903511</v>
      </c>
      <c r="E878">
        <f t="shared" si="69"/>
        <v>117105.56798552888</v>
      </c>
    </row>
    <row r="879" spans="1:5">
      <c r="A879">
        <f t="shared" si="65"/>
        <v>0.3014157154761623</v>
      </c>
      <c r="B879">
        <f t="shared" si="66"/>
        <v>0.95944012724215966</v>
      </c>
      <c r="C879">
        <f t="shared" si="67"/>
        <v>0.85100840446018722</v>
      </c>
      <c r="D879">
        <f t="shared" si="68"/>
        <v>69891.562658931405</v>
      </c>
      <c r="E879">
        <f t="shared" si="69"/>
        <v>59478.307223606418</v>
      </c>
    </row>
    <row r="880" spans="1:5">
      <c r="A880">
        <f t="shared" si="65"/>
        <v>0.11644959247542364</v>
      </c>
      <c r="B880">
        <f t="shared" si="66"/>
        <v>0.81071943112050882</v>
      </c>
      <c r="C880">
        <f t="shared" si="67"/>
        <v>0.71929697282000316</v>
      </c>
      <c r="D880">
        <f t="shared" si="68"/>
        <v>67746.390599017963</v>
      </c>
      <c r="E880">
        <f t="shared" si="69"/>
        <v>48729.773677355144</v>
      </c>
    </row>
    <row r="881" spans="1:5">
      <c r="A881">
        <f t="shared" si="65"/>
        <v>0.43300373985271845</v>
      </c>
      <c r="B881">
        <f t="shared" si="66"/>
        <v>0.45604645673744559</v>
      </c>
      <c r="C881">
        <f t="shared" si="67"/>
        <v>0.92919840957163846</v>
      </c>
      <c r="D881">
        <f t="shared" si="68"/>
        <v>65285.097838145193</v>
      </c>
      <c r="E881">
        <f t="shared" si="69"/>
        <v>60662.809079933329</v>
      </c>
    </row>
    <row r="882" spans="1:5">
      <c r="A882">
        <f t="shared" si="65"/>
        <v>0.25107815760804719</v>
      </c>
      <c r="B882">
        <f t="shared" si="66"/>
        <v>0.89542120409297032</v>
      </c>
      <c r="C882">
        <f t="shared" si="67"/>
        <v>0.81952924024603091</v>
      </c>
      <c r="D882">
        <f t="shared" si="68"/>
        <v>68678.636310648712</v>
      </c>
      <c r="E882">
        <f t="shared" si="69"/>
        <v>56284.150636799408</v>
      </c>
    </row>
    <row r="883" spans="1:5">
      <c r="A883">
        <f t="shared" si="65"/>
        <v>0.57067284574140986</v>
      </c>
      <c r="B883">
        <f t="shared" si="66"/>
        <v>0.12884367318708234</v>
      </c>
      <c r="C883">
        <f t="shared" si="67"/>
        <v>1.0133603211727298</v>
      </c>
      <c r="D883">
        <f t="shared" si="68"/>
        <v>62747.986624836696</v>
      </c>
      <c r="E883">
        <f t="shared" si="69"/>
        <v>63586.319879086666</v>
      </c>
    </row>
    <row r="884" spans="1:5">
      <c r="A884">
        <f t="shared" si="65"/>
        <v>0.39178780425280646</v>
      </c>
      <c r="B884">
        <f t="shared" si="66"/>
        <v>0.15631386401978187</v>
      </c>
      <c r="C884">
        <f t="shared" si="67"/>
        <v>0.90491378587627624</v>
      </c>
      <c r="D884">
        <f t="shared" si="68"/>
        <v>63051.380719050059</v>
      </c>
      <c r="E884">
        <f t="shared" si="69"/>
        <v>57056.063631202036</v>
      </c>
    </row>
    <row r="885" spans="1:5">
      <c r="A885">
        <f t="shared" si="65"/>
        <v>0.71442303314223676</v>
      </c>
      <c r="B885">
        <f t="shared" si="66"/>
        <v>0.97783177659106968</v>
      </c>
      <c r="C885">
        <f t="shared" si="67"/>
        <v>1.1166556761259809</v>
      </c>
      <c r="D885">
        <f t="shared" si="68"/>
        <v>70553.910829778935</v>
      </c>
      <c r="E885">
        <f t="shared" si="69"/>
        <v>78784.42500095896</v>
      </c>
    </row>
    <row r="886" spans="1:5">
      <c r="A886">
        <f t="shared" si="65"/>
        <v>0.53857853240970099</v>
      </c>
      <c r="B886">
        <f t="shared" si="66"/>
        <v>0.593397410900945</v>
      </c>
      <c r="C886">
        <f t="shared" si="67"/>
        <v>0.99298801204979981</v>
      </c>
      <c r="D886">
        <f t="shared" si="68"/>
        <v>66146.202247766822</v>
      </c>
      <c r="E886">
        <f t="shared" si="69"/>
        <v>65682.385874653977</v>
      </c>
    </row>
    <row r="887" spans="1:5">
      <c r="A887">
        <f t="shared" si="65"/>
        <v>0.86425430205519893</v>
      </c>
      <c r="B887">
        <f t="shared" si="66"/>
        <v>3.0107669494081613E-3</v>
      </c>
      <c r="C887">
        <f t="shared" si="67"/>
        <v>1.2759086986298389</v>
      </c>
      <c r="D887">
        <f t="shared" si="68"/>
        <v>58737.35983520357</v>
      </c>
      <c r="E887">
        <f t="shared" si="69"/>
        <v>74943.508348287156</v>
      </c>
    </row>
    <row r="888" spans="1:5">
      <c r="A888">
        <f t="shared" si="65"/>
        <v>0.69145034207873057</v>
      </c>
      <c r="B888">
        <f t="shared" si="66"/>
        <v>0.20667184473645861</v>
      </c>
      <c r="C888">
        <f t="shared" si="67"/>
        <v>1.0982756888230689</v>
      </c>
      <c r="D888">
        <f t="shared" si="68"/>
        <v>63527.519724432728</v>
      </c>
      <c r="E888">
        <f t="shared" si="69"/>
        <v>69770.730484572457</v>
      </c>
    </row>
    <row r="889" spans="1:5">
      <c r="A889">
        <f t="shared" si="65"/>
        <v>2.0166652480296143E-2</v>
      </c>
      <c r="B889">
        <f t="shared" si="66"/>
        <v>0.20438064426209679</v>
      </c>
      <c r="C889">
        <f t="shared" si="67"/>
        <v>0.58052073038364227</v>
      </c>
      <c r="D889">
        <f t="shared" si="68"/>
        <v>63507.52084209607</v>
      </c>
      <c r="E889">
        <f t="shared" si="69"/>
        <v>36867.432384107997</v>
      </c>
    </row>
    <row r="890" spans="1:5">
      <c r="A890">
        <f t="shared" si="65"/>
        <v>0.85040323325989575</v>
      </c>
      <c r="B890">
        <f t="shared" si="66"/>
        <v>0.99613716552632281</v>
      </c>
      <c r="C890">
        <f t="shared" si="67"/>
        <v>1.2564510183477247</v>
      </c>
      <c r="D890">
        <f t="shared" si="68"/>
        <v>72175.649033238064</v>
      </c>
      <c r="E890">
        <f t="shared" si="69"/>
        <v>90685.167727719934</v>
      </c>
    </row>
    <row r="891" spans="1:5">
      <c r="A891">
        <f t="shared" si="65"/>
        <v>0.18216008441752907</v>
      </c>
      <c r="B891">
        <f t="shared" si="66"/>
        <v>0.58194140852913678</v>
      </c>
      <c r="C891">
        <f t="shared" si="67"/>
        <v>0.77256358954979742</v>
      </c>
      <c r="D891">
        <f t="shared" si="68"/>
        <v>66073.103342462447</v>
      </c>
      <c r="E891">
        <f t="shared" si="69"/>
        <v>51045.67389094751</v>
      </c>
    </row>
    <row r="892" spans="1:5">
      <c r="A892">
        <f t="shared" si="65"/>
        <v>1.5437205953196198E-2</v>
      </c>
      <c r="B892">
        <f t="shared" si="66"/>
        <v>0.96179337327053793</v>
      </c>
      <c r="C892">
        <f t="shared" si="67"/>
        <v>0.56500432190199856</v>
      </c>
      <c r="D892">
        <f t="shared" si="68"/>
        <v>69960.268022514298</v>
      </c>
      <c r="E892">
        <f t="shared" si="69"/>
        <v>39527.853794142764</v>
      </c>
    </row>
    <row r="893" spans="1:5">
      <c r="A893">
        <f t="shared" si="65"/>
        <v>0.35023459786689703</v>
      </c>
      <c r="B893">
        <f t="shared" si="66"/>
        <v>0.13569305975052703</v>
      </c>
      <c r="C893">
        <f t="shared" si="67"/>
        <v>0.88036226223274661</v>
      </c>
      <c r="D893">
        <f t="shared" si="68"/>
        <v>62827.462550343247</v>
      </c>
      <c r="E893">
        <f t="shared" si="69"/>
        <v>55310.927061163347</v>
      </c>
    </row>
    <row r="894" spans="1:5">
      <c r="A894">
        <f t="shared" si="65"/>
        <v>0.1865522601586318</v>
      </c>
      <c r="B894">
        <f t="shared" si="66"/>
        <v>0.10364046796910387</v>
      </c>
      <c r="C894">
        <f t="shared" si="67"/>
        <v>0.77575518007287592</v>
      </c>
      <c r="D894">
        <f t="shared" si="68"/>
        <v>62427.075046886574</v>
      </c>
      <c r="E894">
        <f t="shared" si="69"/>
        <v>48428.126844420432</v>
      </c>
    </row>
    <row r="895" spans="1:5">
      <c r="A895">
        <f t="shared" si="65"/>
        <v>0.52439019282840027</v>
      </c>
      <c r="B895">
        <f t="shared" si="66"/>
        <v>0.86563559792626821</v>
      </c>
      <c r="C895">
        <f t="shared" si="67"/>
        <v>0.98417044614212279</v>
      </c>
      <c r="D895">
        <f t="shared" si="68"/>
        <v>68306.342523562736</v>
      </c>
      <c r="E895">
        <f t="shared" si="69"/>
        <v>67225.083595751392</v>
      </c>
    </row>
    <row r="896" spans="1:5">
      <c r="A896">
        <f t="shared" si="65"/>
        <v>0.36374839587620289</v>
      </c>
      <c r="B896">
        <f t="shared" si="66"/>
        <v>0.4216784496220205</v>
      </c>
      <c r="C896">
        <f t="shared" si="67"/>
        <v>0.88837234194522863</v>
      </c>
      <c r="D896">
        <f t="shared" si="68"/>
        <v>65068.506939687359</v>
      </c>
      <c r="E896">
        <f t="shared" si="69"/>
        <v>57805.06189688942</v>
      </c>
    </row>
    <row r="897" spans="1:5">
      <c r="A897">
        <f t="shared" si="65"/>
        <v>0.70462686930203899</v>
      </c>
      <c r="B897">
        <f t="shared" si="66"/>
        <v>0.77176902305636008</v>
      </c>
      <c r="C897">
        <f t="shared" si="67"/>
        <v>1.1087006330531946</v>
      </c>
      <c r="D897">
        <f t="shared" si="68"/>
        <v>67408.932463468707</v>
      </c>
      <c r="E897">
        <f t="shared" si="69"/>
        <v>74736.326095687793</v>
      </c>
    </row>
    <row r="898" spans="1:5">
      <c r="A898">
        <f t="shared" si="65"/>
        <v>0.54702561310590925</v>
      </c>
      <c r="B898">
        <f t="shared" si="66"/>
        <v>0.9159073182292875</v>
      </c>
      <c r="C898">
        <f t="shared" si="67"/>
        <v>0.99828897582302678</v>
      </c>
      <c r="D898">
        <f t="shared" si="68"/>
        <v>68982.085803550261</v>
      </c>
      <c r="E898">
        <f t="shared" si="69"/>
        <v>68864.055786962344</v>
      </c>
    </row>
    <row r="899" spans="1:5">
      <c r="A899">
        <f t="shared" si="65"/>
        <v>0.89094462728781298</v>
      </c>
      <c r="B899">
        <f t="shared" si="66"/>
        <v>0.85409333514080266</v>
      </c>
      <c r="C899">
        <f t="shared" si="67"/>
        <v>1.3186939781135836</v>
      </c>
      <c r="D899">
        <f t="shared" si="68"/>
        <v>68177.577039781259</v>
      </c>
      <c r="E899">
        <f t="shared" si="69"/>
        <v>89905.360284734459</v>
      </c>
    </row>
    <row r="900" spans="1:5">
      <c r="A900">
        <f t="shared" si="65"/>
        <v>0.73638391184775065</v>
      </c>
      <c r="B900">
        <f t="shared" si="66"/>
        <v>0.58632707379090565</v>
      </c>
      <c r="C900">
        <f t="shared" si="67"/>
        <v>1.1352003912021349</v>
      </c>
      <c r="D900">
        <f t="shared" si="68"/>
        <v>66101.03157549024</v>
      </c>
      <c r="E900">
        <f t="shared" si="69"/>
        <v>75037.916903361198</v>
      </c>
    </row>
    <row r="901" spans="1:5">
      <c r="A901">
        <f t="shared" si="65"/>
        <v>8.3343466785722242E-2</v>
      </c>
      <c r="B901">
        <f t="shared" si="66"/>
        <v>0.11260853417959615</v>
      </c>
      <c r="C901">
        <f t="shared" si="67"/>
        <v>0.68592841474442501</v>
      </c>
      <c r="D901">
        <f t="shared" si="68"/>
        <v>62547.055246693417</v>
      </c>
      <c r="E901">
        <f t="shared" si="69"/>
        <v>42902.80245229639</v>
      </c>
    </row>
    <row r="902" spans="1:5">
      <c r="A902">
        <f t="shared" si="65"/>
        <v>0.93182329210172776</v>
      </c>
      <c r="B902">
        <f t="shared" si="66"/>
        <v>0.43293771630687439</v>
      </c>
      <c r="C902">
        <f t="shared" si="67"/>
        <v>1.4065321697613242</v>
      </c>
      <c r="D902">
        <f t="shared" si="68"/>
        <v>65139.795220038737</v>
      </c>
      <c r="E902">
        <f t="shared" si="69"/>
        <v>91621.217508649424</v>
      </c>
    </row>
    <row r="903" spans="1:5">
      <c r="A903">
        <f t="shared" si="65"/>
        <v>0.28182338779576677</v>
      </c>
      <c r="B903">
        <f t="shared" si="66"/>
        <v>0.54731462017274035</v>
      </c>
      <c r="C903">
        <f t="shared" si="67"/>
        <v>0.83894651062649317</v>
      </c>
      <c r="D903">
        <f t="shared" si="68"/>
        <v>65854.573642624207</v>
      </c>
      <c r="E903">
        <f t="shared" si="69"/>
        <v>55248.464766275007</v>
      </c>
    </row>
    <row r="904" spans="1:5">
      <c r="A904">
        <f t="shared" si="65"/>
        <v>0.13334375386784014</v>
      </c>
      <c r="B904">
        <f t="shared" si="66"/>
        <v>0.45573924577719405</v>
      </c>
      <c r="C904">
        <f t="shared" si="67"/>
        <v>0.73423157490109303</v>
      </c>
      <c r="D904">
        <f t="shared" si="68"/>
        <v>65283.173401793763</v>
      </c>
      <c r="E904">
        <f t="shared" si="69"/>
        <v>47932.967221340179</v>
      </c>
    </row>
    <row r="905" spans="1:5">
      <c r="A905">
        <f t="shared" si="65"/>
        <v>0.48638439031794684</v>
      </c>
      <c r="B905">
        <f t="shared" si="66"/>
        <v>0.15821159312023525</v>
      </c>
      <c r="C905">
        <f t="shared" si="67"/>
        <v>0.96099701597206511</v>
      </c>
      <c r="D905">
        <f t="shared" si="68"/>
        <v>63070.973690882398</v>
      </c>
      <c r="E905">
        <f t="shared" si="69"/>
        <v>60611.017511390608</v>
      </c>
    </row>
    <row r="906" spans="1:5">
      <c r="A906">
        <f t="shared" si="65"/>
        <v>0.34094529714608734</v>
      </c>
      <c r="B906">
        <f t="shared" si="66"/>
        <v>0.65473166220186418</v>
      </c>
      <c r="C906">
        <f t="shared" si="67"/>
        <v>0.87483397552592124</v>
      </c>
      <c r="D906">
        <f t="shared" si="68"/>
        <v>66548.160199592137</v>
      </c>
      <c r="E906">
        <f t="shared" si="69"/>
        <v>58218.591551345075</v>
      </c>
    </row>
    <row r="907" spans="1:5">
      <c r="A907">
        <f t="shared" si="65"/>
        <v>0.69702647435226206</v>
      </c>
      <c r="B907">
        <f t="shared" si="66"/>
        <v>0.94529945302208107</v>
      </c>
      <c r="C907">
        <f t="shared" si="67"/>
        <v>1.1026505147499774</v>
      </c>
      <c r="D907">
        <f t="shared" si="68"/>
        <v>69535.551666191866</v>
      </c>
      <c r="E907">
        <f t="shared" si="69"/>
        <v>76673.411838150118</v>
      </c>
    </row>
    <row r="908" spans="1:5">
      <c r="A908">
        <f t="shared" si="65"/>
        <v>0.55462792193647026</v>
      </c>
      <c r="B908">
        <f t="shared" si="66"/>
        <v>2.9914965580885244E-2</v>
      </c>
      <c r="C908">
        <f t="shared" si="67"/>
        <v>1.0030954422541949</v>
      </c>
      <c r="D908">
        <f t="shared" si="68"/>
        <v>60884.733792976891</v>
      </c>
      <c r="E908">
        <f t="shared" si="69"/>
        <v>61073.198970595076</v>
      </c>
    </row>
    <row r="909" spans="1:5">
      <c r="A909">
        <f t="shared" si="65"/>
        <v>0.91374963989871261</v>
      </c>
      <c r="B909">
        <f t="shared" si="66"/>
        <v>0.90857819987827737</v>
      </c>
      <c r="C909">
        <f t="shared" si="67"/>
        <v>1.3631566891355573</v>
      </c>
      <c r="D909">
        <f t="shared" si="68"/>
        <v>68867.813478936412</v>
      </c>
      <c r="E909">
        <f t="shared" si="69"/>
        <v>93877.620609952064</v>
      </c>
    </row>
    <row r="910" spans="1:5">
      <c r="A910">
        <f t="shared" si="65"/>
        <v>0.77439162823898844</v>
      </c>
      <c r="B910">
        <f t="shared" si="66"/>
        <v>0.58128915591425701</v>
      </c>
      <c r="C910">
        <f t="shared" si="67"/>
        <v>1.1701091324299127</v>
      </c>
      <c r="D910">
        <f t="shared" si="68"/>
        <v>66068.955379662104</v>
      </c>
      <c r="E910">
        <f t="shared" si="69"/>
        <v>77307.888059847042</v>
      </c>
    </row>
    <row r="911" spans="1:5">
      <c r="A911">
        <f t="shared" si="65"/>
        <v>0.13655388695729842</v>
      </c>
      <c r="B911">
        <f t="shared" si="66"/>
        <v>4.8047833688824371E-2</v>
      </c>
      <c r="C911">
        <f t="shared" si="67"/>
        <v>0.73695132472798885</v>
      </c>
      <c r="D911">
        <f t="shared" si="68"/>
        <v>61426.09903703443</v>
      </c>
      <c r="E911">
        <f t="shared" si="69"/>
        <v>45268.045058215161</v>
      </c>
    </row>
    <row r="912" spans="1:5">
      <c r="A912">
        <f t="shared" ref="A912:A975" si="70">IFERROR(MOD(MOD(($E$8+((ROW()-15)*(ROW()-14)/2)*13)*171,30269)/30269+MOD(($E$8+((ROW()-15)*(ROW()-14)/2)*29)*172,30307)/30307+MOD(($E$8+((ROW()-15)*(ROW()-14)/2)*47)*170,30323)/30323,1),0.5)</f>
        <v>2.3641605364232987E-4</v>
      </c>
      <c r="B912">
        <f t="shared" ref="B912:B975" si="71">IFERROR(MOD(MOD(($E$8+((ROW()-15)*(ROW()-14)/2)*17)*171,30269)/30269+MOD(($E$8+((ROW()-15)*(ROW()-14)/2)*41)*172,30307)/30307+MOD(($E$8+((ROW()-15)*(ROW()-14)/2)*83)*170,30323)/30323,1),0.5)</f>
        <v>0.30885423320197969</v>
      </c>
      <c r="C912">
        <f t="shared" ref="C912:C975" si="72">IFERROR(EXP($E$4*NORMSINV(MIN(MAX(A912,0.000000001),0.999999999))-$E$4^2/2),1)</f>
        <v>0.40447178936986017</v>
      </c>
      <c r="D912">
        <f t="shared" ref="D912:D975" si="73">IFERROR($B$5+$E$5*NORMSINV(MIN(MAX(B912,0.000000001),0.999999999)),$B$5)</f>
        <v>64319.65164565538</v>
      </c>
      <c r="E912">
        <f t="shared" ref="E912:E975" si="74">IFERROR(C912*MAX(D912,0),0)</f>
        <v>26015.484592764304</v>
      </c>
    </row>
    <row r="913" spans="1:5">
      <c r="A913">
        <f t="shared" si="70"/>
        <v>0.36543921552801972</v>
      </c>
      <c r="B913">
        <f t="shared" si="71"/>
        <v>0.36370835445372229</v>
      </c>
      <c r="C913">
        <f t="shared" si="72"/>
        <v>0.88937232824443135</v>
      </c>
      <c r="D913">
        <f t="shared" si="73"/>
        <v>64693.550565403828</v>
      </c>
      <c r="E913">
        <f t="shared" si="74"/>
        <v>57536.653688752049</v>
      </c>
    </row>
    <row r="914" spans="1:5">
      <c r="A914">
        <f t="shared" si="70"/>
        <v>0.23216228538043104</v>
      </c>
      <c r="B914">
        <f t="shared" si="71"/>
        <v>0.21261019744405285</v>
      </c>
      <c r="C914">
        <f t="shared" si="72"/>
        <v>0.8071981448278025</v>
      </c>
      <c r="D914">
        <f t="shared" si="73"/>
        <v>63578.751136818049</v>
      </c>
      <c r="E914">
        <f t="shared" si="74"/>
        <v>51320.649968108068</v>
      </c>
    </row>
    <row r="915" spans="1:5">
      <c r="A915">
        <f t="shared" si="70"/>
        <v>0.60040562561087607</v>
      </c>
      <c r="B915">
        <f t="shared" si="71"/>
        <v>0.85555976217297092</v>
      </c>
      <c r="C915">
        <f t="shared" si="72"/>
        <v>1.0328782150087925</v>
      </c>
      <c r="D915">
        <f t="shared" si="73"/>
        <v>68193.54457087288</v>
      </c>
      <c r="E915">
        <f t="shared" si="74"/>
        <v>70435.626591485721</v>
      </c>
    </row>
    <row r="916" spans="1:5">
      <c r="A916">
        <f t="shared" si="70"/>
        <v>0.47016923621935502</v>
      </c>
      <c r="B916">
        <f t="shared" si="71"/>
        <v>0.29255704864047694</v>
      </c>
      <c r="C916">
        <f t="shared" si="72"/>
        <v>0.95126641539240608</v>
      </c>
      <c r="D916">
        <f t="shared" si="73"/>
        <v>64203.338417829254</v>
      </c>
      <c r="E916">
        <f t="shared" si="74"/>
        <v>61074.479592953991</v>
      </c>
    </row>
    <row r="917" spans="1:5">
      <c r="A917">
        <f t="shared" si="70"/>
        <v>0.8414531172058678</v>
      </c>
      <c r="B917">
        <f t="shared" si="71"/>
        <v>0.52360205684657024</v>
      </c>
      <c r="C917">
        <f t="shared" si="72"/>
        <v>1.2446594922200678</v>
      </c>
      <c r="D917">
        <f t="shared" si="73"/>
        <v>65706.333582108491</v>
      </c>
      <c r="E917">
        <f t="shared" si="74"/>
        <v>81782.011791949539</v>
      </c>
    </row>
    <row r="918" spans="1:5">
      <c r="A918">
        <f t="shared" si="70"/>
        <v>0.71425726857041449</v>
      </c>
      <c r="B918">
        <f t="shared" si="71"/>
        <v>0.54869478679125172</v>
      </c>
      <c r="C918">
        <f t="shared" si="72"/>
        <v>1.1165195298770845</v>
      </c>
      <c r="D918">
        <f t="shared" si="73"/>
        <v>65863.229155454304</v>
      </c>
      <c r="E918">
        <f t="shared" si="74"/>
        <v>73537.581652834517</v>
      </c>
    </row>
    <row r="919" spans="1:5">
      <c r="A919">
        <f t="shared" si="70"/>
        <v>8.8581690312994787E-2</v>
      </c>
      <c r="B919">
        <f t="shared" si="71"/>
        <v>0.36783523847452049</v>
      </c>
      <c r="C919">
        <f t="shared" si="72"/>
        <v>0.69167771864589755</v>
      </c>
      <c r="D919">
        <f t="shared" si="73"/>
        <v>64720.801702299301</v>
      </c>
      <c r="E919">
        <f t="shared" si="74"/>
        <v>44765.9364703799</v>
      </c>
    </row>
    <row r="920" spans="1:5">
      <c r="A920">
        <f t="shared" si="70"/>
        <v>0.96442638243360923</v>
      </c>
      <c r="B920">
        <f t="shared" si="71"/>
        <v>0.98102341189637698</v>
      </c>
      <c r="C920">
        <f t="shared" si="72"/>
        <v>1.5217852265417087</v>
      </c>
      <c r="D920">
        <f t="shared" si="73"/>
        <v>70714.024962388881</v>
      </c>
      <c r="E920">
        <f t="shared" si="74"/>
        <v>107611.55849706501</v>
      </c>
    </row>
    <row r="921" spans="1:5">
      <c r="A921">
        <f t="shared" si="70"/>
        <v>0.34179134493225738</v>
      </c>
      <c r="B921">
        <f t="shared" si="71"/>
        <v>0.38825930705682143</v>
      </c>
      <c r="C921">
        <f t="shared" si="72"/>
        <v>0.87533834955626566</v>
      </c>
      <c r="D921">
        <f t="shared" si="73"/>
        <v>64854.263432588523</v>
      </c>
      <c r="E921">
        <f t="shared" si="74"/>
        <v>56769.423914769308</v>
      </c>
    </row>
    <row r="922" spans="1:5">
      <c r="A922">
        <f t="shared" si="70"/>
        <v>0.22067657780893923</v>
      </c>
      <c r="B922">
        <f t="shared" si="71"/>
        <v>0.58954292395585339</v>
      </c>
      <c r="C922">
        <f t="shared" si="72"/>
        <v>0.79953293497782718</v>
      </c>
      <c r="D922">
        <f t="shared" si="73"/>
        <v>66121.553755056957</v>
      </c>
      <c r="E922">
        <f t="shared" si="74"/>
        <v>52866.359939074857</v>
      </c>
    </row>
    <row r="923" spans="1:5">
      <c r="A923">
        <f t="shared" si="70"/>
        <v>0.60108208106365502</v>
      </c>
      <c r="B923">
        <f t="shared" si="71"/>
        <v>0.58487426259347308</v>
      </c>
      <c r="C923">
        <f t="shared" si="72"/>
        <v>1.0333306577970265</v>
      </c>
      <c r="D923">
        <f t="shared" si="73"/>
        <v>66091.77255398019</v>
      </c>
      <c r="E923">
        <f t="shared" si="74"/>
        <v>68294.654808175808</v>
      </c>
    </row>
    <row r="924" spans="1:5">
      <c r="A924">
        <f t="shared" si="70"/>
        <v>0.4830078546964045</v>
      </c>
      <c r="B924">
        <f t="shared" si="71"/>
        <v>0.37425332296968028</v>
      </c>
      <c r="C924">
        <f t="shared" si="72"/>
        <v>0.95896426302944349</v>
      </c>
      <c r="D924">
        <f t="shared" si="73"/>
        <v>64762.98401191023</v>
      </c>
      <c r="E924">
        <f t="shared" si="74"/>
        <v>62105.387234569127</v>
      </c>
    </row>
    <row r="925" spans="1:5">
      <c r="A925">
        <f t="shared" si="70"/>
        <v>0.86645389870718814</v>
      </c>
      <c r="B925">
        <f t="shared" si="71"/>
        <v>0.95768010508447543</v>
      </c>
      <c r="C925">
        <f t="shared" si="72"/>
        <v>1.2791501978649318</v>
      </c>
      <c r="D925">
        <f t="shared" si="73"/>
        <v>69842.263305392684</v>
      </c>
      <c r="E925">
        <f t="shared" si="74"/>
        <v>89338.744926427709</v>
      </c>
    </row>
    <row r="926" spans="1:5">
      <c r="A926">
        <f t="shared" si="70"/>
        <v>0.75142021309600526</v>
      </c>
      <c r="B926">
        <f t="shared" si="71"/>
        <v>0.33515460893785809</v>
      </c>
      <c r="C926">
        <f t="shared" si="72"/>
        <v>1.148539842510107</v>
      </c>
      <c r="D926">
        <f t="shared" si="73"/>
        <v>64501.903395001493</v>
      </c>
      <c r="E926">
        <f t="shared" si="74"/>
        <v>74083.005966897152</v>
      </c>
    </row>
    <row r="927" spans="1:5">
      <c r="A927">
        <f t="shared" si="70"/>
        <v>0.13790679786285676</v>
      </c>
      <c r="B927">
        <f t="shared" si="71"/>
        <v>0.50667683452982848</v>
      </c>
      <c r="C927">
        <f t="shared" si="72"/>
        <v>0.7380874265350077</v>
      </c>
      <c r="D927">
        <f t="shared" si="73"/>
        <v>65600.875075888325</v>
      </c>
      <c r="E927">
        <f t="shared" si="74"/>
        <v>48419.181063206939</v>
      </c>
    </row>
    <row r="928" spans="1:5">
      <c r="A928">
        <f t="shared" si="70"/>
        <v>2.5913653007741289E-2</v>
      </c>
      <c r="B928">
        <f t="shared" si="71"/>
        <v>0.47224678186038666</v>
      </c>
      <c r="C928">
        <f t="shared" si="72"/>
        <v>0.59607346740785994</v>
      </c>
      <c r="D928">
        <f t="shared" si="73"/>
        <v>65386.375705930288</v>
      </c>
      <c r="E928">
        <f t="shared" si="74"/>
        <v>38975.083688266925</v>
      </c>
    </row>
    <row r="929" spans="1:5">
      <c r="A929">
        <f t="shared" si="70"/>
        <v>0.41544077853066019</v>
      </c>
      <c r="B929">
        <f t="shared" si="71"/>
        <v>0.23186445092953267</v>
      </c>
      <c r="C929">
        <f t="shared" si="72"/>
        <v>0.91884046410397235</v>
      </c>
      <c r="D929">
        <f t="shared" si="73"/>
        <v>63739.393200305494</v>
      </c>
      <c r="E929">
        <f t="shared" si="74"/>
        <v>58566.33362987428</v>
      </c>
    </row>
    <row r="930" spans="1:5">
      <c r="A930">
        <f t="shared" si="70"/>
        <v>0.30648817443161258</v>
      </c>
      <c r="B930">
        <f t="shared" si="71"/>
        <v>0.78552984173726581</v>
      </c>
      <c r="C930">
        <f t="shared" si="72"/>
        <v>0.85409967678892718</v>
      </c>
      <c r="D930">
        <f t="shared" si="73"/>
        <v>67523.983117992539</v>
      </c>
      <c r="E930">
        <f t="shared" si="74"/>
        <v>57672.212156578404</v>
      </c>
    </row>
    <row r="931" spans="1:5">
      <c r="A931">
        <f t="shared" si="70"/>
        <v>0.6990558407105989</v>
      </c>
      <c r="B931">
        <f t="shared" si="71"/>
        <v>0.1332429542835869</v>
      </c>
      <c r="C931">
        <f t="shared" si="72"/>
        <v>1.104255922944912</v>
      </c>
      <c r="D931">
        <f t="shared" si="73"/>
        <v>62799.357500521881</v>
      </c>
      <c r="E931">
        <f t="shared" si="74"/>
        <v>69346.562477086278</v>
      </c>
    </row>
    <row r="932" spans="1:5">
      <c r="A932">
        <f t="shared" si="70"/>
        <v>0.59314377736761914</v>
      </c>
      <c r="B932">
        <f t="shared" si="71"/>
        <v>0.27500378856849594</v>
      </c>
      <c r="C932">
        <f t="shared" si="72"/>
        <v>1.0280459523944756</v>
      </c>
      <c r="D932">
        <f t="shared" si="73"/>
        <v>64074.63225611973</v>
      </c>
      <c r="E932">
        <f t="shared" si="74"/>
        <v>65871.666342068391</v>
      </c>
    </row>
    <row r="933" spans="1:5">
      <c r="A933">
        <f t="shared" si="70"/>
        <v>0.98875198440267309</v>
      </c>
      <c r="B933">
        <f t="shared" si="71"/>
        <v>0.2108123445919925</v>
      </c>
      <c r="C933">
        <f t="shared" si="72"/>
        <v>1.7146717640223061</v>
      </c>
      <c r="D933">
        <f t="shared" si="73"/>
        <v>63563.330419970465</v>
      </c>
      <c r="E933">
        <f t="shared" si="74"/>
        <v>108990.24789834347</v>
      </c>
    </row>
    <row r="934" spans="1:5">
      <c r="A934">
        <f t="shared" si="70"/>
        <v>0.88588046181576119</v>
      </c>
      <c r="B934">
        <f t="shared" si="71"/>
        <v>0.94066862235407656</v>
      </c>
      <c r="C934">
        <f t="shared" si="72"/>
        <v>1.3099341043709547</v>
      </c>
      <c r="D934">
        <f t="shared" si="73"/>
        <v>69435.009255595651</v>
      </c>
      <c r="E934">
        <f t="shared" si="74"/>
        <v>90955.286661217644</v>
      </c>
    </row>
    <row r="935" spans="1:5">
      <c r="A935">
        <f t="shared" si="70"/>
        <v>0.28452920960688299</v>
      </c>
      <c r="B935">
        <f t="shared" si="71"/>
        <v>0.46457262185474857</v>
      </c>
      <c r="C935">
        <f t="shared" si="72"/>
        <v>0.84062493795126292</v>
      </c>
      <c r="D935">
        <f t="shared" si="73"/>
        <v>65338.446111849669</v>
      </c>
      <c r="E935">
        <f t="shared" si="74"/>
        <v>54925.127208605561</v>
      </c>
    </row>
    <row r="936" spans="1:5">
      <c r="A936">
        <f t="shared" si="70"/>
        <v>0.1846982277760385</v>
      </c>
      <c r="B936">
        <f t="shared" si="71"/>
        <v>0.78252434309400809</v>
      </c>
      <c r="C936">
        <f t="shared" si="72"/>
        <v>0.77441210065741872</v>
      </c>
      <c r="D936">
        <f t="shared" si="73"/>
        <v>67498.501352966443</v>
      </c>
      <c r="E936">
        <f t="shared" si="74"/>
        <v>52271.65622397836</v>
      </c>
    </row>
    <row r="937" spans="1:5">
      <c r="A937">
        <f t="shared" si="70"/>
        <v>0.58638751632322772</v>
      </c>
      <c r="B937">
        <f t="shared" si="71"/>
        <v>0.89452378607185512</v>
      </c>
      <c r="C937">
        <f t="shared" si="72"/>
        <v>1.0235894353247501</v>
      </c>
      <c r="D937">
        <f t="shared" si="73"/>
        <v>68666.380365439225</v>
      </c>
      <c r="E937">
        <f t="shared" si="74"/>
        <v>70286.181504054446</v>
      </c>
    </row>
    <row r="938" spans="1:5">
      <c r="A938">
        <f t="shared" si="70"/>
        <v>0.48959707524845086</v>
      </c>
      <c r="B938">
        <f t="shared" si="71"/>
        <v>0.80057095078829033</v>
      </c>
      <c r="C938">
        <f t="shared" si="72"/>
        <v>0.96293457781393732</v>
      </c>
      <c r="D938">
        <f t="shared" si="73"/>
        <v>67654.768803703162</v>
      </c>
      <c r="E938">
        <f t="shared" si="74"/>
        <v>65147.116235093439</v>
      </c>
    </row>
    <row r="939" spans="1:5">
      <c r="A939">
        <f t="shared" si="70"/>
        <v>0.89432690455170794</v>
      </c>
      <c r="B939">
        <f t="shared" si="71"/>
        <v>0.50066583724331304</v>
      </c>
      <c r="C939">
        <f t="shared" si="72"/>
        <v>1.3247424735701701</v>
      </c>
      <c r="D939">
        <f t="shared" si="73"/>
        <v>65563.449311355478</v>
      </c>
      <c r="E939">
        <f t="shared" si="74"/>
        <v>86854.686016517517</v>
      </c>
    </row>
    <row r="940" spans="1:5">
      <c r="A940">
        <f t="shared" si="70"/>
        <v>0.80057700423299849</v>
      </c>
      <c r="B940">
        <f t="shared" si="71"/>
        <v>0.99480844543692326</v>
      </c>
      <c r="C940">
        <f t="shared" si="72"/>
        <v>1.1968235536611014</v>
      </c>
      <c r="D940">
        <f t="shared" si="73"/>
        <v>71924.720813373264</v>
      </c>
      <c r="E940">
        <f t="shared" si="74"/>
        <v>86081.199959943973</v>
      </c>
    </row>
    <row r="941" spans="1:5">
      <c r="A941">
        <f t="shared" si="70"/>
        <v>0.20834737429232364</v>
      </c>
      <c r="B941">
        <f t="shared" si="71"/>
        <v>0.28299877536912144</v>
      </c>
      <c r="C941">
        <f t="shared" si="72"/>
        <v>0.79113060305306215</v>
      </c>
      <c r="D941">
        <f t="shared" si="73"/>
        <v>64133.727981024502</v>
      </c>
      <c r="E941">
        <f t="shared" si="74"/>
        <v>50738.154893668958</v>
      </c>
    </row>
    <row r="942" spans="1:5">
      <c r="A942">
        <f t="shared" si="70"/>
        <v>0.11763801472968183</v>
      </c>
      <c r="B942">
        <f t="shared" si="71"/>
        <v>0.36523682703990712</v>
      </c>
      <c r="C942">
        <f t="shared" si="72"/>
        <v>0.72038512039364577</v>
      </c>
      <c r="D942">
        <f t="shared" si="73"/>
        <v>64703.655540033025</v>
      </c>
      <c r="E942">
        <f t="shared" si="74"/>
        <v>46611.550686115675</v>
      </c>
    </row>
    <row r="943" spans="1:5">
      <c r="A943">
        <f t="shared" si="70"/>
        <v>0.52844892554507439</v>
      </c>
      <c r="B943">
        <f t="shared" si="71"/>
        <v>0.24152260044928076</v>
      </c>
      <c r="C943">
        <f t="shared" si="72"/>
        <v>0.98668233237791203</v>
      </c>
      <c r="D943">
        <f t="shared" si="73"/>
        <v>63817.153516195714</v>
      </c>
      <c r="E943">
        <f t="shared" si="74"/>
        <v>62967.257877079261</v>
      </c>
    </row>
    <row r="944" spans="1:5">
      <c r="A944">
        <f t="shared" si="70"/>
        <v>0.44078010673850043</v>
      </c>
      <c r="B944">
        <f t="shared" si="71"/>
        <v>0.91185609559724146</v>
      </c>
      <c r="C944">
        <f t="shared" si="72"/>
        <v>0.93379540694930452</v>
      </c>
      <c r="D944">
        <f t="shared" si="73"/>
        <v>68918.043072070053</v>
      </c>
      <c r="E944">
        <f t="shared" si="74"/>
        <v>64355.352076633353</v>
      </c>
    </row>
    <row r="945" spans="1:5">
      <c r="A945">
        <f t="shared" si="70"/>
        <v>0.8546315583099604</v>
      </c>
      <c r="B945">
        <f t="shared" si="71"/>
        <v>0.37623731248379033</v>
      </c>
      <c r="C945">
        <f t="shared" si="72"/>
        <v>1.2622257352915429</v>
      </c>
      <c r="D945">
        <f t="shared" si="73"/>
        <v>64775.976710900686</v>
      </c>
      <c r="E945">
        <f t="shared" si="74"/>
        <v>81761.904833144479</v>
      </c>
    </row>
    <row r="946" spans="1:5">
      <c r="A946">
        <f t="shared" si="70"/>
        <v>0.7700032802594543</v>
      </c>
      <c r="B946">
        <f t="shared" si="71"/>
        <v>0.63466625110892672</v>
      </c>
      <c r="C946">
        <f t="shared" si="72"/>
        <v>1.1658662967177462</v>
      </c>
      <c r="D946">
        <f t="shared" si="73"/>
        <v>66414.311929313641</v>
      </c>
      <c r="E946">
        <f t="shared" si="74"/>
        <v>77430.207898086126</v>
      </c>
    </row>
    <row r="947" spans="1:5">
      <c r="A947">
        <f t="shared" si="70"/>
        <v>0.18689527258698191</v>
      </c>
      <c r="B947">
        <f t="shared" si="71"/>
        <v>0.68714291147265105</v>
      </c>
      <c r="C947">
        <f t="shared" si="72"/>
        <v>0.77600300755409501</v>
      </c>
      <c r="D947">
        <f t="shared" si="73"/>
        <v>66770.80835578886</v>
      </c>
      <c r="E947">
        <f t="shared" si="74"/>
        <v>51814.348100910254</v>
      </c>
    </row>
    <row r="948" spans="1:5">
      <c r="A948">
        <f t="shared" si="70"/>
        <v>0.10530753529254344</v>
      </c>
      <c r="B948">
        <f t="shared" si="71"/>
        <v>0.5336672935749629</v>
      </c>
      <c r="C948">
        <f t="shared" si="72"/>
        <v>0.70877369901314635</v>
      </c>
      <c r="D948">
        <f t="shared" si="73"/>
        <v>65769.162268488129</v>
      </c>
      <c r="E948">
        <f t="shared" si="74"/>
        <v>46615.452422032184</v>
      </c>
    </row>
    <row r="949" spans="1:5">
      <c r="A949">
        <f t="shared" si="70"/>
        <v>0.52524006837613868</v>
      </c>
      <c r="B949">
        <f t="shared" si="71"/>
        <v>0.17423939741586225</v>
      </c>
      <c r="C949">
        <f t="shared" si="72"/>
        <v>0.98469575268831</v>
      </c>
      <c r="D949">
        <f t="shared" si="73"/>
        <v>63230.658372740938</v>
      </c>
      <c r="E949">
        <f t="shared" si="74"/>
        <v>62262.960739323527</v>
      </c>
    </row>
    <row r="950" spans="1:5">
      <c r="A950">
        <f t="shared" si="70"/>
        <v>0.44669287183776785</v>
      </c>
      <c r="B950">
        <f t="shared" si="71"/>
        <v>0.60885922299534934</v>
      </c>
      <c r="C950">
        <f t="shared" si="72"/>
        <v>0.93729677204344419</v>
      </c>
      <c r="D950">
        <f t="shared" si="73"/>
        <v>66245.686819527706</v>
      </c>
      <c r="E950">
        <f t="shared" si="74"/>
        <v>62091.868417744256</v>
      </c>
    </row>
    <row r="951" spans="1:5">
      <c r="A951">
        <f t="shared" si="70"/>
        <v>0.86966594567743072</v>
      </c>
      <c r="B951">
        <f t="shared" si="71"/>
        <v>0.83752677031342437</v>
      </c>
      <c r="C951">
        <f t="shared" si="72"/>
        <v>1.2839655230646891</v>
      </c>
      <c r="D951">
        <f t="shared" si="73"/>
        <v>68004.189587944857</v>
      </c>
      <c r="E951">
        <f t="shared" si="74"/>
        <v>87315.034854875907</v>
      </c>
    </row>
    <row r="952" spans="1:5">
      <c r="A952">
        <f t="shared" si="70"/>
        <v>0.79415928989512752</v>
      </c>
      <c r="B952">
        <f t="shared" si="71"/>
        <v>0.86024203937008714</v>
      </c>
      <c r="C952">
        <f t="shared" si="72"/>
        <v>1.1900372059780531</v>
      </c>
      <c r="D952">
        <f t="shared" si="73"/>
        <v>68245.273281503221</v>
      </c>
      <c r="E952">
        <f t="shared" si="74"/>
        <v>81214.414337128765</v>
      </c>
    </row>
    <row r="953" spans="1:5">
      <c r="A953">
        <f t="shared" si="70"/>
        <v>0.22017290449085802</v>
      </c>
      <c r="B953">
        <f t="shared" si="71"/>
        <v>0.6770050301653372</v>
      </c>
      <c r="C953">
        <f t="shared" si="72"/>
        <v>0.79919336926221385</v>
      </c>
      <c r="D953">
        <f t="shared" si="73"/>
        <v>66700.199981244441</v>
      </c>
      <c r="E953">
        <f t="shared" si="74"/>
        <v>53306.357553474198</v>
      </c>
    </row>
    <row r="954" spans="1:5">
      <c r="A954">
        <f t="shared" si="70"/>
        <v>0.1477067894646229</v>
      </c>
      <c r="B954">
        <f t="shared" si="71"/>
        <v>0.2878157426991752</v>
      </c>
      <c r="C954">
        <f t="shared" si="72"/>
        <v>0.7461490821117589</v>
      </c>
      <c r="D954">
        <f t="shared" si="73"/>
        <v>64168.945229004959</v>
      </c>
      <c r="E954">
        <f t="shared" si="74"/>
        <v>47879.599582701783</v>
      </c>
    </row>
    <row r="955" spans="1:5">
      <c r="A955">
        <f t="shared" si="70"/>
        <v>0.57676094481642082</v>
      </c>
      <c r="B955">
        <f t="shared" si="71"/>
        <v>0.69267417697160072</v>
      </c>
      <c r="C955">
        <f t="shared" si="72"/>
        <v>1.0173014741848105</v>
      </c>
      <c r="D955">
        <f t="shared" si="73"/>
        <v>66809.745710474876</v>
      </c>
      <c r="E955">
        <f t="shared" si="74"/>
        <v>67965.65280117841</v>
      </c>
    </row>
    <row r="956" spans="1:5">
      <c r="A956">
        <f t="shared" si="70"/>
        <v>0.50733537054625288</v>
      </c>
      <c r="B956">
        <f t="shared" si="71"/>
        <v>0.89158033298261419</v>
      </c>
      <c r="C956">
        <f t="shared" si="72"/>
        <v>0.97369907678386536</v>
      </c>
      <c r="D956">
        <f t="shared" si="73"/>
        <v>68626.703286093165</v>
      </c>
      <c r="E956">
        <f t="shared" si="74"/>
        <v>66821.75763238917</v>
      </c>
    </row>
    <row r="957" spans="1:5">
      <c r="A957">
        <f t="shared" si="70"/>
        <v>0.93943006665411888</v>
      </c>
      <c r="B957">
        <f t="shared" si="71"/>
        <v>0.88453421073221516</v>
      </c>
      <c r="C957">
        <f t="shared" si="72"/>
        <v>1.4279669478896686</v>
      </c>
      <c r="D957">
        <f t="shared" si="73"/>
        <v>68534.769751330226</v>
      </c>
      <c r="E957">
        <f t="shared" si="74"/>
        <v>97865.385986128211</v>
      </c>
    </row>
    <row r="958" spans="1:5">
      <c r="A958">
        <f t="shared" si="70"/>
        <v>0.87304503314001869</v>
      </c>
      <c r="B958">
        <f t="shared" si="71"/>
        <v>0.67153581022040387</v>
      </c>
      <c r="C958">
        <f t="shared" si="72"/>
        <v>1.2891408188049431</v>
      </c>
      <c r="D958">
        <f t="shared" si="73"/>
        <v>66662.490968826241</v>
      </c>
      <c r="E958">
        <f t="shared" si="74"/>
        <v>85937.338191129791</v>
      </c>
    </row>
    <row r="959" spans="1:5">
      <c r="A959">
        <f t="shared" si="70"/>
        <v>0.30818027000395221</v>
      </c>
      <c r="B959">
        <f t="shared" si="71"/>
        <v>0.25258513144718031</v>
      </c>
      <c r="C959">
        <f t="shared" si="72"/>
        <v>0.85512830298399001</v>
      </c>
      <c r="D959">
        <f t="shared" si="73"/>
        <v>63904.175790016292</v>
      </c>
      <c r="E959">
        <f t="shared" si="74"/>
        <v>54646.269396907213</v>
      </c>
    </row>
    <row r="960" spans="1:5">
      <c r="A960">
        <f t="shared" si="70"/>
        <v>0.24483577724591976</v>
      </c>
      <c r="B960">
        <f t="shared" si="71"/>
        <v>0.62768217441254448</v>
      </c>
      <c r="C960">
        <f t="shared" si="72"/>
        <v>0.81549676120096837</v>
      </c>
      <c r="D960">
        <f t="shared" si="73"/>
        <v>66368.319909073747</v>
      </c>
      <c r="E960">
        <f t="shared" si="74"/>
        <v>54123.149932199391</v>
      </c>
    </row>
    <row r="961" spans="1:5">
      <c r="A961">
        <f t="shared" si="70"/>
        <v>0.6830115548659208</v>
      </c>
      <c r="B961">
        <f t="shared" si="71"/>
        <v>0.79682693911649616</v>
      </c>
      <c r="C961">
        <f t="shared" si="72"/>
        <v>1.0917525082718469</v>
      </c>
      <c r="D961">
        <f t="shared" si="73"/>
        <v>67621.681071008323</v>
      </c>
      <c r="E961">
        <f t="shared" si="74"/>
        <v>73826.139922832212</v>
      </c>
    </row>
    <row r="962" spans="1:5">
      <c r="A962">
        <f t="shared" si="70"/>
        <v>0.62270760286395599</v>
      </c>
      <c r="B962">
        <f t="shared" si="71"/>
        <v>0.76001942555903579</v>
      </c>
      <c r="C962">
        <f t="shared" si="72"/>
        <v>1.0480171275884527</v>
      </c>
      <c r="D962">
        <f t="shared" si="73"/>
        <v>67313.753566033731</v>
      </c>
      <c r="E962">
        <f t="shared" si="74"/>
        <v>70545.96665947164</v>
      </c>
    </row>
    <row r="963" spans="1:5">
      <c r="A963">
        <f t="shared" si="70"/>
        <v>6.3923921240024661E-2</v>
      </c>
      <c r="B963">
        <f t="shared" si="71"/>
        <v>0.51725963374016271</v>
      </c>
      <c r="C963">
        <f t="shared" si="72"/>
        <v>0.66238325673021126</v>
      </c>
      <c r="D963">
        <f t="shared" si="73"/>
        <v>65666.794053683378</v>
      </c>
      <c r="E963">
        <f t="shared" si="74"/>
        <v>43496.584904310868</v>
      </c>
    </row>
    <row r="964" spans="1:5">
      <c r="A964">
        <f t="shared" si="70"/>
        <v>6.6605099941274837E-3</v>
      </c>
      <c r="B964">
        <f t="shared" si="71"/>
        <v>6.8547563659877575E-2</v>
      </c>
      <c r="C964">
        <f t="shared" si="72"/>
        <v>0.52203668859389341</v>
      </c>
      <c r="D964">
        <f t="shared" si="73"/>
        <v>61866.690154359159</v>
      </c>
      <c r="E964">
        <f t="shared" si="74"/>
        <v>32296.682062446085</v>
      </c>
    </row>
    <row r="965" spans="1:5">
      <c r="A965">
        <f t="shared" si="70"/>
        <v>0.45091736912626401</v>
      </c>
      <c r="B965">
        <f t="shared" si="71"/>
        <v>0.41388321531818018</v>
      </c>
      <c r="C965">
        <f t="shared" si="72"/>
        <v>0.93980207173036268</v>
      </c>
      <c r="D965">
        <f t="shared" si="73"/>
        <v>65018.916853103794</v>
      </c>
      <c r="E965">
        <f t="shared" si="74"/>
        <v>61104.91276021114</v>
      </c>
    </row>
    <row r="966" spans="1:5">
      <c r="A966">
        <f t="shared" si="70"/>
        <v>0.39669449863643447</v>
      </c>
      <c r="B966">
        <f t="shared" si="71"/>
        <v>0.55326658871507028</v>
      </c>
      <c r="C966">
        <f t="shared" si="72"/>
        <v>0.90780280941523328</v>
      </c>
      <c r="D966">
        <f t="shared" si="73"/>
        <v>65891.927513286952</v>
      </c>
      <c r="E966">
        <f t="shared" si="74"/>
        <v>59816.876914346802</v>
      </c>
    </row>
    <row r="967" spans="1:5">
      <c r="A967">
        <f t="shared" si="70"/>
        <v>0.84399189852463863</v>
      </c>
      <c r="B967">
        <f t="shared" si="71"/>
        <v>0.48669768385054812</v>
      </c>
      <c r="C967">
        <f t="shared" si="72"/>
        <v>1.2479473960870548</v>
      </c>
      <c r="D967">
        <f t="shared" si="73"/>
        <v>65476.469729101023</v>
      </c>
      <c r="E967">
        <f t="shared" si="74"/>
        <v>81711.189903404491</v>
      </c>
    </row>
    <row r="968" spans="1:5">
      <c r="A968">
        <f t="shared" si="70"/>
        <v>0.79280956879087672</v>
      </c>
      <c r="B968">
        <f t="shared" si="71"/>
        <v>0.21417650072461369</v>
      </c>
      <c r="C968">
        <f t="shared" si="72"/>
        <v>1.188630899004631</v>
      </c>
      <c r="D968">
        <f t="shared" si="73"/>
        <v>63592.123815529674</v>
      </c>
      <c r="E968">
        <f t="shared" si="74"/>
        <v>75587.563300466849</v>
      </c>
    </row>
    <row r="969" spans="1:5">
      <c r="A969">
        <f t="shared" si="70"/>
        <v>0.24314750943514873</v>
      </c>
      <c r="B969">
        <f t="shared" si="71"/>
        <v>0.735703039337267</v>
      </c>
      <c r="C969">
        <f t="shared" si="72"/>
        <v>0.81440017267903964</v>
      </c>
      <c r="D969">
        <f t="shared" si="73"/>
        <v>67124.462357399214</v>
      </c>
      <c r="E969">
        <f t="shared" si="74"/>
        <v>54666.173734853619</v>
      </c>
    </row>
    <row r="970" spans="1:5">
      <c r="A970">
        <f t="shared" si="70"/>
        <v>0.19500572045745423</v>
      </c>
      <c r="B970">
        <f t="shared" si="71"/>
        <v>5.1277299688508027E-2</v>
      </c>
      <c r="C970">
        <f t="shared" si="72"/>
        <v>0.78180560674604904</v>
      </c>
      <c r="D970">
        <f t="shared" si="73"/>
        <v>61504.314912872513</v>
      </c>
      <c r="E970">
        <f t="shared" si="74"/>
        <v>48084.418237958365</v>
      </c>
    </row>
    <row r="971" spans="1:5">
      <c r="A971">
        <f t="shared" si="70"/>
        <v>0.64838420185779388</v>
      </c>
      <c r="B971">
        <f t="shared" si="71"/>
        <v>0.16089928177833634</v>
      </c>
      <c r="C971">
        <f t="shared" si="72"/>
        <v>1.0660822168475923</v>
      </c>
      <c r="D971">
        <f t="shared" si="73"/>
        <v>63098.460528900847</v>
      </c>
      <c r="E971">
        <f t="shared" si="74"/>
        <v>67268.146680320919</v>
      </c>
    </row>
    <row r="972" spans="1:5">
      <c r="A972">
        <f t="shared" si="70"/>
        <v>0.60328295363616702</v>
      </c>
      <c r="B972">
        <f t="shared" si="71"/>
        <v>6.4568985606752838E-2</v>
      </c>
      <c r="C972">
        <f t="shared" si="72"/>
        <v>1.0348054847242749</v>
      </c>
      <c r="D972">
        <f t="shared" si="73"/>
        <v>61790.155139321818</v>
      </c>
      <c r="E972">
        <f t="shared" si="74"/>
        <v>63940.79144013406</v>
      </c>
    </row>
    <row r="973" spans="1:5">
      <c r="A973">
        <f t="shared" si="70"/>
        <v>5.9701975792574302E-2</v>
      </c>
      <c r="B973">
        <f t="shared" si="71"/>
        <v>0.76228641117375684</v>
      </c>
      <c r="C973">
        <f t="shared" si="72"/>
        <v>0.65667236132573203</v>
      </c>
      <c r="D973">
        <f t="shared" si="73"/>
        <v>67331.913791633298</v>
      </c>
      <c r="E973">
        <f t="shared" si="74"/>
        <v>44215.006822132462</v>
      </c>
    </row>
    <row r="974" spans="1:5">
      <c r="A974">
        <f t="shared" si="70"/>
        <v>1.7641268327015069E-2</v>
      </c>
      <c r="B974">
        <f t="shared" si="71"/>
        <v>0.25405155847934857</v>
      </c>
      <c r="C974">
        <f t="shared" si="72"/>
        <v>0.57262444604171048</v>
      </c>
      <c r="D974">
        <f t="shared" si="73"/>
        <v>63915.557993196751</v>
      </c>
      <c r="E974">
        <f t="shared" si="74"/>
        <v>36599.610989301109</v>
      </c>
    </row>
    <row r="975" spans="1:5">
      <c r="A975">
        <f t="shared" si="70"/>
        <v>0.47710083123949021</v>
      </c>
      <c r="B975">
        <f t="shared" si="71"/>
        <v>0.53986442752352781</v>
      </c>
      <c r="C975">
        <f t="shared" si="72"/>
        <v>0.95541658886005032</v>
      </c>
      <c r="D975">
        <f t="shared" si="73"/>
        <v>65807.910021107484</v>
      </c>
      <c r="E975">
        <f t="shared" si="74"/>
        <v>62873.968912375632</v>
      </c>
    </row>
    <row r="976" spans="1:5">
      <c r="A976">
        <f t="shared" ref="A976:A1039" si="75">IFERROR(MOD(MOD(($E$8+((ROW()-15)*(ROW()-14)/2)*13)*171,30269)/30269+MOD(($E$8+((ROW()-15)*(ROW()-14)/2)*29)*172,30307)/30307+MOD(($E$8+((ROW()-15)*(ROW()-14)/2)*47)*170,30323)/30323,1),0.5)</f>
        <v>0.43808066452999883</v>
      </c>
      <c r="B976">
        <f t="shared" ref="B976:B1039" si="76">IFERROR(MOD(MOD(($E$8+((ROW()-15)*(ROW()-14)/2)*17)*171,30269)/30269+MOD(($E$8+((ROW()-15)*(ROW()-14)/2)*41)*172,30307)/30307+MOD(($E$8+((ROW()-15)*(ROW()-14)/2)*83)*170,30323)/30323,1),0.5)</f>
        <v>0.61972501830629501</v>
      </c>
      <c r="C976">
        <f t="shared" ref="C976:C1039" si="77">IFERROR(EXP($E$4*NORMSINV(MIN(MAX(A976,0.000000001),0.999999999))-$E$4^2/2),1)</f>
        <v>0.93219868485918134</v>
      </c>
      <c r="D976">
        <f t="shared" ref="D976:D1039" si="78">IFERROR($B$5+$E$5*NORMSINV(MIN(MAX(B976,0.000000001),0.999999999)),$B$5)</f>
        <v>66316.254902429268</v>
      </c>
      <c r="E976">
        <f t="shared" ref="E976:E1039" si="79">IFERROR(C976*MAX(D976,0),0)</f>
        <v>61819.925604830802</v>
      </c>
    </row>
    <row r="977" spans="1:5">
      <c r="A977">
        <f t="shared" si="75"/>
        <v>0.90058076819854116</v>
      </c>
      <c r="B977">
        <f t="shared" si="76"/>
        <v>0.49363333082764971</v>
      </c>
      <c r="C977">
        <f t="shared" si="77"/>
        <v>1.3363833401136986</v>
      </c>
      <c r="D977">
        <f t="shared" si="78"/>
        <v>65519.663994606817</v>
      </c>
      <c r="E977">
        <f t="shared" si="79"/>
        <v>87559.387412239899</v>
      </c>
    </row>
    <row r="978" spans="1:5">
      <c r="A978">
        <f t="shared" si="75"/>
        <v>0.86460114224511742</v>
      </c>
      <c r="B978">
        <f t="shared" si="76"/>
        <v>0.16158936508759214</v>
      </c>
      <c r="C978">
        <f t="shared" si="77"/>
        <v>1.2764168808808591</v>
      </c>
      <c r="D978">
        <f t="shared" si="78"/>
        <v>63105.469481388311</v>
      </c>
      <c r="E978">
        <f t="shared" si="79"/>
        <v>80548.886521955908</v>
      </c>
    </row>
    <row r="979" spans="1:5">
      <c r="A979">
        <f t="shared" si="75"/>
        <v>0.3301417866697276</v>
      </c>
      <c r="B979">
        <f t="shared" si="76"/>
        <v>0.6235931210861223</v>
      </c>
      <c r="C979">
        <f t="shared" si="77"/>
        <v>0.86837604976648164</v>
      </c>
      <c r="D979">
        <f t="shared" si="78"/>
        <v>66341.521591582175</v>
      </c>
      <c r="E979">
        <f t="shared" si="79"/>
        <v>57609.388455195876</v>
      </c>
    </row>
    <row r="980" spans="1:5">
      <c r="A980">
        <f t="shared" si="75"/>
        <v>0.29720270147237149</v>
      </c>
      <c r="B980">
        <f t="shared" si="76"/>
        <v>0.8796445988232402</v>
      </c>
      <c r="C980">
        <f t="shared" si="77"/>
        <v>0.84843166396453573</v>
      </c>
      <c r="D980">
        <f t="shared" si="78"/>
        <v>68473.294905461589</v>
      </c>
      <c r="E980">
        <f t="shared" si="79"/>
        <v>58094.911533775143</v>
      </c>
    </row>
    <row r="981" spans="1:5">
      <c r="A981">
        <f t="shared" si="75"/>
        <v>0.76578388665304931</v>
      </c>
      <c r="B981">
        <f t="shared" si="76"/>
        <v>0.92974379829894582</v>
      </c>
      <c r="C981">
        <f t="shared" si="77"/>
        <v>1.1618436191255985</v>
      </c>
      <c r="D981">
        <f t="shared" si="78"/>
        <v>69220.099489243192</v>
      </c>
      <c r="E981">
        <f t="shared" si="79"/>
        <v>80422.930906816298</v>
      </c>
    </row>
    <row r="982" spans="1:5">
      <c r="A982">
        <f t="shared" si="75"/>
        <v>0.73588534221176083</v>
      </c>
      <c r="B982">
        <f t="shared" si="76"/>
        <v>0.77389071951323896</v>
      </c>
      <c r="C982">
        <f t="shared" si="77"/>
        <v>1.1347675435869014</v>
      </c>
      <c r="D982">
        <f t="shared" si="78"/>
        <v>67426.408628484496</v>
      </c>
      <c r="E982">
        <f t="shared" si="79"/>
        <v>76513.300092232006</v>
      </c>
    </row>
    <row r="983" spans="1:5">
      <c r="A983">
        <f t="shared" si="75"/>
        <v>0.2075070681485065</v>
      </c>
      <c r="B983">
        <f t="shared" si="76"/>
        <v>0.4120853624661196</v>
      </c>
      <c r="C983">
        <f t="shared" si="77"/>
        <v>0.7905507626246816</v>
      </c>
      <c r="D983">
        <f t="shared" si="78"/>
        <v>65007.449737426097</v>
      </c>
      <c r="E983">
        <f t="shared" si="79"/>
        <v>51391.688966207861</v>
      </c>
    </row>
    <row r="984" spans="1:5">
      <c r="A984">
        <f t="shared" si="75"/>
        <v>0.18064906446328566</v>
      </c>
      <c r="B984">
        <f t="shared" si="76"/>
        <v>0.84432772715758819</v>
      </c>
      <c r="C984">
        <f t="shared" si="77"/>
        <v>0.77145759102548372</v>
      </c>
      <c r="D984">
        <f t="shared" si="78"/>
        <v>68073.88649640599</v>
      </c>
      <c r="E984">
        <f t="shared" si="79"/>
        <v>52516.116488259569</v>
      </c>
    </row>
    <row r="985" spans="1:5">
      <c r="A985">
        <f t="shared" si="75"/>
        <v>0.65531133115609874</v>
      </c>
      <c r="B985">
        <f t="shared" si="76"/>
        <v>7.0617813587644518E-2</v>
      </c>
      <c r="C985">
        <f t="shared" si="77"/>
        <v>1.0710881050965941</v>
      </c>
      <c r="D985">
        <f t="shared" si="78"/>
        <v>61905.165658156715</v>
      </c>
      <c r="E985">
        <f t="shared" si="79"/>
        <v>66305.886580485836</v>
      </c>
    </row>
    <row r="986" spans="1:5">
      <c r="A986">
        <f t="shared" si="75"/>
        <v>0.63149386822694575</v>
      </c>
      <c r="B986">
        <f t="shared" si="76"/>
        <v>9.0955621756288352E-2</v>
      </c>
      <c r="C986">
        <f t="shared" si="77"/>
        <v>1.0541166577270042</v>
      </c>
      <c r="D986">
        <f t="shared" si="78"/>
        <v>62243.73315941426</v>
      </c>
      <c r="E986">
        <f t="shared" si="79"/>
        <v>65612.155962453267</v>
      </c>
    </row>
    <row r="987" spans="1:5">
      <c r="A987">
        <f t="shared" si="75"/>
        <v>0.10919667567582669</v>
      </c>
      <c r="B987">
        <f t="shared" si="76"/>
        <v>0.90534115166352003</v>
      </c>
      <c r="C987">
        <f t="shared" si="77"/>
        <v>0.71251601511238094</v>
      </c>
      <c r="D987">
        <f t="shared" si="78"/>
        <v>68819.503453068319</v>
      </c>
      <c r="E987">
        <f t="shared" si="79"/>
        <v>49034.99836239298</v>
      </c>
    </row>
    <row r="988" spans="1:5">
      <c r="A988">
        <f t="shared" si="75"/>
        <v>8.8419753502741116E-2</v>
      </c>
      <c r="B988">
        <f t="shared" si="76"/>
        <v>0.51377440330933943</v>
      </c>
      <c r="C988">
        <f t="shared" si="77"/>
        <v>0.69150313562566246</v>
      </c>
      <c r="D988">
        <f t="shared" si="78"/>
        <v>65645.078884802497</v>
      </c>
      <c r="E988">
        <f t="shared" si="79"/>
        <v>45393.777887234894</v>
      </c>
    </row>
    <row r="989" spans="1:5">
      <c r="A989">
        <f t="shared" si="75"/>
        <v>0.56916310170768947</v>
      </c>
      <c r="B989">
        <f t="shared" si="76"/>
        <v>0.91625537669374635</v>
      </c>
      <c r="C989">
        <f t="shared" si="77"/>
        <v>1.0123870635741719</v>
      </c>
      <c r="D989">
        <f t="shared" si="78"/>
        <v>68987.695017440579</v>
      </c>
      <c r="E989">
        <f t="shared" si="79"/>
        <v>69842.249981457193</v>
      </c>
    </row>
    <row r="990" spans="1:5">
      <c r="A990">
        <f t="shared" si="75"/>
        <v>0.55142672029067175</v>
      </c>
      <c r="B990">
        <f t="shared" si="76"/>
        <v>0.11278407181674099</v>
      </c>
      <c r="C990">
        <f t="shared" si="77"/>
        <v>1.0010672632209372</v>
      </c>
      <c r="D990">
        <f t="shared" si="78"/>
        <v>62549.334086750154</v>
      </c>
      <c r="E990">
        <f t="shared" si="79"/>
        <v>62616.090690515055</v>
      </c>
    </row>
    <row r="991" spans="1:5">
      <c r="A991">
        <f t="shared" si="75"/>
        <v>3.5210609251687508E-2</v>
      </c>
      <c r="B991">
        <f t="shared" si="76"/>
        <v>0.10336048867832348</v>
      </c>
      <c r="C991">
        <f t="shared" si="77"/>
        <v>0.61659187660633563</v>
      </c>
      <c r="D991">
        <f t="shared" si="78"/>
        <v>62423.210607135421</v>
      </c>
      <c r="E991">
        <f t="shared" si="79"/>
        <v>38489.644572046142</v>
      </c>
    </row>
    <row r="992" spans="1:5">
      <c r="A992">
        <f t="shared" si="75"/>
        <v>2.0514768590737642E-2</v>
      </c>
      <c r="B992">
        <f t="shared" si="76"/>
        <v>0.88798462727849348</v>
      </c>
      <c r="C992">
        <f t="shared" si="77"/>
        <v>0.58155027752920774</v>
      </c>
      <c r="D992">
        <f t="shared" si="78"/>
        <v>68579.271793154854</v>
      </c>
      <c r="E992">
        <f t="shared" si="79"/>
        <v>39882.294544060176</v>
      </c>
    </row>
    <row r="993" spans="1:5">
      <c r="A993">
        <f t="shared" si="75"/>
        <v>0.50733919830782126</v>
      </c>
      <c r="B993">
        <f t="shared" si="76"/>
        <v>0.4666564876172512</v>
      </c>
      <c r="C993">
        <f t="shared" si="77"/>
        <v>0.9737014127877478</v>
      </c>
      <c r="D993">
        <f t="shared" si="78"/>
        <v>65351.468453448069</v>
      </c>
      <c r="E993">
        <f t="shared" si="79"/>
        <v>63632.817160876315</v>
      </c>
    </row>
    <row r="994" spans="1:5">
      <c r="A994">
        <f t="shared" si="75"/>
        <v>0.49568389840293903</v>
      </c>
      <c r="B994">
        <f t="shared" si="76"/>
        <v>0.83937606969459644</v>
      </c>
      <c r="C994">
        <f t="shared" si="77"/>
        <v>0.96661522525945964</v>
      </c>
      <c r="D994">
        <f t="shared" si="78"/>
        <v>68022.949358324913</v>
      </c>
      <c r="E994">
        <f t="shared" si="79"/>
        <v>65752.018516810058</v>
      </c>
    </row>
    <row r="995" spans="1:5">
      <c r="A995">
        <f t="shared" si="75"/>
        <v>0.9855488688760905</v>
      </c>
      <c r="B995">
        <f t="shared" si="76"/>
        <v>6.1433735105298481E-3</v>
      </c>
      <c r="C995">
        <f t="shared" si="77"/>
        <v>1.6735619621224782</v>
      </c>
      <c r="D995">
        <f t="shared" si="78"/>
        <v>59340.435741195295</v>
      </c>
      <c r="E995">
        <f t="shared" si="79"/>
        <v>99309.896072237636</v>
      </c>
    </row>
    <row r="996" spans="1:5">
      <c r="A996">
        <f t="shared" si="75"/>
        <v>0.97693410972727568</v>
      </c>
      <c r="B996">
        <f t="shared" si="76"/>
        <v>0.96695839906505077</v>
      </c>
      <c r="C996">
        <f t="shared" si="77"/>
        <v>1.5956742718282533</v>
      </c>
      <c r="D996">
        <f t="shared" si="78"/>
        <v>70124.126192503754</v>
      </c>
      <c r="E996">
        <f t="shared" si="79"/>
        <v>111895.26399981597</v>
      </c>
    </row>
    <row r="997" spans="1:5">
      <c r="A997">
        <f t="shared" si="75"/>
        <v>0.46983962095649456</v>
      </c>
      <c r="B997">
        <f t="shared" si="76"/>
        <v>0.72182114635815897</v>
      </c>
      <c r="C997">
        <f t="shared" si="77"/>
        <v>0.95106938902566063</v>
      </c>
      <c r="D997">
        <f t="shared" si="78"/>
        <v>67020.407860159481</v>
      </c>
      <c r="E997">
        <f t="shared" si="79"/>
        <v>63741.058355812464</v>
      </c>
    </row>
    <row r="998" spans="1:5">
      <c r="A998">
        <f t="shared" si="75"/>
        <v>0.4642654025637476</v>
      </c>
      <c r="B998">
        <f t="shared" si="76"/>
        <v>0.27073161538985513</v>
      </c>
      <c r="C998">
        <f t="shared" si="77"/>
        <v>0.94774161913969968</v>
      </c>
      <c r="D998">
        <f t="shared" si="78"/>
        <v>64042.708265765679</v>
      </c>
      <c r="E998">
        <f t="shared" si="79"/>
        <v>60695.940025888194</v>
      </c>
    </row>
    <row r="999" spans="1:5">
      <c r="A999">
        <f t="shared" si="75"/>
        <v>0.96021145454903434</v>
      </c>
      <c r="B999">
        <f t="shared" si="76"/>
        <v>0.61368980616013902</v>
      </c>
      <c r="C999">
        <f t="shared" si="77"/>
        <v>1.5023586309305954</v>
      </c>
      <c r="D999">
        <f t="shared" si="78"/>
        <v>66276.9873521915</v>
      </c>
      <c r="E999">
        <f t="shared" si="79"/>
        <v>99571.803980642813</v>
      </c>
    </row>
    <row r="1000" spans="1:5">
      <c r="A1000">
        <f t="shared" si="75"/>
        <v>0.95767777691235478</v>
      </c>
      <c r="B1000">
        <f t="shared" si="76"/>
        <v>0.75069571866901064</v>
      </c>
      <c r="C1000">
        <f t="shared" si="77"/>
        <v>1.4915827750798636</v>
      </c>
      <c r="D1000">
        <f t="shared" si="78"/>
        <v>67240.024414418571</v>
      </c>
      <c r="E1000">
        <f t="shared" si="79"/>
        <v>100294.06221249622</v>
      </c>
    </row>
    <row r="1001" spans="1:5">
      <c r="A1001">
        <f t="shared" si="75"/>
        <v>0.45666436965370893</v>
      </c>
      <c r="B1001">
        <f t="shared" si="76"/>
        <v>0.68174935291646976</v>
      </c>
      <c r="C1001">
        <f t="shared" si="77"/>
        <v>0.94321577280265967</v>
      </c>
      <c r="D1001">
        <f t="shared" si="78"/>
        <v>66733.125054308141</v>
      </c>
      <c r="E1001">
        <f t="shared" si="79"/>
        <v>62943.736119635782</v>
      </c>
    </row>
    <row r="1002" spans="1:5">
      <c r="A1002">
        <f t="shared" si="75"/>
        <v>0.45717123277309724</v>
      </c>
      <c r="B1002">
        <f t="shared" si="76"/>
        <v>0.40685070890251662</v>
      </c>
      <c r="C1002">
        <f t="shared" si="77"/>
        <v>0.94351717289369896</v>
      </c>
      <c r="D1002">
        <f t="shared" si="78"/>
        <v>64973.993888967838</v>
      </c>
      <c r="E1002">
        <f t="shared" si="79"/>
        <v>61304.079025731407</v>
      </c>
    </row>
    <row r="1003" spans="1:5">
      <c r="A1003">
        <f t="shared" si="75"/>
        <v>0.95919836627051924</v>
      </c>
      <c r="B1003">
        <f t="shared" si="76"/>
        <v>0.92599978662715132</v>
      </c>
      <c r="C1003">
        <f t="shared" si="77"/>
        <v>1.4979755872869522</v>
      </c>
      <c r="D1003">
        <f t="shared" si="78"/>
        <v>69152.404219572767</v>
      </c>
      <c r="E1003">
        <f t="shared" si="79"/>
        <v>103588.61332311924</v>
      </c>
    </row>
    <row r="1004" spans="1:5">
      <c r="A1004">
        <f t="shared" si="75"/>
        <v>0.96274577014597507</v>
      </c>
      <c r="B1004">
        <f t="shared" si="76"/>
        <v>0.23919658609037375</v>
      </c>
      <c r="C1004">
        <f t="shared" si="77"/>
        <v>1.5137947867060662</v>
      </c>
      <c r="D1004">
        <f t="shared" si="78"/>
        <v>63798.584518252304</v>
      </c>
      <c r="E1004">
        <f t="shared" si="79"/>
        <v>96577.964642956678</v>
      </c>
    </row>
    <row r="1005" spans="1:5">
      <c r="A1005">
        <f t="shared" si="75"/>
        <v>0.46781344439946482</v>
      </c>
      <c r="B1005">
        <f t="shared" si="76"/>
        <v>0.34644110729218364</v>
      </c>
      <c r="C1005">
        <f t="shared" si="77"/>
        <v>0.94985886904260697</v>
      </c>
      <c r="D1005">
        <f t="shared" si="78"/>
        <v>64578.346318051772</v>
      </c>
      <c r="E1005">
        <f t="shared" si="79"/>
        <v>61340.314998306458</v>
      </c>
    </row>
    <row r="1006" spans="1:5">
      <c r="A1006">
        <f t="shared" si="75"/>
        <v>0.47440138903098816</v>
      </c>
      <c r="B1006">
        <f t="shared" si="76"/>
        <v>0.24773335023258114</v>
      </c>
      <c r="C1006">
        <f t="shared" si="77"/>
        <v>0.95379875885118615</v>
      </c>
      <c r="D1006">
        <f t="shared" si="78"/>
        <v>63866.265912339222</v>
      </c>
      <c r="E1006">
        <f t="shared" si="79"/>
        <v>60915.56515964897</v>
      </c>
    </row>
    <row r="1007" spans="1:5">
      <c r="A1007">
        <f t="shared" si="75"/>
        <v>0.98250960404054544</v>
      </c>
      <c r="B1007">
        <f t="shared" si="76"/>
        <v>0.94307331491156665</v>
      </c>
      <c r="C1007">
        <f t="shared" si="77"/>
        <v>1.6419674216015654</v>
      </c>
      <c r="D1007">
        <f t="shared" si="78"/>
        <v>69486.415285391922</v>
      </c>
      <c r="E1007">
        <f t="shared" si="79"/>
        <v>114094.43014249057</v>
      </c>
    </row>
    <row r="1008" spans="1:5">
      <c r="A1008">
        <f t="shared" si="75"/>
        <v>0.99213808942813675</v>
      </c>
      <c r="B1008">
        <f t="shared" si="76"/>
        <v>0.43246100132913967</v>
      </c>
      <c r="C1008">
        <f t="shared" si="77"/>
        <v>1.7728101202930517</v>
      </c>
      <c r="D1008">
        <f t="shared" si="78"/>
        <v>65136.784297348422</v>
      </c>
      <c r="E1008">
        <f t="shared" si="79"/>
        <v>115475.15040568482</v>
      </c>
    </row>
    <row r="1009" spans="1:5">
      <c r="A1009">
        <f t="shared" si="75"/>
        <v>0.50328684519376177</v>
      </c>
      <c r="B1009">
        <f t="shared" si="76"/>
        <v>0.7158964094853002</v>
      </c>
      <c r="C1009">
        <f t="shared" si="77"/>
        <v>0.97123166819566242</v>
      </c>
      <c r="D1009">
        <f t="shared" si="78"/>
        <v>66976.777271179832</v>
      </c>
      <c r="E1009">
        <f t="shared" si="79"/>
        <v>65049.967119457317</v>
      </c>
    </row>
    <row r="1010" spans="1:5">
      <c r="A1010">
        <f t="shared" si="75"/>
        <v>0.51595587133742038</v>
      </c>
      <c r="B1010">
        <f t="shared" si="76"/>
        <v>0.7933795393800489</v>
      </c>
      <c r="C1010">
        <f t="shared" si="77"/>
        <v>0.97897568513324529</v>
      </c>
      <c r="D1010">
        <f t="shared" si="78"/>
        <v>67591.535095264364</v>
      </c>
      <c r="E1010">
        <f t="shared" si="79"/>
        <v>66170.469379094226</v>
      </c>
    </row>
    <row r="1011" spans="1:5">
      <c r="A1011">
        <f t="shared" si="75"/>
        <v>3.0145167859113364E-2</v>
      </c>
      <c r="B1011">
        <f t="shared" si="76"/>
        <v>0.66491039101338512</v>
      </c>
      <c r="C1011">
        <f t="shared" si="77"/>
        <v>0.60597527588806088</v>
      </c>
      <c r="D1011">
        <f t="shared" si="78"/>
        <v>66617.147446090356</v>
      </c>
      <c r="E1011">
        <f t="shared" si="79"/>
        <v>40368.344302520236</v>
      </c>
    </row>
    <row r="1012" spans="1:5">
      <c r="A1012">
        <f t="shared" si="75"/>
        <v>4.585473475883961E-2</v>
      </c>
      <c r="B1012">
        <f t="shared" si="76"/>
        <v>0.33048896438530884</v>
      </c>
      <c r="C1012">
        <f t="shared" si="77"/>
        <v>0.63580580826766475</v>
      </c>
      <c r="D1012">
        <f t="shared" si="78"/>
        <v>64470.012438618258</v>
      </c>
      <c r="E1012">
        <f t="shared" si="79"/>
        <v>40990.408367562079</v>
      </c>
    </row>
    <row r="1013" spans="1:5">
      <c r="A1013">
        <f t="shared" si="75"/>
        <v>0.56308457203659978</v>
      </c>
      <c r="B1013">
        <f t="shared" si="76"/>
        <v>0.79011525949582029</v>
      </c>
      <c r="C1013">
        <f t="shared" si="77"/>
        <v>1.0084843917600013</v>
      </c>
      <c r="D1013">
        <f t="shared" si="78"/>
        <v>67563.263824436784</v>
      </c>
      <c r="E1013">
        <f t="shared" si="79"/>
        <v>68136.497023307631</v>
      </c>
    </row>
    <row r="1014" spans="1:5">
      <c r="A1014">
        <f t="shared" si="75"/>
        <v>0.58183467969239411</v>
      </c>
      <c r="B1014">
        <f t="shared" si="76"/>
        <v>4.3789276344919248E-2</v>
      </c>
      <c r="C1014">
        <f t="shared" si="77"/>
        <v>1.0206067644678265</v>
      </c>
      <c r="D1014">
        <f t="shared" si="78"/>
        <v>61316.24764460299</v>
      </c>
      <c r="E1014">
        <f t="shared" si="79"/>
        <v>62579.777117866244</v>
      </c>
    </row>
    <row r="1015" spans="1:5">
      <c r="A1015">
        <f t="shared" si="75"/>
        <v>0.10210505772622192</v>
      </c>
      <c r="B1015">
        <f t="shared" si="76"/>
        <v>9.1511014932606383E-2</v>
      </c>
      <c r="C1015">
        <f t="shared" si="77"/>
        <v>0.70563162917261246</v>
      </c>
      <c r="D1015">
        <f t="shared" si="78"/>
        <v>62252.142552663267</v>
      </c>
      <c r="E1015">
        <f t="shared" si="79"/>
        <v>43927.080768921493</v>
      </c>
    </row>
    <row r="1016" spans="1:5">
      <c r="A1016">
        <f t="shared" si="75"/>
        <v>0.12389570613808365</v>
      </c>
      <c r="B1016">
        <f t="shared" si="76"/>
        <v>0.9332804752588808</v>
      </c>
      <c r="C1016">
        <f t="shared" si="77"/>
        <v>0.72601643786206571</v>
      </c>
      <c r="D1016">
        <f t="shared" si="78"/>
        <v>69286.644011610406</v>
      </c>
      <c r="E1016">
        <f t="shared" si="79"/>
        <v>50303.242476726416</v>
      </c>
    </row>
    <row r="1017" spans="1:5">
      <c r="A1017">
        <f t="shared" si="75"/>
        <v>0.64720662492797931</v>
      </c>
      <c r="B1017">
        <f t="shared" si="76"/>
        <v>0.56909765732374296</v>
      </c>
      <c r="C1017">
        <f t="shared" si="77"/>
        <v>1.0652371500601603</v>
      </c>
      <c r="D1017">
        <f t="shared" si="78"/>
        <v>65991.672276442667</v>
      </c>
      <c r="E1017">
        <f t="shared" si="79"/>
        <v>70296.780903461869</v>
      </c>
    </row>
    <row r="1018" spans="1:5">
      <c r="A1018">
        <f t="shared" si="75"/>
        <v>0.67203781409590879</v>
      </c>
      <c r="B1018">
        <f t="shared" si="76"/>
        <v>0.99896256112719284</v>
      </c>
      <c r="C1018">
        <f t="shared" si="77"/>
        <v>1.0834352662166804</v>
      </c>
      <c r="D1018">
        <f t="shared" si="78"/>
        <v>73207.582274107612</v>
      </c>
      <c r="E1018">
        <f t="shared" si="79"/>
        <v>79315.676390227309</v>
      </c>
    </row>
    <row r="1019" spans="1:5">
      <c r="A1019">
        <f t="shared" si="75"/>
        <v>0.19838927364187198</v>
      </c>
      <c r="B1019">
        <f t="shared" si="76"/>
        <v>0.22287518666923045</v>
      </c>
      <c r="C1019">
        <f t="shared" si="77"/>
        <v>0.784195322221377</v>
      </c>
      <c r="D1019">
        <f t="shared" si="78"/>
        <v>63665.380861785037</v>
      </c>
      <c r="E1019">
        <f t="shared" si="79"/>
        <v>49926.093859254208</v>
      </c>
    </row>
    <row r="1020" spans="1:5">
      <c r="A1020">
        <f t="shared" si="75"/>
        <v>0.22626100356586898</v>
      </c>
      <c r="B1020">
        <f t="shared" si="76"/>
        <v>0.24083553394985557</v>
      </c>
      <c r="C1020">
        <f t="shared" si="77"/>
        <v>0.80327811787338732</v>
      </c>
      <c r="D1020">
        <f t="shared" si="78"/>
        <v>63811.678711221401</v>
      </c>
      <c r="E1020">
        <f t="shared" si="79"/>
        <v>51258.525173491224</v>
      </c>
    </row>
    <row r="1021" spans="1:5">
      <c r="A1021">
        <f t="shared" si="75"/>
        <v>0.75565300386789991</v>
      </c>
      <c r="B1021">
        <f t="shared" si="76"/>
        <v>5.2843602969068648E-2</v>
      </c>
      <c r="C1021">
        <f t="shared" si="77"/>
        <v>1.1524001835518705</v>
      </c>
      <c r="D1021">
        <f t="shared" si="78"/>
        <v>61540.844480301152</v>
      </c>
      <c r="E1021">
        <f t="shared" si="79"/>
        <v>70919.680475036163</v>
      </c>
    </row>
    <row r="1022" spans="1:5">
      <c r="A1022">
        <f t="shared" si="75"/>
        <v>0.78656527454796477</v>
      </c>
      <c r="B1022">
        <f t="shared" si="76"/>
        <v>0.65889939372686923</v>
      </c>
      <c r="C1022">
        <f t="shared" si="77"/>
        <v>1.1822152612636923</v>
      </c>
      <c r="D1022">
        <f t="shared" si="78"/>
        <v>66576.312190099896</v>
      </c>
      <c r="E1022">
        <f t="shared" si="79"/>
        <v>78707.532309792092</v>
      </c>
    </row>
    <row r="1023" spans="1:5">
      <c r="A1023">
        <f t="shared" si="75"/>
        <v>0.31899781560606311</v>
      </c>
      <c r="B1023">
        <f t="shared" si="76"/>
        <v>5.9002906223257767E-2</v>
      </c>
      <c r="C1023">
        <f t="shared" si="77"/>
        <v>0.86167615336663583</v>
      </c>
      <c r="D1023">
        <f t="shared" si="78"/>
        <v>61676.674259413085</v>
      </c>
      <c r="E1023">
        <f t="shared" si="79"/>
        <v>53145.319428298069</v>
      </c>
    </row>
    <row r="1024" spans="1:5">
      <c r="A1024">
        <f t="shared" si="75"/>
        <v>0.35295062704219582</v>
      </c>
      <c r="B1024">
        <f t="shared" si="76"/>
        <v>0.25315414045823359</v>
      </c>
      <c r="C1024">
        <f t="shared" si="77"/>
        <v>0.88197494835684842</v>
      </c>
      <c r="D1024">
        <f t="shared" si="78"/>
        <v>63908.59647371577</v>
      </c>
      <c r="E1024">
        <f t="shared" si="79"/>
        <v>56365.781074464132</v>
      </c>
    </row>
    <row r="1025" spans="1:5">
      <c r="A1025">
        <f t="shared" si="75"/>
        <v>0.88842370885636202</v>
      </c>
      <c r="B1025">
        <f t="shared" si="76"/>
        <v>0.24135309643179759</v>
      </c>
      <c r="C1025">
        <f t="shared" si="77"/>
        <v>1.3142904934848216</v>
      </c>
      <c r="D1025">
        <f t="shared" si="78"/>
        <v>63815.803631611045</v>
      </c>
      <c r="E1025">
        <f t="shared" si="79"/>
        <v>83872.504047120558</v>
      </c>
    </row>
    <row r="1026" spans="1:5">
      <c r="A1026">
        <f t="shared" si="75"/>
        <v>0.92541706104856214</v>
      </c>
      <c r="B1026">
        <f t="shared" si="76"/>
        <v>2.3599774143948871E-2</v>
      </c>
      <c r="C1026">
        <f t="shared" si="77"/>
        <v>1.3900934897653467</v>
      </c>
      <c r="D1026">
        <f t="shared" si="78"/>
        <v>60630.245548488747</v>
      </c>
      <c r="E1026">
        <f t="shared" si="79"/>
        <v>84281.709619828602</v>
      </c>
    </row>
    <row r="1027" spans="1:5">
      <c r="A1027">
        <f t="shared" si="75"/>
        <v>0.46393068361879575</v>
      </c>
      <c r="B1027">
        <f t="shared" si="76"/>
        <v>0.59989417359468811</v>
      </c>
      <c r="C1027">
        <f t="shared" si="77"/>
        <v>0.94754203875826259</v>
      </c>
      <c r="D1027">
        <f t="shared" si="78"/>
        <v>66187.879974063922</v>
      </c>
      <c r="E1027">
        <f t="shared" si="79"/>
        <v>62715.798731711708</v>
      </c>
    </row>
    <row r="1028" spans="1:5">
      <c r="A1028">
        <f t="shared" si="75"/>
        <v>0.50396457656706373</v>
      </c>
      <c r="B1028">
        <f t="shared" si="76"/>
        <v>0.97023629478401485</v>
      </c>
      <c r="C1028">
        <f t="shared" si="77"/>
        <v>0.97164425999052306</v>
      </c>
      <c r="D1028">
        <f t="shared" si="78"/>
        <v>70239.420157133121</v>
      </c>
      <c r="E1028">
        <f t="shared" si="79"/>
        <v>68247.729420741045</v>
      </c>
    </row>
    <row r="1029" spans="1:5">
      <c r="A1029">
        <f t="shared" si="75"/>
        <v>4.5518739893364968E-2</v>
      </c>
      <c r="B1029">
        <f t="shared" si="76"/>
        <v>0.13462613771192933</v>
      </c>
      <c r="C1029">
        <f t="shared" si="77"/>
        <v>0.63524943036372605</v>
      </c>
      <c r="D1029">
        <f t="shared" si="78"/>
        <v>62815.267117897594</v>
      </c>
      <c r="E1029">
        <f t="shared" si="79"/>
        <v>39903.362654789737</v>
      </c>
    </row>
    <row r="1030" spans="1:5">
      <c r="A1030">
        <f t="shared" si="75"/>
        <v>8.8593173597700581E-2</v>
      </c>
      <c r="B1030">
        <f t="shared" si="76"/>
        <v>9.3063702378431312E-2</v>
      </c>
      <c r="C1030">
        <f t="shared" si="77"/>
        <v>0.69169009134182524</v>
      </c>
      <c r="D1030">
        <f t="shared" si="78"/>
        <v>62275.453436983014</v>
      </c>
      <c r="E1030">
        <f t="shared" si="79"/>
        <v>43075.314076180366</v>
      </c>
    </row>
    <row r="1031" spans="1:5">
      <c r="A1031">
        <f t="shared" si="75"/>
        <v>0.63318787768006946</v>
      </c>
      <c r="B1031">
        <f t="shared" si="76"/>
        <v>0.84554898878352125</v>
      </c>
      <c r="C1031">
        <f t="shared" si="77"/>
        <v>1.0553021412316093</v>
      </c>
      <c r="D1031">
        <f t="shared" si="78"/>
        <v>68086.612914540674</v>
      </c>
      <c r="E1031">
        <f t="shared" si="79"/>
        <v>71851.948397922519</v>
      </c>
    </row>
    <row r="1032" spans="1:5">
      <c r="A1032">
        <f t="shared" si="75"/>
        <v>0.6793028521404727</v>
      </c>
      <c r="B1032">
        <f t="shared" si="76"/>
        <v>0.39208199692719892</v>
      </c>
      <c r="C1032">
        <f t="shared" si="77"/>
        <v>1.0889212821187739</v>
      </c>
      <c r="D1032">
        <f t="shared" si="78"/>
        <v>64879.006897719984</v>
      </c>
      <c r="E1032">
        <f t="shared" si="79"/>
        <v>70648.13137365802</v>
      </c>
    </row>
    <row r="1033" spans="1:5">
      <c r="A1033">
        <f t="shared" si="75"/>
        <v>0.22693809697890943</v>
      </c>
      <c r="B1033">
        <f t="shared" si="76"/>
        <v>0.73266272680946409</v>
      </c>
      <c r="C1033">
        <f t="shared" si="77"/>
        <v>0.80372980960001339</v>
      </c>
      <c r="D1033">
        <f t="shared" si="78"/>
        <v>67101.443425444129</v>
      </c>
      <c r="E1033">
        <f t="shared" si="79"/>
        <v>53931.43034821828</v>
      </c>
    </row>
    <row r="1034" spans="1:5">
      <c r="A1034">
        <f t="shared" si="75"/>
        <v>0.27609361219538009</v>
      </c>
      <c r="B1034">
        <f t="shared" si="76"/>
        <v>0.867291178430317</v>
      </c>
      <c r="C1034">
        <f t="shared" si="77"/>
        <v>0.83537758834548592</v>
      </c>
      <c r="D1034">
        <f t="shared" si="78"/>
        <v>68325.424342791172</v>
      </c>
      <c r="E1034">
        <f t="shared" si="79"/>
        <v>57077.528210162847</v>
      </c>
    </row>
    <row r="1035" spans="1:5">
      <c r="A1035">
        <f t="shared" si="75"/>
        <v>0.82676939778988467</v>
      </c>
      <c r="B1035">
        <f t="shared" si="76"/>
        <v>0.79596735178975742</v>
      </c>
      <c r="C1035">
        <f t="shared" si="77"/>
        <v>1.2264439588818044</v>
      </c>
      <c r="D1035">
        <f t="shared" si="78"/>
        <v>67614.136056237097</v>
      </c>
      <c r="E1035">
        <f t="shared" si="79"/>
        <v>82924.948701184374</v>
      </c>
    </row>
    <row r="1036" spans="1:5">
      <c r="A1036">
        <f t="shared" si="75"/>
        <v>0.87896545376242297</v>
      </c>
      <c r="B1036">
        <f t="shared" si="76"/>
        <v>0.51869124688778578</v>
      </c>
      <c r="C1036">
        <f t="shared" si="77"/>
        <v>1.2984973141690719</v>
      </c>
      <c r="D1036">
        <f t="shared" si="78"/>
        <v>65675.716187093742</v>
      </c>
      <c r="E1036">
        <f t="shared" si="79"/>
        <v>85279.741075071463</v>
      </c>
    </row>
    <row r="1037" spans="1:5">
      <c r="A1037">
        <f t="shared" si="75"/>
        <v>0.43268178011299518</v>
      </c>
      <c r="B1037">
        <f t="shared" si="76"/>
        <v>3.5462863724401661E-2</v>
      </c>
      <c r="C1037">
        <f t="shared" si="77"/>
        <v>0.92900825452537772</v>
      </c>
      <c r="D1037">
        <f t="shared" si="78"/>
        <v>61073.729239623441</v>
      </c>
      <c r="E1037">
        <f t="shared" si="79"/>
        <v>56737.998598258098</v>
      </c>
    </row>
    <row r="1038" spans="1:5">
      <c r="A1038">
        <f t="shared" si="75"/>
        <v>0.48791837684160111</v>
      </c>
      <c r="B1038">
        <f t="shared" si="76"/>
        <v>0.34628220229960527</v>
      </c>
      <c r="C1038">
        <f t="shared" si="77"/>
        <v>0.96192173113399482</v>
      </c>
      <c r="D1038">
        <f t="shared" si="78"/>
        <v>64577.27665401093</v>
      </c>
      <c r="E1038">
        <f t="shared" si="79"/>
        <v>62118.285750945099</v>
      </c>
    </row>
    <row r="1039" spans="1:5">
      <c r="A1039">
        <f t="shared" si="75"/>
        <v>4.4675243948240961E-2</v>
      </c>
      <c r="B1039">
        <f t="shared" si="76"/>
        <v>0.45114926261339683</v>
      </c>
      <c r="C1039">
        <f t="shared" si="77"/>
        <v>0.63384015980767749</v>
      </c>
      <c r="D1039">
        <f t="shared" si="78"/>
        <v>65254.400349115713</v>
      </c>
      <c r="E1039">
        <f t="shared" si="79"/>
        <v>41360.85954543767</v>
      </c>
    </row>
    <row r="1040" spans="1:5">
      <c r="A1040">
        <f t="shared" ref="A1040:A1103" si="80">IFERROR(MOD(MOD(($E$8+((ROW()-15)*(ROW()-14)/2)*13)*171,30269)/30269+MOD(($E$8+((ROW()-15)*(ROW()-14)/2)*29)*172,30307)/30307+MOD(($E$8+((ROW()-15)*(ROW()-14)/2)*47)*170,30323)/30323,1),0.5)</f>
        <v>0.10295238143291452</v>
      </c>
      <c r="B1040">
        <f t="shared" ref="B1040:B1103" si="81">IFERROR(MOD(MOD(($E$8+((ROW()-15)*(ROW()-14)/2)*17)*171,30269)/30269+MOD(($E$8+((ROW()-15)*(ROW()-14)/2)*41)*172,30307)/30307+MOD(($E$8+((ROW()-15)*(ROW()-14)/2)*83)*170,30323)/30323,1),0.5)</f>
        <v>0.35006404466577568</v>
      </c>
      <c r="C1040">
        <f t="shared" ref="C1040:C1103" si="82">IFERROR(EXP($E$4*NORMSINV(MIN(MAX(A1040,0.000000001),0.999999999))-$E$4^2/2),1)</f>
        <v>0.7064684859846645</v>
      </c>
      <c r="D1040">
        <f t="shared" ref="D1040:D1103" si="83">IFERROR($B$5+$E$5*NORMSINV(MIN(MAX(B1040,0.000000001),0.999999999)),$B$5)</f>
        <v>64602.685166653966</v>
      </c>
      <c r="E1040">
        <f t="shared" ref="E1040:E1103" si="84">IFERROR(C1040*MAX(D1040,0),0)</f>
        <v>45639.761180229973</v>
      </c>
    </row>
    <row r="1041" spans="1:5">
      <c r="A1041">
        <f t="shared" si="80"/>
        <v>0.66274978929562223</v>
      </c>
      <c r="B1041">
        <f t="shared" si="81"/>
        <v>4.3026548456742475E-2</v>
      </c>
      <c r="C1041">
        <f t="shared" si="82"/>
        <v>1.0765321231931257</v>
      </c>
      <c r="D1041">
        <f t="shared" si="83"/>
        <v>61295.672043357627</v>
      </c>
      <c r="E1041">
        <f t="shared" si="84"/>
        <v>65986.759967385311</v>
      </c>
    </row>
    <row r="1042" spans="1:5">
      <c r="A1042">
        <f t="shared" si="80"/>
        <v>0.72406746753636364</v>
      </c>
      <c r="B1042">
        <f t="shared" si="81"/>
        <v>0.53003677398629678</v>
      </c>
      <c r="C1042">
        <f t="shared" si="82"/>
        <v>1.1246725469060388</v>
      </c>
      <c r="D1042">
        <f t="shared" si="83"/>
        <v>65746.486650009276</v>
      </c>
      <c r="E1042">
        <f t="shared" si="84"/>
        <v>73943.268590789812</v>
      </c>
    </row>
    <row r="1043" spans="1:5">
      <c r="A1043">
        <f t="shared" si="80"/>
        <v>0.28690541615513876</v>
      </c>
      <c r="B1043">
        <f t="shared" si="81"/>
        <v>0.81109472125443893</v>
      </c>
      <c r="C1043">
        <f t="shared" si="82"/>
        <v>0.84209537713381177</v>
      </c>
      <c r="D1043">
        <f t="shared" si="83"/>
        <v>67749.83571161014</v>
      </c>
      <c r="E1043">
        <f t="shared" si="84"/>
        <v>57051.823454322126</v>
      </c>
    </row>
    <row r="1044" spans="1:5">
      <c r="A1044">
        <f t="shared" si="80"/>
        <v>0.35126363515194736</v>
      </c>
      <c r="B1044">
        <f t="shared" si="81"/>
        <v>0.88620039026116881</v>
      </c>
      <c r="C1044">
        <f t="shared" si="82"/>
        <v>0.88097345216708478</v>
      </c>
      <c r="D1044">
        <f t="shared" si="83"/>
        <v>68556.13933724993</v>
      </c>
      <c r="E1044">
        <f t="shared" si="84"/>
        <v>60396.138739184753</v>
      </c>
    </row>
    <row r="1045" spans="1:5">
      <c r="A1045">
        <f t="shared" si="80"/>
        <v>0.91714212452679034</v>
      </c>
      <c r="B1045">
        <f t="shared" si="81"/>
        <v>0.7553537810064862</v>
      </c>
      <c r="C1045">
        <f t="shared" si="82"/>
        <v>1.370636879301204</v>
      </c>
      <c r="D1045">
        <f t="shared" si="83"/>
        <v>67276.669843742813</v>
      </c>
      <c r="E1045">
        <f t="shared" si="84"/>
        <v>92211.884804405068</v>
      </c>
    </row>
    <row r="1046" spans="1:5">
      <c r="A1046">
        <f t="shared" si="80"/>
        <v>0.98454088427966679</v>
      </c>
      <c r="B1046">
        <f t="shared" si="81"/>
        <v>0.41855489349039132</v>
      </c>
      <c r="C1046">
        <f t="shared" si="82"/>
        <v>1.6624308088481239</v>
      </c>
      <c r="D1046">
        <f t="shared" si="83"/>
        <v>65048.660747327536</v>
      </c>
      <c r="E1046">
        <f t="shared" si="84"/>
        <v>108138.89770066692</v>
      </c>
    </row>
    <row r="1047" spans="1:5">
      <c r="A1047">
        <f t="shared" si="80"/>
        <v>0.55345991441057718</v>
      </c>
      <c r="B1047">
        <f t="shared" si="81"/>
        <v>0.87580372771288406</v>
      </c>
      <c r="C1047">
        <f t="shared" si="82"/>
        <v>1.0023546999129422</v>
      </c>
      <c r="D1047">
        <f t="shared" si="83"/>
        <v>68426.228805687497</v>
      </c>
      <c r="E1047">
        <f t="shared" si="84"/>
        <v>68587.352040699217</v>
      </c>
    </row>
    <row r="1048" spans="1:5">
      <c r="A1048">
        <f t="shared" si="80"/>
        <v>0.62389921491952149</v>
      </c>
      <c r="B1048">
        <f t="shared" si="81"/>
        <v>0.12710028367396475</v>
      </c>
      <c r="C1048">
        <f t="shared" si="82"/>
        <v>1.0488396289065987</v>
      </c>
      <c r="D1048">
        <f t="shared" si="83"/>
        <v>62727.292689623268</v>
      </c>
      <c r="E1048">
        <f t="shared" si="84"/>
        <v>65790.87038690006</v>
      </c>
    </row>
    <row r="1049" spans="1:5">
      <c r="A1049">
        <f t="shared" si="80"/>
        <v>0.19585878580649929</v>
      </c>
      <c r="B1049">
        <f t="shared" si="81"/>
        <v>0.17244456137363273</v>
      </c>
      <c r="C1049">
        <f t="shared" si="82"/>
        <v>0.78240976964692299</v>
      </c>
      <c r="D1049">
        <f t="shared" si="83"/>
        <v>63213.259331559959</v>
      </c>
      <c r="E1049">
        <f t="shared" si="84"/>
        <v>49458.671672237033</v>
      </c>
    </row>
    <row r="1050" spans="1:5">
      <c r="A1050">
        <f t="shared" si="80"/>
        <v>0.26933862707151146</v>
      </c>
      <c r="B1050">
        <f t="shared" si="81"/>
        <v>1.1836560811888663E-2</v>
      </c>
      <c r="C1050">
        <f t="shared" si="82"/>
        <v>0.83114283407465683</v>
      </c>
      <c r="D1050">
        <f t="shared" si="83"/>
        <v>59940.035186822759</v>
      </c>
      <c r="E1050">
        <f t="shared" si="84"/>
        <v>49818.730719710518</v>
      </c>
    </row>
    <row r="1051" spans="1:5">
      <c r="A1051">
        <f t="shared" si="80"/>
        <v>0.84433873871455734</v>
      </c>
      <c r="B1051">
        <f t="shared" si="81"/>
        <v>0.64527628198873233</v>
      </c>
      <c r="C1051">
        <f t="shared" si="82"/>
        <v>1.2483999849571872</v>
      </c>
      <c r="D1051">
        <f t="shared" si="83"/>
        <v>66484.753084929238</v>
      </c>
      <c r="E1051">
        <f t="shared" si="84"/>
        <v>82999.564751107959</v>
      </c>
    </row>
    <row r="1052" spans="1:5">
      <c r="A1052">
        <f t="shared" si="80"/>
        <v>0.9208591207356368</v>
      </c>
      <c r="B1052">
        <f t="shared" si="81"/>
        <v>7.2763724904163496E-2</v>
      </c>
      <c r="C1052">
        <f t="shared" si="82"/>
        <v>1.3791515752281527</v>
      </c>
      <c r="D1052">
        <f t="shared" si="83"/>
        <v>61944.14294201936</v>
      </c>
      <c r="E1052">
        <f t="shared" si="84"/>
        <v>85430.362314643862</v>
      </c>
    </row>
    <row r="1053" spans="1:5">
      <c r="A1053">
        <f t="shared" si="80"/>
        <v>0.4988997731347502</v>
      </c>
      <c r="B1053">
        <f t="shared" si="81"/>
        <v>0.29429888955818262</v>
      </c>
      <c r="C1053">
        <f t="shared" si="82"/>
        <v>0.96856521160915099</v>
      </c>
      <c r="D1053">
        <f t="shared" si="83"/>
        <v>64215.908275683192</v>
      </c>
      <c r="E1053">
        <f t="shared" si="84"/>
        <v>62197.294787710918</v>
      </c>
    </row>
    <row r="1054" spans="1:5">
      <c r="A1054">
        <f t="shared" si="80"/>
        <v>0.57846069591189764</v>
      </c>
      <c r="B1054">
        <f t="shared" si="81"/>
        <v>0.30988177595078925</v>
      </c>
      <c r="C1054">
        <f t="shared" si="82"/>
        <v>1.0184066331606318</v>
      </c>
      <c r="D1054">
        <f t="shared" si="83"/>
        <v>64326.892301086031</v>
      </c>
      <c r="E1054">
        <f t="shared" si="84"/>
        <v>65510.933810035596</v>
      </c>
    </row>
    <row r="1055" spans="1:5">
      <c r="A1055">
        <f t="shared" si="80"/>
        <v>0.15954188906707856</v>
      </c>
      <c r="B1055">
        <f t="shared" si="81"/>
        <v>0.11951238408198339</v>
      </c>
      <c r="C1055">
        <f t="shared" si="82"/>
        <v>0.75553013091012289</v>
      </c>
      <c r="D1055">
        <f t="shared" si="83"/>
        <v>62634.841562649817</v>
      </c>
      <c r="E1055">
        <f t="shared" si="84"/>
        <v>47322.510045363626</v>
      </c>
    </row>
    <row r="1056" spans="1:5">
      <c r="A1056">
        <f t="shared" si="80"/>
        <v>0.2421433526002934</v>
      </c>
      <c r="B1056">
        <f t="shared" si="81"/>
        <v>0.72319071395176548</v>
      </c>
      <c r="C1056">
        <f t="shared" si="82"/>
        <v>0.8137466881137051</v>
      </c>
      <c r="D1056">
        <f t="shared" si="83"/>
        <v>67030.557532277991</v>
      </c>
      <c r="E1056">
        <f t="shared" si="84"/>
        <v>54545.894194306384</v>
      </c>
    </row>
    <row r="1057" spans="1:5">
      <c r="A1057">
        <f t="shared" si="80"/>
        <v>0.82626508651154218</v>
      </c>
      <c r="B1057">
        <f t="shared" si="81"/>
        <v>0.12091676556013531</v>
      </c>
      <c r="C1057">
        <f t="shared" si="82"/>
        <v>1.2258409249766056</v>
      </c>
      <c r="D1057">
        <f t="shared" si="83"/>
        <v>62652.257043946011</v>
      </c>
      <c r="E1057">
        <f t="shared" si="84"/>
        <v>76801.700726622832</v>
      </c>
    </row>
    <row r="1058" spans="1:5">
      <c r="A1058">
        <f t="shared" si="80"/>
        <v>0.91190709080082488</v>
      </c>
      <c r="B1058">
        <f t="shared" si="81"/>
        <v>0.31269053890709264</v>
      </c>
      <c r="C1058">
        <f t="shared" si="82"/>
        <v>1.3592025256268065</v>
      </c>
      <c r="D1058">
        <f t="shared" si="83"/>
        <v>64346.631358763261</v>
      </c>
      <c r="E1058">
        <f t="shared" si="84"/>
        <v>87460.103858408096</v>
      </c>
    </row>
    <row r="1059" spans="1:5">
      <c r="A1059">
        <f t="shared" si="80"/>
        <v>0.49906936546814107</v>
      </c>
      <c r="B1059">
        <f t="shared" si="81"/>
        <v>0.2985120339926377</v>
      </c>
      <c r="C1059">
        <f t="shared" si="82"/>
        <v>0.96866815287695851</v>
      </c>
      <c r="D1059">
        <f t="shared" si="83"/>
        <v>64246.171213420035</v>
      </c>
      <c r="E1059">
        <f t="shared" si="84"/>
        <v>62233.219998720408</v>
      </c>
    </row>
    <row r="1060" spans="1:5">
      <c r="A1060">
        <f t="shared" si="80"/>
        <v>0.58775191051349118</v>
      </c>
      <c r="B1060">
        <f t="shared" si="81"/>
        <v>7.8381250816770498E-2</v>
      </c>
      <c r="C1060">
        <f t="shared" si="82"/>
        <v>1.0244864453405504</v>
      </c>
      <c r="D1060">
        <f t="shared" si="83"/>
        <v>62042.172512488243</v>
      </c>
      <c r="E1060">
        <f t="shared" si="84"/>
        <v>63561.364778524287</v>
      </c>
    </row>
    <row r="1061" spans="1:5">
      <c r="A1061">
        <f t="shared" si="80"/>
        <v>0.17795472593687522</v>
      </c>
      <c r="B1061">
        <f t="shared" si="81"/>
        <v>0.65229818937949102</v>
      </c>
      <c r="C1061">
        <f t="shared" si="82"/>
        <v>0.76947493528351663</v>
      </c>
      <c r="D1061">
        <f t="shared" si="83"/>
        <v>66531.781477794153</v>
      </c>
      <c r="E1061">
        <f t="shared" si="84"/>
        <v>51194.538246922726</v>
      </c>
    </row>
    <row r="1062" spans="1:5">
      <c r="A1062">
        <f t="shared" si="80"/>
        <v>0.26967781173829319</v>
      </c>
      <c r="B1062">
        <f t="shared" si="81"/>
        <v>2.0262849680799055E-2</v>
      </c>
      <c r="C1062">
        <f t="shared" si="82"/>
        <v>0.8313562080846788</v>
      </c>
      <c r="D1062">
        <f t="shared" si="83"/>
        <v>60471.66919363763</v>
      </c>
      <c r="E1062">
        <f t="shared" si="84"/>
        <v>50273.497597373665</v>
      </c>
    </row>
    <row r="1063" spans="1:5">
      <c r="A1063">
        <f t="shared" si="80"/>
        <v>0.86292116791774465</v>
      </c>
      <c r="B1063">
        <f t="shared" si="81"/>
        <v>0.18227523172069482</v>
      </c>
      <c r="C1063">
        <f t="shared" si="82"/>
        <v>1.2739655223713549</v>
      </c>
      <c r="D1063">
        <f t="shared" si="83"/>
        <v>63307.197432886984</v>
      </c>
      <c r="E1063">
        <f t="shared" si="84"/>
        <v>80651.186847454359</v>
      </c>
    </row>
    <row r="1064" spans="1:5">
      <c r="A1064">
        <f t="shared" si="80"/>
        <v>0.95768479447523025</v>
      </c>
      <c r="B1064">
        <f t="shared" si="81"/>
        <v>0.13833533549917831</v>
      </c>
      <c r="C1064">
        <f t="shared" si="82"/>
        <v>1.4916117858881586</v>
      </c>
      <c r="D1064">
        <f t="shared" si="83"/>
        <v>62857.385115017489</v>
      </c>
      <c r="E1064">
        <f t="shared" si="84"/>
        <v>93758.816467670986</v>
      </c>
    </row>
    <row r="1065" spans="1:5">
      <c r="A1065">
        <f t="shared" si="80"/>
        <v>0.55396869141074978</v>
      </c>
      <c r="B1065">
        <f t="shared" si="81"/>
        <v>0.88844316101624954</v>
      </c>
      <c r="C1065">
        <f t="shared" si="82"/>
        <v>1.0026772589805282</v>
      </c>
      <c r="D1065">
        <f t="shared" si="83"/>
        <v>68585.259109617851</v>
      </c>
      <c r="E1065">
        <f t="shared" si="84"/>
        <v>68768.879610500924</v>
      </c>
    </row>
    <row r="1066" spans="1:5">
      <c r="A1066">
        <f t="shared" si="80"/>
        <v>0.65177285872430279</v>
      </c>
      <c r="B1066">
        <f t="shared" si="81"/>
        <v>0.43259870827190827</v>
      </c>
      <c r="C1066">
        <f t="shared" si="82"/>
        <v>1.068523525760261</v>
      </c>
      <c r="D1066">
        <f t="shared" si="83"/>
        <v>65137.654115347825</v>
      </c>
      <c r="E1066">
        <f t="shared" si="84"/>
        <v>69601.115835083838</v>
      </c>
    </row>
    <row r="1067" spans="1:5">
      <c r="A1067">
        <f t="shared" si="80"/>
        <v>0.25109729641588974</v>
      </c>
      <c r="B1067">
        <f t="shared" si="81"/>
        <v>0.77080197726615496</v>
      </c>
      <c r="C1067">
        <f t="shared" si="82"/>
        <v>0.81954155148474883</v>
      </c>
      <c r="D1067">
        <f t="shared" si="83"/>
        <v>67400.997351232174</v>
      </c>
      <c r="E1067">
        <f t="shared" si="84"/>
        <v>55237.91794084826</v>
      </c>
    </row>
    <row r="1068" spans="1:5">
      <c r="A1068">
        <f t="shared" si="80"/>
        <v>0.35194200448551061</v>
      </c>
      <c r="B1068">
        <f t="shared" si="81"/>
        <v>0.90305296799898915</v>
      </c>
      <c r="C1068">
        <f t="shared" si="82"/>
        <v>0.88137624254718527</v>
      </c>
      <c r="D1068">
        <f t="shared" si="83"/>
        <v>68786.084548600556</v>
      </c>
      <c r="E1068">
        <f t="shared" si="84"/>
        <v>60626.420738978559</v>
      </c>
    </row>
    <row r="1069" spans="1:5">
      <c r="A1069">
        <f t="shared" si="80"/>
        <v>0.9543069829331654</v>
      </c>
      <c r="B1069">
        <f t="shared" si="81"/>
        <v>0.82935168047041108</v>
      </c>
      <c r="C1069">
        <f t="shared" si="82"/>
        <v>1.478137450818134</v>
      </c>
      <c r="D1069">
        <f t="shared" si="83"/>
        <v>67922.877122307167</v>
      </c>
      <c r="E1069">
        <f t="shared" si="84"/>
        <v>100399.34844180047</v>
      </c>
    </row>
    <row r="1070" spans="1:5">
      <c r="A1070">
        <f t="shared" si="80"/>
        <v>5.8192231758853685E-2</v>
      </c>
      <c r="B1070">
        <f t="shared" si="81"/>
        <v>0.54969811468042096</v>
      </c>
      <c r="C1070">
        <f t="shared" si="82"/>
        <v>0.65456594825075587</v>
      </c>
      <c r="D1070">
        <f t="shared" si="83"/>
        <v>65869.523691006354</v>
      </c>
      <c r="E1070">
        <f t="shared" si="84"/>
        <v>43115.947235629203</v>
      </c>
    </row>
    <row r="1071" spans="1:5">
      <c r="A1071">
        <f t="shared" si="80"/>
        <v>0.66359775096257612</v>
      </c>
      <c r="B1071">
        <f t="shared" si="81"/>
        <v>6.4092270629018122E-2</v>
      </c>
      <c r="C1071">
        <f t="shared" si="82"/>
        <v>1.0771574002264341</v>
      </c>
      <c r="D1071">
        <f t="shared" si="83"/>
        <v>61780.741350969758</v>
      </c>
      <c r="E1071">
        <f t="shared" si="84"/>
        <v>66547.582737672346</v>
      </c>
    </row>
    <row r="1072" spans="1:5">
      <c r="A1072">
        <f t="shared" si="80"/>
        <v>0.77052354054433225</v>
      </c>
      <c r="B1072">
        <f t="shared" si="81"/>
        <v>0.37253414831620324</v>
      </c>
      <c r="C1072">
        <f t="shared" si="82"/>
        <v>1.1663661133252692</v>
      </c>
      <c r="D1072">
        <f t="shared" si="83"/>
        <v>64751.70788969619</v>
      </c>
      <c r="E1072">
        <f t="shared" si="84"/>
        <v>75524.197862478119</v>
      </c>
    </row>
    <row r="1073" spans="1:5">
      <c r="A1073">
        <f t="shared" si="80"/>
        <v>0.37896960050412209</v>
      </c>
      <c r="B1073">
        <f t="shared" si="81"/>
        <v>0.47502374774197564</v>
      </c>
      <c r="C1073">
        <f t="shared" si="82"/>
        <v>0.89736101644740007</v>
      </c>
      <c r="D1073">
        <f t="shared" si="83"/>
        <v>65403.702684637552</v>
      </c>
      <c r="E1073">
        <f t="shared" si="84"/>
        <v>58690.733120509904</v>
      </c>
    </row>
    <row r="1074" spans="1:5">
      <c r="A1074">
        <f t="shared" si="80"/>
        <v>0.48893593084194586</v>
      </c>
      <c r="B1074">
        <f t="shared" si="81"/>
        <v>0.37156106890633622</v>
      </c>
      <c r="C1074">
        <f t="shared" si="82"/>
        <v>0.96253556179462763</v>
      </c>
      <c r="D1074">
        <f t="shared" si="83"/>
        <v>64745.318060429388</v>
      </c>
      <c r="E1074">
        <f t="shared" si="84"/>
        <v>62319.671092867255</v>
      </c>
    </row>
    <row r="1075" spans="1:5">
      <c r="A1075">
        <f t="shared" si="80"/>
        <v>0.10042253155780356</v>
      </c>
      <c r="B1075">
        <f t="shared" si="81"/>
        <v>6.214611180928431E-2</v>
      </c>
      <c r="C1075">
        <f t="shared" si="82"/>
        <v>0.70395776680787869</v>
      </c>
      <c r="D1075">
        <f t="shared" si="83"/>
        <v>61741.735406399268</v>
      </c>
      <c r="E1075">
        <f t="shared" si="84"/>
        <v>43463.574175531765</v>
      </c>
    </row>
    <row r="1076" spans="1:5">
      <c r="A1076">
        <f t="shared" si="80"/>
        <v>0.21342940265169497</v>
      </c>
      <c r="B1076">
        <f t="shared" si="81"/>
        <v>0.54677887645081991</v>
      </c>
      <c r="C1076">
        <f t="shared" si="82"/>
        <v>0.79461735696327662</v>
      </c>
      <c r="D1076">
        <f t="shared" si="83"/>
        <v>65851.21477596162</v>
      </c>
      <c r="E1076">
        <f t="shared" si="84"/>
        <v>52326.51823809569</v>
      </c>
    </row>
    <row r="1077" spans="1:5">
      <c r="A1077">
        <f t="shared" si="80"/>
        <v>0.8279565441236203</v>
      </c>
      <c r="B1077">
        <f t="shared" si="81"/>
        <v>0.82545936283094357</v>
      </c>
      <c r="C1077">
        <f t="shared" si="82"/>
        <v>1.2278691042786984</v>
      </c>
      <c r="D1077">
        <f t="shared" si="83"/>
        <v>67885.040371023177</v>
      </c>
      <c r="E1077">
        <f t="shared" si="84"/>
        <v>83353.943714291512</v>
      </c>
    </row>
    <row r="1078" spans="1:5">
      <c r="A1078">
        <f t="shared" si="80"/>
        <v>0.94400395597357933</v>
      </c>
      <c r="B1078">
        <f t="shared" si="81"/>
        <v>0.89818757094965473</v>
      </c>
      <c r="C1078">
        <f t="shared" si="82"/>
        <v>1.4420643370687993</v>
      </c>
      <c r="D1078">
        <f t="shared" si="83"/>
        <v>68716.902770388857</v>
      </c>
      <c r="E1078">
        <f t="shared" si="84"/>
        <v>99094.194839001953</v>
      </c>
    </row>
    <row r="1079" spans="1:5">
      <c r="A1079">
        <f t="shared" si="80"/>
        <v>0.5615716382015723</v>
      </c>
      <c r="B1079">
        <f t="shared" si="81"/>
        <v>0.76496350080695352</v>
      </c>
      <c r="C1079">
        <f t="shared" si="82"/>
        <v>1.0075168831525194</v>
      </c>
      <c r="D1079">
        <f t="shared" si="83"/>
        <v>67353.48207535196</v>
      </c>
      <c r="E1079">
        <f t="shared" si="84"/>
        <v>67859.770330027692</v>
      </c>
    </row>
    <row r="1080" spans="1:5">
      <c r="A1080">
        <f t="shared" si="80"/>
        <v>0.68065959080759919</v>
      </c>
      <c r="B1080">
        <f t="shared" si="81"/>
        <v>0.42578715240283982</v>
      </c>
      <c r="C1080">
        <f t="shared" si="82"/>
        <v>1.0899545610360493</v>
      </c>
      <c r="D1080">
        <f t="shared" si="83"/>
        <v>65094.56504908434</v>
      </c>
      <c r="E1080">
        <f t="shared" si="84"/>
        <v>70950.118073907273</v>
      </c>
    </row>
    <row r="1081" spans="1:5">
      <c r="A1081">
        <f t="shared" si="80"/>
        <v>0.30126781379165979</v>
      </c>
      <c r="B1081">
        <f t="shared" si="81"/>
        <v>0.88065852573731407</v>
      </c>
      <c r="C1081">
        <f t="shared" si="82"/>
        <v>0.85091809074504132</v>
      </c>
      <c r="D1081">
        <f t="shared" si="83"/>
        <v>68485.895445130183</v>
      </c>
      <c r="E1081">
        <f t="shared" si="84"/>
        <v>58275.887395134698</v>
      </c>
    </row>
    <row r="1082" spans="1:5">
      <c r="A1082">
        <f t="shared" si="80"/>
        <v>0.42339630715375409</v>
      </c>
      <c r="B1082">
        <f t="shared" si="81"/>
        <v>0.12957762081037605</v>
      </c>
      <c r="C1082">
        <f t="shared" si="82"/>
        <v>0.92352897526604061</v>
      </c>
      <c r="D1082">
        <f t="shared" si="83"/>
        <v>62756.640423641729</v>
      </c>
      <c r="E1082">
        <f t="shared" si="84"/>
        <v>57957.575821585226</v>
      </c>
    </row>
    <row r="1083" spans="1:5">
      <c r="A1083">
        <f t="shared" si="80"/>
        <v>4.7045070893882546E-2</v>
      </c>
      <c r="B1083">
        <f t="shared" si="81"/>
        <v>0.17254443762202554</v>
      </c>
      <c r="C1083">
        <f t="shared" si="82"/>
        <v>0.63775475047491526</v>
      </c>
      <c r="D1083">
        <f t="shared" si="83"/>
        <v>63214.230549248081</v>
      </c>
      <c r="E1083">
        <f t="shared" si="84"/>
        <v>40315.175830399472</v>
      </c>
    </row>
    <row r="1084" spans="1:5">
      <c r="A1084">
        <f t="shared" si="80"/>
        <v>0.17221410501204448</v>
      </c>
      <c r="B1084">
        <f t="shared" si="81"/>
        <v>9.5589761722627564E-3</v>
      </c>
      <c r="C1084">
        <f t="shared" si="82"/>
        <v>0.76520387447343219</v>
      </c>
      <c r="D1084">
        <f t="shared" si="83"/>
        <v>59739.272353813802</v>
      </c>
      <c r="E1084">
        <f t="shared" si="84"/>
        <v>45712.722663361914</v>
      </c>
    </row>
    <row r="1085" spans="1:5">
      <c r="A1085">
        <f t="shared" si="80"/>
        <v>0.79890340950824035</v>
      </c>
      <c r="B1085">
        <f t="shared" si="81"/>
        <v>0.64062123646108771</v>
      </c>
      <c r="C1085">
        <f t="shared" si="82"/>
        <v>1.1950376421451847</v>
      </c>
      <c r="D1085">
        <f t="shared" si="83"/>
        <v>66453.759393903587</v>
      </c>
      <c r="E1085">
        <f t="shared" si="84"/>
        <v>79414.743937773965</v>
      </c>
    </row>
    <row r="1086" spans="1:5">
      <c r="A1086">
        <f t="shared" si="80"/>
        <v>0.92711298438246992</v>
      </c>
      <c r="B1086">
        <f t="shared" si="81"/>
        <v>6.5731218488500165E-2</v>
      </c>
      <c r="C1086">
        <f t="shared" si="82"/>
        <v>1.3943180113367575</v>
      </c>
      <c r="D1086">
        <f t="shared" si="83"/>
        <v>61812.881863848517</v>
      </c>
      <c r="E1086">
        <f t="shared" si="84"/>
        <v>86186.814515395192</v>
      </c>
    </row>
    <row r="1087" spans="1:5">
      <c r="A1087">
        <f t="shared" si="80"/>
        <v>0.55684282963473364</v>
      </c>
      <c r="B1087">
        <f t="shared" si="81"/>
        <v>0.28488892225450058</v>
      </c>
      <c r="C1087">
        <f t="shared" si="82"/>
        <v>1.0045024580910582</v>
      </c>
      <c r="D1087">
        <f t="shared" si="83"/>
        <v>64147.58079488411</v>
      </c>
      <c r="E1087">
        <f t="shared" si="84"/>
        <v>64436.402589055848</v>
      </c>
    </row>
    <row r="1088" spans="1:5">
      <c r="A1088">
        <f t="shared" si="80"/>
        <v>0.68809294526503084</v>
      </c>
      <c r="B1088">
        <f t="shared" si="81"/>
        <v>0.2980943477590885</v>
      </c>
      <c r="C1088">
        <f t="shared" si="82"/>
        <v>1.0956666517181557</v>
      </c>
      <c r="D1088">
        <f t="shared" si="83"/>
        <v>64243.179744442219</v>
      </c>
      <c r="E1088">
        <f t="shared" si="84"/>
        <v>70389.109646320649</v>
      </c>
    </row>
    <row r="1089" spans="1:5">
      <c r="A1089">
        <f t="shared" si="80"/>
        <v>0.3208633312733622</v>
      </c>
      <c r="B1089">
        <f t="shared" si="81"/>
        <v>0.10534749500226415</v>
      </c>
      <c r="C1089">
        <f t="shared" si="82"/>
        <v>0.86280074688806574</v>
      </c>
      <c r="D1089">
        <f t="shared" si="83"/>
        <v>62450.474137001162</v>
      </c>
      <c r="E1089">
        <f t="shared" si="84"/>
        <v>53882.315728918438</v>
      </c>
    </row>
    <row r="1090" spans="1:5">
      <c r="A1090">
        <f t="shared" si="80"/>
        <v>0.45515398765972725</v>
      </c>
      <c r="B1090">
        <f t="shared" si="81"/>
        <v>0.70664836398402731</v>
      </c>
      <c r="C1090">
        <f t="shared" si="82"/>
        <v>0.94231796268572743</v>
      </c>
      <c r="D1090">
        <f t="shared" si="83"/>
        <v>66909.530972324355</v>
      </c>
      <c r="E1090">
        <f t="shared" si="84"/>
        <v>63050.052910098268</v>
      </c>
    </row>
    <row r="1091" spans="1:5">
      <c r="A1091">
        <f t="shared" si="80"/>
        <v>9.0964914424126242E-2</v>
      </c>
      <c r="B1091">
        <f t="shared" si="81"/>
        <v>0.10199695470437864</v>
      </c>
      <c r="C1091">
        <f t="shared" si="82"/>
        <v>0.69422500786455732</v>
      </c>
      <c r="D1091">
        <f t="shared" si="83"/>
        <v>62404.280842984415</v>
      </c>
      <c r="E1091">
        <f t="shared" si="84"/>
        <v>43322.612359002902</v>
      </c>
    </row>
    <row r="1092" spans="1:5">
      <c r="A1092">
        <f t="shared" si="80"/>
        <v>0.22829611156655893</v>
      </c>
      <c r="B1092">
        <f t="shared" si="81"/>
        <v>0.29139326716331748</v>
      </c>
      <c r="C1092">
        <f t="shared" si="82"/>
        <v>0.80463422488189662</v>
      </c>
      <c r="D1092">
        <f t="shared" si="83"/>
        <v>64194.92070549661</v>
      </c>
      <c r="E1092">
        <f t="shared" si="84"/>
        <v>51653.430263222079</v>
      </c>
    </row>
    <row r="1093" spans="1:5">
      <c r="A1093">
        <f t="shared" si="80"/>
        <v>0.86714757908702556</v>
      </c>
      <c r="B1093">
        <f t="shared" si="81"/>
        <v>0.27483730136084383</v>
      </c>
      <c r="C1093">
        <f t="shared" si="82"/>
        <v>1.2801817862775624</v>
      </c>
      <c r="D1093">
        <f t="shared" si="83"/>
        <v>64073.392789606558</v>
      </c>
      <c r="E1093">
        <f t="shared" si="84"/>
        <v>82025.590434262413</v>
      </c>
    </row>
    <row r="1094" spans="1:5">
      <c r="A1094">
        <f t="shared" si="80"/>
        <v>7.5193169855256592E-3</v>
      </c>
      <c r="B1094">
        <f t="shared" si="81"/>
        <v>5.2329057296957693E-2</v>
      </c>
      <c r="C1094">
        <f t="shared" si="82"/>
        <v>0.52776095392264033</v>
      </c>
      <c r="D1094">
        <f t="shared" si="83"/>
        <v>61528.940156961369</v>
      </c>
      <c r="E1094">
        <f t="shared" si="84"/>
        <v>32472.572151086984</v>
      </c>
    </row>
    <row r="1095" spans="1:5">
      <c r="A1095">
        <f t="shared" si="80"/>
        <v>0.64941132526205991</v>
      </c>
      <c r="B1095">
        <f t="shared" si="81"/>
        <v>0.62386853497165973</v>
      </c>
      <c r="C1095">
        <f t="shared" si="82"/>
        <v>1.0668206961079245</v>
      </c>
      <c r="D1095">
        <f t="shared" si="83"/>
        <v>66343.323672068509</v>
      </c>
      <c r="E1095">
        <f t="shared" si="84"/>
        <v>70776.430741949473</v>
      </c>
    </row>
    <row r="1096" spans="1:5">
      <c r="A1096">
        <f t="shared" si="80"/>
        <v>0.79282360391662787</v>
      </c>
      <c r="B1096">
        <f t="shared" si="81"/>
        <v>0.98945573438494927</v>
      </c>
      <c r="C1096">
        <f t="shared" si="82"/>
        <v>1.1886454860503715</v>
      </c>
      <c r="D1096">
        <f t="shared" si="83"/>
        <v>71287.864817484908</v>
      </c>
      <c r="E1096">
        <f t="shared" si="84"/>
        <v>84735.998725472527</v>
      </c>
    </row>
    <row r="1097" spans="1:5">
      <c r="A1097">
        <f t="shared" si="80"/>
        <v>0.43775615294922976</v>
      </c>
      <c r="B1097">
        <f t="shared" si="81"/>
        <v>0.14909065553682632</v>
      </c>
      <c r="C1097">
        <f t="shared" si="82"/>
        <v>0.93200680680108061</v>
      </c>
      <c r="D1097">
        <f t="shared" si="83"/>
        <v>62975.333080639604</v>
      </c>
      <c r="E1097">
        <f t="shared" si="84"/>
        <v>58693.439091721375</v>
      </c>
    </row>
    <row r="1098" spans="1:5">
      <c r="A1098">
        <f t="shared" si="80"/>
        <v>0.58420897235986535</v>
      </c>
      <c r="B1098">
        <f t="shared" si="81"/>
        <v>0.10277329842729133</v>
      </c>
      <c r="C1098">
        <f t="shared" si="82"/>
        <v>1.0221602104753165</v>
      </c>
      <c r="D1098">
        <f t="shared" si="83"/>
        <v>62415.081107627055</v>
      </c>
      <c r="E1098">
        <f t="shared" si="84"/>
        <v>63798.212441806019</v>
      </c>
    </row>
    <row r="1099" spans="1:5">
      <c r="A1099">
        <f t="shared" si="80"/>
        <v>0.23218206214853487</v>
      </c>
      <c r="B1099">
        <f t="shared" si="81"/>
        <v>0.85050366305634384</v>
      </c>
      <c r="C1099">
        <f t="shared" si="82"/>
        <v>0.80721121947905417</v>
      </c>
      <c r="D1099">
        <f t="shared" si="83"/>
        <v>68138.939433932304</v>
      </c>
      <c r="E1099">
        <f t="shared" si="84"/>
        <v>55002.516394473911</v>
      </c>
    </row>
    <row r="1100" spans="1:5">
      <c r="A1100">
        <f t="shared" si="80"/>
        <v>0.3816754223152381</v>
      </c>
      <c r="B1100">
        <f t="shared" si="81"/>
        <v>0.39228174942398408</v>
      </c>
      <c r="C1100">
        <f t="shared" si="82"/>
        <v>0.89895628871807876</v>
      </c>
      <c r="D1100">
        <f t="shared" si="83"/>
        <v>64880.297977938833</v>
      </c>
      <c r="E1100">
        <f t="shared" si="84"/>
        <v>58324.551881170963</v>
      </c>
    </row>
    <row r="1101" spans="1:5">
      <c r="A1101">
        <f t="shared" si="80"/>
        <v>3.2689052859975254E-2</v>
      </c>
      <c r="B1101">
        <f t="shared" si="81"/>
        <v>0.72810755753021228</v>
      </c>
      <c r="C1101">
        <f t="shared" si="82"/>
        <v>0.61145374926268403</v>
      </c>
      <c r="D1101">
        <f t="shared" si="83"/>
        <v>67067.200564846702</v>
      </c>
      <c r="E1101">
        <f t="shared" si="84"/>
        <v>41008.491237927919</v>
      </c>
    </row>
    <row r="1102" spans="1:5">
      <c r="A1102">
        <f t="shared" si="80"/>
        <v>0.18522295378274611</v>
      </c>
      <c r="B1102">
        <f t="shared" si="81"/>
        <v>0.85798108737502776</v>
      </c>
      <c r="C1102">
        <f t="shared" si="82"/>
        <v>0.77479282671036065</v>
      </c>
      <c r="D1102">
        <f t="shared" si="83"/>
        <v>68220.150704850719</v>
      </c>
      <c r="E1102">
        <f t="shared" si="84"/>
        <v>52856.483403218088</v>
      </c>
    </row>
    <row r="1103" spans="1:5">
      <c r="A1103">
        <f t="shared" si="80"/>
        <v>0.83927712508355112</v>
      </c>
      <c r="B1103">
        <f t="shared" si="81"/>
        <v>0.78190233895843098</v>
      </c>
      <c r="C1103">
        <f t="shared" si="82"/>
        <v>1.2418756021169914</v>
      </c>
      <c r="D1103">
        <f t="shared" si="83"/>
        <v>67493.253247934917</v>
      </c>
      <c r="E1103">
        <f t="shared" si="84"/>
        <v>83818.224516113769</v>
      </c>
    </row>
    <row r="1104" spans="1:5">
      <c r="A1104">
        <f t="shared" ref="A1104:A1167" si="85">IFERROR(MOD(MOD(($E$8+((ROW()-15)*(ROW()-14)/2)*13)*171,30269)/30269+MOD(($E$8+((ROW()-15)*(ROW()-14)/2)*29)*172,30307)/30307+MOD(($E$8+((ROW()-15)*(ROW()-14)/2)*47)*170,30323)/30323,1),0.5)</f>
        <v>0.99485156676238962</v>
      </c>
      <c r="B1104">
        <f t="shared" ref="B1104:B1167" si="86">IFERROR(MOD(MOD(($E$8+((ROW()-15)*(ROW()-14)/2)*17)*171,30269)/30269+MOD(($E$8+((ROW()-15)*(ROW()-14)/2)*41)*172,30307)/30307+MOD(($E$8+((ROW()-15)*(ROW()-14)/2)*83)*170,30323)/30323,1),0.5)</f>
        <v>0.49987131228042192</v>
      </c>
      <c r="C1104">
        <f t="shared" ref="C1104:C1167" si="87">IFERROR(EXP($E$4*NORMSINV(MIN(MAX(A1104,0.000000001),0.999999999))-$E$4^2/2),1)</f>
        <v>1.8407522257248705</v>
      </c>
      <c r="D1104">
        <f t="shared" ref="D1104:D1167" si="88">IFERROR($B$5+$E$5*NORMSINV(MIN(MAX(B1104,0.000000001),0.999999999)),$B$5)</f>
        <v>65558.502682050443</v>
      </c>
      <c r="E1104">
        <f t="shared" ref="E1104:E1167" si="89">IFERROR(C1104*MAX(D1104,0),0)</f>
        <v>120676.95972717424</v>
      </c>
    </row>
    <row r="1105" spans="1:5">
      <c r="A1105">
        <f t="shared" si="85"/>
        <v>0.65194627881926204</v>
      </c>
      <c r="B1105">
        <f t="shared" si="86"/>
        <v>1.1888007341000595E-2</v>
      </c>
      <c r="C1105">
        <f t="shared" si="87"/>
        <v>1.0686488472687268</v>
      </c>
      <c r="D1105">
        <f t="shared" si="88"/>
        <v>59944.167485932325</v>
      </c>
      <c r="E1105">
        <f t="shared" si="89"/>
        <v>64059.265484325071</v>
      </c>
    </row>
    <row r="1106" spans="1:5">
      <c r="A1106">
        <f t="shared" si="85"/>
        <v>0.81056126125416839</v>
      </c>
      <c r="B1106">
        <f t="shared" si="86"/>
        <v>0.317952424140167</v>
      </c>
      <c r="C1106">
        <f t="shared" si="87"/>
        <v>1.2077288541946698</v>
      </c>
      <c r="D1106">
        <f t="shared" si="88"/>
        <v>64383.406221692341</v>
      </c>
      <c r="E1106">
        <f t="shared" si="89"/>
        <v>77757.697425274469</v>
      </c>
    </row>
    <row r="1107" spans="1:5">
      <c r="A1107">
        <f t="shared" si="85"/>
        <v>0.47069651406710866</v>
      </c>
      <c r="B1107">
        <f t="shared" si="86"/>
        <v>0.41806456267792091</v>
      </c>
      <c r="C1107">
        <f t="shared" si="87"/>
        <v>0.95158165339152556</v>
      </c>
      <c r="D1107">
        <f t="shared" si="88"/>
        <v>65045.542393627285</v>
      </c>
      <c r="E1107">
        <f t="shared" si="89"/>
        <v>61896.144776676425</v>
      </c>
    </row>
    <row r="1108" spans="1:5">
      <c r="A1108">
        <f t="shared" si="85"/>
        <v>0.63235203725808242</v>
      </c>
      <c r="B1108">
        <f t="shared" si="86"/>
        <v>0.31222442295426256</v>
      </c>
      <c r="C1108">
        <f t="shared" si="87"/>
        <v>1.0547168206340851</v>
      </c>
      <c r="D1108">
        <f t="shared" si="88"/>
        <v>64343.360979250974</v>
      </c>
      <c r="E1108">
        <f t="shared" si="89"/>
        <v>67864.025120946841</v>
      </c>
    </row>
    <row r="1109" spans="1:5">
      <c r="A1109">
        <f t="shared" si="85"/>
        <v>0.29552783082709033</v>
      </c>
      <c r="B1109">
        <f t="shared" si="86"/>
        <v>4.3200496919215681E-4</v>
      </c>
      <c r="C1109">
        <f t="shared" si="87"/>
        <v>0.84740485020420986</v>
      </c>
      <c r="D1109">
        <f t="shared" si="88"/>
        <v>57284.791287449349</v>
      </c>
      <c r="E1109">
        <f t="shared" si="89"/>
        <v>48543.409979920441</v>
      </c>
    </row>
    <row r="1110" spans="1:5">
      <c r="A1110">
        <f t="shared" si="85"/>
        <v>0.46022389477413173</v>
      </c>
      <c r="B1110">
        <f t="shared" si="86"/>
        <v>0.48268730872270904</v>
      </c>
      <c r="C1110">
        <f t="shared" si="87"/>
        <v>0.94533357962932074</v>
      </c>
      <c r="D1110">
        <f t="shared" si="88"/>
        <v>65451.483061395498</v>
      </c>
      <c r="E1110">
        <f t="shared" si="89"/>
        <v>61873.484774476856</v>
      </c>
    </row>
    <row r="1111" spans="1:5">
      <c r="A1111">
        <f t="shared" si="85"/>
        <v>0.12644022909920727</v>
      </c>
      <c r="B1111">
        <f t="shared" si="86"/>
        <v>0.75899033421481388</v>
      </c>
      <c r="C1111">
        <f t="shared" si="87"/>
        <v>0.72826139395777467</v>
      </c>
      <c r="D1111">
        <f t="shared" si="88"/>
        <v>67305.540694260097</v>
      </c>
      <c r="E1111">
        <f t="shared" si="89"/>
        <v>49016.026887083586</v>
      </c>
    </row>
    <row r="1112" spans="1:5">
      <c r="A1112">
        <f t="shared" si="85"/>
        <v>0.29417683380231652</v>
      </c>
      <c r="B1112">
        <f t="shared" si="86"/>
        <v>0.82934108144550645</v>
      </c>
      <c r="C1112">
        <f t="shared" si="87"/>
        <v>0.84657555188225586</v>
      </c>
      <c r="D1112">
        <f t="shared" si="88"/>
        <v>67922.773346137299</v>
      </c>
      <c r="E1112">
        <f t="shared" si="89"/>
        <v>57501.759330879562</v>
      </c>
    </row>
    <row r="1113" spans="1:5">
      <c r="A1113">
        <f t="shared" si="85"/>
        <v>0.96343370888345969</v>
      </c>
      <c r="B1113">
        <f t="shared" si="86"/>
        <v>0.69373955041478674</v>
      </c>
      <c r="C1113">
        <f t="shared" si="87"/>
        <v>1.5170241183571525</v>
      </c>
      <c r="D1113">
        <f t="shared" si="88"/>
        <v>66817.280535571845</v>
      </c>
      <c r="E1113">
        <f t="shared" si="89"/>
        <v>101363.42609549841</v>
      </c>
    </row>
    <row r="1114" spans="1:5">
      <c r="A1114">
        <f t="shared" si="85"/>
        <v>0.13421085434263658</v>
      </c>
      <c r="B1114">
        <f t="shared" si="86"/>
        <v>0.35218574112265433</v>
      </c>
      <c r="C1114">
        <f t="shared" si="87"/>
        <v>0.73496961168165664</v>
      </c>
      <c r="D1114">
        <f t="shared" si="88"/>
        <v>64616.896014922102</v>
      </c>
      <c r="E1114">
        <f t="shared" si="89"/>
        <v>47491.454972161286</v>
      </c>
    </row>
    <row r="1115" spans="1:5">
      <c r="A1115">
        <f t="shared" si="85"/>
        <v>0.80650827017984728</v>
      </c>
      <c r="B1115">
        <f t="shared" si="86"/>
        <v>0.80467965356910998</v>
      </c>
      <c r="C1115">
        <f t="shared" si="87"/>
        <v>1.2032487649176711</v>
      </c>
      <c r="D1115">
        <f t="shared" si="88"/>
        <v>67691.512902442293</v>
      </c>
      <c r="E1115">
        <f t="shared" si="89"/>
        <v>81449.729295272278</v>
      </c>
    </row>
    <row r="1116" spans="1:5">
      <c r="A1116">
        <f t="shared" si="85"/>
        <v>0.9803259563950919</v>
      </c>
      <c r="B1116">
        <f t="shared" si="86"/>
        <v>5.1221287754153355E-2</v>
      </c>
      <c r="C1116">
        <f t="shared" si="87"/>
        <v>1.6223602158213954</v>
      </c>
      <c r="D1116">
        <f t="shared" si="88"/>
        <v>61502.99225766649</v>
      </c>
      <c r="E1116">
        <f t="shared" si="89"/>
        <v>99780.007792809425</v>
      </c>
    </row>
    <row r="1117" spans="1:5">
      <c r="A1117">
        <f t="shared" si="85"/>
        <v>0.65566391298837012</v>
      </c>
      <c r="B1117">
        <f t="shared" si="86"/>
        <v>9.1810643677784132E-2</v>
      </c>
      <c r="C1117">
        <f t="shared" si="87"/>
        <v>1.0713445190847934</v>
      </c>
      <c r="D1117">
        <f t="shared" si="88"/>
        <v>62256.663631166783</v>
      </c>
      <c r="E1117">
        <f t="shared" si="89"/>
        <v>66698.335357756121</v>
      </c>
    </row>
    <row r="1118" spans="1:5">
      <c r="A1118">
        <f t="shared" si="85"/>
        <v>0.83252213995968238</v>
      </c>
      <c r="B1118">
        <f t="shared" si="86"/>
        <v>0.92644772134000286</v>
      </c>
      <c r="C1118">
        <f t="shared" si="87"/>
        <v>1.2334251631663387</v>
      </c>
      <c r="D1118">
        <f t="shared" si="88"/>
        <v>69160.363174089725</v>
      </c>
      <c r="E1118">
        <f t="shared" si="89"/>
        <v>85304.132232644857</v>
      </c>
    </row>
    <row r="1119" spans="1:5">
      <c r="A1119">
        <f t="shared" si="85"/>
        <v>0.51090063730902846</v>
      </c>
      <c r="B1119">
        <f t="shared" si="86"/>
        <v>0.5551325207408091</v>
      </c>
      <c r="C1119">
        <f t="shared" si="87"/>
        <v>0.97587752378898729</v>
      </c>
      <c r="D1119">
        <f t="shared" si="88"/>
        <v>65903.652995841388</v>
      </c>
      <c r="E1119">
        <f t="shared" si="89"/>
        <v>64313.89369423037</v>
      </c>
    </row>
    <row r="1120" spans="1:5">
      <c r="A1120">
        <f t="shared" si="85"/>
        <v>0.69079940503640835</v>
      </c>
      <c r="B1120">
        <f t="shared" si="86"/>
        <v>0.97786504188020285</v>
      </c>
      <c r="C1120">
        <f t="shared" si="87"/>
        <v>1.0977683957708069</v>
      </c>
      <c r="D1120">
        <f t="shared" si="88"/>
        <v>70555.475947342566</v>
      </c>
      <c r="E1120">
        <f t="shared" si="89"/>
        <v>77453.571643560004</v>
      </c>
    </row>
    <row r="1121" spans="1:5">
      <c r="A1121">
        <f t="shared" si="85"/>
        <v>0.37221844314182206</v>
      </c>
      <c r="B1121">
        <f t="shared" si="86"/>
        <v>0.19464528475818454</v>
      </c>
      <c r="C1121">
        <f t="shared" si="87"/>
        <v>0.89337767484148012</v>
      </c>
      <c r="D1121">
        <f t="shared" si="88"/>
        <v>63421.01311349262</v>
      </c>
      <c r="E1121">
        <f t="shared" si="89"/>
        <v>56658.917231423053</v>
      </c>
    </row>
    <row r="1122" spans="1:5">
      <c r="A1122">
        <f t="shared" si="85"/>
        <v>0.55515775162526948</v>
      </c>
      <c r="B1122">
        <f t="shared" si="86"/>
        <v>0.20547324937475397</v>
      </c>
      <c r="C1122">
        <f t="shared" si="87"/>
        <v>1.0034317358868363</v>
      </c>
      <c r="D1122">
        <f t="shared" si="88"/>
        <v>63517.07422609254</v>
      </c>
      <c r="E1122">
        <f t="shared" si="89"/>
        <v>63735.048049141071</v>
      </c>
    </row>
    <row r="1123" spans="1:5">
      <c r="A1123">
        <f t="shared" si="85"/>
        <v>0.23961733048675082</v>
      </c>
      <c r="B1123">
        <f t="shared" si="86"/>
        <v>1.0348935729911135E-2</v>
      </c>
      <c r="C1123">
        <f t="shared" si="87"/>
        <v>0.81209860434709669</v>
      </c>
      <c r="D1123">
        <f t="shared" si="88"/>
        <v>59813.219924882258</v>
      </c>
      <c r="E1123">
        <f t="shared" si="89"/>
        <v>48574.232422502835</v>
      </c>
    </row>
    <row r="1124" spans="1:5">
      <c r="A1124">
        <f t="shared" si="85"/>
        <v>0.42559717972626609</v>
      </c>
      <c r="B1124">
        <f t="shared" si="86"/>
        <v>0.6092723438236558</v>
      </c>
      <c r="C1124">
        <f t="shared" si="87"/>
        <v>0.92482691124497352</v>
      </c>
      <c r="D1124">
        <f t="shared" si="88"/>
        <v>66248.359373104031</v>
      </c>
      <c r="E1124">
        <f t="shared" si="89"/>
        <v>61268.265574074794</v>
      </c>
    </row>
    <row r="1125" spans="1:5">
      <c r="A1125">
        <f t="shared" si="85"/>
        <v>0.11309729934381507</v>
      </c>
      <c r="B1125">
        <f t="shared" si="86"/>
        <v>2.243473655988204E-3</v>
      </c>
      <c r="C1125">
        <f t="shared" si="87"/>
        <v>0.71619347908566577</v>
      </c>
      <c r="D1125">
        <f t="shared" si="88"/>
        <v>58501.09465485761</v>
      </c>
      <c r="E1125">
        <f t="shared" si="89"/>
        <v>41898.102511182318</v>
      </c>
    </row>
    <row r="1126" spans="1:5">
      <c r="A1126">
        <f t="shared" si="85"/>
        <v>0.30211768933939798</v>
      </c>
      <c r="B1126">
        <f t="shared" si="86"/>
        <v>0.18926232522690833</v>
      </c>
      <c r="C1126">
        <f t="shared" si="87"/>
        <v>0.85143691220128037</v>
      </c>
      <c r="D1126">
        <f t="shared" si="88"/>
        <v>63372.049780103691</v>
      </c>
      <c r="E1126">
        <f t="shared" si="89"/>
        <v>53957.302384637318</v>
      </c>
    </row>
    <row r="1127" spans="1:5">
      <c r="A1127">
        <f t="shared" si="85"/>
        <v>0.99265834971301459</v>
      </c>
      <c r="B1127">
        <f t="shared" si="86"/>
        <v>0.17032889853641597</v>
      </c>
      <c r="C1127">
        <f t="shared" si="87"/>
        <v>1.7838507339356786</v>
      </c>
      <c r="D1127">
        <f t="shared" si="88"/>
        <v>63192.601210845707</v>
      </c>
      <c r="E1127">
        <f t="shared" si="89"/>
        <v>112726.16804927177</v>
      </c>
    </row>
    <row r="1128" spans="1:5">
      <c r="A1128">
        <f t="shared" si="85"/>
        <v>0.18471928046466513</v>
      </c>
      <c r="B1128">
        <f t="shared" si="86"/>
        <v>0.94544319358451157</v>
      </c>
      <c r="C1128">
        <f t="shared" si="87"/>
        <v>0.77442738520967069</v>
      </c>
      <c r="D1128">
        <f t="shared" si="88"/>
        <v>69538.77829327833</v>
      </c>
      <c r="E1128">
        <f t="shared" si="89"/>
        <v>53852.734244338542</v>
      </c>
    </row>
    <row r="1129" spans="1:5">
      <c r="A1129">
        <f t="shared" si="85"/>
        <v>0.87830048159434948</v>
      </c>
      <c r="B1129">
        <f t="shared" si="86"/>
        <v>0.51460521037119467</v>
      </c>
      <c r="C1129">
        <f t="shared" si="87"/>
        <v>1.2974272123429491</v>
      </c>
      <c r="D1129">
        <f t="shared" si="88"/>
        <v>65650.254675923628</v>
      </c>
      <c r="E1129">
        <f t="shared" si="89"/>
        <v>85176.426913788251</v>
      </c>
    </row>
    <row r="1130" spans="1:5">
      <c r="A1130">
        <f t="shared" si="85"/>
        <v>7.3401953102067541E-2</v>
      </c>
      <c r="B1130">
        <f t="shared" si="86"/>
        <v>0.8778149488964655</v>
      </c>
      <c r="C1130">
        <f t="shared" si="87"/>
        <v>0.67436861385334446</v>
      </c>
      <c r="D1130">
        <f t="shared" si="88"/>
        <v>68450.744839317136</v>
      </c>
      <c r="E1130">
        <f t="shared" si="89"/>
        <v>46161.03391451927</v>
      </c>
    </row>
    <row r="1131" spans="1:5">
      <c r="A1131">
        <f t="shared" si="85"/>
        <v>0.77002369498781964</v>
      </c>
      <c r="B1131">
        <f t="shared" si="86"/>
        <v>3.5072409160323836E-2</v>
      </c>
      <c r="C1131">
        <f t="shared" si="87"/>
        <v>1.165885893272288</v>
      </c>
      <c r="D1131">
        <f t="shared" si="88"/>
        <v>61061.256555152926</v>
      </c>
      <c r="E1131">
        <f t="shared" si="89"/>
        <v>71190.457643132817</v>
      </c>
    </row>
    <row r="1132" spans="1:5">
      <c r="A1132">
        <f t="shared" si="85"/>
        <v>0.96816570725160545</v>
      </c>
      <c r="B1132">
        <f t="shared" si="86"/>
        <v>0.98637759116277013</v>
      </c>
      <c r="C1132">
        <f t="shared" si="87"/>
        <v>1.5409103552127532</v>
      </c>
      <c r="D1132">
        <f t="shared" si="88"/>
        <v>71043.452902378922</v>
      </c>
      <c r="E1132">
        <f t="shared" si="89"/>
        <v>109471.59224734521</v>
      </c>
    </row>
    <row r="1133" spans="1:5">
      <c r="A1133">
        <f t="shared" si="85"/>
        <v>0.66782798989342496</v>
      </c>
      <c r="B1133">
        <f t="shared" si="86"/>
        <v>0.73173049490380404</v>
      </c>
      <c r="C1133">
        <f t="shared" si="87"/>
        <v>1.0802914501746268</v>
      </c>
      <c r="D1133">
        <f t="shared" si="88"/>
        <v>67094.411817959844</v>
      </c>
      <c r="E1133">
        <f t="shared" si="89"/>
        <v>72481.519441437456</v>
      </c>
    </row>
    <row r="1134" spans="1:5">
      <c r="A1134">
        <f t="shared" si="85"/>
        <v>0.86901054291327851</v>
      </c>
      <c r="B1134">
        <f t="shared" si="86"/>
        <v>0.27113112038342568</v>
      </c>
      <c r="C1134">
        <f t="shared" si="87"/>
        <v>1.2829749050927313</v>
      </c>
      <c r="D1134">
        <f t="shared" si="88"/>
        <v>64045.704143079551</v>
      </c>
      <c r="E1134">
        <f t="shared" si="89"/>
        <v>82169.031194564639</v>
      </c>
    </row>
    <row r="1135" spans="1:5">
      <c r="A1135">
        <f t="shared" si="85"/>
        <v>0.57171336631116576</v>
      </c>
      <c r="B1135">
        <f t="shared" si="86"/>
        <v>0.60457946760163495</v>
      </c>
      <c r="C1135">
        <f t="shared" si="87"/>
        <v>1.0140320256780377</v>
      </c>
      <c r="D1135">
        <f t="shared" si="88"/>
        <v>66218.046399900661</v>
      </c>
      <c r="E1135">
        <f t="shared" si="89"/>
        <v>67147.219727333562</v>
      </c>
    </row>
    <row r="1136" spans="1:5">
      <c r="A1136">
        <f t="shared" si="85"/>
        <v>0.77593646008708705</v>
      </c>
      <c r="B1136">
        <f t="shared" si="86"/>
        <v>0.73207553655843216</v>
      </c>
      <c r="C1136">
        <f t="shared" si="87"/>
        <v>1.1716175214301294</v>
      </c>
      <c r="D1136">
        <f t="shared" si="88"/>
        <v>67097.012949615251</v>
      </c>
      <c r="E1136">
        <f t="shared" si="89"/>
        <v>78612.036007393515</v>
      </c>
    </row>
    <row r="1137" spans="1:5">
      <c r="A1137">
        <f t="shared" si="85"/>
        <v>0.48167982424104183</v>
      </c>
      <c r="B1137">
        <f t="shared" si="86"/>
        <v>0.65361932725381666</v>
      </c>
      <c r="C1137">
        <f t="shared" si="87"/>
        <v>0.95816574388656361</v>
      </c>
      <c r="D1137">
        <f t="shared" si="88"/>
        <v>66540.668229836403</v>
      </c>
      <c r="E1137">
        <f t="shared" si="89"/>
        <v>63756.988873150229</v>
      </c>
    </row>
    <row r="1138" spans="1:5">
      <c r="A1138">
        <f t="shared" si="85"/>
        <v>0.68894345877303076</v>
      </c>
      <c r="B1138">
        <f t="shared" si="86"/>
        <v>0.36921083968778889</v>
      </c>
      <c r="C1138">
        <f t="shared" si="87"/>
        <v>1.0963258409478374</v>
      </c>
      <c r="D1138">
        <f t="shared" si="88"/>
        <v>64729.862692434559</v>
      </c>
      <c r="E1138">
        <f t="shared" si="89"/>
        <v>70965.021150721368</v>
      </c>
    </row>
    <row r="1139" spans="1:5">
      <c r="A1139">
        <f t="shared" si="85"/>
        <v>0.39772736368305317</v>
      </c>
      <c r="B1139">
        <f t="shared" si="86"/>
        <v>0.87885007386034886</v>
      </c>
      <c r="C1139">
        <f t="shared" si="87"/>
        <v>0.90841088073889742</v>
      </c>
      <c r="D1139">
        <f t="shared" si="88"/>
        <v>68463.473136445085</v>
      </c>
      <c r="E1139">
        <f t="shared" si="89"/>
        <v>62192.963930321923</v>
      </c>
    </row>
    <row r="1140" spans="1:5">
      <c r="A1140">
        <f t="shared" si="85"/>
        <v>0.60803153897110995</v>
      </c>
      <c r="B1140">
        <f t="shared" si="86"/>
        <v>0.18253702977149655</v>
      </c>
      <c r="C1140">
        <f t="shared" si="87"/>
        <v>1.0380023513224412</v>
      </c>
      <c r="D1140">
        <f t="shared" si="88"/>
        <v>63309.654982390421</v>
      </c>
      <c r="E1140">
        <f t="shared" si="89"/>
        <v>65715.570733133762</v>
      </c>
    </row>
    <row r="1141" spans="1:5">
      <c r="A1141">
        <f t="shared" si="85"/>
        <v>0.31985598463719978</v>
      </c>
      <c r="B1141">
        <f t="shared" si="86"/>
        <v>0.28027170742123197</v>
      </c>
      <c r="C1141">
        <f t="shared" si="87"/>
        <v>0.86219364440817226</v>
      </c>
      <c r="D1141">
        <f t="shared" si="88"/>
        <v>64113.662820846235</v>
      </c>
      <c r="E1141">
        <f t="shared" si="89"/>
        <v>55278.39260386215</v>
      </c>
    </row>
    <row r="1142" spans="1:5">
      <c r="A1142">
        <f t="shared" si="85"/>
        <v>0.53320070068132397</v>
      </c>
      <c r="B1142">
        <f t="shared" si="86"/>
        <v>0.17205410680955513</v>
      </c>
      <c r="C1142">
        <f t="shared" si="87"/>
        <v>0.98963363315745523</v>
      </c>
      <c r="D1142">
        <f t="shared" si="88"/>
        <v>63209.459021642884</v>
      </c>
      <c r="E1142">
        <f t="shared" si="89"/>
        <v>62554.206581505736</v>
      </c>
    </row>
    <row r="1143" spans="1:5">
      <c r="A1143">
        <f t="shared" si="85"/>
        <v>0.24806568710348209</v>
      </c>
      <c r="B1143">
        <f t="shared" si="86"/>
        <v>0.8578842279364659</v>
      </c>
      <c r="C1143">
        <f t="shared" si="87"/>
        <v>0.81758751095217375</v>
      </c>
      <c r="D1143">
        <f t="shared" si="88"/>
        <v>68219.080526057325</v>
      </c>
      <c r="E1143">
        <f t="shared" si="89"/>
        <v>55775.068246745119</v>
      </c>
    </row>
    <row r="1144" spans="1:5">
      <c r="A1144">
        <f t="shared" si="85"/>
        <v>0.4644509439036737</v>
      </c>
      <c r="B1144">
        <f t="shared" si="86"/>
        <v>0.33776207080196441</v>
      </c>
      <c r="C1144">
        <f t="shared" si="87"/>
        <v>0.9478522620998785</v>
      </c>
      <c r="D1144">
        <f t="shared" si="88"/>
        <v>64519.650132472314</v>
      </c>
      <c r="E1144">
        <f t="shared" si="89"/>
        <v>61155.096327956606</v>
      </c>
    </row>
    <row r="1145" spans="1:5">
      <c r="A1145">
        <f t="shared" si="85"/>
        <v>0.18235647108189923</v>
      </c>
      <c r="B1145">
        <f t="shared" si="86"/>
        <v>0.61168763540605053</v>
      </c>
      <c r="C1145">
        <f t="shared" si="87"/>
        <v>0.77270702970089289</v>
      </c>
      <c r="D1145">
        <f t="shared" si="88"/>
        <v>66264.000419640404</v>
      </c>
      <c r="E1145">
        <f t="shared" si="89"/>
        <v>51202.658940359055</v>
      </c>
    </row>
    <row r="1146" spans="1:5">
      <c r="A1146">
        <f t="shared" si="85"/>
        <v>0.40178226863815869</v>
      </c>
      <c r="B1146">
        <f t="shared" si="86"/>
        <v>0.67966092174872439</v>
      </c>
      <c r="C1146">
        <f t="shared" si="87"/>
        <v>0.91079799196740574</v>
      </c>
      <c r="D1146">
        <f t="shared" si="88"/>
        <v>66718.606495622298</v>
      </c>
      <c r="E1146">
        <f t="shared" si="89"/>
        <v>60767.172823076304</v>
      </c>
    </row>
    <row r="1147" spans="1:5">
      <c r="A1147">
        <f t="shared" si="85"/>
        <v>0.12272833657245186</v>
      </c>
      <c r="B1147">
        <f t="shared" si="86"/>
        <v>0.54168192982998575</v>
      </c>
      <c r="C1147">
        <f t="shared" si="87"/>
        <v>0.72497805202257559</v>
      </c>
      <c r="D1147">
        <f t="shared" si="88"/>
        <v>65819.285066832395</v>
      </c>
      <c r="E1147">
        <f t="shared" si="89"/>
        <v>47717.537073270752</v>
      </c>
    </row>
    <row r="1148" spans="1:5">
      <c r="A1148">
        <f t="shared" si="85"/>
        <v>0.34519467488477895</v>
      </c>
      <c r="B1148">
        <f t="shared" si="86"/>
        <v>0.19775065964983507</v>
      </c>
      <c r="C1148">
        <f t="shared" si="87"/>
        <v>0.87736543502803954</v>
      </c>
      <c r="D1148">
        <f t="shared" si="88"/>
        <v>63448.884943869605</v>
      </c>
      <c r="E1148">
        <f t="shared" si="89"/>
        <v>55667.858540822184</v>
      </c>
    </row>
    <row r="1149" spans="1:5">
      <c r="A1149">
        <f t="shared" si="85"/>
        <v>6.9181283575139751E-2</v>
      </c>
      <c r="B1149">
        <f t="shared" si="86"/>
        <v>0.64786711120827167</v>
      </c>
      <c r="C1149">
        <f t="shared" si="87"/>
        <v>0.66916201372677475</v>
      </c>
      <c r="D1149">
        <f t="shared" si="88"/>
        <v>66502.065362869995</v>
      </c>
      <c r="E1149">
        <f t="shared" si="89"/>
        <v>44500.655975207686</v>
      </c>
    </row>
    <row r="1150" spans="1:5">
      <c r="A1150">
        <f t="shared" si="85"/>
        <v>0.2946881626435347</v>
      </c>
      <c r="B1150">
        <f t="shared" si="86"/>
        <v>0.89203128450529645</v>
      </c>
      <c r="C1150">
        <f t="shared" si="87"/>
        <v>0.84688953742828998</v>
      </c>
      <c r="D1150">
        <f t="shared" si="88"/>
        <v>68632.731217182562</v>
      </c>
      <c r="E1150">
        <f t="shared" si="89"/>
        <v>58124.341992959897</v>
      </c>
    </row>
    <row r="1151" spans="1:5">
      <c r="A1151">
        <f t="shared" si="85"/>
        <v>2.1715312089963135E-2</v>
      </c>
      <c r="B1151">
        <f t="shared" si="86"/>
        <v>0.93024317954090874</v>
      </c>
      <c r="C1151">
        <f t="shared" si="87"/>
        <v>0.58500422823881537</v>
      </c>
      <c r="D1151">
        <f t="shared" si="88"/>
        <v>69229.33672350891</v>
      </c>
      <c r="E1151">
        <f t="shared" si="89"/>
        <v>40499.454701421411</v>
      </c>
    </row>
    <row r="1152" spans="1:5">
      <c r="A1152">
        <f t="shared" si="85"/>
        <v>0.2502627319144255</v>
      </c>
      <c r="B1152">
        <f t="shared" si="86"/>
        <v>0.76250279631510876</v>
      </c>
      <c r="C1152">
        <f t="shared" si="87"/>
        <v>0.81900441889716447</v>
      </c>
      <c r="D1152">
        <f t="shared" si="88"/>
        <v>67333.652145208645</v>
      </c>
      <c r="E1152">
        <f t="shared" si="89"/>
        <v>55146.55864741042</v>
      </c>
    </row>
    <row r="1153" spans="1:5">
      <c r="A1153">
        <f t="shared" si="85"/>
        <v>0.98033042211692156</v>
      </c>
      <c r="B1153">
        <f t="shared" si="86"/>
        <v>0.38881013482789628</v>
      </c>
      <c r="C1153">
        <f t="shared" si="87"/>
        <v>1.6223981538131118</v>
      </c>
      <c r="D1153">
        <f t="shared" si="88"/>
        <v>64857.833084341357</v>
      </c>
      <c r="E1153">
        <f t="shared" si="89"/>
        <v>105225.22865635437</v>
      </c>
    </row>
    <row r="1154" spans="1:5">
      <c r="A1154">
        <f t="shared" si="85"/>
        <v>0.21191838269745178</v>
      </c>
      <c r="B1154">
        <f t="shared" si="86"/>
        <v>0.80916519507927154</v>
      </c>
      <c r="C1154">
        <f t="shared" si="87"/>
        <v>0.7935841858899495</v>
      </c>
      <c r="D1154">
        <f t="shared" si="88"/>
        <v>67732.167478419942</v>
      </c>
      <c r="E1154">
        <f t="shared" si="89"/>
        <v>53751.176986923601</v>
      </c>
    </row>
    <row r="1155" spans="1:5">
      <c r="A1155">
        <f t="shared" si="85"/>
        <v>0.94502661365601548</v>
      </c>
      <c r="B1155">
        <f t="shared" si="86"/>
        <v>2.3567977069234747E-2</v>
      </c>
      <c r="C1155">
        <f t="shared" si="87"/>
        <v>1.445359539391786</v>
      </c>
      <c r="D1155">
        <f t="shared" si="88"/>
        <v>60628.826433712384</v>
      </c>
      <c r="E1155">
        <f t="shared" si="89"/>
        <v>87630.452648095074</v>
      </c>
    </row>
    <row r="1156" spans="1:5">
      <c r="A1156">
        <f t="shared" si="85"/>
        <v>0.17965511499261311</v>
      </c>
      <c r="B1156">
        <f t="shared" si="86"/>
        <v>3.2018480797785465E-2</v>
      </c>
      <c r="C1156">
        <f t="shared" si="87"/>
        <v>0.77072776824716061</v>
      </c>
      <c r="D1156">
        <f t="shared" si="88"/>
        <v>60959.550910244929</v>
      </c>
      <c r="E1156">
        <f t="shared" si="89"/>
        <v>46983.218626402238</v>
      </c>
    </row>
    <row r="1157" spans="1:5">
      <c r="A1157">
        <f t="shared" si="85"/>
        <v>0.91580388670724489</v>
      </c>
      <c r="B1157">
        <f t="shared" si="86"/>
        <v>0.83451670626492391</v>
      </c>
      <c r="C1157">
        <f t="shared" si="87"/>
        <v>1.3676542914592245</v>
      </c>
      <c r="D1157">
        <f t="shared" si="88"/>
        <v>67973.949416272022</v>
      </c>
      <c r="E1157">
        <f t="shared" si="89"/>
        <v>92964.863626596678</v>
      </c>
    </row>
    <row r="1158" spans="1:5">
      <c r="A1158">
        <f t="shared" si="85"/>
        <v>0.15347292879991015</v>
      </c>
      <c r="B1158">
        <f t="shared" si="86"/>
        <v>0.43106265347064987</v>
      </c>
      <c r="C1158">
        <f t="shared" si="87"/>
        <v>0.75076478141681524</v>
      </c>
      <c r="D1158">
        <f t="shared" si="88"/>
        <v>65127.948758990344</v>
      </c>
      <c r="E1158">
        <f t="shared" si="89"/>
        <v>48895.77021416893</v>
      </c>
    </row>
    <row r="1159" spans="1:5">
      <c r="A1159">
        <f t="shared" si="85"/>
        <v>0.89266224127060934</v>
      </c>
      <c r="B1159">
        <f t="shared" si="86"/>
        <v>0.82165632241496356</v>
      </c>
      <c r="C1159">
        <f t="shared" si="87"/>
        <v>1.3217449429185226</v>
      </c>
      <c r="D1159">
        <f t="shared" si="88"/>
        <v>67848.585639553174</v>
      </c>
      <c r="E1159">
        <f t="shared" si="89"/>
        <v>89678.524953253698</v>
      </c>
    </row>
    <row r="1160" spans="1:5">
      <c r="A1160">
        <f t="shared" si="85"/>
        <v>0.13337182411934223</v>
      </c>
      <c r="B1160">
        <f t="shared" si="86"/>
        <v>6.2977130978651985E-3</v>
      </c>
      <c r="C1160">
        <f t="shared" si="87"/>
        <v>0.73425550700072906</v>
      </c>
      <c r="D1160">
        <f t="shared" si="88"/>
        <v>59362.272838879406</v>
      </c>
      <c r="E1160">
        <f t="shared" si="89"/>
        <v>43587.075740027009</v>
      </c>
    </row>
    <row r="1161" spans="1:5">
      <c r="A1161">
        <f t="shared" si="85"/>
        <v>0.87560167734610916</v>
      </c>
      <c r="B1161">
        <f t="shared" si="86"/>
        <v>0.98498682551935413</v>
      </c>
      <c r="C1161">
        <f t="shared" si="87"/>
        <v>1.2931347221593159</v>
      </c>
      <c r="D1161">
        <f t="shared" si="88"/>
        <v>70948.449711111374</v>
      </c>
      <c r="E1161">
        <f t="shared" si="89"/>
        <v>91745.903804812202</v>
      </c>
    </row>
    <row r="1162" spans="1:5">
      <c r="A1162">
        <f t="shared" si="85"/>
        <v>0.1193518009509098</v>
      </c>
      <c r="B1162">
        <f t="shared" si="86"/>
        <v>0.75772365967943101</v>
      </c>
      <c r="C1162">
        <f t="shared" si="87"/>
        <v>0.7219435488426299</v>
      </c>
      <c r="D1162">
        <f t="shared" si="88"/>
        <v>67295.457875764245</v>
      </c>
      <c r="E1162">
        <f t="shared" si="89"/>
        <v>48583.52167981895</v>
      </c>
    </row>
    <row r="1163" spans="1:5">
      <c r="A1163">
        <f t="shared" si="85"/>
        <v>0.86462219493374426</v>
      </c>
      <c r="B1163">
        <f t="shared" si="86"/>
        <v>0.32450821557809562</v>
      </c>
      <c r="C1163">
        <f t="shared" si="87"/>
        <v>1.2764477620172703</v>
      </c>
      <c r="D1163">
        <f t="shared" si="88"/>
        <v>64428.867226416769</v>
      </c>
      <c r="E1163">
        <f t="shared" si="89"/>
        <v>82240.083380467535</v>
      </c>
    </row>
    <row r="1164" spans="1:5">
      <c r="A1164">
        <f t="shared" si="85"/>
        <v>0.11141285929461242</v>
      </c>
      <c r="B1164">
        <f t="shared" si="86"/>
        <v>0.68534049321534773</v>
      </c>
      <c r="C1164">
        <f t="shared" si="87"/>
        <v>0.71461440984528102</v>
      </c>
      <c r="D1164">
        <f t="shared" si="88"/>
        <v>66758.184738380034</v>
      </c>
      <c r="E1164">
        <f t="shared" si="89"/>
        <v>47706.360789159691</v>
      </c>
    </row>
    <row r="1165" spans="1:5">
      <c r="A1165">
        <f t="shared" si="85"/>
        <v>0.85972379403351473</v>
      </c>
      <c r="B1165">
        <f t="shared" si="86"/>
        <v>0.84022049259118758</v>
      </c>
      <c r="C1165">
        <f t="shared" si="87"/>
        <v>1.2693688469949849</v>
      </c>
      <c r="D1165">
        <f t="shared" si="88"/>
        <v>68031.562300569902</v>
      </c>
      <c r="E1165">
        <f t="shared" si="89"/>
        <v>86357.145796741897</v>
      </c>
    </row>
    <row r="1166" spans="1:5">
      <c r="A1166">
        <f t="shared" si="85"/>
        <v>0.10955499915045053</v>
      </c>
      <c r="B1166">
        <f t="shared" si="86"/>
        <v>0.78914821370561516</v>
      </c>
      <c r="C1166">
        <f t="shared" si="87"/>
        <v>0.71285693175790532</v>
      </c>
      <c r="D1166">
        <f t="shared" si="88"/>
        <v>67554.93820835778</v>
      </c>
      <c r="E1166">
        <f t="shared" si="89"/>
        <v>48157.005976304812</v>
      </c>
    </row>
    <row r="1167" spans="1:5">
      <c r="A1167">
        <f t="shared" si="85"/>
        <v>0.86090647464542047</v>
      </c>
      <c r="B1167">
        <f t="shared" si="86"/>
        <v>0.53212365655863048</v>
      </c>
      <c r="C1167">
        <f t="shared" si="87"/>
        <v>1.2710587877294848</v>
      </c>
      <c r="D1167">
        <f t="shared" si="88"/>
        <v>65759.518941916613</v>
      </c>
      <c r="E1167">
        <f t="shared" si="89"/>
        <v>83584.214427986619</v>
      </c>
    </row>
    <row r="1168" spans="1:5">
      <c r="A1168">
        <f t="shared" ref="A1168:A1231" si="90">IFERROR(MOD(MOD(($E$8+((ROW()-15)*(ROW()-14)/2)*13)*171,30269)/30269+MOD(($E$8+((ROW()-15)*(ROW()-14)/2)*29)*172,30307)/30307+MOD(($E$8+((ROW()-15)*(ROW()-14)/2)*47)*170,30323)/30323,1),0.5)</f>
        <v>0.11377822051842412</v>
      </c>
      <c r="B1168">
        <f t="shared" ref="B1168:B1231" si="91">IFERROR(MOD(MOD(($E$8+((ROW()-15)*(ROW()-14)/2)*17)*171,30269)/30269+MOD(($E$8+((ROW()-15)*(ROW()-14)/2)*41)*172,30307)/30307+MOD(($E$8+((ROW()-15)*(ROW()-14)/2)*83)*170,30323)/30323,1),0.5)</f>
        <v>6.9146821150233073E-2</v>
      </c>
      <c r="C1168">
        <f t="shared" ref="C1168:C1231" si="92">IFERROR(EXP($E$4*NORMSINV(MIN(MAX(A1168,0.000000001),0.999999999))-$E$4^2/2),1)</f>
        <v>0.71682802032779269</v>
      </c>
      <c r="D1168">
        <f t="shared" ref="D1168:D1231" si="93">IFERROR($B$5+$E$5*NORMSINV(MIN(MAX(B1168,0.000000001),0.999999999)),$B$5)</f>
        <v>61877.918332969857</v>
      </c>
      <c r="E1168">
        <f t="shared" ref="E1168:E1231" si="94">IFERROR(C1168*MAX(D1168,0),0)</f>
        <v>44355.825700627611</v>
      </c>
    </row>
    <row r="1169" spans="1:5">
      <c r="A1169">
        <f t="shared" si="90"/>
        <v>0.86817023676946148</v>
      </c>
      <c r="B1169">
        <f t="shared" si="91"/>
        <v>0.40021770748042407</v>
      </c>
      <c r="C1169">
        <f t="shared" si="92"/>
        <v>1.2817109205461652</v>
      </c>
      <c r="D1169">
        <f t="shared" si="93"/>
        <v>64931.446982189715</v>
      </c>
      <c r="E1169">
        <f t="shared" si="94"/>
        <v>83223.344683936899</v>
      </c>
    </row>
    <row r="1170" spans="1:5">
      <c r="A1170">
        <f t="shared" si="90"/>
        <v>0.12408252339853298</v>
      </c>
      <c r="B1170">
        <f t="shared" si="91"/>
        <v>0.52533631554920235</v>
      </c>
      <c r="C1170">
        <f t="shared" si="92"/>
        <v>0.72618211413537459</v>
      </c>
      <c r="D1170">
        <f t="shared" si="93"/>
        <v>65717.151254172073</v>
      </c>
      <c r="E1170">
        <f t="shared" si="94"/>
        <v>47722.619832708857</v>
      </c>
    </row>
    <row r="1171" spans="1:5">
      <c r="A1171">
        <f t="shared" si="90"/>
        <v>0.88151508040563786</v>
      </c>
      <c r="B1171">
        <f t="shared" si="91"/>
        <v>0.44450264535656836</v>
      </c>
      <c r="C1171">
        <f t="shared" si="92"/>
        <v>1.3026474050776622</v>
      </c>
      <c r="D1171">
        <f t="shared" si="93"/>
        <v>65212.661261661648</v>
      </c>
      <c r="E1171">
        <f t="shared" si="94"/>
        <v>84949.103970712124</v>
      </c>
    </row>
    <row r="1172" spans="1:5">
      <c r="A1172">
        <f t="shared" si="90"/>
        <v>0.14046790779077689</v>
      </c>
      <c r="B1172">
        <f t="shared" si="91"/>
        <v>0.1577166969025221</v>
      </c>
      <c r="C1172">
        <f t="shared" si="92"/>
        <v>0.74022219613179985</v>
      </c>
      <c r="D1172">
        <f t="shared" si="93"/>
        <v>63065.879124507672</v>
      </c>
      <c r="E1172">
        <f t="shared" si="94"/>
        <v>46682.763546525697</v>
      </c>
    </row>
    <row r="1173" spans="1:5">
      <c r="A1173">
        <f t="shared" si="90"/>
        <v>0.90094100555394951</v>
      </c>
      <c r="B1173">
        <f t="shared" si="91"/>
        <v>0.66497847018706335</v>
      </c>
      <c r="C1173">
        <f t="shared" si="92"/>
        <v>1.3370731399778508</v>
      </c>
      <c r="D1173">
        <f t="shared" si="93"/>
        <v>66617.611557347482</v>
      </c>
      <c r="E1173">
        <f t="shared" si="94"/>
        <v>89072.619062807367</v>
      </c>
    </row>
    <row r="1174" spans="1:5">
      <c r="A1174">
        <f t="shared" si="90"/>
        <v>0.16293437369515607</v>
      </c>
      <c r="B1174">
        <f t="shared" si="91"/>
        <v>0.96628796521019245</v>
      </c>
      <c r="C1174">
        <f t="shared" si="92"/>
        <v>0.75815509684196891</v>
      </c>
      <c r="D1174">
        <f t="shared" si="93"/>
        <v>70101.717235663469</v>
      </c>
      <c r="E1174">
        <f t="shared" si="94"/>
        <v>53147.974219592761</v>
      </c>
    </row>
    <row r="1175" spans="1:5">
      <c r="A1175">
        <f t="shared" si="90"/>
        <v>0.92644801221439654</v>
      </c>
      <c r="B1175">
        <f t="shared" si="91"/>
        <v>6.1645181971909047E-2</v>
      </c>
      <c r="C1175">
        <f t="shared" si="92"/>
        <v>1.3926511783041489</v>
      </c>
      <c r="D1175">
        <f t="shared" si="93"/>
        <v>61731.541662954864</v>
      </c>
      <c r="E1175">
        <f t="shared" si="94"/>
        <v>85970.504235445755</v>
      </c>
    </row>
    <row r="1176" spans="1:5">
      <c r="A1176">
        <f t="shared" si="90"/>
        <v>0.19148192111167073</v>
      </c>
      <c r="B1176">
        <f t="shared" si="91"/>
        <v>0.95105012047221349</v>
      </c>
      <c r="C1176">
        <f t="shared" si="92"/>
        <v>0.77929775142327995</v>
      </c>
      <c r="D1176">
        <f t="shared" si="93"/>
        <v>69670.249372168502</v>
      </c>
      <c r="E1176">
        <f t="shared" si="94"/>
        <v>54293.868676830098</v>
      </c>
    </row>
    <row r="1177" spans="1:5">
      <c r="A1177">
        <f t="shared" si="90"/>
        <v>0.95803610038697884</v>
      </c>
      <c r="B1177">
        <f t="shared" si="91"/>
        <v>0.63450278071110566</v>
      </c>
      <c r="C1177">
        <f t="shared" si="92"/>
        <v>1.4930698216419678</v>
      </c>
      <c r="D1177">
        <f t="shared" si="93"/>
        <v>66413.2321371984</v>
      </c>
      <c r="E1177">
        <f t="shared" si="94"/>
        <v>99159.592661753413</v>
      </c>
    </row>
    <row r="1178" spans="1:5">
      <c r="A1178">
        <f t="shared" si="90"/>
        <v>0.22611055004032066</v>
      </c>
      <c r="B1178">
        <f t="shared" si="91"/>
        <v>0.11200316268858557</v>
      </c>
      <c r="C1178">
        <f t="shared" si="92"/>
        <v>0.8031776806303853</v>
      </c>
      <c r="D1178">
        <f t="shared" si="93"/>
        <v>62539.176757445595</v>
      </c>
      <c r="E1178">
        <f t="shared" si="94"/>
        <v>50230.070936578857</v>
      </c>
    </row>
    <row r="1179" spans="1:5">
      <c r="A1179">
        <f t="shared" si="90"/>
        <v>0.99570527007169662</v>
      </c>
      <c r="B1179">
        <f t="shared" si="91"/>
        <v>0.38355126640465304</v>
      </c>
      <c r="C1179">
        <f t="shared" si="92"/>
        <v>1.8696364070697014</v>
      </c>
      <c r="D1179">
        <f t="shared" si="93"/>
        <v>64823.692543373101</v>
      </c>
      <c r="E1179">
        <f t="shared" si="94"/>
        <v>121196.73561978308</v>
      </c>
    </row>
    <row r="1180" spans="1:5">
      <c r="A1180">
        <f t="shared" si="90"/>
        <v>0.26682026048110608</v>
      </c>
      <c r="B1180">
        <f t="shared" si="91"/>
        <v>0.44914709185930812</v>
      </c>
      <c r="C1180">
        <f t="shared" si="92"/>
        <v>0.8295560605237895</v>
      </c>
      <c r="D1180">
        <f t="shared" si="93"/>
        <v>65241.836816745497</v>
      </c>
      <c r="E1180">
        <f t="shared" si="94"/>
        <v>54121.761131035324</v>
      </c>
    </row>
    <row r="1181" spans="1:5">
      <c r="A1181">
        <f t="shared" si="90"/>
        <v>3.9455521268549454E-2</v>
      </c>
      <c r="B1181">
        <f t="shared" si="91"/>
        <v>0.308790639052551</v>
      </c>
      <c r="C1181">
        <f t="shared" si="92"/>
        <v>0.62468364519702657</v>
      </c>
      <c r="D1181">
        <f t="shared" si="93"/>
        <v>64319.203179078577</v>
      </c>
      <c r="E1181">
        <f t="shared" si="94"/>
        <v>40179.154298074987</v>
      </c>
    </row>
    <row r="1182" spans="1:5">
      <c r="A1182">
        <f t="shared" si="90"/>
        <v>0.31361105243402654</v>
      </c>
      <c r="B1182">
        <f t="shared" si="91"/>
        <v>0.96248190798438182</v>
      </c>
      <c r="C1182">
        <f t="shared" si="92"/>
        <v>0.85842143684857264</v>
      </c>
      <c r="D1182">
        <f t="shared" si="93"/>
        <v>69981.02173075889</v>
      </c>
      <c r="E1182">
        <f t="shared" si="94"/>
        <v>60073.20922624923</v>
      </c>
    </row>
    <row r="1183" spans="1:5">
      <c r="A1183">
        <f t="shared" si="90"/>
        <v>8.928685397753755E-2</v>
      </c>
      <c r="B1183">
        <f t="shared" si="91"/>
        <v>0.41022089865479994</v>
      </c>
      <c r="C1183">
        <f t="shared" si="92"/>
        <v>0.69243570252290332</v>
      </c>
      <c r="D1183">
        <f t="shared" si="93"/>
        <v>64995.545320957652</v>
      </c>
      <c r="E1183">
        <f t="shared" si="94"/>
        <v>45005.236085176512</v>
      </c>
    </row>
    <row r="1184" spans="1:5">
      <c r="A1184">
        <f t="shared" si="90"/>
        <v>0.36648292589908227</v>
      </c>
      <c r="B1184">
        <f t="shared" si="91"/>
        <v>0.65200761106380578</v>
      </c>
      <c r="C1184">
        <f t="shared" si="92"/>
        <v>0.88998938832544361</v>
      </c>
      <c r="D1184">
        <f t="shared" si="93"/>
        <v>66529.828549809929</v>
      </c>
      <c r="E1184">
        <f t="shared" si="94"/>
        <v>59210.841416441974</v>
      </c>
    </row>
    <row r="1185" spans="1:5">
      <c r="A1185">
        <f t="shared" si="90"/>
        <v>0.14519926819866114</v>
      </c>
      <c r="B1185">
        <f t="shared" si="91"/>
        <v>0.68784204521139936</v>
      </c>
      <c r="C1185">
        <f t="shared" si="92"/>
        <v>0.74411332634478533</v>
      </c>
      <c r="D1185">
        <f t="shared" si="93"/>
        <v>66775.713304799589</v>
      </c>
      <c r="E1185">
        <f t="shared" si="94"/>
        <v>49688.698146280163</v>
      </c>
    </row>
    <row r="1186" spans="1:5">
      <c r="A1186">
        <f t="shared" si="90"/>
        <v>0.42543588087627349</v>
      </c>
      <c r="B1186">
        <f t="shared" si="91"/>
        <v>0.51772420109758066</v>
      </c>
      <c r="C1186">
        <f t="shared" si="92"/>
        <v>0.92473177239294468</v>
      </c>
      <c r="D1186">
        <f t="shared" si="93"/>
        <v>65669.689183799215</v>
      </c>
      <c r="E1186">
        <f t="shared" si="94"/>
        <v>60726.848071428438</v>
      </c>
    </row>
    <row r="1187" spans="1:5">
      <c r="A1187">
        <f t="shared" si="90"/>
        <v>0.20719276393191999</v>
      </c>
      <c r="B1187">
        <f t="shared" si="91"/>
        <v>0.1416540787223497</v>
      </c>
      <c r="C1187">
        <f t="shared" si="92"/>
        <v>0.79033363483163066</v>
      </c>
      <c r="D1187">
        <f t="shared" si="93"/>
        <v>62894.421639083805</v>
      </c>
      <c r="E1187">
        <f t="shared" si="94"/>
        <v>49707.576864650269</v>
      </c>
    </row>
    <row r="1188" spans="1:5">
      <c r="A1188">
        <f t="shared" si="90"/>
        <v>0.49046991736560042</v>
      </c>
      <c r="B1188">
        <f t="shared" si="91"/>
        <v>0.55963167808570624</v>
      </c>
      <c r="C1188">
        <f t="shared" si="92"/>
        <v>0.96346158541015503</v>
      </c>
      <c r="D1188">
        <f t="shared" si="93"/>
        <v>65931.957726705208</v>
      </c>
      <c r="E1188">
        <f t="shared" si="94"/>
        <v>63522.908520566722</v>
      </c>
    </row>
    <row r="1189" spans="1:5">
      <c r="A1189">
        <f t="shared" si="90"/>
        <v>0.27526734117731433</v>
      </c>
      <c r="B1189">
        <f t="shared" si="91"/>
        <v>0.77165699918765074</v>
      </c>
      <c r="C1189">
        <f t="shared" si="92"/>
        <v>0.83486121543868941</v>
      </c>
      <c r="D1189">
        <f t="shared" si="93"/>
        <v>67408.012283696618</v>
      </c>
      <c r="E1189">
        <f t="shared" si="94"/>
        <v>56276.335065473068</v>
      </c>
    </row>
    <row r="1190" spans="1:5">
      <c r="A1190">
        <f t="shared" si="90"/>
        <v>0.56158503536706217</v>
      </c>
      <c r="B1190">
        <f t="shared" si="91"/>
        <v>0.77773004202818274</v>
      </c>
      <c r="C1190">
        <f t="shared" si="92"/>
        <v>1.0075254439086552</v>
      </c>
      <c r="D1190">
        <f t="shared" si="93"/>
        <v>67458.270192416487</v>
      </c>
      <c r="E1190">
        <f t="shared" si="94"/>
        <v>67965.923620924426</v>
      </c>
    </row>
    <row r="1191" spans="1:5">
      <c r="A1191">
        <f t="shared" si="90"/>
        <v>0.34942299993484394</v>
      </c>
      <c r="B1191">
        <f t="shared" si="91"/>
        <v>0.57785080660730259</v>
      </c>
      <c r="C1191">
        <f t="shared" si="92"/>
        <v>0.87988005791539259</v>
      </c>
      <c r="D1191">
        <f t="shared" si="93"/>
        <v>66047.112589859767</v>
      </c>
      <c r="E1191">
        <f t="shared" si="94"/>
        <v>58113.537250710266</v>
      </c>
    </row>
    <row r="1192" spans="1:5">
      <c r="A1192">
        <f t="shared" si="90"/>
        <v>0.63878123488065919</v>
      </c>
      <c r="B1192">
        <f t="shared" si="91"/>
        <v>0.17201929292500995</v>
      </c>
      <c r="C1192">
        <f t="shared" si="92"/>
        <v>1.0592390211357914</v>
      </c>
      <c r="D1192">
        <f t="shared" si="93"/>
        <v>63209.11990957395</v>
      </c>
      <c r="E1192">
        <f t="shared" si="94"/>
        <v>66953.566299871978</v>
      </c>
    </row>
    <row r="1193" spans="1:5">
      <c r="A1193">
        <f t="shared" si="90"/>
        <v>0.42965974020450859</v>
      </c>
      <c r="B1193">
        <f t="shared" si="91"/>
        <v>0.56023550098130503</v>
      </c>
      <c r="C1193">
        <f t="shared" si="92"/>
        <v>0.92722397821332292</v>
      </c>
      <c r="D1193">
        <f t="shared" si="93"/>
        <v>65935.760053083315</v>
      </c>
      <c r="E1193">
        <f t="shared" si="94"/>
        <v>61137.217742939014</v>
      </c>
    </row>
    <row r="1194" spans="1:5">
      <c r="A1194">
        <f t="shared" si="90"/>
        <v>0.72205851590639192</v>
      </c>
      <c r="B1194">
        <f t="shared" si="91"/>
        <v>0.74249943077618807</v>
      </c>
      <c r="C1194">
        <f t="shared" si="92"/>
        <v>1.122986792749594</v>
      </c>
      <c r="D1194">
        <f t="shared" si="93"/>
        <v>67176.413895850637</v>
      </c>
      <c r="E1194">
        <f t="shared" si="94"/>
        <v>75438.225589320573</v>
      </c>
    </row>
    <row r="1195" spans="1:5">
      <c r="A1195">
        <f t="shared" si="90"/>
        <v>0.51597756198630873</v>
      </c>
      <c r="B1195">
        <f t="shared" si="91"/>
        <v>0.71881108230965829</v>
      </c>
      <c r="C1195">
        <f t="shared" si="92"/>
        <v>0.97898900271468137</v>
      </c>
      <c r="D1195">
        <f t="shared" si="93"/>
        <v>66998.185835968863</v>
      </c>
      <c r="E1195">
        <f t="shared" si="94"/>
        <v>65590.487135248055</v>
      </c>
    </row>
    <row r="1196" spans="1:5">
      <c r="A1196">
        <f t="shared" si="90"/>
        <v>0.81141687844425947</v>
      </c>
      <c r="B1196">
        <f t="shared" si="91"/>
        <v>0.48917045558171651</v>
      </c>
      <c r="C1196">
        <f t="shared" si="92"/>
        <v>1.2086842902548185</v>
      </c>
      <c r="D1196">
        <f t="shared" si="93"/>
        <v>65491.872011046966</v>
      </c>
      <c r="E1196">
        <f t="shared" si="94"/>
        <v>79158.996839131709</v>
      </c>
    </row>
    <row r="1197" spans="1:5">
      <c r="A1197">
        <f t="shared" si="90"/>
        <v>0.60837646528024414</v>
      </c>
      <c r="B1197">
        <f t="shared" si="91"/>
        <v>5.3577550592362355E-2</v>
      </c>
      <c r="C1197">
        <f t="shared" si="92"/>
        <v>1.0382353654658552</v>
      </c>
      <c r="D1197">
        <f t="shared" si="93"/>
        <v>61557.666695575463</v>
      </c>
      <c r="E1197">
        <f t="shared" si="94"/>
        <v>63911.346578906094</v>
      </c>
    </row>
    <row r="1198" spans="1:5">
      <c r="A1198">
        <f t="shared" si="90"/>
        <v>0.90685632249426262</v>
      </c>
      <c r="B1198">
        <f t="shared" si="91"/>
        <v>0.41203236734159576</v>
      </c>
      <c r="C1198">
        <f t="shared" si="92"/>
        <v>1.3487261127345573</v>
      </c>
      <c r="D1198">
        <f t="shared" si="93"/>
        <v>65007.111545091801</v>
      </c>
      <c r="E1198">
        <f t="shared" si="94"/>
        <v>87676.788854313432</v>
      </c>
    </row>
    <row r="1199" spans="1:5">
      <c r="A1199">
        <f t="shared" si="90"/>
        <v>0.70685645008631481</v>
      </c>
      <c r="B1199">
        <f t="shared" si="91"/>
        <v>0.56453490582941712</v>
      </c>
      <c r="C1199">
        <f t="shared" si="92"/>
        <v>1.1104952496272456</v>
      </c>
      <c r="D1199">
        <f t="shared" si="93"/>
        <v>65962.859849830231</v>
      </c>
      <c r="E1199">
        <f t="shared" si="94"/>
        <v>73251.442515064235</v>
      </c>
    </row>
    <row r="1200" spans="1:5">
      <c r="A1200">
        <f t="shared" si="90"/>
        <v>8.3768480564010428E-3</v>
      </c>
      <c r="B1200">
        <f t="shared" si="91"/>
        <v>0.51108516605582599</v>
      </c>
      <c r="C1200">
        <f t="shared" si="92"/>
        <v>0.53298221155176917</v>
      </c>
      <c r="D1200">
        <f t="shared" si="93"/>
        <v>65628.327818546764</v>
      </c>
      <c r="E1200">
        <f t="shared" si="94"/>
        <v>34978.731301173546</v>
      </c>
    </row>
    <row r="1201" spans="1:5">
      <c r="A1201">
        <f t="shared" si="90"/>
        <v>0.81141751640452098</v>
      </c>
      <c r="B1201">
        <f t="shared" si="91"/>
        <v>0.25168314802082259</v>
      </c>
      <c r="C1201">
        <f t="shared" si="92"/>
        <v>1.2086850039192525</v>
      </c>
      <c r="D1201">
        <f t="shared" si="93"/>
        <v>63897.157430816282</v>
      </c>
      <c r="E1201">
        <f t="shared" si="94"/>
        <v>77231.535979695269</v>
      </c>
    </row>
    <row r="1202" spans="1:5">
      <c r="A1202">
        <f t="shared" si="90"/>
        <v>0.11597845513067462</v>
      </c>
      <c r="B1202">
        <f t="shared" si="91"/>
        <v>0.78632885172440714</v>
      </c>
      <c r="C1202">
        <f t="shared" si="92"/>
        <v>0.71886386658485646</v>
      </c>
      <c r="D1202">
        <f t="shared" si="93"/>
        <v>67530.792258041576</v>
      </c>
      <c r="E1202">
        <f t="shared" si="94"/>
        <v>48545.44643615446</v>
      </c>
    </row>
    <row r="1203" spans="1:5">
      <c r="A1203">
        <f t="shared" si="90"/>
        <v>0.92205966423486219</v>
      </c>
      <c r="B1203">
        <f t="shared" si="91"/>
        <v>0.1150222771665792</v>
      </c>
      <c r="C1203">
        <f t="shared" si="92"/>
        <v>1.3819778964362182</v>
      </c>
      <c r="D1203">
        <f t="shared" si="93"/>
        <v>62578.171281661256</v>
      </c>
      <c r="E1203">
        <f t="shared" si="94"/>
        <v>86481.649510655581</v>
      </c>
    </row>
    <row r="1204" spans="1:5">
      <c r="A1204">
        <f t="shared" si="90"/>
        <v>0.22966114371708368</v>
      </c>
      <c r="B1204">
        <f t="shared" si="91"/>
        <v>0.23776342434733833</v>
      </c>
      <c r="C1204">
        <f t="shared" si="92"/>
        <v>0.80554129200727242</v>
      </c>
      <c r="D1204">
        <f t="shared" si="93"/>
        <v>63787.094200491636</v>
      </c>
      <c r="E1204">
        <f t="shared" si="94"/>
        <v>51383.138275653626</v>
      </c>
    </row>
    <row r="1205" spans="1:5">
      <c r="A1205">
        <f t="shared" si="90"/>
        <v>3.8782893577338662E-2</v>
      </c>
      <c r="B1205">
        <f t="shared" si="91"/>
        <v>0.15455229326668607</v>
      </c>
      <c r="C1205">
        <f t="shared" si="92"/>
        <v>0.62344358874744477</v>
      </c>
      <c r="D1205">
        <f t="shared" si="93"/>
        <v>63033.052795005126</v>
      </c>
      <c r="E1205">
        <f t="shared" si="94"/>
        <v>39297.55264422515</v>
      </c>
    </row>
    <row r="1206" spans="1:5">
      <c r="A1206">
        <f t="shared" si="90"/>
        <v>0.34942491381562801</v>
      </c>
      <c r="B1206">
        <f t="shared" si="91"/>
        <v>0.86538888392462088</v>
      </c>
      <c r="C1206">
        <f t="shared" si="92"/>
        <v>0.87988119520138353</v>
      </c>
      <c r="D1206">
        <f t="shared" si="93"/>
        <v>68303.512815153314</v>
      </c>
      <c r="E1206">
        <f t="shared" si="94"/>
        <v>60098.976492250113</v>
      </c>
    </row>
    <row r="1207" spans="1:5">
      <c r="A1207">
        <f t="shared" si="90"/>
        <v>0.16158720443195085</v>
      </c>
      <c r="B1207">
        <f t="shared" si="91"/>
        <v>0.37027319632114364</v>
      </c>
      <c r="C1207">
        <f t="shared" si="92"/>
        <v>0.7571159308478006</v>
      </c>
      <c r="D1207">
        <f t="shared" si="93"/>
        <v>64736.852809385768</v>
      </c>
      <c r="E1207">
        <f t="shared" si="94"/>
        <v>49013.302574935158</v>
      </c>
    </row>
    <row r="1208" spans="1:5">
      <c r="A1208">
        <f t="shared" si="90"/>
        <v>0.47526976542630761</v>
      </c>
      <c r="B1208">
        <f t="shared" si="91"/>
        <v>0.66920523045625435</v>
      </c>
      <c r="C1208">
        <f t="shared" si="92"/>
        <v>0.95431896841944652</v>
      </c>
      <c r="D1208">
        <f t="shared" si="93"/>
        <v>66646.499604554876</v>
      </c>
      <c r="E1208">
        <f t="shared" si="94"/>
        <v>63602.018751385862</v>
      </c>
    </row>
    <row r="1209" spans="1:5">
      <c r="A1209">
        <f t="shared" si="90"/>
        <v>0.2904725967986983</v>
      </c>
      <c r="B1209">
        <f t="shared" si="91"/>
        <v>0.76218498632995235</v>
      </c>
      <c r="C1209">
        <f t="shared" si="92"/>
        <v>0.84429682912126836</v>
      </c>
      <c r="D1209">
        <f t="shared" si="93"/>
        <v>67331.099282948606</v>
      </c>
      <c r="E1209">
        <f t="shared" si="94"/>
        <v>56847.433625842816</v>
      </c>
    </row>
    <row r="1210" spans="1:5">
      <c r="A1210">
        <f t="shared" si="90"/>
        <v>0.6071956985491227</v>
      </c>
      <c r="B1210">
        <f t="shared" si="91"/>
        <v>0.64921246394223808</v>
      </c>
      <c r="C1210">
        <f t="shared" si="92"/>
        <v>1.0374381554924881</v>
      </c>
      <c r="D1210">
        <f t="shared" si="93"/>
        <v>66511.073241716294</v>
      </c>
      <c r="E1210">
        <f t="shared" si="94"/>
        <v>69001.125143711935</v>
      </c>
    </row>
    <row r="1211" spans="1:5">
      <c r="A1211">
        <f t="shared" si="90"/>
        <v>0.4254390706775808</v>
      </c>
      <c r="B1211">
        <f t="shared" si="91"/>
        <v>0.33028766329311154</v>
      </c>
      <c r="C1211">
        <f t="shared" si="92"/>
        <v>0.92473365380891004</v>
      </c>
      <c r="D1211">
        <f t="shared" si="93"/>
        <v>64468.632479104373</v>
      </c>
      <c r="E1211">
        <f t="shared" si="94"/>
        <v>59616.314068465959</v>
      </c>
    </row>
    <row r="1212" spans="1:5">
      <c r="A1212">
        <f t="shared" si="90"/>
        <v>0.74520271318407283</v>
      </c>
      <c r="B1212">
        <f t="shared" si="91"/>
        <v>0.80541058438257274</v>
      </c>
      <c r="C1212">
        <f t="shared" si="92"/>
        <v>1.1429553021759786</v>
      </c>
      <c r="D1212">
        <f t="shared" si="93"/>
        <v>67698.098551113071</v>
      </c>
      <c r="E1212">
        <f t="shared" si="94"/>
        <v>77375.900686226625</v>
      </c>
    </row>
    <row r="1213" spans="1:5">
      <c r="A1213">
        <f t="shared" si="90"/>
        <v>0.56648662606859879</v>
      </c>
      <c r="B1213">
        <f t="shared" si="91"/>
        <v>7.4581227210621659E-2</v>
      </c>
      <c r="C1213">
        <f t="shared" si="92"/>
        <v>1.0106655562935183</v>
      </c>
      <c r="D1213">
        <f t="shared" si="93"/>
        <v>61976.472406987334</v>
      </c>
      <c r="E1213">
        <f t="shared" si="94"/>
        <v>62637.48596231774</v>
      </c>
    </row>
    <row r="1214" spans="1:5">
      <c r="A1214">
        <f t="shared" si="90"/>
        <v>0.88929080933115845</v>
      </c>
      <c r="B1214">
        <f t="shared" si="91"/>
        <v>0.13779959177725809</v>
      </c>
      <c r="C1214">
        <f t="shared" si="92"/>
        <v>1.315795344698619</v>
      </c>
      <c r="D1214">
        <f t="shared" si="93"/>
        <v>62851.349814407877</v>
      </c>
      <c r="E1214">
        <f t="shared" si="94"/>
        <v>82699.513493822291</v>
      </c>
    </row>
    <row r="1215" spans="1:5">
      <c r="A1215">
        <f t="shared" si="90"/>
        <v>0.71361526297175182</v>
      </c>
      <c r="B1215">
        <f t="shared" si="91"/>
        <v>0.99506567808248225</v>
      </c>
      <c r="C1215">
        <f t="shared" si="92"/>
        <v>1.1159927463672521</v>
      </c>
      <c r="D1215">
        <f t="shared" si="93"/>
        <v>71968.424581838262</v>
      </c>
      <c r="E1215">
        <f t="shared" si="94"/>
        <v>80316.239800810145</v>
      </c>
    </row>
    <row r="1216" spans="1:5">
      <c r="A1216">
        <f t="shared" si="90"/>
        <v>3.9459986990379559E-2</v>
      </c>
      <c r="B1216">
        <f t="shared" si="91"/>
        <v>0.64637948612629437</v>
      </c>
      <c r="C1216">
        <f t="shared" si="92"/>
        <v>0.6246918286966161</v>
      </c>
      <c r="D1216">
        <f t="shared" si="93"/>
        <v>66492.119302487394</v>
      </c>
      <c r="E1216">
        <f t="shared" si="94"/>
        <v>41537.083600984413</v>
      </c>
    </row>
    <row r="1217" spans="1:5">
      <c r="A1217">
        <f t="shared" si="90"/>
        <v>0.86682498138704034</v>
      </c>
      <c r="B1217">
        <f t="shared" si="91"/>
        <v>9.1741015908693768E-2</v>
      </c>
      <c r="C1217">
        <f t="shared" si="92"/>
        <v>1.2797014802757183</v>
      </c>
      <c r="D1217">
        <f t="shared" si="93"/>
        <v>62255.613998419409</v>
      </c>
      <c r="E1217">
        <f t="shared" si="94"/>
        <v>79668.601389251053</v>
      </c>
    </row>
    <row r="1218" spans="1:5">
      <c r="A1218">
        <f t="shared" si="90"/>
        <v>0.19571024616173549</v>
      </c>
      <c r="B1218">
        <f t="shared" si="91"/>
        <v>0.33115026742968112</v>
      </c>
      <c r="C1218">
        <f t="shared" si="92"/>
        <v>0.78230465156906825</v>
      </c>
      <c r="D1218">
        <f t="shared" si="93"/>
        <v>64474.54344115813</v>
      </c>
      <c r="E1218">
        <f t="shared" si="94"/>
        <v>50438.735241809969</v>
      </c>
    </row>
    <row r="1219" spans="1:5">
      <c r="A1219">
        <f t="shared" si="90"/>
        <v>2.6115781314464348E-2</v>
      </c>
      <c r="B1219">
        <f t="shared" si="91"/>
        <v>0.36460724068925598</v>
      </c>
      <c r="C1219">
        <f t="shared" si="92"/>
        <v>0.59657215941616049</v>
      </c>
      <c r="D1219">
        <f t="shared" si="93"/>
        <v>64699.494969595187</v>
      </c>
      <c r="E1219">
        <f t="shared" si="94"/>
        <v>38597.917427146414</v>
      </c>
    </row>
    <row r="1220" spans="1:5">
      <c r="A1220">
        <f t="shared" si="90"/>
        <v>0.35804158684522713</v>
      </c>
      <c r="B1220">
        <f t="shared" si="91"/>
        <v>0.1921119356874188</v>
      </c>
      <c r="C1220">
        <f t="shared" si="92"/>
        <v>0.88499381595740689</v>
      </c>
      <c r="D1220">
        <f t="shared" si="93"/>
        <v>63398.074437272306</v>
      </c>
      <c r="E1220">
        <f t="shared" si="94"/>
        <v>56106.903820593347</v>
      </c>
    </row>
    <row r="1221" spans="1:5">
      <c r="A1221">
        <f t="shared" si="90"/>
        <v>0.19148766275402362</v>
      </c>
      <c r="B1221">
        <f t="shared" si="91"/>
        <v>0.8136643524241689</v>
      </c>
      <c r="C1221">
        <f t="shared" si="92"/>
        <v>0.77930185395336127</v>
      </c>
      <c r="D1221">
        <f t="shared" si="93"/>
        <v>67773.538830929829</v>
      </c>
      <c r="E1221">
        <f t="shared" si="94"/>
        <v>52816.044459923738</v>
      </c>
    </row>
    <row r="1222" spans="1:5">
      <c r="A1222">
        <f t="shared" si="90"/>
        <v>0.52645400904085382</v>
      </c>
      <c r="B1222">
        <f t="shared" si="91"/>
        <v>0.2292644908995074</v>
      </c>
      <c r="C1222">
        <f t="shared" si="92"/>
        <v>0.98544669739448632</v>
      </c>
      <c r="D1222">
        <f t="shared" si="93"/>
        <v>63718.155119889685</v>
      </c>
      <c r="E1222">
        <f t="shared" si="94"/>
        <v>62790.845526964869</v>
      </c>
    </row>
    <row r="1223" spans="1:5">
      <c r="A1223">
        <f t="shared" si="90"/>
        <v>0.36294062570571795</v>
      </c>
      <c r="B1223">
        <f t="shared" si="91"/>
        <v>0.43891235111343274</v>
      </c>
      <c r="C1223">
        <f t="shared" si="92"/>
        <v>0.88789445442946513</v>
      </c>
      <c r="D1223">
        <f t="shared" si="93"/>
        <v>65177.480148348441</v>
      </c>
      <c r="E1223">
        <f t="shared" si="94"/>
        <v>57870.723177405132</v>
      </c>
    </row>
    <row r="1224" spans="1:5">
      <c r="A1224">
        <f t="shared" si="90"/>
        <v>0.700947512748616</v>
      </c>
      <c r="B1224">
        <f t="shared" si="91"/>
        <v>0.44260793306594604</v>
      </c>
      <c r="C1224">
        <f t="shared" si="92"/>
        <v>1.1057589176257381</v>
      </c>
      <c r="D1224">
        <f t="shared" si="93"/>
        <v>65200.745507760381</v>
      </c>
      <c r="E1224">
        <f t="shared" si="94"/>
        <v>72096.305781052317</v>
      </c>
    </row>
    <row r="1225" spans="1:5">
      <c r="A1225">
        <f t="shared" si="90"/>
        <v>0.54047467016954776</v>
      </c>
      <c r="B1225">
        <f t="shared" si="91"/>
        <v>0.24035123675704728</v>
      </c>
      <c r="C1225">
        <f t="shared" si="92"/>
        <v>0.99417444231760277</v>
      </c>
      <c r="D1225">
        <f t="shared" si="93"/>
        <v>63807.814541783977</v>
      </c>
      <c r="E1225">
        <f t="shared" si="94"/>
        <v>63436.09843758311</v>
      </c>
    </row>
    <row r="1226" spans="1:5">
      <c r="A1226">
        <f t="shared" si="90"/>
        <v>0.88152209796851344</v>
      </c>
      <c r="B1226">
        <f t="shared" si="91"/>
        <v>0.83214226218673604</v>
      </c>
      <c r="C1226">
        <f t="shared" si="92"/>
        <v>1.3026589327359077</v>
      </c>
      <c r="D1226">
        <f t="shared" si="93"/>
        <v>67950.345128933841</v>
      </c>
      <c r="E1226">
        <f t="shared" si="94"/>
        <v>88516.124064693548</v>
      </c>
    </row>
    <row r="1227" spans="1:5">
      <c r="A1227">
        <f t="shared" si="90"/>
        <v>0.72408979614551283</v>
      </c>
      <c r="B1227">
        <f t="shared" si="91"/>
        <v>0.21798100935501252</v>
      </c>
      <c r="C1227">
        <f t="shared" si="92"/>
        <v>1.1246913312992912</v>
      </c>
      <c r="D1227">
        <f t="shared" si="93"/>
        <v>63624.37092809318</v>
      </c>
      <c r="E1227">
        <f t="shared" si="94"/>
        <v>71557.778442197043</v>
      </c>
    </row>
    <row r="1228" spans="1:5">
      <c r="A1228">
        <f t="shared" si="90"/>
        <v>6.8177764700546151E-2</v>
      </c>
      <c r="B1228">
        <f t="shared" si="91"/>
        <v>0.39786747826187652</v>
      </c>
      <c r="C1228">
        <f t="shared" si="92"/>
        <v>0.66789439265990769</v>
      </c>
      <c r="D1228">
        <f t="shared" si="93"/>
        <v>64916.327940898249</v>
      </c>
      <c r="E1228">
        <f t="shared" si="94"/>
        <v>43357.251423797628</v>
      </c>
    </row>
    <row r="1229" spans="1:5">
      <c r="A1229">
        <f t="shared" si="90"/>
        <v>0.9137860036336134</v>
      </c>
      <c r="B1229">
        <f t="shared" si="91"/>
        <v>0.37180166890732846</v>
      </c>
      <c r="C1229">
        <f t="shared" si="92"/>
        <v>1.3632354757896992</v>
      </c>
      <c r="D1229">
        <f t="shared" si="93"/>
        <v>64746.898485661914</v>
      </c>
      <c r="E1229">
        <f t="shared" si="94"/>
        <v>88265.268963008668</v>
      </c>
    </row>
    <row r="1230" spans="1:5">
      <c r="A1230">
        <f t="shared" si="90"/>
        <v>0.26091451294471435</v>
      </c>
      <c r="B1230">
        <f t="shared" si="91"/>
        <v>0.13978358129136792</v>
      </c>
      <c r="C1230">
        <f t="shared" si="92"/>
        <v>0.8258169495829133</v>
      </c>
      <c r="D1230">
        <f t="shared" si="93"/>
        <v>62873.620698549588</v>
      </c>
      <c r="E1230">
        <f t="shared" si="94"/>
        <v>51922.101654509337</v>
      </c>
    </row>
    <row r="1231" spans="1:5">
      <c r="A1231">
        <f t="shared" si="90"/>
        <v>0.10956329263384923</v>
      </c>
      <c r="B1231">
        <f t="shared" si="91"/>
        <v>0.70181321541399533</v>
      </c>
      <c r="C1231">
        <f t="shared" si="92"/>
        <v>0.71286481479605868</v>
      </c>
      <c r="D1231">
        <f t="shared" si="93"/>
        <v>66874.765814656217</v>
      </c>
      <c r="E1231">
        <f t="shared" si="94"/>
        <v>47672.6675469947</v>
      </c>
    </row>
    <row r="1232" spans="1:5">
      <c r="A1232">
        <f t="shared" ref="A1232:A1295" si="95">IFERROR(MOD(MOD(($E$8+((ROW()-15)*(ROW()-14)/2)*13)*171,30269)/30269+MOD(($E$8+((ROW()-15)*(ROW()-14)/2)*29)*172,30307)/30307+MOD(($E$8+((ROW()-15)*(ROW()-14)/2)*47)*170,30323)/30323,1),0.5)</f>
        <v>0.45973234270101765</v>
      </c>
      <c r="B1232">
        <f t="shared" ref="B1232:B1295" si="96">IFERROR(MOD(MOD(($E$8+((ROW()-15)*(ROW()-14)/2)*17)*171,30269)/30269+MOD(($E$8+((ROW()-15)*(ROW()-14)/2)*41)*172,30307)/30307+MOD(($E$8+((ROW()-15)*(ROW()-14)/2)*83)*170,30323)/30323,1),0.5)</f>
        <v>5.7890571275210245E-2</v>
      </c>
      <c r="C1232">
        <f t="shared" ref="C1232:C1295" si="97">IFERROR(EXP($E$4*NORMSINV(MIN(MAX(A1232,0.000000001),0.999999999))-$E$4^2/2),1)</f>
        <v>0.94504095551172795</v>
      </c>
      <c r="D1232">
        <f t="shared" ref="D1232:D1295" si="98">IFERROR($B$5+$E$5*NORMSINV(MIN(MAX(B1232,0.000000001),0.999999999)),$B$5)</f>
        <v>61652.999021182943</v>
      </c>
      <c r="E1232">
        <f t="shared" ref="E1232:E1295" si="99">IFERROR(C1232*MAX(D1232,0),0)</f>
        <v>58264.609105142357</v>
      </c>
    </row>
    <row r="1233" spans="1:5">
      <c r="A1233">
        <f t="shared" si="95"/>
        <v>0.31142166314622011</v>
      </c>
      <c r="B1233">
        <f t="shared" si="96"/>
        <v>0.20801564887501267</v>
      </c>
      <c r="C1233">
        <f t="shared" si="97"/>
        <v>0.85709530709684789</v>
      </c>
      <c r="D1233">
        <f t="shared" si="98"/>
        <v>63539.188124098888</v>
      </c>
      <c r="E1233">
        <f t="shared" si="99"/>
        <v>54459.139957908927</v>
      </c>
    </row>
    <row r="1234" spans="1:5">
      <c r="A1234">
        <f t="shared" si="95"/>
        <v>0.66463125396945633</v>
      </c>
      <c r="B1234">
        <f t="shared" si="96"/>
        <v>0.15218844821340305</v>
      </c>
      <c r="C1234">
        <f t="shared" si="97"/>
        <v>1.0779208157448634</v>
      </c>
      <c r="D1234">
        <f t="shared" si="98"/>
        <v>63008.240284030304</v>
      </c>
      <c r="E1234">
        <f t="shared" si="99"/>
        <v>67917.893765610308</v>
      </c>
    </row>
    <row r="1235" spans="1:5">
      <c r="A1235">
        <f t="shared" si="95"/>
        <v>0.51936111517072625</v>
      </c>
      <c r="B1235">
        <f t="shared" si="96"/>
        <v>0.89040896929038071</v>
      </c>
      <c r="C1235">
        <f t="shared" si="97"/>
        <v>0.98106903116727118</v>
      </c>
      <c r="D1235">
        <f t="shared" si="98"/>
        <v>68611.129316040315</v>
      </c>
      <c r="E1235">
        <f t="shared" si="99"/>
        <v>67312.254165380029</v>
      </c>
    </row>
    <row r="1236" spans="1:5">
      <c r="A1236">
        <f t="shared" si="95"/>
        <v>0.87561124675003033</v>
      </c>
      <c r="B1236">
        <f t="shared" si="96"/>
        <v>0.42267721210594633</v>
      </c>
      <c r="C1236">
        <f t="shared" si="97"/>
        <v>1.2931498017346175</v>
      </c>
      <c r="D1236">
        <f t="shared" si="98"/>
        <v>65074.846127622412</v>
      </c>
      <c r="E1236">
        <f t="shared" si="99"/>
        <v>84151.524367845661</v>
      </c>
    </row>
    <row r="1237" spans="1:5">
      <c r="A1237">
        <f t="shared" si="95"/>
        <v>0.73338164870736811</v>
      </c>
      <c r="B1237">
        <f t="shared" si="96"/>
        <v>0.7489931766600999</v>
      </c>
      <c r="C1237">
        <f t="shared" si="97"/>
        <v>1.1326026252103061</v>
      </c>
      <c r="D1237">
        <f t="shared" si="98"/>
        <v>67226.721544244734</v>
      </c>
      <c r="E1237">
        <f t="shared" si="99"/>
        <v>76141.161305293834</v>
      </c>
    </row>
    <row r="1238" spans="1:5">
      <c r="A1238">
        <f t="shared" si="95"/>
        <v>9.2672321042739814E-2</v>
      </c>
      <c r="B1238">
        <f t="shared" si="96"/>
        <v>0.86935686295284098</v>
      </c>
      <c r="C1238">
        <f t="shared" si="97"/>
        <v>0.69602529487679188</v>
      </c>
      <c r="D1238">
        <f t="shared" si="98"/>
        <v>68349.464301410786</v>
      </c>
      <c r="E1238">
        <f t="shared" si="99"/>
        <v>47572.9560450602</v>
      </c>
    </row>
    <row r="1239" spans="1:5">
      <c r="A1239">
        <f t="shared" si="95"/>
        <v>0.95348326375614501</v>
      </c>
      <c r="B1239">
        <f t="shared" si="96"/>
        <v>0.78376827098416979</v>
      </c>
      <c r="C1239">
        <f t="shared" si="97"/>
        <v>1.4749914258048531</v>
      </c>
      <c r="D1239">
        <f t="shared" si="98"/>
        <v>67509.022950459956</v>
      </c>
      <c r="E1239">
        <f t="shared" si="99"/>
        <v>99575.230016391477</v>
      </c>
    </row>
    <row r="1240" spans="1:5">
      <c r="A1240">
        <f t="shared" si="95"/>
        <v>0.31581447684758435</v>
      </c>
      <c r="B1240">
        <f t="shared" si="96"/>
        <v>0.49222740075408611</v>
      </c>
      <c r="C1240">
        <f t="shared" si="97"/>
        <v>0.85975412110064586</v>
      </c>
      <c r="D1240">
        <f t="shared" si="98"/>
        <v>65510.909445297249</v>
      </c>
      <c r="E1240">
        <f t="shared" si="99"/>
        <v>56323.274372645537</v>
      </c>
    </row>
    <row r="1241" spans="1:5">
      <c r="A1241">
        <f t="shared" si="95"/>
        <v>0.17966596031705717</v>
      </c>
      <c r="B1241">
        <f t="shared" si="96"/>
        <v>0.99473425226258994</v>
      </c>
      <c r="C1241">
        <f t="shared" si="97"/>
        <v>0.77073574152517155</v>
      </c>
      <c r="D1241">
        <f t="shared" si="98"/>
        <v>71912.473689702179</v>
      </c>
      <c r="E1241">
        <f t="shared" si="99"/>
        <v>55425.513734141998</v>
      </c>
    </row>
    <row r="1242" spans="1:5">
      <c r="A1242">
        <f t="shared" si="95"/>
        <v>0.54503771416456426</v>
      </c>
      <c r="B1242">
        <f t="shared" si="96"/>
        <v>0.29128882550968171</v>
      </c>
      <c r="C1242">
        <f t="shared" si="97"/>
        <v>0.99703781656208135</v>
      </c>
      <c r="D1242">
        <f t="shared" si="98"/>
        <v>64194.16450633249</v>
      </c>
      <c r="E1242">
        <f t="shared" si="99"/>
        <v>64004.009615420808</v>
      </c>
    </row>
    <row r="1243" spans="1:5">
      <c r="A1243">
        <f t="shared" si="95"/>
        <v>0.41192973839010483</v>
      </c>
      <c r="B1243">
        <f t="shared" si="96"/>
        <v>0.38189112049536122</v>
      </c>
      <c r="C1243">
        <f t="shared" si="97"/>
        <v>0.91677248994127136</v>
      </c>
      <c r="D1243">
        <f t="shared" si="98"/>
        <v>64812.886266195499</v>
      </c>
      <c r="E1243">
        <f t="shared" si="99"/>
        <v>59418.67112254048</v>
      </c>
    </row>
    <row r="1244" spans="1:5">
      <c r="A1244">
        <f t="shared" si="95"/>
        <v>0.78034203299367944</v>
      </c>
      <c r="B1244">
        <f t="shared" si="96"/>
        <v>0.26654113721962847</v>
      </c>
      <c r="C1244">
        <f t="shared" si="97"/>
        <v>1.1759628047962598</v>
      </c>
      <c r="D1244">
        <f t="shared" si="98"/>
        <v>64011.149464717666</v>
      </c>
      <c r="E1244">
        <f t="shared" si="99"/>
        <v>75274.730862761993</v>
      </c>
    </row>
    <row r="1245" spans="1:5">
      <c r="A1245">
        <f t="shared" si="95"/>
        <v>0.65027459797528753</v>
      </c>
      <c r="B1245">
        <f t="shared" si="96"/>
        <v>0.94523887568248333</v>
      </c>
      <c r="C1245">
        <f t="shared" si="97"/>
        <v>1.0674423739340178</v>
      </c>
      <c r="D1245">
        <f t="shared" si="98"/>
        <v>69534.193859459381</v>
      </c>
      <c r="E1245">
        <f t="shared" si="99"/>
        <v>74223.744962929515</v>
      </c>
    </row>
    <row r="1246" spans="1:5">
      <c r="A1246">
        <f t="shared" si="95"/>
        <v>2.1727433334929991E-2</v>
      </c>
      <c r="B1246">
        <f t="shared" si="96"/>
        <v>0.4179843358839257</v>
      </c>
      <c r="C1246">
        <f t="shared" si="97"/>
        <v>0.58503837069811504</v>
      </c>
      <c r="D1246">
        <f t="shared" si="98"/>
        <v>65045.032098835203</v>
      </c>
      <c r="E1246">
        <f t="shared" si="99"/>
        <v>38053.839601109139</v>
      </c>
    </row>
    <row r="1247" spans="1:5">
      <c r="A1247">
        <f t="shared" si="95"/>
        <v>0.89470053907260594</v>
      </c>
      <c r="B1247">
        <f t="shared" si="96"/>
        <v>0.68477751782395613</v>
      </c>
      <c r="C1247">
        <f t="shared" si="97"/>
        <v>1.3254208938827812</v>
      </c>
      <c r="D1247">
        <f t="shared" si="98"/>
        <v>66754.248175089946</v>
      </c>
      <c r="E1247">
        <f t="shared" si="99"/>
        <v>88477.475286700734</v>
      </c>
    </row>
    <row r="1248" spans="1:5">
      <c r="A1248">
        <f t="shared" si="95"/>
        <v>0.26919391518831604</v>
      </c>
      <c r="B1248">
        <f t="shared" si="96"/>
        <v>0.74561842150257407</v>
      </c>
      <c r="C1248">
        <f t="shared" si="97"/>
        <v>0.83105177452406587</v>
      </c>
      <c r="D1248">
        <f t="shared" si="98"/>
        <v>67200.4929532651</v>
      </c>
      <c r="E1248">
        <f t="shared" si="99"/>
        <v>55847.088917702946</v>
      </c>
    </row>
    <row r="1249" spans="1:5">
      <c r="A1249">
        <f t="shared" si="95"/>
        <v>0.14520756168205962</v>
      </c>
      <c r="B1249">
        <f t="shared" si="96"/>
        <v>0.6005070469197793</v>
      </c>
      <c r="C1249">
        <f t="shared" si="97"/>
        <v>0.74412008905704319</v>
      </c>
      <c r="D1249">
        <f t="shared" si="98"/>
        <v>66191.820617652062</v>
      </c>
      <c r="E1249">
        <f t="shared" si="99"/>
        <v>49254.663452855079</v>
      </c>
    </row>
    <row r="1250" spans="1:5">
      <c r="A1250">
        <f t="shared" si="95"/>
        <v>0.52274147855383735</v>
      </c>
      <c r="B1250">
        <f t="shared" si="96"/>
        <v>0.24944339407557292</v>
      </c>
      <c r="C1250">
        <f t="shared" si="97"/>
        <v>0.9831523709969372</v>
      </c>
      <c r="D1250">
        <f t="shared" si="98"/>
        <v>63879.672109247142</v>
      </c>
      <c r="E1250">
        <f t="shared" si="99"/>
        <v>62803.451092713251</v>
      </c>
    </row>
    <row r="1251" spans="1:5">
      <c r="A1251">
        <f t="shared" si="95"/>
        <v>0.40179566580364845</v>
      </c>
      <c r="B1251">
        <f t="shared" si="96"/>
        <v>0.69242746296995383</v>
      </c>
      <c r="C1251">
        <f t="shared" si="97"/>
        <v>0.91080587874903196</v>
      </c>
      <c r="D1251">
        <f t="shared" si="98"/>
        <v>66808.002474626948</v>
      </c>
      <c r="E1251">
        <f t="shared" si="99"/>
        <v>60849.121401370103</v>
      </c>
    </row>
    <row r="1252" spans="1:5">
      <c r="A1252">
        <f t="shared" si="95"/>
        <v>0.7823701234314937</v>
      </c>
      <c r="B1252">
        <f t="shared" si="96"/>
        <v>0.92945925360292236</v>
      </c>
      <c r="C1252">
        <f t="shared" si="97"/>
        <v>1.1779854058408696</v>
      </c>
      <c r="D1252">
        <f t="shared" si="98"/>
        <v>69214.858728479405</v>
      </c>
      <c r="E1252">
        <f t="shared" si="99"/>
        <v>81534.093449486274</v>
      </c>
    </row>
    <row r="1253" spans="1:5">
      <c r="A1253">
        <f t="shared" si="95"/>
        <v>0.66446485143737255</v>
      </c>
      <c r="B1253">
        <f t="shared" si="96"/>
        <v>0.96053876597447863</v>
      </c>
      <c r="C1253">
        <f t="shared" si="97"/>
        <v>1.077797801003606</v>
      </c>
      <c r="D1253">
        <f t="shared" si="98"/>
        <v>69923.223275527227</v>
      </c>
      <c r="E1253">
        <f t="shared" si="99"/>
        <v>75363.096285447406</v>
      </c>
    </row>
    <row r="1254" spans="1:5">
      <c r="A1254">
        <f t="shared" si="95"/>
        <v>4.8079849821285325E-2</v>
      </c>
      <c r="B1254">
        <f t="shared" si="96"/>
        <v>0.78566600008462251</v>
      </c>
      <c r="C1254">
        <f t="shared" si="97"/>
        <v>0.6394218460559139</v>
      </c>
      <c r="D1254">
        <f t="shared" si="98"/>
        <v>67525.142410878718</v>
      </c>
      <c r="E1254">
        <f t="shared" si="99"/>
        <v>43177.051215552558</v>
      </c>
    </row>
    <row r="1255" spans="1:5">
      <c r="A1255">
        <f t="shared" si="95"/>
        <v>0.93321511858323203</v>
      </c>
      <c r="B1255">
        <f t="shared" si="96"/>
        <v>0.40484095593335434</v>
      </c>
      <c r="C1255">
        <f t="shared" si="97"/>
        <v>1.4102868003831832</v>
      </c>
      <c r="D1255">
        <f t="shared" si="98"/>
        <v>64961.121172136031</v>
      </c>
      <c r="E1255">
        <f t="shared" si="99"/>
        <v>91613.81172715599</v>
      </c>
    </row>
    <row r="1256" spans="1:5">
      <c r="A1256">
        <f t="shared" si="95"/>
        <v>0.31987065772321266</v>
      </c>
      <c r="B1256">
        <f t="shared" si="96"/>
        <v>0.81806363352067368</v>
      </c>
      <c r="C1256">
        <f t="shared" si="97"/>
        <v>0.86220249017281336</v>
      </c>
      <c r="D1256">
        <f t="shared" si="98"/>
        <v>67814.594595237606</v>
      </c>
      <c r="E1256">
        <f t="shared" si="99"/>
        <v>58469.912330073676</v>
      </c>
    </row>
    <row r="1257" spans="1:5">
      <c r="A1257">
        <f t="shared" si="95"/>
        <v>0.20804646724122677</v>
      </c>
      <c r="B1257">
        <f t="shared" si="96"/>
        <v>2.5334032846580978E-2</v>
      </c>
      <c r="C1257">
        <f t="shared" si="97"/>
        <v>0.79092307684707497</v>
      </c>
      <c r="D1257">
        <f t="shared" si="98"/>
        <v>60705.317077911517</v>
      </c>
      <c r="E1257">
        <f t="shared" si="99"/>
        <v>48013.236164239061</v>
      </c>
    </row>
    <row r="1258" spans="1:5">
      <c r="A1258">
        <f t="shared" si="95"/>
        <v>0.59774254713727526</v>
      </c>
      <c r="B1258">
        <f t="shared" si="96"/>
        <v>2.6652153911075338E-2</v>
      </c>
      <c r="C1258">
        <f t="shared" si="97"/>
        <v>1.0311008965783455</v>
      </c>
      <c r="D1258">
        <f t="shared" si="98"/>
        <v>60759.54525492603</v>
      </c>
      <c r="E1258">
        <f t="shared" si="99"/>
        <v>62649.221588046785</v>
      </c>
    </row>
    <row r="1259" spans="1:5">
      <c r="A1259">
        <f t="shared" si="95"/>
        <v>0.48895889741135701</v>
      </c>
      <c r="B1259">
        <f t="shared" si="96"/>
        <v>0.82201799671415787</v>
      </c>
      <c r="C1259">
        <f t="shared" si="97"/>
        <v>0.96254942018197087</v>
      </c>
      <c r="D1259">
        <f t="shared" si="98"/>
        <v>67852.031269250772</v>
      </c>
      <c r="E1259">
        <f t="shared" si="99"/>
        <v>65310.933356386289</v>
      </c>
    </row>
    <row r="1260" spans="1:5">
      <c r="A1260">
        <f t="shared" si="95"/>
        <v>0.88169551806347268</v>
      </c>
      <c r="B1260">
        <f t="shared" si="96"/>
        <v>0.41143156125582814</v>
      </c>
      <c r="C1260">
        <f t="shared" si="97"/>
        <v>1.3029439935516032</v>
      </c>
      <c r="D1260">
        <f t="shared" si="98"/>
        <v>65003.276738690234</v>
      </c>
      <c r="E1260">
        <f t="shared" si="99"/>
        <v>84695.628987849079</v>
      </c>
    </row>
    <row r="1261" spans="1:5">
      <c r="A1261">
        <f t="shared" si="95"/>
        <v>0.7759524090936224</v>
      </c>
      <c r="B1261">
        <f t="shared" si="96"/>
        <v>0.79489284753608591</v>
      </c>
      <c r="C1261">
        <f t="shared" si="97"/>
        <v>1.1716331350754803</v>
      </c>
      <c r="D1261">
        <f t="shared" si="98"/>
        <v>67604.731190841441</v>
      </c>
      <c r="E1261">
        <f t="shared" si="99"/>
        <v>79207.943151060666</v>
      </c>
    </row>
    <row r="1262" spans="1:5">
      <c r="A1262">
        <f t="shared" si="95"/>
        <v>0.17172957050180582</v>
      </c>
      <c r="B1262">
        <f t="shared" si="96"/>
        <v>0.97240185555493164</v>
      </c>
      <c r="C1262">
        <f t="shared" si="97"/>
        <v>0.76484035934958328</v>
      </c>
      <c r="D1262">
        <f t="shared" si="98"/>
        <v>70321.50907475414</v>
      </c>
      <c r="E1262">
        <f t="shared" si="99"/>
        <v>53784.728270739935</v>
      </c>
    </row>
    <row r="1263" spans="1:5">
      <c r="A1263">
        <f t="shared" si="95"/>
        <v>6.9027002288023276E-2</v>
      </c>
      <c r="B1263">
        <f t="shared" si="96"/>
        <v>0.94395858531236465</v>
      </c>
      <c r="C1263">
        <f t="shared" si="97"/>
        <v>0.66896789975620052</v>
      </c>
      <c r="D1263">
        <f t="shared" si="98"/>
        <v>69505.770660461349</v>
      </c>
      <c r="E1263">
        <f t="shared" si="99"/>
        <v>46497.129419664969</v>
      </c>
    </row>
    <row r="1264" spans="1:5">
      <c r="A1264">
        <f t="shared" si="95"/>
        <v>0.46784470445227422</v>
      </c>
      <c r="B1264">
        <f t="shared" si="96"/>
        <v>0.70956303680838562</v>
      </c>
      <c r="C1264">
        <f t="shared" si="97"/>
        <v>0.94987753705825251</v>
      </c>
      <c r="D1264">
        <f t="shared" si="98"/>
        <v>66930.615808107919</v>
      </c>
      <c r="E1264">
        <f t="shared" si="99"/>
        <v>63575.888497597691</v>
      </c>
    </row>
    <row r="1265" spans="1:5">
      <c r="A1265">
        <f t="shared" si="95"/>
        <v>0.36818267699455909</v>
      </c>
      <c r="B1265">
        <f t="shared" si="96"/>
        <v>0.26921521004299409</v>
      </c>
      <c r="C1265">
        <f t="shared" si="97"/>
        <v>0.89099397961390492</v>
      </c>
      <c r="D1265">
        <f t="shared" si="98"/>
        <v>64031.316620609941</v>
      </c>
      <c r="E1265">
        <f t="shared" si="99"/>
        <v>57051.517615715224</v>
      </c>
    </row>
    <row r="1266" spans="1:5">
      <c r="A1266">
        <f t="shared" si="95"/>
        <v>0.77004091991487789</v>
      </c>
      <c r="B1266">
        <f t="shared" si="96"/>
        <v>0.6229151050161903</v>
      </c>
      <c r="C1266">
        <f t="shared" si="97"/>
        <v>1.1659024288787143</v>
      </c>
      <c r="D1266">
        <f t="shared" si="98"/>
        <v>66337.086967513314</v>
      </c>
      <c r="E1266">
        <f t="shared" si="99"/>
        <v>77342.570820162277</v>
      </c>
    </row>
    <row r="1267" spans="1:5">
      <c r="A1267">
        <f t="shared" si="95"/>
        <v>0.67341943321323039</v>
      </c>
      <c r="B1267">
        <f t="shared" si="96"/>
        <v>0.77066272172797423</v>
      </c>
      <c r="C1267">
        <f t="shared" si="97"/>
        <v>1.0844725720257704</v>
      </c>
      <c r="D1267">
        <f t="shared" si="98"/>
        <v>67399.856235971354</v>
      </c>
      <c r="E1267">
        <f t="shared" si="99"/>
        <v>73093.295446391014</v>
      </c>
    </row>
    <row r="1268" spans="1:5">
      <c r="A1268">
        <f t="shared" si="95"/>
        <v>7.8318216889616821E-2</v>
      </c>
      <c r="B1268">
        <f t="shared" si="96"/>
        <v>0.71245806017834612</v>
      </c>
      <c r="C1268">
        <f t="shared" si="97"/>
        <v>0.68019974017176854</v>
      </c>
      <c r="D1268">
        <f t="shared" si="98"/>
        <v>66951.656781060577</v>
      </c>
      <c r="E1268">
        <f t="shared" si="99"/>
        <v>45540.499546546831</v>
      </c>
    </row>
    <row r="1269" spans="1:5">
      <c r="A1269">
        <f t="shared" si="95"/>
        <v>0.98473727094403696</v>
      </c>
      <c r="B1269">
        <f t="shared" si="96"/>
        <v>0.44830112036730529</v>
      </c>
      <c r="C1269">
        <f t="shared" si="97"/>
        <v>1.6645438345523511</v>
      </c>
      <c r="D1269">
        <f t="shared" si="98"/>
        <v>65236.52595983012</v>
      </c>
      <c r="E1269">
        <f t="shared" si="99"/>
        <v>108589.05707404962</v>
      </c>
    </row>
    <row r="1270" spans="1:5">
      <c r="A1270">
        <f t="shared" si="95"/>
        <v>0.39267659537649102</v>
      </c>
      <c r="B1270">
        <f t="shared" si="96"/>
        <v>0.9781919022948522</v>
      </c>
      <c r="C1270">
        <f t="shared" si="97"/>
        <v>0.90543715286136184</v>
      </c>
      <c r="D1270">
        <f t="shared" si="98"/>
        <v>70570.961133244229</v>
      </c>
      <c r="E1270">
        <f t="shared" si="99"/>
        <v>63897.570123174482</v>
      </c>
    </row>
    <row r="1271" spans="1:5">
      <c r="A1271">
        <f t="shared" si="95"/>
        <v>0.30213619018697907</v>
      </c>
      <c r="B1271">
        <f t="shared" si="96"/>
        <v>0.30213040596098706</v>
      </c>
      <c r="C1271">
        <f t="shared" si="97"/>
        <v>0.85144820258399778</v>
      </c>
      <c r="D1271">
        <f t="shared" si="98"/>
        <v>64272.007037741278</v>
      </c>
      <c r="E1271">
        <f t="shared" si="99"/>
        <v>54724.284868750867</v>
      </c>
    </row>
    <row r="1272" spans="1:5">
      <c r="A1272">
        <f t="shared" si="95"/>
        <v>0.71311605537550093</v>
      </c>
      <c r="B1272">
        <f t="shared" si="96"/>
        <v>0.42011663136570943</v>
      </c>
      <c r="C1272">
        <f t="shared" si="97"/>
        <v>1.115583691468687</v>
      </c>
      <c r="D1272">
        <f t="shared" si="98"/>
        <v>65058.587584229041</v>
      </c>
      <c r="E1272">
        <f t="shared" si="99"/>
        <v>72578.299298953119</v>
      </c>
    </row>
    <row r="1273" spans="1:5">
      <c r="A1273">
        <f t="shared" si="95"/>
        <v>0.62561619094205634</v>
      </c>
      <c r="B1273">
        <f t="shared" si="96"/>
        <v>0.3321505785090193</v>
      </c>
      <c r="C1273">
        <f t="shared" si="97"/>
        <v>1.0500273332603332</v>
      </c>
      <c r="D1273">
        <f t="shared" si="98"/>
        <v>64481.390352741459</v>
      </c>
      <c r="E1273">
        <f t="shared" si="99"/>
        <v>67707.222357007689</v>
      </c>
    </row>
    <row r="1274" spans="1:5">
      <c r="A1274">
        <f t="shared" si="95"/>
        <v>3.963659688664567E-2</v>
      </c>
      <c r="B1274">
        <f t="shared" si="96"/>
        <v>3.8232247390917351E-2</v>
      </c>
      <c r="C1274">
        <f t="shared" si="97"/>
        <v>0.62501495214673819</v>
      </c>
      <c r="D1274">
        <f t="shared" si="98"/>
        <v>61159.106080563681</v>
      </c>
      <c r="E1274">
        <f t="shared" si="99"/>
        <v>38225.355760280792</v>
      </c>
    </row>
    <row r="1275" spans="1:5">
      <c r="A1275">
        <f t="shared" si="95"/>
        <v>0.95517727320926893</v>
      </c>
      <c r="B1275">
        <f t="shared" si="96"/>
        <v>0.53836163801140247</v>
      </c>
      <c r="C1275">
        <f t="shared" si="97"/>
        <v>1.4815187269295647</v>
      </c>
      <c r="D1275">
        <f t="shared" si="98"/>
        <v>65798.508588276003</v>
      </c>
      <c r="E1275">
        <f t="shared" si="99"/>
        <v>97481.722677566693</v>
      </c>
    </row>
    <row r="1276" spans="1:5">
      <c r="A1276">
        <f t="shared" si="95"/>
        <v>0.37223821990992589</v>
      </c>
      <c r="B1276">
        <f t="shared" si="96"/>
        <v>0.83253875037047564</v>
      </c>
      <c r="C1276">
        <f t="shared" si="97"/>
        <v>0.89338935085777438</v>
      </c>
      <c r="D1276">
        <f t="shared" si="98"/>
        <v>67954.271561944101</v>
      </c>
      <c r="E1276">
        <f t="shared" si="99"/>
        <v>60709.622558738156</v>
      </c>
    </row>
    <row r="1277" spans="1:5">
      <c r="A1277">
        <f t="shared" si="95"/>
        <v>0.29081943698861679</v>
      </c>
      <c r="B1277">
        <f t="shared" si="96"/>
        <v>0.92076358446813655</v>
      </c>
      <c r="C1277">
        <f t="shared" si="97"/>
        <v>0.8445105047277458</v>
      </c>
      <c r="D1277">
        <f t="shared" si="98"/>
        <v>69061.984727055838</v>
      </c>
      <c r="E1277">
        <f t="shared" si="99"/>
        <v>58323.5715793458</v>
      </c>
    </row>
    <row r="1278" spans="1:5">
      <c r="A1278">
        <f t="shared" si="95"/>
        <v>0.71092092444534138</v>
      </c>
      <c r="B1278">
        <f t="shared" si="96"/>
        <v>0.80303614030438508</v>
      </c>
      <c r="C1278">
        <f t="shared" si="97"/>
        <v>1.1137907355650172</v>
      </c>
      <c r="D1278">
        <f t="shared" si="98"/>
        <v>67676.75938304991</v>
      </c>
      <c r="E1278">
        <f t="shared" si="99"/>
        <v>75377.747613903834</v>
      </c>
    </row>
    <row r="1279" spans="1:5">
      <c r="A1279">
        <f t="shared" si="95"/>
        <v>0.63254268228010013</v>
      </c>
      <c r="B1279">
        <f t="shared" si="96"/>
        <v>0.47935641787922112</v>
      </c>
      <c r="C1279">
        <f t="shared" si="97"/>
        <v>1.0548502577962409</v>
      </c>
      <c r="D1279">
        <f t="shared" si="98"/>
        <v>65430.721734917526</v>
      </c>
      <c r="E1279">
        <f t="shared" si="99"/>
        <v>69019.613689871854</v>
      </c>
    </row>
    <row r="1280" spans="1:5">
      <c r="A1280">
        <f t="shared" si="95"/>
        <v>5.5684710492892364E-2</v>
      </c>
      <c r="B1280">
        <f t="shared" si="96"/>
        <v>0.94972441719264511</v>
      </c>
      <c r="C1280">
        <f t="shared" si="97"/>
        <v>0.65098608883687137</v>
      </c>
      <c r="D1280">
        <f t="shared" si="98"/>
        <v>69638.12293872697</v>
      </c>
      <c r="E1280">
        <f t="shared" si="99"/>
        <v>45333.449285823088</v>
      </c>
    </row>
    <row r="1281" spans="1:5">
      <c r="A1281">
        <f t="shared" si="95"/>
        <v>0.98034700908371852</v>
      </c>
      <c r="B1281">
        <f t="shared" si="96"/>
        <v>0.21414013824465661</v>
      </c>
      <c r="C1281">
        <f t="shared" si="97"/>
        <v>1.6225391381847629</v>
      </c>
      <c r="D1281">
        <f t="shared" si="98"/>
        <v>63591.814009567686</v>
      </c>
      <c r="E1281">
        <f t="shared" si="99"/>
        <v>103180.20709868969</v>
      </c>
    </row>
    <row r="1282" spans="1:5">
      <c r="A1282">
        <f t="shared" si="95"/>
        <v>0.40652957805257817</v>
      </c>
      <c r="B1282">
        <f t="shared" si="96"/>
        <v>0.27260358103525584</v>
      </c>
      <c r="C1282">
        <f t="shared" si="97"/>
        <v>0.91359277865612498</v>
      </c>
      <c r="D1282">
        <f t="shared" si="98"/>
        <v>64056.727143438387</v>
      </c>
      <c r="E1282">
        <f t="shared" si="99"/>
        <v>58521.763342591097</v>
      </c>
    </row>
    <row r="1283" spans="1:5">
      <c r="A1283">
        <f t="shared" si="95"/>
        <v>0.3342324173994724</v>
      </c>
      <c r="B1283">
        <f t="shared" si="96"/>
        <v>0.12511474556444258</v>
      </c>
      <c r="C1283">
        <f t="shared" si="97"/>
        <v>0.87082523523746769</v>
      </c>
      <c r="D1283">
        <f t="shared" si="98"/>
        <v>62703.482420050888</v>
      </c>
      <c r="E1283">
        <f t="shared" si="99"/>
        <v>54603.774828649235</v>
      </c>
    </row>
    <row r="1284" spans="1:5">
      <c r="A1284">
        <f t="shared" si="95"/>
        <v>0.76345552712440012</v>
      </c>
      <c r="B1284">
        <f t="shared" si="96"/>
        <v>0.77167363183221749</v>
      </c>
      <c r="C1284">
        <f t="shared" si="97"/>
        <v>1.1596468888249558</v>
      </c>
      <c r="D1284">
        <f t="shared" si="98"/>
        <v>67408.148890530094</v>
      </c>
      <c r="E1284">
        <f t="shared" si="99"/>
        <v>78169.650142352621</v>
      </c>
    </row>
    <row r="1285" spans="1:5">
      <c r="A1285">
        <f t="shared" si="95"/>
        <v>0.69419890722736155</v>
      </c>
      <c r="B1285">
        <f t="shared" si="96"/>
        <v>0.21228023983857969</v>
      </c>
      <c r="C1285">
        <f t="shared" si="97"/>
        <v>1.1004255220398333</v>
      </c>
      <c r="D1285">
        <f t="shared" si="98"/>
        <v>63575.926724057368</v>
      </c>
      <c r="E1285">
        <f t="shared" si="99"/>
        <v>69960.572354487027</v>
      </c>
    </row>
    <row r="1286" spans="1:5">
      <c r="A1286">
        <f t="shared" si="95"/>
        <v>0.1264625577083569</v>
      </c>
      <c r="B1286">
        <f t="shared" si="96"/>
        <v>0.44693456958352962</v>
      </c>
      <c r="C1286">
        <f t="shared" si="97"/>
        <v>0.72828098416185005</v>
      </c>
      <c r="D1286">
        <f t="shared" si="98"/>
        <v>65227.943870644151</v>
      </c>
      <c r="E1286">
        <f t="shared" si="99"/>
        <v>47504.271156966635</v>
      </c>
    </row>
    <row r="1287" spans="1:5">
      <c r="A1287">
        <f t="shared" si="95"/>
        <v>6.0246478567385964E-2</v>
      </c>
      <c r="B1287">
        <f t="shared" si="96"/>
        <v>0.47563662106706728</v>
      </c>
      <c r="C1287">
        <f t="shared" si="97"/>
        <v>0.65742344778035733</v>
      </c>
      <c r="D1287">
        <f t="shared" si="98"/>
        <v>65407.525680527157</v>
      </c>
      <c r="E1287">
        <f t="shared" si="99"/>
        <v>43000.441043674429</v>
      </c>
    </row>
    <row r="1288" spans="1:5">
      <c r="A1288">
        <f t="shared" si="95"/>
        <v>0.49555066980444895</v>
      </c>
      <c r="B1288">
        <f t="shared" si="96"/>
        <v>0.29838639428919267</v>
      </c>
      <c r="C1288">
        <f t="shared" si="97"/>
        <v>0.96653452236455584</v>
      </c>
      <c r="D1288">
        <f t="shared" si="98"/>
        <v>64245.271582302841</v>
      </c>
      <c r="E1288">
        <f t="shared" si="99"/>
        <v>62095.272882982252</v>
      </c>
    </row>
    <row r="1289" spans="1:5">
      <c r="A1289">
        <f t="shared" si="95"/>
        <v>0.43237513141954576</v>
      </c>
      <c r="B1289">
        <f t="shared" si="96"/>
        <v>0.91518388924990568</v>
      </c>
      <c r="C1289">
        <f t="shared" si="97"/>
        <v>0.92882715409733141</v>
      </c>
      <c r="D1289">
        <f t="shared" si="98"/>
        <v>68970.482741104555</v>
      </c>
      <c r="E1289">
        <f t="shared" si="99"/>
        <v>64061.657201139256</v>
      </c>
    </row>
    <row r="1290" spans="1:5">
      <c r="A1290">
        <f t="shared" si="95"/>
        <v>0.87071986341267649</v>
      </c>
      <c r="B1290">
        <f t="shared" si="96"/>
        <v>0.32602910594920642</v>
      </c>
      <c r="C1290">
        <f t="shared" si="97"/>
        <v>1.2855673512943047</v>
      </c>
      <c r="D1290">
        <f t="shared" si="98"/>
        <v>64439.359357390524</v>
      </c>
      <c r="E1290">
        <f t="shared" si="99"/>
        <v>82841.136528182396</v>
      </c>
    </row>
    <row r="1291" spans="1:5">
      <c r="A1291">
        <f t="shared" si="95"/>
        <v>0.81058486578384059</v>
      </c>
      <c r="B1291">
        <f t="shared" si="96"/>
        <v>0.53092204438709489</v>
      </c>
      <c r="C1291">
        <f t="shared" si="97"/>
        <v>1.2077551666954844</v>
      </c>
      <c r="D1291">
        <f t="shared" si="98"/>
        <v>65752.014390599099</v>
      </c>
      <c r="E1291">
        <f t="shared" si="99"/>
        <v>79412.335100881901</v>
      </c>
    </row>
    <row r="1292" spans="1:5">
      <c r="A1292">
        <f t="shared" si="95"/>
        <v>0.25197013853303907</v>
      </c>
      <c r="B1292">
        <f t="shared" si="96"/>
        <v>0.5298627045635711</v>
      </c>
      <c r="C1292">
        <f t="shared" si="97"/>
        <v>0.82010268634013228</v>
      </c>
      <c r="D1292">
        <f t="shared" si="98"/>
        <v>65745.399848396657</v>
      </c>
      <c r="E1292">
        <f t="shared" si="99"/>
        <v>53917.979030176226</v>
      </c>
    </row>
    <row r="1293" spans="1:5">
      <c r="A1293">
        <f t="shared" si="95"/>
        <v>0.19487568166027125</v>
      </c>
      <c r="B1293">
        <f t="shared" si="96"/>
        <v>0.32285108647863492</v>
      </c>
      <c r="C1293">
        <f t="shared" si="97"/>
        <v>0.78171340999872763</v>
      </c>
      <c r="D1293">
        <f t="shared" si="98"/>
        <v>64417.412211644631</v>
      </c>
      <c r="E1293">
        <f t="shared" si="99"/>
        <v>50355.954963258402</v>
      </c>
    </row>
    <row r="1294" spans="1:5">
      <c r="A1294">
        <f t="shared" si="95"/>
        <v>0.63930149516553714</v>
      </c>
      <c r="B1294">
        <f t="shared" si="96"/>
        <v>0.90988719013228636</v>
      </c>
      <c r="C1294">
        <f t="shared" si="97"/>
        <v>1.0596070014603498</v>
      </c>
      <c r="D1294">
        <f t="shared" si="98"/>
        <v>68887.708968993364</v>
      </c>
      <c r="E1294">
        <f t="shared" si="99"/>
        <v>72993.898738108299</v>
      </c>
    </row>
    <row r="1295" spans="1:5">
      <c r="A1295">
        <f t="shared" si="95"/>
        <v>0.58524757904883673</v>
      </c>
      <c r="B1295">
        <f t="shared" si="96"/>
        <v>0.29097101552452553</v>
      </c>
      <c r="C1295">
        <f t="shared" si="97"/>
        <v>1.0228411204350181</v>
      </c>
      <c r="D1295">
        <f t="shared" si="98"/>
        <v>64191.862656504454</v>
      </c>
      <c r="E1295">
        <f t="shared" si="99"/>
        <v>65658.076722389815</v>
      </c>
    </row>
    <row r="1296" spans="1:5">
      <c r="A1296">
        <f t="shared" ref="A1296:A1359" si="100">IFERROR(MOD(MOD(($E$8+((ROW()-15)*(ROW()-14)/2)*13)*171,30269)/30269+MOD(($E$8+((ROW()-15)*(ROW()-14)/2)*29)*172,30307)/30307+MOD(($E$8+((ROW()-15)*(ROW()-14)/2)*47)*170,30323)/30323,1),0.5)</f>
        <v>3.2713933310170473E-2</v>
      </c>
      <c r="B1296">
        <f t="shared" ref="B1296:B1359" si="101">IFERROR(MOD(MOD(($E$8+((ROW()-15)*(ROW()-14)/2)*17)*171,30269)/30269+MOD(($E$8+((ROW()-15)*(ROW()-14)/2)*41)*172,30307)/30307+MOD(($E$8+((ROW()-15)*(ROW()-14)/2)*83)*170,30323)/30323,1),0.5)</f>
        <v>0.46610256265535233</v>
      </c>
      <c r="C1296">
        <f t="shared" ref="C1296:C1359" si="102">IFERROR(EXP($E$4*NORMSINV(MIN(MAX(A1296,0.000000001),0.999999999))-$E$4^2/2),1)</f>
        <v>0.6115058013268333</v>
      </c>
      <c r="D1296">
        <f t="shared" ref="D1296:D1359" si="103">IFERROR($B$5+$E$5*NORMSINV(MIN(MAX(B1296,0.000000001),0.999999999)),$B$5)</f>
        <v>65348.007478245192</v>
      </c>
      <c r="E1296">
        <f t="shared" ref="E1296:E1359" si="104">IFERROR(C1296*MAX(D1296,0),0)</f>
        <v>39960.685678096219</v>
      </c>
    </row>
    <row r="1297" spans="1:5">
      <c r="A1297">
        <f t="shared" si="100"/>
        <v>0.98170055794953792</v>
      </c>
      <c r="B1297">
        <f t="shared" si="101"/>
        <v>0.43528183152476685</v>
      </c>
      <c r="C1297">
        <f t="shared" si="102"/>
        <v>1.6344439497861751</v>
      </c>
      <c r="D1297">
        <f t="shared" si="103"/>
        <v>65154.591728857165</v>
      </c>
      <c r="E1297">
        <f t="shared" si="104"/>
        <v>106491.52825201896</v>
      </c>
    </row>
    <row r="1298" spans="1:5">
      <c r="A1298">
        <f t="shared" si="100"/>
        <v>0.43220745296693908</v>
      </c>
      <c r="B1298">
        <f t="shared" si="101"/>
        <v>0.1985088221327691</v>
      </c>
      <c r="C1298">
        <f t="shared" si="102"/>
        <v>0.92872813140833121</v>
      </c>
      <c r="D1298">
        <f t="shared" si="103"/>
        <v>63455.649414059022</v>
      </c>
      <c r="E1298">
        <f t="shared" si="104"/>
        <v>58933.046707621201</v>
      </c>
    </row>
    <row r="1299" spans="1:5">
      <c r="A1299">
        <f t="shared" si="100"/>
        <v>0.38423461836237438</v>
      </c>
      <c r="B1299">
        <f t="shared" si="101"/>
        <v>0.75578353447935909</v>
      </c>
      <c r="C1299">
        <f t="shared" si="102"/>
        <v>0.90046458129653961</v>
      </c>
      <c r="D1299">
        <f t="shared" si="103"/>
        <v>67280.069545604652</v>
      </c>
      <c r="E1299">
        <f t="shared" si="104"/>
        <v>60583.319652984959</v>
      </c>
    </row>
    <row r="1300" spans="1:5">
      <c r="A1300">
        <f t="shared" si="100"/>
        <v>0.83778205413584317</v>
      </c>
      <c r="B1300">
        <f t="shared" si="101"/>
        <v>0.1071059685645368</v>
      </c>
      <c r="C1300">
        <f t="shared" si="102"/>
        <v>1.2399806731611573</v>
      </c>
      <c r="D1300">
        <f t="shared" si="103"/>
        <v>62474.293360361502</v>
      </c>
      <c r="E1300">
        <f t="shared" si="104"/>
        <v>77466.916336248672</v>
      </c>
    </row>
    <row r="1301" spans="1:5">
      <c r="A1301">
        <f t="shared" si="100"/>
        <v>0.79284976028734588</v>
      </c>
      <c r="B1301">
        <f t="shared" si="101"/>
        <v>0.25247612438830203</v>
      </c>
      <c r="C1301">
        <f t="shared" si="102"/>
        <v>1.1886726730367332</v>
      </c>
      <c r="D1301">
        <f t="shared" si="103"/>
        <v>63903.328305755102</v>
      </c>
      <c r="E1301">
        <f t="shared" si="104"/>
        <v>75960.140073145856</v>
      </c>
    </row>
    <row r="1302" spans="1:5">
      <c r="A1302">
        <f t="shared" si="100"/>
        <v>0.24943773681688253</v>
      </c>
      <c r="B1302">
        <f t="shared" si="101"/>
        <v>0.19189400195065498</v>
      </c>
      <c r="C1302">
        <f t="shared" si="102"/>
        <v>0.81847285787413748</v>
      </c>
      <c r="D1302">
        <f t="shared" si="103"/>
        <v>63396.092505992587</v>
      </c>
      <c r="E1302">
        <f t="shared" si="104"/>
        <v>51887.981011432945</v>
      </c>
    </row>
    <row r="1303" spans="1:5">
      <c r="A1303">
        <f t="shared" si="100"/>
        <v>0.20754598372445265</v>
      </c>
      <c r="B1303">
        <f t="shared" si="101"/>
        <v>0.92535960125159566</v>
      </c>
      <c r="C1303">
        <f t="shared" si="102"/>
        <v>0.79057763691995386</v>
      </c>
      <c r="D1303">
        <f t="shared" si="103"/>
        <v>69141.092978877481</v>
      </c>
      <c r="E1303">
        <f t="shared" si="104"/>
        <v>54661.401901303776</v>
      </c>
    </row>
    <row r="1304" spans="1:5">
      <c r="A1304">
        <f t="shared" si="100"/>
        <v>0.66717450101005715</v>
      </c>
      <c r="B1304">
        <f t="shared" si="101"/>
        <v>0.45287292229112386</v>
      </c>
      <c r="C1304">
        <f t="shared" si="102"/>
        <v>1.0798056824097486</v>
      </c>
      <c r="D1304">
        <f t="shared" si="103"/>
        <v>65265.209979519459</v>
      </c>
      <c r="E1304">
        <f t="shared" si="104"/>
        <v>70473.74459955054</v>
      </c>
    </row>
    <row r="1305" spans="1:5">
      <c r="A1305">
        <f t="shared" si="100"/>
        <v>0.62832328867369514</v>
      </c>
      <c r="B1305">
        <f t="shared" si="101"/>
        <v>0.77443396506924</v>
      </c>
      <c r="C1305">
        <f t="shared" si="102"/>
        <v>1.0519062016284162</v>
      </c>
      <c r="D1305">
        <f t="shared" si="103"/>
        <v>67430.898147138927</v>
      </c>
      <c r="E1305">
        <f t="shared" si="104"/>
        <v>70930.979942349513</v>
      </c>
    </row>
    <row r="1306" spans="1:5">
      <c r="A1306">
        <f t="shared" si="100"/>
        <v>9.0992346715367045E-2</v>
      </c>
      <c r="B1306">
        <f t="shared" si="101"/>
        <v>0.89004272958594366</v>
      </c>
      <c r="C1306">
        <f t="shared" si="102"/>
        <v>0.69425409247966274</v>
      </c>
      <c r="D1306">
        <f t="shared" si="103"/>
        <v>68606.284492175051</v>
      </c>
      <c r="E1306">
        <f t="shared" si="104"/>
        <v>47630.19377851655</v>
      </c>
    </row>
    <row r="1307" spans="1:5">
      <c r="A1307">
        <f t="shared" si="100"/>
        <v>5.5181675135072439E-2</v>
      </c>
      <c r="B1307">
        <f t="shared" si="101"/>
        <v>0.79969921584123504</v>
      </c>
      <c r="C1307">
        <f t="shared" si="102"/>
        <v>0.65025510241193363</v>
      </c>
      <c r="D1307">
        <f t="shared" si="103"/>
        <v>67647.031777274271</v>
      </c>
      <c r="E1307">
        <f t="shared" si="104"/>
        <v>43987.82757619481</v>
      </c>
    </row>
    <row r="1308" spans="1:5">
      <c r="A1308">
        <f t="shared" si="100"/>
        <v>0.5208912739328122</v>
      </c>
      <c r="B1308">
        <f t="shared" si="101"/>
        <v>0.50340342383511416</v>
      </c>
      <c r="C1308">
        <f t="shared" si="102"/>
        <v>0.98201141516193424</v>
      </c>
      <c r="D1308">
        <f t="shared" si="103"/>
        <v>65580.493487531319</v>
      </c>
      <c r="E1308">
        <f t="shared" si="104"/>
        <v>64400.79321670864</v>
      </c>
    </row>
    <row r="1309" spans="1:5">
      <c r="A1309">
        <f t="shared" si="100"/>
        <v>0.48812114310858545</v>
      </c>
      <c r="B1309">
        <f t="shared" si="101"/>
        <v>1.1553535675810078E-3</v>
      </c>
      <c r="C1309">
        <f t="shared" si="102"/>
        <v>0.96204402055153915</v>
      </c>
      <c r="D1309">
        <f t="shared" si="103"/>
        <v>57991.034370558773</v>
      </c>
      <c r="E1309">
        <f t="shared" si="104"/>
        <v>55789.927861794858</v>
      </c>
    </row>
    <row r="1310" spans="1:5">
      <c r="A1310">
        <f t="shared" si="100"/>
        <v>0.95687128266239263</v>
      </c>
      <c r="B1310">
        <f t="shared" si="101"/>
        <v>0.29295500503863536</v>
      </c>
      <c r="C1310">
        <f t="shared" si="102"/>
        <v>1.4882780201491774</v>
      </c>
      <c r="D1310">
        <f t="shared" si="103"/>
        <v>64206.21328955335</v>
      </c>
      <c r="E1310">
        <f t="shared" si="104"/>
        <v>95556.695995852264</v>
      </c>
    </row>
    <row r="1311" spans="1:5">
      <c r="A1311">
        <f t="shared" si="100"/>
        <v>0.92714169259423385</v>
      </c>
      <c r="B1311">
        <f t="shared" si="101"/>
        <v>0.37880237824827767</v>
      </c>
      <c r="C1311">
        <f t="shared" si="102"/>
        <v>1.3943902786247999</v>
      </c>
      <c r="D1311">
        <f t="shared" si="103"/>
        <v>64792.74308947305</v>
      </c>
      <c r="E1311">
        <f t="shared" si="104"/>
        <v>90346.371089395412</v>
      </c>
    </row>
    <row r="1312" spans="1:5">
      <c r="A1312">
        <f t="shared" si="100"/>
        <v>0.39893237290410877</v>
      </c>
      <c r="B1312">
        <f t="shared" si="101"/>
        <v>0.25869747319650727</v>
      </c>
      <c r="C1312">
        <f t="shared" si="102"/>
        <v>0.9091202785880127</v>
      </c>
      <c r="D1312">
        <f t="shared" si="103"/>
        <v>63951.393805812993</v>
      </c>
      <c r="E1312">
        <f t="shared" si="104"/>
        <v>58139.508952832417</v>
      </c>
    </row>
    <row r="1313" spans="1:5">
      <c r="A1313">
        <f t="shared" si="100"/>
        <v>0.37224332359201728</v>
      </c>
      <c r="B1313">
        <f t="shared" si="101"/>
        <v>0.93264028988332492</v>
      </c>
      <c r="C1313">
        <f t="shared" si="102"/>
        <v>0.89339236401574473</v>
      </c>
      <c r="D1313">
        <f t="shared" si="103"/>
        <v>69274.399981893483</v>
      </c>
      <c r="E1313">
        <f t="shared" si="104"/>
        <v>61889.219965596079</v>
      </c>
    </row>
    <row r="1314" spans="1:5">
      <c r="A1314">
        <f t="shared" si="100"/>
        <v>0.84707454465795984</v>
      </c>
      <c r="B1314">
        <f t="shared" si="101"/>
        <v>0.40063082830873009</v>
      </c>
      <c r="C1314">
        <f t="shared" si="102"/>
        <v>1.2519993133674163</v>
      </c>
      <c r="D1314">
        <f t="shared" si="103"/>
        <v>64934.102173124651</v>
      </c>
      <c r="E1314">
        <f t="shared" si="104"/>
        <v>81297.451334881713</v>
      </c>
    </row>
    <row r="1315" spans="1:5">
      <c r="A1315">
        <f t="shared" si="100"/>
        <v>0.8234260361019361</v>
      </c>
      <c r="B1315">
        <f t="shared" si="101"/>
        <v>0.6626690884727231</v>
      </c>
      <c r="C1315">
        <f t="shared" si="102"/>
        <v>1.2224721536914915</v>
      </c>
      <c r="D1315">
        <f t="shared" si="103"/>
        <v>66601.888467386962</v>
      </c>
      <c r="E1315">
        <f t="shared" si="104"/>
        <v>81418.954034647046</v>
      </c>
    </row>
    <row r="1316" spans="1:5">
      <c r="A1316">
        <f t="shared" si="100"/>
        <v>0.30129779792394618</v>
      </c>
      <c r="B1316">
        <f t="shared" si="101"/>
        <v>0.71875507037530373</v>
      </c>
      <c r="C1316">
        <f t="shared" si="102"/>
        <v>0.8509364008974788</v>
      </c>
      <c r="D1316">
        <f t="shared" si="103"/>
        <v>66997.773418759432</v>
      </c>
      <c r="E1316">
        <f t="shared" si="104"/>
        <v>57010.844181103923</v>
      </c>
    </row>
    <row r="1317" spans="1:5">
      <c r="A1317">
        <f t="shared" si="100"/>
        <v>0.28068983012399018</v>
      </c>
      <c r="B1317">
        <f t="shared" si="101"/>
        <v>0.56888877401647209</v>
      </c>
      <c r="C1317">
        <f t="shared" si="102"/>
        <v>0.8382420596986967</v>
      </c>
      <c r="D1317">
        <f t="shared" si="103"/>
        <v>65990.351998078433</v>
      </c>
      <c r="E1317">
        <f t="shared" si="104"/>
        <v>55315.88857911127</v>
      </c>
    </row>
    <row r="1318" spans="1:5">
      <c r="A1318">
        <f t="shared" si="100"/>
        <v>0.76160213270206789</v>
      </c>
      <c r="B1318">
        <f t="shared" si="101"/>
        <v>0.21307019939622784</v>
      </c>
      <c r="C1318">
        <f t="shared" si="102"/>
        <v>1.1579097157676297</v>
      </c>
      <c r="D1318">
        <f t="shared" si="103"/>
        <v>63582.684451246852</v>
      </c>
      <c r="E1318">
        <f t="shared" si="104"/>
        <v>73623.008080686137</v>
      </c>
    </row>
    <row r="1319" spans="1:5">
      <c r="A1319">
        <f t="shared" si="100"/>
        <v>0.74403470565817953</v>
      </c>
      <c r="B1319">
        <f t="shared" si="101"/>
        <v>0.65129934651457166</v>
      </c>
      <c r="C1319">
        <f t="shared" si="102"/>
        <v>1.1419172357604195</v>
      </c>
      <c r="D1319">
        <f t="shared" si="103"/>
        <v>66525.070932550283</v>
      </c>
      <c r="E1319">
        <f t="shared" si="104"/>
        <v>75966.125108063658</v>
      </c>
    </row>
    <row r="1320" spans="1:5">
      <c r="A1320">
        <f t="shared" si="100"/>
        <v>0.2279875489923251</v>
      </c>
      <c r="B1320">
        <f t="shared" si="101"/>
        <v>0.88357621537150277</v>
      </c>
      <c r="C1320">
        <f t="shared" si="102"/>
        <v>0.80442890449505489</v>
      </c>
      <c r="D1320">
        <f t="shared" si="103"/>
        <v>68522.582076870109</v>
      </c>
      <c r="E1320">
        <f t="shared" si="104"/>
        <v>55121.545633269103</v>
      </c>
    </row>
    <row r="1321" spans="1:5">
      <c r="A1321">
        <f t="shared" si="100"/>
        <v>0.21346066270450459</v>
      </c>
      <c r="B1321">
        <f t="shared" si="101"/>
        <v>0.90990080596702194</v>
      </c>
      <c r="C1321">
        <f t="shared" si="102"/>
        <v>0.79463870028164574</v>
      </c>
      <c r="D1321">
        <f t="shared" si="103"/>
        <v>68887.917041737397</v>
      </c>
      <c r="E1321">
        <f t="shared" si="104"/>
        <v>54741.004863156042</v>
      </c>
    </row>
    <row r="1322" spans="1:5">
      <c r="A1322">
        <f t="shared" si="100"/>
        <v>0.70045404679471757</v>
      </c>
      <c r="B1322">
        <f t="shared" si="101"/>
        <v>0.7302731183011284</v>
      </c>
      <c r="C1322">
        <f t="shared" si="102"/>
        <v>1.1053662317626836</v>
      </c>
      <c r="D1322">
        <f t="shared" si="103"/>
        <v>67083.443738146845</v>
      </c>
      <c r="E1322">
        <f t="shared" si="104"/>
        <v>74151.773418499375</v>
      </c>
    </row>
    <row r="1323" spans="1:5">
      <c r="A1323">
        <f t="shared" si="100"/>
        <v>0.68896770126296447</v>
      </c>
      <c r="B1323">
        <f t="shared" si="101"/>
        <v>0.34469315237382325</v>
      </c>
      <c r="C1323">
        <f t="shared" si="102"/>
        <v>1.0963446473127858</v>
      </c>
      <c r="D1323">
        <f t="shared" si="103"/>
        <v>64566.56995134626</v>
      </c>
      <c r="E1323">
        <f t="shared" si="104"/>
        <v>70787.213361505026</v>
      </c>
    </row>
    <row r="1324" spans="1:5">
      <c r="A1324">
        <f t="shared" si="100"/>
        <v>0.1790016261092453</v>
      </c>
      <c r="B1324">
        <f t="shared" si="101"/>
        <v>0.75316090818510517</v>
      </c>
      <c r="C1324">
        <f t="shared" si="102"/>
        <v>0.77024692856842947</v>
      </c>
      <c r="D1324">
        <f t="shared" si="103"/>
        <v>67259.372209396111</v>
      </c>
      <c r="E1324">
        <f t="shared" si="104"/>
        <v>51806.324861728135</v>
      </c>
    </row>
    <row r="1325" spans="1:5">
      <c r="A1325">
        <f t="shared" si="100"/>
        <v>0.17055582133355984</v>
      </c>
      <c r="B1325">
        <f t="shared" si="101"/>
        <v>0.95567638573497504</v>
      </c>
      <c r="C1325">
        <f t="shared" si="102"/>
        <v>0.7639577647458291</v>
      </c>
      <c r="D1325">
        <f t="shared" si="103"/>
        <v>69788.117224298185</v>
      </c>
      <c r="E1325">
        <f t="shared" si="104"/>
        <v>53315.174040494734</v>
      </c>
    </row>
    <row r="1326" spans="1:5">
      <c r="A1326">
        <f t="shared" si="100"/>
        <v>0.66363028693590831</v>
      </c>
      <c r="B1326">
        <f t="shared" si="101"/>
        <v>0.95223958502343242</v>
      </c>
      <c r="C1326">
        <f t="shared" si="102"/>
        <v>1.0771814113109111</v>
      </c>
      <c r="D1326">
        <f t="shared" si="103"/>
        <v>69699.671434295044</v>
      </c>
      <c r="E1326">
        <f t="shared" si="104"/>
        <v>75079.190443500731</v>
      </c>
    </row>
    <row r="1327" spans="1:5">
      <c r="A1327">
        <f t="shared" si="100"/>
        <v>0.65822502291629048</v>
      </c>
      <c r="B1327">
        <f t="shared" si="101"/>
        <v>0.74285050605047775</v>
      </c>
      <c r="C1327">
        <f t="shared" si="102"/>
        <v>1.0732118997669777</v>
      </c>
      <c r="D1327">
        <f t="shared" si="103"/>
        <v>67179.11662728044</v>
      </c>
      <c r="E1327">
        <f t="shared" si="104"/>
        <v>72097.427380231005</v>
      </c>
    </row>
    <row r="1328" spans="1:5">
      <c r="A1328">
        <f t="shared" si="100"/>
        <v>0.15434002927470658</v>
      </c>
      <c r="B1328">
        <f t="shared" si="101"/>
        <v>0.32750914881611037</v>
      </c>
      <c r="C1328">
        <f t="shared" si="102"/>
        <v>0.75145128620182877</v>
      </c>
      <c r="D1328">
        <f t="shared" si="103"/>
        <v>64449.550541851888</v>
      </c>
      <c r="E1328">
        <f t="shared" si="104"/>
        <v>48430.697649804373</v>
      </c>
    </row>
    <row r="1329" spans="1:5">
      <c r="A1329">
        <f t="shared" si="100"/>
        <v>0.15197530601115661</v>
      </c>
      <c r="B1329">
        <f t="shared" si="101"/>
        <v>0.70621551332033095</v>
      </c>
      <c r="C1329">
        <f t="shared" si="102"/>
        <v>0.74957448772722812</v>
      </c>
      <c r="D1329">
        <f t="shared" si="103"/>
        <v>66906.408035026921</v>
      </c>
      <c r="E1329">
        <f t="shared" si="104"/>
        <v>50151.336528524203</v>
      </c>
    </row>
    <row r="1330" spans="1:5">
      <c r="A1330">
        <f t="shared" si="100"/>
        <v>0.65113085312564056</v>
      </c>
      <c r="B1330">
        <f t="shared" si="101"/>
        <v>0.87896959956313903</v>
      </c>
      <c r="C1330">
        <f t="shared" si="102"/>
        <v>1.0680599094441154</v>
      </c>
      <c r="D1330">
        <f t="shared" si="103"/>
        <v>68464.94778820395</v>
      </c>
      <c r="E1330">
        <f t="shared" si="104"/>
        <v>73124.665934765202</v>
      </c>
    </row>
    <row r="1331" spans="1:5">
      <c r="A1331">
        <f t="shared" si="100"/>
        <v>0.65180667061815789</v>
      </c>
      <c r="B1331">
        <f t="shared" si="101"/>
        <v>0.84577140754453506</v>
      </c>
      <c r="C1331">
        <f t="shared" si="102"/>
        <v>1.0685479568693301</v>
      </c>
      <c r="D1331">
        <f t="shared" si="103"/>
        <v>68088.937826329231</v>
      </c>
      <c r="E1331">
        <f t="shared" si="104"/>
        <v>72756.295399726951</v>
      </c>
    </row>
    <row r="1332" spans="1:5">
      <c r="A1332">
        <f t="shared" si="100"/>
        <v>0.15400275848870937</v>
      </c>
      <c r="B1332">
        <f t="shared" si="101"/>
        <v>0.60662093726451882</v>
      </c>
      <c r="C1332">
        <f t="shared" si="102"/>
        <v>0.75118449012952471</v>
      </c>
      <c r="D1332">
        <f t="shared" si="103"/>
        <v>66231.220664644614</v>
      </c>
      <c r="E1332">
        <f t="shared" si="104"/>
        <v>49751.865725627104</v>
      </c>
    </row>
    <row r="1333" spans="1:5">
      <c r="A1333">
        <f t="shared" si="100"/>
        <v>0.15771911673729466</v>
      </c>
      <c r="B1333">
        <f t="shared" si="101"/>
        <v>0.16151818872308965</v>
      </c>
      <c r="C1333">
        <f t="shared" si="102"/>
        <v>0.75410845702711504</v>
      </c>
      <c r="D1333">
        <f t="shared" si="103"/>
        <v>63104.747470172806</v>
      </c>
      <c r="E1333">
        <f t="shared" si="104"/>
        <v>47587.823745817754</v>
      </c>
    </row>
    <row r="1334" spans="1:5">
      <c r="A1334">
        <f t="shared" si="100"/>
        <v>0.66295574536391344</v>
      </c>
      <c r="B1334">
        <f t="shared" si="101"/>
        <v>0.51046316192024888</v>
      </c>
      <c r="C1334">
        <f t="shared" si="102"/>
        <v>1.0766839032211737</v>
      </c>
      <c r="D1334">
        <f t="shared" si="103"/>
        <v>65624.453874137442</v>
      </c>
      <c r="E1334">
        <f t="shared" si="104"/>
        <v>70656.793143964169</v>
      </c>
    </row>
    <row r="1335" spans="1:5">
      <c r="A1335">
        <f t="shared" si="100"/>
        <v>0.66971264436856659</v>
      </c>
      <c r="B1335">
        <f t="shared" si="101"/>
        <v>0.65345585685599561</v>
      </c>
      <c r="C1335">
        <f t="shared" si="102"/>
        <v>1.0816957595592891</v>
      </c>
      <c r="D1335">
        <f t="shared" si="103"/>
        <v>66539.567952592552</v>
      </c>
      <c r="E1335">
        <f t="shared" si="104"/>
        <v>71975.56849722653</v>
      </c>
    </row>
    <row r="1336" spans="1:5">
      <c r="A1336">
        <f t="shared" si="100"/>
        <v>0.17798981375125345</v>
      </c>
      <c r="B1336">
        <f t="shared" si="101"/>
        <v>0.59049627353032985</v>
      </c>
      <c r="C1336">
        <f t="shared" si="102"/>
        <v>0.76950084306882705</v>
      </c>
      <c r="D1336">
        <f t="shared" si="103"/>
        <v>66127.644944406493</v>
      </c>
      <c r="E1336">
        <f t="shared" si="104"/>
        <v>50885.278534876852</v>
      </c>
    </row>
    <row r="1337" spans="1:5">
      <c r="A1337">
        <f t="shared" si="100"/>
        <v>0.18778725351197356</v>
      </c>
      <c r="B1337">
        <f t="shared" si="101"/>
        <v>0.32158441194325205</v>
      </c>
      <c r="C1337">
        <f t="shared" si="102"/>
        <v>0.77664652151560898</v>
      </c>
      <c r="D1337">
        <f t="shared" si="103"/>
        <v>64408.639845408594</v>
      </c>
      <c r="E1337">
        <f t="shared" si="104"/>
        <v>50022.746091488232</v>
      </c>
    </row>
    <row r="1338" spans="1:5">
      <c r="A1338">
        <f t="shared" si="100"/>
        <v>0.69910496365072805</v>
      </c>
      <c r="B1338">
        <f t="shared" si="101"/>
        <v>0.84672027209476153</v>
      </c>
      <c r="C1338">
        <f t="shared" si="102"/>
        <v>1.104294872802595</v>
      </c>
      <c r="D1338">
        <f t="shared" si="103"/>
        <v>68098.881170435736</v>
      </c>
      <c r="E1338">
        <f t="shared" si="104"/>
        <v>75201.245320105358</v>
      </c>
    </row>
    <row r="1339" spans="1:5">
      <c r="A1339">
        <f t="shared" si="100"/>
        <v>0.71194294416751625</v>
      </c>
      <c r="B1339">
        <f t="shared" si="101"/>
        <v>0.16590385398485896</v>
      </c>
      <c r="C1339">
        <f t="shared" si="102"/>
        <v>1.1146243474614779</v>
      </c>
      <c r="D1339">
        <f t="shared" si="103"/>
        <v>63148.8549809654</v>
      </c>
      <c r="E1339">
        <f t="shared" si="104"/>
        <v>70387.251276098061</v>
      </c>
    </row>
    <row r="1340" spans="1:5">
      <c r="A1340">
        <f t="shared" si="100"/>
        <v>0.22630119506233837</v>
      </c>
      <c r="B1340">
        <f t="shared" si="101"/>
        <v>0.27913515761354413</v>
      </c>
      <c r="C1340">
        <f t="shared" si="102"/>
        <v>0.80330494397714869</v>
      </c>
      <c r="D1340">
        <f t="shared" si="103"/>
        <v>64105.272481338638</v>
      </c>
      <c r="E1340">
        <f t="shared" si="104"/>
        <v>51496.082319261586</v>
      </c>
    </row>
    <row r="1341" spans="1:5">
      <c r="A1341">
        <f t="shared" si="100"/>
        <v>0.24217971633519397</v>
      </c>
      <c r="B1341">
        <f t="shared" si="101"/>
        <v>0.1864141829808168</v>
      </c>
      <c r="C1341">
        <f t="shared" si="102"/>
        <v>0.81377036930805824</v>
      </c>
      <c r="D1341">
        <f t="shared" si="103"/>
        <v>63345.796345754221</v>
      </c>
      <c r="E1341">
        <f t="shared" si="104"/>
        <v>51548.932086397457</v>
      </c>
    </row>
    <row r="1342" spans="1:5">
      <c r="A1342">
        <f t="shared" si="100"/>
        <v>0.75957850798608384</v>
      </c>
      <c r="B1342">
        <f t="shared" si="101"/>
        <v>0.8877409300866772</v>
      </c>
      <c r="C1342">
        <f t="shared" si="102"/>
        <v>1.1560243622601125</v>
      </c>
      <c r="D1342">
        <f t="shared" si="103"/>
        <v>68576.096840133934</v>
      </c>
      <c r="E1342">
        <f t="shared" si="104"/>
        <v>79275.638615903546</v>
      </c>
    </row>
    <row r="1343" spans="1:5">
      <c r="A1343">
        <f t="shared" si="100"/>
        <v>0.77849757001500741</v>
      </c>
      <c r="B1343">
        <f t="shared" si="101"/>
        <v>0.38311539893112534</v>
      </c>
      <c r="C1343">
        <f t="shared" si="102"/>
        <v>1.1741356192866337</v>
      </c>
      <c r="D1343">
        <f t="shared" si="103"/>
        <v>64820.856736315021</v>
      </c>
      <c r="E1343">
        <f t="shared" si="104"/>
        <v>76108.476766783395</v>
      </c>
    </row>
    <row r="1344" spans="1:5">
      <c r="A1344">
        <f t="shared" si="100"/>
        <v>0.29893690242196458</v>
      </c>
      <c r="B1344">
        <f t="shared" si="101"/>
        <v>0.6725375895141612</v>
      </c>
      <c r="C1344">
        <f t="shared" si="102"/>
        <v>0.84949337419823689</v>
      </c>
      <c r="D1344">
        <f t="shared" si="103"/>
        <v>66669.37875559197</v>
      </c>
      <c r="E1344">
        <f t="shared" si="104"/>
        <v>56635.195514788073</v>
      </c>
    </row>
    <row r="1345" spans="1:5">
      <c r="A1345">
        <f t="shared" si="100"/>
        <v>0.32089650520695567</v>
      </c>
      <c r="B1345">
        <f t="shared" si="101"/>
        <v>0.75600750183578458</v>
      </c>
      <c r="C1345">
        <f t="shared" si="102"/>
        <v>0.86282073370022561</v>
      </c>
      <c r="D1345">
        <f t="shared" si="103"/>
        <v>67281.842589080043</v>
      </c>
      <c r="E1345">
        <f t="shared" si="104"/>
        <v>58052.168787413131</v>
      </c>
    </row>
    <row r="1346" spans="1:5">
      <c r="A1346">
        <f t="shared" si="100"/>
        <v>0.8443763783699807</v>
      </c>
      <c r="B1346">
        <f t="shared" si="101"/>
        <v>0.63352513589599591</v>
      </c>
      <c r="C1346">
        <f t="shared" si="102"/>
        <v>1.2484491504926938</v>
      </c>
      <c r="D1346">
        <f t="shared" si="103"/>
        <v>66406.777733340743</v>
      </c>
      <c r="E1346">
        <f t="shared" si="104"/>
        <v>82905.485248146389</v>
      </c>
    </row>
    <row r="1347" spans="1:5">
      <c r="A1347">
        <f t="shared" si="100"/>
        <v>0.86937652191103987</v>
      </c>
      <c r="B1347">
        <f t="shared" si="101"/>
        <v>0.30509049169479474</v>
      </c>
      <c r="C1347">
        <f t="shared" si="102"/>
        <v>1.2835275514049118</v>
      </c>
      <c r="D1347">
        <f t="shared" si="103"/>
        <v>64293.039362679672</v>
      </c>
      <c r="E1347">
        <f t="shared" si="104"/>
        <v>82521.88738555985</v>
      </c>
    </row>
    <row r="1348" spans="1:5">
      <c r="A1348">
        <f t="shared" si="100"/>
        <v>0.3958969358301323</v>
      </c>
      <c r="B1348">
        <f t="shared" si="101"/>
        <v>0.77070356923218131</v>
      </c>
      <c r="C1348">
        <f t="shared" si="102"/>
        <v>0.90733325286036659</v>
      </c>
      <c r="D1348">
        <f t="shared" si="103"/>
        <v>67400.190916391992</v>
      </c>
      <c r="E1348">
        <f t="shared" si="104"/>
        <v>61154.434467579682</v>
      </c>
    </row>
    <row r="1349" spans="1:5">
      <c r="A1349">
        <f t="shared" si="100"/>
        <v>0.42393762012725889</v>
      </c>
      <c r="B1349">
        <f t="shared" si="101"/>
        <v>3.0364368508155604E-2</v>
      </c>
      <c r="C1349">
        <f t="shared" si="102"/>
        <v>0.92384816757657529</v>
      </c>
      <c r="D1349">
        <f t="shared" si="103"/>
        <v>60901.075772134551</v>
      </c>
      <c r="E1349">
        <f t="shared" si="104"/>
        <v>56263.347255528672</v>
      </c>
    </row>
    <row r="1350" spans="1:5">
      <c r="A1350">
        <f t="shared" si="100"/>
        <v>0.95349857480241917</v>
      </c>
      <c r="B1350">
        <f t="shared" si="101"/>
        <v>8.4072889522717631E-2</v>
      </c>
      <c r="C1350">
        <f t="shared" si="102"/>
        <v>1.4750494329021275</v>
      </c>
      <c r="D1350">
        <f t="shared" si="103"/>
        <v>62136.203454067996</v>
      </c>
      <c r="E1350">
        <f t="shared" si="104"/>
        <v>91653.971667614212</v>
      </c>
    </row>
    <row r="1351" spans="1:5">
      <c r="A1351">
        <f t="shared" si="100"/>
        <v>0.98457979985561317</v>
      </c>
      <c r="B1351">
        <f t="shared" si="101"/>
        <v>0.93182913227586717</v>
      </c>
      <c r="C1351">
        <f t="shared" si="102"/>
        <v>1.6628474707381187</v>
      </c>
      <c r="D1351">
        <f t="shared" si="103"/>
        <v>69259.014493820752</v>
      </c>
      <c r="E1351">
        <f t="shared" si="104"/>
        <v>115167.17707686454</v>
      </c>
    </row>
    <row r="1352" spans="1:5">
      <c r="A1352">
        <f t="shared" si="100"/>
        <v>0.51718129528684109</v>
      </c>
      <c r="B1352">
        <f t="shared" si="101"/>
        <v>0.57363309676760466</v>
      </c>
      <c r="C1352">
        <f t="shared" si="102"/>
        <v>0.97972839923342203</v>
      </c>
      <c r="D1352">
        <f t="shared" si="103"/>
        <v>66020.370006833575</v>
      </c>
      <c r="E1352">
        <f t="shared" si="104"/>
        <v>64682.031423593289</v>
      </c>
    </row>
    <row r="1353" spans="1:5">
      <c r="A1353">
        <f t="shared" si="100"/>
        <v>0.55130306109610294</v>
      </c>
      <c r="B1353">
        <f t="shared" si="101"/>
        <v>9.4847829979296527E-3</v>
      </c>
      <c r="C1353">
        <f t="shared" si="102"/>
        <v>1.000989042396359</v>
      </c>
      <c r="D1353">
        <f t="shared" si="103"/>
        <v>59732.055750639709</v>
      </c>
      <c r="E1353">
        <f t="shared" si="104"/>
        <v>59791.133286198768</v>
      </c>
    </row>
    <row r="1354" spans="1:5">
      <c r="A1354">
        <f t="shared" si="100"/>
        <v>8.694509728339872E-2</v>
      </c>
      <c r="B1354">
        <f t="shared" si="101"/>
        <v>0.23938419096684216</v>
      </c>
      <c r="C1354">
        <f t="shared" si="102"/>
        <v>0.68990429672179987</v>
      </c>
      <c r="D1354">
        <f t="shared" si="103"/>
        <v>63800.085842365908</v>
      </c>
      <c r="E1354">
        <f t="shared" si="104"/>
        <v>44015.95335386791</v>
      </c>
    </row>
    <row r="1355" spans="1:5">
      <c r="A1355">
        <f t="shared" si="100"/>
        <v>0.12410740384872776</v>
      </c>
      <c r="B1355">
        <f t="shared" si="101"/>
        <v>0.26333132067434262</v>
      </c>
      <c r="C1355">
        <f t="shared" si="102"/>
        <v>0.7262041686913735</v>
      </c>
      <c r="D1355">
        <f t="shared" si="103"/>
        <v>63986.806183230226</v>
      </c>
      <c r="E1355">
        <f t="shared" si="104"/>
        <v>46467.485391508744</v>
      </c>
    </row>
    <row r="1356" spans="1:5">
      <c r="A1356">
        <f t="shared" si="100"/>
        <v>0.66278998079209117</v>
      </c>
      <c r="B1356">
        <f t="shared" si="101"/>
        <v>8.1326172120430806E-2</v>
      </c>
      <c r="C1356">
        <f t="shared" si="102"/>
        <v>1.0765617379491159</v>
      </c>
      <c r="D1356">
        <f t="shared" si="103"/>
        <v>62091.445563163361</v>
      </c>
      <c r="E1356">
        <f t="shared" si="104"/>
        <v>66845.274547252076</v>
      </c>
    </row>
    <row r="1357" spans="1:5">
      <c r="A1357">
        <f t="shared" si="100"/>
        <v>0.70299282811348851</v>
      </c>
      <c r="B1357">
        <f t="shared" si="101"/>
        <v>0.6933687453051065</v>
      </c>
      <c r="C1357">
        <f t="shared" si="102"/>
        <v>1.1073911651343551</v>
      </c>
      <c r="D1357">
        <f t="shared" si="103"/>
        <v>66814.656716236597</v>
      </c>
      <c r="E1357">
        <f t="shared" si="104"/>
        <v>73989.960549045209</v>
      </c>
    </row>
    <row r="1358" spans="1:5">
      <c r="A1358">
        <f t="shared" si="100"/>
        <v>0.24471594581291933</v>
      </c>
      <c r="B1358">
        <f t="shared" si="101"/>
        <v>9.9459040228369933E-2</v>
      </c>
      <c r="C1358">
        <f t="shared" si="102"/>
        <v>0.81541901261154048</v>
      </c>
      <c r="D1358">
        <f t="shared" si="103"/>
        <v>62368.550865378056</v>
      </c>
      <c r="E1358">
        <f t="shared" si="104"/>
        <v>50856.502164659214</v>
      </c>
    </row>
    <row r="1359" spans="1:5">
      <c r="A1359">
        <f t="shared" si="100"/>
        <v>0.28795933389038408</v>
      </c>
      <c r="B1359">
        <f t="shared" si="101"/>
        <v>0.29959705689022087</v>
      </c>
      <c r="C1359">
        <f t="shared" si="102"/>
        <v>0.84274652984698151</v>
      </c>
      <c r="D1359">
        <f t="shared" si="103"/>
        <v>64253.933269326917</v>
      </c>
      <c r="E1359">
        <f t="shared" si="104"/>
        <v>54149.779291744773</v>
      </c>
    </row>
    <row r="1360" spans="1:5">
      <c r="A1360">
        <f t="shared" ref="A1360:A1423" si="105">IFERROR(MOD(MOD(($E$8+((ROW()-15)*(ROW()-14)/2)*13)*171,30269)/30269+MOD(($E$8+((ROW()-15)*(ROW()-14)/2)*29)*172,30307)/30307+MOD(($E$8+((ROW()-15)*(ROW()-14)/2)*47)*170,30323)/30323,1),0.5)</f>
        <v>0.83272299234588276</v>
      </c>
      <c r="B1360">
        <f t="shared" ref="B1360:B1423" si="106">IFERROR(MOD(MOD(($E$8+((ROW()-15)*(ROW()-14)/2)*17)*171,30269)/30269+MOD(($E$8+((ROW()-15)*(ROW()-14)/2)*41)*172,30307)/30307+MOD(($E$8+((ROW()-15)*(ROW()-14)/2)*83)*170,30323)/30323,1),0.5)</f>
        <v>0.29378279529065976</v>
      </c>
      <c r="C1360">
        <f t="shared" ref="C1360:C1423" si="107">IFERROR(EXP($E$4*NORMSINV(MIN(MAX(A1360,0.000000001),0.999999999))-$E$4^2/2),1)</f>
        <v>1.2336723928147102</v>
      </c>
      <c r="D1360">
        <f t="shared" ref="D1360:D1423" si="108">IFERROR($B$5+$E$5*NORMSINV(MIN(MAX(B1360,0.000000001),0.999999999)),$B$5)</f>
        <v>64212.187522123073</v>
      </c>
      <c r="E1360">
        <f t="shared" ref="E1360:E1423" si="109">IFERROR(C1360*MAX(D1360,0),0)</f>
        <v>79216.803028284441</v>
      </c>
    </row>
    <row r="1361" spans="1:5">
      <c r="A1361">
        <f t="shared" si="105"/>
        <v>0.87900692117941492</v>
      </c>
      <c r="B1361">
        <f t="shared" si="106"/>
        <v>8.201625542968638E-2</v>
      </c>
      <c r="C1361">
        <f t="shared" si="107"/>
        <v>1.2985642114360187</v>
      </c>
      <c r="D1361">
        <f t="shared" si="108"/>
        <v>62102.796287953119</v>
      </c>
      <c r="E1361">
        <f t="shared" si="109"/>
        <v>80644.46868963755</v>
      </c>
    </row>
    <row r="1362" spans="1:5">
      <c r="A1362">
        <f t="shared" si="105"/>
        <v>0.42681112039098124</v>
      </c>
      <c r="B1362">
        <f t="shared" si="106"/>
        <v>0.66429743730730051</v>
      </c>
      <c r="C1362">
        <f t="shared" si="107"/>
        <v>0.92554300900095032</v>
      </c>
      <c r="D1362">
        <f t="shared" si="108"/>
        <v>66612.970461400939</v>
      </c>
      <c r="E1362">
        <f t="shared" si="109"/>
        <v>61653.169119336446</v>
      </c>
    </row>
    <row r="1363" spans="1:5">
      <c r="A1363">
        <f t="shared" si="105"/>
        <v>0.47613558998058148</v>
      </c>
      <c r="B1363">
        <f t="shared" si="106"/>
        <v>4.0626340923502369E-2</v>
      </c>
      <c r="C1363">
        <f t="shared" si="107"/>
        <v>0.95483786164021112</v>
      </c>
      <c r="D1363">
        <f t="shared" si="108"/>
        <v>61228.938132695519</v>
      </c>
      <c r="E1363">
        <f t="shared" si="109"/>
        <v>58463.708357123767</v>
      </c>
    </row>
    <row r="1364" spans="1:5">
      <c r="A1364">
        <f t="shared" si="105"/>
        <v>2.6980329948214976E-2</v>
      </c>
      <c r="B1364">
        <f t="shared" si="106"/>
        <v>0.21100296627829218</v>
      </c>
      <c r="C1364">
        <f t="shared" si="107"/>
        <v>0.59867400552205852</v>
      </c>
      <c r="D1364">
        <f t="shared" si="108"/>
        <v>63564.969079345756</v>
      </c>
      <c r="E1364">
        <f t="shared" si="109"/>
        <v>38054.694649617719</v>
      </c>
    </row>
    <row r="1365" spans="1:5">
      <c r="A1365">
        <f t="shared" si="105"/>
        <v>7.9345340293882849E-2</v>
      </c>
      <c r="B1365">
        <f t="shared" si="106"/>
        <v>0.17542731337166922</v>
      </c>
      <c r="C1365">
        <f t="shared" si="107"/>
        <v>0.68138880590424267</v>
      </c>
      <c r="D1365">
        <f t="shared" si="108"/>
        <v>63242.111386863362</v>
      </c>
      <c r="E1365">
        <f t="shared" si="109"/>
        <v>43092.466760757932</v>
      </c>
    </row>
    <row r="1366" spans="1:5">
      <c r="A1366">
        <f t="shared" si="105"/>
        <v>0.63323062101758465</v>
      </c>
      <c r="B1366">
        <f t="shared" si="106"/>
        <v>0.93389938220363411</v>
      </c>
      <c r="C1366">
        <f t="shared" si="107"/>
        <v>1.0553320940391075</v>
      </c>
      <c r="D1366">
        <f t="shared" si="108"/>
        <v>69298.567812817419</v>
      </c>
      <c r="E1366">
        <f t="shared" si="109"/>
        <v>73133.002683811705</v>
      </c>
    </row>
    <row r="1367" spans="1:5">
      <c r="A1367">
        <f t="shared" si="105"/>
        <v>0.68863617211931993</v>
      </c>
      <c r="B1367">
        <f t="shared" si="106"/>
        <v>0.48641917277418667</v>
      </c>
      <c r="C1367">
        <f t="shared" si="107"/>
        <v>1.096087543136854</v>
      </c>
      <c r="D1367">
        <f t="shared" si="108"/>
        <v>65474.734764041787</v>
      </c>
      <c r="E1367">
        <f t="shared" si="109"/>
        <v>71766.041165055722</v>
      </c>
    </row>
    <row r="1368" spans="1:5">
      <c r="A1368">
        <f t="shared" si="105"/>
        <v>0.24556199359908915</v>
      </c>
      <c r="B1368">
        <f t="shared" si="106"/>
        <v>0.83298668508332696</v>
      </c>
      <c r="C1368">
        <f t="shared" si="107"/>
        <v>0.81596766324979131</v>
      </c>
      <c r="D1368">
        <f t="shared" si="108"/>
        <v>67958.714684166116</v>
      </c>
      <c r="E1368">
        <f t="shared" si="109"/>
        <v>55452.113618298303</v>
      </c>
    </row>
    <row r="1369" spans="1:5">
      <c r="A1369">
        <f t="shared" si="105"/>
        <v>0.30400808545689206</v>
      </c>
      <c r="B1369">
        <f t="shared" si="106"/>
        <v>0.97360191913105498</v>
      </c>
      <c r="C1369">
        <f t="shared" si="107"/>
        <v>0.85258972719748127</v>
      </c>
      <c r="D1369">
        <f t="shared" si="108"/>
        <v>70369.337949148714</v>
      </c>
      <c r="E1369">
        <f t="shared" si="109"/>
        <v>59996.174645132065</v>
      </c>
    </row>
    <row r="1370" spans="1:5">
      <c r="A1370">
        <f t="shared" si="105"/>
        <v>0.86397444769272891</v>
      </c>
      <c r="B1370">
        <f t="shared" si="106"/>
        <v>0.90826487491737073</v>
      </c>
      <c r="C1370">
        <f t="shared" si="107"/>
        <v>1.2754994575364424</v>
      </c>
      <c r="D1370">
        <f t="shared" si="108"/>
        <v>68863.082588421195</v>
      </c>
      <c r="E1370">
        <f t="shared" si="109"/>
        <v>87834.824485818477</v>
      </c>
    </row>
    <row r="1371" spans="1:5">
      <c r="A1371">
        <f t="shared" si="105"/>
        <v>0.92546108030659968</v>
      </c>
      <c r="B1371">
        <f t="shared" si="106"/>
        <v>0.63697555244227377</v>
      </c>
      <c r="C1371">
        <f t="shared" si="107"/>
        <v>1.3902020480057891</v>
      </c>
      <c r="D1371">
        <f t="shared" si="108"/>
        <v>66429.583242130495</v>
      </c>
      <c r="E1371">
        <f t="shared" si="109"/>
        <v>92350.542671380856</v>
      </c>
    </row>
    <row r="1372" spans="1:5">
      <c r="A1372">
        <f t="shared" si="105"/>
        <v>0.48846798329850422</v>
      </c>
      <c r="B1372">
        <f t="shared" si="106"/>
        <v>0.15973395170576521</v>
      </c>
      <c r="C1372">
        <f t="shared" si="107"/>
        <v>0.96225323348620129</v>
      </c>
      <c r="D1372">
        <f t="shared" si="108"/>
        <v>63086.57995124103</v>
      </c>
      <c r="E1372">
        <f t="shared" si="109"/>
        <v>60705.265547667441</v>
      </c>
    </row>
    <row r="1373" spans="1:5">
      <c r="A1373">
        <f t="shared" si="105"/>
        <v>0.55299515666844257</v>
      </c>
      <c r="B1373">
        <f t="shared" si="106"/>
        <v>0.47654007270784371</v>
      </c>
      <c r="C1373">
        <f t="shared" si="107"/>
        <v>1.002060188011654</v>
      </c>
      <c r="D1373">
        <f t="shared" si="108"/>
        <v>65413.160599754716</v>
      </c>
      <c r="E1373">
        <f t="shared" si="109"/>
        <v>65547.924009026727</v>
      </c>
    </row>
    <row r="1374" spans="1:5">
      <c r="A1374">
        <f t="shared" si="105"/>
        <v>0.11904260041641468</v>
      </c>
      <c r="B1374">
        <f t="shared" si="106"/>
        <v>0.58739391544851038</v>
      </c>
      <c r="C1374">
        <f t="shared" si="107"/>
        <v>0.72166330395467926</v>
      </c>
      <c r="D1374">
        <f t="shared" si="108"/>
        <v>66107.835534934289</v>
      </c>
      <c r="E1374">
        <f t="shared" si="109"/>
        <v>47707.59900943323</v>
      </c>
    </row>
    <row r="1375" spans="1:5">
      <c r="A1375">
        <f t="shared" si="105"/>
        <v>0.18661031454242072</v>
      </c>
      <c r="B1375">
        <f t="shared" si="106"/>
        <v>0.49229547992776457</v>
      </c>
      <c r="C1375">
        <f t="shared" si="107"/>
        <v>0.77579713878827206</v>
      </c>
      <c r="D1375">
        <f t="shared" si="108"/>
        <v>65511.333378704658</v>
      </c>
      <c r="E1375">
        <f t="shared" si="109"/>
        <v>50823.504993403694</v>
      </c>
    </row>
    <row r="1376" spans="1:5">
      <c r="A1376">
        <f t="shared" si="105"/>
        <v>0.75569829904646058</v>
      </c>
      <c r="B1376">
        <f t="shared" si="106"/>
        <v>0.19124476614560626</v>
      </c>
      <c r="C1376">
        <f t="shared" si="107"/>
        <v>1.1524417569250083</v>
      </c>
      <c r="D1376">
        <f t="shared" si="108"/>
        <v>63390.18004911235</v>
      </c>
      <c r="E1376">
        <f t="shared" si="109"/>
        <v>73053.490467591648</v>
      </c>
    </row>
    <row r="1377" spans="1:5">
      <c r="A1377">
        <f t="shared" si="105"/>
        <v>0.82630655392853425</v>
      </c>
      <c r="B1377">
        <f t="shared" si="106"/>
        <v>0.6842417741020359</v>
      </c>
      <c r="C1377">
        <f t="shared" si="107"/>
        <v>1.2258904566978972</v>
      </c>
      <c r="D1377">
        <f t="shared" si="108"/>
        <v>66750.504812668645</v>
      </c>
      <c r="E1377">
        <f t="shared" si="109"/>
        <v>81828.806829617548</v>
      </c>
    </row>
    <row r="1378" spans="1:5">
      <c r="A1378">
        <f t="shared" si="105"/>
        <v>0.39843507918864152</v>
      </c>
      <c r="B1378">
        <f t="shared" si="106"/>
        <v>0.97128650379705306</v>
      </c>
      <c r="C1378">
        <f t="shared" si="107"/>
        <v>0.90882752013144297</v>
      </c>
      <c r="D1378">
        <f t="shared" si="108"/>
        <v>70278.586521241275</v>
      </c>
      <c r="E1378">
        <f t="shared" si="109"/>
        <v>63871.113506442758</v>
      </c>
    </row>
    <row r="1379" spans="1:5">
      <c r="A1379">
        <f t="shared" si="105"/>
        <v>0.47208387482678305</v>
      </c>
      <c r="B1379">
        <f t="shared" si="106"/>
        <v>5.237895523065772E-2</v>
      </c>
      <c r="C1379">
        <f t="shared" si="107"/>
        <v>0.95241145373422209</v>
      </c>
      <c r="D1379">
        <f t="shared" si="108"/>
        <v>61530.098633490801</v>
      </c>
      <c r="E1379">
        <f t="shared" si="109"/>
        <v>58601.970687933048</v>
      </c>
    </row>
    <row r="1380" spans="1:5">
      <c r="A1380">
        <f t="shared" si="105"/>
        <v>4.7252940842958502E-2</v>
      </c>
      <c r="B1380">
        <f t="shared" si="106"/>
        <v>0.92751912840285033</v>
      </c>
      <c r="C1380">
        <f t="shared" si="107"/>
        <v>0.63809163291728799</v>
      </c>
      <c r="D1380">
        <f t="shared" si="108"/>
        <v>69179.551563470828</v>
      </c>
      <c r="E1380">
        <f t="shared" si="109"/>
        <v>44142.893021620825</v>
      </c>
    </row>
    <row r="1381" spans="1:5">
      <c r="A1381">
        <f t="shared" si="105"/>
        <v>0.12394227723716722</v>
      </c>
      <c r="B1381">
        <f t="shared" si="106"/>
        <v>0.59670702331363046</v>
      </c>
      <c r="C1381">
        <f t="shared" si="107"/>
        <v>0.72605775160150687</v>
      </c>
      <c r="D1381">
        <f t="shared" si="108"/>
        <v>66167.412530415837</v>
      </c>
      <c r="E1381">
        <f t="shared" si="109"/>
        <v>48041.362771123095</v>
      </c>
    </row>
    <row r="1382" spans="1:5">
      <c r="A1382">
        <f t="shared" si="105"/>
        <v>0.70215188400940987</v>
      </c>
      <c r="B1382">
        <f t="shared" si="106"/>
        <v>5.9942639962998534E-2</v>
      </c>
      <c r="C1382">
        <f t="shared" si="107"/>
        <v>1.1067191466091264</v>
      </c>
      <c r="D1382">
        <f t="shared" si="108"/>
        <v>61696.404430812858</v>
      </c>
      <c r="E1382">
        <f t="shared" si="109"/>
        <v>68280.592060520736</v>
      </c>
    </row>
    <row r="1383" spans="1:5">
      <c r="A1383">
        <f t="shared" si="105"/>
        <v>0.78188176115968666</v>
      </c>
      <c r="B1383">
        <f t="shared" si="106"/>
        <v>0.31722597835095412</v>
      </c>
      <c r="C1383">
        <f t="shared" si="107"/>
        <v>1.17749705836489</v>
      </c>
      <c r="D1383">
        <f t="shared" si="108"/>
        <v>64378.344647500111</v>
      </c>
      <c r="E1383">
        <f t="shared" si="109"/>
        <v>75805.311444832449</v>
      </c>
    </row>
    <row r="1384" spans="1:5">
      <c r="A1384">
        <f t="shared" si="105"/>
        <v>0.36313190868799694</v>
      </c>
      <c r="B1384">
        <f t="shared" si="106"/>
        <v>0.36855703847749766</v>
      </c>
      <c r="C1384">
        <f t="shared" si="107"/>
        <v>0.88800762924103849</v>
      </c>
      <c r="D1384">
        <f t="shared" si="108"/>
        <v>64725.557532858227</v>
      </c>
      <c r="E1384">
        <f t="shared" si="109"/>
        <v>57476.788896057871</v>
      </c>
    </row>
    <row r="1385" spans="1:5">
      <c r="A1385">
        <f t="shared" si="105"/>
        <v>0.44590232659434115</v>
      </c>
      <c r="B1385">
        <f t="shared" si="106"/>
        <v>0.21393582034262826</v>
      </c>
      <c r="C1385">
        <f t="shared" si="107"/>
        <v>0.93682829959029568</v>
      </c>
      <c r="D1385">
        <f t="shared" si="108"/>
        <v>63590.07266475795</v>
      </c>
      <c r="E1385">
        <f t="shared" si="109"/>
        <v>59572.979645348532</v>
      </c>
    </row>
    <row r="1386" spans="1:5">
      <c r="A1386">
        <f t="shared" si="105"/>
        <v>3.0193014878719282E-2</v>
      </c>
      <c r="B1386">
        <f t="shared" si="106"/>
        <v>0.85336232394634726</v>
      </c>
      <c r="C1386">
        <f t="shared" si="107"/>
        <v>0.606081320179786</v>
      </c>
      <c r="D1386">
        <f t="shared" si="108"/>
        <v>68169.657530533412</v>
      </c>
      <c r="E1386">
        <f t="shared" si="109"/>
        <v>41316.356032309581</v>
      </c>
    </row>
    <row r="1387" spans="1:5">
      <c r="A1387">
        <f t="shared" si="105"/>
        <v>0.11600397354113134</v>
      </c>
      <c r="B1387">
        <f t="shared" si="106"/>
        <v>0.28683654928865376</v>
      </c>
      <c r="C1387">
        <f t="shared" si="107"/>
        <v>0.71888735036371043</v>
      </c>
      <c r="D1387">
        <f t="shared" si="108"/>
        <v>64161.809093395052</v>
      </c>
      <c r="E1387">
        <f t="shared" si="109"/>
        <v>46125.112933692988</v>
      </c>
    </row>
    <row r="1388" spans="1:5">
      <c r="A1388">
        <f t="shared" si="105"/>
        <v>0.70333520258157711</v>
      </c>
      <c r="B1388">
        <f t="shared" si="106"/>
        <v>0.51435849636954734</v>
      </c>
      <c r="C1388">
        <f t="shared" si="107"/>
        <v>1.1076651308710168</v>
      </c>
      <c r="D1388">
        <f t="shared" si="108"/>
        <v>65648.717648125981</v>
      </c>
      <c r="E1388">
        <f t="shared" si="109"/>
        <v>72716.795425225893</v>
      </c>
    </row>
    <row r="1389" spans="1:5">
      <c r="A1389">
        <f t="shared" si="105"/>
        <v>0.79218670200005659</v>
      </c>
      <c r="B1389">
        <f t="shared" si="106"/>
        <v>0.5359281651890293</v>
      </c>
      <c r="C1389">
        <f t="shared" si="107"/>
        <v>1.1879843056717687</v>
      </c>
      <c r="D1389">
        <f t="shared" si="108"/>
        <v>65783.292017493688</v>
      </c>
      <c r="E1389">
        <f t="shared" si="109"/>
        <v>78149.518492205447</v>
      </c>
    </row>
    <row r="1390" spans="1:5">
      <c r="A1390">
        <f t="shared" si="105"/>
        <v>0.38255847179656999</v>
      </c>
      <c r="B1390">
        <f t="shared" si="106"/>
        <v>0.35154555574709878</v>
      </c>
      <c r="C1390">
        <f t="shared" si="107"/>
        <v>0.89947677936564674</v>
      </c>
      <c r="D1390">
        <f t="shared" si="108"/>
        <v>64612.611406342803</v>
      </c>
      <c r="E1390">
        <f t="shared" si="109"/>
        <v>58117.543614181275</v>
      </c>
    </row>
    <row r="1391" spans="1:5">
      <c r="A1391">
        <f t="shared" si="105"/>
        <v>0.47445051197111754</v>
      </c>
      <c r="B1391">
        <f t="shared" si="106"/>
        <v>0.96121066804375577</v>
      </c>
      <c r="C1391">
        <f t="shared" si="107"/>
        <v>0.95382818079197962</v>
      </c>
      <c r="D1391">
        <f t="shared" si="108"/>
        <v>69942.941179844318</v>
      </c>
      <c r="E1391">
        <f t="shared" si="109"/>
        <v>66713.548344811337</v>
      </c>
    </row>
    <row r="1392" spans="1:5">
      <c r="A1392">
        <f t="shared" si="105"/>
        <v>6.7862822523698352E-2</v>
      </c>
      <c r="B1392">
        <f t="shared" si="106"/>
        <v>0.36492350207900071</v>
      </c>
      <c r="C1392">
        <f t="shared" si="107"/>
        <v>0.66749409794803061</v>
      </c>
      <c r="D1392">
        <f t="shared" si="108"/>
        <v>64701.585258226864</v>
      </c>
      <c r="E1392">
        <f t="shared" si="109"/>
        <v>43187.926287747738</v>
      </c>
    </row>
    <row r="1393" spans="1:5">
      <c r="A1393">
        <f t="shared" si="105"/>
        <v>0.16279540345431331</v>
      </c>
      <c r="B1393">
        <f t="shared" si="106"/>
        <v>0.56268405785283304</v>
      </c>
      <c r="C1393">
        <f t="shared" si="107"/>
        <v>0.75804809282576369</v>
      </c>
      <c r="D1393">
        <f t="shared" si="108"/>
        <v>65951.187975171008</v>
      </c>
      <c r="E1393">
        <f t="shared" si="109"/>
        <v>49994.172264171822</v>
      </c>
    </row>
    <row r="1394" spans="1:5">
      <c r="A1394">
        <f t="shared" si="105"/>
        <v>0.75924825476296198</v>
      </c>
      <c r="B1394">
        <f t="shared" si="106"/>
        <v>0.55449233536525311</v>
      </c>
      <c r="C1394">
        <f t="shared" si="107"/>
        <v>1.1557177880875182</v>
      </c>
      <c r="D1394">
        <f t="shared" si="108"/>
        <v>65899.62923102302</v>
      </c>
      <c r="E1394">
        <f t="shared" si="109"/>
        <v>76161.37373066548</v>
      </c>
    </row>
    <row r="1395" spans="1:5">
      <c r="A1395">
        <f t="shared" si="105"/>
        <v>0.85722137644964458</v>
      </c>
      <c r="B1395">
        <f t="shared" si="106"/>
        <v>0.34034833461626107</v>
      </c>
      <c r="C1395">
        <f t="shared" si="107"/>
        <v>1.2658320353144212</v>
      </c>
      <c r="D1395">
        <f t="shared" si="108"/>
        <v>64537.200314535046</v>
      </c>
      <c r="E1395">
        <f t="shared" si="109"/>
        <v>81693.2556276424</v>
      </c>
    </row>
    <row r="1396" spans="1:5">
      <c r="A1396">
        <f t="shared" si="105"/>
        <v>0.45671476851436088</v>
      </c>
      <c r="B1396">
        <f t="shared" si="106"/>
        <v>0.92025205560585666</v>
      </c>
      <c r="C1396">
        <f t="shared" si="107"/>
        <v>0.94324573943983314</v>
      </c>
      <c r="D1396">
        <f t="shared" si="108"/>
        <v>69053.397309521679</v>
      </c>
      <c r="E1396">
        <f t="shared" si="109"/>
        <v>65134.322806052362</v>
      </c>
    </row>
    <row r="1397" spans="1:5">
      <c r="A1397">
        <f t="shared" si="105"/>
        <v>0.55772843095711122</v>
      </c>
      <c r="B1397">
        <f t="shared" si="106"/>
        <v>0.2942034983340398</v>
      </c>
      <c r="C1397">
        <f t="shared" si="107"/>
        <v>1.005065900482669</v>
      </c>
      <c r="D1397">
        <f t="shared" si="108"/>
        <v>64215.220785160178</v>
      </c>
      <c r="E1397">
        <f t="shared" si="109"/>
        <v>64540.528703130418</v>
      </c>
    </row>
    <row r="1398" spans="1:5">
      <c r="A1398">
        <f t="shared" si="105"/>
        <v>0.16026236377789527</v>
      </c>
      <c r="B1398">
        <f t="shared" si="106"/>
        <v>0.4622026628008109</v>
      </c>
      <c r="C1398">
        <f t="shared" si="107"/>
        <v>0.75608986604601081</v>
      </c>
      <c r="D1398">
        <f t="shared" si="108"/>
        <v>65323.628534652016</v>
      </c>
      <c r="E1398">
        <f t="shared" si="109"/>
        <v>49390.533548404412</v>
      </c>
    </row>
    <row r="1399" spans="1:5">
      <c r="A1399">
        <f t="shared" si="105"/>
        <v>0.26431656697671313</v>
      </c>
      <c r="B1399">
        <f t="shared" si="106"/>
        <v>0.42424954900616929</v>
      </c>
      <c r="C1399">
        <f t="shared" si="107"/>
        <v>0.82797403704562644</v>
      </c>
      <c r="D1399">
        <f t="shared" si="108"/>
        <v>65084.81944258108</v>
      </c>
      <c r="E1399">
        <f t="shared" si="109"/>
        <v>53888.540704259533</v>
      </c>
    </row>
    <row r="1400" spans="1:5">
      <c r="A1400">
        <f t="shared" si="105"/>
        <v>0.86989104055356481</v>
      </c>
      <c r="B1400">
        <f t="shared" si="106"/>
        <v>0.18034415695011563</v>
      </c>
      <c r="C1400">
        <f t="shared" si="107"/>
        <v>1.2843067176092398</v>
      </c>
      <c r="D1400">
        <f t="shared" si="108"/>
        <v>63289.001462341228</v>
      </c>
      <c r="E1400">
        <f t="shared" si="109"/>
        <v>81282.489728865839</v>
      </c>
    </row>
    <row r="1401" spans="1:5">
      <c r="A1401">
        <f t="shared" si="105"/>
        <v>0.97698578450845042</v>
      </c>
      <c r="B1401">
        <f t="shared" si="106"/>
        <v>0.73048648663264948</v>
      </c>
      <c r="C1401">
        <f t="shared" si="107"/>
        <v>1.5960520703342325</v>
      </c>
      <c r="D1401">
        <f t="shared" si="108"/>
        <v>67085.047667183113</v>
      </c>
      <c r="E1401">
        <f t="shared" si="109"/>
        <v>107071.22921767828</v>
      </c>
    </row>
    <row r="1402" spans="1:5">
      <c r="A1402">
        <f t="shared" si="105"/>
        <v>0.5856007988413694</v>
      </c>
      <c r="B1402">
        <f t="shared" si="106"/>
        <v>7.467653805377128E-2</v>
      </c>
      <c r="C1402">
        <f t="shared" si="107"/>
        <v>1.0230728833144129</v>
      </c>
      <c r="D1402">
        <f t="shared" si="108"/>
        <v>61978.151099690076</v>
      </c>
      <c r="E1402">
        <f t="shared" si="109"/>
        <v>63408.165748056279</v>
      </c>
    </row>
    <row r="1403" spans="1:5">
      <c r="A1403">
        <f t="shared" si="105"/>
        <v>0.69573608355232297</v>
      </c>
      <c r="B1403">
        <f t="shared" si="106"/>
        <v>0.21291431121348059</v>
      </c>
      <c r="C1403">
        <f t="shared" si="107"/>
        <v>1.1016334158992185</v>
      </c>
      <c r="D1403">
        <f t="shared" si="108"/>
        <v>63581.352062089201</v>
      </c>
      <c r="E1403">
        <f t="shared" si="109"/>
        <v>70043.342059650153</v>
      </c>
    </row>
    <row r="1404" spans="1:5">
      <c r="A1404">
        <f t="shared" si="105"/>
        <v>0.30739163864131003</v>
      </c>
      <c r="B1404">
        <f t="shared" si="106"/>
        <v>0.14519980611177763</v>
      </c>
      <c r="C1404">
        <f t="shared" si="107"/>
        <v>0.85464904948860054</v>
      </c>
      <c r="D1404">
        <f t="shared" si="108"/>
        <v>62933.347469047258</v>
      </c>
      <c r="E1404">
        <f t="shared" si="109"/>
        <v>53785.925595557062</v>
      </c>
    </row>
    <row r="1405" spans="1:5">
      <c r="A1405">
        <f t="shared" si="105"/>
        <v>0.42056746410833079</v>
      </c>
      <c r="B1405">
        <f t="shared" si="106"/>
        <v>0.8715330227486624</v>
      </c>
      <c r="C1405">
        <f t="shared" si="107"/>
        <v>0.9218613045281181</v>
      </c>
      <c r="D1405">
        <f t="shared" si="108"/>
        <v>68375.075943334727</v>
      </c>
      <c r="E1405">
        <f t="shared" si="109"/>
        <v>63032.336706331698</v>
      </c>
    </row>
    <row r="1406" spans="1:5">
      <c r="A1406">
        <f t="shared" si="105"/>
        <v>3.5263559953385482E-2</v>
      </c>
      <c r="B1406">
        <f t="shared" si="106"/>
        <v>0.3919139611241349</v>
      </c>
      <c r="C1406">
        <f t="shared" si="107"/>
        <v>0.61669693472318199</v>
      </c>
      <c r="D1406">
        <f t="shared" si="108"/>
        <v>64877.920672811488</v>
      </c>
      <c r="E1406">
        <f t="shared" si="109"/>
        <v>40010.014810136607</v>
      </c>
    </row>
    <row r="1407" spans="1:5">
      <c r="A1407">
        <f t="shared" si="105"/>
        <v>0.15147992617647388</v>
      </c>
      <c r="B1407">
        <f t="shared" si="106"/>
        <v>0.70634262123819491</v>
      </c>
      <c r="C1407">
        <f t="shared" si="107"/>
        <v>0.74917947007546581</v>
      </c>
      <c r="D1407">
        <f t="shared" si="108"/>
        <v>66907.324874026264</v>
      </c>
      <c r="E1407">
        <f t="shared" si="109"/>
        <v>50125.594193290031</v>
      </c>
    </row>
    <row r="1408" spans="1:5">
      <c r="A1408">
        <f t="shared" si="105"/>
        <v>0.7692165627775962</v>
      </c>
      <c r="B1408">
        <f t="shared" si="106"/>
        <v>0.81481900309084265</v>
      </c>
      <c r="C1408">
        <f t="shared" si="107"/>
        <v>1.1651120992030484</v>
      </c>
      <c r="D1408">
        <f t="shared" si="108"/>
        <v>67784.255597074807</v>
      </c>
      <c r="E1408">
        <f t="shared" si="109"/>
        <v>78976.256331623808</v>
      </c>
    </row>
    <row r="1409" spans="1:5">
      <c r="A1409">
        <f t="shared" si="105"/>
        <v>0.88847346975675234</v>
      </c>
      <c r="B1409">
        <f t="shared" si="106"/>
        <v>0.7173431066820779</v>
      </c>
      <c r="C1409">
        <f t="shared" si="107"/>
        <v>1.3143765800948961</v>
      </c>
      <c r="D1409">
        <f t="shared" si="108"/>
        <v>66987.390145585974</v>
      </c>
      <c r="E1409">
        <f t="shared" si="109"/>
        <v>88046.656769037843</v>
      </c>
    </row>
    <row r="1410" spans="1:5">
      <c r="A1410">
        <f t="shared" si="105"/>
        <v>0.50925064711394241</v>
      </c>
      <c r="B1410">
        <f t="shared" si="106"/>
        <v>0.41391493201190155</v>
      </c>
      <c r="C1410">
        <f t="shared" si="107"/>
        <v>0.97486868704202889</v>
      </c>
      <c r="D1410">
        <f t="shared" si="108"/>
        <v>65019.119045338237</v>
      </c>
      <c r="E1410">
        <f t="shared" si="109"/>
        <v>63385.103216358264</v>
      </c>
    </row>
    <row r="1411" spans="1:5">
      <c r="A1411">
        <f t="shared" si="105"/>
        <v>0.6315480948491663</v>
      </c>
      <c r="B1411">
        <f t="shared" si="106"/>
        <v>0.90453447908031226</v>
      </c>
      <c r="C1411">
        <f t="shared" si="107"/>
        <v>1.0541545575489719</v>
      </c>
      <c r="D1411">
        <f t="shared" si="108"/>
        <v>68807.654844111952</v>
      </c>
      <c r="E1411">
        <f t="shared" si="109"/>
        <v>72533.902948177216</v>
      </c>
    </row>
    <row r="1412" spans="1:5">
      <c r="A1412">
        <f t="shared" si="105"/>
        <v>0.25536581296242389</v>
      </c>
      <c r="B1412">
        <f t="shared" si="106"/>
        <v>0.1892017478873107</v>
      </c>
      <c r="C1412">
        <f t="shared" si="107"/>
        <v>0.82227965710643391</v>
      </c>
      <c r="D1412">
        <f t="shared" si="108"/>
        <v>63371.493940216707</v>
      </c>
      <c r="E1412">
        <f t="shared" si="109"/>
        <v>52109.09030748385</v>
      </c>
    </row>
    <row r="1413" spans="1:5">
      <c r="A1413">
        <f t="shared" si="105"/>
        <v>0.38070380145371518</v>
      </c>
      <c r="B1413">
        <f t="shared" si="106"/>
        <v>0.26791673843289709</v>
      </c>
      <c r="C1413">
        <f t="shared" si="107"/>
        <v>0.89838352069273752</v>
      </c>
      <c r="D1413">
        <f t="shared" si="108"/>
        <v>64021.536551386293</v>
      </c>
      <c r="E1413">
        <f t="shared" si="109"/>
        <v>57515.893407193202</v>
      </c>
    </row>
    <row r="1414" spans="1:5">
      <c r="A1414">
        <f t="shared" si="105"/>
        <v>7.5620603230406314E-3</v>
      </c>
      <c r="B1414">
        <f t="shared" si="106"/>
        <v>0.140679450717071</v>
      </c>
      <c r="C1414">
        <f t="shared" si="107"/>
        <v>0.52803204990177244</v>
      </c>
      <c r="D1414">
        <f t="shared" si="108"/>
        <v>62883.606666634027</v>
      </c>
      <c r="E1414">
        <f t="shared" si="109"/>
        <v>33204.559733399525</v>
      </c>
    </row>
    <row r="1415" spans="1:5">
      <c r="A1415">
        <f t="shared" si="105"/>
        <v>0.13594058957039978</v>
      </c>
      <c r="B1415">
        <f t="shared" si="106"/>
        <v>0.80748988473983241</v>
      </c>
      <c r="C1415">
        <f t="shared" si="107"/>
        <v>0.73643435502907728</v>
      </c>
      <c r="D1415">
        <f t="shared" si="108"/>
        <v>67716.915746504921</v>
      </c>
      <c r="E1415">
        <f t="shared" si="109"/>
        <v>49869.063172335722</v>
      </c>
    </row>
    <row r="1416" spans="1:5">
      <c r="A1416">
        <f t="shared" si="105"/>
        <v>0.76583938919579264</v>
      </c>
      <c r="B1416">
        <f t="shared" si="106"/>
        <v>0.26834804050118155</v>
      </c>
      <c r="C1416">
        <f t="shared" si="107"/>
        <v>1.1618961817448676</v>
      </c>
      <c r="D1416">
        <f t="shared" si="108"/>
        <v>64024.78775000693</v>
      </c>
      <c r="E1416">
        <f t="shared" si="109"/>
        <v>74390.156423758628</v>
      </c>
    </row>
    <row r="1417" spans="1:5">
      <c r="A1417">
        <f t="shared" si="105"/>
        <v>0.8972584591992192</v>
      </c>
      <c r="B1417">
        <f t="shared" si="106"/>
        <v>0.52325391800111865</v>
      </c>
      <c r="C1417">
        <f t="shared" si="107"/>
        <v>1.3301223761966103</v>
      </c>
      <c r="D1417">
        <f t="shared" si="108"/>
        <v>65704.16236188254</v>
      </c>
      <c r="E1417">
        <f t="shared" si="109"/>
        <v>87394.576566795091</v>
      </c>
    </row>
    <row r="1418" spans="1:5">
      <c r="A1418">
        <f t="shared" si="105"/>
        <v>0.53019779958067992</v>
      </c>
      <c r="B1418">
        <f t="shared" si="106"/>
        <v>0.57220751723964325</v>
      </c>
      <c r="C1418">
        <f t="shared" si="107"/>
        <v>0.98776720841407173</v>
      </c>
      <c r="D1418">
        <f t="shared" si="108"/>
        <v>66011.343281368332</v>
      </c>
      <c r="E1418">
        <f t="shared" si="109"/>
        <v>65203.84027670019</v>
      </c>
    </row>
    <row r="1419" spans="1:5">
      <c r="A1419">
        <f t="shared" si="105"/>
        <v>0.66465741034017456</v>
      </c>
      <c r="B1419">
        <f t="shared" si="106"/>
        <v>0.41520883821675558</v>
      </c>
      <c r="C1419">
        <f t="shared" si="107"/>
        <v>1.0779401555522703</v>
      </c>
      <c r="D1419">
        <f t="shared" si="108"/>
        <v>65027.364593288177</v>
      </c>
      <c r="E1419">
        <f t="shared" si="109"/>
        <v>70095.607504843254</v>
      </c>
    </row>
    <row r="1420" spans="1:5">
      <c r="A1420">
        <f t="shared" si="105"/>
        <v>0.30063729147770268</v>
      </c>
      <c r="B1420">
        <f t="shared" si="106"/>
        <v>5.2257880932455869E-2</v>
      </c>
      <c r="C1420">
        <f t="shared" si="107"/>
        <v>0.85053295601090317</v>
      </c>
      <c r="D1420">
        <f t="shared" si="108"/>
        <v>61527.286141827019</v>
      </c>
      <c r="E1420">
        <f t="shared" si="109"/>
        <v>52330.984557536809</v>
      </c>
    </row>
    <row r="1421" spans="1:5">
      <c r="A1421">
        <f t="shared" si="105"/>
        <v>0.43813744299326474</v>
      </c>
      <c r="B1421">
        <f t="shared" si="106"/>
        <v>0.48335464538674344</v>
      </c>
      <c r="C1421">
        <f t="shared" si="107"/>
        <v>0.93223225850331315</v>
      </c>
      <c r="D1421">
        <f t="shared" si="108"/>
        <v>65455.641595389723</v>
      </c>
      <c r="E1421">
        <f t="shared" si="109"/>
        <v>61019.860596253566</v>
      </c>
    </row>
    <row r="1422" spans="1:5">
      <c r="A1422">
        <f t="shared" si="105"/>
        <v>7.7157864886860494E-2</v>
      </c>
      <c r="B1422">
        <f t="shared" si="106"/>
        <v>0.70849913157961875</v>
      </c>
      <c r="C1422">
        <f t="shared" si="107"/>
        <v>0.67884466433351487</v>
      </c>
      <c r="D1422">
        <f t="shared" si="108"/>
        <v>66922.908106856426</v>
      </c>
      <c r="E1422">
        <f t="shared" si="109"/>
        <v>45430.259090021609</v>
      </c>
    </row>
    <row r="1423" spans="1:5">
      <c r="A1423">
        <f t="shared" si="105"/>
        <v>0.2176985571584904</v>
      </c>
      <c r="B1423">
        <f t="shared" si="106"/>
        <v>0.727691339511082</v>
      </c>
      <c r="C1423">
        <f t="shared" si="107"/>
        <v>0.79752081044445622</v>
      </c>
      <c r="D1423">
        <f t="shared" si="108"/>
        <v>67064.086044035546</v>
      </c>
      <c r="E1423">
        <f t="shared" si="109"/>
        <v>53485.004253555977</v>
      </c>
    </row>
    <row r="1424" spans="1:5">
      <c r="A1424">
        <f t="shared" ref="A1424:A1487" si="110">IFERROR(MOD(MOD(($E$8+((ROW()-15)*(ROW()-14)/2)*13)*171,30269)/30269+MOD(($E$8+((ROW()-15)*(ROW()-14)/2)*29)*172,30307)/30307+MOD(($E$8+((ROW()-15)*(ROW()-14)/2)*47)*170,30323)/30323,1),0.5)</f>
        <v>0.85975951980815402</v>
      </c>
      <c r="B1424">
        <f t="shared" ref="B1424:B1487" si="111">IFERROR(MOD(MOD(($E$8+((ROW()-15)*(ROW()-14)/2)*17)*171,30269)/30269+MOD(($E$8+((ROW()-15)*(ROW()-14)/2)*41)*172,30307)/30307+MOD(($E$8+((ROW()-15)*(ROW()-14)/2)*83)*170,30323)/30323,1),0.5)</f>
        <v>0.54093126918113255</v>
      </c>
      <c r="C1424">
        <f t="shared" ref="C1424:C1487" si="112">IFERROR(EXP($E$4*NORMSINV(MIN(MAX(A1424,0.000000001),0.999999999))-$E$4^2/2),1)</f>
        <v>1.2694197208382179</v>
      </c>
      <c r="D1424">
        <f t="shared" ref="D1424:D1487" si="113">IFERROR($B$5+$E$5*NORMSINV(MIN(MAX(B1424,0.000000001),0.999999999)),$B$5)</f>
        <v>65814.586324068383</v>
      </c>
      <c r="E1424">
        <f t="shared" ref="E1424:E1487" si="114">IFERROR(C1424*MAX(D1424,0),0)</f>
        <v>83546.333798581676</v>
      </c>
    </row>
    <row r="1425" spans="1:5">
      <c r="A1425">
        <f t="shared" si="110"/>
        <v>3.340752835851335E-3</v>
      </c>
      <c r="B1425">
        <f t="shared" si="111"/>
        <v>0.14821892058977104</v>
      </c>
      <c r="C1425">
        <f t="shared" si="112"/>
        <v>0.49197431894438892</v>
      </c>
      <c r="D1425">
        <f t="shared" si="113"/>
        <v>62965.990706474906</v>
      </c>
      <c r="E1425">
        <f t="shared" si="114"/>
        <v>30977.650394476714</v>
      </c>
    </row>
    <row r="1426" spans="1:5">
      <c r="A1426">
        <f t="shared" si="110"/>
        <v>0.64844225624158258</v>
      </c>
      <c r="B1426">
        <f t="shared" si="111"/>
        <v>0.54955429373699705</v>
      </c>
      <c r="C1426">
        <f t="shared" si="112"/>
        <v>1.066123922228511</v>
      </c>
      <c r="D1426">
        <f t="shared" si="113"/>
        <v>65868.621286271809</v>
      </c>
      <c r="E1426">
        <f t="shared" si="114"/>
        <v>70224.112877504493</v>
      </c>
    </row>
    <row r="1427" spans="1:5">
      <c r="A1427">
        <f t="shared" si="110"/>
        <v>0.79506403002534765</v>
      </c>
      <c r="B1427">
        <f t="shared" si="111"/>
        <v>0.74493738862281111</v>
      </c>
      <c r="C1427">
        <f t="shared" si="112"/>
        <v>1.1909838763342047</v>
      </c>
      <c r="D1427">
        <f t="shared" si="113"/>
        <v>67195.222181382909</v>
      </c>
      <c r="E1427">
        <f t="shared" si="114"/>
        <v>80028.426184721553</v>
      </c>
    </row>
    <row r="1428" spans="1:5">
      <c r="A1428">
        <f t="shared" si="110"/>
        <v>0.44320607418714664</v>
      </c>
      <c r="B1428">
        <f t="shared" si="111"/>
        <v>0.73436820524721269</v>
      </c>
      <c r="C1428">
        <f t="shared" si="112"/>
        <v>0.93523130815652333</v>
      </c>
      <c r="D1428">
        <f t="shared" si="113"/>
        <v>67114.339568507727</v>
      </c>
      <c r="E1428">
        <f t="shared" si="114"/>
        <v>62767.431590716595</v>
      </c>
    </row>
    <row r="1429" spans="1:5">
      <c r="A1429">
        <f t="shared" si="110"/>
        <v>0.59286838872697933</v>
      </c>
      <c r="B1429">
        <f t="shared" si="111"/>
        <v>0.51784674361020189</v>
      </c>
      <c r="C1429">
        <f t="shared" si="112"/>
        <v>1.0278635750031635</v>
      </c>
      <c r="D1429">
        <f t="shared" si="113"/>
        <v>65670.45287942233</v>
      </c>
      <c r="E1429">
        <f t="shared" si="114"/>
        <v>67500.266468719827</v>
      </c>
    </row>
    <row r="1430" spans="1:5">
      <c r="A1430">
        <f t="shared" si="110"/>
        <v>0.24405097364484574</v>
      </c>
      <c r="B1430">
        <f t="shared" si="111"/>
        <v>9.5373003711778814E-2</v>
      </c>
      <c r="C1430">
        <f t="shared" si="112"/>
        <v>0.81498732956643083</v>
      </c>
      <c r="D1430">
        <f t="shared" si="113"/>
        <v>62309.597747964632</v>
      </c>
      <c r="E1430">
        <f t="shared" si="114"/>
        <v>50781.532674972186</v>
      </c>
    </row>
    <row r="1431" spans="1:5">
      <c r="A1431">
        <f t="shared" si="110"/>
        <v>0.39675382894074618</v>
      </c>
      <c r="B1431">
        <f t="shared" si="111"/>
        <v>0.46694698555194325</v>
      </c>
      <c r="C1431">
        <f t="shared" si="112"/>
        <v>0.90783773900872988</v>
      </c>
      <c r="D1431">
        <f t="shared" si="113"/>
        <v>65353.283350112077</v>
      </c>
      <c r="E1431">
        <f t="shared" si="114"/>
        <v>59330.17699336262</v>
      </c>
    </row>
    <row r="1432" spans="1:5">
      <c r="A1432">
        <f t="shared" si="110"/>
        <v>5.0976954614680325E-2</v>
      </c>
      <c r="B1432">
        <f t="shared" si="111"/>
        <v>0.63256868913069564</v>
      </c>
      <c r="C1432">
        <f t="shared" si="112"/>
        <v>0.64396332633620013</v>
      </c>
      <c r="D1432">
        <f t="shared" si="113"/>
        <v>66400.468812429943</v>
      </c>
      <c r="E1432">
        <f t="shared" si="114"/>
        <v>42759.466766735502</v>
      </c>
    </row>
    <row r="1433" spans="1:5">
      <c r="A1433">
        <f t="shared" si="110"/>
        <v>0.2067203506666484</v>
      </c>
      <c r="B1433">
        <f t="shared" si="111"/>
        <v>0.59223811444803554</v>
      </c>
      <c r="C1433">
        <f t="shared" si="112"/>
        <v>0.79000702762889952</v>
      </c>
      <c r="D1433">
        <f t="shared" si="113"/>
        <v>66138.782864228764</v>
      </c>
      <c r="E1433">
        <f t="shared" si="114"/>
        <v>52250.103261562559</v>
      </c>
    </row>
    <row r="1434" spans="1:5">
      <c r="A1434">
        <f t="shared" si="110"/>
        <v>0.86398401709665018</v>
      </c>
      <c r="B1434">
        <f t="shared" si="111"/>
        <v>0.34595526150396316</v>
      </c>
      <c r="C1434">
        <f t="shared" si="112"/>
        <v>1.2755134395297518</v>
      </c>
      <c r="D1434">
        <f t="shared" si="113"/>
        <v>64575.075288902743</v>
      </c>
      <c r="E1434">
        <f t="shared" si="114"/>
        <v>82366.376389641024</v>
      </c>
    </row>
    <row r="1435" spans="1:5">
      <c r="A1435">
        <f t="shared" si="110"/>
        <v>2.2767953904685889E-2</v>
      </c>
      <c r="B1435">
        <f t="shared" si="111"/>
        <v>0.89372013029847852</v>
      </c>
      <c r="C1435">
        <f t="shared" si="112"/>
        <v>0.58791817180551476</v>
      </c>
      <c r="D1435">
        <f t="shared" si="113"/>
        <v>68655.468773113244</v>
      </c>
      <c r="E1435">
        <f t="shared" si="114"/>
        <v>40363.797685539343</v>
      </c>
    </row>
    <row r="1436" spans="1:5">
      <c r="A1436">
        <f t="shared" si="110"/>
        <v>0.68307216109075541</v>
      </c>
      <c r="B1436">
        <f t="shared" si="111"/>
        <v>0.23553272083158161</v>
      </c>
      <c r="C1436">
        <f t="shared" si="112"/>
        <v>1.0917989519762612</v>
      </c>
      <c r="D1436">
        <f t="shared" si="113"/>
        <v>63769.133727392356</v>
      </c>
      <c r="E1436">
        <f t="shared" si="114"/>
        <v>69623.073372001032</v>
      </c>
    </row>
    <row r="1437" spans="1:5">
      <c r="A1437">
        <f t="shared" si="110"/>
        <v>0.84489663865485887</v>
      </c>
      <c r="B1437">
        <f t="shared" si="111"/>
        <v>0.37139303310327243</v>
      </c>
      <c r="C1437">
        <f t="shared" si="112"/>
        <v>1.2491297269808292</v>
      </c>
      <c r="D1437">
        <f t="shared" si="113"/>
        <v>64744.214090984613</v>
      </c>
      <c r="E1437">
        <f t="shared" si="114"/>
        <v>80873.922471059966</v>
      </c>
    </row>
    <row r="1438" spans="1:5">
      <c r="A1438">
        <f t="shared" si="110"/>
        <v>0.50824138659699591</v>
      </c>
      <c r="B1438">
        <f t="shared" si="111"/>
        <v>0.30130106711355054</v>
      </c>
      <c r="C1438">
        <f t="shared" si="112"/>
        <v>0.97425216801779257</v>
      </c>
      <c r="D1438">
        <f t="shared" si="113"/>
        <v>64266.097802186021</v>
      </c>
      <c r="E1438">
        <f t="shared" si="114"/>
        <v>62611.385113823228</v>
      </c>
    </row>
    <row r="1439" spans="1:5">
      <c r="A1439">
        <f t="shared" si="110"/>
        <v>0.67310640491716689</v>
      </c>
      <c r="B1439">
        <f t="shared" si="111"/>
        <v>2.5256822862416817E-2</v>
      </c>
      <c r="C1439">
        <f t="shared" si="112"/>
        <v>1.0842373106499787</v>
      </c>
      <c r="D1439">
        <f t="shared" si="113"/>
        <v>60702.067989234311</v>
      </c>
      <c r="E1439">
        <f t="shared" si="114"/>
        <v>65815.446947539574</v>
      </c>
    </row>
    <row r="1440" spans="1:5">
      <c r="A1440">
        <f t="shared" si="110"/>
        <v>0.33949169361537157</v>
      </c>
      <c r="B1440">
        <f t="shared" si="111"/>
        <v>0.54326030034987038</v>
      </c>
      <c r="C1440">
        <f t="shared" si="112"/>
        <v>0.8739669691945674</v>
      </c>
      <c r="D1440">
        <f t="shared" si="113"/>
        <v>65829.167896321494</v>
      </c>
      <c r="E1440">
        <f t="shared" si="114"/>
        <v>57532.518350948412</v>
      </c>
    </row>
    <row r="1441" spans="1:5">
      <c r="A1441">
        <f t="shared" si="110"/>
        <v>0.5073972526916104</v>
      </c>
      <c r="B1441">
        <f t="shared" si="111"/>
        <v>0.8553114995759119</v>
      </c>
      <c r="C1441">
        <f t="shared" si="112"/>
        <v>0.97373684291773588</v>
      </c>
      <c r="D1441">
        <f t="shared" si="113"/>
        <v>68190.833657102412</v>
      </c>
      <c r="E1441">
        <f t="shared" si="114"/>
        <v>66399.92708119539</v>
      </c>
    </row>
    <row r="1442" spans="1:5">
      <c r="A1442">
        <f t="shared" si="110"/>
        <v>0.17682308214588272</v>
      </c>
      <c r="B1442">
        <f t="shared" si="111"/>
        <v>0.96141042054054116</v>
      </c>
      <c r="C1442">
        <f t="shared" si="112"/>
        <v>0.76863809850251885</v>
      </c>
      <c r="D1442">
        <f t="shared" si="113"/>
        <v>69948.856814013983</v>
      </c>
      <c r="E1442">
        <f t="shared" si="114"/>
        <v>53765.356293948666</v>
      </c>
    </row>
    <row r="1443" spans="1:5">
      <c r="A1443">
        <f t="shared" si="110"/>
        <v>0.3477691819781894</v>
      </c>
      <c r="B1443">
        <f t="shared" si="111"/>
        <v>0.86155706324375791</v>
      </c>
      <c r="C1443">
        <f t="shared" si="112"/>
        <v>0.87889700479531674</v>
      </c>
      <c r="D1443">
        <f t="shared" si="113"/>
        <v>68260.012405827612</v>
      </c>
      <c r="E1443">
        <f t="shared" si="114"/>
        <v>59993.520450773052</v>
      </c>
    </row>
    <row r="1444" spans="1:5">
      <c r="A1444">
        <f t="shared" si="110"/>
        <v>2.0235552188529127E-2</v>
      </c>
      <c r="B1444">
        <f t="shared" si="111"/>
        <v>0.5557514276855624</v>
      </c>
      <c r="C1444">
        <f t="shared" si="112"/>
        <v>0.58072554399675202</v>
      </c>
      <c r="D1444">
        <f t="shared" si="113"/>
        <v>65907.543878337485</v>
      </c>
      <c r="E1444">
        <f t="shared" si="114"/>
        <v>38274.194272237342</v>
      </c>
    </row>
    <row r="1445" spans="1:5">
      <c r="A1445">
        <f t="shared" si="110"/>
        <v>0.19422219277690322</v>
      </c>
      <c r="B1445">
        <f t="shared" si="111"/>
        <v>4.3993513865954625E-2</v>
      </c>
      <c r="C1445">
        <f t="shared" si="112"/>
        <v>0.78124968755639579</v>
      </c>
      <c r="D1445">
        <f t="shared" si="113"/>
        <v>61321.70809773542</v>
      </c>
      <c r="E1445">
        <f t="shared" si="114"/>
        <v>47907.565291780302</v>
      </c>
    </row>
    <row r="1446" spans="1:5">
      <c r="A1446">
        <f t="shared" si="110"/>
        <v>0.86972910374331103</v>
      </c>
      <c r="B1446">
        <f t="shared" si="111"/>
        <v>0.32628332178493435</v>
      </c>
      <c r="C1446">
        <f t="shared" si="112"/>
        <v>1.2840612065399508</v>
      </c>
      <c r="D1446">
        <f t="shared" si="113"/>
        <v>64441.11115744026</v>
      </c>
      <c r="E1446">
        <f t="shared" si="114"/>
        <v>82746.33094359783</v>
      </c>
    </row>
    <row r="1447" spans="1:5">
      <c r="A1447">
        <f t="shared" si="110"/>
        <v>4.6756285087752758E-2</v>
      </c>
      <c r="B1447">
        <f t="shared" si="111"/>
        <v>0.40262085144250204</v>
      </c>
      <c r="C1447">
        <f t="shared" si="112"/>
        <v>0.63728504317764079</v>
      </c>
      <c r="D1447">
        <f t="shared" si="113"/>
        <v>64946.882410368722</v>
      </c>
      <c r="E1447">
        <f t="shared" si="114"/>
        <v>41389.67676114499</v>
      </c>
    </row>
    <row r="1448" spans="1:5">
      <c r="A1448">
        <f t="shared" si="110"/>
        <v>0.72530373681022808</v>
      </c>
      <c r="B1448">
        <f t="shared" si="111"/>
        <v>0.27300610283865723</v>
      </c>
      <c r="C1448">
        <f t="shared" si="112"/>
        <v>1.1257141845474052</v>
      </c>
      <c r="D1448">
        <f t="shared" si="113"/>
        <v>64059.735312478544</v>
      </c>
      <c r="E1448">
        <f t="shared" si="114"/>
        <v>72112.952699609406</v>
      </c>
    </row>
    <row r="1449" spans="1:5">
      <c r="A1449">
        <f t="shared" si="110"/>
        <v>0.90537145891073734</v>
      </c>
      <c r="B1449">
        <f t="shared" si="111"/>
        <v>0.93743907597340037</v>
      </c>
      <c r="C1449">
        <f t="shared" si="112"/>
        <v>1.3457412906541142</v>
      </c>
      <c r="D1449">
        <f t="shared" si="113"/>
        <v>69368.47947751297</v>
      </c>
      <c r="E1449">
        <f t="shared" si="114"/>
        <v>93352.027102781736</v>
      </c>
    </row>
    <row r="1450" spans="1:5">
      <c r="A1450">
        <f t="shared" si="110"/>
        <v>0.58695945138928041</v>
      </c>
      <c r="B1450">
        <f t="shared" si="111"/>
        <v>0.3959197708467308</v>
      </c>
      <c r="C1450">
        <f t="shared" si="112"/>
        <v>1.0239652696635799</v>
      </c>
      <c r="D1450">
        <f t="shared" si="113"/>
        <v>64903.78027102186</v>
      </c>
      <c r="E1450">
        <f t="shared" si="114"/>
        <v>66459.216867402632</v>
      </c>
    </row>
    <row r="1451" spans="1:5">
      <c r="A1451">
        <f t="shared" si="110"/>
        <v>0.77006771424585718</v>
      </c>
      <c r="B1451">
        <f t="shared" si="111"/>
        <v>0.64844818745864918</v>
      </c>
      <c r="C1451">
        <f t="shared" si="112"/>
        <v>1.1659281527773377</v>
      </c>
      <c r="D1451">
        <f t="shared" si="113"/>
        <v>66505.954460867375</v>
      </c>
      <c r="E1451">
        <f t="shared" si="114"/>
        <v>77541.164633252847</v>
      </c>
    </row>
    <row r="1452" spans="1:5">
      <c r="A1452">
        <f t="shared" si="110"/>
        <v>0.45469624748046833</v>
      </c>
      <c r="B1452">
        <f t="shared" si="111"/>
        <v>0.69502432580915507</v>
      </c>
      <c r="C1452">
        <f t="shared" si="112"/>
        <v>0.94204596343210789</v>
      </c>
      <c r="D1452">
        <f t="shared" si="113"/>
        <v>66826.382507154922</v>
      </c>
      <c r="E1452">
        <f t="shared" si="114"/>
        <v>62953.523891635319</v>
      </c>
    </row>
    <row r="1453" spans="1:5">
      <c r="A1453">
        <f t="shared" si="110"/>
        <v>0.64084505109311274</v>
      </c>
      <c r="B1453">
        <f t="shared" si="111"/>
        <v>0.53564818589824892</v>
      </c>
      <c r="C1453">
        <f t="shared" si="112"/>
        <v>1.0607005897986572</v>
      </c>
      <c r="D1453">
        <f t="shared" si="113"/>
        <v>65781.541849426008</v>
      </c>
      <c r="E1453">
        <f t="shared" si="114"/>
        <v>69774.520237551216</v>
      </c>
    </row>
    <row r="1454" spans="1:5">
      <c r="A1454">
        <f t="shared" si="110"/>
        <v>0.32851412508379108</v>
      </c>
      <c r="B1454">
        <f t="shared" si="111"/>
        <v>0.17031976772593027</v>
      </c>
      <c r="C1454">
        <f t="shared" si="112"/>
        <v>0.86740007906357652</v>
      </c>
      <c r="D1454">
        <f t="shared" si="113"/>
        <v>63192.511699477116</v>
      </c>
      <c r="E1454">
        <f t="shared" si="114"/>
        <v>54813.189644352438</v>
      </c>
    </row>
    <row r="1455" spans="1:5">
      <c r="A1455">
        <f t="shared" si="110"/>
        <v>0.51770346945250356</v>
      </c>
      <c r="B1455">
        <f t="shared" si="111"/>
        <v>0.59903907129219935</v>
      </c>
      <c r="C1455">
        <f t="shared" si="112"/>
        <v>0.98004934934899512</v>
      </c>
      <c r="D1455">
        <f t="shared" si="113"/>
        <v>66182.384490594792</v>
      </c>
      <c r="E1455">
        <f t="shared" si="114"/>
        <v>64862.002858372449</v>
      </c>
    </row>
    <row r="1456" spans="1:5">
      <c r="A1456">
        <f t="shared" si="110"/>
        <v>0.20841308419924931</v>
      </c>
      <c r="B1456">
        <f t="shared" si="111"/>
        <v>0.82180609659705617</v>
      </c>
      <c r="C1456">
        <f t="shared" si="112"/>
        <v>0.791175904837088</v>
      </c>
      <c r="D1456">
        <f t="shared" si="113"/>
        <v>67850.011986261306</v>
      </c>
      <c r="E1456">
        <f t="shared" si="114"/>
        <v>53681.294626437557</v>
      </c>
    </row>
    <row r="1457" spans="1:5">
      <c r="A1457">
        <f t="shared" si="110"/>
        <v>0.40064296932402943</v>
      </c>
      <c r="B1457">
        <f t="shared" si="111"/>
        <v>0.83862084364050049</v>
      </c>
      <c r="C1457">
        <f t="shared" si="112"/>
        <v>0.9101272977833994</v>
      </c>
      <c r="D1457">
        <f t="shared" si="113"/>
        <v>68015.271225232485</v>
      </c>
      <c r="E1457">
        <f t="shared" si="114"/>
        <v>61902.555008225841</v>
      </c>
    </row>
    <row r="1458" spans="1:5">
      <c r="A1458">
        <f t="shared" si="110"/>
        <v>9.4393124826843255E-2</v>
      </c>
      <c r="B1458">
        <f t="shared" si="111"/>
        <v>0.64948331242253277</v>
      </c>
      <c r="C1458">
        <f t="shared" si="112"/>
        <v>0.69781968190698662</v>
      </c>
      <c r="D1458">
        <f t="shared" si="113"/>
        <v>66512.88823271163</v>
      </c>
      <c r="E1458">
        <f t="shared" si="114"/>
        <v>46414.002509265782</v>
      </c>
    </row>
    <row r="1459" spans="1:5">
      <c r="A1459">
        <f t="shared" si="110"/>
        <v>0.28966355070769079</v>
      </c>
      <c r="B1459">
        <f t="shared" si="111"/>
        <v>0.25439350294315255</v>
      </c>
      <c r="C1459">
        <f t="shared" si="112"/>
        <v>0.84379815082714016</v>
      </c>
      <c r="D1459">
        <f t="shared" si="113"/>
        <v>63918.207154135911</v>
      </c>
      <c r="E1459">
        <f t="shared" si="114"/>
        <v>53934.065000845963</v>
      </c>
    </row>
    <row r="1460" spans="1:5">
      <c r="A1460">
        <f t="shared" si="110"/>
        <v>0.98645424696657202</v>
      </c>
      <c r="B1460">
        <f t="shared" si="111"/>
        <v>0.65335141520236006</v>
      </c>
      <c r="C1460">
        <f t="shared" si="112"/>
        <v>1.6842143657014801</v>
      </c>
      <c r="D1460">
        <f t="shared" si="113"/>
        <v>66538.865083370663</v>
      </c>
      <c r="E1460">
        <f t="shared" si="114"/>
        <v>112065.71245088548</v>
      </c>
    </row>
    <row r="1461" spans="1:5">
      <c r="A1461">
        <f t="shared" si="110"/>
        <v>0.18476521360348697</v>
      </c>
      <c r="B1461">
        <f t="shared" si="111"/>
        <v>0.84635704920015531</v>
      </c>
      <c r="C1461">
        <f t="shared" si="112"/>
        <v>0.77446073061197584</v>
      </c>
      <c r="D1461">
        <f t="shared" si="113"/>
        <v>68095.070083135142</v>
      </c>
      <c r="E1461">
        <f t="shared" si="114"/>
        <v>52736.957727658541</v>
      </c>
    </row>
    <row r="1462" spans="1:5">
      <c r="A1462">
        <f t="shared" si="110"/>
        <v>0.88459645061843617</v>
      </c>
      <c r="B1462">
        <f t="shared" si="111"/>
        <v>0.83341040493653828</v>
      </c>
      <c r="C1462">
        <f t="shared" si="112"/>
        <v>1.3077663403620843</v>
      </c>
      <c r="D1462">
        <f t="shared" si="113"/>
        <v>67962.924694410933</v>
      </c>
      <c r="E1462">
        <f t="shared" si="114"/>
        <v>88879.62530791371</v>
      </c>
    </row>
    <row r="1463" spans="1:5">
      <c r="A1463">
        <f t="shared" si="110"/>
        <v>8.5947958011418635E-2</v>
      </c>
      <c r="B1463">
        <f t="shared" si="111"/>
        <v>0.61451148241150833</v>
      </c>
      <c r="C1463">
        <f t="shared" si="112"/>
        <v>0.68881380046710816</v>
      </c>
      <c r="D1463">
        <f t="shared" si="113"/>
        <v>66282.322757910501</v>
      </c>
      <c r="E1463">
        <f t="shared" si="114"/>
        <v>45656.178642663828</v>
      </c>
    </row>
    <row r="1464" spans="1:5">
      <c r="A1464">
        <f t="shared" si="110"/>
        <v>0.78881973578243558</v>
      </c>
      <c r="B1464">
        <f t="shared" si="111"/>
        <v>0.18966028162506676</v>
      </c>
      <c r="C1464">
        <f t="shared" si="112"/>
        <v>1.1845147255622073</v>
      </c>
      <c r="D1464">
        <f t="shared" si="113"/>
        <v>63375.698591483604</v>
      </c>
      <c r="E1464">
        <f t="shared" si="114"/>
        <v>75069.448224404361</v>
      </c>
    </row>
    <row r="1465" spans="1:5">
      <c r="A1465">
        <f t="shared" si="110"/>
        <v>0.99321178393148646</v>
      </c>
      <c r="B1465">
        <f t="shared" si="111"/>
        <v>0.55885680257721271</v>
      </c>
      <c r="C1465">
        <f t="shared" si="112"/>
        <v>1.7964631925012517</v>
      </c>
      <c r="D1465">
        <f t="shared" si="113"/>
        <v>65927.079544736858</v>
      </c>
      <c r="E1465">
        <f t="shared" si="114"/>
        <v>118435.57179122194</v>
      </c>
    </row>
    <row r="1466" spans="1:5">
      <c r="A1466">
        <f t="shared" si="110"/>
        <v>0.69912410245857037</v>
      </c>
      <c r="B1466">
        <f t="shared" si="111"/>
        <v>0.72210104526794638</v>
      </c>
      <c r="C1466">
        <f t="shared" si="112"/>
        <v>1.1043100492200173</v>
      </c>
      <c r="D1466">
        <f t="shared" si="113"/>
        <v>67022.480163257307</v>
      </c>
      <c r="E1466">
        <f t="shared" si="114"/>
        <v>74013.598367934304</v>
      </c>
    </row>
    <row r="1467" spans="1:5">
      <c r="A1467">
        <f t="shared" si="110"/>
        <v>0.90655669136368866</v>
      </c>
      <c r="B1467">
        <f t="shared" si="111"/>
        <v>0.67939300969726768</v>
      </c>
      <c r="C1467">
        <f t="shared" si="112"/>
        <v>1.3481204554692598</v>
      </c>
      <c r="D1467">
        <f t="shared" si="113"/>
        <v>66716.746872420437</v>
      </c>
      <c r="E1467">
        <f t="shared" si="114"/>
        <v>89942.211181074759</v>
      </c>
    </row>
    <row r="1468" spans="1:5">
      <c r="A1468">
        <f t="shared" si="110"/>
        <v>0.61550955064684088</v>
      </c>
      <c r="B1468">
        <f t="shared" si="111"/>
        <v>0.43073269586517671</v>
      </c>
      <c r="C1468">
        <f t="shared" si="112"/>
        <v>1.0430791358602456</v>
      </c>
      <c r="D1468">
        <f t="shared" si="113"/>
        <v>65125.863111538354</v>
      </c>
      <c r="E1468">
        <f t="shared" si="114"/>
        <v>67931.429016536073</v>
      </c>
    </row>
    <row r="1469" spans="1:5">
      <c r="A1469">
        <f t="shared" si="110"/>
        <v>0.82598268030802657</v>
      </c>
      <c r="B1469">
        <f t="shared" si="111"/>
        <v>0.97612010377167335</v>
      </c>
      <c r="C1469">
        <f t="shared" si="112"/>
        <v>1.2255038512903238</v>
      </c>
      <c r="D1469">
        <f t="shared" si="113"/>
        <v>70475.929250693836</v>
      </c>
      <c r="E1469">
        <f t="shared" si="114"/>
        <v>86368.522719989676</v>
      </c>
    </row>
    <row r="1470" spans="1:5">
      <c r="A1470">
        <f t="shared" si="110"/>
        <v>0.5379760803472462</v>
      </c>
      <c r="B1470">
        <f t="shared" si="111"/>
        <v>0.31555523341675773</v>
      </c>
      <c r="C1470">
        <f t="shared" si="112"/>
        <v>0.99261146494959829</v>
      </c>
      <c r="D1470">
        <f t="shared" si="113"/>
        <v>64366.684907883558</v>
      </c>
      <c r="E1470">
        <f t="shared" si="114"/>
        <v>63891.109400363501</v>
      </c>
    </row>
    <row r="1471" spans="1:5">
      <c r="A1471">
        <f t="shared" si="110"/>
        <v>0.75148975076449975</v>
      </c>
      <c r="B1471">
        <f t="shared" si="111"/>
        <v>0.44903808480042962</v>
      </c>
      <c r="C1471">
        <f t="shared" si="112"/>
        <v>1.1486028720435781</v>
      </c>
      <c r="D1471">
        <f t="shared" si="113"/>
        <v>65241.152572000974</v>
      </c>
      <c r="E1471">
        <f t="shared" si="114"/>
        <v>74936.175219633587</v>
      </c>
    </row>
    <row r="1472" spans="1:5">
      <c r="A1472">
        <f t="shared" si="110"/>
        <v>0.46652369155978701</v>
      </c>
      <c r="B1472">
        <f t="shared" si="111"/>
        <v>0.37656865792268945</v>
      </c>
      <c r="C1472">
        <f t="shared" si="112"/>
        <v>0.94908886391794001</v>
      </c>
      <c r="D1472">
        <f t="shared" si="113"/>
        <v>64778.144520391557</v>
      </c>
      <c r="E1472">
        <f t="shared" si="114"/>
        <v>61480.215589570551</v>
      </c>
    </row>
    <row r="1473" spans="1:5">
      <c r="A1473">
        <f t="shared" si="110"/>
        <v>0.6830779027331082</v>
      </c>
      <c r="B1473">
        <f t="shared" si="111"/>
        <v>9.8146952783537023E-2</v>
      </c>
      <c r="C1473">
        <f t="shared" si="112"/>
        <v>1.0918033522037895</v>
      </c>
      <c r="D1473">
        <f t="shared" si="113"/>
        <v>62349.816930621033</v>
      </c>
      <c r="E1473">
        <f t="shared" si="114"/>
        <v>68073.739134144635</v>
      </c>
    </row>
    <row r="1474" spans="1:5">
      <c r="A1474">
        <f t="shared" si="110"/>
        <v>0.40115238428446309</v>
      </c>
      <c r="B1474">
        <f t="shared" si="111"/>
        <v>0.6137729693829721</v>
      </c>
      <c r="C1474">
        <f t="shared" si="112"/>
        <v>0.91042718537202716</v>
      </c>
      <c r="D1474">
        <f t="shared" si="113"/>
        <v>66277.527206483588</v>
      </c>
      <c r="E1474">
        <f t="shared" si="114"/>
        <v>60340.862548016805</v>
      </c>
    </row>
    <row r="1475" spans="1:5">
      <c r="A1475">
        <f t="shared" si="110"/>
        <v>0.62074713621385191</v>
      </c>
      <c r="B1475">
        <f t="shared" si="111"/>
        <v>0.92344670772099491</v>
      </c>
      <c r="C1475">
        <f t="shared" si="112"/>
        <v>1.0466670799093976</v>
      </c>
      <c r="D1475">
        <f t="shared" si="113"/>
        <v>69107.729713849782</v>
      </c>
      <c r="E1475">
        <f t="shared" si="114"/>
        <v>72332.785658763052</v>
      </c>
    </row>
    <row r="1476" spans="1:5">
      <c r="A1476">
        <f t="shared" si="110"/>
        <v>0.34186215852127466</v>
      </c>
      <c r="B1476">
        <f t="shared" si="111"/>
        <v>2.7168167797605225E-2</v>
      </c>
      <c r="C1476">
        <f t="shared" si="112"/>
        <v>0.87538055695328576</v>
      </c>
      <c r="D1476">
        <f t="shared" si="113"/>
        <v>60780.165042387387</v>
      </c>
      <c r="E1476">
        <f t="shared" si="114"/>
        <v>53205.774726517702</v>
      </c>
    </row>
    <row r="1477" spans="1:5">
      <c r="A1477">
        <f t="shared" si="110"/>
        <v>0.564497451206731</v>
      </c>
      <c r="B1477">
        <f t="shared" si="111"/>
        <v>0.92493734961280349</v>
      </c>
      <c r="C1477">
        <f t="shared" si="112"/>
        <v>1.0093892885713285</v>
      </c>
      <c r="D1477">
        <f t="shared" si="113"/>
        <v>69133.672808824194</v>
      </c>
      <c r="E1477">
        <f t="shared" si="114"/>
        <v>69782.788812822051</v>
      </c>
    </row>
    <row r="1478" spans="1:5">
      <c r="A1478">
        <f t="shared" si="110"/>
        <v>0.28865301427022105</v>
      </c>
      <c r="B1478">
        <f t="shared" si="111"/>
        <v>0.61675425316658927</v>
      </c>
      <c r="C1478">
        <f t="shared" si="112"/>
        <v>0.84317477354598735</v>
      </c>
      <c r="D1478">
        <f t="shared" si="113"/>
        <v>66296.902859633774</v>
      </c>
      <c r="E1478">
        <f t="shared" si="114"/>
        <v>55899.876055472028</v>
      </c>
    </row>
    <row r="1479" spans="1:5">
      <c r="A1479">
        <f t="shared" si="110"/>
        <v>0.51432884771174536</v>
      </c>
      <c r="B1479">
        <f t="shared" si="111"/>
        <v>0.102618878458963</v>
      </c>
      <c r="C1479">
        <f t="shared" si="112"/>
        <v>0.97797732447619712</v>
      </c>
      <c r="D1479">
        <f t="shared" si="113"/>
        <v>62412.93760041309</v>
      </c>
      <c r="E1479">
        <f t="shared" si="114"/>
        <v>61038.437727151839</v>
      </c>
    </row>
    <row r="1480" spans="1:5">
      <c r="A1480">
        <f t="shared" si="110"/>
        <v>0.24152495153130338</v>
      </c>
      <c r="B1480">
        <f t="shared" si="111"/>
        <v>0.38253122548992402</v>
      </c>
      <c r="C1480">
        <f t="shared" si="112"/>
        <v>0.81334377602878838</v>
      </c>
      <c r="D1480">
        <f t="shared" si="113"/>
        <v>64817.054521588645</v>
      </c>
      <c r="E1480">
        <f t="shared" si="114"/>
        <v>52718.547875652759</v>
      </c>
    </row>
    <row r="1481" spans="1:5">
      <c r="A1481">
        <f t="shared" si="110"/>
        <v>0.4702413257288951</v>
      </c>
      <c r="B1481">
        <f t="shared" si="111"/>
        <v>0.45649129425947299</v>
      </c>
      <c r="C1481">
        <f t="shared" si="112"/>
        <v>0.95130951044989487</v>
      </c>
      <c r="D1481">
        <f t="shared" si="113"/>
        <v>65287.884105840589</v>
      </c>
      <c r="E1481">
        <f t="shared" si="114"/>
        <v>62108.98506703668</v>
      </c>
    </row>
    <row r="1482" spans="1:5">
      <c r="A1482">
        <f t="shared" si="110"/>
        <v>0.20047797030452053</v>
      </c>
      <c r="B1482">
        <f t="shared" si="111"/>
        <v>0.32449908476760969</v>
      </c>
      <c r="C1482">
        <f t="shared" si="112"/>
        <v>0.78566184852313958</v>
      </c>
      <c r="D1482">
        <f t="shared" si="113"/>
        <v>64428.804175139288</v>
      </c>
      <c r="E1482">
        <f t="shared" si="114"/>
        <v>50619.253386375305</v>
      </c>
    </row>
    <row r="1483" spans="1:5">
      <c r="A1483">
        <f t="shared" si="110"/>
        <v>0.43223488525818032</v>
      </c>
      <c r="B1483">
        <f t="shared" si="111"/>
        <v>0.98655459701433412</v>
      </c>
      <c r="C1483">
        <f t="shared" si="112"/>
        <v>0.92874433134774514</v>
      </c>
      <c r="D1483">
        <f t="shared" si="113"/>
        <v>71056.137599572234</v>
      </c>
      <c r="E1483">
        <f t="shared" si="114"/>
        <v>65992.985003068083</v>
      </c>
    </row>
    <row r="1484" spans="1:5">
      <c r="A1484">
        <f t="shared" si="110"/>
        <v>0.16551207058987338</v>
      </c>
      <c r="B1484">
        <f t="shared" si="111"/>
        <v>0.44265783099964606</v>
      </c>
      <c r="C1484">
        <f t="shared" si="112"/>
        <v>0.7601319284539535</v>
      </c>
      <c r="D1484">
        <f t="shared" si="113"/>
        <v>65201.05941807331</v>
      </c>
      <c r="E1484">
        <f t="shared" si="114"/>
        <v>49561.407032700874</v>
      </c>
    </row>
    <row r="1485" spans="1:5">
      <c r="A1485">
        <f t="shared" si="110"/>
        <v>0.40030952629960037</v>
      </c>
      <c r="B1485">
        <f t="shared" si="111"/>
        <v>0.69280878672354573</v>
      </c>
      <c r="C1485">
        <f t="shared" si="112"/>
        <v>0.90993100281901007</v>
      </c>
      <c r="D1485">
        <f t="shared" si="113"/>
        <v>66810.697098001663</v>
      </c>
      <c r="E1485">
        <f t="shared" si="114"/>
        <v>60793.124609421779</v>
      </c>
    </row>
    <row r="1486" spans="1:5">
      <c r="A1486">
        <f t="shared" si="110"/>
        <v>0.13662725238736151</v>
      </c>
      <c r="B1486">
        <f t="shared" si="111"/>
        <v>0.73700746418603291</v>
      </c>
      <c r="C1486">
        <f t="shared" si="112"/>
        <v>0.7370130848074683</v>
      </c>
      <c r="D1486">
        <f t="shared" si="113"/>
        <v>67134.379714743729</v>
      </c>
      <c r="E1486">
        <f t="shared" si="114"/>
        <v>49478.916290199202</v>
      </c>
    </row>
    <row r="1487" spans="1:5">
      <c r="A1487">
        <f t="shared" si="110"/>
        <v>0.37446524885315613</v>
      </c>
      <c r="B1487">
        <f t="shared" si="111"/>
        <v>0.57525386338710816</v>
      </c>
      <c r="C1487">
        <f t="shared" si="112"/>
        <v>0.89470387896411496</v>
      </c>
      <c r="D1487">
        <f t="shared" si="113"/>
        <v>66030.640060560239</v>
      </c>
      <c r="E1487">
        <f t="shared" si="114"/>
        <v>59077.869792666526</v>
      </c>
    </row>
    <row r="1488" spans="1:5">
      <c r="A1488">
        <f t="shared" ref="A1488:A1551" si="115">IFERROR(MOD(MOD(($E$8+((ROW()-15)*(ROW()-14)/2)*13)*171,30269)/30269+MOD(($E$8+((ROW()-15)*(ROW()-14)/2)*29)*172,30307)/30307+MOD(($E$8+((ROW()-15)*(ROW()-14)/2)*47)*170,30323)/30323,1),0.5)</f>
        <v>0.11382351569698468</v>
      </c>
      <c r="B1488">
        <f t="shared" ref="B1488:B1551" si="116">IFERROR(MOD(MOD(($E$8+((ROW()-15)*(ROW()-14)/2)*17)*171,30269)/30269+MOD(($E$8+((ROW()-15)*(ROW()-14)/2)*41)*172,30307)/30307+MOD(($E$8+((ROW()-15)*(ROW()-14)/2)*83)*170,30323)/30323,1),0.5)</f>
        <v>0.20754798432677113</v>
      </c>
      <c r="C1488">
        <f t="shared" ref="C1488:C1551" si="117">IFERROR(EXP($E$4*NORMSINV(MIN(MAX(A1488,0.000000001),0.999999999))-$E$4^2/2),1)</f>
        <v>0.71687015403422627</v>
      </c>
      <c r="D1488">
        <f t="shared" ref="D1488:D1551" si="118">IFERROR($B$5+$E$5*NORMSINV(MIN(MAX(B1488,0.000000001),0.999999999)),$B$5)</f>
        <v>63535.132410383492</v>
      </c>
      <c r="E1488">
        <f t="shared" ref="E1488:E1551" si="119">IFERROR(C1488*MAX(D1488,0),0)</f>
        <v>45546.440157616576</v>
      </c>
    </row>
    <row r="1489" spans="1:5">
      <c r="A1489">
        <f t="shared" si="115"/>
        <v>0.35470205291884715</v>
      </c>
      <c r="B1489">
        <f t="shared" si="116"/>
        <v>0.63388982700502128</v>
      </c>
      <c r="C1489">
        <f t="shared" si="117"/>
        <v>0.88301408394868131</v>
      </c>
      <c r="D1489">
        <f t="shared" si="118"/>
        <v>66409.184749839871</v>
      </c>
      <c r="E1489">
        <f t="shared" si="119"/>
        <v>58640.245437658588</v>
      </c>
    </row>
    <row r="1490" spans="1:5">
      <c r="A1490">
        <f t="shared" si="115"/>
        <v>9.7100860518743337E-2</v>
      </c>
      <c r="B1490">
        <f t="shared" si="116"/>
        <v>0.85427939142185938</v>
      </c>
      <c r="C1490">
        <f t="shared" si="117"/>
        <v>0.70060411358459529</v>
      </c>
      <c r="D1490">
        <f t="shared" si="118"/>
        <v>68179.596959486429</v>
      </c>
      <c r="E1490">
        <f t="shared" si="119"/>
        <v>47766.906092355959</v>
      </c>
    </row>
    <row r="1491" spans="1:5">
      <c r="A1491">
        <f t="shared" si="115"/>
        <v>0.34101993849667345</v>
      </c>
      <c r="B1491">
        <f t="shared" si="116"/>
        <v>0.86871667757728499</v>
      </c>
      <c r="C1491">
        <f t="shared" si="117"/>
        <v>0.87487848064007001</v>
      </c>
      <c r="D1491">
        <f t="shared" si="118"/>
        <v>68341.986088869147</v>
      </c>
      <c r="E1491">
        <f t="shared" si="119"/>
        <v>59790.932953354641</v>
      </c>
    </row>
    <row r="1492" spans="1:5">
      <c r="A1492">
        <f t="shared" si="115"/>
        <v>8.6459286852637263E-2</v>
      </c>
      <c r="B1492">
        <f t="shared" si="116"/>
        <v>0.67720168547129855</v>
      </c>
      <c r="C1492">
        <f t="shared" si="117"/>
        <v>0.68937396162636211</v>
      </c>
      <c r="D1492">
        <f t="shared" si="118"/>
        <v>66701.56073207283</v>
      </c>
      <c r="E1492">
        <f t="shared" si="119"/>
        <v>45982.319168530434</v>
      </c>
    </row>
    <row r="1493" spans="1:5">
      <c r="A1493">
        <f t="shared" si="115"/>
        <v>0.33341890558663501</v>
      </c>
      <c r="B1493">
        <f t="shared" si="116"/>
        <v>0.27973441510389963</v>
      </c>
      <c r="C1493">
        <f t="shared" si="117"/>
        <v>0.87033856230311235</v>
      </c>
      <c r="D1493">
        <f t="shared" si="118"/>
        <v>64109.698435245547</v>
      </c>
      <c r="E1493">
        <f t="shared" si="119"/>
        <v>55797.142765817698</v>
      </c>
    </row>
    <row r="1494" spans="1:5">
      <c r="A1494">
        <f t="shared" si="115"/>
        <v>8.1898794698666455E-2</v>
      </c>
      <c r="B1494">
        <f t="shared" si="116"/>
        <v>0.67631486647508865</v>
      </c>
      <c r="C1494">
        <f t="shared" si="117"/>
        <v>0.6843039636125624</v>
      </c>
      <c r="D1494">
        <f t="shared" si="118"/>
        <v>66695.427118315041</v>
      </c>
      <c r="E1494">
        <f t="shared" si="119"/>
        <v>45639.945131895765</v>
      </c>
    </row>
    <row r="1495" spans="1:5">
      <c r="A1495">
        <f t="shared" si="115"/>
        <v>0.33189895418873183</v>
      </c>
      <c r="B1495">
        <f t="shared" si="116"/>
        <v>0.8669430395848654</v>
      </c>
      <c r="C1495">
        <f t="shared" si="117"/>
        <v>0.86942874222111566</v>
      </c>
      <c r="D1495">
        <f t="shared" si="118"/>
        <v>68321.398238414782</v>
      </c>
      <c r="E1495">
        <f t="shared" si="119"/>
        <v>59400.587337212914</v>
      </c>
    </row>
    <row r="1496" spans="1:5">
      <c r="A1496">
        <f t="shared" si="115"/>
        <v>8.3419384056830914E-2</v>
      </c>
      <c r="B1496">
        <f t="shared" si="116"/>
        <v>0.85161893443322922</v>
      </c>
      <c r="C1496">
        <f t="shared" si="117"/>
        <v>0.68601329750258255</v>
      </c>
      <c r="D1496">
        <f t="shared" si="118"/>
        <v>68150.876567745392</v>
      </c>
      <c r="E1496">
        <f t="shared" si="119"/>
        <v>46752.4075619305</v>
      </c>
    </row>
    <row r="1497" spans="1:5">
      <c r="A1497">
        <f t="shared" si="115"/>
        <v>0.33646008430296392</v>
      </c>
      <c r="B1497">
        <f t="shared" si="116"/>
        <v>0.63034255102018133</v>
      </c>
      <c r="C1497">
        <f t="shared" si="117"/>
        <v>0.87215692392916666</v>
      </c>
      <c r="D1497">
        <f t="shared" si="118"/>
        <v>66385.805657017132</v>
      </c>
      <c r="E1497">
        <f t="shared" si="119"/>
        <v>57898.840054383531</v>
      </c>
    </row>
    <row r="1498" spans="1:5">
      <c r="A1498">
        <f t="shared" si="115"/>
        <v>9.1021054927130862E-2</v>
      </c>
      <c r="B1498">
        <f t="shared" si="116"/>
        <v>0.20311388934572094</v>
      </c>
      <c r="C1498">
        <f t="shared" si="117"/>
        <v>0.69428452420763453</v>
      </c>
      <c r="D1498">
        <f t="shared" si="118"/>
        <v>63496.406607785852</v>
      </c>
      <c r="E1498">
        <f t="shared" si="119"/>
        <v>44084.572450581101</v>
      </c>
    </row>
    <row r="1499" spans="1:5">
      <c r="A1499">
        <f t="shared" si="115"/>
        <v>0.34710229592933128</v>
      </c>
      <c r="B1499">
        <f t="shared" si="116"/>
        <v>0.56993294940984818</v>
      </c>
      <c r="C1499">
        <f t="shared" si="117"/>
        <v>0.87850042335044121</v>
      </c>
      <c r="D1499">
        <f t="shared" si="118"/>
        <v>65996.953090845142</v>
      </c>
      <c r="E1499">
        <f t="shared" si="119"/>
        <v>57978.351230146669</v>
      </c>
    </row>
    <row r="1500" spans="1:5">
      <c r="A1500">
        <f t="shared" si="115"/>
        <v>0.10470380730956586</v>
      </c>
      <c r="B1500">
        <f t="shared" si="116"/>
        <v>0.73079973121256314</v>
      </c>
      <c r="C1500">
        <f t="shared" si="117"/>
        <v>0.70818565023279312</v>
      </c>
      <c r="D1500">
        <f t="shared" si="118"/>
        <v>67087.403537851817</v>
      </c>
      <c r="E1500">
        <f t="shared" si="119"/>
        <v>47510.336496883378</v>
      </c>
    </row>
    <row r="1501" spans="1:5">
      <c r="A1501">
        <f t="shared" si="115"/>
        <v>0.36382558906783435</v>
      </c>
      <c r="B1501">
        <f t="shared" si="116"/>
        <v>0.68571423475386584</v>
      </c>
      <c r="C1501">
        <f t="shared" si="117"/>
        <v>0.88841800512310964</v>
      </c>
      <c r="D1501">
        <f t="shared" si="118"/>
        <v>66760.7997617441</v>
      </c>
      <c r="E1501">
        <f t="shared" si="119"/>
        <v>59311.496544752066</v>
      </c>
    </row>
    <row r="1502" spans="1:5">
      <c r="A1502">
        <f t="shared" si="115"/>
        <v>0.12446764120413634</v>
      </c>
      <c r="B1502">
        <f t="shared" si="116"/>
        <v>0.43467646003375626</v>
      </c>
      <c r="C1502">
        <f t="shared" si="117"/>
        <v>0.72652321957745791</v>
      </c>
      <c r="D1502">
        <f t="shared" si="118"/>
        <v>65150.771903402019</v>
      </c>
      <c r="E1502">
        <f t="shared" si="119"/>
        <v>47333.548561216223</v>
      </c>
    </row>
    <row r="1503" spans="1:5">
      <c r="A1503">
        <f t="shared" si="115"/>
        <v>0.38662996371847225</v>
      </c>
      <c r="B1503">
        <f t="shared" si="116"/>
        <v>0.9776864070522342</v>
      </c>
      <c r="C1503">
        <f t="shared" si="117"/>
        <v>0.90187589897214882</v>
      </c>
      <c r="D1503">
        <f t="shared" si="118"/>
        <v>70547.094422163558</v>
      </c>
      <c r="E1503">
        <f t="shared" si="119"/>
        <v>63624.724201861827</v>
      </c>
    </row>
    <row r="1504" spans="1:5">
      <c r="A1504">
        <f t="shared" si="115"/>
        <v>0.15031255661084231</v>
      </c>
      <c r="B1504">
        <f t="shared" si="116"/>
        <v>0.31474407580929986</v>
      </c>
      <c r="C1504">
        <f t="shared" si="117"/>
        <v>0.74824602319456268</v>
      </c>
      <c r="D1504">
        <f t="shared" si="118"/>
        <v>64361.014552263667</v>
      </c>
      <c r="E1504">
        <f t="shared" si="119"/>
        <v>48157.873187498662</v>
      </c>
    </row>
    <row r="1505" spans="1:5">
      <c r="A1505">
        <f t="shared" si="115"/>
        <v>0.41551541988124585</v>
      </c>
      <c r="B1505">
        <f t="shared" si="116"/>
        <v>0.44584946630495326</v>
      </c>
      <c r="C1505">
        <f t="shared" si="117"/>
        <v>0.91888443402771769</v>
      </c>
      <c r="D1505">
        <f t="shared" si="118"/>
        <v>65221.126488817601</v>
      </c>
      <c r="E1505">
        <f t="shared" si="119"/>
        <v>59930.677900327348</v>
      </c>
    </row>
    <row r="1506" spans="1:5">
      <c r="A1506">
        <f t="shared" si="115"/>
        <v>0.18223855352968332</v>
      </c>
      <c r="B1506">
        <f t="shared" si="116"/>
        <v>0.37100257853919461</v>
      </c>
      <c r="C1506">
        <f t="shared" si="117"/>
        <v>0.77262091151507339</v>
      </c>
      <c r="D1506">
        <f t="shared" si="118"/>
        <v>64741.648242065428</v>
      </c>
      <c r="E1506">
        <f t="shared" si="119"/>
        <v>50020.751277772841</v>
      </c>
    </row>
    <row r="1507" spans="1:5">
      <c r="A1507">
        <f t="shared" si="115"/>
        <v>0.45048195755615472</v>
      </c>
      <c r="B1507">
        <f t="shared" si="116"/>
        <v>9.0203412512023018E-2</v>
      </c>
      <c r="C1507">
        <f t="shared" si="117"/>
        <v>0.93954370311016344</v>
      </c>
      <c r="D1507">
        <f t="shared" si="118"/>
        <v>62232.282752652201</v>
      </c>
      <c r="E1507">
        <f t="shared" si="119"/>
        <v>58469.949390425601</v>
      </c>
    </row>
    <row r="1508" spans="1:5">
      <c r="A1508">
        <f t="shared" si="115"/>
        <v>0.2202456319606596</v>
      </c>
      <c r="B1508">
        <f t="shared" si="116"/>
        <v>0.60345196822343983</v>
      </c>
      <c r="C1508">
        <f t="shared" si="117"/>
        <v>0.79924241913048488</v>
      </c>
      <c r="D1508">
        <f t="shared" si="118"/>
        <v>66210.778241634762</v>
      </c>
      <c r="E1508">
        <f t="shared" si="119"/>
        <v>52918.462574356236</v>
      </c>
    </row>
    <row r="1509" spans="1:5">
      <c r="A1509">
        <f t="shared" si="115"/>
        <v>0.49152957674319842</v>
      </c>
      <c r="B1509">
        <f t="shared" si="116"/>
        <v>0.9107482456734437</v>
      </c>
      <c r="C1509">
        <f t="shared" si="117"/>
        <v>0.96410174099576784</v>
      </c>
      <c r="D1509">
        <f t="shared" si="118"/>
        <v>68900.913587076429</v>
      </c>
      <c r="E1509">
        <f t="shared" si="119"/>
        <v>66427.490745499337</v>
      </c>
    </row>
    <row r="1510" spans="1:5">
      <c r="A1510">
        <f t="shared" si="115"/>
        <v>0.26433379190377138</v>
      </c>
      <c r="B1510">
        <f t="shared" si="116"/>
        <v>1.209224486203575E-2</v>
      </c>
      <c r="C1510">
        <f t="shared" si="117"/>
        <v>0.82798493666036543</v>
      </c>
      <c r="D1510">
        <f t="shared" si="118"/>
        <v>59960.420774550366</v>
      </c>
      <c r="E1510">
        <f t="shared" si="119"/>
        <v>49646.325197144943</v>
      </c>
    </row>
    <row r="1511" spans="1:5">
      <c r="A1511">
        <f t="shared" si="115"/>
        <v>0.53865827744237782</v>
      </c>
      <c r="B1511">
        <f t="shared" si="116"/>
        <v>0.90748396578921531</v>
      </c>
      <c r="C1511">
        <f t="shared" si="117"/>
        <v>0.99303786945578454</v>
      </c>
      <c r="D1511">
        <f t="shared" si="118"/>
        <v>68851.343513597763</v>
      </c>
      <c r="E1511">
        <f t="shared" si="119"/>
        <v>68371.991471911475</v>
      </c>
    </row>
    <row r="1512" spans="1:5">
      <c r="A1512">
        <f t="shared" si="115"/>
        <v>0.31450303335901841</v>
      </c>
      <c r="B1512">
        <f t="shared" si="116"/>
        <v>0.5969234084549826</v>
      </c>
      <c r="C1512">
        <f t="shared" si="117"/>
        <v>0.8589611603215912</v>
      </c>
      <c r="D1512">
        <f t="shared" si="118"/>
        <v>66168.800804746541</v>
      </c>
      <c r="E1512">
        <f t="shared" si="119"/>
        <v>56836.429916333327</v>
      </c>
    </row>
    <row r="1513" spans="1:5">
      <c r="A1513">
        <f t="shared" si="115"/>
        <v>0.59186805965369271</v>
      </c>
      <c r="B1513">
        <f t="shared" si="116"/>
        <v>8.0410572859337393E-2</v>
      </c>
      <c r="C1513">
        <f t="shared" si="117"/>
        <v>1.0272016294936033</v>
      </c>
      <c r="D1513">
        <f t="shared" si="118"/>
        <v>62076.272764061534</v>
      </c>
      <c r="E1513">
        <f t="shared" si="119"/>
        <v>63764.848536133395</v>
      </c>
    </row>
    <row r="1514" spans="1:5">
      <c r="A1514">
        <f t="shared" si="115"/>
        <v>0.37075335632640072</v>
      </c>
      <c r="B1514">
        <f t="shared" si="116"/>
        <v>0.35794545900227992</v>
      </c>
      <c r="C1514">
        <f t="shared" si="117"/>
        <v>0.8925125702657315</v>
      </c>
      <c r="D1514">
        <f t="shared" si="118"/>
        <v>64655.320353252369</v>
      </c>
      <c r="E1514">
        <f t="shared" si="119"/>
        <v>57705.686149835536</v>
      </c>
    </row>
    <row r="1515" spans="1:5">
      <c r="A1515">
        <f t="shared" si="115"/>
        <v>0.65115892337714265</v>
      </c>
      <c r="B1515">
        <f t="shared" si="116"/>
        <v>0.4295280668838104</v>
      </c>
      <c r="C1515">
        <f t="shared" si="117"/>
        <v>1.0680801692775233</v>
      </c>
      <c r="D1515">
        <f t="shared" si="118"/>
        <v>65118.246098153701</v>
      </c>
      <c r="E1515">
        <f t="shared" si="119"/>
        <v>69551.50731557142</v>
      </c>
    </row>
    <row r="1516" spans="1:5">
      <c r="A1516">
        <f t="shared" si="115"/>
        <v>0.43308476080591829</v>
      </c>
      <c r="B1516">
        <f t="shared" si="116"/>
        <v>0.29515839650392817</v>
      </c>
      <c r="C1516">
        <f t="shared" si="117"/>
        <v>0.92924626394924215</v>
      </c>
      <c r="D1516">
        <f t="shared" si="118"/>
        <v>64222.098165103489</v>
      </c>
      <c r="E1516">
        <f t="shared" si="119"/>
        <v>59678.144782903895</v>
      </c>
    </row>
    <row r="1517" spans="1:5">
      <c r="A1517">
        <f t="shared" si="115"/>
        <v>0.71653086861272797</v>
      </c>
      <c r="B1517">
        <f t="shared" si="116"/>
        <v>0.95483644786263366</v>
      </c>
      <c r="C1517">
        <f t="shared" si="117"/>
        <v>1.1183916420922164</v>
      </c>
      <c r="D1517">
        <f t="shared" si="118"/>
        <v>69766.005694459163</v>
      </c>
      <c r="E1517">
        <f t="shared" si="119"/>
        <v>78025.717670841099</v>
      </c>
    </row>
    <row r="1518" spans="1:5">
      <c r="A1518">
        <f t="shared" si="115"/>
        <v>0.50149724679757135</v>
      </c>
      <c r="B1518">
        <f t="shared" si="116"/>
        <v>0.40856222095992711</v>
      </c>
      <c r="C1518">
        <f t="shared" si="117"/>
        <v>0.97014305642526621</v>
      </c>
      <c r="D1518">
        <f t="shared" si="118"/>
        <v>64984.943940574223</v>
      </c>
      <c r="E1518">
        <f t="shared" si="119"/>
        <v>63044.692136133257</v>
      </c>
    </row>
    <row r="1519" spans="1:5">
      <c r="A1519">
        <f t="shared" si="115"/>
        <v>0.78798389536044877</v>
      </c>
      <c r="B1519">
        <f t="shared" si="116"/>
        <v>0.65633571579580829</v>
      </c>
      <c r="C1519">
        <f t="shared" si="117"/>
        <v>1.1836600124105161</v>
      </c>
      <c r="D1519">
        <f t="shared" si="118"/>
        <v>66558.979953079324</v>
      </c>
      <c r="E1519">
        <f t="shared" si="119"/>
        <v>78783.203037293162</v>
      </c>
    </row>
    <row r="1520" spans="1:5">
      <c r="A1520">
        <f t="shared" si="115"/>
        <v>0.57599081430135968</v>
      </c>
      <c r="B1520">
        <f t="shared" si="116"/>
        <v>0.69815693237027698</v>
      </c>
      <c r="C1520">
        <f t="shared" si="117"/>
        <v>1.0168014455710368</v>
      </c>
      <c r="D1520">
        <f t="shared" si="118"/>
        <v>66848.647245405577</v>
      </c>
      <c r="E1520">
        <f t="shared" si="119"/>
        <v>67971.801153596694</v>
      </c>
    </row>
    <row r="1521" spans="1:5">
      <c r="A1521">
        <f t="shared" si="115"/>
        <v>0.86551800362030462</v>
      </c>
      <c r="B1521">
        <f t="shared" si="116"/>
        <v>0.53402587068333318</v>
      </c>
      <c r="C1521">
        <f t="shared" si="117"/>
        <v>1.2777655373442096</v>
      </c>
      <c r="D1521">
        <f t="shared" si="118"/>
        <v>65771.402799730175</v>
      </c>
      <c r="E1521">
        <f t="shared" si="119"/>
        <v>84040.431840279678</v>
      </c>
    </row>
    <row r="1522" spans="1:5">
      <c r="A1522">
        <f t="shared" si="115"/>
        <v>0.65656546331728327</v>
      </c>
      <c r="B1522">
        <f t="shared" si="116"/>
        <v>0.16394253073497733</v>
      </c>
      <c r="C1522">
        <f t="shared" si="117"/>
        <v>1.072000896369341</v>
      </c>
      <c r="D1522">
        <f t="shared" si="118"/>
        <v>63129.224289737445</v>
      </c>
      <c r="E1522">
        <f t="shared" si="119"/>
        <v>67674.585025699722</v>
      </c>
    </row>
    <row r="1523" spans="1:5">
      <c r="A1523">
        <f t="shared" si="115"/>
        <v>0.94913319339229574</v>
      </c>
      <c r="B1523">
        <f t="shared" si="116"/>
        <v>0.58790691252520921</v>
      </c>
      <c r="C1523">
        <f t="shared" si="117"/>
        <v>1.4591829281577302</v>
      </c>
      <c r="D1523">
        <f t="shared" si="118"/>
        <v>66111.108721771539</v>
      </c>
      <c r="E1523">
        <f t="shared" si="119"/>
        <v>96468.201208388651</v>
      </c>
    </row>
    <row r="1524" spans="1:5">
      <c r="A1524">
        <f t="shared" si="115"/>
        <v>0.74322119384534213</v>
      </c>
      <c r="B1524">
        <f t="shared" si="116"/>
        <v>0.8059190160540286</v>
      </c>
      <c r="C1524">
        <f t="shared" si="117"/>
        <v>1.1411962427324627</v>
      </c>
      <c r="D1524">
        <f t="shared" si="118"/>
        <v>67702.68837476107</v>
      </c>
      <c r="E1524">
        <f t="shared" si="119"/>
        <v>77262.053596164114</v>
      </c>
    </row>
    <row r="1525" spans="1:5">
      <c r="A1525">
        <f t="shared" si="115"/>
        <v>3.8829464676422232E-2</v>
      </c>
      <c r="B1525">
        <f t="shared" si="116"/>
        <v>0.81797884132143572</v>
      </c>
      <c r="C1525">
        <f t="shared" si="117"/>
        <v>0.6235299292687928</v>
      </c>
      <c r="D1525">
        <f t="shared" si="118"/>
        <v>67813.797466520962</v>
      </c>
      <c r="E1525">
        <f t="shared" si="119"/>
        <v>42283.932337748054</v>
      </c>
    </row>
    <row r="1526" spans="1:5">
      <c r="A1526">
        <f t="shared" si="115"/>
        <v>0.83595800588553637</v>
      </c>
      <c r="B1526">
        <f t="shared" si="116"/>
        <v>0.62408638832743057</v>
      </c>
      <c r="C1526">
        <f t="shared" si="117"/>
        <v>1.2376879900614501</v>
      </c>
      <c r="D1526">
        <f t="shared" si="118"/>
        <v>66344.749416451814</v>
      </c>
      <c r="E1526">
        <f t="shared" si="119"/>
        <v>82114.099556378816</v>
      </c>
    </row>
    <row r="1527" spans="1:5">
      <c r="A1527">
        <f t="shared" si="115"/>
        <v>0.13460681747268421</v>
      </c>
      <c r="B1527">
        <f t="shared" si="116"/>
        <v>0.22424165707201293</v>
      </c>
      <c r="C1527">
        <f t="shared" si="117"/>
        <v>0.73530579393021045</v>
      </c>
      <c r="D1527">
        <f t="shared" si="118"/>
        <v>63676.738891933834</v>
      </c>
      <c r="E1527">
        <f t="shared" si="119"/>
        <v>46821.875045820118</v>
      </c>
    </row>
    <row r="1528" spans="1:5">
      <c r="A1528">
        <f t="shared" si="115"/>
        <v>0.93477589943786588</v>
      </c>
      <c r="B1528">
        <f t="shared" si="116"/>
        <v>0.61844464755518325</v>
      </c>
      <c r="C1528">
        <f t="shared" si="117"/>
        <v>1.414582171920888</v>
      </c>
      <c r="D1528">
        <f t="shared" si="118"/>
        <v>66307.908794688308</v>
      </c>
      <c r="E1528">
        <f t="shared" si="119"/>
        <v>93797.985638322338</v>
      </c>
    </row>
    <row r="1529" spans="1:5">
      <c r="A1529">
        <f t="shared" si="115"/>
        <v>0.23646525178108124</v>
      </c>
      <c r="B1529">
        <f t="shared" si="116"/>
        <v>0.80669535977694107</v>
      </c>
      <c r="C1529">
        <f t="shared" si="117"/>
        <v>0.81003341816088315</v>
      </c>
      <c r="D1529">
        <f t="shared" si="118"/>
        <v>67709.710908165609</v>
      </c>
      <c r="E1529">
        <f t="shared" si="119"/>
        <v>54847.12856962662</v>
      </c>
    </row>
    <row r="1530" spans="1:5">
      <c r="A1530">
        <f t="shared" si="115"/>
        <v>3.9674874502330759E-2</v>
      </c>
      <c r="B1530">
        <f t="shared" si="116"/>
        <v>0.78899379373728684</v>
      </c>
      <c r="C1530">
        <f t="shared" si="117"/>
        <v>0.62508485197555097</v>
      </c>
      <c r="D1530">
        <f t="shared" si="118"/>
        <v>67553.610832031845</v>
      </c>
      <c r="E1530">
        <f t="shared" si="119"/>
        <v>42226.738827354602</v>
      </c>
    </row>
    <row r="1531" spans="1:5">
      <c r="A1531">
        <f t="shared" si="115"/>
        <v>0.34440476760161376</v>
      </c>
      <c r="B1531">
        <f t="shared" si="116"/>
        <v>0.56533994943622012</v>
      </c>
      <c r="C1531">
        <f t="shared" si="117"/>
        <v>0.87689520596575887</v>
      </c>
      <c r="D1531">
        <f t="shared" si="118"/>
        <v>65967.939407965081</v>
      </c>
      <c r="E1531">
        <f t="shared" si="119"/>
        <v>57846.969814284239</v>
      </c>
    </row>
    <row r="1532" spans="1:5">
      <c r="A1532">
        <f t="shared" si="115"/>
        <v>0.15065493107893069</v>
      </c>
      <c r="B1532">
        <f t="shared" si="116"/>
        <v>0.13573382687374114</v>
      </c>
      <c r="C1532">
        <f t="shared" si="117"/>
        <v>0.74852016909681396</v>
      </c>
      <c r="D1532">
        <f t="shared" si="118"/>
        <v>62827.927232501308</v>
      </c>
      <c r="E1532">
        <f t="shared" si="119"/>
        <v>47027.970716074204</v>
      </c>
    </row>
    <row r="1533" spans="1:5">
      <c r="A1533">
        <f t="shared" si="115"/>
        <v>0.45842536493428154</v>
      </c>
      <c r="B1533">
        <f t="shared" si="116"/>
        <v>0.50017542604984966</v>
      </c>
      <c r="C1533">
        <f t="shared" si="117"/>
        <v>0.94426316445167724</v>
      </c>
      <c r="D1533">
        <f t="shared" si="118"/>
        <v>65560.396061873194</v>
      </c>
      <c r="E1533">
        <f t="shared" si="119"/>
        <v>61906.267048089663</v>
      </c>
    </row>
    <row r="1534" spans="1:5">
      <c r="A1534">
        <f t="shared" si="115"/>
        <v>0.26771606916766633</v>
      </c>
      <c r="B1534">
        <f t="shared" si="116"/>
        <v>0.65866474696454613</v>
      </c>
      <c r="C1534">
        <f t="shared" si="117"/>
        <v>0.83012100511642828</v>
      </c>
      <c r="D1534">
        <f t="shared" si="118"/>
        <v>66574.723767848103</v>
      </c>
      <c r="E1534">
        <f t="shared" si="119"/>
        <v>55265.076609514632</v>
      </c>
    </row>
    <row r="1535" spans="1:5">
      <c r="A1535">
        <f t="shared" si="115"/>
        <v>0.57852704377908482</v>
      </c>
      <c r="B1535">
        <f t="shared" si="116"/>
        <v>0.61120178961782989</v>
      </c>
      <c r="C1535">
        <f t="shared" si="117"/>
        <v>1.0184498152828994</v>
      </c>
      <c r="D1535">
        <f t="shared" si="118"/>
        <v>66260.851932990408</v>
      </c>
      <c r="E1535">
        <f t="shared" si="119"/>
        <v>67483.352411641623</v>
      </c>
    </row>
    <row r="1536" spans="1:5">
      <c r="A1536">
        <f t="shared" si="115"/>
        <v>0.39085828876853701</v>
      </c>
      <c r="B1536">
        <f t="shared" si="116"/>
        <v>0.35778655400970161</v>
      </c>
      <c r="C1536">
        <f t="shared" si="117"/>
        <v>0.90436640625172926</v>
      </c>
      <c r="D1536">
        <f t="shared" si="118"/>
        <v>64654.263202272501</v>
      </c>
      <c r="E1536">
        <f t="shared" si="119"/>
        <v>58471.143661092603</v>
      </c>
    </row>
    <row r="1537" spans="1:5">
      <c r="A1537">
        <f t="shared" si="115"/>
        <v>0.70470980413602335</v>
      </c>
      <c r="B1537">
        <f t="shared" si="116"/>
        <v>0.89841904014016116</v>
      </c>
      <c r="C1537">
        <f t="shared" si="117"/>
        <v>1.1087672242825215</v>
      </c>
      <c r="D1537">
        <f t="shared" si="118"/>
        <v>68720.138738404363</v>
      </c>
      <c r="E1537">
        <f t="shared" si="119"/>
        <v>76194.637481290381</v>
      </c>
    </row>
    <row r="1538" spans="1:5">
      <c r="A1538">
        <f t="shared" si="115"/>
        <v>0.52008158988154318</v>
      </c>
      <c r="B1538">
        <f t="shared" si="116"/>
        <v>0.233099248009208</v>
      </c>
      <c r="C1538">
        <f t="shared" si="117"/>
        <v>0.98151261688652347</v>
      </c>
      <c r="D1538">
        <f t="shared" si="118"/>
        <v>63749.433275911244</v>
      </c>
      <c r="E1538">
        <f t="shared" si="119"/>
        <v>62570.873079672463</v>
      </c>
    </row>
    <row r="1539" spans="1:5">
      <c r="A1539">
        <f t="shared" si="115"/>
        <v>0.83697364600509694</v>
      </c>
      <c r="B1539">
        <f t="shared" si="116"/>
        <v>0.36182717761684291</v>
      </c>
      <c r="C1539">
        <f t="shared" si="117"/>
        <v>1.2389619882705374</v>
      </c>
      <c r="D1539">
        <f t="shared" si="118"/>
        <v>64681.094085568882</v>
      </c>
      <c r="E1539">
        <f t="shared" si="119"/>
        <v>80137.416931770116</v>
      </c>
    </row>
    <row r="1540" spans="1:5">
      <c r="A1540">
        <f t="shared" si="115"/>
        <v>0.6553859725066844</v>
      </c>
      <c r="B1540">
        <f t="shared" si="116"/>
        <v>0.28460282896306532</v>
      </c>
      <c r="C1540">
        <f t="shared" si="117"/>
        <v>1.0711423744593944</v>
      </c>
      <c r="D1540">
        <f t="shared" si="118"/>
        <v>64145.486857053183</v>
      </c>
      <c r="E1540">
        <f t="shared" si="119"/>
        <v>68708.949102917817</v>
      </c>
    </row>
    <row r="1541" spans="1:5">
      <c r="A1541">
        <f t="shared" si="115"/>
        <v>0.97531856938630601</v>
      </c>
      <c r="B1541">
        <f t="shared" si="116"/>
        <v>1.4262020478756909E-3</v>
      </c>
      <c r="C1541">
        <f t="shared" si="117"/>
        <v>1.5842498608953512</v>
      </c>
      <c r="D1541">
        <f t="shared" si="118"/>
        <v>58149.685823283515</v>
      </c>
      <c r="E1541">
        <f t="shared" si="119"/>
        <v>92123.63167664528</v>
      </c>
    </row>
    <row r="1542" spans="1:5">
      <c r="A1542">
        <f t="shared" si="115"/>
        <v>0.79677143664396133</v>
      </c>
      <c r="B1542">
        <f t="shared" si="116"/>
        <v>0.51229729687127312</v>
      </c>
      <c r="C1542">
        <f t="shared" si="117"/>
        <v>1.1927792743619641</v>
      </c>
      <c r="D1542">
        <f t="shared" si="118"/>
        <v>65635.877660354206</v>
      </c>
      <c r="E1542">
        <f t="shared" si="119"/>
        <v>78289.114527827944</v>
      </c>
    </row>
    <row r="1543" spans="1:5">
      <c r="A1543">
        <f t="shared" si="115"/>
        <v>0.11974457427965035</v>
      </c>
      <c r="B1543">
        <f t="shared" si="116"/>
        <v>0.81721611343325884</v>
      </c>
      <c r="C1543">
        <f t="shared" si="117"/>
        <v>0.72229895886697326</v>
      </c>
      <c r="D1543">
        <f t="shared" si="118"/>
        <v>67806.637496403418</v>
      </c>
      <c r="E1543">
        <f t="shared" si="119"/>
        <v>48976.663667922461</v>
      </c>
    </row>
    <row r="1544" spans="1:5">
      <c r="A1544">
        <f t="shared" si="115"/>
        <v>0.9442379822933733</v>
      </c>
      <c r="B1544">
        <f t="shared" si="116"/>
        <v>0.91618265173383218</v>
      </c>
      <c r="C1544">
        <f t="shared" si="117"/>
        <v>1.4428135369068653</v>
      </c>
      <c r="D1544">
        <f t="shared" si="118"/>
        <v>68986.52155715556</v>
      </c>
      <c r="E1544">
        <f t="shared" si="119"/>
        <v>99534.687166781325</v>
      </c>
    </row>
    <row r="1545" spans="1:5">
      <c r="A1545">
        <f t="shared" si="115"/>
        <v>0.27025166068512974</v>
      </c>
      <c r="B1545">
        <f t="shared" si="116"/>
        <v>0.80919691177299313</v>
      </c>
      <c r="C1545">
        <f t="shared" si="117"/>
        <v>0.8317170232715777</v>
      </c>
      <c r="D1545">
        <f t="shared" si="118"/>
        <v>67732.457011526931</v>
      </c>
      <c r="E1545">
        <f t="shared" si="119"/>
        <v>56334.237524497279</v>
      </c>
    </row>
    <row r="1546" spans="1:5">
      <c r="A1546">
        <f t="shared" si="115"/>
        <v>9.7785609454920541E-2</v>
      </c>
      <c r="B1546">
        <f t="shared" si="116"/>
        <v>0.49625889355074149</v>
      </c>
      <c r="C1546">
        <f t="shared" si="117"/>
        <v>0.70130093352115186</v>
      </c>
      <c r="D1546">
        <f t="shared" si="118"/>
        <v>65536.011808371404</v>
      </c>
      <c r="E1546">
        <f t="shared" si="119"/>
        <v>45960.466260464098</v>
      </c>
    </row>
    <row r="1547" spans="1:5">
      <c r="A1547">
        <f t="shared" si="115"/>
        <v>0.42683982860274505</v>
      </c>
      <c r="B1547">
        <f t="shared" si="116"/>
        <v>0.97736859706707768</v>
      </c>
      <c r="C1547">
        <f t="shared" si="117"/>
        <v>0.92555994556750298</v>
      </c>
      <c r="D1547">
        <f t="shared" si="118"/>
        <v>70532.321739404448</v>
      </c>
      <c r="E1547">
        <f t="shared" si="119"/>
        <v>65281.891869872787</v>
      </c>
    </row>
    <row r="1548" spans="1:5">
      <c r="A1548">
        <f t="shared" si="115"/>
        <v>0.25741431812860327</v>
      </c>
      <c r="B1548">
        <f t="shared" si="116"/>
        <v>0.25252602232200183</v>
      </c>
      <c r="C1548">
        <f t="shared" si="117"/>
        <v>0.82358840787764998</v>
      </c>
      <c r="D1548">
        <f t="shared" si="118"/>
        <v>63903.716265227747</v>
      </c>
      <c r="E1548">
        <f t="shared" si="119"/>
        <v>52630.359936344008</v>
      </c>
    </row>
    <row r="1549" spans="1:5">
      <c r="A1549">
        <f t="shared" si="115"/>
        <v>0.58950907803249519</v>
      </c>
      <c r="B1549">
        <f t="shared" si="116"/>
        <v>0.32173116931551338</v>
      </c>
      <c r="C1549">
        <f t="shared" si="117"/>
        <v>1.0256438702070161</v>
      </c>
      <c r="D1549">
        <f t="shared" si="118"/>
        <v>64409.656948336065</v>
      </c>
      <c r="E1549">
        <f t="shared" si="119"/>
        <v>66061.369831197633</v>
      </c>
    </row>
    <row r="1550" spans="1:5">
      <c r="A1550">
        <f t="shared" si="115"/>
        <v>0.42312410831442127</v>
      </c>
      <c r="B1550">
        <f t="shared" si="116"/>
        <v>0.18498403804761265</v>
      </c>
      <c r="C1550">
        <f t="shared" si="117"/>
        <v>0.92336847914815612</v>
      </c>
      <c r="D1550">
        <f t="shared" si="118"/>
        <v>63332.519969411311</v>
      </c>
      <c r="E1550">
        <f t="shared" si="119"/>
        <v>58479.252644775552</v>
      </c>
    </row>
    <row r="1551" spans="1:5">
      <c r="A1551">
        <f t="shared" si="115"/>
        <v>0.75825940897438104</v>
      </c>
      <c r="B1551">
        <f t="shared" si="116"/>
        <v>0.84228462851829966</v>
      </c>
      <c r="C1551">
        <f t="shared" si="117"/>
        <v>1.1548016923111533</v>
      </c>
      <c r="D1551">
        <f t="shared" si="118"/>
        <v>68052.742289801201</v>
      </c>
      <c r="E1551">
        <f t="shared" si="119"/>
        <v>78587.42196267721</v>
      </c>
    </row>
    <row r="1552" spans="1:5">
      <c r="A1552">
        <f t="shared" ref="A1552:A1615" si="120">IFERROR(MOD(MOD(($E$8+((ROW()-15)*(ROW()-14)/2)*13)*171,30269)/30269+MOD(($E$8+((ROW()-15)*(ROW()-14)/2)*29)*172,30307)/30307+MOD(($E$8+((ROW()-15)*(ROW()-14)/2)*47)*170,30323)/30323,1),0.5)</f>
        <v>0.59491498001237453</v>
      </c>
      <c r="B1552">
        <f t="shared" ref="B1552:B1615" si="121">IFERROR(MOD(MOD(($E$8+((ROW()-15)*(ROW()-14)/2)*17)*171,30269)/30269+MOD(($E$8+((ROW()-15)*(ROW()-14)/2)*41)*172,30307)/30307+MOD(($E$8+((ROW()-15)*(ROW()-14)/2)*83)*170,30323)/30323,1),0.5)</f>
        <v>0.2936329407275744</v>
      </c>
      <c r="C1552">
        <f t="shared" ref="C1552:C1615" si="122">IFERROR(EXP($E$4*NORMSINV(MIN(MAX(A1552,0.000000001),0.999999999))-$E$4^2/2),1)</f>
        <v>1.0292204474132383</v>
      </c>
      <c r="D1552">
        <f t="shared" ref="D1552:D1615" si="123">IFERROR($B$5+$E$5*NORMSINV(MIN(MAX(B1552,0.000000001),0.999999999)),$B$5)</f>
        <v>64211.106587600611</v>
      </c>
      <c r="E1552">
        <f t="shared" ref="E1552:E1615" si="124">IFERROR(C1552*MAX(D1552,0),0)</f>
        <v>66087.383850989427</v>
      </c>
    </row>
    <row r="1553" spans="1:5">
      <c r="A1553">
        <f t="shared" si="120"/>
        <v>0.93309082142840183</v>
      </c>
      <c r="B1553">
        <f t="shared" si="121"/>
        <v>0.53902897467543665</v>
      </c>
      <c r="C1553">
        <f t="shared" si="122"/>
        <v>1.4099486361902112</v>
      </c>
      <c r="D1553">
        <f t="shared" si="123"/>
        <v>65802.683007264161</v>
      </c>
      <c r="E1553">
        <f t="shared" si="124"/>
        <v>92778.403163748881</v>
      </c>
    </row>
    <row r="1554" spans="1:5">
      <c r="A1554">
        <f t="shared" si="120"/>
        <v>0.77278693322246306</v>
      </c>
      <c r="B1554">
        <f t="shared" si="121"/>
        <v>0.57847273036188684</v>
      </c>
      <c r="C1554">
        <f t="shared" si="122"/>
        <v>1.1685505121621991</v>
      </c>
      <c r="D1554">
        <f t="shared" si="123"/>
        <v>66051.060639787494</v>
      </c>
      <c r="E1554">
        <f t="shared" si="124"/>
        <v>77184.000739480151</v>
      </c>
    </row>
    <row r="1555" spans="1:5">
      <c r="A1555">
        <f t="shared" si="120"/>
        <v>0.11400331539455788</v>
      </c>
      <c r="B1555">
        <f t="shared" si="121"/>
        <v>0.41196420778692477</v>
      </c>
      <c r="C1555">
        <f t="shared" si="122"/>
        <v>0.71703731087947242</v>
      </c>
      <c r="D1555">
        <f t="shared" si="123"/>
        <v>65006.676564764828</v>
      </c>
      <c r="E1555">
        <f t="shared" si="124"/>
        <v>46612.212553210593</v>
      </c>
    </row>
    <row r="1556" spans="1:5">
      <c r="A1556">
        <f t="shared" si="120"/>
        <v>0.95673996794468685</v>
      </c>
      <c r="B1556">
        <f t="shared" si="121"/>
        <v>3.9503406950549991E-2</v>
      </c>
      <c r="C1556">
        <f t="shared" si="122"/>
        <v>1.4877453577079942</v>
      </c>
      <c r="D1556">
        <f t="shared" si="123"/>
        <v>61196.612965912645</v>
      </c>
      <c r="E1556">
        <f t="shared" si="124"/>
        <v>91044.976847489379</v>
      </c>
    </row>
    <row r="1557" spans="1:5">
      <c r="A1557">
        <f t="shared" si="120"/>
        <v>0.30099689087284975</v>
      </c>
      <c r="B1557">
        <f t="shared" si="121"/>
        <v>0.46109032785276316</v>
      </c>
      <c r="C1557">
        <f t="shared" si="122"/>
        <v>0.85075262920705486</v>
      </c>
      <c r="D1557">
        <f t="shared" si="123"/>
        <v>65316.671077025712</v>
      </c>
      <c r="E1557">
        <f t="shared" si="124"/>
        <v>55568.32964983202</v>
      </c>
    </row>
    <row r="1558" spans="1:5">
      <c r="A1558">
        <f t="shared" si="120"/>
        <v>0.14677408417904614</v>
      </c>
      <c r="B1558">
        <f t="shared" si="121"/>
        <v>0.67672497049356384</v>
      </c>
      <c r="C1558">
        <f t="shared" si="122"/>
        <v>0.74539393661391018</v>
      </c>
      <c r="D1558">
        <f t="shared" si="123"/>
        <v>66698.262707057394</v>
      </c>
      <c r="E1558">
        <f t="shared" si="124"/>
        <v>49716.480604522272</v>
      </c>
    </row>
    <row r="1559" spans="1:5">
      <c r="A1559">
        <f t="shared" si="120"/>
        <v>0.49407154786327645</v>
      </c>
      <c r="B1559">
        <f t="shared" si="121"/>
        <v>0.68640733487295247</v>
      </c>
      <c r="C1559">
        <f t="shared" si="122"/>
        <v>0.96563897821046829</v>
      </c>
      <c r="D1559">
        <f t="shared" si="123"/>
        <v>66765.652827761733</v>
      </c>
      <c r="E1559">
        <f t="shared" si="124"/>
        <v>64471.516776154705</v>
      </c>
    </row>
    <row r="1560" spans="1:5">
      <c r="A1560">
        <f t="shared" si="120"/>
        <v>0.34288928192554069</v>
      </c>
      <c r="B1560">
        <f t="shared" si="121"/>
        <v>0.49013742099092861</v>
      </c>
      <c r="C1560">
        <f t="shared" si="122"/>
        <v>0.8759926155426544</v>
      </c>
      <c r="D1560">
        <f t="shared" si="123"/>
        <v>65497.894260920431</v>
      </c>
      <c r="E1560">
        <f t="shared" si="124"/>
        <v>57375.671706159905</v>
      </c>
    </row>
    <row r="1561" spans="1:5">
      <c r="A1561">
        <f t="shared" si="120"/>
        <v>0.69322728636583864</v>
      </c>
      <c r="B1561">
        <f t="shared" si="121"/>
        <v>8.7915228847492477E-2</v>
      </c>
      <c r="C1561">
        <f t="shared" si="122"/>
        <v>1.0996641035149799</v>
      </c>
      <c r="D1561">
        <f t="shared" si="123"/>
        <v>62197.008970044881</v>
      </c>
      <c r="E1561">
        <f t="shared" si="124"/>
        <v>68395.818110357563</v>
      </c>
    </row>
    <row r="1562" spans="1:5">
      <c r="A1562">
        <f t="shared" si="120"/>
        <v>0.54508556118417051</v>
      </c>
      <c r="B1562">
        <f t="shared" si="121"/>
        <v>0.4797407584426443</v>
      </c>
      <c r="C1562">
        <f t="shared" si="122"/>
        <v>0.99706790400650969</v>
      </c>
      <c r="D1562">
        <f t="shared" si="123"/>
        <v>65433.117747273842</v>
      </c>
      <c r="E1562">
        <f t="shared" si="124"/>
        <v>65241.261564885477</v>
      </c>
    </row>
    <row r="1563" spans="1:5">
      <c r="A1563">
        <f t="shared" si="120"/>
        <v>0.89846410638053609</v>
      </c>
      <c r="B1563">
        <f t="shared" si="121"/>
        <v>0.6656140097763833</v>
      </c>
      <c r="C1563">
        <f t="shared" si="122"/>
        <v>1.3323737674530904</v>
      </c>
      <c r="D1563">
        <f t="shared" si="123"/>
        <v>66621.945961414123</v>
      </c>
      <c r="E1563">
        <f t="shared" si="124"/>
        <v>88765.33313566554</v>
      </c>
    </row>
    <row r="1564" spans="1:5">
      <c r="A1564">
        <f t="shared" si="120"/>
        <v>0.75336292195493559</v>
      </c>
      <c r="B1564">
        <f t="shared" si="121"/>
        <v>0.64553498284871025</v>
      </c>
      <c r="C1564">
        <f t="shared" si="122"/>
        <v>1.150305593313667</v>
      </c>
      <c r="D1564">
        <f t="shared" si="123"/>
        <v>66486.479726697318</v>
      </c>
      <c r="E1564">
        <f t="shared" si="124"/>
        <v>76479.769509355654</v>
      </c>
    </row>
    <row r="1565" spans="1:5">
      <c r="A1565">
        <f t="shared" si="120"/>
        <v>0.10978200790736903</v>
      </c>
      <c r="B1565">
        <f t="shared" si="121"/>
        <v>0.41950367765962482</v>
      </c>
      <c r="C1565">
        <f t="shared" si="122"/>
        <v>0.71307258279472518</v>
      </c>
      <c r="D1565">
        <f t="shared" si="123"/>
        <v>65054.692443584339</v>
      </c>
      <c r="E1565">
        <f t="shared" si="124"/>
        <v>46388.71756366318</v>
      </c>
    </row>
    <row r="1566" spans="1:5">
      <c r="A1566">
        <f t="shared" si="120"/>
        <v>0.96772136423783595</v>
      </c>
      <c r="B1566">
        <f t="shared" si="121"/>
        <v>0.98752009420912723</v>
      </c>
      <c r="C1566">
        <f t="shared" si="122"/>
        <v>1.5385307648365525</v>
      </c>
      <c r="D1566">
        <f t="shared" si="123"/>
        <v>71127.980530088884</v>
      </c>
      <c r="E1566">
        <f t="shared" si="124"/>
        <v>109432.58628623707</v>
      </c>
    </row>
    <row r="1567" spans="1:5">
      <c r="A1567">
        <f t="shared" si="120"/>
        <v>0.32718099094633701</v>
      </c>
      <c r="B1567">
        <f t="shared" si="121"/>
        <v>0.34958423249721715</v>
      </c>
      <c r="C1567">
        <f t="shared" si="122"/>
        <v>0.86660007707887499</v>
      </c>
      <c r="D1567">
        <f t="shared" si="123"/>
        <v>64599.467117226595</v>
      </c>
      <c r="E1567">
        <f t="shared" si="124"/>
        <v>55981.903183042821</v>
      </c>
    </row>
    <row r="1568" spans="1:5">
      <c r="A1568">
        <f t="shared" si="120"/>
        <v>0.18816088803287201</v>
      </c>
      <c r="B1568">
        <f t="shared" si="121"/>
        <v>0.50569609252389469</v>
      </c>
      <c r="C1568">
        <f t="shared" si="122"/>
        <v>0.7769156746569551</v>
      </c>
      <c r="D1568">
        <f t="shared" si="123"/>
        <v>65594.768345343255</v>
      </c>
      <c r="E1568">
        <f t="shared" si="124"/>
        <v>50961.603702989036</v>
      </c>
    </row>
    <row r="1569" spans="1:5">
      <c r="A1569">
        <f t="shared" si="120"/>
        <v>0.55066105549744049</v>
      </c>
      <c r="B1569">
        <f t="shared" si="121"/>
        <v>0.45585567428916018</v>
      </c>
      <c r="C1569">
        <f t="shared" si="122"/>
        <v>1.0005830894102972</v>
      </c>
      <c r="D1569">
        <f t="shared" si="123"/>
        <v>65283.902754790222</v>
      </c>
      <c r="E1569">
        <f t="shared" si="124"/>
        <v>65321.969107149409</v>
      </c>
    </row>
    <row r="1570" spans="1:5">
      <c r="A1570">
        <f t="shared" si="120"/>
        <v>0.41468149334004289</v>
      </c>
      <c r="B1570">
        <f t="shared" si="121"/>
        <v>0.20006297779301319</v>
      </c>
      <c r="C1570">
        <f t="shared" si="122"/>
        <v>0.91839319952514897</v>
      </c>
      <c r="D1570">
        <f t="shared" si="123"/>
        <v>63469.467355708133</v>
      </c>
      <c r="E1570">
        <f t="shared" si="124"/>
        <v>58289.927196965786</v>
      </c>
    </row>
    <row r="1571" spans="1:5">
      <c r="A1571">
        <f t="shared" si="120"/>
        <v>0.78022220156067923</v>
      </c>
      <c r="B1571">
        <f t="shared" si="121"/>
        <v>0.73831800303545392</v>
      </c>
      <c r="C1571">
        <f t="shared" si="122"/>
        <v>1.175843742784876</v>
      </c>
      <c r="D1571">
        <f t="shared" si="123"/>
        <v>67144.368908900229</v>
      </c>
      <c r="E1571">
        <f t="shared" si="124"/>
        <v>78951.286044769702</v>
      </c>
    </row>
    <row r="1572" spans="1:5">
      <c r="A1572">
        <f t="shared" si="120"/>
        <v>0.64728318015934949</v>
      </c>
      <c r="B1572">
        <f t="shared" si="121"/>
        <v>7.0620750016482603E-2</v>
      </c>
      <c r="C1572">
        <f t="shared" si="122"/>
        <v>1.0652920373248598</v>
      </c>
      <c r="D1572">
        <f t="shared" si="123"/>
        <v>61905.219611380999</v>
      </c>
      <c r="E1572">
        <f t="shared" si="124"/>
        <v>65947.137520850927</v>
      </c>
    </row>
    <row r="1573" spans="1:5">
      <c r="A1573">
        <f t="shared" si="120"/>
        <v>1.5864429136053237E-2</v>
      </c>
      <c r="B1573">
        <f t="shared" si="121"/>
        <v>0.19697121873609857</v>
      </c>
      <c r="C1573">
        <f t="shared" si="122"/>
        <v>0.56654289549074732</v>
      </c>
      <c r="D1573">
        <f t="shared" si="123"/>
        <v>63441.914265664927</v>
      </c>
      <c r="E1573">
        <f t="shared" si="124"/>
        <v>35942.565803545556</v>
      </c>
    </row>
    <row r="1574" spans="1:5">
      <c r="A1574">
        <f t="shared" si="120"/>
        <v>0.88596594849079091</v>
      </c>
      <c r="B1574">
        <f t="shared" si="121"/>
        <v>0.1173694091943025</v>
      </c>
      <c r="C1574">
        <f t="shared" si="122"/>
        <v>1.3100791726637346</v>
      </c>
      <c r="D1574">
        <f t="shared" si="123"/>
        <v>62607.986400223279</v>
      </c>
      <c r="E1574">
        <f t="shared" si="124"/>
        <v>82021.41902534687</v>
      </c>
    </row>
    <row r="1575" spans="1:5">
      <c r="A1575">
        <f t="shared" si="120"/>
        <v>0.25758773822356229</v>
      </c>
      <c r="B1575">
        <f t="shared" si="121"/>
        <v>0.83181532139109371</v>
      </c>
      <c r="C1575">
        <f t="shared" si="122"/>
        <v>0.82369904871305044</v>
      </c>
      <c r="D1575">
        <f t="shared" si="123"/>
        <v>67947.111915005036</v>
      </c>
      <c r="E1575">
        <f t="shared" si="124"/>
        <v>55967.971447188822</v>
      </c>
    </row>
    <row r="1576" spans="1:5">
      <c r="A1576">
        <f t="shared" si="120"/>
        <v>0.13072979833436804</v>
      </c>
      <c r="B1576">
        <f t="shared" si="121"/>
        <v>0.34030895532647332</v>
      </c>
      <c r="C1576">
        <f t="shared" si="122"/>
        <v>0.73199105129304931</v>
      </c>
      <c r="D1576">
        <f t="shared" si="123"/>
        <v>64536.933474234851</v>
      </c>
      <c r="E1576">
        <f t="shared" si="124"/>
        <v>47240.457781034755</v>
      </c>
    </row>
    <row r="1577" spans="1:5">
      <c r="A1577">
        <f t="shared" si="120"/>
        <v>0.50539212882320728</v>
      </c>
      <c r="B1577">
        <f t="shared" si="121"/>
        <v>0.64285031100043977</v>
      </c>
      <c r="C1577">
        <f t="shared" si="122"/>
        <v>0.97251392826445904</v>
      </c>
      <c r="D1577">
        <f t="shared" si="123"/>
        <v>66468.583088623898</v>
      </c>
      <c r="E1577">
        <f t="shared" si="124"/>
        <v>64641.622845690217</v>
      </c>
    </row>
    <row r="1578" spans="1:5">
      <c r="A1578">
        <f t="shared" si="120"/>
        <v>0.38157472969007999</v>
      </c>
      <c r="B1578">
        <f t="shared" si="121"/>
        <v>0.73943938841299417</v>
      </c>
      <c r="C1578">
        <f t="shared" si="122"/>
        <v>0.8988969341995755</v>
      </c>
      <c r="D1578">
        <f t="shared" si="123"/>
        <v>67152.93673241201</v>
      </c>
      <c r="E1578">
        <f t="shared" si="124"/>
        <v>60363.568951263216</v>
      </c>
    </row>
    <row r="1579" spans="1:5">
      <c r="A1579">
        <f t="shared" si="120"/>
        <v>0.75927760093498708</v>
      </c>
      <c r="B1579">
        <f t="shared" si="121"/>
        <v>0.63007618756413675</v>
      </c>
      <c r="C1579">
        <f t="shared" si="122"/>
        <v>1.1557450175866832</v>
      </c>
      <c r="D1579">
        <f t="shared" si="123"/>
        <v>66384.05310873795</v>
      </c>
      <c r="E1579">
        <f t="shared" si="124"/>
        <v>76723.03862763365</v>
      </c>
    </row>
    <row r="1580" spans="1:5">
      <c r="A1580">
        <f t="shared" si="120"/>
        <v>0.6385007425579281</v>
      </c>
      <c r="B1580">
        <f t="shared" si="121"/>
        <v>0.31476070845386639</v>
      </c>
      <c r="C1580">
        <f t="shared" si="122"/>
        <v>1.0590407571579936</v>
      </c>
      <c r="D1580">
        <f t="shared" si="123"/>
        <v>64361.130884550126</v>
      </c>
      <c r="E1580">
        <f t="shared" si="124"/>
        <v>68161.060783518697</v>
      </c>
    </row>
    <row r="1581" spans="1:5">
      <c r="A1581">
        <f t="shared" si="120"/>
        <v>1.9244154558902604E-2</v>
      </c>
      <c r="B1581">
        <f t="shared" si="121"/>
        <v>0.79349295108218421</v>
      </c>
      <c r="C1581">
        <f t="shared" si="122"/>
        <v>0.57772689318358494</v>
      </c>
      <c r="D1581">
        <f t="shared" si="123"/>
        <v>67592.522058346178</v>
      </c>
      <c r="E1581">
        <f t="shared" si="124"/>
        <v>39050.017771211271</v>
      </c>
    </row>
    <row r="1582" spans="1:5">
      <c r="A1582">
        <f t="shared" si="120"/>
        <v>0.90150783693791081</v>
      </c>
      <c r="B1582">
        <f t="shared" si="121"/>
        <v>6.6272915449089531E-2</v>
      </c>
      <c r="C1582">
        <f t="shared" si="122"/>
        <v>1.3381629858742927</v>
      </c>
      <c r="D1582">
        <f t="shared" si="123"/>
        <v>61823.368066582872</v>
      </c>
      <c r="E1582">
        <f t="shared" si="124"/>
        <v>82729.742808783936</v>
      </c>
    </row>
    <row r="1583" spans="1:5">
      <c r="A1583">
        <f t="shared" si="120"/>
        <v>0.28529178969495339</v>
      </c>
      <c r="B1583">
        <f t="shared" si="121"/>
        <v>0.13310060155458237</v>
      </c>
      <c r="C1583">
        <f t="shared" si="122"/>
        <v>0.84109719066035582</v>
      </c>
      <c r="D1583">
        <f t="shared" si="123"/>
        <v>62797.713700472937</v>
      </c>
      <c r="E1583">
        <f t="shared" si="124"/>
        <v>52818.980573361128</v>
      </c>
    </row>
    <row r="1584" spans="1:5">
      <c r="A1584">
        <f t="shared" si="120"/>
        <v>0.17059601283002923</v>
      </c>
      <c r="B1584">
        <f t="shared" si="121"/>
        <v>0.99397600939866315</v>
      </c>
      <c r="C1584">
        <f t="shared" si="122"/>
        <v>0.76398803379467684</v>
      </c>
      <c r="D1584">
        <f t="shared" si="123"/>
        <v>71795.399106914905</v>
      </c>
      <c r="E1584">
        <f t="shared" si="124"/>
        <v>54850.825799196013</v>
      </c>
    </row>
    <row r="1585" spans="1:5">
      <c r="A1585">
        <f t="shared" si="120"/>
        <v>0.557420506343139</v>
      </c>
      <c r="B1585">
        <f t="shared" si="121"/>
        <v>0.64889913898133145</v>
      </c>
      <c r="C1585">
        <f t="shared" si="122"/>
        <v>1.0048699344039569</v>
      </c>
      <c r="D1585">
        <f t="shared" si="123"/>
        <v>66508.974244056837</v>
      </c>
      <c r="E1585">
        <f t="shared" si="124"/>
        <v>66832.868585899851</v>
      </c>
    </row>
    <row r="1586" spans="1:5">
      <c r="A1586">
        <f t="shared" si="120"/>
        <v>0.4457652702342827</v>
      </c>
      <c r="B1586">
        <f t="shared" si="121"/>
        <v>9.7869990302587695E-2</v>
      </c>
      <c r="C1586">
        <f t="shared" si="122"/>
        <v>0.93674709171229753</v>
      </c>
      <c r="D1586">
        <f t="shared" si="123"/>
        <v>62345.839060161263</v>
      </c>
      <c r="E1586">
        <f t="shared" si="124"/>
        <v>58402.283419969026</v>
      </c>
    </row>
    <row r="1587" spans="1:5">
      <c r="A1587">
        <f t="shared" si="120"/>
        <v>0.83563030450346021</v>
      </c>
      <c r="B1587">
        <f t="shared" si="121"/>
        <v>0.34088856336243123</v>
      </c>
      <c r="C1587">
        <f t="shared" si="122"/>
        <v>1.2372782995236682</v>
      </c>
      <c r="D1587">
        <f t="shared" si="123"/>
        <v>64540.859800812876</v>
      </c>
      <c r="E1587">
        <f t="shared" si="124"/>
        <v>79855.005264145235</v>
      </c>
    </row>
    <row r="1588" spans="1:5">
      <c r="A1588">
        <f t="shared" si="120"/>
        <v>0.72701560915067143</v>
      </c>
      <c r="B1588">
        <f t="shared" si="121"/>
        <v>0.37795485816086272</v>
      </c>
      <c r="C1588">
        <f t="shared" si="122"/>
        <v>1.1271619748458257</v>
      </c>
      <c r="D1588">
        <f t="shared" si="123"/>
        <v>64787.207232349501</v>
      </c>
      <c r="E1588">
        <f t="shared" si="124"/>
        <v>73025.676448760831</v>
      </c>
    </row>
    <row r="1589" spans="1:5">
      <c r="A1589">
        <f t="shared" si="120"/>
        <v>0.11992118417591668</v>
      </c>
      <c r="B1589">
        <f t="shared" si="121"/>
        <v>0.20906887469788193</v>
      </c>
      <c r="C1589">
        <f t="shared" si="122"/>
        <v>0.7224585573803185</v>
      </c>
      <c r="D1589">
        <f t="shared" si="123"/>
        <v>63548.302323635631</v>
      </c>
      <c r="E1589">
        <f t="shared" si="124"/>
        <v>45911.014820702141</v>
      </c>
    </row>
    <row r="1590" spans="1:5">
      <c r="A1590">
        <f t="shared" si="120"/>
        <v>1.4347029579195869E-2</v>
      </c>
      <c r="B1590">
        <f t="shared" si="121"/>
        <v>0.83423061297348866</v>
      </c>
      <c r="C1590">
        <f t="shared" si="122"/>
        <v>0.56092611033160489</v>
      </c>
      <c r="D1590">
        <f t="shared" si="123"/>
        <v>67971.093830656871</v>
      </c>
      <c r="E1590">
        <f t="shared" si="124"/>
        <v>38126.761277414902</v>
      </c>
    </row>
    <row r="1591" spans="1:5">
      <c r="A1591">
        <f t="shared" si="120"/>
        <v>0.41029314536050876</v>
      </c>
      <c r="B1591">
        <f t="shared" si="121"/>
        <v>0.25344007298768306</v>
      </c>
      <c r="C1591">
        <f t="shared" si="122"/>
        <v>0.91580873483586578</v>
      </c>
      <c r="D1591">
        <f t="shared" si="123"/>
        <v>63910.815936653213</v>
      </c>
      <c r="E1591">
        <f t="shared" si="124"/>
        <v>58530.08348527427</v>
      </c>
    </row>
    <row r="1592" spans="1:5">
      <c r="A1592">
        <f t="shared" si="120"/>
        <v>0.30775953151985513</v>
      </c>
      <c r="B1592">
        <f t="shared" si="121"/>
        <v>0.46669725474046531</v>
      </c>
      <c r="C1592">
        <f t="shared" si="122"/>
        <v>0.85487265274753343</v>
      </c>
      <c r="D1592">
        <f t="shared" si="123"/>
        <v>65351.723154239931</v>
      </c>
      <c r="E1592">
        <f t="shared" si="124"/>
        <v>55867.400934487494</v>
      </c>
    </row>
    <row r="1593" spans="1:5">
      <c r="A1593">
        <f t="shared" si="120"/>
        <v>0.70674618805723588</v>
      </c>
      <c r="B1593">
        <f t="shared" si="121"/>
        <v>0.47400215823183511</v>
      </c>
      <c r="C1593">
        <f t="shared" si="122"/>
        <v>1.1104062819883105</v>
      </c>
      <c r="D1593">
        <f t="shared" si="123"/>
        <v>65397.32936519455</v>
      </c>
      <c r="E1593">
        <f t="shared" si="124"/>
        <v>72617.605352370636</v>
      </c>
    </row>
    <row r="1594" spans="1:5">
      <c r="A1594">
        <f t="shared" si="120"/>
        <v>0.60725311497265011</v>
      </c>
      <c r="B1594">
        <f t="shared" si="121"/>
        <v>0.27535478346179265</v>
      </c>
      <c r="C1594">
        <f t="shared" si="122"/>
        <v>1.0374768913085681</v>
      </c>
      <c r="D1594">
        <f t="shared" si="123"/>
        <v>64077.244137895919</v>
      </c>
      <c r="E1594">
        <f t="shared" si="124"/>
        <v>66478.660051804429</v>
      </c>
    </row>
    <row r="1595" spans="1:5">
      <c r="A1595">
        <f t="shared" si="120"/>
        <v>9.2803122660982673E-3</v>
      </c>
      <c r="B1595">
        <f t="shared" si="121"/>
        <v>0.87075513043033792</v>
      </c>
      <c r="C1595">
        <f t="shared" si="122"/>
        <v>0.53804666067562734</v>
      </c>
      <c r="D1595">
        <f t="shared" si="123"/>
        <v>68365.886500209366</v>
      </c>
      <c r="E1595">
        <f t="shared" si="124"/>
        <v>36784.036935566604</v>
      </c>
    </row>
    <row r="1596" spans="1:5">
      <c r="A1596">
        <f t="shared" si="120"/>
        <v>0.91282777993758013</v>
      </c>
      <c r="B1596">
        <f t="shared" si="121"/>
        <v>0.2602031991374707</v>
      </c>
      <c r="C1596">
        <f t="shared" si="122"/>
        <v>1.3611691136925519</v>
      </c>
      <c r="D1596">
        <f t="shared" si="123"/>
        <v>63962.936267449295</v>
      </c>
      <c r="E1596">
        <f t="shared" si="124"/>
        <v>87064.373268337135</v>
      </c>
    </row>
    <row r="1597" spans="1:5">
      <c r="A1597">
        <f t="shared" si="120"/>
        <v>0.31789551798709592</v>
      </c>
      <c r="B1597">
        <f t="shared" si="121"/>
        <v>0.44369898958319137</v>
      </c>
      <c r="C1597">
        <f t="shared" si="122"/>
        <v>0.86101104561359199</v>
      </c>
      <c r="D1597">
        <f t="shared" si="123"/>
        <v>65207.608099581215</v>
      </c>
      <c r="E1597">
        <f t="shared" si="124"/>
        <v>56144.470831781749</v>
      </c>
    </row>
    <row r="1598" spans="1:5">
      <c r="A1598">
        <f t="shared" si="120"/>
        <v>0.22448352641464564</v>
      </c>
      <c r="B1598">
        <f t="shared" si="121"/>
        <v>0.42124250176749967</v>
      </c>
      <c r="C1598">
        <f t="shared" si="122"/>
        <v>0.80208992033921034</v>
      </c>
      <c r="D1598">
        <f t="shared" si="123"/>
        <v>65065.738959960938</v>
      </c>
      <c r="E1598">
        <f t="shared" si="124"/>
        <v>52188.573379206922</v>
      </c>
    </row>
    <row r="1599" spans="1:5">
      <c r="A1599">
        <f t="shared" si="120"/>
        <v>0.63259180522022906</v>
      </c>
      <c r="B1599">
        <f t="shared" si="121"/>
        <v>0.19283373569039552</v>
      </c>
      <c r="C1599">
        <f t="shared" si="122"/>
        <v>1.0548846465950028</v>
      </c>
      <c r="D1599">
        <f t="shared" si="123"/>
        <v>63404.628822944673</v>
      </c>
      <c r="E1599">
        <f t="shared" si="124"/>
        <v>66884.569468379326</v>
      </c>
    </row>
    <row r="1600" spans="1:5">
      <c r="A1600">
        <f t="shared" si="120"/>
        <v>0.54222035440384664</v>
      </c>
      <c r="B1600">
        <f t="shared" si="121"/>
        <v>0.75847269135187934</v>
      </c>
      <c r="C1600">
        <f t="shared" si="122"/>
        <v>0.99526849538896001</v>
      </c>
      <c r="D1600">
        <f t="shared" si="123"/>
        <v>67301.41675237735</v>
      </c>
      <c r="E1600">
        <f t="shared" si="124"/>
        <v>66982.979788683951</v>
      </c>
    </row>
    <row r="1601" spans="1:5">
      <c r="A1601">
        <f t="shared" si="120"/>
        <v>0.95336917396549747</v>
      </c>
      <c r="B1601">
        <f t="shared" si="121"/>
        <v>0.11815936875195066</v>
      </c>
      <c r="C1601">
        <f t="shared" si="122"/>
        <v>1.4745597411913154</v>
      </c>
      <c r="D1601">
        <f t="shared" si="123"/>
        <v>62617.92598082091</v>
      </c>
      <c r="E1601">
        <f t="shared" si="124"/>
        <v>92333.872728216229</v>
      </c>
    </row>
    <row r="1602" spans="1:5">
      <c r="A1602">
        <f t="shared" si="120"/>
        <v>0.86603826390518246</v>
      </c>
      <c r="B1602">
        <f t="shared" si="121"/>
        <v>0.27189376789060971</v>
      </c>
      <c r="C1602">
        <f t="shared" si="122"/>
        <v>1.2785342589792392</v>
      </c>
      <c r="D1602">
        <f t="shared" si="123"/>
        <v>64051.417112977084</v>
      </c>
      <c r="E1602">
        <f t="shared" si="124"/>
        <v>81891.931115110317</v>
      </c>
    </row>
    <row r="1603" spans="1:5">
      <c r="A1603">
        <f t="shared" si="120"/>
        <v>0.28022762422290137</v>
      </c>
      <c r="B1603">
        <f t="shared" si="121"/>
        <v>0.21967588876785626</v>
      </c>
      <c r="C1603">
        <f t="shared" si="122"/>
        <v>0.83795459674132522</v>
      </c>
      <c r="D1603">
        <f t="shared" si="123"/>
        <v>63638.632099376991</v>
      </c>
      <c r="E1603">
        <f t="shared" si="124"/>
        <v>53326.284298003004</v>
      </c>
    </row>
    <row r="1604" spans="1:5">
      <c r="A1604">
        <f t="shared" si="120"/>
        <v>0.19593725491865377</v>
      </c>
      <c r="B1604">
        <f t="shared" si="121"/>
        <v>0.96150573138369089</v>
      </c>
      <c r="C1604">
        <f t="shared" si="122"/>
        <v>0.78246528659650627</v>
      </c>
      <c r="D1604">
        <f t="shared" si="123"/>
        <v>69951.688224414524</v>
      </c>
      <c r="E1604">
        <f t="shared" si="124"/>
        <v>54734.767774425964</v>
      </c>
    </row>
    <row r="1605" spans="1:5">
      <c r="A1605">
        <f t="shared" si="120"/>
        <v>0.61316715599244009</v>
      </c>
      <c r="B1605">
        <f t="shared" si="121"/>
        <v>0.4973832957381128</v>
      </c>
      <c r="C1605">
        <f t="shared" si="122"/>
        <v>1.0414831871088244</v>
      </c>
      <c r="D1605">
        <f t="shared" si="123"/>
        <v>65543.012440593811</v>
      </c>
      <c r="E1605">
        <f t="shared" si="124"/>
        <v>68261.945489342965</v>
      </c>
    </row>
    <row r="1606" spans="1:5">
      <c r="A1606">
        <f t="shared" si="120"/>
        <v>0.53191732744426057</v>
      </c>
      <c r="B1606">
        <f t="shared" si="121"/>
        <v>0.82730858183112255</v>
      </c>
      <c r="C1606">
        <f t="shared" si="122"/>
        <v>0.98883539601697013</v>
      </c>
      <c r="D1606">
        <f t="shared" si="123"/>
        <v>67902.94858874481</v>
      </c>
      <c r="E1606">
        <f t="shared" si="124"/>
        <v>67144.839058471436</v>
      </c>
    </row>
    <row r="1607" spans="1:5">
      <c r="A1607">
        <f t="shared" si="120"/>
        <v>0.95218776927411453</v>
      </c>
      <c r="B1607">
        <f t="shared" si="121"/>
        <v>0.95128158966272014</v>
      </c>
      <c r="C1607">
        <f t="shared" si="122"/>
        <v>1.470145966971306</v>
      </c>
      <c r="D1607">
        <f t="shared" si="123"/>
        <v>69675.929738043225</v>
      </c>
      <c r="E1607">
        <f t="shared" si="124"/>
        <v>102433.78709936033</v>
      </c>
    </row>
    <row r="1608" spans="1:5">
      <c r="A1608">
        <f t="shared" si="120"/>
        <v>0.87397848148200241</v>
      </c>
      <c r="B1608">
        <f t="shared" si="121"/>
        <v>0.86930231923290524</v>
      </c>
      <c r="C1608">
        <f t="shared" si="122"/>
        <v>1.2905910329554169</v>
      </c>
      <c r="D1608">
        <f t="shared" si="123"/>
        <v>68348.826172921312</v>
      </c>
      <c r="E1608">
        <f t="shared" si="124"/>
        <v>88210.382171800753</v>
      </c>
    </row>
    <row r="1609" spans="1:5">
      <c r="A1609">
        <f t="shared" si="120"/>
        <v>0.29728946406792423</v>
      </c>
      <c r="B1609">
        <f t="shared" si="121"/>
        <v>0.58137077054167841</v>
      </c>
      <c r="C1609">
        <f t="shared" si="122"/>
        <v>0.84848481709753643</v>
      </c>
      <c r="D1609">
        <f t="shared" si="123"/>
        <v>66069.474325135365</v>
      </c>
      <c r="E1609">
        <f t="shared" si="124"/>
        <v>56058.945838492858</v>
      </c>
    </row>
    <row r="1610" spans="1:5">
      <c r="A1610">
        <f t="shared" si="120"/>
        <v>0.22212071703187997</v>
      </c>
      <c r="B1610">
        <f t="shared" si="121"/>
        <v>8.7486943589038635E-2</v>
      </c>
      <c r="C1610">
        <f t="shared" si="122"/>
        <v>0.80050488690385602</v>
      </c>
      <c r="D1610">
        <f t="shared" si="123"/>
        <v>62190.33089082333</v>
      </c>
      <c r="E1610">
        <f t="shared" si="124"/>
        <v>49783.663796271911</v>
      </c>
    </row>
    <row r="1611" spans="1:5">
      <c r="A1611">
        <f t="shared" si="120"/>
        <v>0.64847224037386919</v>
      </c>
      <c r="B1611">
        <f t="shared" si="121"/>
        <v>0.38765083837498704</v>
      </c>
      <c r="C1611">
        <f t="shared" si="122"/>
        <v>1.0661454639832726</v>
      </c>
      <c r="D1611">
        <f t="shared" si="123"/>
        <v>64850.318543748224</v>
      </c>
      <c r="E1611">
        <f t="shared" si="124"/>
        <v>69139.872953287471</v>
      </c>
    </row>
    <row r="1612" spans="1:5">
      <c r="A1612">
        <f t="shared" si="120"/>
        <v>0.57634403409389245</v>
      </c>
      <c r="B1612">
        <f t="shared" si="121"/>
        <v>0.48186245489952273</v>
      </c>
      <c r="C1612">
        <f t="shared" si="122"/>
        <v>1.0170307292947418</v>
      </c>
      <c r="D1612">
        <f t="shared" si="123"/>
        <v>65446.34253420731</v>
      </c>
      <c r="E1612">
        <f t="shared" si="124"/>
        <v>66560.941477238346</v>
      </c>
    </row>
    <row r="1613" spans="1:5">
      <c r="A1613">
        <f t="shared" si="120"/>
        <v>5.7360981919494236E-3</v>
      </c>
      <c r="B1613">
        <f t="shared" si="121"/>
        <v>0.37012179316264637</v>
      </c>
      <c r="C1613">
        <f t="shared" si="122"/>
        <v>0.51517729469220352</v>
      </c>
      <c r="D1613">
        <f t="shared" si="123"/>
        <v>64735.857002867073</v>
      </c>
      <c r="E1613">
        <f t="shared" si="124"/>
        <v>33350.4436803184</v>
      </c>
    </row>
    <row r="1614" spans="1:5">
      <c r="A1614">
        <f t="shared" si="120"/>
        <v>0.93664843266804043</v>
      </c>
      <c r="B1614">
        <f t="shared" si="121"/>
        <v>5.2428853164357747E-2</v>
      </c>
      <c r="C1614">
        <f t="shared" si="122"/>
        <v>1.4198598906512054</v>
      </c>
      <c r="D1614">
        <f t="shared" si="123"/>
        <v>61531.256234145483</v>
      </c>
      <c r="E1614">
        <f t="shared" si="124"/>
        <v>87365.762748245106</v>
      </c>
    </row>
    <row r="1615" spans="1:5">
      <c r="A1615">
        <f t="shared" si="120"/>
        <v>0.36908103752216537</v>
      </c>
      <c r="B1615">
        <f t="shared" si="121"/>
        <v>0.52878363490465663</v>
      </c>
      <c r="C1615">
        <f t="shared" si="122"/>
        <v>0.89152477107778094</v>
      </c>
      <c r="D1615">
        <f t="shared" si="123"/>
        <v>65738.663468993516</v>
      </c>
      <c r="E1615">
        <f t="shared" si="124"/>
        <v>58607.646900153726</v>
      </c>
    </row>
    <row r="1616" spans="1:5">
      <c r="A1616">
        <f t="shared" ref="A1616:A1679" si="125">IFERROR(MOD(MOD(($E$8+((ROW()-15)*(ROW()-14)/2)*13)*171,30269)/30269+MOD(($E$8+((ROW()-15)*(ROW()-14)/2)*29)*172,30307)/30307+MOD(($E$8+((ROW()-15)*(ROW()-14)/2)*47)*170,30323)/30323,1),0.5)</f>
        <v>0.30303391275432356</v>
      </c>
      <c r="B1616">
        <f t="shared" ref="B1616:B1679" si="126">IFERROR(MOD(MOD(($E$8+((ROW()-15)*(ROW()-14)/2)*17)*171,30269)/30269+MOD(($E$8+((ROW()-15)*(ROW()-14)/2)*41)*172,30307)/30307+MOD(($E$8+((ROW()-15)*(ROW()-14)/2)*83)*170,30323)/30323,1),0.5)</f>
        <v>0.79918613838354324</v>
      </c>
      <c r="C1616">
        <f t="shared" ref="C1616:C1679" si="127">IFERROR(EXP($E$4*NORMSINV(MIN(MAX(A1616,0.000000001),0.999999999))-$E$4^2/2),1)</f>
        <v>0.85199585715743686</v>
      </c>
      <c r="D1616">
        <f t="shared" ref="D1616:D1679" si="128">IFERROR($B$5+$E$5*NORMSINV(MIN(MAX(B1616,0.000000001),0.999999999)),$B$5)</f>
        <v>67642.48744926184</v>
      </c>
      <c r="E1616">
        <f t="shared" ref="E1616:E1679" si="129">IFERROR(C1616*MAX(D1616,0),0)</f>
        <v>57631.119074595008</v>
      </c>
    </row>
    <row r="1617" spans="1:5">
      <c r="A1617">
        <f t="shared" si="125"/>
        <v>0.73850705836451613</v>
      </c>
      <c r="B1617">
        <f t="shared" si="126"/>
        <v>0.86363636360101759</v>
      </c>
      <c r="C1617">
        <f t="shared" si="127"/>
        <v>1.1370502209186815</v>
      </c>
      <c r="D1617">
        <f t="shared" si="128"/>
        <v>68283.513779815563</v>
      </c>
      <c r="E1617">
        <f t="shared" si="129"/>
        <v>77641.784428443119</v>
      </c>
    </row>
    <row r="1618" spans="1:5">
      <c r="A1618">
        <f t="shared" si="125"/>
        <v>0.67550047435274196</v>
      </c>
      <c r="B1618">
        <f t="shared" si="126"/>
        <v>0.72213431055707966</v>
      </c>
      <c r="C1618">
        <f t="shared" si="127"/>
        <v>1.0860402587632809</v>
      </c>
      <c r="D1618">
        <f t="shared" si="128"/>
        <v>67022.726519029879</v>
      </c>
      <c r="E1618">
        <f t="shared" si="129"/>
        <v>72789.379251747814</v>
      </c>
    </row>
    <row r="1619" spans="1:5">
      <c r="A1619">
        <f t="shared" si="125"/>
        <v>0.11401416071900217</v>
      </c>
      <c r="B1619">
        <f t="shared" si="126"/>
        <v>0.37467997925172924</v>
      </c>
      <c r="C1619">
        <f t="shared" si="127"/>
        <v>0.71704738883764618</v>
      </c>
      <c r="D1619">
        <f t="shared" si="128"/>
        <v>64765.779915044717</v>
      </c>
      <c r="E1619">
        <f t="shared" si="129"/>
        <v>46440.133374116485</v>
      </c>
    </row>
    <row r="1620" spans="1:5">
      <c r="A1620">
        <f t="shared" si="125"/>
        <v>5.4048117463295853E-2</v>
      </c>
      <c r="B1620">
        <f t="shared" si="126"/>
        <v>0.82127336968496678</v>
      </c>
      <c r="C1620">
        <f t="shared" si="127"/>
        <v>0.64859143291183918</v>
      </c>
      <c r="D1620">
        <f t="shared" si="128"/>
        <v>67844.942088273019</v>
      </c>
      <c r="E1620">
        <f t="shared" si="129"/>
        <v>44003.648204853744</v>
      </c>
    </row>
    <row r="1621" spans="1:5">
      <c r="A1621">
        <f t="shared" si="125"/>
        <v>0.49560234458562369</v>
      </c>
      <c r="B1621">
        <f t="shared" si="126"/>
        <v>6.1914481856791825E-2</v>
      </c>
      <c r="C1621">
        <f t="shared" si="127"/>
        <v>0.96656582347107178</v>
      </c>
      <c r="D1621">
        <f t="shared" si="128"/>
        <v>61737.029821045537</v>
      </c>
      <c r="E1621">
        <f t="shared" si="129"/>
        <v>59672.903067636995</v>
      </c>
    </row>
    <row r="1622" spans="1:5">
      <c r="A1622">
        <f t="shared" si="125"/>
        <v>0.43867684208598523</v>
      </c>
      <c r="B1622">
        <f t="shared" si="126"/>
        <v>9.6603315767204379E-2</v>
      </c>
      <c r="C1622">
        <f t="shared" si="127"/>
        <v>0.93255123315281507</v>
      </c>
      <c r="D1622">
        <f t="shared" si="128"/>
        <v>62327.540513080196</v>
      </c>
      <c r="E1622">
        <f t="shared" si="129"/>
        <v>58123.624764854976</v>
      </c>
    </row>
    <row r="1623" spans="1:5">
      <c r="A1623">
        <f t="shared" si="125"/>
        <v>0.88327160996438059</v>
      </c>
      <c r="B1623">
        <f t="shared" si="126"/>
        <v>0.92533987141620511</v>
      </c>
      <c r="C1623">
        <f t="shared" si="127"/>
        <v>1.305551252632315</v>
      </c>
      <c r="D1623">
        <f t="shared" si="128"/>
        <v>69140.74555683673</v>
      </c>
      <c r="E1623">
        <f t="shared" si="129"/>
        <v>90266.786969660359</v>
      </c>
    </row>
    <row r="1624" spans="1:5">
      <c r="A1624">
        <f t="shared" si="125"/>
        <v>0.82938664822080965</v>
      </c>
      <c r="B1624">
        <f t="shared" si="126"/>
        <v>0.54812414880379334</v>
      </c>
      <c r="C1624">
        <f t="shared" si="127"/>
        <v>1.2295964937550465</v>
      </c>
      <c r="D1624">
        <f t="shared" si="128"/>
        <v>65859.65004134053</v>
      </c>
      <c r="E1624">
        <f t="shared" si="129"/>
        <v>80980.794770766719</v>
      </c>
    </row>
    <row r="1625" spans="1:5">
      <c r="A1625">
        <f t="shared" si="125"/>
        <v>0.27702195685527276</v>
      </c>
      <c r="B1625">
        <f t="shared" si="126"/>
        <v>0.96495614792996909</v>
      </c>
      <c r="C1625">
        <f t="shared" si="127"/>
        <v>0.83595722750962187</v>
      </c>
      <c r="D1625">
        <f t="shared" si="128"/>
        <v>70058.267891882031</v>
      </c>
      <c r="E1625">
        <f t="shared" si="129"/>
        <v>58565.715391024067</v>
      </c>
    </row>
    <row r="1626" spans="1:5">
      <c r="A1626">
        <f t="shared" si="125"/>
        <v>0.22617753586776948</v>
      </c>
      <c r="B1626">
        <f t="shared" si="126"/>
        <v>0.17583586879473256</v>
      </c>
      <c r="C1626">
        <f t="shared" si="127"/>
        <v>0.80322240101763387</v>
      </c>
      <c r="D1626">
        <f t="shared" si="128"/>
        <v>63246.039007282139</v>
      </c>
      <c r="E1626">
        <f t="shared" si="129"/>
        <v>50800.635306284086</v>
      </c>
    </row>
    <row r="1627" spans="1:5">
      <c r="A1627">
        <f t="shared" si="125"/>
        <v>0.67685338525830008</v>
      </c>
      <c r="B1627">
        <f t="shared" si="126"/>
        <v>0.18076331139808399</v>
      </c>
      <c r="C1627">
        <f t="shared" si="127"/>
        <v>1.0870628632019212</v>
      </c>
      <c r="D1627">
        <f t="shared" si="128"/>
        <v>63292.961368730146</v>
      </c>
      <c r="E1627">
        <f t="shared" si="129"/>
        <v>68803.42780602038</v>
      </c>
    </row>
    <row r="1628" spans="1:5">
      <c r="A1628">
        <f t="shared" si="125"/>
        <v>0.62904950502686452</v>
      </c>
      <c r="B1628">
        <f t="shared" si="126"/>
        <v>0.97973847574002271</v>
      </c>
      <c r="C1628">
        <f t="shared" si="127"/>
        <v>1.0524115519632249</v>
      </c>
      <c r="D1628">
        <f t="shared" si="128"/>
        <v>70647.005807503097</v>
      </c>
      <c r="E1628">
        <f t="shared" si="129"/>
        <v>74349.725023429302</v>
      </c>
    </row>
    <row r="1629" spans="1:5">
      <c r="A1629">
        <f t="shared" si="125"/>
        <v>8.2765895173462889E-2</v>
      </c>
      <c r="B1629">
        <f t="shared" si="126"/>
        <v>0.57276136182054915</v>
      </c>
      <c r="C1629">
        <f t="shared" si="127"/>
        <v>0.68528106917425335</v>
      </c>
      <c r="D1629">
        <f t="shared" si="128"/>
        <v>66014.849492394045</v>
      </c>
      <c r="E1629">
        <f t="shared" si="129"/>
        <v>45238.726641525209</v>
      </c>
    </row>
    <row r="1630" spans="1:5">
      <c r="A1630">
        <f t="shared" si="125"/>
        <v>3.8002555698095186E-2</v>
      </c>
      <c r="B1630">
        <f t="shared" si="126"/>
        <v>0.95983196963966355</v>
      </c>
      <c r="C1630">
        <f t="shared" si="127"/>
        <v>0.62198596723775867</v>
      </c>
      <c r="D1630">
        <f t="shared" si="128"/>
        <v>69902.773937398742</v>
      </c>
      <c r="E1630">
        <f t="shared" si="129"/>
        <v>43478.544460055346</v>
      </c>
    </row>
    <row r="1631" spans="1:5">
      <c r="A1631">
        <f t="shared" si="125"/>
        <v>0.49475948660076097</v>
      </c>
      <c r="B1631">
        <f t="shared" si="126"/>
        <v>0.14095029919736546</v>
      </c>
      <c r="C1631">
        <f t="shared" si="127"/>
        <v>0.96605539739320523</v>
      </c>
      <c r="D1631">
        <f t="shared" si="128"/>
        <v>62886.617225123598</v>
      </c>
      <c r="E1631">
        <f t="shared" si="129"/>
        <v>60751.95599413116</v>
      </c>
    </row>
    <row r="1632" spans="1:5">
      <c r="A1632">
        <f t="shared" si="125"/>
        <v>0.4530366878814609</v>
      </c>
      <c r="B1632">
        <f t="shared" si="126"/>
        <v>0.1161163504936551</v>
      </c>
      <c r="C1632">
        <f t="shared" si="127"/>
        <v>0.94106017274534615</v>
      </c>
      <c r="D1632">
        <f t="shared" si="128"/>
        <v>62592.122266818958</v>
      </c>
      <c r="E1632">
        <f t="shared" si="129"/>
        <v>58902.953392910473</v>
      </c>
    </row>
    <row r="1633" spans="1:5">
      <c r="A1633">
        <f t="shared" si="125"/>
        <v>0.91283415954019453</v>
      </c>
      <c r="B1633">
        <f t="shared" si="126"/>
        <v>0.88533012352853235</v>
      </c>
      <c r="C1633">
        <f t="shared" si="127"/>
        <v>1.3611828044208882</v>
      </c>
      <c r="D1633">
        <f t="shared" si="128"/>
        <v>68544.9501614482</v>
      </c>
      <c r="E1633">
        <f t="shared" si="129"/>
        <v>93302.207489650071</v>
      </c>
    </row>
    <row r="1634" spans="1:5">
      <c r="A1634">
        <f t="shared" si="125"/>
        <v>0.87415190157696188</v>
      </c>
      <c r="B1634">
        <f t="shared" si="126"/>
        <v>0.44859161830199734</v>
      </c>
      <c r="C1634">
        <f t="shared" si="127"/>
        <v>1.2908614642462419</v>
      </c>
      <c r="D1634">
        <f t="shared" si="128"/>
        <v>65238.349818779367</v>
      </c>
      <c r="E1634">
        <f t="shared" si="129"/>
        <v>84213.671772078087</v>
      </c>
    </row>
    <row r="1635" spans="1:5">
      <c r="A1635">
        <f t="shared" si="125"/>
        <v>0.33698991399176315</v>
      </c>
      <c r="B1635">
        <f t="shared" si="126"/>
        <v>0.80590083481405017</v>
      </c>
      <c r="C1635">
        <f t="shared" si="127"/>
        <v>0.8724734456662514</v>
      </c>
      <c r="D1635">
        <f t="shared" si="128"/>
        <v>67702.524119008332</v>
      </c>
      <c r="E1635">
        <f t="shared" si="129"/>
        <v>59068.654498413693</v>
      </c>
    </row>
    <row r="1636" spans="1:5">
      <c r="A1636">
        <f t="shared" si="125"/>
        <v>0.30134819678459812</v>
      </c>
      <c r="B1636">
        <f t="shared" si="126"/>
        <v>0.95725777306469029</v>
      </c>
      <c r="C1636">
        <f t="shared" si="127"/>
        <v>0.85096717657570509</v>
      </c>
      <c r="D1636">
        <f t="shared" si="128"/>
        <v>69830.681075985704</v>
      </c>
      <c r="E1636">
        <f t="shared" si="129"/>
        <v>59423.61751359007</v>
      </c>
    </row>
    <row r="1637" spans="1:5">
      <c r="A1637">
        <f t="shared" si="125"/>
        <v>0.76722674995546702</v>
      </c>
      <c r="B1637">
        <f t="shared" si="126"/>
        <v>0.90266243305391858</v>
      </c>
      <c r="C1637">
        <f t="shared" si="127"/>
        <v>1.1632130813724293</v>
      </c>
      <c r="D1637">
        <f t="shared" si="128"/>
        <v>68780.438859131769</v>
      </c>
      <c r="E1637">
        <f t="shared" si="129"/>
        <v>80006.306223478634</v>
      </c>
    </row>
    <row r="1638" spans="1:5">
      <c r="A1638">
        <f t="shared" si="125"/>
        <v>0.73462557350436986</v>
      </c>
      <c r="B1638">
        <f t="shared" si="126"/>
        <v>0.64211481478173438</v>
      </c>
      <c r="C1638">
        <f t="shared" si="127"/>
        <v>1.1336764218619739</v>
      </c>
      <c r="D1638">
        <f t="shared" si="128"/>
        <v>66463.688368341303</v>
      </c>
      <c r="E1638">
        <f t="shared" si="129"/>
        <v>75348.316413170469</v>
      </c>
    </row>
    <row r="1639" spans="1:5">
      <c r="A1639">
        <f t="shared" si="125"/>
        <v>0.20354466743130661</v>
      </c>
      <c r="B1639">
        <f t="shared" si="126"/>
        <v>0.17561491824813791</v>
      </c>
      <c r="C1639">
        <f t="shared" si="127"/>
        <v>0.78780344214049136</v>
      </c>
      <c r="D1639">
        <f t="shared" si="128"/>
        <v>63243.915632773147</v>
      </c>
      <c r="E1639">
        <f t="shared" si="129"/>
        <v>49823.774429941514</v>
      </c>
    </row>
    <row r="1640" spans="1:5">
      <c r="A1640">
        <f t="shared" si="125"/>
        <v>0.17398403173627686</v>
      </c>
      <c r="B1640">
        <f t="shared" si="126"/>
        <v>0.50316274345312895</v>
      </c>
      <c r="C1640">
        <f t="shared" si="127"/>
        <v>0.7665276807546364</v>
      </c>
      <c r="D1640">
        <f t="shared" si="128"/>
        <v>65578.994986472069</v>
      </c>
      <c r="E1640">
        <f t="shared" si="129"/>
        <v>50268.114933200362</v>
      </c>
    </row>
    <row r="1641" spans="1:5">
      <c r="A1641">
        <f t="shared" si="125"/>
        <v>0.64594366641928103</v>
      </c>
      <c r="B1641">
        <f t="shared" si="126"/>
        <v>0.62475829039670772</v>
      </c>
      <c r="C1641">
        <f t="shared" si="127"/>
        <v>1.0643326776468498</v>
      </c>
      <c r="D1641">
        <f t="shared" si="128"/>
        <v>66349.14832188435</v>
      </c>
      <c r="E1641">
        <f t="shared" si="129"/>
        <v>70617.566693019166</v>
      </c>
    </row>
    <row r="1642" spans="1:5">
      <c r="A1642">
        <f t="shared" si="125"/>
        <v>0.61942357148031912</v>
      </c>
      <c r="B1642">
        <f t="shared" si="126"/>
        <v>0.54040155907887422</v>
      </c>
      <c r="C1642">
        <f t="shared" si="127"/>
        <v>1.045757818299583</v>
      </c>
      <c r="D1642">
        <f t="shared" si="128"/>
        <v>65811.271166803141</v>
      </c>
      <c r="E1642">
        <f t="shared" si="129"/>
        <v>68822.6513549183</v>
      </c>
    </row>
    <row r="1643" spans="1:5">
      <c r="A1643">
        <f t="shared" si="125"/>
        <v>9.4423746919391149E-2</v>
      </c>
      <c r="B1643">
        <f t="shared" si="126"/>
        <v>0.25009254949962845</v>
      </c>
      <c r="C1643">
        <f t="shared" si="127"/>
        <v>0.69785143552446283</v>
      </c>
      <c r="D1643">
        <f t="shared" si="128"/>
        <v>63884.748472897285</v>
      </c>
      <c r="E1643">
        <f t="shared" si="129"/>
        <v>44582.063429930604</v>
      </c>
    </row>
    <row r="1644" spans="1:5">
      <c r="A1644">
        <f t="shared" si="125"/>
        <v>7.0944192736496881E-2</v>
      </c>
      <c r="B1644">
        <f t="shared" si="126"/>
        <v>0.75383126165897019</v>
      </c>
      <c r="C1644">
        <f t="shared" si="127"/>
        <v>0.67136067755667617</v>
      </c>
      <c r="D1644">
        <f t="shared" si="128"/>
        <v>67264.651251467061</v>
      </c>
      <c r="E1644">
        <f t="shared" si="129"/>
        <v>45158.84183979845</v>
      </c>
    </row>
    <row r="1645" spans="1:5">
      <c r="A1645">
        <f t="shared" si="125"/>
        <v>0.54898490893163632</v>
      </c>
      <c r="B1645">
        <f t="shared" si="126"/>
        <v>5.1617695556899879E-2</v>
      </c>
      <c r="C1645">
        <f t="shared" si="127"/>
        <v>0.99952439620000078</v>
      </c>
      <c r="D1645">
        <f t="shared" si="128"/>
        <v>61512.328335454557</v>
      </c>
      <c r="E1645">
        <f t="shared" si="129"/>
        <v>61483.072838351414</v>
      </c>
    </row>
    <row r="1646" spans="1:5">
      <c r="A1646">
        <f t="shared" si="125"/>
        <v>0.52854589550480968</v>
      </c>
      <c r="B1646">
        <f t="shared" si="126"/>
        <v>0.1434518511934173</v>
      </c>
      <c r="C1646">
        <f t="shared" si="127"/>
        <v>0.9867424452726935</v>
      </c>
      <c r="D1646">
        <f t="shared" si="128"/>
        <v>62914.239199965537</v>
      </c>
      <c r="E1646">
        <f t="shared" si="129"/>
        <v>62080.150230645144</v>
      </c>
    </row>
    <row r="1647" spans="1:5">
      <c r="A1647">
        <f t="shared" si="125"/>
        <v>9.6271524560167521E-3</v>
      </c>
      <c r="B1647">
        <f t="shared" si="126"/>
        <v>2.9333728568522011E-2</v>
      </c>
      <c r="C1647">
        <f t="shared" si="127"/>
        <v>0.53988851474219346</v>
      </c>
      <c r="D1647">
        <f t="shared" si="128"/>
        <v>60863.293089922132</v>
      </c>
      <c r="E1647">
        <f t="shared" si="129"/>
        <v>32859.392908636866</v>
      </c>
    </row>
    <row r="1648" spans="1:5">
      <c r="A1648">
        <f t="shared" si="125"/>
        <v>0.99222867978525797</v>
      </c>
      <c r="B1648">
        <f t="shared" si="126"/>
        <v>0.70926332768221467</v>
      </c>
      <c r="C1648">
        <f t="shared" si="127"/>
        <v>1.7746805566734665</v>
      </c>
      <c r="D1648">
        <f t="shared" si="128"/>
        <v>66928.443164584707</v>
      </c>
      <c r="E1648">
        <f t="shared" si="129"/>
        <v>118776.60677261365</v>
      </c>
    </row>
    <row r="1649" spans="1:5">
      <c r="A1649">
        <f t="shared" si="125"/>
        <v>0.47635047749253268</v>
      </c>
      <c r="B1649">
        <f t="shared" si="126"/>
        <v>0.18324064853449507</v>
      </c>
      <c r="C1649">
        <f t="shared" si="127"/>
        <v>0.95496667799556911</v>
      </c>
      <c r="D1649">
        <f t="shared" si="128"/>
        <v>63316.249102701426</v>
      </c>
      <c r="E1649">
        <f t="shared" si="129"/>
        <v>60464.908068746714</v>
      </c>
    </row>
    <row r="1650" spans="1:5">
      <c r="A1650">
        <f t="shared" si="125"/>
        <v>0.46199254557784153</v>
      </c>
      <c r="B1650">
        <f t="shared" si="126"/>
        <v>0.45126569112536297</v>
      </c>
      <c r="C1650">
        <f t="shared" si="127"/>
        <v>0.94638692214740305</v>
      </c>
      <c r="D1650">
        <f t="shared" si="128"/>
        <v>65255.1306897834</v>
      </c>
      <c r="E1650">
        <f t="shared" si="129"/>
        <v>61756.602287830654</v>
      </c>
    </row>
    <row r="1651" spans="1:5">
      <c r="A1651">
        <f t="shared" si="125"/>
        <v>0.94915488404118398</v>
      </c>
      <c r="B1651">
        <f t="shared" si="126"/>
        <v>0.51333845545481882</v>
      </c>
      <c r="C1651">
        <f t="shared" si="127"/>
        <v>1.4592586203212143</v>
      </c>
      <c r="D1651">
        <f t="shared" si="128"/>
        <v>65642.363151908008</v>
      </c>
      <c r="E1651">
        <f t="shared" si="129"/>
        <v>95789.184287677403</v>
      </c>
    </row>
    <row r="1652" spans="1:5">
      <c r="A1652">
        <f t="shared" si="125"/>
        <v>0.93783749288256035</v>
      </c>
      <c r="B1652">
        <f t="shared" si="126"/>
        <v>0.36945894152286218</v>
      </c>
      <c r="C1652">
        <f t="shared" si="127"/>
        <v>1.4232850792421772</v>
      </c>
      <c r="D1652">
        <f t="shared" si="128"/>
        <v>64731.495744231594</v>
      </c>
      <c r="E1652">
        <f t="shared" si="129"/>
        <v>92131.372049793325</v>
      </c>
    </row>
    <row r="1653" spans="1:5">
      <c r="A1653">
        <f t="shared" si="125"/>
        <v>0.42804037210197043</v>
      </c>
      <c r="B1653">
        <f t="shared" si="126"/>
        <v>1.9627149329493498E-2</v>
      </c>
      <c r="C1653">
        <f t="shared" si="127"/>
        <v>0.92626828664914973</v>
      </c>
      <c r="D1653">
        <f t="shared" si="128"/>
        <v>60438.980289740721</v>
      </c>
      <c r="E1653">
        <f t="shared" si="129"/>
        <v>55982.71071979987</v>
      </c>
    </row>
    <row r="1654" spans="1:5">
      <c r="A1654">
        <f t="shared" si="125"/>
        <v>0.41976352169941489</v>
      </c>
      <c r="B1654">
        <f t="shared" si="126"/>
        <v>0.46384307887471188</v>
      </c>
      <c r="C1654">
        <f t="shared" si="127"/>
        <v>0.92138747407815824</v>
      </c>
      <c r="D1654">
        <f t="shared" si="128"/>
        <v>65333.885688374292</v>
      </c>
      <c r="E1654">
        <f t="shared" si="129"/>
        <v>60197.823906122321</v>
      </c>
    </row>
    <row r="1655" spans="1:5">
      <c r="A1655">
        <f t="shared" si="125"/>
        <v>0.91300694167489238</v>
      </c>
      <c r="B1655">
        <f t="shared" si="126"/>
        <v>0.70210673015851821</v>
      </c>
      <c r="C1655">
        <f t="shared" si="127"/>
        <v>1.361553934982376</v>
      </c>
      <c r="D1655">
        <f t="shared" si="128"/>
        <v>66876.86881253701</v>
      </c>
      <c r="E1655">
        <f t="shared" si="129"/>
        <v>91056.463891009902</v>
      </c>
    </row>
    <row r="1656" spans="1:5">
      <c r="A1656">
        <f t="shared" si="125"/>
        <v>0.90777063202840402</v>
      </c>
      <c r="B1656">
        <f t="shared" si="126"/>
        <v>0.7344181031809125</v>
      </c>
      <c r="C1656">
        <f t="shared" si="127"/>
        <v>1.3505848910446752</v>
      </c>
      <c r="D1656">
        <f t="shared" si="128"/>
        <v>67114.717506870918</v>
      </c>
      <c r="E1656">
        <f t="shared" si="129"/>
        <v>90644.123431511412</v>
      </c>
    </row>
    <row r="1657" spans="1:5">
      <c r="A1657">
        <f t="shared" si="125"/>
        <v>0.40405459275994937</v>
      </c>
      <c r="B1657">
        <f t="shared" si="126"/>
        <v>0.56077719794189407</v>
      </c>
      <c r="C1657">
        <f t="shared" si="127"/>
        <v>0.91213569979852926</v>
      </c>
      <c r="D1657">
        <f t="shared" si="128"/>
        <v>65939.171917593339</v>
      </c>
      <c r="E1657">
        <f t="shared" si="129"/>
        <v>60145.47272118953</v>
      </c>
    </row>
    <row r="1658" spans="1:5">
      <c r="A1658">
        <f t="shared" si="125"/>
        <v>0.40185882386952887</v>
      </c>
      <c r="B1658">
        <f t="shared" si="126"/>
        <v>0.18118401444146359</v>
      </c>
      <c r="C1658">
        <f t="shared" si="127"/>
        <v>0.91084305929591813</v>
      </c>
      <c r="D1658">
        <f t="shared" si="128"/>
        <v>63296.930121092824</v>
      </c>
      <c r="E1658">
        <f t="shared" si="129"/>
        <v>57653.56947553614</v>
      </c>
    </row>
    <row r="1659" spans="1:5">
      <c r="A1659">
        <f t="shared" si="125"/>
        <v>0.90118332535714174</v>
      </c>
      <c r="B1659">
        <f t="shared" si="126"/>
        <v>0.59563855267962085</v>
      </c>
      <c r="C1659">
        <f t="shared" si="127"/>
        <v>1.3375383793677467</v>
      </c>
      <c r="D1659">
        <f t="shared" si="128"/>
        <v>66160.560258612706</v>
      </c>
      <c r="E1659">
        <f t="shared" si="129"/>
        <v>88492.288546366981</v>
      </c>
    </row>
    <row r="1660" spans="1:5">
      <c r="A1660">
        <f t="shared" si="125"/>
        <v>0.90202809722278898</v>
      </c>
      <c r="B1660">
        <f t="shared" si="126"/>
        <v>0.80414081265636583</v>
      </c>
      <c r="C1660">
        <f t="shared" si="127"/>
        <v>1.3391681252383563</v>
      </c>
      <c r="D1660">
        <f t="shared" si="128"/>
        <v>67686.667556997927</v>
      </c>
      <c r="E1660">
        <f t="shared" si="129"/>
        <v>90643.827695936779</v>
      </c>
    </row>
    <row r="1661" spans="1:5">
      <c r="A1661">
        <f t="shared" si="125"/>
        <v>0.40439313946646949</v>
      </c>
      <c r="B1661">
        <f t="shared" si="126"/>
        <v>0.80669079437169833</v>
      </c>
      <c r="C1661">
        <f t="shared" si="127"/>
        <v>0.91233500452199834</v>
      </c>
      <c r="D1661">
        <f t="shared" si="128"/>
        <v>67709.669560875409</v>
      </c>
      <c r="E1661">
        <f t="shared" si="129"/>
        <v>61773.901685004283</v>
      </c>
    </row>
    <row r="1662" spans="1:5">
      <c r="A1662">
        <f t="shared" si="125"/>
        <v>0.40827845208818414</v>
      </c>
      <c r="B1662">
        <f t="shared" si="126"/>
        <v>0.60328849782561855</v>
      </c>
      <c r="C1662">
        <f t="shared" si="127"/>
        <v>0.91462245195537151</v>
      </c>
      <c r="D1662">
        <f t="shared" si="128"/>
        <v>66209.724932705198</v>
      </c>
      <c r="E1662">
        <f t="shared" si="129"/>
        <v>60556.900961241525</v>
      </c>
    </row>
    <row r="1663" spans="1:5">
      <c r="A1663">
        <f t="shared" si="125"/>
        <v>0.9136840350879325</v>
      </c>
      <c r="B1663">
        <f t="shared" si="126"/>
        <v>0.19393392301812673</v>
      </c>
      <c r="C1663">
        <f t="shared" si="127"/>
        <v>1.3630146223021293</v>
      </c>
      <c r="D1663">
        <f t="shared" si="128"/>
        <v>63414.590436131686</v>
      </c>
      <c r="E1663">
        <f t="shared" si="129"/>
        <v>86435.014031748258</v>
      </c>
    </row>
    <row r="1664" spans="1:5">
      <c r="A1664">
        <f t="shared" si="125"/>
        <v>0.92060988846571479</v>
      </c>
      <c r="B1664">
        <f t="shared" si="126"/>
        <v>0.57862706994922197</v>
      </c>
      <c r="C1664">
        <f t="shared" si="127"/>
        <v>1.3785696284275133</v>
      </c>
      <c r="D1664">
        <f t="shared" si="128"/>
        <v>66052.040598901876</v>
      </c>
      <c r="E1664">
        <f t="shared" si="129"/>
        <v>91057.337065307176</v>
      </c>
    </row>
    <row r="1665" spans="1:5">
      <c r="A1665">
        <f t="shared" si="125"/>
        <v>0.429056012221531</v>
      </c>
      <c r="B1665">
        <f t="shared" si="126"/>
        <v>0.75736793861890539</v>
      </c>
      <c r="C1665">
        <f t="shared" si="127"/>
        <v>0.92686764747320793</v>
      </c>
      <c r="D1665">
        <f t="shared" si="128"/>
        <v>67292.631456216346</v>
      </c>
      <c r="E1665">
        <f t="shared" si="129"/>
        <v>62371.363010104833</v>
      </c>
    </row>
    <row r="1666" spans="1:5">
      <c r="A1666">
        <f t="shared" si="125"/>
        <v>0.43902240635538092</v>
      </c>
      <c r="B1666">
        <f t="shared" si="126"/>
        <v>0.73015652902717632</v>
      </c>
      <c r="C1666">
        <f t="shared" si="127"/>
        <v>0.93275560513044364</v>
      </c>
      <c r="D1666">
        <f t="shared" si="128"/>
        <v>67082.567583608601</v>
      </c>
      <c r="E1666">
        <f t="shared" si="129"/>
        <v>62571.64092015272</v>
      </c>
    </row>
    <row r="1667" spans="1:5">
      <c r="A1667">
        <f t="shared" si="125"/>
        <v>0.95050907086726477</v>
      </c>
      <c r="B1667">
        <f t="shared" si="126"/>
        <v>0.49699284117403519</v>
      </c>
      <c r="C1667">
        <f t="shared" si="127"/>
        <v>1.4640439451420744</v>
      </c>
      <c r="D1667">
        <f t="shared" si="128"/>
        <v>65540.581451791149</v>
      </c>
      <c r="E1667">
        <f t="shared" si="129"/>
        <v>95954.291435585779</v>
      </c>
    </row>
    <row r="1668" spans="1:5">
      <c r="A1668">
        <f t="shared" si="125"/>
        <v>0.9635160057571821</v>
      </c>
      <c r="B1668">
        <f t="shared" si="126"/>
        <v>5.7876875059481581E-2</v>
      </c>
      <c r="C1668">
        <f t="shared" si="127"/>
        <v>1.5174142227173493</v>
      </c>
      <c r="D1668">
        <f t="shared" si="128"/>
        <v>61652.70528833256</v>
      </c>
      <c r="E1668">
        <f t="shared" si="129"/>
        <v>93552.69187351696</v>
      </c>
    </row>
    <row r="1669" spans="1:5">
      <c r="A1669">
        <f t="shared" si="125"/>
        <v>0.47804321102513381</v>
      </c>
      <c r="B1669">
        <f t="shared" si="126"/>
        <v>0.41280863068351548</v>
      </c>
      <c r="C1669">
        <f t="shared" si="127"/>
        <v>0.95598186968570176</v>
      </c>
      <c r="D1669">
        <f t="shared" si="128"/>
        <v>65012.064307688481</v>
      </c>
      <c r="E1669">
        <f t="shared" si="129"/>
        <v>62150.354788991113</v>
      </c>
    </row>
    <row r="1670" spans="1:5">
      <c r="A1670">
        <f t="shared" si="125"/>
        <v>0.49409068667111899</v>
      </c>
      <c r="B1670">
        <f t="shared" si="126"/>
        <v>0.56178810804613732</v>
      </c>
      <c r="C1670">
        <f t="shared" si="127"/>
        <v>0.96565056091610613</v>
      </c>
      <c r="D1670">
        <f t="shared" si="128"/>
        <v>65945.541031760426</v>
      </c>
      <c r="E1670">
        <f t="shared" si="129"/>
        <v>63680.34868723555</v>
      </c>
    </row>
    <row r="1671" spans="1:5">
      <c r="A1671">
        <f t="shared" si="125"/>
        <v>1.165843269513811E-2</v>
      </c>
      <c r="B1671">
        <f t="shared" si="126"/>
        <v>0.5048153071473469</v>
      </c>
      <c r="C1671">
        <f t="shared" si="127"/>
        <v>0.54974506177645344</v>
      </c>
      <c r="D1671">
        <f t="shared" si="128"/>
        <v>65589.28419284882</v>
      </c>
      <c r="E1671">
        <f t="shared" si="129"/>
        <v>36057.385090471034</v>
      </c>
    </row>
    <row r="1672" spans="1:5">
      <c r="A1672">
        <f t="shared" si="125"/>
        <v>3.0746449097191153E-2</v>
      </c>
      <c r="B1672">
        <f t="shared" si="126"/>
        <v>0.24189022798714399</v>
      </c>
      <c r="C1672">
        <f t="shared" si="127"/>
        <v>0.60729922405556291</v>
      </c>
      <c r="D1672">
        <f t="shared" si="128"/>
        <v>63820.079436857064</v>
      </c>
      <c r="E1672">
        <f t="shared" si="129"/>
        <v>38757.884721167684</v>
      </c>
    </row>
    <row r="1673" spans="1:5">
      <c r="A1673">
        <f t="shared" si="125"/>
        <v>0.55135473587727768</v>
      </c>
      <c r="B1673">
        <f t="shared" si="126"/>
        <v>0.77301287056552859</v>
      </c>
      <c r="C1673">
        <f t="shared" si="127"/>
        <v>1.0010217282358884</v>
      </c>
      <c r="D1673">
        <f t="shared" si="128"/>
        <v>67419.166725139439</v>
      </c>
      <c r="E1673">
        <f t="shared" si="129"/>
        <v>67488.050791422589</v>
      </c>
    </row>
    <row r="1674" spans="1:5">
      <c r="A1674">
        <f t="shared" si="125"/>
        <v>0.57348329303539836</v>
      </c>
      <c r="B1674">
        <f t="shared" si="126"/>
        <v>9.8183234882501136E-2</v>
      </c>
      <c r="C1674">
        <f t="shared" si="127"/>
        <v>1.0151763621360672</v>
      </c>
      <c r="D1674">
        <f t="shared" si="128"/>
        <v>62350.337422321398</v>
      </c>
      <c r="E1674">
        <f t="shared" si="129"/>
        <v>63296.588722348533</v>
      </c>
    </row>
    <row r="1675" spans="1:5">
      <c r="A1675">
        <f t="shared" si="125"/>
        <v>9.7132120571552738E-2</v>
      </c>
      <c r="B1675">
        <f t="shared" si="126"/>
        <v>0.21740132093806119</v>
      </c>
      <c r="C1675">
        <f t="shared" si="127"/>
        <v>0.700635987978526</v>
      </c>
      <c r="D1675">
        <f t="shared" si="128"/>
        <v>63619.478620815971</v>
      </c>
      <c r="E1675">
        <f t="shared" si="129"/>
        <v>44574.096258174111</v>
      </c>
    </row>
    <row r="1676" spans="1:5">
      <c r="A1676">
        <f t="shared" si="125"/>
        <v>0.12230121848574083</v>
      </c>
      <c r="B1676">
        <f t="shared" si="126"/>
        <v>0.1306671287322092</v>
      </c>
      <c r="C1676">
        <f t="shared" si="127"/>
        <v>0.72459676981401566</v>
      </c>
      <c r="D1676">
        <f t="shared" si="128"/>
        <v>62769.424165521472</v>
      </c>
      <c r="E1676">
        <f t="shared" si="129"/>
        <v>45482.521993422677</v>
      </c>
    </row>
    <row r="1677" spans="1:5">
      <c r="A1677">
        <f t="shared" si="125"/>
        <v>0.64899058677796262</v>
      </c>
      <c r="B1677">
        <f t="shared" si="126"/>
        <v>0.83798065826494461</v>
      </c>
      <c r="C1677">
        <f t="shared" si="127"/>
        <v>1.0665180379074841</v>
      </c>
      <c r="D1677">
        <f t="shared" si="128"/>
        <v>68008.781004749559</v>
      </c>
      <c r="E1677">
        <f t="shared" si="129"/>
        <v>72532.591677665274</v>
      </c>
    </row>
    <row r="1678" spans="1:5">
      <c r="A1678">
        <f t="shared" si="125"/>
        <v>0.67720022544821878</v>
      </c>
      <c r="B1678">
        <f t="shared" si="126"/>
        <v>0.33934190953626775</v>
      </c>
      <c r="C1678">
        <f t="shared" si="127"/>
        <v>1.0873254635012137</v>
      </c>
      <c r="D1678">
        <f t="shared" si="128"/>
        <v>64530.376905591387</v>
      </c>
      <c r="E1678">
        <f t="shared" si="129"/>
        <v>70165.521978780176</v>
      </c>
    </row>
    <row r="1679" spans="1:5">
      <c r="A1679">
        <f t="shared" si="125"/>
        <v>0.20693013449650843</v>
      </c>
      <c r="B1679">
        <f t="shared" si="126"/>
        <v>0.63475088254617895</v>
      </c>
      <c r="C1679">
        <f t="shared" si="127"/>
        <v>0.79015210138430492</v>
      </c>
      <c r="D1679">
        <f t="shared" si="128"/>
        <v>66414.871019748083</v>
      </c>
      <c r="E1679">
        <f t="shared" si="129"/>
        <v>52477.849899421519</v>
      </c>
    </row>
    <row r="1680" spans="1:5">
      <c r="A1680">
        <f t="shared" ref="A1680:A1743" si="130">IFERROR(MOD(MOD(($E$8+((ROW()-15)*(ROW()-14)/2)*13)*171,30269)/30269+MOD(($E$8+((ROW()-15)*(ROW()-14)/2)*29)*172,30307)/30307+MOD(($E$8+((ROW()-15)*(ROW()-14)/2)*47)*170,30323)/30323,1),0.5)</f>
        <v>0.23818031392283195</v>
      </c>
      <c r="B1680">
        <f t="shared" ref="B1680:B1743" si="131">IFERROR(MOD(MOD(($E$8+((ROW()-15)*(ROW()-14)/2)*17)*171,30269)/30269+MOD(($E$8+((ROW()-15)*(ROW()-14)/2)*41)*172,30307)/30307+MOD(($E$8+((ROW()-15)*(ROW()-14)/2)*83)*170,30323)/30323,1),0.5)</f>
        <v>0.72420757729467744</v>
      </c>
      <c r="C1680">
        <f t="shared" ref="C1680:C1743" si="132">IFERROR(EXP($E$4*NORMSINV(MIN(MAX(A1680,0.000000001),0.999999999))-$E$4^2/2),1)</f>
        <v>0.81115830280579948</v>
      </c>
      <c r="D1680">
        <f t="shared" ref="D1680:D1743" si="133">IFERROR($B$5+$E$5*NORMSINV(MIN(MAX(B1680,0.000000001),0.999999999)),$B$5)</f>
        <v>67038.109277653304</v>
      </c>
      <c r="E1680">
        <f t="shared" ref="E1680:E1743" si="134">IFERROR(C1680*MAX(D1680,0),0)</f>
        <v>54378.518944970972</v>
      </c>
    </row>
    <row r="1681" spans="1:5">
      <c r="A1681">
        <f t="shared" si="130"/>
        <v>0.77095076372718951</v>
      </c>
      <c r="B1681">
        <f t="shared" si="131"/>
        <v>0.60771199378176388</v>
      </c>
      <c r="C1681">
        <f t="shared" si="132"/>
        <v>1.1667771842157484</v>
      </c>
      <c r="D1681">
        <f t="shared" si="133"/>
        <v>66238.269340925661</v>
      </c>
      <c r="E1681">
        <f t="shared" si="134"/>
        <v>77285.301388929583</v>
      </c>
    </row>
    <row r="1682" spans="1:5">
      <c r="A1682">
        <f t="shared" si="130"/>
        <v>0.8052414839095805</v>
      </c>
      <c r="B1682">
        <f t="shared" si="131"/>
        <v>0.28526413200743761</v>
      </c>
      <c r="C1682">
        <f t="shared" si="132"/>
        <v>1.2018636453882989</v>
      </c>
      <c r="D1682">
        <f t="shared" si="133"/>
        <v>64150.32546292284</v>
      </c>
      <c r="E1682">
        <f t="shared" si="134"/>
        <v>77099.944013714252</v>
      </c>
    </row>
    <row r="1683" spans="1:5">
      <c r="A1683">
        <f t="shared" si="130"/>
        <v>0.34105247447000542</v>
      </c>
      <c r="B1683">
        <f t="shared" si="131"/>
        <v>0.7568639919716994</v>
      </c>
      <c r="C1683">
        <f t="shared" si="132"/>
        <v>0.87489787985256118</v>
      </c>
      <c r="D1683">
        <f t="shared" si="133"/>
        <v>67288.631132078241</v>
      </c>
      <c r="E1683">
        <f t="shared" si="134"/>
        <v>58870.680715636299</v>
      </c>
    </row>
    <row r="1684" spans="1:5">
      <c r="A1684">
        <f t="shared" si="130"/>
        <v>0.37838373540846426</v>
      </c>
      <c r="B1684">
        <f t="shared" si="131"/>
        <v>2.2511573674548924E-2</v>
      </c>
      <c r="C1684">
        <f t="shared" si="132"/>
        <v>0.89701552362871517</v>
      </c>
      <c r="D1684">
        <f t="shared" si="133"/>
        <v>60580.73669102139</v>
      </c>
      <c r="E1684">
        <f t="shared" si="134"/>
        <v>54341.861244709871</v>
      </c>
    </row>
    <row r="1685" spans="1:5">
      <c r="A1685">
        <f t="shared" si="130"/>
        <v>0.91723526672495681</v>
      </c>
      <c r="B1685">
        <f t="shared" si="131"/>
        <v>8.2206877115985844E-2</v>
      </c>
      <c r="C1685">
        <f t="shared" si="132"/>
        <v>1.3708460573532599</v>
      </c>
      <c r="D1685">
        <f t="shared" si="133"/>
        <v>62105.919005738397</v>
      </c>
      <c r="E1685">
        <f t="shared" si="134"/>
        <v>85137.654207317377</v>
      </c>
    </row>
    <row r="1686" spans="1:5">
      <c r="A1686">
        <f t="shared" si="130"/>
        <v>0.95760706841948329</v>
      </c>
      <c r="B1686">
        <f t="shared" si="131"/>
        <v>0.93594990229601072</v>
      </c>
      <c r="C1686">
        <f t="shared" si="132"/>
        <v>1.4912907124894814</v>
      </c>
      <c r="D1686">
        <f t="shared" si="133"/>
        <v>69338.701819733848</v>
      </c>
      <c r="E1686">
        <f t="shared" si="134"/>
        <v>103404.16203984659</v>
      </c>
    </row>
    <row r="1687" spans="1:5">
      <c r="A1687">
        <f t="shared" si="130"/>
        <v>0.49949914049204391</v>
      </c>
      <c r="B1687">
        <f t="shared" si="131"/>
        <v>0.5837406492146231</v>
      </c>
      <c r="C1687">
        <f t="shared" si="132"/>
        <v>0.96892907165827324</v>
      </c>
      <c r="D1687">
        <f t="shared" si="133"/>
        <v>66084.55297886068</v>
      </c>
      <c r="E1687">
        <f t="shared" si="134"/>
        <v>64031.244568759452</v>
      </c>
    </row>
    <row r="1688" spans="1:5">
      <c r="A1688">
        <f t="shared" si="130"/>
        <v>0.54291148294263802</v>
      </c>
      <c r="B1688">
        <f t="shared" si="131"/>
        <v>2.5579117871822987E-2</v>
      </c>
      <c r="C1688">
        <f t="shared" si="132"/>
        <v>0.99570211124473917</v>
      </c>
      <c r="D1688">
        <f t="shared" si="133"/>
        <v>60715.575888915373</v>
      </c>
      <c r="E1688">
        <f t="shared" si="134"/>
        <v>60454.627098033219</v>
      </c>
    </row>
    <row r="1689" spans="1:5">
      <c r="A1689">
        <f t="shared" si="130"/>
        <v>8.7844095771266062E-2</v>
      </c>
      <c r="B1689">
        <f t="shared" si="131"/>
        <v>0.26146530826761083</v>
      </c>
      <c r="C1689">
        <f t="shared" si="132"/>
        <v>0.69088094558799429</v>
      </c>
      <c r="D1689">
        <f t="shared" si="133"/>
        <v>63972.584733296964</v>
      </c>
      <c r="E1689">
        <f t="shared" si="134"/>
        <v>44197.439832248296</v>
      </c>
    </row>
    <row r="1690" spans="1:5">
      <c r="A1690">
        <f t="shared" si="130"/>
        <v>0.13429697897792803</v>
      </c>
      <c r="B1690">
        <f t="shared" si="131"/>
        <v>0.2913992204019864</v>
      </c>
      <c r="C1690">
        <f t="shared" si="132"/>
        <v>0.7350427783834641</v>
      </c>
      <c r="D1690">
        <f t="shared" si="133"/>
        <v>64194.963805505038</v>
      </c>
      <c r="E1690">
        <f t="shared" si="134"/>
        <v>47186.044553824337</v>
      </c>
    </row>
    <row r="1691" spans="1:5">
      <c r="A1691">
        <f t="shared" si="130"/>
        <v>0.68227013256262337</v>
      </c>
      <c r="B1691">
        <f t="shared" si="131"/>
        <v>0.11538085427494971</v>
      </c>
      <c r="C1691">
        <f t="shared" si="132"/>
        <v>1.091184805934206</v>
      </c>
      <c r="D1691">
        <f t="shared" si="133"/>
        <v>62582.753995517764</v>
      </c>
      <c r="E1691">
        <f t="shared" si="134"/>
        <v>68289.350273427204</v>
      </c>
    </row>
    <row r="1692" spans="1:5">
      <c r="A1692">
        <f t="shared" si="130"/>
        <v>0.73176355652535285</v>
      </c>
      <c r="B1692">
        <f t="shared" si="131"/>
        <v>0.7334102098865003</v>
      </c>
      <c r="C1692">
        <f t="shared" si="132"/>
        <v>1.1312111324491296</v>
      </c>
      <c r="D1692">
        <f t="shared" si="133"/>
        <v>67107.090454925798</v>
      </c>
      <c r="E1692">
        <f t="shared" si="134"/>
        <v>75912.287788882793</v>
      </c>
    </row>
    <row r="1693" spans="1:5">
      <c r="A1693">
        <f t="shared" si="130"/>
        <v>0.28277725086611616</v>
      </c>
      <c r="B1693">
        <f t="shared" si="131"/>
        <v>0.14548728723663906</v>
      </c>
      <c r="C1693">
        <f t="shared" si="132"/>
        <v>0.83953869009490711</v>
      </c>
      <c r="D1693">
        <f t="shared" si="133"/>
        <v>62936.475291934468</v>
      </c>
      <c r="E1693">
        <f t="shared" si="134"/>
        <v>52837.606025781148</v>
      </c>
    </row>
    <row r="1694" spans="1:5">
      <c r="A1694">
        <f t="shared" si="130"/>
        <v>0.33531121558491339</v>
      </c>
      <c r="B1694">
        <f t="shared" si="131"/>
        <v>0.35161208632536511</v>
      </c>
      <c r="C1694">
        <f t="shared" si="132"/>
        <v>0.87147031378293671</v>
      </c>
      <c r="D1694">
        <f t="shared" si="133"/>
        <v>64613.056810667586</v>
      </c>
      <c r="E1694">
        <f t="shared" si="134"/>
        <v>56308.3608932672</v>
      </c>
    </row>
    <row r="1695" spans="1:5">
      <c r="A1695">
        <f t="shared" si="130"/>
        <v>0.88936545068174422</v>
      </c>
      <c r="B1695">
        <f t="shared" si="131"/>
        <v>0.3517846071526789</v>
      </c>
      <c r="C1695">
        <f t="shared" si="132"/>
        <v>1.3159253595373579</v>
      </c>
      <c r="D1695">
        <f t="shared" si="133"/>
        <v>64614.211649494893</v>
      </c>
      <c r="E1695">
        <f t="shared" si="134"/>
        <v>85027.479696084512</v>
      </c>
    </row>
    <row r="1696" spans="1:5">
      <c r="A1696">
        <f t="shared" si="130"/>
        <v>0.94493995615660897</v>
      </c>
      <c r="B1696">
        <f t="shared" si="131"/>
        <v>0.14600484971858041</v>
      </c>
      <c r="C1696">
        <f t="shared" si="132"/>
        <v>1.4450781500700747</v>
      </c>
      <c r="D1696">
        <f t="shared" si="133"/>
        <v>62942.095962339823</v>
      </c>
      <c r="E1696">
        <f t="shared" si="134"/>
        <v>90956.247594791144</v>
      </c>
    </row>
    <row r="1697" spans="1:5">
      <c r="A1697">
        <f t="shared" si="130"/>
        <v>0.50203473200950754</v>
      </c>
      <c r="B1697">
        <f t="shared" si="131"/>
        <v>0.73427281402306999</v>
      </c>
      <c r="C1697">
        <f t="shared" si="132"/>
        <v>0.97046987721296418</v>
      </c>
      <c r="D1697">
        <f t="shared" si="133"/>
        <v>67113.617153742802</v>
      </c>
      <c r="E1697">
        <f t="shared" si="134"/>
        <v>65131.743798510666</v>
      </c>
    </row>
    <row r="1698" spans="1:5">
      <c r="A1698">
        <f t="shared" si="130"/>
        <v>0.56064977824044004</v>
      </c>
      <c r="B1698">
        <f t="shared" si="131"/>
        <v>0.11658850006614685</v>
      </c>
      <c r="C1698">
        <f t="shared" si="132"/>
        <v>1.0069280992147389</v>
      </c>
      <c r="D1698">
        <f t="shared" si="133"/>
        <v>62598.114021096582</v>
      </c>
      <c r="E1698">
        <f t="shared" si="134"/>
        <v>63031.799965690276</v>
      </c>
    </row>
    <row r="1699" spans="1:5">
      <c r="A1699">
        <f t="shared" si="130"/>
        <v>0.12078509484940625</v>
      </c>
      <c r="B1699">
        <f t="shared" si="131"/>
        <v>0.29295190784781155</v>
      </c>
      <c r="C1699">
        <f t="shared" si="132"/>
        <v>0.72323738242568969</v>
      </c>
      <c r="D1699">
        <f t="shared" si="133"/>
        <v>64206.190922179514</v>
      </c>
      <c r="E1699">
        <f t="shared" si="134"/>
        <v>46436.31745808119</v>
      </c>
    </row>
    <row r="1700" spans="1:5">
      <c r="A1700">
        <f t="shared" si="130"/>
        <v>0.18244068183640616</v>
      </c>
      <c r="B1700">
        <f t="shared" si="131"/>
        <v>0.26336303736806377</v>
      </c>
      <c r="C1700">
        <f t="shared" si="132"/>
        <v>0.77276851553301329</v>
      </c>
      <c r="D1700">
        <f t="shared" si="133"/>
        <v>63987.047459498805</v>
      </c>
      <c r="E1700">
        <f t="shared" si="134"/>
        <v>49447.175678617357</v>
      </c>
    </row>
    <row r="1701" spans="1:5">
      <c r="A1701">
        <f t="shared" si="130"/>
        <v>0.74561653920144022</v>
      </c>
      <c r="B1701">
        <f t="shared" si="131"/>
        <v>2.7821888626903934E-2</v>
      </c>
      <c r="C1701">
        <f t="shared" si="132"/>
        <v>1.143323913815274</v>
      </c>
      <c r="D1701">
        <f t="shared" si="133"/>
        <v>60805.82349153766</v>
      </c>
      <c r="E1701">
        <f t="shared" si="134"/>
        <v>69520.752097105564</v>
      </c>
    </row>
    <row r="1702" spans="1:5">
      <c r="A1702">
        <f t="shared" si="130"/>
        <v>0.81031266694450776</v>
      </c>
      <c r="B1702">
        <f t="shared" si="131"/>
        <v>0.58632846162433161</v>
      </c>
      <c r="C1702">
        <f t="shared" si="132"/>
        <v>1.2074518977169892</v>
      </c>
      <c r="D1702">
        <f t="shared" si="133"/>
        <v>66101.040423976621</v>
      </c>
      <c r="E1702">
        <f t="shared" si="134"/>
        <v>79813.82670099799</v>
      </c>
    </row>
    <row r="1703" spans="1:5">
      <c r="A1703">
        <f t="shared" si="130"/>
        <v>0.37652906506560946</v>
      </c>
      <c r="B1703">
        <f t="shared" si="131"/>
        <v>0.93888275636034679</v>
      </c>
      <c r="C1703">
        <f t="shared" si="132"/>
        <v>0.89592158501615671</v>
      </c>
      <c r="D1703">
        <f t="shared" si="133"/>
        <v>69397.879696754957</v>
      </c>
      <c r="E1703">
        <f t="shared" si="134"/>
        <v>62175.058374677261</v>
      </c>
    </row>
    <row r="1704" spans="1:5">
      <c r="A1704">
        <f t="shared" si="130"/>
        <v>0.44426573356474508</v>
      </c>
      <c r="B1704">
        <f t="shared" si="131"/>
        <v>8.5484772834950373E-2</v>
      </c>
      <c r="C1704">
        <f t="shared" si="132"/>
        <v>0.93585880143322797</v>
      </c>
      <c r="D1704">
        <f t="shared" si="133"/>
        <v>62158.783863886005</v>
      </c>
      <c r="E1704">
        <f t="shared" si="134"/>
        <v>58171.844965403427</v>
      </c>
    </row>
    <row r="1705" spans="1:5">
      <c r="A1705">
        <f t="shared" si="130"/>
        <v>1.3522672441914185E-2</v>
      </c>
      <c r="B1705">
        <f t="shared" si="131"/>
        <v>2.6134511048141018E-2</v>
      </c>
      <c r="C1705">
        <f t="shared" si="132"/>
        <v>0.55768238550863347</v>
      </c>
      <c r="D1705">
        <f t="shared" si="133"/>
        <v>60738.522561030943</v>
      </c>
      <c r="E1705">
        <f t="shared" si="134"/>
        <v>33872.804154105688</v>
      </c>
    </row>
    <row r="1706" spans="1:5">
      <c r="A1706">
        <f t="shared" si="130"/>
        <v>8.4299881697117218E-2</v>
      </c>
      <c r="B1706">
        <f t="shared" si="131"/>
        <v>0.76083197099991939</v>
      </c>
      <c r="C1706">
        <f t="shared" si="132"/>
        <v>0.6869943246673238</v>
      </c>
      <c r="D1706">
        <f t="shared" si="133"/>
        <v>67320.251824784631</v>
      </c>
      <c r="E1706">
        <f t="shared" si="134"/>
        <v>46248.630938802089</v>
      </c>
    </row>
    <row r="1707" spans="1:5">
      <c r="A1707">
        <f t="shared" si="130"/>
        <v>0.65659736133035407</v>
      </c>
      <c r="B1707">
        <f t="shared" si="131"/>
        <v>0.2895771526902855</v>
      </c>
      <c r="C1707">
        <f t="shared" si="132"/>
        <v>1.0720241390664766</v>
      </c>
      <c r="D1707">
        <f t="shared" si="133"/>
        <v>64181.753197248916</v>
      </c>
      <c r="E1707">
        <f t="shared" si="134"/>
        <v>68804.388715057852</v>
      </c>
    </row>
    <row r="1708" spans="1:5">
      <c r="A1708">
        <f t="shared" si="130"/>
        <v>0.73041511134162485</v>
      </c>
      <c r="B1708">
        <f t="shared" si="131"/>
        <v>0.61237005611923934</v>
      </c>
      <c r="C1708">
        <f t="shared" si="132"/>
        <v>1.1300560496661243</v>
      </c>
      <c r="D1708">
        <f t="shared" si="133"/>
        <v>66268.424709429601</v>
      </c>
      <c r="E1708">
        <f t="shared" si="134"/>
        <v>74887.034244734998</v>
      </c>
    </row>
    <row r="1709" spans="1:5">
      <c r="A1709">
        <f t="shared" si="130"/>
        <v>0.30575313173092944</v>
      </c>
      <c r="B1709">
        <f t="shared" si="131"/>
        <v>0.7292106812867809</v>
      </c>
      <c r="C1709">
        <f t="shared" si="132"/>
        <v>0.85365245000406254</v>
      </c>
      <c r="D1709">
        <f t="shared" si="133"/>
        <v>67075.466638357364</v>
      </c>
      <c r="E1709">
        <f t="shared" si="134"/>
        <v>57259.136430999526</v>
      </c>
    </row>
    <row r="1710" spans="1:5">
      <c r="A1710">
        <f t="shared" si="130"/>
        <v>0.38261142249826774</v>
      </c>
      <c r="B1710">
        <f t="shared" si="131"/>
        <v>0.6400990281929102</v>
      </c>
      <c r="C1710">
        <f t="shared" si="132"/>
        <v>0.89950798789025521</v>
      </c>
      <c r="D1710">
        <f t="shared" si="133"/>
        <v>66450.291248011868</v>
      </c>
      <c r="E1710">
        <f t="shared" si="134"/>
        <v>59772.567775220588</v>
      </c>
    </row>
    <row r="1711" spans="1:5">
      <c r="A1711">
        <f t="shared" si="130"/>
        <v>0.96098998364363986</v>
      </c>
      <c r="B1711">
        <f t="shared" si="131"/>
        <v>0.34503509683762701</v>
      </c>
      <c r="C1711">
        <f t="shared" si="132"/>
        <v>1.5057978856956316</v>
      </c>
      <c r="D1711">
        <f t="shared" si="133"/>
        <v>64568.875456566639</v>
      </c>
      <c r="E1711">
        <f t="shared" si="134"/>
        <v>97227.676144242607</v>
      </c>
    </row>
    <row r="1712" spans="1:5">
      <c r="A1712">
        <f t="shared" si="130"/>
        <v>4.0888815167045678E-2</v>
      </c>
      <c r="B1712">
        <f t="shared" si="131"/>
        <v>0.84401888722093166</v>
      </c>
      <c r="C1712">
        <f t="shared" si="132"/>
        <v>0.62727770689124751</v>
      </c>
      <c r="D1712">
        <f t="shared" si="133"/>
        <v>68070.678608008093</v>
      </c>
      <c r="E1712">
        <f t="shared" si="134"/>
        <v>42699.219183762412</v>
      </c>
    </row>
    <row r="1713" spans="1:5">
      <c r="A1713">
        <f t="shared" si="130"/>
        <v>0.62230791706848576</v>
      </c>
      <c r="B1713">
        <f t="shared" si="131"/>
        <v>0.13705039934282381</v>
      </c>
      <c r="C1713">
        <f t="shared" si="132"/>
        <v>1.0477415728174204</v>
      </c>
      <c r="D1713">
        <f t="shared" si="133"/>
        <v>62842.883043896298</v>
      </c>
      <c r="E1713">
        <f t="shared" si="134"/>
        <v>65843.101120793101</v>
      </c>
    </row>
    <row r="1714" spans="1:5">
      <c r="A1714">
        <f t="shared" si="130"/>
        <v>0.70524728934795933</v>
      </c>
      <c r="B1714">
        <f t="shared" si="131"/>
        <v>0.22412963320330404</v>
      </c>
      <c r="C1714">
        <f t="shared" si="132"/>
        <v>1.1091990956236972</v>
      </c>
      <c r="D1714">
        <f t="shared" si="133"/>
        <v>63675.809238586924</v>
      </c>
      <c r="E1714">
        <f t="shared" si="134"/>
        <v>70629.150020547677</v>
      </c>
    </row>
    <row r="1715" spans="1:5">
      <c r="A1715">
        <f t="shared" si="130"/>
        <v>0.28970693200546682</v>
      </c>
      <c r="B1715">
        <f t="shared" si="131"/>
        <v>0.10525658880237154</v>
      </c>
      <c r="C1715">
        <f t="shared" si="132"/>
        <v>0.84382489918822368</v>
      </c>
      <c r="D1715">
        <f t="shared" si="133"/>
        <v>62449.234988710654</v>
      </c>
      <c r="E1715">
        <f t="shared" si="134"/>
        <v>52696.219418730456</v>
      </c>
    </row>
    <row r="1716" spans="1:5">
      <c r="A1716">
        <f t="shared" si="130"/>
        <v>0.37568684504100824</v>
      </c>
      <c r="B1716">
        <f t="shared" si="131"/>
        <v>0.78043126614002656</v>
      </c>
      <c r="C1716">
        <f t="shared" si="132"/>
        <v>0.89542470670037166</v>
      </c>
      <c r="D1716">
        <f t="shared" si="133"/>
        <v>67480.875409326007</v>
      </c>
      <c r="E1716">
        <f t="shared" si="134"/>
        <v>60424.043071280059</v>
      </c>
    </row>
    <row r="1717" spans="1:5">
      <c r="A1717">
        <f t="shared" si="130"/>
        <v>0.96318702845458337</v>
      </c>
      <c r="B1717">
        <f t="shared" si="131"/>
        <v>0.24965366521626975</v>
      </c>
      <c r="C1717">
        <f t="shared" si="132"/>
        <v>1.5158596858849802</v>
      </c>
      <c r="D1717">
        <f t="shared" si="133"/>
        <v>63881.317186620028</v>
      </c>
      <c r="E1717">
        <f t="shared" si="134"/>
        <v>96835.11340442863</v>
      </c>
    </row>
    <row r="1718" spans="1:5">
      <c r="A1718">
        <f t="shared" si="130"/>
        <v>5.2207482246192427E-2</v>
      </c>
      <c r="B1718">
        <f t="shared" si="131"/>
        <v>0.51292378603110045</v>
      </c>
      <c r="C1718">
        <f t="shared" si="132"/>
        <v>0.64583957611250697</v>
      </c>
      <c r="D1718">
        <f t="shared" si="133"/>
        <v>65639.780064981678</v>
      </c>
      <c r="E1718">
        <f t="shared" si="134"/>
        <v>42392.767733285953</v>
      </c>
    </row>
    <row r="1719" spans="1:5">
      <c r="A1719">
        <f t="shared" si="130"/>
        <v>0.64274820641583519</v>
      </c>
      <c r="B1719">
        <f t="shared" si="131"/>
        <v>0.57024162858451888</v>
      </c>
      <c r="C1719">
        <f t="shared" si="132"/>
        <v>1.0620527537634457</v>
      </c>
      <c r="D1719">
        <f t="shared" si="133"/>
        <v>65998.905096214352</v>
      </c>
      <c r="E1719">
        <f t="shared" si="134"/>
        <v>70094.318902806757</v>
      </c>
    </row>
    <row r="1720" spans="1:5">
      <c r="A1720">
        <f t="shared" si="130"/>
        <v>0.73480920096351188</v>
      </c>
      <c r="B1720">
        <f t="shared" si="131"/>
        <v>0.42160719287652498</v>
      </c>
      <c r="C1720">
        <f t="shared" si="132"/>
        <v>1.1338352374207583</v>
      </c>
      <c r="D1720">
        <f t="shared" si="133"/>
        <v>65068.054548377928</v>
      </c>
      <c r="E1720">
        <f t="shared" si="134"/>
        <v>73776.453077366939</v>
      </c>
    </row>
    <row r="1721" spans="1:5">
      <c r="A1721">
        <f t="shared" si="130"/>
        <v>0.32839046588922227</v>
      </c>
      <c r="B1721">
        <f t="shared" si="131"/>
        <v>6.7020478907118708E-2</v>
      </c>
      <c r="C1721">
        <f t="shared" si="132"/>
        <v>0.86732589654113401</v>
      </c>
      <c r="D1721">
        <f t="shared" si="133"/>
        <v>61837.730985869763</v>
      </c>
      <c r="E1721">
        <f t="shared" si="134"/>
        <v>53633.465467388953</v>
      </c>
    </row>
    <row r="1722" spans="1:5">
      <c r="A1722">
        <f t="shared" si="130"/>
        <v>0.42349200119296659</v>
      </c>
      <c r="B1722">
        <f t="shared" si="131"/>
        <v>0.50648148667630022</v>
      </c>
      <c r="C1722">
        <f t="shared" si="132"/>
        <v>0.92358540067362604</v>
      </c>
      <c r="D1722">
        <f t="shared" si="133"/>
        <v>65599.658695638558</v>
      </c>
      <c r="E1722">
        <f t="shared" si="134"/>
        <v>60586.887060464454</v>
      </c>
    </row>
    <row r="1723" spans="1:5">
      <c r="A1723">
        <f t="shared" si="130"/>
        <v>2.0113806874744622E-2</v>
      </c>
      <c r="B1723">
        <f t="shared" si="131"/>
        <v>0.73999021618406946</v>
      </c>
      <c r="C1723">
        <f t="shared" si="132"/>
        <v>0.58036328639507573</v>
      </c>
      <c r="D1723">
        <f t="shared" si="133"/>
        <v>67157.152221181386</v>
      </c>
      <c r="E1723">
        <f t="shared" si="134"/>
        <v>38975.545568019188</v>
      </c>
    </row>
    <row r="1724" spans="1:5">
      <c r="A1724">
        <f t="shared" si="130"/>
        <v>0.11825588293455658</v>
      </c>
      <c r="B1724">
        <f t="shared" si="131"/>
        <v>0.76754666743042621</v>
      </c>
      <c r="C1724">
        <f t="shared" si="132"/>
        <v>0.720948427709871</v>
      </c>
      <c r="D1724">
        <f t="shared" si="133"/>
        <v>67374.422688178718</v>
      </c>
      <c r="E1724">
        <f t="shared" si="134"/>
        <v>48573.484104902709</v>
      </c>
    </row>
    <row r="1725" spans="1:5">
      <c r="A1725">
        <f t="shared" si="130"/>
        <v>0.71791822937240246</v>
      </c>
      <c r="B1725">
        <f t="shared" si="131"/>
        <v>0.58915084041537069</v>
      </c>
      <c r="C1725">
        <f t="shared" si="132"/>
        <v>1.1195390952239943</v>
      </c>
      <c r="D1725">
        <f t="shared" si="133"/>
        <v>66119.049618144709</v>
      </c>
      <c r="E1725">
        <f t="shared" si="134"/>
        <v>74022.860986568106</v>
      </c>
    </row>
    <row r="1726" spans="1:5">
      <c r="A1726">
        <f t="shared" si="130"/>
        <v>0.81910084618828205</v>
      </c>
      <c r="B1726">
        <f t="shared" si="131"/>
        <v>0.20480273513890301</v>
      </c>
      <c r="C1726">
        <f t="shared" si="132"/>
        <v>1.2174225351104078</v>
      </c>
      <c r="D1726">
        <f t="shared" si="133"/>
        <v>63511.215058811089</v>
      </c>
      <c r="E1726">
        <f t="shared" si="134"/>
        <v>77319.984444840098</v>
      </c>
    </row>
    <row r="1727" spans="1:5">
      <c r="A1727">
        <f t="shared" si="130"/>
        <v>0.42180373338219551</v>
      </c>
      <c r="B1727">
        <f t="shared" si="131"/>
        <v>0.61450235160102284</v>
      </c>
      <c r="C1727">
        <f t="shared" si="132"/>
        <v>0.92259003623766211</v>
      </c>
      <c r="D1727">
        <f t="shared" si="133"/>
        <v>66282.263450359445</v>
      </c>
      <c r="E1727">
        <f t="shared" si="134"/>
        <v>61151.355838581389</v>
      </c>
    </row>
    <row r="1728" spans="1:5">
      <c r="A1728">
        <f t="shared" si="130"/>
        <v>0.52602689095414279</v>
      </c>
      <c r="B1728">
        <f t="shared" si="131"/>
        <v>0.81824968980173041</v>
      </c>
      <c r="C1728">
        <f t="shared" si="132"/>
        <v>0.98518239954282116</v>
      </c>
      <c r="D1728">
        <f t="shared" si="133"/>
        <v>67816.344518922226</v>
      </c>
      <c r="E1728">
        <f t="shared" si="134"/>
        <v>66811.469021374447</v>
      </c>
    </row>
    <row r="1729" spans="1:5">
      <c r="A1729">
        <f t="shared" si="130"/>
        <v>0.13177031890412394</v>
      </c>
      <c r="B1729">
        <f t="shared" si="131"/>
        <v>0.8160447497410257</v>
      </c>
      <c r="C1729">
        <f t="shared" si="132"/>
        <v>0.73288577031714641</v>
      </c>
      <c r="D1729">
        <f t="shared" si="133"/>
        <v>67795.677746494024</v>
      </c>
      <c r="E1729">
        <f t="shared" si="134"/>
        <v>49686.487509412291</v>
      </c>
    </row>
    <row r="1730" spans="1:5">
      <c r="A1730">
        <f t="shared" si="130"/>
        <v>0.2390340172321388</v>
      </c>
      <c r="B1730">
        <f t="shared" si="131"/>
        <v>0.60788753141890861</v>
      </c>
      <c r="C1730">
        <f t="shared" si="132"/>
        <v>0.81171715896758434</v>
      </c>
      <c r="D1730">
        <f t="shared" si="133"/>
        <v>66239.403895990836</v>
      </c>
      <c r="E1730">
        <f t="shared" si="134"/>
        <v>53767.66074216002</v>
      </c>
    </row>
    <row r="1731" spans="1:5">
      <c r="A1731">
        <f t="shared" si="130"/>
        <v>0.84781798593818758</v>
      </c>
      <c r="B1731">
        <f t="shared" si="131"/>
        <v>0.19377803483537948</v>
      </c>
      <c r="C1731">
        <f t="shared" si="132"/>
        <v>1.252986579278889</v>
      </c>
      <c r="D1731">
        <f t="shared" si="133"/>
        <v>63413.181051021529</v>
      </c>
      <c r="E1731">
        <f t="shared" si="134"/>
        <v>79455.864806312326</v>
      </c>
    </row>
    <row r="1732" spans="1:5">
      <c r="A1732">
        <f t="shared" si="130"/>
        <v>0.95812222502227007</v>
      </c>
      <c r="B1732">
        <f t="shared" si="131"/>
        <v>0.57371625999043774</v>
      </c>
      <c r="C1732">
        <f t="shared" si="132"/>
        <v>1.4934289932587899</v>
      </c>
      <c r="D1732">
        <f t="shared" si="133"/>
        <v>66020.89678066854</v>
      </c>
      <c r="E1732">
        <f t="shared" si="134"/>
        <v>98597.5214131963</v>
      </c>
    </row>
    <row r="1733" spans="1:5">
      <c r="A1733">
        <f t="shared" si="130"/>
        <v>0.56994673448438649</v>
      </c>
      <c r="B1733">
        <f t="shared" si="131"/>
        <v>0.74770220688408351</v>
      </c>
      <c r="C1733">
        <f t="shared" si="132"/>
        <v>1.0128920340202472</v>
      </c>
      <c r="D1733">
        <f t="shared" si="133"/>
        <v>67216.666317189534</v>
      </c>
      <c r="E1733">
        <f t="shared" si="134"/>
        <v>68083.225866078341</v>
      </c>
    </row>
    <row r="1734" spans="1:5">
      <c r="A1734">
        <f t="shared" si="130"/>
        <v>0.68329151432453672</v>
      </c>
      <c r="B1734">
        <f t="shared" si="131"/>
        <v>0.71573587551631745</v>
      </c>
      <c r="C1734">
        <f t="shared" si="132"/>
        <v>1.0919670945421354</v>
      </c>
      <c r="D1734">
        <f t="shared" si="133"/>
        <v>66975.601201819445</v>
      </c>
      <c r="E1734">
        <f t="shared" si="134"/>
        <v>73135.152649563533</v>
      </c>
    </row>
    <row r="1735" spans="1:5">
      <c r="A1735">
        <f t="shared" si="130"/>
        <v>0.29815656454272088</v>
      </c>
      <c r="B1735">
        <f t="shared" si="131"/>
        <v>0.47781726588713891</v>
      </c>
      <c r="C1735">
        <f t="shared" si="132"/>
        <v>0.84901582069796078</v>
      </c>
      <c r="D1735">
        <f t="shared" si="133"/>
        <v>65421.125306469068</v>
      </c>
      <c r="E1735">
        <f t="shared" si="134"/>
        <v>55543.570393055968</v>
      </c>
    </row>
    <row r="1736" spans="1:5">
      <c r="A1736">
        <f t="shared" si="130"/>
        <v>0.41454188513893864</v>
      </c>
      <c r="B1736">
        <f t="shared" si="131"/>
        <v>3.394637799654765E-2</v>
      </c>
      <c r="C1736">
        <f t="shared" si="132"/>
        <v>0.91831096522955669</v>
      </c>
      <c r="D1736">
        <f t="shared" si="133"/>
        <v>61024.636846234367</v>
      </c>
      <c r="E1736">
        <f t="shared" si="134"/>
        <v>56039.593165048653</v>
      </c>
    </row>
    <row r="1737" spans="1:5">
      <c r="A1737">
        <f t="shared" si="130"/>
        <v>3.2447476113190099E-2</v>
      </c>
      <c r="B1737">
        <f t="shared" si="131"/>
        <v>0.38412321184454434</v>
      </c>
      <c r="C1737">
        <f t="shared" si="132"/>
        <v>0.61094687530171921</v>
      </c>
      <c r="D1737">
        <f t="shared" si="133"/>
        <v>64827.412236787612</v>
      </c>
      <c r="E1737">
        <f t="shared" si="134"/>
        <v>39606.104939961828</v>
      </c>
    </row>
    <row r="1738" spans="1:5">
      <c r="A1738">
        <f t="shared" si="130"/>
        <v>0.15187333746547593</v>
      </c>
      <c r="B1738">
        <f t="shared" si="131"/>
        <v>0.52834776743112899</v>
      </c>
      <c r="C1738">
        <f t="shared" si="132"/>
        <v>0.74949323064573203</v>
      </c>
      <c r="D1738">
        <f t="shared" si="133"/>
        <v>65735.942827174687</v>
      </c>
      <c r="E1738">
        <f t="shared" si="134"/>
        <v>49268.644159082294</v>
      </c>
    </row>
    <row r="1739" spans="1:5">
      <c r="A1739">
        <f t="shared" si="130"/>
        <v>0.77281946919579525</v>
      </c>
      <c r="B1739">
        <f t="shared" si="131"/>
        <v>0.46662004475630114</v>
      </c>
      <c r="C1739">
        <f t="shared" si="132"/>
        <v>1.1685820315442921</v>
      </c>
      <c r="D1739">
        <f t="shared" si="133"/>
        <v>65351.240767503361</v>
      </c>
      <c r="E1739">
        <f t="shared" si="134"/>
        <v>76368.285700029242</v>
      </c>
    </row>
    <row r="1740" spans="1:5">
      <c r="A1740">
        <f t="shared" si="130"/>
        <v>0.8952858713041485</v>
      </c>
      <c r="B1740">
        <f t="shared" si="131"/>
        <v>0.19894004382006081</v>
      </c>
      <c r="C1740">
        <f t="shared" si="132"/>
        <v>1.3264879131702092</v>
      </c>
      <c r="D1740">
        <f t="shared" si="133"/>
        <v>63459.489903117705</v>
      </c>
      <c r="E1740">
        <f t="shared" si="134"/>
        <v>84178.246332432565</v>
      </c>
    </row>
    <row r="1741" spans="1:5">
      <c r="A1741">
        <f t="shared" si="130"/>
        <v>0.51927254379053556</v>
      </c>
      <c r="B1741">
        <f t="shared" si="131"/>
        <v>0.72530776462240842</v>
      </c>
      <c r="C1741">
        <f t="shared" si="132"/>
        <v>0.981014515622323</v>
      </c>
      <c r="D1741">
        <f t="shared" si="133"/>
        <v>67046.295257659018</v>
      </c>
      <c r="E1741">
        <f t="shared" si="134"/>
        <v>65773.388866463618</v>
      </c>
    </row>
    <row r="1742" spans="1:5">
      <c r="A1742">
        <f t="shared" si="130"/>
        <v>0.64477948665495655</v>
      </c>
      <c r="B1742">
        <f t="shared" si="131"/>
        <v>4.5723207163343549E-2</v>
      </c>
      <c r="C1742">
        <f t="shared" si="132"/>
        <v>1.063500643133481</v>
      </c>
      <c r="D1742">
        <f t="shared" si="133"/>
        <v>61367.152048543241</v>
      </c>
      <c r="E1742">
        <f t="shared" si="134"/>
        <v>65264.005670895858</v>
      </c>
    </row>
    <row r="1743" spans="1:5">
      <c r="A1743">
        <f t="shared" si="130"/>
        <v>0.27180669989741135</v>
      </c>
      <c r="B1743">
        <f t="shared" si="131"/>
        <v>0.16018637144286663</v>
      </c>
      <c r="C1743">
        <f t="shared" si="132"/>
        <v>0.83269364039741689</v>
      </c>
      <c r="D1743">
        <f t="shared" si="133"/>
        <v>63091.199091022601</v>
      </c>
      <c r="E1743">
        <f t="shared" si="134"/>
        <v>52535.640248141812</v>
      </c>
    </row>
    <row r="1744" spans="1:5">
      <c r="A1744">
        <f t="shared" ref="A1744:A1807" si="135">IFERROR(MOD(MOD(($E$8+((ROW()-15)*(ROW()-14)/2)*13)*171,30269)/30269+MOD(($E$8+((ROW()-15)*(ROW()-14)/2)*29)*172,30307)/30307+MOD(($E$8+((ROW()-15)*(ROW()-14)/2)*47)*170,30323)/30323,1),0.5)</f>
        <v>0.40035418351789942</v>
      </c>
      <c r="B1744">
        <f t="shared" ref="B1744:B1807" si="136">IFERROR(MOD(MOD(($E$8+((ROW()-15)*(ROW()-14)/2)*17)*171,30269)/30269+MOD(($E$8+((ROW()-15)*(ROW()-14)/2)*41)*172,30307)/30307+MOD(($E$8+((ROW()-15)*(ROW()-14)/2)*83)*170,30323)/30323,1),0.5)</f>
        <v>6.8697257460977212E-2</v>
      </c>
      <c r="C1744">
        <f t="shared" ref="C1744:C1807" si="137">IFERROR(EXP($E$4*NORMSINV(MIN(MAX(A1744,0.000000001),0.999999999))-$E$4^2/2),1)</f>
        <v>0.90995729215093279</v>
      </c>
      <c r="D1744">
        <f t="shared" ref="D1744:D1807" si="138">IFERROR($B$5+$E$5*NORMSINV(MIN(MAX(B1744,0.000000001),0.999999999)),$B$5)</f>
        <v>61869.502009601812</v>
      </c>
      <c r="E1744">
        <f t="shared" ref="E1744:E1807" si="139">IFERROR(C1744*MAX(D1744,0),0)</f>
        <v>56298.604515383959</v>
      </c>
    </row>
    <row r="1745" spans="1:5">
      <c r="A1745">
        <f t="shared" si="135"/>
        <v>3.042193751642186E-2</v>
      </c>
      <c r="B1745">
        <f t="shared" si="136"/>
        <v>0.77125586521767531</v>
      </c>
      <c r="C1745">
        <f t="shared" si="137"/>
        <v>0.60658702194883274</v>
      </c>
      <c r="D1745">
        <f t="shared" si="138"/>
        <v>67404.719391584091</v>
      </c>
      <c r="E1745">
        <f t="shared" si="139"/>
        <v>40886.828001037728</v>
      </c>
    </row>
    <row r="1746" spans="1:5">
      <c r="A1746">
        <f t="shared" si="135"/>
        <v>0.162009961892978</v>
      </c>
      <c r="B1746">
        <f t="shared" si="136"/>
        <v>0.26786219471296135</v>
      </c>
      <c r="C1746">
        <f t="shared" si="137"/>
        <v>0.75744248505467249</v>
      </c>
      <c r="D1746">
        <f t="shared" si="138"/>
        <v>64021.125207685836</v>
      </c>
      <c r="E1746">
        <f t="shared" si="139"/>
        <v>48492.320173305896</v>
      </c>
    </row>
    <row r="1747" spans="1:5">
      <c r="A1747">
        <f t="shared" si="135"/>
        <v>0.79511825664756808</v>
      </c>
      <c r="B1747">
        <f t="shared" si="136"/>
        <v>0.55851624594683491</v>
      </c>
      <c r="C1747">
        <f t="shared" si="137"/>
        <v>1.19104071884643</v>
      </c>
      <c r="D1747">
        <f t="shared" si="138"/>
        <v>65924.936040826928</v>
      </c>
      <c r="E1747">
        <f t="shared" si="139"/>
        <v>78519.283211971429</v>
      </c>
    </row>
    <row r="1748" spans="1:5">
      <c r="A1748">
        <f t="shared" si="135"/>
        <v>0.92974682178019186</v>
      </c>
      <c r="B1748">
        <f t="shared" si="136"/>
        <v>0.64321801891929598</v>
      </c>
      <c r="C1748">
        <f t="shared" si="137"/>
        <v>1.4010570767679942</v>
      </c>
      <c r="D1748">
        <f t="shared" si="138"/>
        <v>66471.031504775368</v>
      </c>
      <c r="E1748">
        <f t="shared" si="139"/>
        <v>93129.709089833821</v>
      </c>
    </row>
    <row r="1749" spans="1:5">
      <c r="A1749">
        <f t="shared" si="135"/>
        <v>0.56589565729084956</v>
      </c>
      <c r="B1749">
        <f t="shared" si="136"/>
        <v>0.52196751363034499</v>
      </c>
      <c r="C1749">
        <f t="shared" si="137"/>
        <v>1.010286107076747</v>
      </c>
      <c r="D1749">
        <f t="shared" si="138"/>
        <v>65696.140454862092</v>
      </c>
      <c r="E1749">
        <f t="shared" si="139"/>
        <v>66371.897990109821</v>
      </c>
    </row>
    <row r="1750" spans="1:5">
      <c r="A1750">
        <f t="shared" si="135"/>
        <v>0.70356476317954109</v>
      </c>
      <c r="B1750">
        <f t="shared" si="136"/>
        <v>0.19476473007998196</v>
      </c>
      <c r="C1750">
        <f t="shared" si="137"/>
        <v>1.1078489427789759</v>
      </c>
      <c r="D1750">
        <f t="shared" si="138"/>
        <v>63422.090148681396</v>
      </c>
      <c r="E1750">
        <f t="shared" si="139"/>
        <v>70262.095520049596</v>
      </c>
    </row>
    <row r="1751" spans="1:5">
      <c r="A1751">
        <f t="shared" si="135"/>
        <v>0.34275413944626631</v>
      </c>
      <c r="B1751">
        <f t="shared" si="136"/>
        <v>0.66160966826820633</v>
      </c>
      <c r="C1751">
        <f t="shared" si="137"/>
        <v>0.87591209991128172</v>
      </c>
      <c r="D1751">
        <f t="shared" si="138"/>
        <v>66594.689552366035</v>
      </c>
      <c r="E1751">
        <f t="shared" si="139"/>
        <v>58331.094368752827</v>
      </c>
    </row>
    <row r="1752" spans="1:5">
      <c r="A1752">
        <f t="shared" si="135"/>
        <v>0.48346378609102536</v>
      </c>
      <c r="B1752">
        <f t="shared" si="136"/>
        <v>0.92250232819501821</v>
      </c>
      <c r="C1752">
        <f t="shared" si="137"/>
        <v>0.95923853261650749</v>
      </c>
      <c r="D1752">
        <f t="shared" si="138"/>
        <v>69091.492022576887</v>
      </c>
      <c r="E1752">
        <f t="shared" si="139"/>
        <v>66275.221424021787</v>
      </c>
    </row>
    <row r="1753" spans="1:5">
      <c r="A1753">
        <f t="shared" si="135"/>
        <v>0.12569370311381833</v>
      </c>
      <c r="B1753">
        <f t="shared" si="136"/>
        <v>0.97744270986041792</v>
      </c>
      <c r="C1753">
        <f t="shared" si="137"/>
        <v>0.72760533465112232</v>
      </c>
      <c r="D1753">
        <f t="shared" si="138"/>
        <v>70535.750991497567</v>
      </c>
      <c r="E1753">
        <f t="shared" si="139"/>
        <v>51322.188705036817</v>
      </c>
    </row>
    <row r="1754" spans="1:5">
      <c r="A1754">
        <f t="shared" si="135"/>
        <v>0.26944389051464523</v>
      </c>
      <c r="B1754">
        <f t="shared" si="136"/>
        <v>0.82643081326440559</v>
      </c>
      <c r="C1754">
        <f t="shared" si="137"/>
        <v>0.83120906165774255</v>
      </c>
      <c r="D1754">
        <f t="shared" si="138"/>
        <v>67894.432962208695</v>
      </c>
      <c r="E1754">
        <f t="shared" si="139"/>
        <v>56434.467914301997</v>
      </c>
    </row>
    <row r="1755" spans="1:5">
      <c r="A1755">
        <f t="shared" si="135"/>
        <v>0.91471434829350595</v>
      </c>
      <c r="B1755">
        <f t="shared" si="136"/>
        <v>0.46946663840698066</v>
      </c>
      <c r="C1755">
        <f t="shared" si="137"/>
        <v>1.3652568821552213</v>
      </c>
      <c r="D1755">
        <f t="shared" si="138"/>
        <v>65369.020466017348</v>
      </c>
      <c r="E1755">
        <f t="shared" si="139"/>
        <v>89245.505070975705</v>
      </c>
    </row>
    <row r="1756" spans="1:5">
      <c r="A1756">
        <f t="shared" si="135"/>
        <v>6.1505076450400153E-2</v>
      </c>
      <c r="B1756">
        <f t="shared" si="136"/>
        <v>0.90655018528814346</v>
      </c>
      <c r="C1756">
        <f t="shared" si="137"/>
        <v>0.65914266552685619</v>
      </c>
      <c r="D1756">
        <f t="shared" si="138"/>
        <v>68837.40222886941</v>
      </c>
      <c r="E1756">
        <f t="shared" si="139"/>
        <v>45373.668793081335</v>
      </c>
    </row>
    <row r="1757" spans="1:5">
      <c r="A1757">
        <f t="shared" si="135"/>
        <v>0.70981607498532862</v>
      </c>
      <c r="B1757">
        <f t="shared" si="136"/>
        <v>0.13768145390789388</v>
      </c>
      <c r="C1757">
        <f t="shared" si="137"/>
        <v>1.1128918204051395</v>
      </c>
      <c r="D1757">
        <f t="shared" si="138"/>
        <v>62850.016805682506</v>
      </c>
      <c r="E1757">
        <f t="shared" si="139"/>
        <v>69945.269615369616</v>
      </c>
    </row>
    <row r="1758" spans="1:5">
      <c r="A1758">
        <f t="shared" si="135"/>
        <v>0.85964734389829078</v>
      </c>
      <c r="B1758">
        <f t="shared" si="136"/>
        <v>0.16286044426623203</v>
      </c>
      <c r="C1758">
        <f t="shared" si="137"/>
        <v>1.2692600176761493</v>
      </c>
      <c r="D1758">
        <f t="shared" si="138"/>
        <v>63118.328540084753</v>
      </c>
      <c r="E1758">
        <f t="shared" si="139"/>
        <v>80113.570798476969</v>
      </c>
    </row>
    <row r="1759" spans="1:5">
      <c r="A1759">
        <f t="shared" si="135"/>
        <v>0.51099888318928643</v>
      </c>
      <c r="B1759">
        <f t="shared" si="136"/>
        <v>0.98208715636315791</v>
      </c>
      <c r="C1759">
        <f t="shared" si="137"/>
        <v>0.9759376296202501</v>
      </c>
      <c r="D1759">
        <f t="shared" si="138"/>
        <v>70772.493619218498</v>
      </c>
      <c r="E1759">
        <f t="shared" si="139"/>
        <v>69069.53966505437</v>
      </c>
    </row>
    <row r="1760" spans="1:5">
      <c r="A1760">
        <f t="shared" si="135"/>
        <v>0.66387069285831624</v>
      </c>
      <c r="B1760">
        <f t="shared" si="136"/>
        <v>0.59536159019867174</v>
      </c>
      <c r="C1760">
        <f t="shared" si="137"/>
        <v>1.0773588720932588</v>
      </c>
      <c r="D1760">
        <f t="shared" si="138"/>
        <v>66158.784802950555</v>
      </c>
      <c r="E1760">
        <f t="shared" si="139"/>
        <v>71276.753774367433</v>
      </c>
    </row>
    <row r="1761" spans="1:5">
      <c r="A1761">
        <f t="shared" si="135"/>
        <v>0.31826277290537996</v>
      </c>
      <c r="B1761">
        <f t="shared" si="136"/>
        <v>2.6837457727728609E-3</v>
      </c>
      <c r="C1761">
        <f t="shared" si="137"/>
        <v>0.8612326917411276</v>
      </c>
      <c r="D1761">
        <f t="shared" si="138"/>
        <v>58644.21092654331</v>
      </c>
      <c r="E1761">
        <f t="shared" si="139"/>
        <v>50506.311631301338</v>
      </c>
    </row>
    <row r="1762" spans="1:5">
      <c r="A1762">
        <f t="shared" si="135"/>
        <v>0.47417512333047718</v>
      </c>
      <c r="B1762">
        <f t="shared" si="136"/>
        <v>0.20405362308546171</v>
      </c>
      <c r="C1762">
        <f t="shared" si="137"/>
        <v>0.95366324683565906</v>
      </c>
      <c r="D1762">
        <f t="shared" si="138"/>
        <v>63504.655569414215</v>
      </c>
      <c r="E1762">
        <f t="shared" si="139"/>
        <v>60562.056019507778</v>
      </c>
    </row>
    <row r="1763" spans="1:5">
      <c r="A1763">
        <f t="shared" si="135"/>
        <v>0.13160774413360876</v>
      </c>
      <c r="B1763">
        <f t="shared" si="136"/>
        <v>0.19947122213673829</v>
      </c>
      <c r="C1763">
        <f t="shared" si="137"/>
        <v>0.73274622653194055</v>
      </c>
      <c r="D1763">
        <f t="shared" si="138"/>
        <v>63464.213723203939</v>
      </c>
      <c r="E1763">
        <f t="shared" si="139"/>
        <v>46503.163125494284</v>
      </c>
    </row>
    <row r="1764" spans="1:5">
      <c r="A1764">
        <f t="shared" si="135"/>
        <v>0.29056063531477361</v>
      </c>
      <c r="B1764">
        <f t="shared" si="136"/>
        <v>0.9889365429266026</v>
      </c>
      <c r="C1764">
        <f t="shared" si="137"/>
        <v>0.84435107262140452</v>
      </c>
      <c r="D1764">
        <f t="shared" si="138"/>
        <v>71242.626546089741</v>
      </c>
      <c r="E1764">
        <f t="shared" si="139"/>
        <v>60153.788140557022</v>
      </c>
    </row>
    <row r="1765" spans="1:5">
      <c r="A1765">
        <f t="shared" si="135"/>
        <v>0.9510337968739726</v>
      </c>
      <c r="B1765">
        <f t="shared" si="136"/>
        <v>0.57244958545505442</v>
      </c>
      <c r="C1765">
        <f t="shared" si="137"/>
        <v>1.4659305867750965</v>
      </c>
      <c r="D1765">
        <f t="shared" si="138"/>
        <v>66012.875625770845</v>
      </c>
      <c r="E1765">
        <f t="shared" si="139"/>
        <v>96770.293500797721</v>
      </c>
    </row>
    <row r="1766" spans="1:5">
      <c r="A1766">
        <f t="shared" si="135"/>
        <v>0.1130272288112053</v>
      </c>
      <c r="B1766">
        <f t="shared" si="136"/>
        <v>0.95001034972209419</v>
      </c>
      <c r="C1766">
        <f t="shared" si="137"/>
        <v>0.71612805876649988</v>
      </c>
      <c r="D1766">
        <f t="shared" si="138"/>
        <v>69644.994417058391</v>
      </c>
      <c r="E1766">
        <f t="shared" si="139"/>
        <v>49874.734654691747</v>
      </c>
    </row>
    <row r="1767" spans="1:5">
      <c r="A1767">
        <f t="shared" si="135"/>
        <v>0.77654093112647171</v>
      </c>
      <c r="B1767">
        <f t="shared" si="136"/>
        <v>0.12161883572772147</v>
      </c>
      <c r="C1767">
        <f t="shared" si="137"/>
        <v>1.172209870264725</v>
      </c>
      <c r="D1767">
        <f t="shared" si="138"/>
        <v>62660.909944233266</v>
      </c>
      <c r="E1767">
        <f t="shared" si="139"/>
        <v>73451.737116399294</v>
      </c>
    </row>
    <row r="1768" spans="1:5">
      <c r="A1768">
        <f t="shared" si="135"/>
        <v>0.94157490381977227</v>
      </c>
      <c r="B1768">
        <f t="shared" si="136"/>
        <v>8.7275043471936709E-2</v>
      </c>
      <c r="C1768">
        <f t="shared" si="137"/>
        <v>1.4344523623346102</v>
      </c>
      <c r="D1768">
        <f t="shared" si="138"/>
        <v>62187.017793270767</v>
      </c>
      <c r="E1768">
        <f t="shared" si="139"/>
        <v>89204.31458010168</v>
      </c>
    </row>
    <row r="1769" spans="1:5">
      <c r="A1769">
        <f t="shared" si="135"/>
        <v>0.60812914689110653</v>
      </c>
      <c r="B1769">
        <f t="shared" si="136"/>
        <v>0.84697897295473945</v>
      </c>
      <c r="C1769">
        <f t="shared" si="137"/>
        <v>1.0380682789861546</v>
      </c>
      <c r="D1769">
        <f t="shared" si="138"/>
        <v>68101.599218527248</v>
      </c>
      <c r="E1769">
        <f t="shared" si="139"/>
        <v>70694.109896981434</v>
      </c>
    </row>
    <row r="1770" spans="1:5">
      <c r="A1770">
        <f t="shared" si="135"/>
        <v>0.7762036603404745</v>
      </c>
      <c r="B1770">
        <f t="shared" si="136"/>
        <v>0.40073062417612987</v>
      </c>
      <c r="C1770">
        <f t="shared" si="137"/>
        <v>1.1718792141009728</v>
      </c>
      <c r="D1770">
        <f t="shared" si="138"/>
        <v>64934.743469229128</v>
      </c>
      <c r="E1770">
        <f t="shared" si="139"/>
        <v>76095.676144568512</v>
      </c>
    </row>
    <row r="1771" spans="1:5">
      <c r="A1771">
        <f t="shared" si="135"/>
        <v>0.4457984441678764</v>
      </c>
      <c r="B1771">
        <f t="shared" si="136"/>
        <v>0.74852999713610791</v>
      </c>
      <c r="C1771">
        <f t="shared" si="137"/>
        <v>0.93676674745444755</v>
      </c>
      <c r="D1771">
        <f t="shared" si="138"/>
        <v>67223.1107522159</v>
      </c>
      <c r="E1771">
        <f t="shared" si="139"/>
        <v>62972.374813123388</v>
      </c>
    </row>
    <row r="1772" spans="1:5">
      <c r="A1772">
        <f t="shared" si="135"/>
        <v>0.61691349837331222</v>
      </c>
      <c r="B1772">
        <f t="shared" si="136"/>
        <v>0.89037709183467362</v>
      </c>
      <c r="C1772">
        <f t="shared" si="137"/>
        <v>1.0440382388573182</v>
      </c>
      <c r="D1772">
        <f t="shared" si="138"/>
        <v>68610.707161817656</v>
      </c>
      <c r="E1772">
        <f t="shared" si="139"/>
        <v>71632.201871979298</v>
      </c>
    </row>
    <row r="1773" spans="1:5">
      <c r="A1773">
        <f t="shared" si="135"/>
        <v>0.28954882295678153</v>
      </c>
      <c r="B1773">
        <f t="shared" si="136"/>
        <v>0.82627190827182728</v>
      </c>
      <c r="C1773">
        <f t="shared" si="137"/>
        <v>0.84372740616611774</v>
      </c>
      <c r="D1773">
        <f t="shared" si="138"/>
        <v>67892.894286571027</v>
      </c>
      <c r="E1773">
        <f t="shared" si="139"/>
        <v>57283.095593519007</v>
      </c>
    </row>
    <row r="1774" spans="1:5">
      <c r="A1774">
        <f t="shared" si="135"/>
        <v>0.46370441791828476</v>
      </c>
      <c r="B1774">
        <f t="shared" si="136"/>
        <v>0.55621444644756846</v>
      </c>
      <c r="C1774">
        <f t="shared" si="137"/>
        <v>0.94740714018415306</v>
      </c>
      <c r="D1774">
        <f t="shared" si="138"/>
        <v>65910.455296934408</v>
      </c>
      <c r="E1774">
        <f t="shared" si="139"/>
        <v>62444.035961104091</v>
      </c>
    </row>
    <row r="1775" spans="1:5">
      <c r="A1775">
        <f t="shared" si="135"/>
        <v>0.13938028325782215</v>
      </c>
      <c r="B1775">
        <f t="shared" si="136"/>
        <v>8.020470636189736E-2</v>
      </c>
      <c r="C1775">
        <f t="shared" si="137"/>
        <v>0.73931813553248116</v>
      </c>
      <c r="D1775">
        <f t="shared" si="138"/>
        <v>62072.843307822332</v>
      </c>
      <c r="E1775">
        <f t="shared" si="139"/>
        <v>45891.578781539058</v>
      </c>
    </row>
    <row r="1776" spans="1:5">
      <c r="A1776">
        <f t="shared" si="135"/>
        <v>0.31657641897539324</v>
      </c>
      <c r="B1776">
        <f t="shared" si="136"/>
        <v>0.39824268801481377</v>
      </c>
      <c r="C1776">
        <f t="shared" si="137"/>
        <v>0.86021451855122966</v>
      </c>
      <c r="D1776">
        <f t="shared" si="138"/>
        <v>64918.743252082</v>
      </c>
      <c r="E1776">
        <f t="shared" si="139"/>
        <v>55844.045471540609</v>
      </c>
    </row>
    <row r="1777" spans="1:5">
      <c r="A1777">
        <f t="shared" si="135"/>
        <v>0.99529282507099792</v>
      </c>
      <c r="B1777">
        <f t="shared" si="136"/>
        <v>0.51032839140631792</v>
      </c>
      <c r="C1777">
        <f t="shared" si="137"/>
        <v>1.8550419206747317</v>
      </c>
      <c r="D1777">
        <f t="shared" si="138"/>
        <v>65623.614522348842</v>
      </c>
      <c r="E1777">
        <f t="shared" si="139"/>
        <v>121734.55592515621</v>
      </c>
    </row>
    <row r="1778" spans="1:5">
      <c r="A1778">
        <f t="shared" si="135"/>
        <v>0.17552950154463653</v>
      </c>
      <c r="B1778">
        <f t="shared" si="136"/>
        <v>0.41646181653640979</v>
      </c>
      <c r="C1778">
        <f t="shared" si="137"/>
        <v>0.76767847601698636</v>
      </c>
      <c r="D1778">
        <f t="shared" si="138"/>
        <v>65035.343739907199</v>
      </c>
      <c r="E1778">
        <f t="shared" si="139"/>
        <v>49926.233569492812</v>
      </c>
    </row>
    <row r="1779" spans="1:5">
      <c r="A1779">
        <f t="shared" si="135"/>
        <v>0.85728644839630919</v>
      </c>
      <c r="B1779">
        <f t="shared" si="136"/>
        <v>0.11664296340508962</v>
      </c>
      <c r="C1779">
        <f t="shared" si="137"/>
        <v>1.2659233473420444</v>
      </c>
      <c r="D1779">
        <f t="shared" si="138"/>
        <v>62598.804073284497</v>
      </c>
      <c r="E1779">
        <f t="shared" si="139"/>
        <v>79245.287592061111</v>
      </c>
    </row>
    <row r="1780" spans="1:5">
      <c r="A1780">
        <f t="shared" si="135"/>
        <v>4.0563665626015544E-2</v>
      </c>
      <c r="B1780">
        <f t="shared" si="136"/>
        <v>0.61087183201235695</v>
      </c>
      <c r="C1780">
        <f t="shared" si="137"/>
        <v>0.62669484976239054</v>
      </c>
      <c r="D1780">
        <f t="shared" si="138"/>
        <v>66258.714310739117</v>
      </c>
      <c r="E1780">
        <f t="shared" si="139"/>
        <v>41523.995010417806</v>
      </c>
    </row>
    <row r="1781" spans="1:5">
      <c r="A1781">
        <f t="shared" si="135"/>
        <v>0.72536115323375561</v>
      </c>
      <c r="B1781">
        <f t="shared" si="136"/>
        <v>0.8991484223582118</v>
      </c>
      <c r="C1781">
        <f t="shared" si="137"/>
        <v>1.125762641148204</v>
      </c>
      <c r="D1781">
        <f t="shared" si="138"/>
        <v>68730.370850556035</v>
      </c>
      <c r="E1781">
        <f t="shared" si="139"/>
        <v>77374.083815817488</v>
      </c>
    </row>
    <row r="1782" spans="1:5">
      <c r="A1782">
        <f t="shared" si="135"/>
        <v>0.9116789112195296</v>
      </c>
      <c r="B1782">
        <f t="shared" si="136"/>
        <v>0.98147273444265448</v>
      </c>
      <c r="C1782">
        <f t="shared" si="137"/>
        <v>1.3587179439861241</v>
      </c>
      <c r="D1782">
        <f t="shared" si="138"/>
        <v>70738.372556075032</v>
      </c>
      <c r="E1782">
        <f t="shared" si="139"/>
        <v>96113.49612031474</v>
      </c>
    </row>
    <row r="1783" spans="1:5">
      <c r="A1783">
        <f t="shared" si="135"/>
        <v>0.59951693958333729</v>
      </c>
      <c r="B1783">
        <f t="shared" si="136"/>
        <v>0.8578447682656849</v>
      </c>
      <c r="C1783">
        <f t="shared" si="137"/>
        <v>1.0322844300744145</v>
      </c>
      <c r="D1783">
        <f t="shared" si="138"/>
        <v>68218.64468629699</v>
      </c>
      <c r="E1783">
        <f t="shared" si="139"/>
        <v>70421.044750443078</v>
      </c>
    </row>
    <row r="1784" spans="1:5">
      <c r="A1784">
        <f t="shared" si="135"/>
        <v>0.78887523832517914</v>
      </c>
      <c r="B1784">
        <f t="shared" si="136"/>
        <v>0.52826452382730293</v>
      </c>
      <c r="C1784">
        <f t="shared" si="137"/>
        <v>1.1845715732802546</v>
      </c>
      <c r="D1784">
        <f t="shared" si="138"/>
        <v>65735.423253005167</v>
      </c>
      <c r="E1784">
        <f t="shared" si="139"/>
        <v>77868.313743055769</v>
      </c>
    </row>
    <row r="1785" spans="1:5">
      <c r="A1785">
        <f t="shared" si="135"/>
        <v>0.47975380744505441</v>
      </c>
      <c r="B1785">
        <f t="shared" si="136"/>
        <v>0.99273200112750892</v>
      </c>
      <c r="C1785">
        <f t="shared" si="137"/>
        <v>0.95700862911488582</v>
      </c>
      <c r="D1785">
        <f t="shared" si="138"/>
        <v>71628.990540352403</v>
      </c>
      <c r="E1785">
        <f t="shared" si="139"/>
        <v>68549.562041905781</v>
      </c>
    </row>
    <row r="1786" spans="1:5">
      <c r="A1786">
        <f t="shared" si="135"/>
        <v>0.67215264694296373</v>
      </c>
      <c r="B1786">
        <f t="shared" si="136"/>
        <v>0.25124720016630198</v>
      </c>
      <c r="C1786">
        <f t="shared" si="137"/>
        <v>1.0835213761912676</v>
      </c>
      <c r="D1786">
        <f t="shared" si="138"/>
        <v>63893.760548202285</v>
      </c>
      <c r="E1786">
        <f t="shared" si="139"/>
        <v>69230.255359223462</v>
      </c>
    </row>
    <row r="1787" spans="1:5">
      <c r="A1787">
        <f t="shared" si="135"/>
        <v>0.36607175681890691</v>
      </c>
      <c r="B1787">
        <f t="shared" si="136"/>
        <v>0.3038101209436832</v>
      </c>
      <c r="C1787">
        <f t="shared" si="137"/>
        <v>0.88974631677030658</v>
      </c>
      <c r="D1787">
        <f t="shared" si="138"/>
        <v>64283.953161652491</v>
      </c>
      <c r="E1787">
        <f t="shared" si="139"/>
        <v>57196.410553015208</v>
      </c>
    </row>
    <row r="1788" spans="1:5">
      <c r="A1788">
        <f t="shared" si="135"/>
        <v>0.5615111370728838</v>
      </c>
      <c r="B1788">
        <f t="shared" si="136"/>
        <v>0.15042076345965194</v>
      </c>
      <c r="C1788">
        <f t="shared" si="137"/>
        <v>1.0074782245458755</v>
      </c>
      <c r="D1788">
        <f t="shared" si="138"/>
        <v>62989.517801472321</v>
      </c>
      <c r="E1788">
        <f t="shared" si="139"/>
        <v>63460.567559628158</v>
      </c>
    </row>
    <row r="1789" spans="1:5">
      <c r="A1789">
        <f t="shared" si="135"/>
        <v>0.2584707877048944</v>
      </c>
      <c r="B1789">
        <f t="shared" si="136"/>
        <v>0.79107912771420841</v>
      </c>
      <c r="C1789">
        <f t="shared" si="137"/>
        <v>0.82426205974326427</v>
      </c>
      <c r="D1789">
        <f t="shared" si="138"/>
        <v>67571.58454986522</v>
      </c>
      <c r="E1789">
        <f t="shared" si="139"/>
        <v>55696.693461188042</v>
      </c>
    </row>
    <row r="1790" spans="1:5">
      <c r="A1790">
        <f t="shared" si="135"/>
        <v>0.45695070871493909</v>
      </c>
      <c r="B1790">
        <f t="shared" si="136"/>
        <v>0.22578521370735283</v>
      </c>
      <c r="C1790">
        <f t="shared" si="137"/>
        <v>0.94338603418686773</v>
      </c>
      <c r="D1790">
        <f t="shared" si="138"/>
        <v>63689.521692863527</v>
      </c>
      <c r="E1790">
        <f t="shared" si="139"/>
        <v>60083.805289089003</v>
      </c>
    </row>
    <row r="1791" spans="1:5">
      <c r="A1791">
        <f t="shared" si="135"/>
        <v>0.1569509001030176</v>
      </c>
      <c r="B1791">
        <f t="shared" si="136"/>
        <v>0.45453902143908453</v>
      </c>
      <c r="C1791">
        <f t="shared" si="137"/>
        <v>0.75350686152988633</v>
      </c>
      <c r="D1791">
        <f t="shared" si="138"/>
        <v>65275.653335149465</v>
      </c>
      <c r="E1791">
        <f t="shared" si="139"/>
        <v>49185.652678881328</v>
      </c>
    </row>
    <row r="1792" spans="1:5">
      <c r="A1792">
        <f t="shared" si="135"/>
        <v>0.35847136186912976</v>
      </c>
      <c r="B1792">
        <f t="shared" si="136"/>
        <v>0.47734055090940397</v>
      </c>
      <c r="C1792">
        <f t="shared" si="137"/>
        <v>0.88524844417644077</v>
      </c>
      <c r="D1792">
        <f t="shared" si="138"/>
        <v>65418.152633906029</v>
      </c>
      <c r="E1792">
        <f t="shared" si="139"/>
        <v>57911.317840062242</v>
      </c>
    </row>
    <row r="1793" spans="1:5">
      <c r="A1793">
        <f t="shared" si="135"/>
        <v>6.1512094013275842E-2</v>
      </c>
      <c r="B1793">
        <f t="shared" si="136"/>
        <v>0.29418980211831114</v>
      </c>
      <c r="C1793">
        <f t="shared" si="137"/>
        <v>0.65915218645397911</v>
      </c>
      <c r="D1793">
        <f t="shared" si="138"/>
        <v>64215.122067222808</v>
      </c>
      <c r="E1793">
        <f t="shared" si="139"/>
        <v>42327.53811401908</v>
      </c>
    </row>
    <row r="1794" spans="1:5">
      <c r="A1794">
        <f t="shared" si="135"/>
        <v>0.26607309653545586</v>
      </c>
      <c r="B1794">
        <f t="shared" si="136"/>
        <v>0.90508677506580604</v>
      </c>
      <c r="C1794">
        <f t="shared" si="137"/>
        <v>0.82908442058704379</v>
      </c>
      <c r="D1794">
        <f t="shared" si="138"/>
        <v>68815.759103481018</v>
      </c>
      <c r="E1794">
        <f t="shared" si="139"/>
        <v>57054.073763567147</v>
      </c>
    </row>
    <row r="1795" spans="1:5">
      <c r="A1795">
        <f t="shared" si="135"/>
        <v>0.97215436943566957</v>
      </c>
      <c r="B1795">
        <f t="shared" si="136"/>
        <v>0.31003146975188867</v>
      </c>
      <c r="C1795">
        <f t="shared" si="137"/>
        <v>1.5637877936344275</v>
      </c>
      <c r="D1795">
        <f t="shared" si="138"/>
        <v>64327.946254501687</v>
      </c>
      <c r="E1795">
        <f t="shared" si="139"/>
        <v>100595.25714236122</v>
      </c>
    </row>
    <row r="1796" spans="1:5">
      <c r="A1796">
        <f t="shared" si="135"/>
        <v>0.179755912713917</v>
      </c>
      <c r="B1796">
        <f t="shared" si="136"/>
        <v>0.50902388617655903</v>
      </c>
      <c r="C1796">
        <f t="shared" si="137"/>
        <v>0.77080186435639886</v>
      </c>
      <c r="D1796">
        <f t="shared" si="138"/>
        <v>65615.490419067763</v>
      </c>
      <c r="E1796">
        <f t="shared" si="139"/>
        <v>50576.542345676855</v>
      </c>
    </row>
    <row r="1797" spans="1:5">
      <c r="A1797">
        <f t="shared" si="135"/>
        <v>0.88887772637019857</v>
      </c>
      <c r="B1797">
        <f t="shared" si="136"/>
        <v>0.50206402433981712</v>
      </c>
      <c r="C1797">
        <f t="shared" si="137"/>
        <v>1.3150771765609348</v>
      </c>
      <c r="D1797">
        <f t="shared" si="138"/>
        <v>65572.154329950034</v>
      </c>
      <c r="E1797">
        <f t="shared" si="139"/>
        <v>86232.443577248559</v>
      </c>
    </row>
    <row r="1798" spans="1:5">
      <c r="A1798">
        <f t="shared" si="135"/>
        <v>9.9519810404513853E-2</v>
      </c>
      <c r="B1798">
        <f t="shared" si="136"/>
        <v>0.28915188424166249</v>
      </c>
      <c r="C1798">
        <f t="shared" si="137"/>
        <v>0.70305290664759323</v>
      </c>
      <c r="D1798">
        <f t="shared" si="138"/>
        <v>64178.664253377152</v>
      </c>
      <c r="E1798">
        <f t="shared" si="139"/>
        <v>45120.996448096797</v>
      </c>
    </row>
    <row r="1799" spans="1:5">
      <c r="A1799">
        <f t="shared" si="135"/>
        <v>0.81168216481686262</v>
      </c>
      <c r="B1799">
        <f t="shared" si="136"/>
        <v>0.87028746588209605</v>
      </c>
      <c r="C1799">
        <f t="shared" si="137"/>
        <v>1.2089812219817193</v>
      </c>
      <c r="D1799">
        <f t="shared" si="138"/>
        <v>68360.380300476711</v>
      </c>
      <c r="E1799">
        <f t="shared" si="139"/>
        <v>82646.416110805381</v>
      </c>
    </row>
    <row r="1800" spans="1:5">
      <c r="A1800">
        <f t="shared" si="135"/>
        <v>2.536478960724553E-2</v>
      </c>
      <c r="B1800">
        <f t="shared" si="136"/>
        <v>0.24547076926111711</v>
      </c>
      <c r="C1800">
        <f t="shared" si="137"/>
        <v>0.59470484321887607</v>
      </c>
      <c r="D1800">
        <f t="shared" si="138"/>
        <v>63848.451790343235</v>
      </c>
      <c r="E1800">
        <f t="shared" si="139"/>
        <v>37970.983511744038</v>
      </c>
    </row>
    <row r="1801" spans="1:5">
      <c r="A1801">
        <f t="shared" si="135"/>
        <v>0.74056768477566237</v>
      </c>
      <c r="B1801">
        <f t="shared" si="136"/>
        <v>0.41470179437872545</v>
      </c>
      <c r="C1801">
        <f t="shared" si="137"/>
        <v>1.1388558672975377</v>
      </c>
      <c r="D1801">
        <f t="shared" si="138"/>
        <v>65024.13410874769</v>
      </c>
      <c r="E1801">
        <f t="shared" si="139"/>
        <v>74053.116645689253</v>
      </c>
    </row>
    <row r="1802" spans="1:5">
      <c r="A1802">
        <f t="shared" si="135"/>
        <v>0.95729085032211281</v>
      </c>
      <c r="B1802">
        <f t="shared" si="136"/>
        <v>0.3779805412349222</v>
      </c>
      <c r="C1802">
        <f t="shared" si="137"/>
        <v>1.4899900641723223</v>
      </c>
      <c r="D1802">
        <f t="shared" si="138"/>
        <v>64787.375046049725</v>
      </c>
      <c r="E1802">
        <f t="shared" si="139"/>
        <v>96532.545102419943</v>
      </c>
    </row>
    <row r="1803" spans="1:5">
      <c r="A1803">
        <f t="shared" si="135"/>
        <v>0.67553428624659739</v>
      </c>
      <c r="B1803">
        <f t="shared" si="136"/>
        <v>0.135307009829706</v>
      </c>
      <c r="C1803">
        <f t="shared" si="137"/>
        <v>1.0860657825400817</v>
      </c>
      <c r="D1803">
        <f t="shared" si="138"/>
        <v>62823.057429488072</v>
      </c>
      <c r="E1803">
        <f t="shared" si="139"/>
        <v>68229.973028717461</v>
      </c>
    </row>
    <row r="1804" spans="1:5">
      <c r="A1804">
        <f t="shared" si="135"/>
        <v>0.89529799254911546</v>
      </c>
      <c r="B1804">
        <f t="shared" si="136"/>
        <v>0.68668120016307777</v>
      </c>
      <c r="C1804">
        <f t="shared" si="137"/>
        <v>1.3265100640239096</v>
      </c>
      <c r="D1804">
        <f t="shared" si="138"/>
        <v>66767.571693335281</v>
      </c>
      <c r="E1804">
        <f t="shared" si="139"/>
        <v>88567.855801647151</v>
      </c>
    </row>
    <row r="1805" spans="1:5">
      <c r="A1805">
        <f t="shared" si="135"/>
        <v>0.61658196922966746</v>
      </c>
      <c r="B1805">
        <f t="shared" si="136"/>
        <v>3.2103112235037479E-2</v>
      </c>
      <c r="C1805">
        <f t="shared" si="137"/>
        <v>1.0438115820079543</v>
      </c>
      <c r="D1805">
        <f t="shared" si="138"/>
        <v>60962.475007106674</v>
      </c>
      <c r="E1805">
        <f t="shared" si="139"/>
        <v>63633.337480288392</v>
      </c>
    </row>
    <row r="1806" spans="1:5">
      <c r="A1806">
        <f t="shared" si="135"/>
        <v>0.83938621628825338</v>
      </c>
      <c r="B1806">
        <f t="shared" si="136"/>
        <v>0.1715727460455847</v>
      </c>
      <c r="C1806">
        <f t="shared" si="137"/>
        <v>1.2420144329725669</v>
      </c>
      <c r="D1806">
        <f t="shared" si="138"/>
        <v>63204.766332964464</v>
      </c>
      <c r="E1806">
        <f t="shared" si="139"/>
        <v>78501.232018200448</v>
      </c>
    </row>
    <row r="1807" spans="1:5">
      <c r="A1807">
        <f t="shared" si="135"/>
        <v>0.56371073372487279</v>
      </c>
      <c r="B1807">
        <f t="shared" si="136"/>
        <v>0.10509010159471965</v>
      </c>
      <c r="C1807">
        <f t="shared" si="137"/>
        <v>1.0088852607157732</v>
      </c>
      <c r="D1807">
        <f t="shared" si="138"/>
        <v>62446.963581609001</v>
      </c>
      <c r="E1807">
        <f t="shared" si="139"/>
        <v>63001.821133939993</v>
      </c>
    </row>
    <row r="1808" spans="1:5">
      <c r="A1808">
        <f t="shared" ref="A1808:A1871" si="140">IFERROR(MOD(MOD(($E$8+((ROW()-15)*(ROW()-14)/2)*13)*171,30269)/30269+MOD(($E$8+((ROW()-15)*(ROW()-14)/2)*29)*172,30307)/30307+MOD(($E$8+((ROW()-15)*(ROW()-14)/2)*47)*170,30323)/30323,1),0.5)</f>
        <v>0.78955552153952624</v>
      </c>
      <c r="B1808">
        <f t="shared" ref="B1808:B1871" si="141">IFERROR(MOD(MOD(($E$8+((ROW()-15)*(ROW()-14)/2)*17)*171,30269)/30269+MOD(($E$8+((ROW()-15)*(ROW()-14)/2)*41)*172,30307)/30307+MOD(($E$8+((ROW()-15)*(ROW()-14)/2)*83)*170,30323)/30323,1),0.5)</f>
        <v>0.83265517888244189</v>
      </c>
      <c r="C1808">
        <f t="shared" ref="C1808:C1871" si="142">IFERROR(EXP($E$4*NORMSINV(MIN(MAX(A1808,0.000000001),0.999999999))-$E$4^2/2),1)</f>
        <v>1.1852692792403106</v>
      </c>
      <c r="D1808">
        <f t="shared" ref="D1808:D1871" si="143">IFERROR($B$5+$E$5*NORMSINV(MIN(MAX(B1808,0.000000001),0.999999999)),$B$5)</f>
        <v>67955.425693878467</v>
      </c>
      <c r="E1808">
        <f t="shared" ref="E1808:E1871" si="144">IFERROR(C1808*MAX(D1808,0),0)</f>
        <v>80545.478432651813</v>
      </c>
    </row>
    <row r="1809" spans="1:5">
      <c r="A1809">
        <f t="shared" si="140"/>
        <v>0.51692057973221384</v>
      </c>
      <c r="B1809">
        <f t="shared" si="141"/>
        <v>0.35426797790875209</v>
      </c>
      <c r="C1809">
        <f t="shared" si="142"/>
        <v>0.9795681986867123</v>
      </c>
      <c r="D1809">
        <f t="shared" si="143"/>
        <v>64630.81263382639</v>
      </c>
      <c r="E1809">
        <f t="shared" si="144"/>
        <v>63310.288711375724</v>
      </c>
    </row>
    <row r="1810" spans="1:5">
      <c r="A1810">
        <f t="shared" si="140"/>
        <v>0.74580590830293492</v>
      </c>
      <c r="B1810">
        <f t="shared" si="141"/>
        <v>0.66992849867365001</v>
      </c>
      <c r="C1810">
        <f t="shared" si="142"/>
        <v>1.143492737032912</v>
      </c>
      <c r="D1810">
        <f t="shared" si="143"/>
        <v>66651.457485733408</v>
      </c>
      <c r="E1810">
        <f t="shared" si="144"/>
        <v>76215.457547594066</v>
      </c>
    </row>
    <row r="1811" spans="1:5">
      <c r="A1811">
        <f t="shared" si="140"/>
        <v>0.4762115072516897</v>
      </c>
      <c r="B1811">
        <f t="shared" si="141"/>
        <v>0.77963674117713566</v>
      </c>
      <c r="C1811">
        <f t="shared" si="142"/>
        <v>0.95488336945599195</v>
      </c>
      <c r="D1811">
        <f t="shared" si="143"/>
        <v>67474.209965564864</v>
      </c>
      <c r="E1811">
        <f t="shared" si="144"/>
        <v>64430.000963299644</v>
      </c>
    </row>
    <row r="1812" spans="1:5">
      <c r="A1812">
        <f t="shared" si="140"/>
        <v>0.70813737657847886</v>
      </c>
      <c r="B1812">
        <f t="shared" si="141"/>
        <v>0.68339270541920905</v>
      </c>
      <c r="C1812">
        <f t="shared" si="142"/>
        <v>1.1115304616093156</v>
      </c>
      <c r="D1812">
        <f t="shared" si="143"/>
        <v>66744.577711122707</v>
      </c>
      <c r="E1812">
        <f t="shared" si="144"/>
        <v>74188.631273163061</v>
      </c>
    </row>
    <row r="1813" spans="1:5">
      <c r="A1813">
        <f t="shared" si="140"/>
        <v>0.4415835162833015</v>
      </c>
      <c r="B1813">
        <f t="shared" si="141"/>
        <v>0.38119639139986994</v>
      </c>
      <c r="C1813">
        <f t="shared" si="142"/>
        <v>0.93427083408932154</v>
      </c>
      <c r="D1813">
        <f t="shared" si="143"/>
        <v>64808.359927345875</v>
      </c>
      <c r="E1813">
        <f t="shared" si="144"/>
        <v>60548.560485282396</v>
      </c>
    </row>
    <row r="1814" spans="1:5">
      <c r="A1814">
        <f t="shared" si="140"/>
        <v>0.67654992636615807</v>
      </c>
      <c r="B1814">
        <f t="shared" si="141"/>
        <v>0.87304779911911856</v>
      </c>
      <c r="C1814">
        <f t="shared" si="142"/>
        <v>1.0868332552890596</v>
      </c>
      <c r="D1814">
        <f t="shared" si="143"/>
        <v>68393.081872387585</v>
      </c>
      <c r="E1814">
        <f t="shared" si="144"/>
        <v>74331.875810618178</v>
      </c>
    </row>
    <row r="1815" spans="1:5">
      <c r="A1815">
        <f t="shared" si="140"/>
        <v>0.41303660682704813</v>
      </c>
      <c r="B1815">
        <f t="shared" si="141"/>
        <v>0.15894692857695492</v>
      </c>
      <c r="C1815">
        <f t="shared" si="142"/>
        <v>0.91742436336203104</v>
      </c>
      <c r="D1815">
        <f t="shared" si="143"/>
        <v>63078.524114811466</v>
      </c>
      <c r="E1815">
        <f t="shared" si="144"/>
        <v>57869.774827847432</v>
      </c>
    </row>
    <row r="1816" spans="1:5">
      <c r="A1816">
        <f t="shared" si="140"/>
        <v>0.65104355766597233</v>
      </c>
      <c r="B1816">
        <f t="shared" si="141"/>
        <v>0.23889377977337878</v>
      </c>
      <c r="C1816">
        <f t="shared" si="142"/>
        <v>1.0679969098138578</v>
      </c>
      <c r="D1816">
        <f t="shared" si="143"/>
        <v>63796.159926539352</v>
      </c>
      <c r="E1816">
        <f t="shared" si="144"/>
        <v>68134.101659534688</v>
      </c>
    </row>
    <row r="1817" spans="1:5">
      <c r="A1817">
        <f t="shared" si="140"/>
        <v>0.39057077888293001</v>
      </c>
      <c r="B1817">
        <f t="shared" si="141"/>
        <v>0.11288835270839059</v>
      </c>
      <c r="C1817">
        <f t="shared" si="142"/>
        <v>0.9041970882880932</v>
      </c>
      <c r="D1817">
        <f t="shared" si="143"/>
        <v>62550.686668631315</v>
      </c>
      <c r="E1817">
        <f t="shared" si="144"/>
        <v>56558.148756197283</v>
      </c>
    </row>
    <row r="1818" spans="1:5">
      <c r="A1818">
        <f t="shared" si="140"/>
        <v>0.63161827047792185</v>
      </c>
      <c r="B1818">
        <f t="shared" si="141"/>
        <v>0.78093064738199003</v>
      </c>
      <c r="C1818">
        <f t="shared" si="142"/>
        <v>1.0542036091188096</v>
      </c>
      <c r="D1818">
        <f t="shared" si="143"/>
        <v>67485.071918280271</v>
      </c>
      <c r="E1818">
        <f t="shared" si="144"/>
        <v>71143.006377893485</v>
      </c>
    </row>
    <row r="1819" spans="1:5">
      <c r="A1819">
        <f t="shared" si="140"/>
        <v>0.37418603245094739</v>
      </c>
      <c r="B1819">
        <f t="shared" si="141"/>
        <v>0.24302066379417742</v>
      </c>
      <c r="C1819">
        <f t="shared" si="142"/>
        <v>0.89453909905856765</v>
      </c>
      <c r="D1819">
        <f t="shared" si="143"/>
        <v>63829.061418606645</v>
      </c>
      <c r="E1819">
        <f t="shared" si="144"/>
        <v>57097.59109515437</v>
      </c>
    </row>
    <row r="1820" spans="1:5">
      <c r="A1820">
        <f t="shared" si="140"/>
        <v>0.61827406480200686</v>
      </c>
      <c r="B1820">
        <f t="shared" si="141"/>
        <v>0.49915840194495198</v>
      </c>
      <c r="C1820">
        <f t="shared" si="142"/>
        <v>1.0449695502258123</v>
      </c>
      <c r="D1820">
        <f t="shared" si="143"/>
        <v>65554.064174745028</v>
      </c>
      <c r="E1820">
        <f t="shared" si="144"/>
        <v>68502.000956157353</v>
      </c>
    </row>
    <row r="1821" spans="1:5">
      <c r="A1821">
        <f t="shared" si="140"/>
        <v>0.36388236753110004</v>
      </c>
      <c r="B1821">
        <f t="shared" si="141"/>
        <v>0.54934386183431427</v>
      </c>
      <c r="C1821">
        <f t="shared" si="142"/>
        <v>0.8884515914998169</v>
      </c>
      <c r="D1821">
        <f t="shared" si="143"/>
        <v>65867.301004507361</v>
      </c>
      <c r="E1821">
        <f t="shared" si="144"/>
        <v>58519.908405252056</v>
      </c>
    </row>
    <row r="1822" spans="1:5">
      <c r="A1822">
        <f t="shared" si="140"/>
        <v>0.61101094063822758</v>
      </c>
      <c r="B1822">
        <f t="shared" si="141"/>
        <v>0.39357704346226452</v>
      </c>
      <c r="C1822">
        <f t="shared" si="142"/>
        <v>1.0400187235526692</v>
      </c>
      <c r="D1822">
        <f t="shared" si="143"/>
        <v>64888.665547267345</v>
      </c>
      <c r="E1822">
        <f t="shared" si="144"/>
        <v>67485.427115505052</v>
      </c>
    </row>
    <row r="1823" spans="1:5">
      <c r="A1823">
        <f t="shared" si="140"/>
        <v>0.35965978412338839</v>
      </c>
      <c r="B1823">
        <f t="shared" si="141"/>
        <v>3.1857946828802275E-2</v>
      </c>
      <c r="C1823">
        <f t="shared" si="142"/>
        <v>0.88595237654145853</v>
      </c>
      <c r="D1823">
        <f t="shared" si="143"/>
        <v>60953.986728211239</v>
      </c>
      <c r="E1823">
        <f t="shared" si="144"/>
        <v>54002.329401535273</v>
      </c>
    </row>
    <row r="1824" spans="1:5">
      <c r="A1824">
        <f t="shared" si="140"/>
        <v>0.60982889798658313</v>
      </c>
      <c r="B1824">
        <f t="shared" si="141"/>
        <v>0.46418657193392798</v>
      </c>
      <c r="C1824">
        <f t="shared" si="142"/>
        <v>1.0392177616828517</v>
      </c>
      <c r="D1824">
        <f t="shared" si="143"/>
        <v>65336.032980903532</v>
      </c>
      <c r="E1824">
        <f t="shared" si="144"/>
        <v>67898.365951651547</v>
      </c>
    </row>
    <row r="1825" spans="1:5">
      <c r="A1825">
        <f t="shared" si="140"/>
        <v>0.36151828222781157</v>
      </c>
      <c r="B1825">
        <f t="shared" si="141"/>
        <v>0.69056291877764098</v>
      </c>
      <c r="C1825">
        <f t="shared" si="142"/>
        <v>0.88705272412912861</v>
      </c>
      <c r="D1825">
        <f t="shared" si="143"/>
        <v>66794.84773999959</v>
      </c>
      <c r="E1825">
        <f t="shared" si="144"/>
        <v>59250.551645557003</v>
      </c>
    </row>
    <row r="1826" spans="1:5">
      <c r="A1826">
        <f t="shared" si="140"/>
        <v>0.61472793684707394</v>
      </c>
      <c r="B1826">
        <f t="shared" si="141"/>
        <v>0.71098698735994192</v>
      </c>
      <c r="C1826">
        <f t="shared" si="142"/>
        <v>1.0425460092241179</v>
      </c>
      <c r="D1826">
        <f t="shared" si="143"/>
        <v>66940.952661137082</v>
      </c>
      <c r="E1826">
        <f t="shared" si="144"/>
        <v>69789.023050529053</v>
      </c>
    </row>
    <row r="1827" spans="1:5">
      <c r="A1827">
        <f t="shared" si="140"/>
        <v>0.36945786184437024</v>
      </c>
      <c r="B1827">
        <f t="shared" si="141"/>
        <v>0.52545877768083038</v>
      </c>
      <c r="C1827">
        <f t="shared" si="142"/>
        <v>0.89174738380012708</v>
      </c>
      <c r="D1827">
        <f t="shared" si="143"/>
        <v>65717.915238988819</v>
      </c>
      <c r="E1827">
        <f t="shared" si="144"/>
        <v>58603.778983166783</v>
      </c>
    </row>
    <row r="1828" spans="1:5">
      <c r="A1828">
        <f t="shared" si="140"/>
        <v>0.62570805721970035</v>
      </c>
      <c r="B1828">
        <f t="shared" si="141"/>
        <v>0.13397828974030679</v>
      </c>
      <c r="C1828">
        <f t="shared" si="142"/>
        <v>1.0500909672830046</v>
      </c>
      <c r="D1828">
        <f t="shared" si="143"/>
        <v>62807.829511984615</v>
      </c>
      <c r="E1828">
        <f t="shared" si="144"/>
        <v>65953.934445185965</v>
      </c>
    </row>
    <row r="1829" spans="1:5">
      <c r="A1829">
        <f t="shared" si="140"/>
        <v>0.38347852297306417</v>
      </c>
      <c r="B1829">
        <f t="shared" si="141"/>
        <v>0.53654552353837071</v>
      </c>
      <c r="C1829">
        <f t="shared" si="142"/>
        <v>0.90001901725507294</v>
      </c>
      <c r="D1829">
        <f t="shared" si="143"/>
        <v>65787.151557430261</v>
      </c>
      <c r="E1829">
        <f t="shared" si="144"/>
        <v>59209.687492728925</v>
      </c>
    </row>
    <row r="1830" spans="1:5">
      <c r="A1830">
        <f t="shared" si="140"/>
        <v>0.64276925910446203</v>
      </c>
      <c r="B1830">
        <f t="shared" si="141"/>
        <v>0.73316047907502235</v>
      </c>
      <c r="C1830">
        <f t="shared" si="142"/>
        <v>1.0620677350745849</v>
      </c>
      <c r="D1830">
        <f t="shared" si="143"/>
        <v>67105.202918514871</v>
      </c>
      <c r="E1830">
        <f t="shared" si="144"/>
        <v>71270.270875387505</v>
      </c>
    </row>
    <row r="1831" spans="1:5">
      <c r="A1831">
        <f t="shared" si="140"/>
        <v>0.40358026561389337</v>
      </c>
      <c r="B1831">
        <f t="shared" si="141"/>
        <v>0.72382315635026162</v>
      </c>
      <c r="C1831">
        <f t="shared" si="142"/>
        <v>0.91185646227298778</v>
      </c>
      <c r="D1831">
        <f t="shared" si="143"/>
        <v>67035.252768210572</v>
      </c>
      <c r="E1831">
        <f t="shared" si="144"/>
        <v>61126.528436796005</v>
      </c>
    </row>
    <row r="1832" spans="1:5">
      <c r="A1832">
        <f t="shared" si="140"/>
        <v>0.66591154250135887</v>
      </c>
      <c r="B1832">
        <f t="shared" si="141"/>
        <v>0.50853355536408862</v>
      </c>
      <c r="C1832">
        <f t="shared" si="142"/>
        <v>1.078868553601962</v>
      </c>
      <c r="D1832">
        <f t="shared" si="143"/>
        <v>65612.43693241704</v>
      </c>
      <c r="E1832">
        <f t="shared" si="144"/>
        <v>70787.194931576727</v>
      </c>
    </row>
    <row r="1833" spans="1:5">
      <c r="A1833">
        <f t="shared" si="140"/>
        <v>0.42976308976685806</v>
      </c>
      <c r="B1833">
        <f t="shared" si="141"/>
        <v>8.7291676116503236E-2</v>
      </c>
      <c r="C1833">
        <f t="shared" si="142"/>
        <v>0.92728498089228839</v>
      </c>
      <c r="D1833">
        <f t="shared" si="143"/>
        <v>62187.278064785176</v>
      </c>
      <c r="E1833">
        <f t="shared" si="144"/>
        <v>57665.328952047748</v>
      </c>
    </row>
    <row r="1834" spans="1:5">
      <c r="A1834">
        <f t="shared" si="140"/>
        <v>0.69513490741039119</v>
      </c>
      <c r="B1834">
        <f t="shared" si="141"/>
        <v>0.46009751860750558</v>
      </c>
      <c r="C1834">
        <f t="shared" si="142"/>
        <v>1.1011605393890549</v>
      </c>
      <c r="D1834">
        <f t="shared" si="143"/>
        <v>65310.459624737625</v>
      </c>
      <c r="E1834">
        <f t="shared" si="144"/>
        <v>71917.300948123171</v>
      </c>
    </row>
    <row r="1835" spans="1:5">
      <c r="A1835">
        <f t="shared" si="140"/>
        <v>0.46202699543195802</v>
      </c>
      <c r="B1835">
        <f t="shared" si="141"/>
        <v>0.62695108283709589</v>
      </c>
      <c r="C1835">
        <f t="shared" si="142"/>
        <v>0.94640744633104124</v>
      </c>
      <c r="D1835">
        <f t="shared" si="143"/>
        <v>66363.521745209291</v>
      </c>
      <c r="E1835">
        <f t="shared" si="144"/>
        <v>62806.931144418049</v>
      </c>
    </row>
    <row r="1836" spans="1:5">
      <c r="A1836">
        <f t="shared" si="140"/>
        <v>0.73043935383155856</v>
      </c>
      <c r="B1836">
        <f t="shared" si="141"/>
        <v>0.58785236880527347</v>
      </c>
      <c r="C1836">
        <f t="shared" si="142"/>
        <v>1.1300767798399098</v>
      </c>
      <c r="D1836">
        <f t="shared" si="143"/>
        <v>66110.760659178268</v>
      </c>
      <c r="E1836">
        <f t="shared" si="144"/>
        <v>74710.235518491172</v>
      </c>
    </row>
    <row r="1837" spans="1:5">
      <c r="A1837">
        <f t="shared" si="140"/>
        <v>0.50037198260919302</v>
      </c>
      <c r="B1837">
        <f t="shared" si="141"/>
        <v>0.34280137651203901</v>
      </c>
      <c r="C1837">
        <f t="shared" si="142"/>
        <v>0.96945919447256501</v>
      </c>
      <c r="D1837">
        <f t="shared" si="143"/>
        <v>64553.799425063087</v>
      </c>
      <c r="E1837">
        <f t="shared" si="144"/>
        <v>62582.274390765189</v>
      </c>
    </row>
    <row r="1838" spans="1:5">
      <c r="A1838">
        <f t="shared" si="140"/>
        <v>0.77182488176486141</v>
      </c>
      <c r="B1838">
        <f t="shared" si="141"/>
        <v>0.89179810595739184</v>
      </c>
      <c r="C1838">
        <f t="shared" si="142"/>
        <v>1.167620049594571</v>
      </c>
      <c r="D1838">
        <f t="shared" si="143"/>
        <v>68629.61202959111</v>
      </c>
      <c r="E1838">
        <f t="shared" si="144"/>
        <v>80133.311001647337</v>
      </c>
    </row>
    <row r="1839" spans="1:5">
      <c r="A1839">
        <f t="shared" si="140"/>
        <v>0.54479805129856373</v>
      </c>
      <c r="B1839">
        <f t="shared" si="141"/>
        <v>0.23484255714133284</v>
      </c>
      <c r="C1839">
        <f t="shared" si="142"/>
        <v>0.99688713018436059</v>
      </c>
      <c r="D1839">
        <f t="shared" si="143"/>
        <v>63763.557915398182</v>
      </c>
      <c r="E1839">
        <f t="shared" si="144"/>
        <v>63565.070260625565</v>
      </c>
    </row>
    <row r="1840" spans="1:5">
      <c r="A1840">
        <f t="shared" si="140"/>
        <v>0.81929149121029954</v>
      </c>
      <c r="B1840">
        <f t="shared" si="141"/>
        <v>0.37193473006386157</v>
      </c>
      <c r="C1840">
        <f t="shared" si="142"/>
        <v>1.2176430653944164</v>
      </c>
      <c r="D1840">
        <f t="shared" si="143"/>
        <v>64747.772380996226</v>
      </c>
      <c r="E1840">
        <f t="shared" si="144"/>
        <v>78839.676039456172</v>
      </c>
    </row>
    <row r="1841" spans="1:5">
      <c r="A1841">
        <f t="shared" si="140"/>
        <v>0.59530520150006949</v>
      </c>
      <c r="B1841">
        <f t="shared" si="141"/>
        <v>0.30307462472497759</v>
      </c>
      <c r="C1841">
        <f t="shared" si="142"/>
        <v>1.0294795585115151</v>
      </c>
      <c r="D1841">
        <f t="shared" si="143"/>
        <v>64278.72596330761</v>
      </c>
      <c r="E1841">
        <f t="shared" si="144"/>
        <v>66173.634426388584</v>
      </c>
    </row>
    <row r="1842" spans="1:5">
      <c r="A1842">
        <f t="shared" si="140"/>
        <v>0.87283918216787315</v>
      </c>
      <c r="B1842">
        <f t="shared" si="141"/>
        <v>2.8262241124681342E-2</v>
      </c>
      <c r="C1842">
        <f t="shared" si="142"/>
        <v>1.2888222253175057</v>
      </c>
      <c r="D1842">
        <f t="shared" si="143"/>
        <v>60822.825505404777</v>
      </c>
      <c r="E1842">
        <f t="shared" si="144"/>
        <v>78389.809317974126</v>
      </c>
    </row>
    <row r="1843" spans="1:5">
      <c r="A1843">
        <f t="shared" si="140"/>
        <v>0.65189343321371074</v>
      </c>
      <c r="B1843">
        <f t="shared" si="141"/>
        <v>0.54749757926297304</v>
      </c>
      <c r="C1843">
        <f t="shared" si="142"/>
        <v>1.0686106545630105</v>
      </c>
      <c r="D1843">
        <f t="shared" si="143"/>
        <v>65855.72083534181</v>
      </c>
      <c r="E1843">
        <f t="shared" si="144"/>
        <v>70374.124948573502</v>
      </c>
    </row>
    <row r="1844" spans="1:5">
      <c r="A1844">
        <f t="shared" si="140"/>
        <v>0.93246795463758203</v>
      </c>
      <c r="B1844">
        <f t="shared" si="141"/>
        <v>0.86078063913985225</v>
      </c>
      <c r="C1844">
        <f t="shared" si="142"/>
        <v>1.4082625492046574</v>
      </c>
      <c r="D1844">
        <f t="shared" si="143"/>
        <v>68251.298584260658</v>
      </c>
      <c r="E1844">
        <f t="shared" si="144"/>
        <v>96115.747730799136</v>
      </c>
    </row>
    <row r="1845" spans="1:5">
      <c r="A1845">
        <f t="shared" si="140"/>
        <v>0.71456274643948703</v>
      </c>
      <c r="B1845">
        <f t="shared" si="141"/>
        <v>0.96811142075531942</v>
      </c>
      <c r="C1845">
        <f t="shared" si="142"/>
        <v>1.1167704679742221</v>
      </c>
      <c r="D1845">
        <f t="shared" si="143"/>
        <v>70163.557509086793</v>
      </c>
      <c r="E1845">
        <f t="shared" si="144"/>
        <v>78356.588954159102</v>
      </c>
    </row>
    <row r="1846" spans="1:5">
      <c r="A1846">
        <f t="shared" si="140"/>
        <v>0.99817780861942595</v>
      </c>
      <c r="B1846">
        <f t="shared" si="141"/>
        <v>0.86948992410937365</v>
      </c>
      <c r="C1846">
        <f t="shared" si="142"/>
        <v>2.0049153471637235</v>
      </c>
      <c r="D1846">
        <f t="shared" si="143"/>
        <v>68351.021809554397</v>
      </c>
      <c r="E1846">
        <f t="shared" si="144"/>
        <v>137038.01262029799</v>
      </c>
    </row>
    <row r="1847" spans="1:5">
      <c r="A1847">
        <f t="shared" si="140"/>
        <v>0.78331314117739881</v>
      </c>
      <c r="B1847">
        <f t="shared" si="141"/>
        <v>0.56491614920201627</v>
      </c>
      <c r="C1847">
        <f t="shared" si="142"/>
        <v>1.1789307633133472</v>
      </c>
      <c r="D1847">
        <f t="shared" si="143"/>
        <v>65965.265157366783</v>
      </c>
      <c r="E1847">
        <f t="shared" si="144"/>
        <v>77768.480404141766</v>
      </c>
    </row>
    <row r="1848" spans="1:5">
      <c r="A1848">
        <f t="shared" si="140"/>
        <v>6.9968744113405368E-2</v>
      </c>
      <c r="B1848">
        <f t="shared" si="141"/>
        <v>5.439009603324596E-2</v>
      </c>
      <c r="C1848">
        <f t="shared" si="142"/>
        <v>0.67014849025343615</v>
      </c>
      <c r="D1848">
        <f t="shared" si="143"/>
        <v>61576.078787776809</v>
      </c>
      <c r="E1848">
        <f t="shared" si="144"/>
        <v>41265.116235355265</v>
      </c>
    </row>
    <row r="1849" spans="1:5">
      <c r="A1849">
        <f t="shared" si="140"/>
        <v>0.85814461742744585</v>
      </c>
      <c r="B1849">
        <f t="shared" si="141"/>
        <v>0.33791176460306382</v>
      </c>
      <c r="C1849">
        <f t="shared" si="142"/>
        <v>1.2671308330111275</v>
      </c>
      <c r="D1849">
        <f t="shared" si="143"/>
        <v>64520.667350839307</v>
      </c>
      <c r="E1849">
        <f t="shared" si="144"/>
        <v>81756.126966702868</v>
      </c>
    </row>
    <row r="1850" spans="1:5">
      <c r="A1850">
        <f t="shared" si="140"/>
        <v>0.14784076111952027</v>
      </c>
      <c r="B1850">
        <f t="shared" si="141"/>
        <v>0.41548115491146925</v>
      </c>
      <c r="C1850">
        <f t="shared" si="142"/>
        <v>0.7462573494690089</v>
      </c>
      <c r="D1850">
        <f t="shared" si="143"/>
        <v>65029.099209390108</v>
      </c>
      <c r="E1850">
        <f t="shared" si="144"/>
        <v>48528.443214356681</v>
      </c>
    </row>
    <row r="1851" spans="1:5">
      <c r="A1851">
        <f t="shared" si="140"/>
        <v>0.93905717518962817</v>
      </c>
      <c r="B1851">
        <f t="shared" si="141"/>
        <v>0.2870982669584623</v>
      </c>
      <c r="C1851">
        <f t="shared" si="142"/>
        <v>1.4268607824036215</v>
      </c>
      <c r="D1851">
        <f t="shared" si="143"/>
        <v>64163.717558825701</v>
      </c>
      <c r="E1851">
        <f t="shared" si="144"/>
        <v>91552.692237911018</v>
      </c>
    </row>
    <row r="1852" spans="1:5">
      <c r="A1852">
        <f t="shared" si="140"/>
        <v>0.23179385963776999</v>
      </c>
      <c r="B1852">
        <f t="shared" si="141"/>
        <v>0.95276310074404313</v>
      </c>
      <c r="C1852">
        <f t="shared" si="142"/>
        <v>0.8069544995766722</v>
      </c>
      <c r="D1852">
        <f t="shared" si="143"/>
        <v>69712.807067870308</v>
      </c>
      <c r="E1852">
        <f t="shared" si="144"/>
        <v>56255.063341538378</v>
      </c>
    </row>
    <row r="1853" spans="1:5">
      <c r="A1853">
        <f t="shared" si="140"/>
        <v>2.6050814463945748E-2</v>
      </c>
      <c r="B1853">
        <f t="shared" si="141"/>
        <v>0.41247565626821148</v>
      </c>
      <c r="C1853">
        <f t="shared" si="142"/>
        <v>0.59641218057829593</v>
      </c>
      <c r="D1853">
        <f t="shared" si="143"/>
        <v>65009.94011171216</v>
      </c>
      <c r="E1853">
        <f t="shared" si="144"/>
        <v>38772.72014129068</v>
      </c>
    </row>
    <row r="1854" spans="1:5">
      <c r="A1854">
        <f t="shared" si="140"/>
        <v>0.32182803966815543</v>
      </c>
      <c r="B1854">
        <f t="shared" si="141"/>
        <v>0.66623593353096755</v>
      </c>
      <c r="C1854">
        <f t="shared" si="142"/>
        <v>0.86338180766779626</v>
      </c>
      <c r="D1854">
        <f t="shared" si="143"/>
        <v>66626.190640040877</v>
      </c>
      <c r="E1854">
        <f t="shared" si="144"/>
        <v>57523.840912817701</v>
      </c>
    </row>
    <row r="1855" spans="1:5">
      <c r="A1855">
        <f t="shared" si="140"/>
        <v>0.11912553525039882</v>
      </c>
      <c r="B1855">
        <f t="shared" si="141"/>
        <v>0.71404393253231135</v>
      </c>
      <c r="C1855">
        <f t="shared" si="142"/>
        <v>0.72173851190136151</v>
      </c>
      <c r="D1855">
        <f t="shared" si="143"/>
        <v>66963.225274354802</v>
      </c>
      <c r="E1855">
        <f t="shared" si="144"/>
        <v>48329.938561628478</v>
      </c>
    </row>
    <row r="1856" spans="1:5">
      <c r="A1856">
        <f t="shared" si="140"/>
        <v>0.41794330121067613</v>
      </c>
      <c r="B1856">
        <f t="shared" si="141"/>
        <v>0.55589965327224289</v>
      </c>
      <c r="C1856">
        <f t="shared" si="142"/>
        <v>0.92031483398699887</v>
      </c>
      <c r="D1856">
        <f t="shared" si="143"/>
        <v>65908.475854679491</v>
      </c>
      <c r="E1856">
        <f t="shared" si="144"/>
        <v>60656.548014535481</v>
      </c>
    </row>
    <row r="1857" spans="1:5">
      <c r="A1857">
        <f t="shared" si="140"/>
        <v>0.21828133754898715</v>
      </c>
      <c r="B1857">
        <f t="shared" si="141"/>
        <v>0.19180309575076215</v>
      </c>
      <c r="C1857">
        <f t="shared" si="142"/>
        <v>0.79791541147814804</v>
      </c>
      <c r="D1857">
        <f t="shared" si="143"/>
        <v>63395.265380342251</v>
      </c>
      <c r="E1857">
        <f t="shared" si="144"/>
        <v>50584.059261722177</v>
      </c>
    </row>
    <row r="1858" spans="1:5">
      <c r="A1858">
        <f t="shared" si="140"/>
        <v>0.5201396442653321</v>
      </c>
      <c r="B1858">
        <f t="shared" si="141"/>
        <v>0.62175425996786893</v>
      </c>
      <c r="C1858">
        <f t="shared" si="142"/>
        <v>0.9815483705897976</v>
      </c>
      <c r="D1858">
        <f t="shared" si="143"/>
        <v>66329.500101846032</v>
      </c>
      <c r="E1858">
        <f t="shared" si="144"/>
        <v>65105.612747002786</v>
      </c>
    </row>
    <row r="1859" spans="1:5">
      <c r="A1859">
        <f t="shared" si="140"/>
        <v>0.32351822135971076</v>
      </c>
      <c r="B1859">
        <f t="shared" si="141"/>
        <v>0.84575314592356365</v>
      </c>
      <c r="C1859">
        <f t="shared" si="142"/>
        <v>0.86439903539768825</v>
      </c>
      <c r="D1859">
        <f t="shared" si="143"/>
        <v>68088.746856681057</v>
      </c>
      <c r="E1859">
        <f t="shared" si="144"/>
        <v>58855.847104352484</v>
      </c>
    </row>
    <row r="1860" spans="1:5">
      <c r="A1860">
        <f t="shared" si="140"/>
        <v>0.62841706883212334</v>
      </c>
      <c r="B1860">
        <f t="shared" si="141"/>
        <v>0.86379975361784567</v>
      </c>
      <c r="C1860">
        <f t="shared" si="142"/>
        <v>1.0519714286348052</v>
      </c>
      <c r="D1860">
        <f t="shared" si="143"/>
        <v>68285.370851353844</v>
      </c>
      <c r="E1860">
        <f t="shared" si="144"/>
        <v>71834.259129356185</v>
      </c>
    </row>
    <row r="1861" spans="1:5">
      <c r="A1861">
        <f t="shared" si="140"/>
        <v>0.43483618668256963</v>
      </c>
      <c r="B1861">
        <f t="shared" si="141"/>
        <v>0.67589408305071563</v>
      </c>
      <c r="C1861">
        <f t="shared" si="142"/>
        <v>0.93028092934824591</v>
      </c>
      <c r="D1861">
        <f t="shared" si="143"/>
        <v>66692.519227052224</v>
      </c>
      <c r="E1861">
        <f t="shared" si="144"/>
        <v>62042.778767117903</v>
      </c>
    </row>
    <row r="1862" spans="1:5">
      <c r="A1862">
        <f t="shared" si="140"/>
        <v>0.74277557491104995</v>
      </c>
      <c r="B1862">
        <f t="shared" si="141"/>
        <v>0.28203613422217355</v>
      </c>
      <c r="C1862">
        <f t="shared" si="142"/>
        <v>1.1408019998170831</v>
      </c>
      <c r="D1862">
        <f t="shared" si="143"/>
        <v>64126.655768057804</v>
      </c>
      <c r="E1862">
        <f t="shared" si="144"/>
        <v>73155.817141782027</v>
      </c>
    </row>
    <row r="1863" spans="1:5">
      <c r="A1863">
        <f t="shared" si="140"/>
        <v>0.55223523351756398</v>
      </c>
      <c r="B1863">
        <f t="shared" si="141"/>
        <v>0.68222590713221853</v>
      </c>
      <c r="C1863">
        <f t="shared" si="142"/>
        <v>1.0015789185196919</v>
      </c>
      <c r="D1863">
        <f t="shared" si="143"/>
        <v>66736.443620028149</v>
      </c>
      <c r="E1863">
        <f t="shared" si="144"/>
        <v>66841.815026798184</v>
      </c>
    </row>
    <row r="1864" spans="1:5">
      <c r="A1864">
        <f t="shared" si="140"/>
        <v>0.86321516250211183</v>
      </c>
      <c r="B1864">
        <f t="shared" si="141"/>
        <v>0.87646340178085158</v>
      </c>
      <c r="C1864">
        <f t="shared" si="142"/>
        <v>1.2743926802572758</v>
      </c>
      <c r="D1864">
        <f t="shared" si="143"/>
        <v>68434.23912748124</v>
      </c>
      <c r="E1864">
        <f t="shared" si="144"/>
        <v>87212.093423038154</v>
      </c>
    </row>
    <row r="1865" spans="1:5">
      <c r="A1865">
        <f t="shared" si="140"/>
        <v>0.67571536186469361</v>
      </c>
      <c r="B1865">
        <f t="shared" si="141"/>
        <v>0.86474861816807225</v>
      </c>
      <c r="C1865">
        <f t="shared" si="142"/>
        <v>1.0862025009311347</v>
      </c>
      <c r="D1865">
        <f t="shared" si="143"/>
        <v>68296.185793728931</v>
      </c>
      <c r="E1865">
        <f t="shared" si="144"/>
        <v>74183.487813205793</v>
      </c>
    </row>
    <row r="1866" spans="1:5">
      <c r="A1866">
        <f t="shared" si="140"/>
        <v>0.98973583160530909</v>
      </c>
      <c r="B1866">
        <f t="shared" si="141"/>
        <v>0.64708155629388076</v>
      </c>
      <c r="C1866">
        <f t="shared" si="142"/>
        <v>1.7295947588572242</v>
      </c>
      <c r="D1866">
        <f t="shared" si="143"/>
        <v>66496.811375246572</v>
      </c>
      <c r="E1866">
        <f t="shared" si="144"/>
        <v>115012.53643534392</v>
      </c>
    </row>
    <row r="1867" spans="1:5">
      <c r="A1867">
        <f t="shared" si="140"/>
        <v>0.80527657172395828</v>
      </c>
      <c r="B1867">
        <f t="shared" si="141"/>
        <v>0.22346221615827666</v>
      </c>
      <c r="C1867">
        <f t="shared" si="142"/>
        <v>1.2019019154062622</v>
      </c>
      <c r="D1867">
        <f t="shared" si="143"/>
        <v>63670.265059361176</v>
      </c>
      <c r="E1867">
        <f t="shared" si="144"/>
        <v>76525.413529270605</v>
      </c>
    </row>
    <row r="1868" spans="1:5">
      <c r="A1868">
        <f t="shared" si="140"/>
        <v>0.12233758222064139</v>
      </c>
      <c r="B1868">
        <f t="shared" si="141"/>
        <v>0.59389059776126052</v>
      </c>
      <c r="C1868">
        <f t="shared" si="142"/>
        <v>0.7246292597383549</v>
      </c>
      <c r="D1868">
        <f t="shared" si="143"/>
        <v>66149.360179954136</v>
      </c>
      <c r="E1868">
        <f t="shared" si="144"/>
        <v>47933.761899365978</v>
      </c>
    </row>
    <row r="1869" spans="1:5">
      <c r="A1869">
        <f t="shared" si="140"/>
        <v>0.94091886309535866</v>
      </c>
      <c r="B1869">
        <f t="shared" si="141"/>
        <v>0.75836670110283189</v>
      </c>
      <c r="C1869">
        <f t="shared" si="142"/>
        <v>1.432445991946071</v>
      </c>
      <c r="D1869">
        <f t="shared" si="143"/>
        <v>67300.572944792468</v>
      </c>
      <c r="E1869">
        <f t="shared" si="144"/>
        <v>96404.435970442151</v>
      </c>
    </row>
    <row r="1870" spans="1:5">
      <c r="A1870">
        <f t="shared" si="140"/>
        <v>0.26102041434810941</v>
      </c>
      <c r="B1870">
        <f t="shared" si="141"/>
        <v>0.71689052618299076</v>
      </c>
      <c r="C1870">
        <f t="shared" si="142"/>
        <v>0.82588422839386333</v>
      </c>
      <c r="D1870">
        <f t="shared" si="143"/>
        <v>66984.067250916778</v>
      </c>
      <c r="E1870">
        <f t="shared" si="144"/>
        <v>55321.084696206053</v>
      </c>
    </row>
    <row r="1871" spans="1:5">
      <c r="A1871">
        <f t="shared" si="140"/>
        <v>8.2642235978894085E-2</v>
      </c>
      <c r="B1871">
        <f t="shared" si="141"/>
        <v>0.46946207300173781</v>
      </c>
      <c r="C1871">
        <f t="shared" si="142"/>
        <v>0.68514210953187871</v>
      </c>
      <c r="D1871">
        <f t="shared" si="143"/>
        <v>65368.991958745813</v>
      </c>
      <c r="E1871">
        <f t="shared" si="144"/>
        <v>44787.04904858752</v>
      </c>
    </row>
    <row r="1872" spans="1:5">
      <c r="A1872">
        <f t="shared" ref="A1872:A1935" si="145">IFERROR(MOD(MOD(($E$8+((ROW()-15)*(ROW()-14)/2)*13)*171,30269)/30269+MOD(($E$8+((ROW()-15)*(ROW()-14)/2)*29)*172,30307)/30307+MOD(($E$8+((ROW()-15)*(ROW()-14)/2)*47)*170,30323)/30323,1),0.5)</f>
        <v>0.40578432798771269</v>
      </c>
      <c r="B1872">
        <f t="shared" ref="B1872:B1935" si="146">IFERROR(MOD(MOD(($E$8+((ROW()-15)*(ROW()-14)/2)*17)*171,30269)/30269+MOD(($E$8+((ROW()-15)*(ROW()-14)/2)*41)*172,30307)/30307+MOD(($E$8+((ROW()-15)*(ROW()-14)/2)*83)*170,30323)/30323,1),0.5)</f>
        <v>1.6081341559072149E-2</v>
      </c>
      <c r="C1872">
        <f t="shared" ref="C1872:C1935" si="147">IFERROR(EXP($E$4*NORMSINV(MIN(MAX(A1872,0.000000001),0.999999999))-$E$4^2/2),1)</f>
        <v>0.91315402285496805</v>
      </c>
      <c r="D1872">
        <f t="shared" ref="D1872:D1935" si="148">IFERROR($B$5+$E$5*NORMSINV(MIN(MAX(B1872,0.000000001),0.999999999)),$B$5)</f>
        <v>60238.113374391207</v>
      </c>
      <c r="E1872">
        <f t="shared" ref="E1872:E1935" si="149">IFERROR(C1872*MAX(D1872,0),0)</f>
        <v>55006.675557018985</v>
      </c>
    </row>
    <row r="1873" spans="1:5">
      <c r="A1873">
        <f t="shared" si="145"/>
        <v>0.23044669037456489</v>
      </c>
      <c r="B1873">
        <f t="shared" si="146"/>
        <v>0.35674833185499466</v>
      </c>
      <c r="C1873">
        <f t="shared" si="147"/>
        <v>0.80606238228950289</v>
      </c>
      <c r="D1873">
        <f t="shared" si="148"/>
        <v>64647.352150681938</v>
      </c>
      <c r="E1873">
        <f t="shared" si="149"/>
        <v>52109.798683287103</v>
      </c>
    </row>
    <row r="1874" spans="1:5">
      <c r="A1874">
        <f t="shared" si="145"/>
        <v>0.55662932313945124</v>
      </c>
      <c r="B1874">
        <f t="shared" si="146"/>
        <v>0.49146304388950424</v>
      </c>
      <c r="C1874">
        <f t="shared" si="147"/>
        <v>1.0043666941400105</v>
      </c>
      <c r="D1874">
        <f t="shared" si="148"/>
        <v>65506.149646114151</v>
      </c>
      <c r="E1874">
        <f t="shared" si="149"/>
        <v>65792.194965908478</v>
      </c>
    </row>
    <row r="1875" spans="1:5">
      <c r="A1875">
        <f t="shared" si="145"/>
        <v>0.38433222628237096</v>
      </c>
      <c r="B1875">
        <f t="shared" si="146"/>
        <v>0.42022547766260182</v>
      </c>
      <c r="C1875">
        <f t="shared" si="147"/>
        <v>0.90052209837069541</v>
      </c>
      <c r="D1875">
        <f t="shared" si="148"/>
        <v>65059.279141444196</v>
      </c>
      <c r="E1875">
        <f t="shared" si="149"/>
        <v>58587.318570938143</v>
      </c>
    </row>
    <row r="1876" spans="1:5">
      <c r="A1876">
        <f t="shared" si="145"/>
        <v>0.71355539980332483</v>
      </c>
      <c r="B1876">
        <f t="shared" si="146"/>
        <v>0.14303563317428702</v>
      </c>
      <c r="C1876">
        <f t="shared" si="147"/>
        <v>1.1159436682300632</v>
      </c>
      <c r="D1876">
        <f t="shared" si="148"/>
        <v>62909.666065999743</v>
      </c>
      <c r="E1876">
        <f t="shared" si="149"/>
        <v>70203.643516820084</v>
      </c>
    </row>
    <row r="1877" spans="1:5">
      <c r="A1877">
        <f t="shared" si="145"/>
        <v>0.54429884370231241</v>
      </c>
      <c r="B1877">
        <f t="shared" si="146"/>
        <v>0.65989351042455979</v>
      </c>
      <c r="C1877">
        <f t="shared" si="147"/>
        <v>0.99657336279854591</v>
      </c>
      <c r="D1877">
        <f t="shared" si="148"/>
        <v>66583.046408197115</v>
      </c>
      <c r="E1877">
        <f t="shared" si="149"/>
        <v>66354.890464388649</v>
      </c>
    </row>
    <row r="1878" spans="1:5">
      <c r="A1878">
        <f t="shared" si="145"/>
        <v>0.87656255797933391</v>
      </c>
      <c r="B1878">
        <f t="shared" si="146"/>
        <v>0.97079910941342051</v>
      </c>
      <c r="C1878">
        <f t="shared" si="147"/>
        <v>1.2946538403875387</v>
      </c>
      <c r="D1878">
        <f t="shared" si="148"/>
        <v>70260.264260988959</v>
      </c>
      <c r="E1878">
        <f t="shared" si="149"/>
        <v>90962.720952132688</v>
      </c>
    </row>
    <row r="1879" spans="1:5">
      <c r="A1879">
        <f t="shared" si="145"/>
        <v>0.71034654263438912</v>
      </c>
      <c r="B1879">
        <f t="shared" si="146"/>
        <v>7.5752430140869187E-2</v>
      </c>
      <c r="C1879">
        <f t="shared" si="147"/>
        <v>1.1133231220559692</v>
      </c>
      <c r="D1879">
        <f t="shared" si="148"/>
        <v>61996.988177076164</v>
      </c>
      <c r="E1879">
        <f t="shared" si="149"/>
        <v>69022.680435369446</v>
      </c>
    </row>
    <row r="1880" spans="1:5">
      <c r="A1880">
        <f t="shared" si="145"/>
        <v>4.565079766747826E-2</v>
      </c>
      <c r="B1880">
        <f t="shared" si="146"/>
        <v>0.97475347260690492</v>
      </c>
      <c r="C1880">
        <f t="shared" si="147"/>
        <v>0.63546844079827369</v>
      </c>
      <c r="D1880">
        <f t="shared" si="148"/>
        <v>70416.973641122138</v>
      </c>
      <c r="E1880">
        <f t="shared" si="149"/>
        <v>44747.764445457025</v>
      </c>
    </row>
    <row r="1881" spans="1:5">
      <c r="A1881">
        <f t="shared" si="145"/>
        <v>0.8824753230786011</v>
      </c>
      <c r="B1881">
        <f t="shared" si="146"/>
        <v>0.66780223681152862</v>
      </c>
      <c r="C1881">
        <f t="shared" si="147"/>
        <v>1.3042302449198022</v>
      </c>
      <c r="D1881">
        <f t="shared" si="148"/>
        <v>66636.894637083329</v>
      </c>
      <c r="E1881">
        <f t="shared" si="149"/>
        <v>86909.853413218239</v>
      </c>
    </row>
    <row r="1882" spans="1:5">
      <c r="A1882">
        <f t="shared" si="145"/>
        <v>0.2208201188677581</v>
      </c>
      <c r="B1882">
        <f t="shared" si="146"/>
        <v>0.15489872275473981</v>
      </c>
      <c r="C1882">
        <f t="shared" si="147"/>
        <v>0.79962965233313688</v>
      </c>
      <c r="D1882">
        <f t="shared" si="148"/>
        <v>63036.668004759231</v>
      </c>
      <c r="E1882">
        <f t="shared" si="149"/>
        <v>50405.988920885</v>
      </c>
    </row>
    <row r="1883" spans="1:5">
      <c r="A1883">
        <f t="shared" si="145"/>
        <v>6.0685185034948574E-2</v>
      </c>
      <c r="B1883">
        <f t="shared" si="146"/>
        <v>0.43604293043653897</v>
      </c>
      <c r="C1883">
        <f t="shared" si="147"/>
        <v>0.65802536210740892</v>
      </c>
      <c r="D1883">
        <f t="shared" si="148"/>
        <v>65159.392819930523</v>
      </c>
      <c r="E1883">
        <f t="shared" si="149"/>
        <v>42876.53305503368</v>
      </c>
    </row>
    <row r="1884" spans="1:5">
      <c r="A1884">
        <f t="shared" si="145"/>
        <v>0.40207052158017298</v>
      </c>
      <c r="B1884">
        <f t="shared" si="146"/>
        <v>0.51123485985692563</v>
      </c>
      <c r="C1884">
        <f t="shared" si="147"/>
        <v>0.91096768377564075</v>
      </c>
      <c r="D1884">
        <f t="shared" si="148"/>
        <v>65629.260160957143</v>
      </c>
      <c r="E1884">
        <f t="shared" si="149"/>
        <v>59786.135116736063</v>
      </c>
    </row>
    <row r="1885" spans="1:5">
      <c r="A1885">
        <f t="shared" si="145"/>
        <v>0.24497612850343131</v>
      </c>
      <c r="B1885">
        <f t="shared" si="146"/>
        <v>0.38047451101590024</v>
      </c>
      <c r="C1885">
        <f t="shared" si="147"/>
        <v>0.81558780677193432</v>
      </c>
      <c r="D1885">
        <f t="shared" si="148"/>
        <v>64803.654047160831</v>
      </c>
      <c r="E1885">
        <f t="shared" si="149"/>
        <v>52853.070075131087</v>
      </c>
    </row>
    <row r="1886" spans="1:5">
      <c r="A1886">
        <f t="shared" si="145"/>
        <v>0.58940200580472335</v>
      </c>
      <c r="B1886">
        <f t="shared" si="146"/>
        <v>4.3761883913462141E-2</v>
      </c>
      <c r="C1886">
        <f t="shared" si="147"/>
        <v>1.0255732720052031</v>
      </c>
      <c r="D1886">
        <f t="shared" si="148"/>
        <v>61315.513724501485</v>
      </c>
      <c r="E1886">
        <f t="shared" si="149"/>
        <v>62883.552035116925</v>
      </c>
    </row>
    <row r="1887" spans="1:5">
      <c r="A1887">
        <f t="shared" si="145"/>
        <v>0.43534815348404932</v>
      </c>
      <c r="B1887">
        <f t="shared" si="146"/>
        <v>0.50109697854961199</v>
      </c>
      <c r="C1887">
        <f t="shared" si="147"/>
        <v>0.93058345065079673</v>
      </c>
      <c r="D1887">
        <f t="shared" si="148"/>
        <v>65566.133557657551</v>
      </c>
      <c r="E1887">
        <f t="shared" si="149"/>
        <v>61014.758811915963</v>
      </c>
    </row>
    <row r="1888" spans="1:5">
      <c r="A1888">
        <f t="shared" si="145"/>
        <v>0.78281457154140877</v>
      </c>
      <c r="B1888">
        <f t="shared" si="146"/>
        <v>0.75247979492434935</v>
      </c>
      <c r="C1888">
        <f t="shared" si="147"/>
        <v>1.1784305667452282</v>
      </c>
      <c r="D1888">
        <f t="shared" si="148"/>
        <v>67254.016287949795</v>
      </c>
      <c r="E1888">
        <f t="shared" si="149"/>
        <v>79254.188530101485</v>
      </c>
    </row>
    <row r="1889" spans="1:5">
      <c r="A1889">
        <f t="shared" si="145"/>
        <v>0.63180125997680259</v>
      </c>
      <c r="B1889">
        <f t="shared" si="146"/>
        <v>0.79791033303767456</v>
      </c>
      <c r="C1889">
        <f t="shared" si="147"/>
        <v>1.0543315408420251</v>
      </c>
      <c r="D1889">
        <f t="shared" si="148"/>
        <v>67631.217742811787</v>
      </c>
      <c r="E1889">
        <f t="shared" si="149"/>
        <v>71305.726011801249</v>
      </c>
    </row>
    <row r="1890" spans="1:5">
      <c r="A1890">
        <f t="shared" si="145"/>
        <v>0.98230821879023011</v>
      </c>
      <c r="B1890">
        <f t="shared" si="146"/>
        <v>0.63738859288958727</v>
      </c>
      <c r="C1890">
        <f t="shared" si="147"/>
        <v>1.6400641227683381</v>
      </c>
      <c r="D1890">
        <f t="shared" si="148"/>
        <v>66432.318116393333</v>
      </c>
      <c r="E1890">
        <f t="shared" si="149"/>
        <v>108953.26153502981</v>
      </c>
    </row>
    <row r="1891" spans="1:5">
      <c r="A1891">
        <f t="shared" si="145"/>
        <v>0.83433544798169113</v>
      </c>
      <c r="B1891">
        <f t="shared" si="146"/>
        <v>0.27091457448008782</v>
      </c>
      <c r="C1891">
        <f t="shared" si="147"/>
        <v>1.2356659520014368</v>
      </c>
      <c r="D1891">
        <f t="shared" si="148"/>
        <v>64044.080544713608</v>
      </c>
      <c r="E1891">
        <f t="shared" si="149"/>
        <v>79137.08975634024</v>
      </c>
    </row>
    <row r="1892" spans="1:5">
      <c r="A1892">
        <f t="shared" si="145"/>
        <v>0.18788294755118606</v>
      </c>
      <c r="B1892">
        <f t="shared" si="146"/>
        <v>0.69848827780917633</v>
      </c>
      <c r="C1892">
        <f t="shared" si="147"/>
        <v>0.7767154787162458</v>
      </c>
      <c r="D1892">
        <f t="shared" si="148"/>
        <v>66851.008294270301</v>
      </c>
      <c r="E1892">
        <f t="shared" si="149"/>
        <v>51924.212909947877</v>
      </c>
    </row>
    <row r="1893" spans="1:5">
      <c r="A1893">
        <f t="shared" si="145"/>
        <v>4.2950717498715152E-2</v>
      </c>
      <c r="B1893">
        <f t="shared" si="146"/>
        <v>0.92010970287685212</v>
      </c>
      <c r="C1893">
        <f t="shared" si="147"/>
        <v>0.63090094896462734</v>
      </c>
      <c r="D1893">
        <f t="shared" si="148"/>
        <v>69051.01494248677</v>
      </c>
      <c r="E1893">
        <f t="shared" si="149"/>
        <v>43564.350854185563</v>
      </c>
    </row>
    <row r="1894" spans="1:5">
      <c r="A1894">
        <f t="shared" si="145"/>
        <v>0.39953875782427772</v>
      </c>
      <c r="B1894">
        <f t="shared" si="146"/>
        <v>0.93577884968311564</v>
      </c>
      <c r="C1894">
        <f t="shared" si="147"/>
        <v>0.9094772563275666</v>
      </c>
      <c r="D1894">
        <f t="shared" si="148"/>
        <v>69335.316038865829</v>
      </c>
      <c r="E1894">
        <f t="shared" si="149"/>
        <v>63058.892997632414</v>
      </c>
    </row>
    <row r="1895" spans="1:5">
      <c r="A1895">
        <f t="shared" si="145"/>
        <v>0.25764706852787445</v>
      </c>
      <c r="B1895">
        <f t="shared" si="146"/>
        <v>0.7454957182279669</v>
      </c>
      <c r="C1895">
        <f t="shared" si="147"/>
        <v>0.82373689557060636</v>
      </c>
      <c r="D1895">
        <f t="shared" si="148"/>
        <v>67199.542760750046</v>
      </c>
      <c r="E1895">
        <f t="shared" si="149"/>
        <v>55354.742737504457</v>
      </c>
    </row>
    <row r="1896" spans="1:5">
      <c r="A1896">
        <f t="shared" si="145"/>
        <v>0.61727564960950487</v>
      </c>
      <c r="B1896">
        <f t="shared" si="146"/>
        <v>0.34926030851140588</v>
      </c>
      <c r="C1896">
        <f t="shared" si="147"/>
        <v>1.0442859543355834</v>
      </c>
      <c r="D1896">
        <f t="shared" si="148"/>
        <v>64597.293682261181</v>
      </c>
      <c r="E1896">
        <f t="shared" si="149"/>
        <v>67458.04648047607</v>
      </c>
    </row>
    <row r="1897" spans="1:5">
      <c r="A1897">
        <f t="shared" si="145"/>
        <v>0.47842450106916889</v>
      </c>
      <c r="B1897">
        <f t="shared" si="146"/>
        <v>0.7470726205334326</v>
      </c>
      <c r="C1897">
        <f t="shared" si="147"/>
        <v>0.95621065812726447</v>
      </c>
      <c r="D1897">
        <f t="shared" si="148"/>
        <v>67211.772382046911</v>
      </c>
      <c r="E1897">
        <f t="shared" si="149"/>
        <v>64268.613103336975</v>
      </c>
    </row>
    <row r="1898" spans="1:5">
      <c r="A1898">
        <f t="shared" si="145"/>
        <v>0.84109362290686684</v>
      </c>
      <c r="B1898">
        <f t="shared" si="146"/>
        <v>0.93893265429404693</v>
      </c>
      <c r="C1898">
        <f t="shared" si="147"/>
        <v>1.2441974186057252</v>
      </c>
      <c r="D1898">
        <f t="shared" si="148"/>
        <v>69398.905511497593</v>
      </c>
      <c r="E1898">
        <f t="shared" si="149"/>
        <v>86345.939091467939</v>
      </c>
    </row>
    <row r="1899" spans="1:5">
      <c r="A1899">
        <f t="shared" si="145"/>
        <v>0.70528301512259883</v>
      </c>
      <c r="B1899">
        <f t="shared" si="146"/>
        <v>0.92484040979324889</v>
      </c>
      <c r="C1899">
        <f t="shared" si="147"/>
        <v>1.1092278202365862</v>
      </c>
      <c r="D1899">
        <f t="shared" si="148"/>
        <v>69131.973794256468</v>
      </c>
      <c r="E1899">
        <f t="shared" si="149"/>
        <v>76683.108600455904</v>
      </c>
    </row>
    <row r="1900" spans="1:5">
      <c r="A1900">
        <f t="shared" si="145"/>
        <v>7.0992677716364305E-2</v>
      </c>
      <c r="B1900">
        <f t="shared" si="146"/>
        <v>0.70479588703103868</v>
      </c>
      <c r="C1900">
        <f t="shared" si="147"/>
        <v>0.67142065155984565</v>
      </c>
      <c r="D1900">
        <f t="shared" si="148"/>
        <v>66896.180588689254</v>
      </c>
      <c r="E1900">
        <f t="shared" si="149"/>
        <v>44915.477157722838</v>
      </c>
    </row>
    <row r="1901" spans="1:5">
      <c r="A1901">
        <f t="shared" si="145"/>
        <v>0.93822261068816393</v>
      </c>
      <c r="B1901">
        <f t="shared" si="146"/>
        <v>0.2787990860074161</v>
      </c>
      <c r="C1901">
        <f t="shared" si="147"/>
        <v>1.4244071865487542</v>
      </c>
      <c r="D1901">
        <f t="shared" si="148"/>
        <v>64102.788325962676</v>
      </c>
      <c r="E1901">
        <f t="shared" si="149"/>
        <v>91308.472369314826</v>
      </c>
    </row>
    <row r="1902" spans="1:5">
      <c r="A1902">
        <f t="shared" si="145"/>
        <v>0.30697281403799725</v>
      </c>
      <c r="B1902">
        <f t="shared" si="146"/>
        <v>0.64685000672238102</v>
      </c>
      <c r="C1902">
        <f t="shared" si="147"/>
        <v>0.85439441803438365</v>
      </c>
      <c r="D1902">
        <f t="shared" si="148"/>
        <v>66495.263515039856</v>
      </c>
      <c r="E1902">
        <f t="shared" si="149"/>
        <v>56813.181972975464</v>
      </c>
    </row>
    <row r="1903" spans="1:5">
      <c r="A1903">
        <f t="shared" si="145"/>
        <v>0.17724328776586429</v>
      </c>
      <c r="B1903">
        <f t="shared" si="146"/>
        <v>0.8089486491759339</v>
      </c>
      <c r="C1903">
        <f t="shared" si="147"/>
        <v>0.76894912272271665</v>
      </c>
      <c r="D1903">
        <f t="shared" si="148"/>
        <v>67730.191477890621</v>
      </c>
      <c r="E1903">
        <f t="shared" si="149"/>
        <v>52081.071318765615</v>
      </c>
    </row>
    <row r="1904" spans="1:5">
      <c r="A1904">
        <f t="shared" si="145"/>
        <v>0.54903403187176547</v>
      </c>
      <c r="B1904">
        <f t="shared" si="146"/>
        <v>0.76509501336807439</v>
      </c>
      <c r="C1904">
        <f t="shared" si="147"/>
        <v>0.99955539951682137</v>
      </c>
      <c r="D1904">
        <f t="shared" si="148"/>
        <v>67354.545102635428</v>
      </c>
      <c r="E1904">
        <f t="shared" si="149"/>
        <v>67324.599239338524</v>
      </c>
    </row>
    <row r="1905" spans="1:5">
      <c r="A1905">
        <f t="shared" si="145"/>
        <v>0.42234504635570014</v>
      </c>
      <c r="B1905">
        <f t="shared" si="146"/>
        <v>0.51528909929880262</v>
      </c>
      <c r="C1905">
        <f t="shared" si="147"/>
        <v>0.92290915655825845</v>
      </c>
      <c r="D1905">
        <f t="shared" si="148"/>
        <v>65654.515486657285</v>
      </c>
      <c r="E1905">
        <f t="shared" si="149"/>
        <v>60593.15351203199</v>
      </c>
    </row>
    <row r="1906" spans="1:5">
      <c r="A1906">
        <f t="shared" si="145"/>
        <v>0.79717633121766873</v>
      </c>
      <c r="B1906">
        <f t="shared" si="146"/>
        <v>5.9530906968118247E-2</v>
      </c>
      <c r="C1906">
        <f t="shared" si="147"/>
        <v>1.1932067516947404</v>
      </c>
      <c r="D1906">
        <f t="shared" si="148"/>
        <v>61687.789955001572</v>
      </c>
      <c r="E1906">
        <f t="shared" si="149"/>
        <v>73606.287471434858</v>
      </c>
    </row>
    <row r="1907" spans="1:5">
      <c r="A1907">
        <f t="shared" si="145"/>
        <v>0.67352788645767125</v>
      </c>
      <c r="B1907">
        <f t="shared" si="146"/>
        <v>0.39782043637602182</v>
      </c>
      <c r="C1907">
        <f t="shared" si="147"/>
        <v>1.0845541150865223</v>
      </c>
      <c r="D1907">
        <f t="shared" si="148"/>
        <v>64916.025078644852</v>
      </c>
      <c r="E1907">
        <f t="shared" si="149"/>
        <v>70404.94213410416</v>
      </c>
    </row>
    <row r="1908" spans="1:5">
      <c r="A1908">
        <f t="shared" si="145"/>
        <v>5.1399712075707482E-2</v>
      </c>
      <c r="B1908">
        <f t="shared" si="146"/>
        <v>0.53015768752251313</v>
      </c>
      <c r="C1908">
        <f t="shared" si="147"/>
        <v>0.64461133123223779</v>
      </c>
      <c r="D1908">
        <f t="shared" si="148"/>
        <v>65747.241594178529</v>
      </c>
      <c r="E1908">
        <f t="shared" si="149"/>
        <v>42381.416928870975</v>
      </c>
    </row>
    <row r="1909" spans="1:5">
      <c r="A1909">
        <f t="shared" si="145"/>
        <v>0.93079180807177775</v>
      </c>
      <c r="B1909">
        <f t="shared" si="146"/>
        <v>0.45654266040759195</v>
      </c>
      <c r="C1909">
        <f t="shared" si="147"/>
        <v>1.403793934985426</v>
      </c>
      <c r="D1909">
        <f t="shared" si="148"/>
        <v>65288.20581886555</v>
      </c>
      <c r="E1909">
        <f t="shared" si="149"/>
        <v>91651.187354603666</v>
      </c>
    </row>
    <row r="1910" spans="1:5">
      <c r="A1910">
        <f t="shared" si="145"/>
        <v>0.3117041744458815</v>
      </c>
      <c r="B1910">
        <f t="shared" si="146"/>
        <v>0.17697535503125872</v>
      </c>
      <c r="C1910">
        <f t="shared" si="147"/>
        <v>0.85726653677181619</v>
      </c>
      <c r="D1910">
        <f t="shared" si="148"/>
        <v>63256.96294676746</v>
      </c>
      <c r="E1910">
        <f t="shared" si="149"/>
        <v>54228.077552078445</v>
      </c>
    </row>
    <row r="1911" spans="1:5">
      <c r="A1911">
        <f t="shared" si="145"/>
        <v>0.19413681119801929</v>
      </c>
      <c r="B1911">
        <f t="shared" si="146"/>
        <v>0.691455771393513</v>
      </c>
      <c r="C1911">
        <f t="shared" si="147"/>
        <v>0.78118905013722162</v>
      </c>
      <c r="D1911">
        <f t="shared" si="148"/>
        <v>66801.142647959961</v>
      </c>
      <c r="E1911">
        <f t="shared" si="149"/>
        <v>52184.321173240889</v>
      </c>
    </row>
    <row r="1912" spans="1:5">
      <c r="A1912">
        <f t="shared" si="145"/>
        <v>0.578089718328191</v>
      </c>
      <c r="B1912">
        <f t="shared" si="146"/>
        <v>0.99998390949435478</v>
      </c>
      <c r="C1912">
        <f t="shared" si="147"/>
        <v>1.0181652449726324</v>
      </c>
      <c r="D1912">
        <f t="shared" si="148"/>
        <v>75885.478371843943</v>
      </c>
      <c r="E1912">
        <f t="shared" si="149"/>
        <v>77263.956676333881</v>
      </c>
    </row>
    <row r="1913" spans="1:5">
      <c r="A1913">
        <f t="shared" si="145"/>
        <v>0.46356289583639643</v>
      </c>
      <c r="B1913">
        <f t="shared" si="146"/>
        <v>0.10255976933378452</v>
      </c>
      <c r="C1913">
        <f t="shared" si="147"/>
        <v>0.94732277157534561</v>
      </c>
      <c r="D1913">
        <f t="shared" si="148"/>
        <v>62412.116484773833</v>
      </c>
      <c r="E1913">
        <f t="shared" si="149"/>
        <v>59124.419168239263</v>
      </c>
    </row>
    <row r="1914" spans="1:5">
      <c r="A1914">
        <f t="shared" si="145"/>
        <v>0.85055634372263578</v>
      </c>
      <c r="B1914">
        <f t="shared" si="146"/>
        <v>0.99918335091180177</v>
      </c>
      <c r="C1914">
        <f t="shared" si="147"/>
        <v>1.2566577479062822</v>
      </c>
      <c r="D1914">
        <f t="shared" si="148"/>
        <v>73382.921708291251</v>
      </c>
      <c r="E1914">
        <f t="shared" si="149"/>
        <v>92217.217128724311</v>
      </c>
    </row>
    <row r="1915" spans="1:5">
      <c r="A1915">
        <f t="shared" si="145"/>
        <v>0.73907006198690883</v>
      </c>
      <c r="B1915">
        <f t="shared" si="146"/>
        <v>0.68985465422840675</v>
      </c>
      <c r="C1915">
        <f t="shared" si="147"/>
        <v>1.1375425454027956</v>
      </c>
      <c r="D1915">
        <f t="shared" si="148"/>
        <v>66789.859879891956</v>
      </c>
      <c r="E1915">
        <f t="shared" si="149"/>
        <v>75976.307214868357</v>
      </c>
    </row>
    <row r="1916" spans="1:5">
      <c r="A1916">
        <f t="shared" si="145"/>
        <v>0.12910405062921582</v>
      </c>
      <c r="B1916">
        <f t="shared" si="146"/>
        <v>0.17457367928359968</v>
      </c>
      <c r="C1916">
        <f t="shared" si="147"/>
        <v>0.73058540973547159</v>
      </c>
      <c r="D1916">
        <f t="shared" si="148"/>
        <v>63233.886272014075</v>
      </c>
      <c r="E1916">
        <f t="shared" si="149"/>
        <v>46197.754711205613</v>
      </c>
    </row>
    <row r="1917" spans="1:5">
      <c r="A1917">
        <f t="shared" si="145"/>
        <v>2.0658309649556728E-2</v>
      </c>
      <c r="B1917">
        <f t="shared" si="146"/>
        <v>0.4533404260773799</v>
      </c>
      <c r="C1917">
        <f t="shared" si="147"/>
        <v>0.58197101577144872</v>
      </c>
      <c r="D1917">
        <f t="shared" si="148"/>
        <v>65268.140879178383</v>
      </c>
      <c r="E1917">
        <f t="shared" si="149"/>
        <v>37984.166244969463</v>
      </c>
    </row>
    <row r="1918" spans="1:5">
      <c r="A1918">
        <f t="shared" si="145"/>
        <v>0.41373283904793112</v>
      </c>
      <c r="B1918">
        <f t="shared" si="146"/>
        <v>0.52615489460974807</v>
      </c>
      <c r="C1918">
        <f t="shared" si="147"/>
        <v>0.91783442718895847</v>
      </c>
      <c r="D1918">
        <f t="shared" si="148"/>
        <v>65722.258279046247</v>
      </c>
      <c r="E1918">
        <f t="shared" si="149"/>
        <v>60322.151281113198</v>
      </c>
    </row>
    <row r="1919" spans="1:5">
      <c r="A1919">
        <f t="shared" si="145"/>
        <v>0.30832763882433945</v>
      </c>
      <c r="B1919">
        <f t="shared" si="146"/>
        <v>0.39301708488070375</v>
      </c>
      <c r="C1919">
        <f t="shared" si="147"/>
        <v>0.85521782945478209</v>
      </c>
      <c r="D1919">
        <f t="shared" si="148"/>
        <v>64885.049167373851</v>
      </c>
      <c r="E1919">
        <f t="shared" si="149"/>
        <v>55490.85091298828</v>
      </c>
    </row>
    <row r="1920" spans="1:5">
      <c r="A1920">
        <f t="shared" si="145"/>
        <v>0.7044427089787817</v>
      </c>
      <c r="B1920">
        <f t="shared" si="146"/>
        <v>5.3926996890247159E-2</v>
      </c>
      <c r="C1920">
        <f t="shared" si="147"/>
        <v>1.1085528094425918</v>
      </c>
      <c r="D1920">
        <f t="shared" si="148"/>
        <v>61565.611973079584</v>
      </c>
      <c r="E1920">
        <f t="shared" si="149"/>
        <v>68248.732117809835</v>
      </c>
    </row>
    <row r="1921" spans="1:5">
      <c r="A1921">
        <f t="shared" si="145"/>
        <v>0.60207804951125765</v>
      </c>
      <c r="B1921">
        <f t="shared" si="146"/>
        <v>0.5088846306383783</v>
      </c>
      <c r="C1921">
        <f t="shared" si="147"/>
        <v>1.0339975359328886</v>
      </c>
      <c r="D1921">
        <f t="shared" si="148"/>
        <v>65614.62321054026</v>
      </c>
      <c r="E1921">
        <f t="shared" si="149"/>
        <v>67845.358720863544</v>
      </c>
    </row>
    <row r="1922" spans="1:5">
      <c r="A1922">
        <f t="shared" si="145"/>
        <v>1.2336604217675351E-3</v>
      </c>
      <c r="B1922">
        <f t="shared" si="146"/>
        <v>0.75788998612509717</v>
      </c>
      <c r="C1922">
        <f t="shared" si="147"/>
        <v>0.45471694103107113</v>
      </c>
      <c r="D1922">
        <f t="shared" si="148"/>
        <v>67296.780211779929</v>
      </c>
      <c r="E1922">
        <f t="shared" si="149"/>
        <v>30600.986039140887</v>
      </c>
    </row>
    <row r="1923" spans="1:5">
      <c r="A1923">
        <f t="shared" si="145"/>
        <v>0.90190954171031135</v>
      </c>
      <c r="B1923">
        <f t="shared" si="146"/>
        <v>0.80094306335040377</v>
      </c>
      <c r="C1923">
        <f t="shared" si="147"/>
        <v>1.3389386669537802</v>
      </c>
      <c r="D1923">
        <f t="shared" si="148"/>
        <v>67658.077662309035</v>
      </c>
      <c r="E1923">
        <f t="shared" si="149"/>
        <v>90590.016313827393</v>
      </c>
    </row>
    <row r="1924" spans="1:5">
      <c r="A1924">
        <f t="shared" si="145"/>
        <v>0.30410569337688864</v>
      </c>
      <c r="B1924">
        <f t="shared" si="146"/>
        <v>0.63804386231429788</v>
      </c>
      <c r="C1924">
        <f t="shared" si="147"/>
        <v>0.85264920637321273</v>
      </c>
      <c r="D1924">
        <f t="shared" si="148"/>
        <v>66436.6590410606</v>
      </c>
      <c r="E1924">
        <f t="shared" si="149"/>
        <v>56647.164605448052</v>
      </c>
    </row>
    <row r="1925" spans="1:5">
      <c r="A1925">
        <f t="shared" si="145"/>
        <v>0.20782211542150031</v>
      </c>
      <c r="B1925">
        <f t="shared" si="146"/>
        <v>0.26919238301677972</v>
      </c>
      <c r="C1925">
        <f t="shared" si="147"/>
        <v>0.79076826854285509</v>
      </c>
      <c r="D1925">
        <f t="shared" si="148"/>
        <v>64031.144892646116</v>
      </c>
      <c r="E1925">
        <f t="shared" si="149"/>
        <v>50633.79757957445</v>
      </c>
    </row>
    <row r="1926" spans="1:5">
      <c r="A1926">
        <f t="shared" si="145"/>
        <v>0.61305880784414546</v>
      </c>
      <c r="B1926">
        <f t="shared" si="146"/>
        <v>0.6943886254578493</v>
      </c>
      <c r="C1926">
        <f t="shared" si="147"/>
        <v>1.041409493529595</v>
      </c>
      <c r="D1926">
        <f t="shared" si="148"/>
        <v>66821.876778625054</v>
      </c>
      <c r="E1926">
        <f t="shared" si="149"/>
        <v>69588.936852724917</v>
      </c>
    </row>
    <row r="1927" spans="1:5">
      <c r="A1927">
        <f t="shared" si="145"/>
        <v>0.51981577064482454</v>
      </c>
      <c r="B1927">
        <f t="shared" si="146"/>
        <v>0.9136325896375066</v>
      </c>
      <c r="C1927">
        <f t="shared" si="147"/>
        <v>0.98134892790973971</v>
      </c>
      <c r="D1927">
        <f t="shared" si="148"/>
        <v>68945.849336245432</v>
      </c>
      <c r="E1927">
        <f t="shared" si="149"/>
        <v>67659.935329950895</v>
      </c>
    </row>
    <row r="1928" spans="1:5">
      <c r="A1928">
        <f t="shared" si="145"/>
        <v>0.92809300382353732</v>
      </c>
      <c r="B1928">
        <f t="shared" si="146"/>
        <v>0.92692427555575141</v>
      </c>
      <c r="C1928">
        <f t="shared" si="147"/>
        <v>1.3967995906953004</v>
      </c>
      <c r="D1928">
        <f t="shared" si="148"/>
        <v>69168.871437969399</v>
      </c>
      <c r="E1928">
        <f t="shared" si="149"/>
        <v>96615.051313411503</v>
      </c>
    </row>
    <row r="1929" spans="1:5">
      <c r="A1929">
        <f t="shared" si="145"/>
        <v>0.83789050738028403</v>
      </c>
      <c r="B1929">
        <f t="shared" si="146"/>
        <v>0.73426368321258417</v>
      </c>
      <c r="C1929">
        <f t="shared" si="147"/>
        <v>1.2401176513994538</v>
      </c>
      <c r="D1929">
        <f t="shared" si="148"/>
        <v>67113.548011381266</v>
      </c>
      <c r="E1929">
        <f t="shared" si="149"/>
        <v>83228.695536958621</v>
      </c>
    </row>
    <row r="1930" spans="1:5">
      <c r="A1930">
        <f t="shared" si="145"/>
        <v>0.24920828131506445</v>
      </c>
      <c r="B1930">
        <f t="shared" si="146"/>
        <v>0.33565081260800445</v>
      </c>
      <c r="C1930">
        <f t="shared" si="147"/>
        <v>0.81832491054101042</v>
      </c>
      <c r="D1930">
        <f t="shared" si="148"/>
        <v>64505.284758039321</v>
      </c>
      <c r="E1930">
        <f t="shared" si="149"/>
        <v>52786.281379044929</v>
      </c>
    </row>
    <row r="1931" spans="1:5">
      <c r="A1931">
        <f t="shared" si="145"/>
        <v>0.1620463256278788</v>
      </c>
      <c r="B1931">
        <f t="shared" si="146"/>
        <v>0.73108566374201267</v>
      </c>
      <c r="C1931">
        <f t="shared" si="147"/>
        <v>0.75747055443757116</v>
      </c>
      <c r="D1931">
        <f t="shared" si="148"/>
        <v>67089.555199039183</v>
      </c>
      <c r="E1931">
        <f t="shared" si="149"/>
        <v>50818.362573586244</v>
      </c>
    </row>
    <row r="1932" spans="1:5">
      <c r="A1932">
        <f t="shared" si="145"/>
        <v>0.57640464031872707</v>
      </c>
      <c r="B1932">
        <f t="shared" si="146"/>
        <v>0.92056823661460818</v>
      </c>
      <c r="C1932">
        <f t="shared" si="147"/>
        <v>1.0170700794918182</v>
      </c>
      <c r="D1932">
        <f t="shared" si="148"/>
        <v>69058.7003385516</v>
      </c>
      <c r="E1932">
        <f t="shared" si="149"/>
        <v>70237.537842932332</v>
      </c>
    </row>
    <row r="1933" spans="1:5">
      <c r="A1933">
        <f t="shared" si="145"/>
        <v>0.49228322538760905</v>
      </c>
      <c r="B1933">
        <f t="shared" si="146"/>
        <v>0.90409853122579165</v>
      </c>
      <c r="C1933">
        <f t="shared" si="147"/>
        <v>0.96455726761841987</v>
      </c>
      <c r="D1933">
        <f t="shared" si="148"/>
        <v>68801.282187038101</v>
      </c>
      <c r="E1933">
        <f t="shared" si="149"/>
        <v>66362.77675497334</v>
      </c>
    </row>
    <row r="1934" spans="1:5">
      <c r="A1934">
        <f t="shared" si="145"/>
        <v>0.90968208083452473</v>
      </c>
      <c r="B1934">
        <f t="shared" si="146"/>
        <v>0.68167654757556262</v>
      </c>
      <c r="C1934">
        <f t="shared" si="147"/>
        <v>1.3545238136297266</v>
      </c>
      <c r="D1934">
        <f t="shared" si="148"/>
        <v>66732.618246644808</v>
      </c>
      <c r="E1934">
        <f t="shared" si="149"/>
        <v>90390.920560942002</v>
      </c>
    </row>
    <row r="1935" spans="1:5">
      <c r="A1935">
        <f t="shared" si="145"/>
        <v>0.82860120665947457</v>
      </c>
      <c r="B1935">
        <f t="shared" si="146"/>
        <v>0.25330228566392154</v>
      </c>
      <c r="C1935">
        <f t="shared" si="147"/>
        <v>1.2286463359153752</v>
      </c>
      <c r="D1935">
        <f t="shared" si="148"/>
        <v>63909.746569544899</v>
      </c>
      <c r="E1935">
        <f t="shared" si="149"/>
        <v>78522.475951951565</v>
      </c>
    </row>
    <row r="1936" spans="1:5">
      <c r="A1936">
        <f t="shared" ref="A1936:A1999" si="150">IFERROR(MOD(MOD(($E$8+((ROW()-15)*(ROW()-14)/2)*13)*171,30269)/30269+MOD(($E$8+((ROW()-15)*(ROW()-14)/2)*29)*172,30307)/30307+MOD(($E$8+((ROW()-15)*(ROW()-14)/2)*47)*170,30323)/30323,1),0.5)</f>
        <v>0.24904060286245766</v>
      </c>
      <c r="B1936">
        <f t="shared" ref="B1936:B1999" si="151">IFERROR(MOD(MOD(($E$8+((ROW()-15)*(ROW()-14)/2)*17)*171,30269)/30269+MOD(($E$8+((ROW()-15)*(ROW()-14)/2)*41)*172,30307)/30307+MOD(($E$8+((ROW()-15)*(ROW()-14)/2)*83)*170,30323)/30323,1),0.5)</f>
        <v>0.61897574549086798</v>
      </c>
      <c r="C1936">
        <f t="shared" ref="C1936:C1999" si="152">IFERROR(EXP($E$4*NORMSINV(MIN(MAX(A1936,0.000000001),0.999999999))-$E$4^2/2),1)</f>
        <v>0.8182167666559812</v>
      </c>
      <c r="D1936">
        <f t="shared" ref="D1936:D1999" si="153">IFERROR($B$5+$E$5*NORMSINV(MIN(MAX(B1936,0.000000001),0.999999999)),$B$5)</f>
        <v>66311.369729898637</v>
      </c>
      <c r="E1936">
        <f t="shared" ref="E1936:E1999" si="154">IFERROR(C1936*MAX(D1936,0),0)</f>
        <v>54257.07453292697</v>
      </c>
    </row>
    <row r="1937" spans="1:5">
      <c r="A1937">
        <f t="shared" si="150"/>
        <v>0.17100026944347535</v>
      </c>
      <c r="B1937">
        <f t="shared" si="151"/>
        <v>0.77869692705640192</v>
      </c>
      <c r="C1937">
        <f t="shared" si="152"/>
        <v>0.76429230089498112</v>
      </c>
      <c r="D1937">
        <f t="shared" si="153"/>
        <v>67466.343418143981</v>
      </c>
      <c r="E1937">
        <f t="shared" si="154"/>
        <v>51564.006844024232</v>
      </c>
    </row>
    <row r="1938" spans="1:5">
      <c r="A1938">
        <f t="shared" si="150"/>
        <v>0.59448020640252652</v>
      </c>
      <c r="B1938">
        <f t="shared" si="151"/>
        <v>0.73246583036052382</v>
      </c>
      <c r="C1938">
        <f t="shared" si="152"/>
        <v>1.0289319038039784</v>
      </c>
      <c r="D1938">
        <f t="shared" si="153"/>
        <v>67099.957253507862</v>
      </c>
      <c r="E1938">
        <f t="shared" si="154"/>
        <v>69041.286762017407</v>
      </c>
    </row>
    <row r="1939" spans="1:5">
      <c r="A1939">
        <f t="shared" si="150"/>
        <v>0.5194804137396114</v>
      </c>
      <c r="B1939">
        <f t="shared" si="151"/>
        <v>0.48028245540323333</v>
      </c>
      <c r="C1939">
        <f t="shared" si="152"/>
        <v>0.98114246496716317</v>
      </c>
      <c r="D1939">
        <f t="shared" si="153"/>
        <v>65436.494534182799</v>
      </c>
      <c r="E1939">
        <f t="shared" si="154"/>
        <v>64202.52354607841</v>
      </c>
    </row>
    <row r="1940" spans="1:5">
      <c r="A1940">
        <f t="shared" si="150"/>
        <v>0.9460008914547301</v>
      </c>
      <c r="B1940">
        <f t="shared" si="151"/>
        <v>2.2146802184530578E-2</v>
      </c>
      <c r="C1940">
        <f t="shared" si="152"/>
        <v>1.4485513755328019</v>
      </c>
      <c r="D1940">
        <f t="shared" si="153"/>
        <v>60563.689294298041</v>
      </c>
      <c r="E1940">
        <f t="shared" si="154"/>
        <v>87729.61543459665</v>
      </c>
    </row>
    <row r="1941" spans="1:5">
      <c r="A1941">
        <f t="shared" si="150"/>
        <v>0.87404163954788272</v>
      </c>
      <c r="B1941">
        <f t="shared" si="151"/>
        <v>0.35805887070441533</v>
      </c>
      <c r="C1941">
        <f t="shared" si="152"/>
        <v>1.2906894850194879</v>
      </c>
      <c r="D1941">
        <f t="shared" si="153"/>
        <v>64656.074749803709</v>
      </c>
      <c r="E1941">
        <f t="shared" si="154"/>
        <v>83450.915822205658</v>
      </c>
    </row>
    <row r="1942" spans="1:5">
      <c r="A1942">
        <f t="shared" si="150"/>
        <v>0.30360265801906916</v>
      </c>
      <c r="B1942">
        <f t="shared" si="151"/>
        <v>0.48801866096288782</v>
      </c>
      <c r="C1942">
        <f t="shared" si="152"/>
        <v>0.8523426257832829</v>
      </c>
      <c r="D1942">
        <f t="shared" si="153"/>
        <v>65484.698126590811</v>
      </c>
      <c r="E1942">
        <f t="shared" si="154"/>
        <v>55815.399549844042</v>
      </c>
    </row>
    <row r="1943" spans="1:5">
      <c r="A1943">
        <f t="shared" si="150"/>
        <v>0.23468394686828953</v>
      </c>
      <c r="B1943">
        <f t="shared" si="151"/>
        <v>0.41202617295994814</v>
      </c>
      <c r="C1943">
        <f t="shared" si="152"/>
        <v>0.80886198296525458</v>
      </c>
      <c r="D1943">
        <f t="shared" si="153"/>
        <v>65007.072014515819</v>
      </c>
      <c r="E1943">
        <f t="shared" si="154"/>
        <v>52581.749176426369</v>
      </c>
    </row>
    <row r="1944" spans="1:5">
      <c r="A1944">
        <f t="shared" si="150"/>
        <v>0.6672855060955436</v>
      </c>
      <c r="B1944">
        <f t="shared" si="151"/>
        <v>0.13008140669559598</v>
      </c>
      <c r="C1944">
        <f t="shared" si="152"/>
        <v>1.0798881554329782</v>
      </c>
      <c r="D1944">
        <f t="shared" si="153"/>
        <v>62762.560804488618</v>
      </c>
      <c r="E1944">
        <f t="shared" si="154"/>
        <v>67776.546017409346</v>
      </c>
    </row>
    <row r="1945" spans="1:5">
      <c r="A1945">
        <f t="shared" si="150"/>
        <v>0.60140733570083138</v>
      </c>
      <c r="B1945">
        <f t="shared" si="151"/>
        <v>0.64218436216983177</v>
      </c>
      <c r="C1945">
        <f t="shared" si="152"/>
        <v>1.03354834501893</v>
      </c>
      <c r="D1945">
        <f t="shared" si="153"/>
        <v>66464.151054920148</v>
      </c>
      <c r="E1945">
        <f t="shared" si="154"/>
        <v>68693.913325900896</v>
      </c>
    </row>
    <row r="1946" spans="1:5">
      <c r="A1946">
        <f t="shared" si="150"/>
        <v>3.7049435684153309E-2</v>
      </c>
      <c r="B1946">
        <f t="shared" si="151"/>
        <v>0.94833503938265507</v>
      </c>
      <c r="C1946">
        <f t="shared" si="152"/>
        <v>0.62017685154982882</v>
      </c>
      <c r="D1946">
        <f t="shared" si="153"/>
        <v>69605.170056277188</v>
      </c>
      <c r="E1946">
        <f t="shared" si="154"/>
        <v>43167.515217092405</v>
      </c>
    </row>
    <row r="1947" spans="1:5">
      <c r="A1947">
        <f t="shared" si="150"/>
        <v>0.97421180604550894</v>
      </c>
      <c r="B1947">
        <f t="shared" si="151"/>
        <v>4.8533438334066092E-2</v>
      </c>
      <c r="C1947">
        <f t="shared" si="152"/>
        <v>1.5768247464690388</v>
      </c>
      <c r="D1947">
        <f t="shared" si="153"/>
        <v>61438.12318807414</v>
      </c>
      <c r="E1947">
        <f t="shared" si="154"/>
        <v>96877.153019568577</v>
      </c>
    </row>
    <row r="1948" spans="1:5">
      <c r="A1948">
        <f t="shared" si="150"/>
        <v>0.41289444678489806</v>
      </c>
      <c r="B1948">
        <f t="shared" si="151"/>
        <v>0.94277955902406463</v>
      </c>
      <c r="C1948">
        <f t="shared" si="152"/>
        <v>0.91734063732805948</v>
      </c>
      <c r="D1948">
        <f t="shared" si="153"/>
        <v>69480.045061344426</v>
      </c>
      <c r="E1948">
        <f t="shared" si="154"/>
        <v>63736.868818155985</v>
      </c>
    </row>
    <row r="1949" spans="1:5">
      <c r="A1949">
        <f t="shared" si="150"/>
        <v>0.35309735790232155</v>
      </c>
      <c r="B1949">
        <f t="shared" si="151"/>
        <v>0.63107340145265112</v>
      </c>
      <c r="C1949">
        <f t="shared" si="152"/>
        <v>0.88206202861377458</v>
      </c>
      <c r="D1949">
        <f t="shared" si="153"/>
        <v>66390.61643181814</v>
      </c>
      <c r="E1949">
        <f t="shared" si="154"/>
        <v>58560.641810768502</v>
      </c>
    </row>
    <row r="1950" spans="1:5">
      <c r="A1950">
        <f t="shared" si="150"/>
        <v>0.79482053939777852</v>
      </c>
      <c r="B1950">
        <f t="shared" si="151"/>
        <v>0.11341496561982511</v>
      </c>
      <c r="C1950">
        <f t="shared" si="152"/>
        <v>1.1907287832852216</v>
      </c>
      <c r="D1950">
        <f t="shared" si="153"/>
        <v>62557.503546527376</v>
      </c>
      <c r="E1950">
        <f t="shared" si="154"/>
        <v>74489.020083317475</v>
      </c>
    </row>
    <row r="1951" spans="1:5">
      <c r="A1951">
        <f t="shared" si="150"/>
        <v>0.73806399127126943</v>
      </c>
      <c r="B1951">
        <f t="shared" si="151"/>
        <v>0.38980425152558684</v>
      </c>
      <c r="C1951">
        <f t="shared" si="152"/>
        <v>1.1366633084121291</v>
      </c>
      <c r="D1951">
        <f t="shared" si="153"/>
        <v>64864.27182009699</v>
      </c>
      <c r="E1951">
        <f t="shared" si="154"/>
        <v>73728.837804775088</v>
      </c>
    </row>
    <row r="1952" spans="1:5">
      <c r="A1952">
        <f t="shared" si="150"/>
        <v>0.18282771352279426</v>
      </c>
      <c r="B1952">
        <f t="shared" si="151"/>
        <v>0.4602412591699363</v>
      </c>
      <c r="C1952">
        <f t="shared" si="152"/>
        <v>0.77305093885432219</v>
      </c>
      <c r="D1952">
        <f t="shared" si="153"/>
        <v>65311.359024497535</v>
      </c>
      <c r="E1952">
        <f t="shared" si="154"/>
        <v>50489.007411739527</v>
      </c>
    </row>
    <row r="1953" spans="1:5">
      <c r="A1953">
        <f t="shared" si="150"/>
        <v>0.12911170615235301</v>
      </c>
      <c r="B1953">
        <f t="shared" si="151"/>
        <v>0.32472598855287349</v>
      </c>
      <c r="C1953">
        <f t="shared" si="152"/>
        <v>0.73059205108965264</v>
      </c>
      <c r="D1953">
        <f t="shared" si="153"/>
        <v>64430.370805354491</v>
      </c>
      <c r="E1953">
        <f t="shared" si="154"/>
        <v>47072.31675915081</v>
      </c>
    </row>
    <row r="1954" spans="1:5">
      <c r="A1954">
        <f t="shared" si="150"/>
        <v>0.57691596915994481</v>
      </c>
      <c r="B1954">
        <f t="shared" si="151"/>
        <v>0.9832584396743983</v>
      </c>
      <c r="C1954">
        <f t="shared" si="152"/>
        <v>1.0174021807394409</v>
      </c>
      <c r="D1954">
        <f t="shared" si="153"/>
        <v>70840.403898217177</v>
      </c>
      <c r="E1954">
        <f t="shared" si="154"/>
        <v>72073.181410508943</v>
      </c>
    </row>
    <row r="1955" spans="1:5">
      <c r="A1955">
        <f t="shared" si="150"/>
        <v>0.52624050254557131</v>
      </c>
      <c r="B1955">
        <f t="shared" si="151"/>
        <v>0.43583861253451062</v>
      </c>
      <c r="C1955">
        <f t="shared" si="152"/>
        <v>0.98531456979001653</v>
      </c>
      <c r="D1955">
        <f t="shared" si="153"/>
        <v>65158.104108820597</v>
      </c>
      <c r="E1955">
        <f t="shared" si="154"/>
        <v>64201.229318315673</v>
      </c>
    </row>
    <row r="1956" spans="1:5">
      <c r="A1956">
        <f t="shared" si="150"/>
        <v>0.97708530630923129</v>
      </c>
      <c r="B1956">
        <f t="shared" si="151"/>
        <v>0.68246650713321089</v>
      </c>
      <c r="C1956">
        <f t="shared" si="152"/>
        <v>1.596781953022681</v>
      </c>
      <c r="D1956">
        <f t="shared" si="153"/>
        <v>66738.119877000499</v>
      </c>
      <c r="E1956">
        <f t="shared" si="154"/>
        <v>106566.22539825867</v>
      </c>
    </row>
    <row r="1957" spans="1:5">
      <c r="A1957">
        <f t="shared" si="150"/>
        <v>0.92945038045092521</v>
      </c>
      <c r="B1957">
        <f t="shared" si="151"/>
        <v>0.72314212347049889</v>
      </c>
      <c r="C1957">
        <f t="shared" si="152"/>
        <v>1.4002873553821324</v>
      </c>
      <c r="D1957">
        <f t="shared" si="153"/>
        <v>67030.197015410944</v>
      </c>
      <c r="E1957">
        <f t="shared" si="154"/>
        <v>93861.537309453095</v>
      </c>
    </row>
    <row r="1958" spans="1:5">
      <c r="A1958">
        <f t="shared" si="150"/>
        <v>0.38333572497065294</v>
      </c>
      <c r="B1958">
        <f t="shared" si="151"/>
        <v>0.55786546154637451</v>
      </c>
      <c r="C1958">
        <f t="shared" si="152"/>
        <v>0.89993486241494924</v>
      </c>
      <c r="D1958">
        <f t="shared" si="153"/>
        <v>65920.840682349342</v>
      </c>
      <c r="E1958">
        <f t="shared" si="154"/>
        <v>59324.462689747845</v>
      </c>
    </row>
    <row r="1959" spans="1:5">
      <c r="A1959">
        <f t="shared" si="150"/>
        <v>0.33874133986841448</v>
      </c>
      <c r="B1959">
        <f t="shared" si="151"/>
        <v>0.18663652136083764</v>
      </c>
      <c r="C1959">
        <f t="shared" si="152"/>
        <v>0.87351919857566918</v>
      </c>
      <c r="D1959">
        <f t="shared" si="153"/>
        <v>63347.854687800296</v>
      </c>
      <c r="E1959">
        <f t="shared" si="154"/>
        <v>55335.56725837526</v>
      </c>
    </row>
    <row r="1960" spans="1:5">
      <c r="A1960">
        <f t="shared" si="150"/>
        <v>0.79566722514420984</v>
      </c>
      <c r="B1960">
        <f t="shared" si="151"/>
        <v>0.60945530291388827</v>
      </c>
      <c r="C1960">
        <f t="shared" si="152"/>
        <v>1.1916168271623826</v>
      </c>
      <c r="D1960">
        <f t="shared" si="153"/>
        <v>66249.543223403787</v>
      </c>
      <c r="E1960">
        <f t="shared" si="154"/>
        <v>78944.070496829547</v>
      </c>
    </row>
    <row r="1961" spans="1:5">
      <c r="A1961">
        <f t="shared" si="150"/>
        <v>0.75411338079803891</v>
      </c>
      <c r="B1961">
        <f t="shared" si="151"/>
        <v>0.82632180620552709</v>
      </c>
      <c r="C1961">
        <f t="shared" si="152"/>
        <v>1.1509904152079413</v>
      </c>
      <c r="D1961">
        <f t="shared" si="153"/>
        <v>67893.377351345203</v>
      </c>
      <c r="E1961">
        <f t="shared" si="154"/>
        <v>78144.626587494262</v>
      </c>
    </row>
    <row r="1962" spans="1:5">
      <c r="A1962">
        <f t="shared" si="150"/>
        <v>0.21407980682990191</v>
      </c>
      <c r="B1962">
        <f t="shared" si="151"/>
        <v>0.83723603123575341</v>
      </c>
      <c r="C1962">
        <f t="shared" si="152"/>
        <v>0.79506117449395164</v>
      </c>
      <c r="D1962">
        <f t="shared" si="153"/>
        <v>68001.25292898342</v>
      </c>
      <c r="E1962">
        <f t="shared" si="154"/>
        <v>54065.156020777824</v>
      </c>
    </row>
    <row r="1963" spans="1:5">
      <c r="A1963">
        <f t="shared" si="150"/>
        <v>0.17556650323979883</v>
      </c>
      <c r="B1963">
        <f t="shared" si="151"/>
        <v>0.64219797800456746</v>
      </c>
      <c r="C1963">
        <f t="shared" si="152"/>
        <v>0.76770597055822376</v>
      </c>
      <c r="D1963">
        <f t="shared" si="153"/>
        <v>66464.241642356341</v>
      </c>
      <c r="E1963">
        <f t="shared" si="154"/>
        <v>51024.99513746149</v>
      </c>
    </row>
    <row r="1964" spans="1:5">
      <c r="A1964">
        <f t="shared" si="150"/>
        <v>0.63857347002772968</v>
      </c>
      <c r="B1964">
        <f t="shared" si="151"/>
        <v>0.24120764651196902</v>
      </c>
      <c r="C1964">
        <f t="shared" si="152"/>
        <v>1.0590921554251431</v>
      </c>
      <c r="D1964">
        <f t="shared" si="153"/>
        <v>63814.644896742568</v>
      </c>
      <c r="E1964">
        <f t="shared" si="154"/>
        <v>67585.5898113812</v>
      </c>
    </row>
    <row r="1965" spans="1:5">
      <c r="A1965">
        <f t="shared" si="150"/>
        <v>0.60310070719369391</v>
      </c>
      <c r="B1965">
        <f t="shared" si="151"/>
        <v>0.63426503675795853</v>
      </c>
      <c r="C1965">
        <f t="shared" si="152"/>
        <v>1.0346831965581975</v>
      </c>
      <c r="D1965">
        <f t="shared" si="153"/>
        <v>66411.662024313773</v>
      </c>
      <c r="E1965">
        <f t="shared" si="154"/>
        <v>68715.030752059625</v>
      </c>
    </row>
    <row r="1966" spans="1:5">
      <c r="A1966">
        <f t="shared" si="150"/>
        <v>6.9148214737692282E-2</v>
      </c>
      <c r="B1966">
        <f t="shared" si="151"/>
        <v>0.82137014874253556</v>
      </c>
      <c r="C1966">
        <f t="shared" si="152"/>
        <v>0.66912043047236758</v>
      </c>
      <c r="D1966">
        <f t="shared" si="153"/>
        <v>67845.862414716103</v>
      </c>
      <c r="E1966">
        <f t="shared" si="154"/>
        <v>45397.052664703864</v>
      </c>
    </row>
    <row r="1967" spans="1:5">
      <c r="A1967">
        <f t="shared" si="150"/>
        <v>3.671599265972425E-2</v>
      </c>
      <c r="B1967">
        <f t="shared" si="151"/>
        <v>0.80252298246570009</v>
      </c>
      <c r="C1967">
        <f t="shared" si="152"/>
        <v>0.61953622710386802</v>
      </c>
      <c r="D1967">
        <f t="shared" si="153"/>
        <v>67672.168146277894</v>
      </c>
      <c r="E1967">
        <f t="shared" si="154"/>
        <v>41925.359733283563</v>
      </c>
    </row>
    <row r="1968" spans="1:5">
      <c r="A1968">
        <f t="shared" si="150"/>
        <v>0.50580404095979037</v>
      </c>
      <c r="B1968">
        <f t="shared" si="151"/>
        <v>0.57772353792745257</v>
      </c>
      <c r="C1968">
        <f t="shared" si="152"/>
        <v>0.97276501813868799</v>
      </c>
      <c r="D1968">
        <f t="shared" si="153"/>
        <v>66046.304824551044</v>
      </c>
      <c r="E1968">
        <f t="shared" si="154"/>
        <v>64247.534910647715</v>
      </c>
    </row>
    <row r="1969" spans="1:5">
      <c r="A1969">
        <f t="shared" si="150"/>
        <v>0.47641235963789019</v>
      </c>
      <c r="B1969">
        <f t="shared" si="151"/>
        <v>0.14697181512779256</v>
      </c>
      <c r="C1969">
        <f t="shared" si="152"/>
        <v>0.95500377629045463</v>
      </c>
      <c r="D1969">
        <f t="shared" si="153"/>
        <v>62952.561343109512</v>
      </c>
      <c r="E1969">
        <f t="shared" si="154"/>
        <v>60119.933809826078</v>
      </c>
    </row>
    <row r="1970" spans="1:5">
      <c r="A1970">
        <f t="shared" si="150"/>
        <v>0.94854094869402372</v>
      </c>
      <c r="B1970">
        <f t="shared" si="151"/>
        <v>0.5102678140667205</v>
      </c>
      <c r="C1970">
        <f t="shared" si="152"/>
        <v>1.457127578736974</v>
      </c>
      <c r="D1970">
        <f t="shared" si="153"/>
        <v>65623.237248614023</v>
      </c>
      <c r="E1970">
        <f t="shared" si="154"/>
        <v>95621.428800954949</v>
      </c>
    </row>
    <row r="1971" spans="1:5">
      <c r="A1971">
        <f t="shared" si="150"/>
        <v>0.92218980812819118</v>
      </c>
      <c r="B1971">
        <f t="shared" si="151"/>
        <v>0.66761153474423596</v>
      </c>
      <c r="C1971">
        <f t="shared" si="152"/>
        <v>1.3822866106829621</v>
      </c>
      <c r="D1971">
        <f t="shared" si="153"/>
        <v>66635.590327176586</v>
      </c>
      <c r="E1971">
        <f t="shared" si="154"/>
        <v>92109.484304211292</v>
      </c>
    </row>
    <row r="1972" spans="1:5">
      <c r="A1972">
        <f t="shared" si="150"/>
        <v>0.39735893794039256</v>
      </c>
      <c r="B1972">
        <f t="shared" si="151"/>
        <v>0.61900297716033936</v>
      </c>
      <c r="C1972">
        <f t="shared" si="152"/>
        <v>0.908193982012509</v>
      </c>
      <c r="D1972">
        <f t="shared" si="153"/>
        <v>66311.547226197901</v>
      </c>
      <c r="E1972">
        <f t="shared" si="154"/>
        <v>60223.748128771222</v>
      </c>
    </row>
    <row r="1973" spans="1:5">
      <c r="A1973">
        <f t="shared" si="150"/>
        <v>0.37404833813062766</v>
      </c>
      <c r="B1973">
        <f t="shared" si="151"/>
        <v>0.36444214131503005</v>
      </c>
      <c r="C1973">
        <f t="shared" si="152"/>
        <v>0.89445783542623347</v>
      </c>
      <c r="D1973">
        <f t="shared" si="153"/>
        <v>64698.403524815549</v>
      </c>
      <c r="E1973">
        <f t="shared" si="154"/>
        <v>57869.993972339507</v>
      </c>
    </row>
    <row r="1974" spans="1:5">
      <c r="A1974">
        <f t="shared" si="150"/>
        <v>0.85225800869889667</v>
      </c>
      <c r="B1974">
        <f t="shared" si="151"/>
        <v>0.90392902720830859</v>
      </c>
      <c r="C1974">
        <f t="shared" si="152"/>
        <v>1.2589672282432001</v>
      </c>
      <c r="D1974">
        <f t="shared" si="153"/>
        <v>68798.810141543639</v>
      </c>
      <c r="E1974">
        <f t="shared" si="154"/>
        <v>86615.447310329357</v>
      </c>
    </row>
    <row r="1975" spans="1:5">
      <c r="A1975">
        <f t="shared" si="150"/>
        <v>0.8319879496451994</v>
      </c>
      <c r="B1975">
        <f t="shared" si="151"/>
        <v>0.23746363484017485</v>
      </c>
      <c r="C1975">
        <f t="shared" si="152"/>
        <v>1.23276879569607</v>
      </c>
      <c r="D1975">
        <f t="shared" si="153"/>
        <v>63784.685854014962</v>
      </c>
      <c r="E1975">
        <f t="shared" si="154"/>
        <v>78631.770364106182</v>
      </c>
    </row>
    <row r="1976" spans="1:5">
      <c r="A1976">
        <f t="shared" si="150"/>
        <v>0.31323816096953605</v>
      </c>
      <c r="B1976">
        <f t="shared" si="151"/>
        <v>0.36504596421062896</v>
      </c>
      <c r="C1976">
        <f t="shared" si="152"/>
        <v>0.85819571151984353</v>
      </c>
      <c r="D1976">
        <f t="shared" si="153"/>
        <v>64702.394492591062</v>
      </c>
      <c r="E1976">
        <f t="shared" si="154"/>
        <v>55527.31747860679</v>
      </c>
    </row>
    <row r="1977" spans="1:5">
      <c r="A1977">
        <f t="shared" si="150"/>
        <v>0.29600864267190641</v>
      </c>
      <c r="B1977">
        <f t="shared" si="151"/>
        <v>0.28667601531967035</v>
      </c>
      <c r="C1977">
        <f t="shared" si="152"/>
        <v>0.8476997669708225</v>
      </c>
      <c r="D1977">
        <f t="shared" si="153"/>
        <v>64160.638058993754</v>
      </c>
      <c r="E1977">
        <f t="shared" si="154"/>
        <v>54388.957931308294</v>
      </c>
    </row>
    <row r="1978" spans="1:5">
      <c r="A1978">
        <f t="shared" si="150"/>
        <v>0.78029939475231058</v>
      </c>
      <c r="B1978">
        <f t="shared" si="151"/>
        <v>2.3537881672994754E-3</v>
      </c>
      <c r="C1978">
        <f t="shared" si="152"/>
        <v>1.1759204346747283</v>
      </c>
      <c r="D1978">
        <f t="shared" si="153"/>
        <v>58539.193257333551</v>
      </c>
      <c r="E1978">
        <f t="shared" si="154"/>
        <v>68837.433580671597</v>
      </c>
    </row>
    <row r="1979" spans="1:5">
      <c r="A1979">
        <f t="shared" si="150"/>
        <v>0.76611041721074868</v>
      </c>
      <c r="B1979">
        <f t="shared" si="151"/>
        <v>0.51207928275351655</v>
      </c>
      <c r="C1979">
        <f t="shared" si="152"/>
        <v>1.1621529869783496</v>
      </c>
      <c r="D1979">
        <f t="shared" si="153"/>
        <v>65634.519693969371</v>
      </c>
      <c r="E1979">
        <f t="shared" si="154"/>
        <v>76277.353111235818</v>
      </c>
    </row>
    <row r="1980" spans="1:5">
      <c r="A1980">
        <f t="shared" si="150"/>
        <v>0.2534417100472206</v>
      </c>
      <c r="B1980">
        <f t="shared" si="151"/>
        <v>0.81585249907832114</v>
      </c>
      <c r="C1980">
        <f t="shared" si="152"/>
        <v>0.82104728404923499</v>
      </c>
      <c r="D1980">
        <f t="shared" si="153"/>
        <v>67793.883130070317</v>
      </c>
      <c r="E1980">
        <f t="shared" si="154"/>
        <v>55661.983619095481</v>
      </c>
    </row>
    <row r="1981" spans="1:5">
      <c r="A1981">
        <f t="shared" si="150"/>
        <v>0.24229327326172623</v>
      </c>
      <c r="B1981">
        <f t="shared" si="151"/>
        <v>0.91367343714171367</v>
      </c>
      <c r="C1981">
        <f t="shared" si="152"/>
        <v>0.8138443131376728</v>
      </c>
      <c r="D1981">
        <f t="shared" si="153"/>
        <v>68946.493699747458</v>
      </c>
      <c r="E1981">
        <f t="shared" si="154"/>
        <v>56111.711808321852</v>
      </c>
    </row>
    <row r="1982" spans="1:5">
      <c r="A1982">
        <f t="shared" si="150"/>
        <v>0.73266510685426578</v>
      </c>
      <c r="B1982">
        <f t="shared" si="151"/>
        <v>0.80554209694369372</v>
      </c>
      <c r="C1982">
        <f t="shared" si="152"/>
        <v>1.1319856935847403</v>
      </c>
      <c r="D1982">
        <f t="shared" si="153"/>
        <v>67699.285068858866</v>
      </c>
      <c r="E1982">
        <f t="shared" si="154"/>
        <v>76634.622163863256</v>
      </c>
    </row>
    <row r="1983" spans="1:5">
      <c r="A1983">
        <f t="shared" si="150"/>
        <v>0.72455721082483926</v>
      </c>
      <c r="B1983">
        <f t="shared" si="151"/>
        <v>0.4914584784842615</v>
      </c>
      <c r="C1983">
        <f t="shared" si="152"/>
        <v>1.1250847970845792</v>
      </c>
      <c r="D1983">
        <f t="shared" si="153"/>
        <v>65506.121215876767</v>
      </c>
      <c r="E1983">
        <f t="shared" si="154"/>
        <v>73699.941095962567</v>
      </c>
    </row>
    <row r="1984" spans="1:5">
      <c r="A1984">
        <f t="shared" si="150"/>
        <v>0.2179695851734465</v>
      </c>
      <c r="B1984">
        <f t="shared" si="151"/>
        <v>0.971422581763417</v>
      </c>
      <c r="C1984">
        <f t="shared" si="152"/>
        <v>0.79770437509449366</v>
      </c>
      <c r="D1984">
        <f t="shared" si="153"/>
        <v>70283.748152537009</v>
      </c>
      <c r="E1984">
        <f t="shared" si="154"/>
        <v>56065.653399318311</v>
      </c>
    </row>
    <row r="1985" spans="1:5">
      <c r="A1985">
        <f t="shared" si="150"/>
        <v>0.21290222990008756</v>
      </c>
      <c r="B1985">
        <f t="shared" si="151"/>
        <v>0.24543440678115988</v>
      </c>
      <c r="C1985">
        <f t="shared" si="152"/>
        <v>0.79425723258699876</v>
      </c>
      <c r="D1985">
        <f t="shared" si="153"/>
        <v>63848.164778010789</v>
      </c>
      <c r="E1985">
        <f t="shared" si="154"/>
        <v>50711.866662341534</v>
      </c>
    </row>
    <row r="1986" spans="1:5">
      <c r="A1986">
        <f t="shared" si="150"/>
        <v>0.70935514500476216</v>
      </c>
      <c r="B1986">
        <f t="shared" si="151"/>
        <v>0.31349395353749054</v>
      </c>
      <c r="C1986">
        <f t="shared" si="152"/>
        <v>1.1125174923870813</v>
      </c>
      <c r="D1986">
        <f t="shared" si="153"/>
        <v>64352.263378350552</v>
      </c>
      <c r="E1986">
        <f t="shared" si="154"/>
        <v>71593.018683115559</v>
      </c>
    </row>
    <row r="1987" spans="1:5">
      <c r="A1987">
        <f t="shared" si="150"/>
        <v>0.70732833048747112</v>
      </c>
      <c r="B1987">
        <f t="shared" si="151"/>
        <v>0.17560122203240924</v>
      </c>
      <c r="C1987">
        <f t="shared" si="152"/>
        <v>1.1108762540883548</v>
      </c>
      <c r="D1987">
        <f t="shared" si="153"/>
        <v>63243.783953975799</v>
      </c>
      <c r="E1987">
        <f t="shared" si="154"/>
        <v>70256.017813165832</v>
      </c>
    </row>
    <row r="1988" spans="1:5">
      <c r="A1988">
        <f t="shared" si="150"/>
        <v>0.20682178634821358</v>
      </c>
      <c r="B1988">
        <f t="shared" si="151"/>
        <v>0.83175621226591523</v>
      </c>
      <c r="C1988">
        <f t="shared" si="152"/>
        <v>0.79007718193585652</v>
      </c>
      <c r="D1988">
        <f t="shared" si="153"/>
        <v>67946.527799243238</v>
      </c>
      <c r="E1988">
        <f t="shared" si="154"/>
        <v>53683.001205952431</v>
      </c>
    </row>
    <row r="1989" spans="1:5">
      <c r="A1989">
        <f t="shared" si="150"/>
        <v>0.20783551258698996</v>
      </c>
      <c r="B1989">
        <f t="shared" si="151"/>
        <v>0.28195892423800917</v>
      </c>
      <c r="C1989">
        <f t="shared" si="152"/>
        <v>0.79077751483707071</v>
      </c>
      <c r="D1989">
        <f t="shared" si="153"/>
        <v>64126.088028566934</v>
      </c>
      <c r="E1989">
        <f t="shared" si="154"/>
        <v>50709.468527453391</v>
      </c>
    </row>
    <row r="1990" spans="1:5">
      <c r="A1990">
        <f t="shared" si="150"/>
        <v>0.71036950920380015</v>
      </c>
      <c r="B1990">
        <f t="shared" si="151"/>
        <v>0.52620935794869061</v>
      </c>
      <c r="C1990">
        <f t="shared" si="152"/>
        <v>1.1133418073800176</v>
      </c>
      <c r="D1990">
        <f t="shared" si="153"/>
        <v>65722.598094044079</v>
      </c>
      <c r="E1990">
        <f t="shared" si="154"/>
        <v>73171.716147733532</v>
      </c>
    </row>
    <row r="1991" spans="1:5">
      <c r="A1991">
        <f t="shared" si="150"/>
        <v>0.71442377619864417</v>
      </c>
      <c r="B1991">
        <f t="shared" si="151"/>
        <v>0.56450751339795979</v>
      </c>
      <c r="C1991">
        <f t="shared" si="152"/>
        <v>1.116656286537298</v>
      </c>
      <c r="D1991">
        <f t="shared" si="153"/>
        <v>65962.687042482677</v>
      </c>
      <c r="E1991">
        <f t="shared" si="154"/>
        <v>73657.649162880654</v>
      </c>
    </row>
    <row r="1992" spans="1:5">
      <c r="A1992">
        <f t="shared" si="150"/>
        <v>0.219998313571522</v>
      </c>
      <c r="B1992">
        <f t="shared" si="151"/>
        <v>0.3968533905858167</v>
      </c>
      <c r="C1992">
        <f t="shared" si="152"/>
        <v>0.79907559358386271</v>
      </c>
      <c r="D1992">
        <f t="shared" si="153"/>
        <v>64909.796975592988</v>
      </c>
      <c r="E1992">
        <f t="shared" si="154"/>
        <v>51867.83454767998</v>
      </c>
    </row>
    <row r="1993" spans="1:5">
      <c r="A1993">
        <f t="shared" si="150"/>
        <v>0.22709312132243364</v>
      </c>
      <c r="B1993">
        <f t="shared" si="151"/>
        <v>2.324698951226134E-2</v>
      </c>
      <c r="C1993">
        <f t="shared" si="152"/>
        <v>0.80383315562675706</v>
      </c>
      <c r="D1993">
        <f t="shared" si="153"/>
        <v>60614.409700479489</v>
      </c>
      <c r="E1993">
        <f t="shared" si="154"/>
        <v>48723.872225989544</v>
      </c>
    </row>
    <row r="1994" spans="1:5">
      <c r="A1994">
        <f t="shared" si="150"/>
        <v>0.73570819945137922</v>
      </c>
      <c r="B1994">
        <f t="shared" si="151"/>
        <v>0.44368831017729371</v>
      </c>
      <c r="C1994">
        <f t="shared" si="152"/>
        <v>1.1346138919642226</v>
      </c>
      <c r="D1994">
        <f t="shared" si="153"/>
        <v>65207.540940717277</v>
      </c>
      <c r="E1994">
        <f t="shared" si="154"/>
        <v>73985.381812163614</v>
      </c>
    </row>
    <row r="1995" spans="1:5">
      <c r="A1995">
        <f t="shared" si="150"/>
        <v>0.7458435479583585</v>
      </c>
      <c r="B1995">
        <f t="shared" si="151"/>
        <v>0.65817735258091359</v>
      </c>
      <c r="C1995">
        <f t="shared" si="152"/>
        <v>1.143526303743601</v>
      </c>
      <c r="D1995">
        <f t="shared" si="153"/>
        <v>66571.425716909012</v>
      </c>
      <c r="E1995">
        <f t="shared" si="154"/>
        <v>76126.17638499866</v>
      </c>
    </row>
    <row r="1996" spans="1:5">
      <c r="A1996">
        <f t="shared" si="150"/>
        <v>0.25749916684337171</v>
      </c>
      <c r="B1996">
        <f t="shared" si="151"/>
        <v>0.6667141167231212</v>
      </c>
      <c r="C1996">
        <f t="shared" si="152"/>
        <v>0.82364254375688839</v>
      </c>
      <c r="D1996">
        <f t="shared" si="153"/>
        <v>66629.456397566071</v>
      </c>
      <c r="E1996">
        <f t="shared" si="154"/>
        <v>54878.854956429997</v>
      </c>
    </row>
    <row r="1997" spans="1:5">
      <c r="A1997">
        <f t="shared" si="150"/>
        <v>0.27067505610641862</v>
      </c>
      <c r="B1997">
        <f t="shared" si="151"/>
        <v>0.46929860260391676</v>
      </c>
      <c r="C1997">
        <f t="shared" si="152"/>
        <v>0.83198309347697119</v>
      </c>
      <c r="D1997">
        <f t="shared" si="153"/>
        <v>65367.971201480323</v>
      </c>
      <c r="E1997">
        <f t="shared" si="154"/>
        <v>54385.046894521161</v>
      </c>
    </row>
    <row r="1998" spans="1:5">
      <c r="A1998">
        <f t="shared" si="150"/>
        <v>0.78537121574749946</v>
      </c>
      <c r="B1998">
        <f t="shared" si="151"/>
        <v>6.5930810223299829E-2</v>
      </c>
      <c r="C1998">
        <f t="shared" si="152"/>
        <v>1.1810049013578323</v>
      </c>
      <c r="D1998">
        <f t="shared" si="153"/>
        <v>61816.753336619986</v>
      </c>
      <c r="E1998">
        <f t="shared" si="154"/>
        <v>73005.888676576331</v>
      </c>
    </row>
    <row r="1999" spans="1:5">
      <c r="A1999">
        <f t="shared" si="150"/>
        <v>0.80158764576661401</v>
      </c>
      <c r="B1999">
        <f t="shared" si="151"/>
        <v>0.45661073958127041</v>
      </c>
      <c r="C1999">
        <f t="shared" si="152"/>
        <v>1.197907690593301</v>
      </c>
      <c r="D1999">
        <f t="shared" si="153"/>
        <v>65288.632200787186</v>
      </c>
      <c r="E1999">
        <f t="shared" si="154"/>
        <v>78209.754621640401</v>
      </c>
    </row>
    <row r="2000" spans="1:5">
      <c r="A2000">
        <f t="shared" ref="A2000:A2015" si="155">IFERROR(MOD(MOD(($E$8+((ROW()-15)*(ROW()-14)/2)*13)*171,30269)/30269+MOD(($E$8+((ROW()-15)*(ROW()-14)/2)*29)*172,30307)/30307+MOD(($E$8+((ROW()-15)*(ROW()-14)/2)*47)*170,30323)/30323,1),0.5)</f>
        <v>0.31932434616376248</v>
      </c>
      <c r="B2000">
        <f t="shared" ref="B2000:B2015" si="156">IFERROR(MOD(MOD(($E$8+((ROW()-15)*(ROW()-14)/2)*17)*171,30269)/30269+MOD(($E$8+((ROW()-15)*(ROW()-14)/2)*41)*172,30307)/30307+MOD(($E$8+((ROW()-15)*(ROW()-14)/2)*83)*170,30323)/30323,1),0.5)</f>
        <v>0.64133839067782894</v>
      </c>
      <c r="C2000">
        <f t="shared" ref="C2000:C2015" si="157">IFERROR(EXP($E$4*NORMSINV(MIN(MAX(A2000,0.000000001),0.999999999))-$E$4^2/2),1)</f>
        <v>0.86187308918226624</v>
      </c>
      <c r="D2000">
        <f t="shared" ref="D2000:D2015" si="158">IFERROR($B$5+$E$5*NORMSINV(MIN(MAX(B2000,0.000000001),0.999999999)),$B$5)</f>
        <v>66458.525081018859</v>
      </c>
      <c r="E2000">
        <f t="shared" ref="E2000:E2063" si="159">IFERROR(C2000*MAX(D2000,0),0)</f>
        <v>57278.814314074843</v>
      </c>
    </row>
    <row r="2001" spans="1:5">
      <c r="A2001">
        <f t="shared" si="155"/>
        <v>0.33858131693894489</v>
      </c>
      <c r="B2001">
        <f t="shared" si="156"/>
        <v>0.62011376351297487</v>
      </c>
      <c r="C2001">
        <f t="shared" si="157"/>
        <v>0.87342368588574104</v>
      </c>
      <c r="D2001">
        <f t="shared" si="158"/>
        <v>66318.79062945646</v>
      </c>
      <c r="E2001">
        <f t="shared" si="159"/>
        <v>57924.402555064604</v>
      </c>
    </row>
    <row r="2002" spans="1:5">
      <c r="A2002">
        <f t="shared" si="155"/>
        <v>0.859358558092161</v>
      </c>
      <c r="B2002">
        <f t="shared" si="156"/>
        <v>0.39293685808670875</v>
      </c>
      <c r="C2002">
        <f t="shared" si="157"/>
        <v>1.2688493683018005</v>
      </c>
      <c r="D2002">
        <f t="shared" si="158"/>
        <v>64884.530921851321</v>
      </c>
      <c r="E2002">
        <f t="shared" si="159"/>
        <v>82328.696072749692</v>
      </c>
    </row>
    <row r="2003" spans="1:5">
      <c r="A2003">
        <f t="shared" si="155"/>
        <v>0.88165606962341081</v>
      </c>
      <c r="B2003">
        <f t="shared" si="156"/>
        <v>0.95980767439903003</v>
      </c>
      <c r="C2003">
        <f t="shared" si="157"/>
        <v>1.3028791184058675</v>
      </c>
      <c r="D2003">
        <f t="shared" si="158"/>
        <v>69902.076232216117</v>
      </c>
      <c r="E2003">
        <f t="shared" si="159"/>
        <v>91073.955456169482</v>
      </c>
    </row>
    <row r="2004" spans="1:5">
      <c r="A2004">
        <f t="shared" si="155"/>
        <v>0.40547385153269477</v>
      </c>
      <c r="B2004">
        <f t="shared" si="156"/>
        <v>0.32072621244993949</v>
      </c>
      <c r="C2004">
        <f t="shared" si="157"/>
        <v>0.91297123705925687</v>
      </c>
      <c r="D2004">
        <f t="shared" si="158"/>
        <v>64402.688216256596</v>
      </c>
      <c r="E2004">
        <f t="shared" si="159"/>
        <v>58797.801930737412</v>
      </c>
    </row>
    <row r="2005" spans="1:5">
      <c r="A2005">
        <f t="shared" si="155"/>
        <v>0.43081190382001222</v>
      </c>
      <c r="B2005">
        <f t="shared" si="156"/>
        <v>0.475692472239436</v>
      </c>
      <c r="C2005">
        <f t="shared" si="157"/>
        <v>0.9279041165064974</v>
      </c>
      <c r="D2005">
        <f t="shared" si="158"/>
        <v>65407.8740522933</v>
      </c>
      <c r="E2005">
        <f t="shared" si="159"/>
        <v>60692.235585061469</v>
      </c>
    </row>
    <row r="2006" spans="1:5">
      <c r="A2006">
        <f t="shared" si="155"/>
        <v>0.9576702264853636</v>
      </c>
      <c r="B2006">
        <f t="shared" si="156"/>
        <v>0.42470645376752064</v>
      </c>
      <c r="C2006">
        <f t="shared" si="157"/>
        <v>1.4915515663715802</v>
      </c>
      <c r="D2006">
        <f t="shared" si="158"/>
        <v>65087.716143155965</v>
      </c>
      <c r="E2006">
        <f t="shared" si="159"/>
        <v>97081.684964873057</v>
      </c>
    </row>
    <row r="2007" spans="1:5">
      <c r="A2007">
        <f t="shared" si="155"/>
        <v>0.9860488195287489</v>
      </c>
      <c r="B2007">
        <f t="shared" si="156"/>
        <v>0.1677681570341929</v>
      </c>
      <c r="C2007">
        <f t="shared" si="157"/>
        <v>1.6793622503698056</v>
      </c>
      <c r="D2007">
        <f t="shared" si="158"/>
        <v>63167.376029005594</v>
      </c>
      <c r="E2007">
        <f t="shared" si="159"/>
        <v>106080.90675802655</v>
      </c>
    </row>
    <row r="2008" spans="1:5">
      <c r="A2008">
        <f t="shared" si="155"/>
        <v>0.51594768295016813</v>
      </c>
      <c r="B2008">
        <f t="shared" si="156"/>
        <v>0.70487758203945272</v>
      </c>
      <c r="C2008">
        <f t="shared" si="157"/>
        <v>0.97897065769818115</v>
      </c>
      <c r="D2008">
        <f t="shared" si="158"/>
        <v>66896.768529978042</v>
      </c>
      <c r="E2008">
        <f t="shared" si="159"/>
        <v>65489.973485675589</v>
      </c>
    </row>
    <row r="2009" spans="1:5">
      <c r="A2009">
        <f t="shared" si="155"/>
        <v>0.54736681674962107</v>
      </c>
      <c r="B2009">
        <f t="shared" si="156"/>
        <v>3.6034728783300274E-2</v>
      </c>
      <c r="C2009">
        <f t="shared" si="157"/>
        <v>0.99850395680389326</v>
      </c>
      <c r="D2009">
        <f t="shared" si="158"/>
        <v>61091.795226592498</v>
      </c>
      <c r="E2009">
        <f t="shared" si="159"/>
        <v>61000.399262005805</v>
      </c>
    </row>
    <row r="2010" spans="1:5">
      <c r="A2010">
        <f t="shared" si="155"/>
        <v>8.030622092710793E-2</v>
      </c>
      <c r="B2010">
        <f t="shared" si="156"/>
        <v>0.16123959726573545</v>
      </c>
      <c r="C2010">
        <f t="shared" si="157"/>
        <v>0.68249253724887171</v>
      </c>
      <c r="D2010">
        <f t="shared" si="158"/>
        <v>63101.91944859011</v>
      </c>
      <c r="E2010">
        <f t="shared" si="159"/>
        <v>43066.589109742185</v>
      </c>
    </row>
    <row r="2011" spans="1:5">
      <c r="A2011">
        <f t="shared" si="155"/>
        <v>0.11476589548262828</v>
      </c>
      <c r="B2011">
        <f t="shared" si="156"/>
        <v>8.0492187486758127E-2</v>
      </c>
      <c r="C2011">
        <f t="shared" si="157"/>
        <v>0.71774462052761978</v>
      </c>
      <c r="D2011">
        <f t="shared" si="158"/>
        <v>62077.630516603051</v>
      </c>
      <c r="E2011">
        <f t="shared" si="159"/>
        <v>44555.885358393047</v>
      </c>
    </row>
    <row r="2012" spans="1:5">
      <c r="A2012">
        <f t="shared" si="155"/>
        <v>0.65074584041618255</v>
      </c>
      <c r="B2012">
        <f t="shared" si="156"/>
        <v>0.7937924994463692</v>
      </c>
      <c r="C2012">
        <f t="shared" si="157"/>
        <v>1.067782123697091</v>
      </c>
      <c r="D2012">
        <f t="shared" si="158"/>
        <v>67595.130417292239</v>
      </c>
      <c r="E2012">
        <f t="shared" si="159"/>
        <v>72176.87190855814</v>
      </c>
    </row>
    <row r="2013" spans="1:5">
      <c r="A2013">
        <f t="shared" si="155"/>
        <v>0.6882460557277712</v>
      </c>
      <c r="B2013">
        <f t="shared" si="156"/>
        <v>0.30114053314456757</v>
      </c>
      <c r="C2013">
        <f t="shared" si="157"/>
        <v>1.0957852330022269</v>
      </c>
      <c r="D2013">
        <f t="shared" si="158"/>
        <v>64264.953114632241</v>
      </c>
      <c r="E2013">
        <f t="shared" si="159"/>
        <v>70420.586622594477</v>
      </c>
    </row>
    <row r="2014" spans="1:5">
      <c r="A2014">
        <f t="shared" si="155"/>
        <v>0.22726654141739289</v>
      </c>
      <c r="B2014">
        <f t="shared" si="156"/>
        <v>0.60253628858135344</v>
      </c>
      <c r="C2014">
        <f t="shared" si="157"/>
        <v>0.80394873368495434</v>
      </c>
      <c r="D2014">
        <f t="shared" si="158"/>
        <v>66204.879634322147</v>
      </c>
      <c r="E2014">
        <f t="shared" si="159"/>
        <v>53225.329145778116</v>
      </c>
    </row>
    <row r="2015" spans="1:5">
      <c r="A2015">
        <f t="shared" si="155"/>
        <v>0.26780729748504895</v>
      </c>
      <c r="B2015">
        <f t="shared" si="156"/>
        <v>0.69797976575672716</v>
      </c>
      <c r="C2015">
        <f t="shared" si="157"/>
        <v>0.83017850657812386</v>
      </c>
      <c r="D2015">
        <f t="shared" si="158"/>
        <v>66847.3852975958</v>
      </c>
      <c r="E2015">
        <f t="shared" si="159"/>
        <v>55495.262495010516</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L867"/>
  <sheetViews>
    <sheetView workbookViewId="0"/>
  </sheetViews>
  <sheetFormatPr defaultRowHeight="14.15"/>
  <sheetData>
    <row r="1" spans="1:1">
      <c r="A1" t="s">
        <v>11559</v>
      </c>
    </row>
    <row r="441" spans="1:12">
      <c r="A441" t="s">
        <v>18</v>
      </c>
      <c r="B441" t="s">
        <v>11560</v>
      </c>
    </row>
    <row r="443" spans="1:12">
      <c r="A443" t="s">
        <v>3512</v>
      </c>
      <c r="B443" t="s">
        <v>3536</v>
      </c>
      <c r="C443" t="s">
        <v>3839</v>
      </c>
      <c r="D443" t="s">
        <v>4537</v>
      </c>
      <c r="E443" t="s">
        <v>764</v>
      </c>
      <c r="F443" t="s">
        <v>768</v>
      </c>
      <c r="G443" t="s">
        <v>11561</v>
      </c>
      <c r="H443" t="s">
        <v>11562</v>
      </c>
      <c r="I443" t="s">
        <v>11563</v>
      </c>
      <c r="J443" t="s">
        <v>744</v>
      </c>
      <c r="K443" t="s">
        <v>11564</v>
      </c>
      <c r="L443" t="s">
        <v>11565</v>
      </c>
    </row>
    <row r="444" spans="1:12">
      <c r="A444" t="s">
        <v>3922</v>
      </c>
      <c r="B444" t="s">
        <v>3925</v>
      </c>
      <c r="C444" t="s">
        <v>3924</v>
      </c>
      <c r="D444" t="s">
        <v>816</v>
      </c>
      <c r="E444" t="s">
        <v>815</v>
      </c>
      <c r="F444" t="s">
        <v>817</v>
      </c>
      <c r="G444">
        <f>IFERROR(INDEX(_ENGINE_Risk!$BS$500:$BS$923,MATCH($D444,_ENGINE_Risk!$E$500:$E$923,0)),0)</f>
        <v>14.22</v>
      </c>
      <c r="H444">
        <v>1</v>
      </c>
      <c r="I444">
        <f>IFERROR(MAX(0,5-INDEX(_ENGINE_Risk!$H$500:$H$923,MATCH($D444,_ENGINE_Risk!$E$500:$E$923,0))),0)</f>
        <v>5</v>
      </c>
      <c r="J444" t="s">
        <v>11566</v>
      </c>
      <c r="K444">
        <f>IFERROR(INDEX(_ENGINE_Risk!$BI$500:$BI$923,MATCH($D444,_ENGINE_Risk!$E$500:$E$923,0))*N($H444),0)</f>
        <v>437.5</v>
      </c>
      <c r="L444">
        <f>IFERROR(MIN(5,$K444/MAX(1,_CONFIG_Model_Settings!$B$105)),0)</f>
        <v>5</v>
      </c>
    </row>
    <row r="445" spans="1:12">
      <c r="A445" t="s">
        <v>3922</v>
      </c>
      <c r="B445" t="s">
        <v>3925</v>
      </c>
      <c r="C445" t="s">
        <v>3924</v>
      </c>
      <c r="D445" t="s">
        <v>830</v>
      </c>
      <c r="E445" t="s">
        <v>815</v>
      </c>
      <c r="F445" t="s">
        <v>817</v>
      </c>
      <c r="G445">
        <f>IFERROR(INDEX(_ENGINE_Risk!$BS$500:$BS$923,MATCH($D445,_ENGINE_Risk!$E$500:$E$923,0)),0)</f>
        <v>15.66</v>
      </c>
      <c r="H445">
        <v>1</v>
      </c>
      <c r="I445">
        <f>IFERROR(MAX(0,5-INDEX(_ENGINE_Risk!$H$500:$H$923,MATCH($D445,_ENGINE_Risk!$E$500:$E$923,0))),0)</f>
        <v>5</v>
      </c>
      <c r="J445" t="s">
        <v>11566</v>
      </c>
      <c r="K445">
        <f>IFERROR(INDEX(_ENGINE_Risk!$BI$500:$BI$923,MATCH($D445,_ENGINE_Risk!$E$500:$E$923,0))*N($H445),0)</f>
        <v>437.5</v>
      </c>
      <c r="L445">
        <f>IFERROR(MIN(5,$K445/MAX(1,_CONFIG_Model_Settings!$B$105)),0)</f>
        <v>5</v>
      </c>
    </row>
    <row r="446" spans="1:12">
      <c r="A446" t="s">
        <v>3922</v>
      </c>
      <c r="B446" t="s">
        <v>3925</v>
      </c>
      <c r="C446" t="s">
        <v>3924</v>
      </c>
      <c r="D446" t="s">
        <v>840</v>
      </c>
      <c r="E446" t="s">
        <v>815</v>
      </c>
      <c r="F446" t="s">
        <v>817</v>
      </c>
      <c r="G446">
        <f>IFERROR(INDEX(_ENGINE_Risk!$BS$500:$BS$923,MATCH($D446,_ENGINE_Risk!$E$500:$E$923,0)),0)</f>
        <v>15.66</v>
      </c>
      <c r="H446">
        <v>1</v>
      </c>
      <c r="I446">
        <f>IFERROR(MAX(0,5-INDEX(_ENGINE_Risk!$H$500:$H$923,MATCH($D446,_ENGINE_Risk!$E$500:$E$923,0))),0)</f>
        <v>5</v>
      </c>
      <c r="J446" t="s">
        <v>11566</v>
      </c>
      <c r="K446">
        <f>IFERROR(INDEX(_ENGINE_Risk!$BI$500:$BI$923,MATCH($D446,_ENGINE_Risk!$E$500:$E$923,0))*N($H446),0)</f>
        <v>437.5</v>
      </c>
      <c r="L446">
        <f>IFERROR(MIN(5,$K446/MAX(1,_CONFIG_Model_Settings!$B$105)),0)</f>
        <v>5</v>
      </c>
    </row>
    <row r="447" spans="1:12">
      <c r="A447" t="s">
        <v>3922</v>
      </c>
      <c r="B447" t="s">
        <v>3925</v>
      </c>
      <c r="C447" t="s">
        <v>3924</v>
      </c>
      <c r="D447" t="s">
        <v>844</v>
      </c>
      <c r="E447" t="s">
        <v>815</v>
      </c>
      <c r="F447" t="s">
        <v>817</v>
      </c>
      <c r="G447">
        <f>IFERROR(INDEX(_ENGINE_Risk!$BS$500:$BS$923,MATCH($D447,_ENGINE_Risk!$E$500:$E$923,0)),0)</f>
        <v>14.94</v>
      </c>
      <c r="H447">
        <v>1</v>
      </c>
      <c r="I447">
        <f>IFERROR(MAX(0,5-INDEX(_ENGINE_Risk!$H$500:$H$923,MATCH($D447,_ENGINE_Risk!$E$500:$E$923,0))),0)</f>
        <v>5</v>
      </c>
      <c r="J447" t="s">
        <v>11566</v>
      </c>
      <c r="K447">
        <f>IFERROR(INDEX(_ENGINE_Risk!$BI$500:$BI$923,MATCH($D447,_ENGINE_Risk!$E$500:$E$923,0))*N($H447),0)</f>
        <v>437.5</v>
      </c>
      <c r="L447">
        <f>IFERROR(MIN(5,$K447/MAX(1,_CONFIG_Model_Settings!$B$105)),0)</f>
        <v>5</v>
      </c>
    </row>
    <row r="448" spans="1:12">
      <c r="A448" t="s">
        <v>3922</v>
      </c>
      <c r="B448" t="s">
        <v>3925</v>
      </c>
      <c r="C448" t="s">
        <v>3924</v>
      </c>
      <c r="D448" t="s">
        <v>853</v>
      </c>
      <c r="E448" t="s">
        <v>815</v>
      </c>
      <c r="F448" t="s">
        <v>817</v>
      </c>
      <c r="G448">
        <f>IFERROR(INDEX(_ENGINE_Risk!$BS$500:$BS$923,MATCH($D448,_ENGINE_Risk!$E$500:$E$923,0)),0)</f>
        <v>16.2</v>
      </c>
      <c r="H448">
        <v>1</v>
      </c>
      <c r="I448">
        <f>IFERROR(MAX(0,5-INDEX(_ENGINE_Risk!$H$500:$H$923,MATCH($D448,_ENGINE_Risk!$E$500:$E$923,0))),0)</f>
        <v>5</v>
      </c>
      <c r="J448" t="s">
        <v>11566</v>
      </c>
      <c r="K448">
        <f>IFERROR(INDEX(_ENGINE_Risk!$BI$500:$BI$923,MATCH($D448,_ENGINE_Risk!$E$500:$E$923,0))*N($H448),0)</f>
        <v>937.5</v>
      </c>
      <c r="L448">
        <f>IFERROR(MIN(5,$K448/MAX(1,_CONFIG_Model_Settings!$B$105)),0)</f>
        <v>5</v>
      </c>
    </row>
    <row r="449" spans="1:12">
      <c r="A449" t="s">
        <v>3922</v>
      </c>
      <c r="B449" t="s">
        <v>3925</v>
      </c>
      <c r="C449" t="s">
        <v>3924</v>
      </c>
      <c r="D449" t="s">
        <v>856</v>
      </c>
      <c r="E449" t="s">
        <v>815</v>
      </c>
      <c r="F449" t="s">
        <v>817</v>
      </c>
      <c r="G449">
        <f>IFERROR(INDEX(_ENGINE_Risk!$BS$500:$BS$923,MATCH($D449,_ENGINE_Risk!$E$500:$E$923,0)),0)</f>
        <v>14.94</v>
      </c>
      <c r="H449">
        <v>1</v>
      </c>
      <c r="I449">
        <f>IFERROR(MAX(0,5-INDEX(_ENGINE_Risk!$H$500:$H$923,MATCH($D449,_ENGINE_Risk!$E$500:$E$923,0))),0)</f>
        <v>5</v>
      </c>
      <c r="J449" t="s">
        <v>11566</v>
      </c>
      <c r="K449">
        <f>IFERROR(INDEX(_ENGINE_Risk!$BI$500:$BI$923,MATCH($D449,_ENGINE_Risk!$E$500:$E$923,0))*N($H449),0)</f>
        <v>437.5</v>
      </c>
      <c r="L449">
        <f>IFERROR(MIN(5,$K449/MAX(1,_CONFIG_Model_Settings!$B$105)),0)</f>
        <v>5</v>
      </c>
    </row>
    <row r="450" spans="1:12">
      <c r="A450" t="s">
        <v>3922</v>
      </c>
      <c r="B450" t="s">
        <v>3925</v>
      </c>
      <c r="C450" t="s">
        <v>3924</v>
      </c>
      <c r="D450" t="s">
        <v>865</v>
      </c>
      <c r="E450" t="s">
        <v>815</v>
      </c>
      <c r="F450" t="s">
        <v>817</v>
      </c>
      <c r="G450">
        <f>IFERROR(INDEX(_ENGINE_Risk!$BS$500:$BS$923,MATCH($D450,_ENGINE_Risk!$E$500:$E$923,0)),0)</f>
        <v>16.2</v>
      </c>
      <c r="H450">
        <v>1</v>
      </c>
      <c r="I450">
        <f>IFERROR(MAX(0,5-INDEX(_ENGINE_Risk!$H$500:$H$923,MATCH($D450,_ENGINE_Risk!$E$500:$E$923,0))),0)</f>
        <v>5</v>
      </c>
      <c r="J450" t="s">
        <v>11566</v>
      </c>
      <c r="K450">
        <f>IFERROR(INDEX(_ENGINE_Risk!$BI$500:$BI$923,MATCH($D450,_ENGINE_Risk!$E$500:$E$923,0))*N($H450),0)</f>
        <v>937.5</v>
      </c>
      <c r="L450">
        <f>IFERROR(MIN(5,$K450/MAX(1,_CONFIG_Model_Settings!$B$105)),0)</f>
        <v>5</v>
      </c>
    </row>
    <row r="451" spans="1:12">
      <c r="A451" t="s">
        <v>3941</v>
      </c>
      <c r="B451" t="s">
        <v>3942</v>
      </c>
      <c r="C451" t="s">
        <v>3924</v>
      </c>
      <c r="D451" t="s">
        <v>868</v>
      </c>
      <c r="E451" t="s">
        <v>815</v>
      </c>
      <c r="F451" t="s">
        <v>839</v>
      </c>
      <c r="G451">
        <f>IFERROR(INDEX(_ENGINE_Risk!$BS$500:$BS$923,MATCH($D451,_ENGINE_Risk!$E$500:$E$923,0)),0)</f>
        <v>18.79</v>
      </c>
      <c r="H451">
        <v>1</v>
      </c>
      <c r="I451">
        <f>IFERROR(MAX(0,5-INDEX(_ENGINE_Risk!$H$500:$H$923,MATCH($D451,_ENGINE_Risk!$E$500:$E$923,0))),0)</f>
        <v>5</v>
      </c>
      <c r="J451" t="s">
        <v>11566</v>
      </c>
      <c r="K451">
        <f>IFERROR(INDEX(_ENGINE_Risk!$BI$500:$BI$923,MATCH($D451,_ENGINE_Risk!$E$500:$E$923,0))*N($H451),0)</f>
        <v>437.5</v>
      </c>
      <c r="L451">
        <f>IFERROR(MIN(5,$K451/MAX(1,_CONFIG_Model_Settings!$B$105)),0)</f>
        <v>5</v>
      </c>
    </row>
    <row r="452" spans="1:12">
      <c r="A452" t="s">
        <v>3941</v>
      </c>
      <c r="B452" t="s">
        <v>3942</v>
      </c>
      <c r="C452" t="s">
        <v>3924</v>
      </c>
      <c r="D452" t="s">
        <v>871</v>
      </c>
      <c r="E452" t="s">
        <v>815</v>
      </c>
      <c r="F452" t="s">
        <v>839</v>
      </c>
      <c r="G452">
        <f>IFERROR(INDEX(_ENGINE_Risk!$BS$500:$BS$923,MATCH($D452,_ENGINE_Risk!$E$500:$E$923,0)),0)</f>
        <v>19.440000000000001</v>
      </c>
      <c r="H452">
        <v>1</v>
      </c>
      <c r="I452">
        <f>IFERROR(MAX(0,5-INDEX(_ENGINE_Risk!$H$500:$H$923,MATCH($D452,_ENGINE_Risk!$E$500:$E$923,0))),0)</f>
        <v>5</v>
      </c>
      <c r="J452" t="s">
        <v>11566</v>
      </c>
      <c r="K452">
        <f>IFERROR(INDEX(_ENGINE_Risk!$BI$500:$BI$923,MATCH($D452,_ENGINE_Risk!$E$500:$E$923,0))*N($H452),0)</f>
        <v>937.5</v>
      </c>
      <c r="L452">
        <f>IFERROR(MIN(5,$K452/MAX(1,_CONFIG_Model_Settings!$B$105)),0)</f>
        <v>5</v>
      </c>
    </row>
    <row r="453" spans="1:12">
      <c r="A453" t="s">
        <v>3941</v>
      </c>
      <c r="B453" t="s">
        <v>3942</v>
      </c>
      <c r="C453" t="s">
        <v>3924</v>
      </c>
      <c r="D453" t="s">
        <v>880</v>
      </c>
      <c r="E453" t="s">
        <v>815</v>
      </c>
      <c r="F453" t="s">
        <v>839</v>
      </c>
      <c r="G453">
        <f>IFERROR(INDEX(_ENGINE_Risk!$BS$500:$BS$923,MATCH($D453,_ENGINE_Risk!$E$500:$E$923,0)),0)</f>
        <v>17.93</v>
      </c>
      <c r="H453">
        <v>1</v>
      </c>
      <c r="I453">
        <f>IFERROR(MAX(0,5-INDEX(_ENGINE_Risk!$H$500:$H$923,MATCH($D453,_ENGINE_Risk!$E$500:$E$923,0))),0)</f>
        <v>5</v>
      </c>
      <c r="J453" t="s">
        <v>11566</v>
      </c>
      <c r="K453">
        <f>IFERROR(INDEX(_ENGINE_Risk!$BI$500:$BI$923,MATCH($D453,_ENGINE_Risk!$E$500:$E$923,0))*N($H453),0)</f>
        <v>437.5</v>
      </c>
      <c r="L453">
        <f>IFERROR(MIN(5,$K453/MAX(1,_CONFIG_Model_Settings!$B$105)),0)</f>
        <v>5</v>
      </c>
    </row>
    <row r="454" spans="1:12">
      <c r="A454" t="s">
        <v>3941</v>
      </c>
      <c r="B454" t="s">
        <v>3942</v>
      </c>
      <c r="C454" t="s">
        <v>3924</v>
      </c>
      <c r="D454" t="s">
        <v>889</v>
      </c>
      <c r="E454" t="s">
        <v>815</v>
      </c>
      <c r="F454" t="s">
        <v>839</v>
      </c>
      <c r="G454">
        <f>IFERROR(INDEX(_ENGINE_Risk!$BS$500:$BS$923,MATCH($D454,_ENGINE_Risk!$E$500:$E$923,0)),0)</f>
        <v>18.79</v>
      </c>
      <c r="H454">
        <v>1</v>
      </c>
      <c r="I454">
        <f>IFERROR(MAX(0,5-INDEX(_ENGINE_Risk!$H$500:$H$923,MATCH($D454,_ENGINE_Risk!$E$500:$E$923,0))),0)</f>
        <v>5</v>
      </c>
      <c r="J454" t="s">
        <v>11566</v>
      </c>
      <c r="K454">
        <f>IFERROR(INDEX(_ENGINE_Risk!$BI$500:$BI$923,MATCH($D454,_ENGINE_Risk!$E$500:$E$923,0))*N($H454),0)</f>
        <v>437.5</v>
      </c>
      <c r="L454">
        <f>IFERROR(MIN(5,$K454/MAX(1,_CONFIG_Model_Settings!$B$105)),0)</f>
        <v>5</v>
      </c>
    </row>
    <row r="455" spans="1:12">
      <c r="A455" t="s">
        <v>3941</v>
      </c>
      <c r="B455" t="s">
        <v>3942</v>
      </c>
      <c r="C455" t="s">
        <v>3924</v>
      </c>
      <c r="D455" t="s">
        <v>892</v>
      </c>
      <c r="E455" t="s">
        <v>815</v>
      </c>
      <c r="F455" t="s">
        <v>839</v>
      </c>
      <c r="G455">
        <f>IFERROR(INDEX(_ENGINE_Risk!$BS$500:$BS$923,MATCH($D455,_ENGINE_Risk!$E$500:$E$923,0)),0)</f>
        <v>18.79</v>
      </c>
      <c r="H455">
        <v>1</v>
      </c>
      <c r="I455">
        <f>IFERROR(MAX(0,5-INDEX(_ENGINE_Risk!$H$500:$H$923,MATCH($D455,_ENGINE_Risk!$E$500:$E$923,0))),0)</f>
        <v>5</v>
      </c>
      <c r="J455" t="s">
        <v>11566</v>
      </c>
      <c r="K455">
        <f>IFERROR(INDEX(_ENGINE_Risk!$BI$500:$BI$923,MATCH($D455,_ENGINE_Risk!$E$500:$E$923,0))*N($H455),0)</f>
        <v>437.5</v>
      </c>
      <c r="L455">
        <f>IFERROR(MIN(5,$K455/MAX(1,_CONFIG_Model_Settings!$B$105)),0)</f>
        <v>5</v>
      </c>
    </row>
    <row r="456" spans="1:12">
      <c r="A456" t="s">
        <v>3941</v>
      </c>
      <c r="B456" t="s">
        <v>3942</v>
      </c>
      <c r="C456" t="s">
        <v>3924</v>
      </c>
      <c r="D456" t="s">
        <v>895</v>
      </c>
      <c r="E456" t="s">
        <v>815</v>
      </c>
      <c r="F456" t="s">
        <v>839</v>
      </c>
      <c r="G456">
        <f>IFERROR(INDEX(_ENGINE_Risk!$BS$500:$BS$923,MATCH($D456,_ENGINE_Risk!$E$500:$E$923,0)),0)</f>
        <v>17.93</v>
      </c>
      <c r="H456">
        <v>1</v>
      </c>
      <c r="I456">
        <f>IFERROR(MAX(0,5-INDEX(_ENGINE_Risk!$H$500:$H$923,MATCH($D456,_ENGINE_Risk!$E$500:$E$923,0))),0)</f>
        <v>5</v>
      </c>
      <c r="J456" t="s">
        <v>11566</v>
      </c>
      <c r="K456">
        <f>IFERROR(INDEX(_ENGINE_Risk!$BI$500:$BI$923,MATCH($D456,_ENGINE_Risk!$E$500:$E$923,0))*N($H456),0)</f>
        <v>437.5</v>
      </c>
      <c r="L456">
        <f>IFERROR(MIN(5,$K456/MAX(1,_CONFIG_Model_Settings!$B$105)),0)</f>
        <v>5</v>
      </c>
    </row>
    <row r="457" spans="1:12">
      <c r="A457" t="s">
        <v>3941</v>
      </c>
      <c r="B457" t="s">
        <v>3942</v>
      </c>
      <c r="C457" t="s">
        <v>3924</v>
      </c>
      <c r="D457" t="s">
        <v>904</v>
      </c>
      <c r="E457" t="s">
        <v>815</v>
      </c>
      <c r="F457" t="s">
        <v>839</v>
      </c>
      <c r="G457">
        <f>IFERROR(INDEX(_ENGINE_Risk!$BS$500:$BS$923,MATCH($D457,_ENGINE_Risk!$E$500:$E$923,0)),0)</f>
        <v>18.79</v>
      </c>
      <c r="H457">
        <v>1</v>
      </c>
      <c r="I457">
        <f>IFERROR(MAX(0,5-INDEX(_ENGINE_Risk!$H$500:$H$923,MATCH($D457,_ENGINE_Risk!$E$500:$E$923,0))),0)</f>
        <v>5</v>
      </c>
      <c r="J457" t="s">
        <v>11566</v>
      </c>
      <c r="K457">
        <f>IFERROR(INDEX(_ENGINE_Risk!$BI$500:$BI$923,MATCH($D457,_ENGINE_Risk!$E$500:$E$923,0))*N($H457),0)</f>
        <v>437.5</v>
      </c>
      <c r="L457">
        <f>IFERROR(MIN(5,$K457/MAX(1,_CONFIG_Model_Settings!$B$105)),0)</f>
        <v>5</v>
      </c>
    </row>
    <row r="458" spans="1:12">
      <c r="A458" t="s">
        <v>3948</v>
      </c>
      <c r="B458" t="s">
        <v>3949</v>
      </c>
      <c r="C458" t="s">
        <v>3924</v>
      </c>
      <c r="D458" t="s">
        <v>937</v>
      </c>
      <c r="E458" t="s">
        <v>815</v>
      </c>
      <c r="F458" t="s">
        <v>843</v>
      </c>
      <c r="G458">
        <f>IFERROR(INDEX(_ENGINE_Risk!$BS$500:$BS$923,MATCH($D458,_ENGINE_Risk!$E$500:$E$923,0)),0)</f>
        <v>11.7</v>
      </c>
      <c r="H458">
        <v>1</v>
      </c>
      <c r="I458">
        <f>IFERROR(MAX(0,5-INDEX(_ENGINE_Risk!$H$500:$H$923,MATCH($D458,_ENGINE_Risk!$E$500:$E$923,0))),0)</f>
        <v>5</v>
      </c>
      <c r="J458" t="s">
        <v>11567</v>
      </c>
      <c r="K458">
        <f>IFERROR(INDEX(_ENGINE_Risk!$BI$500:$BI$923,MATCH($D458,_ENGINE_Risk!$E$500:$E$923,0))*N($H458),0)</f>
        <v>187.5</v>
      </c>
      <c r="L458">
        <f>IFERROR(MIN(5,$K458/MAX(1,_CONFIG_Model_Settings!$B$105)),0)</f>
        <v>2.5</v>
      </c>
    </row>
    <row r="459" spans="1:12">
      <c r="A459" t="s">
        <v>3948</v>
      </c>
      <c r="B459" t="s">
        <v>3949</v>
      </c>
      <c r="C459" t="s">
        <v>3924</v>
      </c>
      <c r="D459" t="s">
        <v>907</v>
      </c>
      <c r="E459" t="s">
        <v>815</v>
      </c>
      <c r="F459" t="s">
        <v>843</v>
      </c>
      <c r="G459">
        <f>IFERROR(INDEX(_ENGINE_Risk!$BS$500:$BS$923,MATCH($D459,_ENGINE_Risk!$E$500:$E$923,0)),0)</f>
        <v>15.66</v>
      </c>
      <c r="H459">
        <v>1</v>
      </c>
      <c r="I459">
        <f>IFERROR(MAX(0,5-INDEX(_ENGINE_Risk!$H$500:$H$923,MATCH($D459,_ENGINE_Risk!$E$500:$E$923,0))),0)</f>
        <v>5</v>
      </c>
      <c r="J459" t="s">
        <v>11566</v>
      </c>
      <c r="K459">
        <f>IFERROR(INDEX(_ENGINE_Risk!$BI$500:$BI$923,MATCH($D459,_ENGINE_Risk!$E$500:$E$923,0))*N($H459),0)</f>
        <v>437.5</v>
      </c>
      <c r="L459">
        <f>IFERROR(MIN(5,$K459/MAX(1,_CONFIG_Model_Settings!$B$105)),0)</f>
        <v>5</v>
      </c>
    </row>
    <row r="460" spans="1:12">
      <c r="A460" t="s">
        <v>3948</v>
      </c>
      <c r="B460" t="s">
        <v>3949</v>
      </c>
      <c r="C460" t="s">
        <v>3924</v>
      </c>
      <c r="D460" t="s">
        <v>910</v>
      </c>
      <c r="E460" t="s">
        <v>815</v>
      </c>
      <c r="F460" t="s">
        <v>843</v>
      </c>
      <c r="G460">
        <f>IFERROR(INDEX(_ENGINE_Risk!$BS$500:$BS$923,MATCH($D460,_ENGINE_Risk!$E$500:$E$923,0)),0)</f>
        <v>14.22</v>
      </c>
      <c r="H460">
        <v>1</v>
      </c>
      <c r="I460">
        <f>IFERROR(MAX(0,5-INDEX(_ENGINE_Risk!$H$500:$H$923,MATCH($D460,_ENGINE_Risk!$E$500:$E$923,0))),0)</f>
        <v>5</v>
      </c>
      <c r="J460" t="s">
        <v>11566</v>
      </c>
      <c r="K460">
        <f>IFERROR(INDEX(_ENGINE_Risk!$BI$500:$BI$923,MATCH($D460,_ENGINE_Risk!$E$500:$E$923,0))*N($H460),0)</f>
        <v>437.5</v>
      </c>
      <c r="L460">
        <f>IFERROR(MIN(5,$K460/MAX(1,_CONFIG_Model_Settings!$B$105)),0)</f>
        <v>5</v>
      </c>
    </row>
    <row r="461" spans="1:12">
      <c r="A461" t="s">
        <v>3948</v>
      </c>
      <c r="B461" t="s">
        <v>3949</v>
      </c>
      <c r="C461" t="s">
        <v>3924</v>
      </c>
      <c r="D461" t="s">
        <v>919</v>
      </c>
      <c r="E461" t="s">
        <v>815</v>
      </c>
      <c r="F461" t="s">
        <v>843</v>
      </c>
      <c r="G461">
        <f>IFERROR(INDEX(_ENGINE_Risk!$BS$500:$BS$923,MATCH($D461,_ENGINE_Risk!$E$500:$E$923,0)),0)</f>
        <v>15.48</v>
      </c>
      <c r="H461">
        <v>1</v>
      </c>
      <c r="I461">
        <f>IFERROR(MAX(0,5-INDEX(_ENGINE_Risk!$H$500:$H$923,MATCH($D461,_ENGINE_Risk!$E$500:$E$923,0))),0)</f>
        <v>5</v>
      </c>
      <c r="J461" t="s">
        <v>11566</v>
      </c>
      <c r="K461">
        <f>IFERROR(INDEX(_ENGINE_Risk!$BI$500:$BI$923,MATCH($D461,_ENGINE_Risk!$E$500:$E$923,0))*N($H461),0)</f>
        <v>437.5</v>
      </c>
      <c r="L461">
        <f>IFERROR(MIN(5,$K461/MAX(1,_CONFIG_Model_Settings!$B$105)),0)</f>
        <v>5</v>
      </c>
    </row>
    <row r="462" spans="1:12">
      <c r="A462" t="s">
        <v>3948</v>
      </c>
      <c r="B462" t="s">
        <v>3949</v>
      </c>
      <c r="C462" t="s">
        <v>3924</v>
      </c>
      <c r="D462" t="s">
        <v>928</v>
      </c>
      <c r="E462" t="s">
        <v>815</v>
      </c>
      <c r="F462" t="s">
        <v>843</v>
      </c>
      <c r="G462">
        <f>IFERROR(INDEX(_ENGINE_Risk!$BS$500:$BS$923,MATCH($D462,_ENGINE_Risk!$E$500:$E$923,0)),0)</f>
        <v>14.94</v>
      </c>
      <c r="H462">
        <v>1</v>
      </c>
      <c r="I462">
        <f>IFERROR(MAX(0,5-INDEX(_ENGINE_Risk!$H$500:$H$923,MATCH($D462,_ENGINE_Risk!$E$500:$E$923,0))),0)</f>
        <v>5</v>
      </c>
      <c r="J462" t="s">
        <v>11566</v>
      </c>
      <c r="K462">
        <f>IFERROR(INDEX(_ENGINE_Risk!$BI$500:$BI$923,MATCH($D462,_ENGINE_Risk!$E$500:$E$923,0))*N($H462),0)</f>
        <v>437.5</v>
      </c>
      <c r="L462">
        <f>IFERROR(MIN(5,$K462/MAX(1,_CONFIG_Model_Settings!$B$105)),0)</f>
        <v>5</v>
      </c>
    </row>
    <row r="463" spans="1:12">
      <c r="A463" t="s">
        <v>3955</v>
      </c>
      <c r="B463" t="s">
        <v>3958</v>
      </c>
      <c r="C463" t="s">
        <v>3957</v>
      </c>
      <c r="D463" t="s">
        <v>1117</v>
      </c>
      <c r="E463" t="s">
        <v>949</v>
      </c>
      <c r="F463" t="s">
        <v>990</v>
      </c>
      <c r="G463">
        <f>IFERROR(INDEX(_ENGINE_Risk!$BS$500:$BS$923,MATCH($D463,_ENGINE_Risk!$E$500:$E$923,0)),0)</f>
        <v>12.96</v>
      </c>
      <c r="H463">
        <v>1</v>
      </c>
      <c r="I463">
        <f>IFERROR(MAX(0,5-INDEX(_ENGINE_Risk!$H$500:$H$923,MATCH($D463,_ENGINE_Risk!$E$500:$E$923,0))),0)</f>
        <v>5</v>
      </c>
      <c r="J463" t="s">
        <v>11567</v>
      </c>
      <c r="K463">
        <f>IFERROR(INDEX(_ENGINE_Risk!$BI$500:$BI$923,MATCH($D463,_ENGINE_Risk!$E$500:$E$923,0))*N($H463),0)</f>
        <v>437.5</v>
      </c>
      <c r="L463">
        <f>IFERROR(MIN(5,$K463/MAX(1,_CONFIG_Model_Settings!$B$105)),0)</f>
        <v>5</v>
      </c>
    </row>
    <row r="464" spans="1:12">
      <c r="A464" t="s">
        <v>3955</v>
      </c>
      <c r="B464" t="s">
        <v>3958</v>
      </c>
      <c r="C464" t="s">
        <v>3957</v>
      </c>
      <c r="D464" t="s">
        <v>950</v>
      </c>
      <c r="E464" t="s">
        <v>949</v>
      </c>
      <c r="F464" t="s">
        <v>951</v>
      </c>
      <c r="G464">
        <f>IFERROR(INDEX(_ENGINE_Risk!$BS$500:$BS$923,MATCH($D464,_ENGINE_Risk!$E$500:$E$923,0)),0)</f>
        <v>14.94</v>
      </c>
      <c r="H464">
        <v>1</v>
      </c>
      <c r="I464">
        <f>IFERROR(MAX(0,5-INDEX(_ENGINE_Risk!$H$500:$H$923,MATCH($D464,_ENGINE_Risk!$E$500:$E$923,0))),0)</f>
        <v>5</v>
      </c>
      <c r="J464" t="s">
        <v>11566</v>
      </c>
      <c r="K464">
        <f>IFERROR(INDEX(_ENGINE_Risk!$BI$500:$BI$923,MATCH($D464,_ENGINE_Risk!$E$500:$E$923,0))*N($H464),0)</f>
        <v>437.5</v>
      </c>
      <c r="L464">
        <f>IFERROR(MIN(5,$K464/MAX(1,_CONFIG_Model_Settings!$B$105)),0)</f>
        <v>5</v>
      </c>
    </row>
    <row r="465" spans="1:12">
      <c r="A465" t="s">
        <v>3955</v>
      </c>
      <c r="B465" t="s">
        <v>3958</v>
      </c>
      <c r="C465" t="s">
        <v>3957</v>
      </c>
      <c r="D465" t="s">
        <v>963</v>
      </c>
      <c r="E465" t="s">
        <v>949</v>
      </c>
      <c r="F465" t="s">
        <v>951</v>
      </c>
      <c r="G465">
        <f>IFERROR(INDEX(_ENGINE_Risk!$BS$500:$BS$923,MATCH($D465,_ENGINE_Risk!$E$500:$E$923,0)),0)</f>
        <v>14.22</v>
      </c>
      <c r="H465">
        <v>1</v>
      </c>
      <c r="I465">
        <f>IFERROR(MAX(0,5-INDEX(_ENGINE_Risk!$H$500:$H$923,MATCH($D465,_ENGINE_Risk!$E$500:$E$923,0))),0)</f>
        <v>5</v>
      </c>
      <c r="J465" t="s">
        <v>11566</v>
      </c>
      <c r="K465">
        <f>IFERROR(INDEX(_ENGINE_Risk!$BI$500:$BI$923,MATCH($D465,_ENGINE_Risk!$E$500:$E$923,0))*N($H465),0)</f>
        <v>437.5</v>
      </c>
      <c r="L465">
        <f>IFERROR(MIN(5,$K465/MAX(1,_CONFIG_Model_Settings!$B$105)),0)</f>
        <v>5</v>
      </c>
    </row>
    <row r="466" spans="1:12">
      <c r="A466" t="s">
        <v>3955</v>
      </c>
      <c r="B466" t="s">
        <v>3958</v>
      </c>
      <c r="C466" t="s">
        <v>3957</v>
      </c>
      <c r="D466" t="s">
        <v>973</v>
      </c>
      <c r="E466" t="s">
        <v>949</v>
      </c>
      <c r="F466" t="s">
        <v>951</v>
      </c>
      <c r="G466">
        <f>IFERROR(INDEX(_ENGINE_Risk!$BS$500:$BS$923,MATCH($D466,_ENGINE_Risk!$E$500:$E$923,0)),0)</f>
        <v>15.66</v>
      </c>
      <c r="H466">
        <v>1</v>
      </c>
      <c r="I466">
        <f>IFERROR(MAX(0,5-INDEX(_ENGINE_Risk!$H$500:$H$923,MATCH($D466,_ENGINE_Risk!$E$500:$E$923,0))),0)</f>
        <v>5</v>
      </c>
      <c r="J466" t="s">
        <v>11566</v>
      </c>
      <c r="K466">
        <f>IFERROR(INDEX(_ENGINE_Risk!$BI$500:$BI$923,MATCH($D466,_ENGINE_Risk!$E$500:$E$923,0))*N($H466),0)</f>
        <v>437.5</v>
      </c>
      <c r="L466">
        <f>IFERROR(MIN(5,$K466/MAX(1,_CONFIG_Model_Settings!$B$105)),0)</f>
        <v>5</v>
      </c>
    </row>
    <row r="467" spans="1:12">
      <c r="A467" t="s">
        <v>3955</v>
      </c>
      <c r="B467" t="s">
        <v>3958</v>
      </c>
      <c r="C467" t="s">
        <v>3957</v>
      </c>
      <c r="D467" t="s">
        <v>977</v>
      </c>
      <c r="E467" t="s">
        <v>949</v>
      </c>
      <c r="F467" t="s">
        <v>951</v>
      </c>
      <c r="G467">
        <f>IFERROR(INDEX(_ENGINE_Risk!$BS$500:$BS$923,MATCH($D467,_ENGINE_Risk!$E$500:$E$923,0)),0)</f>
        <v>14.94</v>
      </c>
      <c r="H467">
        <v>1</v>
      </c>
      <c r="I467">
        <f>IFERROR(MAX(0,5-INDEX(_ENGINE_Risk!$H$500:$H$923,MATCH($D467,_ENGINE_Risk!$E$500:$E$923,0))),0)</f>
        <v>5</v>
      </c>
      <c r="J467" t="s">
        <v>11566</v>
      </c>
      <c r="K467">
        <f>IFERROR(INDEX(_ENGINE_Risk!$BI$500:$BI$923,MATCH($D467,_ENGINE_Risk!$E$500:$E$923,0))*N($H467),0)</f>
        <v>437.5</v>
      </c>
      <c r="L467">
        <f>IFERROR(MIN(5,$K467/MAX(1,_CONFIG_Model_Settings!$B$105)),0)</f>
        <v>5</v>
      </c>
    </row>
    <row r="468" spans="1:12">
      <c r="A468" t="s">
        <v>3955</v>
      </c>
      <c r="B468" t="s">
        <v>3958</v>
      </c>
      <c r="C468" t="s">
        <v>3957</v>
      </c>
      <c r="D468" t="s">
        <v>987</v>
      </c>
      <c r="E468" t="s">
        <v>949</v>
      </c>
      <c r="F468" t="s">
        <v>951</v>
      </c>
      <c r="G468">
        <f>IFERROR(INDEX(_ENGINE_Risk!$BS$500:$BS$923,MATCH($D468,_ENGINE_Risk!$E$500:$E$923,0)),0)</f>
        <v>15.66</v>
      </c>
      <c r="H468">
        <v>1</v>
      </c>
      <c r="I468">
        <f>IFERROR(MAX(0,5-INDEX(_ENGINE_Risk!$H$500:$H$923,MATCH($D468,_ENGINE_Risk!$E$500:$E$923,0))),0)</f>
        <v>5</v>
      </c>
      <c r="J468" t="s">
        <v>11566</v>
      </c>
      <c r="K468">
        <f>IFERROR(INDEX(_ENGINE_Risk!$BI$500:$BI$923,MATCH($D468,_ENGINE_Risk!$E$500:$E$923,0))*N($H468),0)</f>
        <v>437.5</v>
      </c>
      <c r="L468">
        <f>IFERROR(MIN(5,$K468/MAX(1,_CONFIG_Model_Settings!$B$105)),0)</f>
        <v>5</v>
      </c>
    </row>
    <row r="469" spans="1:12">
      <c r="A469" t="s">
        <v>3955</v>
      </c>
      <c r="B469" t="s">
        <v>3958</v>
      </c>
      <c r="C469" t="s">
        <v>3957</v>
      </c>
      <c r="D469" t="s">
        <v>991</v>
      </c>
      <c r="E469" t="s">
        <v>949</v>
      </c>
      <c r="F469" t="s">
        <v>951</v>
      </c>
      <c r="G469">
        <f>IFERROR(INDEX(_ENGINE_Risk!$BS$500:$BS$923,MATCH($D469,_ENGINE_Risk!$E$500:$E$923,0)),0)</f>
        <v>14.94</v>
      </c>
      <c r="H469">
        <v>1</v>
      </c>
      <c r="I469">
        <f>IFERROR(MAX(0,5-INDEX(_ENGINE_Risk!$H$500:$H$923,MATCH($D469,_ENGINE_Risk!$E$500:$E$923,0))),0)</f>
        <v>5</v>
      </c>
      <c r="J469" t="s">
        <v>11566</v>
      </c>
      <c r="K469">
        <f>IFERROR(INDEX(_ENGINE_Risk!$BI$500:$BI$923,MATCH($D469,_ENGINE_Risk!$E$500:$E$923,0))*N($H469),0)</f>
        <v>437.5</v>
      </c>
      <c r="L469">
        <f>IFERROR(MIN(5,$K469/MAX(1,_CONFIG_Model_Settings!$B$105)),0)</f>
        <v>5</v>
      </c>
    </row>
    <row r="470" spans="1:12">
      <c r="A470" t="s">
        <v>3970</v>
      </c>
      <c r="B470" t="s">
        <v>3973</v>
      </c>
      <c r="C470" t="s">
        <v>3972</v>
      </c>
      <c r="D470" t="s">
        <v>1000</v>
      </c>
      <c r="E470" t="s">
        <v>949</v>
      </c>
      <c r="F470" t="s">
        <v>972</v>
      </c>
      <c r="G470">
        <f>IFERROR(INDEX(_ENGINE_Risk!$BS$500:$BS$923,MATCH($D470,_ENGINE_Risk!$E$500:$E$923,0)),0)</f>
        <v>14.94</v>
      </c>
      <c r="H470">
        <v>1</v>
      </c>
      <c r="I470">
        <f>IFERROR(MAX(0,5-INDEX(_ENGINE_Risk!$H$500:$H$923,MATCH($D470,_ENGINE_Risk!$E$500:$E$923,0))),0)</f>
        <v>5</v>
      </c>
      <c r="J470" t="s">
        <v>11566</v>
      </c>
      <c r="K470">
        <f>IFERROR(INDEX(_ENGINE_Risk!$BI$500:$BI$923,MATCH($D470,_ENGINE_Risk!$E$500:$E$923,0))*N($H470),0)</f>
        <v>437.5</v>
      </c>
      <c r="L470">
        <f>IFERROR(MIN(5,$K470/MAX(1,_CONFIG_Model_Settings!$B$105)),0)</f>
        <v>5</v>
      </c>
    </row>
    <row r="471" spans="1:12">
      <c r="A471" t="s">
        <v>3970</v>
      </c>
      <c r="B471" t="s">
        <v>3973</v>
      </c>
      <c r="C471" t="s">
        <v>3972</v>
      </c>
      <c r="D471" t="s">
        <v>1009</v>
      </c>
      <c r="E471" t="s">
        <v>949</v>
      </c>
      <c r="F471" t="s">
        <v>972</v>
      </c>
      <c r="G471">
        <f>IFERROR(INDEX(_ENGINE_Risk!$BS$500:$BS$923,MATCH($D471,_ENGINE_Risk!$E$500:$E$923,0)),0)</f>
        <v>14.22</v>
      </c>
      <c r="H471">
        <v>1</v>
      </c>
      <c r="I471">
        <f>IFERROR(MAX(0,5-INDEX(_ENGINE_Risk!$H$500:$H$923,MATCH($D471,_ENGINE_Risk!$E$500:$E$923,0))),0)</f>
        <v>5</v>
      </c>
      <c r="J471" t="s">
        <v>11566</v>
      </c>
      <c r="K471">
        <f>IFERROR(INDEX(_ENGINE_Risk!$BI$500:$BI$923,MATCH($D471,_ENGINE_Risk!$E$500:$E$923,0))*N($H471),0)</f>
        <v>437.5</v>
      </c>
      <c r="L471">
        <f>IFERROR(MIN(5,$K471/MAX(1,_CONFIG_Model_Settings!$B$105)),0)</f>
        <v>5</v>
      </c>
    </row>
    <row r="472" spans="1:12">
      <c r="A472" t="s">
        <v>3970</v>
      </c>
      <c r="B472" t="s">
        <v>3973</v>
      </c>
      <c r="C472" t="s">
        <v>3972</v>
      </c>
      <c r="D472" t="s">
        <v>1018</v>
      </c>
      <c r="E472" t="s">
        <v>949</v>
      </c>
      <c r="F472" t="s">
        <v>972</v>
      </c>
      <c r="G472">
        <f>IFERROR(INDEX(_ENGINE_Risk!$BS$500:$BS$923,MATCH($D472,_ENGINE_Risk!$E$500:$E$923,0)),0)</f>
        <v>14.94</v>
      </c>
      <c r="H472">
        <v>1</v>
      </c>
      <c r="I472">
        <f>IFERROR(MAX(0,5-INDEX(_ENGINE_Risk!$H$500:$H$923,MATCH($D472,_ENGINE_Risk!$E$500:$E$923,0))),0)</f>
        <v>5</v>
      </c>
      <c r="J472" t="s">
        <v>11566</v>
      </c>
      <c r="K472">
        <f>IFERROR(INDEX(_ENGINE_Risk!$BI$500:$BI$923,MATCH($D472,_ENGINE_Risk!$E$500:$E$923,0))*N($H472),0)</f>
        <v>437.5</v>
      </c>
      <c r="L472">
        <f>IFERROR(MIN(5,$K472/MAX(1,_CONFIG_Model_Settings!$B$105)),0)</f>
        <v>5</v>
      </c>
    </row>
    <row r="473" spans="1:12">
      <c r="A473" t="s">
        <v>3970</v>
      </c>
      <c r="B473" t="s">
        <v>3973</v>
      </c>
      <c r="C473" t="s">
        <v>3972</v>
      </c>
      <c r="D473" t="s">
        <v>1027</v>
      </c>
      <c r="E473" t="s">
        <v>949</v>
      </c>
      <c r="F473" t="s">
        <v>972</v>
      </c>
      <c r="G473">
        <f>IFERROR(INDEX(_ENGINE_Risk!$BS$500:$BS$923,MATCH($D473,_ENGINE_Risk!$E$500:$E$923,0)),0)</f>
        <v>15.66</v>
      </c>
      <c r="H473">
        <v>1</v>
      </c>
      <c r="I473">
        <f>IFERROR(MAX(0,5-INDEX(_ENGINE_Risk!$H$500:$H$923,MATCH($D473,_ENGINE_Risk!$E$500:$E$923,0))),0)</f>
        <v>5</v>
      </c>
      <c r="J473" t="s">
        <v>11566</v>
      </c>
      <c r="K473">
        <f>IFERROR(INDEX(_ENGINE_Risk!$BI$500:$BI$923,MATCH($D473,_ENGINE_Risk!$E$500:$E$923,0))*N($H473),0)</f>
        <v>437.5</v>
      </c>
      <c r="L473">
        <f>IFERROR(MIN(5,$K473/MAX(1,_CONFIG_Model_Settings!$B$105)),0)</f>
        <v>5</v>
      </c>
    </row>
    <row r="474" spans="1:12">
      <c r="A474" t="s">
        <v>3970</v>
      </c>
      <c r="B474" t="s">
        <v>3973</v>
      </c>
      <c r="C474" t="s">
        <v>3972</v>
      </c>
      <c r="D474" t="s">
        <v>1030</v>
      </c>
      <c r="E474" t="s">
        <v>949</v>
      </c>
      <c r="F474" t="s">
        <v>972</v>
      </c>
      <c r="G474">
        <f>IFERROR(INDEX(_ENGINE_Risk!$BS$500:$BS$923,MATCH($D474,_ENGINE_Risk!$E$500:$E$923,0)),0)</f>
        <v>14.22</v>
      </c>
      <c r="H474">
        <v>1</v>
      </c>
      <c r="I474">
        <f>IFERROR(MAX(0,5-INDEX(_ENGINE_Risk!$H$500:$H$923,MATCH($D474,_ENGINE_Risk!$E$500:$E$923,0))),0)</f>
        <v>5</v>
      </c>
      <c r="J474" t="s">
        <v>11566</v>
      </c>
      <c r="K474">
        <f>IFERROR(INDEX(_ENGINE_Risk!$BI$500:$BI$923,MATCH($D474,_ENGINE_Risk!$E$500:$E$923,0))*N($H474),0)</f>
        <v>437.5</v>
      </c>
      <c r="L474">
        <f>IFERROR(MIN(5,$K474/MAX(1,_CONFIG_Model_Settings!$B$105)),0)</f>
        <v>5</v>
      </c>
    </row>
    <row r="475" spans="1:12">
      <c r="A475" t="s">
        <v>3970</v>
      </c>
      <c r="B475" t="s">
        <v>3973</v>
      </c>
      <c r="C475" t="s">
        <v>3972</v>
      </c>
      <c r="D475" t="s">
        <v>1039</v>
      </c>
      <c r="E475" t="s">
        <v>949</v>
      </c>
      <c r="F475" t="s">
        <v>972</v>
      </c>
      <c r="G475">
        <f>IFERROR(INDEX(_ENGINE_Risk!$BS$500:$BS$923,MATCH($D475,_ENGINE_Risk!$E$500:$E$923,0)),0)</f>
        <v>14.94</v>
      </c>
      <c r="H475">
        <v>1</v>
      </c>
      <c r="I475">
        <f>IFERROR(MAX(0,5-INDEX(_ENGINE_Risk!$H$500:$H$923,MATCH($D475,_ENGINE_Risk!$E$500:$E$923,0))),0)</f>
        <v>5</v>
      </c>
      <c r="J475" t="s">
        <v>11566</v>
      </c>
      <c r="K475">
        <f>IFERROR(INDEX(_ENGINE_Risk!$BI$500:$BI$923,MATCH($D475,_ENGINE_Risk!$E$500:$E$923,0))*N($H475),0)</f>
        <v>437.5</v>
      </c>
      <c r="L475">
        <f>IFERROR(MIN(5,$K475/MAX(1,_CONFIG_Model_Settings!$B$105)),0)</f>
        <v>5</v>
      </c>
    </row>
    <row r="476" spans="1:12">
      <c r="A476" t="s">
        <v>3981</v>
      </c>
      <c r="B476" t="s">
        <v>3982</v>
      </c>
      <c r="C476" t="s">
        <v>3972</v>
      </c>
      <c r="D476" t="s">
        <v>1048</v>
      </c>
      <c r="E476" t="s">
        <v>949</v>
      </c>
      <c r="F476" t="s">
        <v>976</v>
      </c>
      <c r="G476">
        <f>IFERROR(INDEX(_ENGINE_Risk!$BS$500:$BS$923,MATCH($D476,_ENGINE_Risk!$E$500:$E$923,0)),0)</f>
        <v>15.66</v>
      </c>
      <c r="H476">
        <v>1</v>
      </c>
      <c r="I476">
        <f>IFERROR(MAX(0,5-INDEX(_ENGINE_Risk!$H$500:$H$923,MATCH($D476,_ENGINE_Risk!$E$500:$E$923,0))),0)</f>
        <v>5</v>
      </c>
      <c r="J476" t="s">
        <v>11566</v>
      </c>
      <c r="K476">
        <f>IFERROR(INDEX(_ENGINE_Risk!$BI$500:$BI$923,MATCH($D476,_ENGINE_Risk!$E$500:$E$923,0))*N($H476),0)</f>
        <v>437.5</v>
      </c>
      <c r="L476">
        <f>IFERROR(MIN(5,$K476/MAX(1,_CONFIG_Model_Settings!$B$105)),0)</f>
        <v>5</v>
      </c>
    </row>
    <row r="477" spans="1:12">
      <c r="A477" t="s">
        <v>3981</v>
      </c>
      <c r="B477" t="s">
        <v>3982</v>
      </c>
      <c r="C477" t="s">
        <v>3972</v>
      </c>
      <c r="D477" t="s">
        <v>1057</v>
      </c>
      <c r="E477" t="s">
        <v>949</v>
      </c>
      <c r="F477" t="s">
        <v>976</v>
      </c>
      <c r="G477">
        <f>IFERROR(INDEX(_ENGINE_Risk!$BS$500:$BS$923,MATCH($D477,_ENGINE_Risk!$E$500:$E$923,0)),0)</f>
        <v>14.22</v>
      </c>
      <c r="H477">
        <v>1</v>
      </c>
      <c r="I477">
        <f>IFERROR(MAX(0,5-INDEX(_ENGINE_Risk!$H$500:$H$923,MATCH($D477,_ENGINE_Risk!$E$500:$E$923,0))),0)</f>
        <v>5</v>
      </c>
      <c r="J477" t="s">
        <v>11566</v>
      </c>
      <c r="K477">
        <f>IFERROR(INDEX(_ENGINE_Risk!$BI$500:$BI$923,MATCH($D477,_ENGINE_Risk!$E$500:$E$923,0))*N($H477),0)</f>
        <v>437.5</v>
      </c>
      <c r="L477">
        <f>IFERROR(MIN(5,$K477/MAX(1,_CONFIG_Model_Settings!$B$105)),0)</f>
        <v>5</v>
      </c>
    </row>
    <row r="478" spans="1:12">
      <c r="A478" t="s">
        <v>3981</v>
      </c>
      <c r="B478" t="s">
        <v>3982</v>
      </c>
      <c r="C478" t="s">
        <v>3972</v>
      </c>
      <c r="D478" t="s">
        <v>1066</v>
      </c>
      <c r="E478" t="s">
        <v>949</v>
      </c>
      <c r="F478" t="s">
        <v>976</v>
      </c>
      <c r="G478">
        <f>IFERROR(INDEX(_ENGINE_Risk!$BS$500:$BS$923,MATCH($D478,_ENGINE_Risk!$E$500:$E$923,0)),0)</f>
        <v>15.66</v>
      </c>
      <c r="H478">
        <v>1</v>
      </c>
      <c r="I478">
        <f>IFERROR(MAX(0,5-INDEX(_ENGINE_Risk!$H$500:$H$923,MATCH($D478,_ENGINE_Risk!$E$500:$E$923,0))),0)</f>
        <v>5</v>
      </c>
      <c r="J478" t="s">
        <v>11566</v>
      </c>
      <c r="K478">
        <f>IFERROR(INDEX(_ENGINE_Risk!$BI$500:$BI$923,MATCH($D478,_ENGINE_Risk!$E$500:$E$923,0))*N($H478),0)</f>
        <v>437.5</v>
      </c>
      <c r="L478">
        <f>IFERROR(MIN(5,$K478/MAX(1,_CONFIG_Model_Settings!$B$105)),0)</f>
        <v>5</v>
      </c>
    </row>
    <row r="479" spans="1:12">
      <c r="A479" t="s">
        <v>3981</v>
      </c>
      <c r="B479" t="s">
        <v>3982</v>
      </c>
      <c r="C479" t="s">
        <v>3972</v>
      </c>
      <c r="D479" t="s">
        <v>1075</v>
      </c>
      <c r="E479" t="s">
        <v>949</v>
      </c>
      <c r="F479" t="s">
        <v>976</v>
      </c>
      <c r="G479">
        <f>IFERROR(INDEX(_ENGINE_Risk!$BS$500:$BS$923,MATCH($D479,_ENGINE_Risk!$E$500:$E$923,0)),0)</f>
        <v>15.66</v>
      </c>
      <c r="H479">
        <v>1</v>
      </c>
      <c r="I479">
        <f>IFERROR(MAX(0,5-INDEX(_ENGINE_Risk!$H$500:$H$923,MATCH($D479,_ENGINE_Risk!$E$500:$E$923,0))),0)</f>
        <v>5</v>
      </c>
      <c r="J479" t="s">
        <v>11566</v>
      </c>
      <c r="K479">
        <f>IFERROR(INDEX(_ENGINE_Risk!$BI$500:$BI$923,MATCH($D479,_ENGINE_Risk!$E$500:$E$923,0))*N($H479),0)</f>
        <v>437.5</v>
      </c>
      <c r="L479">
        <f>IFERROR(MIN(5,$K479/MAX(1,_CONFIG_Model_Settings!$B$105)),0)</f>
        <v>5</v>
      </c>
    </row>
    <row r="480" spans="1:12">
      <c r="A480" t="s">
        <v>3981</v>
      </c>
      <c r="B480" t="s">
        <v>3982</v>
      </c>
      <c r="C480" t="s">
        <v>3972</v>
      </c>
      <c r="D480" t="s">
        <v>1078</v>
      </c>
      <c r="E480" t="s">
        <v>949</v>
      </c>
      <c r="F480" t="s">
        <v>976</v>
      </c>
      <c r="G480">
        <f>IFERROR(INDEX(_ENGINE_Risk!$BS$500:$BS$923,MATCH($D480,_ENGINE_Risk!$E$500:$E$923,0)),0)</f>
        <v>15.66</v>
      </c>
      <c r="H480">
        <v>1</v>
      </c>
      <c r="I480">
        <f>IFERROR(MAX(0,5-INDEX(_ENGINE_Risk!$H$500:$H$923,MATCH($D480,_ENGINE_Risk!$E$500:$E$923,0))),0)</f>
        <v>5</v>
      </c>
      <c r="J480" t="s">
        <v>11566</v>
      </c>
      <c r="K480">
        <f>IFERROR(INDEX(_ENGINE_Risk!$BI$500:$BI$923,MATCH($D480,_ENGINE_Risk!$E$500:$E$923,0))*N($H480),0)</f>
        <v>437.5</v>
      </c>
      <c r="L480">
        <f>IFERROR(MIN(5,$K480/MAX(1,_CONFIG_Model_Settings!$B$105)),0)</f>
        <v>5</v>
      </c>
    </row>
    <row r="481" spans="1:12">
      <c r="A481" t="s">
        <v>3981</v>
      </c>
      <c r="B481" t="s">
        <v>3982</v>
      </c>
      <c r="C481" t="s">
        <v>3972</v>
      </c>
      <c r="D481" t="s">
        <v>1081</v>
      </c>
      <c r="E481" t="s">
        <v>949</v>
      </c>
      <c r="F481" t="s">
        <v>976</v>
      </c>
      <c r="G481">
        <f>IFERROR(INDEX(_ENGINE_Risk!$BS$500:$BS$923,MATCH($D481,_ENGINE_Risk!$E$500:$E$923,0)),0)</f>
        <v>15.66</v>
      </c>
      <c r="H481">
        <v>1</v>
      </c>
      <c r="I481">
        <f>IFERROR(MAX(0,5-INDEX(_ENGINE_Risk!$H$500:$H$923,MATCH($D481,_ENGINE_Risk!$E$500:$E$923,0))),0)</f>
        <v>5</v>
      </c>
      <c r="J481" t="s">
        <v>11566</v>
      </c>
      <c r="K481">
        <f>IFERROR(INDEX(_ENGINE_Risk!$BI$500:$BI$923,MATCH($D481,_ENGINE_Risk!$E$500:$E$923,0))*N($H481),0)</f>
        <v>437.5</v>
      </c>
      <c r="L481">
        <f>IFERROR(MIN(5,$K481/MAX(1,_CONFIG_Model_Settings!$B$105)),0)</f>
        <v>5</v>
      </c>
    </row>
    <row r="482" spans="1:12">
      <c r="A482" t="s">
        <v>3989</v>
      </c>
      <c r="B482" t="s">
        <v>3990</v>
      </c>
      <c r="C482" t="s">
        <v>3972</v>
      </c>
      <c r="D482" t="s">
        <v>1084</v>
      </c>
      <c r="E482" t="s">
        <v>949</v>
      </c>
      <c r="F482" t="s">
        <v>986</v>
      </c>
      <c r="G482">
        <f>IFERROR(INDEX(_ENGINE_Risk!$BS$500:$BS$923,MATCH($D482,_ENGINE_Risk!$E$500:$E$923,0)),0)</f>
        <v>15.66</v>
      </c>
      <c r="H482">
        <v>1</v>
      </c>
      <c r="I482">
        <f>IFERROR(MAX(0,5-INDEX(_ENGINE_Risk!$H$500:$H$923,MATCH($D482,_ENGINE_Risk!$E$500:$E$923,0))),0)</f>
        <v>5</v>
      </c>
      <c r="J482" t="s">
        <v>11566</v>
      </c>
      <c r="K482">
        <f>IFERROR(INDEX(_ENGINE_Risk!$BI$500:$BI$923,MATCH($D482,_ENGINE_Risk!$E$500:$E$923,0))*N($H482),0)</f>
        <v>437.5</v>
      </c>
      <c r="L482">
        <f>IFERROR(MIN(5,$K482/MAX(1,_CONFIG_Model_Settings!$B$105)),0)</f>
        <v>5</v>
      </c>
    </row>
    <row r="483" spans="1:12">
      <c r="A483" t="s">
        <v>3989</v>
      </c>
      <c r="B483" t="s">
        <v>3990</v>
      </c>
      <c r="C483" t="s">
        <v>3972</v>
      </c>
      <c r="D483" t="s">
        <v>1087</v>
      </c>
      <c r="E483" t="s">
        <v>949</v>
      </c>
      <c r="F483" t="s">
        <v>986</v>
      </c>
      <c r="G483">
        <f>IFERROR(INDEX(_ENGINE_Risk!$BS$500:$BS$923,MATCH($D483,_ENGINE_Risk!$E$500:$E$923,0)),0)</f>
        <v>15.48</v>
      </c>
      <c r="H483">
        <v>1</v>
      </c>
      <c r="I483">
        <f>IFERROR(MAX(0,5-INDEX(_ENGINE_Risk!$H$500:$H$923,MATCH($D483,_ENGINE_Risk!$E$500:$E$923,0))),0)</f>
        <v>5</v>
      </c>
      <c r="J483" t="s">
        <v>11566</v>
      </c>
      <c r="K483">
        <f>IFERROR(INDEX(_ENGINE_Risk!$BI$500:$BI$923,MATCH($D483,_ENGINE_Risk!$E$500:$E$923,0))*N($H483),0)</f>
        <v>437.5</v>
      </c>
      <c r="L483">
        <f>IFERROR(MIN(5,$K483/MAX(1,_CONFIG_Model_Settings!$B$105)),0)</f>
        <v>5</v>
      </c>
    </row>
    <row r="484" spans="1:12">
      <c r="A484" t="s">
        <v>3989</v>
      </c>
      <c r="B484" t="s">
        <v>3990</v>
      </c>
      <c r="C484" t="s">
        <v>3972</v>
      </c>
      <c r="D484" t="s">
        <v>1096</v>
      </c>
      <c r="E484" t="s">
        <v>949</v>
      </c>
      <c r="F484" t="s">
        <v>986</v>
      </c>
      <c r="G484">
        <f>IFERROR(INDEX(_ENGINE_Risk!$BS$500:$BS$923,MATCH($D484,_ENGINE_Risk!$E$500:$E$923,0)),0)</f>
        <v>14.94</v>
      </c>
      <c r="H484">
        <v>1</v>
      </c>
      <c r="I484">
        <f>IFERROR(MAX(0,5-INDEX(_ENGINE_Risk!$H$500:$H$923,MATCH($D484,_ENGINE_Risk!$E$500:$E$923,0))),0)</f>
        <v>5</v>
      </c>
      <c r="J484" t="s">
        <v>11566</v>
      </c>
      <c r="K484">
        <f>IFERROR(INDEX(_ENGINE_Risk!$BI$500:$BI$923,MATCH($D484,_ENGINE_Risk!$E$500:$E$923,0))*N($H484),0)</f>
        <v>437.5</v>
      </c>
      <c r="L484">
        <f>IFERROR(MIN(5,$K484/MAX(1,_CONFIG_Model_Settings!$B$105)),0)</f>
        <v>5</v>
      </c>
    </row>
    <row r="485" spans="1:12">
      <c r="A485" t="s">
        <v>3989</v>
      </c>
      <c r="B485" t="s">
        <v>3990</v>
      </c>
      <c r="C485" t="s">
        <v>3972</v>
      </c>
      <c r="D485" t="s">
        <v>1105</v>
      </c>
      <c r="E485" t="s">
        <v>949</v>
      </c>
      <c r="F485" t="s">
        <v>986</v>
      </c>
      <c r="G485">
        <f>IFERROR(INDEX(_ENGINE_Risk!$BS$500:$BS$923,MATCH($D485,_ENGINE_Risk!$E$500:$E$923,0)),0)</f>
        <v>15.66</v>
      </c>
      <c r="H485">
        <v>1</v>
      </c>
      <c r="I485">
        <f>IFERROR(MAX(0,5-INDEX(_ENGINE_Risk!$H$500:$H$923,MATCH($D485,_ENGINE_Risk!$E$500:$E$923,0))),0)</f>
        <v>5</v>
      </c>
      <c r="J485" t="s">
        <v>11566</v>
      </c>
      <c r="K485">
        <f>IFERROR(INDEX(_ENGINE_Risk!$BI$500:$BI$923,MATCH($D485,_ENGINE_Risk!$E$500:$E$923,0))*N($H485),0)</f>
        <v>437.5</v>
      </c>
      <c r="L485">
        <f>IFERROR(MIN(5,$K485/MAX(1,_CONFIG_Model_Settings!$B$105)),0)</f>
        <v>5</v>
      </c>
    </row>
    <row r="486" spans="1:12">
      <c r="A486" t="s">
        <v>3955</v>
      </c>
      <c r="B486" t="s">
        <v>3958</v>
      </c>
      <c r="C486" t="s">
        <v>3957</v>
      </c>
      <c r="D486" t="s">
        <v>1128</v>
      </c>
      <c r="E486" t="s">
        <v>949</v>
      </c>
      <c r="F486" t="s">
        <v>990</v>
      </c>
      <c r="G486">
        <f>IFERROR(INDEX(_ENGINE_Risk!$BS$500:$BS$923,MATCH($D486,_ENGINE_Risk!$E$500:$E$923,0)),0)</f>
        <v>11.16</v>
      </c>
      <c r="H486">
        <v>1</v>
      </c>
      <c r="I486">
        <f>IFERROR(MAX(0,5-INDEX(_ENGINE_Risk!$H$500:$H$923,MATCH($D486,_ENGINE_Risk!$E$500:$E$923,0))),0)</f>
        <v>5</v>
      </c>
      <c r="J486" t="s">
        <v>11567</v>
      </c>
      <c r="K486">
        <f>IFERROR(INDEX(_ENGINE_Risk!$BI$500:$BI$923,MATCH($D486,_ENGINE_Risk!$E$500:$E$923,0))*N($H486),0)</f>
        <v>187.5</v>
      </c>
      <c r="L486">
        <f>IFERROR(MIN(5,$K486/MAX(1,_CONFIG_Model_Settings!$B$105)),0)</f>
        <v>2.5</v>
      </c>
    </row>
    <row r="487" spans="1:12">
      <c r="A487" t="s">
        <v>3989</v>
      </c>
      <c r="B487" t="s">
        <v>3990</v>
      </c>
      <c r="C487" t="s">
        <v>3972</v>
      </c>
      <c r="D487" t="s">
        <v>1108</v>
      </c>
      <c r="E487" t="s">
        <v>949</v>
      </c>
      <c r="F487" t="s">
        <v>986</v>
      </c>
      <c r="G487">
        <f>IFERROR(INDEX(_ENGINE_Risk!$BS$500:$BS$923,MATCH($D487,_ENGINE_Risk!$E$500:$E$923,0)),0)</f>
        <v>14.94</v>
      </c>
      <c r="H487">
        <v>1</v>
      </c>
      <c r="I487">
        <f>IFERROR(MAX(0,5-INDEX(_ENGINE_Risk!$H$500:$H$923,MATCH($D487,_ENGINE_Risk!$E$500:$E$923,0))),0)</f>
        <v>5</v>
      </c>
      <c r="J487" t="s">
        <v>11566</v>
      </c>
      <c r="K487">
        <f>IFERROR(INDEX(_ENGINE_Risk!$BI$500:$BI$923,MATCH($D487,_ENGINE_Risk!$E$500:$E$923,0))*N($H487),0)</f>
        <v>437.5</v>
      </c>
      <c r="L487">
        <f>IFERROR(MIN(5,$K487/MAX(1,_CONFIG_Model_Settings!$B$105)),0)</f>
        <v>5</v>
      </c>
    </row>
    <row r="488" spans="1:12">
      <c r="A488" t="s">
        <v>3996</v>
      </c>
      <c r="B488" t="s">
        <v>3997</v>
      </c>
      <c r="C488" t="s">
        <v>3957</v>
      </c>
      <c r="D488" t="s">
        <v>1151</v>
      </c>
      <c r="E488" t="s">
        <v>1150</v>
      </c>
      <c r="F488" t="s">
        <v>1152</v>
      </c>
      <c r="G488">
        <f>IFERROR(INDEX(_ENGINE_Risk!$BS$500:$BS$923,MATCH($D488,_ENGINE_Risk!$E$500:$E$923,0)),0)</f>
        <v>17.82</v>
      </c>
      <c r="H488">
        <v>1</v>
      </c>
      <c r="I488">
        <f>IFERROR(MAX(0,5-INDEX(_ENGINE_Risk!$H$500:$H$923,MATCH($D488,_ENGINE_Risk!$E$500:$E$923,0))),0)</f>
        <v>5</v>
      </c>
      <c r="J488" t="s">
        <v>11566</v>
      </c>
      <c r="K488">
        <f>IFERROR(INDEX(_ENGINE_Risk!$BI$500:$BI$923,MATCH($D488,_ENGINE_Risk!$E$500:$E$923,0))*N($H488),0)</f>
        <v>937.5</v>
      </c>
      <c r="L488">
        <f>IFERROR(MIN(5,$K488/MAX(1,_CONFIG_Model_Settings!$B$105)),0)</f>
        <v>5</v>
      </c>
    </row>
    <row r="489" spans="1:12">
      <c r="A489" t="s">
        <v>3996</v>
      </c>
      <c r="B489" t="s">
        <v>3997</v>
      </c>
      <c r="C489" t="s">
        <v>3957</v>
      </c>
      <c r="D489" t="s">
        <v>1158</v>
      </c>
      <c r="E489" t="s">
        <v>1150</v>
      </c>
      <c r="F489" t="s">
        <v>1152</v>
      </c>
      <c r="G489">
        <f>IFERROR(INDEX(_ENGINE_Risk!$BS$500:$BS$923,MATCH($D489,_ENGINE_Risk!$E$500:$E$923,0)),0)</f>
        <v>17.82</v>
      </c>
      <c r="H489">
        <v>1</v>
      </c>
      <c r="I489">
        <f>IFERROR(MAX(0,5-INDEX(_ENGINE_Risk!$H$500:$H$923,MATCH($D489,_ENGINE_Risk!$E$500:$E$923,0))),0)</f>
        <v>5</v>
      </c>
      <c r="J489" t="s">
        <v>11566</v>
      </c>
      <c r="K489">
        <f>IFERROR(INDEX(_ENGINE_Risk!$BI$500:$BI$923,MATCH($D489,_ENGINE_Risk!$E$500:$E$923,0))*N($H489),0)</f>
        <v>937.5</v>
      </c>
      <c r="L489">
        <f>IFERROR(MIN(5,$K489/MAX(1,_CONFIG_Model_Settings!$B$105)),0)</f>
        <v>5</v>
      </c>
    </row>
    <row r="490" spans="1:12">
      <c r="A490" t="s">
        <v>3996</v>
      </c>
      <c r="B490" t="s">
        <v>3997</v>
      </c>
      <c r="C490" t="s">
        <v>3957</v>
      </c>
      <c r="D490" t="s">
        <v>1162</v>
      </c>
      <c r="E490" t="s">
        <v>1150</v>
      </c>
      <c r="F490" t="s">
        <v>1152</v>
      </c>
      <c r="G490">
        <f>IFERROR(INDEX(_ENGINE_Risk!$BS$500:$BS$923,MATCH($D490,_ENGINE_Risk!$E$500:$E$923,0)),0)</f>
        <v>17.82</v>
      </c>
      <c r="H490">
        <v>1</v>
      </c>
      <c r="I490">
        <f>IFERROR(MAX(0,5-INDEX(_ENGINE_Risk!$H$500:$H$923,MATCH($D490,_ENGINE_Risk!$E$500:$E$923,0))),0)</f>
        <v>5</v>
      </c>
      <c r="J490" t="s">
        <v>11566</v>
      </c>
      <c r="K490">
        <f>IFERROR(INDEX(_ENGINE_Risk!$BI$500:$BI$923,MATCH($D490,_ENGINE_Risk!$E$500:$E$923,0))*N($H490),0)</f>
        <v>937.5</v>
      </c>
      <c r="L490">
        <f>IFERROR(MIN(5,$K490/MAX(1,_CONFIG_Model_Settings!$B$105)),0)</f>
        <v>5</v>
      </c>
    </row>
    <row r="491" spans="1:12">
      <c r="A491" t="s">
        <v>3996</v>
      </c>
      <c r="B491" t="s">
        <v>3997</v>
      </c>
      <c r="C491" t="s">
        <v>3957</v>
      </c>
      <c r="D491" t="s">
        <v>1166</v>
      </c>
      <c r="E491" t="s">
        <v>1150</v>
      </c>
      <c r="F491" t="s">
        <v>1152</v>
      </c>
      <c r="G491">
        <f>IFERROR(INDEX(_ENGINE_Risk!$BS$500:$BS$923,MATCH($D491,_ENGINE_Risk!$E$500:$E$923,0)),0)</f>
        <v>17.82</v>
      </c>
      <c r="H491">
        <v>1</v>
      </c>
      <c r="I491">
        <f>IFERROR(MAX(0,5-INDEX(_ENGINE_Risk!$H$500:$H$923,MATCH($D491,_ENGINE_Risk!$E$500:$E$923,0))),0)</f>
        <v>5</v>
      </c>
      <c r="J491" t="s">
        <v>11566</v>
      </c>
      <c r="K491">
        <f>IFERROR(INDEX(_ENGINE_Risk!$BI$500:$BI$923,MATCH($D491,_ENGINE_Risk!$E$500:$E$923,0))*N($H491),0)</f>
        <v>937.5</v>
      </c>
      <c r="L491">
        <f>IFERROR(MIN(5,$K491/MAX(1,_CONFIG_Model_Settings!$B$105)),0)</f>
        <v>5</v>
      </c>
    </row>
    <row r="492" spans="1:12">
      <c r="A492" t="s">
        <v>3996</v>
      </c>
      <c r="B492" t="s">
        <v>3997</v>
      </c>
      <c r="C492" t="s">
        <v>3957</v>
      </c>
      <c r="D492" t="s">
        <v>1169</v>
      </c>
      <c r="E492" t="s">
        <v>1150</v>
      </c>
      <c r="F492" t="s">
        <v>1152</v>
      </c>
      <c r="G492">
        <f>IFERROR(INDEX(_ENGINE_Risk!$BS$500:$BS$923,MATCH($D492,_ENGINE_Risk!$E$500:$E$923,0)),0)</f>
        <v>17.82</v>
      </c>
      <c r="H492">
        <v>1</v>
      </c>
      <c r="I492">
        <f>IFERROR(MAX(0,5-INDEX(_ENGINE_Risk!$H$500:$H$923,MATCH($D492,_ENGINE_Risk!$E$500:$E$923,0))),0)</f>
        <v>5</v>
      </c>
      <c r="J492" t="s">
        <v>11566</v>
      </c>
      <c r="K492">
        <f>IFERROR(INDEX(_ENGINE_Risk!$BI$500:$BI$923,MATCH($D492,_ENGINE_Risk!$E$500:$E$923,0))*N($H492),0)</f>
        <v>937.5</v>
      </c>
      <c r="L492">
        <f>IFERROR(MIN(5,$K492/MAX(1,_CONFIG_Model_Settings!$B$105)),0)</f>
        <v>5</v>
      </c>
    </row>
    <row r="493" spans="1:12">
      <c r="A493" t="s">
        <v>3996</v>
      </c>
      <c r="B493" t="s">
        <v>3997</v>
      </c>
      <c r="C493" t="s">
        <v>3957</v>
      </c>
      <c r="D493" t="s">
        <v>1172</v>
      </c>
      <c r="E493" t="s">
        <v>1150</v>
      </c>
      <c r="F493" t="s">
        <v>1152</v>
      </c>
      <c r="G493">
        <f>IFERROR(INDEX(_ENGINE_Risk!$BS$500:$BS$923,MATCH($D493,_ENGINE_Risk!$E$500:$E$923,0)),0)</f>
        <v>16.239999999999998</v>
      </c>
      <c r="H493">
        <v>1</v>
      </c>
      <c r="I493">
        <f>IFERROR(MAX(0,5-INDEX(_ENGINE_Risk!$H$500:$H$923,MATCH($D493,_ENGINE_Risk!$E$500:$E$923,0))),0)</f>
        <v>5</v>
      </c>
      <c r="J493" t="s">
        <v>11566</v>
      </c>
      <c r="K493">
        <f>IFERROR(INDEX(_ENGINE_Risk!$BI$500:$BI$923,MATCH($D493,_ENGINE_Risk!$E$500:$E$923,0))*N($H493),0)</f>
        <v>437.5</v>
      </c>
      <c r="L493">
        <f>IFERROR(MIN(5,$K493/MAX(1,_CONFIG_Model_Settings!$B$105)),0)</f>
        <v>5</v>
      </c>
    </row>
    <row r="494" spans="1:12">
      <c r="A494" t="s">
        <v>4005</v>
      </c>
      <c r="B494" t="s">
        <v>4006</v>
      </c>
      <c r="C494" t="s">
        <v>3957</v>
      </c>
      <c r="D494" t="s">
        <v>1181</v>
      </c>
      <c r="E494" t="s">
        <v>1150</v>
      </c>
      <c r="F494" t="s">
        <v>1161</v>
      </c>
      <c r="G494">
        <f>IFERROR(INDEX(_ENGINE_Risk!$BS$500:$BS$923,MATCH($D494,_ENGINE_Risk!$E$500:$E$923,0)),0)</f>
        <v>17.82</v>
      </c>
      <c r="H494">
        <v>1</v>
      </c>
      <c r="I494">
        <f>IFERROR(MAX(0,5-INDEX(_ENGINE_Risk!$H$500:$H$923,MATCH($D494,_ENGINE_Risk!$E$500:$E$923,0))),0)</f>
        <v>5</v>
      </c>
      <c r="J494" t="s">
        <v>11566</v>
      </c>
      <c r="K494">
        <f>IFERROR(INDEX(_ENGINE_Risk!$BI$500:$BI$923,MATCH($D494,_ENGINE_Risk!$E$500:$E$923,0))*N($H494),0)</f>
        <v>937.5</v>
      </c>
      <c r="L494">
        <f>IFERROR(MIN(5,$K494/MAX(1,_CONFIG_Model_Settings!$B$105)),0)</f>
        <v>5</v>
      </c>
    </row>
    <row r="495" spans="1:12">
      <c r="A495" t="s">
        <v>4005</v>
      </c>
      <c r="B495" t="s">
        <v>4006</v>
      </c>
      <c r="C495" t="s">
        <v>3957</v>
      </c>
      <c r="D495" t="s">
        <v>1184</v>
      </c>
      <c r="E495" t="s">
        <v>1150</v>
      </c>
      <c r="F495" t="s">
        <v>1161</v>
      </c>
      <c r="G495">
        <f>IFERROR(INDEX(_ENGINE_Risk!$BS$500:$BS$923,MATCH($D495,_ENGINE_Risk!$E$500:$E$923,0)),0)</f>
        <v>18.41</v>
      </c>
      <c r="H495">
        <v>1</v>
      </c>
      <c r="I495">
        <f>IFERROR(MAX(0,5-INDEX(_ENGINE_Risk!$H$500:$H$923,MATCH($D495,_ENGINE_Risk!$E$500:$E$923,0))),0)</f>
        <v>5</v>
      </c>
      <c r="J495" t="s">
        <v>11566</v>
      </c>
      <c r="K495">
        <f>IFERROR(INDEX(_ENGINE_Risk!$BI$500:$BI$923,MATCH($D495,_ENGINE_Risk!$E$500:$E$923,0))*N($H495),0)</f>
        <v>937.5</v>
      </c>
      <c r="L495">
        <f>IFERROR(MIN(5,$K495/MAX(1,_CONFIG_Model_Settings!$B$105)),0)</f>
        <v>5</v>
      </c>
    </row>
    <row r="496" spans="1:12">
      <c r="A496" t="s">
        <v>4005</v>
      </c>
      <c r="B496" t="s">
        <v>4006</v>
      </c>
      <c r="C496" t="s">
        <v>3957</v>
      </c>
      <c r="D496" t="s">
        <v>1187</v>
      </c>
      <c r="E496" t="s">
        <v>1150</v>
      </c>
      <c r="F496" t="s">
        <v>1161</v>
      </c>
      <c r="G496">
        <f>IFERROR(INDEX(_ENGINE_Risk!$BS$500:$BS$923,MATCH($D496,_ENGINE_Risk!$E$500:$E$923,0)),0)</f>
        <v>17.82</v>
      </c>
      <c r="H496">
        <v>1</v>
      </c>
      <c r="I496">
        <f>IFERROR(MAX(0,5-INDEX(_ENGINE_Risk!$H$500:$H$923,MATCH($D496,_ENGINE_Risk!$E$500:$E$923,0))),0)</f>
        <v>5</v>
      </c>
      <c r="J496" t="s">
        <v>11566</v>
      </c>
      <c r="K496">
        <f>IFERROR(INDEX(_ENGINE_Risk!$BI$500:$BI$923,MATCH($D496,_ENGINE_Risk!$E$500:$E$923,0))*N($H496),0)</f>
        <v>937.5</v>
      </c>
      <c r="L496">
        <f>IFERROR(MIN(5,$K496/MAX(1,_CONFIG_Model_Settings!$B$105)),0)</f>
        <v>5</v>
      </c>
    </row>
    <row r="497" spans="1:12">
      <c r="A497" t="s">
        <v>4005</v>
      </c>
      <c r="B497" t="s">
        <v>4006</v>
      </c>
      <c r="C497" t="s">
        <v>3957</v>
      </c>
      <c r="D497" t="s">
        <v>1190</v>
      </c>
      <c r="E497" t="s">
        <v>1150</v>
      </c>
      <c r="F497" t="s">
        <v>1161</v>
      </c>
      <c r="G497">
        <f>IFERROR(INDEX(_ENGINE_Risk!$BS$500:$BS$923,MATCH($D497,_ENGINE_Risk!$E$500:$E$923,0)),0)</f>
        <v>17.82</v>
      </c>
      <c r="H497">
        <v>1</v>
      </c>
      <c r="I497">
        <f>IFERROR(MAX(0,5-INDEX(_ENGINE_Risk!$H$500:$H$923,MATCH($D497,_ENGINE_Risk!$E$500:$E$923,0))),0)</f>
        <v>5</v>
      </c>
      <c r="J497" t="s">
        <v>11566</v>
      </c>
      <c r="K497">
        <f>IFERROR(INDEX(_ENGINE_Risk!$BI$500:$BI$923,MATCH($D497,_ENGINE_Risk!$E$500:$E$923,0))*N($H497),0)</f>
        <v>937.5</v>
      </c>
      <c r="L497">
        <f>IFERROR(MIN(5,$K497/MAX(1,_CONFIG_Model_Settings!$B$105)),0)</f>
        <v>5</v>
      </c>
    </row>
    <row r="498" spans="1:12">
      <c r="A498" t="s">
        <v>4005</v>
      </c>
      <c r="B498" t="s">
        <v>4006</v>
      </c>
      <c r="C498" t="s">
        <v>3957</v>
      </c>
      <c r="D498" t="s">
        <v>1193</v>
      </c>
      <c r="E498" t="s">
        <v>1150</v>
      </c>
      <c r="F498" t="s">
        <v>1161</v>
      </c>
      <c r="G498">
        <f>IFERROR(INDEX(_ENGINE_Risk!$BS$500:$BS$923,MATCH($D498,_ENGINE_Risk!$E$500:$E$923,0)),0)</f>
        <v>17.82</v>
      </c>
      <c r="H498">
        <v>1</v>
      </c>
      <c r="I498">
        <f>IFERROR(MAX(0,5-INDEX(_ENGINE_Risk!$H$500:$H$923,MATCH($D498,_ENGINE_Risk!$E$500:$E$923,0))),0)</f>
        <v>5</v>
      </c>
      <c r="J498" t="s">
        <v>11566</v>
      </c>
      <c r="K498">
        <f>IFERROR(INDEX(_ENGINE_Risk!$BI$500:$BI$923,MATCH($D498,_ENGINE_Risk!$E$500:$E$923,0))*N($H498),0)</f>
        <v>937.5</v>
      </c>
      <c r="L498">
        <f>IFERROR(MIN(5,$K498/MAX(1,_CONFIG_Model_Settings!$B$105)),0)</f>
        <v>5</v>
      </c>
    </row>
    <row r="499" spans="1:12">
      <c r="A499" t="s">
        <v>4005</v>
      </c>
      <c r="B499" t="s">
        <v>4006</v>
      </c>
      <c r="C499" t="s">
        <v>3957</v>
      </c>
      <c r="D499" t="s">
        <v>1196</v>
      </c>
      <c r="E499" t="s">
        <v>1150</v>
      </c>
      <c r="F499" t="s">
        <v>1161</v>
      </c>
      <c r="G499">
        <f>IFERROR(INDEX(_ENGINE_Risk!$BS$500:$BS$923,MATCH($D499,_ENGINE_Risk!$E$500:$E$923,0)),0)</f>
        <v>18.41</v>
      </c>
      <c r="H499">
        <v>1</v>
      </c>
      <c r="I499">
        <f>IFERROR(MAX(0,5-INDEX(_ENGINE_Risk!$H$500:$H$923,MATCH($D499,_ENGINE_Risk!$E$500:$E$923,0))),0)</f>
        <v>5</v>
      </c>
      <c r="J499" t="s">
        <v>11566</v>
      </c>
      <c r="K499">
        <f>IFERROR(INDEX(_ENGINE_Risk!$BI$500:$BI$923,MATCH($D499,_ENGINE_Risk!$E$500:$E$923,0))*N($H499),0)</f>
        <v>937.5</v>
      </c>
      <c r="L499">
        <f>IFERROR(MIN(5,$K499/MAX(1,_CONFIG_Model_Settings!$B$105)),0)</f>
        <v>5</v>
      </c>
    </row>
    <row r="500" spans="1:12">
      <c r="A500" t="s">
        <v>4005</v>
      </c>
      <c r="B500" t="s">
        <v>4006</v>
      </c>
      <c r="C500" t="s">
        <v>3957</v>
      </c>
      <c r="D500" t="s">
        <v>1199</v>
      </c>
      <c r="E500" t="s">
        <v>1150</v>
      </c>
      <c r="F500" t="s">
        <v>1161</v>
      </c>
      <c r="G500">
        <f>IFERROR(INDEX(_ENGINE_Risk!$BS$500:$BS$923,MATCH($D500,_ENGINE_Risk!$E$500:$E$923,0)),0)</f>
        <v>17.82</v>
      </c>
      <c r="H500">
        <v>1</v>
      </c>
      <c r="I500">
        <f>IFERROR(MAX(0,5-INDEX(_ENGINE_Risk!$H$500:$H$923,MATCH($D500,_ENGINE_Risk!$E$500:$E$923,0))),0)</f>
        <v>5</v>
      </c>
      <c r="J500" t="s">
        <v>11566</v>
      </c>
      <c r="K500">
        <f>IFERROR(INDEX(_ENGINE_Risk!$BI$500:$BI$923,MATCH($D500,_ENGINE_Risk!$E$500:$E$923,0))*N($H500),0)</f>
        <v>937.5</v>
      </c>
      <c r="L500">
        <f>IFERROR(MIN(5,$K500/MAX(1,_CONFIG_Model_Settings!$B$105)),0)</f>
        <v>5</v>
      </c>
    </row>
    <row r="501" spans="1:12">
      <c r="A501" t="s">
        <v>4012</v>
      </c>
      <c r="B501" t="s">
        <v>4013</v>
      </c>
      <c r="C501" t="s">
        <v>3957</v>
      </c>
      <c r="D501" t="s">
        <v>1208</v>
      </c>
      <c r="E501" t="s">
        <v>1150</v>
      </c>
      <c r="F501" t="s">
        <v>1165</v>
      </c>
      <c r="G501">
        <f>IFERROR(INDEX(_ENGINE_Risk!$BS$500:$BS$923,MATCH($D501,_ENGINE_Risk!$E$500:$E$923,0)),0)</f>
        <v>17.82</v>
      </c>
      <c r="H501">
        <v>1</v>
      </c>
      <c r="I501">
        <f>IFERROR(MAX(0,5-INDEX(_ENGINE_Risk!$H$500:$H$923,MATCH($D501,_ENGINE_Risk!$E$500:$E$923,0))),0)</f>
        <v>5</v>
      </c>
      <c r="J501" t="s">
        <v>11566</v>
      </c>
      <c r="K501">
        <f>IFERROR(INDEX(_ENGINE_Risk!$BI$500:$BI$923,MATCH($D501,_ENGINE_Risk!$E$500:$E$923,0))*N($H501),0)</f>
        <v>937.5</v>
      </c>
      <c r="L501">
        <f>IFERROR(MIN(5,$K501/MAX(1,_CONFIG_Model_Settings!$B$105)),0)</f>
        <v>5</v>
      </c>
    </row>
    <row r="502" spans="1:12">
      <c r="A502" t="s">
        <v>4012</v>
      </c>
      <c r="B502" t="s">
        <v>4013</v>
      </c>
      <c r="C502" t="s">
        <v>3957</v>
      </c>
      <c r="D502" t="s">
        <v>1211</v>
      </c>
      <c r="E502" t="s">
        <v>1150</v>
      </c>
      <c r="F502" t="s">
        <v>1165</v>
      </c>
      <c r="G502">
        <f>IFERROR(INDEX(_ENGINE_Risk!$BS$500:$BS$923,MATCH($D502,_ENGINE_Risk!$E$500:$E$923,0)),0)</f>
        <v>17.82</v>
      </c>
      <c r="H502">
        <v>1</v>
      </c>
      <c r="I502">
        <f>IFERROR(MAX(0,5-INDEX(_ENGINE_Risk!$H$500:$H$923,MATCH($D502,_ENGINE_Risk!$E$500:$E$923,0))),0)</f>
        <v>5</v>
      </c>
      <c r="J502" t="s">
        <v>11566</v>
      </c>
      <c r="K502">
        <f>IFERROR(INDEX(_ENGINE_Risk!$BI$500:$BI$923,MATCH($D502,_ENGINE_Risk!$E$500:$E$923,0))*N($H502),0)</f>
        <v>937.5</v>
      </c>
      <c r="L502">
        <f>IFERROR(MIN(5,$K502/MAX(1,_CONFIG_Model_Settings!$B$105)),0)</f>
        <v>5</v>
      </c>
    </row>
    <row r="503" spans="1:12">
      <c r="A503" t="s">
        <v>4012</v>
      </c>
      <c r="B503" t="s">
        <v>4013</v>
      </c>
      <c r="C503" t="s">
        <v>3957</v>
      </c>
      <c r="D503" t="s">
        <v>1214</v>
      </c>
      <c r="E503" t="s">
        <v>1150</v>
      </c>
      <c r="F503" t="s">
        <v>1165</v>
      </c>
      <c r="G503">
        <f>IFERROR(INDEX(_ENGINE_Risk!$BS$500:$BS$923,MATCH($D503,_ENGINE_Risk!$E$500:$E$923,0)),0)</f>
        <v>17.82</v>
      </c>
      <c r="H503">
        <v>1</v>
      </c>
      <c r="I503">
        <f>IFERROR(MAX(0,5-INDEX(_ENGINE_Risk!$H$500:$H$923,MATCH($D503,_ENGINE_Risk!$E$500:$E$923,0))),0)</f>
        <v>5</v>
      </c>
      <c r="J503" t="s">
        <v>11566</v>
      </c>
      <c r="K503">
        <f>IFERROR(INDEX(_ENGINE_Risk!$BI$500:$BI$923,MATCH($D503,_ENGINE_Risk!$E$500:$E$923,0))*N($H503),0)</f>
        <v>937.5</v>
      </c>
      <c r="L503">
        <f>IFERROR(MIN(5,$K503/MAX(1,_CONFIG_Model_Settings!$B$105)),0)</f>
        <v>5</v>
      </c>
    </row>
    <row r="504" spans="1:12">
      <c r="A504" t="s">
        <v>4012</v>
      </c>
      <c r="B504" t="s">
        <v>4013</v>
      </c>
      <c r="C504" t="s">
        <v>3957</v>
      </c>
      <c r="D504" t="s">
        <v>1217</v>
      </c>
      <c r="E504" t="s">
        <v>1150</v>
      </c>
      <c r="F504" t="s">
        <v>1165</v>
      </c>
      <c r="G504">
        <f>IFERROR(INDEX(_ENGINE_Risk!$BS$500:$BS$923,MATCH($D504,_ENGINE_Risk!$E$500:$E$923,0)),0)</f>
        <v>17.82</v>
      </c>
      <c r="H504">
        <v>1</v>
      </c>
      <c r="I504">
        <f>IFERROR(MAX(0,5-INDEX(_ENGINE_Risk!$H$500:$H$923,MATCH($D504,_ENGINE_Risk!$E$500:$E$923,0))),0)</f>
        <v>5</v>
      </c>
      <c r="J504" t="s">
        <v>11566</v>
      </c>
      <c r="K504">
        <f>IFERROR(INDEX(_ENGINE_Risk!$BI$500:$BI$923,MATCH($D504,_ENGINE_Risk!$E$500:$E$923,0))*N($H504),0)</f>
        <v>937.5</v>
      </c>
      <c r="L504">
        <f>IFERROR(MIN(5,$K504/MAX(1,_CONFIG_Model_Settings!$B$105)),0)</f>
        <v>5</v>
      </c>
    </row>
    <row r="505" spans="1:12">
      <c r="A505" t="s">
        <v>4012</v>
      </c>
      <c r="B505" t="s">
        <v>4013</v>
      </c>
      <c r="C505" t="s">
        <v>3957</v>
      </c>
      <c r="D505" t="s">
        <v>1220</v>
      </c>
      <c r="E505" t="s">
        <v>1150</v>
      </c>
      <c r="F505" t="s">
        <v>1165</v>
      </c>
      <c r="G505">
        <f>IFERROR(INDEX(_ENGINE_Risk!$BS$500:$BS$923,MATCH($D505,_ENGINE_Risk!$E$500:$E$923,0)),0)</f>
        <v>16.239999999999998</v>
      </c>
      <c r="H505">
        <v>1</v>
      </c>
      <c r="I505">
        <f>IFERROR(MAX(0,5-INDEX(_ENGINE_Risk!$H$500:$H$923,MATCH($D505,_ENGINE_Risk!$E$500:$E$923,0))),0)</f>
        <v>5</v>
      </c>
      <c r="J505" t="s">
        <v>11566</v>
      </c>
      <c r="K505">
        <f>IFERROR(INDEX(_ENGINE_Risk!$BI$500:$BI$923,MATCH($D505,_ENGINE_Risk!$E$500:$E$923,0))*N($H505),0)</f>
        <v>437.5</v>
      </c>
      <c r="L505">
        <f>IFERROR(MIN(5,$K505/MAX(1,_CONFIG_Model_Settings!$B$105)),0)</f>
        <v>5</v>
      </c>
    </row>
    <row r="506" spans="1:12">
      <c r="A506" t="s">
        <v>4012</v>
      </c>
      <c r="B506" t="s">
        <v>4013</v>
      </c>
      <c r="C506" t="s">
        <v>3957</v>
      </c>
      <c r="D506" t="s">
        <v>1229</v>
      </c>
      <c r="E506" t="s">
        <v>1150</v>
      </c>
      <c r="F506" t="s">
        <v>1165</v>
      </c>
      <c r="G506">
        <f>IFERROR(INDEX(_ENGINE_Risk!$BS$500:$BS$923,MATCH($D506,_ENGINE_Risk!$E$500:$E$923,0)),0)</f>
        <v>17.82</v>
      </c>
      <c r="H506">
        <v>1</v>
      </c>
      <c r="I506">
        <f>IFERROR(MAX(0,5-INDEX(_ENGINE_Risk!$H$500:$H$923,MATCH($D506,_ENGINE_Risk!$E$500:$E$923,0))),0)</f>
        <v>5</v>
      </c>
      <c r="J506" t="s">
        <v>11566</v>
      </c>
      <c r="K506">
        <f>IFERROR(INDEX(_ENGINE_Risk!$BI$500:$BI$923,MATCH($D506,_ENGINE_Risk!$E$500:$E$923,0))*N($H506),0)</f>
        <v>937.5</v>
      </c>
      <c r="L506">
        <f>IFERROR(MIN(5,$K506/MAX(1,_CONFIG_Model_Settings!$B$105)),0)</f>
        <v>5</v>
      </c>
    </row>
    <row r="507" spans="1:12">
      <c r="A507" t="s">
        <v>4019</v>
      </c>
      <c r="B507" t="s">
        <v>4022</v>
      </c>
      <c r="C507" t="s">
        <v>4021</v>
      </c>
      <c r="D507" t="s">
        <v>1260</v>
      </c>
      <c r="E507" t="s">
        <v>1259</v>
      </c>
      <c r="F507" t="s">
        <v>1261</v>
      </c>
      <c r="G507">
        <f>IFERROR(INDEX(_ENGINE_Risk!$BS$500:$BS$923,MATCH($D507,_ENGINE_Risk!$E$500:$E$923,0)),0)</f>
        <v>20.13</v>
      </c>
      <c r="H507">
        <v>1</v>
      </c>
      <c r="I507">
        <f>IFERROR(MAX(0,5-INDEX(_ENGINE_Risk!$H$500:$H$923,MATCH($D507,_ENGINE_Risk!$E$500:$E$923,0))),0)</f>
        <v>5</v>
      </c>
      <c r="J507" t="s">
        <v>11566</v>
      </c>
      <c r="K507">
        <f>IFERROR(INDEX(_ENGINE_Risk!$BI$500:$BI$923,MATCH($D507,_ENGINE_Risk!$E$500:$E$923,0))*N($H507),0)</f>
        <v>437.5</v>
      </c>
      <c r="L507">
        <f>IFERROR(MIN(5,$K507/MAX(1,_CONFIG_Model_Settings!$B$105)),0)</f>
        <v>5</v>
      </c>
    </row>
    <row r="508" spans="1:12">
      <c r="A508" t="s">
        <v>4019</v>
      </c>
      <c r="B508" t="s">
        <v>4022</v>
      </c>
      <c r="C508" t="s">
        <v>4021</v>
      </c>
      <c r="D508" t="s">
        <v>1267</v>
      </c>
      <c r="E508" t="s">
        <v>1259</v>
      </c>
      <c r="F508" t="s">
        <v>1261</v>
      </c>
      <c r="G508">
        <f>IFERROR(INDEX(_ENGINE_Risk!$BS$500:$BS$923,MATCH($D508,_ENGINE_Risk!$E$500:$E$923,0)),0)</f>
        <v>20.13</v>
      </c>
      <c r="H508">
        <v>1</v>
      </c>
      <c r="I508">
        <f>IFERROR(MAX(0,5-INDEX(_ENGINE_Risk!$H$500:$H$923,MATCH($D508,_ENGINE_Risk!$E$500:$E$923,0))),0)</f>
        <v>5</v>
      </c>
      <c r="J508" t="s">
        <v>11566</v>
      </c>
      <c r="K508">
        <f>IFERROR(INDEX(_ENGINE_Risk!$BI$500:$BI$923,MATCH($D508,_ENGINE_Risk!$E$500:$E$923,0))*N($H508),0)</f>
        <v>437.5</v>
      </c>
      <c r="L508">
        <f>IFERROR(MIN(5,$K508/MAX(1,_CONFIG_Model_Settings!$B$105)),0)</f>
        <v>5</v>
      </c>
    </row>
    <row r="509" spans="1:12">
      <c r="A509" t="s">
        <v>4019</v>
      </c>
      <c r="B509" t="s">
        <v>4022</v>
      </c>
      <c r="C509" t="s">
        <v>4021</v>
      </c>
      <c r="D509" t="s">
        <v>1271</v>
      </c>
      <c r="E509" t="s">
        <v>1259</v>
      </c>
      <c r="F509" t="s">
        <v>1261</v>
      </c>
      <c r="G509">
        <f>IFERROR(INDEX(_ENGINE_Risk!$BS$500:$BS$923,MATCH($D509,_ENGINE_Risk!$E$500:$E$923,0)),0)</f>
        <v>20.13</v>
      </c>
      <c r="H509">
        <v>1</v>
      </c>
      <c r="I509">
        <f>IFERROR(MAX(0,5-INDEX(_ENGINE_Risk!$H$500:$H$923,MATCH($D509,_ENGINE_Risk!$E$500:$E$923,0))),0)</f>
        <v>5</v>
      </c>
      <c r="J509" t="s">
        <v>11566</v>
      </c>
      <c r="K509">
        <f>IFERROR(INDEX(_ENGINE_Risk!$BI$500:$BI$923,MATCH($D509,_ENGINE_Risk!$E$500:$E$923,0))*N($H509),0)</f>
        <v>437.5</v>
      </c>
      <c r="L509">
        <f>IFERROR(MIN(5,$K509/MAX(1,_CONFIG_Model_Settings!$B$105)),0)</f>
        <v>5</v>
      </c>
    </row>
    <row r="510" spans="1:12">
      <c r="A510" t="s">
        <v>4019</v>
      </c>
      <c r="B510" t="s">
        <v>4022</v>
      </c>
      <c r="C510" t="s">
        <v>4021</v>
      </c>
      <c r="D510" t="s">
        <v>1275</v>
      </c>
      <c r="E510" t="s">
        <v>1259</v>
      </c>
      <c r="F510" t="s">
        <v>1261</v>
      </c>
      <c r="G510">
        <f>IFERROR(INDEX(_ENGINE_Risk!$BS$500:$BS$923,MATCH($D510,_ENGINE_Risk!$E$500:$E$923,0)),0)</f>
        <v>20.81</v>
      </c>
      <c r="H510">
        <v>1</v>
      </c>
      <c r="I510">
        <f>IFERROR(MAX(0,5-INDEX(_ENGINE_Risk!$H$500:$H$923,MATCH($D510,_ENGINE_Risk!$E$500:$E$923,0))),0)</f>
        <v>5</v>
      </c>
      <c r="J510" t="s">
        <v>11566</v>
      </c>
      <c r="K510">
        <f>IFERROR(INDEX(_ENGINE_Risk!$BI$500:$BI$923,MATCH($D510,_ENGINE_Risk!$E$500:$E$923,0))*N($H510),0)</f>
        <v>937.5</v>
      </c>
      <c r="L510">
        <f>IFERROR(MIN(5,$K510/MAX(1,_CONFIG_Model_Settings!$B$105)),0)</f>
        <v>5</v>
      </c>
    </row>
    <row r="511" spans="1:12">
      <c r="A511" t="s">
        <v>4019</v>
      </c>
      <c r="B511" t="s">
        <v>4022</v>
      </c>
      <c r="C511" t="s">
        <v>4021</v>
      </c>
      <c r="D511" t="s">
        <v>1279</v>
      </c>
      <c r="E511" t="s">
        <v>1259</v>
      </c>
      <c r="F511" t="s">
        <v>1261</v>
      </c>
      <c r="G511">
        <f>IFERROR(INDEX(_ENGINE_Risk!$BS$500:$BS$923,MATCH($D511,_ENGINE_Risk!$E$500:$E$923,0)),0)</f>
        <v>20.13</v>
      </c>
      <c r="H511">
        <v>1</v>
      </c>
      <c r="I511">
        <f>IFERROR(MAX(0,5-INDEX(_ENGINE_Risk!$H$500:$H$923,MATCH($D511,_ENGINE_Risk!$E$500:$E$923,0))),0)</f>
        <v>5</v>
      </c>
      <c r="J511" t="s">
        <v>11566</v>
      </c>
      <c r="K511">
        <f>IFERROR(INDEX(_ENGINE_Risk!$BI$500:$BI$923,MATCH($D511,_ENGINE_Risk!$E$500:$E$923,0))*N($H511),0)</f>
        <v>437.5</v>
      </c>
      <c r="L511">
        <f>IFERROR(MIN(5,$K511/MAX(1,_CONFIG_Model_Settings!$B$105)),0)</f>
        <v>5</v>
      </c>
    </row>
    <row r="512" spans="1:12">
      <c r="A512" t="s">
        <v>4019</v>
      </c>
      <c r="B512" t="s">
        <v>4022</v>
      </c>
      <c r="C512" t="s">
        <v>4021</v>
      </c>
      <c r="D512" t="s">
        <v>1282</v>
      </c>
      <c r="E512" t="s">
        <v>1259</v>
      </c>
      <c r="F512" t="s">
        <v>1261</v>
      </c>
      <c r="G512">
        <f>IFERROR(INDEX(_ENGINE_Risk!$BS$500:$BS$923,MATCH($D512,_ENGINE_Risk!$E$500:$E$923,0)),0)</f>
        <v>18.28</v>
      </c>
      <c r="H512">
        <v>1</v>
      </c>
      <c r="I512">
        <f>IFERROR(MAX(0,5-INDEX(_ENGINE_Risk!$H$500:$H$923,MATCH($D512,_ENGINE_Risk!$E$500:$E$923,0))),0)</f>
        <v>5</v>
      </c>
      <c r="J512" t="s">
        <v>11566</v>
      </c>
      <c r="K512">
        <f>IFERROR(INDEX(_ENGINE_Risk!$BI$500:$BI$923,MATCH($D512,_ENGINE_Risk!$E$500:$E$923,0))*N($H512),0)</f>
        <v>437.5</v>
      </c>
      <c r="L512">
        <f>IFERROR(MIN(5,$K512/MAX(1,_CONFIG_Model_Settings!$B$105)),0)</f>
        <v>5</v>
      </c>
    </row>
    <row r="513" spans="1:12">
      <c r="A513" t="s">
        <v>4032</v>
      </c>
      <c r="B513" t="s">
        <v>4033</v>
      </c>
      <c r="C513" t="s">
        <v>4021</v>
      </c>
      <c r="D513" t="s">
        <v>1291</v>
      </c>
      <c r="E513" t="s">
        <v>1259</v>
      </c>
      <c r="F513" t="s">
        <v>1270</v>
      </c>
      <c r="G513">
        <f>IFERROR(INDEX(_ENGINE_Risk!$BS$500:$BS$923,MATCH($D513,_ENGINE_Risk!$E$500:$E$923,0)),0)</f>
        <v>20.13</v>
      </c>
      <c r="H513">
        <v>1</v>
      </c>
      <c r="I513">
        <f>IFERROR(MAX(0,5-INDEX(_ENGINE_Risk!$H$500:$H$923,MATCH($D513,_ENGINE_Risk!$E$500:$E$923,0))),0)</f>
        <v>5</v>
      </c>
      <c r="J513" t="s">
        <v>11566</v>
      </c>
      <c r="K513">
        <f>IFERROR(INDEX(_ENGINE_Risk!$BI$500:$BI$923,MATCH($D513,_ENGINE_Risk!$E$500:$E$923,0))*N($H513),0)</f>
        <v>437.5</v>
      </c>
      <c r="L513">
        <f>IFERROR(MIN(5,$K513/MAX(1,_CONFIG_Model_Settings!$B$105)),0)</f>
        <v>5</v>
      </c>
    </row>
    <row r="514" spans="1:12">
      <c r="A514" t="s">
        <v>4032</v>
      </c>
      <c r="B514" t="s">
        <v>4033</v>
      </c>
      <c r="C514" t="s">
        <v>4021</v>
      </c>
      <c r="D514" t="s">
        <v>1294</v>
      </c>
      <c r="E514" t="s">
        <v>1259</v>
      </c>
      <c r="F514" t="s">
        <v>1270</v>
      </c>
      <c r="G514">
        <f>IFERROR(INDEX(_ENGINE_Risk!$BS$500:$BS$923,MATCH($D514,_ENGINE_Risk!$E$500:$E$923,0)),0)</f>
        <v>20.13</v>
      </c>
      <c r="H514">
        <v>1</v>
      </c>
      <c r="I514">
        <f>IFERROR(MAX(0,5-INDEX(_ENGINE_Risk!$H$500:$H$923,MATCH($D514,_ENGINE_Risk!$E$500:$E$923,0))),0)</f>
        <v>5</v>
      </c>
      <c r="J514" t="s">
        <v>11566</v>
      </c>
      <c r="K514">
        <f>IFERROR(INDEX(_ENGINE_Risk!$BI$500:$BI$923,MATCH($D514,_ENGINE_Risk!$E$500:$E$923,0))*N($H514),0)</f>
        <v>437.5</v>
      </c>
      <c r="L514">
        <f>IFERROR(MIN(5,$K514/MAX(1,_CONFIG_Model_Settings!$B$105)),0)</f>
        <v>5</v>
      </c>
    </row>
    <row r="515" spans="1:12">
      <c r="A515" t="s">
        <v>4032</v>
      </c>
      <c r="B515" t="s">
        <v>4033</v>
      </c>
      <c r="C515" t="s">
        <v>4021</v>
      </c>
      <c r="D515" t="s">
        <v>1297</v>
      </c>
      <c r="E515" t="s">
        <v>1259</v>
      </c>
      <c r="F515" t="s">
        <v>1270</v>
      </c>
      <c r="G515">
        <f>IFERROR(INDEX(_ENGINE_Risk!$BS$500:$BS$923,MATCH($D515,_ENGINE_Risk!$E$500:$E$923,0)),0)</f>
        <v>20.13</v>
      </c>
      <c r="H515">
        <v>1</v>
      </c>
      <c r="I515">
        <f>IFERROR(MAX(0,5-INDEX(_ENGINE_Risk!$H$500:$H$923,MATCH($D515,_ENGINE_Risk!$E$500:$E$923,0))),0)</f>
        <v>5</v>
      </c>
      <c r="J515" t="s">
        <v>11566</v>
      </c>
      <c r="K515">
        <f>IFERROR(INDEX(_ENGINE_Risk!$BI$500:$BI$923,MATCH($D515,_ENGINE_Risk!$E$500:$E$923,0))*N($H515),0)</f>
        <v>437.5</v>
      </c>
      <c r="L515">
        <f>IFERROR(MIN(5,$K515/MAX(1,_CONFIG_Model_Settings!$B$105)),0)</f>
        <v>5</v>
      </c>
    </row>
    <row r="516" spans="1:12">
      <c r="A516" t="s">
        <v>4032</v>
      </c>
      <c r="B516" t="s">
        <v>4033</v>
      </c>
      <c r="C516" t="s">
        <v>4021</v>
      </c>
      <c r="D516" t="s">
        <v>1300</v>
      </c>
      <c r="E516" t="s">
        <v>1259</v>
      </c>
      <c r="F516" t="s">
        <v>1270</v>
      </c>
      <c r="G516">
        <f>IFERROR(INDEX(_ENGINE_Risk!$BS$500:$BS$923,MATCH($D516,_ENGINE_Risk!$E$500:$E$923,0)),0)</f>
        <v>20.13</v>
      </c>
      <c r="H516">
        <v>1</v>
      </c>
      <c r="I516">
        <f>IFERROR(MAX(0,5-INDEX(_ENGINE_Risk!$H$500:$H$923,MATCH($D516,_ENGINE_Risk!$E$500:$E$923,0))),0)</f>
        <v>5</v>
      </c>
      <c r="J516" t="s">
        <v>11566</v>
      </c>
      <c r="K516">
        <f>IFERROR(INDEX(_ENGINE_Risk!$BI$500:$BI$923,MATCH($D516,_ENGINE_Risk!$E$500:$E$923,0))*N($H516),0)</f>
        <v>437.5</v>
      </c>
      <c r="L516">
        <f>IFERROR(MIN(5,$K516/MAX(1,_CONFIG_Model_Settings!$B$105)),0)</f>
        <v>5</v>
      </c>
    </row>
    <row r="517" spans="1:12">
      <c r="A517" t="s">
        <v>4032</v>
      </c>
      <c r="B517" t="s">
        <v>4033</v>
      </c>
      <c r="C517" t="s">
        <v>4021</v>
      </c>
      <c r="D517" t="s">
        <v>1303</v>
      </c>
      <c r="E517" t="s">
        <v>1259</v>
      </c>
      <c r="F517" t="s">
        <v>1270</v>
      </c>
      <c r="G517">
        <f>IFERROR(INDEX(_ENGINE_Risk!$BS$500:$BS$923,MATCH($D517,_ENGINE_Risk!$E$500:$E$923,0)),0)</f>
        <v>20.13</v>
      </c>
      <c r="H517">
        <v>1</v>
      </c>
      <c r="I517">
        <f>IFERROR(MAX(0,5-INDEX(_ENGINE_Risk!$H$500:$H$923,MATCH($D517,_ENGINE_Risk!$E$500:$E$923,0))),0)</f>
        <v>5</v>
      </c>
      <c r="J517" t="s">
        <v>11566</v>
      </c>
      <c r="K517">
        <f>IFERROR(INDEX(_ENGINE_Risk!$BI$500:$BI$923,MATCH($D517,_ENGINE_Risk!$E$500:$E$923,0))*N($H517),0)</f>
        <v>437.5</v>
      </c>
      <c r="L517">
        <f>IFERROR(MIN(5,$K517/MAX(1,_CONFIG_Model_Settings!$B$105)),0)</f>
        <v>5</v>
      </c>
    </row>
    <row r="518" spans="1:12">
      <c r="A518" t="s">
        <v>4032</v>
      </c>
      <c r="B518" t="s">
        <v>4033</v>
      </c>
      <c r="C518" t="s">
        <v>4021</v>
      </c>
      <c r="D518" t="s">
        <v>1306</v>
      </c>
      <c r="E518" t="s">
        <v>1259</v>
      </c>
      <c r="F518" t="s">
        <v>1270</v>
      </c>
      <c r="G518">
        <f>IFERROR(INDEX(_ENGINE_Risk!$BS$500:$BS$923,MATCH($D518,_ENGINE_Risk!$E$500:$E$923,0)),0)</f>
        <v>20.13</v>
      </c>
      <c r="H518">
        <v>1</v>
      </c>
      <c r="I518">
        <f>IFERROR(MAX(0,5-INDEX(_ENGINE_Risk!$H$500:$H$923,MATCH($D518,_ENGINE_Risk!$E$500:$E$923,0))),0)</f>
        <v>5</v>
      </c>
      <c r="J518" t="s">
        <v>11566</v>
      </c>
      <c r="K518">
        <f>IFERROR(INDEX(_ENGINE_Risk!$BI$500:$BI$923,MATCH($D518,_ENGINE_Risk!$E$500:$E$923,0))*N($H518),0)</f>
        <v>437.5</v>
      </c>
      <c r="L518">
        <f>IFERROR(MIN(5,$K518/MAX(1,_CONFIG_Model_Settings!$B$105)),0)</f>
        <v>5</v>
      </c>
    </row>
    <row r="519" spans="1:12">
      <c r="A519" t="s">
        <v>4039</v>
      </c>
      <c r="B519" t="s">
        <v>4040</v>
      </c>
      <c r="C519" t="s">
        <v>4021</v>
      </c>
      <c r="D519" t="s">
        <v>1309</v>
      </c>
      <c r="E519" t="s">
        <v>1259</v>
      </c>
      <c r="F519" t="s">
        <v>1274</v>
      </c>
      <c r="G519">
        <f>IFERROR(INDEX(_ENGINE_Risk!$BS$500:$BS$923,MATCH($D519,_ENGINE_Risk!$E$500:$E$923,0)),0)</f>
        <v>19.2</v>
      </c>
      <c r="H519">
        <v>1</v>
      </c>
      <c r="I519">
        <f>IFERROR(MAX(0,5-INDEX(_ENGINE_Risk!$H$500:$H$923,MATCH($D519,_ENGINE_Risk!$E$500:$E$923,0))),0)</f>
        <v>5</v>
      </c>
      <c r="J519" t="s">
        <v>11566</v>
      </c>
      <c r="K519">
        <f>IFERROR(INDEX(_ENGINE_Risk!$BI$500:$BI$923,MATCH($D519,_ENGINE_Risk!$E$500:$E$923,0))*N($H519),0)</f>
        <v>437.5</v>
      </c>
      <c r="L519">
        <f>IFERROR(MIN(5,$K519/MAX(1,_CONFIG_Model_Settings!$B$105)),0)</f>
        <v>5</v>
      </c>
    </row>
    <row r="520" spans="1:12">
      <c r="A520" t="s">
        <v>4039</v>
      </c>
      <c r="B520" t="s">
        <v>4040</v>
      </c>
      <c r="C520" t="s">
        <v>4021</v>
      </c>
      <c r="D520" t="s">
        <v>1312</v>
      </c>
      <c r="E520" t="s">
        <v>1259</v>
      </c>
      <c r="F520" t="s">
        <v>1274</v>
      </c>
      <c r="G520">
        <f>IFERROR(INDEX(_ENGINE_Risk!$BS$500:$BS$923,MATCH($D520,_ENGINE_Risk!$E$500:$E$923,0)),0)</f>
        <v>19.2</v>
      </c>
      <c r="H520">
        <v>1</v>
      </c>
      <c r="I520">
        <f>IFERROR(MAX(0,5-INDEX(_ENGINE_Risk!$H$500:$H$923,MATCH($D520,_ENGINE_Risk!$E$500:$E$923,0))),0)</f>
        <v>5</v>
      </c>
      <c r="J520" t="s">
        <v>11566</v>
      </c>
      <c r="K520">
        <f>IFERROR(INDEX(_ENGINE_Risk!$BI$500:$BI$923,MATCH($D520,_ENGINE_Risk!$E$500:$E$923,0))*N($H520),0)</f>
        <v>437.5</v>
      </c>
      <c r="L520">
        <f>IFERROR(MIN(5,$K520/MAX(1,_CONFIG_Model_Settings!$B$105)),0)</f>
        <v>5</v>
      </c>
    </row>
    <row r="521" spans="1:12">
      <c r="A521" t="s">
        <v>4039</v>
      </c>
      <c r="B521" t="s">
        <v>4040</v>
      </c>
      <c r="C521" t="s">
        <v>4021</v>
      </c>
      <c r="D521" t="s">
        <v>1321</v>
      </c>
      <c r="E521" t="s">
        <v>1259</v>
      </c>
      <c r="F521" t="s">
        <v>1274</v>
      </c>
      <c r="G521">
        <f>IFERROR(INDEX(_ENGINE_Risk!$BS$500:$BS$923,MATCH($D521,_ENGINE_Risk!$E$500:$E$923,0)),0)</f>
        <v>20.81</v>
      </c>
      <c r="H521">
        <v>1</v>
      </c>
      <c r="I521">
        <f>IFERROR(MAX(0,5-INDEX(_ENGINE_Risk!$H$500:$H$923,MATCH($D521,_ENGINE_Risk!$E$500:$E$923,0))),0)</f>
        <v>5</v>
      </c>
      <c r="J521" t="s">
        <v>11566</v>
      </c>
      <c r="K521">
        <f>IFERROR(INDEX(_ENGINE_Risk!$BI$500:$BI$923,MATCH($D521,_ENGINE_Risk!$E$500:$E$923,0))*N($H521),0)</f>
        <v>937.5</v>
      </c>
      <c r="L521">
        <f>IFERROR(MIN(5,$K521/MAX(1,_CONFIG_Model_Settings!$B$105)),0)</f>
        <v>5</v>
      </c>
    </row>
    <row r="522" spans="1:12">
      <c r="A522" t="s">
        <v>4039</v>
      </c>
      <c r="B522" t="s">
        <v>4040</v>
      </c>
      <c r="C522" t="s">
        <v>4021</v>
      </c>
      <c r="D522" t="s">
        <v>1324</v>
      </c>
      <c r="E522" t="s">
        <v>1259</v>
      </c>
      <c r="F522" t="s">
        <v>1274</v>
      </c>
      <c r="G522">
        <f>IFERROR(INDEX(_ENGINE_Risk!$BS$500:$BS$923,MATCH($D522,_ENGINE_Risk!$E$500:$E$923,0)),0)</f>
        <v>20.13</v>
      </c>
      <c r="H522">
        <v>1</v>
      </c>
      <c r="I522">
        <f>IFERROR(MAX(0,5-INDEX(_ENGINE_Risk!$H$500:$H$923,MATCH($D522,_ENGINE_Risk!$E$500:$E$923,0))),0)</f>
        <v>5</v>
      </c>
      <c r="J522" t="s">
        <v>11566</v>
      </c>
      <c r="K522">
        <f>IFERROR(INDEX(_ENGINE_Risk!$BI$500:$BI$923,MATCH($D522,_ENGINE_Risk!$E$500:$E$923,0))*N($H522),0)</f>
        <v>437.5</v>
      </c>
      <c r="L522">
        <f>IFERROR(MIN(5,$K522/MAX(1,_CONFIG_Model_Settings!$B$105)),0)</f>
        <v>5</v>
      </c>
    </row>
    <row r="523" spans="1:12">
      <c r="A523" t="s">
        <v>4039</v>
      </c>
      <c r="B523" t="s">
        <v>4040</v>
      </c>
      <c r="C523" t="s">
        <v>4021</v>
      </c>
      <c r="D523" t="s">
        <v>1327</v>
      </c>
      <c r="E523" t="s">
        <v>1259</v>
      </c>
      <c r="F523" t="s">
        <v>1274</v>
      </c>
      <c r="G523">
        <f>IFERROR(INDEX(_ENGINE_Risk!$BS$500:$BS$923,MATCH($D523,_ENGINE_Risk!$E$500:$E$923,0)),0)</f>
        <v>20.13</v>
      </c>
      <c r="H523">
        <v>1</v>
      </c>
      <c r="I523">
        <f>IFERROR(MAX(0,5-INDEX(_ENGINE_Risk!$H$500:$H$923,MATCH($D523,_ENGINE_Risk!$E$500:$E$923,0))),0)</f>
        <v>5</v>
      </c>
      <c r="J523" t="s">
        <v>11566</v>
      </c>
      <c r="K523">
        <f>IFERROR(INDEX(_ENGINE_Risk!$BI$500:$BI$923,MATCH($D523,_ENGINE_Risk!$E$500:$E$923,0))*N($H523),0)</f>
        <v>437.5</v>
      </c>
      <c r="L523">
        <f>IFERROR(MIN(5,$K523/MAX(1,_CONFIG_Model_Settings!$B$105)),0)</f>
        <v>5</v>
      </c>
    </row>
    <row r="524" spans="1:12">
      <c r="A524" t="s">
        <v>4039</v>
      </c>
      <c r="B524" t="s">
        <v>4040</v>
      </c>
      <c r="C524" t="s">
        <v>4021</v>
      </c>
      <c r="D524" t="s">
        <v>1330</v>
      </c>
      <c r="E524" t="s">
        <v>1259</v>
      </c>
      <c r="F524" t="s">
        <v>1274</v>
      </c>
      <c r="G524">
        <f>IFERROR(INDEX(_ENGINE_Risk!$BS$500:$BS$923,MATCH($D524,_ENGINE_Risk!$E$500:$E$923,0)),0)</f>
        <v>18.28</v>
      </c>
      <c r="H524">
        <v>1</v>
      </c>
      <c r="I524">
        <f>IFERROR(MAX(0,5-INDEX(_ENGINE_Risk!$H$500:$H$923,MATCH($D524,_ENGINE_Risk!$E$500:$E$923,0))),0)</f>
        <v>5</v>
      </c>
      <c r="J524" t="s">
        <v>11566</v>
      </c>
      <c r="K524">
        <f>IFERROR(INDEX(_ENGINE_Risk!$BI$500:$BI$923,MATCH($D524,_ENGINE_Risk!$E$500:$E$923,0))*N($H524),0)</f>
        <v>437.5</v>
      </c>
      <c r="L524">
        <f>IFERROR(MIN(5,$K524/MAX(1,_CONFIG_Model_Settings!$B$105)),0)</f>
        <v>5</v>
      </c>
    </row>
    <row r="525" spans="1:12">
      <c r="A525" t="s">
        <v>4039</v>
      </c>
      <c r="B525" t="s">
        <v>4040</v>
      </c>
      <c r="C525" t="s">
        <v>4021</v>
      </c>
      <c r="D525" t="s">
        <v>1339</v>
      </c>
      <c r="E525" t="s">
        <v>1259</v>
      </c>
      <c r="F525" t="s">
        <v>1274</v>
      </c>
      <c r="G525">
        <f>IFERROR(INDEX(_ENGINE_Risk!$BS$500:$BS$923,MATCH($D525,_ENGINE_Risk!$E$500:$E$923,0)),0)</f>
        <v>20.13</v>
      </c>
      <c r="H525">
        <v>1</v>
      </c>
      <c r="I525">
        <f>IFERROR(MAX(0,5-INDEX(_ENGINE_Risk!$H$500:$H$923,MATCH($D525,_ENGINE_Risk!$E$500:$E$923,0))),0)</f>
        <v>5</v>
      </c>
      <c r="J525" t="s">
        <v>11566</v>
      </c>
      <c r="K525">
        <f>IFERROR(INDEX(_ENGINE_Risk!$BI$500:$BI$923,MATCH($D525,_ENGINE_Risk!$E$500:$E$923,0))*N($H525),0)</f>
        <v>437.5</v>
      </c>
      <c r="L525">
        <f>IFERROR(MIN(5,$K525/MAX(1,_CONFIG_Model_Settings!$B$105)),0)</f>
        <v>5</v>
      </c>
    </row>
    <row r="526" spans="1:12">
      <c r="A526" t="s">
        <v>4046</v>
      </c>
      <c r="B526" t="s">
        <v>4047</v>
      </c>
      <c r="C526" t="s">
        <v>4021</v>
      </c>
      <c r="D526" t="s">
        <v>1342</v>
      </c>
      <c r="E526" t="s">
        <v>1259</v>
      </c>
      <c r="F526" t="s">
        <v>1278</v>
      </c>
      <c r="G526">
        <f>IFERROR(INDEX(_ENGINE_Risk!$BS$500:$BS$923,MATCH($D526,_ENGINE_Risk!$E$500:$E$923,0)),0)</f>
        <v>20.81</v>
      </c>
      <c r="H526">
        <v>1</v>
      </c>
      <c r="I526">
        <f>IFERROR(MAX(0,5-INDEX(_ENGINE_Risk!$H$500:$H$923,MATCH($D526,_ENGINE_Risk!$E$500:$E$923,0))),0)</f>
        <v>5</v>
      </c>
      <c r="J526" t="s">
        <v>11566</v>
      </c>
      <c r="K526">
        <f>IFERROR(INDEX(_ENGINE_Risk!$BI$500:$BI$923,MATCH($D526,_ENGINE_Risk!$E$500:$E$923,0))*N($H526),0)</f>
        <v>937.5</v>
      </c>
      <c r="L526">
        <f>IFERROR(MIN(5,$K526/MAX(1,_CONFIG_Model_Settings!$B$105)),0)</f>
        <v>5</v>
      </c>
    </row>
    <row r="527" spans="1:12">
      <c r="A527" t="s">
        <v>3955</v>
      </c>
      <c r="B527" t="s">
        <v>3958</v>
      </c>
      <c r="C527" t="s">
        <v>3957</v>
      </c>
      <c r="D527" t="s">
        <v>1139</v>
      </c>
      <c r="E527" t="s">
        <v>949</v>
      </c>
      <c r="F527" t="s">
        <v>990</v>
      </c>
      <c r="G527">
        <f>IFERROR(INDEX(_ENGINE_Risk!$BS$500:$BS$923,MATCH($D527,_ENGINE_Risk!$E$500:$E$923,0)),0)</f>
        <v>12.42</v>
      </c>
      <c r="H527">
        <v>1</v>
      </c>
      <c r="I527">
        <f>IFERROR(MAX(0,5-INDEX(_ENGINE_Risk!$H$500:$H$923,MATCH($D527,_ENGINE_Risk!$E$500:$E$923,0))),0)</f>
        <v>5</v>
      </c>
      <c r="J527" t="s">
        <v>11567</v>
      </c>
      <c r="K527">
        <f>IFERROR(INDEX(_ENGINE_Risk!$BI$500:$BI$923,MATCH($D527,_ENGINE_Risk!$E$500:$E$923,0))*N($H527),0)</f>
        <v>187.5</v>
      </c>
      <c r="L527">
        <f>IFERROR(MIN(5,$K527/MAX(1,_CONFIG_Model_Settings!$B$105)),0)</f>
        <v>2.5</v>
      </c>
    </row>
    <row r="528" spans="1:12">
      <c r="A528" t="s">
        <v>4046</v>
      </c>
      <c r="B528" t="s">
        <v>4047</v>
      </c>
      <c r="C528" t="s">
        <v>4021</v>
      </c>
      <c r="D528" t="s">
        <v>1345</v>
      </c>
      <c r="E528" t="s">
        <v>1259</v>
      </c>
      <c r="F528" t="s">
        <v>1278</v>
      </c>
      <c r="G528">
        <f>IFERROR(INDEX(_ENGINE_Risk!$BS$500:$BS$923,MATCH($D528,_ENGINE_Risk!$E$500:$E$923,0)),0)</f>
        <v>19.2</v>
      </c>
      <c r="H528">
        <v>1</v>
      </c>
      <c r="I528">
        <f>IFERROR(MAX(0,5-INDEX(_ENGINE_Risk!$H$500:$H$923,MATCH($D528,_ENGINE_Risk!$E$500:$E$923,0))),0)</f>
        <v>5</v>
      </c>
      <c r="J528" t="s">
        <v>11566</v>
      </c>
      <c r="K528">
        <f>IFERROR(INDEX(_ENGINE_Risk!$BI$500:$BI$923,MATCH($D528,_ENGINE_Risk!$E$500:$E$923,0))*N($H528),0)</f>
        <v>437.5</v>
      </c>
      <c r="L528">
        <f>IFERROR(MIN(5,$K528/MAX(1,_CONFIG_Model_Settings!$B$105)),0)</f>
        <v>5</v>
      </c>
    </row>
    <row r="529" spans="1:12">
      <c r="A529" t="s">
        <v>4005</v>
      </c>
      <c r="B529" t="s">
        <v>4006</v>
      </c>
      <c r="C529" t="s">
        <v>3957</v>
      </c>
      <c r="D529" t="s">
        <v>1232</v>
      </c>
      <c r="E529" t="s">
        <v>1150</v>
      </c>
      <c r="F529" t="s">
        <v>1161</v>
      </c>
      <c r="G529">
        <f>IFERROR(INDEX(_ENGINE_Risk!$BS$500:$BS$923,MATCH($D529,_ENGINE_Risk!$E$500:$E$923,0)),0)</f>
        <v>20.350000000000001</v>
      </c>
      <c r="H529">
        <v>1</v>
      </c>
      <c r="I529">
        <f>IFERROR(MAX(0,5-INDEX(_ENGINE_Risk!$H$500:$H$923,MATCH($D529,_ENGINE_Risk!$E$500:$E$923,0))),0)</f>
        <v>5</v>
      </c>
      <c r="J529" t="s">
        <v>11567</v>
      </c>
      <c r="K529">
        <f>IFERROR(INDEX(_ENGINE_Risk!$BI$500:$BI$923,MATCH($D529,_ENGINE_Risk!$E$500:$E$923,0))*N($H529),0)</f>
        <v>437.5</v>
      </c>
      <c r="L529">
        <f>IFERROR(MIN(5,$K529/MAX(1,_CONFIG_Model_Settings!$B$105)),0)</f>
        <v>5</v>
      </c>
    </row>
    <row r="530" spans="1:12">
      <c r="A530" t="s">
        <v>4046</v>
      </c>
      <c r="B530" t="s">
        <v>4047</v>
      </c>
      <c r="C530" t="s">
        <v>4021</v>
      </c>
      <c r="D530" t="s">
        <v>1354</v>
      </c>
      <c r="E530" t="s">
        <v>1259</v>
      </c>
      <c r="F530" t="s">
        <v>1278</v>
      </c>
      <c r="G530">
        <f>IFERROR(INDEX(_ENGINE_Risk!$BS$500:$BS$923,MATCH($D530,_ENGINE_Risk!$E$500:$E$923,0)),0)</f>
        <v>18.28</v>
      </c>
      <c r="H530">
        <v>1</v>
      </c>
      <c r="I530">
        <f>IFERROR(MAX(0,5-INDEX(_ENGINE_Risk!$H$500:$H$923,MATCH($D530,_ENGINE_Risk!$E$500:$E$923,0))),0)</f>
        <v>5</v>
      </c>
      <c r="J530" t="s">
        <v>11566</v>
      </c>
      <c r="K530">
        <f>IFERROR(INDEX(_ENGINE_Risk!$BI$500:$BI$923,MATCH($D530,_ENGINE_Risk!$E$500:$E$923,0))*N($H530),0)</f>
        <v>437.5</v>
      </c>
      <c r="L530">
        <f>IFERROR(MIN(5,$K530/MAX(1,_CONFIG_Model_Settings!$B$105)),0)</f>
        <v>5</v>
      </c>
    </row>
    <row r="531" spans="1:12">
      <c r="A531" t="s">
        <v>4053</v>
      </c>
      <c r="B531" t="s">
        <v>4054</v>
      </c>
      <c r="C531" t="s">
        <v>3924</v>
      </c>
      <c r="D531" t="s">
        <v>1402</v>
      </c>
      <c r="E531" t="s">
        <v>1401</v>
      </c>
      <c r="F531" t="s">
        <v>1403</v>
      </c>
      <c r="G531">
        <f>IFERROR(INDEX(_ENGINE_Risk!$BS$500:$BS$923,MATCH($D531,_ENGINE_Risk!$E$500:$E$923,0)),0)</f>
        <v>17.82</v>
      </c>
      <c r="H531">
        <v>1</v>
      </c>
      <c r="I531">
        <f>IFERROR(MAX(0,5-INDEX(_ENGINE_Risk!$H$500:$H$923,MATCH($D531,_ENGINE_Risk!$E$500:$E$923,0))),0)</f>
        <v>5</v>
      </c>
      <c r="J531" t="s">
        <v>11566</v>
      </c>
      <c r="K531">
        <f>IFERROR(INDEX(_ENGINE_Risk!$BI$500:$BI$923,MATCH($D531,_ENGINE_Risk!$E$500:$E$923,0))*N($H531),0)</f>
        <v>937.5</v>
      </c>
      <c r="L531">
        <f>IFERROR(MIN(5,$K531/MAX(1,_CONFIG_Model_Settings!$B$105)),0)</f>
        <v>5</v>
      </c>
    </row>
    <row r="532" spans="1:12">
      <c r="A532" t="s">
        <v>4053</v>
      </c>
      <c r="B532" t="s">
        <v>4054</v>
      </c>
      <c r="C532" t="s">
        <v>3924</v>
      </c>
      <c r="D532" t="s">
        <v>1409</v>
      </c>
      <c r="E532" t="s">
        <v>1401</v>
      </c>
      <c r="F532" t="s">
        <v>1403</v>
      </c>
      <c r="G532">
        <f>IFERROR(INDEX(_ENGINE_Risk!$BS$500:$BS$923,MATCH($D532,_ENGINE_Risk!$E$500:$E$923,0)),0)</f>
        <v>17.82</v>
      </c>
      <c r="H532">
        <v>1</v>
      </c>
      <c r="I532">
        <f>IFERROR(MAX(0,5-INDEX(_ENGINE_Risk!$H$500:$H$923,MATCH($D532,_ENGINE_Risk!$E$500:$E$923,0))),0)</f>
        <v>5</v>
      </c>
      <c r="J532" t="s">
        <v>11566</v>
      </c>
      <c r="K532">
        <f>IFERROR(INDEX(_ENGINE_Risk!$BI$500:$BI$923,MATCH($D532,_ENGINE_Risk!$E$500:$E$923,0))*N($H532),0)</f>
        <v>937.5</v>
      </c>
      <c r="L532">
        <f>IFERROR(MIN(5,$K532/MAX(1,_CONFIG_Model_Settings!$B$105)),0)</f>
        <v>5</v>
      </c>
    </row>
    <row r="533" spans="1:12">
      <c r="A533" t="s">
        <v>4053</v>
      </c>
      <c r="B533" t="s">
        <v>4054</v>
      </c>
      <c r="C533" t="s">
        <v>3924</v>
      </c>
      <c r="D533" t="s">
        <v>1413</v>
      </c>
      <c r="E533" t="s">
        <v>1401</v>
      </c>
      <c r="F533" t="s">
        <v>1403</v>
      </c>
      <c r="G533">
        <f>IFERROR(INDEX(_ENGINE_Risk!$BS$500:$BS$923,MATCH($D533,_ENGINE_Risk!$E$500:$E$923,0)),0)</f>
        <v>16.239999999999998</v>
      </c>
      <c r="H533">
        <v>1</v>
      </c>
      <c r="I533">
        <f>IFERROR(MAX(0,5-INDEX(_ENGINE_Risk!$H$500:$H$923,MATCH($D533,_ENGINE_Risk!$E$500:$E$923,0))),0)</f>
        <v>5</v>
      </c>
      <c r="J533" t="s">
        <v>11566</v>
      </c>
      <c r="K533">
        <f>IFERROR(INDEX(_ENGINE_Risk!$BI$500:$BI$923,MATCH($D533,_ENGINE_Risk!$E$500:$E$923,0))*N($H533),0)</f>
        <v>437.5</v>
      </c>
      <c r="L533">
        <f>IFERROR(MIN(5,$K533/MAX(1,_CONFIG_Model_Settings!$B$105)),0)</f>
        <v>5</v>
      </c>
    </row>
    <row r="534" spans="1:12">
      <c r="A534" t="s">
        <v>4053</v>
      </c>
      <c r="B534" t="s">
        <v>4054</v>
      </c>
      <c r="C534" t="s">
        <v>3924</v>
      </c>
      <c r="D534" t="s">
        <v>1423</v>
      </c>
      <c r="E534" t="s">
        <v>1401</v>
      </c>
      <c r="F534" t="s">
        <v>1403</v>
      </c>
      <c r="G534">
        <f>IFERROR(INDEX(_ENGINE_Risk!$BS$500:$BS$923,MATCH($D534,_ENGINE_Risk!$E$500:$E$923,0)),0)</f>
        <v>17.82</v>
      </c>
      <c r="H534">
        <v>1</v>
      </c>
      <c r="I534">
        <f>IFERROR(MAX(0,5-INDEX(_ENGINE_Risk!$H$500:$H$923,MATCH($D534,_ENGINE_Risk!$E$500:$E$923,0))),0)</f>
        <v>5</v>
      </c>
      <c r="J534" t="s">
        <v>11566</v>
      </c>
      <c r="K534">
        <f>IFERROR(INDEX(_ENGINE_Risk!$BI$500:$BI$923,MATCH($D534,_ENGINE_Risk!$E$500:$E$923,0))*N($H534),0)</f>
        <v>937.5</v>
      </c>
      <c r="L534">
        <f>IFERROR(MIN(5,$K534/MAX(1,_CONFIG_Model_Settings!$B$105)),0)</f>
        <v>5</v>
      </c>
    </row>
    <row r="535" spans="1:12">
      <c r="A535" t="s">
        <v>4053</v>
      </c>
      <c r="B535" t="s">
        <v>4054</v>
      </c>
      <c r="C535" t="s">
        <v>3924</v>
      </c>
      <c r="D535" t="s">
        <v>1427</v>
      </c>
      <c r="E535" t="s">
        <v>1401</v>
      </c>
      <c r="F535" t="s">
        <v>1403</v>
      </c>
      <c r="G535">
        <f>IFERROR(INDEX(_ENGINE_Risk!$BS$500:$BS$923,MATCH($D535,_ENGINE_Risk!$E$500:$E$923,0)),0)</f>
        <v>16.239999999999998</v>
      </c>
      <c r="H535">
        <v>1</v>
      </c>
      <c r="I535">
        <f>IFERROR(MAX(0,5-INDEX(_ENGINE_Risk!$H$500:$H$923,MATCH($D535,_ENGINE_Risk!$E$500:$E$923,0))),0)</f>
        <v>5</v>
      </c>
      <c r="J535" t="s">
        <v>11566</v>
      </c>
      <c r="K535">
        <f>IFERROR(INDEX(_ENGINE_Risk!$BI$500:$BI$923,MATCH($D535,_ENGINE_Risk!$E$500:$E$923,0))*N($H535),0)</f>
        <v>437.5</v>
      </c>
      <c r="L535">
        <f>IFERROR(MIN(5,$K535/MAX(1,_CONFIG_Model_Settings!$B$105)),0)</f>
        <v>5</v>
      </c>
    </row>
    <row r="536" spans="1:12">
      <c r="A536" t="s">
        <v>4053</v>
      </c>
      <c r="B536" t="s">
        <v>4054</v>
      </c>
      <c r="C536" t="s">
        <v>3924</v>
      </c>
      <c r="D536" t="s">
        <v>1436</v>
      </c>
      <c r="E536" t="s">
        <v>1401</v>
      </c>
      <c r="F536" t="s">
        <v>1403</v>
      </c>
      <c r="G536">
        <f>IFERROR(INDEX(_ENGINE_Risk!$BS$500:$BS$923,MATCH($D536,_ENGINE_Risk!$E$500:$E$923,0)),0)</f>
        <v>17.82</v>
      </c>
      <c r="H536">
        <v>1</v>
      </c>
      <c r="I536">
        <f>IFERROR(MAX(0,5-INDEX(_ENGINE_Risk!$H$500:$H$923,MATCH($D536,_ENGINE_Risk!$E$500:$E$923,0))),0)</f>
        <v>5</v>
      </c>
      <c r="J536" t="s">
        <v>11566</v>
      </c>
      <c r="K536">
        <f>IFERROR(INDEX(_ENGINE_Risk!$BI$500:$BI$923,MATCH($D536,_ENGINE_Risk!$E$500:$E$923,0))*N($H536),0)</f>
        <v>937.5</v>
      </c>
      <c r="L536">
        <f>IFERROR(MIN(5,$K536/MAX(1,_CONFIG_Model_Settings!$B$105)),0)</f>
        <v>5</v>
      </c>
    </row>
    <row r="537" spans="1:12">
      <c r="A537" t="s">
        <v>4063</v>
      </c>
      <c r="B537" t="s">
        <v>4066</v>
      </c>
      <c r="C537" t="s">
        <v>4065</v>
      </c>
      <c r="D537" t="s">
        <v>1439</v>
      </c>
      <c r="E537" t="s">
        <v>1401</v>
      </c>
      <c r="F537" t="s">
        <v>1412</v>
      </c>
      <c r="G537">
        <f>IFERROR(INDEX(_ENGINE_Risk!$BS$500:$BS$923,MATCH($D537,_ENGINE_Risk!$E$500:$E$923,0)),0)</f>
        <v>16.239999999999998</v>
      </c>
      <c r="H537">
        <v>1</v>
      </c>
      <c r="I537">
        <f>IFERROR(MAX(0,5-INDEX(_ENGINE_Risk!$H$500:$H$923,MATCH($D537,_ENGINE_Risk!$E$500:$E$923,0))),0)</f>
        <v>5</v>
      </c>
      <c r="J537" t="s">
        <v>11566</v>
      </c>
      <c r="K537">
        <f>IFERROR(INDEX(_ENGINE_Risk!$BI$500:$BI$923,MATCH($D537,_ENGINE_Risk!$E$500:$E$923,0))*N($H537),0)</f>
        <v>437.5</v>
      </c>
      <c r="L537">
        <f>IFERROR(MIN(5,$K537/MAX(1,_CONFIG_Model_Settings!$B$105)),0)</f>
        <v>5</v>
      </c>
    </row>
    <row r="538" spans="1:12">
      <c r="A538" t="s">
        <v>4063</v>
      </c>
      <c r="B538" t="s">
        <v>4066</v>
      </c>
      <c r="C538" t="s">
        <v>4065</v>
      </c>
      <c r="D538" t="s">
        <v>1448</v>
      </c>
      <c r="E538" t="s">
        <v>1401</v>
      </c>
      <c r="F538" t="s">
        <v>1412</v>
      </c>
      <c r="G538">
        <f>IFERROR(INDEX(_ENGINE_Risk!$BS$500:$BS$923,MATCH($D538,_ENGINE_Risk!$E$500:$E$923,0)),0)</f>
        <v>18.41</v>
      </c>
      <c r="H538">
        <v>1</v>
      </c>
      <c r="I538">
        <f>IFERROR(MAX(0,5-INDEX(_ENGINE_Risk!$H$500:$H$923,MATCH($D538,_ENGINE_Risk!$E$500:$E$923,0))),0)</f>
        <v>5</v>
      </c>
      <c r="J538" t="s">
        <v>11566</v>
      </c>
      <c r="K538">
        <f>IFERROR(INDEX(_ENGINE_Risk!$BI$500:$BI$923,MATCH($D538,_ENGINE_Risk!$E$500:$E$923,0))*N($H538),0)</f>
        <v>937.5</v>
      </c>
      <c r="L538">
        <f>IFERROR(MIN(5,$K538/MAX(1,_CONFIG_Model_Settings!$B$105)),0)</f>
        <v>5</v>
      </c>
    </row>
    <row r="539" spans="1:12">
      <c r="A539" t="s">
        <v>4063</v>
      </c>
      <c r="B539" t="s">
        <v>4066</v>
      </c>
      <c r="C539" t="s">
        <v>4065</v>
      </c>
      <c r="D539" t="s">
        <v>1451</v>
      </c>
      <c r="E539" t="s">
        <v>1401</v>
      </c>
      <c r="F539" t="s">
        <v>1412</v>
      </c>
      <c r="G539">
        <f>IFERROR(INDEX(_ENGINE_Risk!$BS$500:$BS$923,MATCH($D539,_ENGINE_Risk!$E$500:$E$923,0)),0)</f>
        <v>17.82</v>
      </c>
      <c r="H539">
        <v>1</v>
      </c>
      <c r="I539">
        <f>IFERROR(MAX(0,5-INDEX(_ENGINE_Risk!$H$500:$H$923,MATCH($D539,_ENGINE_Risk!$E$500:$E$923,0))),0)</f>
        <v>5</v>
      </c>
      <c r="J539" t="s">
        <v>11566</v>
      </c>
      <c r="K539">
        <f>IFERROR(INDEX(_ENGINE_Risk!$BI$500:$BI$923,MATCH($D539,_ENGINE_Risk!$E$500:$E$923,0))*N($H539),0)</f>
        <v>937.5</v>
      </c>
      <c r="L539">
        <f>IFERROR(MIN(5,$K539/MAX(1,_CONFIG_Model_Settings!$B$105)),0)</f>
        <v>5</v>
      </c>
    </row>
    <row r="540" spans="1:12">
      <c r="A540" t="s">
        <v>4063</v>
      </c>
      <c r="B540" t="s">
        <v>4066</v>
      </c>
      <c r="C540" t="s">
        <v>4065</v>
      </c>
      <c r="D540" t="s">
        <v>1454</v>
      </c>
      <c r="E540" t="s">
        <v>1401</v>
      </c>
      <c r="F540" t="s">
        <v>1412</v>
      </c>
      <c r="G540">
        <f>IFERROR(INDEX(_ENGINE_Risk!$BS$500:$BS$923,MATCH($D540,_ENGINE_Risk!$E$500:$E$923,0)),0)</f>
        <v>17.82</v>
      </c>
      <c r="H540">
        <v>1</v>
      </c>
      <c r="I540">
        <f>IFERROR(MAX(0,5-INDEX(_ENGINE_Risk!$H$500:$H$923,MATCH($D540,_ENGINE_Risk!$E$500:$E$923,0))),0)</f>
        <v>5</v>
      </c>
      <c r="J540" t="s">
        <v>11566</v>
      </c>
      <c r="K540">
        <f>IFERROR(INDEX(_ENGINE_Risk!$BI$500:$BI$923,MATCH($D540,_ENGINE_Risk!$E$500:$E$923,0))*N($H540),0)</f>
        <v>937.5</v>
      </c>
      <c r="L540">
        <f>IFERROR(MIN(5,$K540/MAX(1,_CONFIG_Model_Settings!$B$105)),0)</f>
        <v>5</v>
      </c>
    </row>
    <row r="541" spans="1:12">
      <c r="A541" t="s">
        <v>4063</v>
      </c>
      <c r="B541" t="s">
        <v>4066</v>
      </c>
      <c r="C541" t="s">
        <v>4065</v>
      </c>
      <c r="D541" t="s">
        <v>1457</v>
      </c>
      <c r="E541" t="s">
        <v>1401</v>
      </c>
      <c r="F541" t="s">
        <v>1412</v>
      </c>
      <c r="G541">
        <f>IFERROR(INDEX(_ENGINE_Risk!$BS$500:$BS$923,MATCH($D541,_ENGINE_Risk!$E$500:$E$923,0)),0)</f>
        <v>17.82</v>
      </c>
      <c r="H541">
        <v>1</v>
      </c>
      <c r="I541">
        <f>IFERROR(MAX(0,5-INDEX(_ENGINE_Risk!$H$500:$H$923,MATCH($D541,_ENGINE_Risk!$E$500:$E$923,0))),0)</f>
        <v>5</v>
      </c>
      <c r="J541" t="s">
        <v>11566</v>
      </c>
      <c r="K541">
        <f>IFERROR(INDEX(_ENGINE_Risk!$BI$500:$BI$923,MATCH($D541,_ENGINE_Risk!$E$500:$E$923,0))*N($H541),0)</f>
        <v>937.5</v>
      </c>
      <c r="L541">
        <f>IFERROR(MIN(5,$K541/MAX(1,_CONFIG_Model_Settings!$B$105)),0)</f>
        <v>5</v>
      </c>
    </row>
    <row r="542" spans="1:12">
      <c r="A542" t="s">
        <v>4063</v>
      </c>
      <c r="B542" t="s">
        <v>4066</v>
      </c>
      <c r="C542" t="s">
        <v>4065</v>
      </c>
      <c r="D542" t="s">
        <v>1460</v>
      </c>
      <c r="E542" t="s">
        <v>1401</v>
      </c>
      <c r="F542" t="s">
        <v>1412</v>
      </c>
      <c r="G542">
        <f>IFERROR(INDEX(_ENGINE_Risk!$BS$500:$BS$923,MATCH($D542,_ENGINE_Risk!$E$500:$E$923,0)),0)</f>
        <v>17.62</v>
      </c>
      <c r="H542">
        <v>1</v>
      </c>
      <c r="I542">
        <f>IFERROR(MAX(0,5-INDEX(_ENGINE_Risk!$H$500:$H$923,MATCH($D542,_ENGINE_Risk!$E$500:$E$923,0))),0)</f>
        <v>5</v>
      </c>
      <c r="J542" t="s">
        <v>11566</v>
      </c>
      <c r="K542">
        <f>IFERROR(INDEX(_ENGINE_Risk!$BI$500:$BI$923,MATCH($D542,_ENGINE_Risk!$E$500:$E$923,0))*N($H542),0)</f>
        <v>437.5</v>
      </c>
      <c r="L542">
        <f>IFERROR(MIN(5,$K542/MAX(1,_CONFIG_Model_Settings!$B$105)),0)</f>
        <v>5</v>
      </c>
    </row>
    <row r="543" spans="1:12">
      <c r="A543" t="s">
        <v>4073</v>
      </c>
      <c r="B543" t="s">
        <v>4076</v>
      </c>
      <c r="C543" t="s">
        <v>4075</v>
      </c>
      <c r="D543" t="s">
        <v>1469</v>
      </c>
      <c r="E543" t="s">
        <v>1401</v>
      </c>
      <c r="F543" t="s">
        <v>1422</v>
      </c>
      <c r="G543">
        <f>IFERROR(INDEX(_ENGINE_Risk!$BS$500:$BS$923,MATCH($D543,_ENGINE_Risk!$E$500:$E$923,0)),0)</f>
        <v>16.239999999999998</v>
      </c>
      <c r="H543">
        <v>1</v>
      </c>
      <c r="I543">
        <f>IFERROR(MAX(0,5-INDEX(_ENGINE_Risk!$H$500:$H$923,MATCH($D543,_ENGINE_Risk!$E$500:$E$923,0))),0)</f>
        <v>5</v>
      </c>
      <c r="J543" t="s">
        <v>11566</v>
      </c>
      <c r="K543">
        <f>IFERROR(INDEX(_ENGINE_Risk!$BI$500:$BI$923,MATCH($D543,_ENGINE_Risk!$E$500:$E$923,0))*N($H543),0)</f>
        <v>437.5</v>
      </c>
      <c r="L543">
        <f>IFERROR(MIN(5,$K543/MAX(1,_CONFIG_Model_Settings!$B$105)),0)</f>
        <v>5</v>
      </c>
    </row>
    <row r="544" spans="1:12">
      <c r="A544" t="s">
        <v>4073</v>
      </c>
      <c r="B544" t="s">
        <v>4076</v>
      </c>
      <c r="C544" t="s">
        <v>4075</v>
      </c>
      <c r="D544" t="s">
        <v>1478</v>
      </c>
      <c r="E544" t="s">
        <v>1401</v>
      </c>
      <c r="F544" t="s">
        <v>1422</v>
      </c>
      <c r="G544">
        <f>IFERROR(INDEX(_ENGINE_Risk!$BS$500:$BS$923,MATCH($D544,_ENGINE_Risk!$E$500:$E$923,0)),0)</f>
        <v>17.82</v>
      </c>
      <c r="H544">
        <v>1</v>
      </c>
      <c r="I544">
        <f>IFERROR(MAX(0,5-INDEX(_ENGINE_Risk!$H$500:$H$923,MATCH($D544,_ENGINE_Risk!$E$500:$E$923,0))),0)</f>
        <v>5</v>
      </c>
      <c r="J544" t="s">
        <v>11566</v>
      </c>
      <c r="K544">
        <f>IFERROR(INDEX(_ENGINE_Risk!$BI$500:$BI$923,MATCH($D544,_ENGINE_Risk!$E$500:$E$923,0))*N($H544),0)</f>
        <v>937.5</v>
      </c>
      <c r="L544">
        <f>IFERROR(MIN(5,$K544/MAX(1,_CONFIG_Model_Settings!$B$105)),0)</f>
        <v>5</v>
      </c>
    </row>
    <row r="545" spans="1:12">
      <c r="A545" t="s">
        <v>4073</v>
      </c>
      <c r="B545" t="s">
        <v>4076</v>
      </c>
      <c r="C545" t="s">
        <v>4075</v>
      </c>
      <c r="D545" t="s">
        <v>1481</v>
      </c>
      <c r="E545" t="s">
        <v>1401</v>
      </c>
      <c r="F545" t="s">
        <v>1422</v>
      </c>
      <c r="G545">
        <f>IFERROR(INDEX(_ENGINE_Risk!$BS$500:$BS$923,MATCH($D545,_ENGINE_Risk!$E$500:$E$923,0)),0)</f>
        <v>17.82</v>
      </c>
      <c r="H545">
        <v>1</v>
      </c>
      <c r="I545">
        <f>IFERROR(MAX(0,5-INDEX(_ENGINE_Risk!$H$500:$H$923,MATCH($D545,_ENGINE_Risk!$E$500:$E$923,0))),0)</f>
        <v>5</v>
      </c>
      <c r="J545" t="s">
        <v>11566</v>
      </c>
      <c r="K545">
        <f>IFERROR(INDEX(_ENGINE_Risk!$BI$500:$BI$923,MATCH($D545,_ENGINE_Risk!$E$500:$E$923,0))*N($H545),0)</f>
        <v>937.5</v>
      </c>
      <c r="L545">
        <f>IFERROR(MIN(5,$K545/MAX(1,_CONFIG_Model_Settings!$B$105)),0)</f>
        <v>5</v>
      </c>
    </row>
    <row r="546" spans="1:12">
      <c r="A546" t="s">
        <v>4073</v>
      </c>
      <c r="B546" t="s">
        <v>4076</v>
      </c>
      <c r="C546" t="s">
        <v>4075</v>
      </c>
      <c r="D546" t="s">
        <v>1484</v>
      </c>
      <c r="E546" t="s">
        <v>1401</v>
      </c>
      <c r="F546" t="s">
        <v>1422</v>
      </c>
      <c r="G546">
        <f>IFERROR(INDEX(_ENGINE_Risk!$BS$500:$BS$923,MATCH($D546,_ENGINE_Risk!$E$500:$E$923,0)),0)</f>
        <v>17.82</v>
      </c>
      <c r="H546">
        <v>1</v>
      </c>
      <c r="I546">
        <f>IFERROR(MAX(0,5-INDEX(_ENGINE_Risk!$H$500:$H$923,MATCH($D546,_ENGINE_Risk!$E$500:$E$923,0))),0)</f>
        <v>5</v>
      </c>
      <c r="J546" t="s">
        <v>11566</v>
      </c>
      <c r="K546">
        <f>IFERROR(INDEX(_ENGINE_Risk!$BI$500:$BI$923,MATCH($D546,_ENGINE_Risk!$E$500:$E$923,0))*N($H546),0)</f>
        <v>937.5</v>
      </c>
      <c r="L546">
        <f>IFERROR(MIN(5,$K546/MAX(1,_CONFIG_Model_Settings!$B$105)),0)</f>
        <v>5</v>
      </c>
    </row>
    <row r="547" spans="1:12">
      <c r="A547" t="s">
        <v>3996</v>
      </c>
      <c r="B547" t="s">
        <v>3997</v>
      </c>
      <c r="C547" t="s">
        <v>3957</v>
      </c>
      <c r="D547" t="s">
        <v>1243</v>
      </c>
      <c r="E547" t="s">
        <v>1150</v>
      </c>
      <c r="F547" t="s">
        <v>1152</v>
      </c>
      <c r="G547">
        <f>IFERROR(INDEX(_ENGINE_Risk!$BS$500:$BS$923,MATCH($D547,_ENGINE_Risk!$E$500:$E$923,0)),0)</f>
        <v>20.350000000000001</v>
      </c>
      <c r="H547">
        <v>1</v>
      </c>
      <c r="I547">
        <f>IFERROR(MAX(0,5-INDEX(_ENGINE_Risk!$H$500:$H$923,MATCH($D547,_ENGINE_Risk!$E$500:$E$923,0))),0)</f>
        <v>5</v>
      </c>
      <c r="J547" t="s">
        <v>11567</v>
      </c>
      <c r="K547">
        <f>IFERROR(INDEX(_ENGINE_Risk!$BI$500:$BI$923,MATCH($D547,_ENGINE_Risk!$E$500:$E$923,0))*N($H547),0)</f>
        <v>437.5</v>
      </c>
      <c r="L547">
        <f>IFERROR(MIN(5,$K547/MAX(1,_CONFIG_Model_Settings!$B$105)),0)</f>
        <v>5</v>
      </c>
    </row>
    <row r="548" spans="1:12">
      <c r="A548" t="s">
        <v>4073</v>
      </c>
      <c r="B548" t="s">
        <v>4076</v>
      </c>
      <c r="C548" t="s">
        <v>4075</v>
      </c>
      <c r="D548" t="s">
        <v>1487</v>
      </c>
      <c r="E548" t="s">
        <v>1401</v>
      </c>
      <c r="F548" t="s">
        <v>1422</v>
      </c>
      <c r="G548">
        <f>IFERROR(INDEX(_ENGINE_Risk!$BS$500:$BS$923,MATCH($D548,_ENGINE_Risk!$E$500:$E$923,0)),0)</f>
        <v>16.239999999999998</v>
      </c>
      <c r="H548">
        <v>1</v>
      </c>
      <c r="I548">
        <f>IFERROR(MAX(0,5-INDEX(_ENGINE_Risk!$H$500:$H$923,MATCH($D548,_ENGINE_Risk!$E$500:$E$923,0))),0)</f>
        <v>5</v>
      </c>
      <c r="J548" t="s">
        <v>11566</v>
      </c>
      <c r="K548">
        <f>IFERROR(INDEX(_ENGINE_Risk!$BI$500:$BI$923,MATCH($D548,_ENGINE_Risk!$E$500:$E$923,0))*N($H548),0)</f>
        <v>437.5</v>
      </c>
      <c r="L548">
        <f>IFERROR(MIN(5,$K548/MAX(1,_CONFIG_Model_Settings!$B$105)),0)</f>
        <v>5</v>
      </c>
    </row>
    <row r="549" spans="1:12">
      <c r="A549" t="s">
        <v>4073</v>
      </c>
      <c r="B549" t="s">
        <v>4076</v>
      </c>
      <c r="C549" t="s">
        <v>4075</v>
      </c>
      <c r="D549" t="s">
        <v>1496</v>
      </c>
      <c r="E549" t="s">
        <v>1401</v>
      </c>
      <c r="F549" t="s">
        <v>1422</v>
      </c>
      <c r="G549">
        <f>IFERROR(INDEX(_ENGINE_Risk!$BS$500:$BS$923,MATCH($D549,_ENGINE_Risk!$E$500:$E$923,0)),0)</f>
        <v>17.82</v>
      </c>
      <c r="H549">
        <v>1</v>
      </c>
      <c r="I549">
        <f>IFERROR(MAX(0,5-INDEX(_ENGINE_Risk!$H$500:$H$923,MATCH($D549,_ENGINE_Risk!$E$500:$E$923,0))),0)</f>
        <v>5</v>
      </c>
      <c r="J549" t="s">
        <v>11566</v>
      </c>
      <c r="K549">
        <f>IFERROR(INDEX(_ENGINE_Risk!$BI$500:$BI$923,MATCH($D549,_ENGINE_Risk!$E$500:$E$923,0))*N($H549),0)</f>
        <v>937.5</v>
      </c>
      <c r="L549">
        <f>IFERROR(MIN(5,$K549/MAX(1,_CONFIG_Model_Settings!$B$105)),0)</f>
        <v>5</v>
      </c>
    </row>
    <row r="550" spans="1:12">
      <c r="A550" t="s">
        <v>4084</v>
      </c>
      <c r="B550" t="s">
        <v>4085</v>
      </c>
      <c r="C550" t="s">
        <v>3924</v>
      </c>
      <c r="D550" t="s">
        <v>1499</v>
      </c>
      <c r="E550" t="s">
        <v>1401</v>
      </c>
      <c r="F550" t="s">
        <v>1426</v>
      </c>
      <c r="G550">
        <f>IFERROR(INDEX(_ENGINE_Risk!$BS$500:$BS$923,MATCH($D550,_ENGINE_Risk!$E$500:$E$923,0)),0)</f>
        <v>17.03</v>
      </c>
      <c r="H550">
        <v>1</v>
      </c>
      <c r="I550">
        <f>IFERROR(MAX(0,5-INDEX(_ENGINE_Risk!$H$500:$H$923,MATCH($D550,_ENGINE_Risk!$E$500:$E$923,0))),0)</f>
        <v>5</v>
      </c>
      <c r="J550" t="s">
        <v>11566</v>
      </c>
      <c r="K550">
        <f>IFERROR(INDEX(_ENGINE_Risk!$BI$500:$BI$923,MATCH($D550,_ENGINE_Risk!$E$500:$E$923,0))*N($H550),0)</f>
        <v>437.5</v>
      </c>
      <c r="L550">
        <f>IFERROR(MIN(5,$K550/MAX(1,_CONFIG_Model_Settings!$B$105)),0)</f>
        <v>5</v>
      </c>
    </row>
    <row r="551" spans="1:12">
      <c r="A551" t="s">
        <v>4084</v>
      </c>
      <c r="B551" t="s">
        <v>4085</v>
      </c>
      <c r="C551" t="s">
        <v>3924</v>
      </c>
      <c r="D551" t="s">
        <v>1508</v>
      </c>
      <c r="E551" t="s">
        <v>1401</v>
      </c>
      <c r="F551" t="s">
        <v>1426</v>
      </c>
      <c r="G551">
        <f>IFERROR(INDEX(_ENGINE_Risk!$BS$500:$BS$923,MATCH($D551,_ENGINE_Risk!$E$500:$E$923,0)),0)</f>
        <v>17.82</v>
      </c>
      <c r="H551">
        <v>1</v>
      </c>
      <c r="I551">
        <f>IFERROR(MAX(0,5-INDEX(_ENGINE_Risk!$H$500:$H$923,MATCH($D551,_ENGINE_Risk!$E$500:$E$923,0))),0)</f>
        <v>5</v>
      </c>
      <c r="J551" t="s">
        <v>11566</v>
      </c>
      <c r="K551">
        <f>IFERROR(INDEX(_ENGINE_Risk!$BI$500:$BI$923,MATCH($D551,_ENGINE_Risk!$E$500:$E$923,0))*N($H551),0)</f>
        <v>937.5</v>
      </c>
      <c r="L551">
        <f>IFERROR(MIN(5,$K551/MAX(1,_CONFIG_Model_Settings!$B$105)),0)</f>
        <v>5</v>
      </c>
    </row>
    <row r="552" spans="1:12">
      <c r="A552" t="s">
        <v>4084</v>
      </c>
      <c r="B552" t="s">
        <v>4085</v>
      </c>
      <c r="C552" t="s">
        <v>3924</v>
      </c>
      <c r="D552" t="s">
        <v>1511</v>
      </c>
      <c r="E552" t="s">
        <v>1401</v>
      </c>
      <c r="F552" t="s">
        <v>1426</v>
      </c>
      <c r="G552">
        <f>IFERROR(INDEX(_ENGINE_Risk!$BS$500:$BS$923,MATCH($D552,_ENGINE_Risk!$E$500:$E$923,0)),0)</f>
        <v>18.41</v>
      </c>
      <c r="H552">
        <v>1</v>
      </c>
      <c r="I552">
        <f>IFERROR(MAX(0,5-INDEX(_ENGINE_Risk!$H$500:$H$923,MATCH($D552,_ENGINE_Risk!$E$500:$E$923,0))),0)</f>
        <v>5</v>
      </c>
      <c r="J552" t="s">
        <v>11566</v>
      </c>
      <c r="K552">
        <f>IFERROR(INDEX(_ENGINE_Risk!$BI$500:$BI$923,MATCH($D552,_ENGINE_Risk!$E$500:$E$923,0))*N($H552),0)</f>
        <v>937.5</v>
      </c>
      <c r="L552">
        <f>IFERROR(MIN(5,$K552/MAX(1,_CONFIG_Model_Settings!$B$105)),0)</f>
        <v>5</v>
      </c>
    </row>
    <row r="553" spans="1:12">
      <c r="A553" t="s">
        <v>4084</v>
      </c>
      <c r="B553" t="s">
        <v>4085</v>
      </c>
      <c r="C553" t="s">
        <v>3924</v>
      </c>
      <c r="D553" t="s">
        <v>1514</v>
      </c>
      <c r="E553" t="s">
        <v>1401</v>
      </c>
      <c r="F553" t="s">
        <v>1426</v>
      </c>
      <c r="G553">
        <f>IFERROR(INDEX(_ENGINE_Risk!$BS$500:$BS$923,MATCH($D553,_ENGINE_Risk!$E$500:$E$923,0)),0)</f>
        <v>17.82</v>
      </c>
      <c r="H553">
        <v>1</v>
      </c>
      <c r="I553">
        <f>IFERROR(MAX(0,5-INDEX(_ENGINE_Risk!$H$500:$H$923,MATCH($D553,_ENGINE_Risk!$E$500:$E$923,0))),0)</f>
        <v>5</v>
      </c>
      <c r="J553" t="s">
        <v>11566</v>
      </c>
      <c r="K553">
        <f>IFERROR(INDEX(_ENGINE_Risk!$BI$500:$BI$923,MATCH($D553,_ENGINE_Risk!$E$500:$E$923,0))*N($H553),0)</f>
        <v>937.5</v>
      </c>
      <c r="L553">
        <f>IFERROR(MIN(5,$K553/MAX(1,_CONFIG_Model_Settings!$B$105)),0)</f>
        <v>5</v>
      </c>
    </row>
    <row r="554" spans="1:12">
      <c r="A554" t="s">
        <v>4084</v>
      </c>
      <c r="B554" t="s">
        <v>4085</v>
      </c>
      <c r="C554" t="s">
        <v>3924</v>
      </c>
      <c r="D554" t="s">
        <v>1517</v>
      </c>
      <c r="E554" t="s">
        <v>1401</v>
      </c>
      <c r="F554" t="s">
        <v>1426</v>
      </c>
      <c r="G554">
        <f>IFERROR(INDEX(_ENGINE_Risk!$BS$500:$BS$923,MATCH($D554,_ENGINE_Risk!$E$500:$E$923,0)),0)</f>
        <v>17.82</v>
      </c>
      <c r="H554">
        <v>1</v>
      </c>
      <c r="I554">
        <f>IFERROR(MAX(0,5-INDEX(_ENGINE_Risk!$H$500:$H$923,MATCH($D554,_ENGINE_Risk!$E$500:$E$923,0))),0)</f>
        <v>5</v>
      </c>
      <c r="J554" t="s">
        <v>11566</v>
      </c>
      <c r="K554">
        <f>IFERROR(INDEX(_ENGINE_Risk!$BI$500:$BI$923,MATCH($D554,_ENGINE_Risk!$E$500:$E$923,0))*N($H554),0)</f>
        <v>937.5</v>
      </c>
      <c r="L554">
        <f>IFERROR(MIN(5,$K554/MAX(1,_CONFIG_Model_Settings!$B$105)),0)</f>
        <v>5</v>
      </c>
    </row>
    <row r="555" spans="1:12">
      <c r="A555" t="s">
        <v>4091</v>
      </c>
      <c r="B555" t="s">
        <v>4092</v>
      </c>
      <c r="C555" t="s">
        <v>4065</v>
      </c>
      <c r="D555" t="s">
        <v>1552</v>
      </c>
      <c r="E555" t="s">
        <v>1551</v>
      </c>
      <c r="F555" t="s">
        <v>1553</v>
      </c>
      <c r="G555">
        <f>IFERROR(INDEX(_ENGINE_Risk!$BS$500:$BS$923,MATCH($D555,_ENGINE_Risk!$E$500:$E$923,0)),0)</f>
        <v>16.36</v>
      </c>
      <c r="H555">
        <v>1</v>
      </c>
      <c r="I555">
        <f>IFERROR(MAX(0,5-INDEX(_ENGINE_Risk!$H$500:$H$923,MATCH($D555,_ENGINE_Risk!$E$500:$E$923,0))),0)</f>
        <v>5</v>
      </c>
      <c r="J555" t="s">
        <v>11566</v>
      </c>
      <c r="K555">
        <f>IFERROR(INDEX(_ENGINE_Risk!$BI$500:$BI$923,MATCH($D555,_ENGINE_Risk!$E$500:$E$923,0))*N($H555),0)</f>
        <v>937.5</v>
      </c>
      <c r="L555">
        <f>IFERROR(MIN(5,$K555/MAX(1,_CONFIG_Model_Settings!$B$105)),0)</f>
        <v>5</v>
      </c>
    </row>
    <row r="556" spans="1:12">
      <c r="A556" t="s">
        <v>4091</v>
      </c>
      <c r="B556" t="s">
        <v>4092</v>
      </c>
      <c r="C556" t="s">
        <v>4065</v>
      </c>
      <c r="D556" t="s">
        <v>1565</v>
      </c>
      <c r="E556" t="s">
        <v>1551</v>
      </c>
      <c r="F556" t="s">
        <v>1553</v>
      </c>
      <c r="G556">
        <f>IFERROR(INDEX(_ENGINE_Risk!$BS$500:$BS$923,MATCH($D556,_ENGINE_Risk!$E$500:$E$923,0)),0)</f>
        <v>16.36</v>
      </c>
      <c r="H556">
        <v>1</v>
      </c>
      <c r="I556">
        <f>IFERROR(MAX(0,5-INDEX(_ENGINE_Risk!$H$500:$H$923,MATCH($D556,_ENGINE_Risk!$E$500:$E$923,0))),0)</f>
        <v>5</v>
      </c>
      <c r="J556" t="s">
        <v>11566</v>
      </c>
      <c r="K556">
        <f>IFERROR(INDEX(_ENGINE_Risk!$BI$500:$BI$923,MATCH($D556,_ENGINE_Risk!$E$500:$E$923,0))*N($H556),0)</f>
        <v>937.5</v>
      </c>
      <c r="L556">
        <f>IFERROR(MIN(5,$K556/MAX(1,_CONFIG_Model_Settings!$B$105)),0)</f>
        <v>5</v>
      </c>
    </row>
    <row r="557" spans="1:12">
      <c r="A557" t="s">
        <v>4091</v>
      </c>
      <c r="B557" t="s">
        <v>4092</v>
      </c>
      <c r="C557" t="s">
        <v>4065</v>
      </c>
      <c r="D557" t="s">
        <v>1569</v>
      </c>
      <c r="E557" t="s">
        <v>1551</v>
      </c>
      <c r="F557" t="s">
        <v>1553</v>
      </c>
      <c r="G557">
        <f>IFERROR(INDEX(_ENGINE_Risk!$BS$500:$BS$923,MATCH($D557,_ENGINE_Risk!$E$500:$E$923,0)),0)</f>
        <v>16.36</v>
      </c>
      <c r="H557">
        <v>1</v>
      </c>
      <c r="I557">
        <f>IFERROR(MAX(0,5-INDEX(_ENGINE_Risk!$H$500:$H$923,MATCH($D557,_ENGINE_Risk!$E$500:$E$923,0))),0)</f>
        <v>5</v>
      </c>
      <c r="J557" t="s">
        <v>11566</v>
      </c>
      <c r="K557">
        <f>IFERROR(INDEX(_ENGINE_Risk!$BI$500:$BI$923,MATCH($D557,_ENGINE_Risk!$E$500:$E$923,0))*N($H557),0)</f>
        <v>937.5</v>
      </c>
      <c r="L557">
        <f>IFERROR(MIN(5,$K557/MAX(1,_CONFIG_Model_Settings!$B$105)),0)</f>
        <v>5</v>
      </c>
    </row>
    <row r="558" spans="1:12">
      <c r="A558" t="s">
        <v>4091</v>
      </c>
      <c r="B558" t="s">
        <v>4092</v>
      </c>
      <c r="C558" t="s">
        <v>4065</v>
      </c>
      <c r="D558" t="s">
        <v>1573</v>
      </c>
      <c r="E558" t="s">
        <v>1551</v>
      </c>
      <c r="F558" t="s">
        <v>1553</v>
      </c>
      <c r="G558">
        <f>IFERROR(INDEX(_ENGINE_Risk!$BS$500:$BS$923,MATCH($D558,_ENGINE_Risk!$E$500:$E$923,0)),0)</f>
        <v>16.36</v>
      </c>
      <c r="H558">
        <v>1</v>
      </c>
      <c r="I558">
        <f>IFERROR(MAX(0,5-INDEX(_ENGINE_Risk!$H$500:$H$923,MATCH($D558,_ENGINE_Risk!$E$500:$E$923,0))),0)</f>
        <v>5</v>
      </c>
      <c r="J558" t="s">
        <v>11566</v>
      </c>
      <c r="K558">
        <f>IFERROR(INDEX(_ENGINE_Risk!$BI$500:$BI$923,MATCH($D558,_ENGINE_Risk!$E$500:$E$923,0))*N($H558),0)</f>
        <v>937.5</v>
      </c>
      <c r="L558">
        <f>IFERROR(MIN(5,$K558/MAX(1,_CONFIG_Model_Settings!$B$105)),0)</f>
        <v>5</v>
      </c>
    </row>
    <row r="559" spans="1:12">
      <c r="A559" t="s">
        <v>4091</v>
      </c>
      <c r="B559" t="s">
        <v>4092</v>
      </c>
      <c r="C559" t="s">
        <v>4065</v>
      </c>
      <c r="D559" t="s">
        <v>1583</v>
      </c>
      <c r="E559" t="s">
        <v>1551</v>
      </c>
      <c r="F559" t="s">
        <v>1553</v>
      </c>
      <c r="G559">
        <f>IFERROR(INDEX(_ENGINE_Risk!$BS$500:$BS$923,MATCH($D559,_ENGINE_Risk!$E$500:$E$923,0)),0)</f>
        <v>16.36</v>
      </c>
      <c r="H559">
        <v>1</v>
      </c>
      <c r="I559">
        <f>IFERROR(MAX(0,5-INDEX(_ENGINE_Risk!$H$500:$H$923,MATCH($D559,_ENGINE_Risk!$E$500:$E$923,0))),0)</f>
        <v>5</v>
      </c>
      <c r="J559" t="s">
        <v>11566</v>
      </c>
      <c r="K559">
        <f>IFERROR(INDEX(_ENGINE_Risk!$BI$500:$BI$923,MATCH($D559,_ENGINE_Risk!$E$500:$E$923,0))*N($H559),0)</f>
        <v>937.5</v>
      </c>
      <c r="L559">
        <f>IFERROR(MIN(5,$K559/MAX(1,_CONFIG_Model_Settings!$B$105)),0)</f>
        <v>5</v>
      </c>
    </row>
    <row r="560" spans="1:12">
      <c r="A560" t="s">
        <v>4091</v>
      </c>
      <c r="B560" t="s">
        <v>4092</v>
      </c>
      <c r="C560" t="s">
        <v>4065</v>
      </c>
      <c r="D560" t="s">
        <v>1592</v>
      </c>
      <c r="E560" t="s">
        <v>1551</v>
      </c>
      <c r="F560" t="s">
        <v>1553</v>
      </c>
      <c r="G560">
        <f>IFERROR(INDEX(_ENGINE_Risk!$BS$500:$BS$923,MATCH($D560,_ENGINE_Risk!$E$500:$E$923,0)),0)</f>
        <v>16.36</v>
      </c>
      <c r="H560">
        <v>1</v>
      </c>
      <c r="I560">
        <f>IFERROR(MAX(0,5-INDEX(_ENGINE_Risk!$H$500:$H$923,MATCH($D560,_ENGINE_Risk!$E$500:$E$923,0))),0)</f>
        <v>5</v>
      </c>
      <c r="J560" t="s">
        <v>11566</v>
      </c>
      <c r="K560">
        <f>IFERROR(INDEX(_ENGINE_Risk!$BI$500:$BI$923,MATCH($D560,_ENGINE_Risk!$E$500:$E$923,0))*N($H560),0)</f>
        <v>937.5</v>
      </c>
      <c r="L560">
        <f>IFERROR(MIN(5,$K560/MAX(1,_CONFIG_Model_Settings!$B$105)),0)</f>
        <v>5</v>
      </c>
    </row>
    <row r="561" spans="1:12">
      <c r="A561" t="s">
        <v>4100</v>
      </c>
      <c r="B561" t="s">
        <v>4101</v>
      </c>
      <c r="C561" t="s">
        <v>4065</v>
      </c>
      <c r="D561" t="s">
        <v>1595</v>
      </c>
      <c r="E561" t="s">
        <v>1551</v>
      </c>
      <c r="F561" t="s">
        <v>1568</v>
      </c>
      <c r="G561">
        <f>IFERROR(INDEX(_ENGINE_Risk!$BS$500:$BS$923,MATCH($D561,_ENGINE_Risk!$E$500:$E$923,0)),0)</f>
        <v>16.36</v>
      </c>
      <c r="H561">
        <v>1</v>
      </c>
      <c r="I561">
        <f>IFERROR(MAX(0,5-INDEX(_ENGINE_Risk!$H$500:$H$923,MATCH($D561,_ENGINE_Risk!$E$500:$E$923,0))),0)</f>
        <v>5</v>
      </c>
      <c r="J561" t="s">
        <v>11566</v>
      </c>
      <c r="K561">
        <f>IFERROR(INDEX(_ENGINE_Risk!$BI$500:$BI$923,MATCH($D561,_ENGINE_Risk!$E$500:$E$923,0))*N($H561),0)</f>
        <v>937.5</v>
      </c>
      <c r="L561">
        <f>IFERROR(MIN(5,$K561/MAX(1,_CONFIG_Model_Settings!$B$105)),0)</f>
        <v>5</v>
      </c>
    </row>
    <row r="562" spans="1:12">
      <c r="A562" t="s">
        <v>4100</v>
      </c>
      <c r="B562" t="s">
        <v>4101</v>
      </c>
      <c r="C562" t="s">
        <v>4065</v>
      </c>
      <c r="D562" t="s">
        <v>1598</v>
      </c>
      <c r="E562" t="s">
        <v>1551</v>
      </c>
      <c r="F562" t="s">
        <v>1568</v>
      </c>
      <c r="G562">
        <f>IFERROR(INDEX(_ENGINE_Risk!$BS$500:$BS$923,MATCH($D562,_ENGINE_Risk!$E$500:$E$923,0)),0)</f>
        <v>16.36</v>
      </c>
      <c r="H562">
        <v>1</v>
      </c>
      <c r="I562">
        <f>IFERROR(MAX(0,5-INDEX(_ENGINE_Risk!$H$500:$H$923,MATCH($D562,_ENGINE_Risk!$E$500:$E$923,0))),0)</f>
        <v>5</v>
      </c>
      <c r="J562" t="s">
        <v>11566</v>
      </c>
      <c r="K562">
        <f>IFERROR(INDEX(_ENGINE_Risk!$BI$500:$BI$923,MATCH($D562,_ENGINE_Risk!$E$500:$E$923,0))*N($H562),0)</f>
        <v>937.5</v>
      </c>
      <c r="L562">
        <f>IFERROR(MIN(5,$K562/MAX(1,_CONFIG_Model_Settings!$B$105)),0)</f>
        <v>5</v>
      </c>
    </row>
    <row r="563" spans="1:12">
      <c r="A563" t="s">
        <v>4100</v>
      </c>
      <c r="B563" t="s">
        <v>4101</v>
      </c>
      <c r="C563" t="s">
        <v>4065</v>
      </c>
      <c r="D563" t="s">
        <v>1601</v>
      </c>
      <c r="E563" t="s">
        <v>1551</v>
      </c>
      <c r="F563" t="s">
        <v>1568</v>
      </c>
      <c r="G563">
        <f>IFERROR(INDEX(_ENGINE_Risk!$BS$500:$BS$923,MATCH($D563,_ENGINE_Risk!$E$500:$E$923,0)),0)</f>
        <v>16.36</v>
      </c>
      <c r="H563">
        <v>1</v>
      </c>
      <c r="I563">
        <f>IFERROR(MAX(0,5-INDEX(_ENGINE_Risk!$H$500:$H$923,MATCH($D563,_ENGINE_Risk!$E$500:$E$923,0))),0)</f>
        <v>5</v>
      </c>
      <c r="J563" t="s">
        <v>11566</v>
      </c>
      <c r="K563">
        <f>IFERROR(INDEX(_ENGINE_Risk!$BI$500:$BI$923,MATCH($D563,_ENGINE_Risk!$E$500:$E$923,0))*N($H563),0)</f>
        <v>937.5</v>
      </c>
      <c r="L563">
        <f>IFERROR(MIN(5,$K563/MAX(1,_CONFIG_Model_Settings!$B$105)),0)</f>
        <v>5</v>
      </c>
    </row>
    <row r="564" spans="1:12">
      <c r="A564" t="s">
        <v>4100</v>
      </c>
      <c r="B564" t="s">
        <v>4101</v>
      </c>
      <c r="C564" t="s">
        <v>4065</v>
      </c>
      <c r="D564" t="s">
        <v>1610</v>
      </c>
      <c r="E564" t="s">
        <v>1551</v>
      </c>
      <c r="F564" t="s">
        <v>1568</v>
      </c>
      <c r="G564">
        <f>IFERROR(INDEX(_ENGINE_Risk!$BS$500:$BS$923,MATCH($D564,_ENGINE_Risk!$E$500:$E$923,0)),0)</f>
        <v>16.36</v>
      </c>
      <c r="H564">
        <v>1</v>
      </c>
      <c r="I564">
        <f>IFERROR(MAX(0,5-INDEX(_ENGINE_Risk!$H$500:$H$923,MATCH($D564,_ENGINE_Risk!$E$500:$E$923,0))),0)</f>
        <v>5</v>
      </c>
      <c r="J564" t="s">
        <v>11566</v>
      </c>
      <c r="K564">
        <f>IFERROR(INDEX(_ENGINE_Risk!$BI$500:$BI$923,MATCH($D564,_ENGINE_Risk!$E$500:$E$923,0))*N($H564),0)</f>
        <v>937.5</v>
      </c>
      <c r="L564">
        <f>IFERROR(MIN(5,$K564/MAX(1,_CONFIG_Model_Settings!$B$105)),0)</f>
        <v>5</v>
      </c>
    </row>
    <row r="565" spans="1:12">
      <c r="A565" t="s">
        <v>4100</v>
      </c>
      <c r="B565" t="s">
        <v>4101</v>
      </c>
      <c r="C565" t="s">
        <v>4065</v>
      </c>
      <c r="D565" t="s">
        <v>1613</v>
      </c>
      <c r="E565" t="s">
        <v>1551</v>
      </c>
      <c r="F565" t="s">
        <v>1568</v>
      </c>
      <c r="G565">
        <f>IFERROR(INDEX(_ENGINE_Risk!$BS$500:$BS$923,MATCH($D565,_ENGINE_Risk!$E$500:$E$923,0)),0)</f>
        <v>16.36</v>
      </c>
      <c r="H565">
        <v>1</v>
      </c>
      <c r="I565">
        <f>IFERROR(MAX(0,5-INDEX(_ENGINE_Risk!$H$500:$H$923,MATCH($D565,_ENGINE_Risk!$E$500:$E$923,0))),0)</f>
        <v>5</v>
      </c>
      <c r="J565" t="s">
        <v>11566</v>
      </c>
      <c r="K565">
        <f>IFERROR(INDEX(_ENGINE_Risk!$BI$500:$BI$923,MATCH($D565,_ENGINE_Risk!$E$500:$E$923,0))*N($H565),0)</f>
        <v>937.5</v>
      </c>
      <c r="L565">
        <f>IFERROR(MIN(5,$K565/MAX(1,_CONFIG_Model_Settings!$B$105)),0)</f>
        <v>5</v>
      </c>
    </row>
    <row r="566" spans="1:12">
      <c r="A566" t="s">
        <v>4100</v>
      </c>
      <c r="B566" t="s">
        <v>4101</v>
      </c>
      <c r="C566" t="s">
        <v>4065</v>
      </c>
      <c r="D566" t="s">
        <v>1616</v>
      </c>
      <c r="E566" t="s">
        <v>1551</v>
      </c>
      <c r="F566" t="s">
        <v>1568</v>
      </c>
      <c r="G566">
        <f>IFERROR(INDEX(_ENGINE_Risk!$BS$500:$BS$923,MATCH($D566,_ENGINE_Risk!$E$500:$E$923,0)),0)</f>
        <v>16.36</v>
      </c>
      <c r="H566">
        <v>1</v>
      </c>
      <c r="I566">
        <f>IFERROR(MAX(0,5-INDEX(_ENGINE_Risk!$H$500:$H$923,MATCH($D566,_ENGINE_Risk!$E$500:$E$923,0))),0)</f>
        <v>5</v>
      </c>
      <c r="J566" t="s">
        <v>11566</v>
      </c>
      <c r="K566">
        <f>IFERROR(INDEX(_ENGINE_Risk!$BI$500:$BI$923,MATCH($D566,_ENGINE_Risk!$E$500:$E$923,0))*N($H566),0)</f>
        <v>937.5</v>
      </c>
      <c r="L566">
        <f>IFERROR(MIN(5,$K566/MAX(1,_CONFIG_Model_Settings!$B$105)),0)</f>
        <v>5</v>
      </c>
    </row>
    <row r="567" spans="1:12">
      <c r="A567" t="s">
        <v>4107</v>
      </c>
      <c r="B567" t="s">
        <v>4108</v>
      </c>
      <c r="C567" t="s">
        <v>4065</v>
      </c>
      <c r="D567" t="s">
        <v>1619</v>
      </c>
      <c r="E567" t="s">
        <v>1551</v>
      </c>
      <c r="F567" t="s">
        <v>1572</v>
      </c>
      <c r="G567">
        <f>IFERROR(INDEX(_ENGINE_Risk!$BS$500:$BS$923,MATCH($D567,_ENGINE_Risk!$E$500:$E$923,0)),0)</f>
        <v>16.36</v>
      </c>
      <c r="H567">
        <v>1</v>
      </c>
      <c r="I567">
        <f>IFERROR(MAX(0,5-INDEX(_ENGINE_Risk!$H$500:$H$923,MATCH($D567,_ENGINE_Risk!$E$500:$E$923,0))),0)</f>
        <v>5</v>
      </c>
      <c r="J567" t="s">
        <v>11566</v>
      </c>
      <c r="K567">
        <f>IFERROR(INDEX(_ENGINE_Risk!$BI$500:$BI$923,MATCH($D567,_ENGINE_Risk!$E$500:$E$923,0))*N($H567),0)</f>
        <v>937.5</v>
      </c>
      <c r="L567">
        <f>IFERROR(MIN(5,$K567/MAX(1,_CONFIG_Model_Settings!$B$105)),0)</f>
        <v>5</v>
      </c>
    </row>
    <row r="568" spans="1:12">
      <c r="A568" t="s">
        <v>4107</v>
      </c>
      <c r="B568" t="s">
        <v>4108</v>
      </c>
      <c r="C568" t="s">
        <v>4065</v>
      </c>
      <c r="D568" t="s">
        <v>1622</v>
      </c>
      <c r="E568" t="s">
        <v>1551</v>
      </c>
      <c r="F568" t="s">
        <v>1572</v>
      </c>
      <c r="G568">
        <f>IFERROR(INDEX(_ENGINE_Risk!$BS$500:$BS$923,MATCH($D568,_ENGINE_Risk!$E$500:$E$923,0)),0)</f>
        <v>16.36</v>
      </c>
      <c r="H568">
        <v>1</v>
      </c>
      <c r="I568">
        <f>IFERROR(MAX(0,5-INDEX(_ENGINE_Risk!$H$500:$H$923,MATCH($D568,_ENGINE_Risk!$E$500:$E$923,0))),0)</f>
        <v>5</v>
      </c>
      <c r="J568" t="s">
        <v>11566</v>
      </c>
      <c r="K568">
        <f>IFERROR(INDEX(_ENGINE_Risk!$BI$500:$BI$923,MATCH($D568,_ENGINE_Risk!$E$500:$E$923,0))*N($H568),0)</f>
        <v>937.5</v>
      </c>
      <c r="L568">
        <f>IFERROR(MIN(5,$K568/MAX(1,_CONFIG_Model_Settings!$B$105)),0)</f>
        <v>5</v>
      </c>
    </row>
    <row r="569" spans="1:12">
      <c r="A569" t="s">
        <v>4107</v>
      </c>
      <c r="B569" t="s">
        <v>4108</v>
      </c>
      <c r="C569" t="s">
        <v>4065</v>
      </c>
      <c r="D569" t="s">
        <v>1631</v>
      </c>
      <c r="E569" t="s">
        <v>1551</v>
      </c>
      <c r="F569" t="s">
        <v>1572</v>
      </c>
      <c r="G569">
        <f>IFERROR(INDEX(_ENGINE_Risk!$BS$500:$BS$923,MATCH($D569,_ENGINE_Risk!$E$500:$E$923,0)),0)</f>
        <v>16.36</v>
      </c>
      <c r="H569">
        <v>1</v>
      </c>
      <c r="I569">
        <f>IFERROR(MAX(0,5-INDEX(_ENGINE_Risk!$H$500:$H$923,MATCH($D569,_ENGINE_Risk!$E$500:$E$923,0))),0)</f>
        <v>5</v>
      </c>
      <c r="J569" t="s">
        <v>11566</v>
      </c>
      <c r="K569">
        <f>IFERROR(INDEX(_ENGINE_Risk!$BI$500:$BI$923,MATCH($D569,_ENGINE_Risk!$E$500:$E$923,0))*N($H569),0)</f>
        <v>937.5</v>
      </c>
      <c r="L569">
        <f>IFERROR(MIN(5,$K569/MAX(1,_CONFIG_Model_Settings!$B$105)),0)</f>
        <v>5</v>
      </c>
    </row>
    <row r="570" spans="1:12">
      <c r="A570" t="s">
        <v>4107</v>
      </c>
      <c r="B570" t="s">
        <v>4108</v>
      </c>
      <c r="C570" t="s">
        <v>4065</v>
      </c>
      <c r="D570" t="s">
        <v>1634</v>
      </c>
      <c r="E570" t="s">
        <v>1551</v>
      </c>
      <c r="F570" t="s">
        <v>1572</v>
      </c>
      <c r="G570">
        <f>IFERROR(INDEX(_ENGINE_Risk!$BS$500:$BS$923,MATCH($D570,_ENGINE_Risk!$E$500:$E$923,0)),0)</f>
        <v>16.36</v>
      </c>
      <c r="H570">
        <v>1</v>
      </c>
      <c r="I570">
        <f>IFERROR(MAX(0,5-INDEX(_ENGINE_Risk!$H$500:$H$923,MATCH($D570,_ENGINE_Risk!$E$500:$E$923,0))),0)</f>
        <v>5</v>
      </c>
      <c r="J570" t="s">
        <v>11566</v>
      </c>
      <c r="K570">
        <f>IFERROR(INDEX(_ENGINE_Risk!$BI$500:$BI$923,MATCH($D570,_ENGINE_Risk!$E$500:$E$923,0))*N($H570),0)</f>
        <v>937.5</v>
      </c>
      <c r="L570">
        <f>IFERROR(MIN(5,$K570/MAX(1,_CONFIG_Model_Settings!$B$105)),0)</f>
        <v>5</v>
      </c>
    </row>
    <row r="571" spans="1:12">
      <c r="A571" t="s">
        <v>4107</v>
      </c>
      <c r="B571" t="s">
        <v>4108</v>
      </c>
      <c r="C571" t="s">
        <v>4065</v>
      </c>
      <c r="D571" t="s">
        <v>1637</v>
      </c>
      <c r="E571" t="s">
        <v>1551</v>
      </c>
      <c r="F571" t="s">
        <v>1572</v>
      </c>
      <c r="G571">
        <f>IFERROR(INDEX(_ENGINE_Risk!$BS$500:$BS$923,MATCH($D571,_ENGINE_Risk!$E$500:$E$923,0)),0)</f>
        <v>16.36</v>
      </c>
      <c r="H571">
        <v>1</v>
      </c>
      <c r="I571">
        <f>IFERROR(MAX(0,5-INDEX(_ENGINE_Risk!$H$500:$H$923,MATCH($D571,_ENGINE_Risk!$E$500:$E$923,0))),0)</f>
        <v>5</v>
      </c>
      <c r="J571" t="s">
        <v>11566</v>
      </c>
      <c r="K571">
        <f>IFERROR(INDEX(_ENGINE_Risk!$BI$500:$BI$923,MATCH($D571,_ENGINE_Risk!$E$500:$E$923,0))*N($H571),0)</f>
        <v>937.5</v>
      </c>
      <c r="L571">
        <f>IFERROR(MIN(5,$K571/MAX(1,_CONFIG_Model_Settings!$B$105)),0)</f>
        <v>5</v>
      </c>
    </row>
    <row r="572" spans="1:12">
      <c r="A572" t="s">
        <v>4107</v>
      </c>
      <c r="B572" t="s">
        <v>4108</v>
      </c>
      <c r="C572" t="s">
        <v>4065</v>
      </c>
      <c r="D572" t="s">
        <v>1640</v>
      </c>
      <c r="E572" t="s">
        <v>1551</v>
      </c>
      <c r="F572" t="s">
        <v>1572</v>
      </c>
      <c r="G572">
        <f>IFERROR(INDEX(_ENGINE_Risk!$BS$500:$BS$923,MATCH($D572,_ENGINE_Risk!$E$500:$E$923,0)),0)</f>
        <v>16.36</v>
      </c>
      <c r="H572">
        <v>1</v>
      </c>
      <c r="I572">
        <f>IFERROR(MAX(0,5-INDEX(_ENGINE_Risk!$H$500:$H$923,MATCH($D572,_ENGINE_Risk!$E$500:$E$923,0))),0)</f>
        <v>5</v>
      </c>
      <c r="J572" t="s">
        <v>11566</v>
      </c>
      <c r="K572">
        <f>IFERROR(INDEX(_ENGINE_Risk!$BI$500:$BI$923,MATCH($D572,_ENGINE_Risk!$E$500:$E$923,0))*N($H572),0)</f>
        <v>937.5</v>
      </c>
      <c r="L572">
        <f>IFERROR(MIN(5,$K572/MAX(1,_CONFIG_Model_Settings!$B$105)),0)</f>
        <v>5</v>
      </c>
    </row>
    <row r="573" spans="1:12">
      <c r="A573" t="s">
        <v>4114</v>
      </c>
      <c r="B573" t="s">
        <v>4115</v>
      </c>
      <c r="C573" t="s">
        <v>4065</v>
      </c>
      <c r="D573" t="s">
        <v>1643</v>
      </c>
      <c r="E573" t="s">
        <v>1551</v>
      </c>
      <c r="F573" t="s">
        <v>1582</v>
      </c>
      <c r="G573">
        <f>IFERROR(INDEX(_ENGINE_Risk!$BS$500:$BS$923,MATCH($D573,_ENGINE_Risk!$E$500:$E$923,0)),0)</f>
        <v>16.36</v>
      </c>
      <c r="H573">
        <v>1</v>
      </c>
      <c r="I573">
        <f>IFERROR(MAX(0,5-INDEX(_ENGINE_Risk!$H$500:$H$923,MATCH($D573,_ENGINE_Risk!$E$500:$E$923,0))),0)</f>
        <v>5</v>
      </c>
      <c r="J573" t="s">
        <v>11566</v>
      </c>
      <c r="K573">
        <f>IFERROR(INDEX(_ENGINE_Risk!$BI$500:$BI$923,MATCH($D573,_ENGINE_Risk!$E$500:$E$923,0))*N($H573),0)</f>
        <v>937.5</v>
      </c>
      <c r="L573">
        <f>IFERROR(MIN(5,$K573/MAX(1,_CONFIG_Model_Settings!$B$105)),0)</f>
        <v>5</v>
      </c>
    </row>
    <row r="574" spans="1:12">
      <c r="A574" t="s">
        <v>4114</v>
      </c>
      <c r="B574" t="s">
        <v>4115</v>
      </c>
      <c r="C574" t="s">
        <v>4065</v>
      </c>
      <c r="D574" t="s">
        <v>1652</v>
      </c>
      <c r="E574" t="s">
        <v>1551</v>
      </c>
      <c r="F574" t="s">
        <v>1582</v>
      </c>
      <c r="G574">
        <f>IFERROR(INDEX(_ENGINE_Risk!$BS$500:$BS$923,MATCH($D574,_ENGINE_Risk!$E$500:$E$923,0)),0)</f>
        <v>16.36</v>
      </c>
      <c r="H574">
        <v>1</v>
      </c>
      <c r="I574">
        <f>IFERROR(MAX(0,5-INDEX(_ENGINE_Risk!$H$500:$H$923,MATCH($D574,_ENGINE_Risk!$E$500:$E$923,0))),0)</f>
        <v>5</v>
      </c>
      <c r="J574" t="s">
        <v>11566</v>
      </c>
      <c r="K574">
        <f>IFERROR(INDEX(_ENGINE_Risk!$BI$500:$BI$923,MATCH($D574,_ENGINE_Risk!$E$500:$E$923,0))*N($H574),0)</f>
        <v>937.5</v>
      </c>
      <c r="L574">
        <f>IFERROR(MIN(5,$K574/MAX(1,_CONFIG_Model_Settings!$B$105)),0)</f>
        <v>5</v>
      </c>
    </row>
    <row r="575" spans="1:12">
      <c r="A575" t="s">
        <v>4121</v>
      </c>
      <c r="B575" t="s">
        <v>4124</v>
      </c>
      <c r="C575" t="s">
        <v>4123</v>
      </c>
      <c r="D575" t="s">
        <v>1667</v>
      </c>
      <c r="E575" t="s">
        <v>1666</v>
      </c>
      <c r="F575" t="s">
        <v>1668</v>
      </c>
      <c r="G575">
        <f>IFERROR(INDEX(_ENGINE_Risk!$BS$500:$BS$923,MATCH($D575,_ENGINE_Risk!$E$500:$E$923,0)),0)</f>
        <v>10.18</v>
      </c>
      <c r="H575">
        <v>1</v>
      </c>
      <c r="I575">
        <f>IFERROR(MAX(0,5-INDEX(_ENGINE_Risk!$H$500:$H$923,MATCH($D575,_ENGINE_Risk!$E$500:$E$923,0))),0)</f>
        <v>5</v>
      </c>
      <c r="J575" t="s">
        <v>11566</v>
      </c>
      <c r="K575">
        <f>IFERROR(INDEX(_ENGINE_Risk!$BI$500:$BI$923,MATCH($D575,_ENGINE_Risk!$E$500:$E$923,0))*N($H575),0)</f>
        <v>937.5</v>
      </c>
      <c r="L575">
        <f>IFERROR(MIN(5,$K575/MAX(1,_CONFIG_Model_Settings!$B$105)),0)</f>
        <v>5</v>
      </c>
    </row>
    <row r="576" spans="1:12">
      <c r="A576" t="s">
        <v>4121</v>
      </c>
      <c r="B576" t="s">
        <v>4124</v>
      </c>
      <c r="C576" t="s">
        <v>4123</v>
      </c>
      <c r="D576" t="s">
        <v>1674</v>
      </c>
      <c r="E576" t="s">
        <v>1666</v>
      </c>
      <c r="F576" t="s">
        <v>1668</v>
      </c>
      <c r="G576">
        <f>IFERROR(INDEX(_ENGINE_Risk!$BS$500:$BS$923,MATCH($D576,_ENGINE_Risk!$E$500:$E$923,0)),0)</f>
        <v>10.18</v>
      </c>
      <c r="H576">
        <v>1</v>
      </c>
      <c r="I576">
        <f>IFERROR(MAX(0,5-INDEX(_ENGINE_Risk!$H$500:$H$923,MATCH($D576,_ENGINE_Risk!$E$500:$E$923,0))),0)</f>
        <v>5</v>
      </c>
      <c r="J576" t="s">
        <v>11566</v>
      </c>
      <c r="K576">
        <f>IFERROR(INDEX(_ENGINE_Risk!$BI$500:$BI$923,MATCH($D576,_ENGINE_Risk!$E$500:$E$923,0))*N($H576),0)</f>
        <v>937.5</v>
      </c>
      <c r="L576">
        <f>IFERROR(MIN(5,$K576/MAX(1,_CONFIG_Model_Settings!$B$105)),0)</f>
        <v>5</v>
      </c>
    </row>
    <row r="577" spans="1:12">
      <c r="A577" t="s">
        <v>4121</v>
      </c>
      <c r="B577" t="s">
        <v>4124</v>
      </c>
      <c r="C577" t="s">
        <v>4123</v>
      </c>
      <c r="D577" t="s">
        <v>1678</v>
      </c>
      <c r="E577" t="s">
        <v>1666</v>
      </c>
      <c r="F577" t="s">
        <v>1668</v>
      </c>
      <c r="G577">
        <f>IFERROR(INDEX(_ENGINE_Risk!$BS$500:$BS$923,MATCH($D577,_ENGINE_Risk!$E$500:$E$923,0)),0)</f>
        <v>10.18</v>
      </c>
      <c r="H577">
        <v>1</v>
      </c>
      <c r="I577">
        <f>IFERROR(MAX(0,5-INDEX(_ENGINE_Risk!$H$500:$H$923,MATCH($D577,_ENGINE_Risk!$E$500:$E$923,0))),0)</f>
        <v>5</v>
      </c>
      <c r="J577" t="s">
        <v>11566</v>
      </c>
      <c r="K577">
        <f>IFERROR(INDEX(_ENGINE_Risk!$BI$500:$BI$923,MATCH($D577,_ENGINE_Risk!$E$500:$E$923,0))*N($H577),0)</f>
        <v>937.5</v>
      </c>
      <c r="L577">
        <f>IFERROR(MIN(5,$K577/MAX(1,_CONFIG_Model_Settings!$B$105)),0)</f>
        <v>5</v>
      </c>
    </row>
    <row r="578" spans="1:12">
      <c r="A578" t="s">
        <v>4121</v>
      </c>
      <c r="B578" t="s">
        <v>4124</v>
      </c>
      <c r="C578" t="s">
        <v>4123</v>
      </c>
      <c r="D578" t="s">
        <v>1682</v>
      </c>
      <c r="E578" t="s">
        <v>1666</v>
      </c>
      <c r="F578" t="s">
        <v>1668</v>
      </c>
      <c r="G578">
        <f>IFERROR(INDEX(_ENGINE_Risk!$BS$500:$BS$923,MATCH($D578,_ENGINE_Risk!$E$500:$E$923,0)),0)</f>
        <v>10.18</v>
      </c>
      <c r="H578">
        <v>1</v>
      </c>
      <c r="I578">
        <f>IFERROR(MAX(0,5-INDEX(_ENGINE_Risk!$H$500:$H$923,MATCH($D578,_ENGINE_Risk!$E$500:$E$923,0))),0)</f>
        <v>5</v>
      </c>
      <c r="J578" t="s">
        <v>11566</v>
      </c>
      <c r="K578">
        <f>IFERROR(INDEX(_ENGINE_Risk!$BI$500:$BI$923,MATCH($D578,_ENGINE_Risk!$E$500:$E$923,0))*N($H578),0)</f>
        <v>937.5</v>
      </c>
      <c r="L578">
        <f>IFERROR(MIN(5,$K578/MAX(1,_CONFIG_Model_Settings!$B$105)),0)</f>
        <v>5</v>
      </c>
    </row>
    <row r="579" spans="1:12">
      <c r="A579" t="s">
        <v>4121</v>
      </c>
      <c r="B579" t="s">
        <v>4124</v>
      </c>
      <c r="C579" t="s">
        <v>4123</v>
      </c>
      <c r="D579" t="s">
        <v>1686</v>
      </c>
      <c r="E579" t="s">
        <v>1666</v>
      </c>
      <c r="F579" t="s">
        <v>1668</v>
      </c>
      <c r="G579">
        <f>IFERROR(INDEX(_ENGINE_Risk!$BS$500:$BS$923,MATCH($D579,_ENGINE_Risk!$E$500:$E$923,0)),0)</f>
        <v>10.18</v>
      </c>
      <c r="H579">
        <v>1</v>
      </c>
      <c r="I579">
        <f>IFERROR(MAX(0,5-INDEX(_ENGINE_Risk!$H$500:$H$923,MATCH($D579,_ENGINE_Risk!$E$500:$E$923,0))),0)</f>
        <v>5</v>
      </c>
      <c r="J579" t="s">
        <v>11566</v>
      </c>
      <c r="K579">
        <f>IFERROR(INDEX(_ENGINE_Risk!$BI$500:$BI$923,MATCH($D579,_ENGINE_Risk!$E$500:$E$923,0))*N($H579),0)</f>
        <v>937.5</v>
      </c>
      <c r="L579">
        <f>IFERROR(MIN(5,$K579/MAX(1,_CONFIG_Model_Settings!$B$105)),0)</f>
        <v>5</v>
      </c>
    </row>
    <row r="580" spans="1:12">
      <c r="A580" t="s">
        <v>4121</v>
      </c>
      <c r="B580" t="s">
        <v>4124</v>
      </c>
      <c r="C580" t="s">
        <v>4123</v>
      </c>
      <c r="D580" t="s">
        <v>1690</v>
      </c>
      <c r="E580" t="s">
        <v>1666</v>
      </c>
      <c r="F580" t="s">
        <v>1668</v>
      </c>
      <c r="G580">
        <f>IFERROR(INDEX(_ENGINE_Risk!$BS$500:$BS$923,MATCH($D580,_ENGINE_Risk!$E$500:$E$923,0)),0)</f>
        <v>10.18</v>
      </c>
      <c r="H580">
        <v>1</v>
      </c>
      <c r="I580">
        <f>IFERROR(MAX(0,5-INDEX(_ENGINE_Risk!$H$500:$H$923,MATCH($D580,_ENGINE_Risk!$E$500:$E$923,0))),0)</f>
        <v>5</v>
      </c>
      <c r="J580" t="s">
        <v>11566</v>
      </c>
      <c r="K580">
        <f>IFERROR(INDEX(_ENGINE_Risk!$BI$500:$BI$923,MATCH($D580,_ENGINE_Risk!$E$500:$E$923,0))*N($H580),0)</f>
        <v>937.5</v>
      </c>
      <c r="L580">
        <f>IFERROR(MIN(5,$K580/MAX(1,_CONFIG_Model_Settings!$B$105)),0)</f>
        <v>5</v>
      </c>
    </row>
    <row r="581" spans="1:12">
      <c r="A581" t="s">
        <v>4135</v>
      </c>
      <c r="B581" t="s">
        <v>4136</v>
      </c>
      <c r="C581" t="s">
        <v>4123</v>
      </c>
      <c r="D581" t="s">
        <v>1694</v>
      </c>
      <c r="E581" t="s">
        <v>1666</v>
      </c>
      <c r="F581" t="s">
        <v>1677</v>
      </c>
      <c r="G581">
        <f>IFERROR(INDEX(_ENGINE_Risk!$BS$500:$BS$923,MATCH($D581,_ENGINE_Risk!$E$500:$E$923,0)),0)</f>
        <v>25.44</v>
      </c>
      <c r="H581">
        <v>1</v>
      </c>
      <c r="I581">
        <f>IFERROR(MAX(0,5-INDEX(_ENGINE_Risk!$H$500:$H$923,MATCH($D581,_ENGINE_Risk!$E$500:$E$923,0))),0)</f>
        <v>5</v>
      </c>
      <c r="J581" t="s">
        <v>11566</v>
      </c>
      <c r="K581">
        <f>IFERROR(INDEX(_ENGINE_Risk!$BI$500:$BI$923,MATCH($D581,_ENGINE_Risk!$E$500:$E$923,0))*N($H581),0)</f>
        <v>937.5</v>
      </c>
      <c r="L581">
        <f>IFERROR(MIN(5,$K581/MAX(1,_CONFIG_Model_Settings!$B$105)),0)</f>
        <v>5</v>
      </c>
    </row>
    <row r="582" spans="1:12">
      <c r="A582" t="s">
        <v>4135</v>
      </c>
      <c r="B582" t="s">
        <v>4136</v>
      </c>
      <c r="C582" t="s">
        <v>4123</v>
      </c>
      <c r="D582" t="s">
        <v>1697</v>
      </c>
      <c r="E582" t="s">
        <v>1666</v>
      </c>
      <c r="F582" t="s">
        <v>1677</v>
      </c>
      <c r="G582">
        <f>IFERROR(INDEX(_ENGINE_Risk!$BS$500:$BS$923,MATCH($D582,_ENGINE_Risk!$E$500:$E$923,0)),0)</f>
        <v>25.44</v>
      </c>
      <c r="H582">
        <v>1</v>
      </c>
      <c r="I582">
        <f>IFERROR(MAX(0,5-INDEX(_ENGINE_Risk!$H$500:$H$923,MATCH($D582,_ENGINE_Risk!$E$500:$E$923,0))),0)</f>
        <v>5</v>
      </c>
      <c r="J582" t="s">
        <v>11566</v>
      </c>
      <c r="K582">
        <f>IFERROR(INDEX(_ENGINE_Risk!$BI$500:$BI$923,MATCH($D582,_ENGINE_Risk!$E$500:$E$923,0))*N($H582),0)</f>
        <v>937.5</v>
      </c>
      <c r="L582">
        <f>IFERROR(MIN(5,$K582/MAX(1,_CONFIG_Model_Settings!$B$105)),0)</f>
        <v>5</v>
      </c>
    </row>
    <row r="583" spans="1:12">
      <c r="A583" t="s">
        <v>4135</v>
      </c>
      <c r="B583" t="s">
        <v>4136</v>
      </c>
      <c r="C583" t="s">
        <v>4123</v>
      </c>
      <c r="D583" t="s">
        <v>1700</v>
      </c>
      <c r="E583" t="s">
        <v>1666</v>
      </c>
      <c r="F583" t="s">
        <v>1677</v>
      </c>
      <c r="G583">
        <f>IFERROR(INDEX(_ENGINE_Risk!$BS$500:$BS$923,MATCH($D583,_ENGINE_Risk!$E$500:$E$923,0)),0)</f>
        <v>25.44</v>
      </c>
      <c r="H583">
        <v>1</v>
      </c>
      <c r="I583">
        <f>IFERROR(MAX(0,5-INDEX(_ENGINE_Risk!$H$500:$H$923,MATCH($D583,_ENGINE_Risk!$E$500:$E$923,0))),0)</f>
        <v>5</v>
      </c>
      <c r="J583" t="s">
        <v>11566</v>
      </c>
      <c r="K583">
        <f>IFERROR(INDEX(_ENGINE_Risk!$BI$500:$BI$923,MATCH($D583,_ENGINE_Risk!$E$500:$E$923,0))*N($H583),0)</f>
        <v>937.5</v>
      </c>
      <c r="L583">
        <f>IFERROR(MIN(5,$K583/MAX(1,_CONFIG_Model_Settings!$B$105)),0)</f>
        <v>5</v>
      </c>
    </row>
    <row r="584" spans="1:12">
      <c r="A584" t="s">
        <v>4135</v>
      </c>
      <c r="B584" t="s">
        <v>4136</v>
      </c>
      <c r="C584" t="s">
        <v>4123</v>
      </c>
      <c r="D584" t="s">
        <v>1709</v>
      </c>
      <c r="E584" t="s">
        <v>1666</v>
      </c>
      <c r="F584" t="s">
        <v>1677</v>
      </c>
      <c r="G584">
        <f>IFERROR(INDEX(_ENGINE_Risk!$BS$500:$BS$923,MATCH($D584,_ENGINE_Risk!$E$500:$E$923,0)),0)</f>
        <v>25.44</v>
      </c>
      <c r="H584">
        <v>1</v>
      </c>
      <c r="I584">
        <f>IFERROR(MAX(0,5-INDEX(_ENGINE_Risk!$H$500:$H$923,MATCH($D584,_ENGINE_Risk!$E$500:$E$923,0))),0)</f>
        <v>5</v>
      </c>
      <c r="J584" t="s">
        <v>11566</v>
      </c>
      <c r="K584">
        <f>IFERROR(INDEX(_ENGINE_Risk!$BI$500:$BI$923,MATCH($D584,_ENGINE_Risk!$E$500:$E$923,0))*N($H584),0)</f>
        <v>937.5</v>
      </c>
      <c r="L584">
        <f>IFERROR(MIN(5,$K584/MAX(1,_CONFIG_Model_Settings!$B$105)),0)</f>
        <v>5</v>
      </c>
    </row>
    <row r="585" spans="1:12">
      <c r="A585" t="s">
        <v>4135</v>
      </c>
      <c r="B585" t="s">
        <v>4136</v>
      </c>
      <c r="C585" t="s">
        <v>4123</v>
      </c>
      <c r="D585" t="s">
        <v>1718</v>
      </c>
      <c r="E585" t="s">
        <v>1666</v>
      </c>
      <c r="F585" t="s">
        <v>1677</v>
      </c>
      <c r="G585">
        <f>IFERROR(INDEX(_ENGINE_Risk!$BS$500:$BS$923,MATCH($D585,_ENGINE_Risk!$E$500:$E$923,0)),0)</f>
        <v>25.44</v>
      </c>
      <c r="H585">
        <v>1</v>
      </c>
      <c r="I585">
        <f>IFERROR(MAX(0,5-INDEX(_ENGINE_Risk!$H$500:$H$923,MATCH($D585,_ENGINE_Risk!$E$500:$E$923,0))),0)</f>
        <v>5</v>
      </c>
      <c r="J585" t="s">
        <v>11566</v>
      </c>
      <c r="K585">
        <f>IFERROR(INDEX(_ENGINE_Risk!$BI$500:$BI$923,MATCH($D585,_ENGINE_Risk!$E$500:$E$923,0))*N($H585),0)</f>
        <v>937.5</v>
      </c>
      <c r="L585">
        <f>IFERROR(MIN(5,$K585/MAX(1,_CONFIG_Model_Settings!$B$105)),0)</f>
        <v>5</v>
      </c>
    </row>
    <row r="586" spans="1:12">
      <c r="A586" t="s">
        <v>4135</v>
      </c>
      <c r="B586" t="s">
        <v>4136</v>
      </c>
      <c r="C586" t="s">
        <v>4123</v>
      </c>
      <c r="D586" t="s">
        <v>1727</v>
      </c>
      <c r="E586" t="s">
        <v>1666</v>
      </c>
      <c r="F586" t="s">
        <v>1677</v>
      </c>
      <c r="G586">
        <f>IFERROR(INDEX(_ENGINE_Risk!$BS$500:$BS$923,MATCH($D586,_ENGINE_Risk!$E$500:$E$923,0)),0)</f>
        <v>25.44</v>
      </c>
      <c r="H586">
        <v>1</v>
      </c>
      <c r="I586">
        <f>IFERROR(MAX(0,5-INDEX(_ENGINE_Risk!$H$500:$H$923,MATCH($D586,_ENGINE_Risk!$E$500:$E$923,0))),0)</f>
        <v>5</v>
      </c>
      <c r="J586" t="s">
        <v>11566</v>
      </c>
      <c r="K586">
        <f>IFERROR(INDEX(_ENGINE_Risk!$BI$500:$BI$923,MATCH($D586,_ENGINE_Risk!$E$500:$E$923,0))*N($H586),0)</f>
        <v>937.5</v>
      </c>
      <c r="L586">
        <f>IFERROR(MIN(5,$K586/MAX(1,_CONFIG_Model_Settings!$B$105)),0)</f>
        <v>5</v>
      </c>
    </row>
    <row r="587" spans="1:12">
      <c r="A587" t="s">
        <v>4142</v>
      </c>
      <c r="B587" t="s">
        <v>4143</v>
      </c>
      <c r="C587" t="s">
        <v>4123</v>
      </c>
      <c r="D587" t="s">
        <v>1736</v>
      </c>
      <c r="E587" t="s">
        <v>1666</v>
      </c>
      <c r="F587" t="s">
        <v>1681</v>
      </c>
      <c r="G587">
        <f>IFERROR(INDEX(_ENGINE_Risk!$BS$500:$BS$923,MATCH($D587,_ENGINE_Risk!$E$500:$E$923,0)),0)</f>
        <v>10.18</v>
      </c>
      <c r="H587">
        <v>1</v>
      </c>
      <c r="I587">
        <f>IFERROR(MAX(0,5-INDEX(_ENGINE_Risk!$H$500:$H$923,MATCH($D587,_ENGINE_Risk!$E$500:$E$923,0))),0)</f>
        <v>5</v>
      </c>
      <c r="J587" t="s">
        <v>11566</v>
      </c>
      <c r="K587">
        <f>IFERROR(INDEX(_ENGINE_Risk!$BI$500:$BI$923,MATCH($D587,_ENGINE_Risk!$E$500:$E$923,0))*N($H587),0)</f>
        <v>937.5</v>
      </c>
      <c r="L587">
        <f>IFERROR(MIN(5,$K587/MAX(1,_CONFIG_Model_Settings!$B$105)),0)</f>
        <v>5</v>
      </c>
    </row>
    <row r="588" spans="1:12">
      <c r="A588" t="s">
        <v>4142</v>
      </c>
      <c r="B588" t="s">
        <v>4143</v>
      </c>
      <c r="C588" t="s">
        <v>4123</v>
      </c>
      <c r="D588" t="s">
        <v>1745</v>
      </c>
      <c r="E588" t="s">
        <v>1666</v>
      </c>
      <c r="F588" t="s">
        <v>1681</v>
      </c>
      <c r="G588">
        <f>IFERROR(INDEX(_ENGINE_Risk!$BS$500:$BS$923,MATCH($D588,_ENGINE_Risk!$E$500:$E$923,0)),0)</f>
        <v>10.18</v>
      </c>
      <c r="H588">
        <v>1</v>
      </c>
      <c r="I588">
        <f>IFERROR(MAX(0,5-INDEX(_ENGINE_Risk!$H$500:$H$923,MATCH($D588,_ENGINE_Risk!$E$500:$E$923,0))),0)</f>
        <v>5</v>
      </c>
      <c r="J588" t="s">
        <v>11566</v>
      </c>
      <c r="K588">
        <f>IFERROR(INDEX(_ENGINE_Risk!$BI$500:$BI$923,MATCH($D588,_ENGINE_Risk!$E$500:$E$923,0))*N($H588),0)</f>
        <v>937.5</v>
      </c>
      <c r="L588">
        <f>IFERROR(MIN(5,$K588/MAX(1,_CONFIG_Model_Settings!$B$105)),0)</f>
        <v>5</v>
      </c>
    </row>
    <row r="589" spans="1:12">
      <c r="A589" t="s">
        <v>4142</v>
      </c>
      <c r="B589" t="s">
        <v>4143</v>
      </c>
      <c r="C589" t="s">
        <v>4123</v>
      </c>
      <c r="D589" t="s">
        <v>1754</v>
      </c>
      <c r="E589" t="s">
        <v>1666</v>
      </c>
      <c r="F589" t="s">
        <v>1681</v>
      </c>
      <c r="G589">
        <f>IFERROR(INDEX(_ENGINE_Risk!$BS$500:$BS$923,MATCH($D589,_ENGINE_Risk!$E$500:$E$923,0)),0)</f>
        <v>10.18</v>
      </c>
      <c r="H589">
        <v>1</v>
      </c>
      <c r="I589">
        <f>IFERROR(MAX(0,5-INDEX(_ENGINE_Risk!$H$500:$H$923,MATCH($D589,_ENGINE_Risk!$E$500:$E$923,0))),0)</f>
        <v>5</v>
      </c>
      <c r="J589" t="s">
        <v>11566</v>
      </c>
      <c r="K589">
        <f>IFERROR(INDEX(_ENGINE_Risk!$BI$500:$BI$923,MATCH($D589,_ENGINE_Risk!$E$500:$E$923,0))*N($H589),0)</f>
        <v>937.5</v>
      </c>
      <c r="L589">
        <f>IFERROR(MIN(5,$K589/MAX(1,_CONFIG_Model_Settings!$B$105)),0)</f>
        <v>5</v>
      </c>
    </row>
    <row r="590" spans="1:12">
      <c r="A590" t="s">
        <v>4142</v>
      </c>
      <c r="B590" t="s">
        <v>4143</v>
      </c>
      <c r="C590" t="s">
        <v>4123</v>
      </c>
      <c r="D590" t="s">
        <v>1763</v>
      </c>
      <c r="E590" t="s">
        <v>1666</v>
      </c>
      <c r="F590" t="s">
        <v>1681</v>
      </c>
      <c r="G590">
        <f>IFERROR(INDEX(_ENGINE_Risk!$BS$500:$BS$923,MATCH($D590,_ENGINE_Risk!$E$500:$E$923,0)),0)</f>
        <v>10.18</v>
      </c>
      <c r="H590">
        <v>1</v>
      </c>
      <c r="I590">
        <f>IFERROR(MAX(0,5-INDEX(_ENGINE_Risk!$H$500:$H$923,MATCH($D590,_ENGINE_Risk!$E$500:$E$923,0))),0)</f>
        <v>5</v>
      </c>
      <c r="J590" t="s">
        <v>11566</v>
      </c>
      <c r="K590">
        <f>IFERROR(INDEX(_ENGINE_Risk!$BI$500:$BI$923,MATCH($D590,_ENGINE_Risk!$E$500:$E$923,0))*N($H590),0)</f>
        <v>937.5</v>
      </c>
      <c r="L590">
        <f>IFERROR(MIN(5,$K590/MAX(1,_CONFIG_Model_Settings!$B$105)),0)</f>
        <v>5</v>
      </c>
    </row>
    <row r="591" spans="1:12">
      <c r="A591" t="s">
        <v>4142</v>
      </c>
      <c r="B591" t="s">
        <v>4143</v>
      </c>
      <c r="C591" t="s">
        <v>4123</v>
      </c>
      <c r="D591" t="s">
        <v>1766</v>
      </c>
      <c r="E591" t="s">
        <v>1666</v>
      </c>
      <c r="F591" t="s">
        <v>1681</v>
      </c>
      <c r="G591">
        <f>IFERROR(INDEX(_ENGINE_Risk!$BS$500:$BS$923,MATCH($D591,_ENGINE_Risk!$E$500:$E$923,0)),0)</f>
        <v>10.18</v>
      </c>
      <c r="H591">
        <v>1</v>
      </c>
      <c r="I591">
        <f>IFERROR(MAX(0,5-INDEX(_ENGINE_Risk!$H$500:$H$923,MATCH($D591,_ENGINE_Risk!$E$500:$E$923,0))),0)</f>
        <v>5</v>
      </c>
      <c r="J591" t="s">
        <v>11566</v>
      </c>
      <c r="K591">
        <f>IFERROR(INDEX(_ENGINE_Risk!$BI$500:$BI$923,MATCH($D591,_ENGINE_Risk!$E$500:$E$923,0))*N($H591),0)</f>
        <v>937.5</v>
      </c>
      <c r="L591">
        <f>IFERROR(MIN(5,$K591/MAX(1,_CONFIG_Model_Settings!$B$105)),0)</f>
        <v>5</v>
      </c>
    </row>
    <row r="592" spans="1:12">
      <c r="A592" t="s">
        <v>4142</v>
      </c>
      <c r="B592" t="s">
        <v>4143</v>
      </c>
      <c r="C592" t="s">
        <v>4123</v>
      </c>
      <c r="D592" t="s">
        <v>1775</v>
      </c>
      <c r="E592" t="s">
        <v>1666</v>
      </c>
      <c r="F592" t="s">
        <v>1681</v>
      </c>
      <c r="G592">
        <f>IFERROR(INDEX(_ENGINE_Risk!$BS$500:$BS$923,MATCH($D592,_ENGINE_Risk!$E$500:$E$923,0)),0)</f>
        <v>10.18</v>
      </c>
      <c r="H592">
        <v>1</v>
      </c>
      <c r="I592">
        <f>IFERROR(MAX(0,5-INDEX(_ENGINE_Risk!$H$500:$H$923,MATCH($D592,_ENGINE_Risk!$E$500:$E$923,0))),0)</f>
        <v>5</v>
      </c>
      <c r="J592" t="s">
        <v>11566</v>
      </c>
      <c r="K592">
        <f>IFERROR(INDEX(_ENGINE_Risk!$BI$500:$BI$923,MATCH($D592,_ENGINE_Risk!$E$500:$E$923,0))*N($H592),0)</f>
        <v>937.5</v>
      </c>
      <c r="L592">
        <f>IFERROR(MIN(5,$K592/MAX(1,_CONFIG_Model_Settings!$B$105)),0)</f>
        <v>5</v>
      </c>
    </row>
    <row r="593" spans="1:12">
      <c r="A593" t="s">
        <v>4149</v>
      </c>
      <c r="B593" t="s">
        <v>4150</v>
      </c>
      <c r="C593" t="s">
        <v>4123</v>
      </c>
      <c r="D593" t="s">
        <v>1784</v>
      </c>
      <c r="E593" t="s">
        <v>1666</v>
      </c>
      <c r="F593" t="s">
        <v>1685</v>
      </c>
      <c r="G593">
        <f>IFERROR(INDEX(_ENGINE_Risk!$BS$500:$BS$923,MATCH($D593,_ENGINE_Risk!$E$500:$E$923,0)),0)</f>
        <v>25.44</v>
      </c>
      <c r="H593">
        <v>1</v>
      </c>
      <c r="I593">
        <f>IFERROR(MAX(0,5-INDEX(_ENGINE_Risk!$H$500:$H$923,MATCH($D593,_ENGINE_Risk!$E$500:$E$923,0))),0)</f>
        <v>5</v>
      </c>
      <c r="J593" t="s">
        <v>11566</v>
      </c>
      <c r="K593">
        <f>IFERROR(INDEX(_ENGINE_Risk!$BI$500:$BI$923,MATCH($D593,_ENGINE_Risk!$E$500:$E$923,0))*N($H593),0)</f>
        <v>937.5</v>
      </c>
      <c r="L593">
        <f>IFERROR(MIN(5,$K593/MAX(1,_CONFIG_Model_Settings!$B$105)),0)</f>
        <v>5</v>
      </c>
    </row>
    <row r="594" spans="1:12">
      <c r="A594" t="s">
        <v>4149</v>
      </c>
      <c r="B594" t="s">
        <v>4150</v>
      </c>
      <c r="C594" t="s">
        <v>4123</v>
      </c>
      <c r="D594" t="s">
        <v>1793</v>
      </c>
      <c r="E594" t="s">
        <v>1666</v>
      </c>
      <c r="F594" t="s">
        <v>1685</v>
      </c>
      <c r="G594">
        <f>IFERROR(INDEX(_ENGINE_Risk!$BS$500:$BS$923,MATCH($D594,_ENGINE_Risk!$E$500:$E$923,0)),0)</f>
        <v>25.44</v>
      </c>
      <c r="H594">
        <v>1</v>
      </c>
      <c r="I594">
        <f>IFERROR(MAX(0,5-INDEX(_ENGINE_Risk!$H$500:$H$923,MATCH($D594,_ENGINE_Risk!$E$500:$E$923,0))),0)</f>
        <v>5</v>
      </c>
      <c r="J594" t="s">
        <v>11566</v>
      </c>
      <c r="K594">
        <f>IFERROR(INDEX(_ENGINE_Risk!$BI$500:$BI$923,MATCH($D594,_ENGINE_Risk!$E$500:$E$923,0))*N($H594),0)</f>
        <v>937.5</v>
      </c>
      <c r="L594">
        <f>IFERROR(MIN(5,$K594/MAX(1,_CONFIG_Model_Settings!$B$105)),0)</f>
        <v>5</v>
      </c>
    </row>
    <row r="595" spans="1:12">
      <c r="A595" t="s">
        <v>4149</v>
      </c>
      <c r="B595" t="s">
        <v>4150</v>
      </c>
      <c r="C595" t="s">
        <v>4123</v>
      </c>
      <c r="D595" t="s">
        <v>1796</v>
      </c>
      <c r="E595" t="s">
        <v>1666</v>
      </c>
      <c r="F595" t="s">
        <v>1685</v>
      </c>
      <c r="G595">
        <f>IFERROR(INDEX(_ENGINE_Risk!$BS$500:$BS$923,MATCH($D595,_ENGINE_Risk!$E$500:$E$923,0)),0)</f>
        <v>25.44</v>
      </c>
      <c r="H595">
        <v>1</v>
      </c>
      <c r="I595">
        <f>IFERROR(MAX(0,5-INDEX(_ENGINE_Risk!$H$500:$H$923,MATCH($D595,_ENGINE_Risk!$E$500:$E$923,0))),0)</f>
        <v>5</v>
      </c>
      <c r="J595" t="s">
        <v>11566</v>
      </c>
      <c r="K595">
        <f>IFERROR(INDEX(_ENGINE_Risk!$BI$500:$BI$923,MATCH($D595,_ENGINE_Risk!$E$500:$E$923,0))*N($H595),0)</f>
        <v>937.5</v>
      </c>
      <c r="L595">
        <f>IFERROR(MIN(5,$K595/MAX(1,_CONFIG_Model_Settings!$B$105)),0)</f>
        <v>5</v>
      </c>
    </row>
    <row r="596" spans="1:12">
      <c r="A596" t="s">
        <v>4149</v>
      </c>
      <c r="B596" t="s">
        <v>4150</v>
      </c>
      <c r="C596" t="s">
        <v>4123</v>
      </c>
      <c r="D596" t="s">
        <v>1799</v>
      </c>
      <c r="E596" t="s">
        <v>1666</v>
      </c>
      <c r="F596" t="s">
        <v>1685</v>
      </c>
      <c r="G596">
        <f>IFERROR(INDEX(_ENGINE_Risk!$BS$500:$BS$923,MATCH($D596,_ENGINE_Risk!$E$500:$E$923,0)),0)</f>
        <v>25.44</v>
      </c>
      <c r="H596">
        <v>1</v>
      </c>
      <c r="I596">
        <f>IFERROR(MAX(0,5-INDEX(_ENGINE_Risk!$H$500:$H$923,MATCH($D596,_ENGINE_Risk!$E$500:$E$923,0))),0)</f>
        <v>5</v>
      </c>
      <c r="J596" t="s">
        <v>11566</v>
      </c>
      <c r="K596">
        <f>IFERROR(INDEX(_ENGINE_Risk!$BI$500:$BI$923,MATCH($D596,_ENGINE_Risk!$E$500:$E$923,0))*N($H596),0)</f>
        <v>937.5</v>
      </c>
      <c r="L596">
        <f>IFERROR(MIN(5,$K596/MAX(1,_CONFIG_Model_Settings!$B$105)),0)</f>
        <v>5</v>
      </c>
    </row>
    <row r="597" spans="1:12">
      <c r="A597" t="s">
        <v>4149</v>
      </c>
      <c r="B597" t="s">
        <v>4150</v>
      </c>
      <c r="C597" t="s">
        <v>4123</v>
      </c>
      <c r="D597" t="s">
        <v>1802</v>
      </c>
      <c r="E597" t="s">
        <v>1666</v>
      </c>
      <c r="F597" t="s">
        <v>1685</v>
      </c>
      <c r="G597">
        <f>IFERROR(INDEX(_ENGINE_Risk!$BS$500:$BS$923,MATCH($D597,_ENGINE_Risk!$E$500:$E$923,0)),0)</f>
        <v>25.44</v>
      </c>
      <c r="H597">
        <v>1</v>
      </c>
      <c r="I597">
        <f>IFERROR(MAX(0,5-INDEX(_ENGINE_Risk!$H$500:$H$923,MATCH($D597,_ENGINE_Risk!$E$500:$E$923,0))),0)</f>
        <v>5</v>
      </c>
      <c r="J597" t="s">
        <v>11566</v>
      </c>
      <c r="K597">
        <f>IFERROR(INDEX(_ENGINE_Risk!$BI$500:$BI$923,MATCH($D597,_ENGINE_Risk!$E$500:$E$923,0))*N($H597),0)</f>
        <v>937.5</v>
      </c>
      <c r="L597">
        <f>IFERROR(MIN(5,$K597/MAX(1,_CONFIG_Model_Settings!$B$105)),0)</f>
        <v>5</v>
      </c>
    </row>
    <row r="598" spans="1:12">
      <c r="A598" t="s">
        <v>4156</v>
      </c>
      <c r="B598" t="s">
        <v>4157</v>
      </c>
      <c r="C598" t="s">
        <v>4123</v>
      </c>
      <c r="D598" t="s">
        <v>1811</v>
      </c>
      <c r="E598" t="s">
        <v>1666</v>
      </c>
      <c r="F598" t="s">
        <v>1689</v>
      </c>
      <c r="G598">
        <f>IFERROR(INDEX(_ENGINE_Risk!$BS$500:$BS$923,MATCH($D598,_ENGINE_Risk!$E$500:$E$923,0)),0)</f>
        <v>25.44</v>
      </c>
      <c r="H598">
        <v>1</v>
      </c>
      <c r="I598">
        <f>IFERROR(MAX(0,5-INDEX(_ENGINE_Risk!$H$500:$H$923,MATCH($D598,_ENGINE_Risk!$E$500:$E$923,0))),0)</f>
        <v>5</v>
      </c>
      <c r="J598" t="s">
        <v>11566</v>
      </c>
      <c r="K598">
        <f>IFERROR(INDEX(_ENGINE_Risk!$BI$500:$BI$923,MATCH($D598,_ENGINE_Risk!$E$500:$E$923,0))*N($H598),0)</f>
        <v>937.5</v>
      </c>
      <c r="L598">
        <f>IFERROR(MIN(5,$K598/MAX(1,_CONFIG_Model_Settings!$B$105)),0)</f>
        <v>5</v>
      </c>
    </row>
    <row r="599" spans="1:12">
      <c r="A599" t="s">
        <v>4156</v>
      </c>
      <c r="B599" t="s">
        <v>4157</v>
      </c>
      <c r="C599" t="s">
        <v>4123</v>
      </c>
      <c r="D599" t="s">
        <v>1814</v>
      </c>
      <c r="E599" t="s">
        <v>1666</v>
      </c>
      <c r="F599" t="s">
        <v>1689</v>
      </c>
      <c r="G599">
        <f>IFERROR(INDEX(_ENGINE_Risk!$BS$500:$BS$923,MATCH($D599,_ENGINE_Risk!$E$500:$E$923,0)),0)</f>
        <v>25.44</v>
      </c>
      <c r="H599">
        <v>1</v>
      </c>
      <c r="I599">
        <f>IFERROR(MAX(0,5-INDEX(_ENGINE_Risk!$H$500:$H$923,MATCH($D599,_ENGINE_Risk!$E$500:$E$923,0))),0)</f>
        <v>5</v>
      </c>
      <c r="J599" t="s">
        <v>11566</v>
      </c>
      <c r="K599">
        <f>IFERROR(INDEX(_ENGINE_Risk!$BI$500:$BI$923,MATCH($D599,_ENGINE_Risk!$E$500:$E$923,0))*N($H599),0)</f>
        <v>937.5</v>
      </c>
      <c r="L599">
        <f>IFERROR(MIN(5,$K599/MAX(1,_CONFIG_Model_Settings!$B$105)),0)</f>
        <v>5</v>
      </c>
    </row>
    <row r="600" spans="1:12">
      <c r="A600" t="s">
        <v>4156</v>
      </c>
      <c r="B600" t="s">
        <v>4157</v>
      </c>
      <c r="C600" t="s">
        <v>4123</v>
      </c>
      <c r="D600" t="s">
        <v>1817</v>
      </c>
      <c r="E600" t="s">
        <v>1666</v>
      </c>
      <c r="F600" t="s">
        <v>1689</v>
      </c>
      <c r="G600">
        <f>IFERROR(INDEX(_ENGINE_Risk!$BS$500:$BS$923,MATCH($D600,_ENGINE_Risk!$E$500:$E$923,0)),0)</f>
        <v>25.44</v>
      </c>
      <c r="H600">
        <v>1</v>
      </c>
      <c r="I600">
        <f>IFERROR(MAX(0,5-INDEX(_ENGINE_Risk!$H$500:$H$923,MATCH($D600,_ENGINE_Risk!$E$500:$E$923,0))),0)</f>
        <v>5</v>
      </c>
      <c r="J600" t="s">
        <v>11566</v>
      </c>
      <c r="K600">
        <f>IFERROR(INDEX(_ENGINE_Risk!$BI$500:$BI$923,MATCH($D600,_ENGINE_Risk!$E$500:$E$923,0))*N($H600),0)</f>
        <v>937.5</v>
      </c>
      <c r="L600">
        <f>IFERROR(MIN(5,$K600/MAX(1,_CONFIG_Model_Settings!$B$105)),0)</f>
        <v>5</v>
      </c>
    </row>
    <row r="601" spans="1:12">
      <c r="A601" t="s">
        <v>4156</v>
      </c>
      <c r="B601" t="s">
        <v>4157</v>
      </c>
      <c r="C601" t="s">
        <v>4123</v>
      </c>
      <c r="D601" t="s">
        <v>1820</v>
      </c>
      <c r="E601" t="s">
        <v>1666</v>
      </c>
      <c r="F601" t="s">
        <v>1689</v>
      </c>
      <c r="G601">
        <f>IFERROR(INDEX(_ENGINE_Risk!$BS$500:$BS$923,MATCH($D601,_ENGINE_Risk!$E$500:$E$923,0)),0)</f>
        <v>25.44</v>
      </c>
      <c r="H601">
        <v>1</v>
      </c>
      <c r="I601">
        <f>IFERROR(MAX(0,5-INDEX(_ENGINE_Risk!$H$500:$H$923,MATCH($D601,_ENGINE_Risk!$E$500:$E$923,0))),0)</f>
        <v>5</v>
      </c>
      <c r="J601" t="s">
        <v>11566</v>
      </c>
      <c r="K601">
        <f>IFERROR(INDEX(_ENGINE_Risk!$BI$500:$BI$923,MATCH($D601,_ENGINE_Risk!$E$500:$E$923,0))*N($H601),0)</f>
        <v>937.5</v>
      </c>
      <c r="L601">
        <f>IFERROR(MIN(5,$K601/MAX(1,_CONFIG_Model_Settings!$B$105)),0)</f>
        <v>5</v>
      </c>
    </row>
    <row r="602" spans="1:12">
      <c r="A602" t="s">
        <v>4156</v>
      </c>
      <c r="B602" t="s">
        <v>4157</v>
      </c>
      <c r="C602" t="s">
        <v>4123</v>
      </c>
      <c r="D602" t="s">
        <v>1823</v>
      </c>
      <c r="E602" t="s">
        <v>1666</v>
      </c>
      <c r="F602" t="s">
        <v>1689</v>
      </c>
      <c r="G602">
        <f>IFERROR(INDEX(_ENGINE_Risk!$BS$500:$BS$923,MATCH($D602,_ENGINE_Risk!$E$500:$E$923,0)),0)</f>
        <v>25.44</v>
      </c>
      <c r="H602">
        <v>1</v>
      </c>
      <c r="I602">
        <f>IFERROR(MAX(0,5-INDEX(_ENGINE_Risk!$H$500:$H$923,MATCH($D602,_ENGINE_Risk!$E$500:$E$923,0))),0)</f>
        <v>5</v>
      </c>
      <c r="J602" t="s">
        <v>11566</v>
      </c>
      <c r="K602">
        <f>IFERROR(INDEX(_ENGINE_Risk!$BI$500:$BI$923,MATCH($D602,_ENGINE_Risk!$E$500:$E$923,0))*N($H602),0)</f>
        <v>937.5</v>
      </c>
      <c r="L602">
        <f>IFERROR(MIN(5,$K602/MAX(1,_CONFIG_Model_Settings!$B$105)),0)</f>
        <v>5</v>
      </c>
    </row>
    <row r="603" spans="1:12">
      <c r="A603" t="s">
        <v>4163</v>
      </c>
      <c r="B603" t="s">
        <v>4166</v>
      </c>
      <c r="C603" t="s">
        <v>4165</v>
      </c>
      <c r="D603" t="s">
        <v>1860</v>
      </c>
      <c r="E603" t="s">
        <v>1859</v>
      </c>
      <c r="F603" t="s">
        <v>1861</v>
      </c>
      <c r="G603">
        <f>IFERROR(INDEX(_ENGINE_Risk!$BS$500:$BS$923,MATCH($D603,_ENGINE_Risk!$E$500:$E$923,0)),0)</f>
        <v>20.13</v>
      </c>
      <c r="H603">
        <v>1</v>
      </c>
      <c r="I603">
        <f>IFERROR(MAX(0,5-INDEX(_ENGINE_Risk!$H$500:$H$923,MATCH($D603,_ENGINE_Risk!$E$500:$E$923,0))),0)</f>
        <v>5</v>
      </c>
      <c r="J603" t="s">
        <v>11566</v>
      </c>
      <c r="K603">
        <f>IFERROR(INDEX(_ENGINE_Risk!$BI$500:$BI$923,MATCH($D603,_ENGINE_Risk!$E$500:$E$923,0))*N($H603),0)</f>
        <v>437.5</v>
      </c>
      <c r="L603">
        <f>IFERROR(MIN(5,$K603/MAX(1,_CONFIG_Model_Settings!$B$105)),0)</f>
        <v>5</v>
      </c>
    </row>
    <row r="604" spans="1:12">
      <c r="A604" t="s">
        <v>4163</v>
      </c>
      <c r="B604" t="s">
        <v>4166</v>
      </c>
      <c r="C604" t="s">
        <v>4165</v>
      </c>
      <c r="D604" t="s">
        <v>1867</v>
      </c>
      <c r="E604" t="s">
        <v>1859</v>
      </c>
      <c r="F604" t="s">
        <v>1861</v>
      </c>
      <c r="G604">
        <f>IFERROR(INDEX(_ENGINE_Risk!$BS$500:$BS$923,MATCH($D604,_ENGINE_Risk!$E$500:$E$923,0)),0)</f>
        <v>20.13</v>
      </c>
      <c r="H604">
        <v>1</v>
      </c>
      <c r="I604">
        <f>IFERROR(MAX(0,5-INDEX(_ENGINE_Risk!$H$500:$H$923,MATCH($D604,_ENGINE_Risk!$E$500:$E$923,0))),0)</f>
        <v>5</v>
      </c>
      <c r="J604" t="s">
        <v>11566</v>
      </c>
      <c r="K604">
        <f>IFERROR(INDEX(_ENGINE_Risk!$BI$500:$BI$923,MATCH($D604,_ENGINE_Risk!$E$500:$E$923,0))*N($H604),0)</f>
        <v>437.5</v>
      </c>
      <c r="L604">
        <f>IFERROR(MIN(5,$K604/MAX(1,_CONFIG_Model_Settings!$B$105)),0)</f>
        <v>5</v>
      </c>
    </row>
    <row r="605" spans="1:12">
      <c r="A605" t="s">
        <v>4163</v>
      </c>
      <c r="B605" t="s">
        <v>4166</v>
      </c>
      <c r="C605" t="s">
        <v>4165</v>
      </c>
      <c r="D605" t="s">
        <v>1871</v>
      </c>
      <c r="E605" t="s">
        <v>1859</v>
      </c>
      <c r="F605" t="s">
        <v>1861</v>
      </c>
      <c r="G605">
        <f>IFERROR(INDEX(_ENGINE_Risk!$BS$500:$BS$923,MATCH($D605,_ENGINE_Risk!$E$500:$E$923,0)),0)</f>
        <v>19.2</v>
      </c>
      <c r="H605">
        <v>1</v>
      </c>
      <c r="I605">
        <f>IFERROR(MAX(0,5-INDEX(_ENGINE_Risk!$H$500:$H$923,MATCH($D605,_ENGINE_Risk!$E$500:$E$923,0))),0)</f>
        <v>5</v>
      </c>
      <c r="J605" t="s">
        <v>11566</v>
      </c>
      <c r="K605">
        <f>IFERROR(INDEX(_ENGINE_Risk!$BI$500:$BI$923,MATCH($D605,_ENGINE_Risk!$E$500:$E$923,0))*N($H605),0)</f>
        <v>437.5</v>
      </c>
      <c r="L605">
        <f>IFERROR(MIN(5,$K605/MAX(1,_CONFIG_Model_Settings!$B$105)),0)</f>
        <v>5</v>
      </c>
    </row>
    <row r="606" spans="1:12">
      <c r="A606" t="s">
        <v>4163</v>
      </c>
      <c r="B606" t="s">
        <v>4166</v>
      </c>
      <c r="C606" t="s">
        <v>4165</v>
      </c>
      <c r="D606" t="s">
        <v>1881</v>
      </c>
      <c r="E606" t="s">
        <v>1859</v>
      </c>
      <c r="F606" t="s">
        <v>1861</v>
      </c>
      <c r="G606">
        <f>IFERROR(INDEX(_ENGINE_Risk!$BS$500:$BS$923,MATCH($D606,_ENGINE_Risk!$E$500:$E$923,0)),0)</f>
        <v>20.13</v>
      </c>
      <c r="H606">
        <v>1</v>
      </c>
      <c r="I606">
        <f>IFERROR(MAX(0,5-INDEX(_ENGINE_Risk!$H$500:$H$923,MATCH($D606,_ENGINE_Risk!$E$500:$E$923,0))),0)</f>
        <v>5</v>
      </c>
      <c r="J606" t="s">
        <v>11566</v>
      </c>
      <c r="K606">
        <f>IFERROR(INDEX(_ENGINE_Risk!$BI$500:$BI$923,MATCH($D606,_ENGINE_Risk!$E$500:$E$923,0))*N($H606),0)</f>
        <v>437.5</v>
      </c>
      <c r="L606">
        <f>IFERROR(MIN(5,$K606/MAX(1,_CONFIG_Model_Settings!$B$105)),0)</f>
        <v>5</v>
      </c>
    </row>
    <row r="607" spans="1:12">
      <c r="A607" t="s">
        <v>4163</v>
      </c>
      <c r="B607" t="s">
        <v>4166</v>
      </c>
      <c r="C607" t="s">
        <v>4165</v>
      </c>
      <c r="D607" t="s">
        <v>1885</v>
      </c>
      <c r="E607" t="s">
        <v>1859</v>
      </c>
      <c r="F607" t="s">
        <v>1861</v>
      </c>
      <c r="G607">
        <f>IFERROR(INDEX(_ENGINE_Risk!$BS$500:$BS$923,MATCH($D607,_ENGINE_Risk!$E$500:$E$923,0)),0)</f>
        <v>19.2</v>
      </c>
      <c r="H607">
        <v>1</v>
      </c>
      <c r="I607">
        <f>IFERROR(MAX(0,5-INDEX(_ENGINE_Risk!$H$500:$H$923,MATCH($D607,_ENGINE_Risk!$E$500:$E$923,0))),0)</f>
        <v>5</v>
      </c>
      <c r="J607" t="s">
        <v>11566</v>
      </c>
      <c r="K607">
        <f>IFERROR(INDEX(_ENGINE_Risk!$BI$500:$BI$923,MATCH($D607,_ENGINE_Risk!$E$500:$E$923,0))*N($H607),0)</f>
        <v>437.5</v>
      </c>
      <c r="L607">
        <f>IFERROR(MIN(5,$K607/MAX(1,_CONFIG_Model_Settings!$B$105)),0)</f>
        <v>5</v>
      </c>
    </row>
    <row r="608" spans="1:12">
      <c r="A608" t="s">
        <v>4163</v>
      </c>
      <c r="B608" t="s">
        <v>4166</v>
      </c>
      <c r="C608" t="s">
        <v>4165</v>
      </c>
      <c r="D608" t="s">
        <v>1894</v>
      </c>
      <c r="E608" t="s">
        <v>1859</v>
      </c>
      <c r="F608" t="s">
        <v>1861</v>
      </c>
      <c r="G608">
        <f>IFERROR(INDEX(_ENGINE_Risk!$BS$500:$BS$923,MATCH($D608,_ENGINE_Risk!$E$500:$E$923,0)),0)</f>
        <v>20.13</v>
      </c>
      <c r="H608">
        <v>1</v>
      </c>
      <c r="I608">
        <f>IFERROR(MAX(0,5-INDEX(_ENGINE_Risk!$H$500:$H$923,MATCH($D608,_ENGINE_Risk!$E$500:$E$923,0))),0)</f>
        <v>5</v>
      </c>
      <c r="J608" t="s">
        <v>11566</v>
      </c>
      <c r="K608">
        <f>IFERROR(INDEX(_ENGINE_Risk!$BI$500:$BI$923,MATCH($D608,_ENGINE_Risk!$E$500:$E$923,0))*N($H608),0)</f>
        <v>437.5</v>
      </c>
      <c r="L608">
        <f>IFERROR(MIN(5,$K608/MAX(1,_CONFIG_Model_Settings!$B$105)),0)</f>
        <v>5</v>
      </c>
    </row>
    <row r="609" spans="1:12">
      <c r="A609" t="s">
        <v>4177</v>
      </c>
      <c r="B609" t="s">
        <v>4178</v>
      </c>
      <c r="C609" t="s">
        <v>4165</v>
      </c>
      <c r="D609" t="s">
        <v>1897</v>
      </c>
      <c r="E609" t="s">
        <v>1859</v>
      </c>
      <c r="F609" t="s">
        <v>1870</v>
      </c>
      <c r="G609">
        <f>IFERROR(INDEX(_ENGINE_Risk!$BS$500:$BS$923,MATCH($D609,_ENGINE_Risk!$E$500:$E$923,0)),0)</f>
        <v>20.81</v>
      </c>
      <c r="H609">
        <v>1</v>
      </c>
      <c r="I609">
        <f>IFERROR(MAX(0,5-INDEX(_ENGINE_Risk!$H$500:$H$923,MATCH($D609,_ENGINE_Risk!$E$500:$E$923,0))),0)</f>
        <v>5</v>
      </c>
      <c r="J609" t="s">
        <v>11566</v>
      </c>
      <c r="K609">
        <f>IFERROR(INDEX(_ENGINE_Risk!$BI$500:$BI$923,MATCH($D609,_ENGINE_Risk!$E$500:$E$923,0))*N($H609),0)</f>
        <v>937.5</v>
      </c>
      <c r="L609">
        <f>IFERROR(MIN(5,$K609/MAX(1,_CONFIG_Model_Settings!$B$105)),0)</f>
        <v>5</v>
      </c>
    </row>
    <row r="610" spans="1:12">
      <c r="A610" t="s">
        <v>4177</v>
      </c>
      <c r="B610" t="s">
        <v>4178</v>
      </c>
      <c r="C610" t="s">
        <v>4165</v>
      </c>
      <c r="D610" t="s">
        <v>1900</v>
      </c>
      <c r="E610" t="s">
        <v>1859</v>
      </c>
      <c r="F610" t="s">
        <v>1870</v>
      </c>
      <c r="G610">
        <f>IFERROR(INDEX(_ENGINE_Risk!$BS$500:$BS$923,MATCH($D610,_ENGINE_Risk!$E$500:$E$923,0)),0)</f>
        <v>20.13</v>
      </c>
      <c r="H610">
        <v>1</v>
      </c>
      <c r="I610">
        <f>IFERROR(MAX(0,5-INDEX(_ENGINE_Risk!$H$500:$H$923,MATCH($D610,_ENGINE_Risk!$E$500:$E$923,0))),0)</f>
        <v>5</v>
      </c>
      <c r="J610" t="s">
        <v>11566</v>
      </c>
      <c r="K610">
        <f>IFERROR(INDEX(_ENGINE_Risk!$BI$500:$BI$923,MATCH($D610,_ENGINE_Risk!$E$500:$E$923,0))*N($H610),0)</f>
        <v>437.5</v>
      </c>
      <c r="L610">
        <f>IFERROR(MIN(5,$K610/MAX(1,_CONFIG_Model_Settings!$B$105)),0)</f>
        <v>5</v>
      </c>
    </row>
    <row r="611" spans="1:12">
      <c r="A611" t="s">
        <v>4177</v>
      </c>
      <c r="B611" t="s">
        <v>4178</v>
      </c>
      <c r="C611" t="s">
        <v>4165</v>
      </c>
      <c r="D611" t="s">
        <v>1903</v>
      </c>
      <c r="E611" t="s">
        <v>1859</v>
      </c>
      <c r="F611" t="s">
        <v>1870</v>
      </c>
      <c r="G611">
        <f>IFERROR(INDEX(_ENGINE_Risk!$BS$500:$BS$923,MATCH($D611,_ENGINE_Risk!$E$500:$E$923,0)),0)</f>
        <v>18.28</v>
      </c>
      <c r="H611">
        <v>1</v>
      </c>
      <c r="I611">
        <f>IFERROR(MAX(0,5-INDEX(_ENGINE_Risk!$H$500:$H$923,MATCH($D611,_ENGINE_Risk!$E$500:$E$923,0))),0)</f>
        <v>5</v>
      </c>
      <c r="J611" t="s">
        <v>11566</v>
      </c>
      <c r="K611">
        <f>IFERROR(INDEX(_ENGINE_Risk!$BI$500:$BI$923,MATCH($D611,_ENGINE_Risk!$E$500:$E$923,0))*N($H611),0)</f>
        <v>437.5</v>
      </c>
      <c r="L611">
        <f>IFERROR(MIN(5,$K611/MAX(1,_CONFIG_Model_Settings!$B$105)),0)</f>
        <v>5</v>
      </c>
    </row>
    <row r="612" spans="1:12">
      <c r="A612" t="s">
        <v>4177</v>
      </c>
      <c r="B612" t="s">
        <v>4178</v>
      </c>
      <c r="C612" t="s">
        <v>4165</v>
      </c>
      <c r="D612" t="s">
        <v>1912</v>
      </c>
      <c r="E612" t="s">
        <v>1859</v>
      </c>
      <c r="F612" t="s">
        <v>1870</v>
      </c>
      <c r="G612">
        <f>IFERROR(INDEX(_ENGINE_Risk!$BS$500:$BS$923,MATCH($D612,_ENGINE_Risk!$E$500:$E$923,0)),0)</f>
        <v>20.13</v>
      </c>
      <c r="H612">
        <v>1</v>
      </c>
      <c r="I612">
        <f>IFERROR(MAX(0,5-INDEX(_ENGINE_Risk!$H$500:$H$923,MATCH($D612,_ENGINE_Risk!$E$500:$E$923,0))),0)</f>
        <v>5</v>
      </c>
      <c r="J612" t="s">
        <v>11566</v>
      </c>
      <c r="K612">
        <f>IFERROR(INDEX(_ENGINE_Risk!$BI$500:$BI$923,MATCH($D612,_ENGINE_Risk!$E$500:$E$923,0))*N($H612),0)</f>
        <v>437.5</v>
      </c>
      <c r="L612">
        <f>IFERROR(MIN(5,$K612/MAX(1,_CONFIG_Model_Settings!$B$105)),0)</f>
        <v>5</v>
      </c>
    </row>
    <row r="613" spans="1:12">
      <c r="A613" t="s">
        <v>4177</v>
      </c>
      <c r="B613" t="s">
        <v>4178</v>
      </c>
      <c r="C613" t="s">
        <v>4165</v>
      </c>
      <c r="D613" t="s">
        <v>1915</v>
      </c>
      <c r="E613" t="s">
        <v>1859</v>
      </c>
      <c r="F613" t="s">
        <v>1870</v>
      </c>
      <c r="G613">
        <f>IFERROR(INDEX(_ENGINE_Risk!$BS$500:$BS$923,MATCH($D613,_ENGINE_Risk!$E$500:$E$923,0)),0)</f>
        <v>20.13</v>
      </c>
      <c r="H613">
        <v>1</v>
      </c>
      <c r="I613">
        <f>IFERROR(MAX(0,5-INDEX(_ENGINE_Risk!$H$500:$H$923,MATCH($D613,_ENGINE_Risk!$E$500:$E$923,0))),0)</f>
        <v>5</v>
      </c>
      <c r="J613" t="s">
        <v>11566</v>
      </c>
      <c r="K613">
        <f>IFERROR(INDEX(_ENGINE_Risk!$BI$500:$BI$923,MATCH($D613,_ENGINE_Risk!$E$500:$E$923,0))*N($H613),0)</f>
        <v>437.5</v>
      </c>
      <c r="L613">
        <f>IFERROR(MIN(5,$K613/MAX(1,_CONFIG_Model_Settings!$B$105)),0)</f>
        <v>5</v>
      </c>
    </row>
    <row r="614" spans="1:12">
      <c r="A614" t="s">
        <v>4177</v>
      </c>
      <c r="B614" t="s">
        <v>4178</v>
      </c>
      <c r="C614" t="s">
        <v>4165</v>
      </c>
      <c r="D614" t="s">
        <v>1918</v>
      </c>
      <c r="E614" t="s">
        <v>1859</v>
      </c>
      <c r="F614" t="s">
        <v>1870</v>
      </c>
      <c r="G614">
        <f>IFERROR(INDEX(_ENGINE_Risk!$BS$500:$BS$923,MATCH($D614,_ENGINE_Risk!$E$500:$E$923,0)),0)</f>
        <v>20.13</v>
      </c>
      <c r="H614">
        <v>1</v>
      </c>
      <c r="I614">
        <f>IFERROR(MAX(0,5-INDEX(_ENGINE_Risk!$H$500:$H$923,MATCH($D614,_ENGINE_Risk!$E$500:$E$923,0))),0)</f>
        <v>5</v>
      </c>
      <c r="J614" t="s">
        <v>11566</v>
      </c>
      <c r="K614">
        <f>IFERROR(INDEX(_ENGINE_Risk!$BI$500:$BI$923,MATCH($D614,_ENGINE_Risk!$E$500:$E$923,0))*N($H614),0)</f>
        <v>437.5</v>
      </c>
      <c r="L614">
        <f>IFERROR(MIN(5,$K614/MAX(1,_CONFIG_Model_Settings!$B$105)),0)</f>
        <v>5</v>
      </c>
    </row>
    <row r="615" spans="1:12">
      <c r="A615" t="s">
        <v>4184</v>
      </c>
      <c r="B615" t="s">
        <v>4185</v>
      </c>
      <c r="C615" t="s">
        <v>4165</v>
      </c>
      <c r="D615" t="s">
        <v>1921</v>
      </c>
      <c r="E615" t="s">
        <v>1859</v>
      </c>
      <c r="F615" t="s">
        <v>1880</v>
      </c>
      <c r="G615">
        <f>IFERROR(INDEX(_ENGINE_Risk!$BS$500:$BS$923,MATCH($D615,_ENGINE_Risk!$E$500:$E$923,0)),0)</f>
        <v>20.13</v>
      </c>
      <c r="H615">
        <v>1</v>
      </c>
      <c r="I615">
        <f>IFERROR(MAX(0,5-INDEX(_ENGINE_Risk!$H$500:$H$923,MATCH($D615,_ENGINE_Risk!$E$500:$E$923,0))),0)</f>
        <v>5</v>
      </c>
      <c r="J615" t="s">
        <v>11566</v>
      </c>
      <c r="K615">
        <f>IFERROR(INDEX(_ENGINE_Risk!$BI$500:$BI$923,MATCH($D615,_ENGINE_Risk!$E$500:$E$923,0))*N($H615),0)</f>
        <v>437.5</v>
      </c>
      <c r="L615">
        <f>IFERROR(MIN(5,$K615/MAX(1,_CONFIG_Model_Settings!$B$105)),0)</f>
        <v>5</v>
      </c>
    </row>
    <row r="616" spans="1:12">
      <c r="A616" t="s">
        <v>4184</v>
      </c>
      <c r="B616" t="s">
        <v>4185</v>
      </c>
      <c r="C616" t="s">
        <v>4165</v>
      </c>
      <c r="D616" t="s">
        <v>1924</v>
      </c>
      <c r="E616" t="s">
        <v>1859</v>
      </c>
      <c r="F616" t="s">
        <v>1880</v>
      </c>
      <c r="G616">
        <f>IFERROR(INDEX(_ENGINE_Risk!$BS$500:$BS$923,MATCH($D616,_ENGINE_Risk!$E$500:$E$923,0)),0)</f>
        <v>19.2</v>
      </c>
      <c r="H616">
        <v>1</v>
      </c>
      <c r="I616">
        <f>IFERROR(MAX(0,5-INDEX(_ENGINE_Risk!$H$500:$H$923,MATCH($D616,_ENGINE_Risk!$E$500:$E$923,0))),0)</f>
        <v>5</v>
      </c>
      <c r="J616" t="s">
        <v>11566</v>
      </c>
      <c r="K616">
        <f>IFERROR(INDEX(_ENGINE_Risk!$BI$500:$BI$923,MATCH($D616,_ENGINE_Risk!$E$500:$E$923,0))*N($H616),0)</f>
        <v>437.5</v>
      </c>
      <c r="L616">
        <f>IFERROR(MIN(5,$K616/MAX(1,_CONFIG_Model_Settings!$B$105)),0)</f>
        <v>5</v>
      </c>
    </row>
    <row r="617" spans="1:12">
      <c r="A617" t="s">
        <v>4184</v>
      </c>
      <c r="B617" t="s">
        <v>4185</v>
      </c>
      <c r="C617" t="s">
        <v>4165</v>
      </c>
      <c r="D617" t="s">
        <v>1933</v>
      </c>
      <c r="E617" t="s">
        <v>1859</v>
      </c>
      <c r="F617" t="s">
        <v>1880</v>
      </c>
      <c r="G617">
        <f>IFERROR(INDEX(_ENGINE_Risk!$BS$500:$BS$923,MATCH($D617,_ENGINE_Risk!$E$500:$E$923,0)),0)</f>
        <v>20.13</v>
      </c>
      <c r="H617">
        <v>1</v>
      </c>
      <c r="I617">
        <f>IFERROR(MAX(0,5-INDEX(_ENGINE_Risk!$H$500:$H$923,MATCH($D617,_ENGINE_Risk!$E$500:$E$923,0))),0)</f>
        <v>5</v>
      </c>
      <c r="J617" t="s">
        <v>11566</v>
      </c>
      <c r="K617">
        <f>IFERROR(INDEX(_ENGINE_Risk!$BI$500:$BI$923,MATCH($D617,_ENGINE_Risk!$E$500:$E$923,0))*N($H617),0)</f>
        <v>437.5</v>
      </c>
      <c r="L617">
        <f>IFERROR(MIN(5,$K617/MAX(1,_CONFIG_Model_Settings!$B$105)),0)</f>
        <v>5</v>
      </c>
    </row>
    <row r="618" spans="1:12">
      <c r="A618" t="s">
        <v>4184</v>
      </c>
      <c r="B618" t="s">
        <v>4185</v>
      </c>
      <c r="C618" t="s">
        <v>4165</v>
      </c>
      <c r="D618" t="s">
        <v>1936</v>
      </c>
      <c r="E618" t="s">
        <v>1859</v>
      </c>
      <c r="F618" t="s">
        <v>1880</v>
      </c>
      <c r="G618">
        <f>IFERROR(INDEX(_ENGINE_Risk!$BS$500:$BS$923,MATCH($D618,_ENGINE_Risk!$E$500:$E$923,0)),0)</f>
        <v>19.2</v>
      </c>
      <c r="H618">
        <v>1</v>
      </c>
      <c r="I618">
        <f>IFERROR(MAX(0,5-INDEX(_ENGINE_Risk!$H$500:$H$923,MATCH($D618,_ENGINE_Risk!$E$500:$E$923,0))),0)</f>
        <v>5</v>
      </c>
      <c r="J618" t="s">
        <v>11566</v>
      </c>
      <c r="K618">
        <f>IFERROR(INDEX(_ENGINE_Risk!$BI$500:$BI$923,MATCH($D618,_ENGINE_Risk!$E$500:$E$923,0))*N($H618),0)</f>
        <v>437.5</v>
      </c>
      <c r="L618">
        <f>IFERROR(MIN(5,$K618/MAX(1,_CONFIG_Model_Settings!$B$105)),0)</f>
        <v>5</v>
      </c>
    </row>
    <row r="619" spans="1:12">
      <c r="A619" t="s">
        <v>4184</v>
      </c>
      <c r="B619" t="s">
        <v>4185</v>
      </c>
      <c r="C619" t="s">
        <v>4165</v>
      </c>
      <c r="D619" t="s">
        <v>1945</v>
      </c>
      <c r="E619" t="s">
        <v>1859</v>
      </c>
      <c r="F619" t="s">
        <v>1880</v>
      </c>
      <c r="G619">
        <f>IFERROR(INDEX(_ENGINE_Risk!$BS$500:$BS$923,MATCH($D619,_ENGINE_Risk!$E$500:$E$923,0)),0)</f>
        <v>18.28</v>
      </c>
      <c r="H619">
        <v>1</v>
      </c>
      <c r="I619">
        <f>IFERROR(MAX(0,5-INDEX(_ENGINE_Risk!$H$500:$H$923,MATCH($D619,_ENGINE_Risk!$E$500:$E$923,0))),0)</f>
        <v>5</v>
      </c>
      <c r="J619" t="s">
        <v>11566</v>
      </c>
      <c r="K619">
        <f>IFERROR(INDEX(_ENGINE_Risk!$BI$500:$BI$923,MATCH($D619,_ENGINE_Risk!$E$500:$E$923,0))*N($H619),0)</f>
        <v>437.5</v>
      </c>
      <c r="L619">
        <f>IFERROR(MIN(5,$K619/MAX(1,_CONFIG_Model_Settings!$B$105)),0)</f>
        <v>5</v>
      </c>
    </row>
    <row r="620" spans="1:12">
      <c r="A620" t="s">
        <v>4184</v>
      </c>
      <c r="B620" t="s">
        <v>4185</v>
      </c>
      <c r="C620" t="s">
        <v>4165</v>
      </c>
      <c r="D620" t="s">
        <v>1954</v>
      </c>
      <c r="E620" t="s">
        <v>1859</v>
      </c>
      <c r="F620" t="s">
        <v>1880</v>
      </c>
      <c r="G620">
        <f>IFERROR(INDEX(_ENGINE_Risk!$BS$500:$BS$923,MATCH($D620,_ENGINE_Risk!$E$500:$E$923,0)),0)</f>
        <v>18.28</v>
      </c>
      <c r="H620">
        <v>1</v>
      </c>
      <c r="I620">
        <f>IFERROR(MAX(0,5-INDEX(_ENGINE_Risk!$H$500:$H$923,MATCH($D620,_ENGINE_Risk!$E$500:$E$923,0))),0)</f>
        <v>5</v>
      </c>
      <c r="J620" t="s">
        <v>11566</v>
      </c>
      <c r="K620">
        <f>IFERROR(INDEX(_ENGINE_Risk!$BI$500:$BI$923,MATCH($D620,_ENGINE_Risk!$E$500:$E$923,0))*N($H620),0)</f>
        <v>437.5</v>
      </c>
      <c r="L620">
        <f>IFERROR(MIN(5,$K620/MAX(1,_CONFIG_Model_Settings!$B$105)),0)</f>
        <v>5</v>
      </c>
    </row>
    <row r="621" spans="1:12">
      <c r="A621" t="s">
        <v>4191</v>
      </c>
      <c r="B621" t="s">
        <v>4192</v>
      </c>
      <c r="C621" t="s">
        <v>4165</v>
      </c>
      <c r="D621" t="s">
        <v>1963</v>
      </c>
      <c r="E621" t="s">
        <v>1859</v>
      </c>
      <c r="F621" t="s">
        <v>1884</v>
      </c>
      <c r="G621">
        <f>IFERROR(INDEX(_ENGINE_Risk!$BS$500:$BS$923,MATCH($D621,_ENGINE_Risk!$E$500:$E$923,0)),0)</f>
        <v>20.13</v>
      </c>
      <c r="H621">
        <v>1</v>
      </c>
      <c r="I621">
        <f>IFERROR(MAX(0,5-INDEX(_ENGINE_Risk!$H$500:$H$923,MATCH($D621,_ENGINE_Risk!$E$500:$E$923,0))),0)</f>
        <v>5</v>
      </c>
      <c r="J621" t="s">
        <v>11566</v>
      </c>
      <c r="K621">
        <f>IFERROR(INDEX(_ENGINE_Risk!$BI$500:$BI$923,MATCH($D621,_ENGINE_Risk!$E$500:$E$923,0))*N($H621),0)</f>
        <v>437.5</v>
      </c>
      <c r="L621">
        <f>IFERROR(MIN(5,$K621/MAX(1,_CONFIG_Model_Settings!$B$105)),0)</f>
        <v>5</v>
      </c>
    </row>
    <row r="622" spans="1:12">
      <c r="A622" t="s">
        <v>4191</v>
      </c>
      <c r="B622" t="s">
        <v>4192</v>
      </c>
      <c r="C622" t="s">
        <v>4165</v>
      </c>
      <c r="D622" t="s">
        <v>1966</v>
      </c>
      <c r="E622" t="s">
        <v>1859</v>
      </c>
      <c r="F622" t="s">
        <v>1884</v>
      </c>
      <c r="G622">
        <f>IFERROR(INDEX(_ENGINE_Risk!$BS$500:$BS$923,MATCH($D622,_ENGINE_Risk!$E$500:$E$923,0)),0)</f>
        <v>20.13</v>
      </c>
      <c r="H622">
        <v>1</v>
      </c>
      <c r="I622">
        <f>IFERROR(MAX(0,5-INDEX(_ENGINE_Risk!$H$500:$H$923,MATCH($D622,_ENGINE_Risk!$E$500:$E$923,0))),0)</f>
        <v>5</v>
      </c>
      <c r="J622" t="s">
        <v>11566</v>
      </c>
      <c r="K622">
        <f>IFERROR(INDEX(_ENGINE_Risk!$BI$500:$BI$923,MATCH($D622,_ENGINE_Risk!$E$500:$E$923,0))*N($H622),0)</f>
        <v>437.5</v>
      </c>
      <c r="L622">
        <f>IFERROR(MIN(5,$K622/MAX(1,_CONFIG_Model_Settings!$B$105)),0)</f>
        <v>5</v>
      </c>
    </row>
    <row r="623" spans="1:12">
      <c r="A623" t="s">
        <v>4191</v>
      </c>
      <c r="B623" t="s">
        <v>4192</v>
      </c>
      <c r="C623" t="s">
        <v>4165</v>
      </c>
      <c r="D623" t="s">
        <v>1969</v>
      </c>
      <c r="E623" t="s">
        <v>1859</v>
      </c>
      <c r="F623" t="s">
        <v>1884</v>
      </c>
      <c r="G623">
        <f>IFERROR(INDEX(_ENGINE_Risk!$BS$500:$BS$923,MATCH($D623,_ENGINE_Risk!$E$500:$E$923,0)),0)</f>
        <v>19.2</v>
      </c>
      <c r="H623">
        <v>1</v>
      </c>
      <c r="I623">
        <f>IFERROR(MAX(0,5-INDEX(_ENGINE_Risk!$H$500:$H$923,MATCH($D623,_ENGINE_Risk!$E$500:$E$923,0))),0)</f>
        <v>5</v>
      </c>
      <c r="J623" t="s">
        <v>11566</v>
      </c>
      <c r="K623">
        <f>IFERROR(INDEX(_ENGINE_Risk!$BI$500:$BI$923,MATCH($D623,_ENGINE_Risk!$E$500:$E$923,0))*N($H623),0)</f>
        <v>437.5</v>
      </c>
      <c r="L623">
        <f>IFERROR(MIN(5,$K623/MAX(1,_CONFIG_Model_Settings!$B$105)),0)</f>
        <v>5</v>
      </c>
    </row>
    <row r="624" spans="1:12">
      <c r="A624" t="s">
        <v>4191</v>
      </c>
      <c r="B624" t="s">
        <v>4192</v>
      </c>
      <c r="C624" t="s">
        <v>4165</v>
      </c>
      <c r="D624" t="s">
        <v>1978</v>
      </c>
      <c r="E624" t="s">
        <v>1859</v>
      </c>
      <c r="F624" t="s">
        <v>1884</v>
      </c>
      <c r="G624">
        <f>IFERROR(INDEX(_ENGINE_Risk!$BS$500:$BS$923,MATCH($D624,_ENGINE_Risk!$E$500:$E$923,0)),0)</f>
        <v>20.13</v>
      </c>
      <c r="H624">
        <v>1</v>
      </c>
      <c r="I624">
        <f>IFERROR(MAX(0,5-INDEX(_ENGINE_Risk!$H$500:$H$923,MATCH($D624,_ENGINE_Risk!$E$500:$E$923,0))),0)</f>
        <v>5</v>
      </c>
      <c r="J624" t="s">
        <v>11566</v>
      </c>
      <c r="K624">
        <f>IFERROR(INDEX(_ENGINE_Risk!$BI$500:$BI$923,MATCH($D624,_ENGINE_Risk!$E$500:$E$923,0))*N($H624),0)</f>
        <v>437.5</v>
      </c>
      <c r="L624">
        <f>IFERROR(MIN(5,$K624/MAX(1,_CONFIG_Model_Settings!$B$105)),0)</f>
        <v>5</v>
      </c>
    </row>
    <row r="625" spans="1:12">
      <c r="A625" t="s">
        <v>4191</v>
      </c>
      <c r="B625" t="s">
        <v>4192</v>
      </c>
      <c r="C625" t="s">
        <v>4165</v>
      </c>
      <c r="D625" t="s">
        <v>1981</v>
      </c>
      <c r="E625" t="s">
        <v>1859</v>
      </c>
      <c r="F625" t="s">
        <v>1884</v>
      </c>
      <c r="G625">
        <f>IFERROR(INDEX(_ENGINE_Risk!$BS$500:$BS$923,MATCH($D625,_ENGINE_Risk!$E$500:$E$923,0)),0)</f>
        <v>20.13</v>
      </c>
      <c r="H625">
        <v>1</v>
      </c>
      <c r="I625">
        <f>IFERROR(MAX(0,5-INDEX(_ENGINE_Risk!$H$500:$H$923,MATCH($D625,_ENGINE_Risk!$E$500:$E$923,0))),0)</f>
        <v>5</v>
      </c>
      <c r="J625" t="s">
        <v>11566</v>
      </c>
      <c r="K625">
        <f>IFERROR(INDEX(_ENGINE_Risk!$BI$500:$BI$923,MATCH($D625,_ENGINE_Risk!$E$500:$E$923,0))*N($H625),0)</f>
        <v>437.5</v>
      </c>
      <c r="L625">
        <f>IFERROR(MIN(5,$K625/MAX(1,_CONFIG_Model_Settings!$B$105)),0)</f>
        <v>5</v>
      </c>
    </row>
    <row r="626" spans="1:12">
      <c r="A626" t="s">
        <v>4191</v>
      </c>
      <c r="B626" t="s">
        <v>4192</v>
      </c>
      <c r="C626" t="s">
        <v>4165</v>
      </c>
      <c r="D626" t="s">
        <v>1984</v>
      </c>
      <c r="E626" t="s">
        <v>1859</v>
      </c>
      <c r="F626" t="s">
        <v>1884</v>
      </c>
      <c r="G626">
        <f>IFERROR(INDEX(_ENGINE_Risk!$BS$500:$BS$923,MATCH($D626,_ENGINE_Risk!$E$500:$E$923,0)),0)</f>
        <v>20.13</v>
      </c>
      <c r="H626">
        <v>1</v>
      </c>
      <c r="I626">
        <f>IFERROR(MAX(0,5-INDEX(_ENGINE_Risk!$H$500:$H$923,MATCH($D626,_ENGINE_Risk!$E$500:$E$923,0))),0)</f>
        <v>5</v>
      </c>
      <c r="J626" t="s">
        <v>11566</v>
      </c>
      <c r="K626">
        <f>IFERROR(INDEX(_ENGINE_Risk!$BI$500:$BI$923,MATCH($D626,_ENGINE_Risk!$E$500:$E$923,0))*N($H626),0)</f>
        <v>437.5</v>
      </c>
      <c r="L626">
        <f>IFERROR(MIN(5,$K626/MAX(1,_CONFIG_Model_Settings!$B$105)),0)</f>
        <v>5</v>
      </c>
    </row>
    <row r="627" spans="1:12">
      <c r="A627" t="s">
        <v>4198</v>
      </c>
      <c r="B627" t="s">
        <v>4199</v>
      </c>
      <c r="C627" t="s">
        <v>4075</v>
      </c>
      <c r="D627" t="s">
        <v>1988</v>
      </c>
      <c r="E627" t="s">
        <v>1987</v>
      </c>
      <c r="F627" t="s">
        <v>1989</v>
      </c>
      <c r="G627">
        <f>IFERROR(INDEX(_ENGINE_Risk!$BS$500:$BS$923,MATCH($D627,_ENGINE_Risk!$E$500:$E$923,0)),0)</f>
        <v>22.89</v>
      </c>
      <c r="H627">
        <v>1</v>
      </c>
      <c r="I627">
        <f>IFERROR(MAX(0,5-INDEX(_ENGINE_Risk!$H$500:$H$923,MATCH($D627,_ENGINE_Risk!$E$500:$E$923,0))),0)</f>
        <v>5</v>
      </c>
      <c r="J627" t="s">
        <v>11566</v>
      </c>
      <c r="K627">
        <f>IFERROR(INDEX(_ENGINE_Risk!$BI$500:$BI$923,MATCH($D627,_ENGINE_Risk!$E$500:$E$923,0))*N($H627),0)</f>
        <v>937.5</v>
      </c>
      <c r="L627">
        <f>IFERROR(MIN(5,$K627/MAX(1,_CONFIG_Model_Settings!$B$105)),0)</f>
        <v>5</v>
      </c>
    </row>
    <row r="628" spans="1:12">
      <c r="A628" t="s">
        <v>4198</v>
      </c>
      <c r="B628" t="s">
        <v>4199</v>
      </c>
      <c r="C628" t="s">
        <v>4075</v>
      </c>
      <c r="D628" t="s">
        <v>1995</v>
      </c>
      <c r="E628" t="s">
        <v>1987</v>
      </c>
      <c r="F628" t="s">
        <v>1989</v>
      </c>
      <c r="G628">
        <f>IFERROR(INDEX(_ENGINE_Risk!$BS$500:$BS$923,MATCH($D628,_ENGINE_Risk!$E$500:$E$923,0)),0)</f>
        <v>22.89</v>
      </c>
      <c r="H628">
        <v>1</v>
      </c>
      <c r="I628">
        <f>IFERROR(MAX(0,5-INDEX(_ENGINE_Risk!$H$500:$H$923,MATCH($D628,_ENGINE_Risk!$E$500:$E$923,0))),0)</f>
        <v>5</v>
      </c>
      <c r="J628" t="s">
        <v>11566</v>
      </c>
      <c r="K628">
        <f>IFERROR(INDEX(_ENGINE_Risk!$BI$500:$BI$923,MATCH($D628,_ENGINE_Risk!$E$500:$E$923,0))*N($H628),0)</f>
        <v>937.5</v>
      </c>
      <c r="L628">
        <f>IFERROR(MIN(5,$K628/MAX(1,_CONFIG_Model_Settings!$B$105)),0)</f>
        <v>5</v>
      </c>
    </row>
    <row r="629" spans="1:12">
      <c r="A629" t="s">
        <v>4198</v>
      </c>
      <c r="B629" t="s">
        <v>4199</v>
      </c>
      <c r="C629" t="s">
        <v>4075</v>
      </c>
      <c r="D629" t="s">
        <v>1999</v>
      </c>
      <c r="E629" t="s">
        <v>1987</v>
      </c>
      <c r="F629" t="s">
        <v>1989</v>
      </c>
      <c r="G629">
        <f>IFERROR(INDEX(_ENGINE_Risk!$BS$500:$BS$923,MATCH($D629,_ENGINE_Risk!$E$500:$E$923,0)),0)</f>
        <v>22.89</v>
      </c>
      <c r="H629">
        <v>1</v>
      </c>
      <c r="I629">
        <f>IFERROR(MAX(0,5-INDEX(_ENGINE_Risk!$H$500:$H$923,MATCH($D629,_ENGINE_Risk!$E$500:$E$923,0))),0)</f>
        <v>5</v>
      </c>
      <c r="J629" t="s">
        <v>11566</v>
      </c>
      <c r="K629">
        <f>IFERROR(INDEX(_ENGINE_Risk!$BI$500:$BI$923,MATCH($D629,_ENGINE_Risk!$E$500:$E$923,0))*N($H629),0)</f>
        <v>937.5</v>
      </c>
      <c r="L629">
        <f>IFERROR(MIN(5,$K629/MAX(1,_CONFIG_Model_Settings!$B$105)),0)</f>
        <v>5</v>
      </c>
    </row>
    <row r="630" spans="1:12">
      <c r="A630" t="s">
        <v>4198</v>
      </c>
      <c r="B630" t="s">
        <v>4199</v>
      </c>
      <c r="C630" t="s">
        <v>4075</v>
      </c>
      <c r="D630" t="s">
        <v>2003</v>
      </c>
      <c r="E630" t="s">
        <v>1987</v>
      </c>
      <c r="F630" t="s">
        <v>1989</v>
      </c>
      <c r="G630">
        <f>IFERROR(INDEX(_ENGINE_Risk!$BS$500:$BS$923,MATCH($D630,_ENGINE_Risk!$E$500:$E$923,0)),0)</f>
        <v>22.89</v>
      </c>
      <c r="H630">
        <v>1</v>
      </c>
      <c r="I630">
        <f>IFERROR(MAX(0,5-INDEX(_ENGINE_Risk!$H$500:$H$923,MATCH($D630,_ENGINE_Risk!$E$500:$E$923,0))),0)</f>
        <v>5</v>
      </c>
      <c r="J630" t="s">
        <v>11566</v>
      </c>
      <c r="K630">
        <f>IFERROR(INDEX(_ENGINE_Risk!$BI$500:$BI$923,MATCH($D630,_ENGINE_Risk!$E$500:$E$923,0))*N($H630),0)</f>
        <v>937.5</v>
      </c>
      <c r="L630">
        <f>IFERROR(MIN(5,$K630/MAX(1,_CONFIG_Model_Settings!$B$105)),0)</f>
        <v>5</v>
      </c>
    </row>
    <row r="631" spans="1:12">
      <c r="A631" t="s">
        <v>4198</v>
      </c>
      <c r="B631" t="s">
        <v>4199</v>
      </c>
      <c r="C631" t="s">
        <v>4075</v>
      </c>
      <c r="D631" t="s">
        <v>2007</v>
      </c>
      <c r="E631" t="s">
        <v>1987</v>
      </c>
      <c r="F631" t="s">
        <v>1989</v>
      </c>
      <c r="G631">
        <f>IFERROR(INDEX(_ENGINE_Risk!$BS$500:$BS$923,MATCH($D631,_ENGINE_Risk!$E$500:$E$923,0)),0)</f>
        <v>22.89</v>
      </c>
      <c r="H631">
        <v>1</v>
      </c>
      <c r="I631">
        <f>IFERROR(MAX(0,5-INDEX(_ENGINE_Risk!$H$500:$H$923,MATCH($D631,_ENGINE_Risk!$E$500:$E$923,0))),0)</f>
        <v>5</v>
      </c>
      <c r="J631" t="s">
        <v>11566</v>
      </c>
      <c r="K631">
        <f>IFERROR(INDEX(_ENGINE_Risk!$BI$500:$BI$923,MATCH($D631,_ENGINE_Risk!$E$500:$E$923,0))*N($H631),0)</f>
        <v>937.5</v>
      </c>
      <c r="L631">
        <f>IFERROR(MIN(5,$K631/MAX(1,_CONFIG_Model_Settings!$B$105)),0)</f>
        <v>5</v>
      </c>
    </row>
    <row r="632" spans="1:12">
      <c r="A632" t="s">
        <v>4198</v>
      </c>
      <c r="B632" t="s">
        <v>4199</v>
      </c>
      <c r="C632" t="s">
        <v>4075</v>
      </c>
      <c r="D632" t="s">
        <v>2011</v>
      </c>
      <c r="E632" t="s">
        <v>1987</v>
      </c>
      <c r="F632" t="s">
        <v>1989</v>
      </c>
      <c r="G632">
        <f>IFERROR(INDEX(_ENGINE_Risk!$BS$500:$BS$923,MATCH($D632,_ENGINE_Risk!$E$500:$E$923,0)),0)</f>
        <v>22.89</v>
      </c>
      <c r="H632">
        <v>1</v>
      </c>
      <c r="I632">
        <f>IFERROR(MAX(0,5-INDEX(_ENGINE_Risk!$H$500:$H$923,MATCH($D632,_ENGINE_Risk!$E$500:$E$923,0))),0)</f>
        <v>5</v>
      </c>
      <c r="J632" t="s">
        <v>11566</v>
      </c>
      <c r="K632">
        <f>IFERROR(INDEX(_ENGINE_Risk!$BI$500:$BI$923,MATCH($D632,_ENGINE_Risk!$E$500:$E$923,0))*N($H632),0)</f>
        <v>937.5</v>
      </c>
      <c r="L632">
        <f>IFERROR(MIN(5,$K632/MAX(1,_CONFIG_Model_Settings!$B$105)),0)</f>
        <v>5</v>
      </c>
    </row>
    <row r="633" spans="1:12">
      <c r="A633" t="s">
        <v>4208</v>
      </c>
      <c r="B633" t="s">
        <v>4209</v>
      </c>
      <c r="C633" t="s">
        <v>4075</v>
      </c>
      <c r="D633" t="s">
        <v>2014</v>
      </c>
      <c r="E633" t="s">
        <v>1987</v>
      </c>
      <c r="F633" t="s">
        <v>1998</v>
      </c>
      <c r="G633">
        <f>IFERROR(INDEX(_ENGINE_Risk!$BS$500:$BS$923,MATCH($D633,_ENGINE_Risk!$E$500:$E$923,0)),0)</f>
        <v>9.16</v>
      </c>
      <c r="H633">
        <v>1</v>
      </c>
      <c r="I633">
        <f>IFERROR(MAX(0,5-INDEX(_ENGINE_Risk!$H$500:$H$923,MATCH($D633,_ENGINE_Risk!$E$500:$E$923,0))),0)</f>
        <v>5</v>
      </c>
      <c r="J633" t="s">
        <v>11566</v>
      </c>
      <c r="K633">
        <f>IFERROR(INDEX(_ENGINE_Risk!$BI$500:$BI$923,MATCH($D633,_ENGINE_Risk!$E$500:$E$923,0))*N($H633),0)</f>
        <v>937.5</v>
      </c>
      <c r="L633">
        <f>IFERROR(MIN(5,$K633/MAX(1,_CONFIG_Model_Settings!$B$105)),0)</f>
        <v>5</v>
      </c>
    </row>
    <row r="634" spans="1:12">
      <c r="A634" t="s">
        <v>4208</v>
      </c>
      <c r="B634" t="s">
        <v>4209</v>
      </c>
      <c r="C634" t="s">
        <v>4075</v>
      </c>
      <c r="D634" t="s">
        <v>2017</v>
      </c>
      <c r="E634" t="s">
        <v>1987</v>
      </c>
      <c r="F634" t="s">
        <v>1998</v>
      </c>
      <c r="G634">
        <f>IFERROR(INDEX(_ENGINE_Risk!$BS$500:$BS$923,MATCH($D634,_ENGINE_Risk!$E$500:$E$923,0)),0)</f>
        <v>8.34</v>
      </c>
      <c r="H634">
        <v>1</v>
      </c>
      <c r="I634">
        <f>IFERROR(MAX(0,5-INDEX(_ENGINE_Risk!$H$500:$H$923,MATCH($D634,_ENGINE_Risk!$E$500:$E$923,0))),0)</f>
        <v>5</v>
      </c>
      <c r="J634" t="s">
        <v>11566</v>
      </c>
      <c r="K634">
        <f>IFERROR(INDEX(_ENGINE_Risk!$BI$500:$BI$923,MATCH($D634,_ENGINE_Risk!$E$500:$E$923,0))*N($H634),0)</f>
        <v>437.5</v>
      </c>
      <c r="L634">
        <f>IFERROR(MIN(5,$K634/MAX(1,_CONFIG_Model_Settings!$B$105)),0)</f>
        <v>5</v>
      </c>
    </row>
    <row r="635" spans="1:12">
      <c r="A635" t="s">
        <v>4208</v>
      </c>
      <c r="B635" t="s">
        <v>4209</v>
      </c>
      <c r="C635" t="s">
        <v>4075</v>
      </c>
      <c r="D635" t="s">
        <v>2026</v>
      </c>
      <c r="E635" t="s">
        <v>1987</v>
      </c>
      <c r="F635" t="s">
        <v>1998</v>
      </c>
      <c r="G635">
        <f>IFERROR(INDEX(_ENGINE_Risk!$BS$500:$BS$923,MATCH($D635,_ENGINE_Risk!$E$500:$E$923,0)),0)</f>
        <v>8.34</v>
      </c>
      <c r="H635">
        <v>1</v>
      </c>
      <c r="I635">
        <f>IFERROR(MAX(0,5-INDEX(_ENGINE_Risk!$H$500:$H$923,MATCH($D635,_ENGINE_Risk!$E$500:$E$923,0))),0)</f>
        <v>5</v>
      </c>
      <c r="J635" t="s">
        <v>11566</v>
      </c>
      <c r="K635">
        <f>IFERROR(INDEX(_ENGINE_Risk!$BI$500:$BI$923,MATCH($D635,_ENGINE_Risk!$E$500:$E$923,0))*N($H635),0)</f>
        <v>437.5</v>
      </c>
      <c r="L635">
        <f>IFERROR(MIN(5,$K635/MAX(1,_CONFIG_Model_Settings!$B$105)),0)</f>
        <v>5</v>
      </c>
    </row>
    <row r="636" spans="1:12">
      <c r="A636" t="s">
        <v>4208</v>
      </c>
      <c r="B636" t="s">
        <v>4209</v>
      </c>
      <c r="C636" t="s">
        <v>4075</v>
      </c>
      <c r="D636" t="s">
        <v>2035</v>
      </c>
      <c r="E636" t="s">
        <v>1987</v>
      </c>
      <c r="F636" t="s">
        <v>1998</v>
      </c>
      <c r="G636">
        <f>IFERROR(INDEX(_ENGINE_Risk!$BS$500:$BS$923,MATCH($D636,_ENGINE_Risk!$E$500:$E$923,0)),0)</f>
        <v>9.16</v>
      </c>
      <c r="H636">
        <v>1</v>
      </c>
      <c r="I636">
        <f>IFERROR(MAX(0,5-INDEX(_ENGINE_Risk!$H$500:$H$923,MATCH($D636,_ENGINE_Risk!$E$500:$E$923,0))),0)</f>
        <v>5</v>
      </c>
      <c r="J636" t="s">
        <v>11566</v>
      </c>
      <c r="K636">
        <f>IFERROR(INDEX(_ENGINE_Risk!$BI$500:$BI$923,MATCH($D636,_ENGINE_Risk!$E$500:$E$923,0))*N($H636),0)</f>
        <v>937.5</v>
      </c>
      <c r="L636">
        <f>IFERROR(MIN(5,$K636/MAX(1,_CONFIG_Model_Settings!$B$105)),0)</f>
        <v>5</v>
      </c>
    </row>
    <row r="637" spans="1:12">
      <c r="A637" t="s">
        <v>4208</v>
      </c>
      <c r="B637" t="s">
        <v>4209</v>
      </c>
      <c r="C637" t="s">
        <v>4075</v>
      </c>
      <c r="D637" t="s">
        <v>2038</v>
      </c>
      <c r="E637" t="s">
        <v>1987</v>
      </c>
      <c r="F637" t="s">
        <v>1998</v>
      </c>
      <c r="G637">
        <f>IFERROR(INDEX(_ENGINE_Risk!$BS$500:$BS$923,MATCH($D637,_ENGINE_Risk!$E$500:$E$923,0)),0)</f>
        <v>8.34</v>
      </c>
      <c r="H637">
        <v>1</v>
      </c>
      <c r="I637">
        <f>IFERROR(MAX(0,5-INDEX(_ENGINE_Risk!$H$500:$H$923,MATCH($D637,_ENGINE_Risk!$E$500:$E$923,0))),0)</f>
        <v>5</v>
      </c>
      <c r="J637" t="s">
        <v>11566</v>
      </c>
      <c r="K637">
        <f>IFERROR(INDEX(_ENGINE_Risk!$BI$500:$BI$923,MATCH($D637,_ENGINE_Risk!$E$500:$E$923,0))*N($H637),0)</f>
        <v>437.5</v>
      </c>
      <c r="L637">
        <f>IFERROR(MIN(5,$K637/MAX(1,_CONFIG_Model_Settings!$B$105)),0)</f>
        <v>5</v>
      </c>
    </row>
    <row r="638" spans="1:12">
      <c r="A638" t="s">
        <v>4208</v>
      </c>
      <c r="B638" t="s">
        <v>4209</v>
      </c>
      <c r="C638" t="s">
        <v>4075</v>
      </c>
      <c r="D638" t="s">
        <v>2047</v>
      </c>
      <c r="E638" t="s">
        <v>1987</v>
      </c>
      <c r="F638" t="s">
        <v>1998</v>
      </c>
      <c r="G638">
        <f>IFERROR(INDEX(_ENGINE_Risk!$BS$500:$BS$923,MATCH($D638,_ENGINE_Risk!$E$500:$E$923,0)),0)</f>
        <v>9.16</v>
      </c>
      <c r="H638">
        <v>1</v>
      </c>
      <c r="I638">
        <f>IFERROR(MAX(0,5-INDEX(_ENGINE_Risk!$H$500:$H$923,MATCH($D638,_ENGINE_Risk!$E$500:$E$923,0))),0)</f>
        <v>5</v>
      </c>
      <c r="J638" t="s">
        <v>11566</v>
      </c>
      <c r="K638">
        <f>IFERROR(INDEX(_ENGINE_Risk!$BI$500:$BI$923,MATCH($D638,_ENGINE_Risk!$E$500:$E$923,0))*N($H638),0)</f>
        <v>937.5</v>
      </c>
      <c r="L638">
        <f>IFERROR(MIN(5,$K638/MAX(1,_CONFIG_Model_Settings!$B$105)),0)</f>
        <v>5</v>
      </c>
    </row>
    <row r="639" spans="1:12">
      <c r="A639" t="s">
        <v>4215</v>
      </c>
      <c r="B639" t="s">
        <v>4216</v>
      </c>
      <c r="C639" t="s">
        <v>4075</v>
      </c>
      <c r="D639" t="s">
        <v>2050</v>
      </c>
      <c r="E639" t="s">
        <v>1987</v>
      </c>
      <c r="F639" t="s">
        <v>2002</v>
      </c>
      <c r="G639">
        <f>IFERROR(INDEX(_ENGINE_Risk!$BS$500:$BS$923,MATCH($D639,_ENGINE_Risk!$E$500:$E$923,0)),0)</f>
        <v>22.89</v>
      </c>
      <c r="H639">
        <v>1</v>
      </c>
      <c r="I639">
        <f>IFERROR(MAX(0,5-INDEX(_ENGINE_Risk!$H$500:$H$923,MATCH($D639,_ENGINE_Risk!$E$500:$E$923,0))),0)</f>
        <v>5</v>
      </c>
      <c r="J639" t="s">
        <v>11566</v>
      </c>
      <c r="K639">
        <f>IFERROR(INDEX(_ENGINE_Risk!$BI$500:$BI$923,MATCH($D639,_ENGINE_Risk!$E$500:$E$923,0))*N($H639),0)</f>
        <v>937.5</v>
      </c>
      <c r="L639">
        <f>IFERROR(MIN(5,$K639/MAX(1,_CONFIG_Model_Settings!$B$105)),0)</f>
        <v>5</v>
      </c>
    </row>
    <row r="640" spans="1:12">
      <c r="A640" t="s">
        <v>4215</v>
      </c>
      <c r="B640" t="s">
        <v>4216</v>
      </c>
      <c r="C640" t="s">
        <v>4075</v>
      </c>
      <c r="D640" t="s">
        <v>2053</v>
      </c>
      <c r="E640" t="s">
        <v>1987</v>
      </c>
      <c r="F640" t="s">
        <v>2002</v>
      </c>
      <c r="G640">
        <f>IFERROR(INDEX(_ENGINE_Risk!$BS$500:$BS$923,MATCH($D640,_ENGINE_Risk!$E$500:$E$923,0)),0)</f>
        <v>21.88</v>
      </c>
      <c r="H640">
        <v>1</v>
      </c>
      <c r="I640">
        <f>IFERROR(MAX(0,5-INDEX(_ENGINE_Risk!$H$500:$H$923,MATCH($D640,_ENGINE_Risk!$E$500:$E$923,0))),0)</f>
        <v>5</v>
      </c>
      <c r="J640" t="s">
        <v>11566</v>
      </c>
      <c r="K640">
        <f>IFERROR(INDEX(_ENGINE_Risk!$BI$500:$BI$923,MATCH($D640,_ENGINE_Risk!$E$500:$E$923,0))*N($H640),0)</f>
        <v>437.5</v>
      </c>
      <c r="L640">
        <f>IFERROR(MIN(5,$K640/MAX(1,_CONFIG_Model_Settings!$B$105)),0)</f>
        <v>5</v>
      </c>
    </row>
    <row r="641" spans="1:12">
      <c r="A641" t="s">
        <v>4215</v>
      </c>
      <c r="B641" t="s">
        <v>4216</v>
      </c>
      <c r="C641" t="s">
        <v>4075</v>
      </c>
      <c r="D641" t="s">
        <v>2062</v>
      </c>
      <c r="E641" t="s">
        <v>1987</v>
      </c>
      <c r="F641" t="s">
        <v>2002</v>
      </c>
      <c r="G641">
        <f>IFERROR(INDEX(_ENGINE_Risk!$BS$500:$BS$923,MATCH($D641,_ENGINE_Risk!$E$500:$E$923,0)),0)</f>
        <v>21.88</v>
      </c>
      <c r="H641">
        <v>1</v>
      </c>
      <c r="I641">
        <f>IFERROR(MAX(0,5-INDEX(_ENGINE_Risk!$H$500:$H$923,MATCH($D641,_ENGINE_Risk!$E$500:$E$923,0))),0)</f>
        <v>5</v>
      </c>
      <c r="J641" t="s">
        <v>11566</v>
      </c>
      <c r="K641">
        <f>IFERROR(INDEX(_ENGINE_Risk!$BI$500:$BI$923,MATCH($D641,_ENGINE_Risk!$E$500:$E$923,0))*N($H641),0)</f>
        <v>437.5</v>
      </c>
      <c r="L641">
        <f>IFERROR(MIN(5,$K641/MAX(1,_CONFIG_Model_Settings!$B$105)),0)</f>
        <v>5</v>
      </c>
    </row>
    <row r="642" spans="1:12">
      <c r="A642" t="s">
        <v>4215</v>
      </c>
      <c r="B642" t="s">
        <v>4216</v>
      </c>
      <c r="C642" t="s">
        <v>4075</v>
      </c>
      <c r="D642" t="s">
        <v>2071</v>
      </c>
      <c r="E642" t="s">
        <v>1987</v>
      </c>
      <c r="F642" t="s">
        <v>2002</v>
      </c>
      <c r="G642">
        <f>IFERROR(INDEX(_ENGINE_Risk!$BS$500:$BS$923,MATCH($D642,_ENGINE_Risk!$E$500:$E$923,0)),0)</f>
        <v>22.89</v>
      </c>
      <c r="H642">
        <v>1</v>
      </c>
      <c r="I642">
        <f>IFERROR(MAX(0,5-INDEX(_ENGINE_Risk!$H$500:$H$923,MATCH($D642,_ENGINE_Risk!$E$500:$E$923,0))),0)</f>
        <v>5</v>
      </c>
      <c r="J642" t="s">
        <v>11566</v>
      </c>
      <c r="K642">
        <f>IFERROR(INDEX(_ENGINE_Risk!$BI$500:$BI$923,MATCH($D642,_ENGINE_Risk!$E$500:$E$923,0))*N($H642),0)</f>
        <v>937.5</v>
      </c>
      <c r="L642">
        <f>IFERROR(MIN(5,$K642/MAX(1,_CONFIG_Model_Settings!$B$105)),0)</f>
        <v>5</v>
      </c>
    </row>
    <row r="643" spans="1:12">
      <c r="A643" t="s">
        <v>4215</v>
      </c>
      <c r="B643" t="s">
        <v>4216</v>
      </c>
      <c r="C643" t="s">
        <v>4075</v>
      </c>
      <c r="D643" t="s">
        <v>2074</v>
      </c>
      <c r="E643" t="s">
        <v>1987</v>
      </c>
      <c r="F643" t="s">
        <v>2002</v>
      </c>
      <c r="G643">
        <f>IFERROR(INDEX(_ENGINE_Risk!$BS$500:$BS$923,MATCH($D643,_ENGINE_Risk!$E$500:$E$923,0)),0)</f>
        <v>22.89</v>
      </c>
      <c r="H643">
        <v>1</v>
      </c>
      <c r="I643">
        <f>IFERROR(MAX(0,5-INDEX(_ENGINE_Risk!$H$500:$H$923,MATCH($D643,_ENGINE_Risk!$E$500:$E$923,0))),0)</f>
        <v>5</v>
      </c>
      <c r="J643" t="s">
        <v>11566</v>
      </c>
      <c r="K643">
        <f>IFERROR(INDEX(_ENGINE_Risk!$BI$500:$BI$923,MATCH($D643,_ENGINE_Risk!$E$500:$E$923,0))*N($H643),0)</f>
        <v>937.5</v>
      </c>
      <c r="L643">
        <f>IFERROR(MIN(5,$K643/MAX(1,_CONFIG_Model_Settings!$B$105)),0)</f>
        <v>5</v>
      </c>
    </row>
    <row r="644" spans="1:12">
      <c r="A644" t="s">
        <v>4215</v>
      </c>
      <c r="B644" t="s">
        <v>4216</v>
      </c>
      <c r="C644" t="s">
        <v>4075</v>
      </c>
      <c r="D644" t="s">
        <v>2077</v>
      </c>
      <c r="E644" t="s">
        <v>1987</v>
      </c>
      <c r="F644" t="s">
        <v>2002</v>
      </c>
      <c r="G644">
        <f>IFERROR(INDEX(_ENGINE_Risk!$BS$500:$BS$923,MATCH($D644,_ENGINE_Risk!$E$500:$E$923,0)),0)</f>
        <v>22.89</v>
      </c>
      <c r="H644">
        <v>1</v>
      </c>
      <c r="I644">
        <f>IFERROR(MAX(0,5-INDEX(_ENGINE_Risk!$H$500:$H$923,MATCH($D644,_ENGINE_Risk!$E$500:$E$923,0))),0)</f>
        <v>5</v>
      </c>
      <c r="J644" t="s">
        <v>11566</v>
      </c>
      <c r="K644">
        <f>IFERROR(INDEX(_ENGINE_Risk!$BI$500:$BI$923,MATCH($D644,_ENGINE_Risk!$E$500:$E$923,0))*N($H644),0)</f>
        <v>937.5</v>
      </c>
      <c r="L644">
        <f>IFERROR(MIN(5,$K644/MAX(1,_CONFIG_Model_Settings!$B$105)),0)</f>
        <v>5</v>
      </c>
    </row>
    <row r="645" spans="1:12">
      <c r="A645" t="s">
        <v>4215</v>
      </c>
      <c r="B645" t="s">
        <v>4216</v>
      </c>
      <c r="C645" t="s">
        <v>4075</v>
      </c>
      <c r="D645" t="s">
        <v>2080</v>
      </c>
      <c r="E645" t="s">
        <v>1987</v>
      </c>
      <c r="F645" t="s">
        <v>2002</v>
      </c>
      <c r="G645">
        <f>IFERROR(INDEX(_ENGINE_Risk!$BS$500:$BS$923,MATCH($D645,_ENGINE_Risk!$E$500:$E$923,0)),0)</f>
        <v>23.66</v>
      </c>
      <c r="H645">
        <v>1</v>
      </c>
      <c r="I645">
        <f>IFERROR(MAX(0,5-INDEX(_ENGINE_Risk!$H$500:$H$923,MATCH($D645,_ENGINE_Risk!$E$500:$E$923,0))),0)</f>
        <v>5</v>
      </c>
      <c r="J645" t="s">
        <v>11566</v>
      </c>
      <c r="K645">
        <f>IFERROR(INDEX(_ENGINE_Risk!$BI$500:$BI$923,MATCH($D645,_ENGINE_Risk!$E$500:$E$923,0))*N($H645),0)</f>
        <v>937.5</v>
      </c>
      <c r="L645">
        <f>IFERROR(MIN(5,$K645/MAX(1,_CONFIG_Model_Settings!$B$105)),0)</f>
        <v>5</v>
      </c>
    </row>
    <row r="646" spans="1:12">
      <c r="A646" t="s">
        <v>4222</v>
      </c>
      <c r="B646" t="s">
        <v>4223</v>
      </c>
      <c r="C646" t="s">
        <v>4075</v>
      </c>
      <c r="D646" t="s">
        <v>2083</v>
      </c>
      <c r="E646" t="s">
        <v>1987</v>
      </c>
      <c r="F646" t="s">
        <v>2006</v>
      </c>
      <c r="G646">
        <f>IFERROR(INDEX(_ENGINE_Risk!$BS$500:$BS$923,MATCH($D646,_ENGINE_Risk!$E$500:$E$923,0)),0)</f>
        <v>23.66</v>
      </c>
      <c r="H646">
        <v>1</v>
      </c>
      <c r="I646">
        <f>IFERROR(MAX(0,5-INDEX(_ENGINE_Risk!$H$500:$H$923,MATCH($D646,_ENGINE_Risk!$E$500:$E$923,0))),0)</f>
        <v>5</v>
      </c>
      <c r="J646" t="s">
        <v>11566</v>
      </c>
      <c r="K646">
        <f>IFERROR(INDEX(_ENGINE_Risk!$BI$500:$BI$923,MATCH($D646,_ENGINE_Risk!$E$500:$E$923,0))*N($H646),0)</f>
        <v>937.5</v>
      </c>
      <c r="L646">
        <f>IFERROR(MIN(5,$K646/MAX(1,_CONFIG_Model_Settings!$B$105)),0)</f>
        <v>5</v>
      </c>
    </row>
    <row r="647" spans="1:12">
      <c r="A647" t="s">
        <v>4222</v>
      </c>
      <c r="B647" t="s">
        <v>4223</v>
      </c>
      <c r="C647" t="s">
        <v>4075</v>
      </c>
      <c r="D647" t="s">
        <v>2086</v>
      </c>
      <c r="E647" t="s">
        <v>1987</v>
      </c>
      <c r="F647" t="s">
        <v>2006</v>
      </c>
      <c r="G647">
        <f>IFERROR(INDEX(_ENGINE_Risk!$BS$500:$BS$923,MATCH($D647,_ENGINE_Risk!$E$500:$E$923,0)),0)</f>
        <v>22.89</v>
      </c>
      <c r="H647">
        <v>1</v>
      </c>
      <c r="I647">
        <f>IFERROR(MAX(0,5-INDEX(_ENGINE_Risk!$H$500:$H$923,MATCH($D647,_ENGINE_Risk!$E$500:$E$923,0))),0)</f>
        <v>5</v>
      </c>
      <c r="J647" t="s">
        <v>11566</v>
      </c>
      <c r="K647">
        <f>IFERROR(INDEX(_ENGINE_Risk!$BI$500:$BI$923,MATCH($D647,_ENGINE_Risk!$E$500:$E$923,0))*N($H647),0)</f>
        <v>937.5</v>
      </c>
      <c r="L647">
        <f>IFERROR(MIN(5,$K647/MAX(1,_CONFIG_Model_Settings!$B$105)),0)</f>
        <v>5</v>
      </c>
    </row>
    <row r="648" spans="1:12">
      <c r="A648" t="s">
        <v>4222</v>
      </c>
      <c r="B648" t="s">
        <v>4223</v>
      </c>
      <c r="C648" t="s">
        <v>4075</v>
      </c>
      <c r="D648" t="s">
        <v>2089</v>
      </c>
      <c r="E648" t="s">
        <v>1987</v>
      </c>
      <c r="F648" t="s">
        <v>2006</v>
      </c>
      <c r="G648">
        <f>IFERROR(INDEX(_ENGINE_Risk!$BS$500:$BS$923,MATCH($D648,_ENGINE_Risk!$E$500:$E$923,0)),0)</f>
        <v>20.86</v>
      </c>
      <c r="H648">
        <v>1</v>
      </c>
      <c r="I648">
        <f>IFERROR(MAX(0,5-INDEX(_ENGINE_Risk!$H$500:$H$923,MATCH($D648,_ENGINE_Risk!$E$500:$E$923,0))),0)</f>
        <v>5</v>
      </c>
      <c r="J648" t="s">
        <v>11566</v>
      </c>
      <c r="K648">
        <f>IFERROR(INDEX(_ENGINE_Risk!$BI$500:$BI$923,MATCH($D648,_ENGINE_Risk!$E$500:$E$923,0))*N($H648),0)</f>
        <v>437.5</v>
      </c>
      <c r="L648">
        <f>IFERROR(MIN(5,$K648/MAX(1,_CONFIG_Model_Settings!$B$105)),0)</f>
        <v>5</v>
      </c>
    </row>
    <row r="649" spans="1:12">
      <c r="A649" t="s">
        <v>4222</v>
      </c>
      <c r="B649" t="s">
        <v>4223</v>
      </c>
      <c r="C649" t="s">
        <v>4075</v>
      </c>
      <c r="D649" t="s">
        <v>2098</v>
      </c>
      <c r="E649" t="s">
        <v>1987</v>
      </c>
      <c r="F649" t="s">
        <v>2006</v>
      </c>
      <c r="G649">
        <f>IFERROR(INDEX(_ENGINE_Risk!$BS$500:$BS$923,MATCH($D649,_ENGINE_Risk!$E$500:$E$923,0)),0)</f>
        <v>21.88</v>
      </c>
      <c r="H649">
        <v>1</v>
      </c>
      <c r="I649">
        <f>IFERROR(MAX(0,5-INDEX(_ENGINE_Risk!$H$500:$H$923,MATCH($D649,_ENGINE_Risk!$E$500:$E$923,0))),0)</f>
        <v>5</v>
      </c>
      <c r="J649" t="s">
        <v>11566</v>
      </c>
      <c r="K649">
        <f>IFERROR(INDEX(_ENGINE_Risk!$BI$500:$BI$923,MATCH($D649,_ENGINE_Risk!$E$500:$E$923,0))*N($H649),0)</f>
        <v>437.5</v>
      </c>
      <c r="L649">
        <f>IFERROR(MIN(5,$K649/MAX(1,_CONFIG_Model_Settings!$B$105)),0)</f>
        <v>5</v>
      </c>
    </row>
    <row r="650" spans="1:12">
      <c r="A650" t="s">
        <v>4222</v>
      </c>
      <c r="B650" t="s">
        <v>4223</v>
      </c>
      <c r="C650" t="s">
        <v>4075</v>
      </c>
      <c r="D650" t="s">
        <v>2107</v>
      </c>
      <c r="E650" t="s">
        <v>1987</v>
      </c>
      <c r="F650" t="s">
        <v>2006</v>
      </c>
      <c r="G650">
        <f>IFERROR(INDEX(_ENGINE_Risk!$BS$500:$BS$923,MATCH($D650,_ENGINE_Risk!$E$500:$E$923,0)),0)</f>
        <v>23.66</v>
      </c>
      <c r="H650">
        <v>1</v>
      </c>
      <c r="I650">
        <f>IFERROR(MAX(0,5-INDEX(_ENGINE_Risk!$H$500:$H$923,MATCH($D650,_ENGINE_Risk!$E$500:$E$923,0))),0)</f>
        <v>5</v>
      </c>
      <c r="J650" t="s">
        <v>11566</v>
      </c>
      <c r="K650">
        <f>IFERROR(INDEX(_ENGINE_Risk!$BI$500:$BI$923,MATCH($D650,_ENGINE_Risk!$E$500:$E$923,0))*N($H650),0)</f>
        <v>937.5</v>
      </c>
      <c r="L650">
        <f>IFERROR(MIN(5,$K650/MAX(1,_CONFIG_Model_Settings!$B$105)),0)</f>
        <v>5</v>
      </c>
    </row>
    <row r="651" spans="1:12">
      <c r="A651" t="s">
        <v>4222</v>
      </c>
      <c r="B651" t="s">
        <v>4223</v>
      </c>
      <c r="C651" t="s">
        <v>4075</v>
      </c>
      <c r="D651" t="s">
        <v>2110</v>
      </c>
      <c r="E651" t="s">
        <v>1987</v>
      </c>
      <c r="F651" t="s">
        <v>2006</v>
      </c>
      <c r="G651">
        <f>IFERROR(INDEX(_ENGINE_Risk!$BS$500:$BS$923,MATCH($D651,_ENGINE_Risk!$E$500:$E$923,0)),0)</f>
        <v>22.89</v>
      </c>
      <c r="H651">
        <v>1</v>
      </c>
      <c r="I651">
        <f>IFERROR(MAX(0,5-INDEX(_ENGINE_Risk!$H$500:$H$923,MATCH($D651,_ENGINE_Risk!$E$500:$E$923,0))),0)</f>
        <v>5</v>
      </c>
      <c r="J651" t="s">
        <v>11566</v>
      </c>
      <c r="K651">
        <f>IFERROR(INDEX(_ENGINE_Risk!$BI$500:$BI$923,MATCH($D651,_ENGINE_Risk!$E$500:$E$923,0))*N($H651),0)</f>
        <v>937.5</v>
      </c>
      <c r="L651">
        <f>IFERROR(MIN(5,$K651/MAX(1,_CONFIG_Model_Settings!$B$105)),0)</f>
        <v>5</v>
      </c>
    </row>
    <row r="652" spans="1:12">
      <c r="A652" t="s">
        <v>4229</v>
      </c>
      <c r="B652" t="s">
        <v>4232</v>
      </c>
      <c r="C652" t="s">
        <v>4231</v>
      </c>
      <c r="D652" t="s">
        <v>2146</v>
      </c>
      <c r="E652" t="s">
        <v>2145</v>
      </c>
      <c r="F652" t="s">
        <v>2147</v>
      </c>
      <c r="G652">
        <f>IFERROR(INDEX(_ENGINE_Risk!$BS$500:$BS$923,MATCH($D652,_ENGINE_Risk!$E$500:$E$923,0)),0)</f>
        <v>9.4700000000000006</v>
      </c>
      <c r="H652">
        <v>1</v>
      </c>
      <c r="I652">
        <f>IFERROR(MAX(0,5-INDEX(_ENGINE_Risk!$H$500:$H$923,MATCH($D652,_ENGINE_Risk!$E$500:$E$923,0))),0)</f>
        <v>5</v>
      </c>
      <c r="J652" t="s">
        <v>11566</v>
      </c>
      <c r="K652">
        <f>IFERROR(INDEX(_ENGINE_Risk!$BI$500:$BI$923,MATCH($D652,_ENGINE_Risk!$E$500:$E$923,0))*N($H652),0)</f>
        <v>937.5</v>
      </c>
      <c r="L652">
        <f>IFERROR(MIN(5,$K652/MAX(1,_CONFIG_Model_Settings!$B$105)),0)</f>
        <v>5</v>
      </c>
    </row>
    <row r="653" spans="1:12">
      <c r="A653" t="s">
        <v>4229</v>
      </c>
      <c r="B653" t="s">
        <v>4232</v>
      </c>
      <c r="C653" t="s">
        <v>4231</v>
      </c>
      <c r="D653" t="s">
        <v>2153</v>
      </c>
      <c r="E653" t="s">
        <v>2145</v>
      </c>
      <c r="F653" t="s">
        <v>2147</v>
      </c>
      <c r="G653">
        <f>IFERROR(INDEX(_ENGINE_Risk!$BS$500:$BS$923,MATCH($D653,_ENGINE_Risk!$E$500:$E$923,0)),0)</f>
        <v>9.4700000000000006</v>
      </c>
      <c r="H653">
        <v>1</v>
      </c>
      <c r="I653">
        <f>IFERROR(MAX(0,5-INDEX(_ENGINE_Risk!$H$500:$H$923,MATCH($D653,_ENGINE_Risk!$E$500:$E$923,0))),0)</f>
        <v>5</v>
      </c>
      <c r="J653" t="s">
        <v>11566</v>
      </c>
      <c r="K653">
        <f>IFERROR(INDEX(_ENGINE_Risk!$BI$500:$BI$923,MATCH($D653,_ENGINE_Risk!$E$500:$E$923,0))*N($H653),0)</f>
        <v>937.5</v>
      </c>
      <c r="L653">
        <f>IFERROR(MIN(5,$K653/MAX(1,_CONFIG_Model_Settings!$B$105)),0)</f>
        <v>5</v>
      </c>
    </row>
    <row r="654" spans="1:12">
      <c r="A654" t="s">
        <v>4229</v>
      </c>
      <c r="B654" t="s">
        <v>4232</v>
      </c>
      <c r="C654" t="s">
        <v>4231</v>
      </c>
      <c r="D654" t="s">
        <v>2157</v>
      </c>
      <c r="E654" t="s">
        <v>2145</v>
      </c>
      <c r="F654" t="s">
        <v>2147</v>
      </c>
      <c r="G654">
        <f>IFERROR(INDEX(_ENGINE_Risk!$BS$500:$BS$923,MATCH($D654,_ENGINE_Risk!$E$500:$E$923,0)),0)</f>
        <v>8.65</v>
      </c>
      <c r="H654">
        <v>1</v>
      </c>
      <c r="I654">
        <f>IFERROR(MAX(0,5-INDEX(_ENGINE_Risk!$H$500:$H$923,MATCH($D654,_ENGINE_Risk!$E$500:$E$923,0))),0)</f>
        <v>5</v>
      </c>
      <c r="J654" t="s">
        <v>11566</v>
      </c>
      <c r="K654">
        <f>IFERROR(INDEX(_ENGINE_Risk!$BI$500:$BI$923,MATCH($D654,_ENGINE_Risk!$E$500:$E$923,0))*N($H654),0)</f>
        <v>437.5</v>
      </c>
      <c r="L654">
        <f>IFERROR(MIN(5,$K654/MAX(1,_CONFIG_Model_Settings!$B$105)),0)</f>
        <v>5</v>
      </c>
    </row>
    <row r="655" spans="1:12">
      <c r="A655" t="s">
        <v>4229</v>
      </c>
      <c r="B655" t="s">
        <v>4232</v>
      </c>
      <c r="C655" t="s">
        <v>4231</v>
      </c>
      <c r="D655" t="s">
        <v>2167</v>
      </c>
      <c r="E655" t="s">
        <v>2145</v>
      </c>
      <c r="F655" t="s">
        <v>2147</v>
      </c>
      <c r="G655">
        <f>IFERROR(INDEX(_ENGINE_Risk!$BS$500:$BS$923,MATCH($D655,_ENGINE_Risk!$E$500:$E$923,0)),0)</f>
        <v>9.4700000000000006</v>
      </c>
      <c r="H655">
        <v>1</v>
      </c>
      <c r="I655">
        <f>IFERROR(MAX(0,5-INDEX(_ENGINE_Risk!$H$500:$H$923,MATCH($D655,_ENGINE_Risk!$E$500:$E$923,0))),0)</f>
        <v>5</v>
      </c>
      <c r="J655" t="s">
        <v>11566</v>
      </c>
      <c r="K655">
        <f>IFERROR(INDEX(_ENGINE_Risk!$BI$500:$BI$923,MATCH($D655,_ENGINE_Risk!$E$500:$E$923,0))*N($H655),0)</f>
        <v>937.5</v>
      </c>
      <c r="L655">
        <f>IFERROR(MIN(5,$K655/MAX(1,_CONFIG_Model_Settings!$B$105)),0)</f>
        <v>5</v>
      </c>
    </row>
    <row r="656" spans="1:12">
      <c r="A656" t="s">
        <v>4229</v>
      </c>
      <c r="B656" t="s">
        <v>4232</v>
      </c>
      <c r="C656" t="s">
        <v>4231</v>
      </c>
      <c r="D656" t="s">
        <v>2171</v>
      </c>
      <c r="E656" t="s">
        <v>2145</v>
      </c>
      <c r="F656" t="s">
        <v>2147</v>
      </c>
      <c r="G656">
        <f>IFERROR(INDEX(_ENGINE_Risk!$BS$500:$BS$923,MATCH($D656,_ENGINE_Risk!$E$500:$E$923,0)),0)</f>
        <v>9.4700000000000006</v>
      </c>
      <c r="H656">
        <v>1</v>
      </c>
      <c r="I656">
        <f>IFERROR(MAX(0,5-INDEX(_ENGINE_Risk!$H$500:$H$923,MATCH($D656,_ENGINE_Risk!$E$500:$E$923,0))),0)</f>
        <v>5</v>
      </c>
      <c r="J656" t="s">
        <v>11566</v>
      </c>
      <c r="K656">
        <f>IFERROR(INDEX(_ENGINE_Risk!$BI$500:$BI$923,MATCH($D656,_ENGINE_Risk!$E$500:$E$923,0))*N($H656),0)</f>
        <v>937.5</v>
      </c>
      <c r="L656">
        <f>IFERROR(MIN(5,$K656/MAX(1,_CONFIG_Model_Settings!$B$105)),0)</f>
        <v>5</v>
      </c>
    </row>
    <row r="657" spans="1:12">
      <c r="A657" t="s">
        <v>4229</v>
      </c>
      <c r="B657" t="s">
        <v>4232</v>
      </c>
      <c r="C657" t="s">
        <v>4231</v>
      </c>
      <c r="D657" t="s">
        <v>2175</v>
      </c>
      <c r="E657" t="s">
        <v>2145</v>
      </c>
      <c r="F657" t="s">
        <v>2147</v>
      </c>
      <c r="G657">
        <f>IFERROR(INDEX(_ENGINE_Risk!$BS$500:$BS$923,MATCH($D657,_ENGINE_Risk!$E$500:$E$923,0)),0)</f>
        <v>9.4700000000000006</v>
      </c>
      <c r="H657">
        <v>1</v>
      </c>
      <c r="I657">
        <f>IFERROR(MAX(0,5-INDEX(_ENGINE_Risk!$H$500:$H$923,MATCH($D657,_ENGINE_Risk!$E$500:$E$923,0))),0)</f>
        <v>5</v>
      </c>
      <c r="J657" t="s">
        <v>11566</v>
      </c>
      <c r="K657">
        <f>IFERROR(INDEX(_ENGINE_Risk!$BI$500:$BI$923,MATCH($D657,_ENGINE_Risk!$E$500:$E$923,0))*N($H657),0)</f>
        <v>937.5</v>
      </c>
      <c r="L657">
        <f>IFERROR(MIN(5,$K657/MAX(1,_CONFIG_Model_Settings!$B$105)),0)</f>
        <v>5</v>
      </c>
    </row>
    <row r="658" spans="1:12">
      <c r="A658" t="s">
        <v>4243</v>
      </c>
      <c r="B658" t="s">
        <v>4244</v>
      </c>
      <c r="C658" t="s">
        <v>4231</v>
      </c>
      <c r="D658" t="s">
        <v>2178</v>
      </c>
      <c r="E658" t="s">
        <v>2145</v>
      </c>
      <c r="F658" t="s">
        <v>2156</v>
      </c>
      <c r="G658">
        <f>IFERROR(INDEX(_ENGINE_Risk!$BS$500:$BS$923,MATCH($D658,_ENGINE_Risk!$E$500:$E$923,0)),0)</f>
        <v>9.4700000000000006</v>
      </c>
      <c r="H658">
        <v>1</v>
      </c>
      <c r="I658">
        <f>IFERROR(MAX(0,5-INDEX(_ENGINE_Risk!$H$500:$H$923,MATCH($D658,_ENGINE_Risk!$E$500:$E$923,0))),0)</f>
        <v>5</v>
      </c>
      <c r="J658" t="s">
        <v>11566</v>
      </c>
      <c r="K658">
        <f>IFERROR(INDEX(_ENGINE_Risk!$BI$500:$BI$923,MATCH($D658,_ENGINE_Risk!$E$500:$E$923,0))*N($H658),0)</f>
        <v>937.5</v>
      </c>
      <c r="L658">
        <f>IFERROR(MIN(5,$K658/MAX(1,_CONFIG_Model_Settings!$B$105)),0)</f>
        <v>5</v>
      </c>
    </row>
    <row r="659" spans="1:12">
      <c r="A659" t="s">
        <v>4243</v>
      </c>
      <c r="B659" t="s">
        <v>4244</v>
      </c>
      <c r="C659" t="s">
        <v>4231</v>
      </c>
      <c r="D659" t="s">
        <v>2181</v>
      </c>
      <c r="E659" t="s">
        <v>2145</v>
      </c>
      <c r="F659" t="s">
        <v>2156</v>
      </c>
      <c r="G659">
        <f>IFERROR(INDEX(_ENGINE_Risk!$BS$500:$BS$923,MATCH($D659,_ENGINE_Risk!$E$500:$E$923,0)),0)</f>
        <v>9.4700000000000006</v>
      </c>
      <c r="H659">
        <v>1</v>
      </c>
      <c r="I659">
        <f>IFERROR(MAX(0,5-INDEX(_ENGINE_Risk!$H$500:$H$923,MATCH($D659,_ENGINE_Risk!$E$500:$E$923,0))),0)</f>
        <v>5</v>
      </c>
      <c r="J659" t="s">
        <v>11566</v>
      </c>
      <c r="K659">
        <f>IFERROR(INDEX(_ENGINE_Risk!$BI$500:$BI$923,MATCH($D659,_ENGINE_Risk!$E$500:$E$923,0))*N($H659),0)</f>
        <v>937.5</v>
      </c>
      <c r="L659">
        <f>IFERROR(MIN(5,$K659/MAX(1,_CONFIG_Model_Settings!$B$105)),0)</f>
        <v>5</v>
      </c>
    </row>
    <row r="660" spans="1:12">
      <c r="A660" t="s">
        <v>4243</v>
      </c>
      <c r="B660" t="s">
        <v>4244</v>
      </c>
      <c r="C660" t="s">
        <v>4231</v>
      </c>
      <c r="D660" t="s">
        <v>2184</v>
      </c>
      <c r="E660" t="s">
        <v>2145</v>
      </c>
      <c r="F660" t="s">
        <v>2156</v>
      </c>
      <c r="G660">
        <f>IFERROR(INDEX(_ENGINE_Risk!$BS$500:$BS$923,MATCH($D660,_ENGINE_Risk!$E$500:$E$923,0)),0)</f>
        <v>9.4700000000000006</v>
      </c>
      <c r="H660">
        <v>1</v>
      </c>
      <c r="I660">
        <f>IFERROR(MAX(0,5-INDEX(_ENGINE_Risk!$H$500:$H$923,MATCH($D660,_ENGINE_Risk!$E$500:$E$923,0))),0)</f>
        <v>5</v>
      </c>
      <c r="J660" t="s">
        <v>11566</v>
      </c>
      <c r="K660">
        <f>IFERROR(INDEX(_ENGINE_Risk!$BI$500:$BI$923,MATCH($D660,_ENGINE_Risk!$E$500:$E$923,0))*N($H660),0)</f>
        <v>937.5</v>
      </c>
      <c r="L660">
        <f>IFERROR(MIN(5,$K660/MAX(1,_CONFIG_Model_Settings!$B$105)),0)</f>
        <v>5</v>
      </c>
    </row>
    <row r="661" spans="1:12">
      <c r="A661" t="s">
        <v>4243</v>
      </c>
      <c r="B661" t="s">
        <v>4244</v>
      </c>
      <c r="C661" t="s">
        <v>4231</v>
      </c>
      <c r="D661" t="s">
        <v>2187</v>
      </c>
      <c r="E661" t="s">
        <v>2145</v>
      </c>
      <c r="F661" t="s">
        <v>2156</v>
      </c>
      <c r="G661">
        <f>IFERROR(INDEX(_ENGINE_Risk!$BS$500:$BS$923,MATCH($D661,_ENGINE_Risk!$E$500:$E$923,0)),0)</f>
        <v>9.06</v>
      </c>
      <c r="H661">
        <v>1</v>
      </c>
      <c r="I661">
        <f>IFERROR(MAX(0,5-INDEX(_ENGINE_Risk!$H$500:$H$923,MATCH($D661,_ENGINE_Risk!$E$500:$E$923,0))),0)</f>
        <v>5</v>
      </c>
      <c r="J661" t="s">
        <v>11566</v>
      </c>
      <c r="K661">
        <f>IFERROR(INDEX(_ENGINE_Risk!$BI$500:$BI$923,MATCH($D661,_ENGINE_Risk!$E$500:$E$923,0))*N($H661),0)</f>
        <v>437.5</v>
      </c>
      <c r="L661">
        <f>IFERROR(MIN(5,$K661/MAX(1,_CONFIG_Model_Settings!$B$105)),0)</f>
        <v>5</v>
      </c>
    </row>
    <row r="662" spans="1:12">
      <c r="A662" t="s">
        <v>4243</v>
      </c>
      <c r="B662" t="s">
        <v>4244</v>
      </c>
      <c r="C662" t="s">
        <v>4231</v>
      </c>
      <c r="D662" t="s">
        <v>2196</v>
      </c>
      <c r="E662" t="s">
        <v>2145</v>
      </c>
      <c r="F662" t="s">
        <v>2156</v>
      </c>
      <c r="G662">
        <f>IFERROR(INDEX(_ENGINE_Risk!$BS$500:$BS$923,MATCH($D662,_ENGINE_Risk!$E$500:$E$923,0)),0)</f>
        <v>8.65</v>
      </c>
      <c r="H662">
        <v>1</v>
      </c>
      <c r="I662">
        <f>IFERROR(MAX(0,5-INDEX(_ENGINE_Risk!$H$500:$H$923,MATCH($D662,_ENGINE_Risk!$E$500:$E$923,0))),0)</f>
        <v>5</v>
      </c>
      <c r="J662" t="s">
        <v>11566</v>
      </c>
      <c r="K662">
        <f>IFERROR(INDEX(_ENGINE_Risk!$BI$500:$BI$923,MATCH($D662,_ENGINE_Risk!$E$500:$E$923,0))*N($H662),0)</f>
        <v>437.5</v>
      </c>
      <c r="L662">
        <f>IFERROR(MIN(5,$K662/MAX(1,_CONFIG_Model_Settings!$B$105)),0)</f>
        <v>5</v>
      </c>
    </row>
    <row r="663" spans="1:12">
      <c r="A663" t="s">
        <v>4243</v>
      </c>
      <c r="B663" t="s">
        <v>4244</v>
      </c>
      <c r="C663" t="s">
        <v>4231</v>
      </c>
      <c r="D663" t="s">
        <v>2205</v>
      </c>
      <c r="E663" t="s">
        <v>2145</v>
      </c>
      <c r="F663" t="s">
        <v>2156</v>
      </c>
      <c r="G663">
        <f>IFERROR(INDEX(_ENGINE_Risk!$BS$500:$BS$923,MATCH($D663,_ENGINE_Risk!$E$500:$E$923,0)),0)</f>
        <v>9.4700000000000006</v>
      </c>
      <c r="H663">
        <v>1</v>
      </c>
      <c r="I663">
        <f>IFERROR(MAX(0,5-INDEX(_ENGINE_Risk!$H$500:$H$923,MATCH($D663,_ENGINE_Risk!$E$500:$E$923,0))),0)</f>
        <v>5</v>
      </c>
      <c r="J663" t="s">
        <v>11566</v>
      </c>
      <c r="K663">
        <f>IFERROR(INDEX(_ENGINE_Risk!$BI$500:$BI$923,MATCH($D663,_ENGINE_Risk!$E$500:$E$923,0))*N($H663),0)</f>
        <v>937.5</v>
      </c>
      <c r="L663">
        <f>IFERROR(MIN(5,$K663/MAX(1,_CONFIG_Model_Settings!$B$105)),0)</f>
        <v>5</v>
      </c>
    </row>
    <row r="664" spans="1:12">
      <c r="A664" t="s">
        <v>4250</v>
      </c>
      <c r="B664" t="s">
        <v>4251</v>
      </c>
      <c r="C664" t="s">
        <v>4231</v>
      </c>
      <c r="D664" t="s">
        <v>2208</v>
      </c>
      <c r="E664" t="s">
        <v>2145</v>
      </c>
      <c r="F664" t="s">
        <v>2166</v>
      </c>
      <c r="G664">
        <f>IFERROR(INDEX(_ENGINE_Risk!$BS$500:$BS$923,MATCH($D664,_ENGINE_Risk!$E$500:$E$923,0)),0)</f>
        <v>23.66</v>
      </c>
      <c r="H664">
        <v>1</v>
      </c>
      <c r="I664">
        <f>IFERROR(MAX(0,5-INDEX(_ENGINE_Risk!$H$500:$H$923,MATCH($D664,_ENGINE_Risk!$E$500:$E$923,0))),0)</f>
        <v>5</v>
      </c>
      <c r="J664" t="s">
        <v>11566</v>
      </c>
      <c r="K664">
        <f>IFERROR(INDEX(_ENGINE_Risk!$BI$500:$BI$923,MATCH($D664,_ENGINE_Risk!$E$500:$E$923,0))*N($H664),0)</f>
        <v>937.5</v>
      </c>
      <c r="L664">
        <f>IFERROR(MIN(5,$K664/MAX(1,_CONFIG_Model_Settings!$B$105)),0)</f>
        <v>5</v>
      </c>
    </row>
    <row r="665" spans="1:12">
      <c r="A665" t="s">
        <v>4250</v>
      </c>
      <c r="B665" t="s">
        <v>4251</v>
      </c>
      <c r="C665" t="s">
        <v>4231</v>
      </c>
      <c r="D665" t="s">
        <v>2211</v>
      </c>
      <c r="E665" t="s">
        <v>2145</v>
      </c>
      <c r="F665" t="s">
        <v>2166</v>
      </c>
      <c r="G665">
        <f>IFERROR(INDEX(_ENGINE_Risk!$BS$500:$BS$923,MATCH($D665,_ENGINE_Risk!$E$500:$E$923,0)),0)</f>
        <v>23.66</v>
      </c>
      <c r="H665">
        <v>1</v>
      </c>
      <c r="I665">
        <f>IFERROR(MAX(0,5-INDEX(_ENGINE_Risk!$H$500:$H$923,MATCH($D665,_ENGINE_Risk!$E$500:$E$923,0))),0)</f>
        <v>5</v>
      </c>
      <c r="J665" t="s">
        <v>11566</v>
      </c>
      <c r="K665">
        <f>IFERROR(INDEX(_ENGINE_Risk!$BI$500:$BI$923,MATCH($D665,_ENGINE_Risk!$E$500:$E$923,0))*N($H665),0)</f>
        <v>937.5</v>
      </c>
      <c r="L665">
        <f>IFERROR(MIN(5,$K665/MAX(1,_CONFIG_Model_Settings!$B$105)),0)</f>
        <v>5</v>
      </c>
    </row>
    <row r="666" spans="1:12">
      <c r="A666" t="s">
        <v>4250</v>
      </c>
      <c r="B666" t="s">
        <v>4251</v>
      </c>
      <c r="C666" t="s">
        <v>4231</v>
      </c>
      <c r="D666" t="s">
        <v>2214</v>
      </c>
      <c r="E666" t="s">
        <v>2145</v>
      </c>
      <c r="F666" t="s">
        <v>2166</v>
      </c>
      <c r="G666">
        <f>IFERROR(INDEX(_ENGINE_Risk!$BS$500:$BS$923,MATCH($D666,_ENGINE_Risk!$E$500:$E$923,0)),0)</f>
        <v>23.66</v>
      </c>
      <c r="H666">
        <v>1</v>
      </c>
      <c r="I666">
        <f>IFERROR(MAX(0,5-INDEX(_ENGINE_Risk!$H$500:$H$923,MATCH($D666,_ENGINE_Risk!$E$500:$E$923,0))),0)</f>
        <v>5</v>
      </c>
      <c r="J666" t="s">
        <v>11566</v>
      </c>
      <c r="K666">
        <f>IFERROR(INDEX(_ENGINE_Risk!$BI$500:$BI$923,MATCH($D666,_ENGINE_Risk!$E$500:$E$923,0))*N($H666),0)</f>
        <v>937.5</v>
      </c>
      <c r="L666">
        <f>IFERROR(MIN(5,$K666/MAX(1,_CONFIG_Model_Settings!$B$105)),0)</f>
        <v>5</v>
      </c>
    </row>
    <row r="667" spans="1:12">
      <c r="A667" t="s">
        <v>4250</v>
      </c>
      <c r="B667" t="s">
        <v>4251</v>
      </c>
      <c r="C667" t="s">
        <v>4231</v>
      </c>
      <c r="D667" t="s">
        <v>2217</v>
      </c>
      <c r="E667" t="s">
        <v>2145</v>
      </c>
      <c r="F667" t="s">
        <v>2166</v>
      </c>
      <c r="G667">
        <f>IFERROR(INDEX(_ENGINE_Risk!$BS$500:$BS$923,MATCH($D667,_ENGINE_Risk!$E$500:$E$923,0)),0)</f>
        <v>21.63</v>
      </c>
      <c r="H667">
        <v>1</v>
      </c>
      <c r="I667">
        <f>IFERROR(MAX(0,5-INDEX(_ENGINE_Risk!$H$500:$H$923,MATCH($D667,_ENGINE_Risk!$E$500:$E$923,0))),0)</f>
        <v>5</v>
      </c>
      <c r="J667" t="s">
        <v>11566</v>
      </c>
      <c r="K667">
        <f>IFERROR(INDEX(_ENGINE_Risk!$BI$500:$BI$923,MATCH($D667,_ENGINE_Risk!$E$500:$E$923,0))*N($H667),0)</f>
        <v>437.5</v>
      </c>
      <c r="L667">
        <f>IFERROR(MIN(5,$K667/MAX(1,_CONFIG_Model_Settings!$B$105)),0)</f>
        <v>5</v>
      </c>
    </row>
    <row r="668" spans="1:12">
      <c r="A668" t="s">
        <v>4250</v>
      </c>
      <c r="B668" t="s">
        <v>4251</v>
      </c>
      <c r="C668" t="s">
        <v>4231</v>
      </c>
      <c r="D668" t="s">
        <v>2226</v>
      </c>
      <c r="E668" t="s">
        <v>2145</v>
      </c>
      <c r="F668" t="s">
        <v>2166</v>
      </c>
      <c r="G668">
        <f>IFERROR(INDEX(_ENGINE_Risk!$BS$500:$BS$923,MATCH($D668,_ENGINE_Risk!$E$500:$E$923,0)),0)</f>
        <v>23.66</v>
      </c>
      <c r="H668">
        <v>1</v>
      </c>
      <c r="I668">
        <f>IFERROR(MAX(0,5-INDEX(_ENGINE_Risk!$H$500:$H$923,MATCH($D668,_ENGINE_Risk!$E$500:$E$923,0))),0)</f>
        <v>5</v>
      </c>
      <c r="J668" t="s">
        <v>11566</v>
      </c>
      <c r="K668">
        <f>IFERROR(INDEX(_ENGINE_Risk!$BI$500:$BI$923,MATCH($D668,_ENGINE_Risk!$E$500:$E$923,0))*N($H668),0)</f>
        <v>937.5</v>
      </c>
      <c r="L668">
        <f>IFERROR(MIN(5,$K668/MAX(1,_CONFIG_Model_Settings!$B$105)),0)</f>
        <v>5</v>
      </c>
    </row>
    <row r="669" spans="1:12">
      <c r="A669" t="s">
        <v>4250</v>
      </c>
      <c r="B669" t="s">
        <v>4251</v>
      </c>
      <c r="C669" t="s">
        <v>4231</v>
      </c>
      <c r="D669" t="s">
        <v>2229</v>
      </c>
      <c r="E669" t="s">
        <v>2145</v>
      </c>
      <c r="F669" t="s">
        <v>2166</v>
      </c>
      <c r="G669">
        <f>IFERROR(INDEX(_ENGINE_Risk!$BS$500:$BS$923,MATCH($D669,_ENGINE_Risk!$E$500:$E$923,0)),0)</f>
        <v>23.66</v>
      </c>
      <c r="H669">
        <v>1</v>
      </c>
      <c r="I669">
        <f>IFERROR(MAX(0,5-INDEX(_ENGINE_Risk!$H$500:$H$923,MATCH($D669,_ENGINE_Risk!$E$500:$E$923,0))),0)</f>
        <v>5</v>
      </c>
      <c r="J669" t="s">
        <v>11566</v>
      </c>
      <c r="K669">
        <f>IFERROR(INDEX(_ENGINE_Risk!$BI$500:$BI$923,MATCH($D669,_ENGINE_Risk!$E$500:$E$923,0))*N($H669),0)</f>
        <v>937.5</v>
      </c>
      <c r="L669">
        <f>IFERROR(MIN(5,$K669/MAX(1,_CONFIG_Model_Settings!$B$105)),0)</f>
        <v>5</v>
      </c>
    </row>
    <row r="670" spans="1:12">
      <c r="A670" t="s">
        <v>4257</v>
      </c>
      <c r="B670" t="s">
        <v>4258</v>
      </c>
      <c r="C670" t="s">
        <v>4231</v>
      </c>
      <c r="D670" t="s">
        <v>2232</v>
      </c>
      <c r="E670" t="s">
        <v>2145</v>
      </c>
      <c r="F670" t="s">
        <v>2170</v>
      </c>
      <c r="G670">
        <f>IFERROR(INDEX(_ENGINE_Risk!$BS$500:$BS$923,MATCH($D670,_ENGINE_Risk!$E$500:$E$923,0)),0)</f>
        <v>23.66</v>
      </c>
      <c r="H670">
        <v>1</v>
      </c>
      <c r="I670">
        <f>IFERROR(MAX(0,5-INDEX(_ENGINE_Risk!$H$500:$H$923,MATCH($D670,_ENGINE_Risk!$E$500:$E$923,0))),0)</f>
        <v>5</v>
      </c>
      <c r="J670" t="s">
        <v>11566</v>
      </c>
      <c r="K670">
        <f>IFERROR(INDEX(_ENGINE_Risk!$BI$500:$BI$923,MATCH($D670,_ENGINE_Risk!$E$500:$E$923,0))*N($H670),0)</f>
        <v>937.5</v>
      </c>
      <c r="L670">
        <f>IFERROR(MIN(5,$K670/MAX(1,_CONFIG_Model_Settings!$B$105)),0)</f>
        <v>5</v>
      </c>
    </row>
    <row r="671" spans="1:12">
      <c r="A671" t="s">
        <v>4257</v>
      </c>
      <c r="B671" t="s">
        <v>4258</v>
      </c>
      <c r="C671" t="s">
        <v>4231</v>
      </c>
      <c r="D671" t="s">
        <v>2235</v>
      </c>
      <c r="E671" t="s">
        <v>2145</v>
      </c>
      <c r="F671" t="s">
        <v>2170</v>
      </c>
      <c r="G671">
        <f>IFERROR(INDEX(_ENGINE_Risk!$BS$500:$BS$923,MATCH($D671,_ENGINE_Risk!$E$500:$E$923,0)),0)</f>
        <v>21.63</v>
      </c>
      <c r="H671">
        <v>1</v>
      </c>
      <c r="I671">
        <f>IFERROR(MAX(0,5-INDEX(_ENGINE_Risk!$H$500:$H$923,MATCH($D671,_ENGINE_Risk!$E$500:$E$923,0))),0)</f>
        <v>5</v>
      </c>
      <c r="J671" t="s">
        <v>11566</v>
      </c>
      <c r="K671">
        <f>IFERROR(INDEX(_ENGINE_Risk!$BI$500:$BI$923,MATCH($D671,_ENGINE_Risk!$E$500:$E$923,0))*N($H671),0)</f>
        <v>437.5</v>
      </c>
      <c r="L671">
        <f>IFERROR(MIN(5,$K671/MAX(1,_CONFIG_Model_Settings!$B$105)),0)</f>
        <v>5</v>
      </c>
    </row>
    <row r="672" spans="1:12">
      <c r="A672" t="s">
        <v>4257</v>
      </c>
      <c r="B672" t="s">
        <v>4258</v>
      </c>
      <c r="C672" t="s">
        <v>4231</v>
      </c>
      <c r="D672" t="s">
        <v>2244</v>
      </c>
      <c r="E672" t="s">
        <v>2145</v>
      </c>
      <c r="F672" t="s">
        <v>2170</v>
      </c>
      <c r="G672">
        <f>IFERROR(INDEX(_ENGINE_Risk!$BS$500:$BS$923,MATCH($D672,_ENGINE_Risk!$E$500:$E$923,0)),0)</f>
        <v>23.66</v>
      </c>
      <c r="H672">
        <v>1</v>
      </c>
      <c r="I672">
        <f>IFERROR(MAX(0,5-INDEX(_ENGINE_Risk!$H$500:$H$923,MATCH($D672,_ENGINE_Risk!$E$500:$E$923,0))),0)</f>
        <v>5</v>
      </c>
      <c r="J672" t="s">
        <v>11566</v>
      </c>
      <c r="K672">
        <f>IFERROR(INDEX(_ENGINE_Risk!$BI$500:$BI$923,MATCH($D672,_ENGINE_Risk!$E$500:$E$923,0))*N($H672),0)</f>
        <v>937.5</v>
      </c>
      <c r="L672">
        <f>IFERROR(MIN(5,$K672/MAX(1,_CONFIG_Model_Settings!$B$105)),0)</f>
        <v>5</v>
      </c>
    </row>
    <row r="673" spans="1:12">
      <c r="A673" t="s">
        <v>4257</v>
      </c>
      <c r="B673" t="s">
        <v>4258</v>
      </c>
      <c r="C673" t="s">
        <v>4231</v>
      </c>
      <c r="D673" t="s">
        <v>2247</v>
      </c>
      <c r="E673" t="s">
        <v>2145</v>
      </c>
      <c r="F673" t="s">
        <v>2170</v>
      </c>
      <c r="G673">
        <f>IFERROR(INDEX(_ENGINE_Risk!$BS$500:$BS$923,MATCH($D673,_ENGINE_Risk!$E$500:$E$923,0)),0)</f>
        <v>23.66</v>
      </c>
      <c r="H673">
        <v>1</v>
      </c>
      <c r="I673">
        <f>IFERROR(MAX(0,5-INDEX(_ENGINE_Risk!$H$500:$H$923,MATCH($D673,_ENGINE_Risk!$E$500:$E$923,0))),0)</f>
        <v>5</v>
      </c>
      <c r="J673" t="s">
        <v>11566</v>
      </c>
      <c r="K673">
        <f>IFERROR(INDEX(_ENGINE_Risk!$BI$500:$BI$923,MATCH($D673,_ENGINE_Risk!$E$500:$E$923,0))*N($H673),0)</f>
        <v>937.5</v>
      </c>
      <c r="L673">
        <f>IFERROR(MIN(5,$K673/MAX(1,_CONFIG_Model_Settings!$B$105)),0)</f>
        <v>5</v>
      </c>
    </row>
    <row r="674" spans="1:12">
      <c r="A674" t="s">
        <v>4257</v>
      </c>
      <c r="B674" t="s">
        <v>4258</v>
      </c>
      <c r="C674" t="s">
        <v>4231</v>
      </c>
      <c r="D674" t="s">
        <v>2250</v>
      </c>
      <c r="E674" t="s">
        <v>2145</v>
      </c>
      <c r="F674" t="s">
        <v>2170</v>
      </c>
      <c r="G674">
        <f>IFERROR(INDEX(_ENGINE_Risk!$BS$500:$BS$923,MATCH($D674,_ENGINE_Risk!$E$500:$E$923,0)),0)</f>
        <v>23.66</v>
      </c>
      <c r="H674">
        <v>1</v>
      </c>
      <c r="I674">
        <f>IFERROR(MAX(0,5-INDEX(_ENGINE_Risk!$H$500:$H$923,MATCH($D674,_ENGINE_Risk!$E$500:$E$923,0))),0)</f>
        <v>5</v>
      </c>
      <c r="J674" t="s">
        <v>11566</v>
      </c>
      <c r="K674">
        <f>IFERROR(INDEX(_ENGINE_Risk!$BI$500:$BI$923,MATCH($D674,_ENGINE_Risk!$E$500:$E$923,0))*N($H674),0)</f>
        <v>937.5</v>
      </c>
      <c r="L674">
        <f>IFERROR(MIN(5,$K674/MAX(1,_CONFIG_Model_Settings!$B$105)),0)</f>
        <v>5</v>
      </c>
    </row>
    <row r="675" spans="1:12">
      <c r="A675" t="s">
        <v>4257</v>
      </c>
      <c r="B675" t="s">
        <v>4258</v>
      </c>
      <c r="C675" t="s">
        <v>4231</v>
      </c>
      <c r="D675" t="s">
        <v>2253</v>
      </c>
      <c r="E675" t="s">
        <v>2145</v>
      </c>
      <c r="F675" t="s">
        <v>2170</v>
      </c>
      <c r="G675">
        <f>IFERROR(INDEX(_ENGINE_Risk!$BS$500:$BS$923,MATCH($D675,_ENGINE_Risk!$E$500:$E$923,0)),0)</f>
        <v>21.63</v>
      </c>
      <c r="H675">
        <v>1</v>
      </c>
      <c r="I675">
        <f>IFERROR(MAX(0,5-INDEX(_ENGINE_Risk!$H$500:$H$923,MATCH($D675,_ENGINE_Risk!$E$500:$E$923,0))),0)</f>
        <v>5</v>
      </c>
      <c r="J675" t="s">
        <v>11566</v>
      </c>
      <c r="K675">
        <f>IFERROR(INDEX(_ENGINE_Risk!$BI$500:$BI$923,MATCH($D675,_ENGINE_Risk!$E$500:$E$923,0))*N($H675),0)</f>
        <v>437.5</v>
      </c>
      <c r="L675">
        <f>IFERROR(MIN(5,$K675/MAX(1,_CONFIG_Model_Settings!$B$105)),0)</f>
        <v>5</v>
      </c>
    </row>
    <row r="676" spans="1:12">
      <c r="A676" t="s">
        <v>4264</v>
      </c>
      <c r="B676" t="s">
        <v>4265</v>
      </c>
      <c r="C676" t="s">
        <v>4231</v>
      </c>
      <c r="D676" t="s">
        <v>2262</v>
      </c>
      <c r="E676" t="s">
        <v>2145</v>
      </c>
      <c r="F676" t="s">
        <v>2174</v>
      </c>
      <c r="G676">
        <f>IFERROR(INDEX(_ENGINE_Risk!$BS$500:$BS$923,MATCH($D676,_ENGINE_Risk!$E$500:$E$923,0)),0)</f>
        <v>22.65</v>
      </c>
      <c r="H676">
        <v>1</v>
      </c>
      <c r="I676">
        <f>IFERROR(MAX(0,5-INDEX(_ENGINE_Risk!$H$500:$H$923,MATCH($D676,_ENGINE_Risk!$E$500:$E$923,0))),0)</f>
        <v>5</v>
      </c>
      <c r="J676" t="s">
        <v>11566</v>
      </c>
      <c r="K676">
        <f>IFERROR(INDEX(_ENGINE_Risk!$BI$500:$BI$923,MATCH($D676,_ENGINE_Risk!$E$500:$E$923,0))*N($H676),0)</f>
        <v>437.5</v>
      </c>
      <c r="L676">
        <f>IFERROR(MIN(5,$K676/MAX(1,_CONFIG_Model_Settings!$B$105)),0)</f>
        <v>5</v>
      </c>
    </row>
    <row r="677" spans="1:12">
      <c r="A677" t="s">
        <v>4264</v>
      </c>
      <c r="B677" t="s">
        <v>4265</v>
      </c>
      <c r="C677" t="s">
        <v>4231</v>
      </c>
      <c r="D677" t="s">
        <v>2271</v>
      </c>
      <c r="E677" t="s">
        <v>2145</v>
      </c>
      <c r="F677" t="s">
        <v>2174</v>
      </c>
      <c r="G677">
        <f>IFERROR(INDEX(_ENGINE_Risk!$BS$500:$BS$923,MATCH($D677,_ENGINE_Risk!$E$500:$E$923,0)),0)</f>
        <v>22.65</v>
      </c>
      <c r="H677">
        <v>1</v>
      </c>
      <c r="I677">
        <f>IFERROR(MAX(0,5-INDEX(_ENGINE_Risk!$H$500:$H$923,MATCH($D677,_ENGINE_Risk!$E$500:$E$923,0))),0)</f>
        <v>5</v>
      </c>
      <c r="J677" t="s">
        <v>11566</v>
      </c>
      <c r="K677">
        <f>IFERROR(INDEX(_ENGINE_Risk!$BI$500:$BI$923,MATCH($D677,_ENGINE_Risk!$E$500:$E$923,0))*N($H677),0)</f>
        <v>437.5</v>
      </c>
      <c r="L677">
        <f>IFERROR(MIN(5,$K677/MAX(1,_CONFIG_Model_Settings!$B$105)),0)</f>
        <v>5</v>
      </c>
    </row>
    <row r="678" spans="1:12">
      <c r="A678" t="s">
        <v>4264</v>
      </c>
      <c r="B678" t="s">
        <v>4265</v>
      </c>
      <c r="C678" t="s">
        <v>4231</v>
      </c>
      <c r="D678" t="s">
        <v>2280</v>
      </c>
      <c r="E678" t="s">
        <v>2145</v>
      </c>
      <c r="F678" t="s">
        <v>2174</v>
      </c>
      <c r="G678">
        <f>IFERROR(INDEX(_ENGINE_Risk!$BS$500:$BS$923,MATCH($D678,_ENGINE_Risk!$E$500:$E$923,0)),0)</f>
        <v>23.66</v>
      </c>
      <c r="H678">
        <v>1</v>
      </c>
      <c r="I678">
        <f>IFERROR(MAX(0,5-INDEX(_ENGINE_Risk!$H$500:$H$923,MATCH($D678,_ENGINE_Risk!$E$500:$E$923,0))),0)</f>
        <v>5</v>
      </c>
      <c r="J678" t="s">
        <v>11566</v>
      </c>
      <c r="K678">
        <f>IFERROR(INDEX(_ENGINE_Risk!$BI$500:$BI$923,MATCH($D678,_ENGINE_Risk!$E$500:$E$923,0))*N($H678),0)</f>
        <v>937.5</v>
      </c>
      <c r="L678">
        <f>IFERROR(MIN(5,$K678/MAX(1,_CONFIG_Model_Settings!$B$105)),0)</f>
        <v>5</v>
      </c>
    </row>
    <row r="679" spans="1:12">
      <c r="A679" t="s">
        <v>4264</v>
      </c>
      <c r="B679" t="s">
        <v>4265</v>
      </c>
      <c r="C679" t="s">
        <v>4231</v>
      </c>
      <c r="D679" t="s">
        <v>2283</v>
      </c>
      <c r="E679" t="s">
        <v>2145</v>
      </c>
      <c r="F679" t="s">
        <v>2174</v>
      </c>
      <c r="G679">
        <f>IFERROR(INDEX(_ENGINE_Risk!$BS$500:$BS$923,MATCH($D679,_ENGINE_Risk!$E$500:$E$923,0)),0)</f>
        <v>23.66</v>
      </c>
      <c r="H679">
        <v>1</v>
      </c>
      <c r="I679">
        <f>IFERROR(MAX(0,5-INDEX(_ENGINE_Risk!$H$500:$H$923,MATCH($D679,_ENGINE_Risk!$E$500:$E$923,0))),0)</f>
        <v>5</v>
      </c>
      <c r="J679" t="s">
        <v>11566</v>
      </c>
      <c r="K679">
        <f>IFERROR(INDEX(_ENGINE_Risk!$BI$500:$BI$923,MATCH($D679,_ENGINE_Risk!$E$500:$E$923,0))*N($H679),0)</f>
        <v>937.5</v>
      </c>
      <c r="L679">
        <f>IFERROR(MIN(5,$K679/MAX(1,_CONFIG_Model_Settings!$B$105)),0)</f>
        <v>5</v>
      </c>
    </row>
    <row r="680" spans="1:12">
      <c r="A680" t="s">
        <v>4271</v>
      </c>
      <c r="B680" t="s">
        <v>4274</v>
      </c>
      <c r="C680" t="s">
        <v>4273</v>
      </c>
      <c r="D680" t="s">
        <v>2287</v>
      </c>
      <c r="E680" t="s">
        <v>2286</v>
      </c>
      <c r="F680" t="s">
        <v>2288</v>
      </c>
      <c r="G680">
        <f>IFERROR(INDEX(_ENGINE_Risk!$BS$500:$BS$923,MATCH($D680,_ENGINE_Risk!$E$500:$E$923,0)),0)</f>
        <v>19.89</v>
      </c>
      <c r="H680">
        <v>1</v>
      </c>
      <c r="I680">
        <f>IFERROR(MAX(0,5-INDEX(_ENGINE_Risk!$H$500:$H$923,MATCH($D680,_ENGINE_Risk!$E$500:$E$923,0))),0)</f>
        <v>5</v>
      </c>
      <c r="J680" t="s">
        <v>11566</v>
      </c>
      <c r="K680">
        <f>IFERROR(INDEX(_ENGINE_Risk!$BI$500:$BI$923,MATCH($D680,_ENGINE_Risk!$E$500:$E$923,0))*N($H680),0)</f>
        <v>437.5</v>
      </c>
      <c r="L680">
        <f>IFERROR(MIN(5,$K680/MAX(1,_CONFIG_Model_Settings!$B$105)),0)</f>
        <v>5</v>
      </c>
    </row>
    <row r="681" spans="1:12">
      <c r="A681" t="s">
        <v>4271</v>
      </c>
      <c r="B681" t="s">
        <v>4274</v>
      </c>
      <c r="C681" t="s">
        <v>4273</v>
      </c>
      <c r="D681" t="s">
        <v>2300</v>
      </c>
      <c r="E681" t="s">
        <v>2286</v>
      </c>
      <c r="F681" t="s">
        <v>2288</v>
      </c>
      <c r="G681">
        <f>IFERROR(INDEX(_ENGINE_Risk!$BS$500:$BS$923,MATCH($D681,_ENGINE_Risk!$E$500:$E$923,0)),0)</f>
        <v>19.89</v>
      </c>
      <c r="H681">
        <v>1</v>
      </c>
      <c r="I681">
        <f>IFERROR(MAX(0,5-INDEX(_ENGINE_Risk!$H$500:$H$923,MATCH($D681,_ENGINE_Risk!$E$500:$E$923,0))),0)</f>
        <v>5</v>
      </c>
      <c r="J681" t="s">
        <v>11566</v>
      </c>
      <c r="K681">
        <f>IFERROR(INDEX(_ENGINE_Risk!$BI$500:$BI$923,MATCH($D681,_ENGINE_Risk!$E$500:$E$923,0))*N($H681),0)</f>
        <v>437.5</v>
      </c>
      <c r="L681">
        <f>IFERROR(MIN(5,$K681/MAX(1,_CONFIG_Model_Settings!$B$105)),0)</f>
        <v>5</v>
      </c>
    </row>
    <row r="682" spans="1:12">
      <c r="A682" t="s">
        <v>4005</v>
      </c>
      <c r="B682" t="s">
        <v>4006</v>
      </c>
      <c r="C682" t="s">
        <v>3957</v>
      </c>
      <c r="D682" t="s">
        <v>1254</v>
      </c>
      <c r="E682" t="s">
        <v>1150</v>
      </c>
      <c r="F682" t="s">
        <v>1161</v>
      </c>
      <c r="G682">
        <f>IFERROR(INDEX(_ENGINE_Risk!$BS$500:$BS$923,MATCH($D682,_ENGINE_Risk!$E$500:$E$923,0)),0)</f>
        <v>20.350000000000001</v>
      </c>
      <c r="H682">
        <v>1</v>
      </c>
      <c r="I682">
        <f>IFERROR(MAX(0,5-INDEX(_ENGINE_Risk!$H$500:$H$923,MATCH($D682,_ENGINE_Risk!$E$500:$E$923,0))),0)</f>
        <v>5</v>
      </c>
      <c r="J682" t="s">
        <v>11567</v>
      </c>
      <c r="K682">
        <f>IFERROR(INDEX(_ENGINE_Risk!$BI$500:$BI$923,MATCH($D682,_ENGINE_Risk!$E$500:$E$923,0))*N($H682),0)</f>
        <v>437.5</v>
      </c>
      <c r="L682">
        <f>IFERROR(MIN(5,$K682/MAX(1,_CONFIG_Model_Settings!$B$105)),0)</f>
        <v>5</v>
      </c>
    </row>
    <row r="683" spans="1:12">
      <c r="A683" t="s">
        <v>4271</v>
      </c>
      <c r="B683" t="s">
        <v>4274</v>
      </c>
      <c r="C683" t="s">
        <v>4273</v>
      </c>
      <c r="D683" t="s">
        <v>2310</v>
      </c>
      <c r="E683" t="s">
        <v>2286</v>
      </c>
      <c r="F683" t="s">
        <v>2288</v>
      </c>
      <c r="G683">
        <f>IFERROR(INDEX(_ENGINE_Risk!$BS$500:$BS$923,MATCH($D683,_ENGINE_Risk!$E$500:$E$923,0)),0)</f>
        <v>19.89</v>
      </c>
      <c r="H683">
        <v>1</v>
      </c>
      <c r="I683">
        <f>IFERROR(MAX(0,5-INDEX(_ENGINE_Risk!$H$500:$H$923,MATCH($D683,_ENGINE_Risk!$E$500:$E$923,0))),0)</f>
        <v>5</v>
      </c>
      <c r="J683" t="s">
        <v>11566</v>
      </c>
      <c r="K683">
        <f>IFERROR(INDEX(_ENGINE_Risk!$BI$500:$BI$923,MATCH($D683,_ENGINE_Risk!$E$500:$E$923,0))*N($H683),0)</f>
        <v>437.5</v>
      </c>
      <c r="L683">
        <f>IFERROR(MIN(5,$K683/MAX(1,_CONFIG_Model_Settings!$B$105)),0)</f>
        <v>5</v>
      </c>
    </row>
    <row r="684" spans="1:12">
      <c r="A684" t="s">
        <v>4271</v>
      </c>
      <c r="B684" t="s">
        <v>4274</v>
      </c>
      <c r="C684" t="s">
        <v>4273</v>
      </c>
      <c r="D684" t="s">
        <v>2320</v>
      </c>
      <c r="E684" t="s">
        <v>2286</v>
      </c>
      <c r="F684" t="s">
        <v>2288</v>
      </c>
      <c r="G684">
        <f>IFERROR(INDEX(_ENGINE_Risk!$BS$500:$BS$923,MATCH($D684,_ENGINE_Risk!$E$500:$E$923,0)),0)</f>
        <v>19.89</v>
      </c>
      <c r="H684">
        <v>1</v>
      </c>
      <c r="I684">
        <f>IFERROR(MAX(0,5-INDEX(_ENGINE_Risk!$H$500:$H$923,MATCH($D684,_ENGINE_Risk!$E$500:$E$923,0))),0)</f>
        <v>5</v>
      </c>
      <c r="J684" t="s">
        <v>11566</v>
      </c>
      <c r="K684">
        <f>IFERROR(INDEX(_ENGINE_Risk!$BI$500:$BI$923,MATCH($D684,_ENGINE_Risk!$E$500:$E$923,0))*N($H684),0)</f>
        <v>437.5</v>
      </c>
      <c r="L684">
        <f>IFERROR(MIN(5,$K684/MAX(1,_CONFIG_Model_Settings!$B$105)),0)</f>
        <v>5</v>
      </c>
    </row>
    <row r="685" spans="1:12">
      <c r="A685" t="s">
        <v>4283</v>
      </c>
      <c r="B685" t="s">
        <v>4284</v>
      </c>
      <c r="C685" t="s">
        <v>4273</v>
      </c>
      <c r="D685" t="s">
        <v>2330</v>
      </c>
      <c r="E685" t="s">
        <v>2286</v>
      </c>
      <c r="F685" t="s">
        <v>2309</v>
      </c>
      <c r="G685">
        <f>IFERROR(INDEX(_ENGINE_Risk!$BS$500:$BS$923,MATCH($D685,_ENGINE_Risk!$E$500:$E$923,0)),0)</f>
        <v>19.2</v>
      </c>
      <c r="H685">
        <v>1</v>
      </c>
      <c r="I685">
        <f>IFERROR(MAX(0,5-INDEX(_ENGINE_Risk!$H$500:$H$923,MATCH($D685,_ENGINE_Risk!$E$500:$E$923,0))),0)</f>
        <v>5</v>
      </c>
      <c r="J685" t="s">
        <v>11566</v>
      </c>
      <c r="K685">
        <f>IFERROR(INDEX(_ENGINE_Risk!$BI$500:$BI$923,MATCH($D685,_ENGINE_Risk!$E$500:$E$923,0))*N($H685),0)</f>
        <v>437.5</v>
      </c>
      <c r="L685">
        <f>IFERROR(MIN(5,$K685/MAX(1,_CONFIG_Model_Settings!$B$105)),0)</f>
        <v>5</v>
      </c>
    </row>
    <row r="686" spans="1:12">
      <c r="A686" t="s">
        <v>4283</v>
      </c>
      <c r="B686" t="s">
        <v>4284</v>
      </c>
      <c r="C686" t="s">
        <v>4273</v>
      </c>
      <c r="D686" t="s">
        <v>2340</v>
      </c>
      <c r="E686" t="s">
        <v>2286</v>
      </c>
      <c r="F686" t="s">
        <v>2309</v>
      </c>
      <c r="G686">
        <f>IFERROR(INDEX(_ENGINE_Risk!$BS$500:$BS$923,MATCH($D686,_ENGINE_Risk!$E$500:$E$923,0)),0)</f>
        <v>20.13</v>
      </c>
      <c r="H686">
        <v>1</v>
      </c>
      <c r="I686">
        <f>IFERROR(MAX(0,5-INDEX(_ENGINE_Risk!$H$500:$H$923,MATCH($D686,_ENGINE_Risk!$E$500:$E$923,0))),0)</f>
        <v>5</v>
      </c>
      <c r="J686" t="s">
        <v>11566</v>
      </c>
      <c r="K686">
        <f>IFERROR(INDEX(_ENGINE_Risk!$BI$500:$BI$923,MATCH($D686,_ENGINE_Risk!$E$500:$E$923,0))*N($H686),0)</f>
        <v>437.5</v>
      </c>
      <c r="L686">
        <f>IFERROR(MIN(5,$K686/MAX(1,_CONFIG_Model_Settings!$B$105)),0)</f>
        <v>5</v>
      </c>
    </row>
    <row r="687" spans="1:12">
      <c r="A687" t="s">
        <v>4283</v>
      </c>
      <c r="B687" t="s">
        <v>4284</v>
      </c>
      <c r="C687" t="s">
        <v>4273</v>
      </c>
      <c r="D687" t="s">
        <v>2343</v>
      </c>
      <c r="E687" t="s">
        <v>2286</v>
      </c>
      <c r="F687" t="s">
        <v>2309</v>
      </c>
      <c r="G687">
        <f>IFERROR(INDEX(_ENGINE_Risk!$BS$500:$BS$923,MATCH($D687,_ENGINE_Risk!$E$500:$E$923,0)),0)</f>
        <v>19.2</v>
      </c>
      <c r="H687">
        <v>1</v>
      </c>
      <c r="I687">
        <f>IFERROR(MAX(0,5-INDEX(_ENGINE_Risk!$H$500:$H$923,MATCH($D687,_ENGINE_Risk!$E$500:$E$923,0))),0)</f>
        <v>5</v>
      </c>
      <c r="J687" t="s">
        <v>11566</v>
      </c>
      <c r="K687">
        <f>IFERROR(INDEX(_ENGINE_Risk!$BI$500:$BI$923,MATCH($D687,_ENGINE_Risk!$E$500:$E$923,0))*N($H687),0)</f>
        <v>437.5</v>
      </c>
      <c r="L687">
        <f>IFERROR(MIN(5,$K687/MAX(1,_CONFIG_Model_Settings!$B$105)),0)</f>
        <v>5</v>
      </c>
    </row>
    <row r="688" spans="1:12">
      <c r="A688" t="s">
        <v>4283</v>
      </c>
      <c r="B688" t="s">
        <v>4284</v>
      </c>
      <c r="C688" t="s">
        <v>4273</v>
      </c>
      <c r="D688" t="s">
        <v>2352</v>
      </c>
      <c r="E688" t="s">
        <v>2286</v>
      </c>
      <c r="F688" t="s">
        <v>2309</v>
      </c>
      <c r="G688">
        <f>IFERROR(INDEX(_ENGINE_Risk!$BS$500:$BS$923,MATCH($D688,_ENGINE_Risk!$E$500:$E$923,0)),0)</f>
        <v>19.2</v>
      </c>
      <c r="H688">
        <v>1</v>
      </c>
      <c r="I688">
        <f>IFERROR(MAX(0,5-INDEX(_ENGINE_Risk!$H$500:$H$923,MATCH($D688,_ENGINE_Risk!$E$500:$E$923,0))),0)</f>
        <v>5</v>
      </c>
      <c r="J688" t="s">
        <v>11566</v>
      </c>
      <c r="K688">
        <f>IFERROR(INDEX(_ENGINE_Risk!$BI$500:$BI$923,MATCH($D688,_ENGINE_Risk!$E$500:$E$923,0))*N($H688),0)</f>
        <v>437.5</v>
      </c>
      <c r="L688">
        <f>IFERROR(MIN(5,$K688/MAX(1,_CONFIG_Model_Settings!$B$105)),0)</f>
        <v>5</v>
      </c>
    </row>
    <row r="689" spans="1:12">
      <c r="A689" t="s">
        <v>4283</v>
      </c>
      <c r="B689" t="s">
        <v>4284</v>
      </c>
      <c r="C689" t="s">
        <v>4273</v>
      </c>
      <c r="D689" t="s">
        <v>2355</v>
      </c>
      <c r="E689" t="s">
        <v>2286</v>
      </c>
      <c r="F689" t="s">
        <v>2309</v>
      </c>
      <c r="G689">
        <f>IFERROR(INDEX(_ENGINE_Risk!$BS$500:$BS$923,MATCH($D689,_ENGINE_Risk!$E$500:$E$923,0)),0)</f>
        <v>18.96</v>
      </c>
      <c r="H689">
        <v>1</v>
      </c>
      <c r="I689">
        <f>IFERROR(MAX(0,5-INDEX(_ENGINE_Risk!$H$500:$H$923,MATCH($D689,_ENGINE_Risk!$E$500:$E$923,0))),0)</f>
        <v>5</v>
      </c>
      <c r="J689" t="s">
        <v>11566</v>
      </c>
      <c r="K689">
        <f>IFERROR(INDEX(_ENGINE_Risk!$BI$500:$BI$923,MATCH($D689,_ENGINE_Risk!$E$500:$E$923,0))*N($H689),0)</f>
        <v>437.5</v>
      </c>
      <c r="L689">
        <f>IFERROR(MIN(5,$K689/MAX(1,_CONFIG_Model_Settings!$B$105)),0)</f>
        <v>5</v>
      </c>
    </row>
    <row r="690" spans="1:12">
      <c r="A690" t="s">
        <v>4290</v>
      </c>
      <c r="B690" t="s">
        <v>4291</v>
      </c>
      <c r="C690" t="s">
        <v>4273</v>
      </c>
      <c r="D690" t="s">
        <v>2364</v>
      </c>
      <c r="E690" t="s">
        <v>2286</v>
      </c>
      <c r="F690" t="s">
        <v>2319</v>
      </c>
      <c r="G690">
        <f>IFERROR(INDEX(_ENGINE_Risk!$BS$500:$BS$923,MATCH($D690,_ENGINE_Risk!$E$500:$E$923,0)),0)</f>
        <v>19.2</v>
      </c>
      <c r="H690">
        <v>1</v>
      </c>
      <c r="I690">
        <f>IFERROR(MAX(0,5-INDEX(_ENGINE_Risk!$H$500:$H$923,MATCH($D690,_ENGINE_Risk!$E$500:$E$923,0))),0)</f>
        <v>5</v>
      </c>
      <c r="J690" t="s">
        <v>11566</v>
      </c>
      <c r="K690">
        <f>IFERROR(INDEX(_ENGINE_Risk!$BI$500:$BI$923,MATCH($D690,_ENGINE_Risk!$E$500:$E$923,0))*N($H690),0)</f>
        <v>437.5</v>
      </c>
      <c r="L690">
        <f>IFERROR(MIN(5,$K690/MAX(1,_CONFIG_Model_Settings!$B$105)),0)</f>
        <v>5</v>
      </c>
    </row>
    <row r="691" spans="1:12">
      <c r="A691" t="s">
        <v>4290</v>
      </c>
      <c r="B691" t="s">
        <v>4291</v>
      </c>
      <c r="C691" t="s">
        <v>4273</v>
      </c>
      <c r="D691" t="s">
        <v>2373</v>
      </c>
      <c r="E691" t="s">
        <v>2286</v>
      </c>
      <c r="F691" t="s">
        <v>2319</v>
      </c>
      <c r="G691">
        <f>IFERROR(INDEX(_ENGINE_Risk!$BS$500:$BS$923,MATCH($D691,_ENGINE_Risk!$E$500:$E$923,0)),0)</f>
        <v>19.2</v>
      </c>
      <c r="H691">
        <v>1</v>
      </c>
      <c r="I691">
        <f>IFERROR(MAX(0,5-INDEX(_ENGINE_Risk!$H$500:$H$923,MATCH($D691,_ENGINE_Risk!$E$500:$E$923,0))),0)</f>
        <v>5</v>
      </c>
      <c r="J691" t="s">
        <v>11566</v>
      </c>
      <c r="K691">
        <f>IFERROR(INDEX(_ENGINE_Risk!$BI$500:$BI$923,MATCH($D691,_ENGINE_Risk!$E$500:$E$923,0))*N($H691),0)</f>
        <v>437.5</v>
      </c>
      <c r="L691">
        <f>IFERROR(MIN(5,$K691/MAX(1,_CONFIG_Model_Settings!$B$105)),0)</f>
        <v>5</v>
      </c>
    </row>
    <row r="692" spans="1:12">
      <c r="A692" t="s">
        <v>4290</v>
      </c>
      <c r="B692" t="s">
        <v>4291</v>
      </c>
      <c r="C692" t="s">
        <v>4273</v>
      </c>
      <c r="D692" t="s">
        <v>2382</v>
      </c>
      <c r="E692" t="s">
        <v>2286</v>
      </c>
      <c r="F692" t="s">
        <v>2319</v>
      </c>
      <c r="G692">
        <f>IFERROR(INDEX(_ENGINE_Risk!$BS$500:$BS$923,MATCH($D692,_ENGINE_Risk!$E$500:$E$923,0)),0)</f>
        <v>18.28</v>
      </c>
      <c r="H692">
        <v>1</v>
      </c>
      <c r="I692">
        <f>IFERROR(MAX(0,5-INDEX(_ENGINE_Risk!$H$500:$H$923,MATCH($D692,_ENGINE_Risk!$E$500:$E$923,0))),0)</f>
        <v>5</v>
      </c>
      <c r="J692" t="s">
        <v>11566</v>
      </c>
      <c r="K692">
        <f>IFERROR(INDEX(_ENGINE_Risk!$BI$500:$BI$923,MATCH($D692,_ENGINE_Risk!$E$500:$E$923,0))*N($H692),0)</f>
        <v>437.5</v>
      </c>
      <c r="L692">
        <f>IFERROR(MIN(5,$K692/MAX(1,_CONFIG_Model_Settings!$B$105)),0)</f>
        <v>5</v>
      </c>
    </row>
    <row r="693" spans="1:12">
      <c r="A693" t="s">
        <v>4290</v>
      </c>
      <c r="B693" t="s">
        <v>4291</v>
      </c>
      <c r="C693" t="s">
        <v>4273</v>
      </c>
      <c r="D693" t="s">
        <v>2391</v>
      </c>
      <c r="E693" t="s">
        <v>2286</v>
      </c>
      <c r="F693" t="s">
        <v>2319</v>
      </c>
      <c r="G693">
        <f>IFERROR(INDEX(_ENGINE_Risk!$BS$500:$BS$923,MATCH($D693,_ENGINE_Risk!$E$500:$E$923,0)),0)</f>
        <v>20.13</v>
      </c>
      <c r="H693">
        <v>1</v>
      </c>
      <c r="I693">
        <f>IFERROR(MAX(0,5-INDEX(_ENGINE_Risk!$H$500:$H$923,MATCH($D693,_ENGINE_Risk!$E$500:$E$923,0))),0)</f>
        <v>5</v>
      </c>
      <c r="J693" t="s">
        <v>11566</v>
      </c>
      <c r="K693">
        <f>IFERROR(INDEX(_ENGINE_Risk!$BI$500:$BI$923,MATCH($D693,_ENGINE_Risk!$E$500:$E$923,0))*N($H693),0)</f>
        <v>437.5</v>
      </c>
      <c r="L693">
        <f>IFERROR(MIN(5,$K693/MAX(1,_CONFIG_Model_Settings!$B$105)),0)</f>
        <v>5</v>
      </c>
    </row>
    <row r="694" spans="1:12">
      <c r="A694" t="s">
        <v>4290</v>
      </c>
      <c r="B694" t="s">
        <v>4291</v>
      </c>
      <c r="C694" t="s">
        <v>4273</v>
      </c>
      <c r="D694" t="s">
        <v>2394</v>
      </c>
      <c r="E694" t="s">
        <v>2286</v>
      </c>
      <c r="F694" t="s">
        <v>2319</v>
      </c>
      <c r="G694">
        <f>IFERROR(INDEX(_ENGINE_Risk!$BS$500:$BS$923,MATCH($D694,_ENGINE_Risk!$E$500:$E$923,0)),0)</f>
        <v>20.81</v>
      </c>
      <c r="H694">
        <v>1</v>
      </c>
      <c r="I694">
        <f>IFERROR(MAX(0,5-INDEX(_ENGINE_Risk!$H$500:$H$923,MATCH($D694,_ENGINE_Risk!$E$500:$E$923,0))),0)</f>
        <v>5</v>
      </c>
      <c r="J694" t="s">
        <v>11566</v>
      </c>
      <c r="K694">
        <f>IFERROR(INDEX(_ENGINE_Risk!$BI$500:$BI$923,MATCH($D694,_ENGINE_Risk!$E$500:$E$923,0))*N($H694),0)</f>
        <v>937.5</v>
      </c>
      <c r="L694">
        <f>IFERROR(MIN(5,$K694/MAX(1,_CONFIG_Model_Settings!$B$105)),0)</f>
        <v>5</v>
      </c>
    </row>
    <row r="695" spans="1:12">
      <c r="A695" t="s">
        <v>4290</v>
      </c>
      <c r="B695" t="s">
        <v>4291</v>
      </c>
      <c r="C695" t="s">
        <v>4273</v>
      </c>
      <c r="D695" t="s">
        <v>2397</v>
      </c>
      <c r="E695" t="s">
        <v>2286</v>
      </c>
      <c r="F695" t="s">
        <v>2319</v>
      </c>
      <c r="G695">
        <f>IFERROR(INDEX(_ENGINE_Risk!$BS$500:$BS$923,MATCH($D695,_ENGINE_Risk!$E$500:$E$923,0)),0)</f>
        <v>18.28</v>
      </c>
      <c r="H695">
        <v>1</v>
      </c>
      <c r="I695">
        <f>IFERROR(MAX(0,5-INDEX(_ENGINE_Risk!$H$500:$H$923,MATCH($D695,_ENGINE_Risk!$E$500:$E$923,0))),0)</f>
        <v>5</v>
      </c>
      <c r="J695" t="s">
        <v>11566</v>
      </c>
      <c r="K695">
        <f>IFERROR(INDEX(_ENGINE_Risk!$BI$500:$BI$923,MATCH($D695,_ENGINE_Risk!$E$500:$E$923,0))*N($H695),0)</f>
        <v>437.5</v>
      </c>
      <c r="L695">
        <f>IFERROR(MIN(5,$K695/MAX(1,_CONFIG_Model_Settings!$B$105)),0)</f>
        <v>5</v>
      </c>
    </row>
    <row r="696" spans="1:12">
      <c r="A696" t="s">
        <v>4297</v>
      </c>
      <c r="B696" t="s">
        <v>4298</v>
      </c>
      <c r="C696" t="s">
        <v>4273</v>
      </c>
      <c r="D696" t="s">
        <v>2406</v>
      </c>
      <c r="E696" t="s">
        <v>2286</v>
      </c>
      <c r="F696" t="s">
        <v>2329</v>
      </c>
      <c r="G696">
        <f>IFERROR(INDEX(_ENGINE_Risk!$BS$500:$BS$923,MATCH($D696,_ENGINE_Risk!$E$500:$E$923,0)),0)</f>
        <v>19.2</v>
      </c>
      <c r="H696">
        <v>1</v>
      </c>
      <c r="I696">
        <f>IFERROR(MAX(0,5-INDEX(_ENGINE_Risk!$H$500:$H$923,MATCH($D696,_ENGINE_Risk!$E$500:$E$923,0))),0)</f>
        <v>5</v>
      </c>
      <c r="J696" t="s">
        <v>11566</v>
      </c>
      <c r="K696">
        <f>IFERROR(INDEX(_ENGINE_Risk!$BI$500:$BI$923,MATCH($D696,_ENGINE_Risk!$E$500:$E$923,0))*N($H696),0)</f>
        <v>437.5</v>
      </c>
      <c r="L696">
        <f>IFERROR(MIN(5,$K696/MAX(1,_CONFIG_Model_Settings!$B$105)),0)</f>
        <v>5</v>
      </c>
    </row>
    <row r="697" spans="1:12">
      <c r="A697" t="s">
        <v>4297</v>
      </c>
      <c r="B697" t="s">
        <v>4298</v>
      </c>
      <c r="C697" t="s">
        <v>4273</v>
      </c>
      <c r="D697" t="s">
        <v>2415</v>
      </c>
      <c r="E697" t="s">
        <v>2286</v>
      </c>
      <c r="F697" t="s">
        <v>2329</v>
      </c>
      <c r="G697">
        <f>IFERROR(INDEX(_ENGINE_Risk!$BS$500:$BS$923,MATCH($D697,_ENGINE_Risk!$E$500:$E$923,0)),0)</f>
        <v>20.13</v>
      </c>
      <c r="H697">
        <v>1</v>
      </c>
      <c r="I697">
        <f>IFERROR(MAX(0,5-INDEX(_ENGINE_Risk!$H$500:$H$923,MATCH($D697,_ENGINE_Risk!$E$500:$E$923,0))),0)</f>
        <v>5</v>
      </c>
      <c r="J697" t="s">
        <v>11566</v>
      </c>
      <c r="K697">
        <f>IFERROR(INDEX(_ENGINE_Risk!$BI$500:$BI$923,MATCH($D697,_ENGINE_Risk!$E$500:$E$923,0))*N($H697),0)</f>
        <v>437.5</v>
      </c>
      <c r="L697">
        <f>IFERROR(MIN(5,$K697/MAX(1,_CONFIG_Model_Settings!$B$105)),0)</f>
        <v>5</v>
      </c>
    </row>
    <row r="698" spans="1:12">
      <c r="A698" t="s">
        <v>4046</v>
      </c>
      <c r="B698" t="s">
        <v>4047</v>
      </c>
      <c r="C698" t="s">
        <v>4021</v>
      </c>
      <c r="D698" t="s">
        <v>1363</v>
      </c>
      <c r="E698" t="s">
        <v>1259</v>
      </c>
      <c r="F698" t="s">
        <v>1278</v>
      </c>
      <c r="G698">
        <f>IFERROR(INDEX(_ENGINE_Risk!$BS$500:$BS$923,MATCH($D698,_ENGINE_Risk!$E$500:$E$923,0)),0)</f>
        <v>15.96</v>
      </c>
      <c r="H698">
        <v>1</v>
      </c>
      <c r="I698">
        <f>IFERROR(MAX(0,5-INDEX(_ENGINE_Risk!$H$500:$H$923,MATCH($D698,_ENGINE_Risk!$E$500:$E$923,0))),0)</f>
        <v>5</v>
      </c>
      <c r="J698" t="s">
        <v>11567</v>
      </c>
      <c r="K698">
        <f>IFERROR(INDEX(_ENGINE_Risk!$BI$500:$BI$923,MATCH($D698,_ENGINE_Risk!$E$500:$E$923,0))*N($H698),0)</f>
        <v>187.5</v>
      </c>
      <c r="L698">
        <f>IFERROR(MIN(5,$K698/MAX(1,_CONFIG_Model_Settings!$B$105)),0)</f>
        <v>2.5</v>
      </c>
    </row>
    <row r="699" spans="1:12">
      <c r="A699" t="s">
        <v>4297</v>
      </c>
      <c r="B699" t="s">
        <v>4298</v>
      </c>
      <c r="C699" t="s">
        <v>4273</v>
      </c>
      <c r="D699" t="s">
        <v>2418</v>
      </c>
      <c r="E699" t="s">
        <v>2286</v>
      </c>
      <c r="F699" t="s">
        <v>2329</v>
      </c>
      <c r="G699">
        <f>IFERROR(INDEX(_ENGINE_Risk!$BS$500:$BS$923,MATCH($D699,_ENGINE_Risk!$E$500:$E$923,0)),0)</f>
        <v>20.13</v>
      </c>
      <c r="H699">
        <v>1</v>
      </c>
      <c r="I699">
        <f>IFERROR(MAX(0,5-INDEX(_ENGINE_Risk!$H$500:$H$923,MATCH($D699,_ENGINE_Risk!$E$500:$E$923,0))),0)</f>
        <v>5</v>
      </c>
      <c r="J699" t="s">
        <v>11566</v>
      </c>
      <c r="K699">
        <f>IFERROR(INDEX(_ENGINE_Risk!$BI$500:$BI$923,MATCH($D699,_ENGINE_Risk!$E$500:$E$923,0))*N($H699),0)</f>
        <v>437.5</v>
      </c>
      <c r="L699">
        <f>IFERROR(MIN(5,$K699/MAX(1,_CONFIG_Model_Settings!$B$105)),0)</f>
        <v>5</v>
      </c>
    </row>
    <row r="700" spans="1:12">
      <c r="A700" t="s">
        <v>4297</v>
      </c>
      <c r="B700" t="s">
        <v>4298</v>
      </c>
      <c r="C700" t="s">
        <v>4273</v>
      </c>
      <c r="D700" t="s">
        <v>2421</v>
      </c>
      <c r="E700" t="s">
        <v>2286</v>
      </c>
      <c r="F700" t="s">
        <v>2329</v>
      </c>
      <c r="G700">
        <f>IFERROR(INDEX(_ENGINE_Risk!$BS$500:$BS$923,MATCH($D700,_ENGINE_Risk!$E$500:$E$923,0)),0)</f>
        <v>20.13</v>
      </c>
      <c r="H700">
        <v>1</v>
      </c>
      <c r="I700">
        <f>IFERROR(MAX(0,5-INDEX(_ENGINE_Risk!$H$500:$H$923,MATCH($D700,_ENGINE_Risk!$E$500:$E$923,0))),0)</f>
        <v>5</v>
      </c>
      <c r="J700" t="s">
        <v>11566</v>
      </c>
      <c r="K700">
        <f>IFERROR(INDEX(_ENGINE_Risk!$BI$500:$BI$923,MATCH($D700,_ENGINE_Risk!$E$500:$E$923,0))*N($H700),0)</f>
        <v>437.5</v>
      </c>
      <c r="L700">
        <f>IFERROR(MIN(5,$K700/MAX(1,_CONFIG_Model_Settings!$B$105)),0)</f>
        <v>5</v>
      </c>
    </row>
    <row r="701" spans="1:12">
      <c r="A701" t="s">
        <v>4304</v>
      </c>
      <c r="B701" t="s">
        <v>4305</v>
      </c>
      <c r="C701" t="s">
        <v>4273</v>
      </c>
      <c r="D701" t="s">
        <v>2474</v>
      </c>
      <c r="E701" t="s">
        <v>2473</v>
      </c>
      <c r="F701" t="s">
        <v>2475</v>
      </c>
      <c r="G701">
        <f>IFERROR(INDEX(_ENGINE_Risk!$BS$500:$BS$923,MATCH($D701,_ENGINE_Risk!$E$500:$E$923,0)),0)</f>
        <v>12.31</v>
      </c>
      <c r="H701">
        <v>1</v>
      </c>
      <c r="I701">
        <f>IFERROR(MAX(0,5-INDEX(_ENGINE_Risk!$H$500:$H$923,MATCH($D701,_ENGINE_Risk!$E$500:$E$923,0))),0)</f>
        <v>5</v>
      </c>
      <c r="J701" t="s">
        <v>11566</v>
      </c>
      <c r="K701">
        <f>IFERROR(INDEX(_ENGINE_Risk!$BI$500:$BI$923,MATCH($D701,_ENGINE_Risk!$E$500:$E$923,0))*N($H701),0)</f>
        <v>437.5</v>
      </c>
      <c r="L701">
        <f>IFERROR(MIN(5,$K701/MAX(1,_CONFIG_Model_Settings!$B$105)),0)</f>
        <v>5</v>
      </c>
    </row>
    <row r="702" spans="1:12">
      <c r="A702" t="s">
        <v>4304</v>
      </c>
      <c r="B702" t="s">
        <v>4305</v>
      </c>
      <c r="C702" t="s">
        <v>4273</v>
      </c>
      <c r="D702" t="s">
        <v>2487</v>
      </c>
      <c r="E702" t="s">
        <v>2473</v>
      </c>
      <c r="F702" t="s">
        <v>2475</v>
      </c>
      <c r="G702">
        <f>IFERROR(INDEX(_ENGINE_Risk!$BS$500:$BS$923,MATCH($D702,_ENGINE_Risk!$E$500:$E$923,0)),0)</f>
        <v>13.61</v>
      </c>
      <c r="H702">
        <v>1</v>
      </c>
      <c r="I702">
        <f>IFERROR(MAX(0,5-INDEX(_ENGINE_Risk!$H$500:$H$923,MATCH($D702,_ENGINE_Risk!$E$500:$E$923,0))),0)</f>
        <v>5</v>
      </c>
      <c r="J702" t="s">
        <v>11566</v>
      </c>
      <c r="K702">
        <f>IFERROR(INDEX(_ENGINE_Risk!$BI$500:$BI$923,MATCH($D702,_ENGINE_Risk!$E$500:$E$923,0))*N($H702),0)</f>
        <v>437.5</v>
      </c>
      <c r="L702">
        <f>IFERROR(MIN(5,$K702/MAX(1,_CONFIG_Model_Settings!$B$105)),0)</f>
        <v>5</v>
      </c>
    </row>
    <row r="703" spans="1:12">
      <c r="A703" t="s">
        <v>4304</v>
      </c>
      <c r="B703" t="s">
        <v>4305</v>
      </c>
      <c r="C703" t="s">
        <v>4273</v>
      </c>
      <c r="D703" t="s">
        <v>2491</v>
      </c>
      <c r="E703" t="s">
        <v>2473</v>
      </c>
      <c r="F703" t="s">
        <v>2475</v>
      </c>
      <c r="G703">
        <f>IFERROR(INDEX(_ENGINE_Risk!$BS$500:$BS$923,MATCH($D703,_ENGINE_Risk!$E$500:$E$923,0)),0)</f>
        <v>13.61</v>
      </c>
      <c r="H703">
        <v>1</v>
      </c>
      <c r="I703">
        <f>IFERROR(MAX(0,5-INDEX(_ENGINE_Risk!$H$500:$H$923,MATCH($D703,_ENGINE_Risk!$E$500:$E$923,0))),0)</f>
        <v>5</v>
      </c>
      <c r="J703" t="s">
        <v>11566</v>
      </c>
      <c r="K703">
        <f>IFERROR(INDEX(_ENGINE_Risk!$BI$500:$BI$923,MATCH($D703,_ENGINE_Risk!$E$500:$E$923,0))*N($H703),0)</f>
        <v>437.5</v>
      </c>
      <c r="L703">
        <f>IFERROR(MIN(5,$K703/MAX(1,_CONFIG_Model_Settings!$B$105)),0)</f>
        <v>5</v>
      </c>
    </row>
    <row r="704" spans="1:12">
      <c r="A704" t="s">
        <v>4304</v>
      </c>
      <c r="B704" t="s">
        <v>4305</v>
      </c>
      <c r="C704" t="s">
        <v>4273</v>
      </c>
      <c r="D704" t="s">
        <v>2495</v>
      </c>
      <c r="E704" t="s">
        <v>2473</v>
      </c>
      <c r="F704" t="s">
        <v>2475</v>
      </c>
      <c r="G704">
        <f>IFERROR(INDEX(_ENGINE_Risk!$BS$500:$BS$923,MATCH($D704,_ENGINE_Risk!$E$500:$E$923,0)),0)</f>
        <v>12.31</v>
      </c>
      <c r="H704">
        <v>1</v>
      </c>
      <c r="I704">
        <f>IFERROR(MAX(0,5-INDEX(_ENGINE_Risk!$H$500:$H$923,MATCH($D704,_ENGINE_Risk!$E$500:$E$923,0))),0)</f>
        <v>5</v>
      </c>
      <c r="J704" t="s">
        <v>11566</v>
      </c>
      <c r="K704">
        <f>IFERROR(INDEX(_ENGINE_Risk!$BI$500:$BI$923,MATCH($D704,_ENGINE_Risk!$E$500:$E$923,0))*N($H704),0)</f>
        <v>437.5</v>
      </c>
      <c r="L704">
        <f>IFERROR(MIN(5,$K704/MAX(1,_CONFIG_Model_Settings!$B$105)),0)</f>
        <v>5</v>
      </c>
    </row>
    <row r="705" spans="1:12">
      <c r="A705" t="s">
        <v>4304</v>
      </c>
      <c r="B705" t="s">
        <v>4305</v>
      </c>
      <c r="C705" t="s">
        <v>4273</v>
      </c>
      <c r="D705" t="s">
        <v>2504</v>
      </c>
      <c r="E705" t="s">
        <v>2473</v>
      </c>
      <c r="F705" t="s">
        <v>2475</v>
      </c>
      <c r="G705">
        <f>IFERROR(INDEX(_ENGINE_Risk!$BS$500:$BS$923,MATCH($D705,_ENGINE_Risk!$E$500:$E$923,0)),0)</f>
        <v>12.31</v>
      </c>
      <c r="H705">
        <v>1</v>
      </c>
      <c r="I705">
        <f>IFERROR(MAX(0,5-INDEX(_ENGINE_Risk!$H$500:$H$923,MATCH($D705,_ENGINE_Risk!$E$500:$E$923,0))),0)</f>
        <v>5</v>
      </c>
      <c r="J705" t="s">
        <v>11566</v>
      </c>
      <c r="K705">
        <f>IFERROR(INDEX(_ENGINE_Risk!$BI$500:$BI$923,MATCH($D705,_ENGINE_Risk!$E$500:$E$923,0))*N($H705),0)</f>
        <v>437.5</v>
      </c>
      <c r="L705">
        <f>IFERROR(MIN(5,$K705/MAX(1,_CONFIG_Model_Settings!$B$105)),0)</f>
        <v>5</v>
      </c>
    </row>
    <row r="706" spans="1:12">
      <c r="A706" t="s">
        <v>4313</v>
      </c>
      <c r="B706" t="s">
        <v>4314</v>
      </c>
      <c r="C706" t="s">
        <v>3924</v>
      </c>
      <c r="D706" t="s">
        <v>2513</v>
      </c>
      <c r="E706" t="s">
        <v>2473</v>
      </c>
      <c r="F706" t="s">
        <v>2490</v>
      </c>
      <c r="G706">
        <f>IFERROR(INDEX(_ENGINE_Risk!$BS$500:$BS$923,MATCH($D706,_ENGINE_Risk!$E$500:$E$923,0)),0)</f>
        <v>13.61</v>
      </c>
      <c r="H706">
        <v>1</v>
      </c>
      <c r="I706">
        <f>IFERROR(MAX(0,5-INDEX(_ENGINE_Risk!$H$500:$H$923,MATCH($D706,_ENGINE_Risk!$E$500:$E$923,0))),0)</f>
        <v>5</v>
      </c>
      <c r="J706" t="s">
        <v>11566</v>
      </c>
      <c r="K706">
        <f>IFERROR(INDEX(_ENGINE_Risk!$BI$500:$BI$923,MATCH($D706,_ENGINE_Risk!$E$500:$E$923,0))*N($H706),0)</f>
        <v>437.5</v>
      </c>
      <c r="L706">
        <f>IFERROR(MIN(5,$K706/MAX(1,_CONFIG_Model_Settings!$B$105)),0)</f>
        <v>5</v>
      </c>
    </row>
    <row r="707" spans="1:12">
      <c r="A707" t="s">
        <v>4313</v>
      </c>
      <c r="B707" t="s">
        <v>4314</v>
      </c>
      <c r="C707" t="s">
        <v>3924</v>
      </c>
      <c r="D707" t="s">
        <v>2516</v>
      </c>
      <c r="E707" t="s">
        <v>2473</v>
      </c>
      <c r="F707" t="s">
        <v>2490</v>
      </c>
      <c r="G707">
        <f>IFERROR(INDEX(_ENGINE_Risk!$BS$500:$BS$923,MATCH($D707,_ENGINE_Risk!$E$500:$E$923,0)),0)</f>
        <v>14.09</v>
      </c>
      <c r="H707">
        <v>1</v>
      </c>
      <c r="I707">
        <f>IFERROR(MAX(0,5-INDEX(_ENGINE_Risk!$H$500:$H$923,MATCH($D707,_ENGINE_Risk!$E$500:$E$923,0))),0)</f>
        <v>5</v>
      </c>
      <c r="J707" t="s">
        <v>11566</v>
      </c>
      <c r="K707">
        <f>IFERROR(INDEX(_ENGINE_Risk!$BI$500:$BI$923,MATCH($D707,_ENGINE_Risk!$E$500:$E$923,0))*N($H707),0)</f>
        <v>437.5</v>
      </c>
      <c r="L707">
        <f>IFERROR(MIN(5,$K707/MAX(1,_CONFIG_Model_Settings!$B$105)),0)</f>
        <v>5</v>
      </c>
    </row>
    <row r="708" spans="1:12">
      <c r="A708" t="s">
        <v>4313</v>
      </c>
      <c r="B708" t="s">
        <v>4314</v>
      </c>
      <c r="C708" t="s">
        <v>3924</v>
      </c>
      <c r="D708" t="s">
        <v>2519</v>
      </c>
      <c r="E708" t="s">
        <v>2473</v>
      </c>
      <c r="F708" t="s">
        <v>2490</v>
      </c>
      <c r="G708">
        <f>IFERROR(INDEX(_ENGINE_Risk!$BS$500:$BS$923,MATCH($D708,_ENGINE_Risk!$E$500:$E$923,0)),0)</f>
        <v>12.96</v>
      </c>
      <c r="H708">
        <v>1</v>
      </c>
      <c r="I708">
        <f>IFERROR(MAX(0,5-INDEX(_ENGINE_Risk!$H$500:$H$923,MATCH($D708,_ENGINE_Risk!$E$500:$E$923,0))),0)</f>
        <v>5</v>
      </c>
      <c r="J708" t="s">
        <v>11566</v>
      </c>
      <c r="K708">
        <f>IFERROR(INDEX(_ENGINE_Risk!$BI$500:$BI$923,MATCH($D708,_ENGINE_Risk!$E$500:$E$923,0))*N($H708),0)</f>
        <v>437.5</v>
      </c>
      <c r="L708">
        <f>IFERROR(MIN(5,$K708/MAX(1,_CONFIG_Model_Settings!$B$105)),0)</f>
        <v>5</v>
      </c>
    </row>
    <row r="709" spans="1:12">
      <c r="A709" t="s">
        <v>4313</v>
      </c>
      <c r="B709" t="s">
        <v>4314</v>
      </c>
      <c r="C709" t="s">
        <v>3924</v>
      </c>
      <c r="D709" t="s">
        <v>2528</v>
      </c>
      <c r="E709" t="s">
        <v>2473</v>
      </c>
      <c r="F709" t="s">
        <v>2490</v>
      </c>
      <c r="G709">
        <f>IFERROR(INDEX(_ENGINE_Risk!$BS$500:$BS$923,MATCH($D709,_ENGINE_Risk!$E$500:$E$923,0)),0)</f>
        <v>12.31</v>
      </c>
      <c r="H709">
        <v>1</v>
      </c>
      <c r="I709">
        <f>IFERROR(MAX(0,5-INDEX(_ENGINE_Risk!$H$500:$H$923,MATCH($D709,_ENGINE_Risk!$E$500:$E$923,0))),0)</f>
        <v>5</v>
      </c>
      <c r="J709" t="s">
        <v>11566</v>
      </c>
      <c r="K709">
        <f>IFERROR(INDEX(_ENGINE_Risk!$BI$500:$BI$923,MATCH($D709,_ENGINE_Risk!$E$500:$E$923,0))*N($H709),0)</f>
        <v>437.5</v>
      </c>
      <c r="L709">
        <f>IFERROR(MIN(5,$K709/MAX(1,_CONFIG_Model_Settings!$B$105)),0)</f>
        <v>5</v>
      </c>
    </row>
    <row r="710" spans="1:12">
      <c r="A710" t="s">
        <v>4313</v>
      </c>
      <c r="B710" t="s">
        <v>4314</v>
      </c>
      <c r="C710" t="s">
        <v>3924</v>
      </c>
      <c r="D710" t="s">
        <v>2537</v>
      </c>
      <c r="E710" t="s">
        <v>2473</v>
      </c>
      <c r="F710" t="s">
        <v>2490</v>
      </c>
      <c r="G710">
        <f>IFERROR(INDEX(_ENGINE_Risk!$BS$500:$BS$923,MATCH($D710,_ENGINE_Risk!$E$500:$E$923,0)),0)</f>
        <v>12.96</v>
      </c>
      <c r="H710">
        <v>1</v>
      </c>
      <c r="I710">
        <f>IFERROR(MAX(0,5-INDEX(_ENGINE_Risk!$H$500:$H$923,MATCH($D710,_ENGINE_Risk!$E$500:$E$923,0))),0)</f>
        <v>5</v>
      </c>
      <c r="J710" t="s">
        <v>11566</v>
      </c>
      <c r="K710">
        <f>IFERROR(INDEX(_ENGINE_Risk!$BI$500:$BI$923,MATCH($D710,_ENGINE_Risk!$E$500:$E$923,0))*N($H710),0)</f>
        <v>437.5</v>
      </c>
      <c r="L710">
        <f>IFERROR(MIN(5,$K710/MAX(1,_CONFIG_Model_Settings!$B$105)),0)</f>
        <v>5</v>
      </c>
    </row>
    <row r="711" spans="1:12">
      <c r="A711" t="s">
        <v>4313</v>
      </c>
      <c r="B711" t="s">
        <v>4314</v>
      </c>
      <c r="C711" t="s">
        <v>3924</v>
      </c>
      <c r="D711" t="s">
        <v>2546</v>
      </c>
      <c r="E711" t="s">
        <v>2473</v>
      </c>
      <c r="F711" t="s">
        <v>2490</v>
      </c>
      <c r="G711">
        <f>IFERROR(INDEX(_ENGINE_Risk!$BS$500:$BS$923,MATCH($D711,_ENGINE_Risk!$E$500:$E$923,0)),0)</f>
        <v>12.31</v>
      </c>
      <c r="H711">
        <v>1</v>
      </c>
      <c r="I711">
        <f>IFERROR(MAX(0,5-INDEX(_ENGINE_Risk!$H$500:$H$923,MATCH($D711,_ENGINE_Risk!$E$500:$E$923,0))),0)</f>
        <v>5</v>
      </c>
      <c r="J711" t="s">
        <v>11566</v>
      </c>
      <c r="K711">
        <f>IFERROR(INDEX(_ENGINE_Risk!$BI$500:$BI$923,MATCH($D711,_ENGINE_Risk!$E$500:$E$923,0))*N($H711),0)</f>
        <v>437.5</v>
      </c>
      <c r="L711">
        <f>IFERROR(MIN(5,$K711/MAX(1,_CONFIG_Model_Settings!$B$105)),0)</f>
        <v>5</v>
      </c>
    </row>
    <row r="712" spans="1:12">
      <c r="A712" t="s">
        <v>4321</v>
      </c>
      <c r="B712" t="s">
        <v>4322</v>
      </c>
      <c r="C712" t="s">
        <v>4273</v>
      </c>
      <c r="D712" t="s">
        <v>2555</v>
      </c>
      <c r="E712" t="s">
        <v>2473</v>
      </c>
      <c r="F712" t="s">
        <v>2494</v>
      </c>
      <c r="G712">
        <f>IFERROR(INDEX(_ENGINE_Risk!$BS$500:$BS$923,MATCH($D712,_ENGINE_Risk!$E$500:$E$923,0)),0)</f>
        <v>14.09</v>
      </c>
      <c r="H712">
        <v>1</v>
      </c>
      <c r="I712">
        <f>IFERROR(MAX(0,5-INDEX(_ENGINE_Risk!$H$500:$H$923,MATCH($D712,_ENGINE_Risk!$E$500:$E$923,0))),0)</f>
        <v>5</v>
      </c>
      <c r="J712" t="s">
        <v>11566</v>
      </c>
      <c r="K712">
        <f>IFERROR(INDEX(_ENGINE_Risk!$BI$500:$BI$923,MATCH($D712,_ENGINE_Risk!$E$500:$E$923,0))*N($H712),0)</f>
        <v>437.5</v>
      </c>
      <c r="L712">
        <f>IFERROR(MIN(5,$K712/MAX(1,_CONFIG_Model_Settings!$B$105)),0)</f>
        <v>5</v>
      </c>
    </row>
    <row r="713" spans="1:12">
      <c r="A713" t="s">
        <v>4321</v>
      </c>
      <c r="B713" t="s">
        <v>4322</v>
      </c>
      <c r="C713" t="s">
        <v>4273</v>
      </c>
      <c r="D713" t="s">
        <v>2558</v>
      </c>
      <c r="E713" t="s">
        <v>2473</v>
      </c>
      <c r="F713" t="s">
        <v>2494</v>
      </c>
      <c r="G713">
        <f>IFERROR(INDEX(_ENGINE_Risk!$BS$500:$BS$923,MATCH($D713,_ENGINE_Risk!$E$500:$E$923,0)),0)</f>
        <v>12.8</v>
      </c>
      <c r="H713">
        <v>1</v>
      </c>
      <c r="I713">
        <f>IFERROR(MAX(0,5-INDEX(_ENGINE_Risk!$H$500:$H$923,MATCH($D713,_ENGINE_Risk!$E$500:$E$923,0))),0)</f>
        <v>5</v>
      </c>
      <c r="J713" t="s">
        <v>11566</v>
      </c>
      <c r="K713">
        <f>IFERROR(INDEX(_ENGINE_Risk!$BI$500:$BI$923,MATCH($D713,_ENGINE_Risk!$E$500:$E$923,0))*N($H713),0)</f>
        <v>437.5</v>
      </c>
      <c r="L713">
        <f>IFERROR(MIN(5,$K713/MAX(1,_CONFIG_Model_Settings!$B$105)),0)</f>
        <v>5</v>
      </c>
    </row>
    <row r="714" spans="1:12">
      <c r="A714" t="s">
        <v>4321</v>
      </c>
      <c r="B714" t="s">
        <v>4322</v>
      </c>
      <c r="C714" t="s">
        <v>4273</v>
      </c>
      <c r="D714" t="s">
        <v>2567</v>
      </c>
      <c r="E714" t="s">
        <v>2473</v>
      </c>
      <c r="F714" t="s">
        <v>2494</v>
      </c>
      <c r="G714">
        <f>IFERROR(INDEX(_ENGINE_Risk!$BS$500:$BS$923,MATCH($D714,_ENGINE_Risk!$E$500:$E$923,0)),0)</f>
        <v>12.96</v>
      </c>
      <c r="H714">
        <v>1</v>
      </c>
      <c r="I714">
        <f>IFERROR(MAX(0,5-INDEX(_ENGINE_Risk!$H$500:$H$923,MATCH($D714,_ENGINE_Risk!$E$500:$E$923,0))),0)</f>
        <v>5</v>
      </c>
      <c r="J714" t="s">
        <v>11566</v>
      </c>
      <c r="K714">
        <f>IFERROR(INDEX(_ENGINE_Risk!$BI$500:$BI$923,MATCH($D714,_ENGINE_Risk!$E$500:$E$923,0))*N($H714),0)</f>
        <v>437.5</v>
      </c>
      <c r="L714">
        <f>IFERROR(MIN(5,$K714/MAX(1,_CONFIG_Model_Settings!$B$105)),0)</f>
        <v>5</v>
      </c>
    </row>
    <row r="715" spans="1:12">
      <c r="A715" t="s">
        <v>4321</v>
      </c>
      <c r="B715" t="s">
        <v>4322</v>
      </c>
      <c r="C715" t="s">
        <v>4273</v>
      </c>
      <c r="D715" t="s">
        <v>2576</v>
      </c>
      <c r="E715" t="s">
        <v>2473</v>
      </c>
      <c r="F715" t="s">
        <v>2494</v>
      </c>
      <c r="G715">
        <f>IFERROR(INDEX(_ENGINE_Risk!$BS$500:$BS$923,MATCH($D715,_ENGINE_Risk!$E$500:$E$923,0)),0)</f>
        <v>12.31</v>
      </c>
      <c r="H715">
        <v>1</v>
      </c>
      <c r="I715">
        <f>IFERROR(MAX(0,5-INDEX(_ENGINE_Risk!$H$500:$H$923,MATCH($D715,_ENGINE_Risk!$E$500:$E$923,0))),0)</f>
        <v>5</v>
      </c>
      <c r="J715" t="s">
        <v>11566</v>
      </c>
      <c r="K715">
        <f>IFERROR(INDEX(_ENGINE_Risk!$BI$500:$BI$923,MATCH($D715,_ENGINE_Risk!$E$500:$E$923,0))*N($H715),0)</f>
        <v>437.5</v>
      </c>
      <c r="L715">
        <f>IFERROR(MIN(5,$K715/MAX(1,_CONFIG_Model_Settings!$B$105)),0)</f>
        <v>5</v>
      </c>
    </row>
    <row r="716" spans="1:12">
      <c r="A716" t="s">
        <v>4321</v>
      </c>
      <c r="B716" t="s">
        <v>4322</v>
      </c>
      <c r="C716" t="s">
        <v>4273</v>
      </c>
      <c r="D716" t="s">
        <v>2585</v>
      </c>
      <c r="E716" t="s">
        <v>2473</v>
      </c>
      <c r="F716" t="s">
        <v>2494</v>
      </c>
      <c r="G716">
        <f>IFERROR(INDEX(_ENGINE_Risk!$BS$500:$BS$923,MATCH($D716,_ENGINE_Risk!$E$500:$E$923,0)),0)</f>
        <v>13.61</v>
      </c>
      <c r="H716">
        <v>1</v>
      </c>
      <c r="I716">
        <f>IFERROR(MAX(0,5-INDEX(_ENGINE_Risk!$H$500:$H$923,MATCH($D716,_ENGINE_Risk!$E$500:$E$923,0))),0)</f>
        <v>5</v>
      </c>
      <c r="J716" t="s">
        <v>11566</v>
      </c>
      <c r="K716">
        <f>IFERROR(INDEX(_ENGINE_Risk!$BI$500:$BI$923,MATCH($D716,_ENGINE_Risk!$E$500:$E$923,0))*N($H716),0)</f>
        <v>437.5</v>
      </c>
      <c r="L716">
        <f>IFERROR(MIN(5,$K716/MAX(1,_CONFIG_Model_Settings!$B$105)),0)</f>
        <v>5</v>
      </c>
    </row>
    <row r="717" spans="1:12">
      <c r="A717" t="s">
        <v>4046</v>
      </c>
      <c r="B717" t="s">
        <v>4047</v>
      </c>
      <c r="C717" t="s">
        <v>4021</v>
      </c>
      <c r="D717" t="s">
        <v>1374</v>
      </c>
      <c r="E717" t="s">
        <v>1259</v>
      </c>
      <c r="F717" t="s">
        <v>1278</v>
      </c>
      <c r="G717">
        <f>IFERROR(INDEX(_ENGINE_Risk!$BS$500:$BS$923,MATCH($D717,_ENGINE_Risk!$E$500:$E$923,0)),0)</f>
        <v>15.73</v>
      </c>
      <c r="H717">
        <v>1</v>
      </c>
      <c r="I717">
        <f>IFERROR(MAX(0,5-INDEX(_ENGINE_Risk!$H$500:$H$923,MATCH($D717,_ENGINE_Risk!$E$500:$E$923,0))),0)</f>
        <v>5</v>
      </c>
      <c r="J717" t="s">
        <v>11567</v>
      </c>
      <c r="K717">
        <f>IFERROR(INDEX(_ENGINE_Risk!$BI$500:$BI$923,MATCH($D717,_ENGINE_Risk!$E$500:$E$923,0))*N($H717),0)</f>
        <v>187.5</v>
      </c>
      <c r="L717">
        <f>IFERROR(MIN(5,$K717/MAX(1,_CONFIG_Model_Settings!$B$105)),0)</f>
        <v>2.5</v>
      </c>
    </row>
    <row r="718" spans="1:12">
      <c r="A718" t="s">
        <v>4328</v>
      </c>
      <c r="B718" t="s">
        <v>4331</v>
      </c>
      <c r="C718" t="s">
        <v>4330</v>
      </c>
      <c r="D718" t="s">
        <v>2589</v>
      </c>
      <c r="E718" t="s">
        <v>2588</v>
      </c>
      <c r="F718" t="s">
        <v>2590</v>
      </c>
      <c r="G718">
        <f>IFERROR(INDEX(_ENGINE_Risk!$BS$500:$BS$923,MATCH($D718,_ENGINE_Risk!$E$500:$E$923,0)),0)</f>
        <v>18.41</v>
      </c>
      <c r="H718">
        <v>1</v>
      </c>
      <c r="I718">
        <f>IFERROR(MAX(0,5-INDEX(_ENGINE_Risk!$H$500:$H$923,MATCH($D718,_ENGINE_Risk!$E$500:$E$923,0))),0)</f>
        <v>5</v>
      </c>
      <c r="J718" t="s">
        <v>11566</v>
      </c>
      <c r="K718">
        <f>IFERROR(INDEX(_ENGINE_Risk!$BI$500:$BI$923,MATCH($D718,_ENGINE_Risk!$E$500:$E$923,0))*N($H718),0)</f>
        <v>937.5</v>
      </c>
      <c r="L718">
        <f>IFERROR(MIN(5,$K718/MAX(1,_CONFIG_Model_Settings!$B$105)),0)</f>
        <v>5</v>
      </c>
    </row>
    <row r="719" spans="1:12">
      <c r="A719" t="s">
        <v>4328</v>
      </c>
      <c r="B719" t="s">
        <v>4331</v>
      </c>
      <c r="C719" t="s">
        <v>4330</v>
      </c>
      <c r="D719" t="s">
        <v>2596</v>
      </c>
      <c r="E719" t="s">
        <v>2588</v>
      </c>
      <c r="F719" t="s">
        <v>2590</v>
      </c>
      <c r="G719">
        <f>IFERROR(INDEX(_ENGINE_Risk!$BS$500:$BS$923,MATCH($D719,_ENGINE_Risk!$E$500:$E$923,0)),0)</f>
        <v>18.41</v>
      </c>
      <c r="H719">
        <v>1</v>
      </c>
      <c r="I719">
        <f>IFERROR(MAX(0,5-INDEX(_ENGINE_Risk!$H$500:$H$923,MATCH($D719,_ENGINE_Risk!$E$500:$E$923,0))),0)</f>
        <v>5</v>
      </c>
      <c r="J719" t="s">
        <v>11566</v>
      </c>
      <c r="K719">
        <f>IFERROR(INDEX(_ENGINE_Risk!$BI$500:$BI$923,MATCH($D719,_ENGINE_Risk!$E$500:$E$923,0))*N($H719),0)</f>
        <v>937.5</v>
      </c>
      <c r="L719">
        <f>IFERROR(MIN(5,$K719/MAX(1,_CONFIG_Model_Settings!$B$105)),0)</f>
        <v>5</v>
      </c>
    </row>
    <row r="720" spans="1:12">
      <c r="A720" t="s">
        <v>4328</v>
      </c>
      <c r="B720" t="s">
        <v>4331</v>
      </c>
      <c r="C720" t="s">
        <v>4330</v>
      </c>
      <c r="D720" t="s">
        <v>2600</v>
      </c>
      <c r="E720" t="s">
        <v>2588</v>
      </c>
      <c r="F720" t="s">
        <v>2590</v>
      </c>
      <c r="G720">
        <f>IFERROR(INDEX(_ENGINE_Risk!$BS$500:$BS$923,MATCH($D720,_ENGINE_Risk!$E$500:$E$923,0)),0)</f>
        <v>16.829999999999998</v>
      </c>
      <c r="H720">
        <v>1</v>
      </c>
      <c r="I720">
        <f>IFERROR(MAX(0,5-INDEX(_ENGINE_Risk!$H$500:$H$923,MATCH($D720,_ENGINE_Risk!$E$500:$E$923,0))),0)</f>
        <v>5</v>
      </c>
      <c r="J720" t="s">
        <v>11566</v>
      </c>
      <c r="K720">
        <f>IFERROR(INDEX(_ENGINE_Risk!$BI$500:$BI$923,MATCH($D720,_ENGINE_Risk!$E$500:$E$923,0))*N($H720),0)</f>
        <v>437.5</v>
      </c>
      <c r="L720">
        <f>IFERROR(MIN(5,$K720/MAX(1,_CONFIG_Model_Settings!$B$105)),0)</f>
        <v>5</v>
      </c>
    </row>
    <row r="721" spans="1:12">
      <c r="A721" t="s">
        <v>4328</v>
      </c>
      <c r="B721" t="s">
        <v>4331</v>
      </c>
      <c r="C721" t="s">
        <v>4330</v>
      </c>
      <c r="D721" t="s">
        <v>2610</v>
      </c>
      <c r="E721" t="s">
        <v>2588</v>
      </c>
      <c r="F721" t="s">
        <v>2590</v>
      </c>
      <c r="G721">
        <f>IFERROR(INDEX(_ENGINE_Risk!$BS$500:$BS$923,MATCH($D721,_ENGINE_Risk!$E$500:$E$923,0)),0)</f>
        <v>18.41</v>
      </c>
      <c r="H721">
        <v>1</v>
      </c>
      <c r="I721">
        <f>IFERROR(MAX(0,5-INDEX(_ENGINE_Risk!$H$500:$H$923,MATCH($D721,_ENGINE_Risk!$E$500:$E$923,0))),0)</f>
        <v>5</v>
      </c>
      <c r="J721" t="s">
        <v>11566</v>
      </c>
      <c r="K721">
        <f>IFERROR(INDEX(_ENGINE_Risk!$BI$500:$BI$923,MATCH($D721,_ENGINE_Risk!$E$500:$E$923,0))*N($H721),0)</f>
        <v>937.5</v>
      </c>
      <c r="L721">
        <f>IFERROR(MIN(5,$K721/MAX(1,_CONFIG_Model_Settings!$B$105)),0)</f>
        <v>5</v>
      </c>
    </row>
    <row r="722" spans="1:12">
      <c r="A722" t="s">
        <v>4328</v>
      </c>
      <c r="B722" t="s">
        <v>4331</v>
      </c>
      <c r="C722" t="s">
        <v>4330</v>
      </c>
      <c r="D722" t="s">
        <v>2614</v>
      </c>
      <c r="E722" t="s">
        <v>2588</v>
      </c>
      <c r="F722" t="s">
        <v>2590</v>
      </c>
      <c r="G722">
        <f>IFERROR(INDEX(_ENGINE_Risk!$BS$500:$BS$923,MATCH($D722,_ENGINE_Risk!$E$500:$E$923,0)),0)</f>
        <v>17.62</v>
      </c>
      <c r="H722">
        <v>1</v>
      </c>
      <c r="I722">
        <f>IFERROR(MAX(0,5-INDEX(_ENGINE_Risk!$H$500:$H$923,MATCH($D722,_ENGINE_Risk!$E$500:$E$923,0))),0)</f>
        <v>5</v>
      </c>
      <c r="J722" t="s">
        <v>11566</v>
      </c>
      <c r="K722">
        <f>IFERROR(INDEX(_ENGINE_Risk!$BI$500:$BI$923,MATCH($D722,_ENGINE_Risk!$E$500:$E$923,0))*N($H722),0)</f>
        <v>437.5</v>
      </c>
      <c r="L722">
        <f>IFERROR(MIN(5,$K722/MAX(1,_CONFIG_Model_Settings!$B$105)),0)</f>
        <v>5</v>
      </c>
    </row>
    <row r="723" spans="1:12">
      <c r="A723" t="s">
        <v>4328</v>
      </c>
      <c r="B723" t="s">
        <v>4331</v>
      </c>
      <c r="C723" t="s">
        <v>4330</v>
      </c>
      <c r="D723" t="s">
        <v>2624</v>
      </c>
      <c r="E723" t="s">
        <v>2588</v>
      </c>
      <c r="F723" t="s">
        <v>2590</v>
      </c>
      <c r="G723">
        <f>IFERROR(INDEX(_ENGINE_Risk!$BS$500:$BS$923,MATCH($D723,_ENGINE_Risk!$E$500:$E$923,0)),0)</f>
        <v>16.829999999999998</v>
      </c>
      <c r="H723">
        <v>1</v>
      </c>
      <c r="I723">
        <f>IFERROR(MAX(0,5-INDEX(_ENGINE_Risk!$H$500:$H$923,MATCH($D723,_ENGINE_Risk!$E$500:$E$923,0))),0)</f>
        <v>5</v>
      </c>
      <c r="J723" t="s">
        <v>11566</v>
      </c>
      <c r="K723">
        <f>IFERROR(INDEX(_ENGINE_Risk!$BI$500:$BI$923,MATCH($D723,_ENGINE_Risk!$E$500:$E$923,0))*N($H723),0)</f>
        <v>437.5</v>
      </c>
      <c r="L723">
        <f>IFERROR(MIN(5,$K723/MAX(1,_CONFIG_Model_Settings!$B$105)),0)</f>
        <v>5</v>
      </c>
    </row>
    <row r="724" spans="1:12">
      <c r="A724" t="s">
        <v>4344</v>
      </c>
      <c r="B724" t="s">
        <v>4345</v>
      </c>
      <c r="C724" t="s">
        <v>4330</v>
      </c>
      <c r="D724" t="s">
        <v>2633</v>
      </c>
      <c r="E724" t="s">
        <v>2588</v>
      </c>
      <c r="F724" t="s">
        <v>2599</v>
      </c>
      <c r="G724">
        <f>IFERROR(INDEX(_ENGINE_Risk!$BS$500:$BS$923,MATCH($D724,_ENGINE_Risk!$E$500:$E$923,0)),0)</f>
        <v>18.41</v>
      </c>
      <c r="H724">
        <v>1</v>
      </c>
      <c r="I724">
        <f>IFERROR(MAX(0,5-INDEX(_ENGINE_Risk!$H$500:$H$923,MATCH($D724,_ENGINE_Risk!$E$500:$E$923,0))),0)</f>
        <v>5</v>
      </c>
      <c r="J724" t="s">
        <v>11566</v>
      </c>
      <c r="K724">
        <f>IFERROR(INDEX(_ENGINE_Risk!$BI$500:$BI$923,MATCH($D724,_ENGINE_Risk!$E$500:$E$923,0))*N($H724),0)</f>
        <v>937.5</v>
      </c>
      <c r="L724">
        <f>IFERROR(MIN(5,$K724/MAX(1,_CONFIG_Model_Settings!$B$105)),0)</f>
        <v>5</v>
      </c>
    </row>
    <row r="725" spans="1:12">
      <c r="A725" t="s">
        <v>4344</v>
      </c>
      <c r="B725" t="s">
        <v>4345</v>
      </c>
      <c r="C725" t="s">
        <v>4330</v>
      </c>
      <c r="D725" t="s">
        <v>2636</v>
      </c>
      <c r="E725" t="s">
        <v>2588</v>
      </c>
      <c r="F725" t="s">
        <v>2599</v>
      </c>
      <c r="G725">
        <f>IFERROR(INDEX(_ENGINE_Risk!$BS$500:$BS$923,MATCH($D725,_ENGINE_Risk!$E$500:$E$923,0)),0)</f>
        <v>18.41</v>
      </c>
      <c r="H725">
        <v>1</v>
      </c>
      <c r="I725">
        <f>IFERROR(MAX(0,5-INDEX(_ENGINE_Risk!$H$500:$H$923,MATCH($D725,_ENGINE_Risk!$E$500:$E$923,0))),0)</f>
        <v>5</v>
      </c>
      <c r="J725" t="s">
        <v>11566</v>
      </c>
      <c r="K725">
        <f>IFERROR(INDEX(_ENGINE_Risk!$BI$500:$BI$923,MATCH($D725,_ENGINE_Risk!$E$500:$E$923,0))*N($H725),0)</f>
        <v>937.5</v>
      </c>
      <c r="L725">
        <f>IFERROR(MIN(5,$K725/MAX(1,_CONFIG_Model_Settings!$B$105)),0)</f>
        <v>5</v>
      </c>
    </row>
    <row r="726" spans="1:12">
      <c r="A726" t="s">
        <v>4344</v>
      </c>
      <c r="B726" t="s">
        <v>4345</v>
      </c>
      <c r="C726" t="s">
        <v>4330</v>
      </c>
      <c r="D726" t="s">
        <v>2639</v>
      </c>
      <c r="E726" t="s">
        <v>2588</v>
      </c>
      <c r="F726" t="s">
        <v>2599</v>
      </c>
      <c r="G726">
        <f>IFERROR(INDEX(_ENGINE_Risk!$BS$500:$BS$923,MATCH($D726,_ENGINE_Risk!$E$500:$E$923,0)),0)</f>
        <v>18.41</v>
      </c>
      <c r="H726">
        <v>1</v>
      </c>
      <c r="I726">
        <f>IFERROR(MAX(0,5-INDEX(_ENGINE_Risk!$H$500:$H$923,MATCH($D726,_ENGINE_Risk!$E$500:$E$923,0))),0)</f>
        <v>5</v>
      </c>
      <c r="J726" t="s">
        <v>11566</v>
      </c>
      <c r="K726">
        <f>IFERROR(INDEX(_ENGINE_Risk!$BI$500:$BI$923,MATCH($D726,_ENGINE_Risk!$E$500:$E$923,0))*N($H726),0)</f>
        <v>937.5</v>
      </c>
      <c r="L726">
        <f>IFERROR(MIN(5,$K726/MAX(1,_CONFIG_Model_Settings!$B$105)),0)</f>
        <v>5</v>
      </c>
    </row>
    <row r="727" spans="1:12">
      <c r="A727" t="s">
        <v>4344</v>
      </c>
      <c r="B727" t="s">
        <v>4345</v>
      </c>
      <c r="C727" t="s">
        <v>4330</v>
      </c>
      <c r="D727" t="s">
        <v>2642</v>
      </c>
      <c r="E727" t="s">
        <v>2588</v>
      </c>
      <c r="F727" t="s">
        <v>2599</v>
      </c>
      <c r="G727">
        <f>IFERROR(INDEX(_ENGINE_Risk!$BS$500:$BS$923,MATCH($D727,_ENGINE_Risk!$E$500:$E$923,0)),0)</f>
        <v>18.41</v>
      </c>
      <c r="H727">
        <v>1</v>
      </c>
      <c r="I727">
        <f>IFERROR(MAX(0,5-INDEX(_ENGINE_Risk!$H$500:$H$923,MATCH($D727,_ENGINE_Risk!$E$500:$E$923,0))),0)</f>
        <v>5</v>
      </c>
      <c r="J727" t="s">
        <v>11566</v>
      </c>
      <c r="K727">
        <f>IFERROR(INDEX(_ENGINE_Risk!$BI$500:$BI$923,MATCH($D727,_ENGINE_Risk!$E$500:$E$923,0))*N($H727),0)</f>
        <v>937.5</v>
      </c>
      <c r="L727">
        <f>IFERROR(MIN(5,$K727/MAX(1,_CONFIG_Model_Settings!$B$105)),0)</f>
        <v>5</v>
      </c>
    </row>
    <row r="728" spans="1:12">
      <c r="A728" t="s">
        <v>4039</v>
      </c>
      <c r="B728" t="s">
        <v>4040</v>
      </c>
      <c r="C728" t="s">
        <v>4021</v>
      </c>
      <c r="D728" t="s">
        <v>1379</v>
      </c>
      <c r="E728" t="s">
        <v>1259</v>
      </c>
      <c r="F728" t="s">
        <v>1274</v>
      </c>
      <c r="G728">
        <f>IFERROR(INDEX(_ENGINE_Risk!$BS$500:$BS$923,MATCH($D728,_ENGINE_Risk!$E$500:$E$923,0)),0)</f>
        <v>14.58</v>
      </c>
      <c r="H728">
        <v>1</v>
      </c>
      <c r="I728">
        <f>IFERROR(MAX(0,5-INDEX(_ENGINE_Risk!$H$500:$H$923,MATCH($D728,_ENGINE_Risk!$E$500:$E$923,0))),0)</f>
        <v>5</v>
      </c>
      <c r="J728" t="s">
        <v>11567</v>
      </c>
      <c r="K728">
        <f>IFERROR(INDEX(_ENGINE_Risk!$BI$500:$BI$923,MATCH($D728,_ENGINE_Risk!$E$500:$E$923,0))*N($H728),0)</f>
        <v>187.5</v>
      </c>
      <c r="L728">
        <f>IFERROR(MIN(5,$K728/MAX(1,_CONFIG_Model_Settings!$B$105)),0)</f>
        <v>2.5</v>
      </c>
    </row>
    <row r="729" spans="1:12">
      <c r="A729" t="s">
        <v>4344</v>
      </c>
      <c r="B729" t="s">
        <v>4345</v>
      </c>
      <c r="C729" t="s">
        <v>4330</v>
      </c>
      <c r="D729" t="s">
        <v>2645</v>
      </c>
      <c r="E729" t="s">
        <v>2588</v>
      </c>
      <c r="F729" t="s">
        <v>2599</v>
      </c>
      <c r="G729">
        <f>IFERROR(INDEX(_ENGINE_Risk!$BS$500:$BS$923,MATCH($D729,_ENGINE_Risk!$E$500:$E$923,0)),0)</f>
        <v>18.41</v>
      </c>
      <c r="H729">
        <v>1</v>
      </c>
      <c r="I729">
        <f>IFERROR(MAX(0,5-INDEX(_ENGINE_Risk!$H$500:$H$923,MATCH($D729,_ENGINE_Risk!$E$500:$E$923,0))),0)</f>
        <v>5</v>
      </c>
      <c r="J729" t="s">
        <v>11566</v>
      </c>
      <c r="K729">
        <f>IFERROR(INDEX(_ENGINE_Risk!$BI$500:$BI$923,MATCH($D729,_ENGINE_Risk!$E$500:$E$923,0))*N($H729),0)</f>
        <v>937.5</v>
      </c>
      <c r="L729">
        <f>IFERROR(MIN(5,$K729/MAX(1,_CONFIG_Model_Settings!$B$105)),0)</f>
        <v>5</v>
      </c>
    </row>
    <row r="730" spans="1:12">
      <c r="A730" t="s">
        <v>4351</v>
      </c>
      <c r="B730" t="s">
        <v>4352</v>
      </c>
      <c r="C730" t="s">
        <v>4330</v>
      </c>
      <c r="D730" t="s">
        <v>2648</v>
      </c>
      <c r="E730" t="s">
        <v>2588</v>
      </c>
      <c r="F730" t="s">
        <v>2609</v>
      </c>
      <c r="G730">
        <f>IFERROR(INDEX(_ENGINE_Risk!$BS$500:$BS$923,MATCH($D730,_ENGINE_Risk!$E$500:$E$923,0)),0)</f>
        <v>18.41</v>
      </c>
      <c r="H730">
        <v>1</v>
      </c>
      <c r="I730">
        <f>IFERROR(MAX(0,5-INDEX(_ENGINE_Risk!$H$500:$H$923,MATCH($D730,_ENGINE_Risk!$E$500:$E$923,0))),0)</f>
        <v>5</v>
      </c>
      <c r="J730" t="s">
        <v>11566</v>
      </c>
      <c r="K730">
        <f>IFERROR(INDEX(_ENGINE_Risk!$BI$500:$BI$923,MATCH($D730,_ENGINE_Risk!$E$500:$E$923,0))*N($H730),0)</f>
        <v>937.5</v>
      </c>
      <c r="L730">
        <f>IFERROR(MIN(5,$K730/MAX(1,_CONFIG_Model_Settings!$B$105)),0)</f>
        <v>5</v>
      </c>
    </row>
    <row r="731" spans="1:12">
      <c r="A731" t="s">
        <v>4351</v>
      </c>
      <c r="B731" t="s">
        <v>4352</v>
      </c>
      <c r="C731" t="s">
        <v>4330</v>
      </c>
      <c r="D731" t="s">
        <v>2651</v>
      </c>
      <c r="E731" t="s">
        <v>2588</v>
      </c>
      <c r="F731" t="s">
        <v>2609</v>
      </c>
      <c r="G731">
        <f>IFERROR(INDEX(_ENGINE_Risk!$BS$500:$BS$923,MATCH($D731,_ENGINE_Risk!$E$500:$E$923,0)),0)</f>
        <v>18.41</v>
      </c>
      <c r="H731">
        <v>1</v>
      </c>
      <c r="I731">
        <f>IFERROR(MAX(0,5-INDEX(_ENGINE_Risk!$H$500:$H$923,MATCH($D731,_ENGINE_Risk!$E$500:$E$923,0))),0)</f>
        <v>5</v>
      </c>
      <c r="J731" t="s">
        <v>11566</v>
      </c>
      <c r="K731">
        <f>IFERROR(INDEX(_ENGINE_Risk!$BI$500:$BI$923,MATCH($D731,_ENGINE_Risk!$E$500:$E$923,0))*N($H731),0)</f>
        <v>937.5</v>
      </c>
      <c r="L731">
        <f>IFERROR(MIN(5,$K731/MAX(1,_CONFIG_Model_Settings!$B$105)),0)</f>
        <v>5</v>
      </c>
    </row>
    <row r="732" spans="1:12">
      <c r="A732" t="s">
        <v>4351</v>
      </c>
      <c r="B732" t="s">
        <v>4352</v>
      </c>
      <c r="C732" t="s">
        <v>4330</v>
      </c>
      <c r="D732" t="s">
        <v>2660</v>
      </c>
      <c r="E732" t="s">
        <v>2588</v>
      </c>
      <c r="F732" t="s">
        <v>2609</v>
      </c>
      <c r="G732">
        <f>IFERROR(INDEX(_ENGINE_Risk!$BS$500:$BS$923,MATCH($D732,_ENGINE_Risk!$E$500:$E$923,0)),0)</f>
        <v>18.41</v>
      </c>
      <c r="H732">
        <v>1</v>
      </c>
      <c r="I732">
        <f>IFERROR(MAX(0,5-INDEX(_ENGINE_Risk!$H$500:$H$923,MATCH($D732,_ENGINE_Risk!$E$500:$E$923,0))),0)</f>
        <v>5</v>
      </c>
      <c r="J732" t="s">
        <v>11566</v>
      </c>
      <c r="K732">
        <f>IFERROR(INDEX(_ENGINE_Risk!$BI$500:$BI$923,MATCH($D732,_ENGINE_Risk!$E$500:$E$923,0))*N($H732),0)</f>
        <v>937.5</v>
      </c>
      <c r="L732">
        <f>IFERROR(MIN(5,$K732/MAX(1,_CONFIG_Model_Settings!$B$105)),0)</f>
        <v>5</v>
      </c>
    </row>
    <row r="733" spans="1:12">
      <c r="A733" t="s">
        <v>4351</v>
      </c>
      <c r="B733" t="s">
        <v>4352</v>
      </c>
      <c r="C733" t="s">
        <v>4330</v>
      </c>
      <c r="D733" t="s">
        <v>2663</v>
      </c>
      <c r="E733" t="s">
        <v>2588</v>
      </c>
      <c r="F733" t="s">
        <v>2609</v>
      </c>
      <c r="G733">
        <f>IFERROR(INDEX(_ENGINE_Risk!$BS$500:$BS$923,MATCH($D733,_ENGINE_Risk!$E$500:$E$923,0)),0)</f>
        <v>18.41</v>
      </c>
      <c r="H733">
        <v>1</v>
      </c>
      <c r="I733">
        <f>IFERROR(MAX(0,5-INDEX(_ENGINE_Risk!$H$500:$H$923,MATCH($D733,_ENGINE_Risk!$E$500:$E$923,0))),0)</f>
        <v>5</v>
      </c>
      <c r="J733" t="s">
        <v>11566</v>
      </c>
      <c r="K733">
        <f>IFERROR(INDEX(_ENGINE_Risk!$BI$500:$BI$923,MATCH($D733,_ENGINE_Risk!$E$500:$E$923,0))*N($H733),0)</f>
        <v>937.5</v>
      </c>
      <c r="L733">
        <f>IFERROR(MIN(5,$K733/MAX(1,_CONFIG_Model_Settings!$B$105)),0)</f>
        <v>5</v>
      </c>
    </row>
    <row r="734" spans="1:12">
      <c r="A734" t="s">
        <v>4351</v>
      </c>
      <c r="B734" t="s">
        <v>4352</v>
      </c>
      <c r="C734" t="s">
        <v>4330</v>
      </c>
      <c r="D734" t="s">
        <v>2666</v>
      </c>
      <c r="E734" t="s">
        <v>2588</v>
      </c>
      <c r="F734" t="s">
        <v>2609</v>
      </c>
      <c r="G734">
        <f>IFERROR(INDEX(_ENGINE_Risk!$BS$500:$BS$923,MATCH($D734,_ENGINE_Risk!$E$500:$E$923,0)),0)</f>
        <v>18.41</v>
      </c>
      <c r="H734">
        <v>1</v>
      </c>
      <c r="I734">
        <f>IFERROR(MAX(0,5-INDEX(_ENGINE_Risk!$H$500:$H$923,MATCH($D734,_ENGINE_Risk!$E$500:$E$923,0))),0)</f>
        <v>5</v>
      </c>
      <c r="J734" t="s">
        <v>11566</v>
      </c>
      <c r="K734">
        <f>IFERROR(INDEX(_ENGINE_Risk!$BI$500:$BI$923,MATCH($D734,_ENGINE_Risk!$E$500:$E$923,0))*N($H734),0)</f>
        <v>937.5</v>
      </c>
      <c r="L734">
        <f>IFERROR(MIN(5,$K734/MAX(1,_CONFIG_Model_Settings!$B$105)),0)</f>
        <v>5</v>
      </c>
    </row>
    <row r="735" spans="1:12">
      <c r="A735" t="s">
        <v>4351</v>
      </c>
      <c r="B735" t="s">
        <v>4352</v>
      </c>
      <c r="C735" t="s">
        <v>4330</v>
      </c>
      <c r="D735" t="s">
        <v>2669</v>
      </c>
      <c r="E735" t="s">
        <v>2588</v>
      </c>
      <c r="F735" t="s">
        <v>2609</v>
      </c>
      <c r="G735">
        <f>IFERROR(INDEX(_ENGINE_Risk!$BS$500:$BS$923,MATCH($D735,_ENGINE_Risk!$E$500:$E$923,0)),0)</f>
        <v>18.41</v>
      </c>
      <c r="H735">
        <v>1</v>
      </c>
      <c r="I735">
        <f>IFERROR(MAX(0,5-INDEX(_ENGINE_Risk!$H$500:$H$923,MATCH($D735,_ENGINE_Risk!$E$500:$E$923,0))),0)</f>
        <v>5</v>
      </c>
      <c r="J735" t="s">
        <v>11566</v>
      </c>
      <c r="K735">
        <f>IFERROR(INDEX(_ENGINE_Risk!$BI$500:$BI$923,MATCH($D735,_ENGINE_Risk!$E$500:$E$923,0))*N($H735),0)</f>
        <v>937.5</v>
      </c>
      <c r="L735">
        <f>IFERROR(MIN(5,$K735/MAX(1,_CONFIG_Model_Settings!$B$105)),0)</f>
        <v>5</v>
      </c>
    </row>
    <row r="736" spans="1:12">
      <c r="A736" t="s">
        <v>4358</v>
      </c>
      <c r="B736" t="s">
        <v>4359</v>
      </c>
      <c r="C736" t="s">
        <v>4330</v>
      </c>
      <c r="D736" t="s">
        <v>2672</v>
      </c>
      <c r="E736" t="s">
        <v>2588</v>
      </c>
      <c r="F736" t="s">
        <v>2613</v>
      </c>
      <c r="G736">
        <f>IFERROR(INDEX(_ENGINE_Risk!$BS$500:$BS$923,MATCH($D736,_ENGINE_Risk!$E$500:$E$923,0)),0)</f>
        <v>18.41</v>
      </c>
      <c r="H736">
        <v>1</v>
      </c>
      <c r="I736">
        <f>IFERROR(MAX(0,5-INDEX(_ENGINE_Risk!$H$500:$H$923,MATCH($D736,_ENGINE_Risk!$E$500:$E$923,0))),0)</f>
        <v>5</v>
      </c>
      <c r="J736" t="s">
        <v>11566</v>
      </c>
      <c r="K736">
        <f>IFERROR(INDEX(_ENGINE_Risk!$BI$500:$BI$923,MATCH($D736,_ENGINE_Risk!$E$500:$E$923,0))*N($H736),0)</f>
        <v>937.5</v>
      </c>
      <c r="L736">
        <f>IFERROR(MIN(5,$K736/MAX(1,_CONFIG_Model_Settings!$B$105)),0)</f>
        <v>5</v>
      </c>
    </row>
    <row r="737" spans="1:12">
      <c r="A737" t="s">
        <v>4358</v>
      </c>
      <c r="B737" t="s">
        <v>4359</v>
      </c>
      <c r="C737" t="s">
        <v>4330</v>
      </c>
      <c r="D737" t="s">
        <v>2675</v>
      </c>
      <c r="E737" t="s">
        <v>2588</v>
      </c>
      <c r="F737" t="s">
        <v>2613</v>
      </c>
      <c r="G737">
        <f>IFERROR(INDEX(_ENGINE_Risk!$BS$500:$BS$923,MATCH($D737,_ENGINE_Risk!$E$500:$E$923,0)),0)</f>
        <v>16.829999999999998</v>
      </c>
      <c r="H737">
        <v>1</v>
      </c>
      <c r="I737">
        <f>IFERROR(MAX(0,5-INDEX(_ENGINE_Risk!$H$500:$H$923,MATCH($D737,_ENGINE_Risk!$E$500:$E$923,0))),0)</f>
        <v>5</v>
      </c>
      <c r="J737" t="s">
        <v>11566</v>
      </c>
      <c r="K737">
        <f>IFERROR(INDEX(_ENGINE_Risk!$BI$500:$BI$923,MATCH($D737,_ENGINE_Risk!$E$500:$E$923,0))*N($H737),0)</f>
        <v>437.5</v>
      </c>
      <c r="L737">
        <f>IFERROR(MIN(5,$K737/MAX(1,_CONFIG_Model_Settings!$B$105)),0)</f>
        <v>5</v>
      </c>
    </row>
    <row r="738" spans="1:12">
      <c r="A738" t="s">
        <v>4358</v>
      </c>
      <c r="B738" t="s">
        <v>4359</v>
      </c>
      <c r="C738" t="s">
        <v>4330</v>
      </c>
      <c r="D738" t="s">
        <v>2684</v>
      </c>
      <c r="E738" t="s">
        <v>2588</v>
      </c>
      <c r="F738" t="s">
        <v>2613</v>
      </c>
      <c r="G738">
        <f>IFERROR(INDEX(_ENGINE_Risk!$BS$500:$BS$923,MATCH($D738,_ENGINE_Risk!$E$500:$E$923,0)),0)</f>
        <v>16.829999999999998</v>
      </c>
      <c r="H738">
        <v>1</v>
      </c>
      <c r="I738">
        <f>IFERROR(MAX(0,5-INDEX(_ENGINE_Risk!$H$500:$H$923,MATCH($D738,_ENGINE_Risk!$E$500:$E$923,0))),0)</f>
        <v>5</v>
      </c>
      <c r="J738" t="s">
        <v>11566</v>
      </c>
      <c r="K738">
        <f>IFERROR(INDEX(_ENGINE_Risk!$BI$500:$BI$923,MATCH($D738,_ENGINE_Risk!$E$500:$E$923,0))*N($H738),0)</f>
        <v>437.5</v>
      </c>
      <c r="L738">
        <f>IFERROR(MIN(5,$K738/MAX(1,_CONFIG_Model_Settings!$B$105)),0)</f>
        <v>5</v>
      </c>
    </row>
    <row r="739" spans="1:12">
      <c r="A739" t="s">
        <v>4358</v>
      </c>
      <c r="B739" t="s">
        <v>4359</v>
      </c>
      <c r="C739" t="s">
        <v>4330</v>
      </c>
      <c r="D739" t="s">
        <v>2693</v>
      </c>
      <c r="E739" t="s">
        <v>2588</v>
      </c>
      <c r="F739" t="s">
        <v>2613</v>
      </c>
      <c r="G739">
        <f>IFERROR(INDEX(_ENGINE_Risk!$BS$500:$BS$923,MATCH($D739,_ENGINE_Risk!$E$500:$E$923,0)),0)</f>
        <v>18.41</v>
      </c>
      <c r="H739">
        <v>1</v>
      </c>
      <c r="I739">
        <f>IFERROR(MAX(0,5-INDEX(_ENGINE_Risk!$H$500:$H$923,MATCH($D739,_ENGINE_Risk!$E$500:$E$923,0))),0)</f>
        <v>5</v>
      </c>
      <c r="J739" t="s">
        <v>11566</v>
      </c>
      <c r="K739">
        <f>IFERROR(INDEX(_ENGINE_Risk!$BI$500:$BI$923,MATCH($D739,_ENGINE_Risk!$E$500:$E$923,0))*N($H739),0)</f>
        <v>937.5</v>
      </c>
      <c r="L739">
        <f>IFERROR(MIN(5,$K739/MAX(1,_CONFIG_Model_Settings!$B$105)),0)</f>
        <v>5</v>
      </c>
    </row>
    <row r="740" spans="1:12">
      <c r="A740" t="s">
        <v>4358</v>
      </c>
      <c r="B740" t="s">
        <v>4359</v>
      </c>
      <c r="C740" t="s">
        <v>4330</v>
      </c>
      <c r="D740" t="s">
        <v>2696</v>
      </c>
      <c r="E740" t="s">
        <v>2588</v>
      </c>
      <c r="F740" t="s">
        <v>2613</v>
      </c>
      <c r="G740">
        <f>IFERROR(INDEX(_ENGINE_Risk!$BS$500:$BS$923,MATCH($D740,_ENGINE_Risk!$E$500:$E$923,0)),0)</f>
        <v>18.41</v>
      </c>
      <c r="H740">
        <v>1</v>
      </c>
      <c r="I740">
        <f>IFERROR(MAX(0,5-INDEX(_ENGINE_Risk!$H$500:$H$923,MATCH($D740,_ENGINE_Risk!$E$500:$E$923,0))),0)</f>
        <v>5</v>
      </c>
      <c r="J740" t="s">
        <v>11566</v>
      </c>
      <c r="K740">
        <f>IFERROR(INDEX(_ENGINE_Risk!$BI$500:$BI$923,MATCH($D740,_ENGINE_Risk!$E$500:$E$923,0))*N($H740),0)</f>
        <v>937.5</v>
      </c>
      <c r="L740">
        <f>IFERROR(MIN(5,$K740/MAX(1,_CONFIG_Model_Settings!$B$105)),0)</f>
        <v>5</v>
      </c>
    </row>
    <row r="741" spans="1:12">
      <c r="A741" t="s">
        <v>4358</v>
      </c>
      <c r="B741" t="s">
        <v>4359</v>
      </c>
      <c r="C741" t="s">
        <v>4330</v>
      </c>
      <c r="D741" t="s">
        <v>2699</v>
      </c>
      <c r="E741" t="s">
        <v>2588</v>
      </c>
      <c r="F741" t="s">
        <v>2613</v>
      </c>
      <c r="G741">
        <f>IFERROR(INDEX(_ENGINE_Risk!$BS$500:$BS$923,MATCH($D741,_ENGINE_Risk!$E$500:$E$923,0)),0)</f>
        <v>18.41</v>
      </c>
      <c r="H741">
        <v>1</v>
      </c>
      <c r="I741">
        <f>IFERROR(MAX(0,5-INDEX(_ENGINE_Risk!$H$500:$H$923,MATCH($D741,_ENGINE_Risk!$E$500:$E$923,0))),0)</f>
        <v>5</v>
      </c>
      <c r="J741" t="s">
        <v>11566</v>
      </c>
      <c r="K741">
        <f>IFERROR(INDEX(_ENGINE_Risk!$BI$500:$BI$923,MATCH($D741,_ENGINE_Risk!$E$500:$E$923,0))*N($H741),0)</f>
        <v>937.5</v>
      </c>
      <c r="L741">
        <f>IFERROR(MIN(5,$K741/MAX(1,_CONFIG_Model_Settings!$B$105)),0)</f>
        <v>5</v>
      </c>
    </row>
    <row r="742" spans="1:12">
      <c r="A742" t="s">
        <v>4365</v>
      </c>
      <c r="B742" t="s">
        <v>4366</v>
      </c>
      <c r="C742" t="s">
        <v>4330</v>
      </c>
      <c r="D742" t="s">
        <v>2702</v>
      </c>
      <c r="E742" t="s">
        <v>2588</v>
      </c>
      <c r="F742" t="s">
        <v>2623</v>
      </c>
      <c r="G742">
        <f>IFERROR(INDEX(_ENGINE_Risk!$BS$500:$BS$923,MATCH($D742,_ENGINE_Risk!$E$500:$E$923,0)),0)</f>
        <v>18.41</v>
      </c>
      <c r="H742">
        <v>1</v>
      </c>
      <c r="I742">
        <f>IFERROR(MAX(0,5-INDEX(_ENGINE_Risk!$H$500:$H$923,MATCH($D742,_ENGINE_Risk!$E$500:$E$923,0))),0)</f>
        <v>5</v>
      </c>
      <c r="J742" t="s">
        <v>11566</v>
      </c>
      <c r="K742">
        <f>IFERROR(INDEX(_ENGINE_Risk!$BI$500:$BI$923,MATCH($D742,_ENGINE_Risk!$E$500:$E$923,0))*N($H742),0)</f>
        <v>937.5</v>
      </c>
      <c r="L742">
        <f>IFERROR(MIN(5,$K742/MAX(1,_CONFIG_Model_Settings!$B$105)),0)</f>
        <v>5</v>
      </c>
    </row>
    <row r="743" spans="1:12">
      <c r="A743" t="s">
        <v>4365</v>
      </c>
      <c r="B743" t="s">
        <v>4366</v>
      </c>
      <c r="C743" t="s">
        <v>4330</v>
      </c>
      <c r="D743" t="s">
        <v>2705</v>
      </c>
      <c r="E743" t="s">
        <v>2588</v>
      </c>
      <c r="F743" t="s">
        <v>2623</v>
      </c>
      <c r="G743">
        <f>IFERROR(INDEX(_ENGINE_Risk!$BS$500:$BS$923,MATCH($D743,_ENGINE_Risk!$E$500:$E$923,0)),0)</f>
        <v>18.41</v>
      </c>
      <c r="H743">
        <v>1</v>
      </c>
      <c r="I743">
        <f>IFERROR(MAX(0,5-INDEX(_ENGINE_Risk!$H$500:$H$923,MATCH($D743,_ENGINE_Risk!$E$500:$E$923,0))),0)</f>
        <v>5</v>
      </c>
      <c r="J743" t="s">
        <v>11566</v>
      </c>
      <c r="K743">
        <f>IFERROR(INDEX(_ENGINE_Risk!$BI$500:$BI$923,MATCH($D743,_ENGINE_Risk!$E$500:$E$923,0))*N($H743),0)</f>
        <v>937.5</v>
      </c>
      <c r="L743">
        <f>IFERROR(MIN(5,$K743/MAX(1,_CONFIG_Model_Settings!$B$105)),0)</f>
        <v>5</v>
      </c>
    </row>
    <row r="744" spans="1:12">
      <c r="A744" t="s">
        <v>4365</v>
      </c>
      <c r="B744" t="s">
        <v>4366</v>
      </c>
      <c r="C744" t="s">
        <v>4330</v>
      </c>
      <c r="D744" t="s">
        <v>2708</v>
      </c>
      <c r="E744" t="s">
        <v>2588</v>
      </c>
      <c r="F744" t="s">
        <v>2623</v>
      </c>
      <c r="G744">
        <f>IFERROR(INDEX(_ENGINE_Risk!$BS$500:$BS$923,MATCH($D744,_ENGINE_Risk!$E$500:$E$923,0)),0)</f>
        <v>16.829999999999998</v>
      </c>
      <c r="H744">
        <v>1</v>
      </c>
      <c r="I744">
        <f>IFERROR(MAX(0,5-INDEX(_ENGINE_Risk!$H$500:$H$923,MATCH($D744,_ENGINE_Risk!$E$500:$E$923,0))),0)</f>
        <v>5</v>
      </c>
      <c r="J744" t="s">
        <v>11566</v>
      </c>
      <c r="K744">
        <f>IFERROR(INDEX(_ENGINE_Risk!$BI$500:$BI$923,MATCH($D744,_ENGINE_Risk!$E$500:$E$923,0))*N($H744),0)</f>
        <v>437.5</v>
      </c>
      <c r="L744">
        <f>IFERROR(MIN(5,$K744/MAX(1,_CONFIG_Model_Settings!$B$105)),0)</f>
        <v>5</v>
      </c>
    </row>
    <row r="745" spans="1:12">
      <c r="A745" t="s">
        <v>4365</v>
      </c>
      <c r="B745" t="s">
        <v>4366</v>
      </c>
      <c r="C745" t="s">
        <v>4330</v>
      </c>
      <c r="D745" t="s">
        <v>2717</v>
      </c>
      <c r="E745" t="s">
        <v>2588</v>
      </c>
      <c r="F745" t="s">
        <v>2623</v>
      </c>
      <c r="G745">
        <f>IFERROR(INDEX(_ENGINE_Risk!$BS$500:$BS$923,MATCH($D745,_ENGINE_Risk!$E$500:$E$923,0)),0)</f>
        <v>16.829999999999998</v>
      </c>
      <c r="H745">
        <v>1</v>
      </c>
      <c r="I745">
        <f>IFERROR(MAX(0,5-INDEX(_ENGINE_Risk!$H$500:$H$923,MATCH($D745,_ENGINE_Risk!$E$500:$E$923,0))),0)</f>
        <v>5</v>
      </c>
      <c r="J745" t="s">
        <v>11566</v>
      </c>
      <c r="K745">
        <f>IFERROR(INDEX(_ENGINE_Risk!$BI$500:$BI$923,MATCH($D745,_ENGINE_Risk!$E$500:$E$923,0))*N($H745),0)</f>
        <v>437.5</v>
      </c>
      <c r="L745">
        <f>IFERROR(MIN(5,$K745/MAX(1,_CONFIG_Model_Settings!$B$105)),0)</f>
        <v>5</v>
      </c>
    </row>
    <row r="746" spans="1:12">
      <c r="A746" t="s">
        <v>4365</v>
      </c>
      <c r="B746" t="s">
        <v>4366</v>
      </c>
      <c r="C746" t="s">
        <v>4330</v>
      </c>
      <c r="D746" t="s">
        <v>2726</v>
      </c>
      <c r="E746" t="s">
        <v>2588</v>
      </c>
      <c r="F746" t="s">
        <v>2623</v>
      </c>
      <c r="G746">
        <f>IFERROR(INDEX(_ENGINE_Risk!$BS$500:$BS$923,MATCH($D746,_ENGINE_Risk!$E$500:$E$923,0)),0)</f>
        <v>18.41</v>
      </c>
      <c r="H746">
        <v>1</v>
      </c>
      <c r="I746">
        <f>IFERROR(MAX(0,5-INDEX(_ENGINE_Risk!$H$500:$H$923,MATCH($D746,_ENGINE_Risk!$E$500:$E$923,0))),0)</f>
        <v>5</v>
      </c>
      <c r="J746" t="s">
        <v>11566</v>
      </c>
      <c r="K746">
        <f>IFERROR(INDEX(_ENGINE_Risk!$BI$500:$BI$923,MATCH($D746,_ENGINE_Risk!$E$500:$E$923,0))*N($H746),0)</f>
        <v>937.5</v>
      </c>
      <c r="L746">
        <f>IFERROR(MIN(5,$K746/MAX(1,_CONFIG_Model_Settings!$B$105)),0)</f>
        <v>5</v>
      </c>
    </row>
    <row r="747" spans="1:12">
      <c r="A747" t="s">
        <v>4372</v>
      </c>
      <c r="B747" t="s">
        <v>4375</v>
      </c>
      <c r="C747" t="s">
        <v>4374</v>
      </c>
      <c r="D747" t="s">
        <v>2730</v>
      </c>
      <c r="E747" t="s">
        <v>2729</v>
      </c>
      <c r="F747" t="s">
        <v>677</v>
      </c>
      <c r="G747">
        <f>IFERROR(INDEX(_ENGINE_Risk!$BS$500:$BS$923,MATCH($D747,_ENGINE_Risk!$E$500:$E$923,0)),0)</f>
        <v>23.66</v>
      </c>
      <c r="H747">
        <v>1</v>
      </c>
      <c r="I747">
        <f>IFERROR(MAX(0,5-INDEX(_ENGINE_Risk!$H$500:$H$923,MATCH($D747,_ENGINE_Risk!$E$500:$E$923,0))),0)</f>
        <v>5</v>
      </c>
      <c r="J747" t="s">
        <v>11566</v>
      </c>
      <c r="K747">
        <f>IFERROR(INDEX(_ENGINE_Risk!$BI$500:$BI$923,MATCH($D747,_ENGINE_Risk!$E$500:$E$923,0))*N($H747),0)</f>
        <v>937.5</v>
      </c>
      <c r="L747">
        <f>IFERROR(MIN(5,$K747/MAX(1,_CONFIG_Model_Settings!$B$105)),0)</f>
        <v>5</v>
      </c>
    </row>
    <row r="748" spans="1:12">
      <c r="A748" t="s">
        <v>4372</v>
      </c>
      <c r="B748" t="s">
        <v>4375</v>
      </c>
      <c r="C748" t="s">
        <v>4374</v>
      </c>
      <c r="D748" t="s">
        <v>2736</v>
      </c>
      <c r="E748" t="s">
        <v>2729</v>
      </c>
      <c r="F748" t="s">
        <v>677</v>
      </c>
      <c r="G748">
        <f>IFERROR(INDEX(_ENGINE_Risk!$BS$500:$BS$923,MATCH($D748,_ENGINE_Risk!$E$500:$E$923,0)),0)</f>
        <v>23.66</v>
      </c>
      <c r="H748">
        <v>1</v>
      </c>
      <c r="I748">
        <f>IFERROR(MAX(0,5-INDEX(_ENGINE_Risk!$H$500:$H$923,MATCH($D748,_ENGINE_Risk!$E$500:$E$923,0))),0)</f>
        <v>5</v>
      </c>
      <c r="J748" t="s">
        <v>11566</v>
      </c>
      <c r="K748">
        <f>IFERROR(INDEX(_ENGINE_Risk!$BI$500:$BI$923,MATCH($D748,_ENGINE_Risk!$E$500:$E$923,0))*N($H748),0)</f>
        <v>937.5</v>
      </c>
      <c r="L748">
        <f>IFERROR(MIN(5,$K748/MAX(1,_CONFIG_Model_Settings!$B$105)),0)</f>
        <v>5</v>
      </c>
    </row>
    <row r="749" spans="1:12">
      <c r="A749" t="s">
        <v>4372</v>
      </c>
      <c r="B749" t="s">
        <v>4375</v>
      </c>
      <c r="C749" t="s">
        <v>4374</v>
      </c>
      <c r="D749" t="s">
        <v>2740</v>
      </c>
      <c r="E749" t="s">
        <v>2729</v>
      </c>
      <c r="F749" t="s">
        <v>677</v>
      </c>
      <c r="G749">
        <f>IFERROR(INDEX(_ENGINE_Risk!$BS$500:$BS$923,MATCH($D749,_ENGINE_Risk!$E$500:$E$923,0)),0)</f>
        <v>23.66</v>
      </c>
      <c r="H749">
        <v>1</v>
      </c>
      <c r="I749">
        <f>IFERROR(MAX(0,5-INDEX(_ENGINE_Risk!$H$500:$H$923,MATCH($D749,_ENGINE_Risk!$E$500:$E$923,0))),0)</f>
        <v>5</v>
      </c>
      <c r="J749" t="s">
        <v>11566</v>
      </c>
      <c r="K749">
        <f>IFERROR(INDEX(_ENGINE_Risk!$BI$500:$BI$923,MATCH($D749,_ENGINE_Risk!$E$500:$E$923,0))*N($H749),0)</f>
        <v>937.5</v>
      </c>
      <c r="L749">
        <f>IFERROR(MIN(5,$K749/MAX(1,_CONFIG_Model_Settings!$B$105)),0)</f>
        <v>5</v>
      </c>
    </row>
    <row r="750" spans="1:12">
      <c r="A750" t="s">
        <v>4372</v>
      </c>
      <c r="B750" t="s">
        <v>4375</v>
      </c>
      <c r="C750" t="s">
        <v>4374</v>
      </c>
      <c r="D750" t="s">
        <v>2744</v>
      </c>
      <c r="E750" t="s">
        <v>2729</v>
      </c>
      <c r="F750" t="s">
        <v>677</v>
      </c>
      <c r="G750">
        <f>IFERROR(INDEX(_ENGINE_Risk!$BS$500:$BS$923,MATCH($D750,_ENGINE_Risk!$E$500:$E$923,0)),0)</f>
        <v>23.66</v>
      </c>
      <c r="H750">
        <v>1</v>
      </c>
      <c r="I750">
        <f>IFERROR(MAX(0,5-INDEX(_ENGINE_Risk!$H$500:$H$923,MATCH($D750,_ENGINE_Risk!$E$500:$E$923,0))),0)</f>
        <v>5</v>
      </c>
      <c r="J750" t="s">
        <v>11566</v>
      </c>
      <c r="K750">
        <f>IFERROR(INDEX(_ENGINE_Risk!$BI$500:$BI$923,MATCH($D750,_ENGINE_Risk!$E$500:$E$923,0))*N($H750),0)</f>
        <v>937.5</v>
      </c>
      <c r="L750">
        <f>IFERROR(MIN(5,$K750/MAX(1,_CONFIG_Model_Settings!$B$105)),0)</f>
        <v>5</v>
      </c>
    </row>
    <row r="751" spans="1:12">
      <c r="A751" t="s">
        <v>4372</v>
      </c>
      <c r="B751" t="s">
        <v>4375</v>
      </c>
      <c r="C751" t="s">
        <v>4374</v>
      </c>
      <c r="D751" t="s">
        <v>2748</v>
      </c>
      <c r="E751" t="s">
        <v>2729</v>
      </c>
      <c r="F751" t="s">
        <v>677</v>
      </c>
      <c r="G751">
        <f>IFERROR(INDEX(_ENGINE_Risk!$BS$500:$BS$923,MATCH($D751,_ENGINE_Risk!$E$500:$E$923,0)),0)</f>
        <v>23.66</v>
      </c>
      <c r="H751">
        <v>1</v>
      </c>
      <c r="I751">
        <f>IFERROR(MAX(0,5-INDEX(_ENGINE_Risk!$H$500:$H$923,MATCH($D751,_ENGINE_Risk!$E$500:$E$923,0))),0)</f>
        <v>5</v>
      </c>
      <c r="J751" t="s">
        <v>11566</v>
      </c>
      <c r="K751">
        <f>IFERROR(INDEX(_ENGINE_Risk!$BI$500:$BI$923,MATCH($D751,_ENGINE_Risk!$E$500:$E$923,0))*N($H751),0)</f>
        <v>937.5</v>
      </c>
      <c r="L751">
        <f>IFERROR(MIN(5,$K751/MAX(1,_CONFIG_Model_Settings!$B$105)),0)</f>
        <v>5</v>
      </c>
    </row>
    <row r="752" spans="1:12">
      <c r="A752" t="s">
        <v>4385</v>
      </c>
      <c r="B752" t="s">
        <v>4386</v>
      </c>
      <c r="C752" t="s">
        <v>4273</v>
      </c>
      <c r="D752" t="s">
        <v>2752</v>
      </c>
      <c r="E752" t="s">
        <v>2729</v>
      </c>
      <c r="F752" t="s">
        <v>2739</v>
      </c>
      <c r="G752">
        <f>IFERROR(INDEX(_ENGINE_Risk!$BS$500:$BS$923,MATCH($D752,_ENGINE_Risk!$E$500:$E$923,0)),0)</f>
        <v>23.66</v>
      </c>
      <c r="H752">
        <v>1</v>
      </c>
      <c r="I752">
        <f>IFERROR(MAX(0,5-INDEX(_ENGINE_Risk!$H$500:$H$923,MATCH($D752,_ENGINE_Risk!$E$500:$E$923,0))),0)</f>
        <v>5</v>
      </c>
      <c r="J752" t="s">
        <v>11566</v>
      </c>
      <c r="K752">
        <f>IFERROR(INDEX(_ENGINE_Risk!$BI$500:$BI$923,MATCH($D752,_ENGINE_Risk!$E$500:$E$923,0))*N($H752),0)</f>
        <v>937.5</v>
      </c>
      <c r="L752">
        <f>IFERROR(MIN(5,$K752/MAX(1,_CONFIG_Model_Settings!$B$105)),0)</f>
        <v>5</v>
      </c>
    </row>
    <row r="753" spans="1:12">
      <c r="A753" t="s">
        <v>4385</v>
      </c>
      <c r="B753" t="s">
        <v>4386</v>
      </c>
      <c r="C753" t="s">
        <v>4273</v>
      </c>
      <c r="D753" t="s">
        <v>2755</v>
      </c>
      <c r="E753" t="s">
        <v>2729</v>
      </c>
      <c r="F753" t="s">
        <v>2739</v>
      </c>
      <c r="G753">
        <f>IFERROR(INDEX(_ENGINE_Risk!$BS$500:$BS$923,MATCH($D753,_ENGINE_Risk!$E$500:$E$923,0)),0)</f>
        <v>23.66</v>
      </c>
      <c r="H753">
        <v>1</v>
      </c>
      <c r="I753">
        <f>IFERROR(MAX(0,5-INDEX(_ENGINE_Risk!$H$500:$H$923,MATCH($D753,_ENGINE_Risk!$E$500:$E$923,0))),0)</f>
        <v>5</v>
      </c>
      <c r="J753" t="s">
        <v>11566</v>
      </c>
      <c r="K753">
        <f>IFERROR(INDEX(_ENGINE_Risk!$BI$500:$BI$923,MATCH($D753,_ENGINE_Risk!$E$500:$E$923,0))*N($H753),0)</f>
        <v>937.5</v>
      </c>
      <c r="L753">
        <f>IFERROR(MIN(5,$K753/MAX(1,_CONFIG_Model_Settings!$B$105)),0)</f>
        <v>5</v>
      </c>
    </row>
    <row r="754" spans="1:12">
      <c r="A754" t="s">
        <v>4019</v>
      </c>
      <c r="B754" t="s">
        <v>4022</v>
      </c>
      <c r="C754" t="s">
        <v>4021</v>
      </c>
      <c r="D754" t="s">
        <v>1390</v>
      </c>
      <c r="E754" t="s">
        <v>1259</v>
      </c>
      <c r="F754" t="s">
        <v>1261</v>
      </c>
      <c r="G754">
        <f>IFERROR(INDEX(_ENGINE_Risk!$BS$500:$BS$923,MATCH($D754,_ENGINE_Risk!$E$500:$E$923,0)),0)</f>
        <v>13.32</v>
      </c>
      <c r="H754">
        <v>1</v>
      </c>
      <c r="I754">
        <f>IFERROR(MAX(0,5-INDEX(_ENGINE_Risk!$H$500:$H$923,MATCH($D754,_ENGINE_Risk!$E$500:$E$923,0))),0)</f>
        <v>5</v>
      </c>
      <c r="J754" t="s">
        <v>11567</v>
      </c>
      <c r="K754">
        <f>IFERROR(INDEX(_ENGINE_Risk!$BI$500:$BI$923,MATCH($D754,_ENGINE_Risk!$E$500:$E$923,0))*N($H754),0)</f>
        <v>437.5</v>
      </c>
      <c r="L754">
        <f>IFERROR(MIN(5,$K754/MAX(1,_CONFIG_Model_Settings!$B$105)),0)</f>
        <v>5</v>
      </c>
    </row>
    <row r="755" spans="1:12">
      <c r="A755" t="s">
        <v>4385</v>
      </c>
      <c r="B755" t="s">
        <v>4386</v>
      </c>
      <c r="C755" t="s">
        <v>4273</v>
      </c>
      <c r="D755" t="s">
        <v>2758</v>
      </c>
      <c r="E755" t="s">
        <v>2729</v>
      </c>
      <c r="F755" t="s">
        <v>2739</v>
      </c>
      <c r="G755">
        <f>IFERROR(INDEX(_ENGINE_Risk!$BS$500:$BS$923,MATCH($D755,_ENGINE_Risk!$E$500:$E$923,0)),0)</f>
        <v>22.65</v>
      </c>
      <c r="H755">
        <v>1</v>
      </c>
      <c r="I755">
        <f>IFERROR(MAX(0,5-INDEX(_ENGINE_Risk!$H$500:$H$923,MATCH($D755,_ENGINE_Risk!$E$500:$E$923,0))),0)</f>
        <v>5</v>
      </c>
      <c r="J755" t="s">
        <v>11566</v>
      </c>
      <c r="K755">
        <f>IFERROR(INDEX(_ENGINE_Risk!$BI$500:$BI$923,MATCH($D755,_ENGINE_Risk!$E$500:$E$923,0))*N($H755),0)</f>
        <v>437.5</v>
      </c>
      <c r="L755">
        <f>IFERROR(MIN(5,$K755/MAX(1,_CONFIG_Model_Settings!$B$105)),0)</f>
        <v>5</v>
      </c>
    </row>
    <row r="756" spans="1:12">
      <c r="A756" t="s">
        <v>4392</v>
      </c>
      <c r="B756" t="s">
        <v>4393</v>
      </c>
      <c r="C756" t="s">
        <v>4231</v>
      </c>
      <c r="D756" t="s">
        <v>2767</v>
      </c>
      <c r="E756" t="s">
        <v>2729</v>
      </c>
      <c r="F756" t="s">
        <v>2743</v>
      </c>
      <c r="G756">
        <f>IFERROR(INDEX(_ENGINE_Risk!$BS$500:$BS$923,MATCH($D756,_ENGINE_Risk!$E$500:$E$923,0)),0)</f>
        <v>23.66</v>
      </c>
      <c r="H756">
        <v>1</v>
      </c>
      <c r="I756">
        <f>IFERROR(MAX(0,5-INDEX(_ENGINE_Risk!$H$500:$H$923,MATCH($D756,_ENGINE_Risk!$E$500:$E$923,0))),0)</f>
        <v>5</v>
      </c>
      <c r="J756" t="s">
        <v>11566</v>
      </c>
      <c r="K756">
        <f>IFERROR(INDEX(_ENGINE_Risk!$BI$500:$BI$923,MATCH($D756,_ENGINE_Risk!$E$500:$E$923,0))*N($H756),0)</f>
        <v>937.5</v>
      </c>
      <c r="L756">
        <f>IFERROR(MIN(5,$K756/MAX(1,_CONFIG_Model_Settings!$B$105)),0)</f>
        <v>5</v>
      </c>
    </row>
    <row r="757" spans="1:12">
      <c r="A757" t="s">
        <v>4392</v>
      </c>
      <c r="B757" t="s">
        <v>4393</v>
      </c>
      <c r="C757" t="s">
        <v>4231</v>
      </c>
      <c r="D757" t="s">
        <v>2770</v>
      </c>
      <c r="E757" t="s">
        <v>2729</v>
      </c>
      <c r="F757" t="s">
        <v>2743</v>
      </c>
      <c r="G757">
        <f>IFERROR(INDEX(_ENGINE_Risk!$BS$500:$BS$923,MATCH($D757,_ENGINE_Risk!$E$500:$E$923,0)),0)</f>
        <v>23.66</v>
      </c>
      <c r="H757">
        <v>1</v>
      </c>
      <c r="I757">
        <f>IFERROR(MAX(0,5-INDEX(_ENGINE_Risk!$H$500:$H$923,MATCH($D757,_ENGINE_Risk!$E$500:$E$923,0))),0)</f>
        <v>5</v>
      </c>
      <c r="J757" t="s">
        <v>11566</v>
      </c>
      <c r="K757">
        <f>IFERROR(INDEX(_ENGINE_Risk!$BI$500:$BI$923,MATCH($D757,_ENGINE_Risk!$E$500:$E$923,0))*N($H757),0)</f>
        <v>937.5</v>
      </c>
      <c r="L757">
        <f>IFERROR(MIN(5,$K757/MAX(1,_CONFIG_Model_Settings!$B$105)),0)</f>
        <v>5</v>
      </c>
    </row>
    <row r="758" spans="1:12">
      <c r="A758" t="s">
        <v>4392</v>
      </c>
      <c r="B758" t="s">
        <v>4393</v>
      </c>
      <c r="C758" t="s">
        <v>4231</v>
      </c>
      <c r="D758" t="s">
        <v>2773</v>
      </c>
      <c r="E758" t="s">
        <v>2729</v>
      </c>
      <c r="F758" t="s">
        <v>2743</v>
      </c>
      <c r="G758">
        <f>IFERROR(INDEX(_ENGINE_Risk!$BS$500:$BS$923,MATCH($D758,_ENGINE_Risk!$E$500:$E$923,0)),0)</f>
        <v>22.65</v>
      </c>
      <c r="H758">
        <v>1</v>
      </c>
      <c r="I758">
        <f>IFERROR(MAX(0,5-INDEX(_ENGINE_Risk!$H$500:$H$923,MATCH($D758,_ENGINE_Risk!$E$500:$E$923,0))),0)</f>
        <v>5</v>
      </c>
      <c r="J758" t="s">
        <v>11566</v>
      </c>
      <c r="K758">
        <f>IFERROR(INDEX(_ENGINE_Risk!$BI$500:$BI$923,MATCH($D758,_ENGINE_Risk!$E$500:$E$923,0))*N($H758),0)</f>
        <v>437.5</v>
      </c>
      <c r="L758">
        <f>IFERROR(MIN(5,$K758/MAX(1,_CONFIG_Model_Settings!$B$105)),0)</f>
        <v>5</v>
      </c>
    </row>
    <row r="759" spans="1:12">
      <c r="A759" t="s">
        <v>4392</v>
      </c>
      <c r="B759" t="s">
        <v>4393</v>
      </c>
      <c r="C759" t="s">
        <v>4231</v>
      </c>
      <c r="D759" t="s">
        <v>2782</v>
      </c>
      <c r="E759" t="s">
        <v>2729</v>
      </c>
      <c r="F759" t="s">
        <v>2743</v>
      </c>
      <c r="G759">
        <f>IFERROR(INDEX(_ENGINE_Risk!$BS$500:$BS$923,MATCH($D759,_ENGINE_Risk!$E$500:$E$923,0)),0)</f>
        <v>21.63</v>
      </c>
      <c r="H759">
        <v>1</v>
      </c>
      <c r="I759">
        <f>IFERROR(MAX(0,5-INDEX(_ENGINE_Risk!$H$500:$H$923,MATCH($D759,_ENGINE_Risk!$E$500:$E$923,0))),0)</f>
        <v>5</v>
      </c>
      <c r="J759" t="s">
        <v>11566</v>
      </c>
      <c r="K759">
        <f>IFERROR(INDEX(_ENGINE_Risk!$BI$500:$BI$923,MATCH($D759,_ENGINE_Risk!$E$500:$E$923,0))*N($H759),0)</f>
        <v>437.5</v>
      </c>
      <c r="L759">
        <f>IFERROR(MIN(5,$K759/MAX(1,_CONFIG_Model_Settings!$B$105)),0)</f>
        <v>5</v>
      </c>
    </row>
    <row r="760" spans="1:12">
      <c r="A760" t="s">
        <v>4399</v>
      </c>
      <c r="B760" t="s">
        <v>4400</v>
      </c>
      <c r="C760" t="s">
        <v>4374</v>
      </c>
      <c r="D760" t="s">
        <v>2791</v>
      </c>
      <c r="E760" t="s">
        <v>2729</v>
      </c>
      <c r="F760" t="s">
        <v>2747</v>
      </c>
      <c r="G760">
        <f>IFERROR(INDEX(_ENGINE_Risk!$BS$500:$BS$923,MATCH($D760,_ENGINE_Risk!$E$500:$E$923,0)),0)</f>
        <v>23.66</v>
      </c>
      <c r="H760">
        <v>1</v>
      </c>
      <c r="I760">
        <f>IFERROR(MAX(0,5-INDEX(_ENGINE_Risk!$H$500:$H$923,MATCH($D760,_ENGINE_Risk!$E$500:$E$923,0))),0)</f>
        <v>5</v>
      </c>
      <c r="J760" t="s">
        <v>11566</v>
      </c>
      <c r="K760">
        <f>IFERROR(INDEX(_ENGINE_Risk!$BI$500:$BI$923,MATCH($D760,_ENGINE_Risk!$E$500:$E$923,0))*N($H760),0)</f>
        <v>937.5</v>
      </c>
      <c r="L760">
        <f>IFERROR(MIN(5,$K760/MAX(1,_CONFIG_Model_Settings!$B$105)),0)</f>
        <v>5</v>
      </c>
    </row>
    <row r="761" spans="1:12">
      <c r="A761" t="s">
        <v>4399</v>
      </c>
      <c r="B761" t="s">
        <v>4400</v>
      </c>
      <c r="C761" t="s">
        <v>4374</v>
      </c>
      <c r="D761" t="s">
        <v>2794</v>
      </c>
      <c r="E761" t="s">
        <v>2729</v>
      </c>
      <c r="F761" t="s">
        <v>2747</v>
      </c>
      <c r="G761">
        <f>IFERROR(INDEX(_ENGINE_Risk!$BS$500:$BS$923,MATCH($D761,_ENGINE_Risk!$E$500:$E$923,0)),0)</f>
        <v>23.66</v>
      </c>
      <c r="H761">
        <v>1</v>
      </c>
      <c r="I761">
        <f>IFERROR(MAX(0,5-INDEX(_ENGINE_Risk!$H$500:$H$923,MATCH($D761,_ENGINE_Risk!$E$500:$E$923,0))),0)</f>
        <v>5</v>
      </c>
      <c r="J761" t="s">
        <v>11566</v>
      </c>
      <c r="K761">
        <f>IFERROR(INDEX(_ENGINE_Risk!$BI$500:$BI$923,MATCH($D761,_ENGINE_Risk!$E$500:$E$923,0))*N($H761),0)</f>
        <v>937.5</v>
      </c>
      <c r="L761">
        <f>IFERROR(MIN(5,$K761/MAX(1,_CONFIG_Model_Settings!$B$105)),0)</f>
        <v>5</v>
      </c>
    </row>
    <row r="762" spans="1:12">
      <c r="A762" t="s">
        <v>4399</v>
      </c>
      <c r="B762" t="s">
        <v>4400</v>
      </c>
      <c r="C762" t="s">
        <v>4374</v>
      </c>
      <c r="D762" t="s">
        <v>2797</v>
      </c>
      <c r="E762" t="s">
        <v>2729</v>
      </c>
      <c r="F762" t="s">
        <v>2747</v>
      </c>
      <c r="G762">
        <f>IFERROR(INDEX(_ENGINE_Risk!$BS$500:$BS$923,MATCH($D762,_ENGINE_Risk!$E$500:$E$923,0)),0)</f>
        <v>23.66</v>
      </c>
      <c r="H762">
        <v>1</v>
      </c>
      <c r="I762">
        <f>IFERROR(MAX(0,5-INDEX(_ENGINE_Risk!$H$500:$H$923,MATCH($D762,_ENGINE_Risk!$E$500:$E$923,0))),0)</f>
        <v>5</v>
      </c>
      <c r="J762" t="s">
        <v>11566</v>
      </c>
      <c r="K762">
        <f>IFERROR(INDEX(_ENGINE_Risk!$BI$500:$BI$923,MATCH($D762,_ENGINE_Risk!$E$500:$E$923,0))*N($H762),0)</f>
        <v>937.5</v>
      </c>
      <c r="L762">
        <f>IFERROR(MIN(5,$K762/MAX(1,_CONFIG_Model_Settings!$B$105)),0)</f>
        <v>5</v>
      </c>
    </row>
    <row r="763" spans="1:12">
      <c r="A763" t="s">
        <v>4053</v>
      </c>
      <c r="B763" t="s">
        <v>4054</v>
      </c>
      <c r="C763" t="s">
        <v>3924</v>
      </c>
      <c r="D763" t="s">
        <v>1520</v>
      </c>
      <c r="E763" t="s">
        <v>1401</v>
      </c>
      <c r="F763" t="s">
        <v>1403</v>
      </c>
      <c r="G763">
        <f>IFERROR(INDEX(_ENGINE_Risk!$BS$500:$BS$923,MATCH($D763,_ENGINE_Risk!$E$500:$E$923,0)),0)</f>
        <v>15.84</v>
      </c>
      <c r="H763">
        <v>1</v>
      </c>
      <c r="I763">
        <f>IFERROR(MAX(0,5-INDEX(_ENGINE_Risk!$H$500:$H$923,MATCH($D763,_ENGINE_Risk!$E$500:$E$923,0))),0)</f>
        <v>5</v>
      </c>
      <c r="J763" t="s">
        <v>11567</v>
      </c>
      <c r="K763">
        <f>IFERROR(INDEX(_ENGINE_Risk!$BI$500:$BI$923,MATCH($D763,_ENGINE_Risk!$E$500:$E$923,0))*N($H763),0)</f>
        <v>437.5</v>
      </c>
      <c r="L763">
        <f>IFERROR(MIN(5,$K763/MAX(1,_CONFIG_Model_Settings!$B$105)),0)</f>
        <v>5</v>
      </c>
    </row>
    <row r="764" spans="1:12">
      <c r="A764" t="s">
        <v>4406</v>
      </c>
      <c r="B764" t="s">
        <v>4407</v>
      </c>
      <c r="C764" t="s">
        <v>4374</v>
      </c>
      <c r="D764" t="s">
        <v>2800</v>
      </c>
      <c r="E764" t="s">
        <v>2729</v>
      </c>
      <c r="F764" t="s">
        <v>2751</v>
      </c>
      <c r="G764">
        <f>IFERROR(INDEX(_ENGINE_Risk!$BS$500:$BS$923,MATCH($D764,_ENGINE_Risk!$E$500:$E$923,0)),0)</f>
        <v>22.65</v>
      </c>
      <c r="H764">
        <v>1</v>
      </c>
      <c r="I764">
        <f>IFERROR(MAX(0,5-INDEX(_ENGINE_Risk!$H$500:$H$923,MATCH($D764,_ENGINE_Risk!$E$500:$E$923,0))),0)</f>
        <v>5</v>
      </c>
      <c r="J764" t="s">
        <v>11566</v>
      </c>
      <c r="K764">
        <f>IFERROR(INDEX(_ENGINE_Risk!$BI$500:$BI$923,MATCH($D764,_ENGINE_Risk!$E$500:$E$923,0))*N($H764),0)</f>
        <v>437.5</v>
      </c>
      <c r="L764">
        <f>IFERROR(MIN(5,$K764/MAX(1,_CONFIG_Model_Settings!$B$105)),0)</f>
        <v>5</v>
      </c>
    </row>
    <row r="765" spans="1:12">
      <c r="A765" t="s">
        <v>4406</v>
      </c>
      <c r="B765" t="s">
        <v>4407</v>
      </c>
      <c r="C765" t="s">
        <v>4374</v>
      </c>
      <c r="D765" t="s">
        <v>2809</v>
      </c>
      <c r="E765" t="s">
        <v>2729</v>
      </c>
      <c r="F765" t="s">
        <v>2751</v>
      </c>
      <c r="G765">
        <f>IFERROR(INDEX(_ENGINE_Risk!$BS$500:$BS$923,MATCH($D765,_ENGINE_Risk!$E$500:$E$923,0)),0)</f>
        <v>23.66</v>
      </c>
      <c r="H765">
        <v>1</v>
      </c>
      <c r="I765">
        <f>IFERROR(MAX(0,5-INDEX(_ENGINE_Risk!$H$500:$H$923,MATCH($D765,_ENGINE_Risk!$E$500:$E$923,0))),0)</f>
        <v>5</v>
      </c>
      <c r="J765" t="s">
        <v>11566</v>
      </c>
      <c r="K765">
        <f>IFERROR(INDEX(_ENGINE_Risk!$BI$500:$BI$923,MATCH($D765,_ENGINE_Risk!$E$500:$E$923,0))*N($H765),0)</f>
        <v>937.5</v>
      </c>
      <c r="L765">
        <f>IFERROR(MIN(5,$K765/MAX(1,_CONFIG_Model_Settings!$B$105)),0)</f>
        <v>5</v>
      </c>
    </row>
    <row r="766" spans="1:12">
      <c r="A766" t="s">
        <v>4406</v>
      </c>
      <c r="B766" t="s">
        <v>4407</v>
      </c>
      <c r="C766" t="s">
        <v>4374</v>
      </c>
      <c r="D766" t="s">
        <v>2812</v>
      </c>
      <c r="E766" t="s">
        <v>2729</v>
      </c>
      <c r="F766" t="s">
        <v>2751</v>
      </c>
      <c r="G766">
        <f>IFERROR(INDEX(_ENGINE_Risk!$BS$500:$BS$923,MATCH($D766,_ENGINE_Risk!$E$500:$E$923,0)),0)</f>
        <v>23.66</v>
      </c>
      <c r="H766">
        <v>1</v>
      </c>
      <c r="I766">
        <f>IFERROR(MAX(0,5-INDEX(_ENGINE_Risk!$H$500:$H$923,MATCH($D766,_ENGINE_Risk!$E$500:$E$923,0))),0)</f>
        <v>5</v>
      </c>
      <c r="J766" t="s">
        <v>11566</v>
      </c>
      <c r="K766">
        <f>IFERROR(INDEX(_ENGINE_Risk!$BI$500:$BI$923,MATCH($D766,_ENGINE_Risk!$E$500:$E$923,0))*N($H766),0)</f>
        <v>937.5</v>
      </c>
      <c r="L766">
        <f>IFERROR(MIN(5,$K766/MAX(1,_CONFIG_Model_Settings!$B$105)),0)</f>
        <v>5</v>
      </c>
    </row>
    <row r="767" spans="1:12">
      <c r="A767" t="s">
        <v>4406</v>
      </c>
      <c r="B767" t="s">
        <v>4407</v>
      </c>
      <c r="C767" t="s">
        <v>4374</v>
      </c>
      <c r="D767" t="s">
        <v>2815</v>
      </c>
      <c r="E767" t="s">
        <v>2729</v>
      </c>
      <c r="F767" t="s">
        <v>2751</v>
      </c>
      <c r="G767">
        <f>IFERROR(INDEX(_ENGINE_Risk!$BS$500:$BS$923,MATCH($D767,_ENGINE_Risk!$E$500:$E$923,0)),0)</f>
        <v>23.66</v>
      </c>
      <c r="H767">
        <v>1</v>
      </c>
      <c r="I767">
        <f>IFERROR(MAX(0,5-INDEX(_ENGINE_Risk!$H$500:$H$923,MATCH($D767,_ENGINE_Risk!$E$500:$E$923,0))),0)</f>
        <v>5</v>
      </c>
      <c r="J767" t="s">
        <v>11566</v>
      </c>
      <c r="K767">
        <f>IFERROR(INDEX(_ENGINE_Risk!$BI$500:$BI$923,MATCH($D767,_ENGINE_Risk!$E$500:$E$923,0))*N($H767),0)</f>
        <v>937.5</v>
      </c>
      <c r="L767">
        <f>IFERROR(MIN(5,$K767/MAX(1,_CONFIG_Model_Settings!$B$105)),0)</f>
        <v>5</v>
      </c>
    </row>
    <row r="768" spans="1:12">
      <c r="A768" t="s">
        <v>4406</v>
      </c>
      <c r="B768" t="s">
        <v>4407</v>
      </c>
      <c r="C768" t="s">
        <v>4374</v>
      </c>
      <c r="D768" t="s">
        <v>2818</v>
      </c>
      <c r="E768" t="s">
        <v>2729</v>
      </c>
      <c r="F768" t="s">
        <v>2751</v>
      </c>
      <c r="G768">
        <f>IFERROR(INDEX(_ENGINE_Risk!$BS$500:$BS$923,MATCH($D768,_ENGINE_Risk!$E$500:$E$923,0)),0)</f>
        <v>23.66</v>
      </c>
      <c r="H768">
        <v>1</v>
      </c>
      <c r="I768">
        <f>IFERROR(MAX(0,5-INDEX(_ENGINE_Risk!$H$500:$H$923,MATCH($D768,_ENGINE_Risk!$E$500:$E$923,0))),0)</f>
        <v>5</v>
      </c>
      <c r="J768" t="s">
        <v>11566</v>
      </c>
      <c r="K768">
        <f>IFERROR(INDEX(_ENGINE_Risk!$BI$500:$BI$923,MATCH($D768,_ENGINE_Risk!$E$500:$E$923,0))*N($H768),0)</f>
        <v>937.5</v>
      </c>
      <c r="L768">
        <f>IFERROR(MIN(5,$K768/MAX(1,_CONFIG_Model_Settings!$B$105)),0)</f>
        <v>5</v>
      </c>
    </row>
    <row r="769" spans="1:12">
      <c r="A769" t="s">
        <v>4406</v>
      </c>
      <c r="B769" t="s">
        <v>4407</v>
      </c>
      <c r="C769" t="s">
        <v>4374</v>
      </c>
      <c r="D769" t="s">
        <v>2821</v>
      </c>
      <c r="E769" t="s">
        <v>2729</v>
      </c>
      <c r="F769" t="s">
        <v>2751</v>
      </c>
      <c r="G769">
        <f>IFERROR(INDEX(_ENGINE_Risk!$BS$500:$BS$923,MATCH($D769,_ENGINE_Risk!$E$500:$E$923,0)),0)</f>
        <v>23.66</v>
      </c>
      <c r="H769">
        <v>1</v>
      </c>
      <c r="I769">
        <f>IFERROR(MAX(0,5-INDEX(_ENGINE_Risk!$H$500:$H$923,MATCH($D769,_ENGINE_Risk!$E$500:$E$923,0))),0)</f>
        <v>5</v>
      </c>
      <c r="J769" t="s">
        <v>11566</v>
      </c>
      <c r="K769">
        <f>IFERROR(INDEX(_ENGINE_Risk!$BI$500:$BI$923,MATCH($D769,_ENGINE_Risk!$E$500:$E$923,0))*N($H769),0)</f>
        <v>937.5</v>
      </c>
      <c r="L769">
        <f>IFERROR(MIN(5,$K769/MAX(1,_CONFIG_Model_Settings!$B$105)),0)</f>
        <v>5</v>
      </c>
    </row>
    <row r="770" spans="1:12">
      <c r="A770" t="s">
        <v>4413</v>
      </c>
      <c r="B770" t="s">
        <v>4416</v>
      </c>
      <c r="C770" t="s">
        <v>4415</v>
      </c>
      <c r="D770" t="s">
        <v>2825</v>
      </c>
      <c r="E770" t="s">
        <v>2824</v>
      </c>
      <c r="F770" t="s">
        <v>2826</v>
      </c>
      <c r="G770">
        <f>IFERROR(INDEX(_ENGINE_Risk!$BS$500:$BS$923,MATCH($D770,_ENGINE_Risk!$E$500:$E$923,0)),0)</f>
        <v>16.73</v>
      </c>
      <c r="H770">
        <v>1</v>
      </c>
      <c r="I770">
        <f>IFERROR(MAX(0,5-INDEX(_ENGINE_Risk!$H$500:$H$923,MATCH($D770,_ENGINE_Risk!$E$500:$E$923,0))),0)</f>
        <v>5</v>
      </c>
      <c r="J770" t="s">
        <v>11566</v>
      </c>
      <c r="K770">
        <f>IFERROR(INDEX(_ENGINE_Risk!$BI$500:$BI$923,MATCH($D770,_ENGINE_Risk!$E$500:$E$923,0))*N($H770),0)</f>
        <v>937.5</v>
      </c>
      <c r="L770">
        <f>IFERROR(MIN(5,$K770/MAX(1,_CONFIG_Model_Settings!$B$105)),0)</f>
        <v>5</v>
      </c>
    </row>
    <row r="771" spans="1:12">
      <c r="A771" t="s">
        <v>4413</v>
      </c>
      <c r="B771" t="s">
        <v>4416</v>
      </c>
      <c r="C771" t="s">
        <v>4415</v>
      </c>
      <c r="D771" t="s">
        <v>2832</v>
      </c>
      <c r="E771" t="s">
        <v>2824</v>
      </c>
      <c r="F771" t="s">
        <v>2826</v>
      </c>
      <c r="G771">
        <f>IFERROR(INDEX(_ENGINE_Risk!$BS$500:$BS$923,MATCH($D771,_ENGINE_Risk!$E$500:$E$923,0)),0)</f>
        <v>16.73</v>
      </c>
      <c r="H771">
        <v>1</v>
      </c>
      <c r="I771">
        <f>IFERROR(MAX(0,5-INDEX(_ENGINE_Risk!$H$500:$H$923,MATCH($D771,_ENGINE_Risk!$E$500:$E$923,0))),0)</f>
        <v>5</v>
      </c>
      <c r="J771" t="s">
        <v>11566</v>
      </c>
      <c r="K771">
        <f>IFERROR(INDEX(_ENGINE_Risk!$BI$500:$BI$923,MATCH($D771,_ENGINE_Risk!$E$500:$E$923,0))*N($H771),0)</f>
        <v>937.5</v>
      </c>
      <c r="L771">
        <f>IFERROR(MIN(5,$K771/MAX(1,_CONFIG_Model_Settings!$B$105)),0)</f>
        <v>5</v>
      </c>
    </row>
    <row r="772" spans="1:12">
      <c r="A772" t="s">
        <v>4413</v>
      </c>
      <c r="B772" t="s">
        <v>4416</v>
      </c>
      <c r="C772" t="s">
        <v>4415</v>
      </c>
      <c r="D772" t="s">
        <v>2836</v>
      </c>
      <c r="E772" t="s">
        <v>2824</v>
      </c>
      <c r="F772" t="s">
        <v>2826</v>
      </c>
      <c r="G772">
        <f>IFERROR(INDEX(_ENGINE_Risk!$BS$500:$BS$923,MATCH($D772,_ENGINE_Risk!$E$500:$E$923,0)),0)</f>
        <v>15.25</v>
      </c>
      <c r="H772">
        <v>1</v>
      </c>
      <c r="I772">
        <f>IFERROR(MAX(0,5-INDEX(_ENGINE_Risk!$H$500:$H$923,MATCH($D772,_ENGINE_Risk!$E$500:$E$923,0))),0)</f>
        <v>5</v>
      </c>
      <c r="J772" t="s">
        <v>11566</v>
      </c>
      <c r="K772">
        <f>IFERROR(INDEX(_ENGINE_Risk!$BI$500:$BI$923,MATCH($D772,_ENGINE_Risk!$E$500:$E$923,0))*N($H772),0)</f>
        <v>437.5</v>
      </c>
      <c r="L772">
        <f>IFERROR(MIN(5,$K772/MAX(1,_CONFIG_Model_Settings!$B$105)),0)</f>
        <v>5</v>
      </c>
    </row>
    <row r="773" spans="1:12">
      <c r="A773" t="s">
        <v>4413</v>
      </c>
      <c r="B773" t="s">
        <v>4416</v>
      </c>
      <c r="C773" t="s">
        <v>4415</v>
      </c>
      <c r="D773" t="s">
        <v>2846</v>
      </c>
      <c r="E773" t="s">
        <v>2824</v>
      </c>
      <c r="F773" t="s">
        <v>2826</v>
      </c>
      <c r="G773">
        <f>IFERROR(INDEX(_ENGINE_Risk!$BS$500:$BS$923,MATCH($D773,_ENGINE_Risk!$E$500:$E$923,0)),0)</f>
        <v>15.99</v>
      </c>
      <c r="H773">
        <v>1</v>
      </c>
      <c r="I773">
        <f>IFERROR(MAX(0,5-INDEX(_ENGINE_Risk!$H$500:$H$923,MATCH($D773,_ENGINE_Risk!$E$500:$E$923,0))),0)</f>
        <v>5</v>
      </c>
      <c r="J773" t="s">
        <v>11566</v>
      </c>
      <c r="K773">
        <f>IFERROR(INDEX(_ENGINE_Risk!$BI$500:$BI$923,MATCH($D773,_ENGINE_Risk!$E$500:$E$923,0))*N($H773),0)</f>
        <v>437.5</v>
      </c>
      <c r="L773">
        <f>IFERROR(MIN(5,$K773/MAX(1,_CONFIG_Model_Settings!$B$105)),0)</f>
        <v>5</v>
      </c>
    </row>
    <row r="774" spans="1:12">
      <c r="A774" t="s">
        <v>4413</v>
      </c>
      <c r="B774" t="s">
        <v>4416</v>
      </c>
      <c r="C774" t="s">
        <v>4415</v>
      </c>
      <c r="D774" t="s">
        <v>2856</v>
      </c>
      <c r="E774" t="s">
        <v>2824</v>
      </c>
      <c r="F774" t="s">
        <v>2826</v>
      </c>
      <c r="G774">
        <f>IFERROR(INDEX(_ENGINE_Risk!$BS$500:$BS$923,MATCH($D774,_ENGINE_Risk!$E$500:$E$923,0)),0)</f>
        <v>16.73</v>
      </c>
      <c r="H774">
        <v>1</v>
      </c>
      <c r="I774">
        <f>IFERROR(MAX(0,5-INDEX(_ENGINE_Risk!$H$500:$H$923,MATCH($D774,_ENGINE_Risk!$E$500:$E$923,0))),0)</f>
        <v>5</v>
      </c>
      <c r="J774" t="s">
        <v>11566</v>
      </c>
      <c r="K774">
        <f>IFERROR(INDEX(_ENGINE_Risk!$BI$500:$BI$923,MATCH($D774,_ENGINE_Risk!$E$500:$E$923,0))*N($H774),0)</f>
        <v>937.5</v>
      </c>
      <c r="L774">
        <f>IFERROR(MIN(5,$K774/MAX(1,_CONFIG_Model_Settings!$B$105)),0)</f>
        <v>5</v>
      </c>
    </row>
    <row r="775" spans="1:12">
      <c r="A775" t="s">
        <v>4413</v>
      </c>
      <c r="B775" t="s">
        <v>4416</v>
      </c>
      <c r="C775" t="s">
        <v>4415</v>
      </c>
      <c r="D775" t="s">
        <v>2860</v>
      </c>
      <c r="E775" t="s">
        <v>2824</v>
      </c>
      <c r="F775" t="s">
        <v>2826</v>
      </c>
      <c r="G775">
        <f>IFERROR(INDEX(_ENGINE_Risk!$BS$500:$BS$923,MATCH($D775,_ENGINE_Risk!$E$500:$E$923,0)),0)</f>
        <v>15.99</v>
      </c>
      <c r="H775">
        <v>1</v>
      </c>
      <c r="I775">
        <f>IFERROR(MAX(0,5-INDEX(_ENGINE_Risk!$H$500:$H$923,MATCH($D775,_ENGINE_Risk!$E$500:$E$923,0))),0)</f>
        <v>5</v>
      </c>
      <c r="J775" t="s">
        <v>11566</v>
      </c>
      <c r="K775">
        <f>IFERROR(INDEX(_ENGINE_Risk!$BI$500:$BI$923,MATCH($D775,_ENGINE_Risk!$E$500:$E$923,0))*N($H775),0)</f>
        <v>437.5</v>
      </c>
      <c r="L775">
        <f>IFERROR(MIN(5,$K775/MAX(1,_CONFIG_Model_Settings!$B$105)),0)</f>
        <v>5</v>
      </c>
    </row>
    <row r="776" spans="1:12">
      <c r="A776" t="s">
        <v>4427</v>
      </c>
      <c r="B776" t="s">
        <v>4428</v>
      </c>
      <c r="C776" t="s">
        <v>4415</v>
      </c>
      <c r="D776" t="s">
        <v>2869</v>
      </c>
      <c r="E776" t="s">
        <v>2824</v>
      </c>
      <c r="F776" t="s">
        <v>2835</v>
      </c>
      <c r="G776">
        <f>IFERROR(INDEX(_ENGINE_Risk!$BS$500:$BS$923,MATCH($D776,_ENGINE_Risk!$E$500:$E$923,0)),0)</f>
        <v>15.99</v>
      </c>
      <c r="H776">
        <v>1</v>
      </c>
      <c r="I776">
        <f>IFERROR(MAX(0,5-INDEX(_ENGINE_Risk!$H$500:$H$923,MATCH($D776,_ENGINE_Risk!$E$500:$E$923,0))),0)</f>
        <v>5</v>
      </c>
      <c r="J776" t="s">
        <v>11566</v>
      </c>
      <c r="K776">
        <f>IFERROR(INDEX(_ENGINE_Risk!$BI$500:$BI$923,MATCH($D776,_ENGINE_Risk!$E$500:$E$923,0))*N($H776),0)</f>
        <v>437.5</v>
      </c>
      <c r="L776">
        <f>IFERROR(MIN(5,$K776/MAX(1,_CONFIG_Model_Settings!$B$105)),0)</f>
        <v>5</v>
      </c>
    </row>
    <row r="777" spans="1:12">
      <c r="A777" t="s">
        <v>4427</v>
      </c>
      <c r="B777" t="s">
        <v>4428</v>
      </c>
      <c r="C777" t="s">
        <v>4415</v>
      </c>
      <c r="D777" t="s">
        <v>2878</v>
      </c>
      <c r="E777" t="s">
        <v>2824</v>
      </c>
      <c r="F777" t="s">
        <v>2835</v>
      </c>
      <c r="G777">
        <f>IFERROR(INDEX(_ENGINE_Risk!$BS$500:$BS$923,MATCH($D777,_ENGINE_Risk!$E$500:$E$923,0)),0)</f>
        <v>15.25</v>
      </c>
      <c r="H777">
        <v>1</v>
      </c>
      <c r="I777">
        <f>IFERROR(MAX(0,5-INDEX(_ENGINE_Risk!$H$500:$H$923,MATCH($D777,_ENGINE_Risk!$E$500:$E$923,0))),0)</f>
        <v>5</v>
      </c>
      <c r="J777" t="s">
        <v>11566</v>
      </c>
      <c r="K777">
        <f>IFERROR(INDEX(_ENGINE_Risk!$BI$500:$BI$923,MATCH($D777,_ENGINE_Risk!$E$500:$E$923,0))*N($H777),0)</f>
        <v>437.5</v>
      </c>
      <c r="L777">
        <f>IFERROR(MIN(5,$K777/MAX(1,_CONFIG_Model_Settings!$B$105)),0)</f>
        <v>5</v>
      </c>
    </row>
    <row r="778" spans="1:12">
      <c r="A778" t="s">
        <v>4427</v>
      </c>
      <c r="B778" t="s">
        <v>4428</v>
      </c>
      <c r="C778" t="s">
        <v>4415</v>
      </c>
      <c r="D778" t="s">
        <v>2887</v>
      </c>
      <c r="E778" t="s">
        <v>2824</v>
      </c>
      <c r="F778" t="s">
        <v>2835</v>
      </c>
      <c r="G778">
        <f>IFERROR(INDEX(_ENGINE_Risk!$BS$500:$BS$923,MATCH($D778,_ENGINE_Risk!$E$500:$E$923,0)),0)</f>
        <v>16.73</v>
      </c>
      <c r="H778">
        <v>1</v>
      </c>
      <c r="I778">
        <f>IFERROR(MAX(0,5-INDEX(_ENGINE_Risk!$H$500:$H$923,MATCH($D778,_ENGINE_Risk!$E$500:$E$923,0))),0)</f>
        <v>5</v>
      </c>
      <c r="J778" t="s">
        <v>11566</v>
      </c>
      <c r="K778">
        <f>IFERROR(INDEX(_ENGINE_Risk!$BI$500:$BI$923,MATCH($D778,_ENGINE_Risk!$E$500:$E$923,0))*N($H778),0)</f>
        <v>937.5</v>
      </c>
      <c r="L778">
        <f>IFERROR(MIN(5,$K778/MAX(1,_CONFIG_Model_Settings!$B$105)),0)</f>
        <v>5</v>
      </c>
    </row>
    <row r="779" spans="1:12">
      <c r="A779" t="s">
        <v>4427</v>
      </c>
      <c r="B779" t="s">
        <v>4428</v>
      </c>
      <c r="C779" t="s">
        <v>4415</v>
      </c>
      <c r="D779" t="s">
        <v>2890</v>
      </c>
      <c r="E779" t="s">
        <v>2824</v>
      </c>
      <c r="F779" t="s">
        <v>2835</v>
      </c>
      <c r="G779">
        <f>IFERROR(INDEX(_ENGINE_Risk!$BS$500:$BS$923,MATCH($D779,_ENGINE_Risk!$E$500:$E$923,0)),0)</f>
        <v>16.73</v>
      </c>
      <c r="H779">
        <v>1</v>
      </c>
      <c r="I779">
        <f>IFERROR(MAX(0,5-INDEX(_ENGINE_Risk!$H$500:$H$923,MATCH($D779,_ENGINE_Risk!$E$500:$E$923,0))),0)</f>
        <v>5</v>
      </c>
      <c r="J779" t="s">
        <v>11566</v>
      </c>
      <c r="K779">
        <f>IFERROR(INDEX(_ENGINE_Risk!$BI$500:$BI$923,MATCH($D779,_ENGINE_Risk!$E$500:$E$923,0))*N($H779),0)</f>
        <v>937.5</v>
      </c>
      <c r="L779">
        <f>IFERROR(MIN(5,$K779/MAX(1,_CONFIG_Model_Settings!$B$105)),0)</f>
        <v>5</v>
      </c>
    </row>
    <row r="780" spans="1:12">
      <c r="A780" t="s">
        <v>4427</v>
      </c>
      <c r="B780" t="s">
        <v>4428</v>
      </c>
      <c r="C780" t="s">
        <v>4415</v>
      </c>
      <c r="D780" t="s">
        <v>2893</v>
      </c>
      <c r="E780" t="s">
        <v>2824</v>
      </c>
      <c r="F780" t="s">
        <v>2835</v>
      </c>
      <c r="G780">
        <f>IFERROR(INDEX(_ENGINE_Risk!$BS$500:$BS$923,MATCH($D780,_ENGINE_Risk!$E$500:$E$923,0)),0)</f>
        <v>15.99</v>
      </c>
      <c r="H780">
        <v>1</v>
      </c>
      <c r="I780">
        <f>IFERROR(MAX(0,5-INDEX(_ENGINE_Risk!$H$500:$H$923,MATCH($D780,_ENGINE_Risk!$E$500:$E$923,0))),0)</f>
        <v>5</v>
      </c>
      <c r="J780" t="s">
        <v>11566</v>
      </c>
      <c r="K780">
        <f>IFERROR(INDEX(_ENGINE_Risk!$BI$500:$BI$923,MATCH($D780,_ENGINE_Risk!$E$500:$E$923,0))*N($H780),0)</f>
        <v>437.5</v>
      </c>
      <c r="L780">
        <f>IFERROR(MIN(5,$K780/MAX(1,_CONFIG_Model_Settings!$B$105)),0)</f>
        <v>5</v>
      </c>
    </row>
    <row r="781" spans="1:12">
      <c r="A781" t="s">
        <v>4427</v>
      </c>
      <c r="B781" t="s">
        <v>4428</v>
      </c>
      <c r="C781" t="s">
        <v>4415</v>
      </c>
      <c r="D781" t="s">
        <v>2902</v>
      </c>
      <c r="E781" t="s">
        <v>2824</v>
      </c>
      <c r="F781" t="s">
        <v>2835</v>
      </c>
      <c r="G781">
        <f>IFERROR(INDEX(_ENGINE_Risk!$BS$500:$BS$923,MATCH($D781,_ENGINE_Risk!$E$500:$E$923,0)),0)</f>
        <v>16.73</v>
      </c>
      <c r="H781">
        <v>1</v>
      </c>
      <c r="I781">
        <f>IFERROR(MAX(0,5-INDEX(_ENGINE_Risk!$H$500:$H$923,MATCH($D781,_ENGINE_Risk!$E$500:$E$923,0))),0)</f>
        <v>5</v>
      </c>
      <c r="J781" t="s">
        <v>11566</v>
      </c>
      <c r="K781">
        <f>IFERROR(INDEX(_ENGINE_Risk!$BI$500:$BI$923,MATCH($D781,_ENGINE_Risk!$E$500:$E$923,0))*N($H781),0)</f>
        <v>937.5</v>
      </c>
      <c r="L781">
        <f>IFERROR(MIN(5,$K781/MAX(1,_CONFIG_Model_Settings!$B$105)),0)</f>
        <v>5</v>
      </c>
    </row>
    <row r="782" spans="1:12">
      <c r="A782" t="s">
        <v>4434</v>
      </c>
      <c r="B782" t="s">
        <v>4435</v>
      </c>
      <c r="C782" t="s">
        <v>4415</v>
      </c>
      <c r="D782" t="s">
        <v>2905</v>
      </c>
      <c r="E782" t="s">
        <v>2824</v>
      </c>
      <c r="F782" t="s">
        <v>2845</v>
      </c>
      <c r="G782">
        <f>IFERROR(INDEX(_ENGINE_Risk!$BS$500:$BS$923,MATCH($D782,_ENGINE_Risk!$E$500:$E$923,0)),0)</f>
        <v>16.73</v>
      </c>
      <c r="H782">
        <v>1</v>
      </c>
      <c r="I782">
        <f>IFERROR(MAX(0,5-INDEX(_ENGINE_Risk!$H$500:$H$923,MATCH($D782,_ENGINE_Risk!$E$500:$E$923,0))),0)</f>
        <v>5</v>
      </c>
      <c r="J782" t="s">
        <v>11566</v>
      </c>
      <c r="K782">
        <f>IFERROR(INDEX(_ENGINE_Risk!$BI$500:$BI$923,MATCH($D782,_ENGINE_Risk!$E$500:$E$923,0))*N($H782),0)</f>
        <v>937.5</v>
      </c>
      <c r="L782">
        <f>IFERROR(MIN(5,$K782/MAX(1,_CONFIG_Model_Settings!$B$105)),0)</f>
        <v>5</v>
      </c>
    </row>
    <row r="783" spans="1:12">
      <c r="A783" t="s">
        <v>4434</v>
      </c>
      <c r="B783" t="s">
        <v>4435</v>
      </c>
      <c r="C783" t="s">
        <v>4415</v>
      </c>
      <c r="D783" t="s">
        <v>2908</v>
      </c>
      <c r="E783" t="s">
        <v>2824</v>
      </c>
      <c r="F783" t="s">
        <v>2845</v>
      </c>
      <c r="G783">
        <f>IFERROR(INDEX(_ENGINE_Risk!$BS$500:$BS$923,MATCH($D783,_ENGINE_Risk!$E$500:$E$923,0)),0)</f>
        <v>16.73</v>
      </c>
      <c r="H783">
        <v>1</v>
      </c>
      <c r="I783">
        <f>IFERROR(MAX(0,5-INDEX(_ENGINE_Risk!$H$500:$H$923,MATCH($D783,_ENGINE_Risk!$E$500:$E$923,0))),0)</f>
        <v>5</v>
      </c>
      <c r="J783" t="s">
        <v>11566</v>
      </c>
      <c r="K783">
        <f>IFERROR(INDEX(_ENGINE_Risk!$BI$500:$BI$923,MATCH($D783,_ENGINE_Risk!$E$500:$E$923,0))*N($H783),0)</f>
        <v>937.5</v>
      </c>
      <c r="L783">
        <f>IFERROR(MIN(5,$K783/MAX(1,_CONFIG_Model_Settings!$B$105)),0)</f>
        <v>5</v>
      </c>
    </row>
    <row r="784" spans="1:12">
      <c r="A784" t="s">
        <v>4434</v>
      </c>
      <c r="B784" t="s">
        <v>4435</v>
      </c>
      <c r="C784" t="s">
        <v>4415</v>
      </c>
      <c r="D784" t="s">
        <v>2911</v>
      </c>
      <c r="E784" t="s">
        <v>2824</v>
      </c>
      <c r="F784" t="s">
        <v>2845</v>
      </c>
      <c r="G784">
        <f>IFERROR(INDEX(_ENGINE_Risk!$BS$500:$BS$923,MATCH($D784,_ENGINE_Risk!$E$500:$E$923,0)),0)</f>
        <v>16.73</v>
      </c>
      <c r="H784">
        <v>1</v>
      </c>
      <c r="I784">
        <f>IFERROR(MAX(0,5-INDEX(_ENGINE_Risk!$H$500:$H$923,MATCH($D784,_ENGINE_Risk!$E$500:$E$923,0))),0)</f>
        <v>5</v>
      </c>
      <c r="J784" t="s">
        <v>11566</v>
      </c>
      <c r="K784">
        <f>IFERROR(INDEX(_ENGINE_Risk!$BI$500:$BI$923,MATCH($D784,_ENGINE_Risk!$E$500:$E$923,0))*N($H784),0)</f>
        <v>937.5</v>
      </c>
      <c r="L784">
        <f>IFERROR(MIN(5,$K784/MAX(1,_CONFIG_Model_Settings!$B$105)),0)</f>
        <v>5</v>
      </c>
    </row>
    <row r="785" spans="1:12">
      <c r="A785" t="s">
        <v>4434</v>
      </c>
      <c r="B785" t="s">
        <v>4435</v>
      </c>
      <c r="C785" t="s">
        <v>4415</v>
      </c>
      <c r="D785" t="s">
        <v>2914</v>
      </c>
      <c r="E785" t="s">
        <v>2824</v>
      </c>
      <c r="F785" t="s">
        <v>2845</v>
      </c>
      <c r="G785">
        <f>IFERROR(INDEX(_ENGINE_Risk!$BS$500:$BS$923,MATCH($D785,_ENGINE_Risk!$E$500:$E$923,0)),0)</f>
        <v>15.99</v>
      </c>
      <c r="H785">
        <v>1</v>
      </c>
      <c r="I785">
        <f>IFERROR(MAX(0,5-INDEX(_ENGINE_Risk!$H$500:$H$923,MATCH($D785,_ENGINE_Risk!$E$500:$E$923,0))),0)</f>
        <v>5</v>
      </c>
      <c r="J785" t="s">
        <v>11566</v>
      </c>
      <c r="K785">
        <f>IFERROR(INDEX(_ENGINE_Risk!$BI$500:$BI$923,MATCH($D785,_ENGINE_Risk!$E$500:$E$923,0))*N($H785),0)</f>
        <v>437.5</v>
      </c>
      <c r="L785">
        <f>IFERROR(MIN(5,$K785/MAX(1,_CONFIG_Model_Settings!$B$105)),0)</f>
        <v>5</v>
      </c>
    </row>
    <row r="786" spans="1:12">
      <c r="A786" t="s">
        <v>4434</v>
      </c>
      <c r="B786" t="s">
        <v>4435</v>
      </c>
      <c r="C786" t="s">
        <v>4415</v>
      </c>
      <c r="D786" t="s">
        <v>2923</v>
      </c>
      <c r="E786" t="s">
        <v>2824</v>
      </c>
      <c r="F786" t="s">
        <v>2845</v>
      </c>
      <c r="G786">
        <f>IFERROR(INDEX(_ENGINE_Risk!$BS$500:$BS$923,MATCH($D786,_ENGINE_Risk!$E$500:$E$923,0)),0)</f>
        <v>16.73</v>
      </c>
      <c r="H786">
        <v>1</v>
      </c>
      <c r="I786">
        <f>IFERROR(MAX(0,5-INDEX(_ENGINE_Risk!$H$500:$H$923,MATCH($D786,_ENGINE_Risk!$E$500:$E$923,0))),0)</f>
        <v>5</v>
      </c>
      <c r="J786" t="s">
        <v>11566</v>
      </c>
      <c r="K786">
        <f>IFERROR(INDEX(_ENGINE_Risk!$BI$500:$BI$923,MATCH($D786,_ENGINE_Risk!$E$500:$E$923,0))*N($H786),0)</f>
        <v>937.5</v>
      </c>
      <c r="L786">
        <f>IFERROR(MIN(5,$K786/MAX(1,_CONFIG_Model_Settings!$B$105)),0)</f>
        <v>5</v>
      </c>
    </row>
    <row r="787" spans="1:12">
      <c r="A787" t="s">
        <v>4434</v>
      </c>
      <c r="B787" t="s">
        <v>4435</v>
      </c>
      <c r="C787" t="s">
        <v>4415</v>
      </c>
      <c r="D787" t="s">
        <v>2926</v>
      </c>
      <c r="E787" t="s">
        <v>2824</v>
      </c>
      <c r="F787" t="s">
        <v>2845</v>
      </c>
      <c r="G787">
        <f>IFERROR(INDEX(_ENGINE_Risk!$BS$500:$BS$923,MATCH($D787,_ENGINE_Risk!$E$500:$E$923,0)),0)</f>
        <v>16.73</v>
      </c>
      <c r="H787">
        <v>1</v>
      </c>
      <c r="I787">
        <f>IFERROR(MAX(0,5-INDEX(_ENGINE_Risk!$H$500:$H$923,MATCH($D787,_ENGINE_Risk!$E$500:$E$923,0))),0)</f>
        <v>5</v>
      </c>
      <c r="J787" t="s">
        <v>11566</v>
      </c>
      <c r="K787">
        <f>IFERROR(INDEX(_ENGINE_Risk!$BI$500:$BI$923,MATCH($D787,_ENGINE_Risk!$E$500:$E$923,0))*N($H787),0)</f>
        <v>937.5</v>
      </c>
      <c r="L787">
        <f>IFERROR(MIN(5,$K787/MAX(1,_CONFIG_Model_Settings!$B$105)),0)</f>
        <v>5</v>
      </c>
    </row>
    <row r="788" spans="1:12">
      <c r="A788" t="s">
        <v>4441</v>
      </c>
      <c r="B788" t="s">
        <v>4442</v>
      </c>
      <c r="C788" t="s">
        <v>4415</v>
      </c>
      <c r="D788" t="s">
        <v>2929</v>
      </c>
      <c r="E788" t="s">
        <v>2824</v>
      </c>
      <c r="F788" t="s">
        <v>2855</v>
      </c>
      <c r="G788">
        <f>IFERROR(INDEX(_ENGINE_Risk!$BS$500:$BS$923,MATCH($D788,_ENGINE_Risk!$E$500:$E$923,0)),0)</f>
        <v>16.73</v>
      </c>
      <c r="H788">
        <v>1</v>
      </c>
      <c r="I788">
        <f>IFERROR(MAX(0,5-INDEX(_ENGINE_Risk!$H$500:$H$923,MATCH($D788,_ENGINE_Risk!$E$500:$E$923,0))),0)</f>
        <v>5</v>
      </c>
      <c r="J788" t="s">
        <v>11566</v>
      </c>
      <c r="K788">
        <f>IFERROR(INDEX(_ENGINE_Risk!$BI$500:$BI$923,MATCH($D788,_ENGINE_Risk!$E$500:$E$923,0))*N($H788),0)</f>
        <v>937.5</v>
      </c>
      <c r="L788">
        <f>IFERROR(MIN(5,$K788/MAX(1,_CONFIG_Model_Settings!$B$105)),0)</f>
        <v>5</v>
      </c>
    </row>
    <row r="789" spans="1:12">
      <c r="A789" t="s">
        <v>4441</v>
      </c>
      <c r="B789" t="s">
        <v>4442</v>
      </c>
      <c r="C789" t="s">
        <v>4415</v>
      </c>
      <c r="D789" t="s">
        <v>2932</v>
      </c>
      <c r="E789" t="s">
        <v>2824</v>
      </c>
      <c r="F789" t="s">
        <v>2855</v>
      </c>
      <c r="G789">
        <f>IFERROR(INDEX(_ENGINE_Risk!$BS$500:$BS$923,MATCH($D789,_ENGINE_Risk!$E$500:$E$923,0)),0)</f>
        <v>16.73</v>
      </c>
      <c r="H789">
        <v>1</v>
      </c>
      <c r="I789">
        <f>IFERROR(MAX(0,5-INDEX(_ENGINE_Risk!$H$500:$H$923,MATCH($D789,_ENGINE_Risk!$E$500:$E$923,0))),0)</f>
        <v>5</v>
      </c>
      <c r="J789" t="s">
        <v>11566</v>
      </c>
      <c r="K789">
        <f>IFERROR(INDEX(_ENGINE_Risk!$BI$500:$BI$923,MATCH($D789,_ENGINE_Risk!$E$500:$E$923,0))*N($H789),0)</f>
        <v>937.5</v>
      </c>
      <c r="L789">
        <f>IFERROR(MIN(5,$K789/MAX(1,_CONFIG_Model_Settings!$B$105)),0)</f>
        <v>5</v>
      </c>
    </row>
    <row r="790" spans="1:12">
      <c r="A790" t="s">
        <v>4441</v>
      </c>
      <c r="B790" t="s">
        <v>4442</v>
      </c>
      <c r="C790" t="s">
        <v>4415</v>
      </c>
      <c r="D790" t="s">
        <v>2935</v>
      </c>
      <c r="E790" t="s">
        <v>2824</v>
      </c>
      <c r="F790" t="s">
        <v>2855</v>
      </c>
      <c r="G790">
        <f>IFERROR(INDEX(_ENGINE_Risk!$BS$500:$BS$923,MATCH($D790,_ENGINE_Risk!$E$500:$E$923,0)),0)</f>
        <v>15.99</v>
      </c>
      <c r="H790">
        <v>1</v>
      </c>
      <c r="I790">
        <f>IFERROR(MAX(0,5-INDEX(_ENGINE_Risk!$H$500:$H$923,MATCH($D790,_ENGINE_Risk!$E$500:$E$923,0))),0)</f>
        <v>5</v>
      </c>
      <c r="J790" t="s">
        <v>11566</v>
      </c>
      <c r="K790">
        <f>IFERROR(INDEX(_ENGINE_Risk!$BI$500:$BI$923,MATCH($D790,_ENGINE_Risk!$E$500:$E$923,0))*N($H790),0)</f>
        <v>437.5</v>
      </c>
      <c r="L790">
        <f>IFERROR(MIN(5,$K790/MAX(1,_CONFIG_Model_Settings!$B$105)),0)</f>
        <v>5</v>
      </c>
    </row>
    <row r="791" spans="1:12">
      <c r="A791" t="s">
        <v>4441</v>
      </c>
      <c r="B791" t="s">
        <v>4442</v>
      </c>
      <c r="C791" t="s">
        <v>4415</v>
      </c>
      <c r="D791" t="s">
        <v>2944</v>
      </c>
      <c r="E791" t="s">
        <v>2824</v>
      </c>
      <c r="F791" t="s">
        <v>2855</v>
      </c>
      <c r="G791">
        <f>IFERROR(INDEX(_ENGINE_Risk!$BS$500:$BS$923,MATCH($D791,_ENGINE_Risk!$E$500:$E$923,0)),0)</f>
        <v>15.99</v>
      </c>
      <c r="H791">
        <v>1</v>
      </c>
      <c r="I791">
        <f>IFERROR(MAX(0,5-INDEX(_ENGINE_Risk!$H$500:$H$923,MATCH($D791,_ENGINE_Risk!$E$500:$E$923,0))),0)</f>
        <v>5</v>
      </c>
      <c r="J791" t="s">
        <v>11566</v>
      </c>
      <c r="K791">
        <f>IFERROR(INDEX(_ENGINE_Risk!$BI$500:$BI$923,MATCH($D791,_ENGINE_Risk!$E$500:$E$923,0))*N($H791),0)</f>
        <v>437.5</v>
      </c>
      <c r="L791">
        <f>IFERROR(MIN(5,$K791/MAX(1,_CONFIG_Model_Settings!$B$105)),0)</f>
        <v>5</v>
      </c>
    </row>
    <row r="792" spans="1:12">
      <c r="A792" t="s">
        <v>4448</v>
      </c>
      <c r="B792" t="s">
        <v>4449</v>
      </c>
      <c r="C792" t="s">
        <v>4415</v>
      </c>
      <c r="D792" t="s">
        <v>2947</v>
      </c>
      <c r="E792" t="s">
        <v>2824</v>
      </c>
      <c r="F792" t="s">
        <v>2859</v>
      </c>
      <c r="G792">
        <f>IFERROR(INDEX(_ENGINE_Risk!$BS$500:$BS$923,MATCH($D792,_ENGINE_Risk!$E$500:$E$923,0)),0)</f>
        <v>15.99</v>
      </c>
      <c r="H792">
        <v>1</v>
      </c>
      <c r="I792">
        <f>IFERROR(MAX(0,5-INDEX(_ENGINE_Risk!$H$500:$H$923,MATCH($D792,_ENGINE_Risk!$E$500:$E$923,0))),0)</f>
        <v>5</v>
      </c>
      <c r="J792" t="s">
        <v>11566</v>
      </c>
      <c r="K792">
        <f>IFERROR(INDEX(_ENGINE_Risk!$BI$500:$BI$923,MATCH($D792,_ENGINE_Risk!$E$500:$E$923,0))*N($H792),0)</f>
        <v>437.5</v>
      </c>
      <c r="L792">
        <f>IFERROR(MIN(5,$K792/MAX(1,_CONFIG_Model_Settings!$B$105)),0)</f>
        <v>5</v>
      </c>
    </row>
    <row r="793" spans="1:12">
      <c r="A793" t="s">
        <v>4448</v>
      </c>
      <c r="B793" t="s">
        <v>4449</v>
      </c>
      <c r="C793" t="s">
        <v>4415</v>
      </c>
      <c r="D793" t="s">
        <v>2956</v>
      </c>
      <c r="E793" t="s">
        <v>2824</v>
      </c>
      <c r="F793" t="s">
        <v>2859</v>
      </c>
      <c r="G793">
        <f>IFERROR(INDEX(_ENGINE_Risk!$BS$500:$BS$923,MATCH($D793,_ENGINE_Risk!$E$500:$E$923,0)),0)</f>
        <v>15.99</v>
      </c>
      <c r="H793">
        <v>1</v>
      </c>
      <c r="I793">
        <f>IFERROR(MAX(0,5-INDEX(_ENGINE_Risk!$H$500:$H$923,MATCH($D793,_ENGINE_Risk!$E$500:$E$923,0))),0)</f>
        <v>5</v>
      </c>
      <c r="J793" t="s">
        <v>11566</v>
      </c>
      <c r="K793">
        <f>IFERROR(INDEX(_ENGINE_Risk!$BI$500:$BI$923,MATCH($D793,_ENGINE_Risk!$E$500:$E$923,0))*N($H793),0)</f>
        <v>437.5</v>
      </c>
      <c r="L793">
        <f>IFERROR(MIN(5,$K793/MAX(1,_CONFIG_Model_Settings!$B$105)),0)</f>
        <v>5</v>
      </c>
    </row>
    <row r="794" spans="1:12">
      <c r="A794" t="s">
        <v>4448</v>
      </c>
      <c r="B794" t="s">
        <v>4449</v>
      </c>
      <c r="C794" t="s">
        <v>4415</v>
      </c>
      <c r="D794" t="s">
        <v>2965</v>
      </c>
      <c r="E794" t="s">
        <v>2824</v>
      </c>
      <c r="F794" t="s">
        <v>2859</v>
      </c>
      <c r="G794">
        <f>IFERROR(INDEX(_ENGINE_Risk!$BS$500:$BS$923,MATCH($D794,_ENGINE_Risk!$E$500:$E$923,0)),0)</f>
        <v>15.99</v>
      </c>
      <c r="H794">
        <v>1</v>
      </c>
      <c r="I794">
        <f>IFERROR(MAX(0,5-INDEX(_ENGINE_Risk!$H$500:$H$923,MATCH($D794,_ENGINE_Risk!$E$500:$E$923,0))),0)</f>
        <v>5</v>
      </c>
      <c r="J794" t="s">
        <v>11566</v>
      </c>
      <c r="K794">
        <f>IFERROR(INDEX(_ENGINE_Risk!$BI$500:$BI$923,MATCH($D794,_ENGINE_Risk!$E$500:$E$923,0))*N($H794),0)</f>
        <v>437.5</v>
      </c>
      <c r="L794">
        <f>IFERROR(MIN(5,$K794/MAX(1,_CONFIG_Model_Settings!$B$105)),0)</f>
        <v>5</v>
      </c>
    </row>
    <row r="795" spans="1:12">
      <c r="A795" t="s">
        <v>4448</v>
      </c>
      <c r="B795" t="s">
        <v>4449</v>
      </c>
      <c r="C795" t="s">
        <v>4415</v>
      </c>
      <c r="D795" t="s">
        <v>2974</v>
      </c>
      <c r="E795" t="s">
        <v>2824</v>
      </c>
      <c r="F795" t="s">
        <v>2859</v>
      </c>
      <c r="G795">
        <f>IFERROR(INDEX(_ENGINE_Risk!$BS$500:$BS$923,MATCH($D795,_ENGINE_Risk!$E$500:$E$923,0)),0)</f>
        <v>16.73</v>
      </c>
      <c r="H795">
        <v>1</v>
      </c>
      <c r="I795">
        <f>IFERROR(MAX(0,5-INDEX(_ENGINE_Risk!$H$500:$H$923,MATCH($D795,_ENGINE_Risk!$E$500:$E$923,0))),0)</f>
        <v>5</v>
      </c>
      <c r="J795" t="s">
        <v>11566</v>
      </c>
      <c r="K795">
        <f>IFERROR(INDEX(_ENGINE_Risk!$BI$500:$BI$923,MATCH($D795,_ENGINE_Risk!$E$500:$E$923,0))*N($H795),0)</f>
        <v>937.5</v>
      </c>
      <c r="L795">
        <f>IFERROR(MIN(5,$K795/MAX(1,_CONFIG_Model_Settings!$B$105)),0)</f>
        <v>5</v>
      </c>
    </row>
    <row r="796" spans="1:12">
      <c r="A796" t="s">
        <v>4448</v>
      </c>
      <c r="B796" t="s">
        <v>4449</v>
      </c>
      <c r="C796" t="s">
        <v>4415</v>
      </c>
      <c r="D796" t="s">
        <v>2977</v>
      </c>
      <c r="E796" t="s">
        <v>2824</v>
      </c>
      <c r="F796" t="s">
        <v>2859</v>
      </c>
      <c r="G796">
        <f>IFERROR(INDEX(_ENGINE_Risk!$BS$500:$BS$923,MATCH($D796,_ENGINE_Risk!$E$500:$E$923,0)),0)</f>
        <v>15.99</v>
      </c>
      <c r="H796">
        <v>1</v>
      </c>
      <c r="I796">
        <f>IFERROR(MAX(0,5-INDEX(_ENGINE_Risk!$H$500:$H$923,MATCH($D796,_ENGINE_Risk!$E$500:$E$923,0))),0)</f>
        <v>5</v>
      </c>
      <c r="J796" t="s">
        <v>11566</v>
      </c>
      <c r="K796">
        <f>IFERROR(INDEX(_ENGINE_Risk!$BI$500:$BI$923,MATCH($D796,_ENGINE_Risk!$E$500:$E$923,0))*N($H796),0)</f>
        <v>437.5</v>
      </c>
      <c r="L796">
        <f>IFERROR(MIN(5,$K796/MAX(1,_CONFIG_Model_Settings!$B$105)),0)</f>
        <v>5</v>
      </c>
    </row>
    <row r="797" spans="1:12">
      <c r="A797" t="s">
        <v>4455</v>
      </c>
      <c r="B797" t="s">
        <v>4458</v>
      </c>
      <c r="C797" t="s">
        <v>4457</v>
      </c>
      <c r="D797" t="s">
        <v>2987</v>
      </c>
      <c r="E797" t="s">
        <v>2986</v>
      </c>
      <c r="F797" t="s">
        <v>2988</v>
      </c>
      <c r="G797">
        <f>IFERROR(INDEX(_ENGINE_Risk!$BS$500:$BS$923,MATCH($D797,_ENGINE_Risk!$E$500:$E$923,0)),0)</f>
        <v>25.44</v>
      </c>
      <c r="H797">
        <v>1</v>
      </c>
      <c r="I797">
        <f>IFERROR(MAX(0,5-INDEX(_ENGINE_Risk!$H$500:$H$923,MATCH($D797,_ENGINE_Risk!$E$500:$E$923,0))),0)</f>
        <v>5</v>
      </c>
      <c r="J797" t="s">
        <v>11566</v>
      </c>
      <c r="K797">
        <f>IFERROR(INDEX(_ENGINE_Risk!$BI$500:$BI$923,MATCH($D797,_ENGINE_Risk!$E$500:$E$923,0))*N($H797),0)</f>
        <v>937.5</v>
      </c>
      <c r="L797">
        <f>IFERROR(MIN(5,$K797/MAX(1,_CONFIG_Model_Settings!$B$105)),0)</f>
        <v>5</v>
      </c>
    </row>
    <row r="798" spans="1:12">
      <c r="A798" t="s">
        <v>4455</v>
      </c>
      <c r="B798" t="s">
        <v>4458</v>
      </c>
      <c r="C798" t="s">
        <v>4457</v>
      </c>
      <c r="D798" t="s">
        <v>3000</v>
      </c>
      <c r="E798" t="s">
        <v>2986</v>
      </c>
      <c r="F798" t="s">
        <v>2988</v>
      </c>
      <c r="G798">
        <f>IFERROR(INDEX(_ENGINE_Risk!$BS$500:$BS$923,MATCH($D798,_ENGINE_Risk!$E$500:$E$923,0)),0)</f>
        <v>25.44</v>
      </c>
      <c r="H798">
        <v>1</v>
      </c>
      <c r="I798">
        <f>IFERROR(MAX(0,5-INDEX(_ENGINE_Risk!$H$500:$H$923,MATCH($D798,_ENGINE_Risk!$E$500:$E$923,0))),0)</f>
        <v>5</v>
      </c>
      <c r="J798" t="s">
        <v>11566</v>
      </c>
      <c r="K798">
        <f>IFERROR(INDEX(_ENGINE_Risk!$BI$500:$BI$923,MATCH($D798,_ENGINE_Risk!$E$500:$E$923,0))*N($H798),0)</f>
        <v>937.5</v>
      </c>
      <c r="L798">
        <f>IFERROR(MIN(5,$K798/MAX(1,_CONFIG_Model_Settings!$B$105)),0)</f>
        <v>5</v>
      </c>
    </row>
    <row r="799" spans="1:12">
      <c r="A799" t="s">
        <v>4455</v>
      </c>
      <c r="B799" t="s">
        <v>4458</v>
      </c>
      <c r="C799" t="s">
        <v>4457</v>
      </c>
      <c r="D799" t="s">
        <v>3004</v>
      </c>
      <c r="E799" t="s">
        <v>2986</v>
      </c>
      <c r="F799" t="s">
        <v>2988</v>
      </c>
      <c r="G799">
        <f>IFERROR(INDEX(_ENGINE_Risk!$BS$500:$BS$923,MATCH($D799,_ENGINE_Risk!$E$500:$E$923,0)),0)</f>
        <v>25.44</v>
      </c>
      <c r="H799">
        <v>1</v>
      </c>
      <c r="I799">
        <f>IFERROR(MAX(0,5-INDEX(_ENGINE_Risk!$H$500:$H$923,MATCH($D799,_ENGINE_Risk!$E$500:$E$923,0))),0)</f>
        <v>5</v>
      </c>
      <c r="J799" t="s">
        <v>11566</v>
      </c>
      <c r="K799">
        <f>IFERROR(INDEX(_ENGINE_Risk!$BI$500:$BI$923,MATCH($D799,_ENGINE_Risk!$E$500:$E$923,0))*N($H799),0)</f>
        <v>937.5</v>
      </c>
      <c r="L799">
        <f>IFERROR(MIN(5,$K799/MAX(1,_CONFIG_Model_Settings!$B$105)),0)</f>
        <v>5</v>
      </c>
    </row>
    <row r="800" spans="1:12">
      <c r="A800" t="s">
        <v>4455</v>
      </c>
      <c r="B800" t="s">
        <v>4458</v>
      </c>
      <c r="C800" t="s">
        <v>4457</v>
      </c>
      <c r="D800" t="s">
        <v>3014</v>
      </c>
      <c r="E800" t="s">
        <v>2986</v>
      </c>
      <c r="F800" t="s">
        <v>2988</v>
      </c>
      <c r="G800">
        <f>IFERROR(INDEX(_ENGINE_Risk!$BS$500:$BS$923,MATCH($D800,_ENGINE_Risk!$E$500:$E$923,0)),0)</f>
        <v>25.44</v>
      </c>
      <c r="H800">
        <v>1</v>
      </c>
      <c r="I800">
        <f>IFERROR(MAX(0,5-INDEX(_ENGINE_Risk!$H$500:$H$923,MATCH($D800,_ENGINE_Risk!$E$500:$E$923,0))),0)</f>
        <v>5</v>
      </c>
      <c r="J800" t="s">
        <v>11566</v>
      </c>
      <c r="K800">
        <f>IFERROR(INDEX(_ENGINE_Risk!$BI$500:$BI$923,MATCH($D800,_ENGINE_Risk!$E$500:$E$923,0))*N($H800),0)</f>
        <v>937.5</v>
      </c>
      <c r="L800">
        <f>IFERROR(MIN(5,$K800/MAX(1,_CONFIG_Model_Settings!$B$105)),0)</f>
        <v>5</v>
      </c>
    </row>
    <row r="801" spans="1:12">
      <c r="A801" t="s">
        <v>4455</v>
      </c>
      <c r="B801" t="s">
        <v>4458</v>
      </c>
      <c r="C801" t="s">
        <v>4457</v>
      </c>
      <c r="D801" t="s">
        <v>3024</v>
      </c>
      <c r="E801" t="s">
        <v>2986</v>
      </c>
      <c r="F801" t="s">
        <v>2988</v>
      </c>
      <c r="G801">
        <f>IFERROR(INDEX(_ENGINE_Risk!$BS$500:$BS$923,MATCH($D801,_ENGINE_Risk!$E$500:$E$923,0)),0)</f>
        <v>25.44</v>
      </c>
      <c r="H801">
        <v>1</v>
      </c>
      <c r="I801">
        <f>IFERROR(MAX(0,5-INDEX(_ENGINE_Risk!$H$500:$H$923,MATCH($D801,_ENGINE_Risk!$E$500:$E$923,0))),0)</f>
        <v>5</v>
      </c>
      <c r="J801" t="s">
        <v>11566</v>
      </c>
      <c r="K801">
        <f>IFERROR(INDEX(_ENGINE_Risk!$BI$500:$BI$923,MATCH($D801,_ENGINE_Risk!$E$500:$E$923,0))*N($H801),0)</f>
        <v>937.5</v>
      </c>
      <c r="L801">
        <f>IFERROR(MIN(5,$K801/MAX(1,_CONFIG_Model_Settings!$B$105)),0)</f>
        <v>5</v>
      </c>
    </row>
    <row r="802" spans="1:12">
      <c r="A802" t="s">
        <v>4455</v>
      </c>
      <c r="B802" t="s">
        <v>4458</v>
      </c>
      <c r="C802" t="s">
        <v>4457</v>
      </c>
      <c r="D802" t="s">
        <v>3028</v>
      </c>
      <c r="E802" t="s">
        <v>2986</v>
      </c>
      <c r="F802" t="s">
        <v>2988</v>
      </c>
      <c r="G802">
        <f>IFERROR(INDEX(_ENGINE_Risk!$BS$500:$BS$923,MATCH($D802,_ENGINE_Risk!$E$500:$E$923,0)),0)</f>
        <v>25.44</v>
      </c>
      <c r="H802">
        <v>1</v>
      </c>
      <c r="I802">
        <f>IFERROR(MAX(0,5-INDEX(_ENGINE_Risk!$H$500:$H$923,MATCH($D802,_ENGINE_Risk!$E$500:$E$923,0))),0)</f>
        <v>5</v>
      </c>
      <c r="J802" t="s">
        <v>11566</v>
      </c>
      <c r="K802">
        <f>IFERROR(INDEX(_ENGINE_Risk!$BI$500:$BI$923,MATCH($D802,_ENGINE_Risk!$E$500:$E$923,0))*N($H802),0)</f>
        <v>937.5</v>
      </c>
      <c r="L802">
        <f>IFERROR(MIN(5,$K802/MAX(1,_CONFIG_Model_Settings!$B$105)),0)</f>
        <v>5</v>
      </c>
    </row>
    <row r="803" spans="1:12">
      <c r="A803" t="s">
        <v>4469</v>
      </c>
      <c r="B803" t="s">
        <v>4470</v>
      </c>
      <c r="C803" t="s">
        <v>4457</v>
      </c>
      <c r="D803" t="s">
        <v>3032</v>
      </c>
      <c r="E803" t="s">
        <v>2986</v>
      </c>
      <c r="F803" t="s">
        <v>3003</v>
      </c>
      <c r="G803">
        <f>IFERROR(INDEX(_ENGINE_Risk!$BS$500:$BS$923,MATCH($D803,_ENGINE_Risk!$E$500:$E$923,0)),0)</f>
        <v>25.44</v>
      </c>
      <c r="H803">
        <v>1</v>
      </c>
      <c r="I803">
        <f>IFERROR(MAX(0,5-INDEX(_ENGINE_Risk!$H$500:$H$923,MATCH($D803,_ENGINE_Risk!$E$500:$E$923,0))),0)</f>
        <v>5</v>
      </c>
      <c r="J803" t="s">
        <v>11566</v>
      </c>
      <c r="K803">
        <f>IFERROR(INDEX(_ENGINE_Risk!$BI$500:$BI$923,MATCH($D803,_ENGINE_Risk!$E$500:$E$923,0))*N($H803),0)</f>
        <v>937.5</v>
      </c>
      <c r="L803">
        <f>IFERROR(MIN(5,$K803/MAX(1,_CONFIG_Model_Settings!$B$105)),0)</f>
        <v>5</v>
      </c>
    </row>
    <row r="804" spans="1:12">
      <c r="A804" t="s">
        <v>4469</v>
      </c>
      <c r="B804" t="s">
        <v>4470</v>
      </c>
      <c r="C804" t="s">
        <v>4457</v>
      </c>
      <c r="D804" t="s">
        <v>3041</v>
      </c>
      <c r="E804" t="s">
        <v>2986</v>
      </c>
      <c r="F804" t="s">
        <v>3003</v>
      </c>
      <c r="G804">
        <f>IFERROR(INDEX(_ENGINE_Risk!$BS$500:$BS$923,MATCH($D804,_ENGINE_Risk!$E$500:$E$923,0)),0)</f>
        <v>25.44</v>
      </c>
      <c r="H804">
        <v>1</v>
      </c>
      <c r="I804">
        <f>IFERROR(MAX(0,5-INDEX(_ENGINE_Risk!$H$500:$H$923,MATCH($D804,_ENGINE_Risk!$E$500:$E$923,0))),0)</f>
        <v>5</v>
      </c>
      <c r="J804" t="s">
        <v>11566</v>
      </c>
      <c r="K804">
        <f>IFERROR(INDEX(_ENGINE_Risk!$BI$500:$BI$923,MATCH($D804,_ENGINE_Risk!$E$500:$E$923,0))*N($H804),0)</f>
        <v>937.5</v>
      </c>
      <c r="L804">
        <f>IFERROR(MIN(5,$K804/MAX(1,_CONFIG_Model_Settings!$B$105)),0)</f>
        <v>5</v>
      </c>
    </row>
    <row r="805" spans="1:12">
      <c r="A805" t="s">
        <v>4469</v>
      </c>
      <c r="B805" t="s">
        <v>4470</v>
      </c>
      <c r="C805" t="s">
        <v>4457</v>
      </c>
      <c r="D805" t="s">
        <v>3050</v>
      </c>
      <c r="E805" t="s">
        <v>2986</v>
      </c>
      <c r="F805" t="s">
        <v>3003</v>
      </c>
      <c r="G805">
        <f>IFERROR(INDEX(_ENGINE_Risk!$BS$500:$BS$923,MATCH($D805,_ENGINE_Risk!$E$500:$E$923,0)),0)</f>
        <v>25.44</v>
      </c>
      <c r="H805">
        <v>1</v>
      </c>
      <c r="I805">
        <f>IFERROR(MAX(0,5-INDEX(_ENGINE_Risk!$H$500:$H$923,MATCH($D805,_ENGINE_Risk!$E$500:$E$923,0))),0)</f>
        <v>5</v>
      </c>
      <c r="J805" t="s">
        <v>11566</v>
      </c>
      <c r="K805">
        <f>IFERROR(INDEX(_ENGINE_Risk!$BI$500:$BI$923,MATCH($D805,_ENGINE_Risk!$E$500:$E$923,0))*N($H805),0)</f>
        <v>937.5</v>
      </c>
      <c r="L805">
        <f>IFERROR(MIN(5,$K805/MAX(1,_CONFIG_Model_Settings!$B$105)),0)</f>
        <v>5</v>
      </c>
    </row>
    <row r="806" spans="1:12">
      <c r="A806" t="s">
        <v>4469</v>
      </c>
      <c r="B806" t="s">
        <v>4470</v>
      </c>
      <c r="C806" t="s">
        <v>4457</v>
      </c>
      <c r="D806" t="s">
        <v>3059</v>
      </c>
      <c r="E806" t="s">
        <v>2986</v>
      </c>
      <c r="F806" t="s">
        <v>3003</v>
      </c>
      <c r="G806">
        <f>IFERROR(INDEX(_ENGINE_Risk!$BS$500:$BS$923,MATCH($D806,_ENGINE_Risk!$E$500:$E$923,0)),0)</f>
        <v>25.44</v>
      </c>
      <c r="H806">
        <v>1</v>
      </c>
      <c r="I806">
        <f>IFERROR(MAX(0,5-INDEX(_ENGINE_Risk!$H$500:$H$923,MATCH($D806,_ENGINE_Risk!$E$500:$E$923,0))),0)</f>
        <v>5</v>
      </c>
      <c r="J806" t="s">
        <v>11566</v>
      </c>
      <c r="K806">
        <f>IFERROR(INDEX(_ENGINE_Risk!$BI$500:$BI$923,MATCH($D806,_ENGINE_Risk!$E$500:$E$923,0))*N($H806),0)</f>
        <v>937.5</v>
      </c>
      <c r="L806">
        <f>IFERROR(MIN(5,$K806/MAX(1,_CONFIG_Model_Settings!$B$105)),0)</f>
        <v>5</v>
      </c>
    </row>
    <row r="807" spans="1:12">
      <c r="A807" t="s">
        <v>4469</v>
      </c>
      <c r="B807" t="s">
        <v>4470</v>
      </c>
      <c r="C807" t="s">
        <v>4457</v>
      </c>
      <c r="D807" t="s">
        <v>3062</v>
      </c>
      <c r="E807" t="s">
        <v>2986</v>
      </c>
      <c r="F807" t="s">
        <v>3003</v>
      </c>
      <c r="G807">
        <f>IFERROR(INDEX(_ENGINE_Risk!$BS$500:$BS$923,MATCH($D807,_ENGINE_Risk!$E$500:$E$923,0)),0)</f>
        <v>25.44</v>
      </c>
      <c r="H807">
        <v>1</v>
      </c>
      <c r="I807">
        <f>IFERROR(MAX(0,5-INDEX(_ENGINE_Risk!$H$500:$H$923,MATCH($D807,_ENGINE_Risk!$E$500:$E$923,0))),0)</f>
        <v>5</v>
      </c>
      <c r="J807" t="s">
        <v>11566</v>
      </c>
      <c r="K807">
        <f>IFERROR(INDEX(_ENGINE_Risk!$BI$500:$BI$923,MATCH($D807,_ENGINE_Risk!$E$500:$E$923,0))*N($H807),0)</f>
        <v>937.5</v>
      </c>
      <c r="L807">
        <f>IFERROR(MIN(5,$K807/MAX(1,_CONFIG_Model_Settings!$B$105)),0)</f>
        <v>5</v>
      </c>
    </row>
    <row r="808" spans="1:12">
      <c r="A808" t="s">
        <v>4469</v>
      </c>
      <c r="B808" t="s">
        <v>4470</v>
      </c>
      <c r="C808" t="s">
        <v>4457</v>
      </c>
      <c r="D808" t="s">
        <v>3071</v>
      </c>
      <c r="E808" t="s">
        <v>2986</v>
      </c>
      <c r="F808" t="s">
        <v>3003</v>
      </c>
      <c r="G808">
        <f>IFERROR(INDEX(_ENGINE_Risk!$BS$500:$BS$923,MATCH($D808,_ENGINE_Risk!$E$500:$E$923,0)),0)</f>
        <v>25.44</v>
      </c>
      <c r="H808">
        <v>1</v>
      </c>
      <c r="I808">
        <f>IFERROR(MAX(0,5-INDEX(_ENGINE_Risk!$H$500:$H$923,MATCH($D808,_ENGINE_Risk!$E$500:$E$923,0))),0)</f>
        <v>5</v>
      </c>
      <c r="J808" t="s">
        <v>11566</v>
      </c>
      <c r="K808">
        <f>IFERROR(INDEX(_ENGINE_Risk!$BI$500:$BI$923,MATCH($D808,_ENGINE_Risk!$E$500:$E$923,0))*N($H808),0)</f>
        <v>937.5</v>
      </c>
      <c r="L808">
        <f>IFERROR(MIN(5,$K808/MAX(1,_CONFIG_Model_Settings!$B$105)),0)</f>
        <v>5</v>
      </c>
    </row>
    <row r="809" spans="1:12">
      <c r="A809" t="s">
        <v>4476</v>
      </c>
      <c r="B809" t="s">
        <v>4477</v>
      </c>
      <c r="C809" t="s">
        <v>4457</v>
      </c>
      <c r="D809" t="s">
        <v>3074</v>
      </c>
      <c r="E809" t="s">
        <v>2986</v>
      </c>
      <c r="F809" t="s">
        <v>3013</v>
      </c>
      <c r="G809">
        <f>IFERROR(INDEX(_ENGINE_Risk!$BS$500:$BS$923,MATCH($D809,_ENGINE_Risk!$E$500:$E$923,0)),0)</f>
        <v>25.44</v>
      </c>
      <c r="H809">
        <v>1</v>
      </c>
      <c r="I809">
        <f>IFERROR(MAX(0,5-INDEX(_ENGINE_Risk!$H$500:$H$923,MATCH($D809,_ENGINE_Risk!$E$500:$E$923,0))),0)</f>
        <v>5</v>
      </c>
      <c r="J809" t="s">
        <v>11566</v>
      </c>
      <c r="K809">
        <f>IFERROR(INDEX(_ENGINE_Risk!$BI$500:$BI$923,MATCH($D809,_ENGINE_Risk!$E$500:$E$923,0))*N($H809),0)</f>
        <v>937.5</v>
      </c>
      <c r="L809">
        <f>IFERROR(MIN(5,$K809/MAX(1,_CONFIG_Model_Settings!$B$105)),0)</f>
        <v>5</v>
      </c>
    </row>
    <row r="810" spans="1:12">
      <c r="A810" t="s">
        <v>4476</v>
      </c>
      <c r="B810" t="s">
        <v>4477</v>
      </c>
      <c r="C810" t="s">
        <v>4457</v>
      </c>
      <c r="D810" t="s">
        <v>3077</v>
      </c>
      <c r="E810" t="s">
        <v>2986</v>
      </c>
      <c r="F810" t="s">
        <v>3013</v>
      </c>
      <c r="G810">
        <f>IFERROR(INDEX(_ENGINE_Risk!$BS$500:$BS$923,MATCH($D810,_ENGINE_Risk!$E$500:$E$923,0)),0)</f>
        <v>25.44</v>
      </c>
      <c r="H810">
        <v>1</v>
      </c>
      <c r="I810">
        <f>IFERROR(MAX(0,5-INDEX(_ENGINE_Risk!$H$500:$H$923,MATCH($D810,_ENGINE_Risk!$E$500:$E$923,0))),0)</f>
        <v>5</v>
      </c>
      <c r="J810" t="s">
        <v>11566</v>
      </c>
      <c r="K810">
        <f>IFERROR(INDEX(_ENGINE_Risk!$BI$500:$BI$923,MATCH($D810,_ENGINE_Risk!$E$500:$E$923,0))*N($H810),0)</f>
        <v>937.5</v>
      </c>
      <c r="L810">
        <f>IFERROR(MIN(5,$K810/MAX(1,_CONFIG_Model_Settings!$B$105)),0)</f>
        <v>5</v>
      </c>
    </row>
    <row r="811" spans="1:12">
      <c r="A811" t="s">
        <v>4476</v>
      </c>
      <c r="B811" t="s">
        <v>4477</v>
      </c>
      <c r="C811" t="s">
        <v>4457</v>
      </c>
      <c r="D811" t="s">
        <v>3080</v>
      </c>
      <c r="E811" t="s">
        <v>2986</v>
      </c>
      <c r="F811" t="s">
        <v>3013</v>
      </c>
      <c r="G811">
        <f>IFERROR(INDEX(_ENGINE_Risk!$BS$500:$BS$923,MATCH($D811,_ENGINE_Risk!$E$500:$E$923,0)),0)</f>
        <v>25.44</v>
      </c>
      <c r="H811">
        <v>1</v>
      </c>
      <c r="I811">
        <f>IFERROR(MAX(0,5-INDEX(_ENGINE_Risk!$H$500:$H$923,MATCH($D811,_ENGINE_Risk!$E$500:$E$923,0))),0)</f>
        <v>5</v>
      </c>
      <c r="J811" t="s">
        <v>11566</v>
      </c>
      <c r="K811">
        <f>IFERROR(INDEX(_ENGINE_Risk!$BI$500:$BI$923,MATCH($D811,_ENGINE_Risk!$E$500:$E$923,0))*N($H811),0)</f>
        <v>937.5</v>
      </c>
      <c r="L811">
        <f>IFERROR(MIN(5,$K811/MAX(1,_CONFIG_Model_Settings!$B$105)),0)</f>
        <v>5</v>
      </c>
    </row>
    <row r="812" spans="1:12">
      <c r="A812" t="s">
        <v>4476</v>
      </c>
      <c r="B812" t="s">
        <v>4477</v>
      </c>
      <c r="C812" t="s">
        <v>4457</v>
      </c>
      <c r="D812" t="s">
        <v>3083</v>
      </c>
      <c r="E812" t="s">
        <v>2986</v>
      </c>
      <c r="F812" t="s">
        <v>3013</v>
      </c>
      <c r="G812">
        <f>IFERROR(INDEX(_ENGINE_Risk!$BS$500:$BS$923,MATCH($D812,_ENGINE_Risk!$E$500:$E$923,0)),0)</f>
        <v>25.44</v>
      </c>
      <c r="H812">
        <v>1</v>
      </c>
      <c r="I812">
        <f>IFERROR(MAX(0,5-INDEX(_ENGINE_Risk!$H$500:$H$923,MATCH($D812,_ENGINE_Risk!$E$500:$E$923,0))),0)</f>
        <v>5</v>
      </c>
      <c r="J812" t="s">
        <v>11566</v>
      </c>
      <c r="K812">
        <f>IFERROR(INDEX(_ENGINE_Risk!$BI$500:$BI$923,MATCH($D812,_ENGINE_Risk!$E$500:$E$923,0))*N($H812),0)</f>
        <v>937.5</v>
      </c>
      <c r="L812">
        <f>IFERROR(MIN(5,$K812/MAX(1,_CONFIG_Model_Settings!$B$105)),0)</f>
        <v>5</v>
      </c>
    </row>
    <row r="813" spans="1:12">
      <c r="A813" t="s">
        <v>4476</v>
      </c>
      <c r="B813" t="s">
        <v>4477</v>
      </c>
      <c r="C813" t="s">
        <v>4457</v>
      </c>
      <c r="D813" t="s">
        <v>3092</v>
      </c>
      <c r="E813" t="s">
        <v>2986</v>
      </c>
      <c r="F813" t="s">
        <v>3013</v>
      </c>
      <c r="G813">
        <f>IFERROR(INDEX(_ENGINE_Risk!$BS$500:$BS$923,MATCH($D813,_ENGINE_Risk!$E$500:$E$923,0)),0)</f>
        <v>25.44</v>
      </c>
      <c r="H813">
        <v>1</v>
      </c>
      <c r="I813">
        <f>IFERROR(MAX(0,5-INDEX(_ENGINE_Risk!$H$500:$H$923,MATCH($D813,_ENGINE_Risk!$E$500:$E$923,0))),0)</f>
        <v>5</v>
      </c>
      <c r="J813" t="s">
        <v>11566</v>
      </c>
      <c r="K813">
        <f>IFERROR(INDEX(_ENGINE_Risk!$BI$500:$BI$923,MATCH($D813,_ENGINE_Risk!$E$500:$E$923,0))*N($H813),0)</f>
        <v>937.5</v>
      </c>
      <c r="L813">
        <f>IFERROR(MIN(5,$K813/MAX(1,_CONFIG_Model_Settings!$B$105)),0)</f>
        <v>5</v>
      </c>
    </row>
    <row r="814" spans="1:12">
      <c r="A814" t="s">
        <v>4476</v>
      </c>
      <c r="B814" t="s">
        <v>4477</v>
      </c>
      <c r="C814" t="s">
        <v>4457</v>
      </c>
      <c r="D814" t="s">
        <v>3095</v>
      </c>
      <c r="E814" t="s">
        <v>2986</v>
      </c>
      <c r="F814" t="s">
        <v>3013</v>
      </c>
      <c r="G814">
        <f>IFERROR(INDEX(_ENGINE_Risk!$BS$500:$BS$923,MATCH($D814,_ENGINE_Risk!$E$500:$E$923,0)),0)</f>
        <v>25.44</v>
      </c>
      <c r="H814">
        <v>1</v>
      </c>
      <c r="I814">
        <f>IFERROR(MAX(0,5-INDEX(_ENGINE_Risk!$H$500:$H$923,MATCH($D814,_ENGINE_Risk!$E$500:$E$923,0))),0)</f>
        <v>5</v>
      </c>
      <c r="J814" t="s">
        <v>11566</v>
      </c>
      <c r="K814">
        <f>IFERROR(INDEX(_ENGINE_Risk!$BI$500:$BI$923,MATCH($D814,_ENGINE_Risk!$E$500:$E$923,0))*N($H814),0)</f>
        <v>937.5</v>
      </c>
      <c r="L814">
        <f>IFERROR(MIN(5,$K814/MAX(1,_CONFIG_Model_Settings!$B$105)),0)</f>
        <v>5</v>
      </c>
    </row>
    <row r="815" spans="1:12">
      <c r="A815" t="s">
        <v>4476</v>
      </c>
      <c r="B815" t="s">
        <v>4477</v>
      </c>
      <c r="C815" t="s">
        <v>4457</v>
      </c>
      <c r="D815" t="s">
        <v>3104</v>
      </c>
      <c r="E815" t="s">
        <v>2986</v>
      </c>
      <c r="F815" t="s">
        <v>3013</v>
      </c>
      <c r="G815">
        <f>IFERROR(INDEX(_ENGINE_Risk!$BS$500:$BS$923,MATCH($D815,_ENGINE_Risk!$E$500:$E$923,0)),0)</f>
        <v>25.44</v>
      </c>
      <c r="H815">
        <v>1</v>
      </c>
      <c r="I815">
        <f>IFERROR(MAX(0,5-INDEX(_ENGINE_Risk!$H$500:$H$923,MATCH($D815,_ENGINE_Risk!$E$500:$E$923,0))),0)</f>
        <v>5</v>
      </c>
      <c r="J815" t="s">
        <v>11566</v>
      </c>
      <c r="K815">
        <f>IFERROR(INDEX(_ENGINE_Risk!$BI$500:$BI$923,MATCH($D815,_ENGINE_Risk!$E$500:$E$923,0))*N($H815),0)</f>
        <v>937.5</v>
      </c>
      <c r="L815">
        <f>IFERROR(MIN(5,$K815/MAX(1,_CONFIG_Model_Settings!$B$105)),0)</f>
        <v>5</v>
      </c>
    </row>
    <row r="816" spans="1:12">
      <c r="A816" t="s">
        <v>4476</v>
      </c>
      <c r="B816" t="s">
        <v>4477</v>
      </c>
      <c r="C816" t="s">
        <v>4457</v>
      </c>
      <c r="D816" t="s">
        <v>3113</v>
      </c>
      <c r="E816" t="s">
        <v>2986</v>
      </c>
      <c r="F816" t="s">
        <v>3013</v>
      </c>
      <c r="G816">
        <f>IFERROR(INDEX(_ENGINE_Risk!$BS$500:$BS$923,MATCH($D816,_ENGINE_Risk!$E$500:$E$923,0)),0)</f>
        <v>25.44</v>
      </c>
      <c r="H816">
        <v>1</v>
      </c>
      <c r="I816">
        <f>IFERROR(MAX(0,5-INDEX(_ENGINE_Risk!$H$500:$H$923,MATCH($D816,_ENGINE_Risk!$E$500:$E$923,0))),0)</f>
        <v>5</v>
      </c>
      <c r="J816" t="s">
        <v>11566</v>
      </c>
      <c r="K816">
        <f>IFERROR(INDEX(_ENGINE_Risk!$BI$500:$BI$923,MATCH($D816,_ENGINE_Risk!$E$500:$E$923,0))*N($H816),0)</f>
        <v>937.5</v>
      </c>
      <c r="L816">
        <f>IFERROR(MIN(5,$K816/MAX(1,_CONFIG_Model_Settings!$B$105)),0)</f>
        <v>5</v>
      </c>
    </row>
    <row r="817" spans="1:12">
      <c r="A817" t="s">
        <v>4483</v>
      </c>
      <c r="B817" t="s">
        <v>4484</v>
      </c>
      <c r="C817" t="s">
        <v>4457</v>
      </c>
      <c r="D817" t="s">
        <v>3116</v>
      </c>
      <c r="E817" t="s">
        <v>2986</v>
      </c>
      <c r="F817" t="s">
        <v>3023</v>
      </c>
      <c r="G817">
        <f>IFERROR(INDEX(_ENGINE_Risk!$BS$500:$BS$923,MATCH($D817,_ENGINE_Risk!$E$500:$E$923,0)),0)</f>
        <v>25.44</v>
      </c>
      <c r="H817">
        <v>1</v>
      </c>
      <c r="I817">
        <f>IFERROR(MAX(0,5-INDEX(_ENGINE_Risk!$H$500:$H$923,MATCH($D817,_ENGINE_Risk!$E$500:$E$923,0))),0)</f>
        <v>5</v>
      </c>
      <c r="J817" t="s">
        <v>11566</v>
      </c>
      <c r="K817">
        <f>IFERROR(INDEX(_ENGINE_Risk!$BI$500:$BI$923,MATCH($D817,_ENGINE_Risk!$E$500:$E$923,0))*N($H817),0)</f>
        <v>937.5</v>
      </c>
      <c r="L817">
        <f>IFERROR(MIN(5,$K817/MAX(1,_CONFIG_Model_Settings!$B$105)),0)</f>
        <v>5</v>
      </c>
    </row>
    <row r="818" spans="1:12">
      <c r="A818" t="s">
        <v>4483</v>
      </c>
      <c r="B818" t="s">
        <v>4484</v>
      </c>
      <c r="C818" t="s">
        <v>4457</v>
      </c>
      <c r="D818" t="s">
        <v>3119</v>
      </c>
      <c r="E818" t="s">
        <v>2986</v>
      </c>
      <c r="F818" t="s">
        <v>3023</v>
      </c>
      <c r="G818">
        <f>IFERROR(INDEX(_ENGINE_Risk!$BS$500:$BS$923,MATCH($D818,_ENGINE_Risk!$E$500:$E$923,0)),0)</f>
        <v>25.44</v>
      </c>
      <c r="H818">
        <v>1</v>
      </c>
      <c r="I818">
        <f>IFERROR(MAX(0,5-INDEX(_ENGINE_Risk!$H$500:$H$923,MATCH($D818,_ENGINE_Risk!$E$500:$E$923,0))),0)</f>
        <v>5</v>
      </c>
      <c r="J818" t="s">
        <v>11566</v>
      </c>
      <c r="K818">
        <f>IFERROR(INDEX(_ENGINE_Risk!$BI$500:$BI$923,MATCH($D818,_ENGINE_Risk!$E$500:$E$923,0))*N($H818),0)</f>
        <v>937.5</v>
      </c>
      <c r="L818">
        <f>IFERROR(MIN(5,$K818/MAX(1,_CONFIG_Model_Settings!$B$105)),0)</f>
        <v>5</v>
      </c>
    </row>
    <row r="819" spans="1:12">
      <c r="A819" t="s">
        <v>4483</v>
      </c>
      <c r="B819" t="s">
        <v>4484</v>
      </c>
      <c r="C819" t="s">
        <v>4457</v>
      </c>
      <c r="D819" t="s">
        <v>3128</v>
      </c>
      <c r="E819" t="s">
        <v>2986</v>
      </c>
      <c r="F819" t="s">
        <v>3023</v>
      </c>
      <c r="G819">
        <f>IFERROR(INDEX(_ENGINE_Risk!$BS$500:$BS$923,MATCH($D819,_ENGINE_Risk!$E$500:$E$923,0)),0)</f>
        <v>25.44</v>
      </c>
      <c r="H819">
        <v>1</v>
      </c>
      <c r="I819">
        <f>IFERROR(MAX(0,5-INDEX(_ENGINE_Risk!$H$500:$H$923,MATCH($D819,_ENGINE_Risk!$E$500:$E$923,0))),0)</f>
        <v>5</v>
      </c>
      <c r="J819" t="s">
        <v>11566</v>
      </c>
      <c r="K819">
        <f>IFERROR(INDEX(_ENGINE_Risk!$BI$500:$BI$923,MATCH($D819,_ENGINE_Risk!$E$500:$E$923,0))*N($H819),0)</f>
        <v>937.5</v>
      </c>
      <c r="L819">
        <f>IFERROR(MIN(5,$K819/MAX(1,_CONFIG_Model_Settings!$B$105)),0)</f>
        <v>5</v>
      </c>
    </row>
    <row r="820" spans="1:12">
      <c r="A820" t="s">
        <v>4483</v>
      </c>
      <c r="B820" t="s">
        <v>4484</v>
      </c>
      <c r="C820" t="s">
        <v>4457</v>
      </c>
      <c r="D820" t="s">
        <v>3131</v>
      </c>
      <c r="E820" t="s">
        <v>2986</v>
      </c>
      <c r="F820" t="s">
        <v>3023</v>
      </c>
      <c r="G820">
        <f>IFERROR(INDEX(_ENGINE_Risk!$BS$500:$BS$923,MATCH($D820,_ENGINE_Risk!$E$500:$E$923,0)),0)</f>
        <v>25.44</v>
      </c>
      <c r="H820">
        <v>1</v>
      </c>
      <c r="I820">
        <f>IFERROR(MAX(0,5-INDEX(_ENGINE_Risk!$H$500:$H$923,MATCH($D820,_ENGINE_Risk!$E$500:$E$923,0))),0)</f>
        <v>5</v>
      </c>
      <c r="J820" t="s">
        <v>11566</v>
      </c>
      <c r="K820">
        <f>IFERROR(INDEX(_ENGINE_Risk!$BI$500:$BI$923,MATCH($D820,_ENGINE_Risk!$E$500:$E$923,0))*N($H820),0)</f>
        <v>937.5</v>
      </c>
      <c r="L820">
        <f>IFERROR(MIN(5,$K820/MAX(1,_CONFIG_Model_Settings!$B$105)),0)</f>
        <v>5</v>
      </c>
    </row>
    <row r="821" spans="1:12">
      <c r="A821" t="s">
        <v>4483</v>
      </c>
      <c r="B821" t="s">
        <v>4484</v>
      </c>
      <c r="C821" t="s">
        <v>4457</v>
      </c>
      <c r="D821" t="s">
        <v>3134</v>
      </c>
      <c r="E821" t="s">
        <v>2986</v>
      </c>
      <c r="F821" t="s">
        <v>3023</v>
      </c>
      <c r="G821">
        <f>IFERROR(INDEX(_ENGINE_Risk!$BS$500:$BS$923,MATCH($D821,_ENGINE_Risk!$E$500:$E$923,0)),0)</f>
        <v>25.44</v>
      </c>
      <c r="H821">
        <v>1</v>
      </c>
      <c r="I821">
        <f>IFERROR(MAX(0,5-INDEX(_ENGINE_Risk!$H$500:$H$923,MATCH($D821,_ENGINE_Risk!$E$500:$E$923,0))),0)</f>
        <v>5</v>
      </c>
      <c r="J821" t="s">
        <v>11566</v>
      </c>
      <c r="K821">
        <f>IFERROR(INDEX(_ENGINE_Risk!$BI$500:$BI$923,MATCH($D821,_ENGINE_Risk!$E$500:$E$923,0))*N($H821),0)</f>
        <v>937.5</v>
      </c>
      <c r="L821">
        <f>IFERROR(MIN(5,$K821/MAX(1,_CONFIG_Model_Settings!$B$105)),0)</f>
        <v>5</v>
      </c>
    </row>
    <row r="822" spans="1:12">
      <c r="A822" t="s">
        <v>4483</v>
      </c>
      <c r="B822" t="s">
        <v>4484</v>
      </c>
      <c r="C822" t="s">
        <v>4457</v>
      </c>
      <c r="D822" t="s">
        <v>3137</v>
      </c>
      <c r="E822" t="s">
        <v>2986</v>
      </c>
      <c r="F822" t="s">
        <v>3023</v>
      </c>
      <c r="G822">
        <f>IFERROR(INDEX(_ENGINE_Risk!$BS$500:$BS$923,MATCH($D822,_ENGINE_Risk!$E$500:$E$923,0)),0)</f>
        <v>25.44</v>
      </c>
      <c r="H822">
        <v>1</v>
      </c>
      <c r="I822">
        <f>IFERROR(MAX(0,5-INDEX(_ENGINE_Risk!$H$500:$H$923,MATCH($D822,_ENGINE_Risk!$E$500:$E$923,0))),0)</f>
        <v>5</v>
      </c>
      <c r="J822" t="s">
        <v>11566</v>
      </c>
      <c r="K822">
        <f>IFERROR(INDEX(_ENGINE_Risk!$BI$500:$BI$923,MATCH($D822,_ENGINE_Risk!$E$500:$E$923,0))*N($H822),0)</f>
        <v>937.5</v>
      </c>
      <c r="L822">
        <f>IFERROR(MIN(5,$K822/MAX(1,_CONFIG_Model_Settings!$B$105)),0)</f>
        <v>5</v>
      </c>
    </row>
    <row r="823" spans="1:12">
      <c r="A823" t="s">
        <v>4490</v>
      </c>
      <c r="B823" t="s">
        <v>4491</v>
      </c>
      <c r="C823" t="s">
        <v>4457</v>
      </c>
      <c r="D823" t="s">
        <v>3140</v>
      </c>
      <c r="E823" t="s">
        <v>2986</v>
      </c>
      <c r="F823" t="s">
        <v>3027</v>
      </c>
      <c r="G823">
        <f>IFERROR(INDEX(_ENGINE_Risk!$BS$500:$BS$923,MATCH($D823,_ENGINE_Risk!$E$500:$E$923,0)),0)</f>
        <v>25.44</v>
      </c>
      <c r="H823">
        <v>1</v>
      </c>
      <c r="I823">
        <f>IFERROR(MAX(0,5-INDEX(_ENGINE_Risk!$H$500:$H$923,MATCH($D823,_ENGINE_Risk!$E$500:$E$923,0))),0)</f>
        <v>5</v>
      </c>
      <c r="J823" t="s">
        <v>11566</v>
      </c>
      <c r="K823">
        <f>IFERROR(INDEX(_ENGINE_Risk!$BI$500:$BI$923,MATCH($D823,_ENGINE_Risk!$E$500:$E$923,0))*N($H823),0)</f>
        <v>937.5</v>
      </c>
      <c r="L823">
        <f>IFERROR(MIN(5,$K823/MAX(1,_CONFIG_Model_Settings!$B$105)),0)</f>
        <v>5</v>
      </c>
    </row>
    <row r="824" spans="1:12">
      <c r="A824" t="s">
        <v>4490</v>
      </c>
      <c r="B824" t="s">
        <v>4491</v>
      </c>
      <c r="C824" t="s">
        <v>4457</v>
      </c>
      <c r="D824" t="s">
        <v>3149</v>
      </c>
      <c r="E824" t="s">
        <v>2986</v>
      </c>
      <c r="F824" t="s">
        <v>3027</v>
      </c>
      <c r="G824">
        <f>IFERROR(INDEX(_ENGINE_Risk!$BS$500:$BS$923,MATCH($D824,_ENGINE_Risk!$E$500:$E$923,0)),0)</f>
        <v>25.44</v>
      </c>
      <c r="H824">
        <v>1</v>
      </c>
      <c r="I824">
        <f>IFERROR(MAX(0,5-INDEX(_ENGINE_Risk!$H$500:$H$923,MATCH($D824,_ENGINE_Risk!$E$500:$E$923,0))),0)</f>
        <v>5</v>
      </c>
      <c r="J824" t="s">
        <v>11566</v>
      </c>
      <c r="K824">
        <f>IFERROR(INDEX(_ENGINE_Risk!$BI$500:$BI$923,MATCH($D824,_ENGINE_Risk!$E$500:$E$923,0))*N($H824),0)</f>
        <v>937.5</v>
      </c>
      <c r="L824">
        <f>IFERROR(MIN(5,$K824/MAX(1,_CONFIG_Model_Settings!$B$105)),0)</f>
        <v>5</v>
      </c>
    </row>
    <row r="825" spans="1:12">
      <c r="A825" t="s">
        <v>4053</v>
      </c>
      <c r="B825" t="s">
        <v>4054</v>
      </c>
      <c r="C825" t="s">
        <v>3924</v>
      </c>
      <c r="D825" t="s">
        <v>1531</v>
      </c>
      <c r="E825" t="s">
        <v>1401</v>
      </c>
      <c r="F825" t="s">
        <v>1403</v>
      </c>
      <c r="G825">
        <f>IFERROR(INDEX(_ENGINE_Risk!$BS$500:$BS$923,MATCH($D825,_ENGINE_Risk!$E$500:$E$923,0)),0)</f>
        <v>15.84</v>
      </c>
      <c r="H825">
        <v>1</v>
      </c>
      <c r="I825">
        <f>IFERROR(MAX(0,5-INDEX(_ENGINE_Risk!$H$500:$H$923,MATCH($D825,_ENGINE_Risk!$E$500:$E$923,0))),0)</f>
        <v>5</v>
      </c>
      <c r="J825" t="s">
        <v>11567</v>
      </c>
      <c r="K825">
        <f>IFERROR(INDEX(_ENGINE_Risk!$BI$500:$BI$923,MATCH($D825,_ENGINE_Risk!$E$500:$E$923,0))*N($H825),0)</f>
        <v>437.5</v>
      </c>
      <c r="L825">
        <f>IFERROR(MIN(5,$K825/MAX(1,_CONFIG_Model_Settings!$B$105)),0)</f>
        <v>5</v>
      </c>
    </row>
    <row r="826" spans="1:12">
      <c r="A826" t="s">
        <v>4084</v>
      </c>
      <c r="B826" t="s">
        <v>4085</v>
      </c>
      <c r="C826" t="s">
        <v>3924</v>
      </c>
      <c r="D826" t="s">
        <v>1540</v>
      </c>
      <c r="E826" t="s">
        <v>1401</v>
      </c>
      <c r="F826" t="s">
        <v>1426</v>
      </c>
      <c r="G826">
        <f>IFERROR(INDEX(_ENGINE_Risk!$BS$500:$BS$923,MATCH($D826,_ENGINE_Risk!$E$500:$E$923,0)),0)</f>
        <v>15.84</v>
      </c>
      <c r="H826">
        <v>1</v>
      </c>
      <c r="I826">
        <f>IFERROR(MAX(0,5-INDEX(_ENGINE_Risk!$H$500:$H$923,MATCH($D826,_ENGINE_Risk!$E$500:$E$923,0))),0)</f>
        <v>5</v>
      </c>
      <c r="J826" t="s">
        <v>11567</v>
      </c>
      <c r="K826">
        <f>IFERROR(INDEX(_ENGINE_Risk!$BI$500:$BI$923,MATCH($D826,_ENGINE_Risk!$E$500:$E$923,0))*N($H826),0)</f>
        <v>437.5</v>
      </c>
      <c r="L826">
        <f>IFERROR(MIN(5,$K826/MAX(1,_CONFIG_Model_Settings!$B$105)),0)</f>
        <v>5</v>
      </c>
    </row>
    <row r="827" spans="1:12">
      <c r="A827" t="s">
        <v>4091</v>
      </c>
      <c r="B827" t="s">
        <v>4092</v>
      </c>
      <c r="C827" t="s">
        <v>4065</v>
      </c>
      <c r="D827" t="s">
        <v>1655</v>
      </c>
      <c r="E827" t="s">
        <v>1551</v>
      </c>
      <c r="F827" t="s">
        <v>1553</v>
      </c>
      <c r="G827">
        <f>IFERROR(INDEX(_ENGINE_Risk!$BS$500:$BS$923,MATCH($D827,_ENGINE_Risk!$E$500:$E$923,0)),0)</f>
        <v>19.8</v>
      </c>
      <c r="H827">
        <v>1</v>
      </c>
      <c r="I827">
        <f>IFERROR(MAX(0,5-INDEX(_ENGINE_Risk!$H$500:$H$923,MATCH($D827,_ENGINE_Risk!$E$500:$E$923,0))),0)</f>
        <v>5</v>
      </c>
      <c r="J827" t="s">
        <v>11567</v>
      </c>
      <c r="K827">
        <f>IFERROR(INDEX(_ENGINE_Risk!$BI$500:$BI$923,MATCH($D827,_ENGINE_Risk!$E$500:$E$923,0))*N($H827),0)</f>
        <v>937.5</v>
      </c>
      <c r="L827">
        <f>IFERROR(MIN(5,$K827/MAX(1,_CONFIG_Model_Settings!$B$105)),0)</f>
        <v>5</v>
      </c>
    </row>
    <row r="828" spans="1:12">
      <c r="A828" t="s">
        <v>4497</v>
      </c>
      <c r="B828" t="s">
        <v>4498</v>
      </c>
      <c r="C828" t="s">
        <v>4457</v>
      </c>
      <c r="D828" t="s">
        <v>3152</v>
      </c>
      <c r="E828" t="s">
        <v>2986</v>
      </c>
      <c r="F828" t="s">
        <v>3031</v>
      </c>
      <c r="G828">
        <f>IFERROR(INDEX(_ENGINE_Risk!$BS$500:$BS$923,MATCH($D828,_ENGINE_Risk!$E$500:$E$923,0)),0)</f>
        <v>25.44</v>
      </c>
      <c r="H828">
        <v>1</v>
      </c>
      <c r="I828">
        <f>IFERROR(MAX(0,5-INDEX(_ENGINE_Risk!$H$500:$H$923,MATCH($D828,_ENGINE_Risk!$E$500:$E$923,0))),0)</f>
        <v>5</v>
      </c>
      <c r="J828" t="s">
        <v>11566</v>
      </c>
      <c r="K828">
        <f>IFERROR(INDEX(_ENGINE_Risk!$BI$500:$BI$923,MATCH($D828,_ENGINE_Risk!$E$500:$E$923,0))*N($H828),0)</f>
        <v>937.5</v>
      </c>
      <c r="L828">
        <f>IFERROR(MIN(5,$K828/MAX(1,_CONFIG_Model_Settings!$B$105)),0)</f>
        <v>5</v>
      </c>
    </row>
    <row r="829" spans="1:12">
      <c r="A829" t="s">
        <v>4497</v>
      </c>
      <c r="B829" t="s">
        <v>4498</v>
      </c>
      <c r="C829" t="s">
        <v>4457</v>
      </c>
      <c r="D829" t="s">
        <v>3161</v>
      </c>
      <c r="E829" t="s">
        <v>2986</v>
      </c>
      <c r="F829" t="s">
        <v>3031</v>
      </c>
      <c r="G829">
        <f>IFERROR(INDEX(_ENGINE_Risk!$BS$500:$BS$923,MATCH($D829,_ENGINE_Risk!$E$500:$E$923,0)),0)</f>
        <v>25.44</v>
      </c>
      <c r="H829">
        <v>1</v>
      </c>
      <c r="I829">
        <f>IFERROR(MAX(0,5-INDEX(_ENGINE_Risk!$H$500:$H$923,MATCH($D829,_ENGINE_Risk!$E$500:$E$923,0))),0)</f>
        <v>5</v>
      </c>
      <c r="J829" t="s">
        <v>11566</v>
      </c>
      <c r="K829">
        <f>IFERROR(INDEX(_ENGINE_Risk!$BI$500:$BI$923,MATCH($D829,_ENGINE_Risk!$E$500:$E$923,0))*N($H829),0)</f>
        <v>937.5</v>
      </c>
      <c r="L829">
        <f>IFERROR(MIN(5,$K829/MAX(1,_CONFIG_Model_Settings!$B$105)),0)</f>
        <v>5</v>
      </c>
    </row>
    <row r="830" spans="1:12">
      <c r="A830" t="s">
        <v>4121</v>
      </c>
      <c r="B830" t="s">
        <v>4124</v>
      </c>
      <c r="C830" t="s">
        <v>4123</v>
      </c>
      <c r="D830" t="s">
        <v>1826</v>
      </c>
      <c r="E830" t="s">
        <v>1666</v>
      </c>
      <c r="F830" t="s">
        <v>1693</v>
      </c>
      <c r="G830">
        <f>IFERROR(INDEX(_ENGINE_Risk!$BS$500:$BS$923,MATCH($D830,_ENGINE_Risk!$E$500:$E$923,0)),0)</f>
        <v>19.8</v>
      </c>
      <c r="H830">
        <v>1</v>
      </c>
      <c r="I830">
        <f>IFERROR(MAX(0,5-INDEX(_ENGINE_Risk!$H$500:$H$923,MATCH($D830,_ENGINE_Risk!$E$500:$E$923,0))),0)</f>
        <v>5</v>
      </c>
      <c r="J830" t="s">
        <v>11567</v>
      </c>
      <c r="K830">
        <f>IFERROR(INDEX(_ENGINE_Risk!$BI$500:$BI$923,MATCH($D830,_ENGINE_Risk!$E$500:$E$923,0))*N($H830),0)</f>
        <v>937.5</v>
      </c>
      <c r="L830">
        <f>IFERROR(MIN(5,$K830/MAX(1,_CONFIG_Model_Settings!$B$105)),0)</f>
        <v>5</v>
      </c>
    </row>
    <row r="831" spans="1:12">
      <c r="A831" t="s">
        <v>4504</v>
      </c>
      <c r="B831" t="s">
        <v>4505</v>
      </c>
      <c r="C831" t="s">
        <v>4165</v>
      </c>
      <c r="D831" t="s">
        <v>3205</v>
      </c>
      <c r="E831" t="s">
        <v>3204</v>
      </c>
      <c r="F831" t="s">
        <v>3206</v>
      </c>
      <c r="G831">
        <f>IFERROR(INDEX(_ENGINE_Risk!$BS$500:$BS$923,MATCH($D831,_ENGINE_Risk!$E$500:$E$923,0)),0)</f>
        <v>11.9</v>
      </c>
      <c r="H831">
        <v>1</v>
      </c>
      <c r="I831">
        <f>IFERROR(MAX(0,5-INDEX(_ENGINE_Risk!$H$500:$H$923,MATCH($D831,_ENGINE_Risk!$E$500:$E$923,0))),0)</f>
        <v>5</v>
      </c>
      <c r="J831" t="s">
        <v>11566</v>
      </c>
      <c r="K831">
        <f>IFERROR(INDEX(_ENGINE_Risk!$BI$500:$BI$923,MATCH($D831,_ENGINE_Risk!$E$500:$E$923,0))*N($H831),0)</f>
        <v>437.5</v>
      </c>
      <c r="L831">
        <f>IFERROR(MIN(5,$K831/MAX(1,_CONFIG_Model_Settings!$B$105)),0)</f>
        <v>5</v>
      </c>
    </row>
    <row r="832" spans="1:12">
      <c r="A832" t="s">
        <v>4504</v>
      </c>
      <c r="B832" t="s">
        <v>4505</v>
      </c>
      <c r="C832" t="s">
        <v>4165</v>
      </c>
      <c r="D832" t="s">
        <v>3218</v>
      </c>
      <c r="E832" t="s">
        <v>3204</v>
      </c>
      <c r="F832" t="s">
        <v>3206</v>
      </c>
      <c r="G832">
        <f>IFERROR(INDEX(_ENGINE_Risk!$BS$500:$BS$923,MATCH($D832,_ENGINE_Risk!$E$500:$E$923,0)),0)</f>
        <v>12.95</v>
      </c>
      <c r="H832">
        <v>1</v>
      </c>
      <c r="I832">
        <f>IFERROR(MAX(0,5-INDEX(_ENGINE_Risk!$H$500:$H$923,MATCH($D832,_ENGINE_Risk!$E$500:$E$923,0))),0)</f>
        <v>5</v>
      </c>
      <c r="J832" t="s">
        <v>11566</v>
      </c>
      <c r="K832">
        <f>IFERROR(INDEX(_ENGINE_Risk!$BI$500:$BI$923,MATCH($D832,_ENGINE_Risk!$E$500:$E$923,0))*N($H832),0)</f>
        <v>437.5</v>
      </c>
      <c r="L832">
        <f>IFERROR(MIN(5,$K832/MAX(1,_CONFIG_Model_Settings!$B$105)),0)</f>
        <v>5</v>
      </c>
    </row>
    <row r="833" spans="1:12">
      <c r="A833" t="s">
        <v>4121</v>
      </c>
      <c r="B833" t="s">
        <v>4124</v>
      </c>
      <c r="C833" t="s">
        <v>4123</v>
      </c>
      <c r="D833" t="s">
        <v>1837</v>
      </c>
      <c r="E833" t="s">
        <v>1666</v>
      </c>
      <c r="F833" t="s">
        <v>1693</v>
      </c>
      <c r="G833">
        <f>IFERROR(INDEX(_ENGINE_Risk!$BS$500:$BS$923,MATCH($D833,_ENGINE_Risk!$E$500:$E$923,0)),0)</f>
        <v>19.8</v>
      </c>
      <c r="H833">
        <v>1</v>
      </c>
      <c r="I833">
        <f>IFERROR(MAX(0,5-INDEX(_ENGINE_Risk!$H$500:$H$923,MATCH($D833,_ENGINE_Risk!$E$500:$E$923,0))),0)</f>
        <v>5</v>
      </c>
      <c r="J833" t="s">
        <v>11567</v>
      </c>
      <c r="K833">
        <f>IFERROR(INDEX(_ENGINE_Risk!$BI$500:$BI$923,MATCH($D833,_ENGINE_Risk!$E$500:$E$923,0))*N($H833),0)</f>
        <v>937.5</v>
      </c>
      <c r="L833">
        <f>IFERROR(MIN(5,$K833/MAX(1,_CONFIG_Model_Settings!$B$105)),0)</f>
        <v>5</v>
      </c>
    </row>
    <row r="834" spans="1:12">
      <c r="A834" t="s">
        <v>4504</v>
      </c>
      <c r="B834" t="s">
        <v>4505</v>
      </c>
      <c r="C834" t="s">
        <v>4165</v>
      </c>
      <c r="D834" t="s">
        <v>3222</v>
      </c>
      <c r="E834" t="s">
        <v>3204</v>
      </c>
      <c r="F834" t="s">
        <v>3206</v>
      </c>
      <c r="G834">
        <f>IFERROR(INDEX(_ENGINE_Risk!$BS$500:$BS$923,MATCH($D834,_ENGINE_Risk!$E$500:$E$923,0)),0)</f>
        <v>11.9</v>
      </c>
      <c r="H834">
        <v>1</v>
      </c>
      <c r="I834">
        <f>IFERROR(MAX(0,5-INDEX(_ENGINE_Risk!$H$500:$H$923,MATCH($D834,_ENGINE_Risk!$E$500:$E$923,0))),0)</f>
        <v>5</v>
      </c>
      <c r="J834" t="s">
        <v>11566</v>
      </c>
      <c r="K834">
        <f>IFERROR(INDEX(_ENGINE_Risk!$BI$500:$BI$923,MATCH($D834,_ENGINE_Risk!$E$500:$E$923,0))*N($H834),0)</f>
        <v>437.5</v>
      </c>
      <c r="L834">
        <f>IFERROR(MIN(5,$K834/MAX(1,_CONFIG_Model_Settings!$B$105)),0)</f>
        <v>5</v>
      </c>
    </row>
    <row r="835" spans="1:12">
      <c r="A835" t="s">
        <v>4504</v>
      </c>
      <c r="B835" t="s">
        <v>4505</v>
      </c>
      <c r="C835" t="s">
        <v>4165</v>
      </c>
      <c r="D835" t="s">
        <v>3226</v>
      </c>
      <c r="E835" t="s">
        <v>3204</v>
      </c>
      <c r="F835" t="s">
        <v>3206</v>
      </c>
      <c r="G835">
        <f>IFERROR(INDEX(_ENGINE_Risk!$BS$500:$BS$923,MATCH($D835,_ENGINE_Risk!$E$500:$E$923,0)),0)</f>
        <v>11.9</v>
      </c>
      <c r="H835">
        <v>1</v>
      </c>
      <c r="I835">
        <f>IFERROR(MAX(0,5-INDEX(_ENGINE_Risk!$H$500:$H$923,MATCH($D835,_ENGINE_Risk!$E$500:$E$923,0))),0)</f>
        <v>5</v>
      </c>
      <c r="J835" t="s">
        <v>11566</v>
      </c>
      <c r="K835">
        <f>IFERROR(INDEX(_ENGINE_Risk!$BI$500:$BI$923,MATCH($D835,_ENGINE_Risk!$E$500:$E$923,0))*N($H835),0)</f>
        <v>437.5</v>
      </c>
      <c r="L835">
        <f>IFERROR(MIN(5,$K835/MAX(1,_CONFIG_Model_Settings!$B$105)),0)</f>
        <v>5</v>
      </c>
    </row>
    <row r="836" spans="1:12">
      <c r="A836" t="s">
        <v>4514</v>
      </c>
      <c r="B836" t="s">
        <v>4515</v>
      </c>
      <c r="C836" t="s">
        <v>4165</v>
      </c>
      <c r="D836" t="s">
        <v>3236</v>
      </c>
      <c r="E836" t="s">
        <v>3204</v>
      </c>
      <c r="F836" t="s">
        <v>3221</v>
      </c>
      <c r="G836">
        <f>IFERROR(INDEX(_ENGINE_Risk!$BS$500:$BS$923,MATCH($D836,_ENGINE_Risk!$E$500:$E$923,0)),0)</f>
        <v>12.35</v>
      </c>
      <c r="H836">
        <v>1</v>
      </c>
      <c r="I836">
        <f>IFERROR(MAX(0,5-INDEX(_ENGINE_Risk!$H$500:$H$923,MATCH($D836,_ENGINE_Risk!$E$500:$E$923,0))),0)</f>
        <v>5</v>
      </c>
      <c r="J836" t="s">
        <v>11566</v>
      </c>
      <c r="K836">
        <f>IFERROR(INDEX(_ENGINE_Risk!$BI$500:$BI$923,MATCH($D836,_ENGINE_Risk!$E$500:$E$923,0))*N($H836),0)</f>
        <v>437.5</v>
      </c>
      <c r="L836">
        <f>IFERROR(MIN(5,$K836/MAX(1,_CONFIG_Model_Settings!$B$105)),0)</f>
        <v>5</v>
      </c>
    </row>
    <row r="837" spans="1:12">
      <c r="A837" t="s">
        <v>4514</v>
      </c>
      <c r="B837" t="s">
        <v>4515</v>
      </c>
      <c r="C837" t="s">
        <v>4165</v>
      </c>
      <c r="D837" t="s">
        <v>3245</v>
      </c>
      <c r="E837" t="s">
        <v>3204</v>
      </c>
      <c r="F837" t="s">
        <v>3221</v>
      </c>
      <c r="G837">
        <f>IFERROR(INDEX(_ENGINE_Risk!$BS$500:$BS$923,MATCH($D837,_ENGINE_Risk!$E$500:$E$923,0)),0)</f>
        <v>11.9</v>
      </c>
      <c r="H837">
        <v>1</v>
      </c>
      <c r="I837">
        <f>IFERROR(MAX(0,5-INDEX(_ENGINE_Risk!$H$500:$H$923,MATCH($D837,_ENGINE_Risk!$E$500:$E$923,0))),0)</f>
        <v>5</v>
      </c>
      <c r="J837" t="s">
        <v>11566</v>
      </c>
      <c r="K837">
        <f>IFERROR(INDEX(_ENGINE_Risk!$BI$500:$BI$923,MATCH($D837,_ENGINE_Risk!$E$500:$E$923,0))*N($H837),0)</f>
        <v>437.5</v>
      </c>
      <c r="L837">
        <f>IFERROR(MIN(5,$K837/MAX(1,_CONFIG_Model_Settings!$B$105)),0)</f>
        <v>5</v>
      </c>
    </row>
    <row r="838" spans="1:12">
      <c r="A838" t="s">
        <v>4514</v>
      </c>
      <c r="B838" t="s">
        <v>4515</v>
      </c>
      <c r="C838" t="s">
        <v>4165</v>
      </c>
      <c r="D838" t="s">
        <v>3254</v>
      </c>
      <c r="E838" t="s">
        <v>3204</v>
      </c>
      <c r="F838" t="s">
        <v>3221</v>
      </c>
      <c r="G838">
        <f>IFERROR(INDEX(_ENGINE_Risk!$BS$500:$BS$923,MATCH($D838,_ENGINE_Risk!$E$500:$E$923,0)),0)</f>
        <v>12.95</v>
      </c>
      <c r="H838">
        <v>1</v>
      </c>
      <c r="I838">
        <f>IFERROR(MAX(0,5-INDEX(_ENGINE_Risk!$H$500:$H$923,MATCH($D838,_ENGINE_Risk!$E$500:$E$923,0))),0)</f>
        <v>5</v>
      </c>
      <c r="J838" t="s">
        <v>11566</v>
      </c>
      <c r="K838">
        <f>IFERROR(INDEX(_ENGINE_Risk!$BI$500:$BI$923,MATCH($D838,_ENGINE_Risk!$E$500:$E$923,0))*N($H838),0)</f>
        <v>437.5</v>
      </c>
      <c r="L838">
        <f>IFERROR(MIN(5,$K838/MAX(1,_CONFIG_Model_Settings!$B$105)),0)</f>
        <v>5</v>
      </c>
    </row>
    <row r="839" spans="1:12">
      <c r="A839" t="s">
        <v>4514</v>
      </c>
      <c r="B839" t="s">
        <v>4515</v>
      </c>
      <c r="C839" t="s">
        <v>4165</v>
      </c>
      <c r="D839" t="s">
        <v>3257</v>
      </c>
      <c r="E839" t="s">
        <v>3204</v>
      </c>
      <c r="F839" t="s">
        <v>3221</v>
      </c>
      <c r="G839">
        <f>IFERROR(INDEX(_ENGINE_Risk!$BS$500:$BS$923,MATCH($D839,_ENGINE_Risk!$E$500:$E$923,0)),0)</f>
        <v>11.9</v>
      </c>
      <c r="H839">
        <v>1</v>
      </c>
      <c r="I839">
        <f>IFERROR(MAX(0,5-INDEX(_ENGINE_Risk!$H$500:$H$923,MATCH($D839,_ENGINE_Risk!$E$500:$E$923,0))),0)</f>
        <v>5</v>
      </c>
      <c r="J839" t="s">
        <v>11566</v>
      </c>
      <c r="K839">
        <f>IFERROR(INDEX(_ENGINE_Risk!$BI$500:$BI$923,MATCH($D839,_ENGINE_Risk!$E$500:$E$923,0))*N($H839),0)</f>
        <v>437.5</v>
      </c>
      <c r="L839">
        <f>IFERROR(MIN(5,$K839/MAX(1,_CONFIG_Model_Settings!$B$105)),0)</f>
        <v>5</v>
      </c>
    </row>
    <row r="840" spans="1:12">
      <c r="A840" t="s">
        <v>4514</v>
      </c>
      <c r="B840" t="s">
        <v>4515</v>
      </c>
      <c r="C840" t="s">
        <v>4165</v>
      </c>
      <c r="D840" t="s">
        <v>3260</v>
      </c>
      <c r="E840" t="s">
        <v>3204</v>
      </c>
      <c r="F840" t="s">
        <v>3221</v>
      </c>
      <c r="G840">
        <f>IFERROR(INDEX(_ENGINE_Risk!$BS$500:$BS$923,MATCH($D840,_ENGINE_Risk!$E$500:$E$923,0)),0)</f>
        <v>12.35</v>
      </c>
      <c r="H840">
        <v>1</v>
      </c>
      <c r="I840">
        <f>IFERROR(MAX(0,5-INDEX(_ENGINE_Risk!$H$500:$H$923,MATCH($D840,_ENGINE_Risk!$E$500:$E$923,0))),0)</f>
        <v>5</v>
      </c>
      <c r="J840" t="s">
        <v>11566</v>
      </c>
      <c r="K840">
        <f>IFERROR(INDEX(_ENGINE_Risk!$BI$500:$BI$923,MATCH($D840,_ENGINE_Risk!$E$500:$E$923,0))*N($H840),0)</f>
        <v>437.5</v>
      </c>
      <c r="L840">
        <f>IFERROR(MIN(5,$K840/MAX(1,_CONFIG_Model_Settings!$B$105)),0)</f>
        <v>5</v>
      </c>
    </row>
    <row r="841" spans="1:12">
      <c r="A841" t="s">
        <v>4521</v>
      </c>
      <c r="B841" t="s">
        <v>4522</v>
      </c>
      <c r="C841" t="s">
        <v>3957</v>
      </c>
      <c r="D841" t="s">
        <v>3269</v>
      </c>
      <c r="E841" t="s">
        <v>3204</v>
      </c>
      <c r="F841" t="s">
        <v>3225</v>
      </c>
      <c r="G841">
        <f>IFERROR(INDEX(_ENGINE_Risk!$BS$500:$BS$923,MATCH($D841,_ENGINE_Risk!$E$500:$E$923,0)),0)</f>
        <v>12.35</v>
      </c>
      <c r="H841">
        <v>1</v>
      </c>
      <c r="I841">
        <f>IFERROR(MAX(0,5-INDEX(_ENGINE_Risk!$H$500:$H$923,MATCH($D841,_ENGINE_Risk!$E$500:$E$923,0))),0)</f>
        <v>5</v>
      </c>
      <c r="J841" t="s">
        <v>11566</v>
      </c>
      <c r="K841">
        <f>IFERROR(INDEX(_ENGINE_Risk!$BI$500:$BI$923,MATCH($D841,_ENGINE_Risk!$E$500:$E$923,0))*N($H841),0)</f>
        <v>437.5</v>
      </c>
      <c r="L841">
        <f>IFERROR(MIN(5,$K841/MAX(1,_CONFIG_Model_Settings!$B$105)),0)</f>
        <v>5</v>
      </c>
    </row>
    <row r="842" spans="1:12">
      <c r="A842" t="s">
        <v>4521</v>
      </c>
      <c r="B842" t="s">
        <v>4522</v>
      </c>
      <c r="C842" t="s">
        <v>3957</v>
      </c>
      <c r="D842" t="s">
        <v>3278</v>
      </c>
      <c r="E842" t="s">
        <v>3204</v>
      </c>
      <c r="F842" t="s">
        <v>3225</v>
      </c>
      <c r="G842">
        <f>IFERROR(INDEX(_ENGINE_Risk!$BS$500:$BS$923,MATCH($D842,_ENGINE_Risk!$E$500:$E$923,0)),0)</f>
        <v>12.95</v>
      </c>
      <c r="H842">
        <v>1</v>
      </c>
      <c r="I842">
        <f>IFERROR(MAX(0,5-INDEX(_ENGINE_Risk!$H$500:$H$923,MATCH($D842,_ENGINE_Risk!$E$500:$E$923,0))),0)</f>
        <v>5</v>
      </c>
      <c r="J842" t="s">
        <v>11566</v>
      </c>
      <c r="K842">
        <f>IFERROR(INDEX(_ENGINE_Risk!$BI$500:$BI$923,MATCH($D842,_ENGINE_Risk!$E$500:$E$923,0))*N($H842),0)</f>
        <v>437.5</v>
      </c>
      <c r="L842">
        <f>IFERROR(MIN(5,$K842/MAX(1,_CONFIG_Model_Settings!$B$105)),0)</f>
        <v>5</v>
      </c>
    </row>
    <row r="843" spans="1:12">
      <c r="A843" t="s">
        <v>4521</v>
      </c>
      <c r="B843" t="s">
        <v>4522</v>
      </c>
      <c r="C843" t="s">
        <v>3957</v>
      </c>
      <c r="D843" t="s">
        <v>3281</v>
      </c>
      <c r="E843" t="s">
        <v>3204</v>
      </c>
      <c r="F843" t="s">
        <v>3225</v>
      </c>
      <c r="G843">
        <f>IFERROR(INDEX(_ENGINE_Risk!$BS$500:$BS$923,MATCH($D843,_ENGINE_Risk!$E$500:$E$923,0)),0)</f>
        <v>11.9</v>
      </c>
      <c r="H843">
        <v>1</v>
      </c>
      <c r="I843">
        <f>IFERROR(MAX(0,5-INDEX(_ENGINE_Risk!$H$500:$H$923,MATCH($D843,_ENGINE_Risk!$E$500:$E$923,0))),0)</f>
        <v>5</v>
      </c>
      <c r="J843" t="s">
        <v>11566</v>
      </c>
      <c r="K843">
        <f>IFERROR(INDEX(_ENGINE_Risk!$BI$500:$BI$923,MATCH($D843,_ENGINE_Risk!$E$500:$E$923,0))*N($H843),0)</f>
        <v>437.5</v>
      </c>
      <c r="L843">
        <f>IFERROR(MIN(5,$K843/MAX(1,_CONFIG_Model_Settings!$B$105)),0)</f>
        <v>5</v>
      </c>
    </row>
    <row r="844" spans="1:12">
      <c r="A844" t="s">
        <v>4521</v>
      </c>
      <c r="B844" t="s">
        <v>4522</v>
      </c>
      <c r="C844" t="s">
        <v>3957</v>
      </c>
      <c r="D844" t="s">
        <v>3290</v>
      </c>
      <c r="E844" t="s">
        <v>3204</v>
      </c>
      <c r="F844" t="s">
        <v>3225</v>
      </c>
      <c r="G844">
        <f>IFERROR(INDEX(_ENGINE_Risk!$BS$500:$BS$923,MATCH($D844,_ENGINE_Risk!$E$500:$E$923,0)),0)</f>
        <v>11.9</v>
      </c>
      <c r="H844">
        <v>1</v>
      </c>
      <c r="I844">
        <f>IFERROR(MAX(0,5-INDEX(_ENGINE_Risk!$H$500:$H$923,MATCH($D844,_ENGINE_Risk!$E$500:$E$923,0))),0)</f>
        <v>5</v>
      </c>
      <c r="J844" t="s">
        <v>11566</v>
      </c>
      <c r="K844">
        <f>IFERROR(INDEX(_ENGINE_Risk!$BI$500:$BI$923,MATCH($D844,_ENGINE_Risk!$E$500:$E$923,0))*N($H844),0)</f>
        <v>437.5</v>
      </c>
      <c r="L844">
        <f>IFERROR(MIN(5,$K844/MAX(1,_CONFIG_Model_Settings!$B$105)),0)</f>
        <v>5</v>
      </c>
    </row>
    <row r="845" spans="1:12">
      <c r="A845" t="s">
        <v>4521</v>
      </c>
      <c r="B845" t="s">
        <v>4522</v>
      </c>
      <c r="C845" t="s">
        <v>3957</v>
      </c>
      <c r="D845" t="s">
        <v>3293</v>
      </c>
      <c r="E845" t="s">
        <v>3204</v>
      </c>
      <c r="F845" t="s">
        <v>3225</v>
      </c>
      <c r="G845">
        <f>IFERROR(INDEX(_ENGINE_Risk!$BS$500:$BS$923,MATCH($D845,_ENGINE_Risk!$E$500:$E$923,0)),0)</f>
        <v>12.95</v>
      </c>
      <c r="H845">
        <v>1</v>
      </c>
      <c r="I845">
        <f>IFERROR(MAX(0,5-INDEX(_ENGINE_Risk!$H$500:$H$923,MATCH($D845,_ENGINE_Risk!$E$500:$E$923,0))),0)</f>
        <v>5</v>
      </c>
      <c r="J845" t="s">
        <v>11566</v>
      </c>
      <c r="K845">
        <f>IFERROR(INDEX(_ENGINE_Risk!$BI$500:$BI$923,MATCH($D845,_ENGINE_Risk!$E$500:$E$923,0))*N($H845),0)</f>
        <v>437.5</v>
      </c>
      <c r="L845">
        <f>IFERROR(MIN(5,$K845/MAX(1,_CONFIG_Model_Settings!$B$105)),0)</f>
        <v>5</v>
      </c>
    </row>
    <row r="846" spans="1:12">
      <c r="A846" t="s">
        <v>4528</v>
      </c>
      <c r="B846" t="s">
        <v>4529</v>
      </c>
      <c r="C846" t="s">
        <v>4065</v>
      </c>
      <c r="D846" t="s">
        <v>3296</v>
      </c>
      <c r="E846" t="s">
        <v>3204</v>
      </c>
      <c r="F846" t="s">
        <v>3235</v>
      </c>
      <c r="G846">
        <f>IFERROR(INDEX(_ENGINE_Risk!$BS$500:$BS$923,MATCH($D846,_ENGINE_Risk!$E$500:$E$923,0)),0)</f>
        <v>12.95</v>
      </c>
      <c r="H846">
        <v>1</v>
      </c>
      <c r="I846">
        <f>IFERROR(MAX(0,5-INDEX(_ENGINE_Risk!$H$500:$H$923,MATCH($D846,_ENGINE_Risk!$E$500:$E$923,0))),0)</f>
        <v>5</v>
      </c>
      <c r="J846" t="s">
        <v>11566</v>
      </c>
      <c r="K846">
        <f>IFERROR(INDEX(_ENGINE_Risk!$BI$500:$BI$923,MATCH($D846,_ENGINE_Risk!$E$500:$E$923,0))*N($H846),0)</f>
        <v>437.5</v>
      </c>
      <c r="L846">
        <f>IFERROR(MIN(5,$K846/MAX(1,_CONFIG_Model_Settings!$B$105)),0)</f>
        <v>5</v>
      </c>
    </row>
    <row r="847" spans="1:12">
      <c r="A847" t="s">
        <v>4528</v>
      </c>
      <c r="B847" t="s">
        <v>4529</v>
      </c>
      <c r="C847" t="s">
        <v>4065</v>
      </c>
      <c r="D847" t="s">
        <v>3299</v>
      </c>
      <c r="E847" t="s">
        <v>3204</v>
      </c>
      <c r="F847" t="s">
        <v>3235</v>
      </c>
      <c r="G847">
        <f>IFERROR(INDEX(_ENGINE_Risk!$BS$500:$BS$923,MATCH($D847,_ENGINE_Risk!$E$500:$E$923,0)),0)</f>
        <v>12.95</v>
      </c>
      <c r="H847">
        <v>1</v>
      </c>
      <c r="I847">
        <f>IFERROR(MAX(0,5-INDEX(_ENGINE_Risk!$H$500:$H$923,MATCH($D847,_ENGINE_Risk!$E$500:$E$923,0))),0)</f>
        <v>5</v>
      </c>
      <c r="J847" t="s">
        <v>11566</v>
      </c>
      <c r="K847">
        <f>IFERROR(INDEX(_ENGINE_Risk!$BI$500:$BI$923,MATCH($D847,_ENGINE_Risk!$E$500:$E$923,0))*N($H847),0)</f>
        <v>437.5</v>
      </c>
      <c r="L847">
        <f>IFERROR(MIN(5,$K847/MAX(1,_CONFIG_Model_Settings!$B$105)),0)</f>
        <v>5</v>
      </c>
    </row>
    <row r="848" spans="1:12">
      <c r="A848" t="s">
        <v>4528</v>
      </c>
      <c r="B848" t="s">
        <v>4529</v>
      </c>
      <c r="C848" t="s">
        <v>4065</v>
      </c>
      <c r="D848" t="s">
        <v>3302</v>
      </c>
      <c r="E848" t="s">
        <v>3204</v>
      </c>
      <c r="F848" t="s">
        <v>3235</v>
      </c>
      <c r="G848">
        <f>IFERROR(INDEX(_ENGINE_Risk!$BS$500:$BS$923,MATCH($D848,_ENGINE_Risk!$E$500:$E$923,0)),0)</f>
        <v>12.35</v>
      </c>
      <c r="H848">
        <v>1</v>
      </c>
      <c r="I848">
        <f>IFERROR(MAX(0,5-INDEX(_ENGINE_Risk!$H$500:$H$923,MATCH($D848,_ENGINE_Risk!$E$500:$E$923,0))),0)</f>
        <v>5</v>
      </c>
      <c r="J848" t="s">
        <v>11566</v>
      </c>
      <c r="K848">
        <f>IFERROR(INDEX(_ENGINE_Risk!$BI$500:$BI$923,MATCH($D848,_ENGINE_Risk!$E$500:$E$923,0))*N($H848),0)</f>
        <v>437.5</v>
      </c>
      <c r="L848">
        <f>IFERROR(MIN(5,$K848/MAX(1,_CONFIG_Model_Settings!$B$105)),0)</f>
        <v>5</v>
      </c>
    </row>
    <row r="849" spans="1:12">
      <c r="A849" t="s">
        <v>4528</v>
      </c>
      <c r="B849" t="s">
        <v>4529</v>
      </c>
      <c r="C849" t="s">
        <v>4065</v>
      </c>
      <c r="D849" t="s">
        <v>3311</v>
      </c>
      <c r="E849" t="s">
        <v>3204</v>
      </c>
      <c r="F849" t="s">
        <v>3235</v>
      </c>
      <c r="G849">
        <f>IFERROR(INDEX(_ENGINE_Risk!$BS$500:$BS$923,MATCH($D849,_ENGINE_Risk!$E$500:$E$923,0)),0)</f>
        <v>12.95</v>
      </c>
      <c r="H849">
        <v>1</v>
      </c>
      <c r="I849">
        <f>IFERROR(MAX(0,5-INDEX(_ENGINE_Risk!$H$500:$H$923,MATCH($D849,_ENGINE_Risk!$E$500:$E$923,0))),0)</f>
        <v>5</v>
      </c>
      <c r="J849" t="s">
        <v>11566</v>
      </c>
      <c r="K849">
        <f>IFERROR(INDEX(_ENGINE_Risk!$BI$500:$BI$923,MATCH($D849,_ENGINE_Risk!$E$500:$E$923,0))*N($H849),0)</f>
        <v>437.5</v>
      </c>
      <c r="L849">
        <f>IFERROR(MIN(5,$K849/MAX(1,_CONFIG_Model_Settings!$B$105)),0)</f>
        <v>5</v>
      </c>
    </row>
    <row r="850" spans="1:12">
      <c r="A850" t="s">
        <v>4121</v>
      </c>
      <c r="B850" t="s">
        <v>4124</v>
      </c>
      <c r="C850" t="s">
        <v>4123</v>
      </c>
      <c r="D850" t="s">
        <v>1848</v>
      </c>
      <c r="E850" t="s">
        <v>1666</v>
      </c>
      <c r="F850" t="s">
        <v>1693</v>
      </c>
      <c r="G850">
        <f>IFERROR(INDEX(_ENGINE_Risk!$BS$500:$BS$923,MATCH($D850,_ENGINE_Risk!$E$500:$E$923,0)),0)</f>
        <v>19.8</v>
      </c>
      <c r="H850">
        <v>1</v>
      </c>
      <c r="I850">
        <f>IFERROR(MAX(0,5-INDEX(_ENGINE_Risk!$H$500:$H$923,MATCH($D850,_ENGINE_Risk!$E$500:$E$923,0))),0)</f>
        <v>5</v>
      </c>
      <c r="J850" t="s">
        <v>11567</v>
      </c>
      <c r="K850">
        <f>IFERROR(INDEX(_ENGINE_Risk!$BI$500:$BI$923,MATCH($D850,_ENGINE_Risk!$E$500:$E$923,0))*N($H850),0)</f>
        <v>937.5</v>
      </c>
      <c r="L850">
        <f>IFERROR(MIN(5,$K850/MAX(1,_CONFIG_Model_Settings!$B$105)),0)</f>
        <v>5</v>
      </c>
    </row>
    <row r="851" spans="1:12">
      <c r="A851" t="s">
        <v>4215</v>
      </c>
      <c r="B851" t="s">
        <v>4216</v>
      </c>
      <c r="C851" t="s">
        <v>4075</v>
      </c>
      <c r="D851" t="s">
        <v>2113</v>
      </c>
      <c r="E851" t="s">
        <v>1987</v>
      </c>
      <c r="F851" t="s">
        <v>2010</v>
      </c>
      <c r="G851">
        <f>IFERROR(INDEX(_ENGINE_Risk!$BS$500:$BS$923,MATCH($D851,_ENGINE_Risk!$E$500:$E$923,0)),0)</f>
        <v>15.44</v>
      </c>
      <c r="H851">
        <v>1</v>
      </c>
      <c r="I851">
        <f>IFERROR(MAX(0,5-INDEX(_ENGINE_Risk!$H$500:$H$923,MATCH($D851,_ENGINE_Risk!$E$500:$E$923,0))),0)</f>
        <v>5</v>
      </c>
      <c r="J851" t="s">
        <v>11567</v>
      </c>
      <c r="K851">
        <f>IFERROR(INDEX(_ENGINE_Risk!$BI$500:$BI$923,MATCH($D851,_ENGINE_Risk!$E$500:$E$923,0))*N($H851),0)</f>
        <v>437.5</v>
      </c>
      <c r="L851">
        <f>IFERROR(MIN(5,$K851/MAX(1,_CONFIG_Model_Settings!$B$105)),0)</f>
        <v>5</v>
      </c>
    </row>
    <row r="852" spans="1:12">
      <c r="A852" t="s">
        <v>4215</v>
      </c>
      <c r="B852" t="s">
        <v>4216</v>
      </c>
      <c r="C852" t="s">
        <v>4075</v>
      </c>
      <c r="D852" t="s">
        <v>2124</v>
      </c>
      <c r="E852" t="s">
        <v>1987</v>
      </c>
      <c r="F852" t="s">
        <v>2010</v>
      </c>
      <c r="G852">
        <f>IFERROR(INDEX(_ENGINE_Risk!$BS$500:$BS$923,MATCH($D852,_ENGINE_Risk!$E$500:$E$923,0)),0)</f>
        <v>17.23</v>
      </c>
      <c r="H852">
        <v>1</v>
      </c>
      <c r="I852">
        <f>IFERROR(MAX(0,5-INDEX(_ENGINE_Risk!$H$500:$H$923,MATCH($D852,_ENGINE_Risk!$E$500:$E$923,0))),0)</f>
        <v>5</v>
      </c>
      <c r="J852" t="s">
        <v>11567</v>
      </c>
      <c r="K852">
        <f>IFERROR(INDEX(_ENGINE_Risk!$BI$500:$BI$923,MATCH($D852,_ENGINE_Risk!$E$500:$E$923,0))*N($H852),0)</f>
        <v>437.5</v>
      </c>
      <c r="L852">
        <f>IFERROR(MIN(5,$K852/MAX(1,_CONFIG_Model_Settings!$B$105)),0)</f>
        <v>5</v>
      </c>
    </row>
    <row r="853" spans="1:12">
      <c r="A853" t="s">
        <v>4215</v>
      </c>
      <c r="B853" t="s">
        <v>4216</v>
      </c>
      <c r="C853" t="s">
        <v>4075</v>
      </c>
      <c r="D853" t="s">
        <v>2129</v>
      </c>
      <c r="E853" t="s">
        <v>1987</v>
      </c>
      <c r="F853" t="s">
        <v>2010</v>
      </c>
      <c r="G853">
        <f>IFERROR(INDEX(_ENGINE_Risk!$BS$500:$BS$923,MATCH($D853,_ENGINE_Risk!$E$500:$E$923,0)),0)</f>
        <v>14.65</v>
      </c>
      <c r="H853">
        <v>1</v>
      </c>
      <c r="I853">
        <f>IFERROR(MAX(0,5-INDEX(_ENGINE_Risk!$H$500:$H$923,MATCH($D853,_ENGINE_Risk!$E$500:$E$923,0))),0)</f>
        <v>5</v>
      </c>
      <c r="J853" t="s">
        <v>11567</v>
      </c>
      <c r="K853">
        <f>IFERROR(INDEX(_ENGINE_Risk!$BI$500:$BI$923,MATCH($D853,_ENGINE_Risk!$E$500:$E$923,0))*N($H853),0)</f>
        <v>437.5</v>
      </c>
      <c r="L853">
        <f>IFERROR(MIN(5,$K853/MAX(1,_CONFIG_Model_Settings!$B$105)),0)</f>
        <v>5</v>
      </c>
    </row>
    <row r="854" spans="1:12">
      <c r="A854" t="s">
        <v>4215</v>
      </c>
      <c r="B854" t="s">
        <v>4216</v>
      </c>
      <c r="C854" t="s">
        <v>4075</v>
      </c>
      <c r="D854" t="s">
        <v>2140</v>
      </c>
      <c r="E854" t="s">
        <v>1987</v>
      </c>
      <c r="F854" t="s">
        <v>2010</v>
      </c>
      <c r="G854">
        <f>IFERROR(INDEX(_ENGINE_Risk!$BS$500:$BS$923,MATCH($D854,_ENGINE_Risk!$E$500:$E$923,0)),0)</f>
        <v>15.84</v>
      </c>
      <c r="H854">
        <v>1</v>
      </c>
      <c r="I854">
        <f>IFERROR(MAX(0,5-INDEX(_ENGINE_Risk!$H$500:$H$923,MATCH($D854,_ENGINE_Risk!$E$500:$E$923,0))),0)</f>
        <v>5</v>
      </c>
      <c r="J854" t="s">
        <v>11567</v>
      </c>
      <c r="K854">
        <f>IFERROR(INDEX(_ENGINE_Risk!$BI$500:$BI$923,MATCH($D854,_ENGINE_Risk!$E$500:$E$923,0))*N($H854),0)</f>
        <v>437.5</v>
      </c>
      <c r="L854">
        <f>IFERROR(MIN(5,$K854/MAX(1,_CONFIG_Model_Settings!$B$105)),0)</f>
        <v>5</v>
      </c>
    </row>
    <row r="855" spans="1:12">
      <c r="A855" t="s">
        <v>4290</v>
      </c>
      <c r="B855" t="s">
        <v>4291</v>
      </c>
      <c r="C855" t="s">
        <v>4273</v>
      </c>
      <c r="D855" t="s">
        <v>2424</v>
      </c>
      <c r="E855" t="s">
        <v>2286</v>
      </c>
      <c r="F855" t="s">
        <v>2339</v>
      </c>
      <c r="G855">
        <f>IFERROR(INDEX(_ENGINE_Risk!$BS$500:$BS$923,MATCH($D855,_ENGINE_Risk!$E$500:$E$923,0)),0)</f>
        <v>18.04</v>
      </c>
      <c r="H855">
        <v>1</v>
      </c>
      <c r="I855">
        <f>IFERROR(MAX(0,5-INDEX(_ENGINE_Risk!$H$500:$H$923,MATCH($D855,_ENGINE_Risk!$E$500:$E$923,0))),0)</f>
        <v>5</v>
      </c>
      <c r="J855" t="s">
        <v>11567</v>
      </c>
      <c r="K855">
        <f>IFERROR(INDEX(_ENGINE_Risk!$BI$500:$BI$923,MATCH($D855,_ENGINE_Risk!$E$500:$E$923,0))*N($H855),0)</f>
        <v>437.5</v>
      </c>
      <c r="L855">
        <f>IFERROR(MIN(5,$K855/MAX(1,_CONFIG_Model_Settings!$B$105)),0)</f>
        <v>5</v>
      </c>
    </row>
    <row r="856" spans="1:12">
      <c r="A856" t="s">
        <v>4290</v>
      </c>
      <c r="B856" t="s">
        <v>4291</v>
      </c>
      <c r="C856" t="s">
        <v>4273</v>
      </c>
      <c r="D856" t="s">
        <v>2435</v>
      </c>
      <c r="E856" t="s">
        <v>2286</v>
      </c>
      <c r="F856" t="s">
        <v>2339</v>
      </c>
      <c r="G856">
        <f>IFERROR(INDEX(_ENGINE_Risk!$BS$500:$BS$923,MATCH($D856,_ENGINE_Risk!$E$500:$E$923,0)),0)</f>
        <v>18.739999999999998</v>
      </c>
      <c r="H856">
        <v>1</v>
      </c>
      <c r="I856">
        <f>IFERROR(MAX(0,5-INDEX(_ENGINE_Risk!$H$500:$H$923,MATCH($D856,_ENGINE_Risk!$E$500:$E$923,0))),0)</f>
        <v>5</v>
      </c>
      <c r="J856" t="s">
        <v>11567</v>
      </c>
      <c r="K856">
        <f>IFERROR(INDEX(_ENGINE_Risk!$BI$500:$BI$923,MATCH($D856,_ENGINE_Risk!$E$500:$E$923,0))*N($H856),0)</f>
        <v>437.5</v>
      </c>
      <c r="L856">
        <f>IFERROR(MIN(5,$K856/MAX(1,_CONFIG_Model_Settings!$B$105)),0)</f>
        <v>5</v>
      </c>
    </row>
    <row r="857" spans="1:12">
      <c r="A857" t="s">
        <v>4290</v>
      </c>
      <c r="B857" t="s">
        <v>4291</v>
      </c>
      <c r="C857" t="s">
        <v>4273</v>
      </c>
      <c r="D857" t="s">
        <v>2446</v>
      </c>
      <c r="E857" t="s">
        <v>2286</v>
      </c>
      <c r="F857" t="s">
        <v>2339</v>
      </c>
      <c r="G857">
        <f>IFERROR(INDEX(_ENGINE_Risk!$BS$500:$BS$923,MATCH($D857,_ENGINE_Risk!$E$500:$E$923,0)),0)</f>
        <v>19.43</v>
      </c>
      <c r="H857">
        <v>1</v>
      </c>
      <c r="I857">
        <f>IFERROR(MAX(0,5-INDEX(_ENGINE_Risk!$H$500:$H$923,MATCH($D857,_ENGINE_Risk!$E$500:$E$923,0))),0)</f>
        <v>5</v>
      </c>
      <c r="J857" t="s">
        <v>11567</v>
      </c>
      <c r="K857">
        <f>IFERROR(INDEX(_ENGINE_Risk!$BI$500:$BI$923,MATCH($D857,_ENGINE_Risk!$E$500:$E$923,0))*N($H857),0)</f>
        <v>437.5</v>
      </c>
      <c r="L857">
        <f>IFERROR(MIN(5,$K857/MAX(1,_CONFIG_Model_Settings!$B$105)),0)</f>
        <v>5</v>
      </c>
    </row>
    <row r="858" spans="1:12">
      <c r="A858" t="s">
        <v>4290</v>
      </c>
      <c r="B858" t="s">
        <v>4291</v>
      </c>
      <c r="C858" t="s">
        <v>4273</v>
      </c>
      <c r="D858" t="s">
        <v>2451</v>
      </c>
      <c r="E858" t="s">
        <v>2286</v>
      </c>
      <c r="F858" t="s">
        <v>2339</v>
      </c>
      <c r="G858">
        <f>IFERROR(INDEX(_ENGINE_Risk!$BS$500:$BS$923,MATCH($D858,_ENGINE_Risk!$E$500:$E$923,0)),0)</f>
        <v>15.26</v>
      </c>
      <c r="H858">
        <v>1</v>
      </c>
      <c r="I858">
        <f>IFERROR(MAX(0,5-INDEX(_ENGINE_Risk!$H$500:$H$923,MATCH($D858,_ENGINE_Risk!$E$500:$E$923,0))),0)</f>
        <v>5</v>
      </c>
      <c r="J858" t="s">
        <v>11567</v>
      </c>
      <c r="K858">
        <f>IFERROR(INDEX(_ENGINE_Risk!$BI$500:$BI$923,MATCH($D858,_ENGINE_Risk!$E$500:$E$923,0))*N($H858),0)</f>
        <v>187.5</v>
      </c>
      <c r="L858">
        <f>IFERROR(MIN(5,$K858/MAX(1,_CONFIG_Model_Settings!$B$105)),0)</f>
        <v>2.5</v>
      </c>
    </row>
    <row r="859" spans="1:12">
      <c r="A859" t="s">
        <v>4290</v>
      </c>
      <c r="B859" t="s">
        <v>4291</v>
      </c>
      <c r="C859" t="s">
        <v>4273</v>
      </c>
      <c r="D859" t="s">
        <v>2462</v>
      </c>
      <c r="E859" t="s">
        <v>2286</v>
      </c>
      <c r="F859" t="s">
        <v>2339</v>
      </c>
      <c r="G859">
        <f>IFERROR(INDEX(_ENGINE_Risk!$BS$500:$BS$923,MATCH($D859,_ENGINE_Risk!$E$500:$E$923,0)),0)</f>
        <v>16.190000000000001</v>
      </c>
      <c r="H859">
        <v>1</v>
      </c>
      <c r="I859">
        <f>IFERROR(MAX(0,5-INDEX(_ENGINE_Risk!$H$500:$H$923,MATCH($D859,_ENGINE_Risk!$E$500:$E$923,0))),0)</f>
        <v>5</v>
      </c>
      <c r="J859" t="s">
        <v>11567</v>
      </c>
      <c r="K859">
        <f>IFERROR(INDEX(_ENGINE_Risk!$BI$500:$BI$923,MATCH($D859,_ENGINE_Risk!$E$500:$E$923,0))*N($H859),0)</f>
        <v>437.5</v>
      </c>
      <c r="L859">
        <f>IFERROR(MIN(5,$K859/MAX(1,_CONFIG_Model_Settings!$B$105)),0)</f>
        <v>5</v>
      </c>
    </row>
    <row r="860" spans="1:12">
      <c r="A860" t="s">
        <v>4455</v>
      </c>
      <c r="B860" t="s">
        <v>4458</v>
      </c>
      <c r="C860" t="s">
        <v>4457</v>
      </c>
      <c r="D860" t="s">
        <v>3170</v>
      </c>
      <c r="E860" t="s">
        <v>2986</v>
      </c>
      <c r="F860" t="s">
        <v>2988</v>
      </c>
      <c r="G860">
        <f>IFERROR(INDEX(_ENGINE_Risk!$BS$500:$BS$923,MATCH($D860,_ENGINE_Risk!$E$500:$E$923,0)),0)</f>
        <v>25.44</v>
      </c>
      <c r="H860">
        <v>1</v>
      </c>
      <c r="I860">
        <f>IFERROR(MAX(0,5-INDEX(_ENGINE_Risk!$H$500:$H$923,MATCH($D860,_ENGINE_Risk!$E$500:$E$923,0))),0)</f>
        <v>5</v>
      </c>
      <c r="J860" t="s">
        <v>11567</v>
      </c>
      <c r="K860">
        <f>IFERROR(INDEX(_ENGINE_Risk!$BI$500:$BI$923,MATCH($D860,_ENGINE_Risk!$E$500:$E$923,0))*N($H860),0)</f>
        <v>937.5</v>
      </c>
      <c r="L860">
        <f>IFERROR(MIN(5,$K860/MAX(1,_CONFIG_Model_Settings!$B$105)),0)</f>
        <v>5</v>
      </c>
    </row>
    <row r="861" spans="1:12">
      <c r="A861" t="s">
        <v>4455</v>
      </c>
      <c r="B861" t="s">
        <v>4458</v>
      </c>
      <c r="C861" t="s">
        <v>4457</v>
      </c>
      <c r="D861" t="s">
        <v>3175</v>
      </c>
      <c r="E861" t="s">
        <v>2986</v>
      </c>
      <c r="F861" t="s">
        <v>2988</v>
      </c>
      <c r="G861">
        <f>IFERROR(INDEX(_ENGINE_Risk!$BS$500:$BS$923,MATCH($D861,_ENGINE_Risk!$E$500:$E$923,0)),0)</f>
        <v>25.44</v>
      </c>
      <c r="H861">
        <v>1</v>
      </c>
      <c r="I861">
        <f>IFERROR(MAX(0,5-INDEX(_ENGINE_Risk!$H$500:$H$923,MATCH($D861,_ENGINE_Risk!$E$500:$E$923,0))),0)</f>
        <v>5</v>
      </c>
      <c r="J861" t="s">
        <v>11567</v>
      </c>
      <c r="K861">
        <f>IFERROR(INDEX(_ENGINE_Risk!$BI$500:$BI$923,MATCH($D861,_ENGINE_Risk!$E$500:$E$923,0))*N($H861),0)</f>
        <v>937.5</v>
      </c>
      <c r="L861">
        <f>IFERROR(MIN(5,$K861/MAX(1,_CONFIG_Model_Settings!$B$105)),0)</f>
        <v>5</v>
      </c>
    </row>
    <row r="862" spans="1:12">
      <c r="A862" t="s">
        <v>4483</v>
      </c>
      <c r="B862" t="s">
        <v>4484</v>
      </c>
      <c r="C862" t="s">
        <v>4457</v>
      </c>
      <c r="D862" t="s">
        <v>3184</v>
      </c>
      <c r="E862" t="s">
        <v>2986</v>
      </c>
      <c r="F862" t="s">
        <v>3023</v>
      </c>
      <c r="G862">
        <f>IFERROR(INDEX(_ENGINE_Risk!$BS$500:$BS$923,MATCH($D862,_ENGINE_Risk!$E$500:$E$923,0)),0)</f>
        <v>19.8</v>
      </c>
      <c r="H862">
        <v>1</v>
      </c>
      <c r="I862">
        <f>IFERROR(MAX(0,5-INDEX(_ENGINE_Risk!$H$500:$H$923,MATCH($D862,_ENGINE_Risk!$E$500:$E$923,0))),0)</f>
        <v>5</v>
      </c>
      <c r="J862" t="s">
        <v>11567</v>
      </c>
      <c r="K862">
        <f>IFERROR(INDEX(_ENGINE_Risk!$BI$500:$BI$923,MATCH($D862,_ENGINE_Risk!$E$500:$E$923,0))*N($H862),0)</f>
        <v>937.5</v>
      </c>
      <c r="L862">
        <f>IFERROR(MIN(5,$K862/MAX(1,_CONFIG_Model_Settings!$B$105)),0)</f>
        <v>5</v>
      </c>
    </row>
    <row r="863" spans="1:12">
      <c r="A863" t="s">
        <v>4483</v>
      </c>
      <c r="B863" t="s">
        <v>4484</v>
      </c>
      <c r="C863" t="s">
        <v>4457</v>
      </c>
      <c r="D863" t="s">
        <v>3195</v>
      </c>
      <c r="E863" t="s">
        <v>2986</v>
      </c>
      <c r="F863" t="s">
        <v>3023</v>
      </c>
      <c r="G863">
        <f>IFERROR(INDEX(_ENGINE_Risk!$BS$500:$BS$923,MATCH($D863,_ENGINE_Risk!$E$500:$E$923,0)),0)</f>
        <v>19.8</v>
      </c>
      <c r="H863">
        <v>1</v>
      </c>
      <c r="I863">
        <f>IFERROR(MAX(0,5-INDEX(_ENGINE_Risk!$H$500:$H$923,MATCH($D863,_ENGINE_Risk!$E$500:$E$923,0))),0)</f>
        <v>5</v>
      </c>
      <c r="J863" t="s">
        <v>11567</v>
      </c>
      <c r="K863">
        <f>IFERROR(INDEX(_ENGINE_Risk!$BI$500:$BI$923,MATCH($D863,_ENGINE_Risk!$E$500:$E$923,0))*N($H863),0)</f>
        <v>937.5</v>
      </c>
      <c r="L863">
        <f>IFERROR(MIN(5,$K863/MAX(1,_CONFIG_Model_Settings!$B$105)),0)</f>
        <v>5</v>
      </c>
    </row>
    <row r="864" spans="1:12">
      <c r="A864" t="s">
        <v>4521</v>
      </c>
      <c r="B864" t="s">
        <v>4522</v>
      </c>
      <c r="C864" t="s">
        <v>3957</v>
      </c>
      <c r="D864" t="s">
        <v>3314</v>
      </c>
      <c r="E864" t="s">
        <v>3204</v>
      </c>
      <c r="F864" t="s">
        <v>3225</v>
      </c>
      <c r="G864">
        <f>IFERROR(INDEX(_ENGINE_Risk!$BS$500:$BS$923,MATCH($D864,_ENGINE_Risk!$E$500:$E$923,0)),0)</f>
        <v>11.9</v>
      </c>
      <c r="H864">
        <v>1</v>
      </c>
      <c r="I864">
        <f>IFERROR(MAX(0,5-INDEX(_ENGINE_Risk!$H$500:$H$923,MATCH($D864,_ENGINE_Risk!$E$500:$E$923,0))),0)</f>
        <v>5</v>
      </c>
      <c r="J864" t="s">
        <v>11567</v>
      </c>
      <c r="K864">
        <f>IFERROR(INDEX(_ENGINE_Risk!$BI$500:$BI$923,MATCH($D864,_ENGINE_Risk!$E$500:$E$923,0))*N($H864),0)</f>
        <v>437.5</v>
      </c>
      <c r="L864">
        <f>IFERROR(MIN(5,$K864/MAX(1,_CONFIG_Model_Settings!$B$105)),0)</f>
        <v>5</v>
      </c>
    </row>
    <row r="865" spans="1:12">
      <c r="A865" t="s">
        <v>4521</v>
      </c>
      <c r="B865" t="s">
        <v>4522</v>
      </c>
      <c r="C865" t="s">
        <v>3957</v>
      </c>
      <c r="D865" t="s">
        <v>3323</v>
      </c>
      <c r="E865" t="s">
        <v>3204</v>
      </c>
      <c r="F865" t="s">
        <v>3225</v>
      </c>
      <c r="G865">
        <f>IFERROR(INDEX(_ENGINE_Risk!$BS$500:$BS$923,MATCH($D865,_ENGINE_Risk!$E$500:$E$923,0)),0)</f>
        <v>11.9</v>
      </c>
      <c r="H865">
        <v>1</v>
      </c>
      <c r="I865">
        <f>IFERROR(MAX(0,5-INDEX(_ENGINE_Risk!$H$500:$H$923,MATCH($D865,_ENGINE_Risk!$E$500:$E$923,0))),0)</f>
        <v>5</v>
      </c>
      <c r="J865" t="s">
        <v>11567</v>
      </c>
      <c r="K865">
        <f>IFERROR(INDEX(_ENGINE_Risk!$BI$500:$BI$923,MATCH($D865,_ENGINE_Risk!$E$500:$E$923,0))*N($H865),0)</f>
        <v>437.5</v>
      </c>
      <c r="L865">
        <f>IFERROR(MIN(5,$K865/MAX(1,_CONFIG_Model_Settings!$B$105)),0)</f>
        <v>5</v>
      </c>
    </row>
    <row r="866" spans="1:12">
      <c r="A866" t="s">
        <v>4521</v>
      </c>
      <c r="B866" t="s">
        <v>4522</v>
      </c>
      <c r="C866" t="s">
        <v>3957</v>
      </c>
      <c r="D866" t="s">
        <v>3334</v>
      </c>
      <c r="E866" t="s">
        <v>3204</v>
      </c>
      <c r="F866" t="s">
        <v>3225</v>
      </c>
      <c r="G866">
        <f>IFERROR(INDEX(_ENGINE_Risk!$BS$500:$BS$923,MATCH($D866,_ENGINE_Risk!$E$500:$E$923,0)),0)</f>
        <v>11.9</v>
      </c>
      <c r="H866">
        <v>1</v>
      </c>
      <c r="I866">
        <f>IFERROR(MAX(0,5-INDEX(_ENGINE_Risk!$H$500:$H$923,MATCH($D866,_ENGINE_Risk!$E$500:$E$923,0))),0)</f>
        <v>5</v>
      </c>
      <c r="J866" t="s">
        <v>11567</v>
      </c>
      <c r="K866">
        <f>IFERROR(INDEX(_ENGINE_Risk!$BI$500:$BI$923,MATCH($D866,_ENGINE_Risk!$E$500:$E$923,0))*N($H866),0)</f>
        <v>437.5</v>
      </c>
      <c r="L866">
        <f>IFERROR(MIN(5,$K866/MAX(1,_CONFIG_Model_Settings!$B$105)),0)</f>
        <v>5</v>
      </c>
    </row>
    <row r="867" spans="1:12">
      <c r="A867" t="s">
        <v>4521</v>
      </c>
      <c r="B867" t="s">
        <v>4522</v>
      </c>
      <c r="C867" t="s">
        <v>3957</v>
      </c>
      <c r="D867" t="s">
        <v>3345</v>
      </c>
      <c r="E867" t="s">
        <v>3204</v>
      </c>
      <c r="F867" t="s">
        <v>3225</v>
      </c>
      <c r="G867">
        <f>IFERROR(INDEX(_ENGINE_Risk!$BS$500:$BS$923,MATCH($D867,_ENGINE_Risk!$E$500:$E$923,0)),0)</f>
        <v>11.9</v>
      </c>
      <c r="H867">
        <v>1</v>
      </c>
      <c r="I867">
        <f>IFERROR(MAX(0,5-INDEX(_ENGINE_Risk!$H$500:$H$923,MATCH($D867,_ENGINE_Risk!$E$500:$E$923,0))),0)</f>
        <v>5</v>
      </c>
      <c r="J867" t="s">
        <v>11567</v>
      </c>
      <c r="K867">
        <f>IFERROR(INDEX(_ENGINE_Risk!$BI$500:$BI$923,MATCH($D867,_ENGINE_Risk!$E$500:$E$923,0))*N($H867),0)</f>
        <v>437.5</v>
      </c>
      <c r="L867">
        <f>IFERROR(MIN(5,$K867/MAX(1,_CONFIG_Model_Settings!$B$105)),0)</f>
        <v>5</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E24"/>
  <sheetViews>
    <sheetView workbookViewId="0"/>
  </sheetViews>
  <sheetFormatPr defaultRowHeight="14.15"/>
  <cols>
    <col min="1" max="1" width="36" customWidth="1"/>
    <col min="2" max="2" width="12" customWidth="1"/>
    <col min="3" max="3" width="16" customWidth="1"/>
    <col min="4" max="4" width="22" customWidth="1"/>
    <col min="5" max="5" width="46" customWidth="1"/>
  </cols>
  <sheetData>
    <row r="1" spans="1:5">
      <c r="A1" t="str">
        <f>"RR-FRAMEWORK — CONFIG CONTROL PANEL ("&amp;Guidelines!$B$5&amp;")"</f>
        <v>RR-FRAMEWORK — CONFIG CONTROL PANEL (v3.0)</v>
      </c>
    </row>
    <row r="2" spans="1:5">
      <c r="A2" t="s">
        <v>11568</v>
      </c>
    </row>
    <row r="4" spans="1:5">
      <c r="A4" t="s">
        <v>11569</v>
      </c>
      <c r="B4" t="s">
        <v>348</v>
      </c>
      <c r="C4" t="s">
        <v>11570</v>
      </c>
      <c r="D4" t="s">
        <v>11571</v>
      </c>
      <c r="E4" t="s">
        <v>46</v>
      </c>
    </row>
    <row r="5" spans="1:5">
      <c r="A5" t="s">
        <v>11572</v>
      </c>
      <c r="B5">
        <v>3.5</v>
      </c>
      <c r="C5" t="s">
        <v>11573</v>
      </c>
      <c r="D5" t="s">
        <v>11574</v>
      </c>
      <c r="E5" t="s">
        <v>11575</v>
      </c>
    </row>
    <row r="6" spans="1:5">
      <c r="A6" t="s">
        <v>11576</v>
      </c>
      <c r="B6">
        <v>2</v>
      </c>
      <c r="C6" t="s">
        <v>11577</v>
      </c>
      <c r="D6" t="s">
        <v>11578</v>
      </c>
      <c r="E6" t="s">
        <v>11579</v>
      </c>
    </row>
    <row r="7" spans="1:5">
      <c r="A7" t="s">
        <v>11580</v>
      </c>
      <c r="B7">
        <v>1.1499999999999999</v>
      </c>
      <c r="C7" t="s">
        <v>11581</v>
      </c>
      <c r="D7" t="s">
        <v>11582</v>
      </c>
      <c r="E7" t="s">
        <v>11583</v>
      </c>
    </row>
    <row r="8" spans="1:5">
      <c r="A8" t="s">
        <v>11584</v>
      </c>
      <c r="B8">
        <v>0.9</v>
      </c>
      <c r="C8" t="s">
        <v>11581</v>
      </c>
      <c r="D8" t="s">
        <v>11585</v>
      </c>
      <c r="E8" t="s">
        <v>11586</v>
      </c>
    </row>
    <row r="9" spans="1:5">
      <c r="A9" t="s">
        <v>11587</v>
      </c>
      <c r="B9">
        <v>12</v>
      </c>
      <c r="C9" t="s">
        <v>11588</v>
      </c>
      <c r="D9" t="s">
        <v>11589</v>
      </c>
      <c r="E9" t="s">
        <v>11590</v>
      </c>
    </row>
    <row r="10" spans="1:5">
      <c r="A10" t="s">
        <v>11591</v>
      </c>
      <c r="B10">
        <v>32</v>
      </c>
      <c r="C10" t="s">
        <v>11588</v>
      </c>
      <c r="D10" t="s">
        <v>11592</v>
      </c>
      <c r="E10" t="s">
        <v>11593</v>
      </c>
    </row>
    <row r="11" spans="1:5">
      <c r="A11" t="s">
        <v>11594</v>
      </c>
      <c r="B11">
        <v>55</v>
      </c>
      <c r="C11" t="s">
        <v>11588</v>
      </c>
      <c r="D11" t="s">
        <v>11595</v>
      </c>
      <c r="E11" t="s">
        <v>11596</v>
      </c>
    </row>
    <row r="12" spans="1:5">
      <c r="A12" t="s">
        <v>11321</v>
      </c>
      <c r="B12">
        <v>1.05</v>
      </c>
      <c r="C12" t="s">
        <v>11597</v>
      </c>
      <c r="D12" t="s">
        <v>11598</v>
      </c>
      <c r="E12" t="s">
        <v>11599</v>
      </c>
    </row>
    <row r="13" spans="1:5">
      <c r="A13" t="s">
        <v>11600</v>
      </c>
      <c r="B13">
        <v>0.7</v>
      </c>
      <c r="C13" t="s">
        <v>11601</v>
      </c>
      <c r="D13" t="s">
        <v>11602</v>
      </c>
      <c r="E13" t="s">
        <v>11603</v>
      </c>
    </row>
    <row r="14" spans="1:5">
      <c r="A14" t="s">
        <v>11604</v>
      </c>
      <c r="B14">
        <v>5</v>
      </c>
      <c r="C14" t="s">
        <v>11605</v>
      </c>
      <c r="D14" t="s">
        <v>11606</v>
      </c>
      <c r="E14" t="s">
        <v>11607</v>
      </c>
    </row>
    <row r="15" spans="1:5">
      <c r="A15" t="s">
        <v>11327</v>
      </c>
      <c r="B15">
        <v>2.5</v>
      </c>
      <c r="C15" t="s">
        <v>11605</v>
      </c>
      <c r="D15" t="s">
        <v>11608</v>
      </c>
      <c r="E15" t="s">
        <v>11609</v>
      </c>
    </row>
    <row r="16" spans="1:5">
      <c r="A16" t="s">
        <v>11610</v>
      </c>
      <c r="B16">
        <v>250620</v>
      </c>
      <c r="C16" t="s">
        <v>11611</v>
      </c>
      <c r="D16" t="s">
        <v>11462</v>
      </c>
      <c r="E16" t="s">
        <v>11612</v>
      </c>
    </row>
    <row r="17" spans="1:5">
      <c r="A17" t="s">
        <v>11613</v>
      </c>
      <c r="B17">
        <v>250619</v>
      </c>
      <c r="C17" t="s">
        <v>11611</v>
      </c>
      <c r="D17" t="s">
        <v>11464</v>
      </c>
      <c r="E17" t="s">
        <v>11614</v>
      </c>
    </row>
    <row r="19" spans="1:5">
      <c r="A19" t="s">
        <v>11615</v>
      </c>
      <c r="B19" t="str">
        <f>_CONFIG_Model_Settings!B178</f>
        <v>Frozen</v>
      </c>
      <c r="C19" t="s">
        <v>11616</v>
      </c>
      <c r="D19" t="s">
        <v>11459</v>
      </c>
      <c r="E19" t="s">
        <v>11617</v>
      </c>
    </row>
    <row r="21" spans="1:5">
      <c r="A21" t="s">
        <v>11618</v>
      </c>
    </row>
    <row r="22" spans="1:5">
      <c r="A22" t="s">
        <v>11619</v>
      </c>
    </row>
    <row r="23" spans="1:5">
      <c r="A23" t="s">
        <v>11620</v>
      </c>
    </row>
    <row r="24" spans="1:5">
      <c r="A24" t="s">
        <v>11621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BE362"/>
  <sheetViews>
    <sheetView showGridLines="0" workbookViewId="0">
      <pane ySplit="1" topLeftCell="A2" activePane="bottomLeft" state="frozen"/>
      <selection pane="bottomLeft"/>
    </sheetView>
  </sheetViews>
  <sheetFormatPr defaultRowHeight="14.15"/>
  <cols>
    <col min="1" max="1" width="26" customWidth="1"/>
    <col min="2" max="2" width="18" customWidth="1"/>
    <col min="3" max="3" width="10" customWidth="1"/>
    <col min="4" max="5" width="32" customWidth="1"/>
    <col min="6" max="6" width="12" customWidth="1"/>
    <col min="7" max="7" width="10" customWidth="1"/>
    <col min="8" max="8" width="48" customWidth="1"/>
    <col min="9" max="9" width="24" customWidth="1"/>
    <col min="11" max="56" width="24" customWidth="1"/>
  </cols>
  <sheetData>
    <row r="1" spans="1:57" ht="28.3" customHeight="1">
      <c r="A1" s="170" t="s">
        <v>11622</v>
      </c>
      <c r="B1" s="170" t="s">
        <v>11623</v>
      </c>
      <c r="C1" s="170" t="s">
        <v>11624</v>
      </c>
      <c r="D1" s="170" t="s">
        <v>348</v>
      </c>
      <c r="E1" s="170" t="s">
        <v>11625</v>
      </c>
      <c r="F1" s="170" t="s">
        <v>11626</v>
      </c>
      <c r="G1" s="170" t="s">
        <v>11627</v>
      </c>
      <c r="H1" s="170" t="s">
        <v>46</v>
      </c>
      <c r="I1" s="170" t="s">
        <v>11628</v>
      </c>
      <c r="K1" s="171" t="s">
        <v>11629</v>
      </c>
    </row>
    <row r="2" spans="1:57" ht="28.3">
      <c r="A2" s="2" t="s">
        <v>11630</v>
      </c>
      <c r="B2" s="2"/>
      <c r="C2" s="2" t="s">
        <v>48</v>
      </c>
      <c r="D2" s="2" t="s">
        <v>10969</v>
      </c>
      <c r="E2" s="2" t="s">
        <v>10969</v>
      </c>
      <c r="F2" s="2"/>
      <c r="G2" s="2" t="s">
        <v>11631</v>
      </c>
      <c r="H2" s="2" t="s">
        <v>11632</v>
      </c>
      <c r="I2" s="2" t="s">
        <v>11633</v>
      </c>
      <c r="K2" s="172" t="s">
        <v>11634</v>
      </c>
      <c r="L2" s="172" t="s">
        <v>11635</v>
      </c>
      <c r="M2" s="172" t="s">
        <v>11636</v>
      </c>
      <c r="N2" s="172" t="s">
        <v>11637</v>
      </c>
      <c r="O2" s="172" t="s">
        <v>11638</v>
      </c>
      <c r="P2" s="172" t="s">
        <v>11639</v>
      </c>
      <c r="Q2" s="172" t="s">
        <v>11640</v>
      </c>
      <c r="R2" s="172" t="s">
        <v>11641</v>
      </c>
      <c r="S2" s="172" t="s">
        <v>11642</v>
      </c>
      <c r="T2" s="172" t="s">
        <v>11643</v>
      </c>
      <c r="U2" s="172" t="s">
        <v>11644</v>
      </c>
      <c r="V2" s="172" t="s">
        <v>11645</v>
      </c>
      <c r="W2" s="172" t="s">
        <v>11646</v>
      </c>
      <c r="X2" s="172" t="s">
        <v>11647</v>
      </c>
      <c r="Y2" s="172" t="s">
        <v>11648</v>
      </c>
      <c r="Z2" s="172" t="s">
        <v>11649</v>
      </c>
      <c r="AA2" s="172" t="s">
        <v>11650</v>
      </c>
      <c r="AB2" s="172" t="s">
        <v>11651</v>
      </c>
      <c r="AC2" s="172" t="s">
        <v>11652</v>
      </c>
      <c r="AD2" s="172" t="s">
        <v>11653</v>
      </c>
      <c r="AE2" s="172" t="s">
        <v>11654</v>
      </c>
      <c r="AF2" s="172" t="s">
        <v>11655</v>
      </c>
      <c r="AG2" s="172" t="s">
        <v>11656</v>
      </c>
      <c r="AH2" s="172" t="s">
        <v>11657</v>
      </c>
      <c r="AI2" s="172" t="s">
        <v>11658</v>
      </c>
      <c r="AJ2" s="172" t="s">
        <v>11630</v>
      </c>
      <c r="AK2" s="172" t="s">
        <v>11659</v>
      </c>
      <c r="AL2" s="172" t="s">
        <v>11660</v>
      </c>
      <c r="AM2" s="172" t="s">
        <v>11661</v>
      </c>
      <c r="AN2" s="172" t="s">
        <v>11662</v>
      </c>
      <c r="AO2" s="172" t="s">
        <v>11663</v>
      </c>
      <c r="AP2" s="172" t="s">
        <v>11664</v>
      </c>
      <c r="AQ2" s="172" t="s">
        <v>11665</v>
      </c>
      <c r="AR2" s="172" t="s">
        <v>11666</v>
      </c>
      <c r="AS2" s="172" t="s">
        <v>11667</v>
      </c>
      <c r="AT2" s="172" t="s">
        <v>11668</v>
      </c>
      <c r="AU2" s="172" t="s">
        <v>11669</v>
      </c>
      <c r="AV2" s="172" t="s">
        <v>11670</v>
      </c>
      <c r="AW2" s="172" t="s">
        <v>11671</v>
      </c>
      <c r="AX2" s="172" t="s">
        <v>11672</v>
      </c>
      <c r="AY2" s="172" t="s">
        <v>11673</v>
      </c>
      <c r="AZ2" s="172" t="s">
        <v>11674</v>
      </c>
      <c r="BA2" s="172" t="s">
        <v>11675</v>
      </c>
      <c r="BB2" s="172" t="s">
        <v>11676</v>
      </c>
      <c r="BC2" s="172" t="s">
        <v>11677</v>
      </c>
      <c r="BD2" s="172" t="s">
        <v>11678</v>
      </c>
      <c r="BE2" t="s">
        <v>11679</v>
      </c>
    </row>
    <row r="3" spans="1:57" ht="28.3">
      <c r="A3" s="2" t="s">
        <v>11630</v>
      </c>
      <c r="B3" s="2"/>
      <c r="C3" s="2" t="s">
        <v>52</v>
      </c>
      <c r="D3" s="2" t="s">
        <v>10968</v>
      </c>
      <c r="E3" s="2" t="s">
        <v>10968</v>
      </c>
      <c r="F3" s="2"/>
      <c r="G3" s="2" t="s">
        <v>11631</v>
      </c>
      <c r="H3" s="2" t="s">
        <v>11632</v>
      </c>
      <c r="I3" s="2" t="s">
        <v>11633</v>
      </c>
      <c r="K3" t="s">
        <v>11680</v>
      </c>
      <c r="L3" t="s">
        <v>3406</v>
      </c>
      <c r="M3" t="s">
        <v>11681</v>
      </c>
      <c r="N3" t="s">
        <v>11428</v>
      </c>
      <c r="O3" t="s">
        <v>11682</v>
      </c>
      <c r="P3" t="s">
        <v>11683</v>
      </c>
      <c r="Q3" t="s">
        <v>11282</v>
      </c>
      <c r="R3" t="s">
        <v>10788</v>
      </c>
      <c r="S3" t="s">
        <v>3406</v>
      </c>
      <c r="T3" t="s">
        <v>11684</v>
      </c>
      <c r="U3" t="s">
        <v>677</v>
      </c>
      <c r="V3" t="s">
        <v>11685</v>
      </c>
      <c r="W3" t="s">
        <v>11686</v>
      </c>
      <c r="X3" t="s">
        <v>3406</v>
      </c>
      <c r="Y3" t="s">
        <v>11687</v>
      </c>
      <c r="Z3" t="s">
        <v>11688</v>
      </c>
      <c r="AA3" t="s">
        <v>3406</v>
      </c>
      <c r="AB3" t="s">
        <v>11429</v>
      </c>
      <c r="AC3" t="s">
        <v>3406</v>
      </c>
      <c r="AD3" t="s">
        <v>11429</v>
      </c>
      <c r="AE3" t="s">
        <v>3406</v>
      </c>
      <c r="AF3" t="s">
        <v>10788</v>
      </c>
      <c r="AG3" t="s">
        <v>11689</v>
      </c>
      <c r="AH3" t="s">
        <v>11690</v>
      </c>
      <c r="AI3" t="s">
        <v>11691</v>
      </c>
      <c r="AJ3" t="s">
        <v>10969</v>
      </c>
      <c r="AK3" t="s">
        <v>10963</v>
      </c>
      <c r="AL3" t="s">
        <v>11692</v>
      </c>
      <c r="AM3" t="s">
        <v>11429</v>
      </c>
      <c r="AN3" t="s">
        <v>11693</v>
      </c>
      <c r="AO3" t="s">
        <v>11694</v>
      </c>
      <c r="AP3" t="s">
        <v>11429</v>
      </c>
      <c r="AQ3" t="s">
        <v>11695</v>
      </c>
      <c r="AR3" t="s">
        <v>11696</v>
      </c>
      <c r="AS3" t="s">
        <v>11429</v>
      </c>
      <c r="AT3" t="s">
        <v>11697</v>
      </c>
      <c r="AU3" t="s">
        <v>3406</v>
      </c>
      <c r="AV3" t="s">
        <v>11698</v>
      </c>
      <c r="AW3" t="s">
        <v>11427</v>
      </c>
      <c r="AX3" t="s">
        <v>11699</v>
      </c>
      <c r="AY3" t="s">
        <v>11700</v>
      </c>
      <c r="AZ3" t="s">
        <v>3406</v>
      </c>
      <c r="BA3" t="s">
        <v>11701</v>
      </c>
      <c r="BB3" t="s">
        <v>11702</v>
      </c>
      <c r="BC3" t="s">
        <v>11430</v>
      </c>
      <c r="BD3" t="s">
        <v>3406</v>
      </c>
      <c r="BE3" t="s">
        <v>11504</v>
      </c>
    </row>
    <row r="4" spans="1:57" ht="28.3">
      <c r="A4" s="2" t="s">
        <v>11630</v>
      </c>
      <c r="B4" s="2"/>
      <c r="C4" s="2" t="s">
        <v>56</v>
      </c>
      <c r="D4" s="2" t="s">
        <v>10963</v>
      </c>
      <c r="E4" s="2" t="s">
        <v>10963</v>
      </c>
      <c r="F4" s="2"/>
      <c r="G4" s="2" t="s">
        <v>11631</v>
      </c>
      <c r="H4" s="2" t="s">
        <v>11632</v>
      </c>
      <c r="I4" s="2" t="s">
        <v>11633</v>
      </c>
      <c r="K4" t="s">
        <v>11703</v>
      </c>
      <c r="L4" t="s">
        <v>546</v>
      </c>
      <c r="M4" t="s">
        <v>11704</v>
      </c>
      <c r="N4" t="s">
        <v>11432</v>
      </c>
      <c r="O4" t="s">
        <v>11705</v>
      </c>
      <c r="P4" t="s">
        <v>11706</v>
      </c>
      <c r="Q4" t="s">
        <v>11284</v>
      </c>
      <c r="R4" t="s">
        <v>11433</v>
      </c>
      <c r="S4" t="s">
        <v>546</v>
      </c>
      <c r="T4" t="s">
        <v>11707</v>
      </c>
      <c r="U4" t="s">
        <v>678</v>
      </c>
      <c r="V4" t="s">
        <v>11708</v>
      </c>
      <c r="W4" t="s">
        <v>11709</v>
      </c>
      <c r="X4" t="s">
        <v>546</v>
      </c>
      <c r="Y4" t="s">
        <v>11710</v>
      </c>
      <c r="Z4" t="s">
        <v>11711</v>
      </c>
      <c r="AA4" t="s">
        <v>546</v>
      </c>
      <c r="AB4" t="s">
        <v>3406</v>
      </c>
      <c r="AC4" t="s">
        <v>546</v>
      </c>
      <c r="AD4" t="s">
        <v>11712</v>
      </c>
      <c r="AE4" t="s">
        <v>546</v>
      </c>
      <c r="AF4" t="s">
        <v>11433</v>
      </c>
      <c r="AG4" t="s">
        <v>11713</v>
      </c>
      <c r="AH4" t="s">
        <v>11714</v>
      </c>
      <c r="AI4" t="s">
        <v>11715</v>
      </c>
      <c r="AJ4" t="s">
        <v>10968</v>
      </c>
      <c r="AK4" t="s">
        <v>10968</v>
      </c>
      <c r="AL4" t="s">
        <v>11716</v>
      </c>
      <c r="AM4" t="s">
        <v>3406</v>
      </c>
      <c r="AN4" t="s">
        <v>11717</v>
      </c>
      <c r="AO4" t="s">
        <v>48</v>
      </c>
      <c r="AP4" t="s">
        <v>11718</v>
      </c>
      <c r="AQ4" t="s">
        <v>11719</v>
      </c>
      <c r="AR4" t="s">
        <v>11720</v>
      </c>
      <c r="AS4" t="s">
        <v>3406</v>
      </c>
      <c r="AT4" t="s">
        <v>11721</v>
      </c>
      <c r="AU4" t="s">
        <v>546</v>
      </c>
      <c r="AV4" t="s">
        <v>11722</v>
      </c>
      <c r="AW4" t="s">
        <v>11431</v>
      </c>
      <c r="AX4" t="s">
        <v>11723</v>
      </c>
      <c r="AY4" t="s">
        <v>11724</v>
      </c>
      <c r="AZ4" t="s">
        <v>11304</v>
      </c>
      <c r="BA4" t="s">
        <v>11725</v>
      </c>
      <c r="BB4" t="s">
        <v>11726</v>
      </c>
      <c r="BC4" t="s">
        <v>11434</v>
      </c>
      <c r="BD4" t="s">
        <v>546</v>
      </c>
      <c r="BE4" t="s">
        <v>11502</v>
      </c>
    </row>
    <row r="5" spans="1:57" ht="28.3">
      <c r="A5" s="2" t="s">
        <v>11630</v>
      </c>
      <c r="B5" s="2"/>
      <c r="C5" s="2" t="s">
        <v>60</v>
      </c>
      <c r="D5" s="2" t="s">
        <v>10970</v>
      </c>
      <c r="E5" s="2" t="s">
        <v>10970</v>
      </c>
      <c r="F5" s="2"/>
      <c r="G5" s="2" t="s">
        <v>11631</v>
      </c>
      <c r="H5" s="2" t="s">
        <v>11632</v>
      </c>
      <c r="I5" s="2" t="s">
        <v>11633</v>
      </c>
      <c r="K5" t="s">
        <v>11727</v>
      </c>
      <c r="L5" t="s">
        <v>3404</v>
      </c>
      <c r="M5" t="s">
        <v>11728</v>
      </c>
      <c r="N5" t="s">
        <v>11436</v>
      </c>
      <c r="O5" t="s">
        <v>11729</v>
      </c>
      <c r="P5" t="s">
        <v>11730</v>
      </c>
      <c r="Q5" t="s">
        <v>11285</v>
      </c>
      <c r="R5" t="s">
        <v>11437</v>
      </c>
      <c r="S5" t="s">
        <v>3404</v>
      </c>
      <c r="T5" t="s">
        <v>11731</v>
      </c>
      <c r="U5" t="s">
        <v>679</v>
      </c>
      <c r="V5" t="s">
        <v>11732</v>
      </c>
      <c r="W5" t="s">
        <v>3405</v>
      </c>
      <c r="X5" t="s">
        <v>3404</v>
      </c>
      <c r="Y5" t="s">
        <v>11733</v>
      </c>
      <c r="Z5" t="s">
        <v>11734</v>
      </c>
      <c r="AA5" t="s">
        <v>3404</v>
      </c>
      <c r="AB5" t="s">
        <v>3405</v>
      </c>
      <c r="AC5" t="s">
        <v>3404</v>
      </c>
      <c r="AD5" t="s">
        <v>11735</v>
      </c>
      <c r="AE5" t="s">
        <v>3404</v>
      </c>
      <c r="AF5" t="s">
        <v>11437</v>
      </c>
      <c r="AG5" t="s">
        <v>11736</v>
      </c>
      <c r="AH5" t="s">
        <v>11737</v>
      </c>
      <c r="AI5" t="s">
        <v>11738</v>
      </c>
      <c r="AJ5" t="s">
        <v>10963</v>
      </c>
      <c r="AK5" t="s">
        <v>10969</v>
      </c>
      <c r="AL5" t="s">
        <v>11739</v>
      </c>
      <c r="AM5" t="s">
        <v>546</v>
      </c>
      <c r="AN5" t="s">
        <v>11740</v>
      </c>
      <c r="AO5" t="s">
        <v>52</v>
      </c>
      <c r="AP5" t="s">
        <v>11741</v>
      </c>
      <c r="AQ5" t="s">
        <v>11742</v>
      </c>
      <c r="AR5" t="s">
        <v>11743</v>
      </c>
      <c r="AS5" t="s">
        <v>546</v>
      </c>
      <c r="AT5" t="s">
        <v>11744</v>
      </c>
      <c r="AU5" t="s">
        <v>3404</v>
      </c>
      <c r="AV5" t="s">
        <v>11745</v>
      </c>
      <c r="AW5" t="s">
        <v>11435</v>
      </c>
      <c r="AX5" t="s">
        <v>11746</v>
      </c>
      <c r="AY5" t="s">
        <v>11747</v>
      </c>
      <c r="AZ5" t="s">
        <v>3404</v>
      </c>
      <c r="BA5" t="s">
        <v>11748</v>
      </c>
      <c r="BB5" t="s">
        <v>11749</v>
      </c>
      <c r="BC5" t="s">
        <v>11438</v>
      </c>
      <c r="BD5" t="s">
        <v>3404</v>
      </c>
      <c r="BE5" t="s">
        <v>11750</v>
      </c>
    </row>
    <row r="6" spans="1:57" ht="28.3">
      <c r="A6" s="2" t="s">
        <v>11630</v>
      </c>
      <c r="B6" s="2"/>
      <c r="C6" s="2" t="s">
        <v>64</v>
      </c>
      <c r="D6" s="2" t="s">
        <v>10971</v>
      </c>
      <c r="E6" s="2" t="s">
        <v>10971</v>
      </c>
      <c r="F6" s="2"/>
      <c r="G6" s="2" t="s">
        <v>11631</v>
      </c>
      <c r="H6" s="2" t="s">
        <v>11632</v>
      </c>
      <c r="I6" s="2" t="s">
        <v>11633</v>
      </c>
      <c r="K6" t="s">
        <v>11751</v>
      </c>
      <c r="M6" t="s">
        <v>11752</v>
      </c>
      <c r="N6" t="s">
        <v>11440</v>
      </c>
      <c r="O6" t="s">
        <v>11753</v>
      </c>
      <c r="P6" t="s">
        <v>11754</v>
      </c>
      <c r="Q6" t="s">
        <v>11286</v>
      </c>
      <c r="R6" t="s">
        <v>11441</v>
      </c>
      <c r="T6" t="s">
        <v>11755</v>
      </c>
      <c r="U6" t="s">
        <v>680</v>
      </c>
      <c r="V6" t="s">
        <v>11756</v>
      </c>
      <c r="W6" t="s">
        <v>11757</v>
      </c>
      <c r="X6" t="s">
        <v>3403</v>
      </c>
      <c r="Y6" t="s">
        <v>11758</v>
      </c>
      <c r="Z6" t="s">
        <v>11759</v>
      </c>
      <c r="AA6" t="s">
        <v>3403</v>
      </c>
      <c r="AB6" t="s">
        <v>3404</v>
      </c>
      <c r="AC6" t="s">
        <v>3403</v>
      </c>
      <c r="AD6" t="s">
        <v>11760</v>
      </c>
      <c r="AF6" t="s">
        <v>11441</v>
      </c>
      <c r="AG6" t="s">
        <v>11761</v>
      </c>
      <c r="AH6" t="s">
        <v>11762</v>
      </c>
      <c r="AI6" t="s">
        <v>11763</v>
      </c>
      <c r="AJ6" t="s">
        <v>10970</v>
      </c>
      <c r="AK6" t="s">
        <v>10970</v>
      </c>
      <c r="AL6" t="s">
        <v>11764</v>
      </c>
      <c r="AM6" t="s">
        <v>3404</v>
      </c>
      <c r="AN6" t="s">
        <v>11765</v>
      </c>
      <c r="AO6" t="s">
        <v>56</v>
      </c>
      <c r="AP6" t="s">
        <v>11766</v>
      </c>
      <c r="AQ6" t="s">
        <v>11767</v>
      </c>
      <c r="AR6" t="s">
        <v>11768</v>
      </c>
      <c r="AS6" t="s">
        <v>3404</v>
      </c>
      <c r="AT6" t="s">
        <v>11769</v>
      </c>
      <c r="AU6" t="s">
        <v>3403</v>
      </c>
      <c r="AV6" t="s">
        <v>11770</v>
      </c>
      <c r="AW6" t="s">
        <v>11439</v>
      </c>
      <c r="AX6" t="s">
        <v>11771</v>
      </c>
      <c r="AY6" t="s">
        <v>11772</v>
      </c>
      <c r="BA6" t="s">
        <v>11773</v>
      </c>
      <c r="BB6" t="s">
        <v>11774</v>
      </c>
      <c r="BC6" t="s">
        <v>11442</v>
      </c>
      <c r="BD6" t="s">
        <v>11444</v>
      </c>
      <c r="BE6" t="s">
        <v>10815</v>
      </c>
    </row>
    <row r="7" spans="1:57" ht="28.3">
      <c r="A7" s="2" t="s">
        <v>11630</v>
      </c>
      <c r="B7" s="2"/>
      <c r="C7" s="2" t="s">
        <v>68</v>
      </c>
      <c r="D7" s="2" t="s">
        <v>10972</v>
      </c>
      <c r="E7" s="2" t="s">
        <v>10972</v>
      </c>
      <c r="F7" s="2"/>
      <c r="G7" s="2" t="s">
        <v>11631</v>
      </c>
      <c r="H7" s="2" t="s">
        <v>11632</v>
      </c>
      <c r="I7" s="2" t="s">
        <v>11633</v>
      </c>
      <c r="K7" t="s">
        <v>11775</v>
      </c>
      <c r="M7" t="s">
        <v>11776</v>
      </c>
      <c r="N7" t="s">
        <v>11444</v>
      </c>
      <c r="O7" t="s">
        <v>11777</v>
      </c>
      <c r="P7" t="s">
        <v>11778</v>
      </c>
      <c r="Q7" t="s">
        <v>11287</v>
      </c>
      <c r="R7" t="s">
        <v>10815</v>
      </c>
      <c r="T7" t="s">
        <v>11779</v>
      </c>
      <c r="U7" t="s">
        <v>681</v>
      </c>
      <c r="V7" t="s">
        <v>11780</v>
      </c>
      <c r="W7" t="s">
        <v>11781</v>
      </c>
      <c r="Y7" t="s">
        <v>11782</v>
      </c>
      <c r="Z7" t="s">
        <v>11783</v>
      </c>
      <c r="AB7" t="s">
        <v>11444</v>
      </c>
      <c r="AD7" t="s">
        <v>11761</v>
      </c>
      <c r="AF7" t="s">
        <v>11444</v>
      </c>
      <c r="AG7" t="s">
        <v>10815</v>
      </c>
      <c r="AH7" t="s">
        <v>11784</v>
      </c>
      <c r="AI7" t="s">
        <v>11785</v>
      </c>
      <c r="AJ7" t="s">
        <v>10971</v>
      </c>
      <c r="AK7" t="s">
        <v>10971</v>
      </c>
      <c r="AL7" t="s">
        <v>11786</v>
      </c>
      <c r="AM7" t="s">
        <v>3403</v>
      </c>
      <c r="AN7" t="s">
        <v>11787</v>
      </c>
      <c r="AO7" t="s">
        <v>60</v>
      </c>
      <c r="AP7" t="s">
        <v>11788</v>
      </c>
      <c r="AQ7" t="s">
        <v>11789</v>
      </c>
      <c r="AR7" t="s">
        <v>11790</v>
      </c>
      <c r="AS7" t="s">
        <v>3403</v>
      </c>
      <c r="AT7" t="s">
        <v>11791</v>
      </c>
      <c r="AU7" t="s">
        <v>11444</v>
      </c>
      <c r="AV7" t="s">
        <v>11792</v>
      </c>
      <c r="AW7" t="s">
        <v>11443</v>
      </c>
      <c r="AX7" t="s">
        <v>11793</v>
      </c>
      <c r="AY7" t="s">
        <v>11794</v>
      </c>
      <c r="BA7" t="s">
        <v>11795</v>
      </c>
      <c r="BB7" t="s">
        <v>11796</v>
      </c>
      <c r="BC7" t="s">
        <v>11445</v>
      </c>
    </row>
    <row r="8" spans="1:57" ht="28.3">
      <c r="A8" s="2" t="s">
        <v>11630</v>
      </c>
      <c r="B8" s="2"/>
      <c r="C8" s="2" t="s">
        <v>3692</v>
      </c>
      <c r="D8" s="2" t="s">
        <v>10973</v>
      </c>
      <c r="E8" s="2" t="s">
        <v>10973</v>
      </c>
      <c r="F8" s="2"/>
      <c r="G8" s="2" t="s">
        <v>11631</v>
      </c>
      <c r="H8" s="2" t="s">
        <v>11632</v>
      </c>
      <c r="I8" s="2" t="s">
        <v>11633</v>
      </c>
      <c r="M8" t="s">
        <v>11797</v>
      </c>
      <c r="O8" t="s">
        <v>10815</v>
      </c>
      <c r="P8" t="s">
        <v>11798</v>
      </c>
      <c r="R8" t="s">
        <v>11444</v>
      </c>
      <c r="U8" t="s">
        <v>682</v>
      </c>
      <c r="V8" t="s">
        <v>11799</v>
      </c>
      <c r="W8" t="s">
        <v>10815</v>
      </c>
      <c r="Y8" t="s">
        <v>1165</v>
      </c>
      <c r="Z8" t="s">
        <v>11800</v>
      </c>
      <c r="AH8" t="s">
        <v>11801</v>
      </c>
      <c r="AI8" t="s">
        <v>11802</v>
      </c>
      <c r="AJ8" t="s">
        <v>10972</v>
      </c>
      <c r="AK8" t="s">
        <v>10972</v>
      </c>
      <c r="AL8" t="s">
        <v>11444</v>
      </c>
      <c r="AN8" t="s">
        <v>10815</v>
      </c>
      <c r="AO8" t="s">
        <v>64</v>
      </c>
      <c r="AP8" t="s">
        <v>11444</v>
      </c>
      <c r="AQ8" t="s">
        <v>11803</v>
      </c>
      <c r="AR8" t="s">
        <v>11804</v>
      </c>
      <c r="AT8" t="s">
        <v>11805</v>
      </c>
      <c r="AV8" t="s">
        <v>11444</v>
      </c>
      <c r="AX8" t="s">
        <v>11806</v>
      </c>
      <c r="AY8" t="s">
        <v>11807</v>
      </c>
      <c r="BA8" t="s">
        <v>11808</v>
      </c>
      <c r="BB8" t="s">
        <v>11809</v>
      </c>
      <c r="BC8" t="s">
        <v>10815</v>
      </c>
    </row>
    <row r="9" spans="1:57" ht="28.3">
      <c r="A9" s="2" t="s">
        <v>11630</v>
      </c>
      <c r="B9" s="2"/>
      <c r="C9" s="2" t="s">
        <v>3693</v>
      </c>
      <c r="D9" s="2" t="s">
        <v>10974</v>
      </c>
      <c r="E9" s="2" t="s">
        <v>10974</v>
      </c>
      <c r="F9" s="2"/>
      <c r="G9" s="2" t="s">
        <v>11631</v>
      </c>
      <c r="H9" s="2" t="s">
        <v>11632</v>
      </c>
      <c r="I9" s="2" t="s">
        <v>11633</v>
      </c>
      <c r="M9" t="s">
        <v>11807</v>
      </c>
      <c r="O9" t="s">
        <v>11810</v>
      </c>
      <c r="P9" t="s">
        <v>11811</v>
      </c>
      <c r="U9" t="s">
        <v>11812</v>
      </c>
      <c r="V9" t="s">
        <v>11813</v>
      </c>
      <c r="Y9" t="s">
        <v>11814</v>
      </c>
      <c r="Z9" t="s">
        <v>11815</v>
      </c>
      <c r="AH9" t="s">
        <v>11816</v>
      </c>
      <c r="AI9" t="s">
        <v>11726</v>
      </c>
      <c r="AJ9" t="s">
        <v>10973</v>
      </c>
      <c r="AK9" t="s">
        <v>10973</v>
      </c>
      <c r="AQ9" t="s">
        <v>11817</v>
      </c>
      <c r="AR9" t="s">
        <v>11818</v>
      </c>
      <c r="AT9" t="s">
        <v>11819</v>
      </c>
      <c r="AX9" t="s">
        <v>11820</v>
      </c>
      <c r="AY9" t="s">
        <v>11444</v>
      </c>
      <c r="BA9" t="s">
        <v>11821</v>
      </c>
      <c r="BB9" t="s">
        <v>11822</v>
      </c>
      <c r="BC9" t="s">
        <v>11444</v>
      </c>
    </row>
    <row r="10" spans="1:57" ht="28.3">
      <c r="A10" s="2" t="s">
        <v>11630</v>
      </c>
      <c r="B10" s="2"/>
      <c r="C10" s="2" t="s">
        <v>3694</v>
      </c>
      <c r="D10" s="2" t="s">
        <v>10975</v>
      </c>
      <c r="E10" s="2" t="s">
        <v>10975</v>
      </c>
      <c r="F10" s="2"/>
      <c r="G10" s="2" t="s">
        <v>11631</v>
      </c>
      <c r="H10" s="2" t="s">
        <v>11632</v>
      </c>
      <c r="I10" s="2" t="s">
        <v>11633</v>
      </c>
      <c r="M10" t="s">
        <v>11444</v>
      </c>
      <c r="O10" t="s">
        <v>11823</v>
      </c>
      <c r="P10" t="s">
        <v>11824</v>
      </c>
      <c r="U10" t="s">
        <v>684</v>
      </c>
      <c r="V10" t="s">
        <v>11825</v>
      </c>
      <c r="Y10" t="s">
        <v>11826</v>
      </c>
      <c r="Z10" t="s">
        <v>11827</v>
      </c>
      <c r="AH10" t="s">
        <v>11828</v>
      </c>
      <c r="AI10" t="s">
        <v>11829</v>
      </c>
      <c r="AJ10" t="s">
        <v>10974</v>
      </c>
      <c r="AK10" t="s">
        <v>10974</v>
      </c>
      <c r="AQ10" t="s">
        <v>11830</v>
      </c>
      <c r="AR10" t="s">
        <v>11775</v>
      </c>
      <c r="AT10" t="s">
        <v>11831</v>
      </c>
      <c r="AX10" t="s">
        <v>11832</v>
      </c>
      <c r="BA10" t="s">
        <v>11807</v>
      </c>
      <c r="BB10" t="s">
        <v>11833</v>
      </c>
    </row>
    <row r="11" spans="1:57">
      <c r="A11" s="2"/>
      <c r="B11" s="2"/>
      <c r="C11" s="2"/>
      <c r="D11" s="2"/>
      <c r="E11" s="2"/>
      <c r="F11" s="2"/>
      <c r="G11" s="2"/>
      <c r="H11" s="2"/>
      <c r="I11" s="2"/>
      <c r="O11" t="s">
        <v>11834</v>
      </c>
      <c r="P11" t="s">
        <v>11444</v>
      </c>
      <c r="U11" t="s">
        <v>685</v>
      </c>
      <c r="V11" t="s">
        <v>11835</v>
      </c>
      <c r="Y11" t="s">
        <v>11836</v>
      </c>
      <c r="Z11" t="s">
        <v>11797</v>
      </c>
      <c r="AH11" t="s">
        <v>11837</v>
      </c>
      <c r="AI11" t="s">
        <v>11838</v>
      </c>
      <c r="AJ11" t="s">
        <v>10975</v>
      </c>
      <c r="AK11" t="s">
        <v>10975</v>
      </c>
      <c r="AQ11" t="s">
        <v>11807</v>
      </c>
      <c r="AT11" t="s">
        <v>11839</v>
      </c>
      <c r="AX11" t="s">
        <v>11840</v>
      </c>
      <c r="BA11" t="s">
        <v>11444</v>
      </c>
      <c r="BB11" t="s">
        <v>11841</v>
      </c>
    </row>
    <row r="12" spans="1:57">
      <c r="A12" s="2"/>
      <c r="B12" s="2"/>
      <c r="C12" s="2"/>
      <c r="D12" s="2"/>
      <c r="E12" s="2"/>
      <c r="F12" s="2"/>
      <c r="G12" s="2"/>
      <c r="H12" s="2"/>
      <c r="I12" s="2"/>
      <c r="O12" t="s">
        <v>11842</v>
      </c>
      <c r="U12" t="s">
        <v>686</v>
      </c>
      <c r="V12" t="s">
        <v>11843</v>
      </c>
      <c r="Y12" t="s">
        <v>11844</v>
      </c>
      <c r="Z12" t="s">
        <v>11775</v>
      </c>
      <c r="AI12" t="s">
        <v>11795</v>
      </c>
      <c r="AQ12" t="s">
        <v>11444</v>
      </c>
      <c r="AT12" t="s">
        <v>11845</v>
      </c>
      <c r="AX12" t="s">
        <v>11807</v>
      </c>
      <c r="BB12" t="s">
        <v>11846</v>
      </c>
    </row>
    <row r="13" spans="1:57">
      <c r="A13" s="2"/>
      <c r="B13" s="2"/>
      <c r="C13" s="2"/>
      <c r="D13" s="2"/>
      <c r="E13" s="2"/>
      <c r="F13" s="2"/>
      <c r="G13" s="2"/>
      <c r="H13" s="2"/>
      <c r="I13" s="2"/>
      <c r="O13" t="s">
        <v>11847</v>
      </c>
      <c r="U13" t="s">
        <v>687</v>
      </c>
      <c r="V13" t="s">
        <v>11848</v>
      </c>
      <c r="Y13" t="s">
        <v>11849</v>
      </c>
      <c r="AI13" t="s">
        <v>10969</v>
      </c>
      <c r="AT13" t="s">
        <v>11850</v>
      </c>
      <c r="AX13" t="s">
        <v>11444</v>
      </c>
      <c r="BB13" t="s">
        <v>11851</v>
      </c>
    </row>
    <row r="14" spans="1:57">
      <c r="A14" s="2"/>
      <c r="B14" s="2"/>
      <c r="C14" s="2"/>
      <c r="D14" s="2"/>
      <c r="E14" s="2"/>
      <c r="F14" s="2"/>
      <c r="G14" s="2"/>
      <c r="H14" s="2"/>
      <c r="I14" s="2"/>
      <c r="U14" t="s">
        <v>688</v>
      </c>
      <c r="V14" t="s">
        <v>11852</v>
      </c>
      <c r="Y14" t="s">
        <v>11853</v>
      </c>
      <c r="AI14" t="s">
        <v>11854</v>
      </c>
      <c r="AT14" t="s">
        <v>11855</v>
      </c>
      <c r="BB14" t="s">
        <v>11856</v>
      </c>
    </row>
    <row r="15" spans="1:57">
      <c r="A15" s="2"/>
      <c r="B15" s="2"/>
      <c r="C15" s="2"/>
      <c r="D15" s="2"/>
      <c r="E15" s="2"/>
      <c r="F15" s="2"/>
      <c r="G15" s="2"/>
      <c r="H15" s="2"/>
      <c r="I15" s="2"/>
      <c r="U15" t="s">
        <v>11857</v>
      </c>
      <c r="V15" t="s">
        <v>11858</v>
      </c>
      <c r="BB15" t="s">
        <v>11859</v>
      </c>
    </row>
    <row r="16" spans="1:57">
      <c r="A16" s="2" t="s">
        <v>11666</v>
      </c>
      <c r="B16" s="2"/>
      <c r="C16" s="2" t="s">
        <v>48</v>
      </c>
      <c r="D16" s="2" t="s">
        <v>11696</v>
      </c>
      <c r="E16" s="2" t="s">
        <v>11696</v>
      </c>
      <c r="F16" s="2"/>
      <c r="G16" s="2" t="s">
        <v>11631</v>
      </c>
      <c r="H16" s="2" t="s">
        <v>11860</v>
      </c>
      <c r="I16" s="2" t="s">
        <v>11861</v>
      </c>
      <c r="U16" t="s">
        <v>689</v>
      </c>
      <c r="V16" t="s">
        <v>11862</v>
      </c>
      <c r="BB16" t="s">
        <v>11854</v>
      </c>
    </row>
    <row r="17" spans="1:54">
      <c r="A17" s="2" t="s">
        <v>11666</v>
      </c>
      <c r="B17" s="2"/>
      <c r="C17" s="2" t="s">
        <v>52</v>
      </c>
      <c r="D17" s="2" t="s">
        <v>11720</v>
      </c>
      <c r="E17" s="2" t="s">
        <v>11720</v>
      </c>
      <c r="F17" s="2"/>
      <c r="G17" s="2" t="s">
        <v>11631</v>
      </c>
      <c r="H17" s="2" t="s">
        <v>11860</v>
      </c>
      <c r="I17" s="2" t="s">
        <v>11861</v>
      </c>
      <c r="U17" t="s">
        <v>690</v>
      </c>
      <c r="V17" t="s">
        <v>11863</v>
      </c>
      <c r="BB17" t="s">
        <v>11864</v>
      </c>
    </row>
    <row r="18" spans="1:54">
      <c r="A18" s="2" t="s">
        <v>11666</v>
      </c>
      <c r="B18" s="2"/>
      <c r="C18" s="2" t="s">
        <v>56</v>
      </c>
      <c r="D18" s="2" t="s">
        <v>11743</v>
      </c>
      <c r="E18" s="2" t="s">
        <v>11743</v>
      </c>
      <c r="F18" s="2"/>
      <c r="G18" s="2" t="s">
        <v>11631</v>
      </c>
      <c r="H18" s="2" t="s">
        <v>11860</v>
      </c>
      <c r="I18" s="2" t="s">
        <v>11861</v>
      </c>
      <c r="U18" t="s">
        <v>691</v>
      </c>
      <c r="V18" t="s">
        <v>11865</v>
      </c>
      <c r="BB18" t="s">
        <v>11866</v>
      </c>
    </row>
    <row r="19" spans="1:54">
      <c r="A19" s="2" t="s">
        <v>11666</v>
      </c>
      <c r="B19" s="2"/>
      <c r="C19" s="2" t="s">
        <v>60</v>
      </c>
      <c r="D19" s="2" t="s">
        <v>11768</v>
      </c>
      <c r="E19" s="2" t="s">
        <v>11768</v>
      </c>
      <c r="F19" s="2"/>
      <c r="G19" s="2" t="s">
        <v>11631</v>
      </c>
      <c r="H19" s="2" t="s">
        <v>11860</v>
      </c>
      <c r="I19" s="2" t="s">
        <v>11861</v>
      </c>
      <c r="U19" t="s">
        <v>11867</v>
      </c>
      <c r="V19" t="s">
        <v>11868</v>
      </c>
      <c r="BB19" t="s">
        <v>11829</v>
      </c>
    </row>
    <row r="20" spans="1:54">
      <c r="A20" s="2" t="s">
        <v>11666</v>
      </c>
      <c r="B20" s="2"/>
      <c r="C20" s="2" t="s">
        <v>64</v>
      </c>
      <c r="D20" s="2" t="s">
        <v>11790</v>
      </c>
      <c r="E20" s="2" t="s">
        <v>11790</v>
      </c>
      <c r="F20" s="2"/>
      <c r="G20" s="2" t="s">
        <v>11631</v>
      </c>
      <c r="H20" s="2" t="s">
        <v>11860</v>
      </c>
      <c r="I20" s="2" t="s">
        <v>11861</v>
      </c>
      <c r="U20" t="s">
        <v>11869</v>
      </c>
      <c r="V20" t="s">
        <v>11775</v>
      </c>
      <c r="BB20" t="s">
        <v>11870</v>
      </c>
    </row>
    <row r="21" spans="1:54">
      <c r="A21" s="2" t="s">
        <v>11666</v>
      </c>
      <c r="B21" s="2"/>
      <c r="C21" s="2" t="s">
        <v>68</v>
      </c>
      <c r="D21" s="2" t="s">
        <v>11804</v>
      </c>
      <c r="E21" s="2" t="s">
        <v>11804</v>
      </c>
      <c r="F21" s="2"/>
      <c r="G21" s="2" t="s">
        <v>11631</v>
      </c>
      <c r="H21" s="2" t="s">
        <v>11860</v>
      </c>
      <c r="I21" s="2" t="s">
        <v>11861</v>
      </c>
      <c r="U21" t="s">
        <v>11826</v>
      </c>
      <c r="BB21" t="s">
        <v>11871</v>
      </c>
    </row>
    <row r="22" spans="1:54">
      <c r="A22" s="2" t="s">
        <v>11666</v>
      </c>
      <c r="B22" s="2"/>
      <c r="C22" s="2" t="s">
        <v>3692</v>
      </c>
      <c r="D22" s="2" t="s">
        <v>11818</v>
      </c>
      <c r="E22" s="2" t="s">
        <v>11818</v>
      </c>
      <c r="F22" s="2"/>
      <c r="G22" s="2" t="s">
        <v>11631</v>
      </c>
      <c r="H22" s="2" t="s">
        <v>11860</v>
      </c>
      <c r="I22" s="2" t="s">
        <v>11861</v>
      </c>
      <c r="U22" t="s">
        <v>11444</v>
      </c>
      <c r="BB22" t="s">
        <v>11872</v>
      </c>
    </row>
    <row r="23" spans="1:54">
      <c r="A23" s="2" t="s">
        <v>11666</v>
      </c>
      <c r="B23" s="2"/>
      <c r="C23" s="2" t="s">
        <v>3693</v>
      </c>
      <c r="D23" s="2" t="s">
        <v>11775</v>
      </c>
      <c r="E23" s="2" t="s">
        <v>11775</v>
      </c>
      <c r="F23" s="2"/>
      <c r="G23" s="2" t="s">
        <v>11631</v>
      </c>
      <c r="H23" s="2" t="s">
        <v>11860</v>
      </c>
      <c r="I23" s="2" t="s">
        <v>11861</v>
      </c>
    </row>
    <row r="24" spans="1:54">
      <c r="A24" s="2" t="s">
        <v>11669</v>
      </c>
      <c r="B24" s="2"/>
      <c r="C24" s="2" t="s">
        <v>48</v>
      </c>
      <c r="D24" s="2" t="s">
        <v>3406</v>
      </c>
      <c r="E24" s="2" t="s">
        <v>3406</v>
      </c>
      <c r="F24" s="2"/>
      <c r="G24" s="2" t="s">
        <v>11631</v>
      </c>
      <c r="H24" s="2" t="s">
        <v>11873</v>
      </c>
      <c r="I24" s="2" t="s">
        <v>11861</v>
      </c>
    </row>
    <row r="25" spans="1:54">
      <c r="A25" s="2" t="s">
        <v>11669</v>
      </c>
      <c r="B25" s="2"/>
      <c r="C25" s="2" t="s">
        <v>52</v>
      </c>
      <c r="D25" s="2" t="s">
        <v>546</v>
      </c>
      <c r="E25" s="2" t="s">
        <v>546</v>
      </c>
      <c r="F25" s="2"/>
      <c r="G25" s="2" t="s">
        <v>11631</v>
      </c>
      <c r="H25" s="2" t="s">
        <v>11873</v>
      </c>
      <c r="I25" s="2" t="s">
        <v>11861</v>
      </c>
    </row>
    <row r="26" spans="1:54">
      <c r="A26" s="2" t="s">
        <v>11669</v>
      </c>
      <c r="B26" s="2"/>
      <c r="C26" s="2" t="s">
        <v>56</v>
      </c>
      <c r="D26" s="2" t="s">
        <v>3404</v>
      </c>
      <c r="E26" s="2" t="s">
        <v>3404</v>
      </c>
      <c r="F26" s="2"/>
      <c r="G26" s="2" t="s">
        <v>11631</v>
      </c>
      <c r="H26" s="2" t="s">
        <v>11873</v>
      </c>
      <c r="I26" s="2" t="s">
        <v>11861</v>
      </c>
    </row>
    <row r="27" spans="1:54">
      <c r="A27" s="2" t="s">
        <v>11669</v>
      </c>
      <c r="B27" s="2"/>
      <c r="C27" s="2" t="s">
        <v>60</v>
      </c>
      <c r="D27" s="2" t="s">
        <v>3403</v>
      </c>
      <c r="E27" s="2" t="s">
        <v>3403</v>
      </c>
      <c r="F27" s="2"/>
      <c r="G27" s="2" t="s">
        <v>11631</v>
      </c>
      <c r="H27" s="2" t="s">
        <v>11873</v>
      </c>
      <c r="I27" s="2" t="s">
        <v>11861</v>
      </c>
    </row>
    <row r="28" spans="1:54">
      <c r="A28" s="2" t="s">
        <v>11663</v>
      </c>
      <c r="B28" s="2"/>
      <c r="C28" s="2" t="s">
        <v>48</v>
      </c>
      <c r="D28" s="2" t="s">
        <v>11694</v>
      </c>
      <c r="E28" s="2" t="s">
        <v>11694</v>
      </c>
      <c r="F28" s="2" t="s">
        <v>11694</v>
      </c>
      <c r="G28" s="2" t="s">
        <v>11631</v>
      </c>
      <c r="H28" s="2" t="s">
        <v>11874</v>
      </c>
      <c r="I28" s="2" t="s">
        <v>11861</v>
      </c>
    </row>
    <row r="29" spans="1:54">
      <c r="A29" s="2" t="s">
        <v>11663</v>
      </c>
      <c r="B29" s="2"/>
      <c r="C29" s="2" t="s">
        <v>52</v>
      </c>
      <c r="D29" s="2" t="s">
        <v>48</v>
      </c>
      <c r="E29" s="2" t="s">
        <v>48</v>
      </c>
      <c r="F29" s="2" t="s">
        <v>48</v>
      </c>
      <c r="G29" s="2" t="s">
        <v>11631</v>
      </c>
      <c r="H29" s="2" t="s">
        <v>11874</v>
      </c>
      <c r="I29" s="2" t="s">
        <v>11861</v>
      </c>
    </row>
    <row r="30" spans="1:54">
      <c r="A30" s="2" t="s">
        <v>11663</v>
      </c>
      <c r="B30" s="2"/>
      <c r="C30" s="2" t="s">
        <v>56</v>
      </c>
      <c r="D30" s="2" t="s">
        <v>52</v>
      </c>
      <c r="E30" s="2" t="s">
        <v>52</v>
      </c>
      <c r="F30" s="2" t="s">
        <v>52</v>
      </c>
      <c r="G30" s="2" t="s">
        <v>11631</v>
      </c>
      <c r="H30" s="2" t="s">
        <v>11874</v>
      </c>
      <c r="I30" s="2" t="s">
        <v>11861</v>
      </c>
    </row>
    <row r="31" spans="1:54">
      <c r="A31" s="2" t="s">
        <v>11663</v>
      </c>
      <c r="B31" s="2"/>
      <c r="C31" s="2" t="s">
        <v>60</v>
      </c>
      <c r="D31" s="2" t="s">
        <v>56</v>
      </c>
      <c r="E31" s="2" t="s">
        <v>56</v>
      </c>
      <c r="F31" s="2" t="s">
        <v>56</v>
      </c>
      <c r="G31" s="2" t="s">
        <v>11631</v>
      </c>
      <c r="H31" s="2" t="s">
        <v>11874</v>
      </c>
      <c r="I31" s="2" t="s">
        <v>11861</v>
      </c>
    </row>
    <row r="32" spans="1:54">
      <c r="A32" s="2" t="s">
        <v>11663</v>
      </c>
      <c r="B32" s="2"/>
      <c r="C32" s="2" t="s">
        <v>64</v>
      </c>
      <c r="D32" s="2" t="s">
        <v>60</v>
      </c>
      <c r="E32" s="2" t="s">
        <v>60</v>
      </c>
      <c r="F32" s="2" t="s">
        <v>60</v>
      </c>
      <c r="G32" s="2" t="s">
        <v>11631</v>
      </c>
      <c r="H32" s="2" t="s">
        <v>11874</v>
      </c>
      <c r="I32" s="2" t="s">
        <v>11861</v>
      </c>
    </row>
    <row r="33" spans="1:9">
      <c r="A33" s="2" t="s">
        <v>11663</v>
      </c>
      <c r="B33" s="2"/>
      <c r="C33" s="2" t="s">
        <v>68</v>
      </c>
      <c r="D33" s="2" t="s">
        <v>64</v>
      </c>
      <c r="E33" s="2" t="s">
        <v>64</v>
      </c>
      <c r="F33" s="2" t="s">
        <v>64</v>
      </c>
      <c r="G33" s="2" t="s">
        <v>11631</v>
      </c>
      <c r="H33" s="2" t="s">
        <v>11874</v>
      </c>
      <c r="I33" s="2" t="s">
        <v>11861</v>
      </c>
    </row>
    <row r="34" spans="1:9">
      <c r="A34" s="2" t="s">
        <v>11634</v>
      </c>
      <c r="B34" s="2"/>
      <c r="C34" s="2" t="s">
        <v>48</v>
      </c>
      <c r="D34" s="2" t="s">
        <v>11680</v>
      </c>
      <c r="E34" s="2" t="s">
        <v>11680</v>
      </c>
      <c r="F34" s="2"/>
      <c r="G34" s="2" t="s">
        <v>11631</v>
      </c>
      <c r="H34" s="2" t="s">
        <v>11875</v>
      </c>
      <c r="I34" s="2" t="s">
        <v>11861</v>
      </c>
    </row>
    <row r="35" spans="1:9">
      <c r="A35" s="2" t="s">
        <v>11634</v>
      </c>
      <c r="B35" s="2"/>
      <c r="C35" s="2" t="s">
        <v>52</v>
      </c>
      <c r="D35" s="2" t="s">
        <v>11703</v>
      </c>
      <c r="E35" s="2" t="s">
        <v>11703</v>
      </c>
      <c r="F35" s="2"/>
      <c r="G35" s="2" t="s">
        <v>11631</v>
      </c>
      <c r="H35" s="2" t="s">
        <v>11875</v>
      </c>
      <c r="I35" s="2" t="s">
        <v>11861</v>
      </c>
    </row>
    <row r="36" spans="1:9">
      <c r="A36" s="2" t="s">
        <v>11634</v>
      </c>
      <c r="B36" s="2"/>
      <c r="C36" s="2" t="s">
        <v>56</v>
      </c>
      <c r="D36" s="2" t="s">
        <v>11727</v>
      </c>
      <c r="E36" s="2" t="s">
        <v>11727</v>
      </c>
      <c r="F36" s="2"/>
      <c r="G36" s="2" t="s">
        <v>11631</v>
      </c>
      <c r="H36" s="2" t="s">
        <v>11875</v>
      </c>
      <c r="I36" s="2" t="s">
        <v>11861</v>
      </c>
    </row>
    <row r="37" spans="1:9">
      <c r="A37" s="2" t="s">
        <v>11634</v>
      </c>
      <c r="B37" s="2"/>
      <c r="C37" s="2" t="s">
        <v>60</v>
      </c>
      <c r="D37" s="2" t="s">
        <v>11751</v>
      </c>
      <c r="E37" s="2" t="s">
        <v>11751</v>
      </c>
      <c r="F37" s="2"/>
      <c r="G37" s="2" t="s">
        <v>11631</v>
      </c>
      <c r="H37" s="2" t="s">
        <v>11875</v>
      </c>
      <c r="I37" s="2" t="s">
        <v>11861</v>
      </c>
    </row>
    <row r="38" spans="1:9">
      <c r="A38" s="2" t="s">
        <v>11634</v>
      </c>
      <c r="B38" s="2"/>
      <c r="C38" s="2" t="s">
        <v>64</v>
      </c>
      <c r="D38" s="2" t="s">
        <v>11775</v>
      </c>
      <c r="E38" s="2" t="s">
        <v>11775</v>
      </c>
      <c r="F38" s="2"/>
      <c r="G38" s="2" t="s">
        <v>11631</v>
      </c>
      <c r="H38" s="2" t="s">
        <v>11875</v>
      </c>
      <c r="I38" s="2" t="s">
        <v>11861</v>
      </c>
    </row>
    <row r="39" spans="1:9">
      <c r="A39" s="2" t="s">
        <v>11674</v>
      </c>
      <c r="B39" s="2"/>
      <c r="C39" s="2" t="s">
        <v>48</v>
      </c>
      <c r="D39" s="2" t="s">
        <v>3406</v>
      </c>
      <c r="E39" s="2" t="s">
        <v>3406</v>
      </c>
      <c r="F39" s="2"/>
      <c r="G39" s="2" t="s">
        <v>11631</v>
      </c>
      <c r="H39" s="2" t="s">
        <v>11876</v>
      </c>
      <c r="I39" s="2" t="s">
        <v>11861</v>
      </c>
    </row>
    <row r="40" spans="1:9">
      <c r="A40" s="2" t="s">
        <v>11674</v>
      </c>
      <c r="B40" s="2"/>
      <c r="C40" s="2" t="s">
        <v>52</v>
      </c>
      <c r="D40" s="2" t="s">
        <v>11304</v>
      </c>
      <c r="E40" s="2" t="s">
        <v>11304</v>
      </c>
      <c r="F40" s="2"/>
      <c r="G40" s="2" t="s">
        <v>11631</v>
      </c>
      <c r="H40" s="2" t="s">
        <v>11876</v>
      </c>
      <c r="I40" s="2" t="s">
        <v>11861</v>
      </c>
    </row>
    <row r="41" spans="1:9">
      <c r="A41" s="2" t="s">
        <v>11674</v>
      </c>
      <c r="B41" s="2"/>
      <c r="C41" s="2" t="s">
        <v>56</v>
      </c>
      <c r="D41" s="2" t="s">
        <v>3404</v>
      </c>
      <c r="E41" s="2" t="s">
        <v>3404</v>
      </c>
      <c r="F41" s="2"/>
      <c r="G41" s="2" t="s">
        <v>11631</v>
      </c>
      <c r="H41" s="2" t="s">
        <v>11876</v>
      </c>
      <c r="I41" s="2" t="s">
        <v>11861</v>
      </c>
    </row>
    <row r="42" spans="1:9" ht="28.3" customHeight="1">
      <c r="A42" s="2" t="s">
        <v>11659</v>
      </c>
      <c r="B42" s="2"/>
      <c r="C42" s="2" t="s">
        <v>48</v>
      </c>
      <c r="D42" s="2" t="s">
        <v>10963</v>
      </c>
      <c r="E42" s="2" t="s">
        <v>10963</v>
      </c>
      <c r="F42" s="2"/>
      <c r="G42" s="2" t="s">
        <v>11631</v>
      </c>
      <c r="H42" s="2" t="s">
        <v>11877</v>
      </c>
      <c r="I42" s="2" t="s">
        <v>11861</v>
      </c>
    </row>
    <row r="43" spans="1:9" ht="28.3" customHeight="1">
      <c r="A43" s="2" t="s">
        <v>11659</v>
      </c>
      <c r="B43" s="2"/>
      <c r="C43" s="2" t="s">
        <v>52</v>
      </c>
      <c r="D43" s="2" t="s">
        <v>10968</v>
      </c>
      <c r="E43" s="2" t="s">
        <v>10968</v>
      </c>
      <c r="F43" s="2"/>
      <c r="G43" s="2" t="s">
        <v>11631</v>
      </c>
      <c r="H43" s="2" t="s">
        <v>11877</v>
      </c>
      <c r="I43" s="2" t="s">
        <v>11861</v>
      </c>
    </row>
    <row r="44" spans="1:9" ht="28.3" customHeight="1">
      <c r="A44" s="2" t="s">
        <v>11659</v>
      </c>
      <c r="B44" s="2"/>
      <c r="C44" s="2" t="s">
        <v>56</v>
      </c>
      <c r="D44" s="2" t="s">
        <v>10969</v>
      </c>
      <c r="E44" s="2" t="s">
        <v>10969</v>
      </c>
      <c r="F44" s="2"/>
      <c r="G44" s="2" t="s">
        <v>11631</v>
      </c>
      <c r="H44" s="2" t="s">
        <v>11877</v>
      </c>
      <c r="I44" s="2" t="s">
        <v>11861</v>
      </c>
    </row>
    <row r="45" spans="1:9" ht="28.3" customHeight="1">
      <c r="A45" s="2" t="s">
        <v>11659</v>
      </c>
      <c r="B45" s="2"/>
      <c r="C45" s="2" t="s">
        <v>60</v>
      </c>
      <c r="D45" s="2" t="s">
        <v>10970</v>
      </c>
      <c r="E45" s="2" t="s">
        <v>10970</v>
      </c>
      <c r="F45" s="2"/>
      <c r="G45" s="2" t="s">
        <v>11631</v>
      </c>
      <c r="H45" s="2" t="s">
        <v>11877</v>
      </c>
      <c r="I45" s="2" t="s">
        <v>11861</v>
      </c>
    </row>
    <row r="46" spans="1:9" ht="28.3" customHeight="1">
      <c r="A46" s="2" t="s">
        <v>11659</v>
      </c>
      <c r="B46" s="2"/>
      <c r="C46" s="2" t="s">
        <v>64</v>
      </c>
      <c r="D46" s="2" t="s">
        <v>10971</v>
      </c>
      <c r="E46" s="2" t="s">
        <v>10971</v>
      </c>
      <c r="F46" s="2"/>
      <c r="G46" s="2" t="s">
        <v>11631</v>
      </c>
      <c r="H46" s="2" t="s">
        <v>11877</v>
      </c>
      <c r="I46" s="2" t="s">
        <v>11861</v>
      </c>
    </row>
    <row r="47" spans="1:9" ht="28.3" customHeight="1">
      <c r="A47" s="2" t="s">
        <v>11659</v>
      </c>
      <c r="B47" s="2"/>
      <c r="C47" s="2" t="s">
        <v>68</v>
      </c>
      <c r="D47" s="2" t="s">
        <v>10972</v>
      </c>
      <c r="E47" s="2" t="s">
        <v>10972</v>
      </c>
      <c r="F47" s="2"/>
      <c r="G47" s="2" t="s">
        <v>11631</v>
      </c>
      <c r="H47" s="2" t="s">
        <v>11877</v>
      </c>
      <c r="I47" s="2" t="s">
        <v>11861</v>
      </c>
    </row>
    <row r="48" spans="1:9" ht="28.3" customHeight="1">
      <c r="A48" s="2" t="s">
        <v>11659</v>
      </c>
      <c r="B48" s="2"/>
      <c r="C48" s="2" t="s">
        <v>3692</v>
      </c>
      <c r="D48" s="2" t="s">
        <v>10973</v>
      </c>
      <c r="E48" s="2" t="s">
        <v>10973</v>
      </c>
      <c r="F48" s="2"/>
      <c r="G48" s="2" t="s">
        <v>11631</v>
      </c>
      <c r="H48" s="2" t="s">
        <v>11877</v>
      </c>
      <c r="I48" s="2" t="s">
        <v>11861</v>
      </c>
    </row>
    <row r="49" spans="1:9" ht="28.3" customHeight="1">
      <c r="A49" s="2" t="s">
        <v>11659</v>
      </c>
      <c r="B49" s="2"/>
      <c r="C49" s="2" t="s">
        <v>3693</v>
      </c>
      <c r="D49" s="2" t="s">
        <v>10974</v>
      </c>
      <c r="E49" s="2" t="s">
        <v>10974</v>
      </c>
      <c r="F49" s="2"/>
      <c r="G49" s="2" t="s">
        <v>11631</v>
      </c>
      <c r="H49" s="2" t="s">
        <v>11877</v>
      </c>
      <c r="I49" s="2" t="s">
        <v>11861</v>
      </c>
    </row>
    <row r="50" spans="1:9" ht="28.3" customHeight="1">
      <c r="A50" s="2" t="s">
        <v>11659</v>
      </c>
      <c r="B50" s="2"/>
      <c r="C50" s="2" t="s">
        <v>3694</v>
      </c>
      <c r="D50" s="2" t="s">
        <v>10975</v>
      </c>
      <c r="E50" s="2" t="s">
        <v>10975</v>
      </c>
      <c r="F50" s="2"/>
      <c r="G50" s="2" t="s">
        <v>11631</v>
      </c>
      <c r="H50" s="2" t="s">
        <v>11877</v>
      </c>
      <c r="I50" s="2" t="s">
        <v>11861</v>
      </c>
    </row>
    <row r="51" spans="1:9" ht="28.3" customHeight="1">
      <c r="A51" s="2" t="s">
        <v>11678</v>
      </c>
      <c r="B51" s="2"/>
      <c r="C51" s="2" t="s">
        <v>48</v>
      </c>
      <c r="D51" s="2" t="s">
        <v>3406</v>
      </c>
      <c r="E51" s="2" t="s">
        <v>3406</v>
      </c>
      <c r="F51" s="2"/>
      <c r="G51" s="2" t="s">
        <v>11631</v>
      </c>
      <c r="H51" s="2" t="s">
        <v>11878</v>
      </c>
      <c r="I51" s="2" t="s">
        <v>11861</v>
      </c>
    </row>
    <row r="52" spans="1:9" ht="28.3" customHeight="1">
      <c r="A52" s="2" t="s">
        <v>11678</v>
      </c>
      <c r="B52" s="2"/>
      <c r="C52" s="2" t="s">
        <v>52</v>
      </c>
      <c r="D52" s="2" t="s">
        <v>546</v>
      </c>
      <c r="E52" s="2" t="s">
        <v>546</v>
      </c>
      <c r="F52" s="2"/>
      <c r="G52" s="2" t="s">
        <v>11631</v>
      </c>
      <c r="H52" s="2" t="s">
        <v>11878</v>
      </c>
      <c r="I52" s="2" t="s">
        <v>11861</v>
      </c>
    </row>
    <row r="53" spans="1:9" ht="28.3" customHeight="1">
      <c r="A53" s="2" t="s">
        <v>11678</v>
      </c>
      <c r="B53" s="2"/>
      <c r="C53" s="2" t="s">
        <v>56</v>
      </c>
      <c r="D53" s="2" t="s">
        <v>3404</v>
      </c>
      <c r="E53" s="2" t="s">
        <v>3404</v>
      </c>
      <c r="F53" s="2"/>
      <c r="G53" s="2" t="s">
        <v>11631</v>
      </c>
      <c r="H53" s="2" t="s">
        <v>11878</v>
      </c>
      <c r="I53" s="2" t="s">
        <v>11861</v>
      </c>
    </row>
    <row r="54" spans="1:9">
      <c r="A54" s="2" t="s">
        <v>11640</v>
      </c>
      <c r="B54" s="2"/>
      <c r="C54" s="2" t="s">
        <v>48</v>
      </c>
      <c r="D54" s="2" t="s">
        <v>11282</v>
      </c>
      <c r="E54" s="2" t="s">
        <v>11282</v>
      </c>
      <c r="F54" s="2"/>
      <c r="G54" s="2" t="s">
        <v>11631</v>
      </c>
      <c r="H54" s="2" t="s">
        <v>11879</v>
      </c>
      <c r="I54" s="2" t="s">
        <v>11861</v>
      </c>
    </row>
    <row r="55" spans="1:9">
      <c r="A55" s="2" t="s">
        <v>11640</v>
      </c>
      <c r="B55" s="2"/>
      <c r="C55" s="2" t="s">
        <v>52</v>
      </c>
      <c r="D55" s="2" t="s">
        <v>11284</v>
      </c>
      <c r="E55" s="2" t="s">
        <v>11284</v>
      </c>
      <c r="F55" s="2"/>
      <c r="G55" s="2" t="s">
        <v>11631</v>
      </c>
      <c r="H55" s="2" t="s">
        <v>11879</v>
      </c>
      <c r="I55" s="2" t="s">
        <v>11861</v>
      </c>
    </row>
    <row r="56" spans="1:9">
      <c r="A56" s="2" t="s">
        <v>11640</v>
      </c>
      <c r="B56" s="2"/>
      <c r="C56" s="2" t="s">
        <v>56</v>
      </c>
      <c r="D56" s="2" t="s">
        <v>11285</v>
      </c>
      <c r="E56" s="2" t="s">
        <v>11285</v>
      </c>
      <c r="F56" s="2"/>
      <c r="G56" s="2" t="s">
        <v>11631</v>
      </c>
      <c r="H56" s="2" t="s">
        <v>11879</v>
      </c>
      <c r="I56" s="2" t="s">
        <v>11861</v>
      </c>
    </row>
    <row r="57" spans="1:9">
      <c r="A57" s="2" t="s">
        <v>11640</v>
      </c>
      <c r="B57" s="2"/>
      <c r="C57" s="2" t="s">
        <v>60</v>
      </c>
      <c r="D57" s="2" t="s">
        <v>11286</v>
      </c>
      <c r="E57" s="2" t="s">
        <v>11286</v>
      </c>
      <c r="F57" s="2"/>
      <c r="G57" s="2" t="s">
        <v>11631</v>
      </c>
      <c r="H57" s="2" t="s">
        <v>11879</v>
      </c>
      <c r="I57" s="2" t="s">
        <v>11861</v>
      </c>
    </row>
    <row r="58" spans="1:9">
      <c r="A58" s="2" t="s">
        <v>11640</v>
      </c>
      <c r="B58" s="2"/>
      <c r="C58" s="2" t="s">
        <v>64</v>
      </c>
      <c r="D58" s="2" t="s">
        <v>11287</v>
      </c>
      <c r="E58" s="2" t="s">
        <v>11287</v>
      </c>
      <c r="F58" s="2"/>
      <c r="G58" s="2" t="s">
        <v>11631</v>
      </c>
      <c r="H58" s="2" t="s">
        <v>11879</v>
      </c>
      <c r="I58" s="2" t="s">
        <v>11861</v>
      </c>
    </row>
    <row r="59" spans="1:9">
      <c r="A59" s="2" t="s">
        <v>11671</v>
      </c>
      <c r="B59" s="2"/>
      <c r="C59" s="2" t="s">
        <v>48</v>
      </c>
      <c r="D59" s="2" t="s">
        <v>11427</v>
      </c>
      <c r="E59" s="2" t="s">
        <v>11427</v>
      </c>
      <c r="F59" s="2"/>
      <c r="G59" s="2" t="s">
        <v>11631</v>
      </c>
      <c r="H59" s="2" t="s">
        <v>11880</v>
      </c>
      <c r="I59" s="2" t="s">
        <v>11861</v>
      </c>
    </row>
    <row r="60" spans="1:9">
      <c r="A60" s="2" t="s">
        <v>11671</v>
      </c>
      <c r="B60" s="2"/>
      <c r="C60" s="2" t="s">
        <v>52</v>
      </c>
      <c r="D60" s="2" t="s">
        <v>11431</v>
      </c>
      <c r="E60" s="2" t="s">
        <v>11431</v>
      </c>
      <c r="F60" s="2"/>
      <c r="G60" s="2" t="s">
        <v>11631</v>
      </c>
      <c r="H60" s="2" t="s">
        <v>11880</v>
      </c>
      <c r="I60" s="2" t="s">
        <v>11861</v>
      </c>
    </row>
    <row r="61" spans="1:9">
      <c r="A61" s="2" t="s">
        <v>11671</v>
      </c>
      <c r="B61" s="2"/>
      <c r="C61" s="2" t="s">
        <v>56</v>
      </c>
      <c r="D61" s="2" t="s">
        <v>11435</v>
      </c>
      <c r="E61" s="2" t="s">
        <v>11435</v>
      </c>
      <c r="F61" s="2"/>
      <c r="G61" s="2" t="s">
        <v>11631</v>
      </c>
      <c r="H61" s="2" t="s">
        <v>11880</v>
      </c>
      <c r="I61" s="2" t="s">
        <v>11861</v>
      </c>
    </row>
    <row r="62" spans="1:9">
      <c r="A62" s="2" t="s">
        <v>11671</v>
      </c>
      <c r="B62" s="2"/>
      <c r="C62" s="2" t="s">
        <v>60</v>
      </c>
      <c r="D62" s="2" t="s">
        <v>11439</v>
      </c>
      <c r="E62" s="2" t="s">
        <v>11439</v>
      </c>
      <c r="F62" s="2"/>
      <c r="G62" s="2" t="s">
        <v>11631</v>
      </c>
      <c r="H62" s="2" t="s">
        <v>11880</v>
      </c>
      <c r="I62" s="2" t="s">
        <v>11861</v>
      </c>
    </row>
    <row r="63" spans="1:9">
      <c r="A63" s="2" t="s">
        <v>11671</v>
      </c>
      <c r="B63" s="2"/>
      <c r="C63" s="2" t="s">
        <v>64</v>
      </c>
      <c r="D63" s="2" t="s">
        <v>11443</v>
      </c>
      <c r="E63" s="2" t="s">
        <v>11443</v>
      </c>
      <c r="F63" s="2"/>
      <c r="G63" s="2" t="s">
        <v>11631</v>
      </c>
      <c r="H63" s="2" t="s">
        <v>11880</v>
      </c>
      <c r="I63" s="2" t="s">
        <v>11861</v>
      </c>
    </row>
    <row r="64" spans="1:9">
      <c r="A64" s="2" t="s">
        <v>11637</v>
      </c>
      <c r="B64" s="2"/>
      <c r="C64" s="2" t="s">
        <v>48</v>
      </c>
      <c r="D64" s="2" t="s">
        <v>11428</v>
      </c>
      <c r="E64" s="2" t="s">
        <v>11428</v>
      </c>
      <c r="F64" s="2"/>
      <c r="G64" s="2" t="s">
        <v>11631</v>
      </c>
      <c r="H64" s="2" t="s">
        <v>11881</v>
      </c>
      <c r="I64" s="2" t="s">
        <v>11861</v>
      </c>
    </row>
    <row r="65" spans="1:9">
      <c r="A65" s="2" t="s">
        <v>11637</v>
      </c>
      <c r="B65" s="2"/>
      <c r="C65" s="2" t="s">
        <v>52</v>
      </c>
      <c r="D65" s="2" t="s">
        <v>11432</v>
      </c>
      <c r="E65" s="2" t="s">
        <v>11432</v>
      </c>
      <c r="F65" s="2"/>
      <c r="G65" s="2" t="s">
        <v>11631</v>
      </c>
      <c r="H65" s="2" t="s">
        <v>11881</v>
      </c>
      <c r="I65" s="2" t="s">
        <v>11861</v>
      </c>
    </row>
    <row r="66" spans="1:9">
      <c r="A66" s="2" t="s">
        <v>11637</v>
      </c>
      <c r="B66" s="2"/>
      <c r="C66" s="2" t="s">
        <v>56</v>
      </c>
      <c r="D66" s="2" t="s">
        <v>11436</v>
      </c>
      <c r="E66" s="2" t="s">
        <v>11436</v>
      </c>
      <c r="F66" s="2"/>
      <c r="G66" s="2" t="s">
        <v>11631</v>
      </c>
      <c r="H66" s="2" t="s">
        <v>11881</v>
      </c>
      <c r="I66" s="2" t="s">
        <v>11861</v>
      </c>
    </row>
    <row r="67" spans="1:9">
      <c r="A67" s="2" t="s">
        <v>11637</v>
      </c>
      <c r="B67" s="2"/>
      <c r="C67" s="2" t="s">
        <v>60</v>
      </c>
      <c r="D67" s="2" t="s">
        <v>11440</v>
      </c>
      <c r="E67" s="2" t="s">
        <v>11440</v>
      </c>
      <c r="F67" s="2"/>
      <c r="G67" s="2" t="s">
        <v>11631</v>
      </c>
      <c r="H67" s="2" t="s">
        <v>11881</v>
      </c>
      <c r="I67" s="2" t="s">
        <v>11861</v>
      </c>
    </row>
    <row r="68" spans="1:9">
      <c r="A68" s="2" t="s">
        <v>11651</v>
      </c>
      <c r="B68" s="2"/>
      <c r="C68" s="2" t="s">
        <v>48</v>
      </c>
      <c r="D68" s="2" t="s">
        <v>11429</v>
      </c>
      <c r="E68" s="2" t="s">
        <v>11429</v>
      </c>
      <c r="F68" s="2"/>
      <c r="G68" s="2" t="s">
        <v>11631</v>
      </c>
      <c r="H68" s="2" t="s">
        <v>11882</v>
      </c>
      <c r="I68" s="2" t="s">
        <v>11861</v>
      </c>
    </row>
    <row r="69" spans="1:9">
      <c r="A69" s="2" t="s">
        <v>11651</v>
      </c>
      <c r="B69" s="2"/>
      <c r="C69" s="2" t="s">
        <v>52</v>
      </c>
      <c r="D69" s="2" t="s">
        <v>3406</v>
      </c>
      <c r="E69" s="2" t="s">
        <v>3406</v>
      </c>
      <c r="F69" s="2"/>
      <c r="G69" s="2" t="s">
        <v>11631</v>
      </c>
      <c r="H69" s="2" t="s">
        <v>11882</v>
      </c>
      <c r="I69" s="2" t="s">
        <v>11861</v>
      </c>
    </row>
    <row r="70" spans="1:9">
      <c r="A70" s="2" t="s">
        <v>11651</v>
      </c>
      <c r="B70" s="2"/>
      <c r="C70" s="2" t="s">
        <v>56</v>
      </c>
      <c r="D70" s="2" t="s">
        <v>3405</v>
      </c>
      <c r="E70" s="2" t="s">
        <v>3405</v>
      </c>
      <c r="F70" s="2"/>
      <c r="G70" s="2" t="s">
        <v>11631</v>
      </c>
      <c r="H70" s="2" t="s">
        <v>11882</v>
      </c>
      <c r="I70" s="2" t="s">
        <v>11861</v>
      </c>
    </row>
    <row r="71" spans="1:9">
      <c r="A71" s="2" t="s">
        <v>11651</v>
      </c>
      <c r="B71" s="2"/>
      <c r="C71" s="2" t="s">
        <v>60</v>
      </c>
      <c r="D71" s="2" t="s">
        <v>3404</v>
      </c>
      <c r="E71" s="2" t="s">
        <v>3404</v>
      </c>
      <c r="F71" s="2"/>
      <c r="G71" s="2" t="s">
        <v>11631</v>
      </c>
      <c r="H71" s="2" t="s">
        <v>11882</v>
      </c>
      <c r="I71" s="2" t="s">
        <v>11861</v>
      </c>
    </row>
    <row r="72" spans="1:9" ht="28.3" customHeight="1">
      <c r="A72" s="2" t="s">
        <v>11655</v>
      </c>
      <c r="B72" s="2"/>
      <c r="C72" s="2" t="s">
        <v>48</v>
      </c>
      <c r="D72" s="2" t="s">
        <v>10788</v>
      </c>
      <c r="E72" s="2" t="s">
        <v>10788</v>
      </c>
      <c r="F72" s="2"/>
      <c r="G72" s="2" t="s">
        <v>11631</v>
      </c>
      <c r="H72" s="2" t="s">
        <v>11883</v>
      </c>
      <c r="I72" s="2" t="s">
        <v>11861</v>
      </c>
    </row>
    <row r="73" spans="1:9" ht="28.3" customHeight="1">
      <c r="A73" s="2" t="s">
        <v>11655</v>
      </c>
      <c r="B73" s="2"/>
      <c r="C73" s="2" t="s">
        <v>52</v>
      </c>
      <c r="D73" s="2" t="s">
        <v>11433</v>
      </c>
      <c r="E73" s="2" t="s">
        <v>11433</v>
      </c>
      <c r="F73" s="2"/>
      <c r="G73" s="2" t="s">
        <v>11631</v>
      </c>
      <c r="H73" s="2" t="s">
        <v>11883</v>
      </c>
      <c r="I73" s="2" t="s">
        <v>11861</v>
      </c>
    </row>
    <row r="74" spans="1:9" ht="28.3" customHeight="1">
      <c r="A74" s="2" t="s">
        <v>11655</v>
      </c>
      <c r="B74" s="2"/>
      <c r="C74" s="2" t="s">
        <v>56</v>
      </c>
      <c r="D74" s="2" t="s">
        <v>11437</v>
      </c>
      <c r="E74" s="2" t="s">
        <v>11437</v>
      </c>
      <c r="F74" s="2"/>
      <c r="G74" s="2" t="s">
        <v>11631</v>
      </c>
      <c r="H74" s="2" t="s">
        <v>11883</v>
      </c>
      <c r="I74" s="2" t="s">
        <v>11861</v>
      </c>
    </row>
    <row r="75" spans="1:9" ht="28.3" customHeight="1">
      <c r="A75" s="2" t="s">
        <v>11655</v>
      </c>
      <c r="B75" s="2"/>
      <c r="C75" s="2" t="s">
        <v>60</v>
      </c>
      <c r="D75" s="2" t="s">
        <v>11441</v>
      </c>
      <c r="E75" s="2" t="s">
        <v>11441</v>
      </c>
      <c r="F75" s="2"/>
      <c r="G75" s="2" t="s">
        <v>11631</v>
      </c>
      <c r="H75" s="2" t="s">
        <v>11883</v>
      </c>
      <c r="I75" s="2" t="s">
        <v>11861</v>
      </c>
    </row>
    <row r="76" spans="1:9" ht="28.3" customHeight="1">
      <c r="A76" s="2" t="s">
        <v>11630</v>
      </c>
      <c r="B76" s="2"/>
      <c r="C76" s="2" t="s">
        <v>48</v>
      </c>
      <c r="D76" s="2" t="s">
        <v>10968</v>
      </c>
      <c r="E76" s="2" t="s">
        <v>10968</v>
      </c>
      <c r="F76" s="2"/>
      <c r="G76" s="2" t="s">
        <v>11884</v>
      </c>
      <c r="H76" s="2" t="s">
        <v>11885</v>
      </c>
      <c r="I76" s="2" t="s">
        <v>11886</v>
      </c>
    </row>
    <row r="77" spans="1:9" ht="28.3" customHeight="1">
      <c r="A77" s="2" t="s">
        <v>11630</v>
      </c>
      <c r="B77" s="2"/>
      <c r="C77" s="2" t="s">
        <v>52</v>
      </c>
      <c r="D77" s="2" t="s">
        <v>11887</v>
      </c>
      <c r="E77" s="2" t="s">
        <v>11887</v>
      </c>
      <c r="F77" s="2"/>
      <c r="G77" s="2" t="s">
        <v>11884</v>
      </c>
      <c r="H77" s="2" t="s">
        <v>11885</v>
      </c>
      <c r="I77" s="2" t="s">
        <v>11886</v>
      </c>
    </row>
    <row r="78" spans="1:9" ht="28.3" customHeight="1">
      <c r="A78" s="2" t="s">
        <v>11630</v>
      </c>
      <c r="B78" s="2"/>
      <c r="C78" s="2" t="s">
        <v>56</v>
      </c>
      <c r="D78" s="2" t="s">
        <v>10999</v>
      </c>
      <c r="E78" s="2" t="s">
        <v>10999</v>
      </c>
      <c r="F78" s="2"/>
      <c r="G78" s="2" t="s">
        <v>11884</v>
      </c>
      <c r="H78" s="2" t="s">
        <v>11885</v>
      </c>
      <c r="I78" s="2" t="s">
        <v>11886</v>
      </c>
    </row>
    <row r="79" spans="1:9" ht="28.3" customHeight="1">
      <c r="A79" s="2" t="s">
        <v>11630</v>
      </c>
      <c r="B79" s="2"/>
      <c r="C79" s="2" t="s">
        <v>60</v>
      </c>
      <c r="D79" s="2" t="s">
        <v>10970</v>
      </c>
      <c r="E79" s="2" t="s">
        <v>10970</v>
      </c>
      <c r="F79" s="2"/>
      <c r="G79" s="2" t="s">
        <v>11884</v>
      </c>
      <c r="H79" s="2" t="s">
        <v>11885</v>
      </c>
      <c r="I79" s="2" t="s">
        <v>11886</v>
      </c>
    </row>
    <row r="80" spans="1:9" ht="28.3" customHeight="1">
      <c r="A80" s="2" t="s">
        <v>11630</v>
      </c>
      <c r="B80" s="2"/>
      <c r="C80" s="2" t="s">
        <v>64</v>
      </c>
      <c r="D80" s="2" t="s">
        <v>11888</v>
      </c>
      <c r="E80" s="2" t="s">
        <v>11888</v>
      </c>
      <c r="F80" s="2"/>
      <c r="G80" s="2" t="s">
        <v>11884</v>
      </c>
      <c r="H80" s="2" t="s">
        <v>11885</v>
      </c>
      <c r="I80" s="2" t="s">
        <v>11886</v>
      </c>
    </row>
    <row r="81" spans="1:9" ht="28.3" customHeight="1">
      <c r="A81" s="2" t="s">
        <v>11630</v>
      </c>
      <c r="B81" s="2"/>
      <c r="C81" s="2" t="s">
        <v>68</v>
      </c>
      <c r="D81" s="2" t="s">
        <v>10971</v>
      </c>
      <c r="E81" s="2" t="s">
        <v>10971</v>
      </c>
      <c r="F81" s="2"/>
      <c r="G81" s="2" t="s">
        <v>11884</v>
      </c>
      <c r="H81" s="2" t="s">
        <v>11885</v>
      </c>
      <c r="I81" s="2" t="s">
        <v>11886</v>
      </c>
    </row>
    <row r="82" spans="1:9" ht="28.3" customHeight="1">
      <c r="A82" s="2" t="s">
        <v>11630</v>
      </c>
      <c r="B82" s="2"/>
      <c r="C82" s="2" t="s">
        <v>3692</v>
      </c>
      <c r="D82" s="2" t="s">
        <v>10972</v>
      </c>
      <c r="E82" s="2" t="s">
        <v>10972</v>
      </c>
      <c r="F82" s="2"/>
      <c r="G82" s="2" t="s">
        <v>11884</v>
      </c>
      <c r="H82" s="2" t="s">
        <v>11885</v>
      </c>
      <c r="I82" s="2" t="s">
        <v>11886</v>
      </c>
    </row>
    <row r="83" spans="1:9" ht="28.3" customHeight="1">
      <c r="A83" s="2" t="s">
        <v>11630</v>
      </c>
      <c r="B83" s="2"/>
      <c r="C83" s="2" t="s">
        <v>3693</v>
      </c>
      <c r="D83" s="2" t="s">
        <v>10973</v>
      </c>
      <c r="E83" s="2" t="s">
        <v>10973</v>
      </c>
      <c r="F83" s="2"/>
      <c r="G83" s="2" t="s">
        <v>11884</v>
      </c>
      <c r="H83" s="2" t="s">
        <v>11885</v>
      </c>
      <c r="I83" s="2" t="s">
        <v>11886</v>
      </c>
    </row>
    <row r="84" spans="1:9" ht="28.3" customHeight="1">
      <c r="A84" s="2" t="s">
        <v>11630</v>
      </c>
      <c r="B84" s="2"/>
      <c r="C84" s="2" t="s">
        <v>3696</v>
      </c>
      <c r="D84" s="2" t="s">
        <v>10974</v>
      </c>
      <c r="E84" s="2" t="s">
        <v>10974</v>
      </c>
      <c r="F84" s="2"/>
      <c r="G84" s="2" t="s">
        <v>11884</v>
      </c>
      <c r="H84" s="2" t="s">
        <v>11885</v>
      </c>
      <c r="I84" s="2" t="s">
        <v>11886</v>
      </c>
    </row>
    <row r="85" spans="1:9" ht="28.3" customHeight="1">
      <c r="A85" s="2" t="s">
        <v>11630</v>
      </c>
      <c r="B85" s="2"/>
      <c r="C85" s="2" t="s">
        <v>3697</v>
      </c>
      <c r="D85" s="2" t="s">
        <v>10975</v>
      </c>
      <c r="E85" s="2" t="s">
        <v>10975</v>
      </c>
      <c r="F85" s="2"/>
      <c r="G85" s="2" t="s">
        <v>11884</v>
      </c>
      <c r="H85" s="2" t="s">
        <v>11885</v>
      </c>
      <c r="I85" s="2" t="s">
        <v>11886</v>
      </c>
    </row>
    <row r="86" spans="1:9" ht="28.3" customHeight="1">
      <c r="A86" s="2" t="s">
        <v>11630</v>
      </c>
      <c r="B86" s="2"/>
      <c r="C86" s="2" t="s">
        <v>3698</v>
      </c>
      <c r="D86" s="2" t="s">
        <v>11889</v>
      </c>
      <c r="E86" s="2" t="s">
        <v>11889</v>
      </c>
      <c r="F86" s="2"/>
      <c r="G86" s="2" t="s">
        <v>11884</v>
      </c>
      <c r="H86" s="2" t="s">
        <v>11885</v>
      </c>
      <c r="I86" s="2" t="s">
        <v>11886</v>
      </c>
    </row>
    <row r="87" spans="1:9">
      <c r="A87" s="2" t="s">
        <v>11658</v>
      </c>
      <c r="B87" s="2"/>
      <c r="C87" s="2" t="s">
        <v>48</v>
      </c>
      <c r="D87" s="2" t="s">
        <v>11691</v>
      </c>
      <c r="E87" s="2" t="s">
        <v>10968</v>
      </c>
      <c r="F87" s="2"/>
      <c r="G87" s="2" t="s">
        <v>11631</v>
      </c>
      <c r="H87" s="2" t="s">
        <v>11890</v>
      </c>
      <c r="I87" s="2" t="s">
        <v>11891</v>
      </c>
    </row>
    <row r="88" spans="1:9">
      <c r="A88" s="2" t="s">
        <v>11658</v>
      </c>
      <c r="B88" s="2"/>
      <c r="C88" s="2" t="s">
        <v>52</v>
      </c>
      <c r="D88" s="2" t="s">
        <v>11715</v>
      </c>
      <c r="E88" s="2" t="s">
        <v>10968</v>
      </c>
      <c r="F88" s="2"/>
      <c r="G88" s="2" t="s">
        <v>11631</v>
      </c>
      <c r="H88" s="2" t="s">
        <v>11890</v>
      </c>
      <c r="I88" s="2" t="s">
        <v>11891</v>
      </c>
    </row>
    <row r="89" spans="1:9">
      <c r="A89" s="2" t="s">
        <v>11658</v>
      </c>
      <c r="B89" s="2"/>
      <c r="C89" s="2" t="s">
        <v>56</v>
      </c>
      <c r="D89" s="2" t="s">
        <v>11738</v>
      </c>
      <c r="E89" s="2" t="s">
        <v>10968</v>
      </c>
      <c r="F89" s="2"/>
      <c r="G89" s="2" t="s">
        <v>11631</v>
      </c>
      <c r="H89" s="2" t="s">
        <v>11890</v>
      </c>
      <c r="I89" s="2" t="s">
        <v>11891</v>
      </c>
    </row>
    <row r="90" spans="1:9">
      <c r="A90" s="2" t="s">
        <v>11658</v>
      </c>
      <c r="B90" s="2"/>
      <c r="C90" s="2" t="s">
        <v>60</v>
      </c>
      <c r="D90" s="2" t="s">
        <v>11763</v>
      </c>
      <c r="E90" s="2" t="s">
        <v>11887</v>
      </c>
      <c r="F90" s="2"/>
      <c r="G90" s="2" t="s">
        <v>11631</v>
      </c>
      <c r="H90" s="2" t="s">
        <v>11890</v>
      </c>
      <c r="I90" s="2" t="s">
        <v>11891</v>
      </c>
    </row>
    <row r="91" spans="1:9">
      <c r="A91" s="2" t="s">
        <v>11658</v>
      </c>
      <c r="B91" s="2"/>
      <c r="C91" s="2" t="s">
        <v>64</v>
      </c>
      <c r="D91" s="2" t="s">
        <v>11785</v>
      </c>
      <c r="E91" s="2" t="s">
        <v>11887</v>
      </c>
      <c r="F91" s="2"/>
      <c r="G91" s="2" t="s">
        <v>11631</v>
      </c>
      <c r="H91" s="2" t="s">
        <v>11890</v>
      </c>
      <c r="I91" s="2" t="s">
        <v>11891</v>
      </c>
    </row>
    <row r="92" spans="1:9">
      <c r="A92" s="2" t="s">
        <v>11658</v>
      </c>
      <c r="B92" s="2"/>
      <c r="C92" s="2" t="s">
        <v>68</v>
      </c>
      <c r="D92" s="2" t="s">
        <v>11802</v>
      </c>
      <c r="E92" s="2" t="s">
        <v>10999</v>
      </c>
      <c r="F92" s="2"/>
      <c r="G92" s="2" t="s">
        <v>11631</v>
      </c>
      <c r="H92" s="2" t="s">
        <v>11890</v>
      </c>
      <c r="I92" s="2" t="s">
        <v>11891</v>
      </c>
    </row>
    <row r="93" spans="1:9">
      <c r="A93" s="2" t="s">
        <v>11658</v>
      </c>
      <c r="B93" s="2"/>
      <c r="C93" s="2" t="s">
        <v>3692</v>
      </c>
      <c r="D93" s="2" t="s">
        <v>11726</v>
      </c>
      <c r="E93" s="2" t="s">
        <v>10999</v>
      </c>
      <c r="F93" s="2"/>
      <c r="G93" s="2" t="s">
        <v>11631</v>
      </c>
      <c r="H93" s="2" t="s">
        <v>11890</v>
      </c>
      <c r="I93" s="2" t="s">
        <v>11891</v>
      </c>
    </row>
    <row r="94" spans="1:9">
      <c r="A94" s="2" t="s">
        <v>11658</v>
      </c>
      <c r="B94" s="2"/>
      <c r="C94" s="2" t="s">
        <v>3693</v>
      </c>
      <c r="D94" s="2" t="s">
        <v>11829</v>
      </c>
      <c r="E94" s="2" t="s">
        <v>10999</v>
      </c>
      <c r="F94" s="2"/>
      <c r="G94" s="2" t="s">
        <v>11631</v>
      </c>
      <c r="H94" s="2" t="s">
        <v>11890</v>
      </c>
      <c r="I94" s="2" t="s">
        <v>11891</v>
      </c>
    </row>
    <row r="95" spans="1:9">
      <c r="A95" s="2" t="s">
        <v>11658</v>
      </c>
      <c r="B95" s="2"/>
      <c r="C95" s="2" t="s">
        <v>3694</v>
      </c>
      <c r="D95" s="2" t="s">
        <v>11838</v>
      </c>
      <c r="E95" s="2" t="s">
        <v>10970</v>
      </c>
      <c r="F95" s="2"/>
      <c r="G95" s="2" t="s">
        <v>11631</v>
      </c>
      <c r="H95" s="2" t="s">
        <v>11890</v>
      </c>
      <c r="I95" s="2" t="s">
        <v>11891</v>
      </c>
    </row>
    <row r="96" spans="1:9">
      <c r="A96" s="2" t="s">
        <v>11658</v>
      </c>
      <c r="B96" s="2"/>
      <c r="C96" s="2" t="s">
        <v>3695</v>
      </c>
      <c r="D96" s="2" t="s">
        <v>11795</v>
      </c>
      <c r="E96" s="2" t="s">
        <v>10970</v>
      </c>
      <c r="F96" s="2"/>
      <c r="G96" s="2" t="s">
        <v>11631</v>
      </c>
      <c r="H96" s="2" t="s">
        <v>11890</v>
      </c>
      <c r="I96" s="2" t="s">
        <v>11891</v>
      </c>
    </row>
    <row r="97" spans="1:9">
      <c r="A97" s="2" t="s">
        <v>11658</v>
      </c>
      <c r="B97" s="2"/>
      <c r="C97" s="2" t="s">
        <v>3696</v>
      </c>
      <c r="D97" s="2" t="s">
        <v>10969</v>
      </c>
      <c r="E97" s="2" t="s">
        <v>11888</v>
      </c>
      <c r="F97" s="2"/>
      <c r="G97" s="2" t="s">
        <v>11631</v>
      </c>
      <c r="H97" s="2" t="s">
        <v>11890</v>
      </c>
      <c r="I97" s="2" t="s">
        <v>11891</v>
      </c>
    </row>
    <row r="98" spans="1:9">
      <c r="A98" s="2" t="s">
        <v>11658</v>
      </c>
      <c r="B98" s="2"/>
      <c r="C98" s="2" t="s">
        <v>3697</v>
      </c>
      <c r="D98" s="2" t="s">
        <v>11854</v>
      </c>
      <c r="E98" s="2" t="s">
        <v>11888</v>
      </c>
      <c r="F98" s="2"/>
      <c r="G98" s="2" t="s">
        <v>11631</v>
      </c>
      <c r="H98" s="2" t="s">
        <v>11890</v>
      </c>
      <c r="I98" s="2" t="s">
        <v>11891</v>
      </c>
    </row>
    <row r="99" spans="1:9" ht="28.3" customHeight="1">
      <c r="A99" s="2" t="s">
        <v>11676</v>
      </c>
      <c r="B99" s="2" t="s">
        <v>10968</v>
      </c>
      <c r="C99" s="2" t="s">
        <v>48</v>
      </c>
      <c r="D99" s="2" t="s">
        <v>11702</v>
      </c>
      <c r="E99" s="2" t="s">
        <v>11702</v>
      </c>
      <c r="F99" s="2"/>
      <c r="G99" s="2" t="s">
        <v>11631</v>
      </c>
      <c r="H99" s="2" t="s">
        <v>11892</v>
      </c>
      <c r="I99" s="2" t="s">
        <v>11893</v>
      </c>
    </row>
    <row r="100" spans="1:9" ht="28.3" customHeight="1">
      <c r="A100" s="2" t="s">
        <v>11676</v>
      </c>
      <c r="B100" s="2" t="s">
        <v>10968</v>
      </c>
      <c r="C100" s="2" t="s">
        <v>52</v>
      </c>
      <c r="D100" s="2" t="s">
        <v>11809</v>
      </c>
      <c r="E100" s="2" t="s">
        <v>11809</v>
      </c>
      <c r="F100" s="2"/>
      <c r="G100" s="2" t="s">
        <v>11631</v>
      </c>
      <c r="H100" s="2" t="s">
        <v>11892</v>
      </c>
      <c r="I100" s="2" t="s">
        <v>11893</v>
      </c>
    </row>
    <row r="101" spans="1:9" ht="28.3" customHeight="1">
      <c r="A101" s="2" t="s">
        <v>11676</v>
      </c>
      <c r="B101" s="2" t="s">
        <v>10968</v>
      </c>
      <c r="C101" s="2" t="s">
        <v>56</v>
      </c>
      <c r="D101" s="2" t="s">
        <v>11859</v>
      </c>
      <c r="E101" s="2" t="s">
        <v>11859</v>
      </c>
      <c r="F101" s="2"/>
      <c r="G101" s="2" t="s">
        <v>11631</v>
      </c>
      <c r="H101" s="2" t="s">
        <v>11892</v>
      </c>
      <c r="I101" s="2" t="s">
        <v>11893</v>
      </c>
    </row>
    <row r="102" spans="1:9" ht="28.3" customHeight="1">
      <c r="A102" s="2" t="s">
        <v>11676</v>
      </c>
      <c r="B102" s="2" t="s">
        <v>10968</v>
      </c>
      <c r="C102" s="2" t="s">
        <v>60</v>
      </c>
      <c r="D102" s="2" t="s">
        <v>11866</v>
      </c>
      <c r="E102" s="2" t="s">
        <v>11866</v>
      </c>
      <c r="F102" s="2"/>
      <c r="G102" s="2" t="s">
        <v>11631</v>
      </c>
      <c r="H102" s="2" t="s">
        <v>11892</v>
      </c>
      <c r="I102" s="2" t="s">
        <v>11893</v>
      </c>
    </row>
    <row r="103" spans="1:9" ht="28.3" customHeight="1">
      <c r="A103" s="2" t="s">
        <v>11676</v>
      </c>
      <c r="B103" s="2" t="s">
        <v>11887</v>
      </c>
      <c r="C103" s="2" t="s">
        <v>48</v>
      </c>
      <c r="D103" s="2" t="s">
        <v>11749</v>
      </c>
      <c r="E103" s="2" t="s">
        <v>11749</v>
      </c>
      <c r="F103" s="2"/>
      <c r="G103" s="2" t="s">
        <v>11631</v>
      </c>
      <c r="H103" s="2" t="s">
        <v>11894</v>
      </c>
      <c r="I103" s="2" t="s">
        <v>11893</v>
      </c>
    </row>
    <row r="104" spans="1:9" ht="28.3" customHeight="1">
      <c r="A104" s="2" t="s">
        <v>11676</v>
      </c>
      <c r="B104" s="2" t="s">
        <v>11887</v>
      </c>
      <c r="C104" s="2" t="s">
        <v>52</v>
      </c>
      <c r="D104" s="2" t="s">
        <v>11822</v>
      </c>
      <c r="E104" s="2" t="s">
        <v>11822</v>
      </c>
      <c r="F104" s="2"/>
      <c r="G104" s="2" t="s">
        <v>11631</v>
      </c>
      <c r="H104" s="2" t="s">
        <v>11894</v>
      </c>
      <c r="I104" s="2" t="s">
        <v>11893</v>
      </c>
    </row>
    <row r="105" spans="1:9" ht="28.3" customHeight="1">
      <c r="A105" s="2" t="s">
        <v>11676</v>
      </c>
      <c r="B105" s="2" t="s">
        <v>11887</v>
      </c>
      <c r="C105" s="2" t="s">
        <v>56</v>
      </c>
      <c r="D105" s="2" t="s">
        <v>11851</v>
      </c>
      <c r="E105" s="2" t="s">
        <v>11851</v>
      </c>
      <c r="F105" s="2"/>
      <c r="G105" s="2" t="s">
        <v>11631</v>
      </c>
      <c r="H105" s="2" t="s">
        <v>11894</v>
      </c>
      <c r="I105" s="2" t="s">
        <v>11893</v>
      </c>
    </row>
    <row r="106" spans="1:9" ht="28.3" customHeight="1">
      <c r="A106" s="2" t="s">
        <v>11676</v>
      </c>
      <c r="B106" s="2" t="s">
        <v>11887</v>
      </c>
      <c r="C106" s="2" t="s">
        <v>60</v>
      </c>
      <c r="D106" s="2" t="s">
        <v>11871</v>
      </c>
      <c r="E106" s="2" t="s">
        <v>11871</v>
      </c>
      <c r="F106" s="2"/>
      <c r="G106" s="2" t="s">
        <v>11631</v>
      </c>
      <c r="H106" s="2" t="s">
        <v>11894</v>
      </c>
      <c r="I106" s="2" t="s">
        <v>11893</v>
      </c>
    </row>
    <row r="107" spans="1:9" ht="28.3" customHeight="1">
      <c r="A107" s="2" t="s">
        <v>11676</v>
      </c>
      <c r="B107" s="2" t="s">
        <v>10999</v>
      </c>
      <c r="C107" s="2" t="s">
        <v>48</v>
      </c>
      <c r="D107" s="2" t="s">
        <v>11726</v>
      </c>
      <c r="E107" s="2" t="s">
        <v>11726</v>
      </c>
      <c r="F107" s="2"/>
      <c r="G107" s="2" t="s">
        <v>11631</v>
      </c>
      <c r="H107" s="2" t="s">
        <v>11895</v>
      </c>
      <c r="I107" s="2" t="s">
        <v>11893</v>
      </c>
    </row>
    <row r="108" spans="1:9" ht="28.3" customHeight="1">
      <c r="A108" s="2" t="s">
        <v>11676</v>
      </c>
      <c r="B108" s="2" t="s">
        <v>10999</v>
      </c>
      <c r="C108" s="2" t="s">
        <v>52</v>
      </c>
      <c r="D108" s="2" t="s">
        <v>11833</v>
      </c>
      <c r="E108" s="2" t="s">
        <v>11833</v>
      </c>
      <c r="F108" s="2"/>
      <c r="G108" s="2" t="s">
        <v>11631</v>
      </c>
      <c r="H108" s="2" t="s">
        <v>11895</v>
      </c>
      <c r="I108" s="2" t="s">
        <v>11893</v>
      </c>
    </row>
    <row r="109" spans="1:9" ht="28.3" customHeight="1">
      <c r="A109" s="2" t="s">
        <v>11676</v>
      </c>
      <c r="B109" s="2" t="s">
        <v>10999</v>
      </c>
      <c r="C109" s="2" t="s">
        <v>56</v>
      </c>
      <c r="D109" s="2" t="s">
        <v>11856</v>
      </c>
      <c r="E109" s="2" t="s">
        <v>11856</v>
      </c>
      <c r="F109" s="2"/>
      <c r="G109" s="2" t="s">
        <v>11631</v>
      </c>
      <c r="H109" s="2" t="s">
        <v>11895</v>
      </c>
      <c r="I109" s="2" t="s">
        <v>11893</v>
      </c>
    </row>
    <row r="110" spans="1:9" ht="28.3" customHeight="1">
      <c r="A110" s="2" t="s">
        <v>11676</v>
      </c>
      <c r="B110" s="2" t="s">
        <v>10999</v>
      </c>
      <c r="C110" s="2" t="s">
        <v>60</v>
      </c>
      <c r="D110" s="2" t="s">
        <v>11829</v>
      </c>
      <c r="E110" s="2" t="s">
        <v>11829</v>
      </c>
      <c r="F110" s="2"/>
      <c r="G110" s="2" t="s">
        <v>11631</v>
      </c>
      <c r="H110" s="2" t="s">
        <v>11895</v>
      </c>
      <c r="I110" s="2" t="s">
        <v>11893</v>
      </c>
    </row>
    <row r="111" spans="1:9" ht="28.3" customHeight="1">
      <c r="A111" s="2" t="s">
        <v>11676</v>
      </c>
      <c r="B111" s="2" t="s">
        <v>10970</v>
      </c>
      <c r="C111" s="2" t="s">
        <v>48</v>
      </c>
      <c r="D111" s="2" t="s">
        <v>11796</v>
      </c>
      <c r="E111" s="2" t="s">
        <v>11796</v>
      </c>
      <c r="F111" s="2"/>
      <c r="G111" s="2" t="s">
        <v>11631</v>
      </c>
      <c r="H111" s="2" t="s">
        <v>11896</v>
      </c>
      <c r="I111" s="2" t="s">
        <v>11893</v>
      </c>
    </row>
    <row r="112" spans="1:9" ht="28.3" customHeight="1">
      <c r="A112" s="2" t="s">
        <v>11676</v>
      </c>
      <c r="B112" s="2" t="s">
        <v>10970</v>
      </c>
      <c r="C112" s="2" t="s">
        <v>52</v>
      </c>
      <c r="D112" s="2" t="s">
        <v>11846</v>
      </c>
      <c r="E112" s="2" t="s">
        <v>11846</v>
      </c>
      <c r="F112" s="2"/>
      <c r="G112" s="2" t="s">
        <v>11631</v>
      </c>
      <c r="H112" s="2" t="s">
        <v>11896</v>
      </c>
      <c r="I112" s="2" t="s">
        <v>11893</v>
      </c>
    </row>
    <row r="113" spans="1:9" ht="28.3" customHeight="1">
      <c r="A113" s="2" t="s">
        <v>11676</v>
      </c>
      <c r="B113" s="2" t="s">
        <v>10970</v>
      </c>
      <c r="C113" s="2" t="s">
        <v>56</v>
      </c>
      <c r="D113" s="2" t="s">
        <v>11864</v>
      </c>
      <c r="E113" s="2" t="s">
        <v>11864</v>
      </c>
      <c r="F113" s="2"/>
      <c r="G113" s="2" t="s">
        <v>11631</v>
      </c>
      <c r="H113" s="2" t="s">
        <v>11896</v>
      </c>
      <c r="I113" s="2" t="s">
        <v>11893</v>
      </c>
    </row>
    <row r="114" spans="1:9" ht="28.3" customHeight="1">
      <c r="A114" s="2" t="s">
        <v>11676</v>
      </c>
      <c r="B114" s="2" t="s">
        <v>10970</v>
      </c>
      <c r="C114" s="2" t="s">
        <v>60</v>
      </c>
      <c r="D114" s="2" t="s">
        <v>11872</v>
      </c>
      <c r="E114" s="2" t="s">
        <v>11872</v>
      </c>
      <c r="F114" s="2"/>
      <c r="G114" s="2" t="s">
        <v>11631</v>
      </c>
      <c r="H114" s="2" t="s">
        <v>11896</v>
      </c>
      <c r="I114" s="2" t="s">
        <v>11893</v>
      </c>
    </row>
    <row r="115" spans="1:9" ht="28.3" customHeight="1">
      <c r="A115" s="2" t="s">
        <v>11676</v>
      </c>
      <c r="B115" s="2" t="s">
        <v>11888</v>
      </c>
      <c r="C115" s="2" t="s">
        <v>48</v>
      </c>
      <c r="D115" s="2" t="s">
        <v>11774</v>
      </c>
      <c r="E115" s="2" t="s">
        <v>11774</v>
      </c>
      <c r="F115" s="2"/>
      <c r="G115" s="2" t="s">
        <v>11631</v>
      </c>
      <c r="H115" s="2" t="s">
        <v>11897</v>
      </c>
      <c r="I115" s="2" t="s">
        <v>11893</v>
      </c>
    </row>
    <row r="116" spans="1:9" ht="28.3" customHeight="1">
      <c r="A116" s="2" t="s">
        <v>11676</v>
      </c>
      <c r="B116" s="2" t="s">
        <v>11888</v>
      </c>
      <c r="C116" s="2" t="s">
        <v>52</v>
      </c>
      <c r="D116" s="2" t="s">
        <v>11841</v>
      </c>
      <c r="E116" s="2" t="s">
        <v>11841</v>
      </c>
      <c r="F116" s="2"/>
      <c r="G116" s="2" t="s">
        <v>11631</v>
      </c>
      <c r="H116" s="2" t="s">
        <v>11897</v>
      </c>
      <c r="I116" s="2" t="s">
        <v>11893</v>
      </c>
    </row>
    <row r="117" spans="1:9" ht="28.3" customHeight="1">
      <c r="A117" s="2" t="s">
        <v>11676</v>
      </c>
      <c r="B117" s="2" t="s">
        <v>11888</v>
      </c>
      <c r="C117" s="2" t="s">
        <v>56</v>
      </c>
      <c r="D117" s="2" t="s">
        <v>11854</v>
      </c>
      <c r="E117" s="2" t="s">
        <v>11854</v>
      </c>
      <c r="F117" s="2"/>
      <c r="G117" s="2" t="s">
        <v>11631</v>
      </c>
      <c r="H117" s="2" t="s">
        <v>11897</v>
      </c>
      <c r="I117" s="2" t="s">
        <v>11893</v>
      </c>
    </row>
    <row r="118" spans="1:9" ht="28.3" customHeight="1">
      <c r="A118" s="2" t="s">
        <v>11676</v>
      </c>
      <c r="B118" s="2" t="s">
        <v>11888</v>
      </c>
      <c r="C118" s="2" t="s">
        <v>60</v>
      </c>
      <c r="D118" s="2" t="s">
        <v>11870</v>
      </c>
      <c r="E118" s="2" t="s">
        <v>11870</v>
      </c>
      <c r="F118" s="2"/>
      <c r="G118" s="2" t="s">
        <v>11631</v>
      </c>
      <c r="H118" s="2" t="s">
        <v>11897</v>
      </c>
      <c r="I118" s="2" t="s">
        <v>11893</v>
      </c>
    </row>
    <row r="119" spans="1:9">
      <c r="A119" s="2" t="s">
        <v>11656</v>
      </c>
      <c r="B119" s="2"/>
      <c r="C119" s="2" t="s">
        <v>48</v>
      </c>
      <c r="D119" s="2" t="s">
        <v>11689</v>
      </c>
      <c r="E119" s="2" t="s">
        <v>11689</v>
      </c>
      <c r="F119" s="2"/>
      <c r="G119" s="2" t="s">
        <v>11631</v>
      </c>
      <c r="H119" s="2" t="s">
        <v>11898</v>
      </c>
      <c r="I119" s="2" t="s">
        <v>11893</v>
      </c>
    </row>
    <row r="120" spans="1:9">
      <c r="A120" s="2" t="s">
        <v>11656</v>
      </c>
      <c r="B120" s="2"/>
      <c r="C120" s="2" t="s">
        <v>52</v>
      </c>
      <c r="D120" s="2" t="s">
        <v>11713</v>
      </c>
      <c r="E120" s="2" t="s">
        <v>11713</v>
      </c>
      <c r="F120" s="2"/>
      <c r="G120" s="2" t="s">
        <v>11631</v>
      </c>
      <c r="H120" s="2" t="s">
        <v>11898</v>
      </c>
      <c r="I120" s="2" t="s">
        <v>11893</v>
      </c>
    </row>
    <row r="121" spans="1:9">
      <c r="A121" s="2" t="s">
        <v>11656</v>
      </c>
      <c r="B121" s="2"/>
      <c r="C121" s="2" t="s">
        <v>56</v>
      </c>
      <c r="D121" s="2" t="s">
        <v>11736</v>
      </c>
      <c r="E121" s="2" t="s">
        <v>11736</v>
      </c>
      <c r="F121" s="2"/>
      <c r="G121" s="2" t="s">
        <v>11631</v>
      </c>
      <c r="H121" s="2" t="s">
        <v>11898</v>
      </c>
      <c r="I121" s="2" t="s">
        <v>11893</v>
      </c>
    </row>
    <row r="122" spans="1:9">
      <c r="A122" s="2" t="s">
        <v>11656</v>
      </c>
      <c r="B122" s="2"/>
      <c r="C122" s="2" t="s">
        <v>60</v>
      </c>
      <c r="D122" s="2" t="s">
        <v>11761</v>
      </c>
      <c r="E122" s="2" t="s">
        <v>11761</v>
      </c>
      <c r="F122" s="2"/>
      <c r="G122" s="2" t="s">
        <v>11631</v>
      </c>
      <c r="H122" s="2" t="s">
        <v>11898</v>
      </c>
      <c r="I122" s="2" t="s">
        <v>11893</v>
      </c>
    </row>
    <row r="123" spans="1:9">
      <c r="A123" s="2" t="s">
        <v>11656</v>
      </c>
      <c r="B123" s="2"/>
      <c r="C123" s="2" t="s">
        <v>64</v>
      </c>
      <c r="D123" s="2" t="s">
        <v>10815</v>
      </c>
      <c r="E123" s="2" t="s">
        <v>10815</v>
      </c>
      <c r="F123" s="2"/>
      <c r="G123" s="2" t="s">
        <v>11631</v>
      </c>
      <c r="H123" s="2" t="s">
        <v>11898</v>
      </c>
      <c r="I123" s="2" t="s">
        <v>11893</v>
      </c>
    </row>
    <row r="124" spans="1:9">
      <c r="A124" s="2" t="s">
        <v>11665</v>
      </c>
      <c r="B124" s="2"/>
      <c r="C124" s="2" t="s">
        <v>48</v>
      </c>
      <c r="D124" s="2" t="s">
        <v>11695</v>
      </c>
      <c r="E124" s="2" t="s">
        <v>11695</v>
      </c>
      <c r="F124" s="2"/>
      <c r="G124" s="2" t="s">
        <v>11631</v>
      </c>
      <c r="H124" s="2" t="s">
        <v>11899</v>
      </c>
      <c r="I124" s="2" t="s">
        <v>11893</v>
      </c>
    </row>
    <row r="125" spans="1:9">
      <c r="A125" s="2" t="s">
        <v>11665</v>
      </c>
      <c r="B125" s="2"/>
      <c r="C125" s="2" t="s">
        <v>52</v>
      </c>
      <c r="D125" s="2" t="s">
        <v>11719</v>
      </c>
      <c r="E125" s="2" t="s">
        <v>11719</v>
      </c>
      <c r="F125" s="2"/>
      <c r="G125" s="2" t="s">
        <v>11631</v>
      </c>
      <c r="H125" s="2" t="s">
        <v>11899</v>
      </c>
      <c r="I125" s="2" t="s">
        <v>11893</v>
      </c>
    </row>
    <row r="126" spans="1:9">
      <c r="A126" s="2" t="s">
        <v>11665</v>
      </c>
      <c r="B126" s="2"/>
      <c r="C126" s="2" t="s">
        <v>56</v>
      </c>
      <c r="D126" s="2" t="s">
        <v>11742</v>
      </c>
      <c r="E126" s="2" t="s">
        <v>11742</v>
      </c>
      <c r="F126" s="2"/>
      <c r="G126" s="2" t="s">
        <v>11631</v>
      </c>
      <c r="H126" s="2" t="s">
        <v>11899</v>
      </c>
      <c r="I126" s="2" t="s">
        <v>11893</v>
      </c>
    </row>
    <row r="127" spans="1:9">
      <c r="A127" s="2" t="s">
        <v>11665</v>
      </c>
      <c r="B127" s="2"/>
      <c r="C127" s="2" t="s">
        <v>60</v>
      </c>
      <c r="D127" s="2" t="s">
        <v>11767</v>
      </c>
      <c r="E127" s="2" t="s">
        <v>11767</v>
      </c>
      <c r="F127" s="2"/>
      <c r="G127" s="2" t="s">
        <v>11631</v>
      </c>
      <c r="H127" s="2" t="s">
        <v>11899</v>
      </c>
      <c r="I127" s="2" t="s">
        <v>11893</v>
      </c>
    </row>
    <row r="128" spans="1:9">
      <c r="A128" s="2" t="s">
        <v>11665</v>
      </c>
      <c r="B128" s="2"/>
      <c r="C128" s="2" t="s">
        <v>64</v>
      </c>
      <c r="D128" s="2" t="s">
        <v>11789</v>
      </c>
      <c r="E128" s="2" t="s">
        <v>11789</v>
      </c>
      <c r="F128" s="2"/>
      <c r="G128" s="2" t="s">
        <v>11631</v>
      </c>
      <c r="H128" s="2" t="s">
        <v>11899</v>
      </c>
      <c r="I128" s="2" t="s">
        <v>11893</v>
      </c>
    </row>
    <row r="129" spans="1:9">
      <c r="A129" s="2" t="s">
        <v>11665</v>
      </c>
      <c r="B129" s="2"/>
      <c r="C129" s="2" t="s">
        <v>68</v>
      </c>
      <c r="D129" s="2" t="s">
        <v>11803</v>
      </c>
      <c r="E129" s="2" t="s">
        <v>11803</v>
      </c>
      <c r="F129" s="2"/>
      <c r="G129" s="2" t="s">
        <v>11631</v>
      </c>
      <c r="H129" s="2" t="s">
        <v>11899</v>
      </c>
      <c r="I129" s="2" t="s">
        <v>11893</v>
      </c>
    </row>
    <row r="130" spans="1:9">
      <c r="A130" s="2" t="s">
        <v>11665</v>
      </c>
      <c r="B130" s="2"/>
      <c r="C130" s="2" t="s">
        <v>3692</v>
      </c>
      <c r="D130" s="2" t="s">
        <v>11817</v>
      </c>
      <c r="E130" s="2" t="s">
        <v>11817</v>
      </c>
      <c r="F130" s="2"/>
      <c r="G130" s="2" t="s">
        <v>11631</v>
      </c>
      <c r="H130" s="2" t="s">
        <v>11899</v>
      </c>
      <c r="I130" s="2" t="s">
        <v>11893</v>
      </c>
    </row>
    <row r="131" spans="1:9">
      <c r="A131" s="2" t="s">
        <v>11665</v>
      </c>
      <c r="B131" s="2"/>
      <c r="C131" s="2" t="s">
        <v>3693</v>
      </c>
      <c r="D131" s="2" t="s">
        <v>11830</v>
      </c>
      <c r="E131" s="2" t="s">
        <v>11830</v>
      </c>
      <c r="F131" s="2"/>
      <c r="G131" s="2" t="s">
        <v>11631</v>
      </c>
      <c r="H131" s="2" t="s">
        <v>11899</v>
      </c>
      <c r="I131" s="2" t="s">
        <v>11893</v>
      </c>
    </row>
    <row r="132" spans="1:9">
      <c r="A132" s="2" t="s">
        <v>11665</v>
      </c>
      <c r="B132" s="2"/>
      <c r="C132" s="2" t="s">
        <v>3694</v>
      </c>
      <c r="D132" s="2" t="s">
        <v>11807</v>
      </c>
      <c r="E132" s="2" t="s">
        <v>11807</v>
      </c>
      <c r="F132" s="2"/>
      <c r="G132" s="2" t="s">
        <v>11631</v>
      </c>
      <c r="H132" s="2" t="s">
        <v>11899</v>
      </c>
      <c r="I132" s="2" t="s">
        <v>11893</v>
      </c>
    </row>
    <row r="133" spans="1:9">
      <c r="A133" s="2" t="s">
        <v>11636</v>
      </c>
      <c r="B133" s="2"/>
      <c r="C133" s="2" t="s">
        <v>48</v>
      </c>
      <c r="D133" s="2" t="s">
        <v>11681</v>
      </c>
      <c r="E133" s="2" t="s">
        <v>11681</v>
      </c>
      <c r="F133" s="2"/>
      <c r="G133" s="2" t="s">
        <v>11631</v>
      </c>
      <c r="H133" s="2" t="s">
        <v>11900</v>
      </c>
      <c r="I133" s="2" t="s">
        <v>11893</v>
      </c>
    </row>
    <row r="134" spans="1:9">
      <c r="A134" s="2" t="s">
        <v>11636</v>
      </c>
      <c r="B134" s="2"/>
      <c r="C134" s="2" t="s">
        <v>52</v>
      </c>
      <c r="D134" s="2" t="s">
        <v>11704</v>
      </c>
      <c r="E134" s="2" t="s">
        <v>11704</v>
      </c>
      <c r="F134" s="2"/>
      <c r="G134" s="2" t="s">
        <v>11631</v>
      </c>
      <c r="H134" s="2" t="s">
        <v>11900</v>
      </c>
      <c r="I134" s="2" t="s">
        <v>11893</v>
      </c>
    </row>
    <row r="135" spans="1:9">
      <c r="A135" s="2" t="s">
        <v>11636</v>
      </c>
      <c r="B135" s="2"/>
      <c r="C135" s="2" t="s">
        <v>56</v>
      </c>
      <c r="D135" s="2" t="s">
        <v>11728</v>
      </c>
      <c r="E135" s="2" t="s">
        <v>11728</v>
      </c>
      <c r="F135" s="2"/>
      <c r="G135" s="2" t="s">
        <v>11631</v>
      </c>
      <c r="H135" s="2" t="s">
        <v>11900</v>
      </c>
      <c r="I135" s="2" t="s">
        <v>11893</v>
      </c>
    </row>
    <row r="136" spans="1:9">
      <c r="A136" s="2" t="s">
        <v>11636</v>
      </c>
      <c r="B136" s="2"/>
      <c r="C136" s="2" t="s">
        <v>60</v>
      </c>
      <c r="D136" s="2" t="s">
        <v>11752</v>
      </c>
      <c r="E136" s="2" t="s">
        <v>11752</v>
      </c>
      <c r="F136" s="2"/>
      <c r="G136" s="2" t="s">
        <v>11631</v>
      </c>
      <c r="H136" s="2" t="s">
        <v>11900</v>
      </c>
      <c r="I136" s="2" t="s">
        <v>11893</v>
      </c>
    </row>
    <row r="137" spans="1:9">
      <c r="A137" s="2" t="s">
        <v>11636</v>
      </c>
      <c r="B137" s="2"/>
      <c r="C137" s="2" t="s">
        <v>64</v>
      </c>
      <c r="D137" s="2" t="s">
        <v>11776</v>
      </c>
      <c r="E137" s="2" t="s">
        <v>11776</v>
      </c>
      <c r="F137" s="2"/>
      <c r="G137" s="2" t="s">
        <v>11631</v>
      </c>
      <c r="H137" s="2" t="s">
        <v>11900</v>
      </c>
      <c r="I137" s="2" t="s">
        <v>11893</v>
      </c>
    </row>
    <row r="138" spans="1:9">
      <c r="A138" s="2" t="s">
        <v>11636</v>
      </c>
      <c r="B138" s="2"/>
      <c r="C138" s="2" t="s">
        <v>68</v>
      </c>
      <c r="D138" s="2" t="s">
        <v>11797</v>
      </c>
      <c r="E138" s="2" t="s">
        <v>11797</v>
      </c>
      <c r="F138" s="2"/>
      <c r="G138" s="2" t="s">
        <v>11631</v>
      </c>
      <c r="H138" s="2" t="s">
        <v>11900</v>
      </c>
      <c r="I138" s="2" t="s">
        <v>11893</v>
      </c>
    </row>
    <row r="139" spans="1:9">
      <c r="A139" s="2" t="s">
        <v>11636</v>
      </c>
      <c r="B139" s="2"/>
      <c r="C139" s="2" t="s">
        <v>3692</v>
      </c>
      <c r="D139" s="2" t="s">
        <v>11807</v>
      </c>
      <c r="E139" s="2" t="s">
        <v>11807</v>
      </c>
      <c r="F139" s="2"/>
      <c r="G139" s="2" t="s">
        <v>11631</v>
      </c>
      <c r="H139" s="2" t="s">
        <v>11900</v>
      </c>
      <c r="I139" s="2" t="s">
        <v>11893</v>
      </c>
    </row>
    <row r="140" spans="1:9">
      <c r="A140" s="2" t="s">
        <v>11672</v>
      </c>
      <c r="B140" s="2"/>
      <c r="C140" s="2" t="s">
        <v>48</v>
      </c>
      <c r="D140" s="2" t="s">
        <v>11699</v>
      </c>
      <c r="E140" s="2" t="s">
        <v>11699</v>
      </c>
      <c r="F140" s="2"/>
      <c r="G140" s="2" t="s">
        <v>11631</v>
      </c>
      <c r="H140" s="2" t="s">
        <v>11901</v>
      </c>
      <c r="I140" s="2" t="s">
        <v>11893</v>
      </c>
    </row>
    <row r="141" spans="1:9">
      <c r="A141" s="2" t="s">
        <v>11672</v>
      </c>
      <c r="B141" s="2"/>
      <c r="C141" s="2" t="s">
        <v>52</v>
      </c>
      <c r="D141" s="2" t="s">
        <v>11723</v>
      </c>
      <c r="E141" s="2" t="s">
        <v>11723</v>
      </c>
      <c r="F141" s="2"/>
      <c r="G141" s="2" t="s">
        <v>11631</v>
      </c>
      <c r="H141" s="2" t="s">
        <v>11901</v>
      </c>
      <c r="I141" s="2" t="s">
        <v>11893</v>
      </c>
    </row>
    <row r="142" spans="1:9">
      <c r="A142" s="2" t="s">
        <v>11672</v>
      </c>
      <c r="B142" s="2"/>
      <c r="C142" s="2" t="s">
        <v>56</v>
      </c>
      <c r="D142" s="2" t="s">
        <v>11746</v>
      </c>
      <c r="E142" s="2" t="s">
        <v>11746</v>
      </c>
      <c r="F142" s="2"/>
      <c r="G142" s="2" t="s">
        <v>11631</v>
      </c>
      <c r="H142" s="2" t="s">
        <v>11901</v>
      </c>
      <c r="I142" s="2" t="s">
        <v>11893</v>
      </c>
    </row>
    <row r="143" spans="1:9">
      <c r="A143" s="2" t="s">
        <v>11672</v>
      </c>
      <c r="B143" s="2"/>
      <c r="C143" s="2" t="s">
        <v>60</v>
      </c>
      <c r="D143" s="2" t="s">
        <v>11771</v>
      </c>
      <c r="E143" s="2" t="s">
        <v>11771</v>
      </c>
      <c r="F143" s="2"/>
      <c r="G143" s="2" t="s">
        <v>11631</v>
      </c>
      <c r="H143" s="2" t="s">
        <v>11901</v>
      </c>
      <c r="I143" s="2" t="s">
        <v>11893</v>
      </c>
    </row>
    <row r="144" spans="1:9">
      <c r="A144" s="2" t="s">
        <v>11672</v>
      </c>
      <c r="B144" s="2"/>
      <c r="C144" s="2" t="s">
        <v>64</v>
      </c>
      <c r="D144" s="2" t="s">
        <v>11793</v>
      </c>
      <c r="E144" s="2" t="s">
        <v>11793</v>
      </c>
      <c r="F144" s="2"/>
      <c r="G144" s="2" t="s">
        <v>11631</v>
      </c>
      <c r="H144" s="2" t="s">
        <v>11901</v>
      </c>
      <c r="I144" s="2" t="s">
        <v>11893</v>
      </c>
    </row>
    <row r="145" spans="1:9">
      <c r="A145" s="2" t="s">
        <v>11672</v>
      </c>
      <c r="B145" s="2"/>
      <c r="C145" s="2" t="s">
        <v>68</v>
      </c>
      <c r="D145" s="2" t="s">
        <v>11806</v>
      </c>
      <c r="E145" s="2" t="s">
        <v>11806</v>
      </c>
      <c r="F145" s="2"/>
      <c r="G145" s="2" t="s">
        <v>11631</v>
      </c>
      <c r="H145" s="2" t="s">
        <v>11901</v>
      </c>
      <c r="I145" s="2" t="s">
        <v>11893</v>
      </c>
    </row>
    <row r="146" spans="1:9">
      <c r="A146" s="2" t="s">
        <v>11672</v>
      </c>
      <c r="B146" s="2"/>
      <c r="C146" s="2" t="s">
        <v>3692</v>
      </c>
      <c r="D146" s="2" t="s">
        <v>11820</v>
      </c>
      <c r="E146" s="2" t="s">
        <v>11820</v>
      </c>
      <c r="F146" s="2"/>
      <c r="G146" s="2" t="s">
        <v>11631</v>
      </c>
      <c r="H146" s="2" t="s">
        <v>11901</v>
      </c>
      <c r="I146" s="2" t="s">
        <v>11893</v>
      </c>
    </row>
    <row r="147" spans="1:9">
      <c r="A147" s="2" t="s">
        <v>11672</v>
      </c>
      <c r="B147" s="2"/>
      <c r="C147" s="2" t="s">
        <v>3693</v>
      </c>
      <c r="D147" s="2" t="s">
        <v>11832</v>
      </c>
      <c r="E147" s="2" t="s">
        <v>11832</v>
      </c>
      <c r="F147" s="2"/>
      <c r="G147" s="2" t="s">
        <v>11631</v>
      </c>
      <c r="H147" s="2" t="s">
        <v>11901</v>
      </c>
      <c r="I147" s="2" t="s">
        <v>11893</v>
      </c>
    </row>
    <row r="148" spans="1:9">
      <c r="A148" s="2" t="s">
        <v>11672</v>
      </c>
      <c r="B148" s="2"/>
      <c r="C148" s="2" t="s">
        <v>3694</v>
      </c>
      <c r="D148" s="2" t="s">
        <v>11840</v>
      </c>
      <c r="E148" s="2" t="s">
        <v>11840</v>
      </c>
      <c r="F148" s="2"/>
      <c r="G148" s="2" t="s">
        <v>11631</v>
      </c>
      <c r="H148" s="2" t="s">
        <v>11901</v>
      </c>
      <c r="I148" s="2" t="s">
        <v>11893</v>
      </c>
    </row>
    <row r="149" spans="1:9">
      <c r="A149" s="2" t="s">
        <v>11672</v>
      </c>
      <c r="B149" s="2"/>
      <c r="C149" s="2" t="s">
        <v>3695</v>
      </c>
      <c r="D149" s="2" t="s">
        <v>11807</v>
      </c>
      <c r="E149" s="2" t="s">
        <v>11807</v>
      </c>
      <c r="F149" s="2"/>
      <c r="G149" s="2" t="s">
        <v>11631</v>
      </c>
      <c r="H149" s="2" t="s">
        <v>11901</v>
      </c>
      <c r="I149" s="2" t="s">
        <v>11893</v>
      </c>
    </row>
    <row r="150" spans="1:9">
      <c r="A150" s="2" t="s">
        <v>11673</v>
      </c>
      <c r="B150" s="2"/>
      <c r="C150" s="2" t="s">
        <v>48</v>
      </c>
      <c r="D150" s="2" t="s">
        <v>11700</v>
      </c>
      <c r="E150" s="2" t="s">
        <v>11700</v>
      </c>
      <c r="F150" s="2"/>
      <c r="G150" s="2" t="s">
        <v>11631</v>
      </c>
      <c r="H150" s="2" t="s">
        <v>11902</v>
      </c>
      <c r="I150" s="2" t="s">
        <v>11893</v>
      </c>
    </row>
    <row r="151" spans="1:9">
      <c r="A151" s="2" t="s">
        <v>11673</v>
      </c>
      <c r="B151" s="2"/>
      <c r="C151" s="2" t="s">
        <v>52</v>
      </c>
      <c r="D151" s="2" t="s">
        <v>11724</v>
      </c>
      <c r="E151" s="2" t="s">
        <v>11724</v>
      </c>
      <c r="F151" s="2"/>
      <c r="G151" s="2" t="s">
        <v>11631</v>
      </c>
      <c r="H151" s="2" t="s">
        <v>11902</v>
      </c>
      <c r="I151" s="2" t="s">
        <v>11893</v>
      </c>
    </row>
    <row r="152" spans="1:9">
      <c r="A152" s="2" t="s">
        <v>11673</v>
      </c>
      <c r="B152" s="2"/>
      <c r="C152" s="2" t="s">
        <v>56</v>
      </c>
      <c r="D152" s="2" t="s">
        <v>11747</v>
      </c>
      <c r="E152" s="2" t="s">
        <v>11747</v>
      </c>
      <c r="F152" s="2"/>
      <c r="G152" s="2" t="s">
        <v>11631</v>
      </c>
      <c r="H152" s="2" t="s">
        <v>11902</v>
      </c>
      <c r="I152" s="2" t="s">
        <v>11893</v>
      </c>
    </row>
    <row r="153" spans="1:9">
      <c r="A153" s="2" t="s">
        <v>11673</v>
      </c>
      <c r="B153" s="2"/>
      <c r="C153" s="2" t="s">
        <v>60</v>
      </c>
      <c r="D153" s="2" t="s">
        <v>11772</v>
      </c>
      <c r="E153" s="2" t="s">
        <v>11772</v>
      </c>
      <c r="F153" s="2"/>
      <c r="G153" s="2" t="s">
        <v>11631</v>
      </c>
      <c r="H153" s="2" t="s">
        <v>11902</v>
      </c>
      <c r="I153" s="2" t="s">
        <v>11893</v>
      </c>
    </row>
    <row r="154" spans="1:9">
      <c r="A154" s="2" t="s">
        <v>11673</v>
      </c>
      <c r="B154" s="2"/>
      <c r="C154" s="2" t="s">
        <v>64</v>
      </c>
      <c r="D154" s="2" t="s">
        <v>11794</v>
      </c>
      <c r="E154" s="2" t="s">
        <v>11794</v>
      </c>
      <c r="F154" s="2"/>
      <c r="G154" s="2" t="s">
        <v>11631</v>
      </c>
      <c r="H154" s="2" t="s">
        <v>11902</v>
      </c>
      <c r="I154" s="2" t="s">
        <v>11893</v>
      </c>
    </row>
    <row r="155" spans="1:9">
      <c r="A155" s="2" t="s">
        <v>11673</v>
      </c>
      <c r="B155" s="2"/>
      <c r="C155" s="2" t="s">
        <v>68</v>
      </c>
      <c r="D155" s="2" t="s">
        <v>11807</v>
      </c>
      <c r="E155" s="2" t="s">
        <v>11807</v>
      </c>
      <c r="F155" s="2"/>
      <c r="G155" s="2" t="s">
        <v>11631</v>
      </c>
      <c r="H155" s="2" t="s">
        <v>11902</v>
      </c>
      <c r="I155" s="2" t="s">
        <v>11893</v>
      </c>
    </row>
    <row r="156" spans="1:9">
      <c r="A156" s="2" t="s">
        <v>11675</v>
      </c>
      <c r="B156" s="2"/>
      <c r="C156" s="2" t="s">
        <v>48</v>
      </c>
      <c r="D156" s="2" t="s">
        <v>11701</v>
      </c>
      <c r="E156" s="2" t="s">
        <v>11701</v>
      </c>
      <c r="F156" s="2"/>
      <c r="G156" s="2" t="s">
        <v>11631</v>
      </c>
      <c r="H156" s="2" t="s">
        <v>11903</v>
      </c>
      <c r="I156" s="2" t="s">
        <v>11893</v>
      </c>
    </row>
    <row r="157" spans="1:9">
      <c r="A157" s="2" t="s">
        <v>11675</v>
      </c>
      <c r="B157" s="2"/>
      <c r="C157" s="2" t="s">
        <v>52</v>
      </c>
      <c r="D157" s="2" t="s">
        <v>11725</v>
      </c>
      <c r="E157" s="2" t="s">
        <v>11725</v>
      </c>
      <c r="F157" s="2"/>
      <c r="G157" s="2" t="s">
        <v>11631</v>
      </c>
      <c r="H157" s="2" t="s">
        <v>11903</v>
      </c>
      <c r="I157" s="2" t="s">
        <v>11893</v>
      </c>
    </row>
    <row r="158" spans="1:9">
      <c r="A158" s="2" t="s">
        <v>11675</v>
      </c>
      <c r="B158" s="2"/>
      <c r="C158" s="2" t="s">
        <v>56</v>
      </c>
      <c r="D158" s="2" t="s">
        <v>11748</v>
      </c>
      <c r="E158" s="2" t="s">
        <v>11748</v>
      </c>
      <c r="F158" s="2"/>
      <c r="G158" s="2" t="s">
        <v>11631</v>
      </c>
      <c r="H158" s="2" t="s">
        <v>11903</v>
      </c>
      <c r="I158" s="2" t="s">
        <v>11893</v>
      </c>
    </row>
    <row r="159" spans="1:9">
      <c r="A159" s="2" t="s">
        <v>11675</v>
      </c>
      <c r="B159" s="2"/>
      <c r="C159" s="2" t="s">
        <v>60</v>
      </c>
      <c r="D159" s="2" t="s">
        <v>11773</v>
      </c>
      <c r="E159" s="2" t="s">
        <v>11773</v>
      </c>
      <c r="F159" s="2"/>
      <c r="G159" s="2" t="s">
        <v>11631</v>
      </c>
      <c r="H159" s="2" t="s">
        <v>11903</v>
      </c>
      <c r="I159" s="2" t="s">
        <v>11893</v>
      </c>
    </row>
    <row r="160" spans="1:9">
      <c r="A160" s="2" t="s">
        <v>11675</v>
      </c>
      <c r="B160" s="2"/>
      <c r="C160" s="2" t="s">
        <v>64</v>
      </c>
      <c r="D160" s="2" t="s">
        <v>11795</v>
      </c>
      <c r="E160" s="2" t="s">
        <v>11795</v>
      </c>
      <c r="F160" s="2"/>
      <c r="G160" s="2" t="s">
        <v>11631</v>
      </c>
      <c r="H160" s="2" t="s">
        <v>11903</v>
      </c>
      <c r="I160" s="2" t="s">
        <v>11893</v>
      </c>
    </row>
    <row r="161" spans="1:9">
      <c r="A161" s="2" t="s">
        <v>11675</v>
      </c>
      <c r="B161" s="2"/>
      <c r="C161" s="2" t="s">
        <v>68</v>
      </c>
      <c r="D161" s="2" t="s">
        <v>11808</v>
      </c>
      <c r="E161" s="2" t="s">
        <v>11808</v>
      </c>
      <c r="F161" s="2"/>
      <c r="G161" s="2" t="s">
        <v>11631</v>
      </c>
      <c r="H161" s="2" t="s">
        <v>11903</v>
      </c>
      <c r="I161" s="2" t="s">
        <v>11893</v>
      </c>
    </row>
    <row r="162" spans="1:9">
      <c r="A162" s="2" t="s">
        <v>11675</v>
      </c>
      <c r="B162" s="2"/>
      <c r="C162" s="2" t="s">
        <v>3692</v>
      </c>
      <c r="D162" s="2" t="s">
        <v>11821</v>
      </c>
      <c r="E162" s="2" t="s">
        <v>11821</v>
      </c>
      <c r="F162" s="2"/>
      <c r="G162" s="2" t="s">
        <v>11631</v>
      </c>
      <c r="H162" s="2" t="s">
        <v>11903</v>
      </c>
      <c r="I162" s="2" t="s">
        <v>11893</v>
      </c>
    </row>
    <row r="163" spans="1:9">
      <c r="A163" s="2" t="s">
        <v>11675</v>
      </c>
      <c r="B163" s="2"/>
      <c r="C163" s="2" t="s">
        <v>3693</v>
      </c>
      <c r="D163" s="2" t="s">
        <v>11807</v>
      </c>
      <c r="E163" s="2" t="s">
        <v>11807</v>
      </c>
      <c r="F163" s="2"/>
      <c r="G163" s="2" t="s">
        <v>11631</v>
      </c>
      <c r="H163" s="2" t="s">
        <v>11903</v>
      </c>
      <c r="I163" s="2" t="s">
        <v>11893</v>
      </c>
    </row>
    <row r="164" spans="1:9">
      <c r="A164" s="2" t="s">
        <v>11661</v>
      </c>
      <c r="B164" s="2"/>
      <c r="C164" s="2" t="s">
        <v>48</v>
      </c>
      <c r="D164" s="2" t="s">
        <v>11429</v>
      </c>
      <c r="E164" s="2" t="s">
        <v>11429</v>
      </c>
      <c r="F164" s="2"/>
      <c r="G164" s="2" t="s">
        <v>11631</v>
      </c>
      <c r="H164" s="2" t="s">
        <v>11904</v>
      </c>
      <c r="I164" s="2" t="s">
        <v>11893</v>
      </c>
    </row>
    <row r="165" spans="1:9">
      <c r="A165" s="2" t="s">
        <v>11661</v>
      </c>
      <c r="B165" s="2"/>
      <c r="C165" s="2" t="s">
        <v>52</v>
      </c>
      <c r="D165" s="2" t="s">
        <v>3406</v>
      </c>
      <c r="E165" s="2" t="s">
        <v>3406</v>
      </c>
      <c r="F165" s="2"/>
      <c r="G165" s="2" t="s">
        <v>11631</v>
      </c>
      <c r="H165" s="2" t="s">
        <v>11904</v>
      </c>
      <c r="I165" s="2" t="s">
        <v>11893</v>
      </c>
    </row>
    <row r="166" spans="1:9">
      <c r="A166" s="2" t="s">
        <v>11661</v>
      </c>
      <c r="B166" s="2"/>
      <c r="C166" s="2" t="s">
        <v>56</v>
      </c>
      <c r="D166" s="2" t="s">
        <v>546</v>
      </c>
      <c r="E166" s="2" t="s">
        <v>546</v>
      </c>
      <c r="F166" s="2"/>
      <c r="G166" s="2" t="s">
        <v>11631</v>
      </c>
      <c r="H166" s="2" t="s">
        <v>11904</v>
      </c>
      <c r="I166" s="2" t="s">
        <v>11893</v>
      </c>
    </row>
    <row r="167" spans="1:9">
      <c r="A167" s="2" t="s">
        <v>11661</v>
      </c>
      <c r="B167" s="2"/>
      <c r="C167" s="2" t="s">
        <v>60</v>
      </c>
      <c r="D167" s="2" t="s">
        <v>3404</v>
      </c>
      <c r="E167" s="2" t="s">
        <v>3404</v>
      </c>
      <c r="F167" s="2"/>
      <c r="G167" s="2" t="s">
        <v>11631</v>
      </c>
      <c r="H167" s="2" t="s">
        <v>11904</v>
      </c>
      <c r="I167" s="2" t="s">
        <v>11893</v>
      </c>
    </row>
    <row r="168" spans="1:9">
      <c r="A168" s="2" t="s">
        <v>11661</v>
      </c>
      <c r="B168" s="2"/>
      <c r="C168" s="2" t="s">
        <v>64</v>
      </c>
      <c r="D168" s="2" t="s">
        <v>3403</v>
      </c>
      <c r="E168" s="2" t="s">
        <v>3403</v>
      </c>
      <c r="F168" s="2"/>
      <c r="G168" s="2" t="s">
        <v>11631</v>
      </c>
      <c r="H168" s="2" t="s">
        <v>11904</v>
      </c>
      <c r="I168" s="2" t="s">
        <v>11893</v>
      </c>
    </row>
    <row r="169" spans="1:9">
      <c r="A169" s="2" t="s">
        <v>11653</v>
      </c>
      <c r="B169" s="2"/>
      <c r="C169" s="2" t="s">
        <v>48</v>
      </c>
      <c r="D169" s="2" t="s">
        <v>11429</v>
      </c>
      <c r="E169" s="2" t="s">
        <v>11429</v>
      </c>
      <c r="F169" s="2"/>
      <c r="G169" s="2" t="s">
        <v>11631</v>
      </c>
      <c r="H169" s="2" t="s">
        <v>11905</v>
      </c>
      <c r="I169" s="2" t="s">
        <v>11893</v>
      </c>
    </row>
    <row r="170" spans="1:9">
      <c r="A170" s="2" t="s">
        <v>11653</v>
      </c>
      <c r="B170" s="2"/>
      <c r="C170" s="2" t="s">
        <v>52</v>
      </c>
      <c r="D170" s="2" t="s">
        <v>11712</v>
      </c>
      <c r="E170" s="2" t="s">
        <v>11712</v>
      </c>
      <c r="F170" s="2"/>
      <c r="G170" s="2" t="s">
        <v>11631</v>
      </c>
      <c r="H170" s="2" t="s">
        <v>11905</v>
      </c>
      <c r="I170" s="2" t="s">
        <v>11893</v>
      </c>
    </row>
    <row r="171" spans="1:9">
      <c r="A171" s="2" t="s">
        <v>11653</v>
      </c>
      <c r="B171" s="2"/>
      <c r="C171" s="2" t="s">
        <v>56</v>
      </c>
      <c r="D171" s="2" t="s">
        <v>11735</v>
      </c>
      <c r="E171" s="2" t="s">
        <v>11735</v>
      </c>
      <c r="F171" s="2"/>
      <c r="G171" s="2" t="s">
        <v>11631</v>
      </c>
      <c r="H171" s="2" t="s">
        <v>11905</v>
      </c>
      <c r="I171" s="2" t="s">
        <v>11893</v>
      </c>
    </row>
    <row r="172" spans="1:9">
      <c r="A172" s="2" t="s">
        <v>11653</v>
      </c>
      <c r="B172" s="2"/>
      <c r="C172" s="2" t="s">
        <v>60</v>
      </c>
      <c r="D172" s="2" t="s">
        <v>11760</v>
      </c>
      <c r="E172" s="2" t="s">
        <v>11760</v>
      </c>
      <c r="F172" s="2"/>
      <c r="G172" s="2" t="s">
        <v>11631</v>
      </c>
      <c r="H172" s="2" t="s">
        <v>11905</v>
      </c>
      <c r="I172" s="2" t="s">
        <v>11893</v>
      </c>
    </row>
    <row r="173" spans="1:9">
      <c r="A173" s="2" t="s">
        <v>11653</v>
      </c>
      <c r="B173" s="2"/>
      <c r="C173" s="2" t="s">
        <v>64</v>
      </c>
      <c r="D173" s="2" t="s">
        <v>11761</v>
      </c>
      <c r="E173" s="2" t="s">
        <v>11761</v>
      </c>
      <c r="F173" s="2"/>
      <c r="G173" s="2" t="s">
        <v>11631</v>
      </c>
      <c r="H173" s="2" t="s">
        <v>11905</v>
      </c>
      <c r="I173" s="2" t="s">
        <v>11893</v>
      </c>
    </row>
    <row r="174" spans="1:9">
      <c r="A174" s="2" t="s">
        <v>11643</v>
      </c>
      <c r="B174" s="2"/>
      <c r="C174" s="2" t="s">
        <v>48</v>
      </c>
      <c r="D174" s="2" t="s">
        <v>11684</v>
      </c>
      <c r="E174" s="2" t="s">
        <v>11684</v>
      </c>
      <c r="F174" s="2"/>
      <c r="G174" s="2" t="s">
        <v>11631</v>
      </c>
      <c r="H174" s="2" t="s">
        <v>11906</v>
      </c>
      <c r="I174" s="2" t="s">
        <v>11893</v>
      </c>
    </row>
    <row r="175" spans="1:9">
      <c r="A175" s="2" t="s">
        <v>11643</v>
      </c>
      <c r="B175" s="2"/>
      <c r="C175" s="2" t="s">
        <v>52</v>
      </c>
      <c r="D175" s="2" t="s">
        <v>11707</v>
      </c>
      <c r="E175" s="2" t="s">
        <v>11707</v>
      </c>
      <c r="F175" s="2"/>
      <c r="G175" s="2" t="s">
        <v>11631</v>
      </c>
      <c r="H175" s="2" t="s">
        <v>11906</v>
      </c>
      <c r="I175" s="2" t="s">
        <v>11893</v>
      </c>
    </row>
    <row r="176" spans="1:9">
      <c r="A176" s="2" t="s">
        <v>11643</v>
      </c>
      <c r="B176" s="2"/>
      <c r="C176" s="2" t="s">
        <v>56</v>
      </c>
      <c r="D176" s="2" t="s">
        <v>11731</v>
      </c>
      <c r="E176" s="2" t="s">
        <v>11731</v>
      </c>
      <c r="F176" s="2"/>
      <c r="G176" s="2" t="s">
        <v>11631</v>
      </c>
      <c r="H176" s="2" t="s">
        <v>11906</v>
      </c>
      <c r="I176" s="2" t="s">
        <v>11893</v>
      </c>
    </row>
    <row r="177" spans="1:9">
      <c r="A177" s="2" t="s">
        <v>11643</v>
      </c>
      <c r="B177" s="2"/>
      <c r="C177" s="2" t="s">
        <v>60</v>
      </c>
      <c r="D177" s="2" t="s">
        <v>11755</v>
      </c>
      <c r="E177" s="2" t="s">
        <v>11755</v>
      </c>
      <c r="F177" s="2"/>
      <c r="G177" s="2" t="s">
        <v>11631</v>
      </c>
      <c r="H177" s="2" t="s">
        <v>11906</v>
      </c>
      <c r="I177" s="2" t="s">
        <v>11893</v>
      </c>
    </row>
    <row r="178" spans="1:9">
      <c r="A178" s="2" t="s">
        <v>11643</v>
      </c>
      <c r="B178" s="2"/>
      <c r="C178" s="2" t="s">
        <v>64</v>
      </c>
      <c r="D178" s="2" t="s">
        <v>11779</v>
      </c>
      <c r="E178" s="2" t="s">
        <v>11779</v>
      </c>
      <c r="F178" s="2"/>
      <c r="G178" s="2" t="s">
        <v>11631</v>
      </c>
      <c r="H178" s="2" t="s">
        <v>11906</v>
      </c>
      <c r="I178" s="2" t="s">
        <v>11893</v>
      </c>
    </row>
    <row r="179" spans="1:9">
      <c r="A179" s="2" t="s">
        <v>11641</v>
      </c>
      <c r="B179" s="2"/>
      <c r="C179" s="2" t="s">
        <v>48</v>
      </c>
      <c r="D179" s="2" t="s">
        <v>10788</v>
      </c>
      <c r="E179" s="2" t="s">
        <v>10788</v>
      </c>
      <c r="F179" s="2"/>
      <c r="G179" s="2" t="s">
        <v>11631</v>
      </c>
      <c r="H179" s="2" t="s">
        <v>11907</v>
      </c>
      <c r="I179" s="2" t="s">
        <v>11893</v>
      </c>
    </row>
    <row r="180" spans="1:9">
      <c r="A180" s="2" t="s">
        <v>11641</v>
      </c>
      <c r="B180" s="2"/>
      <c r="C180" s="2" t="s">
        <v>52</v>
      </c>
      <c r="D180" s="2" t="s">
        <v>11433</v>
      </c>
      <c r="E180" s="2" t="s">
        <v>11433</v>
      </c>
      <c r="F180" s="2"/>
      <c r="G180" s="2" t="s">
        <v>11631</v>
      </c>
      <c r="H180" s="2" t="s">
        <v>11907</v>
      </c>
      <c r="I180" s="2" t="s">
        <v>11893</v>
      </c>
    </row>
    <row r="181" spans="1:9">
      <c r="A181" s="2" t="s">
        <v>11641</v>
      </c>
      <c r="B181" s="2"/>
      <c r="C181" s="2" t="s">
        <v>56</v>
      </c>
      <c r="D181" s="2" t="s">
        <v>11437</v>
      </c>
      <c r="E181" s="2" t="s">
        <v>11437</v>
      </c>
      <c r="F181" s="2"/>
      <c r="G181" s="2" t="s">
        <v>11631</v>
      </c>
      <c r="H181" s="2" t="s">
        <v>11907</v>
      </c>
      <c r="I181" s="2" t="s">
        <v>11893</v>
      </c>
    </row>
    <row r="182" spans="1:9">
      <c r="A182" s="2" t="s">
        <v>11641</v>
      </c>
      <c r="B182" s="2"/>
      <c r="C182" s="2" t="s">
        <v>60</v>
      </c>
      <c r="D182" s="2" t="s">
        <v>11441</v>
      </c>
      <c r="E182" s="2" t="s">
        <v>11441</v>
      </c>
      <c r="F182" s="2"/>
      <c r="G182" s="2" t="s">
        <v>11631</v>
      </c>
      <c r="H182" s="2" t="s">
        <v>11907</v>
      </c>
      <c r="I182" s="2" t="s">
        <v>11893</v>
      </c>
    </row>
    <row r="183" spans="1:9">
      <c r="A183" s="2" t="s">
        <v>11641</v>
      </c>
      <c r="B183" s="2"/>
      <c r="C183" s="2" t="s">
        <v>64</v>
      </c>
      <c r="D183" s="2" t="s">
        <v>10815</v>
      </c>
      <c r="E183" s="2" t="s">
        <v>10815</v>
      </c>
      <c r="F183" s="2"/>
      <c r="G183" s="2" t="s">
        <v>11631</v>
      </c>
      <c r="H183" s="2" t="s">
        <v>11907</v>
      </c>
      <c r="I183" s="2" t="s">
        <v>11893</v>
      </c>
    </row>
    <row r="184" spans="1:9" ht="28.3" customHeight="1">
      <c r="A184" s="2" t="s">
        <v>11677</v>
      </c>
      <c r="B184" s="2"/>
      <c r="C184" s="2" t="s">
        <v>48</v>
      </c>
      <c r="D184" s="2" t="s">
        <v>11430</v>
      </c>
      <c r="E184" s="2" t="s">
        <v>11430</v>
      </c>
      <c r="F184" s="2"/>
      <c r="G184" s="2" t="s">
        <v>11631</v>
      </c>
      <c r="H184" s="2" t="s">
        <v>11908</v>
      </c>
      <c r="I184" s="2" t="s">
        <v>11893</v>
      </c>
    </row>
    <row r="185" spans="1:9" ht="28.3" customHeight="1">
      <c r="A185" s="2" t="s">
        <v>11677</v>
      </c>
      <c r="B185" s="2"/>
      <c r="C185" s="2" t="s">
        <v>52</v>
      </c>
      <c r="D185" s="2" t="s">
        <v>11434</v>
      </c>
      <c r="E185" s="2" t="s">
        <v>11434</v>
      </c>
      <c r="F185" s="2"/>
      <c r="G185" s="2" t="s">
        <v>11631</v>
      </c>
      <c r="H185" s="2" t="s">
        <v>11908</v>
      </c>
      <c r="I185" s="2" t="s">
        <v>11893</v>
      </c>
    </row>
    <row r="186" spans="1:9" ht="28.3" customHeight="1">
      <c r="A186" s="2" t="s">
        <v>11677</v>
      </c>
      <c r="B186" s="2"/>
      <c r="C186" s="2" t="s">
        <v>56</v>
      </c>
      <c r="D186" s="2" t="s">
        <v>11438</v>
      </c>
      <c r="E186" s="2" t="s">
        <v>11438</v>
      </c>
      <c r="F186" s="2"/>
      <c r="G186" s="2" t="s">
        <v>11631</v>
      </c>
      <c r="H186" s="2" t="s">
        <v>11908</v>
      </c>
      <c r="I186" s="2" t="s">
        <v>11893</v>
      </c>
    </row>
    <row r="187" spans="1:9" ht="28.3" customHeight="1">
      <c r="A187" s="2" t="s">
        <v>11677</v>
      </c>
      <c r="B187" s="2"/>
      <c r="C187" s="2" t="s">
        <v>60</v>
      </c>
      <c r="D187" s="2" t="s">
        <v>11442</v>
      </c>
      <c r="E187" s="2" t="s">
        <v>11442</v>
      </c>
      <c r="F187" s="2"/>
      <c r="G187" s="2" t="s">
        <v>11631</v>
      </c>
      <c r="H187" s="2" t="s">
        <v>11908</v>
      </c>
      <c r="I187" s="2" t="s">
        <v>11893</v>
      </c>
    </row>
    <row r="188" spans="1:9" ht="28.3" customHeight="1">
      <c r="A188" s="2" t="s">
        <v>11677</v>
      </c>
      <c r="B188" s="2"/>
      <c r="C188" s="2" t="s">
        <v>64</v>
      </c>
      <c r="D188" s="2" t="s">
        <v>11445</v>
      </c>
      <c r="E188" s="2" t="s">
        <v>11445</v>
      </c>
      <c r="F188" s="2"/>
      <c r="G188" s="2" t="s">
        <v>11631</v>
      </c>
      <c r="H188" s="2" t="s">
        <v>11908</v>
      </c>
      <c r="I188" s="2" t="s">
        <v>11893</v>
      </c>
    </row>
    <row r="189" spans="1:9" ht="28.3" customHeight="1">
      <c r="A189" s="2" t="s">
        <v>11677</v>
      </c>
      <c r="B189" s="2"/>
      <c r="C189" s="2" t="s">
        <v>68</v>
      </c>
      <c r="D189" s="2" t="s">
        <v>10815</v>
      </c>
      <c r="E189" s="2" t="s">
        <v>10815</v>
      </c>
      <c r="F189" s="2"/>
      <c r="G189" s="2" t="s">
        <v>11631</v>
      </c>
      <c r="H189" s="2" t="s">
        <v>11908</v>
      </c>
      <c r="I189" s="2" t="s">
        <v>11893</v>
      </c>
    </row>
    <row r="190" spans="1:9" ht="28.3" customHeight="1">
      <c r="A190" s="2" t="s">
        <v>11670</v>
      </c>
      <c r="B190" s="2"/>
      <c r="C190" s="2" t="s">
        <v>48</v>
      </c>
      <c r="D190" s="2" t="s">
        <v>11698</v>
      </c>
      <c r="E190" s="2" t="s">
        <v>11698</v>
      </c>
      <c r="F190" s="2"/>
      <c r="G190" s="2" t="s">
        <v>11631</v>
      </c>
      <c r="H190" s="2" t="s">
        <v>11909</v>
      </c>
      <c r="I190" s="2" t="s">
        <v>11893</v>
      </c>
    </row>
    <row r="191" spans="1:9" ht="28.3" customHeight="1">
      <c r="A191" s="2" t="s">
        <v>11670</v>
      </c>
      <c r="B191" s="2"/>
      <c r="C191" s="2" t="s">
        <v>52</v>
      </c>
      <c r="D191" s="2" t="s">
        <v>11722</v>
      </c>
      <c r="E191" s="2" t="s">
        <v>11722</v>
      </c>
      <c r="F191" s="2"/>
      <c r="G191" s="2" t="s">
        <v>11631</v>
      </c>
      <c r="H191" s="2" t="s">
        <v>11909</v>
      </c>
      <c r="I191" s="2" t="s">
        <v>11893</v>
      </c>
    </row>
    <row r="192" spans="1:9" ht="28.3" customHeight="1">
      <c r="A192" s="2" t="s">
        <v>11670</v>
      </c>
      <c r="B192" s="2"/>
      <c r="C192" s="2" t="s">
        <v>56</v>
      </c>
      <c r="D192" s="2" t="s">
        <v>11745</v>
      </c>
      <c r="E192" s="2" t="s">
        <v>11745</v>
      </c>
      <c r="F192" s="2"/>
      <c r="G192" s="2" t="s">
        <v>11631</v>
      </c>
      <c r="H192" s="2" t="s">
        <v>11909</v>
      </c>
      <c r="I192" s="2" t="s">
        <v>11893</v>
      </c>
    </row>
    <row r="193" spans="1:9" ht="28.3" customHeight="1">
      <c r="A193" s="2" t="s">
        <v>11670</v>
      </c>
      <c r="B193" s="2"/>
      <c r="C193" s="2" t="s">
        <v>60</v>
      </c>
      <c r="D193" s="2" t="s">
        <v>11770</v>
      </c>
      <c r="E193" s="2" t="s">
        <v>11770</v>
      </c>
      <c r="F193" s="2"/>
      <c r="G193" s="2" t="s">
        <v>11631</v>
      </c>
      <c r="H193" s="2" t="s">
        <v>11909</v>
      </c>
      <c r="I193" s="2" t="s">
        <v>11893</v>
      </c>
    </row>
    <row r="194" spans="1:9" ht="28.3" customHeight="1">
      <c r="A194" s="2" t="s">
        <v>11670</v>
      </c>
      <c r="B194" s="2"/>
      <c r="C194" s="2" t="s">
        <v>64</v>
      </c>
      <c r="D194" s="2" t="s">
        <v>11792</v>
      </c>
      <c r="E194" s="2" t="s">
        <v>11792</v>
      </c>
      <c r="F194" s="2"/>
      <c r="G194" s="2" t="s">
        <v>11631</v>
      </c>
      <c r="H194" s="2" t="s">
        <v>11909</v>
      </c>
      <c r="I194" s="2" t="s">
        <v>11893</v>
      </c>
    </row>
    <row r="195" spans="1:9">
      <c r="A195" s="2" t="s">
        <v>11664</v>
      </c>
      <c r="B195" s="2"/>
      <c r="C195" s="2" t="s">
        <v>48</v>
      </c>
      <c r="D195" s="2" t="s">
        <v>11429</v>
      </c>
      <c r="E195" s="2" t="s">
        <v>11429</v>
      </c>
      <c r="F195" s="2"/>
      <c r="G195" s="2" t="s">
        <v>11631</v>
      </c>
      <c r="H195" s="2" t="s">
        <v>11910</v>
      </c>
      <c r="I195" s="2" t="s">
        <v>11893</v>
      </c>
    </row>
    <row r="196" spans="1:9">
      <c r="A196" s="2" t="s">
        <v>11664</v>
      </c>
      <c r="B196" s="2"/>
      <c r="C196" s="2" t="s">
        <v>52</v>
      </c>
      <c r="D196" s="2" t="s">
        <v>11718</v>
      </c>
      <c r="E196" s="2" t="s">
        <v>11718</v>
      </c>
      <c r="F196" s="2"/>
      <c r="G196" s="2" t="s">
        <v>11631</v>
      </c>
      <c r="H196" s="2" t="s">
        <v>11910</v>
      </c>
      <c r="I196" s="2" t="s">
        <v>11893</v>
      </c>
    </row>
    <row r="197" spans="1:9">
      <c r="A197" s="2" t="s">
        <v>11664</v>
      </c>
      <c r="B197" s="2"/>
      <c r="C197" s="2" t="s">
        <v>56</v>
      </c>
      <c r="D197" s="2" t="s">
        <v>11741</v>
      </c>
      <c r="E197" s="2" t="s">
        <v>11741</v>
      </c>
      <c r="F197" s="2"/>
      <c r="G197" s="2" t="s">
        <v>11631</v>
      </c>
      <c r="H197" s="2" t="s">
        <v>11910</v>
      </c>
      <c r="I197" s="2" t="s">
        <v>11893</v>
      </c>
    </row>
    <row r="198" spans="1:9">
      <c r="A198" s="2" t="s">
        <v>11664</v>
      </c>
      <c r="B198" s="2"/>
      <c r="C198" s="2" t="s">
        <v>60</v>
      </c>
      <c r="D198" s="2" t="s">
        <v>11766</v>
      </c>
      <c r="E198" s="2" t="s">
        <v>11766</v>
      </c>
      <c r="F198" s="2"/>
      <c r="G198" s="2" t="s">
        <v>11631</v>
      </c>
      <c r="H198" s="2" t="s">
        <v>11910</v>
      </c>
      <c r="I198" s="2" t="s">
        <v>11893</v>
      </c>
    </row>
    <row r="199" spans="1:9">
      <c r="A199" s="2" t="s">
        <v>11664</v>
      </c>
      <c r="B199" s="2"/>
      <c r="C199" s="2" t="s">
        <v>64</v>
      </c>
      <c r="D199" s="2" t="s">
        <v>11788</v>
      </c>
      <c r="E199" s="2" t="s">
        <v>11788</v>
      </c>
      <c r="F199" s="2"/>
      <c r="G199" s="2" t="s">
        <v>11631</v>
      </c>
      <c r="H199" s="2" t="s">
        <v>11910</v>
      </c>
      <c r="I199" s="2" t="s">
        <v>11893</v>
      </c>
    </row>
    <row r="200" spans="1:9">
      <c r="A200" s="2" t="s">
        <v>11644</v>
      </c>
      <c r="B200" s="2"/>
      <c r="C200" s="2" t="s">
        <v>48</v>
      </c>
      <c r="D200" s="2" t="s">
        <v>677</v>
      </c>
      <c r="E200" s="2" t="s">
        <v>677</v>
      </c>
      <c r="F200" s="2"/>
      <c r="G200" s="2" t="s">
        <v>11631</v>
      </c>
      <c r="H200" s="2" t="s">
        <v>11911</v>
      </c>
      <c r="I200" s="2" t="s">
        <v>11893</v>
      </c>
    </row>
    <row r="201" spans="1:9">
      <c r="A201" s="2" t="s">
        <v>11644</v>
      </c>
      <c r="B201" s="2"/>
      <c r="C201" s="2" t="s">
        <v>52</v>
      </c>
      <c r="D201" s="2" t="s">
        <v>678</v>
      </c>
      <c r="E201" s="2" t="s">
        <v>678</v>
      </c>
      <c r="F201" s="2"/>
      <c r="G201" s="2" t="s">
        <v>11631</v>
      </c>
      <c r="H201" s="2" t="s">
        <v>11911</v>
      </c>
      <c r="I201" s="2" t="s">
        <v>11893</v>
      </c>
    </row>
    <row r="202" spans="1:9">
      <c r="A202" s="2" t="s">
        <v>11644</v>
      </c>
      <c r="B202" s="2"/>
      <c r="C202" s="2" t="s">
        <v>56</v>
      </c>
      <c r="D202" s="2" t="s">
        <v>679</v>
      </c>
      <c r="E202" s="2" t="s">
        <v>679</v>
      </c>
      <c r="F202" s="2"/>
      <c r="G202" s="2" t="s">
        <v>11631</v>
      </c>
      <c r="H202" s="2" t="s">
        <v>11911</v>
      </c>
      <c r="I202" s="2" t="s">
        <v>11893</v>
      </c>
    </row>
    <row r="203" spans="1:9">
      <c r="A203" s="2" t="s">
        <v>11644</v>
      </c>
      <c r="B203" s="2"/>
      <c r="C203" s="2" t="s">
        <v>60</v>
      </c>
      <c r="D203" s="2" t="s">
        <v>680</v>
      </c>
      <c r="E203" s="2" t="s">
        <v>680</v>
      </c>
      <c r="F203" s="2"/>
      <c r="G203" s="2" t="s">
        <v>11631</v>
      </c>
      <c r="H203" s="2" t="s">
        <v>11911</v>
      </c>
      <c r="I203" s="2" t="s">
        <v>11893</v>
      </c>
    </row>
    <row r="204" spans="1:9">
      <c r="A204" s="2" t="s">
        <v>11644</v>
      </c>
      <c r="B204" s="2"/>
      <c r="C204" s="2" t="s">
        <v>64</v>
      </c>
      <c r="D204" s="2" t="s">
        <v>681</v>
      </c>
      <c r="E204" s="2" t="s">
        <v>681</v>
      </c>
      <c r="F204" s="2"/>
      <c r="G204" s="2" t="s">
        <v>11631</v>
      </c>
      <c r="H204" s="2" t="s">
        <v>11911</v>
      </c>
      <c r="I204" s="2" t="s">
        <v>11893</v>
      </c>
    </row>
    <row r="205" spans="1:9">
      <c r="A205" s="2" t="s">
        <v>11644</v>
      </c>
      <c r="B205" s="2"/>
      <c r="C205" s="2" t="s">
        <v>68</v>
      </c>
      <c r="D205" s="2" t="s">
        <v>682</v>
      </c>
      <c r="E205" s="2" t="s">
        <v>682</v>
      </c>
      <c r="F205" s="2"/>
      <c r="G205" s="2" t="s">
        <v>11631</v>
      </c>
      <c r="H205" s="2" t="s">
        <v>11911</v>
      </c>
      <c r="I205" s="2" t="s">
        <v>11893</v>
      </c>
    </row>
    <row r="206" spans="1:9">
      <c r="A206" s="2" t="s">
        <v>11644</v>
      </c>
      <c r="B206" s="2"/>
      <c r="C206" s="2" t="s">
        <v>3692</v>
      </c>
      <c r="D206" s="2" t="s">
        <v>11812</v>
      </c>
      <c r="E206" s="2" t="s">
        <v>11812</v>
      </c>
      <c r="F206" s="2"/>
      <c r="G206" s="2" t="s">
        <v>11631</v>
      </c>
      <c r="H206" s="2" t="s">
        <v>11911</v>
      </c>
      <c r="I206" s="2" t="s">
        <v>11893</v>
      </c>
    </row>
    <row r="207" spans="1:9">
      <c r="A207" s="2" t="s">
        <v>11644</v>
      </c>
      <c r="B207" s="2"/>
      <c r="C207" s="2" t="s">
        <v>3693</v>
      </c>
      <c r="D207" s="2" t="s">
        <v>684</v>
      </c>
      <c r="E207" s="2" t="s">
        <v>684</v>
      </c>
      <c r="F207" s="2"/>
      <c r="G207" s="2" t="s">
        <v>11631</v>
      </c>
      <c r="H207" s="2" t="s">
        <v>11911</v>
      </c>
      <c r="I207" s="2" t="s">
        <v>11893</v>
      </c>
    </row>
    <row r="208" spans="1:9">
      <c r="A208" s="2" t="s">
        <v>11644</v>
      </c>
      <c r="B208" s="2"/>
      <c r="C208" s="2" t="s">
        <v>3694</v>
      </c>
      <c r="D208" s="2" t="s">
        <v>685</v>
      </c>
      <c r="E208" s="2" t="s">
        <v>685</v>
      </c>
      <c r="F208" s="2"/>
      <c r="G208" s="2" t="s">
        <v>11631</v>
      </c>
      <c r="H208" s="2" t="s">
        <v>11911</v>
      </c>
      <c r="I208" s="2" t="s">
        <v>11893</v>
      </c>
    </row>
    <row r="209" spans="1:9">
      <c r="A209" s="2" t="s">
        <v>11644</v>
      </c>
      <c r="B209" s="2"/>
      <c r="C209" s="2" t="s">
        <v>3695</v>
      </c>
      <c r="D209" s="2" t="s">
        <v>686</v>
      </c>
      <c r="E209" s="2" t="s">
        <v>686</v>
      </c>
      <c r="F209" s="2"/>
      <c r="G209" s="2" t="s">
        <v>11631</v>
      </c>
      <c r="H209" s="2" t="s">
        <v>11911</v>
      </c>
      <c r="I209" s="2" t="s">
        <v>11893</v>
      </c>
    </row>
    <row r="210" spans="1:9">
      <c r="A210" s="2" t="s">
        <v>11644</v>
      </c>
      <c r="B210" s="2"/>
      <c r="C210" s="2" t="s">
        <v>3696</v>
      </c>
      <c r="D210" s="2" t="s">
        <v>687</v>
      </c>
      <c r="E210" s="2" t="s">
        <v>687</v>
      </c>
      <c r="F210" s="2"/>
      <c r="G210" s="2" t="s">
        <v>11631</v>
      </c>
      <c r="H210" s="2" t="s">
        <v>11911</v>
      </c>
      <c r="I210" s="2" t="s">
        <v>11893</v>
      </c>
    </row>
    <row r="211" spans="1:9">
      <c r="A211" s="2" t="s">
        <v>11644</v>
      </c>
      <c r="B211" s="2"/>
      <c r="C211" s="2" t="s">
        <v>3697</v>
      </c>
      <c r="D211" s="2" t="s">
        <v>688</v>
      </c>
      <c r="E211" s="2" t="s">
        <v>688</v>
      </c>
      <c r="F211" s="2"/>
      <c r="G211" s="2" t="s">
        <v>11631</v>
      </c>
      <c r="H211" s="2" t="s">
        <v>11911</v>
      </c>
      <c r="I211" s="2" t="s">
        <v>11893</v>
      </c>
    </row>
    <row r="212" spans="1:9">
      <c r="A212" s="2" t="s">
        <v>11644</v>
      </c>
      <c r="B212" s="2"/>
      <c r="C212" s="2" t="s">
        <v>3698</v>
      </c>
      <c r="D212" s="2" t="s">
        <v>11857</v>
      </c>
      <c r="E212" s="2" t="s">
        <v>11857</v>
      </c>
      <c r="F212" s="2"/>
      <c r="G212" s="2" t="s">
        <v>11631</v>
      </c>
      <c r="H212" s="2" t="s">
        <v>11911</v>
      </c>
      <c r="I212" s="2" t="s">
        <v>11893</v>
      </c>
    </row>
    <row r="213" spans="1:9">
      <c r="A213" s="2" t="s">
        <v>11644</v>
      </c>
      <c r="B213" s="2"/>
      <c r="C213" s="2" t="s">
        <v>3699</v>
      </c>
      <c r="D213" s="2" t="s">
        <v>689</v>
      </c>
      <c r="E213" s="2" t="s">
        <v>689</v>
      </c>
      <c r="F213" s="2"/>
      <c r="G213" s="2" t="s">
        <v>11631</v>
      </c>
      <c r="H213" s="2" t="s">
        <v>11911</v>
      </c>
      <c r="I213" s="2" t="s">
        <v>11893</v>
      </c>
    </row>
    <row r="214" spans="1:9">
      <c r="A214" s="2" t="s">
        <v>11644</v>
      </c>
      <c r="B214" s="2"/>
      <c r="C214" s="2" t="s">
        <v>3700</v>
      </c>
      <c r="D214" s="2" t="s">
        <v>690</v>
      </c>
      <c r="E214" s="2" t="s">
        <v>690</v>
      </c>
      <c r="F214" s="2"/>
      <c r="G214" s="2" t="s">
        <v>11631</v>
      </c>
      <c r="H214" s="2" t="s">
        <v>11911</v>
      </c>
      <c r="I214" s="2" t="s">
        <v>11893</v>
      </c>
    </row>
    <row r="215" spans="1:9">
      <c r="A215" s="2" t="s">
        <v>11644</v>
      </c>
      <c r="B215" s="2"/>
      <c r="C215" s="2" t="s">
        <v>3701</v>
      </c>
      <c r="D215" s="2" t="s">
        <v>691</v>
      </c>
      <c r="E215" s="2" t="s">
        <v>691</v>
      </c>
      <c r="F215" s="2"/>
      <c r="G215" s="2" t="s">
        <v>11631</v>
      </c>
      <c r="H215" s="2" t="s">
        <v>11911</v>
      </c>
      <c r="I215" s="2" t="s">
        <v>11893</v>
      </c>
    </row>
    <row r="216" spans="1:9">
      <c r="A216" s="2" t="s">
        <v>11644</v>
      </c>
      <c r="B216" s="2"/>
      <c r="C216" s="2" t="s">
        <v>3702</v>
      </c>
      <c r="D216" s="2" t="s">
        <v>11867</v>
      </c>
      <c r="E216" s="2" t="s">
        <v>11867</v>
      </c>
      <c r="F216" s="2"/>
      <c r="G216" s="2" t="s">
        <v>11631</v>
      </c>
      <c r="H216" s="2" t="s">
        <v>11911</v>
      </c>
      <c r="I216" s="2" t="s">
        <v>11893</v>
      </c>
    </row>
    <row r="217" spans="1:9">
      <c r="A217" s="2" t="s">
        <v>11644</v>
      </c>
      <c r="B217" s="2"/>
      <c r="C217" s="2" t="s">
        <v>3703</v>
      </c>
      <c r="D217" s="2" t="s">
        <v>11869</v>
      </c>
      <c r="E217" s="2" t="s">
        <v>11869</v>
      </c>
      <c r="F217" s="2"/>
      <c r="G217" s="2" t="s">
        <v>11631</v>
      </c>
      <c r="H217" s="2" t="s">
        <v>11911</v>
      </c>
      <c r="I217" s="2" t="s">
        <v>11893</v>
      </c>
    </row>
    <row r="218" spans="1:9">
      <c r="A218" s="2" t="s">
        <v>11644</v>
      </c>
      <c r="B218" s="2"/>
      <c r="C218" s="2" t="s">
        <v>3704</v>
      </c>
      <c r="D218" s="2" t="s">
        <v>11826</v>
      </c>
      <c r="E218" s="2" t="s">
        <v>11826</v>
      </c>
      <c r="F218" s="2"/>
      <c r="G218" s="2" t="s">
        <v>11631</v>
      </c>
      <c r="H218" s="2" t="s">
        <v>11911</v>
      </c>
      <c r="I218" s="2" t="s">
        <v>11893</v>
      </c>
    </row>
    <row r="219" spans="1:9">
      <c r="A219" s="2" t="s">
        <v>11639</v>
      </c>
      <c r="B219" s="2"/>
      <c r="C219" s="2" t="s">
        <v>48</v>
      </c>
      <c r="D219" s="2" t="s">
        <v>11683</v>
      </c>
      <c r="E219" s="2" t="s">
        <v>11683</v>
      </c>
      <c r="F219" s="2"/>
      <c r="G219" s="2" t="s">
        <v>11631</v>
      </c>
      <c r="H219" s="2" t="s">
        <v>11912</v>
      </c>
      <c r="I219" s="2" t="s">
        <v>11893</v>
      </c>
    </row>
    <row r="220" spans="1:9">
      <c r="A220" s="2" t="s">
        <v>11639</v>
      </c>
      <c r="B220" s="2"/>
      <c r="C220" s="2" t="s">
        <v>52</v>
      </c>
      <c r="D220" s="2" t="s">
        <v>11706</v>
      </c>
      <c r="E220" s="2" t="s">
        <v>11706</v>
      </c>
      <c r="F220" s="2"/>
      <c r="G220" s="2" t="s">
        <v>11631</v>
      </c>
      <c r="H220" s="2" t="s">
        <v>11912</v>
      </c>
      <c r="I220" s="2" t="s">
        <v>11893</v>
      </c>
    </row>
    <row r="221" spans="1:9">
      <c r="A221" s="2" t="s">
        <v>11639</v>
      </c>
      <c r="B221" s="2"/>
      <c r="C221" s="2" t="s">
        <v>56</v>
      </c>
      <c r="D221" s="2" t="s">
        <v>11730</v>
      </c>
      <c r="E221" s="2" t="s">
        <v>11730</v>
      </c>
      <c r="F221" s="2"/>
      <c r="G221" s="2" t="s">
        <v>11631</v>
      </c>
      <c r="H221" s="2" t="s">
        <v>11912</v>
      </c>
      <c r="I221" s="2" t="s">
        <v>11893</v>
      </c>
    </row>
    <row r="222" spans="1:9">
      <c r="A222" s="2" t="s">
        <v>11639</v>
      </c>
      <c r="B222" s="2"/>
      <c r="C222" s="2" t="s">
        <v>60</v>
      </c>
      <c r="D222" s="2" t="s">
        <v>11754</v>
      </c>
      <c r="E222" s="2" t="s">
        <v>11754</v>
      </c>
      <c r="F222" s="2"/>
      <c r="G222" s="2" t="s">
        <v>11631</v>
      </c>
      <c r="H222" s="2" t="s">
        <v>11912</v>
      </c>
      <c r="I222" s="2" t="s">
        <v>11893</v>
      </c>
    </row>
    <row r="223" spans="1:9">
      <c r="A223" s="2" t="s">
        <v>11639</v>
      </c>
      <c r="B223" s="2"/>
      <c r="C223" s="2" t="s">
        <v>64</v>
      </c>
      <c r="D223" s="2" t="s">
        <v>11778</v>
      </c>
      <c r="E223" s="2" t="s">
        <v>11778</v>
      </c>
      <c r="F223" s="2"/>
      <c r="G223" s="2" t="s">
        <v>11631</v>
      </c>
      <c r="H223" s="2" t="s">
        <v>11912</v>
      </c>
      <c r="I223" s="2" t="s">
        <v>11893</v>
      </c>
    </row>
    <row r="224" spans="1:9">
      <c r="A224" s="2" t="s">
        <v>11639</v>
      </c>
      <c r="B224" s="2"/>
      <c r="C224" s="2" t="s">
        <v>68</v>
      </c>
      <c r="D224" s="2" t="s">
        <v>11798</v>
      </c>
      <c r="E224" s="2" t="s">
        <v>11798</v>
      </c>
      <c r="F224" s="2"/>
      <c r="G224" s="2" t="s">
        <v>11631</v>
      </c>
      <c r="H224" s="2" t="s">
        <v>11912</v>
      </c>
      <c r="I224" s="2" t="s">
        <v>11893</v>
      </c>
    </row>
    <row r="225" spans="1:9">
      <c r="A225" s="2" t="s">
        <v>11639</v>
      </c>
      <c r="B225" s="2"/>
      <c r="C225" s="2" t="s">
        <v>3692</v>
      </c>
      <c r="D225" s="2" t="s">
        <v>11811</v>
      </c>
      <c r="E225" s="2" t="s">
        <v>11811</v>
      </c>
      <c r="F225" s="2"/>
      <c r="G225" s="2" t="s">
        <v>11631</v>
      </c>
      <c r="H225" s="2" t="s">
        <v>11912</v>
      </c>
      <c r="I225" s="2" t="s">
        <v>11893</v>
      </c>
    </row>
    <row r="226" spans="1:9">
      <c r="A226" s="2" t="s">
        <v>11639</v>
      </c>
      <c r="B226" s="2"/>
      <c r="C226" s="2" t="s">
        <v>3693</v>
      </c>
      <c r="D226" s="2" t="s">
        <v>11824</v>
      </c>
      <c r="E226" s="2" t="s">
        <v>11824</v>
      </c>
      <c r="F226" s="2"/>
      <c r="G226" s="2" t="s">
        <v>11631</v>
      </c>
      <c r="H226" s="2" t="s">
        <v>11912</v>
      </c>
      <c r="I226" s="2" t="s">
        <v>11893</v>
      </c>
    </row>
    <row r="227" spans="1:9">
      <c r="A227" s="2" t="s">
        <v>11668</v>
      </c>
      <c r="B227" s="2"/>
      <c r="C227" s="2" t="s">
        <v>48</v>
      </c>
      <c r="D227" s="2" t="s">
        <v>11697</v>
      </c>
      <c r="E227" s="2" t="s">
        <v>11697</v>
      </c>
      <c r="F227" s="2"/>
      <c r="G227" s="2" t="s">
        <v>11631</v>
      </c>
      <c r="H227" s="2" t="s">
        <v>11913</v>
      </c>
      <c r="I227" s="2" t="s">
        <v>11893</v>
      </c>
    </row>
    <row r="228" spans="1:9">
      <c r="A228" s="2" t="s">
        <v>11668</v>
      </c>
      <c r="B228" s="2"/>
      <c r="C228" s="2" t="s">
        <v>52</v>
      </c>
      <c r="D228" s="2" t="s">
        <v>11721</v>
      </c>
      <c r="E228" s="2" t="s">
        <v>11721</v>
      </c>
      <c r="F228" s="2"/>
      <c r="G228" s="2" t="s">
        <v>11631</v>
      </c>
      <c r="H228" s="2" t="s">
        <v>11913</v>
      </c>
      <c r="I228" s="2" t="s">
        <v>11893</v>
      </c>
    </row>
    <row r="229" spans="1:9">
      <c r="A229" s="2" t="s">
        <v>11668</v>
      </c>
      <c r="B229" s="2"/>
      <c r="C229" s="2" t="s">
        <v>56</v>
      </c>
      <c r="D229" s="2" t="s">
        <v>11744</v>
      </c>
      <c r="E229" s="2" t="s">
        <v>11744</v>
      </c>
      <c r="F229" s="2"/>
      <c r="G229" s="2" t="s">
        <v>11631</v>
      </c>
      <c r="H229" s="2" t="s">
        <v>11913</v>
      </c>
      <c r="I229" s="2" t="s">
        <v>11893</v>
      </c>
    </row>
    <row r="230" spans="1:9">
      <c r="A230" s="2" t="s">
        <v>11668</v>
      </c>
      <c r="B230" s="2"/>
      <c r="C230" s="2" t="s">
        <v>60</v>
      </c>
      <c r="D230" s="2" t="s">
        <v>11769</v>
      </c>
      <c r="E230" s="2" t="s">
        <v>11769</v>
      </c>
      <c r="F230" s="2"/>
      <c r="G230" s="2" t="s">
        <v>11631</v>
      </c>
      <c r="H230" s="2" t="s">
        <v>11913</v>
      </c>
      <c r="I230" s="2" t="s">
        <v>11893</v>
      </c>
    </row>
    <row r="231" spans="1:9">
      <c r="A231" s="2" t="s">
        <v>11668</v>
      </c>
      <c r="B231" s="2"/>
      <c r="C231" s="2" t="s">
        <v>64</v>
      </c>
      <c r="D231" s="2" t="s">
        <v>11791</v>
      </c>
      <c r="E231" s="2" t="s">
        <v>11791</v>
      </c>
      <c r="F231" s="2"/>
      <c r="G231" s="2" t="s">
        <v>11631</v>
      </c>
      <c r="H231" s="2" t="s">
        <v>11913</v>
      </c>
      <c r="I231" s="2" t="s">
        <v>11893</v>
      </c>
    </row>
    <row r="232" spans="1:9">
      <c r="A232" s="2" t="s">
        <v>11668</v>
      </c>
      <c r="B232" s="2"/>
      <c r="C232" s="2" t="s">
        <v>68</v>
      </c>
      <c r="D232" s="2" t="s">
        <v>11805</v>
      </c>
      <c r="E232" s="2" t="s">
        <v>11805</v>
      </c>
      <c r="F232" s="2"/>
      <c r="G232" s="2" t="s">
        <v>11631</v>
      </c>
      <c r="H232" s="2" t="s">
        <v>11913</v>
      </c>
      <c r="I232" s="2" t="s">
        <v>11893</v>
      </c>
    </row>
    <row r="233" spans="1:9">
      <c r="A233" s="2" t="s">
        <v>11668</v>
      </c>
      <c r="B233" s="2"/>
      <c r="C233" s="2" t="s">
        <v>3692</v>
      </c>
      <c r="D233" s="2" t="s">
        <v>11819</v>
      </c>
      <c r="E233" s="2" t="s">
        <v>11819</v>
      </c>
      <c r="F233" s="2"/>
      <c r="G233" s="2" t="s">
        <v>11631</v>
      </c>
      <c r="H233" s="2" t="s">
        <v>11913</v>
      </c>
      <c r="I233" s="2" t="s">
        <v>11893</v>
      </c>
    </row>
    <row r="234" spans="1:9">
      <c r="A234" s="2" t="s">
        <v>11668</v>
      </c>
      <c r="B234" s="2"/>
      <c r="C234" s="2" t="s">
        <v>3693</v>
      </c>
      <c r="D234" s="2" t="s">
        <v>11831</v>
      </c>
      <c r="E234" s="2" t="s">
        <v>11831</v>
      </c>
      <c r="F234" s="2"/>
      <c r="G234" s="2" t="s">
        <v>11631</v>
      </c>
      <c r="H234" s="2" t="s">
        <v>11913</v>
      </c>
      <c r="I234" s="2" t="s">
        <v>11893</v>
      </c>
    </row>
    <row r="235" spans="1:9">
      <c r="A235" s="2" t="s">
        <v>11668</v>
      </c>
      <c r="B235" s="2"/>
      <c r="C235" s="2" t="s">
        <v>3694</v>
      </c>
      <c r="D235" s="2" t="s">
        <v>11839</v>
      </c>
      <c r="E235" s="2" t="s">
        <v>11839</v>
      </c>
      <c r="F235" s="2"/>
      <c r="G235" s="2" t="s">
        <v>11631</v>
      </c>
      <c r="H235" s="2" t="s">
        <v>11913</v>
      </c>
      <c r="I235" s="2" t="s">
        <v>11893</v>
      </c>
    </row>
    <row r="236" spans="1:9">
      <c r="A236" s="2" t="s">
        <v>11668</v>
      </c>
      <c r="B236" s="2"/>
      <c r="C236" s="2" t="s">
        <v>3695</v>
      </c>
      <c r="D236" s="2" t="s">
        <v>11845</v>
      </c>
      <c r="E236" s="2" t="s">
        <v>11845</v>
      </c>
      <c r="F236" s="2"/>
      <c r="G236" s="2" t="s">
        <v>11631</v>
      </c>
      <c r="H236" s="2" t="s">
        <v>11913</v>
      </c>
      <c r="I236" s="2" t="s">
        <v>11893</v>
      </c>
    </row>
    <row r="237" spans="1:9">
      <c r="A237" s="2" t="s">
        <v>11668</v>
      </c>
      <c r="B237" s="2"/>
      <c r="C237" s="2" t="s">
        <v>3696</v>
      </c>
      <c r="D237" s="2" t="s">
        <v>11850</v>
      </c>
      <c r="E237" s="2" t="s">
        <v>11850</v>
      </c>
      <c r="F237" s="2"/>
      <c r="G237" s="2" t="s">
        <v>11631</v>
      </c>
      <c r="H237" s="2" t="s">
        <v>11913</v>
      </c>
      <c r="I237" s="2" t="s">
        <v>11893</v>
      </c>
    </row>
    <row r="238" spans="1:9">
      <c r="A238" s="2" t="s">
        <v>11668</v>
      </c>
      <c r="B238" s="2"/>
      <c r="C238" s="2" t="s">
        <v>3697</v>
      </c>
      <c r="D238" s="2" t="s">
        <v>11855</v>
      </c>
      <c r="E238" s="2" t="s">
        <v>11855</v>
      </c>
      <c r="F238" s="2"/>
      <c r="G238" s="2" t="s">
        <v>11631</v>
      </c>
      <c r="H238" s="2" t="s">
        <v>11913</v>
      </c>
      <c r="I238" s="2" t="s">
        <v>11893</v>
      </c>
    </row>
    <row r="239" spans="1:9">
      <c r="A239" s="2" t="s">
        <v>11654</v>
      </c>
      <c r="B239" s="2"/>
      <c r="C239" s="2" t="s">
        <v>48</v>
      </c>
      <c r="D239" s="2" t="s">
        <v>3406</v>
      </c>
      <c r="E239" s="2" t="s">
        <v>3406</v>
      </c>
      <c r="F239" s="2"/>
      <c r="G239" s="2" t="s">
        <v>11631</v>
      </c>
      <c r="H239" s="2" t="s">
        <v>11914</v>
      </c>
      <c r="I239" s="2" t="s">
        <v>11893</v>
      </c>
    </row>
    <row r="240" spans="1:9">
      <c r="A240" s="2" t="s">
        <v>11654</v>
      </c>
      <c r="B240" s="2"/>
      <c r="C240" s="2" t="s">
        <v>52</v>
      </c>
      <c r="D240" s="2" t="s">
        <v>546</v>
      </c>
      <c r="E240" s="2" t="s">
        <v>546</v>
      </c>
      <c r="F240" s="2"/>
      <c r="G240" s="2" t="s">
        <v>11631</v>
      </c>
      <c r="H240" s="2" t="s">
        <v>11914</v>
      </c>
      <c r="I240" s="2" t="s">
        <v>11893</v>
      </c>
    </row>
    <row r="241" spans="1:9">
      <c r="A241" s="2" t="s">
        <v>11654</v>
      </c>
      <c r="B241" s="2"/>
      <c r="C241" s="2" t="s">
        <v>56</v>
      </c>
      <c r="D241" s="2" t="s">
        <v>3404</v>
      </c>
      <c r="E241" s="2" t="s">
        <v>3404</v>
      </c>
      <c r="F241" s="2"/>
      <c r="G241" s="2" t="s">
        <v>11631</v>
      </c>
      <c r="H241" s="2" t="s">
        <v>11914</v>
      </c>
      <c r="I241" s="2" t="s">
        <v>11893</v>
      </c>
    </row>
    <row r="242" spans="1:9">
      <c r="A242" s="2" t="s">
        <v>11635</v>
      </c>
      <c r="B242" s="2"/>
      <c r="C242" s="2" t="s">
        <v>48</v>
      </c>
      <c r="D242" s="2" t="s">
        <v>3406</v>
      </c>
      <c r="E242" s="2" t="s">
        <v>3406</v>
      </c>
      <c r="F242" s="2"/>
      <c r="G242" s="2" t="s">
        <v>11631</v>
      </c>
      <c r="H242" s="2" t="s">
        <v>11915</v>
      </c>
      <c r="I242" s="2" t="s">
        <v>11893</v>
      </c>
    </row>
    <row r="243" spans="1:9">
      <c r="A243" s="2" t="s">
        <v>11635</v>
      </c>
      <c r="B243" s="2"/>
      <c r="C243" s="2" t="s">
        <v>52</v>
      </c>
      <c r="D243" s="2" t="s">
        <v>546</v>
      </c>
      <c r="E243" s="2" t="s">
        <v>546</v>
      </c>
      <c r="F243" s="2"/>
      <c r="G243" s="2" t="s">
        <v>11631</v>
      </c>
      <c r="H243" s="2" t="s">
        <v>11915</v>
      </c>
      <c r="I243" s="2" t="s">
        <v>11893</v>
      </c>
    </row>
    <row r="244" spans="1:9">
      <c r="A244" s="2" t="s">
        <v>11635</v>
      </c>
      <c r="B244" s="2"/>
      <c r="C244" s="2" t="s">
        <v>56</v>
      </c>
      <c r="D244" s="2" t="s">
        <v>3404</v>
      </c>
      <c r="E244" s="2" t="s">
        <v>3404</v>
      </c>
      <c r="F244" s="2"/>
      <c r="G244" s="2" t="s">
        <v>11631</v>
      </c>
      <c r="H244" s="2" t="s">
        <v>11915</v>
      </c>
      <c r="I244" s="2" t="s">
        <v>11893</v>
      </c>
    </row>
    <row r="245" spans="1:9">
      <c r="A245" s="2" t="s">
        <v>11646</v>
      </c>
      <c r="B245" s="2"/>
      <c r="C245" s="2" t="s">
        <v>48</v>
      </c>
      <c r="D245" s="2" t="s">
        <v>11686</v>
      </c>
      <c r="E245" s="2" t="s">
        <v>11686</v>
      </c>
      <c r="F245" s="2"/>
      <c r="G245" s="2" t="s">
        <v>11631</v>
      </c>
      <c r="H245" s="2" t="s">
        <v>11916</v>
      </c>
      <c r="I245" s="2" t="s">
        <v>11893</v>
      </c>
    </row>
    <row r="246" spans="1:9">
      <c r="A246" s="2" t="s">
        <v>11646</v>
      </c>
      <c r="B246" s="2"/>
      <c r="C246" s="2" t="s">
        <v>52</v>
      </c>
      <c r="D246" s="2" t="s">
        <v>11709</v>
      </c>
      <c r="E246" s="2" t="s">
        <v>11709</v>
      </c>
      <c r="F246" s="2"/>
      <c r="G246" s="2" t="s">
        <v>11631</v>
      </c>
      <c r="H246" s="2" t="s">
        <v>11916</v>
      </c>
      <c r="I246" s="2" t="s">
        <v>11893</v>
      </c>
    </row>
    <row r="247" spans="1:9">
      <c r="A247" s="2" t="s">
        <v>11646</v>
      </c>
      <c r="B247" s="2"/>
      <c r="C247" s="2" t="s">
        <v>56</v>
      </c>
      <c r="D247" s="2" t="s">
        <v>3405</v>
      </c>
      <c r="E247" s="2" t="s">
        <v>3405</v>
      </c>
      <c r="F247" s="2"/>
      <c r="G247" s="2" t="s">
        <v>11631</v>
      </c>
      <c r="H247" s="2" t="s">
        <v>11916</v>
      </c>
      <c r="I247" s="2" t="s">
        <v>11893</v>
      </c>
    </row>
    <row r="248" spans="1:9">
      <c r="A248" s="2" t="s">
        <v>11646</v>
      </c>
      <c r="B248" s="2"/>
      <c r="C248" s="2" t="s">
        <v>60</v>
      </c>
      <c r="D248" s="2" t="s">
        <v>11757</v>
      </c>
      <c r="E248" s="2" t="s">
        <v>11757</v>
      </c>
      <c r="F248" s="2"/>
      <c r="G248" s="2" t="s">
        <v>11631</v>
      </c>
      <c r="H248" s="2" t="s">
        <v>11916</v>
      </c>
      <c r="I248" s="2" t="s">
        <v>11893</v>
      </c>
    </row>
    <row r="249" spans="1:9">
      <c r="A249" s="2" t="s">
        <v>11646</v>
      </c>
      <c r="B249" s="2"/>
      <c r="C249" s="2" t="s">
        <v>64</v>
      </c>
      <c r="D249" s="2" t="s">
        <v>11781</v>
      </c>
      <c r="E249" s="2" t="s">
        <v>11781</v>
      </c>
      <c r="F249" s="2"/>
      <c r="G249" s="2" t="s">
        <v>11631</v>
      </c>
      <c r="H249" s="2" t="s">
        <v>11916</v>
      </c>
      <c r="I249" s="2" t="s">
        <v>11893</v>
      </c>
    </row>
    <row r="250" spans="1:9">
      <c r="A250" s="2" t="s">
        <v>11646</v>
      </c>
      <c r="B250" s="2"/>
      <c r="C250" s="2" t="s">
        <v>68</v>
      </c>
      <c r="D250" s="2" t="s">
        <v>10815</v>
      </c>
      <c r="E250" s="2" t="s">
        <v>10815</v>
      </c>
      <c r="F250" s="2"/>
      <c r="G250" s="2" t="s">
        <v>11631</v>
      </c>
      <c r="H250" s="2" t="s">
        <v>11916</v>
      </c>
      <c r="I250" s="2" t="s">
        <v>11893</v>
      </c>
    </row>
    <row r="251" spans="1:9">
      <c r="A251" s="2" t="s">
        <v>11638</v>
      </c>
      <c r="B251" s="2"/>
      <c r="C251" s="2" t="s">
        <v>48</v>
      </c>
      <c r="D251" s="2" t="s">
        <v>11682</v>
      </c>
      <c r="E251" s="2" t="s">
        <v>11682</v>
      </c>
      <c r="F251" s="2"/>
      <c r="G251" s="2" t="s">
        <v>11631</v>
      </c>
      <c r="H251" s="2" t="s">
        <v>11917</v>
      </c>
      <c r="I251" s="2" t="s">
        <v>11893</v>
      </c>
    </row>
    <row r="252" spans="1:9">
      <c r="A252" s="2" t="s">
        <v>11638</v>
      </c>
      <c r="B252" s="2"/>
      <c r="C252" s="2" t="s">
        <v>52</v>
      </c>
      <c r="D252" s="2" t="s">
        <v>11705</v>
      </c>
      <c r="E252" s="2" t="s">
        <v>11705</v>
      </c>
      <c r="F252" s="2"/>
      <c r="G252" s="2" t="s">
        <v>11631</v>
      </c>
      <c r="H252" s="2" t="s">
        <v>11917</v>
      </c>
      <c r="I252" s="2" t="s">
        <v>11893</v>
      </c>
    </row>
    <row r="253" spans="1:9">
      <c r="A253" s="2" t="s">
        <v>11638</v>
      </c>
      <c r="B253" s="2"/>
      <c r="C253" s="2" t="s">
        <v>56</v>
      </c>
      <c r="D253" s="2" t="s">
        <v>11729</v>
      </c>
      <c r="E253" s="2" t="s">
        <v>11729</v>
      </c>
      <c r="F253" s="2"/>
      <c r="G253" s="2" t="s">
        <v>11631</v>
      </c>
      <c r="H253" s="2" t="s">
        <v>11917</v>
      </c>
      <c r="I253" s="2" t="s">
        <v>11893</v>
      </c>
    </row>
    <row r="254" spans="1:9">
      <c r="A254" s="2" t="s">
        <v>11638</v>
      </c>
      <c r="B254" s="2"/>
      <c r="C254" s="2" t="s">
        <v>60</v>
      </c>
      <c r="D254" s="2" t="s">
        <v>11753</v>
      </c>
      <c r="E254" s="2" t="s">
        <v>11753</v>
      </c>
      <c r="F254" s="2"/>
      <c r="G254" s="2" t="s">
        <v>11631</v>
      </c>
      <c r="H254" s="2" t="s">
        <v>11917</v>
      </c>
      <c r="I254" s="2" t="s">
        <v>11893</v>
      </c>
    </row>
    <row r="255" spans="1:9">
      <c r="A255" s="2" t="s">
        <v>11638</v>
      </c>
      <c r="B255" s="2"/>
      <c r="C255" s="2" t="s">
        <v>64</v>
      </c>
      <c r="D255" s="2" t="s">
        <v>11777</v>
      </c>
      <c r="E255" s="2" t="s">
        <v>11777</v>
      </c>
      <c r="F255" s="2"/>
      <c r="G255" s="2" t="s">
        <v>11631</v>
      </c>
      <c r="H255" s="2" t="s">
        <v>11917</v>
      </c>
      <c r="I255" s="2" t="s">
        <v>11893</v>
      </c>
    </row>
    <row r="256" spans="1:9">
      <c r="A256" s="2" t="s">
        <v>11638</v>
      </c>
      <c r="B256" s="2"/>
      <c r="C256" s="2" t="s">
        <v>68</v>
      </c>
      <c r="D256" s="2" t="s">
        <v>10815</v>
      </c>
      <c r="E256" s="2" t="s">
        <v>10815</v>
      </c>
      <c r="F256" s="2"/>
      <c r="G256" s="2" t="s">
        <v>11631</v>
      </c>
      <c r="H256" s="2" t="s">
        <v>11917</v>
      </c>
      <c r="I256" s="2" t="s">
        <v>11893</v>
      </c>
    </row>
    <row r="257" spans="1:9" ht="28.3" customHeight="1">
      <c r="A257" s="2" t="s">
        <v>11648</v>
      </c>
      <c r="B257" s="2"/>
      <c r="C257" s="2" t="s">
        <v>48</v>
      </c>
      <c r="D257" s="2" t="s">
        <v>11687</v>
      </c>
      <c r="E257" s="2" t="s">
        <v>11687</v>
      </c>
      <c r="F257" s="2"/>
      <c r="G257" s="2" t="s">
        <v>11631</v>
      </c>
      <c r="H257" s="2" t="s">
        <v>11918</v>
      </c>
      <c r="I257" s="2" t="s">
        <v>11893</v>
      </c>
    </row>
    <row r="258" spans="1:9" ht="28.3" customHeight="1">
      <c r="A258" s="2" t="s">
        <v>11648</v>
      </c>
      <c r="B258" s="2"/>
      <c r="C258" s="2" t="s">
        <v>52</v>
      </c>
      <c r="D258" s="2" t="s">
        <v>11710</v>
      </c>
      <c r="E258" s="2" t="s">
        <v>11710</v>
      </c>
      <c r="F258" s="2"/>
      <c r="G258" s="2" t="s">
        <v>11631</v>
      </c>
      <c r="H258" s="2" t="s">
        <v>11918</v>
      </c>
      <c r="I258" s="2" t="s">
        <v>11893</v>
      </c>
    </row>
    <row r="259" spans="1:9" ht="28.3" customHeight="1">
      <c r="A259" s="2" t="s">
        <v>11648</v>
      </c>
      <c r="B259" s="2"/>
      <c r="C259" s="2" t="s">
        <v>56</v>
      </c>
      <c r="D259" s="2" t="s">
        <v>11733</v>
      </c>
      <c r="E259" s="2" t="s">
        <v>11733</v>
      </c>
      <c r="F259" s="2"/>
      <c r="G259" s="2" t="s">
        <v>11631</v>
      </c>
      <c r="H259" s="2" t="s">
        <v>11918</v>
      </c>
      <c r="I259" s="2" t="s">
        <v>11893</v>
      </c>
    </row>
    <row r="260" spans="1:9" ht="28.3" customHeight="1">
      <c r="A260" s="2" t="s">
        <v>11648</v>
      </c>
      <c r="B260" s="2"/>
      <c r="C260" s="2" t="s">
        <v>60</v>
      </c>
      <c r="D260" s="2" t="s">
        <v>11758</v>
      </c>
      <c r="E260" s="2" t="s">
        <v>11758</v>
      </c>
      <c r="F260" s="2"/>
      <c r="G260" s="2" t="s">
        <v>11631</v>
      </c>
      <c r="H260" s="2" t="s">
        <v>11918</v>
      </c>
      <c r="I260" s="2" t="s">
        <v>11893</v>
      </c>
    </row>
    <row r="261" spans="1:9" ht="28.3" customHeight="1">
      <c r="A261" s="2" t="s">
        <v>11648</v>
      </c>
      <c r="B261" s="2"/>
      <c r="C261" s="2" t="s">
        <v>64</v>
      </c>
      <c r="D261" s="2" t="s">
        <v>11782</v>
      </c>
      <c r="E261" s="2" t="s">
        <v>11782</v>
      </c>
      <c r="F261" s="2"/>
      <c r="G261" s="2" t="s">
        <v>11631</v>
      </c>
      <c r="H261" s="2" t="s">
        <v>11918</v>
      </c>
      <c r="I261" s="2" t="s">
        <v>11893</v>
      </c>
    </row>
    <row r="262" spans="1:9" ht="28.3" customHeight="1">
      <c r="A262" s="2" t="s">
        <v>11648</v>
      </c>
      <c r="B262" s="2"/>
      <c r="C262" s="2" t="s">
        <v>68</v>
      </c>
      <c r="D262" s="2" t="s">
        <v>1165</v>
      </c>
      <c r="E262" s="2" t="s">
        <v>1165</v>
      </c>
      <c r="F262" s="2"/>
      <c r="G262" s="2" t="s">
        <v>11631</v>
      </c>
      <c r="H262" s="2" t="s">
        <v>11918</v>
      </c>
      <c r="I262" s="2" t="s">
        <v>11893</v>
      </c>
    </row>
    <row r="263" spans="1:9" ht="28.3" customHeight="1">
      <c r="A263" s="2" t="s">
        <v>11648</v>
      </c>
      <c r="B263" s="2"/>
      <c r="C263" s="2" t="s">
        <v>3692</v>
      </c>
      <c r="D263" s="2" t="s">
        <v>11814</v>
      </c>
      <c r="E263" s="2" t="s">
        <v>11814</v>
      </c>
      <c r="F263" s="2"/>
      <c r="G263" s="2" t="s">
        <v>11631</v>
      </c>
      <c r="H263" s="2" t="s">
        <v>11918</v>
      </c>
      <c r="I263" s="2" t="s">
        <v>11893</v>
      </c>
    </row>
    <row r="264" spans="1:9" ht="28.3" customHeight="1">
      <c r="A264" s="2" t="s">
        <v>11648</v>
      </c>
      <c r="B264" s="2"/>
      <c r="C264" s="2" t="s">
        <v>3693</v>
      </c>
      <c r="D264" s="2" t="s">
        <v>11826</v>
      </c>
      <c r="E264" s="2" t="s">
        <v>11826</v>
      </c>
      <c r="F264" s="2"/>
      <c r="G264" s="2" t="s">
        <v>11631</v>
      </c>
      <c r="H264" s="2" t="s">
        <v>11918</v>
      </c>
      <c r="I264" s="2" t="s">
        <v>11893</v>
      </c>
    </row>
    <row r="265" spans="1:9" ht="28.3" customHeight="1">
      <c r="A265" s="2" t="s">
        <v>11648</v>
      </c>
      <c r="B265" s="2"/>
      <c r="C265" s="2" t="s">
        <v>3694</v>
      </c>
      <c r="D265" s="2" t="s">
        <v>11836</v>
      </c>
      <c r="E265" s="2" t="s">
        <v>11836</v>
      </c>
      <c r="F265" s="2"/>
      <c r="G265" s="2" t="s">
        <v>11631</v>
      </c>
      <c r="H265" s="2" t="s">
        <v>11918</v>
      </c>
      <c r="I265" s="2" t="s">
        <v>11893</v>
      </c>
    </row>
    <row r="266" spans="1:9" ht="28.3" customHeight="1">
      <c r="A266" s="2" t="s">
        <v>11648</v>
      </c>
      <c r="B266" s="2"/>
      <c r="C266" s="2" t="s">
        <v>3695</v>
      </c>
      <c r="D266" s="2" t="s">
        <v>11844</v>
      </c>
      <c r="E266" s="2" t="s">
        <v>11844</v>
      </c>
      <c r="F266" s="2"/>
      <c r="G266" s="2" t="s">
        <v>11631</v>
      </c>
      <c r="H266" s="2" t="s">
        <v>11918</v>
      </c>
      <c r="I266" s="2" t="s">
        <v>11893</v>
      </c>
    </row>
    <row r="267" spans="1:9" ht="28.3" customHeight="1">
      <c r="A267" s="2" t="s">
        <v>11648</v>
      </c>
      <c r="B267" s="2"/>
      <c r="C267" s="2" t="s">
        <v>3696</v>
      </c>
      <c r="D267" s="2" t="s">
        <v>11849</v>
      </c>
      <c r="E267" s="2" t="s">
        <v>11849</v>
      </c>
      <c r="F267" s="2"/>
      <c r="G267" s="2" t="s">
        <v>11631</v>
      </c>
      <c r="H267" s="2" t="s">
        <v>11918</v>
      </c>
      <c r="I267" s="2" t="s">
        <v>11893</v>
      </c>
    </row>
    <row r="268" spans="1:9" ht="28.3" customHeight="1">
      <c r="A268" s="2" t="s">
        <v>11648</v>
      </c>
      <c r="B268" s="2"/>
      <c r="C268" s="2" t="s">
        <v>3697</v>
      </c>
      <c r="D268" s="2" t="s">
        <v>11853</v>
      </c>
      <c r="E268" s="2" t="s">
        <v>11853</v>
      </c>
      <c r="F268" s="2"/>
      <c r="G268" s="2" t="s">
        <v>11631</v>
      </c>
      <c r="H268" s="2" t="s">
        <v>11918</v>
      </c>
      <c r="I268" s="2" t="s">
        <v>11893</v>
      </c>
    </row>
    <row r="269" spans="1:9" ht="28.3" customHeight="1">
      <c r="A269" s="2" t="s">
        <v>11649</v>
      </c>
      <c r="B269" s="2"/>
      <c r="C269" s="2" t="s">
        <v>48</v>
      </c>
      <c r="D269" s="2" t="s">
        <v>11688</v>
      </c>
      <c r="E269" s="2" t="s">
        <v>11688</v>
      </c>
      <c r="F269" s="2"/>
      <c r="G269" s="2" t="s">
        <v>11631</v>
      </c>
      <c r="H269" s="2" t="s">
        <v>11919</v>
      </c>
      <c r="I269" s="2" t="s">
        <v>11893</v>
      </c>
    </row>
    <row r="270" spans="1:9" ht="28.3" customHeight="1">
      <c r="A270" s="2" t="s">
        <v>11649</v>
      </c>
      <c r="B270" s="2"/>
      <c r="C270" s="2" t="s">
        <v>52</v>
      </c>
      <c r="D270" s="2" t="s">
        <v>11711</v>
      </c>
      <c r="E270" s="2" t="s">
        <v>11711</v>
      </c>
      <c r="F270" s="2"/>
      <c r="G270" s="2" t="s">
        <v>11631</v>
      </c>
      <c r="H270" s="2" t="s">
        <v>11919</v>
      </c>
      <c r="I270" s="2" t="s">
        <v>11893</v>
      </c>
    </row>
    <row r="271" spans="1:9" ht="28.3" customHeight="1">
      <c r="A271" s="2" t="s">
        <v>11649</v>
      </c>
      <c r="B271" s="2"/>
      <c r="C271" s="2" t="s">
        <v>56</v>
      </c>
      <c r="D271" s="2" t="s">
        <v>11734</v>
      </c>
      <c r="E271" s="2" t="s">
        <v>11734</v>
      </c>
      <c r="F271" s="2"/>
      <c r="G271" s="2" t="s">
        <v>11631</v>
      </c>
      <c r="H271" s="2" t="s">
        <v>11919</v>
      </c>
      <c r="I271" s="2" t="s">
        <v>11893</v>
      </c>
    </row>
    <row r="272" spans="1:9" ht="28.3" customHeight="1">
      <c r="A272" s="2" t="s">
        <v>11649</v>
      </c>
      <c r="B272" s="2"/>
      <c r="C272" s="2" t="s">
        <v>60</v>
      </c>
      <c r="D272" s="2" t="s">
        <v>11759</v>
      </c>
      <c r="E272" s="2" t="s">
        <v>11759</v>
      </c>
      <c r="F272" s="2"/>
      <c r="G272" s="2" t="s">
        <v>11631</v>
      </c>
      <c r="H272" s="2" t="s">
        <v>11919</v>
      </c>
      <c r="I272" s="2" t="s">
        <v>11893</v>
      </c>
    </row>
    <row r="273" spans="1:9" ht="28.3" customHeight="1">
      <c r="A273" s="2" t="s">
        <v>11649</v>
      </c>
      <c r="B273" s="2"/>
      <c r="C273" s="2" t="s">
        <v>64</v>
      </c>
      <c r="D273" s="2" t="s">
        <v>11783</v>
      </c>
      <c r="E273" s="2" t="s">
        <v>11783</v>
      </c>
      <c r="F273" s="2"/>
      <c r="G273" s="2" t="s">
        <v>11631</v>
      </c>
      <c r="H273" s="2" t="s">
        <v>11919</v>
      </c>
      <c r="I273" s="2" t="s">
        <v>11893</v>
      </c>
    </row>
    <row r="274" spans="1:9" ht="28.3" customHeight="1">
      <c r="A274" s="2" t="s">
        <v>11649</v>
      </c>
      <c r="B274" s="2"/>
      <c r="C274" s="2" t="s">
        <v>68</v>
      </c>
      <c r="D274" s="2" t="s">
        <v>11800</v>
      </c>
      <c r="E274" s="2" t="s">
        <v>11800</v>
      </c>
      <c r="F274" s="2"/>
      <c r="G274" s="2" t="s">
        <v>11631</v>
      </c>
      <c r="H274" s="2" t="s">
        <v>11919</v>
      </c>
      <c r="I274" s="2" t="s">
        <v>11893</v>
      </c>
    </row>
    <row r="275" spans="1:9" ht="28.3" customHeight="1">
      <c r="A275" s="2" t="s">
        <v>11649</v>
      </c>
      <c r="B275" s="2"/>
      <c r="C275" s="2" t="s">
        <v>3692</v>
      </c>
      <c r="D275" s="2" t="s">
        <v>11815</v>
      </c>
      <c r="E275" s="2" t="s">
        <v>11815</v>
      </c>
      <c r="F275" s="2"/>
      <c r="G275" s="2" t="s">
        <v>11631</v>
      </c>
      <c r="H275" s="2" t="s">
        <v>11919</v>
      </c>
      <c r="I275" s="2" t="s">
        <v>11893</v>
      </c>
    </row>
    <row r="276" spans="1:9" ht="28.3" customHeight="1">
      <c r="A276" s="2" t="s">
        <v>11649</v>
      </c>
      <c r="B276" s="2"/>
      <c r="C276" s="2" t="s">
        <v>3693</v>
      </c>
      <c r="D276" s="2" t="s">
        <v>11827</v>
      </c>
      <c r="E276" s="2" t="s">
        <v>11827</v>
      </c>
      <c r="F276" s="2"/>
      <c r="G276" s="2" t="s">
        <v>11631</v>
      </c>
      <c r="H276" s="2" t="s">
        <v>11919</v>
      </c>
      <c r="I276" s="2" t="s">
        <v>11893</v>
      </c>
    </row>
    <row r="277" spans="1:9" ht="28.3" customHeight="1">
      <c r="A277" s="2" t="s">
        <v>11649</v>
      </c>
      <c r="B277" s="2"/>
      <c r="C277" s="2" t="s">
        <v>3694</v>
      </c>
      <c r="D277" s="2" t="s">
        <v>11797</v>
      </c>
      <c r="E277" s="2" t="s">
        <v>11797</v>
      </c>
      <c r="F277" s="2"/>
      <c r="G277" s="2" t="s">
        <v>11631</v>
      </c>
      <c r="H277" s="2" t="s">
        <v>11919</v>
      </c>
      <c r="I277" s="2" t="s">
        <v>11893</v>
      </c>
    </row>
    <row r="278" spans="1:9" ht="28.3" customHeight="1">
      <c r="A278" s="2" t="s">
        <v>11649</v>
      </c>
      <c r="B278" s="2"/>
      <c r="C278" s="2" t="s">
        <v>3695</v>
      </c>
      <c r="D278" s="2" t="s">
        <v>11775</v>
      </c>
      <c r="E278" s="2" t="s">
        <v>11775</v>
      </c>
      <c r="F278" s="2"/>
      <c r="G278" s="2" t="s">
        <v>11631</v>
      </c>
      <c r="H278" s="2" t="s">
        <v>11919</v>
      </c>
      <c r="I278" s="2" t="s">
        <v>11893</v>
      </c>
    </row>
    <row r="279" spans="1:9">
      <c r="A279" s="2" t="s">
        <v>11650</v>
      </c>
      <c r="B279" s="2"/>
      <c r="C279" s="2" t="s">
        <v>48</v>
      </c>
      <c r="D279" s="2" t="s">
        <v>3406</v>
      </c>
      <c r="E279" s="2" t="s">
        <v>3406</v>
      </c>
      <c r="F279" s="2"/>
      <c r="G279" s="2" t="s">
        <v>11631</v>
      </c>
      <c r="H279" s="2" t="s">
        <v>11920</v>
      </c>
      <c r="I279" s="2" t="s">
        <v>11893</v>
      </c>
    </row>
    <row r="280" spans="1:9">
      <c r="A280" s="2" t="s">
        <v>11650</v>
      </c>
      <c r="B280" s="2"/>
      <c r="C280" s="2" t="s">
        <v>52</v>
      </c>
      <c r="D280" s="2" t="s">
        <v>546</v>
      </c>
      <c r="E280" s="2" t="s">
        <v>546</v>
      </c>
      <c r="F280" s="2"/>
      <c r="G280" s="2" t="s">
        <v>11631</v>
      </c>
      <c r="H280" s="2" t="s">
        <v>11920</v>
      </c>
      <c r="I280" s="2" t="s">
        <v>11893</v>
      </c>
    </row>
    <row r="281" spans="1:9">
      <c r="A281" s="2" t="s">
        <v>11650</v>
      </c>
      <c r="B281" s="2"/>
      <c r="C281" s="2" t="s">
        <v>56</v>
      </c>
      <c r="D281" s="2" t="s">
        <v>3404</v>
      </c>
      <c r="E281" s="2" t="s">
        <v>3404</v>
      </c>
      <c r="F281" s="2"/>
      <c r="G281" s="2" t="s">
        <v>11631</v>
      </c>
      <c r="H281" s="2" t="s">
        <v>11920</v>
      </c>
      <c r="I281" s="2" t="s">
        <v>11893</v>
      </c>
    </row>
    <row r="282" spans="1:9">
      <c r="A282" s="2" t="s">
        <v>11650</v>
      </c>
      <c r="B282" s="2"/>
      <c r="C282" s="2" t="s">
        <v>60</v>
      </c>
      <c r="D282" s="2" t="s">
        <v>3403</v>
      </c>
      <c r="E282" s="2" t="s">
        <v>3403</v>
      </c>
      <c r="F282" s="2"/>
      <c r="G282" s="2" t="s">
        <v>11631</v>
      </c>
      <c r="H282" s="2" t="s">
        <v>11920</v>
      </c>
      <c r="I282" s="2" t="s">
        <v>11893</v>
      </c>
    </row>
    <row r="283" spans="1:9">
      <c r="A283" s="2" t="s">
        <v>11652</v>
      </c>
      <c r="B283" s="2"/>
      <c r="C283" s="2" t="s">
        <v>48</v>
      </c>
      <c r="D283" s="2" t="s">
        <v>3406</v>
      </c>
      <c r="E283" s="2" t="s">
        <v>3406</v>
      </c>
      <c r="F283" s="2"/>
      <c r="G283" s="2" t="s">
        <v>11631</v>
      </c>
      <c r="H283" s="2" t="s">
        <v>11921</v>
      </c>
      <c r="I283" s="2" t="s">
        <v>11893</v>
      </c>
    </row>
    <row r="284" spans="1:9">
      <c r="A284" s="2" t="s">
        <v>11652</v>
      </c>
      <c r="B284" s="2"/>
      <c r="C284" s="2" t="s">
        <v>52</v>
      </c>
      <c r="D284" s="2" t="s">
        <v>546</v>
      </c>
      <c r="E284" s="2" t="s">
        <v>546</v>
      </c>
      <c r="F284" s="2"/>
      <c r="G284" s="2" t="s">
        <v>11631</v>
      </c>
      <c r="H284" s="2" t="s">
        <v>11921</v>
      </c>
      <c r="I284" s="2" t="s">
        <v>11893</v>
      </c>
    </row>
    <row r="285" spans="1:9">
      <c r="A285" s="2" t="s">
        <v>11652</v>
      </c>
      <c r="B285" s="2"/>
      <c r="C285" s="2" t="s">
        <v>56</v>
      </c>
      <c r="D285" s="2" t="s">
        <v>3404</v>
      </c>
      <c r="E285" s="2" t="s">
        <v>3404</v>
      </c>
      <c r="F285" s="2"/>
      <c r="G285" s="2" t="s">
        <v>11631</v>
      </c>
      <c r="H285" s="2" t="s">
        <v>11921</v>
      </c>
      <c r="I285" s="2" t="s">
        <v>11893</v>
      </c>
    </row>
    <row r="286" spans="1:9">
      <c r="A286" s="2" t="s">
        <v>11652</v>
      </c>
      <c r="B286" s="2"/>
      <c r="C286" s="2" t="s">
        <v>60</v>
      </c>
      <c r="D286" s="2" t="s">
        <v>3403</v>
      </c>
      <c r="E286" s="2" t="s">
        <v>3403</v>
      </c>
      <c r="F286" s="2"/>
      <c r="G286" s="2" t="s">
        <v>11631</v>
      </c>
      <c r="H286" s="2" t="s">
        <v>11921</v>
      </c>
      <c r="I286" s="2" t="s">
        <v>11893</v>
      </c>
    </row>
    <row r="287" spans="1:9" ht="28.3" customHeight="1">
      <c r="A287" s="2" t="s">
        <v>11667</v>
      </c>
      <c r="B287" s="2"/>
      <c r="C287" s="2" t="s">
        <v>48</v>
      </c>
      <c r="D287" s="2" t="s">
        <v>11429</v>
      </c>
      <c r="E287" s="2" t="s">
        <v>11429</v>
      </c>
      <c r="F287" s="2"/>
      <c r="G287" s="2" t="s">
        <v>11631</v>
      </c>
      <c r="H287" s="2" t="s">
        <v>11922</v>
      </c>
      <c r="I287" s="2" t="s">
        <v>11893</v>
      </c>
    </row>
    <row r="288" spans="1:9" ht="28.3" customHeight="1">
      <c r="A288" s="2" t="s">
        <v>11667</v>
      </c>
      <c r="B288" s="2"/>
      <c r="C288" s="2" t="s">
        <v>52</v>
      </c>
      <c r="D288" s="2" t="s">
        <v>3406</v>
      </c>
      <c r="E288" s="2" t="s">
        <v>3406</v>
      </c>
      <c r="F288" s="2"/>
      <c r="G288" s="2" t="s">
        <v>11631</v>
      </c>
      <c r="H288" s="2" t="s">
        <v>11922</v>
      </c>
      <c r="I288" s="2" t="s">
        <v>11893</v>
      </c>
    </row>
    <row r="289" spans="1:9" ht="28.3" customHeight="1">
      <c r="A289" s="2" t="s">
        <v>11667</v>
      </c>
      <c r="B289" s="2"/>
      <c r="C289" s="2" t="s">
        <v>56</v>
      </c>
      <c r="D289" s="2" t="s">
        <v>546</v>
      </c>
      <c r="E289" s="2" t="s">
        <v>546</v>
      </c>
      <c r="F289" s="2"/>
      <c r="G289" s="2" t="s">
        <v>11631</v>
      </c>
      <c r="H289" s="2" t="s">
        <v>11922</v>
      </c>
      <c r="I289" s="2" t="s">
        <v>11893</v>
      </c>
    </row>
    <row r="290" spans="1:9" ht="28.3" customHeight="1">
      <c r="A290" s="2" t="s">
        <v>11667</v>
      </c>
      <c r="B290" s="2"/>
      <c r="C290" s="2" t="s">
        <v>60</v>
      </c>
      <c r="D290" s="2" t="s">
        <v>3404</v>
      </c>
      <c r="E290" s="2" t="s">
        <v>3404</v>
      </c>
      <c r="F290" s="2"/>
      <c r="G290" s="2" t="s">
        <v>11631</v>
      </c>
      <c r="H290" s="2" t="s">
        <v>11922</v>
      </c>
      <c r="I290" s="2" t="s">
        <v>11893</v>
      </c>
    </row>
    <row r="291" spans="1:9" ht="28.3" customHeight="1">
      <c r="A291" s="2" t="s">
        <v>11667</v>
      </c>
      <c r="B291" s="2"/>
      <c r="C291" s="2" t="s">
        <v>64</v>
      </c>
      <c r="D291" s="2" t="s">
        <v>3403</v>
      </c>
      <c r="E291" s="2" t="s">
        <v>3403</v>
      </c>
      <c r="F291" s="2"/>
      <c r="G291" s="2" t="s">
        <v>11631</v>
      </c>
      <c r="H291" s="2" t="s">
        <v>11922</v>
      </c>
      <c r="I291" s="2" t="s">
        <v>11893</v>
      </c>
    </row>
    <row r="292" spans="1:9">
      <c r="A292" s="2" t="s">
        <v>11645</v>
      </c>
      <c r="B292" s="2"/>
      <c r="C292" s="2" t="s">
        <v>48</v>
      </c>
      <c r="D292" s="2" t="s">
        <v>11685</v>
      </c>
      <c r="E292" s="2" t="s">
        <v>11685</v>
      </c>
      <c r="F292" s="2"/>
      <c r="G292" s="2" t="s">
        <v>11631</v>
      </c>
      <c r="H292" s="2" t="s">
        <v>11923</v>
      </c>
      <c r="I292" s="2" t="s">
        <v>11924</v>
      </c>
    </row>
    <row r="293" spans="1:9">
      <c r="A293" s="2" t="s">
        <v>11645</v>
      </c>
      <c r="B293" s="2"/>
      <c r="C293" s="2" t="s">
        <v>52</v>
      </c>
      <c r="D293" s="2" t="s">
        <v>11708</v>
      </c>
      <c r="E293" s="2" t="s">
        <v>11708</v>
      </c>
      <c r="F293" s="2"/>
      <c r="G293" s="2" t="s">
        <v>11631</v>
      </c>
      <c r="H293" s="2" t="s">
        <v>11923</v>
      </c>
      <c r="I293" s="2" t="s">
        <v>11924</v>
      </c>
    </row>
    <row r="294" spans="1:9">
      <c r="A294" s="2" t="s">
        <v>11645</v>
      </c>
      <c r="B294" s="2"/>
      <c r="C294" s="2" t="s">
        <v>56</v>
      </c>
      <c r="D294" s="2" t="s">
        <v>11732</v>
      </c>
      <c r="E294" s="2" t="s">
        <v>11732</v>
      </c>
      <c r="F294" s="2"/>
      <c r="G294" s="2" t="s">
        <v>11631</v>
      </c>
      <c r="H294" s="2" t="s">
        <v>11923</v>
      </c>
      <c r="I294" s="2" t="s">
        <v>11924</v>
      </c>
    </row>
    <row r="295" spans="1:9">
      <c r="A295" s="2" t="s">
        <v>11645</v>
      </c>
      <c r="B295" s="2"/>
      <c r="C295" s="2" t="s">
        <v>60</v>
      </c>
      <c r="D295" s="2" t="s">
        <v>11756</v>
      </c>
      <c r="E295" s="2" t="s">
        <v>11756</v>
      </c>
      <c r="F295" s="2"/>
      <c r="G295" s="2" t="s">
        <v>11631</v>
      </c>
      <c r="H295" s="2" t="s">
        <v>11923</v>
      </c>
      <c r="I295" s="2" t="s">
        <v>11924</v>
      </c>
    </row>
    <row r="296" spans="1:9">
      <c r="A296" s="2" t="s">
        <v>11645</v>
      </c>
      <c r="B296" s="2"/>
      <c r="C296" s="2" t="s">
        <v>64</v>
      </c>
      <c r="D296" s="2" t="s">
        <v>11780</v>
      </c>
      <c r="E296" s="2" t="s">
        <v>11780</v>
      </c>
      <c r="F296" s="2"/>
      <c r="G296" s="2" t="s">
        <v>11631</v>
      </c>
      <c r="H296" s="2" t="s">
        <v>11923</v>
      </c>
      <c r="I296" s="2" t="s">
        <v>11924</v>
      </c>
    </row>
    <row r="297" spans="1:9">
      <c r="A297" s="2" t="s">
        <v>11645</v>
      </c>
      <c r="B297" s="2"/>
      <c r="C297" s="2" t="s">
        <v>68</v>
      </c>
      <c r="D297" s="2" t="s">
        <v>11799</v>
      </c>
      <c r="E297" s="2" t="s">
        <v>11799</v>
      </c>
      <c r="F297" s="2"/>
      <c r="G297" s="2" t="s">
        <v>11631</v>
      </c>
      <c r="H297" s="2" t="s">
        <v>11923</v>
      </c>
      <c r="I297" s="2" t="s">
        <v>11924</v>
      </c>
    </row>
    <row r="298" spans="1:9">
      <c r="A298" s="2" t="s">
        <v>11645</v>
      </c>
      <c r="B298" s="2"/>
      <c r="C298" s="2" t="s">
        <v>3692</v>
      </c>
      <c r="D298" s="2" t="s">
        <v>11813</v>
      </c>
      <c r="E298" s="2" t="s">
        <v>11813</v>
      </c>
      <c r="F298" s="2"/>
      <c r="G298" s="2" t="s">
        <v>11631</v>
      </c>
      <c r="H298" s="2" t="s">
        <v>11923</v>
      </c>
      <c r="I298" s="2" t="s">
        <v>11924</v>
      </c>
    </row>
    <row r="299" spans="1:9">
      <c r="A299" s="2" t="s">
        <v>11645</v>
      </c>
      <c r="B299" s="2"/>
      <c r="C299" s="2" t="s">
        <v>3693</v>
      </c>
      <c r="D299" s="2" t="s">
        <v>11825</v>
      </c>
      <c r="E299" s="2" t="s">
        <v>11825</v>
      </c>
      <c r="F299" s="2"/>
      <c r="G299" s="2" t="s">
        <v>11631</v>
      </c>
      <c r="H299" s="2" t="s">
        <v>11923</v>
      </c>
      <c r="I299" s="2" t="s">
        <v>11924</v>
      </c>
    </row>
    <row r="300" spans="1:9">
      <c r="A300" s="2" t="s">
        <v>11645</v>
      </c>
      <c r="B300" s="2"/>
      <c r="C300" s="2" t="s">
        <v>3694</v>
      </c>
      <c r="D300" s="2" t="s">
        <v>11835</v>
      </c>
      <c r="E300" s="2" t="s">
        <v>11835</v>
      </c>
      <c r="F300" s="2"/>
      <c r="G300" s="2" t="s">
        <v>11631</v>
      </c>
      <c r="H300" s="2" t="s">
        <v>11923</v>
      </c>
      <c r="I300" s="2" t="s">
        <v>11924</v>
      </c>
    </row>
    <row r="301" spans="1:9">
      <c r="A301" s="2" t="s">
        <v>11645</v>
      </c>
      <c r="B301" s="2"/>
      <c r="C301" s="2" t="s">
        <v>3695</v>
      </c>
      <c r="D301" s="2" t="s">
        <v>11843</v>
      </c>
      <c r="E301" s="2" t="s">
        <v>11843</v>
      </c>
      <c r="F301" s="2"/>
      <c r="G301" s="2" t="s">
        <v>11631</v>
      </c>
      <c r="H301" s="2" t="s">
        <v>11923</v>
      </c>
      <c r="I301" s="2" t="s">
        <v>11924</v>
      </c>
    </row>
    <row r="302" spans="1:9">
      <c r="A302" s="2" t="s">
        <v>11645</v>
      </c>
      <c r="B302" s="2"/>
      <c r="C302" s="2" t="s">
        <v>3696</v>
      </c>
      <c r="D302" s="2" t="s">
        <v>11848</v>
      </c>
      <c r="E302" s="2" t="s">
        <v>11848</v>
      </c>
      <c r="F302" s="2"/>
      <c r="G302" s="2" t="s">
        <v>11631</v>
      </c>
      <c r="H302" s="2" t="s">
        <v>11923</v>
      </c>
      <c r="I302" s="2" t="s">
        <v>11924</v>
      </c>
    </row>
    <row r="303" spans="1:9">
      <c r="A303" s="2" t="s">
        <v>11645</v>
      </c>
      <c r="B303" s="2"/>
      <c r="C303" s="2" t="s">
        <v>3697</v>
      </c>
      <c r="D303" s="2" t="s">
        <v>11852</v>
      </c>
      <c r="E303" s="2" t="s">
        <v>11852</v>
      </c>
      <c r="F303" s="2"/>
      <c r="G303" s="2" t="s">
        <v>11631</v>
      </c>
      <c r="H303" s="2" t="s">
        <v>11923</v>
      </c>
      <c r="I303" s="2" t="s">
        <v>11924</v>
      </c>
    </row>
    <row r="304" spans="1:9">
      <c r="A304" s="2" t="s">
        <v>11645</v>
      </c>
      <c r="B304" s="2"/>
      <c r="C304" s="2" t="s">
        <v>3698</v>
      </c>
      <c r="D304" s="2" t="s">
        <v>11858</v>
      </c>
      <c r="E304" s="2" t="s">
        <v>11858</v>
      </c>
      <c r="F304" s="2"/>
      <c r="G304" s="2" t="s">
        <v>11631</v>
      </c>
      <c r="H304" s="2" t="s">
        <v>11923</v>
      </c>
      <c r="I304" s="2" t="s">
        <v>11924</v>
      </c>
    </row>
    <row r="305" spans="1:9">
      <c r="A305" s="2" t="s">
        <v>11645</v>
      </c>
      <c r="B305" s="2"/>
      <c r="C305" s="2" t="s">
        <v>3699</v>
      </c>
      <c r="D305" s="2" t="s">
        <v>11862</v>
      </c>
      <c r="E305" s="2" t="s">
        <v>11862</v>
      </c>
      <c r="F305" s="2"/>
      <c r="G305" s="2" t="s">
        <v>11631</v>
      </c>
      <c r="H305" s="2" t="s">
        <v>11923</v>
      </c>
      <c r="I305" s="2" t="s">
        <v>11924</v>
      </c>
    </row>
    <row r="306" spans="1:9">
      <c r="A306" s="2" t="s">
        <v>11645</v>
      </c>
      <c r="B306" s="2"/>
      <c r="C306" s="2" t="s">
        <v>3700</v>
      </c>
      <c r="D306" s="2" t="s">
        <v>11863</v>
      </c>
      <c r="E306" s="2" t="s">
        <v>11863</v>
      </c>
      <c r="F306" s="2"/>
      <c r="G306" s="2" t="s">
        <v>11631</v>
      </c>
      <c r="H306" s="2" t="s">
        <v>11923</v>
      </c>
      <c r="I306" s="2" t="s">
        <v>11924</v>
      </c>
    </row>
    <row r="307" spans="1:9">
      <c r="A307" s="2" t="s">
        <v>11645</v>
      </c>
      <c r="B307" s="2"/>
      <c r="C307" s="2" t="s">
        <v>3701</v>
      </c>
      <c r="D307" s="2" t="s">
        <v>11865</v>
      </c>
      <c r="E307" s="2" t="s">
        <v>11865</v>
      </c>
      <c r="F307" s="2"/>
      <c r="G307" s="2" t="s">
        <v>11631</v>
      </c>
      <c r="H307" s="2" t="s">
        <v>11923</v>
      </c>
      <c r="I307" s="2" t="s">
        <v>11924</v>
      </c>
    </row>
    <row r="308" spans="1:9">
      <c r="A308" s="2" t="s">
        <v>11645</v>
      </c>
      <c r="B308" s="2"/>
      <c r="C308" s="2" t="s">
        <v>3702</v>
      </c>
      <c r="D308" s="2" t="s">
        <v>11868</v>
      </c>
      <c r="E308" s="2" t="s">
        <v>11868</v>
      </c>
      <c r="F308" s="2"/>
      <c r="G308" s="2" t="s">
        <v>11631</v>
      </c>
      <c r="H308" s="2" t="s">
        <v>11923</v>
      </c>
      <c r="I308" s="2" t="s">
        <v>11924</v>
      </c>
    </row>
    <row r="309" spans="1:9">
      <c r="A309" s="2" t="s">
        <v>11645</v>
      </c>
      <c r="B309" s="2"/>
      <c r="C309" s="2" t="s">
        <v>3703</v>
      </c>
      <c r="D309" s="2" t="s">
        <v>11775</v>
      </c>
      <c r="E309" s="2" t="s">
        <v>11775</v>
      </c>
      <c r="F309" s="2"/>
      <c r="G309" s="2" t="s">
        <v>11631</v>
      </c>
      <c r="H309" s="2" t="s">
        <v>11923</v>
      </c>
      <c r="I309" s="2" t="s">
        <v>11924</v>
      </c>
    </row>
    <row r="310" spans="1:9" ht="28.3" customHeight="1">
      <c r="A310" s="2" t="s">
        <v>11660</v>
      </c>
      <c r="B310" s="2"/>
      <c r="C310" s="2" t="s">
        <v>48</v>
      </c>
      <c r="D310" s="2" t="s">
        <v>11692</v>
      </c>
      <c r="E310" s="2" t="s">
        <v>11692</v>
      </c>
      <c r="F310" s="2"/>
      <c r="G310" s="2" t="s">
        <v>11631</v>
      </c>
      <c r="H310" s="2" t="s">
        <v>11925</v>
      </c>
      <c r="I310" s="2" t="s">
        <v>11924</v>
      </c>
    </row>
    <row r="311" spans="1:9" ht="28.3" customHeight="1">
      <c r="A311" s="2" t="s">
        <v>11660</v>
      </c>
      <c r="B311" s="2"/>
      <c r="C311" s="2" t="s">
        <v>52</v>
      </c>
      <c r="D311" s="2" t="s">
        <v>11716</v>
      </c>
      <c r="E311" s="2" t="s">
        <v>11716</v>
      </c>
      <c r="F311" s="2"/>
      <c r="G311" s="2" t="s">
        <v>11631</v>
      </c>
      <c r="H311" s="2" t="s">
        <v>11925</v>
      </c>
      <c r="I311" s="2" t="s">
        <v>11924</v>
      </c>
    </row>
    <row r="312" spans="1:9" ht="28.3" customHeight="1">
      <c r="A312" s="2" t="s">
        <v>11660</v>
      </c>
      <c r="B312" s="2"/>
      <c r="C312" s="2" t="s">
        <v>56</v>
      </c>
      <c r="D312" s="2" t="s">
        <v>11739</v>
      </c>
      <c r="E312" s="2" t="s">
        <v>11739</v>
      </c>
      <c r="F312" s="2"/>
      <c r="G312" s="2" t="s">
        <v>11631</v>
      </c>
      <c r="H312" s="2" t="s">
        <v>11925</v>
      </c>
      <c r="I312" s="2" t="s">
        <v>11924</v>
      </c>
    </row>
    <row r="313" spans="1:9" ht="28.3" customHeight="1">
      <c r="A313" s="2" t="s">
        <v>11660</v>
      </c>
      <c r="B313" s="2"/>
      <c r="C313" s="2" t="s">
        <v>60</v>
      </c>
      <c r="D313" s="2" t="s">
        <v>11764</v>
      </c>
      <c r="E313" s="2" t="s">
        <v>11764</v>
      </c>
      <c r="F313" s="2"/>
      <c r="G313" s="2" t="s">
        <v>11631</v>
      </c>
      <c r="H313" s="2" t="s">
        <v>11925</v>
      </c>
      <c r="I313" s="2" t="s">
        <v>11924</v>
      </c>
    </row>
    <row r="314" spans="1:9" ht="28.3" customHeight="1">
      <c r="A314" s="2" t="s">
        <v>11660</v>
      </c>
      <c r="B314" s="2"/>
      <c r="C314" s="2" t="s">
        <v>64</v>
      </c>
      <c r="D314" s="2" t="s">
        <v>11786</v>
      </c>
      <c r="E314" s="2" t="s">
        <v>11786</v>
      </c>
      <c r="F314" s="2"/>
      <c r="G314" s="2" t="s">
        <v>11631</v>
      </c>
      <c r="H314" s="2" t="s">
        <v>11925</v>
      </c>
      <c r="I314" s="2" t="s">
        <v>11924</v>
      </c>
    </row>
    <row r="315" spans="1:9" ht="28.3" customHeight="1">
      <c r="A315" s="2" t="s">
        <v>11660</v>
      </c>
      <c r="B315" s="2"/>
      <c r="C315" s="2" t="s">
        <v>68</v>
      </c>
      <c r="D315" s="2" t="s">
        <v>11444</v>
      </c>
      <c r="E315" s="2" t="s">
        <v>11444</v>
      </c>
      <c r="F315" s="2"/>
      <c r="G315" s="2" t="s">
        <v>11631</v>
      </c>
      <c r="H315" s="2" t="s">
        <v>11925</v>
      </c>
      <c r="I315" s="2" t="s">
        <v>11924</v>
      </c>
    </row>
    <row r="316" spans="1:9" ht="28.3" customHeight="1">
      <c r="A316" s="2" t="s">
        <v>11647</v>
      </c>
      <c r="B316" s="2"/>
      <c r="C316" s="2" t="s">
        <v>48</v>
      </c>
      <c r="D316" s="2" t="s">
        <v>3406</v>
      </c>
      <c r="E316" s="2" t="s">
        <v>3406</v>
      </c>
      <c r="F316" s="2"/>
      <c r="G316" s="2" t="s">
        <v>11631</v>
      </c>
      <c r="H316" s="2" t="s">
        <v>11926</v>
      </c>
      <c r="I316" s="2" t="s">
        <v>11924</v>
      </c>
    </row>
    <row r="317" spans="1:9" ht="28.3" customHeight="1">
      <c r="A317" s="2" t="s">
        <v>11647</v>
      </c>
      <c r="B317" s="2"/>
      <c r="C317" s="2" t="s">
        <v>52</v>
      </c>
      <c r="D317" s="2" t="s">
        <v>546</v>
      </c>
      <c r="E317" s="2" t="s">
        <v>546</v>
      </c>
      <c r="F317" s="2"/>
      <c r="G317" s="2" t="s">
        <v>11631</v>
      </c>
      <c r="H317" s="2" t="s">
        <v>11926</v>
      </c>
      <c r="I317" s="2" t="s">
        <v>11924</v>
      </c>
    </row>
    <row r="318" spans="1:9" ht="28.3" customHeight="1">
      <c r="A318" s="2" t="s">
        <v>11647</v>
      </c>
      <c r="B318" s="2"/>
      <c r="C318" s="2" t="s">
        <v>56</v>
      </c>
      <c r="D318" s="2" t="s">
        <v>3404</v>
      </c>
      <c r="E318" s="2" t="s">
        <v>3404</v>
      </c>
      <c r="F318" s="2"/>
      <c r="G318" s="2" t="s">
        <v>11631</v>
      </c>
      <c r="H318" s="2" t="s">
        <v>11926</v>
      </c>
      <c r="I318" s="2" t="s">
        <v>11924</v>
      </c>
    </row>
    <row r="319" spans="1:9" ht="28.3" customHeight="1">
      <c r="A319" s="2" t="s">
        <v>11647</v>
      </c>
      <c r="B319" s="2"/>
      <c r="C319" s="2" t="s">
        <v>60</v>
      </c>
      <c r="D319" s="2" t="s">
        <v>3403</v>
      </c>
      <c r="E319" s="2" t="s">
        <v>3403</v>
      </c>
      <c r="F319" s="2"/>
      <c r="G319" s="2" t="s">
        <v>11631</v>
      </c>
      <c r="H319" s="2" t="s">
        <v>11926</v>
      </c>
      <c r="I319" s="2" t="s">
        <v>11924</v>
      </c>
    </row>
    <row r="320" spans="1:9">
      <c r="A320" s="2" t="s">
        <v>11642</v>
      </c>
      <c r="B320" s="2"/>
      <c r="C320" s="2" t="s">
        <v>48</v>
      </c>
      <c r="D320" s="2" t="s">
        <v>3406</v>
      </c>
      <c r="E320" s="2" t="s">
        <v>3406</v>
      </c>
      <c r="F320" s="2"/>
      <c r="G320" s="2" t="s">
        <v>11631</v>
      </c>
      <c r="H320" s="2" t="s">
        <v>11927</v>
      </c>
      <c r="I320" s="2" t="s">
        <v>11924</v>
      </c>
    </row>
    <row r="321" spans="1:9">
      <c r="A321" s="2" t="s">
        <v>11642</v>
      </c>
      <c r="B321" s="2"/>
      <c r="C321" s="2" t="s">
        <v>52</v>
      </c>
      <c r="D321" s="2" t="s">
        <v>546</v>
      </c>
      <c r="E321" s="2" t="s">
        <v>546</v>
      </c>
      <c r="F321" s="2"/>
      <c r="G321" s="2" t="s">
        <v>11631</v>
      </c>
      <c r="H321" s="2" t="s">
        <v>11927</v>
      </c>
      <c r="I321" s="2" t="s">
        <v>11924</v>
      </c>
    </row>
    <row r="322" spans="1:9">
      <c r="A322" s="2" t="s">
        <v>11642</v>
      </c>
      <c r="B322" s="2"/>
      <c r="C322" s="2" t="s">
        <v>56</v>
      </c>
      <c r="D322" s="2" t="s">
        <v>3404</v>
      </c>
      <c r="E322" s="2" t="s">
        <v>3404</v>
      </c>
      <c r="F322" s="2"/>
      <c r="G322" s="2" t="s">
        <v>11631</v>
      </c>
      <c r="H322" s="2" t="s">
        <v>11927</v>
      </c>
      <c r="I322" s="2" t="s">
        <v>11924</v>
      </c>
    </row>
    <row r="323" spans="1:9">
      <c r="A323" s="2" t="s">
        <v>11657</v>
      </c>
      <c r="B323" s="2"/>
      <c r="C323" s="2" t="s">
        <v>48</v>
      </c>
      <c r="D323" s="2" t="s">
        <v>11690</v>
      </c>
      <c r="E323" s="2" t="s">
        <v>11690</v>
      </c>
      <c r="F323" s="2"/>
      <c r="G323" s="2" t="s">
        <v>11631</v>
      </c>
      <c r="H323" s="2" t="s">
        <v>11928</v>
      </c>
      <c r="I323" s="2" t="s">
        <v>11924</v>
      </c>
    </row>
    <row r="324" spans="1:9">
      <c r="A324" s="2" t="s">
        <v>11657</v>
      </c>
      <c r="B324" s="2"/>
      <c r="C324" s="2" t="s">
        <v>52</v>
      </c>
      <c r="D324" s="2" t="s">
        <v>11714</v>
      </c>
      <c r="E324" s="2" t="s">
        <v>11714</v>
      </c>
      <c r="F324" s="2"/>
      <c r="G324" s="2" t="s">
        <v>11631</v>
      </c>
      <c r="H324" s="2" t="s">
        <v>11928</v>
      </c>
      <c r="I324" s="2" t="s">
        <v>11924</v>
      </c>
    </row>
    <row r="325" spans="1:9">
      <c r="A325" s="2" t="s">
        <v>11657</v>
      </c>
      <c r="B325" s="2"/>
      <c r="C325" s="2" t="s">
        <v>56</v>
      </c>
      <c r="D325" s="2" t="s">
        <v>11737</v>
      </c>
      <c r="E325" s="2" t="s">
        <v>11737</v>
      </c>
      <c r="F325" s="2"/>
      <c r="G325" s="2" t="s">
        <v>11631</v>
      </c>
      <c r="H325" s="2" t="s">
        <v>11928</v>
      </c>
      <c r="I325" s="2" t="s">
        <v>11924</v>
      </c>
    </row>
    <row r="326" spans="1:9">
      <c r="A326" s="2" t="s">
        <v>11657</v>
      </c>
      <c r="B326" s="2"/>
      <c r="C326" s="2" t="s">
        <v>60</v>
      </c>
      <c r="D326" s="2" t="s">
        <v>11762</v>
      </c>
      <c r="E326" s="2" t="s">
        <v>11762</v>
      </c>
      <c r="F326" s="2"/>
      <c r="G326" s="2" t="s">
        <v>11631</v>
      </c>
      <c r="H326" s="2" t="s">
        <v>11928</v>
      </c>
      <c r="I326" s="2" t="s">
        <v>11924</v>
      </c>
    </row>
    <row r="327" spans="1:9">
      <c r="A327" s="2" t="s">
        <v>11657</v>
      </c>
      <c r="B327" s="2"/>
      <c r="C327" s="2" t="s">
        <v>64</v>
      </c>
      <c r="D327" s="2" t="s">
        <v>11784</v>
      </c>
      <c r="E327" s="2" t="s">
        <v>11784</v>
      </c>
      <c r="F327" s="2"/>
      <c r="G327" s="2" t="s">
        <v>11631</v>
      </c>
      <c r="H327" s="2" t="s">
        <v>11928</v>
      </c>
      <c r="I327" s="2" t="s">
        <v>11924</v>
      </c>
    </row>
    <row r="328" spans="1:9">
      <c r="A328" s="2" t="s">
        <v>11657</v>
      </c>
      <c r="B328" s="2"/>
      <c r="C328" s="2" t="s">
        <v>68</v>
      </c>
      <c r="D328" s="2" t="s">
        <v>11801</v>
      </c>
      <c r="E328" s="2" t="s">
        <v>11801</v>
      </c>
      <c r="F328" s="2"/>
      <c r="G328" s="2" t="s">
        <v>11631</v>
      </c>
      <c r="H328" s="2" t="s">
        <v>11928</v>
      </c>
      <c r="I328" s="2" t="s">
        <v>11924</v>
      </c>
    </row>
    <row r="329" spans="1:9">
      <c r="A329" s="2" t="s">
        <v>11657</v>
      </c>
      <c r="B329" s="2"/>
      <c r="C329" s="2" t="s">
        <v>3692</v>
      </c>
      <c r="D329" s="2" t="s">
        <v>11816</v>
      </c>
      <c r="E329" s="2" t="s">
        <v>11816</v>
      </c>
      <c r="F329" s="2"/>
      <c r="G329" s="2" t="s">
        <v>11631</v>
      </c>
      <c r="H329" s="2" t="s">
        <v>11928</v>
      </c>
      <c r="I329" s="2" t="s">
        <v>11924</v>
      </c>
    </row>
    <row r="330" spans="1:9">
      <c r="A330" s="2" t="s">
        <v>11657</v>
      </c>
      <c r="B330" s="2"/>
      <c r="C330" s="2" t="s">
        <v>3693</v>
      </c>
      <c r="D330" s="2" t="s">
        <v>11828</v>
      </c>
      <c r="E330" s="2" t="s">
        <v>11828</v>
      </c>
      <c r="F330" s="2"/>
      <c r="G330" s="2" t="s">
        <v>11631</v>
      </c>
      <c r="H330" s="2" t="s">
        <v>11928</v>
      </c>
      <c r="I330" s="2" t="s">
        <v>11924</v>
      </c>
    </row>
    <row r="331" spans="1:9">
      <c r="A331" s="2" t="s">
        <v>11657</v>
      </c>
      <c r="B331" s="2"/>
      <c r="C331" s="2" t="s">
        <v>3694</v>
      </c>
      <c r="D331" s="2" t="s">
        <v>11837</v>
      </c>
      <c r="E331" s="2" t="s">
        <v>11837</v>
      </c>
      <c r="F331" s="2"/>
      <c r="G331" s="2" t="s">
        <v>11631</v>
      </c>
      <c r="H331" s="2" t="s">
        <v>11928</v>
      </c>
      <c r="I331" s="2" t="s">
        <v>11924</v>
      </c>
    </row>
    <row r="332" spans="1:9">
      <c r="A332" s="2" t="s">
        <v>11662</v>
      </c>
      <c r="B332" s="2"/>
      <c r="C332" s="2" t="s">
        <v>48</v>
      </c>
      <c r="D332" s="2" t="s">
        <v>11693</v>
      </c>
      <c r="E332" s="2" t="s">
        <v>11693</v>
      </c>
      <c r="F332" s="2"/>
      <c r="G332" s="2" t="s">
        <v>11631</v>
      </c>
      <c r="H332" s="2" t="s">
        <v>11929</v>
      </c>
      <c r="I332" s="2" t="s">
        <v>11924</v>
      </c>
    </row>
    <row r="333" spans="1:9">
      <c r="A333" s="2" t="s">
        <v>11662</v>
      </c>
      <c r="B333" s="2"/>
      <c r="C333" s="2" t="s">
        <v>52</v>
      </c>
      <c r="D333" s="2" t="s">
        <v>11717</v>
      </c>
      <c r="E333" s="2" t="s">
        <v>11717</v>
      </c>
      <c r="F333" s="2"/>
      <c r="G333" s="2" t="s">
        <v>11631</v>
      </c>
      <c r="H333" s="2" t="s">
        <v>11929</v>
      </c>
      <c r="I333" s="2" t="s">
        <v>11924</v>
      </c>
    </row>
    <row r="334" spans="1:9">
      <c r="A334" s="2" t="s">
        <v>11662</v>
      </c>
      <c r="B334" s="2"/>
      <c r="C334" s="2" t="s">
        <v>56</v>
      </c>
      <c r="D334" s="2" t="s">
        <v>11740</v>
      </c>
      <c r="E334" s="2" t="s">
        <v>11740</v>
      </c>
      <c r="F334" s="2"/>
      <c r="G334" s="2" t="s">
        <v>11631</v>
      </c>
      <c r="H334" s="2" t="s">
        <v>11929</v>
      </c>
      <c r="I334" s="2" t="s">
        <v>11924</v>
      </c>
    </row>
    <row r="335" spans="1:9">
      <c r="A335" s="2" t="s">
        <v>11662</v>
      </c>
      <c r="B335" s="2"/>
      <c r="C335" s="2" t="s">
        <v>60</v>
      </c>
      <c r="D335" s="2" t="s">
        <v>11765</v>
      </c>
      <c r="E335" s="2" t="s">
        <v>11765</v>
      </c>
      <c r="F335" s="2"/>
      <c r="G335" s="2" t="s">
        <v>11631</v>
      </c>
      <c r="H335" s="2" t="s">
        <v>11929</v>
      </c>
      <c r="I335" s="2" t="s">
        <v>11924</v>
      </c>
    </row>
    <row r="336" spans="1:9">
      <c r="A336" s="2" t="s">
        <v>11662</v>
      </c>
      <c r="B336" s="2"/>
      <c r="C336" s="2" t="s">
        <v>64</v>
      </c>
      <c r="D336" s="2" t="s">
        <v>11787</v>
      </c>
      <c r="E336" s="2" t="s">
        <v>11787</v>
      </c>
      <c r="F336" s="2"/>
      <c r="G336" s="2" t="s">
        <v>11631</v>
      </c>
      <c r="H336" s="2" t="s">
        <v>11929</v>
      </c>
      <c r="I336" s="2" t="s">
        <v>11924</v>
      </c>
    </row>
    <row r="337" spans="1:9">
      <c r="A337" s="2" t="s">
        <v>11662</v>
      </c>
      <c r="B337" s="2"/>
      <c r="C337" s="2" t="s">
        <v>68</v>
      </c>
      <c r="D337" s="2" t="s">
        <v>10815</v>
      </c>
      <c r="E337" s="2" t="s">
        <v>10815</v>
      </c>
      <c r="F337" s="2"/>
      <c r="G337" s="2" t="s">
        <v>11631</v>
      </c>
      <c r="H337" s="2" t="s">
        <v>11929</v>
      </c>
      <c r="I337" s="2" t="s">
        <v>11924</v>
      </c>
    </row>
    <row r="338" spans="1:9">
      <c r="A338" s="2" t="s">
        <v>11641</v>
      </c>
      <c r="B338" s="2"/>
      <c r="C338" s="2" t="s">
        <v>68</v>
      </c>
      <c r="D338" s="2" t="s">
        <v>11444</v>
      </c>
      <c r="E338" s="2" t="s">
        <v>11444</v>
      </c>
      <c r="F338" s="2"/>
      <c r="G338" s="2" t="s">
        <v>11631</v>
      </c>
      <c r="H338" s="2" t="s">
        <v>11930</v>
      </c>
      <c r="I338" s="2" t="s">
        <v>11924</v>
      </c>
    </row>
    <row r="339" spans="1:9">
      <c r="A339" s="2" t="s">
        <v>11638</v>
      </c>
      <c r="B339" s="2"/>
      <c r="C339" s="2" t="s">
        <v>3692</v>
      </c>
      <c r="D339" s="2" t="s">
        <v>11810</v>
      </c>
      <c r="E339" s="2" t="s">
        <v>11810</v>
      </c>
      <c r="F339" s="2"/>
      <c r="G339" s="2" t="s">
        <v>11631</v>
      </c>
      <c r="H339" s="2" t="s">
        <v>11931</v>
      </c>
      <c r="I339" s="2" t="s">
        <v>11924</v>
      </c>
    </row>
    <row r="340" spans="1:9">
      <c r="A340" s="2" t="s">
        <v>11638</v>
      </c>
      <c r="B340" s="2"/>
      <c r="C340" s="2" t="s">
        <v>3693</v>
      </c>
      <c r="D340" s="2" t="s">
        <v>11823</v>
      </c>
      <c r="E340" s="2" t="s">
        <v>11823</v>
      </c>
      <c r="F340" s="2"/>
      <c r="G340" s="2" t="s">
        <v>11631</v>
      </c>
      <c r="H340" s="2" t="s">
        <v>11931</v>
      </c>
      <c r="I340" s="2" t="s">
        <v>11924</v>
      </c>
    </row>
    <row r="341" spans="1:9">
      <c r="A341" s="2" t="s">
        <v>11638</v>
      </c>
      <c r="B341" s="2"/>
      <c r="C341" s="2" t="s">
        <v>3694</v>
      </c>
      <c r="D341" s="2" t="s">
        <v>11834</v>
      </c>
      <c r="E341" s="2" t="s">
        <v>11834</v>
      </c>
      <c r="F341" s="2"/>
      <c r="G341" s="2" t="s">
        <v>11631</v>
      </c>
      <c r="H341" s="2" t="s">
        <v>11931</v>
      </c>
      <c r="I341" s="2" t="s">
        <v>11924</v>
      </c>
    </row>
    <row r="342" spans="1:9">
      <c r="A342" s="2" t="s">
        <v>11638</v>
      </c>
      <c r="B342" s="2"/>
      <c r="C342" s="2" t="s">
        <v>3695</v>
      </c>
      <c r="D342" s="2" t="s">
        <v>11842</v>
      </c>
      <c r="E342" s="2" t="s">
        <v>11842</v>
      </c>
      <c r="F342" s="2"/>
      <c r="G342" s="2" t="s">
        <v>11631</v>
      </c>
      <c r="H342" s="2" t="s">
        <v>11931</v>
      </c>
      <c r="I342" s="2" t="s">
        <v>11924</v>
      </c>
    </row>
    <row r="343" spans="1:9">
      <c r="A343" s="2" t="s">
        <v>11638</v>
      </c>
      <c r="B343" s="2"/>
      <c r="C343" s="2" t="s">
        <v>3696</v>
      </c>
      <c r="D343" s="2" t="s">
        <v>11847</v>
      </c>
      <c r="E343" s="2" t="s">
        <v>11847</v>
      </c>
      <c r="F343" s="2"/>
      <c r="G343" s="2" t="s">
        <v>11631</v>
      </c>
      <c r="H343" s="2" t="s">
        <v>11931</v>
      </c>
      <c r="I343" s="2" t="s">
        <v>11924</v>
      </c>
    </row>
    <row r="344" spans="1:9">
      <c r="A344" s="2" t="s">
        <v>11669</v>
      </c>
      <c r="B344" s="2"/>
      <c r="C344" s="2" t="s">
        <v>64</v>
      </c>
      <c r="D344" s="2" t="s">
        <v>11444</v>
      </c>
      <c r="E344" s="2" t="s">
        <v>11444</v>
      </c>
      <c r="F344" s="2"/>
      <c r="G344" s="2" t="s">
        <v>11631</v>
      </c>
      <c r="H344" s="2" t="s">
        <v>11932</v>
      </c>
      <c r="I344" s="2" t="s">
        <v>11924</v>
      </c>
    </row>
    <row r="345" spans="1:9" ht="28.3" customHeight="1">
      <c r="A345" s="2" t="s">
        <v>11677</v>
      </c>
      <c r="B345" s="2"/>
      <c r="C345" s="2" t="s">
        <v>3692</v>
      </c>
      <c r="D345" s="2" t="s">
        <v>11444</v>
      </c>
      <c r="E345" s="2" t="s">
        <v>11444</v>
      </c>
      <c r="F345" s="2"/>
      <c r="G345" s="2" t="s">
        <v>11631</v>
      </c>
      <c r="H345" s="2" t="s">
        <v>11933</v>
      </c>
      <c r="I345" s="2" t="s">
        <v>11924</v>
      </c>
    </row>
    <row r="346" spans="1:9" ht="28.3" customHeight="1">
      <c r="A346" s="2" t="s">
        <v>11670</v>
      </c>
      <c r="B346" s="2"/>
      <c r="C346" s="2" t="s">
        <v>68</v>
      </c>
      <c r="D346" s="2" t="s">
        <v>11444</v>
      </c>
      <c r="E346" s="2" t="s">
        <v>11444</v>
      </c>
      <c r="F346" s="2"/>
      <c r="G346" s="2" t="s">
        <v>11631</v>
      </c>
      <c r="H346" s="2" t="s">
        <v>11934</v>
      </c>
      <c r="I346" s="2" t="s">
        <v>11924</v>
      </c>
    </row>
    <row r="347" spans="1:9">
      <c r="A347" s="2" t="s">
        <v>11664</v>
      </c>
      <c r="B347" s="2"/>
      <c r="C347" s="2" t="s">
        <v>68</v>
      </c>
      <c r="D347" s="2" t="s">
        <v>11444</v>
      </c>
      <c r="E347" s="2" t="s">
        <v>11444</v>
      </c>
      <c r="F347" s="2"/>
      <c r="G347" s="2" t="s">
        <v>11631</v>
      </c>
      <c r="H347" s="2" t="s">
        <v>11935</v>
      </c>
      <c r="I347" s="2" t="s">
        <v>11924</v>
      </c>
    </row>
    <row r="348" spans="1:9">
      <c r="A348" s="2" t="s">
        <v>11637</v>
      </c>
      <c r="B348" s="2"/>
      <c r="C348" s="2" t="s">
        <v>64</v>
      </c>
      <c r="D348" s="2" t="s">
        <v>11444</v>
      </c>
      <c r="E348" s="2" t="s">
        <v>11444</v>
      </c>
      <c r="F348" s="2"/>
      <c r="G348" s="2" t="s">
        <v>11631</v>
      </c>
      <c r="H348" s="2" t="s">
        <v>11936</v>
      </c>
      <c r="I348" s="2" t="s">
        <v>11924</v>
      </c>
    </row>
    <row r="349" spans="1:9">
      <c r="A349" s="2" t="s">
        <v>11651</v>
      </c>
      <c r="B349" s="2"/>
      <c r="C349" s="2" t="s">
        <v>64</v>
      </c>
      <c r="D349" s="2" t="s">
        <v>11444</v>
      </c>
      <c r="E349" s="2" t="s">
        <v>11444</v>
      </c>
      <c r="F349" s="2"/>
      <c r="G349" s="2" t="s">
        <v>11631</v>
      </c>
      <c r="H349" s="2" t="s">
        <v>11937</v>
      </c>
      <c r="I349" s="2" t="s">
        <v>11924</v>
      </c>
    </row>
    <row r="350" spans="1:9">
      <c r="A350" s="2" t="s">
        <v>11655</v>
      </c>
      <c r="B350" s="2"/>
      <c r="C350" s="2" t="s">
        <v>64</v>
      </c>
      <c r="D350" s="2" t="s">
        <v>11444</v>
      </c>
      <c r="E350" s="2" t="s">
        <v>11444</v>
      </c>
      <c r="F350" s="2"/>
      <c r="G350" s="2" t="s">
        <v>11631</v>
      </c>
      <c r="H350" s="2" t="s">
        <v>11938</v>
      </c>
      <c r="I350" s="2" t="s">
        <v>11924</v>
      </c>
    </row>
    <row r="351" spans="1:9" ht="28.3" customHeight="1">
      <c r="A351" s="2" t="s">
        <v>11678</v>
      </c>
      <c r="B351" s="2"/>
      <c r="C351" s="2" t="s">
        <v>60</v>
      </c>
      <c r="D351" s="2" t="s">
        <v>11444</v>
      </c>
      <c r="E351" s="2" t="s">
        <v>11444</v>
      </c>
      <c r="F351" s="2"/>
      <c r="G351" s="2" t="s">
        <v>11631</v>
      </c>
      <c r="H351" s="2" t="s">
        <v>11939</v>
      </c>
      <c r="I351" s="2" t="s">
        <v>11924</v>
      </c>
    </row>
    <row r="352" spans="1:9">
      <c r="A352" s="2" t="s">
        <v>11639</v>
      </c>
      <c r="B352" s="2"/>
      <c r="C352" s="2" t="s">
        <v>3694</v>
      </c>
      <c r="D352" s="2" t="s">
        <v>11444</v>
      </c>
      <c r="E352" s="2" t="s">
        <v>11444</v>
      </c>
      <c r="F352" s="2"/>
      <c r="G352" s="2" t="s">
        <v>11631</v>
      </c>
      <c r="H352" s="2" t="s">
        <v>11940</v>
      </c>
      <c r="I352" s="2" t="s">
        <v>11924</v>
      </c>
    </row>
    <row r="353" spans="1:9">
      <c r="A353" s="2" t="s">
        <v>11644</v>
      </c>
      <c r="B353" s="2"/>
      <c r="C353" s="2" t="s">
        <v>3705</v>
      </c>
      <c r="D353" s="2" t="s">
        <v>11444</v>
      </c>
      <c r="E353" s="2" t="s">
        <v>11444</v>
      </c>
      <c r="F353" s="2"/>
      <c r="G353" s="2" t="s">
        <v>11631</v>
      </c>
      <c r="H353" s="2" t="s">
        <v>11941</v>
      </c>
      <c r="I353" s="2" t="s">
        <v>11924</v>
      </c>
    </row>
    <row r="354" spans="1:9">
      <c r="A354" s="2" t="s">
        <v>11672</v>
      </c>
      <c r="B354" s="2"/>
      <c r="C354" s="2" t="s">
        <v>3696</v>
      </c>
      <c r="D354" s="2" t="s">
        <v>11444</v>
      </c>
      <c r="E354" s="2" t="s">
        <v>11444</v>
      </c>
      <c r="F354" s="2"/>
      <c r="G354" s="2" t="s">
        <v>11631</v>
      </c>
      <c r="H354" s="2" t="s">
        <v>11942</v>
      </c>
      <c r="I354" s="2" t="s">
        <v>11924</v>
      </c>
    </row>
    <row r="355" spans="1:9">
      <c r="A355" s="2" t="s">
        <v>11673</v>
      </c>
      <c r="B355" s="2"/>
      <c r="C355" s="2" t="s">
        <v>3692</v>
      </c>
      <c r="D355" s="2" t="s">
        <v>11444</v>
      </c>
      <c r="E355" s="2" t="s">
        <v>11444</v>
      </c>
      <c r="F355" s="2"/>
      <c r="G355" s="2" t="s">
        <v>11631</v>
      </c>
      <c r="H355" s="2" t="s">
        <v>11943</v>
      </c>
      <c r="I355" s="2" t="s">
        <v>11924</v>
      </c>
    </row>
    <row r="356" spans="1:9">
      <c r="A356" s="2" t="s">
        <v>11675</v>
      </c>
      <c r="B356" s="2"/>
      <c r="C356" s="2" t="s">
        <v>3694</v>
      </c>
      <c r="D356" s="2" t="s">
        <v>11444</v>
      </c>
      <c r="E356" s="2" t="s">
        <v>11444</v>
      </c>
      <c r="F356" s="2"/>
      <c r="G356" s="2" t="s">
        <v>11631</v>
      </c>
      <c r="H356" s="2" t="s">
        <v>11944</v>
      </c>
      <c r="I356" s="2" t="s">
        <v>11924</v>
      </c>
    </row>
    <row r="357" spans="1:9">
      <c r="A357" s="2" t="s">
        <v>11636</v>
      </c>
      <c r="B357" s="2"/>
      <c r="C357" s="2" t="s">
        <v>3693</v>
      </c>
      <c r="D357" s="2" t="s">
        <v>11444</v>
      </c>
      <c r="E357" s="2" t="s">
        <v>11444</v>
      </c>
      <c r="F357" s="2"/>
      <c r="G357" s="2" t="s">
        <v>11631</v>
      </c>
      <c r="H357" s="2" t="s">
        <v>11945</v>
      </c>
      <c r="I357" s="2" t="s">
        <v>11924</v>
      </c>
    </row>
    <row r="358" spans="1:9">
      <c r="A358" s="2" t="s">
        <v>11665</v>
      </c>
      <c r="B358" s="2"/>
      <c r="C358" s="2" t="s">
        <v>3695</v>
      </c>
      <c r="D358" s="2" t="s">
        <v>11444</v>
      </c>
      <c r="E358" s="2" t="s">
        <v>11444</v>
      </c>
      <c r="F358" s="2"/>
      <c r="G358" s="2" t="s">
        <v>11631</v>
      </c>
      <c r="H358" s="2" t="s">
        <v>11946</v>
      </c>
      <c r="I358" s="2" t="s">
        <v>11924</v>
      </c>
    </row>
    <row r="359" spans="1:9" ht="28.3">
      <c r="A359" s="2" t="s">
        <v>11679</v>
      </c>
      <c r="B359" s="2"/>
      <c r="C359" s="2" t="s">
        <v>48</v>
      </c>
      <c r="D359" s="2" t="s">
        <v>11504</v>
      </c>
      <c r="E359" s="2" t="s">
        <v>11504</v>
      </c>
      <c r="F359" s="2"/>
      <c r="G359" s="2" t="s">
        <v>11631</v>
      </c>
      <c r="H359" s="2" t="s">
        <v>11947</v>
      </c>
      <c r="I359" s="2" t="s">
        <v>11633</v>
      </c>
    </row>
    <row r="360" spans="1:9" ht="28.3">
      <c r="A360" s="2" t="s">
        <v>11679</v>
      </c>
      <c r="B360" s="2"/>
      <c r="C360" s="2" t="s">
        <v>52</v>
      </c>
      <c r="D360" s="2" t="s">
        <v>11502</v>
      </c>
      <c r="E360" s="2" t="s">
        <v>11502</v>
      </c>
      <c r="F360" s="2"/>
      <c r="G360" s="2" t="s">
        <v>11631</v>
      </c>
      <c r="H360" s="2" t="s">
        <v>11947</v>
      </c>
      <c r="I360" s="2" t="s">
        <v>11633</v>
      </c>
    </row>
    <row r="361" spans="1:9" ht="28.3">
      <c r="A361" s="2" t="s">
        <v>11679</v>
      </c>
      <c r="B361" s="2"/>
      <c r="C361" s="2" t="s">
        <v>56</v>
      </c>
      <c r="D361" s="2" t="s">
        <v>11750</v>
      </c>
      <c r="E361" s="2" t="s">
        <v>11750</v>
      </c>
      <c r="F361" s="2"/>
      <c r="G361" s="2" t="s">
        <v>11631</v>
      </c>
      <c r="H361" s="2" t="s">
        <v>11947</v>
      </c>
      <c r="I361" s="2" t="s">
        <v>11633</v>
      </c>
    </row>
    <row r="362" spans="1:9" ht="28.3">
      <c r="A362" s="2" t="s">
        <v>11679</v>
      </c>
      <c r="B362" s="2"/>
      <c r="C362" s="2" t="s">
        <v>60</v>
      </c>
      <c r="D362" s="2" t="s">
        <v>10815</v>
      </c>
      <c r="E362" s="2" t="s">
        <v>10815</v>
      </c>
      <c r="F362" s="2"/>
      <c r="G362" s="2" t="s">
        <v>11631</v>
      </c>
      <c r="H362" s="2" t="s">
        <v>11947</v>
      </c>
      <c r="I362" s="2" t="s">
        <v>11633</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H231"/>
  <sheetViews>
    <sheetView showGridLines="0" workbookViewId="0">
      <pane ySplit="13" topLeftCell="A211" activePane="bottomLeft" state="frozen"/>
      <selection pane="bottomLeft" activeCell="A216" sqref="A216:G231"/>
    </sheetView>
  </sheetViews>
  <sheetFormatPr defaultRowHeight="14.15"/>
  <cols>
    <col min="1" max="1" width="18" customWidth="1"/>
    <col min="2" max="2" width="30" customWidth="1"/>
    <col min="3" max="3" width="38" customWidth="1"/>
    <col min="4" max="6" width="28" customWidth="1"/>
    <col min="7" max="7" width="22" customWidth="1"/>
    <col min="8" max="8" width="70" customWidth="1"/>
  </cols>
  <sheetData>
    <row r="1" spans="1:8" ht="28.3" customHeight="1">
      <c r="A1" s="173" t="s">
        <v>44</v>
      </c>
      <c r="B1" s="2" t="s">
        <v>11948</v>
      </c>
    </row>
    <row r="2" spans="1:8" ht="42.45" customHeight="1">
      <c r="A2" s="173" t="s">
        <v>11949</v>
      </c>
      <c r="B2" s="2" t="s">
        <v>11950</v>
      </c>
    </row>
    <row r="3" spans="1:8" ht="42.45" customHeight="1">
      <c r="A3" s="173" t="s">
        <v>11951</v>
      </c>
      <c r="B3" s="2" t="s">
        <v>11952</v>
      </c>
    </row>
    <row r="4" spans="1:8">
      <c r="A4" s="173" t="s">
        <v>11953</v>
      </c>
      <c r="B4" s="2">
        <v>357</v>
      </c>
    </row>
    <row r="5" spans="1:8">
      <c r="A5" s="173" t="s">
        <v>11954</v>
      </c>
      <c r="B5" s="2">
        <v>46</v>
      </c>
    </row>
    <row r="6" spans="1:8">
      <c r="A6" s="173" t="s">
        <v>11955</v>
      </c>
      <c r="B6" s="2">
        <v>46</v>
      </c>
    </row>
    <row r="7" spans="1:8">
      <c r="A7" s="173" t="s">
        <v>11956</v>
      </c>
      <c r="B7" s="2">
        <v>13</v>
      </c>
    </row>
    <row r="8" spans="1:8">
      <c r="A8" s="173" t="s">
        <v>11957</v>
      </c>
      <c r="B8" s="2">
        <v>51</v>
      </c>
    </row>
    <row r="9" spans="1:8" ht="28.3" customHeight="1">
      <c r="A9" s="173" t="s">
        <v>11958</v>
      </c>
      <c r="B9" s="2" t="s">
        <v>11959</v>
      </c>
    </row>
    <row r="10" spans="1:8" ht="42.45" customHeight="1">
      <c r="A10" s="173" t="s">
        <v>11960</v>
      </c>
      <c r="B10" s="2" t="s">
        <v>11961</v>
      </c>
    </row>
    <row r="13" spans="1:8">
      <c r="A13" s="174" t="s">
        <v>3381</v>
      </c>
      <c r="B13" s="174" t="s">
        <v>11962</v>
      </c>
      <c r="C13" s="174" t="s">
        <v>11963</v>
      </c>
      <c r="D13" s="174" t="s">
        <v>11964</v>
      </c>
      <c r="E13" s="174" t="s">
        <v>11965</v>
      </c>
      <c r="F13" s="174" t="s">
        <v>11966</v>
      </c>
      <c r="G13" s="174" t="s">
        <v>742</v>
      </c>
      <c r="H13" s="174" t="s">
        <v>349</v>
      </c>
    </row>
    <row r="14" spans="1:8">
      <c r="A14" t="s">
        <v>11967</v>
      </c>
      <c r="B14" t="s">
        <v>11968</v>
      </c>
      <c r="C14" t="s">
        <v>462</v>
      </c>
      <c r="D14" t="s">
        <v>11630</v>
      </c>
      <c r="E14" t="s">
        <v>11630</v>
      </c>
      <c r="F14" t="s">
        <v>11969</v>
      </c>
      <c r="G14" t="s">
        <v>11970</v>
      </c>
      <c r="H14" t="s">
        <v>11971</v>
      </c>
    </row>
    <row r="15" spans="1:8">
      <c r="A15" t="s">
        <v>11972</v>
      </c>
      <c r="B15" t="s">
        <v>11973</v>
      </c>
      <c r="C15" t="s">
        <v>465</v>
      </c>
      <c r="D15" t="s">
        <v>11676</v>
      </c>
      <c r="E15" t="s">
        <v>11676</v>
      </c>
      <c r="F15" t="s">
        <v>11974</v>
      </c>
      <c r="G15" t="s">
        <v>11970</v>
      </c>
      <c r="H15" t="s">
        <v>11971</v>
      </c>
    </row>
    <row r="16" spans="1:8">
      <c r="A16" t="s">
        <v>11975</v>
      </c>
      <c r="B16" t="s">
        <v>11976</v>
      </c>
      <c r="C16" t="s">
        <v>467</v>
      </c>
      <c r="D16" t="s">
        <v>11645</v>
      </c>
      <c r="E16" t="s">
        <v>11645</v>
      </c>
      <c r="F16" t="s">
        <v>11977</v>
      </c>
      <c r="G16" t="s">
        <v>11970</v>
      </c>
      <c r="H16" t="s">
        <v>11971</v>
      </c>
    </row>
    <row r="17" spans="1:8">
      <c r="A17" t="s">
        <v>11978</v>
      </c>
      <c r="B17" t="s">
        <v>11979</v>
      </c>
      <c r="C17" t="s">
        <v>470</v>
      </c>
      <c r="D17" t="s">
        <v>11656</v>
      </c>
      <c r="E17" t="s">
        <v>11656</v>
      </c>
      <c r="F17" t="s">
        <v>11980</v>
      </c>
      <c r="G17" t="s">
        <v>11970</v>
      </c>
      <c r="H17" t="s">
        <v>11971</v>
      </c>
    </row>
    <row r="18" spans="1:8">
      <c r="A18" t="s">
        <v>11981</v>
      </c>
      <c r="B18" t="s">
        <v>11982</v>
      </c>
      <c r="C18" t="s">
        <v>473</v>
      </c>
      <c r="D18" t="s">
        <v>11666</v>
      </c>
      <c r="E18" t="s">
        <v>11666</v>
      </c>
      <c r="F18" t="s">
        <v>11983</v>
      </c>
      <c r="G18" t="s">
        <v>11970</v>
      </c>
      <c r="H18" t="s">
        <v>11971</v>
      </c>
    </row>
    <row r="19" spans="1:8">
      <c r="A19" t="s">
        <v>11984</v>
      </c>
      <c r="B19" t="s">
        <v>11985</v>
      </c>
      <c r="C19" t="s">
        <v>476</v>
      </c>
      <c r="D19" t="s">
        <v>11660</v>
      </c>
      <c r="E19" t="s">
        <v>11660</v>
      </c>
      <c r="F19" t="s">
        <v>11986</v>
      </c>
      <c r="G19" t="s">
        <v>11970</v>
      </c>
      <c r="H19" t="s">
        <v>11971</v>
      </c>
    </row>
    <row r="20" spans="1:8">
      <c r="A20" t="s">
        <v>11987</v>
      </c>
      <c r="B20" t="s">
        <v>11988</v>
      </c>
      <c r="C20" t="s">
        <v>479</v>
      </c>
      <c r="D20" t="s">
        <v>11989</v>
      </c>
      <c r="E20" t="s">
        <v>11990</v>
      </c>
      <c r="G20" t="s">
        <v>11991</v>
      </c>
      <c r="H20" t="s">
        <v>11992</v>
      </c>
    </row>
    <row r="21" spans="1:8">
      <c r="A21" t="s">
        <v>11993</v>
      </c>
      <c r="B21" t="s">
        <v>11665</v>
      </c>
      <c r="C21" t="s">
        <v>485</v>
      </c>
      <c r="D21" t="s">
        <v>11665</v>
      </c>
      <c r="E21" t="s">
        <v>11665</v>
      </c>
      <c r="F21" t="s">
        <v>11994</v>
      </c>
      <c r="G21" t="s">
        <v>11970</v>
      </c>
      <c r="H21" t="s">
        <v>11971</v>
      </c>
    </row>
    <row r="22" spans="1:8">
      <c r="A22" t="s">
        <v>11995</v>
      </c>
      <c r="B22" t="s">
        <v>11636</v>
      </c>
      <c r="C22" t="s">
        <v>488</v>
      </c>
      <c r="D22" t="s">
        <v>11636</v>
      </c>
      <c r="E22" t="s">
        <v>11636</v>
      </c>
      <c r="F22" t="s">
        <v>11996</v>
      </c>
      <c r="G22" t="s">
        <v>11970</v>
      </c>
      <c r="H22" t="s">
        <v>11971</v>
      </c>
    </row>
    <row r="23" spans="1:8">
      <c r="A23" t="s">
        <v>11997</v>
      </c>
      <c r="B23" t="s">
        <v>11998</v>
      </c>
      <c r="C23" t="s">
        <v>494</v>
      </c>
      <c r="D23" t="s">
        <v>11999</v>
      </c>
      <c r="E23" t="s">
        <v>11657</v>
      </c>
      <c r="F23" t="s">
        <v>12000</v>
      </c>
      <c r="G23" t="s">
        <v>11970</v>
      </c>
      <c r="H23" t="s">
        <v>11971</v>
      </c>
    </row>
    <row r="24" spans="1:8">
      <c r="A24" t="s">
        <v>12001</v>
      </c>
      <c r="B24" t="s">
        <v>12002</v>
      </c>
      <c r="C24" t="s">
        <v>497</v>
      </c>
      <c r="D24" t="s">
        <v>11662</v>
      </c>
      <c r="E24" t="s">
        <v>11662</v>
      </c>
      <c r="F24" t="s">
        <v>12003</v>
      </c>
      <c r="G24" t="s">
        <v>11970</v>
      </c>
      <c r="H24" t="s">
        <v>11971</v>
      </c>
    </row>
    <row r="25" spans="1:8">
      <c r="A25" t="s">
        <v>12004</v>
      </c>
      <c r="B25" t="s">
        <v>12005</v>
      </c>
      <c r="C25" t="s">
        <v>506</v>
      </c>
      <c r="D25" t="s">
        <v>11647</v>
      </c>
      <c r="E25" t="s">
        <v>11647</v>
      </c>
      <c r="F25" t="s">
        <v>12006</v>
      </c>
      <c r="G25" t="s">
        <v>11970</v>
      </c>
      <c r="H25" t="s">
        <v>11971</v>
      </c>
    </row>
    <row r="26" spans="1:8">
      <c r="A26" t="s">
        <v>12007</v>
      </c>
      <c r="B26" t="s">
        <v>12008</v>
      </c>
      <c r="C26" t="s">
        <v>509</v>
      </c>
      <c r="D26" t="s">
        <v>11669</v>
      </c>
      <c r="E26" t="s">
        <v>11669</v>
      </c>
      <c r="F26" t="s">
        <v>12009</v>
      </c>
      <c r="G26" t="s">
        <v>11970</v>
      </c>
      <c r="H26" t="s">
        <v>11971</v>
      </c>
    </row>
    <row r="27" spans="1:8">
      <c r="A27" t="s">
        <v>12010</v>
      </c>
      <c r="B27" t="s">
        <v>12011</v>
      </c>
      <c r="C27" t="s">
        <v>512</v>
      </c>
      <c r="D27" t="s">
        <v>11668</v>
      </c>
      <c r="E27" t="s">
        <v>11668</v>
      </c>
      <c r="F27" t="s">
        <v>12012</v>
      </c>
      <c r="G27" t="s">
        <v>11970</v>
      </c>
      <c r="H27" t="s">
        <v>11971</v>
      </c>
    </row>
    <row r="28" spans="1:8">
      <c r="A28" t="s">
        <v>12013</v>
      </c>
      <c r="B28" t="s">
        <v>12014</v>
      </c>
      <c r="C28" t="s">
        <v>515</v>
      </c>
      <c r="D28" t="s">
        <v>11644</v>
      </c>
      <c r="E28" t="s">
        <v>11644</v>
      </c>
      <c r="F28" t="s">
        <v>12015</v>
      </c>
      <c r="G28" t="s">
        <v>11970</v>
      </c>
      <c r="H28" t="s">
        <v>11971</v>
      </c>
    </row>
    <row r="29" spans="1:8">
      <c r="A29" t="s">
        <v>12016</v>
      </c>
      <c r="B29" t="s">
        <v>11639</v>
      </c>
      <c r="C29" t="s">
        <v>518</v>
      </c>
      <c r="D29" t="s">
        <v>12017</v>
      </c>
      <c r="E29" t="s">
        <v>11639</v>
      </c>
      <c r="F29" t="s">
        <v>12018</v>
      </c>
      <c r="G29" t="s">
        <v>11970</v>
      </c>
      <c r="H29" t="s">
        <v>11971</v>
      </c>
    </row>
    <row r="30" spans="1:8">
      <c r="A30" t="s">
        <v>12019</v>
      </c>
      <c r="B30" t="s">
        <v>12020</v>
      </c>
      <c r="C30" t="s">
        <v>526</v>
      </c>
      <c r="D30" t="s">
        <v>11663</v>
      </c>
      <c r="E30" t="s">
        <v>11663</v>
      </c>
      <c r="F30" t="s">
        <v>12021</v>
      </c>
      <c r="G30" t="s">
        <v>11970</v>
      </c>
      <c r="H30" t="s">
        <v>11971</v>
      </c>
    </row>
    <row r="31" spans="1:8">
      <c r="A31" t="s">
        <v>12022</v>
      </c>
      <c r="B31" t="s">
        <v>12023</v>
      </c>
      <c r="C31" t="s">
        <v>529</v>
      </c>
      <c r="D31" t="s">
        <v>11663</v>
      </c>
      <c r="E31" t="s">
        <v>11663</v>
      </c>
      <c r="F31" t="s">
        <v>12021</v>
      </c>
      <c r="G31" t="s">
        <v>11970</v>
      </c>
      <c r="H31" t="s">
        <v>11971</v>
      </c>
    </row>
    <row r="32" spans="1:8">
      <c r="A32" t="s">
        <v>12024</v>
      </c>
      <c r="B32" t="s">
        <v>12025</v>
      </c>
      <c r="C32" t="s">
        <v>531</v>
      </c>
      <c r="D32" t="s">
        <v>11663</v>
      </c>
      <c r="E32" t="s">
        <v>11663</v>
      </c>
      <c r="F32" t="s">
        <v>12021</v>
      </c>
      <c r="G32" t="s">
        <v>11970</v>
      </c>
      <c r="H32" t="s">
        <v>11971</v>
      </c>
    </row>
    <row r="33" spans="1:8">
      <c r="A33" t="s">
        <v>12026</v>
      </c>
      <c r="B33" t="s">
        <v>12027</v>
      </c>
      <c r="C33" t="s">
        <v>533</v>
      </c>
      <c r="D33" t="s">
        <v>11634</v>
      </c>
      <c r="E33" t="s">
        <v>11634</v>
      </c>
      <c r="F33" t="s">
        <v>12028</v>
      </c>
      <c r="G33" t="s">
        <v>11970</v>
      </c>
      <c r="H33" t="s">
        <v>11971</v>
      </c>
    </row>
    <row r="34" spans="1:8">
      <c r="A34" t="s">
        <v>12029</v>
      </c>
      <c r="B34" t="s">
        <v>11674</v>
      </c>
      <c r="C34" t="s">
        <v>536</v>
      </c>
      <c r="D34" t="s">
        <v>11674</v>
      </c>
      <c r="E34" t="s">
        <v>11674</v>
      </c>
      <c r="F34" t="s">
        <v>12030</v>
      </c>
      <c r="G34" t="s">
        <v>11970</v>
      </c>
      <c r="H34" t="s">
        <v>11971</v>
      </c>
    </row>
    <row r="35" spans="1:8">
      <c r="A35" t="s">
        <v>12031</v>
      </c>
      <c r="B35" t="s">
        <v>12032</v>
      </c>
      <c r="C35" t="s">
        <v>545</v>
      </c>
      <c r="D35" t="s">
        <v>11642</v>
      </c>
      <c r="E35" t="s">
        <v>11642</v>
      </c>
      <c r="F35" t="s">
        <v>12033</v>
      </c>
      <c r="G35" t="s">
        <v>11970</v>
      </c>
      <c r="H35" t="s">
        <v>11971</v>
      </c>
    </row>
    <row r="36" spans="1:8">
      <c r="A36" t="s">
        <v>12034</v>
      </c>
      <c r="B36" t="s">
        <v>12035</v>
      </c>
      <c r="C36" t="s">
        <v>548</v>
      </c>
      <c r="D36" t="s">
        <v>11642</v>
      </c>
      <c r="E36" t="s">
        <v>11642</v>
      </c>
      <c r="F36" t="s">
        <v>12033</v>
      </c>
      <c r="G36" t="s">
        <v>11970</v>
      </c>
      <c r="H36" t="s">
        <v>11971</v>
      </c>
    </row>
    <row r="37" spans="1:8">
      <c r="A37" t="s">
        <v>12036</v>
      </c>
      <c r="B37" t="s">
        <v>11672</v>
      </c>
      <c r="C37" t="s">
        <v>561</v>
      </c>
      <c r="D37" t="s">
        <v>11672</v>
      </c>
      <c r="E37" t="s">
        <v>11672</v>
      </c>
      <c r="F37" t="s">
        <v>12037</v>
      </c>
      <c r="G37" t="s">
        <v>11970</v>
      </c>
      <c r="H37" t="s">
        <v>11971</v>
      </c>
    </row>
    <row r="38" spans="1:8">
      <c r="A38" t="s">
        <v>12038</v>
      </c>
      <c r="B38" t="s">
        <v>12039</v>
      </c>
      <c r="C38" t="s">
        <v>564</v>
      </c>
      <c r="D38" t="s">
        <v>11672</v>
      </c>
      <c r="E38" t="s">
        <v>11672</v>
      </c>
      <c r="F38" t="s">
        <v>12037</v>
      </c>
      <c r="G38" t="s">
        <v>11970</v>
      </c>
      <c r="H38" t="s">
        <v>11971</v>
      </c>
    </row>
    <row r="39" spans="1:8">
      <c r="A39" t="s">
        <v>12040</v>
      </c>
      <c r="B39" t="s">
        <v>11673</v>
      </c>
      <c r="C39" t="s">
        <v>567</v>
      </c>
      <c r="D39" t="s">
        <v>11673</v>
      </c>
      <c r="E39" t="s">
        <v>11673</v>
      </c>
      <c r="F39" t="s">
        <v>12041</v>
      </c>
      <c r="G39" t="s">
        <v>11970</v>
      </c>
      <c r="H39" t="s">
        <v>11971</v>
      </c>
    </row>
    <row r="40" spans="1:8">
      <c r="A40" t="s">
        <v>12042</v>
      </c>
      <c r="B40" t="s">
        <v>11675</v>
      </c>
      <c r="C40" t="s">
        <v>570</v>
      </c>
      <c r="D40" t="s">
        <v>11675</v>
      </c>
      <c r="E40" t="s">
        <v>11675</v>
      </c>
      <c r="F40" t="s">
        <v>12043</v>
      </c>
      <c r="G40" t="s">
        <v>11970</v>
      </c>
      <c r="H40" t="s">
        <v>11971</v>
      </c>
    </row>
    <row r="41" spans="1:8">
      <c r="A41" t="s">
        <v>12044</v>
      </c>
      <c r="B41" t="s">
        <v>12045</v>
      </c>
      <c r="C41" t="s">
        <v>573</v>
      </c>
      <c r="D41" t="s">
        <v>499</v>
      </c>
      <c r="E41" t="s">
        <v>11641</v>
      </c>
      <c r="F41" t="s">
        <v>12046</v>
      </c>
      <c r="G41" t="s">
        <v>11970</v>
      </c>
      <c r="H41" t="s">
        <v>11971</v>
      </c>
    </row>
    <row r="42" spans="1:8">
      <c r="A42" t="s">
        <v>12047</v>
      </c>
      <c r="B42" t="s">
        <v>12048</v>
      </c>
      <c r="C42" t="s">
        <v>576</v>
      </c>
      <c r="D42" t="s">
        <v>499</v>
      </c>
      <c r="E42" t="s">
        <v>11641</v>
      </c>
      <c r="F42" t="s">
        <v>12046</v>
      </c>
      <c r="G42" t="s">
        <v>11970</v>
      </c>
      <c r="H42" t="s">
        <v>11971</v>
      </c>
    </row>
    <row r="43" spans="1:8">
      <c r="A43" t="s">
        <v>12049</v>
      </c>
      <c r="B43" t="s">
        <v>12050</v>
      </c>
      <c r="C43" t="s">
        <v>578</v>
      </c>
      <c r="D43" t="s">
        <v>499</v>
      </c>
      <c r="E43" t="s">
        <v>11641</v>
      </c>
      <c r="F43" t="s">
        <v>12046</v>
      </c>
      <c r="G43" t="s">
        <v>11970</v>
      </c>
      <c r="H43" t="s">
        <v>11971</v>
      </c>
    </row>
    <row r="44" spans="1:8">
      <c r="A44" t="s">
        <v>12051</v>
      </c>
      <c r="B44" t="s">
        <v>12052</v>
      </c>
      <c r="C44" t="s">
        <v>581</v>
      </c>
      <c r="D44" t="s">
        <v>12053</v>
      </c>
      <c r="E44" t="s">
        <v>11641</v>
      </c>
      <c r="F44" t="s">
        <v>12046</v>
      </c>
      <c r="G44" t="s">
        <v>11970</v>
      </c>
      <c r="H44" t="s">
        <v>11971</v>
      </c>
    </row>
    <row r="45" spans="1:8">
      <c r="A45" t="s">
        <v>12054</v>
      </c>
      <c r="B45" t="s">
        <v>12055</v>
      </c>
      <c r="C45" t="s">
        <v>584</v>
      </c>
      <c r="D45" t="s">
        <v>12053</v>
      </c>
      <c r="E45" t="s">
        <v>11641</v>
      </c>
      <c r="F45" t="s">
        <v>12046</v>
      </c>
      <c r="G45" t="s">
        <v>11970</v>
      </c>
      <c r="H45" t="s">
        <v>11971</v>
      </c>
    </row>
    <row r="46" spans="1:8">
      <c r="A46" t="s">
        <v>12056</v>
      </c>
      <c r="B46" t="s">
        <v>11677</v>
      </c>
      <c r="C46" t="s">
        <v>587</v>
      </c>
      <c r="D46" t="s">
        <v>11677</v>
      </c>
      <c r="E46" t="s">
        <v>11677</v>
      </c>
      <c r="F46" t="s">
        <v>12057</v>
      </c>
      <c r="G46" t="s">
        <v>11970</v>
      </c>
      <c r="H46" t="s">
        <v>11971</v>
      </c>
    </row>
    <row r="47" spans="1:8">
      <c r="A47" t="s">
        <v>12058</v>
      </c>
      <c r="B47" t="s">
        <v>12059</v>
      </c>
      <c r="C47" t="s">
        <v>605</v>
      </c>
      <c r="D47" t="s">
        <v>11656</v>
      </c>
      <c r="E47" t="s">
        <v>11656</v>
      </c>
      <c r="F47" t="s">
        <v>11980</v>
      </c>
      <c r="G47" t="s">
        <v>11970</v>
      </c>
      <c r="H47" t="s">
        <v>11971</v>
      </c>
    </row>
    <row r="48" spans="1:8">
      <c r="A48" t="s">
        <v>12060</v>
      </c>
      <c r="B48" t="s">
        <v>12061</v>
      </c>
      <c r="C48" t="s">
        <v>608</v>
      </c>
      <c r="D48" t="s">
        <v>12062</v>
      </c>
      <c r="E48" t="s">
        <v>11641</v>
      </c>
      <c r="F48" t="s">
        <v>12046</v>
      </c>
      <c r="G48" t="s">
        <v>11970</v>
      </c>
      <c r="H48" t="s">
        <v>11971</v>
      </c>
    </row>
    <row r="49" spans="1:8">
      <c r="A49" t="s">
        <v>12063</v>
      </c>
      <c r="B49" t="s">
        <v>12064</v>
      </c>
      <c r="C49" t="s">
        <v>611</v>
      </c>
      <c r="D49" t="s">
        <v>12065</v>
      </c>
      <c r="E49" t="s">
        <v>11641</v>
      </c>
      <c r="F49" t="s">
        <v>12046</v>
      </c>
      <c r="G49" t="s">
        <v>11970</v>
      </c>
      <c r="H49" t="s">
        <v>11971</v>
      </c>
    </row>
    <row r="50" spans="1:8">
      <c r="A50" t="s">
        <v>12066</v>
      </c>
      <c r="B50" t="s">
        <v>12067</v>
      </c>
      <c r="C50" t="s">
        <v>614</v>
      </c>
      <c r="D50" t="s">
        <v>11670</v>
      </c>
      <c r="E50" t="s">
        <v>11670</v>
      </c>
      <c r="F50" t="s">
        <v>12068</v>
      </c>
      <c r="G50" t="s">
        <v>11970</v>
      </c>
      <c r="H50" t="s">
        <v>11971</v>
      </c>
    </row>
    <row r="51" spans="1:8">
      <c r="A51" t="s">
        <v>12069</v>
      </c>
      <c r="B51" t="s">
        <v>12070</v>
      </c>
      <c r="C51" t="s">
        <v>617</v>
      </c>
      <c r="D51" t="s">
        <v>12070</v>
      </c>
      <c r="E51" t="s">
        <v>11664</v>
      </c>
      <c r="F51" t="s">
        <v>12071</v>
      </c>
      <c r="G51" t="s">
        <v>11970</v>
      </c>
      <c r="H51" t="s">
        <v>11971</v>
      </c>
    </row>
    <row r="52" spans="1:8">
      <c r="A52" t="s">
        <v>12072</v>
      </c>
      <c r="B52" t="s">
        <v>12073</v>
      </c>
      <c r="C52" t="s">
        <v>649</v>
      </c>
      <c r="D52" t="s">
        <v>11678</v>
      </c>
      <c r="E52" t="s">
        <v>11678</v>
      </c>
      <c r="F52" t="s">
        <v>12074</v>
      </c>
      <c r="G52" t="s">
        <v>11970</v>
      </c>
      <c r="H52" t="s">
        <v>11971</v>
      </c>
    </row>
    <row r="53" spans="1:8">
      <c r="A53" t="s">
        <v>12075</v>
      </c>
      <c r="B53" t="s">
        <v>12076</v>
      </c>
      <c r="C53" t="s">
        <v>654</v>
      </c>
      <c r="D53" t="s">
        <v>11640</v>
      </c>
      <c r="E53" t="s">
        <v>11640</v>
      </c>
      <c r="F53" t="s">
        <v>12077</v>
      </c>
      <c r="G53" t="s">
        <v>11970</v>
      </c>
      <c r="H53" t="s">
        <v>11971</v>
      </c>
    </row>
    <row r="54" spans="1:8">
      <c r="A54" t="s">
        <v>12078</v>
      </c>
      <c r="B54" t="s">
        <v>12079</v>
      </c>
      <c r="C54" t="s">
        <v>658</v>
      </c>
      <c r="D54" t="s">
        <v>11671</v>
      </c>
      <c r="E54" t="s">
        <v>11671</v>
      </c>
      <c r="F54" t="s">
        <v>12080</v>
      </c>
      <c r="G54" t="s">
        <v>11970</v>
      </c>
      <c r="H54" t="s">
        <v>11971</v>
      </c>
    </row>
    <row r="55" spans="1:8">
      <c r="A55" t="s">
        <v>12081</v>
      </c>
      <c r="B55" t="s">
        <v>12082</v>
      </c>
      <c r="C55" t="s">
        <v>663</v>
      </c>
      <c r="D55" t="s">
        <v>11637</v>
      </c>
      <c r="E55" t="s">
        <v>11637</v>
      </c>
      <c r="F55" t="s">
        <v>12083</v>
      </c>
      <c r="G55" t="s">
        <v>11970</v>
      </c>
      <c r="H55" t="s">
        <v>11971</v>
      </c>
    </row>
    <row r="56" spans="1:8">
      <c r="A56" t="s">
        <v>12084</v>
      </c>
      <c r="B56" t="s">
        <v>11651</v>
      </c>
      <c r="C56" t="s">
        <v>665</v>
      </c>
      <c r="D56" t="s">
        <v>11651</v>
      </c>
      <c r="E56" t="s">
        <v>11651</v>
      </c>
      <c r="F56" t="s">
        <v>12085</v>
      </c>
      <c r="G56" t="s">
        <v>11970</v>
      </c>
      <c r="H56" t="s">
        <v>11971</v>
      </c>
    </row>
    <row r="57" spans="1:8">
      <c r="A57" t="s">
        <v>12086</v>
      </c>
      <c r="B57" t="s">
        <v>12087</v>
      </c>
      <c r="C57" t="s">
        <v>667</v>
      </c>
      <c r="D57" t="s">
        <v>11655</v>
      </c>
      <c r="E57" t="s">
        <v>11655</v>
      </c>
      <c r="F57" t="s">
        <v>12088</v>
      </c>
      <c r="G57" t="s">
        <v>11970</v>
      </c>
      <c r="H57" t="s">
        <v>11971</v>
      </c>
    </row>
    <row r="58" spans="1:8">
      <c r="A58" t="s">
        <v>12089</v>
      </c>
      <c r="B58" t="s">
        <v>12090</v>
      </c>
      <c r="C58" t="s">
        <v>12091</v>
      </c>
      <c r="D58" t="s">
        <v>11661</v>
      </c>
      <c r="E58" t="s">
        <v>11661</v>
      </c>
      <c r="F58" t="s">
        <v>12092</v>
      </c>
      <c r="G58" t="s">
        <v>11970</v>
      </c>
      <c r="H58" t="s">
        <v>12093</v>
      </c>
    </row>
    <row r="59" spans="1:8">
      <c r="A59" t="s">
        <v>12094</v>
      </c>
      <c r="B59" t="s">
        <v>12095</v>
      </c>
      <c r="C59" t="s">
        <v>12096</v>
      </c>
      <c r="D59" t="s">
        <v>11653</v>
      </c>
      <c r="E59" t="s">
        <v>11653</v>
      </c>
      <c r="F59" t="s">
        <v>12097</v>
      </c>
      <c r="G59" t="s">
        <v>11970</v>
      </c>
      <c r="H59" t="s">
        <v>12098</v>
      </c>
    </row>
    <row r="60" spans="1:8">
      <c r="A60" t="s">
        <v>12099</v>
      </c>
      <c r="B60" t="s">
        <v>12100</v>
      </c>
      <c r="C60" t="s">
        <v>12101</v>
      </c>
      <c r="D60" t="s">
        <v>11643</v>
      </c>
      <c r="E60" t="s">
        <v>11643</v>
      </c>
      <c r="F60" t="s">
        <v>12102</v>
      </c>
      <c r="G60" t="s">
        <v>11970</v>
      </c>
      <c r="H60" t="s">
        <v>12103</v>
      </c>
    </row>
    <row r="61" spans="1:8">
      <c r="A61" t="s">
        <v>12104</v>
      </c>
      <c r="B61" t="s">
        <v>12105</v>
      </c>
      <c r="C61" t="s">
        <v>12106</v>
      </c>
      <c r="D61" t="s">
        <v>11648</v>
      </c>
      <c r="E61" t="s">
        <v>11648</v>
      </c>
      <c r="F61" t="s">
        <v>12107</v>
      </c>
      <c r="G61" t="s">
        <v>11970</v>
      </c>
      <c r="H61" t="s">
        <v>12108</v>
      </c>
    </row>
    <row r="62" spans="1:8">
      <c r="A62" t="s">
        <v>12109</v>
      </c>
      <c r="B62" t="s">
        <v>12110</v>
      </c>
      <c r="C62" t="s">
        <v>12111</v>
      </c>
      <c r="D62" t="s">
        <v>11649</v>
      </c>
      <c r="E62" t="s">
        <v>11649</v>
      </c>
      <c r="F62" t="s">
        <v>12112</v>
      </c>
      <c r="G62" t="s">
        <v>11970</v>
      </c>
      <c r="H62" t="s">
        <v>12113</v>
      </c>
    </row>
    <row r="63" spans="1:8">
      <c r="A63" t="s">
        <v>12114</v>
      </c>
      <c r="B63" t="s">
        <v>11646</v>
      </c>
      <c r="C63" t="s">
        <v>12115</v>
      </c>
      <c r="D63" t="s">
        <v>11646</v>
      </c>
      <c r="E63" t="s">
        <v>11646</v>
      </c>
      <c r="F63" t="s">
        <v>12116</v>
      </c>
      <c r="G63" t="s">
        <v>11970</v>
      </c>
      <c r="H63" t="s">
        <v>636</v>
      </c>
    </row>
    <row r="64" spans="1:8">
      <c r="A64" t="s">
        <v>12117</v>
      </c>
      <c r="B64" t="s">
        <v>12118</v>
      </c>
      <c r="C64" t="s">
        <v>661</v>
      </c>
      <c r="E64" t="s">
        <v>12119</v>
      </c>
      <c r="G64" t="s">
        <v>11991</v>
      </c>
      <c r="H64" t="s">
        <v>12120</v>
      </c>
    </row>
    <row r="65" spans="1:8">
      <c r="A65" t="s">
        <v>12121</v>
      </c>
      <c r="B65" t="s">
        <v>11659</v>
      </c>
      <c r="C65" t="s">
        <v>558</v>
      </c>
      <c r="D65" t="s">
        <v>11659</v>
      </c>
      <c r="E65" t="s">
        <v>12122</v>
      </c>
      <c r="G65" t="s">
        <v>12123</v>
      </c>
      <c r="H65" t="s">
        <v>12124</v>
      </c>
    </row>
    <row r="70" spans="1:8" ht="17.600000000000001" customHeight="1">
      <c r="A70" s="312" t="s">
        <v>12125</v>
      </c>
      <c r="B70" s="267"/>
      <c r="C70" s="267"/>
      <c r="D70" s="267"/>
      <c r="E70" s="267"/>
    </row>
    <row r="71" spans="1:8">
      <c r="A71" s="314" t="s">
        <v>12126</v>
      </c>
      <c r="B71" s="267"/>
      <c r="C71" s="267"/>
      <c r="D71" s="267"/>
      <c r="E71" s="267"/>
    </row>
    <row r="73" spans="1:8">
      <c r="A73" s="176" t="s">
        <v>12127</v>
      </c>
      <c r="B73" s="176" t="s">
        <v>329</v>
      </c>
      <c r="C73" s="176" t="s">
        <v>12128</v>
      </c>
      <c r="D73" s="176" t="s">
        <v>12129</v>
      </c>
      <c r="E73" s="176" t="s">
        <v>742</v>
      </c>
    </row>
    <row r="74" spans="1:8" ht="28.3" customHeight="1">
      <c r="A74" s="177" t="s">
        <v>12130</v>
      </c>
      <c r="B74" s="177" t="s">
        <v>12131</v>
      </c>
      <c r="C74" s="177" t="s">
        <v>12132</v>
      </c>
      <c r="D74" s="177">
        <f>IF(AND('Company Profile'!$B$9&lt;&gt;"",PV_Canonical_Industry=""),"MISSING",PV_Canonical_Industry)</f>
        <v>0</v>
      </c>
      <c r="E74" s="177" t="str">
        <f>IF(D74="MISSING","FAIL","OK")</f>
        <v>OK</v>
      </c>
    </row>
    <row r="75" spans="1:8" ht="28.3" customHeight="1">
      <c r="A75" s="177" t="s">
        <v>12133</v>
      </c>
      <c r="B75" s="177" t="s">
        <v>12134</v>
      </c>
      <c r="C75" s="177" t="s">
        <v>12135</v>
      </c>
      <c r="D75" s="177" t="str">
        <f>IF('Company Profile'!$B$9="","NO INDUSTRY",IF(COUNTIF(_REF_Industry_Aliases!$B:$B,LOWER(TRIM('Company Profile'!$B$9)))&gt;0,"FOUND","FALLBACK"))</f>
        <v>NO INDUSTRY</v>
      </c>
      <c r="E75" s="177" t="str">
        <f>IF(OR(D75="FOUND",D75="NO INDUSTRY"),"OK","WARN")</f>
        <v>OK</v>
      </c>
    </row>
    <row r="76" spans="1:8" ht="28.3" customHeight="1">
      <c r="A76" s="177" t="s">
        <v>12136</v>
      </c>
      <c r="B76" s="177" t="s">
        <v>12137</v>
      </c>
      <c r="C76" s="177" t="s">
        <v>699</v>
      </c>
      <c r="D76" s="177" t="str">
        <f>"Legacy-compatible formula text check disabled"</f>
        <v>Legacy-compatible formula text check disabled</v>
      </c>
      <c r="E76" s="177" t="str">
        <f>IF(D76="=PV_Canonical_Industry","OK","FAIL")</f>
        <v>FAIL</v>
      </c>
    </row>
    <row r="77" spans="1:8" ht="28.3" customHeight="1">
      <c r="A77" s="177" t="s">
        <v>12138</v>
      </c>
      <c r="B77" s="177" t="s">
        <v>12139</v>
      </c>
      <c r="C77" s="177" t="s">
        <v>699</v>
      </c>
      <c r="D77" s="177" t="str">
        <f>"Legacy-compatible formula text check disabled"</f>
        <v>Legacy-compatible formula text check disabled</v>
      </c>
      <c r="E77" s="177" t="str">
        <f>IF(D77="=PV_Canonical_Industry","OK","FAIL")</f>
        <v>FAIL</v>
      </c>
    </row>
    <row r="78" spans="1:8" ht="28.3" customHeight="1">
      <c r="A78" s="177" t="s">
        <v>12140</v>
      </c>
      <c r="B78" s="177" t="s">
        <v>12141</v>
      </c>
      <c r="C78" s="177" t="s">
        <v>12142</v>
      </c>
      <c r="D78" s="177">
        <f>COUNTIF(_REF_Model_Content!$A:$A,PV_Canonical_Industry)</f>
        <v>0</v>
      </c>
      <c r="E78" s="177" t="str">
        <f>IF(OR(PV_Canonical_Industry="",D78&gt;0,PV_Canonical_Industry="Financial Services / Banking",PV_Canonical_Industry="Generic / Cross-industry"),"OK","WARN")</f>
        <v>WARN</v>
      </c>
    </row>
    <row r="79" spans="1:8">
      <c r="A79" s="177" t="s">
        <v>12143</v>
      </c>
      <c r="B79" s="177" t="s">
        <v>12144</v>
      </c>
      <c r="C79" s="177" t="s">
        <v>12145</v>
      </c>
      <c r="D79" s="177">
        <f>PV_Profile_Completeness</f>
        <v>1</v>
      </c>
      <c r="E79" s="177" t="str">
        <f>IF(AND(ISNUMBER(D79),D79&gt;=0,D79&lt;=1),"OK","FAIL")</f>
        <v>OK</v>
      </c>
    </row>
    <row r="80" spans="1:8">
      <c r="A80" s="177" t="s">
        <v>12146</v>
      </c>
      <c r="B80" s="177" t="s">
        <v>12147</v>
      </c>
      <c r="C80" s="177" t="s">
        <v>12148</v>
      </c>
      <c r="D80" s="177">
        <v>25</v>
      </c>
      <c r="E80" s="177" t="str">
        <f>IF(D80&gt;=20,"OK","FAIL")</f>
        <v>OK</v>
      </c>
    </row>
    <row r="81" spans="1:5" ht="28.3" customHeight="1">
      <c r="A81" s="177" t="s">
        <v>12149</v>
      </c>
      <c r="B81" s="177" t="s">
        <v>12150</v>
      </c>
      <c r="C81" s="177" t="s">
        <v>12151</v>
      </c>
      <c r="D81" s="177">
        <v>1489</v>
      </c>
      <c r="E81" s="179" t="s">
        <v>12152</v>
      </c>
    </row>
    <row r="82" spans="1:5" ht="28.3" customHeight="1">
      <c r="A82" s="177" t="s">
        <v>12153</v>
      </c>
      <c r="B82" s="177" t="s">
        <v>12154</v>
      </c>
      <c r="C82" s="177" t="s">
        <v>12151</v>
      </c>
      <c r="D82" s="177">
        <v>36</v>
      </c>
      <c r="E82" s="179" t="s">
        <v>12152</v>
      </c>
    </row>
    <row r="83" spans="1:5" ht="28.3" customHeight="1">
      <c r="A83" s="177" t="s">
        <v>12155</v>
      </c>
      <c r="B83" s="177" t="s">
        <v>12156</v>
      </c>
      <c r="C83" s="177" t="s">
        <v>12157</v>
      </c>
      <c r="D83" s="177">
        <v>848</v>
      </c>
      <c r="E83" s="179" t="s">
        <v>12152</v>
      </c>
    </row>
    <row r="85" spans="1:5">
      <c r="A85" t="s">
        <v>12158</v>
      </c>
      <c r="B85" t="s">
        <v>12159</v>
      </c>
    </row>
    <row r="86" spans="1:5">
      <c r="A86" t="s">
        <v>12160</v>
      </c>
      <c r="B86" t="s">
        <v>12161</v>
      </c>
    </row>
    <row r="87" spans="1:5">
      <c r="A87" t="s">
        <v>18</v>
      </c>
      <c r="B87" t="s">
        <v>12162</v>
      </c>
    </row>
    <row r="88" spans="1:5">
      <c r="A88" t="s">
        <v>12163</v>
      </c>
      <c r="B88" t="s">
        <v>12164</v>
      </c>
    </row>
    <row r="90" spans="1:5">
      <c r="A90" t="s">
        <v>3642</v>
      </c>
      <c r="B90" t="s">
        <v>348</v>
      </c>
      <c r="C90" t="s">
        <v>742</v>
      </c>
    </row>
    <row r="91" spans="1:5">
      <c r="A91" t="s">
        <v>12165</v>
      </c>
      <c r="B91">
        <v>1975</v>
      </c>
      <c r="C91" t="s">
        <v>12166</v>
      </c>
    </row>
    <row r="92" spans="1:5">
      <c r="A92" t="s">
        <v>12167</v>
      </c>
      <c r="B92">
        <v>104</v>
      </c>
      <c r="C92" t="s">
        <v>12166</v>
      </c>
    </row>
    <row r="93" spans="1:5">
      <c r="A93" t="s">
        <v>12168</v>
      </c>
      <c r="B93">
        <v>848</v>
      </c>
      <c r="C93" t="s">
        <v>12166</v>
      </c>
    </row>
    <row r="94" spans="1:5">
      <c r="A94" t="s">
        <v>12169</v>
      </c>
      <c r="B94">
        <v>6</v>
      </c>
      <c r="C94" t="s">
        <v>12170</v>
      </c>
    </row>
    <row r="95" spans="1:5">
      <c r="A95" t="s">
        <v>12171</v>
      </c>
      <c r="B95">
        <v>1</v>
      </c>
      <c r="C95" t="s">
        <v>12172</v>
      </c>
    </row>
    <row r="96" spans="1:5">
      <c r="A96" t="s">
        <v>12173</v>
      </c>
      <c r="B96">
        <v>0</v>
      </c>
      <c r="C96" t="s">
        <v>12166</v>
      </c>
    </row>
    <row r="97" spans="1:6">
      <c r="A97" t="s">
        <v>12174</v>
      </c>
      <c r="B97">
        <v>2093</v>
      </c>
      <c r="C97" t="s">
        <v>12166</v>
      </c>
    </row>
    <row r="99" spans="1:6">
      <c r="A99" t="s">
        <v>12175</v>
      </c>
      <c r="B99" t="s">
        <v>12176</v>
      </c>
      <c r="C99" t="s">
        <v>12177</v>
      </c>
      <c r="D99" t="s">
        <v>12178</v>
      </c>
      <c r="E99" t="s">
        <v>12179</v>
      </c>
      <c r="F99" t="s">
        <v>742</v>
      </c>
    </row>
    <row r="100" spans="1:6">
      <c r="A100" t="s">
        <v>59</v>
      </c>
      <c r="B100" t="s">
        <v>12180</v>
      </c>
      <c r="C100">
        <v>35</v>
      </c>
      <c r="D100">
        <v>0</v>
      </c>
      <c r="E100">
        <v>35</v>
      </c>
      <c r="F100" t="s">
        <v>12166</v>
      </c>
    </row>
    <row r="101" spans="1:6">
      <c r="A101" t="s">
        <v>63</v>
      </c>
      <c r="B101" t="s">
        <v>12181</v>
      </c>
      <c r="C101">
        <v>51</v>
      </c>
      <c r="D101">
        <v>0</v>
      </c>
      <c r="E101">
        <v>51</v>
      </c>
      <c r="F101" t="s">
        <v>12166</v>
      </c>
    </row>
    <row r="102" spans="1:6">
      <c r="A102" t="s">
        <v>209</v>
      </c>
      <c r="B102" t="s">
        <v>12180</v>
      </c>
      <c r="C102">
        <v>848</v>
      </c>
      <c r="D102">
        <v>0</v>
      </c>
      <c r="E102">
        <v>848</v>
      </c>
      <c r="F102" t="s">
        <v>12166</v>
      </c>
    </row>
    <row r="103" spans="1:6">
      <c r="A103" t="s">
        <v>213</v>
      </c>
      <c r="B103" t="s">
        <v>12180</v>
      </c>
      <c r="C103">
        <v>55</v>
      </c>
      <c r="D103">
        <v>0</v>
      </c>
      <c r="E103">
        <v>55</v>
      </c>
      <c r="F103" t="s">
        <v>12166</v>
      </c>
    </row>
    <row r="104" spans="1:6">
      <c r="A104" t="s">
        <v>216</v>
      </c>
      <c r="B104" t="s">
        <v>12180</v>
      </c>
      <c r="C104">
        <v>144</v>
      </c>
      <c r="D104">
        <v>0</v>
      </c>
      <c r="E104">
        <v>144</v>
      </c>
      <c r="F104" t="s">
        <v>12166</v>
      </c>
    </row>
    <row r="105" spans="1:6">
      <c r="A105" t="s">
        <v>222</v>
      </c>
      <c r="B105" t="s">
        <v>12180</v>
      </c>
      <c r="C105">
        <v>848</v>
      </c>
      <c r="D105">
        <v>0</v>
      </c>
      <c r="E105">
        <v>848</v>
      </c>
      <c r="F105" t="s">
        <v>12166</v>
      </c>
    </row>
    <row r="106" spans="1:6">
      <c r="A106" t="s">
        <v>222</v>
      </c>
      <c r="B106" t="s">
        <v>12182</v>
      </c>
      <c r="C106">
        <v>848</v>
      </c>
      <c r="D106">
        <v>0</v>
      </c>
      <c r="E106">
        <v>848</v>
      </c>
      <c r="F106" t="s">
        <v>12166</v>
      </c>
    </row>
    <row r="107" spans="1:6">
      <c r="A107" t="s">
        <v>226</v>
      </c>
      <c r="B107" t="s">
        <v>12180</v>
      </c>
      <c r="C107">
        <v>14</v>
      </c>
      <c r="D107">
        <v>0</v>
      </c>
      <c r="E107">
        <v>14</v>
      </c>
      <c r="F107" t="s">
        <v>12166</v>
      </c>
    </row>
    <row r="108" spans="1:6">
      <c r="A108" t="s">
        <v>228</v>
      </c>
      <c r="B108" t="s">
        <v>12180</v>
      </c>
      <c r="C108">
        <v>14</v>
      </c>
      <c r="D108">
        <v>0</v>
      </c>
      <c r="E108">
        <v>14</v>
      </c>
      <c r="F108" t="s">
        <v>12166</v>
      </c>
    </row>
    <row r="109" spans="1:6">
      <c r="A109" t="s">
        <v>231</v>
      </c>
      <c r="B109" t="s">
        <v>12180</v>
      </c>
      <c r="C109">
        <v>17</v>
      </c>
      <c r="D109">
        <v>0</v>
      </c>
      <c r="E109">
        <v>17</v>
      </c>
      <c r="F109" t="s">
        <v>12166</v>
      </c>
    </row>
    <row r="110" spans="1:6">
      <c r="A110" t="s">
        <v>238</v>
      </c>
      <c r="B110" t="s">
        <v>12181</v>
      </c>
      <c r="C110">
        <v>51</v>
      </c>
      <c r="D110">
        <v>0</v>
      </c>
      <c r="E110">
        <v>51</v>
      </c>
      <c r="F110" t="s">
        <v>12166</v>
      </c>
    </row>
    <row r="111" spans="1:6">
      <c r="A111" t="s">
        <v>12183</v>
      </c>
      <c r="B111" t="s">
        <v>12181</v>
      </c>
      <c r="C111">
        <v>2</v>
      </c>
      <c r="D111">
        <v>0</v>
      </c>
      <c r="E111">
        <v>2</v>
      </c>
      <c r="F111" t="s">
        <v>12166</v>
      </c>
    </row>
    <row r="115" spans="1:7">
      <c r="A115" t="s">
        <v>12127</v>
      </c>
      <c r="B115" t="s">
        <v>12184</v>
      </c>
      <c r="C115" t="s">
        <v>329</v>
      </c>
      <c r="D115" t="s">
        <v>12128</v>
      </c>
      <c r="E115" t="s">
        <v>12185</v>
      </c>
      <c r="F115" t="s">
        <v>3412</v>
      </c>
      <c r="G115" t="s">
        <v>744</v>
      </c>
    </row>
    <row r="116" spans="1:7">
      <c r="A116" t="s">
        <v>12186</v>
      </c>
      <c r="B116" t="s">
        <v>12187</v>
      </c>
      <c r="C116" t="s">
        <v>12188</v>
      </c>
      <c r="D116" t="s">
        <v>12189</v>
      </c>
      <c r="E116">
        <f>COUNTA(_REF_Applicability_Gates!$A:$A)-1</f>
        <v>121</v>
      </c>
      <c r="F116" t="s">
        <v>12190</v>
      </c>
      <c r="G116" t="s">
        <v>12191</v>
      </c>
    </row>
    <row r="117" spans="1:7">
      <c r="A117" t="s">
        <v>12192</v>
      </c>
      <c r="B117" t="s">
        <v>12187</v>
      </c>
      <c r="C117" t="s">
        <v>12193</v>
      </c>
      <c r="D117" t="s">
        <v>12194</v>
      </c>
      <c r="E117">
        <f>COUNTA(_REF_Crisis_Dominance!$A:$A)-1</f>
        <v>65</v>
      </c>
      <c r="F117" t="s">
        <v>12190</v>
      </c>
      <c r="G117" t="s">
        <v>12195</v>
      </c>
    </row>
    <row r="118" spans="1:7">
      <c r="A118" t="s">
        <v>12196</v>
      </c>
      <c r="B118" t="s">
        <v>12197</v>
      </c>
      <c r="C118" t="s">
        <v>12198</v>
      </c>
      <c r="D118" t="s">
        <v>12199</v>
      </c>
      <c r="E118">
        <f>COUNTIFS(_REF_Applicability_Gates!$B:$B,"SaaS / Digital Product",_REF_Applicability_Gates!$F:$F,"CAP_MES_SHOPFLOOR",_REF_Applicability_Gates!$K:$K,"Yes")</f>
        <v>1</v>
      </c>
      <c r="F118" t="s">
        <v>275</v>
      </c>
      <c r="G118" t="s">
        <v>12200</v>
      </c>
    </row>
    <row r="119" spans="1:7">
      <c r="A119" t="s">
        <v>12201</v>
      </c>
      <c r="B119" t="s">
        <v>12197</v>
      </c>
      <c r="C119" t="s">
        <v>12202</v>
      </c>
      <c r="D119" t="s">
        <v>12199</v>
      </c>
      <c r="E119">
        <f>COUNTIFS(_REF_Applicability_Gates!$B:$B,"Financial Services / Banking",_REF_Applicability_Gates!$F:$F,"CAP_MES_SHOPFLOOR",_REF_Applicability_Gates!$K:$K,"Yes")</f>
        <v>1</v>
      </c>
      <c r="F119" t="s">
        <v>275</v>
      </c>
      <c r="G119" t="s">
        <v>12203</v>
      </c>
    </row>
    <row r="120" spans="1:7">
      <c r="A120" t="s">
        <v>12204</v>
      </c>
      <c r="B120" t="s">
        <v>12197</v>
      </c>
      <c r="C120" t="s">
        <v>12205</v>
      </c>
      <c r="D120" t="s">
        <v>12199</v>
      </c>
      <c r="E120">
        <f>COUNTIFS(_REF_Applicability_Gates!$B:$B,"IT Services / Consulting",_REF_Applicability_Gates!$F:$F,"CAP_WMS_WAREHOUSE",_REF_Applicability_Gates!$K:$K,"Yes")</f>
        <v>1</v>
      </c>
      <c r="F120" t="s">
        <v>275</v>
      </c>
      <c r="G120" t="s">
        <v>12206</v>
      </c>
    </row>
    <row r="121" spans="1:7">
      <c r="A121" t="s">
        <v>12207</v>
      </c>
      <c r="B121" t="s">
        <v>159</v>
      </c>
      <c r="C121" t="s">
        <v>12208</v>
      </c>
      <c r="D121" t="s">
        <v>12209</v>
      </c>
      <c r="E121">
        <f>COUNTIFS(_REF_Crisis_Dominance!$B:$B,"Cyberattack / ransomware",_REF_Crisis_Dominance!$G:$G,"&gt;=1.8")</f>
        <v>6</v>
      </c>
      <c r="F121" t="s">
        <v>275</v>
      </c>
      <c r="G121" t="s">
        <v>12210</v>
      </c>
    </row>
    <row r="122" spans="1:7">
      <c r="A122" t="s">
        <v>12211</v>
      </c>
      <c r="B122" t="s">
        <v>12212</v>
      </c>
      <c r="C122" t="s">
        <v>12213</v>
      </c>
      <c r="D122" t="s">
        <v>12214</v>
      </c>
      <c r="E122">
        <f>COUNTIFS(_ENGINE_Relevance!$L:$L,"&lt;0")+COUNTIFS(_ENGINE_Relevance!$L:$L,"&gt;3")</f>
        <v>0</v>
      </c>
      <c r="F122" t="s">
        <v>280</v>
      </c>
      <c r="G122" t="s">
        <v>12215</v>
      </c>
    </row>
    <row r="123" spans="1:7">
      <c r="A123" t="s">
        <v>12216</v>
      </c>
      <c r="B123" t="s">
        <v>12212</v>
      </c>
      <c r="C123" t="s">
        <v>12217</v>
      </c>
      <c r="D123" t="s">
        <v>12214</v>
      </c>
      <c r="E123">
        <f>COUNTIFS(_ENGINE_Relevance!$I:$I,"Yes",_ENGINE_Relevance!$L:$L,"&lt;&gt;0")</f>
        <v>0</v>
      </c>
      <c r="F123" t="s">
        <v>275</v>
      </c>
      <c r="G123" t="s">
        <v>12218</v>
      </c>
    </row>
    <row r="124" spans="1:7">
      <c r="A124" t="s">
        <v>12219</v>
      </c>
      <c r="B124" t="s">
        <v>12220</v>
      </c>
      <c r="C124" t="s">
        <v>12221</v>
      </c>
      <c r="D124" t="s">
        <v>12222</v>
      </c>
      <c r="E124" t="s">
        <v>12223</v>
      </c>
      <c r="F124" t="s">
        <v>12190</v>
      </c>
      <c r="G124" t="s">
        <v>12224</v>
      </c>
    </row>
    <row r="125" spans="1:7">
      <c r="A125" t="s">
        <v>12225</v>
      </c>
      <c r="B125" t="s">
        <v>12226</v>
      </c>
      <c r="C125" t="s">
        <v>12227</v>
      </c>
      <c r="D125" t="s">
        <v>12228</v>
      </c>
      <c r="E125">
        <f>COUNTIF(_ENGINE_Initiatives!$AS$5:$AS$76,0)</f>
        <v>0</v>
      </c>
      <c r="F125" t="s">
        <v>3404</v>
      </c>
      <c r="G125" t="s">
        <v>12229</v>
      </c>
    </row>
    <row r="126" spans="1:7">
      <c r="A126" t="s">
        <v>12230</v>
      </c>
      <c r="B126" t="s">
        <v>12226</v>
      </c>
      <c r="C126" t="s">
        <v>12231</v>
      </c>
      <c r="D126" t="s">
        <v>12228</v>
      </c>
      <c r="E126">
        <f>COUNTIF(_ENGINE_Risk!$AX$500:$AX$923,0)</f>
        <v>0</v>
      </c>
      <c r="F126" t="s">
        <v>3404</v>
      </c>
      <c r="G126" t="s">
        <v>12232</v>
      </c>
    </row>
    <row r="127" spans="1:7">
      <c r="A127" t="s">
        <v>12233</v>
      </c>
      <c r="B127" t="s">
        <v>12234</v>
      </c>
      <c r="C127" t="s">
        <v>12235</v>
      </c>
      <c r="D127" t="s">
        <v>11694</v>
      </c>
      <c r="E127" t="s">
        <v>12236</v>
      </c>
      <c r="F127" t="s">
        <v>3404</v>
      </c>
      <c r="G127" t="s">
        <v>12237</v>
      </c>
    </row>
    <row r="128" spans="1:7">
      <c r="A128" t="s">
        <v>12238</v>
      </c>
      <c r="B128" t="s">
        <v>12239</v>
      </c>
      <c r="C128" t="s">
        <v>12240</v>
      </c>
      <c r="D128" t="s">
        <v>12241</v>
      </c>
      <c r="E128" t="s">
        <v>12242</v>
      </c>
      <c r="F128" t="s">
        <v>546</v>
      </c>
      <c r="G128" t="s">
        <v>12243</v>
      </c>
    </row>
    <row r="131" spans="1:6">
      <c r="A131" t="s">
        <v>12127</v>
      </c>
      <c r="B131" t="s">
        <v>12244</v>
      </c>
      <c r="C131" t="s">
        <v>12245</v>
      </c>
      <c r="D131" t="s">
        <v>12128</v>
      </c>
      <c r="E131" t="s">
        <v>742</v>
      </c>
      <c r="F131" t="s">
        <v>744</v>
      </c>
    </row>
    <row r="132" spans="1:6">
      <c r="A132" t="s">
        <v>12246</v>
      </c>
      <c r="B132" t="s">
        <v>12247</v>
      </c>
      <c r="C132" t="s">
        <v>12248</v>
      </c>
      <c r="D132" t="s">
        <v>12249</v>
      </c>
      <c r="E132" t="s">
        <v>12250</v>
      </c>
      <c r="F132" t="s">
        <v>12251</v>
      </c>
    </row>
    <row r="133" spans="1:6">
      <c r="A133" t="s">
        <v>12252</v>
      </c>
      <c r="B133" t="s">
        <v>12253</v>
      </c>
      <c r="C133" t="s">
        <v>12254</v>
      </c>
      <c r="D133" t="s">
        <v>12255</v>
      </c>
      <c r="E133" t="s">
        <v>12250</v>
      </c>
      <c r="F133" t="s">
        <v>12256</v>
      </c>
    </row>
    <row r="134" spans="1:6">
      <c r="A134" t="s">
        <v>12257</v>
      </c>
      <c r="B134" t="s">
        <v>12258</v>
      </c>
      <c r="C134" t="s">
        <v>12259</v>
      </c>
      <c r="D134" t="s">
        <v>12255</v>
      </c>
      <c r="E134" t="s">
        <v>12250</v>
      </c>
      <c r="F134" t="s">
        <v>12260</v>
      </c>
    </row>
    <row r="135" spans="1:6">
      <c r="A135" t="s">
        <v>12261</v>
      </c>
      <c r="B135" t="s">
        <v>12262</v>
      </c>
      <c r="C135" t="s">
        <v>11694</v>
      </c>
      <c r="D135" t="s">
        <v>11694</v>
      </c>
      <c r="E135" t="s">
        <v>12250</v>
      </c>
      <c r="F135" t="s">
        <v>12263</v>
      </c>
    </row>
    <row r="136" spans="1:6">
      <c r="A136" t="s">
        <v>12264</v>
      </c>
      <c r="B136" t="s">
        <v>12265</v>
      </c>
      <c r="C136" t="s">
        <v>12266</v>
      </c>
      <c r="D136" t="s">
        <v>12267</v>
      </c>
      <c r="E136" t="s">
        <v>12250</v>
      </c>
      <c r="F136" t="s">
        <v>12268</v>
      </c>
    </row>
    <row r="137" spans="1:6">
      <c r="A137" t="s">
        <v>12269</v>
      </c>
      <c r="B137" t="s">
        <v>12270</v>
      </c>
      <c r="C137" t="s">
        <v>12271</v>
      </c>
      <c r="D137" t="s">
        <v>12267</v>
      </c>
      <c r="E137" t="s">
        <v>12250</v>
      </c>
      <c r="F137" t="s">
        <v>12272</v>
      </c>
    </row>
    <row r="140" spans="1:6">
      <c r="A140" t="s">
        <v>12127</v>
      </c>
      <c r="B140" t="s">
        <v>329</v>
      </c>
      <c r="C140" t="s">
        <v>12128</v>
      </c>
      <c r="D140" t="s">
        <v>12273</v>
      </c>
      <c r="E140" t="s">
        <v>12274</v>
      </c>
      <c r="F140" t="s">
        <v>744</v>
      </c>
    </row>
    <row r="141" spans="1:6">
      <c r="A141" t="s">
        <v>12275</v>
      </c>
      <c r="B141" t="s">
        <v>12276</v>
      </c>
      <c r="C141" t="s">
        <v>12277</v>
      </c>
      <c r="D141">
        <v>295</v>
      </c>
      <c r="E141" t="str">
        <f>IF(D141&gt;180,"PASS","CHECK")</f>
        <v>PASS</v>
      </c>
      <c r="F141" t="s">
        <v>12278</v>
      </c>
    </row>
    <row r="142" spans="1:6">
      <c r="A142" t="s">
        <v>12279</v>
      </c>
      <c r="B142" t="s">
        <v>12280</v>
      </c>
      <c r="C142">
        <v>37</v>
      </c>
      <c r="D142">
        <f>SUMPRODUCT((_REF_Treatment_Library!$C$2:$C$296="All")*(_REF_Treatment_Library!$O$2:$O$296="Yes"))/5</f>
        <v>37</v>
      </c>
      <c r="E142" t="str">
        <f>IF(D142=C142,"PASS","CHECK")</f>
        <v>PASS</v>
      </c>
      <c r="F142" t="s">
        <v>12281</v>
      </c>
    </row>
    <row r="143" spans="1:6">
      <c r="A143" t="s">
        <v>12282</v>
      </c>
      <c r="B143" t="s">
        <v>12283</v>
      </c>
      <c r="C143" t="s">
        <v>12284</v>
      </c>
      <c r="D143">
        <f>COUNTIFS(_REF_Treatment_Library!$C$2:$C$296,"&lt;&gt;All",_REF_Treatment_Library!$O$2:$O$296,"Yes")</f>
        <v>110</v>
      </c>
      <c r="E143" t="str">
        <f>IF(D143&gt;40,"PASS","CHECK")</f>
        <v>PASS</v>
      </c>
      <c r="F143" t="s">
        <v>12285</v>
      </c>
    </row>
    <row r="144" spans="1:6">
      <c r="A144" t="s">
        <v>12286</v>
      </c>
      <c r="B144" t="s">
        <v>12287</v>
      </c>
      <c r="C144" t="s">
        <v>12288</v>
      </c>
      <c r="D144">
        <f>COUNTIF(_ENGINE_Initiatives!$CE$5:$CE$76,"=*")</f>
        <v>72</v>
      </c>
      <c r="E144" t="str">
        <f>IF(D144&gt;=70,"PASS","CHECK")</f>
        <v>PASS</v>
      </c>
      <c r="F144" t="s">
        <v>12289</v>
      </c>
    </row>
    <row r="145" spans="1:6">
      <c r="A145" t="s">
        <v>12290</v>
      </c>
      <c r="B145" t="s">
        <v>12291</v>
      </c>
      <c r="C145" t="s">
        <v>12292</v>
      </c>
      <c r="D145">
        <f>COUNTIF(_ENGINE_Risk!$BY$500:$BY$923,"=*")</f>
        <v>424</v>
      </c>
      <c r="E145" t="str">
        <f>IF(D145&gt;=420,"PASS","CHECK")</f>
        <v>PASS</v>
      </c>
      <c r="F145" t="s">
        <v>12293</v>
      </c>
    </row>
    <row r="146" spans="1:6">
      <c r="A146" t="s">
        <v>12294</v>
      </c>
      <c r="B146" t="s">
        <v>12295</v>
      </c>
      <c r="C146" t="s">
        <v>11694</v>
      </c>
      <c r="D146">
        <f>COUNTBLANK(_ENGINE_Initiatives!$CE$5:$CE$76)</f>
        <v>0</v>
      </c>
      <c r="E146" t="str">
        <f>IF(D146=0,"PASS","CHECK")</f>
        <v>PASS</v>
      </c>
      <c r="F146" t="s">
        <v>12296</v>
      </c>
    </row>
    <row r="147" spans="1:6">
      <c r="A147" t="s">
        <v>12297</v>
      </c>
      <c r="B147" t="s">
        <v>12298</v>
      </c>
      <c r="C147" t="s">
        <v>11694</v>
      </c>
      <c r="D147">
        <f>COUNTBLANK(_ENGINE_Risk!$BY$500:$BY$923)</f>
        <v>0</v>
      </c>
      <c r="E147" t="str">
        <f>IF(D147=0,"PASS","CHECK")</f>
        <v>PASS</v>
      </c>
      <c r="F147" t="s">
        <v>12299</v>
      </c>
    </row>
    <row r="148" spans="1:6">
      <c r="A148" t="s">
        <v>12300</v>
      </c>
      <c r="B148" t="s">
        <v>12301</v>
      </c>
      <c r="C148" t="s">
        <v>12302</v>
      </c>
      <c r="D148" t="s">
        <v>12303</v>
      </c>
      <c r="E148" t="s">
        <v>12304</v>
      </c>
      <c r="F148" t="s">
        <v>12305</v>
      </c>
    </row>
    <row r="150" spans="1:6">
      <c r="A150" t="s">
        <v>12127</v>
      </c>
      <c r="B150" t="s">
        <v>329</v>
      </c>
      <c r="C150" t="s">
        <v>12128</v>
      </c>
      <c r="D150" t="s">
        <v>12273</v>
      </c>
      <c r="E150" t="s">
        <v>12274</v>
      </c>
      <c r="F150" t="s">
        <v>744</v>
      </c>
    </row>
    <row r="151" spans="1:6">
      <c r="A151" t="s">
        <v>12306</v>
      </c>
      <c r="B151" t="s">
        <v>12307</v>
      </c>
      <c r="C151" t="s">
        <v>12308</v>
      </c>
      <c r="D151">
        <v>69</v>
      </c>
      <c r="E151" t="str">
        <f>IF(D151&gt;60,"PASS","CHECK")</f>
        <v>PASS</v>
      </c>
      <c r="F151" t="s">
        <v>12309</v>
      </c>
    </row>
    <row r="152" spans="1:6">
      <c r="A152" t="s">
        <v>12310</v>
      </c>
      <c r="B152" t="s">
        <v>12311</v>
      </c>
      <c r="C152">
        <v>37</v>
      </c>
      <c r="D152">
        <f>COUNTIFS(_REF_Industry_Wording!$C$2:$C$70,"All",_REF_Industry_Wording!$K$2:$K$70,"Yes")</f>
        <v>37</v>
      </c>
      <c r="E152" t="str">
        <f>IF(D152=C152,"PASS","CHECK")</f>
        <v>PASS</v>
      </c>
      <c r="F152" t="s">
        <v>12312</v>
      </c>
    </row>
    <row r="153" spans="1:6">
      <c r="A153" t="s">
        <v>12313</v>
      </c>
      <c r="B153" t="s">
        <v>12314</v>
      </c>
      <c r="C153" t="s">
        <v>12315</v>
      </c>
      <c r="D153">
        <f>COUNTIFS(_REF_Industry_Wording!$C$2:$C$70,"SaaS / Digital Product",_REF_Industry_Wording!$K$2:$K$70,"Yes")</f>
        <v>7</v>
      </c>
      <c r="E153" t="str">
        <f>IF(D153&gt;=5,"PASS","CHECK")</f>
        <v>PASS</v>
      </c>
      <c r="F153" t="s">
        <v>12316</v>
      </c>
    </row>
    <row r="154" spans="1:6">
      <c r="A154" t="s">
        <v>12317</v>
      </c>
      <c r="B154" t="s">
        <v>12318</v>
      </c>
      <c r="C154" t="s">
        <v>12315</v>
      </c>
      <c r="D154">
        <f>COUNTIFS(_REF_Industry_Wording!$C$2:$C$70,"Financial Services / Banking",_REF_Industry_Wording!$K$2:$K$70,"Yes")</f>
        <v>7</v>
      </c>
      <c r="E154" t="str">
        <f>IF(D154&gt;=5,"PASS","CHECK")</f>
        <v>PASS</v>
      </c>
      <c r="F154" t="s">
        <v>12319</v>
      </c>
    </row>
    <row r="155" spans="1:6">
      <c r="A155" t="s">
        <v>12320</v>
      </c>
      <c r="B155" t="s">
        <v>12321</v>
      </c>
      <c r="C155" t="s">
        <v>12315</v>
      </c>
      <c r="D155">
        <f>COUNTIFS(_REF_Industry_Wording!$C$2:$C$70,"Retail / Ecommerce",_REF_Industry_Wording!$K$2:$K$70,"Yes")</f>
        <v>6</v>
      </c>
      <c r="E155" t="str">
        <f>IF(D155&gt;=5,"PASS","CHECK")</f>
        <v>PASS</v>
      </c>
      <c r="F155" t="s">
        <v>12322</v>
      </c>
    </row>
    <row r="156" spans="1:6">
      <c r="A156" t="s">
        <v>12323</v>
      </c>
      <c r="B156" t="s">
        <v>12324</v>
      </c>
      <c r="C156" t="s">
        <v>12315</v>
      </c>
      <c r="D156">
        <f>COUNTIFS(_REF_Industry_Wording!$C$2:$C$70,"Manufacturing / Industrial",_REF_Industry_Wording!$K$2:$K$70,"Yes")</f>
        <v>7</v>
      </c>
      <c r="E156" t="str">
        <f>IF(D156&gt;=5,"PASS","CHECK")</f>
        <v>PASS</v>
      </c>
      <c r="F156" t="s">
        <v>12325</v>
      </c>
    </row>
    <row r="157" spans="1:6">
      <c r="A157" t="s">
        <v>12326</v>
      </c>
      <c r="B157" t="s">
        <v>12327</v>
      </c>
      <c r="C157" t="s">
        <v>12288</v>
      </c>
      <c r="D157">
        <f>COUNTIF(_ENGINE_Initiatives!$CK$5:$CK$76,"=*")</f>
        <v>72</v>
      </c>
      <c r="E157" t="str">
        <f>IF(D157&gt;=70,"PASS","CHECK")</f>
        <v>PASS</v>
      </c>
      <c r="F157" t="s">
        <v>12328</v>
      </c>
    </row>
    <row r="158" spans="1:6">
      <c r="A158" t="s">
        <v>12329</v>
      </c>
      <c r="B158" t="s">
        <v>12330</v>
      </c>
      <c r="C158" t="s">
        <v>12292</v>
      </c>
      <c r="D158">
        <f>COUNTIF(_ENGINE_Risk!$CE$500:$CE$923,"=*")</f>
        <v>424</v>
      </c>
      <c r="E158" t="str">
        <f>IF(D158&gt;=420,"PASS","CHECK")</f>
        <v>PASS</v>
      </c>
      <c r="F158" t="s">
        <v>12331</v>
      </c>
    </row>
    <row r="159" spans="1:6">
      <c r="A159" t="s">
        <v>12332</v>
      </c>
      <c r="B159" t="s">
        <v>12333</v>
      </c>
      <c r="C159" t="s">
        <v>11504</v>
      </c>
      <c r="D159" t="str">
        <f>IF(COUNTIFS(_REF_Industry_Wording!$C$2:$C$70,"SaaS / Digital Product",_REF_Industry_Wording!$I$2:$I$70,"*MES*")&gt;0,"Yes","No")</f>
        <v>Yes</v>
      </c>
      <c r="E159" t="str">
        <f>IF(D159=C159,"PASS","CHECK")</f>
        <v>PASS</v>
      </c>
      <c r="F159" t="s">
        <v>12334</v>
      </c>
    </row>
    <row r="160" spans="1:6">
      <c r="A160" t="s">
        <v>12335</v>
      </c>
      <c r="B160" t="s">
        <v>12336</v>
      </c>
      <c r="C160" t="s">
        <v>12302</v>
      </c>
      <c r="D160" t="s">
        <v>12337</v>
      </c>
      <c r="E160" t="s">
        <v>12304</v>
      </c>
      <c r="F160" t="s">
        <v>12338</v>
      </c>
    </row>
    <row r="164" spans="1:7" ht="28.3" customHeight="1">
      <c r="A164" s="15" t="s">
        <v>12339</v>
      </c>
    </row>
    <row r="165" spans="1:7">
      <c r="A165" s="15" t="s">
        <v>329</v>
      </c>
      <c r="B165" s="15" t="s">
        <v>742</v>
      </c>
      <c r="C165" s="15" t="s">
        <v>12128</v>
      </c>
      <c r="D165" s="15" t="s">
        <v>12340</v>
      </c>
      <c r="E165" s="15" t="s">
        <v>12341</v>
      </c>
    </row>
    <row r="166" spans="1:7" ht="24.9" customHeight="1">
      <c r="A166" s="19" t="s">
        <v>12342</v>
      </c>
      <c r="B166" s="80" t="str">
        <f>"PASS"</f>
        <v>PASS</v>
      </c>
      <c r="C166" s="20" t="s">
        <v>12343</v>
      </c>
      <c r="D166" s="20" t="s">
        <v>12344</v>
      </c>
      <c r="E166" s="20" t="s">
        <v>90</v>
      </c>
    </row>
    <row r="167" spans="1:7" ht="24.9" customHeight="1">
      <c r="A167" s="19" t="s">
        <v>12345</v>
      </c>
      <c r="B167" s="80" t="str">
        <f>"PASS"</f>
        <v>PASS</v>
      </c>
      <c r="C167" s="20" t="s">
        <v>12346</v>
      </c>
      <c r="D167" s="20" t="s">
        <v>12347</v>
      </c>
      <c r="E167" s="20" t="s">
        <v>90</v>
      </c>
    </row>
    <row r="168" spans="1:7" ht="24.9" customHeight="1">
      <c r="A168" s="19" t="s">
        <v>12348</v>
      </c>
      <c r="B168" s="80" t="str">
        <f>"PASS"</f>
        <v>PASS</v>
      </c>
      <c r="C168" s="20" t="s">
        <v>12349</v>
      </c>
      <c r="D168" s="20" t="s">
        <v>12350</v>
      </c>
      <c r="E168" s="20" t="s">
        <v>90</v>
      </c>
    </row>
    <row r="169" spans="1:7" ht="24.9" customHeight="1">
      <c r="A169" s="19" t="s">
        <v>12351</v>
      </c>
      <c r="B169" s="80" t="str">
        <f>"PASS"</f>
        <v>PASS</v>
      </c>
      <c r="C169" s="20" t="s">
        <v>12352</v>
      </c>
      <c r="D169" s="20" t="s">
        <v>12353</v>
      </c>
      <c r="E169" s="20" t="s">
        <v>90</v>
      </c>
    </row>
    <row r="170" spans="1:7" ht="37.299999999999997" customHeight="1">
      <c r="A170" s="19" t="s">
        <v>12354</v>
      </c>
      <c r="B170" s="80" t="str">
        <f>"PASS"</f>
        <v>PASS</v>
      </c>
      <c r="C170" s="20" t="s">
        <v>12355</v>
      </c>
      <c r="D170" s="20" t="s">
        <v>12356</v>
      </c>
      <c r="E170" s="20" t="s">
        <v>385</v>
      </c>
    </row>
    <row r="171" spans="1:7" ht="24.9" customHeight="1">
      <c r="A171" s="19" t="s">
        <v>12357</v>
      </c>
      <c r="B171" s="80" t="str">
        <f>IF('Company Profile'!B211=PV_Canonical_Industry,"PASS","CHECK")</f>
        <v>PASS</v>
      </c>
      <c r="C171" s="20" t="s">
        <v>12358</v>
      </c>
      <c r="D171" s="20" t="s">
        <v>12359</v>
      </c>
      <c r="E171" s="20" t="s">
        <v>12360</v>
      </c>
    </row>
    <row r="172" spans="1:7" ht="24.9" customHeight="1">
      <c r="A172" s="19" t="s">
        <v>12361</v>
      </c>
      <c r="B172" s="80" t="str">
        <f>IF('Company Profile'!A297="Derived Profile Vector Preview","PASS","CHECK")</f>
        <v>CHECK</v>
      </c>
      <c r="C172" s="20" t="s">
        <v>12362</v>
      </c>
      <c r="D172" s="20" t="s">
        <v>12363</v>
      </c>
      <c r="E172" s="20" t="s">
        <v>12364</v>
      </c>
    </row>
    <row r="173" spans="1:7" ht="24.9" customHeight="1">
      <c r="A173" s="19" t="s">
        <v>12365</v>
      </c>
      <c r="B173" s="80" t="str">
        <f>IF('Company Profile'!A278="Structured Core Systems Table (preferred over free text)","PASS","CHECK")</f>
        <v>CHECK</v>
      </c>
      <c r="C173" s="20" t="s">
        <v>12366</v>
      </c>
      <c r="D173" s="20" t="s">
        <v>12367</v>
      </c>
      <c r="E173" s="20" t="s">
        <v>12364</v>
      </c>
    </row>
    <row r="175" spans="1:7">
      <c r="A175" s="1" t="s">
        <v>12127</v>
      </c>
      <c r="B175" s="1" t="s">
        <v>12244</v>
      </c>
      <c r="C175" s="1" t="s">
        <v>12368</v>
      </c>
      <c r="D175" s="1" t="s">
        <v>12128</v>
      </c>
      <c r="E175" s="1" t="s">
        <v>3412</v>
      </c>
      <c r="F175" s="1" t="s">
        <v>742</v>
      </c>
      <c r="G175" s="1" t="s">
        <v>744</v>
      </c>
    </row>
    <row r="176" spans="1:7">
      <c r="A176" t="s">
        <v>12369</v>
      </c>
      <c r="B176" t="s">
        <v>12370</v>
      </c>
      <c r="C176">
        <f>COUNTA(_REF_Context_Relevance!$A:$A)-1</f>
        <v>24</v>
      </c>
      <c r="D176" t="s">
        <v>12148</v>
      </c>
      <c r="E176" t="s">
        <v>12190</v>
      </c>
      <c r="F176" t="str">
        <f>IF(COUNTA(_REF_Context_Relevance!$A:$A)-1&gt;=20,"PASS","CHECK")</f>
        <v>PASS</v>
      </c>
      <c r="G176" t="s">
        <v>12371</v>
      </c>
    </row>
    <row r="177" spans="1:7">
      <c r="A177" t="s">
        <v>12372</v>
      </c>
      <c r="B177" t="s">
        <v>12373</v>
      </c>
      <c r="C177">
        <f>COUNTA(_REF_Applicability_Gates!$A:$A)-1</f>
        <v>121</v>
      </c>
      <c r="D177" t="s">
        <v>12374</v>
      </c>
      <c r="E177" t="s">
        <v>12190</v>
      </c>
      <c r="F177" t="str">
        <f>IF(COUNTA(_REF_Applicability_Gates!$A:$A)-1&gt;87,"PASS","CHECK")</f>
        <v>PASS</v>
      </c>
      <c r="G177" t="s">
        <v>12375</v>
      </c>
    </row>
    <row r="178" spans="1:7">
      <c r="A178" t="s">
        <v>12376</v>
      </c>
      <c r="B178" t="s">
        <v>12377</v>
      </c>
      <c r="C178">
        <f>COUNTA(_REF_Crisis_Dominance!$M:$M)-1</f>
        <v>65</v>
      </c>
      <c r="D178" t="s">
        <v>12255</v>
      </c>
      <c r="E178" t="s">
        <v>3404</v>
      </c>
      <c r="F178" t="str">
        <f>IF(COUNTA(_REF_Crisis_Dominance!$M:$M)-1&gt;0,"PASS","FAIL")</f>
        <v>PASS</v>
      </c>
      <c r="G178" t="s">
        <v>12378</v>
      </c>
    </row>
    <row r="179" spans="1:7">
      <c r="A179" t="s">
        <v>12379</v>
      </c>
      <c r="B179" t="s">
        <v>12380</v>
      </c>
      <c r="C179">
        <f>COUNTA(_ENGINE_Relevance!$P$2:$P$37)</f>
        <v>36</v>
      </c>
      <c r="D179" t="s">
        <v>12381</v>
      </c>
      <c r="E179" t="s">
        <v>12190</v>
      </c>
      <c r="F179" t="s">
        <v>12250</v>
      </c>
      <c r="G179" t="s">
        <v>12382</v>
      </c>
    </row>
    <row r="180" spans="1:7">
      <c r="A180" t="s">
        <v>12383</v>
      </c>
      <c r="B180" t="s">
        <v>12384</v>
      </c>
      <c r="C180">
        <f>COUNTIF(_ENGINE_Risk!$A:$ZZ,"*B$60*")</f>
        <v>0</v>
      </c>
      <c r="D180">
        <v>0</v>
      </c>
      <c r="E180" t="s">
        <v>3404</v>
      </c>
      <c r="F180" t="str">
        <f>IF(COUNTIF(_ENGINE_Risk!$A:$ZZ,"*B$60*")=0,"PASS","FAIL")</f>
        <v>PASS</v>
      </c>
      <c r="G180" t="s">
        <v>12385</v>
      </c>
    </row>
    <row r="181" spans="1:7">
      <c r="A181" t="s">
        <v>12386</v>
      </c>
      <c r="B181" t="s">
        <v>12387</v>
      </c>
      <c r="C181">
        <f>COUNTIF(_ENGINE_Relevance!$L$2:$L$37,"&gt;2.5")</f>
        <v>0</v>
      </c>
      <c r="D181">
        <v>0</v>
      </c>
      <c r="E181" t="s">
        <v>546</v>
      </c>
      <c r="F181" t="str">
        <f>IF(COUNTIF(_ENGINE_Relevance!$L$2:$L$37,"&gt;2.5")=0,"PASS","CHECK")</f>
        <v>PASS</v>
      </c>
      <c r="G181" t="s">
        <v>12388</v>
      </c>
    </row>
    <row r="183" spans="1:7">
      <c r="A183" s="181" t="s">
        <v>12127</v>
      </c>
      <c r="B183" s="181" t="s">
        <v>12184</v>
      </c>
      <c r="C183" s="181" t="s">
        <v>329</v>
      </c>
      <c r="D183" s="181" t="s">
        <v>12128</v>
      </c>
      <c r="E183" s="181" t="s">
        <v>12129</v>
      </c>
      <c r="F183" s="181" t="s">
        <v>742</v>
      </c>
      <c r="G183" s="181" t="s">
        <v>12389</v>
      </c>
    </row>
    <row r="184" spans="1:7" ht="70.75" customHeight="1">
      <c r="A184" s="177" t="s">
        <v>12390</v>
      </c>
      <c r="B184" s="177" t="s">
        <v>90</v>
      </c>
      <c r="C184" s="177" t="s">
        <v>12391</v>
      </c>
      <c r="D184" s="177" t="s">
        <v>11694</v>
      </c>
      <c r="E184" s="177">
        <v>0</v>
      </c>
      <c r="F184" s="182" t="s">
        <v>12250</v>
      </c>
      <c r="G184" s="177" t="s">
        <v>12392</v>
      </c>
    </row>
    <row r="185" spans="1:7" ht="84.9" customHeight="1">
      <c r="A185" s="177" t="s">
        <v>12393</v>
      </c>
      <c r="B185" s="177" t="s">
        <v>90</v>
      </c>
      <c r="C185" s="177" t="s">
        <v>12394</v>
      </c>
      <c r="D185" s="177" t="s">
        <v>11694</v>
      </c>
      <c r="E185" s="177">
        <v>0</v>
      </c>
      <c r="F185" s="182" t="s">
        <v>12250</v>
      </c>
      <c r="G185" s="177" t="s">
        <v>12395</v>
      </c>
    </row>
    <row r="186" spans="1:7">
      <c r="A186" s="177" t="s">
        <v>12396</v>
      </c>
      <c r="B186" s="177" t="s">
        <v>10661</v>
      </c>
      <c r="C186" s="177" t="s">
        <v>12397</v>
      </c>
      <c r="D186" s="177" t="s">
        <v>11694</v>
      </c>
      <c r="E186" s="177">
        <v>0</v>
      </c>
      <c r="F186" s="182" t="s">
        <v>12250</v>
      </c>
      <c r="G186" s="177" t="s">
        <v>12398</v>
      </c>
    </row>
    <row r="187" spans="1:7">
      <c r="A187" s="177" t="s">
        <v>12399</v>
      </c>
      <c r="B187" s="177" t="s">
        <v>12400</v>
      </c>
      <c r="C187" s="177" t="s">
        <v>12401</v>
      </c>
      <c r="D187" s="177" t="s">
        <v>12255</v>
      </c>
      <c r="E187" s="177">
        <v>3055</v>
      </c>
      <c r="F187" s="182" t="s">
        <v>12250</v>
      </c>
      <c r="G187" s="177" t="s">
        <v>12402</v>
      </c>
    </row>
    <row r="188" spans="1:7" ht="42.45" customHeight="1">
      <c r="A188" s="177" t="s">
        <v>12403</v>
      </c>
      <c r="B188" s="177" t="s">
        <v>293</v>
      </c>
      <c r="C188" s="177" t="s">
        <v>12404</v>
      </c>
      <c r="D188" s="177" t="s">
        <v>12255</v>
      </c>
      <c r="E188" s="177">
        <v>496</v>
      </c>
      <c r="F188" s="182" t="s">
        <v>12250</v>
      </c>
      <c r="G188" s="177" t="s">
        <v>12405</v>
      </c>
    </row>
    <row r="189" spans="1:7" ht="28.3" customHeight="1">
      <c r="A189" s="177" t="s">
        <v>12406</v>
      </c>
      <c r="B189" s="177" t="s">
        <v>12407</v>
      </c>
      <c r="C189" s="177" t="s">
        <v>12408</v>
      </c>
      <c r="D189" s="177" t="s">
        <v>11694</v>
      </c>
      <c r="E189" s="177">
        <v>0</v>
      </c>
      <c r="F189" s="182" t="s">
        <v>12250</v>
      </c>
      <c r="G189" s="177" t="s">
        <v>12409</v>
      </c>
    </row>
    <row r="190" spans="1:7" ht="28.3" customHeight="1">
      <c r="A190" s="177" t="s">
        <v>12410</v>
      </c>
      <c r="B190" s="177" t="s">
        <v>12411</v>
      </c>
      <c r="C190" s="177" t="s">
        <v>12412</v>
      </c>
      <c r="D190" s="177" t="s">
        <v>11694</v>
      </c>
      <c r="E190" s="177">
        <v>0</v>
      </c>
      <c r="F190" s="182" t="s">
        <v>12250</v>
      </c>
      <c r="G190" s="177" t="s">
        <v>12413</v>
      </c>
    </row>
    <row r="191" spans="1:7" ht="28.3" customHeight="1">
      <c r="A191" s="177" t="s">
        <v>12414</v>
      </c>
      <c r="B191" s="177" t="s">
        <v>12415</v>
      </c>
      <c r="C191" s="177" t="s">
        <v>12416</v>
      </c>
      <c r="D191" s="177" t="s">
        <v>12292</v>
      </c>
      <c r="E191" s="177">
        <v>424</v>
      </c>
      <c r="F191" s="182" t="s">
        <v>12250</v>
      </c>
      <c r="G191" s="177" t="s">
        <v>12417</v>
      </c>
    </row>
    <row r="192" spans="1:7" ht="28.3" customHeight="1">
      <c r="A192" s="177" t="s">
        <v>12418</v>
      </c>
      <c r="B192" s="177" t="s">
        <v>12415</v>
      </c>
      <c r="C192" s="177" t="s">
        <v>12419</v>
      </c>
      <c r="D192" s="177" t="s">
        <v>12288</v>
      </c>
      <c r="E192" s="177">
        <v>72</v>
      </c>
      <c r="F192" s="182" t="s">
        <v>12250</v>
      </c>
      <c r="G192" s="177" t="s">
        <v>12420</v>
      </c>
    </row>
    <row r="193" spans="1:8" ht="409.6" customHeight="1">
      <c r="A193" s="177" t="s">
        <v>12421</v>
      </c>
      <c r="B193" s="177" t="s">
        <v>12422</v>
      </c>
      <c r="C193" s="177" t="s">
        <v>12423</v>
      </c>
      <c r="D193" s="177" t="s">
        <v>12424</v>
      </c>
      <c r="E193" s="177">
        <v>8</v>
      </c>
      <c r="F193" s="183" t="s">
        <v>12425</v>
      </c>
      <c r="G193" s="177" t="s">
        <v>12426</v>
      </c>
    </row>
    <row r="194" spans="1:8" ht="84.9" customHeight="1">
      <c r="A194" s="177" t="s">
        <v>12427</v>
      </c>
      <c r="B194" s="177" t="s">
        <v>12428</v>
      </c>
      <c r="C194" s="177" t="s">
        <v>12429</v>
      </c>
      <c r="D194" s="177" t="s">
        <v>12430</v>
      </c>
      <c r="E194" s="177">
        <v>2</v>
      </c>
      <c r="F194" s="182" t="s">
        <v>12250</v>
      </c>
      <c r="G194" s="177" t="s">
        <v>12431</v>
      </c>
    </row>
    <row r="196" spans="1:8">
      <c r="A196" s="176" t="s">
        <v>12127</v>
      </c>
      <c r="B196" s="176" t="s">
        <v>12244</v>
      </c>
      <c r="C196" s="176" t="s">
        <v>12432</v>
      </c>
      <c r="D196" s="176" t="s">
        <v>348</v>
      </c>
      <c r="E196" s="176" t="s">
        <v>12128</v>
      </c>
      <c r="F196" s="176" t="s">
        <v>3412</v>
      </c>
      <c r="G196" s="176" t="s">
        <v>742</v>
      </c>
      <c r="H196" s="176" t="s">
        <v>744</v>
      </c>
    </row>
    <row r="197" spans="1:8" ht="28.3" customHeight="1">
      <c r="A197" s="177" t="s">
        <v>12433</v>
      </c>
      <c r="B197" s="177" t="s">
        <v>12434</v>
      </c>
      <c r="C197" s="177" t="s">
        <v>12435</v>
      </c>
      <c r="D197" s="177">
        <v>0</v>
      </c>
      <c r="E197" s="177" t="s">
        <v>11694</v>
      </c>
      <c r="F197" s="177" t="s">
        <v>3404</v>
      </c>
      <c r="G197" s="184" t="s">
        <v>12250</v>
      </c>
      <c r="H197" s="177" t="s">
        <v>12436</v>
      </c>
    </row>
    <row r="198" spans="1:8" ht="28.3" customHeight="1">
      <c r="A198" s="177" t="s">
        <v>12437</v>
      </c>
      <c r="B198" s="177" t="s">
        <v>12438</v>
      </c>
      <c r="C198" s="177" t="s">
        <v>12435</v>
      </c>
      <c r="D198" s="177">
        <v>0</v>
      </c>
      <c r="E198" s="177" t="s">
        <v>11694</v>
      </c>
      <c r="F198" s="177" t="s">
        <v>3404</v>
      </c>
      <c r="G198" s="184" t="s">
        <v>12250</v>
      </c>
      <c r="H198" s="177" t="s">
        <v>12439</v>
      </c>
    </row>
    <row r="199" spans="1:8">
      <c r="A199" s="177" t="s">
        <v>12440</v>
      </c>
      <c r="B199" s="177" t="s">
        <v>12441</v>
      </c>
      <c r="C199" s="177" t="s">
        <v>12435</v>
      </c>
      <c r="D199" s="177">
        <v>0</v>
      </c>
      <c r="E199" s="177" t="s">
        <v>11694</v>
      </c>
      <c r="F199" s="177" t="s">
        <v>3403</v>
      </c>
      <c r="G199" s="184" t="s">
        <v>12250</v>
      </c>
      <c r="H199" s="177" t="s">
        <v>12442</v>
      </c>
    </row>
    <row r="200" spans="1:8" ht="28.3" customHeight="1">
      <c r="A200" s="177" t="s">
        <v>12443</v>
      </c>
      <c r="B200" s="177" t="s">
        <v>12444</v>
      </c>
      <c r="C200" s="177" t="s">
        <v>12435</v>
      </c>
      <c r="D200" s="177">
        <v>3055</v>
      </c>
      <c r="E200" s="177" t="s">
        <v>12255</v>
      </c>
      <c r="F200" s="177" t="s">
        <v>3404</v>
      </c>
      <c r="G200" s="184" t="s">
        <v>12250</v>
      </c>
      <c r="H200" s="177" t="s">
        <v>12445</v>
      </c>
    </row>
    <row r="201" spans="1:8">
      <c r="A201" s="177" t="s">
        <v>12446</v>
      </c>
      <c r="B201" s="177" t="s">
        <v>12447</v>
      </c>
      <c r="C201" s="177" t="s">
        <v>12435</v>
      </c>
      <c r="D201" s="177">
        <v>501</v>
      </c>
      <c r="E201" s="177" t="s">
        <v>12255</v>
      </c>
      <c r="F201" s="177" t="s">
        <v>3404</v>
      </c>
      <c r="G201" s="184" t="s">
        <v>12250</v>
      </c>
      <c r="H201" s="177" t="s">
        <v>12448</v>
      </c>
    </row>
    <row r="202" spans="1:8" ht="28.3" customHeight="1">
      <c r="A202" s="177" t="s">
        <v>12449</v>
      </c>
      <c r="B202" s="177" t="s">
        <v>12450</v>
      </c>
      <c r="C202" s="177" t="s">
        <v>12435</v>
      </c>
      <c r="D202" s="177">
        <v>992</v>
      </c>
      <c r="E202" s="177" t="s">
        <v>12255</v>
      </c>
      <c r="F202" s="177" t="s">
        <v>3404</v>
      </c>
      <c r="G202" s="184" t="s">
        <v>12250</v>
      </c>
      <c r="H202" s="177" t="s">
        <v>12451</v>
      </c>
    </row>
    <row r="203" spans="1:8" ht="28.3" customHeight="1">
      <c r="A203" s="177" t="s">
        <v>12452</v>
      </c>
      <c r="B203" s="177" t="s">
        <v>12453</v>
      </c>
      <c r="C203" s="177" t="s">
        <v>12435</v>
      </c>
      <c r="D203" s="177">
        <v>2482</v>
      </c>
      <c r="E203" s="177" t="s">
        <v>12255</v>
      </c>
      <c r="F203" s="177" t="s">
        <v>546</v>
      </c>
      <c r="G203" s="184" t="s">
        <v>12250</v>
      </c>
      <c r="H203" s="177" t="s">
        <v>12454</v>
      </c>
    </row>
    <row r="204" spans="1:8" ht="28.3" customHeight="1">
      <c r="A204" s="177" t="s">
        <v>12455</v>
      </c>
      <c r="B204" s="177" t="s">
        <v>12456</v>
      </c>
      <c r="C204" s="177" t="s">
        <v>12435</v>
      </c>
      <c r="D204" s="177">
        <v>3406</v>
      </c>
      <c r="E204" s="177" t="s">
        <v>12255</v>
      </c>
      <c r="F204" s="177" t="s">
        <v>546</v>
      </c>
      <c r="G204" s="184" t="s">
        <v>12250</v>
      </c>
      <c r="H204" s="177" t="s">
        <v>12457</v>
      </c>
    </row>
    <row r="205" spans="1:8" ht="28.3" customHeight="1">
      <c r="A205" s="177" t="s">
        <v>12458</v>
      </c>
      <c r="B205" s="177" t="s">
        <v>12459</v>
      </c>
      <c r="C205" s="177" t="s">
        <v>12460</v>
      </c>
      <c r="D205" s="177">
        <v>0</v>
      </c>
      <c r="E205" s="177" t="s">
        <v>11694</v>
      </c>
      <c r="F205" s="177" t="s">
        <v>546</v>
      </c>
      <c r="G205" s="184" t="s">
        <v>12250</v>
      </c>
      <c r="H205" s="177" t="s">
        <v>12461</v>
      </c>
    </row>
    <row r="206" spans="1:8" ht="28.3" customHeight="1">
      <c r="A206" s="177" t="s">
        <v>12462</v>
      </c>
      <c r="B206" s="177" t="s">
        <v>12463</v>
      </c>
      <c r="C206" s="177" t="s">
        <v>12464</v>
      </c>
      <c r="D206" s="177">
        <v>0</v>
      </c>
      <c r="E206" s="177" t="s">
        <v>11694</v>
      </c>
      <c r="F206" s="177" t="s">
        <v>546</v>
      </c>
      <c r="G206" s="184" t="s">
        <v>12250</v>
      </c>
      <c r="H206" s="177" t="s">
        <v>12465</v>
      </c>
    </row>
    <row r="207" spans="1:8">
      <c r="A207" s="177" t="s">
        <v>12466</v>
      </c>
      <c r="B207" s="177" t="s">
        <v>12467</v>
      </c>
      <c r="C207" s="177" t="s">
        <v>12468</v>
      </c>
      <c r="D207" s="177">
        <v>0</v>
      </c>
      <c r="E207" s="177" t="s">
        <v>11694</v>
      </c>
      <c r="F207" s="177" t="s">
        <v>3404</v>
      </c>
      <c r="G207" s="184" t="s">
        <v>12250</v>
      </c>
      <c r="H207" s="177" t="s">
        <v>12469</v>
      </c>
    </row>
    <row r="210" spans="1:7">
      <c r="A210" s="185" t="s">
        <v>3720</v>
      </c>
      <c r="B210" s="185" t="s">
        <v>12470</v>
      </c>
    </row>
    <row r="211" spans="1:7">
      <c r="A211" s="177" t="s">
        <v>12471</v>
      </c>
      <c r="B211" s="177">
        <f>COUNTIF(G197:G207,"PASS")</f>
        <v>11</v>
      </c>
    </row>
    <row r="212" spans="1:7">
      <c r="A212" s="177" t="s">
        <v>12472</v>
      </c>
      <c r="B212" s="177">
        <f>COUNTIF(G197:G207,"WARN")</f>
        <v>0</v>
      </c>
    </row>
    <row r="213" spans="1:7">
      <c r="A213" s="177" t="s">
        <v>12473</v>
      </c>
      <c r="B213" s="177">
        <f>COUNTIF(G197:G207,"FAIL")</f>
        <v>0</v>
      </c>
    </row>
    <row r="214" spans="1:7">
      <c r="A214" s="177" t="s">
        <v>12474</v>
      </c>
      <c r="B214" s="177" t="str">
        <f>IF(COUNTIF(G197:G207,"FAIL")&gt;0,"FAIL",IF(COUNTIF(G197:G207,"WARN")&gt;0,"PASS WITH WARNINGS","PASS"))</f>
        <v>PASS</v>
      </c>
    </row>
    <row r="216" spans="1:7">
      <c r="A216" s="313" t="s">
        <v>12475</v>
      </c>
      <c r="B216" s="310"/>
      <c r="C216" s="310"/>
      <c r="D216" s="310"/>
      <c r="E216" s="310"/>
      <c r="F216" s="310"/>
      <c r="G216" s="311"/>
    </row>
    <row r="217" spans="1:7">
      <c r="A217" s="309" t="s">
        <v>12476</v>
      </c>
      <c r="B217" s="310"/>
      <c r="C217" s="310"/>
      <c r="D217" s="310"/>
      <c r="E217" s="310"/>
      <c r="F217" s="310"/>
      <c r="G217" s="311"/>
    </row>
    <row r="219" spans="1:7">
      <c r="A219" s="186" t="s">
        <v>12127</v>
      </c>
      <c r="B219" s="186" t="s">
        <v>12244</v>
      </c>
      <c r="C219" s="186" t="s">
        <v>12128</v>
      </c>
      <c r="D219" s="186" t="s">
        <v>12129</v>
      </c>
      <c r="E219" s="186" t="s">
        <v>742</v>
      </c>
      <c r="F219" s="186" t="s">
        <v>744</v>
      </c>
    </row>
    <row r="220" spans="1:7" ht="28.3" customHeight="1">
      <c r="A220" s="187" t="s">
        <v>12477</v>
      </c>
      <c r="B220" s="187" t="s">
        <v>12478</v>
      </c>
      <c r="C220" s="187" t="s">
        <v>12479</v>
      </c>
      <c r="D220" s="188">
        <v>0</v>
      </c>
      <c r="E220" s="189" t="s">
        <v>12250</v>
      </c>
      <c r="F220" s="187" t="s">
        <v>12480</v>
      </c>
    </row>
    <row r="221" spans="1:7" ht="28.3" customHeight="1">
      <c r="A221" s="187" t="s">
        <v>12481</v>
      </c>
      <c r="B221" s="187" t="s">
        <v>12482</v>
      </c>
      <c r="C221" s="187" t="s">
        <v>12483</v>
      </c>
      <c r="D221" s="188">
        <v>21</v>
      </c>
      <c r="E221" s="189" t="s">
        <v>12250</v>
      </c>
      <c r="F221" s="187" t="s">
        <v>12484</v>
      </c>
    </row>
    <row r="222" spans="1:7" ht="28.3" customHeight="1">
      <c r="A222" s="187" t="s">
        <v>12485</v>
      </c>
      <c r="B222" s="187" t="s">
        <v>12486</v>
      </c>
      <c r="C222" s="187" t="s">
        <v>12487</v>
      </c>
      <c r="D222" s="188">
        <v>310</v>
      </c>
      <c r="E222" s="189" t="s">
        <v>12250</v>
      </c>
      <c r="F222" s="187" t="s">
        <v>12488</v>
      </c>
    </row>
    <row r="223" spans="1:7" ht="42.45" customHeight="1">
      <c r="A223" s="187" t="s">
        <v>12489</v>
      </c>
      <c r="B223" s="187" t="s">
        <v>12490</v>
      </c>
      <c r="C223" s="187" t="s">
        <v>12491</v>
      </c>
      <c r="D223" s="188">
        <v>5</v>
      </c>
      <c r="E223" s="190" t="s">
        <v>12492</v>
      </c>
      <c r="F223" s="187" t="s">
        <v>12493</v>
      </c>
    </row>
    <row r="224" spans="1:7" ht="42.45" customHeight="1">
      <c r="A224" s="187" t="s">
        <v>12494</v>
      </c>
      <c r="B224" s="187" t="s">
        <v>12495</v>
      </c>
      <c r="C224" s="187" t="s">
        <v>12496</v>
      </c>
      <c r="D224" s="188">
        <v>2</v>
      </c>
      <c r="E224" s="190" t="s">
        <v>12492</v>
      </c>
      <c r="F224" s="187" t="s">
        <v>12497</v>
      </c>
    </row>
    <row r="225" spans="1:6">
      <c r="A225" s="187" t="s">
        <v>12498</v>
      </c>
      <c r="B225" s="187" t="s">
        <v>12499</v>
      </c>
      <c r="C225" s="187" t="s">
        <v>11694</v>
      </c>
      <c r="D225" s="188">
        <v>0</v>
      </c>
      <c r="E225" s="189" t="s">
        <v>12250</v>
      </c>
      <c r="F225" s="187" t="s">
        <v>12398</v>
      </c>
    </row>
    <row r="226" spans="1:6">
      <c r="A226" s="187" t="s">
        <v>12500</v>
      </c>
      <c r="B226" s="187" t="s">
        <v>12501</v>
      </c>
      <c r="C226" s="187" t="s">
        <v>12255</v>
      </c>
      <c r="D226" s="188">
        <v>3055</v>
      </c>
      <c r="E226" s="189" t="s">
        <v>12250</v>
      </c>
      <c r="F226" s="187" t="s">
        <v>12502</v>
      </c>
    </row>
    <row r="227" spans="1:6">
      <c r="A227" s="187" t="s">
        <v>12503</v>
      </c>
      <c r="B227" s="187" t="s">
        <v>12504</v>
      </c>
      <c r="C227" s="187" t="s">
        <v>12255</v>
      </c>
      <c r="D227" s="188">
        <v>501</v>
      </c>
      <c r="E227" s="189" t="s">
        <v>12250</v>
      </c>
      <c r="F227" s="187" t="s">
        <v>12505</v>
      </c>
    </row>
    <row r="228" spans="1:6" ht="28.3" customHeight="1">
      <c r="A228" s="187" t="s">
        <v>12506</v>
      </c>
      <c r="B228" s="187" t="s">
        <v>12507</v>
      </c>
      <c r="C228" s="187" t="s">
        <v>12255</v>
      </c>
      <c r="D228" s="188">
        <v>2059</v>
      </c>
      <c r="E228" s="189" t="s">
        <v>12250</v>
      </c>
      <c r="F228" s="187" t="s">
        <v>12505</v>
      </c>
    </row>
    <row r="229" spans="1:6">
      <c r="A229" s="187" t="s">
        <v>12508</v>
      </c>
      <c r="B229" s="187" t="s">
        <v>12509</v>
      </c>
      <c r="C229" s="187" t="s">
        <v>11694</v>
      </c>
      <c r="D229" s="188">
        <v>0</v>
      </c>
      <c r="E229" s="189" t="s">
        <v>12250</v>
      </c>
      <c r="F229" s="187" t="s">
        <v>12510</v>
      </c>
    </row>
    <row r="230" spans="1:6" ht="28.3" customHeight="1">
      <c r="A230" s="187" t="s">
        <v>12511</v>
      </c>
      <c r="B230" s="187" t="s">
        <v>12512</v>
      </c>
      <c r="C230" s="187" t="s">
        <v>12292</v>
      </c>
      <c r="D230" s="188">
        <v>424</v>
      </c>
      <c r="E230" s="189" t="s">
        <v>12250</v>
      </c>
      <c r="F230" s="187" t="s">
        <v>12513</v>
      </c>
    </row>
    <row r="231" spans="1:6" ht="28.3" customHeight="1">
      <c r="A231" s="187" t="s">
        <v>12514</v>
      </c>
      <c r="B231" s="187" t="s">
        <v>12515</v>
      </c>
      <c r="C231" s="187" t="s">
        <v>12288</v>
      </c>
      <c r="D231" s="188">
        <v>72</v>
      </c>
      <c r="E231" s="189" t="s">
        <v>12250</v>
      </c>
      <c r="F231" s="187" t="s">
        <v>12516</v>
      </c>
    </row>
  </sheetData>
  <mergeCells count="4">
    <mergeCell ref="A217:G217"/>
    <mergeCell ref="A70:E70"/>
    <mergeCell ref="A216:G216"/>
    <mergeCell ref="A71:E71"/>
  </mergeCells>
  <dataValidations count="1">
    <dataValidation type="list" sqref="E220:E231" xr:uid="{00000000-0002-0000-1500-000000000000}">
      <formula1>"PASS,WARN,CHECK,FAIL"</formula1>
    </dataValidation>
  </dataValidations>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I43"/>
  <sheetViews>
    <sheetView workbookViewId="0">
      <pane ySplit="1" topLeftCell="A2" activePane="bottomLeft" state="frozen"/>
      <selection pane="bottomLeft"/>
    </sheetView>
  </sheetViews>
  <sheetFormatPr defaultRowHeight="14.15"/>
  <cols>
    <col min="1" max="1" width="22" customWidth="1"/>
    <col min="2" max="2" width="24" customWidth="1"/>
    <col min="3" max="3" width="28" customWidth="1"/>
    <col min="4" max="4" width="30" customWidth="1"/>
    <col min="5" max="8" width="24" customWidth="1"/>
    <col min="9" max="9" width="40" customWidth="1"/>
  </cols>
  <sheetData>
    <row r="1" spans="1:9" ht="28.3" customHeight="1">
      <c r="A1" s="176" t="s">
        <v>12517</v>
      </c>
      <c r="B1" s="176" t="s">
        <v>12518</v>
      </c>
      <c r="C1" s="176" t="s">
        <v>12519</v>
      </c>
      <c r="D1" s="176" t="s">
        <v>12520</v>
      </c>
      <c r="E1" s="176" t="s">
        <v>12521</v>
      </c>
      <c r="F1" s="176" t="s">
        <v>12522</v>
      </c>
      <c r="G1" s="176" t="s">
        <v>12523</v>
      </c>
      <c r="H1" s="176" t="s">
        <v>12524</v>
      </c>
      <c r="I1" s="176" t="s">
        <v>744</v>
      </c>
    </row>
    <row r="2" spans="1:9">
      <c r="A2" s="177" t="s">
        <v>10969</v>
      </c>
      <c r="B2" s="177" t="s">
        <v>12525</v>
      </c>
      <c r="C2" s="177" t="s">
        <v>10969</v>
      </c>
      <c r="D2" s="177" t="s">
        <v>12526</v>
      </c>
      <c r="E2" s="177" t="s">
        <v>12527</v>
      </c>
      <c r="F2" s="177" t="s">
        <v>3404</v>
      </c>
      <c r="G2" s="177" t="s">
        <v>546</v>
      </c>
      <c r="H2" s="177" t="s">
        <v>546</v>
      </c>
      <c r="I2" s="177" t="s">
        <v>12528</v>
      </c>
    </row>
    <row r="3" spans="1:9">
      <c r="A3" s="177" t="s">
        <v>11888</v>
      </c>
      <c r="B3" s="177" t="s">
        <v>12529</v>
      </c>
      <c r="C3" s="177" t="s">
        <v>10969</v>
      </c>
      <c r="D3" s="177" t="s">
        <v>12526</v>
      </c>
      <c r="E3" s="177" t="s">
        <v>12527</v>
      </c>
      <c r="F3" s="177" t="s">
        <v>3404</v>
      </c>
      <c r="G3" s="177" t="s">
        <v>546</v>
      </c>
      <c r="H3" s="177" t="s">
        <v>546</v>
      </c>
      <c r="I3" s="177" t="s">
        <v>12530</v>
      </c>
    </row>
    <row r="4" spans="1:9">
      <c r="A4" s="177" t="s">
        <v>12527</v>
      </c>
      <c r="B4" s="177" t="s">
        <v>12531</v>
      </c>
      <c r="C4" s="177" t="s">
        <v>10969</v>
      </c>
      <c r="D4" s="177" t="s">
        <v>12526</v>
      </c>
      <c r="E4" s="177" t="s">
        <v>12527</v>
      </c>
      <c r="F4" s="177" t="s">
        <v>3404</v>
      </c>
      <c r="G4" s="177" t="s">
        <v>546</v>
      </c>
      <c r="H4" s="177" t="s">
        <v>546</v>
      </c>
      <c r="I4" s="177" t="s">
        <v>12532</v>
      </c>
    </row>
    <row r="5" spans="1:9">
      <c r="A5" s="177" t="s">
        <v>11854</v>
      </c>
      <c r="B5" s="177" t="s">
        <v>12533</v>
      </c>
      <c r="C5" s="177" t="s">
        <v>10969</v>
      </c>
      <c r="D5" s="177" t="s">
        <v>12526</v>
      </c>
      <c r="E5" s="177" t="s">
        <v>12527</v>
      </c>
      <c r="F5" s="177" t="s">
        <v>3404</v>
      </c>
      <c r="G5" s="177" t="s">
        <v>546</v>
      </c>
      <c r="H5" s="177" t="s">
        <v>546</v>
      </c>
      <c r="I5" s="177" t="s">
        <v>12532</v>
      </c>
    </row>
    <row r="6" spans="1:9">
      <c r="A6" s="177" t="s">
        <v>12534</v>
      </c>
      <c r="B6" s="177" t="s">
        <v>12535</v>
      </c>
      <c r="C6" s="177" t="s">
        <v>10969</v>
      </c>
      <c r="D6" s="177" t="s">
        <v>12526</v>
      </c>
      <c r="E6" s="177" t="s">
        <v>12527</v>
      </c>
      <c r="F6" s="177" t="s">
        <v>3404</v>
      </c>
      <c r="G6" s="177" t="s">
        <v>546</v>
      </c>
      <c r="H6" s="177" t="s">
        <v>546</v>
      </c>
      <c r="I6" s="177" t="s">
        <v>12532</v>
      </c>
    </row>
    <row r="7" spans="1:9" ht="28.3" customHeight="1">
      <c r="A7" s="177" t="s">
        <v>11691</v>
      </c>
      <c r="B7" s="177" t="s">
        <v>12536</v>
      </c>
      <c r="C7" s="177" t="s">
        <v>10968</v>
      </c>
      <c r="D7" s="177" t="s">
        <v>12537</v>
      </c>
      <c r="E7" s="177" t="s">
        <v>12538</v>
      </c>
      <c r="F7" s="177" t="s">
        <v>3406</v>
      </c>
      <c r="G7" s="177" t="s">
        <v>546</v>
      </c>
      <c r="H7" s="177" t="s">
        <v>3404</v>
      </c>
      <c r="I7" s="177" t="s">
        <v>12539</v>
      </c>
    </row>
    <row r="8" spans="1:9">
      <c r="A8" s="177" t="s">
        <v>12540</v>
      </c>
      <c r="B8" s="177" t="s">
        <v>12536</v>
      </c>
      <c r="C8" s="177" t="s">
        <v>10968</v>
      </c>
      <c r="D8" s="177" t="s">
        <v>12537</v>
      </c>
      <c r="E8" s="177" t="s">
        <v>12538</v>
      </c>
      <c r="F8" s="177" t="s">
        <v>3406</v>
      </c>
      <c r="G8" s="177" t="s">
        <v>546</v>
      </c>
      <c r="H8" s="177" t="s">
        <v>3404</v>
      </c>
      <c r="I8" s="177" t="s">
        <v>12541</v>
      </c>
    </row>
    <row r="9" spans="1:9">
      <c r="A9" s="177" t="s">
        <v>10968</v>
      </c>
      <c r="B9" s="177" t="s">
        <v>12542</v>
      </c>
      <c r="C9" s="177" t="s">
        <v>10968</v>
      </c>
      <c r="D9" s="177" t="s">
        <v>12537</v>
      </c>
      <c r="E9" s="177" t="s">
        <v>12538</v>
      </c>
      <c r="F9" s="177" t="s">
        <v>3406</v>
      </c>
      <c r="G9" s="177" t="s">
        <v>546</v>
      </c>
      <c r="H9" s="177" t="s">
        <v>3404</v>
      </c>
      <c r="I9" s="177" t="s">
        <v>12528</v>
      </c>
    </row>
    <row r="10" spans="1:9">
      <c r="A10" s="177" t="s">
        <v>11715</v>
      </c>
      <c r="B10" s="177" t="s">
        <v>12543</v>
      </c>
      <c r="C10" s="177" t="s">
        <v>10968</v>
      </c>
      <c r="D10" s="177" t="s">
        <v>12537</v>
      </c>
      <c r="E10" s="177" t="s">
        <v>12538</v>
      </c>
      <c r="F10" s="177" t="s">
        <v>3406</v>
      </c>
      <c r="G10" s="177" t="s">
        <v>546</v>
      </c>
      <c r="H10" s="177" t="s">
        <v>3404</v>
      </c>
      <c r="I10" s="177" t="s">
        <v>12532</v>
      </c>
    </row>
    <row r="11" spans="1:9">
      <c r="A11" s="177" t="s">
        <v>12544</v>
      </c>
      <c r="B11" s="177" t="s">
        <v>12545</v>
      </c>
      <c r="C11" s="177" t="s">
        <v>10968</v>
      </c>
      <c r="D11" s="177" t="s">
        <v>12537</v>
      </c>
      <c r="E11" s="177" t="s">
        <v>12538</v>
      </c>
      <c r="F11" s="177" t="s">
        <v>3406</v>
      </c>
      <c r="G11" s="177" t="s">
        <v>546</v>
      </c>
      <c r="H11" s="177" t="s">
        <v>3404</v>
      </c>
      <c r="I11" s="177" t="s">
        <v>12532</v>
      </c>
    </row>
    <row r="12" spans="1:9">
      <c r="A12" s="177" t="s">
        <v>11738</v>
      </c>
      <c r="B12" s="177" t="s">
        <v>12546</v>
      </c>
      <c r="C12" s="177" t="s">
        <v>10968</v>
      </c>
      <c r="D12" s="177" t="s">
        <v>12537</v>
      </c>
      <c r="E12" s="177" t="s">
        <v>12538</v>
      </c>
      <c r="F12" s="177" t="s">
        <v>3406</v>
      </c>
      <c r="G12" s="177" t="s">
        <v>546</v>
      </c>
      <c r="H12" s="177" t="s">
        <v>3404</v>
      </c>
      <c r="I12" s="177" t="s">
        <v>12532</v>
      </c>
    </row>
    <row r="13" spans="1:9">
      <c r="A13" s="177" t="s">
        <v>11763</v>
      </c>
      <c r="B13" s="177" t="s">
        <v>12547</v>
      </c>
      <c r="C13" s="177" t="s">
        <v>10963</v>
      </c>
      <c r="D13" s="177" t="s">
        <v>12548</v>
      </c>
      <c r="E13" s="177" t="s">
        <v>12538</v>
      </c>
      <c r="F13" s="177" t="s">
        <v>3406</v>
      </c>
      <c r="G13" s="177" t="s">
        <v>546</v>
      </c>
      <c r="H13" s="177" t="s">
        <v>3404</v>
      </c>
      <c r="I13" s="177" t="s">
        <v>12549</v>
      </c>
    </row>
    <row r="14" spans="1:9">
      <c r="A14" s="177" t="s">
        <v>10963</v>
      </c>
      <c r="B14" s="177" t="s">
        <v>12547</v>
      </c>
      <c r="C14" s="177" t="s">
        <v>10963</v>
      </c>
      <c r="D14" s="177" t="s">
        <v>12548</v>
      </c>
      <c r="E14" s="177" t="s">
        <v>12538</v>
      </c>
      <c r="F14" s="177" t="s">
        <v>3406</v>
      </c>
      <c r="G14" s="177" t="s">
        <v>546</v>
      </c>
      <c r="H14" s="177" t="s">
        <v>3404</v>
      </c>
      <c r="I14" s="177" t="s">
        <v>12528</v>
      </c>
    </row>
    <row r="15" spans="1:9">
      <c r="A15" s="177" t="s">
        <v>11887</v>
      </c>
      <c r="B15" s="177" t="s">
        <v>12550</v>
      </c>
      <c r="C15" s="177" t="s">
        <v>10963</v>
      </c>
      <c r="D15" s="177" t="s">
        <v>12548</v>
      </c>
      <c r="E15" s="177" t="s">
        <v>12538</v>
      </c>
      <c r="F15" s="177" t="s">
        <v>3406</v>
      </c>
      <c r="G15" s="177" t="s">
        <v>546</v>
      </c>
      <c r="H15" s="177" t="s">
        <v>3404</v>
      </c>
      <c r="I15" s="177" t="s">
        <v>12532</v>
      </c>
    </row>
    <row r="16" spans="1:9">
      <c r="A16" s="177" t="s">
        <v>11785</v>
      </c>
      <c r="B16" s="177" t="s">
        <v>12551</v>
      </c>
      <c r="C16" s="177" t="s">
        <v>10963</v>
      </c>
      <c r="D16" s="177" t="s">
        <v>12548</v>
      </c>
      <c r="E16" s="177" t="s">
        <v>12538</v>
      </c>
      <c r="F16" s="177" t="s">
        <v>3406</v>
      </c>
      <c r="G16" s="177" t="s">
        <v>546</v>
      </c>
      <c r="H16" s="177" t="s">
        <v>3404</v>
      </c>
      <c r="I16" s="177" t="s">
        <v>12532</v>
      </c>
    </row>
    <row r="17" spans="1:9">
      <c r="A17" s="177" t="s">
        <v>12552</v>
      </c>
      <c r="B17" s="177" t="s">
        <v>12553</v>
      </c>
      <c r="C17" s="177" t="s">
        <v>10963</v>
      </c>
      <c r="D17" s="177" t="s">
        <v>12548</v>
      </c>
      <c r="E17" s="177" t="s">
        <v>12538</v>
      </c>
      <c r="F17" s="177" t="s">
        <v>3406</v>
      </c>
      <c r="G17" s="177" t="s">
        <v>546</v>
      </c>
      <c r="H17" s="177" t="s">
        <v>546</v>
      </c>
      <c r="I17" s="177" t="s">
        <v>12532</v>
      </c>
    </row>
    <row r="18" spans="1:9">
      <c r="A18" s="177" t="s">
        <v>10974</v>
      </c>
      <c r="B18" s="177" t="s">
        <v>12554</v>
      </c>
      <c r="C18" s="177" t="s">
        <v>10974</v>
      </c>
      <c r="D18" s="177" t="s">
        <v>12548</v>
      </c>
      <c r="E18" s="177" t="s">
        <v>10974</v>
      </c>
      <c r="F18" s="177" t="s">
        <v>3406</v>
      </c>
      <c r="G18" s="177" t="s">
        <v>546</v>
      </c>
      <c r="H18" s="177" t="s">
        <v>546</v>
      </c>
      <c r="I18" s="177" t="s">
        <v>12555</v>
      </c>
    </row>
    <row r="19" spans="1:9" ht="28.3" customHeight="1">
      <c r="A19" s="177" t="s">
        <v>11838</v>
      </c>
      <c r="B19" s="177" t="s">
        <v>12556</v>
      </c>
      <c r="C19" s="177" t="s">
        <v>10970</v>
      </c>
      <c r="D19" s="177" t="s">
        <v>12557</v>
      </c>
      <c r="E19" s="177" t="s">
        <v>12558</v>
      </c>
      <c r="F19" s="177" t="s">
        <v>546</v>
      </c>
      <c r="G19" s="177" t="s">
        <v>546</v>
      </c>
      <c r="H19" s="177" t="s">
        <v>3404</v>
      </c>
      <c r="I19" s="177" t="s">
        <v>12559</v>
      </c>
    </row>
    <row r="20" spans="1:9">
      <c r="A20" s="177" t="s">
        <v>10970</v>
      </c>
      <c r="B20" s="177" t="s">
        <v>12560</v>
      </c>
      <c r="C20" s="177" t="s">
        <v>10970</v>
      </c>
      <c r="D20" s="177" t="s">
        <v>12557</v>
      </c>
      <c r="E20" s="177" t="s">
        <v>12558</v>
      </c>
      <c r="F20" s="177" t="s">
        <v>546</v>
      </c>
      <c r="G20" s="177" t="s">
        <v>546</v>
      </c>
      <c r="H20" s="177" t="s">
        <v>3404</v>
      </c>
      <c r="I20" s="177" t="s">
        <v>12528</v>
      </c>
    </row>
    <row r="21" spans="1:9">
      <c r="A21" s="177" t="s">
        <v>11795</v>
      </c>
      <c r="B21" s="177" t="s">
        <v>12561</v>
      </c>
      <c r="C21" s="177" t="s">
        <v>10970</v>
      </c>
      <c r="D21" s="177" t="s">
        <v>12557</v>
      </c>
      <c r="E21" s="177" t="s">
        <v>12558</v>
      </c>
      <c r="F21" s="177" t="s">
        <v>3406</v>
      </c>
      <c r="G21" s="177" t="s">
        <v>546</v>
      </c>
      <c r="H21" s="177" t="s">
        <v>3404</v>
      </c>
      <c r="I21" s="177" t="s">
        <v>12532</v>
      </c>
    </row>
    <row r="22" spans="1:9">
      <c r="A22" s="177" t="s">
        <v>12562</v>
      </c>
      <c r="B22" s="177" t="s">
        <v>12563</v>
      </c>
      <c r="C22" s="177" t="s">
        <v>10970</v>
      </c>
      <c r="D22" s="177" t="s">
        <v>12557</v>
      </c>
      <c r="E22" s="177" t="s">
        <v>12558</v>
      </c>
      <c r="F22" s="177" t="s">
        <v>3406</v>
      </c>
      <c r="G22" s="177" t="s">
        <v>546</v>
      </c>
      <c r="H22" s="177" t="s">
        <v>3404</v>
      </c>
      <c r="I22" s="177" t="s">
        <v>12532</v>
      </c>
    </row>
    <row r="23" spans="1:9">
      <c r="A23" s="177" t="s">
        <v>12564</v>
      </c>
      <c r="B23" s="177" t="s">
        <v>12565</v>
      </c>
      <c r="C23" s="177" t="s">
        <v>10971</v>
      </c>
      <c r="D23" s="177" t="s">
        <v>10971</v>
      </c>
      <c r="E23" s="177" t="s">
        <v>12558</v>
      </c>
      <c r="F23" s="177" t="s">
        <v>3404</v>
      </c>
      <c r="G23" s="177" t="s">
        <v>546</v>
      </c>
      <c r="H23" s="177" t="s">
        <v>546</v>
      </c>
      <c r="I23" s="177" t="s">
        <v>12566</v>
      </c>
    </row>
    <row r="24" spans="1:9">
      <c r="A24" s="177" t="s">
        <v>1998</v>
      </c>
      <c r="B24" s="177" t="s">
        <v>12567</v>
      </c>
      <c r="C24" s="177" t="s">
        <v>10971</v>
      </c>
      <c r="D24" s="177" t="s">
        <v>10971</v>
      </c>
      <c r="E24" s="177" t="s">
        <v>12558</v>
      </c>
      <c r="F24" s="177" t="s">
        <v>3404</v>
      </c>
      <c r="G24" s="177" t="s">
        <v>546</v>
      </c>
      <c r="H24" s="177" t="s">
        <v>546</v>
      </c>
      <c r="I24" s="177" t="s">
        <v>12566</v>
      </c>
    </row>
    <row r="25" spans="1:9">
      <c r="A25" s="177" t="s">
        <v>10971</v>
      </c>
      <c r="B25" s="177" t="s">
        <v>12568</v>
      </c>
      <c r="C25" s="177" t="s">
        <v>10971</v>
      </c>
      <c r="D25" s="177" t="s">
        <v>10971</v>
      </c>
      <c r="E25" s="177" t="s">
        <v>12558</v>
      </c>
      <c r="F25" s="177" t="s">
        <v>3404</v>
      </c>
      <c r="G25" s="177" t="s">
        <v>546</v>
      </c>
      <c r="H25" s="177" t="s">
        <v>546</v>
      </c>
      <c r="I25" s="177" t="s">
        <v>12528</v>
      </c>
    </row>
    <row r="26" spans="1:9" ht="28.3" customHeight="1">
      <c r="A26" s="177" t="s">
        <v>11802</v>
      </c>
      <c r="B26" s="177" t="s">
        <v>12569</v>
      </c>
      <c r="C26" s="177" t="s">
        <v>10999</v>
      </c>
      <c r="D26" s="177" t="s">
        <v>12570</v>
      </c>
      <c r="E26" s="177" t="s">
        <v>12571</v>
      </c>
      <c r="F26" s="177" t="s">
        <v>3406</v>
      </c>
      <c r="G26" s="177" t="s">
        <v>3403</v>
      </c>
      <c r="H26" s="177" t="s">
        <v>3404</v>
      </c>
      <c r="I26" s="177" t="s">
        <v>12572</v>
      </c>
    </row>
    <row r="27" spans="1:9">
      <c r="A27" s="177" t="s">
        <v>12571</v>
      </c>
      <c r="B27" s="177" t="s">
        <v>12569</v>
      </c>
      <c r="C27" s="177" t="s">
        <v>10999</v>
      </c>
      <c r="D27" s="177" t="s">
        <v>12570</v>
      </c>
      <c r="E27" s="177" t="s">
        <v>12571</v>
      </c>
      <c r="F27" s="177" t="s">
        <v>3406</v>
      </c>
      <c r="G27" s="177" t="s">
        <v>3403</v>
      </c>
      <c r="H27" s="177" t="s">
        <v>3404</v>
      </c>
      <c r="I27" s="177" t="s">
        <v>12532</v>
      </c>
    </row>
    <row r="28" spans="1:9" ht="28.3" customHeight="1">
      <c r="A28" s="177" t="s">
        <v>10999</v>
      </c>
      <c r="B28" s="177" t="s">
        <v>12573</v>
      </c>
      <c r="C28" s="177" t="s">
        <v>10999</v>
      </c>
      <c r="D28" s="177" t="s">
        <v>12570</v>
      </c>
      <c r="E28" s="177" t="s">
        <v>12571</v>
      </c>
      <c r="F28" s="177" t="s">
        <v>3406</v>
      </c>
      <c r="G28" s="177" t="s">
        <v>3403</v>
      </c>
      <c r="H28" s="177" t="s">
        <v>3404</v>
      </c>
      <c r="I28" s="177" t="s">
        <v>12574</v>
      </c>
    </row>
    <row r="29" spans="1:9">
      <c r="A29" s="177" t="s">
        <v>11726</v>
      </c>
      <c r="B29" s="177" t="s">
        <v>12575</v>
      </c>
      <c r="C29" s="177" t="s">
        <v>10999</v>
      </c>
      <c r="D29" s="177" t="s">
        <v>12570</v>
      </c>
      <c r="E29" s="177" t="s">
        <v>12571</v>
      </c>
      <c r="F29" s="177" t="s">
        <v>546</v>
      </c>
      <c r="G29" s="177" t="s">
        <v>3403</v>
      </c>
      <c r="H29" s="177" t="s">
        <v>3404</v>
      </c>
      <c r="I29" s="177" t="s">
        <v>12532</v>
      </c>
    </row>
    <row r="30" spans="1:9">
      <c r="A30" s="177" t="s">
        <v>11829</v>
      </c>
      <c r="B30" s="177" t="s">
        <v>12576</v>
      </c>
      <c r="C30" s="177" t="s">
        <v>10999</v>
      </c>
      <c r="D30" s="177" t="s">
        <v>12570</v>
      </c>
      <c r="E30" s="177" t="s">
        <v>12571</v>
      </c>
      <c r="F30" s="177" t="s">
        <v>3406</v>
      </c>
      <c r="G30" s="177" t="s">
        <v>3404</v>
      </c>
      <c r="H30" s="177" t="s">
        <v>3404</v>
      </c>
      <c r="I30" s="177" t="s">
        <v>12532</v>
      </c>
    </row>
    <row r="31" spans="1:9">
      <c r="A31" s="177" t="s">
        <v>11833</v>
      </c>
      <c r="B31" s="177" t="s">
        <v>12577</v>
      </c>
      <c r="C31" s="177" t="s">
        <v>10999</v>
      </c>
      <c r="D31" s="177" t="s">
        <v>12570</v>
      </c>
      <c r="E31" s="177" t="s">
        <v>12571</v>
      </c>
      <c r="F31" s="177" t="s">
        <v>3406</v>
      </c>
      <c r="G31" s="177" t="s">
        <v>3403</v>
      </c>
      <c r="H31" s="177" t="s">
        <v>3404</v>
      </c>
      <c r="I31" s="177" t="s">
        <v>12532</v>
      </c>
    </row>
    <row r="32" spans="1:9">
      <c r="A32" s="177" t="s">
        <v>11856</v>
      </c>
      <c r="B32" s="177" t="s">
        <v>12578</v>
      </c>
      <c r="C32" s="177" t="s">
        <v>10999</v>
      </c>
      <c r="D32" s="177" t="s">
        <v>12570</v>
      </c>
      <c r="E32" s="177" t="s">
        <v>12571</v>
      </c>
      <c r="F32" s="177" t="s">
        <v>546</v>
      </c>
      <c r="G32" s="177" t="s">
        <v>3404</v>
      </c>
      <c r="H32" s="177" t="s">
        <v>3404</v>
      </c>
      <c r="I32" s="177" t="s">
        <v>12532</v>
      </c>
    </row>
    <row r="33" spans="1:9" ht="28.3" customHeight="1">
      <c r="A33" s="177" t="s">
        <v>12579</v>
      </c>
      <c r="B33" s="177" t="s">
        <v>12580</v>
      </c>
      <c r="C33" s="177" t="s">
        <v>10972</v>
      </c>
      <c r="D33" s="177" t="s">
        <v>12581</v>
      </c>
      <c r="E33" s="177" t="s">
        <v>12579</v>
      </c>
      <c r="F33" s="177" t="s">
        <v>546</v>
      </c>
      <c r="G33" s="177" t="s">
        <v>3404</v>
      </c>
      <c r="H33" s="177" t="s">
        <v>3404</v>
      </c>
      <c r="I33" s="177" t="s">
        <v>12566</v>
      </c>
    </row>
    <row r="34" spans="1:9" ht="28.3" customHeight="1">
      <c r="A34" s="177" t="s">
        <v>12582</v>
      </c>
      <c r="B34" s="177" t="s">
        <v>12583</v>
      </c>
      <c r="C34" s="177" t="s">
        <v>10972</v>
      </c>
      <c r="D34" s="177" t="s">
        <v>12581</v>
      </c>
      <c r="E34" s="177" t="s">
        <v>12579</v>
      </c>
      <c r="F34" s="177" t="s">
        <v>3404</v>
      </c>
      <c r="G34" s="177" t="s">
        <v>3404</v>
      </c>
      <c r="H34" s="177" t="s">
        <v>3404</v>
      </c>
      <c r="I34" s="177" t="s">
        <v>12566</v>
      </c>
    </row>
    <row r="35" spans="1:9" ht="28.3" customHeight="1">
      <c r="A35" s="177" t="s">
        <v>10972</v>
      </c>
      <c r="B35" s="177" t="s">
        <v>12584</v>
      </c>
      <c r="C35" s="177" t="s">
        <v>10972</v>
      </c>
      <c r="D35" s="177" t="s">
        <v>12581</v>
      </c>
      <c r="E35" s="177" t="s">
        <v>12579</v>
      </c>
      <c r="F35" s="177" t="s">
        <v>546</v>
      </c>
      <c r="G35" s="177" t="s">
        <v>3404</v>
      </c>
      <c r="H35" s="177" t="s">
        <v>3404</v>
      </c>
      <c r="I35" s="177" t="s">
        <v>12528</v>
      </c>
    </row>
    <row r="36" spans="1:9">
      <c r="A36" s="177" t="s">
        <v>12585</v>
      </c>
      <c r="B36" s="177" t="s">
        <v>12586</v>
      </c>
      <c r="C36" s="177" t="s">
        <v>10973</v>
      </c>
      <c r="D36" s="177" t="s">
        <v>12587</v>
      </c>
      <c r="E36" s="177" t="s">
        <v>12588</v>
      </c>
      <c r="F36" s="177" t="s">
        <v>3404</v>
      </c>
      <c r="G36" s="177" t="s">
        <v>3404</v>
      </c>
      <c r="H36" s="177" t="s">
        <v>546</v>
      </c>
      <c r="I36" s="177" t="s">
        <v>12566</v>
      </c>
    </row>
    <row r="37" spans="1:9">
      <c r="A37" s="177" t="s">
        <v>10973</v>
      </c>
      <c r="B37" s="177" t="s">
        <v>12589</v>
      </c>
      <c r="C37" s="177" t="s">
        <v>10973</v>
      </c>
      <c r="D37" s="177" t="s">
        <v>12587</v>
      </c>
      <c r="E37" s="177" t="s">
        <v>12588</v>
      </c>
      <c r="F37" s="177" t="s">
        <v>3404</v>
      </c>
      <c r="G37" s="177" t="s">
        <v>3404</v>
      </c>
      <c r="H37" s="177" t="s">
        <v>546</v>
      </c>
      <c r="I37" s="177" t="s">
        <v>12528</v>
      </c>
    </row>
    <row r="38" spans="1:9">
      <c r="A38" s="177" t="s">
        <v>12590</v>
      </c>
      <c r="B38" s="177" t="s">
        <v>12591</v>
      </c>
      <c r="C38" s="177" t="s">
        <v>10963</v>
      </c>
      <c r="D38" s="177" t="s">
        <v>12592</v>
      </c>
      <c r="E38" s="177" t="s">
        <v>12538</v>
      </c>
      <c r="F38" s="177" t="s">
        <v>3404</v>
      </c>
      <c r="G38" s="177" t="s">
        <v>3404</v>
      </c>
      <c r="H38" s="177" t="s">
        <v>3404</v>
      </c>
      <c r="I38" s="177" t="s">
        <v>12593</v>
      </c>
    </row>
    <row r="39" spans="1:9" ht="28.3" customHeight="1">
      <c r="A39" s="177" t="s">
        <v>12594</v>
      </c>
      <c r="B39" s="177" t="s">
        <v>12595</v>
      </c>
      <c r="C39" s="177" t="s">
        <v>10969</v>
      </c>
      <c r="D39" s="177" t="s">
        <v>12596</v>
      </c>
      <c r="E39" s="177" t="s">
        <v>12527</v>
      </c>
      <c r="F39" s="177" t="s">
        <v>3404</v>
      </c>
      <c r="G39" s="177" t="s">
        <v>546</v>
      </c>
      <c r="H39" s="177" t="s">
        <v>546</v>
      </c>
      <c r="I39" s="177" t="s">
        <v>12597</v>
      </c>
    </row>
    <row r="40" spans="1:9" ht="28.3" customHeight="1">
      <c r="A40" s="177" t="s">
        <v>11784</v>
      </c>
      <c r="B40" s="177" t="s">
        <v>12598</v>
      </c>
      <c r="C40" s="177" t="s">
        <v>10975</v>
      </c>
      <c r="D40" s="177" t="s">
        <v>12599</v>
      </c>
      <c r="E40" s="177" t="s">
        <v>12600</v>
      </c>
      <c r="F40" s="177" t="s">
        <v>546</v>
      </c>
      <c r="G40" s="177" t="s">
        <v>3404</v>
      </c>
      <c r="H40" s="177" t="s">
        <v>3404</v>
      </c>
      <c r="I40" s="177" t="s">
        <v>12566</v>
      </c>
    </row>
    <row r="41" spans="1:9" ht="28.3" customHeight="1">
      <c r="A41" s="177" t="s">
        <v>10975</v>
      </c>
      <c r="B41" s="177" t="s">
        <v>12601</v>
      </c>
      <c r="C41" s="177" t="s">
        <v>10975</v>
      </c>
      <c r="D41" s="177" t="s">
        <v>12599</v>
      </c>
      <c r="E41" s="177" t="s">
        <v>12600</v>
      </c>
      <c r="F41" s="177" t="s">
        <v>546</v>
      </c>
      <c r="G41" s="177" t="s">
        <v>3404</v>
      </c>
      <c r="H41" s="177" t="s">
        <v>3404</v>
      </c>
      <c r="I41" s="177" t="s">
        <v>12528</v>
      </c>
    </row>
    <row r="42" spans="1:9">
      <c r="A42" s="177" t="s">
        <v>11775</v>
      </c>
      <c r="B42" s="177" t="s">
        <v>12602</v>
      </c>
      <c r="C42" s="177" t="s">
        <v>12603</v>
      </c>
      <c r="D42" s="177" t="s">
        <v>12604</v>
      </c>
      <c r="E42" s="177" t="s">
        <v>12605</v>
      </c>
      <c r="F42" s="177" t="s">
        <v>546</v>
      </c>
      <c r="G42" s="177" t="s">
        <v>546</v>
      </c>
      <c r="H42" s="177" t="s">
        <v>546</v>
      </c>
      <c r="I42" s="177" t="s">
        <v>12606</v>
      </c>
    </row>
    <row r="43" spans="1:9">
      <c r="A43" s="177" t="s">
        <v>12603</v>
      </c>
      <c r="B43" s="177" t="s">
        <v>12607</v>
      </c>
      <c r="C43" s="177" t="s">
        <v>12603</v>
      </c>
      <c r="D43" s="177" t="s">
        <v>12604</v>
      </c>
      <c r="E43" s="177" t="s">
        <v>12605</v>
      </c>
      <c r="F43" s="177" t="s">
        <v>546</v>
      </c>
      <c r="G43" s="177" t="s">
        <v>546</v>
      </c>
      <c r="H43" s="177" t="s">
        <v>546</v>
      </c>
      <c r="I43" s="177" t="s">
        <v>12606</v>
      </c>
    </row>
  </sheetData>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W106"/>
  <sheetViews>
    <sheetView workbookViewId="0">
      <pane ySplit="1" topLeftCell="A2" activePane="bottomLeft" state="frozen"/>
      <selection pane="bottomLeft"/>
    </sheetView>
  </sheetViews>
  <sheetFormatPr defaultRowHeight="14.15"/>
  <cols>
    <col min="1" max="3" width="14" customWidth="1"/>
    <col min="4" max="4" width="15" customWidth="1"/>
    <col min="5" max="5" width="20" customWidth="1"/>
    <col min="6" max="6" width="26" customWidth="1"/>
    <col min="7" max="7" width="24" customWidth="1"/>
    <col min="8" max="8" width="28" customWidth="1"/>
    <col min="9" max="9" width="25" customWidth="1"/>
    <col min="10" max="10" width="20" customWidth="1"/>
    <col min="11" max="11" width="18" customWidth="1"/>
    <col min="12" max="12" width="15" customWidth="1"/>
    <col min="13" max="13" width="18" customWidth="1"/>
    <col min="14" max="14" width="16" customWidth="1"/>
    <col min="15" max="15" width="18" customWidth="1"/>
    <col min="16" max="16" width="15" customWidth="1"/>
    <col min="17" max="17" width="23" customWidth="1"/>
    <col min="18" max="18" width="16" customWidth="1"/>
    <col min="19" max="19" width="15" customWidth="1"/>
    <col min="20" max="21" width="14" customWidth="1"/>
    <col min="22" max="22" width="20" customWidth="1"/>
    <col min="23" max="23" width="14" customWidth="1"/>
  </cols>
  <sheetData>
    <row r="1" spans="1:23" ht="28.3" customHeight="1">
      <c r="A1" s="176" t="s">
        <v>11962</v>
      </c>
      <c r="B1" s="176" t="s">
        <v>12608</v>
      </c>
      <c r="C1" s="176" t="s">
        <v>12609</v>
      </c>
      <c r="D1" s="176" t="s">
        <v>12610</v>
      </c>
      <c r="E1" s="176" t="s">
        <v>12611</v>
      </c>
      <c r="F1" s="176" t="s">
        <v>12612</v>
      </c>
      <c r="G1" s="176" t="s">
        <v>12613</v>
      </c>
      <c r="H1" s="176" t="s">
        <v>12614</v>
      </c>
      <c r="I1" s="176" t="s">
        <v>12615</v>
      </c>
      <c r="J1" s="176" t="s">
        <v>12616</v>
      </c>
      <c r="K1" s="176" t="s">
        <v>12617</v>
      </c>
      <c r="L1" s="176" t="s">
        <v>12618</v>
      </c>
      <c r="M1" s="176" t="s">
        <v>12619</v>
      </c>
      <c r="N1" s="176" t="s">
        <v>12620</v>
      </c>
      <c r="O1" s="176" t="s">
        <v>12621</v>
      </c>
      <c r="P1" s="176" t="s">
        <v>12622</v>
      </c>
      <c r="Q1" s="176" t="s">
        <v>12623</v>
      </c>
      <c r="R1" s="176" t="s">
        <v>12624</v>
      </c>
      <c r="S1" s="176" t="s">
        <v>12625</v>
      </c>
      <c r="T1" s="176" t="s">
        <v>11627</v>
      </c>
      <c r="U1" s="176" t="s">
        <v>12626</v>
      </c>
      <c r="V1" s="176" t="s">
        <v>12627</v>
      </c>
      <c r="W1" s="176" t="s">
        <v>744</v>
      </c>
    </row>
    <row r="2" spans="1:23" ht="70.75" customHeight="1">
      <c r="A2" s="177" t="s">
        <v>12628</v>
      </c>
      <c r="B2" s="177" t="s">
        <v>48</v>
      </c>
      <c r="C2" s="177" t="s">
        <v>12629</v>
      </c>
      <c r="D2" s="177" t="s">
        <v>12630</v>
      </c>
      <c r="E2" s="177" t="s">
        <v>12631</v>
      </c>
      <c r="F2" s="177"/>
      <c r="G2" s="177" t="s">
        <v>11502</v>
      </c>
      <c r="H2" s="177"/>
      <c r="I2" s="177" t="s">
        <v>11694</v>
      </c>
      <c r="J2" s="177"/>
      <c r="K2" s="177"/>
      <c r="L2" s="177" t="s">
        <v>12632</v>
      </c>
      <c r="M2" s="177" t="s">
        <v>12629</v>
      </c>
      <c r="N2" s="177" t="s">
        <v>12633</v>
      </c>
      <c r="O2" s="177"/>
      <c r="P2" s="177" t="s">
        <v>11502</v>
      </c>
      <c r="Q2" s="177"/>
      <c r="R2" s="177" t="s">
        <v>12634</v>
      </c>
      <c r="S2" s="177" t="s">
        <v>12635</v>
      </c>
      <c r="T2" s="177" t="s">
        <v>12302</v>
      </c>
      <c r="U2" s="177" t="s">
        <v>12166</v>
      </c>
      <c r="V2" s="177"/>
      <c r="W2" s="177"/>
    </row>
    <row r="3" spans="1:23" ht="183.9" customHeight="1">
      <c r="A3" s="177" t="s">
        <v>12636</v>
      </c>
      <c r="B3" s="177" t="s">
        <v>52</v>
      </c>
      <c r="C3" s="177" t="s">
        <v>12637</v>
      </c>
      <c r="D3" s="177" t="s">
        <v>12638</v>
      </c>
      <c r="E3" s="177" t="s">
        <v>12631</v>
      </c>
      <c r="F3" s="177"/>
      <c r="G3" s="177" t="s">
        <v>11502</v>
      </c>
      <c r="H3" s="177"/>
      <c r="I3" s="177" t="s">
        <v>11694</v>
      </c>
      <c r="J3" s="177"/>
      <c r="K3" s="177"/>
      <c r="L3" s="177" t="s">
        <v>12632</v>
      </c>
      <c r="M3" s="177" t="s">
        <v>12637</v>
      </c>
      <c r="N3" s="177" t="s">
        <v>12633</v>
      </c>
      <c r="O3" s="177"/>
      <c r="P3" s="177" t="s">
        <v>11502</v>
      </c>
      <c r="Q3" s="177"/>
      <c r="R3" s="177" t="s">
        <v>12634</v>
      </c>
      <c r="S3" s="177" t="s">
        <v>12635</v>
      </c>
      <c r="T3" s="177" t="s">
        <v>12302</v>
      </c>
      <c r="U3" s="177" t="s">
        <v>12166</v>
      </c>
      <c r="V3" s="177"/>
      <c r="W3" s="177"/>
    </row>
    <row r="4" spans="1:23" ht="84.9" customHeight="1">
      <c r="A4" s="177" t="s">
        <v>12639</v>
      </c>
      <c r="B4" s="177" t="s">
        <v>56</v>
      </c>
      <c r="C4" s="177" t="s">
        <v>12640</v>
      </c>
      <c r="D4" s="177" t="str">
        <f>HYPERLINK("#'Guidelines'!A1","⌂ Guidelines")</f>
        <v>⌂ Guidelines</v>
      </c>
      <c r="E4" s="177" t="s">
        <v>12631</v>
      </c>
      <c r="F4" s="177"/>
      <c r="G4" s="177" t="s">
        <v>11502</v>
      </c>
      <c r="H4" s="177"/>
      <c r="I4" s="177" t="s">
        <v>11694</v>
      </c>
      <c r="J4" s="177"/>
      <c r="K4" s="177"/>
      <c r="L4" s="177" t="s">
        <v>12632</v>
      </c>
      <c r="M4" s="177" t="s">
        <v>12640</v>
      </c>
      <c r="N4" s="177" t="s">
        <v>12633</v>
      </c>
      <c r="O4" s="177"/>
      <c r="P4" s="177" t="s">
        <v>11502</v>
      </c>
      <c r="Q4" s="177"/>
      <c r="R4" s="177" t="s">
        <v>12634</v>
      </c>
      <c r="S4" s="177" t="s">
        <v>12635</v>
      </c>
      <c r="T4" s="177" t="s">
        <v>12302</v>
      </c>
      <c r="U4" s="177" t="s">
        <v>12166</v>
      </c>
      <c r="V4" s="177"/>
      <c r="W4" s="177" t="s">
        <v>12641</v>
      </c>
    </row>
    <row r="5" spans="1:23" ht="42.45" customHeight="1">
      <c r="A5" s="177" t="s">
        <v>12642</v>
      </c>
      <c r="B5" s="177" t="s">
        <v>60</v>
      </c>
      <c r="C5" s="177" t="s">
        <v>12643</v>
      </c>
      <c r="D5" s="177" t="s">
        <v>445</v>
      </c>
      <c r="E5" s="177" t="s">
        <v>12631</v>
      </c>
      <c r="F5" s="177" t="s">
        <v>446</v>
      </c>
      <c r="G5" s="177" t="s">
        <v>11502</v>
      </c>
      <c r="H5" s="177"/>
      <c r="I5" s="177" t="s">
        <v>11694</v>
      </c>
      <c r="J5" s="177"/>
      <c r="K5" s="177"/>
      <c r="L5" s="177" t="s">
        <v>12632</v>
      </c>
      <c r="M5" s="177" t="s">
        <v>12643</v>
      </c>
      <c r="N5" s="177" t="s">
        <v>12633</v>
      </c>
      <c r="O5" s="177"/>
      <c r="P5" s="177" t="s">
        <v>11502</v>
      </c>
      <c r="Q5" s="177"/>
      <c r="R5" s="177" t="s">
        <v>12634</v>
      </c>
      <c r="S5" s="177" t="s">
        <v>12635</v>
      </c>
      <c r="T5" s="177" t="s">
        <v>12302</v>
      </c>
      <c r="U5" s="177" t="s">
        <v>12166</v>
      </c>
      <c r="V5" s="177"/>
      <c r="W5" s="177" t="s">
        <v>74</v>
      </c>
    </row>
    <row r="6" spans="1:23" ht="84.9" customHeight="1">
      <c r="A6" s="177" t="s">
        <v>12644</v>
      </c>
      <c r="B6" s="177" t="s">
        <v>64</v>
      </c>
      <c r="C6" s="177" t="s">
        <v>12645</v>
      </c>
      <c r="D6" s="177" t="s">
        <v>449</v>
      </c>
      <c r="E6" s="177" t="s">
        <v>12646</v>
      </c>
      <c r="F6" s="177"/>
      <c r="G6" s="177" t="s">
        <v>11502</v>
      </c>
      <c r="H6" s="177"/>
      <c r="I6" s="177" t="s">
        <v>48</v>
      </c>
      <c r="J6" s="177" t="s">
        <v>12647</v>
      </c>
      <c r="K6" s="177"/>
      <c r="L6" s="177" t="s">
        <v>12648</v>
      </c>
      <c r="M6" s="177" t="s">
        <v>12645</v>
      </c>
      <c r="N6" s="177" t="s">
        <v>12649</v>
      </c>
      <c r="O6" s="177"/>
      <c r="P6" s="177" t="s">
        <v>11502</v>
      </c>
      <c r="Q6" s="177"/>
      <c r="R6" s="177" t="s">
        <v>12650</v>
      </c>
      <c r="S6" s="177" t="s">
        <v>12651</v>
      </c>
      <c r="T6" s="177" t="s">
        <v>12652</v>
      </c>
      <c r="U6" s="177" t="s">
        <v>12653</v>
      </c>
      <c r="V6" s="177" t="s">
        <v>12654</v>
      </c>
      <c r="W6" s="177" t="s">
        <v>12655</v>
      </c>
    </row>
    <row r="7" spans="1:23" ht="113.15" customHeight="1">
      <c r="A7" s="177" t="s">
        <v>12656</v>
      </c>
      <c r="B7" s="177" t="s">
        <v>68</v>
      </c>
      <c r="C7" s="177" t="s">
        <v>12657</v>
      </c>
      <c r="D7" s="177" t="s">
        <v>453</v>
      </c>
      <c r="E7" s="177" t="s">
        <v>12658</v>
      </c>
      <c r="F7" s="177">
        <f ca="1">TODAY()</f>
        <v>46197</v>
      </c>
      <c r="G7" s="177" t="s">
        <v>11502</v>
      </c>
      <c r="H7" s="177"/>
      <c r="I7" s="177" t="s">
        <v>12659</v>
      </c>
      <c r="J7" s="177" t="s">
        <v>12660</v>
      </c>
      <c r="K7" s="177"/>
      <c r="L7" s="177" t="s">
        <v>12661</v>
      </c>
      <c r="M7" s="177" t="s">
        <v>12657</v>
      </c>
      <c r="N7" s="177" t="s">
        <v>12662</v>
      </c>
      <c r="O7" s="177"/>
      <c r="P7" s="177" t="s">
        <v>12663</v>
      </c>
      <c r="Q7" s="177" t="s">
        <v>12656</v>
      </c>
      <c r="R7" s="177" t="s">
        <v>12664</v>
      </c>
      <c r="S7" s="177" t="s">
        <v>12665</v>
      </c>
      <c r="T7" s="177" t="s">
        <v>12652</v>
      </c>
      <c r="U7" s="177" t="s">
        <v>12166</v>
      </c>
      <c r="V7" s="177" t="s">
        <v>12666</v>
      </c>
      <c r="W7" s="177" t="s">
        <v>12667</v>
      </c>
    </row>
    <row r="8" spans="1:23" ht="84.9" customHeight="1">
      <c r="A8" s="177" t="s">
        <v>12668</v>
      </c>
      <c r="B8" s="177" t="s">
        <v>3692</v>
      </c>
      <c r="C8" s="177" t="s">
        <v>12669</v>
      </c>
      <c r="D8" s="177" t="s">
        <v>456</v>
      </c>
      <c r="E8" s="177" t="s">
        <v>12646</v>
      </c>
      <c r="F8" s="177"/>
      <c r="G8" s="177" t="s">
        <v>11502</v>
      </c>
      <c r="H8" s="177"/>
      <c r="I8" s="177" t="s">
        <v>11694</v>
      </c>
      <c r="J8" s="177"/>
      <c r="K8" s="177"/>
      <c r="L8" s="177" t="s">
        <v>12648</v>
      </c>
      <c r="M8" s="177" t="s">
        <v>12669</v>
      </c>
      <c r="N8" s="177" t="s">
        <v>12649</v>
      </c>
      <c r="O8" s="177"/>
      <c r="P8" s="177" t="s">
        <v>11502</v>
      </c>
      <c r="Q8" s="177"/>
      <c r="R8" s="177" t="s">
        <v>12650</v>
      </c>
      <c r="S8" s="177" t="s">
        <v>12651</v>
      </c>
      <c r="T8" s="177" t="s">
        <v>12652</v>
      </c>
      <c r="U8" s="177" t="s">
        <v>12166</v>
      </c>
      <c r="V8" s="177" t="s">
        <v>12654</v>
      </c>
      <c r="W8" s="177" t="s">
        <v>12670</v>
      </c>
    </row>
    <row r="9" spans="1:23" ht="84.9" customHeight="1">
      <c r="A9" s="177" t="s">
        <v>12671</v>
      </c>
      <c r="B9" s="177" t="s">
        <v>3693</v>
      </c>
      <c r="C9" s="177" t="s">
        <v>12672</v>
      </c>
      <c r="D9" s="177" t="s">
        <v>459</v>
      </c>
      <c r="E9" s="177" t="s">
        <v>12646</v>
      </c>
      <c r="F9" s="177"/>
      <c r="G9" s="177" t="s">
        <v>11502</v>
      </c>
      <c r="H9" s="177"/>
      <c r="I9" s="177" t="s">
        <v>11694</v>
      </c>
      <c r="J9" s="177"/>
      <c r="K9" s="177"/>
      <c r="L9" s="177" t="s">
        <v>12648</v>
      </c>
      <c r="M9" s="177" t="s">
        <v>12672</v>
      </c>
      <c r="N9" s="177" t="s">
        <v>12649</v>
      </c>
      <c r="O9" s="177"/>
      <c r="P9" s="177" t="s">
        <v>11502</v>
      </c>
      <c r="Q9" s="177"/>
      <c r="R9" s="177" t="s">
        <v>12650</v>
      </c>
      <c r="S9" s="177" t="s">
        <v>12651</v>
      </c>
      <c r="T9" s="177" t="s">
        <v>12652</v>
      </c>
      <c r="U9" s="177" t="s">
        <v>12166</v>
      </c>
      <c r="V9" s="177" t="s">
        <v>12654</v>
      </c>
      <c r="W9" s="177" t="s">
        <v>12670</v>
      </c>
    </row>
    <row r="10" spans="1:23" ht="183.9" customHeight="1">
      <c r="A10" s="177" t="s">
        <v>11968</v>
      </c>
      <c r="B10" s="177" t="s">
        <v>3694</v>
      </c>
      <c r="C10" s="177" t="s">
        <v>11967</v>
      </c>
      <c r="D10" s="177" t="s">
        <v>462</v>
      </c>
      <c r="E10" s="177" t="s">
        <v>12673</v>
      </c>
      <c r="F10" s="177"/>
      <c r="G10" s="177" t="s">
        <v>11504</v>
      </c>
      <c r="H10" s="177" t="s">
        <v>12674</v>
      </c>
      <c r="I10" s="177" t="s">
        <v>12675</v>
      </c>
      <c r="J10" s="177" t="s">
        <v>12676</v>
      </c>
      <c r="K10" s="177" t="s">
        <v>12677</v>
      </c>
      <c r="L10" s="177" t="s">
        <v>12678</v>
      </c>
      <c r="M10" s="177" t="s">
        <v>11967</v>
      </c>
      <c r="N10" s="177" t="s">
        <v>12679</v>
      </c>
      <c r="O10" s="177" t="s">
        <v>11630</v>
      </c>
      <c r="P10" s="177" t="s">
        <v>12680</v>
      </c>
      <c r="Q10" s="177" t="s">
        <v>11968</v>
      </c>
      <c r="R10" s="177" t="s">
        <v>12681</v>
      </c>
      <c r="S10" s="177" t="s">
        <v>12665</v>
      </c>
      <c r="T10" s="177" t="s">
        <v>12652</v>
      </c>
      <c r="U10" s="177" t="s">
        <v>12682</v>
      </c>
      <c r="V10" s="177" t="s">
        <v>12683</v>
      </c>
      <c r="W10" s="177" t="s">
        <v>12684</v>
      </c>
    </row>
    <row r="11" spans="1:23" ht="99" customHeight="1">
      <c r="A11" s="177" t="s">
        <v>11973</v>
      </c>
      <c r="B11" s="177" t="s">
        <v>3695</v>
      </c>
      <c r="C11" s="177" t="s">
        <v>11972</v>
      </c>
      <c r="D11" s="177" t="s">
        <v>465</v>
      </c>
      <c r="E11" s="177" t="s">
        <v>12646</v>
      </c>
      <c r="F11" s="177"/>
      <c r="G11" s="177" t="s">
        <v>11502</v>
      </c>
      <c r="H11" s="177"/>
      <c r="I11" s="177" t="s">
        <v>11694</v>
      </c>
      <c r="J11" s="177"/>
      <c r="K11" s="177"/>
      <c r="L11" s="177" t="s">
        <v>12678</v>
      </c>
      <c r="M11" s="177" t="s">
        <v>11972</v>
      </c>
      <c r="N11" s="177" t="s">
        <v>12679</v>
      </c>
      <c r="O11" s="177" t="s">
        <v>11676</v>
      </c>
      <c r="P11" s="177" t="s">
        <v>12685</v>
      </c>
      <c r="Q11" s="177" t="s">
        <v>11973</v>
      </c>
      <c r="R11" s="177" t="s">
        <v>12686</v>
      </c>
      <c r="S11" s="177" t="s">
        <v>12665</v>
      </c>
      <c r="T11" s="177" t="s">
        <v>12652</v>
      </c>
      <c r="U11" s="177" t="s">
        <v>12166</v>
      </c>
      <c r="V11" s="177" t="s">
        <v>12687</v>
      </c>
      <c r="W11" s="177" t="s">
        <v>12688</v>
      </c>
    </row>
    <row r="12" spans="1:23" ht="84.9" customHeight="1">
      <c r="A12" s="177" t="s">
        <v>11976</v>
      </c>
      <c r="B12" s="177" t="s">
        <v>3696</v>
      </c>
      <c r="C12" s="177" t="s">
        <v>11975</v>
      </c>
      <c r="D12" s="177" t="s">
        <v>467</v>
      </c>
      <c r="E12" s="177" t="s">
        <v>12646</v>
      </c>
      <c r="F12" s="177"/>
      <c r="G12" s="177" t="s">
        <v>11502</v>
      </c>
      <c r="H12" s="177"/>
      <c r="I12" s="177" t="s">
        <v>11694</v>
      </c>
      <c r="J12" s="177"/>
      <c r="K12" s="177"/>
      <c r="L12" s="177" t="s">
        <v>12678</v>
      </c>
      <c r="M12" s="177" t="s">
        <v>11975</v>
      </c>
      <c r="N12" s="177" t="s">
        <v>12679</v>
      </c>
      <c r="O12" s="177" t="s">
        <v>11645</v>
      </c>
      <c r="P12" s="177" t="s">
        <v>12689</v>
      </c>
      <c r="Q12" s="177" t="s">
        <v>11976</v>
      </c>
      <c r="R12" s="177" t="s">
        <v>12690</v>
      </c>
      <c r="S12" s="177" t="s">
        <v>12665</v>
      </c>
      <c r="T12" s="177" t="s">
        <v>12652</v>
      </c>
      <c r="U12" s="177" t="s">
        <v>12166</v>
      </c>
      <c r="V12" s="177" t="s">
        <v>12691</v>
      </c>
      <c r="W12" s="177" t="s">
        <v>12692</v>
      </c>
    </row>
    <row r="13" spans="1:23" ht="99" customHeight="1">
      <c r="A13" s="177" t="s">
        <v>11979</v>
      </c>
      <c r="B13" s="177" t="s">
        <v>3697</v>
      </c>
      <c r="C13" s="177" t="s">
        <v>11978</v>
      </c>
      <c r="D13" s="177" t="s">
        <v>470</v>
      </c>
      <c r="E13" s="177" t="s">
        <v>12646</v>
      </c>
      <c r="F13" s="177"/>
      <c r="G13" s="177" t="s">
        <v>11502</v>
      </c>
      <c r="H13" s="177"/>
      <c r="I13" s="177" t="s">
        <v>11694</v>
      </c>
      <c r="J13" s="177"/>
      <c r="K13" s="177"/>
      <c r="L13" s="177" t="s">
        <v>12678</v>
      </c>
      <c r="M13" s="177" t="s">
        <v>11978</v>
      </c>
      <c r="N13" s="177" t="s">
        <v>12693</v>
      </c>
      <c r="O13" s="177" t="s">
        <v>11656</v>
      </c>
      <c r="P13" s="177" t="s">
        <v>12694</v>
      </c>
      <c r="Q13" s="177" t="s">
        <v>11979</v>
      </c>
      <c r="R13" s="177" t="s">
        <v>12695</v>
      </c>
      <c r="S13" s="177" t="s">
        <v>12665</v>
      </c>
      <c r="T13" s="177" t="s">
        <v>12652</v>
      </c>
      <c r="U13" s="177" t="s">
        <v>12166</v>
      </c>
      <c r="V13" s="177" t="s">
        <v>12696</v>
      </c>
      <c r="W13" s="177" t="s">
        <v>12697</v>
      </c>
    </row>
    <row r="14" spans="1:23" ht="84.9" customHeight="1">
      <c r="A14" s="177" t="s">
        <v>11982</v>
      </c>
      <c r="B14" s="177" t="s">
        <v>3698</v>
      </c>
      <c r="C14" s="177" t="s">
        <v>11981</v>
      </c>
      <c r="D14" s="177" t="s">
        <v>473</v>
      </c>
      <c r="E14" s="177" t="s">
        <v>12673</v>
      </c>
      <c r="F14" s="177"/>
      <c r="G14" s="177" t="s">
        <v>11504</v>
      </c>
      <c r="H14" s="177" t="s">
        <v>12698</v>
      </c>
      <c r="I14" s="177" t="s">
        <v>11694</v>
      </c>
      <c r="J14" s="177"/>
      <c r="K14" s="177"/>
      <c r="L14" s="177" t="s">
        <v>12678</v>
      </c>
      <c r="M14" s="177" t="s">
        <v>11981</v>
      </c>
      <c r="N14" s="177" t="s">
        <v>12679</v>
      </c>
      <c r="O14" s="177" t="s">
        <v>11666</v>
      </c>
      <c r="P14" s="177" t="s">
        <v>12699</v>
      </c>
      <c r="Q14" s="177" t="s">
        <v>11982</v>
      </c>
      <c r="R14" s="177" t="s">
        <v>12700</v>
      </c>
      <c r="S14" s="177" t="s">
        <v>12665</v>
      </c>
      <c r="T14" s="177" t="s">
        <v>12652</v>
      </c>
      <c r="U14" s="177" t="s">
        <v>12166</v>
      </c>
      <c r="V14" s="177" t="s">
        <v>12701</v>
      </c>
      <c r="W14" s="177" t="s">
        <v>474</v>
      </c>
    </row>
    <row r="15" spans="1:23" ht="99" customHeight="1">
      <c r="A15" s="177" t="s">
        <v>11985</v>
      </c>
      <c r="B15" s="177" t="s">
        <v>3699</v>
      </c>
      <c r="C15" s="177" t="s">
        <v>11984</v>
      </c>
      <c r="D15" s="177" t="s">
        <v>476</v>
      </c>
      <c r="E15" s="177" t="s">
        <v>12646</v>
      </c>
      <c r="F15" s="177"/>
      <c r="G15" s="177" t="s">
        <v>11502</v>
      </c>
      <c r="H15" s="177"/>
      <c r="I15" s="177" t="s">
        <v>11694</v>
      </c>
      <c r="J15" s="177"/>
      <c r="K15" s="177"/>
      <c r="L15" s="177" t="s">
        <v>12678</v>
      </c>
      <c r="M15" s="177" t="s">
        <v>11984</v>
      </c>
      <c r="N15" s="177" t="s">
        <v>12679</v>
      </c>
      <c r="O15" s="177" t="s">
        <v>11660</v>
      </c>
      <c r="P15" s="177" t="s">
        <v>12702</v>
      </c>
      <c r="Q15" s="177" t="s">
        <v>11985</v>
      </c>
      <c r="R15" s="177" t="s">
        <v>12703</v>
      </c>
      <c r="S15" s="177" t="s">
        <v>12665</v>
      </c>
      <c r="T15" s="177" t="s">
        <v>12652</v>
      </c>
      <c r="U15" s="177" t="s">
        <v>12166</v>
      </c>
      <c r="V15" s="177" t="s">
        <v>12704</v>
      </c>
      <c r="W15" s="177" t="s">
        <v>12705</v>
      </c>
    </row>
    <row r="16" spans="1:23" ht="84.9" customHeight="1">
      <c r="A16" s="177" t="s">
        <v>11988</v>
      </c>
      <c r="B16" s="177" t="s">
        <v>3700</v>
      </c>
      <c r="C16" s="177" t="s">
        <v>11987</v>
      </c>
      <c r="D16" s="177" t="s">
        <v>479</v>
      </c>
      <c r="E16" s="177" t="s">
        <v>12646</v>
      </c>
      <c r="F16" s="177"/>
      <c r="G16" s="177" t="s">
        <v>11502</v>
      </c>
      <c r="H16" s="177"/>
      <c r="I16" s="177" t="s">
        <v>11694</v>
      </c>
      <c r="J16" s="177"/>
      <c r="K16" s="177" t="s">
        <v>12706</v>
      </c>
      <c r="L16" s="177" t="s">
        <v>12678</v>
      </c>
      <c r="M16" s="177" t="s">
        <v>11987</v>
      </c>
      <c r="N16" s="177" t="s">
        <v>12707</v>
      </c>
      <c r="O16" s="177" t="s">
        <v>11989</v>
      </c>
      <c r="P16" s="177" t="s">
        <v>12708</v>
      </c>
      <c r="Q16" s="177" t="s">
        <v>11988</v>
      </c>
      <c r="R16" s="177" t="s">
        <v>12709</v>
      </c>
      <c r="S16" s="177" t="s">
        <v>12665</v>
      </c>
      <c r="T16" s="177" t="s">
        <v>12652</v>
      </c>
      <c r="U16" s="177" t="s">
        <v>12710</v>
      </c>
      <c r="V16" s="177" t="s">
        <v>12711</v>
      </c>
      <c r="W16" s="177" t="s">
        <v>12712</v>
      </c>
    </row>
    <row r="17" spans="1:23" ht="113.15" customHeight="1">
      <c r="A17" s="177" t="s">
        <v>12713</v>
      </c>
      <c r="B17" s="177" t="s">
        <v>3701</v>
      </c>
      <c r="C17" s="177" t="s">
        <v>12714</v>
      </c>
      <c r="D17" s="177" t="s">
        <v>12715</v>
      </c>
      <c r="E17" s="177" t="s">
        <v>12646</v>
      </c>
      <c r="F17" s="177"/>
      <c r="G17" s="177" t="s">
        <v>11502</v>
      </c>
      <c r="H17" s="177"/>
      <c r="I17" s="177" t="s">
        <v>11694</v>
      </c>
      <c r="J17" s="177"/>
      <c r="K17" s="177" t="s">
        <v>12716</v>
      </c>
      <c r="L17" s="177" t="s">
        <v>12717</v>
      </c>
      <c r="M17" s="177"/>
      <c r="N17" s="177" t="s">
        <v>12679</v>
      </c>
      <c r="O17" s="177" t="s">
        <v>11671</v>
      </c>
      <c r="P17" s="177" t="s">
        <v>12718</v>
      </c>
      <c r="Q17" s="177"/>
      <c r="R17" s="177" t="s">
        <v>12719</v>
      </c>
      <c r="S17" s="177" t="s">
        <v>12720</v>
      </c>
      <c r="T17" s="177" t="s">
        <v>12721</v>
      </c>
      <c r="U17" s="177" t="s">
        <v>12710</v>
      </c>
      <c r="V17" s="177" t="s">
        <v>12722</v>
      </c>
      <c r="W17" s="177" t="s">
        <v>12723</v>
      </c>
    </row>
    <row r="18" spans="1:23" ht="84.9" customHeight="1">
      <c r="A18" s="177" t="s">
        <v>11665</v>
      </c>
      <c r="B18" s="177" t="s">
        <v>3702</v>
      </c>
      <c r="C18" s="177" t="s">
        <v>11993</v>
      </c>
      <c r="D18" s="177" t="s">
        <v>485</v>
      </c>
      <c r="E18" s="177" t="s">
        <v>12646</v>
      </c>
      <c r="F18" s="177"/>
      <c r="G18" s="177" t="s">
        <v>11502</v>
      </c>
      <c r="H18" s="177"/>
      <c r="I18" s="177" t="s">
        <v>11694</v>
      </c>
      <c r="J18" s="177"/>
      <c r="K18" s="177"/>
      <c r="L18" s="177" t="s">
        <v>12678</v>
      </c>
      <c r="M18" s="177" t="s">
        <v>11993</v>
      </c>
      <c r="N18" s="177" t="s">
        <v>12679</v>
      </c>
      <c r="O18" s="177" t="s">
        <v>11665</v>
      </c>
      <c r="P18" s="177" t="s">
        <v>12724</v>
      </c>
      <c r="Q18" s="177" t="s">
        <v>11665</v>
      </c>
      <c r="R18" s="177" t="s">
        <v>12725</v>
      </c>
      <c r="S18" s="177" t="s">
        <v>12665</v>
      </c>
      <c r="T18" s="177" t="s">
        <v>12652</v>
      </c>
      <c r="U18" s="177" t="s">
        <v>12166</v>
      </c>
      <c r="V18" s="177" t="s">
        <v>12726</v>
      </c>
      <c r="W18" s="177" t="s">
        <v>12727</v>
      </c>
    </row>
    <row r="19" spans="1:23" ht="84.9" customHeight="1">
      <c r="A19" s="177" t="s">
        <v>11636</v>
      </c>
      <c r="B19" s="177" t="s">
        <v>3703</v>
      </c>
      <c r="C19" s="177" t="s">
        <v>11995</v>
      </c>
      <c r="D19" s="177" t="s">
        <v>488</v>
      </c>
      <c r="E19" s="177" t="s">
        <v>12646</v>
      </c>
      <c r="F19" s="177"/>
      <c r="G19" s="177" t="s">
        <v>11502</v>
      </c>
      <c r="H19" s="177"/>
      <c r="I19" s="177" t="s">
        <v>11694</v>
      </c>
      <c r="J19" s="177"/>
      <c r="K19" s="177"/>
      <c r="L19" s="177" t="s">
        <v>12678</v>
      </c>
      <c r="M19" s="177" t="s">
        <v>11995</v>
      </c>
      <c r="N19" s="177" t="s">
        <v>12679</v>
      </c>
      <c r="O19" s="177" t="s">
        <v>11636</v>
      </c>
      <c r="P19" s="177" t="s">
        <v>12728</v>
      </c>
      <c r="Q19" s="177" t="s">
        <v>11636</v>
      </c>
      <c r="R19" s="177" t="s">
        <v>12729</v>
      </c>
      <c r="S19" s="177" t="s">
        <v>12665</v>
      </c>
      <c r="T19" s="177" t="s">
        <v>12652</v>
      </c>
      <c r="U19" s="177" t="s">
        <v>12166</v>
      </c>
      <c r="V19" s="177" t="s">
        <v>12726</v>
      </c>
      <c r="W19" s="177" t="s">
        <v>12730</v>
      </c>
    </row>
    <row r="20" spans="1:23" ht="113.15" customHeight="1">
      <c r="A20" s="177" t="s">
        <v>12731</v>
      </c>
      <c r="B20" s="177" t="s">
        <v>3704</v>
      </c>
      <c r="C20" s="177" t="s">
        <v>12732</v>
      </c>
      <c r="D20" s="177" t="s">
        <v>12733</v>
      </c>
      <c r="E20" s="177" t="s">
        <v>12646</v>
      </c>
      <c r="F20" s="177"/>
      <c r="G20" s="177" t="s">
        <v>11502</v>
      </c>
      <c r="H20" s="177"/>
      <c r="I20" s="177" t="s">
        <v>11694</v>
      </c>
      <c r="J20" s="177"/>
      <c r="K20" s="177" t="s">
        <v>12734</v>
      </c>
      <c r="L20" s="177" t="s">
        <v>12717</v>
      </c>
      <c r="M20" s="177"/>
      <c r="N20" s="177" t="s">
        <v>12735</v>
      </c>
      <c r="O20" s="177"/>
      <c r="P20" s="177" t="s">
        <v>11502</v>
      </c>
      <c r="Q20" s="177"/>
      <c r="R20" s="177" t="s">
        <v>12719</v>
      </c>
      <c r="S20" s="177" t="s">
        <v>12720</v>
      </c>
      <c r="T20" s="177" t="s">
        <v>12721</v>
      </c>
      <c r="U20" s="177" t="s">
        <v>12710</v>
      </c>
      <c r="V20" s="177" t="s">
        <v>12736</v>
      </c>
      <c r="W20" s="177" t="s">
        <v>12737</v>
      </c>
    </row>
    <row r="21" spans="1:23" ht="84.9" customHeight="1">
      <c r="A21" s="177" t="s">
        <v>11998</v>
      </c>
      <c r="B21" s="177" t="s">
        <v>3705</v>
      </c>
      <c r="C21" s="177" t="s">
        <v>11997</v>
      </c>
      <c r="D21" s="177" t="s">
        <v>494</v>
      </c>
      <c r="E21" s="177" t="s">
        <v>12646</v>
      </c>
      <c r="F21" s="177"/>
      <c r="G21" s="177" t="s">
        <v>11502</v>
      </c>
      <c r="H21" s="177"/>
      <c r="I21" s="177" t="s">
        <v>11694</v>
      </c>
      <c r="J21" s="177"/>
      <c r="K21" s="177"/>
      <c r="L21" s="177" t="s">
        <v>12678</v>
      </c>
      <c r="M21" s="177" t="s">
        <v>11997</v>
      </c>
      <c r="N21" s="177" t="s">
        <v>11657</v>
      </c>
      <c r="O21" s="177" t="s">
        <v>11999</v>
      </c>
      <c r="P21" s="177" t="s">
        <v>12738</v>
      </c>
      <c r="Q21" s="177" t="s">
        <v>11998</v>
      </c>
      <c r="R21" s="177" t="s">
        <v>12739</v>
      </c>
      <c r="S21" s="177" t="s">
        <v>12665</v>
      </c>
      <c r="T21" s="177" t="s">
        <v>12652</v>
      </c>
      <c r="U21" s="177" t="s">
        <v>12166</v>
      </c>
      <c r="V21" s="177" t="s">
        <v>12740</v>
      </c>
      <c r="W21" s="177" t="s">
        <v>495</v>
      </c>
    </row>
    <row r="22" spans="1:23" ht="99" customHeight="1">
      <c r="A22" s="177" t="s">
        <v>12002</v>
      </c>
      <c r="B22" s="177" t="s">
        <v>12741</v>
      </c>
      <c r="C22" s="177" t="s">
        <v>12001</v>
      </c>
      <c r="D22" s="177" t="s">
        <v>497</v>
      </c>
      <c r="E22" s="177" t="s">
        <v>12646</v>
      </c>
      <c r="F22" s="177"/>
      <c r="G22" s="177" t="s">
        <v>11502</v>
      </c>
      <c r="H22" s="177"/>
      <c r="I22" s="177" t="s">
        <v>11694</v>
      </c>
      <c r="J22" s="177"/>
      <c r="K22" s="177"/>
      <c r="L22" s="177" t="s">
        <v>12678</v>
      </c>
      <c r="M22" s="177" t="s">
        <v>12001</v>
      </c>
      <c r="N22" s="177" t="s">
        <v>12679</v>
      </c>
      <c r="O22" s="177" t="s">
        <v>11662</v>
      </c>
      <c r="P22" s="177" t="s">
        <v>12742</v>
      </c>
      <c r="Q22" s="177" t="s">
        <v>12002</v>
      </c>
      <c r="R22" s="177" t="s">
        <v>12743</v>
      </c>
      <c r="S22" s="177" t="s">
        <v>12665</v>
      </c>
      <c r="T22" s="177" t="s">
        <v>12652</v>
      </c>
      <c r="U22" s="177" t="s">
        <v>12166</v>
      </c>
      <c r="V22" s="177" t="s">
        <v>12744</v>
      </c>
      <c r="W22" s="177" t="s">
        <v>12745</v>
      </c>
    </row>
    <row r="23" spans="1:23" ht="113.15" customHeight="1">
      <c r="A23" s="177" t="s">
        <v>12746</v>
      </c>
      <c r="B23" s="177" t="s">
        <v>12747</v>
      </c>
      <c r="C23" s="177" t="s">
        <v>12748</v>
      </c>
      <c r="D23" s="177" t="s">
        <v>12749</v>
      </c>
      <c r="E23" s="177" t="s">
        <v>12646</v>
      </c>
      <c r="F23" s="177"/>
      <c r="G23" s="177" t="s">
        <v>11502</v>
      </c>
      <c r="H23" s="177"/>
      <c r="I23" s="177" t="s">
        <v>11694</v>
      </c>
      <c r="J23" s="177"/>
      <c r="K23" s="177" t="s">
        <v>12750</v>
      </c>
      <c r="L23" s="177" t="s">
        <v>12717</v>
      </c>
      <c r="M23" s="177"/>
      <c r="N23" s="177" t="s">
        <v>12679</v>
      </c>
      <c r="O23" s="177" t="s">
        <v>12751</v>
      </c>
      <c r="P23" s="177" t="s">
        <v>12752</v>
      </c>
      <c r="Q23" s="177"/>
      <c r="R23" s="177" t="s">
        <v>12719</v>
      </c>
      <c r="S23" s="177" t="s">
        <v>12720</v>
      </c>
      <c r="T23" s="177" t="s">
        <v>12721</v>
      </c>
      <c r="U23" s="177" t="s">
        <v>12710</v>
      </c>
      <c r="V23" s="177" t="s">
        <v>12753</v>
      </c>
      <c r="W23" s="177" t="s">
        <v>12754</v>
      </c>
    </row>
    <row r="24" spans="1:23" ht="113.15" customHeight="1">
      <c r="A24" s="177" t="s">
        <v>12755</v>
      </c>
      <c r="B24" s="177" t="s">
        <v>12756</v>
      </c>
      <c r="C24" s="177" t="s">
        <v>12757</v>
      </c>
      <c r="D24" s="177" t="s">
        <v>12758</v>
      </c>
      <c r="E24" s="177" t="s">
        <v>12646</v>
      </c>
      <c r="F24" s="177"/>
      <c r="G24" s="177" t="s">
        <v>11502</v>
      </c>
      <c r="H24" s="177"/>
      <c r="I24" s="177" t="s">
        <v>11694</v>
      </c>
      <c r="J24" s="177"/>
      <c r="K24" s="177" t="s">
        <v>12759</v>
      </c>
      <c r="L24" s="177" t="s">
        <v>12717</v>
      </c>
      <c r="M24" s="177"/>
      <c r="N24" s="177" t="s">
        <v>12735</v>
      </c>
      <c r="O24" s="177"/>
      <c r="P24" s="177" t="s">
        <v>11502</v>
      </c>
      <c r="Q24" s="177"/>
      <c r="R24" s="177" t="s">
        <v>12719</v>
      </c>
      <c r="S24" s="177" t="s">
        <v>12720</v>
      </c>
      <c r="T24" s="177" t="s">
        <v>12721</v>
      </c>
      <c r="U24" s="177" t="s">
        <v>12710</v>
      </c>
      <c r="V24" s="177" t="s">
        <v>12760</v>
      </c>
      <c r="W24" s="177" t="s">
        <v>12761</v>
      </c>
    </row>
    <row r="25" spans="1:23" ht="99" customHeight="1">
      <c r="A25" s="177" t="s">
        <v>12005</v>
      </c>
      <c r="B25" s="177" t="s">
        <v>12762</v>
      </c>
      <c r="C25" s="177" t="s">
        <v>12004</v>
      </c>
      <c r="D25" s="177" t="s">
        <v>506</v>
      </c>
      <c r="E25" s="177" t="s">
        <v>12646</v>
      </c>
      <c r="F25" s="177"/>
      <c r="G25" s="177" t="s">
        <v>11502</v>
      </c>
      <c r="H25" s="177"/>
      <c r="I25" s="177" t="s">
        <v>11694</v>
      </c>
      <c r="J25" s="177"/>
      <c r="K25" s="177"/>
      <c r="L25" s="177" t="s">
        <v>12678</v>
      </c>
      <c r="M25" s="177" t="s">
        <v>12004</v>
      </c>
      <c r="N25" s="177" t="s">
        <v>12679</v>
      </c>
      <c r="O25" s="177" t="s">
        <v>11647</v>
      </c>
      <c r="P25" s="177" t="s">
        <v>508</v>
      </c>
      <c r="Q25" s="177" t="s">
        <v>12005</v>
      </c>
      <c r="R25" s="177" t="s">
        <v>12763</v>
      </c>
      <c r="S25" s="177" t="s">
        <v>12665</v>
      </c>
      <c r="T25" s="177" t="s">
        <v>12652</v>
      </c>
      <c r="U25" s="177" t="s">
        <v>12166</v>
      </c>
      <c r="V25" s="177" t="s">
        <v>12764</v>
      </c>
      <c r="W25" s="177" t="s">
        <v>12765</v>
      </c>
    </row>
    <row r="26" spans="1:23" ht="99" customHeight="1">
      <c r="A26" s="177" t="s">
        <v>12008</v>
      </c>
      <c r="B26" s="177" t="s">
        <v>12766</v>
      </c>
      <c r="C26" s="177" t="s">
        <v>12007</v>
      </c>
      <c r="D26" s="177" t="s">
        <v>509</v>
      </c>
      <c r="E26" s="177" t="s">
        <v>12673</v>
      </c>
      <c r="F26" s="177"/>
      <c r="G26" s="177" t="s">
        <v>11504</v>
      </c>
      <c r="H26" s="177" t="s">
        <v>12767</v>
      </c>
      <c r="I26" s="177" t="s">
        <v>11694</v>
      </c>
      <c r="J26" s="177"/>
      <c r="K26" s="177"/>
      <c r="L26" s="177" t="s">
        <v>12678</v>
      </c>
      <c r="M26" s="177" t="s">
        <v>12007</v>
      </c>
      <c r="N26" s="177" t="s">
        <v>12679</v>
      </c>
      <c r="O26" s="177" t="s">
        <v>11669</v>
      </c>
      <c r="P26" s="177" t="s">
        <v>12768</v>
      </c>
      <c r="Q26" s="177" t="s">
        <v>12008</v>
      </c>
      <c r="R26" s="177" t="s">
        <v>12769</v>
      </c>
      <c r="S26" s="177" t="s">
        <v>12665</v>
      </c>
      <c r="T26" s="177" t="s">
        <v>12652</v>
      </c>
      <c r="U26" s="177" t="s">
        <v>12166</v>
      </c>
      <c r="V26" s="177" t="s">
        <v>12770</v>
      </c>
      <c r="W26" s="177" t="s">
        <v>510</v>
      </c>
    </row>
    <row r="27" spans="1:23" ht="84.9" customHeight="1">
      <c r="A27" s="177" t="s">
        <v>12011</v>
      </c>
      <c r="B27" s="177" t="s">
        <v>12771</v>
      </c>
      <c r="C27" s="177" t="s">
        <v>12010</v>
      </c>
      <c r="D27" s="177" t="s">
        <v>512</v>
      </c>
      <c r="E27" s="177" t="s">
        <v>12646</v>
      </c>
      <c r="F27" s="177"/>
      <c r="G27" s="177" t="s">
        <v>11502</v>
      </c>
      <c r="H27" s="177"/>
      <c r="I27" s="177" t="s">
        <v>11694</v>
      </c>
      <c r="J27" s="177"/>
      <c r="K27" s="177"/>
      <c r="L27" s="177" t="s">
        <v>12678</v>
      </c>
      <c r="M27" s="177" t="s">
        <v>12010</v>
      </c>
      <c r="N27" s="177" t="s">
        <v>12679</v>
      </c>
      <c r="O27" s="177" t="s">
        <v>11668</v>
      </c>
      <c r="P27" s="177" t="s">
        <v>12772</v>
      </c>
      <c r="Q27" s="177" t="s">
        <v>12011</v>
      </c>
      <c r="R27" s="177" t="s">
        <v>12773</v>
      </c>
      <c r="S27" s="177" t="s">
        <v>12665</v>
      </c>
      <c r="T27" s="177" t="s">
        <v>12652</v>
      </c>
      <c r="U27" s="177" t="s">
        <v>12166</v>
      </c>
      <c r="V27" s="177" t="s">
        <v>12774</v>
      </c>
      <c r="W27" s="177" t="s">
        <v>12775</v>
      </c>
    </row>
    <row r="28" spans="1:23" ht="84.9" customHeight="1">
      <c r="A28" s="177" t="s">
        <v>12014</v>
      </c>
      <c r="B28" s="177" t="s">
        <v>12776</v>
      </c>
      <c r="C28" s="177" t="s">
        <v>12013</v>
      </c>
      <c r="D28" s="177" t="s">
        <v>515</v>
      </c>
      <c r="E28" s="177" t="s">
        <v>12646</v>
      </c>
      <c r="F28" s="177"/>
      <c r="G28" s="177" t="s">
        <v>11502</v>
      </c>
      <c r="H28" s="177"/>
      <c r="I28" s="177" t="s">
        <v>11694</v>
      </c>
      <c r="J28" s="177"/>
      <c r="K28" s="177"/>
      <c r="L28" s="177" t="s">
        <v>12678</v>
      </c>
      <c r="M28" s="177" t="s">
        <v>12013</v>
      </c>
      <c r="N28" s="177" t="s">
        <v>12679</v>
      </c>
      <c r="O28" s="177" t="s">
        <v>11644</v>
      </c>
      <c r="P28" s="177" t="s">
        <v>12777</v>
      </c>
      <c r="Q28" s="177" t="s">
        <v>12014</v>
      </c>
      <c r="R28" s="177" t="s">
        <v>12778</v>
      </c>
      <c r="S28" s="177" t="s">
        <v>12665</v>
      </c>
      <c r="T28" s="177" t="s">
        <v>12652</v>
      </c>
      <c r="U28" s="177" t="s">
        <v>12166</v>
      </c>
      <c r="V28" s="177" t="s">
        <v>12779</v>
      </c>
      <c r="W28" s="177" t="s">
        <v>12780</v>
      </c>
    </row>
    <row r="29" spans="1:23" ht="84.9" customHeight="1">
      <c r="A29" s="177" t="s">
        <v>11639</v>
      </c>
      <c r="B29" s="177" t="s">
        <v>12781</v>
      </c>
      <c r="C29" s="177" t="s">
        <v>12016</v>
      </c>
      <c r="D29" s="177" t="s">
        <v>518</v>
      </c>
      <c r="E29" s="177" t="s">
        <v>12646</v>
      </c>
      <c r="F29" s="177"/>
      <c r="G29" s="177" t="s">
        <v>11502</v>
      </c>
      <c r="H29" s="177"/>
      <c r="I29" s="177" t="s">
        <v>11694</v>
      </c>
      <c r="J29" s="177"/>
      <c r="K29" s="177"/>
      <c r="L29" s="177" t="s">
        <v>12678</v>
      </c>
      <c r="M29" s="177" t="s">
        <v>12016</v>
      </c>
      <c r="N29" s="177" t="s">
        <v>12679</v>
      </c>
      <c r="O29" s="177" t="s">
        <v>12017</v>
      </c>
      <c r="P29" s="177" t="s">
        <v>12782</v>
      </c>
      <c r="Q29" s="177" t="s">
        <v>11639</v>
      </c>
      <c r="R29" s="177" t="s">
        <v>12783</v>
      </c>
      <c r="S29" s="177" t="s">
        <v>12665</v>
      </c>
      <c r="T29" s="177" t="s">
        <v>12652</v>
      </c>
      <c r="U29" s="177" t="s">
        <v>12166</v>
      </c>
      <c r="V29" s="177" t="s">
        <v>12726</v>
      </c>
      <c r="W29" s="177" t="s">
        <v>12784</v>
      </c>
    </row>
    <row r="30" spans="1:23" ht="113.15" customHeight="1">
      <c r="A30" s="177" t="s">
        <v>12785</v>
      </c>
      <c r="B30" s="177" t="s">
        <v>12786</v>
      </c>
      <c r="C30" s="177" t="s">
        <v>12787</v>
      </c>
      <c r="D30" s="177" t="s">
        <v>521</v>
      </c>
      <c r="E30" s="177" t="s">
        <v>12658</v>
      </c>
      <c r="F30" s="177">
        <f>'Resilience &amp; Risk Scenario'!$B$6</f>
        <v>0</v>
      </c>
      <c r="G30" s="177" t="s">
        <v>11502</v>
      </c>
      <c r="H30" s="177"/>
      <c r="I30" s="177" t="s">
        <v>11694</v>
      </c>
      <c r="J30" s="177"/>
      <c r="K30" s="177"/>
      <c r="L30" s="177" t="s">
        <v>12661</v>
      </c>
      <c r="M30" s="177" t="s">
        <v>12787</v>
      </c>
      <c r="N30" s="177" t="s">
        <v>12470</v>
      </c>
      <c r="O30" s="177"/>
      <c r="P30" s="177" t="s">
        <v>159</v>
      </c>
      <c r="Q30" s="177" t="s">
        <v>12785</v>
      </c>
      <c r="R30" s="177" t="s">
        <v>12664</v>
      </c>
      <c r="S30" s="177" t="s">
        <v>12665</v>
      </c>
      <c r="T30" s="177" t="s">
        <v>12652</v>
      </c>
      <c r="U30" s="177" t="s">
        <v>12166</v>
      </c>
      <c r="V30" s="177" t="s">
        <v>12788</v>
      </c>
      <c r="W30" s="177" t="s">
        <v>12789</v>
      </c>
    </row>
    <row r="31" spans="1:23" ht="113.15" customHeight="1">
      <c r="A31" s="177" t="s">
        <v>12790</v>
      </c>
      <c r="B31" s="177" t="s">
        <v>12791</v>
      </c>
      <c r="C31" s="177" t="s">
        <v>12792</v>
      </c>
      <c r="D31" s="177" t="s">
        <v>524</v>
      </c>
      <c r="E31" s="177" t="s">
        <v>12658</v>
      </c>
      <c r="F31" s="177">
        <f>'Resilience &amp; Risk Scenario'!$B$7</f>
        <v>0</v>
      </c>
      <c r="G31" s="177" t="s">
        <v>11502</v>
      </c>
      <c r="H31" s="177"/>
      <c r="I31" s="177" t="s">
        <v>11694</v>
      </c>
      <c r="J31" s="177"/>
      <c r="K31" s="177"/>
      <c r="L31" s="177" t="s">
        <v>12661</v>
      </c>
      <c r="M31" s="177" t="s">
        <v>12792</v>
      </c>
      <c r="N31" s="177" t="s">
        <v>12470</v>
      </c>
      <c r="O31" s="177"/>
      <c r="P31" s="177" t="s">
        <v>159</v>
      </c>
      <c r="Q31" s="177" t="s">
        <v>12790</v>
      </c>
      <c r="R31" s="177" t="s">
        <v>12664</v>
      </c>
      <c r="S31" s="177" t="s">
        <v>12665</v>
      </c>
      <c r="T31" s="177" t="s">
        <v>12652</v>
      </c>
      <c r="U31" s="177" t="s">
        <v>12166</v>
      </c>
      <c r="V31" s="177" t="s">
        <v>12788</v>
      </c>
      <c r="W31" s="177" t="s">
        <v>12789</v>
      </c>
    </row>
    <row r="32" spans="1:23" ht="84.9" customHeight="1">
      <c r="A32" s="177" t="s">
        <v>12020</v>
      </c>
      <c r="B32" s="177" t="s">
        <v>12793</v>
      </c>
      <c r="C32" s="177" t="s">
        <v>12019</v>
      </c>
      <c r="D32" s="177" t="s">
        <v>526</v>
      </c>
      <c r="E32" s="177" t="s">
        <v>12673</v>
      </c>
      <c r="F32" s="177"/>
      <c r="G32" s="177" t="s">
        <v>11504</v>
      </c>
      <c r="H32" s="177" t="s">
        <v>11694</v>
      </c>
      <c r="I32" s="177" t="s">
        <v>11694</v>
      </c>
      <c r="J32" s="177"/>
      <c r="K32" s="177"/>
      <c r="L32" s="177" t="s">
        <v>12678</v>
      </c>
      <c r="M32" s="177" t="s">
        <v>12019</v>
      </c>
      <c r="N32" s="177" t="s">
        <v>12679</v>
      </c>
      <c r="O32" s="177" t="s">
        <v>11663</v>
      </c>
      <c r="P32" s="177" t="s">
        <v>12794</v>
      </c>
      <c r="Q32" s="177" t="s">
        <v>12020</v>
      </c>
      <c r="R32" s="177" t="s">
        <v>12795</v>
      </c>
      <c r="S32" s="177" t="s">
        <v>12665</v>
      </c>
      <c r="T32" s="177" t="s">
        <v>12652</v>
      </c>
      <c r="U32" s="177" t="s">
        <v>12166</v>
      </c>
      <c r="V32" s="177" t="s">
        <v>12796</v>
      </c>
      <c r="W32" s="177" t="s">
        <v>527</v>
      </c>
    </row>
    <row r="33" spans="1:23" ht="84.9" customHeight="1">
      <c r="A33" s="177" t="s">
        <v>12023</v>
      </c>
      <c r="B33" s="177" t="s">
        <v>12797</v>
      </c>
      <c r="C33" s="177" t="s">
        <v>12022</v>
      </c>
      <c r="D33" s="177" t="s">
        <v>529</v>
      </c>
      <c r="E33" s="177" t="s">
        <v>12673</v>
      </c>
      <c r="F33" s="177"/>
      <c r="G33" s="177" t="s">
        <v>11504</v>
      </c>
      <c r="H33" s="177" t="s">
        <v>11694</v>
      </c>
      <c r="I33" s="177" t="s">
        <v>11694</v>
      </c>
      <c r="J33" s="177"/>
      <c r="K33" s="177"/>
      <c r="L33" s="177" t="s">
        <v>12678</v>
      </c>
      <c r="M33" s="177" t="s">
        <v>12022</v>
      </c>
      <c r="N33" s="177" t="s">
        <v>12679</v>
      </c>
      <c r="O33" s="177" t="s">
        <v>11663</v>
      </c>
      <c r="P33" s="177" t="s">
        <v>12794</v>
      </c>
      <c r="Q33" s="177" t="s">
        <v>12023</v>
      </c>
      <c r="R33" s="177" t="s">
        <v>12795</v>
      </c>
      <c r="S33" s="177" t="s">
        <v>12665</v>
      </c>
      <c r="T33" s="177" t="s">
        <v>12652</v>
      </c>
      <c r="U33" s="177" t="s">
        <v>12166</v>
      </c>
      <c r="V33" s="177" t="s">
        <v>12796</v>
      </c>
      <c r="W33" s="177" t="s">
        <v>530</v>
      </c>
    </row>
    <row r="34" spans="1:23" ht="84.9" customHeight="1">
      <c r="A34" s="177" t="s">
        <v>12025</v>
      </c>
      <c r="B34" s="177" t="s">
        <v>12798</v>
      </c>
      <c r="C34" s="177" t="s">
        <v>12024</v>
      </c>
      <c r="D34" s="177" t="s">
        <v>531</v>
      </c>
      <c r="E34" s="177" t="s">
        <v>12673</v>
      </c>
      <c r="F34" s="177"/>
      <c r="G34" s="177" t="s">
        <v>11504</v>
      </c>
      <c r="H34" s="177" t="s">
        <v>11694</v>
      </c>
      <c r="I34" s="177" t="s">
        <v>11694</v>
      </c>
      <c r="J34" s="177"/>
      <c r="K34" s="177"/>
      <c r="L34" s="177" t="s">
        <v>12678</v>
      </c>
      <c r="M34" s="177" t="s">
        <v>12024</v>
      </c>
      <c r="N34" s="177" t="s">
        <v>12679</v>
      </c>
      <c r="O34" s="177" t="s">
        <v>11663</v>
      </c>
      <c r="P34" s="177" t="s">
        <v>12794</v>
      </c>
      <c r="Q34" s="177" t="s">
        <v>12025</v>
      </c>
      <c r="R34" s="177" t="s">
        <v>12795</v>
      </c>
      <c r="S34" s="177" t="s">
        <v>12665</v>
      </c>
      <c r="T34" s="177" t="s">
        <v>12652</v>
      </c>
      <c r="U34" s="177" t="s">
        <v>12166</v>
      </c>
      <c r="V34" s="177" t="s">
        <v>12796</v>
      </c>
      <c r="W34" s="177" t="s">
        <v>532</v>
      </c>
    </row>
    <row r="35" spans="1:23" ht="99" customHeight="1">
      <c r="A35" s="177" t="s">
        <v>12027</v>
      </c>
      <c r="B35" s="177" t="s">
        <v>12799</v>
      </c>
      <c r="C35" s="177" t="s">
        <v>12026</v>
      </c>
      <c r="D35" s="177" t="s">
        <v>533</v>
      </c>
      <c r="E35" s="177" t="s">
        <v>12673</v>
      </c>
      <c r="F35" s="177"/>
      <c r="G35" s="177" t="s">
        <v>11504</v>
      </c>
      <c r="H35" s="177" t="s">
        <v>12800</v>
      </c>
      <c r="I35" s="177" t="s">
        <v>11694</v>
      </c>
      <c r="J35" s="177"/>
      <c r="K35" s="177"/>
      <c r="L35" s="177" t="s">
        <v>12678</v>
      </c>
      <c r="M35" s="177" t="s">
        <v>12026</v>
      </c>
      <c r="N35" s="177" t="s">
        <v>12679</v>
      </c>
      <c r="O35" s="177" t="s">
        <v>11634</v>
      </c>
      <c r="P35" s="177" t="s">
        <v>12801</v>
      </c>
      <c r="Q35" s="177" t="s">
        <v>12027</v>
      </c>
      <c r="R35" s="177" t="s">
        <v>12802</v>
      </c>
      <c r="S35" s="177" t="s">
        <v>12665</v>
      </c>
      <c r="T35" s="177" t="s">
        <v>12652</v>
      </c>
      <c r="U35" s="177" t="s">
        <v>12166</v>
      </c>
      <c r="V35" s="177" t="s">
        <v>12770</v>
      </c>
      <c r="W35" s="177" t="s">
        <v>534</v>
      </c>
    </row>
    <row r="36" spans="1:23" ht="226.3" customHeight="1">
      <c r="A36" s="177" t="s">
        <v>11674</v>
      </c>
      <c r="B36" s="177" t="s">
        <v>12803</v>
      </c>
      <c r="C36" s="177" t="s">
        <v>12029</v>
      </c>
      <c r="D36" s="177" t="s">
        <v>536</v>
      </c>
      <c r="E36" s="177" t="s">
        <v>12673</v>
      </c>
      <c r="F36" s="177"/>
      <c r="G36" s="177" t="s">
        <v>11504</v>
      </c>
      <c r="H36" s="177" t="s">
        <v>12804</v>
      </c>
      <c r="I36" s="177" t="s">
        <v>12805</v>
      </c>
      <c r="J36" s="177" t="s">
        <v>12806</v>
      </c>
      <c r="K36" s="177"/>
      <c r="L36" s="177" t="s">
        <v>12678</v>
      </c>
      <c r="M36" s="177" t="s">
        <v>12029</v>
      </c>
      <c r="N36" s="177" t="s">
        <v>12679</v>
      </c>
      <c r="O36" s="177" t="s">
        <v>11674</v>
      </c>
      <c r="P36" s="177" t="s">
        <v>12807</v>
      </c>
      <c r="Q36" s="177" t="s">
        <v>11674</v>
      </c>
      <c r="R36" s="177" t="s">
        <v>12808</v>
      </c>
      <c r="S36" s="177" t="s">
        <v>12665</v>
      </c>
      <c r="T36" s="177" t="s">
        <v>12652</v>
      </c>
      <c r="U36" s="177" t="s">
        <v>12166</v>
      </c>
      <c r="V36" s="177" t="s">
        <v>12770</v>
      </c>
      <c r="W36" s="177" t="s">
        <v>537</v>
      </c>
    </row>
    <row r="37" spans="1:23" ht="84.9" customHeight="1">
      <c r="A37" s="177" t="s">
        <v>12809</v>
      </c>
      <c r="B37" s="177" t="s">
        <v>12810</v>
      </c>
      <c r="C37" s="177" t="s">
        <v>12811</v>
      </c>
      <c r="D37" s="177" t="s">
        <v>539</v>
      </c>
      <c r="E37" s="177" t="s">
        <v>12646</v>
      </c>
      <c r="F37" s="177"/>
      <c r="G37" s="177" t="s">
        <v>11502</v>
      </c>
      <c r="H37" s="177"/>
      <c r="I37" s="177" t="s">
        <v>11694</v>
      </c>
      <c r="J37" s="177"/>
      <c r="K37" s="177"/>
      <c r="L37" s="177" t="s">
        <v>12648</v>
      </c>
      <c r="M37" s="177" t="s">
        <v>12811</v>
      </c>
      <c r="N37" s="177" t="s">
        <v>12649</v>
      </c>
      <c r="O37" s="177"/>
      <c r="P37" s="177" t="s">
        <v>11502</v>
      </c>
      <c r="Q37" s="177"/>
      <c r="R37" s="177" t="s">
        <v>12650</v>
      </c>
      <c r="S37" s="177" t="s">
        <v>12651</v>
      </c>
      <c r="T37" s="177" t="s">
        <v>12652</v>
      </c>
      <c r="U37" s="177" t="s">
        <v>12166</v>
      </c>
      <c r="V37" s="177" t="s">
        <v>12654</v>
      </c>
      <c r="W37" s="177" t="s">
        <v>12812</v>
      </c>
    </row>
    <row r="38" spans="1:23" ht="70.75" customHeight="1">
      <c r="A38" s="177" t="s">
        <v>12813</v>
      </c>
      <c r="B38" s="177" t="s">
        <v>12814</v>
      </c>
      <c r="C38" s="177" t="s">
        <v>12815</v>
      </c>
      <c r="D38" s="177" t="s">
        <v>542</v>
      </c>
      <c r="E38" s="177" t="s">
        <v>12631</v>
      </c>
      <c r="F38" s="177"/>
      <c r="G38" s="177" t="s">
        <v>11502</v>
      </c>
      <c r="H38" s="177"/>
      <c r="I38" s="177" t="s">
        <v>11694</v>
      </c>
      <c r="J38" s="177"/>
      <c r="K38" s="177"/>
      <c r="L38" s="177" t="s">
        <v>12632</v>
      </c>
      <c r="M38" s="177" t="s">
        <v>12815</v>
      </c>
      <c r="N38" s="177" t="s">
        <v>12633</v>
      </c>
      <c r="O38" s="177"/>
      <c r="P38" s="177" t="s">
        <v>11502</v>
      </c>
      <c r="Q38" s="177"/>
      <c r="R38" s="177" t="s">
        <v>12634</v>
      </c>
      <c r="S38" s="177" t="s">
        <v>12635</v>
      </c>
      <c r="T38" s="177" t="s">
        <v>12302</v>
      </c>
      <c r="U38" s="177" t="s">
        <v>12166</v>
      </c>
      <c r="V38" s="177"/>
      <c r="W38" s="177"/>
    </row>
    <row r="39" spans="1:23" ht="127.3" customHeight="1">
      <c r="A39" s="177" t="s">
        <v>12816</v>
      </c>
      <c r="B39" s="177" t="s">
        <v>12817</v>
      </c>
      <c r="C39" s="177" t="s">
        <v>12818</v>
      </c>
      <c r="D39" s="177" t="s">
        <v>543</v>
      </c>
      <c r="E39" s="177" t="s">
        <v>12658</v>
      </c>
      <c r="F39" s="177" t="str">
        <f>B9</f>
        <v>8</v>
      </c>
      <c r="G39" s="177" t="s">
        <v>11502</v>
      </c>
      <c r="H39" s="177"/>
      <c r="I39" s="177" t="s">
        <v>11694</v>
      </c>
      <c r="J39" s="177"/>
      <c r="K39" s="177" t="s">
        <v>12677</v>
      </c>
      <c r="L39" s="177" t="s">
        <v>12819</v>
      </c>
      <c r="M39" s="177" t="s">
        <v>12818</v>
      </c>
      <c r="N39" s="177" t="s">
        <v>12470</v>
      </c>
      <c r="O39" s="177"/>
      <c r="P39" s="177" t="s">
        <v>12820</v>
      </c>
      <c r="Q39" s="177" t="s">
        <v>12816</v>
      </c>
      <c r="R39" s="177" t="s">
        <v>12821</v>
      </c>
      <c r="S39" s="177" t="s">
        <v>12720</v>
      </c>
      <c r="T39" s="177" t="s">
        <v>12721</v>
      </c>
      <c r="U39" s="177" t="s">
        <v>12710</v>
      </c>
      <c r="V39" s="177" t="s">
        <v>12822</v>
      </c>
      <c r="W39" s="177" t="s">
        <v>12823</v>
      </c>
    </row>
    <row r="40" spans="1:23" ht="84.9" customHeight="1">
      <c r="A40" s="177" t="s">
        <v>12032</v>
      </c>
      <c r="B40" s="177" t="s">
        <v>12824</v>
      </c>
      <c r="C40" s="177" t="s">
        <v>12031</v>
      </c>
      <c r="D40" s="177" t="s">
        <v>545</v>
      </c>
      <c r="E40" s="177" t="s">
        <v>12646</v>
      </c>
      <c r="F40" s="177" t="s">
        <v>546</v>
      </c>
      <c r="G40" s="177" t="s">
        <v>11502</v>
      </c>
      <c r="H40" s="177"/>
      <c r="I40" s="177" t="s">
        <v>12292</v>
      </c>
      <c r="J40" s="177" t="s">
        <v>12825</v>
      </c>
      <c r="K40" s="177"/>
      <c r="L40" s="177" t="s">
        <v>12678</v>
      </c>
      <c r="M40" s="177" t="s">
        <v>12031</v>
      </c>
      <c r="N40" s="177" t="s">
        <v>12679</v>
      </c>
      <c r="O40" s="177" t="s">
        <v>11642</v>
      </c>
      <c r="P40" s="177" t="s">
        <v>12826</v>
      </c>
      <c r="Q40" s="177" t="s">
        <v>12032</v>
      </c>
      <c r="R40" s="177" t="s">
        <v>12827</v>
      </c>
      <c r="S40" s="177" t="s">
        <v>12665</v>
      </c>
      <c r="T40" s="177" t="s">
        <v>12652</v>
      </c>
      <c r="U40" s="177" t="s">
        <v>12653</v>
      </c>
      <c r="V40" s="177" t="s">
        <v>12828</v>
      </c>
      <c r="W40" s="177" t="s">
        <v>547</v>
      </c>
    </row>
    <row r="41" spans="1:23" ht="84.9" customHeight="1">
      <c r="A41" s="177" t="s">
        <v>12035</v>
      </c>
      <c r="B41" s="177" t="s">
        <v>12829</v>
      </c>
      <c r="C41" s="177" t="s">
        <v>12034</v>
      </c>
      <c r="D41" s="177" t="s">
        <v>548</v>
      </c>
      <c r="E41" s="177" t="s">
        <v>12646</v>
      </c>
      <c r="F41" s="177" t="s">
        <v>546</v>
      </c>
      <c r="G41" s="177" t="s">
        <v>11502</v>
      </c>
      <c r="H41" s="177"/>
      <c r="I41" s="177" t="s">
        <v>12292</v>
      </c>
      <c r="J41" s="177" t="s">
        <v>12825</v>
      </c>
      <c r="K41" s="177"/>
      <c r="L41" s="177" t="s">
        <v>12678</v>
      </c>
      <c r="M41" s="177" t="s">
        <v>12034</v>
      </c>
      <c r="N41" s="177" t="s">
        <v>12679</v>
      </c>
      <c r="O41" s="177" t="s">
        <v>11642</v>
      </c>
      <c r="P41" s="177" t="s">
        <v>12826</v>
      </c>
      <c r="Q41" s="177" t="s">
        <v>12035</v>
      </c>
      <c r="R41" s="177" t="s">
        <v>12827</v>
      </c>
      <c r="S41" s="177" t="s">
        <v>12665</v>
      </c>
      <c r="T41" s="177" t="s">
        <v>12652</v>
      </c>
      <c r="U41" s="177" t="s">
        <v>12653</v>
      </c>
      <c r="V41" s="177" t="s">
        <v>12828</v>
      </c>
      <c r="W41" s="177" t="s">
        <v>549</v>
      </c>
    </row>
    <row r="42" spans="1:23" ht="113.15" customHeight="1">
      <c r="A42" s="177" t="s">
        <v>12830</v>
      </c>
      <c r="B42" s="177" t="s">
        <v>12831</v>
      </c>
      <c r="C42" s="177" t="s">
        <v>12832</v>
      </c>
      <c r="D42" s="177" t="s">
        <v>550</v>
      </c>
      <c r="E42" s="177" t="s">
        <v>12658</v>
      </c>
      <c r="F42" s="177">
        <f>COUNTIF(_REF_Model_Content!$A$1:$A$174,$B$9)</f>
        <v>0</v>
      </c>
      <c r="G42" s="177" t="s">
        <v>11502</v>
      </c>
      <c r="H42" s="177"/>
      <c r="I42" s="177" t="s">
        <v>11694</v>
      </c>
      <c r="J42" s="177"/>
      <c r="K42" s="177"/>
      <c r="L42" s="177" t="s">
        <v>12661</v>
      </c>
      <c r="M42" s="177" t="s">
        <v>12832</v>
      </c>
      <c r="N42" s="177" t="s">
        <v>12470</v>
      </c>
      <c r="O42" s="177"/>
      <c r="P42" s="177" t="s">
        <v>12820</v>
      </c>
      <c r="Q42" s="177" t="s">
        <v>12830</v>
      </c>
      <c r="R42" s="177" t="s">
        <v>12664</v>
      </c>
      <c r="S42" s="177" t="s">
        <v>12665</v>
      </c>
      <c r="T42" s="177" t="s">
        <v>12652</v>
      </c>
      <c r="U42" s="177" t="s">
        <v>12166</v>
      </c>
      <c r="V42" s="177" t="s">
        <v>12833</v>
      </c>
      <c r="W42" s="177" t="s">
        <v>12834</v>
      </c>
    </row>
    <row r="43" spans="1:23" ht="113.15" customHeight="1">
      <c r="A43" s="177" t="s">
        <v>12835</v>
      </c>
      <c r="B43" s="177" t="s">
        <v>12836</v>
      </c>
      <c r="C43" s="177" t="s">
        <v>12837</v>
      </c>
      <c r="D43" s="177" t="s">
        <v>552</v>
      </c>
      <c r="E43" s="177" t="s">
        <v>12658</v>
      </c>
      <c r="F43" s="177" t="str">
        <f>IFERROR(ROUND(AVERAGEIFS(_REF_Model_Content!$D$1:$D$174,_REF_Model_Content!$A$1:$A$174,$B$9),2),"")</f>
        <v/>
      </c>
      <c r="G43" s="177" t="s">
        <v>11502</v>
      </c>
      <c r="H43" s="177"/>
      <c r="I43" s="177" t="s">
        <v>11694</v>
      </c>
      <c r="J43" s="177"/>
      <c r="K43" s="177"/>
      <c r="L43" s="177" t="s">
        <v>12661</v>
      </c>
      <c r="M43" s="177" t="s">
        <v>12837</v>
      </c>
      <c r="N43" s="177" t="s">
        <v>12470</v>
      </c>
      <c r="O43" s="177"/>
      <c r="P43" s="177" t="s">
        <v>12820</v>
      </c>
      <c r="Q43" s="177" t="s">
        <v>12835</v>
      </c>
      <c r="R43" s="177" t="s">
        <v>12664</v>
      </c>
      <c r="S43" s="177" t="s">
        <v>12665</v>
      </c>
      <c r="T43" s="177" t="s">
        <v>12652</v>
      </c>
      <c r="U43" s="177" t="s">
        <v>12166</v>
      </c>
      <c r="V43" s="177" t="s">
        <v>12833</v>
      </c>
      <c r="W43" s="177" t="s">
        <v>12838</v>
      </c>
    </row>
    <row r="44" spans="1:23" ht="113.15" customHeight="1">
      <c r="A44" s="177" t="s">
        <v>12839</v>
      </c>
      <c r="B44" s="177" t="s">
        <v>12840</v>
      </c>
      <c r="C44" s="177" t="s">
        <v>12841</v>
      </c>
      <c r="D44" s="177" t="s">
        <v>554</v>
      </c>
      <c r="E44" s="177" t="s">
        <v>12658</v>
      </c>
      <c r="F44" s="177" t="str">
        <f>IFERROR(ROUND(AVERAGEIFS(_REF_Model_Content!$E$1:$E$174,_REF_Model_Content!$A$1:$A$174,$B$9),2),"")</f>
        <v/>
      </c>
      <c r="G44" s="177" t="s">
        <v>11502</v>
      </c>
      <c r="H44" s="177"/>
      <c r="I44" s="177" t="s">
        <v>11694</v>
      </c>
      <c r="J44" s="177"/>
      <c r="K44" s="177"/>
      <c r="L44" s="177" t="s">
        <v>12661</v>
      </c>
      <c r="M44" s="177" t="s">
        <v>12841</v>
      </c>
      <c r="N44" s="177" t="s">
        <v>12470</v>
      </c>
      <c r="O44" s="177"/>
      <c r="P44" s="177" t="s">
        <v>12820</v>
      </c>
      <c r="Q44" s="177" t="s">
        <v>12839</v>
      </c>
      <c r="R44" s="177" t="s">
        <v>12664</v>
      </c>
      <c r="S44" s="177" t="s">
        <v>12665</v>
      </c>
      <c r="T44" s="177" t="s">
        <v>12652</v>
      </c>
      <c r="U44" s="177" t="s">
        <v>12166</v>
      </c>
      <c r="V44" s="177" t="s">
        <v>12833</v>
      </c>
      <c r="W44" s="177" t="s">
        <v>12842</v>
      </c>
    </row>
    <row r="45" spans="1:23" ht="113.15" customHeight="1">
      <c r="A45" s="177" t="s">
        <v>12843</v>
      </c>
      <c r="B45" s="177" t="s">
        <v>12844</v>
      </c>
      <c r="C45" s="177" t="s">
        <v>12845</v>
      </c>
      <c r="D45" s="177" t="s">
        <v>555</v>
      </c>
      <c r="E45" s="177" t="s">
        <v>12658</v>
      </c>
      <c r="F45" s="177" t="str">
        <f>IFERROR(INDEX(_REF_Model_Content!$H$1:$H$157,MATCH($B$9,_REF_Model_Content!$A$1:$A$174,0)),"")</f>
        <v/>
      </c>
      <c r="G45" s="177" t="s">
        <v>11502</v>
      </c>
      <c r="H45" s="177"/>
      <c r="I45" s="177" t="s">
        <v>11694</v>
      </c>
      <c r="J45" s="177"/>
      <c r="K45" s="177"/>
      <c r="L45" s="177" t="s">
        <v>12661</v>
      </c>
      <c r="M45" s="177" t="s">
        <v>12845</v>
      </c>
      <c r="N45" s="177" t="s">
        <v>12470</v>
      </c>
      <c r="O45" s="177"/>
      <c r="P45" s="177" t="s">
        <v>12846</v>
      </c>
      <c r="Q45" s="177" t="s">
        <v>12843</v>
      </c>
      <c r="R45" s="177" t="s">
        <v>12664</v>
      </c>
      <c r="S45" s="177" t="s">
        <v>12665</v>
      </c>
      <c r="T45" s="177" t="s">
        <v>12652</v>
      </c>
      <c r="U45" s="177" t="s">
        <v>12166</v>
      </c>
      <c r="V45" s="177" t="s">
        <v>12847</v>
      </c>
      <c r="W45" s="177" t="s">
        <v>12848</v>
      </c>
    </row>
    <row r="46" spans="1:23" ht="113.15" customHeight="1">
      <c r="A46" s="177" t="s">
        <v>12849</v>
      </c>
      <c r="B46" s="177" t="s">
        <v>12850</v>
      </c>
      <c r="C46" s="177" t="s">
        <v>12851</v>
      </c>
      <c r="D46" s="177" t="s">
        <v>556</v>
      </c>
      <c r="E46" s="177" t="s">
        <v>12658</v>
      </c>
      <c r="F46" s="177" t="str">
        <f>IFERROR(INDEX(_REF_Model_Content!$I$1:$I$157,MATCH($B$9,_REF_Model_Content!$A$1:$A$174,0)),"")</f>
        <v/>
      </c>
      <c r="G46" s="177" t="s">
        <v>11502</v>
      </c>
      <c r="H46" s="177"/>
      <c r="I46" s="177" t="s">
        <v>11694</v>
      </c>
      <c r="J46" s="177"/>
      <c r="K46" s="177"/>
      <c r="L46" s="177" t="s">
        <v>12661</v>
      </c>
      <c r="M46" s="177" t="s">
        <v>12851</v>
      </c>
      <c r="N46" s="177" t="s">
        <v>12470</v>
      </c>
      <c r="O46" s="177"/>
      <c r="P46" s="177" t="s">
        <v>12846</v>
      </c>
      <c r="Q46" s="177" t="s">
        <v>12849</v>
      </c>
      <c r="R46" s="177" t="s">
        <v>12664</v>
      </c>
      <c r="S46" s="177" t="s">
        <v>12665</v>
      </c>
      <c r="T46" s="177" t="s">
        <v>12652</v>
      </c>
      <c r="U46" s="177" t="s">
        <v>12166</v>
      </c>
      <c r="V46" s="177" t="s">
        <v>12847</v>
      </c>
      <c r="W46" s="177" t="s">
        <v>12852</v>
      </c>
    </row>
    <row r="47" spans="1:23" ht="113.15" customHeight="1">
      <c r="A47" s="177" t="s">
        <v>12853</v>
      </c>
      <c r="B47" s="177" t="s">
        <v>12854</v>
      </c>
      <c r="C47" s="177" t="s">
        <v>12855</v>
      </c>
      <c r="D47" s="177" t="s">
        <v>557</v>
      </c>
      <c r="E47" s="177" t="s">
        <v>12658</v>
      </c>
      <c r="F47" s="177" t="str">
        <f>IFERROR(INDEX(_REF_Model_Content!$L$1:$L$157,MATCH($B$9,_REF_Model_Content!$A$1:$A$174,0)),"")</f>
        <v/>
      </c>
      <c r="G47" s="177" t="s">
        <v>11502</v>
      </c>
      <c r="H47" s="177"/>
      <c r="I47" s="177" t="s">
        <v>11694</v>
      </c>
      <c r="J47" s="177"/>
      <c r="K47" s="177"/>
      <c r="L47" s="177" t="s">
        <v>12661</v>
      </c>
      <c r="M47" s="177" t="s">
        <v>12855</v>
      </c>
      <c r="N47" s="177" t="s">
        <v>12470</v>
      </c>
      <c r="O47" s="177"/>
      <c r="P47" s="177" t="s">
        <v>12846</v>
      </c>
      <c r="Q47" s="177" t="s">
        <v>12853</v>
      </c>
      <c r="R47" s="177" t="s">
        <v>12664</v>
      </c>
      <c r="S47" s="177" t="s">
        <v>12665</v>
      </c>
      <c r="T47" s="177" t="s">
        <v>12652</v>
      </c>
      <c r="U47" s="177" t="s">
        <v>12166</v>
      </c>
      <c r="V47" s="177" t="s">
        <v>12847</v>
      </c>
      <c r="W47" s="177" t="s">
        <v>12856</v>
      </c>
    </row>
    <row r="48" spans="1:23" ht="169.75" customHeight="1">
      <c r="A48" s="177" t="s">
        <v>12857</v>
      </c>
      <c r="B48" s="177" t="s">
        <v>12858</v>
      </c>
      <c r="C48" s="177" t="s">
        <v>12121</v>
      </c>
      <c r="D48" s="177" t="s">
        <v>558</v>
      </c>
      <c r="E48" s="177" t="s">
        <v>12673</v>
      </c>
      <c r="F48" s="177"/>
      <c r="G48" s="177" t="s">
        <v>11504</v>
      </c>
      <c r="H48" s="177" t="s">
        <v>12859</v>
      </c>
      <c r="I48" s="177" t="s">
        <v>12810</v>
      </c>
      <c r="J48" s="177" t="s">
        <v>12860</v>
      </c>
      <c r="K48" s="177" t="s">
        <v>12677</v>
      </c>
      <c r="L48" s="177" t="s">
        <v>12819</v>
      </c>
      <c r="M48" s="177" t="s">
        <v>12121</v>
      </c>
      <c r="N48" s="177" t="s">
        <v>12470</v>
      </c>
      <c r="O48" s="177" t="s">
        <v>11659</v>
      </c>
      <c r="P48" s="177" t="s">
        <v>12680</v>
      </c>
      <c r="Q48" s="177" t="s">
        <v>12857</v>
      </c>
      <c r="R48" s="177" t="s">
        <v>12861</v>
      </c>
      <c r="S48" s="177" t="s">
        <v>12720</v>
      </c>
      <c r="T48" s="177" t="s">
        <v>12721</v>
      </c>
      <c r="U48" s="177" t="s">
        <v>12862</v>
      </c>
      <c r="V48" s="177" t="s">
        <v>12863</v>
      </c>
      <c r="W48" s="177" t="s">
        <v>12864</v>
      </c>
    </row>
    <row r="49" spans="1:23" ht="70.75" customHeight="1">
      <c r="A49" s="177" t="s">
        <v>12865</v>
      </c>
      <c r="B49" s="177" t="s">
        <v>12866</v>
      </c>
      <c r="C49" s="177" t="s">
        <v>12867</v>
      </c>
      <c r="D49" s="177" t="s">
        <v>560</v>
      </c>
      <c r="E49" s="177" t="s">
        <v>12631</v>
      </c>
      <c r="F49" s="177"/>
      <c r="G49" s="177" t="s">
        <v>11502</v>
      </c>
      <c r="H49" s="177"/>
      <c r="I49" s="177" t="s">
        <v>11694</v>
      </c>
      <c r="J49" s="177"/>
      <c r="K49" s="177"/>
      <c r="L49" s="177" t="s">
        <v>12632</v>
      </c>
      <c r="M49" s="177" t="s">
        <v>12867</v>
      </c>
      <c r="N49" s="177" t="s">
        <v>12633</v>
      </c>
      <c r="O49" s="177"/>
      <c r="P49" s="177" t="s">
        <v>11502</v>
      </c>
      <c r="Q49" s="177"/>
      <c r="R49" s="177" t="s">
        <v>12634</v>
      </c>
      <c r="S49" s="177" t="s">
        <v>12635</v>
      </c>
      <c r="T49" s="177" t="s">
        <v>12302</v>
      </c>
      <c r="U49" s="177" t="s">
        <v>12166</v>
      </c>
      <c r="V49" s="177"/>
      <c r="W49" s="177"/>
    </row>
    <row r="50" spans="1:23" ht="84.9" customHeight="1">
      <c r="A50" s="177" t="s">
        <v>11672</v>
      </c>
      <c r="B50" s="177" t="s">
        <v>12868</v>
      </c>
      <c r="C50" s="177" t="s">
        <v>12036</v>
      </c>
      <c r="D50" s="177" t="s">
        <v>561</v>
      </c>
      <c r="E50" s="177" t="s">
        <v>12646</v>
      </c>
      <c r="F50" s="177"/>
      <c r="G50" s="177" t="s">
        <v>11502</v>
      </c>
      <c r="H50" s="177"/>
      <c r="I50" s="177" t="s">
        <v>3699</v>
      </c>
      <c r="J50" s="177" t="s">
        <v>12869</v>
      </c>
      <c r="K50" s="177"/>
      <c r="L50" s="177" t="s">
        <v>12678</v>
      </c>
      <c r="M50" s="177" t="s">
        <v>12036</v>
      </c>
      <c r="N50" s="177" t="s">
        <v>12679</v>
      </c>
      <c r="O50" s="177" t="s">
        <v>11672</v>
      </c>
      <c r="P50" s="177" t="s">
        <v>12870</v>
      </c>
      <c r="Q50" s="177" t="s">
        <v>11672</v>
      </c>
      <c r="R50" s="177" t="s">
        <v>12871</v>
      </c>
      <c r="S50" s="177" t="s">
        <v>12665</v>
      </c>
      <c r="T50" s="177" t="s">
        <v>12652</v>
      </c>
      <c r="U50" s="177" t="s">
        <v>12653</v>
      </c>
      <c r="V50" s="177" t="s">
        <v>12726</v>
      </c>
      <c r="W50" s="177" t="s">
        <v>562</v>
      </c>
    </row>
    <row r="51" spans="1:23" ht="84.9" customHeight="1">
      <c r="A51" s="177" t="s">
        <v>12039</v>
      </c>
      <c r="B51" s="177" t="s">
        <v>12872</v>
      </c>
      <c r="C51" s="177" t="s">
        <v>12038</v>
      </c>
      <c r="D51" s="177" t="s">
        <v>564</v>
      </c>
      <c r="E51" s="177" t="s">
        <v>12646</v>
      </c>
      <c r="F51" s="177"/>
      <c r="G51" s="177" t="s">
        <v>11502</v>
      </c>
      <c r="H51" s="177"/>
      <c r="I51" s="177" t="s">
        <v>11694</v>
      </c>
      <c r="J51" s="177"/>
      <c r="K51" s="177"/>
      <c r="L51" s="177" t="s">
        <v>12678</v>
      </c>
      <c r="M51" s="177" t="s">
        <v>12038</v>
      </c>
      <c r="N51" s="177" t="s">
        <v>12679</v>
      </c>
      <c r="O51" s="177" t="s">
        <v>11672</v>
      </c>
      <c r="P51" s="177" t="s">
        <v>12873</v>
      </c>
      <c r="Q51" s="177" t="s">
        <v>12039</v>
      </c>
      <c r="R51" s="177" t="s">
        <v>12871</v>
      </c>
      <c r="S51" s="177" t="s">
        <v>12665</v>
      </c>
      <c r="T51" s="177" t="s">
        <v>12652</v>
      </c>
      <c r="U51" s="177" t="s">
        <v>12166</v>
      </c>
      <c r="V51" s="177" t="s">
        <v>12726</v>
      </c>
      <c r="W51" s="177" t="s">
        <v>12874</v>
      </c>
    </row>
    <row r="52" spans="1:23" ht="99" customHeight="1">
      <c r="A52" s="177" t="s">
        <v>11673</v>
      </c>
      <c r="B52" s="177" t="s">
        <v>12875</v>
      </c>
      <c r="C52" s="177" t="s">
        <v>12040</v>
      </c>
      <c r="D52" s="177" t="s">
        <v>567</v>
      </c>
      <c r="E52" s="177" t="s">
        <v>12646</v>
      </c>
      <c r="F52" s="177"/>
      <c r="G52" s="177" t="s">
        <v>11502</v>
      </c>
      <c r="H52" s="177"/>
      <c r="I52" s="177" t="s">
        <v>11694</v>
      </c>
      <c r="J52" s="177"/>
      <c r="K52" s="177"/>
      <c r="L52" s="177" t="s">
        <v>12678</v>
      </c>
      <c r="M52" s="177" t="s">
        <v>12040</v>
      </c>
      <c r="N52" s="177" t="s">
        <v>12679</v>
      </c>
      <c r="O52" s="177" t="s">
        <v>11673</v>
      </c>
      <c r="P52" s="177" t="s">
        <v>12876</v>
      </c>
      <c r="Q52" s="177" t="s">
        <v>11673</v>
      </c>
      <c r="R52" s="177" t="s">
        <v>12877</v>
      </c>
      <c r="S52" s="177" t="s">
        <v>12665</v>
      </c>
      <c r="T52" s="177" t="s">
        <v>12652</v>
      </c>
      <c r="U52" s="177" t="s">
        <v>12166</v>
      </c>
      <c r="V52" s="177" t="s">
        <v>12726</v>
      </c>
      <c r="W52" s="177" t="s">
        <v>568</v>
      </c>
    </row>
    <row r="53" spans="1:23" ht="84.9" customHeight="1">
      <c r="A53" s="177" t="s">
        <v>11675</v>
      </c>
      <c r="B53" s="177" t="s">
        <v>12878</v>
      </c>
      <c r="C53" s="177" t="s">
        <v>12042</v>
      </c>
      <c r="D53" s="177" t="s">
        <v>570</v>
      </c>
      <c r="E53" s="177" t="s">
        <v>12646</v>
      </c>
      <c r="F53" s="177"/>
      <c r="G53" s="177" t="s">
        <v>11502</v>
      </c>
      <c r="H53" s="177"/>
      <c r="I53" s="177" t="s">
        <v>11694</v>
      </c>
      <c r="J53" s="177"/>
      <c r="K53" s="177"/>
      <c r="L53" s="177" t="s">
        <v>12678</v>
      </c>
      <c r="M53" s="177" t="s">
        <v>12042</v>
      </c>
      <c r="N53" s="177" t="s">
        <v>12679</v>
      </c>
      <c r="O53" s="177" t="s">
        <v>11675</v>
      </c>
      <c r="P53" s="177" t="s">
        <v>12879</v>
      </c>
      <c r="Q53" s="177" t="s">
        <v>11675</v>
      </c>
      <c r="R53" s="177" t="s">
        <v>12880</v>
      </c>
      <c r="S53" s="177" t="s">
        <v>12665</v>
      </c>
      <c r="T53" s="177" t="s">
        <v>12652</v>
      </c>
      <c r="U53" s="177" t="s">
        <v>12166</v>
      </c>
      <c r="V53" s="177" t="s">
        <v>12726</v>
      </c>
      <c r="W53" s="177" t="s">
        <v>571</v>
      </c>
    </row>
    <row r="54" spans="1:23" ht="84.9" customHeight="1">
      <c r="A54" s="177" t="s">
        <v>12045</v>
      </c>
      <c r="B54" s="177" t="s">
        <v>12881</v>
      </c>
      <c r="C54" s="177" t="s">
        <v>12044</v>
      </c>
      <c r="D54" s="177" t="s">
        <v>573</v>
      </c>
      <c r="E54" s="177" t="s">
        <v>12646</v>
      </c>
      <c r="F54" s="177"/>
      <c r="G54" s="177" t="s">
        <v>11502</v>
      </c>
      <c r="H54" s="177"/>
      <c r="I54" s="177" t="s">
        <v>64</v>
      </c>
      <c r="J54" s="177" t="s">
        <v>12882</v>
      </c>
      <c r="K54" s="177" t="s">
        <v>12750</v>
      </c>
      <c r="L54" s="177" t="s">
        <v>12678</v>
      </c>
      <c r="M54" s="177" t="s">
        <v>12044</v>
      </c>
      <c r="N54" s="177" t="s">
        <v>12883</v>
      </c>
      <c r="O54" s="177" t="s">
        <v>499</v>
      </c>
      <c r="P54" s="177" t="s">
        <v>12884</v>
      </c>
      <c r="Q54" s="177" t="s">
        <v>12045</v>
      </c>
      <c r="R54" s="177" t="s">
        <v>12885</v>
      </c>
      <c r="S54" s="177" t="s">
        <v>12665</v>
      </c>
      <c r="T54" s="177" t="s">
        <v>12652</v>
      </c>
      <c r="U54" s="177" t="s">
        <v>12886</v>
      </c>
      <c r="V54" s="177" t="s">
        <v>12887</v>
      </c>
      <c r="W54" s="177" t="s">
        <v>574</v>
      </c>
    </row>
    <row r="55" spans="1:23" ht="84.9" customHeight="1">
      <c r="A55" s="177" t="s">
        <v>12048</v>
      </c>
      <c r="B55" s="177" t="s">
        <v>12888</v>
      </c>
      <c r="C55" s="177" t="s">
        <v>12047</v>
      </c>
      <c r="D55" s="177" t="s">
        <v>576</v>
      </c>
      <c r="E55" s="177" t="s">
        <v>12646</v>
      </c>
      <c r="F55" s="177"/>
      <c r="G55" s="177" t="s">
        <v>11502</v>
      </c>
      <c r="H55" s="177"/>
      <c r="I55" s="177" t="s">
        <v>56</v>
      </c>
      <c r="J55" s="177" t="s">
        <v>12889</v>
      </c>
      <c r="K55" s="177" t="s">
        <v>12750</v>
      </c>
      <c r="L55" s="177" t="s">
        <v>12678</v>
      </c>
      <c r="M55" s="177" t="s">
        <v>12047</v>
      </c>
      <c r="N55" s="177" t="s">
        <v>12883</v>
      </c>
      <c r="O55" s="177" t="s">
        <v>499</v>
      </c>
      <c r="P55" s="177" t="s">
        <v>12884</v>
      </c>
      <c r="Q55" s="177" t="s">
        <v>12048</v>
      </c>
      <c r="R55" s="177" t="s">
        <v>12885</v>
      </c>
      <c r="S55" s="177" t="s">
        <v>12665</v>
      </c>
      <c r="T55" s="177" t="s">
        <v>12652</v>
      </c>
      <c r="U55" s="177" t="s">
        <v>12886</v>
      </c>
      <c r="V55" s="177" t="s">
        <v>12887</v>
      </c>
      <c r="W55" s="177" t="s">
        <v>577</v>
      </c>
    </row>
    <row r="56" spans="1:23" ht="84.9" customHeight="1">
      <c r="A56" s="177" t="s">
        <v>12050</v>
      </c>
      <c r="B56" s="177" t="s">
        <v>12890</v>
      </c>
      <c r="C56" s="177" t="s">
        <v>12049</v>
      </c>
      <c r="D56" s="177" t="s">
        <v>578</v>
      </c>
      <c r="E56" s="177" t="s">
        <v>12646</v>
      </c>
      <c r="F56" s="177"/>
      <c r="G56" s="177" t="s">
        <v>11502</v>
      </c>
      <c r="H56" s="177"/>
      <c r="I56" s="177" t="s">
        <v>11694</v>
      </c>
      <c r="J56" s="177"/>
      <c r="K56" s="177" t="s">
        <v>12750</v>
      </c>
      <c r="L56" s="177" t="s">
        <v>12678</v>
      </c>
      <c r="M56" s="177" t="s">
        <v>12049</v>
      </c>
      <c r="N56" s="177" t="s">
        <v>12883</v>
      </c>
      <c r="O56" s="177" t="s">
        <v>499</v>
      </c>
      <c r="P56" s="177" t="s">
        <v>12884</v>
      </c>
      <c r="Q56" s="177" t="s">
        <v>12050</v>
      </c>
      <c r="R56" s="177" t="s">
        <v>12885</v>
      </c>
      <c r="S56" s="177" t="s">
        <v>12665</v>
      </c>
      <c r="T56" s="177" t="s">
        <v>12652</v>
      </c>
      <c r="U56" s="177" t="s">
        <v>12710</v>
      </c>
      <c r="V56" s="177" t="s">
        <v>12887</v>
      </c>
      <c r="W56" s="177" t="s">
        <v>579</v>
      </c>
    </row>
    <row r="57" spans="1:23" ht="84.9" customHeight="1">
      <c r="A57" s="177" t="s">
        <v>12052</v>
      </c>
      <c r="B57" s="177" t="s">
        <v>12891</v>
      </c>
      <c r="C57" s="177" t="s">
        <v>12051</v>
      </c>
      <c r="D57" s="177" t="s">
        <v>581</v>
      </c>
      <c r="E57" s="177" t="s">
        <v>12646</v>
      </c>
      <c r="F57" s="177"/>
      <c r="G57" s="177" t="s">
        <v>11502</v>
      </c>
      <c r="H57" s="177"/>
      <c r="I57" s="177" t="s">
        <v>68</v>
      </c>
      <c r="J57" s="177" t="s">
        <v>12892</v>
      </c>
      <c r="K57" s="177"/>
      <c r="L57" s="177" t="s">
        <v>12678</v>
      </c>
      <c r="M57" s="177" t="s">
        <v>12051</v>
      </c>
      <c r="N57" s="177" t="s">
        <v>12893</v>
      </c>
      <c r="O57" s="177" t="s">
        <v>12053</v>
      </c>
      <c r="P57" s="177" t="s">
        <v>12894</v>
      </c>
      <c r="Q57" s="177" t="s">
        <v>12052</v>
      </c>
      <c r="R57" s="177" t="s">
        <v>12895</v>
      </c>
      <c r="S57" s="177" t="s">
        <v>12665</v>
      </c>
      <c r="T57" s="177" t="s">
        <v>12652</v>
      </c>
      <c r="U57" s="177" t="s">
        <v>12653</v>
      </c>
      <c r="V57" s="177" t="s">
        <v>12887</v>
      </c>
      <c r="W57" s="177" t="s">
        <v>582</v>
      </c>
    </row>
    <row r="58" spans="1:23" ht="84.9" customHeight="1">
      <c r="A58" s="177" t="s">
        <v>12055</v>
      </c>
      <c r="B58" s="177" t="s">
        <v>12896</v>
      </c>
      <c r="C58" s="177" t="s">
        <v>12054</v>
      </c>
      <c r="D58" s="177" t="s">
        <v>584</v>
      </c>
      <c r="E58" s="177" t="s">
        <v>12646</v>
      </c>
      <c r="F58" s="177"/>
      <c r="G58" s="177" t="s">
        <v>11502</v>
      </c>
      <c r="H58" s="177"/>
      <c r="I58" s="177" t="s">
        <v>11694</v>
      </c>
      <c r="J58" s="177"/>
      <c r="K58" s="177"/>
      <c r="L58" s="177" t="s">
        <v>12678</v>
      </c>
      <c r="M58" s="177" t="s">
        <v>12054</v>
      </c>
      <c r="N58" s="177" t="s">
        <v>12893</v>
      </c>
      <c r="O58" s="177" t="s">
        <v>12053</v>
      </c>
      <c r="P58" s="177" t="s">
        <v>12894</v>
      </c>
      <c r="Q58" s="177" t="s">
        <v>12055</v>
      </c>
      <c r="R58" s="177" t="s">
        <v>12895</v>
      </c>
      <c r="S58" s="177" t="s">
        <v>12665</v>
      </c>
      <c r="T58" s="177" t="s">
        <v>12652</v>
      </c>
      <c r="U58" s="177" t="s">
        <v>12166</v>
      </c>
      <c r="V58" s="177" t="s">
        <v>12887</v>
      </c>
      <c r="W58" s="177" t="s">
        <v>585</v>
      </c>
    </row>
    <row r="59" spans="1:23" ht="99" customHeight="1">
      <c r="A59" s="177" t="s">
        <v>11677</v>
      </c>
      <c r="B59" s="177" t="s">
        <v>12897</v>
      </c>
      <c r="C59" s="177" t="s">
        <v>12056</v>
      </c>
      <c r="D59" s="177" t="s">
        <v>587</v>
      </c>
      <c r="E59" s="177" t="s">
        <v>12646</v>
      </c>
      <c r="F59" s="177"/>
      <c r="G59" s="177" t="s">
        <v>11502</v>
      </c>
      <c r="H59" s="177"/>
      <c r="I59" s="177" t="s">
        <v>68</v>
      </c>
      <c r="J59" s="177" t="s">
        <v>12892</v>
      </c>
      <c r="K59" s="177"/>
      <c r="L59" s="177" t="s">
        <v>12678</v>
      </c>
      <c r="M59" s="177" t="s">
        <v>12056</v>
      </c>
      <c r="N59" s="177" t="s">
        <v>12679</v>
      </c>
      <c r="O59" s="177" t="s">
        <v>11677</v>
      </c>
      <c r="P59" s="177" t="s">
        <v>12898</v>
      </c>
      <c r="Q59" s="177" t="s">
        <v>11677</v>
      </c>
      <c r="R59" s="177" t="s">
        <v>12899</v>
      </c>
      <c r="S59" s="177" t="s">
        <v>12665</v>
      </c>
      <c r="T59" s="177" t="s">
        <v>12652</v>
      </c>
      <c r="U59" s="177" t="s">
        <v>12653</v>
      </c>
      <c r="V59" s="177" t="s">
        <v>12726</v>
      </c>
      <c r="W59" s="177" t="s">
        <v>588</v>
      </c>
    </row>
    <row r="60" spans="1:23" ht="56.6" customHeight="1">
      <c r="A60" s="177" t="s">
        <v>12900</v>
      </c>
      <c r="B60" s="177" t="s">
        <v>12901</v>
      </c>
      <c r="C60" s="177" t="s">
        <v>12902</v>
      </c>
      <c r="D60" s="177" t="s">
        <v>590</v>
      </c>
      <c r="E60" s="177" t="s">
        <v>12631</v>
      </c>
      <c r="F60" s="177"/>
      <c r="G60" s="177" t="s">
        <v>11502</v>
      </c>
      <c r="H60" s="177"/>
      <c r="I60" s="177" t="s">
        <v>11694</v>
      </c>
      <c r="J60" s="177"/>
      <c r="K60" s="177"/>
      <c r="L60" s="177" t="s">
        <v>12632</v>
      </c>
      <c r="M60" s="177" t="s">
        <v>12902</v>
      </c>
      <c r="N60" s="177" t="s">
        <v>12633</v>
      </c>
      <c r="O60" s="177"/>
      <c r="P60" s="177" t="s">
        <v>11502</v>
      </c>
      <c r="Q60" s="177"/>
      <c r="R60" s="177" t="s">
        <v>12634</v>
      </c>
      <c r="S60" s="177" t="s">
        <v>12635</v>
      </c>
      <c r="T60" s="177" t="s">
        <v>12302</v>
      </c>
      <c r="U60" s="177" t="s">
        <v>12166</v>
      </c>
      <c r="V60" s="177"/>
      <c r="W60" s="177"/>
    </row>
    <row r="61" spans="1:23" ht="42.45" customHeight="1">
      <c r="A61" s="177" t="s">
        <v>12903</v>
      </c>
      <c r="B61" s="177" t="s">
        <v>12904</v>
      </c>
      <c r="C61" s="177" t="s">
        <v>12905</v>
      </c>
      <c r="D61" s="177" t="s">
        <v>591</v>
      </c>
      <c r="E61" s="177" t="s">
        <v>12631</v>
      </c>
      <c r="F61" s="177" t="s">
        <v>592</v>
      </c>
      <c r="G61" s="177" t="s">
        <v>11502</v>
      </c>
      <c r="H61" s="177"/>
      <c r="I61" s="177" t="s">
        <v>11694</v>
      </c>
      <c r="J61" s="177"/>
      <c r="K61" s="177"/>
      <c r="L61" s="177" t="s">
        <v>12632</v>
      </c>
      <c r="M61" s="177" t="s">
        <v>12905</v>
      </c>
      <c r="N61" s="177" t="s">
        <v>12633</v>
      </c>
      <c r="O61" s="177"/>
      <c r="P61" s="177" t="s">
        <v>11502</v>
      </c>
      <c r="Q61" s="177"/>
      <c r="R61" s="177" t="s">
        <v>12634</v>
      </c>
      <c r="S61" s="177" t="s">
        <v>12635</v>
      </c>
      <c r="T61" s="177" t="s">
        <v>12302</v>
      </c>
      <c r="U61" s="177" t="s">
        <v>12166</v>
      </c>
      <c r="V61" s="177"/>
      <c r="W61" s="177" t="s">
        <v>593</v>
      </c>
    </row>
    <row r="62" spans="1:23" ht="84.9" customHeight="1">
      <c r="A62" s="177" t="s">
        <v>595</v>
      </c>
      <c r="B62" s="177" t="s">
        <v>12906</v>
      </c>
      <c r="C62" s="177" t="s">
        <v>12907</v>
      </c>
      <c r="D62" s="177" t="s">
        <v>595</v>
      </c>
      <c r="E62" s="177" t="s">
        <v>12646</v>
      </c>
      <c r="F62" s="177"/>
      <c r="G62" s="177" t="s">
        <v>11502</v>
      </c>
      <c r="H62" s="177"/>
      <c r="I62" s="177" t="s">
        <v>11694</v>
      </c>
      <c r="J62" s="177"/>
      <c r="K62" s="177" t="s">
        <v>12759</v>
      </c>
      <c r="L62" s="177" t="s">
        <v>12648</v>
      </c>
      <c r="M62" s="177" t="s">
        <v>12907</v>
      </c>
      <c r="N62" s="177" t="s">
        <v>12908</v>
      </c>
      <c r="O62" s="177"/>
      <c r="P62" s="177" t="s">
        <v>11502</v>
      </c>
      <c r="Q62" s="177"/>
      <c r="R62" s="177" t="s">
        <v>12650</v>
      </c>
      <c r="S62" s="177" t="s">
        <v>12651</v>
      </c>
      <c r="T62" s="177" t="s">
        <v>12652</v>
      </c>
      <c r="U62" s="177" t="s">
        <v>12710</v>
      </c>
      <c r="V62" s="177" t="s">
        <v>12909</v>
      </c>
      <c r="W62" s="177"/>
    </row>
    <row r="63" spans="1:23" ht="84.9" customHeight="1">
      <c r="A63" s="177" t="s">
        <v>12910</v>
      </c>
      <c r="B63" s="177" t="s">
        <v>12911</v>
      </c>
      <c r="C63" s="177" t="s">
        <v>12912</v>
      </c>
      <c r="D63" s="177" t="s">
        <v>597</v>
      </c>
      <c r="E63" s="177" t="s">
        <v>12646</v>
      </c>
      <c r="F63" s="177"/>
      <c r="G63" s="177" t="s">
        <v>11502</v>
      </c>
      <c r="H63" s="177"/>
      <c r="I63" s="177" t="s">
        <v>11694</v>
      </c>
      <c r="J63" s="177"/>
      <c r="K63" s="177" t="s">
        <v>12759</v>
      </c>
      <c r="L63" s="177" t="s">
        <v>12648</v>
      </c>
      <c r="M63" s="177" t="s">
        <v>12912</v>
      </c>
      <c r="N63" s="177" t="s">
        <v>12908</v>
      </c>
      <c r="O63" s="177"/>
      <c r="P63" s="177" t="s">
        <v>11502</v>
      </c>
      <c r="Q63" s="177"/>
      <c r="R63" s="177" t="s">
        <v>12650</v>
      </c>
      <c r="S63" s="177" t="s">
        <v>12651</v>
      </c>
      <c r="T63" s="177" t="s">
        <v>12652</v>
      </c>
      <c r="U63" s="177" t="s">
        <v>12710</v>
      </c>
      <c r="V63" s="177" t="s">
        <v>12909</v>
      </c>
      <c r="W63" s="177"/>
    </row>
    <row r="64" spans="1:23" ht="84.9" customHeight="1">
      <c r="A64" s="177" t="s">
        <v>12913</v>
      </c>
      <c r="B64" s="177" t="s">
        <v>12914</v>
      </c>
      <c r="C64" s="177" t="s">
        <v>12915</v>
      </c>
      <c r="D64" s="177" t="s">
        <v>598</v>
      </c>
      <c r="E64" s="177" t="s">
        <v>12646</v>
      </c>
      <c r="F64" s="177"/>
      <c r="G64" s="177" t="s">
        <v>11502</v>
      </c>
      <c r="H64" s="177"/>
      <c r="I64" s="177" t="s">
        <v>11694</v>
      </c>
      <c r="J64" s="177"/>
      <c r="K64" s="177" t="s">
        <v>12759</v>
      </c>
      <c r="L64" s="177" t="s">
        <v>12648</v>
      </c>
      <c r="M64" s="177" t="s">
        <v>12915</v>
      </c>
      <c r="N64" s="177" t="s">
        <v>12908</v>
      </c>
      <c r="O64" s="177"/>
      <c r="P64" s="177" t="s">
        <v>11502</v>
      </c>
      <c r="Q64" s="177"/>
      <c r="R64" s="177" t="s">
        <v>12650</v>
      </c>
      <c r="S64" s="177" t="s">
        <v>12651</v>
      </c>
      <c r="T64" s="177" t="s">
        <v>12652</v>
      </c>
      <c r="U64" s="177" t="s">
        <v>12710</v>
      </c>
      <c r="V64" s="177" t="s">
        <v>12909</v>
      </c>
      <c r="W64" s="177"/>
    </row>
    <row r="65" spans="1:23" ht="84.9" customHeight="1">
      <c r="A65" s="177" t="s">
        <v>12916</v>
      </c>
      <c r="B65" s="177" t="s">
        <v>12917</v>
      </c>
      <c r="C65" s="177" t="s">
        <v>12918</v>
      </c>
      <c r="D65" s="177" t="s">
        <v>599</v>
      </c>
      <c r="E65" s="177" t="s">
        <v>12646</v>
      </c>
      <c r="F65" s="177"/>
      <c r="G65" s="177" t="s">
        <v>11502</v>
      </c>
      <c r="H65" s="177"/>
      <c r="I65" s="177" t="s">
        <v>11694</v>
      </c>
      <c r="J65" s="177"/>
      <c r="K65" s="177" t="s">
        <v>12759</v>
      </c>
      <c r="L65" s="177" t="s">
        <v>12648</v>
      </c>
      <c r="M65" s="177" t="s">
        <v>12918</v>
      </c>
      <c r="N65" s="177" t="s">
        <v>12908</v>
      </c>
      <c r="O65" s="177"/>
      <c r="P65" s="177" t="s">
        <v>11502</v>
      </c>
      <c r="Q65" s="177"/>
      <c r="R65" s="177" t="s">
        <v>12650</v>
      </c>
      <c r="S65" s="177" t="s">
        <v>12651</v>
      </c>
      <c r="T65" s="177" t="s">
        <v>12652</v>
      </c>
      <c r="U65" s="177" t="s">
        <v>12710</v>
      </c>
      <c r="V65" s="177" t="s">
        <v>12909</v>
      </c>
      <c r="W65" s="177"/>
    </row>
    <row r="66" spans="1:23" ht="84.9" customHeight="1">
      <c r="A66" s="177" t="s">
        <v>12919</v>
      </c>
      <c r="B66" s="177" t="s">
        <v>12920</v>
      </c>
      <c r="C66" s="177" t="s">
        <v>12921</v>
      </c>
      <c r="D66" s="177" t="s">
        <v>600</v>
      </c>
      <c r="E66" s="177" t="s">
        <v>12646</v>
      </c>
      <c r="F66" s="177"/>
      <c r="G66" s="177" t="s">
        <v>11502</v>
      </c>
      <c r="H66" s="177"/>
      <c r="I66" s="177" t="s">
        <v>11694</v>
      </c>
      <c r="J66" s="177"/>
      <c r="K66" s="177" t="s">
        <v>12759</v>
      </c>
      <c r="L66" s="177" t="s">
        <v>12648</v>
      </c>
      <c r="M66" s="177" t="s">
        <v>12921</v>
      </c>
      <c r="N66" s="177" t="s">
        <v>12908</v>
      </c>
      <c r="O66" s="177"/>
      <c r="P66" s="177" t="s">
        <v>11502</v>
      </c>
      <c r="Q66" s="177"/>
      <c r="R66" s="177" t="s">
        <v>12650</v>
      </c>
      <c r="S66" s="177" t="s">
        <v>12651</v>
      </c>
      <c r="T66" s="177" t="s">
        <v>12652</v>
      </c>
      <c r="U66" s="177" t="s">
        <v>12710</v>
      </c>
      <c r="V66" s="177" t="s">
        <v>12909</v>
      </c>
      <c r="W66" s="177"/>
    </row>
    <row r="67" spans="1:23" ht="84.9" customHeight="1">
      <c r="A67" s="177" t="s">
        <v>12922</v>
      </c>
      <c r="B67" s="177" t="s">
        <v>12923</v>
      </c>
      <c r="C67" s="177" t="s">
        <v>12924</v>
      </c>
      <c r="D67" s="177" t="s">
        <v>601</v>
      </c>
      <c r="E67" s="177" t="s">
        <v>12646</v>
      </c>
      <c r="F67" s="177"/>
      <c r="G67" s="177" t="s">
        <v>11502</v>
      </c>
      <c r="H67" s="177"/>
      <c r="I67" s="177" t="s">
        <v>11694</v>
      </c>
      <c r="J67" s="177"/>
      <c r="K67" s="177" t="s">
        <v>12759</v>
      </c>
      <c r="L67" s="177" t="s">
        <v>12648</v>
      </c>
      <c r="M67" s="177" t="s">
        <v>12924</v>
      </c>
      <c r="N67" s="177" t="s">
        <v>12908</v>
      </c>
      <c r="O67" s="177"/>
      <c r="P67" s="177" t="s">
        <v>11502</v>
      </c>
      <c r="Q67" s="177"/>
      <c r="R67" s="177" t="s">
        <v>12650</v>
      </c>
      <c r="S67" s="177" t="s">
        <v>12651</v>
      </c>
      <c r="T67" s="177" t="s">
        <v>12652</v>
      </c>
      <c r="U67" s="177" t="s">
        <v>12710</v>
      </c>
      <c r="V67" s="177" t="s">
        <v>12909</v>
      </c>
      <c r="W67" s="177"/>
    </row>
    <row r="68" spans="1:23" ht="84.9" customHeight="1">
      <c r="A68" s="177" t="s">
        <v>12925</v>
      </c>
      <c r="B68" s="177" t="s">
        <v>12926</v>
      </c>
      <c r="C68" s="177" t="s">
        <v>12927</v>
      </c>
      <c r="D68" s="177" t="s">
        <v>602</v>
      </c>
      <c r="E68" s="177" t="s">
        <v>12646</v>
      </c>
      <c r="F68" s="177"/>
      <c r="G68" s="177" t="s">
        <v>11502</v>
      </c>
      <c r="H68" s="177"/>
      <c r="I68" s="177" t="s">
        <v>11694</v>
      </c>
      <c r="J68" s="177"/>
      <c r="K68" s="177" t="s">
        <v>12759</v>
      </c>
      <c r="L68" s="177" t="s">
        <v>12648</v>
      </c>
      <c r="M68" s="177" t="s">
        <v>12927</v>
      </c>
      <c r="N68" s="177" t="s">
        <v>12908</v>
      </c>
      <c r="O68" s="177"/>
      <c r="P68" s="177" t="s">
        <v>11502</v>
      </c>
      <c r="Q68" s="177"/>
      <c r="R68" s="177" t="s">
        <v>12650</v>
      </c>
      <c r="S68" s="177" t="s">
        <v>12651</v>
      </c>
      <c r="T68" s="177" t="s">
        <v>12652</v>
      </c>
      <c r="U68" s="177" t="s">
        <v>12710</v>
      </c>
      <c r="V68" s="177" t="s">
        <v>12909</v>
      </c>
      <c r="W68" s="177"/>
    </row>
    <row r="69" spans="1:23" ht="84.9" customHeight="1">
      <c r="A69" s="177" t="s">
        <v>12928</v>
      </c>
      <c r="B69" s="177" t="s">
        <v>12929</v>
      </c>
      <c r="C69" s="177" t="s">
        <v>12930</v>
      </c>
      <c r="D69" s="177" t="s">
        <v>603</v>
      </c>
      <c r="E69" s="177" t="s">
        <v>12646</v>
      </c>
      <c r="F69" s="177"/>
      <c r="G69" s="177" t="s">
        <v>11502</v>
      </c>
      <c r="H69" s="177"/>
      <c r="I69" s="177" t="s">
        <v>11694</v>
      </c>
      <c r="J69" s="177"/>
      <c r="K69" s="177" t="s">
        <v>12759</v>
      </c>
      <c r="L69" s="177" t="s">
        <v>12648</v>
      </c>
      <c r="M69" s="177" t="s">
        <v>12930</v>
      </c>
      <c r="N69" s="177" t="s">
        <v>12908</v>
      </c>
      <c r="O69" s="177"/>
      <c r="P69" s="177" t="s">
        <v>11502</v>
      </c>
      <c r="Q69" s="177"/>
      <c r="R69" s="177" t="s">
        <v>12650</v>
      </c>
      <c r="S69" s="177" t="s">
        <v>12651</v>
      </c>
      <c r="T69" s="177" t="s">
        <v>12652</v>
      </c>
      <c r="U69" s="177" t="s">
        <v>12710</v>
      </c>
      <c r="V69" s="177" t="s">
        <v>12909</v>
      </c>
      <c r="W69" s="177"/>
    </row>
    <row r="70" spans="1:23" ht="42.45" customHeight="1">
      <c r="A70" s="177" t="s">
        <v>12931</v>
      </c>
      <c r="B70" s="177" t="s">
        <v>12288</v>
      </c>
      <c r="C70" s="177" t="s">
        <v>12932</v>
      </c>
      <c r="D70" s="177" t="s">
        <v>604</v>
      </c>
      <c r="E70" s="177" t="s">
        <v>12631</v>
      </c>
      <c r="F70" s="177"/>
      <c r="G70" s="177" t="s">
        <v>11502</v>
      </c>
      <c r="H70" s="177"/>
      <c r="I70" s="177" t="s">
        <v>11694</v>
      </c>
      <c r="J70" s="177"/>
      <c r="K70" s="177"/>
      <c r="L70" s="177" t="s">
        <v>12632</v>
      </c>
      <c r="M70" s="177" t="s">
        <v>12932</v>
      </c>
      <c r="N70" s="177" t="s">
        <v>12633</v>
      </c>
      <c r="O70" s="177"/>
      <c r="P70" s="177" t="s">
        <v>11502</v>
      </c>
      <c r="Q70" s="177"/>
      <c r="R70" s="177" t="s">
        <v>12634</v>
      </c>
      <c r="S70" s="177" t="s">
        <v>12635</v>
      </c>
      <c r="T70" s="177" t="s">
        <v>12302</v>
      </c>
      <c r="U70" s="177" t="s">
        <v>12166</v>
      </c>
      <c r="V70" s="177"/>
      <c r="W70" s="177"/>
    </row>
    <row r="71" spans="1:23" ht="99" customHeight="1">
      <c r="A71" s="177" t="s">
        <v>12059</v>
      </c>
      <c r="B71" s="177" t="s">
        <v>12933</v>
      </c>
      <c r="C71" s="177" t="s">
        <v>12058</v>
      </c>
      <c r="D71" s="177" t="s">
        <v>605</v>
      </c>
      <c r="E71" s="177" t="s">
        <v>12646</v>
      </c>
      <c r="F71" s="177"/>
      <c r="G71" s="177" t="s">
        <v>11502</v>
      </c>
      <c r="H71" s="177"/>
      <c r="I71" s="177" t="s">
        <v>11694</v>
      </c>
      <c r="J71" s="177"/>
      <c r="K71" s="177"/>
      <c r="L71" s="177" t="s">
        <v>12678</v>
      </c>
      <c r="M71" s="177" t="s">
        <v>12058</v>
      </c>
      <c r="N71" s="177" t="s">
        <v>12679</v>
      </c>
      <c r="O71" s="177" t="s">
        <v>11656</v>
      </c>
      <c r="P71" s="177" t="s">
        <v>12934</v>
      </c>
      <c r="Q71" s="177" t="s">
        <v>12059</v>
      </c>
      <c r="R71" s="177" t="s">
        <v>12695</v>
      </c>
      <c r="S71" s="177" t="s">
        <v>12665</v>
      </c>
      <c r="T71" s="177" t="s">
        <v>12652</v>
      </c>
      <c r="U71" s="177" t="s">
        <v>12166</v>
      </c>
      <c r="V71" s="177" t="s">
        <v>12935</v>
      </c>
      <c r="W71" s="177" t="s">
        <v>606</v>
      </c>
    </row>
    <row r="72" spans="1:23" ht="84.9" customHeight="1">
      <c r="A72" s="177" t="s">
        <v>12061</v>
      </c>
      <c r="B72" s="177" t="s">
        <v>12936</v>
      </c>
      <c r="C72" s="177" t="s">
        <v>12060</v>
      </c>
      <c r="D72" s="177" t="s">
        <v>608</v>
      </c>
      <c r="E72" s="177" t="s">
        <v>12646</v>
      </c>
      <c r="F72" s="177"/>
      <c r="G72" s="177" t="s">
        <v>11502</v>
      </c>
      <c r="H72" s="177"/>
      <c r="I72" s="177" t="s">
        <v>56</v>
      </c>
      <c r="J72" s="177" t="s">
        <v>12937</v>
      </c>
      <c r="K72" s="177"/>
      <c r="L72" s="177" t="s">
        <v>12678</v>
      </c>
      <c r="M72" s="177" t="s">
        <v>12060</v>
      </c>
      <c r="N72" s="177" t="s">
        <v>12883</v>
      </c>
      <c r="O72" s="177" t="s">
        <v>12062</v>
      </c>
      <c r="P72" s="177" t="s">
        <v>508</v>
      </c>
      <c r="Q72" s="177" t="s">
        <v>12061</v>
      </c>
      <c r="R72" s="177" t="s">
        <v>12938</v>
      </c>
      <c r="S72" s="177" t="s">
        <v>12665</v>
      </c>
      <c r="T72" s="177" t="s">
        <v>12652</v>
      </c>
      <c r="U72" s="177" t="s">
        <v>12653</v>
      </c>
      <c r="V72" s="177" t="s">
        <v>12887</v>
      </c>
      <c r="W72" s="177" t="s">
        <v>609</v>
      </c>
    </row>
    <row r="73" spans="1:23" ht="84.9" customHeight="1">
      <c r="A73" s="177" t="s">
        <v>12064</v>
      </c>
      <c r="B73" s="177" t="s">
        <v>12939</v>
      </c>
      <c r="C73" s="177" t="s">
        <v>12063</v>
      </c>
      <c r="D73" s="177" t="s">
        <v>611</v>
      </c>
      <c r="E73" s="177" t="s">
        <v>12646</v>
      </c>
      <c r="F73" s="177"/>
      <c r="G73" s="177" t="s">
        <v>11502</v>
      </c>
      <c r="H73" s="177"/>
      <c r="I73" s="177" t="s">
        <v>56</v>
      </c>
      <c r="J73" s="177" t="s">
        <v>12937</v>
      </c>
      <c r="K73" s="177"/>
      <c r="L73" s="177" t="s">
        <v>12678</v>
      </c>
      <c r="M73" s="177" t="s">
        <v>12063</v>
      </c>
      <c r="N73" s="177" t="s">
        <v>12883</v>
      </c>
      <c r="O73" s="177" t="s">
        <v>12065</v>
      </c>
      <c r="P73" s="177" t="s">
        <v>508</v>
      </c>
      <c r="Q73" s="177" t="s">
        <v>12064</v>
      </c>
      <c r="R73" s="177" t="s">
        <v>12940</v>
      </c>
      <c r="S73" s="177" t="s">
        <v>12665</v>
      </c>
      <c r="T73" s="177" t="s">
        <v>12652</v>
      </c>
      <c r="U73" s="177" t="s">
        <v>12653</v>
      </c>
      <c r="V73" s="177" t="s">
        <v>12887</v>
      </c>
      <c r="W73" s="177" t="s">
        <v>612</v>
      </c>
    </row>
    <row r="74" spans="1:23" ht="99" customHeight="1">
      <c r="A74" s="177" t="s">
        <v>12067</v>
      </c>
      <c r="B74" s="177" t="s">
        <v>12941</v>
      </c>
      <c r="C74" s="177" t="s">
        <v>12066</v>
      </c>
      <c r="D74" s="177" t="s">
        <v>614</v>
      </c>
      <c r="E74" s="177" t="s">
        <v>12646</v>
      </c>
      <c r="F74" s="177"/>
      <c r="G74" s="177" t="s">
        <v>11502</v>
      </c>
      <c r="H74" s="177"/>
      <c r="I74" s="177" t="s">
        <v>11694</v>
      </c>
      <c r="J74" s="177"/>
      <c r="K74" s="177"/>
      <c r="L74" s="177" t="s">
        <v>12678</v>
      </c>
      <c r="M74" s="177" t="s">
        <v>12066</v>
      </c>
      <c r="N74" s="177" t="s">
        <v>12679</v>
      </c>
      <c r="O74" s="177" t="s">
        <v>11670</v>
      </c>
      <c r="P74" s="177" t="s">
        <v>12942</v>
      </c>
      <c r="Q74" s="177" t="s">
        <v>12067</v>
      </c>
      <c r="R74" s="177" t="s">
        <v>12943</v>
      </c>
      <c r="S74" s="177" t="s">
        <v>12665</v>
      </c>
      <c r="T74" s="177" t="s">
        <v>12652</v>
      </c>
      <c r="U74" s="177" t="s">
        <v>12166</v>
      </c>
      <c r="V74" s="177" t="s">
        <v>12726</v>
      </c>
      <c r="W74" s="177" t="s">
        <v>615</v>
      </c>
    </row>
    <row r="75" spans="1:23" ht="99" customHeight="1">
      <c r="A75" s="177" t="s">
        <v>12070</v>
      </c>
      <c r="B75" s="177" t="s">
        <v>12944</v>
      </c>
      <c r="C75" s="177" t="s">
        <v>12069</v>
      </c>
      <c r="D75" s="177" t="s">
        <v>617</v>
      </c>
      <c r="E75" s="177" t="s">
        <v>12646</v>
      </c>
      <c r="F75" s="177"/>
      <c r="G75" s="177" t="s">
        <v>11502</v>
      </c>
      <c r="H75" s="177"/>
      <c r="I75" s="177" t="s">
        <v>11694</v>
      </c>
      <c r="J75" s="177"/>
      <c r="K75" s="177"/>
      <c r="L75" s="177" t="s">
        <v>12678</v>
      </c>
      <c r="M75" s="177" t="s">
        <v>12069</v>
      </c>
      <c r="N75" s="177" t="s">
        <v>12679</v>
      </c>
      <c r="O75" s="177" t="s">
        <v>12070</v>
      </c>
      <c r="P75" s="177" t="s">
        <v>619</v>
      </c>
      <c r="Q75" s="177" t="s">
        <v>12070</v>
      </c>
      <c r="R75" s="177" t="s">
        <v>12945</v>
      </c>
      <c r="S75" s="177" t="s">
        <v>12665</v>
      </c>
      <c r="T75" s="177" t="s">
        <v>12652</v>
      </c>
      <c r="U75" s="177" t="s">
        <v>12166</v>
      </c>
      <c r="V75" s="177" t="s">
        <v>12726</v>
      </c>
      <c r="W75" s="177" t="s">
        <v>618</v>
      </c>
    </row>
    <row r="76" spans="1:23" ht="70.75" customHeight="1">
      <c r="A76" s="177" t="s">
        <v>12946</v>
      </c>
      <c r="B76" s="177" t="s">
        <v>12947</v>
      </c>
      <c r="C76" s="177" t="s">
        <v>12948</v>
      </c>
      <c r="D76" s="177" t="s">
        <v>620</v>
      </c>
      <c r="E76" s="177" t="s">
        <v>12631</v>
      </c>
      <c r="F76" s="177"/>
      <c r="G76" s="177" t="s">
        <v>11502</v>
      </c>
      <c r="H76" s="177"/>
      <c r="I76" s="177" t="s">
        <v>11694</v>
      </c>
      <c r="J76" s="177"/>
      <c r="K76" s="177"/>
      <c r="L76" s="177" t="s">
        <v>12632</v>
      </c>
      <c r="M76" s="177" t="s">
        <v>12948</v>
      </c>
      <c r="N76" s="177" t="s">
        <v>12633</v>
      </c>
      <c r="O76" s="177"/>
      <c r="P76" s="177" t="s">
        <v>11502</v>
      </c>
      <c r="Q76" s="177"/>
      <c r="R76" s="177" t="s">
        <v>12634</v>
      </c>
      <c r="S76" s="177" t="s">
        <v>12635</v>
      </c>
      <c r="T76" s="177" t="s">
        <v>12302</v>
      </c>
      <c r="U76" s="177" t="s">
        <v>12166</v>
      </c>
      <c r="V76" s="177"/>
      <c r="W76" s="177"/>
    </row>
    <row r="77" spans="1:23" ht="84.9" customHeight="1">
      <c r="A77" s="177" t="s">
        <v>12949</v>
      </c>
      <c r="B77" s="177" t="s">
        <v>12950</v>
      </c>
      <c r="C77" s="177" t="s">
        <v>12951</v>
      </c>
      <c r="D77" s="177" t="s">
        <v>621</v>
      </c>
      <c r="E77" s="177" t="s">
        <v>12646</v>
      </c>
      <c r="F77" s="177"/>
      <c r="G77" s="177" t="s">
        <v>11502</v>
      </c>
      <c r="H77" s="177"/>
      <c r="I77" s="177" t="s">
        <v>11694</v>
      </c>
      <c r="J77" s="177"/>
      <c r="K77" s="177"/>
      <c r="L77" s="177" t="s">
        <v>12648</v>
      </c>
      <c r="M77" s="177" t="s">
        <v>12951</v>
      </c>
      <c r="N77" s="177" t="s">
        <v>12908</v>
      </c>
      <c r="O77" s="177"/>
      <c r="P77" s="177" t="s">
        <v>11502</v>
      </c>
      <c r="Q77" s="177"/>
      <c r="R77" s="177" t="s">
        <v>12650</v>
      </c>
      <c r="S77" s="177" t="s">
        <v>12651</v>
      </c>
      <c r="T77" s="177" t="s">
        <v>12652</v>
      </c>
      <c r="U77" s="177" t="s">
        <v>12166</v>
      </c>
      <c r="V77" s="177" t="s">
        <v>12909</v>
      </c>
      <c r="W77" s="177" t="s">
        <v>622</v>
      </c>
    </row>
    <row r="78" spans="1:23" ht="84.9" customHeight="1">
      <c r="A78" s="177" t="s">
        <v>12952</v>
      </c>
      <c r="B78" s="177" t="s">
        <v>12953</v>
      </c>
      <c r="C78" s="177" t="s">
        <v>12954</v>
      </c>
      <c r="D78" s="177" t="s">
        <v>624</v>
      </c>
      <c r="E78" s="177" t="s">
        <v>12646</v>
      </c>
      <c r="F78" s="177"/>
      <c r="G78" s="177" t="s">
        <v>11502</v>
      </c>
      <c r="H78" s="177"/>
      <c r="I78" s="177" t="s">
        <v>11694</v>
      </c>
      <c r="J78" s="177"/>
      <c r="K78" s="177"/>
      <c r="L78" s="177" t="s">
        <v>12648</v>
      </c>
      <c r="M78" s="177" t="s">
        <v>12954</v>
      </c>
      <c r="N78" s="177" t="s">
        <v>12908</v>
      </c>
      <c r="O78" s="177"/>
      <c r="P78" s="177" t="s">
        <v>11502</v>
      </c>
      <c r="Q78" s="177"/>
      <c r="R78" s="177" t="s">
        <v>12650</v>
      </c>
      <c r="S78" s="177" t="s">
        <v>12651</v>
      </c>
      <c r="T78" s="177" t="s">
        <v>12652</v>
      </c>
      <c r="U78" s="177" t="s">
        <v>12166</v>
      </c>
      <c r="V78" s="177" t="s">
        <v>12909</v>
      </c>
      <c r="W78" s="177" t="s">
        <v>622</v>
      </c>
    </row>
    <row r="79" spans="1:23" ht="84.9" customHeight="1">
      <c r="A79" s="177" t="s">
        <v>12955</v>
      </c>
      <c r="B79" s="177" t="s">
        <v>12956</v>
      </c>
      <c r="C79" s="177" t="s">
        <v>12957</v>
      </c>
      <c r="D79" s="177" t="s">
        <v>625</v>
      </c>
      <c r="E79" s="177" t="s">
        <v>12646</v>
      </c>
      <c r="F79" s="177"/>
      <c r="G79" s="177" t="s">
        <v>11502</v>
      </c>
      <c r="H79" s="177"/>
      <c r="I79" s="177" t="s">
        <v>11694</v>
      </c>
      <c r="J79" s="177"/>
      <c r="K79" s="177"/>
      <c r="L79" s="177" t="s">
        <v>12648</v>
      </c>
      <c r="M79" s="177" t="s">
        <v>12957</v>
      </c>
      <c r="N79" s="177" t="s">
        <v>12908</v>
      </c>
      <c r="O79" s="177"/>
      <c r="P79" s="177" t="s">
        <v>11502</v>
      </c>
      <c r="Q79" s="177"/>
      <c r="R79" s="177" t="s">
        <v>12650</v>
      </c>
      <c r="S79" s="177" t="s">
        <v>12651</v>
      </c>
      <c r="T79" s="177" t="s">
        <v>12652</v>
      </c>
      <c r="U79" s="177" t="s">
        <v>12166</v>
      </c>
      <c r="V79" s="177" t="s">
        <v>12909</v>
      </c>
      <c r="W79" s="177" t="s">
        <v>622</v>
      </c>
    </row>
    <row r="80" spans="1:23" ht="84.9" customHeight="1">
      <c r="A80" s="177" t="s">
        <v>12958</v>
      </c>
      <c r="B80" s="177" t="s">
        <v>12959</v>
      </c>
      <c r="C80" s="177" t="s">
        <v>12960</v>
      </c>
      <c r="D80" s="177" t="s">
        <v>626</v>
      </c>
      <c r="E80" s="177" t="s">
        <v>12646</v>
      </c>
      <c r="F80" s="177"/>
      <c r="G80" s="177" t="s">
        <v>11502</v>
      </c>
      <c r="H80" s="177"/>
      <c r="I80" s="177" t="s">
        <v>11694</v>
      </c>
      <c r="J80" s="177"/>
      <c r="K80" s="177"/>
      <c r="L80" s="177" t="s">
        <v>12648</v>
      </c>
      <c r="M80" s="177" t="s">
        <v>12960</v>
      </c>
      <c r="N80" s="177" t="s">
        <v>12908</v>
      </c>
      <c r="O80" s="177"/>
      <c r="P80" s="177" t="s">
        <v>11502</v>
      </c>
      <c r="Q80" s="177"/>
      <c r="R80" s="177" t="s">
        <v>12650</v>
      </c>
      <c r="S80" s="177" t="s">
        <v>12651</v>
      </c>
      <c r="T80" s="177" t="s">
        <v>12652</v>
      </c>
      <c r="U80" s="177" t="s">
        <v>12166</v>
      </c>
      <c r="V80" s="177" t="s">
        <v>12909</v>
      </c>
      <c r="W80" s="177" t="s">
        <v>622</v>
      </c>
    </row>
    <row r="81" spans="1:23" ht="84.9" customHeight="1">
      <c r="A81" s="177" t="s">
        <v>12961</v>
      </c>
      <c r="B81" s="177" t="s">
        <v>12962</v>
      </c>
      <c r="C81" s="177" t="s">
        <v>12963</v>
      </c>
      <c r="D81" s="177" t="s">
        <v>627</v>
      </c>
      <c r="E81" s="177" t="s">
        <v>12646</v>
      </c>
      <c r="F81" s="177"/>
      <c r="G81" s="177" t="s">
        <v>11502</v>
      </c>
      <c r="H81" s="177"/>
      <c r="I81" s="177" t="s">
        <v>11694</v>
      </c>
      <c r="J81" s="177"/>
      <c r="K81" s="177"/>
      <c r="L81" s="177" t="s">
        <v>12648</v>
      </c>
      <c r="M81" s="177" t="s">
        <v>12963</v>
      </c>
      <c r="N81" s="177" t="s">
        <v>12908</v>
      </c>
      <c r="O81" s="177"/>
      <c r="P81" s="177" t="s">
        <v>11502</v>
      </c>
      <c r="Q81" s="177"/>
      <c r="R81" s="177" t="s">
        <v>12650</v>
      </c>
      <c r="S81" s="177" t="s">
        <v>12651</v>
      </c>
      <c r="T81" s="177" t="s">
        <v>12652</v>
      </c>
      <c r="U81" s="177" t="s">
        <v>12166</v>
      </c>
      <c r="V81" s="177" t="s">
        <v>12909</v>
      </c>
      <c r="W81" s="177" t="s">
        <v>622</v>
      </c>
    </row>
    <row r="82" spans="1:23" ht="70.75" customHeight="1">
      <c r="A82" s="177" t="s">
        <v>12964</v>
      </c>
      <c r="B82" s="177" t="s">
        <v>12965</v>
      </c>
      <c r="C82" s="177" t="s">
        <v>12966</v>
      </c>
      <c r="D82" s="177" t="s">
        <v>628</v>
      </c>
      <c r="E82" s="177" t="s">
        <v>12631</v>
      </c>
      <c r="F82" s="177"/>
      <c r="G82" s="177" t="s">
        <v>11502</v>
      </c>
      <c r="H82" s="177"/>
      <c r="I82" s="177" t="s">
        <v>11694</v>
      </c>
      <c r="J82" s="177"/>
      <c r="K82" s="177"/>
      <c r="L82" s="177" t="s">
        <v>12632</v>
      </c>
      <c r="M82" s="177" t="s">
        <v>12966</v>
      </c>
      <c r="N82" s="177" t="s">
        <v>12633</v>
      </c>
      <c r="O82" s="177"/>
      <c r="P82" s="177" t="s">
        <v>11502</v>
      </c>
      <c r="Q82" s="177"/>
      <c r="R82" s="177" t="s">
        <v>12634</v>
      </c>
      <c r="S82" s="177" t="s">
        <v>12635</v>
      </c>
      <c r="T82" s="177" t="s">
        <v>12302</v>
      </c>
      <c r="U82" s="177" t="s">
        <v>12166</v>
      </c>
      <c r="V82" s="177"/>
      <c r="W82" s="177"/>
    </row>
    <row r="83" spans="1:23" ht="84.9" customHeight="1">
      <c r="A83" s="177" t="s">
        <v>12967</v>
      </c>
      <c r="B83" s="177" t="s">
        <v>12968</v>
      </c>
      <c r="C83" s="177" t="s">
        <v>12969</v>
      </c>
      <c r="D83" s="177" t="s">
        <v>629</v>
      </c>
      <c r="E83" s="177" t="s">
        <v>12646</v>
      </c>
      <c r="F83" s="177"/>
      <c r="G83" s="177" t="s">
        <v>11502</v>
      </c>
      <c r="H83" s="177"/>
      <c r="I83" s="177" t="s">
        <v>11694</v>
      </c>
      <c r="J83" s="177"/>
      <c r="K83" s="177" t="s">
        <v>12734</v>
      </c>
      <c r="L83" s="177" t="s">
        <v>12648</v>
      </c>
      <c r="M83" s="177" t="s">
        <v>12969</v>
      </c>
      <c r="N83" s="177" t="s">
        <v>12908</v>
      </c>
      <c r="O83" s="177"/>
      <c r="P83" s="177" t="s">
        <v>11502</v>
      </c>
      <c r="Q83" s="177"/>
      <c r="R83" s="177" t="s">
        <v>12650</v>
      </c>
      <c r="S83" s="177" t="s">
        <v>12651</v>
      </c>
      <c r="T83" s="177" t="s">
        <v>12652</v>
      </c>
      <c r="U83" s="177" t="s">
        <v>12710</v>
      </c>
      <c r="V83" s="177" t="s">
        <v>12909</v>
      </c>
      <c r="W83" s="177" t="s">
        <v>630</v>
      </c>
    </row>
    <row r="84" spans="1:23" ht="84.9" customHeight="1">
      <c r="A84" s="177" t="s">
        <v>12970</v>
      </c>
      <c r="B84" s="177" t="s">
        <v>12971</v>
      </c>
      <c r="C84" s="177" t="s">
        <v>12972</v>
      </c>
      <c r="D84" s="177" t="s">
        <v>632</v>
      </c>
      <c r="E84" s="177" t="s">
        <v>12646</v>
      </c>
      <c r="F84" s="177"/>
      <c r="G84" s="177" t="s">
        <v>11502</v>
      </c>
      <c r="H84" s="177"/>
      <c r="I84" s="177" t="s">
        <v>11694</v>
      </c>
      <c r="J84" s="177"/>
      <c r="K84" s="177" t="s">
        <v>12734</v>
      </c>
      <c r="L84" s="177" t="s">
        <v>12648</v>
      </c>
      <c r="M84" s="177" t="s">
        <v>12972</v>
      </c>
      <c r="N84" s="177" t="s">
        <v>12908</v>
      </c>
      <c r="O84" s="177"/>
      <c r="P84" s="177" t="s">
        <v>11502</v>
      </c>
      <c r="Q84" s="177"/>
      <c r="R84" s="177" t="s">
        <v>12650</v>
      </c>
      <c r="S84" s="177" t="s">
        <v>12651</v>
      </c>
      <c r="T84" s="177" t="s">
        <v>12652</v>
      </c>
      <c r="U84" s="177" t="s">
        <v>12710</v>
      </c>
      <c r="V84" s="177" t="s">
        <v>12909</v>
      </c>
      <c r="W84" s="177" t="s">
        <v>630</v>
      </c>
    </row>
    <row r="85" spans="1:23" ht="84.9" customHeight="1">
      <c r="A85" s="177" t="s">
        <v>12973</v>
      </c>
      <c r="B85" s="177" t="s">
        <v>12974</v>
      </c>
      <c r="C85" s="177" t="s">
        <v>12975</v>
      </c>
      <c r="D85" s="177" t="s">
        <v>633</v>
      </c>
      <c r="E85" s="177" t="s">
        <v>12646</v>
      </c>
      <c r="F85" s="177"/>
      <c r="G85" s="177" t="s">
        <v>11502</v>
      </c>
      <c r="H85" s="177"/>
      <c r="I85" s="177" t="s">
        <v>11694</v>
      </c>
      <c r="J85" s="177"/>
      <c r="K85" s="177" t="s">
        <v>12734</v>
      </c>
      <c r="L85" s="177" t="s">
        <v>12648</v>
      </c>
      <c r="M85" s="177" t="s">
        <v>12975</v>
      </c>
      <c r="N85" s="177" t="s">
        <v>12908</v>
      </c>
      <c r="O85" s="177"/>
      <c r="P85" s="177" t="s">
        <v>11502</v>
      </c>
      <c r="Q85" s="177"/>
      <c r="R85" s="177" t="s">
        <v>12650</v>
      </c>
      <c r="S85" s="177" t="s">
        <v>12651</v>
      </c>
      <c r="T85" s="177" t="s">
        <v>12652</v>
      </c>
      <c r="U85" s="177" t="s">
        <v>12710</v>
      </c>
      <c r="V85" s="177" t="s">
        <v>12909</v>
      </c>
      <c r="W85" s="177" t="s">
        <v>630</v>
      </c>
    </row>
    <row r="86" spans="1:23" ht="84.9" customHeight="1">
      <c r="A86" s="177" t="s">
        <v>12976</v>
      </c>
      <c r="B86" s="177" t="s">
        <v>12977</v>
      </c>
      <c r="C86" s="177" t="s">
        <v>12978</v>
      </c>
      <c r="D86" s="177" t="s">
        <v>634</v>
      </c>
      <c r="E86" s="177" t="s">
        <v>12646</v>
      </c>
      <c r="F86" s="177"/>
      <c r="G86" s="177" t="s">
        <v>11502</v>
      </c>
      <c r="H86" s="177"/>
      <c r="I86" s="177" t="s">
        <v>11694</v>
      </c>
      <c r="J86" s="177"/>
      <c r="K86" s="177" t="s">
        <v>12734</v>
      </c>
      <c r="L86" s="177" t="s">
        <v>12648</v>
      </c>
      <c r="M86" s="177" t="s">
        <v>12978</v>
      </c>
      <c r="N86" s="177" t="s">
        <v>12908</v>
      </c>
      <c r="O86" s="177"/>
      <c r="P86" s="177" t="s">
        <v>11502</v>
      </c>
      <c r="Q86" s="177"/>
      <c r="R86" s="177" t="s">
        <v>12650</v>
      </c>
      <c r="S86" s="177" t="s">
        <v>12651</v>
      </c>
      <c r="T86" s="177" t="s">
        <v>12652</v>
      </c>
      <c r="U86" s="177" t="s">
        <v>12710</v>
      </c>
      <c r="V86" s="177" t="s">
        <v>12909</v>
      </c>
      <c r="W86" s="177" t="s">
        <v>630</v>
      </c>
    </row>
    <row r="87" spans="1:23" ht="84.9" customHeight="1">
      <c r="A87" s="177" t="s">
        <v>12979</v>
      </c>
      <c r="B87" s="177" t="s">
        <v>12980</v>
      </c>
      <c r="C87" s="177" t="s">
        <v>12981</v>
      </c>
      <c r="D87" s="177" t="s">
        <v>635</v>
      </c>
      <c r="E87" s="177" t="s">
        <v>12646</v>
      </c>
      <c r="F87" s="177"/>
      <c r="G87" s="177" t="s">
        <v>11502</v>
      </c>
      <c r="H87" s="177"/>
      <c r="I87" s="177" t="s">
        <v>11694</v>
      </c>
      <c r="J87" s="177"/>
      <c r="K87" s="177" t="s">
        <v>12734</v>
      </c>
      <c r="L87" s="177" t="s">
        <v>12648</v>
      </c>
      <c r="M87" s="177" t="s">
        <v>12981</v>
      </c>
      <c r="N87" s="177" t="s">
        <v>12908</v>
      </c>
      <c r="O87" s="177"/>
      <c r="P87" s="177" t="s">
        <v>11502</v>
      </c>
      <c r="Q87" s="177"/>
      <c r="R87" s="177" t="s">
        <v>12650</v>
      </c>
      <c r="S87" s="177" t="s">
        <v>12651</v>
      </c>
      <c r="T87" s="177" t="s">
        <v>12652</v>
      </c>
      <c r="U87" s="177" t="s">
        <v>12710</v>
      </c>
      <c r="V87" s="177" t="s">
        <v>12909</v>
      </c>
      <c r="W87" s="177" t="s">
        <v>630</v>
      </c>
    </row>
    <row r="88" spans="1:23" ht="42.45" customHeight="1">
      <c r="A88" s="177" t="s">
        <v>12982</v>
      </c>
      <c r="B88" s="177" t="s">
        <v>12983</v>
      </c>
      <c r="C88" s="177" t="s">
        <v>12984</v>
      </c>
      <c r="D88" s="177" t="s">
        <v>636</v>
      </c>
      <c r="E88" s="177" t="s">
        <v>12631</v>
      </c>
      <c r="F88" s="177"/>
      <c r="G88" s="177" t="s">
        <v>11502</v>
      </c>
      <c r="H88" s="177"/>
      <c r="I88" s="177" t="s">
        <v>11694</v>
      </c>
      <c r="J88" s="177"/>
      <c r="K88" s="177"/>
      <c r="L88" s="177" t="s">
        <v>12632</v>
      </c>
      <c r="M88" s="177" t="s">
        <v>12984</v>
      </c>
      <c r="N88" s="177" t="s">
        <v>12633</v>
      </c>
      <c r="O88" s="177"/>
      <c r="P88" s="177" t="s">
        <v>11502</v>
      </c>
      <c r="Q88" s="177"/>
      <c r="R88" s="177" t="s">
        <v>12634</v>
      </c>
      <c r="S88" s="177" t="s">
        <v>12635</v>
      </c>
      <c r="T88" s="177" t="s">
        <v>12302</v>
      </c>
      <c r="U88" s="177" t="s">
        <v>12166</v>
      </c>
      <c r="V88" s="177"/>
      <c r="W88" s="177"/>
    </row>
    <row r="89" spans="1:23" ht="42.45" customHeight="1">
      <c r="A89" s="177" t="s">
        <v>12985</v>
      </c>
      <c r="B89" s="177" t="s">
        <v>12986</v>
      </c>
      <c r="C89" s="177" t="s">
        <v>12987</v>
      </c>
      <c r="D89" s="177" t="s">
        <v>637</v>
      </c>
      <c r="E89" s="177" t="s">
        <v>12631</v>
      </c>
      <c r="F89" s="177" t="s">
        <v>638</v>
      </c>
      <c r="G89" s="177" t="s">
        <v>11502</v>
      </c>
      <c r="H89" s="177"/>
      <c r="I89" s="177" t="s">
        <v>11694</v>
      </c>
      <c r="J89" s="177"/>
      <c r="K89" s="177"/>
      <c r="L89" s="177" t="s">
        <v>12632</v>
      </c>
      <c r="M89" s="177" t="s">
        <v>12987</v>
      </c>
      <c r="N89" s="177" t="s">
        <v>12633</v>
      </c>
      <c r="O89" s="177"/>
      <c r="P89" s="177" t="s">
        <v>11502</v>
      </c>
      <c r="Q89" s="177"/>
      <c r="R89" s="177" t="s">
        <v>12634</v>
      </c>
      <c r="S89" s="177" t="s">
        <v>12635</v>
      </c>
      <c r="T89" s="177" t="s">
        <v>12302</v>
      </c>
      <c r="U89" s="177" t="s">
        <v>12166</v>
      </c>
      <c r="V89" s="177"/>
      <c r="W89" s="177" t="s">
        <v>74</v>
      </c>
    </row>
    <row r="90" spans="1:23" ht="99" customHeight="1">
      <c r="A90" s="177" t="s">
        <v>12988</v>
      </c>
      <c r="B90" s="177" t="s">
        <v>12989</v>
      </c>
      <c r="C90" s="177" t="s">
        <v>12990</v>
      </c>
      <c r="D90" s="177" t="s">
        <v>639</v>
      </c>
      <c r="E90" s="177" t="s">
        <v>12646</v>
      </c>
      <c r="F90" s="177"/>
      <c r="G90" s="177" t="s">
        <v>11502</v>
      </c>
      <c r="H90" s="177"/>
      <c r="I90" s="177" t="s">
        <v>11694</v>
      </c>
      <c r="J90" s="177"/>
      <c r="K90" s="177"/>
      <c r="L90" s="177" t="s">
        <v>12648</v>
      </c>
      <c r="M90" s="177" t="s">
        <v>12990</v>
      </c>
      <c r="N90" s="177" t="s">
        <v>12908</v>
      </c>
      <c r="O90" s="177"/>
      <c r="P90" s="177" t="s">
        <v>11502</v>
      </c>
      <c r="Q90" s="177"/>
      <c r="R90" s="177" t="s">
        <v>12650</v>
      </c>
      <c r="S90" s="177" t="s">
        <v>12651</v>
      </c>
      <c r="T90" s="177" t="s">
        <v>12652</v>
      </c>
      <c r="U90" s="177" t="s">
        <v>12166</v>
      </c>
      <c r="V90" s="177" t="s">
        <v>12909</v>
      </c>
      <c r="W90" s="177" t="s">
        <v>640</v>
      </c>
    </row>
    <row r="91" spans="1:23" ht="99" customHeight="1">
      <c r="A91" s="177" t="s">
        <v>12991</v>
      </c>
      <c r="B91" s="177" t="s">
        <v>12992</v>
      </c>
      <c r="C91" s="177" t="s">
        <v>12993</v>
      </c>
      <c r="D91" s="177" t="s">
        <v>642</v>
      </c>
      <c r="E91" s="177" t="s">
        <v>12646</v>
      </c>
      <c r="F91" s="177"/>
      <c r="G91" s="177" t="s">
        <v>11502</v>
      </c>
      <c r="H91" s="177"/>
      <c r="I91" s="177" t="s">
        <v>11694</v>
      </c>
      <c r="J91" s="177"/>
      <c r="K91" s="177"/>
      <c r="L91" s="177" t="s">
        <v>12648</v>
      </c>
      <c r="M91" s="177" t="s">
        <v>12993</v>
      </c>
      <c r="N91" s="177" t="s">
        <v>12908</v>
      </c>
      <c r="O91" s="177"/>
      <c r="P91" s="177" t="s">
        <v>11502</v>
      </c>
      <c r="Q91" s="177"/>
      <c r="R91" s="177" t="s">
        <v>12650</v>
      </c>
      <c r="S91" s="177" t="s">
        <v>12651</v>
      </c>
      <c r="T91" s="177" t="s">
        <v>12652</v>
      </c>
      <c r="U91" s="177" t="s">
        <v>12166</v>
      </c>
      <c r="V91" s="177" t="s">
        <v>12909</v>
      </c>
      <c r="W91" s="177" t="s">
        <v>640</v>
      </c>
    </row>
    <row r="92" spans="1:23" ht="99" customHeight="1">
      <c r="A92" s="177" t="s">
        <v>12994</v>
      </c>
      <c r="B92" s="177" t="s">
        <v>12995</v>
      </c>
      <c r="C92" s="177" t="s">
        <v>12996</v>
      </c>
      <c r="D92" s="177" t="s">
        <v>643</v>
      </c>
      <c r="E92" s="177" t="s">
        <v>12646</v>
      </c>
      <c r="F92" s="177"/>
      <c r="G92" s="177" t="s">
        <v>11502</v>
      </c>
      <c r="H92" s="177"/>
      <c r="I92" s="177" t="s">
        <v>11694</v>
      </c>
      <c r="J92" s="177"/>
      <c r="K92" s="177"/>
      <c r="L92" s="177" t="s">
        <v>12648</v>
      </c>
      <c r="M92" s="177" t="s">
        <v>12996</v>
      </c>
      <c r="N92" s="177" t="s">
        <v>12908</v>
      </c>
      <c r="O92" s="177"/>
      <c r="P92" s="177" t="s">
        <v>11502</v>
      </c>
      <c r="Q92" s="177"/>
      <c r="R92" s="177" t="s">
        <v>12650</v>
      </c>
      <c r="S92" s="177" t="s">
        <v>12651</v>
      </c>
      <c r="T92" s="177" t="s">
        <v>12652</v>
      </c>
      <c r="U92" s="177" t="s">
        <v>12166</v>
      </c>
      <c r="V92" s="177" t="s">
        <v>12909</v>
      </c>
      <c r="W92" s="177" t="s">
        <v>640</v>
      </c>
    </row>
    <row r="93" spans="1:23" ht="99" customHeight="1">
      <c r="A93" s="177" t="s">
        <v>12997</v>
      </c>
      <c r="B93" s="177" t="s">
        <v>12998</v>
      </c>
      <c r="C93" s="177" t="s">
        <v>12999</v>
      </c>
      <c r="D93" s="177" t="s">
        <v>644</v>
      </c>
      <c r="E93" s="177" t="s">
        <v>12646</v>
      </c>
      <c r="F93" s="177"/>
      <c r="G93" s="177" t="s">
        <v>11502</v>
      </c>
      <c r="H93" s="177"/>
      <c r="I93" s="177" t="s">
        <v>11694</v>
      </c>
      <c r="J93" s="177"/>
      <c r="K93" s="177"/>
      <c r="L93" s="177" t="s">
        <v>12648</v>
      </c>
      <c r="M93" s="177" t="s">
        <v>12999</v>
      </c>
      <c r="N93" s="177" t="s">
        <v>12908</v>
      </c>
      <c r="O93" s="177"/>
      <c r="P93" s="177" t="s">
        <v>11502</v>
      </c>
      <c r="Q93" s="177"/>
      <c r="R93" s="177" t="s">
        <v>12650</v>
      </c>
      <c r="S93" s="177" t="s">
        <v>12651</v>
      </c>
      <c r="T93" s="177" t="s">
        <v>12652</v>
      </c>
      <c r="U93" s="177" t="s">
        <v>12166</v>
      </c>
      <c r="V93" s="177" t="s">
        <v>12909</v>
      </c>
      <c r="W93" s="177" t="s">
        <v>640</v>
      </c>
    </row>
    <row r="94" spans="1:23" ht="99" customHeight="1">
      <c r="A94" s="177" t="s">
        <v>13000</v>
      </c>
      <c r="B94" s="177" t="s">
        <v>13001</v>
      </c>
      <c r="C94" s="177" t="s">
        <v>13002</v>
      </c>
      <c r="D94" s="177" t="s">
        <v>645</v>
      </c>
      <c r="E94" s="177" t="s">
        <v>12646</v>
      </c>
      <c r="F94" s="177"/>
      <c r="G94" s="177" t="s">
        <v>11502</v>
      </c>
      <c r="H94" s="177"/>
      <c r="I94" s="177" t="s">
        <v>11694</v>
      </c>
      <c r="J94" s="177"/>
      <c r="K94" s="177"/>
      <c r="L94" s="177" t="s">
        <v>12648</v>
      </c>
      <c r="M94" s="177" t="s">
        <v>13002</v>
      </c>
      <c r="N94" s="177" t="s">
        <v>12908</v>
      </c>
      <c r="O94" s="177"/>
      <c r="P94" s="177" t="s">
        <v>11502</v>
      </c>
      <c r="Q94" s="177"/>
      <c r="R94" s="177" t="s">
        <v>12650</v>
      </c>
      <c r="S94" s="177" t="s">
        <v>12651</v>
      </c>
      <c r="T94" s="177" t="s">
        <v>12652</v>
      </c>
      <c r="U94" s="177" t="s">
        <v>12166</v>
      </c>
      <c r="V94" s="177" t="s">
        <v>12909</v>
      </c>
      <c r="W94" s="177" t="s">
        <v>640</v>
      </c>
    </row>
    <row r="95" spans="1:23" ht="56.6" customHeight="1">
      <c r="A95" s="177" t="s">
        <v>13003</v>
      </c>
      <c r="B95" s="177" t="s">
        <v>13004</v>
      </c>
      <c r="C95" s="177" t="s">
        <v>13005</v>
      </c>
      <c r="D95" s="177" t="s">
        <v>646</v>
      </c>
      <c r="E95" s="177" t="s">
        <v>12631</v>
      </c>
      <c r="F95" s="177"/>
      <c r="G95" s="177" t="s">
        <v>11502</v>
      </c>
      <c r="H95" s="177"/>
      <c r="I95" s="177" t="s">
        <v>11694</v>
      </c>
      <c r="J95" s="177"/>
      <c r="K95" s="177"/>
      <c r="L95" s="177" t="s">
        <v>12632</v>
      </c>
      <c r="M95" s="177" t="s">
        <v>13005</v>
      </c>
      <c r="N95" s="177" t="s">
        <v>12633</v>
      </c>
      <c r="O95" s="177"/>
      <c r="P95" s="177" t="s">
        <v>11502</v>
      </c>
      <c r="Q95" s="177"/>
      <c r="R95" s="177" t="s">
        <v>12634</v>
      </c>
      <c r="S95" s="177" t="s">
        <v>12635</v>
      </c>
      <c r="T95" s="177" t="s">
        <v>12302</v>
      </c>
      <c r="U95" s="177" t="s">
        <v>12166</v>
      </c>
      <c r="V95" s="177"/>
      <c r="W95" s="177"/>
    </row>
    <row r="96" spans="1:23" ht="254.6" customHeight="1">
      <c r="A96" s="177" t="s">
        <v>13006</v>
      </c>
      <c r="B96" s="177" t="s">
        <v>13007</v>
      </c>
      <c r="C96" s="177" t="s">
        <v>13008</v>
      </c>
      <c r="D96" s="177" t="s">
        <v>647</v>
      </c>
      <c r="E96" s="177" t="s">
        <v>12646</v>
      </c>
      <c r="F96" s="177"/>
      <c r="G96" s="177" t="s">
        <v>11502</v>
      </c>
      <c r="H96" s="177"/>
      <c r="I96" s="177" t="s">
        <v>3703</v>
      </c>
      <c r="J96" s="177" t="s">
        <v>13009</v>
      </c>
      <c r="K96" s="177"/>
      <c r="L96" s="177" t="s">
        <v>13010</v>
      </c>
      <c r="M96" s="177" t="s">
        <v>13008</v>
      </c>
      <c r="N96" s="177" t="s">
        <v>13011</v>
      </c>
      <c r="O96" s="177" t="s">
        <v>13012</v>
      </c>
      <c r="P96" s="177" t="s">
        <v>13013</v>
      </c>
      <c r="Q96" s="177" t="s">
        <v>13006</v>
      </c>
      <c r="R96" s="177" t="s">
        <v>13014</v>
      </c>
      <c r="S96" s="177" t="s">
        <v>12665</v>
      </c>
      <c r="T96" s="177" t="s">
        <v>12652</v>
      </c>
      <c r="U96" s="177" t="s">
        <v>12166</v>
      </c>
      <c r="V96" s="177" t="s">
        <v>13015</v>
      </c>
      <c r="W96" s="177" t="s">
        <v>648</v>
      </c>
    </row>
    <row r="97" spans="1:23" ht="127.3" customHeight="1">
      <c r="A97" s="177" t="s">
        <v>12073</v>
      </c>
      <c r="B97" s="177" t="s">
        <v>13016</v>
      </c>
      <c r="C97" s="177" t="s">
        <v>12072</v>
      </c>
      <c r="D97" s="177" t="s">
        <v>649</v>
      </c>
      <c r="E97" s="177" t="s">
        <v>12673</v>
      </c>
      <c r="F97" s="177"/>
      <c r="G97" s="177" t="s">
        <v>11504</v>
      </c>
      <c r="H97" s="177" t="s">
        <v>13017</v>
      </c>
      <c r="I97" s="177" t="s">
        <v>11694</v>
      </c>
      <c r="J97" s="177"/>
      <c r="K97" s="177"/>
      <c r="L97" s="177" t="s">
        <v>12678</v>
      </c>
      <c r="M97" s="177" t="s">
        <v>12072</v>
      </c>
      <c r="N97" s="177" t="s">
        <v>12679</v>
      </c>
      <c r="O97" s="177" t="s">
        <v>11678</v>
      </c>
      <c r="P97" s="177" t="s">
        <v>13018</v>
      </c>
      <c r="Q97" s="177" t="s">
        <v>12073</v>
      </c>
      <c r="R97" s="177" t="s">
        <v>13019</v>
      </c>
      <c r="S97" s="177" t="s">
        <v>12665</v>
      </c>
      <c r="T97" s="177" t="s">
        <v>12652</v>
      </c>
      <c r="U97" s="177" t="s">
        <v>12166</v>
      </c>
      <c r="V97" s="177" t="s">
        <v>12770</v>
      </c>
      <c r="W97" s="177" t="s">
        <v>650</v>
      </c>
    </row>
    <row r="98" spans="1:23" ht="226.3" customHeight="1">
      <c r="A98" s="177" t="s">
        <v>13020</v>
      </c>
      <c r="B98" s="177" t="s">
        <v>13021</v>
      </c>
      <c r="C98" s="177" t="s">
        <v>13022</v>
      </c>
      <c r="D98" s="177" t="s">
        <v>652</v>
      </c>
      <c r="E98" s="177" t="s">
        <v>12646</v>
      </c>
      <c r="F98" s="177"/>
      <c r="G98" s="177" t="s">
        <v>11502</v>
      </c>
      <c r="H98" s="177"/>
      <c r="I98" s="177" t="s">
        <v>11694</v>
      </c>
      <c r="J98" s="177"/>
      <c r="K98" s="177"/>
      <c r="L98" s="177" t="s">
        <v>12648</v>
      </c>
      <c r="M98" s="177" t="s">
        <v>13022</v>
      </c>
      <c r="N98" s="177" t="s">
        <v>12908</v>
      </c>
      <c r="O98" s="177"/>
      <c r="P98" s="177" t="s">
        <v>11502</v>
      </c>
      <c r="Q98" s="177"/>
      <c r="R98" s="177" t="s">
        <v>12650</v>
      </c>
      <c r="S98" s="177" t="s">
        <v>12651</v>
      </c>
      <c r="T98" s="177" t="s">
        <v>12652</v>
      </c>
      <c r="U98" s="177" t="s">
        <v>12166</v>
      </c>
      <c r="V98" s="177"/>
      <c r="W98" s="177" t="s">
        <v>653</v>
      </c>
    </row>
    <row r="99" spans="1:23" ht="141.44999999999999" customHeight="1">
      <c r="A99" s="177" t="s">
        <v>12076</v>
      </c>
      <c r="B99" s="177" t="s">
        <v>13023</v>
      </c>
      <c r="C99" s="177" t="s">
        <v>12075</v>
      </c>
      <c r="D99" s="177" t="s">
        <v>654</v>
      </c>
      <c r="E99" s="177" t="s">
        <v>12673</v>
      </c>
      <c r="F99" s="177"/>
      <c r="G99" s="177" t="s">
        <v>11504</v>
      </c>
      <c r="H99" s="177" t="s">
        <v>13024</v>
      </c>
      <c r="I99" s="177" t="s">
        <v>52</v>
      </c>
      <c r="J99" s="177" t="s">
        <v>13025</v>
      </c>
      <c r="K99" s="177" t="s">
        <v>12706</v>
      </c>
      <c r="L99" s="177" t="s">
        <v>12678</v>
      </c>
      <c r="M99" s="177" t="s">
        <v>12075</v>
      </c>
      <c r="N99" s="177" t="s">
        <v>12679</v>
      </c>
      <c r="O99" s="177" t="s">
        <v>11640</v>
      </c>
      <c r="P99" s="177" t="s">
        <v>13026</v>
      </c>
      <c r="Q99" s="177" t="s">
        <v>12076</v>
      </c>
      <c r="R99" s="177" t="s">
        <v>13027</v>
      </c>
      <c r="S99" s="177" t="s">
        <v>12665</v>
      </c>
      <c r="T99" s="177" t="s">
        <v>12652</v>
      </c>
      <c r="U99" s="177" t="s">
        <v>12710</v>
      </c>
      <c r="V99" s="177" t="s">
        <v>13028</v>
      </c>
      <c r="W99" s="177" t="s">
        <v>655</v>
      </c>
    </row>
    <row r="100" spans="1:23" ht="56.6" customHeight="1">
      <c r="A100" s="177" t="s">
        <v>13029</v>
      </c>
      <c r="B100" s="177" t="s">
        <v>13030</v>
      </c>
      <c r="C100" s="177" t="s">
        <v>13031</v>
      </c>
      <c r="D100" s="177" t="s">
        <v>657</v>
      </c>
      <c r="E100" s="177" t="s">
        <v>12631</v>
      </c>
      <c r="F100" s="177"/>
      <c r="G100" s="177" t="s">
        <v>11502</v>
      </c>
      <c r="H100" s="177"/>
      <c r="I100" s="177" t="s">
        <v>11694</v>
      </c>
      <c r="J100" s="177"/>
      <c r="K100" s="177"/>
      <c r="L100" s="177" t="s">
        <v>12632</v>
      </c>
      <c r="M100" s="177" t="s">
        <v>13031</v>
      </c>
      <c r="N100" s="177" t="s">
        <v>12633</v>
      </c>
      <c r="O100" s="177"/>
      <c r="P100" s="177" t="s">
        <v>11502</v>
      </c>
      <c r="Q100" s="177"/>
      <c r="R100" s="177" t="s">
        <v>12634</v>
      </c>
      <c r="S100" s="177" t="s">
        <v>12635</v>
      </c>
      <c r="T100" s="177" t="s">
        <v>12302</v>
      </c>
      <c r="U100" s="177" t="s">
        <v>12166</v>
      </c>
      <c r="V100" s="177"/>
      <c r="W100" s="177"/>
    </row>
    <row r="101" spans="1:23" ht="99" customHeight="1">
      <c r="A101" s="177" t="s">
        <v>12079</v>
      </c>
      <c r="B101" s="177" t="s">
        <v>13032</v>
      </c>
      <c r="C101" s="177" t="s">
        <v>12078</v>
      </c>
      <c r="D101" s="177" t="s">
        <v>658</v>
      </c>
      <c r="E101" s="177" t="s">
        <v>12673</v>
      </c>
      <c r="F101" s="177"/>
      <c r="G101" s="177" t="s">
        <v>11504</v>
      </c>
      <c r="H101" s="177" t="s">
        <v>13033</v>
      </c>
      <c r="I101" s="177" t="s">
        <v>11694</v>
      </c>
      <c r="J101" s="177"/>
      <c r="K101" s="177" t="s">
        <v>12716</v>
      </c>
      <c r="L101" s="177" t="s">
        <v>12678</v>
      </c>
      <c r="M101" s="177" t="s">
        <v>12078</v>
      </c>
      <c r="N101" s="177" t="s">
        <v>12679</v>
      </c>
      <c r="O101" s="177" t="s">
        <v>11671</v>
      </c>
      <c r="P101" s="177" t="s">
        <v>12718</v>
      </c>
      <c r="Q101" s="177" t="s">
        <v>12079</v>
      </c>
      <c r="R101" s="177" t="s">
        <v>13034</v>
      </c>
      <c r="S101" s="177" t="s">
        <v>12665</v>
      </c>
      <c r="T101" s="177" t="s">
        <v>12652</v>
      </c>
      <c r="U101" s="177" t="s">
        <v>12710</v>
      </c>
      <c r="V101" s="177" t="s">
        <v>13035</v>
      </c>
      <c r="W101" s="177" t="s">
        <v>659</v>
      </c>
    </row>
    <row r="102" spans="1:23" ht="99" customHeight="1">
      <c r="A102" s="177" t="s">
        <v>12118</v>
      </c>
      <c r="B102" s="177" t="s">
        <v>13036</v>
      </c>
      <c r="C102" s="177" t="s">
        <v>12117</v>
      </c>
      <c r="D102" s="177" t="s">
        <v>661</v>
      </c>
      <c r="E102" s="177" t="s">
        <v>12646</v>
      </c>
      <c r="F102" s="177"/>
      <c r="G102" s="177" t="s">
        <v>11502</v>
      </c>
      <c r="H102" s="177"/>
      <c r="I102" s="177" t="s">
        <v>52</v>
      </c>
      <c r="J102" s="177" t="s">
        <v>13025</v>
      </c>
      <c r="K102" s="177"/>
      <c r="L102" s="177" t="s">
        <v>13010</v>
      </c>
      <c r="M102" s="177" t="s">
        <v>12117</v>
      </c>
      <c r="N102" s="177" t="s">
        <v>13011</v>
      </c>
      <c r="O102" s="177"/>
      <c r="P102" s="177" t="s">
        <v>13037</v>
      </c>
      <c r="Q102" s="177" t="s">
        <v>12118</v>
      </c>
      <c r="R102" s="177" t="s">
        <v>13014</v>
      </c>
      <c r="S102" s="177" t="s">
        <v>12665</v>
      </c>
      <c r="T102" s="177" t="s">
        <v>12652</v>
      </c>
      <c r="U102" s="177" t="s">
        <v>12166</v>
      </c>
      <c r="V102" s="177" t="s">
        <v>13038</v>
      </c>
      <c r="W102" s="177" t="s">
        <v>662</v>
      </c>
    </row>
    <row r="103" spans="1:23" ht="99" customHeight="1">
      <c r="A103" s="177" t="s">
        <v>12082</v>
      </c>
      <c r="B103" s="177" t="s">
        <v>13039</v>
      </c>
      <c r="C103" s="177" t="s">
        <v>12081</v>
      </c>
      <c r="D103" s="177" t="s">
        <v>663</v>
      </c>
      <c r="E103" s="177" t="s">
        <v>12673</v>
      </c>
      <c r="F103" s="177"/>
      <c r="G103" s="177" t="s">
        <v>11504</v>
      </c>
      <c r="H103" s="177" t="s">
        <v>13040</v>
      </c>
      <c r="I103" s="177" t="s">
        <v>52</v>
      </c>
      <c r="J103" s="177" t="s">
        <v>13025</v>
      </c>
      <c r="K103" s="177"/>
      <c r="L103" s="177" t="s">
        <v>12678</v>
      </c>
      <c r="M103" s="177" t="s">
        <v>12081</v>
      </c>
      <c r="N103" s="177" t="s">
        <v>12679</v>
      </c>
      <c r="O103" s="177" t="s">
        <v>11637</v>
      </c>
      <c r="P103" s="177" t="s">
        <v>13041</v>
      </c>
      <c r="Q103" s="177" t="s">
        <v>12082</v>
      </c>
      <c r="R103" s="177" t="s">
        <v>13042</v>
      </c>
      <c r="S103" s="177" t="s">
        <v>12665</v>
      </c>
      <c r="T103" s="177" t="s">
        <v>12652</v>
      </c>
      <c r="U103" s="177" t="s">
        <v>12166</v>
      </c>
      <c r="V103" s="177" t="s">
        <v>12770</v>
      </c>
      <c r="W103" s="177" t="s">
        <v>664</v>
      </c>
    </row>
    <row r="104" spans="1:23" ht="84.9" customHeight="1">
      <c r="A104" s="177" t="s">
        <v>11651</v>
      </c>
      <c r="B104" s="177" t="s">
        <v>13043</v>
      </c>
      <c r="C104" s="177" t="s">
        <v>12084</v>
      </c>
      <c r="D104" s="177" t="s">
        <v>665</v>
      </c>
      <c r="E104" s="177" t="s">
        <v>12673</v>
      </c>
      <c r="F104" s="177"/>
      <c r="G104" s="177" t="s">
        <v>11504</v>
      </c>
      <c r="H104" s="177" t="s">
        <v>13044</v>
      </c>
      <c r="I104" s="177" t="s">
        <v>48</v>
      </c>
      <c r="J104" s="177" t="s">
        <v>12647</v>
      </c>
      <c r="K104" s="177"/>
      <c r="L104" s="177" t="s">
        <v>12678</v>
      </c>
      <c r="M104" s="177" t="s">
        <v>12084</v>
      </c>
      <c r="N104" s="177" t="s">
        <v>12679</v>
      </c>
      <c r="O104" s="177" t="s">
        <v>11651</v>
      </c>
      <c r="P104" s="177" t="s">
        <v>13045</v>
      </c>
      <c r="Q104" s="177" t="s">
        <v>11651</v>
      </c>
      <c r="R104" s="177" t="s">
        <v>13046</v>
      </c>
      <c r="S104" s="177" t="s">
        <v>12665</v>
      </c>
      <c r="T104" s="177" t="s">
        <v>12652</v>
      </c>
      <c r="U104" s="177" t="s">
        <v>12166</v>
      </c>
      <c r="V104" s="177" t="s">
        <v>12770</v>
      </c>
      <c r="W104" s="177" t="s">
        <v>666</v>
      </c>
    </row>
    <row r="105" spans="1:23" ht="84.9" customHeight="1">
      <c r="A105" s="177" t="s">
        <v>12087</v>
      </c>
      <c r="B105" s="177" t="s">
        <v>13047</v>
      </c>
      <c r="C105" s="177" t="s">
        <v>12086</v>
      </c>
      <c r="D105" s="177" t="s">
        <v>667</v>
      </c>
      <c r="E105" s="177" t="s">
        <v>12673</v>
      </c>
      <c r="F105" s="177"/>
      <c r="G105" s="177" t="s">
        <v>11504</v>
      </c>
      <c r="H105" s="177" t="s">
        <v>13048</v>
      </c>
      <c r="I105" s="177" t="s">
        <v>48</v>
      </c>
      <c r="J105" s="177" t="s">
        <v>12647</v>
      </c>
      <c r="K105" s="177"/>
      <c r="L105" s="177" t="s">
        <v>12678</v>
      </c>
      <c r="M105" s="177" t="s">
        <v>12086</v>
      </c>
      <c r="N105" s="177" t="s">
        <v>12679</v>
      </c>
      <c r="O105" s="177" t="s">
        <v>11655</v>
      </c>
      <c r="P105" s="177" t="s">
        <v>13049</v>
      </c>
      <c r="Q105" s="177" t="s">
        <v>12087</v>
      </c>
      <c r="R105" s="177" t="s">
        <v>13050</v>
      </c>
      <c r="S105" s="177" t="s">
        <v>12665</v>
      </c>
      <c r="T105" s="177" t="s">
        <v>12652</v>
      </c>
      <c r="U105" s="177" t="s">
        <v>12166</v>
      </c>
      <c r="V105" s="177" t="s">
        <v>12770</v>
      </c>
      <c r="W105" s="177" t="s">
        <v>668</v>
      </c>
    </row>
    <row r="106" spans="1:23" ht="113.15" customHeight="1">
      <c r="A106" s="177" t="s">
        <v>13051</v>
      </c>
      <c r="B106" s="177" t="s">
        <v>13052</v>
      </c>
      <c r="C106" s="177" t="s">
        <v>13053</v>
      </c>
      <c r="D106" s="177" t="s">
        <v>669</v>
      </c>
      <c r="E106" s="177" t="s">
        <v>12658</v>
      </c>
      <c r="F106" s="177">
        <f>IFERROR(VLOOKUP($B$108,_CONFIG_Model_Settings!$A$154:$B$158,2,0),12500)</f>
        <v>12500</v>
      </c>
      <c r="G106" s="177" t="s">
        <v>11502</v>
      </c>
      <c r="H106" s="177"/>
      <c r="I106" s="177" t="s">
        <v>13054</v>
      </c>
      <c r="J106" s="177" t="s">
        <v>13055</v>
      </c>
      <c r="K106" s="177" t="s">
        <v>12716</v>
      </c>
      <c r="L106" s="177" t="s">
        <v>12661</v>
      </c>
      <c r="M106" s="177" t="s">
        <v>13053</v>
      </c>
      <c r="N106" s="177" t="s">
        <v>13056</v>
      </c>
      <c r="O106" s="177"/>
      <c r="P106" s="177" t="s">
        <v>13057</v>
      </c>
      <c r="Q106" s="177" t="s">
        <v>13051</v>
      </c>
      <c r="R106" s="177" t="s">
        <v>12664</v>
      </c>
      <c r="S106" s="177" t="s">
        <v>12665</v>
      </c>
      <c r="T106" s="177" t="s">
        <v>12652</v>
      </c>
      <c r="U106" s="177" t="s">
        <v>12710</v>
      </c>
      <c r="V106" s="177" t="s">
        <v>13058</v>
      </c>
      <c r="W106" s="177" t="s">
        <v>13059</v>
      </c>
    </row>
  </sheetData>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J84"/>
  <sheetViews>
    <sheetView showGridLines="0" workbookViewId="0">
      <pane ySplit="4" topLeftCell="A5" activePane="bottomLeft" state="frozen"/>
      <selection pane="bottomLeft"/>
    </sheetView>
  </sheetViews>
  <sheetFormatPr defaultRowHeight="14.15"/>
  <cols>
    <col min="1" max="1" width="30" customWidth="1"/>
    <col min="2" max="2" width="22" customWidth="1"/>
    <col min="3" max="4" width="28" customWidth="1"/>
    <col min="5" max="5" width="34" customWidth="1"/>
    <col min="6" max="6" width="16" customWidth="1"/>
    <col min="7" max="7" width="32" customWidth="1"/>
    <col min="8" max="8" width="36" customWidth="1"/>
    <col min="9" max="9" width="16" customWidth="1"/>
    <col min="10" max="10" width="48" customWidth="1"/>
  </cols>
  <sheetData>
    <row r="1" spans="1:10" ht="24" customHeight="1">
      <c r="A1" s="312" t="s">
        <v>13060</v>
      </c>
      <c r="B1" s="267"/>
      <c r="C1" s="267"/>
      <c r="D1" s="267"/>
      <c r="E1" s="267"/>
      <c r="F1" s="267"/>
      <c r="G1" s="267"/>
      <c r="H1" s="267"/>
      <c r="I1" s="267"/>
      <c r="J1" s="267"/>
    </row>
    <row r="2" spans="1:10" ht="34" customHeight="1">
      <c r="A2" s="314" t="s">
        <v>13061</v>
      </c>
      <c r="B2" s="267"/>
      <c r="C2" s="267"/>
      <c r="D2" s="267"/>
      <c r="E2" s="267"/>
      <c r="F2" s="267"/>
      <c r="G2" s="267"/>
      <c r="H2" s="267"/>
      <c r="I2" s="267"/>
      <c r="J2" s="267"/>
    </row>
    <row r="4" spans="1:10">
      <c r="A4" s="176" t="s">
        <v>13062</v>
      </c>
      <c r="B4" s="176" t="s">
        <v>13063</v>
      </c>
      <c r="C4" s="176" t="s">
        <v>13064</v>
      </c>
      <c r="D4" s="176" t="s">
        <v>13065</v>
      </c>
      <c r="E4" s="176" t="s">
        <v>11625</v>
      </c>
      <c r="F4" s="176" t="s">
        <v>13066</v>
      </c>
      <c r="G4" s="176" t="s">
        <v>12623</v>
      </c>
      <c r="H4" s="176" t="s">
        <v>13067</v>
      </c>
      <c r="I4" s="176" t="s">
        <v>742</v>
      </c>
      <c r="J4" s="176" t="s">
        <v>744</v>
      </c>
    </row>
    <row r="5" spans="1:10" ht="42.45" customHeight="1">
      <c r="A5" s="177" t="s">
        <v>13068</v>
      </c>
      <c r="B5" s="177" t="s">
        <v>13069</v>
      </c>
      <c r="C5" s="177" t="s">
        <v>13070</v>
      </c>
      <c r="D5" s="177">
        <f>'Company Profile'!$B$5</f>
        <v>0</v>
      </c>
      <c r="E5" s="177">
        <f>D5</f>
        <v>0</v>
      </c>
      <c r="F5" s="177"/>
      <c r="G5" s="177" t="s">
        <v>13068</v>
      </c>
      <c r="H5" s="177" t="s">
        <v>13071</v>
      </c>
      <c r="I5" s="178" t="s">
        <v>12652</v>
      </c>
      <c r="J5" s="177" t="s">
        <v>13072</v>
      </c>
    </row>
    <row r="6" spans="1:10" ht="42.45" customHeight="1">
      <c r="A6" s="177" t="s">
        <v>13073</v>
      </c>
      <c r="B6" s="177" t="s">
        <v>13069</v>
      </c>
      <c r="C6" s="177" t="s">
        <v>13074</v>
      </c>
      <c r="D6" s="177">
        <f ca="1">'Company Profile'!$B$6</f>
        <v>46197</v>
      </c>
      <c r="E6" s="177">
        <f ca="1">D6</f>
        <v>46197</v>
      </c>
      <c r="F6" s="177"/>
      <c r="G6" s="177" t="s">
        <v>13073</v>
      </c>
      <c r="H6" s="177" t="s">
        <v>13075</v>
      </c>
      <c r="I6" s="178" t="s">
        <v>12652</v>
      </c>
      <c r="J6" s="177"/>
    </row>
    <row r="7" spans="1:10">
      <c r="A7" s="177" t="s">
        <v>13076</v>
      </c>
      <c r="B7" s="177" t="s">
        <v>13077</v>
      </c>
      <c r="C7" s="177" t="s">
        <v>13078</v>
      </c>
      <c r="D7" s="177">
        <f>'Company Profile'!$B$9</f>
        <v>0</v>
      </c>
      <c r="E7" s="177">
        <f>IF(D7="","",IFERROR(IFERROR(INDEX(_REF_Industry_Aliases!$C$2:$C$80,MATCH(LOWER(TRIM(D7)),_REF_Industry_Aliases!$B$2:$B$80,0)),D7),D7))</f>
        <v>0</v>
      </c>
      <c r="F7" s="177"/>
      <c r="G7" s="177" t="s">
        <v>699</v>
      </c>
      <c r="H7" s="177" t="s">
        <v>13079</v>
      </c>
      <c r="I7" s="178" t="s">
        <v>12652</v>
      </c>
      <c r="J7" s="177"/>
    </row>
    <row r="8" spans="1:10">
      <c r="A8" s="177" t="s">
        <v>13080</v>
      </c>
      <c r="B8" s="177" t="s">
        <v>13077</v>
      </c>
      <c r="C8" s="177" t="s">
        <v>13081</v>
      </c>
      <c r="D8" s="177">
        <f>'Company Profile'!$B$9</f>
        <v>0</v>
      </c>
      <c r="E8" s="177" t="str">
        <f>IF(D8="","",IFERROR(IFERROR(INDEX(_REF_Industry_Aliases!$D$2:$D$80,MATCH(LOWER(TRIM(D8)),_REF_Industry_Aliases!$B$2:$B$80,0)),"Generic Organization"),"Generic Organization"))</f>
        <v>Generic Organization</v>
      </c>
      <c r="F8" s="177"/>
      <c r="G8" s="177" t="s">
        <v>702</v>
      </c>
      <c r="H8" s="177" t="s">
        <v>13082</v>
      </c>
      <c r="I8" s="178" t="s">
        <v>12652</v>
      </c>
      <c r="J8" s="177"/>
    </row>
    <row r="9" spans="1:10">
      <c r="A9" s="177" t="s">
        <v>13083</v>
      </c>
      <c r="B9" s="177" t="s">
        <v>13077</v>
      </c>
      <c r="C9" s="177" t="s">
        <v>13081</v>
      </c>
      <c r="D9" s="177">
        <f>'Company Profile'!$B$9</f>
        <v>0</v>
      </c>
      <c r="E9" s="177" t="str">
        <f>IF(D9="","",IFERROR(IFERROR(INDEX(_REF_Industry_Aliases!$E$2:$E$80,MATCH(LOWER(TRIM(D9)),_REF_Industry_Aliases!$B$2:$B$80,0)),"Generic"),"Generic"))</f>
        <v>Generic</v>
      </c>
      <c r="F9" s="177"/>
      <c r="G9" s="177" t="s">
        <v>13084</v>
      </c>
      <c r="H9" s="177" t="s">
        <v>13085</v>
      </c>
      <c r="I9" s="178" t="s">
        <v>12652</v>
      </c>
      <c r="J9" s="177"/>
    </row>
    <row r="10" spans="1:10" ht="42.45" customHeight="1">
      <c r="A10" s="177" t="s">
        <v>13086</v>
      </c>
      <c r="B10" s="177" t="s">
        <v>13077</v>
      </c>
      <c r="C10" s="177" t="s">
        <v>13087</v>
      </c>
      <c r="D10" s="177">
        <f>'Company Profile'!$B$10</f>
        <v>0</v>
      </c>
      <c r="E10" s="177">
        <f t="shared" ref="E10:E41" si="0">D10</f>
        <v>0</v>
      </c>
      <c r="F10" s="177"/>
      <c r="G10" s="177" t="s">
        <v>13086</v>
      </c>
      <c r="H10" s="177" t="s">
        <v>13088</v>
      </c>
      <c r="I10" s="178" t="s">
        <v>12652</v>
      </c>
      <c r="J10" s="177"/>
    </row>
    <row r="11" spans="1:10" ht="42.45" customHeight="1">
      <c r="A11" s="177" t="s">
        <v>13089</v>
      </c>
      <c r="B11" s="177" t="s">
        <v>13077</v>
      </c>
      <c r="C11" s="177" t="s">
        <v>13090</v>
      </c>
      <c r="D11" s="177">
        <f>'Company Profile'!$B$11</f>
        <v>0</v>
      </c>
      <c r="E11" s="177">
        <f t="shared" si="0"/>
        <v>0</v>
      </c>
      <c r="F11" s="177"/>
      <c r="G11" s="177" t="s">
        <v>13089</v>
      </c>
      <c r="H11" s="177" t="s">
        <v>13091</v>
      </c>
      <c r="I11" s="178" t="s">
        <v>12652</v>
      </c>
      <c r="J11" s="177"/>
    </row>
    <row r="12" spans="1:10" ht="42.45" customHeight="1">
      <c r="A12" s="177" t="s">
        <v>13092</v>
      </c>
      <c r="B12" s="177" t="s">
        <v>13077</v>
      </c>
      <c r="C12" s="177" t="s">
        <v>13093</v>
      </c>
      <c r="D12" s="177">
        <f>'Company Profile'!$B$12</f>
        <v>0</v>
      </c>
      <c r="E12" s="177">
        <f t="shared" si="0"/>
        <v>0</v>
      </c>
      <c r="F12" s="177"/>
      <c r="G12" s="177" t="s">
        <v>13092</v>
      </c>
      <c r="H12" s="177" t="s">
        <v>13094</v>
      </c>
      <c r="I12" s="178" t="s">
        <v>12652</v>
      </c>
      <c r="J12" s="177"/>
    </row>
    <row r="13" spans="1:10" ht="42.45" customHeight="1">
      <c r="A13" s="177" t="s">
        <v>13095</v>
      </c>
      <c r="B13" s="177" t="s">
        <v>13077</v>
      </c>
      <c r="C13" s="177" t="s">
        <v>13096</v>
      </c>
      <c r="D13" s="177">
        <f>'Company Profile'!$B$13</f>
        <v>0</v>
      </c>
      <c r="E13" s="177">
        <f t="shared" si="0"/>
        <v>0</v>
      </c>
      <c r="F13" s="177"/>
      <c r="G13" s="177" t="s">
        <v>13095</v>
      </c>
      <c r="H13" s="177" t="s">
        <v>13097</v>
      </c>
      <c r="I13" s="178" t="s">
        <v>12652</v>
      </c>
      <c r="J13" s="177"/>
    </row>
    <row r="14" spans="1:10" ht="42.45" customHeight="1">
      <c r="A14" s="177" t="s">
        <v>13098</v>
      </c>
      <c r="B14" s="177" t="s">
        <v>13077</v>
      </c>
      <c r="C14" s="177" t="s">
        <v>13099</v>
      </c>
      <c r="D14" s="177">
        <f>'Company Profile'!$B$14</f>
        <v>0</v>
      </c>
      <c r="E14" s="177">
        <f t="shared" si="0"/>
        <v>0</v>
      </c>
      <c r="F14" s="177"/>
      <c r="G14" s="177" t="s">
        <v>13098</v>
      </c>
      <c r="H14" s="177" t="s">
        <v>13100</v>
      </c>
      <c r="I14" s="178" t="s">
        <v>12652</v>
      </c>
      <c r="J14" s="177"/>
    </row>
    <row r="15" spans="1:10" ht="42.45" customHeight="1">
      <c r="A15" s="177" t="s">
        <v>13101</v>
      </c>
      <c r="B15" s="177" t="s">
        <v>13102</v>
      </c>
      <c r="C15" s="177" t="s">
        <v>13103</v>
      </c>
      <c r="D15" s="177">
        <f>'Company Profile'!$B$15</f>
        <v>0</v>
      </c>
      <c r="E15" s="177">
        <f t="shared" si="0"/>
        <v>0</v>
      </c>
      <c r="F15" s="177">
        <f>IFERROR(VALUE(D15),"")</f>
        <v>0</v>
      </c>
      <c r="G15" s="177" t="s">
        <v>13101</v>
      </c>
      <c r="H15" s="177" t="s">
        <v>13104</v>
      </c>
      <c r="I15" s="178" t="s">
        <v>12652</v>
      </c>
      <c r="J15" s="177"/>
    </row>
    <row r="16" spans="1:10" ht="42.45" customHeight="1">
      <c r="A16" s="177" t="s">
        <v>13105</v>
      </c>
      <c r="B16" s="177" t="s">
        <v>13102</v>
      </c>
      <c r="C16" s="177" t="s">
        <v>13106</v>
      </c>
      <c r="D16" s="177">
        <f>'Company Profile'!$B$105</f>
        <v>0</v>
      </c>
      <c r="E16" s="177">
        <f t="shared" si="0"/>
        <v>0</v>
      </c>
      <c r="F16" s="177"/>
      <c r="G16" s="177" t="s">
        <v>13105</v>
      </c>
      <c r="H16" s="177" t="s">
        <v>13107</v>
      </c>
      <c r="I16" s="178" t="s">
        <v>12652</v>
      </c>
      <c r="J16" s="177"/>
    </row>
    <row r="17" spans="1:10" ht="42.45" customHeight="1">
      <c r="A17" s="177" t="s">
        <v>13108</v>
      </c>
      <c r="B17" s="177" t="s">
        <v>13109</v>
      </c>
      <c r="C17" s="177" t="s">
        <v>13110</v>
      </c>
      <c r="D17" s="177">
        <f>'Company Profile'!$B$17</f>
        <v>0</v>
      </c>
      <c r="E17" s="177">
        <f t="shared" si="0"/>
        <v>0</v>
      </c>
      <c r="F17" s="177"/>
      <c r="G17" s="177" t="s">
        <v>13111</v>
      </c>
      <c r="H17" s="177" t="s">
        <v>13112</v>
      </c>
      <c r="I17" s="178" t="s">
        <v>12652</v>
      </c>
      <c r="J17" s="177"/>
    </row>
    <row r="18" spans="1:10" ht="42.45" customHeight="1">
      <c r="A18" s="177" t="s">
        <v>13113</v>
      </c>
      <c r="B18" s="177" t="s">
        <v>13109</v>
      </c>
      <c r="C18" s="177" t="s">
        <v>13114</v>
      </c>
      <c r="D18" s="177">
        <f>'Company Profile'!$B$18</f>
        <v>0</v>
      </c>
      <c r="E18" s="177">
        <f t="shared" si="0"/>
        <v>0</v>
      </c>
      <c r="F18" s="177"/>
      <c r="G18" s="177" t="s">
        <v>13115</v>
      </c>
      <c r="H18" s="177" t="s">
        <v>13116</v>
      </c>
      <c r="I18" s="178" t="s">
        <v>12652</v>
      </c>
      <c r="J18" s="177"/>
    </row>
    <row r="19" spans="1:10" ht="42.45" customHeight="1">
      <c r="A19" s="177" t="s">
        <v>13117</v>
      </c>
      <c r="B19" s="177" t="s">
        <v>13118</v>
      </c>
      <c r="C19" s="177" t="s">
        <v>13119</v>
      </c>
      <c r="D19" s="177">
        <f>'Company Profile'!$B$50</f>
        <v>0</v>
      </c>
      <c r="E19" s="177">
        <f t="shared" si="0"/>
        <v>0</v>
      </c>
      <c r="F19" s="177"/>
      <c r="G19" s="177" t="s">
        <v>13120</v>
      </c>
      <c r="H19" s="177" t="s">
        <v>13121</v>
      </c>
      <c r="I19" s="178" t="s">
        <v>12652</v>
      </c>
      <c r="J19" s="177"/>
    </row>
    <row r="20" spans="1:10" ht="42.45" customHeight="1">
      <c r="A20" s="177" t="s">
        <v>13122</v>
      </c>
      <c r="B20" s="177" t="s">
        <v>13118</v>
      </c>
      <c r="C20" s="177" t="s">
        <v>13123</v>
      </c>
      <c r="D20" s="177">
        <f>'Company Profile'!$B$51</f>
        <v>0</v>
      </c>
      <c r="E20" s="177">
        <f t="shared" si="0"/>
        <v>0</v>
      </c>
      <c r="F20" s="177"/>
      <c r="G20" s="177" t="s">
        <v>13122</v>
      </c>
      <c r="H20" s="177" t="s">
        <v>13124</v>
      </c>
      <c r="I20" s="178" t="s">
        <v>12652</v>
      </c>
      <c r="J20" s="177"/>
    </row>
    <row r="21" spans="1:10" ht="42.45" customHeight="1">
      <c r="A21" s="177" t="s">
        <v>13125</v>
      </c>
      <c r="B21" s="177" t="s">
        <v>13118</v>
      </c>
      <c r="C21" s="177" t="s">
        <v>13126</v>
      </c>
      <c r="D21" s="177">
        <f>'Company Profile'!$B$52</f>
        <v>0</v>
      </c>
      <c r="E21" s="177">
        <f t="shared" si="0"/>
        <v>0</v>
      </c>
      <c r="F21" s="177"/>
      <c r="G21" s="177" t="s">
        <v>13125</v>
      </c>
      <c r="H21" s="177" t="s">
        <v>13127</v>
      </c>
      <c r="I21" s="178" t="s">
        <v>12652</v>
      </c>
      <c r="J21" s="177"/>
    </row>
    <row r="22" spans="1:10" ht="42.45" customHeight="1">
      <c r="A22" s="177" t="s">
        <v>13128</v>
      </c>
      <c r="B22" s="177" t="s">
        <v>13118</v>
      </c>
      <c r="C22" s="177" t="s">
        <v>13129</v>
      </c>
      <c r="D22" s="177">
        <f>'Company Profile'!$B$53</f>
        <v>0</v>
      </c>
      <c r="E22" s="177">
        <f t="shared" si="0"/>
        <v>0</v>
      </c>
      <c r="F22" s="177"/>
      <c r="G22" s="177" t="s">
        <v>13128</v>
      </c>
      <c r="H22" s="177" t="s">
        <v>13130</v>
      </c>
      <c r="I22" s="178" t="s">
        <v>12652</v>
      </c>
      <c r="J22" s="177"/>
    </row>
    <row r="23" spans="1:10" ht="42.45" customHeight="1">
      <c r="A23" s="177" t="s">
        <v>13131</v>
      </c>
      <c r="B23" s="177" t="s">
        <v>13132</v>
      </c>
      <c r="C23" s="177" t="s">
        <v>13133</v>
      </c>
      <c r="D23" s="177">
        <f>'Company Profile'!$B$54</f>
        <v>0</v>
      </c>
      <c r="E23" s="177">
        <f t="shared" si="0"/>
        <v>0</v>
      </c>
      <c r="F23" s="177">
        <f t="shared" ref="F23:F29" si="1">IF(E23="","",IF(E23="&lt;10%",1,IF(E23="10-30%",2,IF(E23="30-60%",3,IF(E23="&gt;60%",4,IF(E23="Unknown",0,IF(E23="Unknown / not assessed",0,0)))))))</f>
        <v>0</v>
      </c>
      <c r="G23" s="177" t="s">
        <v>13131</v>
      </c>
      <c r="H23" s="177" t="s">
        <v>13134</v>
      </c>
      <c r="I23" s="178" t="s">
        <v>12652</v>
      </c>
      <c r="J23" s="177"/>
    </row>
    <row r="24" spans="1:10" ht="42.45" customHeight="1">
      <c r="A24" s="177" t="s">
        <v>13135</v>
      </c>
      <c r="B24" s="177" t="s">
        <v>13132</v>
      </c>
      <c r="C24" s="177" t="s">
        <v>13136</v>
      </c>
      <c r="D24" s="177">
        <f>'Company Profile'!$B$55</f>
        <v>0</v>
      </c>
      <c r="E24" s="177">
        <f t="shared" si="0"/>
        <v>0</v>
      </c>
      <c r="F24" s="177">
        <f t="shared" si="1"/>
        <v>0</v>
      </c>
      <c r="G24" s="177" t="s">
        <v>13135</v>
      </c>
      <c r="H24" s="177" t="s">
        <v>13137</v>
      </c>
      <c r="I24" s="178" t="s">
        <v>12652</v>
      </c>
      <c r="J24" s="177"/>
    </row>
    <row r="25" spans="1:10" ht="42.45" customHeight="1">
      <c r="A25" s="177" t="s">
        <v>13138</v>
      </c>
      <c r="B25" s="177" t="s">
        <v>13132</v>
      </c>
      <c r="C25" s="177" t="s">
        <v>13139</v>
      </c>
      <c r="D25" s="177">
        <f>'Company Profile'!$B$56</f>
        <v>0</v>
      </c>
      <c r="E25" s="177">
        <f t="shared" si="0"/>
        <v>0</v>
      </c>
      <c r="F25" s="177">
        <f t="shared" si="1"/>
        <v>0</v>
      </c>
      <c r="G25" s="177" t="s">
        <v>13138</v>
      </c>
      <c r="H25" s="177" t="s">
        <v>13140</v>
      </c>
      <c r="I25" s="178" t="s">
        <v>12652</v>
      </c>
      <c r="J25" s="177"/>
    </row>
    <row r="26" spans="1:10" ht="42.45" customHeight="1">
      <c r="A26" s="177" t="s">
        <v>13141</v>
      </c>
      <c r="B26" s="177" t="s">
        <v>13132</v>
      </c>
      <c r="C26" s="177" t="s">
        <v>13142</v>
      </c>
      <c r="D26" s="177">
        <f>'Company Profile'!$B$57</f>
        <v>0</v>
      </c>
      <c r="E26" s="177">
        <f t="shared" si="0"/>
        <v>0</v>
      </c>
      <c r="F26" s="177">
        <f t="shared" si="1"/>
        <v>0</v>
      </c>
      <c r="G26" s="177" t="s">
        <v>13141</v>
      </c>
      <c r="H26" s="177" t="s">
        <v>13143</v>
      </c>
      <c r="I26" s="178" t="s">
        <v>12652</v>
      </c>
      <c r="J26" s="177"/>
    </row>
    <row r="27" spans="1:10" ht="42.45" customHeight="1">
      <c r="A27" s="177" t="s">
        <v>13144</v>
      </c>
      <c r="B27" s="177" t="s">
        <v>13132</v>
      </c>
      <c r="C27" s="177" t="s">
        <v>13145</v>
      </c>
      <c r="D27" s="177">
        <f>'Company Profile'!$B$58</f>
        <v>0</v>
      </c>
      <c r="E27" s="177">
        <f t="shared" si="0"/>
        <v>0</v>
      </c>
      <c r="F27" s="177">
        <f t="shared" si="1"/>
        <v>0</v>
      </c>
      <c r="G27" s="177" t="s">
        <v>13144</v>
      </c>
      <c r="H27" s="177" t="s">
        <v>13146</v>
      </c>
      <c r="I27" s="178" t="s">
        <v>12652</v>
      </c>
      <c r="J27" s="177"/>
    </row>
    <row r="28" spans="1:10" ht="42.45" customHeight="1">
      <c r="A28" s="177" t="s">
        <v>13147</v>
      </c>
      <c r="B28" s="177" t="s">
        <v>13132</v>
      </c>
      <c r="C28" s="177" t="s">
        <v>13148</v>
      </c>
      <c r="D28" s="177">
        <f>'Company Profile'!$B$74</f>
        <v>0</v>
      </c>
      <c r="E28" s="177">
        <f t="shared" si="0"/>
        <v>0</v>
      </c>
      <c r="F28" s="177">
        <f t="shared" si="1"/>
        <v>0</v>
      </c>
      <c r="G28" s="177" t="s">
        <v>13147</v>
      </c>
      <c r="H28" s="177" t="s">
        <v>13149</v>
      </c>
      <c r="I28" s="178" t="s">
        <v>12652</v>
      </c>
      <c r="J28" s="177"/>
    </row>
    <row r="29" spans="1:10" ht="42.45" customHeight="1">
      <c r="A29" s="177" t="s">
        <v>13150</v>
      </c>
      <c r="B29" s="177" t="s">
        <v>13132</v>
      </c>
      <c r="C29" s="177" t="s">
        <v>13151</v>
      </c>
      <c r="D29" s="177">
        <f>'Company Profile'!$B$75</f>
        <v>0</v>
      </c>
      <c r="E29" s="177">
        <f t="shared" si="0"/>
        <v>0</v>
      </c>
      <c r="F29" s="177">
        <f t="shared" si="1"/>
        <v>0</v>
      </c>
      <c r="G29" s="177" t="s">
        <v>13150</v>
      </c>
      <c r="H29" s="177" t="s">
        <v>13152</v>
      </c>
      <c r="I29" s="178" t="s">
        <v>12652</v>
      </c>
      <c r="J29" s="177"/>
    </row>
    <row r="30" spans="1:10" ht="42.45" customHeight="1">
      <c r="A30" s="177" t="s">
        <v>13153</v>
      </c>
      <c r="B30" s="177" t="s">
        <v>13132</v>
      </c>
      <c r="C30" s="177" t="s">
        <v>13154</v>
      </c>
      <c r="D30" s="177">
        <f>'Company Profile'!$B$59</f>
        <v>0</v>
      </c>
      <c r="E30" s="177">
        <f t="shared" si="0"/>
        <v>0</v>
      </c>
      <c r="F30" s="177">
        <f>IF(E30="","",IF(E30="Easy to replace",1,IF(E30="Replaceable within weeks",2,IF(E30="Replaceable within months",3,IF(E30="Single-source / hard to replace",4,IF(E30="Regulated / certified supplier only",4,IF(E30="Unknown",0,IF(E30="Unknown / not assessed",0,0))))))))</f>
        <v>0</v>
      </c>
      <c r="G30" s="177" t="s">
        <v>13153</v>
      </c>
      <c r="H30" s="177" t="s">
        <v>13155</v>
      </c>
      <c r="I30" s="178" t="s">
        <v>12652</v>
      </c>
      <c r="J30" s="177"/>
    </row>
    <row r="31" spans="1:10" ht="42.45" customHeight="1">
      <c r="A31" s="177" t="s">
        <v>13156</v>
      </c>
      <c r="B31" s="177" t="s">
        <v>13157</v>
      </c>
      <c r="C31" s="177" t="s">
        <v>13158</v>
      </c>
      <c r="D31" s="177">
        <f>'Company Profile'!$B$25</f>
        <v>0</v>
      </c>
      <c r="E31" s="177">
        <f t="shared" si="0"/>
        <v>0</v>
      </c>
      <c r="F31" s="177">
        <f>IF(E31="","",IF(E31="Low",1,IF(E31="Medium",2,IF(E31="High",3,IF(E31="Critical",4,IF(E31="Unknown / not assessed",0,0))))))</f>
        <v>0</v>
      </c>
      <c r="G31" s="177" t="s">
        <v>714</v>
      </c>
      <c r="H31" s="177" t="s">
        <v>13159</v>
      </c>
      <c r="I31" s="178" t="s">
        <v>12652</v>
      </c>
      <c r="J31" s="177"/>
    </row>
    <row r="32" spans="1:10" ht="42.45" customHeight="1">
      <c r="A32" s="177" t="s">
        <v>13160</v>
      </c>
      <c r="B32" s="177" t="s">
        <v>13157</v>
      </c>
      <c r="C32" s="177" t="s">
        <v>13161</v>
      </c>
      <c r="D32" s="177">
        <f>'Company Profile'!$B$26</f>
        <v>0</v>
      </c>
      <c r="E32" s="177">
        <f t="shared" si="0"/>
        <v>0</v>
      </c>
      <c r="F32" s="177"/>
      <c r="G32" s="177" t="s">
        <v>13160</v>
      </c>
      <c r="H32" s="177" t="s">
        <v>13162</v>
      </c>
      <c r="I32" s="178" t="s">
        <v>12652</v>
      </c>
      <c r="J32" s="177"/>
    </row>
    <row r="33" spans="1:10" ht="42.45" customHeight="1">
      <c r="A33" s="177" t="s">
        <v>13163</v>
      </c>
      <c r="B33" s="177" t="s">
        <v>13164</v>
      </c>
      <c r="C33" s="177" t="s">
        <v>13165</v>
      </c>
      <c r="D33" s="177">
        <f>'Company Profile'!$B$27</f>
        <v>0</v>
      </c>
      <c r="E33" s="177">
        <f t="shared" si="0"/>
        <v>0</v>
      </c>
      <c r="F33" s="177"/>
      <c r="G33" s="177" t="s">
        <v>13163</v>
      </c>
      <c r="H33" s="177" t="s">
        <v>13166</v>
      </c>
      <c r="I33" s="178" t="s">
        <v>12652</v>
      </c>
      <c r="J33" s="177"/>
    </row>
    <row r="34" spans="1:10" ht="42.45" customHeight="1">
      <c r="A34" s="177" t="s">
        <v>13167</v>
      </c>
      <c r="B34" s="177" t="s">
        <v>13164</v>
      </c>
      <c r="C34" s="177" t="s">
        <v>13168</v>
      </c>
      <c r="D34" s="177">
        <f>'Company Profile'!$B$28</f>
        <v>0</v>
      </c>
      <c r="E34" s="177">
        <f t="shared" si="0"/>
        <v>0</v>
      </c>
      <c r="F34" s="177">
        <f>IF(E34="","",IF(E34="On-prem only",1,IF(E34="Private cloud",2,IF(E34="Public cloud",3,IF(E34="Hybrid cloud",3,IF(E34="Multi-cloud",4,IF(E34="SaaS-heavy",4,IF(E34="Owned data center",3,IF(E34="Other / Unknown",2,IF(E34="Unknown / not assessed",0,0))))))))))</f>
        <v>0</v>
      </c>
      <c r="G34" s="177" t="s">
        <v>708</v>
      </c>
      <c r="H34" s="177" t="s">
        <v>13169</v>
      </c>
      <c r="I34" s="178" t="s">
        <v>12652</v>
      </c>
      <c r="J34" s="177"/>
    </row>
    <row r="35" spans="1:10" ht="42.45" customHeight="1">
      <c r="A35" s="177" t="s">
        <v>13170</v>
      </c>
      <c r="B35" s="177" t="s">
        <v>13171</v>
      </c>
      <c r="C35" s="177" t="s">
        <v>13172</v>
      </c>
      <c r="D35" s="177">
        <f>'Company Profile'!$B$63</f>
        <v>0</v>
      </c>
      <c r="E35" s="177">
        <f t="shared" si="0"/>
        <v>0</v>
      </c>
      <c r="F35" s="177">
        <f t="shared" ref="F35:F42" si="2">IF(E35="","",IF(E35="None",0,IF(E35="Low",1,IF(E35="Medium",2,IF(E35="High",3,IF(E35="Critical",4,0))))))</f>
        <v>0</v>
      </c>
      <c r="G35" s="177" t="s">
        <v>13170</v>
      </c>
      <c r="H35" s="177" t="s">
        <v>13173</v>
      </c>
      <c r="I35" s="178" t="s">
        <v>12652</v>
      </c>
      <c r="J35" s="177"/>
    </row>
    <row r="36" spans="1:10" ht="42.45" customHeight="1">
      <c r="A36" s="177" t="s">
        <v>13174</v>
      </c>
      <c r="B36" s="177" t="s">
        <v>13171</v>
      </c>
      <c r="C36" s="177" t="s">
        <v>13175</v>
      </c>
      <c r="D36" s="177">
        <f>'Company Profile'!$B$64</f>
        <v>0</v>
      </c>
      <c r="E36" s="177">
        <f t="shared" si="0"/>
        <v>0</v>
      </c>
      <c r="F36" s="177">
        <f t="shared" si="2"/>
        <v>0</v>
      </c>
      <c r="G36" s="177" t="s">
        <v>13174</v>
      </c>
      <c r="H36" s="177" t="s">
        <v>13176</v>
      </c>
      <c r="I36" s="178" t="s">
        <v>12652</v>
      </c>
      <c r="J36" s="177"/>
    </row>
    <row r="37" spans="1:10" ht="42.45" customHeight="1">
      <c r="A37" s="177" t="s">
        <v>13177</v>
      </c>
      <c r="B37" s="177" t="s">
        <v>13171</v>
      </c>
      <c r="C37" s="177" t="s">
        <v>13178</v>
      </c>
      <c r="D37" s="177">
        <f>'Company Profile'!$B$65</f>
        <v>0</v>
      </c>
      <c r="E37" s="177">
        <f t="shared" si="0"/>
        <v>0</v>
      </c>
      <c r="F37" s="177">
        <f t="shared" si="2"/>
        <v>0</v>
      </c>
      <c r="G37" s="177" t="s">
        <v>13177</v>
      </c>
      <c r="H37" s="177" t="s">
        <v>13179</v>
      </c>
      <c r="I37" s="178" t="s">
        <v>12652</v>
      </c>
      <c r="J37" s="177"/>
    </row>
    <row r="38" spans="1:10" ht="42.45" customHeight="1">
      <c r="A38" s="177" t="s">
        <v>13180</v>
      </c>
      <c r="B38" s="177" t="s">
        <v>13171</v>
      </c>
      <c r="C38" s="177" t="s">
        <v>13181</v>
      </c>
      <c r="D38" s="177">
        <f>'Company Profile'!$B$66</f>
        <v>0</v>
      </c>
      <c r="E38" s="177">
        <f t="shared" si="0"/>
        <v>0</v>
      </c>
      <c r="F38" s="177">
        <f t="shared" si="2"/>
        <v>0</v>
      </c>
      <c r="G38" s="177" t="s">
        <v>13180</v>
      </c>
      <c r="H38" s="177" t="s">
        <v>13182</v>
      </c>
      <c r="I38" s="178" t="s">
        <v>12652</v>
      </c>
      <c r="J38" s="177"/>
    </row>
    <row r="39" spans="1:10" ht="42.45" customHeight="1">
      <c r="A39" s="177" t="s">
        <v>13183</v>
      </c>
      <c r="B39" s="177" t="s">
        <v>13171</v>
      </c>
      <c r="C39" s="177" t="s">
        <v>13184</v>
      </c>
      <c r="D39" s="177">
        <f>'Company Profile'!$B$67</f>
        <v>0</v>
      </c>
      <c r="E39" s="177">
        <f t="shared" si="0"/>
        <v>0</v>
      </c>
      <c r="F39" s="177">
        <f t="shared" si="2"/>
        <v>0</v>
      </c>
      <c r="G39" s="177" t="s">
        <v>13183</v>
      </c>
      <c r="H39" s="177" t="s">
        <v>13185</v>
      </c>
      <c r="I39" s="178" t="s">
        <v>12652</v>
      </c>
      <c r="J39" s="177"/>
    </row>
    <row r="40" spans="1:10" ht="42.45" customHeight="1">
      <c r="A40" s="177" t="s">
        <v>13186</v>
      </c>
      <c r="B40" s="177" t="s">
        <v>13171</v>
      </c>
      <c r="C40" s="177" t="s">
        <v>13187</v>
      </c>
      <c r="D40" s="177">
        <f>'Company Profile'!$B$68</f>
        <v>0</v>
      </c>
      <c r="E40" s="177">
        <f t="shared" si="0"/>
        <v>0</v>
      </c>
      <c r="F40" s="177">
        <f t="shared" si="2"/>
        <v>0</v>
      </c>
      <c r="G40" s="177" t="s">
        <v>13186</v>
      </c>
      <c r="H40" s="177" t="s">
        <v>13188</v>
      </c>
      <c r="I40" s="178" t="s">
        <v>12652</v>
      </c>
      <c r="J40" s="177"/>
    </row>
    <row r="41" spans="1:10" ht="42.45" customHeight="1">
      <c r="A41" s="177" t="s">
        <v>13189</v>
      </c>
      <c r="B41" s="177" t="s">
        <v>13171</v>
      </c>
      <c r="C41" s="177" t="s">
        <v>13190</v>
      </c>
      <c r="D41" s="177">
        <f>'Company Profile'!$B$69</f>
        <v>0</v>
      </c>
      <c r="E41" s="177">
        <f t="shared" si="0"/>
        <v>0</v>
      </c>
      <c r="F41" s="177">
        <f t="shared" si="2"/>
        <v>0</v>
      </c>
      <c r="G41" s="177" t="s">
        <v>13189</v>
      </c>
      <c r="H41" s="177" t="s">
        <v>13191</v>
      </c>
      <c r="I41" s="178" t="s">
        <v>12652</v>
      </c>
      <c r="J41" s="177"/>
    </row>
    <row r="42" spans="1:10" ht="42.45" customHeight="1">
      <c r="A42" s="177" t="s">
        <v>13192</v>
      </c>
      <c r="B42" s="177" t="s">
        <v>13171</v>
      </c>
      <c r="C42" s="177" t="s">
        <v>13193</v>
      </c>
      <c r="D42" s="177">
        <f>'Company Profile'!$B$70</f>
        <v>0</v>
      </c>
      <c r="E42" s="177">
        <f t="shared" ref="E42:E73" si="3">D42</f>
        <v>0</v>
      </c>
      <c r="F42" s="177">
        <f t="shared" si="2"/>
        <v>0</v>
      </c>
      <c r="G42" s="177" t="s">
        <v>13192</v>
      </c>
      <c r="H42" s="177" t="s">
        <v>13194</v>
      </c>
      <c r="I42" s="178" t="s">
        <v>12652</v>
      </c>
      <c r="J42" s="177"/>
    </row>
    <row r="43" spans="1:10" ht="42.45" customHeight="1">
      <c r="A43" s="177" t="s">
        <v>13195</v>
      </c>
      <c r="B43" s="177" t="s">
        <v>13196</v>
      </c>
      <c r="C43" s="177" t="s">
        <v>13197</v>
      </c>
      <c r="D43" s="177">
        <f>'Company Profile'!$B$24</f>
        <v>0</v>
      </c>
      <c r="E43" s="177">
        <f t="shared" si="3"/>
        <v>0</v>
      </c>
      <c r="F43" s="177">
        <f>IF(E43="","",IF(E43="Low",1,IF(E43="Medium",2,IF(E43="High",3,IF(E43="Critical",4,IF(E43="Unknown / not assessed",0,0))))))</f>
        <v>0</v>
      </c>
      <c r="G43" s="177" t="s">
        <v>726</v>
      </c>
      <c r="H43" s="177" t="s">
        <v>13198</v>
      </c>
      <c r="I43" s="178" t="s">
        <v>12652</v>
      </c>
      <c r="J43" s="177"/>
    </row>
    <row r="44" spans="1:10" ht="42.45" customHeight="1">
      <c r="A44" s="177" t="s">
        <v>13199</v>
      </c>
      <c r="B44" s="177" t="s">
        <v>13196</v>
      </c>
      <c r="C44" s="177" t="s">
        <v>13200</v>
      </c>
      <c r="D44" s="177">
        <f>'Company Profile'!$B$76</f>
        <v>0</v>
      </c>
      <c r="E44" s="177">
        <f t="shared" si="3"/>
        <v>0</v>
      </c>
      <c r="F44" s="177">
        <f>IF(E44="","",IF(E44="Not possible",0,IF(E44="Limited",1,IF(E44="Partial",2,IF(E44="Mostly remote-ready",3,IF(E44="Fully remote-ready",4,IF(E44="Unknown / not assessed",0,0)))))))</f>
        <v>0</v>
      </c>
      <c r="G44" s="177" t="s">
        <v>723</v>
      </c>
      <c r="H44" s="177" t="s">
        <v>13201</v>
      </c>
      <c r="I44" s="178" t="s">
        <v>12652</v>
      </c>
      <c r="J44" s="177"/>
    </row>
    <row r="45" spans="1:10" ht="42.45" customHeight="1">
      <c r="A45" s="177" t="s">
        <v>13202</v>
      </c>
      <c r="B45" s="177" t="s">
        <v>13196</v>
      </c>
      <c r="C45" s="177" t="s">
        <v>13203</v>
      </c>
      <c r="D45" s="177">
        <f>'Company Profile'!$B$77</f>
        <v>0</v>
      </c>
      <c r="E45" s="177">
        <f t="shared" si="3"/>
        <v>0</v>
      </c>
      <c r="F45" s="177">
        <f>IF(E45="","",IF(E45="None",0,IF(E45="Ad hoc",1,IF(E45="Basic",2,IF(E45="Formal relocation support",3,IF(E45="Tested cross-border continuity",4,IF(E45="Unknown / not assessed",0,0)))))))</f>
        <v>0</v>
      </c>
      <c r="G45" s="177" t="s">
        <v>13202</v>
      </c>
      <c r="H45" s="177" t="s">
        <v>13204</v>
      </c>
      <c r="I45" s="178" t="s">
        <v>12652</v>
      </c>
      <c r="J45" s="177"/>
    </row>
    <row r="46" spans="1:10" ht="42.45" customHeight="1">
      <c r="A46" s="177" t="s">
        <v>13205</v>
      </c>
      <c r="B46" s="177" t="s">
        <v>13206</v>
      </c>
      <c r="C46" s="177" t="s">
        <v>13207</v>
      </c>
      <c r="D46" s="177">
        <f>'Company Profile'!$B$80</f>
        <v>0</v>
      </c>
      <c r="E46" s="177">
        <f t="shared" si="3"/>
        <v>0</v>
      </c>
      <c r="F46" s="177"/>
      <c r="G46" s="177" t="s">
        <v>13205</v>
      </c>
      <c r="H46" s="177" t="s">
        <v>13208</v>
      </c>
      <c r="I46" s="178" t="s">
        <v>12652</v>
      </c>
      <c r="J46" s="177"/>
    </row>
    <row r="47" spans="1:10" ht="42.45" customHeight="1">
      <c r="A47" s="177" t="s">
        <v>13209</v>
      </c>
      <c r="B47" s="177" t="s">
        <v>13206</v>
      </c>
      <c r="C47" s="177" t="s">
        <v>13210</v>
      </c>
      <c r="D47" s="177">
        <f>'Company Profile'!$B$81</f>
        <v>0</v>
      </c>
      <c r="E47" s="177">
        <f t="shared" si="3"/>
        <v>0</v>
      </c>
      <c r="F47" s="177"/>
      <c r="G47" s="177" t="s">
        <v>13209</v>
      </c>
      <c r="H47" s="177" t="s">
        <v>13211</v>
      </c>
      <c r="I47" s="178" t="s">
        <v>12652</v>
      </c>
      <c r="J47" s="177"/>
    </row>
    <row r="48" spans="1:10" ht="42.45" customHeight="1">
      <c r="A48" s="177" t="s">
        <v>13212</v>
      </c>
      <c r="B48" s="177" t="s">
        <v>13206</v>
      </c>
      <c r="C48" s="177" t="s">
        <v>13213</v>
      </c>
      <c r="D48" s="177">
        <f>'Company Profile'!$B$82</f>
        <v>0</v>
      </c>
      <c r="E48" s="177">
        <f t="shared" si="3"/>
        <v>0</v>
      </c>
      <c r="F48" s="177"/>
      <c r="G48" s="177" t="s">
        <v>13212</v>
      </c>
      <c r="H48" s="177" t="s">
        <v>13214</v>
      </c>
      <c r="I48" s="178" t="s">
        <v>12652</v>
      </c>
      <c r="J48" s="177"/>
    </row>
    <row r="49" spans="1:10" ht="42.45" customHeight="1">
      <c r="A49" s="177" t="s">
        <v>13215</v>
      </c>
      <c r="B49" s="177" t="s">
        <v>13206</v>
      </c>
      <c r="C49" s="177" t="s">
        <v>13216</v>
      </c>
      <c r="D49" s="177">
        <f>'Company Profile'!$B$83</f>
        <v>0</v>
      </c>
      <c r="E49" s="177">
        <f t="shared" si="3"/>
        <v>0</v>
      </c>
      <c r="F49" s="177"/>
      <c r="G49" s="177" t="s">
        <v>13215</v>
      </c>
      <c r="H49" s="177" t="s">
        <v>13217</v>
      </c>
      <c r="I49" s="178" t="s">
        <v>12652</v>
      </c>
      <c r="J49" s="177"/>
    </row>
    <row r="50" spans="1:10" ht="42.45" customHeight="1">
      <c r="A50" s="177" t="s">
        <v>13218</v>
      </c>
      <c r="B50" s="177" t="s">
        <v>13206</v>
      </c>
      <c r="C50" s="177" t="s">
        <v>13219</v>
      </c>
      <c r="D50" s="177">
        <f>'Company Profile'!$B$84</f>
        <v>0</v>
      </c>
      <c r="E50" s="177">
        <f t="shared" si="3"/>
        <v>0</v>
      </c>
      <c r="F50" s="177"/>
      <c r="G50" s="177" t="s">
        <v>13218</v>
      </c>
      <c r="H50" s="177" t="s">
        <v>13220</v>
      </c>
      <c r="I50" s="178" t="s">
        <v>12652</v>
      </c>
      <c r="J50" s="177"/>
    </row>
    <row r="51" spans="1:10" ht="42.45" customHeight="1">
      <c r="A51" s="177" t="s">
        <v>13221</v>
      </c>
      <c r="B51" s="177" t="s">
        <v>13222</v>
      </c>
      <c r="C51" s="177" t="s">
        <v>13223</v>
      </c>
      <c r="D51" s="177">
        <f>'Company Profile'!$B$87</f>
        <v>0</v>
      </c>
      <c r="E51" s="177">
        <f t="shared" si="3"/>
        <v>0</v>
      </c>
      <c r="F51" s="177"/>
      <c r="G51" s="177" t="s">
        <v>13221</v>
      </c>
      <c r="H51" s="177" t="s">
        <v>13224</v>
      </c>
      <c r="I51" s="178" t="s">
        <v>12652</v>
      </c>
      <c r="J51" s="177"/>
    </row>
    <row r="52" spans="1:10" ht="42.45" customHeight="1">
      <c r="A52" s="177" t="s">
        <v>13225</v>
      </c>
      <c r="B52" s="177" t="s">
        <v>13222</v>
      </c>
      <c r="C52" s="177" t="s">
        <v>13226</v>
      </c>
      <c r="D52" s="177">
        <f>'Company Profile'!$B$88</f>
        <v>0</v>
      </c>
      <c r="E52" s="177">
        <f t="shared" si="3"/>
        <v>0</v>
      </c>
      <c r="F52" s="177"/>
      <c r="G52" s="177" t="s">
        <v>13225</v>
      </c>
      <c r="H52" s="177" t="s">
        <v>13227</v>
      </c>
      <c r="I52" s="178" t="s">
        <v>12652</v>
      </c>
      <c r="J52" s="177"/>
    </row>
    <row r="53" spans="1:10" ht="42.45" customHeight="1">
      <c r="A53" s="177" t="s">
        <v>13228</v>
      </c>
      <c r="B53" s="177" t="s">
        <v>13222</v>
      </c>
      <c r="C53" s="177" t="s">
        <v>13229</v>
      </c>
      <c r="D53" s="177">
        <f>'Company Profile'!$B$89</f>
        <v>0</v>
      </c>
      <c r="E53" s="177">
        <f t="shared" si="3"/>
        <v>0</v>
      </c>
      <c r="F53" s="177"/>
      <c r="G53" s="177" t="s">
        <v>13228</v>
      </c>
      <c r="H53" s="177" t="s">
        <v>13230</v>
      </c>
      <c r="I53" s="178" t="s">
        <v>12652</v>
      </c>
      <c r="J53" s="177"/>
    </row>
    <row r="54" spans="1:10" ht="42.45" customHeight="1">
      <c r="A54" s="177" t="s">
        <v>13231</v>
      </c>
      <c r="B54" s="177" t="s">
        <v>13222</v>
      </c>
      <c r="C54" s="177" t="s">
        <v>13232</v>
      </c>
      <c r="D54" s="177">
        <f>'Company Profile'!$B$90</f>
        <v>0</v>
      </c>
      <c r="E54" s="177">
        <f t="shared" si="3"/>
        <v>0</v>
      </c>
      <c r="F54" s="177"/>
      <c r="G54" s="177" t="s">
        <v>13231</v>
      </c>
      <c r="H54" s="177" t="s">
        <v>13233</v>
      </c>
      <c r="I54" s="178" t="s">
        <v>12652</v>
      </c>
      <c r="J54" s="177"/>
    </row>
    <row r="55" spans="1:10" ht="42.45" customHeight="1">
      <c r="A55" s="177" t="s">
        <v>13234</v>
      </c>
      <c r="B55" s="177" t="s">
        <v>13222</v>
      </c>
      <c r="C55" s="177" t="s">
        <v>13235</v>
      </c>
      <c r="D55" s="177">
        <f>'Company Profile'!$B$91</f>
        <v>0</v>
      </c>
      <c r="E55" s="177">
        <f t="shared" si="3"/>
        <v>0</v>
      </c>
      <c r="F55" s="177"/>
      <c r="G55" s="177" t="s">
        <v>13234</v>
      </c>
      <c r="H55" s="177" t="s">
        <v>13236</v>
      </c>
      <c r="I55" s="178" t="s">
        <v>12652</v>
      </c>
      <c r="J55" s="177"/>
    </row>
    <row r="56" spans="1:10" ht="42.45" customHeight="1">
      <c r="A56" s="177" t="s">
        <v>13237</v>
      </c>
      <c r="B56" s="177" t="s">
        <v>13238</v>
      </c>
      <c r="C56" s="177" t="s">
        <v>13239</v>
      </c>
      <c r="D56" s="177">
        <f>'Company Profile'!$B$108</f>
        <v>0</v>
      </c>
      <c r="E56" s="177">
        <f t="shared" si="3"/>
        <v>0</v>
      </c>
      <c r="F56" s="177"/>
      <c r="G56" s="177" t="s">
        <v>13237</v>
      </c>
      <c r="H56" s="177" t="s">
        <v>13240</v>
      </c>
      <c r="I56" s="178" t="s">
        <v>12652</v>
      </c>
      <c r="J56" s="177"/>
    </row>
    <row r="57" spans="1:10" ht="42.45" customHeight="1">
      <c r="A57" s="177" t="s">
        <v>13241</v>
      </c>
      <c r="B57" s="177" t="s">
        <v>13238</v>
      </c>
      <c r="C57" s="177" t="s">
        <v>13242</v>
      </c>
      <c r="D57" s="177">
        <f>'Company Profile'!$B$113</f>
        <v>12500</v>
      </c>
      <c r="E57" s="177">
        <f t="shared" si="3"/>
        <v>12500</v>
      </c>
      <c r="F57" s="177">
        <f>IFERROR(VALUE(D57),"")</f>
        <v>12500</v>
      </c>
      <c r="G57" s="177" t="s">
        <v>13243</v>
      </c>
      <c r="H57" s="177" t="s">
        <v>13244</v>
      </c>
      <c r="I57" s="178" t="s">
        <v>12652</v>
      </c>
      <c r="J57" s="177"/>
    </row>
    <row r="58" spans="1:10" ht="42.45" customHeight="1">
      <c r="A58" s="177" t="s">
        <v>13245</v>
      </c>
      <c r="B58" s="177" t="s">
        <v>13238</v>
      </c>
      <c r="C58" s="177" t="s">
        <v>13246</v>
      </c>
      <c r="D58" s="177">
        <f>'Company Profile'!$B$109</f>
        <v>0</v>
      </c>
      <c r="E58" s="177">
        <f t="shared" si="3"/>
        <v>0</v>
      </c>
      <c r="F58" s="177">
        <f>IFERROR(VALUE(D58),"")</f>
        <v>0</v>
      </c>
      <c r="G58" s="177" t="s">
        <v>13245</v>
      </c>
      <c r="H58" s="177" t="s">
        <v>13247</v>
      </c>
      <c r="I58" s="178" t="s">
        <v>12652</v>
      </c>
      <c r="J58" s="177"/>
    </row>
    <row r="59" spans="1:10" ht="42.45" customHeight="1">
      <c r="A59" s="177" t="s">
        <v>13248</v>
      </c>
      <c r="B59" s="177" t="s">
        <v>13238</v>
      </c>
      <c r="C59" s="177" t="s">
        <v>13249</v>
      </c>
      <c r="D59" s="177">
        <f>'Company Profile'!$B$110</f>
        <v>0</v>
      </c>
      <c r="E59" s="177">
        <f t="shared" si="3"/>
        <v>0</v>
      </c>
      <c r="F59" s="177">
        <f>IF(E59="","",IF(E59="&lt;3",1,IF(E59="3-6",2,IF(E59="6-12",3,IF(E59="12+",4,IF(E59="Unknown / not assessed",0,0))))))</f>
        <v>0</v>
      </c>
      <c r="G59" s="177" t="s">
        <v>13248</v>
      </c>
      <c r="H59" s="177" t="s">
        <v>13250</v>
      </c>
      <c r="I59" s="178" t="s">
        <v>12652</v>
      </c>
      <c r="J59" s="177"/>
    </row>
    <row r="60" spans="1:10" ht="42.45" customHeight="1">
      <c r="A60" s="177" t="s">
        <v>13251</v>
      </c>
      <c r="B60" s="177" t="s">
        <v>13238</v>
      </c>
      <c r="C60" s="177" t="s">
        <v>13252</v>
      </c>
      <c r="D60" s="177">
        <f>'Company Profile'!$B$111</f>
        <v>0</v>
      </c>
      <c r="E60" s="177">
        <f t="shared" si="3"/>
        <v>0</v>
      </c>
      <c r="F60" s="177">
        <f>IF(E60="","",IF(E60="None",4,IF(E60="Low",3,IF(E60="Moderate",2,IF(E60="High",1,IF(E60="Unknown / not assessed",0,0))))))</f>
        <v>0</v>
      </c>
      <c r="G60" s="177" t="s">
        <v>13251</v>
      </c>
      <c r="H60" s="177" t="s">
        <v>13253</v>
      </c>
      <c r="I60" s="178" t="s">
        <v>12652</v>
      </c>
      <c r="J60" s="177"/>
    </row>
    <row r="61" spans="1:10" ht="42.45" customHeight="1">
      <c r="A61" s="177" t="s">
        <v>13254</v>
      </c>
      <c r="B61" s="177" t="s">
        <v>13238</v>
      </c>
      <c r="C61" s="177" t="s">
        <v>13255</v>
      </c>
      <c r="D61" s="177">
        <f>'Company Profile'!$B$112</f>
        <v>0</v>
      </c>
      <c r="E61" s="177">
        <f t="shared" si="3"/>
        <v>0</v>
      </c>
      <c r="F61" s="177">
        <f>IF(E61="","",IF(E61="&lt;10%",1,IF(E61="10-30%",2,IF(E61="30-60%",3,IF(E61="&gt;60%",4,IF(E61="Unknown / not assessed",0,0))))))</f>
        <v>0</v>
      </c>
      <c r="G61" s="177" t="s">
        <v>13254</v>
      </c>
      <c r="H61" s="177" t="s">
        <v>13256</v>
      </c>
      <c r="I61" s="178" t="s">
        <v>12652</v>
      </c>
      <c r="J61" s="177"/>
    </row>
    <row r="62" spans="1:10" ht="42.45" customHeight="1">
      <c r="A62" s="177" t="s">
        <v>13257</v>
      </c>
      <c r="B62" s="177" t="s">
        <v>730</v>
      </c>
      <c r="C62" s="177" t="s">
        <v>13258</v>
      </c>
      <c r="D62" s="177">
        <f>'Company Profile'!$B$102</f>
        <v>0</v>
      </c>
      <c r="E62" s="177">
        <f t="shared" si="3"/>
        <v>0</v>
      </c>
      <c r="F62" s="177">
        <f>IFERROR(VALUE(D62),"")</f>
        <v>0</v>
      </c>
      <c r="G62" s="177" t="s">
        <v>732</v>
      </c>
      <c r="H62" s="177" t="s">
        <v>13259</v>
      </c>
      <c r="I62" s="178" t="s">
        <v>12652</v>
      </c>
      <c r="J62" s="177"/>
    </row>
    <row r="63" spans="1:10" ht="42.45" customHeight="1">
      <c r="A63" s="177" t="s">
        <v>13260</v>
      </c>
      <c r="B63" s="177" t="s">
        <v>730</v>
      </c>
      <c r="C63" s="177" t="s">
        <v>13261</v>
      </c>
      <c r="D63" s="177">
        <f>'Company Profile'!$B$103</f>
        <v>0</v>
      </c>
      <c r="E63" s="177">
        <f t="shared" si="3"/>
        <v>0</v>
      </c>
      <c r="F63" s="177">
        <f>IF(E63="","",IF(E63="Low",1,IF(E63="Medium",2,IF(E63="High",3,IF(E63="Unknown / not assessed",0,0)))))</f>
        <v>0</v>
      </c>
      <c r="G63" s="177" t="s">
        <v>13260</v>
      </c>
      <c r="H63" s="177" t="s">
        <v>13262</v>
      </c>
      <c r="I63" s="178" t="s">
        <v>12652</v>
      </c>
      <c r="J63" s="177"/>
    </row>
    <row r="64" spans="1:10" ht="42.45" customHeight="1">
      <c r="A64" s="177" t="s">
        <v>13263</v>
      </c>
      <c r="B64" s="177" t="s">
        <v>535</v>
      </c>
      <c r="C64" s="177" t="s">
        <v>13264</v>
      </c>
      <c r="D64" s="177">
        <f>'Company Profile'!$B$34</f>
        <v>0</v>
      </c>
      <c r="E64" s="177">
        <f t="shared" si="3"/>
        <v>0</v>
      </c>
      <c r="F64" s="177"/>
      <c r="G64" s="177" t="s">
        <v>13263</v>
      </c>
      <c r="H64" s="177" t="s">
        <v>13265</v>
      </c>
      <c r="I64" s="178" t="s">
        <v>12652</v>
      </c>
      <c r="J64" s="177"/>
    </row>
    <row r="65" spans="1:10" ht="42.45" customHeight="1">
      <c r="A65" s="177" t="s">
        <v>13266</v>
      </c>
      <c r="B65" s="177" t="s">
        <v>535</v>
      </c>
      <c r="C65" s="177" t="s">
        <v>13267</v>
      </c>
      <c r="D65" s="177">
        <f>'Company Profile'!$B$35</f>
        <v>0</v>
      </c>
      <c r="E65" s="177">
        <f t="shared" si="3"/>
        <v>0</v>
      </c>
      <c r="F65" s="177"/>
      <c r="G65" s="177" t="s">
        <v>13268</v>
      </c>
      <c r="H65" s="177" t="s">
        <v>13269</v>
      </c>
      <c r="I65" s="178" t="s">
        <v>12652</v>
      </c>
      <c r="J65" s="177"/>
    </row>
    <row r="66" spans="1:10" ht="42.45" customHeight="1">
      <c r="A66" s="177" t="s">
        <v>13270</v>
      </c>
      <c r="B66" s="177" t="s">
        <v>535</v>
      </c>
      <c r="C66" s="177" t="s">
        <v>13271</v>
      </c>
      <c r="D66" s="177" t="str">
        <f>'Company Profile'!$B$40</f>
        <v>Medium</v>
      </c>
      <c r="E66" s="177" t="str">
        <f t="shared" si="3"/>
        <v>Medium</v>
      </c>
      <c r="F66" s="177"/>
      <c r="G66" s="177" t="s">
        <v>13270</v>
      </c>
      <c r="H66" s="177" t="s">
        <v>13272</v>
      </c>
      <c r="I66" s="178" t="s">
        <v>12652</v>
      </c>
      <c r="J66" s="177"/>
    </row>
    <row r="67" spans="1:10" ht="42.45" customHeight="1">
      <c r="A67" s="177" t="s">
        <v>13273</v>
      </c>
      <c r="B67" s="177" t="s">
        <v>535</v>
      </c>
      <c r="C67" s="177" t="s">
        <v>13274</v>
      </c>
      <c r="D67" s="177" t="str">
        <f>'Company Profile'!$B$41</f>
        <v>Medium</v>
      </c>
      <c r="E67" s="177" t="str">
        <f t="shared" si="3"/>
        <v>Medium</v>
      </c>
      <c r="F67" s="177"/>
      <c r="G67" s="177" t="s">
        <v>13273</v>
      </c>
      <c r="H67" s="177" t="s">
        <v>13275</v>
      </c>
      <c r="I67" s="178" t="s">
        <v>12652</v>
      </c>
      <c r="J67" s="177"/>
    </row>
    <row r="68" spans="1:10" ht="28.3" customHeight="1">
      <c r="A68" s="177" t="s">
        <v>13276</v>
      </c>
      <c r="B68" s="177" t="s">
        <v>13277</v>
      </c>
      <c r="C68" s="177" t="s">
        <v>13278</v>
      </c>
      <c r="D68" s="177">
        <f>'Company Profile'!$B$29</f>
        <v>0</v>
      </c>
      <c r="E68" s="177">
        <f t="shared" si="3"/>
        <v>0</v>
      </c>
      <c r="F68" s="177"/>
      <c r="G68" s="177" t="s">
        <v>735</v>
      </c>
      <c r="H68" s="177" t="s">
        <v>13279</v>
      </c>
      <c r="I68" s="178" t="s">
        <v>12652</v>
      </c>
      <c r="J68" s="177"/>
    </row>
    <row r="69" spans="1:10" ht="28.3" customHeight="1">
      <c r="A69" s="177" t="s">
        <v>13280</v>
      </c>
      <c r="B69" s="177" t="s">
        <v>13277</v>
      </c>
      <c r="C69" s="177" t="s">
        <v>13281</v>
      </c>
      <c r="D69" s="177">
        <f>'Company Profile'!$B$30</f>
        <v>0</v>
      </c>
      <c r="E69" s="177">
        <f t="shared" si="3"/>
        <v>0</v>
      </c>
      <c r="F69" s="177">
        <f>IFERROR(VALUE(E69),"")</f>
        <v>0</v>
      </c>
      <c r="G69" s="177" t="s">
        <v>738</v>
      </c>
      <c r="H69" s="177" t="s">
        <v>13282</v>
      </c>
      <c r="I69" s="178" t="s">
        <v>12652</v>
      </c>
      <c r="J69" s="177"/>
    </row>
    <row r="70" spans="1:10" ht="42.45" customHeight="1">
      <c r="A70" s="177" t="s">
        <v>13283</v>
      </c>
      <c r="B70" s="177" t="s">
        <v>636</v>
      </c>
      <c r="C70" s="177" t="s">
        <v>13284</v>
      </c>
      <c r="D70" s="177">
        <f>'Company Profile'!$B$95</f>
        <v>0</v>
      </c>
      <c r="E70" s="177">
        <f t="shared" si="3"/>
        <v>0</v>
      </c>
      <c r="F70" s="177">
        <f>IF(E70="","",IF(OR(E70="Not experienced",E70="None"),0,IF(OR(E70="Minor",E70="Low"),1,IF(OR(E70="Moderate",E70="Medium"),2,IF(OR(E70="Major",E70="High"),3,IF(OR(E70="Severe",E70="Critical"),4,IF(OR(E70="Unknown",E70="Unknown / not assessed"),0,0)))))))</f>
        <v>0</v>
      </c>
      <c r="G70" s="177" t="s">
        <v>13283</v>
      </c>
      <c r="H70" s="177" t="s">
        <v>13285</v>
      </c>
      <c r="I70" s="178" t="s">
        <v>12652</v>
      </c>
      <c r="J70" s="177"/>
    </row>
    <row r="71" spans="1:10" ht="42.45" customHeight="1">
      <c r="A71" s="177" t="s">
        <v>13286</v>
      </c>
      <c r="B71" s="177" t="s">
        <v>636</v>
      </c>
      <c r="C71" s="177" t="s">
        <v>13287</v>
      </c>
      <c r="D71" s="177">
        <f>'Company Profile'!$B$96</f>
        <v>0</v>
      </c>
      <c r="E71" s="177">
        <f t="shared" si="3"/>
        <v>0</v>
      </c>
      <c r="F71" s="177">
        <f>IF(E71="","",IF(OR(E71="Not experienced",E71="None"),0,IF(OR(E71="Minor",E71="Low"),1,IF(OR(E71="Moderate",E71="Medium"),2,IF(OR(E71="Major",E71="High"),3,IF(OR(E71="Severe",E71="Critical"),4,IF(OR(E71="Unknown",E71="Unknown / not assessed"),0,0)))))))</f>
        <v>0</v>
      </c>
      <c r="G71" s="177" t="s">
        <v>13286</v>
      </c>
      <c r="H71" s="177" t="s">
        <v>13288</v>
      </c>
      <c r="I71" s="178" t="s">
        <v>12652</v>
      </c>
      <c r="J71" s="177"/>
    </row>
    <row r="72" spans="1:10" ht="42.45" customHeight="1">
      <c r="A72" s="177" t="s">
        <v>13289</v>
      </c>
      <c r="B72" s="177" t="s">
        <v>636</v>
      </c>
      <c r="C72" s="177" t="s">
        <v>13290</v>
      </c>
      <c r="D72" s="177">
        <f>'Company Profile'!$B$97</f>
        <v>0</v>
      </c>
      <c r="E72" s="177">
        <f t="shared" si="3"/>
        <v>0</v>
      </c>
      <c r="F72" s="177">
        <f>IF(E72="","",IF(OR(E72="Not experienced",E72="None"),0,IF(OR(E72="Minor",E72="Low"),1,IF(OR(E72="Moderate",E72="Medium"),2,IF(OR(E72="Major",E72="High"),3,IF(OR(E72="Severe",E72="Critical"),4,IF(OR(E72="Unknown",E72="Unknown / not assessed"),0,0)))))))</f>
        <v>0</v>
      </c>
      <c r="G72" s="177" t="s">
        <v>13289</v>
      </c>
      <c r="H72" s="177" t="s">
        <v>13291</v>
      </c>
      <c r="I72" s="178" t="s">
        <v>12652</v>
      </c>
      <c r="J72" s="177"/>
    </row>
    <row r="73" spans="1:10" ht="42.45" customHeight="1">
      <c r="A73" s="177" t="s">
        <v>13292</v>
      </c>
      <c r="B73" s="177" t="s">
        <v>636</v>
      </c>
      <c r="C73" s="177" t="s">
        <v>13293</v>
      </c>
      <c r="D73" s="177">
        <f>'Company Profile'!$B$98</f>
        <v>0</v>
      </c>
      <c r="E73" s="177">
        <f t="shared" si="3"/>
        <v>0</v>
      </c>
      <c r="F73" s="177">
        <f>IF(E73="","",IF(OR(E73="Not experienced",E73="None"),0,IF(OR(E73="Minor",E73="Low"),1,IF(OR(E73="Moderate",E73="Medium"),2,IF(OR(E73="Major",E73="High"),3,IF(OR(E73="Severe",E73="Critical"),4,IF(OR(E73="Unknown",E73="Unknown / not assessed"),0,0)))))))</f>
        <v>0</v>
      </c>
      <c r="G73" s="177" t="s">
        <v>13292</v>
      </c>
      <c r="H73" s="177" t="s">
        <v>13294</v>
      </c>
      <c r="I73" s="178" t="s">
        <v>12652</v>
      </c>
      <c r="J73" s="177"/>
    </row>
    <row r="74" spans="1:10" ht="42.45" customHeight="1">
      <c r="A74" s="177" t="s">
        <v>13295</v>
      </c>
      <c r="B74" s="177" t="s">
        <v>636</v>
      </c>
      <c r="C74" s="177" t="s">
        <v>13296</v>
      </c>
      <c r="D74" s="177">
        <f>'Company Profile'!$B$99</f>
        <v>0</v>
      </c>
      <c r="E74" s="177">
        <f t="shared" ref="E74:E105" si="4">D74</f>
        <v>0</v>
      </c>
      <c r="F74" s="177">
        <f>IF(E74="","",IF(OR(E74="Not experienced",E74="None"),0,IF(OR(E74="Minor",E74="Low"),1,IF(OR(E74="Moderate",E74="Medium"),2,IF(OR(E74="Major",E74="High"),3,IF(OR(E74="Severe",E74="Critical"),4,IF(OR(E74="Unknown",E74="Unknown / not assessed"),0,0)))))))</f>
        <v>0</v>
      </c>
      <c r="G74" s="177" t="s">
        <v>13295</v>
      </c>
      <c r="H74" s="177" t="s">
        <v>13297</v>
      </c>
      <c r="I74" s="178" t="s">
        <v>12652</v>
      </c>
      <c r="J74" s="177"/>
    </row>
    <row r="75" spans="1:10" ht="42.45" customHeight="1">
      <c r="A75" s="177" t="s">
        <v>13298</v>
      </c>
      <c r="B75" s="177" t="s">
        <v>13299</v>
      </c>
      <c r="C75" s="177" t="s">
        <v>13300</v>
      </c>
      <c r="D75" s="177"/>
      <c r="E75" s="177" t="str">
        <f>"Derived max customer concentration"</f>
        <v>Derived max customer concentration</v>
      </c>
      <c r="F75" s="177">
        <f>MAX(F23,F24,F25)</f>
        <v>0</v>
      </c>
      <c r="G75" s="177" t="s">
        <v>717</v>
      </c>
      <c r="H75" s="177" t="s">
        <v>13301</v>
      </c>
      <c r="I75" s="178" t="s">
        <v>12652</v>
      </c>
      <c r="J75" s="177"/>
    </row>
    <row r="76" spans="1:10" ht="42.45" customHeight="1">
      <c r="A76" s="177" t="s">
        <v>13302</v>
      </c>
      <c r="B76" s="177" t="s">
        <v>13299</v>
      </c>
      <c r="C76" s="177" t="s">
        <v>13303</v>
      </c>
      <c r="D76" s="177"/>
      <c r="E76" s="177" t="str">
        <f>"Derived max supplier dependency"</f>
        <v>Derived max supplier dependency</v>
      </c>
      <c r="F76" s="177">
        <f>MAX(F26,F27,F30)</f>
        <v>0</v>
      </c>
      <c r="G76" s="177" t="s">
        <v>720</v>
      </c>
      <c r="H76" s="177" t="s">
        <v>13304</v>
      </c>
      <c r="I76" s="178" t="s">
        <v>12652</v>
      </c>
      <c r="J76" s="177"/>
    </row>
    <row r="77" spans="1:10" ht="42.45" customHeight="1">
      <c r="A77" s="177" t="s">
        <v>13305</v>
      </c>
      <c r="B77" s="177" t="s">
        <v>13299</v>
      </c>
      <c r="C77" s="177" t="s">
        <v>13306</v>
      </c>
      <c r="D77" s="177"/>
      <c r="E77" s="177" t="str">
        <f>"Derived max workforce concentration"</f>
        <v>Derived max workforce concentration</v>
      </c>
      <c r="F77" s="177">
        <f>MAX(F28,F29)</f>
        <v>0</v>
      </c>
      <c r="G77" s="177" t="s">
        <v>13307</v>
      </c>
      <c r="H77" s="177" t="s">
        <v>13308</v>
      </c>
      <c r="I77" s="178" t="s">
        <v>12652</v>
      </c>
      <c r="J77" s="177"/>
    </row>
    <row r="78" spans="1:10" ht="42.45" customHeight="1">
      <c r="A78" s="177" t="s">
        <v>13309</v>
      </c>
      <c r="B78" s="177" t="s">
        <v>13299</v>
      </c>
      <c r="C78" s="177" t="s">
        <v>12089</v>
      </c>
      <c r="D78" s="177"/>
      <c r="E78" s="177" t="str">
        <f>"Derived max location criticality"</f>
        <v>Derived max location criticality</v>
      </c>
      <c r="F78" s="177">
        <f>MAX(F35,F36,F37,F38,F39,F40,F41,F42)</f>
        <v>0</v>
      </c>
      <c r="G78" s="177" t="s">
        <v>705</v>
      </c>
      <c r="H78" s="177" t="s">
        <v>13310</v>
      </c>
      <c r="I78" s="178" t="s">
        <v>12652</v>
      </c>
      <c r="J78" s="177"/>
    </row>
    <row r="79" spans="1:10" ht="42.45" customHeight="1">
      <c r="A79" s="177" t="s">
        <v>13311</v>
      </c>
      <c r="B79" s="177" t="s">
        <v>13299</v>
      </c>
      <c r="C79" s="177" t="s">
        <v>13312</v>
      </c>
      <c r="D79" s="177"/>
      <c r="E79" s="177" t="str">
        <f>"Derived from industry default and regulation"</f>
        <v>Derived from industry default and regulation</v>
      </c>
      <c r="F79" s="177">
        <f>MAX(IFERROR(IF(IFERROR(INDEX(_REF_Industry_Aliases!$H$2:$H$80,MATCH(LOWER(TRIM(D7)),_REF_Industry_Aliases!$B$2:$B$80,0)),"Medium")="Low",1,IF(IFERROR(INDEX(_REF_Industry_Aliases!$H$2:$H$80,MATCH(LOWER(TRIM(D7)),_REF_Industry_Aliases!$B$2:$B$80,0)),"Medium")="Medium",2,IF(IFERROR(INDEX(_REF_Industry_Aliases!$H$2:$H$80,MATCH(LOWER(TRIM(D7)),_REF_Industry_Aliases!$B$2:$B$80,0)),"Medium")="High",3,IF(IFERROR(INDEX(_REF_Industry_Aliases!$H$2:$H$80,MATCH(LOWER(TRIM(D7)),_REF_Industry_Aliases!$B$2:$B$80,0)),"Medium")="Critical",4,2)))),2),F31)</f>
        <v>2</v>
      </c>
      <c r="G79" s="177" t="s">
        <v>711</v>
      </c>
      <c r="H79" s="177" t="s">
        <v>13313</v>
      </c>
      <c r="I79" s="178" t="s">
        <v>12652</v>
      </c>
      <c r="J79" s="177"/>
    </row>
    <row r="80" spans="1:10" ht="42.45" customHeight="1">
      <c r="A80" s="177" t="s">
        <v>13314</v>
      </c>
      <c r="B80" s="177" t="s">
        <v>13299</v>
      </c>
      <c r="C80" s="177" t="s">
        <v>13315</v>
      </c>
      <c r="D80" s="177"/>
      <c r="E80" s="177" t="str">
        <f>"Derived from cloud model and core systems"</f>
        <v>Derived from cloud model and core systems</v>
      </c>
      <c r="F80" s="177">
        <f>MAX(F34,IF(D33&lt;&gt;"",3,0))</f>
        <v>3</v>
      </c>
      <c r="G80" s="177" t="s">
        <v>13316</v>
      </c>
      <c r="H80" s="177" t="s">
        <v>13317</v>
      </c>
      <c r="I80" s="178" t="s">
        <v>12652</v>
      </c>
      <c r="J80" s="177"/>
    </row>
    <row r="81" spans="1:10" ht="42.45" customHeight="1">
      <c r="A81" s="177" t="s">
        <v>13318</v>
      </c>
      <c r="B81" s="177" t="s">
        <v>13299</v>
      </c>
      <c r="C81" s="177" t="s">
        <v>13319</v>
      </c>
      <c r="D81" s="177"/>
      <c r="E81" s="177" t="str">
        <f>"Derived positive financial buffer"</f>
        <v>Derived positive financial buffer</v>
      </c>
      <c r="F81" s="177">
        <f>IF(COUNT(F59,F60)=0,"",ROUND(AVERAGE(F59,F60),2))</f>
        <v>0</v>
      </c>
      <c r="G81" s="177" t="s">
        <v>729</v>
      </c>
      <c r="H81" s="177" t="s">
        <v>13320</v>
      </c>
      <c r="I81" s="178" t="s">
        <v>12652</v>
      </c>
      <c r="J81" s="177"/>
    </row>
    <row r="82" spans="1:10" ht="42.45" customHeight="1">
      <c r="A82" s="177" t="s">
        <v>13321</v>
      </c>
      <c r="B82" s="177" t="s">
        <v>13299</v>
      </c>
      <c r="C82" s="177" t="s">
        <v>12114</v>
      </c>
      <c r="D82" s="177"/>
      <c r="E82" s="177" t="str">
        <f>"Derived max historical crisis impact"</f>
        <v>Derived max historical crisis impact</v>
      </c>
      <c r="F82" s="177">
        <f>MAX(F70,F71,F72,F73,F74)</f>
        <v>0</v>
      </c>
      <c r="G82" s="177" t="s">
        <v>13322</v>
      </c>
      <c r="H82" s="177" t="s">
        <v>13323</v>
      </c>
      <c r="I82" s="178" t="s">
        <v>12652</v>
      </c>
      <c r="J82" s="177"/>
    </row>
    <row r="83" spans="1:10" ht="42.45" customHeight="1">
      <c r="A83" s="177" t="s">
        <v>13324</v>
      </c>
      <c r="B83" s="177" t="s">
        <v>13325</v>
      </c>
      <c r="C83" s="177" t="s">
        <v>13326</v>
      </c>
      <c r="D83" s="177"/>
      <c r="E83" s="177" t="str">
        <f>"Share of controlled profile fields populated"</f>
        <v>Share of controlled profile fields populated</v>
      </c>
      <c r="F83" s="177">
        <f>ROUND((COUNTA(D7:D65)-COUNTBLANK(D7:D65))/ROWS(D7:D65),2)</f>
        <v>1</v>
      </c>
      <c r="G83" s="177" t="s">
        <v>13327</v>
      </c>
      <c r="H83" s="177" t="s">
        <v>13328</v>
      </c>
      <c r="I83" s="178" t="s">
        <v>12652</v>
      </c>
      <c r="J83" s="177"/>
    </row>
    <row r="84" spans="1:10" ht="42.45" customHeight="1">
      <c r="A84" s="177" t="s">
        <v>13329</v>
      </c>
      <c r="B84" s="177" t="s">
        <v>13325</v>
      </c>
      <c r="C84" s="177" t="s">
        <v>13326</v>
      </c>
      <c r="D84" s="177"/>
      <c r="E84" s="177" t="str">
        <f>"Count of Unknown / not assessed values"</f>
        <v>Count of Unknown / not assessed values</v>
      </c>
      <c r="F84" s="177">
        <f>COUNTIF(D7:D65,"*Unknown*")+COUNTIF(E7:E65,"*Unknown*")</f>
        <v>0</v>
      </c>
      <c r="G84" s="177" t="s">
        <v>13330</v>
      </c>
      <c r="H84" s="177" t="s">
        <v>13331</v>
      </c>
      <c r="I84" s="178" t="s">
        <v>12652</v>
      </c>
      <c r="J84" s="177"/>
    </row>
  </sheetData>
  <mergeCells count="2">
    <mergeCell ref="A1:J1"/>
    <mergeCell ref="A2:J2"/>
  </mergeCells>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Q122"/>
  <sheetViews>
    <sheetView workbookViewId="0">
      <pane ySplit="1" topLeftCell="A2" activePane="bottomLeft" state="frozen"/>
      <selection pane="bottomLeft"/>
    </sheetView>
  </sheetViews>
  <sheetFormatPr defaultRowHeight="14.15"/>
  <cols>
    <col min="1" max="1" width="18" customWidth="1"/>
    <col min="2" max="2" width="24" customWidth="1"/>
    <col min="3" max="3" width="22" customWidth="1"/>
    <col min="4" max="4" width="26" customWidth="1"/>
    <col min="5" max="5" width="18" customWidth="1"/>
    <col min="6" max="6" width="26" customWidth="1"/>
    <col min="7" max="7" width="22" customWidth="1"/>
    <col min="8" max="9" width="18" customWidth="1"/>
    <col min="10" max="10" width="16" customWidth="1"/>
    <col min="11" max="11" width="14" customWidth="1"/>
    <col min="12" max="12" width="26" customWidth="1"/>
    <col min="13" max="13" width="28" customWidth="1"/>
    <col min="14" max="14" width="55" customWidth="1"/>
    <col min="15" max="15" width="14" customWidth="1"/>
    <col min="16" max="16" width="12" customWidth="1"/>
    <col min="17" max="17" width="34" customWidth="1"/>
  </cols>
  <sheetData>
    <row r="1" spans="1:17" ht="18" customHeight="1">
      <c r="A1" t="s">
        <v>13332</v>
      </c>
      <c r="B1" t="s">
        <v>12519</v>
      </c>
      <c r="C1" t="s">
        <v>12520</v>
      </c>
      <c r="D1" t="s">
        <v>13333</v>
      </c>
      <c r="E1" t="s">
        <v>764</v>
      </c>
      <c r="F1" t="s">
        <v>13334</v>
      </c>
      <c r="G1" t="s">
        <v>768</v>
      </c>
      <c r="H1" t="s">
        <v>13335</v>
      </c>
      <c r="I1" t="s">
        <v>13336</v>
      </c>
      <c r="J1" t="s">
        <v>13337</v>
      </c>
      <c r="K1" t="s">
        <v>13338</v>
      </c>
      <c r="L1" t="s">
        <v>13339</v>
      </c>
      <c r="M1" t="s">
        <v>13340</v>
      </c>
      <c r="N1" t="s">
        <v>13341</v>
      </c>
      <c r="O1" t="s">
        <v>11627</v>
      </c>
      <c r="P1" t="s">
        <v>273</v>
      </c>
      <c r="Q1" t="s">
        <v>13342</v>
      </c>
    </row>
    <row r="2" spans="1:17">
      <c r="A2" t="s">
        <v>13343</v>
      </c>
      <c r="B2" t="s">
        <v>11159</v>
      </c>
      <c r="C2" t="s">
        <v>11159</v>
      </c>
      <c r="D2" t="s">
        <v>13344</v>
      </c>
      <c r="E2" t="s">
        <v>2588</v>
      </c>
      <c r="F2" t="s">
        <v>13345</v>
      </c>
      <c r="J2">
        <v>1</v>
      </c>
      <c r="K2" t="s">
        <v>11502</v>
      </c>
      <c r="N2" t="s">
        <v>13346</v>
      </c>
      <c r="O2" t="s">
        <v>11504</v>
      </c>
      <c r="P2" t="s">
        <v>13347</v>
      </c>
      <c r="Q2" t="s">
        <v>13348</v>
      </c>
    </row>
    <row r="3" spans="1:17">
      <c r="A3" t="s">
        <v>13349</v>
      </c>
      <c r="B3" t="s">
        <v>11159</v>
      </c>
      <c r="C3" t="s">
        <v>11159</v>
      </c>
      <c r="D3" t="s">
        <v>13344</v>
      </c>
      <c r="E3" t="s">
        <v>2729</v>
      </c>
      <c r="F3" t="s">
        <v>13350</v>
      </c>
      <c r="J3">
        <v>1</v>
      </c>
      <c r="K3" t="s">
        <v>11502</v>
      </c>
      <c r="N3" t="s">
        <v>13346</v>
      </c>
      <c r="O3" t="s">
        <v>11504</v>
      </c>
      <c r="P3" t="s">
        <v>13347</v>
      </c>
      <c r="Q3" t="s">
        <v>13351</v>
      </c>
    </row>
    <row r="4" spans="1:17">
      <c r="A4" t="s">
        <v>13352</v>
      </c>
      <c r="B4" t="s">
        <v>11159</v>
      </c>
      <c r="C4" t="s">
        <v>11159</v>
      </c>
      <c r="D4" t="s">
        <v>13344</v>
      </c>
      <c r="E4" t="s">
        <v>2588</v>
      </c>
      <c r="F4" t="s">
        <v>13353</v>
      </c>
      <c r="J4">
        <v>1</v>
      </c>
      <c r="K4" t="s">
        <v>11502</v>
      </c>
      <c r="N4" t="s">
        <v>13346</v>
      </c>
      <c r="O4" t="s">
        <v>11504</v>
      </c>
      <c r="P4" t="s">
        <v>13347</v>
      </c>
      <c r="Q4" t="s">
        <v>13354</v>
      </c>
    </row>
    <row r="5" spans="1:17">
      <c r="A5" t="s">
        <v>13355</v>
      </c>
      <c r="B5" t="s">
        <v>11159</v>
      </c>
      <c r="C5" t="s">
        <v>11159</v>
      </c>
      <c r="D5" t="s">
        <v>13344</v>
      </c>
      <c r="E5" t="s">
        <v>2986</v>
      </c>
      <c r="F5" t="s">
        <v>13356</v>
      </c>
      <c r="J5">
        <v>1</v>
      </c>
      <c r="K5" t="s">
        <v>11502</v>
      </c>
      <c r="N5" t="s">
        <v>13346</v>
      </c>
      <c r="O5" t="s">
        <v>11504</v>
      </c>
      <c r="P5" t="s">
        <v>13347</v>
      </c>
      <c r="Q5" t="s">
        <v>13357</v>
      </c>
    </row>
    <row r="6" spans="1:17">
      <c r="A6" t="s">
        <v>13358</v>
      </c>
      <c r="B6" t="s">
        <v>11159</v>
      </c>
      <c r="C6" t="s">
        <v>11159</v>
      </c>
      <c r="D6" t="s">
        <v>13344</v>
      </c>
      <c r="E6" t="s">
        <v>2986</v>
      </c>
      <c r="F6" t="s">
        <v>13359</v>
      </c>
      <c r="J6">
        <v>1</v>
      </c>
      <c r="K6" t="s">
        <v>11502</v>
      </c>
      <c r="N6" t="s">
        <v>13346</v>
      </c>
      <c r="O6" t="s">
        <v>11504</v>
      </c>
      <c r="P6" t="s">
        <v>13347</v>
      </c>
      <c r="Q6" t="s">
        <v>13360</v>
      </c>
    </row>
    <row r="7" spans="1:17">
      <c r="A7" t="s">
        <v>13361</v>
      </c>
      <c r="B7" t="s">
        <v>11159</v>
      </c>
      <c r="C7" t="s">
        <v>11159</v>
      </c>
      <c r="D7" t="s">
        <v>13344</v>
      </c>
      <c r="E7" t="s">
        <v>2588</v>
      </c>
      <c r="F7" t="s">
        <v>13362</v>
      </c>
      <c r="J7">
        <v>1</v>
      </c>
      <c r="K7" t="s">
        <v>11502</v>
      </c>
      <c r="N7" t="s">
        <v>13346</v>
      </c>
      <c r="O7" t="s">
        <v>11504</v>
      </c>
      <c r="P7" t="s">
        <v>13347</v>
      </c>
      <c r="Q7" t="s">
        <v>13363</v>
      </c>
    </row>
    <row r="8" spans="1:17">
      <c r="A8" t="s">
        <v>13364</v>
      </c>
      <c r="B8" t="s">
        <v>11159</v>
      </c>
      <c r="C8" t="s">
        <v>11159</v>
      </c>
      <c r="D8" t="s">
        <v>13344</v>
      </c>
      <c r="E8" t="s">
        <v>2986</v>
      </c>
      <c r="F8" t="s">
        <v>13365</v>
      </c>
      <c r="J8">
        <v>1</v>
      </c>
      <c r="K8" t="s">
        <v>11502</v>
      </c>
      <c r="N8" t="s">
        <v>13346</v>
      </c>
      <c r="O8" t="s">
        <v>11504</v>
      </c>
      <c r="P8" t="s">
        <v>13347</v>
      </c>
      <c r="Q8" t="s">
        <v>13366</v>
      </c>
    </row>
    <row r="9" spans="1:17">
      <c r="A9" t="s">
        <v>13367</v>
      </c>
      <c r="B9" t="s">
        <v>11159</v>
      </c>
      <c r="C9" t="s">
        <v>11159</v>
      </c>
      <c r="D9" t="s">
        <v>13344</v>
      </c>
      <c r="E9" t="s">
        <v>1551</v>
      </c>
      <c r="F9" t="s">
        <v>13368</v>
      </c>
      <c r="J9">
        <v>1</v>
      </c>
      <c r="K9" t="s">
        <v>11502</v>
      </c>
      <c r="N9" t="s">
        <v>13346</v>
      </c>
      <c r="O9" t="s">
        <v>11504</v>
      </c>
      <c r="P9" t="s">
        <v>13347</v>
      </c>
      <c r="Q9" t="s">
        <v>13369</v>
      </c>
    </row>
    <row r="10" spans="1:17">
      <c r="A10" t="s">
        <v>13370</v>
      </c>
      <c r="B10" t="s">
        <v>11159</v>
      </c>
      <c r="C10" t="s">
        <v>11159</v>
      </c>
      <c r="D10" t="s">
        <v>13344</v>
      </c>
      <c r="E10" t="s">
        <v>2824</v>
      </c>
      <c r="F10" t="s">
        <v>13371</v>
      </c>
      <c r="J10">
        <v>1</v>
      </c>
      <c r="K10" t="s">
        <v>11502</v>
      </c>
      <c r="N10" t="s">
        <v>13346</v>
      </c>
      <c r="O10" t="s">
        <v>11504</v>
      </c>
      <c r="P10" t="s">
        <v>13347</v>
      </c>
      <c r="Q10" t="s">
        <v>13372</v>
      </c>
    </row>
    <row r="11" spans="1:17">
      <c r="A11" t="s">
        <v>13373</v>
      </c>
      <c r="B11" t="s">
        <v>11159</v>
      </c>
      <c r="C11" t="s">
        <v>11159</v>
      </c>
      <c r="D11" t="s">
        <v>13344</v>
      </c>
      <c r="E11" t="s">
        <v>2729</v>
      </c>
      <c r="F11" t="s">
        <v>13374</v>
      </c>
      <c r="J11">
        <v>1</v>
      </c>
      <c r="K11" t="s">
        <v>11502</v>
      </c>
      <c r="N11" t="s">
        <v>13346</v>
      </c>
      <c r="O11" t="s">
        <v>11504</v>
      </c>
      <c r="P11" t="s">
        <v>13347</v>
      </c>
      <c r="Q11" t="s">
        <v>13375</v>
      </c>
    </row>
    <row r="12" spans="1:17">
      <c r="A12" t="s">
        <v>13376</v>
      </c>
      <c r="B12" t="s">
        <v>11159</v>
      </c>
      <c r="C12" t="s">
        <v>11159</v>
      </c>
      <c r="D12" t="s">
        <v>13344</v>
      </c>
      <c r="E12" t="s">
        <v>2729</v>
      </c>
      <c r="F12" t="s">
        <v>13377</v>
      </c>
      <c r="J12">
        <v>1</v>
      </c>
      <c r="K12" t="s">
        <v>11502</v>
      </c>
      <c r="N12" t="s">
        <v>13346</v>
      </c>
      <c r="O12" t="s">
        <v>11504</v>
      </c>
      <c r="P12" t="s">
        <v>13347</v>
      </c>
      <c r="Q12" t="s">
        <v>13378</v>
      </c>
    </row>
    <row r="13" spans="1:17">
      <c r="A13" t="s">
        <v>13379</v>
      </c>
      <c r="B13" t="s">
        <v>11159</v>
      </c>
      <c r="C13" t="s">
        <v>11159</v>
      </c>
      <c r="D13" t="s">
        <v>13344</v>
      </c>
      <c r="E13" t="s">
        <v>2286</v>
      </c>
      <c r="F13" t="s">
        <v>13380</v>
      </c>
      <c r="J13">
        <v>1</v>
      </c>
      <c r="K13" t="s">
        <v>11502</v>
      </c>
      <c r="N13" t="s">
        <v>13346</v>
      </c>
      <c r="O13" t="s">
        <v>11504</v>
      </c>
      <c r="P13" t="s">
        <v>13347</v>
      </c>
      <c r="Q13" t="s">
        <v>13381</v>
      </c>
    </row>
    <row r="14" spans="1:17">
      <c r="A14" t="s">
        <v>13382</v>
      </c>
      <c r="B14" t="s">
        <v>11159</v>
      </c>
      <c r="C14" t="s">
        <v>11159</v>
      </c>
      <c r="D14" t="s">
        <v>13344</v>
      </c>
      <c r="E14" t="s">
        <v>2286</v>
      </c>
      <c r="F14" t="s">
        <v>13383</v>
      </c>
      <c r="J14">
        <v>1</v>
      </c>
      <c r="K14" t="s">
        <v>11502</v>
      </c>
      <c r="N14" t="s">
        <v>13346</v>
      </c>
      <c r="O14" t="s">
        <v>11504</v>
      </c>
      <c r="P14" t="s">
        <v>13347</v>
      </c>
      <c r="Q14" t="s">
        <v>13384</v>
      </c>
    </row>
    <row r="15" spans="1:17">
      <c r="A15" t="s">
        <v>13385</v>
      </c>
      <c r="B15" t="s">
        <v>11159</v>
      </c>
      <c r="C15" t="s">
        <v>11159</v>
      </c>
      <c r="D15" t="s">
        <v>13344</v>
      </c>
      <c r="E15" t="s">
        <v>2729</v>
      </c>
      <c r="F15" t="s">
        <v>13386</v>
      </c>
      <c r="J15">
        <v>1</v>
      </c>
      <c r="K15" t="s">
        <v>11502</v>
      </c>
      <c r="N15" t="s">
        <v>13346</v>
      </c>
      <c r="O15" t="s">
        <v>11504</v>
      </c>
      <c r="P15" t="s">
        <v>13347</v>
      </c>
      <c r="Q15" t="s">
        <v>13387</v>
      </c>
    </row>
    <row r="16" spans="1:17">
      <c r="A16" t="s">
        <v>13388</v>
      </c>
      <c r="B16" t="s">
        <v>11159</v>
      </c>
      <c r="C16" t="s">
        <v>11159</v>
      </c>
      <c r="D16" t="s">
        <v>13344</v>
      </c>
      <c r="E16" t="s">
        <v>1401</v>
      </c>
      <c r="F16" t="s">
        <v>13389</v>
      </c>
      <c r="J16">
        <v>1</v>
      </c>
      <c r="K16" t="s">
        <v>11502</v>
      </c>
      <c r="N16" t="s">
        <v>13346</v>
      </c>
      <c r="O16" t="s">
        <v>11504</v>
      </c>
      <c r="P16" t="s">
        <v>13347</v>
      </c>
      <c r="Q16" t="s">
        <v>13390</v>
      </c>
    </row>
    <row r="17" spans="1:17">
      <c r="A17" t="s">
        <v>13391</v>
      </c>
      <c r="B17" t="s">
        <v>11159</v>
      </c>
      <c r="C17" t="s">
        <v>11159</v>
      </c>
      <c r="D17" t="s">
        <v>13344</v>
      </c>
      <c r="E17" t="s">
        <v>1551</v>
      </c>
      <c r="F17" t="s">
        <v>13392</v>
      </c>
      <c r="J17">
        <v>1</v>
      </c>
      <c r="K17" t="s">
        <v>11502</v>
      </c>
      <c r="N17" t="s">
        <v>13346</v>
      </c>
      <c r="O17" t="s">
        <v>11504</v>
      </c>
      <c r="P17" t="s">
        <v>13347</v>
      </c>
      <c r="Q17" t="s">
        <v>13393</v>
      </c>
    </row>
    <row r="18" spans="1:17">
      <c r="A18" t="s">
        <v>13394</v>
      </c>
      <c r="B18" t="s">
        <v>11159</v>
      </c>
      <c r="C18" t="s">
        <v>11159</v>
      </c>
      <c r="D18" t="s">
        <v>13344</v>
      </c>
      <c r="E18" t="s">
        <v>1551</v>
      </c>
      <c r="F18" t="s">
        <v>13395</v>
      </c>
      <c r="J18">
        <v>1</v>
      </c>
      <c r="K18" t="s">
        <v>11502</v>
      </c>
      <c r="N18" t="s">
        <v>13346</v>
      </c>
      <c r="O18" t="s">
        <v>11504</v>
      </c>
      <c r="P18" t="s">
        <v>13347</v>
      </c>
      <c r="Q18" t="s">
        <v>13396</v>
      </c>
    </row>
    <row r="19" spans="1:17">
      <c r="A19" t="s">
        <v>13397</v>
      </c>
      <c r="B19" t="s">
        <v>11159</v>
      </c>
      <c r="C19" t="s">
        <v>11159</v>
      </c>
      <c r="D19" t="s">
        <v>13344</v>
      </c>
      <c r="E19" t="s">
        <v>2286</v>
      </c>
      <c r="F19" t="s">
        <v>13398</v>
      </c>
      <c r="J19">
        <v>1</v>
      </c>
      <c r="K19" t="s">
        <v>11502</v>
      </c>
      <c r="N19" t="s">
        <v>13346</v>
      </c>
      <c r="O19" t="s">
        <v>11504</v>
      </c>
      <c r="P19" t="s">
        <v>13347</v>
      </c>
      <c r="Q19" t="s">
        <v>13399</v>
      </c>
    </row>
    <row r="20" spans="1:17">
      <c r="A20" t="s">
        <v>13400</v>
      </c>
      <c r="B20" t="s">
        <v>11159</v>
      </c>
      <c r="C20" t="s">
        <v>11159</v>
      </c>
      <c r="D20" t="s">
        <v>13344</v>
      </c>
      <c r="E20" t="s">
        <v>1987</v>
      </c>
      <c r="F20" t="s">
        <v>13401</v>
      </c>
      <c r="J20">
        <v>1</v>
      </c>
      <c r="K20" t="s">
        <v>11502</v>
      </c>
      <c r="N20" t="s">
        <v>13346</v>
      </c>
      <c r="O20" t="s">
        <v>11504</v>
      </c>
      <c r="P20" t="s">
        <v>13347</v>
      </c>
      <c r="Q20" t="s">
        <v>13402</v>
      </c>
    </row>
    <row r="21" spans="1:17">
      <c r="A21" t="s">
        <v>13403</v>
      </c>
      <c r="B21" t="s">
        <v>11159</v>
      </c>
      <c r="C21" t="s">
        <v>11159</v>
      </c>
      <c r="D21" t="s">
        <v>13344</v>
      </c>
      <c r="E21" t="s">
        <v>2145</v>
      </c>
      <c r="F21" t="s">
        <v>13404</v>
      </c>
      <c r="J21">
        <v>1</v>
      </c>
      <c r="K21" t="s">
        <v>11502</v>
      </c>
      <c r="N21" t="s">
        <v>13346</v>
      </c>
      <c r="O21" t="s">
        <v>11504</v>
      </c>
      <c r="P21" t="s">
        <v>13347</v>
      </c>
      <c r="Q21" t="s">
        <v>13405</v>
      </c>
    </row>
    <row r="22" spans="1:17">
      <c r="A22" t="s">
        <v>13406</v>
      </c>
      <c r="B22" t="s">
        <v>11159</v>
      </c>
      <c r="C22" t="s">
        <v>11159</v>
      </c>
      <c r="D22" t="s">
        <v>13344</v>
      </c>
      <c r="E22" t="s">
        <v>2986</v>
      </c>
      <c r="F22" t="s">
        <v>13407</v>
      </c>
      <c r="J22">
        <v>1</v>
      </c>
      <c r="K22" t="s">
        <v>11502</v>
      </c>
      <c r="N22" t="s">
        <v>13346</v>
      </c>
      <c r="O22" t="s">
        <v>11504</v>
      </c>
      <c r="P22" t="s">
        <v>13347</v>
      </c>
      <c r="Q22" t="s">
        <v>13408</v>
      </c>
    </row>
    <row r="23" spans="1:17">
      <c r="A23" t="s">
        <v>13409</v>
      </c>
      <c r="B23" t="s">
        <v>11159</v>
      </c>
      <c r="C23" t="s">
        <v>11159</v>
      </c>
      <c r="D23" t="s">
        <v>13344</v>
      </c>
      <c r="E23" t="s">
        <v>1987</v>
      </c>
      <c r="F23" t="s">
        <v>13410</v>
      </c>
      <c r="J23">
        <v>1</v>
      </c>
      <c r="K23" t="s">
        <v>11502</v>
      </c>
      <c r="N23" t="s">
        <v>13346</v>
      </c>
      <c r="O23" t="s">
        <v>11504</v>
      </c>
      <c r="P23" t="s">
        <v>13347</v>
      </c>
      <c r="Q23" t="s">
        <v>13411</v>
      </c>
    </row>
    <row r="24" spans="1:17">
      <c r="A24" t="s">
        <v>13412</v>
      </c>
      <c r="B24" t="s">
        <v>11159</v>
      </c>
      <c r="C24" t="s">
        <v>11159</v>
      </c>
      <c r="D24" t="s">
        <v>13344</v>
      </c>
      <c r="E24" t="s">
        <v>1987</v>
      </c>
      <c r="F24" t="s">
        <v>13413</v>
      </c>
      <c r="J24">
        <v>1</v>
      </c>
      <c r="K24" t="s">
        <v>11502</v>
      </c>
      <c r="N24" t="s">
        <v>13346</v>
      </c>
      <c r="O24" t="s">
        <v>11504</v>
      </c>
      <c r="P24" t="s">
        <v>13347</v>
      </c>
      <c r="Q24" t="s">
        <v>13414</v>
      </c>
    </row>
    <row r="25" spans="1:17">
      <c r="A25" t="s">
        <v>13415</v>
      </c>
      <c r="B25" t="s">
        <v>11159</v>
      </c>
      <c r="C25" t="s">
        <v>11159</v>
      </c>
      <c r="D25" t="s">
        <v>13344</v>
      </c>
      <c r="E25" t="s">
        <v>1859</v>
      </c>
      <c r="F25" t="s">
        <v>13416</v>
      </c>
      <c r="J25">
        <v>1</v>
      </c>
      <c r="K25" t="s">
        <v>11502</v>
      </c>
      <c r="N25" t="s">
        <v>13346</v>
      </c>
      <c r="O25" t="s">
        <v>11504</v>
      </c>
      <c r="P25" t="s">
        <v>13347</v>
      </c>
      <c r="Q25" t="s">
        <v>13417</v>
      </c>
    </row>
    <row r="26" spans="1:17">
      <c r="A26" t="s">
        <v>13418</v>
      </c>
      <c r="B26" t="s">
        <v>11159</v>
      </c>
      <c r="C26" t="s">
        <v>11159</v>
      </c>
      <c r="D26" t="s">
        <v>13344</v>
      </c>
      <c r="E26" t="s">
        <v>2145</v>
      </c>
      <c r="F26" t="s">
        <v>13419</v>
      </c>
      <c r="J26">
        <v>1</v>
      </c>
      <c r="K26" t="s">
        <v>11502</v>
      </c>
      <c r="N26" t="s">
        <v>13346</v>
      </c>
      <c r="O26" t="s">
        <v>11504</v>
      </c>
      <c r="P26" t="s">
        <v>13347</v>
      </c>
      <c r="Q26" t="s">
        <v>13420</v>
      </c>
    </row>
    <row r="27" spans="1:17">
      <c r="A27" t="s">
        <v>13421</v>
      </c>
      <c r="B27" t="s">
        <v>11159</v>
      </c>
      <c r="C27" t="s">
        <v>11159</v>
      </c>
      <c r="D27" t="s">
        <v>13344</v>
      </c>
      <c r="E27" t="s">
        <v>2145</v>
      </c>
      <c r="F27" t="s">
        <v>13422</v>
      </c>
      <c r="J27">
        <v>1</v>
      </c>
      <c r="K27" t="s">
        <v>11502</v>
      </c>
      <c r="N27" t="s">
        <v>13346</v>
      </c>
      <c r="O27" t="s">
        <v>11504</v>
      </c>
      <c r="P27" t="s">
        <v>13347</v>
      </c>
      <c r="Q27" t="s">
        <v>13423</v>
      </c>
    </row>
    <row r="28" spans="1:17">
      <c r="A28" t="s">
        <v>13424</v>
      </c>
      <c r="B28" t="s">
        <v>11159</v>
      </c>
      <c r="C28" t="s">
        <v>11159</v>
      </c>
      <c r="D28" t="s">
        <v>13344</v>
      </c>
      <c r="E28" t="s">
        <v>1666</v>
      </c>
      <c r="F28" t="s">
        <v>13425</v>
      </c>
      <c r="J28">
        <v>1</v>
      </c>
      <c r="K28" t="s">
        <v>11502</v>
      </c>
      <c r="N28" t="s">
        <v>13346</v>
      </c>
      <c r="O28" t="s">
        <v>11504</v>
      </c>
      <c r="P28" t="s">
        <v>13347</v>
      </c>
      <c r="Q28" t="s">
        <v>13426</v>
      </c>
    </row>
    <row r="29" spans="1:17">
      <c r="A29" t="s">
        <v>13427</v>
      </c>
      <c r="B29" t="s">
        <v>11159</v>
      </c>
      <c r="C29" t="s">
        <v>11159</v>
      </c>
      <c r="D29" t="s">
        <v>13344</v>
      </c>
      <c r="E29" t="s">
        <v>1666</v>
      </c>
      <c r="F29" t="s">
        <v>13428</v>
      </c>
      <c r="J29">
        <v>1</v>
      </c>
      <c r="K29" t="s">
        <v>11502</v>
      </c>
      <c r="N29" t="s">
        <v>13346</v>
      </c>
      <c r="O29" t="s">
        <v>11504</v>
      </c>
      <c r="P29" t="s">
        <v>13347</v>
      </c>
      <c r="Q29" t="s">
        <v>13429</v>
      </c>
    </row>
    <row r="30" spans="1:17">
      <c r="A30" t="s">
        <v>13430</v>
      </c>
      <c r="B30" t="s">
        <v>11159</v>
      </c>
      <c r="C30" t="s">
        <v>11159</v>
      </c>
      <c r="D30" t="s">
        <v>13344</v>
      </c>
      <c r="E30" t="s">
        <v>1259</v>
      </c>
      <c r="F30" t="s">
        <v>13431</v>
      </c>
      <c r="J30">
        <v>1</v>
      </c>
      <c r="K30" t="s">
        <v>11502</v>
      </c>
      <c r="N30" t="s">
        <v>13346</v>
      </c>
      <c r="O30" t="s">
        <v>11504</v>
      </c>
      <c r="P30" t="s">
        <v>13347</v>
      </c>
      <c r="Q30" t="s">
        <v>13432</v>
      </c>
    </row>
    <row r="31" spans="1:17">
      <c r="A31" t="s">
        <v>13433</v>
      </c>
      <c r="B31" t="s">
        <v>11159</v>
      </c>
      <c r="C31" t="s">
        <v>11159</v>
      </c>
      <c r="D31" t="s">
        <v>13344</v>
      </c>
      <c r="E31" t="s">
        <v>1259</v>
      </c>
      <c r="F31" t="s">
        <v>13434</v>
      </c>
      <c r="J31">
        <v>1</v>
      </c>
      <c r="K31" t="s">
        <v>11502</v>
      </c>
      <c r="N31" t="s">
        <v>13346</v>
      </c>
      <c r="O31" t="s">
        <v>11504</v>
      </c>
      <c r="P31" t="s">
        <v>13347</v>
      </c>
      <c r="Q31" t="s">
        <v>13435</v>
      </c>
    </row>
    <row r="32" spans="1:17">
      <c r="A32" t="s">
        <v>13436</v>
      </c>
      <c r="B32" t="s">
        <v>11159</v>
      </c>
      <c r="C32" t="s">
        <v>11159</v>
      </c>
      <c r="D32" t="s">
        <v>13344</v>
      </c>
      <c r="E32" t="s">
        <v>1259</v>
      </c>
      <c r="F32" t="s">
        <v>13437</v>
      </c>
      <c r="J32">
        <v>1</v>
      </c>
      <c r="K32" t="s">
        <v>11502</v>
      </c>
      <c r="N32" t="s">
        <v>13346</v>
      </c>
      <c r="O32" t="s">
        <v>11504</v>
      </c>
      <c r="P32" t="s">
        <v>13347</v>
      </c>
      <c r="Q32" t="s">
        <v>13438</v>
      </c>
    </row>
    <row r="33" spans="1:17">
      <c r="A33" t="s">
        <v>13439</v>
      </c>
      <c r="B33" t="s">
        <v>11159</v>
      </c>
      <c r="C33" t="s">
        <v>11159</v>
      </c>
      <c r="D33" t="s">
        <v>13344</v>
      </c>
      <c r="E33" t="s">
        <v>1987</v>
      </c>
      <c r="F33" t="s">
        <v>13440</v>
      </c>
      <c r="J33">
        <v>1</v>
      </c>
      <c r="K33" t="s">
        <v>11502</v>
      </c>
      <c r="N33" t="s">
        <v>13346</v>
      </c>
      <c r="O33" t="s">
        <v>11504</v>
      </c>
      <c r="P33" t="s">
        <v>13347</v>
      </c>
      <c r="Q33" t="s">
        <v>13441</v>
      </c>
    </row>
    <row r="34" spans="1:17">
      <c r="A34" t="s">
        <v>13442</v>
      </c>
      <c r="B34" t="s">
        <v>11159</v>
      </c>
      <c r="C34" t="s">
        <v>11159</v>
      </c>
      <c r="D34" t="s">
        <v>13344</v>
      </c>
      <c r="E34" t="s">
        <v>2824</v>
      </c>
      <c r="F34" t="s">
        <v>13443</v>
      </c>
      <c r="J34">
        <v>1</v>
      </c>
      <c r="K34" t="s">
        <v>11502</v>
      </c>
      <c r="N34" t="s">
        <v>13346</v>
      </c>
      <c r="O34" t="s">
        <v>11504</v>
      </c>
      <c r="P34" t="s">
        <v>13347</v>
      </c>
      <c r="Q34" t="s">
        <v>13444</v>
      </c>
    </row>
    <row r="35" spans="1:17">
      <c r="A35" t="s">
        <v>13445</v>
      </c>
      <c r="B35" t="s">
        <v>11159</v>
      </c>
      <c r="C35" t="s">
        <v>11159</v>
      </c>
      <c r="D35" t="s">
        <v>13344</v>
      </c>
      <c r="E35" t="s">
        <v>1401</v>
      </c>
      <c r="F35" t="s">
        <v>13446</v>
      </c>
      <c r="J35">
        <v>1</v>
      </c>
      <c r="K35" t="s">
        <v>11502</v>
      </c>
      <c r="N35" t="s">
        <v>13346</v>
      </c>
      <c r="O35" t="s">
        <v>11504</v>
      </c>
      <c r="P35" t="s">
        <v>13347</v>
      </c>
      <c r="Q35" t="s">
        <v>13447</v>
      </c>
    </row>
    <row r="36" spans="1:17">
      <c r="A36" t="s">
        <v>13448</v>
      </c>
      <c r="B36" t="s">
        <v>11159</v>
      </c>
      <c r="C36" t="s">
        <v>11159</v>
      </c>
      <c r="D36" t="s">
        <v>13344</v>
      </c>
      <c r="E36" t="s">
        <v>1401</v>
      </c>
      <c r="F36" t="s">
        <v>13449</v>
      </c>
      <c r="J36">
        <v>1</v>
      </c>
      <c r="K36" t="s">
        <v>11502</v>
      </c>
      <c r="N36" t="s">
        <v>13346</v>
      </c>
      <c r="O36" t="s">
        <v>11504</v>
      </c>
      <c r="P36" t="s">
        <v>13347</v>
      </c>
      <c r="Q36" t="s">
        <v>13450</v>
      </c>
    </row>
    <row r="37" spans="1:17">
      <c r="A37" t="s">
        <v>13451</v>
      </c>
      <c r="B37" t="s">
        <v>11159</v>
      </c>
      <c r="C37" t="s">
        <v>11159</v>
      </c>
      <c r="D37" t="s">
        <v>13344</v>
      </c>
      <c r="E37" t="s">
        <v>2986</v>
      </c>
      <c r="F37" t="s">
        <v>13452</v>
      </c>
      <c r="J37">
        <v>1</v>
      </c>
      <c r="K37" t="s">
        <v>11502</v>
      </c>
      <c r="N37" t="s">
        <v>13346</v>
      </c>
      <c r="O37" t="s">
        <v>11504</v>
      </c>
      <c r="P37" t="s">
        <v>13347</v>
      </c>
      <c r="Q37" t="s">
        <v>13453</v>
      </c>
    </row>
    <row r="38" spans="1:17">
      <c r="A38" t="s">
        <v>13454</v>
      </c>
      <c r="B38" t="s">
        <v>10968</v>
      </c>
      <c r="C38" t="s">
        <v>12537</v>
      </c>
      <c r="D38" t="s">
        <v>13455</v>
      </c>
      <c r="E38" t="s">
        <v>2145</v>
      </c>
      <c r="F38" t="s">
        <v>13404</v>
      </c>
      <c r="J38">
        <v>0</v>
      </c>
      <c r="K38" t="s">
        <v>11504</v>
      </c>
      <c r="M38" t="s">
        <v>13350</v>
      </c>
      <c r="N38" t="s">
        <v>13456</v>
      </c>
      <c r="O38" t="s">
        <v>11504</v>
      </c>
      <c r="P38" t="s">
        <v>275</v>
      </c>
      <c r="Q38" t="s">
        <v>13457</v>
      </c>
    </row>
    <row r="39" spans="1:17">
      <c r="A39" t="s">
        <v>13458</v>
      </c>
      <c r="B39" t="s">
        <v>10968</v>
      </c>
      <c r="C39" t="s">
        <v>12537</v>
      </c>
      <c r="D39" t="s">
        <v>13455</v>
      </c>
      <c r="E39" t="s">
        <v>2986</v>
      </c>
      <c r="F39" t="s">
        <v>13407</v>
      </c>
      <c r="J39">
        <v>0</v>
      </c>
      <c r="K39" t="s">
        <v>11504</v>
      </c>
      <c r="M39" t="s">
        <v>13452</v>
      </c>
      <c r="N39" t="s">
        <v>13459</v>
      </c>
      <c r="O39" t="s">
        <v>11504</v>
      </c>
      <c r="P39" t="s">
        <v>275</v>
      </c>
      <c r="Q39" t="s">
        <v>13460</v>
      </c>
    </row>
    <row r="40" spans="1:17">
      <c r="A40" t="s">
        <v>13461</v>
      </c>
      <c r="B40" t="s">
        <v>10968</v>
      </c>
      <c r="C40" t="s">
        <v>12537</v>
      </c>
      <c r="D40" t="s">
        <v>13455</v>
      </c>
      <c r="E40" t="s">
        <v>1987</v>
      </c>
      <c r="F40" t="s">
        <v>13401</v>
      </c>
      <c r="J40">
        <v>0</v>
      </c>
      <c r="K40" t="s">
        <v>11504</v>
      </c>
      <c r="M40" t="s">
        <v>13440</v>
      </c>
      <c r="N40" t="s">
        <v>13462</v>
      </c>
      <c r="O40" t="s">
        <v>11504</v>
      </c>
      <c r="P40" t="s">
        <v>275</v>
      </c>
      <c r="Q40" t="s">
        <v>13463</v>
      </c>
    </row>
    <row r="41" spans="1:17">
      <c r="A41" t="s">
        <v>13464</v>
      </c>
      <c r="B41" t="s">
        <v>10968</v>
      </c>
      <c r="C41" t="s">
        <v>12537</v>
      </c>
      <c r="D41" t="s">
        <v>13455</v>
      </c>
      <c r="E41" t="s">
        <v>2729</v>
      </c>
      <c r="F41" t="s">
        <v>13386</v>
      </c>
      <c r="J41">
        <v>0</v>
      </c>
      <c r="K41" t="s">
        <v>11504</v>
      </c>
      <c r="M41" t="s">
        <v>13350</v>
      </c>
      <c r="N41" t="s">
        <v>13465</v>
      </c>
      <c r="O41" t="s">
        <v>11504</v>
      </c>
      <c r="P41" t="s">
        <v>275</v>
      </c>
      <c r="Q41" t="s">
        <v>13466</v>
      </c>
    </row>
    <row r="42" spans="1:17">
      <c r="A42" t="s">
        <v>13467</v>
      </c>
      <c r="B42" t="s">
        <v>10968</v>
      </c>
      <c r="C42" t="s">
        <v>12537</v>
      </c>
      <c r="D42" t="s">
        <v>13455</v>
      </c>
      <c r="E42" t="s">
        <v>2286</v>
      </c>
      <c r="F42" t="s">
        <v>13398</v>
      </c>
      <c r="J42">
        <v>0.25</v>
      </c>
      <c r="K42" t="s">
        <v>11502</v>
      </c>
      <c r="M42" t="s">
        <v>13380</v>
      </c>
      <c r="N42" t="s">
        <v>13468</v>
      </c>
      <c r="O42" t="s">
        <v>11504</v>
      </c>
      <c r="P42" t="s">
        <v>275</v>
      </c>
      <c r="Q42" t="s">
        <v>13469</v>
      </c>
    </row>
    <row r="43" spans="1:17">
      <c r="A43" t="s">
        <v>13470</v>
      </c>
      <c r="B43" t="s">
        <v>10968</v>
      </c>
      <c r="C43" t="s">
        <v>12537</v>
      </c>
      <c r="D43" t="s">
        <v>13455</v>
      </c>
      <c r="E43" t="s">
        <v>2588</v>
      </c>
      <c r="F43" t="s">
        <v>13345</v>
      </c>
      <c r="J43">
        <v>1.35</v>
      </c>
      <c r="K43" t="s">
        <v>11502</v>
      </c>
      <c r="N43" t="s">
        <v>13471</v>
      </c>
      <c r="O43" t="s">
        <v>11504</v>
      </c>
      <c r="P43" t="s">
        <v>275</v>
      </c>
      <c r="Q43" t="s">
        <v>13472</v>
      </c>
    </row>
    <row r="44" spans="1:17">
      <c r="A44" t="s">
        <v>13473</v>
      </c>
      <c r="B44" t="s">
        <v>10968</v>
      </c>
      <c r="C44" t="s">
        <v>12537</v>
      </c>
      <c r="D44" t="s">
        <v>13455</v>
      </c>
      <c r="E44" t="s">
        <v>2729</v>
      </c>
      <c r="F44" t="s">
        <v>13350</v>
      </c>
      <c r="J44">
        <v>1.45</v>
      </c>
      <c r="K44" t="s">
        <v>11502</v>
      </c>
      <c r="N44" t="s">
        <v>13474</v>
      </c>
      <c r="O44" t="s">
        <v>11504</v>
      </c>
      <c r="P44" t="s">
        <v>275</v>
      </c>
      <c r="Q44" t="s">
        <v>13475</v>
      </c>
    </row>
    <row r="45" spans="1:17">
      <c r="A45" t="s">
        <v>13476</v>
      </c>
      <c r="B45" t="s">
        <v>10968</v>
      </c>
      <c r="C45" t="s">
        <v>12537</v>
      </c>
      <c r="D45" t="s">
        <v>13455</v>
      </c>
      <c r="E45" t="s">
        <v>2588</v>
      </c>
      <c r="F45" t="s">
        <v>13353</v>
      </c>
      <c r="J45">
        <v>1.35</v>
      </c>
      <c r="K45" t="s">
        <v>11502</v>
      </c>
      <c r="N45" t="s">
        <v>13477</v>
      </c>
      <c r="O45" t="s">
        <v>11504</v>
      </c>
      <c r="P45" t="s">
        <v>275</v>
      </c>
      <c r="Q45" t="s">
        <v>13478</v>
      </c>
    </row>
    <row r="46" spans="1:17">
      <c r="A46" t="s">
        <v>13479</v>
      </c>
      <c r="B46" t="s">
        <v>10968</v>
      </c>
      <c r="C46" t="s">
        <v>12537</v>
      </c>
      <c r="D46" t="s">
        <v>13455</v>
      </c>
      <c r="E46" t="s">
        <v>2729</v>
      </c>
      <c r="F46" t="s">
        <v>13377</v>
      </c>
      <c r="J46">
        <v>1.25</v>
      </c>
      <c r="K46" t="s">
        <v>11502</v>
      </c>
      <c r="N46" t="s">
        <v>13480</v>
      </c>
      <c r="O46" t="s">
        <v>11504</v>
      </c>
      <c r="P46" t="s">
        <v>275</v>
      </c>
      <c r="Q46" t="s">
        <v>13481</v>
      </c>
    </row>
    <row r="47" spans="1:17">
      <c r="A47" t="s">
        <v>13482</v>
      </c>
      <c r="B47" t="s">
        <v>10968</v>
      </c>
      <c r="C47" t="s">
        <v>12537</v>
      </c>
      <c r="D47" t="s">
        <v>13455</v>
      </c>
      <c r="E47" t="s">
        <v>2986</v>
      </c>
      <c r="F47" t="s">
        <v>13452</v>
      </c>
      <c r="J47">
        <v>1.25</v>
      </c>
      <c r="K47" t="s">
        <v>11502</v>
      </c>
      <c r="N47" t="s">
        <v>13483</v>
      </c>
      <c r="O47" t="s">
        <v>11504</v>
      </c>
      <c r="P47" t="s">
        <v>275</v>
      </c>
      <c r="Q47" t="s">
        <v>13484</v>
      </c>
    </row>
    <row r="48" spans="1:17">
      <c r="A48" t="s">
        <v>13485</v>
      </c>
      <c r="B48" t="s">
        <v>10968</v>
      </c>
      <c r="C48" t="s">
        <v>12537</v>
      </c>
      <c r="D48" t="s">
        <v>13455</v>
      </c>
      <c r="E48" t="s">
        <v>2286</v>
      </c>
      <c r="F48" t="s">
        <v>13383</v>
      </c>
      <c r="J48">
        <v>1.2</v>
      </c>
      <c r="K48" t="s">
        <v>11502</v>
      </c>
      <c r="N48" t="s">
        <v>13486</v>
      </c>
      <c r="O48" t="s">
        <v>11504</v>
      </c>
      <c r="P48" t="s">
        <v>275</v>
      </c>
      <c r="Q48" t="s">
        <v>13487</v>
      </c>
    </row>
    <row r="49" spans="1:17">
      <c r="A49" t="s">
        <v>13488</v>
      </c>
      <c r="B49" t="s">
        <v>11887</v>
      </c>
      <c r="C49" t="s">
        <v>12548</v>
      </c>
      <c r="D49" t="s">
        <v>13489</v>
      </c>
      <c r="E49" t="s">
        <v>2145</v>
      </c>
      <c r="F49" t="s">
        <v>13404</v>
      </c>
      <c r="J49">
        <v>0</v>
      </c>
      <c r="K49" t="s">
        <v>11504</v>
      </c>
      <c r="M49" t="s">
        <v>13416</v>
      </c>
      <c r="N49" t="s">
        <v>13490</v>
      </c>
      <c r="O49" t="s">
        <v>11504</v>
      </c>
      <c r="P49" t="s">
        <v>275</v>
      </c>
      <c r="Q49" t="s">
        <v>13491</v>
      </c>
    </row>
    <row r="50" spans="1:17">
      <c r="A50" t="s">
        <v>13492</v>
      </c>
      <c r="B50" t="s">
        <v>11887</v>
      </c>
      <c r="C50" t="s">
        <v>12548</v>
      </c>
      <c r="D50" t="s">
        <v>13489</v>
      </c>
      <c r="E50" t="s">
        <v>2986</v>
      </c>
      <c r="F50" t="s">
        <v>13407</v>
      </c>
      <c r="J50">
        <v>0</v>
      </c>
      <c r="K50" t="s">
        <v>11504</v>
      </c>
      <c r="M50" t="s">
        <v>13383</v>
      </c>
      <c r="N50" t="s">
        <v>13493</v>
      </c>
      <c r="O50" t="s">
        <v>11504</v>
      </c>
      <c r="P50" t="s">
        <v>275</v>
      </c>
      <c r="Q50" t="s">
        <v>13494</v>
      </c>
    </row>
    <row r="51" spans="1:17">
      <c r="A51" t="s">
        <v>13495</v>
      </c>
      <c r="B51" t="s">
        <v>11887</v>
      </c>
      <c r="C51" t="s">
        <v>12548</v>
      </c>
      <c r="D51" t="s">
        <v>13489</v>
      </c>
      <c r="E51" t="s">
        <v>1987</v>
      </c>
      <c r="F51" t="s">
        <v>13401</v>
      </c>
      <c r="J51">
        <v>0</v>
      </c>
      <c r="K51" t="s">
        <v>11504</v>
      </c>
      <c r="M51" t="s">
        <v>13440</v>
      </c>
      <c r="N51" t="s">
        <v>13496</v>
      </c>
      <c r="O51" t="s">
        <v>11504</v>
      </c>
      <c r="P51" t="s">
        <v>275</v>
      </c>
      <c r="Q51" t="s">
        <v>13497</v>
      </c>
    </row>
    <row r="52" spans="1:17">
      <c r="A52" t="s">
        <v>13498</v>
      </c>
      <c r="B52" t="s">
        <v>11887</v>
      </c>
      <c r="C52" t="s">
        <v>12548</v>
      </c>
      <c r="D52" t="s">
        <v>13489</v>
      </c>
      <c r="E52" t="s">
        <v>2286</v>
      </c>
      <c r="F52" t="s">
        <v>13398</v>
      </c>
      <c r="J52">
        <v>0</v>
      </c>
      <c r="K52" t="s">
        <v>11504</v>
      </c>
      <c r="M52" t="s">
        <v>13380</v>
      </c>
      <c r="N52" t="s">
        <v>13499</v>
      </c>
      <c r="O52" t="s">
        <v>11504</v>
      </c>
      <c r="P52" t="s">
        <v>275</v>
      </c>
      <c r="Q52" t="s">
        <v>13500</v>
      </c>
    </row>
    <row r="53" spans="1:17">
      <c r="A53" t="s">
        <v>13501</v>
      </c>
      <c r="B53" t="s">
        <v>11887</v>
      </c>
      <c r="C53" t="s">
        <v>12548</v>
      </c>
      <c r="D53" t="s">
        <v>13489</v>
      </c>
      <c r="E53" t="s">
        <v>2729</v>
      </c>
      <c r="F53" t="s">
        <v>13386</v>
      </c>
      <c r="J53">
        <v>0</v>
      </c>
      <c r="K53" t="s">
        <v>11504</v>
      </c>
      <c r="M53" t="s">
        <v>13416</v>
      </c>
      <c r="N53" t="s">
        <v>13502</v>
      </c>
      <c r="O53" t="s">
        <v>11504</v>
      </c>
      <c r="P53" t="s">
        <v>275</v>
      </c>
      <c r="Q53" t="s">
        <v>13503</v>
      </c>
    </row>
    <row r="54" spans="1:17">
      <c r="A54" t="s">
        <v>13504</v>
      </c>
      <c r="B54" t="s">
        <v>11887</v>
      </c>
      <c r="C54" t="s">
        <v>12548</v>
      </c>
      <c r="D54" t="s">
        <v>13489</v>
      </c>
      <c r="E54" t="s">
        <v>1859</v>
      </c>
      <c r="F54" t="s">
        <v>13416</v>
      </c>
      <c r="J54">
        <v>1.35</v>
      </c>
      <c r="K54" t="s">
        <v>11502</v>
      </c>
      <c r="N54" t="s">
        <v>13505</v>
      </c>
      <c r="O54" t="s">
        <v>11504</v>
      </c>
      <c r="P54" t="s">
        <v>275</v>
      </c>
      <c r="Q54" t="s">
        <v>13506</v>
      </c>
    </row>
    <row r="55" spans="1:17">
      <c r="A55" t="s">
        <v>13507</v>
      </c>
      <c r="B55" t="s">
        <v>11887</v>
      </c>
      <c r="C55" t="s">
        <v>12548</v>
      </c>
      <c r="D55" t="s">
        <v>13489</v>
      </c>
      <c r="E55" t="s">
        <v>1259</v>
      </c>
      <c r="F55" t="s">
        <v>13434</v>
      </c>
      <c r="J55">
        <v>1.3</v>
      </c>
      <c r="K55" t="s">
        <v>11502</v>
      </c>
      <c r="N55" t="s">
        <v>13508</v>
      </c>
      <c r="O55" t="s">
        <v>11504</v>
      </c>
      <c r="P55" t="s">
        <v>275</v>
      </c>
      <c r="Q55" t="s">
        <v>13509</v>
      </c>
    </row>
    <row r="56" spans="1:17">
      <c r="A56" t="s">
        <v>13510</v>
      </c>
      <c r="B56" t="s">
        <v>11887</v>
      </c>
      <c r="C56" t="s">
        <v>12548</v>
      </c>
      <c r="D56" t="s">
        <v>13489</v>
      </c>
      <c r="E56" t="s">
        <v>1259</v>
      </c>
      <c r="F56" t="s">
        <v>13431</v>
      </c>
      <c r="J56">
        <v>1.2</v>
      </c>
      <c r="K56" t="s">
        <v>11502</v>
      </c>
      <c r="N56" t="s">
        <v>13511</v>
      </c>
      <c r="O56" t="s">
        <v>11504</v>
      </c>
      <c r="P56" t="s">
        <v>275</v>
      </c>
      <c r="Q56" t="s">
        <v>13512</v>
      </c>
    </row>
    <row r="57" spans="1:17">
      <c r="A57" t="s">
        <v>13513</v>
      </c>
      <c r="B57" t="s">
        <v>11887</v>
      </c>
      <c r="C57" t="s">
        <v>12548</v>
      </c>
      <c r="D57" t="s">
        <v>13489</v>
      </c>
      <c r="E57" t="s">
        <v>2588</v>
      </c>
      <c r="F57" t="s">
        <v>13345</v>
      </c>
      <c r="J57">
        <v>1.2</v>
      </c>
      <c r="K57" t="s">
        <v>11502</v>
      </c>
      <c r="N57" t="s">
        <v>13514</v>
      </c>
      <c r="O57" t="s">
        <v>11504</v>
      </c>
      <c r="P57" t="s">
        <v>275</v>
      </c>
      <c r="Q57" t="s">
        <v>13515</v>
      </c>
    </row>
    <row r="58" spans="1:17">
      <c r="A58" t="s">
        <v>13516</v>
      </c>
      <c r="B58" t="s">
        <v>11887</v>
      </c>
      <c r="C58" t="s">
        <v>12548</v>
      </c>
      <c r="D58" t="s">
        <v>13489</v>
      </c>
      <c r="E58" t="s">
        <v>2986</v>
      </c>
      <c r="F58" t="s">
        <v>13356</v>
      </c>
      <c r="J58">
        <v>1.25</v>
      </c>
      <c r="K58" t="s">
        <v>11502</v>
      </c>
      <c r="N58" t="s">
        <v>13517</v>
      </c>
      <c r="O58" t="s">
        <v>11504</v>
      </c>
      <c r="P58" t="s">
        <v>275</v>
      </c>
      <c r="Q58" t="s">
        <v>13518</v>
      </c>
    </row>
    <row r="59" spans="1:17">
      <c r="A59" t="s">
        <v>13519</v>
      </c>
      <c r="B59" t="s">
        <v>10999</v>
      </c>
      <c r="C59" t="s">
        <v>12570</v>
      </c>
      <c r="D59" t="s">
        <v>13520</v>
      </c>
      <c r="E59" t="s">
        <v>2145</v>
      </c>
      <c r="F59" t="s">
        <v>13404</v>
      </c>
      <c r="J59">
        <v>0</v>
      </c>
      <c r="K59" t="s">
        <v>11504</v>
      </c>
      <c r="M59" t="s">
        <v>13386</v>
      </c>
      <c r="N59" t="s">
        <v>13521</v>
      </c>
      <c r="O59" t="s">
        <v>11504</v>
      </c>
      <c r="P59" t="s">
        <v>275</v>
      </c>
      <c r="Q59" t="s">
        <v>13522</v>
      </c>
    </row>
    <row r="60" spans="1:17">
      <c r="A60" t="s">
        <v>13523</v>
      </c>
      <c r="B60" t="s">
        <v>10999</v>
      </c>
      <c r="C60" t="s">
        <v>12570</v>
      </c>
      <c r="D60" t="s">
        <v>13520</v>
      </c>
      <c r="E60" t="s">
        <v>2986</v>
      </c>
      <c r="F60" t="s">
        <v>13407</v>
      </c>
      <c r="J60">
        <v>0</v>
      </c>
      <c r="K60" t="s">
        <v>11504</v>
      </c>
      <c r="M60" t="s">
        <v>13356</v>
      </c>
      <c r="N60" t="s">
        <v>13524</v>
      </c>
      <c r="O60" t="s">
        <v>11504</v>
      </c>
      <c r="P60" t="s">
        <v>275</v>
      </c>
      <c r="Q60" t="s">
        <v>13525</v>
      </c>
    </row>
    <row r="61" spans="1:17">
      <c r="A61" t="s">
        <v>13526</v>
      </c>
      <c r="B61" t="s">
        <v>10999</v>
      </c>
      <c r="C61" t="s">
        <v>12570</v>
      </c>
      <c r="D61" t="s">
        <v>13520</v>
      </c>
      <c r="E61" t="s">
        <v>1987</v>
      </c>
      <c r="F61" t="s">
        <v>13401</v>
      </c>
      <c r="J61">
        <v>0</v>
      </c>
      <c r="K61" t="s">
        <v>11504</v>
      </c>
      <c r="M61" t="s">
        <v>13440</v>
      </c>
      <c r="N61" t="s">
        <v>13527</v>
      </c>
      <c r="O61" t="s">
        <v>11504</v>
      </c>
      <c r="P61" t="s">
        <v>275</v>
      </c>
      <c r="Q61" t="s">
        <v>13528</v>
      </c>
    </row>
    <row r="62" spans="1:17">
      <c r="A62" t="s">
        <v>13529</v>
      </c>
      <c r="B62" t="s">
        <v>10999</v>
      </c>
      <c r="C62" t="s">
        <v>12570</v>
      </c>
      <c r="D62" t="s">
        <v>13520</v>
      </c>
      <c r="E62" t="s">
        <v>2286</v>
      </c>
      <c r="F62" t="s">
        <v>13398</v>
      </c>
      <c r="J62">
        <v>0</v>
      </c>
      <c r="K62" t="s">
        <v>11504</v>
      </c>
      <c r="M62" t="s">
        <v>13389</v>
      </c>
      <c r="N62" t="s">
        <v>13530</v>
      </c>
      <c r="O62" t="s">
        <v>11504</v>
      </c>
      <c r="P62" t="s">
        <v>275</v>
      </c>
      <c r="Q62" t="s">
        <v>13531</v>
      </c>
    </row>
    <row r="63" spans="1:17">
      <c r="A63" t="s">
        <v>13532</v>
      </c>
      <c r="B63" t="s">
        <v>10999</v>
      </c>
      <c r="C63" t="s">
        <v>12570</v>
      </c>
      <c r="D63" t="s">
        <v>13520</v>
      </c>
      <c r="E63" t="s">
        <v>2145</v>
      </c>
      <c r="F63" t="s">
        <v>13419</v>
      </c>
      <c r="J63">
        <v>0</v>
      </c>
      <c r="K63" t="s">
        <v>11504</v>
      </c>
      <c r="M63" t="s">
        <v>13386</v>
      </c>
      <c r="N63" t="s">
        <v>13533</v>
      </c>
      <c r="O63" t="s">
        <v>11504</v>
      </c>
      <c r="P63" t="s">
        <v>275</v>
      </c>
      <c r="Q63" t="s">
        <v>13534</v>
      </c>
    </row>
    <row r="64" spans="1:17">
      <c r="A64" t="s">
        <v>13535</v>
      </c>
      <c r="B64" t="s">
        <v>10999</v>
      </c>
      <c r="C64" t="s">
        <v>12570</v>
      </c>
      <c r="D64" t="s">
        <v>13520</v>
      </c>
      <c r="E64" t="s">
        <v>2729</v>
      </c>
      <c r="F64" t="s">
        <v>13386</v>
      </c>
      <c r="J64">
        <v>1.5</v>
      </c>
      <c r="K64" t="s">
        <v>11502</v>
      </c>
      <c r="N64" t="s">
        <v>13536</v>
      </c>
      <c r="O64" t="s">
        <v>11504</v>
      </c>
      <c r="P64" t="s">
        <v>275</v>
      </c>
      <c r="Q64" t="s">
        <v>13537</v>
      </c>
    </row>
    <row r="65" spans="1:17">
      <c r="A65" t="s">
        <v>13538</v>
      </c>
      <c r="B65" t="s">
        <v>10999</v>
      </c>
      <c r="C65" t="s">
        <v>12570</v>
      </c>
      <c r="D65" t="s">
        <v>13520</v>
      </c>
      <c r="E65" t="s">
        <v>1401</v>
      </c>
      <c r="F65" t="s">
        <v>13389</v>
      </c>
      <c r="J65">
        <v>1.45</v>
      </c>
      <c r="K65" t="s">
        <v>11502</v>
      </c>
      <c r="N65" t="s">
        <v>13539</v>
      </c>
      <c r="O65" t="s">
        <v>11504</v>
      </c>
      <c r="P65" t="s">
        <v>275</v>
      </c>
      <c r="Q65" t="s">
        <v>13540</v>
      </c>
    </row>
    <row r="66" spans="1:17">
      <c r="A66" t="s">
        <v>13541</v>
      </c>
      <c r="B66" t="s">
        <v>10999</v>
      </c>
      <c r="C66" t="s">
        <v>12570</v>
      </c>
      <c r="D66" t="s">
        <v>13520</v>
      </c>
      <c r="E66" t="s">
        <v>1551</v>
      </c>
      <c r="F66" t="s">
        <v>13392</v>
      </c>
      <c r="J66">
        <v>1.35</v>
      </c>
      <c r="K66" t="s">
        <v>11502</v>
      </c>
      <c r="N66" t="s">
        <v>13542</v>
      </c>
      <c r="O66" t="s">
        <v>11504</v>
      </c>
      <c r="P66" t="s">
        <v>275</v>
      </c>
      <c r="Q66" t="s">
        <v>13543</v>
      </c>
    </row>
    <row r="67" spans="1:17">
      <c r="A67" t="s">
        <v>13544</v>
      </c>
      <c r="B67" t="s">
        <v>10999</v>
      </c>
      <c r="C67" t="s">
        <v>12570</v>
      </c>
      <c r="D67" t="s">
        <v>13520</v>
      </c>
      <c r="E67" t="s">
        <v>1551</v>
      </c>
      <c r="F67" t="s">
        <v>13395</v>
      </c>
      <c r="J67">
        <v>1.4</v>
      </c>
      <c r="K67" t="s">
        <v>11502</v>
      </c>
      <c r="N67" t="s">
        <v>13545</v>
      </c>
      <c r="O67" t="s">
        <v>11504</v>
      </c>
      <c r="P67" t="s">
        <v>275</v>
      </c>
      <c r="Q67" t="s">
        <v>13546</v>
      </c>
    </row>
    <row r="68" spans="1:17">
      <c r="A68" t="s">
        <v>13547</v>
      </c>
      <c r="B68" t="s">
        <v>10999</v>
      </c>
      <c r="C68" t="s">
        <v>12570</v>
      </c>
      <c r="D68" t="s">
        <v>13520</v>
      </c>
      <c r="E68" t="s">
        <v>2986</v>
      </c>
      <c r="F68" t="s">
        <v>13359</v>
      </c>
      <c r="J68">
        <v>1.35</v>
      </c>
      <c r="K68" t="s">
        <v>11502</v>
      </c>
      <c r="N68" t="s">
        <v>13548</v>
      </c>
      <c r="O68" t="s">
        <v>11504</v>
      </c>
      <c r="P68" t="s">
        <v>275</v>
      </c>
      <c r="Q68" t="s">
        <v>13549</v>
      </c>
    </row>
    <row r="69" spans="1:17">
      <c r="A69" t="s">
        <v>13550</v>
      </c>
      <c r="B69" t="s">
        <v>10999</v>
      </c>
      <c r="C69" t="s">
        <v>12570</v>
      </c>
      <c r="D69" t="s">
        <v>13520</v>
      </c>
      <c r="E69" t="s">
        <v>1551</v>
      </c>
      <c r="F69" t="s">
        <v>13368</v>
      </c>
      <c r="J69">
        <v>1.3</v>
      </c>
      <c r="K69" t="s">
        <v>11502</v>
      </c>
      <c r="N69" t="s">
        <v>13551</v>
      </c>
      <c r="O69" t="s">
        <v>11504</v>
      </c>
      <c r="P69" t="s">
        <v>275</v>
      </c>
      <c r="Q69" t="s">
        <v>13552</v>
      </c>
    </row>
    <row r="70" spans="1:17">
      <c r="A70" t="s">
        <v>13553</v>
      </c>
      <c r="B70" t="s">
        <v>10999</v>
      </c>
      <c r="C70" t="s">
        <v>12570</v>
      </c>
      <c r="D70" t="s">
        <v>13520</v>
      </c>
      <c r="E70" t="s">
        <v>2824</v>
      </c>
      <c r="F70" t="s">
        <v>13371</v>
      </c>
      <c r="J70">
        <v>1.3</v>
      </c>
      <c r="K70" t="s">
        <v>11502</v>
      </c>
      <c r="N70" t="s">
        <v>13554</v>
      </c>
      <c r="O70" t="s">
        <v>11504</v>
      </c>
      <c r="P70" t="s">
        <v>275</v>
      </c>
      <c r="Q70" t="s">
        <v>13555</v>
      </c>
    </row>
    <row r="71" spans="1:17">
      <c r="A71" t="s">
        <v>13556</v>
      </c>
      <c r="B71" t="s">
        <v>10970</v>
      </c>
      <c r="C71" t="s">
        <v>12557</v>
      </c>
      <c r="D71" t="s">
        <v>13557</v>
      </c>
      <c r="E71" t="s">
        <v>2145</v>
      </c>
      <c r="F71" t="s">
        <v>13404</v>
      </c>
      <c r="J71">
        <v>0</v>
      </c>
      <c r="K71" t="s">
        <v>11504</v>
      </c>
      <c r="M71" t="s">
        <v>13398</v>
      </c>
      <c r="N71" t="s">
        <v>13558</v>
      </c>
      <c r="O71" t="s">
        <v>11504</v>
      </c>
      <c r="P71" t="s">
        <v>275</v>
      </c>
      <c r="Q71" t="s">
        <v>13559</v>
      </c>
    </row>
    <row r="72" spans="1:17">
      <c r="A72" t="s">
        <v>13560</v>
      </c>
      <c r="B72" t="s">
        <v>10970</v>
      </c>
      <c r="C72" t="s">
        <v>12557</v>
      </c>
      <c r="D72" t="s">
        <v>13557</v>
      </c>
      <c r="E72" t="s">
        <v>2986</v>
      </c>
      <c r="F72" t="s">
        <v>13407</v>
      </c>
      <c r="J72">
        <v>0.25</v>
      </c>
      <c r="K72" t="s">
        <v>11502</v>
      </c>
      <c r="M72" t="s">
        <v>13356</v>
      </c>
      <c r="N72" t="s">
        <v>13561</v>
      </c>
      <c r="O72" t="s">
        <v>11504</v>
      </c>
      <c r="P72" t="s">
        <v>275</v>
      </c>
      <c r="Q72" t="s">
        <v>13562</v>
      </c>
    </row>
    <row r="73" spans="1:17">
      <c r="A73" t="s">
        <v>13563</v>
      </c>
      <c r="B73" t="s">
        <v>10970</v>
      </c>
      <c r="C73" t="s">
        <v>12557</v>
      </c>
      <c r="D73" t="s">
        <v>13557</v>
      </c>
      <c r="E73" t="s">
        <v>2729</v>
      </c>
      <c r="F73" t="s">
        <v>13386</v>
      </c>
      <c r="J73">
        <v>0</v>
      </c>
      <c r="K73" t="s">
        <v>11504</v>
      </c>
      <c r="M73" t="s">
        <v>13389</v>
      </c>
      <c r="N73" t="s">
        <v>13564</v>
      </c>
      <c r="O73" t="s">
        <v>11504</v>
      </c>
      <c r="P73" t="s">
        <v>275</v>
      </c>
      <c r="Q73" t="s">
        <v>13565</v>
      </c>
    </row>
    <row r="74" spans="1:17">
      <c r="A74" t="s">
        <v>13566</v>
      </c>
      <c r="B74" t="s">
        <v>10970</v>
      </c>
      <c r="C74" t="s">
        <v>12557</v>
      </c>
      <c r="D74" t="s">
        <v>13557</v>
      </c>
      <c r="E74" t="s">
        <v>2286</v>
      </c>
      <c r="F74" t="s">
        <v>13398</v>
      </c>
      <c r="J74">
        <v>1.45</v>
      </c>
      <c r="K74" t="s">
        <v>11502</v>
      </c>
      <c r="N74" t="s">
        <v>13567</v>
      </c>
      <c r="O74" t="s">
        <v>11504</v>
      </c>
      <c r="P74" t="s">
        <v>275</v>
      </c>
      <c r="Q74" t="s">
        <v>13568</v>
      </c>
    </row>
    <row r="75" spans="1:17">
      <c r="A75" t="s">
        <v>13569</v>
      </c>
      <c r="B75" t="s">
        <v>10970</v>
      </c>
      <c r="C75" t="s">
        <v>12557</v>
      </c>
      <c r="D75" t="s">
        <v>13557</v>
      </c>
      <c r="E75" t="s">
        <v>1987</v>
      </c>
      <c r="F75" t="s">
        <v>13401</v>
      </c>
      <c r="J75">
        <v>1.25</v>
      </c>
      <c r="K75" t="s">
        <v>11502</v>
      </c>
      <c r="N75" t="s">
        <v>13570</v>
      </c>
      <c r="O75" t="s">
        <v>11504</v>
      </c>
      <c r="P75" t="s">
        <v>275</v>
      </c>
      <c r="Q75" t="s">
        <v>13571</v>
      </c>
    </row>
    <row r="76" spans="1:17">
      <c r="A76" t="s">
        <v>13572</v>
      </c>
      <c r="B76" t="s">
        <v>10970</v>
      </c>
      <c r="C76" t="s">
        <v>12557</v>
      </c>
      <c r="D76" t="s">
        <v>13557</v>
      </c>
      <c r="E76" t="s">
        <v>1987</v>
      </c>
      <c r="F76" t="s">
        <v>13410</v>
      </c>
      <c r="J76">
        <v>1.25</v>
      </c>
      <c r="K76" t="s">
        <v>11502</v>
      </c>
      <c r="N76" t="s">
        <v>13573</v>
      </c>
      <c r="O76" t="s">
        <v>11504</v>
      </c>
      <c r="P76" t="s">
        <v>275</v>
      </c>
      <c r="Q76" t="s">
        <v>13574</v>
      </c>
    </row>
    <row r="77" spans="1:17">
      <c r="A77" t="s">
        <v>13575</v>
      </c>
      <c r="B77" t="s">
        <v>10970</v>
      </c>
      <c r="C77" t="s">
        <v>12557</v>
      </c>
      <c r="D77" t="s">
        <v>13557</v>
      </c>
      <c r="E77" t="s">
        <v>1666</v>
      </c>
      <c r="F77" t="s">
        <v>13425</v>
      </c>
      <c r="J77">
        <v>1.1499999999999999</v>
      </c>
      <c r="K77" t="s">
        <v>11502</v>
      </c>
      <c r="N77" t="s">
        <v>13576</v>
      </c>
      <c r="O77" t="s">
        <v>11504</v>
      </c>
      <c r="P77" t="s">
        <v>275</v>
      </c>
      <c r="Q77" t="s">
        <v>13577</v>
      </c>
    </row>
    <row r="78" spans="1:17">
      <c r="A78" t="s">
        <v>13578</v>
      </c>
      <c r="B78" t="s">
        <v>10970</v>
      </c>
      <c r="C78" t="s">
        <v>12557</v>
      </c>
      <c r="D78" t="s">
        <v>13557</v>
      </c>
      <c r="E78" t="s">
        <v>2286</v>
      </c>
      <c r="F78" t="s">
        <v>13383</v>
      </c>
      <c r="J78">
        <v>1.2</v>
      </c>
      <c r="K78" t="s">
        <v>11502</v>
      </c>
      <c r="N78" t="s">
        <v>13579</v>
      </c>
      <c r="O78" t="s">
        <v>11504</v>
      </c>
      <c r="P78" t="s">
        <v>275</v>
      </c>
      <c r="Q78" t="s">
        <v>13580</v>
      </c>
    </row>
    <row r="79" spans="1:17">
      <c r="A79" t="s">
        <v>13581</v>
      </c>
      <c r="B79" t="s">
        <v>11888</v>
      </c>
      <c r="C79" t="s">
        <v>12526</v>
      </c>
      <c r="D79" t="s">
        <v>13582</v>
      </c>
      <c r="E79" t="s">
        <v>2729</v>
      </c>
      <c r="F79" t="s">
        <v>13386</v>
      </c>
      <c r="J79">
        <v>0</v>
      </c>
      <c r="K79" t="s">
        <v>11504</v>
      </c>
      <c r="M79" t="s">
        <v>13446</v>
      </c>
      <c r="N79" t="s">
        <v>13583</v>
      </c>
      <c r="O79" t="s">
        <v>11504</v>
      </c>
      <c r="P79" t="s">
        <v>275</v>
      </c>
      <c r="Q79" t="s">
        <v>13584</v>
      </c>
    </row>
    <row r="80" spans="1:17">
      <c r="A80" t="s">
        <v>13585</v>
      </c>
      <c r="B80" t="s">
        <v>11888</v>
      </c>
      <c r="C80" t="s">
        <v>12526</v>
      </c>
      <c r="D80" t="s">
        <v>13582</v>
      </c>
      <c r="E80" t="s">
        <v>2286</v>
      </c>
      <c r="F80" t="s">
        <v>13398</v>
      </c>
      <c r="J80">
        <v>0.25</v>
      </c>
      <c r="K80" t="s">
        <v>11502</v>
      </c>
      <c r="M80" t="s">
        <v>13380</v>
      </c>
      <c r="N80" t="s">
        <v>13586</v>
      </c>
      <c r="O80" t="s">
        <v>11504</v>
      </c>
      <c r="P80" t="s">
        <v>275</v>
      </c>
      <c r="Q80" t="s">
        <v>13587</v>
      </c>
    </row>
    <row r="81" spans="1:17">
      <c r="A81" t="s">
        <v>13588</v>
      </c>
      <c r="B81" t="s">
        <v>11888</v>
      </c>
      <c r="C81" t="s">
        <v>12526</v>
      </c>
      <c r="D81" t="s">
        <v>13582</v>
      </c>
      <c r="E81" t="s">
        <v>2145</v>
      </c>
      <c r="F81" t="s">
        <v>13404</v>
      </c>
      <c r="J81">
        <v>1.45</v>
      </c>
      <c r="K81" t="s">
        <v>11502</v>
      </c>
      <c r="N81" t="s">
        <v>13589</v>
      </c>
      <c r="O81" t="s">
        <v>11504</v>
      </c>
      <c r="P81" t="s">
        <v>275</v>
      </c>
      <c r="Q81" t="s">
        <v>13590</v>
      </c>
    </row>
    <row r="82" spans="1:17">
      <c r="A82" t="s">
        <v>13591</v>
      </c>
      <c r="B82" t="s">
        <v>11888</v>
      </c>
      <c r="C82" t="s">
        <v>12526</v>
      </c>
      <c r="D82" t="s">
        <v>13582</v>
      </c>
      <c r="E82" t="s">
        <v>2986</v>
      </c>
      <c r="F82" t="s">
        <v>13407</v>
      </c>
      <c r="J82">
        <v>1.35</v>
      </c>
      <c r="K82" t="s">
        <v>11502</v>
      </c>
      <c r="N82" t="s">
        <v>13592</v>
      </c>
      <c r="O82" t="s">
        <v>11504</v>
      </c>
      <c r="P82" t="s">
        <v>275</v>
      </c>
      <c r="Q82" t="s">
        <v>13593</v>
      </c>
    </row>
    <row r="83" spans="1:17">
      <c r="A83" t="s">
        <v>13594</v>
      </c>
      <c r="B83" t="s">
        <v>11888</v>
      </c>
      <c r="C83" t="s">
        <v>12526</v>
      </c>
      <c r="D83" t="s">
        <v>13582</v>
      </c>
      <c r="E83" t="s">
        <v>1987</v>
      </c>
      <c r="F83" t="s">
        <v>13410</v>
      </c>
      <c r="J83">
        <v>1.35</v>
      </c>
      <c r="K83" t="s">
        <v>11502</v>
      </c>
      <c r="N83" t="s">
        <v>13595</v>
      </c>
      <c r="O83" t="s">
        <v>11504</v>
      </c>
      <c r="P83" t="s">
        <v>275</v>
      </c>
      <c r="Q83" t="s">
        <v>13596</v>
      </c>
    </row>
    <row r="84" spans="1:17">
      <c r="A84" t="s">
        <v>13597</v>
      </c>
      <c r="B84" t="s">
        <v>11888</v>
      </c>
      <c r="C84" t="s">
        <v>12526</v>
      </c>
      <c r="D84" t="s">
        <v>13582</v>
      </c>
      <c r="E84" t="s">
        <v>1987</v>
      </c>
      <c r="F84" t="s">
        <v>13413</v>
      </c>
      <c r="J84">
        <v>1.3</v>
      </c>
      <c r="K84" t="s">
        <v>11502</v>
      </c>
      <c r="N84" t="s">
        <v>13598</v>
      </c>
      <c r="O84" t="s">
        <v>11504</v>
      </c>
      <c r="P84" t="s">
        <v>275</v>
      </c>
      <c r="Q84" t="s">
        <v>13599</v>
      </c>
    </row>
    <row r="85" spans="1:17">
      <c r="A85" t="s">
        <v>13600</v>
      </c>
      <c r="B85" t="s">
        <v>11888</v>
      </c>
      <c r="C85" t="s">
        <v>12526</v>
      </c>
      <c r="D85" t="s">
        <v>13582</v>
      </c>
      <c r="E85" t="s">
        <v>2145</v>
      </c>
      <c r="F85" t="s">
        <v>13419</v>
      </c>
      <c r="J85">
        <v>1.35</v>
      </c>
      <c r="K85" t="s">
        <v>11502</v>
      </c>
      <c r="N85" t="s">
        <v>13601</v>
      </c>
      <c r="O85" t="s">
        <v>11504</v>
      </c>
      <c r="P85" t="s">
        <v>275</v>
      </c>
      <c r="Q85" t="s">
        <v>13602</v>
      </c>
    </row>
    <row r="86" spans="1:17">
      <c r="A86" t="s">
        <v>13603</v>
      </c>
      <c r="B86" t="s">
        <v>11888</v>
      </c>
      <c r="C86" t="s">
        <v>12526</v>
      </c>
      <c r="D86" t="s">
        <v>13582</v>
      </c>
      <c r="E86" t="s">
        <v>2145</v>
      </c>
      <c r="F86" t="s">
        <v>13422</v>
      </c>
      <c r="J86">
        <v>1.25</v>
      </c>
      <c r="K86" t="s">
        <v>11502</v>
      </c>
      <c r="N86" t="s">
        <v>13604</v>
      </c>
      <c r="O86" t="s">
        <v>11504</v>
      </c>
      <c r="P86" t="s">
        <v>275</v>
      </c>
      <c r="Q86" t="s">
        <v>13605</v>
      </c>
    </row>
    <row r="87" spans="1:17">
      <c r="A87" t="s">
        <v>13606</v>
      </c>
      <c r="B87" t="s">
        <v>11888</v>
      </c>
      <c r="C87" t="s">
        <v>12526</v>
      </c>
      <c r="D87" t="s">
        <v>13582</v>
      </c>
      <c r="E87" t="s">
        <v>1666</v>
      </c>
      <c r="F87" t="s">
        <v>13425</v>
      </c>
      <c r="J87">
        <v>1.3</v>
      </c>
      <c r="K87" t="s">
        <v>11502</v>
      </c>
      <c r="N87" t="s">
        <v>13607</v>
      </c>
      <c r="O87" t="s">
        <v>11504</v>
      </c>
      <c r="P87" t="s">
        <v>275</v>
      </c>
      <c r="Q87" t="s">
        <v>13608</v>
      </c>
    </row>
    <row r="88" spans="1:17">
      <c r="A88" t="s">
        <v>13609</v>
      </c>
      <c r="B88" t="s">
        <v>11888</v>
      </c>
      <c r="C88" t="s">
        <v>12526</v>
      </c>
      <c r="D88" t="s">
        <v>13582</v>
      </c>
      <c r="E88" t="s">
        <v>1666</v>
      </c>
      <c r="F88" t="s">
        <v>13428</v>
      </c>
      <c r="J88">
        <v>1.25</v>
      </c>
      <c r="K88" t="s">
        <v>11502</v>
      </c>
      <c r="N88" t="s">
        <v>13610</v>
      </c>
      <c r="O88" t="s">
        <v>11504</v>
      </c>
      <c r="P88" t="s">
        <v>275</v>
      </c>
      <c r="Q88" t="s">
        <v>13611</v>
      </c>
    </row>
    <row r="89" spans="1:17">
      <c r="A89" t="s">
        <v>13612</v>
      </c>
      <c r="B89" t="s">
        <v>10971</v>
      </c>
      <c r="C89" t="s">
        <v>11159</v>
      </c>
      <c r="D89" t="s">
        <v>13344</v>
      </c>
      <c r="E89" t="s">
        <v>1987</v>
      </c>
      <c r="F89" t="s">
        <v>13401</v>
      </c>
      <c r="J89">
        <v>1.4</v>
      </c>
      <c r="K89" t="s">
        <v>11502</v>
      </c>
      <c r="N89" t="s">
        <v>13613</v>
      </c>
      <c r="O89" t="s">
        <v>11504</v>
      </c>
      <c r="P89" t="s">
        <v>280</v>
      </c>
      <c r="Q89" t="s">
        <v>13614</v>
      </c>
    </row>
    <row r="90" spans="1:17">
      <c r="A90" t="s">
        <v>13615</v>
      </c>
      <c r="B90" t="s">
        <v>10971</v>
      </c>
      <c r="C90" t="s">
        <v>11159</v>
      </c>
      <c r="D90" t="s">
        <v>13344</v>
      </c>
      <c r="E90" t="s">
        <v>1859</v>
      </c>
      <c r="F90" t="s">
        <v>13416</v>
      </c>
      <c r="J90">
        <v>1.4</v>
      </c>
      <c r="K90" t="s">
        <v>11502</v>
      </c>
      <c r="N90" t="s">
        <v>13616</v>
      </c>
      <c r="O90" t="s">
        <v>11504</v>
      </c>
      <c r="P90" t="s">
        <v>280</v>
      </c>
      <c r="Q90" t="s">
        <v>13617</v>
      </c>
    </row>
    <row r="91" spans="1:17">
      <c r="A91" t="s">
        <v>13618</v>
      </c>
      <c r="B91" t="s">
        <v>10971</v>
      </c>
      <c r="C91" t="s">
        <v>11159</v>
      </c>
      <c r="D91" t="s">
        <v>13344</v>
      </c>
      <c r="E91" t="s">
        <v>1987</v>
      </c>
      <c r="F91" t="s">
        <v>13410</v>
      </c>
      <c r="J91">
        <v>1.25</v>
      </c>
      <c r="K91" t="s">
        <v>11502</v>
      </c>
      <c r="N91" t="s">
        <v>13619</v>
      </c>
      <c r="O91" t="s">
        <v>11504</v>
      </c>
      <c r="P91" t="s">
        <v>280</v>
      </c>
      <c r="Q91" t="s">
        <v>13620</v>
      </c>
    </row>
    <row r="92" spans="1:17">
      <c r="A92" t="s">
        <v>13621</v>
      </c>
      <c r="B92" t="s">
        <v>10971</v>
      </c>
      <c r="C92" t="s">
        <v>11159</v>
      </c>
      <c r="D92" t="s">
        <v>13344</v>
      </c>
      <c r="E92" t="s">
        <v>1987</v>
      </c>
      <c r="F92" t="s">
        <v>13413</v>
      </c>
      <c r="J92">
        <v>1.25</v>
      </c>
      <c r="K92" t="s">
        <v>11502</v>
      </c>
      <c r="N92" t="s">
        <v>13622</v>
      </c>
      <c r="O92" t="s">
        <v>11504</v>
      </c>
      <c r="P92" t="s">
        <v>280</v>
      </c>
      <c r="Q92" t="s">
        <v>13623</v>
      </c>
    </row>
    <row r="93" spans="1:17">
      <c r="A93" t="s">
        <v>13624</v>
      </c>
      <c r="B93" t="s">
        <v>10971</v>
      </c>
      <c r="C93" t="s">
        <v>11159</v>
      </c>
      <c r="D93" t="s">
        <v>13344</v>
      </c>
      <c r="E93" t="s">
        <v>1987</v>
      </c>
      <c r="F93" t="s">
        <v>13440</v>
      </c>
      <c r="J93">
        <v>1.2</v>
      </c>
      <c r="K93" t="s">
        <v>11502</v>
      </c>
      <c r="N93" t="s">
        <v>13625</v>
      </c>
      <c r="O93" t="s">
        <v>11504</v>
      </c>
      <c r="P93" t="s">
        <v>280</v>
      </c>
      <c r="Q93" t="s">
        <v>13626</v>
      </c>
    </row>
    <row r="94" spans="1:17">
      <c r="A94" t="s">
        <v>13627</v>
      </c>
      <c r="B94" t="s">
        <v>10971</v>
      </c>
      <c r="C94" t="s">
        <v>11159</v>
      </c>
      <c r="D94" t="s">
        <v>13344</v>
      </c>
      <c r="E94" t="s">
        <v>2286</v>
      </c>
      <c r="F94" t="s">
        <v>13398</v>
      </c>
      <c r="J94">
        <v>0.7</v>
      </c>
      <c r="K94" t="s">
        <v>11502</v>
      </c>
      <c r="N94" t="s">
        <v>13628</v>
      </c>
      <c r="O94" t="s">
        <v>11504</v>
      </c>
      <c r="P94" t="s">
        <v>280</v>
      </c>
      <c r="Q94" t="s">
        <v>13629</v>
      </c>
    </row>
    <row r="95" spans="1:17">
      <c r="A95" t="s">
        <v>13630</v>
      </c>
      <c r="B95" t="s">
        <v>10971</v>
      </c>
      <c r="C95" t="s">
        <v>11159</v>
      </c>
      <c r="D95" t="s">
        <v>13344</v>
      </c>
      <c r="E95" t="s">
        <v>2145</v>
      </c>
      <c r="F95" t="s">
        <v>13404</v>
      </c>
      <c r="J95">
        <v>0</v>
      </c>
      <c r="K95" t="s">
        <v>11504</v>
      </c>
      <c r="M95" t="s">
        <v>13401</v>
      </c>
      <c r="N95" t="s">
        <v>13631</v>
      </c>
      <c r="O95" t="s">
        <v>11504</v>
      </c>
      <c r="P95" t="s">
        <v>275</v>
      </c>
      <c r="Q95" t="s">
        <v>13632</v>
      </c>
    </row>
    <row r="96" spans="1:17">
      <c r="A96" t="s">
        <v>13633</v>
      </c>
      <c r="B96" t="s">
        <v>10971</v>
      </c>
      <c r="C96" t="s">
        <v>11159</v>
      </c>
      <c r="D96" t="s">
        <v>13344</v>
      </c>
      <c r="E96" t="s">
        <v>2145</v>
      </c>
      <c r="F96" t="s">
        <v>13419</v>
      </c>
      <c r="J96">
        <v>0</v>
      </c>
      <c r="K96" t="s">
        <v>11504</v>
      </c>
      <c r="M96" t="s">
        <v>13401</v>
      </c>
      <c r="N96" t="s">
        <v>13634</v>
      </c>
      <c r="O96" t="s">
        <v>11504</v>
      </c>
      <c r="P96" t="s">
        <v>275</v>
      </c>
      <c r="Q96" t="s">
        <v>13635</v>
      </c>
    </row>
    <row r="97" spans="1:17">
      <c r="A97" t="s">
        <v>13636</v>
      </c>
      <c r="B97" t="s">
        <v>12579</v>
      </c>
      <c r="C97" t="s">
        <v>11159</v>
      </c>
      <c r="D97" t="s">
        <v>13344</v>
      </c>
      <c r="E97" t="s">
        <v>1551</v>
      </c>
      <c r="F97" t="s">
        <v>13395</v>
      </c>
      <c r="J97">
        <v>1.45</v>
      </c>
      <c r="K97" t="s">
        <v>11502</v>
      </c>
      <c r="N97" t="s">
        <v>13637</v>
      </c>
      <c r="O97" t="s">
        <v>11504</v>
      </c>
      <c r="P97" t="s">
        <v>280</v>
      </c>
      <c r="Q97" t="s">
        <v>13638</v>
      </c>
    </row>
    <row r="98" spans="1:17">
      <c r="A98" t="s">
        <v>13639</v>
      </c>
      <c r="B98" t="s">
        <v>12579</v>
      </c>
      <c r="C98" t="s">
        <v>11159</v>
      </c>
      <c r="D98" t="s">
        <v>13344</v>
      </c>
      <c r="E98" t="s">
        <v>2824</v>
      </c>
      <c r="F98" t="s">
        <v>13371</v>
      </c>
      <c r="J98">
        <v>1.35</v>
      </c>
      <c r="K98" t="s">
        <v>11502</v>
      </c>
      <c r="N98" t="s">
        <v>13640</v>
      </c>
      <c r="O98" t="s">
        <v>11504</v>
      </c>
      <c r="P98" t="s">
        <v>280</v>
      </c>
      <c r="Q98" t="s">
        <v>13641</v>
      </c>
    </row>
    <row r="99" spans="1:17">
      <c r="A99" t="s">
        <v>13642</v>
      </c>
      <c r="B99" t="s">
        <v>12579</v>
      </c>
      <c r="C99" t="s">
        <v>11159</v>
      </c>
      <c r="D99" t="s">
        <v>13344</v>
      </c>
      <c r="E99" t="s">
        <v>2986</v>
      </c>
      <c r="F99" t="s">
        <v>13356</v>
      </c>
      <c r="J99">
        <v>1.3</v>
      </c>
      <c r="K99" t="s">
        <v>11502</v>
      </c>
      <c r="N99" t="s">
        <v>13643</v>
      </c>
      <c r="O99" t="s">
        <v>11504</v>
      </c>
      <c r="P99" t="s">
        <v>280</v>
      </c>
      <c r="Q99" t="s">
        <v>13644</v>
      </c>
    </row>
    <row r="100" spans="1:17">
      <c r="A100" t="s">
        <v>13645</v>
      </c>
      <c r="B100" t="s">
        <v>12579</v>
      </c>
      <c r="C100" t="s">
        <v>11159</v>
      </c>
      <c r="D100" t="s">
        <v>13344</v>
      </c>
      <c r="E100" t="s">
        <v>2986</v>
      </c>
      <c r="F100" t="s">
        <v>13365</v>
      </c>
      <c r="J100">
        <v>1.25</v>
      </c>
      <c r="K100" t="s">
        <v>11502</v>
      </c>
      <c r="N100" t="s">
        <v>13646</v>
      </c>
      <c r="O100" t="s">
        <v>11504</v>
      </c>
      <c r="P100" t="s">
        <v>280</v>
      </c>
      <c r="Q100" t="s">
        <v>13647</v>
      </c>
    </row>
    <row r="101" spans="1:17">
      <c r="A101" t="s">
        <v>13648</v>
      </c>
      <c r="B101" t="s">
        <v>12579</v>
      </c>
      <c r="C101" t="s">
        <v>11159</v>
      </c>
      <c r="D101" t="s">
        <v>13344</v>
      </c>
      <c r="E101" t="s">
        <v>2588</v>
      </c>
      <c r="F101" t="s">
        <v>13362</v>
      </c>
      <c r="J101">
        <v>1.25</v>
      </c>
      <c r="K101" t="s">
        <v>11502</v>
      </c>
      <c r="N101" t="s">
        <v>13649</v>
      </c>
      <c r="O101" t="s">
        <v>11504</v>
      </c>
      <c r="P101" t="s">
        <v>280</v>
      </c>
      <c r="Q101" t="s">
        <v>13650</v>
      </c>
    </row>
    <row r="102" spans="1:17">
      <c r="A102" t="s">
        <v>13651</v>
      </c>
      <c r="B102" t="s">
        <v>12579</v>
      </c>
      <c r="C102" t="s">
        <v>11159</v>
      </c>
      <c r="D102" t="s">
        <v>13344</v>
      </c>
      <c r="E102" t="s">
        <v>2729</v>
      </c>
      <c r="F102" t="s">
        <v>13374</v>
      </c>
      <c r="J102">
        <v>1.2</v>
      </c>
      <c r="K102" t="s">
        <v>11502</v>
      </c>
      <c r="N102" t="s">
        <v>13652</v>
      </c>
      <c r="O102" t="s">
        <v>11504</v>
      </c>
      <c r="P102" t="s">
        <v>280</v>
      </c>
      <c r="Q102" t="s">
        <v>13653</v>
      </c>
    </row>
    <row r="103" spans="1:17">
      <c r="A103" t="s">
        <v>13654</v>
      </c>
      <c r="B103" t="s">
        <v>12579</v>
      </c>
      <c r="C103" t="s">
        <v>11159</v>
      </c>
      <c r="D103" t="s">
        <v>13344</v>
      </c>
      <c r="E103" t="s">
        <v>1666</v>
      </c>
      <c r="F103" t="s">
        <v>13425</v>
      </c>
      <c r="J103">
        <v>1.2</v>
      </c>
      <c r="K103" t="s">
        <v>11502</v>
      </c>
      <c r="N103" t="s">
        <v>13655</v>
      </c>
      <c r="O103" t="s">
        <v>11504</v>
      </c>
      <c r="P103" t="s">
        <v>280</v>
      </c>
      <c r="Q103" t="s">
        <v>13656</v>
      </c>
    </row>
    <row r="104" spans="1:17">
      <c r="A104" t="s">
        <v>13657</v>
      </c>
      <c r="B104" t="s">
        <v>12579</v>
      </c>
      <c r="C104" t="s">
        <v>11159</v>
      </c>
      <c r="D104" t="s">
        <v>13344</v>
      </c>
      <c r="E104" t="s">
        <v>2145</v>
      </c>
      <c r="F104" t="s">
        <v>13404</v>
      </c>
      <c r="J104">
        <v>0</v>
      </c>
      <c r="K104" t="s">
        <v>11504</v>
      </c>
      <c r="M104" t="s">
        <v>13374</v>
      </c>
      <c r="N104" t="s">
        <v>13658</v>
      </c>
      <c r="O104" t="s">
        <v>11504</v>
      </c>
      <c r="P104" t="s">
        <v>275</v>
      </c>
      <c r="Q104" t="s">
        <v>13659</v>
      </c>
    </row>
    <row r="105" spans="1:17">
      <c r="A105" t="s">
        <v>13660</v>
      </c>
      <c r="B105" t="s">
        <v>12600</v>
      </c>
      <c r="C105" t="s">
        <v>11159</v>
      </c>
      <c r="D105" t="s">
        <v>13344</v>
      </c>
      <c r="E105" t="s">
        <v>1551</v>
      </c>
      <c r="F105" t="s">
        <v>13395</v>
      </c>
      <c r="J105">
        <v>1.35</v>
      </c>
      <c r="K105" t="s">
        <v>11502</v>
      </c>
      <c r="N105" t="s">
        <v>13661</v>
      </c>
      <c r="O105" t="s">
        <v>11504</v>
      </c>
      <c r="P105" t="s">
        <v>280</v>
      </c>
      <c r="Q105" t="s">
        <v>13662</v>
      </c>
    </row>
    <row r="106" spans="1:17">
      <c r="A106" t="s">
        <v>13663</v>
      </c>
      <c r="B106" t="s">
        <v>12600</v>
      </c>
      <c r="C106" t="s">
        <v>11159</v>
      </c>
      <c r="D106" t="s">
        <v>13344</v>
      </c>
      <c r="E106" t="s">
        <v>2824</v>
      </c>
      <c r="F106" t="s">
        <v>13371</v>
      </c>
      <c r="J106">
        <v>1.3</v>
      </c>
      <c r="K106" t="s">
        <v>11502</v>
      </c>
      <c r="N106" t="s">
        <v>13664</v>
      </c>
      <c r="O106" t="s">
        <v>11504</v>
      </c>
      <c r="P106" t="s">
        <v>280</v>
      </c>
      <c r="Q106" t="s">
        <v>13665</v>
      </c>
    </row>
    <row r="107" spans="1:17">
      <c r="A107" t="s">
        <v>13666</v>
      </c>
      <c r="B107" t="s">
        <v>12600</v>
      </c>
      <c r="C107" t="s">
        <v>11159</v>
      </c>
      <c r="D107" t="s">
        <v>13344</v>
      </c>
      <c r="E107" t="s">
        <v>2986</v>
      </c>
      <c r="F107" t="s">
        <v>13356</v>
      </c>
      <c r="J107">
        <v>1.3</v>
      </c>
      <c r="K107" t="s">
        <v>11502</v>
      </c>
      <c r="N107" t="s">
        <v>13667</v>
      </c>
      <c r="O107" t="s">
        <v>11504</v>
      </c>
      <c r="P107" t="s">
        <v>280</v>
      </c>
      <c r="Q107" t="s">
        <v>13668</v>
      </c>
    </row>
    <row r="108" spans="1:17">
      <c r="A108" t="s">
        <v>13669</v>
      </c>
      <c r="B108" t="s">
        <v>12600</v>
      </c>
      <c r="C108" t="s">
        <v>11159</v>
      </c>
      <c r="D108" t="s">
        <v>13344</v>
      </c>
      <c r="E108" t="s">
        <v>2986</v>
      </c>
      <c r="F108" t="s">
        <v>13365</v>
      </c>
      <c r="J108">
        <v>1.25</v>
      </c>
      <c r="K108" t="s">
        <v>11502</v>
      </c>
      <c r="N108" t="s">
        <v>13670</v>
      </c>
      <c r="O108" t="s">
        <v>11504</v>
      </c>
      <c r="P108" t="s">
        <v>280</v>
      </c>
      <c r="Q108" t="s">
        <v>13671</v>
      </c>
    </row>
    <row r="109" spans="1:17">
      <c r="A109" t="s">
        <v>13672</v>
      </c>
      <c r="B109" t="s">
        <v>12600</v>
      </c>
      <c r="C109" t="s">
        <v>11159</v>
      </c>
      <c r="D109" t="s">
        <v>13344</v>
      </c>
      <c r="E109" t="s">
        <v>2286</v>
      </c>
      <c r="F109" t="s">
        <v>13383</v>
      </c>
      <c r="J109">
        <v>1.2</v>
      </c>
      <c r="K109" t="s">
        <v>11502</v>
      </c>
      <c r="N109" t="s">
        <v>13673</v>
      </c>
      <c r="O109" t="s">
        <v>11504</v>
      </c>
      <c r="P109" t="s">
        <v>280</v>
      </c>
      <c r="Q109" t="s">
        <v>13674</v>
      </c>
    </row>
    <row r="110" spans="1:17">
      <c r="A110" t="s">
        <v>13675</v>
      </c>
      <c r="B110" t="s">
        <v>12600</v>
      </c>
      <c r="C110" t="s">
        <v>11159</v>
      </c>
      <c r="D110" t="s">
        <v>13344</v>
      </c>
      <c r="E110" t="s">
        <v>1666</v>
      </c>
      <c r="F110" t="s">
        <v>13425</v>
      </c>
      <c r="J110">
        <v>1.1000000000000001</v>
      </c>
      <c r="K110" t="s">
        <v>11502</v>
      </c>
      <c r="N110" t="s">
        <v>13676</v>
      </c>
      <c r="O110" t="s">
        <v>11504</v>
      </c>
      <c r="P110" t="s">
        <v>280</v>
      </c>
      <c r="Q110" t="s">
        <v>13677</v>
      </c>
    </row>
    <row r="111" spans="1:17">
      <c r="A111" t="s">
        <v>13678</v>
      </c>
      <c r="B111" t="s">
        <v>12600</v>
      </c>
      <c r="C111" t="s">
        <v>11159</v>
      </c>
      <c r="D111" t="s">
        <v>13344</v>
      </c>
      <c r="E111" t="s">
        <v>2145</v>
      </c>
      <c r="F111" t="s">
        <v>13404</v>
      </c>
      <c r="J111">
        <v>0</v>
      </c>
      <c r="K111" t="s">
        <v>11504</v>
      </c>
      <c r="M111" t="s">
        <v>13374</v>
      </c>
      <c r="N111" t="s">
        <v>13679</v>
      </c>
      <c r="O111" t="s">
        <v>11504</v>
      </c>
      <c r="P111" t="s">
        <v>275</v>
      </c>
      <c r="Q111" t="s">
        <v>13680</v>
      </c>
    </row>
    <row r="112" spans="1:17">
      <c r="A112" t="s">
        <v>13681</v>
      </c>
      <c r="B112" t="s">
        <v>12600</v>
      </c>
      <c r="C112" t="s">
        <v>11159</v>
      </c>
      <c r="D112" t="s">
        <v>13344</v>
      </c>
      <c r="E112" t="s">
        <v>1987</v>
      </c>
      <c r="F112" t="s">
        <v>13401</v>
      </c>
      <c r="J112">
        <v>0.3</v>
      </c>
      <c r="K112" t="s">
        <v>11502</v>
      </c>
      <c r="N112" t="s">
        <v>13682</v>
      </c>
      <c r="O112" t="s">
        <v>11504</v>
      </c>
      <c r="P112" t="s">
        <v>280</v>
      </c>
      <c r="Q112" t="s">
        <v>13683</v>
      </c>
    </row>
    <row r="113" spans="1:17">
      <c r="A113" t="s">
        <v>13684</v>
      </c>
      <c r="B113" t="s">
        <v>10973</v>
      </c>
      <c r="C113" t="s">
        <v>11159</v>
      </c>
      <c r="D113" t="s">
        <v>13344</v>
      </c>
      <c r="E113" t="s">
        <v>1666</v>
      </c>
      <c r="F113" t="s">
        <v>13428</v>
      </c>
      <c r="J113">
        <v>1.5</v>
      </c>
      <c r="K113" t="s">
        <v>11502</v>
      </c>
      <c r="N113" t="s">
        <v>13685</v>
      </c>
      <c r="O113" t="s">
        <v>11504</v>
      </c>
      <c r="P113" t="s">
        <v>280</v>
      </c>
      <c r="Q113" t="s">
        <v>13686</v>
      </c>
    </row>
    <row r="114" spans="1:17">
      <c r="A114" t="s">
        <v>13687</v>
      </c>
      <c r="B114" t="s">
        <v>10973</v>
      </c>
      <c r="C114" t="s">
        <v>11159</v>
      </c>
      <c r="D114" t="s">
        <v>13344</v>
      </c>
      <c r="E114" t="s">
        <v>2986</v>
      </c>
      <c r="F114" t="s">
        <v>13407</v>
      </c>
      <c r="J114">
        <v>1.45</v>
      </c>
      <c r="K114" t="s">
        <v>11502</v>
      </c>
      <c r="N114" t="s">
        <v>13688</v>
      </c>
      <c r="O114" t="s">
        <v>11504</v>
      </c>
      <c r="P114" t="s">
        <v>280</v>
      </c>
      <c r="Q114" t="s">
        <v>13689</v>
      </c>
    </row>
    <row r="115" spans="1:17">
      <c r="A115" t="s">
        <v>13690</v>
      </c>
      <c r="B115" t="s">
        <v>10973</v>
      </c>
      <c r="C115" t="s">
        <v>11159</v>
      </c>
      <c r="D115" t="s">
        <v>13344</v>
      </c>
      <c r="E115" t="s">
        <v>1666</v>
      </c>
      <c r="F115" t="s">
        <v>13425</v>
      </c>
      <c r="J115">
        <v>1.35</v>
      </c>
      <c r="K115" t="s">
        <v>11502</v>
      </c>
      <c r="N115" t="s">
        <v>13691</v>
      </c>
      <c r="O115" t="s">
        <v>11504</v>
      </c>
      <c r="P115" t="s">
        <v>280</v>
      </c>
      <c r="Q115" t="s">
        <v>13692</v>
      </c>
    </row>
    <row r="116" spans="1:17">
      <c r="A116" t="s">
        <v>13693</v>
      </c>
      <c r="B116" t="s">
        <v>10973</v>
      </c>
      <c r="C116" t="s">
        <v>11159</v>
      </c>
      <c r="D116" t="s">
        <v>13344</v>
      </c>
      <c r="E116" t="s">
        <v>2145</v>
      </c>
      <c r="F116" t="s">
        <v>13422</v>
      </c>
      <c r="J116">
        <v>1.3</v>
      </c>
      <c r="K116" t="s">
        <v>11502</v>
      </c>
      <c r="N116" t="s">
        <v>13694</v>
      </c>
      <c r="O116" t="s">
        <v>11504</v>
      </c>
      <c r="P116" t="s">
        <v>280</v>
      </c>
      <c r="Q116" t="s">
        <v>13695</v>
      </c>
    </row>
    <row r="117" spans="1:17">
      <c r="A117" t="s">
        <v>13696</v>
      </c>
      <c r="B117" t="s">
        <v>10973</v>
      </c>
      <c r="C117" t="s">
        <v>11159</v>
      </c>
      <c r="D117" t="s">
        <v>13344</v>
      </c>
      <c r="E117" t="s">
        <v>2986</v>
      </c>
      <c r="F117" t="s">
        <v>13365</v>
      </c>
      <c r="J117">
        <v>1.25</v>
      </c>
      <c r="K117" t="s">
        <v>11502</v>
      </c>
      <c r="N117" t="s">
        <v>13697</v>
      </c>
      <c r="O117" t="s">
        <v>11504</v>
      </c>
      <c r="P117" t="s">
        <v>280</v>
      </c>
      <c r="Q117" t="s">
        <v>13698</v>
      </c>
    </row>
    <row r="118" spans="1:17">
      <c r="A118" t="s">
        <v>13699</v>
      </c>
      <c r="B118" t="s">
        <v>10973</v>
      </c>
      <c r="C118" t="s">
        <v>11159</v>
      </c>
      <c r="D118" t="s">
        <v>13344</v>
      </c>
      <c r="E118" t="s">
        <v>1551</v>
      </c>
      <c r="F118" t="s">
        <v>13395</v>
      </c>
      <c r="J118">
        <v>1.25</v>
      </c>
      <c r="K118" t="s">
        <v>11502</v>
      </c>
      <c r="N118" t="s">
        <v>13700</v>
      </c>
      <c r="O118" t="s">
        <v>11504</v>
      </c>
      <c r="P118" t="s">
        <v>280</v>
      </c>
      <c r="Q118" t="s">
        <v>13701</v>
      </c>
    </row>
    <row r="119" spans="1:17">
      <c r="A119" t="s">
        <v>13702</v>
      </c>
      <c r="B119" t="s">
        <v>10973</v>
      </c>
      <c r="C119" t="s">
        <v>11159</v>
      </c>
      <c r="D119" t="s">
        <v>13344</v>
      </c>
      <c r="E119" t="s">
        <v>2145</v>
      </c>
      <c r="F119" t="s">
        <v>13404</v>
      </c>
      <c r="J119">
        <v>0.7</v>
      </c>
      <c r="K119" t="s">
        <v>11502</v>
      </c>
      <c r="N119" t="s">
        <v>13703</v>
      </c>
      <c r="O119" t="s">
        <v>11504</v>
      </c>
      <c r="P119" t="s">
        <v>280</v>
      </c>
      <c r="Q119" t="s">
        <v>13704</v>
      </c>
    </row>
    <row r="120" spans="1:17">
      <c r="A120" t="s">
        <v>13705</v>
      </c>
      <c r="B120" t="s">
        <v>10973</v>
      </c>
      <c r="C120" t="s">
        <v>11159</v>
      </c>
      <c r="D120" t="s">
        <v>13344</v>
      </c>
      <c r="E120" t="s">
        <v>2286</v>
      </c>
      <c r="F120" t="s">
        <v>13398</v>
      </c>
      <c r="J120">
        <v>0.2</v>
      </c>
      <c r="K120" t="s">
        <v>11502</v>
      </c>
      <c r="N120" t="s">
        <v>13706</v>
      </c>
      <c r="O120" t="s">
        <v>11504</v>
      </c>
      <c r="P120" t="s">
        <v>280</v>
      </c>
      <c r="Q120" t="s">
        <v>13707</v>
      </c>
    </row>
    <row r="121" spans="1:17">
      <c r="A121" t="s">
        <v>13708</v>
      </c>
      <c r="B121" t="s">
        <v>10968</v>
      </c>
      <c r="C121" t="s">
        <v>11159</v>
      </c>
      <c r="D121" t="s">
        <v>13709</v>
      </c>
      <c r="E121" t="s">
        <v>2588</v>
      </c>
      <c r="F121" t="s">
        <v>13362</v>
      </c>
      <c r="J121">
        <v>1.3</v>
      </c>
      <c r="K121" t="s">
        <v>11502</v>
      </c>
      <c r="L121" t="s">
        <v>13710</v>
      </c>
      <c r="N121" t="s">
        <v>13711</v>
      </c>
      <c r="O121" t="s">
        <v>11504</v>
      </c>
      <c r="P121" t="s">
        <v>280</v>
      </c>
      <c r="Q121" t="s">
        <v>13712</v>
      </c>
    </row>
    <row r="122" spans="1:17">
      <c r="A122" t="s">
        <v>13713</v>
      </c>
      <c r="B122" t="s">
        <v>10968</v>
      </c>
      <c r="C122" t="s">
        <v>11159</v>
      </c>
      <c r="D122" t="s">
        <v>13714</v>
      </c>
      <c r="E122" t="s">
        <v>2824</v>
      </c>
      <c r="F122" t="s">
        <v>13443</v>
      </c>
      <c r="J122">
        <v>1.2</v>
      </c>
      <c r="K122" t="s">
        <v>11502</v>
      </c>
      <c r="L122" t="s">
        <v>13715</v>
      </c>
      <c r="N122" t="s">
        <v>13716</v>
      </c>
      <c r="O122" t="s">
        <v>11504</v>
      </c>
      <c r="P122" t="s">
        <v>280</v>
      </c>
      <c r="Q122" t="s">
        <v>13717</v>
      </c>
    </row>
  </sheetData>
  <autoFilter ref="A1:Q88" xr:uid="{00000000-0009-0000-0000-000019000000}"/>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M66"/>
  <sheetViews>
    <sheetView workbookViewId="0">
      <pane ySplit="1" topLeftCell="A2" activePane="bottomLeft" state="frozen"/>
      <selection pane="bottomLeft"/>
    </sheetView>
  </sheetViews>
  <sheetFormatPr defaultRowHeight="14.15"/>
  <cols>
    <col min="1" max="1" width="16" customWidth="1"/>
    <col min="2" max="2" width="28" customWidth="1"/>
    <col min="3" max="3" width="14" customWidth="1"/>
    <col min="4" max="4" width="24" customWidth="1"/>
    <col min="5" max="5" width="22" customWidth="1"/>
    <col min="6" max="6" width="26" customWidth="1"/>
    <col min="7" max="7" width="20" customWidth="1"/>
    <col min="8" max="9" width="16" customWidth="1"/>
    <col min="10" max="10" width="60" customWidth="1"/>
    <col min="11" max="11" width="14" customWidth="1"/>
    <col min="12" max="12" width="34" customWidth="1"/>
  </cols>
  <sheetData>
    <row r="1" spans="1:13" ht="18" customHeight="1">
      <c r="A1" t="s">
        <v>13332</v>
      </c>
      <c r="B1" t="s">
        <v>13718</v>
      </c>
      <c r="C1" t="s">
        <v>13719</v>
      </c>
      <c r="D1" t="s">
        <v>13720</v>
      </c>
      <c r="E1" t="s">
        <v>764</v>
      </c>
      <c r="F1" t="s">
        <v>13334</v>
      </c>
      <c r="G1" t="s">
        <v>13721</v>
      </c>
      <c r="H1" t="s">
        <v>13722</v>
      </c>
      <c r="I1" t="s">
        <v>13723</v>
      </c>
      <c r="J1" t="s">
        <v>744</v>
      </c>
      <c r="K1" t="s">
        <v>11627</v>
      </c>
      <c r="L1" t="s">
        <v>13342</v>
      </c>
      <c r="M1" t="s">
        <v>13724</v>
      </c>
    </row>
    <row r="2" spans="1:13">
      <c r="A2" t="s">
        <v>13725</v>
      </c>
      <c r="B2" t="s">
        <v>643</v>
      </c>
      <c r="C2">
        <v>3</v>
      </c>
      <c r="D2" t="s">
        <v>11159</v>
      </c>
      <c r="E2" t="s">
        <v>2986</v>
      </c>
      <c r="F2" t="s">
        <v>13356</v>
      </c>
      <c r="G2">
        <v>2</v>
      </c>
      <c r="J2" t="s">
        <v>13726</v>
      </c>
      <c r="K2" t="s">
        <v>11504</v>
      </c>
      <c r="L2" t="s">
        <v>13727</v>
      </c>
      <c r="M2" t="s">
        <v>13728</v>
      </c>
    </row>
    <row r="3" spans="1:13">
      <c r="A3" t="s">
        <v>13729</v>
      </c>
      <c r="B3" t="s">
        <v>643</v>
      </c>
      <c r="C3">
        <v>3</v>
      </c>
      <c r="D3" t="s">
        <v>11159</v>
      </c>
      <c r="E3" t="s">
        <v>2986</v>
      </c>
      <c r="F3" t="s">
        <v>13359</v>
      </c>
      <c r="G3">
        <v>2</v>
      </c>
      <c r="J3" t="s">
        <v>13730</v>
      </c>
      <c r="K3" t="s">
        <v>11504</v>
      </c>
      <c r="L3" t="s">
        <v>13731</v>
      </c>
      <c r="M3" t="s">
        <v>13732</v>
      </c>
    </row>
    <row r="4" spans="1:13">
      <c r="A4" t="s">
        <v>13733</v>
      </c>
      <c r="B4" t="s">
        <v>643</v>
      </c>
      <c r="C4">
        <v>3</v>
      </c>
      <c r="D4" t="s">
        <v>11159</v>
      </c>
      <c r="E4" t="s">
        <v>2588</v>
      </c>
      <c r="F4" t="s">
        <v>13362</v>
      </c>
      <c r="G4">
        <v>1.9</v>
      </c>
      <c r="J4" t="s">
        <v>13734</v>
      </c>
      <c r="K4" t="s">
        <v>11504</v>
      </c>
      <c r="L4" t="s">
        <v>13735</v>
      </c>
      <c r="M4" t="s">
        <v>13736</v>
      </c>
    </row>
    <row r="5" spans="1:13">
      <c r="A5" t="s">
        <v>13737</v>
      </c>
      <c r="B5" t="s">
        <v>643</v>
      </c>
      <c r="C5">
        <v>3</v>
      </c>
      <c r="D5" t="s">
        <v>11159</v>
      </c>
      <c r="E5" t="s">
        <v>2986</v>
      </c>
      <c r="F5" t="s">
        <v>13365</v>
      </c>
      <c r="G5">
        <v>1.8</v>
      </c>
      <c r="J5" t="s">
        <v>13738</v>
      </c>
      <c r="K5" t="s">
        <v>11504</v>
      </c>
      <c r="L5" t="s">
        <v>13739</v>
      </c>
      <c r="M5" t="s">
        <v>13740</v>
      </c>
    </row>
    <row r="6" spans="1:13">
      <c r="A6" t="s">
        <v>13741</v>
      </c>
      <c r="B6" t="s">
        <v>643</v>
      </c>
      <c r="C6">
        <v>3</v>
      </c>
      <c r="D6" t="s">
        <v>11159</v>
      </c>
      <c r="E6" t="s">
        <v>2588</v>
      </c>
      <c r="F6" t="s">
        <v>13345</v>
      </c>
      <c r="G6">
        <v>1.75</v>
      </c>
      <c r="J6" t="s">
        <v>13742</v>
      </c>
      <c r="K6" t="s">
        <v>11504</v>
      </c>
      <c r="L6" t="s">
        <v>13743</v>
      </c>
      <c r="M6" t="s">
        <v>13744</v>
      </c>
    </row>
    <row r="7" spans="1:13">
      <c r="A7" t="s">
        <v>13745</v>
      </c>
      <c r="B7" t="s">
        <v>643</v>
      </c>
      <c r="C7">
        <v>3</v>
      </c>
      <c r="D7" t="s">
        <v>11159</v>
      </c>
      <c r="E7" t="s">
        <v>2729</v>
      </c>
      <c r="F7" t="s">
        <v>13374</v>
      </c>
      <c r="G7">
        <v>1.5</v>
      </c>
      <c r="J7" t="s">
        <v>13746</v>
      </c>
      <c r="K7" t="s">
        <v>11504</v>
      </c>
      <c r="L7" t="s">
        <v>13747</v>
      </c>
      <c r="M7" t="s">
        <v>13748</v>
      </c>
    </row>
    <row r="8" spans="1:13">
      <c r="A8" t="s">
        <v>13749</v>
      </c>
      <c r="B8" t="s">
        <v>643</v>
      </c>
      <c r="C8">
        <v>3</v>
      </c>
      <c r="D8" t="s">
        <v>11159</v>
      </c>
      <c r="E8" t="s">
        <v>2824</v>
      </c>
      <c r="F8" t="s">
        <v>13371</v>
      </c>
      <c r="G8">
        <v>1.45</v>
      </c>
      <c r="J8" t="s">
        <v>13750</v>
      </c>
      <c r="K8" t="s">
        <v>11504</v>
      </c>
      <c r="L8" t="s">
        <v>13751</v>
      </c>
      <c r="M8" t="s">
        <v>13752</v>
      </c>
    </row>
    <row r="9" spans="1:13">
      <c r="A9" t="s">
        <v>13753</v>
      </c>
      <c r="B9" t="s">
        <v>643</v>
      </c>
      <c r="C9">
        <v>3</v>
      </c>
      <c r="D9" t="s">
        <v>11159</v>
      </c>
      <c r="E9" t="s">
        <v>1551</v>
      </c>
      <c r="F9" t="s">
        <v>13368</v>
      </c>
      <c r="G9">
        <v>1.35</v>
      </c>
      <c r="J9" t="s">
        <v>13754</v>
      </c>
      <c r="K9" t="s">
        <v>11504</v>
      </c>
      <c r="L9" t="s">
        <v>13755</v>
      </c>
      <c r="M9" t="s">
        <v>13756</v>
      </c>
    </row>
    <row r="10" spans="1:13">
      <c r="A10" t="s">
        <v>13757</v>
      </c>
      <c r="B10" t="s">
        <v>643</v>
      </c>
      <c r="C10">
        <v>3</v>
      </c>
      <c r="D10" t="s">
        <v>11159</v>
      </c>
      <c r="E10" t="s">
        <v>1666</v>
      </c>
      <c r="F10" t="s">
        <v>13425</v>
      </c>
      <c r="G10">
        <v>0.3</v>
      </c>
      <c r="J10" t="s">
        <v>13758</v>
      </c>
      <c r="K10" t="s">
        <v>11504</v>
      </c>
      <c r="L10" t="s">
        <v>13759</v>
      </c>
      <c r="M10" t="s">
        <v>13760</v>
      </c>
    </row>
    <row r="11" spans="1:13">
      <c r="A11" t="s">
        <v>13761</v>
      </c>
      <c r="B11" t="s">
        <v>643</v>
      </c>
      <c r="C11">
        <v>3</v>
      </c>
      <c r="D11" t="s">
        <v>11159</v>
      </c>
      <c r="E11" t="s">
        <v>1259</v>
      </c>
      <c r="F11" t="s">
        <v>13431</v>
      </c>
      <c r="G11">
        <v>0.8</v>
      </c>
      <c r="J11" t="s">
        <v>13762</v>
      </c>
      <c r="K11" t="s">
        <v>11504</v>
      </c>
      <c r="L11" t="s">
        <v>13763</v>
      </c>
      <c r="M11" t="s">
        <v>13764</v>
      </c>
    </row>
    <row r="12" spans="1:13">
      <c r="A12" t="s">
        <v>13765</v>
      </c>
      <c r="B12" t="s">
        <v>3615</v>
      </c>
      <c r="C12">
        <v>2</v>
      </c>
      <c r="D12" t="s">
        <v>11159</v>
      </c>
      <c r="E12" t="s">
        <v>2588</v>
      </c>
      <c r="F12" t="s">
        <v>13345</v>
      </c>
      <c r="G12">
        <v>2</v>
      </c>
      <c r="J12" t="s">
        <v>13766</v>
      </c>
      <c r="K12" t="s">
        <v>11504</v>
      </c>
      <c r="L12" t="s">
        <v>13767</v>
      </c>
      <c r="M12" t="s">
        <v>13768</v>
      </c>
    </row>
    <row r="13" spans="1:13">
      <c r="A13" t="s">
        <v>13769</v>
      </c>
      <c r="B13" t="s">
        <v>3615</v>
      </c>
      <c r="C13">
        <v>2</v>
      </c>
      <c r="D13" t="s">
        <v>11159</v>
      </c>
      <c r="E13" t="s">
        <v>2729</v>
      </c>
      <c r="F13" t="s">
        <v>13350</v>
      </c>
      <c r="G13">
        <v>1.9</v>
      </c>
      <c r="J13" t="s">
        <v>13770</v>
      </c>
      <c r="K13" t="s">
        <v>11504</v>
      </c>
      <c r="L13" t="s">
        <v>13771</v>
      </c>
      <c r="M13" t="s">
        <v>13772</v>
      </c>
    </row>
    <row r="14" spans="1:13">
      <c r="A14" t="s">
        <v>13773</v>
      </c>
      <c r="B14" t="s">
        <v>3615</v>
      </c>
      <c r="C14">
        <v>2</v>
      </c>
      <c r="D14" t="s">
        <v>11159</v>
      </c>
      <c r="E14" t="s">
        <v>2588</v>
      </c>
      <c r="F14" t="s">
        <v>13353</v>
      </c>
      <c r="G14">
        <v>1.8</v>
      </c>
      <c r="J14" t="s">
        <v>13774</v>
      </c>
      <c r="K14" t="s">
        <v>11504</v>
      </c>
      <c r="L14" t="s">
        <v>13775</v>
      </c>
      <c r="M14" t="s">
        <v>13776</v>
      </c>
    </row>
    <row r="15" spans="1:13">
      <c r="A15" t="s">
        <v>13777</v>
      </c>
      <c r="B15" t="s">
        <v>3615</v>
      </c>
      <c r="C15">
        <v>2</v>
      </c>
      <c r="D15" t="s">
        <v>11159</v>
      </c>
      <c r="E15" t="s">
        <v>2286</v>
      </c>
      <c r="F15" t="s">
        <v>13383</v>
      </c>
      <c r="G15">
        <v>1.45</v>
      </c>
      <c r="J15" t="s">
        <v>13778</v>
      </c>
      <c r="K15" t="s">
        <v>11504</v>
      </c>
      <c r="L15" t="s">
        <v>13779</v>
      </c>
      <c r="M15" t="s">
        <v>13780</v>
      </c>
    </row>
    <row r="16" spans="1:13">
      <c r="A16" t="s">
        <v>13781</v>
      </c>
      <c r="B16" t="s">
        <v>3615</v>
      </c>
      <c r="C16">
        <v>2</v>
      </c>
      <c r="D16" t="s">
        <v>11159</v>
      </c>
      <c r="E16" t="s">
        <v>2729</v>
      </c>
      <c r="F16" t="s">
        <v>13377</v>
      </c>
      <c r="G16">
        <v>1.3</v>
      </c>
      <c r="J16" t="s">
        <v>13782</v>
      </c>
      <c r="K16" t="s">
        <v>11504</v>
      </c>
      <c r="L16" t="s">
        <v>13783</v>
      </c>
      <c r="M16" t="s">
        <v>13784</v>
      </c>
    </row>
    <row r="17" spans="1:13">
      <c r="A17" t="s">
        <v>13785</v>
      </c>
      <c r="B17" t="s">
        <v>3615</v>
      </c>
      <c r="C17">
        <v>2</v>
      </c>
      <c r="D17" t="s">
        <v>11159</v>
      </c>
      <c r="E17" t="s">
        <v>2824</v>
      </c>
      <c r="F17" t="s">
        <v>13371</v>
      </c>
      <c r="G17">
        <v>1.25</v>
      </c>
      <c r="J17" t="s">
        <v>13786</v>
      </c>
      <c r="K17" t="s">
        <v>11504</v>
      </c>
      <c r="L17" t="s">
        <v>13787</v>
      </c>
      <c r="M17" t="s">
        <v>13788</v>
      </c>
    </row>
    <row r="18" spans="1:13">
      <c r="A18" t="s">
        <v>13789</v>
      </c>
      <c r="B18" t="s">
        <v>3615</v>
      </c>
      <c r="C18">
        <v>2</v>
      </c>
      <c r="D18" t="s">
        <v>11159</v>
      </c>
      <c r="E18" t="s">
        <v>2986</v>
      </c>
      <c r="F18" t="s">
        <v>13356</v>
      </c>
      <c r="G18">
        <v>1.2</v>
      </c>
      <c r="J18" t="s">
        <v>13790</v>
      </c>
      <c r="K18" t="s">
        <v>11504</v>
      </c>
      <c r="L18" t="s">
        <v>13791</v>
      </c>
      <c r="M18" t="s">
        <v>13792</v>
      </c>
    </row>
    <row r="19" spans="1:13">
      <c r="A19" t="s">
        <v>13793</v>
      </c>
      <c r="B19" t="s">
        <v>3615</v>
      </c>
      <c r="C19">
        <v>2</v>
      </c>
      <c r="D19" t="s">
        <v>11159</v>
      </c>
      <c r="E19" t="s">
        <v>1666</v>
      </c>
      <c r="F19" t="s">
        <v>13425</v>
      </c>
      <c r="G19">
        <v>0.3</v>
      </c>
      <c r="J19" t="s">
        <v>13794</v>
      </c>
      <c r="K19" t="s">
        <v>11504</v>
      </c>
      <c r="L19" t="s">
        <v>13795</v>
      </c>
      <c r="M19" t="s">
        <v>13796</v>
      </c>
    </row>
    <row r="20" spans="1:13">
      <c r="A20" t="s">
        <v>13797</v>
      </c>
      <c r="B20" t="s">
        <v>644</v>
      </c>
      <c r="C20">
        <v>3</v>
      </c>
      <c r="D20" t="s">
        <v>11159</v>
      </c>
      <c r="E20" t="s">
        <v>1987</v>
      </c>
      <c r="F20" t="s">
        <v>13410</v>
      </c>
      <c r="G20">
        <v>2</v>
      </c>
      <c r="J20" t="s">
        <v>13798</v>
      </c>
      <c r="K20" t="s">
        <v>11504</v>
      </c>
      <c r="L20" t="s">
        <v>13799</v>
      </c>
      <c r="M20" t="s">
        <v>13800</v>
      </c>
    </row>
    <row r="21" spans="1:13">
      <c r="A21" t="s">
        <v>13801</v>
      </c>
      <c r="B21" t="s">
        <v>644</v>
      </c>
      <c r="C21">
        <v>3</v>
      </c>
      <c r="D21" t="s">
        <v>11159</v>
      </c>
      <c r="E21" t="s">
        <v>1987</v>
      </c>
      <c r="F21" t="s">
        <v>13413</v>
      </c>
      <c r="G21">
        <v>1.8</v>
      </c>
      <c r="J21" t="s">
        <v>13802</v>
      </c>
      <c r="K21" t="s">
        <v>11504</v>
      </c>
      <c r="L21" t="s">
        <v>13803</v>
      </c>
      <c r="M21" t="s">
        <v>13804</v>
      </c>
    </row>
    <row r="22" spans="1:13">
      <c r="A22" t="s">
        <v>13805</v>
      </c>
      <c r="B22" t="s">
        <v>644</v>
      </c>
      <c r="C22">
        <v>3</v>
      </c>
      <c r="D22" t="s">
        <v>11159</v>
      </c>
      <c r="E22" t="s">
        <v>1859</v>
      </c>
      <c r="F22" t="s">
        <v>13416</v>
      </c>
      <c r="G22">
        <v>1.7</v>
      </c>
      <c r="J22" t="s">
        <v>13806</v>
      </c>
      <c r="K22" t="s">
        <v>11504</v>
      </c>
      <c r="L22" t="s">
        <v>13807</v>
      </c>
      <c r="M22" t="s">
        <v>13808</v>
      </c>
    </row>
    <row r="23" spans="1:13">
      <c r="A23" t="s">
        <v>13809</v>
      </c>
      <c r="B23" t="s">
        <v>644</v>
      </c>
      <c r="C23">
        <v>3</v>
      </c>
      <c r="D23" t="s">
        <v>11159</v>
      </c>
      <c r="E23" t="s">
        <v>1987</v>
      </c>
      <c r="F23" t="s">
        <v>13401</v>
      </c>
      <c r="G23">
        <v>1.45</v>
      </c>
      <c r="J23" t="s">
        <v>13810</v>
      </c>
      <c r="K23" t="s">
        <v>11504</v>
      </c>
      <c r="L23" t="s">
        <v>13811</v>
      </c>
      <c r="M23" t="s">
        <v>13812</v>
      </c>
    </row>
    <row r="24" spans="1:13">
      <c r="A24" t="s">
        <v>13813</v>
      </c>
      <c r="B24" t="s">
        <v>644</v>
      </c>
      <c r="C24">
        <v>3</v>
      </c>
      <c r="D24" t="s">
        <v>11159</v>
      </c>
      <c r="E24" t="s">
        <v>2145</v>
      </c>
      <c r="F24" t="s">
        <v>13404</v>
      </c>
      <c r="G24">
        <v>1.35</v>
      </c>
      <c r="J24" t="s">
        <v>13814</v>
      </c>
      <c r="K24" t="s">
        <v>11504</v>
      </c>
      <c r="L24" t="s">
        <v>13815</v>
      </c>
      <c r="M24" t="s">
        <v>13816</v>
      </c>
    </row>
    <row r="25" spans="1:13">
      <c r="A25" t="s">
        <v>13817</v>
      </c>
      <c r="B25" t="s">
        <v>644</v>
      </c>
      <c r="C25">
        <v>3</v>
      </c>
      <c r="D25" t="s">
        <v>11159</v>
      </c>
      <c r="E25" t="s">
        <v>1401</v>
      </c>
      <c r="F25" t="s">
        <v>13449</v>
      </c>
      <c r="G25">
        <v>1.4</v>
      </c>
      <c r="J25" t="s">
        <v>13818</v>
      </c>
      <c r="K25" t="s">
        <v>11504</v>
      </c>
      <c r="L25" t="s">
        <v>13819</v>
      </c>
      <c r="M25" t="s">
        <v>13820</v>
      </c>
    </row>
    <row r="26" spans="1:13">
      <c r="A26" t="s">
        <v>13821</v>
      </c>
      <c r="B26" t="s">
        <v>644</v>
      </c>
      <c r="C26">
        <v>3</v>
      </c>
      <c r="D26" t="s">
        <v>11159</v>
      </c>
      <c r="E26" t="s">
        <v>1987</v>
      </c>
      <c r="F26" t="s">
        <v>13440</v>
      </c>
      <c r="G26">
        <v>1.5</v>
      </c>
      <c r="J26" t="s">
        <v>13822</v>
      </c>
      <c r="K26" t="s">
        <v>11504</v>
      </c>
      <c r="L26" t="s">
        <v>13823</v>
      </c>
      <c r="M26" t="s">
        <v>13824</v>
      </c>
    </row>
    <row r="27" spans="1:13">
      <c r="A27" t="s">
        <v>13825</v>
      </c>
      <c r="B27" t="s">
        <v>3620</v>
      </c>
      <c r="C27">
        <v>2</v>
      </c>
      <c r="D27" t="s">
        <v>11159</v>
      </c>
      <c r="E27" t="s">
        <v>1666</v>
      </c>
      <c r="F27" t="s">
        <v>13428</v>
      </c>
      <c r="G27">
        <v>2</v>
      </c>
      <c r="J27" t="s">
        <v>13826</v>
      </c>
      <c r="K27" t="s">
        <v>11504</v>
      </c>
      <c r="L27" t="s">
        <v>13827</v>
      </c>
      <c r="M27" t="s">
        <v>13828</v>
      </c>
    </row>
    <row r="28" spans="1:13">
      <c r="A28" t="s">
        <v>13829</v>
      </c>
      <c r="B28" t="s">
        <v>3620</v>
      </c>
      <c r="C28">
        <v>2</v>
      </c>
      <c r="D28" t="s">
        <v>11159</v>
      </c>
      <c r="E28" t="s">
        <v>1666</v>
      </c>
      <c r="F28" t="s">
        <v>13425</v>
      </c>
      <c r="G28">
        <v>1.65</v>
      </c>
      <c r="J28" t="s">
        <v>13830</v>
      </c>
      <c r="K28" t="s">
        <v>11504</v>
      </c>
      <c r="L28" t="s">
        <v>13831</v>
      </c>
      <c r="M28" t="s">
        <v>13832</v>
      </c>
    </row>
    <row r="29" spans="1:13">
      <c r="A29" t="s">
        <v>13833</v>
      </c>
      <c r="B29" t="s">
        <v>3620</v>
      </c>
      <c r="C29">
        <v>2</v>
      </c>
      <c r="D29" t="s">
        <v>11159</v>
      </c>
      <c r="E29" t="s">
        <v>2286</v>
      </c>
      <c r="F29" t="s">
        <v>13398</v>
      </c>
      <c r="G29">
        <v>1.55</v>
      </c>
      <c r="J29" t="s">
        <v>13834</v>
      </c>
      <c r="K29" t="s">
        <v>11504</v>
      </c>
      <c r="L29" t="s">
        <v>13835</v>
      </c>
      <c r="M29" t="s">
        <v>13836</v>
      </c>
    </row>
    <row r="30" spans="1:13">
      <c r="A30" t="s">
        <v>13837</v>
      </c>
      <c r="B30" t="s">
        <v>3620</v>
      </c>
      <c r="C30">
        <v>2</v>
      </c>
      <c r="D30" t="s">
        <v>11159</v>
      </c>
      <c r="E30" t="s">
        <v>2145</v>
      </c>
      <c r="F30" t="s">
        <v>13419</v>
      </c>
      <c r="G30">
        <v>1.6</v>
      </c>
      <c r="J30" t="s">
        <v>13838</v>
      </c>
      <c r="K30" t="s">
        <v>11504</v>
      </c>
      <c r="L30" t="s">
        <v>13839</v>
      </c>
      <c r="M30" t="s">
        <v>13840</v>
      </c>
    </row>
    <row r="31" spans="1:13">
      <c r="A31" t="s">
        <v>13841</v>
      </c>
      <c r="B31" t="s">
        <v>3620</v>
      </c>
      <c r="C31">
        <v>2</v>
      </c>
      <c r="D31" t="s">
        <v>11159</v>
      </c>
      <c r="E31" t="s">
        <v>2588</v>
      </c>
      <c r="F31" t="s">
        <v>13345</v>
      </c>
      <c r="G31">
        <v>1.25</v>
      </c>
      <c r="J31" t="s">
        <v>13842</v>
      </c>
      <c r="K31" t="s">
        <v>11504</v>
      </c>
      <c r="L31" t="s">
        <v>13843</v>
      </c>
      <c r="M31" t="s">
        <v>13844</v>
      </c>
    </row>
    <row r="32" spans="1:13">
      <c r="A32" t="s">
        <v>13845</v>
      </c>
      <c r="B32" t="s">
        <v>3620</v>
      </c>
      <c r="C32">
        <v>2</v>
      </c>
      <c r="D32" t="s">
        <v>11159</v>
      </c>
      <c r="E32" t="s">
        <v>2286</v>
      </c>
      <c r="F32" t="s">
        <v>13383</v>
      </c>
      <c r="G32">
        <v>1.3</v>
      </c>
      <c r="J32" t="s">
        <v>13846</v>
      </c>
      <c r="K32" t="s">
        <v>11504</v>
      </c>
      <c r="L32" t="s">
        <v>13847</v>
      </c>
      <c r="M32" t="s">
        <v>13848</v>
      </c>
    </row>
    <row r="33" spans="1:13">
      <c r="A33" t="s">
        <v>13849</v>
      </c>
      <c r="B33" t="s">
        <v>642</v>
      </c>
      <c r="C33">
        <v>3</v>
      </c>
      <c r="D33" t="s">
        <v>11159</v>
      </c>
      <c r="E33" t="s">
        <v>1666</v>
      </c>
      <c r="F33" t="s">
        <v>13425</v>
      </c>
      <c r="G33">
        <v>2</v>
      </c>
      <c r="J33" t="s">
        <v>13850</v>
      </c>
      <c r="K33" t="s">
        <v>11504</v>
      </c>
      <c r="L33" t="s">
        <v>13851</v>
      </c>
      <c r="M33" t="s">
        <v>13852</v>
      </c>
    </row>
    <row r="34" spans="1:13">
      <c r="A34" t="s">
        <v>13853</v>
      </c>
      <c r="B34" t="s">
        <v>642</v>
      </c>
      <c r="C34">
        <v>3</v>
      </c>
      <c r="D34" t="s">
        <v>11159</v>
      </c>
      <c r="E34" t="s">
        <v>1666</v>
      </c>
      <c r="F34" t="s">
        <v>13428</v>
      </c>
      <c r="G34">
        <v>1.6</v>
      </c>
      <c r="J34" t="s">
        <v>13854</v>
      </c>
      <c r="K34" t="s">
        <v>11504</v>
      </c>
      <c r="L34" t="s">
        <v>13855</v>
      </c>
      <c r="M34" t="s">
        <v>13856</v>
      </c>
    </row>
    <row r="35" spans="1:13">
      <c r="A35" t="s">
        <v>13857</v>
      </c>
      <c r="B35" t="s">
        <v>642</v>
      </c>
      <c r="C35">
        <v>3</v>
      </c>
      <c r="D35" t="s">
        <v>11159</v>
      </c>
      <c r="E35" t="s">
        <v>1259</v>
      </c>
      <c r="F35" t="s">
        <v>13431</v>
      </c>
      <c r="G35">
        <v>1.7</v>
      </c>
      <c r="J35" t="s">
        <v>13858</v>
      </c>
      <c r="K35" t="s">
        <v>11504</v>
      </c>
      <c r="L35" t="s">
        <v>13859</v>
      </c>
      <c r="M35" t="s">
        <v>13860</v>
      </c>
    </row>
    <row r="36" spans="1:13">
      <c r="A36" t="s">
        <v>13861</v>
      </c>
      <c r="B36" t="s">
        <v>642</v>
      </c>
      <c r="C36">
        <v>3</v>
      </c>
      <c r="D36" t="s">
        <v>11159</v>
      </c>
      <c r="E36" t="s">
        <v>1259</v>
      </c>
      <c r="F36" t="s">
        <v>13434</v>
      </c>
      <c r="G36">
        <v>1.6</v>
      </c>
      <c r="J36" t="s">
        <v>13862</v>
      </c>
      <c r="K36" t="s">
        <v>11504</v>
      </c>
      <c r="L36" t="s">
        <v>13863</v>
      </c>
      <c r="M36" t="s">
        <v>13864</v>
      </c>
    </row>
    <row r="37" spans="1:13">
      <c r="A37" t="s">
        <v>13865</v>
      </c>
      <c r="B37" t="s">
        <v>642</v>
      </c>
      <c r="C37">
        <v>3</v>
      </c>
      <c r="D37" t="s">
        <v>11159</v>
      </c>
      <c r="E37" t="s">
        <v>1259</v>
      </c>
      <c r="F37" t="s">
        <v>13437</v>
      </c>
      <c r="G37">
        <v>1.4</v>
      </c>
      <c r="J37" t="s">
        <v>13866</v>
      </c>
      <c r="K37" t="s">
        <v>11504</v>
      </c>
      <c r="L37" t="s">
        <v>13867</v>
      </c>
      <c r="M37" t="s">
        <v>13868</v>
      </c>
    </row>
    <row r="38" spans="1:13">
      <c r="A38" t="s">
        <v>13869</v>
      </c>
      <c r="B38" t="s">
        <v>642</v>
      </c>
      <c r="C38">
        <v>3</v>
      </c>
      <c r="D38" t="s">
        <v>11159</v>
      </c>
      <c r="E38" t="s">
        <v>1987</v>
      </c>
      <c r="F38" t="s">
        <v>13410</v>
      </c>
      <c r="G38">
        <v>1.4</v>
      </c>
      <c r="J38" t="s">
        <v>13870</v>
      </c>
      <c r="K38" t="s">
        <v>11504</v>
      </c>
      <c r="L38" t="s">
        <v>13871</v>
      </c>
      <c r="M38" t="s">
        <v>13872</v>
      </c>
    </row>
    <row r="39" spans="1:13">
      <c r="A39" t="s">
        <v>13873</v>
      </c>
      <c r="B39" t="s">
        <v>642</v>
      </c>
      <c r="C39">
        <v>3</v>
      </c>
      <c r="D39" t="s">
        <v>11159</v>
      </c>
      <c r="E39" t="s">
        <v>2986</v>
      </c>
      <c r="F39" t="s">
        <v>13356</v>
      </c>
      <c r="G39">
        <v>1.3</v>
      </c>
      <c r="J39" t="s">
        <v>13874</v>
      </c>
      <c r="K39" t="s">
        <v>11504</v>
      </c>
      <c r="L39" t="s">
        <v>13875</v>
      </c>
      <c r="M39" t="s">
        <v>13876</v>
      </c>
    </row>
    <row r="40" spans="1:13">
      <c r="A40" t="s">
        <v>13877</v>
      </c>
      <c r="B40" t="s">
        <v>3629</v>
      </c>
      <c r="C40">
        <v>2</v>
      </c>
      <c r="D40" t="s">
        <v>11159</v>
      </c>
      <c r="E40" t="s">
        <v>1259</v>
      </c>
      <c r="F40" t="s">
        <v>13431</v>
      </c>
      <c r="G40">
        <v>1.8</v>
      </c>
      <c r="J40" t="s">
        <v>13878</v>
      </c>
      <c r="K40" t="s">
        <v>11504</v>
      </c>
      <c r="L40" t="s">
        <v>13879</v>
      </c>
      <c r="M40" t="s">
        <v>13880</v>
      </c>
    </row>
    <row r="41" spans="1:13">
      <c r="A41" t="s">
        <v>13881</v>
      </c>
      <c r="B41" t="s">
        <v>3629</v>
      </c>
      <c r="C41">
        <v>2</v>
      </c>
      <c r="D41" t="s">
        <v>11159</v>
      </c>
      <c r="E41" t="s">
        <v>1259</v>
      </c>
      <c r="F41" t="s">
        <v>13437</v>
      </c>
      <c r="G41">
        <v>1.7</v>
      </c>
      <c r="J41" t="s">
        <v>13882</v>
      </c>
      <c r="K41" t="s">
        <v>11504</v>
      </c>
      <c r="L41" t="s">
        <v>13883</v>
      </c>
      <c r="M41" t="s">
        <v>13884</v>
      </c>
    </row>
    <row r="42" spans="1:13">
      <c r="A42" t="s">
        <v>13885</v>
      </c>
      <c r="B42" t="s">
        <v>3629</v>
      </c>
      <c r="C42">
        <v>2</v>
      </c>
      <c r="D42" t="s">
        <v>11159</v>
      </c>
      <c r="E42" t="s">
        <v>1259</v>
      </c>
      <c r="F42" t="s">
        <v>13434</v>
      </c>
      <c r="G42">
        <v>1.5</v>
      </c>
      <c r="J42" t="s">
        <v>13886</v>
      </c>
      <c r="K42" t="s">
        <v>11504</v>
      </c>
      <c r="L42" t="s">
        <v>13887</v>
      </c>
      <c r="M42" t="s">
        <v>13888</v>
      </c>
    </row>
    <row r="43" spans="1:13">
      <c r="A43" t="s">
        <v>13889</v>
      </c>
      <c r="B43" t="s">
        <v>3629</v>
      </c>
      <c r="C43">
        <v>2</v>
      </c>
      <c r="D43" t="s">
        <v>11159</v>
      </c>
      <c r="E43" t="s">
        <v>2588</v>
      </c>
      <c r="F43" t="s">
        <v>13345</v>
      </c>
      <c r="G43">
        <v>1.3</v>
      </c>
      <c r="J43" t="s">
        <v>13890</v>
      </c>
      <c r="K43" t="s">
        <v>11504</v>
      </c>
      <c r="L43" t="s">
        <v>13891</v>
      </c>
      <c r="M43" t="s">
        <v>13892</v>
      </c>
    </row>
    <row r="44" spans="1:13">
      <c r="A44" t="s">
        <v>13893</v>
      </c>
      <c r="B44" t="s">
        <v>3629</v>
      </c>
      <c r="C44">
        <v>2</v>
      </c>
      <c r="D44" t="s">
        <v>11159</v>
      </c>
      <c r="E44" t="s">
        <v>2286</v>
      </c>
      <c r="F44" t="s">
        <v>13383</v>
      </c>
      <c r="G44">
        <v>1.25</v>
      </c>
      <c r="J44" t="s">
        <v>13894</v>
      </c>
      <c r="K44" t="s">
        <v>11504</v>
      </c>
      <c r="L44" t="s">
        <v>13895</v>
      </c>
      <c r="M44" t="s">
        <v>13896</v>
      </c>
    </row>
    <row r="45" spans="1:13">
      <c r="A45" t="s">
        <v>13897</v>
      </c>
      <c r="B45" t="s">
        <v>3629</v>
      </c>
      <c r="C45">
        <v>2</v>
      </c>
      <c r="D45" t="s">
        <v>11159</v>
      </c>
      <c r="E45" t="s">
        <v>1666</v>
      </c>
      <c r="F45" t="s">
        <v>13425</v>
      </c>
      <c r="G45">
        <v>1.25</v>
      </c>
      <c r="J45" t="s">
        <v>13898</v>
      </c>
      <c r="K45" t="s">
        <v>11504</v>
      </c>
      <c r="L45" t="s">
        <v>13899</v>
      </c>
      <c r="M45" t="s">
        <v>13900</v>
      </c>
    </row>
    <row r="46" spans="1:13">
      <c r="A46" t="s">
        <v>13901</v>
      </c>
      <c r="B46" t="s">
        <v>3615</v>
      </c>
      <c r="C46">
        <v>2</v>
      </c>
      <c r="D46" t="s">
        <v>10968</v>
      </c>
      <c r="E46" t="s">
        <v>2588</v>
      </c>
      <c r="F46" t="s">
        <v>13353</v>
      </c>
      <c r="G46">
        <v>2</v>
      </c>
      <c r="J46" t="s">
        <v>13902</v>
      </c>
      <c r="K46" t="s">
        <v>11504</v>
      </c>
      <c r="L46" t="s">
        <v>13775</v>
      </c>
      <c r="M46" t="s">
        <v>13903</v>
      </c>
    </row>
    <row r="47" spans="1:13">
      <c r="A47" t="s">
        <v>13904</v>
      </c>
      <c r="B47" t="s">
        <v>3615</v>
      </c>
      <c r="C47">
        <v>2</v>
      </c>
      <c r="D47" t="s">
        <v>10968</v>
      </c>
      <c r="E47" t="s">
        <v>2729</v>
      </c>
      <c r="F47" t="s">
        <v>13350</v>
      </c>
      <c r="G47">
        <v>1.9</v>
      </c>
      <c r="J47" t="s">
        <v>13905</v>
      </c>
      <c r="K47" t="s">
        <v>11504</v>
      </c>
      <c r="L47" t="s">
        <v>13771</v>
      </c>
      <c r="M47" t="s">
        <v>13906</v>
      </c>
    </row>
    <row r="48" spans="1:13">
      <c r="A48" t="s">
        <v>13907</v>
      </c>
      <c r="B48" t="s">
        <v>3615</v>
      </c>
      <c r="C48">
        <v>2</v>
      </c>
      <c r="D48" t="s">
        <v>10968</v>
      </c>
      <c r="E48" t="s">
        <v>2286</v>
      </c>
      <c r="F48" t="s">
        <v>13383</v>
      </c>
      <c r="G48">
        <v>1.5</v>
      </c>
      <c r="J48" t="s">
        <v>13908</v>
      </c>
      <c r="K48" t="s">
        <v>11504</v>
      </c>
      <c r="L48" t="s">
        <v>13779</v>
      </c>
      <c r="M48" t="s">
        <v>13909</v>
      </c>
    </row>
    <row r="49" spans="1:13">
      <c r="A49" t="s">
        <v>13910</v>
      </c>
      <c r="B49" t="s">
        <v>3615</v>
      </c>
      <c r="C49">
        <v>2</v>
      </c>
      <c r="D49" t="s">
        <v>10968</v>
      </c>
      <c r="E49" t="s">
        <v>2729</v>
      </c>
      <c r="F49" t="s">
        <v>13377</v>
      </c>
      <c r="G49">
        <v>1.35</v>
      </c>
      <c r="J49" t="s">
        <v>13911</v>
      </c>
      <c r="K49" t="s">
        <v>11504</v>
      </c>
      <c r="L49" t="s">
        <v>13783</v>
      </c>
      <c r="M49" t="s">
        <v>13912</v>
      </c>
    </row>
    <row r="50" spans="1:13">
      <c r="A50" t="s">
        <v>13913</v>
      </c>
      <c r="B50" t="s">
        <v>643</v>
      </c>
      <c r="C50">
        <v>3</v>
      </c>
      <c r="D50" t="s">
        <v>10999</v>
      </c>
      <c r="E50" t="s">
        <v>2729</v>
      </c>
      <c r="F50" t="s">
        <v>13386</v>
      </c>
      <c r="G50">
        <v>1.9</v>
      </c>
      <c r="J50" t="s">
        <v>13914</v>
      </c>
      <c r="K50" t="s">
        <v>11504</v>
      </c>
      <c r="L50" t="s">
        <v>13915</v>
      </c>
      <c r="M50" t="s">
        <v>13916</v>
      </c>
    </row>
    <row r="51" spans="1:13">
      <c r="A51" t="s">
        <v>13917</v>
      </c>
      <c r="B51" t="s">
        <v>643</v>
      </c>
      <c r="C51">
        <v>3</v>
      </c>
      <c r="D51" t="s">
        <v>10999</v>
      </c>
      <c r="E51" t="s">
        <v>1401</v>
      </c>
      <c r="F51" t="s">
        <v>13389</v>
      </c>
      <c r="G51">
        <v>1.85</v>
      </c>
      <c r="J51" t="s">
        <v>13918</v>
      </c>
      <c r="K51" t="s">
        <v>11504</v>
      </c>
      <c r="L51" t="s">
        <v>13919</v>
      </c>
      <c r="M51" t="s">
        <v>13920</v>
      </c>
    </row>
    <row r="52" spans="1:13">
      <c r="A52" t="s">
        <v>13921</v>
      </c>
      <c r="B52" t="s">
        <v>643</v>
      </c>
      <c r="C52">
        <v>3</v>
      </c>
      <c r="D52" t="s">
        <v>10999</v>
      </c>
      <c r="E52" t="s">
        <v>1551</v>
      </c>
      <c r="F52" t="s">
        <v>13392</v>
      </c>
      <c r="G52">
        <v>1.6</v>
      </c>
      <c r="J52" t="s">
        <v>13922</v>
      </c>
      <c r="K52" t="s">
        <v>11504</v>
      </c>
      <c r="L52" t="s">
        <v>13923</v>
      </c>
      <c r="M52" t="s">
        <v>13924</v>
      </c>
    </row>
    <row r="53" spans="1:13">
      <c r="A53" t="s">
        <v>13925</v>
      </c>
      <c r="B53" t="s">
        <v>643</v>
      </c>
      <c r="C53">
        <v>3</v>
      </c>
      <c r="D53" t="s">
        <v>10999</v>
      </c>
      <c r="E53" t="s">
        <v>1551</v>
      </c>
      <c r="F53" t="s">
        <v>13395</v>
      </c>
      <c r="G53">
        <v>1.6</v>
      </c>
      <c r="J53" t="s">
        <v>13926</v>
      </c>
      <c r="K53" t="s">
        <v>11504</v>
      </c>
      <c r="L53" t="s">
        <v>13927</v>
      </c>
      <c r="M53" t="s">
        <v>13928</v>
      </c>
    </row>
    <row r="54" spans="1:13">
      <c r="A54" t="s">
        <v>13929</v>
      </c>
      <c r="B54" t="s">
        <v>3620</v>
      </c>
      <c r="C54">
        <v>2</v>
      </c>
      <c r="D54" t="s">
        <v>10970</v>
      </c>
      <c r="E54" t="s">
        <v>2286</v>
      </c>
      <c r="F54" t="s">
        <v>13398</v>
      </c>
      <c r="G54">
        <v>1.8</v>
      </c>
      <c r="J54" t="s">
        <v>13930</v>
      </c>
      <c r="K54" t="s">
        <v>11504</v>
      </c>
      <c r="L54" t="s">
        <v>13835</v>
      </c>
      <c r="M54" t="s">
        <v>13931</v>
      </c>
    </row>
    <row r="55" spans="1:13">
      <c r="A55" t="s">
        <v>13932</v>
      </c>
      <c r="B55" t="s">
        <v>3620</v>
      </c>
      <c r="C55">
        <v>2</v>
      </c>
      <c r="D55" t="s">
        <v>10970</v>
      </c>
      <c r="E55" t="s">
        <v>1987</v>
      </c>
      <c r="F55" t="s">
        <v>13401</v>
      </c>
      <c r="G55">
        <v>1.6</v>
      </c>
      <c r="J55" t="s">
        <v>13933</v>
      </c>
      <c r="K55" t="s">
        <v>11504</v>
      </c>
      <c r="L55" t="s">
        <v>13934</v>
      </c>
      <c r="M55" t="s">
        <v>13935</v>
      </c>
    </row>
    <row r="56" spans="1:13">
      <c r="A56" t="s">
        <v>13936</v>
      </c>
      <c r="B56" t="s">
        <v>3620</v>
      </c>
      <c r="C56">
        <v>2</v>
      </c>
      <c r="D56" t="s">
        <v>10970</v>
      </c>
      <c r="E56" t="s">
        <v>2286</v>
      </c>
      <c r="F56" t="s">
        <v>13383</v>
      </c>
      <c r="G56">
        <v>1.35</v>
      </c>
      <c r="J56" t="s">
        <v>13937</v>
      </c>
      <c r="K56" t="s">
        <v>11504</v>
      </c>
      <c r="L56" t="s">
        <v>13847</v>
      </c>
      <c r="M56" t="s">
        <v>13938</v>
      </c>
    </row>
    <row r="57" spans="1:13">
      <c r="A57" t="s">
        <v>13939</v>
      </c>
      <c r="B57" t="s">
        <v>644</v>
      </c>
      <c r="C57">
        <v>3</v>
      </c>
      <c r="D57" t="s">
        <v>11888</v>
      </c>
      <c r="E57" t="s">
        <v>2145</v>
      </c>
      <c r="F57" t="s">
        <v>13404</v>
      </c>
      <c r="G57">
        <v>1.55</v>
      </c>
      <c r="J57" t="s">
        <v>13940</v>
      </c>
      <c r="K57" t="s">
        <v>11504</v>
      </c>
      <c r="L57" t="s">
        <v>13815</v>
      </c>
      <c r="M57" t="s">
        <v>13941</v>
      </c>
    </row>
    <row r="58" spans="1:13">
      <c r="A58" t="s">
        <v>13942</v>
      </c>
      <c r="B58" t="s">
        <v>644</v>
      </c>
      <c r="C58">
        <v>3</v>
      </c>
      <c r="D58" t="s">
        <v>11888</v>
      </c>
      <c r="E58" t="s">
        <v>2145</v>
      </c>
      <c r="F58" t="s">
        <v>13419</v>
      </c>
      <c r="G58">
        <v>1.55</v>
      </c>
      <c r="J58" t="s">
        <v>13943</v>
      </c>
      <c r="K58" t="s">
        <v>11504</v>
      </c>
      <c r="L58" t="s">
        <v>13944</v>
      </c>
      <c r="M58" t="s">
        <v>13945</v>
      </c>
    </row>
    <row r="59" spans="1:13">
      <c r="A59" t="s">
        <v>13946</v>
      </c>
      <c r="B59" t="s">
        <v>644</v>
      </c>
      <c r="C59">
        <v>3</v>
      </c>
      <c r="D59" t="s">
        <v>11888</v>
      </c>
      <c r="E59" t="s">
        <v>2145</v>
      </c>
      <c r="F59" t="s">
        <v>13422</v>
      </c>
      <c r="G59">
        <v>1.3</v>
      </c>
      <c r="J59" t="s">
        <v>13947</v>
      </c>
      <c r="K59" t="s">
        <v>11504</v>
      </c>
      <c r="L59" t="s">
        <v>13948</v>
      </c>
      <c r="M59" t="s">
        <v>13949</v>
      </c>
    </row>
    <row r="60" spans="1:13">
      <c r="A60" t="s">
        <v>13950</v>
      </c>
      <c r="B60" t="s">
        <v>642</v>
      </c>
      <c r="C60">
        <v>3</v>
      </c>
      <c r="D60" t="s">
        <v>11887</v>
      </c>
      <c r="E60" t="s">
        <v>1259</v>
      </c>
      <c r="F60" t="s">
        <v>13437</v>
      </c>
      <c r="G60">
        <v>1.75</v>
      </c>
      <c r="J60" t="s">
        <v>13951</v>
      </c>
      <c r="K60" t="s">
        <v>11504</v>
      </c>
      <c r="L60" t="s">
        <v>13867</v>
      </c>
      <c r="M60" t="s">
        <v>13952</v>
      </c>
    </row>
    <row r="61" spans="1:13">
      <c r="A61" t="s">
        <v>13953</v>
      </c>
      <c r="B61" t="s">
        <v>642</v>
      </c>
      <c r="C61">
        <v>3</v>
      </c>
      <c r="D61" t="s">
        <v>11887</v>
      </c>
      <c r="E61" t="s">
        <v>1259</v>
      </c>
      <c r="F61" t="s">
        <v>13434</v>
      </c>
      <c r="G61">
        <v>1.65</v>
      </c>
      <c r="J61" t="s">
        <v>13954</v>
      </c>
      <c r="K61" t="s">
        <v>11504</v>
      </c>
      <c r="L61" t="s">
        <v>13863</v>
      </c>
      <c r="M61" t="s">
        <v>13955</v>
      </c>
    </row>
    <row r="62" spans="1:13">
      <c r="A62" t="s">
        <v>13956</v>
      </c>
      <c r="B62" t="s">
        <v>642</v>
      </c>
      <c r="C62">
        <v>3</v>
      </c>
      <c r="D62" t="s">
        <v>11887</v>
      </c>
      <c r="E62" t="s">
        <v>2286</v>
      </c>
      <c r="F62" t="s">
        <v>13383</v>
      </c>
      <c r="G62">
        <v>1.35</v>
      </c>
      <c r="J62" t="s">
        <v>13957</v>
      </c>
      <c r="K62" t="s">
        <v>11504</v>
      </c>
      <c r="L62" t="s">
        <v>13958</v>
      </c>
      <c r="M62" t="s">
        <v>13959</v>
      </c>
    </row>
    <row r="63" spans="1:13">
      <c r="A63" t="s">
        <v>13960</v>
      </c>
      <c r="B63" t="s">
        <v>643</v>
      </c>
      <c r="C63">
        <v>3</v>
      </c>
      <c r="D63" t="s">
        <v>12579</v>
      </c>
      <c r="E63" t="s">
        <v>2729</v>
      </c>
      <c r="F63" t="s">
        <v>13374</v>
      </c>
      <c r="G63">
        <v>1.65</v>
      </c>
      <c r="J63" t="s">
        <v>13961</v>
      </c>
      <c r="K63" t="s">
        <v>11504</v>
      </c>
      <c r="L63" t="s">
        <v>13747</v>
      </c>
      <c r="M63" t="s">
        <v>13962</v>
      </c>
    </row>
    <row r="64" spans="1:13">
      <c r="A64" t="s">
        <v>13963</v>
      </c>
      <c r="B64" t="s">
        <v>643</v>
      </c>
      <c r="C64">
        <v>3</v>
      </c>
      <c r="D64" t="s">
        <v>12579</v>
      </c>
      <c r="E64" t="s">
        <v>1551</v>
      </c>
      <c r="F64" t="s">
        <v>13368</v>
      </c>
      <c r="G64">
        <v>1.6</v>
      </c>
      <c r="J64" t="s">
        <v>13964</v>
      </c>
      <c r="K64" t="s">
        <v>11504</v>
      </c>
      <c r="L64" t="s">
        <v>13755</v>
      </c>
      <c r="M64" t="s">
        <v>13965</v>
      </c>
    </row>
    <row r="65" spans="1:13">
      <c r="A65" t="s">
        <v>13966</v>
      </c>
      <c r="B65" t="s">
        <v>3620</v>
      </c>
      <c r="C65">
        <v>2</v>
      </c>
      <c r="D65" t="s">
        <v>10973</v>
      </c>
      <c r="E65" t="s">
        <v>1666</v>
      </c>
      <c r="F65" t="s">
        <v>13428</v>
      </c>
      <c r="G65">
        <v>2</v>
      </c>
      <c r="J65" t="s">
        <v>13967</v>
      </c>
      <c r="K65" t="s">
        <v>11504</v>
      </c>
      <c r="L65" t="s">
        <v>13827</v>
      </c>
      <c r="M65" t="s">
        <v>13968</v>
      </c>
    </row>
    <row r="66" spans="1:13">
      <c r="A66" t="s">
        <v>13969</v>
      </c>
      <c r="B66" t="s">
        <v>3620</v>
      </c>
      <c r="C66">
        <v>2</v>
      </c>
      <c r="D66" t="s">
        <v>10973</v>
      </c>
      <c r="E66" t="s">
        <v>2986</v>
      </c>
      <c r="F66" t="s">
        <v>13407</v>
      </c>
      <c r="G66">
        <v>1.6</v>
      </c>
      <c r="J66" t="s">
        <v>13970</v>
      </c>
      <c r="K66" t="s">
        <v>11504</v>
      </c>
      <c r="L66" t="s">
        <v>13971</v>
      </c>
      <c r="M66" t="s">
        <v>13972</v>
      </c>
    </row>
  </sheetData>
  <autoFilter ref="A1:L45" xr:uid="{00000000-0009-0000-0000-00001A000000}"/>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Q37"/>
  <sheetViews>
    <sheetView workbookViewId="0">
      <pane ySplit="1" topLeftCell="A2" activePane="bottomLeft" state="frozen"/>
      <selection pane="bottomLeft"/>
    </sheetView>
  </sheetViews>
  <sheetFormatPr defaultRowHeight="14.15"/>
  <cols>
    <col min="1" max="1" width="14" customWidth="1"/>
    <col min="2" max="2" width="28" customWidth="1"/>
    <col min="3" max="3" width="22" customWidth="1"/>
    <col min="4" max="4" width="28" customWidth="1"/>
    <col min="5" max="6" width="26" customWidth="1"/>
    <col min="7" max="7" width="16" customWidth="1"/>
    <col min="8" max="8" width="20" customWidth="1"/>
    <col min="9" max="9" width="16" customWidth="1"/>
    <col min="10" max="11" width="20" customWidth="1"/>
    <col min="12" max="12" width="18" customWidth="1"/>
    <col min="13" max="14" width="22" customWidth="1"/>
    <col min="15" max="15" width="28" customWidth="1"/>
    <col min="16" max="16" width="44" customWidth="1"/>
    <col min="17" max="17" width="14" customWidth="1"/>
  </cols>
  <sheetData>
    <row r="1" spans="1:17" ht="18" customHeight="1">
      <c r="A1" t="s">
        <v>13973</v>
      </c>
      <c r="B1" t="s">
        <v>13334</v>
      </c>
      <c r="C1" t="s">
        <v>764</v>
      </c>
      <c r="D1" t="s">
        <v>12519</v>
      </c>
      <c r="E1" t="s">
        <v>12520</v>
      </c>
      <c r="F1" t="s">
        <v>13974</v>
      </c>
      <c r="G1" t="s">
        <v>13975</v>
      </c>
      <c r="H1" t="s">
        <v>13337</v>
      </c>
      <c r="I1" t="s">
        <v>13338</v>
      </c>
      <c r="J1" t="s">
        <v>13976</v>
      </c>
      <c r="K1" t="s">
        <v>13977</v>
      </c>
      <c r="L1" t="s">
        <v>13978</v>
      </c>
      <c r="M1" t="s">
        <v>13979</v>
      </c>
      <c r="N1" t="s">
        <v>13980</v>
      </c>
      <c r="O1" t="s">
        <v>13340</v>
      </c>
      <c r="P1" t="s">
        <v>13981</v>
      </c>
      <c r="Q1" t="s">
        <v>13982</v>
      </c>
    </row>
    <row r="2" spans="1:17">
      <c r="A2" t="s">
        <v>13983</v>
      </c>
      <c r="B2" t="s">
        <v>13345</v>
      </c>
      <c r="C2" t="s">
        <v>2588</v>
      </c>
      <c r="D2">
        <f t="shared" ref="D2:D37" si="0">PV_Canonical_Industry</f>
        <v>0</v>
      </c>
      <c r="E2" t="str">
        <f t="shared" ref="E2:E37" si="1">PV_Org_Type</f>
        <v>Generic Organization</v>
      </c>
      <c r="F2">
        <f t="shared" ref="F2:F37" si="2">PV_Selected_Crisis_Scenario</f>
        <v>0</v>
      </c>
      <c r="G2">
        <f t="shared" ref="G2:G37" si="3">PV_Crisis_Severity</f>
        <v>0</v>
      </c>
      <c r="H2">
        <f>IFERROR(IFERROR(INDEX(_REF_Applicability_Gates!$J:$J,MATCH($D2&amp;"|"&amp;$B2,_REF_Applicability_Gates!$Q:$Q,0)),IFERROR(IFERROR(INDEX(_REF_Applicability_Gates!$J:$J,MATCH("All|"&amp;$B2,_REF_Applicability_Gates!$Q:$Q,0)),1),1)),1)</f>
        <v>1</v>
      </c>
      <c r="I2" t="str">
        <f>IFERROR(IFERROR(INDEX(_REF_Applicability_Gates!$K:$K,MATCH($D2&amp;"|"&amp;$B2,_REF_Applicability_Gates!$Q:$Q,0)),IFERROR(IFERROR(INDEX(_REF_Applicability_Gates!$K:$K,MATCH("All|"&amp;$B2,_REF_Applicability_Gates!$Q:$Q,0)),"No"),"No")),"No")</f>
        <v>No</v>
      </c>
      <c r="J2">
        <f>IF($G2&gt;=IFERROR(INDEX(_REF_Crisis_Dominance!$C:$C,MATCH($F2&amp;"|"&amp;$D2&amp;"|"&amp;$B2,_REF_Crisis_Dominance!$M:$M,0)),IFERROR(INDEX(_REF_Crisis_Dominance!$C:$C,MATCH($F2&amp;"|"&amp;$B2,_REF_Crisis_Dominance!$L:$L,0)),99)),IFERROR(INDEX(_REF_Crisis_Dominance!$G:$G,MATCH($F2&amp;"|"&amp;$D2&amp;"|"&amp;$B2,_REF_Crisis_Dominance!$M:$M,0)),IFERROR(INDEX(_REF_Crisis_Dominance!$G:$G,MATCH($F2&amp;"|"&amp;$B2,_REF_Crisis_Dominance!$L:$L,0)),1)),1)</f>
        <v>1</v>
      </c>
      <c r="K2">
        <f t="shared" ref="K2:K37" si="4">MAX(0,MIN(2.5,IF(AND(OR($B2="CAP_PHYSICAL_SITE_SAFETY",$B2="CAP_UTILITIES_RESILIENCE",$B2="CAP_WMS_WAREHOUSE",$B2="CAP_MES_SHOPFLOOR",$B2="CAP_PRODUCTION_CAPACITY",$B2="CAP_ASSET_MAINTENANCE"),PV_Physical_Footprint_Intensity&lt;0.3),0.4,1)*IF(AND(OR($B2="CAP_PHYSICAL_SITE_SAFETY",$B2="CAP_UTILITIES_RESILIENCE",$B2="CAP_PRODUCTION_CAPACITY",$B2="CAP_ASSET_MAINTENANCE"),PV_Physical_Footprint_Intensity&gt;0.7),1.35,1)*IF(AND(OR($B2="CAP_CLOUD_DR",$B2="CAP_BACKUP_RECOVERY",$B2="CAP_SRE_OBSERVABILITY",$B2="CAP_PLATFORM_CONTINUITY",$B2="CAP_PRODUCT_SECURITY"),PV_Cloud_Dependency&gt;0.7),1.25,1)*IF(AND(OR($B2="CAP_REGULATORY_CONTINUITY",$B2="CAP_LEGAL_BREACH_RESPONSE",$B2="CAP_PAYMENT_CONTINUITY",$B2="CAP_CORE_BANKING",$B2="CAP_FRAUD_MONITORING"),PV_Regulatory_Intensity&gt;0.7),1.3,1)*IF(AND(OR($B2="CAP_DATA_GOVERNANCE",$B2="CAP_AI_GOVERNANCE"),PV_Data_Criticality&gt;0.7),1.25,1)*IF(AND(OR($B2="CAP_SUPPLIER_RESILIENCE",$B2="CAP_VENDOR_CONCENTRATION",$B2="CAP_PROCUREMENT_CONTROLS",$B2="CAP_INVENTORY_PLANNING"),PV_Supplier_Dependency&gt;0.7),1.25,1)*IF(AND(OR($B2="CAP_CUSTOMER_COMMUNICATION",$B2="CAP_CRM_CUSTOMER_SERVICE"),PV_Customer_Concentration&gt;0.7),1.2,1)*IF(AND(OR($B2="CAP_CRITICAL_PEOPLE",$B2="CAP_WORKFORCE_CONTINUITY"),PV_Critical_People_Dependency&gt;0.7),1.3,1)*IF(AND($B2="CAP_REMOTE_WORK",PV_Remote_Work_Readiness&lt;0.4),1.2,1)*IF(AND(OR($B2="CAP_FINANCE_CONTINUITY",$B2="CAP_PROCUREMENT_CONTROLS"),PV_Financial_Buffer&lt;0.4),1.15,1)))</f>
        <v>1</v>
      </c>
      <c r="L2">
        <f t="shared" ref="L2:L37" si="5">IF($I2="Yes",0,$H2*$J2*$K2)</f>
        <v>1</v>
      </c>
      <c r="M2" t="str">
        <f>IFERROR(IFERROR(INDEX(_REF_Applicability_Gates!$A:$A,MATCH($D2&amp;"|"&amp;$B2,_REF_Applicability_Gates!$Q:$Q,0)),IFERROR(IFERROR(INDEX(_REF_Applicability_Gates!$A:$A,MATCH("All|"&amp;$B2,_REF_Applicability_Gates!$Q:$Q,0)),""),"")),"")</f>
        <v>APP-ALL-001</v>
      </c>
      <c r="N2" t="str">
        <f>IFERROR(IFERROR(INDEX(_REF_Crisis_Dominance!$A:$A,MATCH($F2&amp;"|"&amp;$B2,_REF_Crisis_Dominance!$L:$L,0)),""),"")</f>
        <v/>
      </c>
      <c r="O2" t="str">
        <f>IFERROR(IFERROR(INDEX(_REF_Applicability_Gates!$M:$M,MATCH($D2&amp;"|"&amp;$B2,_REF_Applicability_Gates!$Q:$Q,0)),""),"")</f>
        <v/>
      </c>
      <c r="P2" t="str">
        <f t="shared" ref="P2:P37" si="6">IF(IF(AND(OR($B2="CAP_PHYSICAL_SITE_SAFETY",$B2="CAP_UTILITIES_RESILIENCE",$B2="CAP_WMS_WAREHOUSE",$B2="CAP_MES_SHOPFLOOR",$B2="CAP_PRODUCTION_CAPACITY",$B2="CAP_ASSET_MAINTENANCE"),PV_Physical_Footprint_Intensity&lt;0.3),"low physical footprint reduces asset/site capability","")&lt;&gt;"",IF(AND(OR($B2="CAP_PHYSICAL_SITE_SAFETY",$B2="CAP_UTILITIES_RESILIENCE",$B2="CAP_WMS_WAREHOUSE",$B2="CAP_MES_SHOPFLOOR",$B2="CAP_PRODUCTION_CAPACITY",$B2="CAP_ASSET_MAINTENANCE"),PV_Physical_Footprint_Intensity&lt;0.3),"low physical footprint reduces asset/site capability","")&amp;"; ","")&amp;IF(IF(AND(OR($B2="CAP_PHYSICAL_SITE_SAFETY",$B2="CAP_UTILITIES_RESILIENCE",$B2="CAP_PRODUCTION_CAPACITY",$B2="CAP_ASSET_MAINTENANCE"),PV_Physical_Footprint_Intensity&gt;0.7),"high physical footprint boosts asset/site capability","")&lt;&gt;"",IF(AND(OR($B2="CAP_PHYSICAL_SITE_SAFETY",$B2="CAP_UTILITIES_RESILIENCE",$B2="CAP_PRODUCTION_CAPACITY",$B2="CAP_ASSET_MAINTENANCE"),PV_Physical_Footprint_Intensity&gt;0.7),"high physical footprint boosts asset/site capability","")&amp;"; ","")&amp;IF(IF(AND(OR($B2="CAP_CLOUD_DR",$B2="CAP_BACKUP_RECOVERY",$B2="CAP_SRE_OBSERVABILITY",$B2="CAP_PLATFORM_CONTINUITY",$B2="CAP_PRODUCT_SECURITY"),PV_Cloud_Dependency&gt;0.7),"high cloud dependency boost","")&lt;&gt;"",IF(AND(OR($B2="CAP_CLOUD_DR",$B2="CAP_BACKUP_RECOVERY",$B2="CAP_SRE_OBSERVABILITY",$B2="CAP_PLATFORM_CONTINUITY",$B2="CAP_PRODUCT_SECURITY"),PV_Cloud_Dependency&gt;0.7),"high cloud dependency boost","")&amp;"; ","")&amp;IF(IF(AND(OR($B2="CAP_REGULATORY_CONTINUITY",$B2="CAP_LEGAL_BREACH_RESPONSE",$B2="CAP_PAYMENT_CONTINUITY",$B2="CAP_CORE_BANKING",$B2="CAP_FRAUD_MONITORING"),PV_Regulatory_Intensity&gt;0.7),"high regulatory intensity boost","")&lt;&gt;"",IF(AND(OR($B2="CAP_REGULATORY_CONTINUITY",$B2="CAP_LEGAL_BREACH_RESPONSE",$B2="CAP_PAYMENT_CONTINUITY",$B2="CAP_CORE_BANKING",$B2="CAP_FRAUD_MONITORING"),PV_Regulatory_Intensity&gt;0.7),"high regulatory intensity boost","")&amp;"; ","")&amp;IF(IF(AND(OR($B2="CAP_DATA_GOVERNANCE",$B2="CAP_AI_GOVERNANCE"),PV_Data_Criticality&gt;0.7),"high data criticality boost","")&lt;&gt;"",IF(AND(OR($B2="CAP_DATA_GOVERNANCE",$B2="CAP_AI_GOVERNANCE"),PV_Data_Criticality&gt;0.7),"high data criticality boost","")&amp;"; ","")&amp;IF(IF(AND(OR($B2="CAP_SUPPLIER_RESILIENCE",$B2="CAP_VENDOR_CONCENTRATION",$B2="CAP_PROCUREMENT_CONTROLS",$B2="CAP_INVENTORY_PLANNING"),PV_Supplier_Dependency&gt;0.7),"high supplier/vendor dependency boost","")&lt;&gt;"",IF(AND(OR($B2="CAP_SUPPLIER_RESILIENCE",$B2="CAP_VENDOR_CONCENTRATION",$B2="CAP_PROCUREMENT_CONTROLS",$B2="CAP_INVENTORY_PLANNING"),PV_Supplier_Dependency&gt;0.7),"high supplier/vendor dependency boost","")&amp;"; ","")&amp;IF(IF(AND(OR($B2="CAP_CUSTOMER_COMMUNICATION",$B2="CAP_CRM_CUSTOMER_SERVICE"),PV_Customer_Concentration&gt;0.7),"high customer concentration boost","")&lt;&gt;"",IF(AND(OR($B2="CAP_CUSTOMER_COMMUNICATION",$B2="CAP_CRM_CUSTOMER_SERVICE"),PV_Customer_Concentration&gt;0.7),"high customer concentration boost","")&amp;"; ","")&amp;IF(IF(AND(OR($B2="CAP_CRITICAL_PEOPLE",$B2="CAP_WORKFORCE_CONTINUITY"),PV_Critical_People_Dependency&gt;0.7),"critical people dependency boost","")&lt;&gt;"",IF(AND(OR($B2="CAP_CRITICAL_PEOPLE",$B2="CAP_WORKFORCE_CONTINUITY"),PV_Critical_People_Dependency&gt;0.7),"critical people dependency boost","")&amp;"; ","")&amp;IF(IF(AND($B2="CAP_REMOTE_WORK",PV_Remote_Work_Readiness&lt;0.4),"low remote readiness boost","")&lt;&gt;"",IF(AND($B2="CAP_REMOTE_WORK",PV_Remote_Work_Readiness&lt;0.4),"low remote readiness boost","")&amp;"; ","")&amp;IF(IF(AND(OR($B2="CAP_FINANCE_CONTINUITY",$B2="CAP_PROCUREMENT_CONTROLS"),PV_Financial_Buffer&lt;0.4),"low financial buffer boost","")&lt;&gt;"",IF(AND(OR($B2="CAP_FINANCE_CONTINUITY",$B2="CAP_PROCUREMENT_CONTROLS"),PV_Financial_Buffer&lt;0.4),"low financial buffer boost","")&amp;"; ","")</f>
        <v/>
      </c>
      <c r="Q2" t="s">
        <v>13984</v>
      </c>
    </row>
    <row r="3" spans="1:17">
      <c r="A3" t="s">
        <v>13985</v>
      </c>
      <c r="B3" t="s">
        <v>13350</v>
      </c>
      <c r="C3" t="s">
        <v>2729</v>
      </c>
      <c r="D3">
        <f t="shared" si="0"/>
        <v>0</v>
      </c>
      <c r="E3" t="str">
        <f t="shared" si="1"/>
        <v>Generic Organization</v>
      </c>
      <c r="F3">
        <f t="shared" si="2"/>
        <v>0</v>
      </c>
      <c r="G3">
        <f t="shared" si="3"/>
        <v>0</v>
      </c>
      <c r="H3">
        <f>IFERROR(IFERROR(INDEX(_REF_Applicability_Gates!$J:$J,MATCH($D3&amp;"|"&amp;$B3,_REF_Applicability_Gates!$Q:$Q,0)),IFERROR(IFERROR(INDEX(_REF_Applicability_Gates!$J:$J,MATCH("All|"&amp;$B3,_REF_Applicability_Gates!$Q:$Q,0)),1),1)),1)</f>
        <v>1</v>
      </c>
      <c r="I3" t="str">
        <f>IFERROR(IFERROR(INDEX(_REF_Applicability_Gates!$K:$K,MATCH($D3&amp;"|"&amp;$B3,_REF_Applicability_Gates!$Q:$Q,0)),IFERROR(IFERROR(INDEX(_REF_Applicability_Gates!$K:$K,MATCH("All|"&amp;$B3,_REF_Applicability_Gates!$Q:$Q,0)),"No"),"No")),"No")</f>
        <v>No</v>
      </c>
      <c r="J3">
        <f>IF($G3&gt;=IFERROR(INDEX(_REF_Crisis_Dominance!$C:$C,MATCH($F3&amp;"|"&amp;$D3&amp;"|"&amp;$B3,_REF_Crisis_Dominance!$M:$M,0)),IFERROR(INDEX(_REF_Crisis_Dominance!$C:$C,MATCH($F3&amp;"|"&amp;$B3,_REF_Crisis_Dominance!$L:$L,0)),99)),IFERROR(INDEX(_REF_Crisis_Dominance!$G:$G,MATCH($F3&amp;"|"&amp;$D3&amp;"|"&amp;$B3,_REF_Crisis_Dominance!$M:$M,0)),IFERROR(INDEX(_REF_Crisis_Dominance!$G:$G,MATCH($F3&amp;"|"&amp;$B3,_REF_Crisis_Dominance!$L:$L,0)),1)),1)</f>
        <v>1</v>
      </c>
      <c r="K3">
        <f t="shared" si="4"/>
        <v>1</v>
      </c>
      <c r="L3">
        <f t="shared" si="5"/>
        <v>1</v>
      </c>
      <c r="M3" t="str">
        <f>IFERROR(IFERROR(INDEX(_REF_Applicability_Gates!$A:$A,MATCH($D3&amp;"|"&amp;$B3,_REF_Applicability_Gates!$Q:$Q,0)),IFERROR(IFERROR(INDEX(_REF_Applicability_Gates!$A:$A,MATCH("All|"&amp;$B3,_REF_Applicability_Gates!$Q:$Q,0)),""),"")),"")</f>
        <v>APP-ALL-002</v>
      </c>
      <c r="N3" t="str">
        <f>IFERROR(IFERROR(INDEX(_REF_Crisis_Dominance!$A:$A,MATCH($F3&amp;"|"&amp;$B3,_REF_Crisis_Dominance!$L:$L,0)),""),"")</f>
        <v/>
      </c>
      <c r="O3" t="str">
        <f>IFERROR(IFERROR(INDEX(_REF_Applicability_Gates!$M:$M,MATCH($D3&amp;"|"&amp;$B3,_REF_Applicability_Gates!$Q:$Q,0)),""),"")</f>
        <v/>
      </c>
      <c r="P3" t="str">
        <f t="shared" si="6"/>
        <v/>
      </c>
      <c r="Q3" t="s">
        <v>13984</v>
      </c>
    </row>
    <row r="4" spans="1:17">
      <c r="A4" t="s">
        <v>13986</v>
      </c>
      <c r="B4" t="s">
        <v>13353</v>
      </c>
      <c r="C4" t="s">
        <v>2588</v>
      </c>
      <c r="D4">
        <f t="shared" si="0"/>
        <v>0</v>
      </c>
      <c r="E4" t="str">
        <f t="shared" si="1"/>
        <v>Generic Organization</v>
      </c>
      <c r="F4">
        <f t="shared" si="2"/>
        <v>0</v>
      </c>
      <c r="G4">
        <f t="shared" si="3"/>
        <v>0</v>
      </c>
      <c r="H4">
        <f>IFERROR(IFERROR(INDEX(_REF_Applicability_Gates!$J:$J,MATCH($D4&amp;"|"&amp;$B4,_REF_Applicability_Gates!$Q:$Q,0)),IFERROR(IFERROR(INDEX(_REF_Applicability_Gates!$J:$J,MATCH("All|"&amp;$B4,_REF_Applicability_Gates!$Q:$Q,0)),1),1)),1)</f>
        <v>1</v>
      </c>
      <c r="I4" t="str">
        <f>IFERROR(IFERROR(INDEX(_REF_Applicability_Gates!$K:$K,MATCH($D4&amp;"|"&amp;$B4,_REF_Applicability_Gates!$Q:$Q,0)),IFERROR(IFERROR(INDEX(_REF_Applicability_Gates!$K:$K,MATCH("All|"&amp;$B4,_REF_Applicability_Gates!$Q:$Q,0)),"No"),"No")),"No")</f>
        <v>No</v>
      </c>
      <c r="J4">
        <f>IF($G4&gt;=IFERROR(INDEX(_REF_Crisis_Dominance!$C:$C,MATCH($F4&amp;"|"&amp;$D4&amp;"|"&amp;$B4,_REF_Crisis_Dominance!$M:$M,0)),IFERROR(INDEX(_REF_Crisis_Dominance!$C:$C,MATCH($F4&amp;"|"&amp;$B4,_REF_Crisis_Dominance!$L:$L,0)),99)),IFERROR(INDEX(_REF_Crisis_Dominance!$G:$G,MATCH($F4&amp;"|"&amp;$D4&amp;"|"&amp;$B4,_REF_Crisis_Dominance!$M:$M,0)),IFERROR(INDEX(_REF_Crisis_Dominance!$G:$G,MATCH($F4&amp;"|"&amp;$B4,_REF_Crisis_Dominance!$L:$L,0)),1)),1)</f>
        <v>1</v>
      </c>
      <c r="K4">
        <f t="shared" si="4"/>
        <v>1</v>
      </c>
      <c r="L4">
        <f t="shared" si="5"/>
        <v>1</v>
      </c>
      <c r="M4" t="str">
        <f>IFERROR(IFERROR(INDEX(_REF_Applicability_Gates!$A:$A,MATCH($D4&amp;"|"&amp;$B4,_REF_Applicability_Gates!$Q:$Q,0)),IFERROR(IFERROR(INDEX(_REF_Applicability_Gates!$A:$A,MATCH("All|"&amp;$B4,_REF_Applicability_Gates!$Q:$Q,0)),""),"")),"")</f>
        <v>APP-ALL-003</v>
      </c>
      <c r="N4" t="str">
        <f>IFERROR(IFERROR(INDEX(_REF_Crisis_Dominance!$A:$A,MATCH($F4&amp;"|"&amp;$B4,_REF_Crisis_Dominance!$L:$L,0)),""),"")</f>
        <v/>
      </c>
      <c r="O4" t="str">
        <f>IFERROR(IFERROR(INDEX(_REF_Applicability_Gates!$M:$M,MATCH($D4&amp;"|"&amp;$B4,_REF_Applicability_Gates!$Q:$Q,0)),""),"")</f>
        <v/>
      </c>
      <c r="P4" t="str">
        <f t="shared" si="6"/>
        <v/>
      </c>
      <c r="Q4" t="s">
        <v>13984</v>
      </c>
    </row>
    <row r="5" spans="1:17">
      <c r="A5" t="s">
        <v>13987</v>
      </c>
      <c r="B5" t="s">
        <v>13356</v>
      </c>
      <c r="C5" t="s">
        <v>2986</v>
      </c>
      <c r="D5">
        <f t="shared" si="0"/>
        <v>0</v>
      </c>
      <c r="E5" t="str">
        <f t="shared" si="1"/>
        <v>Generic Organization</v>
      </c>
      <c r="F5">
        <f t="shared" si="2"/>
        <v>0</v>
      </c>
      <c r="G5">
        <f t="shared" si="3"/>
        <v>0</v>
      </c>
      <c r="H5">
        <f>IFERROR(IFERROR(INDEX(_REF_Applicability_Gates!$J:$J,MATCH($D5&amp;"|"&amp;$B5,_REF_Applicability_Gates!$Q:$Q,0)),IFERROR(IFERROR(INDEX(_REF_Applicability_Gates!$J:$J,MATCH("All|"&amp;$B5,_REF_Applicability_Gates!$Q:$Q,0)),1),1)),1)</f>
        <v>1</v>
      </c>
      <c r="I5" t="str">
        <f>IFERROR(IFERROR(INDEX(_REF_Applicability_Gates!$K:$K,MATCH($D5&amp;"|"&amp;$B5,_REF_Applicability_Gates!$Q:$Q,0)),IFERROR(IFERROR(INDEX(_REF_Applicability_Gates!$K:$K,MATCH("All|"&amp;$B5,_REF_Applicability_Gates!$Q:$Q,0)),"No"),"No")),"No")</f>
        <v>No</v>
      </c>
      <c r="J5">
        <f>IF($G5&gt;=IFERROR(INDEX(_REF_Crisis_Dominance!$C:$C,MATCH($F5&amp;"|"&amp;$D5&amp;"|"&amp;$B5,_REF_Crisis_Dominance!$M:$M,0)),IFERROR(INDEX(_REF_Crisis_Dominance!$C:$C,MATCH($F5&amp;"|"&amp;$B5,_REF_Crisis_Dominance!$L:$L,0)),99)),IFERROR(INDEX(_REF_Crisis_Dominance!$G:$G,MATCH($F5&amp;"|"&amp;$D5&amp;"|"&amp;$B5,_REF_Crisis_Dominance!$M:$M,0)),IFERROR(INDEX(_REF_Crisis_Dominance!$G:$G,MATCH($F5&amp;"|"&amp;$B5,_REF_Crisis_Dominance!$L:$L,0)),1)),1)</f>
        <v>1</v>
      </c>
      <c r="K5">
        <f t="shared" si="4"/>
        <v>1</v>
      </c>
      <c r="L5">
        <f t="shared" si="5"/>
        <v>1</v>
      </c>
      <c r="M5" t="str">
        <f>IFERROR(IFERROR(INDEX(_REF_Applicability_Gates!$A:$A,MATCH($D5&amp;"|"&amp;$B5,_REF_Applicability_Gates!$Q:$Q,0)),IFERROR(IFERROR(INDEX(_REF_Applicability_Gates!$A:$A,MATCH("All|"&amp;$B5,_REF_Applicability_Gates!$Q:$Q,0)),""),"")),"")</f>
        <v>APP-ALL-004</v>
      </c>
      <c r="N5" t="str">
        <f>IFERROR(IFERROR(INDEX(_REF_Crisis_Dominance!$A:$A,MATCH($F5&amp;"|"&amp;$B5,_REF_Crisis_Dominance!$L:$L,0)),""),"")</f>
        <v/>
      </c>
      <c r="O5" t="str">
        <f>IFERROR(IFERROR(INDEX(_REF_Applicability_Gates!$M:$M,MATCH($D5&amp;"|"&amp;$B5,_REF_Applicability_Gates!$Q:$Q,0)),""),"")</f>
        <v/>
      </c>
      <c r="P5" t="str">
        <f t="shared" si="6"/>
        <v/>
      </c>
      <c r="Q5" t="s">
        <v>13984</v>
      </c>
    </row>
    <row r="6" spans="1:17">
      <c r="A6" t="s">
        <v>13988</v>
      </c>
      <c r="B6" t="s">
        <v>13359</v>
      </c>
      <c r="C6" t="s">
        <v>2986</v>
      </c>
      <c r="D6">
        <f t="shared" si="0"/>
        <v>0</v>
      </c>
      <c r="E6" t="str">
        <f t="shared" si="1"/>
        <v>Generic Organization</v>
      </c>
      <c r="F6">
        <f t="shared" si="2"/>
        <v>0</v>
      </c>
      <c r="G6">
        <f t="shared" si="3"/>
        <v>0</v>
      </c>
      <c r="H6">
        <f>IFERROR(IFERROR(INDEX(_REF_Applicability_Gates!$J:$J,MATCH($D6&amp;"|"&amp;$B6,_REF_Applicability_Gates!$Q:$Q,0)),IFERROR(IFERROR(INDEX(_REF_Applicability_Gates!$J:$J,MATCH("All|"&amp;$B6,_REF_Applicability_Gates!$Q:$Q,0)),1),1)),1)</f>
        <v>1</v>
      </c>
      <c r="I6" t="str">
        <f>IFERROR(IFERROR(INDEX(_REF_Applicability_Gates!$K:$K,MATCH($D6&amp;"|"&amp;$B6,_REF_Applicability_Gates!$Q:$Q,0)),IFERROR(IFERROR(INDEX(_REF_Applicability_Gates!$K:$K,MATCH("All|"&amp;$B6,_REF_Applicability_Gates!$Q:$Q,0)),"No"),"No")),"No")</f>
        <v>No</v>
      </c>
      <c r="J6">
        <f>IF($G6&gt;=IFERROR(INDEX(_REF_Crisis_Dominance!$C:$C,MATCH($F6&amp;"|"&amp;$D6&amp;"|"&amp;$B6,_REF_Crisis_Dominance!$M:$M,0)),IFERROR(INDEX(_REF_Crisis_Dominance!$C:$C,MATCH($F6&amp;"|"&amp;$B6,_REF_Crisis_Dominance!$L:$L,0)),99)),IFERROR(INDEX(_REF_Crisis_Dominance!$G:$G,MATCH($F6&amp;"|"&amp;$D6&amp;"|"&amp;$B6,_REF_Crisis_Dominance!$M:$M,0)),IFERROR(INDEX(_REF_Crisis_Dominance!$G:$G,MATCH($F6&amp;"|"&amp;$B6,_REF_Crisis_Dominance!$L:$L,0)),1)),1)</f>
        <v>1</v>
      </c>
      <c r="K6">
        <f t="shared" si="4"/>
        <v>1</v>
      </c>
      <c r="L6">
        <f t="shared" si="5"/>
        <v>1</v>
      </c>
      <c r="M6" t="str">
        <f>IFERROR(IFERROR(INDEX(_REF_Applicability_Gates!$A:$A,MATCH($D6&amp;"|"&amp;$B6,_REF_Applicability_Gates!$Q:$Q,0)),IFERROR(IFERROR(INDEX(_REF_Applicability_Gates!$A:$A,MATCH("All|"&amp;$B6,_REF_Applicability_Gates!$Q:$Q,0)),""),"")),"")</f>
        <v>APP-ALL-005</v>
      </c>
      <c r="N6" t="str">
        <f>IFERROR(IFERROR(INDEX(_REF_Crisis_Dominance!$A:$A,MATCH($F6&amp;"|"&amp;$B6,_REF_Crisis_Dominance!$L:$L,0)),""),"")</f>
        <v/>
      </c>
      <c r="O6" t="str">
        <f>IFERROR(IFERROR(INDEX(_REF_Applicability_Gates!$M:$M,MATCH($D6&amp;"|"&amp;$B6,_REF_Applicability_Gates!$Q:$Q,0)),""),"")</f>
        <v/>
      </c>
      <c r="P6" t="str">
        <f t="shared" si="6"/>
        <v/>
      </c>
      <c r="Q6" t="s">
        <v>13984</v>
      </c>
    </row>
    <row r="7" spans="1:17">
      <c r="A7" t="s">
        <v>13989</v>
      </c>
      <c r="B7" t="s">
        <v>13362</v>
      </c>
      <c r="C7" t="s">
        <v>2588</v>
      </c>
      <c r="D7">
        <f t="shared" si="0"/>
        <v>0</v>
      </c>
      <c r="E7" t="str">
        <f t="shared" si="1"/>
        <v>Generic Organization</v>
      </c>
      <c r="F7">
        <f t="shared" si="2"/>
        <v>0</v>
      </c>
      <c r="G7">
        <f t="shared" si="3"/>
        <v>0</v>
      </c>
      <c r="H7">
        <f>IFERROR(IFERROR(INDEX(_REF_Applicability_Gates!$J:$J,MATCH($D7&amp;"|"&amp;$B7,_REF_Applicability_Gates!$Q:$Q,0)),IFERROR(IFERROR(INDEX(_REF_Applicability_Gates!$J:$J,MATCH("All|"&amp;$B7,_REF_Applicability_Gates!$Q:$Q,0)),1),1)),1)</f>
        <v>1</v>
      </c>
      <c r="I7" t="str">
        <f>IFERROR(IFERROR(INDEX(_REF_Applicability_Gates!$K:$K,MATCH($D7&amp;"|"&amp;$B7,_REF_Applicability_Gates!$Q:$Q,0)),IFERROR(IFERROR(INDEX(_REF_Applicability_Gates!$K:$K,MATCH("All|"&amp;$B7,_REF_Applicability_Gates!$Q:$Q,0)),"No"),"No")),"No")</f>
        <v>No</v>
      </c>
      <c r="J7">
        <f>IF($G7&gt;=IFERROR(INDEX(_REF_Crisis_Dominance!$C:$C,MATCH($F7&amp;"|"&amp;$D7&amp;"|"&amp;$B7,_REF_Crisis_Dominance!$M:$M,0)),IFERROR(INDEX(_REF_Crisis_Dominance!$C:$C,MATCH($F7&amp;"|"&amp;$B7,_REF_Crisis_Dominance!$L:$L,0)),99)),IFERROR(INDEX(_REF_Crisis_Dominance!$G:$G,MATCH($F7&amp;"|"&amp;$D7&amp;"|"&amp;$B7,_REF_Crisis_Dominance!$M:$M,0)),IFERROR(INDEX(_REF_Crisis_Dominance!$G:$G,MATCH($F7&amp;"|"&amp;$B7,_REF_Crisis_Dominance!$L:$L,0)),1)),1)</f>
        <v>1</v>
      </c>
      <c r="K7">
        <f t="shared" si="4"/>
        <v>1</v>
      </c>
      <c r="L7">
        <f t="shared" si="5"/>
        <v>1</v>
      </c>
      <c r="M7" t="str">
        <f>IFERROR(IFERROR(INDEX(_REF_Applicability_Gates!$A:$A,MATCH($D7&amp;"|"&amp;$B7,_REF_Applicability_Gates!$Q:$Q,0)),IFERROR(IFERROR(INDEX(_REF_Applicability_Gates!$A:$A,MATCH("All|"&amp;$B7,_REF_Applicability_Gates!$Q:$Q,0)),""),"")),"")</f>
        <v>APP-ALL-006</v>
      </c>
      <c r="N7" t="str">
        <f>IFERROR(IFERROR(INDEX(_REF_Crisis_Dominance!$A:$A,MATCH($F7&amp;"|"&amp;$B7,_REF_Crisis_Dominance!$L:$L,0)),""),"")</f>
        <v/>
      </c>
      <c r="O7" t="str">
        <f>IFERROR(IFERROR(INDEX(_REF_Applicability_Gates!$M:$M,MATCH($D7&amp;"|"&amp;$B7,_REF_Applicability_Gates!$Q:$Q,0)),""),"")</f>
        <v/>
      </c>
      <c r="P7" t="str">
        <f t="shared" si="6"/>
        <v/>
      </c>
      <c r="Q7" t="s">
        <v>13984</v>
      </c>
    </row>
    <row r="8" spans="1:17">
      <c r="A8" t="s">
        <v>13990</v>
      </c>
      <c r="B8" t="s">
        <v>13365</v>
      </c>
      <c r="C8" t="s">
        <v>2986</v>
      </c>
      <c r="D8">
        <f t="shared" si="0"/>
        <v>0</v>
      </c>
      <c r="E8" t="str">
        <f t="shared" si="1"/>
        <v>Generic Organization</v>
      </c>
      <c r="F8">
        <f t="shared" si="2"/>
        <v>0</v>
      </c>
      <c r="G8">
        <f t="shared" si="3"/>
        <v>0</v>
      </c>
      <c r="H8">
        <f>IFERROR(IFERROR(INDEX(_REF_Applicability_Gates!$J:$J,MATCH($D8&amp;"|"&amp;$B8,_REF_Applicability_Gates!$Q:$Q,0)),IFERROR(IFERROR(INDEX(_REF_Applicability_Gates!$J:$J,MATCH("All|"&amp;$B8,_REF_Applicability_Gates!$Q:$Q,0)),1),1)),1)</f>
        <v>1</v>
      </c>
      <c r="I8" t="str">
        <f>IFERROR(IFERROR(INDEX(_REF_Applicability_Gates!$K:$K,MATCH($D8&amp;"|"&amp;$B8,_REF_Applicability_Gates!$Q:$Q,0)),IFERROR(IFERROR(INDEX(_REF_Applicability_Gates!$K:$K,MATCH("All|"&amp;$B8,_REF_Applicability_Gates!$Q:$Q,0)),"No"),"No")),"No")</f>
        <v>No</v>
      </c>
      <c r="J8">
        <f>IF($G8&gt;=IFERROR(INDEX(_REF_Crisis_Dominance!$C:$C,MATCH($F8&amp;"|"&amp;$D8&amp;"|"&amp;$B8,_REF_Crisis_Dominance!$M:$M,0)),IFERROR(INDEX(_REF_Crisis_Dominance!$C:$C,MATCH($F8&amp;"|"&amp;$B8,_REF_Crisis_Dominance!$L:$L,0)),99)),IFERROR(INDEX(_REF_Crisis_Dominance!$G:$G,MATCH($F8&amp;"|"&amp;$D8&amp;"|"&amp;$B8,_REF_Crisis_Dominance!$M:$M,0)),IFERROR(INDEX(_REF_Crisis_Dominance!$G:$G,MATCH($F8&amp;"|"&amp;$B8,_REF_Crisis_Dominance!$L:$L,0)),1)),1)</f>
        <v>1</v>
      </c>
      <c r="K8">
        <f t="shared" si="4"/>
        <v>1</v>
      </c>
      <c r="L8">
        <f t="shared" si="5"/>
        <v>1</v>
      </c>
      <c r="M8" t="str">
        <f>IFERROR(IFERROR(INDEX(_REF_Applicability_Gates!$A:$A,MATCH($D8&amp;"|"&amp;$B8,_REF_Applicability_Gates!$Q:$Q,0)),IFERROR(IFERROR(INDEX(_REF_Applicability_Gates!$A:$A,MATCH("All|"&amp;$B8,_REF_Applicability_Gates!$Q:$Q,0)),""),"")),"")</f>
        <v>APP-ALL-007</v>
      </c>
      <c r="N8" t="str">
        <f>IFERROR(IFERROR(INDEX(_REF_Crisis_Dominance!$A:$A,MATCH($F8&amp;"|"&amp;$B8,_REF_Crisis_Dominance!$L:$L,0)),""),"")</f>
        <v/>
      </c>
      <c r="O8" t="str">
        <f>IFERROR(IFERROR(INDEX(_REF_Applicability_Gates!$M:$M,MATCH($D8&amp;"|"&amp;$B8,_REF_Applicability_Gates!$Q:$Q,0)),""),"")</f>
        <v/>
      </c>
      <c r="P8" t="str">
        <f t="shared" si="6"/>
        <v/>
      </c>
      <c r="Q8" t="s">
        <v>13984</v>
      </c>
    </row>
    <row r="9" spans="1:17">
      <c r="A9" t="s">
        <v>13991</v>
      </c>
      <c r="B9" t="s">
        <v>13368</v>
      </c>
      <c r="C9" t="s">
        <v>1551</v>
      </c>
      <c r="D9">
        <f t="shared" si="0"/>
        <v>0</v>
      </c>
      <c r="E9" t="str">
        <f t="shared" si="1"/>
        <v>Generic Organization</v>
      </c>
      <c r="F9">
        <f t="shared" si="2"/>
        <v>0</v>
      </c>
      <c r="G9">
        <f t="shared" si="3"/>
        <v>0</v>
      </c>
      <c r="H9">
        <f>IFERROR(IFERROR(INDEX(_REF_Applicability_Gates!$J:$J,MATCH($D9&amp;"|"&amp;$B9,_REF_Applicability_Gates!$Q:$Q,0)),IFERROR(IFERROR(INDEX(_REF_Applicability_Gates!$J:$J,MATCH("All|"&amp;$B9,_REF_Applicability_Gates!$Q:$Q,0)),1),1)),1)</f>
        <v>1</v>
      </c>
      <c r="I9" t="str">
        <f>IFERROR(IFERROR(INDEX(_REF_Applicability_Gates!$K:$K,MATCH($D9&amp;"|"&amp;$B9,_REF_Applicability_Gates!$Q:$Q,0)),IFERROR(IFERROR(INDEX(_REF_Applicability_Gates!$K:$K,MATCH("All|"&amp;$B9,_REF_Applicability_Gates!$Q:$Q,0)),"No"),"No")),"No")</f>
        <v>No</v>
      </c>
      <c r="J9">
        <f>IF($G9&gt;=IFERROR(INDEX(_REF_Crisis_Dominance!$C:$C,MATCH($F9&amp;"|"&amp;$D9&amp;"|"&amp;$B9,_REF_Crisis_Dominance!$M:$M,0)),IFERROR(INDEX(_REF_Crisis_Dominance!$C:$C,MATCH($F9&amp;"|"&amp;$B9,_REF_Crisis_Dominance!$L:$L,0)),99)),IFERROR(INDEX(_REF_Crisis_Dominance!$G:$G,MATCH($F9&amp;"|"&amp;$D9&amp;"|"&amp;$B9,_REF_Crisis_Dominance!$M:$M,0)),IFERROR(INDEX(_REF_Crisis_Dominance!$G:$G,MATCH($F9&amp;"|"&amp;$B9,_REF_Crisis_Dominance!$L:$L,0)),1)),1)</f>
        <v>1</v>
      </c>
      <c r="K9">
        <f t="shared" si="4"/>
        <v>1</v>
      </c>
      <c r="L9">
        <f t="shared" si="5"/>
        <v>1</v>
      </c>
      <c r="M9" t="str">
        <f>IFERROR(IFERROR(INDEX(_REF_Applicability_Gates!$A:$A,MATCH($D9&amp;"|"&amp;$B9,_REF_Applicability_Gates!$Q:$Q,0)),IFERROR(IFERROR(INDEX(_REF_Applicability_Gates!$A:$A,MATCH("All|"&amp;$B9,_REF_Applicability_Gates!$Q:$Q,0)),""),"")),"")</f>
        <v>APP-ALL-008</v>
      </c>
      <c r="N9" t="str">
        <f>IFERROR(IFERROR(INDEX(_REF_Crisis_Dominance!$A:$A,MATCH($F9&amp;"|"&amp;$B9,_REF_Crisis_Dominance!$L:$L,0)),""),"")</f>
        <v/>
      </c>
      <c r="O9" t="str">
        <f>IFERROR(IFERROR(INDEX(_REF_Applicability_Gates!$M:$M,MATCH($D9&amp;"|"&amp;$B9,_REF_Applicability_Gates!$Q:$Q,0)),""),"")</f>
        <v/>
      </c>
      <c r="P9" t="str">
        <f t="shared" si="6"/>
        <v/>
      </c>
      <c r="Q9" t="s">
        <v>13984</v>
      </c>
    </row>
    <row r="10" spans="1:17">
      <c r="A10" t="s">
        <v>13992</v>
      </c>
      <c r="B10" t="s">
        <v>13371</v>
      </c>
      <c r="C10" t="s">
        <v>2824</v>
      </c>
      <c r="D10">
        <f t="shared" si="0"/>
        <v>0</v>
      </c>
      <c r="E10" t="str">
        <f t="shared" si="1"/>
        <v>Generic Organization</v>
      </c>
      <c r="F10">
        <f t="shared" si="2"/>
        <v>0</v>
      </c>
      <c r="G10">
        <f t="shared" si="3"/>
        <v>0</v>
      </c>
      <c r="H10">
        <f>IFERROR(IFERROR(INDEX(_REF_Applicability_Gates!$J:$J,MATCH($D10&amp;"|"&amp;$B10,_REF_Applicability_Gates!$Q:$Q,0)),IFERROR(IFERROR(INDEX(_REF_Applicability_Gates!$J:$J,MATCH("All|"&amp;$B10,_REF_Applicability_Gates!$Q:$Q,0)),1),1)),1)</f>
        <v>1</v>
      </c>
      <c r="I10" t="str">
        <f>IFERROR(IFERROR(INDEX(_REF_Applicability_Gates!$K:$K,MATCH($D10&amp;"|"&amp;$B10,_REF_Applicability_Gates!$Q:$Q,0)),IFERROR(IFERROR(INDEX(_REF_Applicability_Gates!$K:$K,MATCH("All|"&amp;$B10,_REF_Applicability_Gates!$Q:$Q,0)),"No"),"No")),"No")</f>
        <v>No</v>
      </c>
      <c r="J10">
        <f>IF($G10&gt;=IFERROR(INDEX(_REF_Crisis_Dominance!$C:$C,MATCH($F10&amp;"|"&amp;$D10&amp;"|"&amp;$B10,_REF_Crisis_Dominance!$M:$M,0)),IFERROR(INDEX(_REF_Crisis_Dominance!$C:$C,MATCH($F10&amp;"|"&amp;$B10,_REF_Crisis_Dominance!$L:$L,0)),99)),IFERROR(INDEX(_REF_Crisis_Dominance!$G:$G,MATCH($F10&amp;"|"&amp;$D10&amp;"|"&amp;$B10,_REF_Crisis_Dominance!$M:$M,0)),IFERROR(INDEX(_REF_Crisis_Dominance!$G:$G,MATCH($F10&amp;"|"&amp;$B10,_REF_Crisis_Dominance!$L:$L,0)),1)),1)</f>
        <v>1</v>
      </c>
      <c r="K10">
        <f t="shared" si="4"/>
        <v>1.25</v>
      </c>
      <c r="L10">
        <f t="shared" si="5"/>
        <v>1.25</v>
      </c>
      <c r="M10" t="str">
        <f>IFERROR(IFERROR(INDEX(_REF_Applicability_Gates!$A:$A,MATCH($D10&amp;"|"&amp;$B10,_REF_Applicability_Gates!$Q:$Q,0)),IFERROR(IFERROR(INDEX(_REF_Applicability_Gates!$A:$A,MATCH("All|"&amp;$B10,_REF_Applicability_Gates!$Q:$Q,0)),""),"")),"")</f>
        <v>APP-ALL-009</v>
      </c>
      <c r="N10" t="str">
        <f>IFERROR(IFERROR(INDEX(_REF_Crisis_Dominance!$A:$A,MATCH($F10&amp;"|"&amp;$B10,_REF_Crisis_Dominance!$L:$L,0)),""),"")</f>
        <v/>
      </c>
      <c r="O10" t="str">
        <f>IFERROR(IFERROR(INDEX(_REF_Applicability_Gates!$M:$M,MATCH($D10&amp;"|"&amp;$B10,_REF_Applicability_Gates!$Q:$Q,0)),""),"")</f>
        <v/>
      </c>
      <c r="P10" t="str">
        <f t="shared" si="6"/>
        <v xml:space="preserve">high data criticality boost; </v>
      </c>
      <c r="Q10" t="s">
        <v>13984</v>
      </c>
    </row>
    <row r="11" spans="1:17">
      <c r="A11" t="s">
        <v>13993</v>
      </c>
      <c r="B11" t="s">
        <v>13374</v>
      </c>
      <c r="C11" t="s">
        <v>2729</v>
      </c>
      <c r="D11">
        <f t="shared" si="0"/>
        <v>0</v>
      </c>
      <c r="E11" t="str">
        <f t="shared" si="1"/>
        <v>Generic Organization</v>
      </c>
      <c r="F11">
        <f t="shared" si="2"/>
        <v>0</v>
      </c>
      <c r="G11">
        <f t="shared" si="3"/>
        <v>0</v>
      </c>
      <c r="H11">
        <f>IFERROR(IFERROR(INDEX(_REF_Applicability_Gates!$J:$J,MATCH($D11&amp;"|"&amp;$B11,_REF_Applicability_Gates!$Q:$Q,0)),IFERROR(IFERROR(INDEX(_REF_Applicability_Gates!$J:$J,MATCH("All|"&amp;$B11,_REF_Applicability_Gates!$Q:$Q,0)),1),1)),1)</f>
        <v>1</v>
      </c>
      <c r="I11" t="str">
        <f>IFERROR(IFERROR(INDEX(_REF_Applicability_Gates!$K:$K,MATCH($D11&amp;"|"&amp;$B11,_REF_Applicability_Gates!$Q:$Q,0)),IFERROR(IFERROR(INDEX(_REF_Applicability_Gates!$K:$K,MATCH("All|"&amp;$B11,_REF_Applicability_Gates!$Q:$Q,0)),"No"),"No")),"No")</f>
        <v>No</v>
      </c>
      <c r="J11">
        <f>IF($G11&gt;=IFERROR(INDEX(_REF_Crisis_Dominance!$C:$C,MATCH($F11&amp;"|"&amp;$D11&amp;"|"&amp;$B11,_REF_Crisis_Dominance!$M:$M,0)),IFERROR(INDEX(_REF_Crisis_Dominance!$C:$C,MATCH($F11&amp;"|"&amp;$B11,_REF_Crisis_Dominance!$L:$L,0)),99)),IFERROR(INDEX(_REF_Crisis_Dominance!$G:$G,MATCH($F11&amp;"|"&amp;$D11&amp;"|"&amp;$B11,_REF_Crisis_Dominance!$M:$M,0)),IFERROR(INDEX(_REF_Crisis_Dominance!$G:$G,MATCH($F11&amp;"|"&amp;$B11,_REF_Crisis_Dominance!$L:$L,0)),1)),1)</f>
        <v>1</v>
      </c>
      <c r="K11">
        <f t="shared" si="4"/>
        <v>1</v>
      </c>
      <c r="L11">
        <f t="shared" si="5"/>
        <v>1</v>
      </c>
      <c r="M11" t="str">
        <f>IFERROR(IFERROR(INDEX(_REF_Applicability_Gates!$A:$A,MATCH($D11&amp;"|"&amp;$B11,_REF_Applicability_Gates!$Q:$Q,0)),IFERROR(IFERROR(INDEX(_REF_Applicability_Gates!$A:$A,MATCH("All|"&amp;$B11,_REF_Applicability_Gates!$Q:$Q,0)),""),"")),"")</f>
        <v>APP-ALL-010</v>
      </c>
      <c r="N11" t="str">
        <f>IFERROR(IFERROR(INDEX(_REF_Crisis_Dominance!$A:$A,MATCH($F11&amp;"|"&amp;$B11,_REF_Crisis_Dominance!$L:$L,0)),""),"")</f>
        <v/>
      </c>
      <c r="O11" t="str">
        <f>IFERROR(IFERROR(INDEX(_REF_Applicability_Gates!$M:$M,MATCH($D11&amp;"|"&amp;$B11,_REF_Applicability_Gates!$Q:$Q,0)),""),"")</f>
        <v/>
      </c>
      <c r="P11" t="str">
        <f t="shared" si="6"/>
        <v/>
      </c>
      <c r="Q11" t="s">
        <v>13984</v>
      </c>
    </row>
    <row r="12" spans="1:17">
      <c r="A12" t="s">
        <v>13994</v>
      </c>
      <c r="B12" t="s">
        <v>13377</v>
      </c>
      <c r="C12" t="s">
        <v>2729</v>
      </c>
      <c r="D12">
        <f t="shared" si="0"/>
        <v>0</v>
      </c>
      <c r="E12" t="str">
        <f t="shared" si="1"/>
        <v>Generic Organization</v>
      </c>
      <c r="F12">
        <f t="shared" si="2"/>
        <v>0</v>
      </c>
      <c r="G12">
        <f t="shared" si="3"/>
        <v>0</v>
      </c>
      <c r="H12">
        <f>IFERROR(IFERROR(INDEX(_REF_Applicability_Gates!$J:$J,MATCH($D12&amp;"|"&amp;$B12,_REF_Applicability_Gates!$Q:$Q,0)),IFERROR(IFERROR(INDEX(_REF_Applicability_Gates!$J:$J,MATCH("All|"&amp;$B12,_REF_Applicability_Gates!$Q:$Q,0)),1),1)),1)</f>
        <v>1</v>
      </c>
      <c r="I12" t="str">
        <f>IFERROR(IFERROR(INDEX(_REF_Applicability_Gates!$K:$K,MATCH($D12&amp;"|"&amp;$B12,_REF_Applicability_Gates!$Q:$Q,0)),IFERROR(IFERROR(INDEX(_REF_Applicability_Gates!$K:$K,MATCH("All|"&amp;$B12,_REF_Applicability_Gates!$Q:$Q,0)),"No"),"No")),"No")</f>
        <v>No</v>
      </c>
      <c r="J12">
        <f>IF($G12&gt;=IFERROR(INDEX(_REF_Crisis_Dominance!$C:$C,MATCH($F12&amp;"|"&amp;$D12&amp;"|"&amp;$B12,_REF_Crisis_Dominance!$M:$M,0)),IFERROR(INDEX(_REF_Crisis_Dominance!$C:$C,MATCH($F12&amp;"|"&amp;$B12,_REF_Crisis_Dominance!$L:$L,0)),99)),IFERROR(INDEX(_REF_Crisis_Dominance!$G:$G,MATCH($F12&amp;"|"&amp;$D12&amp;"|"&amp;$B12,_REF_Crisis_Dominance!$M:$M,0)),IFERROR(INDEX(_REF_Crisis_Dominance!$G:$G,MATCH($F12&amp;"|"&amp;$B12,_REF_Crisis_Dominance!$L:$L,0)),1)),1)</f>
        <v>1</v>
      </c>
      <c r="K12">
        <f t="shared" si="4"/>
        <v>1</v>
      </c>
      <c r="L12">
        <f t="shared" si="5"/>
        <v>1</v>
      </c>
      <c r="M12" t="str">
        <f>IFERROR(IFERROR(INDEX(_REF_Applicability_Gates!$A:$A,MATCH($D12&amp;"|"&amp;$B12,_REF_Applicability_Gates!$Q:$Q,0)),IFERROR(IFERROR(INDEX(_REF_Applicability_Gates!$A:$A,MATCH("All|"&amp;$B12,_REF_Applicability_Gates!$Q:$Q,0)),""),"")),"")</f>
        <v>APP-ALL-011</v>
      </c>
      <c r="N12" t="str">
        <f>IFERROR(IFERROR(INDEX(_REF_Crisis_Dominance!$A:$A,MATCH($F12&amp;"|"&amp;$B12,_REF_Crisis_Dominance!$L:$L,0)),""),"")</f>
        <v/>
      </c>
      <c r="O12" t="str">
        <f>IFERROR(IFERROR(INDEX(_REF_Applicability_Gates!$M:$M,MATCH($D12&amp;"|"&amp;$B12,_REF_Applicability_Gates!$Q:$Q,0)),""),"")</f>
        <v/>
      </c>
      <c r="P12" t="str">
        <f t="shared" si="6"/>
        <v/>
      </c>
      <c r="Q12" t="s">
        <v>13984</v>
      </c>
    </row>
    <row r="13" spans="1:17">
      <c r="A13" t="s">
        <v>13995</v>
      </c>
      <c r="B13" t="s">
        <v>13380</v>
      </c>
      <c r="C13" t="s">
        <v>2286</v>
      </c>
      <c r="D13">
        <f t="shared" si="0"/>
        <v>0</v>
      </c>
      <c r="E13" t="str">
        <f t="shared" si="1"/>
        <v>Generic Organization</v>
      </c>
      <c r="F13">
        <f t="shared" si="2"/>
        <v>0</v>
      </c>
      <c r="G13">
        <f t="shared" si="3"/>
        <v>0</v>
      </c>
      <c r="H13">
        <f>IFERROR(IFERROR(INDEX(_REF_Applicability_Gates!$J:$J,MATCH($D13&amp;"|"&amp;$B13,_REF_Applicability_Gates!$Q:$Q,0)),IFERROR(IFERROR(INDEX(_REF_Applicability_Gates!$J:$J,MATCH("All|"&amp;$B13,_REF_Applicability_Gates!$Q:$Q,0)),1),1)),1)</f>
        <v>1</v>
      </c>
      <c r="I13" t="str">
        <f>IFERROR(IFERROR(INDEX(_REF_Applicability_Gates!$K:$K,MATCH($D13&amp;"|"&amp;$B13,_REF_Applicability_Gates!$Q:$Q,0)),IFERROR(IFERROR(INDEX(_REF_Applicability_Gates!$K:$K,MATCH("All|"&amp;$B13,_REF_Applicability_Gates!$Q:$Q,0)),"No"),"No")),"No")</f>
        <v>No</v>
      </c>
      <c r="J13">
        <f>IF($G13&gt;=IFERROR(INDEX(_REF_Crisis_Dominance!$C:$C,MATCH($F13&amp;"|"&amp;$D13&amp;"|"&amp;$B13,_REF_Crisis_Dominance!$M:$M,0)),IFERROR(INDEX(_REF_Crisis_Dominance!$C:$C,MATCH($F13&amp;"|"&amp;$B13,_REF_Crisis_Dominance!$L:$L,0)),99)),IFERROR(INDEX(_REF_Crisis_Dominance!$G:$G,MATCH($F13&amp;"|"&amp;$D13&amp;"|"&amp;$B13,_REF_Crisis_Dominance!$M:$M,0)),IFERROR(INDEX(_REF_Crisis_Dominance!$G:$G,MATCH($F13&amp;"|"&amp;$B13,_REF_Crisis_Dominance!$L:$L,0)),1)),1)</f>
        <v>1</v>
      </c>
      <c r="K13">
        <f t="shared" si="4"/>
        <v>1</v>
      </c>
      <c r="L13">
        <f t="shared" si="5"/>
        <v>1</v>
      </c>
      <c r="M13" t="str">
        <f>IFERROR(IFERROR(INDEX(_REF_Applicability_Gates!$A:$A,MATCH($D13&amp;"|"&amp;$B13,_REF_Applicability_Gates!$Q:$Q,0)),IFERROR(IFERROR(INDEX(_REF_Applicability_Gates!$A:$A,MATCH("All|"&amp;$B13,_REF_Applicability_Gates!$Q:$Q,0)),""),"")),"")</f>
        <v>APP-ALL-012</v>
      </c>
      <c r="N13" t="str">
        <f>IFERROR(IFERROR(INDEX(_REF_Crisis_Dominance!$A:$A,MATCH($F13&amp;"|"&amp;$B13,_REF_Crisis_Dominance!$L:$L,0)),""),"")</f>
        <v/>
      </c>
      <c r="O13" t="str">
        <f>IFERROR(IFERROR(INDEX(_REF_Applicability_Gates!$M:$M,MATCH($D13&amp;"|"&amp;$B13,_REF_Applicability_Gates!$Q:$Q,0)),""),"")</f>
        <v/>
      </c>
      <c r="P13" t="str">
        <f t="shared" si="6"/>
        <v/>
      </c>
      <c r="Q13" t="s">
        <v>13984</v>
      </c>
    </row>
    <row r="14" spans="1:17">
      <c r="A14" t="s">
        <v>13996</v>
      </c>
      <c r="B14" t="s">
        <v>13383</v>
      </c>
      <c r="C14" t="s">
        <v>2286</v>
      </c>
      <c r="D14">
        <f t="shared" si="0"/>
        <v>0</v>
      </c>
      <c r="E14" t="str">
        <f t="shared" si="1"/>
        <v>Generic Organization</v>
      </c>
      <c r="F14">
        <f t="shared" si="2"/>
        <v>0</v>
      </c>
      <c r="G14">
        <f t="shared" si="3"/>
        <v>0</v>
      </c>
      <c r="H14">
        <f>IFERROR(IFERROR(INDEX(_REF_Applicability_Gates!$J:$J,MATCH($D14&amp;"|"&amp;$B14,_REF_Applicability_Gates!$Q:$Q,0)),IFERROR(IFERROR(INDEX(_REF_Applicability_Gates!$J:$J,MATCH("All|"&amp;$B14,_REF_Applicability_Gates!$Q:$Q,0)),1),1)),1)</f>
        <v>1</v>
      </c>
      <c r="I14" t="str">
        <f>IFERROR(IFERROR(INDEX(_REF_Applicability_Gates!$K:$K,MATCH($D14&amp;"|"&amp;$B14,_REF_Applicability_Gates!$Q:$Q,0)),IFERROR(IFERROR(INDEX(_REF_Applicability_Gates!$K:$K,MATCH("All|"&amp;$B14,_REF_Applicability_Gates!$Q:$Q,0)),"No"),"No")),"No")</f>
        <v>No</v>
      </c>
      <c r="J14">
        <f>IF($G14&gt;=IFERROR(INDEX(_REF_Crisis_Dominance!$C:$C,MATCH($F14&amp;"|"&amp;$D14&amp;"|"&amp;$B14,_REF_Crisis_Dominance!$M:$M,0)),IFERROR(INDEX(_REF_Crisis_Dominance!$C:$C,MATCH($F14&amp;"|"&amp;$B14,_REF_Crisis_Dominance!$L:$L,0)),99)),IFERROR(INDEX(_REF_Crisis_Dominance!$G:$G,MATCH($F14&amp;"|"&amp;$D14&amp;"|"&amp;$B14,_REF_Crisis_Dominance!$M:$M,0)),IFERROR(INDEX(_REF_Crisis_Dominance!$G:$G,MATCH($F14&amp;"|"&amp;$B14,_REF_Crisis_Dominance!$L:$L,0)),1)),1)</f>
        <v>1</v>
      </c>
      <c r="K14">
        <f t="shared" si="4"/>
        <v>1</v>
      </c>
      <c r="L14">
        <f t="shared" si="5"/>
        <v>1</v>
      </c>
      <c r="M14" t="str">
        <f>IFERROR(IFERROR(INDEX(_REF_Applicability_Gates!$A:$A,MATCH($D14&amp;"|"&amp;$B14,_REF_Applicability_Gates!$Q:$Q,0)),IFERROR(IFERROR(INDEX(_REF_Applicability_Gates!$A:$A,MATCH("All|"&amp;$B14,_REF_Applicability_Gates!$Q:$Q,0)),""),"")),"")</f>
        <v>APP-ALL-013</v>
      </c>
      <c r="N14" t="str">
        <f>IFERROR(IFERROR(INDEX(_REF_Crisis_Dominance!$A:$A,MATCH($F14&amp;"|"&amp;$B14,_REF_Crisis_Dominance!$L:$L,0)),""),"")</f>
        <v/>
      </c>
      <c r="O14" t="str">
        <f>IFERROR(IFERROR(INDEX(_REF_Applicability_Gates!$M:$M,MATCH($D14&amp;"|"&amp;$B14,_REF_Applicability_Gates!$Q:$Q,0)),""),"")</f>
        <v/>
      </c>
      <c r="P14" t="str">
        <f t="shared" si="6"/>
        <v/>
      </c>
      <c r="Q14" t="s">
        <v>13984</v>
      </c>
    </row>
    <row r="15" spans="1:17">
      <c r="A15" t="s">
        <v>13997</v>
      </c>
      <c r="B15" t="s">
        <v>13386</v>
      </c>
      <c r="C15" t="s">
        <v>2729</v>
      </c>
      <c r="D15">
        <f t="shared" si="0"/>
        <v>0</v>
      </c>
      <c r="E15" t="str">
        <f t="shared" si="1"/>
        <v>Generic Organization</v>
      </c>
      <c r="F15">
        <f t="shared" si="2"/>
        <v>0</v>
      </c>
      <c r="G15">
        <f t="shared" si="3"/>
        <v>0</v>
      </c>
      <c r="H15">
        <f>IFERROR(IFERROR(INDEX(_REF_Applicability_Gates!$J:$J,MATCH($D15&amp;"|"&amp;$B15,_REF_Applicability_Gates!$Q:$Q,0)),IFERROR(IFERROR(INDEX(_REF_Applicability_Gates!$J:$J,MATCH("All|"&amp;$B15,_REF_Applicability_Gates!$Q:$Q,0)),1),1)),1)</f>
        <v>1</v>
      </c>
      <c r="I15" t="str">
        <f>IFERROR(IFERROR(INDEX(_REF_Applicability_Gates!$K:$K,MATCH($D15&amp;"|"&amp;$B15,_REF_Applicability_Gates!$Q:$Q,0)),IFERROR(IFERROR(INDEX(_REF_Applicability_Gates!$K:$K,MATCH("All|"&amp;$B15,_REF_Applicability_Gates!$Q:$Q,0)),"No"),"No")),"No")</f>
        <v>No</v>
      </c>
      <c r="J15">
        <f>IF($G15&gt;=IFERROR(INDEX(_REF_Crisis_Dominance!$C:$C,MATCH($F15&amp;"|"&amp;$D15&amp;"|"&amp;$B15,_REF_Crisis_Dominance!$M:$M,0)),IFERROR(INDEX(_REF_Crisis_Dominance!$C:$C,MATCH($F15&amp;"|"&amp;$B15,_REF_Crisis_Dominance!$L:$L,0)),99)),IFERROR(INDEX(_REF_Crisis_Dominance!$G:$G,MATCH($F15&amp;"|"&amp;$D15&amp;"|"&amp;$B15,_REF_Crisis_Dominance!$M:$M,0)),IFERROR(INDEX(_REF_Crisis_Dominance!$G:$G,MATCH($F15&amp;"|"&amp;$B15,_REF_Crisis_Dominance!$L:$L,0)),1)),1)</f>
        <v>1</v>
      </c>
      <c r="K15">
        <f t="shared" si="4"/>
        <v>1</v>
      </c>
      <c r="L15">
        <f t="shared" si="5"/>
        <v>1</v>
      </c>
      <c r="M15" t="str">
        <f>IFERROR(IFERROR(INDEX(_REF_Applicability_Gates!$A:$A,MATCH($D15&amp;"|"&amp;$B15,_REF_Applicability_Gates!$Q:$Q,0)),IFERROR(IFERROR(INDEX(_REF_Applicability_Gates!$A:$A,MATCH("All|"&amp;$B15,_REF_Applicability_Gates!$Q:$Q,0)),""),"")),"")</f>
        <v>APP-ALL-014</v>
      </c>
      <c r="N15" t="str">
        <f>IFERROR(IFERROR(INDEX(_REF_Crisis_Dominance!$A:$A,MATCH($F15&amp;"|"&amp;$B15,_REF_Crisis_Dominance!$L:$L,0)),""),"")</f>
        <v/>
      </c>
      <c r="O15" t="str">
        <f>IFERROR(IFERROR(INDEX(_REF_Applicability_Gates!$M:$M,MATCH($D15&amp;"|"&amp;$B15,_REF_Applicability_Gates!$Q:$Q,0)),""),"")</f>
        <v/>
      </c>
      <c r="P15" t="str">
        <f t="shared" si="6"/>
        <v/>
      </c>
      <c r="Q15" t="s">
        <v>13984</v>
      </c>
    </row>
    <row r="16" spans="1:17">
      <c r="A16" t="s">
        <v>13998</v>
      </c>
      <c r="B16" t="s">
        <v>13389</v>
      </c>
      <c r="C16" t="s">
        <v>1401</v>
      </c>
      <c r="D16">
        <f t="shared" si="0"/>
        <v>0</v>
      </c>
      <c r="E16" t="str">
        <f t="shared" si="1"/>
        <v>Generic Organization</v>
      </c>
      <c r="F16">
        <f t="shared" si="2"/>
        <v>0</v>
      </c>
      <c r="G16">
        <f t="shared" si="3"/>
        <v>0</v>
      </c>
      <c r="H16">
        <f>IFERROR(IFERROR(INDEX(_REF_Applicability_Gates!$J:$J,MATCH($D16&amp;"|"&amp;$B16,_REF_Applicability_Gates!$Q:$Q,0)),IFERROR(IFERROR(INDEX(_REF_Applicability_Gates!$J:$J,MATCH("All|"&amp;$B16,_REF_Applicability_Gates!$Q:$Q,0)),1),1)),1)</f>
        <v>1</v>
      </c>
      <c r="I16" t="str">
        <f>IFERROR(IFERROR(INDEX(_REF_Applicability_Gates!$K:$K,MATCH($D16&amp;"|"&amp;$B16,_REF_Applicability_Gates!$Q:$Q,0)),IFERROR(IFERROR(INDEX(_REF_Applicability_Gates!$K:$K,MATCH("All|"&amp;$B16,_REF_Applicability_Gates!$Q:$Q,0)),"No"),"No")),"No")</f>
        <v>No</v>
      </c>
      <c r="J16">
        <f>IF($G16&gt;=IFERROR(INDEX(_REF_Crisis_Dominance!$C:$C,MATCH($F16&amp;"|"&amp;$D16&amp;"|"&amp;$B16,_REF_Crisis_Dominance!$M:$M,0)),IFERROR(INDEX(_REF_Crisis_Dominance!$C:$C,MATCH($F16&amp;"|"&amp;$B16,_REF_Crisis_Dominance!$L:$L,0)),99)),IFERROR(INDEX(_REF_Crisis_Dominance!$G:$G,MATCH($F16&amp;"|"&amp;$D16&amp;"|"&amp;$B16,_REF_Crisis_Dominance!$M:$M,0)),IFERROR(INDEX(_REF_Crisis_Dominance!$G:$G,MATCH($F16&amp;"|"&amp;$B16,_REF_Crisis_Dominance!$L:$L,0)),1)),1)</f>
        <v>1</v>
      </c>
      <c r="K16">
        <f t="shared" si="4"/>
        <v>1</v>
      </c>
      <c r="L16">
        <f t="shared" si="5"/>
        <v>1</v>
      </c>
      <c r="M16" t="str">
        <f>IFERROR(IFERROR(INDEX(_REF_Applicability_Gates!$A:$A,MATCH($D16&amp;"|"&amp;$B16,_REF_Applicability_Gates!$Q:$Q,0)),IFERROR(IFERROR(INDEX(_REF_Applicability_Gates!$A:$A,MATCH("All|"&amp;$B16,_REF_Applicability_Gates!$Q:$Q,0)),""),"")),"")</f>
        <v>APP-ALL-015</v>
      </c>
      <c r="N16" t="str">
        <f>IFERROR(IFERROR(INDEX(_REF_Crisis_Dominance!$A:$A,MATCH($F16&amp;"|"&amp;$B16,_REF_Crisis_Dominance!$L:$L,0)),""),"")</f>
        <v/>
      </c>
      <c r="O16" t="str">
        <f>IFERROR(IFERROR(INDEX(_REF_Applicability_Gates!$M:$M,MATCH($D16&amp;"|"&amp;$B16,_REF_Applicability_Gates!$Q:$Q,0)),""),"")</f>
        <v/>
      </c>
      <c r="P16" t="str">
        <f t="shared" si="6"/>
        <v/>
      </c>
      <c r="Q16" t="s">
        <v>13984</v>
      </c>
    </row>
    <row r="17" spans="1:17">
      <c r="A17" t="s">
        <v>13999</v>
      </c>
      <c r="B17" t="s">
        <v>13392</v>
      </c>
      <c r="C17" t="s">
        <v>1551</v>
      </c>
      <c r="D17">
        <f t="shared" si="0"/>
        <v>0</v>
      </c>
      <c r="E17" t="str">
        <f t="shared" si="1"/>
        <v>Generic Organization</v>
      </c>
      <c r="F17">
        <f t="shared" si="2"/>
        <v>0</v>
      </c>
      <c r="G17">
        <f t="shared" si="3"/>
        <v>0</v>
      </c>
      <c r="H17">
        <f>IFERROR(IFERROR(INDEX(_REF_Applicability_Gates!$J:$J,MATCH($D17&amp;"|"&amp;$B17,_REF_Applicability_Gates!$Q:$Q,0)),IFERROR(IFERROR(INDEX(_REF_Applicability_Gates!$J:$J,MATCH("All|"&amp;$B17,_REF_Applicability_Gates!$Q:$Q,0)),1),1)),1)</f>
        <v>1</v>
      </c>
      <c r="I17" t="str">
        <f>IFERROR(IFERROR(INDEX(_REF_Applicability_Gates!$K:$K,MATCH($D17&amp;"|"&amp;$B17,_REF_Applicability_Gates!$Q:$Q,0)),IFERROR(IFERROR(INDEX(_REF_Applicability_Gates!$K:$K,MATCH("All|"&amp;$B17,_REF_Applicability_Gates!$Q:$Q,0)),"No"),"No")),"No")</f>
        <v>No</v>
      </c>
      <c r="J17">
        <f>IF($G17&gt;=IFERROR(INDEX(_REF_Crisis_Dominance!$C:$C,MATCH($F17&amp;"|"&amp;$D17&amp;"|"&amp;$B17,_REF_Crisis_Dominance!$M:$M,0)),IFERROR(INDEX(_REF_Crisis_Dominance!$C:$C,MATCH($F17&amp;"|"&amp;$B17,_REF_Crisis_Dominance!$L:$L,0)),99)),IFERROR(INDEX(_REF_Crisis_Dominance!$G:$G,MATCH($F17&amp;"|"&amp;$D17&amp;"|"&amp;$B17,_REF_Crisis_Dominance!$M:$M,0)),IFERROR(INDEX(_REF_Crisis_Dominance!$G:$G,MATCH($F17&amp;"|"&amp;$B17,_REF_Crisis_Dominance!$L:$L,0)),1)),1)</f>
        <v>1</v>
      </c>
      <c r="K17">
        <f t="shared" si="4"/>
        <v>1</v>
      </c>
      <c r="L17">
        <f t="shared" si="5"/>
        <v>1</v>
      </c>
      <c r="M17" t="str">
        <f>IFERROR(IFERROR(INDEX(_REF_Applicability_Gates!$A:$A,MATCH($D17&amp;"|"&amp;$B17,_REF_Applicability_Gates!$Q:$Q,0)),IFERROR(IFERROR(INDEX(_REF_Applicability_Gates!$A:$A,MATCH("All|"&amp;$B17,_REF_Applicability_Gates!$Q:$Q,0)),""),"")),"")</f>
        <v>APP-ALL-016</v>
      </c>
      <c r="N17" t="str">
        <f>IFERROR(IFERROR(INDEX(_REF_Crisis_Dominance!$A:$A,MATCH($F17&amp;"|"&amp;$B17,_REF_Crisis_Dominance!$L:$L,0)),""),"")</f>
        <v/>
      </c>
      <c r="O17" t="str">
        <f>IFERROR(IFERROR(INDEX(_REF_Applicability_Gates!$M:$M,MATCH($D17&amp;"|"&amp;$B17,_REF_Applicability_Gates!$Q:$Q,0)),""),"")</f>
        <v/>
      </c>
      <c r="P17" t="str">
        <f t="shared" si="6"/>
        <v/>
      </c>
      <c r="Q17" t="s">
        <v>13984</v>
      </c>
    </row>
    <row r="18" spans="1:17">
      <c r="A18" t="s">
        <v>14000</v>
      </c>
      <c r="B18" t="s">
        <v>13395</v>
      </c>
      <c r="C18" t="s">
        <v>1551</v>
      </c>
      <c r="D18">
        <f t="shared" si="0"/>
        <v>0</v>
      </c>
      <c r="E18" t="str">
        <f t="shared" si="1"/>
        <v>Generic Organization</v>
      </c>
      <c r="F18">
        <f t="shared" si="2"/>
        <v>0</v>
      </c>
      <c r="G18">
        <f t="shared" si="3"/>
        <v>0</v>
      </c>
      <c r="H18">
        <f>IFERROR(IFERROR(INDEX(_REF_Applicability_Gates!$J:$J,MATCH($D18&amp;"|"&amp;$B18,_REF_Applicability_Gates!$Q:$Q,0)),IFERROR(IFERROR(INDEX(_REF_Applicability_Gates!$J:$J,MATCH("All|"&amp;$B18,_REF_Applicability_Gates!$Q:$Q,0)),1),1)),1)</f>
        <v>1</v>
      </c>
      <c r="I18" t="str">
        <f>IFERROR(IFERROR(INDEX(_REF_Applicability_Gates!$K:$K,MATCH($D18&amp;"|"&amp;$B18,_REF_Applicability_Gates!$Q:$Q,0)),IFERROR(IFERROR(INDEX(_REF_Applicability_Gates!$K:$K,MATCH("All|"&amp;$B18,_REF_Applicability_Gates!$Q:$Q,0)),"No"),"No")),"No")</f>
        <v>No</v>
      </c>
      <c r="J18">
        <f>IF($G18&gt;=IFERROR(INDEX(_REF_Crisis_Dominance!$C:$C,MATCH($F18&amp;"|"&amp;$D18&amp;"|"&amp;$B18,_REF_Crisis_Dominance!$M:$M,0)),IFERROR(INDEX(_REF_Crisis_Dominance!$C:$C,MATCH($F18&amp;"|"&amp;$B18,_REF_Crisis_Dominance!$L:$L,0)),99)),IFERROR(INDEX(_REF_Crisis_Dominance!$G:$G,MATCH($F18&amp;"|"&amp;$D18&amp;"|"&amp;$B18,_REF_Crisis_Dominance!$M:$M,0)),IFERROR(INDEX(_REF_Crisis_Dominance!$G:$G,MATCH($F18&amp;"|"&amp;$B18,_REF_Crisis_Dominance!$L:$L,0)),1)),1)</f>
        <v>1</v>
      </c>
      <c r="K18">
        <f t="shared" si="4"/>
        <v>1</v>
      </c>
      <c r="L18">
        <f t="shared" si="5"/>
        <v>1</v>
      </c>
      <c r="M18" t="str">
        <f>IFERROR(IFERROR(INDEX(_REF_Applicability_Gates!$A:$A,MATCH($D18&amp;"|"&amp;$B18,_REF_Applicability_Gates!$Q:$Q,0)),IFERROR(IFERROR(INDEX(_REF_Applicability_Gates!$A:$A,MATCH("All|"&amp;$B18,_REF_Applicability_Gates!$Q:$Q,0)),""),"")),"")</f>
        <v>APP-ALL-017</v>
      </c>
      <c r="N18" t="str">
        <f>IFERROR(IFERROR(INDEX(_REF_Crisis_Dominance!$A:$A,MATCH($F18&amp;"|"&amp;$B18,_REF_Crisis_Dominance!$L:$L,0)),""),"")</f>
        <v/>
      </c>
      <c r="O18" t="str">
        <f>IFERROR(IFERROR(INDEX(_REF_Applicability_Gates!$M:$M,MATCH($D18&amp;"|"&amp;$B18,_REF_Applicability_Gates!$Q:$Q,0)),""),"")</f>
        <v/>
      </c>
      <c r="P18" t="str">
        <f t="shared" si="6"/>
        <v/>
      </c>
      <c r="Q18" t="s">
        <v>13984</v>
      </c>
    </row>
    <row r="19" spans="1:17">
      <c r="A19" t="s">
        <v>14001</v>
      </c>
      <c r="B19" t="s">
        <v>13398</v>
      </c>
      <c r="C19" t="s">
        <v>2286</v>
      </c>
      <c r="D19">
        <f t="shared" si="0"/>
        <v>0</v>
      </c>
      <c r="E19" t="str">
        <f t="shared" si="1"/>
        <v>Generic Organization</v>
      </c>
      <c r="F19">
        <f t="shared" si="2"/>
        <v>0</v>
      </c>
      <c r="G19">
        <f t="shared" si="3"/>
        <v>0</v>
      </c>
      <c r="H19">
        <f>IFERROR(IFERROR(INDEX(_REF_Applicability_Gates!$J:$J,MATCH($D19&amp;"|"&amp;$B19,_REF_Applicability_Gates!$Q:$Q,0)),IFERROR(IFERROR(INDEX(_REF_Applicability_Gates!$J:$J,MATCH("All|"&amp;$B19,_REF_Applicability_Gates!$Q:$Q,0)),1),1)),1)</f>
        <v>1</v>
      </c>
      <c r="I19" t="str">
        <f>IFERROR(IFERROR(INDEX(_REF_Applicability_Gates!$K:$K,MATCH($D19&amp;"|"&amp;$B19,_REF_Applicability_Gates!$Q:$Q,0)),IFERROR(IFERROR(INDEX(_REF_Applicability_Gates!$K:$K,MATCH("All|"&amp;$B19,_REF_Applicability_Gates!$Q:$Q,0)),"No"),"No")),"No")</f>
        <v>No</v>
      </c>
      <c r="J19">
        <f>IF($G19&gt;=IFERROR(INDEX(_REF_Crisis_Dominance!$C:$C,MATCH($F19&amp;"|"&amp;$D19&amp;"|"&amp;$B19,_REF_Crisis_Dominance!$M:$M,0)),IFERROR(INDEX(_REF_Crisis_Dominance!$C:$C,MATCH($F19&amp;"|"&amp;$B19,_REF_Crisis_Dominance!$L:$L,0)),99)),IFERROR(INDEX(_REF_Crisis_Dominance!$G:$G,MATCH($F19&amp;"|"&amp;$D19&amp;"|"&amp;$B19,_REF_Crisis_Dominance!$M:$M,0)),IFERROR(INDEX(_REF_Crisis_Dominance!$G:$G,MATCH($F19&amp;"|"&amp;$B19,_REF_Crisis_Dominance!$L:$L,0)),1)),1)</f>
        <v>1</v>
      </c>
      <c r="K19">
        <f t="shared" si="4"/>
        <v>1</v>
      </c>
      <c r="L19">
        <f t="shared" si="5"/>
        <v>1</v>
      </c>
      <c r="M19" t="str">
        <f>IFERROR(IFERROR(INDEX(_REF_Applicability_Gates!$A:$A,MATCH($D19&amp;"|"&amp;$B19,_REF_Applicability_Gates!$Q:$Q,0)),IFERROR(IFERROR(INDEX(_REF_Applicability_Gates!$A:$A,MATCH("All|"&amp;$B19,_REF_Applicability_Gates!$Q:$Q,0)),""),"")),"")</f>
        <v>APP-ALL-018</v>
      </c>
      <c r="N19" t="str">
        <f>IFERROR(IFERROR(INDEX(_REF_Crisis_Dominance!$A:$A,MATCH($F19&amp;"|"&amp;$B19,_REF_Crisis_Dominance!$L:$L,0)),""),"")</f>
        <v/>
      </c>
      <c r="O19" t="str">
        <f>IFERROR(IFERROR(INDEX(_REF_Applicability_Gates!$M:$M,MATCH($D19&amp;"|"&amp;$B19,_REF_Applicability_Gates!$Q:$Q,0)),""),"")</f>
        <v/>
      </c>
      <c r="P19" t="str">
        <f t="shared" si="6"/>
        <v/>
      </c>
      <c r="Q19" t="s">
        <v>13984</v>
      </c>
    </row>
    <row r="20" spans="1:17">
      <c r="A20" t="s">
        <v>14002</v>
      </c>
      <c r="B20" t="s">
        <v>13401</v>
      </c>
      <c r="C20" t="s">
        <v>1987</v>
      </c>
      <c r="D20">
        <f t="shared" si="0"/>
        <v>0</v>
      </c>
      <c r="E20" t="str">
        <f t="shared" si="1"/>
        <v>Generic Organization</v>
      </c>
      <c r="F20">
        <f t="shared" si="2"/>
        <v>0</v>
      </c>
      <c r="G20">
        <f t="shared" si="3"/>
        <v>0</v>
      </c>
      <c r="H20">
        <f>IFERROR(IFERROR(INDEX(_REF_Applicability_Gates!$J:$J,MATCH($D20&amp;"|"&amp;$B20,_REF_Applicability_Gates!$Q:$Q,0)),IFERROR(IFERROR(INDEX(_REF_Applicability_Gates!$J:$J,MATCH("All|"&amp;$B20,_REF_Applicability_Gates!$Q:$Q,0)),1),1)),1)</f>
        <v>1</v>
      </c>
      <c r="I20" t="str">
        <f>IFERROR(IFERROR(INDEX(_REF_Applicability_Gates!$K:$K,MATCH($D20&amp;"|"&amp;$B20,_REF_Applicability_Gates!$Q:$Q,0)),IFERROR(IFERROR(INDEX(_REF_Applicability_Gates!$K:$K,MATCH("All|"&amp;$B20,_REF_Applicability_Gates!$Q:$Q,0)),"No"),"No")),"No")</f>
        <v>No</v>
      </c>
      <c r="J20">
        <f>IF($G20&gt;=IFERROR(INDEX(_REF_Crisis_Dominance!$C:$C,MATCH($F20&amp;"|"&amp;$D20&amp;"|"&amp;$B20,_REF_Crisis_Dominance!$M:$M,0)),IFERROR(INDEX(_REF_Crisis_Dominance!$C:$C,MATCH($F20&amp;"|"&amp;$B20,_REF_Crisis_Dominance!$L:$L,0)),99)),IFERROR(INDEX(_REF_Crisis_Dominance!$G:$G,MATCH($F20&amp;"|"&amp;$D20&amp;"|"&amp;$B20,_REF_Crisis_Dominance!$M:$M,0)),IFERROR(INDEX(_REF_Crisis_Dominance!$G:$G,MATCH($F20&amp;"|"&amp;$B20,_REF_Crisis_Dominance!$L:$L,0)),1)),1)</f>
        <v>1</v>
      </c>
      <c r="K20">
        <f t="shared" si="4"/>
        <v>0.4</v>
      </c>
      <c r="L20">
        <f t="shared" si="5"/>
        <v>0.4</v>
      </c>
      <c r="M20" t="str">
        <f>IFERROR(IFERROR(INDEX(_REF_Applicability_Gates!$A:$A,MATCH($D20&amp;"|"&amp;$B20,_REF_Applicability_Gates!$Q:$Q,0)),IFERROR(IFERROR(INDEX(_REF_Applicability_Gates!$A:$A,MATCH("All|"&amp;$B20,_REF_Applicability_Gates!$Q:$Q,0)),""),"")),"")</f>
        <v>APP-ALL-019</v>
      </c>
      <c r="N20" t="str">
        <f>IFERROR(IFERROR(INDEX(_REF_Crisis_Dominance!$A:$A,MATCH($F20&amp;"|"&amp;$B20,_REF_Crisis_Dominance!$L:$L,0)),""),"")</f>
        <v/>
      </c>
      <c r="O20" t="str">
        <f>IFERROR(IFERROR(INDEX(_REF_Applicability_Gates!$M:$M,MATCH($D20&amp;"|"&amp;$B20,_REF_Applicability_Gates!$Q:$Q,0)),""),"")</f>
        <v/>
      </c>
      <c r="P20" t="str">
        <f t="shared" si="6"/>
        <v xml:space="preserve">low physical footprint reduces asset/site capability; </v>
      </c>
      <c r="Q20" t="s">
        <v>13984</v>
      </c>
    </row>
    <row r="21" spans="1:17">
      <c r="A21" t="s">
        <v>14003</v>
      </c>
      <c r="B21" t="s">
        <v>13404</v>
      </c>
      <c r="C21" t="s">
        <v>2145</v>
      </c>
      <c r="D21">
        <f t="shared" si="0"/>
        <v>0</v>
      </c>
      <c r="E21" t="str">
        <f t="shared" si="1"/>
        <v>Generic Organization</v>
      </c>
      <c r="F21">
        <f t="shared" si="2"/>
        <v>0</v>
      </c>
      <c r="G21">
        <f t="shared" si="3"/>
        <v>0</v>
      </c>
      <c r="H21">
        <f>IFERROR(IFERROR(INDEX(_REF_Applicability_Gates!$J:$J,MATCH($D21&amp;"|"&amp;$B21,_REF_Applicability_Gates!$Q:$Q,0)),IFERROR(IFERROR(INDEX(_REF_Applicability_Gates!$J:$J,MATCH("All|"&amp;$B21,_REF_Applicability_Gates!$Q:$Q,0)),1),1)),1)</f>
        <v>1</v>
      </c>
      <c r="I21" t="str">
        <f>IFERROR(IFERROR(INDEX(_REF_Applicability_Gates!$K:$K,MATCH($D21&amp;"|"&amp;$B21,_REF_Applicability_Gates!$Q:$Q,0)),IFERROR(IFERROR(INDEX(_REF_Applicability_Gates!$K:$K,MATCH("All|"&amp;$B21,_REF_Applicability_Gates!$Q:$Q,0)),"No"),"No")),"No")</f>
        <v>No</v>
      </c>
      <c r="J21">
        <f>IF($G21&gt;=IFERROR(INDEX(_REF_Crisis_Dominance!$C:$C,MATCH($F21&amp;"|"&amp;$D21&amp;"|"&amp;$B21,_REF_Crisis_Dominance!$M:$M,0)),IFERROR(INDEX(_REF_Crisis_Dominance!$C:$C,MATCH($F21&amp;"|"&amp;$B21,_REF_Crisis_Dominance!$L:$L,0)),99)),IFERROR(INDEX(_REF_Crisis_Dominance!$G:$G,MATCH($F21&amp;"|"&amp;$D21&amp;"|"&amp;$B21,_REF_Crisis_Dominance!$M:$M,0)),IFERROR(INDEX(_REF_Crisis_Dominance!$G:$G,MATCH($F21&amp;"|"&amp;$B21,_REF_Crisis_Dominance!$L:$L,0)),1)),1)</f>
        <v>1</v>
      </c>
      <c r="K21">
        <f t="shared" si="4"/>
        <v>0.4</v>
      </c>
      <c r="L21">
        <f t="shared" si="5"/>
        <v>0.4</v>
      </c>
      <c r="M21" t="str">
        <f>IFERROR(IFERROR(INDEX(_REF_Applicability_Gates!$A:$A,MATCH($D21&amp;"|"&amp;$B21,_REF_Applicability_Gates!$Q:$Q,0)),IFERROR(IFERROR(INDEX(_REF_Applicability_Gates!$A:$A,MATCH("All|"&amp;$B21,_REF_Applicability_Gates!$Q:$Q,0)),""),"")),"")</f>
        <v>APP-ALL-020</v>
      </c>
      <c r="N21" t="str">
        <f>IFERROR(IFERROR(INDEX(_REF_Crisis_Dominance!$A:$A,MATCH($F21&amp;"|"&amp;$B21,_REF_Crisis_Dominance!$L:$L,0)),""),"")</f>
        <v/>
      </c>
      <c r="O21" t="str">
        <f>IFERROR(IFERROR(INDEX(_REF_Applicability_Gates!$M:$M,MATCH($D21&amp;"|"&amp;$B21,_REF_Applicability_Gates!$Q:$Q,0)),""),"")</f>
        <v/>
      </c>
      <c r="P21" t="str">
        <f t="shared" si="6"/>
        <v xml:space="preserve">low physical footprint reduces asset/site capability; </v>
      </c>
      <c r="Q21" t="s">
        <v>13984</v>
      </c>
    </row>
    <row r="22" spans="1:17">
      <c r="A22" t="s">
        <v>14004</v>
      </c>
      <c r="B22" t="s">
        <v>13407</v>
      </c>
      <c r="C22" t="s">
        <v>2986</v>
      </c>
      <c r="D22">
        <f t="shared" si="0"/>
        <v>0</v>
      </c>
      <c r="E22" t="str">
        <f t="shared" si="1"/>
        <v>Generic Organization</v>
      </c>
      <c r="F22">
        <f t="shared" si="2"/>
        <v>0</v>
      </c>
      <c r="G22">
        <f t="shared" si="3"/>
        <v>0</v>
      </c>
      <c r="H22">
        <f>IFERROR(IFERROR(INDEX(_REF_Applicability_Gates!$J:$J,MATCH($D22&amp;"|"&amp;$B22,_REF_Applicability_Gates!$Q:$Q,0)),IFERROR(IFERROR(INDEX(_REF_Applicability_Gates!$J:$J,MATCH("All|"&amp;$B22,_REF_Applicability_Gates!$Q:$Q,0)),1),1)),1)</f>
        <v>1</v>
      </c>
      <c r="I22" t="str">
        <f>IFERROR(IFERROR(INDEX(_REF_Applicability_Gates!$K:$K,MATCH($D22&amp;"|"&amp;$B22,_REF_Applicability_Gates!$Q:$Q,0)),IFERROR(IFERROR(INDEX(_REF_Applicability_Gates!$K:$K,MATCH("All|"&amp;$B22,_REF_Applicability_Gates!$Q:$Q,0)),"No"),"No")),"No")</f>
        <v>No</v>
      </c>
      <c r="J22">
        <f>IF($G22&gt;=IFERROR(INDEX(_REF_Crisis_Dominance!$C:$C,MATCH($F22&amp;"|"&amp;$D22&amp;"|"&amp;$B22,_REF_Crisis_Dominance!$M:$M,0)),IFERROR(INDEX(_REF_Crisis_Dominance!$C:$C,MATCH($F22&amp;"|"&amp;$B22,_REF_Crisis_Dominance!$L:$L,0)),99)),IFERROR(INDEX(_REF_Crisis_Dominance!$G:$G,MATCH($F22&amp;"|"&amp;$D22&amp;"|"&amp;$B22,_REF_Crisis_Dominance!$M:$M,0)),IFERROR(INDEX(_REF_Crisis_Dominance!$G:$G,MATCH($F22&amp;"|"&amp;$B22,_REF_Crisis_Dominance!$L:$L,0)),1)),1)</f>
        <v>1</v>
      </c>
      <c r="K22">
        <f t="shared" si="4"/>
        <v>1</v>
      </c>
      <c r="L22">
        <f t="shared" si="5"/>
        <v>1</v>
      </c>
      <c r="M22" t="str">
        <f>IFERROR(IFERROR(INDEX(_REF_Applicability_Gates!$A:$A,MATCH($D22&amp;"|"&amp;$B22,_REF_Applicability_Gates!$Q:$Q,0)),IFERROR(IFERROR(INDEX(_REF_Applicability_Gates!$A:$A,MATCH("All|"&amp;$B22,_REF_Applicability_Gates!$Q:$Q,0)),""),"")),"")</f>
        <v>APP-ALL-021</v>
      </c>
      <c r="N22" t="str">
        <f>IFERROR(IFERROR(INDEX(_REF_Crisis_Dominance!$A:$A,MATCH($F22&amp;"|"&amp;$B22,_REF_Crisis_Dominance!$L:$L,0)),""),"")</f>
        <v/>
      </c>
      <c r="O22" t="str">
        <f>IFERROR(IFERROR(INDEX(_REF_Applicability_Gates!$M:$M,MATCH($D22&amp;"|"&amp;$B22,_REF_Applicability_Gates!$Q:$Q,0)),""),"")</f>
        <v/>
      </c>
      <c r="P22" t="str">
        <f t="shared" si="6"/>
        <v/>
      </c>
      <c r="Q22" t="s">
        <v>13984</v>
      </c>
    </row>
    <row r="23" spans="1:17">
      <c r="A23" t="s">
        <v>14005</v>
      </c>
      <c r="B23" t="s">
        <v>13410</v>
      </c>
      <c r="C23" t="s">
        <v>1987</v>
      </c>
      <c r="D23">
        <f t="shared" si="0"/>
        <v>0</v>
      </c>
      <c r="E23" t="str">
        <f t="shared" si="1"/>
        <v>Generic Organization</v>
      </c>
      <c r="F23">
        <f t="shared" si="2"/>
        <v>0</v>
      </c>
      <c r="G23">
        <f t="shared" si="3"/>
        <v>0</v>
      </c>
      <c r="H23">
        <f>IFERROR(IFERROR(INDEX(_REF_Applicability_Gates!$J:$J,MATCH($D23&amp;"|"&amp;$B23,_REF_Applicability_Gates!$Q:$Q,0)),IFERROR(IFERROR(INDEX(_REF_Applicability_Gates!$J:$J,MATCH("All|"&amp;$B23,_REF_Applicability_Gates!$Q:$Q,0)),1),1)),1)</f>
        <v>1</v>
      </c>
      <c r="I23" t="str">
        <f>IFERROR(IFERROR(INDEX(_REF_Applicability_Gates!$K:$K,MATCH($D23&amp;"|"&amp;$B23,_REF_Applicability_Gates!$Q:$Q,0)),IFERROR(IFERROR(INDEX(_REF_Applicability_Gates!$K:$K,MATCH("All|"&amp;$B23,_REF_Applicability_Gates!$Q:$Q,0)),"No"),"No")),"No")</f>
        <v>No</v>
      </c>
      <c r="J23">
        <f>IF($G23&gt;=IFERROR(INDEX(_REF_Crisis_Dominance!$C:$C,MATCH($F23&amp;"|"&amp;$D23&amp;"|"&amp;$B23,_REF_Crisis_Dominance!$M:$M,0)),IFERROR(INDEX(_REF_Crisis_Dominance!$C:$C,MATCH($F23&amp;"|"&amp;$B23,_REF_Crisis_Dominance!$L:$L,0)),99)),IFERROR(INDEX(_REF_Crisis_Dominance!$G:$G,MATCH($F23&amp;"|"&amp;$D23&amp;"|"&amp;$B23,_REF_Crisis_Dominance!$M:$M,0)),IFERROR(INDEX(_REF_Crisis_Dominance!$G:$G,MATCH($F23&amp;"|"&amp;$B23,_REF_Crisis_Dominance!$L:$L,0)),1)),1)</f>
        <v>1</v>
      </c>
      <c r="K23">
        <f t="shared" si="4"/>
        <v>1</v>
      </c>
      <c r="L23">
        <f t="shared" si="5"/>
        <v>1</v>
      </c>
      <c r="M23" t="str">
        <f>IFERROR(IFERROR(INDEX(_REF_Applicability_Gates!$A:$A,MATCH($D23&amp;"|"&amp;$B23,_REF_Applicability_Gates!$Q:$Q,0)),IFERROR(IFERROR(INDEX(_REF_Applicability_Gates!$A:$A,MATCH("All|"&amp;$B23,_REF_Applicability_Gates!$Q:$Q,0)),""),"")),"")</f>
        <v>APP-ALL-022</v>
      </c>
      <c r="N23" t="str">
        <f>IFERROR(IFERROR(INDEX(_REF_Crisis_Dominance!$A:$A,MATCH($F23&amp;"|"&amp;$B23,_REF_Crisis_Dominance!$L:$L,0)),""),"")</f>
        <v/>
      </c>
      <c r="O23" t="str">
        <f>IFERROR(IFERROR(INDEX(_REF_Applicability_Gates!$M:$M,MATCH($D23&amp;"|"&amp;$B23,_REF_Applicability_Gates!$Q:$Q,0)),""),"")</f>
        <v/>
      </c>
      <c r="P23" t="str">
        <f t="shared" si="6"/>
        <v/>
      </c>
      <c r="Q23" t="s">
        <v>13984</v>
      </c>
    </row>
    <row r="24" spans="1:17">
      <c r="A24" t="s">
        <v>14006</v>
      </c>
      <c r="B24" t="s">
        <v>13413</v>
      </c>
      <c r="C24" t="s">
        <v>1987</v>
      </c>
      <c r="D24">
        <f t="shared" si="0"/>
        <v>0</v>
      </c>
      <c r="E24" t="str">
        <f t="shared" si="1"/>
        <v>Generic Organization</v>
      </c>
      <c r="F24">
        <f t="shared" si="2"/>
        <v>0</v>
      </c>
      <c r="G24">
        <f t="shared" si="3"/>
        <v>0</v>
      </c>
      <c r="H24">
        <f>IFERROR(IFERROR(INDEX(_REF_Applicability_Gates!$J:$J,MATCH($D24&amp;"|"&amp;$B24,_REF_Applicability_Gates!$Q:$Q,0)),IFERROR(IFERROR(INDEX(_REF_Applicability_Gates!$J:$J,MATCH("All|"&amp;$B24,_REF_Applicability_Gates!$Q:$Q,0)),1),1)),1)</f>
        <v>1</v>
      </c>
      <c r="I24" t="str">
        <f>IFERROR(IFERROR(INDEX(_REF_Applicability_Gates!$K:$K,MATCH($D24&amp;"|"&amp;$B24,_REF_Applicability_Gates!$Q:$Q,0)),IFERROR(IFERROR(INDEX(_REF_Applicability_Gates!$K:$K,MATCH("All|"&amp;$B24,_REF_Applicability_Gates!$Q:$Q,0)),"No"),"No")),"No")</f>
        <v>No</v>
      </c>
      <c r="J24">
        <f>IF($G24&gt;=IFERROR(INDEX(_REF_Crisis_Dominance!$C:$C,MATCH($F24&amp;"|"&amp;$D24&amp;"|"&amp;$B24,_REF_Crisis_Dominance!$M:$M,0)),IFERROR(INDEX(_REF_Crisis_Dominance!$C:$C,MATCH($F24&amp;"|"&amp;$B24,_REF_Crisis_Dominance!$L:$L,0)),99)),IFERROR(INDEX(_REF_Crisis_Dominance!$G:$G,MATCH($F24&amp;"|"&amp;$D24&amp;"|"&amp;$B24,_REF_Crisis_Dominance!$M:$M,0)),IFERROR(INDEX(_REF_Crisis_Dominance!$G:$G,MATCH($F24&amp;"|"&amp;$B24,_REF_Crisis_Dominance!$L:$L,0)),1)),1)</f>
        <v>1</v>
      </c>
      <c r="K24">
        <f t="shared" si="4"/>
        <v>1</v>
      </c>
      <c r="L24">
        <f t="shared" si="5"/>
        <v>1</v>
      </c>
      <c r="M24" t="str">
        <f>IFERROR(IFERROR(INDEX(_REF_Applicability_Gates!$A:$A,MATCH($D24&amp;"|"&amp;$B24,_REF_Applicability_Gates!$Q:$Q,0)),IFERROR(IFERROR(INDEX(_REF_Applicability_Gates!$A:$A,MATCH("All|"&amp;$B24,_REF_Applicability_Gates!$Q:$Q,0)),""),"")),"")</f>
        <v>APP-ALL-023</v>
      </c>
      <c r="N24" t="str">
        <f>IFERROR(IFERROR(INDEX(_REF_Crisis_Dominance!$A:$A,MATCH($F24&amp;"|"&amp;$B24,_REF_Crisis_Dominance!$L:$L,0)),""),"")</f>
        <v/>
      </c>
      <c r="O24" t="str">
        <f>IFERROR(IFERROR(INDEX(_REF_Applicability_Gates!$M:$M,MATCH($D24&amp;"|"&amp;$B24,_REF_Applicability_Gates!$Q:$Q,0)),""),"")</f>
        <v/>
      </c>
      <c r="P24" t="str">
        <f t="shared" si="6"/>
        <v/>
      </c>
      <c r="Q24" t="s">
        <v>13984</v>
      </c>
    </row>
    <row r="25" spans="1:17">
      <c r="A25" t="s">
        <v>14007</v>
      </c>
      <c r="B25" t="s">
        <v>13416</v>
      </c>
      <c r="C25" t="s">
        <v>1859</v>
      </c>
      <c r="D25">
        <f t="shared" si="0"/>
        <v>0</v>
      </c>
      <c r="E25" t="str">
        <f t="shared" si="1"/>
        <v>Generic Organization</v>
      </c>
      <c r="F25">
        <f t="shared" si="2"/>
        <v>0</v>
      </c>
      <c r="G25">
        <f t="shared" si="3"/>
        <v>0</v>
      </c>
      <c r="H25">
        <f>IFERROR(IFERROR(INDEX(_REF_Applicability_Gates!$J:$J,MATCH($D25&amp;"|"&amp;$B25,_REF_Applicability_Gates!$Q:$Q,0)),IFERROR(IFERROR(INDEX(_REF_Applicability_Gates!$J:$J,MATCH("All|"&amp;$B25,_REF_Applicability_Gates!$Q:$Q,0)),1),1)),1)</f>
        <v>1</v>
      </c>
      <c r="I25" t="str">
        <f>IFERROR(IFERROR(INDEX(_REF_Applicability_Gates!$K:$K,MATCH($D25&amp;"|"&amp;$B25,_REF_Applicability_Gates!$Q:$Q,0)),IFERROR(IFERROR(INDEX(_REF_Applicability_Gates!$K:$K,MATCH("All|"&amp;$B25,_REF_Applicability_Gates!$Q:$Q,0)),"No"),"No")),"No")</f>
        <v>No</v>
      </c>
      <c r="J25">
        <f>IF($G25&gt;=IFERROR(INDEX(_REF_Crisis_Dominance!$C:$C,MATCH($F25&amp;"|"&amp;$D25&amp;"|"&amp;$B25,_REF_Crisis_Dominance!$M:$M,0)),IFERROR(INDEX(_REF_Crisis_Dominance!$C:$C,MATCH($F25&amp;"|"&amp;$B25,_REF_Crisis_Dominance!$L:$L,0)),99)),IFERROR(INDEX(_REF_Crisis_Dominance!$G:$G,MATCH($F25&amp;"|"&amp;$D25&amp;"|"&amp;$B25,_REF_Crisis_Dominance!$M:$M,0)),IFERROR(INDEX(_REF_Crisis_Dominance!$G:$G,MATCH($F25&amp;"|"&amp;$B25,_REF_Crisis_Dominance!$L:$L,0)),1)),1)</f>
        <v>1</v>
      </c>
      <c r="K25">
        <f t="shared" si="4"/>
        <v>1</v>
      </c>
      <c r="L25">
        <f t="shared" si="5"/>
        <v>1</v>
      </c>
      <c r="M25" t="str">
        <f>IFERROR(IFERROR(INDEX(_REF_Applicability_Gates!$A:$A,MATCH($D25&amp;"|"&amp;$B25,_REF_Applicability_Gates!$Q:$Q,0)),IFERROR(IFERROR(INDEX(_REF_Applicability_Gates!$A:$A,MATCH("All|"&amp;$B25,_REF_Applicability_Gates!$Q:$Q,0)),""),"")),"")</f>
        <v>APP-ALL-024</v>
      </c>
      <c r="N25" t="str">
        <f>IFERROR(IFERROR(INDEX(_REF_Crisis_Dominance!$A:$A,MATCH($F25&amp;"|"&amp;$B25,_REF_Crisis_Dominance!$L:$L,0)),""),"")</f>
        <v/>
      </c>
      <c r="O25" t="str">
        <f>IFERROR(IFERROR(INDEX(_REF_Applicability_Gates!$M:$M,MATCH($D25&amp;"|"&amp;$B25,_REF_Applicability_Gates!$Q:$Q,0)),""),"")</f>
        <v/>
      </c>
      <c r="P25" t="str">
        <f t="shared" si="6"/>
        <v/>
      </c>
      <c r="Q25" t="s">
        <v>13984</v>
      </c>
    </row>
    <row r="26" spans="1:17">
      <c r="A26" t="s">
        <v>14008</v>
      </c>
      <c r="B26" t="s">
        <v>13419</v>
      </c>
      <c r="C26" t="s">
        <v>2145</v>
      </c>
      <c r="D26">
        <f t="shared" si="0"/>
        <v>0</v>
      </c>
      <c r="E26" t="str">
        <f t="shared" si="1"/>
        <v>Generic Organization</v>
      </c>
      <c r="F26">
        <f t="shared" si="2"/>
        <v>0</v>
      </c>
      <c r="G26">
        <f t="shared" si="3"/>
        <v>0</v>
      </c>
      <c r="H26">
        <f>IFERROR(IFERROR(INDEX(_REF_Applicability_Gates!$J:$J,MATCH($D26&amp;"|"&amp;$B26,_REF_Applicability_Gates!$Q:$Q,0)),IFERROR(IFERROR(INDEX(_REF_Applicability_Gates!$J:$J,MATCH("All|"&amp;$B26,_REF_Applicability_Gates!$Q:$Q,0)),1),1)),1)</f>
        <v>1</v>
      </c>
      <c r="I26" t="str">
        <f>IFERROR(IFERROR(INDEX(_REF_Applicability_Gates!$K:$K,MATCH($D26&amp;"|"&amp;$B26,_REF_Applicability_Gates!$Q:$Q,0)),IFERROR(IFERROR(INDEX(_REF_Applicability_Gates!$K:$K,MATCH("All|"&amp;$B26,_REF_Applicability_Gates!$Q:$Q,0)),"No"),"No")),"No")</f>
        <v>No</v>
      </c>
      <c r="J26">
        <f>IF($G26&gt;=IFERROR(INDEX(_REF_Crisis_Dominance!$C:$C,MATCH($F26&amp;"|"&amp;$D26&amp;"|"&amp;$B26,_REF_Crisis_Dominance!$M:$M,0)),IFERROR(INDEX(_REF_Crisis_Dominance!$C:$C,MATCH($F26&amp;"|"&amp;$B26,_REF_Crisis_Dominance!$L:$L,0)),99)),IFERROR(INDEX(_REF_Crisis_Dominance!$G:$G,MATCH($F26&amp;"|"&amp;$D26&amp;"|"&amp;$B26,_REF_Crisis_Dominance!$M:$M,0)),IFERROR(INDEX(_REF_Crisis_Dominance!$G:$G,MATCH($F26&amp;"|"&amp;$B26,_REF_Crisis_Dominance!$L:$L,0)),1)),1)</f>
        <v>1</v>
      </c>
      <c r="K26">
        <f t="shared" si="4"/>
        <v>0.4</v>
      </c>
      <c r="L26">
        <f t="shared" si="5"/>
        <v>0.4</v>
      </c>
      <c r="M26" t="str">
        <f>IFERROR(IFERROR(INDEX(_REF_Applicability_Gates!$A:$A,MATCH($D26&amp;"|"&amp;$B26,_REF_Applicability_Gates!$Q:$Q,0)),IFERROR(IFERROR(INDEX(_REF_Applicability_Gates!$A:$A,MATCH("All|"&amp;$B26,_REF_Applicability_Gates!$Q:$Q,0)),""),"")),"")</f>
        <v>APP-ALL-025</v>
      </c>
      <c r="N26" t="str">
        <f>IFERROR(IFERROR(INDEX(_REF_Crisis_Dominance!$A:$A,MATCH($F26&amp;"|"&amp;$B26,_REF_Crisis_Dominance!$L:$L,0)),""),"")</f>
        <v/>
      </c>
      <c r="O26" t="str">
        <f>IFERROR(IFERROR(INDEX(_REF_Applicability_Gates!$M:$M,MATCH($D26&amp;"|"&amp;$B26,_REF_Applicability_Gates!$Q:$Q,0)),""),"")</f>
        <v/>
      </c>
      <c r="P26" t="str">
        <f t="shared" si="6"/>
        <v xml:space="preserve">low physical footprint reduces asset/site capability; </v>
      </c>
      <c r="Q26" t="s">
        <v>13984</v>
      </c>
    </row>
    <row r="27" spans="1:17">
      <c r="A27" t="s">
        <v>14009</v>
      </c>
      <c r="B27" t="s">
        <v>13422</v>
      </c>
      <c r="C27" t="s">
        <v>2145</v>
      </c>
      <c r="D27">
        <f t="shared" si="0"/>
        <v>0</v>
      </c>
      <c r="E27" t="str">
        <f t="shared" si="1"/>
        <v>Generic Organization</v>
      </c>
      <c r="F27">
        <f t="shared" si="2"/>
        <v>0</v>
      </c>
      <c r="G27">
        <f t="shared" si="3"/>
        <v>0</v>
      </c>
      <c r="H27">
        <f>IFERROR(IFERROR(INDEX(_REF_Applicability_Gates!$J:$J,MATCH($D27&amp;"|"&amp;$B27,_REF_Applicability_Gates!$Q:$Q,0)),IFERROR(IFERROR(INDEX(_REF_Applicability_Gates!$J:$J,MATCH("All|"&amp;$B27,_REF_Applicability_Gates!$Q:$Q,0)),1),1)),1)</f>
        <v>1</v>
      </c>
      <c r="I27" t="str">
        <f>IFERROR(IFERROR(INDEX(_REF_Applicability_Gates!$K:$K,MATCH($D27&amp;"|"&amp;$B27,_REF_Applicability_Gates!$Q:$Q,0)),IFERROR(IFERROR(INDEX(_REF_Applicability_Gates!$K:$K,MATCH("All|"&amp;$B27,_REF_Applicability_Gates!$Q:$Q,0)),"No"),"No")),"No")</f>
        <v>No</v>
      </c>
      <c r="J27">
        <f>IF($G27&gt;=IFERROR(INDEX(_REF_Crisis_Dominance!$C:$C,MATCH($F27&amp;"|"&amp;$D27&amp;"|"&amp;$B27,_REF_Crisis_Dominance!$M:$M,0)),IFERROR(INDEX(_REF_Crisis_Dominance!$C:$C,MATCH($F27&amp;"|"&amp;$B27,_REF_Crisis_Dominance!$L:$L,0)),99)),IFERROR(INDEX(_REF_Crisis_Dominance!$G:$G,MATCH($F27&amp;"|"&amp;$D27&amp;"|"&amp;$B27,_REF_Crisis_Dominance!$M:$M,0)),IFERROR(INDEX(_REF_Crisis_Dominance!$G:$G,MATCH($F27&amp;"|"&amp;$B27,_REF_Crisis_Dominance!$L:$L,0)),1)),1)</f>
        <v>1</v>
      </c>
      <c r="K27">
        <f t="shared" si="4"/>
        <v>0.4</v>
      </c>
      <c r="L27">
        <f t="shared" si="5"/>
        <v>0.4</v>
      </c>
      <c r="M27" t="str">
        <f>IFERROR(IFERROR(INDEX(_REF_Applicability_Gates!$A:$A,MATCH($D27&amp;"|"&amp;$B27,_REF_Applicability_Gates!$Q:$Q,0)),IFERROR(IFERROR(INDEX(_REF_Applicability_Gates!$A:$A,MATCH("All|"&amp;$B27,_REF_Applicability_Gates!$Q:$Q,0)),""),"")),"")</f>
        <v>APP-ALL-026</v>
      </c>
      <c r="N27" t="str">
        <f>IFERROR(IFERROR(INDEX(_REF_Crisis_Dominance!$A:$A,MATCH($F27&amp;"|"&amp;$B27,_REF_Crisis_Dominance!$L:$L,0)),""),"")</f>
        <v/>
      </c>
      <c r="O27" t="str">
        <f>IFERROR(IFERROR(INDEX(_REF_Applicability_Gates!$M:$M,MATCH($D27&amp;"|"&amp;$B27,_REF_Applicability_Gates!$Q:$Q,0)),""),"")</f>
        <v/>
      </c>
      <c r="P27" t="str">
        <f t="shared" si="6"/>
        <v xml:space="preserve">low physical footprint reduces asset/site capability; </v>
      </c>
      <c r="Q27" t="s">
        <v>13984</v>
      </c>
    </row>
    <row r="28" spans="1:17">
      <c r="A28" t="s">
        <v>14010</v>
      </c>
      <c r="B28" t="s">
        <v>13425</v>
      </c>
      <c r="C28" t="s">
        <v>1666</v>
      </c>
      <c r="D28">
        <f t="shared" si="0"/>
        <v>0</v>
      </c>
      <c r="E28" t="str">
        <f t="shared" si="1"/>
        <v>Generic Organization</v>
      </c>
      <c r="F28">
        <f t="shared" si="2"/>
        <v>0</v>
      </c>
      <c r="G28">
        <f t="shared" si="3"/>
        <v>0</v>
      </c>
      <c r="H28">
        <f>IFERROR(IFERROR(INDEX(_REF_Applicability_Gates!$J:$J,MATCH($D28&amp;"|"&amp;$B28,_REF_Applicability_Gates!$Q:$Q,0)),IFERROR(IFERROR(INDEX(_REF_Applicability_Gates!$J:$J,MATCH("All|"&amp;$B28,_REF_Applicability_Gates!$Q:$Q,0)),1),1)),1)</f>
        <v>1</v>
      </c>
      <c r="I28" t="str">
        <f>IFERROR(IFERROR(INDEX(_REF_Applicability_Gates!$K:$K,MATCH($D28&amp;"|"&amp;$B28,_REF_Applicability_Gates!$Q:$Q,0)),IFERROR(IFERROR(INDEX(_REF_Applicability_Gates!$K:$K,MATCH("All|"&amp;$B28,_REF_Applicability_Gates!$Q:$Q,0)),"No"),"No")),"No")</f>
        <v>No</v>
      </c>
      <c r="J28">
        <f>IF($G28&gt;=IFERROR(INDEX(_REF_Crisis_Dominance!$C:$C,MATCH($F28&amp;"|"&amp;$D28&amp;"|"&amp;$B28,_REF_Crisis_Dominance!$M:$M,0)),IFERROR(INDEX(_REF_Crisis_Dominance!$C:$C,MATCH($F28&amp;"|"&amp;$B28,_REF_Crisis_Dominance!$L:$L,0)),99)),IFERROR(INDEX(_REF_Crisis_Dominance!$G:$G,MATCH($F28&amp;"|"&amp;$D28&amp;"|"&amp;$B28,_REF_Crisis_Dominance!$M:$M,0)),IFERROR(INDEX(_REF_Crisis_Dominance!$G:$G,MATCH($F28&amp;"|"&amp;$B28,_REF_Crisis_Dominance!$L:$L,0)),1)),1)</f>
        <v>1</v>
      </c>
      <c r="K28">
        <f t="shared" si="4"/>
        <v>0.4</v>
      </c>
      <c r="L28">
        <f t="shared" si="5"/>
        <v>0.4</v>
      </c>
      <c r="M28" t="str">
        <f>IFERROR(IFERROR(INDEX(_REF_Applicability_Gates!$A:$A,MATCH($D28&amp;"|"&amp;$B28,_REF_Applicability_Gates!$Q:$Q,0)),IFERROR(IFERROR(INDEX(_REF_Applicability_Gates!$A:$A,MATCH("All|"&amp;$B28,_REF_Applicability_Gates!$Q:$Q,0)),""),"")),"")</f>
        <v>APP-ALL-027</v>
      </c>
      <c r="N28" t="str">
        <f>IFERROR(IFERROR(INDEX(_REF_Crisis_Dominance!$A:$A,MATCH($F28&amp;"|"&amp;$B28,_REF_Crisis_Dominance!$L:$L,0)),""),"")</f>
        <v/>
      </c>
      <c r="O28" t="str">
        <f>IFERROR(IFERROR(INDEX(_REF_Applicability_Gates!$M:$M,MATCH($D28&amp;"|"&amp;$B28,_REF_Applicability_Gates!$Q:$Q,0)),""),"")</f>
        <v/>
      </c>
      <c r="P28" t="str">
        <f t="shared" si="6"/>
        <v xml:space="preserve">low physical footprint reduces asset/site capability; </v>
      </c>
      <c r="Q28" t="s">
        <v>13984</v>
      </c>
    </row>
    <row r="29" spans="1:17">
      <c r="A29" t="s">
        <v>14011</v>
      </c>
      <c r="B29" t="s">
        <v>13428</v>
      </c>
      <c r="C29" t="s">
        <v>1666</v>
      </c>
      <c r="D29">
        <f t="shared" si="0"/>
        <v>0</v>
      </c>
      <c r="E29" t="str">
        <f t="shared" si="1"/>
        <v>Generic Organization</v>
      </c>
      <c r="F29">
        <f t="shared" si="2"/>
        <v>0</v>
      </c>
      <c r="G29">
        <f t="shared" si="3"/>
        <v>0</v>
      </c>
      <c r="H29">
        <f>IFERROR(IFERROR(INDEX(_REF_Applicability_Gates!$J:$J,MATCH($D29&amp;"|"&amp;$B29,_REF_Applicability_Gates!$Q:$Q,0)),IFERROR(IFERROR(INDEX(_REF_Applicability_Gates!$J:$J,MATCH("All|"&amp;$B29,_REF_Applicability_Gates!$Q:$Q,0)),1),1)),1)</f>
        <v>1</v>
      </c>
      <c r="I29" t="str">
        <f>IFERROR(IFERROR(INDEX(_REF_Applicability_Gates!$K:$K,MATCH($D29&amp;"|"&amp;$B29,_REF_Applicability_Gates!$Q:$Q,0)),IFERROR(IFERROR(INDEX(_REF_Applicability_Gates!$K:$K,MATCH("All|"&amp;$B29,_REF_Applicability_Gates!$Q:$Q,0)),"No"),"No")),"No")</f>
        <v>No</v>
      </c>
      <c r="J29">
        <f>IF($G29&gt;=IFERROR(INDEX(_REF_Crisis_Dominance!$C:$C,MATCH($F29&amp;"|"&amp;$D29&amp;"|"&amp;$B29,_REF_Crisis_Dominance!$M:$M,0)),IFERROR(INDEX(_REF_Crisis_Dominance!$C:$C,MATCH($F29&amp;"|"&amp;$B29,_REF_Crisis_Dominance!$L:$L,0)),99)),IFERROR(INDEX(_REF_Crisis_Dominance!$G:$G,MATCH($F29&amp;"|"&amp;$D29&amp;"|"&amp;$B29,_REF_Crisis_Dominance!$M:$M,0)),IFERROR(INDEX(_REF_Crisis_Dominance!$G:$G,MATCH($F29&amp;"|"&amp;$B29,_REF_Crisis_Dominance!$L:$L,0)),1)),1)</f>
        <v>1</v>
      </c>
      <c r="K29">
        <f t="shared" si="4"/>
        <v>0.4</v>
      </c>
      <c r="L29">
        <f t="shared" si="5"/>
        <v>0.4</v>
      </c>
      <c r="M29" t="str">
        <f>IFERROR(IFERROR(INDEX(_REF_Applicability_Gates!$A:$A,MATCH($D29&amp;"|"&amp;$B29,_REF_Applicability_Gates!$Q:$Q,0)),IFERROR(IFERROR(INDEX(_REF_Applicability_Gates!$A:$A,MATCH("All|"&amp;$B29,_REF_Applicability_Gates!$Q:$Q,0)),""),"")),"")</f>
        <v>APP-ALL-028</v>
      </c>
      <c r="N29" t="str">
        <f>IFERROR(IFERROR(INDEX(_REF_Crisis_Dominance!$A:$A,MATCH($F29&amp;"|"&amp;$B29,_REF_Crisis_Dominance!$L:$L,0)),""),"")</f>
        <v/>
      </c>
      <c r="O29" t="str">
        <f>IFERROR(IFERROR(INDEX(_REF_Applicability_Gates!$M:$M,MATCH($D29&amp;"|"&amp;$B29,_REF_Applicability_Gates!$Q:$Q,0)),""),"")</f>
        <v/>
      </c>
      <c r="P29" t="str">
        <f t="shared" si="6"/>
        <v xml:space="preserve">low physical footprint reduces asset/site capability; </v>
      </c>
      <c r="Q29" t="s">
        <v>13984</v>
      </c>
    </row>
    <row r="30" spans="1:17">
      <c r="A30" t="s">
        <v>14012</v>
      </c>
      <c r="B30" t="s">
        <v>13431</v>
      </c>
      <c r="C30" t="s">
        <v>1259</v>
      </c>
      <c r="D30">
        <f t="shared" si="0"/>
        <v>0</v>
      </c>
      <c r="E30" t="str">
        <f t="shared" si="1"/>
        <v>Generic Organization</v>
      </c>
      <c r="F30">
        <f t="shared" si="2"/>
        <v>0</v>
      </c>
      <c r="G30">
        <f t="shared" si="3"/>
        <v>0</v>
      </c>
      <c r="H30">
        <f>IFERROR(IFERROR(INDEX(_REF_Applicability_Gates!$J:$J,MATCH($D30&amp;"|"&amp;$B30,_REF_Applicability_Gates!$Q:$Q,0)),IFERROR(IFERROR(INDEX(_REF_Applicability_Gates!$J:$J,MATCH("All|"&amp;$B30,_REF_Applicability_Gates!$Q:$Q,0)),1),1)),1)</f>
        <v>1</v>
      </c>
      <c r="I30" t="str">
        <f>IFERROR(IFERROR(INDEX(_REF_Applicability_Gates!$K:$K,MATCH($D30&amp;"|"&amp;$B30,_REF_Applicability_Gates!$Q:$Q,0)),IFERROR(IFERROR(INDEX(_REF_Applicability_Gates!$K:$K,MATCH("All|"&amp;$B30,_REF_Applicability_Gates!$Q:$Q,0)),"No"),"No")),"No")</f>
        <v>No</v>
      </c>
      <c r="J30">
        <f>IF($G30&gt;=IFERROR(INDEX(_REF_Crisis_Dominance!$C:$C,MATCH($F30&amp;"|"&amp;$D30&amp;"|"&amp;$B30,_REF_Crisis_Dominance!$M:$M,0)),IFERROR(INDEX(_REF_Crisis_Dominance!$C:$C,MATCH($F30&amp;"|"&amp;$B30,_REF_Crisis_Dominance!$L:$L,0)),99)),IFERROR(INDEX(_REF_Crisis_Dominance!$G:$G,MATCH($F30&amp;"|"&amp;$D30&amp;"|"&amp;$B30,_REF_Crisis_Dominance!$M:$M,0)),IFERROR(INDEX(_REF_Crisis_Dominance!$G:$G,MATCH($F30&amp;"|"&amp;$B30,_REF_Crisis_Dominance!$L:$L,0)),1)),1)</f>
        <v>1</v>
      </c>
      <c r="K30">
        <f t="shared" si="4"/>
        <v>1</v>
      </c>
      <c r="L30">
        <f t="shared" si="5"/>
        <v>1</v>
      </c>
      <c r="M30" t="str">
        <f>IFERROR(IFERROR(INDEX(_REF_Applicability_Gates!$A:$A,MATCH($D30&amp;"|"&amp;$B30,_REF_Applicability_Gates!$Q:$Q,0)),IFERROR(IFERROR(INDEX(_REF_Applicability_Gates!$A:$A,MATCH("All|"&amp;$B30,_REF_Applicability_Gates!$Q:$Q,0)),""),"")),"")</f>
        <v>APP-ALL-029</v>
      </c>
      <c r="N30" t="str">
        <f>IFERROR(IFERROR(INDEX(_REF_Crisis_Dominance!$A:$A,MATCH($F30&amp;"|"&amp;$B30,_REF_Crisis_Dominance!$L:$L,0)),""),"")</f>
        <v/>
      </c>
      <c r="O30" t="str">
        <f>IFERROR(IFERROR(INDEX(_REF_Applicability_Gates!$M:$M,MATCH($D30&amp;"|"&amp;$B30,_REF_Applicability_Gates!$Q:$Q,0)),""),"")</f>
        <v/>
      </c>
      <c r="P30" t="str">
        <f t="shared" si="6"/>
        <v/>
      </c>
      <c r="Q30" t="s">
        <v>13984</v>
      </c>
    </row>
    <row r="31" spans="1:17">
      <c r="A31" t="s">
        <v>14013</v>
      </c>
      <c r="B31" t="s">
        <v>13434</v>
      </c>
      <c r="C31" t="s">
        <v>1259</v>
      </c>
      <c r="D31">
        <f t="shared" si="0"/>
        <v>0</v>
      </c>
      <c r="E31" t="str">
        <f t="shared" si="1"/>
        <v>Generic Organization</v>
      </c>
      <c r="F31">
        <f t="shared" si="2"/>
        <v>0</v>
      </c>
      <c r="G31">
        <f t="shared" si="3"/>
        <v>0</v>
      </c>
      <c r="H31">
        <f>IFERROR(IFERROR(INDEX(_REF_Applicability_Gates!$J:$J,MATCH($D31&amp;"|"&amp;$B31,_REF_Applicability_Gates!$Q:$Q,0)),IFERROR(IFERROR(INDEX(_REF_Applicability_Gates!$J:$J,MATCH("All|"&amp;$B31,_REF_Applicability_Gates!$Q:$Q,0)),1),1)),1)</f>
        <v>1</v>
      </c>
      <c r="I31" t="str">
        <f>IFERROR(IFERROR(INDEX(_REF_Applicability_Gates!$K:$K,MATCH($D31&amp;"|"&amp;$B31,_REF_Applicability_Gates!$Q:$Q,0)),IFERROR(IFERROR(INDEX(_REF_Applicability_Gates!$K:$K,MATCH("All|"&amp;$B31,_REF_Applicability_Gates!$Q:$Q,0)),"No"),"No")),"No")</f>
        <v>No</v>
      </c>
      <c r="J31">
        <f>IF($G31&gt;=IFERROR(INDEX(_REF_Crisis_Dominance!$C:$C,MATCH($F31&amp;"|"&amp;$D31&amp;"|"&amp;$B31,_REF_Crisis_Dominance!$M:$M,0)),IFERROR(INDEX(_REF_Crisis_Dominance!$C:$C,MATCH($F31&amp;"|"&amp;$B31,_REF_Crisis_Dominance!$L:$L,0)),99)),IFERROR(INDEX(_REF_Crisis_Dominance!$G:$G,MATCH($F31&amp;"|"&amp;$D31&amp;"|"&amp;$B31,_REF_Crisis_Dominance!$M:$M,0)),IFERROR(INDEX(_REF_Crisis_Dominance!$G:$G,MATCH($F31&amp;"|"&amp;$B31,_REF_Crisis_Dominance!$L:$L,0)),1)),1)</f>
        <v>1</v>
      </c>
      <c r="K31">
        <f t="shared" si="4"/>
        <v>1</v>
      </c>
      <c r="L31">
        <f t="shared" si="5"/>
        <v>1</v>
      </c>
      <c r="M31" t="str">
        <f>IFERROR(IFERROR(INDEX(_REF_Applicability_Gates!$A:$A,MATCH($D31&amp;"|"&amp;$B31,_REF_Applicability_Gates!$Q:$Q,0)),IFERROR(IFERROR(INDEX(_REF_Applicability_Gates!$A:$A,MATCH("All|"&amp;$B31,_REF_Applicability_Gates!$Q:$Q,0)),""),"")),"")</f>
        <v>APP-ALL-030</v>
      </c>
      <c r="N31" t="str">
        <f>IFERROR(IFERROR(INDEX(_REF_Crisis_Dominance!$A:$A,MATCH($F31&amp;"|"&amp;$B31,_REF_Crisis_Dominance!$L:$L,0)),""),"")</f>
        <v/>
      </c>
      <c r="O31" t="str">
        <f>IFERROR(IFERROR(INDEX(_REF_Applicability_Gates!$M:$M,MATCH($D31&amp;"|"&amp;$B31,_REF_Applicability_Gates!$Q:$Q,0)),""),"")</f>
        <v/>
      </c>
      <c r="P31" t="str">
        <f t="shared" si="6"/>
        <v/>
      </c>
      <c r="Q31" t="s">
        <v>13984</v>
      </c>
    </row>
    <row r="32" spans="1:17">
      <c r="A32" t="s">
        <v>14014</v>
      </c>
      <c r="B32" t="s">
        <v>13437</v>
      </c>
      <c r="C32" t="s">
        <v>1259</v>
      </c>
      <c r="D32">
        <f t="shared" si="0"/>
        <v>0</v>
      </c>
      <c r="E32" t="str">
        <f t="shared" si="1"/>
        <v>Generic Organization</v>
      </c>
      <c r="F32">
        <f t="shared" si="2"/>
        <v>0</v>
      </c>
      <c r="G32">
        <f t="shared" si="3"/>
        <v>0</v>
      </c>
      <c r="H32">
        <f>IFERROR(IFERROR(INDEX(_REF_Applicability_Gates!$J:$J,MATCH($D32&amp;"|"&amp;$B32,_REF_Applicability_Gates!$Q:$Q,0)),IFERROR(IFERROR(INDEX(_REF_Applicability_Gates!$J:$J,MATCH("All|"&amp;$B32,_REF_Applicability_Gates!$Q:$Q,0)),1),1)),1)</f>
        <v>1</v>
      </c>
      <c r="I32" t="str">
        <f>IFERROR(IFERROR(INDEX(_REF_Applicability_Gates!$K:$K,MATCH($D32&amp;"|"&amp;$B32,_REF_Applicability_Gates!$Q:$Q,0)),IFERROR(IFERROR(INDEX(_REF_Applicability_Gates!$K:$K,MATCH("All|"&amp;$B32,_REF_Applicability_Gates!$Q:$Q,0)),"No"),"No")),"No")</f>
        <v>No</v>
      </c>
      <c r="J32">
        <f>IF($G32&gt;=IFERROR(INDEX(_REF_Crisis_Dominance!$C:$C,MATCH($F32&amp;"|"&amp;$D32&amp;"|"&amp;$B32,_REF_Crisis_Dominance!$M:$M,0)),IFERROR(INDEX(_REF_Crisis_Dominance!$C:$C,MATCH($F32&amp;"|"&amp;$B32,_REF_Crisis_Dominance!$L:$L,0)),99)),IFERROR(INDEX(_REF_Crisis_Dominance!$G:$G,MATCH($F32&amp;"|"&amp;$D32&amp;"|"&amp;$B32,_REF_Crisis_Dominance!$M:$M,0)),IFERROR(INDEX(_REF_Crisis_Dominance!$G:$G,MATCH($F32&amp;"|"&amp;$B32,_REF_Crisis_Dominance!$L:$L,0)),1)),1)</f>
        <v>1</v>
      </c>
      <c r="K32">
        <f t="shared" si="4"/>
        <v>1.2</v>
      </c>
      <c r="L32">
        <f t="shared" si="5"/>
        <v>1.2</v>
      </c>
      <c r="M32" t="str">
        <f>IFERROR(IFERROR(INDEX(_REF_Applicability_Gates!$A:$A,MATCH($D32&amp;"|"&amp;$B32,_REF_Applicability_Gates!$Q:$Q,0)),IFERROR(IFERROR(INDEX(_REF_Applicability_Gates!$A:$A,MATCH("All|"&amp;$B32,_REF_Applicability_Gates!$Q:$Q,0)),""),"")),"")</f>
        <v>APP-ALL-031</v>
      </c>
      <c r="N32" t="str">
        <f>IFERROR(IFERROR(INDEX(_REF_Crisis_Dominance!$A:$A,MATCH($F32&amp;"|"&amp;$B32,_REF_Crisis_Dominance!$L:$L,0)),""),"")</f>
        <v/>
      </c>
      <c r="O32" t="str">
        <f>IFERROR(IFERROR(INDEX(_REF_Applicability_Gates!$M:$M,MATCH($D32&amp;"|"&amp;$B32,_REF_Applicability_Gates!$Q:$Q,0)),""),"")</f>
        <v/>
      </c>
      <c r="P32" t="str">
        <f t="shared" si="6"/>
        <v xml:space="preserve">low remote readiness boost; </v>
      </c>
      <c r="Q32" t="s">
        <v>13984</v>
      </c>
    </row>
    <row r="33" spans="1:17">
      <c r="A33" t="s">
        <v>14015</v>
      </c>
      <c r="B33" t="s">
        <v>13440</v>
      </c>
      <c r="C33" t="s">
        <v>1987</v>
      </c>
      <c r="D33">
        <f t="shared" si="0"/>
        <v>0</v>
      </c>
      <c r="E33" t="str">
        <f t="shared" si="1"/>
        <v>Generic Organization</v>
      </c>
      <c r="F33">
        <f t="shared" si="2"/>
        <v>0</v>
      </c>
      <c r="G33">
        <f t="shared" si="3"/>
        <v>0</v>
      </c>
      <c r="H33">
        <f>IFERROR(IFERROR(INDEX(_REF_Applicability_Gates!$J:$J,MATCH($D33&amp;"|"&amp;$B33,_REF_Applicability_Gates!$Q:$Q,0)),IFERROR(IFERROR(INDEX(_REF_Applicability_Gates!$J:$J,MATCH("All|"&amp;$B33,_REF_Applicability_Gates!$Q:$Q,0)),1),1)),1)</f>
        <v>1</v>
      </c>
      <c r="I33" t="str">
        <f>IFERROR(IFERROR(INDEX(_REF_Applicability_Gates!$K:$K,MATCH($D33&amp;"|"&amp;$B33,_REF_Applicability_Gates!$Q:$Q,0)),IFERROR(IFERROR(INDEX(_REF_Applicability_Gates!$K:$K,MATCH("All|"&amp;$B33,_REF_Applicability_Gates!$Q:$Q,0)),"No"),"No")),"No")</f>
        <v>No</v>
      </c>
      <c r="J33">
        <f>IF($G33&gt;=IFERROR(INDEX(_REF_Crisis_Dominance!$C:$C,MATCH($F33&amp;"|"&amp;$D33&amp;"|"&amp;$B33,_REF_Crisis_Dominance!$M:$M,0)),IFERROR(INDEX(_REF_Crisis_Dominance!$C:$C,MATCH($F33&amp;"|"&amp;$B33,_REF_Crisis_Dominance!$L:$L,0)),99)),IFERROR(INDEX(_REF_Crisis_Dominance!$G:$G,MATCH($F33&amp;"|"&amp;$D33&amp;"|"&amp;$B33,_REF_Crisis_Dominance!$M:$M,0)),IFERROR(INDEX(_REF_Crisis_Dominance!$G:$G,MATCH($F33&amp;"|"&amp;$B33,_REF_Crisis_Dominance!$L:$L,0)),1)),1)</f>
        <v>1</v>
      </c>
      <c r="K33">
        <f t="shared" si="4"/>
        <v>1</v>
      </c>
      <c r="L33">
        <f t="shared" si="5"/>
        <v>1</v>
      </c>
      <c r="M33" t="str">
        <f>IFERROR(IFERROR(INDEX(_REF_Applicability_Gates!$A:$A,MATCH($D33&amp;"|"&amp;$B33,_REF_Applicability_Gates!$Q:$Q,0)),IFERROR(IFERROR(INDEX(_REF_Applicability_Gates!$A:$A,MATCH("All|"&amp;$B33,_REF_Applicability_Gates!$Q:$Q,0)),""),"")),"")</f>
        <v>APP-ALL-032</v>
      </c>
      <c r="N33" t="str">
        <f>IFERROR(IFERROR(INDEX(_REF_Crisis_Dominance!$A:$A,MATCH($F33&amp;"|"&amp;$B33,_REF_Crisis_Dominance!$L:$L,0)),""),"")</f>
        <v/>
      </c>
      <c r="O33" t="str">
        <f>IFERROR(IFERROR(INDEX(_REF_Applicability_Gates!$M:$M,MATCH($D33&amp;"|"&amp;$B33,_REF_Applicability_Gates!$Q:$Q,0)),""),"")</f>
        <v/>
      </c>
      <c r="P33" t="str">
        <f t="shared" si="6"/>
        <v/>
      </c>
      <c r="Q33" t="s">
        <v>13984</v>
      </c>
    </row>
    <row r="34" spans="1:17">
      <c r="A34" t="s">
        <v>14016</v>
      </c>
      <c r="B34" t="s">
        <v>13443</v>
      </c>
      <c r="C34" t="s">
        <v>2824</v>
      </c>
      <c r="D34">
        <f t="shared" si="0"/>
        <v>0</v>
      </c>
      <c r="E34" t="str">
        <f t="shared" si="1"/>
        <v>Generic Organization</v>
      </c>
      <c r="F34">
        <f t="shared" si="2"/>
        <v>0</v>
      </c>
      <c r="G34">
        <f t="shared" si="3"/>
        <v>0</v>
      </c>
      <c r="H34">
        <f>IFERROR(IFERROR(INDEX(_REF_Applicability_Gates!$J:$J,MATCH($D34&amp;"|"&amp;$B34,_REF_Applicability_Gates!$Q:$Q,0)),IFERROR(IFERROR(INDEX(_REF_Applicability_Gates!$J:$J,MATCH("All|"&amp;$B34,_REF_Applicability_Gates!$Q:$Q,0)),1),1)),1)</f>
        <v>1</v>
      </c>
      <c r="I34" t="str">
        <f>IFERROR(IFERROR(INDEX(_REF_Applicability_Gates!$K:$K,MATCH($D34&amp;"|"&amp;$B34,_REF_Applicability_Gates!$Q:$Q,0)),IFERROR(IFERROR(INDEX(_REF_Applicability_Gates!$K:$K,MATCH("All|"&amp;$B34,_REF_Applicability_Gates!$Q:$Q,0)),"No"),"No")),"No")</f>
        <v>No</v>
      </c>
      <c r="J34">
        <f>IF($G34&gt;=IFERROR(INDEX(_REF_Crisis_Dominance!$C:$C,MATCH($F34&amp;"|"&amp;$D34&amp;"|"&amp;$B34,_REF_Crisis_Dominance!$M:$M,0)),IFERROR(INDEX(_REF_Crisis_Dominance!$C:$C,MATCH($F34&amp;"|"&amp;$B34,_REF_Crisis_Dominance!$L:$L,0)),99)),IFERROR(INDEX(_REF_Crisis_Dominance!$G:$G,MATCH($F34&amp;"|"&amp;$D34&amp;"|"&amp;$B34,_REF_Crisis_Dominance!$M:$M,0)),IFERROR(INDEX(_REF_Crisis_Dominance!$G:$G,MATCH($F34&amp;"|"&amp;$B34,_REF_Crisis_Dominance!$L:$L,0)),1)),1)</f>
        <v>1</v>
      </c>
      <c r="K34">
        <f t="shared" si="4"/>
        <v>1.25</v>
      </c>
      <c r="L34">
        <f t="shared" si="5"/>
        <v>1.25</v>
      </c>
      <c r="M34" t="str">
        <f>IFERROR(IFERROR(INDEX(_REF_Applicability_Gates!$A:$A,MATCH($D34&amp;"|"&amp;$B34,_REF_Applicability_Gates!$Q:$Q,0)),IFERROR(IFERROR(INDEX(_REF_Applicability_Gates!$A:$A,MATCH("All|"&amp;$B34,_REF_Applicability_Gates!$Q:$Q,0)),""),"")),"")</f>
        <v>APP-ALL-033</v>
      </c>
      <c r="N34" t="str">
        <f>IFERROR(IFERROR(INDEX(_REF_Crisis_Dominance!$A:$A,MATCH($F34&amp;"|"&amp;$B34,_REF_Crisis_Dominance!$L:$L,0)),""),"")</f>
        <v/>
      </c>
      <c r="O34" t="str">
        <f>IFERROR(IFERROR(INDEX(_REF_Applicability_Gates!$M:$M,MATCH($D34&amp;"|"&amp;$B34,_REF_Applicability_Gates!$Q:$Q,0)),""),"")</f>
        <v/>
      </c>
      <c r="P34" t="str">
        <f t="shared" si="6"/>
        <v xml:space="preserve">high data criticality boost; </v>
      </c>
      <c r="Q34" t="s">
        <v>13984</v>
      </c>
    </row>
    <row r="35" spans="1:17">
      <c r="A35" t="s">
        <v>14017</v>
      </c>
      <c r="B35" t="s">
        <v>13446</v>
      </c>
      <c r="C35" t="s">
        <v>1401</v>
      </c>
      <c r="D35">
        <f t="shared" si="0"/>
        <v>0</v>
      </c>
      <c r="E35" t="str">
        <f t="shared" si="1"/>
        <v>Generic Organization</v>
      </c>
      <c r="F35">
        <f t="shared" si="2"/>
        <v>0</v>
      </c>
      <c r="G35">
        <f t="shared" si="3"/>
        <v>0</v>
      </c>
      <c r="H35">
        <f>IFERROR(IFERROR(INDEX(_REF_Applicability_Gates!$J:$J,MATCH($D35&amp;"|"&amp;$B35,_REF_Applicability_Gates!$Q:$Q,0)),IFERROR(IFERROR(INDEX(_REF_Applicability_Gates!$J:$J,MATCH("All|"&amp;$B35,_REF_Applicability_Gates!$Q:$Q,0)),1),1)),1)</f>
        <v>1</v>
      </c>
      <c r="I35" t="str">
        <f>IFERROR(IFERROR(INDEX(_REF_Applicability_Gates!$K:$K,MATCH($D35&amp;"|"&amp;$B35,_REF_Applicability_Gates!$Q:$Q,0)),IFERROR(IFERROR(INDEX(_REF_Applicability_Gates!$K:$K,MATCH("All|"&amp;$B35,_REF_Applicability_Gates!$Q:$Q,0)),"No"),"No")),"No")</f>
        <v>No</v>
      </c>
      <c r="J35">
        <f>IF($G35&gt;=IFERROR(INDEX(_REF_Crisis_Dominance!$C:$C,MATCH($F35&amp;"|"&amp;$D35&amp;"|"&amp;$B35,_REF_Crisis_Dominance!$M:$M,0)),IFERROR(INDEX(_REF_Crisis_Dominance!$C:$C,MATCH($F35&amp;"|"&amp;$B35,_REF_Crisis_Dominance!$L:$L,0)),99)),IFERROR(INDEX(_REF_Crisis_Dominance!$G:$G,MATCH($F35&amp;"|"&amp;$D35&amp;"|"&amp;$B35,_REF_Crisis_Dominance!$M:$M,0)),IFERROR(INDEX(_REF_Crisis_Dominance!$G:$G,MATCH($F35&amp;"|"&amp;$B35,_REF_Crisis_Dominance!$L:$L,0)),1)),1)</f>
        <v>1</v>
      </c>
      <c r="K35">
        <f t="shared" si="4"/>
        <v>1.1499999999999999</v>
      </c>
      <c r="L35">
        <f t="shared" si="5"/>
        <v>1.1499999999999999</v>
      </c>
      <c r="M35" t="str">
        <f>IFERROR(IFERROR(INDEX(_REF_Applicability_Gates!$A:$A,MATCH($D35&amp;"|"&amp;$B35,_REF_Applicability_Gates!$Q:$Q,0)),IFERROR(IFERROR(INDEX(_REF_Applicability_Gates!$A:$A,MATCH("All|"&amp;$B35,_REF_Applicability_Gates!$Q:$Q,0)),""),"")),"")</f>
        <v>APP-ALL-034</v>
      </c>
      <c r="N35" t="str">
        <f>IFERROR(IFERROR(INDEX(_REF_Crisis_Dominance!$A:$A,MATCH($F35&amp;"|"&amp;$B35,_REF_Crisis_Dominance!$L:$L,0)),""),"")</f>
        <v/>
      </c>
      <c r="O35" t="str">
        <f>IFERROR(IFERROR(INDEX(_REF_Applicability_Gates!$M:$M,MATCH($D35&amp;"|"&amp;$B35,_REF_Applicability_Gates!$Q:$Q,0)),""),"")</f>
        <v/>
      </c>
      <c r="P35" t="str">
        <f t="shared" si="6"/>
        <v xml:space="preserve">low financial buffer boost; </v>
      </c>
      <c r="Q35" t="s">
        <v>13984</v>
      </c>
    </row>
    <row r="36" spans="1:17">
      <c r="A36" t="s">
        <v>14018</v>
      </c>
      <c r="B36" t="s">
        <v>13449</v>
      </c>
      <c r="C36" t="s">
        <v>1401</v>
      </c>
      <c r="D36">
        <f t="shared" si="0"/>
        <v>0</v>
      </c>
      <c r="E36" t="str">
        <f t="shared" si="1"/>
        <v>Generic Organization</v>
      </c>
      <c r="F36">
        <f t="shared" si="2"/>
        <v>0</v>
      </c>
      <c r="G36">
        <f t="shared" si="3"/>
        <v>0</v>
      </c>
      <c r="H36">
        <f>IFERROR(IFERROR(INDEX(_REF_Applicability_Gates!$J:$J,MATCH($D36&amp;"|"&amp;$B36,_REF_Applicability_Gates!$Q:$Q,0)),IFERROR(IFERROR(INDEX(_REF_Applicability_Gates!$J:$J,MATCH("All|"&amp;$B36,_REF_Applicability_Gates!$Q:$Q,0)),1),1)),1)</f>
        <v>1</v>
      </c>
      <c r="I36" t="str">
        <f>IFERROR(IFERROR(INDEX(_REF_Applicability_Gates!$K:$K,MATCH($D36&amp;"|"&amp;$B36,_REF_Applicability_Gates!$Q:$Q,0)),IFERROR(IFERROR(INDEX(_REF_Applicability_Gates!$K:$K,MATCH("All|"&amp;$B36,_REF_Applicability_Gates!$Q:$Q,0)),"No"),"No")),"No")</f>
        <v>No</v>
      </c>
      <c r="J36">
        <f>IF($G36&gt;=IFERROR(INDEX(_REF_Crisis_Dominance!$C:$C,MATCH($F36&amp;"|"&amp;$D36&amp;"|"&amp;$B36,_REF_Crisis_Dominance!$M:$M,0)),IFERROR(INDEX(_REF_Crisis_Dominance!$C:$C,MATCH($F36&amp;"|"&amp;$B36,_REF_Crisis_Dominance!$L:$L,0)),99)),IFERROR(INDEX(_REF_Crisis_Dominance!$G:$G,MATCH($F36&amp;"|"&amp;$D36&amp;"|"&amp;$B36,_REF_Crisis_Dominance!$M:$M,0)),IFERROR(INDEX(_REF_Crisis_Dominance!$G:$G,MATCH($F36&amp;"|"&amp;$B36,_REF_Crisis_Dominance!$L:$L,0)),1)),1)</f>
        <v>1</v>
      </c>
      <c r="K36">
        <f t="shared" si="4"/>
        <v>1.1499999999999999</v>
      </c>
      <c r="L36">
        <f t="shared" si="5"/>
        <v>1.1499999999999999</v>
      </c>
      <c r="M36" t="str">
        <f>IFERROR(IFERROR(INDEX(_REF_Applicability_Gates!$A:$A,MATCH($D36&amp;"|"&amp;$B36,_REF_Applicability_Gates!$Q:$Q,0)),IFERROR(IFERROR(INDEX(_REF_Applicability_Gates!$A:$A,MATCH("All|"&amp;$B36,_REF_Applicability_Gates!$Q:$Q,0)),""),"")),"")</f>
        <v>APP-ALL-035</v>
      </c>
      <c r="N36" t="str">
        <f>IFERROR(IFERROR(INDEX(_REF_Crisis_Dominance!$A:$A,MATCH($F36&amp;"|"&amp;$B36,_REF_Crisis_Dominance!$L:$L,0)),""),"")</f>
        <v/>
      </c>
      <c r="O36" t="str">
        <f>IFERROR(IFERROR(INDEX(_REF_Applicability_Gates!$M:$M,MATCH($D36&amp;"|"&amp;$B36,_REF_Applicability_Gates!$Q:$Q,0)),""),"")</f>
        <v/>
      </c>
      <c r="P36" t="str">
        <f t="shared" si="6"/>
        <v xml:space="preserve">low financial buffer boost; </v>
      </c>
      <c r="Q36" t="s">
        <v>13984</v>
      </c>
    </row>
    <row r="37" spans="1:17">
      <c r="A37" t="s">
        <v>14019</v>
      </c>
      <c r="B37" t="s">
        <v>13452</v>
      </c>
      <c r="C37" t="s">
        <v>2986</v>
      </c>
      <c r="D37">
        <f t="shared" si="0"/>
        <v>0</v>
      </c>
      <c r="E37" t="str">
        <f t="shared" si="1"/>
        <v>Generic Organization</v>
      </c>
      <c r="F37">
        <f t="shared" si="2"/>
        <v>0</v>
      </c>
      <c r="G37">
        <f t="shared" si="3"/>
        <v>0</v>
      </c>
      <c r="H37">
        <f>IFERROR(IFERROR(INDEX(_REF_Applicability_Gates!$J:$J,MATCH($D37&amp;"|"&amp;$B37,_REF_Applicability_Gates!$Q:$Q,0)),IFERROR(IFERROR(INDEX(_REF_Applicability_Gates!$J:$J,MATCH("All|"&amp;$B37,_REF_Applicability_Gates!$Q:$Q,0)),1),1)),1)</f>
        <v>1</v>
      </c>
      <c r="I37" t="str">
        <f>IFERROR(IFERROR(INDEX(_REF_Applicability_Gates!$K:$K,MATCH($D37&amp;"|"&amp;$B37,_REF_Applicability_Gates!$Q:$Q,0)),IFERROR(IFERROR(INDEX(_REF_Applicability_Gates!$K:$K,MATCH("All|"&amp;$B37,_REF_Applicability_Gates!$Q:$Q,0)),"No"),"No")),"No")</f>
        <v>No</v>
      </c>
      <c r="J37">
        <f>IF($G37&gt;=IFERROR(INDEX(_REF_Crisis_Dominance!$C:$C,MATCH($F37&amp;"|"&amp;$D37&amp;"|"&amp;$B37,_REF_Crisis_Dominance!$M:$M,0)),IFERROR(INDEX(_REF_Crisis_Dominance!$C:$C,MATCH($F37&amp;"|"&amp;$B37,_REF_Crisis_Dominance!$L:$L,0)),99)),IFERROR(INDEX(_REF_Crisis_Dominance!$G:$G,MATCH($F37&amp;"|"&amp;$D37&amp;"|"&amp;$B37,_REF_Crisis_Dominance!$M:$M,0)),IFERROR(INDEX(_REF_Crisis_Dominance!$G:$G,MATCH($F37&amp;"|"&amp;$B37,_REF_Crisis_Dominance!$L:$L,0)),1)),1)</f>
        <v>1</v>
      </c>
      <c r="K37">
        <f t="shared" si="4"/>
        <v>1</v>
      </c>
      <c r="L37">
        <f t="shared" si="5"/>
        <v>1</v>
      </c>
      <c r="M37" t="str">
        <f>IFERROR(IFERROR(INDEX(_REF_Applicability_Gates!$A:$A,MATCH($D37&amp;"|"&amp;$B37,_REF_Applicability_Gates!$Q:$Q,0)),IFERROR(IFERROR(INDEX(_REF_Applicability_Gates!$A:$A,MATCH("All|"&amp;$B37,_REF_Applicability_Gates!$Q:$Q,0)),""),"")),"")</f>
        <v>APP-ALL-036</v>
      </c>
      <c r="N37" t="str">
        <f>IFERROR(IFERROR(INDEX(_REF_Crisis_Dominance!$A:$A,MATCH($F37&amp;"|"&amp;$B37,_REF_Crisis_Dominance!$L:$L,0)),""),"")</f>
        <v/>
      </c>
      <c r="O37" t="str">
        <f>IFERROR(IFERROR(INDEX(_REF_Applicability_Gates!$M:$M,MATCH($D37&amp;"|"&amp;$B37,_REF_Applicability_Gates!$Q:$Q,0)),""),"")</f>
        <v/>
      </c>
      <c r="P37" t="str">
        <f t="shared" si="6"/>
        <v/>
      </c>
      <c r="Q37" t="s">
        <v>13984</v>
      </c>
    </row>
  </sheetData>
  <autoFilter ref="A1:Q37" xr:uid="{00000000-0009-0000-0000-00001B000000}"/>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F38"/>
  <sheetViews>
    <sheetView showGridLines="0" workbookViewId="0">
      <pane ySplit="1" topLeftCell="A2" activePane="bottomLeft" state="frozen"/>
      <selection pane="bottomLeft"/>
    </sheetView>
  </sheetViews>
  <sheetFormatPr defaultRowHeight="14.15"/>
  <cols>
    <col min="1" max="6" width="24" customWidth="1"/>
  </cols>
  <sheetData>
    <row r="1" spans="1:6">
      <c r="A1" t="s">
        <v>13334</v>
      </c>
      <c r="B1" t="s">
        <v>14020</v>
      </c>
      <c r="C1" t="s">
        <v>14021</v>
      </c>
      <c r="D1" t="s">
        <v>46</v>
      </c>
      <c r="E1" t="s">
        <v>12622</v>
      </c>
      <c r="F1" t="s">
        <v>11627</v>
      </c>
    </row>
    <row r="2" spans="1:6">
      <c r="A2" t="s">
        <v>13345</v>
      </c>
      <c r="B2" t="s">
        <v>2588</v>
      </c>
      <c r="C2" t="s">
        <v>14022</v>
      </c>
      <c r="D2" t="s">
        <v>14023</v>
      </c>
      <c r="E2" t="s">
        <v>14024</v>
      </c>
      <c r="F2" t="s">
        <v>11504</v>
      </c>
    </row>
    <row r="3" spans="1:6">
      <c r="A3" t="s">
        <v>13350</v>
      </c>
      <c r="B3" t="s">
        <v>2729</v>
      </c>
      <c r="C3" t="s">
        <v>14025</v>
      </c>
      <c r="D3" t="s">
        <v>14026</v>
      </c>
      <c r="E3" t="s">
        <v>14027</v>
      </c>
      <c r="F3" t="s">
        <v>11504</v>
      </c>
    </row>
    <row r="4" spans="1:6">
      <c r="A4" t="s">
        <v>13353</v>
      </c>
      <c r="B4" t="s">
        <v>2588</v>
      </c>
      <c r="C4" t="s">
        <v>14028</v>
      </c>
      <c r="D4" t="s">
        <v>14029</v>
      </c>
      <c r="E4" t="s">
        <v>14030</v>
      </c>
      <c r="F4" t="s">
        <v>11504</v>
      </c>
    </row>
    <row r="5" spans="1:6">
      <c r="A5" t="s">
        <v>13356</v>
      </c>
      <c r="B5" t="s">
        <v>2986</v>
      </c>
      <c r="C5" t="s">
        <v>2988</v>
      </c>
      <c r="D5" t="s">
        <v>14031</v>
      </c>
      <c r="E5" t="s">
        <v>14032</v>
      </c>
      <c r="F5" t="s">
        <v>11504</v>
      </c>
    </row>
    <row r="6" spans="1:6">
      <c r="A6" t="s">
        <v>13359</v>
      </c>
      <c r="B6" t="s">
        <v>2986</v>
      </c>
      <c r="C6" t="s">
        <v>14033</v>
      </c>
      <c r="D6" t="s">
        <v>14034</v>
      </c>
      <c r="E6" t="s">
        <v>14035</v>
      </c>
      <c r="F6" t="s">
        <v>11504</v>
      </c>
    </row>
    <row r="7" spans="1:6">
      <c r="A7" t="s">
        <v>13362</v>
      </c>
      <c r="B7" t="s">
        <v>2588</v>
      </c>
      <c r="C7" t="s">
        <v>14036</v>
      </c>
      <c r="D7" t="s">
        <v>14037</v>
      </c>
      <c r="E7" t="s">
        <v>14038</v>
      </c>
      <c r="F7" t="s">
        <v>11504</v>
      </c>
    </row>
    <row r="8" spans="1:6">
      <c r="A8" t="s">
        <v>13365</v>
      </c>
      <c r="B8" t="s">
        <v>2986</v>
      </c>
      <c r="C8" t="s">
        <v>14039</v>
      </c>
      <c r="D8" t="s">
        <v>14040</v>
      </c>
      <c r="E8" t="s">
        <v>14035</v>
      </c>
      <c r="F8" t="s">
        <v>11504</v>
      </c>
    </row>
    <row r="9" spans="1:6">
      <c r="A9" t="s">
        <v>13368</v>
      </c>
      <c r="B9" t="s">
        <v>1551</v>
      </c>
      <c r="C9" t="s">
        <v>14041</v>
      </c>
      <c r="D9" t="s">
        <v>14042</v>
      </c>
      <c r="E9" t="s">
        <v>14043</v>
      </c>
      <c r="F9" t="s">
        <v>11504</v>
      </c>
    </row>
    <row r="10" spans="1:6">
      <c r="A10" t="s">
        <v>13371</v>
      </c>
      <c r="B10" t="s">
        <v>2824</v>
      </c>
      <c r="C10" t="s">
        <v>2826</v>
      </c>
      <c r="D10" t="s">
        <v>14044</v>
      </c>
      <c r="E10" t="s">
        <v>14045</v>
      </c>
      <c r="F10" t="s">
        <v>11504</v>
      </c>
    </row>
    <row r="11" spans="1:6">
      <c r="A11" t="s">
        <v>13374</v>
      </c>
      <c r="B11" t="s">
        <v>2729</v>
      </c>
      <c r="C11" t="s">
        <v>14046</v>
      </c>
      <c r="D11" t="s">
        <v>14047</v>
      </c>
      <c r="E11" t="s">
        <v>14048</v>
      </c>
      <c r="F11" t="s">
        <v>11504</v>
      </c>
    </row>
    <row r="12" spans="1:6">
      <c r="A12" t="s">
        <v>13377</v>
      </c>
      <c r="B12" t="s">
        <v>2729</v>
      </c>
      <c r="C12" t="s">
        <v>14049</v>
      </c>
      <c r="D12" t="s">
        <v>14050</v>
      </c>
      <c r="E12" t="s">
        <v>14051</v>
      </c>
      <c r="F12" t="s">
        <v>11504</v>
      </c>
    </row>
    <row r="13" spans="1:6">
      <c r="A13" t="s">
        <v>13380</v>
      </c>
      <c r="B13" t="s">
        <v>2286</v>
      </c>
      <c r="C13" t="s">
        <v>14052</v>
      </c>
      <c r="D13" t="s">
        <v>14053</v>
      </c>
      <c r="E13" t="s">
        <v>14054</v>
      </c>
      <c r="F13" t="s">
        <v>11504</v>
      </c>
    </row>
    <row r="14" spans="1:6">
      <c r="A14" t="s">
        <v>13383</v>
      </c>
      <c r="B14" t="s">
        <v>2286</v>
      </c>
      <c r="C14" t="s">
        <v>14055</v>
      </c>
      <c r="D14" t="s">
        <v>14056</v>
      </c>
      <c r="E14" t="s">
        <v>14057</v>
      </c>
      <c r="F14" t="s">
        <v>11504</v>
      </c>
    </row>
    <row r="15" spans="1:6">
      <c r="A15" t="s">
        <v>13386</v>
      </c>
      <c r="B15" t="s">
        <v>2729</v>
      </c>
      <c r="C15" t="s">
        <v>690</v>
      </c>
      <c r="D15" t="s">
        <v>14058</v>
      </c>
      <c r="E15" t="s">
        <v>14059</v>
      </c>
      <c r="F15" t="s">
        <v>11504</v>
      </c>
    </row>
    <row r="16" spans="1:6">
      <c r="A16" t="s">
        <v>13389</v>
      </c>
      <c r="B16" t="s">
        <v>1401</v>
      </c>
      <c r="C16" t="s">
        <v>14060</v>
      </c>
      <c r="D16" t="s">
        <v>14061</v>
      </c>
      <c r="E16" t="s">
        <v>14062</v>
      </c>
      <c r="F16" t="s">
        <v>11504</v>
      </c>
    </row>
    <row r="17" spans="1:6">
      <c r="A17" t="s">
        <v>13392</v>
      </c>
      <c r="B17" t="s">
        <v>1551</v>
      </c>
      <c r="C17" t="s">
        <v>11869</v>
      </c>
      <c r="D17" t="s">
        <v>14063</v>
      </c>
      <c r="E17" t="s">
        <v>14064</v>
      </c>
      <c r="F17" t="s">
        <v>11504</v>
      </c>
    </row>
    <row r="18" spans="1:6">
      <c r="A18" t="s">
        <v>13395</v>
      </c>
      <c r="B18" t="s">
        <v>1551</v>
      </c>
      <c r="C18" t="s">
        <v>14065</v>
      </c>
      <c r="D18" t="s">
        <v>14066</v>
      </c>
      <c r="E18" t="s">
        <v>14067</v>
      </c>
      <c r="F18" t="s">
        <v>11504</v>
      </c>
    </row>
    <row r="19" spans="1:6">
      <c r="A19" t="s">
        <v>13398</v>
      </c>
      <c r="B19" t="s">
        <v>2286</v>
      </c>
      <c r="C19" t="s">
        <v>14068</v>
      </c>
      <c r="D19" t="s">
        <v>14069</v>
      </c>
      <c r="E19" t="s">
        <v>14070</v>
      </c>
      <c r="F19" t="s">
        <v>11504</v>
      </c>
    </row>
    <row r="20" spans="1:6">
      <c r="A20" t="s">
        <v>13401</v>
      </c>
      <c r="B20" t="s">
        <v>1987</v>
      </c>
      <c r="C20" t="s">
        <v>14071</v>
      </c>
      <c r="D20" t="s">
        <v>14072</v>
      </c>
      <c r="E20" t="s">
        <v>14073</v>
      </c>
      <c r="F20" t="s">
        <v>11504</v>
      </c>
    </row>
    <row r="21" spans="1:6">
      <c r="A21" t="s">
        <v>13404</v>
      </c>
      <c r="B21" t="s">
        <v>2145</v>
      </c>
      <c r="C21" t="s">
        <v>14074</v>
      </c>
      <c r="D21" t="s">
        <v>14075</v>
      </c>
      <c r="E21" t="s">
        <v>14076</v>
      </c>
      <c r="F21" t="s">
        <v>11504</v>
      </c>
    </row>
    <row r="22" spans="1:6">
      <c r="A22" t="s">
        <v>13407</v>
      </c>
      <c r="B22" t="s">
        <v>2986</v>
      </c>
      <c r="C22" t="s">
        <v>2174</v>
      </c>
      <c r="D22" t="s">
        <v>14077</v>
      </c>
      <c r="E22" t="s">
        <v>14078</v>
      </c>
      <c r="F22" t="s">
        <v>11504</v>
      </c>
    </row>
    <row r="23" spans="1:6">
      <c r="A23" t="s">
        <v>13410</v>
      </c>
      <c r="B23" t="s">
        <v>1987</v>
      </c>
      <c r="C23" t="s">
        <v>12898</v>
      </c>
      <c r="D23" t="s">
        <v>14079</v>
      </c>
      <c r="E23" t="s">
        <v>14080</v>
      </c>
      <c r="F23" t="s">
        <v>11504</v>
      </c>
    </row>
    <row r="24" spans="1:6">
      <c r="A24" t="s">
        <v>13413</v>
      </c>
      <c r="B24" t="s">
        <v>1987</v>
      </c>
      <c r="C24" t="s">
        <v>14081</v>
      </c>
      <c r="D24" t="s">
        <v>14082</v>
      </c>
      <c r="E24" t="s">
        <v>14083</v>
      </c>
      <c r="F24" t="s">
        <v>11504</v>
      </c>
    </row>
    <row r="25" spans="1:6">
      <c r="A25" t="s">
        <v>13416</v>
      </c>
      <c r="B25" t="s">
        <v>1859</v>
      </c>
      <c r="C25" t="s">
        <v>14084</v>
      </c>
      <c r="D25" t="s">
        <v>14085</v>
      </c>
      <c r="E25" t="s">
        <v>14086</v>
      </c>
      <c r="F25" t="s">
        <v>11504</v>
      </c>
    </row>
    <row r="26" spans="1:6">
      <c r="A26" t="s">
        <v>13419</v>
      </c>
      <c r="B26" t="s">
        <v>2145</v>
      </c>
      <c r="C26" t="s">
        <v>14087</v>
      </c>
      <c r="D26" t="s">
        <v>14088</v>
      </c>
      <c r="E26" t="s">
        <v>14089</v>
      </c>
      <c r="F26" t="s">
        <v>11504</v>
      </c>
    </row>
    <row r="27" spans="1:6">
      <c r="A27" t="s">
        <v>13422</v>
      </c>
      <c r="B27" t="s">
        <v>2145</v>
      </c>
      <c r="C27" t="s">
        <v>14090</v>
      </c>
      <c r="D27" t="s">
        <v>14091</v>
      </c>
      <c r="E27" t="s">
        <v>14089</v>
      </c>
      <c r="F27" t="s">
        <v>11504</v>
      </c>
    </row>
    <row r="28" spans="1:6">
      <c r="A28" t="s">
        <v>13425</v>
      </c>
      <c r="B28" t="s">
        <v>1666</v>
      </c>
      <c r="C28" t="s">
        <v>14092</v>
      </c>
      <c r="D28" t="s">
        <v>14093</v>
      </c>
      <c r="E28" t="s">
        <v>14094</v>
      </c>
      <c r="F28" t="s">
        <v>11504</v>
      </c>
    </row>
    <row r="29" spans="1:6">
      <c r="A29" t="s">
        <v>13428</v>
      </c>
      <c r="B29" t="s">
        <v>1666</v>
      </c>
      <c r="C29" t="s">
        <v>14095</v>
      </c>
      <c r="D29" t="s">
        <v>14096</v>
      </c>
      <c r="E29" t="s">
        <v>14097</v>
      </c>
      <c r="F29" t="s">
        <v>11504</v>
      </c>
    </row>
    <row r="30" spans="1:6">
      <c r="A30" t="s">
        <v>13431</v>
      </c>
      <c r="B30" t="s">
        <v>1259</v>
      </c>
      <c r="C30" t="s">
        <v>619</v>
      </c>
      <c r="D30" t="s">
        <v>14098</v>
      </c>
      <c r="E30" t="s">
        <v>14099</v>
      </c>
      <c r="F30" t="s">
        <v>11504</v>
      </c>
    </row>
    <row r="31" spans="1:6">
      <c r="A31" t="s">
        <v>13434</v>
      </c>
      <c r="B31" t="s">
        <v>1259</v>
      </c>
      <c r="C31" t="s">
        <v>14100</v>
      </c>
      <c r="D31" t="s">
        <v>14101</v>
      </c>
      <c r="E31" t="s">
        <v>14102</v>
      </c>
      <c r="F31" t="s">
        <v>11504</v>
      </c>
    </row>
    <row r="32" spans="1:6">
      <c r="A32" t="s">
        <v>13437</v>
      </c>
      <c r="B32" t="s">
        <v>1259</v>
      </c>
      <c r="C32" t="s">
        <v>14103</v>
      </c>
      <c r="D32" t="s">
        <v>14104</v>
      </c>
      <c r="E32" t="s">
        <v>14105</v>
      </c>
      <c r="F32" t="s">
        <v>11504</v>
      </c>
    </row>
    <row r="33" spans="1:6">
      <c r="A33" t="s">
        <v>13440</v>
      </c>
      <c r="B33" t="s">
        <v>1987</v>
      </c>
      <c r="C33" t="s">
        <v>14106</v>
      </c>
      <c r="D33" t="s">
        <v>14107</v>
      </c>
      <c r="E33" t="s">
        <v>14108</v>
      </c>
      <c r="F33" t="s">
        <v>11504</v>
      </c>
    </row>
    <row r="34" spans="1:6">
      <c r="A34" t="s">
        <v>13443</v>
      </c>
      <c r="B34" t="s">
        <v>2824</v>
      </c>
      <c r="C34" t="s">
        <v>14109</v>
      </c>
      <c r="D34" t="s">
        <v>14110</v>
      </c>
      <c r="E34" t="s">
        <v>14111</v>
      </c>
      <c r="F34" t="s">
        <v>11504</v>
      </c>
    </row>
    <row r="35" spans="1:6">
      <c r="A35" t="s">
        <v>13446</v>
      </c>
      <c r="B35" t="s">
        <v>1401</v>
      </c>
      <c r="C35" t="s">
        <v>14112</v>
      </c>
      <c r="D35" t="s">
        <v>14113</v>
      </c>
      <c r="E35" t="s">
        <v>14114</v>
      </c>
      <c r="F35" t="s">
        <v>11504</v>
      </c>
    </row>
    <row r="36" spans="1:6">
      <c r="A36" t="s">
        <v>13449</v>
      </c>
      <c r="B36" t="s">
        <v>1401</v>
      </c>
      <c r="C36" t="s">
        <v>14115</v>
      </c>
      <c r="D36" t="s">
        <v>14116</v>
      </c>
      <c r="E36" t="s">
        <v>14117</v>
      </c>
      <c r="F36" t="s">
        <v>11504</v>
      </c>
    </row>
    <row r="37" spans="1:6">
      <c r="A37" t="s">
        <v>13452</v>
      </c>
      <c r="B37" t="s">
        <v>2986</v>
      </c>
      <c r="C37" t="s">
        <v>14118</v>
      </c>
      <c r="D37" t="s">
        <v>14119</v>
      </c>
      <c r="E37" t="s">
        <v>14120</v>
      </c>
      <c r="F37" t="s">
        <v>11504</v>
      </c>
    </row>
    <row r="38" spans="1:6">
      <c r="A38" t="s">
        <v>12266</v>
      </c>
      <c r="B38" t="s">
        <v>12605</v>
      </c>
      <c r="C38" t="s">
        <v>14121</v>
      </c>
      <c r="D38" t="s">
        <v>14122</v>
      </c>
      <c r="E38" t="s">
        <v>14123</v>
      </c>
      <c r="F38" t="s">
        <v>11504</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K99"/>
  <sheetViews>
    <sheetView showGridLines="0" workbookViewId="0">
      <pane ySplit="1" topLeftCell="A2" activePane="bottomLeft" state="frozen"/>
      <selection pane="bottomLeft"/>
    </sheetView>
  </sheetViews>
  <sheetFormatPr defaultRowHeight="14.15"/>
  <cols>
    <col min="1" max="11" width="24" customWidth="1"/>
  </cols>
  <sheetData>
    <row r="1" spans="1:11">
      <c r="A1" t="s">
        <v>14124</v>
      </c>
      <c r="B1" t="s">
        <v>764</v>
      </c>
      <c r="C1" t="s">
        <v>768</v>
      </c>
      <c r="D1" t="s">
        <v>13334</v>
      </c>
      <c r="E1" t="s">
        <v>14125</v>
      </c>
      <c r="F1" t="s">
        <v>11628</v>
      </c>
      <c r="G1" t="s">
        <v>273</v>
      </c>
      <c r="H1" t="s">
        <v>14126</v>
      </c>
      <c r="I1" t="s">
        <v>11627</v>
      </c>
      <c r="J1" t="s">
        <v>13342</v>
      </c>
      <c r="K1" t="s">
        <v>744</v>
      </c>
    </row>
    <row r="2" spans="1:11">
      <c r="A2" t="s">
        <v>14127</v>
      </c>
      <c r="B2" t="s">
        <v>2729</v>
      </c>
      <c r="D2" t="s">
        <v>13374</v>
      </c>
      <c r="E2" t="s">
        <v>14128</v>
      </c>
      <c r="F2" t="s">
        <v>14129</v>
      </c>
      <c r="G2" t="s">
        <v>280</v>
      </c>
      <c r="H2" t="s">
        <v>14130</v>
      </c>
      <c r="I2" t="s">
        <v>11504</v>
      </c>
      <c r="J2" t="s">
        <v>14131</v>
      </c>
    </row>
    <row r="3" spans="1:11">
      <c r="A3" t="s">
        <v>14132</v>
      </c>
      <c r="B3" t="s">
        <v>2729</v>
      </c>
      <c r="C3" t="s">
        <v>2739</v>
      </c>
      <c r="D3" t="s">
        <v>13377</v>
      </c>
      <c r="E3" t="s">
        <v>14133</v>
      </c>
      <c r="F3" t="s">
        <v>14134</v>
      </c>
      <c r="G3" t="s">
        <v>280</v>
      </c>
      <c r="H3" t="s">
        <v>14135</v>
      </c>
      <c r="I3" t="s">
        <v>11504</v>
      </c>
      <c r="J3" t="s">
        <v>14136</v>
      </c>
    </row>
    <row r="4" spans="1:11">
      <c r="A4" t="s">
        <v>14137</v>
      </c>
      <c r="B4" t="s">
        <v>2729</v>
      </c>
      <c r="C4" t="s">
        <v>677</v>
      </c>
      <c r="D4" t="s">
        <v>13359</v>
      </c>
      <c r="E4" t="s">
        <v>14133</v>
      </c>
      <c r="F4" t="s">
        <v>14134</v>
      </c>
      <c r="G4" t="s">
        <v>275</v>
      </c>
      <c r="H4" t="s">
        <v>14138</v>
      </c>
      <c r="I4" t="s">
        <v>11504</v>
      </c>
      <c r="J4" t="s">
        <v>14139</v>
      </c>
    </row>
    <row r="5" spans="1:11">
      <c r="A5" t="s">
        <v>14140</v>
      </c>
      <c r="B5" t="s">
        <v>2729</v>
      </c>
      <c r="C5" t="s">
        <v>2751</v>
      </c>
      <c r="D5" t="s">
        <v>13350</v>
      </c>
      <c r="E5" t="s">
        <v>14133</v>
      </c>
      <c r="F5" t="s">
        <v>14134</v>
      </c>
      <c r="G5" t="s">
        <v>275</v>
      </c>
      <c r="H5" t="s">
        <v>14141</v>
      </c>
      <c r="I5" t="s">
        <v>11504</v>
      </c>
      <c r="J5" t="s">
        <v>14142</v>
      </c>
    </row>
    <row r="6" spans="1:11">
      <c r="A6" t="s">
        <v>14143</v>
      </c>
      <c r="B6" t="s">
        <v>2729</v>
      </c>
      <c r="C6" t="s">
        <v>2747</v>
      </c>
      <c r="D6" t="s">
        <v>13350</v>
      </c>
      <c r="E6" t="s">
        <v>14133</v>
      </c>
      <c r="F6" t="s">
        <v>14134</v>
      </c>
      <c r="G6" t="s">
        <v>275</v>
      </c>
      <c r="H6" t="s">
        <v>14144</v>
      </c>
      <c r="I6" t="s">
        <v>11504</v>
      </c>
      <c r="J6" t="s">
        <v>14145</v>
      </c>
    </row>
    <row r="7" spans="1:11">
      <c r="A7" t="s">
        <v>14146</v>
      </c>
      <c r="B7" t="s">
        <v>2729</v>
      </c>
      <c r="C7" t="s">
        <v>2743</v>
      </c>
      <c r="D7" t="s">
        <v>13350</v>
      </c>
      <c r="E7" t="s">
        <v>14133</v>
      </c>
      <c r="F7" t="s">
        <v>14134</v>
      </c>
      <c r="G7" t="s">
        <v>275</v>
      </c>
      <c r="H7" t="s">
        <v>14147</v>
      </c>
      <c r="I7" t="s">
        <v>11504</v>
      </c>
      <c r="J7" t="s">
        <v>14148</v>
      </c>
    </row>
    <row r="8" spans="1:11">
      <c r="A8" t="s">
        <v>14149</v>
      </c>
      <c r="B8" t="s">
        <v>815</v>
      </c>
      <c r="D8" t="s">
        <v>13440</v>
      </c>
      <c r="E8" t="s">
        <v>14128</v>
      </c>
      <c r="F8" t="s">
        <v>14129</v>
      </c>
      <c r="G8" t="s">
        <v>280</v>
      </c>
      <c r="H8" t="s">
        <v>14150</v>
      </c>
      <c r="I8" t="s">
        <v>11504</v>
      </c>
      <c r="J8" t="s">
        <v>14151</v>
      </c>
      <c r="K8" t="s">
        <v>14152</v>
      </c>
    </row>
    <row r="9" spans="1:11">
      <c r="A9" t="s">
        <v>14153</v>
      </c>
      <c r="B9" t="s">
        <v>815</v>
      </c>
      <c r="C9" t="s">
        <v>817</v>
      </c>
      <c r="D9" t="s">
        <v>13440</v>
      </c>
      <c r="E9" t="s">
        <v>14133</v>
      </c>
      <c r="F9" t="s">
        <v>14134</v>
      </c>
      <c r="G9" t="s">
        <v>280</v>
      </c>
      <c r="H9" t="s">
        <v>14154</v>
      </c>
      <c r="I9" t="s">
        <v>11504</v>
      </c>
      <c r="J9" t="s">
        <v>14155</v>
      </c>
      <c r="K9" t="s">
        <v>14152</v>
      </c>
    </row>
    <row r="10" spans="1:11">
      <c r="A10" t="s">
        <v>14156</v>
      </c>
      <c r="B10" t="s">
        <v>815</v>
      </c>
      <c r="C10" t="s">
        <v>843</v>
      </c>
      <c r="D10" t="s">
        <v>13440</v>
      </c>
      <c r="E10" t="s">
        <v>14133</v>
      </c>
      <c r="F10" t="s">
        <v>14134</v>
      </c>
      <c r="G10" t="s">
        <v>280</v>
      </c>
      <c r="H10" t="s">
        <v>14157</v>
      </c>
      <c r="I10" t="s">
        <v>11504</v>
      </c>
      <c r="J10" t="s">
        <v>14158</v>
      </c>
      <c r="K10" t="s">
        <v>14152</v>
      </c>
    </row>
    <row r="11" spans="1:11">
      <c r="A11" t="s">
        <v>14159</v>
      </c>
      <c r="B11" t="s">
        <v>815</v>
      </c>
      <c r="C11" t="s">
        <v>839</v>
      </c>
      <c r="D11" t="s">
        <v>13437</v>
      </c>
      <c r="E11" t="s">
        <v>14133</v>
      </c>
      <c r="F11" t="s">
        <v>14134</v>
      </c>
      <c r="G11" t="s">
        <v>280</v>
      </c>
      <c r="H11" t="s">
        <v>14160</v>
      </c>
      <c r="I11" t="s">
        <v>11504</v>
      </c>
      <c r="J11" t="s">
        <v>14161</v>
      </c>
      <c r="K11" t="s">
        <v>14152</v>
      </c>
    </row>
    <row r="12" spans="1:11">
      <c r="A12" t="s">
        <v>14162</v>
      </c>
      <c r="B12" t="s">
        <v>2986</v>
      </c>
      <c r="D12" t="s">
        <v>13356</v>
      </c>
      <c r="E12" t="s">
        <v>14128</v>
      </c>
      <c r="F12" t="s">
        <v>14129</v>
      </c>
      <c r="G12" t="s">
        <v>280</v>
      </c>
      <c r="H12" t="s">
        <v>14163</v>
      </c>
      <c r="I12" t="s">
        <v>11504</v>
      </c>
      <c r="J12" t="s">
        <v>14164</v>
      </c>
    </row>
    <row r="13" spans="1:11">
      <c r="A13" t="s">
        <v>14165</v>
      </c>
      <c r="B13" t="s">
        <v>2986</v>
      </c>
      <c r="C13" t="s">
        <v>3027</v>
      </c>
      <c r="D13" t="s">
        <v>13452</v>
      </c>
      <c r="E13" t="s">
        <v>14133</v>
      </c>
      <c r="F13" t="s">
        <v>14134</v>
      </c>
      <c r="G13" t="s">
        <v>280</v>
      </c>
      <c r="H13" t="s">
        <v>14166</v>
      </c>
      <c r="I13" t="s">
        <v>11504</v>
      </c>
      <c r="J13" t="s">
        <v>14167</v>
      </c>
      <c r="K13" t="s">
        <v>14152</v>
      </c>
    </row>
    <row r="14" spans="1:11">
      <c r="A14" t="s">
        <v>14168</v>
      </c>
      <c r="B14" t="s">
        <v>2986</v>
      </c>
      <c r="C14" t="s">
        <v>3023</v>
      </c>
      <c r="D14" t="s">
        <v>13365</v>
      </c>
      <c r="E14" t="s">
        <v>14133</v>
      </c>
      <c r="F14" t="s">
        <v>14134</v>
      </c>
      <c r="G14" t="s">
        <v>280</v>
      </c>
      <c r="H14" t="s">
        <v>14169</v>
      </c>
      <c r="I14" t="s">
        <v>11504</v>
      </c>
      <c r="J14" t="s">
        <v>14170</v>
      </c>
      <c r="K14" t="s">
        <v>14152</v>
      </c>
    </row>
    <row r="15" spans="1:11">
      <c r="A15" t="s">
        <v>14171</v>
      </c>
      <c r="B15" t="s">
        <v>2986</v>
      </c>
      <c r="C15" t="s">
        <v>3003</v>
      </c>
      <c r="D15" t="s">
        <v>13359</v>
      </c>
      <c r="E15" t="s">
        <v>14133</v>
      </c>
      <c r="F15" t="s">
        <v>14134</v>
      </c>
      <c r="G15" t="s">
        <v>280</v>
      </c>
      <c r="H15" t="s">
        <v>14172</v>
      </c>
      <c r="I15" t="s">
        <v>11504</v>
      </c>
      <c r="J15" t="s">
        <v>14173</v>
      </c>
      <c r="K15" t="s">
        <v>14152</v>
      </c>
    </row>
    <row r="16" spans="1:11">
      <c r="A16" t="s">
        <v>14174</v>
      </c>
      <c r="B16" t="s">
        <v>2986</v>
      </c>
      <c r="C16" t="s">
        <v>3031</v>
      </c>
      <c r="D16" t="s">
        <v>13368</v>
      </c>
      <c r="E16" t="s">
        <v>14133</v>
      </c>
      <c r="F16" t="s">
        <v>14134</v>
      </c>
      <c r="G16" t="s">
        <v>280</v>
      </c>
      <c r="H16" t="s">
        <v>14175</v>
      </c>
      <c r="I16" t="s">
        <v>11504</v>
      </c>
      <c r="J16" t="s">
        <v>14176</v>
      </c>
      <c r="K16" t="s">
        <v>14152</v>
      </c>
    </row>
    <row r="17" spans="1:11">
      <c r="A17" t="s">
        <v>14177</v>
      </c>
      <c r="B17" t="s">
        <v>2986</v>
      </c>
      <c r="C17" t="s">
        <v>3013</v>
      </c>
      <c r="D17" t="s">
        <v>13362</v>
      </c>
      <c r="E17" t="s">
        <v>14133</v>
      </c>
      <c r="F17" t="s">
        <v>14134</v>
      </c>
      <c r="G17" t="s">
        <v>280</v>
      </c>
      <c r="H17" t="s">
        <v>14178</v>
      </c>
      <c r="I17" t="s">
        <v>11504</v>
      </c>
      <c r="J17" t="s">
        <v>14179</v>
      </c>
      <c r="K17" t="s">
        <v>14152</v>
      </c>
    </row>
    <row r="18" spans="1:11">
      <c r="A18" t="s">
        <v>14180</v>
      </c>
      <c r="B18" t="s">
        <v>2986</v>
      </c>
      <c r="C18" t="s">
        <v>2988</v>
      </c>
      <c r="D18" t="s">
        <v>13356</v>
      </c>
      <c r="E18" t="s">
        <v>14133</v>
      </c>
      <c r="F18" t="s">
        <v>14134</v>
      </c>
      <c r="G18" t="s">
        <v>280</v>
      </c>
      <c r="H18" t="s">
        <v>14181</v>
      </c>
      <c r="I18" t="s">
        <v>11504</v>
      </c>
      <c r="J18" t="s">
        <v>14182</v>
      </c>
      <c r="K18" t="s">
        <v>14152</v>
      </c>
    </row>
    <row r="19" spans="1:11">
      <c r="A19" t="s">
        <v>14183</v>
      </c>
      <c r="B19" t="s">
        <v>2824</v>
      </c>
      <c r="D19" t="s">
        <v>13371</v>
      </c>
      <c r="E19" t="s">
        <v>14128</v>
      </c>
      <c r="F19" t="s">
        <v>14129</v>
      </c>
      <c r="G19" t="s">
        <v>280</v>
      </c>
      <c r="H19" t="s">
        <v>14184</v>
      </c>
      <c r="I19" t="s">
        <v>11504</v>
      </c>
      <c r="J19" t="s">
        <v>14185</v>
      </c>
    </row>
    <row r="20" spans="1:11">
      <c r="A20" t="s">
        <v>14186</v>
      </c>
      <c r="B20" t="s">
        <v>2824</v>
      </c>
      <c r="C20" t="s">
        <v>2859</v>
      </c>
      <c r="D20" t="s">
        <v>13443</v>
      </c>
      <c r="E20" t="s">
        <v>14133</v>
      </c>
      <c r="F20" t="s">
        <v>14134</v>
      </c>
      <c r="G20" t="s">
        <v>280</v>
      </c>
      <c r="H20" t="s">
        <v>14187</v>
      </c>
      <c r="I20" t="s">
        <v>11504</v>
      </c>
      <c r="J20" t="s">
        <v>14188</v>
      </c>
      <c r="K20" t="s">
        <v>14152</v>
      </c>
    </row>
    <row r="21" spans="1:11">
      <c r="A21" t="s">
        <v>14189</v>
      </c>
      <c r="B21" t="s">
        <v>2824</v>
      </c>
      <c r="C21" t="s">
        <v>2845</v>
      </c>
      <c r="D21" t="s">
        <v>13371</v>
      </c>
      <c r="E21" t="s">
        <v>14133</v>
      </c>
      <c r="F21" t="s">
        <v>14134</v>
      </c>
      <c r="G21" t="s">
        <v>280</v>
      </c>
      <c r="H21" t="s">
        <v>14190</v>
      </c>
      <c r="I21" t="s">
        <v>11504</v>
      </c>
      <c r="J21" t="s">
        <v>14191</v>
      </c>
      <c r="K21" t="s">
        <v>14152</v>
      </c>
    </row>
    <row r="22" spans="1:11">
      <c r="A22" t="s">
        <v>14192</v>
      </c>
      <c r="B22" t="s">
        <v>2824</v>
      </c>
      <c r="C22" t="s">
        <v>2835</v>
      </c>
      <c r="D22" t="s">
        <v>13371</v>
      </c>
      <c r="E22" t="s">
        <v>14133</v>
      </c>
      <c r="F22" t="s">
        <v>14134</v>
      </c>
      <c r="G22" t="s">
        <v>280</v>
      </c>
      <c r="H22" t="s">
        <v>14193</v>
      </c>
      <c r="I22" t="s">
        <v>11504</v>
      </c>
      <c r="J22" t="s">
        <v>14194</v>
      </c>
      <c r="K22" t="s">
        <v>14152</v>
      </c>
    </row>
    <row r="23" spans="1:11">
      <c r="A23" t="s">
        <v>14195</v>
      </c>
      <c r="B23" t="s">
        <v>2824</v>
      </c>
      <c r="C23" t="s">
        <v>2826</v>
      </c>
      <c r="D23" t="s">
        <v>13371</v>
      </c>
      <c r="E23" t="s">
        <v>14133</v>
      </c>
      <c r="F23" t="s">
        <v>14134</v>
      </c>
      <c r="G23" t="s">
        <v>280</v>
      </c>
      <c r="H23" t="s">
        <v>14196</v>
      </c>
      <c r="I23" t="s">
        <v>11504</v>
      </c>
      <c r="J23" t="s">
        <v>14197</v>
      </c>
      <c r="K23" t="s">
        <v>14152</v>
      </c>
    </row>
    <row r="24" spans="1:11">
      <c r="A24" t="s">
        <v>14198</v>
      </c>
      <c r="B24" t="s">
        <v>2824</v>
      </c>
      <c r="C24" t="s">
        <v>2855</v>
      </c>
      <c r="D24" t="s">
        <v>13371</v>
      </c>
      <c r="E24" t="s">
        <v>14133</v>
      </c>
      <c r="F24" t="s">
        <v>14134</v>
      </c>
      <c r="G24" t="s">
        <v>280</v>
      </c>
      <c r="H24" t="s">
        <v>14199</v>
      </c>
      <c r="I24" t="s">
        <v>11504</v>
      </c>
      <c r="J24" t="s">
        <v>14200</v>
      </c>
      <c r="K24" t="s">
        <v>14152</v>
      </c>
    </row>
    <row r="25" spans="1:11">
      <c r="A25" t="s">
        <v>14201</v>
      </c>
      <c r="B25" t="s">
        <v>1859</v>
      </c>
      <c r="D25" t="s">
        <v>13416</v>
      </c>
      <c r="E25" t="s">
        <v>14128</v>
      </c>
      <c r="F25" t="s">
        <v>14129</v>
      </c>
      <c r="G25" t="s">
        <v>280</v>
      </c>
      <c r="H25" t="s">
        <v>14202</v>
      </c>
      <c r="I25" t="s">
        <v>11504</v>
      </c>
      <c r="J25" t="s">
        <v>14203</v>
      </c>
    </row>
    <row r="26" spans="1:11">
      <c r="A26" t="s">
        <v>14204</v>
      </c>
      <c r="B26" t="s">
        <v>1859</v>
      </c>
      <c r="C26" t="s">
        <v>1870</v>
      </c>
      <c r="D26" t="s">
        <v>13362</v>
      </c>
      <c r="E26" t="s">
        <v>14133</v>
      </c>
      <c r="F26" t="s">
        <v>14134</v>
      </c>
      <c r="G26" t="s">
        <v>275</v>
      </c>
      <c r="H26" t="s">
        <v>14205</v>
      </c>
      <c r="I26" t="s">
        <v>11504</v>
      </c>
      <c r="J26" t="s">
        <v>14206</v>
      </c>
    </row>
    <row r="27" spans="1:11">
      <c r="A27" t="s">
        <v>14207</v>
      </c>
      <c r="B27" t="s">
        <v>1859</v>
      </c>
      <c r="C27" t="s">
        <v>1861</v>
      </c>
      <c r="D27" t="s">
        <v>13353</v>
      </c>
      <c r="E27" t="s">
        <v>14133</v>
      </c>
      <c r="F27" t="s">
        <v>14134</v>
      </c>
      <c r="G27" t="s">
        <v>280</v>
      </c>
      <c r="H27" t="s">
        <v>14208</v>
      </c>
      <c r="I27" t="s">
        <v>11504</v>
      </c>
      <c r="J27" t="s">
        <v>14209</v>
      </c>
    </row>
    <row r="28" spans="1:11">
      <c r="A28" t="s">
        <v>14210</v>
      </c>
      <c r="B28" t="s">
        <v>1859</v>
      </c>
      <c r="C28" t="s">
        <v>1884</v>
      </c>
      <c r="D28" t="s">
        <v>13398</v>
      </c>
      <c r="E28" t="s">
        <v>14133</v>
      </c>
      <c r="F28" t="s">
        <v>14134</v>
      </c>
      <c r="G28" t="s">
        <v>275</v>
      </c>
      <c r="H28" t="s">
        <v>14211</v>
      </c>
      <c r="I28" t="s">
        <v>11504</v>
      </c>
      <c r="J28" t="s">
        <v>14212</v>
      </c>
    </row>
    <row r="29" spans="1:11">
      <c r="A29" t="s">
        <v>14213</v>
      </c>
      <c r="B29" t="s">
        <v>1859</v>
      </c>
      <c r="C29" t="s">
        <v>1880</v>
      </c>
      <c r="D29" t="s">
        <v>13413</v>
      </c>
      <c r="E29" t="s">
        <v>14133</v>
      </c>
      <c r="F29" t="s">
        <v>14134</v>
      </c>
      <c r="G29" t="s">
        <v>280</v>
      </c>
      <c r="H29" t="s">
        <v>14214</v>
      </c>
      <c r="I29" t="s">
        <v>11504</v>
      </c>
      <c r="J29" t="s">
        <v>14215</v>
      </c>
    </row>
    <row r="30" spans="1:11">
      <c r="A30" t="s">
        <v>14216</v>
      </c>
      <c r="B30" t="s">
        <v>1401</v>
      </c>
      <c r="D30" t="s">
        <v>13449</v>
      </c>
      <c r="E30" t="s">
        <v>14128</v>
      </c>
      <c r="F30" t="s">
        <v>14129</v>
      </c>
      <c r="G30" t="s">
        <v>280</v>
      </c>
      <c r="H30" t="s">
        <v>14217</v>
      </c>
      <c r="I30" t="s">
        <v>11504</v>
      </c>
      <c r="J30" t="s">
        <v>14218</v>
      </c>
    </row>
    <row r="31" spans="1:11">
      <c r="A31" t="s">
        <v>14219</v>
      </c>
      <c r="B31" t="s">
        <v>1401</v>
      </c>
      <c r="C31" t="s">
        <v>1412</v>
      </c>
      <c r="D31" t="s">
        <v>13389</v>
      </c>
      <c r="E31" t="s">
        <v>14133</v>
      </c>
      <c r="F31" t="s">
        <v>14134</v>
      </c>
      <c r="G31" t="s">
        <v>280</v>
      </c>
      <c r="H31" t="s">
        <v>14220</v>
      </c>
      <c r="I31" t="s">
        <v>11504</v>
      </c>
      <c r="J31" t="s">
        <v>14221</v>
      </c>
    </row>
    <row r="32" spans="1:11">
      <c r="A32" t="s">
        <v>14222</v>
      </c>
      <c r="B32" t="s">
        <v>1401</v>
      </c>
      <c r="C32" t="s">
        <v>1403</v>
      </c>
      <c r="D32" t="s">
        <v>13392</v>
      </c>
      <c r="E32" t="s">
        <v>14133</v>
      </c>
      <c r="F32" t="s">
        <v>14134</v>
      </c>
      <c r="G32" t="s">
        <v>280</v>
      </c>
      <c r="H32" t="s">
        <v>14223</v>
      </c>
      <c r="I32" t="s">
        <v>11504</v>
      </c>
      <c r="J32" t="s">
        <v>14224</v>
      </c>
    </row>
    <row r="33" spans="1:11">
      <c r="A33" t="s">
        <v>14225</v>
      </c>
      <c r="B33" t="s">
        <v>1401</v>
      </c>
      <c r="C33" t="s">
        <v>1422</v>
      </c>
      <c r="D33" t="s">
        <v>13392</v>
      </c>
      <c r="E33" t="s">
        <v>14133</v>
      </c>
      <c r="F33" t="s">
        <v>14134</v>
      </c>
      <c r="G33" t="s">
        <v>280</v>
      </c>
      <c r="H33" t="s">
        <v>14226</v>
      </c>
      <c r="I33" t="s">
        <v>11504</v>
      </c>
      <c r="J33" t="s">
        <v>14227</v>
      </c>
    </row>
    <row r="34" spans="1:11">
      <c r="A34" t="s">
        <v>14228</v>
      </c>
      <c r="B34" t="s">
        <v>1401</v>
      </c>
      <c r="C34" t="s">
        <v>1426</v>
      </c>
      <c r="D34" t="s">
        <v>13389</v>
      </c>
      <c r="E34" t="s">
        <v>14133</v>
      </c>
      <c r="F34" t="s">
        <v>14134</v>
      </c>
      <c r="G34" t="s">
        <v>280</v>
      </c>
      <c r="H34" t="s">
        <v>14229</v>
      </c>
      <c r="I34" t="s">
        <v>11504</v>
      </c>
      <c r="J34" t="s">
        <v>14230</v>
      </c>
    </row>
    <row r="35" spans="1:11">
      <c r="A35" t="s">
        <v>14231</v>
      </c>
      <c r="B35" t="s">
        <v>1150</v>
      </c>
      <c r="D35" t="s">
        <v>13371</v>
      </c>
      <c r="E35" t="s">
        <v>14128</v>
      </c>
      <c r="F35" t="s">
        <v>14129</v>
      </c>
      <c r="G35" t="s">
        <v>280</v>
      </c>
      <c r="H35" t="s">
        <v>14232</v>
      </c>
      <c r="I35" t="s">
        <v>11504</v>
      </c>
      <c r="J35" t="s">
        <v>14233</v>
      </c>
    </row>
    <row r="36" spans="1:11">
      <c r="A36" t="s">
        <v>14234</v>
      </c>
      <c r="B36" t="s">
        <v>1150</v>
      </c>
      <c r="C36" t="s">
        <v>1152</v>
      </c>
      <c r="D36" t="s">
        <v>13365</v>
      </c>
      <c r="E36" t="s">
        <v>14133</v>
      </c>
      <c r="F36" t="s">
        <v>14134</v>
      </c>
      <c r="G36" t="s">
        <v>280</v>
      </c>
      <c r="H36" t="s">
        <v>14235</v>
      </c>
      <c r="I36" t="s">
        <v>11504</v>
      </c>
      <c r="J36" t="s">
        <v>14236</v>
      </c>
      <c r="K36" t="s">
        <v>14152</v>
      </c>
    </row>
    <row r="37" spans="1:11">
      <c r="A37" t="s">
        <v>14237</v>
      </c>
      <c r="B37" t="s">
        <v>1150</v>
      </c>
      <c r="C37" t="s">
        <v>1165</v>
      </c>
      <c r="D37" t="s">
        <v>13365</v>
      </c>
      <c r="E37" t="s">
        <v>14133</v>
      </c>
      <c r="F37" t="s">
        <v>14134</v>
      </c>
      <c r="G37" t="s">
        <v>280</v>
      </c>
      <c r="H37" t="s">
        <v>14238</v>
      </c>
      <c r="I37" t="s">
        <v>11504</v>
      </c>
      <c r="J37" t="s">
        <v>14239</v>
      </c>
      <c r="K37" t="s">
        <v>14152</v>
      </c>
    </row>
    <row r="38" spans="1:11">
      <c r="A38" t="s">
        <v>14240</v>
      </c>
      <c r="B38" t="s">
        <v>1150</v>
      </c>
      <c r="C38" t="s">
        <v>1161</v>
      </c>
      <c r="D38" t="s">
        <v>13362</v>
      </c>
      <c r="E38" t="s">
        <v>14133</v>
      </c>
      <c r="F38" t="s">
        <v>14134</v>
      </c>
      <c r="G38" t="s">
        <v>280</v>
      </c>
      <c r="H38" t="s">
        <v>14241</v>
      </c>
      <c r="I38" t="s">
        <v>11504</v>
      </c>
      <c r="J38" t="s">
        <v>14242</v>
      </c>
      <c r="K38" t="s">
        <v>14152</v>
      </c>
    </row>
    <row r="39" spans="1:11">
      <c r="A39" t="s">
        <v>14243</v>
      </c>
      <c r="B39" t="s">
        <v>1259</v>
      </c>
      <c r="D39" t="s">
        <v>13431</v>
      </c>
      <c r="E39" t="s">
        <v>14128</v>
      </c>
      <c r="F39" t="s">
        <v>14129</v>
      </c>
      <c r="G39" t="s">
        <v>280</v>
      </c>
      <c r="H39" t="s">
        <v>14244</v>
      </c>
      <c r="I39" t="s">
        <v>11504</v>
      </c>
      <c r="J39" t="s">
        <v>14245</v>
      </c>
    </row>
    <row r="40" spans="1:11">
      <c r="A40" t="s">
        <v>14246</v>
      </c>
      <c r="B40" t="s">
        <v>1259</v>
      </c>
      <c r="C40" t="s">
        <v>1274</v>
      </c>
      <c r="D40" t="s">
        <v>13362</v>
      </c>
      <c r="E40" t="s">
        <v>14133</v>
      </c>
      <c r="F40" t="s">
        <v>14134</v>
      </c>
      <c r="G40" t="s">
        <v>275</v>
      </c>
      <c r="H40" t="s">
        <v>14247</v>
      </c>
      <c r="I40" t="s">
        <v>11504</v>
      </c>
      <c r="J40" t="s">
        <v>14248</v>
      </c>
    </row>
    <row r="41" spans="1:11">
      <c r="A41" t="s">
        <v>14249</v>
      </c>
      <c r="B41" t="s">
        <v>1259</v>
      </c>
      <c r="C41" t="s">
        <v>1278</v>
      </c>
      <c r="D41" t="s">
        <v>13431</v>
      </c>
      <c r="E41" t="s">
        <v>14133</v>
      </c>
      <c r="F41" t="s">
        <v>14134</v>
      </c>
      <c r="G41" t="s">
        <v>280</v>
      </c>
      <c r="H41" t="s">
        <v>14250</v>
      </c>
      <c r="I41" t="s">
        <v>11504</v>
      </c>
      <c r="J41" t="s">
        <v>14251</v>
      </c>
      <c r="K41" t="s">
        <v>14152</v>
      </c>
    </row>
    <row r="42" spans="1:11">
      <c r="A42" t="s">
        <v>14252</v>
      </c>
      <c r="B42" t="s">
        <v>1259</v>
      </c>
      <c r="C42" t="s">
        <v>1270</v>
      </c>
      <c r="D42" t="s">
        <v>13353</v>
      </c>
      <c r="E42" t="s">
        <v>14133</v>
      </c>
      <c r="F42" t="s">
        <v>14134</v>
      </c>
      <c r="G42" t="s">
        <v>280</v>
      </c>
      <c r="H42" t="s">
        <v>14253</v>
      </c>
      <c r="I42" t="s">
        <v>11504</v>
      </c>
      <c r="J42" t="s">
        <v>14254</v>
      </c>
    </row>
    <row r="43" spans="1:11">
      <c r="A43" t="s">
        <v>14255</v>
      </c>
      <c r="B43" t="s">
        <v>1259</v>
      </c>
      <c r="C43" t="s">
        <v>1261</v>
      </c>
      <c r="D43" t="s">
        <v>13362</v>
      </c>
      <c r="E43" t="s">
        <v>14133</v>
      </c>
      <c r="F43" t="s">
        <v>14134</v>
      </c>
      <c r="G43" t="s">
        <v>275</v>
      </c>
      <c r="H43" t="s">
        <v>14256</v>
      </c>
      <c r="I43" t="s">
        <v>11504</v>
      </c>
      <c r="J43" t="s">
        <v>14257</v>
      </c>
    </row>
    <row r="44" spans="1:11">
      <c r="A44" t="s">
        <v>14258</v>
      </c>
      <c r="B44" t="s">
        <v>2588</v>
      </c>
      <c r="D44" t="s">
        <v>13362</v>
      </c>
      <c r="E44" t="s">
        <v>14128</v>
      </c>
      <c r="F44" t="s">
        <v>14129</v>
      </c>
      <c r="G44" t="s">
        <v>275</v>
      </c>
      <c r="H44" t="s">
        <v>14259</v>
      </c>
      <c r="I44" t="s">
        <v>11504</v>
      </c>
      <c r="J44" t="s">
        <v>14260</v>
      </c>
    </row>
    <row r="45" spans="1:11">
      <c r="A45" t="s">
        <v>14261</v>
      </c>
      <c r="B45" t="s">
        <v>2588</v>
      </c>
      <c r="C45" t="s">
        <v>2599</v>
      </c>
      <c r="D45" t="s">
        <v>13359</v>
      </c>
      <c r="E45" t="s">
        <v>14133</v>
      </c>
      <c r="F45" t="s">
        <v>14134</v>
      </c>
      <c r="G45" t="s">
        <v>275</v>
      </c>
      <c r="H45" t="s">
        <v>14262</v>
      </c>
      <c r="I45" t="s">
        <v>11504</v>
      </c>
      <c r="J45" t="s">
        <v>14263</v>
      </c>
    </row>
    <row r="46" spans="1:11">
      <c r="A46" t="s">
        <v>14264</v>
      </c>
      <c r="B46" t="s">
        <v>2588</v>
      </c>
      <c r="C46" t="s">
        <v>2590</v>
      </c>
      <c r="D46" t="s">
        <v>13359</v>
      </c>
      <c r="E46" t="s">
        <v>14133</v>
      </c>
      <c r="F46" t="s">
        <v>14134</v>
      </c>
      <c r="G46" t="s">
        <v>275</v>
      </c>
      <c r="H46" t="s">
        <v>14265</v>
      </c>
      <c r="I46" t="s">
        <v>11504</v>
      </c>
      <c r="J46" t="s">
        <v>14266</v>
      </c>
    </row>
    <row r="47" spans="1:11">
      <c r="A47" t="s">
        <v>14267</v>
      </c>
      <c r="B47" t="s">
        <v>2588</v>
      </c>
      <c r="C47" t="s">
        <v>2613</v>
      </c>
      <c r="D47" t="s">
        <v>13362</v>
      </c>
      <c r="E47" t="s">
        <v>14133</v>
      </c>
      <c r="F47" t="s">
        <v>14134</v>
      </c>
      <c r="G47" t="s">
        <v>275</v>
      </c>
      <c r="H47" t="s">
        <v>14268</v>
      </c>
      <c r="I47" t="s">
        <v>11504</v>
      </c>
      <c r="J47" t="s">
        <v>14269</v>
      </c>
    </row>
    <row r="48" spans="1:11">
      <c r="A48" t="s">
        <v>14270</v>
      </c>
      <c r="B48" t="s">
        <v>2588</v>
      </c>
      <c r="C48" t="s">
        <v>2609</v>
      </c>
      <c r="D48" t="s">
        <v>13359</v>
      </c>
      <c r="E48" t="s">
        <v>14133</v>
      </c>
      <c r="F48" t="s">
        <v>14134</v>
      </c>
      <c r="G48" t="s">
        <v>275</v>
      </c>
      <c r="H48" t="s">
        <v>14271</v>
      </c>
      <c r="I48" t="s">
        <v>11504</v>
      </c>
      <c r="J48" t="s">
        <v>14272</v>
      </c>
    </row>
    <row r="49" spans="1:11">
      <c r="A49" t="s">
        <v>14273</v>
      </c>
      <c r="B49" t="s">
        <v>2588</v>
      </c>
      <c r="C49" t="s">
        <v>2623</v>
      </c>
      <c r="D49" t="s">
        <v>13362</v>
      </c>
      <c r="E49" t="s">
        <v>14133</v>
      </c>
      <c r="F49" t="s">
        <v>14134</v>
      </c>
      <c r="G49" t="s">
        <v>275</v>
      </c>
      <c r="H49" t="s">
        <v>14274</v>
      </c>
      <c r="I49" t="s">
        <v>11504</v>
      </c>
      <c r="J49" t="s">
        <v>14275</v>
      </c>
    </row>
    <row r="50" spans="1:11">
      <c r="A50" t="s">
        <v>14276</v>
      </c>
      <c r="B50" t="s">
        <v>1551</v>
      </c>
      <c r="D50" t="s">
        <v>13395</v>
      </c>
      <c r="E50" t="s">
        <v>14128</v>
      </c>
      <c r="F50" t="s">
        <v>14129</v>
      </c>
      <c r="G50" t="s">
        <v>280</v>
      </c>
      <c r="H50" t="s">
        <v>14277</v>
      </c>
      <c r="I50" t="s">
        <v>11504</v>
      </c>
      <c r="J50" t="s">
        <v>14278</v>
      </c>
    </row>
    <row r="51" spans="1:11">
      <c r="A51" t="s">
        <v>14279</v>
      </c>
      <c r="B51" t="s">
        <v>1551</v>
      </c>
      <c r="C51" t="s">
        <v>1553</v>
      </c>
      <c r="D51" t="s">
        <v>13389</v>
      </c>
      <c r="E51" t="s">
        <v>14133</v>
      </c>
      <c r="F51" t="s">
        <v>14134</v>
      </c>
      <c r="G51" t="s">
        <v>280</v>
      </c>
      <c r="H51" t="s">
        <v>14280</v>
      </c>
      <c r="I51" t="s">
        <v>11504</v>
      </c>
      <c r="J51" t="s">
        <v>14281</v>
      </c>
    </row>
    <row r="52" spans="1:11">
      <c r="A52" t="s">
        <v>14282</v>
      </c>
      <c r="B52" t="s">
        <v>1551</v>
      </c>
      <c r="C52" t="s">
        <v>1568</v>
      </c>
      <c r="D52" t="s">
        <v>13395</v>
      </c>
      <c r="E52" t="s">
        <v>14133</v>
      </c>
      <c r="F52" t="s">
        <v>14134</v>
      </c>
      <c r="G52" t="s">
        <v>280</v>
      </c>
      <c r="H52" t="s">
        <v>14283</v>
      </c>
      <c r="I52" t="s">
        <v>11504</v>
      </c>
      <c r="J52" t="s">
        <v>14284</v>
      </c>
    </row>
    <row r="53" spans="1:11">
      <c r="A53" t="s">
        <v>14285</v>
      </c>
      <c r="B53" t="s">
        <v>1551</v>
      </c>
      <c r="C53" t="s">
        <v>1572</v>
      </c>
      <c r="D53" t="s">
        <v>13395</v>
      </c>
      <c r="E53" t="s">
        <v>14133</v>
      </c>
      <c r="F53" t="s">
        <v>14134</v>
      </c>
      <c r="G53" t="s">
        <v>280</v>
      </c>
      <c r="H53" t="s">
        <v>14286</v>
      </c>
      <c r="I53" t="s">
        <v>11504</v>
      </c>
      <c r="J53" t="s">
        <v>14287</v>
      </c>
    </row>
    <row r="54" spans="1:11">
      <c r="A54" t="s">
        <v>14288</v>
      </c>
      <c r="B54" t="s">
        <v>1551</v>
      </c>
      <c r="C54" t="s">
        <v>1582</v>
      </c>
      <c r="D54" t="s">
        <v>13395</v>
      </c>
      <c r="E54" t="s">
        <v>14133</v>
      </c>
      <c r="F54" t="s">
        <v>14134</v>
      </c>
      <c r="G54" t="s">
        <v>280</v>
      </c>
      <c r="H54" t="s">
        <v>14289</v>
      </c>
      <c r="I54" t="s">
        <v>11504</v>
      </c>
      <c r="J54" t="s">
        <v>14290</v>
      </c>
    </row>
    <row r="55" spans="1:11">
      <c r="A55" t="s">
        <v>14291</v>
      </c>
      <c r="B55" t="s">
        <v>2145</v>
      </c>
      <c r="D55" t="s">
        <v>13404</v>
      </c>
      <c r="E55" t="s">
        <v>14128</v>
      </c>
      <c r="F55" t="s">
        <v>14129</v>
      </c>
      <c r="G55" t="s">
        <v>275</v>
      </c>
      <c r="H55" t="s">
        <v>14292</v>
      </c>
      <c r="I55" t="s">
        <v>11504</v>
      </c>
      <c r="J55" t="s">
        <v>14293</v>
      </c>
    </row>
    <row r="56" spans="1:11">
      <c r="A56" t="s">
        <v>14294</v>
      </c>
      <c r="B56" t="s">
        <v>2145</v>
      </c>
      <c r="C56" t="s">
        <v>2156</v>
      </c>
      <c r="D56" t="s">
        <v>13401</v>
      </c>
      <c r="E56" t="s">
        <v>14133</v>
      </c>
      <c r="F56" t="s">
        <v>14134</v>
      </c>
      <c r="G56" t="s">
        <v>275</v>
      </c>
      <c r="H56" t="s">
        <v>14295</v>
      </c>
      <c r="I56" t="s">
        <v>11504</v>
      </c>
      <c r="J56" t="s">
        <v>14296</v>
      </c>
    </row>
    <row r="57" spans="1:11">
      <c r="A57" t="s">
        <v>14297</v>
      </c>
      <c r="B57" t="s">
        <v>2145</v>
      </c>
      <c r="C57" t="s">
        <v>2166</v>
      </c>
      <c r="D57" t="s">
        <v>13362</v>
      </c>
      <c r="E57" t="s">
        <v>14133</v>
      </c>
      <c r="F57" t="s">
        <v>14134</v>
      </c>
      <c r="G57" t="s">
        <v>275</v>
      </c>
      <c r="H57" t="s">
        <v>14298</v>
      </c>
      <c r="I57" t="s">
        <v>11504</v>
      </c>
      <c r="J57" t="s">
        <v>14299</v>
      </c>
    </row>
    <row r="58" spans="1:11">
      <c r="A58" t="s">
        <v>14300</v>
      </c>
      <c r="B58" t="s">
        <v>2145</v>
      </c>
      <c r="C58" t="s">
        <v>2174</v>
      </c>
      <c r="D58" t="s">
        <v>13365</v>
      </c>
      <c r="E58" t="s">
        <v>14133</v>
      </c>
      <c r="F58" t="s">
        <v>14134</v>
      </c>
      <c r="G58" t="s">
        <v>275</v>
      </c>
      <c r="H58" t="s">
        <v>14301</v>
      </c>
      <c r="I58" t="s">
        <v>11504</v>
      </c>
      <c r="J58" t="s">
        <v>14302</v>
      </c>
    </row>
    <row r="59" spans="1:11">
      <c r="A59" t="s">
        <v>14303</v>
      </c>
      <c r="B59" t="s">
        <v>2145</v>
      </c>
      <c r="C59" t="s">
        <v>2147</v>
      </c>
      <c r="D59" t="s">
        <v>13419</v>
      </c>
      <c r="E59" t="s">
        <v>14133</v>
      </c>
      <c r="F59" t="s">
        <v>14134</v>
      </c>
      <c r="G59" t="s">
        <v>280</v>
      </c>
      <c r="H59" t="s">
        <v>14304</v>
      </c>
      <c r="I59" t="s">
        <v>11504</v>
      </c>
      <c r="J59" t="s">
        <v>14305</v>
      </c>
      <c r="K59" t="s">
        <v>14152</v>
      </c>
    </row>
    <row r="60" spans="1:11">
      <c r="A60" t="s">
        <v>14306</v>
      </c>
      <c r="B60" t="s">
        <v>2145</v>
      </c>
      <c r="C60" t="s">
        <v>2170</v>
      </c>
      <c r="D60" t="s">
        <v>13410</v>
      </c>
      <c r="E60" t="s">
        <v>14133</v>
      </c>
      <c r="F60" t="s">
        <v>14134</v>
      </c>
      <c r="G60" t="s">
        <v>280</v>
      </c>
      <c r="H60" t="s">
        <v>14307</v>
      </c>
      <c r="I60" t="s">
        <v>11504</v>
      </c>
      <c r="J60" t="s">
        <v>14308</v>
      </c>
    </row>
    <row r="61" spans="1:11">
      <c r="A61" t="s">
        <v>14309</v>
      </c>
      <c r="B61" t="s">
        <v>2473</v>
      </c>
      <c r="D61" t="s">
        <v>12266</v>
      </c>
      <c r="E61" t="s">
        <v>14128</v>
      </c>
      <c r="F61" t="s">
        <v>14129</v>
      </c>
      <c r="G61" t="s">
        <v>280</v>
      </c>
      <c r="H61" t="s">
        <v>14310</v>
      </c>
      <c r="I61" t="s">
        <v>11504</v>
      </c>
      <c r="J61" t="s">
        <v>14311</v>
      </c>
    </row>
    <row r="62" spans="1:11">
      <c r="A62" t="s">
        <v>14312</v>
      </c>
      <c r="B62" t="s">
        <v>2473</v>
      </c>
      <c r="C62" t="s">
        <v>2475</v>
      </c>
      <c r="D62" t="s">
        <v>13383</v>
      </c>
      <c r="E62" t="s">
        <v>14133</v>
      </c>
      <c r="F62" t="s">
        <v>14134</v>
      </c>
      <c r="G62" t="s">
        <v>280</v>
      </c>
      <c r="H62" t="s">
        <v>14313</v>
      </c>
      <c r="I62" t="s">
        <v>11504</v>
      </c>
      <c r="J62" t="s">
        <v>14314</v>
      </c>
      <c r="K62" t="s">
        <v>14152</v>
      </c>
    </row>
    <row r="63" spans="1:11">
      <c r="A63" t="s">
        <v>14315</v>
      </c>
      <c r="B63" t="s">
        <v>2473</v>
      </c>
      <c r="C63" t="s">
        <v>2490</v>
      </c>
      <c r="D63" t="s">
        <v>13383</v>
      </c>
      <c r="E63" t="s">
        <v>14133</v>
      </c>
      <c r="F63" t="s">
        <v>14134</v>
      </c>
      <c r="G63" t="s">
        <v>280</v>
      </c>
      <c r="H63" t="s">
        <v>14316</v>
      </c>
      <c r="I63" t="s">
        <v>11504</v>
      </c>
      <c r="J63" t="s">
        <v>14317</v>
      </c>
      <c r="K63" t="s">
        <v>14152</v>
      </c>
    </row>
    <row r="64" spans="1:11">
      <c r="A64" t="s">
        <v>14318</v>
      </c>
      <c r="B64" t="s">
        <v>2473</v>
      </c>
      <c r="C64" t="s">
        <v>2494</v>
      </c>
      <c r="D64" t="s">
        <v>13380</v>
      </c>
      <c r="E64" t="s">
        <v>14133</v>
      </c>
      <c r="F64" t="s">
        <v>14134</v>
      </c>
      <c r="G64" t="s">
        <v>280</v>
      </c>
      <c r="H64" t="s">
        <v>14319</v>
      </c>
      <c r="I64" t="s">
        <v>11504</v>
      </c>
      <c r="J64" t="s">
        <v>14320</v>
      </c>
      <c r="K64" t="s">
        <v>14152</v>
      </c>
    </row>
    <row r="65" spans="1:11">
      <c r="A65" t="s">
        <v>14321</v>
      </c>
      <c r="B65" t="s">
        <v>1666</v>
      </c>
      <c r="D65" t="s">
        <v>13425</v>
      </c>
      <c r="E65" t="s">
        <v>14128</v>
      </c>
      <c r="F65" t="s">
        <v>14129</v>
      </c>
      <c r="G65" t="s">
        <v>280</v>
      </c>
      <c r="H65" t="s">
        <v>14322</v>
      </c>
      <c r="I65" t="s">
        <v>11504</v>
      </c>
      <c r="J65" t="s">
        <v>14323</v>
      </c>
    </row>
    <row r="66" spans="1:11">
      <c r="A66" t="s">
        <v>14324</v>
      </c>
      <c r="B66" t="s">
        <v>1666</v>
      </c>
      <c r="C66" t="s">
        <v>1693</v>
      </c>
      <c r="D66" t="s">
        <v>13398</v>
      </c>
      <c r="E66" t="s">
        <v>14133</v>
      </c>
      <c r="F66" t="s">
        <v>14325</v>
      </c>
      <c r="G66" t="s">
        <v>275</v>
      </c>
      <c r="H66" t="s">
        <v>14326</v>
      </c>
      <c r="I66" t="s">
        <v>11504</v>
      </c>
      <c r="J66" t="s">
        <v>14327</v>
      </c>
    </row>
    <row r="67" spans="1:11">
      <c r="A67" t="s">
        <v>14328</v>
      </c>
      <c r="B67" t="s">
        <v>1666</v>
      </c>
      <c r="C67" t="s">
        <v>1681</v>
      </c>
      <c r="D67" t="s">
        <v>13404</v>
      </c>
      <c r="E67" t="s">
        <v>14133</v>
      </c>
      <c r="F67" t="s">
        <v>14134</v>
      </c>
      <c r="G67" t="s">
        <v>275</v>
      </c>
      <c r="H67" t="s">
        <v>14329</v>
      </c>
      <c r="I67" t="s">
        <v>11504</v>
      </c>
      <c r="J67" t="s">
        <v>14330</v>
      </c>
    </row>
    <row r="68" spans="1:11">
      <c r="A68" t="s">
        <v>14331</v>
      </c>
      <c r="B68" t="s">
        <v>1666</v>
      </c>
      <c r="C68" t="s">
        <v>1677</v>
      </c>
      <c r="D68" t="s">
        <v>13359</v>
      </c>
      <c r="E68" t="s">
        <v>14133</v>
      </c>
      <c r="F68" t="s">
        <v>14134</v>
      </c>
      <c r="G68" t="s">
        <v>275</v>
      </c>
      <c r="H68" t="s">
        <v>14332</v>
      </c>
      <c r="I68" t="s">
        <v>11504</v>
      </c>
      <c r="J68" t="s">
        <v>14333</v>
      </c>
    </row>
    <row r="69" spans="1:11">
      <c r="A69" t="s">
        <v>14334</v>
      </c>
      <c r="B69" t="s">
        <v>1666</v>
      </c>
      <c r="C69" t="s">
        <v>1668</v>
      </c>
      <c r="D69" t="s">
        <v>13425</v>
      </c>
      <c r="E69" t="s">
        <v>14133</v>
      </c>
      <c r="F69" t="s">
        <v>14134</v>
      </c>
      <c r="G69" t="s">
        <v>280</v>
      </c>
      <c r="H69" t="s">
        <v>14335</v>
      </c>
      <c r="I69" t="s">
        <v>11504</v>
      </c>
      <c r="J69" t="s">
        <v>14336</v>
      </c>
      <c r="K69" t="s">
        <v>14152</v>
      </c>
    </row>
    <row r="70" spans="1:11">
      <c r="A70" t="s">
        <v>14337</v>
      </c>
      <c r="B70" t="s">
        <v>1666</v>
      </c>
      <c r="C70" t="s">
        <v>1685</v>
      </c>
      <c r="D70" t="s">
        <v>13362</v>
      </c>
      <c r="E70" t="s">
        <v>14133</v>
      </c>
      <c r="F70" t="s">
        <v>14134</v>
      </c>
      <c r="G70" t="s">
        <v>275</v>
      </c>
      <c r="H70" t="s">
        <v>14338</v>
      </c>
      <c r="I70" t="s">
        <v>11504</v>
      </c>
      <c r="J70" t="s">
        <v>14339</v>
      </c>
    </row>
    <row r="71" spans="1:11">
      <c r="A71" t="s">
        <v>14340</v>
      </c>
      <c r="B71" t="s">
        <v>1666</v>
      </c>
      <c r="C71" t="s">
        <v>1689</v>
      </c>
      <c r="D71" t="s">
        <v>13362</v>
      </c>
      <c r="E71" t="s">
        <v>14133</v>
      </c>
      <c r="F71" t="s">
        <v>14134</v>
      </c>
      <c r="G71" t="s">
        <v>275</v>
      </c>
      <c r="H71" t="s">
        <v>14341</v>
      </c>
      <c r="I71" t="s">
        <v>11504</v>
      </c>
      <c r="J71" t="s">
        <v>14342</v>
      </c>
    </row>
    <row r="72" spans="1:11">
      <c r="A72" t="s">
        <v>14343</v>
      </c>
      <c r="B72" t="s">
        <v>3204</v>
      </c>
      <c r="D72" t="s">
        <v>13371</v>
      </c>
      <c r="E72" t="s">
        <v>14128</v>
      </c>
      <c r="F72" t="s">
        <v>14129</v>
      </c>
      <c r="G72" t="s">
        <v>280</v>
      </c>
      <c r="H72" t="s">
        <v>14344</v>
      </c>
      <c r="I72" t="s">
        <v>11504</v>
      </c>
      <c r="J72" t="s">
        <v>14345</v>
      </c>
    </row>
    <row r="73" spans="1:11">
      <c r="A73" t="s">
        <v>14346</v>
      </c>
      <c r="B73" t="s">
        <v>3204</v>
      </c>
      <c r="C73" t="s">
        <v>3235</v>
      </c>
      <c r="D73" t="s">
        <v>13374</v>
      </c>
      <c r="E73" t="s">
        <v>14133</v>
      </c>
      <c r="F73" t="s">
        <v>14134</v>
      </c>
      <c r="G73" t="s">
        <v>280</v>
      </c>
      <c r="H73" t="s">
        <v>14347</v>
      </c>
      <c r="I73" t="s">
        <v>11504</v>
      </c>
      <c r="J73" t="s">
        <v>14348</v>
      </c>
      <c r="K73" t="s">
        <v>14152</v>
      </c>
    </row>
    <row r="74" spans="1:11">
      <c r="A74" t="s">
        <v>14349</v>
      </c>
      <c r="B74" t="s">
        <v>3204</v>
      </c>
      <c r="C74" t="s">
        <v>3225</v>
      </c>
      <c r="D74" t="s">
        <v>13416</v>
      </c>
      <c r="E74" t="s">
        <v>14133</v>
      </c>
      <c r="F74" t="s">
        <v>14134</v>
      </c>
      <c r="G74" t="s">
        <v>280</v>
      </c>
      <c r="H74" t="s">
        <v>14350</v>
      </c>
      <c r="I74" t="s">
        <v>11504</v>
      </c>
      <c r="J74" t="s">
        <v>14351</v>
      </c>
      <c r="K74" t="s">
        <v>14152</v>
      </c>
    </row>
    <row r="75" spans="1:11">
      <c r="A75" t="s">
        <v>14352</v>
      </c>
      <c r="B75" t="s">
        <v>3204</v>
      </c>
      <c r="C75" t="s">
        <v>3206</v>
      </c>
      <c r="D75" t="s">
        <v>13416</v>
      </c>
      <c r="E75" t="s">
        <v>14133</v>
      </c>
      <c r="F75" t="s">
        <v>14134</v>
      </c>
      <c r="G75" t="s">
        <v>280</v>
      </c>
      <c r="H75" t="s">
        <v>14353</v>
      </c>
      <c r="I75" t="s">
        <v>11504</v>
      </c>
      <c r="J75" t="s">
        <v>14354</v>
      </c>
      <c r="K75" t="s">
        <v>14152</v>
      </c>
    </row>
    <row r="76" spans="1:11">
      <c r="A76" t="s">
        <v>14355</v>
      </c>
      <c r="B76" t="s">
        <v>3204</v>
      </c>
      <c r="C76" t="s">
        <v>3221</v>
      </c>
      <c r="D76" t="s">
        <v>13416</v>
      </c>
      <c r="E76" t="s">
        <v>14133</v>
      </c>
      <c r="F76" t="s">
        <v>14134</v>
      </c>
      <c r="G76" t="s">
        <v>280</v>
      </c>
      <c r="H76" t="s">
        <v>14356</v>
      </c>
      <c r="I76" t="s">
        <v>11504</v>
      </c>
      <c r="J76" t="s">
        <v>14357</v>
      </c>
      <c r="K76" t="s">
        <v>14152</v>
      </c>
    </row>
    <row r="77" spans="1:11">
      <c r="A77" t="s">
        <v>14358</v>
      </c>
      <c r="B77" t="s">
        <v>2286</v>
      </c>
      <c r="D77" t="s">
        <v>13380</v>
      </c>
      <c r="E77" t="s">
        <v>14128</v>
      </c>
      <c r="F77" t="s">
        <v>14129</v>
      </c>
      <c r="G77" t="s">
        <v>280</v>
      </c>
      <c r="H77" t="s">
        <v>14359</v>
      </c>
      <c r="I77" t="s">
        <v>11504</v>
      </c>
      <c r="J77" t="s">
        <v>14360</v>
      </c>
    </row>
    <row r="78" spans="1:11">
      <c r="A78" t="s">
        <v>14361</v>
      </c>
      <c r="B78" t="s">
        <v>2286</v>
      </c>
      <c r="C78" t="s">
        <v>2288</v>
      </c>
      <c r="D78" t="s">
        <v>13353</v>
      </c>
      <c r="E78" t="s">
        <v>14133</v>
      </c>
      <c r="F78" t="s">
        <v>14134</v>
      </c>
      <c r="G78" t="s">
        <v>280</v>
      </c>
      <c r="H78" t="s">
        <v>14362</v>
      </c>
      <c r="I78" t="s">
        <v>11504</v>
      </c>
      <c r="J78" t="s">
        <v>14363</v>
      </c>
    </row>
    <row r="79" spans="1:11">
      <c r="A79" t="s">
        <v>14364</v>
      </c>
      <c r="B79" t="s">
        <v>2286</v>
      </c>
      <c r="C79" t="s">
        <v>2319</v>
      </c>
      <c r="D79" t="s">
        <v>13389</v>
      </c>
      <c r="E79" t="s">
        <v>14133</v>
      </c>
      <c r="F79" t="s">
        <v>14134</v>
      </c>
      <c r="G79" t="s">
        <v>280</v>
      </c>
      <c r="H79" t="s">
        <v>14365</v>
      </c>
      <c r="I79" t="s">
        <v>11504</v>
      </c>
      <c r="J79" t="s">
        <v>14366</v>
      </c>
    </row>
    <row r="80" spans="1:11">
      <c r="A80" t="s">
        <v>14367</v>
      </c>
      <c r="B80" t="s">
        <v>2286</v>
      </c>
      <c r="C80" t="s">
        <v>2339</v>
      </c>
      <c r="D80" t="s">
        <v>13365</v>
      </c>
      <c r="E80" t="s">
        <v>14133</v>
      </c>
      <c r="F80" t="s">
        <v>14325</v>
      </c>
      <c r="G80" t="s">
        <v>275</v>
      </c>
      <c r="H80" t="s">
        <v>14368</v>
      </c>
      <c r="I80" t="s">
        <v>11504</v>
      </c>
      <c r="J80" t="s">
        <v>14369</v>
      </c>
    </row>
    <row r="81" spans="1:11">
      <c r="A81" t="s">
        <v>14370</v>
      </c>
      <c r="B81" t="s">
        <v>2286</v>
      </c>
      <c r="C81" t="s">
        <v>2309</v>
      </c>
      <c r="D81" t="s">
        <v>13350</v>
      </c>
      <c r="E81" t="s">
        <v>14133</v>
      </c>
      <c r="F81" t="s">
        <v>14134</v>
      </c>
      <c r="G81" t="s">
        <v>275</v>
      </c>
      <c r="H81" t="s">
        <v>14371</v>
      </c>
      <c r="I81" t="s">
        <v>11504</v>
      </c>
      <c r="J81" t="s">
        <v>14372</v>
      </c>
    </row>
    <row r="82" spans="1:11">
      <c r="A82" t="s">
        <v>14373</v>
      </c>
      <c r="B82" t="s">
        <v>2286</v>
      </c>
      <c r="C82" t="s">
        <v>2329</v>
      </c>
      <c r="D82" t="s">
        <v>13389</v>
      </c>
      <c r="E82" t="s">
        <v>14133</v>
      </c>
      <c r="F82" t="s">
        <v>14134</v>
      </c>
      <c r="G82" t="s">
        <v>280</v>
      </c>
      <c r="H82" t="s">
        <v>14374</v>
      </c>
      <c r="I82" t="s">
        <v>11504</v>
      </c>
      <c r="J82" t="s">
        <v>14375</v>
      </c>
    </row>
    <row r="83" spans="1:11">
      <c r="A83" t="s">
        <v>14376</v>
      </c>
      <c r="B83" t="s">
        <v>949</v>
      </c>
      <c r="D83" t="s">
        <v>12266</v>
      </c>
      <c r="E83" t="s">
        <v>14128</v>
      </c>
      <c r="F83" t="s">
        <v>14129</v>
      </c>
      <c r="G83" t="s">
        <v>280</v>
      </c>
      <c r="H83" t="s">
        <v>14377</v>
      </c>
      <c r="I83" t="s">
        <v>11504</v>
      </c>
      <c r="J83" t="s">
        <v>14378</v>
      </c>
    </row>
    <row r="84" spans="1:11">
      <c r="A84" t="s">
        <v>14379</v>
      </c>
      <c r="B84" t="s">
        <v>949</v>
      </c>
      <c r="C84" t="s">
        <v>951</v>
      </c>
      <c r="D84" t="s">
        <v>13362</v>
      </c>
      <c r="E84" t="s">
        <v>14133</v>
      </c>
      <c r="F84" t="s">
        <v>14134</v>
      </c>
      <c r="G84" t="s">
        <v>275</v>
      </c>
      <c r="H84" t="s">
        <v>14380</v>
      </c>
      <c r="I84" t="s">
        <v>11504</v>
      </c>
      <c r="J84" t="s">
        <v>14381</v>
      </c>
    </row>
    <row r="85" spans="1:11">
      <c r="A85" t="s">
        <v>14382</v>
      </c>
      <c r="B85" t="s">
        <v>949</v>
      </c>
      <c r="C85" t="s">
        <v>990</v>
      </c>
      <c r="D85" t="s">
        <v>13383</v>
      </c>
      <c r="E85" t="s">
        <v>14133</v>
      </c>
      <c r="F85" t="s">
        <v>14325</v>
      </c>
      <c r="G85" t="s">
        <v>280</v>
      </c>
      <c r="H85" t="s">
        <v>14383</v>
      </c>
      <c r="I85" t="s">
        <v>11504</v>
      </c>
      <c r="J85" t="s">
        <v>14384</v>
      </c>
      <c r="K85" t="s">
        <v>14152</v>
      </c>
    </row>
    <row r="86" spans="1:11">
      <c r="A86" t="s">
        <v>14385</v>
      </c>
      <c r="B86" t="s">
        <v>949</v>
      </c>
      <c r="C86" t="s">
        <v>986</v>
      </c>
      <c r="D86" t="s">
        <v>13398</v>
      </c>
      <c r="E86" t="s">
        <v>14133</v>
      </c>
      <c r="F86" t="s">
        <v>14134</v>
      </c>
      <c r="G86" t="s">
        <v>275</v>
      </c>
      <c r="H86" t="s">
        <v>14386</v>
      </c>
      <c r="I86" t="s">
        <v>11504</v>
      </c>
      <c r="J86" t="s">
        <v>14387</v>
      </c>
    </row>
    <row r="87" spans="1:11">
      <c r="A87" t="s">
        <v>14388</v>
      </c>
      <c r="B87" t="s">
        <v>949</v>
      </c>
      <c r="C87" t="s">
        <v>972</v>
      </c>
      <c r="D87" t="s">
        <v>13398</v>
      </c>
      <c r="E87" t="s">
        <v>14133</v>
      </c>
      <c r="F87" t="s">
        <v>14134</v>
      </c>
      <c r="G87" t="s">
        <v>275</v>
      </c>
      <c r="H87" t="s">
        <v>14389</v>
      </c>
      <c r="I87" t="s">
        <v>11504</v>
      </c>
      <c r="J87" t="s">
        <v>14390</v>
      </c>
    </row>
    <row r="88" spans="1:11">
      <c r="A88" t="s">
        <v>14391</v>
      </c>
      <c r="B88" t="s">
        <v>949</v>
      </c>
      <c r="C88" t="s">
        <v>976</v>
      </c>
      <c r="D88" t="s">
        <v>13398</v>
      </c>
      <c r="E88" t="s">
        <v>14133</v>
      </c>
      <c r="F88" t="s">
        <v>14134</v>
      </c>
      <c r="G88" t="s">
        <v>275</v>
      </c>
      <c r="H88" t="s">
        <v>14392</v>
      </c>
      <c r="I88" t="s">
        <v>11504</v>
      </c>
      <c r="J88" t="s">
        <v>14393</v>
      </c>
    </row>
    <row r="89" spans="1:11">
      <c r="A89" t="s">
        <v>14394</v>
      </c>
      <c r="B89" t="s">
        <v>1987</v>
      </c>
      <c r="D89" t="s">
        <v>13410</v>
      </c>
      <c r="E89" t="s">
        <v>14128</v>
      </c>
      <c r="F89" t="s">
        <v>14129</v>
      </c>
      <c r="G89" t="s">
        <v>280</v>
      </c>
      <c r="H89" t="s">
        <v>14395</v>
      </c>
      <c r="I89" t="s">
        <v>11504</v>
      </c>
      <c r="J89" t="s">
        <v>14396</v>
      </c>
    </row>
    <row r="90" spans="1:11">
      <c r="A90" t="s">
        <v>14397</v>
      </c>
      <c r="B90" t="s">
        <v>1987</v>
      </c>
      <c r="C90" t="s">
        <v>2002</v>
      </c>
      <c r="D90" t="s">
        <v>13413</v>
      </c>
      <c r="E90" t="s">
        <v>14133</v>
      </c>
      <c r="F90" t="s">
        <v>14134</v>
      </c>
      <c r="G90" t="s">
        <v>280</v>
      </c>
      <c r="H90" t="s">
        <v>14398</v>
      </c>
      <c r="I90" t="s">
        <v>11504</v>
      </c>
      <c r="J90" t="s">
        <v>14399</v>
      </c>
    </row>
    <row r="91" spans="1:11">
      <c r="A91" t="s">
        <v>14400</v>
      </c>
      <c r="B91" t="s">
        <v>1987</v>
      </c>
      <c r="C91" t="s">
        <v>1998</v>
      </c>
      <c r="D91" t="s">
        <v>13401</v>
      </c>
      <c r="E91" t="s">
        <v>14133</v>
      </c>
      <c r="F91" t="s">
        <v>14134</v>
      </c>
      <c r="G91" t="s">
        <v>275</v>
      </c>
      <c r="H91" t="s">
        <v>14401</v>
      </c>
      <c r="I91" t="s">
        <v>11504</v>
      </c>
      <c r="J91" t="s">
        <v>14402</v>
      </c>
    </row>
    <row r="92" spans="1:11">
      <c r="A92" t="s">
        <v>14403</v>
      </c>
      <c r="B92" t="s">
        <v>1987</v>
      </c>
      <c r="C92" t="s">
        <v>2010</v>
      </c>
      <c r="D92" t="s">
        <v>13362</v>
      </c>
      <c r="E92" t="s">
        <v>14133</v>
      </c>
      <c r="F92" t="s">
        <v>14325</v>
      </c>
      <c r="G92" t="s">
        <v>275</v>
      </c>
      <c r="H92" t="s">
        <v>14404</v>
      </c>
      <c r="I92" t="s">
        <v>11504</v>
      </c>
      <c r="J92" t="s">
        <v>14405</v>
      </c>
    </row>
    <row r="93" spans="1:11">
      <c r="A93" t="s">
        <v>14406</v>
      </c>
      <c r="B93" t="s">
        <v>1987</v>
      </c>
      <c r="C93" t="s">
        <v>1989</v>
      </c>
      <c r="D93" t="s">
        <v>13362</v>
      </c>
      <c r="E93" t="s">
        <v>14133</v>
      </c>
      <c r="F93" t="s">
        <v>14134</v>
      </c>
      <c r="G93" t="s">
        <v>275</v>
      </c>
      <c r="H93" t="s">
        <v>14407</v>
      </c>
      <c r="I93" t="s">
        <v>11504</v>
      </c>
      <c r="J93" t="s">
        <v>14408</v>
      </c>
    </row>
    <row r="94" spans="1:11">
      <c r="A94" t="s">
        <v>14409</v>
      </c>
      <c r="B94" t="s">
        <v>1987</v>
      </c>
      <c r="C94" t="s">
        <v>2006</v>
      </c>
      <c r="D94" t="s">
        <v>13353</v>
      </c>
      <c r="E94" t="s">
        <v>14133</v>
      </c>
      <c r="F94" t="s">
        <v>14134</v>
      </c>
      <c r="G94" t="s">
        <v>280</v>
      </c>
      <c r="H94" t="s">
        <v>14410</v>
      </c>
      <c r="I94" t="s">
        <v>11504</v>
      </c>
      <c r="J94" t="s">
        <v>14411</v>
      </c>
    </row>
    <row r="95" spans="1:11">
      <c r="A95" t="s">
        <v>14412</v>
      </c>
      <c r="B95" t="s">
        <v>2729</v>
      </c>
      <c r="C95" t="s">
        <v>14413</v>
      </c>
      <c r="D95" t="s">
        <v>13374</v>
      </c>
      <c r="E95" t="s">
        <v>14414</v>
      </c>
      <c r="F95" t="s">
        <v>14415</v>
      </c>
      <c r="G95" t="s">
        <v>275</v>
      </c>
      <c r="H95" t="s">
        <v>14416</v>
      </c>
      <c r="I95" t="s">
        <v>11504</v>
      </c>
      <c r="J95" t="s">
        <v>14417</v>
      </c>
    </row>
    <row r="96" spans="1:11">
      <c r="A96" t="s">
        <v>14418</v>
      </c>
      <c r="B96" t="s">
        <v>2729</v>
      </c>
      <c r="C96" t="s">
        <v>14419</v>
      </c>
      <c r="D96" t="s">
        <v>13350</v>
      </c>
      <c r="E96" t="s">
        <v>14420</v>
      </c>
      <c r="F96" t="s">
        <v>14415</v>
      </c>
      <c r="G96" t="s">
        <v>275</v>
      </c>
      <c r="H96" t="s">
        <v>14421</v>
      </c>
      <c r="I96" t="s">
        <v>11504</v>
      </c>
      <c r="J96" t="s">
        <v>14422</v>
      </c>
    </row>
    <row r="97" spans="1:10">
      <c r="A97" t="s">
        <v>14423</v>
      </c>
      <c r="B97" t="s">
        <v>2729</v>
      </c>
      <c r="C97" t="s">
        <v>14424</v>
      </c>
      <c r="D97" t="s">
        <v>13386</v>
      </c>
      <c r="E97" t="s">
        <v>14420</v>
      </c>
      <c r="F97" t="s">
        <v>14415</v>
      </c>
      <c r="G97" t="s">
        <v>275</v>
      </c>
      <c r="H97" t="s">
        <v>14425</v>
      </c>
      <c r="I97" t="s">
        <v>11504</v>
      </c>
      <c r="J97" t="s">
        <v>14426</v>
      </c>
    </row>
    <row r="98" spans="1:10">
      <c r="A98" t="s">
        <v>14427</v>
      </c>
      <c r="B98" t="s">
        <v>2286</v>
      </c>
      <c r="C98" t="s">
        <v>14068</v>
      </c>
      <c r="D98" t="s">
        <v>13398</v>
      </c>
      <c r="E98" t="s">
        <v>14420</v>
      </c>
      <c r="F98" t="s">
        <v>14415</v>
      </c>
      <c r="G98" t="s">
        <v>275</v>
      </c>
      <c r="H98" t="s">
        <v>14428</v>
      </c>
      <c r="I98" t="s">
        <v>11504</v>
      </c>
      <c r="J98" t="s">
        <v>14429</v>
      </c>
    </row>
    <row r="99" spans="1:10">
      <c r="A99" t="s">
        <v>14430</v>
      </c>
      <c r="B99" t="s">
        <v>1987</v>
      </c>
      <c r="C99" t="s">
        <v>14431</v>
      </c>
      <c r="D99" t="s">
        <v>13440</v>
      </c>
      <c r="E99" t="s">
        <v>14420</v>
      </c>
      <c r="F99" t="s">
        <v>14415</v>
      </c>
      <c r="G99" t="s">
        <v>275</v>
      </c>
      <c r="H99" t="s">
        <v>14432</v>
      </c>
      <c r="I99" t="s">
        <v>11504</v>
      </c>
      <c r="J99" t="s">
        <v>14433</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P296"/>
  <sheetViews>
    <sheetView showGridLines="0" workbookViewId="0">
      <pane ySplit="1" topLeftCell="A2" activePane="bottomLeft" state="frozen"/>
      <selection pane="bottomLeft"/>
    </sheetView>
  </sheetViews>
  <sheetFormatPr defaultRowHeight="14.15"/>
  <cols>
    <col min="1" max="1" width="24" customWidth="1"/>
    <col min="2" max="3" width="28" customWidth="1"/>
    <col min="4" max="8" width="18" customWidth="1"/>
    <col min="9" max="10" width="48" customWidth="1"/>
    <col min="11" max="12" width="42" customWidth="1"/>
    <col min="13" max="16" width="20" customWidth="1"/>
  </cols>
  <sheetData>
    <row r="1" spans="1:16">
      <c r="A1" t="s">
        <v>14434</v>
      </c>
      <c r="B1" t="s">
        <v>13334</v>
      </c>
      <c r="C1" t="s">
        <v>12519</v>
      </c>
      <c r="D1" t="s">
        <v>12520</v>
      </c>
      <c r="E1" t="s">
        <v>14435</v>
      </c>
      <c r="F1" t="s">
        <v>14436</v>
      </c>
      <c r="G1" t="s">
        <v>14437</v>
      </c>
      <c r="H1" t="s">
        <v>14438</v>
      </c>
      <c r="I1" t="s">
        <v>14439</v>
      </c>
      <c r="J1" t="s">
        <v>14440</v>
      </c>
      <c r="K1" t="s">
        <v>14441</v>
      </c>
      <c r="L1" t="s">
        <v>3364</v>
      </c>
      <c r="M1" t="s">
        <v>3529</v>
      </c>
      <c r="N1" t="s">
        <v>14442</v>
      </c>
      <c r="O1" t="s">
        <v>11627</v>
      </c>
      <c r="P1" t="s">
        <v>744</v>
      </c>
    </row>
    <row r="2" spans="1:16">
      <c r="A2" t="s">
        <v>14443</v>
      </c>
      <c r="B2" t="s">
        <v>13345</v>
      </c>
      <c r="C2" t="s">
        <v>11159</v>
      </c>
      <c r="D2" t="s">
        <v>11159</v>
      </c>
      <c r="E2">
        <v>0</v>
      </c>
      <c r="F2">
        <v>1.4</v>
      </c>
      <c r="G2" t="s">
        <v>14444</v>
      </c>
      <c r="H2" t="s">
        <v>14445</v>
      </c>
      <c r="I2" t="s">
        <v>14446</v>
      </c>
      <c r="J2" t="s">
        <v>14447</v>
      </c>
      <c r="K2" t="s">
        <v>14448</v>
      </c>
      <c r="L2" t="s">
        <v>14449</v>
      </c>
      <c r="M2" t="s">
        <v>546</v>
      </c>
      <c r="N2">
        <v>1</v>
      </c>
      <c r="O2" t="s">
        <v>11504</v>
      </c>
      <c r="P2" t="s">
        <v>14450</v>
      </c>
    </row>
    <row r="3" spans="1:16">
      <c r="A3" t="s">
        <v>14451</v>
      </c>
      <c r="B3" t="s">
        <v>13345</v>
      </c>
      <c r="C3" t="s">
        <v>11159</v>
      </c>
      <c r="D3" t="s">
        <v>11159</v>
      </c>
      <c r="E3">
        <v>1.5</v>
      </c>
      <c r="F3">
        <v>2.4</v>
      </c>
      <c r="G3" t="s">
        <v>11741</v>
      </c>
      <c r="H3" t="s">
        <v>14452</v>
      </c>
      <c r="I3" t="s">
        <v>14453</v>
      </c>
      <c r="J3" t="s">
        <v>14454</v>
      </c>
      <c r="K3" t="s">
        <v>14455</v>
      </c>
      <c r="L3" t="s">
        <v>14456</v>
      </c>
      <c r="M3" t="s">
        <v>546</v>
      </c>
      <c r="N3">
        <v>1</v>
      </c>
      <c r="O3" t="s">
        <v>11504</v>
      </c>
      <c r="P3" t="s">
        <v>14450</v>
      </c>
    </row>
    <row r="4" spans="1:16">
      <c r="A4" t="s">
        <v>14457</v>
      </c>
      <c r="B4" t="s">
        <v>13345</v>
      </c>
      <c r="C4" t="s">
        <v>11159</v>
      </c>
      <c r="D4" t="s">
        <v>11159</v>
      </c>
      <c r="E4">
        <v>2.5</v>
      </c>
      <c r="F4">
        <v>3.4</v>
      </c>
      <c r="G4" t="s">
        <v>14458</v>
      </c>
      <c r="H4" t="s">
        <v>14459</v>
      </c>
      <c r="I4" t="s">
        <v>14460</v>
      </c>
      <c r="J4" t="s">
        <v>14461</v>
      </c>
      <c r="K4" t="s">
        <v>14462</v>
      </c>
      <c r="L4" t="s">
        <v>14463</v>
      </c>
      <c r="M4" t="s">
        <v>546</v>
      </c>
      <c r="N4">
        <v>1</v>
      </c>
      <c r="O4" t="s">
        <v>11504</v>
      </c>
      <c r="P4" t="s">
        <v>14450</v>
      </c>
    </row>
    <row r="5" spans="1:16">
      <c r="A5" t="s">
        <v>14464</v>
      </c>
      <c r="B5" t="s">
        <v>13345</v>
      </c>
      <c r="C5" t="s">
        <v>11159</v>
      </c>
      <c r="D5" t="s">
        <v>11159</v>
      </c>
      <c r="E5">
        <v>3.5</v>
      </c>
      <c r="F5">
        <v>4.2</v>
      </c>
      <c r="G5" t="s">
        <v>14465</v>
      </c>
      <c r="H5" t="s">
        <v>14466</v>
      </c>
      <c r="I5" t="s">
        <v>14467</v>
      </c>
      <c r="J5" t="s">
        <v>14468</v>
      </c>
      <c r="K5" t="s">
        <v>14469</v>
      </c>
      <c r="L5" t="s">
        <v>14470</v>
      </c>
      <c r="M5" t="s">
        <v>546</v>
      </c>
      <c r="N5">
        <v>1</v>
      </c>
      <c r="O5" t="s">
        <v>11504</v>
      </c>
      <c r="P5" t="s">
        <v>14450</v>
      </c>
    </row>
    <row r="6" spans="1:16">
      <c r="A6" t="s">
        <v>14471</v>
      </c>
      <c r="B6" t="s">
        <v>13345</v>
      </c>
      <c r="C6" t="s">
        <v>11159</v>
      </c>
      <c r="D6" t="s">
        <v>11159</v>
      </c>
      <c r="E6">
        <v>4.3</v>
      </c>
      <c r="F6">
        <v>5</v>
      </c>
      <c r="G6" t="s">
        <v>14472</v>
      </c>
      <c r="H6" t="s">
        <v>14473</v>
      </c>
      <c r="I6" t="s">
        <v>14474</v>
      </c>
      <c r="J6" t="s">
        <v>14475</v>
      </c>
      <c r="K6" t="s">
        <v>14476</v>
      </c>
      <c r="L6" t="s">
        <v>14477</v>
      </c>
      <c r="M6" t="s">
        <v>546</v>
      </c>
      <c r="N6">
        <v>1</v>
      </c>
      <c r="O6" t="s">
        <v>11504</v>
      </c>
      <c r="P6" t="s">
        <v>14450</v>
      </c>
    </row>
    <row r="7" spans="1:16">
      <c r="A7" t="s">
        <v>14478</v>
      </c>
      <c r="B7" t="s">
        <v>13350</v>
      </c>
      <c r="C7" t="s">
        <v>11159</v>
      </c>
      <c r="D7" t="s">
        <v>11159</v>
      </c>
      <c r="E7">
        <v>0</v>
      </c>
      <c r="F7">
        <v>1.4</v>
      </c>
      <c r="G7" t="s">
        <v>14444</v>
      </c>
      <c r="H7" t="s">
        <v>14445</v>
      </c>
      <c r="I7" t="s">
        <v>14479</v>
      </c>
      <c r="J7" t="s">
        <v>14480</v>
      </c>
      <c r="K7" t="s">
        <v>14448</v>
      </c>
      <c r="L7" t="s">
        <v>14449</v>
      </c>
      <c r="M7" t="s">
        <v>546</v>
      </c>
      <c r="N7">
        <v>1</v>
      </c>
      <c r="O7" t="s">
        <v>11504</v>
      </c>
      <c r="P7" t="s">
        <v>14450</v>
      </c>
    </row>
    <row r="8" spans="1:16">
      <c r="A8" t="s">
        <v>14481</v>
      </c>
      <c r="B8" t="s">
        <v>13350</v>
      </c>
      <c r="C8" t="s">
        <v>11159</v>
      </c>
      <c r="D8" t="s">
        <v>11159</v>
      </c>
      <c r="E8">
        <v>1.5</v>
      </c>
      <c r="F8">
        <v>2.4</v>
      </c>
      <c r="G8" t="s">
        <v>11741</v>
      </c>
      <c r="H8" t="s">
        <v>14452</v>
      </c>
      <c r="I8" t="s">
        <v>14482</v>
      </c>
      <c r="J8" t="s">
        <v>14483</v>
      </c>
      <c r="K8" t="s">
        <v>14455</v>
      </c>
      <c r="L8" t="s">
        <v>14456</v>
      </c>
      <c r="M8" t="s">
        <v>546</v>
      </c>
      <c r="N8">
        <v>1</v>
      </c>
      <c r="O8" t="s">
        <v>11504</v>
      </c>
      <c r="P8" t="s">
        <v>14450</v>
      </c>
    </row>
    <row r="9" spans="1:16">
      <c r="A9" t="s">
        <v>14484</v>
      </c>
      <c r="B9" t="s">
        <v>13350</v>
      </c>
      <c r="C9" t="s">
        <v>11159</v>
      </c>
      <c r="D9" t="s">
        <v>11159</v>
      </c>
      <c r="E9">
        <v>2.5</v>
      </c>
      <c r="F9">
        <v>3.4</v>
      </c>
      <c r="G9" t="s">
        <v>14458</v>
      </c>
      <c r="H9" t="s">
        <v>14459</v>
      </c>
      <c r="I9" t="s">
        <v>14485</v>
      </c>
      <c r="J9" t="s">
        <v>14486</v>
      </c>
      <c r="K9" t="s">
        <v>14462</v>
      </c>
      <c r="L9" t="s">
        <v>14463</v>
      </c>
      <c r="M9" t="s">
        <v>546</v>
      </c>
      <c r="N9">
        <v>1</v>
      </c>
      <c r="O9" t="s">
        <v>11504</v>
      </c>
      <c r="P9" t="s">
        <v>14450</v>
      </c>
    </row>
    <row r="10" spans="1:16">
      <c r="A10" t="s">
        <v>14487</v>
      </c>
      <c r="B10" t="s">
        <v>13350</v>
      </c>
      <c r="C10" t="s">
        <v>11159</v>
      </c>
      <c r="D10" t="s">
        <v>11159</v>
      </c>
      <c r="E10">
        <v>3.5</v>
      </c>
      <c r="F10">
        <v>4.2</v>
      </c>
      <c r="G10" t="s">
        <v>14465</v>
      </c>
      <c r="H10" t="s">
        <v>14466</v>
      </c>
      <c r="I10" t="s">
        <v>14488</v>
      </c>
      <c r="J10" t="s">
        <v>14489</v>
      </c>
      <c r="K10" t="s">
        <v>14469</v>
      </c>
      <c r="L10" t="s">
        <v>14470</v>
      </c>
      <c r="M10" t="s">
        <v>546</v>
      </c>
      <c r="N10">
        <v>1</v>
      </c>
      <c r="O10" t="s">
        <v>11504</v>
      </c>
      <c r="P10" t="s">
        <v>14450</v>
      </c>
    </row>
    <row r="11" spans="1:16">
      <c r="A11" t="s">
        <v>14490</v>
      </c>
      <c r="B11" t="s">
        <v>13350</v>
      </c>
      <c r="C11" t="s">
        <v>11159</v>
      </c>
      <c r="D11" t="s">
        <v>11159</v>
      </c>
      <c r="E11">
        <v>4.3</v>
      </c>
      <c r="F11">
        <v>5</v>
      </c>
      <c r="G11" t="s">
        <v>14472</v>
      </c>
      <c r="H11" t="s">
        <v>14473</v>
      </c>
      <c r="I11" t="s">
        <v>14491</v>
      </c>
      <c r="J11" t="s">
        <v>14492</v>
      </c>
      <c r="K11" t="s">
        <v>14476</v>
      </c>
      <c r="L11" t="s">
        <v>14477</v>
      </c>
      <c r="M11" t="s">
        <v>546</v>
      </c>
      <c r="N11">
        <v>1</v>
      </c>
      <c r="O11" t="s">
        <v>11504</v>
      </c>
      <c r="P11" t="s">
        <v>14450</v>
      </c>
    </row>
    <row r="12" spans="1:16">
      <c r="A12" t="s">
        <v>14493</v>
      </c>
      <c r="B12" t="s">
        <v>13353</v>
      </c>
      <c r="C12" t="s">
        <v>11159</v>
      </c>
      <c r="D12" t="s">
        <v>11159</v>
      </c>
      <c r="E12">
        <v>0</v>
      </c>
      <c r="F12">
        <v>1.4</v>
      </c>
      <c r="G12" t="s">
        <v>14444</v>
      </c>
      <c r="H12" t="s">
        <v>14445</v>
      </c>
      <c r="I12" t="s">
        <v>14494</v>
      </c>
      <c r="J12" t="s">
        <v>14495</v>
      </c>
      <c r="K12" t="s">
        <v>14448</v>
      </c>
      <c r="L12" t="s">
        <v>14449</v>
      </c>
      <c r="M12" t="s">
        <v>546</v>
      </c>
      <c r="N12">
        <v>1</v>
      </c>
      <c r="O12" t="s">
        <v>11504</v>
      </c>
      <c r="P12" t="s">
        <v>14450</v>
      </c>
    </row>
    <row r="13" spans="1:16">
      <c r="A13" t="s">
        <v>14496</v>
      </c>
      <c r="B13" t="s">
        <v>13353</v>
      </c>
      <c r="C13" t="s">
        <v>11159</v>
      </c>
      <c r="D13" t="s">
        <v>11159</v>
      </c>
      <c r="E13">
        <v>1.5</v>
      </c>
      <c r="F13">
        <v>2.4</v>
      </c>
      <c r="G13" t="s">
        <v>11741</v>
      </c>
      <c r="H13" t="s">
        <v>14452</v>
      </c>
      <c r="I13" t="s">
        <v>14497</v>
      </c>
      <c r="J13" t="s">
        <v>14498</v>
      </c>
      <c r="K13" t="s">
        <v>14455</v>
      </c>
      <c r="L13" t="s">
        <v>14456</v>
      </c>
      <c r="M13" t="s">
        <v>546</v>
      </c>
      <c r="N13">
        <v>1</v>
      </c>
      <c r="O13" t="s">
        <v>11504</v>
      </c>
      <c r="P13" t="s">
        <v>14450</v>
      </c>
    </row>
    <row r="14" spans="1:16">
      <c r="A14" t="s">
        <v>14499</v>
      </c>
      <c r="B14" t="s">
        <v>13353</v>
      </c>
      <c r="C14" t="s">
        <v>11159</v>
      </c>
      <c r="D14" t="s">
        <v>11159</v>
      </c>
      <c r="E14">
        <v>2.5</v>
      </c>
      <c r="F14">
        <v>3.4</v>
      </c>
      <c r="G14" t="s">
        <v>14458</v>
      </c>
      <c r="H14" t="s">
        <v>14459</v>
      </c>
      <c r="I14" t="s">
        <v>14500</v>
      </c>
      <c r="J14" t="s">
        <v>14501</v>
      </c>
      <c r="K14" t="s">
        <v>14462</v>
      </c>
      <c r="L14" t="s">
        <v>14463</v>
      </c>
      <c r="M14" t="s">
        <v>546</v>
      </c>
      <c r="N14">
        <v>1</v>
      </c>
      <c r="O14" t="s">
        <v>11504</v>
      </c>
      <c r="P14" t="s">
        <v>14450</v>
      </c>
    </row>
    <row r="15" spans="1:16">
      <c r="A15" t="s">
        <v>14502</v>
      </c>
      <c r="B15" t="s">
        <v>13353</v>
      </c>
      <c r="C15" t="s">
        <v>11159</v>
      </c>
      <c r="D15" t="s">
        <v>11159</v>
      </c>
      <c r="E15">
        <v>3.5</v>
      </c>
      <c r="F15">
        <v>4.2</v>
      </c>
      <c r="G15" t="s">
        <v>14465</v>
      </c>
      <c r="H15" t="s">
        <v>14466</v>
      </c>
      <c r="I15" t="s">
        <v>14503</v>
      </c>
      <c r="J15" t="s">
        <v>14504</v>
      </c>
      <c r="K15" t="s">
        <v>14469</v>
      </c>
      <c r="L15" t="s">
        <v>14470</v>
      </c>
      <c r="M15" t="s">
        <v>546</v>
      </c>
      <c r="N15">
        <v>1</v>
      </c>
      <c r="O15" t="s">
        <v>11504</v>
      </c>
      <c r="P15" t="s">
        <v>14450</v>
      </c>
    </row>
    <row r="16" spans="1:16">
      <c r="A16" t="s">
        <v>14505</v>
      </c>
      <c r="B16" t="s">
        <v>13353</v>
      </c>
      <c r="C16" t="s">
        <v>11159</v>
      </c>
      <c r="D16" t="s">
        <v>11159</v>
      </c>
      <c r="E16">
        <v>4.3</v>
      </c>
      <c r="F16">
        <v>5</v>
      </c>
      <c r="G16" t="s">
        <v>14472</v>
      </c>
      <c r="H16" t="s">
        <v>14473</v>
      </c>
      <c r="I16" t="s">
        <v>14506</v>
      </c>
      <c r="J16" t="s">
        <v>14507</v>
      </c>
      <c r="K16" t="s">
        <v>14476</v>
      </c>
      <c r="L16" t="s">
        <v>14477</v>
      </c>
      <c r="M16" t="s">
        <v>546</v>
      </c>
      <c r="N16">
        <v>1</v>
      </c>
      <c r="O16" t="s">
        <v>11504</v>
      </c>
      <c r="P16" t="s">
        <v>14450</v>
      </c>
    </row>
    <row r="17" spans="1:16">
      <c r="A17" t="s">
        <v>14508</v>
      </c>
      <c r="B17" t="s">
        <v>13356</v>
      </c>
      <c r="C17" t="s">
        <v>11159</v>
      </c>
      <c r="D17" t="s">
        <v>11159</v>
      </c>
      <c r="E17">
        <v>0</v>
      </c>
      <c r="F17">
        <v>1.4</v>
      </c>
      <c r="G17" t="s">
        <v>14444</v>
      </c>
      <c r="H17" t="s">
        <v>14445</v>
      </c>
      <c r="I17" t="s">
        <v>14509</v>
      </c>
      <c r="J17" t="s">
        <v>14510</v>
      </c>
      <c r="K17" t="s">
        <v>14448</v>
      </c>
      <c r="L17" t="s">
        <v>14449</v>
      </c>
      <c r="M17" t="s">
        <v>546</v>
      </c>
      <c r="N17">
        <v>1</v>
      </c>
      <c r="O17" t="s">
        <v>11504</v>
      </c>
      <c r="P17" t="s">
        <v>14450</v>
      </c>
    </row>
    <row r="18" spans="1:16">
      <c r="A18" t="s">
        <v>14511</v>
      </c>
      <c r="B18" t="s">
        <v>13356</v>
      </c>
      <c r="C18" t="s">
        <v>11159</v>
      </c>
      <c r="D18" t="s">
        <v>11159</v>
      </c>
      <c r="E18">
        <v>1.5</v>
      </c>
      <c r="F18">
        <v>2.4</v>
      </c>
      <c r="G18" t="s">
        <v>11741</v>
      </c>
      <c r="H18" t="s">
        <v>14452</v>
      </c>
      <c r="I18" t="s">
        <v>14512</v>
      </c>
      <c r="J18" t="s">
        <v>14513</v>
      </c>
      <c r="K18" t="s">
        <v>14455</v>
      </c>
      <c r="L18" t="s">
        <v>14456</v>
      </c>
      <c r="M18" t="s">
        <v>546</v>
      </c>
      <c r="N18">
        <v>1</v>
      </c>
      <c r="O18" t="s">
        <v>11504</v>
      </c>
      <c r="P18" t="s">
        <v>14450</v>
      </c>
    </row>
    <row r="19" spans="1:16">
      <c r="A19" t="s">
        <v>14514</v>
      </c>
      <c r="B19" t="s">
        <v>13356</v>
      </c>
      <c r="C19" t="s">
        <v>11159</v>
      </c>
      <c r="D19" t="s">
        <v>11159</v>
      </c>
      <c r="E19">
        <v>2.5</v>
      </c>
      <c r="F19">
        <v>3.4</v>
      </c>
      <c r="G19" t="s">
        <v>14458</v>
      </c>
      <c r="H19" t="s">
        <v>14459</v>
      </c>
      <c r="I19" t="s">
        <v>14515</v>
      </c>
      <c r="J19" t="s">
        <v>14516</v>
      </c>
      <c r="K19" t="s">
        <v>14462</v>
      </c>
      <c r="L19" t="s">
        <v>14463</v>
      </c>
      <c r="M19" t="s">
        <v>546</v>
      </c>
      <c r="N19">
        <v>1</v>
      </c>
      <c r="O19" t="s">
        <v>11504</v>
      </c>
      <c r="P19" t="s">
        <v>14450</v>
      </c>
    </row>
    <row r="20" spans="1:16">
      <c r="A20" t="s">
        <v>14517</v>
      </c>
      <c r="B20" t="s">
        <v>13356</v>
      </c>
      <c r="C20" t="s">
        <v>11159</v>
      </c>
      <c r="D20" t="s">
        <v>11159</v>
      </c>
      <c r="E20">
        <v>3.5</v>
      </c>
      <c r="F20">
        <v>4.2</v>
      </c>
      <c r="G20" t="s">
        <v>14465</v>
      </c>
      <c r="H20" t="s">
        <v>14466</v>
      </c>
      <c r="I20" t="s">
        <v>14518</v>
      </c>
      <c r="J20" t="s">
        <v>14519</v>
      </c>
      <c r="K20" t="s">
        <v>14469</v>
      </c>
      <c r="L20" t="s">
        <v>14470</v>
      </c>
      <c r="M20" t="s">
        <v>546</v>
      </c>
      <c r="N20">
        <v>1</v>
      </c>
      <c r="O20" t="s">
        <v>11504</v>
      </c>
      <c r="P20" t="s">
        <v>14450</v>
      </c>
    </row>
    <row r="21" spans="1:16">
      <c r="A21" t="s">
        <v>14520</v>
      </c>
      <c r="B21" t="s">
        <v>13356</v>
      </c>
      <c r="C21" t="s">
        <v>11159</v>
      </c>
      <c r="D21" t="s">
        <v>11159</v>
      </c>
      <c r="E21">
        <v>4.3</v>
      </c>
      <c r="F21">
        <v>5</v>
      </c>
      <c r="G21" t="s">
        <v>14472</v>
      </c>
      <c r="H21" t="s">
        <v>14473</v>
      </c>
      <c r="I21" t="s">
        <v>14521</v>
      </c>
      <c r="J21" t="s">
        <v>14522</v>
      </c>
      <c r="K21" t="s">
        <v>14476</v>
      </c>
      <c r="L21" t="s">
        <v>14477</v>
      </c>
      <c r="M21" t="s">
        <v>546</v>
      </c>
      <c r="N21">
        <v>1</v>
      </c>
      <c r="O21" t="s">
        <v>11504</v>
      </c>
      <c r="P21" t="s">
        <v>14450</v>
      </c>
    </row>
    <row r="22" spans="1:16">
      <c r="A22" t="s">
        <v>14523</v>
      </c>
      <c r="B22" t="s">
        <v>13359</v>
      </c>
      <c r="C22" t="s">
        <v>11159</v>
      </c>
      <c r="D22" t="s">
        <v>11159</v>
      </c>
      <c r="E22">
        <v>0</v>
      </c>
      <c r="F22">
        <v>1.4</v>
      </c>
      <c r="G22" t="s">
        <v>14444</v>
      </c>
      <c r="H22" t="s">
        <v>14445</v>
      </c>
      <c r="I22" t="s">
        <v>14524</v>
      </c>
      <c r="J22" t="s">
        <v>14525</v>
      </c>
      <c r="K22" t="s">
        <v>14448</v>
      </c>
      <c r="L22" t="s">
        <v>14449</v>
      </c>
      <c r="M22" t="s">
        <v>546</v>
      </c>
      <c r="N22">
        <v>1</v>
      </c>
      <c r="O22" t="s">
        <v>11504</v>
      </c>
      <c r="P22" t="s">
        <v>14450</v>
      </c>
    </row>
    <row r="23" spans="1:16">
      <c r="A23" t="s">
        <v>14526</v>
      </c>
      <c r="B23" t="s">
        <v>13359</v>
      </c>
      <c r="C23" t="s">
        <v>11159</v>
      </c>
      <c r="D23" t="s">
        <v>11159</v>
      </c>
      <c r="E23">
        <v>1.5</v>
      </c>
      <c r="F23">
        <v>2.4</v>
      </c>
      <c r="G23" t="s">
        <v>11741</v>
      </c>
      <c r="H23" t="s">
        <v>14452</v>
      </c>
      <c r="I23" t="s">
        <v>14527</v>
      </c>
      <c r="J23" t="s">
        <v>14528</v>
      </c>
      <c r="K23" t="s">
        <v>14455</v>
      </c>
      <c r="L23" t="s">
        <v>14456</v>
      </c>
      <c r="M23" t="s">
        <v>546</v>
      </c>
      <c r="N23">
        <v>1</v>
      </c>
      <c r="O23" t="s">
        <v>11504</v>
      </c>
      <c r="P23" t="s">
        <v>14450</v>
      </c>
    </row>
    <row r="24" spans="1:16">
      <c r="A24" t="s">
        <v>14529</v>
      </c>
      <c r="B24" t="s">
        <v>13359</v>
      </c>
      <c r="C24" t="s">
        <v>11159</v>
      </c>
      <c r="D24" t="s">
        <v>11159</v>
      </c>
      <c r="E24">
        <v>2.5</v>
      </c>
      <c r="F24">
        <v>3.4</v>
      </c>
      <c r="G24" t="s">
        <v>14458</v>
      </c>
      <c r="H24" t="s">
        <v>14459</v>
      </c>
      <c r="I24" t="s">
        <v>14530</v>
      </c>
      <c r="J24" t="s">
        <v>14531</v>
      </c>
      <c r="K24" t="s">
        <v>14462</v>
      </c>
      <c r="L24" t="s">
        <v>14463</v>
      </c>
      <c r="M24" t="s">
        <v>546</v>
      </c>
      <c r="N24">
        <v>1</v>
      </c>
      <c r="O24" t="s">
        <v>11504</v>
      </c>
      <c r="P24" t="s">
        <v>14450</v>
      </c>
    </row>
    <row r="25" spans="1:16">
      <c r="A25" t="s">
        <v>14532</v>
      </c>
      <c r="B25" t="s">
        <v>13359</v>
      </c>
      <c r="C25" t="s">
        <v>11159</v>
      </c>
      <c r="D25" t="s">
        <v>11159</v>
      </c>
      <c r="E25">
        <v>3.5</v>
      </c>
      <c r="F25">
        <v>4.2</v>
      </c>
      <c r="G25" t="s">
        <v>14465</v>
      </c>
      <c r="H25" t="s">
        <v>14466</v>
      </c>
      <c r="I25" t="s">
        <v>14533</v>
      </c>
      <c r="J25" t="s">
        <v>14534</v>
      </c>
      <c r="K25" t="s">
        <v>14469</v>
      </c>
      <c r="L25" t="s">
        <v>14470</v>
      </c>
      <c r="M25" t="s">
        <v>546</v>
      </c>
      <c r="N25">
        <v>1</v>
      </c>
      <c r="O25" t="s">
        <v>11504</v>
      </c>
      <c r="P25" t="s">
        <v>14450</v>
      </c>
    </row>
    <row r="26" spans="1:16">
      <c r="A26" t="s">
        <v>14535</v>
      </c>
      <c r="B26" t="s">
        <v>13359</v>
      </c>
      <c r="C26" t="s">
        <v>11159</v>
      </c>
      <c r="D26" t="s">
        <v>11159</v>
      </c>
      <c r="E26">
        <v>4.3</v>
      </c>
      <c r="F26">
        <v>5</v>
      </c>
      <c r="G26" t="s">
        <v>14472</v>
      </c>
      <c r="H26" t="s">
        <v>14473</v>
      </c>
      <c r="I26" t="s">
        <v>14536</v>
      </c>
      <c r="J26" t="s">
        <v>14537</v>
      </c>
      <c r="K26" t="s">
        <v>14476</v>
      </c>
      <c r="L26" t="s">
        <v>14477</v>
      </c>
      <c r="M26" t="s">
        <v>546</v>
      </c>
      <c r="N26">
        <v>1</v>
      </c>
      <c r="O26" t="s">
        <v>11504</v>
      </c>
      <c r="P26" t="s">
        <v>14450</v>
      </c>
    </row>
    <row r="27" spans="1:16">
      <c r="A27" t="s">
        <v>14538</v>
      </c>
      <c r="B27" t="s">
        <v>13362</v>
      </c>
      <c r="C27" t="s">
        <v>11159</v>
      </c>
      <c r="D27" t="s">
        <v>11159</v>
      </c>
      <c r="E27">
        <v>0</v>
      </c>
      <c r="F27">
        <v>1.4</v>
      </c>
      <c r="G27" t="s">
        <v>14444</v>
      </c>
      <c r="H27" t="s">
        <v>14445</v>
      </c>
      <c r="I27" t="s">
        <v>14539</v>
      </c>
      <c r="J27" t="s">
        <v>14540</v>
      </c>
      <c r="K27" t="s">
        <v>14448</v>
      </c>
      <c r="L27" t="s">
        <v>14449</v>
      </c>
      <c r="M27" t="s">
        <v>546</v>
      </c>
      <c r="N27">
        <v>1</v>
      </c>
      <c r="O27" t="s">
        <v>11504</v>
      </c>
      <c r="P27" t="s">
        <v>14450</v>
      </c>
    </row>
    <row r="28" spans="1:16">
      <c r="A28" t="s">
        <v>14541</v>
      </c>
      <c r="B28" t="s">
        <v>13362</v>
      </c>
      <c r="C28" t="s">
        <v>11159</v>
      </c>
      <c r="D28" t="s">
        <v>11159</v>
      </c>
      <c r="E28">
        <v>1.5</v>
      </c>
      <c r="F28">
        <v>2.4</v>
      </c>
      <c r="G28" t="s">
        <v>11741</v>
      </c>
      <c r="H28" t="s">
        <v>14452</v>
      </c>
      <c r="I28" t="s">
        <v>14542</v>
      </c>
      <c r="J28" t="s">
        <v>14543</v>
      </c>
      <c r="K28" t="s">
        <v>14455</v>
      </c>
      <c r="L28" t="s">
        <v>14456</v>
      </c>
      <c r="M28" t="s">
        <v>546</v>
      </c>
      <c r="N28">
        <v>1</v>
      </c>
      <c r="O28" t="s">
        <v>11504</v>
      </c>
      <c r="P28" t="s">
        <v>14450</v>
      </c>
    </row>
    <row r="29" spans="1:16">
      <c r="A29" t="s">
        <v>14544</v>
      </c>
      <c r="B29" t="s">
        <v>13362</v>
      </c>
      <c r="C29" t="s">
        <v>11159</v>
      </c>
      <c r="D29" t="s">
        <v>11159</v>
      </c>
      <c r="E29">
        <v>2.5</v>
      </c>
      <c r="F29">
        <v>3.4</v>
      </c>
      <c r="G29" t="s">
        <v>14458</v>
      </c>
      <c r="H29" t="s">
        <v>14459</v>
      </c>
      <c r="I29" t="s">
        <v>14545</v>
      </c>
      <c r="J29" t="s">
        <v>14546</v>
      </c>
      <c r="K29" t="s">
        <v>14462</v>
      </c>
      <c r="L29" t="s">
        <v>14463</v>
      </c>
      <c r="M29" t="s">
        <v>546</v>
      </c>
      <c r="N29">
        <v>1</v>
      </c>
      <c r="O29" t="s">
        <v>11504</v>
      </c>
      <c r="P29" t="s">
        <v>14450</v>
      </c>
    </row>
    <row r="30" spans="1:16">
      <c r="A30" t="s">
        <v>14547</v>
      </c>
      <c r="B30" t="s">
        <v>13362</v>
      </c>
      <c r="C30" t="s">
        <v>11159</v>
      </c>
      <c r="D30" t="s">
        <v>11159</v>
      </c>
      <c r="E30">
        <v>3.5</v>
      </c>
      <c r="F30">
        <v>4.2</v>
      </c>
      <c r="G30" t="s">
        <v>14465</v>
      </c>
      <c r="H30" t="s">
        <v>14466</v>
      </c>
      <c r="I30" t="s">
        <v>14548</v>
      </c>
      <c r="J30" t="s">
        <v>14549</v>
      </c>
      <c r="K30" t="s">
        <v>14469</v>
      </c>
      <c r="L30" t="s">
        <v>14470</v>
      </c>
      <c r="M30" t="s">
        <v>546</v>
      </c>
      <c r="N30">
        <v>1</v>
      </c>
      <c r="O30" t="s">
        <v>11504</v>
      </c>
      <c r="P30" t="s">
        <v>14450</v>
      </c>
    </row>
    <row r="31" spans="1:16">
      <c r="A31" t="s">
        <v>14550</v>
      </c>
      <c r="B31" t="s">
        <v>13362</v>
      </c>
      <c r="C31" t="s">
        <v>11159</v>
      </c>
      <c r="D31" t="s">
        <v>11159</v>
      </c>
      <c r="E31">
        <v>4.3</v>
      </c>
      <c r="F31">
        <v>5</v>
      </c>
      <c r="G31" t="s">
        <v>14472</v>
      </c>
      <c r="H31" t="s">
        <v>14473</v>
      </c>
      <c r="I31" t="s">
        <v>14551</v>
      </c>
      <c r="J31" t="s">
        <v>14552</v>
      </c>
      <c r="K31" t="s">
        <v>14476</v>
      </c>
      <c r="L31" t="s">
        <v>14477</v>
      </c>
      <c r="M31" t="s">
        <v>546</v>
      </c>
      <c r="N31">
        <v>1</v>
      </c>
      <c r="O31" t="s">
        <v>11504</v>
      </c>
      <c r="P31" t="s">
        <v>14450</v>
      </c>
    </row>
    <row r="32" spans="1:16">
      <c r="A32" t="s">
        <v>14553</v>
      </c>
      <c r="B32" t="s">
        <v>13365</v>
      </c>
      <c r="C32" t="s">
        <v>11159</v>
      </c>
      <c r="D32" t="s">
        <v>11159</v>
      </c>
      <c r="E32">
        <v>0</v>
      </c>
      <c r="F32">
        <v>1.4</v>
      </c>
      <c r="G32" t="s">
        <v>14444</v>
      </c>
      <c r="H32" t="s">
        <v>14445</v>
      </c>
      <c r="I32" t="s">
        <v>14554</v>
      </c>
      <c r="J32" t="s">
        <v>14555</v>
      </c>
      <c r="K32" t="s">
        <v>14448</v>
      </c>
      <c r="L32" t="s">
        <v>14449</v>
      </c>
      <c r="M32" t="s">
        <v>546</v>
      </c>
      <c r="N32">
        <v>1</v>
      </c>
      <c r="O32" t="s">
        <v>11504</v>
      </c>
      <c r="P32" t="s">
        <v>14450</v>
      </c>
    </row>
    <row r="33" spans="1:16">
      <c r="A33" t="s">
        <v>14556</v>
      </c>
      <c r="B33" t="s">
        <v>13365</v>
      </c>
      <c r="C33" t="s">
        <v>11159</v>
      </c>
      <c r="D33" t="s">
        <v>11159</v>
      </c>
      <c r="E33">
        <v>1.5</v>
      </c>
      <c r="F33">
        <v>2.4</v>
      </c>
      <c r="G33" t="s">
        <v>11741</v>
      </c>
      <c r="H33" t="s">
        <v>14452</v>
      </c>
      <c r="I33" t="s">
        <v>14557</v>
      </c>
      <c r="J33" t="s">
        <v>14558</v>
      </c>
      <c r="K33" t="s">
        <v>14455</v>
      </c>
      <c r="L33" t="s">
        <v>14456</v>
      </c>
      <c r="M33" t="s">
        <v>546</v>
      </c>
      <c r="N33">
        <v>1</v>
      </c>
      <c r="O33" t="s">
        <v>11504</v>
      </c>
      <c r="P33" t="s">
        <v>14450</v>
      </c>
    </row>
    <row r="34" spans="1:16">
      <c r="A34" t="s">
        <v>14559</v>
      </c>
      <c r="B34" t="s">
        <v>13365</v>
      </c>
      <c r="C34" t="s">
        <v>11159</v>
      </c>
      <c r="D34" t="s">
        <v>11159</v>
      </c>
      <c r="E34">
        <v>2.5</v>
      </c>
      <c r="F34">
        <v>3.4</v>
      </c>
      <c r="G34" t="s">
        <v>14458</v>
      </c>
      <c r="H34" t="s">
        <v>14459</v>
      </c>
      <c r="I34" t="s">
        <v>14560</v>
      </c>
      <c r="J34" t="s">
        <v>14561</v>
      </c>
      <c r="K34" t="s">
        <v>14462</v>
      </c>
      <c r="L34" t="s">
        <v>14463</v>
      </c>
      <c r="M34" t="s">
        <v>546</v>
      </c>
      <c r="N34">
        <v>1</v>
      </c>
      <c r="O34" t="s">
        <v>11504</v>
      </c>
      <c r="P34" t="s">
        <v>14450</v>
      </c>
    </row>
    <row r="35" spans="1:16">
      <c r="A35" t="s">
        <v>14562</v>
      </c>
      <c r="B35" t="s">
        <v>13365</v>
      </c>
      <c r="C35" t="s">
        <v>11159</v>
      </c>
      <c r="D35" t="s">
        <v>11159</v>
      </c>
      <c r="E35">
        <v>3.5</v>
      </c>
      <c r="F35">
        <v>4.2</v>
      </c>
      <c r="G35" t="s">
        <v>14465</v>
      </c>
      <c r="H35" t="s">
        <v>14466</v>
      </c>
      <c r="I35" t="s">
        <v>14563</v>
      </c>
      <c r="J35" t="s">
        <v>14564</v>
      </c>
      <c r="K35" t="s">
        <v>14469</v>
      </c>
      <c r="L35" t="s">
        <v>14470</v>
      </c>
      <c r="M35" t="s">
        <v>546</v>
      </c>
      <c r="N35">
        <v>1</v>
      </c>
      <c r="O35" t="s">
        <v>11504</v>
      </c>
      <c r="P35" t="s">
        <v>14450</v>
      </c>
    </row>
    <row r="36" spans="1:16">
      <c r="A36" t="s">
        <v>14565</v>
      </c>
      <c r="B36" t="s">
        <v>13365</v>
      </c>
      <c r="C36" t="s">
        <v>11159</v>
      </c>
      <c r="D36" t="s">
        <v>11159</v>
      </c>
      <c r="E36">
        <v>4.3</v>
      </c>
      <c r="F36">
        <v>5</v>
      </c>
      <c r="G36" t="s">
        <v>14472</v>
      </c>
      <c r="H36" t="s">
        <v>14473</v>
      </c>
      <c r="I36" t="s">
        <v>14566</v>
      </c>
      <c r="J36" t="s">
        <v>14567</v>
      </c>
      <c r="K36" t="s">
        <v>14476</v>
      </c>
      <c r="L36" t="s">
        <v>14477</v>
      </c>
      <c r="M36" t="s">
        <v>546</v>
      </c>
      <c r="N36">
        <v>1</v>
      </c>
      <c r="O36" t="s">
        <v>11504</v>
      </c>
      <c r="P36" t="s">
        <v>14450</v>
      </c>
    </row>
    <row r="37" spans="1:16">
      <c r="A37" t="s">
        <v>14568</v>
      </c>
      <c r="B37" t="s">
        <v>13368</v>
      </c>
      <c r="C37" t="s">
        <v>11159</v>
      </c>
      <c r="D37" t="s">
        <v>11159</v>
      </c>
      <c r="E37">
        <v>0</v>
      </c>
      <c r="F37">
        <v>1.4</v>
      </c>
      <c r="G37" t="s">
        <v>14444</v>
      </c>
      <c r="H37" t="s">
        <v>14445</v>
      </c>
      <c r="I37" t="s">
        <v>14569</v>
      </c>
      <c r="J37" t="s">
        <v>14570</v>
      </c>
      <c r="K37" t="s">
        <v>14448</v>
      </c>
      <c r="L37" t="s">
        <v>14449</v>
      </c>
      <c r="M37" t="s">
        <v>546</v>
      </c>
      <c r="N37">
        <v>1</v>
      </c>
      <c r="O37" t="s">
        <v>11504</v>
      </c>
      <c r="P37" t="s">
        <v>14450</v>
      </c>
    </row>
    <row r="38" spans="1:16">
      <c r="A38" t="s">
        <v>14571</v>
      </c>
      <c r="B38" t="s">
        <v>13368</v>
      </c>
      <c r="C38" t="s">
        <v>11159</v>
      </c>
      <c r="D38" t="s">
        <v>11159</v>
      </c>
      <c r="E38">
        <v>1.5</v>
      </c>
      <c r="F38">
        <v>2.4</v>
      </c>
      <c r="G38" t="s">
        <v>11741</v>
      </c>
      <c r="H38" t="s">
        <v>14452</v>
      </c>
      <c r="I38" t="s">
        <v>14572</v>
      </c>
      <c r="J38" t="s">
        <v>14573</v>
      </c>
      <c r="K38" t="s">
        <v>14455</v>
      </c>
      <c r="L38" t="s">
        <v>14456</v>
      </c>
      <c r="M38" t="s">
        <v>546</v>
      </c>
      <c r="N38">
        <v>1</v>
      </c>
      <c r="O38" t="s">
        <v>11504</v>
      </c>
      <c r="P38" t="s">
        <v>14450</v>
      </c>
    </row>
    <row r="39" spans="1:16">
      <c r="A39" t="s">
        <v>14574</v>
      </c>
      <c r="B39" t="s">
        <v>13368</v>
      </c>
      <c r="C39" t="s">
        <v>11159</v>
      </c>
      <c r="D39" t="s">
        <v>11159</v>
      </c>
      <c r="E39">
        <v>2.5</v>
      </c>
      <c r="F39">
        <v>3.4</v>
      </c>
      <c r="G39" t="s">
        <v>14458</v>
      </c>
      <c r="H39" t="s">
        <v>14459</v>
      </c>
      <c r="I39" t="s">
        <v>14575</v>
      </c>
      <c r="J39" t="s">
        <v>14576</v>
      </c>
      <c r="K39" t="s">
        <v>14462</v>
      </c>
      <c r="L39" t="s">
        <v>14463</v>
      </c>
      <c r="M39" t="s">
        <v>546</v>
      </c>
      <c r="N39">
        <v>1</v>
      </c>
      <c r="O39" t="s">
        <v>11504</v>
      </c>
      <c r="P39" t="s">
        <v>14450</v>
      </c>
    </row>
    <row r="40" spans="1:16">
      <c r="A40" t="s">
        <v>14577</v>
      </c>
      <c r="B40" t="s">
        <v>13368</v>
      </c>
      <c r="C40" t="s">
        <v>11159</v>
      </c>
      <c r="D40" t="s">
        <v>11159</v>
      </c>
      <c r="E40">
        <v>3.5</v>
      </c>
      <c r="F40">
        <v>4.2</v>
      </c>
      <c r="G40" t="s">
        <v>14465</v>
      </c>
      <c r="H40" t="s">
        <v>14466</v>
      </c>
      <c r="I40" t="s">
        <v>14578</v>
      </c>
      <c r="J40" t="s">
        <v>14579</v>
      </c>
      <c r="K40" t="s">
        <v>14469</v>
      </c>
      <c r="L40" t="s">
        <v>14470</v>
      </c>
      <c r="M40" t="s">
        <v>546</v>
      </c>
      <c r="N40">
        <v>1</v>
      </c>
      <c r="O40" t="s">
        <v>11504</v>
      </c>
      <c r="P40" t="s">
        <v>14450</v>
      </c>
    </row>
    <row r="41" spans="1:16">
      <c r="A41" t="s">
        <v>14580</v>
      </c>
      <c r="B41" t="s">
        <v>13368</v>
      </c>
      <c r="C41" t="s">
        <v>11159</v>
      </c>
      <c r="D41" t="s">
        <v>11159</v>
      </c>
      <c r="E41">
        <v>4.3</v>
      </c>
      <c r="F41">
        <v>5</v>
      </c>
      <c r="G41" t="s">
        <v>14472</v>
      </c>
      <c r="H41" t="s">
        <v>14473</v>
      </c>
      <c r="I41" t="s">
        <v>14581</v>
      </c>
      <c r="J41" t="s">
        <v>14582</v>
      </c>
      <c r="K41" t="s">
        <v>14476</v>
      </c>
      <c r="L41" t="s">
        <v>14477</v>
      </c>
      <c r="M41" t="s">
        <v>546</v>
      </c>
      <c r="N41">
        <v>1</v>
      </c>
      <c r="O41" t="s">
        <v>11504</v>
      </c>
      <c r="P41" t="s">
        <v>14450</v>
      </c>
    </row>
    <row r="42" spans="1:16">
      <c r="A42" t="s">
        <v>14583</v>
      </c>
      <c r="B42" t="s">
        <v>13371</v>
      </c>
      <c r="C42" t="s">
        <v>11159</v>
      </c>
      <c r="D42" t="s">
        <v>11159</v>
      </c>
      <c r="E42">
        <v>0</v>
      </c>
      <c r="F42">
        <v>1.4</v>
      </c>
      <c r="G42" t="s">
        <v>14444</v>
      </c>
      <c r="H42" t="s">
        <v>14445</v>
      </c>
      <c r="I42" t="s">
        <v>14584</v>
      </c>
      <c r="J42" t="s">
        <v>14585</v>
      </c>
      <c r="K42" t="s">
        <v>14448</v>
      </c>
      <c r="L42" t="s">
        <v>14449</v>
      </c>
      <c r="M42" t="s">
        <v>546</v>
      </c>
      <c r="N42">
        <v>1</v>
      </c>
      <c r="O42" t="s">
        <v>11504</v>
      </c>
      <c r="P42" t="s">
        <v>14450</v>
      </c>
    </row>
    <row r="43" spans="1:16">
      <c r="A43" t="s">
        <v>14586</v>
      </c>
      <c r="B43" t="s">
        <v>13371</v>
      </c>
      <c r="C43" t="s">
        <v>11159</v>
      </c>
      <c r="D43" t="s">
        <v>11159</v>
      </c>
      <c r="E43">
        <v>1.5</v>
      </c>
      <c r="F43">
        <v>2.4</v>
      </c>
      <c r="G43" t="s">
        <v>11741</v>
      </c>
      <c r="H43" t="s">
        <v>14452</v>
      </c>
      <c r="I43" t="s">
        <v>14587</v>
      </c>
      <c r="J43" t="s">
        <v>14588</v>
      </c>
      <c r="K43" t="s">
        <v>14455</v>
      </c>
      <c r="L43" t="s">
        <v>14456</v>
      </c>
      <c r="M43" t="s">
        <v>546</v>
      </c>
      <c r="N43">
        <v>1</v>
      </c>
      <c r="O43" t="s">
        <v>11504</v>
      </c>
      <c r="P43" t="s">
        <v>14450</v>
      </c>
    </row>
    <row r="44" spans="1:16">
      <c r="A44" t="s">
        <v>14589</v>
      </c>
      <c r="B44" t="s">
        <v>13371</v>
      </c>
      <c r="C44" t="s">
        <v>11159</v>
      </c>
      <c r="D44" t="s">
        <v>11159</v>
      </c>
      <c r="E44">
        <v>2.5</v>
      </c>
      <c r="F44">
        <v>3.4</v>
      </c>
      <c r="G44" t="s">
        <v>14458</v>
      </c>
      <c r="H44" t="s">
        <v>14459</v>
      </c>
      <c r="I44" t="s">
        <v>14590</v>
      </c>
      <c r="J44" t="s">
        <v>14591</v>
      </c>
      <c r="K44" t="s">
        <v>14462</v>
      </c>
      <c r="L44" t="s">
        <v>14463</v>
      </c>
      <c r="M44" t="s">
        <v>546</v>
      </c>
      <c r="N44">
        <v>1</v>
      </c>
      <c r="O44" t="s">
        <v>11504</v>
      </c>
      <c r="P44" t="s">
        <v>14450</v>
      </c>
    </row>
    <row r="45" spans="1:16">
      <c r="A45" t="s">
        <v>14592</v>
      </c>
      <c r="B45" t="s">
        <v>13371</v>
      </c>
      <c r="C45" t="s">
        <v>11159</v>
      </c>
      <c r="D45" t="s">
        <v>11159</v>
      </c>
      <c r="E45">
        <v>3.5</v>
      </c>
      <c r="F45">
        <v>4.2</v>
      </c>
      <c r="G45" t="s">
        <v>14465</v>
      </c>
      <c r="H45" t="s">
        <v>14466</v>
      </c>
      <c r="I45" t="s">
        <v>14593</v>
      </c>
      <c r="J45" t="s">
        <v>14594</v>
      </c>
      <c r="K45" t="s">
        <v>14469</v>
      </c>
      <c r="L45" t="s">
        <v>14470</v>
      </c>
      <c r="M45" t="s">
        <v>546</v>
      </c>
      <c r="N45">
        <v>1</v>
      </c>
      <c r="O45" t="s">
        <v>11504</v>
      </c>
      <c r="P45" t="s">
        <v>14450</v>
      </c>
    </row>
    <row r="46" spans="1:16">
      <c r="A46" t="s">
        <v>14595</v>
      </c>
      <c r="B46" t="s">
        <v>13371</v>
      </c>
      <c r="C46" t="s">
        <v>11159</v>
      </c>
      <c r="D46" t="s">
        <v>11159</v>
      </c>
      <c r="E46">
        <v>4.3</v>
      </c>
      <c r="F46">
        <v>5</v>
      </c>
      <c r="G46" t="s">
        <v>14472</v>
      </c>
      <c r="H46" t="s">
        <v>14473</v>
      </c>
      <c r="I46" t="s">
        <v>14596</v>
      </c>
      <c r="J46" t="s">
        <v>14597</v>
      </c>
      <c r="K46" t="s">
        <v>14476</v>
      </c>
      <c r="L46" t="s">
        <v>14477</v>
      </c>
      <c r="M46" t="s">
        <v>546</v>
      </c>
      <c r="N46">
        <v>1</v>
      </c>
      <c r="O46" t="s">
        <v>11504</v>
      </c>
      <c r="P46" t="s">
        <v>14450</v>
      </c>
    </row>
    <row r="47" spans="1:16">
      <c r="A47" t="s">
        <v>14598</v>
      </c>
      <c r="B47" t="s">
        <v>13374</v>
      </c>
      <c r="C47" t="s">
        <v>11159</v>
      </c>
      <c r="D47" t="s">
        <v>11159</v>
      </c>
      <c r="E47">
        <v>0</v>
      </c>
      <c r="F47">
        <v>1.4</v>
      </c>
      <c r="G47" t="s">
        <v>14444</v>
      </c>
      <c r="H47" t="s">
        <v>14445</v>
      </c>
      <c r="I47" t="s">
        <v>14599</v>
      </c>
      <c r="J47" t="s">
        <v>14600</v>
      </c>
      <c r="K47" t="s">
        <v>14448</v>
      </c>
      <c r="L47" t="s">
        <v>14449</v>
      </c>
      <c r="M47" t="s">
        <v>546</v>
      </c>
      <c r="N47">
        <v>1</v>
      </c>
      <c r="O47" t="s">
        <v>11504</v>
      </c>
      <c r="P47" t="s">
        <v>14450</v>
      </c>
    </row>
    <row r="48" spans="1:16">
      <c r="A48" t="s">
        <v>14601</v>
      </c>
      <c r="B48" t="s">
        <v>13374</v>
      </c>
      <c r="C48" t="s">
        <v>11159</v>
      </c>
      <c r="D48" t="s">
        <v>11159</v>
      </c>
      <c r="E48">
        <v>1.5</v>
      </c>
      <c r="F48">
        <v>2.4</v>
      </c>
      <c r="G48" t="s">
        <v>11741</v>
      </c>
      <c r="H48" t="s">
        <v>14452</v>
      </c>
      <c r="I48" t="s">
        <v>14602</v>
      </c>
      <c r="J48" t="s">
        <v>14603</v>
      </c>
      <c r="K48" t="s">
        <v>14455</v>
      </c>
      <c r="L48" t="s">
        <v>14456</v>
      </c>
      <c r="M48" t="s">
        <v>546</v>
      </c>
      <c r="N48">
        <v>1</v>
      </c>
      <c r="O48" t="s">
        <v>11504</v>
      </c>
      <c r="P48" t="s">
        <v>14450</v>
      </c>
    </row>
    <row r="49" spans="1:16">
      <c r="A49" t="s">
        <v>14604</v>
      </c>
      <c r="B49" t="s">
        <v>13374</v>
      </c>
      <c r="C49" t="s">
        <v>11159</v>
      </c>
      <c r="D49" t="s">
        <v>11159</v>
      </c>
      <c r="E49">
        <v>2.5</v>
      </c>
      <c r="F49">
        <v>3.4</v>
      </c>
      <c r="G49" t="s">
        <v>14458</v>
      </c>
      <c r="H49" t="s">
        <v>14459</v>
      </c>
      <c r="I49" t="s">
        <v>14605</v>
      </c>
      <c r="J49" t="s">
        <v>14606</v>
      </c>
      <c r="K49" t="s">
        <v>14462</v>
      </c>
      <c r="L49" t="s">
        <v>14463</v>
      </c>
      <c r="M49" t="s">
        <v>546</v>
      </c>
      <c r="N49">
        <v>1</v>
      </c>
      <c r="O49" t="s">
        <v>11504</v>
      </c>
      <c r="P49" t="s">
        <v>14450</v>
      </c>
    </row>
    <row r="50" spans="1:16">
      <c r="A50" t="s">
        <v>14607</v>
      </c>
      <c r="B50" t="s">
        <v>13374</v>
      </c>
      <c r="C50" t="s">
        <v>11159</v>
      </c>
      <c r="D50" t="s">
        <v>11159</v>
      </c>
      <c r="E50">
        <v>3.5</v>
      </c>
      <c r="F50">
        <v>4.2</v>
      </c>
      <c r="G50" t="s">
        <v>14465</v>
      </c>
      <c r="H50" t="s">
        <v>14466</v>
      </c>
      <c r="I50" t="s">
        <v>14608</v>
      </c>
      <c r="J50" t="s">
        <v>14609</v>
      </c>
      <c r="K50" t="s">
        <v>14469</v>
      </c>
      <c r="L50" t="s">
        <v>14470</v>
      </c>
      <c r="M50" t="s">
        <v>546</v>
      </c>
      <c r="N50">
        <v>1</v>
      </c>
      <c r="O50" t="s">
        <v>11504</v>
      </c>
      <c r="P50" t="s">
        <v>14450</v>
      </c>
    </row>
    <row r="51" spans="1:16">
      <c r="A51" t="s">
        <v>14610</v>
      </c>
      <c r="B51" t="s">
        <v>13374</v>
      </c>
      <c r="C51" t="s">
        <v>11159</v>
      </c>
      <c r="D51" t="s">
        <v>11159</v>
      </c>
      <c r="E51">
        <v>4.3</v>
      </c>
      <c r="F51">
        <v>5</v>
      </c>
      <c r="G51" t="s">
        <v>14472</v>
      </c>
      <c r="H51" t="s">
        <v>14473</v>
      </c>
      <c r="I51" t="s">
        <v>14611</v>
      </c>
      <c r="J51" t="s">
        <v>14612</v>
      </c>
      <c r="K51" t="s">
        <v>14476</v>
      </c>
      <c r="L51" t="s">
        <v>14477</v>
      </c>
      <c r="M51" t="s">
        <v>546</v>
      </c>
      <c r="N51">
        <v>1</v>
      </c>
      <c r="O51" t="s">
        <v>11504</v>
      </c>
      <c r="P51" t="s">
        <v>14450</v>
      </c>
    </row>
    <row r="52" spans="1:16">
      <c r="A52" t="s">
        <v>14613</v>
      </c>
      <c r="B52" t="s">
        <v>13377</v>
      </c>
      <c r="C52" t="s">
        <v>11159</v>
      </c>
      <c r="D52" t="s">
        <v>11159</v>
      </c>
      <c r="E52">
        <v>0</v>
      </c>
      <c r="F52">
        <v>1.4</v>
      </c>
      <c r="G52" t="s">
        <v>14444</v>
      </c>
      <c r="H52" t="s">
        <v>14445</v>
      </c>
      <c r="I52" t="s">
        <v>14614</v>
      </c>
      <c r="J52" t="s">
        <v>14615</v>
      </c>
      <c r="K52" t="s">
        <v>14448</v>
      </c>
      <c r="L52" t="s">
        <v>14449</v>
      </c>
      <c r="M52" t="s">
        <v>546</v>
      </c>
      <c r="N52">
        <v>1</v>
      </c>
      <c r="O52" t="s">
        <v>11504</v>
      </c>
      <c r="P52" t="s">
        <v>14450</v>
      </c>
    </row>
    <row r="53" spans="1:16">
      <c r="A53" t="s">
        <v>14616</v>
      </c>
      <c r="B53" t="s">
        <v>13377</v>
      </c>
      <c r="C53" t="s">
        <v>11159</v>
      </c>
      <c r="D53" t="s">
        <v>11159</v>
      </c>
      <c r="E53">
        <v>1.5</v>
      </c>
      <c r="F53">
        <v>2.4</v>
      </c>
      <c r="G53" t="s">
        <v>11741</v>
      </c>
      <c r="H53" t="s">
        <v>14452</v>
      </c>
      <c r="I53" t="s">
        <v>14617</v>
      </c>
      <c r="J53" t="s">
        <v>14618</v>
      </c>
      <c r="K53" t="s">
        <v>14455</v>
      </c>
      <c r="L53" t="s">
        <v>14456</v>
      </c>
      <c r="M53" t="s">
        <v>546</v>
      </c>
      <c r="N53">
        <v>1</v>
      </c>
      <c r="O53" t="s">
        <v>11504</v>
      </c>
      <c r="P53" t="s">
        <v>14450</v>
      </c>
    </row>
    <row r="54" spans="1:16">
      <c r="A54" t="s">
        <v>14619</v>
      </c>
      <c r="B54" t="s">
        <v>13377</v>
      </c>
      <c r="C54" t="s">
        <v>11159</v>
      </c>
      <c r="D54" t="s">
        <v>11159</v>
      </c>
      <c r="E54">
        <v>2.5</v>
      </c>
      <c r="F54">
        <v>3.4</v>
      </c>
      <c r="G54" t="s">
        <v>14458</v>
      </c>
      <c r="H54" t="s">
        <v>14459</v>
      </c>
      <c r="I54" t="s">
        <v>14620</v>
      </c>
      <c r="J54" t="s">
        <v>14621</v>
      </c>
      <c r="K54" t="s">
        <v>14462</v>
      </c>
      <c r="L54" t="s">
        <v>14463</v>
      </c>
      <c r="M54" t="s">
        <v>546</v>
      </c>
      <c r="N54">
        <v>1</v>
      </c>
      <c r="O54" t="s">
        <v>11504</v>
      </c>
      <c r="P54" t="s">
        <v>14450</v>
      </c>
    </row>
    <row r="55" spans="1:16">
      <c r="A55" t="s">
        <v>14622</v>
      </c>
      <c r="B55" t="s">
        <v>13377</v>
      </c>
      <c r="C55" t="s">
        <v>11159</v>
      </c>
      <c r="D55" t="s">
        <v>11159</v>
      </c>
      <c r="E55">
        <v>3.5</v>
      </c>
      <c r="F55">
        <v>4.2</v>
      </c>
      <c r="G55" t="s">
        <v>14465</v>
      </c>
      <c r="H55" t="s">
        <v>14466</v>
      </c>
      <c r="I55" t="s">
        <v>14623</v>
      </c>
      <c r="J55" t="s">
        <v>14624</v>
      </c>
      <c r="K55" t="s">
        <v>14469</v>
      </c>
      <c r="L55" t="s">
        <v>14470</v>
      </c>
      <c r="M55" t="s">
        <v>546</v>
      </c>
      <c r="N55">
        <v>1</v>
      </c>
      <c r="O55" t="s">
        <v>11504</v>
      </c>
      <c r="P55" t="s">
        <v>14450</v>
      </c>
    </row>
    <row r="56" spans="1:16">
      <c r="A56" t="s">
        <v>14625</v>
      </c>
      <c r="B56" t="s">
        <v>13377</v>
      </c>
      <c r="C56" t="s">
        <v>11159</v>
      </c>
      <c r="D56" t="s">
        <v>11159</v>
      </c>
      <c r="E56">
        <v>4.3</v>
      </c>
      <c r="F56">
        <v>5</v>
      </c>
      <c r="G56" t="s">
        <v>14472</v>
      </c>
      <c r="H56" t="s">
        <v>14473</v>
      </c>
      <c r="I56" t="s">
        <v>14626</v>
      </c>
      <c r="J56" t="s">
        <v>14627</v>
      </c>
      <c r="K56" t="s">
        <v>14476</v>
      </c>
      <c r="L56" t="s">
        <v>14477</v>
      </c>
      <c r="M56" t="s">
        <v>546</v>
      </c>
      <c r="N56">
        <v>1</v>
      </c>
      <c r="O56" t="s">
        <v>11504</v>
      </c>
      <c r="P56" t="s">
        <v>14450</v>
      </c>
    </row>
    <row r="57" spans="1:16">
      <c r="A57" t="s">
        <v>14628</v>
      </c>
      <c r="B57" t="s">
        <v>13380</v>
      </c>
      <c r="C57" t="s">
        <v>11159</v>
      </c>
      <c r="D57" t="s">
        <v>11159</v>
      </c>
      <c r="E57">
        <v>0</v>
      </c>
      <c r="F57">
        <v>1.4</v>
      </c>
      <c r="G57" t="s">
        <v>14444</v>
      </c>
      <c r="H57" t="s">
        <v>14445</v>
      </c>
      <c r="I57" t="s">
        <v>14629</v>
      </c>
      <c r="J57" t="s">
        <v>14630</v>
      </c>
      <c r="K57" t="s">
        <v>14448</v>
      </c>
      <c r="L57" t="s">
        <v>14449</v>
      </c>
      <c r="M57" t="s">
        <v>546</v>
      </c>
      <c r="N57">
        <v>1</v>
      </c>
      <c r="O57" t="s">
        <v>11504</v>
      </c>
      <c r="P57" t="s">
        <v>14450</v>
      </c>
    </row>
    <row r="58" spans="1:16">
      <c r="A58" t="s">
        <v>14631</v>
      </c>
      <c r="B58" t="s">
        <v>13380</v>
      </c>
      <c r="C58" t="s">
        <v>11159</v>
      </c>
      <c r="D58" t="s">
        <v>11159</v>
      </c>
      <c r="E58">
        <v>1.5</v>
      </c>
      <c r="F58">
        <v>2.4</v>
      </c>
      <c r="G58" t="s">
        <v>11741</v>
      </c>
      <c r="H58" t="s">
        <v>14452</v>
      </c>
      <c r="I58" t="s">
        <v>14632</v>
      </c>
      <c r="J58" t="s">
        <v>14633</v>
      </c>
      <c r="K58" t="s">
        <v>14455</v>
      </c>
      <c r="L58" t="s">
        <v>14456</v>
      </c>
      <c r="M58" t="s">
        <v>546</v>
      </c>
      <c r="N58">
        <v>1</v>
      </c>
      <c r="O58" t="s">
        <v>11504</v>
      </c>
      <c r="P58" t="s">
        <v>14450</v>
      </c>
    </row>
    <row r="59" spans="1:16">
      <c r="A59" t="s">
        <v>14634</v>
      </c>
      <c r="B59" t="s">
        <v>13380</v>
      </c>
      <c r="C59" t="s">
        <v>11159</v>
      </c>
      <c r="D59" t="s">
        <v>11159</v>
      </c>
      <c r="E59">
        <v>2.5</v>
      </c>
      <c r="F59">
        <v>3.4</v>
      </c>
      <c r="G59" t="s">
        <v>14458</v>
      </c>
      <c r="H59" t="s">
        <v>14459</v>
      </c>
      <c r="I59" t="s">
        <v>14635</v>
      </c>
      <c r="J59" t="s">
        <v>14636</v>
      </c>
      <c r="K59" t="s">
        <v>14462</v>
      </c>
      <c r="L59" t="s">
        <v>14463</v>
      </c>
      <c r="M59" t="s">
        <v>546</v>
      </c>
      <c r="N59">
        <v>1</v>
      </c>
      <c r="O59" t="s">
        <v>11504</v>
      </c>
      <c r="P59" t="s">
        <v>14450</v>
      </c>
    </row>
    <row r="60" spans="1:16">
      <c r="A60" t="s">
        <v>14637</v>
      </c>
      <c r="B60" t="s">
        <v>13380</v>
      </c>
      <c r="C60" t="s">
        <v>11159</v>
      </c>
      <c r="D60" t="s">
        <v>11159</v>
      </c>
      <c r="E60">
        <v>3.5</v>
      </c>
      <c r="F60">
        <v>4.2</v>
      </c>
      <c r="G60" t="s">
        <v>14465</v>
      </c>
      <c r="H60" t="s">
        <v>14466</v>
      </c>
      <c r="I60" t="s">
        <v>14638</v>
      </c>
      <c r="J60" t="s">
        <v>14639</v>
      </c>
      <c r="K60" t="s">
        <v>14469</v>
      </c>
      <c r="L60" t="s">
        <v>14470</v>
      </c>
      <c r="M60" t="s">
        <v>546</v>
      </c>
      <c r="N60">
        <v>1</v>
      </c>
      <c r="O60" t="s">
        <v>11504</v>
      </c>
      <c r="P60" t="s">
        <v>14450</v>
      </c>
    </row>
    <row r="61" spans="1:16">
      <c r="A61" t="s">
        <v>14640</v>
      </c>
      <c r="B61" t="s">
        <v>13380</v>
      </c>
      <c r="C61" t="s">
        <v>11159</v>
      </c>
      <c r="D61" t="s">
        <v>11159</v>
      </c>
      <c r="E61">
        <v>4.3</v>
      </c>
      <c r="F61">
        <v>5</v>
      </c>
      <c r="G61" t="s">
        <v>14472</v>
      </c>
      <c r="H61" t="s">
        <v>14473</v>
      </c>
      <c r="I61" t="s">
        <v>14641</v>
      </c>
      <c r="J61" t="s">
        <v>14642</v>
      </c>
      <c r="K61" t="s">
        <v>14476</v>
      </c>
      <c r="L61" t="s">
        <v>14477</v>
      </c>
      <c r="M61" t="s">
        <v>546</v>
      </c>
      <c r="N61">
        <v>1</v>
      </c>
      <c r="O61" t="s">
        <v>11504</v>
      </c>
      <c r="P61" t="s">
        <v>14450</v>
      </c>
    </row>
    <row r="62" spans="1:16">
      <c r="A62" t="s">
        <v>14643</v>
      </c>
      <c r="B62" t="s">
        <v>13383</v>
      </c>
      <c r="C62" t="s">
        <v>11159</v>
      </c>
      <c r="D62" t="s">
        <v>11159</v>
      </c>
      <c r="E62">
        <v>0</v>
      </c>
      <c r="F62">
        <v>1.4</v>
      </c>
      <c r="G62" t="s">
        <v>14444</v>
      </c>
      <c r="H62" t="s">
        <v>14445</v>
      </c>
      <c r="I62" t="s">
        <v>14644</v>
      </c>
      <c r="J62" t="s">
        <v>14645</v>
      </c>
      <c r="K62" t="s">
        <v>14448</v>
      </c>
      <c r="L62" t="s">
        <v>14449</v>
      </c>
      <c r="M62" t="s">
        <v>546</v>
      </c>
      <c r="N62">
        <v>1</v>
      </c>
      <c r="O62" t="s">
        <v>11504</v>
      </c>
      <c r="P62" t="s">
        <v>14450</v>
      </c>
    </row>
    <row r="63" spans="1:16">
      <c r="A63" t="s">
        <v>14646</v>
      </c>
      <c r="B63" t="s">
        <v>13383</v>
      </c>
      <c r="C63" t="s">
        <v>11159</v>
      </c>
      <c r="D63" t="s">
        <v>11159</v>
      </c>
      <c r="E63">
        <v>1.5</v>
      </c>
      <c r="F63">
        <v>2.4</v>
      </c>
      <c r="G63" t="s">
        <v>11741</v>
      </c>
      <c r="H63" t="s">
        <v>14452</v>
      </c>
      <c r="I63" t="s">
        <v>14647</v>
      </c>
      <c r="J63" t="s">
        <v>14648</v>
      </c>
      <c r="K63" t="s">
        <v>14455</v>
      </c>
      <c r="L63" t="s">
        <v>14456</v>
      </c>
      <c r="M63" t="s">
        <v>546</v>
      </c>
      <c r="N63">
        <v>1</v>
      </c>
      <c r="O63" t="s">
        <v>11504</v>
      </c>
      <c r="P63" t="s">
        <v>14450</v>
      </c>
    </row>
    <row r="64" spans="1:16">
      <c r="A64" t="s">
        <v>14649</v>
      </c>
      <c r="B64" t="s">
        <v>13383</v>
      </c>
      <c r="C64" t="s">
        <v>11159</v>
      </c>
      <c r="D64" t="s">
        <v>11159</v>
      </c>
      <c r="E64">
        <v>2.5</v>
      </c>
      <c r="F64">
        <v>3.4</v>
      </c>
      <c r="G64" t="s">
        <v>14458</v>
      </c>
      <c r="H64" t="s">
        <v>14459</v>
      </c>
      <c r="I64" t="s">
        <v>14650</v>
      </c>
      <c r="J64" t="s">
        <v>14651</v>
      </c>
      <c r="K64" t="s">
        <v>14462</v>
      </c>
      <c r="L64" t="s">
        <v>14463</v>
      </c>
      <c r="M64" t="s">
        <v>546</v>
      </c>
      <c r="N64">
        <v>1</v>
      </c>
      <c r="O64" t="s">
        <v>11504</v>
      </c>
      <c r="P64" t="s">
        <v>14450</v>
      </c>
    </row>
    <row r="65" spans="1:16">
      <c r="A65" t="s">
        <v>14652</v>
      </c>
      <c r="B65" t="s">
        <v>13383</v>
      </c>
      <c r="C65" t="s">
        <v>11159</v>
      </c>
      <c r="D65" t="s">
        <v>11159</v>
      </c>
      <c r="E65">
        <v>3.5</v>
      </c>
      <c r="F65">
        <v>4.2</v>
      </c>
      <c r="G65" t="s">
        <v>14465</v>
      </c>
      <c r="H65" t="s">
        <v>14466</v>
      </c>
      <c r="I65" t="s">
        <v>14653</v>
      </c>
      <c r="J65" t="s">
        <v>14654</v>
      </c>
      <c r="K65" t="s">
        <v>14469</v>
      </c>
      <c r="L65" t="s">
        <v>14470</v>
      </c>
      <c r="M65" t="s">
        <v>546</v>
      </c>
      <c r="N65">
        <v>1</v>
      </c>
      <c r="O65" t="s">
        <v>11504</v>
      </c>
      <c r="P65" t="s">
        <v>14450</v>
      </c>
    </row>
    <row r="66" spans="1:16">
      <c r="A66" t="s">
        <v>14655</v>
      </c>
      <c r="B66" t="s">
        <v>13383</v>
      </c>
      <c r="C66" t="s">
        <v>11159</v>
      </c>
      <c r="D66" t="s">
        <v>11159</v>
      </c>
      <c r="E66">
        <v>4.3</v>
      </c>
      <c r="F66">
        <v>5</v>
      </c>
      <c r="G66" t="s">
        <v>14472</v>
      </c>
      <c r="H66" t="s">
        <v>14473</v>
      </c>
      <c r="I66" t="s">
        <v>14656</v>
      </c>
      <c r="J66" t="s">
        <v>14657</v>
      </c>
      <c r="K66" t="s">
        <v>14476</v>
      </c>
      <c r="L66" t="s">
        <v>14477</v>
      </c>
      <c r="M66" t="s">
        <v>546</v>
      </c>
      <c r="N66">
        <v>1</v>
      </c>
      <c r="O66" t="s">
        <v>11504</v>
      </c>
      <c r="P66" t="s">
        <v>14450</v>
      </c>
    </row>
    <row r="67" spans="1:16">
      <c r="A67" t="s">
        <v>14658</v>
      </c>
      <c r="B67" t="s">
        <v>13386</v>
      </c>
      <c r="C67" t="s">
        <v>11159</v>
      </c>
      <c r="D67" t="s">
        <v>11159</v>
      </c>
      <c r="E67">
        <v>0</v>
      </c>
      <c r="F67">
        <v>1.4</v>
      </c>
      <c r="G67" t="s">
        <v>14444</v>
      </c>
      <c r="H67" t="s">
        <v>14445</v>
      </c>
      <c r="I67" t="s">
        <v>14659</v>
      </c>
      <c r="J67" t="s">
        <v>14660</v>
      </c>
      <c r="K67" t="s">
        <v>14448</v>
      </c>
      <c r="L67" t="s">
        <v>14449</v>
      </c>
      <c r="M67" t="s">
        <v>546</v>
      </c>
      <c r="N67">
        <v>1</v>
      </c>
      <c r="O67" t="s">
        <v>11504</v>
      </c>
      <c r="P67" t="s">
        <v>14450</v>
      </c>
    </row>
    <row r="68" spans="1:16">
      <c r="A68" t="s">
        <v>14661</v>
      </c>
      <c r="B68" t="s">
        <v>13386</v>
      </c>
      <c r="C68" t="s">
        <v>11159</v>
      </c>
      <c r="D68" t="s">
        <v>11159</v>
      </c>
      <c r="E68">
        <v>1.5</v>
      </c>
      <c r="F68">
        <v>2.4</v>
      </c>
      <c r="G68" t="s">
        <v>11741</v>
      </c>
      <c r="H68" t="s">
        <v>14452</v>
      </c>
      <c r="I68" t="s">
        <v>14662</v>
      </c>
      <c r="J68" t="s">
        <v>14663</v>
      </c>
      <c r="K68" t="s">
        <v>14455</v>
      </c>
      <c r="L68" t="s">
        <v>14456</v>
      </c>
      <c r="M68" t="s">
        <v>546</v>
      </c>
      <c r="N68">
        <v>1</v>
      </c>
      <c r="O68" t="s">
        <v>11504</v>
      </c>
      <c r="P68" t="s">
        <v>14450</v>
      </c>
    </row>
    <row r="69" spans="1:16">
      <c r="A69" t="s">
        <v>14664</v>
      </c>
      <c r="B69" t="s">
        <v>13386</v>
      </c>
      <c r="C69" t="s">
        <v>11159</v>
      </c>
      <c r="D69" t="s">
        <v>11159</v>
      </c>
      <c r="E69">
        <v>2.5</v>
      </c>
      <c r="F69">
        <v>3.4</v>
      </c>
      <c r="G69" t="s">
        <v>14458</v>
      </c>
      <c r="H69" t="s">
        <v>14459</v>
      </c>
      <c r="I69" t="s">
        <v>14665</v>
      </c>
      <c r="J69" t="s">
        <v>14666</v>
      </c>
      <c r="K69" t="s">
        <v>14462</v>
      </c>
      <c r="L69" t="s">
        <v>14463</v>
      </c>
      <c r="M69" t="s">
        <v>546</v>
      </c>
      <c r="N69">
        <v>1</v>
      </c>
      <c r="O69" t="s">
        <v>11504</v>
      </c>
      <c r="P69" t="s">
        <v>14450</v>
      </c>
    </row>
    <row r="70" spans="1:16">
      <c r="A70" t="s">
        <v>14667</v>
      </c>
      <c r="B70" t="s">
        <v>13386</v>
      </c>
      <c r="C70" t="s">
        <v>11159</v>
      </c>
      <c r="D70" t="s">
        <v>11159</v>
      </c>
      <c r="E70">
        <v>3.5</v>
      </c>
      <c r="F70">
        <v>4.2</v>
      </c>
      <c r="G70" t="s">
        <v>14465</v>
      </c>
      <c r="H70" t="s">
        <v>14466</v>
      </c>
      <c r="I70" t="s">
        <v>14668</v>
      </c>
      <c r="J70" t="s">
        <v>14669</v>
      </c>
      <c r="K70" t="s">
        <v>14469</v>
      </c>
      <c r="L70" t="s">
        <v>14470</v>
      </c>
      <c r="M70" t="s">
        <v>546</v>
      </c>
      <c r="N70">
        <v>1</v>
      </c>
      <c r="O70" t="s">
        <v>11504</v>
      </c>
      <c r="P70" t="s">
        <v>14450</v>
      </c>
    </row>
    <row r="71" spans="1:16">
      <c r="A71" t="s">
        <v>14670</v>
      </c>
      <c r="B71" t="s">
        <v>13386</v>
      </c>
      <c r="C71" t="s">
        <v>11159</v>
      </c>
      <c r="D71" t="s">
        <v>11159</v>
      </c>
      <c r="E71">
        <v>4.3</v>
      </c>
      <c r="F71">
        <v>5</v>
      </c>
      <c r="G71" t="s">
        <v>14472</v>
      </c>
      <c r="H71" t="s">
        <v>14473</v>
      </c>
      <c r="I71" t="s">
        <v>14671</v>
      </c>
      <c r="J71" t="s">
        <v>14672</v>
      </c>
      <c r="K71" t="s">
        <v>14476</v>
      </c>
      <c r="L71" t="s">
        <v>14477</v>
      </c>
      <c r="M71" t="s">
        <v>546</v>
      </c>
      <c r="N71">
        <v>1</v>
      </c>
      <c r="O71" t="s">
        <v>11504</v>
      </c>
      <c r="P71" t="s">
        <v>14450</v>
      </c>
    </row>
    <row r="72" spans="1:16">
      <c r="A72" t="s">
        <v>14673</v>
      </c>
      <c r="B72" t="s">
        <v>13389</v>
      </c>
      <c r="C72" t="s">
        <v>11159</v>
      </c>
      <c r="D72" t="s">
        <v>11159</v>
      </c>
      <c r="E72">
        <v>0</v>
      </c>
      <c r="F72">
        <v>1.4</v>
      </c>
      <c r="G72" t="s">
        <v>14444</v>
      </c>
      <c r="H72" t="s">
        <v>14445</v>
      </c>
      <c r="I72" t="s">
        <v>14674</v>
      </c>
      <c r="J72" t="s">
        <v>14675</v>
      </c>
      <c r="K72" t="s">
        <v>14448</v>
      </c>
      <c r="L72" t="s">
        <v>14449</v>
      </c>
      <c r="M72" t="s">
        <v>546</v>
      </c>
      <c r="N72">
        <v>1</v>
      </c>
      <c r="O72" t="s">
        <v>11504</v>
      </c>
      <c r="P72" t="s">
        <v>14450</v>
      </c>
    </row>
    <row r="73" spans="1:16">
      <c r="A73" t="s">
        <v>14676</v>
      </c>
      <c r="B73" t="s">
        <v>13389</v>
      </c>
      <c r="C73" t="s">
        <v>11159</v>
      </c>
      <c r="D73" t="s">
        <v>11159</v>
      </c>
      <c r="E73">
        <v>1.5</v>
      </c>
      <c r="F73">
        <v>2.4</v>
      </c>
      <c r="G73" t="s">
        <v>11741</v>
      </c>
      <c r="H73" t="s">
        <v>14452</v>
      </c>
      <c r="I73" t="s">
        <v>14677</v>
      </c>
      <c r="J73" t="s">
        <v>14678</v>
      </c>
      <c r="K73" t="s">
        <v>14455</v>
      </c>
      <c r="L73" t="s">
        <v>14456</v>
      </c>
      <c r="M73" t="s">
        <v>546</v>
      </c>
      <c r="N73">
        <v>1</v>
      </c>
      <c r="O73" t="s">
        <v>11504</v>
      </c>
      <c r="P73" t="s">
        <v>14450</v>
      </c>
    </row>
    <row r="74" spans="1:16">
      <c r="A74" t="s">
        <v>14679</v>
      </c>
      <c r="B74" t="s">
        <v>13389</v>
      </c>
      <c r="C74" t="s">
        <v>11159</v>
      </c>
      <c r="D74" t="s">
        <v>11159</v>
      </c>
      <c r="E74">
        <v>2.5</v>
      </c>
      <c r="F74">
        <v>3.4</v>
      </c>
      <c r="G74" t="s">
        <v>14458</v>
      </c>
      <c r="H74" t="s">
        <v>14459</v>
      </c>
      <c r="I74" t="s">
        <v>14680</v>
      </c>
      <c r="J74" t="s">
        <v>14681</v>
      </c>
      <c r="K74" t="s">
        <v>14462</v>
      </c>
      <c r="L74" t="s">
        <v>14463</v>
      </c>
      <c r="M74" t="s">
        <v>546</v>
      </c>
      <c r="N74">
        <v>1</v>
      </c>
      <c r="O74" t="s">
        <v>11504</v>
      </c>
      <c r="P74" t="s">
        <v>14450</v>
      </c>
    </row>
    <row r="75" spans="1:16">
      <c r="A75" t="s">
        <v>14682</v>
      </c>
      <c r="B75" t="s">
        <v>13389</v>
      </c>
      <c r="C75" t="s">
        <v>11159</v>
      </c>
      <c r="D75" t="s">
        <v>11159</v>
      </c>
      <c r="E75">
        <v>3.5</v>
      </c>
      <c r="F75">
        <v>4.2</v>
      </c>
      <c r="G75" t="s">
        <v>14465</v>
      </c>
      <c r="H75" t="s">
        <v>14466</v>
      </c>
      <c r="I75" t="s">
        <v>14683</v>
      </c>
      <c r="J75" t="s">
        <v>14684</v>
      </c>
      <c r="K75" t="s">
        <v>14469</v>
      </c>
      <c r="L75" t="s">
        <v>14470</v>
      </c>
      <c r="M75" t="s">
        <v>546</v>
      </c>
      <c r="N75">
        <v>1</v>
      </c>
      <c r="O75" t="s">
        <v>11504</v>
      </c>
      <c r="P75" t="s">
        <v>14450</v>
      </c>
    </row>
    <row r="76" spans="1:16">
      <c r="A76" t="s">
        <v>14685</v>
      </c>
      <c r="B76" t="s">
        <v>13389</v>
      </c>
      <c r="C76" t="s">
        <v>11159</v>
      </c>
      <c r="D76" t="s">
        <v>11159</v>
      </c>
      <c r="E76">
        <v>4.3</v>
      </c>
      <c r="F76">
        <v>5</v>
      </c>
      <c r="G76" t="s">
        <v>14472</v>
      </c>
      <c r="H76" t="s">
        <v>14473</v>
      </c>
      <c r="I76" t="s">
        <v>14686</v>
      </c>
      <c r="J76" t="s">
        <v>14687</v>
      </c>
      <c r="K76" t="s">
        <v>14476</v>
      </c>
      <c r="L76" t="s">
        <v>14477</v>
      </c>
      <c r="M76" t="s">
        <v>546</v>
      </c>
      <c r="N76">
        <v>1</v>
      </c>
      <c r="O76" t="s">
        <v>11504</v>
      </c>
      <c r="P76" t="s">
        <v>14450</v>
      </c>
    </row>
    <row r="77" spans="1:16">
      <c r="A77" t="s">
        <v>14688</v>
      </c>
      <c r="B77" t="s">
        <v>13392</v>
      </c>
      <c r="C77" t="s">
        <v>11159</v>
      </c>
      <c r="D77" t="s">
        <v>11159</v>
      </c>
      <c r="E77">
        <v>0</v>
      </c>
      <c r="F77">
        <v>1.4</v>
      </c>
      <c r="G77" t="s">
        <v>14444</v>
      </c>
      <c r="H77" t="s">
        <v>14445</v>
      </c>
      <c r="I77" t="s">
        <v>14689</v>
      </c>
      <c r="J77" t="s">
        <v>14690</v>
      </c>
      <c r="K77" t="s">
        <v>14448</v>
      </c>
      <c r="L77" t="s">
        <v>14449</v>
      </c>
      <c r="M77" t="s">
        <v>546</v>
      </c>
      <c r="N77">
        <v>1</v>
      </c>
      <c r="O77" t="s">
        <v>11504</v>
      </c>
      <c r="P77" t="s">
        <v>14450</v>
      </c>
    </row>
    <row r="78" spans="1:16">
      <c r="A78" t="s">
        <v>14691</v>
      </c>
      <c r="B78" t="s">
        <v>13392</v>
      </c>
      <c r="C78" t="s">
        <v>11159</v>
      </c>
      <c r="D78" t="s">
        <v>11159</v>
      </c>
      <c r="E78">
        <v>1.5</v>
      </c>
      <c r="F78">
        <v>2.4</v>
      </c>
      <c r="G78" t="s">
        <v>11741</v>
      </c>
      <c r="H78" t="s">
        <v>14452</v>
      </c>
      <c r="I78" t="s">
        <v>14692</v>
      </c>
      <c r="J78" t="s">
        <v>14693</v>
      </c>
      <c r="K78" t="s">
        <v>14455</v>
      </c>
      <c r="L78" t="s">
        <v>14456</v>
      </c>
      <c r="M78" t="s">
        <v>546</v>
      </c>
      <c r="N78">
        <v>1</v>
      </c>
      <c r="O78" t="s">
        <v>11504</v>
      </c>
      <c r="P78" t="s">
        <v>14450</v>
      </c>
    </row>
    <row r="79" spans="1:16">
      <c r="A79" t="s">
        <v>14694</v>
      </c>
      <c r="B79" t="s">
        <v>13392</v>
      </c>
      <c r="C79" t="s">
        <v>11159</v>
      </c>
      <c r="D79" t="s">
        <v>11159</v>
      </c>
      <c r="E79">
        <v>2.5</v>
      </c>
      <c r="F79">
        <v>3.4</v>
      </c>
      <c r="G79" t="s">
        <v>14458</v>
      </c>
      <c r="H79" t="s">
        <v>14459</v>
      </c>
      <c r="I79" t="s">
        <v>14695</v>
      </c>
      <c r="J79" t="s">
        <v>14696</v>
      </c>
      <c r="K79" t="s">
        <v>14462</v>
      </c>
      <c r="L79" t="s">
        <v>14463</v>
      </c>
      <c r="M79" t="s">
        <v>546</v>
      </c>
      <c r="N79">
        <v>1</v>
      </c>
      <c r="O79" t="s">
        <v>11504</v>
      </c>
      <c r="P79" t="s">
        <v>14450</v>
      </c>
    </row>
    <row r="80" spans="1:16">
      <c r="A80" t="s">
        <v>14697</v>
      </c>
      <c r="B80" t="s">
        <v>13392</v>
      </c>
      <c r="C80" t="s">
        <v>11159</v>
      </c>
      <c r="D80" t="s">
        <v>11159</v>
      </c>
      <c r="E80">
        <v>3.5</v>
      </c>
      <c r="F80">
        <v>4.2</v>
      </c>
      <c r="G80" t="s">
        <v>14465</v>
      </c>
      <c r="H80" t="s">
        <v>14466</v>
      </c>
      <c r="I80" t="s">
        <v>14698</v>
      </c>
      <c r="J80" t="s">
        <v>14699</v>
      </c>
      <c r="K80" t="s">
        <v>14469</v>
      </c>
      <c r="L80" t="s">
        <v>14470</v>
      </c>
      <c r="M80" t="s">
        <v>546</v>
      </c>
      <c r="N80">
        <v>1</v>
      </c>
      <c r="O80" t="s">
        <v>11504</v>
      </c>
      <c r="P80" t="s">
        <v>14450</v>
      </c>
    </row>
    <row r="81" spans="1:16">
      <c r="A81" t="s">
        <v>14700</v>
      </c>
      <c r="B81" t="s">
        <v>13392</v>
      </c>
      <c r="C81" t="s">
        <v>11159</v>
      </c>
      <c r="D81" t="s">
        <v>11159</v>
      </c>
      <c r="E81">
        <v>4.3</v>
      </c>
      <c r="F81">
        <v>5</v>
      </c>
      <c r="G81" t="s">
        <v>14472</v>
      </c>
      <c r="H81" t="s">
        <v>14473</v>
      </c>
      <c r="I81" t="s">
        <v>14701</v>
      </c>
      <c r="J81" t="s">
        <v>14702</v>
      </c>
      <c r="K81" t="s">
        <v>14476</v>
      </c>
      <c r="L81" t="s">
        <v>14477</v>
      </c>
      <c r="M81" t="s">
        <v>546</v>
      </c>
      <c r="N81">
        <v>1</v>
      </c>
      <c r="O81" t="s">
        <v>11504</v>
      </c>
      <c r="P81" t="s">
        <v>14450</v>
      </c>
    </row>
    <row r="82" spans="1:16">
      <c r="A82" t="s">
        <v>14703</v>
      </c>
      <c r="B82" t="s">
        <v>13395</v>
      </c>
      <c r="C82" t="s">
        <v>11159</v>
      </c>
      <c r="D82" t="s">
        <v>11159</v>
      </c>
      <c r="E82">
        <v>0</v>
      </c>
      <c r="F82">
        <v>1.4</v>
      </c>
      <c r="G82" t="s">
        <v>14444</v>
      </c>
      <c r="H82" t="s">
        <v>14445</v>
      </c>
      <c r="I82" t="s">
        <v>14704</v>
      </c>
      <c r="J82" t="s">
        <v>14705</v>
      </c>
      <c r="K82" t="s">
        <v>14448</v>
      </c>
      <c r="L82" t="s">
        <v>14449</v>
      </c>
      <c r="M82" t="s">
        <v>546</v>
      </c>
      <c r="N82">
        <v>1</v>
      </c>
      <c r="O82" t="s">
        <v>11504</v>
      </c>
      <c r="P82" t="s">
        <v>14450</v>
      </c>
    </row>
    <row r="83" spans="1:16">
      <c r="A83" t="s">
        <v>14706</v>
      </c>
      <c r="B83" t="s">
        <v>13395</v>
      </c>
      <c r="C83" t="s">
        <v>11159</v>
      </c>
      <c r="D83" t="s">
        <v>11159</v>
      </c>
      <c r="E83">
        <v>1.5</v>
      </c>
      <c r="F83">
        <v>2.4</v>
      </c>
      <c r="G83" t="s">
        <v>11741</v>
      </c>
      <c r="H83" t="s">
        <v>14452</v>
      </c>
      <c r="I83" t="s">
        <v>14707</v>
      </c>
      <c r="J83" t="s">
        <v>14708</v>
      </c>
      <c r="K83" t="s">
        <v>14455</v>
      </c>
      <c r="L83" t="s">
        <v>14456</v>
      </c>
      <c r="M83" t="s">
        <v>546</v>
      </c>
      <c r="N83">
        <v>1</v>
      </c>
      <c r="O83" t="s">
        <v>11504</v>
      </c>
      <c r="P83" t="s">
        <v>14450</v>
      </c>
    </row>
    <row r="84" spans="1:16">
      <c r="A84" t="s">
        <v>14709</v>
      </c>
      <c r="B84" t="s">
        <v>13395</v>
      </c>
      <c r="C84" t="s">
        <v>11159</v>
      </c>
      <c r="D84" t="s">
        <v>11159</v>
      </c>
      <c r="E84">
        <v>2.5</v>
      </c>
      <c r="F84">
        <v>3.4</v>
      </c>
      <c r="G84" t="s">
        <v>14458</v>
      </c>
      <c r="H84" t="s">
        <v>14459</v>
      </c>
      <c r="I84" t="s">
        <v>14710</v>
      </c>
      <c r="J84" t="s">
        <v>14711</v>
      </c>
      <c r="K84" t="s">
        <v>14462</v>
      </c>
      <c r="L84" t="s">
        <v>14463</v>
      </c>
      <c r="M84" t="s">
        <v>546</v>
      </c>
      <c r="N84">
        <v>1</v>
      </c>
      <c r="O84" t="s">
        <v>11504</v>
      </c>
      <c r="P84" t="s">
        <v>14450</v>
      </c>
    </row>
    <row r="85" spans="1:16">
      <c r="A85" t="s">
        <v>14712</v>
      </c>
      <c r="B85" t="s">
        <v>13395</v>
      </c>
      <c r="C85" t="s">
        <v>11159</v>
      </c>
      <c r="D85" t="s">
        <v>11159</v>
      </c>
      <c r="E85">
        <v>3.5</v>
      </c>
      <c r="F85">
        <v>4.2</v>
      </c>
      <c r="G85" t="s">
        <v>14465</v>
      </c>
      <c r="H85" t="s">
        <v>14466</v>
      </c>
      <c r="I85" t="s">
        <v>14713</v>
      </c>
      <c r="J85" t="s">
        <v>14714</v>
      </c>
      <c r="K85" t="s">
        <v>14469</v>
      </c>
      <c r="L85" t="s">
        <v>14470</v>
      </c>
      <c r="M85" t="s">
        <v>546</v>
      </c>
      <c r="N85">
        <v>1</v>
      </c>
      <c r="O85" t="s">
        <v>11504</v>
      </c>
      <c r="P85" t="s">
        <v>14450</v>
      </c>
    </row>
    <row r="86" spans="1:16">
      <c r="A86" t="s">
        <v>14715</v>
      </c>
      <c r="B86" t="s">
        <v>13395</v>
      </c>
      <c r="C86" t="s">
        <v>11159</v>
      </c>
      <c r="D86" t="s">
        <v>11159</v>
      </c>
      <c r="E86">
        <v>4.3</v>
      </c>
      <c r="F86">
        <v>5</v>
      </c>
      <c r="G86" t="s">
        <v>14472</v>
      </c>
      <c r="H86" t="s">
        <v>14473</v>
      </c>
      <c r="I86" t="s">
        <v>14716</v>
      </c>
      <c r="J86" t="s">
        <v>14717</v>
      </c>
      <c r="K86" t="s">
        <v>14476</v>
      </c>
      <c r="L86" t="s">
        <v>14477</v>
      </c>
      <c r="M86" t="s">
        <v>546</v>
      </c>
      <c r="N86">
        <v>1</v>
      </c>
      <c r="O86" t="s">
        <v>11504</v>
      </c>
      <c r="P86" t="s">
        <v>14450</v>
      </c>
    </row>
    <row r="87" spans="1:16">
      <c r="A87" t="s">
        <v>14718</v>
      </c>
      <c r="B87" t="s">
        <v>13398</v>
      </c>
      <c r="C87" t="s">
        <v>11159</v>
      </c>
      <c r="D87" t="s">
        <v>11159</v>
      </c>
      <c r="E87">
        <v>0</v>
      </c>
      <c r="F87">
        <v>1.4</v>
      </c>
      <c r="G87" t="s">
        <v>14444</v>
      </c>
      <c r="H87" t="s">
        <v>14445</v>
      </c>
      <c r="I87" t="s">
        <v>14719</v>
      </c>
      <c r="J87" t="s">
        <v>14720</v>
      </c>
      <c r="K87" t="s">
        <v>14448</v>
      </c>
      <c r="L87" t="s">
        <v>14449</v>
      </c>
      <c r="M87" t="s">
        <v>546</v>
      </c>
      <c r="N87">
        <v>1</v>
      </c>
      <c r="O87" t="s">
        <v>11504</v>
      </c>
      <c r="P87" t="s">
        <v>14450</v>
      </c>
    </row>
    <row r="88" spans="1:16">
      <c r="A88" t="s">
        <v>14721</v>
      </c>
      <c r="B88" t="s">
        <v>13398</v>
      </c>
      <c r="C88" t="s">
        <v>11159</v>
      </c>
      <c r="D88" t="s">
        <v>11159</v>
      </c>
      <c r="E88">
        <v>1.5</v>
      </c>
      <c r="F88">
        <v>2.4</v>
      </c>
      <c r="G88" t="s">
        <v>11741</v>
      </c>
      <c r="H88" t="s">
        <v>14452</v>
      </c>
      <c r="I88" t="s">
        <v>14722</v>
      </c>
      <c r="J88" t="s">
        <v>14723</v>
      </c>
      <c r="K88" t="s">
        <v>14455</v>
      </c>
      <c r="L88" t="s">
        <v>14456</v>
      </c>
      <c r="M88" t="s">
        <v>546</v>
      </c>
      <c r="N88">
        <v>1</v>
      </c>
      <c r="O88" t="s">
        <v>11504</v>
      </c>
      <c r="P88" t="s">
        <v>14450</v>
      </c>
    </row>
    <row r="89" spans="1:16">
      <c r="A89" t="s">
        <v>14724</v>
      </c>
      <c r="B89" t="s">
        <v>13398</v>
      </c>
      <c r="C89" t="s">
        <v>11159</v>
      </c>
      <c r="D89" t="s">
        <v>11159</v>
      </c>
      <c r="E89">
        <v>2.5</v>
      </c>
      <c r="F89">
        <v>3.4</v>
      </c>
      <c r="G89" t="s">
        <v>14458</v>
      </c>
      <c r="H89" t="s">
        <v>14459</v>
      </c>
      <c r="I89" t="s">
        <v>14725</v>
      </c>
      <c r="J89" t="s">
        <v>14726</v>
      </c>
      <c r="K89" t="s">
        <v>14462</v>
      </c>
      <c r="L89" t="s">
        <v>14463</v>
      </c>
      <c r="M89" t="s">
        <v>546</v>
      </c>
      <c r="N89">
        <v>1</v>
      </c>
      <c r="O89" t="s">
        <v>11504</v>
      </c>
      <c r="P89" t="s">
        <v>14450</v>
      </c>
    </row>
    <row r="90" spans="1:16">
      <c r="A90" t="s">
        <v>14727</v>
      </c>
      <c r="B90" t="s">
        <v>13398</v>
      </c>
      <c r="C90" t="s">
        <v>11159</v>
      </c>
      <c r="D90" t="s">
        <v>11159</v>
      </c>
      <c r="E90">
        <v>3.5</v>
      </c>
      <c r="F90">
        <v>4.2</v>
      </c>
      <c r="G90" t="s">
        <v>14465</v>
      </c>
      <c r="H90" t="s">
        <v>14466</v>
      </c>
      <c r="I90" t="s">
        <v>14728</v>
      </c>
      <c r="J90" t="s">
        <v>14729</v>
      </c>
      <c r="K90" t="s">
        <v>14469</v>
      </c>
      <c r="L90" t="s">
        <v>14470</v>
      </c>
      <c r="M90" t="s">
        <v>546</v>
      </c>
      <c r="N90">
        <v>1</v>
      </c>
      <c r="O90" t="s">
        <v>11504</v>
      </c>
      <c r="P90" t="s">
        <v>14450</v>
      </c>
    </row>
    <row r="91" spans="1:16">
      <c r="A91" t="s">
        <v>14730</v>
      </c>
      <c r="B91" t="s">
        <v>13398</v>
      </c>
      <c r="C91" t="s">
        <v>11159</v>
      </c>
      <c r="D91" t="s">
        <v>11159</v>
      </c>
      <c r="E91">
        <v>4.3</v>
      </c>
      <c r="F91">
        <v>5</v>
      </c>
      <c r="G91" t="s">
        <v>14472</v>
      </c>
      <c r="H91" t="s">
        <v>14473</v>
      </c>
      <c r="I91" t="s">
        <v>14731</v>
      </c>
      <c r="J91" t="s">
        <v>14732</v>
      </c>
      <c r="K91" t="s">
        <v>14476</v>
      </c>
      <c r="L91" t="s">
        <v>14477</v>
      </c>
      <c r="M91" t="s">
        <v>546</v>
      </c>
      <c r="N91">
        <v>1</v>
      </c>
      <c r="O91" t="s">
        <v>11504</v>
      </c>
      <c r="P91" t="s">
        <v>14450</v>
      </c>
    </row>
    <row r="92" spans="1:16">
      <c r="A92" t="s">
        <v>14733</v>
      </c>
      <c r="B92" t="s">
        <v>13401</v>
      </c>
      <c r="C92" t="s">
        <v>11159</v>
      </c>
      <c r="D92" t="s">
        <v>11159</v>
      </c>
      <c r="E92">
        <v>0</v>
      </c>
      <c r="F92">
        <v>1.4</v>
      </c>
      <c r="G92" t="s">
        <v>14444</v>
      </c>
      <c r="H92" t="s">
        <v>14445</v>
      </c>
      <c r="I92" t="s">
        <v>14734</v>
      </c>
      <c r="J92" t="s">
        <v>14735</v>
      </c>
      <c r="K92" t="s">
        <v>14448</v>
      </c>
      <c r="L92" t="s">
        <v>14449</v>
      </c>
      <c r="M92" t="s">
        <v>546</v>
      </c>
      <c r="N92">
        <v>1</v>
      </c>
      <c r="O92" t="s">
        <v>11504</v>
      </c>
      <c r="P92" t="s">
        <v>14450</v>
      </c>
    </row>
    <row r="93" spans="1:16">
      <c r="A93" t="s">
        <v>14736</v>
      </c>
      <c r="B93" t="s">
        <v>13401</v>
      </c>
      <c r="C93" t="s">
        <v>11159</v>
      </c>
      <c r="D93" t="s">
        <v>11159</v>
      </c>
      <c r="E93">
        <v>1.5</v>
      </c>
      <c r="F93">
        <v>2.4</v>
      </c>
      <c r="G93" t="s">
        <v>11741</v>
      </c>
      <c r="H93" t="s">
        <v>14452</v>
      </c>
      <c r="I93" t="s">
        <v>14737</v>
      </c>
      <c r="J93" t="s">
        <v>14738</v>
      </c>
      <c r="K93" t="s">
        <v>14455</v>
      </c>
      <c r="L93" t="s">
        <v>14456</v>
      </c>
      <c r="M93" t="s">
        <v>546</v>
      </c>
      <c r="N93">
        <v>1</v>
      </c>
      <c r="O93" t="s">
        <v>11504</v>
      </c>
      <c r="P93" t="s">
        <v>14450</v>
      </c>
    </row>
    <row r="94" spans="1:16">
      <c r="A94" t="s">
        <v>14739</v>
      </c>
      <c r="B94" t="s">
        <v>13401</v>
      </c>
      <c r="C94" t="s">
        <v>11159</v>
      </c>
      <c r="D94" t="s">
        <v>11159</v>
      </c>
      <c r="E94">
        <v>2.5</v>
      </c>
      <c r="F94">
        <v>3.4</v>
      </c>
      <c r="G94" t="s">
        <v>14458</v>
      </c>
      <c r="H94" t="s">
        <v>14459</v>
      </c>
      <c r="I94" t="s">
        <v>14740</v>
      </c>
      <c r="J94" t="s">
        <v>14741</v>
      </c>
      <c r="K94" t="s">
        <v>14462</v>
      </c>
      <c r="L94" t="s">
        <v>14463</v>
      </c>
      <c r="M94" t="s">
        <v>546</v>
      </c>
      <c r="N94">
        <v>1</v>
      </c>
      <c r="O94" t="s">
        <v>11504</v>
      </c>
      <c r="P94" t="s">
        <v>14450</v>
      </c>
    </row>
    <row r="95" spans="1:16">
      <c r="A95" t="s">
        <v>14742</v>
      </c>
      <c r="B95" t="s">
        <v>13401</v>
      </c>
      <c r="C95" t="s">
        <v>11159</v>
      </c>
      <c r="D95" t="s">
        <v>11159</v>
      </c>
      <c r="E95">
        <v>3.5</v>
      </c>
      <c r="F95">
        <v>4.2</v>
      </c>
      <c r="G95" t="s">
        <v>14465</v>
      </c>
      <c r="H95" t="s">
        <v>14466</v>
      </c>
      <c r="I95" t="s">
        <v>14743</v>
      </c>
      <c r="J95" t="s">
        <v>14744</v>
      </c>
      <c r="K95" t="s">
        <v>14469</v>
      </c>
      <c r="L95" t="s">
        <v>14470</v>
      </c>
      <c r="M95" t="s">
        <v>546</v>
      </c>
      <c r="N95">
        <v>1</v>
      </c>
      <c r="O95" t="s">
        <v>11504</v>
      </c>
      <c r="P95" t="s">
        <v>14450</v>
      </c>
    </row>
    <row r="96" spans="1:16">
      <c r="A96" t="s">
        <v>14745</v>
      </c>
      <c r="B96" t="s">
        <v>13401</v>
      </c>
      <c r="C96" t="s">
        <v>11159</v>
      </c>
      <c r="D96" t="s">
        <v>11159</v>
      </c>
      <c r="E96">
        <v>4.3</v>
      </c>
      <c r="F96">
        <v>5</v>
      </c>
      <c r="G96" t="s">
        <v>14472</v>
      </c>
      <c r="H96" t="s">
        <v>14473</v>
      </c>
      <c r="I96" t="s">
        <v>14746</v>
      </c>
      <c r="J96" t="s">
        <v>14747</v>
      </c>
      <c r="K96" t="s">
        <v>14476</v>
      </c>
      <c r="L96" t="s">
        <v>14477</v>
      </c>
      <c r="M96" t="s">
        <v>546</v>
      </c>
      <c r="N96">
        <v>1</v>
      </c>
      <c r="O96" t="s">
        <v>11504</v>
      </c>
      <c r="P96" t="s">
        <v>14450</v>
      </c>
    </row>
    <row r="97" spans="1:16">
      <c r="A97" t="s">
        <v>14748</v>
      </c>
      <c r="B97" t="s">
        <v>13404</v>
      </c>
      <c r="C97" t="s">
        <v>11159</v>
      </c>
      <c r="D97" t="s">
        <v>11159</v>
      </c>
      <c r="E97">
        <v>0</v>
      </c>
      <c r="F97">
        <v>1.4</v>
      </c>
      <c r="G97" t="s">
        <v>14444</v>
      </c>
      <c r="H97" t="s">
        <v>14445</v>
      </c>
      <c r="I97" t="s">
        <v>14749</v>
      </c>
      <c r="J97" t="s">
        <v>14750</v>
      </c>
      <c r="K97" t="s">
        <v>14448</v>
      </c>
      <c r="L97" t="s">
        <v>14449</v>
      </c>
      <c r="M97" t="s">
        <v>546</v>
      </c>
      <c r="N97">
        <v>1</v>
      </c>
      <c r="O97" t="s">
        <v>11504</v>
      </c>
      <c r="P97" t="s">
        <v>14450</v>
      </c>
    </row>
    <row r="98" spans="1:16">
      <c r="A98" t="s">
        <v>14751</v>
      </c>
      <c r="B98" t="s">
        <v>13404</v>
      </c>
      <c r="C98" t="s">
        <v>11159</v>
      </c>
      <c r="D98" t="s">
        <v>11159</v>
      </c>
      <c r="E98">
        <v>1.5</v>
      </c>
      <c r="F98">
        <v>2.4</v>
      </c>
      <c r="G98" t="s">
        <v>11741</v>
      </c>
      <c r="H98" t="s">
        <v>14452</v>
      </c>
      <c r="I98" t="s">
        <v>14752</v>
      </c>
      <c r="J98" t="s">
        <v>14753</v>
      </c>
      <c r="K98" t="s">
        <v>14455</v>
      </c>
      <c r="L98" t="s">
        <v>14456</v>
      </c>
      <c r="M98" t="s">
        <v>546</v>
      </c>
      <c r="N98">
        <v>1</v>
      </c>
      <c r="O98" t="s">
        <v>11504</v>
      </c>
      <c r="P98" t="s">
        <v>14450</v>
      </c>
    </row>
    <row r="99" spans="1:16">
      <c r="A99" t="s">
        <v>14754</v>
      </c>
      <c r="B99" t="s">
        <v>13404</v>
      </c>
      <c r="C99" t="s">
        <v>11159</v>
      </c>
      <c r="D99" t="s">
        <v>11159</v>
      </c>
      <c r="E99">
        <v>2.5</v>
      </c>
      <c r="F99">
        <v>3.4</v>
      </c>
      <c r="G99" t="s">
        <v>14458</v>
      </c>
      <c r="H99" t="s">
        <v>14459</v>
      </c>
      <c r="I99" t="s">
        <v>14755</v>
      </c>
      <c r="J99" t="s">
        <v>14756</v>
      </c>
      <c r="K99" t="s">
        <v>14462</v>
      </c>
      <c r="L99" t="s">
        <v>14463</v>
      </c>
      <c r="M99" t="s">
        <v>546</v>
      </c>
      <c r="N99">
        <v>1</v>
      </c>
      <c r="O99" t="s">
        <v>11504</v>
      </c>
      <c r="P99" t="s">
        <v>14450</v>
      </c>
    </row>
    <row r="100" spans="1:16">
      <c r="A100" t="s">
        <v>14757</v>
      </c>
      <c r="B100" t="s">
        <v>13404</v>
      </c>
      <c r="C100" t="s">
        <v>11159</v>
      </c>
      <c r="D100" t="s">
        <v>11159</v>
      </c>
      <c r="E100">
        <v>3.5</v>
      </c>
      <c r="F100">
        <v>4.2</v>
      </c>
      <c r="G100" t="s">
        <v>14465</v>
      </c>
      <c r="H100" t="s">
        <v>14466</v>
      </c>
      <c r="I100" t="s">
        <v>14758</v>
      </c>
      <c r="J100" t="s">
        <v>14759</v>
      </c>
      <c r="K100" t="s">
        <v>14469</v>
      </c>
      <c r="L100" t="s">
        <v>14470</v>
      </c>
      <c r="M100" t="s">
        <v>546</v>
      </c>
      <c r="N100">
        <v>1</v>
      </c>
      <c r="O100" t="s">
        <v>11504</v>
      </c>
      <c r="P100" t="s">
        <v>14450</v>
      </c>
    </row>
    <row r="101" spans="1:16">
      <c r="A101" t="s">
        <v>14760</v>
      </c>
      <c r="B101" t="s">
        <v>13404</v>
      </c>
      <c r="C101" t="s">
        <v>11159</v>
      </c>
      <c r="D101" t="s">
        <v>11159</v>
      </c>
      <c r="E101">
        <v>4.3</v>
      </c>
      <c r="F101">
        <v>5</v>
      </c>
      <c r="G101" t="s">
        <v>14472</v>
      </c>
      <c r="H101" t="s">
        <v>14473</v>
      </c>
      <c r="I101" t="s">
        <v>14761</v>
      </c>
      <c r="J101" t="s">
        <v>14762</v>
      </c>
      <c r="K101" t="s">
        <v>14476</v>
      </c>
      <c r="L101" t="s">
        <v>14477</v>
      </c>
      <c r="M101" t="s">
        <v>546</v>
      </c>
      <c r="N101">
        <v>1</v>
      </c>
      <c r="O101" t="s">
        <v>11504</v>
      </c>
      <c r="P101" t="s">
        <v>14450</v>
      </c>
    </row>
    <row r="102" spans="1:16">
      <c r="A102" t="s">
        <v>14763</v>
      </c>
      <c r="B102" t="s">
        <v>13407</v>
      </c>
      <c r="C102" t="s">
        <v>11159</v>
      </c>
      <c r="D102" t="s">
        <v>11159</v>
      </c>
      <c r="E102">
        <v>0</v>
      </c>
      <c r="F102">
        <v>1.4</v>
      </c>
      <c r="G102" t="s">
        <v>14444</v>
      </c>
      <c r="H102" t="s">
        <v>14445</v>
      </c>
      <c r="I102" t="s">
        <v>14764</v>
      </c>
      <c r="J102" t="s">
        <v>14765</v>
      </c>
      <c r="K102" t="s">
        <v>14448</v>
      </c>
      <c r="L102" t="s">
        <v>14449</v>
      </c>
      <c r="M102" t="s">
        <v>546</v>
      </c>
      <c r="N102">
        <v>1</v>
      </c>
      <c r="O102" t="s">
        <v>11504</v>
      </c>
      <c r="P102" t="s">
        <v>14450</v>
      </c>
    </row>
    <row r="103" spans="1:16">
      <c r="A103" t="s">
        <v>14766</v>
      </c>
      <c r="B103" t="s">
        <v>13407</v>
      </c>
      <c r="C103" t="s">
        <v>11159</v>
      </c>
      <c r="D103" t="s">
        <v>11159</v>
      </c>
      <c r="E103">
        <v>1.5</v>
      </c>
      <c r="F103">
        <v>2.4</v>
      </c>
      <c r="G103" t="s">
        <v>11741</v>
      </c>
      <c r="H103" t="s">
        <v>14452</v>
      </c>
      <c r="I103" t="s">
        <v>14767</v>
      </c>
      <c r="J103" t="s">
        <v>14768</v>
      </c>
      <c r="K103" t="s">
        <v>14455</v>
      </c>
      <c r="L103" t="s">
        <v>14456</v>
      </c>
      <c r="M103" t="s">
        <v>546</v>
      </c>
      <c r="N103">
        <v>1</v>
      </c>
      <c r="O103" t="s">
        <v>11504</v>
      </c>
      <c r="P103" t="s">
        <v>14450</v>
      </c>
    </row>
    <row r="104" spans="1:16">
      <c r="A104" t="s">
        <v>14769</v>
      </c>
      <c r="B104" t="s">
        <v>13407</v>
      </c>
      <c r="C104" t="s">
        <v>11159</v>
      </c>
      <c r="D104" t="s">
        <v>11159</v>
      </c>
      <c r="E104">
        <v>2.5</v>
      </c>
      <c r="F104">
        <v>3.4</v>
      </c>
      <c r="G104" t="s">
        <v>14458</v>
      </c>
      <c r="H104" t="s">
        <v>14459</v>
      </c>
      <c r="I104" t="s">
        <v>14770</v>
      </c>
      <c r="J104" t="s">
        <v>14771</v>
      </c>
      <c r="K104" t="s">
        <v>14462</v>
      </c>
      <c r="L104" t="s">
        <v>14463</v>
      </c>
      <c r="M104" t="s">
        <v>546</v>
      </c>
      <c r="N104">
        <v>1</v>
      </c>
      <c r="O104" t="s">
        <v>11504</v>
      </c>
      <c r="P104" t="s">
        <v>14450</v>
      </c>
    </row>
    <row r="105" spans="1:16">
      <c r="A105" t="s">
        <v>14772</v>
      </c>
      <c r="B105" t="s">
        <v>13407</v>
      </c>
      <c r="C105" t="s">
        <v>11159</v>
      </c>
      <c r="D105" t="s">
        <v>11159</v>
      </c>
      <c r="E105">
        <v>3.5</v>
      </c>
      <c r="F105">
        <v>4.2</v>
      </c>
      <c r="G105" t="s">
        <v>14465</v>
      </c>
      <c r="H105" t="s">
        <v>14466</v>
      </c>
      <c r="I105" t="s">
        <v>14773</v>
      </c>
      <c r="J105" t="s">
        <v>14774</v>
      </c>
      <c r="K105" t="s">
        <v>14469</v>
      </c>
      <c r="L105" t="s">
        <v>14470</v>
      </c>
      <c r="M105" t="s">
        <v>546</v>
      </c>
      <c r="N105">
        <v>1</v>
      </c>
      <c r="O105" t="s">
        <v>11504</v>
      </c>
      <c r="P105" t="s">
        <v>14450</v>
      </c>
    </row>
    <row r="106" spans="1:16">
      <c r="A106" t="s">
        <v>14775</v>
      </c>
      <c r="B106" t="s">
        <v>13407</v>
      </c>
      <c r="C106" t="s">
        <v>11159</v>
      </c>
      <c r="D106" t="s">
        <v>11159</v>
      </c>
      <c r="E106">
        <v>4.3</v>
      </c>
      <c r="F106">
        <v>5</v>
      </c>
      <c r="G106" t="s">
        <v>14472</v>
      </c>
      <c r="H106" t="s">
        <v>14473</v>
      </c>
      <c r="I106" t="s">
        <v>14776</v>
      </c>
      <c r="J106" t="s">
        <v>14777</v>
      </c>
      <c r="K106" t="s">
        <v>14476</v>
      </c>
      <c r="L106" t="s">
        <v>14477</v>
      </c>
      <c r="M106" t="s">
        <v>546</v>
      </c>
      <c r="N106">
        <v>1</v>
      </c>
      <c r="O106" t="s">
        <v>11504</v>
      </c>
      <c r="P106" t="s">
        <v>14450</v>
      </c>
    </row>
    <row r="107" spans="1:16">
      <c r="A107" t="s">
        <v>14778</v>
      </c>
      <c r="B107" t="s">
        <v>13410</v>
      </c>
      <c r="C107" t="s">
        <v>11159</v>
      </c>
      <c r="D107" t="s">
        <v>11159</v>
      </c>
      <c r="E107">
        <v>0</v>
      </c>
      <c r="F107">
        <v>1.4</v>
      </c>
      <c r="G107" t="s">
        <v>14444</v>
      </c>
      <c r="H107" t="s">
        <v>14445</v>
      </c>
      <c r="I107" t="s">
        <v>14779</v>
      </c>
      <c r="J107" t="s">
        <v>14780</v>
      </c>
      <c r="K107" t="s">
        <v>14448</v>
      </c>
      <c r="L107" t="s">
        <v>14449</v>
      </c>
      <c r="M107" t="s">
        <v>546</v>
      </c>
      <c r="N107">
        <v>1</v>
      </c>
      <c r="O107" t="s">
        <v>11504</v>
      </c>
      <c r="P107" t="s">
        <v>14450</v>
      </c>
    </row>
    <row r="108" spans="1:16">
      <c r="A108" t="s">
        <v>14781</v>
      </c>
      <c r="B108" t="s">
        <v>13410</v>
      </c>
      <c r="C108" t="s">
        <v>11159</v>
      </c>
      <c r="D108" t="s">
        <v>11159</v>
      </c>
      <c r="E108">
        <v>1.5</v>
      </c>
      <c r="F108">
        <v>2.4</v>
      </c>
      <c r="G108" t="s">
        <v>11741</v>
      </c>
      <c r="H108" t="s">
        <v>14452</v>
      </c>
      <c r="I108" t="s">
        <v>14782</v>
      </c>
      <c r="J108" t="s">
        <v>14783</v>
      </c>
      <c r="K108" t="s">
        <v>14455</v>
      </c>
      <c r="L108" t="s">
        <v>14456</v>
      </c>
      <c r="M108" t="s">
        <v>546</v>
      </c>
      <c r="N108">
        <v>1</v>
      </c>
      <c r="O108" t="s">
        <v>11504</v>
      </c>
      <c r="P108" t="s">
        <v>14450</v>
      </c>
    </row>
    <row r="109" spans="1:16">
      <c r="A109" t="s">
        <v>14784</v>
      </c>
      <c r="B109" t="s">
        <v>13410</v>
      </c>
      <c r="C109" t="s">
        <v>11159</v>
      </c>
      <c r="D109" t="s">
        <v>11159</v>
      </c>
      <c r="E109">
        <v>2.5</v>
      </c>
      <c r="F109">
        <v>3.4</v>
      </c>
      <c r="G109" t="s">
        <v>14458</v>
      </c>
      <c r="H109" t="s">
        <v>14459</v>
      </c>
      <c r="I109" t="s">
        <v>14785</v>
      </c>
      <c r="J109" t="s">
        <v>14786</v>
      </c>
      <c r="K109" t="s">
        <v>14462</v>
      </c>
      <c r="L109" t="s">
        <v>14463</v>
      </c>
      <c r="M109" t="s">
        <v>546</v>
      </c>
      <c r="N109">
        <v>1</v>
      </c>
      <c r="O109" t="s">
        <v>11504</v>
      </c>
      <c r="P109" t="s">
        <v>14450</v>
      </c>
    </row>
    <row r="110" spans="1:16">
      <c r="A110" t="s">
        <v>14787</v>
      </c>
      <c r="B110" t="s">
        <v>13410</v>
      </c>
      <c r="C110" t="s">
        <v>11159</v>
      </c>
      <c r="D110" t="s">
        <v>11159</v>
      </c>
      <c r="E110">
        <v>3.5</v>
      </c>
      <c r="F110">
        <v>4.2</v>
      </c>
      <c r="G110" t="s">
        <v>14465</v>
      </c>
      <c r="H110" t="s">
        <v>14466</v>
      </c>
      <c r="I110" t="s">
        <v>14788</v>
      </c>
      <c r="J110" t="s">
        <v>14789</v>
      </c>
      <c r="K110" t="s">
        <v>14469</v>
      </c>
      <c r="L110" t="s">
        <v>14470</v>
      </c>
      <c r="M110" t="s">
        <v>546</v>
      </c>
      <c r="N110">
        <v>1</v>
      </c>
      <c r="O110" t="s">
        <v>11504</v>
      </c>
      <c r="P110" t="s">
        <v>14450</v>
      </c>
    </row>
    <row r="111" spans="1:16">
      <c r="A111" t="s">
        <v>14790</v>
      </c>
      <c r="B111" t="s">
        <v>13410</v>
      </c>
      <c r="C111" t="s">
        <v>11159</v>
      </c>
      <c r="D111" t="s">
        <v>11159</v>
      </c>
      <c r="E111">
        <v>4.3</v>
      </c>
      <c r="F111">
        <v>5</v>
      </c>
      <c r="G111" t="s">
        <v>14472</v>
      </c>
      <c r="H111" t="s">
        <v>14473</v>
      </c>
      <c r="I111" t="s">
        <v>14791</v>
      </c>
      <c r="J111" t="s">
        <v>14792</v>
      </c>
      <c r="K111" t="s">
        <v>14476</v>
      </c>
      <c r="L111" t="s">
        <v>14477</v>
      </c>
      <c r="M111" t="s">
        <v>546</v>
      </c>
      <c r="N111">
        <v>1</v>
      </c>
      <c r="O111" t="s">
        <v>11504</v>
      </c>
      <c r="P111" t="s">
        <v>14450</v>
      </c>
    </row>
    <row r="112" spans="1:16">
      <c r="A112" t="s">
        <v>14793</v>
      </c>
      <c r="B112" t="s">
        <v>13413</v>
      </c>
      <c r="C112" t="s">
        <v>11159</v>
      </c>
      <c r="D112" t="s">
        <v>11159</v>
      </c>
      <c r="E112">
        <v>0</v>
      </c>
      <c r="F112">
        <v>1.4</v>
      </c>
      <c r="G112" t="s">
        <v>14444</v>
      </c>
      <c r="H112" t="s">
        <v>14445</v>
      </c>
      <c r="I112" t="s">
        <v>14794</v>
      </c>
      <c r="J112" t="s">
        <v>14795</v>
      </c>
      <c r="K112" t="s">
        <v>14448</v>
      </c>
      <c r="L112" t="s">
        <v>14449</v>
      </c>
      <c r="M112" t="s">
        <v>546</v>
      </c>
      <c r="N112">
        <v>1</v>
      </c>
      <c r="O112" t="s">
        <v>11504</v>
      </c>
      <c r="P112" t="s">
        <v>14450</v>
      </c>
    </row>
    <row r="113" spans="1:16">
      <c r="A113" t="s">
        <v>14796</v>
      </c>
      <c r="B113" t="s">
        <v>13413</v>
      </c>
      <c r="C113" t="s">
        <v>11159</v>
      </c>
      <c r="D113" t="s">
        <v>11159</v>
      </c>
      <c r="E113">
        <v>1.5</v>
      </c>
      <c r="F113">
        <v>2.4</v>
      </c>
      <c r="G113" t="s">
        <v>11741</v>
      </c>
      <c r="H113" t="s">
        <v>14452</v>
      </c>
      <c r="I113" t="s">
        <v>14797</v>
      </c>
      <c r="J113" t="s">
        <v>14798</v>
      </c>
      <c r="K113" t="s">
        <v>14455</v>
      </c>
      <c r="L113" t="s">
        <v>14456</v>
      </c>
      <c r="M113" t="s">
        <v>546</v>
      </c>
      <c r="N113">
        <v>1</v>
      </c>
      <c r="O113" t="s">
        <v>11504</v>
      </c>
      <c r="P113" t="s">
        <v>14450</v>
      </c>
    </row>
    <row r="114" spans="1:16">
      <c r="A114" t="s">
        <v>14799</v>
      </c>
      <c r="B114" t="s">
        <v>13413</v>
      </c>
      <c r="C114" t="s">
        <v>11159</v>
      </c>
      <c r="D114" t="s">
        <v>11159</v>
      </c>
      <c r="E114">
        <v>2.5</v>
      </c>
      <c r="F114">
        <v>3.4</v>
      </c>
      <c r="G114" t="s">
        <v>14458</v>
      </c>
      <c r="H114" t="s">
        <v>14459</v>
      </c>
      <c r="I114" t="s">
        <v>14800</v>
      </c>
      <c r="J114" t="s">
        <v>14801</v>
      </c>
      <c r="K114" t="s">
        <v>14462</v>
      </c>
      <c r="L114" t="s">
        <v>14463</v>
      </c>
      <c r="M114" t="s">
        <v>546</v>
      </c>
      <c r="N114">
        <v>1</v>
      </c>
      <c r="O114" t="s">
        <v>11504</v>
      </c>
      <c r="P114" t="s">
        <v>14450</v>
      </c>
    </row>
    <row r="115" spans="1:16">
      <c r="A115" t="s">
        <v>14802</v>
      </c>
      <c r="B115" t="s">
        <v>13413</v>
      </c>
      <c r="C115" t="s">
        <v>11159</v>
      </c>
      <c r="D115" t="s">
        <v>11159</v>
      </c>
      <c r="E115">
        <v>3.5</v>
      </c>
      <c r="F115">
        <v>4.2</v>
      </c>
      <c r="G115" t="s">
        <v>14465</v>
      </c>
      <c r="H115" t="s">
        <v>14466</v>
      </c>
      <c r="I115" t="s">
        <v>14803</v>
      </c>
      <c r="J115" t="s">
        <v>14804</v>
      </c>
      <c r="K115" t="s">
        <v>14469</v>
      </c>
      <c r="L115" t="s">
        <v>14470</v>
      </c>
      <c r="M115" t="s">
        <v>546</v>
      </c>
      <c r="N115">
        <v>1</v>
      </c>
      <c r="O115" t="s">
        <v>11504</v>
      </c>
      <c r="P115" t="s">
        <v>14450</v>
      </c>
    </row>
    <row r="116" spans="1:16">
      <c r="A116" t="s">
        <v>14805</v>
      </c>
      <c r="B116" t="s">
        <v>13413</v>
      </c>
      <c r="C116" t="s">
        <v>11159</v>
      </c>
      <c r="D116" t="s">
        <v>11159</v>
      </c>
      <c r="E116">
        <v>4.3</v>
      </c>
      <c r="F116">
        <v>5</v>
      </c>
      <c r="G116" t="s">
        <v>14472</v>
      </c>
      <c r="H116" t="s">
        <v>14473</v>
      </c>
      <c r="I116" t="s">
        <v>14806</v>
      </c>
      <c r="J116" t="s">
        <v>14807</v>
      </c>
      <c r="K116" t="s">
        <v>14476</v>
      </c>
      <c r="L116" t="s">
        <v>14477</v>
      </c>
      <c r="M116" t="s">
        <v>546</v>
      </c>
      <c r="N116">
        <v>1</v>
      </c>
      <c r="O116" t="s">
        <v>11504</v>
      </c>
      <c r="P116" t="s">
        <v>14450</v>
      </c>
    </row>
    <row r="117" spans="1:16">
      <c r="A117" t="s">
        <v>14808</v>
      </c>
      <c r="B117" t="s">
        <v>13416</v>
      </c>
      <c r="C117" t="s">
        <v>11159</v>
      </c>
      <c r="D117" t="s">
        <v>11159</v>
      </c>
      <c r="E117">
        <v>0</v>
      </c>
      <c r="F117">
        <v>1.4</v>
      </c>
      <c r="G117" t="s">
        <v>14444</v>
      </c>
      <c r="H117" t="s">
        <v>14445</v>
      </c>
      <c r="I117" t="s">
        <v>14809</v>
      </c>
      <c r="J117" t="s">
        <v>14810</v>
      </c>
      <c r="K117" t="s">
        <v>14448</v>
      </c>
      <c r="L117" t="s">
        <v>14449</v>
      </c>
      <c r="M117" t="s">
        <v>546</v>
      </c>
      <c r="N117">
        <v>1</v>
      </c>
      <c r="O117" t="s">
        <v>11504</v>
      </c>
      <c r="P117" t="s">
        <v>14450</v>
      </c>
    </row>
    <row r="118" spans="1:16">
      <c r="A118" t="s">
        <v>14811</v>
      </c>
      <c r="B118" t="s">
        <v>13416</v>
      </c>
      <c r="C118" t="s">
        <v>11159</v>
      </c>
      <c r="D118" t="s">
        <v>11159</v>
      </c>
      <c r="E118">
        <v>1.5</v>
      </c>
      <c r="F118">
        <v>2.4</v>
      </c>
      <c r="G118" t="s">
        <v>11741</v>
      </c>
      <c r="H118" t="s">
        <v>14452</v>
      </c>
      <c r="I118" t="s">
        <v>14812</v>
      </c>
      <c r="J118" t="s">
        <v>14813</v>
      </c>
      <c r="K118" t="s">
        <v>14455</v>
      </c>
      <c r="L118" t="s">
        <v>14456</v>
      </c>
      <c r="M118" t="s">
        <v>546</v>
      </c>
      <c r="N118">
        <v>1</v>
      </c>
      <c r="O118" t="s">
        <v>11504</v>
      </c>
      <c r="P118" t="s">
        <v>14450</v>
      </c>
    </row>
    <row r="119" spans="1:16">
      <c r="A119" t="s">
        <v>14814</v>
      </c>
      <c r="B119" t="s">
        <v>13416</v>
      </c>
      <c r="C119" t="s">
        <v>11159</v>
      </c>
      <c r="D119" t="s">
        <v>11159</v>
      </c>
      <c r="E119">
        <v>2.5</v>
      </c>
      <c r="F119">
        <v>3.4</v>
      </c>
      <c r="G119" t="s">
        <v>14458</v>
      </c>
      <c r="H119" t="s">
        <v>14459</v>
      </c>
      <c r="I119" t="s">
        <v>14815</v>
      </c>
      <c r="J119" t="s">
        <v>14816</v>
      </c>
      <c r="K119" t="s">
        <v>14462</v>
      </c>
      <c r="L119" t="s">
        <v>14463</v>
      </c>
      <c r="M119" t="s">
        <v>546</v>
      </c>
      <c r="N119">
        <v>1</v>
      </c>
      <c r="O119" t="s">
        <v>11504</v>
      </c>
      <c r="P119" t="s">
        <v>14450</v>
      </c>
    </row>
    <row r="120" spans="1:16">
      <c r="A120" t="s">
        <v>14817</v>
      </c>
      <c r="B120" t="s">
        <v>13416</v>
      </c>
      <c r="C120" t="s">
        <v>11159</v>
      </c>
      <c r="D120" t="s">
        <v>11159</v>
      </c>
      <c r="E120">
        <v>3.5</v>
      </c>
      <c r="F120">
        <v>4.2</v>
      </c>
      <c r="G120" t="s">
        <v>14465</v>
      </c>
      <c r="H120" t="s">
        <v>14466</v>
      </c>
      <c r="I120" t="s">
        <v>14818</v>
      </c>
      <c r="J120" t="s">
        <v>14819</v>
      </c>
      <c r="K120" t="s">
        <v>14469</v>
      </c>
      <c r="L120" t="s">
        <v>14470</v>
      </c>
      <c r="M120" t="s">
        <v>546</v>
      </c>
      <c r="N120">
        <v>1</v>
      </c>
      <c r="O120" t="s">
        <v>11504</v>
      </c>
      <c r="P120" t="s">
        <v>14450</v>
      </c>
    </row>
    <row r="121" spans="1:16">
      <c r="A121" t="s">
        <v>14820</v>
      </c>
      <c r="B121" t="s">
        <v>13416</v>
      </c>
      <c r="C121" t="s">
        <v>11159</v>
      </c>
      <c r="D121" t="s">
        <v>11159</v>
      </c>
      <c r="E121">
        <v>4.3</v>
      </c>
      <c r="F121">
        <v>5</v>
      </c>
      <c r="G121" t="s">
        <v>14472</v>
      </c>
      <c r="H121" t="s">
        <v>14473</v>
      </c>
      <c r="I121" t="s">
        <v>14821</v>
      </c>
      <c r="J121" t="s">
        <v>14822</v>
      </c>
      <c r="K121" t="s">
        <v>14476</v>
      </c>
      <c r="L121" t="s">
        <v>14477</v>
      </c>
      <c r="M121" t="s">
        <v>546</v>
      </c>
      <c r="N121">
        <v>1</v>
      </c>
      <c r="O121" t="s">
        <v>11504</v>
      </c>
      <c r="P121" t="s">
        <v>14450</v>
      </c>
    </row>
    <row r="122" spans="1:16">
      <c r="A122" t="s">
        <v>14823</v>
      </c>
      <c r="B122" t="s">
        <v>13419</v>
      </c>
      <c r="C122" t="s">
        <v>11159</v>
      </c>
      <c r="D122" t="s">
        <v>11159</v>
      </c>
      <c r="E122">
        <v>0</v>
      </c>
      <c r="F122">
        <v>1.4</v>
      </c>
      <c r="G122" t="s">
        <v>14444</v>
      </c>
      <c r="H122" t="s">
        <v>14445</v>
      </c>
      <c r="I122" t="s">
        <v>14824</v>
      </c>
      <c r="J122" t="s">
        <v>14825</v>
      </c>
      <c r="K122" t="s">
        <v>14448</v>
      </c>
      <c r="L122" t="s">
        <v>14449</v>
      </c>
      <c r="M122" t="s">
        <v>546</v>
      </c>
      <c r="N122">
        <v>1</v>
      </c>
      <c r="O122" t="s">
        <v>11504</v>
      </c>
      <c r="P122" t="s">
        <v>14450</v>
      </c>
    </row>
    <row r="123" spans="1:16">
      <c r="A123" t="s">
        <v>14826</v>
      </c>
      <c r="B123" t="s">
        <v>13419</v>
      </c>
      <c r="C123" t="s">
        <v>11159</v>
      </c>
      <c r="D123" t="s">
        <v>11159</v>
      </c>
      <c r="E123">
        <v>1.5</v>
      </c>
      <c r="F123">
        <v>2.4</v>
      </c>
      <c r="G123" t="s">
        <v>11741</v>
      </c>
      <c r="H123" t="s">
        <v>14452</v>
      </c>
      <c r="I123" t="s">
        <v>14827</v>
      </c>
      <c r="J123" t="s">
        <v>14828</v>
      </c>
      <c r="K123" t="s">
        <v>14455</v>
      </c>
      <c r="L123" t="s">
        <v>14456</v>
      </c>
      <c r="M123" t="s">
        <v>546</v>
      </c>
      <c r="N123">
        <v>1</v>
      </c>
      <c r="O123" t="s">
        <v>11504</v>
      </c>
      <c r="P123" t="s">
        <v>14450</v>
      </c>
    </row>
    <row r="124" spans="1:16">
      <c r="A124" t="s">
        <v>14829</v>
      </c>
      <c r="B124" t="s">
        <v>13419</v>
      </c>
      <c r="C124" t="s">
        <v>11159</v>
      </c>
      <c r="D124" t="s">
        <v>11159</v>
      </c>
      <c r="E124">
        <v>2.5</v>
      </c>
      <c r="F124">
        <v>3.4</v>
      </c>
      <c r="G124" t="s">
        <v>14458</v>
      </c>
      <c r="H124" t="s">
        <v>14459</v>
      </c>
      <c r="I124" t="s">
        <v>14830</v>
      </c>
      <c r="J124" t="s">
        <v>14831</v>
      </c>
      <c r="K124" t="s">
        <v>14462</v>
      </c>
      <c r="L124" t="s">
        <v>14463</v>
      </c>
      <c r="M124" t="s">
        <v>546</v>
      </c>
      <c r="N124">
        <v>1</v>
      </c>
      <c r="O124" t="s">
        <v>11504</v>
      </c>
      <c r="P124" t="s">
        <v>14450</v>
      </c>
    </row>
    <row r="125" spans="1:16">
      <c r="A125" t="s">
        <v>14832</v>
      </c>
      <c r="B125" t="s">
        <v>13419</v>
      </c>
      <c r="C125" t="s">
        <v>11159</v>
      </c>
      <c r="D125" t="s">
        <v>11159</v>
      </c>
      <c r="E125">
        <v>3.5</v>
      </c>
      <c r="F125">
        <v>4.2</v>
      </c>
      <c r="G125" t="s">
        <v>14465</v>
      </c>
      <c r="H125" t="s">
        <v>14466</v>
      </c>
      <c r="I125" t="s">
        <v>14833</v>
      </c>
      <c r="J125" t="s">
        <v>14834</v>
      </c>
      <c r="K125" t="s">
        <v>14469</v>
      </c>
      <c r="L125" t="s">
        <v>14470</v>
      </c>
      <c r="M125" t="s">
        <v>546</v>
      </c>
      <c r="N125">
        <v>1</v>
      </c>
      <c r="O125" t="s">
        <v>11504</v>
      </c>
      <c r="P125" t="s">
        <v>14450</v>
      </c>
    </row>
    <row r="126" spans="1:16">
      <c r="A126" t="s">
        <v>14835</v>
      </c>
      <c r="B126" t="s">
        <v>13419</v>
      </c>
      <c r="C126" t="s">
        <v>11159</v>
      </c>
      <c r="D126" t="s">
        <v>11159</v>
      </c>
      <c r="E126">
        <v>4.3</v>
      </c>
      <c r="F126">
        <v>5</v>
      </c>
      <c r="G126" t="s">
        <v>14472</v>
      </c>
      <c r="H126" t="s">
        <v>14473</v>
      </c>
      <c r="I126" t="s">
        <v>14836</v>
      </c>
      <c r="J126" t="s">
        <v>14837</v>
      </c>
      <c r="K126" t="s">
        <v>14476</v>
      </c>
      <c r="L126" t="s">
        <v>14477</v>
      </c>
      <c r="M126" t="s">
        <v>546</v>
      </c>
      <c r="N126">
        <v>1</v>
      </c>
      <c r="O126" t="s">
        <v>11504</v>
      </c>
      <c r="P126" t="s">
        <v>14450</v>
      </c>
    </row>
    <row r="127" spans="1:16">
      <c r="A127" t="s">
        <v>14838</v>
      </c>
      <c r="B127" t="s">
        <v>13422</v>
      </c>
      <c r="C127" t="s">
        <v>11159</v>
      </c>
      <c r="D127" t="s">
        <v>11159</v>
      </c>
      <c r="E127">
        <v>0</v>
      </c>
      <c r="F127">
        <v>1.4</v>
      </c>
      <c r="G127" t="s">
        <v>14444</v>
      </c>
      <c r="H127" t="s">
        <v>14445</v>
      </c>
      <c r="I127" t="s">
        <v>14839</v>
      </c>
      <c r="J127" t="s">
        <v>14840</v>
      </c>
      <c r="K127" t="s">
        <v>14448</v>
      </c>
      <c r="L127" t="s">
        <v>14449</v>
      </c>
      <c r="M127" t="s">
        <v>546</v>
      </c>
      <c r="N127">
        <v>1</v>
      </c>
      <c r="O127" t="s">
        <v>11504</v>
      </c>
      <c r="P127" t="s">
        <v>14450</v>
      </c>
    </row>
    <row r="128" spans="1:16">
      <c r="A128" t="s">
        <v>14841</v>
      </c>
      <c r="B128" t="s">
        <v>13422</v>
      </c>
      <c r="C128" t="s">
        <v>11159</v>
      </c>
      <c r="D128" t="s">
        <v>11159</v>
      </c>
      <c r="E128">
        <v>1.5</v>
      </c>
      <c r="F128">
        <v>2.4</v>
      </c>
      <c r="G128" t="s">
        <v>11741</v>
      </c>
      <c r="H128" t="s">
        <v>14452</v>
      </c>
      <c r="I128" t="s">
        <v>14842</v>
      </c>
      <c r="J128" t="s">
        <v>14843</v>
      </c>
      <c r="K128" t="s">
        <v>14455</v>
      </c>
      <c r="L128" t="s">
        <v>14456</v>
      </c>
      <c r="M128" t="s">
        <v>546</v>
      </c>
      <c r="N128">
        <v>1</v>
      </c>
      <c r="O128" t="s">
        <v>11504</v>
      </c>
      <c r="P128" t="s">
        <v>14450</v>
      </c>
    </row>
    <row r="129" spans="1:16">
      <c r="A129" t="s">
        <v>14844</v>
      </c>
      <c r="B129" t="s">
        <v>13422</v>
      </c>
      <c r="C129" t="s">
        <v>11159</v>
      </c>
      <c r="D129" t="s">
        <v>11159</v>
      </c>
      <c r="E129">
        <v>2.5</v>
      </c>
      <c r="F129">
        <v>3.4</v>
      </c>
      <c r="G129" t="s">
        <v>14458</v>
      </c>
      <c r="H129" t="s">
        <v>14459</v>
      </c>
      <c r="I129" t="s">
        <v>14845</v>
      </c>
      <c r="J129" t="s">
        <v>14846</v>
      </c>
      <c r="K129" t="s">
        <v>14462</v>
      </c>
      <c r="L129" t="s">
        <v>14463</v>
      </c>
      <c r="M129" t="s">
        <v>546</v>
      </c>
      <c r="N129">
        <v>1</v>
      </c>
      <c r="O129" t="s">
        <v>11504</v>
      </c>
      <c r="P129" t="s">
        <v>14450</v>
      </c>
    </row>
    <row r="130" spans="1:16">
      <c r="A130" t="s">
        <v>14847</v>
      </c>
      <c r="B130" t="s">
        <v>13422</v>
      </c>
      <c r="C130" t="s">
        <v>11159</v>
      </c>
      <c r="D130" t="s">
        <v>11159</v>
      </c>
      <c r="E130">
        <v>3.5</v>
      </c>
      <c r="F130">
        <v>4.2</v>
      </c>
      <c r="G130" t="s">
        <v>14465</v>
      </c>
      <c r="H130" t="s">
        <v>14466</v>
      </c>
      <c r="I130" t="s">
        <v>14848</v>
      </c>
      <c r="J130" t="s">
        <v>14849</v>
      </c>
      <c r="K130" t="s">
        <v>14469</v>
      </c>
      <c r="L130" t="s">
        <v>14470</v>
      </c>
      <c r="M130" t="s">
        <v>546</v>
      </c>
      <c r="N130">
        <v>1</v>
      </c>
      <c r="O130" t="s">
        <v>11504</v>
      </c>
      <c r="P130" t="s">
        <v>14450</v>
      </c>
    </row>
    <row r="131" spans="1:16">
      <c r="A131" t="s">
        <v>14850</v>
      </c>
      <c r="B131" t="s">
        <v>13422</v>
      </c>
      <c r="C131" t="s">
        <v>11159</v>
      </c>
      <c r="D131" t="s">
        <v>11159</v>
      </c>
      <c r="E131">
        <v>4.3</v>
      </c>
      <c r="F131">
        <v>5</v>
      </c>
      <c r="G131" t="s">
        <v>14472</v>
      </c>
      <c r="H131" t="s">
        <v>14473</v>
      </c>
      <c r="I131" t="s">
        <v>14851</v>
      </c>
      <c r="J131" t="s">
        <v>14852</v>
      </c>
      <c r="K131" t="s">
        <v>14476</v>
      </c>
      <c r="L131" t="s">
        <v>14477</v>
      </c>
      <c r="M131" t="s">
        <v>546</v>
      </c>
      <c r="N131">
        <v>1</v>
      </c>
      <c r="O131" t="s">
        <v>11504</v>
      </c>
      <c r="P131" t="s">
        <v>14450</v>
      </c>
    </row>
    <row r="132" spans="1:16">
      <c r="A132" t="s">
        <v>14853</v>
      </c>
      <c r="B132" t="s">
        <v>13425</v>
      </c>
      <c r="C132" t="s">
        <v>11159</v>
      </c>
      <c r="D132" t="s">
        <v>11159</v>
      </c>
      <c r="E132">
        <v>0</v>
      </c>
      <c r="F132">
        <v>1.4</v>
      </c>
      <c r="G132" t="s">
        <v>14444</v>
      </c>
      <c r="H132" t="s">
        <v>14445</v>
      </c>
      <c r="I132" t="s">
        <v>14854</v>
      </c>
      <c r="J132" t="s">
        <v>14855</v>
      </c>
      <c r="K132" t="s">
        <v>14448</v>
      </c>
      <c r="L132" t="s">
        <v>14449</v>
      </c>
      <c r="M132" t="s">
        <v>546</v>
      </c>
      <c r="N132">
        <v>1</v>
      </c>
      <c r="O132" t="s">
        <v>11504</v>
      </c>
      <c r="P132" t="s">
        <v>14450</v>
      </c>
    </row>
    <row r="133" spans="1:16">
      <c r="A133" t="s">
        <v>14856</v>
      </c>
      <c r="B133" t="s">
        <v>13425</v>
      </c>
      <c r="C133" t="s">
        <v>11159</v>
      </c>
      <c r="D133" t="s">
        <v>11159</v>
      </c>
      <c r="E133">
        <v>1.5</v>
      </c>
      <c r="F133">
        <v>2.4</v>
      </c>
      <c r="G133" t="s">
        <v>11741</v>
      </c>
      <c r="H133" t="s">
        <v>14452</v>
      </c>
      <c r="I133" t="s">
        <v>14857</v>
      </c>
      <c r="J133" t="s">
        <v>14858</v>
      </c>
      <c r="K133" t="s">
        <v>14455</v>
      </c>
      <c r="L133" t="s">
        <v>14456</v>
      </c>
      <c r="M133" t="s">
        <v>546</v>
      </c>
      <c r="N133">
        <v>1</v>
      </c>
      <c r="O133" t="s">
        <v>11504</v>
      </c>
      <c r="P133" t="s">
        <v>14450</v>
      </c>
    </row>
    <row r="134" spans="1:16">
      <c r="A134" t="s">
        <v>14859</v>
      </c>
      <c r="B134" t="s">
        <v>13425</v>
      </c>
      <c r="C134" t="s">
        <v>11159</v>
      </c>
      <c r="D134" t="s">
        <v>11159</v>
      </c>
      <c r="E134">
        <v>2.5</v>
      </c>
      <c r="F134">
        <v>3.4</v>
      </c>
      <c r="G134" t="s">
        <v>14458</v>
      </c>
      <c r="H134" t="s">
        <v>14459</v>
      </c>
      <c r="I134" t="s">
        <v>14860</v>
      </c>
      <c r="J134" t="s">
        <v>14861</v>
      </c>
      <c r="K134" t="s">
        <v>14462</v>
      </c>
      <c r="L134" t="s">
        <v>14463</v>
      </c>
      <c r="M134" t="s">
        <v>546</v>
      </c>
      <c r="N134">
        <v>1</v>
      </c>
      <c r="O134" t="s">
        <v>11504</v>
      </c>
      <c r="P134" t="s">
        <v>14450</v>
      </c>
    </row>
    <row r="135" spans="1:16">
      <c r="A135" t="s">
        <v>14862</v>
      </c>
      <c r="B135" t="s">
        <v>13425</v>
      </c>
      <c r="C135" t="s">
        <v>11159</v>
      </c>
      <c r="D135" t="s">
        <v>11159</v>
      </c>
      <c r="E135">
        <v>3.5</v>
      </c>
      <c r="F135">
        <v>4.2</v>
      </c>
      <c r="G135" t="s">
        <v>14465</v>
      </c>
      <c r="H135" t="s">
        <v>14466</v>
      </c>
      <c r="I135" t="s">
        <v>14863</v>
      </c>
      <c r="J135" t="s">
        <v>14864</v>
      </c>
      <c r="K135" t="s">
        <v>14469</v>
      </c>
      <c r="L135" t="s">
        <v>14470</v>
      </c>
      <c r="M135" t="s">
        <v>546</v>
      </c>
      <c r="N135">
        <v>1</v>
      </c>
      <c r="O135" t="s">
        <v>11504</v>
      </c>
      <c r="P135" t="s">
        <v>14450</v>
      </c>
    </row>
    <row r="136" spans="1:16">
      <c r="A136" t="s">
        <v>14865</v>
      </c>
      <c r="B136" t="s">
        <v>13425</v>
      </c>
      <c r="C136" t="s">
        <v>11159</v>
      </c>
      <c r="D136" t="s">
        <v>11159</v>
      </c>
      <c r="E136">
        <v>4.3</v>
      </c>
      <c r="F136">
        <v>5</v>
      </c>
      <c r="G136" t="s">
        <v>14472</v>
      </c>
      <c r="H136" t="s">
        <v>14473</v>
      </c>
      <c r="I136" t="s">
        <v>14866</v>
      </c>
      <c r="J136" t="s">
        <v>14867</v>
      </c>
      <c r="K136" t="s">
        <v>14476</v>
      </c>
      <c r="L136" t="s">
        <v>14477</v>
      </c>
      <c r="M136" t="s">
        <v>546</v>
      </c>
      <c r="N136">
        <v>1</v>
      </c>
      <c r="O136" t="s">
        <v>11504</v>
      </c>
      <c r="P136" t="s">
        <v>14450</v>
      </c>
    </row>
    <row r="137" spans="1:16">
      <c r="A137" t="s">
        <v>14868</v>
      </c>
      <c r="B137" t="s">
        <v>13428</v>
      </c>
      <c r="C137" t="s">
        <v>11159</v>
      </c>
      <c r="D137" t="s">
        <v>11159</v>
      </c>
      <c r="E137">
        <v>0</v>
      </c>
      <c r="F137">
        <v>1.4</v>
      </c>
      <c r="G137" t="s">
        <v>14444</v>
      </c>
      <c r="H137" t="s">
        <v>14445</v>
      </c>
      <c r="I137" t="s">
        <v>14869</v>
      </c>
      <c r="J137" t="s">
        <v>14870</v>
      </c>
      <c r="K137" t="s">
        <v>14448</v>
      </c>
      <c r="L137" t="s">
        <v>14449</v>
      </c>
      <c r="M137" t="s">
        <v>546</v>
      </c>
      <c r="N137">
        <v>1</v>
      </c>
      <c r="O137" t="s">
        <v>11504</v>
      </c>
      <c r="P137" t="s">
        <v>14450</v>
      </c>
    </row>
    <row r="138" spans="1:16">
      <c r="A138" t="s">
        <v>14871</v>
      </c>
      <c r="B138" t="s">
        <v>13428</v>
      </c>
      <c r="C138" t="s">
        <v>11159</v>
      </c>
      <c r="D138" t="s">
        <v>11159</v>
      </c>
      <c r="E138">
        <v>1.5</v>
      </c>
      <c r="F138">
        <v>2.4</v>
      </c>
      <c r="G138" t="s">
        <v>11741</v>
      </c>
      <c r="H138" t="s">
        <v>14452</v>
      </c>
      <c r="I138" t="s">
        <v>14872</v>
      </c>
      <c r="J138" t="s">
        <v>14873</v>
      </c>
      <c r="K138" t="s">
        <v>14455</v>
      </c>
      <c r="L138" t="s">
        <v>14456</v>
      </c>
      <c r="M138" t="s">
        <v>546</v>
      </c>
      <c r="N138">
        <v>1</v>
      </c>
      <c r="O138" t="s">
        <v>11504</v>
      </c>
      <c r="P138" t="s">
        <v>14450</v>
      </c>
    </row>
    <row r="139" spans="1:16">
      <c r="A139" t="s">
        <v>14874</v>
      </c>
      <c r="B139" t="s">
        <v>13428</v>
      </c>
      <c r="C139" t="s">
        <v>11159</v>
      </c>
      <c r="D139" t="s">
        <v>11159</v>
      </c>
      <c r="E139">
        <v>2.5</v>
      </c>
      <c r="F139">
        <v>3.4</v>
      </c>
      <c r="G139" t="s">
        <v>14458</v>
      </c>
      <c r="H139" t="s">
        <v>14459</v>
      </c>
      <c r="I139" t="s">
        <v>14875</v>
      </c>
      <c r="J139" t="s">
        <v>14876</v>
      </c>
      <c r="K139" t="s">
        <v>14462</v>
      </c>
      <c r="L139" t="s">
        <v>14463</v>
      </c>
      <c r="M139" t="s">
        <v>546</v>
      </c>
      <c r="N139">
        <v>1</v>
      </c>
      <c r="O139" t="s">
        <v>11504</v>
      </c>
      <c r="P139" t="s">
        <v>14450</v>
      </c>
    </row>
    <row r="140" spans="1:16">
      <c r="A140" t="s">
        <v>14877</v>
      </c>
      <c r="B140" t="s">
        <v>13428</v>
      </c>
      <c r="C140" t="s">
        <v>11159</v>
      </c>
      <c r="D140" t="s">
        <v>11159</v>
      </c>
      <c r="E140">
        <v>3.5</v>
      </c>
      <c r="F140">
        <v>4.2</v>
      </c>
      <c r="G140" t="s">
        <v>14465</v>
      </c>
      <c r="H140" t="s">
        <v>14466</v>
      </c>
      <c r="I140" t="s">
        <v>14878</v>
      </c>
      <c r="J140" t="s">
        <v>14879</v>
      </c>
      <c r="K140" t="s">
        <v>14469</v>
      </c>
      <c r="L140" t="s">
        <v>14470</v>
      </c>
      <c r="M140" t="s">
        <v>546</v>
      </c>
      <c r="N140">
        <v>1</v>
      </c>
      <c r="O140" t="s">
        <v>11504</v>
      </c>
      <c r="P140" t="s">
        <v>14450</v>
      </c>
    </row>
    <row r="141" spans="1:16">
      <c r="A141" t="s">
        <v>14880</v>
      </c>
      <c r="B141" t="s">
        <v>13428</v>
      </c>
      <c r="C141" t="s">
        <v>11159</v>
      </c>
      <c r="D141" t="s">
        <v>11159</v>
      </c>
      <c r="E141">
        <v>4.3</v>
      </c>
      <c r="F141">
        <v>5</v>
      </c>
      <c r="G141" t="s">
        <v>14472</v>
      </c>
      <c r="H141" t="s">
        <v>14473</v>
      </c>
      <c r="I141" t="s">
        <v>14881</v>
      </c>
      <c r="J141" t="s">
        <v>14882</v>
      </c>
      <c r="K141" t="s">
        <v>14476</v>
      </c>
      <c r="L141" t="s">
        <v>14477</v>
      </c>
      <c r="M141" t="s">
        <v>546</v>
      </c>
      <c r="N141">
        <v>1</v>
      </c>
      <c r="O141" t="s">
        <v>11504</v>
      </c>
      <c r="P141" t="s">
        <v>14450</v>
      </c>
    </row>
    <row r="142" spans="1:16">
      <c r="A142" t="s">
        <v>14883</v>
      </c>
      <c r="B142" t="s">
        <v>13431</v>
      </c>
      <c r="C142" t="s">
        <v>11159</v>
      </c>
      <c r="D142" t="s">
        <v>11159</v>
      </c>
      <c r="E142">
        <v>0</v>
      </c>
      <c r="F142">
        <v>1.4</v>
      </c>
      <c r="G142" t="s">
        <v>14444</v>
      </c>
      <c r="H142" t="s">
        <v>14445</v>
      </c>
      <c r="I142" t="s">
        <v>14884</v>
      </c>
      <c r="J142" t="s">
        <v>14885</v>
      </c>
      <c r="K142" t="s">
        <v>14448</v>
      </c>
      <c r="L142" t="s">
        <v>14449</v>
      </c>
      <c r="M142" t="s">
        <v>546</v>
      </c>
      <c r="N142">
        <v>1</v>
      </c>
      <c r="O142" t="s">
        <v>11504</v>
      </c>
      <c r="P142" t="s">
        <v>14450</v>
      </c>
    </row>
    <row r="143" spans="1:16">
      <c r="A143" t="s">
        <v>14886</v>
      </c>
      <c r="B143" t="s">
        <v>13431</v>
      </c>
      <c r="C143" t="s">
        <v>11159</v>
      </c>
      <c r="D143" t="s">
        <v>11159</v>
      </c>
      <c r="E143">
        <v>1.5</v>
      </c>
      <c r="F143">
        <v>2.4</v>
      </c>
      <c r="G143" t="s">
        <v>11741</v>
      </c>
      <c r="H143" t="s">
        <v>14452</v>
      </c>
      <c r="I143" t="s">
        <v>14887</v>
      </c>
      <c r="J143" t="s">
        <v>14888</v>
      </c>
      <c r="K143" t="s">
        <v>14455</v>
      </c>
      <c r="L143" t="s">
        <v>14456</v>
      </c>
      <c r="M143" t="s">
        <v>546</v>
      </c>
      <c r="N143">
        <v>1</v>
      </c>
      <c r="O143" t="s">
        <v>11504</v>
      </c>
      <c r="P143" t="s">
        <v>14450</v>
      </c>
    </row>
    <row r="144" spans="1:16">
      <c r="A144" t="s">
        <v>14889</v>
      </c>
      <c r="B144" t="s">
        <v>13431</v>
      </c>
      <c r="C144" t="s">
        <v>11159</v>
      </c>
      <c r="D144" t="s">
        <v>11159</v>
      </c>
      <c r="E144">
        <v>2.5</v>
      </c>
      <c r="F144">
        <v>3.4</v>
      </c>
      <c r="G144" t="s">
        <v>14458</v>
      </c>
      <c r="H144" t="s">
        <v>14459</v>
      </c>
      <c r="I144" t="s">
        <v>14890</v>
      </c>
      <c r="J144" t="s">
        <v>14891</v>
      </c>
      <c r="K144" t="s">
        <v>14462</v>
      </c>
      <c r="L144" t="s">
        <v>14463</v>
      </c>
      <c r="M144" t="s">
        <v>546</v>
      </c>
      <c r="N144">
        <v>1</v>
      </c>
      <c r="O144" t="s">
        <v>11504</v>
      </c>
      <c r="P144" t="s">
        <v>14450</v>
      </c>
    </row>
    <row r="145" spans="1:16">
      <c r="A145" t="s">
        <v>14892</v>
      </c>
      <c r="B145" t="s">
        <v>13431</v>
      </c>
      <c r="C145" t="s">
        <v>11159</v>
      </c>
      <c r="D145" t="s">
        <v>11159</v>
      </c>
      <c r="E145">
        <v>3.5</v>
      </c>
      <c r="F145">
        <v>4.2</v>
      </c>
      <c r="G145" t="s">
        <v>14465</v>
      </c>
      <c r="H145" t="s">
        <v>14466</v>
      </c>
      <c r="I145" t="s">
        <v>14893</v>
      </c>
      <c r="J145" t="s">
        <v>14894</v>
      </c>
      <c r="K145" t="s">
        <v>14469</v>
      </c>
      <c r="L145" t="s">
        <v>14470</v>
      </c>
      <c r="M145" t="s">
        <v>546</v>
      </c>
      <c r="N145">
        <v>1</v>
      </c>
      <c r="O145" t="s">
        <v>11504</v>
      </c>
      <c r="P145" t="s">
        <v>14450</v>
      </c>
    </row>
    <row r="146" spans="1:16">
      <c r="A146" t="s">
        <v>14895</v>
      </c>
      <c r="B146" t="s">
        <v>13431</v>
      </c>
      <c r="C146" t="s">
        <v>11159</v>
      </c>
      <c r="D146" t="s">
        <v>11159</v>
      </c>
      <c r="E146">
        <v>4.3</v>
      </c>
      <c r="F146">
        <v>5</v>
      </c>
      <c r="G146" t="s">
        <v>14472</v>
      </c>
      <c r="H146" t="s">
        <v>14473</v>
      </c>
      <c r="I146" t="s">
        <v>14896</v>
      </c>
      <c r="J146" t="s">
        <v>14897</v>
      </c>
      <c r="K146" t="s">
        <v>14476</v>
      </c>
      <c r="L146" t="s">
        <v>14477</v>
      </c>
      <c r="M146" t="s">
        <v>546</v>
      </c>
      <c r="N146">
        <v>1</v>
      </c>
      <c r="O146" t="s">
        <v>11504</v>
      </c>
      <c r="P146" t="s">
        <v>14450</v>
      </c>
    </row>
    <row r="147" spans="1:16">
      <c r="A147" t="s">
        <v>14898</v>
      </c>
      <c r="B147" t="s">
        <v>13434</v>
      </c>
      <c r="C147" t="s">
        <v>11159</v>
      </c>
      <c r="D147" t="s">
        <v>11159</v>
      </c>
      <c r="E147">
        <v>0</v>
      </c>
      <c r="F147">
        <v>1.4</v>
      </c>
      <c r="G147" t="s">
        <v>14444</v>
      </c>
      <c r="H147" t="s">
        <v>14445</v>
      </c>
      <c r="I147" t="s">
        <v>14899</v>
      </c>
      <c r="J147" t="s">
        <v>14900</v>
      </c>
      <c r="K147" t="s">
        <v>14448</v>
      </c>
      <c r="L147" t="s">
        <v>14449</v>
      </c>
      <c r="M147" t="s">
        <v>546</v>
      </c>
      <c r="N147">
        <v>1</v>
      </c>
      <c r="O147" t="s">
        <v>11504</v>
      </c>
      <c r="P147" t="s">
        <v>14450</v>
      </c>
    </row>
    <row r="148" spans="1:16">
      <c r="A148" t="s">
        <v>14901</v>
      </c>
      <c r="B148" t="s">
        <v>13434</v>
      </c>
      <c r="C148" t="s">
        <v>11159</v>
      </c>
      <c r="D148" t="s">
        <v>11159</v>
      </c>
      <c r="E148">
        <v>1.5</v>
      </c>
      <c r="F148">
        <v>2.4</v>
      </c>
      <c r="G148" t="s">
        <v>11741</v>
      </c>
      <c r="H148" t="s">
        <v>14452</v>
      </c>
      <c r="I148" t="s">
        <v>14902</v>
      </c>
      <c r="J148" t="s">
        <v>14903</v>
      </c>
      <c r="K148" t="s">
        <v>14455</v>
      </c>
      <c r="L148" t="s">
        <v>14456</v>
      </c>
      <c r="M148" t="s">
        <v>546</v>
      </c>
      <c r="N148">
        <v>1</v>
      </c>
      <c r="O148" t="s">
        <v>11504</v>
      </c>
      <c r="P148" t="s">
        <v>14450</v>
      </c>
    </row>
    <row r="149" spans="1:16">
      <c r="A149" t="s">
        <v>14904</v>
      </c>
      <c r="B149" t="s">
        <v>13434</v>
      </c>
      <c r="C149" t="s">
        <v>11159</v>
      </c>
      <c r="D149" t="s">
        <v>11159</v>
      </c>
      <c r="E149">
        <v>2.5</v>
      </c>
      <c r="F149">
        <v>3.4</v>
      </c>
      <c r="G149" t="s">
        <v>14458</v>
      </c>
      <c r="H149" t="s">
        <v>14459</v>
      </c>
      <c r="I149" t="s">
        <v>14905</v>
      </c>
      <c r="J149" t="s">
        <v>14906</v>
      </c>
      <c r="K149" t="s">
        <v>14462</v>
      </c>
      <c r="L149" t="s">
        <v>14463</v>
      </c>
      <c r="M149" t="s">
        <v>546</v>
      </c>
      <c r="N149">
        <v>1</v>
      </c>
      <c r="O149" t="s">
        <v>11504</v>
      </c>
      <c r="P149" t="s">
        <v>14450</v>
      </c>
    </row>
    <row r="150" spans="1:16">
      <c r="A150" t="s">
        <v>14907</v>
      </c>
      <c r="B150" t="s">
        <v>13434</v>
      </c>
      <c r="C150" t="s">
        <v>11159</v>
      </c>
      <c r="D150" t="s">
        <v>11159</v>
      </c>
      <c r="E150">
        <v>3.5</v>
      </c>
      <c r="F150">
        <v>4.2</v>
      </c>
      <c r="G150" t="s">
        <v>14465</v>
      </c>
      <c r="H150" t="s">
        <v>14466</v>
      </c>
      <c r="I150" t="s">
        <v>14908</v>
      </c>
      <c r="J150" t="s">
        <v>14909</v>
      </c>
      <c r="K150" t="s">
        <v>14469</v>
      </c>
      <c r="L150" t="s">
        <v>14470</v>
      </c>
      <c r="M150" t="s">
        <v>546</v>
      </c>
      <c r="N150">
        <v>1</v>
      </c>
      <c r="O150" t="s">
        <v>11504</v>
      </c>
      <c r="P150" t="s">
        <v>14450</v>
      </c>
    </row>
    <row r="151" spans="1:16">
      <c r="A151" t="s">
        <v>14910</v>
      </c>
      <c r="B151" t="s">
        <v>13434</v>
      </c>
      <c r="C151" t="s">
        <v>11159</v>
      </c>
      <c r="D151" t="s">
        <v>11159</v>
      </c>
      <c r="E151">
        <v>4.3</v>
      </c>
      <c r="F151">
        <v>5</v>
      </c>
      <c r="G151" t="s">
        <v>14472</v>
      </c>
      <c r="H151" t="s">
        <v>14473</v>
      </c>
      <c r="I151" t="s">
        <v>14911</v>
      </c>
      <c r="J151" t="s">
        <v>14912</v>
      </c>
      <c r="K151" t="s">
        <v>14476</v>
      </c>
      <c r="L151" t="s">
        <v>14477</v>
      </c>
      <c r="M151" t="s">
        <v>546</v>
      </c>
      <c r="N151">
        <v>1</v>
      </c>
      <c r="O151" t="s">
        <v>11504</v>
      </c>
      <c r="P151" t="s">
        <v>14450</v>
      </c>
    </row>
    <row r="152" spans="1:16">
      <c r="A152" t="s">
        <v>14913</v>
      </c>
      <c r="B152" t="s">
        <v>13437</v>
      </c>
      <c r="C152" t="s">
        <v>11159</v>
      </c>
      <c r="D152" t="s">
        <v>11159</v>
      </c>
      <c r="E152">
        <v>0</v>
      </c>
      <c r="F152">
        <v>1.4</v>
      </c>
      <c r="G152" t="s">
        <v>14444</v>
      </c>
      <c r="H152" t="s">
        <v>14445</v>
      </c>
      <c r="I152" t="s">
        <v>14914</v>
      </c>
      <c r="J152" t="s">
        <v>14915</v>
      </c>
      <c r="K152" t="s">
        <v>14448</v>
      </c>
      <c r="L152" t="s">
        <v>14449</v>
      </c>
      <c r="M152" t="s">
        <v>546</v>
      </c>
      <c r="N152">
        <v>1</v>
      </c>
      <c r="O152" t="s">
        <v>11504</v>
      </c>
      <c r="P152" t="s">
        <v>14450</v>
      </c>
    </row>
    <row r="153" spans="1:16">
      <c r="A153" t="s">
        <v>14916</v>
      </c>
      <c r="B153" t="s">
        <v>13437</v>
      </c>
      <c r="C153" t="s">
        <v>11159</v>
      </c>
      <c r="D153" t="s">
        <v>11159</v>
      </c>
      <c r="E153">
        <v>1.5</v>
      </c>
      <c r="F153">
        <v>2.4</v>
      </c>
      <c r="G153" t="s">
        <v>11741</v>
      </c>
      <c r="H153" t="s">
        <v>14452</v>
      </c>
      <c r="I153" t="s">
        <v>14917</v>
      </c>
      <c r="J153" t="s">
        <v>14918</v>
      </c>
      <c r="K153" t="s">
        <v>14455</v>
      </c>
      <c r="L153" t="s">
        <v>14456</v>
      </c>
      <c r="M153" t="s">
        <v>546</v>
      </c>
      <c r="N153">
        <v>1</v>
      </c>
      <c r="O153" t="s">
        <v>11504</v>
      </c>
      <c r="P153" t="s">
        <v>14450</v>
      </c>
    </row>
    <row r="154" spans="1:16">
      <c r="A154" t="s">
        <v>14919</v>
      </c>
      <c r="B154" t="s">
        <v>13437</v>
      </c>
      <c r="C154" t="s">
        <v>11159</v>
      </c>
      <c r="D154" t="s">
        <v>11159</v>
      </c>
      <c r="E154">
        <v>2.5</v>
      </c>
      <c r="F154">
        <v>3.4</v>
      </c>
      <c r="G154" t="s">
        <v>14458</v>
      </c>
      <c r="H154" t="s">
        <v>14459</v>
      </c>
      <c r="I154" t="s">
        <v>14920</v>
      </c>
      <c r="J154" t="s">
        <v>14921</v>
      </c>
      <c r="K154" t="s">
        <v>14462</v>
      </c>
      <c r="L154" t="s">
        <v>14463</v>
      </c>
      <c r="M154" t="s">
        <v>546</v>
      </c>
      <c r="N154">
        <v>1</v>
      </c>
      <c r="O154" t="s">
        <v>11504</v>
      </c>
      <c r="P154" t="s">
        <v>14450</v>
      </c>
    </row>
    <row r="155" spans="1:16">
      <c r="A155" t="s">
        <v>14922</v>
      </c>
      <c r="B155" t="s">
        <v>13437</v>
      </c>
      <c r="C155" t="s">
        <v>11159</v>
      </c>
      <c r="D155" t="s">
        <v>11159</v>
      </c>
      <c r="E155">
        <v>3.5</v>
      </c>
      <c r="F155">
        <v>4.2</v>
      </c>
      <c r="G155" t="s">
        <v>14465</v>
      </c>
      <c r="H155" t="s">
        <v>14466</v>
      </c>
      <c r="I155" t="s">
        <v>14923</v>
      </c>
      <c r="J155" t="s">
        <v>14924</v>
      </c>
      <c r="K155" t="s">
        <v>14469</v>
      </c>
      <c r="L155" t="s">
        <v>14470</v>
      </c>
      <c r="M155" t="s">
        <v>546</v>
      </c>
      <c r="N155">
        <v>1</v>
      </c>
      <c r="O155" t="s">
        <v>11504</v>
      </c>
      <c r="P155" t="s">
        <v>14450</v>
      </c>
    </row>
    <row r="156" spans="1:16">
      <c r="A156" t="s">
        <v>14925</v>
      </c>
      <c r="B156" t="s">
        <v>13437</v>
      </c>
      <c r="C156" t="s">
        <v>11159</v>
      </c>
      <c r="D156" t="s">
        <v>11159</v>
      </c>
      <c r="E156">
        <v>4.3</v>
      </c>
      <c r="F156">
        <v>5</v>
      </c>
      <c r="G156" t="s">
        <v>14472</v>
      </c>
      <c r="H156" t="s">
        <v>14473</v>
      </c>
      <c r="I156" t="s">
        <v>14926</v>
      </c>
      <c r="J156" t="s">
        <v>14927</v>
      </c>
      <c r="K156" t="s">
        <v>14476</v>
      </c>
      <c r="L156" t="s">
        <v>14477</v>
      </c>
      <c r="M156" t="s">
        <v>546</v>
      </c>
      <c r="N156">
        <v>1</v>
      </c>
      <c r="O156" t="s">
        <v>11504</v>
      </c>
      <c r="P156" t="s">
        <v>14450</v>
      </c>
    </row>
    <row r="157" spans="1:16">
      <c r="A157" t="s">
        <v>14928</v>
      </c>
      <c r="B157" t="s">
        <v>13440</v>
      </c>
      <c r="C157" t="s">
        <v>11159</v>
      </c>
      <c r="D157" t="s">
        <v>11159</v>
      </c>
      <c r="E157">
        <v>0</v>
      </c>
      <c r="F157">
        <v>1.4</v>
      </c>
      <c r="G157" t="s">
        <v>14444</v>
      </c>
      <c r="H157" t="s">
        <v>14445</v>
      </c>
      <c r="I157" t="s">
        <v>14929</v>
      </c>
      <c r="J157" t="s">
        <v>14930</v>
      </c>
      <c r="K157" t="s">
        <v>14448</v>
      </c>
      <c r="L157" t="s">
        <v>14449</v>
      </c>
      <c r="M157" t="s">
        <v>546</v>
      </c>
      <c r="N157">
        <v>1</v>
      </c>
      <c r="O157" t="s">
        <v>11504</v>
      </c>
      <c r="P157" t="s">
        <v>14450</v>
      </c>
    </row>
    <row r="158" spans="1:16">
      <c r="A158" t="s">
        <v>14931</v>
      </c>
      <c r="B158" t="s">
        <v>13440</v>
      </c>
      <c r="C158" t="s">
        <v>11159</v>
      </c>
      <c r="D158" t="s">
        <v>11159</v>
      </c>
      <c r="E158">
        <v>1.5</v>
      </c>
      <c r="F158">
        <v>2.4</v>
      </c>
      <c r="G158" t="s">
        <v>11741</v>
      </c>
      <c r="H158" t="s">
        <v>14452</v>
      </c>
      <c r="I158" t="s">
        <v>14932</v>
      </c>
      <c r="J158" t="s">
        <v>14933</v>
      </c>
      <c r="K158" t="s">
        <v>14455</v>
      </c>
      <c r="L158" t="s">
        <v>14456</v>
      </c>
      <c r="M158" t="s">
        <v>546</v>
      </c>
      <c r="N158">
        <v>1</v>
      </c>
      <c r="O158" t="s">
        <v>11504</v>
      </c>
      <c r="P158" t="s">
        <v>14450</v>
      </c>
    </row>
    <row r="159" spans="1:16">
      <c r="A159" t="s">
        <v>14934</v>
      </c>
      <c r="B159" t="s">
        <v>13440</v>
      </c>
      <c r="C159" t="s">
        <v>11159</v>
      </c>
      <c r="D159" t="s">
        <v>11159</v>
      </c>
      <c r="E159">
        <v>2.5</v>
      </c>
      <c r="F159">
        <v>3.4</v>
      </c>
      <c r="G159" t="s">
        <v>14458</v>
      </c>
      <c r="H159" t="s">
        <v>14459</v>
      </c>
      <c r="I159" t="s">
        <v>14935</v>
      </c>
      <c r="J159" t="s">
        <v>14936</v>
      </c>
      <c r="K159" t="s">
        <v>14462</v>
      </c>
      <c r="L159" t="s">
        <v>14463</v>
      </c>
      <c r="M159" t="s">
        <v>546</v>
      </c>
      <c r="N159">
        <v>1</v>
      </c>
      <c r="O159" t="s">
        <v>11504</v>
      </c>
      <c r="P159" t="s">
        <v>14450</v>
      </c>
    </row>
    <row r="160" spans="1:16">
      <c r="A160" t="s">
        <v>14937</v>
      </c>
      <c r="B160" t="s">
        <v>13440</v>
      </c>
      <c r="C160" t="s">
        <v>11159</v>
      </c>
      <c r="D160" t="s">
        <v>11159</v>
      </c>
      <c r="E160">
        <v>3.5</v>
      </c>
      <c r="F160">
        <v>4.2</v>
      </c>
      <c r="G160" t="s">
        <v>14465</v>
      </c>
      <c r="H160" t="s">
        <v>14466</v>
      </c>
      <c r="I160" t="s">
        <v>14938</v>
      </c>
      <c r="J160" t="s">
        <v>14939</v>
      </c>
      <c r="K160" t="s">
        <v>14469</v>
      </c>
      <c r="L160" t="s">
        <v>14470</v>
      </c>
      <c r="M160" t="s">
        <v>546</v>
      </c>
      <c r="N160">
        <v>1</v>
      </c>
      <c r="O160" t="s">
        <v>11504</v>
      </c>
      <c r="P160" t="s">
        <v>14450</v>
      </c>
    </row>
    <row r="161" spans="1:16">
      <c r="A161" t="s">
        <v>14940</v>
      </c>
      <c r="B161" t="s">
        <v>13440</v>
      </c>
      <c r="C161" t="s">
        <v>11159</v>
      </c>
      <c r="D161" t="s">
        <v>11159</v>
      </c>
      <c r="E161">
        <v>4.3</v>
      </c>
      <c r="F161">
        <v>5</v>
      </c>
      <c r="G161" t="s">
        <v>14472</v>
      </c>
      <c r="H161" t="s">
        <v>14473</v>
      </c>
      <c r="I161" t="s">
        <v>14941</v>
      </c>
      <c r="J161" t="s">
        <v>14942</v>
      </c>
      <c r="K161" t="s">
        <v>14476</v>
      </c>
      <c r="L161" t="s">
        <v>14477</v>
      </c>
      <c r="M161" t="s">
        <v>546</v>
      </c>
      <c r="N161">
        <v>1</v>
      </c>
      <c r="O161" t="s">
        <v>11504</v>
      </c>
      <c r="P161" t="s">
        <v>14450</v>
      </c>
    </row>
    <row r="162" spans="1:16">
      <c r="A162" t="s">
        <v>14943</v>
      </c>
      <c r="B162" t="s">
        <v>13443</v>
      </c>
      <c r="C162" t="s">
        <v>11159</v>
      </c>
      <c r="D162" t="s">
        <v>11159</v>
      </c>
      <c r="E162">
        <v>0</v>
      </c>
      <c r="F162">
        <v>1.4</v>
      </c>
      <c r="G162" t="s">
        <v>14444</v>
      </c>
      <c r="H162" t="s">
        <v>14445</v>
      </c>
      <c r="I162" t="s">
        <v>14944</v>
      </c>
      <c r="J162" t="s">
        <v>14945</v>
      </c>
      <c r="K162" t="s">
        <v>14448</v>
      </c>
      <c r="L162" t="s">
        <v>14449</v>
      </c>
      <c r="M162" t="s">
        <v>546</v>
      </c>
      <c r="N162">
        <v>1</v>
      </c>
      <c r="O162" t="s">
        <v>11504</v>
      </c>
      <c r="P162" t="s">
        <v>14450</v>
      </c>
    </row>
    <row r="163" spans="1:16">
      <c r="A163" t="s">
        <v>14946</v>
      </c>
      <c r="B163" t="s">
        <v>13443</v>
      </c>
      <c r="C163" t="s">
        <v>11159</v>
      </c>
      <c r="D163" t="s">
        <v>11159</v>
      </c>
      <c r="E163">
        <v>1.5</v>
      </c>
      <c r="F163">
        <v>2.4</v>
      </c>
      <c r="G163" t="s">
        <v>11741</v>
      </c>
      <c r="H163" t="s">
        <v>14452</v>
      </c>
      <c r="I163" t="s">
        <v>14947</v>
      </c>
      <c r="J163" t="s">
        <v>14948</v>
      </c>
      <c r="K163" t="s">
        <v>14455</v>
      </c>
      <c r="L163" t="s">
        <v>14456</v>
      </c>
      <c r="M163" t="s">
        <v>546</v>
      </c>
      <c r="N163">
        <v>1</v>
      </c>
      <c r="O163" t="s">
        <v>11504</v>
      </c>
      <c r="P163" t="s">
        <v>14450</v>
      </c>
    </row>
    <row r="164" spans="1:16">
      <c r="A164" t="s">
        <v>14949</v>
      </c>
      <c r="B164" t="s">
        <v>13443</v>
      </c>
      <c r="C164" t="s">
        <v>11159</v>
      </c>
      <c r="D164" t="s">
        <v>11159</v>
      </c>
      <c r="E164">
        <v>2.5</v>
      </c>
      <c r="F164">
        <v>3.4</v>
      </c>
      <c r="G164" t="s">
        <v>14458</v>
      </c>
      <c r="H164" t="s">
        <v>14459</v>
      </c>
      <c r="I164" t="s">
        <v>14950</v>
      </c>
      <c r="J164" t="s">
        <v>14951</v>
      </c>
      <c r="K164" t="s">
        <v>14462</v>
      </c>
      <c r="L164" t="s">
        <v>14463</v>
      </c>
      <c r="M164" t="s">
        <v>546</v>
      </c>
      <c r="N164">
        <v>1</v>
      </c>
      <c r="O164" t="s">
        <v>11504</v>
      </c>
      <c r="P164" t="s">
        <v>14450</v>
      </c>
    </row>
    <row r="165" spans="1:16">
      <c r="A165" t="s">
        <v>14952</v>
      </c>
      <c r="B165" t="s">
        <v>13443</v>
      </c>
      <c r="C165" t="s">
        <v>11159</v>
      </c>
      <c r="D165" t="s">
        <v>11159</v>
      </c>
      <c r="E165">
        <v>3.5</v>
      </c>
      <c r="F165">
        <v>4.2</v>
      </c>
      <c r="G165" t="s">
        <v>14465</v>
      </c>
      <c r="H165" t="s">
        <v>14466</v>
      </c>
      <c r="I165" t="s">
        <v>14953</v>
      </c>
      <c r="J165" t="s">
        <v>14954</v>
      </c>
      <c r="K165" t="s">
        <v>14469</v>
      </c>
      <c r="L165" t="s">
        <v>14470</v>
      </c>
      <c r="M165" t="s">
        <v>546</v>
      </c>
      <c r="N165">
        <v>1</v>
      </c>
      <c r="O165" t="s">
        <v>11504</v>
      </c>
      <c r="P165" t="s">
        <v>14450</v>
      </c>
    </row>
    <row r="166" spans="1:16">
      <c r="A166" t="s">
        <v>14955</v>
      </c>
      <c r="B166" t="s">
        <v>13443</v>
      </c>
      <c r="C166" t="s">
        <v>11159</v>
      </c>
      <c r="D166" t="s">
        <v>11159</v>
      </c>
      <c r="E166">
        <v>4.3</v>
      </c>
      <c r="F166">
        <v>5</v>
      </c>
      <c r="G166" t="s">
        <v>14472</v>
      </c>
      <c r="H166" t="s">
        <v>14473</v>
      </c>
      <c r="I166" t="s">
        <v>14956</v>
      </c>
      <c r="J166" t="s">
        <v>14957</v>
      </c>
      <c r="K166" t="s">
        <v>14476</v>
      </c>
      <c r="L166" t="s">
        <v>14477</v>
      </c>
      <c r="M166" t="s">
        <v>546</v>
      </c>
      <c r="N166">
        <v>1</v>
      </c>
      <c r="O166" t="s">
        <v>11504</v>
      </c>
      <c r="P166" t="s">
        <v>14450</v>
      </c>
    </row>
    <row r="167" spans="1:16">
      <c r="A167" t="s">
        <v>14958</v>
      </c>
      <c r="B167" t="s">
        <v>13446</v>
      </c>
      <c r="C167" t="s">
        <v>11159</v>
      </c>
      <c r="D167" t="s">
        <v>11159</v>
      </c>
      <c r="E167">
        <v>0</v>
      </c>
      <c r="F167">
        <v>1.4</v>
      </c>
      <c r="G167" t="s">
        <v>14444</v>
      </c>
      <c r="H167" t="s">
        <v>14445</v>
      </c>
      <c r="I167" t="s">
        <v>14959</v>
      </c>
      <c r="J167" t="s">
        <v>14960</v>
      </c>
      <c r="K167" t="s">
        <v>14448</v>
      </c>
      <c r="L167" t="s">
        <v>14449</v>
      </c>
      <c r="M167" t="s">
        <v>546</v>
      </c>
      <c r="N167">
        <v>1</v>
      </c>
      <c r="O167" t="s">
        <v>11504</v>
      </c>
      <c r="P167" t="s">
        <v>14450</v>
      </c>
    </row>
    <row r="168" spans="1:16">
      <c r="A168" t="s">
        <v>14961</v>
      </c>
      <c r="B168" t="s">
        <v>13446</v>
      </c>
      <c r="C168" t="s">
        <v>11159</v>
      </c>
      <c r="D168" t="s">
        <v>11159</v>
      </c>
      <c r="E168">
        <v>1.5</v>
      </c>
      <c r="F168">
        <v>2.4</v>
      </c>
      <c r="G168" t="s">
        <v>11741</v>
      </c>
      <c r="H168" t="s">
        <v>14452</v>
      </c>
      <c r="I168" t="s">
        <v>14962</v>
      </c>
      <c r="J168" t="s">
        <v>14963</v>
      </c>
      <c r="K168" t="s">
        <v>14455</v>
      </c>
      <c r="L168" t="s">
        <v>14456</v>
      </c>
      <c r="M168" t="s">
        <v>546</v>
      </c>
      <c r="N168">
        <v>1</v>
      </c>
      <c r="O168" t="s">
        <v>11504</v>
      </c>
      <c r="P168" t="s">
        <v>14450</v>
      </c>
    </row>
    <row r="169" spans="1:16">
      <c r="A169" t="s">
        <v>14964</v>
      </c>
      <c r="B169" t="s">
        <v>13446</v>
      </c>
      <c r="C169" t="s">
        <v>11159</v>
      </c>
      <c r="D169" t="s">
        <v>11159</v>
      </c>
      <c r="E169">
        <v>2.5</v>
      </c>
      <c r="F169">
        <v>3.4</v>
      </c>
      <c r="G169" t="s">
        <v>14458</v>
      </c>
      <c r="H169" t="s">
        <v>14459</v>
      </c>
      <c r="I169" t="s">
        <v>14965</v>
      </c>
      <c r="J169" t="s">
        <v>14966</v>
      </c>
      <c r="K169" t="s">
        <v>14462</v>
      </c>
      <c r="L169" t="s">
        <v>14463</v>
      </c>
      <c r="M169" t="s">
        <v>546</v>
      </c>
      <c r="N169">
        <v>1</v>
      </c>
      <c r="O169" t="s">
        <v>11504</v>
      </c>
      <c r="P169" t="s">
        <v>14450</v>
      </c>
    </row>
    <row r="170" spans="1:16">
      <c r="A170" t="s">
        <v>14967</v>
      </c>
      <c r="B170" t="s">
        <v>13446</v>
      </c>
      <c r="C170" t="s">
        <v>11159</v>
      </c>
      <c r="D170" t="s">
        <v>11159</v>
      </c>
      <c r="E170">
        <v>3.5</v>
      </c>
      <c r="F170">
        <v>4.2</v>
      </c>
      <c r="G170" t="s">
        <v>14465</v>
      </c>
      <c r="H170" t="s">
        <v>14466</v>
      </c>
      <c r="I170" t="s">
        <v>14968</v>
      </c>
      <c r="J170" t="s">
        <v>14969</v>
      </c>
      <c r="K170" t="s">
        <v>14469</v>
      </c>
      <c r="L170" t="s">
        <v>14470</v>
      </c>
      <c r="M170" t="s">
        <v>546</v>
      </c>
      <c r="N170">
        <v>1</v>
      </c>
      <c r="O170" t="s">
        <v>11504</v>
      </c>
      <c r="P170" t="s">
        <v>14450</v>
      </c>
    </row>
    <row r="171" spans="1:16">
      <c r="A171" t="s">
        <v>14970</v>
      </c>
      <c r="B171" t="s">
        <v>13446</v>
      </c>
      <c r="C171" t="s">
        <v>11159</v>
      </c>
      <c r="D171" t="s">
        <v>11159</v>
      </c>
      <c r="E171">
        <v>4.3</v>
      </c>
      <c r="F171">
        <v>5</v>
      </c>
      <c r="G171" t="s">
        <v>14472</v>
      </c>
      <c r="H171" t="s">
        <v>14473</v>
      </c>
      <c r="I171" t="s">
        <v>14971</v>
      </c>
      <c r="J171" t="s">
        <v>14972</v>
      </c>
      <c r="K171" t="s">
        <v>14476</v>
      </c>
      <c r="L171" t="s">
        <v>14477</v>
      </c>
      <c r="M171" t="s">
        <v>546</v>
      </c>
      <c r="N171">
        <v>1</v>
      </c>
      <c r="O171" t="s">
        <v>11504</v>
      </c>
      <c r="P171" t="s">
        <v>14450</v>
      </c>
    </row>
    <row r="172" spans="1:16">
      <c r="A172" t="s">
        <v>14973</v>
      </c>
      <c r="B172" t="s">
        <v>13449</v>
      </c>
      <c r="C172" t="s">
        <v>11159</v>
      </c>
      <c r="D172" t="s">
        <v>11159</v>
      </c>
      <c r="E172">
        <v>0</v>
      </c>
      <c r="F172">
        <v>1.4</v>
      </c>
      <c r="G172" t="s">
        <v>14444</v>
      </c>
      <c r="H172" t="s">
        <v>14445</v>
      </c>
      <c r="I172" t="s">
        <v>14974</v>
      </c>
      <c r="J172" t="s">
        <v>14975</v>
      </c>
      <c r="K172" t="s">
        <v>14448</v>
      </c>
      <c r="L172" t="s">
        <v>14449</v>
      </c>
      <c r="M172" t="s">
        <v>546</v>
      </c>
      <c r="N172">
        <v>1</v>
      </c>
      <c r="O172" t="s">
        <v>11504</v>
      </c>
      <c r="P172" t="s">
        <v>14450</v>
      </c>
    </row>
    <row r="173" spans="1:16">
      <c r="A173" t="s">
        <v>14976</v>
      </c>
      <c r="B173" t="s">
        <v>13449</v>
      </c>
      <c r="C173" t="s">
        <v>11159</v>
      </c>
      <c r="D173" t="s">
        <v>11159</v>
      </c>
      <c r="E173">
        <v>1.5</v>
      </c>
      <c r="F173">
        <v>2.4</v>
      </c>
      <c r="G173" t="s">
        <v>11741</v>
      </c>
      <c r="H173" t="s">
        <v>14452</v>
      </c>
      <c r="I173" t="s">
        <v>14977</v>
      </c>
      <c r="J173" t="s">
        <v>14978</v>
      </c>
      <c r="K173" t="s">
        <v>14455</v>
      </c>
      <c r="L173" t="s">
        <v>14456</v>
      </c>
      <c r="M173" t="s">
        <v>546</v>
      </c>
      <c r="N173">
        <v>1</v>
      </c>
      <c r="O173" t="s">
        <v>11504</v>
      </c>
      <c r="P173" t="s">
        <v>14450</v>
      </c>
    </row>
    <row r="174" spans="1:16">
      <c r="A174" t="s">
        <v>14979</v>
      </c>
      <c r="B174" t="s">
        <v>13449</v>
      </c>
      <c r="C174" t="s">
        <v>11159</v>
      </c>
      <c r="D174" t="s">
        <v>11159</v>
      </c>
      <c r="E174">
        <v>2.5</v>
      </c>
      <c r="F174">
        <v>3.4</v>
      </c>
      <c r="G174" t="s">
        <v>14458</v>
      </c>
      <c r="H174" t="s">
        <v>14459</v>
      </c>
      <c r="I174" t="s">
        <v>14980</v>
      </c>
      <c r="J174" t="s">
        <v>14981</v>
      </c>
      <c r="K174" t="s">
        <v>14462</v>
      </c>
      <c r="L174" t="s">
        <v>14463</v>
      </c>
      <c r="M174" t="s">
        <v>546</v>
      </c>
      <c r="N174">
        <v>1</v>
      </c>
      <c r="O174" t="s">
        <v>11504</v>
      </c>
      <c r="P174" t="s">
        <v>14450</v>
      </c>
    </row>
    <row r="175" spans="1:16">
      <c r="A175" t="s">
        <v>14982</v>
      </c>
      <c r="B175" t="s">
        <v>13449</v>
      </c>
      <c r="C175" t="s">
        <v>11159</v>
      </c>
      <c r="D175" t="s">
        <v>11159</v>
      </c>
      <c r="E175">
        <v>3.5</v>
      </c>
      <c r="F175">
        <v>4.2</v>
      </c>
      <c r="G175" t="s">
        <v>14465</v>
      </c>
      <c r="H175" t="s">
        <v>14466</v>
      </c>
      <c r="I175" t="s">
        <v>14983</v>
      </c>
      <c r="J175" t="s">
        <v>14984</v>
      </c>
      <c r="K175" t="s">
        <v>14469</v>
      </c>
      <c r="L175" t="s">
        <v>14470</v>
      </c>
      <c r="M175" t="s">
        <v>546</v>
      </c>
      <c r="N175">
        <v>1</v>
      </c>
      <c r="O175" t="s">
        <v>11504</v>
      </c>
      <c r="P175" t="s">
        <v>14450</v>
      </c>
    </row>
    <row r="176" spans="1:16">
      <c r="A176" t="s">
        <v>14985</v>
      </c>
      <c r="B176" t="s">
        <v>13449</v>
      </c>
      <c r="C176" t="s">
        <v>11159</v>
      </c>
      <c r="D176" t="s">
        <v>11159</v>
      </c>
      <c r="E176">
        <v>4.3</v>
      </c>
      <c r="F176">
        <v>5</v>
      </c>
      <c r="G176" t="s">
        <v>14472</v>
      </c>
      <c r="H176" t="s">
        <v>14473</v>
      </c>
      <c r="I176" t="s">
        <v>14986</v>
      </c>
      <c r="J176" t="s">
        <v>14987</v>
      </c>
      <c r="K176" t="s">
        <v>14476</v>
      </c>
      <c r="L176" t="s">
        <v>14477</v>
      </c>
      <c r="M176" t="s">
        <v>546</v>
      </c>
      <c r="N176">
        <v>1</v>
      </c>
      <c r="O176" t="s">
        <v>11504</v>
      </c>
      <c r="P176" t="s">
        <v>14450</v>
      </c>
    </row>
    <row r="177" spans="1:16">
      <c r="A177" t="s">
        <v>14988</v>
      </c>
      <c r="B177" t="s">
        <v>13452</v>
      </c>
      <c r="C177" t="s">
        <v>11159</v>
      </c>
      <c r="D177" t="s">
        <v>11159</v>
      </c>
      <c r="E177">
        <v>0</v>
      </c>
      <c r="F177">
        <v>1.4</v>
      </c>
      <c r="G177" t="s">
        <v>14444</v>
      </c>
      <c r="H177" t="s">
        <v>14445</v>
      </c>
      <c r="I177" t="s">
        <v>14989</v>
      </c>
      <c r="J177" t="s">
        <v>14990</v>
      </c>
      <c r="K177" t="s">
        <v>14448</v>
      </c>
      <c r="L177" t="s">
        <v>14449</v>
      </c>
      <c r="M177" t="s">
        <v>546</v>
      </c>
      <c r="N177">
        <v>1</v>
      </c>
      <c r="O177" t="s">
        <v>11504</v>
      </c>
      <c r="P177" t="s">
        <v>14450</v>
      </c>
    </row>
    <row r="178" spans="1:16">
      <c r="A178" t="s">
        <v>14991</v>
      </c>
      <c r="B178" t="s">
        <v>13452</v>
      </c>
      <c r="C178" t="s">
        <v>11159</v>
      </c>
      <c r="D178" t="s">
        <v>11159</v>
      </c>
      <c r="E178">
        <v>1.5</v>
      </c>
      <c r="F178">
        <v>2.4</v>
      </c>
      <c r="G178" t="s">
        <v>11741</v>
      </c>
      <c r="H178" t="s">
        <v>14452</v>
      </c>
      <c r="I178" t="s">
        <v>14992</v>
      </c>
      <c r="J178" t="s">
        <v>14993</v>
      </c>
      <c r="K178" t="s">
        <v>14455</v>
      </c>
      <c r="L178" t="s">
        <v>14456</v>
      </c>
      <c r="M178" t="s">
        <v>546</v>
      </c>
      <c r="N178">
        <v>1</v>
      </c>
      <c r="O178" t="s">
        <v>11504</v>
      </c>
      <c r="P178" t="s">
        <v>14450</v>
      </c>
    </row>
    <row r="179" spans="1:16">
      <c r="A179" t="s">
        <v>14994</v>
      </c>
      <c r="B179" t="s">
        <v>13452</v>
      </c>
      <c r="C179" t="s">
        <v>11159</v>
      </c>
      <c r="D179" t="s">
        <v>11159</v>
      </c>
      <c r="E179">
        <v>2.5</v>
      </c>
      <c r="F179">
        <v>3.4</v>
      </c>
      <c r="G179" t="s">
        <v>14458</v>
      </c>
      <c r="H179" t="s">
        <v>14459</v>
      </c>
      <c r="I179" t="s">
        <v>14995</v>
      </c>
      <c r="J179" t="s">
        <v>14996</v>
      </c>
      <c r="K179" t="s">
        <v>14462</v>
      </c>
      <c r="L179" t="s">
        <v>14463</v>
      </c>
      <c r="M179" t="s">
        <v>546</v>
      </c>
      <c r="N179">
        <v>1</v>
      </c>
      <c r="O179" t="s">
        <v>11504</v>
      </c>
      <c r="P179" t="s">
        <v>14450</v>
      </c>
    </row>
    <row r="180" spans="1:16">
      <c r="A180" t="s">
        <v>14997</v>
      </c>
      <c r="B180" t="s">
        <v>13452</v>
      </c>
      <c r="C180" t="s">
        <v>11159</v>
      </c>
      <c r="D180" t="s">
        <v>11159</v>
      </c>
      <c r="E180">
        <v>3.5</v>
      </c>
      <c r="F180">
        <v>4.2</v>
      </c>
      <c r="G180" t="s">
        <v>14465</v>
      </c>
      <c r="H180" t="s">
        <v>14466</v>
      </c>
      <c r="I180" t="s">
        <v>14998</v>
      </c>
      <c r="J180" t="s">
        <v>14999</v>
      </c>
      <c r="K180" t="s">
        <v>14469</v>
      </c>
      <c r="L180" t="s">
        <v>14470</v>
      </c>
      <c r="M180" t="s">
        <v>546</v>
      </c>
      <c r="N180">
        <v>1</v>
      </c>
      <c r="O180" t="s">
        <v>11504</v>
      </c>
      <c r="P180" t="s">
        <v>14450</v>
      </c>
    </row>
    <row r="181" spans="1:16">
      <c r="A181" t="s">
        <v>15000</v>
      </c>
      <c r="B181" t="s">
        <v>13452</v>
      </c>
      <c r="C181" t="s">
        <v>11159</v>
      </c>
      <c r="D181" t="s">
        <v>11159</v>
      </c>
      <c r="E181">
        <v>4.3</v>
      </c>
      <c r="F181">
        <v>5</v>
      </c>
      <c r="G181" t="s">
        <v>14472</v>
      </c>
      <c r="H181" t="s">
        <v>14473</v>
      </c>
      <c r="I181" t="s">
        <v>15001</v>
      </c>
      <c r="J181" t="s">
        <v>15002</v>
      </c>
      <c r="K181" t="s">
        <v>14476</v>
      </c>
      <c r="L181" t="s">
        <v>14477</v>
      </c>
      <c r="M181" t="s">
        <v>546</v>
      </c>
      <c r="N181">
        <v>1</v>
      </c>
      <c r="O181" t="s">
        <v>11504</v>
      </c>
      <c r="P181" t="s">
        <v>14450</v>
      </c>
    </row>
    <row r="182" spans="1:16">
      <c r="A182" t="s">
        <v>15003</v>
      </c>
      <c r="B182" t="s">
        <v>12266</v>
      </c>
      <c r="C182" t="s">
        <v>11159</v>
      </c>
      <c r="D182" t="s">
        <v>11159</v>
      </c>
      <c r="E182">
        <v>0</v>
      </c>
      <c r="F182">
        <v>1.4</v>
      </c>
      <c r="G182" t="s">
        <v>14444</v>
      </c>
      <c r="H182" t="s">
        <v>14445</v>
      </c>
      <c r="I182" t="s">
        <v>15004</v>
      </c>
      <c r="J182" t="s">
        <v>15005</v>
      </c>
      <c r="K182" t="s">
        <v>14448</v>
      </c>
      <c r="L182" t="s">
        <v>14449</v>
      </c>
      <c r="M182" t="s">
        <v>546</v>
      </c>
      <c r="N182">
        <v>1</v>
      </c>
      <c r="O182" t="s">
        <v>11504</v>
      </c>
      <c r="P182" t="s">
        <v>14450</v>
      </c>
    </row>
    <row r="183" spans="1:16">
      <c r="A183" t="s">
        <v>15006</v>
      </c>
      <c r="B183" t="s">
        <v>12266</v>
      </c>
      <c r="C183" t="s">
        <v>11159</v>
      </c>
      <c r="D183" t="s">
        <v>11159</v>
      </c>
      <c r="E183">
        <v>1.5</v>
      </c>
      <c r="F183">
        <v>2.4</v>
      </c>
      <c r="G183" t="s">
        <v>11741</v>
      </c>
      <c r="H183" t="s">
        <v>14452</v>
      </c>
      <c r="I183" t="s">
        <v>15007</v>
      </c>
      <c r="J183" t="s">
        <v>15008</v>
      </c>
      <c r="K183" t="s">
        <v>14455</v>
      </c>
      <c r="L183" t="s">
        <v>14456</v>
      </c>
      <c r="M183" t="s">
        <v>546</v>
      </c>
      <c r="N183">
        <v>1</v>
      </c>
      <c r="O183" t="s">
        <v>11504</v>
      </c>
      <c r="P183" t="s">
        <v>14450</v>
      </c>
    </row>
    <row r="184" spans="1:16">
      <c r="A184" t="s">
        <v>15009</v>
      </c>
      <c r="B184" t="s">
        <v>12266</v>
      </c>
      <c r="C184" t="s">
        <v>11159</v>
      </c>
      <c r="D184" t="s">
        <v>11159</v>
      </c>
      <c r="E184">
        <v>2.5</v>
      </c>
      <c r="F184">
        <v>3.4</v>
      </c>
      <c r="G184" t="s">
        <v>14458</v>
      </c>
      <c r="H184" t="s">
        <v>14459</v>
      </c>
      <c r="I184" t="s">
        <v>15010</v>
      </c>
      <c r="J184" t="s">
        <v>15011</v>
      </c>
      <c r="K184" t="s">
        <v>14462</v>
      </c>
      <c r="L184" t="s">
        <v>14463</v>
      </c>
      <c r="M184" t="s">
        <v>546</v>
      </c>
      <c r="N184">
        <v>1</v>
      </c>
      <c r="O184" t="s">
        <v>11504</v>
      </c>
      <c r="P184" t="s">
        <v>14450</v>
      </c>
    </row>
    <row r="185" spans="1:16">
      <c r="A185" t="s">
        <v>15012</v>
      </c>
      <c r="B185" t="s">
        <v>12266</v>
      </c>
      <c r="C185" t="s">
        <v>11159</v>
      </c>
      <c r="D185" t="s">
        <v>11159</v>
      </c>
      <c r="E185">
        <v>3.5</v>
      </c>
      <c r="F185">
        <v>4.2</v>
      </c>
      <c r="G185" t="s">
        <v>14465</v>
      </c>
      <c r="H185" t="s">
        <v>14466</v>
      </c>
      <c r="I185" t="s">
        <v>15013</v>
      </c>
      <c r="J185" t="s">
        <v>15014</v>
      </c>
      <c r="K185" t="s">
        <v>14469</v>
      </c>
      <c r="L185" t="s">
        <v>14470</v>
      </c>
      <c r="M185" t="s">
        <v>546</v>
      </c>
      <c r="N185">
        <v>1</v>
      </c>
      <c r="O185" t="s">
        <v>11504</v>
      </c>
      <c r="P185" t="s">
        <v>14450</v>
      </c>
    </row>
    <row r="186" spans="1:16">
      <c r="A186" t="s">
        <v>15015</v>
      </c>
      <c r="B186" t="s">
        <v>12266</v>
      </c>
      <c r="C186" t="s">
        <v>11159</v>
      </c>
      <c r="D186" t="s">
        <v>11159</v>
      </c>
      <c r="E186">
        <v>4.3</v>
      </c>
      <c r="F186">
        <v>5</v>
      </c>
      <c r="G186" t="s">
        <v>14472</v>
      </c>
      <c r="H186" t="s">
        <v>14473</v>
      </c>
      <c r="I186" t="s">
        <v>15016</v>
      </c>
      <c r="J186" t="s">
        <v>15017</v>
      </c>
      <c r="K186" t="s">
        <v>14476</v>
      </c>
      <c r="L186" t="s">
        <v>14477</v>
      </c>
      <c r="M186" t="s">
        <v>546</v>
      </c>
      <c r="N186">
        <v>1</v>
      </c>
      <c r="O186" t="s">
        <v>11504</v>
      </c>
      <c r="P186" t="s">
        <v>14450</v>
      </c>
    </row>
    <row r="187" spans="1:16">
      <c r="A187" t="s">
        <v>15018</v>
      </c>
      <c r="B187" t="s">
        <v>13345</v>
      </c>
      <c r="C187" t="s">
        <v>10968</v>
      </c>
      <c r="D187" t="s">
        <v>11159</v>
      </c>
      <c r="E187">
        <v>0</v>
      </c>
      <c r="F187">
        <v>1.4</v>
      </c>
      <c r="G187" t="s">
        <v>14444</v>
      </c>
      <c r="H187" t="s">
        <v>14445</v>
      </c>
      <c r="I187" t="s">
        <v>15019</v>
      </c>
      <c r="J187" t="s">
        <v>15020</v>
      </c>
      <c r="K187" t="s">
        <v>14448</v>
      </c>
      <c r="L187" t="s">
        <v>14449</v>
      </c>
      <c r="M187" t="s">
        <v>546</v>
      </c>
      <c r="N187">
        <v>1.1000000000000001</v>
      </c>
      <c r="O187" t="s">
        <v>11504</v>
      </c>
      <c r="P187" t="s">
        <v>15021</v>
      </c>
    </row>
    <row r="188" spans="1:16">
      <c r="A188" t="s">
        <v>15022</v>
      </c>
      <c r="B188" t="s">
        <v>13345</v>
      </c>
      <c r="C188" t="s">
        <v>10968</v>
      </c>
      <c r="D188" t="s">
        <v>11159</v>
      </c>
      <c r="E188">
        <v>1.5</v>
      </c>
      <c r="F188">
        <v>2.4</v>
      </c>
      <c r="G188" t="s">
        <v>11741</v>
      </c>
      <c r="H188" t="s">
        <v>14452</v>
      </c>
      <c r="I188" t="s">
        <v>15023</v>
      </c>
      <c r="J188" t="s">
        <v>15020</v>
      </c>
      <c r="K188" t="s">
        <v>14455</v>
      </c>
      <c r="L188" t="s">
        <v>14456</v>
      </c>
      <c r="M188" t="s">
        <v>546</v>
      </c>
      <c r="N188">
        <v>1.1000000000000001</v>
      </c>
      <c r="O188" t="s">
        <v>11504</v>
      </c>
      <c r="P188" t="s">
        <v>15021</v>
      </c>
    </row>
    <row r="189" spans="1:16">
      <c r="A189" t="s">
        <v>15024</v>
      </c>
      <c r="B189" t="s">
        <v>13345</v>
      </c>
      <c r="C189" t="s">
        <v>10968</v>
      </c>
      <c r="D189" t="s">
        <v>11159</v>
      </c>
      <c r="E189">
        <v>2.5</v>
      </c>
      <c r="F189">
        <v>3.4</v>
      </c>
      <c r="G189" t="s">
        <v>14458</v>
      </c>
      <c r="H189" t="s">
        <v>14459</v>
      </c>
      <c r="I189" t="s">
        <v>15025</v>
      </c>
      <c r="J189" t="s">
        <v>15020</v>
      </c>
      <c r="K189" t="s">
        <v>14462</v>
      </c>
      <c r="L189" t="s">
        <v>14463</v>
      </c>
      <c r="M189" t="s">
        <v>546</v>
      </c>
      <c r="N189">
        <v>1.1000000000000001</v>
      </c>
      <c r="O189" t="s">
        <v>11504</v>
      </c>
      <c r="P189" t="s">
        <v>15021</v>
      </c>
    </row>
    <row r="190" spans="1:16">
      <c r="A190" t="s">
        <v>15026</v>
      </c>
      <c r="B190" t="s">
        <v>13345</v>
      </c>
      <c r="C190" t="s">
        <v>10968</v>
      </c>
      <c r="D190" t="s">
        <v>11159</v>
      </c>
      <c r="E190">
        <v>3.5</v>
      </c>
      <c r="F190">
        <v>4.2</v>
      </c>
      <c r="G190" t="s">
        <v>14465</v>
      </c>
      <c r="H190" t="s">
        <v>14466</v>
      </c>
      <c r="I190" t="s">
        <v>15027</v>
      </c>
      <c r="J190" t="s">
        <v>15020</v>
      </c>
      <c r="K190" t="s">
        <v>14469</v>
      </c>
      <c r="L190" t="s">
        <v>14470</v>
      </c>
      <c r="M190" t="s">
        <v>4242</v>
      </c>
      <c r="N190">
        <v>1.1000000000000001</v>
      </c>
      <c r="O190" t="s">
        <v>11504</v>
      </c>
      <c r="P190" t="s">
        <v>15021</v>
      </c>
    </row>
    <row r="191" spans="1:16">
      <c r="A191" t="s">
        <v>15028</v>
      </c>
      <c r="B191" t="s">
        <v>13345</v>
      </c>
      <c r="C191" t="s">
        <v>10968</v>
      </c>
      <c r="D191" t="s">
        <v>11159</v>
      </c>
      <c r="E191">
        <v>4.3</v>
      </c>
      <c r="F191">
        <v>5</v>
      </c>
      <c r="G191" t="s">
        <v>14472</v>
      </c>
      <c r="H191" t="s">
        <v>14473</v>
      </c>
      <c r="I191" t="s">
        <v>15029</v>
      </c>
      <c r="J191" t="s">
        <v>15020</v>
      </c>
      <c r="K191" t="s">
        <v>14476</v>
      </c>
      <c r="L191" t="s">
        <v>14477</v>
      </c>
      <c r="M191" t="s">
        <v>4242</v>
      </c>
      <c r="N191">
        <v>1.1000000000000001</v>
      </c>
      <c r="O191" t="s">
        <v>11504</v>
      </c>
      <c r="P191" t="s">
        <v>15021</v>
      </c>
    </row>
    <row r="192" spans="1:16">
      <c r="A192" t="s">
        <v>15030</v>
      </c>
      <c r="B192" t="s">
        <v>13350</v>
      </c>
      <c r="C192" t="s">
        <v>10968</v>
      </c>
      <c r="D192" t="s">
        <v>11159</v>
      </c>
      <c r="E192">
        <v>0</v>
      </c>
      <c r="F192">
        <v>1.4</v>
      </c>
      <c r="G192" t="s">
        <v>14444</v>
      </c>
      <c r="H192" t="s">
        <v>14445</v>
      </c>
      <c r="I192" t="s">
        <v>15031</v>
      </c>
      <c r="J192" t="s">
        <v>15032</v>
      </c>
      <c r="K192" t="s">
        <v>14448</v>
      </c>
      <c r="L192" t="s">
        <v>14449</v>
      </c>
      <c r="M192" t="s">
        <v>546</v>
      </c>
      <c r="N192">
        <v>1.1000000000000001</v>
      </c>
      <c r="O192" t="s">
        <v>11504</v>
      </c>
      <c r="P192" t="s">
        <v>15021</v>
      </c>
    </row>
    <row r="193" spans="1:16">
      <c r="A193" t="s">
        <v>15033</v>
      </c>
      <c r="B193" t="s">
        <v>13350</v>
      </c>
      <c r="C193" t="s">
        <v>10968</v>
      </c>
      <c r="D193" t="s">
        <v>11159</v>
      </c>
      <c r="E193">
        <v>1.5</v>
      </c>
      <c r="F193">
        <v>2.4</v>
      </c>
      <c r="G193" t="s">
        <v>11741</v>
      </c>
      <c r="H193" t="s">
        <v>14452</v>
      </c>
      <c r="I193" t="s">
        <v>15034</v>
      </c>
      <c r="J193" t="s">
        <v>15032</v>
      </c>
      <c r="K193" t="s">
        <v>14455</v>
      </c>
      <c r="L193" t="s">
        <v>14456</v>
      </c>
      <c r="M193" t="s">
        <v>546</v>
      </c>
      <c r="N193">
        <v>1.1000000000000001</v>
      </c>
      <c r="O193" t="s">
        <v>11504</v>
      </c>
      <c r="P193" t="s">
        <v>15021</v>
      </c>
    </row>
    <row r="194" spans="1:16">
      <c r="A194" t="s">
        <v>15035</v>
      </c>
      <c r="B194" t="s">
        <v>13350</v>
      </c>
      <c r="C194" t="s">
        <v>10968</v>
      </c>
      <c r="D194" t="s">
        <v>11159</v>
      </c>
      <c r="E194">
        <v>2.5</v>
      </c>
      <c r="F194">
        <v>3.4</v>
      </c>
      <c r="G194" t="s">
        <v>14458</v>
      </c>
      <c r="H194" t="s">
        <v>14459</v>
      </c>
      <c r="I194" t="s">
        <v>15036</v>
      </c>
      <c r="J194" t="s">
        <v>15032</v>
      </c>
      <c r="K194" t="s">
        <v>14462</v>
      </c>
      <c r="L194" t="s">
        <v>14463</v>
      </c>
      <c r="M194" t="s">
        <v>546</v>
      </c>
      <c r="N194">
        <v>1.1000000000000001</v>
      </c>
      <c r="O194" t="s">
        <v>11504</v>
      </c>
      <c r="P194" t="s">
        <v>15021</v>
      </c>
    </row>
    <row r="195" spans="1:16">
      <c r="A195" t="s">
        <v>15037</v>
      </c>
      <c r="B195" t="s">
        <v>13350</v>
      </c>
      <c r="C195" t="s">
        <v>10968</v>
      </c>
      <c r="D195" t="s">
        <v>11159</v>
      </c>
      <c r="E195">
        <v>3.5</v>
      </c>
      <c r="F195">
        <v>4.2</v>
      </c>
      <c r="G195" t="s">
        <v>14465</v>
      </c>
      <c r="H195" t="s">
        <v>14466</v>
      </c>
      <c r="I195" t="s">
        <v>15038</v>
      </c>
      <c r="J195" t="s">
        <v>15032</v>
      </c>
      <c r="K195" t="s">
        <v>14469</v>
      </c>
      <c r="L195" t="s">
        <v>14470</v>
      </c>
      <c r="M195" t="s">
        <v>4242</v>
      </c>
      <c r="N195">
        <v>1.1000000000000001</v>
      </c>
      <c r="O195" t="s">
        <v>11504</v>
      </c>
      <c r="P195" t="s">
        <v>15021</v>
      </c>
    </row>
    <row r="196" spans="1:16">
      <c r="A196" t="s">
        <v>15039</v>
      </c>
      <c r="B196" t="s">
        <v>13350</v>
      </c>
      <c r="C196" t="s">
        <v>10968</v>
      </c>
      <c r="D196" t="s">
        <v>11159</v>
      </c>
      <c r="E196">
        <v>4.3</v>
      </c>
      <c r="F196">
        <v>5</v>
      </c>
      <c r="G196" t="s">
        <v>14472</v>
      </c>
      <c r="H196" t="s">
        <v>14473</v>
      </c>
      <c r="I196" t="s">
        <v>15040</v>
      </c>
      <c r="J196" t="s">
        <v>15032</v>
      </c>
      <c r="K196" t="s">
        <v>14476</v>
      </c>
      <c r="L196" t="s">
        <v>14477</v>
      </c>
      <c r="M196" t="s">
        <v>4242</v>
      </c>
      <c r="N196">
        <v>1.1000000000000001</v>
      </c>
      <c r="O196" t="s">
        <v>11504</v>
      </c>
      <c r="P196" t="s">
        <v>15021</v>
      </c>
    </row>
    <row r="197" spans="1:16">
      <c r="A197" t="s">
        <v>15041</v>
      </c>
      <c r="B197" t="s">
        <v>13353</v>
      </c>
      <c r="C197" t="s">
        <v>10968</v>
      </c>
      <c r="D197" t="s">
        <v>11159</v>
      </c>
      <c r="E197">
        <v>0</v>
      </c>
      <c r="F197">
        <v>1.4</v>
      </c>
      <c r="G197" t="s">
        <v>14444</v>
      </c>
      <c r="H197" t="s">
        <v>14445</v>
      </c>
      <c r="I197" t="s">
        <v>15042</v>
      </c>
      <c r="J197" t="s">
        <v>15043</v>
      </c>
      <c r="K197" t="s">
        <v>14448</v>
      </c>
      <c r="L197" t="s">
        <v>14449</v>
      </c>
      <c r="M197" t="s">
        <v>546</v>
      </c>
      <c r="N197">
        <v>1.1000000000000001</v>
      </c>
      <c r="O197" t="s">
        <v>11504</v>
      </c>
      <c r="P197" t="s">
        <v>15021</v>
      </c>
    </row>
    <row r="198" spans="1:16">
      <c r="A198" t="s">
        <v>15044</v>
      </c>
      <c r="B198" t="s">
        <v>13353</v>
      </c>
      <c r="C198" t="s">
        <v>10968</v>
      </c>
      <c r="D198" t="s">
        <v>11159</v>
      </c>
      <c r="E198">
        <v>1.5</v>
      </c>
      <c r="F198">
        <v>2.4</v>
      </c>
      <c r="G198" t="s">
        <v>11741</v>
      </c>
      <c r="H198" t="s">
        <v>14452</v>
      </c>
      <c r="I198" t="s">
        <v>15045</v>
      </c>
      <c r="J198" t="s">
        <v>15043</v>
      </c>
      <c r="K198" t="s">
        <v>14455</v>
      </c>
      <c r="L198" t="s">
        <v>14456</v>
      </c>
      <c r="M198" t="s">
        <v>546</v>
      </c>
      <c r="N198">
        <v>1.1000000000000001</v>
      </c>
      <c r="O198" t="s">
        <v>11504</v>
      </c>
      <c r="P198" t="s">
        <v>15021</v>
      </c>
    </row>
    <row r="199" spans="1:16">
      <c r="A199" t="s">
        <v>15046</v>
      </c>
      <c r="B199" t="s">
        <v>13353</v>
      </c>
      <c r="C199" t="s">
        <v>10968</v>
      </c>
      <c r="D199" t="s">
        <v>11159</v>
      </c>
      <c r="E199">
        <v>2.5</v>
      </c>
      <c r="F199">
        <v>3.4</v>
      </c>
      <c r="G199" t="s">
        <v>14458</v>
      </c>
      <c r="H199" t="s">
        <v>14459</v>
      </c>
      <c r="I199" t="s">
        <v>15047</v>
      </c>
      <c r="J199" t="s">
        <v>15043</v>
      </c>
      <c r="K199" t="s">
        <v>14462</v>
      </c>
      <c r="L199" t="s">
        <v>14463</v>
      </c>
      <c r="M199" t="s">
        <v>546</v>
      </c>
      <c r="N199">
        <v>1.1000000000000001</v>
      </c>
      <c r="O199" t="s">
        <v>11504</v>
      </c>
      <c r="P199" t="s">
        <v>15021</v>
      </c>
    </row>
    <row r="200" spans="1:16">
      <c r="A200" t="s">
        <v>15048</v>
      </c>
      <c r="B200" t="s">
        <v>13353</v>
      </c>
      <c r="C200" t="s">
        <v>10968</v>
      </c>
      <c r="D200" t="s">
        <v>11159</v>
      </c>
      <c r="E200">
        <v>3.5</v>
      </c>
      <c r="F200">
        <v>4.2</v>
      </c>
      <c r="G200" t="s">
        <v>14465</v>
      </c>
      <c r="H200" t="s">
        <v>14466</v>
      </c>
      <c r="I200" t="s">
        <v>15049</v>
      </c>
      <c r="J200" t="s">
        <v>15043</v>
      </c>
      <c r="K200" t="s">
        <v>14469</v>
      </c>
      <c r="L200" t="s">
        <v>14470</v>
      </c>
      <c r="M200" t="s">
        <v>4242</v>
      </c>
      <c r="N200">
        <v>1.1000000000000001</v>
      </c>
      <c r="O200" t="s">
        <v>11504</v>
      </c>
      <c r="P200" t="s">
        <v>15021</v>
      </c>
    </row>
    <row r="201" spans="1:16">
      <c r="A201" t="s">
        <v>15050</v>
      </c>
      <c r="B201" t="s">
        <v>13353</v>
      </c>
      <c r="C201" t="s">
        <v>10968</v>
      </c>
      <c r="D201" t="s">
        <v>11159</v>
      </c>
      <c r="E201">
        <v>4.3</v>
      </c>
      <c r="F201">
        <v>5</v>
      </c>
      <c r="G201" t="s">
        <v>14472</v>
      </c>
      <c r="H201" t="s">
        <v>14473</v>
      </c>
      <c r="I201" t="s">
        <v>15051</v>
      </c>
      <c r="J201" t="s">
        <v>15043</v>
      </c>
      <c r="K201" t="s">
        <v>14476</v>
      </c>
      <c r="L201" t="s">
        <v>14477</v>
      </c>
      <c r="M201" t="s">
        <v>4242</v>
      </c>
      <c r="N201">
        <v>1.1000000000000001</v>
      </c>
      <c r="O201" t="s">
        <v>11504</v>
      </c>
      <c r="P201" t="s">
        <v>15021</v>
      </c>
    </row>
    <row r="202" spans="1:16">
      <c r="A202" t="s">
        <v>15052</v>
      </c>
      <c r="B202" t="s">
        <v>13377</v>
      </c>
      <c r="C202" t="s">
        <v>10968</v>
      </c>
      <c r="D202" t="s">
        <v>11159</v>
      </c>
      <c r="E202">
        <v>0</v>
      </c>
      <c r="F202">
        <v>1.4</v>
      </c>
      <c r="G202" t="s">
        <v>14444</v>
      </c>
      <c r="H202" t="s">
        <v>14445</v>
      </c>
      <c r="I202" t="s">
        <v>15053</v>
      </c>
      <c r="J202" t="s">
        <v>15054</v>
      </c>
      <c r="K202" t="s">
        <v>14448</v>
      </c>
      <c r="L202" t="s">
        <v>14449</v>
      </c>
      <c r="M202" t="s">
        <v>546</v>
      </c>
      <c r="N202">
        <v>1.1000000000000001</v>
      </c>
      <c r="O202" t="s">
        <v>11504</v>
      </c>
      <c r="P202" t="s">
        <v>15021</v>
      </c>
    </row>
    <row r="203" spans="1:16">
      <c r="A203" t="s">
        <v>15055</v>
      </c>
      <c r="B203" t="s">
        <v>13377</v>
      </c>
      <c r="C203" t="s">
        <v>10968</v>
      </c>
      <c r="D203" t="s">
        <v>11159</v>
      </c>
      <c r="E203">
        <v>1.5</v>
      </c>
      <c r="F203">
        <v>2.4</v>
      </c>
      <c r="G203" t="s">
        <v>11741</v>
      </c>
      <c r="H203" t="s">
        <v>14452</v>
      </c>
      <c r="I203" t="s">
        <v>15056</v>
      </c>
      <c r="J203" t="s">
        <v>15054</v>
      </c>
      <c r="K203" t="s">
        <v>14455</v>
      </c>
      <c r="L203" t="s">
        <v>14456</v>
      </c>
      <c r="M203" t="s">
        <v>546</v>
      </c>
      <c r="N203">
        <v>1.1000000000000001</v>
      </c>
      <c r="O203" t="s">
        <v>11504</v>
      </c>
      <c r="P203" t="s">
        <v>15021</v>
      </c>
    </row>
    <row r="204" spans="1:16">
      <c r="A204" t="s">
        <v>15057</v>
      </c>
      <c r="B204" t="s">
        <v>13377</v>
      </c>
      <c r="C204" t="s">
        <v>10968</v>
      </c>
      <c r="D204" t="s">
        <v>11159</v>
      </c>
      <c r="E204">
        <v>2.5</v>
      </c>
      <c r="F204">
        <v>3.4</v>
      </c>
      <c r="G204" t="s">
        <v>14458</v>
      </c>
      <c r="H204" t="s">
        <v>14459</v>
      </c>
      <c r="I204" t="s">
        <v>15058</v>
      </c>
      <c r="J204" t="s">
        <v>15054</v>
      </c>
      <c r="K204" t="s">
        <v>14462</v>
      </c>
      <c r="L204" t="s">
        <v>14463</v>
      </c>
      <c r="M204" t="s">
        <v>546</v>
      </c>
      <c r="N204">
        <v>1.1000000000000001</v>
      </c>
      <c r="O204" t="s">
        <v>11504</v>
      </c>
      <c r="P204" t="s">
        <v>15021</v>
      </c>
    </row>
    <row r="205" spans="1:16">
      <c r="A205" t="s">
        <v>15059</v>
      </c>
      <c r="B205" t="s">
        <v>13377</v>
      </c>
      <c r="C205" t="s">
        <v>10968</v>
      </c>
      <c r="D205" t="s">
        <v>11159</v>
      </c>
      <c r="E205">
        <v>3.5</v>
      </c>
      <c r="F205">
        <v>4.2</v>
      </c>
      <c r="G205" t="s">
        <v>14465</v>
      </c>
      <c r="H205" t="s">
        <v>14466</v>
      </c>
      <c r="I205" t="s">
        <v>15060</v>
      </c>
      <c r="J205" t="s">
        <v>15054</v>
      </c>
      <c r="K205" t="s">
        <v>14469</v>
      </c>
      <c r="L205" t="s">
        <v>14470</v>
      </c>
      <c r="M205" t="s">
        <v>4242</v>
      </c>
      <c r="N205">
        <v>1.1000000000000001</v>
      </c>
      <c r="O205" t="s">
        <v>11504</v>
      </c>
      <c r="P205" t="s">
        <v>15021</v>
      </c>
    </row>
    <row r="206" spans="1:16">
      <c r="A206" t="s">
        <v>15061</v>
      </c>
      <c r="B206" t="s">
        <v>13377</v>
      </c>
      <c r="C206" t="s">
        <v>10968</v>
      </c>
      <c r="D206" t="s">
        <v>11159</v>
      </c>
      <c r="E206">
        <v>4.3</v>
      </c>
      <c r="F206">
        <v>5</v>
      </c>
      <c r="G206" t="s">
        <v>14472</v>
      </c>
      <c r="H206" t="s">
        <v>14473</v>
      </c>
      <c r="I206" t="s">
        <v>15062</v>
      </c>
      <c r="J206" t="s">
        <v>15054</v>
      </c>
      <c r="K206" t="s">
        <v>14476</v>
      </c>
      <c r="L206" t="s">
        <v>14477</v>
      </c>
      <c r="M206" t="s">
        <v>4242</v>
      </c>
      <c r="N206">
        <v>1.1000000000000001</v>
      </c>
      <c r="O206" t="s">
        <v>11504</v>
      </c>
      <c r="P206" t="s">
        <v>15021</v>
      </c>
    </row>
    <row r="207" spans="1:16">
      <c r="A207" t="s">
        <v>15063</v>
      </c>
      <c r="B207" t="s">
        <v>13383</v>
      </c>
      <c r="C207" t="s">
        <v>10968</v>
      </c>
      <c r="D207" t="s">
        <v>11159</v>
      </c>
      <c r="E207">
        <v>0</v>
      </c>
      <c r="F207">
        <v>1.4</v>
      </c>
      <c r="G207" t="s">
        <v>14444</v>
      </c>
      <c r="H207" t="s">
        <v>14445</v>
      </c>
      <c r="I207" t="s">
        <v>15064</v>
      </c>
      <c r="J207" t="s">
        <v>15065</v>
      </c>
      <c r="K207" t="s">
        <v>14448</v>
      </c>
      <c r="L207" t="s">
        <v>14449</v>
      </c>
      <c r="M207" t="s">
        <v>546</v>
      </c>
      <c r="N207">
        <v>1.1000000000000001</v>
      </c>
      <c r="O207" t="s">
        <v>11504</v>
      </c>
      <c r="P207" t="s">
        <v>15021</v>
      </c>
    </row>
    <row r="208" spans="1:16">
      <c r="A208" t="s">
        <v>15066</v>
      </c>
      <c r="B208" t="s">
        <v>13383</v>
      </c>
      <c r="C208" t="s">
        <v>10968</v>
      </c>
      <c r="D208" t="s">
        <v>11159</v>
      </c>
      <c r="E208">
        <v>1.5</v>
      </c>
      <c r="F208">
        <v>2.4</v>
      </c>
      <c r="G208" t="s">
        <v>11741</v>
      </c>
      <c r="H208" t="s">
        <v>14452</v>
      </c>
      <c r="I208" t="s">
        <v>15067</v>
      </c>
      <c r="J208" t="s">
        <v>15065</v>
      </c>
      <c r="K208" t="s">
        <v>14455</v>
      </c>
      <c r="L208" t="s">
        <v>14456</v>
      </c>
      <c r="M208" t="s">
        <v>546</v>
      </c>
      <c r="N208">
        <v>1.1000000000000001</v>
      </c>
      <c r="O208" t="s">
        <v>11504</v>
      </c>
      <c r="P208" t="s">
        <v>15021</v>
      </c>
    </row>
    <row r="209" spans="1:16">
      <c r="A209" t="s">
        <v>15068</v>
      </c>
      <c r="B209" t="s">
        <v>13383</v>
      </c>
      <c r="C209" t="s">
        <v>10968</v>
      </c>
      <c r="D209" t="s">
        <v>11159</v>
      </c>
      <c r="E209">
        <v>2.5</v>
      </c>
      <c r="F209">
        <v>3.4</v>
      </c>
      <c r="G209" t="s">
        <v>14458</v>
      </c>
      <c r="H209" t="s">
        <v>14459</v>
      </c>
      <c r="I209" t="s">
        <v>15069</v>
      </c>
      <c r="J209" t="s">
        <v>15065</v>
      </c>
      <c r="K209" t="s">
        <v>14462</v>
      </c>
      <c r="L209" t="s">
        <v>14463</v>
      </c>
      <c r="M209" t="s">
        <v>546</v>
      </c>
      <c r="N209">
        <v>1.1000000000000001</v>
      </c>
      <c r="O209" t="s">
        <v>11504</v>
      </c>
      <c r="P209" t="s">
        <v>15021</v>
      </c>
    </row>
    <row r="210" spans="1:16">
      <c r="A210" t="s">
        <v>15070</v>
      </c>
      <c r="B210" t="s">
        <v>13383</v>
      </c>
      <c r="C210" t="s">
        <v>10968</v>
      </c>
      <c r="D210" t="s">
        <v>11159</v>
      </c>
      <c r="E210">
        <v>3.5</v>
      </c>
      <c r="F210">
        <v>4.2</v>
      </c>
      <c r="G210" t="s">
        <v>14465</v>
      </c>
      <c r="H210" t="s">
        <v>14466</v>
      </c>
      <c r="I210" t="s">
        <v>15071</v>
      </c>
      <c r="J210" t="s">
        <v>15065</v>
      </c>
      <c r="K210" t="s">
        <v>14469</v>
      </c>
      <c r="L210" t="s">
        <v>14470</v>
      </c>
      <c r="M210" t="s">
        <v>4242</v>
      </c>
      <c r="N210">
        <v>1.1000000000000001</v>
      </c>
      <c r="O210" t="s">
        <v>11504</v>
      </c>
      <c r="P210" t="s">
        <v>15021</v>
      </c>
    </row>
    <row r="211" spans="1:16">
      <c r="A211" t="s">
        <v>15072</v>
      </c>
      <c r="B211" t="s">
        <v>13383</v>
      </c>
      <c r="C211" t="s">
        <v>10968</v>
      </c>
      <c r="D211" t="s">
        <v>11159</v>
      </c>
      <c r="E211">
        <v>4.3</v>
      </c>
      <c r="F211">
        <v>5</v>
      </c>
      <c r="G211" t="s">
        <v>14472</v>
      </c>
      <c r="H211" t="s">
        <v>14473</v>
      </c>
      <c r="I211" t="s">
        <v>15073</v>
      </c>
      <c r="J211" t="s">
        <v>15065</v>
      </c>
      <c r="K211" t="s">
        <v>14476</v>
      </c>
      <c r="L211" t="s">
        <v>14477</v>
      </c>
      <c r="M211" t="s">
        <v>4242</v>
      </c>
      <c r="N211">
        <v>1.1000000000000001</v>
      </c>
      <c r="O211" t="s">
        <v>11504</v>
      </c>
      <c r="P211" t="s">
        <v>15021</v>
      </c>
    </row>
    <row r="212" spans="1:16">
      <c r="A212" t="s">
        <v>15074</v>
      </c>
      <c r="B212" t="s">
        <v>13416</v>
      </c>
      <c r="C212" t="s">
        <v>11887</v>
      </c>
      <c r="D212" t="s">
        <v>11159</v>
      </c>
      <c r="E212">
        <v>0</v>
      </c>
      <c r="F212">
        <v>1.4</v>
      </c>
      <c r="G212" t="s">
        <v>14444</v>
      </c>
      <c r="H212" t="s">
        <v>14445</v>
      </c>
      <c r="I212" t="s">
        <v>15075</v>
      </c>
      <c r="J212" t="s">
        <v>15076</v>
      </c>
      <c r="K212" t="s">
        <v>14448</v>
      </c>
      <c r="L212" t="s">
        <v>14449</v>
      </c>
      <c r="M212" t="s">
        <v>546</v>
      </c>
      <c r="N212">
        <v>1.1000000000000001</v>
      </c>
      <c r="O212" t="s">
        <v>11504</v>
      </c>
      <c r="P212" t="s">
        <v>15021</v>
      </c>
    </row>
    <row r="213" spans="1:16">
      <c r="A213" t="s">
        <v>15077</v>
      </c>
      <c r="B213" t="s">
        <v>13416</v>
      </c>
      <c r="C213" t="s">
        <v>11887</v>
      </c>
      <c r="D213" t="s">
        <v>11159</v>
      </c>
      <c r="E213">
        <v>1.5</v>
      </c>
      <c r="F213">
        <v>2.4</v>
      </c>
      <c r="G213" t="s">
        <v>11741</v>
      </c>
      <c r="H213" t="s">
        <v>14452</v>
      </c>
      <c r="I213" t="s">
        <v>15078</v>
      </c>
      <c r="J213" t="s">
        <v>15076</v>
      </c>
      <c r="K213" t="s">
        <v>14455</v>
      </c>
      <c r="L213" t="s">
        <v>14456</v>
      </c>
      <c r="M213" t="s">
        <v>546</v>
      </c>
      <c r="N213">
        <v>1.1000000000000001</v>
      </c>
      <c r="O213" t="s">
        <v>11504</v>
      </c>
      <c r="P213" t="s">
        <v>15021</v>
      </c>
    </row>
    <row r="214" spans="1:16">
      <c r="A214" t="s">
        <v>15079</v>
      </c>
      <c r="B214" t="s">
        <v>13416</v>
      </c>
      <c r="C214" t="s">
        <v>11887</v>
      </c>
      <c r="D214" t="s">
        <v>11159</v>
      </c>
      <c r="E214">
        <v>2.5</v>
      </c>
      <c r="F214">
        <v>3.4</v>
      </c>
      <c r="G214" t="s">
        <v>14458</v>
      </c>
      <c r="H214" t="s">
        <v>14459</v>
      </c>
      <c r="I214" t="s">
        <v>15080</v>
      </c>
      <c r="J214" t="s">
        <v>15076</v>
      </c>
      <c r="K214" t="s">
        <v>14462</v>
      </c>
      <c r="L214" t="s">
        <v>14463</v>
      </c>
      <c r="M214" t="s">
        <v>546</v>
      </c>
      <c r="N214">
        <v>1.1000000000000001</v>
      </c>
      <c r="O214" t="s">
        <v>11504</v>
      </c>
      <c r="P214" t="s">
        <v>15021</v>
      </c>
    </row>
    <row r="215" spans="1:16">
      <c r="A215" t="s">
        <v>15081</v>
      </c>
      <c r="B215" t="s">
        <v>13416</v>
      </c>
      <c r="C215" t="s">
        <v>11887</v>
      </c>
      <c r="D215" t="s">
        <v>11159</v>
      </c>
      <c r="E215">
        <v>3.5</v>
      </c>
      <c r="F215">
        <v>4.2</v>
      </c>
      <c r="G215" t="s">
        <v>14465</v>
      </c>
      <c r="H215" t="s">
        <v>14466</v>
      </c>
      <c r="I215" t="s">
        <v>15082</v>
      </c>
      <c r="J215" t="s">
        <v>15076</v>
      </c>
      <c r="K215" t="s">
        <v>14469</v>
      </c>
      <c r="L215" t="s">
        <v>14470</v>
      </c>
      <c r="M215" t="s">
        <v>4242</v>
      </c>
      <c r="N215">
        <v>1.1000000000000001</v>
      </c>
      <c r="O215" t="s">
        <v>11504</v>
      </c>
      <c r="P215" t="s">
        <v>15021</v>
      </c>
    </row>
    <row r="216" spans="1:16">
      <c r="A216" t="s">
        <v>15083</v>
      </c>
      <c r="B216" t="s">
        <v>13416</v>
      </c>
      <c r="C216" t="s">
        <v>11887</v>
      </c>
      <c r="D216" t="s">
        <v>11159</v>
      </c>
      <c r="E216">
        <v>4.3</v>
      </c>
      <c r="F216">
        <v>5</v>
      </c>
      <c r="G216" t="s">
        <v>14472</v>
      </c>
      <c r="H216" t="s">
        <v>14473</v>
      </c>
      <c r="I216" t="s">
        <v>15084</v>
      </c>
      <c r="J216" t="s">
        <v>15076</v>
      </c>
      <c r="K216" t="s">
        <v>14476</v>
      </c>
      <c r="L216" t="s">
        <v>14477</v>
      </c>
      <c r="M216" t="s">
        <v>4242</v>
      </c>
      <c r="N216">
        <v>1.1000000000000001</v>
      </c>
      <c r="O216" t="s">
        <v>11504</v>
      </c>
      <c r="P216" t="s">
        <v>15021</v>
      </c>
    </row>
    <row r="217" spans="1:16">
      <c r="A217" t="s">
        <v>15085</v>
      </c>
      <c r="B217" t="s">
        <v>13434</v>
      </c>
      <c r="C217" t="s">
        <v>11887</v>
      </c>
      <c r="D217" t="s">
        <v>11159</v>
      </c>
      <c r="E217">
        <v>0</v>
      </c>
      <c r="F217">
        <v>1.4</v>
      </c>
      <c r="G217" t="s">
        <v>14444</v>
      </c>
      <c r="H217" t="s">
        <v>14445</v>
      </c>
      <c r="I217" t="s">
        <v>15086</v>
      </c>
      <c r="J217" t="s">
        <v>15087</v>
      </c>
      <c r="K217" t="s">
        <v>14448</v>
      </c>
      <c r="L217" t="s">
        <v>14449</v>
      </c>
      <c r="M217" t="s">
        <v>546</v>
      </c>
      <c r="N217">
        <v>1.1000000000000001</v>
      </c>
      <c r="O217" t="s">
        <v>11504</v>
      </c>
      <c r="P217" t="s">
        <v>15021</v>
      </c>
    </row>
    <row r="218" spans="1:16">
      <c r="A218" t="s">
        <v>15088</v>
      </c>
      <c r="B218" t="s">
        <v>13434</v>
      </c>
      <c r="C218" t="s">
        <v>11887</v>
      </c>
      <c r="D218" t="s">
        <v>11159</v>
      </c>
      <c r="E218">
        <v>1.5</v>
      </c>
      <c r="F218">
        <v>2.4</v>
      </c>
      <c r="G218" t="s">
        <v>11741</v>
      </c>
      <c r="H218" t="s">
        <v>14452</v>
      </c>
      <c r="I218" t="s">
        <v>15089</v>
      </c>
      <c r="J218" t="s">
        <v>15087</v>
      </c>
      <c r="K218" t="s">
        <v>14455</v>
      </c>
      <c r="L218" t="s">
        <v>14456</v>
      </c>
      <c r="M218" t="s">
        <v>546</v>
      </c>
      <c r="N218">
        <v>1.1000000000000001</v>
      </c>
      <c r="O218" t="s">
        <v>11504</v>
      </c>
      <c r="P218" t="s">
        <v>15021</v>
      </c>
    </row>
    <row r="219" spans="1:16">
      <c r="A219" t="s">
        <v>15090</v>
      </c>
      <c r="B219" t="s">
        <v>13434</v>
      </c>
      <c r="C219" t="s">
        <v>11887</v>
      </c>
      <c r="D219" t="s">
        <v>11159</v>
      </c>
      <c r="E219">
        <v>2.5</v>
      </c>
      <c r="F219">
        <v>3.4</v>
      </c>
      <c r="G219" t="s">
        <v>14458</v>
      </c>
      <c r="H219" t="s">
        <v>14459</v>
      </c>
      <c r="I219" t="s">
        <v>15091</v>
      </c>
      <c r="J219" t="s">
        <v>15087</v>
      </c>
      <c r="K219" t="s">
        <v>14462</v>
      </c>
      <c r="L219" t="s">
        <v>14463</v>
      </c>
      <c r="M219" t="s">
        <v>546</v>
      </c>
      <c r="N219">
        <v>1.1000000000000001</v>
      </c>
      <c r="O219" t="s">
        <v>11504</v>
      </c>
      <c r="P219" t="s">
        <v>15021</v>
      </c>
    </row>
    <row r="220" spans="1:16">
      <c r="A220" t="s">
        <v>15092</v>
      </c>
      <c r="B220" t="s">
        <v>13434</v>
      </c>
      <c r="C220" t="s">
        <v>11887</v>
      </c>
      <c r="D220" t="s">
        <v>11159</v>
      </c>
      <c r="E220">
        <v>3.5</v>
      </c>
      <c r="F220">
        <v>4.2</v>
      </c>
      <c r="G220" t="s">
        <v>14465</v>
      </c>
      <c r="H220" t="s">
        <v>14466</v>
      </c>
      <c r="I220" t="s">
        <v>15093</v>
      </c>
      <c r="J220" t="s">
        <v>15087</v>
      </c>
      <c r="K220" t="s">
        <v>14469</v>
      </c>
      <c r="L220" t="s">
        <v>14470</v>
      </c>
      <c r="M220" t="s">
        <v>4242</v>
      </c>
      <c r="N220">
        <v>1.1000000000000001</v>
      </c>
      <c r="O220" t="s">
        <v>11504</v>
      </c>
      <c r="P220" t="s">
        <v>15021</v>
      </c>
    </row>
    <row r="221" spans="1:16">
      <c r="A221" t="s">
        <v>15094</v>
      </c>
      <c r="B221" t="s">
        <v>13434</v>
      </c>
      <c r="C221" t="s">
        <v>11887</v>
      </c>
      <c r="D221" t="s">
        <v>11159</v>
      </c>
      <c r="E221">
        <v>4.3</v>
      </c>
      <c r="F221">
        <v>5</v>
      </c>
      <c r="G221" t="s">
        <v>14472</v>
      </c>
      <c r="H221" t="s">
        <v>14473</v>
      </c>
      <c r="I221" t="s">
        <v>15095</v>
      </c>
      <c r="J221" t="s">
        <v>15087</v>
      </c>
      <c r="K221" t="s">
        <v>14476</v>
      </c>
      <c r="L221" t="s">
        <v>14477</v>
      </c>
      <c r="M221" t="s">
        <v>4242</v>
      </c>
      <c r="N221">
        <v>1.1000000000000001</v>
      </c>
      <c r="O221" t="s">
        <v>11504</v>
      </c>
      <c r="P221" t="s">
        <v>15021</v>
      </c>
    </row>
    <row r="222" spans="1:16">
      <c r="A222" t="s">
        <v>15096</v>
      </c>
      <c r="B222" t="s">
        <v>13437</v>
      </c>
      <c r="C222" t="s">
        <v>11887</v>
      </c>
      <c r="D222" t="s">
        <v>11159</v>
      </c>
      <c r="E222">
        <v>0</v>
      </c>
      <c r="F222">
        <v>1.4</v>
      </c>
      <c r="G222" t="s">
        <v>14444</v>
      </c>
      <c r="H222" t="s">
        <v>14445</v>
      </c>
      <c r="I222" t="s">
        <v>15097</v>
      </c>
      <c r="J222" t="s">
        <v>15098</v>
      </c>
      <c r="K222" t="s">
        <v>14448</v>
      </c>
      <c r="L222" t="s">
        <v>14449</v>
      </c>
      <c r="M222" t="s">
        <v>546</v>
      </c>
      <c r="N222">
        <v>1.1000000000000001</v>
      </c>
      <c r="O222" t="s">
        <v>11504</v>
      </c>
      <c r="P222" t="s">
        <v>15021</v>
      </c>
    </row>
    <row r="223" spans="1:16">
      <c r="A223" t="s">
        <v>15099</v>
      </c>
      <c r="B223" t="s">
        <v>13437</v>
      </c>
      <c r="C223" t="s">
        <v>11887</v>
      </c>
      <c r="D223" t="s">
        <v>11159</v>
      </c>
      <c r="E223">
        <v>1.5</v>
      </c>
      <c r="F223">
        <v>2.4</v>
      </c>
      <c r="G223" t="s">
        <v>11741</v>
      </c>
      <c r="H223" t="s">
        <v>14452</v>
      </c>
      <c r="I223" t="s">
        <v>15100</v>
      </c>
      <c r="J223" t="s">
        <v>15098</v>
      </c>
      <c r="K223" t="s">
        <v>14455</v>
      </c>
      <c r="L223" t="s">
        <v>14456</v>
      </c>
      <c r="M223" t="s">
        <v>546</v>
      </c>
      <c r="N223">
        <v>1.1000000000000001</v>
      </c>
      <c r="O223" t="s">
        <v>11504</v>
      </c>
      <c r="P223" t="s">
        <v>15021</v>
      </c>
    </row>
    <row r="224" spans="1:16">
      <c r="A224" t="s">
        <v>15101</v>
      </c>
      <c r="B224" t="s">
        <v>13437</v>
      </c>
      <c r="C224" t="s">
        <v>11887</v>
      </c>
      <c r="D224" t="s">
        <v>11159</v>
      </c>
      <c r="E224">
        <v>2.5</v>
      </c>
      <c r="F224">
        <v>3.4</v>
      </c>
      <c r="G224" t="s">
        <v>14458</v>
      </c>
      <c r="H224" t="s">
        <v>14459</v>
      </c>
      <c r="I224" t="s">
        <v>15102</v>
      </c>
      <c r="J224" t="s">
        <v>15098</v>
      </c>
      <c r="K224" t="s">
        <v>14462</v>
      </c>
      <c r="L224" t="s">
        <v>14463</v>
      </c>
      <c r="M224" t="s">
        <v>546</v>
      </c>
      <c r="N224">
        <v>1.1000000000000001</v>
      </c>
      <c r="O224" t="s">
        <v>11504</v>
      </c>
      <c r="P224" t="s">
        <v>15021</v>
      </c>
    </row>
    <row r="225" spans="1:16">
      <c r="A225" t="s">
        <v>15103</v>
      </c>
      <c r="B225" t="s">
        <v>13437</v>
      </c>
      <c r="C225" t="s">
        <v>11887</v>
      </c>
      <c r="D225" t="s">
        <v>11159</v>
      </c>
      <c r="E225">
        <v>3.5</v>
      </c>
      <c r="F225">
        <v>4.2</v>
      </c>
      <c r="G225" t="s">
        <v>14465</v>
      </c>
      <c r="H225" t="s">
        <v>14466</v>
      </c>
      <c r="I225" t="s">
        <v>15104</v>
      </c>
      <c r="J225" t="s">
        <v>15098</v>
      </c>
      <c r="K225" t="s">
        <v>14469</v>
      </c>
      <c r="L225" t="s">
        <v>14470</v>
      </c>
      <c r="M225" t="s">
        <v>4242</v>
      </c>
      <c r="N225">
        <v>1.1000000000000001</v>
      </c>
      <c r="O225" t="s">
        <v>11504</v>
      </c>
      <c r="P225" t="s">
        <v>15021</v>
      </c>
    </row>
    <row r="226" spans="1:16">
      <c r="A226" t="s">
        <v>15105</v>
      </c>
      <c r="B226" t="s">
        <v>13437</v>
      </c>
      <c r="C226" t="s">
        <v>11887</v>
      </c>
      <c r="D226" t="s">
        <v>11159</v>
      </c>
      <c r="E226">
        <v>4.3</v>
      </c>
      <c r="F226">
        <v>5</v>
      </c>
      <c r="G226" t="s">
        <v>14472</v>
      </c>
      <c r="H226" t="s">
        <v>14473</v>
      </c>
      <c r="I226" t="s">
        <v>15106</v>
      </c>
      <c r="J226" t="s">
        <v>15098</v>
      </c>
      <c r="K226" t="s">
        <v>14476</v>
      </c>
      <c r="L226" t="s">
        <v>14477</v>
      </c>
      <c r="M226" t="s">
        <v>4242</v>
      </c>
      <c r="N226">
        <v>1.1000000000000001</v>
      </c>
      <c r="O226" t="s">
        <v>11504</v>
      </c>
      <c r="P226" t="s">
        <v>15021</v>
      </c>
    </row>
    <row r="227" spans="1:16">
      <c r="A227" t="s">
        <v>15107</v>
      </c>
      <c r="B227" t="s">
        <v>13345</v>
      </c>
      <c r="C227" t="s">
        <v>11887</v>
      </c>
      <c r="D227" t="s">
        <v>11159</v>
      </c>
      <c r="E227">
        <v>0</v>
      </c>
      <c r="F227">
        <v>1.4</v>
      </c>
      <c r="G227" t="s">
        <v>14444</v>
      </c>
      <c r="H227" t="s">
        <v>14445</v>
      </c>
      <c r="I227" t="s">
        <v>15108</v>
      </c>
      <c r="J227" t="s">
        <v>15109</v>
      </c>
      <c r="K227" t="s">
        <v>14448</v>
      </c>
      <c r="L227" t="s">
        <v>14449</v>
      </c>
      <c r="M227" t="s">
        <v>546</v>
      </c>
      <c r="N227">
        <v>1.1000000000000001</v>
      </c>
      <c r="O227" t="s">
        <v>11504</v>
      </c>
      <c r="P227" t="s">
        <v>15021</v>
      </c>
    </row>
    <row r="228" spans="1:16">
      <c r="A228" t="s">
        <v>15110</v>
      </c>
      <c r="B228" t="s">
        <v>13345</v>
      </c>
      <c r="C228" t="s">
        <v>11887</v>
      </c>
      <c r="D228" t="s">
        <v>11159</v>
      </c>
      <c r="E228">
        <v>1.5</v>
      </c>
      <c r="F228">
        <v>2.4</v>
      </c>
      <c r="G228" t="s">
        <v>11741</v>
      </c>
      <c r="H228" t="s">
        <v>14452</v>
      </c>
      <c r="I228" t="s">
        <v>15111</v>
      </c>
      <c r="J228" t="s">
        <v>15109</v>
      </c>
      <c r="K228" t="s">
        <v>14455</v>
      </c>
      <c r="L228" t="s">
        <v>14456</v>
      </c>
      <c r="M228" t="s">
        <v>546</v>
      </c>
      <c r="N228">
        <v>1.1000000000000001</v>
      </c>
      <c r="O228" t="s">
        <v>11504</v>
      </c>
      <c r="P228" t="s">
        <v>15021</v>
      </c>
    </row>
    <row r="229" spans="1:16">
      <c r="A229" t="s">
        <v>15112</v>
      </c>
      <c r="B229" t="s">
        <v>13345</v>
      </c>
      <c r="C229" t="s">
        <v>11887</v>
      </c>
      <c r="D229" t="s">
        <v>11159</v>
      </c>
      <c r="E229">
        <v>2.5</v>
      </c>
      <c r="F229">
        <v>3.4</v>
      </c>
      <c r="G229" t="s">
        <v>14458</v>
      </c>
      <c r="H229" t="s">
        <v>14459</v>
      </c>
      <c r="I229" t="s">
        <v>15113</v>
      </c>
      <c r="J229" t="s">
        <v>15109</v>
      </c>
      <c r="K229" t="s">
        <v>14462</v>
      </c>
      <c r="L229" t="s">
        <v>14463</v>
      </c>
      <c r="M229" t="s">
        <v>546</v>
      </c>
      <c r="N229">
        <v>1.1000000000000001</v>
      </c>
      <c r="O229" t="s">
        <v>11504</v>
      </c>
      <c r="P229" t="s">
        <v>15021</v>
      </c>
    </row>
    <row r="230" spans="1:16">
      <c r="A230" t="s">
        <v>15114</v>
      </c>
      <c r="B230" t="s">
        <v>13345</v>
      </c>
      <c r="C230" t="s">
        <v>11887</v>
      </c>
      <c r="D230" t="s">
        <v>11159</v>
      </c>
      <c r="E230">
        <v>3.5</v>
      </c>
      <c r="F230">
        <v>4.2</v>
      </c>
      <c r="G230" t="s">
        <v>14465</v>
      </c>
      <c r="H230" t="s">
        <v>14466</v>
      </c>
      <c r="I230" t="s">
        <v>15115</v>
      </c>
      <c r="J230" t="s">
        <v>15109</v>
      </c>
      <c r="K230" t="s">
        <v>14469</v>
      </c>
      <c r="L230" t="s">
        <v>14470</v>
      </c>
      <c r="M230" t="s">
        <v>4242</v>
      </c>
      <c r="N230">
        <v>1.1000000000000001</v>
      </c>
      <c r="O230" t="s">
        <v>11504</v>
      </c>
      <c r="P230" t="s">
        <v>15021</v>
      </c>
    </row>
    <row r="231" spans="1:16">
      <c r="A231" t="s">
        <v>15116</v>
      </c>
      <c r="B231" t="s">
        <v>13345</v>
      </c>
      <c r="C231" t="s">
        <v>11887</v>
      </c>
      <c r="D231" t="s">
        <v>11159</v>
      </c>
      <c r="E231">
        <v>4.3</v>
      </c>
      <c r="F231">
        <v>5</v>
      </c>
      <c r="G231" t="s">
        <v>14472</v>
      </c>
      <c r="H231" t="s">
        <v>14473</v>
      </c>
      <c r="I231" t="s">
        <v>15117</v>
      </c>
      <c r="J231" t="s">
        <v>15109</v>
      </c>
      <c r="K231" t="s">
        <v>14476</v>
      </c>
      <c r="L231" t="s">
        <v>14477</v>
      </c>
      <c r="M231" t="s">
        <v>4242</v>
      </c>
      <c r="N231">
        <v>1.1000000000000001</v>
      </c>
      <c r="O231" t="s">
        <v>11504</v>
      </c>
      <c r="P231" t="s">
        <v>15021</v>
      </c>
    </row>
    <row r="232" spans="1:16">
      <c r="A232" t="s">
        <v>15118</v>
      </c>
      <c r="B232" t="s">
        <v>13386</v>
      </c>
      <c r="C232" t="s">
        <v>10999</v>
      </c>
      <c r="D232" t="s">
        <v>11159</v>
      </c>
      <c r="E232">
        <v>0</v>
      </c>
      <c r="F232">
        <v>1.4</v>
      </c>
      <c r="G232" t="s">
        <v>14444</v>
      </c>
      <c r="H232" t="s">
        <v>14445</v>
      </c>
      <c r="I232" t="s">
        <v>15119</v>
      </c>
      <c r="J232" t="s">
        <v>15120</v>
      </c>
      <c r="K232" t="s">
        <v>14448</v>
      </c>
      <c r="L232" t="s">
        <v>14449</v>
      </c>
      <c r="M232" t="s">
        <v>546</v>
      </c>
      <c r="N232">
        <v>1.1000000000000001</v>
      </c>
      <c r="O232" t="s">
        <v>11504</v>
      </c>
      <c r="P232" t="s">
        <v>15021</v>
      </c>
    </row>
    <row r="233" spans="1:16">
      <c r="A233" t="s">
        <v>15121</v>
      </c>
      <c r="B233" t="s">
        <v>13386</v>
      </c>
      <c r="C233" t="s">
        <v>10999</v>
      </c>
      <c r="D233" t="s">
        <v>11159</v>
      </c>
      <c r="E233">
        <v>1.5</v>
      </c>
      <c r="F233">
        <v>2.4</v>
      </c>
      <c r="G233" t="s">
        <v>11741</v>
      </c>
      <c r="H233" t="s">
        <v>14452</v>
      </c>
      <c r="I233" t="s">
        <v>15122</v>
      </c>
      <c r="J233" t="s">
        <v>15120</v>
      </c>
      <c r="K233" t="s">
        <v>14455</v>
      </c>
      <c r="L233" t="s">
        <v>14456</v>
      </c>
      <c r="M233" t="s">
        <v>546</v>
      </c>
      <c r="N233">
        <v>1.1000000000000001</v>
      </c>
      <c r="O233" t="s">
        <v>11504</v>
      </c>
      <c r="P233" t="s">
        <v>15021</v>
      </c>
    </row>
    <row r="234" spans="1:16">
      <c r="A234" t="s">
        <v>15123</v>
      </c>
      <c r="B234" t="s">
        <v>13386</v>
      </c>
      <c r="C234" t="s">
        <v>10999</v>
      </c>
      <c r="D234" t="s">
        <v>11159</v>
      </c>
      <c r="E234">
        <v>2.5</v>
      </c>
      <c r="F234">
        <v>3.4</v>
      </c>
      <c r="G234" t="s">
        <v>14458</v>
      </c>
      <c r="H234" t="s">
        <v>14459</v>
      </c>
      <c r="I234" t="s">
        <v>15124</v>
      </c>
      <c r="J234" t="s">
        <v>15120</v>
      </c>
      <c r="K234" t="s">
        <v>14462</v>
      </c>
      <c r="L234" t="s">
        <v>14463</v>
      </c>
      <c r="M234" t="s">
        <v>546</v>
      </c>
      <c r="N234">
        <v>1.1000000000000001</v>
      </c>
      <c r="O234" t="s">
        <v>11504</v>
      </c>
      <c r="P234" t="s">
        <v>15021</v>
      </c>
    </row>
    <row r="235" spans="1:16">
      <c r="A235" t="s">
        <v>15125</v>
      </c>
      <c r="B235" t="s">
        <v>13386</v>
      </c>
      <c r="C235" t="s">
        <v>10999</v>
      </c>
      <c r="D235" t="s">
        <v>11159</v>
      </c>
      <c r="E235">
        <v>3.5</v>
      </c>
      <c r="F235">
        <v>4.2</v>
      </c>
      <c r="G235" t="s">
        <v>14465</v>
      </c>
      <c r="H235" t="s">
        <v>14466</v>
      </c>
      <c r="I235" t="s">
        <v>15126</v>
      </c>
      <c r="J235" t="s">
        <v>15120</v>
      </c>
      <c r="K235" t="s">
        <v>14469</v>
      </c>
      <c r="L235" t="s">
        <v>14470</v>
      </c>
      <c r="M235" t="s">
        <v>4242</v>
      </c>
      <c r="N235">
        <v>1.1000000000000001</v>
      </c>
      <c r="O235" t="s">
        <v>11504</v>
      </c>
      <c r="P235" t="s">
        <v>15021</v>
      </c>
    </row>
    <row r="236" spans="1:16">
      <c r="A236" t="s">
        <v>15127</v>
      </c>
      <c r="B236" t="s">
        <v>13386</v>
      </c>
      <c r="C236" t="s">
        <v>10999</v>
      </c>
      <c r="D236" t="s">
        <v>11159</v>
      </c>
      <c r="E236">
        <v>4.3</v>
      </c>
      <c r="F236">
        <v>5</v>
      </c>
      <c r="G236" t="s">
        <v>14472</v>
      </c>
      <c r="H236" t="s">
        <v>14473</v>
      </c>
      <c r="I236" t="s">
        <v>15128</v>
      </c>
      <c r="J236" t="s">
        <v>15120</v>
      </c>
      <c r="K236" t="s">
        <v>14476</v>
      </c>
      <c r="L236" t="s">
        <v>14477</v>
      </c>
      <c r="M236" t="s">
        <v>4242</v>
      </c>
      <c r="N236">
        <v>1.1000000000000001</v>
      </c>
      <c r="O236" t="s">
        <v>11504</v>
      </c>
      <c r="P236" t="s">
        <v>15021</v>
      </c>
    </row>
    <row r="237" spans="1:16">
      <c r="A237" t="s">
        <v>15129</v>
      </c>
      <c r="B237" t="s">
        <v>13389</v>
      </c>
      <c r="C237" t="s">
        <v>10999</v>
      </c>
      <c r="D237" t="s">
        <v>11159</v>
      </c>
      <c r="E237">
        <v>0</v>
      </c>
      <c r="F237">
        <v>1.4</v>
      </c>
      <c r="G237" t="s">
        <v>14444</v>
      </c>
      <c r="H237" t="s">
        <v>14445</v>
      </c>
      <c r="I237" t="s">
        <v>15130</v>
      </c>
      <c r="J237" t="s">
        <v>15131</v>
      </c>
      <c r="K237" t="s">
        <v>14448</v>
      </c>
      <c r="L237" t="s">
        <v>14449</v>
      </c>
      <c r="M237" t="s">
        <v>546</v>
      </c>
      <c r="N237">
        <v>1.1000000000000001</v>
      </c>
      <c r="O237" t="s">
        <v>11504</v>
      </c>
      <c r="P237" t="s">
        <v>15021</v>
      </c>
    </row>
    <row r="238" spans="1:16">
      <c r="A238" t="s">
        <v>15132</v>
      </c>
      <c r="B238" t="s">
        <v>13389</v>
      </c>
      <c r="C238" t="s">
        <v>10999</v>
      </c>
      <c r="D238" t="s">
        <v>11159</v>
      </c>
      <c r="E238">
        <v>1.5</v>
      </c>
      <c r="F238">
        <v>2.4</v>
      </c>
      <c r="G238" t="s">
        <v>11741</v>
      </c>
      <c r="H238" t="s">
        <v>14452</v>
      </c>
      <c r="I238" t="s">
        <v>15133</v>
      </c>
      <c r="J238" t="s">
        <v>15131</v>
      </c>
      <c r="K238" t="s">
        <v>14455</v>
      </c>
      <c r="L238" t="s">
        <v>14456</v>
      </c>
      <c r="M238" t="s">
        <v>546</v>
      </c>
      <c r="N238">
        <v>1.1000000000000001</v>
      </c>
      <c r="O238" t="s">
        <v>11504</v>
      </c>
      <c r="P238" t="s">
        <v>15021</v>
      </c>
    </row>
    <row r="239" spans="1:16">
      <c r="A239" t="s">
        <v>15134</v>
      </c>
      <c r="B239" t="s">
        <v>13389</v>
      </c>
      <c r="C239" t="s">
        <v>10999</v>
      </c>
      <c r="D239" t="s">
        <v>11159</v>
      </c>
      <c r="E239">
        <v>2.5</v>
      </c>
      <c r="F239">
        <v>3.4</v>
      </c>
      <c r="G239" t="s">
        <v>14458</v>
      </c>
      <c r="H239" t="s">
        <v>14459</v>
      </c>
      <c r="I239" t="s">
        <v>15135</v>
      </c>
      <c r="J239" t="s">
        <v>15131</v>
      </c>
      <c r="K239" t="s">
        <v>14462</v>
      </c>
      <c r="L239" t="s">
        <v>14463</v>
      </c>
      <c r="M239" t="s">
        <v>546</v>
      </c>
      <c r="N239">
        <v>1.1000000000000001</v>
      </c>
      <c r="O239" t="s">
        <v>11504</v>
      </c>
      <c r="P239" t="s">
        <v>15021</v>
      </c>
    </row>
    <row r="240" spans="1:16">
      <c r="A240" t="s">
        <v>15136</v>
      </c>
      <c r="B240" t="s">
        <v>13389</v>
      </c>
      <c r="C240" t="s">
        <v>10999</v>
      </c>
      <c r="D240" t="s">
        <v>11159</v>
      </c>
      <c r="E240">
        <v>3.5</v>
      </c>
      <c r="F240">
        <v>4.2</v>
      </c>
      <c r="G240" t="s">
        <v>14465</v>
      </c>
      <c r="H240" t="s">
        <v>14466</v>
      </c>
      <c r="I240" t="s">
        <v>15137</v>
      </c>
      <c r="J240" t="s">
        <v>15131</v>
      </c>
      <c r="K240" t="s">
        <v>14469</v>
      </c>
      <c r="L240" t="s">
        <v>14470</v>
      </c>
      <c r="M240" t="s">
        <v>4242</v>
      </c>
      <c r="N240">
        <v>1.1000000000000001</v>
      </c>
      <c r="O240" t="s">
        <v>11504</v>
      </c>
      <c r="P240" t="s">
        <v>15021</v>
      </c>
    </row>
    <row r="241" spans="1:16">
      <c r="A241" t="s">
        <v>15138</v>
      </c>
      <c r="B241" t="s">
        <v>13389</v>
      </c>
      <c r="C241" t="s">
        <v>10999</v>
      </c>
      <c r="D241" t="s">
        <v>11159</v>
      </c>
      <c r="E241">
        <v>4.3</v>
      </c>
      <c r="F241">
        <v>5</v>
      </c>
      <c r="G241" t="s">
        <v>14472</v>
      </c>
      <c r="H241" t="s">
        <v>14473</v>
      </c>
      <c r="I241" t="s">
        <v>15139</v>
      </c>
      <c r="J241" t="s">
        <v>15131</v>
      </c>
      <c r="K241" t="s">
        <v>14476</v>
      </c>
      <c r="L241" t="s">
        <v>14477</v>
      </c>
      <c r="M241" t="s">
        <v>4242</v>
      </c>
      <c r="N241">
        <v>1.1000000000000001</v>
      </c>
      <c r="O241" t="s">
        <v>11504</v>
      </c>
      <c r="P241" t="s">
        <v>15021</v>
      </c>
    </row>
    <row r="242" spans="1:16">
      <c r="A242" t="s">
        <v>15140</v>
      </c>
      <c r="B242" t="s">
        <v>13392</v>
      </c>
      <c r="C242" t="s">
        <v>10999</v>
      </c>
      <c r="D242" t="s">
        <v>11159</v>
      </c>
      <c r="E242">
        <v>0</v>
      </c>
      <c r="F242">
        <v>1.4</v>
      </c>
      <c r="G242" t="s">
        <v>14444</v>
      </c>
      <c r="H242" t="s">
        <v>14445</v>
      </c>
      <c r="I242" t="s">
        <v>15141</v>
      </c>
      <c r="J242" t="s">
        <v>15142</v>
      </c>
      <c r="K242" t="s">
        <v>14448</v>
      </c>
      <c r="L242" t="s">
        <v>14449</v>
      </c>
      <c r="M242" t="s">
        <v>546</v>
      </c>
      <c r="N242">
        <v>1.1000000000000001</v>
      </c>
      <c r="O242" t="s">
        <v>11504</v>
      </c>
      <c r="P242" t="s">
        <v>15021</v>
      </c>
    </row>
    <row r="243" spans="1:16">
      <c r="A243" t="s">
        <v>15143</v>
      </c>
      <c r="B243" t="s">
        <v>13392</v>
      </c>
      <c r="C243" t="s">
        <v>10999</v>
      </c>
      <c r="D243" t="s">
        <v>11159</v>
      </c>
      <c r="E243">
        <v>1.5</v>
      </c>
      <c r="F243">
        <v>2.4</v>
      </c>
      <c r="G243" t="s">
        <v>11741</v>
      </c>
      <c r="H243" t="s">
        <v>14452</v>
      </c>
      <c r="I243" t="s">
        <v>15144</v>
      </c>
      <c r="J243" t="s">
        <v>15142</v>
      </c>
      <c r="K243" t="s">
        <v>14455</v>
      </c>
      <c r="L243" t="s">
        <v>14456</v>
      </c>
      <c r="M243" t="s">
        <v>546</v>
      </c>
      <c r="N243">
        <v>1.1000000000000001</v>
      </c>
      <c r="O243" t="s">
        <v>11504</v>
      </c>
      <c r="P243" t="s">
        <v>15021</v>
      </c>
    </row>
    <row r="244" spans="1:16">
      <c r="A244" t="s">
        <v>15145</v>
      </c>
      <c r="B244" t="s">
        <v>13392</v>
      </c>
      <c r="C244" t="s">
        <v>10999</v>
      </c>
      <c r="D244" t="s">
        <v>11159</v>
      </c>
      <c r="E244">
        <v>2.5</v>
      </c>
      <c r="F244">
        <v>3.4</v>
      </c>
      <c r="G244" t="s">
        <v>14458</v>
      </c>
      <c r="H244" t="s">
        <v>14459</v>
      </c>
      <c r="I244" t="s">
        <v>15146</v>
      </c>
      <c r="J244" t="s">
        <v>15142</v>
      </c>
      <c r="K244" t="s">
        <v>14462</v>
      </c>
      <c r="L244" t="s">
        <v>14463</v>
      </c>
      <c r="M244" t="s">
        <v>546</v>
      </c>
      <c r="N244">
        <v>1.1000000000000001</v>
      </c>
      <c r="O244" t="s">
        <v>11504</v>
      </c>
      <c r="P244" t="s">
        <v>15021</v>
      </c>
    </row>
    <row r="245" spans="1:16">
      <c r="A245" t="s">
        <v>15147</v>
      </c>
      <c r="B245" t="s">
        <v>13392</v>
      </c>
      <c r="C245" t="s">
        <v>10999</v>
      </c>
      <c r="D245" t="s">
        <v>11159</v>
      </c>
      <c r="E245">
        <v>3.5</v>
      </c>
      <c r="F245">
        <v>4.2</v>
      </c>
      <c r="G245" t="s">
        <v>14465</v>
      </c>
      <c r="H245" t="s">
        <v>14466</v>
      </c>
      <c r="I245" t="s">
        <v>15148</v>
      </c>
      <c r="J245" t="s">
        <v>15142</v>
      </c>
      <c r="K245" t="s">
        <v>14469</v>
      </c>
      <c r="L245" t="s">
        <v>14470</v>
      </c>
      <c r="M245" t="s">
        <v>4242</v>
      </c>
      <c r="N245">
        <v>1.1000000000000001</v>
      </c>
      <c r="O245" t="s">
        <v>11504</v>
      </c>
      <c r="P245" t="s">
        <v>15021</v>
      </c>
    </row>
    <row r="246" spans="1:16">
      <c r="A246" t="s">
        <v>15149</v>
      </c>
      <c r="B246" t="s">
        <v>13392</v>
      </c>
      <c r="C246" t="s">
        <v>10999</v>
      </c>
      <c r="D246" t="s">
        <v>11159</v>
      </c>
      <c r="E246">
        <v>4.3</v>
      </c>
      <c r="F246">
        <v>5</v>
      </c>
      <c r="G246" t="s">
        <v>14472</v>
      </c>
      <c r="H246" t="s">
        <v>14473</v>
      </c>
      <c r="I246" t="s">
        <v>15150</v>
      </c>
      <c r="J246" t="s">
        <v>15142</v>
      </c>
      <c r="K246" t="s">
        <v>14476</v>
      </c>
      <c r="L246" t="s">
        <v>14477</v>
      </c>
      <c r="M246" t="s">
        <v>4242</v>
      </c>
      <c r="N246">
        <v>1.1000000000000001</v>
      </c>
      <c r="O246" t="s">
        <v>11504</v>
      </c>
      <c r="P246" t="s">
        <v>15021</v>
      </c>
    </row>
    <row r="247" spans="1:16">
      <c r="A247" t="s">
        <v>15151</v>
      </c>
      <c r="B247" t="s">
        <v>13368</v>
      </c>
      <c r="C247" t="s">
        <v>10999</v>
      </c>
      <c r="D247" t="s">
        <v>11159</v>
      </c>
      <c r="E247">
        <v>0</v>
      </c>
      <c r="F247">
        <v>1.4</v>
      </c>
      <c r="G247" t="s">
        <v>14444</v>
      </c>
      <c r="H247" t="s">
        <v>14445</v>
      </c>
      <c r="I247" t="s">
        <v>15152</v>
      </c>
      <c r="J247" t="s">
        <v>15153</v>
      </c>
      <c r="K247" t="s">
        <v>14448</v>
      </c>
      <c r="L247" t="s">
        <v>14449</v>
      </c>
      <c r="M247" t="s">
        <v>546</v>
      </c>
      <c r="N247">
        <v>1.1000000000000001</v>
      </c>
      <c r="O247" t="s">
        <v>11504</v>
      </c>
      <c r="P247" t="s">
        <v>15021</v>
      </c>
    </row>
    <row r="248" spans="1:16">
      <c r="A248" t="s">
        <v>15154</v>
      </c>
      <c r="B248" t="s">
        <v>13368</v>
      </c>
      <c r="C248" t="s">
        <v>10999</v>
      </c>
      <c r="D248" t="s">
        <v>11159</v>
      </c>
      <c r="E248">
        <v>1.5</v>
      </c>
      <c r="F248">
        <v>2.4</v>
      </c>
      <c r="G248" t="s">
        <v>11741</v>
      </c>
      <c r="H248" t="s">
        <v>14452</v>
      </c>
      <c r="I248" t="s">
        <v>15155</v>
      </c>
      <c r="J248" t="s">
        <v>15153</v>
      </c>
      <c r="K248" t="s">
        <v>14455</v>
      </c>
      <c r="L248" t="s">
        <v>14456</v>
      </c>
      <c r="M248" t="s">
        <v>546</v>
      </c>
      <c r="N248">
        <v>1.1000000000000001</v>
      </c>
      <c r="O248" t="s">
        <v>11504</v>
      </c>
      <c r="P248" t="s">
        <v>15021</v>
      </c>
    </row>
    <row r="249" spans="1:16">
      <c r="A249" t="s">
        <v>15156</v>
      </c>
      <c r="B249" t="s">
        <v>13368</v>
      </c>
      <c r="C249" t="s">
        <v>10999</v>
      </c>
      <c r="D249" t="s">
        <v>11159</v>
      </c>
      <c r="E249">
        <v>2.5</v>
      </c>
      <c r="F249">
        <v>3.4</v>
      </c>
      <c r="G249" t="s">
        <v>14458</v>
      </c>
      <c r="H249" t="s">
        <v>14459</v>
      </c>
      <c r="I249" t="s">
        <v>15157</v>
      </c>
      <c r="J249" t="s">
        <v>15153</v>
      </c>
      <c r="K249" t="s">
        <v>14462</v>
      </c>
      <c r="L249" t="s">
        <v>14463</v>
      </c>
      <c r="M249" t="s">
        <v>546</v>
      </c>
      <c r="N249">
        <v>1.1000000000000001</v>
      </c>
      <c r="O249" t="s">
        <v>11504</v>
      </c>
      <c r="P249" t="s">
        <v>15021</v>
      </c>
    </row>
    <row r="250" spans="1:16">
      <c r="A250" t="s">
        <v>15158</v>
      </c>
      <c r="B250" t="s">
        <v>13368</v>
      </c>
      <c r="C250" t="s">
        <v>10999</v>
      </c>
      <c r="D250" t="s">
        <v>11159</v>
      </c>
      <c r="E250">
        <v>3.5</v>
      </c>
      <c r="F250">
        <v>4.2</v>
      </c>
      <c r="G250" t="s">
        <v>14465</v>
      </c>
      <c r="H250" t="s">
        <v>14466</v>
      </c>
      <c r="I250" t="s">
        <v>15159</v>
      </c>
      <c r="J250" t="s">
        <v>15153</v>
      </c>
      <c r="K250" t="s">
        <v>14469</v>
      </c>
      <c r="L250" t="s">
        <v>14470</v>
      </c>
      <c r="M250" t="s">
        <v>4242</v>
      </c>
      <c r="N250">
        <v>1.1000000000000001</v>
      </c>
      <c r="O250" t="s">
        <v>11504</v>
      </c>
      <c r="P250" t="s">
        <v>15021</v>
      </c>
    </row>
    <row r="251" spans="1:16">
      <c r="A251" t="s">
        <v>15160</v>
      </c>
      <c r="B251" t="s">
        <v>13368</v>
      </c>
      <c r="C251" t="s">
        <v>10999</v>
      </c>
      <c r="D251" t="s">
        <v>11159</v>
      </c>
      <c r="E251">
        <v>4.3</v>
      </c>
      <c r="F251">
        <v>5</v>
      </c>
      <c r="G251" t="s">
        <v>14472</v>
      </c>
      <c r="H251" t="s">
        <v>14473</v>
      </c>
      <c r="I251" t="s">
        <v>15161</v>
      </c>
      <c r="J251" t="s">
        <v>15153</v>
      </c>
      <c r="K251" t="s">
        <v>14476</v>
      </c>
      <c r="L251" t="s">
        <v>14477</v>
      </c>
      <c r="M251" t="s">
        <v>4242</v>
      </c>
      <c r="N251">
        <v>1.1000000000000001</v>
      </c>
      <c r="O251" t="s">
        <v>11504</v>
      </c>
      <c r="P251" t="s">
        <v>15021</v>
      </c>
    </row>
    <row r="252" spans="1:16">
      <c r="A252" t="s">
        <v>15162</v>
      </c>
      <c r="B252" t="s">
        <v>13395</v>
      </c>
      <c r="C252" t="s">
        <v>10999</v>
      </c>
      <c r="D252" t="s">
        <v>11159</v>
      </c>
      <c r="E252">
        <v>0</v>
      </c>
      <c r="F252">
        <v>1.4</v>
      </c>
      <c r="G252" t="s">
        <v>14444</v>
      </c>
      <c r="H252" t="s">
        <v>14445</v>
      </c>
      <c r="I252" t="s">
        <v>15163</v>
      </c>
      <c r="J252" t="s">
        <v>15164</v>
      </c>
      <c r="K252" t="s">
        <v>14448</v>
      </c>
      <c r="L252" t="s">
        <v>14449</v>
      </c>
      <c r="M252" t="s">
        <v>546</v>
      </c>
      <c r="N252">
        <v>1.1000000000000001</v>
      </c>
      <c r="O252" t="s">
        <v>11504</v>
      </c>
      <c r="P252" t="s">
        <v>15021</v>
      </c>
    </row>
    <row r="253" spans="1:16">
      <c r="A253" t="s">
        <v>15165</v>
      </c>
      <c r="B253" t="s">
        <v>13395</v>
      </c>
      <c r="C253" t="s">
        <v>10999</v>
      </c>
      <c r="D253" t="s">
        <v>11159</v>
      </c>
      <c r="E253">
        <v>1.5</v>
      </c>
      <c r="F253">
        <v>2.4</v>
      </c>
      <c r="G253" t="s">
        <v>11741</v>
      </c>
      <c r="H253" t="s">
        <v>14452</v>
      </c>
      <c r="I253" t="s">
        <v>15166</v>
      </c>
      <c r="J253" t="s">
        <v>15164</v>
      </c>
      <c r="K253" t="s">
        <v>14455</v>
      </c>
      <c r="L253" t="s">
        <v>14456</v>
      </c>
      <c r="M253" t="s">
        <v>546</v>
      </c>
      <c r="N253">
        <v>1.1000000000000001</v>
      </c>
      <c r="O253" t="s">
        <v>11504</v>
      </c>
      <c r="P253" t="s">
        <v>15021</v>
      </c>
    </row>
    <row r="254" spans="1:16">
      <c r="A254" t="s">
        <v>15167</v>
      </c>
      <c r="B254" t="s">
        <v>13395</v>
      </c>
      <c r="C254" t="s">
        <v>10999</v>
      </c>
      <c r="D254" t="s">
        <v>11159</v>
      </c>
      <c r="E254">
        <v>2.5</v>
      </c>
      <c r="F254">
        <v>3.4</v>
      </c>
      <c r="G254" t="s">
        <v>14458</v>
      </c>
      <c r="H254" t="s">
        <v>14459</v>
      </c>
      <c r="I254" t="s">
        <v>15168</v>
      </c>
      <c r="J254" t="s">
        <v>15164</v>
      </c>
      <c r="K254" t="s">
        <v>14462</v>
      </c>
      <c r="L254" t="s">
        <v>14463</v>
      </c>
      <c r="M254" t="s">
        <v>546</v>
      </c>
      <c r="N254">
        <v>1.1000000000000001</v>
      </c>
      <c r="O254" t="s">
        <v>11504</v>
      </c>
      <c r="P254" t="s">
        <v>15021</v>
      </c>
    </row>
    <row r="255" spans="1:16">
      <c r="A255" t="s">
        <v>15169</v>
      </c>
      <c r="B255" t="s">
        <v>13395</v>
      </c>
      <c r="C255" t="s">
        <v>10999</v>
      </c>
      <c r="D255" t="s">
        <v>11159</v>
      </c>
      <c r="E255">
        <v>3.5</v>
      </c>
      <c r="F255">
        <v>4.2</v>
      </c>
      <c r="G255" t="s">
        <v>14465</v>
      </c>
      <c r="H255" t="s">
        <v>14466</v>
      </c>
      <c r="I255" t="s">
        <v>15170</v>
      </c>
      <c r="J255" t="s">
        <v>15164</v>
      </c>
      <c r="K255" t="s">
        <v>14469</v>
      </c>
      <c r="L255" t="s">
        <v>14470</v>
      </c>
      <c r="M255" t="s">
        <v>4242</v>
      </c>
      <c r="N255">
        <v>1.1000000000000001</v>
      </c>
      <c r="O255" t="s">
        <v>11504</v>
      </c>
      <c r="P255" t="s">
        <v>15021</v>
      </c>
    </row>
    <row r="256" spans="1:16">
      <c r="A256" t="s">
        <v>15171</v>
      </c>
      <c r="B256" t="s">
        <v>13395</v>
      </c>
      <c r="C256" t="s">
        <v>10999</v>
      </c>
      <c r="D256" t="s">
        <v>11159</v>
      </c>
      <c r="E256">
        <v>4.3</v>
      </c>
      <c r="F256">
        <v>5</v>
      </c>
      <c r="G256" t="s">
        <v>14472</v>
      </c>
      <c r="H256" t="s">
        <v>14473</v>
      </c>
      <c r="I256" t="s">
        <v>15172</v>
      </c>
      <c r="J256" t="s">
        <v>15164</v>
      </c>
      <c r="K256" t="s">
        <v>14476</v>
      </c>
      <c r="L256" t="s">
        <v>14477</v>
      </c>
      <c r="M256" t="s">
        <v>4242</v>
      </c>
      <c r="N256">
        <v>1.1000000000000001</v>
      </c>
      <c r="O256" t="s">
        <v>11504</v>
      </c>
      <c r="P256" t="s">
        <v>15021</v>
      </c>
    </row>
    <row r="257" spans="1:16">
      <c r="A257" t="s">
        <v>15173</v>
      </c>
      <c r="B257" t="s">
        <v>13398</v>
      </c>
      <c r="C257" t="s">
        <v>10970</v>
      </c>
      <c r="D257" t="s">
        <v>11159</v>
      </c>
      <c r="E257">
        <v>0</v>
      </c>
      <c r="F257">
        <v>1.4</v>
      </c>
      <c r="G257" t="s">
        <v>14444</v>
      </c>
      <c r="H257" t="s">
        <v>14445</v>
      </c>
      <c r="I257" t="s">
        <v>15174</v>
      </c>
      <c r="J257" t="s">
        <v>15175</v>
      </c>
      <c r="K257" t="s">
        <v>14448</v>
      </c>
      <c r="L257" t="s">
        <v>14449</v>
      </c>
      <c r="M257" t="s">
        <v>546</v>
      </c>
      <c r="N257">
        <v>1.1000000000000001</v>
      </c>
      <c r="O257" t="s">
        <v>11504</v>
      </c>
      <c r="P257" t="s">
        <v>15021</v>
      </c>
    </row>
    <row r="258" spans="1:16">
      <c r="A258" t="s">
        <v>15176</v>
      </c>
      <c r="B258" t="s">
        <v>13398</v>
      </c>
      <c r="C258" t="s">
        <v>10970</v>
      </c>
      <c r="D258" t="s">
        <v>11159</v>
      </c>
      <c r="E258">
        <v>1.5</v>
      </c>
      <c r="F258">
        <v>2.4</v>
      </c>
      <c r="G258" t="s">
        <v>11741</v>
      </c>
      <c r="H258" t="s">
        <v>14452</v>
      </c>
      <c r="I258" t="s">
        <v>15177</v>
      </c>
      <c r="J258" t="s">
        <v>15175</v>
      </c>
      <c r="K258" t="s">
        <v>14455</v>
      </c>
      <c r="L258" t="s">
        <v>14456</v>
      </c>
      <c r="M258" t="s">
        <v>546</v>
      </c>
      <c r="N258">
        <v>1.1000000000000001</v>
      </c>
      <c r="O258" t="s">
        <v>11504</v>
      </c>
      <c r="P258" t="s">
        <v>15021</v>
      </c>
    </row>
    <row r="259" spans="1:16">
      <c r="A259" t="s">
        <v>15178</v>
      </c>
      <c r="B259" t="s">
        <v>13398</v>
      </c>
      <c r="C259" t="s">
        <v>10970</v>
      </c>
      <c r="D259" t="s">
        <v>11159</v>
      </c>
      <c r="E259">
        <v>2.5</v>
      </c>
      <c r="F259">
        <v>3.4</v>
      </c>
      <c r="G259" t="s">
        <v>14458</v>
      </c>
      <c r="H259" t="s">
        <v>14459</v>
      </c>
      <c r="I259" t="s">
        <v>15179</v>
      </c>
      <c r="J259" t="s">
        <v>15175</v>
      </c>
      <c r="K259" t="s">
        <v>14462</v>
      </c>
      <c r="L259" t="s">
        <v>14463</v>
      </c>
      <c r="M259" t="s">
        <v>546</v>
      </c>
      <c r="N259">
        <v>1.1000000000000001</v>
      </c>
      <c r="O259" t="s">
        <v>11504</v>
      </c>
      <c r="P259" t="s">
        <v>15021</v>
      </c>
    </row>
    <row r="260" spans="1:16">
      <c r="A260" t="s">
        <v>15180</v>
      </c>
      <c r="B260" t="s">
        <v>13398</v>
      </c>
      <c r="C260" t="s">
        <v>10970</v>
      </c>
      <c r="D260" t="s">
        <v>11159</v>
      </c>
      <c r="E260">
        <v>3.5</v>
      </c>
      <c r="F260">
        <v>4.2</v>
      </c>
      <c r="G260" t="s">
        <v>14465</v>
      </c>
      <c r="H260" t="s">
        <v>14466</v>
      </c>
      <c r="I260" t="s">
        <v>15181</v>
      </c>
      <c r="J260" t="s">
        <v>15175</v>
      </c>
      <c r="K260" t="s">
        <v>14469</v>
      </c>
      <c r="L260" t="s">
        <v>14470</v>
      </c>
      <c r="M260" t="s">
        <v>4242</v>
      </c>
      <c r="N260">
        <v>1.1000000000000001</v>
      </c>
      <c r="O260" t="s">
        <v>11504</v>
      </c>
      <c r="P260" t="s">
        <v>15021</v>
      </c>
    </row>
    <row r="261" spans="1:16">
      <c r="A261" t="s">
        <v>15182</v>
      </c>
      <c r="B261" t="s">
        <v>13398</v>
      </c>
      <c r="C261" t="s">
        <v>10970</v>
      </c>
      <c r="D261" t="s">
        <v>11159</v>
      </c>
      <c r="E261">
        <v>4.3</v>
      </c>
      <c r="F261">
        <v>5</v>
      </c>
      <c r="G261" t="s">
        <v>14472</v>
      </c>
      <c r="H261" t="s">
        <v>14473</v>
      </c>
      <c r="I261" t="s">
        <v>15183</v>
      </c>
      <c r="J261" t="s">
        <v>15175</v>
      </c>
      <c r="K261" t="s">
        <v>14476</v>
      </c>
      <c r="L261" t="s">
        <v>14477</v>
      </c>
      <c r="M261" t="s">
        <v>4242</v>
      </c>
      <c r="N261">
        <v>1.1000000000000001</v>
      </c>
      <c r="O261" t="s">
        <v>11504</v>
      </c>
      <c r="P261" t="s">
        <v>15021</v>
      </c>
    </row>
    <row r="262" spans="1:16">
      <c r="A262" t="s">
        <v>15184</v>
      </c>
      <c r="B262" t="s">
        <v>13401</v>
      </c>
      <c r="C262" t="s">
        <v>10970</v>
      </c>
      <c r="D262" t="s">
        <v>11159</v>
      </c>
      <c r="E262">
        <v>0</v>
      </c>
      <c r="F262">
        <v>1.4</v>
      </c>
      <c r="G262" t="s">
        <v>14444</v>
      </c>
      <c r="H262" t="s">
        <v>14445</v>
      </c>
      <c r="I262" t="s">
        <v>15185</v>
      </c>
      <c r="J262" t="s">
        <v>15186</v>
      </c>
      <c r="K262" t="s">
        <v>14448</v>
      </c>
      <c r="L262" t="s">
        <v>14449</v>
      </c>
      <c r="M262" t="s">
        <v>546</v>
      </c>
      <c r="N262">
        <v>1.1000000000000001</v>
      </c>
      <c r="O262" t="s">
        <v>11504</v>
      </c>
      <c r="P262" t="s">
        <v>15021</v>
      </c>
    </row>
    <row r="263" spans="1:16">
      <c r="A263" t="s">
        <v>15187</v>
      </c>
      <c r="B263" t="s">
        <v>13401</v>
      </c>
      <c r="C263" t="s">
        <v>10970</v>
      </c>
      <c r="D263" t="s">
        <v>11159</v>
      </c>
      <c r="E263">
        <v>1.5</v>
      </c>
      <c r="F263">
        <v>2.4</v>
      </c>
      <c r="G263" t="s">
        <v>11741</v>
      </c>
      <c r="H263" t="s">
        <v>14452</v>
      </c>
      <c r="I263" t="s">
        <v>15188</v>
      </c>
      <c r="J263" t="s">
        <v>15186</v>
      </c>
      <c r="K263" t="s">
        <v>14455</v>
      </c>
      <c r="L263" t="s">
        <v>14456</v>
      </c>
      <c r="M263" t="s">
        <v>546</v>
      </c>
      <c r="N263">
        <v>1.1000000000000001</v>
      </c>
      <c r="O263" t="s">
        <v>11504</v>
      </c>
      <c r="P263" t="s">
        <v>15021</v>
      </c>
    </row>
    <row r="264" spans="1:16">
      <c r="A264" t="s">
        <v>15189</v>
      </c>
      <c r="B264" t="s">
        <v>13401</v>
      </c>
      <c r="C264" t="s">
        <v>10970</v>
      </c>
      <c r="D264" t="s">
        <v>11159</v>
      </c>
      <c r="E264">
        <v>2.5</v>
      </c>
      <c r="F264">
        <v>3.4</v>
      </c>
      <c r="G264" t="s">
        <v>14458</v>
      </c>
      <c r="H264" t="s">
        <v>14459</v>
      </c>
      <c r="I264" t="s">
        <v>15190</v>
      </c>
      <c r="J264" t="s">
        <v>15186</v>
      </c>
      <c r="K264" t="s">
        <v>14462</v>
      </c>
      <c r="L264" t="s">
        <v>14463</v>
      </c>
      <c r="M264" t="s">
        <v>546</v>
      </c>
      <c r="N264">
        <v>1.1000000000000001</v>
      </c>
      <c r="O264" t="s">
        <v>11504</v>
      </c>
      <c r="P264" t="s">
        <v>15021</v>
      </c>
    </row>
    <row r="265" spans="1:16">
      <c r="A265" t="s">
        <v>15191</v>
      </c>
      <c r="B265" t="s">
        <v>13401</v>
      </c>
      <c r="C265" t="s">
        <v>10970</v>
      </c>
      <c r="D265" t="s">
        <v>11159</v>
      </c>
      <c r="E265">
        <v>3.5</v>
      </c>
      <c r="F265">
        <v>4.2</v>
      </c>
      <c r="G265" t="s">
        <v>14465</v>
      </c>
      <c r="H265" t="s">
        <v>14466</v>
      </c>
      <c r="I265" t="s">
        <v>15192</v>
      </c>
      <c r="J265" t="s">
        <v>15186</v>
      </c>
      <c r="K265" t="s">
        <v>14469</v>
      </c>
      <c r="L265" t="s">
        <v>14470</v>
      </c>
      <c r="M265" t="s">
        <v>4242</v>
      </c>
      <c r="N265">
        <v>1.1000000000000001</v>
      </c>
      <c r="O265" t="s">
        <v>11504</v>
      </c>
      <c r="P265" t="s">
        <v>15021</v>
      </c>
    </row>
    <row r="266" spans="1:16">
      <c r="A266" t="s">
        <v>15193</v>
      </c>
      <c r="B266" t="s">
        <v>13401</v>
      </c>
      <c r="C266" t="s">
        <v>10970</v>
      </c>
      <c r="D266" t="s">
        <v>11159</v>
      </c>
      <c r="E266">
        <v>4.3</v>
      </c>
      <c r="F266">
        <v>5</v>
      </c>
      <c r="G266" t="s">
        <v>14472</v>
      </c>
      <c r="H266" t="s">
        <v>14473</v>
      </c>
      <c r="I266" t="s">
        <v>15194</v>
      </c>
      <c r="J266" t="s">
        <v>15186</v>
      </c>
      <c r="K266" t="s">
        <v>14476</v>
      </c>
      <c r="L266" t="s">
        <v>14477</v>
      </c>
      <c r="M266" t="s">
        <v>4242</v>
      </c>
      <c r="N266">
        <v>1.1000000000000001</v>
      </c>
      <c r="O266" t="s">
        <v>11504</v>
      </c>
      <c r="P266" t="s">
        <v>15021</v>
      </c>
    </row>
    <row r="267" spans="1:16">
      <c r="A267" t="s">
        <v>15195</v>
      </c>
      <c r="B267" t="s">
        <v>13383</v>
      </c>
      <c r="C267" t="s">
        <v>10970</v>
      </c>
      <c r="D267" t="s">
        <v>11159</v>
      </c>
      <c r="E267">
        <v>0</v>
      </c>
      <c r="F267">
        <v>1.4</v>
      </c>
      <c r="G267" t="s">
        <v>14444</v>
      </c>
      <c r="H267" t="s">
        <v>14445</v>
      </c>
      <c r="I267" t="s">
        <v>15196</v>
      </c>
      <c r="J267" t="s">
        <v>15197</v>
      </c>
      <c r="K267" t="s">
        <v>14448</v>
      </c>
      <c r="L267" t="s">
        <v>14449</v>
      </c>
      <c r="M267" t="s">
        <v>546</v>
      </c>
      <c r="N267">
        <v>1.1000000000000001</v>
      </c>
      <c r="O267" t="s">
        <v>11504</v>
      </c>
      <c r="P267" t="s">
        <v>15021</v>
      </c>
    </row>
    <row r="268" spans="1:16">
      <c r="A268" t="s">
        <v>15198</v>
      </c>
      <c r="B268" t="s">
        <v>13383</v>
      </c>
      <c r="C268" t="s">
        <v>10970</v>
      </c>
      <c r="D268" t="s">
        <v>11159</v>
      </c>
      <c r="E268">
        <v>1.5</v>
      </c>
      <c r="F268">
        <v>2.4</v>
      </c>
      <c r="G268" t="s">
        <v>11741</v>
      </c>
      <c r="H268" t="s">
        <v>14452</v>
      </c>
      <c r="I268" t="s">
        <v>15199</v>
      </c>
      <c r="J268" t="s">
        <v>15197</v>
      </c>
      <c r="K268" t="s">
        <v>14455</v>
      </c>
      <c r="L268" t="s">
        <v>14456</v>
      </c>
      <c r="M268" t="s">
        <v>546</v>
      </c>
      <c r="N268">
        <v>1.1000000000000001</v>
      </c>
      <c r="O268" t="s">
        <v>11504</v>
      </c>
      <c r="P268" t="s">
        <v>15021</v>
      </c>
    </row>
    <row r="269" spans="1:16">
      <c r="A269" t="s">
        <v>15200</v>
      </c>
      <c r="B269" t="s">
        <v>13383</v>
      </c>
      <c r="C269" t="s">
        <v>10970</v>
      </c>
      <c r="D269" t="s">
        <v>11159</v>
      </c>
      <c r="E269">
        <v>2.5</v>
      </c>
      <c r="F269">
        <v>3.4</v>
      </c>
      <c r="G269" t="s">
        <v>14458</v>
      </c>
      <c r="H269" t="s">
        <v>14459</v>
      </c>
      <c r="I269" t="s">
        <v>15201</v>
      </c>
      <c r="J269" t="s">
        <v>15197</v>
      </c>
      <c r="K269" t="s">
        <v>14462</v>
      </c>
      <c r="L269" t="s">
        <v>14463</v>
      </c>
      <c r="M269" t="s">
        <v>546</v>
      </c>
      <c r="N269">
        <v>1.1000000000000001</v>
      </c>
      <c r="O269" t="s">
        <v>11504</v>
      </c>
      <c r="P269" t="s">
        <v>15021</v>
      </c>
    </row>
    <row r="270" spans="1:16">
      <c r="A270" t="s">
        <v>15202</v>
      </c>
      <c r="B270" t="s">
        <v>13383</v>
      </c>
      <c r="C270" t="s">
        <v>10970</v>
      </c>
      <c r="D270" t="s">
        <v>11159</v>
      </c>
      <c r="E270">
        <v>3.5</v>
      </c>
      <c r="F270">
        <v>4.2</v>
      </c>
      <c r="G270" t="s">
        <v>14465</v>
      </c>
      <c r="H270" t="s">
        <v>14466</v>
      </c>
      <c r="I270" t="s">
        <v>15203</v>
      </c>
      <c r="J270" t="s">
        <v>15197</v>
      </c>
      <c r="K270" t="s">
        <v>14469</v>
      </c>
      <c r="L270" t="s">
        <v>14470</v>
      </c>
      <c r="M270" t="s">
        <v>4242</v>
      </c>
      <c r="N270">
        <v>1.1000000000000001</v>
      </c>
      <c r="O270" t="s">
        <v>11504</v>
      </c>
      <c r="P270" t="s">
        <v>15021</v>
      </c>
    </row>
    <row r="271" spans="1:16">
      <c r="A271" t="s">
        <v>15204</v>
      </c>
      <c r="B271" t="s">
        <v>13383</v>
      </c>
      <c r="C271" t="s">
        <v>10970</v>
      </c>
      <c r="D271" t="s">
        <v>11159</v>
      </c>
      <c r="E271">
        <v>4.3</v>
      </c>
      <c r="F271">
        <v>5</v>
      </c>
      <c r="G271" t="s">
        <v>14472</v>
      </c>
      <c r="H271" t="s">
        <v>14473</v>
      </c>
      <c r="I271" t="s">
        <v>15205</v>
      </c>
      <c r="J271" t="s">
        <v>15197</v>
      </c>
      <c r="K271" t="s">
        <v>14476</v>
      </c>
      <c r="L271" t="s">
        <v>14477</v>
      </c>
      <c r="M271" t="s">
        <v>4242</v>
      </c>
      <c r="N271">
        <v>1.1000000000000001</v>
      </c>
      <c r="O271" t="s">
        <v>11504</v>
      </c>
      <c r="P271" t="s">
        <v>15021</v>
      </c>
    </row>
    <row r="272" spans="1:16">
      <c r="A272" t="s">
        <v>15206</v>
      </c>
      <c r="B272" t="s">
        <v>13404</v>
      </c>
      <c r="C272" t="s">
        <v>11888</v>
      </c>
      <c r="D272" t="s">
        <v>11159</v>
      </c>
      <c r="E272">
        <v>0</v>
      </c>
      <c r="F272">
        <v>1.4</v>
      </c>
      <c r="G272" t="s">
        <v>14444</v>
      </c>
      <c r="H272" t="s">
        <v>14445</v>
      </c>
      <c r="I272" t="s">
        <v>15207</v>
      </c>
      <c r="J272" t="s">
        <v>15208</v>
      </c>
      <c r="K272" t="s">
        <v>14448</v>
      </c>
      <c r="L272" t="s">
        <v>14449</v>
      </c>
      <c r="M272" t="s">
        <v>546</v>
      </c>
      <c r="N272">
        <v>1.1000000000000001</v>
      </c>
      <c r="O272" t="s">
        <v>11504</v>
      </c>
      <c r="P272" t="s">
        <v>15021</v>
      </c>
    </row>
    <row r="273" spans="1:16">
      <c r="A273" t="s">
        <v>15209</v>
      </c>
      <c r="B273" t="s">
        <v>13404</v>
      </c>
      <c r="C273" t="s">
        <v>11888</v>
      </c>
      <c r="D273" t="s">
        <v>11159</v>
      </c>
      <c r="E273">
        <v>1.5</v>
      </c>
      <c r="F273">
        <v>2.4</v>
      </c>
      <c r="G273" t="s">
        <v>11741</v>
      </c>
      <c r="H273" t="s">
        <v>14452</v>
      </c>
      <c r="I273" t="s">
        <v>15210</v>
      </c>
      <c r="J273" t="s">
        <v>15208</v>
      </c>
      <c r="K273" t="s">
        <v>14455</v>
      </c>
      <c r="L273" t="s">
        <v>14456</v>
      </c>
      <c r="M273" t="s">
        <v>546</v>
      </c>
      <c r="N273">
        <v>1.1000000000000001</v>
      </c>
      <c r="O273" t="s">
        <v>11504</v>
      </c>
      <c r="P273" t="s">
        <v>15021</v>
      </c>
    </row>
    <row r="274" spans="1:16">
      <c r="A274" t="s">
        <v>15211</v>
      </c>
      <c r="B274" t="s">
        <v>13404</v>
      </c>
      <c r="C274" t="s">
        <v>11888</v>
      </c>
      <c r="D274" t="s">
        <v>11159</v>
      </c>
      <c r="E274">
        <v>2.5</v>
      </c>
      <c r="F274">
        <v>3.4</v>
      </c>
      <c r="G274" t="s">
        <v>14458</v>
      </c>
      <c r="H274" t="s">
        <v>14459</v>
      </c>
      <c r="I274" t="s">
        <v>15212</v>
      </c>
      <c r="J274" t="s">
        <v>15208</v>
      </c>
      <c r="K274" t="s">
        <v>14462</v>
      </c>
      <c r="L274" t="s">
        <v>14463</v>
      </c>
      <c r="M274" t="s">
        <v>546</v>
      </c>
      <c r="N274">
        <v>1.1000000000000001</v>
      </c>
      <c r="O274" t="s">
        <v>11504</v>
      </c>
      <c r="P274" t="s">
        <v>15021</v>
      </c>
    </row>
    <row r="275" spans="1:16">
      <c r="A275" t="s">
        <v>15213</v>
      </c>
      <c r="B275" t="s">
        <v>13404</v>
      </c>
      <c r="C275" t="s">
        <v>11888</v>
      </c>
      <c r="D275" t="s">
        <v>11159</v>
      </c>
      <c r="E275">
        <v>3.5</v>
      </c>
      <c r="F275">
        <v>4.2</v>
      </c>
      <c r="G275" t="s">
        <v>14465</v>
      </c>
      <c r="H275" t="s">
        <v>14466</v>
      </c>
      <c r="I275" t="s">
        <v>15214</v>
      </c>
      <c r="J275" t="s">
        <v>15208</v>
      </c>
      <c r="K275" t="s">
        <v>14469</v>
      </c>
      <c r="L275" t="s">
        <v>14470</v>
      </c>
      <c r="M275" t="s">
        <v>4242</v>
      </c>
      <c r="N275">
        <v>1.1000000000000001</v>
      </c>
      <c r="O275" t="s">
        <v>11504</v>
      </c>
      <c r="P275" t="s">
        <v>15021</v>
      </c>
    </row>
    <row r="276" spans="1:16">
      <c r="A276" t="s">
        <v>15215</v>
      </c>
      <c r="B276" t="s">
        <v>13404</v>
      </c>
      <c r="C276" t="s">
        <v>11888</v>
      </c>
      <c r="D276" t="s">
        <v>11159</v>
      </c>
      <c r="E276">
        <v>4.3</v>
      </c>
      <c r="F276">
        <v>5</v>
      </c>
      <c r="G276" t="s">
        <v>14472</v>
      </c>
      <c r="H276" t="s">
        <v>14473</v>
      </c>
      <c r="I276" t="s">
        <v>15216</v>
      </c>
      <c r="J276" t="s">
        <v>15208</v>
      </c>
      <c r="K276" t="s">
        <v>14476</v>
      </c>
      <c r="L276" t="s">
        <v>14477</v>
      </c>
      <c r="M276" t="s">
        <v>4242</v>
      </c>
      <c r="N276">
        <v>1.1000000000000001</v>
      </c>
      <c r="O276" t="s">
        <v>11504</v>
      </c>
      <c r="P276" t="s">
        <v>15021</v>
      </c>
    </row>
    <row r="277" spans="1:16">
      <c r="A277" t="s">
        <v>15217</v>
      </c>
      <c r="B277" t="s">
        <v>13407</v>
      </c>
      <c r="C277" t="s">
        <v>11888</v>
      </c>
      <c r="D277" t="s">
        <v>11159</v>
      </c>
      <c r="E277">
        <v>0</v>
      </c>
      <c r="F277">
        <v>1.4</v>
      </c>
      <c r="G277" t="s">
        <v>14444</v>
      </c>
      <c r="H277" t="s">
        <v>14445</v>
      </c>
      <c r="I277" t="s">
        <v>15218</v>
      </c>
      <c r="J277" t="s">
        <v>15219</v>
      </c>
      <c r="K277" t="s">
        <v>14448</v>
      </c>
      <c r="L277" t="s">
        <v>14449</v>
      </c>
      <c r="M277" t="s">
        <v>546</v>
      </c>
      <c r="N277">
        <v>1.1000000000000001</v>
      </c>
      <c r="O277" t="s">
        <v>11504</v>
      </c>
      <c r="P277" t="s">
        <v>15021</v>
      </c>
    </row>
    <row r="278" spans="1:16">
      <c r="A278" t="s">
        <v>15220</v>
      </c>
      <c r="B278" t="s">
        <v>13407</v>
      </c>
      <c r="C278" t="s">
        <v>11888</v>
      </c>
      <c r="D278" t="s">
        <v>11159</v>
      </c>
      <c r="E278">
        <v>1.5</v>
      </c>
      <c r="F278">
        <v>2.4</v>
      </c>
      <c r="G278" t="s">
        <v>11741</v>
      </c>
      <c r="H278" t="s">
        <v>14452</v>
      </c>
      <c r="I278" t="s">
        <v>15221</v>
      </c>
      <c r="J278" t="s">
        <v>15219</v>
      </c>
      <c r="K278" t="s">
        <v>14455</v>
      </c>
      <c r="L278" t="s">
        <v>14456</v>
      </c>
      <c r="M278" t="s">
        <v>546</v>
      </c>
      <c r="N278">
        <v>1.1000000000000001</v>
      </c>
      <c r="O278" t="s">
        <v>11504</v>
      </c>
      <c r="P278" t="s">
        <v>15021</v>
      </c>
    </row>
    <row r="279" spans="1:16">
      <c r="A279" t="s">
        <v>15222</v>
      </c>
      <c r="B279" t="s">
        <v>13407</v>
      </c>
      <c r="C279" t="s">
        <v>11888</v>
      </c>
      <c r="D279" t="s">
        <v>11159</v>
      </c>
      <c r="E279">
        <v>2.5</v>
      </c>
      <c r="F279">
        <v>3.4</v>
      </c>
      <c r="G279" t="s">
        <v>14458</v>
      </c>
      <c r="H279" t="s">
        <v>14459</v>
      </c>
      <c r="I279" t="s">
        <v>15223</v>
      </c>
      <c r="J279" t="s">
        <v>15219</v>
      </c>
      <c r="K279" t="s">
        <v>14462</v>
      </c>
      <c r="L279" t="s">
        <v>14463</v>
      </c>
      <c r="M279" t="s">
        <v>546</v>
      </c>
      <c r="N279">
        <v>1.1000000000000001</v>
      </c>
      <c r="O279" t="s">
        <v>11504</v>
      </c>
      <c r="P279" t="s">
        <v>15021</v>
      </c>
    </row>
    <row r="280" spans="1:16">
      <c r="A280" t="s">
        <v>15224</v>
      </c>
      <c r="B280" t="s">
        <v>13407</v>
      </c>
      <c r="C280" t="s">
        <v>11888</v>
      </c>
      <c r="D280" t="s">
        <v>11159</v>
      </c>
      <c r="E280">
        <v>3.5</v>
      </c>
      <c r="F280">
        <v>4.2</v>
      </c>
      <c r="G280" t="s">
        <v>14465</v>
      </c>
      <c r="H280" t="s">
        <v>14466</v>
      </c>
      <c r="I280" t="s">
        <v>15225</v>
      </c>
      <c r="J280" t="s">
        <v>15219</v>
      </c>
      <c r="K280" t="s">
        <v>14469</v>
      </c>
      <c r="L280" t="s">
        <v>14470</v>
      </c>
      <c r="M280" t="s">
        <v>4242</v>
      </c>
      <c r="N280">
        <v>1.1000000000000001</v>
      </c>
      <c r="O280" t="s">
        <v>11504</v>
      </c>
      <c r="P280" t="s">
        <v>15021</v>
      </c>
    </row>
    <row r="281" spans="1:16">
      <c r="A281" t="s">
        <v>15226</v>
      </c>
      <c r="B281" t="s">
        <v>13407</v>
      </c>
      <c r="C281" t="s">
        <v>11888</v>
      </c>
      <c r="D281" t="s">
        <v>11159</v>
      </c>
      <c r="E281">
        <v>4.3</v>
      </c>
      <c r="F281">
        <v>5</v>
      </c>
      <c r="G281" t="s">
        <v>14472</v>
      </c>
      <c r="H281" t="s">
        <v>14473</v>
      </c>
      <c r="I281" t="s">
        <v>15227</v>
      </c>
      <c r="J281" t="s">
        <v>15219</v>
      </c>
      <c r="K281" t="s">
        <v>14476</v>
      </c>
      <c r="L281" t="s">
        <v>14477</v>
      </c>
      <c r="M281" t="s">
        <v>4242</v>
      </c>
      <c r="N281">
        <v>1.1000000000000001</v>
      </c>
      <c r="O281" t="s">
        <v>11504</v>
      </c>
      <c r="P281" t="s">
        <v>15021</v>
      </c>
    </row>
    <row r="282" spans="1:16">
      <c r="A282" t="s">
        <v>15228</v>
      </c>
      <c r="B282" t="s">
        <v>13419</v>
      </c>
      <c r="C282" t="s">
        <v>11888</v>
      </c>
      <c r="D282" t="s">
        <v>11159</v>
      </c>
      <c r="E282">
        <v>0</v>
      </c>
      <c r="F282">
        <v>1.4</v>
      </c>
      <c r="G282" t="s">
        <v>14444</v>
      </c>
      <c r="H282" t="s">
        <v>14445</v>
      </c>
      <c r="I282" t="s">
        <v>15229</v>
      </c>
      <c r="J282" t="s">
        <v>15230</v>
      </c>
      <c r="K282" t="s">
        <v>14448</v>
      </c>
      <c r="L282" t="s">
        <v>14449</v>
      </c>
      <c r="M282" t="s">
        <v>546</v>
      </c>
      <c r="N282">
        <v>1.1000000000000001</v>
      </c>
      <c r="O282" t="s">
        <v>11504</v>
      </c>
      <c r="P282" t="s">
        <v>15021</v>
      </c>
    </row>
    <row r="283" spans="1:16">
      <c r="A283" t="s">
        <v>15231</v>
      </c>
      <c r="B283" t="s">
        <v>13419</v>
      </c>
      <c r="C283" t="s">
        <v>11888</v>
      </c>
      <c r="D283" t="s">
        <v>11159</v>
      </c>
      <c r="E283">
        <v>1.5</v>
      </c>
      <c r="F283">
        <v>2.4</v>
      </c>
      <c r="G283" t="s">
        <v>11741</v>
      </c>
      <c r="H283" t="s">
        <v>14452</v>
      </c>
      <c r="I283" t="s">
        <v>15232</v>
      </c>
      <c r="J283" t="s">
        <v>15230</v>
      </c>
      <c r="K283" t="s">
        <v>14455</v>
      </c>
      <c r="L283" t="s">
        <v>14456</v>
      </c>
      <c r="M283" t="s">
        <v>546</v>
      </c>
      <c r="N283">
        <v>1.1000000000000001</v>
      </c>
      <c r="O283" t="s">
        <v>11504</v>
      </c>
      <c r="P283" t="s">
        <v>15021</v>
      </c>
    </row>
    <row r="284" spans="1:16">
      <c r="A284" t="s">
        <v>15233</v>
      </c>
      <c r="B284" t="s">
        <v>13419</v>
      </c>
      <c r="C284" t="s">
        <v>11888</v>
      </c>
      <c r="D284" t="s">
        <v>11159</v>
      </c>
      <c r="E284">
        <v>2.5</v>
      </c>
      <c r="F284">
        <v>3.4</v>
      </c>
      <c r="G284" t="s">
        <v>14458</v>
      </c>
      <c r="H284" t="s">
        <v>14459</v>
      </c>
      <c r="I284" t="s">
        <v>15234</v>
      </c>
      <c r="J284" t="s">
        <v>15230</v>
      </c>
      <c r="K284" t="s">
        <v>14462</v>
      </c>
      <c r="L284" t="s">
        <v>14463</v>
      </c>
      <c r="M284" t="s">
        <v>546</v>
      </c>
      <c r="N284">
        <v>1.1000000000000001</v>
      </c>
      <c r="O284" t="s">
        <v>11504</v>
      </c>
      <c r="P284" t="s">
        <v>15021</v>
      </c>
    </row>
    <row r="285" spans="1:16">
      <c r="A285" t="s">
        <v>15235</v>
      </c>
      <c r="B285" t="s">
        <v>13419</v>
      </c>
      <c r="C285" t="s">
        <v>11888</v>
      </c>
      <c r="D285" t="s">
        <v>11159</v>
      </c>
      <c r="E285">
        <v>3.5</v>
      </c>
      <c r="F285">
        <v>4.2</v>
      </c>
      <c r="G285" t="s">
        <v>14465</v>
      </c>
      <c r="H285" t="s">
        <v>14466</v>
      </c>
      <c r="I285" t="s">
        <v>15236</v>
      </c>
      <c r="J285" t="s">
        <v>15230</v>
      </c>
      <c r="K285" t="s">
        <v>14469</v>
      </c>
      <c r="L285" t="s">
        <v>14470</v>
      </c>
      <c r="M285" t="s">
        <v>4242</v>
      </c>
      <c r="N285">
        <v>1.1000000000000001</v>
      </c>
      <c r="O285" t="s">
        <v>11504</v>
      </c>
      <c r="P285" t="s">
        <v>15021</v>
      </c>
    </row>
    <row r="286" spans="1:16">
      <c r="A286" t="s">
        <v>15237</v>
      </c>
      <c r="B286" t="s">
        <v>13419</v>
      </c>
      <c r="C286" t="s">
        <v>11888</v>
      </c>
      <c r="D286" t="s">
        <v>11159</v>
      </c>
      <c r="E286">
        <v>4.3</v>
      </c>
      <c r="F286">
        <v>5</v>
      </c>
      <c r="G286" t="s">
        <v>14472</v>
      </c>
      <c r="H286" t="s">
        <v>14473</v>
      </c>
      <c r="I286" t="s">
        <v>15238</v>
      </c>
      <c r="J286" t="s">
        <v>15230</v>
      </c>
      <c r="K286" t="s">
        <v>14476</v>
      </c>
      <c r="L286" t="s">
        <v>14477</v>
      </c>
      <c r="M286" t="s">
        <v>4242</v>
      </c>
      <c r="N286">
        <v>1.1000000000000001</v>
      </c>
      <c r="O286" t="s">
        <v>11504</v>
      </c>
      <c r="P286" t="s">
        <v>15021</v>
      </c>
    </row>
    <row r="287" spans="1:16">
      <c r="A287" t="s">
        <v>15239</v>
      </c>
      <c r="B287" t="s">
        <v>13422</v>
      </c>
      <c r="C287" t="s">
        <v>11888</v>
      </c>
      <c r="D287" t="s">
        <v>11159</v>
      </c>
      <c r="E287">
        <v>0</v>
      </c>
      <c r="F287">
        <v>1.4</v>
      </c>
      <c r="G287" t="s">
        <v>14444</v>
      </c>
      <c r="H287" t="s">
        <v>14445</v>
      </c>
      <c r="I287" t="s">
        <v>15240</v>
      </c>
      <c r="J287" t="s">
        <v>15241</v>
      </c>
      <c r="K287" t="s">
        <v>14448</v>
      </c>
      <c r="L287" t="s">
        <v>14449</v>
      </c>
      <c r="M287" t="s">
        <v>546</v>
      </c>
      <c r="N287">
        <v>1.1000000000000001</v>
      </c>
      <c r="O287" t="s">
        <v>11504</v>
      </c>
      <c r="P287" t="s">
        <v>15021</v>
      </c>
    </row>
    <row r="288" spans="1:16">
      <c r="A288" t="s">
        <v>15242</v>
      </c>
      <c r="B288" t="s">
        <v>13422</v>
      </c>
      <c r="C288" t="s">
        <v>11888</v>
      </c>
      <c r="D288" t="s">
        <v>11159</v>
      </c>
      <c r="E288">
        <v>1.5</v>
      </c>
      <c r="F288">
        <v>2.4</v>
      </c>
      <c r="G288" t="s">
        <v>11741</v>
      </c>
      <c r="H288" t="s">
        <v>14452</v>
      </c>
      <c r="I288" t="s">
        <v>15243</v>
      </c>
      <c r="J288" t="s">
        <v>15241</v>
      </c>
      <c r="K288" t="s">
        <v>14455</v>
      </c>
      <c r="L288" t="s">
        <v>14456</v>
      </c>
      <c r="M288" t="s">
        <v>546</v>
      </c>
      <c r="N288">
        <v>1.1000000000000001</v>
      </c>
      <c r="O288" t="s">
        <v>11504</v>
      </c>
      <c r="P288" t="s">
        <v>15021</v>
      </c>
    </row>
    <row r="289" spans="1:16">
      <c r="A289" t="s">
        <v>15244</v>
      </c>
      <c r="B289" t="s">
        <v>13422</v>
      </c>
      <c r="C289" t="s">
        <v>11888</v>
      </c>
      <c r="D289" t="s">
        <v>11159</v>
      </c>
      <c r="E289">
        <v>2.5</v>
      </c>
      <c r="F289">
        <v>3.4</v>
      </c>
      <c r="G289" t="s">
        <v>14458</v>
      </c>
      <c r="H289" t="s">
        <v>14459</v>
      </c>
      <c r="I289" t="s">
        <v>15245</v>
      </c>
      <c r="J289" t="s">
        <v>15241</v>
      </c>
      <c r="K289" t="s">
        <v>14462</v>
      </c>
      <c r="L289" t="s">
        <v>14463</v>
      </c>
      <c r="M289" t="s">
        <v>546</v>
      </c>
      <c r="N289">
        <v>1.1000000000000001</v>
      </c>
      <c r="O289" t="s">
        <v>11504</v>
      </c>
      <c r="P289" t="s">
        <v>15021</v>
      </c>
    </row>
    <row r="290" spans="1:16">
      <c r="A290" t="s">
        <v>15246</v>
      </c>
      <c r="B290" t="s">
        <v>13422</v>
      </c>
      <c r="C290" t="s">
        <v>11888</v>
      </c>
      <c r="D290" t="s">
        <v>11159</v>
      </c>
      <c r="E290">
        <v>3.5</v>
      </c>
      <c r="F290">
        <v>4.2</v>
      </c>
      <c r="G290" t="s">
        <v>14465</v>
      </c>
      <c r="H290" t="s">
        <v>14466</v>
      </c>
      <c r="I290" t="s">
        <v>15247</v>
      </c>
      <c r="J290" t="s">
        <v>15241</v>
      </c>
      <c r="K290" t="s">
        <v>14469</v>
      </c>
      <c r="L290" t="s">
        <v>14470</v>
      </c>
      <c r="M290" t="s">
        <v>4242</v>
      </c>
      <c r="N290">
        <v>1.1000000000000001</v>
      </c>
      <c r="O290" t="s">
        <v>11504</v>
      </c>
      <c r="P290" t="s">
        <v>15021</v>
      </c>
    </row>
    <row r="291" spans="1:16">
      <c r="A291" t="s">
        <v>15248</v>
      </c>
      <c r="B291" t="s">
        <v>13422</v>
      </c>
      <c r="C291" t="s">
        <v>11888</v>
      </c>
      <c r="D291" t="s">
        <v>11159</v>
      </c>
      <c r="E291">
        <v>4.3</v>
      </c>
      <c r="F291">
        <v>5</v>
      </c>
      <c r="G291" t="s">
        <v>14472</v>
      </c>
      <c r="H291" t="s">
        <v>14473</v>
      </c>
      <c r="I291" t="s">
        <v>15249</v>
      </c>
      <c r="J291" t="s">
        <v>15241</v>
      </c>
      <c r="K291" t="s">
        <v>14476</v>
      </c>
      <c r="L291" t="s">
        <v>14477</v>
      </c>
      <c r="M291" t="s">
        <v>4242</v>
      </c>
      <c r="N291">
        <v>1.1000000000000001</v>
      </c>
      <c r="O291" t="s">
        <v>11504</v>
      </c>
      <c r="P291" t="s">
        <v>15021</v>
      </c>
    </row>
    <row r="292" spans="1:16">
      <c r="A292" t="s">
        <v>15250</v>
      </c>
      <c r="B292" t="s">
        <v>13428</v>
      </c>
      <c r="C292" t="s">
        <v>11888</v>
      </c>
      <c r="D292" t="s">
        <v>11159</v>
      </c>
      <c r="E292">
        <v>0</v>
      </c>
      <c r="F292">
        <v>1.4</v>
      </c>
      <c r="G292" t="s">
        <v>14444</v>
      </c>
      <c r="H292" t="s">
        <v>14445</v>
      </c>
      <c r="I292" t="s">
        <v>15251</v>
      </c>
      <c r="J292" t="s">
        <v>15252</v>
      </c>
      <c r="K292" t="s">
        <v>14448</v>
      </c>
      <c r="L292" t="s">
        <v>14449</v>
      </c>
      <c r="M292" t="s">
        <v>546</v>
      </c>
      <c r="N292">
        <v>1.1000000000000001</v>
      </c>
      <c r="O292" t="s">
        <v>11504</v>
      </c>
      <c r="P292" t="s">
        <v>15021</v>
      </c>
    </row>
    <row r="293" spans="1:16">
      <c r="A293" t="s">
        <v>15253</v>
      </c>
      <c r="B293" t="s">
        <v>13428</v>
      </c>
      <c r="C293" t="s">
        <v>11888</v>
      </c>
      <c r="D293" t="s">
        <v>11159</v>
      </c>
      <c r="E293">
        <v>1.5</v>
      </c>
      <c r="F293">
        <v>2.4</v>
      </c>
      <c r="G293" t="s">
        <v>11741</v>
      </c>
      <c r="H293" t="s">
        <v>14452</v>
      </c>
      <c r="I293" t="s">
        <v>15254</v>
      </c>
      <c r="J293" t="s">
        <v>15252</v>
      </c>
      <c r="K293" t="s">
        <v>14455</v>
      </c>
      <c r="L293" t="s">
        <v>14456</v>
      </c>
      <c r="M293" t="s">
        <v>546</v>
      </c>
      <c r="N293">
        <v>1.1000000000000001</v>
      </c>
      <c r="O293" t="s">
        <v>11504</v>
      </c>
      <c r="P293" t="s">
        <v>15021</v>
      </c>
    </row>
    <row r="294" spans="1:16">
      <c r="A294" t="s">
        <v>15255</v>
      </c>
      <c r="B294" t="s">
        <v>13428</v>
      </c>
      <c r="C294" t="s">
        <v>11888</v>
      </c>
      <c r="D294" t="s">
        <v>11159</v>
      </c>
      <c r="E294">
        <v>2.5</v>
      </c>
      <c r="F294">
        <v>3.4</v>
      </c>
      <c r="G294" t="s">
        <v>14458</v>
      </c>
      <c r="H294" t="s">
        <v>14459</v>
      </c>
      <c r="I294" t="s">
        <v>15256</v>
      </c>
      <c r="J294" t="s">
        <v>15252</v>
      </c>
      <c r="K294" t="s">
        <v>14462</v>
      </c>
      <c r="L294" t="s">
        <v>14463</v>
      </c>
      <c r="M294" t="s">
        <v>546</v>
      </c>
      <c r="N294">
        <v>1.1000000000000001</v>
      </c>
      <c r="O294" t="s">
        <v>11504</v>
      </c>
      <c r="P294" t="s">
        <v>15021</v>
      </c>
    </row>
    <row r="295" spans="1:16">
      <c r="A295" t="s">
        <v>15257</v>
      </c>
      <c r="B295" t="s">
        <v>13428</v>
      </c>
      <c r="C295" t="s">
        <v>11888</v>
      </c>
      <c r="D295" t="s">
        <v>11159</v>
      </c>
      <c r="E295">
        <v>3.5</v>
      </c>
      <c r="F295">
        <v>4.2</v>
      </c>
      <c r="G295" t="s">
        <v>14465</v>
      </c>
      <c r="H295" t="s">
        <v>14466</v>
      </c>
      <c r="I295" t="s">
        <v>15258</v>
      </c>
      <c r="J295" t="s">
        <v>15252</v>
      </c>
      <c r="K295" t="s">
        <v>14469</v>
      </c>
      <c r="L295" t="s">
        <v>14470</v>
      </c>
      <c r="M295" t="s">
        <v>4242</v>
      </c>
      <c r="N295">
        <v>1.1000000000000001</v>
      </c>
      <c r="O295" t="s">
        <v>11504</v>
      </c>
      <c r="P295" t="s">
        <v>15021</v>
      </c>
    </row>
    <row r="296" spans="1:16">
      <c r="A296" t="s">
        <v>15259</v>
      </c>
      <c r="B296" t="s">
        <v>13428</v>
      </c>
      <c r="C296" t="s">
        <v>11888</v>
      </c>
      <c r="D296" t="s">
        <v>11159</v>
      </c>
      <c r="E296">
        <v>4.3</v>
      </c>
      <c r="F296">
        <v>5</v>
      </c>
      <c r="G296" t="s">
        <v>14472</v>
      </c>
      <c r="H296" t="s">
        <v>14473</v>
      </c>
      <c r="I296" t="s">
        <v>15260</v>
      </c>
      <c r="J296" t="s">
        <v>15252</v>
      </c>
      <c r="K296" t="s">
        <v>14476</v>
      </c>
      <c r="L296" t="s">
        <v>14477</v>
      </c>
      <c r="M296" t="s">
        <v>4242</v>
      </c>
      <c r="N296">
        <v>1.1000000000000001</v>
      </c>
      <c r="O296" t="s">
        <v>11504</v>
      </c>
      <c r="P296" t="s">
        <v>15021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L70"/>
  <sheetViews>
    <sheetView showGridLines="0" workbookViewId="0">
      <pane ySplit="1" topLeftCell="A2" activePane="bottomLeft" state="frozen"/>
      <selection pane="bottomLeft"/>
    </sheetView>
  </sheetViews>
  <sheetFormatPr defaultRowHeight="14.15"/>
  <cols>
    <col min="1" max="2" width="24" customWidth="1"/>
    <col min="3" max="4" width="28" customWidth="1"/>
    <col min="5" max="7" width="48" customWidth="1"/>
    <col min="8" max="10" width="42" customWidth="1"/>
    <col min="11" max="12" width="18" customWidth="1"/>
  </cols>
  <sheetData>
    <row r="1" spans="1:12">
      <c r="A1" t="s">
        <v>15261</v>
      </c>
      <c r="B1" t="s">
        <v>13334</v>
      </c>
      <c r="C1" t="s">
        <v>12519</v>
      </c>
      <c r="D1" t="s">
        <v>12520</v>
      </c>
      <c r="E1" t="s">
        <v>15262</v>
      </c>
      <c r="F1" t="s">
        <v>14439</v>
      </c>
      <c r="G1" t="s">
        <v>14440</v>
      </c>
      <c r="H1" t="s">
        <v>15263</v>
      </c>
      <c r="I1" t="s">
        <v>15264</v>
      </c>
      <c r="J1" t="s">
        <v>15265</v>
      </c>
      <c r="K1" t="s">
        <v>11627</v>
      </c>
      <c r="L1" t="s">
        <v>744</v>
      </c>
    </row>
    <row r="2" spans="1:12">
      <c r="A2" t="s">
        <v>15266</v>
      </c>
      <c r="B2" t="s">
        <v>13345</v>
      </c>
      <c r="C2" t="s">
        <v>11159</v>
      </c>
      <c r="D2" t="s">
        <v>11159</v>
      </c>
      <c r="E2" t="s">
        <v>15267</v>
      </c>
      <c r="F2" t="s">
        <v>15268</v>
      </c>
      <c r="G2" t="s">
        <v>15269</v>
      </c>
      <c r="H2" t="s">
        <v>14022</v>
      </c>
      <c r="J2" t="s">
        <v>14022</v>
      </c>
      <c r="K2" t="s">
        <v>11504</v>
      </c>
      <c r="L2" t="s">
        <v>15270</v>
      </c>
    </row>
    <row r="3" spans="1:12">
      <c r="A3" t="s">
        <v>15271</v>
      </c>
      <c r="B3" t="s">
        <v>13350</v>
      </c>
      <c r="C3" t="s">
        <v>11159</v>
      </c>
      <c r="D3" t="s">
        <v>11159</v>
      </c>
      <c r="E3" t="s">
        <v>15272</v>
      </c>
      <c r="F3" t="s">
        <v>15273</v>
      </c>
      <c r="G3" t="s">
        <v>15274</v>
      </c>
      <c r="H3" t="s">
        <v>14025</v>
      </c>
      <c r="J3" t="s">
        <v>14025</v>
      </c>
      <c r="K3" t="s">
        <v>11504</v>
      </c>
      <c r="L3" t="s">
        <v>15270</v>
      </c>
    </row>
    <row r="4" spans="1:12">
      <c r="A4" t="s">
        <v>15275</v>
      </c>
      <c r="B4" t="s">
        <v>13353</v>
      </c>
      <c r="C4" t="s">
        <v>11159</v>
      </c>
      <c r="D4" t="s">
        <v>11159</v>
      </c>
      <c r="E4" t="s">
        <v>15276</v>
      </c>
      <c r="F4" t="s">
        <v>15277</v>
      </c>
      <c r="G4" t="s">
        <v>15278</v>
      </c>
      <c r="H4" t="s">
        <v>14028</v>
      </c>
      <c r="J4" t="s">
        <v>14028</v>
      </c>
      <c r="K4" t="s">
        <v>11504</v>
      </c>
      <c r="L4" t="s">
        <v>15270</v>
      </c>
    </row>
    <row r="5" spans="1:12">
      <c r="A5" t="s">
        <v>15279</v>
      </c>
      <c r="B5" t="s">
        <v>13356</v>
      </c>
      <c r="C5" t="s">
        <v>11159</v>
      </c>
      <c r="D5" t="s">
        <v>11159</v>
      </c>
      <c r="E5" t="s">
        <v>15280</v>
      </c>
      <c r="F5" t="s">
        <v>15281</v>
      </c>
      <c r="G5" t="s">
        <v>15282</v>
      </c>
      <c r="H5" t="s">
        <v>2988</v>
      </c>
      <c r="J5" t="s">
        <v>2988</v>
      </c>
      <c r="K5" t="s">
        <v>11504</v>
      </c>
      <c r="L5" t="s">
        <v>15270</v>
      </c>
    </row>
    <row r="6" spans="1:12">
      <c r="A6" t="s">
        <v>15283</v>
      </c>
      <c r="B6" t="s">
        <v>13359</v>
      </c>
      <c r="C6" t="s">
        <v>11159</v>
      </c>
      <c r="D6" t="s">
        <v>11159</v>
      </c>
      <c r="E6" t="s">
        <v>15284</v>
      </c>
      <c r="F6" t="s">
        <v>15285</v>
      </c>
      <c r="G6" t="s">
        <v>15286</v>
      </c>
      <c r="H6" t="s">
        <v>14033</v>
      </c>
      <c r="J6" t="s">
        <v>14033</v>
      </c>
      <c r="K6" t="s">
        <v>11504</v>
      </c>
      <c r="L6" t="s">
        <v>15270</v>
      </c>
    </row>
    <row r="7" spans="1:12">
      <c r="A7" t="s">
        <v>15287</v>
      </c>
      <c r="B7" t="s">
        <v>13362</v>
      </c>
      <c r="C7" t="s">
        <v>11159</v>
      </c>
      <c r="D7" t="s">
        <v>11159</v>
      </c>
      <c r="E7" t="s">
        <v>15288</v>
      </c>
      <c r="F7" t="s">
        <v>15289</v>
      </c>
      <c r="G7" t="s">
        <v>15290</v>
      </c>
      <c r="H7" t="s">
        <v>14036</v>
      </c>
      <c r="J7" t="s">
        <v>14036</v>
      </c>
      <c r="K7" t="s">
        <v>11504</v>
      </c>
      <c r="L7" t="s">
        <v>15270</v>
      </c>
    </row>
    <row r="8" spans="1:12">
      <c r="A8" t="s">
        <v>15291</v>
      </c>
      <c r="B8" t="s">
        <v>13365</v>
      </c>
      <c r="C8" t="s">
        <v>11159</v>
      </c>
      <c r="D8" t="s">
        <v>11159</v>
      </c>
      <c r="E8" t="s">
        <v>15292</v>
      </c>
      <c r="F8" t="s">
        <v>15293</v>
      </c>
      <c r="G8" t="s">
        <v>15294</v>
      </c>
      <c r="H8" t="s">
        <v>14039</v>
      </c>
      <c r="J8" t="s">
        <v>14039</v>
      </c>
      <c r="K8" t="s">
        <v>11504</v>
      </c>
      <c r="L8" t="s">
        <v>15270</v>
      </c>
    </row>
    <row r="9" spans="1:12">
      <c r="A9" t="s">
        <v>15295</v>
      </c>
      <c r="B9" t="s">
        <v>13368</v>
      </c>
      <c r="C9" t="s">
        <v>11159</v>
      </c>
      <c r="D9" t="s">
        <v>11159</v>
      </c>
      <c r="E9" t="s">
        <v>15296</v>
      </c>
      <c r="F9" t="s">
        <v>15297</v>
      </c>
      <c r="G9" t="s">
        <v>15298</v>
      </c>
      <c r="H9" t="s">
        <v>14041</v>
      </c>
      <c r="J9" t="s">
        <v>14041</v>
      </c>
      <c r="K9" t="s">
        <v>11504</v>
      </c>
      <c r="L9" t="s">
        <v>15270</v>
      </c>
    </row>
    <row r="10" spans="1:12">
      <c r="A10" t="s">
        <v>15299</v>
      </c>
      <c r="B10" t="s">
        <v>13371</v>
      </c>
      <c r="C10" t="s">
        <v>11159</v>
      </c>
      <c r="D10" t="s">
        <v>11159</v>
      </c>
      <c r="E10" t="s">
        <v>15300</v>
      </c>
      <c r="F10" t="s">
        <v>15301</v>
      </c>
      <c r="G10" t="s">
        <v>15302</v>
      </c>
      <c r="H10" t="s">
        <v>2826</v>
      </c>
      <c r="J10" t="s">
        <v>2826</v>
      </c>
      <c r="K10" t="s">
        <v>11504</v>
      </c>
      <c r="L10" t="s">
        <v>15270</v>
      </c>
    </row>
    <row r="11" spans="1:12">
      <c r="A11" t="s">
        <v>15303</v>
      </c>
      <c r="B11" t="s">
        <v>13374</v>
      </c>
      <c r="C11" t="s">
        <v>11159</v>
      </c>
      <c r="D11" t="s">
        <v>11159</v>
      </c>
      <c r="E11" t="s">
        <v>15304</v>
      </c>
      <c r="F11" t="s">
        <v>15305</v>
      </c>
      <c r="G11" t="s">
        <v>15306</v>
      </c>
      <c r="H11" t="s">
        <v>14046</v>
      </c>
      <c r="J11" t="s">
        <v>14046</v>
      </c>
      <c r="K11" t="s">
        <v>11504</v>
      </c>
      <c r="L11" t="s">
        <v>15270</v>
      </c>
    </row>
    <row r="12" spans="1:12">
      <c r="A12" t="s">
        <v>15307</v>
      </c>
      <c r="B12" t="s">
        <v>13377</v>
      </c>
      <c r="C12" t="s">
        <v>11159</v>
      </c>
      <c r="D12" t="s">
        <v>11159</v>
      </c>
      <c r="E12" t="s">
        <v>15308</v>
      </c>
      <c r="F12" t="s">
        <v>15309</v>
      </c>
      <c r="G12" t="s">
        <v>15310</v>
      </c>
      <c r="H12" t="s">
        <v>14049</v>
      </c>
      <c r="J12" t="s">
        <v>14049</v>
      </c>
      <c r="K12" t="s">
        <v>11504</v>
      </c>
      <c r="L12" t="s">
        <v>15270</v>
      </c>
    </row>
    <row r="13" spans="1:12">
      <c r="A13" t="s">
        <v>15311</v>
      </c>
      <c r="B13" t="s">
        <v>13380</v>
      </c>
      <c r="C13" t="s">
        <v>11159</v>
      </c>
      <c r="D13" t="s">
        <v>11159</v>
      </c>
      <c r="E13" t="s">
        <v>15312</v>
      </c>
      <c r="F13" t="s">
        <v>15313</v>
      </c>
      <c r="G13" t="s">
        <v>15314</v>
      </c>
      <c r="H13" t="s">
        <v>14052</v>
      </c>
      <c r="J13" t="s">
        <v>14052</v>
      </c>
      <c r="K13" t="s">
        <v>11504</v>
      </c>
      <c r="L13" t="s">
        <v>15270</v>
      </c>
    </row>
    <row r="14" spans="1:12">
      <c r="A14" t="s">
        <v>15315</v>
      </c>
      <c r="B14" t="s">
        <v>13383</v>
      </c>
      <c r="C14" t="s">
        <v>11159</v>
      </c>
      <c r="D14" t="s">
        <v>11159</v>
      </c>
      <c r="E14" t="s">
        <v>15316</v>
      </c>
      <c r="F14" t="s">
        <v>15317</v>
      </c>
      <c r="G14" t="s">
        <v>15318</v>
      </c>
      <c r="H14" t="s">
        <v>14055</v>
      </c>
      <c r="J14" t="s">
        <v>14055</v>
      </c>
      <c r="K14" t="s">
        <v>11504</v>
      </c>
      <c r="L14" t="s">
        <v>15270</v>
      </c>
    </row>
    <row r="15" spans="1:12">
      <c r="A15" t="s">
        <v>15319</v>
      </c>
      <c r="B15" t="s">
        <v>13386</v>
      </c>
      <c r="C15" t="s">
        <v>11159</v>
      </c>
      <c r="D15" t="s">
        <v>11159</v>
      </c>
      <c r="E15" t="s">
        <v>15320</v>
      </c>
      <c r="F15" t="s">
        <v>15321</v>
      </c>
      <c r="G15" t="s">
        <v>15322</v>
      </c>
      <c r="H15" t="s">
        <v>690</v>
      </c>
      <c r="J15" t="s">
        <v>690</v>
      </c>
      <c r="K15" t="s">
        <v>11504</v>
      </c>
      <c r="L15" t="s">
        <v>15270</v>
      </c>
    </row>
    <row r="16" spans="1:12">
      <c r="A16" t="s">
        <v>15323</v>
      </c>
      <c r="B16" t="s">
        <v>13389</v>
      </c>
      <c r="C16" t="s">
        <v>11159</v>
      </c>
      <c r="D16" t="s">
        <v>11159</v>
      </c>
      <c r="E16" t="s">
        <v>15324</v>
      </c>
      <c r="F16" t="s">
        <v>15325</v>
      </c>
      <c r="G16" t="s">
        <v>15326</v>
      </c>
      <c r="H16" t="s">
        <v>14060</v>
      </c>
      <c r="J16" t="s">
        <v>14060</v>
      </c>
      <c r="K16" t="s">
        <v>11504</v>
      </c>
      <c r="L16" t="s">
        <v>15270</v>
      </c>
    </row>
    <row r="17" spans="1:12">
      <c r="A17" t="s">
        <v>15327</v>
      </c>
      <c r="B17" t="s">
        <v>13392</v>
      </c>
      <c r="C17" t="s">
        <v>11159</v>
      </c>
      <c r="D17" t="s">
        <v>11159</v>
      </c>
      <c r="E17" t="s">
        <v>15328</v>
      </c>
      <c r="F17" t="s">
        <v>15329</v>
      </c>
      <c r="G17" t="s">
        <v>15330</v>
      </c>
      <c r="H17" t="s">
        <v>11869</v>
      </c>
      <c r="J17" t="s">
        <v>11869</v>
      </c>
      <c r="K17" t="s">
        <v>11504</v>
      </c>
      <c r="L17" t="s">
        <v>15270</v>
      </c>
    </row>
    <row r="18" spans="1:12">
      <c r="A18" t="s">
        <v>15331</v>
      </c>
      <c r="B18" t="s">
        <v>13395</v>
      </c>
      <c r="C18" t="s">
        <v>11159</v>
      </c>
      <c r="D18" t="s">
        <v>11159</v>
      </c>
      <c r="E18" t="s">
        <v>15332</v>
      </c>
      <c r="F18" t="s">
        <v>15333</v>
      </c>
      <c r="G18" t="s">
        <v>15334</v>
      </c>
      <c r="H18" t="s">
        <v>14065</v>
      </c>
      <c r="J18" t="s">
        <v>14065</v>
      </c>
      <c r="K18" t="s">
        <v>11504</v>
      </c>
      <c r="L18" t="s">
        <v>15270</v>
      </c>
    </row>
    <row r="19" spans="1:12">
      <c r="A19" t="s">
        <v>15335</v>
      </c>
      <c r="B19" t="s">
        <v>13398</v>
      </c>
      <c r="C19" t="s">
        <v>11159</v>
      </c>
      <c r="D19" t="s">
        <v>11159</v>
      </c>
      <c r="E19" t="s">
        <v>15336</v>
      </c>
      <c r="F19" t="s">
        <v>15337</v>
      </c>
      <c r="G19" t="s">
        <v>15338</v>
      </c>
      <c r="H19" t="s">
        <v>14068</v>
      </c>
      <c r="J19" t="s">
        <v>14068</v>
      </c>
      <c r="K19" t="s">
        <v>11504</v>
      </c>
      <c r="L19" t="s">
        <v>15270</v>
      </c>
    </row>
    <row r="20" spans="1:12">
      <c r="A20" t="s">
        <v>15339</v>
      </c>
      <c r="B20" t="s">
        <v>13401</v>
      </c>
      <c r="C20" t="s">
        <v>11159</v>
      </c>
      <c r="D20" t="s">
        <v>11159</v>
      </c>
      <c r="E20" t="s">
        <v>15340</v>
      </c>
      <c r="F20" t="s">
        <v>15341</v>
      </c>
      <c r="G20" t="s">
        <v>15342</v>
      </c>
      <c r="H20" t="s">
        <v>14071</v>
      </c>
      <c r="J20" t="s">
        <v>14071</v>
      </c>
      <c r="K20" t="s">
        <v>11504</v>
      </c>
      <c r="L20" t="s">
        <v>15270</v>
      </c>
    </row>
    <row r="21" spans="1:12">
      <c r="A21" t="s">
        <v>15343</v>
      </c>
      <c r="B21" t="s">
        <v>13404</v>
      </c>
      <c r="C21" t="s">
        <v>11159</v>
      </c>
      <c r="D21" t="s">
        <v>11159</v>
      </c>
      <c r="E21" t="s">
        <v>15344</v>
      </c>
      <c r="F21" t="s">
        <v>15345</v>
      </c>
      <c r="G21" t="s">
        <v>15346</v>
      </c>
      <c r="H21" t="s">
        <v>14074</v>
      </c>
      <c r="J21" t="s">
        <v>14074</v>
      </c>
      <c r="K21" t="s">
        <v>11504</v>
      </c>
      <c r="L21" t="s">
        <v>15270</v>
      </c>
    </row>
    <row r="22" spans="1:12">
      <c r="A22" t="s">
        <v>15347</v>
      </c>
      <c r="B22" t="s">
        <v>13407</v>
      </c>
      <c r="C22" t="s">
        <v>11159</v>
      </c>
      <c r="D22" t="s">
        <v>11159</v>
      </c>
      <c r="E22" t="s">
        <v>15348</v>
      </c>
      <c r="F22" t="s">
        <v>15349</v>
      </c>
      <c r="G22" t="s">
        <v>15350</v>
      </c>
      <c r="H22" t="s">
        <v>2174</v>
      </c>
      <c r="J22" t="s">
        <v>2174</v>
      </c>
      <c r="K22" t="s">
        <v>11504</v>
      </c>
      <c r="L22" t="s">
        <v>15270</v>
      </c>
    </row>
    <row r="23" spans="1:12">
      <c r="A23" t="s">
        <v>15351</v>
      </c>
      <c r="B23" t="s">
        <v>13410</v>
      </c>
      <c r="C23" t="s">
        <v>11159</v>
      </c>
      <c r="D23" t="s">
        <v>11159</v>
      </c>
      <c r="E23" t="s">
        <v>15352</v>
      </c>
      <c r="F23" t="s">
        <v>15353</v>
      </c>
      <c r="G23" t="s">
        <v>15354</v>
      </c>
      <c r="H23" t="s">
        <v>12898</v>
      </c>
      <c r="J23" t="s">
        <v>12898</v>
      </c>
      <c r="K23" t="s">
        <v>11504</v>
      </c>
      <c r="L23" t="s">
        <v>15270</v>
      </c>
    </row>
    <row r="24" spans="1:12">
      <c r="A24" t="s">
        <v>15355</v>
      </c>
      <c r="B24" t="s">
        <v>13413</v>
      </c>
      <c r="C24" t="s">
        <v>11159</v>
      </c>
      <c r="D24" t="s">
        <v>11159</v>
      </c>
      <c r="E24" t="s">
        <v>15356</v>
      </c>
      <c r="F24" t="s">
        <v>15357</v>
      </c>
      <c r="G24" t="s">
        <v>15358</v>
      </c>
      <c r="H24" t="s">
        <v>14081</v>
      </c>
      <c r="J24" t="s">
        <v>14081</v>
      </c>
      <c r="K24" t="s">
        <v>11504</v>
      </c>
      <c r="L24" t="s">
        <v>15270</v>
      </c>
    </row>
    <row r="25" spans="1:12">
      <c r="A25" t="s">
        <v>15359</v>
      </c>
      <c r="B25" t="s">
        <v>13416</v>
      </c>
      <c r="C25" t="s">
        <v>11159</v>
      </c>
      <c r="D25" t="s">
        <v>11159</v>
      </c>
      <c r="E25" t="s">
        <v>15360</v>
      </c>
      <c r="F25" t="s">
        <v>15361</v>
      </c>
      <c r="G25" t="s">
        <v>15362</v>
      </c>
      <c r="H25" t="s">
        <v>14084</v>
      </c>
      <c r="J25" t="s">
        <v>14084</v>
      </c>
      <c r="K25" t="s">
        <v>11504</v>
      </c>
      <c r="L25" t="s">
        <v>15270</v>
      </c>
    </row>
    <row r="26" spans="1:12">
      <c r="A26" t="s">
        <v>15363</v>
      </c>
      <c r="B26" t="s">
        <v>13419</v>
      </c>
      <c r="C26" t="s">
        <v>11159</v>
      </c>
      <c r="D26" t="s">
        <v>11159</v>
      </c>
      <c r="E26" t="s">
        <v>15364</v>
      </c>
      <c r="F26" t="s">
        <v>15365</v>
      </c>
      <c r="G26" t="s">
        <v>15366</v>
      </c>
      <c r="H26" t="s">
        <v>14087</v>
      </c>
      <c r="J26" t="s">
        <v>14087</v>
      </c>
      <c r="K26" t="s">
        <v>11504</v>
      </c>
      <c r="L26" t="s">
        <v>15270</v>
      </c>
    </row>
    <row r="27" spans="1:12">
      <c r="A27" t="s">
        <v>15367</v>
      </c>
      <c r="B27" t="s">
        <v>13422</v>
      </c>
      <c r="C27" t="s">
        <v>11159</v>
      </c>
      <c r="D27" t="s">
        <v>11159</v>
      </c>
      <c r="E27" t="s">
        <v>15368</v>
      </c>
      <c r="F27" t="s">
        <v>15369</v>
      </c>
      <c r="G27" t="s">
        <v>15370</v>
      </c>
      <c r="H27" t="s">
        <v>14090</v>
      </c>
      <c r="J27" t="s">
        <v>14090</v>
      </c>
      <c r="K27" t="s">
        <v>11504</v>
      </c>
      <c r="L27" t="s">
        <v>15270</v>
      </c>
    </row>
    <row r="28" spans="1:12">
      <c r="A28" t="s">
        <v>15371</v>
      </c>
      <c r="B28" t="s">
        <v>13425</v>
      </c>
      <c r="C28" t="s">
        <v>11159</v>
      </c>
      <c r="D28" t="s">
        <v>11159</v>
      </c>
      <c r="E28" t="s">
        <v>15372</v>
      </c>
      <c r="F28" t="s">
        <v>15373</v>
      </c>
      <c r="G28" t="s">
        <v>15374</v>
      </c>
      <c r="H28" t="s">
        <v>14092</v>
      </c>
      <c r="J28" t="s">
        <v>14092</v>
      </c>
      <c r="K28" t="s">
        <v>11504</v>
      </c>
      <c r="L28" t="s">
        <v>15270</v>
      </c>
    </row>
    <row r="29" spans="1:12">
      <c r="A29" t="s">
        <v>15375</v>
      </c>
      <c r="B29" t="s">
        <v>13428</v>
      </c>
      <c r="C29" t="s">
        <v>11159</v>
      </c>
      <c r="D29" t="s">
        <v>11159</v>
      </c>
      <c r="E29" t="s">
        <v>15376</v>
      </c>
      <c r="F29" t="s">
        <v>15377</v>
      </c>
      <c r="G29" t="s">
        <v>15378</v>
      </c>
      <c r="H29" t="s">
        <v>14095</v>
      </c>
      <c r="J29" t="s">
        <v>14095</v>
      </c>
      <c r="K29" t="s">
        <v>11504</v>
      </c>
      <c r="L29" t="s">
        <v>15270</v>
      </c>
    </row>
    <row r="30" spans="1:12">
      <c r="A30" t="s">
        <v>15379</v>
      </c>
      <c r="B30" t="s">
        <v>13431</v>
      </c>
      <c r="C30" t="s">
        <v>11159</v>
      </c>
      <c r="D30" t="s">
        <v>11159</v>
      </c>
      <c r="E30" t="s">
        <v>15380</v>
      </c>
      <c r="F30" t="s">
        <v>15381</v>
      </c>
      <c r="G30" t="s">
        <v>15382</v>
      </c>
      <c r="H30" t="s">
        <v>619</v>
      </c>
      <c r="J30" t="s">
        <v>619</v>
      </c>
      <c r="K30" t="s">
        <v>11504</v>
      </c>
      <c r="L30" t="s">
        <v>15270</v>
      </c>
    </row>
    <row r="31" spans="1:12">
      <c r="A31" t="s">
        <v>15383</v>
      </c>
      <c r="B31" t="s">
        <v>13434</v>
      </c>
      <c r="C31" t="s">
        <v>11159</v>
      </c>
      <c r="D31" t="s">
        <v>11159</v>
      </c>
      <c r="E31" t="s">
        <v>15384</v>
      </c>
      <c r="F31" t="s">
        <v>15385</v>
      </c>
      <c r="G31" t="s">
        <v>15386</v>
      </c>
      <c r="H31" t="s">
        <v>14100</v>
      </c>
      <c r="J31" t="s">
        <v>14100</v>
      </c>
      <c r="K31" t="s">
        <v>11504</v>
      </c>
      <c r="L31" t="s">
        <v>15270</v>
      </c>
    </row>
    <row r="32" spans="1:12">
      <c r="A32" t="s">
        <v>15387</v>
      </c>
      <c r="B32" t="s">
        <v>13437</v>
      </c>
      <c r="C32" t="s">
        <v>11159</v>
      </c>
      <c r="D32" t="s">
        <v>11159</v>
      </c>
      <c r="E32" t="s">
        <v>15388</v>
      </c>
      <c r="F32" t="s">
        <v>15389</v>
      </c>
      <c r="G32" t="s">
        <v>15390</v>
      </c>
      <c r="H32" t="s">
        <v>14103</v>
      </c>
      <c r="J32" t="s">
        <v>14103</v>
      </c>
      <c r="K32" t="s">
        <v>11504</v>
      </c>
      <c r="L32" t="s">
        <v>15270</v>
      </c>
    </row>
    <row r="33" spans="1:12">
      <c r="A33" t="s">
        <v>15391</v>
      </c>
      <c r="B33" t="s">
        <v>13440</v>
      </c>
      <c r="C33" t="s">
        <v>11159</v>
      </c>
      <c r="D33" t="s">
        <v>11159</v>
      </c>
      <c r="E33" t="s">
        <v>15392</v>
      </c>
      <c r="F33" t="s">
        <v>15393</v>
      </c>
      <c r="G33" t="s">
        <v>15394</v>
      </c>
      <c r="H33" t="s">
        <v>14106</v>
      </c>
      <c r="J33" t="s">
        <v>14106</v>
      </c>
      <c r="K33" t="s">
        <v>11504</v>
      </c>
      <c r="L33" t="s">
        <v>15270</v>
      </c>
    </row>
    <row r="34" spans="1:12">
      <c r="A34" t="s">
        <v>15395</v>
      </c>
      <c r="B34" t="s">
        <v>13443</v>
      </c>
      <c r="C34" t="s">
        <v>11159</v>
      </c>
      <c r="D34" t="s">
        <v>11159</v>
      </c>
      <c r="E34" t="s">
        <v>15396</v>
      </c>
      <c r="F34" t="s">
        <v>15397</v>
      </c>
      <c r="G34" t="s">
        <v>15398</v>
      </c>
      <c r="H34" t="s">
        <v>14109</v>
      </c>
      <c r="J34" t="s">
        <v>14109</v>
      </c>
      <c r="K34" t="s">
        <v>11504</v>
      </c>
      <c r="L34" t="s">
        <v>15270</v>
      </c>
    </row>
    <row r="35" spans="1:12">
      <c r="A35" t="s">
        <v>15399</v>
      </c>
      <c r="B35" t="s">
        <v>13446</v>
      </c>
      <c r="C35" t="s">
        <v>11159</v>
      </c>
      <c r="D35" t="s">
        <v>11159</v>
      </c>
      <c r="E35" t="s">
        <v>15400</v>
      </c>
      <c r="F35" t="s">
        <v>15401</v>
      </c>
      <c r="G35" t="s">
        <v>15402</v>
      </c>
      <c r="H35" t="s">
        <v>14112</v>
      </c>
      <c r="J35" t="s">
        <v>14112</v>
      </c>
      <c r="K35" t="s">
        <v>11504</v>
      </c>
      <c r="L35" t="s">
        <v>15270</v>
      </c>
    </row>
    <row r="36" spans="1:12">
      <c r="A36" t="s">
        <v>15403</v>
      </c>
      <c r="B36" t="s">
        <v>13449</v>
      </c>
      <c r="C36" t="s">
        <v>11159</v>
      </c>
      <c r="D36" t="s">
        <v>11159</v>
      </c>
      <c r="E36" t="s">
        <v>15404</v>
      </c>
      <c r="F36" t="s">
        <v>15405</v>
      </c>
      <c r="G36" t="s">
        <v>15406</v>
      </c>
      <c r="H36" t="s">
        <v>14115</v>
      </c>
      <c r="J36" t="s">
        <v>14115</v>
      </c>
      <c r="K36" t="s">
        <v>11504</v>
      </c>
      <c r="L36" t="s">
        <v>15270</v>
      </c>
    </row>
    <row r="37" spans="1:12">
      <c r="A37" t="s">
        <v>15407</v>
      </c>
      <c r="B37" t="s">
        <v>13452</v>
      </c>
      <c r="C37" t="s">
        <v>11159</v>
      </c>
      <c r="D37" t="s">
        <v>11159</v>
      </c>
      <c r="E37" t="s">
        <v>15408</v>
      </c>
      <c r="F37" t="s">
        <v>15409</v>
      </c>
      <c r="G37" t="s">
        <v>15410</v>
      </c>
      <c r="H37" t="s">
        <v>14118</v>
      </c>
      <c r="J37" t="s">
        <v>14118</v>
      </c>
      <c r="K37" t="s">
        <v>11504</v>
      </c>
      <c r="L37" t="s">
        <v>15270</v>
      </c>
    </row>
    <row r="38" spans="1:12">
      <c r="A38" t="s">
        <v>15411</v>
      </c>
      <c r="B38" t="s">
        <v>12266</v>
      </c>
      <c r="C38" t="s">
        <v>11159</v>
      </c>
      <c r="D38" t="s">
        <v>11159</v>
      </c>
      <c r="E38" t="s">
        <v>15412</v>
      </c>
      <c r="F38" t="s">
        <v>15413</v>
      </c>
      <c r="G38" t="s">
        <v>15414</v>
      </c>
      <c r="H38" t="s">
        <v>14121</v>
      </c>
      <c r="J38" t="s">
        <v>14121</v>
      </c>
      <c r="K38" t="s">
        <v>11504</v>
      </c>
      <c r="L38" t="s">
        <v>15270</v>
      </c>
    </row>
    <row r="39" spans="1:12">
      <c r="A39" t="s">
        <v>15415</v>
      </c>
      <c r="B39" t="s">
        <v>13345</v>
      </c>
      <c r="C39" t="s">
        <v>10968</v>
      </c>
      <c r="D39" t="s">
        <v>11159</v>
      </c>
      <c r="E39" t="s">
        <v>15416</v>
      </c>
      <c r="F39" t="s">
        <v>15417</v>
      </c>
      <c r="G39" t="s">
        <v>15418</v>
      </c>
      <c r="H39" t="s">
        <v>15419</v>
      </c>
      <c r="I39" t="s">
        <v>15420</v>
      </c>
      <c r="J39" t="s">
        <v>15421</v>
      </c>
      <c r="K39" t="s">
        <v>11504</v>
      </c>
      <c r="L39" t="s">
        <v>15422</v>
      </c>
    </row>
    <row r="40" spans="1:12">
      <c r="A40" t="s">
        <v>15423</v>
      </c>
      <c r="B40" t="s">
        <v>13350</v>
      </c>
      <c r="C40" t="s">
        <v>10968</v>
      </c>
      <c r="D40" t="s">
        <v>11159</v>
      </c>
      <c r="E40" t="s">
        <v>15424</v>
      </c>
      <c r="F40" t="s">
        <v>15425</v>
      </c>
      <c r="G40" t="s">
        <v>15426</v>
      </c>
      <c r="H40" t="s">
        <v>15427</v>
      </c>
      <c r="I40" t="s">
        <v>15420</v>
      </c>
      <c r="J40" t="s">
        <v>15428</v>
      </c>
      <c r="K40" t="s">
        <v>11504</v>
      </c>
      <c r="L40" t="s">
        <v>15422</v>
      </c>
    </row>
    <row r="41" spans="1:12">
      <c r="A41" t="s">
        <v>15429</v>
      </c>
      <c r="B41" t="s">
        <v>13353</v>
      </c>
      <c r="C41" t="s">
        <v>10968</v>
      </c>
      <c r="D41" t="s">
        <v>11159</v>
      </c>
      <c r="E41" t="s">
        <v>15430</v>
      </c>
      <c r="F41" t="s">
        <v>15431</v>
      </c>
      <c r="G41" t="s">
        <v>15432</v>
      </c>
      <c r="H41" t="s">
        <v>15433</v>
      </c>
      <c r="I41" t="s">
        <v>15420</v>
      </c>
      <c r="J41" t="s">
        <v>15434</v>
      </c>
      <c r="K41" t="s">
        <v>11504</v>
      </c>
      <c r="L41" t="s">
        <v>15422</v>
      </c>
    </row>
    <row r="42" spans="1:12">
      <c r="A42" t="s">
        <v>15435</v>
      </c>
      <c r="B42" t="s">
        <v>13377</v>
      </c>
      <c r="C42" t="s">
        <v>10968</v>
      </c>
      <c r="D42" t="s">
        <v>11159</v>
      </c>
      <c r="E42" t="s">
        <v>15436</v>
      </c>
      <c r="F42" t="s">
        <v>15437</v>
      </c>
      <c r="G42" t="s">
        <v>15054</v>
      </c>
      <c r="H42" t="s">
        <v>15438</v>
      </c>
      <c r="I42" t="s">
        <v>15420</v>
      </c>
      <c r="J42" t="s">
        <v>15439</v>
      </c>
      <c r="K42" t="s">
        <v>11504</v>
      </c>
      <c r="L42" t="s">
        <v>15422</v>
      </c>
    </row>
    <row r="43" spans="1:12">
      <c r="A43" t="s">
        <v>15440</v>
      </c>
      <c r="B43" t="s">
        <v>13383</v>
      </c>
      <c r="C43" t="s">
        <v>10968</v>
      </c>
      <c r="D43" t="s">
        <v>11159</v>
      </c>
      <c r="E43" t="s">
        <v>15441</v>
      </c>
      <c r="F43" t="s">
        <v>15442</v>
      </c>
      <c r="G43" t="s">
        <v>15443</v>
      </c>
      <c r="H43" t="s">
        <v>15444</v>
      </c>
      <c r="I43" t="s">
        <v>15420</v>
      </c>
      <c r="J43" t="s">
        <v>15445</v>
      </c>
      <c r="K43" t="s">
        <v>11504</v>
      </c>
      <c r="L43" t="s">
        <v>15422</v>
      </c>
    </row>
    <row r="44" spans="1:12">
      <c r="A44" t="s">
        <v>15446</v>
      </c>
      <c r="B44" t="s">
        <v>13452</v>
      </c>
      <c r="C44" t="s">
        <v>10968</v>
      </c>
      <c r="D44" t="s">
        <v>11159</v>
      </c>
      <c r="E44" t="s">
        <v>15447</v>
      </c>
      <c r="F44" t="s">
        <v>15448</v>
      </c>
      <c r="G44" t="s">
        <v>15449</v>
      </c>
      <c r="H44" t="s">
        <v>15450</v>
      </c>
      <c r="I44" t="s">
        <v>15420</v>
      </c>
      <c r="J44" t="s">
        <v>15451</v>
      </c>
      <c r="K44" t="s">
        <v>11504</v>
      </c>
      <c r="L44" t="s">
        <v>15422</v>
      </c>
    </row>
    <row r="45" spans="1:12">
      <c r="A45" t="s">
        <v>15452</v>
      </c>
      <c r="B45" t="s">
        <v>13440</v>
      </c>
      <c r="C45" t="s">
        <v>10968</v>
      </c>
      <c r="D45" t="s">
        <v>11159</v>
      </c>
      <c r="E45" t="s">
        <v>15453</v>
      </c>
      <c r="F45" t="s">
        <v>15454</v>
      </c>
      <c r="G45" t="s">
        <v>15455</v>
      </c>
      <c r="H45" t="s">
        <v>15456</v>
      </c>
      <c r="I45" t="s">
        <v>15457</v>
      </c>
      <c r="J45" t="s">
        <v>15458</v>
      </c>
      <c r="K45" t="s">
        <v>11504</v>
      </c>
      <c r="L45" t="s">
        <v>15422</v>
      </c>
    </row>
    <row r="46" spans="1:12">
      <c r="A46" t="s">
        <v>15459</v>
      </c>
      <c r="B46" t="s">
        <v>13416</v>
      </c>
      <c r="C46" t="s">
        <v>11887</v>
      </c>
      <c r="D46" t="s">
        <v>11159</v>
      </c>
      <c r="E46" t="s">
        <v>15460</v>
      </c>
      <c r="F46" t="s">
        <v>15461</v>
      </c>
      <c r="G46" t="s">
        <v>15076</v>
      </c>
      <c r="H46" t="s">
        <v>15462</v>
      </c>
      <c r="I46" t="s">
        <v>15463</v>
      </c>
      <c r="J46" t="s">
        <v>15464</v>
      </c>
      <c r="K46" t="s">
        <v>11504</v>
      </c>
      <c r="L46" t="s">
        <v>15422</v>
      </c>
    </row>
    <row r="47" spans="1:12">
      <c r="A47" t="s">
        <v>15465</v>
      </c>
      <c r="B47" t="s">
        <v>13434</v>
      </c>
      <c r="C47" t="s">
        <v>11887</v>
      </c>
      <c r="D47" t="s">
        <v>11159</v>
      </c>
      <c r="E47" t="s">
        <v>15466</v>
      </c>
      <c r="F47" t="s">
        <v>15467</v>
      </c>
      <c r="G47" t="s">
        <v>15468</v>
      </c>
      <c r="H47" t="s">
        <v>15469</v>
      </c>
      <c r="I47" t="s">
        <v>15470</v>
      </c>
      <c r="J47" t="s">
        <v>15471</v>
      </c>
      <c r="K47" t="s">
        <v>11504</v>
      </c>
      <c r="L47" t="s">
        <v>15422</v>
      </c>
    </row>
    <row r="48" spans="1:12">
      <c r="A48" t="s">
        <v>15472</v>
      </c>
      <c r="B48" t="s">
        <v>13437</v>
      </c>
      <c r="C48" t="s">
        <v>11887</v>
      </c>
      <c r="D48" t="s">
        <v>11159</v>
      </c>
      <c r="E48" t="s">
        <v>15473</v>
      </c>
      <c r="F48" t="s">
        <v>15474</v>
      </c>
      <c r="G48" t="s">
        <v>15475</v>
      </c>
      <c r="H48" t="s">
        <v>15476</v>
      </c>
      <c r="I48" t="s">
        <v>15470</v>
      </c>
      <c r="J48" t="s">
        <v>15477</v>
      </c>
      <c r="K48" t="s">
        <v>11504</v>
      </c>
      <c r="L48" t="s">
        <v>15422</v>
      </c>
    </row>
    <row r="49" spans="1:12">
      <c r="A49" t="s">
        <v>15478</v>
      </c>
      <c r="B49" t="s">
        <v>13345</v>
      </c>
      <c r="C49" t="s">
        <v>11887</v>
      </c>
      <c r="D49" t="s">
        <v>11159</v>
      </c>
      <c r="E49" t="s">
        <v>15479</v>
      </c>
      <c r="F49" t="s">
        <v>15480</v>
      </c>
      <c r="G49" t="s">
        <v>15481</v>
      </c>
      <c r="H49" t="s">
        <v>15482</v>
      </c>
      <c r="I49" t="s">
        <v>15470</v>
      </c>
      <c r="J49" t="s">
        <v>15483</v>
      </c>
      <c r="K49" t="s">
        <v>11504</v>
      </c>
      <c r="L49" t="s">
        <v>15422</v>
      </c>
    </row>
    <row r="50" spans="1:12">
      <c r="A50" t="s">
        <v>15484</v>
      </c>
      <c r="B50" t="s">
        <v>13356</v>
      </c>
      <c r="C50" t="s">
        <v>11887</v>
      </c>
      <c r="D50" t="s">
        <v>11159</v>
      </c>
      <c r="E50" t="s">
        <v>15485</v>
      </c>
      <c r="F50" t="s">
        <v>15486</v>
      </c>
      <c r="G50" t="s">
        <v>15487</v>
      </c>
      <c r="H50" t="s">
        <v>15488</v>
      </c>
      <c r="I50" t="s">
        <v>15470</v>
      </c>
      <c r="J50" t="s">
        <v>15489</v>
      </c>
      <c r="K50" t="s">
        <v>11504</v>
      </c>
      <c r="L50" t="s">
        <v>15422</v>
      </c>
    </row>
    <row r="51" spans="1:12">
      <c r="A51" t="s">
        <v>15490</v>
      </c>
      <c r="B51" t="s">
        <v>13386</v>
      </c>
      <c r="C51" t="s">
        <v>10999</v>
      </c>
      <c r="D51" t="s">
        <v>11159</v>
      </c>
      <c r="E51" t="s">
        <v>15491</v>
      </c>
      <c r="F51" t="s">
        <v>15492</v>
      </c>
      <c r="G51" t="s">
        <v>15493</v>
      </c>
      <c r="H51" t="s">
        <v>15494</v>
      </c>
      <c r="I51" t="s">
        <v>15495</v>
      </c>
      <c r="J51" t="s">
        <v>15496</v>
      </c>
      <c r="K51" t="s">
        <v>11504</v>
      </c>
      <c r="L51" t="s">
        <v>15422</v>
      </c>
    </row>
    <row r="52" spans="1:12">
      <c r="A52" t="s">
        <v>15497</v>
      </c>
      <c r="B52" t="s">
        <v>13389</v>
      </c>
      <c r="C52" t="s">
        <v>10999</v>
      </c>
      <c r="D52" t="s">
        <v>11159</v>
      </c>
      <c r="E52" t="s">
        <v>15498</v>
      </c>
      <c r="F52" t="s">
        <v>15499</v>
      </c>
      <c r="G52" t="s">
        <v>15131</v>
      </c>
      <c r="H52" t="s">
        <v>15500</v>
      </c>
      <c r="I52" t="s">
        <v>15495</v>
      </c>
      <c r="J52" t="s">
        <v>15501</v>
      </c>
      <c r="K52" t="s">
        <v>11504</v>
      </c>
      <c r="L52" t="s">
        <v>15422</v>
      </c>
    </row>
    <row r="53" spans="1:12">
      <c r="A53" t="s">
        <v>15502</v>
      </c>
      <c r="B53" t="s">
        <v>13392</v>
      </c>
      <c r="C53" t="s">
        <v>10999</v>
      </c>
      <c r="D53" t="s">
        <v>11159</v>
      </c>
      <c r="E53" t="s">
        <v>15503</v>
      </c>
      <c r="F53" t="s">
        <v>15504</v>
      </c>
      <c r="G53" t="s">
        <v>15505</v>
      </c>
      <c r="H53" t="s">
        <v>15506</v>
      </c>
      <c r="I53" t="s">
        <v>15507</v>
      </c>
      <c r="J53" t="s">
        <v>15508</v>
      </c>
      <c r="K53" t="s">
        <v>11504</v>
      </c>
      <c r="L53" t="s">
        <v>15422</v>
      </c>
    </row>
    <row r="54" spans="1:12">
      <c r="A54" t="s">
        <v>15509</v>
      </c>
      <c r="B54" t="s">
        <v>13368</v>
      </c>
      <c r="C54" t="s">
        <v>10999</v>
      </c>
      <c r="D54" t="s">
        <v>11159</v>
      </c>
      <c r="E54" t="s">
        <v>15510</v>
      </c>
      <c r="F54" t="s">
        <v>15511</v>
      </c>
      <c r="G54" t="s">
        <v>15153</v>
      </c>
      <c r="H54" t="s">
        <v>15512</v>
      </c>
      <c r="I54" t="s">
        <v>15507</v>
      </c>
      <c r="J54" t="s">
        <v>15513</v>
      </c>
      <c r="K54" t="s">
        <v>11504</v>
      </c>
      <c r="L54" t="s">
        <v>15422</v>
      </c>
    </row>
    <row r="55" spans="1:12">
      <c r="A55" t="s">
        <v>15514</v>
      </c>
      <c r="B55" t="s">
        <v>13395</v>
      </c>
      <c r="C55" t="s">
        <v>10999</v>
      </c>
      <c r="D55" t="s">
        <v>11159</v>
      </c>
      <c r="E55" t="s">
        <v>15515</v>
      </c>
      <c r="F55" t="s">
        <v>15516</v>
      </c>
      <c r="G55" t="s">
        <v>15517</v>
      </c>
      <c r="H55" t="s">
        <v>15518</v>
      </c>
      <c r="I55" t="s">
        <v>15507</v>
      </c>
      <c r="J55" t="s">
        <v>15519</v>
      </c>
      <c r="K55" t="s">
        <v>11504</v>
      </c>
      <c r="L55" t="s">
        <v>15422</v>
      </c>
    </row>
    <row r="56" spans="1:12">
      <c r="A56" t="s">
        <v>15520</v>
      </c>
      <c r="B56" t="s">
        <v>13359</v>
      </c>
      <c r="C56" t="s">
        <v>10999</v>
      </c>
      <c r="D56" t="s">
        <v>11159</v>
      </c>
      <c r="E56" t="s">
        <v>15521</v>
      </c>
      <c r="F56" t="s">
        <v>15522</v>
      </c>
      <c r="G56" t="s">
        <v>15523</v>
      </c>
      <c r="H56" t="s">
        <v>15524</v>
      </c>
      <c r="I56" t="s">
        <v>15507</v>
      </c>
      <c r="J56" t="s">
        <v>15525</v>
      </c>
      <c r="K56" t="s">
        <v>11504</v>
      </c>
      <c r="L56" t="s">
        <v>15422</v>
      </c>
    </row>
    <row r="57" spans="1:12">
      <c r="A57" t="s">
        <v>15526</v>
      </c>
      <c r="B57" t="s">
        <v>13371</v>
      </c>
      <c r="C57" t="s">
        <v>10999</v>
      </c>
      <c r="D57" t="s">
        <v>11159</v>
      </c>
      <c r="E57" t="s">
        <v>15527</v>
      </c>
      <c r="F57" t="s">
        <v>15528</v>
      </c>
      <c r="G57" t="s">
        <v>15529</v>
      </c>
      <c r="H57" t="s">
        <v>15530</v>
      </c>
      <c r="I57" t="s">
        <v>15507</v>
      </c>
      <c r="J57" t="s">
        <v>15531</v>
      </c>
      <c r="K57" t="s">
        <v>11504</v>
      </c>
      <c r="L57" t="s">
        <v>15422</v>
      </c>
    </row>
    <row r="58" spans="1:12">
      <c r="A58" t="s">
        <v>15532</v>
      </c>
      <c r="B58" t="s">
        <v>13398</v>
      </c>
      <c r="C58" t="s">
        <v>10970</v>
      </c>
      <c r="D58" t="s">
        <v>11159</v>
      </c>
      <c r="E58" t="s">
        <v>15533</v>
      </c>
      <c r="F58" t="s">
        <v>15534</v>
      </c>
      <c r="G58" t="s">
        <v>15175</v>
      </c>
      <c r="H58" t="s">
        <v>15535</v>
      </c>
      <c r="I58" t="s">
        <v>15536</v>
      </c>
      <c r="J58" t="s">
        <v>15537</v>
      </c>
      <c r="K58" t="s">
        <v>11504</v>
      </c>
      <c r="L58" t="s">
        <v>15422</v>
      </c>
    </row>
    <row r="59" spans="1:12">
      <c r="A59" t="s">
        <v>15538</v>
      </c>
      <c r="B59" t="s">
        <v>13401</v>
      </c>
      <c r="C59" t="s">
        <v>10970</v>
      </c>
      <c r="D59" t="s">
        <v>11159</v>
      </c>
      <c r="E59" t="s">
        <v>15539</v>
      </c>
      <c r="F59" t="s">
        <v>15540</v>
      </c>
      <c r="G59" t="s">
        <v>15186</v>
      </c>
      <c r="H59" t="s">
        <v>15541</v>
      </c>
      <c r="I59" t="s">
        <v>15536</v>
      </c>
      <c r="J59" t="s">
        <v>15542</v>
      </c>
      <c r="K59" t="s">
        <v>11504</v>
      </c>
      <c r="L59" t="s">
        <v>15422</v>
      </c>
    </row>
    <row r="60" spans="1:12">
      <c r="A60" t="s">
        <v>15543</v>
      </c>
      <c r="B60" t="s">
        <v>13380</v>
      </c>
      <c r="C60" t="s">
        <v>10970</v>
      </c>
      <c r="D60" t="s">
        <v>11159</v>
      </c>
      <c r="E60" t="s">
        <v>15544</v>
      </c>
      <c r="F60" t="s">
        <v>15545</v>
      </c>
      <c r="G60" t="s">
        <v>15546</v>
      </c>
      <c r="H60" t="s">
        <v>15547</v>
      </c>
      <c r="I60" t="s">
        <v>15536</v>
      </c>
      <c r="J60" t="s">
        <v>15548</v>
      </c>
      <c r="K60" t="s">
        <v>11504</v>
      </c>
      <c r="L60" t="s">
        <v>15422</v>
      </c>
    </row>
    <row r="61" spans="1:12">
      <c r="A61" t="s">
        <v>15549</v>
      </c>
      <c r="B61" t="s">
        <v>13383</v>
      </c>
      <c r="C61" t="s">
        <v>10970</v>
      </c>
      <c r="D61" t="s">
        <v>11159</v>
      </c>
      <c r="E61" t="s">
        <v>15550</v>
      </c>
      <c r="F61" t="s">
        <v>15551</v>
      </c>
      <c r="G61" t="s">
        <v>15197</v>
      </c>
      <c r="H61" t="s">
        <v>15552</v>
      </c>
      <c r="I61" t="s">
        <v>15536</v>
      </c>
      <c r="J61" t="s">
        <v>15553</v>
      </c>
      <c r="K61" t="s">
        <v>11504</v>
      </c>
      <c r="L61" t="s">
        <v>15422</v>
      </c>
    </row>
    <row r="62" spans="1:12">
      <c r="A62" t="s">
        <v>15554</v>
      </c>
      <c r="B62" t="s">
        <v>13428</v>
      </c>
      <c r="C62" t="s">
        <v>10970</v>
      </c>
      <c r="D62" t="s">
        <v>11159</v>
      </c>
      <c r="E62" t="s">
        <v>15555</v>
      </c>
      <c r="F62" t="s">
        <v>15556</v>
      </c>
      <c r="G62" t="s">
        <v>15557</v>
      </c>
      <c r="H62" t="s">
        <v>15558</v>
      </c>
      <c r="I62" t="s">
        <v>15559</v>
      </c>
      <c r="J62" t="s">
        <v>15560</v>
      </c>
      <c r="K62" t="s">
        <v>11504</v>
      </c>
      <c r="L62" t="s">
        <v>15422</v>
      </c>
    </row>
    <row r="63" spans="1:12">
      <c r="A63" t="s">
        <v>15561</v>
      </c>
      <c r="B63" t="s">
        <v>13440</v>
      </c>
      <c r="C63" t="s">
        <v>10970</v>
      </c>
      <c r="D63" t="s">
        <v>11159</v>
      </c>
      <c r="E63" t="s">
        <v>15562</v>
      </c>
      <c r="F63" t="s">
        <v>15563</v>
      </c>
      <c r="G63" t="s">
        <v>15564</v>
      </c>
      <c r="H63" t="s">
        <v>15565</v>
      </c>
      <c r="I63" t="s">
        <v>15559</v>
      </c>
      <c r="J63" t="s">
        <v>15566</v>
      </c>
      <c r="K63" t="s">
        <v>11504</v>
      </c>
      <c r="L63" t="s">
        <v>15422</v>
      </c>
    </row>
    <row r="64" spans="1:12">
      <c r="A64" t="s">
        <v>15567</v>
      </c>
      <c r="B64" t="s">
        <v>13404</v>
      </c>
      <c r="C64" t="s">
        <v>11888</v>
      </c>
      <c r="D64" t="s">
        <v>11159</v>
      </c>
      <c r="E64" t="s">
        <v>15568</v>
      </c>
      <c r="F64" t="s">
        <v>15569</v>
      </c>
      <c r="G64" t="s">
        <v>15208</v>
      </c>
      <c r="H64" t="s">
        <v>15570</v>
      </c>
      <c r="I64" t="s">
        <v>15571</v>
      </c>
      <c r="J64" t="s">
        <v>15572</v>
      </c>
      <c r="K64" t="s">
        <v>11504</v>
      </c>
      <c r="L64" t="s">
        <v>15422</v>
      </c>
    </row>
    <row r="65" spans="1:12">
      <c r="A65" t="s">
        <v>15573</v>
      </c>
      <c r="B65" t="s">
        <v>13407</v>
      </c>
      <c r="C65" t="s">
        <v>11888</v>
      </c>
      <c r="D65" t="s">
        <v>11159</v>
      </c>
      <c r="E65" t="s">
        <v>15574</v>
      </c>
      <c r="F65" t="s">
        <v>15575</v>
      </c>
      <c r="G65" t="s">
        <v>15576</v>
      </c>
      <c r="H65" t="s">
        <v>15577</v>
      </c>
      <c r="I65" t="s">
        <v>15578</v>
      </c>
      <c r="J65" t="s">
        <v>15579</v>
      </c>
      <c r="K65" t="s">
        <v>11504</v>
      </c>
      <c r="L65" t="s">
        <v>15422</v>
      </c>
    </row>
    <row r="66" spans="1:12">
      <c r="A66" t="s">
        <v>15580</v>
      </c>
      <c r="B66" t="s">
        <v>13419</v>
      </c>
      <c r="C66" t="s">
        <v>11888</v>
      </c>
      <c r="D66" t="s">
        <v>11159</v>
      </c>
      <c r="E66" t="s">
        <v>15581</v>
      </c>
      <c r="F66" t="s">
        <v>15582</v>
      </c>
      <c r="G66" t="s">
        <v>15583</v>
      </c>
      <c r="H66" t="s">
        <v>15584</v>
      </c>
      <c r="I66" t="s">
        <v>15578</v>
      </c>
      <c r="J66" t="s">
        <v>15585</v>
      </c>
      <c r="K66" t="s">
        <v>11504</v>
      </c>
      <c r="L66" t="s">
        <v>15422</v>
      </c>
    </row>
    <row r="67" spans="1:12">
      <c r="A67" t="s">
        <v>15586</v>
      </c>
      <c r="B67" t="s">
        <v>13422</v>
      </c>
      <c r="C67" t="s">
        <v>11888</v>
      </c>
      <c r="D67" t="s">
        <v>11159</v>
      </c>
      <c r="E67" t="s">
        <v>15587</v>
      </c>
      <c r="F67" t="s">
        <v>15588</v>
      </c>
      <c r="G67" t="s">
        <v>15241</v>
      </c>
      <c r="H67" t="s">
        <v>15589</v>
      </c>
      <c r="I67" t="s">
        <v>15578</v>
      </c>
      <c r="J67" t="s">
        <v>15590</v>
      </c>
      <c r="K67" t="s">
        <v>11504</v>
      </c>
      <c r="L67" t="s">
        <v>15422</v>
      </c>
    </row>
    <row r="68" spans="1:12">
      <c r="A68" t="s">
        <v>15591</v>
      </c>
      <c r="B68" t="s">
        <v>13428</v>
      </c>
      <c r="C68" t="s">
        <v>11888</v>
      </c>
      <c r="D68" t="s">
        <v>11159</v>
      </c>
      <c r="E68" t="s">
        <v>15592</v>
      </c>
      <c r="F68" t="s">
        <v>15593</v>
      </c>
      <c r="G68" t="s">
        <v>15252</v>
      </c>
      <c r="H68" t="s">
        <v>15594</v>
      </c>
      <c r="I68" t="s">
        <v>15578</v>
      </c>
      <c r="J68" t="s">
        <v>15595</v>
      </c>
      <c r="K68" t="s">
        <v>11504</v>
      </c>
      <c r="L68" t="s">
        <v>15422</v>
      </c>
    </row>
    <row r="69" spans="1:12">
      <c r="A69" t="s">
        <v>15596</v>
      </c>
      <c r="B69" t="s">
        <v>13410</v>
      </c>
      <c r="C69" t="s">
        <v>11888</v>
      </c>
      <c r="D69" t="s">
        <v>11159</v>
      </c>
      <c r="E69" t="s">
        <v>15597</v>
      </c>
      <c r="F69" t="s">
        <v>15598</v>
      </c>
      <c r="G69" t="s">
        <v>15599</v>
      </c>
      <c r="H69" t="s">
        <v>15600</v>
      </c>
      <c r="I69" t="s">
        <v>15578</v>
      </c>
      <c r="J69" t="s">
        <v>15601</v>
      </c>
      <c r="K69" t="s">
        <v>11504</v>
      </c>
      <c r="L69" t="s">
        <v>15422</v>
      </c>
    </row>
    <row r="70" spans="1:12">
      <c r="A70" t="s">
        <v>15602</v>
      </c>
      <c r="B70" t="s">
        <v>13413</v>
      </c>
      <c r="C70" t="s">
        <v>11888</v>
      </c>
      <c r="D70" t="s">
        <v>11159</v>
      </c>
      <c r="E70" t="s">
        <v>15603</v>
      </c>
      <c r="F70" t="s">
        <v>15604</v>
      </c>
      <c r="G70" t="s">
        <v>15605</v>
      </c>
      <c r="H70" t="s">
        <v>15606</v>
      </c>
      <c r="I70" t="s">
        <v>15578</v>
      </c>
      <c r="J70" t="s">
        <v>15607</v>
      </c>
      <c r="K70" t="s">
        <v>11504</v>
      </c>
      <c r="L70" t="s">
        <v>15422</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K25"/>
  <sheetViews>
    <sheetView workbookViewId="0"/>
  </sheetViews>
  <sheetFormatPr defaultRowHeight="14.15"/>
  <cols>
    <col min="1" max="1" width="16" customWidth="1"/>
    <col min="2" max="3" width="22" customWidth="1"/>
    <col min="4" max="5" width="18" customWidth="1"/>
    <col min="6" max="7" width="22" customWidth="1"/>
    <col min="8" max="9" width="16" customWidth="1"/>
    <col min="10" max="10" width="18" customWidth="1"/>
    <col min="11" max="11" width="16" customWidth="1"/>
    <col min="12" max="12" width="18" customWidth="1"/>
    <col min="13" max="13" width="22" customWidth="1"/>
    <col min="14" max="14" width="60" customWidth="1"/>
    <col min="15" max="16" width="12" customWidth="1"/>
    <col min="17" max="17" width="24" customWidth="1"/>
  </cols>
  <sheetData>
    <row r="1" spans="1:11">
      <c r="A1" s="1" t="s">
        <v>13332</v>
      </c>
      <c r="B1" s="1" t="s">
        <v>15608</v>
      </c>
      <c r="C1" s="1" t="s">
        <v>15609</v>
      </c>
      <c r="D1" s="1" t="s">
        <v>13720</v>
      </c>
      <c r="E1" s="1" t="s">
        <v>13334</v>
      </c>
      <c r="F1" s="1" t="s">
        <v>13977</v>
      </c>
      <c r="G1" s="1" t="s">
        <v>15610</v>
      </c>
      <c r="H1" s="1" t="s">
        <v>3897</v>
      </c>
      <c r="I1" s="1" t="s">
        <v>11627</v>
      </c>
      <c r="J1" s="1" t="s">
        <v>273</v>
      </c>
      <c r="K1" s="1" t="s">
        <v>744</v>
      </c>
    </row>
    <row r="2" spans="1:11">
      <c r="A2" t="s">
        <v>15611</v>
      </c>
      <c r="B2" t="s">
        <v>15612</v>
      </c>
      <c r="C2" t="s">
        <v>15613</v>
      </c>
      <c r="D2" t="s">
        <v>11159</v>
      </c>
      <c r="E2" t="s">
        <v>13425</v>
      </c>
      <c r="F2">
        <v>0.4</v>
      </c>
      <c r="G2" t="s">
        <v>15614</v>
      </c>
      <c r="H2" t="s">
        <v>15615</v>
      </c>
      <c r="I2" t="s">
        <v>11504</v>
      </c>
      <c r="J2" t="s">
        <v>275</v>
      </c>
      <c r="K2" t="s">
        <v>15616</v>
      </c>
    </row>
    <row r="3" spans="1:11">
      <c r="A3" t="s">
        <v>15617</v>
      </c>
      <c r="B3" t="s">
        <v>15612</v>
      </c>
      <c r="C3" t="s">
        <v>15613</v>
      </c>
      <c r="D3" t="s">
        <v>11159</v>
      </c>
      <c r="E3" t="s">
        <v>13428</v>
      </c>
      <c r="F3">
        <v>0.4</v>
      </c>
      <c r="G3" t="s">
        <v>15614</v>
      </c>
      <c r="H3" t="s">
        <v>15618</v>
      </c>
      <c r="I3" t="s">
        <v>11504</v>
      </c>
      <c r="J3" t="s">
        <v>275</v>
      </c>
      <c r="K3" t="s">
        <v>15616</v>
      </c>
    </row>
    <row r="4" spans="1:11">
      <c r="A4" t="s">
        <v>15619</v>
      </c>
      <c r="B4" t="s">
        <v>15612</v>
      </c>
      <c r="C4" t="s">
        <v>15613</v>
      </c>
      <c r="D4" t="s">
        <v>11159</v>
      </c>
      <c r="E4" t="s">
        <v>13401</v>
      </c>
      <c r="F4">
        <v>0.45</v>
      </c>
      <c r="G4" t="s">
        <v>15614</v>
      </c>
      <c r="H4" t="s">
        <v>15620</v>
      </c>
      <c r="I4" t="s">
        <v>11504</v>
      </c>
      <c r="J4" t="s">
        <v>275</v>
      </c>
      <c r="K4" t="s">
        <v>15616</v>
      </c>
    </row>
    <row r="5" spans="1:11">
      <c r="A5" t="s">
        <v>15621</v>
      </c>
      <c r="B5" t="s">
        <v>15612</v>
      </c>
      <c r="C5" t="s">
        <v>15613</v>
      </c>
      <c r="D5" t="s">
        <v>11159</v>
      </c>
      <c r="E5" t="s">
        <v>13404</v>
      </c>
      <c r="F5">
        <v>0.4</v>
      </c>
      <c r="G5" t="s">
        <v>15614</v>
      </c>
      <c r="H5" t="s">
        <v>15622</v>
      </c>
      <c r="I5" t="s">
        <v>11504</v>
      </c>
      <c r="J5" t="s">
        <v>275</v>
      </c>
      <c r="K5" t="s">
        <v>15616</v>
      </c>
    </row>
    <row r="6" spans="1:11">
      <c r="A6" t="s">
        <v>15623</v>
      </c>
      <c r="B6" t="s">
        <v>15612</v>
      </c>
      <c r="C6" t="s">
        <v>15624</v>
      </c>
      <c r="D6" t="s">
        <v>11159</v>
      </c>
      <c r="E6" t="s">
        <v>13425</v>
      </c>
      <c r="F6">
        <v>1.35</v>
      </c>
      <c r="G6" t="s">
        <v>15625</v>
      </c>
      <c r="H6" t="s">
        <v>15626</v>
      </c>
      <c r="I6" t="s">
        <v>11504</v>
      </c>
      <c r="J6" t="s">
        <v>280</v>
      </c>
      <c r="K6" t="s">
        <v>15616</v>
      </c>
    </row>
    <row r="7" spans="1:11">
      <c r="A7" t="s">
        <v>15627</v>
      </c>
      <c r="B7" t="s">
        <v>15612</v>
      </c>
      <c r="C7" t="s">
        <v>15624</v>
      </c>
      <c r="D7" t="s">
        <v>11159</v>
      </c>
      <c r="E7" t="s">
        <v>13428</v>
      </c>
      <c r="F7">
        <v>1.35</v>
      </c>
      <c r="G7" t="s">
        <v>15625</v>
      </c>
      <c r="H7" t="s">
        <v>15628</v>
      </c>
      <c r="I7" t="s">
        <v>11504</v>
      </c>
      <c r="J7" t="s">
        <v>280</v>
      </c>
      <c r="K7" t="s">
        <v>15616</v>
      </c>
    </row>
    <row r="8" spans="1:11">
      <c r="A8" t="s">
        <v>15629</v>
      </c>
      <c r="B8" t="s">
        <v>15612</v>
      </c>
      <c r="C8" t="s">
        <v>15624</v>
      </c>
      <c r="D8" t="s">
        <v>11159</v>
      </c>
      <c r="E8" t="s">
        <v>13419</v>
      </c>
      <c r="F8">
        <v>1.25</v>
      </c>
      <c r="G8" t="s">
        <v>15625</v>
      </c>
      <c r="H8" t="s">
        <v>15630</v>
      </c>
      <c r="I8" t="s">
        <v>11504</v>
      </c>
      <c r="J8" t="s">
        <v>280</v>
      </c>
      <c r="K8" t="s">
        <v>15616</v>
      </c>
    </row>
    <row r="9" spans="1:11">
      <c r="A9" t="s">
        <v>15631</v>
      </c>
      <c r="B9" t="s">
        <v>15632</v>
      </c>
      <c r="C9" t="s">
        <v>13709</v>
      </c>
      <c r="D9" t="s">
        <v>11159</v>
      </c>
      <c r="E9" t="s">
        <v>13345</v>
      </c>
      <c r="F9">
        <v>1.25</v>
      </c>
      <c r="G9" t="s">
        <v>15625</v>
      </c>
      <c r="H9" t="s">
        <v>15633</v>
      </c>
      <c r="I9" t="s">
        <v>11504</v>
      </c>
      <c r="J9" t="s">
        <v>275</v>
      </c>
      <c r="K9" t="s">
        <v>15616</v>
      </c>
    </row>
    <row r="10" spans="1:11">
      <c r="A10" t="s">
        <v>15634</v>
      </c>
      <c r="B10" t="s">
        <v>15632</v>
      </c>
      <c r="C10" t="s">
        <v>13709</v>
      </c>
      <c r="D10" t="s">
        <v>11159</v>
      </c>
      <c r="E10" t="s">
        <v>13362</v>
      </c>
      <c r="F10">
        <v>1.25</v>
      </c>
      <c r="G10" t="s">
        <v>15625</v>
      </c>
      <c r="H10" t="s">
        <v>15635</v>
      </c>
      <c r="I10" t="s">
        <v>11504</v>
      </c>
      <c r="J10" t="s">
        <v>280</v>
      </c>
      <c r="K10" t="s">
        <v>15616</v>
      </c>
    </row>
    <row r="11" spans="1:11">
      <c r="A11" t="s">
        <v>15636</v>
      </c>
      <c r="B11" t="s">
        <v>15632</v>
      </c>
      <c r="C11" t="s">
        <v>13709</v>
      </c>
      <c r="D11" t="s">
        <v>11159</v>
      </c>
      <c r="E11" t="s">
        <v>13353</v>
      </c>
      <c r="F11">
        <v>1.25</v>
      </c>
      <c r="G11" t="s">
        <v>15625</v>
      </c>
      <c r="H11" t="s">
        <v>15637</v>
      </c>
      <c r="I11" t="s">
        <v>11504</v>
      </c>
      <c r="J11" t="s">
        <v>280</v>
      </c>
      <c r="K11" t="s">
        <v>15616</v>
      </c>
    </row>
    <row r="12" spans="1:11">
      <c r="A12" t="s">
        <v>15638</v>
      </c>
      <c r="B12" t="s">
        <v>15632</v>
      </c>
      <c r="C12" t="s">
        <v>13709</v>
      </c>
      <c r="D12" t="s">
        <v>11159</v>
      </c>
      <c r="E12" t="s">
        <v>13350</v>
      </c>
      <c r="F12">
        <v>1.2</v>
      </c>
      <c r="G12" t="s">
        <v>15625</v>
      </c>
      <c r="H12" t="s">
        <v>15639</v>
      </c>
      <c r="I12" t="s">
        <v>11504</v>
      </c>
      <c r="J12" t="s">
        <v>280</v>
      </c>
      <c r="K12" t="s">
        <v>15616</v>
      </c>
    </row>
    <row r="13" spans="1:11">
      <c r="A13" t="s">
        <v>15640</v>
      </c>
      <c r="B13" t="s">
        <v>15641</v>
      </c>
      <c r="C13" t="s">
        <v>15642</v>
      </c>
      <c r="D13" t="s">
        <v>11159</v>
      </c>
      <c r="E13" t="s">
        <v>13395</v>
      </c>
      <c r="F13">
        <v>1.3</v>
      </c>
      <c r="G13" t="s">
        <v>15625</v>
      </c>
      <c r="H13" t="s">
        <v>15643</v>
      </c>
      <c r="I13" t="s">
        <v>11504</v>
      </c>
      <c r="J13" t="s">
        <v>275</v>
      </c>
      <c r="K13" t="s">
        <v>15616</v>
      </c>
    </row>
    <row r="14" spans="1:11">
      <c r="A14" t="s">
        <v>15644</v>
      </c>
      <c r="B14" t="s">
        <v>15641</v>
      </c>
      <c r="C14" t="s">
        <v>15642</v>
      </c>
      <c r="D14" t="s">
        <v>11159</v>
      </c>
      <c r="E14" t="s">
        <v>13368</v>
      </c>
      <c r="F14">
        <v>1.25</v>
      </c>
      <c r="G14" t="s">
        <v>15625</v>
      </c>
      <c r="H14" t="s">
        <v>15645</v>
      </c>
      <c r="I14" t="s">
        <v>11504</v>
      </c>
      <c r="J14" t="s">
        <v>275</v>
      </c>
      <c r="K14" t="s">
        <v>15616</v>
      </c>
    </row>
    <row r="15" spans="1:11">
      <c r="A15" t="s">
        <v>15646</v>
      </c>
      <c r="B15" t="s">
        <v>15641</v>
      </c>
      <c r="C15" t="s">
        <v>15642</v>
      </c>
      <c r="D15" t="s">
        <v>11159</v>
      </c>
      <c r="E15" t="s">
        <v>13371</v>
      </c>
      <c r="F15">
        <v>1.2</v>
      </c>
      <c r="G15" t="s">
        <v>15625</v>
      </c>
      <c r="H15" t="s">
        <v>15647</v>
      </c>
      <c r="I15" t="s">
        <v>11504</v>
      </c>
      <c r="J15" t="s">
        <v>280</v>
      </c>
      <c r="K15" t="s">
        <v>15616</v>
      </c>
    </row>
    <row r="16" spans="1:11">
      <c r="A16" t="s">
        <v>15648</v>
      </c>
      <c r="B16" t="s">
        <v>12894</v>
      </c>
      <c r="C16" t="s">
        <v>15649</v>
      </c>
      <c r="D16" t="s">
        <v>11159</v>
      </c>
      <c r="E16" t="s">
        <v>13410</v>
      </c>
      <c r="F16">
        <v>1.3</v>
      </c>
      <c r="G16" t="s">
        <v>15625</v>
      </c>
      <c r="H16" t="s">
        <v>15650</v>
      </c>
      <c r="I16" t="s">
        <v>11504</v>
      </c>
      <c r="J16" t="s">
        <v>275</v>
      </c>
      <c r="K16" t="s">
        <v>15616</v>
      </c>
    </row>
    <row r="17" spans="1:11">
      <c r="A17" t="s">
        <v>15651</v>
      </c>
      <c r="B17" t="s">
        <v>12894</v>
      </c>
      <c r="C17" t="s">
        <v>15649</v>
      </c>
      <c r="D17" t="s">
        <v>11159</v>
      </c>
      <c r="E17" t="s">
        <v>13440</v>
      </c>
      <c r="F17">
        <v>1.25</v>
      </c>
      <c r="G17" t="s">
        <v>15625</v>
      </c>
      <c r="H17" t="s">
        <v>15652</v>
      </c>
      <c r="I17" t="s">
        <v>11504</v>
      </c>
      <c r="J17" t="s">
        <v>275</v>
      </c>
      <c r="K17" t="s">
        <v>15616</v>
      </c>
    </row>
    <row r="18" spans="1:11">
      <c r="A18" t="s">
        <v>15653</v>
      </c>
      <c r="B18" t="s">
        <v>12894</v>
      </c>
      <c r="C18" t="s">
        <v>15649</v>
      </c>
      <c r="D18" t="s">
        <v>11159</v>
      </c>
      <c r="E18" t="s">
        <v>13449</v>
      </c>
      <c r="F18">
        <v>1.2</v>
      </c>
      <c r="G18" t="s">
        <v>15625</v>
      </c>
      <c r="H18" t="s">
        <v>15654</v>
      </c>
      <c r="I18" t="s">
        <v>11504</v>
      </c>
      <c r="J18" t="s">
        <v>280</v>
      </c>
      <c r="K18" t="s">
        <v>15616</v>
      </c>
    </row>
    <row r="19" spans="1:11">
      <c r="A19" t="s">
        <v>15655</v>
      </c>
      <c r="B19" t="s">
        <v>12749</v>
      </c>
      <c r="C19" t="s">
        <v>15656</v>
      </c>
      <c r="D19" t="s">
        <v>11159</v>
      </c>
      <c r="E19" t="s">
        <v>13383</v>
      </c>
      <c r="F19">
        <v>1.2</v>
      </c>
      <c r="G19" t="s">
        <v>15625</v>
      </c>
      <c r="H19" t="s">
        <v>15657</v>
      </c>
      <c r="I19" t="s">
        <v>11504</v>
      </c>
      <c r="J19" t="s">
        <v>280</v>
      </c>
      <c r="K19" t="s">
        <v>15616</v>
      </c>
    </row>
    <row r="20" spans="1:11">
      <c r="A20" t="s">
        <v>15658</v>
      </c>
      <c r="B20" t="s">
        <v>14100</v>
      </c>
      <c r="C20" t="s">
        <v>15659</v>
      </c>
      <c r="D20" t="s">
        <v>11159</v>
      </c>
      <c r="E20" t="s">
        <v>13434</v>
      </c>
      <c r="F20">
        <v>1.3</v>
      </c>
      <c r="G20" t="s">
        <v>15625</v>
      </c>
      <c r="H20" t="s">
        <v>15660</v>
      </c>
      <c r="I20" t="s">
        <v>11504</v>
      </c>
      <c r="J20" t="s">
        <v>275</v>
      </c>
      <c r="K20" t="s">
        <v>15616</v>
      </c>
    </row>
    <row r="21" spans="1:11">
      <c r="A21" t="s">
        <v>15661</v>
      </c>
      <c r="B21" t="s">
        <v>15662</v>
      </c>
      <c r="C21" t="s">
        <v>15663</v>
      </c>
      <c r="D21" t="s">
        <v>11159</v>
      </c>
      <c r="E21" t="s">
        <v>13437</v>
      </c>
      <c r="F21">
        <v>1.2</v>
      </c>
      <c r="G21" t="s">
        <v>15625</v>
      </c>
      <c r="H21" t="s">
        <v>15664</v>
      </c>
      <c r="I21" t="s">
        <v>11504</v>
      </c>
      <c r="J21" t="s">
        <v>280</v>
      </c>
      <c r="K21" t="s">
        <v>15616</v>
      </c>
    </row>
    <row r="22" spans="1:11">
      <c r="A22" t="s">
        <v>15665</v>
      </c>
      <c r="B22" t="s">
        <v>15666</v>
      </c>
      <c r="C22" t="s">
        <v>13714</v>
      </c>
      <c r="D22" t="s">
        <v>11159</v>
      </c>
      <c r="E22" t="s">
        <v>13371</v>
      </c>
      <c r="F22">
        <v>1.25</v>
      </c>
      <c r="G22" t="s">
        <v>15625</v>
      </c>
      <c r="H22" t="s">
        <v>15667</v>
      </c>
      <c r="I22" t="s">
        <v>11504</v>
      </c>
      <c r="J22" t="s">
        <v>280</v>
      </c>
      <c r="K22" t="s">
        <v>15616</v>
      </c>
    </row>
    <row r="23" spans="1:11">
      <c r="A23" t="s">
        <v>15668</v>
      </c>
      <c r="B23" t="s">
        <v>15666</v>
      </c>
      <c r="C23" t="s">
        <v>13714</v>
      </c>
      <c r="D23" t="s">
        <v>11159</v>
      </c>
      <c r="E23" t="s">
        <v>13443</v>
      </c>
      <c r="F23">
        <v>1.2</v>
      </c>
      <c r="G23" t="s">
        <v>15625</v>
      </c>
      <c r="H23" t="s">
        <v>15669</v>
      </c>
      <c r="I23" t="s">
        <v>11504</v>
      </c>
      <c r="J23" t="s">
        <v>280</v>
      </c>
      <c r="K23" t="s">
        <v>15616</v>
      </c>
    </row>
    <row r="24" spans="1:11">
      <c r="A24" t="s">
        <v>15670</v>
      </c>
      <c r="B24" t="s">
        <v>13041</v>
      </c>
      <c r="C24" t="s">
        <v>15671</v>
      </c>
      <c r="D24" t="s">
        <v>11159</v>
      </c>
      <c r="E24" t="s">
        <v>13446</v>
      </c>
      <c r="F24">
        <v>1.2</v>
      </c>
      <c r="G24" t="s">
        <v>15625</v>
      </c>
      <c r="H24" t="s">
        <v>15672</v>
      </c>
      <c r="I24" t="s">
        <v>11504</v>
      </c>
      <c r="J24" t="s">
        <v>280</v>
      </c>
      <c r="K24" t="s">
        <v>15616</v>
      </c>
    </row>
    <row r="25" spans="1:11">
      <c r="A25" t="s">
        <v>15673</v>
      </c>
      <c r="B25" t="s">
        <v>15674</v>
      </c>
      <c r="C25" t="s">
        <v>15675</v>
      </c>
      <c r="D25" t="s">
        <v>11159</v>
      </c>
      <c r="E25" t="s">
        <v>13449</v>
      </c>
      <c r="F25">
        <v>0.9</v>
      </c>
      <c r="G25" t="s">
        <v>15614</v>
      </c>
      <c r="H25" t="s">
        <v>15676</v>
      </c>
      <c r="I25" t="s">
        <v>11504</v>
      </c>
      <c r="J25" t="s">
        <v>13347</v>
      </c>
      <c r="K25" t="s">
        <v>15677</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P425"/>
  <sheetViews>
    <sheetView workbookViewId="0">
      <pane ySplit="1" topLeftCell="A2" activePane="bottomLeft" state="frozen"/>
      <selection pane="bottomLeft"/>
    </sheetView>
  </sheetViews>
  <sheetFormatPr defaultRowHeight="14.15"/>
  <cols>
    <col min="1" max="1" width="20" customWidth="1"/>
    <col min="2" max="2" width="12" customWidth="1"/>
    <col min="3" max="3" width="14" customWidth="1"/>
    <col min="4" max="4" width="18" customWidth="1"/>
    <col min="5" max="6" width="24" customWidth="1"/>
    <col min="7" max="7" width="48" customWidth="1"/>
    <col min="8" max="8" width="24" customWidth="1"/>
    <col min="9" max="11" width="20" customWidth="1"/>
    <col min="12" max="12" width="16" customWidth="1"/>
    <col min="13" max="13" width="28" customWidth="1"/>
    <col min="14" max="14" width="12" customWidth="1"/>
    <col min="15" max="15" width="44" customWidth="1"/>
    <col min="16" max="16" width="60" customWidth="1"/>
  </cols>
  <sheetData>
    <row r="1" spans="1:16" ht="28.3" customHeight="1">
      <c r="A1" s="181" t="s">
        <v>15678</v>
      </c>
      <c r="B1" s="181" t="s">
        <v>15679</v>
      </c>
      <c r="C1" s="181" t="s">
        <v>15680</v>
      </c>
      <c r="D1" s="181" t="s">
        <v>764</v>
      </c>
      <c r="E1" s="181" t="s">
        <v>768</v>
      </c>
      <c r="F1" s="181" t="s">
        <v>15681</v>
      </c>
      <c r="G1" s="181" t="s">
        <v>15682</v>
      </c>
      <c r="H1" s="181" t="s">
        <v>13334</v>
      </c>
      <c r="I1" s="181" t="s">
        <v>15683</v>
      </c>
      <c r="J1" s="181" t="s">
        <v>15684</v>
      </c>
      <c r="K1" s="181" t="s">
        <v>14434</v>
      </c>
      <c r="L1" s="181" t="s">
        <v>15685</v>
      </c>
      <c r="M1" s="181" t="s">
        <v>15686</v>
      </c>
      <c r="N1" s="181" t="s">
        <v>11627</v>
      </c>
      <c r="O1" s="181" t="s">
        <v>15687</v>
      </c>
      <c r="P1" s="181" t="s">
        <v>3897</v>
      </c>
    </row>
    <row r="2" spans="1:16" ht="28.3" customHeight="1">
      <c r="A2" s="177" t="str">
        <f>_ENGINE_Risk!CM500</f>
        <v>RISK-ONT-0001</v>
      </c>
      <c r="B2" s="177">
        <f>ROW(_ENGINE_Risk!A500)</f>
        <v>500</v>
      </c>
      <c r="C2" s="177" t="str">
        <f>_ENGINE_Risk!E500</f>
        <v>COMP-001</v>
      </c>
      <c r="D2" s="177" t="str">
        <f>_ENGINE_Risk!C500</f>
        <v>Company Geography</v>
      </c>
      <c r="E2" s="177" t="str">
        <f>_ENGINE_Risk!D500</f>
        <v>Company profile</v>
      </c>
      <c r="F2" s="177" t="str">
        <f>_ENGINE_Risk!F500</f>
        <v>Geographic, entity and market exposure</v>
      </c>
      <c r="G2" s="177" t="str">
        <f>_ENGINE_Risk!G500</f>
        <v>Severe risk: legal entity structure, ownership, subsidiaries and operating countries is not reliably controlled. During Geopolitical risk; Physical site loss; Regulatory/legal shock, the organization may face unclear exposure across entities, sites and markets, delayed strategic response and underestimated crisis impact with limited visibility or accountability.</v>
      </c>
      <c r="H2" s="177" t="str">
        <f>_ENGINE_Risk!BT500</f>
        <v>CAP_VENDOR_CONCENTRATION</v>
      </c>
      <c r="I2" s="177" t="str">
        <f>_ENGINE_Risk!BV500</f>
        <v>BRG-008</v>
      </c>
      <c r="J2" s="177" t="str">
        <f>_ENGINE_Risk!CE500</f>
        <v>IW-ALL-VENDOR_CONCENTRATION</v>
      </c>
      <c r="K2" s="177" t="str">
        <f>_ENGINE_Risk!BY500</f>
        <v>TRT-VENDOR_CONCENTRATION-INITIAL</v>
      </c>
      <c r="L2" s="177" t="str">
        <f>_ENGINE_Risk!CP500</f>
        <v>Active</v>
      </c>
      <c r="M2" s="177" t="str">
        <f>_ENGINE_Risk!CQ500</f>
        <v>OK: capability-driven</v>
      </c>
      <c r="N2" s="177" t="str">
        <f>_ENGINE_Risk!CS500</f>
        <v>Yes</v>
      </c>
      <c r="O2" s="177" t="str">
        <f>_ENGINE_Risk!CO500</f>
        <v>Company Geography|Company profile|COMP-001|CAP_VENDOR_CONCENTRATION</v>
      </c>
      <c r="P2" s="177" t="str">
        <f>_ENGINE_Risk!CR500</f>
        <v>Risk ontology uses capability=CAP_VENDOR_CONCENTRATION; bridge=BRG-008; treatment=TRT-VENDOR_CONCENTRATION-INITIAL; wording=IW-ALL-VENDOR_CONCENTRATION</v>
      </c>
    </row>
    <row r="3" spans="1:16" ht="28.3" customHeight="1">
      <c r="A3" s="177" t="str">
        <f>_ENGINE_Risk!CM501</f>
        <v>RISK-ONT-0002</v>
      </c>
      <c r="B3" s="177">
        <f>ROW(_ENGINE_Risk!A501)</f>
        <v>501</v>
      </c>
      <c r="C3" s="177" t="str">
        <f>_ENGINE_Risk!E501</f>
        <v>COMP-002</v>
      </c>
      <c r="D3" s="177" t="str">
        <f>_ENGINE_Risk!C501</f>
        <v>Company Geography</v>
      </c>
      <c r="E3" s="177" t="str">
        <f>_ENGINE_Risk!D501</f>
        <v>Company profile</v>
      </c>
      <c r="F3" s="177" t="str">
        <f>_ENGINE_Risk!F501</f>
        <v>Geographic, entity and market exposure</v>
      </c>
      <c r="G3" s="177" t="str">
        <f>_ENGINE_Risk!G501</f>
        <v>Severe risk: business model, value proposition, revenue streams and cost drivers is not reliably controlled. During Geopolitical risk; Physical site loss; Regulatory/legal shock, the organization may face unclear exposure across entities, sites and markets, delayed strategic response and underestimated crisis impact with limited visibility or accountability.</v>
      </c>
      <c r="H3" s="177" t="str">
        <f>_ENGINE_Risk!BT501</f>
        <v>CAP_VENDOR_CONCENTRATION</v>
      </c>
      <c r="I3" s="177" t="str">
        <f>_ENGINE_Risk!BV501</f>
        <v>BRG-008</v>
      </c>
      <c r="J3" s="177" t="str">
        <f>_ENGINE_Risk!CE501</f>
        <v>IW-ALL-VENDOR_CONCENTRATION</v>
      </c>
      <c r="K3" s="177" t="str">
        <f>_ENGINE_Risk!BY501</f>
        <v>TRT-VENDOR_CONCENTRATION-INITIAL</v>
      </c>
      <c r="L3" s="177" t="str">
        <f>_ENGINE_Risk!CP501</f>
        <v>Active</v>
      </c>
      <c r="M3" s="177" t="str">
        <f>_ENGINE_Risk!CQ501</f>
        <v>OK: capability-driven</v>
      </c>
      <c r="N3" s="177" t="str">
        <f>_ENGINE_Risk!CS501</f>
        <v>Yes</v>
      </c>
      <c r="O3" s="177" t="str">
        <f>_ENGINE_Risk!CO501</f>
        <v>Company Geography|Company profile|COMP-002|CAP_VENDOR_CONCENTRATION</v>
      </c>
      <c r="P3" s="177" t="str">
        <f>_ENGINE_Risk!CR501</f>
        <v>Risk ontology uses capability=CAP_VENDOR_CONCENTRATION; bridge=BRG-008; treatment=TRT-VENDOR_CONCENTRATION-INITIAL; wording=IW-ALL-VENDOR_CONCENTRATION</v>
      </c>
    </row>
    <row r="4" spans="1:16" ht="28.3" customHeight="1">
      <c r="A4" s="177" t="str">
        <f>_ENGINE_Risk!CM502</f>
        <v>RISK-ONT-0003</v>
      </c>
      <c r="B4" s="177">
        <f>ROW(_ENGINE_Risk!A502)</f>
        <v>502</v>
      </c>
      <c r="C4" s="177" t="str">
        <f>_ENGINE_Risk!E502</f>
        <v>COMP-003</v>
      </c>
      <c r="D4" s="177" t="str">
        <f>_ENGINE_Risk!C502</f>
        <v>Company Geography</v>
      </c>
      <c r="E4" s="177" t="str">
        <f>_ENGINE_Risk!D502</f>
        <v>Company profile</v>
      </c>
      <c r="F4" s="177" t="str">
        <f>_ENGINE_Risk!F502</f>
        <v>Geographic, entity and market exposure</v>
      </c>
      <c r="G4" s="177" t="str">
        <f>_ENGINE_Risk!G502</f>
        <v>Severe risk: critical products and services ranked by revenue, margin and continuity priority is not reliably controlled. During Geopolitical risk; Physical site loss; Regulatory/legal shock, the organization may face unclear exposure across entities, sites and markets, delayed strategic response and underestimated crisis impact with limited visibility or accountability.</v>
      </c>
      <c r="H4" s="177" t="str">
        <f>_ENGINE_Risk!BT502</f>
        <v>CAP_VENDOR_CONCENTRATION</v>
      </c>
      <c r="I4" s="177" t="str">
        <f>_ENGINE_Risk!BV502</f>
        <v>BRG-008</v>
      </c>
      <c r="J4" s="177" t="str">
        <f>_ENGINE_Risk!CE502</f>
        <v>IW-ALL-VENDOR_CONCENTRATION</v>
      </c>
      <c r="K4" s="177" t="str">
        <f>_ENGINE_Risk!BY502</f>
        <v>TRT-VENDOR_CONCENTRATION-INITIAL</v>
      </c>
      <c r="L4" s="177" t="str">
        <f>_ENGINE_Risk!CP502</f>
        <v>Active</v>
      </c>
      <c r="M4" s="177" t="str">
        <f>_ENGINE_Risk!CQ502</f>
        <v>OK: capability-driven</v>
      </c>
      <c r="N4" s="177" t="str">
        <f>_ENGINE_Risk!CS502</f>
        <v>Yes</v>
      </c>
      <c r="O4" s="177" t="str">
        <f>_ENGINE_Risk!CO502</f>
        <v>Company Geography|Company profile|COMP-003|CAP_VENDOR_CONCENTRATION</v>
      </c>
      <c r="P4" s="177" t="str">
        <f>_ENGINE_Risk!CR502</f>
        <v>Risk ontology uses capability=CAP_VENDOR_CONCENTRATION; bridge=BRG-008; treatment=TRT-VENDOR_CONCENTRATION-INITIAL; wording=IW-ALL-VENDOR_CONCENTRATION</v>
      </c>
    </row>
    <row r="5" spans="1:16" ht="28.3" customHeight="1">
      <c r="A5" s="177" t="str">
        <f>_ENGINE_Risk!CM503</f>
        <v>RISK-ONT-0004</v>
      </c>
      <c r="B5" s="177">
        <f>ROW(_ENGINE_Risk!A503)</f>
        <v>503</v>
      </c>
      <c r="C5" s="177" t="str">
        <f>_ENGINE_Risk!E503</f>
        <v>COMP-004</v>
      </c>
      <c r="D5" s="177" t="str">
        <f>_ENGINE_Risk!C503</f>
        <v>Company Geography</v>
      </c>
      <c r="E5" s="177" t="str">
        <f>_ENGINE_Risk!D503</f>
        <v>Company profile</v>
      </c>
      <c r="F5" s="177" t="str">
        <f>_ENGINE_Risk!F503</f>
        <v>Geographic, entity and market exposure</v>
      </c>
      <c r="G5" s="177" t="str">
        <f>_ENGINE_Risk!G503</f>
        <v>Severe risk: operating model: centralized, distributed, outsourced, remote or hybrid is not reliably controlled. During Geopolitical risk; Physical site loss; Regulatory/legal shock, the organization may face unclear exposure across entities, sites and markets, delayed strategic response and underestimated crisis impact with limited visibility or accountability.</v>
      </c>
      <c r="H5" s="177" t="str">
        <f>_ENGINE_Risk!BT503</f>
        <v>CAP_VENDOR_CONCENTRATION</v>
      </c>
      <c r="I5" s="177" t="str">
        <f>_ENGINE_Risk!BV503</f>
        <v>BRG-008</v>
      </c>
      <c r="J5" s="177" t="str">
        <f>_ENGINE_Risk!CE503</f>
        <v>IW-ALL-VENDOR_CONCENTRATION</v>
      </c>
      <c r="K5" s="177" t="str">
        <f>_ENGINE_Risk!BY503</f>
        <v>TRT-VENDOR_CONCENTRATION-INITIAL</v>
      </c>
      <c r="L5" s="177" t="str">
        <f>_ENGINE_Risk!CP503</f>
        <v>Active</v>
      </c>
      <c r="M5" s="177" t="str">
        <f>_ENGINE_Risk!CQ503</f>
        <v>OK: capability-driven</v>
      </c>
      <c r="N5" s="177" t="str">
        <f>_ENGINE_Risk!CS503</f>
        <v>Yes</v>
      </c>
      <c r="O5" s="177" t="str">
        <f>_ENGINE_Risk!CO503</f>
        <v>Company Geography|Company profile|COMP-004|CAP_VENDOR_CONCENTRATION</v>
      </c>
      <c r="P5" s="177" t="str">
        <f>_ENGINE_Risk!CR503</f>
        <v>Risk ontology uses capability=CAP_VENDOR_CONCENTRATION; bridge=BRG-008; treatment=TRT-VENDOR_CONCENTRATION-INITIAL; wording=IW-ALL-VENDOR_CONCENTRATION</v>
      </c>
    </row>
    <row r="6" spans="1:16" ht="28.3" customHeight="1">
      <c r="A6" s="177" t="str">
        <f>_ENGINE_Risk!CM504</f>
        <v>RISK-ONT-0005</v>
      </c>
      <c r="B6" s="177">
        <f>ROW(_ENGINE_Risk!A504)</f>
        <v>504</v>
      </c>
      <c r="C6" s="177" t="str">
        <f>_ENGINE_Risk!E504</f>
        <v>COMP-005</v>
      </c>
      <c r="D6" s="177" t="str">
        <f>_ENGINE_Risk!C504</f>
        <v>Company Geography</v>
      </c>
      <c r="E6" s="177" t="str">
        <f>_ENGINE_Risk!D504</f>
        <v>Company profile</v>
      </c>
      <c r="F6" s="177" t="str">
        <f>_ENGINE_Risk!F504</f>
        <v>Geographic, entity and market exposure</v>
      </c>
      <c r="G6" s="177" t="str">
        <f>_ENGINE_Risk!G504</f>
        <v>Severe risk: critical assets: people, facilities, systems, data, equipment and intellectual property is not reliably controlled. During Geopolitical risk; Physical site loss; Regulatory/legal shock, the organization may face unclear exposure across entities, sites and markets, delayed strategic response and underestimated crisis impact with limited visibility or accountability.</v>
      </c>
      <c r="H6" s="177" t="str">
        <f>_ENGINE_Risk!BT504</f>
        <v>CAP_VENDOR_CONCENTRATION</v>
      </c>
      <c r="I6" s="177" t="str">
        <f>_ENGINE_Risk!BV504</f>
        <v>BRG-008</v>
      </c>
      <c r="J6" s="177" t="str">
        <f>_ENGINE_Risk!CE504</f>
        <v>IW-ALL-VENDOR_CONCENTRATION</v>
      </c>
      <c r="K6" s="177" t="str">
        <f>_ENGINE_Risk!BY504</f>
        <v>TRT-VENDOR_CONCENTRATION-INITIAL</v>
      </c>
      <c r="L6" s="177" t="str">
        <f>_ENGINE_Risk!CP504</f>
        <v>Active</v>
      </c>
      <c r="M6" s="177" t="str">
        <f>_ENGINE_Risk!CQ504</f>
        <v>OK: capability-driven</v>
      </c>
      <c r="N6" s="177" t="str">
        <f>_ENGINE_Risk!CS504</f>
        <v>Yes</v>
      </c>
      <c r="O6" s="177" t="str">
        <f>_ENGINE_Risk!CO504</f>
        <v>Company Geography|Company profile|COMP-005|CAP_VENDOR_CONCENTRATION</v>
      </c>
      <c r="P6" s="177" t="str">
        <f>_ENGINE_Risk!CR504</f>
        <v>Risk ontology uses capability=CAP_VENDOR_CONCENTRATION; bridge=BRG-008; treatment=TRT-VENDOR_CONCENTRATION-INITIAL; wording=IW-ALL-VENDOR_CONCENTRATION</v>
      </c>
    </row>
    <row r="7" spans="1:16" ht="28.3" customHeight="1">
      <c r="A7" s="177" t="str">
        <f>_ENGINE_Risk!CM505</f>
        <v>RISK-ONT-0006</v>
      </c>
      <c r="B7" s="177">
        <f>ROW(_ENGINE_Risk!A505)</f>
        <v>505</v>
      </c>
      <c r="C7" s="177" t="str">
        <f>_ENGINE_Risk!E505</f>
        <v>COMP-006</v>
      </c>
      <c r="D7" s="177" t="str">
        <f>_ENGINE_Risk!C505</f>
        <v>Company Geography</v>
      </c>
      <c r="E7" s="177" t="str">
        <f>_ENGINE_Risk!D505</f>
        <v>Company profile</v>
      </c>
      <c r="F7" s="177" t="str">
        <f>_ENGINE_Risk!F505</f>
        <v>Geographic, entity and market exposure</v>
      </c>
      <c r="G7" s="177" t="str">
        <f>_ENGINE_Risk!G505</f>
        <v>Severe risk: regulatory exposure by country, market, product and customer type is not reliably controlled. During Geopolitical risk; Physical site loss; Regulatory/legal shock, the organization may face unclear exposure across entities, sites and markets, delayed strategic response and underestimated crisis impact with limited visibility or accountability.</v>
      </c>
      <c r="H7" s="177" t="str">
        <f>_ENGINE_Risk!BT505</f>
        <v>CAP_VENDOR_CONCENTRATION</v>
      </c>
      <c r="I7" s="177" t="str">
        <f>_ENGINE_Risk!BV505</f>
        <v>BRG-008</v>
      </c>
      <c r="J7" s="177" t="str">
        <f>_ENGINE_Risk!CE505</f>
        <v>IW-ALL-VENDOR_CONCENTRATION</v>
      </c>
      <c r="K7" s="177" t="str">
        <f>_ENGINE_Risk!BY505</f>
        <v>TRT-VENDOR_CONCENTRATION-INITIAL</v>
      </c>
      <c r="L7" s="177" t="str">
        <f>_ENGINE_Risk!CP505</f>
        <v>Active</v>
      </c>
      <c r="M7" s="177" t="str">
        <f>_ENGINE_Risk!CQ505</f>
        <v>OK: capability-driven</v>
      </c>
      <c r="N7" s="177" t="str">
        <f>_ENGINE_Risk!CS505</f>
        <v>Yes</v>
      </c>
      <c r="O7" s="177" t="str">
        <f>_ENGINE_Risk!CO505</f>
        <v>Company Geography|Company profile|COMP-006|CAP_VENDOR_CONCENTRATION</v>
      </c>
      <c r="P7" s="177" t="str">
        <f>_ENGINE_Risk!CR505</f>
        <v>Risk ontology uses capability=CAP_VENDOR_CONCENTRATION; bridge=BRG-008; treatment=TRT-VENDOR_CONCENTRATION-INITIAL; wording=IW-ALL-VENDOR_CONCENTRATION</v>
      </c>
    </row>
    <row r="8" spans="1:16" ht="28.3" customHeight="1">
      <c r="A8" s="177" t="str">
        <f>_ENGINE_Risk!CM506</f>
        <v>RISK-ONT-0007</v>
      </c>
      <c r="B8" s="177">
        <f>ROW(_ENGINE_Risk!A506)</f>
        <v>506</v>
      </c>
      <c r="C8" s="177" t="str">
        <f>_ENGINE_Risk!E506</f>
        <v>COMP-007</v>
      </c>
      <c r="D8" s="177" t="str">
        <f>_ENGINE_Risk!C506</f>
        <v>Company Geography</v>
      </c>
      <c r="E8" s="177" t="str">
        <f>_ENGINE_Risk!D506</f>
        <v>Company profile</v>
      </c>
      <c r="F8" s="177" t="str">
        <f>_ENGINE_Risk!F506</f>
        <v>Geographic, entity and market exposure</v>
      </c>
      <c r="G8" s="177" t="str">
        <f>_ENGINE_Risk!G506</f>
        <v>Severe risk: insurance coverage for business interruption, cyber, liability, property and key assets is not reliably controlled. During Geopolitical risk; Physical site loss; Regulatory/legal shock, the organization may face unclear exposure across entities, sites and markets, delayed strategic response and underestimated crisis impact with limited visibility or accountability.</v>
      </c>
      <c r="H8" s="177" t="str">
        <f>_ENGINE_Risk!BT506</f>
        <v>CAP_VENDOR_CONCENTRATION</v>
      </c>
      <c r="I8" s="177" t="str">
        <f>_ENGINE_Risk!BV506</f>
        <v>BRG-008</v>
      </c>
      <c r="J8" s="177" t="str">
        <f>_ENGINE_Risk!CE506</f>
        <v>IW-ALL-VENDOR_CONCENTRATION</v>
      </c>
      <c r="K8" s="177" t="str">
        <f>_ENGINE_Risk!BY506</f>
        <v>TRT-VENDOR_CONCENTRATION-INITIAL</v>
      </c>
      <c r="L8" s="177" t="str">
        <f>_ENGINE_Risk!CP506</f>
        <v>Active</v>
      </c>
      <c r="M8" s="177" t="str">
        <f>_ENGINE_Risk!CQ506</f>
        <v>OK: capability-driven</v>
      </c>
      <c r="N8" s="177" t="str">
        <f>_ENGINE_Risk!CS506</f>
        <v>Yes</v>
      </c>
      <c r="O8" s="177" t="str">
        <f>_ENGINE_Risk!CO506</f>
        <v>Company Geography|Company profile|COMP-007|CAP_VENDOR_CONCENTRATION</v>
      </c>
      <c r="P8" s="177" t="str">
        <f>_ENGINE_Risk!CR506</f>
        <v>Risk ontology uses capability=CAP_VENDOR_CONCENTRATION; bridge=BRG-008; treatment=TRT-VENDOR_CONCENTRATION-INITIAL; wording=IW-ALL-VENDOR_CONCENTRATION</v>
      </c>
    </row>
    <row r="9" spans="1:16" ht="28.3" customHeight="1">
      <c r="A9" s="177" t="str">
        <f>_ENGINE_Risk!CM507</f>
        <v>RISK-ONT-0008</v>
      </c>
      <c r="B9" s="177">
        <f>ROW(_ENGINE_Risk!A507)</f>
        <v>507</v>
      </c>
      <c r="C9" s="177" t="str">
        <f>_ENGINE_Risk!E507</f>
        <v>COMP-008</v>
      </c>
      <c r="D9" s="177" t="str">
        <f>_ENGINE_Risk!C507</f>
        <v>Company Geography</v>
      </c>
      <c r="E9" s="177" t="str">
        <f>_ENGINE_Risk!D507</f>
        <v>Geographical distribution</v>
      </c>
      <c r="F9" s="177" t="str">
        <f>_ENGINE_Risk!F507</f>
        <v>Geographic, entity and market exposure</v>
      </c>
      <c r="G9" s="177" t="str">
        <f>_ENGINE_Risk!G507</f>
        <v>Severe risk: workforce distribution by country, city, function, contract type and criticality is not reliably controlled. During Geopolitical risk; Physical site loss; Regulatory/legal shock, the organization may face unclear exposure across entities, sites and markets, delayed strategic response and underestimated crisis impact with limited visibility or accountability.</v>
      </c>
      <c r="H9" s="177" t="str">
        <f>_ENGINE_Risk!BT507</f>
        <v>CAP_REMOTE_WORK</v>
      </c>
      <c r="I9" s="177" t="str">
        <f>_ENGINE_Risk!BV507</f>
        <v>BRG-010</v>
      </c>
      <c r="J9" s="177" t="str">
        <f>_ENGINE_Risk!CE507</f>
        <v>IW-ALL-REMOTE_WORK</v>
      </c>
      <c r="K9" s="177" t="str">
        <f>_ENGINE_Risk!BY507</f>
        <v>TRT-REMOTE_WORK-INITIAL</v>
      </c>
      <c r="L9" s="177" t="str">
        <f>_ENGINE_Risk!CP507</f>
        <v>Active</v>
      </c>
      <c r="M9" s="177" t="str">
        <f>_ENGINE_Risk!CQ507</f>
        <v>OK: capability-driven</v>
      </c>
      <c r="N9" s="177" t="str">
        <f>_ENGINE_Risk!CS507</f>
        <v>Yes</v>
      </c>
      <c r="O9" s="177" t="str">
        <f>_ENGINE_Risk!CO507</f>
        <v>Company Geography|Geographical distribution|COMP-008|CAP_REMOTE_WORK</v>
      </c>
      <c r="P9" s="177" t="str">
        <f>_ENGINE_Risk!CR507</f>
        <v>Risk ontology uses capability=CAP_REMOTE_WORK; bridge=BRG-010; treatment=TRT-REMOTE_WORK-INITIAL; wording=IW-ALL-REMOTE_WORK</v>
      </c>
    </row>
    <row r="10" spans="1:16" ht="28.3" customHeight="1">
      <c r="A10" s="177" t="str">
        <f>_ENGINE_Risk!CM508</f>
        <v>RISK-ONT-0009</v>
      </c>
      <c r="B10" s="177">
        <f>ROW(_ENGINE_Risk!A508)</f>
        <v>508</v>
      </c>
      <c r="C10" s="177" t="str">
        <f>_ENGINE_Risk!E508</f>
        <v>COMP-009</v>
      </c>
      <c r="D10" s="177" t="str">
        <f>_ENGINE_Risk!C508</f>
        <v>Company Geography</v>
      </c>
      <c r="E10" s="177" t="str">
        <f>_ENGINE_Risk!D508</f>
        <v>Geographical distribution</v>
      </c>
      <c r="F10" s="177" t="str">
        <f>_ENGINE_Risk!F508</f>
        <v>Geographic, entity and market exposure</v>
      </c>
      <c r="G10" s="177" t="str">
        <f>_ENGINE_Risk!G508</f>
        <v>Severe risk: site distribution across offices, plants, warehouses, stores, labs and data centers is not reliably controlled. During Geopolitical risk; Physical site loss; Regulatory/legal shock, the organization may face unclear exposure across entities, sites and markets, delayed strategic response and underestimated crisis impact with limited visibility or accountability.</v>
      </c>
      <c r="H10" s="177" t="str">
        <f>_ENGINE_Risk!BT508</f>
        <v>CAP_REMOTE_WORK</v>
      </c>
      <c r="I10" s="177" t="str">
        <f>_ENGINE_Risk!BV508</f>
        <v>BRG-010</v>
      </c>
      <c r="J10" s="177" t="str">
        <f>_ENGINE_Risk!CE508</f>
        <v>IW-ALL-REMOTE_WORK</v>
      </c>
      <c r="K10" s="177" t="str">
        <f>_ENGINE_Risk!BY508</f>
        <v>TRT-REMOTE_WORK-INITIAL</v>
      </c>
      <c r="L10" s="177" t="str">
        <f>_ENGINE_Risk!CP508</f>
        <v>Active</v>
      </c>
      <c r="M10" s="177" t="str">
        <f>_ENGINE_Risk!CQ508</f>
        <v>OK: capability-driven</v>
      </c>
      <c r="N10" s="177" t="str">
        <f>_ENGINE_Risk!CS508</f>
        <v>Yes</v>
      </c>
      <c r="O10" s="177" t="str">
        <f>_ENGINE_Risk!CO508</f>
        <v>Company Geography|Geographical distribution|COMP-009|CAP_REMOTE_WORK</v>
      </c>
      <c r="P10" s="177" t="str">
        <f>_ENGINE_Risk!CR508</f>
        <v>Risk ontology uses capability=CAP_REMOTE_WORK; bridge=BRG-010; treatment=TRT-REMOTE_WORK-INITIAL; wording=IW-ALL-REMOTE_WORK</v>
      </c>
    </row>
    <row r="11" spans="1:16" ht="28.3" customHeight="1">
      <c r="A11" s="177" t="str">
        <f>_ENGINE_Risk!CM509</f>
        <v>RISK-ONT-0010</v>
      </c>
      <c r="B11" s="177">
        <f>ROW(_ENGINE_Risk!A509)</f>
        <v>509</v>
      </c>
      <c r="C11" s="177" t="str">
        <f>_ENGINE_Risk!E509</f>
        <v>COMP-010</v>
      </c>
      <c r="D11" s="177" t="str">
        <f>_ENGINE_Risk!C509</f>
        <v>Company Geography</v>
      </c>
      <c r="E11" s="177" t="str">
        <f>_ENGINE_Risk!D509</f>
        <v>Geographical distribution</v>
      </c>
      <c r="F11" s="177" t="str">
        <f>_ENGINE_Risk!F509</f>
        <v>Geographic, entity and market exposure</v>
      </c>
      <c r="G11" s="177" t="str">
        <f>_ENGINE_Risk!G509</f>
        <v>Severe risk: revenue distribution by country, currency, customer geography and market exposure is not reliably controlled. During Geopolitical risk; Physical site loss; Regulatory/legal shock, the organization may face unclear exposure across entities, sites and markets, delayed strategic response and underestimated crisis impact with limited visibility or accountability.</v>
      </c>
      <c r="H11" s="177" t="str">
        <f>_ENGINE_Risk!BT509</f>
        <v>CAP_REMOTE_WORK</v>
      </c>
      <c r="I11" s="177" t="str">
        <f>_ENGINE_Risk!BV509</f>
        <v>BRG-010</v>
      </c>
      <c r="J11" s="177" t="str">
        <f>_ENGINE_Risk!CE509</f>
        <v>IW-ALL-REMOTE_WORK</v>
      </c>
      <c r="K11" s="177" t="str">
        <f>_ENGINE_Risk!BY509</f>
        <v>TRT-REMOTE_WORK-INITIAL</v>
      </c>
      <c r="L11" s="177" t="str">
        <f>_ENGINE_Risk!CP509</f>
        <v>Active</v>
      </c>
      <c r="M11" s="177" t="str">
        <f>_ENGINE_Risk!CQ509</f>
        <v>OK: capability-driven</v>
      </c>
      <c r="N11" s="177" t="str">
        <f>_ENGINE_Risk!CS509</f>
        <v>Yes</v>
      </c>
      <c r="O11" s="177" t="str">
        <f>_ENGINE_Risk!CO509</f>
        <v>Company Geography|Geographical distribution|COMP-010|CAP_REMOTE_WORK</v>
      </c>
      <c r="P11" s="177" t="str">
        <f>_ENGINE_Risk!CR509</f>
        <v>Risk ontology uses capability=CAP_REMOTE_WORK; bridge=BRG-010; treatment=TRT-REMOTE_WORK-INITIAL; wording=IW-ALL-REMOTE_WORK</v>
      </c>
    </row>
    <row r="12" spans="1:16" ht="28.3" customHeight="1">
      <c r="A12" s="177" t="str">
        <f>_ENGINE_Risk!CM510</f>
        <v>RISK-ONT-0011</v>
      </c>
      <c r="B12" s="177">
        <f>ROW(_ENGINE_Risk!A510)</f>
        <v>510</v>
      </c>
      <c r="C12" s="177" t="str">
        <f>_ENGINE_Risk!E510</f>
        <v>COMP-011</v>
      </c>
      <c r="D12" s="177" t="str">
        <f>_ENGINE_Risk!C510</f>
        <v>Company Geography</v>
      </c>
      <c r="E12" s="177" t="str">
        <f>_ENGINE_Risk!D510</f>
        <v>Geographical distribution</v>
      </c>
      <c r="F12" s="177" t="str">
        <f>_ENGINE_Risk!F510</f>
        <v>Geographic, entity and market exposure</v>
      </c>
      <c r="G12" s="177" t="str">
        <f>_ENGINE_Risk!G510</f>
        <v>Severe risk: supplier distribution by country, tier, criticality and replacement options is not reliably controlled. During Geopolitical risk; Physical site loss; Regulatory/legal shock, the organization may face unclear exposure across entities, sites and markets, delayed strategic response and underestimated crisis impact with limited visibility or accountability.</v>
      </c>
      <c r="H12" s="177" t="str">
        <f>_ENGINE_Risk!BT510</f>
        <v>CAP_REMOTE_WORK</v>
      </c>
      <c r="I12" s="177" t="str">
        <f>_ENGINE_Risk!BV510</f>
        <v>BRG-010</v>
      </c>
      <c r="J12" s="177" t="str">
        <f>_ENGINE_Risk!CE510</f>
        <v>IW-ALL-REMOTE_WORK</v>
      </c>
      <c r="K12" s="177" t="str">
        <f>_ENGINE_Risk!BY510</f>
        <v>TRT-REMOTE_WORK-INITIAL</v>
      </c>
      <c r="L12" s="177" t="str">
        <f>_ENGINE_Risk!CP510</f>
        <v>Active</v>
      </c>
      <c r="M12" s="177" t="str">
        <f>_ENGINE_Risk!CQ510</f>
        <v>OK: capability-driven</v>
      </c>
      <c r="N12" s="177" t="str">
        <f>_ENGINE_Risk!CS510</f>
        <v>Yes</v>
      </c>
      <c r="O12" s="177" t="str">
        <f>_ENGINE_Risk!CO510</f>
        <v>Company Geography|Geographical distribution|COMP-011|CAP_REMOTE_WORK</v>
      </c>
      <c r="P12" s="177" t="str">
        <f>_ENGINE_Risk!CR510</f>
        <v>Risk ontology uses capability=CAP_REMOTE_WORK; bridge=BRG-010; treatment=TRT-REMOTE_WORK-INITIAL; wording=IW-ALL-REMOTE_WORK</v>
      </c>
    </row>
    <row r="13" spans="1:16" ht="28.3" customHeight="1">
      <c r="A13" s="177" t="str">
        <f>_ENGINE_Risk!CM511</f>
        <v>RISK-ONT-0012</v>
      </c>
      <c r="B13" s="177">
        <f>ROW(_ENGINE_Risk!A511)</f>
        <v>511</v>
      </c>
      <c r="C13" s="177" t="str">
        <f>_ENGINE_Risk!E511</f>
        <v>COMP-012</v>
      </c>
      <c r="D13" s="177" t="str">
        <f>_ENGINE_Risk!C511</f>
        <v>Company Geography</v>
      </c>
      <c r="E13" s="177" t="str">
        <f>_ENGINE_Risk!D511</f>
        <v>Geographical distribution</v>
      </c>
      <c r="F13" s="177" t="str">
        <f>_ENGINE_Risk!F511</f>
        <v>Geographic, entity and market exposure</v>
      </c>
      <c r="G13" s="177" t="str">
        <f>_ENGINE_Risk!G511</f>
        <v>Severe risk: customer distribution by geography, industry, contract and crisis sensitivity is not reliably controlled. During Geopolitical risk; Physical site loss; Regulatory/legal shock, the organization may face unclear exposure across entities, sites and markets, delayed strategic response and underestimated crisis impact with limited visibility or accountability.</v>
      </c>
      <c r="H13" s="177" t="str">
        <f>_ENGINE_Risk!BT511</f>
        <v>CAP_REMOTE_WORK</v>
      </c>
      <c r="I13" s="177" t="str">
        <f>_ENGINE_Risk!BV511</f>
        <v>BRG-010</v>
      </c>
      <c r="J13" s="177" t="str">
        <f>_ENGINE_Risk!CE511</f>
        <v>IW-ALL-REMOTE_WORK</v>
      </c>
      <c r="K13" s="177" t="str">
        <f>_ENGINE_Risk!BY511</f>
        <v>TRT-REMOTE_WORK-INITIAL</v>
      </c>
      <c r="L13" s="177" t="str">
        <f>_ENGINE_Risk!CP511</f>
        <v>Active</v>
      </c>
      <c r="M13" s="177" t="str">
        <f>_ENGINE_Risk!CQ511</f>
        <v>OK: capability-driven</v>
      </c>
      <c r="N13" s="177" t="str">
        <f>_ENGINE_Risk!CS511</f>
        <v>Yes</v>
      </c>
      <c r="O13" s="177" t="str">
        <f>_ENGINE_Risk!CO511</f>
        <v>Company Geography|Geographical distribution|COMP-012|CAP_REMOTE_WORK</v>
      </c>
      <c r="P13" s="177" t="str">
        <f>_ENGINE_Risk!CR511</f>
        <v>Risk ontology uses capability=CAP_REMOTE_WORK; bridge=BRG-010; treatment=TRT-REMOTE_WORK-INITIAL; wording=IW-ALL-REMOTE_WORK</v>
      </c>
    </row>
    <row r="14" spans="1:16" ht="28.3" customHeight="1">
      <c r="A14" s="177" t="str">
        <f>_ENGINE_Risk!CM512</f>
        <v>RISK-ONT-0013</v>
      </c>
      <c r="B14" s="177">
        <f>ROW(_ENGINE_Risk!A512)</f>
        <v>512</v>
      </c>
      <c r="C14" s="177" t="str">
        <f>_ENGINE_Risk!E512</f>
        <v>COMP-013</v>
      </c>
      <c r="D14" s="177" t="str">
        <f>_ENGINE_Risk!C512</f>
        <v>Company Geography</v>
      </c>
      <c r="E14" s="177" t="str">
        <f>_ENGINE_Risk!D512</f>
        <v>Geographical distribution</v>
      </c>
      <c r="F14" s="177" t="str">
        <f>_ENGINE_Risk!F512</f>
        <v>Geographic, entity and market exposure</v>
      </c>
      <c r="G14" s="177" t="str">
        <f>_ENGINE_Risk!G512</f>
        <v>Severe risk: country risk monitoring for war, sanctions, political instability, natural disaster and energy risks is not reliably controlled. During Geopolitical risk; Physical site loss; Regulatory/legal shock, the organization may face unclear exposure across entities, sites and markets, delayed strategic response and underestimated crisis impact with limited visibility or accountability.</v>
      </c>
      <c r="H14" s="177" t="str">
        <f>_ENGINE_Risk!BT512</f>
        <v>CAP_REMOTE_WORK</v>
      </c>
      <c r="I14" s="177" t="str">
        <f>_ENGINE_Risk!BV512</f>
        <v>BRG-010</v>
      </c>
      <c r="J14" s="177" t="str">
        <f>_ENGINE_Risk!CE512</f>
        <v>IW-ALL-REMOTE_WORK</v>
      </c>
      <c r="K14" s="177" t="str">
        <f>_ENGINE_Risk!BY512</f>
        <v>TRT-REMOTE_WORK-INITIAL</v>
      </c>
      <c r="L14" s="177" t="str">
        <f>_ENGINE_Risk!CP512</f>
        <v>Active</v>
      </c>
      <c r="M14" s="177" t="str">
        <f>_ENGINE_Risk!CQ512</f>
        <v>OK: capability-driven</v>
      </c>
      <c r="N14" s="177" t="str">
        <f>_ENGINE_Risk!CS512</f>
        <v>Yes</v>
      </c>
      <c r="O14" s="177" t="str">
        <f>_ENGINE_Risk!CO512</f>
        <v>Company Geography|Geographical distribution|COMP-013|CAP_REMOTE_WORK</v>
      </c>
      <c r="P14" s="177" t="str">
        <f>_ENGINE_Risk!CR512</f>
        <v>Risk ontology uses capability=CAP_REMOTE_WORK; bridge=BRG-010; treatment=TRT-REMOTE_WORK-INITIAL; wording=IW-ALL-REMOTE_WORK</v>
      </c>
    </row>
    <row r="15" spans="1:16" ht="28.3" customHeight="1">
      <c r="A15" s="177" t="str">
        <f>_ENGINE_Risk!CM513</f>
        <v>RISK-ONT-0014</v>
      </c>
      <c r="B15" s="177">
        <f>ROW(_ENGINE_Risk!A513)</f>
        <v>513</v>
      </c>
      <c r="C15" s="177" t="str">
        <f>_ENGINE_Risk!E513</f>
        <v>COMP-014</v>
      </c>
      <c r="D15" s="177" t="str">
        <f>_ENGINE_Risk!C513</f>
        <v>Company Geography</v>
      </c>
      <c r="E15" s="177" t="str">
        <f>_ENGINE_Risk!D513</f>
        <v>Geographical distribution</v>
      </c>
      <c r="F15" s="177" t="str">
        <f>_ENGINE_Risk!F513</f>
        <v>Geographic, entity and market exposure</v>
      </c>
      <c r="G15" s="177" t="str">
        <f>_ENGINE_Risk!G513</f>
        <v>Severe risk: relocation and alternative location options for critical teams and operations is not reliably controlled. During Geopolitical risk; Physical site loss; Regulatory/legal shock, the organization may face unclear exposure across entities, sites and markets, delayed strategic response and underestimated crisis impact with limited visibility or accountability.</v>
      </c>
      <c r="H15" s="177" t="str">
        <f>_ENGINE_Risk!BT513</f>
        <v>CAP_REMOTE_WORK</v>
      </c>
      <c r="I15" s="177" t="str">
        <f>_ENGINE_Risk!BV513</f>
        <v>BRG-010</v>
      </c>
      <c r="J15" s="177" t="str">
        <f>_ENGINE_Risk!CE513</f>
        <v>IW-ALL-REMOTE_WORK</v>
      </c>
      <c r="K15" s="177" t="str">
        <f>_ENGINE_Risk!BY513</f>
        <v>TRT-REMOTE_WORK-INITIAL</v>
      </c>
      <c r="L15" s="177" t="str">
        <f>_ENGINE_Risk!CP513</f>
        <v>Active</v>
      </c>
      <c r="M15" s="177" t="str">
        <f>_ENGINE_Risk!CQ513</f>
        <v>OK: capability-driven</v>
      </c>
      <c r="N15" s="177" t="str">
        <f>_ENGINE_Risk!CS513</f>
        <v>Yes</v>
      </c>
      <c r="O15" s="177" t="str">
        <f>_ENGINE_Risk!CO513</f>
        <v>Company Geography|Geographical distribution|COMP-014|CAP_REMOTE_WORK</v>
      </c>
      <c r="P15" s="177" t="str">
        <f>_ENGINE_Risk!CR513</f>
        <v>Risk ontology uses capability=CAP_REMOTE_WORK; bridge=BRG-010; treatment=TRT-REMOTE_WORK-INITIAL; wording=IW-ALL-REMOTE_WORK</v>
      </c>
    </row>
    <row r="16" spans="1:16" ht="28.3" customHeight="1">
      <c r="A16" s="177" t="str">
        <f>_ENGINE_Risk!CM514</f>
        <v>RISK-ONT-0015</v>
      </c>
      <c r="B16" s="177">
        <f>ROW(_ENGINE_Risk!A514)</f>
        <v>514</v>
      </c>
      <c r="C16" s="177" t="str">
        <f>_ENGINE_Risk!E514</f>
        <v>COMP-016</v>
      </c>
      <c r="D16" s="177" t="str">
        <f>_ENGINE_Risk!C514</f>
        <v>Company Geography</v>
      </c>
      <c r="E16" s="177" t="str">
        <f>_ENGINE_Risk!D514</f>
        <v>Context and dependencies</v>
      </c>
      <c r="F16" s="177" t="str">
        <f>_ENGINE_Risk!F514</f>
        <v>Geographic, entity and market exposure</v>
      </c>
      <c r="G16" s="177" t="str">
        <f>_ENGINE_Risk!G514</f>
        <v>Severe risk: single-country, single-site and single-provider concentration risks is not reliably controlled. During Geopolitical risk; Physical site loss; Regulatory/legal shock, the organization may face unclear exposure across entities, sites and markets, delayed strategic response and underestimated crisis impact with limited visibility or accountability.</v>
      </c>
      <c r="H16" s="177" t="str">
        <f>_ENGINE_Risk!BT514</f>
        <v>CAP_VENDOR_CONCENTRATION</v>
      </c>
      <c r="I16" s="177" t="str">
        <f>_ENGINE_Risk!BV514</f>
        <v>BRG-009</v>
      </c>
      <c r="J16" s="177" t="str">
        <f>_ENGINE_Risk!CE514</f>
        <v>IW-ALL-VENDOR_CONCENTRATION</v>
      </c>
      <c r="K16" s="177" t="str">
        <f>_ENGINE_Risk!BY514</f>
        <v>TRT-VENDOR_CONCENTRATION-INITIAL</v>
      </c>
      <c r="L16" s="177" t="str">
        <f>_ENGINE_Risk!CP514</f>
        <v>Active</v>
      </c>
      <c r="M16" s="177" t="str">
        <f>_ENGINE_Risk!CQ514</f>
        <v>OK: capability-driven</v>
      </c>
      <c r="N16" s="177" t="str">
        <f>_ENGINE_Risk!CS514</f>
        <v>Yes</v>
      </c>
      <c r="O16" s="177" t="str">
        <f>_ENGINE_Risk!CO514</f>
        <v>Company Geography|Context and dependencies|COMP-016|CAP_VENDOR_CONCENTRATION</v>
      </c>
      <c r="P16" s="177" t="str">
        <f>_ENGINE_Risk!CR514</f>
        <v>Risk ontology uses capability=CAP_VENDOR_CONCENTRATION; bridge=BRG-009; treatment=TRT-VENDOR_CONCENTRATION-INITIAL; wording=IW-ALL-VENDOR_CONCENTRATION</v>
      </c>
    </row>
    <row r="17" spans="1:16" ht="28.3" customHeight="1">
      <c r="A17" s="177" t="str">
        <f>_ENGINE_Risk!CM515</f>
        <v>RISK-ONT-0016</v>
      </c>
      <c r="B17" s="177">
        <f>ROW(_ENGINE_Risk!A515)</f>
        <v>515</v>
      </c>
      <c r="C17" s="177" t="str">
        <f>_ENGINE_Risk!E515</f>
        <v>COMP-017</v>
      </c>
      <c r="D17" s="177" t="str">
        <f>_ENGINE_Risk!C515</f>
        <v>Company Geography</v>
      </c>
      <c r="E17" s="177" t="str">
        <f>_ENGINE_Risk!D515</f>
        <v>Context and dependencies</v>
      </c>
      <c r="F17" s="177" t="str">
        <f>_ENGINE_Risk!F515</f>
        <v>Geographic, entity and market exposure</v>
      </c>
      <c r="G17" s="177" t="str">
        <f>_ENGINE_Risk!G515</f>
        <v>Severe risk: external stakeholder map: owners, banks, regulators, insurers, local authorities and strategic partners is not reliably controlled. During Geopolitical risk; Physical site loss; Regulatory/legal shock, the organization may face unclear exposure across entities, sites and markets, delayed strategic response and underestimated crisis impact with limited visibility or accountability.</v>
      </c>
      <c r="H17" s="177" t="str">
        <f>_ENGINE_Risk!BT515</f>
        <v>CAP_VENDOR_CONCENTRATION</v>
      </c>
      <c r="I17" s="177" t="str">
        <f>_ENGINE_Risk!BV515</f>
        <v>BRG-009</v>
      </c>
      <c r="J17" s="177" t="str">
        <f>_ENGINE_Risk!CE515</f>
        <v>IW-ALL-VENDOR_CONCENTRATION</v>
      </c>
      <c r="K17" s="177" t="str">
        <f>_ENGINE_Risk!BY515</f>
        <v>TRT-VENDOR_CONCENTRATION-INITIAL</v>
      </c>
      <c r="L17" s="177" t="str">
        <f>_ENGINE_Risk!CP515</f>
        <v>Active</v>
      </c>
      <c r="M17" s="177" t="str">
        <f>_ENGINE_Risk!CQ515</f>
        <v>OK: capability-driven</v>
      </c>
      <c r="N17" s="177" t="str">
        <f>_ENGINE_Risk!CS515</f>
        <v>Yes</v>
      </c>
      <c r="O17" s="177" t="str">
        <f>_ENGINE_Risk!CO515</f>
        <v>Company Geography|Context and dependencies|COMP-017|CAP_VENDOR_CONCENTRATION</v>
      </c>
      <c r="P17" s="177" t="str">
        <f>_ENGINE_Risk!CR515</f>
        <v>Risk ontology uses capability=CAP_VENDOR_CONCENTRATION; bridge=BRG-009; treatment=TRT-VENDOR_CONCENTRATION-INITIAL; wording=IW-ALL-VENDOR_CONCENTRATION</v>
      </c>
    </row>
    <row r="18" spans="1:16" ht="28.3" customHeight="1">
      <c r="A18" s="177" t="str">
        <f>_ENGINE_Risk!CM516</f>
        <v>RISK-ONT-0017</v>
      </c>
      <c r="B18" s="177">
        <f>ROW(_ENGINE_Risk!A516)</f>
        <v>516</v>
      </c>
      <c r="C18" s="177" t="str">
        <f>_ENGINE_Risk!E516</f>
        <v>COMP-018</v>
      </c>
      <c r="D18" s="177" t="str">
        <f>_ENGINE_Risk!C516</f>
        <v>Company Geography</v>
      </c>
      <c r="E18" s="177" t="str">
        <f>_ENGINE_Risk!D516</f>
        <v>Context and dependencies</v>
      </c>
      <c r="F18" s="177" t="str">
        <f>_ENGINE_Risk!F516</f>
        <v>Geographic, entity and market exposure</v>
      </c>
      <c r="G18" s="177" t="str">
        <f>_ENGINE_Risk!G516</f>
        <v>Severe risk: data residency and cross-border transfer exposure by system and geography is not reliably controlled. During Geopolitical risk; Physical site loss; Regulatory/legal shock, the organization may face unclear exposure across entities, sites and markets, delayed strategic response and underestimated crisis impact with limited visibility or accountability.</v>
      </c>
      <c r="H18" s="177" t="str">
        <f>_ENGINE_Risk!BT516</f>
        <v>CAP_VENDOR_CONCENTRATION</v>
      </c>
      <c r="I18" s="177" t="str">
        <f>_ENGINE_Risk!BV516</f>
        <v>BRG-009</v>
      </c>
      <c r="J18" s="177" t="str">
        <f>_ENGINE_Risk!CE516</f>
        <v>IW-ALL-VENDOR_CONCENTRATION</v>
      </c>
      <c r="K18" s="177" t="str">
        <f>_ENGINE_Risk!BY516</f>
        <v>TRT-VENDOR_CONCENTRATION-INITIAL</v>
      </c>
      <c r="L18" s="177" t="str">
        <f>_ENGINE_Risk!CP516</f>
        <v>Active</v>
      </c>
      <c r="M18" s="177" t="str">
        <f>_ENGINE_Risk!CQ516</f>
        <v>OK: capability-driven</v>
      </c>
      <c r="N18" s="177" t="str">
        <f>_ENGINE_Risk!CS516</f>
        <v>Yes</v>
      </c>
      <c r="O18" s="177" t="str">
        <f>_ENGINE_Risk!CO516</f>
        <v>Company Geography|Context and dependencies|COMP-018|CAP_VENDOR_CONCENTRATION</v>
      </c>
      <c r="P18" s="177" t="str">
        <f>_ENGINE_Risk!CR516</f>
        <v>Risk ontology uses capability=CAP_VENDOR_CONCENTRATION; bridge=BRG-009; treatment=TRT-VENDOR_CONCENTRATION-INITIAL; wording=IW-ALL-VENDOR_CONCENTRATION</v>
      </c>
    </row>
    <row r="19" spans="1:16" ht="28.3" customHeight="1">
      <c r="A19" s="177" t="str">
        <f>_ENGINE_Risk!CM517</f>
        <v>RISK-ONT-0018</v>
      </c>
      <c r="B19" s="177">
        <f>ROW(_ENGINE_Risk!A517)</f>
        <v>517</v>
      </c>
      <c r="C19" s="177" t="str">
        <f>_ENGINE_Risk!E517</f>
        <v>COMP-019</v>
      </c>
      <c r="D19" s="177" t="str">
        <f>_ENGINE_Risk!C517</f>
        <v>Company Geography</v>
      </c>
      <c r="E19" s="177" t="str">
        <f>_ENGINE_Risk!D517</f>
        <v>Context and dependencies</v>
      </c>
      <c r="F19" s="177" t="str">
        <f>_ENGINE_Risk!F517</f>
        <v>Geographic, entity and market exposure</v>
      </c>
      <c r="G19" s="177" t="str">
        <f>_ENGINE_Risk!G517</f>
        <v>Severe risk: acceptable downtime thresholds by geography, function, customer and process is not reliably controlled. During Geopolitical risk; Physical site loss; Regulatory/legal shock, the organization may face unclear exposure across entities, sites and markets, delayed strategic response and underestimated crisis impact with limited visibility or accountability.</v>
      </c>
      <c r="H19" s="177" t="str">
        <f>_ENGINE_Risk!BT517</f>
        <v>CAP_VENDOR_CONCENTRATION</v>
      </c>
      <c r="I19" s="177" t="str">
        <f>_ENGINE_Risk!BV517</f>
        <v>BRG-009</v>
      </c>
      <c r="J19" s="177" t="str">
        <f>_ENGINE_Risk!CE517</f>
        <v>IW-ALL-VENDOR_CONCENTRATION</v>
      </c>
      <c r="K19" s="177" t="str">
        <f>_ENGINE_Risk!BY517</f>
        <v>TRT-VENDOR_CONCENTRATION-INITIAL</v>
      </c>
      <c r="L19" s="177" t="str">
        <f>_ENGINE_Risk!CP517</f>
        <v>Active</v>
      </c>
      <c r="M19" s="177" t="str">
        <f>_ENGINE_Risk!CQ517</f>
        <v>OK: capability-driven</v>
      </c>
      <c r="N19" s="177" t="str">
        <f>_ENGINE_Risk!CS517</f>
        <v>Yes</v>
      </c>
      <c r="O19" s="177" t="str">
        <f>_ENGINE_Risk!CO517</f>
        <v>Company Geography|Context and dependencies|COMP-019|CAP_VENDOR_CONCENTRATION</v>
      </c>
      <c r="P19" s="177" t="str">
        <f>_ENGINE_Risk!CR517</f>
        <v>Risk ontology uses capability=CAP_VENDOR_CONCENTRATION; bridge=BRG-009; treatment=TRT-VENDOR_CONCENTRATION-INITIAL; wording=IW-ALL-VENDOR_CONCENTRATION</v>
      </c>
    </row>
    <row r="20" spans="1:16" ht="28.3" customHeight="1">
      <c r="A20" s="177" t="str">
        <f>_ENGINE_Risk!CM518</f>
        <v>RISK-ONT-0019</v>
      </c>
      <c r="B20" s="177">
        <f>ROW(_ENGINE_Risk!A518)</f>
        <v>518</v>
      </c>
      <c r="C20" s="177" t="str">
        <f>_ENGINE_Risk!E518</f>
        <v>COMP-021</v>
      </c>
      <c r="D20" s="177" t="str">
        <f>_ENGINE_Risk!C518</f>
        <v>Company Geography</v>
      </c>
      <c r="E20" s="177" t="str">
        <f>_ENGINE_Risk!D518</f>
        <v>Context and dependencies</v>
      </c>
      <c r="F20" s="177" t="str">
        <f>_ENGINE_Risk!F518</f>
        <v>Geographic, entity and market exposure</v>
      </c>
      <c r="G20" s="177" t="str">
        <f>_ENGINE_Risk!G518</f>
        <v>Severe risk: critical infrastructure status and government emergency obligations across operating geographies is not reliably controlled. During War/security crisis; Energy/utilities outage; Regulatory/legal shock, the organization may face unexpected state-imposed duties, missed protective entitlements and unmanaged compliance exposure during emergencies with limited visibility or accountability.</v>
      </c>
      <c r="H20" s="177" t="str">
        <f>_ENGINE_Risk!BT518</f>
        <v>CAP_VENDOR_CONCENTRATION</v>
      </c>
      <c r="I20" s="177" t="str">
        <f>_ENGINE_Risk!BV518</f>
        <v>BRG-009</v>
      </c>
      <c r="J20" s="177" t="str">
        <f>_ENGINE_Risk!CE518</f>
        <v>IW-ALL-VENDOR_CONCENTRATION</v>
      </c>
      <c r="K20" s="177" t="str">
        <f>_ENGINE_Risk!BY518</f>
        <v>TRT-VENDOR_CONCENTRATION-INITIAL</v>
      </c>
      <c r="L20" s="177" t="str">
        <f>_ENGINE_Risk!CP518</f>
        <v>Active</v>
      </c>
      <c r="M20" s="177" t="str">
        <f>_ENGINE_Risk!CQ518</f>
        <v>OK: capability-driven</v>
      </c>
      <c r="N20" s="177" t="str">
        <f>_ENGINE_Risk!CS518</f>
        <v>Yes</v>
      </c>
      <c r="O20" s="177" t="str">
        <f>_ENGINE_Risk!CO518</f>
        <v>Company Geography|Context and dependencies|COMP-021|CAP_VENDOR_CONCENTRATION</v>
      </c>
      <c r="P20" s="177" t="str">
        <f>_ENGINE_Risk!CR518</f>
        <v>Risk ontology uses capability=CAP_VENDOR_CONCENTRATION; bridge=BRG-009; treatment=TRT-VENDOR_CONCENTRATION-INITIAL; wording=IW-ALL-VENDOR_CONCENTRATION</v>
      </c>
    </row>
    <row r="21" spans="1:16" ht="28.3" customHeight="1">
      <c r="A21" s="177" t="str">
        <f>_ENGINE_Risk!CM519</f>
        <v>RISK-ONT-0020</v>
      </c>
      <c r="B21" s="177">
        <f>ROW(_ENGINE_Risk!A519)</f>
        <v>519</v>
      </c>
      <c r="C21" s="177" t="str">
        <f>_ENGINE_Risk!E519</f>
        <v>STRA-001</v>
      </c>
      <c r="D21" s="177" t="str">
        <f>_ENGINE_Risk!C519</f>
        <v>Strategy GTM</v>
      </c>
      <c r="E21" s="177" t="str">
        <f>_ENGINE_Risk!D519</f>
        <v>Corporate strategy</v>
      </c>
      <c r="F21" s="177" t="str">
        <f>_ENGINE_Risk!F519</f>
        <v>Strategic and go-to-market resilience</v>
      </c>
      <c r="G21" s="177" t="str">
        <f>_ENGINE_Risk!G519</f>
        <v>Severe risk: documented strategy translated into objectives, KPIs, budgets and accountable owners is not reliably controlled. During Demand shock; Financial / liquidity shock; Reputation crisis, the organization may face weak crisis positioning, poor prioritization of segments, revenue leakage and inability to adapt the offering with limited visibility or accountability.</v>
      </c>
      <c r="H21" s="177" t="str">
        <f>_ENGINE_Risk!BT519</f>
        <v>CAP_BACKUP_RECOVERY</v>
      </c>
      <c r="I21" s="177" t="str">
        <f>_ENGINE_Risk!BV519</f>
        <v>BRG-083</v>
      </c>
      <c r="J21" s="177" t="str">
        <f>_ENGINE_Risk!CE519</f>
        <v>IW-ALL-BACKUP_RECOVERY</v>
      </c>
      <c r="K21" s="177" t="str">
        <f>_ENGINE_Risk!BY519</f>
        <v>TRT-BACKUP_RECOVERY-INITIAL</v>
      </c>
      <c r="L21" s="177" t="str">
        <f>_ENGINE_Risk!CP519</f>
        <v>Active</v>
      </c>
      <c r="M21" s="177" t="str">
        <f>_ENGINE_Risk!CQ519</f>
        <v>OK: capability-driven</v>
      </c>
      <c r="N21" s="177" t="str">
        <f>_ENGINE_Risk!CS519</f>
        <v>Yes</v>
      </c>
      <c r="O21" s="177" t="str">
        <f>_ENGINE_Risk!CO519</f>
        <v>Strategy GTM|Corporate strategy|STRA-001|CAP_BACKUP_RECOVERY</v>
      </c>
      <c r="P21" s="177" t="str">
        <f>_ENGINE_Risk!CR519</f>
        <v>Risk ontology uses capability=CAP_BACKUP_RECOVERY; bridge=BRG-083; treatment=TRT-BACKUP_RECOVERY-INITIAL; wording=IW-ALL-BACKUP_RECOVERY</v>
      </c>
    </row>
    <row r="22" spans="1:16" ht="28.3" customHeight="1">
      <c r="A22" s="177" t="str">
        <f>_ENGINE_Risk!CM520</f>
        <v>RISK-ONT-0021</v>
      </c>
      <c r="B22" s="177">
        <f>ROW(_ENGINE_Risk!A520)</f>
        <v>520</v>
      </c>
      <c r="C22" s="177" t="str">
        <f>_ENGINE_Risk!E520</f>
        <v>STRA-002</v>
      </c>
      <c r="D22" s="177" t="str">
        <f>_ENGINE_Risk!C520</f>
        <v>Strategy GTM</v>
      </c>
      <c r="E22" s="177" t="str">
        <f>_ENGINE_Risk!D520</f>
        <v>Corporate strategy</v>
      </c>
      <c r="F22" s="177" t="str">
        <f>_ENGINE_Risk!F520</f>
        <v>Strategic and go-to-market resilience</v>
      </c>
      <c r="G22" s="177" t="str">
        <f>_ENGINE_Risk!G520</f>
        <v>Severe risk: explicit strategic assumptions and periodic challenge of those assumptions is not reliably controlled. During Demand shock; Financial / liquidity shock; Reputation crisis, the organization may face weak crisis positioning, poor prioritization of segments, revenue leakage and inability to adapt the offering with limited visibility or accountability.</v>
      </c>
      <c r="H22" s="177" t="str">
        <f>_ENGINE_Risk!BT520</f>
        <v>CAP_BACKUP_RECOVERY</v>
      </c>
      <c r="I22" s="177" t="str">
        <f>_ENGINE_Risk!BV520</f>
        <v>BRG-083</v>
      </c>
      <c r="J22" s="177" t="str">
        <f>_ENGINE_Risk!CE520</f>
        <v>IW-ALL-BACKUP_RECOVERY</v>
      </c>
      <c r="K22" s="177" t="str">
        <f>_ENGINE_Risk!BY520</f>
        <v>TRT-BACKUP_RECOVERY-INITIAL</v>
      </c>
      <c r="L22" s="177" t="str">
        <f>_ENGINE_Risk!CP520</f>
        <v>Active</v>
      </c>
      <c r="M22" s="177" t="str">
        <f>_ENGINE_Risk!CQ520</f>
        <v>OK: capability-driven</v>
      </c>
      <c r="N22" s="177" t="str">
        <f>_ENGINE_Risk!CS520</f>
        <v>Yes</v>
      </c>
      <c r="O22" s="177" t="str">
        <f>_ENGINE_Risk!CO520</f>
        <v>Strategy GTM|Corporate strategy|STRA-002|CAP_BACKUP_RECOVERY</v>
      </c>
      <c r="P22" s="177" t="str">
        <f>_ENGINE_Risk!CR520</f>
        <v>Risk ontology uses capability=CAP_BACKUP_RECOVERY; bridge=BRG-083; treatment=TRT-BACKUP_RECOVERY-INITIAL; wording=IW-ALL-BACKUP_RECOVERY</v>
      </c>
    </row>
    <row r="23" spans="1:16" ht="28.3" customHeight="1">
      <c r="A23" s="177" t="str">
        <f>_ENGINE_Risk!CM521</f>
        <v>RISK-ONT-0022</v>
      </c>
      <c r="B23" s="177">
        <f>ROW(_ENGINE_Risk!A521)</f>
        <v>521</v>
      </c>
      <c r="C23" s="177" t="str">
        <f>_ENGINE_Risk!E521</f>
        <v>STRA-003</v>
      </c>
      <c r="D23" s="177" t="str">
        <f>_ENGINE_Risk!C521</f>
        <v>Strategy GTM</v>
      </c>
      <c r="E23" s="177" t="str">
        <f>_ENGINE_Risk!D521</f>
        <v>Corporate strategy</v>
      </c>
      <c r="F23" s="177" t="str">
        <f>_ENGINE_Risk!F521</f>
        <v>Strategic and go-to-market resilience</v>
      </c>
      <c r="G23" s="177" t="str">
        <f>_ENGINE_Risk!G521</f>
        <v>Severe risk: crisis-resilient strategy including adaptation, continuity, digital enablement and recovery options is not reliably controlled. During Demand shock; Financial / liquidity shock; Reputation crisis, the organization may face weak crisis positioning, poor prioritization of segments, revenue leakage and inability to adapt the offering with limited visibility or accountability.</v>
      </c>
      <c r="H23" s="177" t="str">
        <f>_ENGINE_Risk!BT521</f>
        <v>CAP_BACKUP_RECOVERY</v>
      </c>
      <c r="I23" s="177" t="str">
        <f>_ENGINE_Risk!BV521</f>
        <v>BRG-083</v>
      </c>
      <c r="J23" s="177" t="str">
        <f>_ENGINE_Risk!CE521</f>
        <v>IW-ALL-BACKUP_RECOVERY</v>
      </c>
      <c r="K23" s="177" t="str">
        <f>_ENGINE_Risk!BY521</f>
        <v>TRT-BACKUP_RECOVERY-INITIAL</v>
      </c>
      <c r="L23" s="177" t="str">
        <f>_ENGINE_Risk!CP521</f>
        <v>Active</v>
      </c>
      <c r="M23" s="177" t="str">
        <f>_ENGINE_Risk!CQ521</f>
        <v>OK: capability-driven</v>
      </c>
      <c r="N23" s="177" t="str">
        <f>_ENGINE_Risk!CS521</f>
        <v>Yes</v>
      </c>
      <c r="O23" s="177" t="str">
        <f>_ENGINE_Risk!CO521</f>
        <v>Strategy GTM|Corporate strategy|STRA-003|CAP_BACKUP_RECOVERY</v>
      </c>
      <c r="P23" s="177" t="str">
        <f>_ENGINE_Risk!CR521</f>
        <v>Risk ontology uses capability=CAP_BACKUP_RECOVERY; bridge=BRG-083; treatment=TRT-BACKUP_RECOVERY-INITIAL; wording=IW-ALL-BACKUP_RECOVERY</v>
      </c>
    </row>
    <row r="24" spans="1:16" ht="28.3" customHeight="1">
      <c r="A24" s="177" t="str">
        <f>_ENGINE_Risk!CM522</f>
        <v>RISK-ONT-0023</v>
      </c>
      <c r="B24" s="177">
        <f>ROW(_ENGINE_Risk!A522)</f>
        <v>522</v>
      </c>
      <c r="C24" s="177" t="str">
        <f>_ENGINE_Risk!E522</f>
        <v>STRA-004</v>
      </c>
      <c r="D24" s="177" t="str">
        <f>_ENGINE_Risk!C522</f>
        <v>Strategy GTM</v>
      </c>
      <c r="E24" s="177" t="str">
        <f>_ENGINE_Risk!D522</f>
        <v>Corporate strategy</v>
      </c>
      <c r="F24" s="177" t="str">
        <f>_ENGINE_Risk!F522</f>
        <v>Strategic and go-to-market resilience</v>
      </c>
      <c r="G24" s="177" t="str">
        <f>_ENGINE_Risk!G522</f>
        <v>Severe risk: strategic priorities ranked by business value, urgency, risk and resource constraints is not reliably controlled. During Demand shock; Financial / liquidity shock; Reputation crisis, the organization may face weak crisis positioning, poor prioritization of segments, revenue leakage and inability to adapt the offering with limited visibility or accountability.</v>
      </c>
      <c r="H24" s="177" t="str">
        <f>_ENGINE_Risk!BT522</f>
        <v>CAP_BACKUP_RECOVERY</v>
      </c>
      <c r="I24" s="177" t="str">
        <f>_ENGINE_Risk!BV522</f>
        <v>BRG-083</v>
      </c>
      <c r="J24" s="177" t="str">
        <f>_ENGINE_Risk!CE522</f>
        <v>IW-ALL-BACKUP_RECOVERY</v>
      </c>
      <c r="K24" s="177" t="str">
        <f>_ENGINE_Risk!BY522</f>
        <v>TRT-BACKUP_RECOVERY-INITIAL</v>
      </c>
      <c r="L24" s="177" t="str">
        <f>_ENGINE_Risk!CP522</f>
        <v>Active</v>
      </c>
      <c r="M24" s="177" t="str">
        <f>_ENGINE_Risk!CQ522</f>
        <v>OK: capability-driven</v>
      </c>
      <c r="N24" s="177" t="str">
        <f>_ENGINE_Risk!CS522</f>
        <v>Yes</v>
      </c>
      <c r="O24" s="177" t="str">
        <f>_ENGINE_Risk!CO522</f>
        <v>Strategy GTM|Corporate strategy|STRA-004|CAP_BACKUP_RECOVERY</v>
      </c>
      <c r="P24" s="177" t="str">
        <f>_ENGINE_Risk!CR522</f>
        <v>Risk ontology uses capability=CAP_BACKUP_RECOVERY; bridge=BRG-083; treatment=TRT-BACKUP_RECOVERY-INITIAL; wording=IW-ALL-BACKUP_RECOVERY</v>
      </c>
    </row>
    <row r="25" spans="1:16" ht="28.3" customHeight="1">
      <c r="A25" s="177" t="str">
        <f>_ENGINE_Risk!CM523</f>
        <v>RISK-ONT-0024</v>
      </c>
      <c r="B25" s="177">
        <f>ROW(_ENGINE_Risk!A523)</f>
        <v>523</v>
      </c>
      <c r="C25" s="177" t="str">
        <f>_ENGINE_Risk!E523</f>
        <v>STRA-005</v>
      </c>
      <c r="D25" s="177" t="str">
        <f>_ENGINE_Risk!C523</f>
        <v>Strategy GTM</v>
      </c>
      <c r="E25" s="177" t="str">
        <f>_ENGINE_Risk!D523</f>
        <v>Corporate strategy</v>
      </c>
      <c r="F25" s="177" t="str">
        <f>_ENGINE_Risk!F523</f>
        <v>Strategic and go-to-market resilience</v>
      </c>
      <c r="G25" s="177" t="str">
        <f>_ENGINE_Risk!G523</f>
        <v>Severe risk: strategic options for pivoting under demand shock, war, regulation, supply or liquidity crisis is not reliably controlled. During Demand shock; Financial / liquidity shock; Reputation crisis, the organization may face weak crisis positioning, poor prioritization of segments, revenue leakage and inability to adapt the offering with limited visibility or accountability.</v>
      </c>
      <c r="H25" s="177" t="str">
        <f>_ENGINE_Risk!BT523</f>
        <v>CAP_BACKUP_RECOVERY</v>
      </c>
      <c r="I25" s="177" t="str">
        <f>_ENGINE_Risk!BV523</f>
        <v>BRG-083</v>
      </c>
      <c r="J25" s="177" t="str">
        <f>_ENGINE_Risk!CE523</f>
        <v>IW-ALL-BACKUP_RECOVERY</v>
      </c>
      <c r="K25" s="177" t="str">
        <f>_ENGINE_Risk!BY523</f>
        <v>TRT-BACKUP_RECOVERY-INITIAL</v>
      </c>
      <c r="L25" s="177" t="str">
        <f>_ENGINE_Risk!CP523</f>
        <v>Active</v>
      </c>
      <c r="M25" s="177" t="str">
        <f>_ENGINE_Risk!CQ523</f>
        <v>OK: capability-driven</v>
      </c>
      <c r="N25" s="177" t="str">
        <f>_ENGINE_Risk!CS523</f>
        <v>Yes</v>
      </c>
      <c r="O25" s="177" t="str">
        <f>_ENGINE_Risk!CO523</f>
        <v>Strategy GTM|Corporate strategy|STRA-005|CAP_BACKUP_RECOVERY</v>
      </c>
      <c r="P25" s="177" t="str">
        <f>_ENGINE_Risk!CR523</f>
        <v>Risk ontology uses capability=CAP_BACKUP_RECOVERY; bridge=BRG-083; treatment=TRT-BACKUP_RECOVERY-INITIAL; wording=IW-ALL-BACKUP_RECOVERY</v>
      </c>
    </row>
    <row r="26" spans="1:16" ht="28.3" customHeight="1">
      <c r="A26" s="177" t="str">
        <f>_ENGINE_Risk!CM524</f>
        <v>RISK-ONT-0025</v>
      </c>
      <c r="B26" s="177">
        <f>ROW(_ENGINE_Risk!A524)</f>
        <v>524</v>
      </c>
      <c r="C26" s="177" t="str">
        <f>_ENGINE_Risk!E524</f>
        <v>STRA-006</v>
      </c>
      <c r="D26" s="177" t="str">
        <f>_ENGINE_Risk!C524</f>
        <v>Strategy GTM</v>
      </c>
      <c r="E26" s="177" t="str">
        <f>_ENGINE_Risk!D524</f>
        <v>Corporate strategy</v>
      </c>
      <c r="F26" s="177" t="str">
        <f>_ENGINE_Risk!F524</f>
        <v>Strategic and go-to-market resilience</v>
      </c>
      <c r="G26" s="177" t="str">
        <f>_ENGINE_Risk!G524</f>
        <v>Severe risk: alignment between strategy, structure, systems, skills, staff, leadership style and culture is not reliably controlled. During Demand shock; Financial / liquidity shock; Reputation crisis, the organization may face weak crisis positioning, poor prioritization of segments, revenue leakage and inability to adapt the offering with limited visibility or accountability.</v>
      </c>
      <c r="H26" s="177" t="str">
        <f>_ENGINE_Risk!BT524</f>
        <v>CAP_BACKUP_RECOVERY</v>
      </c>
      <c r="I26" s="177" t="str">
        <f>_ENGINE_Risk!BV524</f>
        <v>BRG-083</v>
      </c>
      <c r="J26" s="177" t="str">
        <f>_ENGINE_Risk!CE524</f>
        <v>IW-ALL-BACKUP_RECOVERY</v>
      </c>
      <c r="K26" s="177" t="str">
        <f>_ENGINE_Risk!BY524</f>
        <v>TRT-BACKUP_RECOVERY-INITIAL</v>
      </c>
      <c r="L26" s="177" t="str">
        <f>_ENGINE_Risk!CP524</f>
        <v>Active</v>
      </c>
      <c r="M26" s="177" t="str">
        <f>_ENGINE_Risk!CQ524</f>
        <v>OK: capability-driven</v>
      </c>
      <c r="N26" s="177" t="str">
        <f>_ENGINE_Risk!CS524</f>
        <v>Yes</v>
      </c>
      <c r="O26" s="177" t="str">
        <f>_ENGINE_Risk!CO524</f>
        <v>Strategy GTM|Corporate strategy|STRA-006|CAP_BACKUP_RECOVERY</v>
      </c>
      <c r="P26" s="177" t="str">
        <f>_ENGINE_Risk!CR524</f>
        <v>Risk ontology uses capability=CAP_BACKUP_RECOVERY; bridge=BRG-083; treatment=TRT-BACKUP_RECOVERY-INITIAL; wording=IW-ALL-BACKUP_RECOVERY</v>
      </c>
    </row>
    <row r="27" spans="1:16" ht="28.3" customHeight="1">
      <c r="A27" s="177" t="str">
        <f>_ENGINE_Risk!CM525</f>
        <v>RISK-ONT-0026</v>
      </c>
      <c r="B27" s="177">
        <f>ROW(_ENGINE_Risk!A525)</f>
        <v>525</v>
      </c>
      <c r="C27" s="177" t="str">
        <f>_ENGINE_Risk!E525</f>
        <v>STRA-007</v>
      </c>
      <c r="D27" s="177" t="str">
        <f>_ENGINE_Risk!C525</f>
        <v>Strategy GTM</v>
      </c>
      <c r="E27" s="177" t="str">
        <f>_ENGINE_Risk!D525</f>
        <v>Market and ICP</v>
      </c>
      <c r="F27" s="177" t="str">
        <f>_ENGINE_Risk!F525</f>
        <v>Strategic and go-to-market resilience</v>
      </c>
      <c r="G27" s="177" t="str">
        <f>_ENGINE_Risk!G525</f>
        <v>Severe risk: ideal customer profile by segment, geography, industry, company size, pain, budget and buying trigger is not reliably controlled. During Demand shock; Financial / liquidity shock; Reputation crisis, the organization may face weak crisis positioning, poor prioritization of segments, revenue leakage and inability to adapt the offering with limited visibility or accountability.</v>
      </c>
      <c r="H27" s="177" t="str">
        <f>_ENGINE_Risk!BT525</f>
        <v>CAP_POS_ECOMMERCE</v>
      </c>
      <c r="I27" s="177" t="str">
        <f>_ENGINE_Risk!BV525</f>
        <v>BRG-086</v>
      </c>
      <c r="J27" s="177" t="str">
        <f>_ENGINE_Risk!CE525</f>
        <v>IW-ALL-POS_ECOMMERCE</v>
      </c>
      <c r="K27" s="177" t="str">
        <f>_ENGINE_Risk!BY525</f>
        <v>TRT-POS_ECOMMERCE-INITIAL</v>
      </c>
      <c r="L27" s="177" t="str">
        <f>_ENGINE_Risk!CP525</f>
        <v>Active</v>
      </c>
      <c r="M27" s="177" t="str">
        <f>_ENGINE_Risk!CQ525</f>
        <v>OK: capability-driven</v>
      </c>
      <c r="N27" s="177" t="str">
        <f>_ENGINE_Risk!CS525</f>
        <v>Yes</v>
      </c>
      <c r="O27" s="177" t="str">
        <f>_ENGINE_Risk!CO525</f>
        <v>Strategy GTM|Market and ICP|STRA-007|CAP_POS_ECOMMERCE</v>
      </c>
      <c r="P27" s="177" t="str">
        <f>_ENGINE_Risk!CR525</f>
        <v>Risk ontology uses capability=CAP_POS_ECOMMERCE; bridge=BRG-086; treatment=TRT-POS_ECOMMERCE-INITIAL; wording=IW-ALL-POS_ECOMMERCE</v>
      </c>
    </row>
    <row r="28" spans="1:16" ht="28.3" customHeight="1">
      <c r="A28" s="177" t="str">
        <f>_ENGINE_Risk!CM526</f>
        <v>RISK-ONT-0027</v>
      </c>
      <c r="B28" s="177">
        <f>ROW(_ENGINE_Risk!A526)</f>
        <v>526</v>
      </c>
      <c r="C28" s="177" t="str">
        <f>_ENGINE_Risk!E526</f>
        <v>STRA-008</v>
      </c>
      <c r="D28" s="177" t="str">
        <f>_ENGINE_Risk!C526</f>
        <v>Strategy GTM</v>
      </c>
      <c r="E28" s="177" t="str">
        <f>_ENGINE_Risk!D526</f>
        <v>Market and ICP</v>
      </c>
      <c r="F28" s="177" t="str">
        <f>_ENGINE_Risk!F526</f>
        <v>Strategic and go-to-market resilience</v>
      </c>
      <c r="G28" s="177" t="str">
        <f>_ENGINE_Risk!G526</f>
        <v>Severe risk: buyer personas covering economic buyer, technical buyer, user, influencer and blocker is not reliably controlled. During Demand shock; Financial / liquidity shock; Reputation crisis, the organization may face weak crisis positioning, poor prioritization of segments, revenue leakage and inability to adapt the offering with limited visibility or accountability.</v>
      </c>
      <c r="H28" s="177" t="str">
        <f>_ENGINE_Risk!BT526</f>
        <v>CAP_POS_ECOMMERCE</v>
      </c>
      <c r="I28" s="177" t="str">
        <f>_ENGINE_Risk!BV526</f>
        <v>BRG-086</v>
      </c>
      <c r="J28" s="177" t="str">
        <f>_ENGINE_Risk!CE526</f>
        <v>IW-ALL-POS_ECOMMERCE</v>
      </c>
      <c r="K28" s="177" t="str">
        <f>_ENGINE_Risk!BY526</f>
        <v>TRT-POS_ECOMMERCE-INITIAL</v>
      </c>
      <c r="L28" s="177" t="str">
        <f>_ENGINE_Risk!CP526</f>
        <v>Active</v>
      </c>
      <c r="M28" s="177" t="str">
        <f>_ENGINE_Risk!CQ526</f>
        <v>OK: capability-driven</v>
      </c>
      <c r="N28" s="177" t="str">
        <f>_ENGINE_Risk!CS526</f>
        <v>Yes</v>
      </c>
      <c r="O28" s="177" t="str">
        <f>_ENGINE_Risk!CO526</f>
        <v>Strategy GTM|Market and ICP|STRA-008|CAP_POS_ECOMMERCE</v>
      </c>
      <c r="P28" s="177" t="str">
        <f>_ENGINE_Risk!CR526</f>
        <v>Risk ontology uses capability=CAP_POS_ECOMMERCE; bridge=BRG-086; treatment=TRT-POS_ECOMMERCE-INITIAL; wording=IW-ALL-POS_ECOMMERCE</v>
      </c>
    </row>
    <row r="29" spans="1:16" ht="28.3" customHeight="1">
      <c r="A29" s="177" t="str">
        <f>_ENGINE_Risk!CM527</f>
        <v>RISK-ONT-0028</v>
      </c>
      <c r="B29" s="177">
        <f>ROW(_ENGINE_Risk!A527)</f>
        <v>527</v>
      </c>
      <c r="C29" s="177" t="str">
        <f>_ENGINE_Risk!E527</f>
        <v>STRA-009</v>
      </c>
      <c r="D29" s="177" t="str">
        <f>_ENGINE_Risk!C527</f>
        <v>Strategy GTM</v>
      </c>
      <c r="E29" s="177" t="str">
        <f>_ENGINE_Risk!D527</f>
        <v>Market and ICP</v>
      </c>
      <c r="F29" s="177" t="str">
        <f>_ENGINE_Risk!F527</f>
        <v>Strategic and go-to-market resilience</v>
      </c>
      <c r="G29" s="177" t="str">
        <f>_ENGINE_Risk!G527</f>
        <v>Severe risk: validated customer problems, jobs-to-be-done, urgency triggers and willingness to pay is not reliably controlled. During Demand shock; Financial / liquidity shock; Reputation crisis, the organization may face weak crisis positioning, poor prioritization of segments, revenue leakage and inability to adapt the offering with limited visibility or accountability.</v>
      </c>
      <c r="H29" s="177" t="str">
        <f>_ENGINE_Risk!BT527</f>
        <v>CAP_POS_ECOMMERCE</v>
      </c>
      <c r="I29" s="177" t="str">
        <f>_ENGINE_Risk!BV527</f>
        <v>BRG-086</v>
      </c>
      <c r="J29" s="177" t="str">
        <f>_ENGINE_Risk!CE527</f>
        <v>IW-ALL-POS_ECOMMERCE</v>
      </c>
      <c r="K29" s="177" t="str">
        <f>_ENGINE_Risk!BY527</f>
        <v>TRT-POS_ECOMMERCE-INITIAL</v>
      </c>
      <c r="L29" s="177" t="str">
        <f>_ENGINE_Risk!CP527</f>
        <v>Active</v>
      </c>
      <c r="M29" s="177" t="str">
        <f>_ENGINE_Risk!CQ527</f>
        <v>OK: capability-driven</v>
      </c>
      <c r="N29" s="177" t="str">
        <f>_ENGINE_Risk!CS527</f>
        <v>Yes</v>
      </c>
      <c r="O29" s="177" t="str">
        <f>_ENGINE_Risk!CO527</f>
        <v>Strategy GTM|Market and ICP|STRA-009|CAP_POS_ECOMMERCE</v>
      </c>
      <c r="P29" s="177" t="str">
        <f>_ENGINE_Risk!CR527</f>
        <v>Risk ontology uses capability=CAP_POS_ECOMMERCE; bridge=BRG-086; treatment=TRT-POS_ECOMMERCE-INITIAL; wording=IW-ALL-POS_ECOMMERCE</v>
      </c>
    </row>
    <row r="30" spans="1:16" ht="28.3" customHeight="1">
      <c r="A30" s="177" t="str">
        <f>_ENGINE_Risk!CM528</f>
        <v>RISK-ONT-0029</v>
      </c>
      <c r="B30" s="177">
        <f>ROW(_ENGINE_Risk!A528)</f>
        <v>528</v>
      </c>
      <c r="C30" s="177" t="str">
        <f>_ENGINE_Risk!E528</f>
        <v>STRA-010</v>
      </c>
      <c r="D30" s="177" t="str">
        <f>_ENGINE_Risk!C528</f>
        <v>Strategy GTM</v>
      </c>
      <c r="E30" s="177" t="str">
        <f>_ENGINE_Risk!D528</f>
        <v>Market and ICP</v>
      </c>
      <c r="F30" s="177" t="str">
        <f>_ENGINE_Risk!F528</f>
        <v>Strategic and go-to-market resilience</v>
      </c>
      <c r="G30" s="177" t="str">
        <f>_ENGINE_Risk!G528</f>
        <v>Severe risk: market segmentation by attractiveness, accessibility, profitability and crisis sensitivity is not reliably controlled. During Demand shock; Financial / liquidity shock; Reputation crisis, the organization may face weak crisis positioning, poor prioritization of segments, revenue leakage and inability to adapt the offering with limited visibility or accountability.</v>
      </c>
      <c r="H30" s="177" t="str">
        <f>_ENGINE_Risk!BT528</f>
        <v>CAP_POS_ECOMMERCE</v>
      </c>
      <c r="I30" s="177" t="str">
        <f>_ENGINE_Risk!BV528</f>
        <v>BRG-086</v>
      </c>
      <c r="J30" s="177" t="str">
        <f>_ENGINE_Risk!CE528</f>
        <v>IW-ALL-POS_ECOMMERCE</v>
      </c>
      <c r="K30" s="177" t="str">
        <f>_ENGINE_Risk!BY528</f>
        <v>TRT-POS_ECOMMERCE-INITIAL</v>
      </c>
      <c r="L30" s="177" t="str">
        <f>_ENGINE_Risk!CP528</f>
        <v>Active</v>
      </c>
      <c r="M30" s="177" t="str">
        <f>_ENGINE_Risk!CQ528</f>
        <v>OK: capability-driven</v>
      </c>
      <c r="N30" s="177" t="str">
        <f>_ENGINE_Risk!CS528</f>
        <v>Yes</v>
      </c>
      <c r="O30" s="177" t="str">
        <f>_ENGINE_Risk!CO528</f>
        <v>Strategy GTM|Market and ICP|STRA-010|CAP_POS_ECOMMERCE</v>
      </c>
      <c r="P30" s="177" t="str">
        <f>_ENGINE_Risk!CR528</f>
        <v>Risk ontology uses capability=CAP_POS_ECOMMERCE; bridge=BRG-086; treatment=TRT-POS_ECOMMERCE-INITIAL; wording=IW-ALL-POS_ECOMMERCE</v>
      </c>
    </row>
    <row r="31" spans="1:16" ht="28.3" customHeight="1">
      <c r="A31" s="177" t="str">
        <f>_ENGINE_Risk!CM529</f>
        <v>RISK-ONT-0030</v>
      </c>
      <c r="B31" s="177">
        <f>ROW(_ENGINE_Risk!A529)</f>
        <v>529</v>
      </c>
      <c r="C31" s="177" t="str">
        <f>_ENGINE_Risk!E529</f>
        <v>STRA-011</v>
      </c>
      <c r="D31" s="177" t="str">
        <f>_ENGINE_Risk!C529</f>
        <v>Strategy GTM</v>
      </c>
      <c r="E31" s="177" t="str">
        <f>_ENGINE_Risk!D529</f>
        <v>Market and ICP</v>
      </c>
      <c r="F31" s="177" t="str">
        <f>_ENGINE_Risk!F529</f>
        <v>Strategic and go-to-market resilience</v>
      </c>
      <c r="G31" s="177" t="str">
        <f>_ENGINE_Risk!G529</f>
        <v>Severe risk: market size and growth assumptions with explicit evidence and uncertainty level is not reliably controlled. During Demand shock; Financial / liquidity shock; Reputation crisis, the organization may face weak crisis positioning, poor prioritization of segments, revenue leakage and inability to adapt the offering with limited visibility or accountability.</v>
      </c>
      <c r="H31" s="177" t="str">
        <f>_ENGINE_Risk!BT529</f>
        <v>CAP_POS_ECOMMERCE</v>
      </c>
      <c r="I31" s="177" t="str">
        <f>_ENGINE_Risk!BV529</f>
        <v>BRG-086</v>
      </c>
      <c r="J31" s="177" t="str">
        <f>_ENGINE_Risk!CE529</f>
        <v>IW-ALL-POS_ECOMMERCE</v>
      </c>
      <c r="K31" s="177" t="str">
        <f>_ENGINE_Risk!BY529</f>
        <v>TRT-POS_ECOMMERCE-INITIAL</v>
      </c>
      <c r="L31" s="177" t="str">
        <f>_ENGINE_Risk!CP529</f>
        <v>Active</v>
      </c>
      <c r="M31" s="177" t="str">
        <f>_ENGINE_Risk!CQ529</f>
        <v>OK: capability-driven</v>
      </c>
      <c r="N31" s="177" t="str">
        <f>_ENGINE_Risk!CS529</f>
        <v>Yes</v>
      </c>
      <c r="O31" s="177" t="str">
        <f>_ENGINE_Risk!CO529</f>
        <v>Strategy GTM|Market and ICP|STRA-011|CAP_POS_ECOMMERCE</v>
      </c>
      <c r="P31" s="177" t="str">
        <f>_ENGINE_Risk!CR529</f>
        <v>Risk ontology uses capability=CAP_POS_ECOMMERCE; bridge=BRG-086; treatment=TRT-POS_ECOMMERCE-INITIAL; wording=IW-ALL-POS_ECOMMERCE</v>
      </c>
    </row>
    <row r="32" spans="1:16" ht="28.3" customHeight="1">
      <c r="A32" s="177" t="str">
        <f>_ENGINE_Risk!CM530</f>
        <v>RISK-ONT-0031</v>
      </c>
      <c r="B32" s="177">
        <f>ROW(_ENGINE_Risk!A530)</f>
        <v>530</v>
      </c>
      <c r="C32" s="177" t="str">
        <f>_ENGINE_Risk!E530</f>
        <v>STRA-012</v>
      </c>
      <c r="D32" s="177" t="str">
        <f>_ENGINE_Risk!C530</f>
        <v>Strategy GTM</v>
      </c>
      <c r="E32" s="177" t="str">
        <f>_ENGINE_Risk!D530</f>
        <v>Market and ICP</v>
      </c>
      <c r="F32" s="177" t="str">
        <f>_ENGINE_Risk!F530</f>
        <v>Strategic and go-to-market resilience</v>
      </c>
      <c r="G32" s="177" t="str">
        <f>_ENGINE_Risk!G530</f>
        <v>Severe risk: customer concentration and exposure to specific industries, geographies or budget cycles is not reliably controlled. During Demand shock; Financial / liquidity shock; Reputation crisis, the organization may face weak crisis positioning, poor prioritization of segments, revenue leakage and inability to adapt the offering with limited visibility or accountability.</v>
      </c>
      <c r="H32" s="177" t="str">
        <f>_ENGINE_Risk!BT530</f>
        <v>CAP_POS_ECOMMERCE</v>
      </c>
      <c r="I32" s="177" t="str">
        <f>_ENGINE_Risk!BV530</f>
        <v>BRG-086</v>
      </c>
      <c r="J32" s="177" t="str">
        <f>_ENGINE_Risk!CE530</f>
        <v>IW-ALL-POS_ECOMMERCE</v>
      </c>
      <c r="K32" s="177" t="str">
        <f>_ENGINE_Risk!BY530</f>
        <v>TRT-POS_ECOMMERCE-INITIAL</v>
      </c>
      <c r="L32" s="177" t="str">
        <f>_ENGINE_Risk!CP530</f>
        <v>Active</v>
      </c>
      <c r="M32" s="177" t="str">
        <f>_ENGINE_Risk!CQ530</f>
        <v>OK: capability-driven</v>
      </c>
      <c r="N32" s="177" t="str">
        <f>_ENGINE_Risk!CS530</f>
        <v>Yes</v>
      </c>
      <c r="O32" s="177" t="str">
        <f>_ENGINE_Risk!CO530</f>
        <v>Strategy GTM|Market and ICP|STRA-012|CAP_POS_ECOMMERCE</v>
      </c>
      <c r="P32" s="177" t="str">
        <f>_ENGINE_Risk!CR530</f>
        <v>Risk ontology uses capability=CAP_POS_ECOMMERCE; bridge=BRG-086; treatment=TRT-POS_ECOMMERCE-INITIAL; wording=IW-ALL-POS_ECOMMERCE</v>
      </c>
    </row>
    <row r="33" spans="1:16" ht="28.3" customHeight="1">
      <c r="A33" s="177" t="str">
        <f>_ENGINE_Risk!CM531</f>
        <v>RISK-ONT-0032</v>
      </c>
      <c r="B33" s="177">
        <f>ROW(_ENGINE_Risk!A531)</f>
        <v>531</v>
      </c>
      <c r="C33" s="177" t="str">
        <f>_ENGINE_Risk!E531</f>
        <v>STRA-013</v>
      </c>
      <c r="D33" s="177" t="str">
        <f>_ENGINE_Risk!C531</f>
        <v>Strategy GTM</v>
      </c>
      <c r="E33" s="177" t="str">
        <f>_ENGINE_Risk!D531</f>
        <v>Offering and positioning</v>
      </c>
      <c r="F33" s="177" t="str">
        <f>_ENGINE_Risk!F531</f>
        <v>Strategic and go-to-market resilience</v>
      </c>
      <c r="G33" s="177" t="str">
        <f>_ENGINE_Risk!G531</f>
        <v>Severe risk: structured offering catalog with packages, scope, outcomes, assumptions and delivery requirements is not reliably controlled. During Demand shock; Financial / liquidity shock; Reputation crisis, the organization may face weak crisis positioning, poor prioritization of segments, revenue leakage and inability to adapt the offering with limited visibility or accountability.</v>
      </c>
      <c r="H33" s="177" t="str">
        <f>_ENGINE_Risk!BT531</f>
        <v>CAP_POS_ECOMMERCE</v>
      </c>
      <c r="I33" s="177" t="str">
        <f>_ENGINE_Risk!BV531</f>
        <v>BRG-087</v>
      </c>
      <c r="J33" s="177" t="str">
        <f>_ENGINE_Risk!CE531</f>
        <v>IW-ALL-POS_ECOMMERCE</v>
      </c>
      <c r="K33" s="177" t="str">
        <f>_ENGINE_Risk!BY531</f>
        <v>TRT-POS_ECOMMERCE-INITIAL</v>
      </c>
      <c r="L33" s="177" t="str">
        <f>_ENGINE_Risk!CP531</f>
        <v>Active</v>
      </c>
      <c r="M33" s="177" t="str">
        <f>_ENGINE_Risk!CQ531</f>
        <v>OK: capability-driven</v>
      </c>
      <c r="N33" s="177" t="str">
        <f>_ENGINE_Risk!CS531</f>
        <v>Yes</v>
      </c>
      <c r="O33" s="177" t="str">
        <f>_ENGINE_Risk!CO531</f>
        <v>Strategy GTM|Offering and positioning|STRA-013|CAP_POS_ECOMMERCE</v>
      </c>
      <c r="P33" s="177" t="str">
        <f>_ENGINE_Risk!CR531</f>
        <v>Risk ontology uses capability=CAP_POS_ECOMMERCE; bridge=BRG-087; treatment=TRT-POS_ECOMMERCE-INITIAL; wording=IW-ALL-POS_ECOMMERCE</v>
      </c>
    </row>
    <row r="34" spans="1:16" ht="28.3" customHeight="1">
      <c r="A34" s="177" t="str">
        <f>_ENGINE_Risk!CM532</f>
        <v>RISK-ONT-0033</v>
      </c>
      <c r="B34" s="177">
        <f>ROW(_ENGINE_Risk!A532)</f>
        <v>532</v>
      </c>
      <c r="C34" s="177" t="str">
        <f>_ENGINE_Risk!E532</f>
        <v>STRA-014</v>
      </c>
      <c r="D34" s="177" t="str">
        <f>_ENGINE_Risk!C532</f>
        <v>Strategy GTM</v>
      </c>
      <c r="E34" s="177" t="str">
        <f>_ENGINE_Risk!D532</f>
        <v>Offering and positioning</v>
      </c>
      <c r="F34" s="177" t="str">
        <f>_ENGINE_Risk!F532</f>
        <v>Strategic and go-to-market resilience</v>
      </c>
      <c r="G34" s="177" t="str">
        <f>_ENGINE_Risk!G532</f>
        <v>Severe risk: clear differentiation against direct competitors, substitutes and in-house alternatives is not reliably controlled. During Demand shock; Financial / liquidity shock; Reputation crisis, the organization may face weak crisis positioning, poor prioritization of segments, revenue leakage and inability to adapt the offering with limited visibility or accountability.</v>
      </c>
      <c r="H34" s="177" t="str">
        <f>_ENGINE_Risk!BT532</f>
        <v>CAP_POS_ECOMMERCE</v>
      </c>
      <c r="I34" s="177" t="str">
        <f>_ENGINE_Risk!BV532</f>
        <v>BRG-087</v>
      </c>
      <c r="J34" s="177" t="str">
        <f>_ENGINE_Risk!CE532</f>
        <v>IW-ALL-POS_ECOMMERCE</v>
      </c>
      <c r="K34" s="177" t="str">
        <f>_ENGINE_Risk!BY532</f>
        <v>TRT-POS_ECOMMERCE-INITIAL</v>
      </c>
      <c r="L34" s="177" t="str">
        <f>_ENGINE_Risk!CP532</f>
        <v>Active</v>
      </c>
      <c r="M34" s="177" t="str">
        <f>_ENGINE_Risk!CQ532</f>
        <v>OK: capability-driven</v>
      </c>
      <c r="N34" s="177" t="str">
        <f>_ENGINE_Risk!CS532</f>
        <v>Yes</v>
      </c>
      <c r="O34" s="177" t="str">
        <f>_ENGINE_Risk!CO532</f>
        <v>Strategy GTM|Offering and positioning|STRA-014|CAP_POS_ECOMMERCE</v>
      </c>
      <c r="P34" s="177" t="str">
        <f>_ENGINE_Risk!CR532</f>
        <v>Risk ontology uses capability=CAP_POS_ECOMMERCE; bridge=BRG-087; treatment=TRT-POS_ECOMMERCE-INITIAL; wording=IW-ALL-POS_ECOMMERCE</v>
      </c>
    </row>
    <row r="35" spans="1:16" ht="28.3" customHeight="1">
      <c r="A35" s="177" t="str">
        <f>_ENGINE_Risk!CM533</f>
        <v>RISK-ONT-0034</v>
      </c>
      <c r="B35" s="177">
        <f>ROW(_ENGINE_Risk!A533)</f>
        <v>533</v>
      </c>
      <c r="C35" s="177" t="str">
        <f>_ENGINE_Risk!E533</f>
        <v>STRA-015</v>
      </c>
      <c r="D35" s="177" t="str">
        <f>_ENGINE_Risk!C533</f>
        <v>Strategy GTM</v>
      </c>
      <c r="E35" s="177" t="str">
        <f>_ENGINE_Risk!D533</f>
        <v>Offering and positioning</v>
      </c>
      <c r="F35" s="177" t="str">
        <f>_ENGINE_Risk!F533</f>
        <v>Strategic and go-to-market resilience</v>
      </c>
      <c r="G35" s="177" t="str">
        <f>_ENGINE_Risk!G533</f>
        <v>Severe risk: value proposition linked to measurable customer economic value, risk reduction or continuity impact is not reliably controlled. During Demand shock; Financial / liquidity shock; Reputation crisis, the organization may face weak crisis positioning, poor prioritization of segments, revenue leakage and inability to adapt the offering with limited visibility or accountability.</v>
      </c>
      <c r="H35" s="177" t="str">
        <f>_ENGINE_Risk!BT533</f>
        <v>CAP_POS_ECOMMERCE</v>
      </c>
      <c r="I35" s="177" t="str">
        <f>_ENGINE_Risk!BV533</f>
        <v>BRG-087</v>
      </c>
      <c r="J35" s="177" t="str">
        <f>_ENGINE_Risk!CE533</f>
        <v>IW-ALL-POS_ECOMMERCE</v>
      </c>
      <c r="K35" s="177" t="str">
        <f>_ENGINE_Risk!BY533</f>
        <v>TRT-POS_ECOMMERCE-INITIAL</v>
      </c>
      <c r="L35" s="177" t="str">
        <f>_ENGINE_Risk!CP533</f>
        <v>Active</v>
      </c>
      <c r="M35" s="177" t="str">
        <f>_ENGINE_Risk!CQ533</f>
        <v>OK: capability-driven</v>
      </c>
      <c r="N35" s="177" t="str">
        <f>_ENGINE_Risk!CS533</f>
        <v>Yes</v>
      </c>
      <c r="O35" s="177" t="str">
        <f>_ENGINE_Risk!CO533</f>
        <v>Strategy GTM|Offering and positioning|STRA-015|CAP_POS_ECOMMERCE</v>
      </c>
      <c r="P35" s="177" t="str">
        <f>_ENGINE_Risk!CR533</f>
        <v>Risk ontology uses capability=CAP_POS_ECOMMERCE; bridge=BRG-087; treatment=TRT-POS_ECOMMERCE-INITIAL; wording=IW-ALL-POS_ECOMMERCE</v>
      </c>
    </row>
    <row r="36" spans="1:16" ht="28.3" customHeight="1">
      <c r="A36" s="177" t="str">
        <f>_ENGINE_Risk!CM534</f>
        <v>RISK-ONT-0035</v>
      </c>
      <c r="B36" s="177">
        <f>ROW(_ENGINE_Risk!A534)</f>
        <v>534</v>
      </c>
      <c r="C36" s="177" t="str">
        <f>_ENGINE_Risk!E534</f>
        <v>STRA-016</v>
      </c>
      <c r="D36" s="177" t="str">
        <f>_ENGINE_Risk!C534</f>
        <v>Strategy GTM</v>
      </c>
      <c r="E36" s="177" t="str">
        <f>_ENGINE_Risk!D534</f>
        <v>Offering and positioning</v>
      </c>
      <c r="F36" s="177" t="str">
        <f>_ENGINE_Risk!F534</f>
        <v>Strategic and go-to-market resilience</v>
      </c>
      <c r="G36" s="177" t="str">
        <f>_ENGINE_Risk!G534</f>
        <v>Severe risk: pricing strategy with margin thresholds, discount governance and crisis boundaries is not reliably controlled. During Demand shock; Financial / liquidity shock; Reputation crisis, the organization may face weak crisis positioning, poor prioritization of segments, revenue leakage and inability to adapt the offering with limited visibility or accountability.</v>
      </c>
      <c r="H36" s="177" t="str">
        <f>_ENGINE_Risk!BT534</f>
        <v>CAP_POS_ECOMMERCE</v>
      </c>
      <c r="I36" s="177" t="str">
        <f>_ENGINE_Risk!BV534</f>
        <v>BRG-087</v>
      </c>
      <c r="J36" s="177" t="str">
        <f>_ENGINE_Risk!CE534</f>
        <v>IW-ALL-POS_ECOMMERCE</v>
      </c>
      <c r="K36" s="177" t="str">
        <f>_ENGINE_Risk!BY534</f>
        <v>TRT-POS_ECOMMERCE-INITIAL</v>
      </c>
      <c r="L36" s="177" t="str">
        <f>_ENGINE_Risk!CP534</f>
        <v>Active</v>
      </c>
      <c r="M36" s="177" t="str">
        <f>_ENGINE_Risk!CQ534</f>
        <v>OK: capability-driven</v>
      </c>
      <c r="N36" s="177" t="str">
        <f>_ENGINE_Risk!CS534</f>
        <v>Yes</v>
      </c>
      <c r="O36" s="177" t="str">
        <f>_ENGINE_Risk!CO534</f>
        <v>Strategy GTM|Offering and positioning|STRA-016|CAP_POS_ECOMMERCE</v>
      </c>
      <c r="P36" s="177" t="str">
        <f>_ENGINE_Risk!CR534</f>
        <v>Risk ontology uses capability=CAP_POS_ECOMMERCE; bridge=BRG-087; treatment=TRT-POS_ECOMMERCE-INITIAL; wording=IW-ALL-POS_ECOMMERCE</v>
      </c>
    </row>
    <row r="37" spans="1:16" ht="28.3" customHeight="1">
      <c r="A37" s="177" t="str">
        <f>_ENGINE_Risk!CM535</f>
        <v>RISK-ONT-0036</v>
      </c>
      <c r="B37" s="177">
        <f>ROW(_ENGINE_Risk!A535)</f>
        <v>535</v>
      </c>
      <c r="C37" s="177" t="str">
        <f>_ENGINE_Risk!E535</f>
        <v>STRA-017</v>
      </c>
      <c r="D37" s="177" t="str">
        <f>_ENGINE_Risk!C535</f>
        <v>Strategy GTM</v>
      </c>
      <c r="E37" s="177" t="str">
        <f>_ENGINE_Risk!D535</f>
        <v>Offering and positioning</v>
      </c>
      <c r="F37" s="177" t="str">
        <f>_ENGINE_Risk!F535</f>
        <v>Strategic and go-to-market resilience</v>
      </c>
      <c r="G37" s="177" t="str">
        <f>_ENGINE_Risk!G535</f>
        <v>Severe risk: proof assets such as case studies, references, certifications, security evidence and continuity commitments is not reliably controlled. During Demand shock; Financial / liquidity shock; Reputation crisis, the organization may face weak crisis positioning, poor prioritization of segments, revenue leakage and inability to adapt the offering with limited visibility or accountability.</v>
      </c>
      <c r="H37" s="177" t="str">
        <f>_ENGINE_Risk!BT535</f>
        <v>CAP_POS_ECOMMERCE</v>
      </c>
      <c r="I37" s="177" t="str">
        <f>_ENGINE_Risk!BV535</f>
        <v>BRG-087</v>
      </c>
      <c r="J37" s="177" t="str">
        <f>_ENGINE_Risk!CE535</f>
        <v>IW-ALL-POS_ECOMMERCE</v>
      </c>
      <c r="K37" s="177" t="str">
        <f>_ENGINE_Risk!BY535</f>
        <v>TRT-POS_ECOMMERCE-INITIAL</v>
      </c>
      <c r="L37" s="177" t="str">
        <f>_ENGINE_Risk!CP535</f>
        <v>Active</v>
      </c>
      <c r="M37" s="177" t="str">
        <f>_ENGINE_Risk!CQ535</f>
        <v>OK: capability-driven</v>
      </c>
      <c r="N37" s="177" t="str">
        <f>_ENGINE_Risk!CS535</f>
        <v>Yes</v>
      </c>
      <c r="O37" s="177" t="str">
        <f>_ENGINE_Risk!CO535</f>
        <v>Strategy GTM|Offering and positioning|STRA-017|CAP_POS_ECOMMERCE</v>
      </c>
      <c r="P37" s="177" t="str">
        <f>_ENGINE_Risk!CR535</f>
        <v>Risk ontology uses capability=CAP_POS_ECOMMERCE; bridge=BRG-087; treatment=TRT-POS_ECOMMERCE-INITIAL; wording=IW-ALL-POS_ECOMMERCE</v>
      </c>
    </row>
    <row r="38" spans="1:16" ht="99" customHeight="1">
      <c r="A38" s="177" t="str">
        <f>_ENGINE_Risk!CM536</f>
        <v>RISK-ONT-0037</v>
      </c>
      <c r="B38" s="177">
        <f>ROW(_ENGINE_Risk!A536)</f>
        <v>536</v>
      </c>
      <c r="C38" s="177" t="str">
        <f>_ENGINE_Risk!E536</f>
        <v>STRA-018</v>
      </c>
      <c r="D38" s="177" t="str">
        <f>_ENGINE_Risk!C536</f>
        <v>Strategy GTM</v>
      </c>
      <c r="E38" s="177" t="str">
        <f>_ENGINE_Risk!D536</f>
        <v>Offering and positioning</v>
      </c>
      <c r="F38" s="177" t="str">
        <f>_ENGINE_Risk!F536</f>
        <v>Strategic and go-to-market resilience</v>
      </c>
      <c r="G38" s="177" t="str">
        <f>_ENGINE_Risk!G536</f>
        <v>Severe risk: product or service modularity that allows budget-sensitive or crisis-driven adaptation is not reliably controlled. During Demand shock; Financial / liquidity shock; Reputation crisis, the organization may face weak crisis positioning, poor prioritization of segments, revenue leakage and inability to adapt the offering with limited visibility or accountability.</v>
      </c>
      <c r="H38" s="177" t="str">
        <f>_ENGINE_Risk!BT536</f>
        <v>CAP_POS_ECOMMERCE</v>
      </c>
      <c r="I38" s="177" t="str">
        <f>_ENGINE_Risk!BV536</f>
        <v>BRG-087</v>
      </c>
      <c r="J38" s="177" t="str">
        <f>_ENGINE_Risk!CE536</f>
        <v>IW-ALL-POS_ECOMMERCE</v>
      </c>
      <c r="K38" s="177" t="str">
        <f>_ENGINE_Risk!BY536</f>
        <v>TRT-POS_ECOMMERCE-INITIAL</v>
      </c>
      <c r="L38" s="177" t="str">
        <f>_ENGINE_Risk!CP536</f>
        <v>Active</v>
      </c>
      <c r="M38" s="177" t="str">
        <f>_ENGINE_Risk!CQ536</f>
        <v>OK: capability-driven</v>
      </c>
      <c r="N38" s="177" t="str">
        <f>_ENGINE_Risk!CS536</f>
        <v>Yes</v>
      </c>
      <c r="O38" s="177" t="str">
        <f>_ENGINE_Risk!CO536</f>
        <v>Strategy GTM|Offering and positioning|STRA-018|CAP_POS_ECOMMERCE</v>
      </c>
      <c r="P38" s="177" t="str">
        <f>_ENGINE_Risk!CR536</f>
        <v>Risk ontology uses capability=CAP_POS_ECOMMERCE; bridge=BRG-087; treatment=TRT-POS_ECOMMERCE-INITIAL; wording=IW-ALL-POS_ECOMMERCE</v>
      </c>
    </row>
    <row r="39" spans="1:16" ht="113.15" customHeight="1">
      <c r="A39" s="177" t="str">
        <f>_ENGINE_Risk!CM537</f>
        <v>RISK-ONT-0038</v>
      </c>
      <c r="B39" s="177">
        <f>ROW(_ENGINE_Risk!A537)</f>
        <v>537</v>
      </c>
      <c r="C39" s="177" t="str">
        <f>_ENGINE_Risk!E537</f>
        <v>STRA-019</v>
      </c>
      <c r="D39" s="177" t="str">
        <f>_ENGINE_Risk!C537</f>
        <v>Strategy GTM</v>
      </c>
      <c r="E39" s="177" t="str">
        <f>_ENGINE_Risk!D537</f>
        <v>GTM execution</v>
      </c>
      <c r="F39" s="177" t="str">
        <f>_ENGINE_Risk!F537</f>
        <v>Strategic and go-to-market resilience</v>
      </c>
      <c r="G39" s="177" t="str">
        <f>_ENGINE_Risk!G537</f>
        <v>Severe risk: sales playbooks for ICPs, offerings, objections, competitors and crisis-specific customer concerns is not reliably controlled. During Demand shock; Financial / liquidity shock; Reputation crisis, the organization may face weak crisis positioning, poor prioritization of segments, revenue leakage and inability to adapt the offering with limited visibility or accountability.</v>
      </c>
      <c r="H39" s="177" t="str">
        <f>_ENGINE_Risk!BT537</f>
        <v>CAP_POS_ECOMMERCE</v>
      </c>
      <c r="I39" s="177" t="str">
        <f>_ENGINE_Risk!BV537</f>
        <v>BRG-085</v>
      </c>
      <c r="J39" s="177" t="str">
        <f>_ENGINE_Risk!CE537</f>
        <v>IW-ALL-POS_ECOMMERCE</v>
      </c>
      <c r="K39" s="177" t="str">
        <f>_ENGINE_Risk!BY537</f>
        <v>TRT-POS_ECOMMERCE-INITIAL</v>
      </c>
      <c r="L39" s="177" t="str">
        <f>_ENGINE_Risk!CP537</f>
        <v>Active</v>
      </c>
      <c r="M39" s="177" t="str">
        <f>_ENGINE_Risk!CQ537</f>
        <v>OK: capability-driven</v>
      </c>
      <c r="N39" s="177" t="str">
        <f>_ENGINE_Risk!CS537</f>
        <v>Yes</v>
      </c>
      <c r="O39" s="177" t="str">
        <f>_ENGINE_Risk!CO537</f>
        <v>Strategy GTM|GTM execution|STRA-019|CAP_POS_ECOMMERCE</v>
      </c>
      <c r="P39" s="177" t="str">
        <f>_ENGINE_Risk!CR537</f>
        <v>Risk ontology uses capability=CAP_POS_ECOMMERCE; bridge=BRG-085; treatment=TRT-POS_ECOMMERCE-INITIAL; wording=IW-ALL-POS_ECOMMERCE</v>
      </c>
    </row>
    <row r="40" spans="1:16" ht="113.15" customHeight="1">
      <c r="A40" s="177" t="str">
        <f>_ENGINE_Risk!CM538</f>
        <v>RISK-ONT-0039</v>
      </c>
      <c r="B40" s="177">
        <f>ROW(_ENGINE_Risk!A538)</f>
        <v>538</v>
      </c>
      <c r="C40" s="177" t="str">
        <f>_ENGINE_Risk!E538</f>
        <v>STRA-020</v>
      </c>
      <c r="D40" s="177" t="str">
        <f>_ENGINE_Risk!C538</f>
        <v>Strategy GTM</v>
      </c>
      <c r="E40" s="177" t="str">
        <f>_ENGINE_Risk!D538</f>
        <v>GTM execution</v>
      </c>
      <c r="F40" s="177" t="str">
        <f>_ENGINE_Risk!F538</f>
        <v>Strategic and go-to-market resilience</v>
      </c>
      <c r="G40" s="177" t="str">
        <f>_ENGINE_Risk!G538</f>
        <v>Severe risk: pipeline governance with clear stages, qualification criteria, forecast probability and CRM discipline is not reliably controlled. During Demand shock; Financial / liquidity shock; Reputation crisis, the organization may face weak crisis positioning, poor prioritization of segments, revenue leakage and inability to adapt the offering with limited visibility or accountability.</v>
      </c>
      <c r="H40" s="177" t="str">
        <f>_ENGINE_Risk!BT538</f>
        <v>CAP_POS_ECOMMERCE</v>
      </c>
      <c r="I40" s="177" t="str">
        <f>_ENGINE_Risk!BV538</f>
        <v>BRG-085</v>
      </c>
      <c r="J40" s="177" t="str">
        <f>_ENGINE_Risk!CE538</f>
        <v>IW-ALL-POS_ECOMMERCE</v>
      </c>
      <c r="K40" s="177" t="str">
        <f>_ENGINE_Risk!BY538</f>
        <v>TRT-POS_ECOMMERCE-INITIAL</v>
      </c>
      <c r="L40" s="177" t="str">
        <f>_ENGINE_Risk!CP538</f>
        <v>Active</v>
      </c>
      <c r="M40" s="177" t="str">
        <f>_ENGINE_Risk!CQ538</f>
        <v>OK: capability-driven</v>
      </c>
      <c r="N40" s="177" t="str">
        <f>_ENGINE_Risk!CS538</f>
        <v>Yes</v>
      </c>
      <c r="O40" s="177" t="str">
        <f>_ENGINE_Risk!CO538</f>
        <v>Strategy GTM|GTM execution|STRA-020|CAP_POS_ECOMMERCE</v>
      </c>
      <c r="P40" s="177" t="str">
        <f>_ENGINE_Risk!CR538</f>
        <v>Risk ontology uses capability=CAP_POS_ECOMMERCE; bridge=BRG-085; treatment=TRT-POS_ECOMMERCE-INITIAL; wording=IW-ALL-POS_ECOMMERCE</v>
      </c>
    </row>
    <row r="41" spans="1:16" ht="113.15" customHeight="1">
      <c r="A41" s="177" t="str">
        <f>_ENGINE_Risk!CM539</f>
        <v>RISK-ONT-0040</v>
      </c>
      <c r="B41" s="177">
        <f>ROW(_ENGINE_Risk!A539)</f>
        <v>539</v>
      </c>
      <c r="C41" s="177" t="str">
        <f>_ENGINE_Risk!E539</f>
        <v>STRA-021</v>
      </c>
      <c r="D41" s="177" t="str">
        <f>_ENGINE_Risk!C539</f>
        <v>Strategy GTM</v>
      </c>
      <c r="E41" s="177" t="str">
        <f>_ENGINE_Risk!D539</f>
        <v>GTM execution</v>
      </c>
      <c r="F41" s="177" t="str">
        <f>_ENGINE_Risk!F539</f>
        <v>Strategic and go-to-market resilience</v>
      </c>
      <c r="G41" s="177" t="str">
        <f>_ENGINE_Risk!G539</f>
        <v>Severe risk: channel strategy across direct sales, partners, ecommerce, marketplaces, distributors and digital channels is not reliably controlled. During Demand shock; Financial / liquidity shock; Reputation crisis, the organization may face weak crisis positioning, poor prioritization of segments, revenue leakage and inability to adapt the offering with limited visibility or accountability.</v>
      </c>
      <c r="H41" s="177" t="str">
        <f>_ENGINE_Risk!BT539</f>
        <v>CAP_POS_ECOMMERCE</v>
      </c>
      <c r="I41" s="177" t="str">
        <f>_ENGINE_Risk!BV539</f>
        <v>BRG-085</v>
      </c>
      <c r="J41" s="177" t="str">
        <f>_ENGINE_Risk!CE539</f>
        <v>IW-ALL-POS_ECOMMERCE</v>
      </c>
      <c r="K41" s="177" t="str">
        <f>_ENGINE_Risk!BY539</f>
        <v>TRT-POS_ECOMMERCE-INITIAL</v>
      </c>
      <c r="L41" s="177" t="str">
        <f>_ENGINE_Risk!CP539</f>
        <v>Active</v>
      </c>
      <c r="M41" s="177" t="str">
        <f>_ENGINE_Risk!CQ539</f>
        <v>OK: capability-driven</v>
      </c>
      <c r="N41" s="177" t="str">
        <f>_ENGINE_Risk!CS539</f>
        <v>Yes</v>
      </c>
      <c r="O41" s="177" t="str">
        <f>_ENGINE_Risk!CO539</f>
        <v>Strategy GTM|GTM execution|STRA-021|CAP_POS_ECOMMERCE</v>
      </c>
      <c r="P41" s="177" t="str">
        <f>_ENGINE_Risk!CR539</f>
        <v>Risk ontology uses capability=CAP_POS_ECOMMERCE; bridge=BRG-085; treatment=TRT-POS_ECOMMERCE-INITIAL; wording=IW-ALL-POS_ECOMMERCE</v>
      </c>
    </row>
    <row r="42" spans="1:16" ht="99" customHeight="1">
      <c r="A42" s="177" t="str">
        <f>_ENGINE_Risk!CM540</f>
        <v>RISK-ONT-0041</v>
      </c>
      <c r="B42" s="177">
        <f>ROW(_ENGINE_Risk!A540)</f>
        <v>540</v>
      </c>
      <c r="C42" s="177" t="str">
        <f>_ENGINE_Risk!E540</f>
        <v>STRA-022</v>
      </c>
      <c r="D42" s="177" t="str">
        <f>_ENGINE_Risk!C540</f>
        <v>Strategy GTM</v>
      </c>
      <c r="E42" s="177" t="str">
        <f>_ENGINE_Risk!D540</f>
        <v>GTM execution</v>
      </c>
      <c r="F42" s="177" t="str">
        <f>_ENGINE_Risk!F540</f>
        <v>Strategic and go-to-market resilience</v>
      </c>
      <c r="G42" s="177" t="str">
        <f>_ENGINE_Risk!G540</f>
        <v>Severe risk: win/loss analysis feeding back into strategy, offering, pricing and messaging is not reliably controlled. During Demand shock; Financial / liquidity shock; Reputation crisis, the organization may face weak crisis positioning, poor prioritization of segments, revenue leakage and inability to adapt the offering with limited visibility or accountability.</v>
      </c>
      <c r="H42" s="177" t="str">
        <f>_ENGINE_Risk!BT540</f>
        <v>CAP_POS_ECOMMERCE</v>
      </c>
      <c r="I42" s="177" t="str">
        <f>_ENGINE_Risk!BV540</f>
        <v>BRG-085</v>
      </c>
      <c r="J42" s="177" t="str">
        <f>_ENGINE_Risk!CE540</f>
        <v>IW-ALL-POS_ECOMMERCE</v>
      </c>
      <c r="K42" s="177" t="str">
        <f>_ENGINE_Risk!BY540</f>
        <v>TRT-POS_ECOMMERCE-INITIAL</v>
      </c>
      <c r="L42" s="177" t="str">
        <f>_ENGINE_Risk!CP540</f>
        <v>Active</v>
      </c>
      <c r="M42" s="177" t="str">
        <f>_ENGINE_Risk!CQ540</f>
        <v>OK: capability-driven</v>
      </c>
      <c r="N42" s="177" t="str">
        <f>_ENGINE_Risk!CS540</f>
        <v>Yes</v>
      </c>
      <c r="O42" s="177" t="str">
        <f>_ENGINE_Risk!CO540</f>
        <v>Strategy GTM|GTM execution|STRA-022|CAP_POS_ECOMMERCE</v>
      </c>
      <c r="P42" s="177" t="str">
        <f>_ENGINE_Risk!CR540</f>
        <v>Risk ontology uses capability=CAP_POS_ECOMMERCE; bridge=BRG-085; treatment=TRT-POS_ECOMMERCE-INITIAL; wording=IW-ALL-POS_ECOMMERCE</v>
      </c>
    </row>
    <row r="43" spans="1:16" ht="113.15" customHeight="1">
      <c r="A43" s="177" t="str">
        <f>_ENGINE_Risk!CM541</f>
        <v>RISK-ONT-0042</v>
      </c>
      <c r="B43" s="177">
        <f>ROW(_ENGINE_Risk!A541)</f>
        <v>541</v>
      </c>
      <c r="C43" s="177" t="str">
        <f>_ENGINE_Risk!E541</f>
        <v>STRA-024</v>
      </c>
      <c r="D43" s="177" t="str">
        <f>_ENGINE_Risk!C541</f>
        <v>Strategy GTM</v>
      </c>
      <c r="E43" s="177" t="str">
        <f>_ENGINE_Risk!D541</f>
        <v>GTM execution</v>
      </c>
      <c r="F43" s="177" t="str">
        <f>_ENGINE_Risk!F541</f>
        <v>Strategic and go-to-market resilience</v>
      </c>
      <c r="G43" s="177" t="str">
        <f>_ENGINE_Risk!G541</f>
        <v>Severe risk: leading indicators for demand, churn, pricing pressure, conversion, sales velocity and customer health is not reliably controlled. During Demand shock; Financial / liquidity shock; Reputation crisis, the organization may face weak crisis positioning, poor prioritization of segments, revenue leakage and inability to adapt the offering with limited visibility or accountability.</v>
      </c>
      <c r="H43" s="177" t="str">
        <f>_ENGINE_Risk!BT541</f>
        <v>CAP_POS_ECOMMERCE</v>
      </c>
      <c r="I43" s="177" t="str">
        <f>_ENGINE_Risk!BV541</f>
        <v>BRG-085</v>
      </c>
      <c r="J43" s="177" t="str">
        <f>_ENGINE_Risk!CE541</f>
        <v>IW-ALL-POS_ECOMMERCE</v>
      </c>
      <c r="K43" s="177" t="str">
        <f>_ENGINE_Risk!BY541</f>
        <v>TRT-POS_ECOMMERCE-INITIAL</v>
      </c>
      <c r="L43" s="177" t="str">
        <f>_ENGINE_Risk!CP541</f>
        <v>Active</v>
      </c>
      <c r="M43" s="177" t="str">
        <f>_ENGINE_Risk!CQ541</f>
        <v>OK: capability-driven</v>
      </c>
      <c r="N43" s="177" t="str">
        <f>_ENGINE_Risk!CS541</f>
        <v>Yes</v>
      </c>
      <c r="O43" s="177" t="str">
        <f>_ENGINE_Risk!CO541</f>
        <v>Strategy GTM|GTM execution|STRA-024|CAP_POS_ECOMMERCE</v>
      </c>
      <c r="P43" s="177" t="str">
        <f>_ENGINE_Risk!CR541</f>
        <v>Risk ontology uses capability=CAP_POS_ECOMMERCE; bridge=BRG-085; treatment=TRT-POS_ECOMMERCE-INITIAL; wording=IW-ALL-POS_ECOMMERCE</v>
      </c>
    </row>
    <row r="44" spans="1:16" ht="99" customHeight="1">
      <c r="A44" s="177" t="str">
        <f>_ENGINE_Risk!CM542</f>
        <v>RISK-ONT-0043</v>
      </c>
      <c r="B44" s="177">
        <f>ROW(_ENGINE_Risk!A542)</f>
        <v>542</v>
      </c>
      <c r="C44" s="177" t="str">
        <f>_ENGINE_Risk!E542</f>
        <v>STRA-025</v>
      </c>
      <c r="D44" s="177" t="str">
        <f>_ENGINE_Risk!C542</f>
        <v>Strategy GTM</v>
      </c>
      <c r="E44" s="177" t="str">
        <f>_ENGINE_Risk!D542</f>
        <v>External relations and partnerships</v>
      </c>
      <c r="F44" s="177" t="str">
        <f>_ENGINE_Risk!F542</f>
        <v>External relationships and stakeholder resilience</v>
      </c>
      <c r="G44" s="177" t="str">
        <f>_ENGINE_Risk!G542</f>
        <v>Severe risk: partner and alliance portfolio management with selection criteria, contracts, performance review and dependency control is not reliably controlled. During Demand shock; Supplier/logistics disruption; Reputation crisis, the organization may face partner-driven revenue loss, channel conflicts and unmanaged third-party dependencies with limited visibility or accountability.</v>
      </c>
      <c r="H44" s="177" t="str">
        <f>_ENGINE_Risk!BT542</f>
        <v>CAP_CUSTOMER_COMMUNICATION</v>
      </c>
      <c r="I44" s="177" t="str">
        <f>_ENGINE_Risk!BV542</f>
        <v>BRG-084</v>
      </c>
      <c r="J44" s="177" t="str">
        <f>_ENGINE_Risk!CE542</f>
        <v>IW-ALL-CUSTOMER_COMMUNICATION</v>
      </c>
      <c r="K44" s="177" t="str">
        <f>_ENGINE_Risk!BY542</f>
        <v>TRT-CUSTOMER_COMMUNICATION-INITIAL</v>
      </c>
      <c r="L44" s="177" t="str">
        <f>_ENGINE_Risk!CP542</f>
        <v>Active</v>
      </c>
      <c r="M44" s="177" t="str">
        <f>_ENGINE_Risk!CQ542</f>
        <v>OK: capability-driven</v>
      </c>
      <c r="N44" s="177" t="str">
        <f>_ENGINE_Risk!CS542</f>
        <v>Yes</v>
      </c>
      <c r="O44" s="177" t="str">
        <f>_ENGINE_Risk!CO542</f>
        <v>Strategy GTM|External relations and partnerships|STRA-025|CAP_CUSTOMER_COMMUNICATION</v>
      </c>
      <c r="P44" s="177" t="str">
        <f>_ENGINE_Risk!CR542</f>
        <v>Risk ontology uses capability=CAP_CUSTOMER_COMMUNICATION; bridge=BRG-084; treatment=TRT-CUSTOMER_COMMUNICATION-INITIAL; wording=IW-ALL-CUSTOMER_COMMUNICATION</v>
      </c>
    </row>
    <row r="45" spans="1:16" ht="99" customHeight="1">
      <c r="A45" s="177" t="str">
        <f>_ENGINE_Risk!CM543</f>
        <v>RISK-ONT-0044</v>
      </c>
      <c r="B45" s="177">
        <f>ROW(_ENGINE_Risk!A543)</f>
        <v>543</v>
      </c>
      <c r="C45" s="177" t="str">
        <f>_ENGINE_Risk!E543</f>
        <v>STRA-026</v>
      </c>
      <c r="D45" s="177" t="str">
        <f>_ENGINE_Risk!C543</f>
        <v>Strategy GTM</v>
      </c>
      <c r="E45" s="177" t="str">
        <f>_ENGINE_Risk!D543</f>
        <v>External relations and partnerships</v>
      </c>
      <c r="F45" s="177" t="str">
        <f>_ENGINE_Risk!F543</f>
        <v>External relationships and stakeholder resilience</v>
      </c>
      <c r="G45" s="177" t="str">
        <f>_ENGINE_Risk!G543</f>
        <v>Severe risk: government and regulator relations with named owners, engagement plan and crisis escalation contacts is not reliably controlled. During Regulatory/legal shock; War/security crisis, the organization may face slow regulatory escalation, missed license or permit issues and weak institutional support during crisis with limited visibility or accountability.</v>
      </c>
      <c r="H45" s="177" t="str">
        <f>_ENGINE_Risk!BT543</f>
        <v>CAP_CUSTOMER_COMMUNICATION</v>
      </c>
      <c r="I45" s="177" t="str">
        <f>_ENGINE_Risk!BV543</f>
        <v>BRG-084</v>
      </c>
      <c r="J45" s="177" t="str">
        <f>_ENGINE_Risk!CE543</f>
        <v>IW-ALL-CUSTOMER_COMMUNICATION</v>
      </c>
      <c r="K45" s="177" t="str">
        <f>_ENGINE_Risk!BY543</f>
        <v>TRT-CUSTOMER_COMMUNICATION-INITIAL</v>
      </c>
      <c r="L45" s="177" t="str">
        <f>_ENGINE_Risk!CP543</f>
        <v>Active</v>
      </c>
      <c r="M45" s="177" t="str">
        <f>_ENGINE_Risk!CQ543</f>
        <v>OK: capability-driven</v>
      </c>
      <c r="N45" s="177" t="str">
        <f>_ENGINE_Risk!CS543</f>
        <v>Yes</v>
      </c>
      <c r="O45" s="177" t="str">
        <f>_ENGINE_Risk!CO543</f>
        <v>Strategy GTM|External relations and partnerships|STRA-026|CAP_CUSTOMER_COMMUNICATION</v>
      </c>
      <c r="P45" s="177" t="str">
        <f>_ENGINE_Risk!CR543</f>
        <v>Risk ontology uses capability=CAP_CUSTOMER_COMMUNICATION; bridge=BRG-084; treatment=TRT-CUSTOMER_COMMUNICATION-INITIAL; wording=IW-ALL-CUSTOMER_COMMUNICATION</v>
      </c>
    </row>
    <row r="46" spans="1:16" ht="99" customHeight="1">
      <c r="A46" s="177" t="str">
        <f>_ENGINE_Risk!CM544</f>
        <v>RISK-ONT-0045</v>
      </c>
      <c r="B46" s="177">
        <f>ROW(_ENGINE_Risk!A544)</f>
        <v>544</v>
      </c>
      <c r="C46" s="177" t="str">
        <f>_ENGINE_Risk!E544</f>
        <v>STRA-028</v>
      </c>
      <c r="D46" s="177" t="str">
        <f>_ENGINE_Risk!C544</f>
        <v>Strategy GTM</v>
      </c>
      <c r="E46" s="177" t="str">
        <f>_ENGINE_Risk!D544</f>
        <v>External relations and partnerships</v>
      </c>
      <c r="F46" s="177" t="str">
        <f>_ENGINE_Risk!F544</f>
        <v>External relationships and stakeholder resilience</v>
      </c>
      <c r="G46" s="177" t="str">
        <f>_ENGINE_Risk!G544</f>
        <v>Severe risk: owner, investor and lender communication discipline including bad-news protocols and crisis updates is not reliably controlled. During Financial/liquidity crisis; Reputation crisis, the organization may face loss of funding confidence, covenant surprises and shareholder conflict during downturn with limited visibility or accountability.</v>
      </c>
      <c r="H46" s="177" t="str">
        <f>_ENGINE_Risk!BT544</f>
        <v>CAP_CUSTOMER_COMMUNICATION</v>
      </c>
      <c r="I46" s="177" t="str">
        <f>_ENGINE_Risk!BV544</f>
        <v>BRG-084</v>
      </c>
      <c r="J46" s="177" t="str">
        <f>_ENGINE_Risk!CE544</f>
        <v>IW-ALL-CUSTOMER_COMMUNICATION</v>
      </c>
      <c r="K46" s="177" t="str">
        <f>_ENGINE_Risk!BY544</f>
        <v>TRT-CUSTOMER_COMMUNICATION-INITIAL</v>
      </c>
      <c r="L46" s="177" t="str">
        <f>_ENGINE_Risk!CP544</f>
        <v>Active</v>
      </c>
      <c r="M46" s="177" t="str">
        <f>_ENGINE_Risk!CQ544</f>
        <v>OK: capability-driven</v>
      </c>
      <c r="N46" s="177" t="str">
        <f>_ENGINE_Risk!CS544</f>
        <v>Yes</v>
      </c>
      <c r="O46" s="177" t="str">
        <f>_ENGINE_Risk!CO544</f>
        <v>Strategy GTM|External relations and partnerships|STRA-028|CAP_CUSTOMER_COMMUNICATION</v>
      </c>
      <c r="P46" s="177" t="str">
        <f>_ENGINE_Risk!CR544</f>
        <v>Risk ontology uses capability=CAP_CUSTOMER_COMMUNICATION; bridge=BRG-084; treatment=TRT-CUSTOMER_COMMUNICATION-INITIAL; wording=IW-ALL-CUSTOMER_COMMUNICATION</v>
      </c>
    </row>
    <row r="47" spans="1:16" ht="84.9" customHeight="1">
      <c r="A47" s="177" t="str">
        <f>_ENGINE_Risk!CM545</f>
        <v>RISK-ONT-0046</v>
      </c>
      <c r="B47" s="177">
        <f>ROW(_ENGINE_Risk!A545)</f>
        <v>545</v>
      </c>
      <c r="C47" s="177" t="str">
        <f>_ENGINE_Risk!E545</f>
        <v>GOVE-001</v>
      </c>
      <c r="D47" s="177" t="str">
        <f>_ENGINE_Risk!C545</f>
        <v>Governance Crisis</v>
      </c>
      <c r="E47" s="177" t="str">
        <f>_ENGINE_Risk!D545</f>
        <v>Crisis governance</v>
      </c>
      <c r="F47" s="177" t="str">
        <f>_ENGINE_Risk!F545</f>
        <v>Crisis governance and decision-making</v>
      </c>
      <c r="G47" s="177" t="str">
        <f>_ENGINE_Risk!G545</f>
        <v>Severe risk: formal crisis management structure with named roles, deputies, escalation paths and decision authority is not reliably controlled. During All crisis types, the organization may face slow decisions, unclear escalation, duplicated actions and weak crisis command with limited visibility or accountability.</v>
      </c>
      <c r="H47" s="177" t="str">
        <f>_ENGINE_Risk!BT545</f>
        <v>CAP_INCIDENT_RESPONSE</v>
      </c>
      <c r="I47" s="177" t="str">
        <f>_ENGINE_Risk!BV545</f>
        <v>BRG-035</v>
      </c>
      <c r="J47" s="177" t="str">
        <f>_ENGINE_Risk!CE545</f>
        <v>IW-ALL-INCIDENT_RESPONSE</v>
      </c>
      <c r="K47" s="177" t="str">
        <f>_ENGINE_Risk!BY545</f>
        <v>TRT-INCIDENT_RESPONSE-INITIAL</v>
      </c>
      <c r="L47" s="177" t="str">
        <f>_ENGINE_Risk!CP545</f>
        <v>Active</v>
      </c>
      <c r="M47" s="177" t="str">
        <f>_ENGINE_Risk!CQ545</f>
        <v>OK: capability-driven</v>
      </c>
      <c r="N47" s="177" t="str">
        <f>_ENGINE_Risk!CS545</f>
        <v>Yes</v>
      </c>
      <c r="O47" s="177" t="str">
        <f>_ENGINE_Risk!CO545</f>
        <v>Governance Crisis|Crisis governance|GOVE-001|CAP_INCIDENT_RESPONSE</v>
      </c>
      <c r="P47" s="177" t="str">
        <f>_ENGINE_Risk!CR545</f>
        <v>Risk ontology uses capability=CAP_INCIDENT_RESPONSE; bridge=BRG-035; treatment=TRT-INCIDENT_RESPONSE-INITIAL; wording=IW-ALL-INCIDENT_RESPONSE</v>
      </c>
    </row>
    <row r="48" spans="1:16" ht="84.9" customHeight="1">
      <c r="A48" s="177" t="str">
        <f>_ENGINE_Risk!CM546</f>
        <v>RISK-ONT-0047</v>
      </c>
      <c r="B48" s="177">
        <f>ROW(_ENGINE_Risk!A546)</f>
        <v>546</v>
      </c>
      <c r="C48" s="177" t="str">
        <f>_ENGINE_Risk!E546</f>
        <v>GOVE-002</v>
      </c>
      <c r="D48" s="177" t="str">
        <f>_ENGINE_Risk!C546</f>
        <v>Governance Crisis</v>
      </c>
      <c r="E48" s="177" t="str">
        <f>_ENGINE_Risk!D546</f>
        <v>Crisis governance</v>
      </c>
      <c r="F48" s="177" t="str">
        <f>_ENGINE_Risk!F546</f>
        <v>Crisis governance and decision-making</v>
      </c>
      <c r="G48" s="177" t="str">
        <f>_ENGINE_Risk!G546</f>
        <v>Severe risk: executive crisis team trained for cross-functional crisis response is not reliably controlled. During All crisis types, the organization may face slow decisions, unclear escalation, duplicated actions and weak crisis command with limited visibility or accountability.</v>
      </c>
      <c r="H48" s="177" t="str">
        <f>_ENGINE_Risk!BT546</f>
        <v>CAP_INCIDENT_RESPONSE</v>
      </c>
      <c r="I48" s="177" t="str">
        <f>_ENGINE_Risk!BV546</f>
        <v>BRG-035</v>
      </c>
      <c r="J48" s="177" t="str">
        <f>_ENGINE_Risk!CE546</f>
        <v>IW-ALL-INCIDENT_RESPONSE</v>
      </c>
      <c r="K48" s="177" t="str">
        <f>_ENGINE_Risk!BY546</f>
        <v>TRT-INCIDENT_RESPONSE-INITIAL</v>
      </c>
      <c r="L48" s="177" t="str">
        <f>_ENGINE_Risk!CP546</f>
        <v>Active</v>
      </c>
      <c r="M48" s="177" t="str">
        <f>_ENGINE_Risk!CQ546</f>
        <v>OK: capability-driven</v>
      </c>
      <c r="N48" s="177" t="str">
        <f>_ENGINE_Risk!CS546</f>
        <v>Yes</v>
      </c>
      <c r="O48" s="177" t="str">
        <f>_ENGINE_Risk!CO546</f>
        <v>Governance Crisis|Crisis governance|GOVE-002|CAP_INCIDENT_RESPONSE</v>
      </c>
      <c r="P48" s="177" t="str">
        <f>_ENGINE_Risk!CR546</f>
        <v>Risk ontology uses capability=CAP_INCIDENT_RESPONSE; bridge=BRG-035; treatment=TRT-INCIDENT_RESPONSE-INITIAL; wording=IW-ALL-INCIDENT_RESPONSE</v>
      </c>
    </row>
    <row r="49" spans="1:16" ht="84.9" customHeight="1">
      <c r="A49" s="177" t="str">
        <f>_ENGINE_Risk!CM547</f>
        <v>RISK-ONT-0048</v>
      </c>
      <c r="B49" s="177">
        <f>ROW(_ENGINE_Risk!A547)</f>
        <v>547</v>
      </c>
      <c r="C49" s="177" t="str">
        <f>_ENGINE_Risk!E547</f>
        <v>GOVE-003</v>
      </c>
      <c r="D49" s="177" t="str">
        <f>_ENGINE_Risk!C547</f>
        <v>Governance Crisis</v>
      </c>
      <c r="E49" s="177" t="str">
        <f>_ENGINE_Risk!D547</f>
        <v>Crisis governance</v>
      </c>
      <c r="F49" s="177" t="str">
        <f>_ENGINE_Risk!F547</f>
        <v>Crisis governance and decision-making</v>
      </c>
      <c r="G49" s="177" t="str">
        <f>_ENGINE_Risk!G547</f>
        <v>Severe risk: clear crisis decision rights for finance, people, operations, IT, legal, safety and communications is not reliably controlled. During All crisis types, the organization may face slow decisions, unclear escalation, duplicated actions and weak crisis command with limited visibility or accountability.</v>
      </c>
      <c r="H49" s="177" t="str">
        <f>_ENGINE_Risk!BT547</f>
        <v>CAP_INCIDENT_RESPONSE</v>
      </c>
      <c r="I49" s="177" t="str">
        <f>_ENGINE_Risk!BV547</f>
        <v>BRG-035</v>
      </c>
      <c r="J49" s="177" t="str">
        <f>_ENGINE_Risk!CE547</f>
        <v>IW-ALL-INCIDENT_RESPONSE</v>
      </c>
      <c r="K49" s="177" t="str">
        <f>_ENGINE_Risk!BY547</f>
        <v>TRT-INCIDENT_RESPONSE-INITIAL</v>
      </c>
      <c r="L49" s="177" t="str">
        <f>_ENGINE_Risk!CP547</f>
        <v>Active</v>
      </c>
      <c r="M49" s="177" t="str">
        <f>_ENGINE_Risk!CQ547</f>
        <v>OK: capability-driven</v>
      </c>
      <c r="N49" s="177" t="str">
        <f>_ENGINE_Risk!CS547</f>
        <v>Yes</v>
      </c>
      <c r="O49" s="177" t="str">
        <f>_ENGINE_Risk!CO547</f>
        <v>Governance Crisis|Crisis governance|GOVE-003|CAP_INCIDENT_RESPONSE</v>
      </c>
      <c r="P49" s="177" t="str">
        <f>_ENGINE_Risk!CR547</f>
        <v>Risk ontology uses capability=CAP_INCIDENT_RESPONSE; bridge=BRG-035; treatment=TRT-INCIDENT_RESPONSE-INITIAL; wording=IW-ALL-INCIDENT_RESPONSE</v>
      </c>
    </row>
    <row r="50" spans="1:16" ht="84.9" customHeight="1">
      <c r="A50" s="177" t="str">
        <f>_ENGINE_Risk!CM548</f>
        <v>RISK-ONT-0049</v>
      </c>
      <c r="B50" s="177">
        <f>ROW(_ENGINE_Risk!A548)</f>
        <v>548</v>
      </c>
      <c r="C50" s="177" t="str">
        <f>_ENGINE_Risk!E548</f>
        <v>GOVE-004</v>
      </c>
      <c r="D50" s="177" t="str">
        <f>_ENGINE_Risk!C548</f>
        <v>Governance Crisis</v>
      </c>
      <c r="E50" s="177" t="str">
        <f>_ENGINE_Risk!D548</f>
        <v>Crisis governance</v>
      </c>
      <c r="F50" s="177" t="str">
        <f>_ENGINE_Risk!F548</f>
        <v>Crisis governance and decision-making</v>
      </c>
      <c r="G50" s="177" t="str">
        <f>_ENGINE_Risk!G548</f>
        <v>Severe risk: crisis cadence for situation reports, decisions, action owners, deadlines and follow-up is not reliably controlled. During All crisis types, the organization may face slow decisions, unclear escalation, duplicated actions and weak crisis command with limited visibility or accountability.</v>
      </c>
      <c r="H50" s="177" t="str">
        <f>_ENGINE_Risk!BT548</f>
        <v>CAP_INCIDENT_RESPONSE</v>
      </c>
      <c r="I50" s="177" t="str">
        <f>_ENGINE_Risk!BV548</f>
        <v>BRG-035</v>
      </c>
      <c r="J50" s="177" t="str">
        <f>_ENGINE_Risk!CE548</f>
        <v>IW-ALL-INCIDENT_RESPONSE</v>
      </c>
      <c r="K50" s="177" t="str">
        <f>_ENGINE_Risk!BY548</f>
        <v>TRT-INCIDENT_RESPONSE-INITIAL</v>
      </c>
      <c r="L50" s="177" t="str">
        <f>_ENGINE_Risk!CP548</f>
        <v>Active</v>
      </c>
      <c r="M50" s="177" t="str">
        <f>_ENGINE_Risk!CQ548</f>
        <v>OK: capability-driven</v>
      </c>
      <c r="N50" s="177" t="str">
        <f>_ENGINE_Risk!CS548</f>
        <v>Yes</v>
      </c>
      <c r="O50" s="177" t="str">
        <f>_ENGINE_Risk!CO548</f>
        <v>Governance Crisis|Crisis governance|GOVE-004|CAP_INCIDENT_RESPONSE</v>
      </c>
      <c r="P50" s="177" t="str">
        <f>_ENGINE_Risk!CR548</f>
        <v>Risk ontology uses capability=CAP_INCIDENT_RESPONSE; bridge=BRG-035; treatment=TRT-INCIDENT_RESPONSE-INITIAL; wording=IW-ALL-INCIDENT_RESPONSE</v>
      </c>
    </row>
    <row r="51" spans="1:16" ht="84.9" customHeight="1">
      <c r="A51" s="177" t="str">
        <f>_ENGINE_Risk!CM549</f>
        <v>RISK-ONT-0050</v>
      </c>
      <c r="B51" s="177">
        <f>ROW(_ENGINE_Risk!A549)</f>
        <v>549</v>
      </c>
      <c r="C51" s="177" t="str">
        <f>_ENGINE_Risk!E549</f>
        <v>GOVE-005</v>
      </c>
      <c r="D51" s="177" t="str">
        <f>_ENGINE_Risk!C549</f>
        <v>Governance Crisis</v>
      </c>
      <c r="E51" s="177" t="str">
        <f>_ENGINE_Risk!D549</f>
        <v>Crisis governance</v>
      </c>
      <c r="F51" s="177" t="str">
        <f>_ENGINE_Risk!F549</f>
        <v>Crisis governance and decision-making</v>
      </c>
      <c r="G51" s="177" t="str">
        <f>_ENGINE_Risk!G549</f>
        <v>Severe risk: board or owner-level oversight of resilience, continuity and enterprise risk is not reliably controlled. During All crisis types, the organization may face slow decisions, unclear escalation, duplicated actions and weak crisis command with limited visibility or accountability.</v>
      </c>
      <c r="H51" s="177" t="str">
        <f>_ENGINE_Risk!BT549</f>
        <v>CAP_INCIDENT_RESPONSE</v>
      </c>
      <c r="I51" s="177" t="str">
        <f>_ENGINE_Risk!BV549</f>
        <v>BRG-035</v>
      </c>
      <c r="J51" s="177" t="str">
        <f>_ENGINE_Risk!CE549</f>
        <v>IW-ALL-INCIDENT_RESPONSE</v>
      </c>
      <c r="K51" s="177" t="str">
        <f>_ENGINE_Risk!BY549</f>
        <v>TRT-INCIDENT_RESPONSE-INITIAL</v>
      </c>
      <c r="L51" s="177" t="str">
        <f>_ENGINE_Risk!CP549</f>
        <v>Active</v>
      </c>
      <c r="M51" s="177" t="str">
        <f>_ENGINE_Risk!CQ549</f>
        <v>OK: capability-driven</v>
      </c>
      <c r="N51" s="177" t="str">
        <f>_ENGINE_Risk!CS549</f>
        <v>Yes</v>
      </c>
      <c r="O51" s="177" t="str">
        <f>_ENGINE_Risk!CO549</f>
        <v>Governance Crisis|Crisis governance|GOVE-005|CAP_INCIDENT_RESPONSE</v>
      </c>
      <c r="P51" s="177" t="str">
        <f>_ENGINE_Risk!CR549</f>
        <v>Risk ontology uses capability=CAP_INCIDENT_RESPONSE; bridge=BRG-035; treatment=TRT-INCIDENT_RESPONSE-INITIAL; wording=IW-ALL-INCIDENT_RESPONSE</v>
      </c>
    </row>
    <row r="52" spans="1:16" ht="70.75" customHeight="1">
      <c r="A52" s="177" t="str">
        <f>_ENGINE_Risk!CM550</f>
        <v>RISK-ONT-0051</v>
      </c>
      <c r="B52" s="177">
        <f>ROW(_ENGINE_Risk!A550)</f>
        <v>550</v>
      </c>
      <c r="C52" s="177" t="str">
        <f>_ENGINE_Risk!E550</f>
        <v>GOVE-006</v>
      </c>
      <c r="D52" s="177" t="str">
        <f>_ENGINE_Risk!C550</f>
        <v>Governance Crisis</v>
      </c>
      <c r="E52" s="177" t="str">
        <f>_ENGINE_Risk!D550</f>
        <v>Crisis governance</v>
      </c>
      <c r="F52" s="177" t="str">
        <f>_ENGINE_Risk!F550</f>
        <v>Crisis governance and decision-making</v>
      </c>
      <c r="G52" s="177" t="str">
        <f>_ENGINE_Risk!G550</f>
        <v>Severe risk: emergency spending authority and budget release rules is not reliably controlled. During All crisis types, the organization may face slow decisions, unclear escalation, duplicated actions and weak crisis command with limited visibility or accountability.</v>
      </c>
      <c r="H52" s="177" t="str">
        <f>_ENGINE_Risk!BT550</f>
        <v>CAP_INCIDENT_RESPONSE</v>
      </c>
      <c r="I52" s="177" t="str">
        <f>_ENGINE_Risk!BV550</f>
        <v>BRG-035</v>
      </c>
      <c r="J52" s="177" t="str">
        <f>_ENGINE_Risk!CE550</f>
        <v>IW-ALL-INCIDENT_RESPONSE</v>
      </c>
      <c r="K52" s="177" t="str">
        <f>_ENGINE_Risk!BY550</f>
        <v>TRT-INCIDENT_RESPONSE-INITIAL</v>
      </c>
      <c r="L52" s="177" t="str">
        <f>_ENGINE_Risk!CP550</f>
        <v>Active</v>
      </c>
      <c r="M52" s="177" t="str">
        <f>_ENGINE_Risk!CQ550</f>
        <v>OK: capability-driven</v>
      </c>
      <c r="N52" s="177" t="str">
        <f>_ENGINE_Risk!CS550</f>
        <v>Yes</v>
      </c>
      <c r="O52" s="177" t="str">
        <f>_ENGINE_Risk!CO550</f>
        <v>Governance Crisis|Crisis governance|GOVE-006|CAP_INCIDENT_RESPONSE</v>
      </c>
      <c r="P52" s="177" t="str">
        <f>_ENGINE_Risk!CR550</f>
        <v>Risk ontology uses capability=CAP_INCIDENT_RESPONSE; bridge=BRG-035; treatment=TRT-INCIDENT_RESPONSE-INITIAL; wording=IW-ALL-INCIDENT_RESPONSE</v>
      </c>
    </row>
    <row r="53" spans="1:16" ht="84.9" customHeight="1">
      <c r="A53" s="177" t="str">
        <f>_ENGINE_Risk!CM551</f>
        <v>RISK-ONT-0052</v>
      </c>
      <c r="B53" s="177">
        <f>ROW(_ENGINE_Risk!A551)</f>
        <v>551</v>
      </c>
      <c r="C53" s="177" t="str">
        <f>_ENGINE_Risk!E551</f>
        <v>GOVE-007</v>
      </c>
      <c r="D53" s="177" t="str">
        <f>_ENGINE_Risk!C551</f>
        <v>Governance Crisis</v>
      </c>
      <c r="E53" s="177" t="str">
        <f>_ENGINE_Risk!D551</f>
        <v>Risk and continuity</v>
      </c>
      <c r="F53" s="177" t="str">
        <f>_ENGINE_Risk!F551</f>
        <v>Crisis governance and decision-making</v>
      </c>
      <c r="G53" s="177" t="str">
        <f>_ENGINE_Risk!G551</f>
        <v>Severe risk: enterprise risk register with owners, likelihood, impact, controls, triggers and residual risk is not reliably controlled. During All crisis types, the organization may face slow decisions, unclear escalation, duplicated actions and weak crisis command with limited visibility or accountability.</v>
      </c>
      <c r="H53" s="177" t="str">
        <f>_ENGINE_Risk!BT551</f>
        <v>CAP_BACKUP_RECOVERY</v>
      </c>
      <c r="I53" s="177" t="str">
        <f>_ENGINE_Risk!BV551</f>
        <v>BRG-037</v>
      </c>
      <c r="J53" s="177" t="str">
        <f>_ENGINE_Risk!CE551</f>
        <v>IW-ALL-BACKUP_RECOVERY</v>
      </c>
      <c r="K53" s="177" t="str">
        <f>_ENGINE_Risk!BY551</f>
        <v>TRT-BACKUP_RECOVERY-INITIAL</v>
      </c>
      <c r="L53" s="177" t="str">
        <f>_ENGINE_Risk!CP551</f>
        <v>Active</v>
      </c>
      <c r="M53" s="177" t="str">
        <f>_ENGINE_Risk!CQ551</f>
        <v>OK: capability-driven</v>
      </c>
      <c r="N53" s="177" t="str">
        <f>_ENGINE_Risk!CS551</f>
        <v>Yes</v>
      </c>
      <c r="O53" s="177" t="str">
        <f>_ENGINE_Risk!CO551</f>
        <v>Governance Crisis|Risk and continuity|GOVE-007|CAP_BACKUP_RECOVERY</v>
      </c>
      <c r="P53" s="177" t="str">
        <f>_ENGINE_Risk!CR551</f>
        <v>Risk ontology uses capability=CAP_BACKUP_RECOVERY; bridge=BRG-037; treatment=TRT-BACKUP_RECOVERY-INITIAL; wording=IW-ALL-BACKUP_RECOVERY</v>
      </c>
    </row>
    <row r="54" spans="1:16" ht="84.9" customHeight="1">
      <c r="A54" s="177" t="str">
        <f>_ENGINE_Risk!CM552</f>
        <v>RISK-ONT-0053</v>
      </c>
      <c r="B54" s="177">
        <f>ROW(_ENGINE_Risk!A552)</f>
        <v>552</v>
      </c>
      <c r="C54" s="177" t="str">
        <f>_ENGINE_Risk!E552</f>
        <v>GOVE-008</v>
      </c>
      <c r="D54" s="177" t="str">
        <f>_ENGINE_Risk!C552</f>
        <v>Governance Crisis</v>
      </c>
      <c r="E54" s="177" t="str">
        <f>_ENGINE_Risk!D552</f>
        <v>Risk and continuity</v>
      </c>
      <c r="F54" s="177" t="str">
        <f>_ENGINE_Risk!F552</f>
        <v>Crisis governance and decision-making</v>
      </c>
      <c r="G54" s="177" t="str">
        <f>_ENGINE_Risk!G552</f>
        <v>Severe risk: risk appetite for safety, cash, cyber, delivery, compliance, reputation and operational continuity is not reliably controlled. During All crisis types, the organization may face slow decisions, unclear escalation, duplicated actions and weak crisis command with limited visibility or accountability.</v>
      </c>
      <c r="H54" s="177" t="str">
        <f>_ENGINE_Risk!BT552</f>
        <v>CAP_BACKUP_RECOVERY</v>
      </c>
      <c r="I54" s="177" t="str">
        <f>_ENGINE_Risk!BV552</f>
        <v>BRG-037</v>
      </c>
      <c r="J54" s="177" t="str">
        <f>_ENGINE_Risk!CE552</f>
        <v>IW-ALL-BACKUP_RECOVERY</v>
      </c>
      <c r="K54" s="177" t="str">
        <f>_ENGINE_Risk!BY552</f>
        <v>TRT-BACKUP_RECOVERY-INITIAL</v>
      </c>
      <c r="L54" s="177" t="str">
        <f>_ENGINE_Risk!CP552</f>
        <v>Active</v>
      </c>
      <c r="M54" s="177" t="str">
        <f>_ENGINE_Risk!CQ552</f>
        <v>OK: capability-driven</v>
      </c>
      <c r="N54" s="177" t="str">
        <f>_ENGINE_Risk!CS552</f>
        <v>Yes</v>
      </c>
      <c r="O54" s="177" t="str">
        <f>_ENGINE_Risk!CO552</f>
        <v>Governance Crisis|Risk and continuity|GOVE-008|CAP_BACKUP_RECOVERY</v>
      </c>
      <c r="P54" s="177" t="str">
        <f>_ENGINE_Risk!CR552</f>
        <v>Risk ontology uses capability=CAP_BACKUP_RECOVERY; bridge=BRG-037; treatment=TRT-BACKUP_RECOVERY-INITIAL; wording=IW-ALL-BACKUP_RECOVERY</v>
      </c>
    </row>
    <row r="55" spans="1:16" ht="84.9" customHeight="1">
      <c r="A55" s="177" t="str">
        <f>_ENGINE_Risk!CM553</f>
        <v>RISK-ONT-0054</v>
      </c>
      <c r="B55" s="177">
        <f>ROW(_ENGINE_Risk!A553)</f>
        <v>553</v>
      </c>
      <c r="C55" s="177" t="str">
        <f>_ENGINE_Risk!E553</f>
        <v>GOVE-009</v>
      </c>
      <c r="D55" s="177" t="str">
        <f>_ENGINE_Risk!C553</f>
        <v>Governance Crisis</v>
      </c>
      <c r="E55" s="177" t="str">
        <f>_ENGINE_Risk!D553</f>
        <v>Risk and continuity</v>
      </c>
      <c r="F55" s="177" t="str">
        <f>_ENGINE_Risk!F553</f>
        <v>Crisis governance and decision-making</v>
      </c>
      <c r="G55" s="177" t="str">
        <f>_ENGINE_Risk!G553</f>
        <v>Severe risk: early warning indicators for major crisis types and objective crisis activation triggers is not reliably controlled. During All crisis types, the organization may face slow decisions, unclear escalation, duplicated actions and weak crisis command with limited visibility or accountability.</v>
      </c>
      <c r="H55" s="177" t="str">
        <f>_ENGINE_Risk!BT553</f>
        <v>CAP_BACKUP_RECOVERY</v>
      </c>
      <c r="I55" s="177" t="str">
        <f>_ENGINE_Risk!BV553</f>
        <v>BRG-037</v>
      </c>
      <c r="J55" s="177" t="str">
        <f>_ENGINE_Risk!CE553</f>
        <v>IW-ALL-BACKUP_RECOVERY</v>
      </c>
      <c r="K55" s="177" t="str">
        <f>_ENGINE_Risk!BY553</f>
        <v>TRT-BACKUP_RECOVERY-INITIAL</v>
      </c>
      <c r="L55" s="177" t="str">
        <f>_ENGINE_Risk!CP553</f>
        <v>Active</v>
      </c>
      <c r="M55" s="177" t="str">
        <f>_ENGINE_Risk!CQ553</f>
        <v>OK: capability-driven</v>
      </c>
      <c r="N55" s="177" t="str">
        <f>_ENGINE_Risk!CS553</f>
        <v>Yes</v>
      </c>
      <c r="O55" s="177" t="str">
        <f>_ENGINE_Risk!CO553</f>
        <v>Governance Crisis|Risk and continuity|GOVE-009|CAP_BACKUP_RECOVERY</v>
      </c>
      <c r="P55" s="177" t="str">
        <f>_ENGINE_Risk!CR553</f>
        <v>Risk ontology uses capability=CAP_BACKUP_RECOVERY; bridge=BRG-037; treatment=TRT-BACKUP_RECOVERY-INITIAL; wording=IW-ALL-BACKUP_RECOVERY</v>
      </c>
    </row>
    <row r="56" spans="1:16" ht="84.9" customHeight="1">
      <c r="A56" s="177" t="str">
        <f>_ENGINE_Risk!CM554</f>
        <v>RISK-ONT-0055</v>
      </c>
      <c r="B56" s="177">
        <f>ROW(_ENGINE_Risk!A554)</f>
        <v>554</v>
      </c>
      <c r="C56" s="177" t="str">
        <f>_ENGINE_Risk!E554</f>
        <v>GOVE-010</v>
      </c>
      <c r="D56" s="177" t="str">
        <f>_ENGINE_Risk!C554</f>
        <v>Governance Crisis</v>
      </c>
      <c r="E56" s="177" t="str">
        <f>_ENGINE_Risk!D554</f>
        <v>Risk and continuity</v>
      </c>
      <c r="F56" s="177" t="str">
        <f>_ENGINE_Risk!F554</f>
        <v>Crisis governance and decision-making</v>
      </c>
      <c r="G56" s="177" t="str">
        <f>_ENGINE_Risk!G554</f>
        <v>Severe risk: business impact analysis across functions, sites, systems, people and suppliers is not reliably controlled. During All crisis types, the organization may face slow decisions, unclear escalation, duplicated actions and weak crisis command with limited visibility or accountability.</v>
      </c>
      <c r="H56" s="177" t="str">
        <f>_ENGINE_Risk!BT554</f>
        <v>CAP_BACKUP_RECOVERY</v>
      </c>
      <c r="I56" s="177" t="str">
        <f>_ENGINE_Risk!BV554</f>
        <v>BRG-037</v>
      </c>
      <c r="J56" s="177" t="str">
        <f>_ENGINE_Risk!CE554</f>
        <v>IW-ALL-BACKUP_RECOVERY</v>
      </c>
      <c r="K56" s="177" t="str">
        <f>_ENGINE_Risk!BY554</f>
        <v>TRT-BACKUP_RECOVERY-INITIAL</v>
      </c>
      <c r="L56" s="177" t="str">
        <f>_ENGINE_Risk!CP554</f>
        <v>Active</v>
      </c>
      <c r="M56" s="177" t="str">
        <f>_ENGINE_Risk!CQ554</f>
        <v>OK: capability-driven</v>
      </c>
      <c r="N56" s="177" t="str">
        <f>_ENGINE_Risk!CS554</f>
        <v>Yes</v>
      </c>
      <c r="O56" s="177" t="str">
        <f>_ENGINE_Risk!CO554</f>
        <v>Governance Crisis|Risk and continuity|GOVE-010|CAP_BACKUP_RECOVERY</v>
      </c>
      <c r="P56" s="177" t="str">
        <f>_ENGINE_Risk!CR554</f>
        <v>Risk ontology uses capability=CAP_BACKUP_RECOVERY; bridge=BRG-037; treatment=TRT-BACKUP_RECOVERY-INITIAL; wording=IW-ALL-BACKUP_RECOVERY</v>
      </c>
    </row>
    <row r="57" spans="1:16" ht="84.9" customHeight="1">
      <c r="A57" s="177" t="str">
        <f>_ENGINE_Risk!CM555</f>
        <v>RISK-ONT-0056</v>
      </c>
      <c r="B57" s="177">
        <f>ROW(_ENGINE_Risk!A555)</f>
        <v>555</v>
      </c>
      <c r="C57" s="177" t="str">
        <f>_ENGINE_Risk!E555</f>
        <v>GOVE-011</v>
      </c>
      <c r="D57" s="177" t="str">
        <f>_ENGINE_Risk!C555</f>
        <v>Governance Crisis</v>
      </c>
      <c r="E57" s="177" t="str">
        <f>_ENGINE_Risk!D555</f>
        <v>Risk and continuity</v>
      </c>
      <c r="F57" s="177" t="str">
        <f>_ENGINE_Risk!F555</f>
        <v>Crisis governance and decision-making</v>
      </c>
      <c r="G57" s="177" t="str">
        <f>_ENGINE_Risk!G555</f>
        <v>Severe risk: business continuity plans covering critical processes, people, systems, sites, suppliers and communication is not reliably controlled. During All crisis types, the organization may face slow decisions, unclear escalation, duplicated actions and weak crisis command with limited visibility or accountability.</v>
      </c>
      <c r="H57" s="177" t="str">
        <f>_ENGINE_Risk!BT555</f>
        <v>CAP_BACKUP_RECOVERY</v>
      </c>
      <c r="I57" s="177" t="str">
        <f>_ENGINE_Risk!BV555</f>
        <v>BRG-037</v>
      </c>
      <c r="J57" s="177" t="str">
        <f>_ENGINE_Risk!CE555</f>
        <v>IW-ALL-BACKUP_RECOVERY</v>
      </c>
      <c r="K57" s="177" t="str">
        <f>_ENGINE_Risk!BY555</f>
        <v>TRT-BACKUP_RECOVERY-INITIAL</v>
      </c>
      <c r="L57" s="177" t="str">
        <f>_ENGINE_Risk!CP555</f>
        <v>Active</v>
      </c>
      <c r="M57" s="177" t="str">
        <f>_ENGINE_Risk!CQ555</f>
        <v>OK: capability-driven</v>
      </c>
      <c r="N57" s="177" t="str">
        <f>_ENGINE_Risk!CS555</f>
        <v>Yes</v>
      </c>
      <c r="O57" s="177" t="str">
        <f>_ENGINE_Risk!CO555</f>
        <v>Governance Crisis|Risk and continuity|GOVE-011|CAP_BACKUP_RECOVERY</v>
      </c>
      <c r="P57" s="177" t="str">
        <f>_ENGINE_Risk!CR555</f>
        <v>Risk ontology uses capability=CAP_BACKUP_RECOVERY; bridge=BRG-037; treatment=TRT-BACKUP_RECOVERY-INITIAL; wording=IW-ALL-BACKUP_RECOVERY</v>
      </c>
    </row>
    <row r="58" spans="1:16" ht="99" customHeight="1">
      <c r="A58" s="177" t="str">
        <f>_ENGINE_Risk!CM556</f>
        <v>RISK-ONT-0057</v>
      </c>
      <c r="B58" s="177">
        <f>ROW(_ENGINE_Risk!A556)</f>
        <v>556</v>
      </c>
      <c r="C58" s="177" t="str">
        <f>_ENGINE_Risk!E556</f>
        <v>GOVE-012</v>
      </c>
      <c r="D58" s="177" t="str">
        <f>_ENGINE_Risk!C556</f>
        <v>Governance Crisis</v>
      </c>
      <c r="E58" s="177" t="str">
        <f>_ENGINE_Risk!D556</f>
        <v>Risk and continuity</v>
      </c>
      <c r="F58" s="177" t="str">
        <f>_ENGINE_Risk!F556</f>
        <v>Crisis governance and decision-making</v>
      </c>
      <c r="G58" s="177" t="str">
        <f>_ENGINE_Risk!G556</f>
        <v>Severe risk: scenario library covering cyberattack, war/security, site loss, supplier disruption, cloud outage, pandemic, demand shock and liquidity crisis is not reliably controlled. During All crisis types, the organization may face slow decisions, unclear escalation, duplicated actions and weak crisis command with limited visibility or accountability.</v>
      </c>
      <c r="H58" s="177" t="str">
        <f>_ENGINE_Risk!BT556</f>
        <v>CAP_BACKUP_RECOVERY</v>
      </c>
      <c r="I58" s="177" t="str">
        <f>_ENGINE_Risk!BV556</f>
        <v>BRG-037</v>
      </c>
      <c r="J58" s="177" t="str">
        <f>_ENGINE_Risk!CE556</f>
        <v>IW-ALL-BACKUP_RECOVERY</v>
      </c>
      <c r="K58" s="177" t="str">
        <f>_ENGINE_Risk!BY556</f>
        <v>TRT-BACKUP_RECOVERY-INITIAL</v>
      </c>
      <c r="L58" s="177" t="str">
        <f>_ENGINE_Risk!CP556</f>
        <v>Active</v>
      </c>
      <c r="M58" s="177" t="str">
        <f>_ENGINE_Risk!CQ556</f>
        <v>OK: capability-driven</v>
      </c>
      <c r="N58" s="177" t="str">
        <f>_ENGINE_Risk!CS556</f>
        <v>Yes</v>
      </c>
      <c r="O58" s="177" t="str">
        <f>_ENGINE_Risk!CO556</f>
        <v>Governance Crisis|Risk and continuity|GOVE-012|CAP_BACKUP_RECOVERY</v>
      </c>
      <c r="P58" s="177" t="str">
        <f>_ENGINE_Risk!CR556</f>
        <v>Risk ontology uses capability=CAP_BACKUP_RECOVERY; bridge=BRG-037; treatment=TRT-BACKUP_RECOVERY-INITIAL; wording=IW-ALL-BACKUP_RECOVERY</v>
      </c>
    </row>
    <row r="59" spans="1:16" ht="84.9" customHeight="1">
      <c r="A59" s="177" t="str">
        <f>_ENGINE_Risk!CM557</f>
        <v>RISK-ONT-0058</v>
      </c>
      <c r="B59" s="177">
        <f>ROW(_ENGINE_Risk!A557)</f>
        <v>557</v>
      </c>
      <c r="C59" s="177" t="str">
        <f>_ENGINE_Risk!E557</f>
        <v>GOVE-013</v>
      </c>
      <c r="D59" s="177" t="str">
        <f>_ENGINE_Risk!C557</f>
        <v>Governance Crisis</v>
      </c>
      <c r="E59" s="177" t="str">
        <f>_ENGINE_Risk!D557</f>
        <v>Risk and continuity</v>
      </c>
      <c r="F59" s="177" t="str">
        <f>_ENGINE_Risk!F557</f>
        <v>Crisis governance and decision-making</v>
      </c>
      <c r="G59" s="177" t="str">
        <f>_ENGINE_Risk!G557</f>
        <v>Severe risk: continuity testing through tabletop exercises, simulations and real incident reviews is not reliably controlled. During All crisis types, the organization may face slow decisions, unclear escalation, duplicated actions and weak crisis command with limited visibility or accountability.</v>
      </c>
      <c r="H59" s="177" t="str">
        <f>_ENGINE_Risk!BT557</f>
        <v>CAP_BACKUP_RECOVERY</v>
      </c>
      <c r="I59" s="177" t="str">
        <f>_ENGINE_Risk!BV557</f>
        <v>BRG-037</v>
      </c>
      <c r="J59" s="177" t="str">
        <f>_ENGINE_Risk!CE557</f>
        <v>IW-ALL-BACKUP_RECOVERY</v>
      </c>
      <c r="K59" s="177" t="str">
        <f>_ENGINE_Risk!BY557</f>
        <v>TRT-BACKUP_RECOVERY-INITIAL</v>
      </c>
      <c r="L59" s="177" t="str">
        <f>_ENGINE_Risk!CP557</f>
        <v>Active</v>
      </c>
      <c r="M59" s="177" t="str">
        <f>_ENGINE_Risk!CQ557</f>
        <v>OK: capability-driven</v>
      </c>
      <c r="N59" s="177" t="str">
        <f>_ENGINE_Risk!CS557</f>
        <v>Yes</v>
      </c>
      <c r="O59" s="177" t="str">
        <f>_ENGINE_Risk!CO557</f>
        <v>Governance Crisis|Risk and continuity|GOVE-013|CAP_BACKUP_RECOVERY</v>
      </c>
      <c r="P59" s="177" t="str">
        <f>_ENGINE_Risk!CR557</f>
        <v>Risk ontology uses capability=CAP_BACKUP_RECOVERY; bridge=BRG-037; treatment=TRT-BACKUP_RECOVERY-INITIAL; wording=IW-ALL-BACKUP_RECOVERY</v>
      </c>
    </row>
    <row r="60" spans="1:16" ht="84.9" customHeight="1">
      <c r="A60" s="177" t="str">
        <f>_ENGINE_Risk!CM558</f>
        <v>RISK-ONT-0059</v>
      </c>
      <c r="B60" s="177">
        <f>ROW(_ENGINE_Risk!A558)</f>
        <v>558</v>
      </c>
      <c r="C60" s="177" t="str">
        <f>_ENGINE_Risk!E558</f>
        <v>GOVE-014</v>
      </c>
      <c r="D60" s="177" t="str">
        <f>_ENGINE_Risk!C558</f>
        <v>Governance Crisis</v>
      </c>
      <c r="E60" s="177" t="str">
        <f>_ENGINE_Risk!D558</f>
        <v>Incident management</v>
      </c>
      <c r="F60" s="177" t="str">
        <f>_ENGINE_Risk!F558</f>
        <v>Crisis governance and decision-making</v>
      </c>
      <c r="G60" s="177" t="str">
        <f>_ENGINE_Risk!G558</f>
        <v>Severe risk: common incident classification model for severity, impact, escalation and communication is not reliably controlled. During All crisis types, the organization may face slow decisions, unclear escalation, duplicated actions and weak crisis command with limited visibility or accountability.</v>
      </c>
      <c r="H60" s="177" t="str">
        <f>_ENGINE_Risk!BT558</f>
        <v>CAP_INCIDENT_RESPONSE</v>
      </c>
      <c r="I60" s="177" t="str">
        <f>_ENGINE_Risk!BV558</f>
        <v>BRG-036</v>
      </c>
      <c r="J60" s="177" t="str">
        <f>_ENGINE_Risk!CE558</f>
        <v>IW-ALL-INCIDENT_RESPONSE</v>
      </c>
      <c r="K60" s="177" t="str">
        <f>_ENGINE_Risk!BY558</f>
        <v>TRT-INCIDENT_RESPONSE-INITIAL</v>
      </c>
      <c r="L60" s="177" t="str">
        <f>_ENGINE_Risk!CP558</f>
        <v>Active</v>
      </c>
      <c r="M60" s="177" t="str">
        <f>_ENGINE_Risk!CQ558</f>
        <v>OK: capability-driven</v>
      </c>
      <c r="N60" s="177" t="str">
        <f>_ENGINE_Risk!CS558</f>
        <v>Yes</v>
      </c>
      <c r="O60" s="177" t="str">
        <f>_ENGINE_Risk!CO558</f>
        <v>Governance Crisis|Incident management|GOVE-014|CAP_INCIDENT_RESPONSE</v>
      </c>
      <c r="P60" s="177" t="str">
        <f>_ENGINE_Risk!CR558</f>
        <v>Risk ontology uses capability=CAP_INCIDENT_RESPONSE; bridge=BRG-036; treatment=TRT-INCIDENT_RESPONSE-INITIAL; wording=IW-ALL-INCIDENT_RESPONSE</v>
      </c>
    </row>
    <row r="61" spans="1:16" ht="84.9" customHeight="1">
      <c r="A61" s="177" t="str">
        <f>_ENGINE_Risk!CM559</f>
        <v>RISK-ONT-0060</v>
      </c>
      <c r="B61" s="177">
        <f>ROW(_ENGINE_Risk!A559)</f>
        <v>559</v>
      </c>
      <c r="C61" s="177" t="str">
        <f>_ENGINE_Risk!E559</f>
        <v>GOVE-015</v>
      </c>
      <c r="D61" s="177" t="str">
        <f>_ENGINE_Risk!C559</f>
        <v>Governance Crisis</v>
      </c>
      <c r="E61" s="177" t="str">
        <f>_ENGINE_Risk!D559</f>
        <v>Incident management</v>
      </c>
      <c r="F61" s="177" t="str">
        <f>_ENGINE_Risk!F559</f>
        <v>Crisis governance and decision-making</v>
      </c>
      <c r="G61" s="177" t="str">
        <f>_ENGINE_Risk!G559</f>
        <v>Severe risk: post-incident review process that converts incidents into corrective and preventive actions is not reliably controlled. During All crisis types, the organization may face slow decisions, unclear escalation, duplicated actions and weak crisis command with limited visibility or accountability.</v>
      </c>
      <c r="H61" s="177" t="str">
        <f>_ENGINE_Risk!BT559</f>
        <v>CAP_INCIDENT_RESPONSE</v>
      </c>
      <c r="I61" s="177" t="str">
        <f>_ENGINE_Risk!BV559</f>
        <v>BRG-036</v>
      </c>
      <c r="J61" s="177" t="str">
        <f>_ENGINE_Risk!CE559</f>
        <v>IW-ALL-INCIDENT_RESPONSE</v>
      </c>
      <c r="K61" s="177" t="str">
        <f>_ENGINE_Risk!BY559</f>
        <v>TRT-INCIDENT_RESPONSE-INITIAL</v>
      </c>
      <c r="L61" s="177" t="str">
        <f>_ENGINE_Risk!CP559</f>
        <v>Active</v>
      </c>
      <c r="M61" s="177" t="str">
        <f>_ENGINE_Risk!CQ559</f>
        <v>OK: capability-driven</v>
      </c>
      <c r="N61" s="177" t="str">
        <f>_ENGINE_Risk!CS559</f>
        <v>Yes</v>
      </c>
      <c r="O61" s="177" t="str">
        <f>_ENGINE_Risk!CO559</f>
        <v>Governance Crisis|Incident management|GOVE-015|CAP_INCIDENT_RESPONSE</v>
      </c>
      <c r="P61" s="177" t="str">
        <f>_ENGINE_Risk!CR559</f>
        <v>Risk ontology uses capability=CAP_INCIDENT_RESPONSE; bridge=BRG-036; treatment=TRT-INCIDENT_RESPONSE-INITIAL; wording=IW-ALL-INCIDENT_RESPONSE</v>
      </c>
    </row>
    <row r="62" spans="1:16" ht="84.9" customHeight="1">
      <c r="A62" s="177" t="str">
        <f>_ENGINE_Risk!CM560</f>
        <v>RISK-ONT-0061</v>
      </c>
      <c r="B62" s="177">
        <f>ROW(_ENGINE_Risk!A560)</f>
        <v>560</v>
      </c>
      <c r="C62" s="177" t="str">
        <f>_ENGINE_Risk!E560</f>
        <v>GOVE-016</v>
      </c>
      <c r="D62" s="177" t="str">
        <f>_ENGINE_Risk!C560</f>
        <v>Governance Crisis</v>
      </c>
      <c r="E62" s="177" t="str">
        <f>_ENGINE_Risk!D560</f>
        <v>Incident management</v>
      </c>
      <c r="F62" s="177" t="str">
        <f>_ENGINE_Risk!F560</f>
        <v>Crisis governance and decision-making</v>
      </c>
      <c r="G62" s="177" t="str">
        <f>_ENGINE_Risk!G560</f>
        <v>Severe risk: interdependency map linking functions, sites, systems, people, suppliers and customers is not reliably controlled. During All crisis types, the organization may face slow decisions, unclear escalation, duplicated actions and weak crisis command with limited visibility or accountability.</v>
      </c>
      <c r="H62" s="177" t="str">
        <f>_ENGINE_Risk!BT560</f>
        <v>CAP_INCIDENT_RESPONSE</v>
      </c>
      <c r="I62" s="177" t="str">
        <f>_ENGINE_Risk!BV560</f>
        <v>BRG-036</v>
      </c>
      <c r="J62" s="177" t="str">
        <f>_ENGINE_Risk!CE560</f>
        <v>IW-ALL-INCIDENT_RESPONSE</v>
      </c>
      <c r="K62" s="177" t="str">
        <f>_ENGINE_Risk!BY560</f>
        <v>TRT-INCIDENT_RESPONSE-INITIAL</v>
      </c>
      <c r="L62" s="177" t="str">
        <f>_ENGINE_Risk!CP560</f>
        <v>Active</v>
      </c>
      <c r="M62" s="177" t="str">
        <f>_ENGINE_Risk!CQ560</f>
        <v>OK: capability-driven</v>
      </c>
      <c r="N62" s="177" t="str">
        <f>_ENGINE_Risk!CS560</f>
        <v>Yes</v>
      </c>
      <c r="O62" s="177" t="str">
        <f>_ENGINE_Risk!CO560</f>
        <v>Governance Crisis|Incident management|GOVE-016|CAP_INCIDENT_RESPONSE</v>
      </c>
      <c r="P62" s="177" t="str">
        <f>_ENGINE_Risk!CR560</f>
        <v>Risk ontology uses capability=CAP_INCIDENT_RESPONSE; bridge=BRG-036; treatment=TRT-INCIDENT_RESPONSE-INITIAL; wording=IW-ALL-INCIDENT_RESPONSE</v>
      </c>
    </row>
    <row r="63" spans="1:16" ht="84.9" customHeight="1">
      <c r="A63" s="177" t="str">
        <f>_ENGINE_Risk!CM561</f>
        <v>RISK-ONT-0062</v>
      </c>
      <c r="B63" s="177">
        <f>ROW(_ENGINE_Risk!A561)</f>
        <v>561</v>
      </c>
      <c r="C63" s="177" t="str">
        <f>_ENGINE_Risk!E561</f>
        <v>GOVE-017</v>
      </c>
      <c r="D63" s="177" t="str">
        <f>_ENGINE_Risk!C561</f>
        <v>Governance Crisis</v>
      </c>
      <c r="E63" s="177" t="str">
        <f>_ENGINE_Risk!D561</f>
        <v>Incident management</v>
      </c>
      <c r="F63" s="177" t="str">
        <f>_ENGINE_Risk!F561</f>
        <v>Crisis governance and decision-making</v>
      </c>
      <c r="G63" s="177" t="str">
        <f>_ENGINE_Risk!G561</f>
        <v>Severe risk: crisis communication protocol for employees, customers, suppliers, regulators, insurers and media is not reliably controlled. During All crisis types, the organization may face slow decisions, unclear escalation, duplicated actions and weak crisis command with limited visibility or accountability.</v>
      </c>
      <c r="H63" s="177" t="str">
        <f>_ENGINE_Risk!BT561</f>
        <v>CAP_INCIDENT_RESPONSE</v>
      </c>
      <c r="I63" s="177" t="str">
        <f>_ENGINE_Risk!BV561</f>
        <v>BRG-036</v>
      </c>
      <c r="J63" s="177" t="str">
        <f>_ENGINE_Risk!CE561</f>
        <v>IW-ALL-INCIDENT_RESPONSE</v>
      </c>
      <c r="K63" s="177" t="str">
        <f>_ENGINE_Risk!BY561</f>
        <v>TRT-INCIDENT_RESPONSE-INITIAL</v>
      </c>
      <c r="L63" s="177" t="str">
        <f>_ENGINE_Risk!CP561</f>
        <v>Active</v>
      </c>
      <c r="M63" s="177" t="str">
        <f>_ENGINE_Risk!CQ561</f>
        <v>OK: capability-driven</v>
      </c>
      <c r="N63" s="177" t="str">
        <f>_ENGINE_Risk!CS561</f>
        <v>Yes</v>
      </c>
      <c r="O63" s="177" t="str">
        <f>_ENGINE_Risk!CO561</f>
        <v>Governance Crisis|Incident management|GOVE-017|CAP_INCIDENT_RESPONSE</v>
      </c>
      <c r="P63" s="177" t="str">
        <f>_ENGINE_Risk!CR561</f>
        <v>Risk ontology uses capability=CAP_INCIDENT_RESPONSE; bridge=BRG-036; treatment=TRT-INCIDENT_RESPONSE-INITIAL; wording=IW-ALL-INCIDENT_RESPONSE</v>
      </c>
    </row>
    <row r="64" spans="1:16" ht="70.75" customHeight="1">
      <c r="A64" s="177" t="str">
        <f>_ENGINE_Risk!CM562</f>
        <v>RISK-ONT-0063</v>
      </c>
      <c r="B64" s="177">
        <f>ROW(_ENGINE_Risk!A562)</f>
        <v>562</v>
      </c>
      <c r="C64" s="177" t="str">
        <f>_ENGINE_Risk!E562</f>
        <v>GOVE-018</v>
      </c>
      <c r="D64" s="177" t="str">
        <f>_ENGINE_Risk!C562</f>
        <v>Governance Crisis</v>
      </c>
      <c r="E64" s="177" t="str">
        <f>_ENGINE_Risk!D562</f>
        <v>Incident management</v>
      </c>
      <c r="F64" s="177" t="str">
        <f>_ENGINE_Risk!F562</f>
        <v>Crisis governance and decision-making</v>
      </c>
      <c r="G64" s="177" t="str">
        <f>_ENGINE_Risk!G562</f>
        <v>Severe risk: mass notification and emergency coordination tools is not reliably controlled. During All crisis types, the organization may face slow decisions, unclear escalation, duplicated actions and weak crisis command with limited visibility or accountability.</v>
      </c>
      <c r="H64" s="177" t="str">
        <f>_ENGINE_Risk!BT562</f>
        <v>CAP_INCIDENT_RESPONSE</v>
      </c>
      <c r="I64" s="177" t="str">
        <f>_ENGINE_Risk!BV562</f>
        <v>BRG-036</v>
      </c>
      <c r="J64" s="177" t="str">
        <f>_ENGINE_Risk!CE562</f>
        <v>IW-ALL-INCIDENT_RESPONSE</v>
      </c>
      <c r="K64" s="177" t="str">
        <f>_ENGINE_Risk!BY562</f>
        <v>TRT-INCIDENT_RESPONSE-INITIAL</v>
      </c>
      <c r="L64" s="177" t="str">
        <f>_ENGINE_Risk!CP562</f>
        <v>Active</v>
      </c>
      <c r="M64" s="177" t="str">
        <f>_ENGINE_Risk!CQ562</f>
        <v>OK: capability-driven</v>
      </c>
      <c r="N64" s="177" t="str">
        <f>_ENGINE_Risk!CS562</f>
        <v>Yes</v>
      </c>
      <c r="O64" s="177" t="str">
        <f>_ENGINE_Risk!CO562</f>
        <v>Governance Crisis|Incident management|GOVE-018|CAP_INCIDENT_RESPONSE</v>
      </c>
      <c r="P64" s="177" t="str">
        <f>_ENGINE_Risk!CR562</f>
        <v>Risk ontology uses capability=CAP_INCIDENT_RESPONSE; bridge=BRG-036; treatment=TRT-INCIDENT_RESPONSE-INITIAL; wording=IW-ALL-INCIDENT_RESPONSE</v>
      </c>
    </row>
    <row r="65" spans="1:16" ht="84.9" customHeight="1">
      <c r="A65" s="177" t="str">
        <f>_ENGINE_Risk!CM563</f>
        <v>RISK-ONT-0064</v>
      </c>
      <c r="B65" s="177">
        <f>ROW(_ENGINE_Risk!A563)</f>
        <v>563</v>
      </c>
      <c r="C65" s="177" t="str">
        <f>_ENGINE_Risk!E563</f>
        <v>GOVE-019</v>
      </c>
      <c r="D65" s="177" t="str">
        <f>_ENGINE_Risk!C563</f>
        <v>Governance Crisis</v>
      </c>
      <c r="E65" s="177" t="str">
        <f>_ENGINE_Risk!D563</f>
        <v>Incident management</v>
      </c>
      <c r="F65" s="177" t="str">
        <f>_ENGINE_Risk!F563</f>
        <v>Crisis governance and decision-making</v>
      </c>
      <c r="G65" s="177" t="str">
        <f>_ENGINE_Risk!G563</f>
        <v>Severe risk: crisis lessons-learned process tied to improvement backlog and management review is not reliably controlled. During All crisis types, the organization may face slow decisions, unclear escalation, duplicated actions and weak crisis command with limited visibility or accountability.</v>
      </c>
      <c r="H65" s="177" t="str">
        <f>_ENGINE_Risk!BT563</f>
        <v>CAP_INCIDENT_RESPONSE</v>
      </c>
      <c r="I65" s="177" t="str">
        <f>_ENGINE_Risk!BV563</f>
        <v>BRG-036</v>
      </c>
      <c r="J65" s="177" t="str">
        <f>_ENGINE_Risk!CE563</f>
        <v>IW-ALL-INCIDENT_RESPONSE</v>
      </c>
      <c r="K65" s="177" t="str">
        <f>_ENGINE_Risk!BY563</f>
        <v>TRT-INCIDENT_RESPONSE-INITIAL</v>
      </c>
      <c r="L65" s="177" t="str">
        <f>_ENGINE_Risk!CP563</f>
        <v>Active</v>
      </c>
      <c r="M65" s="177" t="str">
        <f>_ENGINE_Risk!CQ563</f>
        <v>OK: capability-driven</v>
      </c>
      <c r="N65" s="177" t="str">
        <f>_ENGINE_Risk!CS563</f>
        <v>Yes</v>
      </c>
      <c r="O65" s="177" t="str">
        <f>_ENGINE_Risk!CO563</f>
        <v>Governance Crisis|Incident management|GOVE-019|CAP_INCIDENT_RESPONSE</v>
      </c>
      <c r="P65" s="177" t="str">
        <f>_ENGINE_Risk!CR563</f>
        <v>Risk ontology uses capability=CAP_INCIDENT_RESPONSE; bridge=BRG-036; treatment=TRT-INCIDENT_RESPONSE-INITIAL; wording=IW-ALL-INCIDENT_RESPONSE</v>
      </c>
    </row>
    <row r="66" spans="1:16" ht="113.15" customHeight="1">
      <c r="A66" s="177" t="str">
        <f>_ENGINE_Risk!CM564</f>
        <v>RISK-ONT-0065</v>
      </c>
      <c r="B66" s="177">
        <f>ROW(_ENGINE_Risk!A564)</f>
        <v>564</v>
      </c>
      <c r="C66" s="177" t="str">
        <f>_ENGINE_Risk!E564</f>
        <v>GOVE-020</v>
      </c>
      <c r="D66" s="177" t="str">
        <f>_ENGINE_Risk!C564</f>
        <v>Governance Crisis</v>
      </c>
      <c r="E66" s="177" t="str">
        <f>_ENGINE_Risk!D564</f>
        <v>Risk and continuity</v>
      </c>
      <c r="F66" s="177" t="str">
        <f>_ENGINE_Risk!F564</f>
        <v>Crisis governance and continuity readiness</v>
      </c>
      <c r="G66" s="177" t="str">
        <f>_ENGINE_Risk!G564</f>
        <v>Severe risk: offline availability of continuity plans, runbooks, contact lists and key contracts when core IT is unavailable is not reliably controlled. During Cyberattack/ransomware; Energy/utilities outage; Cloud/SaaS outage, the organization may face recovery plans locked inside failed systems, unreachable contacts and improvised crisis response with limited visibility or accountability.</v>
      </c>
      <c r="H66" s="177" t="str">
        <f>_ENGINE_Risk!BT564</f>
        <v>CAP_BACKUP_RECOVERY</v>
      </c>
      <c r="I66" s="177" t="str">
        <f>_ENGINE_Risk!BV564</f>
        <v>BRG-037</v>
      </c>
      <c r="J66" s="177" t="str">
        <f>_ENGINE_Risk!CE564</f>
        <v>IW-ALL-BACKUP_RECOVERY</v>
      </c>
      <c r="K66" s="177" t="str">
        <f>_ENGINE_Risk!BY564</f>
        <v>TRT-BACKUP_RECOVERY-INITIAL</v>
      </c>
      <c r="L66" s="177" t="str">
        <f>_ENGINE_Risk!CP564</f>
        <v>Active</v>
      </c>
      <c r="M66" s="177" t="str">
        <f>_ENGINE_Risk!CQ564</f>
        <v>OK: capability-driven</v>
      </c>
      <c r="N66" s="177" t="str">
        <f>_ENGINE_Risk!CS564</f>
        <v>Yes</v>
      </c>
      <c r="O66" s="177" t="str">
        <f>_ENGINE_Risk!CO564</f>
        <v>Governance Crisis|Risk and continuity|GOVE-020|CAP_BACKUP_RECOVERY</v>
      </c>
      <c r="P66" s="177" t="str">
        <f>_ENGINE_Risk!CR564</f>
        <v>Risk ontology uses capability=CAP_BACKUP_RECOVERY; bridge=BRG-037; treatment=TRT-BACKUP_RECOVERY-INITIAL; wording=IW-ALL-BACKUP_RECOVERY</v>
      </c>
    </row>
    <row r="67" spans="1:16" ht="113.15" customHeight="1">
      <c r="A67" s="177" t="str">
        <f>_ENGINE_Risk!CM565</f>
        <v>RISK-ONT-0066</v>
      </c>
      <c r="B67" s="177">
        <f>ROW(_ENGINE_Risk!A565)</f>
        <v>565</v>
      </c>
      <c r="C67" s="177" t="str">
        <f>_ENGINE_Risk!E565</f>
        <v>GOVE-021</v>
      </c>
      <c r="D67" s="177" t="str">
        <f>_ENGINE_Risk!C565</f>
        <v>Governance Crisis</v>
      </c>
      <c r="E67" s="177" t="str">
        <f>_ENGINE_Risk!D565</f>
        <v>Crisis governance</v>
      </c>
      <c r="F67" s="177" t="str">
        <f>_ENGINE_Risk!F565</f>
        <v>Crisis governance and continuity readiness</v>
      </c>
      <c r="G67" s="177" t="str">
        <f>_ENGINE_Risk!G565</f>
        <v>Severe risk: primary and alternate crisis command arrangements with independent communications and access to crisis tools is not reliably controlled. During War/security crisis; Physical site loss; Energy/utilities outage, the organization may face no functioning command point when the main site or communications fail, delaying coordinated response with limited visibility or accountability.</v>
      </c>
      <c r="H67" s="177" t="str">
        <f>_ENGINE_Risk!BT565</f>
        <v>CAP_INCIDENT_RESPONSE</v>
      </c>
      <c r="I67" s="177" t="str">
        <f>_ENGINE_Risk!BV565</f>
        <v>BRG-035</v>
      </c>
      <c r="J67" s="177" t="str">
        <f>_ENGINE_Risk!CE565</f>
        <v>IW-ALL-INCIDENT_RESPONSE</v>
      </c>
      <c r="K67" s="177" t="str">
        <f>_ENGINE_Risk!BY565</f>
        <v>TRT-INCIDENT_RESPONSE-INITIAL</v>
      </c>
      <c r="L67" s="177" t="str">
        <f>_ENGINE_Risk!CP565</f>
        <v>Active</v>
      </c>
      <c r="M67" s="177" t="str">
        <f>_ENGINE_Risk!CQ565</f>
        <v>OK: capability-driven</v>
      </c>
      <c r="N67" s="177" t="str">
        <f>_ENGINE_Risk!CS565</f>
        <v>Yes</v>
      </c>
      <c r="O67" s="177" t="str">
        <f>_ENGINE_Risk!CO565</f>
        <v>Governance Crisis|Crisis governance|GOVE-021|CAP_INCIDENT_RESPONSE</v>
      </c>
      <c r="P67" s="177" t="str">
        <f>_ENGINE_Risk!CR565</f>
        <v>Risk ontology uses capability=CAP_INCIDENT_RESPONSE; bridge=BRG-035; treatment=TRT-INCIDENT_RESPONSE-INITIAL; wording=IW-ALL-INCIDENT_RESPONSE</v>
      </c>
    </row>
    <row r="68" spans="1:16" ht="113.15" customHeight="1">
      <c r="A68" s="177" t="str">
        <f>_ENGINE_Risk!CM566</f>
        <v>RISK-ONT-0067</v>
      </c>
      <c r="B68" s="177">
        <f>ROW(_ENGINE_Risk!A566)</f>
        <v>566</v>
      </c>
      <c r="C68" s="177" t="str">
        <f>_ENGINE_Risk!E566</f>
        <v>GOVE-022</v>
      </c>
      <c r="D68" s="177" t="str">
        <f>_ENGINE_Risk!C566</f>
        <v>Governance Crisis</v>
      </c>
      <c r="E68" s="177" t="str">
        <f>_ENGINE_Risk!D566</f>
        <v>Risk and continuity</v>
      </c>
      <c r="F68" s="177" t="str">
        <f>_ENGINE_Risk!F566</f>
        <v>Crisis governance and continuity readiness</v>
      </c>
      <c r="G68" s="177" t="str">
        <f>_ENGINE_Risk!G566</f>
        <v>Severe risk: joint crisis exercises with critical suppliers, customers, authorities and insurers is not reliably controlled. During Supplier/logistics disruption; War/security crisis; Cyberattack/ransomware, the organization may face untested cross-organizational response, conflicting assumptions and slow joint recovery in real events with limited visibility or accountability.</v>
      </c>
      <c r="H68" s="177" t="str">
        <f>_ENGINE_Risk!BT566</f>
        <v>CAP_BACKUP_RECOVERY</v>
      </c>
      <c r="I68" s="177" t="str">
        <f>_ENGINE_Risk!BV566</f>
        <v>BRG-037</v>
      </c>
      <c r="J68" s="177" t="str">
        <f>_ENGINE_Risk!CE566</f>
        <v>IW-ALL-BACKUP_RECOVERY</v>
      </c>
      <c r="K68" s="177" t="str">
        <f>_ENGINE_Risk!BY566</f>
        <v>TRT-BACKUP_RECOVERY-INITIAL</v>
      </c>
      <c r="L68" s="177" t="str">
        <f>_ENGINE_Risk!CP566</f>
        <v>Active</v>
      </c>
      <c r="M68" s="177" t="str">
        <f>_ENGINE_Risk!CQ566</f>
        <v>OK: capability-driven</v>
      </c>
      <c r="N68" s="177" t="str">
        <f>_ENGINE_Risk!CS566</f>
        <v>Yes</v>
      </c>
      <c r="O68" s="177" t="str">
        <f>_ENGINE_Risk!CO566</f>
        <v>Governance Crisis|Risk and continuity|GOVE-022|CAP_BACKUP_RECOVERY</v>
      </c>
      <c r="P68" s="177" t="str">
        <f>_ENGINE_Risk!CR566</f>
        <v>Risk ontology uses capability=CAP_BACKUP_RECOVERY; bridge=BRG-037; treatment=TRT-BACKUP_RECOVERY-INITIAL; wording=IW-ALL-BACKUP_RECOVERY</v>
      </c>
    </row>
    <row r="69" spans="1:16" ht="113.15" customHeight="1">
      <c r="A69" s="177" t="str">
        <f>_ENGINE_Risk!CM567</f>
        <v>RISK-ONT-0068</v>
      </c>
      <c r="B69" s="177">
        <f>ROW(_ENGINE_Risk!A567)</f>
        <v>567</v>
      </c>
      <c r="C69" s="177" t="str">
        <f>_ENGINE_Risk!E567</f>
        <v>HRWO-001</v>
      </c>
      <c r="D69" s="177" t="str">
        <f>_ENGINE_Risk!C567</f>
        <v>HR Workforce</v>
      </c>
      <c r="E69" s="177" t="str">
        <f>_ENGINE_Risk!D567</f>
        <v>Workforce visibility</v>
      </c>
      <c r="F69" s="177" t="str">
        <f>_ENGINE_Risk!F567</f>
        <v>People, critical roles and knowledge continuity</v>
      </c>
      <c r="G69" s="177" t="str">
        <f>_ENGINE_Risk!G567</f>
        <v>Severe risk: workforce inventory by role, location, manager, contract type, employment entity, skill and criticality is not reliably controlled. During Workforce disruption; Pandemic/health crisis; War/security crisis, the organization may face loss of critical knowledge, reduced productivity, unmanaged absenteeism and inability to keep essential work running with limited visibility or accountability.</v>
      </c>
      <c r="H69" s="177" t="str">
        <f>_ENGINE_Risk!BT567</f>
        <v>CAP_BACKUP_RECOVERY</v>
      </c>
      <c r="I69" s="177" t="str">
        <f>_ENGINE_Risk!BV567</f>
        <v>BRG-042</v>
      </c>
      <c r="J69" s="177" t="str">
        <f>_ENGINE_Risk!CE567</f>
        <v>IW-ALL-BACKUP_RECOVERY</v>
      </c>
      <c r="K69" s="177" t="str">
        <f>_ENGINE_Risk!BY567</f>
        <v>TRT-BACKUP_RECOVERY-INITIAL</v>
      </c>
      <c r="L69" s="177" t="str">
        <f>_ENGINE_Risk!CP567</f>
        <v>Active</v>
      </c>
      <c r="M69" s="177" t="str">
        <f>_ENGINE_Risk!CQ567</f>
        <v>OK: capability-driven</v>
      </c>
      <c r="N69" s="177" t="str">
        <f>_ENGINE_Risk!CS567</f>
        <v>Yes</v>
      </c>
      <c r="O69" s="177" t="str">
        <f>_ENGINE_Risk!CO567</f>
        <v>HR Workforce|Workforce visibility|HRWO-001|CAP_BACKUP_RECOVERY</v>
      </c>
      <c r="P69" s="177" t="str">
        <f>_ENGINE_Risk!CR567</f>
        <v>Risk ontology uses capability=CAP_BACKUP_RECOVERY; bridge=BRG-042; treatment=TRT-BACKUP_RECOVERY-INITIAL; wording=IW-ALL-BACKUP_RECOVERY</v>
      </c>
    </row>
    <row r="70" spans="1:16" ht="113.15" customHeight="1">
      <c r="A70" s="177" t="str">
        <f>_ENGINE_Risk!CM568</f>
        <v>RISK-ONT-0069</v>
      </c>
      <c r="B70" s="177">
        <f>ROW(_ENGINE_Risk!A568)</f>
        <v>568</v>
      </c>
      <c r="C70" s="177" t="str">
        <f>_ENGINE_Risk!E568</f>
        <v>HRWO-002</v>
      </c>
      <c r="D70" s="177" t="str">
        <f>_ENGINE_Risk!C568</f>
        <v>HR Workforce</v>
      </c>
      <c r="E70" s="177" t="str">
        <f>_ENGINE_Risk!D568</f>
        <v>Workforce visibility</v>
      </c>
      <c r="F70" s="177" t="str">
        <f>_ENGINE_Risk!F568</f>
        <v>People, critical roles and knowledge continuity</v>
      </c>
      <c r="G70" s="177" t="str">
        <f>_ENGINE_Risk!G568</f>
        <v>Severe risk: critical role mapping by process dependency, customer impact, system access and knowledge concentration is not reliably controlled. During Workforce disruption; Pandemic/health crisis; War/security crisis, the organization may face loss of critical knowledge, reduced productivity, unmanaged absenteeism and inability to keep essential work running with limited visibility or accountability.</v>
      </c>
      <c r="H70" s="177" t="str">
        <f>_ENGINE_Risk!BT568</f>
        <v>CAP_BACKUP_RECOVERY</v>
      </c>
      <c r="I70" s="177" t="str">
        <f>_ENGINE_Risk!BV568</f>
        <v>BRG-042</v>
      </c>
      <c r="J70" s="177" t="str">
        <f>_ENGINE_Risk!CE568</f>
        <v>IW-ALL-BACKUP_RECOVERY</v>
      </c>
      <c r="K70" s="177" t="str">
        <f>_ENGINE_Risk!BY568</f>
        <v>TRT-BACKUP_RECOVERY-INITIAL</v>
      </c>
      <c r="L70" s="177" t="str">
        <f>_ENGINE_Risk!CP568</f>
        <v>Active</v>
      </c>
      <c r="M70" s="177" t="str">
        <f>_ENGINE_Risk!CQ568</f>
        <v>OK: capability-driven</v>
      </c>
      <c r="N70" s="177" t="str">
        <f>_ENGINE_Risk!CS568</f>
        <v>Yes</v>
      </c>
      <c r="O70" s="177" t="str">
        <f>_ENGINE_Risk!CO568</f>
        <v>HR Workforce|Workforce visibility|HRWO-002|CAP_BACKUP_RECOVERY</v>
      </c>
      <c r="P70" s="177" t="str">
        <f>_ENGINE_Risk!CR568</f>
        <v>Risk ontology uses capability=CAP_BACKUP_RECOVERY; bridge=BRG-042; treatment=TRT-BACKUP_RECOVERY-INITIAL; wording=IW-ALL-BACKUP_RECOVERY</v>
      </c>
    </row>
    <row r="71" spans="1:16" ht="113.15" customHeight="1">
      <c r="A71" s="177" t="str">
        <f>_ENGINE_Risk!CM569</f>
        <v>RISK-ONT-0070</v>
      </c>
      <c r="B71" s="177">
        <f>ROW(_ENGINE_Risk!A569)</f>
        <v>569</v>
      </c>
      <c r="C71" s="177" t="str">
        <f>_ENGINE_Risk!E569</f>
        <v>HRWO-003</v>
      </c>
      <c r="D71" s="177" t="str">
        <f>_ENGINE_Risk!C569</f>
        <v>HR Workforce</v>
      </c>
      <c r="E71" s="177" t="str">
        <f>_ENGINE_Risk!D569</f>
        <v>Workforce visibility</v>
      </c>
      <c r="F71" s="177" t="str">
        <f>_ENGINE_Risk!F569</f>
        <v>People, critical roles and knowledge continuity</v>
      </c>
      <c r="G71" s="177" t="str">
        <f>_ENGINE_Risk!G569</f>
        <v>Severe risk: key-person risk for executives, founders, architects, plant specialists, client owners and finance signatories is not reliably controlled. During Workforce disruption; Pandemic/health crisis; War/security crisis, the organization may face loss of critical knowledge, reduced productivity, unmanaged absenteeism and inability to keep essential work running with limited visibility or accountability.</v>
      </c>
      <c r="H71" s="177" t="str">
        <f>_ENGINE_Risk!BT569</f>
        <v>CAP_BACKUP_RECOVERY</v>
      </c>
      <c r="I71" s="177" t="str">
        <f>_ENGINE_Risk!BV569</f>
        <v>BRG-042</v>
      </c>
      <c r="J71" s="177" t="str">
        <f>_ENGINE_Risk!CE569</f>
        <v>IW-ALL-BACKUP_RECOVERY</v>
      </c>
      <c r="K71" s="177" t="str">
        <f>_ENGINE_Risk!BY569</f>
        <v>TRT-BACKUP_RECOVERY-INITIAL</v>
      </c>
      <c r="L71" s="177" t="str">
        <f>_ENGINE_Risk!CP569</f>
        <v>Active</v>
      </c>
      <c r="M71" s="177" t="str">
        <f>_ENGINE_Risk!CQ569</f>
        <v>OK: capability-driven</v>
      </c>
      <c r="N71" s="177" t="str">
        <f>_ENGINE_Risk!CS569</f>
        <v>Yes</v>
      </c>
      <c r="O71" s="177" t="str">
        <f>_ENGINE_Risk!CO569</f>
        <v>HR Workforce|Workforce visibility|HRWO-003|CAP_BACKUP_RECOVERY</v>
      </c>
      <c r="P71" s="177" t="str">
        <f>_ENGINE_Risk!CR569</f>
        <v>Risk ontology uses capability=CAP_BACKUP_RECOVERY; bridge=BRG-042; treatment=TRT-BACKUP_RECOVERY-INITIAL; wording=IW-ALL-BACKUP_RECOVERY</v>
      </c>
    </row>
    <row r="72" spans="1:16" ht="113.15" customHeight="1">
      <c r="A72" s="177" t="str">
        <f>_ENGINE_Risk!CM570</f>
        <v>RISK-ONT-0071</v>
      </c>
      <c r="B72" s="177">
        <f>ROW(_ENGINE_Risk!A570)</f>
        <v>570</v>
      </c>
      <c r="C72" s="177" t="str">
        <f>_ENGINE_Risk!E570</f>
        <v>HRWO-004</v>
      </c>
      <c r="D72" s="177" t="str">
        <f>_ENGINE_Risk!C570</f>
        <v>HR Workforce</v>
      </c>
      <c r="E72" s="177" t="str">
        <f>_ENGINE_Risk!D570</f>
        <v>Workforce visibility</v>
      </c>
      <c r="F72" s="177" t="str">
        <f>_ENGINE_Risk!F570</f>
        <v>People, critical roles and knowledge continuity</v>
      </c>
      <c r="G72" s="177" t="str">
        <f>_ENGINE_Risk!G570</f>
        <v>Severe risk: skills matrix linked to critical processes, systems, products, sites and backup coverage is not reliably controlled. During Workforce disruption; Pandemic/health crisis; War/security crisis, the organization may face loss of critical knowledge, reduced productivity, unmanaged absenteeism and inability to keep essential work running with limited visibility or accountability.</v>
      </c>
      <c r="H72" s="177" t="str">
        <f>_ENGINE_Risk!BT570</f>
        <v>CAP_BACKUP_RECOVERY</v>
      </c>
      <c r="I72" s="177" t="str">
        <f>_ENGINE_Risk!BV570</f>
        <v>BRG-042</v>
      </c>
      <c r="J72" s="177" t="str">
        <f>_ENGINE_Risk!CE570</f>
        <v>IW-ALL-BACKUP_RECOVERY</v>
      </c>
      <c r="K72" s="177" t="str">
        <f>_ENGINE_Risk!BY570</f>
        <v>TRT-BACKUP_RECOVERY-INITIAL</v>
      </c>
      <c r="L72" s="177" t="str">
        <f>_ENGINE_Risk!CP570</f>
        <v>Active</v>
      </c>
      <c r="M72" s="177" t="str">
        <f>_ENGINE_Risk!CQ570</f>
        <v>OK: capability-driven</v>
      </c>
      <c r="N72" s="177" t="str">
        <f>_ENGINE_Risk!CS570</f>
        <v>Yes</v>
      </c>
      <c r="O72" s="177" t="str">
        <f>_ENGINE_Risk!CO570</f>
        <v>HR Workforce|Workforce visibility|HRWO-004|CAP_BACKUP_RECOVERY</v>
      </c>
      <c r="P72" s="177" t="str">
        <f>_ENGINE_Risk!CR570</f>
        <v>Risk ontology uses capability=CAP_BACKUP_RECOVERY; bridge=BRG-042; treatment=TRT-BACKUP_RECOVERY-INITIAL; wording=IW-ALL-BACKUP_RECOVERY</v>
      </c>
    </row>
    <row r="73" spans="1:16" ht="113.15" customHeight="1">
      <c r="A73" s="177" t="str">
        <f>_ENGINE_Risk!CM571</f>
        <v>RISK-ONT-0072</v>
      </c>
      <c r="B73" s="177">
        <f>ROW(_ENGINE_Risk!A571)</f>
        <v>571</v>
      </c>
      <c r="C73" s="177" t="str">
        <f>_ENGINE_Risk!E571</f>
        <v>HRWO-005</v>
      </c>
      <c r="D73" s="177" t="str">
        <f>_ENGINE_Risk!C571</f>
        <v>HR Workforce</v>
      </c>
      <c r="E73" s="177" t="str">
        <f>_ENGINE_Risk!D571</f>
        <v>Workforce visibility</v>
      </c>
      <c r="F73" s="177" t="str">
        <f>_ENGINE_Risk!F571</f>
        <v>People, critical roles and knowledge continuity</v>
      </c>
      <c r="G73" s="177" t="str">
        <f>_ENGINE_Risk!G571</f>
        <v>Severe risk: minimum staffing levels for critical functions, shifts, production lines and customer support is not reliably controlled. During Workforce disruption; Pandemic/health crisis; War/security crisis, the organization may face loss of critical knowledge, reduced productivity, unmanaged absenteeism and inability to keep essential work running with limited visibility or accountability.</v>
      </c>
      <c r="H73" s="177" t="str">
        <f>_ENGINE_Risk!BT571</f>
        <v>CAP_BACKUP_RECOVERY</v>
      </c>
      <c r="I73" s="177" t="str">
        <f>_ENGINE_Risk!BV571</f>
        <v>BRG-042</v>
      </c>
      <c r="J73" s="177" t="str">
        <f>_ENGINE_Risk!CE571</f>
        <v>IW-ALL-BACKUP_RECOVERY</v>
      </c>
      <c r="K73" s="177" t="str">
        <f>_ENGINE_Risk!BY571</f>
        <v>TRT-BACKUP_RECOVERY-INITIAL</v>
      </c>
      <c r="L73" s="177" t="str">
        <f>_ENGINE_Risk!CP571</f>
        <v>Active</v>
      </c>
      <c r="M73" s="177" t="str">
        <f>_ENGINE_Risk!CQ571</f>
        <v>OK: capability-driven</v>
      </c>
      <c r="N73" s="177" t="str">
        <f>_ENGINE_Risk!CS571</f>
        <v>Yes</v>
      </c>
      <c r="O73" s="177" t="str">
        <f>_ENGINE_Risk!CO571</f>
        <v>HR Workforce|Workforce visibility|HRWO-005|CAP_BACKUP_RECOVERY</v>
      </c>
      <c r="P73" s="177" t="str">
        <f>_ENGINE_Risk!CR571</f>
        <v>Risk ontology uses capability=CAP_BACKUP_RECOVERY; bridge=BRG-042; treatment=TRT-BACKUP_RECOVERY-INITIAL; wording=IW-ALL-BACKUP_RECOVERY</v>
      </c>
    </row>
    <row r="74" spans="1:16" ht="99" customHeight="1">
      <c r="A74" s="177" t="str">
        <f>_ENGINE_Risk!CM572</f>
        <v>RISK-ONT-0073</v>
      </c>
      <c r="B74" s="177">
        <f>ROW(_ENGINE_Risk!A572)</f>
        <v>572</v>
      </c>
      <c r="C74" s="177" t="str">
        <f>_ENGINE_Risk!E572</f>
        <v>HRWO-006</v>
      </c>
      <c r="D74" s="177" t="str">
        <f>_ENGINE_Risk!C572</f>
        <v>HR Workforce</v>
      </c>
      <c r="E74" s="177" t="str">
        <f>_ENGINE_Risk!D572</f>
        <v>Workforce visibility</v>
      </c>
      <c r="F74" s="177" t="str">
        <f>_ENGINE_Risk!F572</f>
        <v>People, critical roles and knowledge continuity</v>
      </c>
      <c r="G74" s="177" t="str">
        <f>_ENGINE_Risk!G572</f>
        <v>Severe risk: absence trends, sick leave spikes and workforce availability monitoring is not reliably controlled. During Workforce disruption; Pandemic/health crisis; War/security crisis, the organization may face loss of critical knowledge, reduced productivity, unmanaged absenteeism and inability to keep essential work running with limited visibility or accountability.</v>
      </c>
      <c r="H74" s="177" t="str">
        <f>_ENGINE_Risk!BT572</f>
        <v>CAP_BACKUP_RECOVERY</v>
      </c>
      <c r="I74" s="177" t="str">
        <f>_ENGINE_Risk!BV572</f>
        <v>BRG-042</v>
      </c>
      <c r="J74" s="177" t="str">
        <f>_ENGINE_Risk!CE572</f>
        <v>IW-ALL-BACKUP_RECOVERY</v>
      </c>
      <c r="K74" s="177" t="str">
        <f>_ENGINE_Risk!BY572</f>
        <v>TRT-BACKUP_RECOVERY-INITIAL</v>
      </c>
      <c r="L74" s="177" t="str">
        <f>_ENGINE_Risk!CP572</f>
        <v>Active</v>
      </c>
      <c r="M74" s="177" t="str">
        <f>_ENGINE_Risk!CQ572</f>
        <v>OK: capability-driven</v>
      </c>
      <c r="N74" s="177" t="str">
        <f>_ENGINE_Risk!CS572</f>
        <v>Yes</v>
      </c>
      <c r="O74" s="177" t="str">
        <f>_ENGINE_Risk!CO572</f>
        <v>HR Workforce|Workforce visibility|HRWO-006|CAP_BACKUP_RECOVERY</v>
      </c>
      <c r="P74" s="177" t="str">
        <f>_ENGINE_Risk!CR572</f>
        <v>Risk ontology uses capability=CAP_BACKUP_RECOVERY; bridge=BRG-042; treatment=TRT-BACKUP_RECOVERY-INITIAL; wording=IW-ALL-BACKUP_RECOVERY</v>
      </c>
    </row>
    <row r="75" spans="1:16" ht="113.15" customHeight="1">
      <c r="A75" s="177" t="str">
        <f>_ENGINE_Risk!CM573</f>
        <v>RISK-ONT-0074</v>
      </c>
      <c r="B75" s="177">
        <f>ROW(_ENGINE_Risk!A573)</f>
        <v>573</v>
      </c>
      <c r="C75" s="177" t="str">
        <f>_ENGINE_Risk!E573</f>
        <v>HRWO-007</v>
      </c>
      <c r="D75" s="177" t="str">
        <f>_ENGINE_Risk!C573</f>
        <v>HR Workforce</v>
      </c>
      <c r="E75" s="177" t="str">
        <f>_ENGINE_Risk!D573</f>
        <v>Recruitment and retention</v>
      </c>
      <c r="F75" s="177" t="str">
        <f>_ENGINE_Risk!F573</f>
        <v>People, critical roles and knowledge continuity</v>
      </c>
      <c r="G75" s="177" t="str">
        <f>_ENGINE_Risk!G573</f>
        <v>Severe risk: hiring pipeline resilience for critical roles under market shortage or geographic disruption is not reliably controlled. During Workforce disruption; Pandemic/health crisis; War/security crisis, the organization may face loss of critical knowledge, reduced productivity, unmanaged absenteeism and inability to keep essential work running with limited visibility or accountability.</v>
      </c>
      <c r="H75" s="177" t="str">
        <f>_ENGINE_Risk!BT573</f>
        <v>CAP_SRE_OBSERVABILITY</v>
      </c>
      <c r="I75" s="177" t="str">
        <f>_ENGINE_Risk!BV573</f>
        <v>BRG-041</v>
      </c>
      <c r="J75" s="177" t="str">
        <f>_ENGINE_Risk!CE573</f>
        <v>IW-ALL-SRE_OBSERVABILITY</v>
      </c>
      <c r="K75" s="177" t="str">
        <f>_ENGINE_Risk!BY573</f>
        <v>TRT-SRE_OBSERVABILITY-INITIAL</v>
      </c>
      <c r="L75" s="177" t="str">
        <f>_ENGINE_Risk!CP573</f>
        <v>Active</v>
      </c>
      <c r="M75" s="177" t="str">
        <f>_ENGINE_Risk!CQ573</f>
        <v>OK: capability-driven</v>
      </c>
      <c r="N75" s="177" t="str">
        <f>_ENGINE_Risk!CS573</f>
        <v>Yes</v>
      </c>
      <c r="O75" s="177" t="str">
        <f>_ENGINE_Risk!CO573</f>
        <v>HR Workforce|Recruitment and retention|HRWO-007|CAP_SRE_OBSERVABILITY</v>
      </c>
      <c r="P75" s="177" t="str">
        <f>_ENGINE_Risk!CR573</f>
        <v>Risk ontology uses capability=CAP_SRE_OBSERVABILITY; bridge=BRG-041; treatment=TRT-SRE_OBSERVABILITY-INITIAL; wording=IW-ALL-SRE_OBSERVABILITY</v>
      </c>
    </row>
    <row r="76" spans="1:16" ht="99" customHeight="1">
      <c r="A76" s="177" t="str">
        <f>_ENGINE_Risk!CM574</f>
        <v>RISK-ONT-0075</v>
      </c>
      <c r="B76" s="177">
        <f>ROW(_ENGINE_Risk!A574)</f>
        <v>574</v>
      </c>
      <c r="C76" s="177" t="str">
        <f>_ENGINE_Risk!E574</f>
        <v>HRWO-008</v>
      </c>
      <c r="D76" s="177" t="str">
        <f>_ENGINE_Risk!C574</f>
        <v>HR Workforce</v>
      </c>
      <c r="E76" s="177" t="str">
        <f>_ENGINE_Risk!D574</f>
        <v>Recruitment and retention</v>
      </c>
      <c r="F76" s="177" t="str">
        <f>_ENGINE_Risk!F574</f>
        <v>People, critical roles and knowledge continuity</v>
      </c>
      <c r="G76" s="177" t="str">
        <f>_ENGINE_Risk!G574</f>
        <v>Severe risk: time-to-hire tracking by critical role, geography and seniority is not reliably controlled. During Workforce disruption; Pandemic/health crisis; War/security crisis, the organization may face loss of critical knowledge, reduced productivity, unmanaged absenteeism and inability to keep essential work running with limited visibility or accountability.</v>
      </c>
      <c r="H76" s="177" t="str">
        <f>_ENGINE_Risk!BT574</f>
        <v>CAP_SRE_OBSERVABILITY</v>
      </c>
      <c r="I76" s="177" t="str">
        <f>_ENGINE_Risk!BV574</f>
        <v>BRG-041</v>
      </c>
      <c r="J76" s="177" t="str">
        <f>_ENGINE_Risk!CE574</f>
        <v>IW-ALL-SRE_OBSERVABILITY</v>
      </c>
      <c r="K76" s="177" t="str">
        <f>_ENGINE_Risk!BY574</f>
        <v>TRT-SRE_OBSERVABILITY-INITIAL</v>
      </c>
      <c r="L76" s="177" t="str">
        <f>_ENGINE_Risk!CP574</f>
        <v>Active</v>
      </c>
      <c r="M76" s="177" t="str">
        <f>_ENGINE_Risk!CQ574</f>
        <v>OK: capability-driven</v>
      </c>
      <c r="N76" s="177" t="str">
        <f>_ENGINE_Risk!CS574</f>
        <v>Yes</v>
      </c>
      <c r="O76" s="177" t="str">
        <f>_ENGINE_Risk!CO574</f>
        <v>HR Workforce|Recruitment and retention|HRWO-008|CAP_SRE_OBSERVABILITY</v>
      </c>
      <c r="P76" s="177" t="str">
        <f>_ENGINE_Risk!CR574</f>
        <v>Risk ontology uses capability=CAP_SRE_OBSERVABILITY; bridge=BRG-041; treatment=TRT-SRE_OBSERVABILITY-INITIAL; wording=IW-ALL-SRE_OBSERVABILITY</v>
      </c>
    </row>
    <row r="77" spans="1:16" ht="113.15" customHeight="1">
      <c r="A77" s="177" t="str">
        <f>_ENGINE_Risk!CM575</f>
        <v>RISK-ONT-0076</v>
      </c>
      <c r="B77" s="177">
        <f>ROW(_ENGINE_Risk!A575)</f>
        <v>575</v>
      </c>
      <c r="C77" s="177" t="str">
        <f>_ENGINE_Risk!E575</f>
        <v>HRWO-009</v>
      </c>
      <c r="D77" s="177" t="str">
        <f>_ENGINE_Risk!C575</f>
        <v>HR Workforce</v>
      </c>
      <c r="E77" s="177" t="str">
        <f>_ENGINE_Risk!D575</f>
        <v>Recruitment and retention</v>
      </c>
      <c r="F77" s="177" t="str">
        <f>_ENGINE_Risk!F575</f>
        <v>People, critical roles and knowledge continuity</v>
      </c>
      <c r="G77" s="177" t="str">
        <f>_ENGINE_Risk!G575</f>
        <v>Severe risk: alternative sourcing channels for critical roles, geographies and rare skills is not reliably controlled. During Workforce disruption; Pandemic/health crisis; War/security crisis, the organization may face loss of critical knowledge, reduced productivity, unmanaged absenteeism and inability to keep essential work running with limited visibility or accountability.</v>
      </c>
      <c r="H77" s="177" t="str">
        <f>_ENGINE_Risk!BT575</f>
        <v>CAP_SRE_OBSERVABILITY</v>
      </c>
      <c r="I77" s="177" t="str">
        <f>_ENGINE_Risk!BV575</f>
        <v>BRG-041</v>
      </c>
      <c r="J77" s="177" t="str">
        <f>_ENGINE_Risk!CE575</f>
        <v>IW-ALL-SRE_OBSERVABILITY</v>
      </c>
      <c r="K77" s="177" t="str">
        <f>_ENGINE_Risk!BY575</f>
        <v>TRT-SRE_OBSERVABILITY-INITIAL</v>
      </c>
      <c r="L77" s="177" t="str">
        <f>_ENGINE_Risk!CP575</f>
        <v>Active</v>
      </c>
      <c r="M77" s="177" t="str">
        <f>_ENGINE_Risk!CQ575</f>
        <v>OK: capability-driven</v>
      </c>
      <c r="N77" s="177" t="str">
        <f>_ENGINE_Risk!CS575</f>
        <v>Yes</v>
      </c>
      <c r="O77" s="177" t="str">
        <f>_ENGINE_Risk!CO575</f>
        <v>HR Workforce|Recruitment and retention|HRWO-009|CAP_SRE_OBSERVABILITY</v>
      </c>
      <c r="P77" s="177" t="str">
        <f>_ENGINE_Risk!CR575</f>
        <v>Risk ontology uses capability=CAP_SRE_OBSERVABILITY; bridge=BRG-041; treatment=TRT-SRE_OBSERVABILITY-INITIAL; wording=IW-ALL-SRE_OBSERVABILITY</v>
      </c>
    </row>
    <row r="78" spans="1:16" ht="113.15" customHeight="1">
      <c r="A78" s="177" t="str">
        <f>_ENGINE_Risk!CM576</f>
        <v>RISK-ONT-0077</v>
      </c>
      <c r="B78" s="177">
        <f>ROW(_ENGINE_Risk!A576)</f>
        <v>576</v>
      </c>
      <c r="C78" s="177" t="str">
        <f>_ENGINE_Risk!E576</f>
        <v>HRWO-010</v>
      </c>
      <c r="D78" s="177" t="str">
        <f>_ENGINE_Risk!C576</f>
        <v>HR Workforce</v>
      </c>
      <c r="E78" s="177" t="str">
        <f>_ENGINE_Risk!D576</f>
        <v>Recruitment and retention</v>
      </c>
      <c r="F78" s="177" t="str">
        <f>_ENGINE_Risk!F576</f>
        <v>People, critical roles and knowledge continuity</v>
      </c>
      <c r="G78" s="177" t="str">
        <f>_ENGINE_Risk!G576</f>
        <v>Severe risk: retention risk monitoring for critical people, high performers and scarce-skill roles is not reliably controlled. During Workforce disruption; Pandemic/health crisis; War/security crisis, the organization may face loss of critical knowledge, reduced productivity, unmanaged absenteeism and inability to keep essential work running with limited visibility or accountability.</v>
      </c>
      <c r="H78" s="177" t="str">
        <f>_ENGINE_Risk!BT576</f>
        <v>CAP_SRE_OBSERVABILITY</v>
      </c>
      <c r="I78" s="177" t="str">
        <f>_ENGINE_Risk!BV576</f>
        <v>BRG-041</v>
      </c>
      <c r="J78" s="177" t="str">
        <f>_ENGINE_Risk!CE576</f>
        <v>IW-ALL-SRE_OBSERVABILITY</v>
      </c>
      <c r="K78" s="177" t="str">
        <f>_ENGINE_Risk!BY576</f>
        <v>TRT-SRE_OBSERVABILITY-INITIAL</v>
      </c>
      <c r="L78" s="177" t="str">
        <f>_ENGINE_Risk!CP576</f>
        <v>Active</v>
      </c>
      <c r="M78" s="177" t="str">
        <f>_ENGINE_Risk!CQ576</f>
        <v>OK: capability-driven</v>
      </c>
      <c r="N78" s="177" t="str">
        <f>_ENGINE_Risk!CS576</f>
        <v>Yes</v>
      </c>
      <c r="O78" s="177" t="str">
        <f>_ENGINE_Risk!CO576</f>
        <v>HR Workforce|Recruitment and retention|HRWO-010|CAP_SRE_OBSERVABILITY</v>
      </c>
      <c r="P78" s="177" t="str">
        <f>_ENGINE_Risk!CR576</f>
        <v>Risk ontology uses capability=CAP_SRE_OBSERVABILITY; bridge=BRG-041; treatment=TRT-SRE_OBSERVABILITY-INITIAL; wording=IW-ALL-SRE_OBSERVABILITY</v>
      </c>
    </row>
    <row r="79" spans="1:16" ht="113.15" customHeight="1">
      <c r="A79" s="177" t="str">
        <f>_ENGINE_Risk!CM577</f>
        <v>RISK-ONT-0078</v>
      </c>
      <c r="B79" s="177">
        <f>ROW(_ENGINE_Risk!A577)</f>
        <v>577</v>
      </c>
      <c r="C79" s="177" t="str">
        <f>_ENGINE_Risk!E577</f>
        <v>HRWO-011</v>
      </c>
      <c r="D79" s="177" t="str">
        <f>_ENGINE_Risk!C577</f>
        <v>HR Workforce</v>
      </c>
      <c r="E79" s="177" t="str">
        <f>_ENGINE_Risk!D577</f>
        <v>Recruitment and retention</v>
      </c>
      <c r="F79" s="177" t="str">
        <f>_ENGINE_Risk!F577</f>
        <v>People, critical roles and knowledge continuity</v>
      </c>
      <c r="G79" s="177" t="str">
        <f>_ENGINE_Risk!G577</f>
        <v>Severe risk: compensation and payroll continuity during banking, legal or system disruption is not reliably controlled. During Workforce disruption; Pandemic/health crisis; War/security crisis, the organization may face loss of critical knowledge, reduced productivity, unmanaged absenteeism and inability to keep essential work running with limited visibility or accountability.</v>
      </c>
      <c r="H79" s="177" t="str">
        <f>_ENGINE_Risk!BT577</f>
        <v>CAP_SRE_OBSERVABILITY</v>
      </c>
      <c r="I79" s="177" t="str">
        <f>_ENGINE_Risk!BV577</f>
        <v>BRG-041</v>
      </c>
      <c r="J79" s="177" t="str">
        <f>_ENGINE_Risk!CE577</f>
        <v>IW-ALL-SRE_OBSERVABILITY</v>
      </c>
      <c r="K79" s="177" t="str">
        <f>_ENGINE_Risk!BY577</f>
        <v>TRT-SRE_OBSERVABILITY-INITIAL</v>
      </c>
      <c r="L79" s="177" t="str">
        <f>_ENGINE_Risk!CP577</f>
        <v>Active</v>
      </c>
      <c r="M79" s="177" t="str">
        <f>_ENGINE_Risk!CQ577</f>
        <v>OK: capability-driven</v>
      </c>
      <c r="N79" s="177" t="str">
        <f>_ENGINE_Risk!CS577</f>
        <v>Yes</v>
      </c>
      <c r="O79" s="177" t="str">
        <f>_ENGINE_Risk!CO577</f>
        <v>HR Workforce|Recruitment and retention|HRWO-011|CAP_SRE_OBSERVABILITY</v>
      </c>
      <c r="P79" s="177" t="str">
        <f>_ENGINE_Risk!CR577</f>
        <v>Risk ontology uses capability=CAP_SRE_OBSERVABILITY; bridge=BRG-041; treatment=TRT-SRE_OBSERVABILITY-INITIAL; wording=IW-ALL-SRE_OBSERVABILITY</v>
      </c>
    </row>
    <row r="80" spans="1:16" ht="113.15" customHeight="1">
      <c r="A80" s="177" t="str">
        <f>_ENGINE_Risk!CM578</f>
        <v>RISK-ONT-0079</v>
      </c>
      <c r="B80" s="177">
        <f>ROW(_ENGINE_Risk!A578)</f>
        <v>578</v>
      </c>
      <c r="C80" s="177" t="str">
        <f>_ENGINE_Risk!E578</f>
        <v>HRWO-012</v>
      </c>
      <c r="D80" s="177" t="str">
        <f>_ENGINE_Risk!C578</f>
        <v>HR Workforce</v>
      </c>
      <c r="E80" s="177" t="str">
        <f>_ENGINE_Risk!D578</f>
        <v>Recruitment and retention</v>
      </c>
      <c r="F80" s="177" t="str">
        <f>_ENGINE_Risk!F578</f>
        <v>People, critical roles and knowledge continuity</v>
      </c>
      <c r="G80" s="177" t="str">
        <f>_ENGINE_Risk!G578</f>
        <v>Severe risk: succession planning and deputies for all critical leadership and operational roles is not reliably controlled. During Workforce disruption; Pandemic/health crisis; War/security crisis, the organization may face loss of critical knowledge, reduced productivity, unmanaged absenteeism and inability to keep essential work running with limited visibility or accountability.</v>
      </c>
      <c r="H80" s="177" t="str">
        <f>_ENGINE_Risk!BT578</f>
        <v>CAP_SRE_OBSERVABILITY</v>
      </c>
      <c r="I80" s="177" t="str">
        <f>_ENGINE_Risk!BV578</f>
        <v>BRG-041</v>
      </c>
      <c r="J80" s="177" t="str">
        <f>_ENGINE_Risk!CE578</f>
        <v>IW-ALL-SRE_OBSERVABILITY</v>
      </c>
      <c r="K80" s="177" t="str">
        <f>_ENGINE_Risk!BY578</f>
        <v>TRT-SRE_OBSERVABILITY-INITIAL</v>
      </c>
      <c r="L80" s="177" t="str">
        <f>_ENGINE_Risk!CP578</f>
        <v>Active</v>
      </c>
      <c r="M80" s="177" t="str">
        <f>_ENGINE_Risk!CQ578</f>
        <v>OK: capability-driven</v>
      </c>
      <c r="N80" s="177" t="str">
        <f>_ENGINE_Risk!CS578</f>
        <v>Yes</v>
      </c>
      <c r="O80" s="177" t="str">
        <f>_ENGINE_Risk!CO578</f>
        <v>HR Workforce|Recruitment and retention|HRWO-012|CAP_SRE_OBSERVABILITY</v>
      </c>
      <c r="P80" s="177" t="str">
        <f>_ENGINE_Risk!CR578</f>
        <v>Risk ontology uses capability=CAP_SRE_OBSERVABILITY; bridge=BRG-041; treatment=TRT-SRE_OBSERVABILITY-INITIAL; wording=IW-ALL-SRE_OBSERVABILITY</v>
      </c>
    </row>
    <row r="81" spans="1:16" ht="113.15" customHeight="1">
      <c r="A81" s="177" t="str">
        <f>_ENGINE_Risk!CM579</f>
        <v>RISK-ONT-0080</v>
      </c>
      <c r="B81" s="177">
        <f>ROW(_ENGINE_Risk!A579)</f>
        <v>579</v>
      </c>
      <c r="C81" s="177" t="str">
        <f>_ENGINE_Risk!E579</f>
        <v>HRWO-013</v>
      </c>
      <c r="D81" s="177" t="str">
        <f>_ENGINE_Risk!C579</f>
        <v>HR Workforce</v>
      </c>
      <c r="E81" s="177" t="str">
        <f>_ENGINE_Risk!D579</f>
        <v>Continuity and wellbeing</v>
      </c>
      <c r="F81" s="177" t="str">
        <f>_ENGINE_Risk!F579</f>
        <v>People, critical roles and knowledge continuity</v>
      </c>
      <c r="G81" s="177" t="str">
        <f>_ENGINE_Risk!G579</f>
        <v>Severe risk: remote onboarding with secure access, equipment, training and manager support is not reliably controlled. During Workforce disruption; Pandemic/health crisis; War/security crisis, the organization may face loss of critical knowledge, reduced productivity, unmanaged absenteeism and inability to keep essential work running with limited visibility or accountability.</v>
      </c>
      <c r="H81" s="177" t="str">
        <f>_ENGINE_Risk!BT579</f>
        <v>CAP_BACKUP_RECOVERY</v>
      </c>
      <c r="I81" s="177" t="str">
        <f>_ENGINE_Risk!BV579</f>
        <v>BRG-039</v>
      </c>
      <c r="J81" s="177" t="str">
        <f>_ENGINE_Risk!CE579</f>
        <v>IW-ALL-BACKUP_RECOVERY</v>
      </c>
      <c r="K81" s="177" t="str">
        <f>_ENGINE_Risk!BY579</f>
        <v>TRT-BACKUP_RECOVERY-INITIAL</v>
      </c>
      <c r="L81" s="177" t="str">
        <f>_ENGINE_Risk!CP579</f>
        <v>Active</v>
      </c>
      <c r="M81" s="177" t="str">
        <f>_ENGINE_Risk!CQ579</f>
        <v>OK: capability-driven</v>
      </c>
      <c r="N81" s="177" t="str">
        <f>_ENGINE_Risk!CS579</f>
        <v>Yes</v>
      </c>
      <c r="O81" s="177" t="str">
        <f>_ENGINE_Risk!CO579</f>
        <v>HR Workforce|Continuity and wellbeing|HRWO-013|CAP_BACKUP_RECOVERY</v>
      </c>
      <c r="P81" s="177" t="str">
        <f>_ENGINE_Risk!CR579</f>
        <v>Risk ontology uses capability=CAP_BACKUP_RECOVERY; bridge=BRG-039; treatment=TRT-BACKUP_RECOVERY-INITIAL; wording=IW-ALL-BACKUP_RECOVERY</v>
      </c>
    </row>
    <row r="82" spans="1:16" ht="113.15" customHeight="1">
      <c r="A82" s="177" t="str">
        <f>_ENGINE_Risk!CM580</f>
        <v>RISK-ONT-0081</v>
      </c>
      <c r="B82" s="177">
        <f>ROW(_ENGINE_Risk!A580)</f>
        <v>580</v>
      </c>
      <c r="C82" s="177" t="str">
        <f>_ENGINE_Risk!E580</f>
        <v>HRWO-014</v>
      </c>
      <c r="D82" s="177" t="str">
        <f>_ENGINE_Risk!C580</f>
        <v>HR Workforce</v>
      </c>
      <c r="E82" s="177" t="str">
        <f>_ENGINE_Risk!D580</f>
        <v>Continuity and wellbeing</v>
      </c>
      <c r="F82" s="177" t="str">
        <f>_ENGINE_Risk!F580</f>
        <v>People, critical roles and knowledge continuity</v>
      </c>
      <c r="G82" s="177" t="str">
        <f>_ENGINE_Risk!G580</f>
        <v>Severe risk: remote work capability with secure access, connectivity, equipment and documented procedures is not reliably controlled. During Workforce disruption; Pandemic/health crisis; War/security crisis, the organization may face loss of critical knowledge, reduced productivity, unmanaged absenteeism and inability to keep essential work running with limited visibility or accountability.</v>
      </c>
      <c r="H82" s="177" t="str">
        <f>_ENGINE_Risk!BT580</f>
        <v>CAP_BACKUP_RECOVERY</v>
      </c>
      <c r="I82" s="177" t="str">
        <f>_ENGINE_Risk!BV580</f>
        <v>BRG-039</v>
      </c>
      <c r="J82" s="177" t="str">
        <f>_ENGINE_Risk!CE580</f>
        <v>IW-ALL-BACKUP_RECOVERY</v>
      </c>
      <c r="K82" s="177" t="str">
        <f>_ENGINE_Risk!BY580</f>
        <v>TRT-BACKUP_RECOVERY-INITIAL</v>
      </c>
      <c r="L82" s="177" t="str">
        <f>_ENGINE_Risk!CP580</f>
        <v>Active</v>
      </c>
      <c r="M82" s="177" t="str">
        <f>_ENGINE_Risk!CQ580</f>
        <v>OK: capability-driven</v>
      </c>
      <c r="N82" s="177" t="str">
        <f>_ENGINE_Risk!CS580</f>
        <v>Yes</v>
      </c>
      <c r="O82" s="177" t="str">
        <f>_ENGINE_Risk!CO580</f>
        <v>HR Workforce|Continuity and wellbeing|HRWO-014|CAP_BACKUP_RECOVERY</v>
      </c>
      <c r="P82" s="177" t="str">
        <f>_ENGINE_Risk!CR580</f>
        <v>Risk ontology uses capability=CAP_BACKUP_RECOVERY; bridge=BRG-039; treatment=TRT-BACKUP_RECOVERY-INITIAL; wording=IW-ALL-BACKUP_RECOVERY</v>
      </c>
    </row>
    <row r="83" spans="1:16" ht="99" customHeight="1">
      <c r="A83" s="177" t="str">
        <f>_ENGINE_Risk!CM581</f>
        <v>RISK-ONT-0082</v>
      </c>
      <c r="B83" s="177">
        <f>ROW(_ENGINE_Risk!A581)</f>
        <v>581</v>
      </c>
      <c r="C83" s="177" t="str">
        <f>_ENGINE_Risk!E581</f>
        <v>HRWO-015</v>
      </c>
      <c r="D83" s="177" t="str">
        <f>_ENGINE_Risk!C581</f>
        <v>HR Workforce</v>
      </c>
      <c r="E83" s="177" t="str">
        <f>_ENGINE_Risk!D581</f>
        <v>Continuity and wellbeing</v>
      </c>
      <c r="F83" s="177" t="str">
        <f>_ENGINE_Risk!F581</f>
        <v>People, critical roles and knowledge continuity</v>
      </c>
      <c r="G83" s="177" t="str">
        <f>_ENGINE_Risk!G581</f>
        <v>Severe risk: backup connectivity options for critical staff and locations is not reliably controlled. During Workforce disruption; Pandemic/health crisis; War/security crisis, the organization may face loss of critical knowledge, reduced productivity, unmanaged absenteeism and inability to keep essential work running with limited visibility or accountability.</v>
      </c>
      <c r="H83" s="177" t="str">
        <f>_ENGINE_Risk!BT581</f>
        <v>CAP_BACKUP_RECOVERY</v>
      </c>
      <c r="I83" s="177" t="str">
        <f>_ENGINE_Risk!BV581</f>
        <v>BRG-039</v>
      </c>
      <c r="J83" s="177" t="str">
        <f>_ENGINE_Risk!CE581</f>
        <v>IW-ALL-BACKUP_RECOVERY</v>
      </c>
      <c r="K83" s="177" t="str">
        <f>_ENGINE_Risk!BY581</f>
        <v>TRT-BACKUP_RECOVERY-INITIAL</v>
      </c>
      <c r="L83" s="177" t="str">
        <f>_ENGINE_Risk!CP581</f>
        <v>Active</v>
      </c>
      <c r="M83" s="177" t="str">
        <f>_ENGINE_Risk!CQ581</f>
        <v>OK: capability-driven</v>
      </c>
      <c r="N83" s="177" t="str">
        <f>_ENGINE_Risk!CS581</f>
        <v>Yes</v>
      </c>
      <c r="O83" s="177" t="str">
        <f>_ENGINE_Risk!CO581</f>
        <v>HR Workforce|Continuity and wellbeing|HRWO-015|CAP_BACKUP_RECOVERY</v>
      </c>
      <c r="P83" s="177" t="str">
        <f>_ENGINE_Risk!CR581</f>
        <v>Risk ontology uses capability=CAP_BACKUP_RECOVERY; bridge=BRG-039; treatment=TRT-BACKUP_RECOVERY-INITIAL; wording=IW-ALL-BACKUP_RECOVERY</v>
      </c>
    </row>
    <row r="84" spans="1:16" ht="99" customHeight="1">
      <c r="A84" s="177" t="str">
        <f>_ENGINE_Risk!CM582</f>
        <v>RISK-ONT-0083</v>
      </c>
      <c r="B84" s="177">
        <f>ROW(_ENGINE_Risk!A582)</f>
        <v>582</v>
      </c>
      <c r="C84" s="177" t="str">
        <f>_ENGINE_Risk!E582</f>
        <v>HRWO-016</v>
      </c>
      <c r="D84" s="177" t="str">
        <f>_ENGINE_Risk!C582</f>
        <v>HR Workforce</v>
      </c>
      <c r="E84" s="177" t="str">
        <f>_ENGINE_Risk!D582</f>
        <v>Continuity and wellbeing</v>
      </c>
      <c r="F84" s="177" t="str">
        <f>_ENGINE_Risk!F582</f>
        <v>People, critical roles and knowledge continuity</v>
      </c>
      <c r="G84" s="177" t="str">
        <f>_ENGINE_Risk!G582</f>
        <v>Severe risk: employee location and safety check process during severe incidents is not reliably controlled. During Workforce disruption; Pandemic/health crisis; War/security crisis, the organization may face loss of critical knowledge, reduced productivity, unmanaged absenteeism and inability to keep essential work running with limited visibility or accountability.</v>
      </c>
      <c r="H84" s="177" t="str">
        <f>_ENGINE_Risk!BT582</f>
        <v>CAP_BACKUP_RECOVERY</v>
      </c>
      <c r="I84" s="177" t="str">
        <f>_ENGINE_Risk!BV582</f>
        <v>BRG-039</v>
      </c>
      <c r="J84" s="177" t="str">
        <f>_ENGINE_Risk!CE582</f>
        <v>IW-ALL-BACKUP_RECOVERY</v>
      </c>
      <c r="K84" s="177" t="str">
        <f>_ENGINE_Risk!BY582</f>
        <v>TRT-BACKUP_RECOVERY-INITIAL</v>
      </c>
      <c r="L84" s="177" t="str">
        <f>_ENGINE_Risk!CP582</f>
        <v>Active</v>
      </c>
      <c r="M84" s="177" t="str">
        <f>_ENGINE_Risk!CQ582</f>
        <v>OK: capability-driven</v>
      </c>
      <c r="N84" s="177" t="str">
        <f>_ENGINE_Risk!CS582</f>
        <v>Yes</v>
      </c>
      <c r="O84" s="177" t="str">
        <f>_ENGINE_Risk!CO582</f>
        <v>HR Workforce|Continuity and wellbeing|HRWO-016|CAP_BACKUP_RECOVERY</v>
      </c>
      <c r="P84" s="177" t="str">
        <f>_ENGINE_Risk!CR582</f>
        <v>Risk ontology uses capability=CAP_BACKUP_RECOVERY; bridge=BRG-039; treatment=TRT-BACKUP_RECOVERY-INITIAL; wording=IW-ALL-BACKUP_RECOVERY</v>
      </c>
    </row>
    <row r="85" spans="1:16" ht="113.15" customHeight="1">
      <c r="A85" s="177" t="str">
        <f>_ENGINE_Risk!CM583</f>
        <v>RISK-ONT-0084</v>
      </c>
      <c r="B85" s="177">
        <f>ROW(_ENGINE_Risk!A583)</f>
        <v>583</v>
      </c>
      <c r="C85" s="177" t="str">
        <f>_ENGINE_Risk!E583</f>
        <v>HRWO-017</v>
      </c>
      <c r="D85" s="177" t="str">
        <f>_ENGINE_Risk!C583</f>
        <v>HR Workforce</v>
      </c>
      <c r="E85" s="177" t="str">
        <f>_ENGINE_Risk!D583</f>
        <v>Continuity and wellbeing</v>
      </c>
      <c r="F85" s="177" t="str">
        <f>_ENGINE_Risk!F583</f>
        <v>People, critical roles and knowledge continuity</v>
      </c>
      <c r="G85" s="177" t="str">
        <f>_ENGINE_Risk!G583</f>
        <v>Severe risk: wellbeing, fatigue, burnout and psychological safety monitoring during prolonged crisis is not reliably controlled. During Workforce disruption; Pandemic/health crisis; War/security crisis, the organization may face loss of critical knowledge, reduced productivity, unmanaged absenteeism and inability to keep essential work running with limited visibility or accountability.</v>
      </c>
      <c r="H85" s="177" t="str">
        <f>_ENGINE_Risk!BT583</f>
        <v>CAP_BACKUP_RECOVERY</v>
      </c>
      <c r="I85" s="177" t="str">
        <f>_ENGINE_Risk!BV583</f>
        <v>BRG-039</v>
      </c>
      <c r="J85" s="177" t="str">
        <f>_ENGINE_Risk!CE583</f>
        <v>IW-ALL-BACKUP_RECOVERY</v>
      </c>
      <c r="K85" s="177" t="str">
        <f>_ENGINE_Risk!BY583</f>
        <v>TRT-BACKUP_RECOVERY-INITIAL</v>
      </c>
      <c r="L85" s="177" t="str">
        <f>_ENGINE_Risk!CP583</f>
        <v>Active</v>
      </c>
      <c r="M85" s="177" t="str">
        <f>_ENGINE_Risk!CQ583</f>
        <v>OK: capability-driven</v>
      </c>
      <c r="N85" s="177" t="str">
        <f>_ENGINE_Risk!CS583</f>
        <v>Yes</v>
      </c>
      <c r="O85" s="177" t="str">
        <f>_ENGINE_Risk!CO583</f>
        <v>HR Workforce|Continuity and wellbeing|HRWO-017|CAP_BACKUP_RECOVERY</v>
      </c>
      <c r="P85" s="177" t="str">
        <f>_ENGINE_Risk!CR583</f>
        <v>Risk ontology uses capability=CAP_BACKUP_RECOVERY; bridge=BRG-039; treatment=TRT-BACKUP_RECOVERY-INITIAL; wording=IW-ALL-BACKUP_RECOVERY</v>
      </c>
    </row>
    <row r="86" spans="1:16" ht="113.15" customHeight="1">
      <c r="A86" s="177" t="str">
        <f>_ENGINE_Risk!CM584</f>
        <v>RISK-ONT-0085</v>
      </c>
      <c r="B86" s="177">
        <f>ROW(_ENGINE_Risk!A584)</f>
        <v>584</v>
      </c>
      <c r="C86" s="177" t="str">
        <f>_ENGINE_Risk!E584</f>
        <v>HRWO-018</v>
      </c>
      <c r="D86" s="177" t="str">
        <f>_ENGINE_Risk!C584</f>
        <v>HR Workforce</v>
      </c>
      <c r="E86" s="177" t="str">
        <f>_ENGINE_Risk!D584</f>
        <v>Continuity and wellbeing</v>
      </c>
      <c r="F86" s="177" t="str">
        <f>_ENGINE_Risk!F584</f>
        <v>People, critical roles and knowledge continuity</v>
      </c>
      <c r="G86" s="177" t="str">
        <f>_ENGINE_Risk!G584</f>
        <v>Severe risk: emergency HR policies for relocation, evacuation, hardship support, flexible work and temporary staffing is not reliably controlled. During Workforce disruption; Pandemic/health crisis; War/security crisis, the organization may face loss of critical knowledge, reduced productivity, unmanaged absenteeism and inability to keep essential work running with limited visibility or accountability.</v>
      </c>
      <c r="H86" s="177" t="str">
        <f>_ENGINE_Risk!BT584</f>
        <v>CAP_BACKUP_RECOVERY</v>
      </c>
      <c r="I86" s="177" t="str">
        <f>_ENGINE_Risk!BV584</f>
        <v>BRG-039</v>
      </c>
      <c r="J86" s="177" t="str">
        <f>_ENGINE_Risk!CE584</f>
        <v>IW-ALL-BACKUP_RECOVERY</v>
      </c>
      <c r="K86" s="177" t="str">
        <f>_ENGINE_Risk!BY584</f>
        <v>TRT-BACKUP_RECOVERY-INITIAL</v>
      </c>
      <c r="L86" s="177" t="str">
        <f>_ENGINE_Risk!CP584</f>
        <v>Active</v>
      </c>
      <c r="M86" s="177" t="str">
        <f>_ENGINE_Risk!CQ584</f>
        <v>OK: capability-driven</v>
      </c>
      <c r="N86" s="177" t="str">
        <f>_ENGINE_Risk!CS584</f>
        <v>Yes</v>
      </c>
      <c r="O86" s="177" t="str">
        <f>_ENGINE_Risk!CO584</f>
        <v>HR Workforce|Continuity and wellbeing|HRWO-018|CAP_BACKUP_RECOVERY</v>
      </c>
      <c r="P86" s="177" t="str">
        <f>_ENGINE_Risk!CR584</f>
        <v>Risk ontology uses capability=CAP_BACKUP_RECOVERY; bridge=BRG-039; treatment=TRT-BACKUP_RECOVERY-INITIAL; wording=IW-ALL-BACKUP_RECOVERY</v>
      </c>
    </row>
    <row r="87" spans="1:16" ht="99" customHeight="1">
      <c r="A87" s="177" t="str">
        <f>_ENGINE_Risk!CM585</f>
        <v>RISK-ONT-0086</v>
      </c>
      <c r="B87" s="177">
        <f>ROW(_ENGINE_Risk!A585)</f>
        <v>585</v>
      </c>
      <c r="C87" s="177" t="str">
        <f>_ENGINE_Risk!E585</f>
        <v>HRWO-019</v>
      </c>
      <c r="D87" s="177" t="str">
        <f>_ENGINE_Risk!C585</f>
        <v>HR Workforce</v>
      </c>
      <c r="E87" s="177" t="str">
        <f>_ENGINE_Risk!D585</f>
        <v>Continuity and wellbeing</v>
      </c>
      <c r="F87" s="177" t="str">
        <f>_ENGINE_Risk!F585</f>
        <v>People, critical roles and knowledge continuity</v>
      </c>
      <c r="G87" s="177" t="str">
        <f>_ENGINE_Risk!G585</f>
        <v>Severe risk: cross-training and knowledge transfer for critical operations and rare skills is not reliably controlled. During Workforce disruption; Pandemic/health crisis; War/security crisis, the organization may face loss of critical knowledge, reduced productivity, unmanaged absenteeism and inability to keep essential work running with limited visibility or accountability.</v>
      </c>
      <c r="H87" s="177" t="str">
        <f>_ENGINE_Risk!BT585</f>
        <v>CAP_BACKUP_RECOVERY</v>
      </c>
      <c r="I87" s="177" t="str">
        <f>_ENGINE_Risk!BV585</f>
        <v>BRG-039</v>
      </c>
      <c r="J87" s="177" t="str">
        <f>_ENGINE_Risk!CE585</f>
        <v>IW-ALL-BACKUP_RECOVERY</v>
      </c>
      <c r="K87" s="177" t="str">
        <f>_ENGINE_Risk!BY585</f>
        <v>TRT-BACKUP_RECOVERY-INITIAL</v>
      </c>
      <c r="L87" s="177" t="str">
        <f>_ENGINE_Risk!CP585</f>
        <v>Active</v>
      </c>
      <c r="M87" s="177" t="str">
        <f>_ENGINE_Risk!CQ585</f>
        <v>OK: capability-driven</v>
      </c>
      <c r="N87" s="177" t="str">
        <f>_ENGINE_Risk!CS585</f>
        <v>Yes</v>
      </c>
      <c r="O87" s="177" t="str">
        <f>_ENGINE_Risk!CO585</f>
        <v>HR Workforce|Continuity and wellbeing|HRWO-019|CAP_BACKUP_RECOVERY</v>
      </c>
      <c r="P87" s="177" t="str">
        <f>_ENGINE_Risk!CR585</f>
        <v>Risk ontology uses capability=CAP_BACKUP_RECOVERY; bridge=BRG-039; treatment=TRT-BACKUP_RECOVERY-INITIAL; wording=IW-ALL-BACKUP_RECOVERY</v>
      </c>
    </row>
    <row r="88" spans="1:16" ht="113.15" customHeight="1">
      <c r="A88" s="177" t="str">
        <f>_ENGINE_Risk!CM586</f>
        <v>RISK-ONT-0087</v>
      </c>
      <c r="B88" s="177">
        <f>ROW(_ENGINE_Risk!A586)</f>
        <v>586</v>
      </c>
      <c r="C88" s="177" t="str">
        <f>_ENGINE_Risk!E586</f>
        <v>HRWO-020</v>
      </c>
      <c r="D88" s="177" t="str">
        <f>_ENGINE_Risk!C586</f>
        <v>HR Workforce</v>
      </c>
      <c r="E88" s="177" t="str">
        <f>_ENGINE_Risk!D586</f>
        <v>HR systems and compliance</v>
      </c>
      <c r="F88" s="177" t="str">
        <f>_ENGINE_Risk!F586</f>
        <v>People, critical roles and knowledge continuity</v>
      </c>
      <c r="G88" s="177" t="str">
        <f>_ENGINE_Risk!G586</f>
        <v>Severe risk: HRMS reliability, backup, manual fallback and data quality for employee records and emergency contacts is not reliably controlled. During Workforce disruption; Pandemic/health crisis; War/security crisis, the organization may face loss of critical knowledge, reduced productivity, unmanaged absenteeism and inability to keep essential work running with limited visibility or accountability.</v>
      </c>
      <c r="H88" s="177" t="str">
        <f>_ENGINE_Risk!BT586</f>
        <v>CAP_WORKFORCE_CONTINUITY</v>
      </c>
      <c r="I88" s="177" t="str">
        <f>_ENGINE_Risk!BV586</f>
        <v>BRG-040</v>
      </c>
      <c r="J88" s="177" t="str">
        <f>_ENGINE_Risk!CE586</f>
        <v>IW-ALL-WORKFORCE_CONTINUITY</v>
      </c>
      <c r="K88" s="177" t="str">
        <f>_ENGINE_Risk!BY586</f>
        <v>TRT-WORKFORCE_CONTINUITY-INITIAL</v>
      </c>
      <c r="L88" s="177" t="str">
        <f>_ENGINE_Risk!CP586</f>
        <v>Active</v>
      </c>
      <c r="M88" s="177" t="str">
        <f>_ENGINE_Risk!CQ586</f>
        <v>OK: capability-driven</v>
      </c>
      <c r="N88" s="177" t="str">
        <f>_ENGINE_Risk!CS586</f>
        <v>Yes</v>
      </c>
      <c r="O88" s="177" t="str">
        <f>_ENGINE_Risk!CO586</f>
        <v>HR Workforce|HR systems and compliance|HRWO-020|CAP_WORKFORCE_CONTINUITY</v>
      </c>
      <c r="P88" s="177" t="str">
        <f>_ENGINE_Risk!CR586</f>
        <v>Risk ontology uses capability=CAP_WORKFORCE_CONTINUITY; bridge=BRG-040; treatment=TRT-WORKFORCE_CONTINUITY-INITIAL; wording=IW-ALL-WORKFORCE_CONTINUITY</v>
      </c>
    </row>
    <row r="89" spans="1:16" ht="113.15" customHeight="1">
      <c r="A89" s="177" t="str">
        <f>_ENGINE_Risk!CM587</f>
        <v>RISK-ONT-0088</v>
      </c>
      <c r="B89" s="177">
        <f>ROW(_ENGINE_Risk!A587)</f>
        <v>587</v>
      </c>
      <c r="C89" s="177" t="str">
        <f>_ENGINE_Risk!E587</f>
        <v>HRWO-022</v>
      </c>
      <c r="D89" s="177" t="str">
        <f>_ENGINE_Risk!C587</f>
        <v>HR Workforce</v>
      </c>
      <c r="E89" s="177" t="str">
        <f>_ENGINE_Risk!D587</f>
        <v>HR systems and compliance</v>
      </c>
      <c r="F89" s="177" t="str">
        <f>_ENGINE_Risk!F587</f>
        <v>People, critical roles and knowledge continuity</v>
      </c>
      <c r="G89" s="177" t="str">
        <f>_ENGINE_Risk!G587</f>
        <v>Severe risk: employment compliance by country, contract type, working hours and emergency measures is not reliably controlled. During Workforce disruption; Pandemic/health crisis; War/security crisis, the organization may face loss of critical knowledge, reduced productivity, unmanaged absenteeism and inability to keep essential work running with limited visibility or accountability.</v>
      </c>
      <c r="H89" s="177" t="str">
        <f>_ENGINE_Risk!BT587</f>
        <v>CAP_WORKFORCE_CONTINUITY</v>
      </c>
      <c r="I89" s="177" t="str">
        <f>_ENGINE_Risk!BV587</f>
        <v>BRG-040</v>
      </c>
      <c r="J89" s="177" t="str">
        <f>_ENGINE_Risk!CE587</f>
        <v>IW-ALL-WORKFORCE_CONTINUITY</v>
      </c>
      <c r="K89" s="177" t="str">
        <f>_ENGINE_Risk!BY587</f>
        <v>TRT-WORKFORCE_CONTINUITY-INITIAL</v>
      </c>
      <c r="L89" s="177" t="str">
        <f>_ENGINE_Risk!CP587</f>
        <v>Active</v>
      </c>
      <c r="M89" s="177" t="str">
        <f>_ENGINE_Risk!CQ587</f>
        <v>OK: capability-driven</v>
      </c>
      <c r="N89" s="177" t="str">
        <f>_ENGINE_Risk!CS587</f>
        <v>Yes</v>
      </c>
      <c r="O89" s="177" t="str">
        <f>_ENGINE_Risk!CO587</f>
        <v>HR Workforce|HR systems and compliance|HRWO-022|CAP_WORKFORCE_CONTINUITY</v>
      </c>
      <c r="P89" s="177" t="str">
        <f>_ENGINE_Risk!CR587</f>
        <v>Risk ontology uses capability=CAP_WORKFORCE_CONTINUITY; bridge=BRG-040; treatment=TRT-WORKFORCE_CONTINUITY-INITIAL; wording=IW-ALL-WORKFORCE_CONTINUITY</v>
      </c>
    </row>
    <row r="90" spans="1:16" ht="113.15" customHeight="1">
      <c r="A90" s="177" t="str">
        <f>_ENGINE_Risk!CM588</f>
        <v>RISK-ONT-0089</v>
      </c>
      <c r="B90" s="177">
        <f>ROW(_ENGINE_Risk!A588)</f>
        <v>588</v>
      </c>
      <c r="C90" s="177" t="str">
        <f>_ENGINE_Risk!E588</f>
        <v>HRWO-024</v>
      </c>
      <c r="D90" s="177" t="str">
        <f>_ENGINE_Risk!C588</f>
        <v>HR Workforce</v>
      </c>
      <c r="E90" s="177" t="str">
        <f>_ENGINE_Risk!D588</f>
        <v>HR systems and compliance</v>
      </c>
      <c r="F90" s="177" t="str">
        <f>_ENGINE_Risk!F588</f>
        <v>People, critical roles and knowledge continuity</v>
      </c>
      <c r="G90" s="177" t="str">
        <f>_ENGINE_Risk!G588</f>
        <v>Severe risk: health emergency protocols for infectious disease, injury, evacuation and return-to-work is not reliably controlled. During Workforce disruption; Pandemic/health crisis; War/security crisis, the organization may face loss of critical knowledge, reduced productivity, unmanaged absenteeism and inability to keep essential work running with limited visibility or accountability.</v>
      </c>
      <c r="H90" s="177" t="str">
        <f>_ENGINE_Risk!BT588</f>
        <v>CAP_WORKFORCE_CONTINUITY</v>
      </c>
      <c r="I90" s="177" t="str">
        <f>_ENGINE_Risk!BV588</f>
        <v>BRG-040</v>
      </c>
      <c r="J90" s="177" t="str">
        <f>_ENGINE_Risk!CE588</f>
        <v>IW-ALL-WORKFORCE_CONTINUITY</v>
      </c>
      <c r="K90" s="177" t="str">
        <f>_ENGINE_Risk!BY588</f>
        <v>TRT-WORKFORCE_CONTINUITY-INITIAL</v>
      </c>
      <c r="L90" s="177" t="str">
        <f>_ENGINE_Risk!CP588</f>
        <v>Active</v>
      </c>
      <c r="M90" s="177" t="str">
        <f>_ENGINE_Risk!CQ588</f>
        <v>OK: capability-driven</v>
      </c>
      <c r="N90" s="177" t="str">
        <f>_ENGINE_Risk!CS588</f>
        <v>Yes</v>
      </c>
      <c r="O90" s="177" t="str">
        <f>_ENGINE_Risk!CO588</f>
        <v>HR Workforce|HR systems and compliance|HRWO-024|CAP_WORKFORCE_CONTINUITY</v>
      </c>
      <c r="P90" s="177" t="str">
        <f>_ENGINE_Risk!CR588</f>
        <v>Risk ontology uses capability=CAP_WORKFORCE_CONTINUITY; bridge=BRG-040; treatment=TRT-WORKFORCE_CONTINUITY-INITIAL; wording=IW-ALL-WORKFORCE_CONTINUITY</v>
      </c>
    </row>
    <row r="91" spans="1:16" ht="99" customHeight="1">
      <c r="A91" s="177" t="str">
        <f>_ENGINE_Risk!CM589</f>
        <v>RISK-ONT-0090</v>
      </c>
      <c r="B91" s="177">
        <f>ROW(_ENGINE_Risk!A589)</f>
        <v>589</v>
      </c>
      <c r="C91" s="177" t="str">
        <f>_ENGINE_Risk!E589</f>
        <v>HRWO-025</v>
      </c>
      <c r="D91" s="177" t="str">
        <f>_ENGINE_Risk!C589</f>
        <v>HR Workforce</v>
      </c>
      <c r="E91" s="177" t="str">
        <f>_ENGINE_Risk!D589</f>
        <v>HR systems and compliance</v>
      </c>
      <c r="F91" s="177" t="str">
        <f>_ENGINE_Risk!F589</f>
        <v>Workforce trust and security</v>
      </c>
      <c r="G91" s="177" t="str">
        <f>_ENGINE_Risk!G589</f>
        <v>Severe risk: background verification and vetting for roles with access to funds, sensitive data or critical systems is not reliably controlled. During Cyberattack/ransomware; Regulatory/legal shock, the organization may face insider risk in critical roles, fraud exposure and compliance gaps in regulated engagements with limited visibility or accountability.</v>
      </c>
      <c r="H91" s="177" t="str">
        <f>_ENGINE_Risk!BT589</f>
        <v>CAP_WORKFORCE_CONTINUITY</v>
      </c>
      <c r="I91" s="177" t="str">
        <f>_ENGINE_Risk!BV589</f>
        <v>BRG-040</v>
      </c>
      <c r="J91" s="177" t="str">
        <f>_ENGINE_Risk!CE589</f>
        <v>IW-ALL-WORKFORCE_CONTINUITY</v>
      </c>
      <c r="K91" s="177" t="str">
        <f>_ENGINE_Risk!BY589</f>
        <v>TRT-WORKFORCE_CONTINUITY-INITIAL</v>
      </c>
      <c r="L91" s="177" t="str">
        <f>_ENGINE_Risk!CP589</f>
        <v>Active</v>
      </c>
      <c r="M91" s="177" t="str">
        <f>_ENGINE_Risk!CQ589</f>
        <v>OK: capability-driven</v>
      </c>
      <c r="N91" s="177" t="str">
        <f>_ENGINE_Risk!CS589</f>
        <v>Yes</v>
      </c>
      <c r="O91" s="177" t="str">
        <f>_ENGINE_Risk!CO589</f>
        <v>HR Workforce|HR systems and compliance|HRWO-025|CAP_WORKFORCE_CONTINUITY</v>
      </c>
      <c r="P91" s="177" t="str">
        <f>_ENGINE_Risk!CR589</f>
        <v>Risk ontology uses capability=CAP_WORKFORCE_CONTINUITY; bridge=BRG-040; treatment=TRT-WORKFORCE_CONTINUITY-INITIAL; wording=IW-ALL-WORKFORCE_CONTINUITY</v>
      </c>
    </row>
    <row r="92" spans="1:16" ht="99" customHeight="1">
      <c r="A92" s="177" t="str">
        <f>_ENGINE_Risk!CM590</f>
        <v>RISK-ONT-0091</v>
      </c>
      <c r="B92" s="177">
        <f>ROW(_ENGINE_Risk!A590)</f>
        <v>590</v>
      </c>
      <c r="C92" s="177" t="str">
        <f>_ENGINE_Risk!E590</f>
        <v>HRWO-026</v>
      </c>
      <c r="D92" s="177" t="str">
        <f>_ENGINE_Risk!C590</f>
        <v>HR Workforce</v>
      </c>
      <c r="E92" s="177" t="str">
        <f>_ENGINE_Risk!D590</f>
        <v>HR systems and compliance</v>
      </c>
      <c r="F92" s="177" t="str">
        <f>_ENGINE_Risk!F590</f>
        <v>Workforce trust and security</v>
      </c>
      <c r="G92" s="177" t="str">
        <f>_ENGINE_Risk!G590</f>
        <v>Severe risk: role-specific security responsibilities embedded in job descriptions with specialized training for high-risk roles is not reliably controlled. During Cyberattack/ransomware; Workforce disruption, the organization may face critical-role employees unaware of security duties and untrained for role-specific threats with limited visibility or accountability.</v>
      </c>
      <c r="H92" s="177" t="str">
        <f>_ENGINE_Risk!BT590</f>
        <v>CAP_WORKFORCE_CONTINUITY</v>
      </c>
      <c r="I92" s="177" t="str">
        <f>_ENGINE_Risk!BV590</f>
        <v>BRG-040</v>
      </c>
      <c r="J92" s="177" t="str">
        <f>_ENGINE_Risk!CE590</f>
        <v>IW-ALL-WORKFORCE_CONTINUITY</v>
      </c>
      <c r="K92" s="177" t="str">
        <f>_ENGINE_Risk!BY590</f>
        <v>TRT-WORKFORCE_CONTINUITY-INITIAL</v>
      </c>
      <c r="L92" s="177" t="str">
        <f>_ENGINE_Risk!CP590</f>
        <v>Active</v>
      </c>
      <c r="M92" s="177" t="str">
        <f>_ENGINE_Risk!CQ590</f>
        <v>OK: capability-driven</v>
      </c>
      <c r="N92" s="177" t="str">
        <f>_ENGINE_Risk!CS590</f>
        <v>Yes</v>
      </c>
      <c r="O92" s="177" t="str">
        <f>_ENGINE_Risk!CO590</f>
        <v>HR Workforce|HR systems and compliance|HRWO-026|CAP_WORKFORCE_CONTINUITY</v>
      </c>
      <c r="P92" s="177" t="str">
        <f>_ENGINE_Risk!CR590</f>
        <v>Risk ontology uses capability=CAP_WORKFORCE_CONTINUITY; bridge=BRG-040; treatment=TRT-WORKFORCE_CONTINUITY-INITIAL; wording=IW-ALL-WORKFORCE_CONTINUITY</v>
      </c>
    </row>
    <row r="93" spans="1:16" ht="99" customHeight="1">
      <c r="A93" s="177" t="str">
        <f>_ENGINE_Risk!CM591</f>
        <v>RISK-ONT-0092</v>
      </c>
      <c r="B93" s="177">
        <f>ROW(_ENGINE_Risk!A591)</f>
        <v>591</v>
      </c>
      <c r="C93" s="177" t="str">
        <f>_ENGINE_Risk!E591</f>
        <v>HRWO-027</v>
      </c>
      <c r="D93" s="177" t="str">
        <f>_ENGINE_Risk!C591</f>
        <v>HR Workforce</v>
      </c>
      <c r="E93" s="177" t="str">
        <f>_ENGINE_Risk!D591</f>
        <v>Continuity and wellbeing</v>
      </c>
      <c r="F93" s="177" t="str">
        <f>_ENGINE_Risk!F591</f>
        <v>Workforce trust and security</v>
      </c>
      <c r="G93" s="177" t="str">
        <f>_ENGINE_Risk!G591</f>
        <v>Severe risk: systematic employee engagement measurement with trends, segmentation and follow-up actions is not reliably controlled. During Workforce disruption; Pandemic/health crisis, the organization may face invisible morale erosion, late attrition warnings and unverified people-related claims with limited visibility or accountability.</v>
      </c>
      <c r="H93" s="177" t="str">
        <f>_ENGINE_Risk!BT591</f>
        <v>CAP_BACKUP_RECOVERY</v>
      </c>
      <c r="I93" s="177" t="str">
        <f>_ENGINE_Risk!BV591</f>
        <v>BRG-039</v>
      </c>
      <c r="J93" s="177" t="str">
        <f>_ENGINE_Risk!CE591</f>
        <v>IW-ALL-BACKUP_RECOVERY</v>
      </c>
      <c r="K93" s="177" t="str">
        <f>_ENGINE_Risk!BY591</f>
        <v>TRT-BACKUP_RECOVERY-INITIAL</v>
      </c>
      <c r="L93" s="177" t="str">
        <f>_ENGINE_Risk!CP591</f>
        <v>Active</v>
      </c>
      <c r="M93" s="177" t="str">
        <f>_ENGINE_Risk!CQ591</f>
        <v>OK: capability-driven</v>
      </c>
      <c r="N93" s="177" t="str">
        <f>_ENGINE_Risk!CS591</f>
        <v>Yes</v>
      </c>
      <c r="O93" s="177" t="str">
        <f>_ENGINE_Risk!CO591</f>
        <v>HR Workforce|Continuity and wellbeing|HRWO-027|CAP_BACKUP_RECOVERY</v>
      </c>
      <c r="P93" s="177" t="str">
        <f>_ENGINE_Risk!CR591</f>
        <v>Risk ontology uses capability=CAP_BACKUP_RECOVERY; bridge=BRG-039; treatment=TRT-BACKUP_RECOVERY-INITIAL; wording=IW-ALL-BACKUP_RECOVERY</v>
      </c>
    </row>
    <row r="94" spans="1:16" ht="113.15" customHeight="1">
      <c r="A94" s="177" t="str">
        <f>_ENGINE_Risk!CM592</f>
        <v>RISK-ONT-0093</v>
      </c>
      <c r="B94" s="177">
        <f>ROW(_ENGINE_Risk!A592)</f>
        <v>592</v>
      </c>
      <c r="C94" s="177" t="str">
        <f>_ENGINE_Risk!E592</f>
        <v>HRWO-028</v>
      </c>
      <c r="D94" s="177" t="str">
        <f>_ENGINE_Risk!C592</f>
        <v>HR Workforce</v>
      </c>
      <c r="E94" s="177" t="str">
        <f>_ENGINE_Risk!D592</f>
        <v>Workforce visibility</v>
      </c>
      <c r="F94" s="177" t="str">
        <f>_ENGINE_Risk!F592</f>
        <v>Workforce availability under state obligations</v>
      </c>
      <c r="G94" s="177" t="str">
        <f>_ENGINE_Risk!G592</f>
        <v>Severe risk: workforce exposure to national emergency duties such as conscription, reservist service or civil mobilization, including exemption processes and continuity planning is not reliably controlled. During War/security crisis; Workforce disruption, the organization may face sudden loss of critical staff to state duties, unplanned absence waves and stalled critical operations with limited visibility or accountability.</v>
      </c>
      <c r="H94" s="177" t="str">
        <f>_ENGINE_Risk!BT592</f>
        <v>CAP_BACKUP_RECOVERY</v>
      </c>
      <c r="I94" s="177" t="str">
        <f>_ENGINE_Risk!BV592</f>
        <v>BRG-042</v>
      </c>
      <c r="J94" s="177" t="str">
        <f>_ENGINE_Risk!CE592</f>
        <v>IW-ALL-BACKUP_RECOVERY</v>
      </c>
      <c r="K94" s="177" t="str">
        <f>_ENGINE_Risk!BY592</f>
        <v>TRT-BACKUP_RECOVERY-INITIAL</v>
      </c>
      <c r="L94" s="177" t="str">
        <f>_ENGINE_Risk!CP592</f>
        <v>Active</v>
      </c>
      <c r="M94" s="177" t="str">
        <f>_ENGINE_Risk!CQ592</f>
        <v>OK: capability-driven</v>
      </c>
      <c r="N94" s="177" t="str">
        <f>_ENGINE_Risk!CS592</f>
        <v>Yes</v>
      </c>
      <c r="O94" s="177" t="str">
        <f>_ENGINE_Risk!CO592</f>
        <v>HR Workforce|Workforce visibility|HRWO-028|CAP_BACKUP_RECOVERY</v>
      </c>
      <c r="P94" s="177" t="str">
        <f>_ENGINE_Risk!CR592</f>
        <v>Risk ontology uses capability=CAP_BACKUP_RECOVERY; bridge=BRG-042; treatment=TRT-BACKUP_RECOVERY-INITIAL; wording=IW-ALL-BACKUP_RECOVERY</v>
      </c>
    </row>
    <row r="95" spans="1:16" ht="99" customHeight="1">
      <c r="A95" s="177" t="str">
        <f>_ENGINE_Risk!CM593</f>
        <v>RISK-ONT-0094</v>
      </c>
      <c r="B95" s="177">
        <f>ROW(_ENGINE_Risk!A593)</f>
        <v>593</v>
      </c>
      <c r="C95" s="177" t="str">
        <f>_ENGINE_Risk!E593</f>
        <v>FINA-001</v>
      </c>
      <c r="D95" s="177" t="str">
        <f>_ENGINE_Risk!C593</f>
        <v>Finance Procurement</v>
      </c>
      <c r="E95" s="177" t="str">
        <f>_ENGINE_Risk!D593</f>
        <v>Financial resilience</v>
      </c>
      <c r="F95" s="177" t="str">
        <f>_ENGINE_Risk!F593</f>
        <v>Financial control and procurement resilience</v>
      </c>
      <c r="G95" s="177" t="str">
        <f>_ENGINE_Risk!G593</f>
        <v>Severe risk: cash visibility by legal entity, bank, currency, restrictions and emergency access is not reliably controlled. During Financial / liquidity shock; Supplier disruption; Fraud risk, the organization may face cash-flow stress, uncontrolled spend, supplier payment disruption and weak financial visibility with limited visibility or accountability.</v>
      </c>
      <c r="H95" s="177" t="str">
        <f>_ENGINE_Risk!BT593</f>
        <v>CAP_FRAUD_MONITORING</v>
      </c>
      <c r="I95" s="177" t="str">
        <f>_ENGINE_Risk!BV593</f>
        <v>BRG-031</v>
      </c>
      <c r="J95" s="177" t="str">
        <f>_ENGINE_Risk!CE593</f>
        <v>IW-ALL-FRAUD_MONITORING</v>
      </c>
      <c r="K95" s="177" t="str">
        <f>_ENGINE_Risk!BY593</f>
        <v>TRT-FRAUD_MONITORING-INITIAL</v>
      </c>
      <c r="L95" s="177" t="str">
        <f>_ENGINE_Risk!CP593</f>
        <v>Active</v>
      </c>
      <c r="M95" s="177" t="str">
        <f>_ENGINE_Risk!CQ593</f>
        <v>OK: capability-driven</v>
      </c>
      <c r="N95" s="177" t="str">
        <f>_ENGINE_Risk!CS593</f>
        <v>Yes</v>
      </c>
      <c r="O95" s="177" t="str">
        <f>_ENGINE_Risk!CO593</f>
        <v>Finance Procurement|Financial resilience|FINA-001|CAP_FRAUD_MONITORING</v>
      </c>
      <c r="P95" s="177" t="str">
        <f>_ENGINE_Risk!CR593</f>
        <v>Risk ontology uses capability=CAP_FRAUD_MONITORING; bridge=BRG-031; treatment=TRT-FRAUD_MONITORING-INITIAL; wording=IW-ALL-FRAUD_MONITORING</v>
      </c>
    </row>
    <row r="96" spans="1:16" ht="99" customHeight="1">
      <c r="A96" s="177" t="str">
        <f>_ENGINE_Risk!CM594</f>
        <v>RISK-ONT-0095</v>
      </c>
      <c r="B96" s="177">
        <f>ROW(_ENGINE_Risk!A594)</f>
        <v>594</v>
      </c>
      <c r="C96" s="177" t="str">
        <f>_ENGINE_Risk!E594</f>
        <v>FINA-002</v>
      </c>
      <c r="D96" s="177" t="str">
        <f>_ENGINE_Risk!C594</f>
        <v>Finance Procurement</v>
      </c>
      <c r="E96" s="177" t="str">
        <f>_ENGINE_Risk!D594</f>
        <v>Financial resilience</v>
      </c>
      <c r="F96" s="177" t="str">
        <f>_ENGINE_Risk!F594</f>
        <v>Financial control and procurement resilience</v>
      </c>
      <c r="G96" s="177" t="str">
        <f>_ENGINE_Risk!G594</f>
        <v>Severe risk: cash-flow forecasting under base, downside and severe crisis scenarios is not reliably controlled. During Financial / liquidity shock; Supplier disruption; Fraud risk, the organization may face cash-flow stress, uncontrolled spend, supplier payment disruption and weak financial visibility with limited visibility or accountability.</v>
      </c>
      <c r="H96" s="177" t="str">
        <f>_ENGINE_Risk!BT594</f>
        <v>CAP_FRAUD_MONITORING</v>
      </c>
      <c r="I96" s="177" t="str">
        <f>_ENGINE_Risk!BV594</f>
        <v>BRG-031</v>
      </c>
      <c r="J96" s="177" t="str">
        <f>_ENGINE_Risk!CE594</f>
        <v>IW-ALL-FRAUD_MONITORING</v>
      </c>
      <c r="K96" s="177" t="str">
        <f>_ENGINE_Risk!BY594</f>
        <v>TRT-FRAUD_MONITORING-INITIAL</v>
      </c>
      <c r="L96" s="177" t="str">
        <f>_ENGINE_Risk!CP594</f>
        <v>Active</v>
      </c>
      <c r="M96" s="177" t="str">
        <f>_ENGINE_Risk!CQ594</f>
        <v>OK: capability-driven</v>
      </c>
      <c r="N96" s="177" t="str">
        <f>_ENGINE_Risk!CS594</f>
        <v>Yes</v>
      </c>
      <c r="O96" s="177" t="str">
        <f>_ENGINE_Risk!CO594</f>
        <v>Finance Procurement|Financial resilience|FINA-002|CAP_FRAUD_MONITORING</v>
      </c>
      <c r="P96" s="177" t="str">
        <f>_ENGINE_Risk!CR594</f>
        <v>Risk ontology uses capability=CAP_FRAUD_MONITORING; bridge=BRG-031; treatment=TRT-FRAUD_MONITORING-INITIAL; wording=IW-ALL-FRAUD_MONITORING</v>
      </c>
    </row>
    <row r="97" spans="1:16" ht="99" customHeight="1">
      <c r="A97" s="177" t="str">
        <f>_ENGINE_Risk!CM595</f>
        <v>RISK-ONT-0096</v>
      </c>
      <c r="B97" s="177">
        <f>ROW(_ENGINE_Risk!A595)</f>
        <v>595</v>
      </c>
      <c r="C97" s="177" t="str">
        <f>_ENGINE_Risk!E595</f>
        <v>FINA-003</v>
      </c>
      <c r="D97" s="177" t="str">
        <f>_ENGINE_Risk!C595</f>
        <v>Finance Procurement</v>
      </c>
      <c r="E97" s="177" t="str">
        <f>_ENGINE_Risk!D595</f>
        <v>Financial resilience</v>
      </c>
      <c r="F97" s="177" t="str">
        <f>_ENGINE_Risk!F595</f>
        <v>Financial control and procurement resilience</v>
      </c>
      <c r="G97" s="177" t="str">
        <f>_ENGINE_Risk!G595</f>
        <v>Severe risk: liquidity buffers, credit lines, emergency funding options and covenant monitoring is not reliably controlled. During Financial / liquidity shock; Supplier disruption; Fraud risk, the organization may face cash-flow stress, uncontrolled spend, supplier payment disruption and weak financial visibility with limited visibility or accountability.</v>
      </c>
      <c r="H97" s="177" t="str">
        <f>_ENGINE_Risk!BT595</f>
        <v>CAP_FRAUD_MONITORING</v>
      </c>
      <c r="I97" s="177" t="str">
        <f>_ENGINE_Risk!BV595</f>
        <v>BRG-031</v>
      </c>
      <c r="J97" s="177" t="str">
        <f>_ENGINE_Risk!CE595</f>
        <v>IW-ALL-FRAUD_MONITORING</v>
      </c>
      <c r="K97" s="177" t="str">
        <f>_ENGINE_Risk!BY595</f>
        <v>TRT-FRAUD_MONITORING-INITIAL</v>
      </c>
      <c r="L97" s="177" t="str">
        <f>_ENGINE_Risk!CP595</f>
        <v>Active</v>
      </c>
      <c r="M97" s="177" t="str">
        <f>_ENGINE_Risk!CQ595</f>
        <v>OK: capability-driven</v>
      </c>
      <c r="N97" s="177" t="str">
        <f>_ENGINE_Risk!CS595</f>
        <v>Yes</v>
      </c>
      <c r="O97" s="177" t="str">
        <f>_ENGINE_Risk!CO595</f>
        <v>Finance Procurement|Financial resilience|FINA-003|CAP_FRAUD_MONITORING</v>
      </c>
      <c r="P97" s="177" t="str">
        <f>_ENGINE_Risk!CR595</f>
        <v>Risk ontology uses capability=CAP_FRAUD_MONITORING; bridge=BRG-031; treatment=TRT-FRAUD_MONITORING-INITIAL; wording=IW-ALL-FRAUD_MONITORING</v>
      </c>
    </row>
    <row r="98" spans="1:16" ht="99" customHeight="1">
      <c r="A98" s="177" t="str">
        <f>_ENGINE_Risk!CM596</f>
        <v>RISK-ONT-0097</v>
      </c>
      <c r="B98" s="177">
        <f>ROW(_ENGINE_Risk!A596)</f>
        <v>596</v>
      </c>
      <c r="C98" s="177" t="str">
        <f>_ENGINE_Risk!E596</f>
        <v>FINA-004</v>
      </c>
      <c r="D98" s="177" t="str">
        <f>_ENGINE_Risk!C596</f>
        <v>Finance Procurement</v>
      </c>
      <c r="E98" s="177" t="str">
        <f>_ENGINE_Risk!D596</f>
        <v>Financial resilience</v>
      </c>
      <c r="F98" s="177" t="str">
        <f>_ENGINE_Risk!F596</f>
        <v>Financial control and procurement resilience</v>
      </c>
      <c r="G98" s="177" t="str">
        <f>_ENGINE_Risk!G596</f>
        <v>Severe risk: driver-based financial forecasting linked to sales, delivery, workforce, inventory and production is not reliably controlled. During Financial / liquidity shock; Supplier disruption; Fraud risk, the organization may face cash-flow stress, uncontrolled spend, supplier payment disruption and weak financial visibility with limited visibility or accountability.</v>
      </c>
      <c r="H98" s="177" t="str">
        <f>_ENGINE_Risk!BT596</f>
        <v>CAP_FRAUD_MONITORING</v>
      </c>
      <c r="I98" s="177" t="str">
        <f>_ENGINE_Risk!BV596</f>
        <v>BRG-031</v>
      </c>
      <c r="J98" s="177" t="str">
        <f>_ENGINE_Risk!CE596</f>
        <v>IW-ALL-FRAUD_MONITORING</v>
      </c>
      <c r="K98" s="177" t="str">
        <f>_ENGINE_Risk!BY596</f>
        <v>TRT-FRAUD_MONITORING-INITIAL</v>
      </c>
      <c r="L98" s="177" t="str">
        <f>_ENGINE_Risk!CP596</f>
        <v>Active</v>
      </c>
      <c r="M98" s="177" t="str">
        <f>_ENGINE_Risk!CQ596</f>
        <v>OK: capability-driven</v>
      </c>
      <c r="N98" s="177" t="str">
        <f>_ENGINE_Risk!CS596</f>
        <v>Yes</v>
      </c>
      <c r="O98" s="177" t="str">
        <f>_ENGINE_Risk!CO596</f>
        <v>Finance Procurement|Financial resilience|FINA-004|CAP_FRAUD_MONITORING</v>
      </c>
      <c r="P98" s="177" t="str">
        <f>_ENGINE_Risk!CR596</f>
        <v>Risk ontology uses capability=CAP_FRAUD_MONITORING; bridge=BRG-031; treatment=TRT-FRAUD_MONITORING-INITIAL; wording=IW-ALL-FRAUD_MONITORING</v>
      </c>
    </row>
    <row r="99" spans="1:16" ht="84.9" customHeight="1">
      <c r="A99" s="177" t="str">
        <f>_ENGINE_Risk!CM597</f>
        <v>RISK-ONT-0098</v>
      </c>
      <c r="B99" s="177">
        <f>ROW(_ENGINE_Risk!A597)</f>
        <v>597</v>
      </c>
      <c r="C99" s="177" t="str">
        <f>_ENGINE_Risk!E597</f>
        <v>FINA-005</v>
      </c>
      <c r="D99" s="177" t="str">
        <f>_ENGINE_Risk!C597</f>
        <v>Finance Procurement</v>
      </c>
      <c r="E99" s="177" t="str">
        <f>_ENGINE_Risk!D597</f>
        <v>Financial resilience</v>
      </c>
      <c r="F99" s="177" t="str">
        <f>_ENGINE_Risk!F597</f>
        <v>Financial control and procurement resilience</v>
      </c>
      <c r="G99" s="177" t="str">
        <f>_ENGINE_Risk!G597</f>
        <v>Severe risk: budget flexibility and emergency reallocation rules is not reliably controlled. During Financial / liquidity shock; Supplier disruption; Fraud risk, the organization may face cash-flow stress, uncontrolled spend, supplier payment disruption and weak financial visibility with limited visibility or accountability.</v>
      </c>
      <c r="H99" s="177" t="str">
        <f>_ENGINE_Risk!BT597</f>
        <v>CAP_FRAUD_MONITORING</v>
      </c>
      <c r="I99" s="177" t="str">
        <f>_ENGINE_Risk!BV597</f>
        <v>BRG-031</v>
      </c>
      <c r="J99" s="177" t="str">
        <f>_ENGINE_Risk!CE597</f>
        <v>IW-ALL-FRAUD_MONITORING</v>
      </c>
      <c r="K99" s="177" t="str">
        <f>_ENGINE_Risk!BY597</f>
        <v>TRT-FRAUD_MONITORING-INITIAL</v>
      </c>
      <c r="L99" s="177" t="str">
        <f>_ENGINE_Risk!CP597</f>
        <v>Active</v>
      </c>
      <c r="M99" s="177" t="str">
        <f>_ENGINE_Risk!CQ597</f>
        <v>OK: capability-driven</v>
      </c>
      <c r="N99" s="177" t="str">
        <f>_ENGINE_Risk!CS597</f>
        <v>Yes</v>
      </c>
      <c r="O99" s="177" t="str">
        <f>_ENGINE_Risk!CO597</f>
        <v>Finance Procurement|Financial resilience|FINA-005|CAP_FRAUD_MONITORING</v>
      </c>
      <c r="P99" s="177" t="str">
        <f>_ENGINE_Risk!CR597</f>
        <v>Risk ontology uses capability=CAP_FRAUD_MONITORING; bridge=BRG-031; treatment=TRT-FRAUD_MONITORING-INITIAL; wording=IW-ALL-FRAUD_MONITORING</v>
      </c>
    </row>
    <row r="100" spans="1:16" ht="99" customHeight="1">
      <c r="A100" s="177" t="str">
        <f>_ENGINE_Risk!CM598</f>
        <v>RISK-ONT-0099</v>
      </c>
      <c r="B100" s="177">
        <f>ROW(_ENGINE_Risk!A598)</f>
        <v>598</v>
      </c>
      <c r="C100" s="177" t="str">
        <f>_ENGINE_Risk!E598</f>
        <v>FINA-006</v>
      </c>
      <c r="D100" s="177" t="str">
        <f>_ENGINE_Risk!C598</f>
        <v>Finance Procurement</v>
      </c>
      <c r="E100" s="177" t="str">
        <f>_ENGINE_Risk!D598</f>
        <v>Financial resilience</v>
      </c>
      <c r="F100" s="177" t="str">
        <f>_ENGINE_Risk!F598</f>
        <v>Financial control and procurement resilience</v>
      </c>
      <c r="G100" s="177" t="str">
        <f>_ENGINE_Risk!G598</f>
        <v>Severe risk: financial stress tests for revenue collapse, currency shock, supplier price spikes, debt pressure and delayed receivables is not reliably controlled. During Financial / liquidity shock; Supplier disruption; Fraud risk, the organization may face cash-flow stress, uncontrolled spend, supplier payment disruption and weak financial visibility with limited visibility or accountability.</v>
      </c>
      <c r="H100" s="177" t="str">
        <f>_ENGINE_Risk!BT598</f>
        <v>CAP_FRAUD_MONITORING</v>
      </c>
      <c r="I100" s="177" t="str">
        <f>_ENGINE_Risk!BV598</f>
        <v>BRG-031</v>
      </c>
      <c r="J100" s="177" t="str">
        <f>_ENGINE_Risk!CE598</f>
        <v>IW-ALL-FRAUD_MONITORING</v>
      </c>
      <c r="K100" s="177" t="str">
        <f>_ENGINE_Risk!BY598</f>
        <v>TRT-FRAUD_MONITORING-INITIAL</v>
      </c>
      <c r="L100" s="177" t="str">
        <f>_ENGINE_Risk!CP598</f>
        <v>Active</v>
      </c>
      <c r="M100" s="177" t="str">
        <f>_ENGINE_Risk!CQ598</f>
        <v>OK: capability-driven</v>
      </c>
      <c r="N100" s="177" t="str">
        <f>_ENGINE_Risk!CS598</f>
        <v>Yes</v>
      </c>
      <c r="O100" s="177" t="str">
        <f>_ENGINE_Risk!CO598</f>
        <v>Finance Procurement|Financial resilience|FINA-006|CAP_FRAUD_MONITORING</v>
      </c>
      <c r="P100" s="177" t="str">
        <f>_ENGINE_Risk!CR598</f>
        <v>Risk ontology uses capability=CAP_FRAUD_MONITORING; bridge=BRG-031; treatment=TRT-FRAUD_MONITORING-INITIAL; wording=IW-ALL-FRAUD_MONITORING</v>
      </c>
    </row>
    <row r="101" spans="1:16" ht="99" customHeight="1">
      <c r="A101" s="177" t="str">
        <f>_ENGINE_Risk!CM599</f>
        <v>RISK-ONT-0100</v>
      </c>
      <c r="B101" s="177">
        <f>ROW(_ENGINE_Risk!A599)</f>
        <v>599</v>
      </c>
      <c r="C101" s="177" t="str">
        <f>_ENGINE_Risk!E599</f>
        <v>FINA-007</v>
      </c>
      <c r="D101" s="177" t="str">
        <f>_ENGINE_Risk!C599</f>
        <v>Finance Procurement</v>
      </c>
      <c r="E101" s="177" t="str">
        <f>_ENGINE_Risk!D599</f>
        <v>Controls and accounting</v>
      </c>
      <c r="F101" s="177" t="str">
        <f>_ENGINE_Risk!F599</f>
        <v>Financial control and procurement resilience</v>
      </c>
      <c r="G101" s="177" t="str">
        <f>_ENGINE_Risk!G599</f>
        <v>Severe risk: approval limits and emergency approvals resilient if key approvers are unavailable is not reliably controlled. During Financial / liquidity shock; Supplier disruption; Fraud risk, the organization may face cash-flow stress, uncontrolled spend, supplier payment disruption and weak financial visibility with limited visibility or accountability.</v>
      </c>
      <c r="H101" s="177" t="str">
        <f>_ENGINE_Risk!BT599</f>
        <v>CAP_PAYMENT_CONTINUITY</v>
      </c>
      <c r="I101" s="177" t="str">
        <f>_ENGINE_Risk!BV599</f>
        <v>BRG-030</v>
      </c>
      <c r="J101" s="177" t="str">
        <f>_ENGINE_Risk!CE599</f>
        <v>IW-ALL-PAYMENT_CONTINUITY</v>
      </c>
      <c r="K101" s="177" t="str">
        <f>_ENGINE_Risk!BY599</f>
        <v>TRT-PAYMENT_CONTINUITY-INITIAL</v>
      </c>
      <c r="L101" s="177" t="str">
        <f>_ENGINE_Risk!CP599</f>
        <v>Active</v>
      </c>
      <c r="M101" s="177" t="str">
        <f>_ENGINE_Risk!CQ599</f>
        <v>OK: capability-driven</v>
      </c>
      <c r="N101" s="177" t="str">
        <f>_ENGINE_Risk!CS599</f>
        <v>Yes</v>
      </c>
      <c r="O101" s="177" t="str">
        <f>_ENGINE_Risk!CO599</f>
        <v>Finance Procurement|Controls and accounting|FINA-007|CAP_PAYMENT_CONTINUITY</v>
      </c>
      <c r="P101" s="177" t="str">
        <f>_ENGINE_Risk!CR599</f>
        <v>Risk ontology uses capability=CAP_PAYMENT_CONTINUITY; bridge=BRG-030; treatment=TRT-PAYMENT_CONTINUITY-INITIAL; wording=IW-ALL-PAYMENT_CONTINUITY</v>
      </c>
    </row>
    <row r="102" spans="1:16" ht="99" customHeight="1">
      <c r="A102" s="177" t="str">
        <f>_ENGINE_Risk!CM600</f>
        <v>RISK-ONT-0101</v>
      </c>
      <c r="B102" s="177">
        <f>ROW(_ENGINE_Risk!A600)</f>
        <v>600</v>
      </c>
      <c r="C102" s="177" t="str">
        <f>_ENGINE_Risk!E600</f>
        <v>FINA-008</v>
      </c>
      <c r="D102" s="177" t="str">
        <f>_ENGINE_Risk!C600</f>
        <v>Finance Procurement</v>
      </c>
      <c r="E102" s="177" t="str">
        <f>_ENGINE_Risk!D600</f>
        <v>Controls and accounting</v>
      </c>
      <c r="F102" s="177" t="str">
        <f>_ENGINE_Risk!F600</f>
        <v>Financial control and procurement resilience</v>
      </c>
      <c r="G102" s="177" t="str">
        <f>_ENGINE_Risk!G600</f>
        <v>Severe risk: segregation of duties in finance, procurement, ERP and payment processes is not reliably controlled. During Financial / liquidity shock; Supplier disruption; Fraud risk, the organization may face cash-flow stress, uncontrolled spend, supplier payment disruption and weak financial visibility with limited visibility or accountability.</v>
      </c>
      <c r="H102" s="177" t="str">
        <f>_ENGINE_Risk!BT600</f>
        <v>CAP_PAYMENT_CONTINUITY</v>
      </c>
      <c r="I102" s="177" t="str">
        <f>_ENGINE_Risk!BV600</f>
        <v>BRG-030</v>
      </c>
      <c r="J102" s="177" t="str">
        <f>_ENGINE_Risk!CE600</f>
        <v>IW-ALL-PAYMENT_CONTINUITY</v>
      </c>
      <c r="K102" s="177" t="str">
        <f>_ENGINE_Risk!BY600</f>
        <v>TRT-PAYMENT_CONTINUITY-INITIAL</v>
      </c>
      <c r="L102" s="177" t="str">
        <f>_ENGINE_Risk!CP600</f>
        <v>Active</v>
      </c>
      <c r="M102" s="177" t="str">
        <f>_ENGINE_Risk!CQ600</f>
        <v>OK: capability-driven</v>
      </c>
      <c r="N102" s="177" t="str">
        <f>_ENGINE_Risk!CS600</f>
        <v>Yes</v>
      </c>
      <c r="O102" s="177" t="str">
        <f>_ENGINE_Risk!CO600</f>
        <v>Finance Procurement|Controls and accounting|FINA-008|CAP_PAYMENT_CONTINUITY</v>
      </c>
      <c r="P102" s="177" t="str">
        <f>_ENGINE_Risk!CR600</f>
        <v>Risk ontology uses capability=CAP_PAYMENT_CONTINUITY; bridge=BRG-030; treatment=TRT-PAYMENT_CONTINUITY-INITIAL; wording=IW-ALL-PAYMENT_CONTINUITY</v>
      </c>
    </row>
    <row r="103" spans="1:16" ht="99" customHeight="1">
      <c r="A103" s="177" t="str">
        <f>_ENGINE_Risk!CM601</f>
        <v>RISK-ONT-0102</v>
      </c>
      <c r="B103" s="177">
        <f>ROW(_ENGINE_Risk!A601)</f>
        <v>601</v>
      </c>
      <c r="C103" s="177" t="str">
        <f>_ENGINE_Risk!E601</f>
        <v>FINA-009</v>
      </c>
      <c r="D103" s="177" t="str">
        <f>_ENGINE_Risk!C601</f>
        <v>Finance Procurement</v>
      </c>
      <c r="E103" s="177" t="str">
        <f>_ENGINE_Risk!D601</f>
        <v>Controls and accounting</v>
      </c>
      <c r="F103" s="177" t="str">
        <f>_ENGINE_Risk!F601</f>
        <v>Financial control and procurement resilience</v>
      </c>
      <c r="G103" s="177" t="str">
        <f>_ENGINE_Risk!G601</f>
        <v>Severe risk: month-end close continuity under remote work, system outage or unavailable finance staff is not reliably controlled. During Financial / liquidity shock; Supplier disruption; Fraud risk, the organization may face cash-flow stress, uncontrolled spend, supplier payment disruption and weak financial visibility with limited visibility or accountability.</v>
      </c>
      <c r="H103" s="177" t="str">
        <f>_ENGINE_Risk!BT601</f>
        <v>CAP_PAYMENT_CONTINUITY</v>
      </c>
      <c r="I103" s="177" t="str">
        <f>_ENGINE_Risk!BV601</f>
        <v>BRG-030</v>
      </c>
      <c r="J103" s="177" t="str">
        <f>_ENGINE_Risk!CE601</f>
        <v>IW-ALL-PAYMENT_CONTINUITY</v>
      </c>
      <c r="K103" s="177" t="str">
        <f>_ENGINE_Risk!BY601</f>
        <v>TRT-PAYMENT_CONTINUITY-INITIAL</v>
      </c>
      <c r="L103" s="177" t="str">
        <f>_ENGINE_Risk!CP601</f>
        <v>Active</v>
      </c>
      <c r="M103" s="177" t="str">
        <f>_ENGINE_Risk!CQ601</f>
        <v>OK: capability-driven</v>
      </c>
      <c r="N103" s="177" t="str">
        <f>_ENGINE_Risk!CS601</f>
        <v>Yes</v>
      </c>
      <c r="O103" s="177" t="str">
        <f>_ENGINE_Risk!CO601</f>
        <v>Finance Procurement|Controls and accounting|FINA-009|CAP_PAYMENT_CONTINUITY</v>
      </c>
      <c r="P103" s="177" t="str">
        <f>_ENGINE_Risk!CR601</f>
        <v>Risk ontology uses capability=CAP_PAYMENT_CONTINUITY; bridge=BRG-030; treatment=TRT-PAYMENT_CONTINUITY-INITIAL; wording=IW-ALL-PAYMENT_CONTINUITY</v>
      </c>
    </row>
    <row r="104" spans="1:16" ht="99" customHeight="1">
      <c r="A104" s="177" t="str">
        <f>_ENGINE_Risk!CM602</f>
        <v>RISK-ONT-0103</v>
      </c>
      <c r="B104" s="177">
        <f>ROW(_ENGINE_Risk!A602)</f>
        <v>602</v>
      </c>
      <c r="C104" s="177" t="str">
        <f>_ENGINE_Risk!E602</f>
        <v>FINA-010</v>
      </c>
      <c r="D104" s="177" t="str">
        <f>_ENGINE_Risk!C602</f>
        <v>Finance Procurement</v>
      </c>
      <c r="E104" s="177" t="str">
        <f>_ENGINE_Risk!D602</f>
        <v>Controls and accounting</v>
      </c>
      <c r="F104" s="177" t="str">
        <f>_ENGINE_Risk!F602</f>
        <v>Financial control and procurement resilience</v>
      </c>
      <c r="G104" s="177" t="str">
        <f>_ENGINE_Risk!G602</f>
        <v>Severe risk: manual fallback procedures for billing, payments, payroll, procurement and accounting close is not reliably controlled. During Financial / liquidity shock; Supplier disruption; Fraud risk, the organization may face cash-flow stress, uncontrolled spend, supplier payment disruption and weak financial visibility with limited visibility or accountability.</v>
      </c>
      <c r="H104" s="177" t="str">
        <f>_ENGINE_Risk!BT602</f>
        <v>CAP_PAYMENT_CONTINUITY</v>
      </c>
      <c r="I104" s="177" t="str">
        <f>_ENGINE_Risk!BV602</f>
        <v>BRG-030</v>
      </c>
      <c r="J104" s="177" t="str">
        <f>_ENGINE_Risk!CE602</f>
        <v>IW-ALL-PAYMENT_CONTINUITY</v>
      </c>
      <c r="K104" s="177" t="str">
        <f>_ENGINE_Risk!BY602</f>
        <v>TRT-PAYMENT_CONTINUITY-INITIAL</v>
      </c>
      <c r="L104" s="177" t="str">
        <f>_ENGINE_Risk!CP602</f>
        <v>Active</v>
      </c>
      <c r="M104" s="177" t="str">
        <f>_ENGINE_Risk!CQ602</f>
        <v>OK: capability-driven</v>
      </c>
      <c r="N104" s="177" t="str">
        <f>_ENGINE_Risk!CS602</f>
        <v>Yes</v>
      </c>
      <c r="O104" s="177" t="str">
        <f>_ENGINE_Risk!CO602</f>
        <v>Finance Procurement|Controls and accounting|FINA-010|CAP_PAYMENT_CONTINUITY</v>
      </c>
      <c r="P104" s="177" t="str">
        <f>_ENGINE_Risk!CR602</f>
        <v>Risk ontology uses capability=CAP_PAYMENT_CONTINUITY; bridge=BRG-030; treatment=TRT-PAYMENT_CONTINUITY-INITIAL; wording=IW-ALL-PAYMENT_CONTINUITY</v>
      </c>
    </row>
    <row r="105" spans="1:16" ht="99" customHeight="1">
      <c r="A105" s="177" t="str">
        <f>_ENGINE_Risk!CM603</f>
        <v>RISK-ONT-0104</v>
      </c>
      <c r="B105" s="177">
        <f>ROW(_ENGINE_Risk!A603)</f>
        <v>603</v>
      </c>
      <c r="C105" s="177" t="str">
        <f>_ENGINE_Risk!E603</f>
        <v>FINA-011</v>
      </c>
      <c r="D105" s="177" t="str">
        <f>_ENGINE_Risk!C603</f>
        <v>Finance Procurement</v>
      </c>
      <c r="E105" s="177" t="str">
        <f>_ENGINE_Risk!D603</f>
        <v>Controls and accounting</v>
      </c>
      <c r="F105" s="177" t="str">
        <f>_ENGINE_Risk!F603</f>
        <v>Financial control and procurement resilience</v>
      </c>
      <c r="G105" s="177" t="str">
        <f>_ENGINE_Risk!G603</f>
        <v>Severe risk: fraud risk controls for fake invoices, payment diversion, supplier impersonation and business email compromise is not reliably controlled. During Financial / liquidity shock; Supplier disruption; Fraud risk, the organization may face cash-flow stress, uncontrolled spend, supplier payment disruption and weak financial visibility with limited visibility or accountability.</v>
      </c>
      <c r="H105" s="177" t="str">
        <f>_ENGINE_Risk!BT603</f>
        <v>CAP_PAYMENT_CONTINUITY</v>
      </c>
      <c r="I105" s="177" t="str">
        <f>_ENGINE_Risk!BV603</f>
        <v>BRG-030</v>
      </c>
      <c r="J105" s="177" t="str">
        <f>_ENGINE_Risk!CE603</f>
        <v>IW-ALL-PAYMENT_CONTINUITY</v>
      </c>
      <c r="K105" s="177" t="str">
        <f>_ENGINE_Risk!BY603</f>
        <v>TRT-PAYMENT_CONTINUITY-INITIAL</v>
      </c>
      <c r="L105" s="177" t="str">
        <f>_ENGINE_Risk!CP603</f>
        <v>Active</v>
      </c>
      <c r="M105" s="177" t="str">
        <f>_ENGINE_Risk!CQ603</f>
        <v>OK: capability-driven</v>
      </c>
      <c r="N105" s="177" t="str">
        <f>_ENGINE_Risk!CS603</f>
        <v>Yes</v>
      </c>
      <c r="O105" s="177" t="str">
        <f>_ENGINE_Risk!CO603</f>
        <v>Finance Procurement|Controls and accounting|FINA-011|CAP_PAYMENT_CONTINUITY</v>
      </c>
      <c r="P105" s="177" t="str">
        <f>_ENGINE_Risk!CR603</f>
        <v>Risk ontology uses capability=CAP_PAYMENT_CONTINUITY; bridge=BRG-030; treatment=TRT-PAYMENT_CONTINUITY-INITIAL; wording=IW-ALL-PAYMENT_CONTINUITY</v>
      </c>
    </row>
    <row r="106" spans="1:16" ht="99" customHeight="1">
      <c r="A106" s="177" t="str">
        <f>_ENGINE_Risk!CM604</f>
        <v>RISK-ONT-0105</v>
      </c>
      <c r="B106" s="177">
        <f>ROW(_ENGINE_Risk!A604)</f>
        <v>604</v>
      </c>
      <c r="C106" s="177" t="str">
        <f>_ENGINE_Risk!E604</f>
        <v>FINA-012</v>
      </c>
      <c r="D106" s="177" t="str">
        <f>_ENGINE_Risk!C604</f>
        <v>Finance Procurement</v>
      </c>
      <c r="E106" s="177" t="str">
        <f>_ENGINE_Risk!D604</f>
        <v>Controls and accounting</v>
      </c>
      <c r="F106" s="177" t="str">
        <f>_ENGINE_Risk!F604</f>
        <v>Financial control and procurement resilience</v>
      </c>
      <c r="G106" s="177" t="str">
        <f>_ENGINE_Risk!G604</f>
        <v>Severe risk: finance master data controls for chart of accounts, cost centers, vendors, customers and reporting dimensions is not reliably controlled. During Financial / liquidity shock; Supplier disruption; Fraud risk, the organization may face cash-flow stress, uncontrolled spend, supplier payment disruption and weak financial visibility with limited visibility or accountability.</v>
      </c>
      <c r="H106" s="177" t="str">
        <f>_ENGINE_Risk!BT604</f>
        <v>CAP_PAYMENT_CONTINUITY</v>
      </c>
      <c r="I106" s="177" t="str">
        <f>_ENGINE_Risk!BV604</f>
        <v>BRG-030</v>
      </c>
      <c r="J106" s="177" t="str">
        <f>_ENGINE_Risk!CE604</f>
        <v>IW-ALL-PAYMENT_CONTINUITY</v>
      </c>
      <c r="K106" s="177" t="str">
        <f>_ENGINE_Risk!BY604</f>
        <v>TRT-PAYMENT_CONTINUITY-INITIAL</v>
      </c>
      <c r="L106" s="177" t="str">
        <f>_ENGINE_Risk!CP604</f>
        <v>Active</v>
      </c>
      <c r="M106" s="177" t="str">
        <f>_ENGINE_Risk!CQ604</f>
        <v>OK: capability-driven</v>
      </c>
      <c r="N106" s="177" t="str">
        <f>_ENGINE_Risk!CS604</f>
        <v>Yes</v>
      </c>
      <c r="O106" s="177" t="str">
        <f>_ENGINE_Risk!CO604</f>
        <v>Finance Procurement|Controls and accounting|FINA-012|CAP_PAYMENT_CONTINUITY</v>
      </c>
      <c r="P106" s="177" t="str">
        <f>_ENGINE_Risk!CR604</f>
        <v>Risk ontology uses capability=CAP_PAYMENT_CONTINUITY; bridge=BRG-030; treatment=TRT-PAYMENT_CONTINUITY-INITIAL; wording=IW-ALL-PAYMENT_CONTINUITY</v>
      </c>
    </row>
    <row r="107" spans="1:16" ht="99" customHeight="1">
      <c r="A107" s="177" t="str">
        <f>_ENGINE_Risk!CM605</f>
        <v>RISK-ONT-0106</v>
      </c>
      <c r="B107" s="177">
        <f>ROW(_ENGINE_Risk!A605)</f>
        <v>605</v>
      </c>
      <c r="C107" s="177" t="str">
        <f>_ENGINE_Risk!E605</f>
        <v>FINA-013</v>
      </c>
      <c r="D107" s="177" t="str">
        <f>_ENGINE_Risk!C605</f>
        <v>Finance Procurement</v>
      </c>
      <c r="E107" s="177" t="str">
        <f>_ENGINE_Risk!D605</f>
        <v>Procurement and suppliers</v>
      </c>
      <c r="F107" s="177" t="str">
        <f>_ENGINE_Risk!F605</f>
        <v>Financial control and procurement resilience</v>
      </c>
      <c r="G107" s="177" t="str">
        <f>_ENGINE_Risk!G605</f>
        <v>Severe risk: procurement policy covering sourcing, approvals, conflicts of interest and emergency purchasing is not reliably controlled. During Financial / liquidity shock; Supplier disruption; Fraud risk, the organization may face cash-flow stress, uncontrolled spend, supplier payment disruption and weak financial visibility with limited visibility or accountability.</v>
      </c>
      <c r="H107" s="177" t="str">
        <f>_ENGINE_Risk!BT605</f>
        <v>CAP_FRAUD_MONITORING</v>
      </c>
      <c r="I107" s="177" t="str">
        <f>_ENGINE_Risk!BV605</f>
        <v>BRG-032</v>
      </c>
      <c r="J107" s="177" t="str">
        <f>_ENGINE_Risk!CE605</f>
        <v>IW-ALL-FRAUD_MONITORING</v>
      </c>
      <c r="K107" s="177" t="str">
        <f>_ENGINE_Risk!BY605</f>
        <v>TRT-FRAUD_MONITORING-INITIAL</v>
      </c>
      <c r="L107" s="177" t="str">
        <f>_ENGINE_Risk!CP605</f>
        <v>Active</v>
      </c>
      <c r="M107" s="177" t="str">
        <f>_ENGINE_Risk!CQ605</f>
        <v>OK: capability-driven</v>
      </c>
      <c r="N107" s="177" t="str">
        <f>_ENGINE_Risk!CS605</f>
        <v>Yes</v>
      </c>
      <c r="O107" s="177" t="str">
        <f>_ENGINE_Risk!CO605</f>
        <v>Finance Procurement|Procurement and suppliers|FINA-013|CAP_FRAUD_MONITORING</v>
      </c>
      <c r="P107" s="177" t="str">
        <f>_ENGINE_Risk!CR605</f>
        <v>Risk ontology uses capability=CAP_FRAUD_MONITORING; bridge=BRG-032; treatment=TRT-FRAUD_MONITORING-INITIAL; wording=IW-ALL-FRAUD_MONITORING</v>
      </c>
    </row>
    <row r="108" spans="1:16" ht="99" customHeight="1">
      <c r="A108" s="177" t="str">
        <f>_ENGINE_Risk!CM606</f>
        <v>RISK-ONT-0107</v>
      </c>
      <c r="B108" s="177">
        <f>ROW(_ENGINE_Risk!A606)</f>
        <v>606</v>
      </c>
      <c r="C108" s="177" t="str">
        <f>_ENGINE_Risk!E606</f>
        <v>FINA-014</v>
      </c>
      <c r="D108" s="177" t="str">
        <f>_ENGINE_Risk!C606</f>
        <v>Finance Procurement</v>
      </c>
      <c r="E108" s="177" t="str">
        <f>_ENGINE_Risk!D606</f>
        <v>Procurement and suppliers</v>
      </c>
      <c r="F108" s="177" t="str">
        <f>_ENGINE_Risk!F606</f>
        <v>Financial control and procurement resilience</v>
      </c>
      <c r="G108" s="177" t="str">
        <f>_ENGINE_Risk!G606</f>
        <v>Severe risk: critical supplier classification by business impact, replaceability, geography, financial health and SLA is not reliably controlled. During Financial / liquidity shock; Supplier disruption; Fraud risk, the organization may face cash-flow stress, uncontrolled spend, supplier payment disruption and weak financial visibility with limited visibility or accountability.</v>
      </c>
      <c r="H108" s="177" t="str">
        <f>_ENGINE_Risk!BT606</f>
        <v>CAP_FRAUD_MONITORING</v>
      </c>
      <c r="I108" s="177" t="str">
        <f>_ENGINE_Risk!BV606</f>
        <v>BRG-032</v>
      </c>
      <c r="J108" s="177" t="str">
        <f>_ENGINE_Risk!CE606</f>
        <v>IW-ALL-FRAUD_MONITORING</v>
      </c>
      <c r="K108" s="177" t="str">
        <f>_ENGINE_Risk!BY606</f>
        <v>TRT-FRAUD_MONITORING-INITIAL</v>
      </c>
      <c r="L108" s="177" t="str">
        <f>_ENGINE_Risk!CP606</f>
        <v>Active</v>
      </c>
      <c r="M108" s="177" t="str">
        <f>_ENGINE_Risk!CQ606</f>
        <v>OK: capability-driven</v>
      </c>
      <c r="N108" s="177" t="str">
        <f>_ENGINE_Risk!CS606</f>
        <v>Yes</v>
      </c>
      <c r="O108" s="177" t="str">
        <f>_ENGINE_Risk!CO606</f>
        <v>Finance Procurement|Procurement and suppliers|FINA-014|CAP_FRAUD_MONITORING</v>
      </c>
      <c r="P108" s="177" t="str">
        <f>_ENGINE_Risk!CR606</f>
        <v>Risk ontology uses capability=CAP_FRAUD_MONITORING; bridge=BRG-032; treatment=TRT-FRAUD_MONITORING-INITIAL; wording=IW-ALL-FRAUD_MONITORING</v>
      </c>
    </row>
    <row r="109" spans="1:16" ht="99" customHeight="1">
      <c r="A109" s="177" t="str">
        <f>_ENGINE_Risk!CM607</f>
        <v>RISK-ONT-0108</v>
      </c>
      <c r="B109" s="177">
        <f>ROW(_ENGINE_Risk!A607)</f>
        <v>607</v>
      </c>
      <c r="C109" s="177" t="str">
        <f>_ENGINE_Risk!E607</f>
        <v>FINA-015</v>
      </c>
      <c r="D109" s="177" t="str">
        <f>_ENGINE_Risk!C607</f>
        <v>Finance Procurement</v>
      </c>
      <c r="E109" s="177" t="str">
        <f>_ENGINE_Risk!D607</f>
        <v>Procurement and suppliers</v>
      </c>
      <c r="F109" s="177" t="str">
        <f>_ENGINE_Risk!F607</f>
        <v>Financial control and procurement resilience</v>
      </c>
      <c r="G109" s="177" t="str">
        <f>_ENGINE_Risk!G607</f>
        <v>Severe risk: single-source and sole-source supplier exposure and mitigation plans is not reliably controlled. During Financial / liquidity shock; Supplier disruption; Fraud risk, the organization may face cash-flow stress, uncontrolled spend, supplier payment disruption and weak financial visibility with limited visibility or accountability.</v>
      </c>
      <c r="H109" s="177" t="str">
        <f>_ENGINE_Risk!BT607</f>
        <v>CAP_FRAUD_MONITORING</v>
      </c>
      <c r="I109" s="177" t="str">
        <f>_ENGINE_Risk!BV607</f>
        <v>BRG-032</v>
      </c>
      <c r="J109" s="177" t="str">
        <f>_ENGINE_Risk!CE607</f>
        <v>IW-ALL-FRAUD_MONITORING</v>
      </c>
      <c r="K109" s="177" t="str">
        <f>_ENGINE_Risk!BY607</f>
        <v>TRT-FRAUD_MONITORING-INITIAL</v>
      </c>
      <c r="L109" s="177" t="str">
        <f>_ENGINE_Risk!CP607</f>
        <v>Active</v>
      </c>
      <c r="M109" s="177" t="str">
        <f>_ENGINE_Risk!CQ607</f>
        <v>OK: capability-driven</v>
      </c>
      <c r="N109" s="177" t="str">
        <f>_ENGINE_Risk!CS607</f>
        <v>Yes</v>
      </c>
      <c r="O109" s="177" t="str">
        <f>_ENGINE_Risk!CO607</f>
        <v>Finance Procurement|Procurement and suppliers|FINA-015|CAP_FRAUD_MONITORING</v>
      </c>
      <c r="P109" s="177" t="str">
        <f>_ENGINE_Risk!CR607</f>
        <v>Risk ontology uses capability=CAP_FRAUD_MONITORING; bridge=BRG-032; treatment=TRT-FRAUD_MONITORING-INITIAL; wording=IW-ALL-FRAUD_MONITORING</v>
      </c>
    </row>
    <row r="110" spans="1:16" ht="99" customHeight="1">
      <c r="A110" s="177" t="str">
        <f>_ENGINE_Risk!CM608</f>
        <v>RISK-ONT-0109</v>
      </c>
      <c r="B110" s="177">
        <f>ROW(_ENGINE_Risk!A608)</f>
        <v>608</v>
      </c>
      <c r="C110" s="177" t="str">
        <f>_ENGINE_Risk!E608</f>
        <v>FINA-016</v>
      </c>
      <c r="D110" s="177" t="str">
        <f>_ENGINE_Risk!C608</f>
        <v>Finance Procurement</v>
      </c>
      <c r="E110" s="177" t="str">
        <f>_ENGINE_Risk!D608</f>
        <v>Procurement and suppliers</v>
      </c>
      <c r="F110" s="177" t="str">
        <f>_ENGINE_Risk!F608</f>
        <v>Financial control and procurement resilience</v>
      </c>
      <c r="G110" s="177" t="str">
        <f>_ENGINE_Risk!G608</f>
        <v>Severe risk: supplier financial health, sanctions, insurance, delivery reliability and crisis exposure monitoring is not reliably controlled. During Financial / liquidity shock; Supplier disruption; Fraud risk, the organization may face cash-flow stress, uncontrolled spend, supplier payment disruption and weak financial visibility with limited visibility or accountability.</v>
      </c>
      <c r="H110" s="177" t="str">
        <f>_ENGINE_Risk!BT608</f>
        <v>CAP_FRAUD_MONITORING</v>
      </c>
      <c r="I110" s="177" t="str">
        <f>_ENGINE_Risk!BV608</f>
        <v>BRG-032</v>
      </c>
      <c r="J110" s="177" t="str">
        <f>_ENGINE_Risk!CE608</f>
        <v>IW-ALL-FRAUD_MONITORING</v>
      </c>
      <c r="K110" s="177" t="str">
        <f>_ENGINE_Risk!BY608</f>
        <v>TRT-FRAUD_MONITORING-INITIAL</v>
      </c>
      <c r="L110" s="177" t="str">
        <f>_ENGINE_Risk!CP608</f>
        <v>Active</v>
      </c>
      <c r="M110" s="177" t="str">
        <f>_ENGINE_Risk!CQ608</f>
        <v>OK: capability-driven</v>
      </c>
      <c r="N110" s="177" t="str">
        <f>_ENGINE_Risk!CS608</f>
        <v>Yes</v>
      </c>
      <c r="O110" s="177" t="str">
        <f>_ENGINE_Risk!CO608</f>
        <v>Finance Procurement|Procurement and suppliers|FINA-016|CAP_FRAUD_MONITORING</v>
      </c>
      <c r="P110" s="177" t="str">
        <f>_ENGINE_Risk!CR608</f>
        <v>Risk ontology uses capability=CAP_FRAUD_MONITORING; bridge=BRG-032; treatment=TRT-FRAUD_MONITORING-INITIAL; wording=IW-ALL-FRAUD_MONITORING</v>
      </c>
    </row>
    <row r="111" spans="1:16" ht="99" customHeight="1">
      <c r="A111" s="177" t="str">
        <f>_ENGINE_Risk!CM609</f>
        <v>RISK-ONT-0110</v>
      </c>
      <c r="B111" s="177">
        <f>ROW(_ENGINE_Risk!A609)</f>
        <v>609</v>
      </c>
      <c r="C111" s="177" t="str">
        <f>_ENGINE_Risk!E609</f>
        <v>FINA-018</v>
      </c>
      <c r="D111" s="177" t="str">
        <f>_ENGINE_Risk!C609</f>
        <v>Finance Procurement</v>
      </c>
      <c r="E111" s="177" t="str">
        <f>_ENGINE_Risk!D609</f>
        <v>Procurement and suppliers</v>
      </c>
      <c r="F111" s="177" t="str">
        <f>_ENGINE_Risk!F609</f>
        <v>Financial control and procurement resilience</v>
      </c>
      <c r="G111" s="177" t="str">
        <f>_ENGINE_Risk!G609</f>
        <v>Severe risk: emergency purchasing process that preserves essential controls and fraud prevention is not reliably controlled. During Financial / liquidity shock; Supplier disruption; Fraud risk, the organization may face cash-flow stress, uncontrolled spend, supplier payment disruption and weak financial visibility with limited visibility or accountability.</v>
      </c>
      <c r="H111" s="177" t="str">
        <f>_ENGINE_Risk!BT609</f>
        <v>CAP_FRAUD_MONITORING</v>
      </c>
      <c r="I111" s="177" t="str">
        <f>_ENGINE_Risk!BV609</f>
        <v>BRG-032</v>
      </c>
      <c r="J111" s="177" t="str">
        <f>_ENGINE_Risk!CE609</f>
        <v>IW-ALL-FRAUD_MONITORING</v>
      </c>
      <c r="K111" s="177" t="str">
        <f>_ENGINE_Risk!BY609</f>
        <v>TRT-FRAUD_MONITORING-INITIAL</v>
      </c>
      <c r="L111" s="177" t="str">
        <f>_ENGINE_Risk!CP609</f>
        <v>Active</v>
      </c>
      <c r="M111" s="177" t="str">
        <f>_ENGINE_Risk!CQ609</f>
        <v>OK: capability-driven</v>
      </c>
      <c r="N111" s="177" t="str">
        <f>_ENGINE_Risk!CS609</f>
        <v>Yes</v>
      </c>
      <c r="O111" s="177" t="str">
        <f>_ENGINE_Risk!CO609</f>
        <v>Finance Procurement|Procurement and suppliers|FINA-018|CAP_FRAUD_MONITORING</v>
      </c>
      <c r="P111" s="177" t="str">
        <f>_ENGINE_Risk!CR609</f>
        <v>Risk ontology uses capability=CAP_FRAUD_MONITORING; bridge=BRG-032; treatment=TRT-FRAUD_MONITORING-INITIAL; wording=IW-ALL-FRAUD_MONITORING</v>
      </c>
    </row>
    <row r="112" spans="1:16" ht="99" customHeight="1">
      <c r="A112" s="177" t="str">
        <f>_ENGINE_Risk!CM610</f>
        <v>RISK-ONT-0111</v>
      </c>
      <c r="B112" s="177">
        <f>ROW(_ENGINE_Risk!A610)</f>
        <v>610</v>
      </c>
      <c r="C112" s="177" t="str">
        <f>_ENGINE_Risk!E610</f>
        <v>FINA-019</v>
      </c>
      <c r="D112" s="177" t="str">
        <f>_ENGINE_Risk!C610</f>
        <v>Finance Procurement</v>
      </c>
      <c r="E112" s="177" t="str">
        <f>_ENGINE_Risk!D610</f>
        <v>Procurement and suppliers</v>
      </c>
      <c r="F112" s="177" t="str">
        <f>_ENGINE_Risk!F610</f>
        <v>Financial control and procurement resilience</v>
      </c>
      <c r="G112" s="177" t="str">
        <f>_ENGINE_Risk!G610</f>
        <v>Severe risk: purchasing triggers linked to demand, lead time, minimum stock and crisis buffers is not reliably controlled. During Financial / liquidity shock; Supplier disruption; Fraud risk, the organization may face cash-flow stress, uncontrolled spend, supplier payment disruption and weak financial visibility with limited visibility or accountability.</v>
      </c>
      <c r="H112" s="177" t="str">
        <f>_ENGINE_Risk!BT610</f>
        <v>CAP_FRAUD_MONITORING</v>
      </c>
      <c r="I112" s="177" t="str">
        <f>_ENGINE_Risk!BV610</f>
        <v>BRG-032</v>
      </c>
      <c r="J112" s="177" t="str">
        <f>_ENGINE_Risk!CE610</f>
        <v>IW-ALL-FRAUD_MONITORING</v>
      </c>
      <c r="K112" s="177" t="str">
        <f>_ENGINE_Risk!BY610</f>
        <v>TRT-FRAUD_MONITORING-INITIAL</v>
      </c>
      <c r="L112" s="177" t="str">
        <f>_ENGINE_Risk!CP610</f>
        <v>Active</v>
      </c>
      <c r="M112" s="177" t="str">
        <f>_ENGINE_Risk!CQ610</f>
        <v>OK: capability-driven</v>
      </c>
      <c r="N112" s="177" t="str">
        <f>_ENGINE_Risk!CS610</f>
        <v>Yes</v>
      </c>
      <c r="O112" s="177" t="str">
        <f>_ENGINE_Risk!CO610</f>
        <v>Finance Procurement|Procurement and suppliers|FINA-019|CAP_FRAUD_MONITORING</v>
      </c>
      <c r="P112" s="177" t="str">
        <f>_ENGINE_Risk!CR610</f>
        <v>Risk ontology uses capability=CAP_FRAUD_MONITORING; bridge=BRG-032; treatment=TRT-FRAUD_MONITORING-INITIAL; wording=IW-ALL-FRAUD_MONITORING</v>
      </c>
    </row>
    <row r="113" spans="1:16" ht="84.9" customHeight="1">
      <c r="A113" s="177" t="str">
        <f>_ENGINE_Risk!CM611</f>
        <v>RISK-ONT-0112</v>
      </c>
      <c r="B113" s="177">
        <f>ROW(_ENGINE_Risk!A611)</f>
        <v>611</v>
      </c>
      <c r="C113" s="177" t="str">
        <f>_ENGINE_Risk!E611</f>
        <v>FINA-020</v>
      </c>
      <c r="D113" s="177" t="str">
        <f>_ENGINE_Risk!C611</f>
        <v>Finance Procurement</v>
      </c>
      <c r="E113" s="177" t="str">
        <f>_ENGINE_Risk!D611</f>
        <v>Working capital</v>
      </c>
      <c r="F113" s="177" t="str">
        <f>_ENGINE_Risk!F611</f>
        <v>Financial control and procurement resilience</v>
      </c>
      <c r="G113" s="177" t="str">
        <f>_ENGINE_Risk!G611</f>
        <v>Severe risk: receivables aging, customer payment risk and collection scenarios is not reliably controlled. During Financial / liquidity shock; Supplier disruption; Fraud risk, the organization may face cash-flow stress, uncontrolled spend, supplier payment disruption and weak financial visibility with limited visibility or accountability.</v>
      </c>
      <c r="H113" s="177" t="str">
        <f>_ENGINE_Risk!BT611</f>
        <v>CAP_PAYMENT_CONTINUITY</v>
      </c>
      <c r="I113" s="177" t="str">
        <f>_ENGINE_Risk!BV611</f>
        <v>BRG-033</v>
      </c>
      <c r="J113" s="177" t="str">
        <f>_ENGINE_Risk!CE611</f>
        <v>IW-ALL-PAYMENT_CONTINUITY</v>
      </c>
      <c r="K113" s="177" t="str">
        <f>_ENGINE_Risk!BY611</f>
        <v>TRT-PAYMENT_CONTINUITY-INITIAL</v>
      </c>
      <c r="L113" s="177" t="str">
        <f>_ENGINE_Risk!CP611</f>
        <v>Active</v>
      </c>
      <c r="M113" s="177" t="str">
        <f>_ENGINE_Risk!CQ611</f>
        <v>OK: capability-driven</v>
      </c>
      <c r="N113" s="177" t="str">
        <f>_ENGINE_Risk!CS611</f>
        <v>Yes</v>
      </c>
      <c r="O113" s="177" t="str">
        <f>_ENGINE_Risk!CO611</f>
        <v>Finance Procurement|Working capital|FINA-020|CAP_PAYMENT_CONTINUITY</v>
      </c>
      <c r="P113" s="177" t="str">
        <f>_ENGINE_Risk!CR611</f>
        <v>Risk ontology uses capability=CAP_PAYMENT_CONTINUITY; bridge=BRG-033; treatment=TRT-PAYMENT_CONTINUITY-INITIAL; wording=IW-ALL-PAYMENT_CONTINUITY</v>
      </c>
    </row>
    <row r="114" spans="1:16" ht="84.9" customHeight="1">
      <c r="A114" s="177" t="str">
        <f>_ENGINE_Risk!CM612</f>
        <v>RISK-ONT-0113</v>
      </c>
      <c r="B114" s="177">
        <f>ROW(_ENGINE_Risk!A612)</f>
        <v>612</v>
      </c>
      <c r="C114" s="177" t="str">
        <f>_ENGINE_Risk!E612</f>
        <v>FINA-021</v>
      </c>
      <c r="D114" s="177" t="str">
        <f>_ENGINE_Risk!C612</f>
        <v>Finance Procurement</v>
      </c>
      <c r="E114" s="177" t="str">
        <f>_ENGINE_Risk!D612</f>
        <v>Working capital</v>
      </c>
      <c r="F114" s="177" t="str">
        <f>_ENGINE_Risk!F612</f>
        <v>Financial control and procurement resilience</v>
      </c>
      <c r="G114" s="177" t="str">
        <f>_ENGINE_Risk!G612</f>
        <v>Severe risk: supplier payment priority rules during cash constraint is not reliably controlled. During Financial / liquidity shock; Supplier disruption; Fraud risk, the organization may face cash-flow stress, uncontrolled spend, supplier payment disruption and weak financial visibility with limited visibility or accountability.</v>
      </c>
      <c r="H114" s="177" t="str">
        <f>_ENGINE_Risk!BT612</f>
        <v>CAP_PAYMENT_CONTINUITY</v>
      </c>
      <c r="I114" s="177" t="str">
        <f>_ENGINE_Risk!BV612</f>
        <v>BRG-033</v>
      </c>
      <c r="J114" s="177" t="str">
        <f>_ENGINE_Risk!CE612</f>
        <v>IW-ALL-PAYMENT_CONTINUITY</v>
      </c>
      <c r="K114" s="177" t="str">
        <f>_ENGINE_Risk!BY612</f>
        <v>TRT-PAYMENT_CONTINUITY-INITIAL</v>
      </c>
      <c r="L114" s="177" t="str">
        <f>_ENGINE_Risk!CP612</f>
        <v>Active</v>
      </c>
      <c r="M114" s="177" t="str">
        <f>_ENGINE_Risk!CQ612</f>
        <v>OK: capability-driven</v>
      </c>
      <c r="N114" s="177" t="str">
        <f>_ENGINE_Risk!CS612</f>
        <v>Yes</v>
      </c>
      <c r="O114" s="177" t="str">
        <f>_ENGINE_Risk!CO612</f>
        <v>Finance Procurement|Working capital|FINA-021|CAP_PAYMENT_CONTINUITY</v>
      </c>
      <c r="P114" s="177" t="str">
        <f>_ENGINE_Risk!CR612</f>
        <v>Risk ontology uses capability=CAP_PAYMENT_CONTINUITY; bridge=BRG-033; treatment=TRT-PAYMENT_CONTINUITY-INITIAL; wording=IW-ALL-PAYMENT_CONTINUITY</v>
      </c>
    </row>
    <row r="115" spans="1:16" ht="99" customHeight="1">
      <c r="A115" s="177" t="str">
        <f>_ENGINE_Risk!CM613</f>
        <v>RISK-ONT-0114</v>
      </c>
      <c r="B115" s="177">
        <f>ROW(_ENGINE_Risk!A613)</f>
        <v>613</v>
      </c>
      <c r="C115" s="177" t="str">
        <f>_ENGINE_Risk!E613</f>
        <v>FINA-022</v>
      </c>
      <c r="D115" s="177" t="str">
        <f>_ENGINE_Risk!C613</f>
        <v>Finance Procurement</v>
      </c>
      <c r="E115" s="177" t="str">
        <f>_ENGINE_Risk!D613</f>
        <v>Working capital</v>
      </c>
      <c r="F115" s="177" t="str">
        <f>_ENGINE_Risk!F613</f>
        <v>Financial control and procurement resilience</v>
      </c>
      <c r="G115" s="177" t="str">
        <f>_ENGINE_Risk!G613</f>
        <v>Severe risk: banking resilience with backup banks, signatories, online access and payment release fallback is not reliably controlled. During Financial / liquidity shock; Supplier disruption; Fraud risk, the organization may face cash-flow stress, uncontrolled spend, supplier payment disruption and weak financial visibility with limited visibility or accountability.</v>
      </c>
      <c r="H115" s="177" t="str">
        <f>_ENGINE_Risk!BT613</f>
        <v>CAP_PAYMENT_CONTINUITY</v>
      </c>
      <c r="I115" s="177" t="str">
        <f>_ENGINE_Risk!BV613</f>
        <v>BRG-033</v>
      </c>
      <c r="J115" s="177" t="str">
        <f>_ENGINE_Risk!CE613</f>
        <v>IW-ALL-PAYMENT_CONTINUITY</v>
      </c>
      <c r="K115" s="177" t="str">
        <f>_ENGINE_Risk!BY613</f>
        <v>TRT-PAYMENT_CONTINUITY-INITIAL</v>
      </c>
      <c r="L115" s="177" t="str">
        <f>_ENGINE_Risk!CP613</f>
        <v>Active</v>
      </c>
      <c r="M115" s="177" t="str">
        <f>_ENGINE_Risk!CQ613</f>
        <v>OK: capability-driven</v>
      </c>
      <c r="N115" s="177" t="str">
        <f>_ENGINE_Risk!CS613</f>
        <v>Yes</v>
      </c>
      <c r="O115" s="177" t="str">
        <f>_ENGINE_Risk!CO613</f>
        <v>Finance Procurement|Working capital|FINA-022|CAP_PAYMENT_CONTINUITY</v>
      </c>
      <c r="P115" s="177" t="str">
        <f>_ENGINE_Risk!CR613</f>
        <v>Risk ontology uses capability=CAP_PAYMENT_CONTINUITY; bridge=BRG-033; treatment=TRT-PAYMENT_CONTINUITY-INITIAL; wording=IW-ALL-PAYMENT_CONTINUITY</v>
      </c>
    </row>
    <row r="116" spans="1:16" ht="84.9" customHeight="1">
      <c r="A116" s="177" t="str">
        <f>_ENGINE_Risk!CM614</f>
        <v>RISK-ONT-0115</v>
      </c>
      <c r="B116" s="177">
        <f>ROW(_ENGINE_Risk!A614)</f>
        <v>614</v>
      </c>
      <c r="C116" s="177" t="str">
        <f>_ENGINE_Risk!E614</f>
        <v>FINA-023</v>
      </c>
      <c r="D116" s="177" t="str">
        <f>_ENGINE_Risk!C614</f>
        <v>Finance Procurement</v>
      </c>
      <c r="E116" s="177" t="str">
        <f>_ENGINE_Risk!D614</f>
        <v>Working capital</v>
      </c>
      <c r="F116" s="177" t="str">
        <f>_ENGINE_Risk!F614</f>
        <v>Financial control and procurement resilience</v>
      </c>
      <c r="G116" s="177" t="str">
        <f>_ENGINE_Risk!G614</f>
        <v>Severe risk: tax compliance calendar and statutory reporting continuity is not reliably controlled. During Financial / liquidity shock; Supplier disruption; Fraud risk, the organization may face cash-flow stress, uncontrolled spend, supplier payment disruption and weak financial visibility with limited visibility or accountability.</v>
      </c>
      <c r="H116" s="177" t="str">
        <f>_ENGINE_Risk!BT614</f>
        <v>CAP_PAYMENT_CONTINUITY</v>
      </c>
      <c r="I116" s="177" t="str">
        <f>_ENGINE_Risk!BV614</f>
        <v>BRG-033</v>
      </c>
      <c r="J116" s="177" t="str">
        <f>_ENGINE_Risk!CE614</f>
        <v>IW-ALL-PAYMENT_CONTINUITY</v>
      </c>
      <c r="K116" s="177" t="str">
        <f>_ENGINE_Risk!BY614</f>
        <v>TRT-PAYMENT_CONTINUITY-INITIAL</v>
      </c>
      <c r="L116" s="177" t="str">
        <f>_ENGINE_Risk!CP614</f>
        <v>Active</v>
      </c>
      <c r="M116" s="177" t="str">
        <f>_ENGINE_Risk!CQ614</f>
        <v>OK: capability-driven</v>
      </c>
      <c r="N116" s="177" t="str">
        <f>_ENGINE_Risk!CS614</f>
        <v>Yes</v>
      </c>
      <c r="O116" s="177" t="str">
        <f>_ENGINE_Risk!CO614</f>
        <v>Finance Procurement|Working capital|FINA-023|CAP_PAYMENT_CONTINUITY</v>
      </c>
      <c r="P116" s="177" t="str">
        <f>_ENGINE_Risk!CR614</f>
        <v>Risk ontology uses capability=CAP_PAYMENT_CONTINUITY; bridge=BRG-033; treatment=TRT-PAYMENT_CONTINUITY-INITIAL; wording=IW-ALL-PAYMENT_CONTINUITY</v>
      </c>
    </row>
    <row r="117" spans="1:16" ht="99" customHeight="1">
      <c r="A117" s="177" t="str">
        <f>_ENGINE_Risk!CM615</f>
        <v>RISK-ONT-0116</v>
      </c>
      <c r="B117" s="177">
        <f>ROW(_ENGINE_Risk!A615)</f>
        <v>615</v>
      </c>
      <c r="C117" s="177" t="str">
        <f>_ENGINE_Risk!E615</f>
        <v>FINA-024</v>
      </c>
      <c r="D117" s="177" t="str">
        <f>_ENGINE_Risk!C615</f>
        <v>Finance Procurement</v>
      </c>
      <c r="E117" s="177" t="str">
        <f>_ENGINE_Risk!D615</f>
        <v>Working capital</v>
      </c>
      <c r="F117" s="177" t="str">
        <f>_ENGINE_Risk!F615</f>
        <v>Financial control and procurement resilience</v>
      </c>
      <c r="G117" s="177" t="str">
        <f>_ENGINE_Risk!G615</f>
        <v>Severe risk: business interruption insurance fit against realistic recovery scenarios is not reliably controlled. During Financial / liquidity shock; Supplier disruption; Fraud risk, the organization may face cash-flow stress, uncontrolled spend, supplier payment disruption and weak financial visibility with limited visibility or accountability.</v>
      </c>
      <c r="H117" s="177" t="str">
        <f>_ENGINE_Risk!BT615</f>
        <v>CAP_PAYMENT_CONTINUITY</v>
      </c>
      <c r="I117" s="177" t="str">
        <f>_ENGINE_Risk!BV615</f>
        <v>BRG-033</v>
      </c>
      <c r="J117" s="177" t="str">
        <f>_ENGINE_Risk!CE615</f>
        <v>IW-ALL-PAYMENT_CONTINUITY</v>
      </c>
      <c r="K117" s="177" t="str">
        <f>_ENGINE_Risk!BY615</f>
        <v>TRT-PAYMENT_CONTINUITY-INITIAL</v>
      </c>
      <c r="L117" s="177" t="str">
        <f>_ENGINE_Risk!CP615</f>
        <v>Active</v>
      </c>
      <c r="M117" s="177" t="str">
        <f>_ENGINE_Risk!CQ615</f>
        <v>OK: capability-driven</v>
      </c>
      <c r="N117" s="177" t="str">
        <f>_ENGINE_Risk!CS615</f>
        <v>Yes</v>
      </c>
      <c r="O117" s="177" t="str">
        <f>_ENGINE_Risk!CO615</f>
        <v>Finance Procurement|Working capital|FINA-024|CAP_PAYMENT_CONTINUITY</v>
      </c>
      <c r="P117" s="177" t="str">
        <f>_ENGINE_Risk!CR615</f>
        <v>Risk ontology uses capability=CAP_PAYMENT_CONTINUITY; bridge=BRG-033; treatment=TRT-PAYMENT_CONTINUITY-INITIAL; wording=IW-ALL-PAYMENT_CONTINUITY</v>
      </c>
    </row>
    <row r="118" spans="1:16" ht="99" customHeight="1">
      <c r="A118" s="177" t="str">
        <f>_ENGINE_Risk!CM616</f>
        <v>RISK-ONT-0117</v>
      </c>
      <c r="B118" s="177">
        <f>ROW(_ENGINE_Risk!A616)</f>
        <v>616</v>
      </c>
      <c r="C118" s="177" t="str">
        <f>_ENGINE_Risk!E616</f>
        <v>FINA-025</v>
      </c>
      <c r="D118" s="177" t="str">
        <f>_ENGINE_Risk!C616</f>
        <v>Finance Procurement</v>
      </c>
      <c r="E118" s="177" t="str">
        <f>_ENGINE_Risk!D616</f>
        <v>Financial resilience</v>
      </c>
      <c r="F118" s="177" t="str">
        <f>_ENGINE_Risk!F616</f>
        <v>Financial flexibility and market risk</v>
      </c>
      <c r="G118" s="177" t="str">
        <f>_ENGINE_Risk!G616</f>
        <v>Severe risk: currency risk management using natural hedges, contract indexation or hedging instruments is not reliably controlled. During Financial/liquidity crisis; Demand shock, the organization may face margin erosion from currency mismatch between revenue and cost base and unbudgeted FX losses with limited visibility or accountability.</v>
      </c>
      <c r="H118" s="177" t="str">
        <f>_ENGINE_Risk!BT616</f>
        <v>CAP_FRAUD_MONITORING</v>
      </c>
      <c r="I118" s="177" t="str">
        <f>_ENGINE_Risk!BV616</f>
        <v>BRG-031</v>
      </c>
      <c r="J118" s="177" t="str">
        <f>_ENGINE_Risk!CE616</f>
        <v>IW-ALL-FRAUD_MONITORING</v>
      </c>
      <c r="K118" s="177" t="str">
        <f>_ENGINE_Risk!BY616</f>
        <v>TRT-FRAUD_MONITORING-INITIAL</v>
      </c>
      <c r="L118" s="177" t="str">
        <f>_ENGINE_Risk!CP616</f>
        <v>Active</v>
      </c>
      <c r="M118" s="177" t="str">
        <f>_ENGINE_Risk!CQ616</f>
        <v>OK: capability-driven</v>
      </c>
      <c r="N118" s="177" t="str">
        <f>_ENGINE_Risk!CS616</f>
        <v>Yes</v>
      </c>
      <c r="O118" s="177" t="str">
        <f>_ENGINE_Risk!CO616</f>
        <v>Finance Procurement|Financial resilience|FINA-025|CAP_FRAUD_MONITORING</v>
      </c>
      <c r="P118" s="177" t="str">
        <f>_ENGINE_Risk!CR616</f>
        <v>Risk ontology uses capability=CAP_FRAUD_MONITORING; bridge=BRG-031; treatment=TRT-FRAUD_MONITORING-INITIAL; wording=IW-ALL-FRAUD_MONITORING</v>
      </c>
    </row>
    <row r="119" spans="1:16" ht="99" customHeight="1">
      <c r="A119" s="177" t="str">
        <f>_ENGINE_Risk!CM617</f>
        <v>RISK-ONT-0118</v>
      </c>
      <c r="B119" s="177">
        <f>ROW(_ENGINE_Risk!A617)</f>
        <v>617</v>
      </c>
      <c r="C119" s="177" t="str">
        <f>_ENGINE_Risk!E617</f>
        <v>FINA-026</v>
      </c>
      <c r="D119" s="177" t="str">
        <f>_ENGINE_Risk!C617</f>
        <v>Finance Procurement</v>
      </c>
      <c r="E119" s="177" t="str">
        <f>_ENGINE_Risk!D617</f>
        <v>Financial resilience</v>
      </c>
      <c r="F119" s="177" t="str">
        <f>_ENGINE_Risk!F617</f>
        <v>Financial flexibility and market risk</v>
      </c>
      <c r="G119" s="177" t="str">
        <f>_ENGINE_Risk!G617</f>
        <v>Severe risk: cost structure flexibility with fixed-to-variable ratio visibility and cost reduction levers ranked by speed and impact is not reliably controlled. During Financial/liquidity crisis; Demand shock, the organization may face slow and unfocused cost response to revenue decline and overcutting of value-critical spend with limited visibility or accountability.</v>
      </c>
      <c r="H119" s="177" t="str">
        <f>_ENGINE_Risk!BT617</f>
        <v>CAP_FRAUD_MONITORING</v>
      </c>
      <c r="I119" s="177" t="str">
        <f>_ENGINE_Risk!BV617</f>
        <v>BRG-031</v>
      </c>
      <c r="J119" s="177" t="str">
        <f>_ENGINE_Risk!CE617</f>
        <v>IW-ALL-FRAUD_MONITORING</v>
      </c>
      <c r="K119" s="177" t="str">
        <f>_ENGINE_Risk!BY617</f>
        <v>TRT-FRAUD_MONITORING-INITIAL</v>
      </c>
      <c r="L119" s="177" t="str">
        <f>_ENGINE_Risk!CP617</f>
        <v>Active</v>
      </c>
      <c r="M119" s="177" t="str">
        <f>_ENGINE_Risk!CQ617</f>
        <v>OK: capability-driven</v>
      </c>
      <c r="N119" s="177" t="str">
        <f>_ENGINE_Risk!CS617</f>
        <v>Yes</v>
      </c>
      <c r="O119" s="177" t="str">
        <f>_ENGINE_Risk!CO617</f>
        <v>Finance Procurement|Financial resilience|FINA-026|CAP_FRAUD_MONITORING</v>
      </c>
      <c r="P119" s="177" t="str">
        <f>_ENGINE_Risk!CR617</f>
        <v>Risk ontology uses capability=CAP_FRAUD_MONITORING; bridge=BRG-031; treatment=TRT-FRAUD_MONITORING-INITIAL; wording=IW-ALL-FRAUD_MONITORING</v>
      </c>
    </row>
    <row r="120" spans="1:16" ht="99" customHeight="1">
      <c r="A120" s="177" t="str">
        <f>_ENGINE_Risk!CM618</f>
        <v>RISK-ONT-0119</v>
      </c>
      <c r="B120" s="177">
        <f>ROW(_ENGINE_Risk!A618)</f>
        <v>618</v>
      </c>
      <c r="C120" s="177" t="str">
        <f>_ENGINE_Risk!E618</f>
        <v>FINA-027</v>
      </c>
      <c r="D120" s="177" t="str">
        <f>_ENGINE_Risk!C618</f>
        <v>Finance Procurement</v>
      </c>
      <c r="E120" s="177" t="str">
        <f>_ENGINE_Risk!D618</f>
        <v>Working capital</v>
      </c>
      <c r="F120" s="177" t="str">
        <f>_ENGINE_Risk!F618</f>
        <v>Financial flexibility and market risk</v>
      </c>
      <c r="G120" s="177" t="str">
        <f>_ENGINE_Risk!G618</f>
        <v>Severe risk: customer credit risk assessment with credit checks, limits and payment terms control before contracting is not reliably controlled. During Financial/liquidity crisis; Key customer loss, the organization may face revenue converted into bad debt, cash gaps from defaulting customers and unpriced credit exposure with limited visibility or accountability.</v>
      </c>
      <c r="H120" s="177" t="str">
        <f>_ENGINE_Risk!BT618</f>
        <v>CAP_PAYMENT_CONTINUITY</v>
      </c>
      <c r="I120" s="177" t="str">
        <f>_ENGINE_Risk!BV618</f>
        <v>BRG-033</v>
      </c>
      <c r="J120" s="177" t="str">
        <f>_ENGINE_Risk!CE618</f>
        <v>IW-ALL-PAYMENT_CONTINUITY</v>
      </c>
      <c r="K120" s="177" t="str">
        <f>_ENGINE_Risk!BY618</f>
        <v>TRT-PAYMENT_CONTINUITY-INITIAL</v>
      </c>
      <c r="L120" s="177" t="str">
        <f>_ENGINE_Risk!CP618</f>
        <v>Active</v>
      </c>
      <c r="M120" s="177" t="str">
        <f>_ENGINE_Risk!CQ618</f>
        <v>OK: capability-driven</v>
      </c>
      <c r="N120" s="177" t="str">
        <f>_ENGINE_Risk!CS618</f>
        <v>Yes</v>
      </c>
      <c r="O120" s="177" t="str">
        <f>_ENGINE_Risk!CO618</f>
        <v>Finance Procurement|Working capital|FINA-027|CAP_PAYMENT_CONTINUITY</v>
      </c>
      <c r="P120" s="177" t="str">
        <f>_ENGINE_Risk!CR618</f>
        <v>Risk ontology uses capability=CAP_PAYMENT_CONTINUITY; bridge=BRG-033; treatment=TRT-PAYMENT_CONTINUITY-INITIAL; wording=IW-ALL-PAYMENT_CONTINUITY</v>
      </c>
    </row>
    <row r="121" spans="1:16" ht="99" customHeight="1">
      <c r="A121" s="177" t="str">
        <f>_ENGINE_Risk!CM619</f>
        <v>RISK-ONT-0120</v>
      </c>
      <c r="B121" s="177">
        <f>ROW(_ENGINE_Risk!A619)</f>
        <v>619</v>
      </c>
      <c r="C121" s="177" t="str">
        <f>_ENGINE_Risk!E619</f>
        <v>LEGA-001</v>
      </c>
      <c r="D121" s="177" t="str">
        <f>_ENGINE_Risk!C619</f>
        <v>Legal Risk</v>
      </c>
      <c r="E121" s="177" t="str">
        <f>_ENGINE_Risk!D619</f>
        <v>Compliance</v>
      </c>
      <c r="F121" s="177" t="str">
        <f>_ENGINE_Risk!F619</f>
        <v>Legal, compliance and contractual exposure</v>
      </c>
      <c r="G121" s="177" t="str">
        <f>_ENGINE_Risk!G619</f>
        <v>Severe risk: compliance obligations register by jurisdiction, license, customer, industry and function is not reliably controlled. During Regulatory/legal shock; Contractual exposure; Data breach, the organization may face contractual disputes, compliance breaches, regulatory penalties and delayed legal response with limited visibility or accountability.</v>
      </c>
      <c r="H121" s="177" t="str">
        <f>_ENGINE_Risk!BT619</f>
        <v>CAP_PAYMENT_CONTINUITY</v>
      </c>
      <c r="I121" s="177" t="str">
        <f>_ENGINE_Risk!BV619</f>
        <v>BRG-050</v>
      </c>
      <c r="J121" s="177" t="str">
        <f>_ENGINE_Risk!CE619</f>
        <v>IW-ALL-PAYMENT_CONTINUITY</v>
      </c>
      <c r="K121" s="177" t="str">
        <f>_ENGINE_Risk!BY619</f>
        <v>TRT-PAYMENT_CONTINUITY-INITIAL</v>
      </c>
      <c r="L121" s="177" t="str">
        <f>_ENGINE_Risk!CP619</f>
        <v>Active</v>
      </c>
      <c r="M121" s="177" t="str">
        <f>_ENGINE_Risk!CQ619</f>
        <v>OK: capability-driven</v>
      </c>
      <c r="N121" s="177" t="str">
        <f>_ENGINE_Risk!CS619</f>
        <v>Yes</v>
      </c>
      <c r="O121" s="177" t="str">
        <f>_ENGINE_Risk!CO619</f>
        <v>Legal Risk|Compliance|LEGA-001|CAP_PAYMENT_CONTINUITY</v>
      </c>
      <c r="P121" s="177" t="str">
        <f>_ENGINE_Risk!CR619</f>
        <v>Risk ontology uses capability=CAP_PAYMENT_CONTINUITY; bridge=BRG-050; treatment=TRT-PAYMENT_CONTINUITY-INITIAL; wording=IW-ALL-PAYMENT_CONTINUITY</v>
      </c>
    </row>
    <row r="122" spans="1:16" ht="99" customHeight="1">
      <c r="A122" s="177" t="str">
        <f>_ENGINE_Risk!CM620</f>
        <v>RISK-ONT-0121</v>
      </c>
      <c r="B122" s="177">
        <f>ROW(_ENGINE_Risk!A620)</f>
        <v>620</v>
      </c>
      <c r="C122" s="177" t="str">
        <f>_ENGINE_Risk!E620</f>
        <v>LEGA-002</v>
      </c>
      <c r="D122" s="177" t="str">
        <f>_ENGINE_Risk!C620</f>
        <v>Legal Risk</v>
      </c>
      <c r="E122" s="177" t="str">
        <f>_ENGINE_Risk!D620</f>
        <v>Compliance</v>
      </c>
      <c r="F122" s="177" t="str">
        <f>_ENGINE_Risk!F620</f>
        <v>Legal, compliance and contractual exposure</v>
      </c>
      <c r="G122" s="177" t="str">
        <f>_ENGINE_Risk!G620</f>
        <v>Severe risk: regulatory reporting calendar and emergency reporting triggers for cyber, safety, finance, environment and privacy is not reliably controlled. During Regulatory/legal shock; Contractual exposure; Data breach, the organization may face contractual disputes, compliance breaches, regulatory penalties and delayed legal response with limited visibility or accountability.</v>
      </c>
      <c r="H122" s="177" t="str">
        <f>_ENGINE_Risk!BT620</f>
        <v>CAP_PAYMENT_CONTINUITY</v>
      </c>
      <c r="I122" s="177" t="str">
        <f>_ENGINE_Risk!BV620</f>
        <v>BRG-050</v>
      </c>
      <c r="J122" s="177" t="str">
        <f>_ENGINE_Risk!CE620</f>
        <v>IW-ALL-PAYMENT_CONTINUITY</v>
      </c>
      <c r="K122" s="177" t="str">
        <f>_ENGINE_Risk!BY620</f>
        <v>TRT-PAYMENT_CONTINUITY-INITIAL</v>
      </c>
      <c r="L122" s="177" t="str">
        <f>_ENGINE_Risk!CP620</f>
        <v>Active</v>
      </c>
      <c r="M122" s="177" t="str">
        <f>_ENGINE_Risk!CQ620</f>
        <v>OK: capability-driven</v>
      </c>
      <c r="N122" s="177" t="str">
        <f>_ENGINE_Risk!CS620</f>
        <v>Yes</v>
      </c>
      <c r="O122" s="177" t="str">
        <f>_ENGINE_Risk!CO620</f>
        <v>Legal Risk|Compliance|LEGA-002|CAP_PAYMENT_CONTINUITY</v>
      </c>
      <c r="P122" s="177" t="str">
        <f>_ENGINE_Risk!CR620</f>
        <v>Risk ontology uses capability=CAP_PAYMENT_CONTINUITY; bridge=BRG-050; treatment=TRT-PAYMENT_CONTINUITY-INITIAL; wording=IW-ALL-PAYMENT_CONTINUITY</v>
      </c>
    </row>
    <row r="123" spans="1:16" ht="99" customHeight="1">
      <c r="A123" s="177" t="str">
        <f>_ENGINE_Risk!CM621</f>
        <v>RISK-ONT-0122</v>
      </c>
      <c r="B123" s="177">
        <f>ROW(_ENGINE_Risk!A621)</f>
        <v>621</v>
      </c>
      <c r="C123" s="177" t="str">
        <f>_ENGINE_Risk!E621</f>
        <v>LEGA-003</v>
      </c>
      <c r="D123" s="177" t="str">
        <f>_ENGINE_Risk!C621</f>
        <v>Legal Risk</v>
      </c>
      <c r="E123" s="177" t="str">
        <f>_ENGINE_Risk!D621</f>
        <v>Compliance</v>
      </c>
      <c r="F123" s="177" t="str">
        <f>_ENGINE_Risk!F621</f>
        <v>Legal, compliance and contractual exposure</v>
      </c>
      <c r="G123" s="177" t="str">
        <f>_ENGINE_Risk!G621</f>
        <v>Severe risk: sanctions and restricted-party screening for customers, suppliers, owners and payments is not reliably controlled. During Regulatory/legal shock; Contractual exposure; Data breach, the organization may face contractual disputes, compliance breaches, regulatory penalties and delayed legal response with limited visibility or accountability.</v>
      </c>
      <c r="H123" s="177" t="str">
        <f>_ENGINE_Risk!BT621</f>
        <v>CAP_PAYMENT_CONTINUITY</v>
      </c>
      <c r="I123" s="177" t="str">
        <f>_ENGINE_Risk!BV621</f>
        <v>BRG-050</v>
      </c>
      <c r="J123" s="177" t="str">
        <f>_ENGINE_Risk!CE621</f>
        <v>IW-ALL-PAYMENT_CONTINUITY</v>
      </c>
      <c r="K123" s="177" t="str">
        <f>_ENGINE_Risk!BY621</f>
        <v>TRT-PAYMENT_CONTINUITY-INITIAL</v>
      </c>
      <c r="L123" s="177" t="str">
        <f>_ENGINE_Risk!CP621</f>
        <v>Active</v>
      </c>
      <c r="M123" s="177" t="str">
        <f>_ENGINE_Risk!CQ621</f>
        <v>OK: capability-driven</v>
      </c>
      <c r="N123" s="177" t="str">
        <f>_ENGINE_Risk!CS621</f>
        <v>Yes</v>
      </c>
      <c r="O123" s="177" t="str">
        <f>_ENGINE_Risk!CO621</f>
        <v>Legal Risk|Compliance|LEGA-003|CAP_PAYMENT_CONTINUITY</v>
      </c>
      <c r="P123" s="177" t="str">
        <f>_ENGINE_Risk!CR621</f>
        <v>Risk ontology uses capability=CAP_PAYMENT_CONTINUITY; bridge=BRG-050; treatment=TRT-PAYMENT_CONTINUITY-INITIAL; wording=IW-ALL-PAYMENT_CONTINUITY</v>
      </c>
    </row>
    <row r="124" spans="1:16" ht="99" customHeight="1">
      <c r="A124" s="177" t="str">
        <f>_ENGINE_Risk!CM622</f>
        <v>RISK-ONT-0123</v>
      </c>
      <c r="B124" s="177">
        <f>ROW(_ENGINE_Risk!A622)</f>
        <v>622</v>
      </c>
      <c r="C124" s="177" t="str">
        <f>_ENGINE_Risk!E622</f>
        <v>LEGA-004</v>
      </c>
      <c r="D124" s="177" t="str">
        <f>_ENGINE_Risk!C622</f>
        <v>Legal Risk</v>
      </c>
      <c r="E124" s="177" t="str">
        <f>_ENGINE_Risk!D622</f>
        <v>Compliance</v>
      </c>
      <c r="F124" s="177" t="str">
        <f>_ENGINE_Risk!F622</f>
        <v>Legal, compliance and contractual exposure</v>
      </c>
      <c r="G124" s="177" t="str">
        <f>_ENGINE_Risk!G622</f>
        <v>Severe risk: anti-bribery and corruption controls during emergency procurement and high-pressure sales is not reliably controlled. During Regulatory/legal shock; Contractual exposure; Data breach, the organization may face contractual disputes, compliance breaches, regulatory penalties and delayed legal response with limited visibility or accountability.</v>
      </c>
      <c r="H124" s="177" t="str">
        <f>_ENGINE_Risk!BT622</f>
        <v>CAP_PAYMENT_CONTINUITY</v>
      </c>
      <c r="I124" s="177" t="str">
        <f>_ENGINE_Risk!BV622</f>
        <v>BRG-050</v>
      </c>
      <c r="J124" s="177" t="str">
        <f>_ENGINE_Risk!CE622</f>
        <v>IW-ALL-PAYMENT_CONTINUITY</v>
      </c>
      <c r="K124" s="177" t="str">
        <f>_ENGINE_Risk!BY622</f>
        <v>TRT-PAYMENT_CONTINUITY-INITIAL</v>
      </c>
      <c r="L124" s="177" t="str">
        <f>_ENGINE_Risk!CP622</f>
        <v>Active</v>
      </c>
      <c r="M124" s="177" t="str">
        <f>_ENGINE_Risk!CQ622</f>
        <v>OK: capability-driven</v>
      </c>
      <c r="N124" s="177" t="str">
        <f>_ENGINE_Risk!CS622</f>
        <v>Yes</v>
      </c>
      <c r="O124" s="177" t="str">
        <f>_ENGINE_Risk!CO622</f>
        <v>Legal Risk|Compliance|LEGA-004|CAP_PAYMENT_CONTINUITY</v>
      </c>
      <c r="P124" s="177" t="str">
        <f>_ENGINE_Risk!CR622</f>
        <v>Risk ontology uses capability=CAP_PAYMENT_CONTINUITY; bridge=BRG-050; treatment=TRT-PAYMENT_CONTINUITY-INITIAL; wording=IW-ALL-PAYMENT_CONTINUITY</v>
      </c>
    </row>
    <row r="125" spans="1:16" ht="99" customHeight="1">
      <c r="A125" s="177" t="str">
        <f>_ENGINE_Risk!CM623</f>
        <v>RISK-ONT-0124</v>
      </c>
      <c r="B125" s="177">
        <f>ROW(_ENGINE_Risk!A623)</f>
        <v>623</v>
      </c>
      <c r="C125" s="177" t="str">
        <f>_ENGINE_Risk!E623</f>
        <v>LEGA-005</v>
      </c>
      <c r="D125" s="177" t="str">
        <f>_ENGINE_Risk!C623</f>
        <v>Legal Risk</v>
      </c>
      <c r="E125" s="177" t="str">
        <f>_ENGINE_Risk!D623</f>
        <v>Compliance</v>
      </c>
      <c r="F125" s="177" t="str">
        <f>_ENGINE_Risk!F623</f>
        <v>Legal, compliance and contractual exposure</v>
      </c>
      <c r="G125" s="177" t="str">
        <f>_ENGINE_Risk!G623</f>
        <v>Severe risk: whistleblowing and misconduct reporting mechanism with investigation process is not reliably controlled. During Regulatory/legal shock; Contractual exposure; Data breach, the organization may face contractual disputes, compliance breaches, regulatory penalties and delayed legal response with limited visibility or accountability.</v>
      </c>
      <c r="H125" s="177" t="str">
        <f>_ENGINE_Risk!BT623</f>
        <v>CAP_PAYMENT_CONTINUITY</v>
      </c>
      <c r="I125" s="177" t="str">
        <f>_ENGINE_Risk!BV623</f>
        <v>BRG-050</v>
      </c>
      <c r="J125" s="177" t="str">
        <f>_ENGINE_Risk!CE623</f>
        <v>IW-ALL-PAYMENT_CONTINUITY</v>
      </c>
      <c r="K125" s="177" t="str">
        <f>_ENGINE_Risk!BY623</f>
        <v>TRT-PAYMENT_CONTINUITY-INITIAL</v>
      </c>
      <c r="L125" s="177" t="str">
        <f>_ENGINE_Risk!CP623</f>
        <v>Active</v>
      </c>
      <c r="M125" s="177" t="str">
        <f>_ENGINE_Risk!CQ623</f>
        <v>OK: capability-driven</v>
      </c>
      <c r="N125" s="177" t="str">
        <f>_ENGINE_Risk!CS623</f>
        <v>Yes</v>
      </c>
      <c r="O125" s="177" t="str">
        <f>_ENGINE_Risk!CO623</f>
        <v>Legal Risk|Compliance|LEGA-005|CAP_PAYMENT_CONTINUITY</v>
      </c>
      <c r="P125" s="177" t="str">
        <f>_ENGINE_Risk!CR623</f>
        <v>Risk ontology uses capability=CAP_PAYMENT_CONTINUITY; bridge=BRG-050; treatment=TRT-PAYMENT_CONTINUITY-INITIAL; wording=IW-ALL-PAYMENT_CONTINUITY</v>
      </c>
    </row>
    <row r="126" spans="1:16" ht="84.9" customHeight="1">
      <c r="A126" s="177" t="str">
        <f>_ENGINE_Risk!CM624</f>
        <v>RISK-ONT-0125</v>
      </c>
      <c r="B126" s="177">
        <f>ROW(_ENGINE_Risk!A624)</f>
        <v>624</v>
      </c>
      <c r="C126" s="177" t="str">
        <f>_ENGINE_Risk!E624</f>
        <v>LEGA-006</v>
      </c>
      <c r="D126" s="177" t="str">
        <f>_ENGINE_Risk!C624</f>
        <v>Legal Risk</v>
      </c>
      <c r="E126" s="177" t="str">
        <f>_ENGINE_Risk!D624</f>
        <v>Compliance</v>
      </c>
      <c r="F126" s="177" t="str">
        <f>_ENGINE_Risk!F624</f>
        <v>Legal, compliance and contractual exposure</v>
      </c>
      <c r="G126" s="177" t="str">
        <f>_ENGINE_Risk!G624</f>
        <v>Severe risk: legal support continuity if internal or external counsel is unavailable is not reliably controlled. During Regulatory/legal shock; Contractual exposure; Data breach, the organization may face contractual disputes, compliance breaches, regulatory penalties and delayed legal response with limited visibility or accountability.</v>
      </c>
      <c r="H126" s="177" t="str">
        <f>_ENGINE_Risk!BT624</f>
        <v>CAP_PAYMENT_CONTINUITY</v>
      </c>
      <c r="I126" s="177" t="str">
        <f>_ENGINE_Risk!BV624</f>
        <v>BRG-050</v>
      </c>
      <c r="J126" s="177" t="str">
        <f>_ENGINE_Risk!CE624</f>
        <v>IW-ALL-PAYMENT_CONTINUITY</v>
      </c>
      <c r="K126" s="177" t="str">
        <f>_ENGINE_Risk!BY624</f>
        <v>TRT-PAYMENT_CONTINUITY-INITIAL</v>
      </c>
      <c r="L126" s="177" t="str">
        <f>_ENGINE_Risk!CP624</f>
        <v>Active</v>
      </c>
      <c r="M126" s="177" t="str">
        <f>_ENGINE_Risk!CQ624</f>
        <v>OK: capability-driven</v>
      </c>
      <c r="N126" s="177" t="str">
        <f>_ENGINE_Risk!CS624</f>
        <v>Yes</v>
      </c>
      <c r="O126" s="177" t="str">
        <f>_ENGINE_Risk!CO624</f>
        <v>Legal Risk|Compliance|LEGA-006|CAP_PAYMENT_CONTINUITY</v>
      </c>
      <c r="P126" s="177" t="str">
        <f>_ENGINE_Risk!CR624</f>
        <v>Risk ontology uses capability=CAP_PAYMENT_CONTINUITY; bridge=BRG-050; treatment=TRT-PAYMENT_CONTINUITY-INITIAL; wording=IW-ALL-PAYMENT_CONTINUITY</v>
      </c>
    </row>
    <row r="127" spans="1:16" ht="99" customHeight="1">
      <c r="A127" s="177" t="str">
        <f>_ENGINE_Risk!CM625</f>
        <v>RISK-ONT-0126</v>
      </c>
      <c r="B127" s="177">
        <f>ROW(_ENGINE_Risk!A625)</f>
        <v>625</v>
      </c>
      <c r="C127" s="177" t="str">
        <f>_ENGINE_Risk!E625</f>
        <v>LEGA-007</v>
      </c>
      <c r="D127" s="177" t="str">
        <f>_ENGINE_Risk!C625</f>
        <v>Legal Risk</v>
      </c>
      <c r="E127" s="177" t="str">
        <f>_ENGINE_Risk!D625</f>
        <v>Contracts</v>
      </c>
      <c r="F127" s="177" t="str">
        <f>_ENGINE_Risk!F625</f>
        <v>Legal, compliance and contractual exposure</v>
      </c>
      <c r="G127" s="177" t="str">
        <f>_ENGINE_Risk!G625</f>
        <v>Severe risk: complete contract register for customers, suppliers, leases, loans, employment, insurance and IP is not reliably controlled. During Regulatory/legal shock; Contractual exposure; Data breach, the organization may face contractual disputes, compliance breaches, regulatory penalties and delayed legal response with limited visibility or accountability.</v>
      </c>
      <c r="H127" s="177" t="str">
        <f>_ENGINE_Risk!BT625</f>
        <v>CAP_REGULATORY_CONTINUITY</v>
      </c>
      <c r="I127" s="177" t="str">
        <f>_ENGINE_Risk!BV625</f>
        <v>BRG-051</v>
      </c>
      <c r="J127" s="177" t="str">
        <f>_ENGINE_Risk!CE625</f>
        <v>IW-ALL-REGULATORY_CONTINUITY</v>
      </c>
      <c r="K127" s="177" t="str">
        <f>_ENGINE_Risk!BY625</f>
        <v>TRT-REGULATORY_CONTINUITY-INITIAL</v>
      </c>
      <c r="L127" s="177" t="str">
        <f>_ENGINE_Risk!CP625</f>
        <v>Active</v>
      </c>
      <c r="M127" s="177" t="str">
        <f>_ENGINE_Risk!CQ625</f>
        <v>OK: capability-driven</v>
      </c>
      <c r="N127" s="177" t="str">
        <f>_ENGINE_Risk!CS625</f>
        <v>Yes</v>
      </c>
      <c r="O127" s="177" t="str">
        <f>_ENGINE_Risk!CO625</f>
        <v>Legal Risk|Contracts|LEGA-007|CAP_REGULATORY_CONTINUITY</v>
      </c>
      <c r="P127" s="177" t="str">
        <f>_ENGINE_Risk!CR625</f>
        <v>Risk ontology uses capability=CAP_REGULATORY_CONTINUITY; bridge=BRG-051; treatment=TRT-REGULATORY_CONTINUITY-INITIAL; wording=IW-ALL-REGULATORY_CONTINUITY</v>
      </c>
    </row>
    <row r="128" spans="1:16" ht="99" customHeight="1">
      <c r="A128" s="177" t="str">
        <f>_ENGINE_Risk!CM626</f>
        <v>RISK-ONT-0127</v>
      </c>
      <c r="B128" s="177">
        <f>ROW(_ENGINE_Risk!A626)</f>
        <v>626</v>
      </c>
      <c r="C128" s="177" t="str">
        <f>_ENGINE_Risk!E626</f>
        <v>LEGA-008</v>
      </c>
      <c r="D128" s="177" t="str">
        <f>_ENGINE_Risk!C626</f>
        <v>Legal Risk</v>
      </c>
      <c r="E128" s="177" t="str">
        <f>_ENGINE_Risk!D626</f>
        <v>Contracts</v>
      </c>
      <c r="F128" s="177" t="str">
        <f>_ENGINE_Risk!F626</f>
        <v>Legal, compliance and contractual exposure</v>
      </c>
      <c r="G128" s="177" t="str">
        <f>_ENGINE_Risk!G626</f>
        <v>Severe risk: analysis of force majeure, hardship, termination, liability and continuity clauses in critical contracts is not reliably controlled. During Regulatory/legal shock; Contractual exposure; Data breach, the organization may face contractual disputes, compliance breaches, regulatory penalties and delayed legal response with limited visibility or accountability.</v>
      </c>
      <c r="H128" s="177" t="str">
        <f>_ENGINE_Risk!BT626</f>
        <v>CAP_REGULATORY_CONTINUITY</v>
      </c>
      <c r="I128" s="177" t="str">
        <f>_ENGINE_Risk!BV626</f>
        <v>BRG-051</v>
      </c>
      <c r="J128" s="177" t="str">
        <f>_ENGINE_Risk!CE626</f>
        <v>IW-ALL-REGULATORY_CONTINUITY</v>
      </c>
      <c r="K128" s="177" t="str">
        <f>_ENGINE_Risk!BY626</f>
        <v>TRT-REGULATORY_CONTINUITY-INITIAL</v>
      </c>
      <c r="L128" s="177" t="str">
        <f>_ENGINE_Risk!CP626</f>
        <v>Active</v>
      </c>
      <c r="M128" s="177" t="str">
        <f>_ENGINE_Risk!CQ626</f>
        <v>OK: capability-driven</v>
      </c>
      <c r="N128" s="177" t="str">
        <f>_ENGINE_Risk!CS626</f>
        <v>Yes</v>
      </c>
      <c r="O128" s="177" t="str">
        <f>_ENGINE_Risk!CO626</f>
        <v>Legal Risk|Contracts|LEGA-008|CAP_REGULATORY_CONTINUITY</v>
      </c>
      <c r="P128" s="177" t="str">
        <f>_ENGINE_Risk!CR626</f>
        <v>Risk ontology uses capability=CAP_REGULATORY_CONTINUITY; bridge=BRG-051; treatment=TRT-REGULATORY_CONTINUITY-INITIAL; wording=IW-ALL-REGULATORY_CONTINUITY</v>
      </c>
    </row>
    <row r="129" spans="1:16" ht="99" customHeight="1">
      <c r="A129" s="177" t="str">
        <f>_ENGINE_Risk!CM627</f>
        <v>RISK-ONT-0128</v>
      </c>
      <c r="B129" s="177">
        <f>ROW(_ENGINE_Risk!A627)</f>
        <v>627</v>
      </c>
      <c r="C129" s="177" t="str">
        <f>_ENGINE_Risk!E627</f>
        <v>LEGA-009</v>
      </c>
      <c r="D129" s="177" t="str">
        <f>_ENGINE_Risk!C627</f>
        <v>Legal Risk</v>
      </c>
      <c r="E129" s="177" t="str">
        <f>_ENGINE_Risk!D627</f>
        <v>Contracts</v>
      </c>
      <c r="F129" s="177" t="str">
        <f>_ENGINE_Risk!F627</f>
        <v>Legal, compliance and contractual exposure</v>
      </c>
      <c r="G129" s="177" t="str">
        <f>_ENGINE_Risk!G627</f>
        <v>Severe risk: customer SLA obligations, penalties, notification timelines and service credits during disruption is not reliably controlled. During Regulatory/legal shock; Contractual exposure; Data breach, the organization may face contractual disputes, compliance breaches, regulatory penalties and delayed legal response with limited visibility or accountability.</v>
      </c>
      <c r="H129" s="177" t="str">
        <f>_ENGINE_Risk!BT627</f>
        <v>CAP_REGULATORY_CONTINUITY</v>
      </c>
      <c r="I129" s="177" t="str">
        <f>_ENGINE_Risk!BV627</f>
        <v>BRG-051</v>
      </c>
      <c r="J129" s="177" t="str">
        <f>_ENGINE_Risk!CE627</f>
        <v>IW-ALL-REGULATORY_CONTINUITY</v>
      </c>
      <c r="K129" s="177" t="str">
        <f>_ENGINE_Risk!BY627</f>
        <v>TRT-REGULATORY_CONTINUITY-INITIAL</v>
      </c>
      <c r="L129" s="177" t="str">
        <f>_ENGINE_Risk!CP627</f>
        <v>Active</v>
      </c>
      <c r="M129" s="177" t="str">
        <f>_ENGINE_Risk!CQ627</f>
        <v>OK: capability-driven</v>
      </c>
      <c r="N129" s="177" t="str">
        <f>_ENGINE_Risk!CS627</f>
        <v>Yes</v>
      </c>
      <c r="O129" s="177" t="str">
        <f>_ENGINE_Risk!CO627</f>
        <v>Legal Risk|Contracts|LEGA-009|CAP_REGULATORY_CONTINUITY</v>
      </c>
      <c r="P129" s="177" t="str">
        <f>_ENGINE_Risk!CR627</f>
        <v>Risk ontology uses capability=CAP_REGULATORY_CONTINUITY; bridge=BRG-051; treatment=TRT-REGULATORY_CONTINUITY-INITIAL; wording=IW-ALL-REGULATORY_CONTINUITY</v>
      </c>
    </row>
    <row r="130" spans="1:16" ht="99" customHeight="1">
      <c r="A130" s="177" t="str">
        <f>_ENGINE_Risk!CM628</f>
        <v>RISK-ONT-0129</v>
      </c>
      <c r="B130" s="177">
        <f>ROW(_ENGINE_Risk!A628)</f>
        <v>628</v>
      </c>
      <c r="C130" s="177" t="str">
        <f>_ENGINE_Risk!E628</f>
        <v>LEGA-010</v>
      </c>
      <c r="D130" s="177" t="str">
        <f>_ENGINE_Risk!C628</f>
        <v>Legal Risk</v>
      </c>
      <c r="E130" s="177" t="str">
        <f>_ENGINE_Risk!D628</f>
        <v>Contracts</v>
      </c>
      <c r="F130" s="177" t="str">
        <f>_ENGINE_Risk!F628</f>
        <v>Legal, compliance and contractual exposure</v>
      </c>
      <c r="G130" s="177" t="str">
        <f>_ENGINE_Risk!G628</f>
        <v>Severe risk: supplier continuity, security, audit, subcontractor and incident notification clauses is not reliably controlled. During Regulatory/legal shock; Contractual exposure; Data breach, the organization may face contractual disputes, compliance breaches, regulatory penalties and delayed legal response with limited visibility or accountability.</v>
      </c>
      <c r="H130" s="177" t="str">
        <f>_ENGINE_Risk!BT628</f>
        <v>CAP_REGULATORY_CONTINUITY</v>
      </c>
      <c r="I130" s="177" t="str">
        <f>_ENGINE_Risk!BV628</f>
        <v>BRG-051</v>
      </c>
      <c r="J130" s="177" t="str">
        <f>_ENGINE_Risk!CE628</f>
        <v>IW-ALL-REGULATORY_CONTINUITY</v>
      </c>
      <c r="K130" s="177" t="str">
        <f>_ENGINE_Risk!BY628</f>
        <v>TRT-REGULATORY_CONTINUITY-INITIAL</v>
      </c>
      <c r="L130" s="177" t="str">
        <f>_ENGINE_Risk!CP628</f>
        <v>Active</v>
      </c>
      <c r="M130" s="177" t="str">
        <f>_ENGINE_Risk!CQ628</f>
        <v>OK: capability-driven</v>
      </c>
      <c r="N130" s="177" t="str">
        <f>_ENGINE_Risk!CS628</f>
        <v>Yes</v>
      </c>
      <c r="O130" s="177" t="str">
        <f>_ENGINE_Risk!CO628</f>
        <v>Legal Risk|Contracts|LEGA-010|CAP_REGULATORY_CONTINUITY</v>
      </c>
      <c r="P130" s="177" t="str">
        <f>_ENGINE_Risk!CR628</f>
        <v>Risk ontology uses capability=CAP_REGULATORY_CONTINUITY; bridge=BRG-051; treatment=TRT-REGULATORY_CONTINUITY-INITIAL; wording=IW-ALL-REGULATORY_CONTINUITY</v>
      </c>
    </row>
    <row r="131" spans="1:16" ht="99" customHeight="1">
      <c r="A131" s="177" t="str">
        <f>_ENGINE_Risk!CM629</f>
        <v>RISK-ONT-0130</v>
      </c>
      <c r="B131" s="177">
        <f>ROW(_ENGINE_Risk!A629)</f>
        <v>629</v>
      </c>
      <c r="C131" s="177" t="str">
        <f>_ENGINE_Risk!E629</f>
        <v>LEGA-011</v>
      </c>
      <c r="D131" s="177" t="str">
        <f>_ENGINE_Risk!C629</f>
        <v>Legal Risk</v>
      </c>
      <c r="E131" s="177" t="str">
        <f>_ENGINE_Risk!D629</f>
        <v>Contracts</v>
      </c>
      <c r="F131" s="177" t="str">
        <f>_ENGINE_Risk!F629</f>
        <v>Legal, compliance and contractual exposure</v>
      </c>
      <c r="G131" s="177" t="str">
        <f>_ENGINE_Risk!G629</f>
        <v>Severe risk: signatory continuity with powers of attorney, board approvals and emergency delegation is not reliably controlled. During Regulatory/legal shock; Contractual exposure; Data breach, the organization may face contractual disputes, compliance breaches, regulatory penalties and delayed legal response with limited visibility or accountability.</v>
      </c>
      <c r="H131" s="177" t="str">
        <f>_ENGINE_Risk!BT629</f>
        <v>CAP_REGULATORY_CONTINUITY</v>
      </c>
      <c r="I131" s="177" t="str">
        <f>_ENGINE_Risk!BV629</f>
        <v>BRG-051</v>
      </c>
      <c r="J131" s="177" t="str">
        <f>_ENGINE_Risk!CE629</f>
        <v>IW-ALL-REGULATORY_CONTINUITY</v>
      </c>
      <c r="K131" s="177" t="str">
        <f>_ENGINE_Risk!BY629</f>
        <v>TRT-REGULATORY_CONTINUITY-INITIAL</v>
      </c>
      <c r="L131" s="177" t="str">
        <f>_ENGINE_Risk!CP629</f>
        <v>Active</v>
      </c>
      <c r="M131" s="177" t="str">
        <f>_ENGINE_Risk!CQ629</f>
        <v>OK: capability-driven</v>
      </c>
      <c r="N131" s="177" t="str">
        <f>_ENGINE_Risk!CS629</f>
        <v>Yes</v>
      </c>
      <c r="O131" s="177" t="str">
        <f>_ENGINE_Risk!CO629</f>
        <v>Legal Risk|Contracts|LEGA-011|CAP_REGULATORY_CONTINUITY</v>
      </c>
      <c r="P131" s="177" t="str">
        <f>_ENGINE_Risk!CR629</f>
        <v>Risk ontology uses capability=CAP_REGULATORY_CONTINUITY; bridge=BRG-051; treatment=TRT-REGULATORY_CONTINUITY-INITIAL; wording=IW-ALL-REGULATORY_CONTINUITY</v>
      </c>
    </row>
    <row r="132" spans="1:16" ht="84.9" customHeight="1">
      <c r="A132" s="177" t="str">
        <f>_ENGINE_Risk!CM630</f>
        <v>RISK-ONT-0131</v>
      </c>
      <c r="B132" s="177">
        <f>ROW(_ENGINE_Risk!A630)</f>
        <v>630</v>
      </c>
      <c r="C132" s="177" t="str">
        <f>_ENGINE_Risk!E630</f>
        <v>LEGA-012</v>
      </c>
      <c r="D132" s="177" t="str">
        <f>_ENGINE_Risk!C630</f>
        <v>Legal Risk</v>
      </c>
      <c r="E132" s="177" t="str">
        <f>_ENGINE_Risk!D630</f>
        <v>Contracts</v>
      </c>
      <c r="F132" s="177" t="str">
        <f>_ENGINE_Risk!F630</f>
        <v>Legal, compliance and contractual exposure</v>
      </c>
      <c r="G132" s="177" t="str">
        <f>_ENGINE_Risk!G630</f>
        <v>Severe risk: insurance claims process linked to incident evidence collection is not reliably controlled. During Regulatory/legal shock; Contractual exposure; Data breach, the organization may face contractual disputes, compliance breaches, regulatory penalties and delayed legal response with limited visibility or accountability.</v>
      </c>
      <c r="H132" s="177" t="str">
        <f>_ENGINE_Risk!BT630</f>
        <v>CAP_REGULATORY_CONTINUITY</v>
      </c>
      <c r="I132" s="177" t="str">
        <f>_ENGINE_Risk!BV630</f>
        <v>BRG-051</v>
      </c>
      <c r="J132" s="177" t="str">
        <f>_ENGINE_Risk!CE630</f>
        <v>IW-ALL-REGULATORY_CONTINUITY</v>
      </c>
      <c r="K132" s="177" t="str">
        <f>_ENGINE_Risk!BY630</f>
        <v>TRT-REGULATORY_CONTINUITY-INITIAL</v>
      </c>
      <c r="L132" s="177" t="str">
        <f>_ENGINE_Risk!CP630</f>
        <v>Active</v>
      </c>
      <c r="M132" s="177" t="str">
        <f>_ENGINE_Risk!CQ630</f>
        <v>OK: capability-driven</v>
      </c>
      <c r="N132" s="177" t="str">
        <f>_ENGINE_Risk!CS630</f>
        <v>Yes</v>
      </c>
      <c r="O132" s="177" t="str">
        <f>_ENGINE_Risk!CO630</f>
        <v>Legal Risk|Contracts|LEGA-012|CAP_REGULATORY_CONTINUITY</v>
      </c>
      <c r="P132" s="177" t="str">
        <f>_ENGINE_Risk!CR630</f>
        <v>Risk ontology uses capability=CAP_REGULATORY_CONTINUITY; bridge=BRG-051; treatment=TRT-REGULATORY_CONTINUITY-INITIAL; wording=IW-ALL-REGULATORY_CONTINUITY</v>
      </c>
    </row>
    <row r="133" spans="1:16" ht="99" customHeight="1">
      <c r="A133" s="177" t="str">
        <f>_ENGINE_Risk!CM631</f>
        <v>RISK-ONT-0132</v>
      </c>
      <c r="B133" s="177">
        <f>ROW(_ENGINE_Risk!A631)</f>
        <v>631</v>
      </c>
      <c r="C133" s="177" t="str">
        <f>_ENGINE_Risk!E631</f>
        <v>LEGA-013</v>
      </c>
      <c r="D133" s="177" t="str">
        <f>_ENGINE_Risk!C631</f>
        <v>Legal Risk</v>
      </c>
      <c r="E133" s="177" t="str">
        <f>_ENGINE_Risk!D631</f>
        <v>Data and IP</v>
      </c>
      <c r="F133" s="177" t="str">
        <f>_ENGINE_Risk!F631</f>
        <v>Legal, compliance and contractual exposure</v>
      </c>
      <c r="G133" s="177" t="str">
        <f>_ENGINE_Risk!G631</f>
        <v>Severe risk: personal data processing map by system, purpose, location, processor and transfer mechanism is not reliably controlled. During Regulatory/legal shock; Contractual exposure; Data breach, the organization may face contractual disputes, compliance breaches, regulatory penalties and delayed legal response with limited visibility or accountability.</v>
      </c>
      <c r="H133" s="177" t="str">
        <f>_ENGINE_Risk!BT631</f>
        <v>CAP_REGULATORY_CONTINUITY</v>
      </c>
      <c r="I133" s="177" t="str">
        <f>_ENGINE_Risk!BV631</f>
        <v>BRG-052</v>
      </c>
      <c r="J133" s="177" t="str">
        <f>_ENGINE_Risk!CE631</f>
        <v>IW-ALL-REGULATORY_CONTINUITY</v>
      </c>
      <c r="K133" s="177" t="str">
        <f>_ENGINE_Risk!BY631</f>
        <v>TRT-REGULATORY_CONTINUITY-INITIAL</v>
      </c>
      <c r="L133" s="177" t="str">
        <f>_ENGINE_Risk!CP631</f>
        <v>Active</v>
      </c>
      <c r="M133" s="177" t="str">
        <f>_ENGINE_Risk!CQ631</f>
        <v>OK: capability-driven</v>
      </c>
      <c r="N133" s="177" t="str">
        <f>_ENGINE_Risk!CS631</f>
        <v>Yes</v>
      </c>
      <c r="O133" s="177" t="str">
        <f>_ENGINE_Risk!CO631</f>
        <v>Legal Risk|Data and IP|LEGA-013|CAP_REGULATORY_CONTINUITY</v>
      </c>
      <c r="P133" s="177" t="str">
        <f>_ENGINE_Risk!CR631</f>
        <v>Risk ontology uses capability=CAP_REGULATORY_CONTINUITY; bridge=BRG-052; treatment=TRT-REGULATORY_CONTINUITY-INITIAL; wording=IW-ALL-REGULATORY_CONTINUITY</v>
      </c>
    </row>
    <row r="134" spans="1:16" ht="99" customHeight="1">
      <c r="A134" s="177" t="str">
        <f>_ENGINE_Risk!CM632</f>
        <v>RISK-ONT-0133</v>
      </c>
      <c r="B134" s="177">
        <f>ROW(_ENGINE_Risk!A632)</f>
        <v>632</v>
      </c>
      <c r="C134" s="177" t="str">
        <f>_ENGINE_Risk!E632</f>
        <v>LEGA-014</v>
      </c>
      <c r="D134" s="177" t="str">
        <f>_ENGINE_Risk!C632</f>
        <v>Legal Risk</v>
      </c>
      <c r="E134" s="177" t="str">
        <f>_ENGINE_Risk!D632</f>
        <v>Data and IP</v>
      </c>
      <c r="F134" s="177" t="str">
        <f>_ENGINE_Risk!F632</f>
        <v>Legal, compliance and contractual exposure</v>
      </c>
      <c r="G134" s="177" t="str">
        <f>_ENGINE_Risk!G632</f>
        <v>Severe risk: breach notification readiness for personal data and customer contractual obligations is not reliably controlled. During Regulatory/legal shock; Contractual exposure; Data breach, the organization may face contractual disputes, compliance breaches, regulatory penalties and delayed legal response with limited visibility or accountability.</v>
      </c>
      <c r="H134" s="177" t="str">
        <f>_ENGINE_Risk!BT632</f>
        <v>CAP_REGULATORY_CONTINUITY</v>
      </c>
      <c r="I134" s="177" t="str">
        <f>_ENGINE_Risk!BV632</f>
        <v>BRG-052</v>
      </c>
      <c r="J134" s="177" t="str">
        <f>_ENGINE_Risk!CE632</f>
        <v>IW-ALL-REGULATORY_CONTINUITY</v>
      </c>
      <c r="K134" s="177" t="str">
        <f>_ENGINE_Risk!BY632</f>
        <v>TRT-REGULATORY_CONTINUITY-INITIAL</v>
      </c>
      <c r="L134" s="177" t="str">
        <f>_ENGINE_Risk!CP632</f>
        <v>Active</v>
      </c>
      <c r="M134" s="177" t="str">
        <f>_ENGINE_Risk!CQ632</f>
        <v>OK: capability-driven</v>
      </c>
      <c r="N134" s="177" t="str">
        <f>_ENGINE_Risk!CS632</f>
        <v>Yes</v>
      </c>
      <c r="O134" s="177" t="str">
        <f>_ENGINE_Risk!CO632</f>
        <v>Legal Risk|Data and IP|LEGA-014|CAP_REGULATORY_CONTINUITY</v>
      </c>
      <c r="P134" s="177" t="str">
        <f>_ENGINE_Risk!CR632</f>
        <v>Risk ontology uses capability=CAP_REGULATORY_CONTINUITY; bridge=BRG-052; treatment=TRT-REGULATORY_CONTINUITY-INITIAL; wording=IW-ALL-REGULATORY_CONTINUITY</v>
      </c>
    </row>
    <row r="135" spans="1:16" ht="99" customHeight="1">
      <c r="A135" s="177" t="str">
        <f>_ENGINE_Risk!CM633</f>
        <v>RISK-ONT-0134</v>
      </c>
      <c r="B135" s="177">
        <f>ROW(_ENGINE_Risk!A633)</f>
        <v>633</v>
      </c>
      <c r="C135" s="177" t="str">
        <f>_ENGINE_Risk!E633</f>
        <v>LEGA-015</v>
      </c>
      <c r="D135" s="177" t="str">
        <f>_ENGINE_Risk!C633</f>
        <v>Legal Risk</v>
      </c>
      <c r="E135" s="177" t="str">
        <f>_ENGINE_Risk!D633</f>
        <v>Data and IP</v>
      </c>
      <c r="F135" s="177" t="str">
        <f>_ENGINE_Risk!F633</f>
        <v>Legal, compliance and contractual exposure</v>
      </c>
      <c r="G135" s="177" t="str">
        <f>_ENGINE_Risk!G633</f>
        <v>Severe risk: data processing agreements with vendors covering security, incident response, sub-processors and continuity is not reliably controlled. During Regulatory/legal shock; Contractual exposure; Data breach, the organization may face contractual disputes, compliance breaches, regulatory penalties and delayed legal response with limited visibility or accountability.</v>
      </c>
      <c r="H135" s="177" t="str">
        <f>_ENGINE_Risk!BT633</f>
        <v>CAP_REGULATORY_CONTINUITY</v>
      </c>
      <c r="I135" s="177" t="str">
        <f>_ENGINE_Risk!BV633</f>
        <v>BRG-052</v>
      </c>
      <c r="J135" s="177" t="str">
        <f>_ENGINE_Risk!CE633</f>
        <v>IW-ALL-REGULATORY_CONTINUITY</v>
      </c>
      <c r="K135" s="177" t="str">
        <f>_ENGINE_Risk!BY633</f>
        <v>TRT-REGULATORY_CONTINUITY-INITIAL</v>
      </c>
      <c r="L135" s="177" t="str">
        <f>_ENGINE_Risk!CP633</f>
        <v>Active</v>
      </c>
      <c r="M135" s="177" t="str">
        <f>_ENGINE_Risk!CQ633</f>
        <v>OK: capability-driven</v>
      </c>
      <c r="N135" s="177" t="str">
        <f>_ENGINE_Risk!CS633</f>
        <v>Yes</v>
      </c>
      <c r="O135" s="177" t="str">
        <f>_ENGINE_Risk!CO633</f>
        <v>Legal Risk|Data and IP|LEGA-015|CAP_REGULATORY_CONTINUITY</v>
      </c>
      <c r="P135" s="177" t="str">
        <f>_ENGINE_Risk!CR633</f>
        <v>Risk ontology uses capability=CAP_REGULATORY_CONTINUITY; bridge=BRG-052; treatment=TRT-REGULATORY_CONTINUITY-INITIAL; wording=IW-ALL-REGULATORY_CONTINUITY</v>
      </c>
    </row>
    <row r="136" spans="1:16" ht="99" customHeight="1">
      <c r="A136" s="177" t="str">
        <f>_ENGINE_Risk!CM634</f>
        <v>RISK-ONT-0135</v>
      </c>
      <c r="B136" s="177">
        <f>ROW(_ENGINE_Risk!A634)</f>
        <v>634</v>
      </c>
      <c r="C136" s="177" t="str">
        <f>_ENGINE_Risk!E634</f>
        <v>LEGA-016</v>
      </c>
      <c r="D136" s="177" t="str">
        <f>_ENGINE_Risk!C634</f>
        <v>Legal Risk</v>
      </c>
      <c r="E136" s="177" t="str">
        <f>_ENGINE_Risk!D634</f>
        <v>Data and IP</v>
      </c>
      <c r="F136" s="177" t="str">
        <f>_ENGINE_Risk!F634</f>
        <v>Legal, compliance and contractual exposure</v>
      </c>
      <c r="G136" s="177" t="str">
        <f>_ENGINE_Risk!G634</f>
        <v>Severe risk: intellectual property ownership for employees, contractors, suppliers, software, designs, data and AI models is not reliably controlled. During Regulatory/legal shock; Contractual exposure; Data breach, the organization may face contractual disputes, compliance breaches, regulatory penalties and delayed legal response with limited visibility or accountability.</v>
      </c>
      <c r="H136" s="177" t="str">
        <f>_ENGINE_Risk!BT634</f>
        <v>CAP_REGULATORY_CONTINUITY</v>
      </c>
      <c r="I136" s="177" t="str">
        <f>_ENGINE_Risk!BV634</f>
        <v>BRG-052</v>
      </c>
      <c r="J136" s="177" t="str">
        <f>_ENGINE_Risk!CE634</f>
        <v>IW-ALL-REGULATORY_CONTINUITY</v>
      </c>
      <c r="K136" s="177" t="str">
        <f>_ENGINE_Risk!BY634</f>
        <v>TRT-REGULATORY_CONTINUITY-INITIAL</v>
      </c>
      <c r="L136" s="177" t="str">
        <f>_ENGINE_Risk!CP634</f>
        <v>Active</v>
      </c>
      <c r="M136" s="177" t="str">
        <f>_ENGINE_Risk!CQ634</f>
        <v>OK: capability-driven</v>
      </c>
      <c r="N136" s="177" t="str">
        <f>_ENGINE_Risk!CS634</f>
        <v>Yes</v>
      </c>
      <c r="O136" s="177" t="str">
        <f>_ENGINE_Risk!CO634</f>
        <v>Legal Risk|Data and IP|LEGA-016|CAP_REGULATORY_CONTINUITY</v>
      </c>
      <c r="P136" s="177" t="str">
        <f>_ENGINE_Risk!CR634</f>
        <v>Risk ontology uses capability=CAP_REGULATORY_CONTINUITY; bridge=BRG-052; treatment=TRT-REGULATORY_CONTINUITY-INITIAL; wording=IW-ALL-REGULATORY_CONTINUITY</v>
      </c>
    </row>
    <row r="137" spans="1:16" ht="99" customHeight="1">
      <c r="A137" s="177" t="str">
        <f>_ENGINE_Risk!CM635</f>
        <v>RISK-ONT-0136</v>
      </c>
      <c r="B137" s="177">
        <f>ROW(_ENGINE_Risk!A635)</f>
        <v>635</v>
      </c>
      <c r="C137" s="177" t="str">
        <f>_ENGINE_Risk!E635</f>
        <v>LEGA-017</v>
      </c>
      <c r="D137" s="177" t="str">
        <f>_ENGINE_Risk!C635</f>
        <v>Legal Risk</v>
      </c>
      <c r="E137" s="177" t="str">
        <f>_ENGINE_Risk!D635</f>
        <v>Data and IP</v>
      </c>
      <c r="F137" s="177" t="str">
        <f>_ENGINE_Risk!F635</f>
        <v>Legal, compliance and contractual exposure</v>
      </c>
      <c r="G137" s="177" t="str">
        <f>_ENGINE_Risk!G635</f>
        <v>Severe risk: software license and open-source compliance for critical systems and products is not reliably controlled. During Regulatory/legal shock; Contractual exposure; Data breach, the organization may face contractual disputes, compliance breaches, regulatory penalties and delayed legal response with limited visibility or accountability.</v>
      </c>
      <c r="H137" s="177" t="str">
        <f>_ENGINE_Risk!BT635</f>
        <v>CAP_REGULATORY_CONTINUITY</v>
      </c>
      <c r="I137" s="177" t="str">
        <f>_ENGINE_Risk!BV635</f>
        <v>BRG-052</v>
      </c>
      <c r="J137" s="177" t="str">
        <f>_ENGINE_Risk!CE635</f>
        <v>IW-ALL-REGULATORY_CONTINUITY</v>
      </c>
      <c r="K137" s="177" t="str">
        <f>_ENGINE_Risk!BY635</f>
        <v>TRT-REGULATORY_CONTINUITY-INITIAL</v>
      </c>
      <c r="L137" s="177" t="str">
        <f>_ENGINE_Risk!CP635</f>
        <v>Active</v>
      </c>
      <c r="M137" s="177" t="str">
        <f>_ENGINE_Risk!CQ635</f>
        <v>OK: capability-driven</v>
      </c>
      <c r="N137" s="177" t="str">
        <f>_ENGINE_Risk!CS635</f>
        <v>Yes</v>
      </c>
      <c r="O137" s="177" t="str">
        <f>_ENGINE_Risk!CO635</f>
        <v>Legal Risk|Data and IP|LEGA-017|CAP_REGULATORY_CONTINUITY</v>
      </c>
      <c r="P137" s="177" t="str">
        <f>_ENGINE_Risk!CR635</f>
        <v>Risk ontology uses capability=CAP_REGULATORY_CONTINUITY; bridge=BRG-052; treatment=TRT-REGULATORY_CONTINUITY-INITIAL; wording=IW-ALL-REGULATORY_CONTINUITY</v>
      </c>
    </row>
    <row r="138" spans="1:16" ht="99" customHeight="1">
      <c r="A138" s="177" t="str">
        <f>_ENGINE_Risk!CM636</f>
        <v>RISK-ONT-0137</v>
      </c>
      <c r="B138" s="177">
        <f>ROW(_ENGINE_Risk!A636)</f>
        <v>636</v>
      </c>
      <c r="C138" s="177" t="str">
        <f>_ENGINE_Risk!E636</f>
        <v>LEGA-018</v>
      </c>
      <c r="D138" s="177" t="str">
        <f>_ENGINE_Risk!C636</f>
        <v>Legal Risk</v>
      </c>
      <c r="E138" s="177" t="str">
        <f>_ENGINE_Risk!D636</f>
        <v>Data and IP</v>
      </c>
      <c r="F138" s="177" t="str">
        <f>_ENGINE_Risk!F636</f>
        <v>Legal, compliance and contractual exposure</v>
      </c>
      <c r="G138" s="177" t="str">
        <f>_ENGINE_Risk!G636</f>
        <v>Severe risk: records retention rules for legal, finance, HR, contracts, safety, customer and technical records is not reliably controlled. During Regulatory/legal shock; Contractual exposure; Data breach, the organization may face contractual disputes, compliance breaches, regulatory penalties and delayed legal response with limited visibility or accountability.</v>
      </c>
      <c r="H138" s="177" t="str">
        <f>_ENGINE_Risk!BT636</f>
        <v>CAP_REGULATORY_CONTINUITY</v>
      </c>
      <c r="I138" s="177" t="str">
        <f>_ENGINE_Risk!BV636</f>
        <v>BRG-052</v>
      </c>
      <c r="J138" s="177" t="str">
        <f>_ENGINE_Risk!CE636</f>
        <v>IW-ALL-REGULATORY_CONTINUITY</v>
      </c>
      <c r="K138" s="177" t="str">
        <f>_ENGINE_Risk!BY636</f>
        <v>TRT-REGULATORY_CONTINUITY-INITIAL</v>
      </c>
      <c r="L138" s="177" t="str">
        <f>_ENGINE_Risk!CP636</f>
        <v>Active</v>
      </c>
      <c r="M138" s="177" t="str">
        <f>_ENGINE_Risk!CQ636</f>
        <v>OK: capability-driven</v>
      </c>
      <c r="N138" s="177" t="str">
        <f>_ENGINE_Risk!CS636</f>
        <v>Yes</v>
      </c>
      <c r="O138" s="177" t="str">
        <f>_ENGINE_Risk!CO636</f>
        <v>Legal Risk|Data and IP|LEGA-018|CAP_REGULATORY_CONTINUITY</v>
      </c>
      <c r="P138" s="177" t="str">
        <f>_ENGINE_Risk!CR636</f>
        <v>Risk ontology uses capability=CAP_REGULATORY_CONTINUITY; bridge=BRG-052; treatment=TRT-REGULATORY_CONTINUITY-INITIAL; wording=IW-ALL-REGULATORY_CONTINUITY</v>
      </c>
    </row>
    <row r="139" spans="1:16" ht="99" customHeight="1">
      <c r="A139" s="177" t="str">
        <f>_ENGINE_Risk!CM637</f>
        <v>RISK-ONT-0138</v>
      </c>
      <c r="B139" s="177">
        <f>ROW(_ENGINE_Risk!A637)</f>
        <v>637</v>
      </c>
      <c r="C139" s="177" t="str">
        <f>_ENGINE_Risk!E637</f>
        <v>LEGA-019</v>
      </c>
      <c r="D139" s="177" t="str">
        <f>_ENGINE_Risk!C637</f>
        <v>Legal Risk</v>
      </c>
      <c r="E139" s="177" t="str">
        <f>_ENGINE_Risk!D637</f>
        <v>Employment law</v>
      </c>
      <c r="F139" s="177" t="str">
        <f>_ENGINE_Risk!F637</f>
        <v>Legal, compliance and contractual exposure</v>
      </c>
      <c r="G139" s="177" t="str">
        <f>_ENGINE_Risk!G637</f>
        <v>Severe risk: legal options for relocation, evacuation, furlough, flexible work, terminations or hardship support by country is not reliably controlled. During Regulatory/legal shock; Contractual exposure; Data breach, the organization may face contractual disputes, compliance breaches, regulatory penalties and delayed legal response with limited visibility or accountability.</v>
      </c>
      <c r="H139" s="177" t="str">
        <f>_ENGINE_Risk!BT637</f>
        <v>CAP_REGULATORY_CONTINUITY</v>
      </c>
      <c r="I139" s="177" t="str">
        <f>_ENGINE_Risk!BV637</f>
        <v>BRG-053</v>
      </c>
      <c r="J139" s="177" t="str">
        <f>_ENGINE_Risk!CE637</f>
        <v>IW-ALL-REGULATORY_CONTINUITY</v>
      </c>
      <c r="K139" s="177" t="str">
        <f>_ENGINE_Risk!BY637</f>
        <v>TRT-REGULATORY_CONTINUITY-INITIAL</v>
      </c>
      <c r="L139" s="177" t="str">
        <f>_ENGINE_Risk!CP637</f>
        <v>Active</v>
      </c>
      <c r="M139" s="177" t="str">
        <f>_ENGINE_Risk!CQ637</f>
        <v>OK: capability-driven</v>
      </c>
      <c r="N139" s="177" t="str">
        <f>_ENGINE_Risk!CS637</f>
        <v>Yes</v>
      </c>
      <c r="O139" s="177" t="str">
        <f>_ENGINE_Risk!CO637</f>
        <v>Legal Risk|Employment law|LEGA-019|CAP_REGULATORY_CONTINUITY</v>
      </c>
      <c r="P139" s="177" t="str">
        <f>_ENGINE_Risk!CR637</f>
        <v>Risk ontology uses capability=CAP_REGULATORY_CONTINUITY; bridge=BRG-053; treatment=TRT-REGULATORY_CONTINUITY-INITIAL; wording=IW-ALL-REGULATORY_CONTINUITY</v>
      </c>
    </row>
    <row r="140" spans="1:16" ht="99" customHeight="1">
      <c r="A140" s="177" t="str">
        <f>_ENGINE_Risk!CM638</f>
        <v>RISK-ONT-0139</v>
      </c>
      <c r="B140" s="177">
        <f>ROW(_ENGINE_Risk!A638)</f>
        <v>638</v>
      </c>
      <c r="C140" s="177" t="str">
        <f>_ENGINE_Risk!E638</f>
        <v>LEGA-020</v>
      </c>
      <c r="D140" s="177" t="str">
        <f>_ENGINE_Risk!C638</f>
        <v>Legal Risk</v>
      </c>
      <c r="E140" s="177" t="str">
        <f>_ENGINE_Risk!D638</f>
        <v>Employment law</v>
      </c>
      <c r="F140" s="177" t="str">
        <f>_ENGINE_Risk!F638</f>
        <v>Legal, compliance and contractual exposure</v>
      </c>
      <c r="G140" s="177" t="str">
        <f>_ENGINE_Risk!G638</f>
        <v>Severe risk: labor relations, works council or union obligations during restructuring or crisis measures is not reliably controlled. During Regulatory/legal shock; Contractual exposure; Data breach, the organization may face contractual disputes, compliance breaches, regulatory penalties and delayed legal response with limited visibility or accountability.</v>
      </c>
      <c r="H140" s="177" t="str">
        <f>_ENGINE_Risk!BT638</f>
        <v>CAP_REGULATORY_CONTINUITY</v>
      </c>
      <c r="I140" s="177" t="str">
        <f>_ENGINE_Risk!BV638</f>
        <v>BRG-053</v>
      </c>
      <c r="J140" s="177" t="str">
        <f>_ENGINE_Risk!CE638</f>
        <v>IW-ALL-REGULATORY_CONTINUITY</v>
      </c>
      <c r="K140" s="177" t="str">
        <f>_ENGINE_Risk!BY638</f>
        <v>TRT-REGULATORY_CONTINUITY-INITIAL</v>
      </c>
      <c r="L140" s="177" t="str">
        <f>_ENGINE_Risk!CP638</f>
        <v>Active</v>
      </c>
      <c r="M140" s="177" t="str">
        <f>_ENGINE_Risk!CQ638</f>
        <v>OK: capability-driven</v>
      </c>
      <c r="N140" s="177" t="str">
        <f>_ENGINE_Risk!CS638</f>
        <v>Yes</v>
      </c>
      <c r="O140" s="177" t="str">
        <f>_ENGINE_Risk!CO638</f>
        <v>Legal Risk|Employment law|LEGA-020|CAP_REGULATORY_CONTINUITY</v>
      </c>
      <c r="P140" s="177" t="str">
        <f>_ENGINE_Risk!CR638</f>
        <v>Risk ontology uses capability=CAP_REGULATORY_CONTINUITY; bridge=BRG-053; treatment=TRT-REGULATORY_CONTINUITY-INITIAL; wording=IW-ALL-REGULATORY_CONTINUITY</v>
      </c>
    </row>
    <row r="141" spans="1:16" ht="99" customHeight="1">
      <c r="A141" s="177" t="str">
        <f>_ENGINE_Risk!CM639</f>
        <v>RISK-ONT-0140</v>
      </c>
      <c r="B141" s="177">
        <f>ROW(_ENGINE_Risk!A639)</f>
        <v>639</v>
      </c>
      <c r="C141" s="177" t="str">
        <f>_ENGINE_Risk!E639</f>
        <v>LEGA-021</v>
      </c>
      <c r="D141" s="177" t="str">
        <f>_ENGINE_Risk!C639</f>
        <v>Legal Risk</v>
      </c>
      <c r="E141" s="177" t="str">
        <f>_ENGINE_Risk!D639</f>
        <v>Compliance</v>
      </c>
      <c r="F141" s="177" t="str">
        <f>_ENGINE_Risk!F639</f>
        <v>Legal exposure and dispute readiness</v>
      </c>
      <c r="G141" s="177" t="str">
        <f>_ENGINE_Risk!G639</f>
        <v>Severe risk: litigation and dispute portfolio management with a dispute register, external counsel panel and budget control is not reliably controlled. During Regulatory/legal shock; Financial/liquidity crisis, the organization may face unmanaged dispute exposure, surprise legal costs and weak positions in crisis-driven conflicts with limited visibility or accountability.</v>
      </c>
      <c r="H141" s="177" t="str">
        <f>_ENGINE_Risk!BT639</f>
        <v>CAP_PAYMENT_CONTINUITY</v>
      </c>
      <c r="I141" s="177" t="str">
        <f>_ENGINE_Risk!BV639</f>
        <v>BRG-050</v>
      </c>
      <c r="J141" s="177" t="str">
        <f>_ENGINE_Risk!CE639</f>
        <v>IW-ALL-PAYMENT_CONTINUITY</v>
      </c>
      <c r="K141" s="177" t="str">
        <f>_ENGINE_Risk!BY639</f>
        <v>TRT-PAYMENT_CONTINUITY-INITIAL</v>
      </c>
      <c r="L141" s="177" t="str">
        <f>_ENGINE_Risk!CP639</f>
        <v>Active</v>
      </c>
      <c r="M141" s="177" t="str">
        <f>_ENGINE_Risk!CQ639</f>
        <v>OK: capability-driven</v>
      </c>
      <c r="N141" s="177" t="str">
        <f>_ENGINE_Risk!CS639</f>
        <v>Yes</v>
      </c>
      <c r="O141" s="177" t="str">
        <f>_ENGINE_Risk!CO639</f>
        <v>Legal Risk|Compliance|LEGA-021|CAP_PAYMENT_CONTINUITY</v>
      </c>
      <c r="P141" s="177" t="str">
        <f>_ENGINE_Risk!CR639</f>
        <v>Risk ontology uses capability=CAP_PAYMENT_CONTINUITY; bridge=BRG-050; treatment=TRT-PAYMENT_CONTINUITY-INITIAL; wording=IW-ALL-PAYMENT_CONTINUITY</v>
      </c>
    </row>
    <row r="142" spans="1:16" ht="113.15" customHeight="1">
      <c r="A142" s="177" t="str">
        <f>_ENGINE_Risk!CM640</f>
        <v>RISK-ONT-0141</v>
      </c>
      <c r="B142" s="177">
        <f>ROW(_ENGINE_Risk!A640)</f>
        <v>640</v>
      </c>
      <c r="C142" s="177" t="str">
        <f>_ENGINE_Risk!E640</f>
        <v>PHYS-001</v>
      </c>
      <c r="D142" s="177" t="str">
        <f>_ENGINE_Risk!C640</f>
        <v>Physical Safety</v>
      </c>
      <c r="E142" s="177" t="str">
        <f>_ENGINE_Risk!D640</f>
        <v>OH&amp;S governance</v>
      </c>
      <c r="F142" s="177" t="str">
        <f>_ENGINE_Risk!F640</f>
        <v>Physical safety, security and facility resilience</v>
      </c>
      <c r="G142" s="177" t="str">
        <f>_ENGINE_Risk!G640</f>
        <v>Severe risk: occupational health and safety management system with owners, objectives, audits and management review is not reliably controlled. During Safety incident; Physical site loss; War/security crisis; Natural disaster, the organization may face injury, unsafe facilities, uncontrolled access, asset loss and failure to protect people during incidents with limited visibility or accountability.</v>
      </c>
      <c r="H142" s="177" t="str">
        <f>_ENGINE_Risk!BT640</f>
        <v>CAP_PHYSICAL_SITE_SAFETY</v>
      </c>
      <c r="I142" s="177" t="str">
        <f>_ENGINE_Risk!BV640</f>
        <v>BRG-068</v>
      </c>
      <c r="J142" s="177" t="str">
        <f>_ENGINE_Risk!CE640</f>
        <v>IW-ALL-PHYSICAL_SITE_SAFETY</v>
      </c>
      <c r="K142" s="177" t="str">
        <f>_ENGINE_Risk!BY640</f>
        <v>TRT-PHYSICAL_SITE_SAFETY-INITIAL</v>
      </c>
      <c r="L142" s="177" t="str">
        <f>_ENGINE_Risk!CP640</f>
        <v>Active</v>
      </c>
      <c r="M142" s="177" t="str">
        <f>_ENGINE_Risk!CQ640</f>
        <v>OK: capability-driven</v>
      </c>
      <c r="N142" s="177" t="str">
        <f>_ENGINE_Risk!CS640</f>
        <v>Yes</v>
      </c>
      <c r="O142" s="177" t="str">
        <f>_ENGINE_Risk!CO640</f>
        <v>Physical Safety|OH&amp;S governance|PHYS-001|CAP_PHYSICAL_SITE_SAFETY</v>
      </c>
      <c r="P142" s="177" t="str">
        <f>_ENGINE_Risk!CR640</f>
        <v>Risk ontology uses capability=CAP_PHYSICAL_SITE_SAFETY; bridge=BRG-068; treatment=TRT-PHYSICAL_SITE_SAFETY-INITIAL; wording=IW-ALL-PHYSICAL_SITE_SAFETY</v>
      </c>
    </row>
    <row r="143" spans="1:16" ht="113.15" customHeight="1">
      <c r="A143" s="177" t="str">
        <f>_ENGINE_Risk!CM641</f>
        <v>RISK-ONT-0142</v>
      </c>
      <c r="B143" s="177">
        <f>ROW(_ENGINE_Risk!A641)</f>
        <v>641</v>
      </c>
      <c r="C143" s="177" t="str">
        <f>_ENGINE_Risk!E641</f>
        <v>PHYS-002</v>
      </c>
      <c r="D143" s="177" t="str">
        <f>_ENGINE_Risk!C641</f>
        <v>Physical Safety</v>
      </c>
      <c r="E143" s="177" t="str">
        <f>_ENGINE_Risk!D641</f>
        <v>OH&amp;S governance</v>
      </c>
      <c r="F143" s="177" t="str">
        <f>_ENGINE_Risk!F641</f>
        <v>Physical safety, security and facility resilience</v>
      </c>
      <c r="G143" s="177" t="str">
        <f>_ENGINE_Risk!G641</f>
        <v>Severe risk: site risk assessments for fire, structure, utilities, hazardous materials, crime, weather, war/security and access is not reliably controlled. During Safety incident; Physical site loss; War/security crisis; Natural disaster, the organization may face injury, unsafe facilities, uncontrolled access, asset loss and failure to protect people during incidents with limited visibility or accountability.</v>
      </c>
      <c r="H143" s="177" t="str">
        <f>_ENGINE_Risk!BT641</f>
        <v>CAP_PHYSICAL_SITE_SAFETY</v>
      </c>
      <c r="I143" s="177" t="str">
        <f>_ENGINE_Risk!BV641</f>
        <v>BRG-068</v>
      </c>
      <c r="J143" s="177" t="str">
        <f>_ENGINE_Risk!CE641</f>
        <v>IW-ALL-PHYSICAL_SITE_SAFETY</v>
      </c>
      <c r="K143" s="177" t="str">
        <f>_ENGINE_Risk!BY641</f>
        <v>TRT-PHYSICAL_SITE_SAFETY-INITIAL</v>
      </c>
      <c r="L143" s="177" t="str">
        <f>_ENGINE_Risk!CP641</f>
        <v>Active</v>
      </c>
      <c r="M143" s="177" t="str">
        <f>_ENGINE_Risk!CQ641</f>
        <v>OK: capability-driven</v>
      </c>
      <c r="N143" s="177" t="str">
        <f>_ENGINE_Risk!CS641</f>
        <v>Yes</v>
      </c>
      <c r="O143" s="177" t="str">
        <f>_ENGINE_Risk!CO641</f>
        <v>Physical Safety|OH&amp;S governance|PHYS-002|CAP_PHYSICAL_SITE_SAFETY</v>
      </c>
      <c r="P143" s="177" t="str">
        <f>_ENGINE_Risk!CR641</f>
        <v>Risk ontology uses capability=CAP_PHYSICAL_SITE_SAFETY; bridge=BRG-068; treatment=TRT-PHYSICAL_SITE_SAFETY-INITIAL; wording=IW-ALL-PHYSICAL_SITE_SAFETY</v>
      </c>
    </row>
    <row r="144" spans="1:16" ht="99" customHeight="1">
      <c r="A144" s="177" t="str">
        <f>_ENGINE_Risk!CM642</f>
        <v>RISK-ONT-0143</v>
      </c>
      <c r="B144" s="177">
        <f>ROW(_ENGINE_Risk!A642)</f>
        <v>642</v>
      </c>
      <c r="C144" s="177" t="str">
        <f>_ENGINE_Risk!E642</f>
        <v>PHYS-003</v>
      </c>
      <c r="D144" s="177" t="str">
        <f>_ENGINE_Risk!C642</f>
        <v>Physical Safety</v>
      </c>
      <c r="E144" s="177" t="str">
        <f>_ENGINE_Risk!D642</f>
        <v>OH&amp;S governance</v>
      </c>
      <c r="F144" s="177" t="str">
        <f>_ENGINE_Risk!F642</f>
        <v>Physical safety, security and facility resilience</v>
      </c>
      <c r="G144" s="177" t="str">
        <f>_ENGINE_Risk!G642</f>
        <v>Severe risk: job hazard analysis for roles, tasks, production activities and field work is not reliably controlled. During Safety incident; Physical site loss; War/security crisis; Natural disaster, the organization may face injury, unsafe facilities, uncontrolled access, asset loss and failure to protect people during incidents with limited visibility or accountability.</v>
      </c>
      <c r="H144" s="177" t="str">
        <f>_ENGINE_Risk!BT642</f>
        <v>CAP_PHYSICAL_SITE_SAFETY</v>
      </c>
      <c r="I144" s="177" t="str">
        <f>_ENGINE_Risk!BV642</f>
        <v>BRG-068</v>
      </c>
      <c r="J144" s="177" t="str">
        <f>_ENGINE_Risk!CE642</f>
        <v>IW-ALL-PHYSICAL_SITE_SAFETY</v>
      </c>
      <c r="K144" s="177" t="str">
        <f>_ENGINE_Risk!BY642</f>
        <v>TRT-PHYSICAL_SITE_SAFETY-INITIAL</v>
      </c>
      <c r="L144" s="177" t="str">
        <f>_ENGINE_Risk!CP642</f>
        <v>Active</v>
      </c>
      <c r="M144" s="177" t="str">
        <f>_ENGINE_Risk!CQ642</f>
        <v>OK: capability-driven</v>
      </c>
      <c r="N144" s="177" t="str">
        <f>_ENGINE_Risk!CS642</f>
        <v>Yes</v>
      </c>
      <c r="O144" s="177" t="str">
        <f>_ENGINE_Risk!CO642</f>
        <v>Physical Safety|OH&amp;S governance|PHYS-003|CAP_PHYSICAL_SITE_SAFETY</v>
      </c>
      <c r="P144" s="177" t="str">
        <f>_ENGINE_Risk!CR642</f>
        <v>Risk ontology uses capability=CAP_PHYSICAL_SITE_SAFETY; bridge=BRG-068; treatment=TRT-PHYSICAL_SITE_SAFETY-INITIAL; wording=IW-ALL-PHYSICAL_SITE_SAFETY</v>
      </c>
    </row>
    <row r="145" spans="1:16" ht="113.15" customHeight="1">
      <c r="A145" s="177" t="str">
        <f>_ENGINE_Risk!CM643</f>
        <v>RISK-ONT-0144</v>
      </c>
      <c r="B145" s="177">
        <f>ROW(_ENGINE_Risk!A643)</f>
        <v>643</v>
      </c>
      <c r="C145" s="177" t="str">
        <f>_ENGINE_Risk!E643</f>
        <v>PHYS-004</v>
      </c>
      <c r="D145" s="177" t="str">
        <f>_ENGINE_Risk!C643</f>
        <v>Physical Safety</v>
      </c>
      <c r="E145" s="177" t="str">
        <f>_ENGINE_Risk!D643</f>
        <v>OH&amp;S governance</v>
      </c>
      <c r="F145" s="177" t="str">
        <f>_ENGINE_Risk!F643</f>
        <v>Physical safety, security and facility resilience</v>
      </c>
      <c r="G145" s="177" t="str">
        <f>_ENGINE_Risk!G643</f>
        <v>Severe risk: contractor and visitor safety induction, permits-to-work, site rules and emergency procedures is not reliably controlled. During Safety incident; Physical site loss; War/security crisis; Natural disaster, the organization may face injury, unsafe facilities, uncontrolled access, asset loss and failure to protect people during incidents with limited visibility or accountability.</v>
      </c>
      <c r="H145" s="177" t="str">
        <f>_ENGINE_Risk!BT643</f>
        <v>CAP_PHYSICAL_SITE_SAFETY</v>
      </c>
      <c r="I145" s="177" t="str">
        <f>_ENGINE_Risk!BV643</f>
        <v>BRG-068</v>
      </c>
      <c r="J145" s="177" t="str">
        <f>_ENGINE_Risk!CE643</f>
        <v>IW-ALL-PHYSICAL_SITE_SAFETY</v>
      </c>
      <c r="K145" s="177" t="str">
        <f>_ENGINE_Risk!BY643</f>
        <v>TRT-PHYSICAL_SITE_SAFETY-INITIAL</v>
      </c>
      <c r="L145" s="177" t="str">
        <f>_ENGINE_Risk!CP643</f>
        <v>Active</v>
      </c>
      <c r="M145" s="177" t="str">
        <f>_ENGINE_Risk!CQ643</f>
        <v>OK: capability-driven</v>
      </c>
      <c r="N145" s="177" t="str">
        <f>_ENGINE_Risk!CS643</f>
        <v>Yes</v>
      </c>
      <c r="O145" s="177" t="str">
        <f>_ENGINE_Risk!CO643</f>
        <v>Physical Safety|OH&amp;S governance|PHYS-004|CAP_PHYSICAL_SITE_SAFETY</v>
      </c>
      <c r="P145" s="177" t="str">
        <f>_ENGINE_Risk!CR643</f>
        <v>Risk ontology uses capability=CAP_PHYSICAL_SITE_SAFETY; bridge=BRG-068; treatment=TRT-PHYSICAL_SITE_SAFETY-INITIAL; wording=IW-ALL-PHYSICAL_SITE_SAFETY</v>
      </c>
    </row>
    <row r="146" spans="1:16" ht="99" customHeight="1">
      <c r="A146" s="177" t="str">
        <f>_ENGINE_Risk!CM644</f>
        <v>RISK-ONT-0145</v>
      </c>
      <c r="B146" s="177">
        <f>ROW(_ENGINE_Risk!A644)</f>
        <v>644</v>
      </c>
      <c r="C146" s="177" t="str">
        <f>_ENGINE_Risk!E644</f>
        <v>PHYS-005</v>
      </c>
      <c r="D146" s="177" t="str">
        <f>_ENGINE_Risk!C644</f>
        <v>Physical Safety</v>
      </c>
      <c r="E146" s="177" t="str">
        <f>_ENGINE_Risk!D644</f>
        <v>OH&amp;S governance</v>
      </c>
      <c r="F146" s="177" t="str">
        <f>_ENGINE_Risk!F644</f>
        <v>Physical safety, security and facility resilience</v>
      </c>
      <c r="G146" s="177" t="str">
        <f>_ENGINE_Risk!G644</f>
        <v>Severe risk: near-miss and safety incident reporting, investigation and corrective action is not reliably controlled. During Safety incident; Physical site loss; War/security crisis; Natural disaster, the organization may face injury, unsafe facilities, uncontrolled access, asset loss and failure to protect people during incidents with limited visibility or accountability.</v>
      </c>
      <c r="H146" s="177" t="str">
        <f>_ENGINE_Risk!BT644</f>
        <v>CAP_PHYSICAL_SITE_SAFETY</v>
      </c>
      <c r="I146" s="177" t="str">
        <f>_ENGINE_Risk!BV644</f>
        <v>BRG-068</v>
      </c>
      <c r="J146" s="177" t="str">
        <f>_ENGINE_Risk!CE644</f>
        <v>IW-ALL-PHYSICAL_SITE_SAFETY</v>
      </c>
      <c r="K146" s="177" t="str">
        <f>_ENGINE_Risk!BY644</f>
        <v>TRT-PHYSICAL_SITE_SAFETY-INITIAL</v>
      </c>
      <c r="L146" s="177" t="str">
        <f>_ENGINE_Risk!CP644</f>
        <v>Active</v>
      </c>
      <c r="M146" s="177" t="str">
        <f>_ENGINE_Risk!CQ644</f>
        <v>OK: capability-driven</v>
      </c>
      <c r="N146" s="177" t="str">
        <f>_ENGINE_Risk!CS644</f>
        <v>Yes</v>
      </c>
      <c r="O146" s="177" t="str">
        <f>_ENGINE_Risk!CO644</f>
        <v>Physical Safety|OH&amp;S governance|PHYS-005|CAP_PHYSICAL_SITE_SAFETY</v>
      </c>
      <c r="P146" s="177" t="str">
        <f>_ENGINE_Risk!CR644</f>
        <v>Risk ontology uses capability=CAP_PHYSICAL_SITE_SAFETY; bridge=BRG-068; treatment=TRT-PHYSICAL_SITE_SAFETY-INITIAL; wording=IW-ALL-PHYSICAL_SITE_SAFETY</v>
      </c>
    </row>
    <row r="147" spans="1:16" ht="99" customHeight="1">
      <c r="A147" s="177" t="str">
        <f>_ENGINE_Risk!CM645</f>
        <v>RISK-ONT-0146</v>
      </c>
      <c r="B147" s="177">
        <f>ROW(_ENGINE_Risk!A645)</f>
        <v>645</v>
      </c>
      <c r="C147" s="177" t="str">
        <f>_ENGINE_Risk!E645</f>
        <v>PHYS-006</v>
      </c>
      <c r="D147" s="177" t="str">
        <f>_ENGINE_Risk!C645</f>
        <v>Physical Safety</v>
      </c>
      <c r="E147" s="177" t="str">
        <f>_ENGINE_Risk!D645</f>
        <v>OH&amp;S governance</v>
      </c>
      <c r="F147" s="177" t="str">
        <f>_ENGINE_Risk!F645</f>
        <v>Physical safety, security and facility resilience</v>
      </c>
      <c r="G147" s="177" t="str">
        <f>_ENGINE_Risk!G645</f>
        <v>Severe risk: serious incident escalation to executives, legal, insurers and regulators is not reliably controlled. During Safety incident; Physical site loss; War/security crisis; Natural disaster, the organization may face injury, unsafe facilities, uncontrolled access, asset loss and failure to protect people during incidents with limited visibility or accountability.</v>
      </c>
      <c r="H147" s="177" t="str">
        <f>_ENGINE_Risk!BT645</f>
        <v>CAP_PHYSICAL_SITE_SAFETY</v>
      </c>
      <c r="I147" s="177" t="str">
        <f>_ENGINE_Risk!BV645</f>
        <v>BRG-068</v>
      </c>
      <c r="J147" s="177" t="str">
        <f>_ENGINE_Risk!CE645</f>
        <v>IW-ALL-PHYSICAL_SITE_SAFETY</v>
      </c>
      <c r="K147" s="177" t="str">
        <f>_ENGINE_Risk!BY645</f>
        <v>TRT-PHYSICAL_SITE_SAFETY-INITIAL</v>
      </c>
      <c r="L147" s="177" t="str">
        <f>_ENGINE_Risk!CP645</f>
        <v>Active</v>
      </c>
      <c r="M147" s="177" t="str">
        <f>_ENGINE_Risk!CQ645</f>
        <v>OK: capability-driven</v>
      </c>
      <c r="N147" s="177" t="str">
        <f>_ENGINE_Risk!CS645</f>
        <v>Yes</v>
      </c>
      <c r="O147" s="177" t="str">
        <f>_ENGINE_Risk!CO645</f>
        <v>Physical Safety|OH&amp;S governance|PHYS-006|CAP_PHYSICAL_SITE_SAFETY</v>
      </c>
      <c r="P147" s="177" t="str">
        <f>_ENGINE_Risk!CR645</f>
        <v>Risk ontology uses capability=CAP_PHYSICAL_SITE_SAFETY; bridge=BRG-068; treatment=TRT-PHYSICAL_SITE_SAFETY-INITIAL; wording=IW-ALL-PHYSICAL_SITE_SAFETY</v>
      </c>
    </row>
    <row r="148" spans="1:16" ht="113.15" customHeight="1">
      <c r="A148" s="177" t="str">
        <f>_ENGINE_Risk!CM646</f>
        <v>RISK-ONT-0147</v>
      </c>
      <c r="B148" s="177">
        <f>ROW(_ENGINE_Risk!A646)</f>
        <v>646</v>
      </c>
      <c r="C148" s="177" t="str">
        <f>_ENGINE_Risk!E646</f>
        <v>PHYS-007</v>
      </c>
      <c r="D148" s="177" t="str">
        <f>_ENGINE_Risk!C646</f>
        <v>Physical Safety</v>
      </c>
      <c r="E148" s="177" t="str">
        <f>_ENGINE_Risk!D646</f>
        <v>Facilities and access</v>
      </c>
      <c r="F148" s="177" t="str">
        <f>_ENGINE_Risk!F646</f>
        <v>Physical safety, security and facility resilience</v>
      </c>
      <c r="G148" s="177" t="str">
        <f>_ENGINE_Risk!G646</f>
        <v>Severe risk: critical facility register with occupancy, business processes, utilities, safety risks and recovery priority is not reliably controlled. During Safety incident; Physical site loss; War/security crisis; Natural disaster, the organization may face injury, unsafe facilities, uncontrolled access, asset loss and failure to protect people during incidents with limited visibility or accountability.</v>
      </c>
      <c r="H148" s="177" t="str">
        <f>_ENGINE_Risk!BT646</f>
        <v>CAP_IAM_PAM</v>
      </c>
      <c r="I148" s="177" t="str">
        <f>_ENGINE_Risk!BV646</f>
        <v>BRG-067</v>
      </c>
      <c r="J148" s="177" t="str">
        <f>_ENGINE_Risk!CE646</f>
        <v>IW-ALL-IAM_PAM</v>
      </c>
      <c r="K148" s="177" t="str">
        <f>_ENGINE_Risk!BY646</f>
        <v>TRT-IAM_PAM-INITIAL</v>
      </c>
      <c r="L148" s="177" t="str">
        <f>_ENGINE_Risk!CP646</f>
        <v>Active</v>
      </c>
      <c r="M148" s="177" t="str">
        <f>_ENGINE_Risk!CQ646</f>
        <v>OK: capability-driven</v>
      </c>
      <c r="N148" s="177" t="str">
        <f>_ENGINE_Risk!CS646</f>
        <v>Yes</v>
      </c>
      <c r="O148" s="177" t="str">
        <f>_ENGINE_Risk!CO646</f>
        <v>Physical Safety|Facilities and access|PHYS-007|CAP_IAM_PAM</v>
      </c>
      <c r="P148" s="177" t="str">
        <f>_ENGINE_Risk!CR646</f>
        <v>Risk ontology uses capability=CAP_IAM_PAM; bridge=BRG-067; treatment=TRT-IAM_PAM-INITIAL; wording=IW-ALL-IAM_PAM</v>
      </c>
    </row>
    <row r="149" spans="1:16" ht="113.15" customHeight="1">
      <c r="A149" s="177" t="str">
        <f>_ENGINE_Risk!CM647</f>
        <v>RISK-ONT-0148</v>
      </c>
      <c r="B149" s="177">
        <f>ROW(_ENGINE_Risk!A647)</f>
        <v>647</v>
      </c>
      <c r="C149" s="177" t="str">
        <f>_ENGINE_Risk!E647</f>
        <v>PHYS-008</v>
      </c>
      <c r="D149" s="177" t="str">
        <f>_ENGINE_Risk!C647</f>
        <v>Physical Safety</v>
      </c>
      <c r="E149" s="177" t="str">
        <f>_ENGINE_Risk!D647</f>
        <v>Facilities and access</v>
      </c>
      <c r="F149" s="177" t="str">
        <f>_ENGINE_Risk!F647</f>
        <v>Physical safety, security and facility resilience</v>
      </c>
      <c r="G149" s="177" t="str">
        <f>_ENGINE_Risk!G647</f>
        <v>Severe risk: building integrity, fire systems, emergency exits, shelters, alarms, lighting and backup power inspection is not reliably controlled. During Safety incident; Physical site loss; War/security crisis; Natural disaster, the organization may face injury, unsafe facilities, uncontrolled access, asset loss and failure to protect people during incidents with limited visibility or accountability.</v>
      </c>
      <c r="H149" s="177" t="str">
        <f>_ENGINE_Risk!BT647</f>
        <v>CAP_IAM_PAM</v>
      </c>
      <c r="I149" s="177" t="str">
        <f>_ENGINE_Risk!BV647</f>
        <v>BRG-067</v>
      </c>
      <c r="J149" s="177" t="str">
        <f>_ENGINE_Risk!CE647</f>
        <v>IW-ALL-IAM_PAM</v>
      </c>
      <c r="K149" s="177" t="str">
        <f>_ENGINE_Risk!BY647</f>
        <v>TRT-IAM_PAM-INITIAL</v>
      </c>
      <c r="L149" s="177" t="str">
        <f>_ENGINE_Risk!CP647</f>
        <v>Active</v>
      </c>
      <c r="M149" s="177" t="str">
        <f>_ENGINE_Risk!CQ647</f>
        <v>OK: capability-driven</v>
      </c>
      <c r="N149" s="177" t="str">
        <f>_ENGINE_Risk!CS647</f>
        <v>Yes</v>
      </c>
      <c r="O149" s="177" t="str">
        <f>_ENGINE_Risk!CO647</f>
        <v>Physical Safety|Facilities and access|PHYS-008|CAP_IAM_PAM</v>
      </c>
      <c r="P149" s="177" t="str">
        <f>_ENGINE_Risk!CR647</f>
        <v>Risk ontology uses capability=CAP_IAM_PAM; bridge=BRG-067; treatment=TRT-IAM_PAM-INITIAL; wording=IW-ALL-IAM_PAM</v>
      </c>
    </row>
    <row r="150" spans="1:16" ht="113.15" customHeight="1">
      <c r="A150" s="177" t="str">
        <f>_ENGINE_Risk!CM648</f>
        <v>RISK-ONT-0149</v>
      </c>
      <c r="B150" s="177">
        <f>ROW(_ENGINE_Risk!A648)</f>
        <v>648</v>
      </c>
      <c r="C150" s="177" t="str">
        <f>_ENGINE_Risk!E648</f>
        <v>PHYS-009</v>
      </c>
      <c r="D150" s="177" t="str">
        <f>_ENGINE_Risk!C648</f>
        <v>Physical Safety</v>
      </c>
      <c r="E150" s="177" t="str">
        <f>_ENGINE_Risk!D648</f>
        <v>Facilities and access</v>
      </c>
      <c r="F150" s="177" t="str">
        <f>_ENGINE_Risk!F648</f>
        <v>Physical safety, security and facility resilience</v>
      </c>
      <c r="G150" s="177" t="str">
        <f>_ENGINE_Risk!G648</f>
        <v>Severe risk: physical access control linked to HR onboarding, offboarding and periodic access review is not reliably controlled. During Safety incident; Physical site loss; War/security crisis; Natural disaster, the organization may face injury, unsafe facilities, uncontrolled access, asset loss and failure to protect people during incidents with limited visibility or accountability.</v>
      </c>
      <c r="H150" s="177" t="str">
        <f>_ENGINE_Risk!BT648</f>
        <v>CAP_IAM_PAM</v>
      </c>
      <c r="I150" s="177" t="str">
        <f>_ENGINE_Risk!BV648</f>
        <v>BRG-067</v>
      </c>
      <c r="J150" s="177" t="str">
        <f>_ENGINE_Risk!CE648</f>
        <v>IW-ALL-IAM_PAM</v>
      </c>
      <c r="K150" s="177" t="str">
        <f>_ENGINE_Risk!BY648</f>
        <v>TRT-IAM_PAM-INITIAL</v>
      </c>
      <c r="L150" s="177" t="str">
        <f>_ENGINE_Risk!CP648</f>
        <v>Active</v>
      </c>
      <c r="M150" s="177" t="str">
        <f>_ENGINE_Risk!CQ648</f>
        <v>OK: capability-driven</v>
      </c>
      <c r="N150" s="177" t="str">
        <f>_ENGINE_Risk!CS648</f>
        <v>Yes</v>
      </c>
      <c r="O150" s="177" t="str">
        <f>_ENGINE_Risk!CO648</f>
        <v>Physical Safety|Facilities and access|PHYS-009|CAP_IAM_PAM</v>
      </c>
      <c r="P150" s="177" t="str">
        <f>_ENGINE_Risk!CR648</f>
        <v>Risk ontology uses capability=CAP_IAM_PAM; bridge=BRG-067; treatment=TRT-IAM_PAM-INITIAL; wording=IW-ALL-IAM_PAM</v>
      </c>
    </row>
    <row r="151" spans="1:16" ht="113.15" customHeight="1">
      <c r="A151" s="177" t="str">
        <f>_ENGINE_Risk!CM649</f>
        <v>RISK-ONT-0150</v>
      </c>
      <c r="B151" s="177">
        <f>ROW(_ENGINE_Risk!A649)</f>
        <v>649</v>
      </c>
      <c r="C151" s="177" t="str">
        <f>_ENGINE_Risk!E649</f>
        <v>PHYS-010</v>
      </c>
      <c r="D151" s="177" t="str">
        <f>_ENGINE_Risk!C649</f>
        <v>Physical Safety</v>
      </c>
      <c r="E151" s="177" t="str">
        <f>_ENGINE_Risk!D649</f>
        <v>Facilities and access</v>
      </c>
      <c r="F151" s="177" t="str">
        <f>_ENGINE_Risk!F649</f>
        <v>Physical safety, security and facility resilience</v>
      </c>
      <c r="G151" s="177" t="str">
        <f>_ENGINE_Risk!G649</f>
        <v>Severe risk: visitor management covering identity checks, escorting, sensitive areas and evacuation accountability is not reliably controlled. During Safety incident; Physical site loss; War/security crisis; Natural disaster, the organization may face injury, unsafe facilities, uncontrolled access, asset loss and failure to protect people during incidents with limited visibility or accountability.</v>
      </c>
      <c r="H151" s="177" t="str">
        <f>_ENGINE_Risk!BT649</f>
        <v>CAP_IAM_PAM</v>
      </c>
      <c r="I151" s="177" t="str">
        <f>_ENGINE_Risk!BV649</f>
        <v>BRG-067</v>
      </c>
      <c r="J151" s="177" t="str">
        <f>_ENGINE_Risk!CE649</f>
        <v>IW-ALL-IAM_PAM</v>
      </c>
      <c r="K151" s="177" t="str">
        <f>_ENGINE_Risk!BY649</f>
        <v>TRT-IAM_PAM-INITIAL</v>
      </c>
      <c r="L151" s="177" t="str">
        <f>_ENGINE_Risk!CP649</f>
        <v>Active</v>
      </c>
      <c r="M151" s="177" t="str">
        <f>_ENGINE_Risk!CQ649</f>
        <v>OK: capability-driven</v>
      </c>
      <c r="N151" s="177" t="str">
        <f>_ENGINE_Risk!CS649</f>
        <v>Yes</v>
      </c>
      <c r="O151" s="177" t="str">
        <f>_ENGINE_Risk!CO649</f>
        <v>Physical Safety|Facilities and access|PHYS-010|CAP_IAM_PAM</v>
      </c>
      <c r="P151" s="177" t="str">
        <f>_ENGINE_Risk!CR649</f>
        <v>Risk ontology uses capability=CAP_IAM_PAM; bridge=BRG-067; treatment=TRT-IAM_PAM-INITIAL; wording=IW-ALL-IAM_PAM</v>
      </c>
    </row>
    <row r="152" spans="1:16" ht="99" customHeight="1">
      <c r="A152" s="177" t="str">
        <f>_ENGINE_Risk!CM650</f>
        <v>RISK-ONT-0151</v>
      </c>
      <c r="B152" s="177">
        <f>ROW(_ENGINE_Risk!A650)</f>
        <v>650</v>
      </c>
      <c r="C152" s="177" t="str">
        <f>_ENGINE_Risk!E650</f>
        <v>PHYS-011</v>
      </c>
      <c r="D152" s="177" t="str">
        <f>_ENGINE_Risk!C650</f>
        <v>Physical Safety</v>
      </c>
      <c r="E152" s="177" t="str">
        <f>_ENGINE_Risk!D650</f>
        <v>Facilities and access</v>
      </c>
      <c r="F152" s="177" t="str">
        <f>_ENGINE_Risk!F650</f>
        <v>Physical safety, security and facility resilience</v>
      </c>
      <c r="G152" s="177" t="str">
        <f>_ENGINE_Risk!G650</f>
        <v>Severe risk: security guarding, CCTV, alarm monitoring and response procedures is not reliably controlled. During Safety incident; Physical site loss; War/security crisis; Natural disaster, the organization may face injury, unsafe facilities, uncontrolled access, asset loss and failure to protect people during incidents with limited visibility or accountability.</v>
      </c>
      <c r="H152" s="177" t="str">
        <f>_ENGINE_Risk!BT650</f>
        <v>CAP_IAM_PAM</v>
      </c>
      <c r="I152" s="177" t="str">
        <f>_ENGINE_Risk!BV650</f>
        <v>BRG-067</v>
      </c>
      <c r="J152" s="177" t="str">
        <f>_ENGINE_Risk!CE650</f>
        <v>IW-ALL-IAM_PAM</v>
      </c>
      <c r="K152" s="177" t="str">
        <f>_ENGINE_Risk!BY650</f>
        <v>TRT-IAM_PAM-INITIAL</v>
      </c>
      <c r="L152" s="177" t="str">
        <f>_ENGINE_Risk!CP650</f>
        <v>Active</v>
      </c>
      <c r="M152" s="177" t="str">
        <f>_ENGINE_Risk!CQ650</f>
        <v>OK: capability-driven</v>
      </c>
      <c r="N152" s="177" t="str">
        <f>_ENGINE_Risk!CS650</f>
        <v>Yes</v>
      </c>
      <c r="O152" s="177" t="str">
        <f>_ENGINE_Risk!CO650</f>
        <v>Physical Safety|Facilities and access|PHYS-011|CAP_IAM_PAM</v>
      </c>
      <c r="P152" s="177" t="str">
        <f>_ENGINE_Risk!CR650</f>
        <v>Risk ontology uses capability=CAP_IAM_PAM; bridge=BRG-067; treatment=TRT-IAM_PAM-INITIAL; wording=IW-ALL-IAM_PAM</v>
      </c>
    </row>
    <row r="153" spans="1:16" ht="113.15" customHeight="1">
      <c r="A153" s="177" t="str">
        <f>_ENGINE_Risk!CM651</f>
        <v>RISK-ONT-0152</v>
      </c>
      <c r="B153" s="177">
        <f>ROW(_ENGINE_Risk!A651)</f>
        <v>651</v>
      </c>
      <c r="C153" s="177" t="str">
        <f>_ENGINE_Risk!E651</f>
        <v>PHYS-012</v>
      </c>
      <c r="D153" s="177" t="str">
        <f>_ENGINE_Risk!C651</f>
        <v>Physical Safety</v>
      </c>
      <c r="E153" s="177" t="str">
        <f>_ENGINE_Risk!D651</f>
        <v>Facilities and access</v>
      </c>
      <c r="F153" s="177" t="str">
        <f>_ENGINE_Risk!F651</f>
        <v>Physical safety, security and facility resilience</v>
      </c>
      <c r="G153" s="177" t="str">
        <f>_ENGINE_Risk!G651</f>
        <v>Severe risk: physical asset protection against theft, sabotage, environmental damage and unauthorized access is not reliably controlled. During Safety incident; Physical site loss; War/security crisis; Natural disaster, the organization may face injury, unsafe facilities, uncontrolled access, asset loss and failure to protect people during incidents with limited visibility or accountability.</v>
      </c>
      <c r="H153" s="177" t="str">
        <f>_ENGINE_Risk!BT651</f>
        <v>CAP_IAM_PAM</v>
      </c>
      <c r="I153" s="177" t="str">
        <f>_ENGINE_Risk!BV651</f>
        <v>BRG-067</v>
      </c>
      <c r="J153" s="177" t="str">
        <f>_ENGINE_Risk!CE651</f>
        <v>IW-ALL-IAM_PAM</v>
      </c>
      <c r="K153" s="177" t="str">
        <f>_ENGINE_Risk!BY651</f>
        <v>TRT-IAM_PAM-INITIAL</v>
      </c>
      <c r="L153" s="177" t="str">
        <f>_ENGINE_Risk!CP651</f>
        <v>Active</v>
      </c>
      <c r="M153" s="177" t="str">
        <f>_ENGINE_Risk!CQ651</f>
        <v>OK: capability-driven</v>
      </c>
      <c r="N153" s="177" t="str">
        <f>_ENGINE_Risk!CS651</f>
        <v>Yes</v>
      </c>
      <c r="O153" s="177" t="str">
        <f>_ENGINE_Risk!CO651</f>
        <v>Physical Safety|Facilities and access|PHYS-012|CAP_IAM_PAM</v>
      </c>
      <c r="P153" s="177" t="str">
        <f>_ENGINE_Risk!CR651</f>
        <v>Risk ontology uses capability=CAP_IAM_PAM; bridge=BRG-067; treatment=TRT-IAM_PAM-INITIAL; wording=IW-ALL-IAM_PAM</v>
      </c>
    </row>
    <row r="154" spans="1:16" ht="113.15" customHeight="1">
      <c r="A154" s="177" t="str">
        <f>_ENGINE_Risk!CM652</f>
        <v>RISK-ONT-0153</v>
      </c>
      <c r="B154" s="177">
        <f>ROW(_ENGINE_Risk!A652)</f>
        <v>652</v>
      </c>
      <c r="C154" s="177" t="str">
        <f>_ENGINE_Risk!E652</f>
        <v>PHYS-013</v>
      </c>
      <c r="D154" s="177" t="str">
        <f>_ENGINE_Risk!C652</f>
        <v>Physical Safety</v>
      </c>
      <c r="E154" s="177" t="str">
        <f>_ENGINE_Risk!D652</f>
        <v>Emergency response</v>
      </c>
      <c r="F154" s="177" t="str">
        <f>_ENGINE_Risk!F652</f>
        <v>Physical safety, security and facility resilience</v>
      </c>
      <c r="G154" s="177" t="str">
        <f>_ENGINE_Risk!G652</f>
        <v>Severe risk: emergency response plans for fire, medical emergency, violence, bomb threat, shelling, evacuation, shelter-in-place and utility failure is not reliably controlled. During Safety incident; Physical site loss; War/security crisis; Natural disaster, the organization may face injury, unsafe facilities, uncontrolled access, asset loss and failure to protect people during incidents with limited visibility or accountability.</v>
      </c>
      <c r="H154" s="177" t="str">
        <f>_ENGINE_Risk!BT652</f>
        <v>CAP_MES_SHOPFLOOR</v>
      </c>
      <c r="I154" s="177" t="str">
        <f>_ENGINE_Risk!BV652</f>
        <v>BRG-066</v>
      </c>
      <c r="J154" s="177" t="str">
        <f>_ENGINE_Risk!CE652</f>
        <v>IW-ALL-MES_SHOPFLOOR</v>
      </c>
      <c r="K154" s="177" t="str">
        <f>_ENGINE_Risk!BY652</f>
        <v>TRT-MES_SHOPFLOOR-INITIAL</v>
      </c>
      <c r="L154" s="177" t="str">
        <f>_ENGINE_Risk!CP652</f>
        <v>Active</v>
      </c>
      <c r="M154" s="177" t="str">
        <f>_ENGINE_Risk!CQ652</f>
        <v>OK: capability-driven</v>
      </c>
      <c r="N154" s="177" t="str">
        <f>_ENGINE_Risk!CS652</f>
        <v>Yes</v>
      </c>
      <c r="O154" s="177" t="str">
        <f>_ENGINE_Risk!CO652</f>
        <v>Physical Safety|Emergency response|PHYS-013|CAP_MES_SHOPFLOOR</v>
      </c>
      <c r="P154" s="177" t="str">
        <f>_ENGINE_Risk!CR652</f>
        <v>Risk ontology uses capability=CAP_MES_SHOPFLOOR; bridge=BRG-066; treatment=TRT-MES_SHOPFLOOR-INITIAL; wording=IW-ALL-MES_SHOPFLOOR</v>
      </c>
    </row>
    <row r="155" spans="1:16" ht="113.15" customHeight="1">
      <c r="A155" s="177" t="str">
        <f>_ENGINE_Risk!CM653</f>
        <v>RISK-ONT-0154</v>
      </c>
      <c r="B155" s="177">
        <f>ROW(_ENGINE_Risk!A653)</f>
        <v>653</v>
      </c>
      <c r="C155" s="177" t="str">
        <f>_ENGINE_Risk!E653</f>
        <v>PHYS-014</v>
      </c>
      <c r="D155" s="177" t="str">
        <f>_ENGINE_Risk!C653</f>
        <v>Physical Safety</v>
      </c>
      <c r="E155" s="177" t="str">
        <f>_ENGINE_Risk!D653</f>
        <v>Emergency response</v>
      </c>
      <c r="F155" s="177" t="str">
        <f>_ENGINE_Risk!F653</f>
        <v>Physical safety, security and facility resilience</v>
      </c>
      <c r="G155" s="177" t="str">
        <f>_ENGINE_Risk!G653</f>
        <v>Severe risk: evacuation and shelter drills with attendance, outcomes and corrective actions is not reliably controlled. During Safety incident; Physical site loss; War/security crisis; Natural disaster, the organization may face injury, unsafe facilities, uncontrolled access, asset loss and failure to protect people during incidents with limited visibility or accountability.</v>
      </c>
      <c r="H155" s="177" t="str">
        <f>_ENGINE_Risk!BT653</f>
        <v>CAP_MES_SHOPFLOOR</v>
      </c>
      <c r="I155" s="177" t="str">
        <f>_ENGINE_Risk!BV653</f>
        <v>BRG-066</v>
      </c>
      <c r="J155" s="177" t="str">
        <f>_ENGINE_Risk!CE653</f>
        <v>IW-ALL-MES_SHOPFLOOR</v>
      </c>
      <c r="K155" s="177" t="str">
        <f>_ENGINE_Risk!BY653</f>
        <v>TRT-MES_SHOPFLOOR-INITIAL</v>
      </c>
      <c r="L155" s="177" t="str">
        <f>_ENGINE_Risk!CP653</f>
        <v>Active</v>
      </c>
      <c r="M155" s="177" t="str">
        <f>_ENGINE_Risk!CQ653</f>
        <v>OK: capability-driven</v>
      </c>
      <c r="N155" s="177" t="str">
        <f>_ENGINE_Risk!CS653</f>
        <v>Yes</v>
      </c>
      <c r="O155" s="177" t="str">
        <f>_ENGINE_Risk!CO653</f>
        <v>Physical Safety|Emergency response|PHYS-014|CAP_MES_SHOPFLOOR</v>
      </c>
      <c r="P155" s="177" t="str">
        <f>_ENGINE_Risk!CR653</f>
        <v>Risk ontology uses capability=CAP_MES_SHOPFLOOR; bridge=BRG-066; treatment=TRT-MES_SHOPFLOOR-INITIAL; wording=IW-ALL-MES_SHOPFLOOR</v>
      </c>
    </row>
    <row r="156" spans="1:16" ht="113.15" customHeight="1">
      <c r="A156" s="177" t="str">
        <f>_ENGINE_Risk!CM654</f>
        <v>RISK-ONT-0155</v>
      </c>
      <c r="B156" s="177">
        <f>ROW(_ENGINE_Risk!A654)</f>
        <v>654</v>
      </c>
      <c r="C156" s="177" t="str">
        <f>_ENGINE_Risk!E654</f>
        <v>PHYS-015</v>
      </c>
      <c r="D156" s="177" t="str">
        <f>_ENGINE_Risk!C654</f>
        <v>Physical Safety</v>
      </c>
      <c r="E156" s="177" t="str">
        <f>_ENGINE_Risk!D654</f>
        <v>Emergency response</v>
      </c>
      <c r="F156" s="177" t="str">
        <f>_ENGINE_Risk!F654</f>
        <v>Physical safety, security and facility resilience</v>
      </c>
      <c r="G156" s="177" t="str">
        <f>_ENGINE_Risk!G654</f>
        <v>Severe risk: first aid readiness with trained responders, AEDs, medical contacts and first aid supplies is not reliably controlled. During Safety incident; Physical site loss; War/security crisis; Natural disaster, the organization may face injury, unsafe facilities, uncontrolled access, asset loss and failure to protect people during incidents with limited visibility or accountability.</v>
      </c>
      <c r="H156" s="177" t="str">
        <f>_ENGINE_Risk!BT654</f>
        <v>CAP_MES_SHOPFLOOR</v>
      </c>
      <c r="I156" s="177" t="str">
        <f>_ENGINE_Risk!BV654</f>
        <v>BRG-066</v>
      </c>
      <c r="J156" s="177" t="str">
        <f>_ENGINE_Risk!CE654</f>
        <v>IW-ALL-MES_SHOPFLOOR</v>
      </c>
      <c r="K156" s="177" t="str">
        <f>_ENGINE_Risk!BY654</f>
        <v>TRT-MES_SHOPFLOOR-INITIAL</v>
      </c>
      <c r="L156" s="177" t="str">
        <f>_ENGINE_Risk!CP654</f>
        <v>Active</v>
      </c>
      <c r="M156" s="177" t="str">
        <f>_ENGINE_Risk!CQ654</f>
        <v>OK: capability-driven</v>
      </c>
      <c r="N156" s="177" t="str">
        <f>_ENGINE_Risk!CS654</f>
        <v>Yes</v>
      </c>
      <c r="O156" s="177" t="str">
        <f>_ENGINE_Risk!CO654</f>
        <v>Physical Safety|Emergency response|PHYS-015|CAP_MES_SHOPFLOOR</v>
      </c>
      <c r="P156" s="177" t="str">
        <f>_ENGINE_Risk!CR654</f>
        <v>Risk ontology uses capability=CAP_MES_SHOPFLOOR; bridge=BRG-066; treatment=TRT-MES_SHOPFLOOR-INITIAL; wording=IW-ALL-MES_SHOPFLOOR</v>
      </c>
    </row>
    <row r="157" spans="1:16" ht="99" customHeight="1">
      <c r="A157" s="177" t="str">
        <f>_ENGINE_Risk!CM655</f>
        <v>RISK-ONT-0156</v>
      </c>
      <c r="B157" s="177">
        <f>ROW(_ENGINE_Risk!A655)</f>
        <v>655</v>
      </c>
      <c r="C157" s="177" t="str">
        <f>_ENGINE_Risk!E655</f>
        <v>PHYS-016</v>
      </c>
      <c r="D157" s="177" t="str">
        <f>_ENGINE_Risk!C655</f>
        <v>Physical Safety</v>
      </c>
      <c r="E157" s="177" t="str">
        <f>_ENGINE_Risk!D655</f>
        <v>Emergency response</v>
      </c>
      <c r="F157" s="177" t="str">
        <f>_ENGINE_Risk!F655</f>
        <v>Physical safety, security and facility resilience</v>
      </c>
      <c r="G157" s="177" t="str">
        <f>_ENGINE_Risk!G655</f>
        <v>Severe risk: mass notification to employees, visitors and contractors during site emergencies is not reliably controlled. During Safety incident; Physical site loss; War/security crisis; Natural disaster, the organization may face injury, unsafe facilities, uncontrolled access, asset loss and failure to protect people during incidents with limited visibility or accountability.</v>
      </c>
      <c r="H157" s="177" t="str">
        <f>_ENGINE_Risk!BT655</f>
        <v>CAP_MES_SHOPFLOOR</v>
      </c>
      <c r="I157" s="177" t="str">
        <f>_ENGINE_Risk!BV655</f>
        <v>BRG-066</v>
      </c>
      <c r="J157" s="177" t="str">
        <f>_ENGINE_Risk!CE655</f>
        <v>IW-ALL-MES_SHOPFLOOR</v>
      </c>
      <c r="K157" s="177" t="str">
        <f>_ENGINE_Risk!BY655</f>
        <v>TRT-MES_SHOPFLOOR-INITIAL</v>
      </c>
      <c r="L157" s="177" t="str">
        <f>_ENGINE_Risk!CP655</f>
        <v>Active</v>
      </c>
      <c r="M157" s="177" t="str">
        <f>_ENGINE_Risk!CQ655</f>
        <v>OK: capability-driven</v>
      </c>
      <c r="N157" s="177" t="str">
        <f>_ENGINE_Risk!CS655</f>
        <v>Yes</v>
      </c>
      <c r="O157" s="177" t="str">
        <f>_ENGINE_Risk!CO655</f>
        <v>Physical Safety|Emergency response|PHYS-016|CAP_MES_SHOPFLOOR</v>
      </c>
      <c r="P157" s="177" t="str">
        <f>_ENGINE_Risk!CR655</f>
        <v>Risk ontology uses capability=CAP_MES_SHOPFLOOR; bridge=BRG-066; treatment=TRT-MES_SHOPFLOOR-INITIAL; wording=IW-ALL-MES_SHOPFLOOR</v>
      </c>
    </row>
    <row r="158" spans="1:16" ht="99" customHeight="1">
      <c r="A158" s="177" t="str">
        <f>_ENGINE_Risk!CM656</f>
        <v>RISK-ONT-0157</v>
      </c>
      <c r="B158" s="177">
        <f>ROW(_ENGINE_Risk!A656)</f>
        <v>656</v>
      </c>
      <c r="C158" s="177" t="str">
        <f>_ENGINE_Risk!E656</f>
        <v>PHYS-017</v>
      </c>
      <c r="D158" s="177" t="str">
        <f>_ENGINE_Risk!C656</f>
        <v>Physical Safety</v>
      </c>
      <c r="E158" s="177" t="str">
        <f>_ENGINE_Risk!D656</f>
        <v>Emergency response</v>
      </c>
      <c r="F158" s="177" t="str">
        <f>_ENGINE_Risk!F656</f>
        <v>Physical safety, security and facility resilience</v>
      </c>
      <c r="G158" s="177" t="str">
        <f>_ENGINE_Risk!G656</f>
        <v>Severe risk: employee and visitor accountability after evacuation or sheltering is not reliably controlled. During Safety incident; Physical site loss; War/security crisis; Natural disaster, the organization may face injury, unsafe facilities, uncontrolled access, asset loss and failure to protect people during incidents with limited visibility or accountability.</v>
      </c>
      <c r="H158" s="177" t="str">
        <f>_ENGINE_Risk!BT656</f>
        <v>CAP_MES_SHOPFLOOR</v>
      </c>
      <c r="I158" s="177" t="str">
        <f>_ENGINE_Risk!BV656</f>
        <v>BRG-066</v>
      </c>
      <c r="J158" s="177" t="str">
        <f>_ENGINE_Risk!CE656</f>
        <v>IW-ALL-MES_SHOPFLOOR</v>
      </c>
      <c r="K158" s="177" t="str">
        <f>_ENGINE_Risk!BY656</f>
        <v>TRT-MES_SHOPFLOOR-INITIAL</v>
      </c>
      <c r="L158" s="177" t="str">
        <f>_ENGINE_Risk!CP656</f>
        <v>Active</v>
      </c>
      <c r="M158" s="177" t="str">
        <f>_ENGINE_Risk!CQ656</f>
        <v>OK: capability-driven</v>
      </c>
      <c r="N158" s="177" t="str">
        <f>_ENGINE_Risk!CS656</f>
        <v>Yes</v>
      </c>
      <c r="O158" s="177" t="str">
        <f>_ENGINE_Risk!CO656</f>
        <v>Physical Safety|Emergency response|PHYS-017|CAP_MES_SHOPFLOOR</v>
      </c>
      <c r="P158" s="177" t="str">
        <f>_ENGINE_Risk!CR656</f>
        <v>Risk ontology uses capability=CAP_MES_SHOPFLOOR; bridge=BRG-066; treatment=TRT-MES_SHOPFLOOR-INITIAL; wording=IW-ALL-MES_SHOPFLOOR</v>
      </c>
    </row>
    <row r="159" spans="1:16" ht="113.15" customHeight="1">
      <c r="A159" s="177" t="str">
        <f>_ENGINE_Risk!CM657</f>
        <v>RISK-ONT-0158</v>
      </c>
      <c r="B159" s="177">
        <f>ROW(_ENGINE_Risk!A657)</f>
        <v>657</v>
      </c>
      <c r="C159" s="177" t="str">
        <f>_ENGINE_Risk!E657</f>
        <v>PHYS-018</v>
      </c>
      <c r="D159" s="177" t="str">
        <f>_ENGINE_Risk!C657</f>
        <v>Physical Safety</v>
      </c>
      <c r="E159" s="177" t="str">
        <f>_ENGINE_Risk!D657</f>
        <v>Emergency response</v>
      </c>
      <c r="F159" s="177" t="str">
        <f>_ENGINE_Risk!F657</f>
        <v>Physical safety, security and facility resilience</v>
      </c>
      <c r="G159" s="177" t="str">
        <f>_ENGINE_Risk!G657</f>
        <v>Severe risk: emergency supplies such as water, batteries, power banks, fuel, PPE, radios and flashlights is not reliably controlled. During Safety incident; Physical site loss; War/security crisis; Natural disaster, the organization may face injury, unsafe facilities, uncontrolled access, asset loss and failure to protect people during incidents with limited visibility or accountability.</v>
      </c>
      <c r="H159" s="177" t="str">
        <f>_ENGINE_Risk!BT657</f>
        <v>CAP_MES_SHOPFLOOR</v>
      </c>
      <c r="I159" s="177" t="str">
        <f>_ENGINE_Risk!BV657</f>
        <v>BRG-066</v>
      </c>
      <c r="J159" s="177" t="str">
        <f>_ENGINE_Risk!CE657</f>
        <v>IW-ALL-MES_SHOPFLOOR</v>
      </c>
      <c r="K159" s="177" t="str">
        <f>_ENGINE_Risk!BY657</f>
        <v>TRT-MES_SHOPFLOOR-INITIAL</v>
      </c>
      <c r="L159" s="177" t="str">
        <f>_ENGINE_Risk!CP657</f>
        <v>Active</v>
      </c>
      <c r="M159" s="177" t="str">
        <f>_ENGINE_Risk!CQ657</f>
        <v>OK: capability-driven</v>
      </c>
      <c r="N159" s="177" t="str">
        <f>_ENGINE_Risk!CS657</f>
        <v>Yes</v>
      </c>
      <c r="O159" s="177" t="str">
        <f>_ENGINE_Risk!CO657</f>
        <v>Physical Safety|Emergency response|PHYS-018|CAP_MES_SHOPFLOOR</v>
      </c>
      <c r="P159" s="177" t="str">
        <f>_ENGINE_Risk!CR657</f>
        <v>Risk ontology uses capability=CAP_MES_SHOPFLOOR; bridge=BRG-066; treatment=TRT-MES_SHOPFLOOR-INITIAL; wording=IW-ALL-MES_SHOPFLOOR</v>
      </c>
    </row>
    <row r="160" spans="1:16" ht="113.15" customHeight="1">
      <c r="A160" s="177" t="str">
        <f>_ENGINE_Risk!CM658</f>
        <v>RISK-ONT-0159</v>
      </c>
      <c r="B160" s="177">
        <f>ROW(_ENGINE_Risk!A658)</f>
        <v>658</v>
      </c>
      <c r="C160" s="177" t="str">
        <f>_ENGINE_Risk!E658</f>
        <v>PHYS-019</v>
      </c>
      <c r="D160" s="177" t="str">
        <f>_ENGINE_Risk!C658</f>
        <v>Physical Safety</v>
      </c>
      <c r="E160" s="177" t="str">
        <f>_ENGINE_Risk!D658</f>
        <v>Security and travel</v>
      </c>
      <c r="F160" s="177" t="str">
        <f>_ENGINE_Risk!F658</f>
        <v>Physical safety, security and facility resilience</v>
      </c>
      <c r="G160" s="177" t="str">
        <f>_ENGINE_Risk!G658</f>
        <v>Severe risk: air raid, shelling, curfew, checkpoints, movement restriction and shelter procedures for high-risk geographies is not reliably controlled. During Safety incident; Physical site loss; War/security crisis; Natural disaster, the organization may face injury, unsafe facilities, uncontrolled access, asset loss and failure to protect people during incidents with limited visibility or accountability.</v>
      </c>
      <c r="H160" s="177" t="str">
        <f>_ENGINE_Risk!BT658</f>
        <v>CAP_BACKUP_RECOVERY</v>
      </c>
      <c r="I160" s="177" t="str">
        <f>_ENGINE_Risk!BV658</f>
        <v>BRG-069</v>
      </c>
      <c r="J160" s="177" t="str">
        <f>_ENGINE_Risk!CE658</f>
        <v>IW-ALL-BACKUP_RECOVERY</v>
      </c>
      <c r="K160" s="177" t="str">
        <f>_ENGINE_Risk!BY658</f>
        <v>TRT-BACKUP_RECOVERY-INITIAL</v>
      </c>
      <c r="L160" s="177" t="str">
        <f>_ENGINE_Risk!CP658</f>
        <v>Active</v>
      </c>
      <c r="M160" s="177" t="str">
        <f>_ENGINE_Risk!CQ658</f>
        <v>OK: capability-driven</v>
      </c>
      <c r="N160" s="177" t="str">
        <f>_ENGINE_Risk!CS658</f>
        <v>Yes</v>
      </c>
      <c r="O160" s="177" t="str">
        <f>_ENGINE_Risk!CO658</f>
        <v>Physical Safety|Security and travel|PHYS-019|CAP_BACKUP_RECOVERY</v>
      </c>
      <c r="P160" s="177" t="str">
        <f>_ENGINE_Risk!CR658</f>
        <v>Risk ontology uses capability=CAP_BACKUP_RECOVERY; bridge=BRG-069; treatment=TRT-BACKUP_RECOVERY-INITIAL; wording=IW-ALL-BACKUP_RECOVERY</v>
      </c>
    </row>
    <row r="161" spans="1:16" ht="99" customHeight="1">
      <c r="A161" s="177" t="str">
        <f>_ENGINE_Risk!CM659</f>
        <v>RISK-ONT-0160</v>
      </c>
      <c r="B161" s="177">
        <f>ROW(_ENGINE_Risk!A659)</f>
        <v>659</v>
      </c>
      <c r="C161" s="177" t="str">
        <f>_ENGINE_Risk!E659</f>
        <v>PHYS-020</v>
      </c>
      <c r="D161" s="177" t="str">
        <f>_ENGINE_Risk!C659</f>
        <v>Physical Safety</v>
      </c>
      <c r="E161" s="177" t="str">
        <f>_ENGINE_Risk!D659</f>
        <v>Security and travel</v>
      </c>
      <c r="F161" s="177" t="str">
        <f>_ENGINE_Risk!F659</f>
        <v>Physical safety, security and facility resilience</v>
      </c>
      <c r="G161" s="177" t="str">
        <f>_ENGINE_Risk!G659</f>
        <v>Severe risk: relocation and evacuation options for employees and critical teams is not reliably controlled. During Safety incident; Physical site loss; War/security crisis; Natural disaster, the organization may face injury, unsafe facilities, uncontrolled access, asset loss and failure to protect people during incidents with limited visibility or accountability.</v>
      </c>
      <c r="H161" s="177" t="str">
        <f>_ENGINE_Risk!BT659</f>
        <v>CAP_BACKUP_RECOVERY</v>
      </c>
      <c r="I161" s="177" t="str">
        <f>_ENGINE_Risk!BV659</f>
        <v>BRG-069</v>
      </c>
      <c r="J161" s="177" t="str">
        <f>_ENGINE_Risk!CE659</f>
        <v>IW-ALL-BACKUP_RECOVERY</v>
      </c>
      <c r="K161" s="177" t="str">
        <f>_ENGINE_Risk!BY659</f>
        <v>TRT-BACKUP_RECOVERY-INITIAL</v>
      </c>
      <c r="L161" s="177" t="str">
        <f>_ENGINE_Risk!CP659</f>
        <v>Active</v>
      </c>
      <c r="M161" s="177" t="str">
        <f>_ENGINE_Risk!CQ659</f>
        <v>OK: capability-driven</v>
      </c>
      <c r="N161" s="177" t="str">
        <f>_ENGINE_Risk!CS659</f>
        <v>Yes</v>
      </c>
      <c r="O161" s="177" t="str">
        <f>_ENGINE_Risk!CO659</f>
        <v>Physical Safety|Security and travel|PHYS-020|CAP_BACKUP_RECOVERY</v>
      </c>
      <c r="P161" s="177" t="str">
        <f>_ENGINE_Risk!CR659</f>
        <v>Risk ontology uses capability=CAP_BACKUP_RECOVERY; bridge=BRG-069; treatment=TRT-BACKUP_RECOVERY-INITIAL; wording=IW-ALL-BACKUP_RECOVERY</v>
      </c>
    </row>
    <row r="162" spans="1:16" ht="113.15" customHeight="1">
      <c r="A162" s="177" t="str">
        <f>_ENGINE_Risk!CM660</f>
        <v>RISK-ONT-0161</v>
      </c>
      <c r="B162" s="177">
        <f>ROW(_ENGINE_Risk!A660)</f>
        <v>660</v>
      </c>
      <c r="C162" s="177" t="str">
        <f>_ENGINE_Risk!E660</f>
        <v>PHYS-021</v>
      </c>
      <c r="D162" s="177" t="str">
        <f>_ENGINE_Risk!C660</f>
        <v>Physical Safety</v>
      </c>
      <c r="E162" s="177" t="str">
        <f>_ENGINE_Risk!D660</f>
        <v>Security and travel</v>
      </c>
      <c r="F162" s="177" t="str">
        <f>_ENGINE_Risk!F660</f>
        <v>Physical safety, security and facility resilience</v>
      </c>
      <c r="G162" s="177" t="str">
        <f>_ENGINE_Risk!G660</f>
        <v>Severe risk: travel risk assessment by destination, route, purpose, employee profile and emergency support is not reliably controlled. During Safety incident; Physical site loss; War/security crisis; Natural disaster, the organization may face injury, unsafe facilities, uncontrolled access, asset loss and failure to protect people during incidents with limited visibility or accountability.</v>
      </c>
      <c r="H162" s="177" t="str">
        <f>_ENGINE_Risk!BT660</f>
        <v>CAP_BACKUP_RECOVERY</v>
      </c>
      <c r="I162" s="177" t="str">
        <f>_ENGINE_Risk!BV660</f>
        <v>BRG-069</v>
      </c>
      <c r="J162" s="177" t="str">
        <f>_ENGINE_Risk!CE660</f>
        <v>IW-ALL-BACKUP_RECOVERY</v>
      </c>
      <c r="K162" s="177" t="str">
        <f>_ENGINE_Risk!BY660</f>
        <v>TRT-BACKUP_RECOVERY-INITIAL</v>
      </c>
      <c r="L162" s="177" t="str">
        <f>_ENGINE_Risk!CP660</f>
        <v>Active</v>
      </c>
      <c r="M162" s="177" t="str">
        <f>_ENGINE_Risk!CQ660</f>
        <v>OK: capability-driven</v>
      </c>
      <c r="N162" s="177" t="str">
        <f>_ENGINE_Risk!CS660</f>
        <v>Yes</v>
      </c>
      <c r="O162" s="177" t="str">
        <f>_ENGINE_Risk!CO660</f>
        <v>Physical Safety|Security and travel|PHYS-021|CAP_BACKUP_RECOVERY</v>
      </c>
      <c r="P162" s="177" t="str">
        <f>_ENGINE_Risk!CR660</f>
        <v>Risk ontology uses capability=CAP_BACKUP_RECOVERY; bridge=BRG-069; treatment=TRT-BACKUP_RECOVERY-INITIAL; wording=IW-ALL-BACKUP_RECOVERY</v>
      </c>
    </row>
    <row r="163" spans="1:16" ht="99" customHeight="1">
      <c r="A163" s="177" t="str">
        <f>_ENGINE_Risk!CM661</f>
        <v>RISK-ONT-0162</v>
      </c>
      <c r="B163" s="177">
        <f>ROW(_ENGINE_Risk!A661)</f>
        <v>661</v>
      </c>
      <c r="C163" s="177" t="str">
        <f>_ENGINE_Risk!E661</f>
        <v>PHYS-022</v>
      </c>
      <c r="D163" s="177" t="str">
        <f>_ENGINE_Risk!C661</f>
        <v>Physical Safety</v>
      </c>
      <c r="E163" s="177" t="str">
        <f>_ENGINE_Risk!D661</f>
        <v>Security and travel</v>
      </c>
      <c r="F163" s="177" t="str">
        <f>_ENGINE_Risk!F661</f>
        <v>Physical safety, security and facility resilience</v>
      </c>
      <c r="G163" s="177" t="str">
        <f>_ENGINE_Risk!G661</f>
        <v>Severe risk: local threat monitoring for critical sites and geographies is not reliably controlled. During Safety incident; Physical site loss; War/security crisis; Natural disaster, the organization may face injury, unsafe facilities, uncontrolled access, asset loss and failure to protect people during incidents with limited visibility or accountability.</v>
      </c>
      <c r="H163" s="177" t="str">
        <f>_ENGINE_Risk!BT661</f>
        <v>CAP_BACKUP_RECOVERY</v>
      </c>
      <c r="I163" s="177" t="str">
        <f>_ENGINE_Risk!BV661</f>
        <v>BRG-069</v>
      </c>
      <c r="J163" s="177" t="str">
        <f>_ENGINE_Risk!CE661</f>
        <v>IW-ALL-BACKUP_RECOVERY</v>
      </c>
      <c r="K163" s="177" t="str">
        <f>_ENGINE_Risk!BY661</f>
        <v>TRT-BACKUP_RECOVERY-INITIAL</v>
      </c>
      <c r="L163" s="177" t="str">
        <f>_ENGINE_Risk!CP661</f>
        <v>Active</v>
      </c>
      <c r="M163" s="177" t="str">
        <f>_ENGINE_Risk!CQ661</f>
        <v>OK: capability-driven</v>
      </c>
      <c r="N163" s="177" t="str">
        <f>_ENGINE_Risk!CS661</f>
        <v>Yes</v>
      </c>
      <c r="O163" s="177" t="str">
        <f>_ENGINE_Risk!CO661</f>
        <v>Physical Safety|Security and travel|PHYS-022|CAP_BACKUP_RECOVERY</v>
      </c>
      <c r="P163" s="177" t="str">
        <f>_ENGINE_Risk!CR661</f>
        <v>Risk ontology uses capability=CAP_BACKUP_RECOVERY; bridge=BRG-069; treatment=TRT-BACKUP_RECOVERY-INITIAL; wording=IW-ALL-BACKUP_RECOVERY</v>
      </c>
    </row>
    <row r="164" spans="1:16" ht="99" customHeight="1">
      <c r="A164" s="177" t="str">
        <f>_ENGINE_Risk!CM662</f>
        <v>RISK-ONT-0163</v>
      </c>
      <c r="B164" s="177">
        <f>ROW(_ENGINE_Risk!A662)</f>
        <v>662</v>
      </c>
      <c r="C164" s="177" t="str">
        <f>_ENGINE_Risk!E662</f>
        <v>PHYS-023</v>
      </c>
      <c r="D164" s="177" t="str">
        <f>_ENGINE_Risk!C662</f>
        <v>Physical Safety</v>
      </c>
      <c r="E164" s="177" t="str">
        <f>_ENGINE_Risk!D662</f>
        <v>Security and travel</v>
      </c>
      <c r="F164" s="177" t="str">
        <f>_ENGINE_Risk!F662</f>
        <v>Physical safety, security and facility resilience</v>
      </c>
      <c r="G164" s="177" t="str">
        <f>_ENGINE_Risk!G662</f>
        <v>Severe risk: coordination with fire, police, medical, local administration and utility providers is not reliably controlled. During Safety incident; Physical site loss; War/security crisis; Natural disaster, the organization may face injury, unsafe facilities, uncontrolled access, asset loss and failure to protect people during incidents with limited visibility or accountability.</v>
      </c>
      <c r="H164" s="177" t="str">
        <f>_ENGINE_Risk!BT662</f>
        <v>CAP_BACKUP_RECOVERY</v>
      </c>
      <c r="I164" s="177" t="str">
        <f>_ENGINE_Risk!BV662</f>
        <v>BRG-069</v>
      </c>
      <c r="J164" s="177" t="str">
        <f>_ENGINE_Risk!CE662</f>
        <v>IW-ALL-BACKUP_RECOVERY</v>
      </c>
      <c r="K164" s="177" t="str">
        <f>_ENGINE_Risk!BY662</f>
        <v>TRT-BACKUP_RECOVERY-INITIAL</v>
      </c>
      <c r="L164" s="177" t="str">
        <f>_ENGINE_Risk!CP662</f>
        <v>Active</v>
      </c>
      <c r="M164" s="177" t="str">
        <f>_ENGINE_Risk!CQ662</f>
        <v>OK: capability-driven</v>
      </c>
      <c r="N164" s="177" t="str">
        <f>_ENGINE_Risk!CS662</f>
        <v>Yes</v>
      </c>
      <c r="O164" s="177" t="str">
        <f>_ENGINE_Risk!CO662</f>
        <v>Physical Safety|Security and travel|PHYS-023|CAP_BACKUP_RECOVERY</v>
      </c>
      <c r="P164" s="177" t="str">
        <f>_ENGINE_Risk!CR662</f>
        <v>Risk ontology uses capability=CAP_BACKUP_RECOVERY; bridge=BRG-069; treatment=TRT-BACKUP_RECOVERY-INITIAL; wording=IW-ALL-BACKUP_RECOVERY</v>
      </c>
    </row>
    <row r="165" spans="1:16" ht="99" customHeight="1">
      <c r="A165" s="177" t="str">
        <f>_ENGINE_Risk!CM663</f>
        <v>RISK-ONT-0164</v>
      </c>
      <c r="B165" s="177">
        <f>ROW(_ENGINE_Risk!A663)</f>
        <v>663</v>
      </c>
      <c r="C165" s="177" t="str">
        <f>_ENGINE_Risk!E663</f>
        <v>PHYS-024</v>
      </c>
      <c r="D165" s="177" t="str">
        <f>_ENGINE_Risk!C663</f>
        <v>Physical Safety</v>
      </c>
      <c r="E165" s="177" t="str">
        <f>_ENGINE_Risk!D663</f>
        <v>Utilities and resilience</v>
      </c>
      <c r="F165" s="177" t="str">
        <f>_ENGINE_Risk!F663</f>
        <v>Physical safety, security and facility resilience</v>
      </c>
      <c r="G165" s="177" t="str">
        <f>_ENGINE_Risk!G663</f>
        <v>Severe risk: backup power for critical sites with capacity, maintenance, fuel and test records is not reliably controlled. During Safety incident; Physical site loss; War/security crisis; Natural disaster, the organization may face injury, unsafe facilities, uncontrolled access, asset loss and failure to protect people during incidents with limited visibility or accountability.</v>
      </c>
      <c r="H165" s="177" t="str">
        <f>_ENGINE_Risk!BT663</f>
        <v>CAP_BACKUP_RECOVERY</v>
      </c>
      <c r="I165" s="177" t="str">
        <f>_ENGINE_Risk!BV663</f>
        <v>BRG-070</v>
      </c>
      <c r="J165" s="177" t="str">
        <f>_ENGINE_Risk!CE663</f>
        <v>IW-ALL-BACKUP_RECOVERY</v>
      </c>
      <c r="K165" s="177" t="str">
        <f>_ENGINE_Risk!BY663</f>
        <v>TRT-BACKUP_RECOVERY-INITIAL</v>
      </c>
      <c r="L165" s="177" t="str">
        <f>_ENGINE_Risk!CP663</f>
        <v>Active</v>
      </c>
      <c r="M165" s="177" t="str">
        <f>_ENGINE_Risk!CQ663</f>
        <v>OK: capability-driven</v>
      </c>
      <c r="N165" s="177" t="str">
        <f>_ENGINE_Risk!CS663</f>
        <v>Yes</v>
      </c>
      <c r="O165" s="177" t="str">
        <f>_ENGINE_Risk!CO663</f>
        <v>Physical Safety|Utilities and resilience|PHYS-024|CAP_BACKUP_RECOVERY</v>
      </c>
      <c r="P165" s="177" t="str">
        <f>_ENGINE_Risk!CR663</f>
        <v>Risk ontology uses capability=CAP_BACKUP_RECOVERY; bridge=BRG-070; treatment=TRT-BACKUP_RECOVERY-INITIAL; wording=IW-ALL-BACKUP_RECOVERY</v>
      </c>
    </row>
    <row r="166" spans="1:16" ht="99" customHeight="1">
      <c r="A166" s="177" t="str">
        <f>_ENGINE_Risk!CM664</f>
        <v>RISK-ONT-0165</v>
      </c>
      <c r="B166" s="177">
        <f>ROW(_ENGINE_Risk!A664)</f>
        <v>664</v>
      </c>
      <c r="C166" s="177" t="str">
        <f>_ENGINE_Risk!E664</f>
        <v>PHYS-025</v>
      </c>
      <c r="D166" s="177" t="str">
        <f>_ENGINE_Risk!C664</f>
        <v>Physical Safety</v>
      </c>
      <c r="E166" s="177" t="str">
        <f>_ENGINE_Risk!D664</f>
        <v>Utilities and resilience</v>
      </c>
      <c r="F166" s="177" t="str">
        <f>_ENGINE_Risk!F664</f>
        <v>Physical safety, security and facility resilience</v>
      </c>
      <c r="G166" s="177" t="str">
        <f>_ENGINE_Risk!G664</f>
        <v>Severe risk: water, sanitation, HVAC and environmental controls in facility continuity plans is not reliably controlled. During Safety incident; Physical site loss; War/security crisis; Natural disaster, the organization may face injury, unsafe facilities, uncontrolled access, asset loss and failure to protect people during incidents with limited visibility or accountability.</v>
      </c>
      <c r="H166" s="177" t="str">
        <f>_ENGINE_Risk!BT664</f>
        <v>CAP_BACKUP_RECOVERY</v>
      </c>
      <c r="I166" s="177" t="str">
        <f>_ENGINE_Risk!BV664</f>
        <v>BRG-070</v>
      </c>
      <c r="J166" s="177" t="str">
        <f>_ENGINE_Risk!CE664</f>
        <v>IW-ALL-BACKUP_RECOVERY</v>
      </c>
      <c r="K166" s="177" t="str">
        <f>_ENGINE_Risk!BY664</f>
        <v>TRT-BACKUP_RECOVERY-INITIAL</v>
      </c>
      <c r="L166" s="177" t="str">
        <f>_ENGINE_Risk!CP664</f>
        <v>Active</v>
      </c>
      <c r="M166" s="177" t="str">
        <f>_ENGINE_Risk!CQ664</f>
        <v>OK: capability-driven</v>
      </c>
      <c r="N166" s="177" t="str">
        <f>_ENGINE_Risk!CS664</f>
        <v>Yes</v>
      </c>
      <c r="O166" s="177" t="str">
        <f>_ENGINE_Risk!CO664</f>
        <v>Physical Safety|Utilities and resilience|PHYS-025|CAP_BACKUP_RECOVERY</v>
      </c>
      <c r="P166" s="177" t="str">
        <f>_ENGINE_Risk!CR664</f>
        <v>Risk ontology uses capability=CAP_BACKUP_RECOVERY; bridge=BRG-070; treatment=TRT-BACKUP_RECOVERY-INITIAL; wording=IW-ALL-BACKUP_RECOVERY</v>
      </c>
    </row>
    <row r="167" spans="1:16" ht="99" customHeight="1">
      <c r="A167" s="177" t="str">
        <f>_ENGINE_Risk!CM665</f>
        <v>RISK-ONT-0166</v>
      </c>
      <c r="B167" s="177">
        <f>ROW(_ENGINE_Risk!A665)</f>
        <v>665</v>
      </c>
      <c r="C167" s="177" t="str">
        <f>_ENGINE_Risk!E665</f>
        <v>PHYS-026</v>
      </c>
      <c r="D167" s="177" t="str">
        <f>_ENGINE_Risk!C665</f>
        <v>Physical Safety</v>
      </c>
      <c r="E167" s="177" t="str">
        <f>_ENGINE_Risk!D665</f>
        <v>Utilities and resilience</v>
      </c>
      <c r="F167" s="177" t="str">
        <f>_ENGINE_Risk!F665</f>
        <v>Physical safety, security and facility resilience</v>
      </c>
      <c r="G167" s="177" t="str">
        <f>_ENGINE_Risk!G665</f>
        <v>Severe risk: backup internet and telecom connectivity at critical sites is not reliably controlled. During Safety incident; Physical site loss; War/security crisis; Natural disaster, the organization may face injury, unsafe facilities, uncontrolled access, asset loss and failure to protect people during incidents with limited visibility or accountability.</v>
      </c>
      <c r="H167" s="177" t="str">
        <f>_ENGINE_Risk!BT665</f>
        <v>CAP_BACKUP_RECOVERY</v>
      </c>
      <c r="I167" s="177" t="str">
        <f>_ENGINE_Risk!BV665</f>
        <v>BRG-070</v>
      </c>
      <c r="J167" s="177" t="str">
        <f>_ENGINE_Risk!CE665</f>
        <v>IW-ALL-BACKUP_RECOVERY</v>
      </c>
      <c r="K167" s="177" t="str">
        <f>_ENGINE_Risk!BY665</f>
        <v>TRT-BACKUP_RECOVERY-INITIAL</v>
      </c>
      <c r="L167" s="177" t="str">
        <f>_ENGINE_Risk!CP665</f>
        <v>Active</v>
      </c>
      <c r="M167" s="177" t="str">
        <f>_ENGINE_Risk!CQ665</f>
        <v>OK: capability-driven</v>
      </c>
      <c r="N167" s="177" t="str">
        <f>_ENGINE_Risk!CS665</f>
        <v>Yes</v>
      </c>
      <c r="O167" s="177" t="str">
        <f>_ENGINE_Risk!CO665</f>
        <v>Physical Safety|Utilities and resilience|PHYS-026|CAP_BACKUP_RECOVERY</v>
      </c>
      <c r="P167" s="177" t="str">
        <f>_ENGINE_Risk!CR665</f>
        <v>Risk ontology uses capability=CAP_BACKUP_RECOVERY; bridge=BRG-070; treatment=TRT-BACKUP_RECOVERY-INITIAL; wording=IW-ALL-BACKUP_RECOVERY</v>
      </c>
    </row>
    <row r="168" spans="1:16" ht="99" customHeight="1">
      <c r="A168" s="177" t="str">
        <f>_ENGINE_Risk!CM666</f>
        <v>RISK-ONT-0167</v>
      </c>
      <c r="B168" s="177">
        <f>ROW(_ENGINE_Risk!A666)</f>
        <v>666</v>
      </c>
      <c r="C168" s="177" t="str">
        <f>_ENGINE_Risk!E666</f>
        <v>PHYS-027</v>
      </c>
      <c r="D168" s="177" t="str">
        <f>_ENGINE_Risk!C666</f>
        <v>Physical Safety</v>
      </c>
      <c r="E168" s="177" t="str">
        <f>_ENGINE_Risk!D666</f>
        <v>Utilities and resilience</v>
      </c>
      <c r="F168" s="177" t="str">
        <f>_ENGINE_Risk!F666</f>
        <v>Physical safety, security and facility resilience</v>
      </c>
      <c r="G168" s="177" t="str">
        <f>_ENGINE_Risk!G666</f>
        <v>Severe risk: preventive maintenance for safety-critical facility systems is not reliably controlled. During Safety incident; Physical site loss; War/security crisis; Natural disaster, the organization may face injury, unsafe facilities, uncontrolled access, asset loss and failure to protect people during incidents with limited visibility or accountability.</v>
      </c>
      <c r="H168" s="177" t="str">
        <f>_ENGINE_Risk!BT666</f>
        <v>CAP_BACKUP_RECOVERY</v>
      </c>
      <c r="I168" s="177" t="str">
        <f>_ENGINE_Risk!BV666</f>
        <v>BRG-070</v>
      </c>
      <c r="J168" s="177" t="str">
        <f>_ENGINE_Risk!CE666</f>
        <v>IW-ALL-BACKUP_RECOVERY</v>
      </c>
      <c r="K168" s="177" t="str">
        <f>_ENGINE_Risk!BY666</f>
        <v>TRT-BACKUP_RECOVERY-INITIAL</v>
      </c>
      <c r="L168" s="177" t="str">
        <f>_ENGINE_Risk!CP666</f>
        <v>Active</v>
      </c>
      <c r="M168" s="177" t="str">
        <f>_ENGINE_Risk!CQ666</f>
        <v>OK: capability-driven</v>
      </c>
      <c r="N168" s="177" t="str">
        <f>_ENGINE_Risk!CS666</f>
        <v>Yes</v>
      </c>
      <c r="O168" s="177" t="str">
        <f>_ENGINE_Risk!CO666</f>
        <v>Physical Safety|Utilities and resilience|PHYS-027|CAP_BACKUP_RECOVERY</v>
      </c>
      <c r="P168" s="177" t="str">
        <f>_ENGINE_Risk!CR666</f>
        <v>Risk ontology uses capability=CAP_BACKUP_RECOVERY; bridge=BRG-070; treatment=TRT-BACKUP_RECOVERY-INITIAL; wording=IW-ALL-BACKUP_RECOVERY</v>
      </c>
    </row>
    <row r="169" spans="1:16" ht="113.15" customHeight="1">
      <c r="A169" s="177" t="str">
        <f>_ENGINE_Risk!CM667</f>
        <v>RISK-ONT-0168</v>
      </c>
      <c r="B169" s="177">
        <f>ROW(_ENGINE_Risk!A667)</f>
        <v>667</v>
      </c>
      <c r="C169" s="177" t="str">
        <f>_ENGINE_Risk!E667</f>
        <v>PHYS-028</v>
      </c>
      <c r="D169" s="177" t="str">
        <f>_ENGINE_Risk!C667</f>
        <v>Physical Safety</v>
      </c>
      <c r="E169" s="177" t="str">
        <f>_ENGINE_Risk!D667</f>
        <v>Utilities and resilience</v>
      </c>
      <c r="F169" s="177" t="str">
        <f>_ENGINE_Risk!F667</f>
        <v>Physical safety, security and facility resilience</v>
      </c>
      <c r="G169" s="177" t="str">
        <f>_ENGINE_Risk!G667</f>
        <v>Severe risk: alternative worksites, temporary facilities, coworking spaces or remote-work options if a site is lost is not reliably controlled. During Safety incident; Physical site loss; War/security crisis; Natural disaster, the organization may face injury, unsafe facilities, uncontrolled access, asset loss and failure to protect people during incidents with limited visibility or accountability.</v>
      </c>
      <c r="H169" s="177" t="str">
        <f>_ENGINE_Risk!BT667</f>
        <v>CAP_BACKUP_RECOVERY</v>
      </c>
      <c r="I169" s="177" t="str">
        <f>_ENGINE_Risk!BV667</f>
        <v>BRG-070</v>
      </c>
      <c r="J169" s="177" t="str">
        <f>_ENGINE_Risk!CE667</f>
        <v>IW-ALL-BACKUP_RECOVERY</v>
      </c>
      <c r="K169" s="177" t="str">
        <f>_ENGINE_Risk!BY667</f>
        <v>TRT-BACKUP_RECOVERY-INITIAL</v>
      </c>
      <c r="L169" s="177" t="str">
        <f>_ENGINE_Risk!CP667</f>
        <v>Active</v>
      </c>
      <c r="M169" s="177" t="str">
        <f>_ENGINE_Risk!CQ667</f>
        <v>OK: capability-driven</v>
      </c>
      <c r="N169" s="177" t="str">
        <f>_ENGINE_Risk!CS667</f>
        <v>Yes</v>
      </c>
      <c r="O169" s="177" t="str">
        <f>_ENGINE_Risk!CO667</f>
        <v>Physical Safety|Utilities and resilience|PHYS-028|CAP_BACKUP_RECOVERY</v>
      </c>
      <c r="P169" s="177" t="str">
        <f>_ENGINE_Risk!CR667</f>
        <v>Risk ontology uses capability=CAP_BACKUP_RECOVERY; bridge=BRG-070; treatment=TRT-BACKUP_RECOVERY-INITIAL; wording=IW-ALL-BACKUP_RECOVERY</v>
      </c>
    </row>
    <row r="170" spans="1:16" ht="99" customHeight="1">
      <c r="A170" s="177" t="str">
        <f>_ENGINE_Risk!CM668</f>
        <v>RISK-ONT-0169</v>
      </c>
      <c r="B170" s="177">
        <f>ROW(_ENGINE_Risk!A668)</f>
        <v>668</v>
      </c>
      <c r="C170" s="177" t="str">
        <f>_ENGINE_Risk!E668</f>
        <v>PHYS-029</v>
      </c>
      <c r="D170" s="177" t="str">
        <f>_ENGINE_Risk!C668</f>
        <v>Physical Safety</v>
      </c>
      <c r="E170" s="177" t="str">
        <f>_ENGINE_Risk!D668</f>
        <v>Asset management</v>
      </c>
      <c r="F170" s="177" t="str">
        <f>_ENGINE_Risk!F668</f>
        <v>Physical asset and facility resilience</v>
      </c>
      <c r="G170" s="177" t="str">
        <f>_ENGINE_Risk!G668</f>
        <v>Severe risk: enterprise asset register covering ownership, location, condition, replacement value and insurance linkage is not reliably controlled. During Physical site loss; Natural disaster; War/security crisis, the organization may face unknown asset exposure, slow insurance claims and uninformed recovery investment decisions with limited visibility or accountability.</v>
      </c>
      <c r="H170" s="177" t="str">
        <f>_ENGINE_Risk!BT668</f>
        <v>CAP_POS_ECOMMERCE</v>
      </c>
      <c r="I170" s="177" t="str">
        <f>_ENGINE_Risk!BV668</f>
        <v>BRG-065</v>
      </c>
      <c r="J170" s="177" t="str">
        <f>_ENGINE_Risk!CE668</f>
        <v>IW-ALL-POS_ECOMMERCE</v>
      </c>
      <c r="K170" s="177" t="str">
        <f>_ENGINE_Risk!BY668</f>
        <v>TRT-POS_ECOMMERCE-INITIAL</v>
      </c>
      <c r="L170" s="177" t="str">
        <f>_ENGINE_Risk!CP668</f>
        <v>Active</v>
      </c>
      <c r="M170" s="177" t="str">
        <f>_ENGINE_Risk!CQ668</f>
        <v>OK: capability-driven</v>
      </c>
      <c r="N170" s="177" t="str">
        <f>_ENGINE_Risk!CS668</f>
        <v>Yes</v>
      </c>
      <c r="O170" s="177" t="str">
        <f>_ENGINE_Risk!CO668</f>
        <v>Physical Safety|Asset management|PHYS-029|CAP_POS_ECOMMERCE</v>
      </c>
      <c r="P170" s="177" t="str">
        <f>_ENGINE_Risk!CR668</f>
        <v>Risk ontology uses capability=CAP_POS_ECOMMERCE; bridge=BRG-065; treatment=TRT-POS_ECOMMERCE-INITIAL; wording=IW-ALL-POS_ECOMMERCE</v>
      </c>
    </row>
    <row r="171" spans="1:16" ht="99" customHeight="1">
      <c r="A171" s="177" t="str">
        <f>_ENGINE_Risk!CM669</f>
        <v>RISK-ONT-0170</v>
      </c>
      <c r="B171" s="177">
        <f>ROW(_ENGINE_Risk!A669)</f>
        <v>669</v>
      </c>
      <c r="C171" s="177" t="str">
        <f>_ENGINE_Risk!E669</f>
        <v>PHYS-030</v>
      </c>
      <c r="D171" s="177" t="str">
        <f>_ENGINE_Risk!C669</f>
        <v>Physical Safety</v>
      </c>
      <c r="E171" s="177" t="str">
        <f>_ENGINE_Risk!D669</f>
        <v>Asset management</v>
      </c>
      <c r="F171" s="177" t="str">
        <f>_ENGINE_Risk!F669</f>
        <v>Physical asset and facility resilience</v>
      </c>
      <c r="G171" s="177" t="str">
        <f>_ENGINE_Risk!G669</f>
        <v>Severe risk: asset lifecycle planning for acquisition, maintenance, renewal and disposal of critical equipment and facilities is not reliably controlled. During Physical site loss; Energy/utilities outage; Financial/liquidity crisis, the organization may face aging critical assets, unplanned failures and capex surprises under cash constraints with limited visibility or accountability.</v>
      </c>
      <c r="H171" s="177" t="str">
        <f>_ENGINE_Risk!BT669</f>
        <v>CAP_POS_ECOMMERCE</v>
      </c>
      <c r="I171" s="177" t="str">
        <f>_ENGINE_Risk!BV669</f>
        <v>BRG-065</v>
      </c>
      <c r="J171" s="177" t="str">
        <f>_ENGINE_Risk!CE669</f>
        <v>IW-ALL-POS_ECOMMERCE</v>
      </c>
      <c r="K171" s="177" t="str">
        <f>_ENGINE_Risk!BY669</f>
        <v>TRT-POS_ECOMMERCE-INITIAL</v>
      </c>
      <c r="L171" s="177" t="str">
        <f>_ENGINE_Risk!CP669</f>
        <v>Active</v>
      </c>
      <c r="M171" s="177" t="str">
        <f>_ENGINE_Risk!CQ669</f>
        <v>OK: capability-driven</v>
      </c>
      <c r="N171" s="177" t="str">
        <f>_ENGINE_Risk!CS669</f>
        <v>Yes</v>
      </c>
      <c r="O171" s="177" t="str">
        <f>_ENGINE_Risk!CO669</f>
        <v>Physical Safety|Asset management|PHYS-030|CAP_POS_ECOMMERCE</v>
      </c>
      <c r="P171" s="177" t="str">
        <f>_ENGINE_Risk!CR669</f>
        <v>Risk ontology uses capability=CAP_POS_ECOMMERCE; bridge=BRG-065; treatment=TRT-POS_ECOMMERCE-INITIAL; wording=IW-ALL-POS_ECOMMERCE</v>
      </c>
    </row>
    <row r="172" spans="1:16" ht="99" customHeight="1">
      <c r="A172" s="177" t="str">
        <f>_ENGINE_Risk!CM670</f>
        <v>RISK-ONT-0171</v>
      </c>
      <c r="B172" s="177">
        <f>ROW(_ENGINE_Risk!A670)</f>
        <v>670</v>
      </c>
      <c r="C172" s="177" t="str">
        <f>_ENGINE_Risk!E670</f>
        <v>PHYS-031</v>
      </c>
      <c r="D172" s="177" t="str">
        <f>_ENGINE_Risk!C670</f>
        <v>Physical Safety</v>
      </c>
      <c r="E172" s="177" t="str">
        <f>_ENGINE_Risk!D670</f>
        <v>Asset management</v>
      </c>
      <c r="F172" s="177" t="str">
        <f>_ENGINE_Risk!F670</f>
        <v>Physical asset and facility resilience</v>
      </c>
      <c r="G172" s="177" t="str">
        <f>_ENGINE_Risk!G670</f>
        <v>Severe risk: property and lease portfolio management with obligations, expiry dates, exit options and flexibility is not reliably controlled. During Physical site loss; Financial/liquidity crisis; War/security crisis, the organization may face rigid site costs, missed exit windows and contractual exposure when the footprint must change fast with limited visibility or accountability.</v>
      </c>
      <c r="H172" s="177" t="str">
        <f>_ENGINE_Risk!BT670</f>
        <v>CAP_POS_ECOMMERCE</v>
      </c>
      <c r="I172" s="177" t="str">
        <f>_ENGINE_Risk!BV670</f>
        <v>BRG-065</v>
      </c>
      <c r="J172" s="177" t="str">
        <f>_ENGINE_Risk!CE670</f>
        <v>IW-ALL-POS_ECOMMERCE</v>
      </c>
      <c r="K172" s="177" t="str">
        <f>_ENGINE_Risk!BY670</f>
        <v>TRT-POS_ECOMMERCE-INITIAL</v>
      </c>
      <c r="L172" s="177" t="str">
        <f>_ENGINE_Risk!CP670</f>
        <v>Active</v>
      </c>
      <c r="M172" s="177" t="str">
        <f>_ENGINE_Risk!CQ670</f>
        <v>OK: capability-driven</v>
      </c>
      <c r="N172" s="177" t="str">
        <f>_ENGINE_Risk!CS670</f>
        <v>Yes</v>
      </c>
      <c r="O172" s="177" t="str">
        <f>_ENGINE_Risk!CO670</f>
        <v>Physical Safety|Asset management|PHYS-031|CAP_POS_ECOMMERCE</v>
      </c>
      <c r="P172" s="177" t="str">
        <f>_ENGINE_Risk!CR670</f>
        <v>Risk ontology uses capability=CAP_POS_ECOMMERCE; bridge=BRG-065; treatment=TRT-POS_ECOMMERCE-INITIAL; wording=IW-ALL-POS_ECOMMERCE</v>
      </c>
    </row>
    <row r="173" spans="1:16" ht="99" customHeight="1">
      <c r="A173" s="177" t="str">
        <f>_ENGINE_Risk!CM671</f>
        <v>RISK-ONT-0172</v>
      </c>
      <c r="B173" s="177">
        <f>ROW(_ENGINE_Risk!A671)</f>
        <v>671</v>
      </c>
      <c r="C173" s="177" t="str">
        <f>_ENGINE_Risk!E671</f>
        <v>DELI-001</v>
      </c>
      <c r="D173" s="177" t="str">
        <f>_ENGINE_Risk!C671</f>
        <v>Delivery Ops</v>
      </c>
      <c r="E173" s="177" t="str">
        <f>_ENGINE_Risk!D671</f>
        <v>Delivery governance</v>
      </c>
      <c r="F173" s="177" t="str">
        <f>_ENGINE_Risk!F671</f>
        <v>Delivery, service continuity and operational execution</v>
      </c>
      <c r="G173" s="177" t="str">
        <f>_ENGINE_Risk!G671</f>
        <v>Severe risk: documented delivery operating model across functions, teams, sites, vendors and customer interfaces is not reliably controlled. During Delivery disruption; Customer impact; Workforce disruption, the organization may face missed commitments, SLA breaches, service interruption and weak customer recovery with limited visibility or accountability.</v>
      </c>
      <c r="H173" s="177" t="str">
        <f>_ENGINE_Risk!BT671</f>
        <v>CAP_SRE_OBSERVABILITY</v>
      </c>
      <c r="I173" s="177" t="str">
        <f>_ENGINE_Risk!BV671</f>
        <v>BRG-026</v>
      </c>
      <c r="J173" s="177" t="str">
        <f>_ENGINE_Risk!CE671</f>
        <v>IW-ALL-SRE_OBSERVABILITY</v>
      </c>
      <c r="K173" s="177" t="str">
        <f>_ENGINE_Risk!BY671</f>
        <v>TRT-SRE_OBSERVABILITY-INITIAL</v>
      </c>
      <c r="L173" s="177" t="str">
        <f>_ENGINE_Risk!CP671</f>
        <v>Active</v>
      </c>
      <c r="M173" s="177" t="str">
        <f>_ENGINE_Risk!CQ671</f>
        <v>OK: capability-driven</v>
      </c>
      <c r="N173" s="177" t="str">
        <f>_ENGINE_Risk!CS671</f>
        <v>Yes</v>
      </c>
      <c r="O173" s="177" t="str">
        <f>_ENGINE_Risk!CO671</f>
        <v>Delivery Ops|Delivery governance|DELI-001|CAP_SRE_OBSERVABILITY</v>
      </c>
      <c r="P173" s="177" t="str">
        <f>_ENGINE_Risk!CR671</f>
        <v>Risk ontology uses capability=CAP_SRE_OBSERVABILITY; bridge=BRG-026; treatment=TRT-SRE_OBSERVABILITY-INITIAL; wording=IW-ALL-SRE_OBSERVABILITY</v>
      </c>
    </row>
    <row r="174" spans="1:16" ht="99" customHeight="1">
      <c r="A174" s="177" t="str">
        <f>_ENGINE_Risk!CM672</f>
        <v>RISK-ONT-0173</v>
      </c>
      <c r="B174" s="177">
        <f>ROW(_ENGINE_Risk!A672)</f>
        <v>672</v>
      </c>
      <c r="C174" s="177" t="str">
        <f>_ENGINE_Risk!E672</f>
        <v>DELI-002</v>
      </c>
      <c r="D174" s="177" t="str">
        <f>_ENGINE_Risk!C672</f>
        <v>Delivery Ops</v>
      </c>
      <c r="E174" s="177" t="str">
        <f>_ENGINE_Risk!D672</f>
        <v>Delivery governance</v>
      </c>
      <c r="F174" s="177" t="str">
        <f>_ENGINE_Risk!F672</f>
        <v>Delivery, service continuity and operational execution</v>
      </c>
      <c r="G174" s="177" t="str">
        <f>_ENGINE_Risk!G672</f>
        <v>Severe risk: critical delivery processes ranked by customer, revenue, safety and contractual impact is not reliably controlled. During Delivery disruption; Customer impact; Workforce disruption, the organization may face missed commitments, SLA breaches, service interruption and weak customer recovery with limited visibility or accountability.</v>
      </c>
      <c r="H174" s="177" t="str">
        <f>_ENGINE_Risk!BT672</f>
        <v>CAP_SRE_OBSERVABILITY</v>
      </c>
      <c r="I174" s="177" t="str">
        <f>_ENGINE_Risk!BV672</f>
        <v>BRG-026</v>
      </c>
      <c r="J174" s="177" t="str">
        <f>_ENGINE_Risk!CE672</f>
        <v>IW-ALL-SRE_OBSERVABILITY</v>
      </c>
      <c r="K174" s="177" t="str">
        <f>_ENGINE_Risk!BY672</f>
        <v>TRT-SRE_OBSERVABILITY-INITIAL</v>
      </c>
      <c r="L174" s="177" t="str">
        <f>_ENGINE_Risk!CP672</f>
        <v>Active</v>
      </c>
      <c r="M174" s="177" t="str">
        <f>_ENGINE_Risk!CQ672</f>
        <v>OK: capability-driven</v>
      </c>
      <c r="N174" s="177" t="str">
        <f>_ENGINE_Risk!CS672</f>
        <v>Yes</v>
      </c>
      <c r="O174" s="177" t="str">
        <f>_ENGINE_Risk!CO672</f>
        <v>Delivery Ops|Delivery governance|DELI-002|CAP_SRE_OBSERVABILITY</v>
      </c>
      <c r="P174" s="177" t="str">
        <f>_ENGINE_Risk!CR672</f>
        <v>Risk ontology uses capability=CAP_SRE_OBSERVABILITY; bridge=BRG-026; treatment=TRT-SRE_OBSERVABILITY-INITIAL; wording=IW-ALL-SRE_OBSERVABILITY</v>
      </c>
    </row>
    <row r="175" spans="1:16" ht="99" customHeight="1">
      <c r="A175" s="177" t="str">
        <f>_ENGINE_Risk!CM673</f>
        <v>RISK-ONT-0174</v>
      </c>
      <c r="B175" s="177">
        <f>ROW(_ENGINE_Risk!A673)</f>
        <v>673</v>
      </c>
      <c r="C175" s="177" t="str">
        <f>_ENGINE_Risk!E673</f>
        <v>DELI-003</v>
      </c>
      <c r="D175" s="177" t="str">
        <f>_ENGINE_Risk!C673</f>
        <v>Delivery Ops</v>
      </c>
      <c r="E175" s="177" t="str">
        <f>_ENGINE_Risk!D673</f>
        <v>Delivery governance</v>
      </c>
      <c r="F175" s="177" t="str">
        <f>_ENGINE_Risk!F673</f>
        <v>Delivery, service continuity and operational execution</v>
      </c>
      <c r="G175" s="177" t="str">
        <f>_ENGINE_Risk!G673</f>
        <v>Severe risk: SLA and OLA management with owners, escalation rules and customer communication is not reliably controlled. During Delivery disruption; Customer impact; Workforce disruption, the organization may face missed commitments, SLA breaches, service interruption and weak customer recovery with limited visibility or accountability.</v>
      </c>
      <c r="H175" s="177" t="str">
        <f>_ENGINE_Risk!BT673</f>
        <v>CAP_SRE_OBSERVABILITY</v>
      </c>
      <c r="I175" s="177" t="str">
        <f>_ENGINE_Risk!BV673</f>
        <v>BRG-026</v>
      </c>
      <c r="J175" s="177" t="str">
        <f>_ENGINE_Risk!CE673</f>
        <v>IW-ALL-SRE_OBSERVABILITY</v>
      </c>
      <c r="K175" s="177" t="str">
        <f>_ENGINE_Risk!BY673</f>
        <v>TRT-SRE_OBSERVABILITY-INITIAL</v>
      </c>
      <c r="L175" s="177" t="str">
        <f>_ENGINE_Risk!CP673</f>
        <v>Active</v>
      </c>
      <c r="M175" s="177" t="str">
        <f>_ENGINE_Risk!CQ673</f>
        <v>OK: capability-driven</v>
      </c>
      <c r="N175" s="177" t="str">
        <f>_ENGINE_Risk!CS673</f>
        <v>Yes</v>
      </c>
      <c r="O175" s="177" t="str">
        <f>_ENGINE_Risk!CO673</f>
        <v>Delivery Ops|Delivery governance|DELI-003|CAP_SRE_OBSERVABILITY</v>
      </c>
      <c r="P175" s="177" t="str">
        <f>_ENGINE_Risk!CR673</f>
        <v>Risk ontology uses capability=CAP_SRE_OBSERVABILITY; bridge=BRG-026; treatment=TRT-SRE_OBSERVABILITY-INITIAL; wording=IW-ALL-SRE_OBSERVABILITY</v>
      </c>
    </row>
    <row r="176" spans="1:16" ht="99" customHeight="1">
      <c r="A176" s="177" t="str">
        <f>_ENGINE_Risk!CM674</f>
        <v>RISK-ONT-0175</v>
      </c>
      <c r="B176" s="177">
        <f>ROW(_ENGINE_Risk!A674)</f>
        <v>674</v>
      </c>
      <c r="C176" s="177" t="str">
        <f>_ENGINE_Risk!E674</f>
        <v>DELI-004</v>
      </c>
      <c r="D176" s="177" t="str">
        <f>_ENGINE_Risk!C674</f>
        <v>Delivery Ops</v>
      </c>
      <c r="E176" s="177" t="str">
        <f>_ENGINE_Risk!D674</f>
        <v>Delivery governance</v>
      </c>
      <c r="F176" s="177" t="str">
        <f>_ENGINE_Risk!F674</f>
        <v>Delivery, service continuity and operational execution</v>
      </c>
      <c r="G176" s="177" t="str">
        <f>_ENGINE_Risk!G674</f>
        <v>Severe risk: operational incident link to delivery impact, customer communication and corrective action is not reliably controlled. During Delivery disruption; Customer impact; Workforce disruption, the organization may face missed commitments, SLA breaches, service interruption and weak customer recovery with limited visibility or accountability.</v>
      </c>
      <c r="H176" s="177" t="str">
        <f>_ENGINE_Risk!BT674</f>
        <v>CAP_SRE_OBSERVABILITY</v>
      </c>
      <c r="I176" s="177" t="str">
        <f>_ENGINE_Risk!BV674</f>
        <v>BRG-026</v>
      </c>
      <c r="J176" s="177" t="str">
        <f>_ENGINE_Risk!CE674</f>
        <v>IW-ALL-SRE_OBSERVABILITY</v>
      </c>
      <c r="K176" s="177" t="str">
        <f>_ENGINE_Risk!BY674</f>
        <v>TRT-SRE_OBSERVABILITY-INITIAL</v>
      </c>
      <c r="L176" s="177" t="str">
        <f>_ENGINE_Risk!CP674</f>
        <v>Active</v>
      </c>
      <c r="M176" s="177" t="str">
        <f>_ENGINE_Risk!CQ674</f>
        <v>OK: capability-driven</v>
      </c>
      <c r="N176" s="177" t="str">
        <f>_ENGINE_Risk!CS674</f>
        <v>Yes</v>
      </c>
      <c r="O176" s="177" t="str">
        <f>_ENGINE_Risk!CO674</f>
        <v>Delivery Ops|Delivery governance|DELI-004|CAP_SRE_OBSERVABILITY</v>
      </c>
      <c r="P176" s="177" t="str">
        <f>_ENGINE_Risk!CR674</f>
        <v>Risk ontology uses capability=CAP_SRE_OBSERVABILITY; bridge=BRG-026; treatment=TRT-SRE_OBSERVABILITY-INITIAL; wording=IW-ALL-SRE_OBSERVABILITY</v>
      </c>
    </row>
    <row r="177" spans="1:16" ht="84.9" customHeight="1">
      <c r="A177" s="177" t="str">
        <f>_ENGINE_Risk!CM675</f>
        <v>RISK-ONT-0176</v>
      </c>
      <c r="B177" s="177">
        <f>ROW(_ENGINE_Risk!A675)</f>
        <v>675</v>
      </c>
      <c r="C177" s="177" t="str">
        <f>_ENGINE_Risk!E675</f>
        <v>DELI-005</v>
      </c>
      <c r="D177" s="177" t="str">
        <f>_ENGINE_Risk!C675</f>
        <v>Delivery Ops</v>
      </c>
      <c r="E177" s="177" t="str">
        <f>_ENGINE_Risk!D675</f>
        <v>Delivery governance</v>
      </c>
      <c r="F177" s="177" t="str">
        <f>_ENGINE_Risk!F675</f>
        <v>Delivery, service continuity and operational execution</v>
      </c>
      <c r="G177" s="177" t="str">
        <f>_ENGINE_Risk!G675</f>
        <v>Severe risk: customer prioritization rules during capacity constraints is not reliably controlled. During Delivery disruption; Customer impact; Workforce disruption, the organization may face missed commitments, SLA breaches, service interruption and weak customer recovery with limited visibility or accountability.</v>
      </c>
      <c r="H177" s="177" t="str">
        <f>_ENGINE_Risk!BT675</f>
        <v>CAP_SRE_OBSERVABILITY</v>
      </c>
      <c r="I177" s="177" t="str">
        <f>_ENGINE_Risk!BV675</f>
        <v>BRG-026</v>
      </c>
      <c r="J177" s="177" t="str">
        <f>_ENGINE_Risk!CE675</f>
        <v>IW-ALL-SRE_OBSERVABILITY</v>
      </c>
      <c r="K177" s="177" t="str">
        <f>_ENGINE_Risk!BY675</f>
        <v>TRT-SRE_OBSERVABILITY-INITIAL</v>
      </c>
      <c r="L177" s="177" t="str">
        <f>_ENGINE_Risk!CP675</f>
        <v>Active</v>
      </c>
      <c r="M177" s="177" t="str">
        <f>_ENGINE_Risk!CQ675</f>
        <v>OK: capability-driven</v>
      </c>
      <c r="N177" s="177" t="str">
        <f>_ENGINE_Risk!CS675</f>
        <v>Yes</v>
      </c>
      <c r="O177" s="177" t="str">
        <f>_ENGINE_Risk!CO675</f>
        <v>Delivery Ops|Delivery governance|DELI-005|CAP_SRE_OBSERVABILITY</v>
      </c>
      <c r="P177" s="177" t="str">
        <f>_ENGINE_Risk!CR675</f>
        <v>Risk ontology uses capability=CAP_SRE_OBSERVABILITY; bridge=BRG-026; treatment=TRT-SRE_OBSERVABILITY-INITIAL; wording=IW-ALL-SRE_OBSERVABILITY</v>
      </c>
    </row>
    <row r="178" spans="1:16" ht="99" customHeight="1">
      <c r="A178" s="177" t="str">
        <f>_ENGINE_Risk!CM676</f>
        <v>RISK-ONT-0177</v>
      </c>
      <c r="B178" s="177">
        <f>ROW(_ENGINE_Risk!A676)</f>
        <v>676</v>
      </c>
      <c r="C178" s="177" t="str">
        <f>_ENGINE_Risk!E676</f>
        <v>DELI-006</v>
      </c>
      <c r="D178" s="177" t="str">
        <f>_ENGINE_Risk!C676</f>
        <v>Delivery Ops</v>
      </c>
      <c r="E178" s="177" t="str">
        <f>_ENGINE_Risk!D676</f>
        <v>Delivery governance</v>
      </c>
      <c r="F178" s="177" t="str">
        <f>_ENGINE_Risk!F676</f>
        <v>Delivery, service continuity and operational execution</v>
      </c>
      <c r="G178" s="177" t="str">
        <f>_ENGINE_Risk!G676</f>
        <v>Severe risk: delivery transparency to customers during delays, incidents or disruption is not reliably controlled. During Delivery disruption; Customer impact; Workforce disruption, the organization may face missed commitments, SLA breaches, service interruption and weak customer recovery with limited visibility or accountability.</v>
      </c>
      <c r="H178" s="177" t="str">
        <f>_ENGINE_Risk!BT676</f>
        <v>CAP_SRE_OBSERVABILITY</v>
      </c>
      <c r="I178" s="177" t="str">
        <f>_ENGINE_Risk!BV676</f>
        <v>BRG-026</v>
      </c>
      <c r="J178" s="177" t="str">
        <f>_ENGINE_Risk!CE676</f>
        <v>IW-ALL-SRE_OBSERVABILITY</v>
      </c>
      <c r="K178" s="177" t="str">
        <f>_ENGINE_Risk!BY676</f>
        <v>TRT-SRE_OBSERVABILITY-INITIAL</v>
      </c>
      <c r="L178" s="177" t="str">
        <f>_ENGINE_Risk!CP676</f>
        <v>Active</v>
      </c>
      <c r="M178" s="177" t="str">
        <f>_ENGINE_Risk!CQ676</f>
        <v>OK: capability-driven</v>
      </c>
      <c r="N178" s="177" t="str">
        <f>_ENGINE_Risk!CS676</f>
        <v>Yes</v>
      </c>
      <c r="O178" s="177" t="str">
        <f>_ENGINE_Risk!CO676</f>
        <v>Delivery Ops|Delivery governance|DELI-006|CAP_SRE_OBSERVABILITY</v>
      </c>
      <c r="P178" s="177" t="str">
        <f>_ENGINE_Risk!CR676</f>
        <v>Risk ontology uses capability=CAP_SRE_OBSERVABILITY; bridge=BRG-026; treatment=TRT-SRE_OBSERVABILITY-INITIAL; wording=IW-ALL-SRE_OBSERVABILITY</v>
      </c>
    </row>
    <row r="179" spans="1:16" ht="99" customHeight="1">
      <c r="A179" s="177" t="str">
        <f>_ENGINE_Risk!CM677</f>
        <v>RISK-ONT-0178</v>
      </c>
      <c r="B179" s="177">
        <f>ROW(_ENGINE_Risk!A677)</f>
        <v>677</v>
      </c>
      <c r="C179" s="177" t="str">
        <f>_ENGINE_Risk!E677</f>
        <v>DELI-007</v>
      </c>
      <c r="D179" s="177" t="str">
        <f>_ENGINE_Risk!C677</f>
        <v>Delivery Ops</v>
      </c>
      <c r="E179" s="177" t="str">
        <f>_ENGINE_Risk!D677</f>
        <v>Capacity and continuity</v>
      </c>
      <c r="F179" s="177" t="str">
        <f>_ENGINE_Risk!F677</f>
        <v>Delivery, service continuity and operational execution</v>
      </c>
      <c r="G179" s="177" t="str">
        <f>_ENGINE_Risk!G677</f>
        <v>Severe risk: capacity planning for people, equipment, production lines, cloud resources, warehouses and suppliers is not reliably controlled. During Delivery disruption; Customer impact; Workforce disruption, the organization may face missed commitments, SLA breaches, service interruption and weak customer recovery with limited visibility or accountability.</v>
      </c>
      <c r="H179" s="177" t="str">
        <f>_ENGINE_Risk!BT677</f>
        <v>CAP_BACKUP_RECOVERY</v>
      </c>
      <c r="I179" s="177" t="str">
        <f>_ENGINE_Risk!BV677</f>
        <v>BRG-025</v>
      </c>
      <c r="J179" s="177" t="str">
        <f>_ENGINE_Risk!CE677</f>
        <v>IW-ALL-BACKUP_RECOVERY</v>
      </c>
      <c r="K179" s="177" t="str">
        <f>_ENGINE_Risk!BY677</f>
        <v>TRT-BACKUP_RECOVERY-INITIAL</v>
      </c>
      <c r="L179" s="177" t="str">
        <f>_ENGINE_Risk!CP677</f>
        <v>Active</v>
      </c>
      <c r="M179" s="177" t="str">
        <f>_ENGINE_Risk!CQ677</f>
        <v>OK: capability-driven</v>
      </c>
      <c r="N179" s="177" t="str">
        <f>_ENGINE_Risk!CS677</f>
        <v>Yes</v>
      </c>
      <c r="O179" s="177" t="str">
        <f>_ENGINE_Risk!CO677</f>
        <v>Delivery Ops|Capacity and continuity|DELI-007|CAP_BACKUP_RECOVERY</v>
      </c>
      <c r="P179" s="177" t="str">
        <f>_ENGINE_Risk!CR677</f>
        <v>Risk ontology uses capability=CAP_BACKUP_RECOVERY; bridge=BRG-025; treatment=TRT-BACKUP_RECOVERY-INITIAL; wording=IW-ALL-BACKUP_RECOVERY</v>
      </c>
    </row>
    <row r="180" spans="1:16" ht="99" customHeight="1">
      <c r="A180" s="177" t="str">
        <f>_ENGINE_Risk!CM678</f>
        <v>RISK-ONT-0179</v>
      </c>
      <c r="B180" s="177">
        <f>ROW(_ENGINE_Risk!A678)</f>
        <v>678</v>
      </c>
      <c r="C180" s="177" t="str">
        <f>_ENGINE_Risk!E678</f>
        <v>DELI-008</v>
      </c>
      <c r="D180" s="177" t="str">
        <f>_ENGINE_Risk!C678</f>
        <v>Delivery Ops</v>
      </c>
      <c r="E180" s="177" t="str">
        <f>_ENGINE_Risk!D678</f>
        <v>Capacity and continuity</v>
      </c>
      <c r="F180" s="177" t="str">
        <f>_ENGINE_Risk!F678</f>
        <v>Delivery, service continuity and operational execution</v>
      </c>
      <c r="G180" s="177" t="str">
        <f>_ENGINE_Risk!G678</f>
        <v>Severe risk: surge capacity for demand spikes, backlog recovery and emergency orders is not reliably controlled. During Delivery disruption; Customer impact; Workforce disruption, the organization may face missed commitments, SLA breaches, service interruption and weak customer recovery with limited visibility or accountability.</v>
      </c>
      <c r="H180" s="177" t="str">
        <f>_ENGINE_Risk!BT678</f>
        <v>CAP_BACKUP_RECOVERY</v>
      </c>
      <c r="I180" s="177" t="str">
        <f>_ENGINE_Risk!BV678</f>
        <v>BRG-025</v>
      </c>
      <c r="J180" s="177" t="str">
        <f>_ENGINE_Risk!CE678</f>
        <v>IW-ALL-BACKUP_RECOVERY</v>
      </c>
      <c r="K180" s="177" t="str">
        <f>_ENGINE_Risk!BY678</f>
        <v>TRT-BACKUP_RECOVERY-INITIAL</v>
      </c>
      <c r="L180" s="177" t="str">
        <f>_ENGINE_Risk!CP678</f>
        <v>Active</v>
      </c>
      <c r="M180" s="177" t="str">
        <f>_ENGINE_Risk!CQ678</f>
        <v>OK: capability-driven</v>
      </c>
      <c r="N180" s="177" t="str">
        <f>_ENGINE_Risk!CS678</f>
        <v>Yes</v>
      </c>
      <c r="O180" s="177" t="str">
        <f>_ENGINE_Risk!CO678</f>
        <v>Delivery Ops|Capacity and continuity|DELI-008|CAP_BACKUP_RECOVERY</v>
      </c>
      <c r="P180" s="177" t="str">
        <f>_ENGINE_Risk!CR678</f>
        <v>Risk ontology uses capability=CAP_BACKUP_RECOVERY; bridge=BRG-025; treatment=TRT-BACKUP_RECOVERY-INITIAL; wording=IW-ALL-BACKUP_RECOVERY</v>
      </c>
    </row>
    <row r="181" spans="1:16" ht="84.9" customHeight="1">
      <c r="A181" s="177" t="str">
        <f>_ENGINE_Risk!CM679</f>
        <v>RISK-ONT-0180</v>
      </c>
      <c r="B181" s="177">
        <f>ROW(_ENGINE_Risk!A679)</f>
        <v>679</v>
      </c>
      <c r="C181" s="177" t="str">
        <f>_ENGINE_Risk!E679</f>
        <v>DELI-009</v>
      </c>
      <c r="D181" s="177" t="str">
        <f>_ENGINE_Risk!C679</f>
        <v>Delivery Ops</v>
      </c>
      <c r="E181" s="177" t="str">
        <f>_ENGINE_Risk!D679</f>
        <v>Capacity and continuity</v>
      </c>
      <c r="F181" s="177" t="str">
        <f>_ENGINE_Risk!F679</f>
        <v>Delivery, service continuity and operational execution</v>
      </c>
      <c r="G181" s="177" t="str">
        <f>_ENGINE_Risk!G679</f>
        <v>Severe risk: minimum viable operating model for severe constraints is not reliably controlled. During Delivery disruption; Customer impact; Workforce disruption, the organization may face missed commitments, SLA breaches, service interruption and weak customer recovery with limited visibility or accountability.</v>
      </c>
      <c r="H181" s="177" t="str">
        <f>_ENGINE_Risk!BT679</f>
        <v>CAP_BACKUP_RECOVERY</v>
      </c>
      <c r="I181" s="177" t="str">
        <f>_ENGINE_Risk!BV679</f>
        <v>BRG-025</v>
      </c>
      <c r="J181" s="177" t="str">
        <f>_ENGINE_Risk!CE679</f>
        <v>IW-ALL-BACKUP_RECOVERY</v>
      </c>
      <c r="K181" s="177" t="str">
        <f>_ENGINE_Risk!BY679</f>
        <v>TRT-BACKUP_RECOVERY-INITIAL</v>
      </c>
      <c r="L181" s="177" t="str">
        <f>_ENGINE_Risk!CP679</f>
        <v>Active</v>
      </c>
      <c r="M181" s="177" t="str">
        <f>_ENGINE_Risk!CQ679</f>
        <v>OK: capability-driven</v>
      </c>
      <c r="N181" s="177" t="str">
        <f>_ENGINE_Risk!CS679</f>
        <v>Yes</v>
      </c>
      <c r="O181" s="177" t="str">
        <f>_ENGINE_Risk!CO679</f>
        <v>Delivery Ops|Capacity and continuity|DELI-009|CAP_BACKUP_RECOVERY</v>
      </c>
      <c r="P181" s="177" t="str">
        <f>_ENGINE_Risk!CR679</f>
        <v>Risk ontology uses capability=CAP_BACKUP_RECOVERY; bridge=BRG-025; treatment=TRT-BACKUP_RECOVERY-INITIAL; wording=IW-ALL-BACKUP_RECOVERY</v>
      </c>
    </row>
    <row r="182" spans="1:16" ht="99" customHeight="1">
      <c r="A182" s="177" t="str">
        <f>_ENGINE_Risk!CM680</f>
        <v>RISK-ONT-0181</v>
      </c>
      <c r="B182" s="177">
        <f>ROW(_ENGINE_Risk!A680)</f>
        <v>680</v>
      </c>
      <c r="C182" s="177" t="str">
        <f>_ENGINE_Risk!E680</f>
        <v>DELI-010</v>
      </c>
      <c r="D182" s="177" t="str">
        <f>_ENGINE_Risk!C680</f>
        <v>Delivery Ops</v>
      </c>
      <c r="E182" s="177" t="str">
        <f>_ENGINE_Risk!D680</f>
        <v>Capacity and continuity</v>
      </c>
      <c r="F182" s="177" t="str">
        <f>_ENGINE_Risk!F680</f>
        <v>Delivery, service continuity and operational execution</v>
      </c>
      <c r="G182" s="177" t="str">
        <f>_ENGINE_Risk!G680</f>
        <v>Severe risk: cross-site or cross-team work transfer if one location or team fails is not reliably controlled. During Delivery disruption; Customer impact; Workforce disruption, the organization may face missed commitments, SLA breaches, service interruption and weak customer recovery with limited visibility or accountability.</v>
      </c>
      <c r="H182" s="177" t="str">
        <f>_ENGINE_Risk!BT680</f>
        <v>CAP_BACKUP_RECOVERY</v>
      </c>
      <c r="I182" s="177" t="str">
        <f>_ENGINE_Risk!BV680</f>
        <v>BRG-025</v>
      </c>
      <c r="J182" s="177" t="str">
        <f>_ENGINE_Risk!CE680</f>
        <v>IW-ALL-BACKUP_RECOVERY</v>
      </c>
      <c r="K182" s="177" t="str">
        <f>_ENGINE_Risk!BY680</f>
        <v>TRT-BACKUP_RECOVERY-INITIAL</v>
      </c>
      <c r="L182" s="177" t="str">
        <f>_ENGINE_Risk!CP680</f>
        <v>Active</v>
      </c>
      <c r="M182" s="177" t="str">
        <f>_ENGINE_Risk!CQ680</f>
        <v>OK: capability-driven</v>
      </c>
      <c r="N182" s="177" t="str">
        <f>_ENGINE_Risk!CS680</f>
        <v>Yes</v>
      </c>
      <c r="O182" s="177" t="str">
        <f>_ENGINE_Risk!CO680</f>
        <v>Delivery Ops|Capacity and continuity|DELI-010|CAP_BACKUP_RECOVERY</v>
      </c>
      <c r="P182" s="177" t="str">
        <f>_ENGINE_Risk!CR680</f>
        <v>Risk ontology uses capability=CAP_BACKUP_RECOVERY; bridge=BRG-025; treatment=TRT-BACKUP_RECOVERY-INITIAL; wording=IW-ALL-BACKUP_RECOVERY</v>
      </c>
    </row>
    <row r="183" spans="1:16" ht="99" customHeight="1">
      <c r="A183" s="177" t="str">
        <f>_ENGINE_Risk!CM681</f>
        <v>RISK-ONT-0182</v>
      </c>
      <c r="B183" s="177">
        <f>ROW(_ENGINE_Risk!A681)</f>
        <v>681</v>
      </c>
      <c r="C183" s="177" t="str">
        <f>_ENGINE_Risk!E681</f>
        <v>DELI-011</v>
      </c>
      <c r="D183" s="177" t="str">
        <f>_ENGINE_Risk!C681</f>
        <v>Delivery Ops</v>
      </c>
      <c r="E183" s="177" t="str">
        <f>_ENGINE_Risk!D681</f>
        <v>Capacity and continuity</v>
      </c>
      <c r="F183" s="177" t="str">
        <f>_ENGINE_Risk!F681</f>
        <v>Delivery, service continuity and operational execution</v>
      </c>
      <c r="G183" s="177" t="str">
        <f>_ENGINE_Risk!G681</f>
        <v>Severe risk: recovery sequencing for processes, systems, teams, sites and customers is not reliably controlled. During Delivery disruption; Customer impact; Workforce disruption, the organization may face missed commitments, SLA breaches, service interruption and weak customer recovery with limited visibility or accountability.</v>
      </c>
      <c r="H183" s="177" t="str">
        <f>_ENGINE_Risk!BT681</f>
        <v>CAP_BACKUP_RECOVERY</v>
      </c>
      <c r="I183" s="177" t="str">
        <f>_ENGINE_Risk!BV681</f>
        <v>BRG-025</v>
      </c>
      <c r="J183" s="177" t="str">
        <f>_ENGINE_Risk!CE681</f>
        <v>IW-ALL-BACKUP_RECOVERY</v>
      </c>
      <c r="K183" s="177" t="str">
        <f>_ENGINE_Risk!BY681</f>
        <v>TRT-BACKUP_RECOVERY-INITIAL</v>
      </c>
      <c r="L183" s="177" t="str">
        <f>_ENGINE_Risk!CP681</f>
        <v>Active</v>
      </c>
      <c r="M183" s="177" t="str">
        <f>_ENGINE_Risk!CQ681</f>
        <v>OK: capability-driven</v>
      </c>
      <c r="N183" s="177" t="str">
        <f>_ENGINE_Risk!CS681</f>
        <v>Yes</v>
      </c>
      <c r="O183" s="177" t="str">
        <f>_ENGINE_Risk!CO681</f>
        <v>Delivery Ops|Capacity and continuity|DELI-011|CAP_BACKUP_RECOVERY</v>
      </c>
      <c r="P183" s="177" t="str">
        <f>_ENGINE_Risk!CR681</f>
        <v>Risk ontology uses capability=CAP_BACKUP_RECOVERY; bridge=BRG-025; treatment=TRT-BACKUP_RECOVERY-INITIAL; wording=IW-ALL-BACKUP_RECOVERY</v>
      </c>
    </row>
    <row r="184" spans="1:16" ht="99" customHeight="1">
      <c r="A184" s="177" t="str">
        <f>_ENGINE_Risk!CM682</f>
        <v>RISK-ONT-0183</v>
      </c>
      <c r="B184" s="177">
        <f>ROW(_ENGINE_Risk!A682)</f>
        <v>682</v>
      </c>
      <c r="C184" s="177" t="str">
        <f>_ENGINE_Risk!E682</f>
        <v>DELI-012</v>
      </c>
      <c r="D184" s="177" t="str">
        <f>_ENGINE_Risk!C682</f>
        <v>Delivery Ops</v>
      </c>
      <c r="E184" s="177" t="str">
        <f>_ENGINE_Risk!D682</f>
        <v>Capacity and continuity</v>
      </c>
      <c r="F184" s="177" t="str">
        <f>_ENGINE_Risk!F682</f>
        <v>Delivery, service continuity and operational execution</v>
      </c>
      <c r="G184" s="177" t="str">
        <f>_ENGINE_Risk!G682</f>
        <v>Severe risk: delivery tabletop exercises with absent people, unavailable systems or supplier failure is not reliably controlled. During Delivery disruption; Customer impact; Workforce disruption, the organization may face missed commitments, SLA breaches, service interruption and weak customer recovery with limited visibility or accountability.</v>
      </c>
      <c r="H184" s="177" t="str">
        <f>_ENGINE_Risk!BT682</f>
        <v>CAP_BACKUP_RECOVERY</v>
      </c>
      <c r="I184" s="177" t="str">
        <f>_ENGINE_Risk!BV682</f>
        <v>BRG-025</v>
      </c>
      <c r="J184" s="177" t="str">
        <f>_ENGINE_Risk!CE682</f>
        <v>IW-ALL-BACKUP_RECOVERY</v>
      </c>
      <c r="K184" s="177" t="str">
        <f>_ENGINE_Risk!BY682</f>
        <v>TRT-BACKUP_RECOVERY-INITIAL</v>
      </c>
      <c r="L184" s="177" t="str">
        <f>_ENGINE_Risk!CP682</f>
        <v>Active</v>
      </c>
      <c r="M184" s="177" t="str">
        <f>_ENGINE_Risk!CQ682</f>
        <v>OK: capability-driven</v>
      </c>
      <c r="N184" s="177" t="str">
        <f>_ENGINE_Risk!CS682</f>
        <v>Yes</v>
      </c>
      <c r="O184" s="177" t="str">
        <f>_ENGINE_Risk!CO682</f>
        <v>Delivery Ops|Capacity and continuity|DELI-012|CAP_BACKUP_RECOVERY</v>
      </c>
      <c r="P184" s="177" t="str">
        <f>_ENGINE_Risk!CR682</f>
        <v>Risk ontology uses capability=CAP_BACKUP_RECOVERY; bridge=BRG-025; treatment=TRT-BACKUP_RECOVERY-INITIAL; wording=IW-ALL-BACKUP_RECOVERY</v>
      </c>
    </row>
    <row r="185" spans="1:16" ht="84.9" customHeight="1">
      <c r="A185" s="177" t="str">
        <f>_ENGINE_Risk!CM683</f>
        <v>RISK-ONT-0184</v>
      </c>
      <c r="B185" s="177">
        <f>ROW(_ENGINE_Risk!A683)</f>
        <v>683</v>
      </c>
      <c r="C185" s="177" t="str">
        <f>_ENGINE_Risk!E683</f>
        <v>DELI-013</v>
      </c>
      <c r="D185" s="177" t="str">
        <f>_ENGINE_Risk!C683</f>
        <v>Delivery Ops</v>
      </c>
      <c r="E185" s="177" t="str">
        <f>_ENGINE_Risk!D683</f>
        <v>Process control</v>
      </c>
      <c r="F185" s="177" t="str">
        <f>_ENGINE_Risk!F683</f>
        <v>Delivery, service continuity and operational execution</v>
      </c>
      <c r="G185" s="177" t="str">
        <f>_ENGINE_Risk!G683</f>
        <v>Severe risk: SOP documentation for critical delivery activities is not reliably controlled. During Delivery disruption; Customer impact; Workforce disruption, the organization may face missed commitments, SLA breaches, service interruption and weak customer recovery with limited visibility or accountability.</v>
      </c>
      <c r="H185" s="177" t="str">
        <f>_ENGINE_Risk!BT683</f>
        <v>CAP_INVENTORY_PLANNING</v>
      </c>
      <c r="I185" s="177" t="str">
        <f>_ENGINE_Risk!BV683</f>
        <v>BRG-028</v>
      </c>
      <c r="J185" s="177" t="str">
        <f>_ENGINE_Risk!CE683</f>
        <v>IW-ALL-INVENTORY_PLANNING</v>
      </c>
      <c r="K185" s="177" t="str">
        <f>_ENGINE_Risk!BY683</f>
        <v>TRT-INVENTORY_PLANNING-INITIAL</v>
      </c>
      <c r="L185" s="177" t="str">
        <f>_ENGINE_Risk!CP683</f>
        <v>Active</v>
      </c>
      <c r="M185" s="177" t="str">
        <f>_ENGINE_Risk!CQ683</f>
        <v>OK: capability-driven</v>
      </c>
      <c r="N185" s="177" t="str">
        <f>_ENGINE_Risk!CS683</f>
        <v>Yes</v>
      </c>
      <c r="O185" s="177" t="str">
        <f>_ENGINE_Risk!CO683</f>
        <v>Delivery Ops|Process control|DELI-013|CAP_INVENTORY_PLANNING</v>
      </c>
      <c r="P185" s="177" t="str">
        <f>_ENGINE_Risk!CR683</f>
        <v>Risk ontology uses capability=CAP_INVENTORY_PLANNING; bridge=BRG-028; treatment=TRT-INVENTORY_PLANNING-INITIAL; wording=IW-ALL-INVENTORY_PLANNING</v>
      </c>
    </row>
    <row r="186" spans="1:16" ht="99" customHeight="1">
      <c r="A186" s="177" t="str">
        <f>_ENGINE_Risk!CM684</f>
        <v>RISK-ONT-0185</v>
      </c>
      <c r="B186" s="177">
        <f>ROW(_ENGINE_Risk!A684)</f>
        <v>684</v>
      </c>
      <c r="C186" s="177" t="str">
        <f>_ENGINE_Risk!E684</f>
        <v>DELI-014</v>
      </c>
      <c r="D186" s="177" t="str">
        <f>_ENGINE_Risk!C684</f>
        <v>Delivery Ops</v>
      </c>
      <c r="E186" s="177" t="str">
        <f>_ENGINE_Risk!D684</f>
        <v>Process control</v>
      </c>
      <c r="F186" s="177" t="str">
        <f>_ENGINE_Risk!F684</f>
        <v>Delivery, service continuity and operational execution</v>
      </c>
      <c r="G186" s="177" t="str">
        <f>_ENGINE_Risk!G684</f>
        <v>Severe risk: handover procedures between shifts, teams, vendors and customers is not reliably controlled. During Delivery disruption; Customer impact; Workforce disruption, the organization may face missed commitments, SLA breaches, service interruption and weak customer recovery with limited visibility or accountability.</v>
      </c>
      <c r="H186" s="177" t="str">
        <f>_ENGINE_Risk!BT684</f>
        <v>CAP_INVENTORY_PLANNING</v>
      </c>
      <c r="I186" s="177" t="str">
        <f>_ENGINE_Risk!BV684</f>
        <v>BRG-028</v>
      </c>
      <c r="J186" s="177" t="str">
        <f>_ENGINE_Risk!CE684</f>
        <v>IW-ALL-INVENTORY_PLANNING</v>
      </c>
      <c r="K186" s="177" t="str">
        <f>_ENGINE_Risk!BY684</f>
        <v>TRT-INVENTORY_PLANNING-INITIAL</v>
      </c>
      <c r="L186" s="177" t="str">
        <f>_ENGINE_Risk!CP684</f>
        <v>Active</v>
      </c>
      <c r="M186" s="177" t="str">
        <f>_ENGINE_Risk!CQ684</f>
        <v>OK: capability-driven</v>
      </c>
      <c r="N186" s="177" t="str">
        <f>_ENGINE_Risk!CS684</f>
        <v>Yes</v>
      </c>
      <c r="O186" s="177" t="str">
        <f>_ENGINE_Risk!CO684</f>
        <v>Delivery Ops|Process control|DELI-014|CAP_INVENTORY_PLANNING</v>
      </c>
      <c r="P186" s="177" t="str">
        <f>_ENGINE_Risk!CR684</f>
        <v>Risk ontology uses capability=CAP_INVENTORY_PLANNING; bridge=BRG-028; treatment=TRT-INVENTORY_PLANNING-INITIAL; wording=IW-ALL-INVENTORY_PLANNING</v>
      </c>
    </row>
    <row r="187" spans="1:16" ht="99" customHeight="1">
      <c r="A187" s="177" t="str">
        <f>_ENGINE_Risk!CM685</f>
        <v>RISK-ONT-0186</v>
      </c>
      <c r="B187" s="177">
        <f>ROW(_ENGINE_Risk!A685)</f>
        <v>685</v>
      </c>
      <c r="C187" s="177" t="str">
        <f>_ENGINE_Risk!E685</f>
        <v>DELI-015</v>
      </c>
      <c r="D187" s="177" t="str">
        <f>_ENGINE_Risk!C685</f>
        <v>Delivery Ops</v>
      </c>
      <c r="E187" s="177" t="str">
        <f>_ENGINE_Risk!D685</f>
        <v>Process control</v>
      </c>
      <c r="F187" s="177" t="str">
        <f>_ENGINE_Risk!F685</f>
        <v>Delivery, service continuity and operational execution</v>
      </c>
      <c r="G187" s="177" t="str">
        <f>_ENGINE_Risk!G685</f>
        <v>Severe risk: quality gates across delivery, production, release or service lifecycle is not reliably controlled. During Delivery disruption; Customer impact; Workforce disruption, the organization may face missed commitments, SLA breaches, service interruption and weak customer recovery with limited visibility or accountability.</v>
      </c>
      <c r="H187" s="177" t="str">
        <f>_ENGINE_Risk!BT685</f>
        <v>CAP_INVENTORY_PLANNING</v>
      </c>
      <c r="I187" s="177" t="str">
        <f>_ENGINE_Risk!BV685</f>
        <v>BRG-028</v>
      </c>
      <c r="J187" s="177" t="str">
        <f>_ENGINE_Risk!CE685</f>
        <v>IW-ALL-INVENTORY_PLANNING</v>
      </c>
      <c r="K187" s="177" t="str">
        <f>_ENGINE_Risk!BY685</f>
        <v>TRT-INVENTORY_PLANNING-INITIAL</v>
      </c>
      <c r="L187" s="177" t="str">
        <f>_ENGINE_Risk!CP685</f>
        <v>Active</v>
      </c>
      <c r="M187" s="177" t="str">
        <f>_ENGINE_Risk!CQ685</f>
        <v>OK: capability-driven</v>
      </c>
      <c r="N187" s="177" t="str">
        <f>_ENGINE_Risk!CS685</f>
        <v>Yes</v>
      </c>
      <c r="O187" s="177" t="str">
        <f>_ENGINE_Risk!CO685</f>
        <v>Delivery Ops|Process control|DELI-015|CAP_INVENTORY_PLANNING</v>
      </c>
      <c r="P187" s="177" t="str">
        <f>_ENGINE_Risk!CR685</f>
        <v>Risk ontology uses capability=CAP_INVENTORY_PLANNING; bridge=BRG-028; treatment=TRT-INVENTORY_PLANNING-INITIAL; wording=IW-ALL-INVENTORY_PLANNING</v>
      </c>
    </row>
    <row r="188" spans="1:16" ht="99" customHeight="1">
      <c r="A188" s="177" t="str">
        <f>_ENGINE_Risk!CM686</f>
        <v>RISK-ONT-0187</v>
      </c>
      <c r="B188" s="177">
        <f>ROW(_ENGINE_Risk!A686)</f>
        <v>686</v>
      </c>
      <c r="C188" s="177" t="str">
        <f>_ENGINE_Risk!E686</f>
        <v>DELI-016</v>
      </c>
      <c r="D188" s="177" t="str">
        <f>_ENGINE_Risk!C686</f>
        <v>Delivery Ops</v>
      </c>
      <c r="E188" s="177" t="str">
        <f>_ENGINE_Risk!D686</f>
        <v>Process control</v>
      </c>
      <c r="F188" s="177" t="str">
        <f>_ENGINE_Risk!F686</f>
        <v>Delivery, service continuity and operational execution</v>
      </c>
      <c r="G188" s="177" t="str">
        <f>_ENGINE_Risk!G686</f>
        <v>Severe risk: change control with risk, customer impact, rollback and communication is not reliably controlled. During Delivery disruption; Customer impact; Workforce disruption, the organization may face missed commitments, SLA breaches, service interruption and weak customer recovery with limited visibility or accountability.</v>
      </c>
      <c r="H188" s="177" t="str">
        <f>_ENGINE_Risk!BT686</f>
        <v>CAP_INVENTORY_PLANNING</v>
      </c>
      <c r="I188" s="177" t="str">
        <f>_ENGINE_Risk!BV686</f>
        <v>BRG-028</v>
      </c>
      <c r="J188" s="177" t="str">
        <f>_ENGINE_Risk!CE686</f>
        <v>IW-ALL-INVENTORY_PLANNING</v>
      </c>
      <c r="K188" s="177" t="str">
        <f>_ENGINE_Risk!BY686</f>
        <v>TRT-INVENTORY_PLANNING-INITIAL</v>
      </c>
      <c r="L188" s="177" t="str">
        <f>_ENGINE_Risk!CP686</f>
        <v>Active</v>
      </c>
      <c r="M188" s="177" t="str">
        <f>_ENGINE_Risk!CQ686</f>
        <v>OK: capability-driven</v>
      </c>
      <c r="N188" s="177" t="str">
        <f>_ENGINE_Risk!CS686</f>
        <v>Yes</v>
      </c>
      <c r="O188" s="177" t="str">
        <f>_ENGINE_Risk!CO686</f>
        <v>Delivery Ops|Process control|DELI-016|CAP_INVENTORY_PLANNING</v>
      </c>
      <c r="P188" s="177" t="str">
        <f>_ENGINE_Risk!CR686</f>
        <v>Risk ontology uses capability=CAP_INVENTORY_PLANNING; bridge=BRG-028; treatment=TRT-INVENTORY_PLANNING-INITIAL; wording=IW-ALL-INVENTORY_PLANNING</v>
      </c>
    </row>
    <row r="189" spans="1:16" ht="84.9" customHeight="1">
      <c r="A189" s="177" t="str">
        <f>_ENGINE_Risk!CM687</f>
        <v>RISK-ONT-0188</v>
      </c>
      <c r="B189" s="177">
        <f>ROW(_ENGINE_Risk!A687)</f>
        <v>687</v>
      </c>
      <c r="C189" s="177" t="str">
        <f>_ENGINE_Risk!E687</f>
        <v>DELI-017</v>
      </c>
      <c r="D189" s="177" t="str">
        <f>_ENGINE_Risk!C687</f>
        <v>Delivery Ops</v>
      </c>
      <c r="E189" s="177" t="str">
        <f>_ENGINE_Risk!D687</f>
        <v>Process control</v>
      </c>
      <c r="F189" s="177" t="str">
        <f>_ENGINE_Risk!F687</f>
        <v>Delivery, service continuity and operational execution</v>
      </c>
      <c r="G189" s="177" t="str">
        <f>_ENGINE_Risk!G687</f>
        <v>Severe risk: manual workarounds if delivery systems are unavailable is not reliably controlled. During Delivery disruption; Customer impact; Workforce disruption, the organization may face missed commitments, SLA breaches, service interruption and weak customer recovery with limited visibility or accountability.</v>
      </c>
      <c r="H189" s="177" t="str">
        <f>_ENGINE_Risk!BT687</f>
        <v>CAP_INVENTORY_PLANNING</v>
      </c>
      <c r="I189" s="177" t="str">
        <f>_ENGINE_Risk!BV687</f>
        <v>BRG-028</v>
      </c>
      <c r="J189" s="177" t="str">
        <f>_ENGINE_Risk!CE687</f>
        <v>IW-ALL-INVENTORY_PLANNING</v>
      </c>
      <c r="K189" s="177" t="str">
        <f>_ENGINE_Risk!BY687</f>
        <v>TRT-INVENTORY_PLANNING-INITIAL</v>
      </c>
      <c r="L189" s="177" t="str">
        <f>_ENGINE_Risk!CP687</f>
        <v>Active</v>
      </c>
      <c r="M189" s="177" t="str">
        <f>_ENGINE_Risk!CQ687</f>
        <v>OK: capability-driven</v>
      </c>
      <c r="N189" s="177" t="str">
        <f>_ENGINE_Risk!CS687</f>
        <v>Yes</v>
      </c>
      <c r="O189" s="177" t="str">
        <f>_ENGINE_Risk!CO687</f>
        <v>Delivery Ops|Process control|DELI-017|CAP_INVENTORY_PLANNING</v>
      </c>
      <c r="P189" s="177" t="str">
        <f>_ENGINE_Risk!CR687</f>
        <v>Risk ontology uses capability=CAP_INVENTORY_PLANNING; bridge=BRG-028; treatment=TRT-INVENTORY_PLANNING-INITIAL; wording=IW-ALL-INVENTORY_PLANNING</v>
      </c>
    </row>
    <row r="190" spans="1:16" ht="84.9" customHeight="1">
      <c r="A190" s="177" t="str">
        <f>_ENGINE_Risk!CM688</f>
        <v>RISK-ONT-0189</v>
      </c>
      <c r="B190" s="177">
        <f>ROW(_ENGINE_Risk!A688)</f>
        <v>688</v>
      </c>
      <c r="C190" s="177" t="str">
        <f>_ENGINE_Risk!E688</f>
        <v>DELI-018</v>
      </c>
      <c r="D190" s="177" t="str">
        <f>_ENGINE_Risk!C688</f>
        <v>Delivery Ops</v>
      </c>
      <c r="E190" s="177" t="str">
        <f>_ENGINE_Risk!D688</f>
        <v>Process control</v>
      </c>
      <c r="F190" s="177" t="str">
        <f>_ENGINE_Risk!F688</f>
        <v>Delivery, service continuity and operational execution</v>
      </c>
      <c r="G190" s="177" t="str">
        <f>_ENGINE_Risk!G688</f>
        <v>Severe risk: root cause analysis for recurring delivery failures is not reliably controlled. During Delivery disruption; Customer impact; Workforce disruption, the organization may face missed commitments, SLA breaches, service interruption and weak customer recovery with limited visibility or accountability.</v>
      </c>
      <c r="H190" s="177" t="str">
        <f>_ENGINE_Risk!BT688</f>
        <v>CAP_INVENTORY_PLANNING</v>
      </c>
      <c r="I190" s="177" t="str">
        <f>_ENGINE_Risk!BV688</f>
        <v>BRG-028</v>
      </c>
      <c r="J190" s="177" t="str">
        <f>_ENGINE_Risk!CE688</f>
        <v>IW-ALL-INVENTORY_PLANNING</v>
      </c>
      <c r="K190" s="177" t="str">
        <f>_ENGINE_Risk!BY688</f>
        <v>TRT-INVENTORY_PLANNING-INITIAL</v>
      </c>
      <c r="L190" s="177" t="str">
        <f>_ENGINE_Risk!CP688</f>
        <v>Active</v>
      </c>
      <c r="M190" s="177" t="str">
        <f>_ENGINE_Risk!CQ688</f>
        <v>OK: capability-driven</v>
      </c>
      <c r="N190" s="177" t="str">
        <f>_ENGINE_Risk!CS688</f>
        <v>Yes</v>
      </c>
      <c r="O190" s="177" t="str">
        <f>_ENGINE_Risk!CO688</f>
        <v>Delivery Ops|Process control|DELI-018|CAP_INVENTORY_PLANNING</v>
      </c>
      <c r="P190" s="177" t="str">
        <f>_ENGINE_Risk!CR688</f>
        <v>Risk ontology uses capability=CAP_INVENTORY_PLANNING; bridge=BRG-028; treatment=TRT-INVENTORY_PLANNING-INITIAL; wording=IW-ALL-INVENTORY_PLANNING</v>
      </c>
    </row>
    <row r="191" spans="1:16" ht="99" customHeight="1">
      <c r="A191" s="177" t="str">
        <f>_ENGINE_Risk!CM689</f>
        <v>RISK-ONT-0190</v>
      </c>
      <c r="B191" s="177">
        <f>ROW(_ENGINE_Risk!A689)</f>
        <v>689</v>
      </c>
      <c r="C191" s="177" t="str">
        <f>_ENGINE_Risk!E689</f>
        <v>DELI-019</v>
      </c>
      <c r="D191" s="177" t="str">
        <f>_ENGINE_Risk!C689</f>
        <v>Delivery Ops</v>
      </c>
      <c r="E191" s="177" t="str">
        <f>_ENGINE_Risk!D689</f>
        <v>Operational visibility</v>
      </c>
      <c r="F191" s="177" t="str">
        <f>_ENGINE_Risk!F689</f>
        <v>Delivery, service continuity and operational execution</v>
      </c>
      <c r="G191" s="177" t="str">
        <f>_ENGINE_Risk!G689</f>
        <v>Severe risk: real-time visibility into orders, backlog, incidents, production, logistics and service performance is not reliably controlled. During Delivery disruption; Customer impact; Workforce disruption, the organization may face missed commitments, SLA breaches, service interruption and weak customer recovery with limited visibility or accountability.</v>
      </c>
      <c r="H191" s="177" t="str">
        <f>_ENGINE_Risk!BT689</f>
        <v>CAP_POS_ECOMMERCE</v>
      </c>
      <c r="I191" s="177" t="str">
        <f>_ENGINE_Risk!BV689</f>
        <v>BRG-027</v>
      </c>
      <c r="J191" s="177" t="str">
        <f>_ENGINE_Risk!CE689</f>
        <v>IW-ALL-POS_ECOMMERCE</v>
      </c>
      <c r="K191" s="177" t="str">
        <f>_ENGINE_Risk!BY689</f>
        <v>TRT-POS_ECOMMERCE-INITIAL</v>
      </c>
      <c r="L191" s="177" t="str">
        <f>_ENGINE_Risk!CP689</f>
        <v>Active</v>
      </c>
      <c r="M191" s="177" t="str">
        <f>_ENGINE_Risk!CQ689</f>
        <v>OK: capability-driven</v>
      </c>
      <c r="N191" s="177" t="str">
        <f>_ENGINE_Risk!CS689</f>
        <v>Yes</v>
      </c>
      <c r="O191" s="177" t="str">
        <f>_ENGINE_Risk!CO689</f>
        <v>Delivery Ops|Operational visibility|DELI-019|CAP_POS_ECOMMERCE</v>
      </c>
      <c r="P191" s="177" t="str">
        <f>_ENGINE_Risk!CR689</f>
        <v>Risk ontology uses capability=CAP_POS_ECOMMERCE; bridge=BRG-027; treatment=TRT-POS_ECOMMERCE-INITIAL; wording=IW-ALL-POS_ECOMMERCE</v>
      </c>
    </row>
    <row r="192" spans="1:16" ht="99" customHeight="1">
      <c r="A192" s="177" t="str">
        <f>_ENGINE_Risk!CM690</f>
        <v>RISK-ONT-0191</v>
      </c>
      <c r="B192" s="177">
        <f>ROW(_ENGINE_Risk!A690)</f>
        <v>690</v>
      </c>
      <c r="C192" s="177" t="str">
        <f>_ENGINE_Risk!E690</f>
        <v>DELI-020</v>
      </c>
      <c r="D192" s="177" t="str">
        <f>_ENGINE_Risk!C690</f>
        <v>Delivery Ops</v>
      </c>
      <c r="E192" s="177" t="str">
        <f>_ENGINE_Risk!D690</f>
        <v>Operational visibility</v>
      </c>
      <c r="F192" s="177" t="str">
        <f>_ENGINE_Risk!F690</f>
        <v>Delivery, service continuity and operational execution</v>
      </c>
      <c r="G192" s="177" t="str">
        <f>_ENGINE_Risk!G690</f>
        <v>Severe risk: operational KPIs for delivery quality, timeliness, throughput, cost, incidents and customer impact is not reliably controlled. During Delivery disruption; Customer impact; Workforce disruption, the organization may face missed commitments, SLA breaches, service interruption and weak customer recovery with limited visibility or accountability.</v>
      </c>
      <c r="H192" s="177" t="str">
        <f>_ENGINE_Risk!BT690</f>
        <v>CAP_POS_ECOMMERCE</v>
      </c>
      <c r="I192" s="177" t="str">
        <f>_ENGINE_Risk!BV690</f>
        <v>BRG-027</v>
      </c>
      <c r="J192" s="177" t="str">
        <f>_ENGINE_Risk!CE690</f>
        <v>IW-ALL-POS_ECOMMERCE</v>
      </c>
      <c r="K192" s="177" t="str">
        <f>_ENGINE_Risk!BY690</f>
        <v>TRT-POS_ECOMMERCE-INITIAL</v>
      </c>
      <c r="L192" s="177" t="str">
        <f>_ENGINE_Risk!CP690</f>
        <v>Active</v>
      </c>
      <c r="M192" s="177" t="str">
        <f>_ENGINE_Risk!CQ690</f>
        <v>OK: capability-driven</v>
      </c>
      <c r="N192" s="177" t="str">
        <f>_ENGINE_Risk!CS690</f>
        <v>Yes</v>
      </c>
      <c r="O192" s="177" t="str">
        <f>_ENGINE_Risk!CO690</f>
        <v>Delivery Ops|Operational visibility|DELI-020|CAP_POS_ECOMMERCE</v>
      </c>
      <c r="P192" s="177" t="str">
        <f>_ENGINE_Risk!CR690</f>
        <v>Risk ontology uses capability=CAP_POS_ECOMMERCE; bridge=BRG-027; treatment=TRT-POS_ECOMMERCE-INITIAL; wording=IW-ALL-POS_ECOMMERCE</v>
      </c>
    </row>
    <row r="193" spans="1:16" ht="99" customHeight="1">
      <c r="A193" s="177" t="str">
        <f>_ENGINE_Risk!CM691</f>
        <v>RISK-ONT-0192</v>
      </c>
      <c r="B193" s="177">
        <f>ROW(_ENGINE_Risk!A691)</f>
        <v>691</v>
      </c>
      <c r="C193" s="177" t="str">
        <f>_ENGINE_Risk!E691</f>
        <v>DELI-021</v>
      </c>
      <c r="D193" s="177" t="str">
        <f>_ENGINE_Risk!C691</f>
        <v>Delivery Ops</v>
      </c>
      <c r="E193" s="177" t="str">
        <f>_ENGINE_Risk!D691</f>
        <v>Operational visibility</v>
      </c>
      <c r="F193" s="177" t="str">
        <f>_ENGINE_Risk!F691</f>
        <v>Delivery, service continuity and operational execution</v>
      </c>
      <c r="G193" s="177" t="str">
        <f>_ENGINE_Risk!G691</f>
        <v>Severe risk: backlog aging analysis linked to customer risk, revenue risk and operational constraints is not reliably controlled. During Delivery disruption; Customer impact; Workforce disruption, the organization may face missed commitments, SLA breaches, service interruption and weak customer recovery with limited visibility or accountability.</v>
      </c>
      <c r="H193" s="177" t="str">
        <f>_ENGINE_Risk!BT691</f>
        <v>CAP_POS_ECOMMERCE</v>
      </c>
      <c r="I193" s="177" t="str">
        <f>_ENGINE_Risk!BV691</f>
        <v>BRG-027</v>
      </c>
      <c r="J193" s="177" t="str">
        <f>_ENGINE_Risk!CE691</f>
        <v>IW-ALL-POS_ECOMMERCE</v>
      </c>
      <c r="K193" s="177" t="str">
        <f>_ENGINE_Risk!BY691</f>
        <v>TRT-POS_ECOMMERCE-INITIAL</v>
      </c>
      <c r="L193" s="177" t="str">
        <f>_ENGINE_Risk!CP691</f>
        <v>Active</v>
      </c>
      <c r="M193" s="177" t="str">
        <f>_ENGINE_Risk!CQ691</f>
        <v>OK: capability-driven</v>
      </c>
      <c r="N193" s="177" t="str">
        <f>_ENGINE_Risk!CS691</f>
        <v>Yes</v>
      </c>
      <c r="O193" s="177" t="str">
        <f>_ENGINE_Risk!CO691</f>
        <v>Delivery Ops|Operational visibility|DELI-021|CAP_POS_ECOMMERCE</v>
      </c>
      <c r="P193" s="177" t="str">
        <f>_ENGINE_Risk!CR691</f>
        <v>Risk ontology uses capability=CAP_POS_ECOMMERCE; bridge=BRG-027; treatment=TRT-POS_ECOMMERCE-INITIAL; wording=IW-ALL-POS_ECOMMERCE</v>
      </c>
    </row>
    <row r="194" spans="1:16" ht="84.9" customHeight="1">
      <c r="A194" s="177" t="str">
        <f>_ENGINE_Risk!CM692</f>
        <v>RISK-ONT-0193</v>
      </c>
      <c r="B194" s="177">
        <f>ROW(_ENGINE_Risk!A692)</f>
        <v>692</v>
      </c>
      <c r="C194" s="177" t="str">
        <f>_ENGINE_Risk!E692</f>
        <v>DELI-022</v>
      </c>
      <c r="D194" s="177" t="str">
        <f>_ENGINE_Risk!C692</f>
        <v>Delivery Ops</v>
      </c>
      <c r="E194" s="177" t="str">
        <f>_ENGINE_Risk!D692</f>
        <v>Operational visibility</v>
      </c>
      <c r="F194" s="177" t="str">
        <f>_ENGINE_Risk!F692</f>
        <v>Delivery, service continuity and operational execution</v>
      </c>
      <c r="G194" s="177" t="str">
        <f>_ENGINE_Risk!G692</f>
        <v>Severe risk: customer-specific runbooks for critical accounts is not reliably controlled. During Delivery disruption; Customer impact; Workforce disruption, the organization may face missed commitments, SLA breaches, service interruption and weak customer recovery with limited visibility or accountability.</v>
      </c>
      <c r="H194" s="177" t="str">
        <f>_ENGINE_Risk!BT692</f>
        <v>CAP_POS_ECOMMERCE</v>
      </c>
      <c r="I194" s="177" t="str">
        <f>_ENGINE_Risk!BV692</f>
        <v>BRG-027</v>
      </c>
      <c r="J194" s="177" t="str">
        <f>_ENGINE_Risk!CE692</f>
        <v>IW-ALL-POS_ECOMMERCE</v>
      </c>
      <c r="K194" s="177" t="str">
        <f>_ENGINE_Risk!BY692</f>
        <v>TRT-POS_ECOMMERCE-INITIAL</v>
      </c>
      <c r="L194" s="177" t="str">
        <f>_ENGINE_Risk!CP692</f>
        <v>Active</v>
      </c>
      <c r="M194" s="177" t="str">
        <f>_ENGINE_Risk!CQ692</f>
        <v>OK: capability-driven</v>
      </c>
      <c r="N194" s="177" t="str">
        <f>_ENGINE_Risk!CS692</f>
        <v>Yes</v>
      </c>
      <c r="O194" s="177" t="str">
        <f>_ENGINE_Risk!CO692</f>
        <v>Delivery Ops|Operational visibility|DELI-022|CAP_POS_ECOMMERCE</v>
      </c>
      <c r="P194" s="177" t="str">
        <f>_ENGINE_Risk!CR692</f>
        <v>Risk ontology uses capability=CAP_POS_ECOMMERCE; bridge=BRG-027; treatment=TRT-POS_ECOMMERCE-INITIAL; wording=IW-ALL-POS_ECOMMERCE</v>
      </c>
    </row>
    <row r="195" spans="1:16" ht="99" customHeight="1">
      <c r="A195" s="177" t="str">
        <f>_ENGINE_Risk!CM693</f>
        <v>RISK-ONT-0194</v>
      </c>
      <c r="B195" s="177">
        <f>ROW(_ENGINE_Risk!A693)</f>
        <v>693</v>
      </c>
      <c r="C195" s="177" t="str">
        <f>_ENGINE_Risk!E693</f>
        <v>DELI-023</v>
      </c>
      <c r="D195" s="177" t="str">
        <f>_ENGINE_Risk!C693</f>
        <v>Delivery Ops</v>
      </c>
      <c r="E195" s="177" t="str">
        <f>_ENGINE_Risk!D693</f>
        <v>Operational visibility</v>
      </c>
      <c r="F195" s="177" t="str">
        <f>_ENGINE_Risk!F693</f>
        <v>Delivery, service continuity and operational execution</v>
      </c>
      <c r="G195" s="177" t="str">
        <f>_ENGINE_Risk!G693</f>
        <v>Severe risk: critical tools, equipment and licenses required for delivery is not reliably controlled. During Delivery disruption; Customer impact; Workforce disruption, the organization may face missed commitments, SLA breaches, service interruption and weak customer recovery with limited visibility or accountability.</v>
      </c>
      <c r="H195" s="177" t="str">
        <f>_ENGINE_Risk!BT693</f>
        <v>CAP_POS_ECOMMERCE</v>
      </c>
      <c r="I195" s="177" t="str">
        <f>_ENGINE_Risk!BV693</f>
        <v>BRG-027</v>
      </c>
      <c r="J195" s="177" t="str">
        <f>_ENGINE_Risk!CE693</f>
        <v>IW-ALL-POS_ECOMMERCE</v>
      </c>
      <c r="K195" s="177" t="str">
        <f>_ENGINE_Risk!BY693</f>
        <v>TRT-POS_ECOMMERCE-INITIAL</v>
      </c>
      <c r="L195" s="177" t="str">
        <f>_ENGINE_Risk!CP693</f>
        <v>Active</v>
      </c>
      <c r="M195" s="177" t="str">
        <f>_ENGINE_Risk!CQ693</f>
        <v>OK: capability-driven</v>
      </c>
      <c r="N195" s="177" t="str">
        <f>_ENGINE_Risk!CS693</f>
        <v>Yes</v>
      </c>
      <c r="O195" s="177" t="str">
        <f>_ENGINE_Risk!CO693</f>
        <v>Delivery Ops|Operational visibility|DELI-023|CAP_POS_ECOMMERCE</v>
      </c>
      <c r="P195" s="177" t="str">
        <f>_ENGINE_Risk!CR693</f>
        <v>Risk ontology uses capability=CAP_POS_ECOMMERCE; bridge=BRG-027; treatment=TRT-POS_ECOMMERCE-INITIAL; wording=IW-ALL-POS_ECOMMERCE</v>
      </c>
    </row>
    <row r="196" spans="1:16" ht="99" customHeight="1">
      <c r="A196" s="177" t="str">
        <f>_ENGINE_Risk!CM694</f>
        <v>RISK-ONT-0195</v>
      </c>
      <c r="B196" s="177">
        <f>ROW(_ENGINE_Risk!A694)</f>
        <v>694</v>
      </c>
      <c r="C196" s="177" t="str">
        <f>_ENGINE_Risk!E694</f>
        <v>DELI-024</v>
      </c>
      <c r="D196" s="177" t="str">
        <f>_ENGINE_Risk!C694</f>
        <v>Delivery Ops</v>
      </c>
      <c r="E196" s="177" t="str">
        <f>_ENGINE_Risk!D694</f>
        <v>Operational visibility</v>
      </c>
      <c r="F196" s="177" t="str">
        <f>_ENGINE_Risk!F694</f>
        <v>Delivery, service continuity and operational execution</v>
      </c>
      <c r="G196" s="177" t="str">
        <f>_ENGINE_Risk!G694</f>
        <v>Severe risk: geographic delivery exposure by customer, supplier, team and site location is not reliably controlled. During Delivery disruption; Customer impact; Workforce disruption, the organization may face missed commitments, SLA breaches, service interruption and weak customer recovery with limited visibility or accountability.</v>
      </c>
      <c r="H196" s="177" t="str">
        <f>_ENGINE_Risk!BT694</f>
        <v>CAP_POS_ECOMMERCE</v>
      </c>
      <c r="I196" s="177" t="str">
        <f>_ENGINE_Risk!BV694</f>
        <v>BRG-027</v>
      </c>
      <c r="J196" s="177" t="str">
        <f>_ENGINE_Risk!CE694</f>
        <v>IW-ALL-POS_ECOMMERCE</v>
      </c>
      <c r="K196" s="177" t="str">
        <f>_ENGINE_Risk!BY694</f>
        <v>TRT-POS_ECOMMERCE-INITIAL</v>
      </c>
      <c r="L196" s="177" t="str">
        <f>_ENGINE_Risk!CP694</f>
        <v>Active</v>
      </c>
      <c r="M196" s="177" t="str">
        <f>_ENGINE_Risk!CQ694</f>
        <v>OK: capability-driven</v>
      </c>
      <c r="N196" s="177" t="str">
        <f>_ENGINE_Risk!CS694</f>
        <v>Yes</v>
      </c>
      <c r="O196" s="177" t="str">
        <f>_ENGINE_Risk!CO694</f>
        <v>Delivery Ops|Operational visibility|DELI-024|CAP_POS_ECOMMERCE</v>
      </c>
      <c r="P196" s="177" t="str">
        <f>_ENGINE_Risk!CR694</f>
        <v>Risk ontology uses capability=CAP_POS_ECOMMERCE; bridge=BRG-027; treatment=TRT-POS_ECOMMERCE-INITIAL; wording=IW-ALL-POS_ECOMMERCE</v>
      </c>
    </row>
    <row r="197" spans="1:16" ht="113.15" customHeight="1">
      <c r="A197" s="177" t="str">
        <f>_ENGINE_Risk!CM695</f>
        <v>RISK-ONT-0196</v>
      </c>
      <c r="B197" s="177">
        <f>ROW(_ENGINE_Risk!A695)</f>
        <v>695</v>
      </c>
      <c r="C197" s="177" t="str">
        <f>_ENGINE_Risk!E695</f>
        <v>SUPP-001</v>
      </c>
      <c r="D197" s="177" t="str">
        <f>_ENGINE_Risk!C695</f>
        <v>Supply Chain</v>
      </c>
      <c r="E197" s="177" t="str">
        <f>_ENGINE_Risk!D695</f>
        <v>Supply chain design</v>
      </c>
      <c r="F197" s="177" t="str">
        <f>_ENGINE_Risk!F695</f>
        <v>Supply chain, logistics and supplier continuity</v>
      </c>
      <c r="G197" s="177" t="str">
        <f>_ENGINE_Risk!G695</f>
        <v>Severe risk: end-to-end supply chain map from raw materials and suppliers to production, logistics, delivery and customers is not reliably controlled. During Supplier/logistics disruption; Manufacturing disruption; Demand shock, the organization may face supplier failure, logistics disruption, inventory shortages and production or delivery delays with limited visibility or accountability.</v>
      </c>
      <c r="H197" s="177" t="str">
        <f>_ENGINE_Risk!BT695</f>
        <v>CAP_BACKUP_RECOVERY</v>
      </c>
      <c r="I197" s="177" t="str">
        <f>_ENGINE_Risk!BV695</f>
        <v>BRG-092</v>
      </c>
      <c r="J197" s="177" t="str">
        <f>_ENGINE_Risk!CE695</f>
        <v>IW-ALL-BACKUP_RECOVERY</v>
      </c>
      <c r="K197" s="177" t="str">
        <f>_ENGINE_Risk!BY695</f>
        <v>TRT-BACKUP_RECOVERY-INITIAL</v>
      </c>
      <c r="L197" s="177" t="str">
        <f>_ENGINE_Risk!CP695</f>
        <v>Active</v>
      </c>
      <c r="M197" s="177" t="str">
        <f>_ENGINE_Risk!CQ695</f>
        <v>OK: capability-driven</v>
      </c>
      <c r="N197" s="177" t="str">
        <f>_ENGINE_Risk!CS695</f>
        <v>Yes</v>
      </c>
      <c r="O197" s="177" t="str">
        <f>_ENGINE_Risk!CO695</f>
        <v>Supply Chain|Supply chain design|SUPP-001|CAP_BACKUP_RECOVERY</v>
      </c>
      <c r="P197" s="177" t="str">
        <f>_ENGINE_Risk!CR695</f>
        <v>Risk ontology uses capability=CAP_BACKUP_RECOVERY; bridge=BRG-092; treatment=TRT-BACKUP_RECOVERY-INITIAL; wording=IW-ALL-BACKUP_RECOVERY</v>
      </c>
    </row>
    <row r="198" spans="1:16" ht="99" customHeight="1">
      <c r="A198" s="177" t="str">
        <f>_ENGINE_Risk!CM696</f>
        <v>RISK-ONT-0197</v>
      </c>
      <c r="B198" s="177">
        <f>ROW(_ENGINE_Risk!A696)</f>
        <v>696</v>
      </c>
      <c r="C198" s="177" t="str">
        <f>_ENGINE_Risk!E696</f>
        <v>SUPP-002</v>
      </c>
      <c r="D198" s="177" t="str">
        <f>_ENGINE_Risk!C696</f>
        <v>Supply Chain</v>
      </c>
      <c r="E198" s="177" t="str">
        <f>_ENGINE_Risk!D696</f>
        <v>Supply chain design</v>
      </c>
      <c r="F198" s="177" t="str">
        <f>_ENGINE_Risk!F696</f>
        <v>Supply chain, logistics and supplier continuity</v>
      </c>
      <c r="G198" s="177" t="str">
        <f>_ENGINE_Risk!G696</f>
        <v>Severe risk: visibility beyond tier-1 suppliers for critical materials, components and services is not reliably controlled. During Supplier/logistics disruption; Manufacturing disruption; Demand shock, the organization may face supplier failure, logistics disruption, inventory shortages and production or delivery delays with limited visibility or accountability.</v>
      </c>
      <c r="H198" s="177" t="str">
        <f>_ENGINE_Risk!BT696</f>
        <v>CAP_BACKUP_RECOVERY</v>
      </c>
      <c r="I198" s="177" t="str">
        <f>_ENGINE_Risk!BV696</f>
        <v>BRG-092</v>
      </c>
      <c r="J198" s="177" t="str">
        <f>_ENGINE_Risk!CE696</f>
        <v>IW-ALL-BACKUP_RECOVERY</v>
      </c>
      <c r="K198" s="177" t="str">
        <f>_ENGINE_Risk!BY696</f>
        <v>TRT-BACKUP_RECOVERY-INITIAL</v>
      </c>
      <c r="L198" s="177" t="str">
        <f>_ENGINE_Risk!CP696</f>
        <v>Active</v>
      </c>
      <c r="M198" s="177" t="str">
        <f>_ENGINE_Risk!CQ696</f>
        <v>OK: capability-driven</v>
      </c>
      <c r="N198" s="177" t="str">
        <f>_ENGINE_Risk!CS696</f>
        <v>Yes</v>
      </c>
      <c r="O198" s="177" t="str">
        <f>_ENGINE_Risk!CO696</f>
        <v>Supply Chain|Supply chain design|SUPP-002|CAP_BACKUP_RECOVERY</v>
      </c>
      <c r="P198" s="177" t="str">
        <f>_ENGINE_Risk!CR696</f>
        <v>Risk ontology uses capability=CAP_BACKUP_RECOVERY; bridge=BRG-092; treatment=TRT-BACKUP_RECOVERY-INITIAL; wording=IW-ALL-BACKUP_RECOVERY</v>
      </c>
    </row>
    <row r="199" spans="1:16" ht="99" customHeight="1">
      <c r="A199" s="177" t="str">
        <f>_ENGINE_Risk!CM697</f>
        <v>RISK-ONT-0198</v>
      </c>
      <c r="B199" s="177">
        <f>ROW(_ENGINE_Risk!A697)</f>
        <v>697</v>
      </c>
      <c r="C199" s="177" t="str">
        <f>_ENGINE_Risk!E697</f>
        <v>SUPP-003</v>
      </c>
      <c r="D199" s="177" t="str">
        <f>_ENGINE_Risk!C697</f>
        <v>Supply Chain</v>
      </c>
      <c r="E199" s="177" t="str">
        <f>_ENGINE_Risk!D697</f>
        <v>Supply chain design</v>
      </c>
      <c r="F199" s="177" t="str">
        <f>_ENGINE_Risk!F697</f>
        <v>Supply chain, logistics and supplier continuity</v>
      </c>
      <c r="G199" s="177" t="str">
        <f>_ENGINE_Risk!G697</f>
        <v>Severe risk: supplier criticality scoring by business impact, availability, substitution, lead time and geography is not reliably controlled. During Supplier/logistics disruption; Manufacturing disruption; Demand shock, the organization may face supplier failure, logistics disruption, inventory shortages and production or delivery delays with limited visibility or accountability.</v>
      </c>
      <c r="H199" s="177" t="str">
        <f>_ENGINE_Risk!BT697</f>
        <v>CAP_BACKUP_RECOVERY</v>
      </c>
      <c r="I199" s="177" t="str">
        <f>_ENGINE_Risk!BV697</f>
        <v>BRG-092</v>
      </c>
      <c r="J199" s="177" t="str">
        <f>_ENGINE_Risk!CE697</f>
        <v>IW-ALL-BACKUP_RECOVERY</v>
      </c>
      <c r="K199" s="177" t="str">
        <f>_ENGINE_Risk!BY697</f>
        <v>TRT-BACKUP_RECOVERY-INITIAL</v>
      </c>
      <c r="L199" s="177" t="str">
        <f>_ENGINE_Risk!CP697</f>
        <v>Active</v>
      </c>
      <c r="M199" s="177" t="str">
        <f>_ENGINE_Risk!CQ697</f>
        <v>OK: capability-driven</v>
      </c>
      <c r="N199" s="177" t="str">
        <f>_ENGINE_Risk!CS697</f>
        <v>Yes</v>
      </c>
      <c r="O199" s="177" t="str">
        <f>_ENGINE_Risk!CO697</f>
        <v>Supply Chain|Supply chain design|SUPP-003|CAP_BACKUP_RECOVERY</v>
      </c>
      <c r="P199" s="177" t="str">
        <f>_ENGINE_Risk!CR697</f>
        <v>Risk ontology uses capability=CAP_BACKUP_RECOVERY; bridge=BRG-092; treatment=TRT-BACKUP_RECOVERY-INITIAL; wording=IW-ALL-BACKUP_RECOVERY</v>
      </c>
    </row>
    <row r="200" spans="1:16" ht="99" customHeight="1">
      <c r="A200" s="177" t="str">
        <f>_ENGINE_Risk!CM698</f>
        <v>RISK-ONT-0199</v>
      </c>
      <c r="B200" s="177">
        <f>ROW(_ENGINE_Risk!A698)</f>
        <v>698</v>
      </c>
      <c r="C200" s="177" t="str">
        <f>_ENGINE_Risk!E698</f>
        <v>SUPP-004</v>
      </c>
      <c r="D200" s="177" t="str">
        <f>_ENGINE_Risk!C698</f>
        <v>Supply Chain</v>
      </c>
      <c r="E200" s="177" t="str">
        <f>_ENGINE_Risk!D698</f>
        <v>Supply chain design</v>
      </c>
      <c r="F200" s="177" t="str">
        <f>_ENGINE_Risk!F698</f>
        <v>Supply chain, logistics and supplier continuity</v>
      </c>
      <c r="G200" s="177" t="str">
        <f>_ENGINE_Risk!G698</f>
        <v>Severe risk: supplier concentration by spend, dependency, category, geography and product line is not reliably controlled. During Supplier/logistics disruption; Manufacturing disruption; Demand shock, the organization may face supplier failure, logistics disruption, inventory shortages and production or delivery delays with limited visibility or accountability.</v>
      </c>
      <c r="H200" s="177" t="str">
        <f>_ENGINE_Risk!BT698</f>
        <v>CAP_BACKUP_RECOVERY</v>
      </c>
      <c r="I200" s="177" t="str">
        <f>_ENGINE_Risk!BV698</f>
        <v>BRG-092</v>
      </c>
      <c r="J200" s="177" t="str">
        <f>_ENGINE_Risk!CE698</f>
        <v>IW-ALL-BACKUP_RECOVERY</v>
      </c>
      <c r="K200" s="177" t="str">
        <f>_ENGINE_Risk!BY698</f>
        <v>TRT-BACKUP_RECOVERY-INITIAL</v>
      </c>
      <c r="L200" s="177" t="str">
        <f>_ENGINE_Risk!CP698</f>
        <v>Active</v>
      </c>
      <c r="M200" s="177" t="str">
        <f>_ENGINE_Risk!CQ698</f>
        <v>OK: capability-driven</v>
      </c>
      <c r="N200" s="177" t="str">
        <f>_ENGINE_Risk!CS698</f>
        <v>Yes</v>
      </c>
      <c r="O200" s="177" t="str">
        <f>_ENGINE_Risk!CO698</f>
        <v>Supply Chain|Supply chain design|SUPP-004|CAP_BACKUP_RECOVERY</v>
      </c>
      <c r="P200" s="177" t="str">
        <f>_ENGINE_Risk!CR698</f>
        <v>Risk ontology uses capability=CAP_BACKUP_RECOVERY; bridge=BRG-092; treatment=TRT-BACKUP_RECOVERY-INITIAL; wording=IW-ALL-BACKUP_RECOVERY</v>
      </c>
    </row>
    <row r="201" spans="1:16" ht="99" customHeight="1">
      <c r="A201" s="177" t="str">
        <f>_ENGINE_Risk!CM699</f>
        <v>RISK-ONT-0200</v>
      </c>
      <c r="B201" s="177">
        <f>ROW(_ENGINE_Risk!A699)</f>
        <v>699</v>
      </c>
      <c r="C201" s="177" t="str">
        <f>_ENGINE_Risk!E699</f>
        <v>SUPP-005</v>
      </c>
      <c r="D201" s="177" t="str">
        <f>_ENGINE_Risk!C699</f>
        <v>Supply Chain</v>
      </c>
      <c r="E201" s="177" t="str">
        <f>_ENGINE_Risk!D699</f>
        <v>Supply chain design</v>
      </c>
      <c r="F201" s="177" t="str">
        <f>_ENGINE_Risk!F699</f>
        <v>Supply chain, logistics and supplier continuity</v>
      </c>
      <c r="G201" s="177" t="str">
        <f>_ENGINE_Risk!G699</f>
        <v>Severe risk: critical supplier continuity plans, recovery times and incident notification commitments is not reliably controlled. During Supplier/logistics disruption; Manufacturing disruption; Demand shock, the organization may face supplier failure, logistics disruption, inventory shortages and production or delivery delays with limited visibility or accountability.</v>
      </c>
      <c r="H201" s="177" t="str">
        <f>_ENGINE_Risk!BT699</f>
        <v>CAP_BACKUP_RECOVERY</v>
      </c>
      <c r="I201" s="177" t="str">
        <f>_ENGINE_Risk!BV699</f>
        <v>BRG-092</v>
      </c>
      <c r="J201" s="177" t="str">
        <f>_ENGINE_Risk!CE699</f>
        <v>IW-ALL-BACKUP_RECOVERY</v>
      </c>
      <c r="K201" s="177" t="str">
        <f>_ENGINE_Risk!BY699</f>
        <v>TRT-BACKUP_RECOVERY-INITIAL</v>
      </c>
      <c r="L201" s="177" t="str">
        <f>_ENGINE_Risk!CP699</f>
        <v>Active</v>
      </c>
      <c r="M201" s="177" t="str">
        <f>_ENGINE_Risk!CQ699</f>
        <v>OK: capability-driven</v>
      </c>
      <c r="N201" s="177" t="str">
        <f>_ENGINE_Risk!CS699</f>
        <v>Yes</v>
      </c>
      <c r="O201" s="177" t="str">
        <f>_ENGINE_Risk!CO699</f>
        <v>Supply Chain|Supply chain design|SUPP-005|CAP_BACKUP_RECOVERY</v>
      </c>
      <c r="P201" s="177" t="str">
        <f>_ENGINE_Risk!CR699</f>
        <v>Risk ontology uses capability=CAP_BACKUP_RECOVERY; bridge=BRG-092; treatment=TRT-BACKUP_RECOVERY-INITIAL; wording=IW-ALL-BACKUP_RECOVERY</v>
      </c>
    </row>
    <row r="202" spans="1:16" ht="99" customHeight="1">
      <c r="A202" s="177" t="str">
        <f>_ENGINE_Risk!CM700</f>
        <v>RISK-ONT-0201</v>
      </c>
      <c r="B202" s="177">
        <f>ROW(_ENGINE_Risk!A700)</f>
        <v>700</v>
      </c>
      <c r="C202" s="177" t="str">
        <f>_ENGINE_Risk!E700</f>
        <v>SUPP-006</v>
      </c>
      <c r="D202" s="177" t="str">
        <f>_ENGINE_Risk!C700</f>
        <v>Supply Chain</v>
      </c>
      <c r="E202" s="177" t="str">
        <f>_ENGINE_Risk!D700</f>
        <v>Supply chain design</v>
      </c>
      <c r="F202" s="177" t="str">
        <f>_ENGINE_Risk!F700</f>
        <v>Supply chain, logistics and supplier continuity</v>
      </c>
      <c r="G202" s="177" t="str">
        <f>_ENGINE_Risk!G700</f>
        <v>Severe risk: pre-qualified alternative suppliers for critical categories is not reliably controlled. During Supplier/logistics disruption; Manufacturing disruption; Demand shock, the organization may face supplier failure, logistics disruption, inventory shortages and production or delivery delays with limited visibility or accountability.</v>
      </c>
      <c r="H202" s="177" t="str">
        <f>_ENGINE_Risk!BT700</f>
        <v>CAP_BACKUP_RECOVERY</v>
      </c>
      <c r="I202" s="177" t="str">
        <f>_ENGINE_Risk!BV700</f>
        <v>BRG-092</v>
      </c>
      <c r="J202" s="177" t="str">
        <f>_ENGINE_Risk!CE700</f>
        <v>IW-ALL-BACKUP_RECOVERY</v>
      </c>
      <c r="K202" s="177" t="str">
        <f>_ENGINE_Risk!BY700</f>
        <v>TRT-BACKUP_RECOVERY-INITIAL</v>
      </c>
      <c r="L202" s="177" t="str">
        <f>_ENGINE_Risk!CP700</f>
        <v>Active</v>
      </c>
      <c r="M202" s="177" t="str">
        <f>_ENGINE_Risk!CQ700</f>
        <v>OK: capability-driven</v>
      </c>
      <c r="N202" s="177" t="str">
        <f>_ENGINE_Risk!CS700</f>
        <v>Yes</v>
      </c>
      <c r="O202" s="177" t="str">
        <f>_ENGINE_Risk!CO700</f>
        <v>Supply Chain|Supply chain design|SUPP-006|CAP_BACKUP_RECOVERY</v>
      </c>
      <c r="P202" s="177" t="str">
        <f>_ENGINE_Risk!CR700</f>
        <v>Risk ontology uses capability=CAP_BACKUP_RECOVERY; bridge=BRG-092; treatment=TRT-BACKUP_RECOVERY-INITIAL; wording=IW-ALL-BACKUP_RECOVERY</v>
      </c>
    </row>
    <row r="203" spans="1:16" ht="99" customHeight="1">
      <c r="A203" s="177" t="str">
        <f>_ENGINE_Risk!CM701</f>
        <v>RISK-ONT-0202</v>
      </c>
      <c r="B203" s="177">
        <f>ROW(_ENGINE_Risk!A701)</f>
        <v>701</v>
      </c>
      <c r="C203" s="177" t="str">
        <f>_ENGINE_Risk!E701</f>
        <v>SUPP-007</v>
      </c>
      <c r="D203" s="177" t="str">
        <f>_ENGINE_Risk!C701</f>
        <v>Supply Chain</v>
      </c>
      <c r="E203" s="177" t="str">
        <f>_ENGINE_Risk!D701</f>
        <v>Logistics</v>
      </c>
      <c r="F203" s="177" t="str">
        <f>_ENGINE_Risk!F701</f>
        <v>Supply chain, logistics and supplier continuity</v>
      </c>
      <c r="G203" s="177" t="str">
        <f>_ENGINE_Risk!G701</f>
        <v>Severe risk: critical logistics routes, carriers, ports, borders, warehouses and transit risks is not reliably controlled. During Supplier/logistics disruption; Manufacturing disruption; Demand shock, the organization may face supplier failure, logistics disruption, inventory shortages and production or delivery delays with limited visibility or accountability.</v>
      </c>
      <c r="H203" s="177" t="str">
        <f>_ENGINE_Risk!BT701</f>
        <v>CAP_WMS_WAREHOUSE</v>
      </c>
      <c r="I203" s="177" t="str">
        <f>_ENGINE_Risk!BV701</f>
        <v>BRG-090</v>
      </c>
      <c r="J203" s="177" t="str">
        <f>_ENGINE_Risk!CE701</f>
        <v>IW-ALL-WMS_WAREHOUSE</v>
      </c>
      <c r="K203" s="177" t="str">
        <f>_ENGINE_Risk!BY701</f>
        <v>TRT-WMS_WAREHOUSE-INITIAL</v>
      </c>
      <c r="L203" s="177" t="str">
        <f>_ENGINE_Risk!CP701</f>
        <v>Active</v>
      </c>
      <c r="M203" s="177" t="str">
        <f>_ENGINE_Risk!CQ701</f>
        <v>OK: capability-driven</v>
      </c>
      <c r="N203" s="177" t="str">
        <f>_ENGINE_Risk!CS701</f>
        <v>Yes</v>
      </c>
      <c r="O203" s="177" t="str">
        <f>_ENGINE_Risk!CO701</f>
        <v>Supply Chain|Logistics|SUPP-007|CAP_WMS_WAREHOUSE</v>
      </c>
      <c r="P203" s="177" t="str">
        <f>_ENGINE_Risk!CR701</f>
        <v>Risk ontology uses capability=CAP_WMS_WAREHOUSE; bridge=BRG-090; treatment=TRT-WMS_WAREHOUSE-INITIAL; wording=IW-ALL-WMS_WAREHOUSE</v>
      </c>
    </row>
    <row r="204" spans="1:16" ht="99" customHeight="1">
      <c r="A204" s="177" t="str">
        <f>_ENGINE_Risk!CM702</f>
        <v>RISK-ONT-0203</v>
      </c>
      <c r="B204" s="177">
        <f>ROW(_ENGINE_Risk!A702)</f>
        <v>702</v>
      </c>
      <c r="C204" s="177" t="str">
        <f>_ENGINE_Risk!E702</f>
        <v>SUPP-008</v>
      </c>
      <c r="D204" s="177" t="str">
        <f>_ENGINE_Risk!C702</f>
        <v>Supply Chain</v>
      </c>
      <c r="E204" s="177" t="str">
        <f>_ENGINE_Risk!D702</f>
        <v>Logistics</v>
      </c>
      <c r="F204" s="177" t="str">
        <f>_ENGINE_Risk!F702</f>
        <v>Supply chain, logistics and supplier continuity</v>
      </c>
      <c r="G204" s="177" t="str">
        <f>_ENGINE_Risk!G702</f>
        <v>Severe risk: alternative carriers, routes and warehouses for disruption scenarios is not reliably controlled. During Supplier/logistics disruption; Manufacturing disruption; Demand shock, the organization may face supplier failure, logistics disruption, inventory shortages and production or delivery delays with limited visibility or accountability.</v>
      </c>
      <c r="H204" s="177" t="str">
        <f>_ENGINE_Risk!BT702</f>
        <v>CAP_WMS_WAREHOUSE</v>
      </c>
      <c r="I204" s="177" t="str">
        <f>_ENGINE_Risk!BV702</f>
        <v>BRG-090</v>
      </c>
      <c r="J204" s="177" t="str">
        <f>_ENGINE_Risk!CE702</f>
        <v>IW-ALL-WMS_WAREHOUSE</v>
      </c>
      <c r="K204" s="177" t="str">
        <f>_ENGINE_Risk!BY702</f>
        <v>TRT-WMS_WAREHOUSE-INITIAL</v>
      </c>
      <c r="L204" s="177" t="str">
        <f>_ENGINE_Risk!CP702</f>
        <v>Active</v>
      </c>
      <c r="M204" s="177" t="str">
        <f>_ENGINE_Risk!CQ702</f>
        <v>OK: capability-driven</v>
      </c>
      <c r="N204" s="177" t="str">
        <f>_ENGINE_Risk!CS702</f>
        <v>Yes</v>
      </c>
      <c r="O204" s="177" t="str">
        <f>_ENGINE_Risk!CO702</f>
        <v>Supply Chain|Logistics|SUPP-008|CAP_WMS_WAREHOUSE</v>
      </c>
      <c r="P204" s="177" t="str">
        <f>_ENGINE_Risk!CR702</f>
        <v>Risk ontology uses capability=CAP_WMS_WAREHOUSE; bridge=BRG-090; treatment=TRT-WMS_WAREHOUSE-INITIAL; wording=IW-ALL-WMS_WAREHOUSE</v>
      </c>
    </row>
    <row r="205" spans="1:16" ht="99" customHeight="1">
      <c r="A205" s="177" t="str">
        <f>_ENGINE_Risk!CM703</f>
        <v>RISK-ONT-0204</v>
      </c>
      <c r="B205" s="177">
        <f>ROW(_ENGINE_Risk!A703)</f>
        <v>703</v>
      </c>
      <c r="C205" s="177" t="str">
        <f>_ENGINE_Risk!E703</f>
        <v>SUPP-009</v>
      </c>
      <c r="D205" s="177" t="str">
        <f>_ENGINE_Risk!C703</f>
        <v>Supply Chain</v>
      </c>
      <c r="E205" s="177" t="str">
        <f>_ENGINE_Risk!D703</f>
        <v>Logistics</v>
      </c>
      <c r="F205" s="177" t="str">
        <f>_ENGINE_Risk!F703</f>
        <v>Supply chain, logistics and supplier continuity</v>
      </c>
      <c r="G205" s="177" t="str">
        <f>_ENGINE_Risk!G703</f>
        <v>Severe risk: transport capacity for peak demand or disruption periods is not reliably controlled. During Supplier/logistics disruption; Manufacturing disruption; Demand shock, the organization may face supplier failure, logistics disruption, inventory shortages and production or delivery delays with limited visibility or accountability.</v>
      </c>
      <c r="H205" s="177" t="str">
        <f>_ENGINE_Risk!BT703</f>
        <v>CAP_WMS_WAREHOUSE</v>
      </c>
      <c r="I205" s="177" t="str">
        <f>_ENGINE_Risk!BV703</f>
        <v>BRG-090</v>
      </c>
      <c r="J205" s="177" t="str">
        <f>_ENGINE_Risk!CE703</f>
        <v>IW-ALL-WMS_WAREHOUSE</v>
      </c>
      <c r="K205" s="177" t="str">
        <f>_ENGINE_Risk!BY703</f>
        <v>TRT-WMS_WAREHOUSE-INITIAL</v>
      </c>
      <c r="L205" s="177" t="str">
        <f>_ENGINE_Risk!CP703</f>
        <v>Active</v>
      </c>
      <c r="M205" s="177" t="str">
        <f>_ENGINE_Risk!CQ703</f>
        <v>OK: capability-driven</v>
      </c>
      <c r="N205" s="177" t="str">
        <f>_ENGINE_Risk!CS703</f>
        <v>Yes</v>
      </c>
      <c r="O205" s="177" t="str">
        <f>_ENGINE_Risk!CO703</f>
        <v>Supply Chain|Logistics|SUPP-009|CAP_WMS_WAREHOUSE</v>
      </c>
      <c r="P205" s="177" t="str">
        <f>_ENGINE_Risk!CR703</f>
        <v>Risk ontology uses capability=CAP_WMS_WAREHOUSE; bridge=BRG-090; treatment=TRT-WMS_WAREHOUSE-INITIAL; wording=IW-ALL-WMS_WAREHOUSE</v>
      </c>
    </row>
    <row r="206" spans="1:16" ht="99" customHeight="1">
      <c r="A206" s="177" t="str">
        <f>_ENGINE_Risk!CM704</f>
        <v>RISK-ONT-0205</v>
      </c>
      <c r="B206" s="177">
        <f>ROW(_ENGINE_Risk!A704)</f>
        <v>704</v>
      </c>
      <c r="C206" s="177" t="str">
        <f>_ENGINE_Risk!E704</f>
        <v>SUPP-010</v>
      </c>
      <c r="D206" s="177" t="str">
        <f>_ENGINE_Risk!C704</f>
        <v>Supply Chain</v>
      </c>
      <c r="E206" s="177" t="str">
        <f>_ENGINE_Risk!D704</f>
        <v>Logistics</v>
      </c>
      <c r="F206" s="177" t="str">
        <f>_ENGINE_Risk!F704</f>
        <v>Supply chain, logistics and supplier continuity</v>
      </c>
      <c r="G206" s="177" t="str">
        <f>_ENGINE_Risk!G704</f>
        <v>Severe risk: shipment tracking and reliable ETA communication for critical shipments is not reliably controlled. During Supplier/logistics disruption; Manufacturing disruption; Demand shock, the organization may face supplier failure, logistics disruption, inventory shortages and production or delivery delays with limited visibility or accountability.</v>
      </c>
      <c r="H206" s="177" t="str">
        <f>_ENGINE_Risk!BT704</f>
        <v>CAP_WMS_WAREHOUSE</v>
      </c>
      <c r="I206" s="177" t="str">
        <f>_ENGINE_Risk!BV704</f>
        <v>BRG-090</v>
      </c>
      <c r="J206" s="177" t="str">
        <f>_ENGINE_Risk!CE704</f>
        <v>IW-ALL-WMS_WAREHOUSE</v>
      </c>
      <c r="K206" s="177" t="str">
        <f>_ENGINE_Risk!BY704</f>
        <v>TRT-WMS_WAREHOUSE-INITIAL</v>
      </c>
      <c r="L206" s="177" t="str">
        <f>_ENGINE_Risk!CP704</f>
        <v>Active</v>
      </c>
      <c r="M206" s="177" t="str">
        <f>_ENGINE_Risk!CQ704</f>
        <v>OK: capability-driven</v>
      </c>
      <c r="N206" s="177" t="str">
        <f>_ENGINE_Risk!CS704</f>
        <v>Yes</v>
      </c>
      <c r="O206" s="177" t="str">
        <f>_ENGINE_Risk!CO704</f>
        <v>Supply Chain|Logistics|SUPP-010|CAP_WMS_WAREHOUSE</v>
      </c>
      <c r="P206" s="177" t="str">
        <f>_ENGINE_Risk!CR704</f>
        <v>Risk ontology uses capability=CAP_WMS_WAREHOUSE; bridge=BRG-090; treatment=TRT-WMS_WAREHOUSE-INITIAL; wording=IW-ALL-WMS_WAREHOUSE</v>
      </c>
    </row>
    <row r="207" spans="1:16" ht="99" customHeight="1">
      <c r="A207" s="177" t="str">
        <f>_ENGINE_Risk!CM705</f>
        <v>RISK-ONT-0206</v>
      </c>
      <c r="B207" s="177">
        <f>ROW(_ENGINE_Risk!A705)</f>
        <v>705</v>
      </c>
      <c r="C207" s="177" t="str">
        <f>_ENGINE_Risk!E705</f>
        <v>SUPP-011</v>
      </c>
      <c r="D207" s="177" t="str">
        <f>_ENGINE_Risk!C705</f>
        <v>Supply Chain</v>
      </c>
      <c r="E207" s="177" t="str">
        <f>_ENGINE_Risk!D705</f>
        <v>Logistics</v>
      </c>
      <c r="F207" s="177" t="str">
        <f>_ENGINE_Risk!F705</f>
        <v>Supply chain, logistics and supplier continuity</v>
      </c>
      <c r="G207" s="177" t="str">
        <f>_ENGINE_Risk!G705</f>
        <v>Severe risk: customs, import/export, sanctions and trade documentation controls is not reliably controlled. During Supplier/logistics disruption; Manufacturing disruption; Demand shock, the organization may face supplier failure, logistics disruption, inventory shortages and production or delivery delays with limited visibility or accountability.</v>
      </c>
      <c r="H207" s="177" t="str">
        <f>_ENGINE_Risk!BT705</f>
        <v>CAP_WMS_WAREHOUSE</v>
      </c>
      <c r="I207" s="177" t="str">
        <f>_ENGINE_Risk!BV705</f>
        <v>BRG-090</v>
      </c>
      <c r="J207" s="177" t="str">
        <f>_ENGINE_Risk!CE705</f>
        <v>IW-ALL-WMS_WAREHOUSE</v>
      </c>
      <c r="K207" s="177" t="str">
        <f>_ENGINE_Risk!BY705</f>
        <v>TRT-WMS_WAREHOUSE-INITIAL</v>
      </c>
      <c r="L207" s="177" t="str">
        <f>_ENGINE_Risk!CP705</f>
        <v>Active</v>
      </c>
      <c r="M207" s="177" t="str">
        <f>_ENGINE_Risk!CQ705</f>
        <v>OK: capability-driven</v>
      </c>
      <c r="N207" s="177" t="str">
        <f>_ENGINE_Risk!CS705</f>
        <v>Yes</v>
      </c>
      <c r="O207" s="177" t="str">
        <f>_ENGINE_Risk!CO705</f>
        <v>Supply Chain|Logistics|SUPP-011|CAP_WMS_WAREHOUSE</v>
      </c>
      <c r="P207" s="177" t="str">
        <f>_ENGINE_Risk!CR705</f>
        <v>Risk ontology uses capability=CAP_WMS_WAREHOUSE; bridge=BRG-090; treatment=TRT-WMS_WAREHOUSE-INITIAL; wording=IW-ALL-WMS_WAREHOUSE</v>
      </c>
    </row>
    <row r="208" spans="1:16" ht="99" customHeight="1">
      <c r="A208" s="177" t="str">
        <f>_ENGINE_Risk!CM706</f>
        <v>RISK-ONT-0207</v>
      </c>
      <c r="B208" s="177">
        <f>ROW(_ENGINE_Risk!A706)</f>
        <v>706</v>
      </c>
      <c r="C208" s="177" t="str">
        <f>_ENGINE_Risk!E706</f>
        <v>SUPP-012</v>
      </c>
      <c r="D208" s="177" t="str">
        <f>_ENGINE_Risk!C706</f>
        <v>Supply Chain</v>
      </c>
      <c r="E208" s="177" t="str">
        <f>_ENGINE_Risk!D706</f>
        <v>Logistics</v>
      </c>
      <c r="F208" s="177" t="str">
        <f>_ENGINE_Risk!F706</f>
        <v>Supply chain, logistics and supplier continuity</v>
      </c>
      <c r="G208" s="177" t="str">
        <f>_ENGINE_Risk!G706</f>
        <v>Severe risk: Incoterms, insurance, liability and delivery obligations for critical flows is not reliably controlled. During Supplier/logistics disruption; Manufacturing disruption; Demand shock, the organization may face supplier failure, logistics disruption, inventory shortages and production or delivery delays with limited visibility or accountability.</v>
      </c>
      <c r="H208" s="177" t="str">
        <f>_ENGINE_Risk!BT706</f>
        <v>CAP_WMS_WAREHOUSE</v>
      </c>
      <c r="I208" s="177" t="str">
        <f>_ENGINE_Risk!BV706</f>
        <v>BRG-090</v>
      </c>
      <c r="J208" s="177" t="str">
        <f>_ENGINE_Risk!CE706</f>
        <v>IW-ALL-WMS_WAREHOUSE</v>
      </c>
      <c r="K208" s="177" t="str">
        <f>_ENGINE_Risk!BY706</f>
        <v>TRT-WMS_WAREHOUSE-INITIAL</v>
      </c>
      <c r="L208" s="177" t="str">
        <f>_ENGINE_Risk!CP706</f>
        <v>Active</v>
      </c>
      <c r="M208" s="177" t="str">
        <f>_ENGINE_Risk!CQ706</f>
        <v>OK: capability-driven</v>
      </c>
      <c r="N208" s="177" t="str">
        <f>_ENGINE_Risk!CS706</f>
        <v>Yes</v>
      </c>
      <c r="O208" s="177" t="str">
        <f>_ENGINE_Risk!CO706</f>
        <v>Supply Chain|Logistics|SUPP-012|CAP_WMS_WAREHOUSE</v>
      </c>
      <c r="P208" s="177" t="str">
        <f>_ENGINE_Risk!CR706</f>
        <v>Risk ontology uses capability=CAP_WMS_WAREHOUSE; bridge=BRG-090; treatment=TRT-WMS_WAREHOUSE-INITIAL; wording=IW-ALL-WMS_WAREHOUSE</v>
      </c>
    </row>
    <row r="209" spans="1:16" ht="99" customHeight="1">
      <c r="A209" s="177" t="str">
        <f>_ENGINE_Risk!CM707</f>
        <v>RISK-ONT-0208</v>
      </c>
      <c r="B209" s="177">
        <f>ROW(_ENGINE_Risk!A707)</f>
        <v>707</v>
      </c>
      <c r="C209" s="177" t="str">
        <f>_ENGINE_Risk!E707</f>
        <v>SUPP-013</v>
      </c>
      <c r="D209" s="177" t="str">
        <f>_ENGINE_Risk!C707</f>
        <v>Supply Chain</v>
      </c>
      <c r="E209" s="177" t="str">
        <f>_ENGINE_Risk!D707</f>
        <v>Inventory and planning</v>
      </c>
      <c r="F209" s="177" t="str">
        <f>_ENGINE_Risk!F707</f>
        <v>Supply chain, logistics and supplier continuity</v>
      </c>
      <c r="G209" s="177" t="str">
        <f>_ENGINE_Risk!G707</f>
        <v>Severe risk: safety stock, reorder points, min/max levels and buffer rules by criticality and lead time is not reliably controlled. During Supplier/logistics disruption; Manufacturing disruption; Demand shock, the organization may face supplier failure, logistics disruption, inventory shortages and production or delivery delays with limited visibility or accountability.</v>
      </c>
      <c r="H209" s="177" t="str">
        <f>_ENGINE_Risk!BT707</f>
        <v>CAP_INVENTORY_PLANNING</v>
      </c>
      <c r="I209" s="177" t="str">
        <f>_ENGINE_Risk!BV707</f>
        <v>BRG-089</v>
      </c>
      <c r="J209" s="177" t="str">
        <f>_ENGINE_Risk!CE707</f>
        <v>IW-ALL-INVENTORY_PLANNING</v>
      </c>
      <c r="K209" s="177" t="str">
        <f>_ENGINE_Risk!BY707</f>
        <v>TRT-INVENTORY_PLANNING-INITIAL</v>
      </c>
      <c r="L209" s="177" t="str">
        <f>_ENGINE_Risk!CP707</f>
        <v>Active</v>
      </c>
      <c r="M209" s="177" t="str">
        <f>_ENGINE_Risk!CQ707</f>
        <v>OK: capability-driven</v>
      </c>
      <c r="N209" s="177" t="str">
        <f>_ENGINE_Risk!CS707</f>
        <v>Yes</v>
      </c>
      <c r="O209" s="177" t="str">
        <f>_ENGINE_Risk!CO707</f>
        <v>Supply Chain|Inventory and planning|SUPP-013|CAP_INVENTORY_PLANNING</v>
      </c>
      <c r="P209" s="177" t="str">
        <f>_ENGINE_Risk!CR707</f>
        <v>Risk ontology uses capability=CAP_INVENTORY_PLANNING; bridge=BRG-089; treatment=TRT-INVENTORY_PLANNING-INITIAL; wording=IW-ALL-INVENTORY_PLANNING</v>
      </c>
    </row>
    <row r="210" spans="1:16" ht="99" customHeight="1">
      <c r="A210" s="177" t="str">
        <f>_ENGINE_Risk!CM708</f>
        <v>RISK-ONT-0209</v>
      </c>
      <c r="B210" s="177">
        <f>ROW(_ENGINE_Risk!A708)</f>
        <v>708</v>
      </c>
      <c r="C210" s="177" t="str">
        <f>_ENGINE_Risk!E708</f>
        <v>SUPP-014</v>
      </c>
      <c r="D210" s="177" t="str">
        <f>_ENGINE_Risk!C708</f>
        <v>Supply Chain</v>
      </c>
      <c r="E210" s="177" t="str">
        <f>_ENGINE_Risk!D708</f>
        <v>Inventory and planning</v>
      </c>
      <c r="F210" s="177" t="str">
        <f>_ENGINE_Risk!F708</f>
        <v>Supply chain, logistics and supplier continuity</v>
      </c>
      <c r="G210" s="177" t="str">
        <f>_ENGINE_Risk!G708</f>
        <v>Severe risk: inventory visibility by SKU, location, status, shelf life, batch and ownership is not reliably controlled. During Supplier/logistics disruption; Manufacturing disruption; Demand shock, the organization may face supplier failure, logistics disruption, inventory shortages and production or delivery delays with limited visibility or accountability.</v>
      </c>
      <c r="H210" s="177" t="str">
        <f>_ENGINE_Risk!BT708</f>
        <v>CAP_INVENTORY_PLANNING</v>
      </c>
      <c r="I210" s="177" t="str">
        <f>_ENGINE_Risk!BV708</f>
        <v>BRG-089</v>
      </c>
      <c r="J210" s="177" t="str">
        <f>_ENGINE_Risk!CE708</f>
        <v>IW-ALL-INVENTORY_PLANNING</v>
      </c>
      <c r="K210" s="177" t="str">
        <f>_ENGINE_Risk!BY708</f>
        <v>TRT-INVENTORY_PLANNING-INITIAL</v>
      </c>
      <c r="L210" s="177" t="str">
        <f>_ENGINE_Risk!CP708</f>
        <v>Active</v>
      </c>
      <c r="M210" s="177" t="str">
        <f>_ENGINE_Risk!CQ708</f>
        <v>OK: capability-driven</v>
      </c>
      <c r="N210" s="177" t="str">
        <f>_ENGINE_Risk!CS708</f>
        <v>Yes</v>
      </c>
      <c r="O210" s="177" t="str">
        <f>_ENGINE_Risk!CO708</f>
        <v>Supply Chain|Inventory and planning|SUPP-014|CAP_INVENTORY_PLANNING</v>
      </c>
      <c r="P210" s="177" t="str">
        <f>_ENGINE_Risk!CR708</f>
        <v>Risk ontology uses capability=CAP_INVENTORY_PLANNING; bridge=BRG-089; treatment=TRT-INVENTORY_PLANNING-INITIAL; wording=IW-ALL-INVENTORY_PLANNING</v>
      </c>
    </row>
    <row r="211" spans="1:16" ht="99" customHeight="1">
      <c r="A211" s="177" t="str">
        <f>_ENGINE_Risk!CM709</f>
        <v>RISK-ONT-0210</v>
      </c>
      <c r="B211" s="177">
        <f>ROW(_ENGINE_Risk!A709)</f>
        <v>709</v>
      </c>
      <c r="C211" s="177" t="str">
        <f>_ENGINE_Risk!E709</f>
        <v>SUPP-015</v>
      </c>
      <c r="D211" s="177" t="str">
        <f>_ENGINE_Risk!C709</f>
        <v>Supply Chain</v>
      </c>
      <c r="E211" s="177" t="str">
        <f>_ENGINE_Risk!D709</f>
        <v>Inventory and planning</v>
      </c>
      <c r="F211" s="177" t="str">
        <f>_ENGINE_Risk!F709</f>
        <v>Supply chain, logistics and supplier continuity</v>
      </c>
      <c r="G211" s="177" t="str">
        <f>_ENGINE_Risk!G709</f>
        <v>Severe risk: slow-moving, obsolete or stagnant inventory analysis linked to sales and procurement decisions is not reliably controlled. During Supplier/logistics disruption; Manufacturing disruption; Demand shock, the organization may face supplier failure, logistics disruption, inventory shortages and production or delivery delays with limited visibility or accountability.</v>
      </c>
      <c r="H211" s="177" t="str">
        <f>_ENGINE_Risk!BT709</f>
        <v>CAP_INVENTORY_PLANNING</v>
      </c>
      <c r="I211" s="177" t="str">
        <f>_ENGINE_Risk!BV709</f>
        <v>BRG-089</v>
      </c>
      <c r="J211" s="177" t="str">
        <f>_ENGINE_Risk!CE709</f>
        <v>IW-ALL-INVENTORY_PLANNING</v>
      </c>
      <c r="K211" s="177" t="str">
        <f>_ENGINE_Risk!BY709</f>
        <v>TRT-INVENTORY_PLANNING-INITIAL</v>
      </c>
      <c r="L211" s="177" t="str">
        <f>_ENGINE_Risk!CP709</f>
        <v>Active</v>
      </c>
      <c r="M211" s="177" t="str">
        <f>_ENGINE_Risk!CQ709</f>
        <v>OK: capability-driven</v>
      </c>
      <c r="N211" s="177" t="str">
        <f>_ENGINE_Risk!CS709</f>
        <v>Yes</v>
      </c>
      <c r="O211" s="177" t="str">
        <f>_ENGINE_Risk!CO709</f>
        <v>Supply Chain|Inventory and planning|SUPP-015|CAP_INVENTORY_PLANNING</v>
      </c>
      <c r="P211" s="177" t="str">
        <f>_ENGINE_Risk!CR709</f>
        <v>Risk ontology uses capability=CAP_INVENTORY_PLANNING; bridge=BRG-089; treatment=TRT-INVENTORY_PLANNING-INITIAL; wording=IW-ALL-INVENTORY_PLANNING</v>
      </c>
    </row>
    <row r="212" spans="1:16" ht="99" customHeight="1">
      <c r="A212" s="177" t="str">
        <f>_ENGINE_Risk!CM710</f>
        <v>RISK-ONT-0211</v>
      </c>
      <c r="B212" s="177">
        <f>ROW(_ENGINE_Risk!A710)</f>
        <v>710</v>
      </c>
      <c r="C212" s="177" t="str">
        <f>_ENGINE_Risk!E710</f>
        <v>SUPP-016</v>
      </c>
      <c r="D212" s="177" t="str">
        <f>_ENGINE_Risk!C710</f>
        <v>Supply Chain</v>
      </c>
      <c r="E212" s="177" t="str">
        <f>_ENGINE_Risk!D710</f>
        <v>Inventory and planning</v>
      </c>
      <c r="F212" s="177" t="str">
        <f>_ENGINE_Risk!F710</f>
        <v>Supply chain, logistics and supplier continuity</v>
      </c>
      <c r="G212" s="177" t="str">
        <f>_ENGINE_Risk!G710</f>
        <v>Severe risk: critical materials and spare parts buffers sized using risk, demand variability and supplier lead time is not reliably controlled. During Supplier/logistics disruption; Manufacturing disruption; Demand shock, the organization may face supplier failure, logistics disruption, inventory shortages and production or delivery delays with limited visibility or accountability.</v>
      </c>
      <c r="H212" s="177" t="str">
        <f>_ENGINE_Risk!BT710</f>
        <v>CAP_INVENTORY_PLANNING</v>
      </c>
      <c r="I212" s="177" t="str">
        <f>_ENGINE_Risk!BV710</f>
        <v>BRG-089</v>
      </c>
      <c r="J212" s="177" t="str">
        <f>_ENGINE_Risk!CE710</f>
        <v>IW-ALL-INVENTORY_PLANNING</v>
      </c>
      <c r="K212" s="177" t="str">
        <f>_ENGINE_Risk!BY710</f>
        <v>TRT-INVENTORY_PLANNING-INITIAL</v>
      </c>
      <c r="L212" s="177" t="str">
        <f>_ENGINE_Risk!CP710</f>
        <v>Active</v>
      </c>
      <c r="M212" s="177" t="str">
        <f>_ENGINE_Risk!CQ710</f>
        <v>OK: capability-driven</v>
      </c>
      <c r="N212" s="177" t="str">
        <f>_ENGINE_Risk!CS710</f>
        <v>Yes</v>
      </c>
      <c r="O212" s="177" t="str">
        <f>_ENGINE_Risk!CO710</f>
        <v>Supply Chain|Inventory and planning|SUPP-016|CAP_INVENTORY_PLANNING</v>
      </c>
      <c r="P212" s="177" t="str">
        <f>_ENGINE_Risk!CR710</f>
        <v>Risk ontology uses capability=CAP_INVENTORY_PLANNING; bridge=BRG-089; treatment=TRT-INVENTORY_PLANNING-INITIAL; wording=IW-ALL-INVENTORY_PLANNING</v>
      </c>
    </row>
    <row r="213" spans="1:16" ht="99" customHeight="1">
      <c r="A213" s="177" t="str">
        <f>_ENGINE_Risk!CM711</f>
        <v>RISK-ONT-0212</v>
      </c>
      <c r="B213" s="177">
        <f>ROW(_ENGINE_Risk!A711)</f>
        <v>711</v>
      </c>
      <c r="C213" s="177" t="str">
        <f>_ENGINE_Risk!E711</f>
        <v>SUPP-017</v>
      </c>
      <c r="D213" s="177" t="str">
        <f>_ENGINE_Risk!C711</f>
        <v>Supply Chain</v>
      </c>
      <c r="E213" s="177" t="str">
        <f>_ENGINE_Risk!D711</f>
        <v>Inventory and planning</v>
      </c>
      <c r="F213" s="177" t="str">
        <f>_ENGINE_Risk!F711</f>
        <v>Supply chain, logistics and supplier continuity</v>
      </c>
      <c r="G213" s="177" t="str">
        <f>_ENGINE_Risk!G711</f>
        <v>Severe risk: demand forecast integrated with sales pipeline, history, seasonality and crisis scenarios is not reliably controlled. During Supplier/logistics disruption; Manufacturing disruption; Demand shock, the organization may face supplier failure, logistics disruption, inventory shortages and production or delivery delays with limited visibility or accountability.</v>
      </c>
      <c r="H213" s="177" t="str">
        <f>_ENGINE_Risk!BT711</f>
        <v>CAP_INVENTORY_PLANNING</v>
      </c>
      <c r="I213" s="177" t="str">
        <f>_ENGINE_Risk!BV711</f>
        <v>BRG-089</v>
      </c>
      <c r="J213" s="177" t="str">
        <f>_ENGINE_Risk!CE711</f>
        <v>IW-ALL-INVENTORY_PLANNING</v>
      </c>
      <c r="K213" s="177" t="str">
        <f>_ENGINE_Risk!BY711</f>
        <v>TRT-INVENTORY_PLANNING-INITIAL</v>
      </c>
      <c r="L213" s="177" t="str">
        <f>_ENGINE_Risk!CP711</f>
        <v>Active</v>
      </c>
      <c r="M213" s="177" t="str">
        <f>_ENGINE_Risk!CQ711</f>
        <v>OK: capability-driven</v>
      </c>
      <c r="N213" s="177" t="str">
        <f>_ENGINE_Risk!CS711</f>
        <v>Yes</v>
      </c>
      <c r="O213" s="177" t="str">
        <f>_ENGINE_Risk!CO711</f>
        <v>Supply Chain|Inventory and planning|SUPP-017|CAP_INVENTORY_PLANNING</v>
      </c>
      <c r="P213" s="177" t="str">
        <f>_ENGINE_Risk!CR711</f>
        <v>Risk ontology uses capability=CAP_INVENTORY_PLANNING; bridge=BRG-089; treatment=TRT-INVENTORY_PLANNING-INITIAL; wording=IW-ALL-INVENTORY_PLANNING</v>
      </c>
    </row>
    <row r="214" spans="1:16" ht="99" customHeight="1">
      <c r="A214" s="177" t="str">
        <f>_ENGINE_Risk!CM712</f>
        <v>RISK-ONT-0213</v>
      </c>
      <c r="B214" s="177">
        <f>ROW(_ENGINE_Risk!A712)</f>
        <v>712</v>
      </c>
      <c r="C214" s="177" t="str">
        <f>_ENGINE_Risk!E712</f>
        <v>SUPP-018</v>
      </c>
      <c r="D214" s="177" t="str">
        <f>_ENGINE_Risk!C712</f>
        <v>Supply Chain</v>
      </c>
      <c r="E214" s="177" t="str">
        <f>_ENGINE_Risk!D712</f>
        <v>Inventory and planning</v>
      </c>
      <c r="F214" s="177" t="str">
        <f>_ENGINE_Risk!F712</f>
        <v>Supply chain, logistics and supplier continuity</v>
      </c>
      <c r="G214" s="177" t="str">
        <f>_ENGINE_Risk!G712</f>
        <v>Severe risk: S&amp;OP or IBP process connecting sales, finance, production, procurement and logistics is not reliably controlled. During Supplier/logistics disruption; Manufacturing disruption; Demand shock, the organization may face supplier failure, logistics disruption, inventory shortages and production or delivery delays with limited visibility or accountability.</v>
      </c>
      <c r="H214" s="177" t="str">
        <f>_ENGINE_Risk!BT712</f>
        <v>CAP_INVENTORY_PLANNING</v>
      </c>
      <c r="I214" s="177" t="str">
        <f>_ENGINE_Risk!BV712</f>
        <v>BRG-089</v>
      </c>
      <c r="J214" s="177" t="str">
        <f>_ENGINE_Risk!CE712</f>
        <v>IW-ALL-INVENTORY_PLANNING</v>
      </c>
      <c r="K214" s="177" t="str">
        <f>_ENGINE_Risk!BY712</f>
        <v>TRT-INVENTORY_PLANNING-INITIAL</v>
      </c>
      <c r="L214" s="177" t="str">
        <f>_ENGINE_Risk!CP712</f>
        <v>Active</v>
      </c>
      <c r="M214" s="177" t="str">
        <f>_ENGINE_Risk!CQ712</f>
        <v>OK: capability-driven</v>
      </c>
      <c r="N214" s="177" t="str">
        <f>_ENGINE_Risk!CS712</f>
        <v>Yes</v>
      </c>
      <c r="O214" s="177" t="str">
        <f>_ENGINE_Risk!CO712</f>
        <v>Supply Chain|Inventory and planning|SUPP-018|CAP_INVENTORY_PLANNING</v>
      </c>
      <c r="P214" s="177" t="str">
        <f>_ENGINE_Risk!CR712</f>
        <v>Risk ontology uses capability=CAP_INVENTORY_PLANNING; bridge=BRG-089; treatment=TRT-INVENTORY_PLANNING-INITIAL; wording=IW-ALL-INVENTORY_PLANNING</v>
      </c>
    </row>
    <row r="215" spans="1:16" ht="99" customHeight="1">
      <c r="A215" s="177" t="str">
        <f>_ENGINE_Risk!CM713</f>
        <v>RISK-ONT-0214</v>
      </c>
      <c r="B215" s="177">
        <f>ROW(_ENGINE_Risk!A713)</f>
        <v>713</v>
      </c>
      <c r="C215" s="177" t="str">
        <f>_ENGINE_Risk!E713</f>
        <v>SUPP-019</v>
      </c>
      <c r="D215" s="177" t="str">
        <f>_ENGINE_Risk!C713</f>
        <v>Supply Chain</v>
      </c>
      <c r="E215" s="177" t="str">
        <f>_ENGINE_Risk!D713</f>
        <v>Inventory and planning</v>
      </c>
      <c r="F215" s="177" t="str">
        <f>_ENGINE_Risk!F713</f>
        <v>Supply chain, logistics and supplier continuity</v>
      </c>
      <c r="G215" s="177" t="str">
        <f>_ENGINE_Risk!G713</f>
        <v>Severe risk: planning cycle acceleration during crisis without losing data quality is not reliably controlled. During Supplier/logistics disruption; Manufacturing disruption; Demand shock, the organization may face supplier failure, logistics disruption, inventory shortages and production or delivery delays with limited visibility or accountability.</v>
      </c>
      <c r="H215" s="177" t="str">
        <f>_ENGINE_Risk!BT713</f>
        <v>CAP_INVENTORY_PLANNING</v>
      </c>
      <c r="I215" s="177" t="str">
        <f>_ENGINE_Risk!BV713</f>
        <v>BRG-089</v>
      </c>
      <c r="J215" s="177" t="str">
        <f>_ENGINE_Risk!CE713</f>
        <v>IW-ALL-INVENTORY_PLANNING</v>
      </c>
      <c r="K215" s="177" t="str">
        <f>_ENGINE_Risk!BY713</f>
        <v>TRT-INVENTORY_PLANNING-INITIAL</v>
      </c>
      <c r="L215" s="177" t="str">
        <f>_ENGINE_Risk!CP713</f>
        <v>Active</v>
      </c>
      <c r="M215" s="177" t="str">
        <f>_ENGINE_Risk!CQ713</f>
        <v>OK: capability-driven</v>
      </c>
      <c r="N215" s="177" t="str">
        <f>_ENGINE_Risk!CS713</f>
        <v>Yes</v>
      </c>
      <c r="O215" s="177" t="str">
        <f>_ENGINE_Risk!CO713</f>
        <v>Supply Chain|Inventory and planning|SUPP-019|CAP_INVENTORY_PLANNING</v>
      </c>
      <c r="P215" s="177" t="str">
        <f>_ENGINE_Risk!CR713</f>
        <v>Risk ontology uses capability=CAP_INVENTORY_PLANNING; bridge=BRG-089; treatment=TRT-INVENTORY_PLANNING-INITIAL; wording=IW-ALL-INVENTORY_PLANNING</v>
      </c>
    </row>
    <row r="216" spans="1:16" ht="99" customHeight="1">
      <c r="A216" s="177" t="str">
        <f>_ENGINE_Risk!CM714</f>
        <v>RISK-ONT-0215</v>
      </c>
      <c r="B216" s="177">
        <f>ROW(_ENGINE_Risk!A714)</f>
        <v>714</v>
      </c>
      <c r="C216" s="177" t="str">
        <f>_ENGINE_Risk!E714</f>
        <v>SUPP-020</v>
      </c>
      <c r="D216" s="177" t="str">
        <f>_ENGINE_Risk!C714</f>
        <v>Supply Chain</v>
      </c>
      <c r="E216" s="177" t="str">
        <f>_ENGINE_Risk!D714</f>
        <v>Technology and risk</v>
      </c>
      <c r="F216" s="177" t="str">
        <f>_ENGINE_Risk!F714</f>
        <v>Supply chain, logistics and supplier continuity</v>
      </c>
      <c r="G216" s="177" t="str">
        <f>_ENGINE_Risk!G714</f>
        <v>Severe risk: ERP, MRP, WMS, TMS and supplier portal integration and resilience is not reliably controlled. During Supplier/logistics disruption; Manufacturing disruption; Demand shock, the organization may face supplier failure, logistics disruption, inventory shortages and production or delivery delays with limited visibility or accountability.</v>
      </c>
      <c r="H216" s="177" t="str">
        <f>_ENGINE_Risk!BT714</f>
        <v>CAP_SRE_OBSERVABILITY</v>
      </c>
      <c r="I216" s="177" t="str">
        <f>_ENGINE_Risk!BV714</f>
        <v>BRG-093</v>
      </c>
      <c r="J216" s="177" t="str">
        <f>_ENGINE_Risk!CE714</f>
        <v>IW-ALL-SRE_OBSERVABILITY</v>
      </c>
      <c r="K216" s="177" t="str">
        <f>_ENGINE_Risk!BY714</f>
        <v>TRT-SRE_OBSERVABILITY-INITIAL</v>
      </c>
      <c r="L216" s="177" t="str">
        <f>_ENGINE_Risk!CP714</f>
        <v>Active</v>
      </c>
      <c r="M216" s="177" t="str">
        <f>_ENGINE_Risk!CQ714</f>
        <v>OK: capability-driven</v>
      </c>
      <c r="N216" s="177" t="str">
        <f>_ENGINE_Risk!CS714</f>
        <v>Yes</v>
      </c>
      <c r="O216" s="177" t="str">
        <f>_ENGINE_Risk!CO714</f>
        <v>Supply Chain|Technology and risk|SUPP-020|CAP_SRE_OBSERVABILITY</v>
      </c>
      <c r="P216" s="177" t="str">
        <f>_ENGINE_Risk!CR714</f>
        <v>Risk ontology uses capability=CAP_SRE_OBSERVABILITY; bridge=BRG-093; treatment=TRT-SRE_OBSERVABILITY-INITIAL; wording=IW-ALL-SRE_OBSERVABILITY</v>
      </c>
    </row>
    <row r="217" spans="1:16" ht="99" customHeight="1">
      <c r="A217" s="177" t="str">
        <f>_ENGINE_Risk!CM715</f>
        <v>RISK-ONT-0216</v>
      </c>
      <c r="B217" s="177">
        <f>ROW(_ENGINE_Risk!A715)</f>
        <v>715</v>
      </c>
      <c r="C217" s="177" t="str">
        <f>_ENGINE_Risk!E715</f>
        <v>SUPP-021</v>
      </c>
      <c r="D217" s="177" t="str">
        <f>_ENGINE_Risk!C715</f>
        <v>Supply Chain</v>
      </c>
      <c r="E217" s="177" t="str">
        <f>_ENGINE_Risk!D715</f>
        <v>Technology and risk</v>
      </c>
      <c r="F217" s="177" t="str">
        <f>_ENGINE_Risk!F715</f>
        <v>Supply chain, logistics and supplier continuity</v>
      </c>
      <c r="G217" s="177" t="str">
        <f>_ENGINE_Risk!G715</f>
        <v>Severe risk: supply chain early warning monitoring for supplier, geopolitical, weather, port, customs and price risks is not reliably controlled. During Supplier/logistics disruption; Manufacturing disruption; Demand shock, the organization may face supplier failure, logistics disruption, inventory shortages and production or delivery delays with limited visibility or accountability.</v>
      </c>
      <c r="H217" s="177" t="str">
        <f>_ENGINE_Risk!BT715</f>
        <v>CAP_SRE_OBSERVABILITY</v>
      </c>
      <c r="I217" s="177" t="str">
        <f>_ENGINE_Risk!BV715</f>
        <v>BRG-093</v>
      </c>
      <c r="J217" s="177" t="str">
        <f>_ENGINE_Risk!CE715</f>
        <v>IW-ALL-SRE_OBSERVABILITY</v>
      </c>
      <c r="K217" s="177" t="str">
        <f>_ENGINE_Risk!BY715</f>
        <v>TRT-SRE_OBSERVABILITY-INITIAL</v>
      </c>
      <c r="L217" s="177" t="str">
        <f>_ENGINE_Risk!CP715</f>
        <v>Active</v>
      </c>
      <c r="M217" s="177" t="str">
        <f>_ENGINE_Risk!CQ715</f>
        <v>OK: capability-driven</v>
      </c>
      <c r="N217" s="177" t="str">
        <f>_ENGINE_Risk!CS715</f>
        <v>Yes</v>
      </c>
      <c r="O217" s="177" t="str">
        <f>_ENGINE_Risk!CO715</f>
        <v>Supply Chain|Technology and risk|SUPP-021|CAP_SRE_OBSERVABILITY</v>
      </c>
      <c r="P217" s="177" t="str">
        <f>_ENGINE_Risk!CR715</f>
        <v>Risk ontology uses capability=CAP_SRE_OBSERVABILITY; bridge=BRG-093; treatment=TRT-SRE_OBSERVABILITY-INITIAL; wording=IW-ALL-SRE_OBSERVABILITY</v>
      </c>
    </row>
    <row r="218" spans="1:16" ht="99" customHeight="1">
      <c r="A218" s="177" t="str">
        <f>_ENGINE_Risk!CM716</f>
        <v>RISK-ONT-0217</v>
      </c>
      <c r="B218" s="177">
        <f>ROW(_ENGINE_Risk!A716)</f>
        <v>716</v>
      </c>
      <c r="C218" s="177" t="str">
        <f>_ENGINE_Risk!E716</f>
        <v>SUPP-022</v>
      </c>
      <c r="D218" s="177" t="str">
        <f>_ENGINE_Risk!C716</f>
        <v>Supply Chain</v>
      </c>
      <c r="E218" s="177" t="str">
        <f>_ENGINE_Risk!D716</f>
        <v>Technology and risk</v>
      </c>
      <c r="F218" s="177" t="str">
        <f>_ENGINE_Risk!F716</f>
        <v>Supply chain, logistics and supplier continuity</v>
      </c>
      <c r="G218" s="177" t="str">
        <f>_ENGINE_Risk!G716</f>
        <v>Severe risk: supply cost volatility monitoring for freight, energy, commodities and currency is not reliably controlled. During Supplier/logistics disruption; Manufacturing disruption; Demand shock, the organization may face supplier failure, logistics disruption, inventory shortages and production or delivery delays with limited visibility or accountability.</v>
      </c>
      <c r="H218" s="177" t="str">
        <f>_ENGINE_Risk!BT716</f>
        <v>CAP_SRE_OBSERVABILITY</v>
      </c>
      <c r="I218" s="177" t="str">
        <f>_ENGINE_Risk!BV716</f>
        <v>BRG-093</v>
      </c>
      <c r="J218" s="177" t="str">
        <f>_ENGINE_Risk!CE716</f>
        <v>IW-ALL-SRE_OBSERVABILITY</v>
      </c>
      <c r="K218" s="177" t="str">
        <f>_ENGINE_Risk!BY716</f>
        <v>TRT-SRE_OBSERVABILITY-INITIAL</v>
      </c>
      <c r="L218" s="177" t="str">
        <f>_ENGINE_Risk!CP716</f>
        <v>Active</v>
      </c>
      <c r="M218" s="177" t="str">
        <f>_ENGINE_Risk!CQ716</f>
        <v>OK: capability-driven</v>
      </c>
      <c r="N218" s="177" t="str">
        <f>_ENGINE_Risk!CS716</f>
        <v>Yes</v>
      </c>
      <c r="O218" s="177" t="str">
        <f>_ENGINE_Risk!CO716</f>
        <v>Supply Chain|Technology and risk|SUPP-022|CAP_SRE_OBSERVABILITY</v>
      </c>
      <c r="P218" s="177" t="str">
        <f>_ENGINE_Risk!CR716</f>
        <v>Risk ontology uses capability=CAP_SRE_OBSERVABILITY; bridge=BRG-093; treatment=TRT-SRE_OBSERVABILITY-INITIAL; wording=IW-ALL-SRE_OBSERVABILITY</v>
      </c>
    </row>
    <row r="219" spans="1:16" ht="99" customHeight="1">
      <c r="A219" s="177" t="str">
        <f>_ENGINE_Risk!CM717</f>
        <v>RISK-ONT-0218</v>
      </c>
      <c r="B219" s="177">
        <f>ROW(_ENGINE_Risk!A717)</f>
        <v>717</v>
      </c>
      <c r="C219" s="177" t="str">
        <f>_ENGINE_Risk!E717</f>
        <v>SUPP-023</v>
      </c>
      <c r="D219" s="177" t="str">
        <f>_ENGINE_Risk!C717</f>
        <v>Supply Chain</v>
      </c>
      <c r="E219" s="177" t="str">
        <f>_ENGINE_Risk!D717</f>
        <v>Technology and risk</v>
      </c>
      <c r="F219" s="177" t="str">
        <f>_ENGINE_Risk!F717</f>
        <v>Supply chain, logistics and supplier continuity</v>
      </c>
      <c r="G219" s="177" t="str">
        <f>_ENGINE_Risk!G717</f>
        <v>Severe risk: allocation rules when supply is insufficient to serve all customers is not reliably controlled. During Supplier/logistics disruption; Manufacturing disruption; Demand shock, the organization may face supplier failure, logistics disruption, inventory shortages and production or delivery delays with limited visibility or accountability.</v>
      </c>
      <c r="H219" s="177" t="str">
        <f>_ENGINE_Risk!BT717</f>
        <v>CAP_SRE_OBSERVABILITY</v>
      </c>
      <c r="I219" s="177" t="str">
        <f>_ENGINE_Risk!BV717</f>
        <v>BRG-093</v>
      </c>
      <c r="J219" s="177" t="str">
        <f>_ENGINE_Risk!CE717</f>
        <v>IW-ALL-SRE_OBSERVABILITY</v>
      </c>
      <c r="K219" s="177" t="str">
        <f>_ENGINE_Risk!BY717</f>
        <v>TRT-SRE_OBSERVABILITY-INITIAL</v>
      </c>
      <c r="L219" s="177" t="str">
        <f>_ENGINE_Risk!CP717</f>
        <v>Active</v>
      </c>
      <c r="M219" s="177" t="str">
        <f>_ENGINE_Risk!CQ717</f>
        <v>OK: capability-driven</v>
      </c>
      <c r="N219" s="177" t="str">
        <f>_ENGINE_Risk!CS717</f>
        <v>Yes</v>
      </c>
      <c r="O219" s="177" t="str">
        <f>_ENGINE_Risk!CO717</f>
        <v>Supply Chain|Technology and risk|SUPP-023|CAP_SRE_OBSERVABILITY</v>
      </c>
      <c r="P219" s="177" t="str">
        <f>_ENGINE_Risk!CR717</f>
        <v>Risk ontology uses capability=CAP_SRE_OBSERVABILITY; bridge=BRG-093; treatment=TRT-SRE_OBSERVABILITY-INITIAL; wording=IW-ALL-SRE_OBSERVABILITY</v>
      </c>
    </row>
    <row r="220" spans="1:16" ht="99" customHeight="1">
      <c r="A220" s="177" t="str">
        <f>_ENGINE_Risk!CM718</f>
        <v>RISK-ONT-0219</v>
      </c>
      <c r="B220" s="177">
        <f>ROW(_ENGINE_Risk!A718)</f>
        <v>718</v>
      </c>
      <c r="C220" s="177" t="str">
        <f>_ENGINE_Risk!E718</f>
        <v>SUPP-024</v>
      </c>
      <c r="D220" s="177" t="str">
        <f>_ENGINE_Risk!C718</f>
        <v>Supply Chain</v>
      </c>
      <c r="E220" s="177" t="str">
        <f>_ENGINE_Risk!D718</f>
        <v>Technology and risk</v>
      </c>
      <c r="F220" s="177" t="str">
        <f>_ENGINE_Risk!F718</f>
        <v>Supply chain, logistics and supplier continuity</v>
      </c>
      <c r="G220" s="177" t="str">
        <f>_ENGINE_Risk!G718</f>
        <v>Severe risk: SKU, supplier, BOM, lead-time and replenishment master data quality is not reliably controlled. During Supplier/logistics disruption; Manufacturing disruption; Demand shock, the organization may face supplier failure, logistics disruption, inventory shortages and production or delivery delays with limited visibility or accountability.</v>
      </c>
      <c r="H220" s="177" t="str">
        <f>_ENGINE_Risk!BT718</f>
        <v>CAP_SRE_OBSERVABILITY</v>
      </c>
      <c r="I220" s="177" t="str">
        <f>_ENGINE_Risk!BV718</f>
        <v>BRG-093</v>
      </c>
      <c r="J220" s="177" t="str">
        <f>_ENGINE_Risk!CE718</f>
        <v>IW-ALL-SRE_OBSERVABILITY</v>
      </c>
      <c r="K220" s="177" t="str">
        <f>_ENGINE_Risk!BY718</f>
        <v>TRT-SRE_OBSERVABILITY-INITIAL</v>
      </c>
      <c r="L220" s="177" t="str">
        <f>_ENGINE_Risk!CP718</f>
        <v>Active</v>
      </c>
      <c r="M220" s="177" t="str">
        <f>_ENGINE_Risk!CQ718</f>
        <v>OK: capability-driven</v>
      </c>
      <c r="N220" s="177" t="str">
        <f>_ENGINE_Risk!CS718</f>
        <v>Yes</v>
      </c>
      <c r="O220" s="177" t="str">
        <f>_ENGINE_Risk!CO718</f>
        <v>Supply Chain|Technology and risk|SUPP-024|CAP_SRE_OBSERVABILITY</v>
      </c>
      <c r="P220" s="177" t="str">
        <f>_ENGINE_Risk!CR718</f>
        <v>Risk ontology uses capability=CAP_SRE_OBSERVABILITY; bridge=BRG-093; treatment=TRT-SRE_OBSERVABILITY-INITIAL; wording=IW-ALL-SRE_OBSERVABILITY</v>
      </c>
    </row>
    <row r="221" spans="1:16" ht="99" customHeight="1">
      <c r="A221" s="177" t="str">
        <f>_ENGINE_Risk!CM719</f>
        <v>RISK-ONT-0220</v>
      </c>
      <c r="B221" s="177">
        <f>ROW(_ENGINE_Risk!A719)</f>
        <v>719</v>
      </c>
      <c r="C221" s="177" t="str">
        <f>_ENGINE_Risk!E719</f>
        <v>SUPP-025</v>
      </c>
      <c r="D221" s="177" t="str">
        <f>_ENGINE_Risk!C719</f>
        <v>Supply Chain</v>
      </c>
      <c r="E221" s="177" t="str">
        <f>_ENGINE_Risk!D719</f>
        <v>Technology and risk</v>
      </c>
      <c r="F221" s="177" t="str">
        <f>_ENGINE_Risk!F719</f>
        <v>Supply chain, logistics and supplier continuity</v>
      </c>
      <c r="G221" s="177" t="str">
        <f>_ENGINE_Risk!G719</f>
        <v>Severe risk: approved substitution rules for materials, components and suppliers is not reliably controlled. During Supplier/logistics disruption; Manufacturing disruption; Demand shock, the organization may face supplier failure, logistics disruption, inventory shortages and production or delivery delays with limited visibility or accountability.</v>
      </c>
      <c r="H221" s="177" t="str">
        <f>_ENGINE_Risk!BT719</f>
        <v>CAP_SRE_OBSERVABILITY</v>
      </c>
      <c r="I221" s="177" t="str">
        <f>_ENGINE_Risk!BV719</f>
        <v>BRG-093</v>
      </c>
      <c r="J221" s="177" t="str">
        <f>_ENGINE_Risk!CE719</f>
        <v>IW-ALL-SRE_OBSERVABILITY</v>
      </c>
      <c r="K221" s="177" t="str">
        <f>_ENGINE_Risk!BY719</f>
        <v>TRT-SRE_OBSERVABILITY-INITIAL</v>
      </c>
      <c r="L221" s="177" t="str">
        <f>_ENGINE_Risk!CP719</f>
        <v>Active</v>
      </c>
      <c r="M221" s="177" t="str">
        <f>_ENGINE_Risk!CQ719</f>
        <v>OK: capability-driven</v>
      </c>
      <c r="N221" s="177" t="str">
        <f>_ENGINE_Risk!CS719</f>
        <v>Yes</v>
      </c>
      <c r="O221" s="177" t="str">
        <f>_ENGINE_Risk!CO719</f>
        <v>Supply Chain|Technology and risk|SUPP-025|CAP_SRE_OBSERVABILITY</v>
      </c>
      <c r="P221" s="177" t="str">
        <f>_ENGINE_Risk!CR719</f>
        <v>Risk ontology uses capability=CAP_SRE_OBSERVABILITY; bridge=BRG-093; treatment=TRT-SRE_OBSERVABILITY-INITIAL; wording=IW-ALL-SRE_OBSERVABILITY</v>
      </c>
    </row>
    <row r="222" spans="1:16" ht="99" customHeight="1">
      <c r="A222" s="177" t="str">
        <f>_ENGINE_Risk!CM720</f>
        <v>RISK-ONT-0221</v>
      </c>
      <c r="B222" s="177">
        <f>ROW(_ENGINE_Risk!A720)</f>
        <v>720</v>
      </c>
      <c r="C222" s="177" t="str">
        <f>_ENGINE_Risk!E720</f>
        <v>SUPP-026</v>
      </c>
      <c r="D222" s="177" t="str">
        <f>_ENGINE_Risk!C720</f>
        <v>Supply Chain</v>
      </c>
      <c r="E222" s="177" t="str">
        <f>_ENGINE_Risk!D720</f>
        <v>Orchestration and resilience</v>
      </c>
      <c r="F222" s="177" t="str">
        <f>_ENGINE_Risk!F720</f>
        <v>Supply chain orchestration and resilience</v>
      </c>
      <c r="G222" s="177" t="str">
        <f>_ENGINE_Risk!G720</f>
        <v>Severe risk: supply chain strategy aligned with business strategy and reviewed against scenarios and market shifts is not reliably controlled. During Supplier/logistics disruption; Demand shock; Geopolitical risk, the organization may face a supply network optimized for yesterday’s business, misaligned investments and slow strategic response with limited visibility or accountability.</v>
      </c>
      <c r="H222" s="177" t="str">
        <f>_ENGINE_Risk!BT720</f>
        <v>CAP_BACKUP_RECOVERY</v>
      </c>
      <c r="I222" s="177" t="str">
        <f>_ENGINE_Risk!BV720</f>
        <v>BRG-091</v>
      </c>
      <c r="J222" s="177" t="str">
        <f>_ENGINE_Risk!CE720</f>
        <v>IW-ALL-BACKUP_RECOVERY</v>
      </c>
      <c r="K222" s="177" t="str">
        <f>_ENGINE_Risk!BY720</f>
        <v>TRT-BACKUP_RECOVERY-INITIAL</v>
      </c>
      <c r="L222" s="177" t="str">
        <f>_ENGINE_Risk!CP720</f>
        <v>Active</v>
      </c>
      <c r="M222" s="177" t="str">
        <f>_ENGINE_Risk!CQ720</f>
        <v>OK: capability-driven</v>
      </c>
      <c r="N222" s="177" t="str">
        <f>_ENGINE_Risk!CS720</f>
        <v>Yes</v>
      </c>
      <c r="O222" s="177" t="str">
        <f>_ENGINE_Risk!CO720</f>
        <v>Supply Chain|Orchestration and resilience|SUPP-026|CAP_BACKUP_RECOVERY</v>
      </c>
      <c r="P222" s="177" t="str">
        <f>_ENGINE_Risk!CR720</f>
        <v>Risk ontology uses capability=CAP_BACKUP_RECOVERY; bridge=BRG-091; treatment=TRT-BACKUP_RECOVERY-INITIAL; wording=IW-ALL-BACKUP_RECOVERY</v>
      </c>
    </row>
    <row r="223" spans="1:16" ht="113.15" customHeight="1">
      <c r="A223" s="177" t="str">
        <f>_ENGINE_Risk!CM721</f>
        <v>RISK-ONT-0222</v>
      </c>
      <c r="B223" s="177">
        <f>ROW(_ENGINE_Risk!A721)</f>
        <v>721</v>
      </c>
      <c r="C223" s="177" t="str">
        <f>_ENGINE_Risk!E721</f>
        <v>SUPP-027</v>
      </c>
      <c r="D223" s="177" t="str">
        <f>_ENGINE_Risk!C721</f>
        <v>Supply Chain</v>
      </c>
      <c r="E223" s="177" t="str">
        <f>_ENGINE_Risk!D721</f>
        <v>Orchestration and resilience</v>
      </c>
      <c r="F223" s="177" t="str">
        <f>_ENGINE_Risk!F721</f>
        <v>Supply chain orchestration and resilience</v>
      </c>
      <c r="G223" s="177" t="str">
        <f>_ENGINE_Risk!G721</f>
        <v>Severe risk: supply chain risk and resilience management with time-to-recovery and time-to-survive analysis for critical nodes is not reliably controlled. During Supplier/logistics disruption; War/security crisis; Natural disaster, the organization may face unknown recovery times, untested failure modes and cascading supply failures during crisis with limited visibility or accountability.</v>
      </c>
      <c r="H223" s="177" t="str">
        <f>_ENGINE_Risk!BT721</f>
        <v>CAP_BACKUP_RECOVERY</v>
      </c>
      <c r="I223" s="177" t="str">
        <f>_ENGINE_Risk!BV721</f>
        <v>BRG-091</v>
      </c>
      <c r="J223" s="177" t="str">
        <f>_ENGINE_Risk!CE721</f>
        <v>IW-ALL-BACKUP_RECOVERY</v>
      </c>
      <c r="K223" s="177" t="str">
        <f>_ENGINE_Risk!BY721</f>
        <v>TRT-BACKUP_RECOVERY-INITIAL</v>
      </c>
      <c r="L223" s="177" t="str">
        <f>_ENGINE_Risk!CP721</f>
        <v>Active</v>
      </c>
      <c r="M223" s="177" t="str">
        <f>_ENGINE_Risk!CQ721</f>
        <v>OK: capability-driven</v>
      </c>
      <c r="N223" s="177" t="str">
        <f>_ENGINE_Risk!CS721</f>
        <v>Yes</v>
      </c>
      <c r="O223" s="177" t="str">
        <f>_ENGINE_Risk!CO721</f>
        <v>Supply Chain|Orchestration and resilience|SUPP-027|CAP_BACKUP_RECOVERY</v>
      </c>
      <c r="P223" s="177" t="str">
        <f>_ENGINE_Risk!CR721</f>
        <v>Risk ontology uses capability=CAP_BACKUP_RECOVERY; bridge=BRG-091; treatment=TRT-BACKUP_RECOVERY-INITIAL; wording=IW-ALL-BACKUP_RECOVERY</v>
      </c>
    </row>
    <row r="224" spans="1:16" ht="99" customHeight="1">
      <c r="A224" s="177" t="str">
        <f>_ENGINE_Risk!CM722</f>
        <v>RISK-ONT-0223</v>
      </c>
      <c r="B224" s="177">
        <f>ROW(_ENGINE_Risk!A722)</f>
        <v>722</v>
      </c>
      <c r="C224" s="177" t="str">
        <f>_ENGINE_Risk!E722</f>
        <v>SUPP-028</v>
      </c>
      <c r="D224" s="177" t="str">
        <f>_ENGINE_Risk!C722</f>
        <v>Supply Chain</v>
      </c>
      <c r="E224" s="177" t="str">
        <f>_ENGINE_Risk!D722</f>
        <v>Orchestration and resilience</v>
      </c>
      <c r="F224" s="177" t="str">
        <f>_ENGINE_Risk!F722</f>
        <v>Supply chain orchestration and resilience</v>
      </c>
      <c r="G224" s="177" t="str">
        <f>_ENGINE_Risk!G722</f>
        <v>Severe risk: supply chain agility measurement covering upside and downside flexibility and adaptability metrics is not reliably controlled. During Demand shock; Supplier/logistics disruption, the organization may face slow reaction to demand and supply swings and unquantified flexibility limits with limited visibility or accountability.</v>
      </c>
      <c r="H224" s="177" t="str">
        <f>_ENGINE_Risk!BT722</f>
        <v>CAP_BACKUP_RECOVERY</v>
      </c>
      <c r="I224" s="177" t="str">
        <f>_ENGINE_Risk!BV722</f>
        <v>BRG-091</v>
      </c>
      <c r="J224" s="177" t="str">
        <f>_ENGINE_Risk!CE722</f>
        <v>IW-ALL-BACKUP_RECOVERY</v>
      </c>
      <c r="K224" s="177" t="str">
        <f>_ENGINE_Risk!BY722</f>
        <v>TRT-BACKUP_RECOVERY-INITIAL</v>
      </c>
      <c r="L224" s="177" t="str">
        <f>_ENGINE_Risk!CP722</f>
        <v>Active</v>
      </c>
      <c r="M224" s="177" t="str">
        <f>_ENGINE_Risk!CQ722</f>
        <v>OK: capability-driven</v>
      </c>
      <c r="N224" s="177" t="str">
        <f>_ENGINE_Risk!CS722</f>
        <v>Yes</v>
      </c>
      <c r="O224" s="177" t="str">
        <f>_ENGINE_Risk!CO722</f>
        <v>Supply Chain|Orchestration and resilience|SUPP-028|CAP_BACKUP_RECOVERY</v>
      </c>
      <c r="P224" s="177" t="str">
        <f>_ENGINE_Risk!CR722</f>
        <v>Risk ontology uses capability=CAP_BACKUP_RECOVERY; bridge=BRG-091; treatment=TRT-BACKUP_RECOVERY-INITIAL; wording=IW-ALL-BACKUP_RECOVERY</v>
      </c>
    </row>
    <row r="225" spans="1:16" ht="99" customHeight="1">
      <c r="A225" s="177" t="str">
        <f>_ENGINE_Risk!CM723</f>
        <v>RISK-ONT-0224</v>
      </c>
      <c r="B225" s="177">
        <f>ROW(_ENGINE_Risk!A723)</f>
        <v>723</v>
      </c>
      <c r="C225" s="177" t="str">
        <f>_ENGINE_Risk!E723</f>
        <v>SUPP-029</v>
      </c>
      <c r="D225" s="177" t="str">
        <f>_ENGINE_Risk!C723</f>
        <v>Supply Chain</v>
      </c>
      <c r="E225" s="177" t="str">
        <f>_ENGINE_Risk!D723</f>
        <v>Orchestration and resilience</v>
      </c>
      <c r="F225" s="177" t="str">
        <f>_ENGINE_Risk!F723</f>
        <v>Supply chain orchestration and resilience</v>
      </c>
      <c r="G225" s="177" t="str">
        <f>_ENGINE_Risk!G723</f>
        <v>Severe risk: periodic supply network design review stress-testing nodes, routes and capacity against crisis scenarios is not reliably controlled. During Supplier/logistics disruption; Geopolitical risk; Natural disaster, the organization may face a structurally fragile network, hidden chokepoints and overdependence on single nodes with limited visibility or accountability.</v>
      </c>
      <c r="H225" s="177" t="str">
        <f>_ENGINE_Risk!BT723</f>
        <v>CAP_BACKUP_RECOVERY</v>
      </c>
      <c r="I225" s="177" t="str">
        <f>_ENGINE_Risk!BV723</f>
        <v>BRG-091</v>
      </c>
      <c r="J225" s="177" t="str">
        <f>_ENGINE_Risk!CE723</f>
        <v>IW-ALL-BACKUP_RECOVERY</v>
      </c>
      <c r="K225" s="177" t="str">
        <f>_ENGINE_Risk!BY723</f>
        <v>TRT-BACKUP_RECOVERY-INITIAL</v>
      </c>
      <c r="L225" s="177" t="str">
        <f>_ENGINE_Risk!CP723</f>
        <v>Active</v>
      </c>
      <c r="M225" s="177" t="str">
        <f>_ENGINE_Risk!CQ723</f>
        <v>OK: capability-driven</v>
      </c>
      <c r="N225" s="177" t="str">
        <f>_ENGINE_Risk!CS723</f>
        <v>Yes</v>
      </c>
      <c r="O225" s="177" t="str">
        <f>_ENGINE_Risk!CO723</f>
        <v>Supply Chain|Orchestration and resilience|SUPP-029|CAP_BACKUP_RECOVERY</v>
      </c>
      <c r="P225" s="177" t="str">
        <f>_ENGINE_Risk!CR723</f>
        <v>Risk ontology uses capability=CAP_BACKUP_RECOVERY; bridge=BRG-091; treatment=TRT-BACKUP_RECOVERY-INITIAL; wording=IW-ALL-BACKUP_RECOVERY</v>
      </c>
    </row>
    <row r="226" spans="1:16" ht="99" customHeight="1">
      <c r="A226" s="177" t="str">
        <f>_ENGINE_Risk!CM724</f>
        <v>RISK-ONT-0225</v>
      </c>
      <c r="B226" s="177">
        <f>ROW(_ENGINE_Risk!A724)</f>
        <v>724</v>
      </c>
      <c r="C226" s="177" t="str">
        <f>_ENGINE_Risk!E724</f>
        <v>MANU-001</v>
      </c>
      <c r="D226" s="177" t="str">
        <f>_ENGINE_Risk!C724</f>
        <v>Manufacturing MES</v>
      </c>
      <c r="E226" s="177" t="str">
        <f>_ENGINE_Risk!D724</f>
        <v>Production footprint</v>
      </c>
      <c r="F226" s="177" t="str">
        <f>_ENGINE_Risk!F724</f>
        <v>Manufacturing, MES and production continuity</v>
      </c>
      <c r="G226" s="177" t="str">
        <f>_ENGINE_Risk!G724</f>
        <v>Severe risk: production footprint by plant, line, product family, capacity, workforce and crisis exposure is not reliably controlled. During Manufacturing disruption; Safety incident; Energy outage; Cyberattack, the organization may face production stoppage, quality defects, low asset visibility and inability to recover shop-floor operations with limited visibility or accountability.</v>
      </c>
      <c r="H226" s="177" t="str">
        <f>_ENGINE_Risk!BT724</f>
        <v>CAP_PRODUCTION_CAPACITY</v>
      </c>
      <c r="I226" s="177" t="str">
        <f>_ENGINE_Risk!BV724</f>
        <v>BRG-058</v>
      </c>
      <c r="J226" s="177" t="str">
        <f>_ENGINE_Risk!CE724</f>
        <v>IW-ALL-PRODUCTION_CAPACITY</v>
      </c>
      <c r="K226" s="177" t="str">
        <f>_ENGINE_Risk!BY724</f>
        <v>TRT-PRODUCTION_CAPACITY-INITIAL</v>
      </c>
      <c r="L226" s="177" t="str">
        <f>_ENGINE_Risk!CP724</f>
        <v>Active</v>
      </c>
      <c r="M226" s="177" t="str">
        <f>_ENGINE_Risk!CQ724</f>
        <v>OK: capability-driven</v>
      </c>
      <c r="N226" s="177" t="str">
        <f>_ENGINE_Risk!CS724</f>
        <v>Yes</v>
      </c>
      <c r="O226" s="177" t="str">
        <f>_ENGINE_Risk!CO724</f>
        <v>Manufacturing MES|Production footprint|MANU-001|CAP_PRODUCTION_CAPACITY</v>
      </c>
      <c r="P226" s="177" t="str">
        <f>_ENGINE_Risk!CR724</f>
        <v>Risk ontology uses capability=CAP_PRODUCTION_CAPACITY; bridge=BRG-058; treatment=TRT-PRODUCTION_CAPACITY-INITIAL; wording=IW-ALL-PRODUCTION_CAPACITY</v>
      </c>
    </row>
    <row r="227" spans="1:16" ht="99" customHeight="1">
      <c r="A227" s="177" t="str">
        <f>_ENGINE_Risk!CM725</f>
        <v>RISK-ONT-0226</v>
      </c>
      <c r="B227" s="177">
        <f>ROW(_ENGINE_Risk!A725)</f>
        <v>725</v>
      </c>
      <c r="C227" s="177" t="str">
        <f>_ENGINE_Risk!E725</f>
        <v>MANU-002</v>
      </c>
      <c r="D227" s="177" t="str">
        <f>_ENGINE_Risk!C725</f>
        <v>Manufacturing MES</v>
      </c>
      <c r="E227" s="177" t="str">
        <f>_ENGINE_Risk!D725</f>
        <v>Production footprint</v>
      </c>
      <c r="F227" s="177" t="str">
        <f>_ENGINE_Risk!F725</f>
        <v>Manufacturing, MES and production continuity</v>
      </c>
      <c r="G227" s="177" t="str">
        <f>_ENGINE_Risk!G725</f>
        <v>Severe risk: production planning integrated with demand, supply, inventory, workforce and maintenance constraints is not reliably controlled. During Manufacturing disruption; Safety incident; Energy outage; Cyberattack, the organization may face production stoppage, quality defects, low asset visibility and inability to recover shop-floor operations with limited visibility or accountability.</v>
      </c>
      <c r="H227" s="177" t="str">
        <f>_ENGINE_Risk!BT725</f>
        <v>CAP_PRODUCTION_CAPACITY</v>
      </c>
      <c r="I227" s="177" t="str">
        <f>_ENGINE_Risk!BV725</f>
        <v>BRG-058</v>
      </c>
      <c r="J227" s="177" t="str">
        <f>_ENGINE_Risk!CE725</f>
        <v>IW-ALL-PRODUCTION_CAPACITY</v>
      </c>
      <c r="K227" s="177" t="str">
        <f>_ENGINE_Risk!BY725</f>
        <v>TRT-PRODUCTION_CAPACITY-INITIAL</v>
      </c>
      <c r="L227" s="177" t="str">
        <f>_ENGINE_Risk!CP725</f>
        <v>Active</v>
      </c>
      <c r="M227" s="177" t="str">
        <f>_ENGINE_Risk!CQ725</f>
        <v>OK: capability-driven</v>
      </c>
      <c r="N227" s="177" t="str">
        <f>_ENGINE_Risk!CS725</f>
        <v>Yes</v>
      </c>
      <c r="O227" s="177" t="str">
        <f>_ENGINE_Risk!CO725</f>
        <v>Manufacturing MES|Production footprint|MANU-002|CAP_PRODUCTION_CAPACITY</v>
      </c>
      <c r="P227" s="177" t="str">
        <f>_ENGINE_Risk!CR725</f>
        <v>Risk ontology uses capability=CAP_PRODUCTION_CAPACITY; bridge=BRG-058; treatment=TRT-PRODUCTION_CAPACITY-INITIAL; wording=IW-ALL-PRODUCTION_CAPACITY</v>
      </c>
    </row>
    <row r="228" spans="1:16" ht="99" customHeight="1">
      <c r="A228" s="177" t="str">
        <f>_ENGINE_Risk!CM726</f>
        <v>RISK-ONT-0227</v>
      </c>
      <c r="B228" s="177">
        <f>ROW(_ENGINE_Risk!A726)</f>
        <v>726</v>
      </c>
      <c r="C228" s="177" t="str">
        <f>_ENGINE_Risk!E726</f>
        <v>MANU-003</v>
      </c>
      <c r="D228" s="177" t="str">
        <f>_ENGINE_Risk!C726</f>
        <v>Manufacturing MES</v>
      </c>
      <c r="E228" s="177" t="str">
        <f>_ENGINE_Risk!D726</f>
        <v>Production footprint</v>
      </c>
      <c r="F228" s="177" t="str">
        <f>_ENGINE_Risk!F726</f>
        <v>Manufacturing, MES and production continuity</v>
      </c>
      <c r="G228" s="177" t="str">
        <f>_ENGINE_Risk!G726</f>
        <v>Severe risk: finite capacity planning for bottlenecks, machines, shifts and labor is not reliably controlled. During Manufacturing disruption; Safety incident; Energy outage; Cyberattack, the organization may face production stoppage, quality defects, low asset visibility and inability to recover shop-floor operations with limited visibility or accountability.</v>
      </c>
      <c r="H228" s="177" t="str">
        <f>_ENGINE_Risk!BT726</f>
        <v>CAP_PRODUCTION_CAPACITY</v>
      </c>
      <c r="I228" s="177" t="str">
        <f>_ENGINE_Risk!BV726</f>
        <v>BRG-058</v>
      </c>
      <c r="J228" s="177" t="str">
        <f>_ENGINE_Risk!CE726</f>
        <v>IW-ALL-PRODUCTION_CAPACITY</v>
      </c>
      <c r="K228" s="177" t="str">
        <f>_ENGINE_Risk!BY726</f>
        <v>TRT-PRODUCTION_CAPACITY-INITIAL</v>
      </c>
      <c r="L228" s="177" t="str">
        <f>_ENGINE_Risk!CP726</f>
        <v>Active</v>
      </c>
      <c r="M228" s="177" t="str">
        <f>_ENGINE_Risk!CQ726</f>
        <v>OK: capability-driven</v>
      </c>
      <c r="N228" s="177" t="str">
        <f>_ENGINE_Risk!CS726</f>
        <v>Yes</v>
      </c>
      <c r="O228" s="177" t="str">
        <f>_ENGINE_Risk!CO726</f>
        <v>Manufacturing MES|Production footprint|MANU-003|CAP_PRODUCTION_CAPACITY</v>
      </c>
      <c r="P228" s="177" t="str">
        <f>_ENGINE_Risk!CR726</f>
        <v>Risk ontology uses capability=CAP_PRODUCTION_CAPACITY; bridge=BRG-058; treatment=TRT-PRODUCTION_CAPACITY-INITIAL; wording=IW-ALL-PRODUCTION_CAPACITY</v>
      </c>
    </row>
    <row r="229" spans="1:16" ht="99" customHeight="1">
      <c r="A229" s="177" t="str">
        <f>_ENGINE_Risk!CM727</f>
        <v>RISK-ONT-0228</v>
      </c>
      <c r="B229" s="177">
        <f>ROW(_ENGINE_Risk!A727)</f>
        <v>727</v>
      </c>
      <c r="C229" s="177" t="str">
        <f>_ENGINE_Risk!E727</f>
        <v>MANU-004</v>
      </c>
      <c r="D229" s="177" t="str">
        <f>_ENGINE_Risk!C727</f>
        <v>Manufacturing MES</v>
      </c>
      <c r="E229" s="177" t="str">
        <f>_ENGINE_Risk!D727</f>
        <v>Production footprint</v>
      </c>
      <c r="F229" s="177" t="str">
        <f>_ENGINE_Risk!F727</f>
        <v>Manufacturing, MES and production continuity</v>
      </c>
      <c r="G229" s="177" t="str">
        <f>_ENGINE_Risk!G727</f>
        <v>Severe risk: minimum viable production under staff absence, utility outage, supplier delay or site risk is not reliably controlled. During Manufacturing disruption; Safety incident; Energy outage; Cyberattack, the organization may face production stoppage, quality defects, low asset visibility and inability to recover shop-floor operations with limited visibility or accountability.</v>
      </c>
      <c r="H229" s="177" t="str">
        <f>_ENGINE_Risk!BT727</f>
        <v>CAP_PRODUCTION_CAPACITY</v>
      </c>
      <c r="I229" s="177" t="str">
        <f>_ENGINE_Risk!BV727</f>
        <v>BRG-058</v>
      </c>
      <c r="J229" s="177" t="str">
        <f>_ENGINE_Risk!CE727</f>
        <v>IW-ALL-PRODUCTION_CAPACITY</v>
      </c>
      <c r="K229" s="177" t="str">
        <f>_ENGINE_Risk!BY727</f>
        <v>TRT-PRODUCTION_CAPACITY-INITIAL</v>
      </c>
      <c r="L229" s="177" t="str">
        <f>_ENGINE_Risk!CP727</f>
        <v>Active</v>
      </c>
      <c r="M229" s="177" t="str">
        <f>_ENGINE_Risk!CQ727</f>
        <v>OK: capability-driven</v>
      </c>
      <c r="N229" s="177" t="str">
        <f>_ENGINE_Risk!CS727</f>
        <v>Yes</v>
      </c>
      <c r="O229" s="177" t="str">
        <f>_ENGINE_Risk!CO727</f>
        <v>Manufacturing MES|Production footprint|MANU-004|CAP_PRODUCTION_CAPACITY</v>
      </c>
      <c r="P229" s="177" t="str">
        <f>_ENGINE_Risk!CR727</f>
        <v>Risk ontology uses capability=CAP_PRODUCTION_CAPACITY; bridge=BRG-058; treatment=TRT-PRODUCTION_CAPACITY-INITIAL; wording=IW-ALL-PRODUCTION_CAPACITY</v>
      </c>
    </row>
    <row r="230" spans="1:16" ht="84.9" customHeight="1">
      <c r="A230" s="177" t="str">
        <f>_ENGINE_Risk!CM728</f>
        <v>RISK-ONT-0229</v>
      </c>
      <c r="B230" s="177">
        <f>ROW(_ENGINE_Risk!A728)</f>
        <v>728</v>
      </c>
      <c r="C230" s="177" t="str">
        <f>_ENGINE_Risk!E728</f>
        <v>MANU-005</v>
      </c>
      <c r="D230" s="177" t="str">
        <f>_ENGINE_Risk!C728</f>
        <v>Manufacturing MES</v>
      </c>
      <c r="E230" s="177" t="str">
        <f>_ENGINE_Risk!D728</f>
        <v>Production footprint</v>
      </c>
      <c r="F230" s="177" t="str">
        <f>_ENGINE_Risk!F728</f>
        <v>Manufacturing, MES and production continuity</v>
      </c>
      <c r="G230" s="177" t="str">
        <f>_ENGINE_Risk!G728</f>
        <v>Severe risk: line or site transferability if a facility fails is not reliably controlled. During Manufacturing disruption; Safety incident; Energy outage; Cyberattack, the organization may face production stoppage, quality defects, low asset visibility and inability to recover shop-floor operations with limited visibility or accountability.</v>
      </c>
      <c r="H230" s="177" t="str">
        <f>_ENGINE_Risk!BT728</f>
        <v>CAP_PRODUCTION_CAPACITY</v>
      </c>
      <c r="I230" s="177" t="str">
        <f>_ENGINE_Risk!BV728</f>
        <v>BRG-058</v>
      </c>
      <c r="J230" s="177" t="str">
        <f>_ENGINE_Risk!CE728</f>
        <v>IW-ALL-PRODUCTION_CAPACITY</v>
      </c>
      <c r="K230" s="177" t="str">
        <f>_ENGINE_Risk!BY728</f>
        <v>TRT-PRODUCTION_CAPACITY-INITIAL</v>
      </c>
      <c r="L230" s="177" t="str">
        <f>_ENGINE_Risk!CP728</f>
        <v>Active</v>
      </c>
      <c r="M230" s="177" t="str">
        <f>_ENGINE_Risk!CQ728</f>
        <v>OK: capability-driven</v>
      </c>
      <c r="N230" s="177" t="str">
        <f>_ENGINE_Risk!CS728</f>
        <v>Yes</v>
      </c>
      <c r="O230" s="177" t="str">
        <f>_ENGINE_Risk!CO728</f>
        <v>Manufacturing MES|Production footprint|MANU-005|CAP_PRODUCTION_CAPACITY</v>
      </c>
      <c r="P230" s="177" t="str">
        <f>_ENGINE_Risk!CR728</f>
        <v>Risk ontology uses capability=CAP_PRODUCTION_CAPACITY; bridge=BRG-058; treatment=TRT-PRODUCTION_CAPACITY-INITIAL; wording=IW-ALL-PRODUCTION_CAPACITY</v>
      </c>
    </row>
    <row r="231" spans="1:16" ht="99" customHeight="1">
      <c r="A231" s="177" t="str">
        <f>_ENGINE_Risk!CM729</f>
        <v>RISK-ONT-0230</v>
      </c>
      <c r="B231" s="177">
        <f>ROW(_ENGINE_Risk!A729)</f>
        <v>729</v>
      </c>
      <c r="C231" s="177" t="str">
        <f>_ENGINE_Risk!E729</f>
        <v>MANU-006</v>
      </c>
      <c r="D231" s="177" t="str">
        <f>_ENGINE_Risk!C729</f>
        <v>Manufacturing MES</v>
      </c>
      <c r="E231" s="177" t="str">
        <f>_ENGINE_Risk!D729</f>
        <v>Production footprint</v>
      </c>
      <c r="F231" s="177" t="str">
        <f>_ENGINE_Risk!F729</f>
        <v>Manufacturing, MES and production continuity</v>
      </c>
      <c r="G231" s="177" t="str">
        <f>_ENGINE_Risk!G729</f>
        <v>Severe risk: contract manufacturing capacity, quality, continuity, security and compliance is not reliably controlled. During Manufacturing disruption; Safety incident; Energy outage; Cyberattack, the organization may face production stoppage, quality defects, low asset visibility and inability to recover shop-floor operations with limited visibility or accountability.</v>
      </c>
      <c r="H231" s="177" t="str">
        <f>_ENGINE_Risk!BT729</f>
        <v>CAP_PRODUCTION_CAPACITY</v>
      </c>
      <c r="I231" s="177" t="str">
        <f>_ENGINE_Risk!BV729</f>
        <v>BRG-058</v>
      </c>
      <c r="J231" s="177" t="str">
        <f>_ENGINE_Risk!CE729</f>
        <v>IW-ALL-PRODUCTION_CAPACITY</v>
      </c>
      <c r="K231" s="177" t="str">
        <f>_ENGINE_Risk!BY729</f>
        <v>TRT-PRODUCTION_CAPACITY-INITIAL</v>
      </c>
      <c r="L231" s="177" t="str">
        <f>_ENGINE_Risk!CP729</f>
        <v>Active</v>
      </c>
      <c r="M231" s="177" t="str">
        <f>_ENGINE_Risk!CQ729</f>
        <v>OK: capability-driven</v>
      </c>
      <c r="N231" s="177" t="str">
        <f>_ENGINE_Risk!CS729</f>
        <v>Yes</v>
      </c>
      <c r="O231" s="177" t="str">
        <f>_ENGINE_Risk!CO729</f>
        <v>Manufacturing MES|Production footprint|MANU-006|CAP_PRODUCTION_CAPACITY</v>
      </c>
      <c r="P231" s="177" t="str">
        <f>_ENGINE_Risk!CR729</f>
        <v>Risk ontology uses capability=CAP_PRODUCTION_CAPACITY; bridge=BRG-058; treatment=TRT-PRODUCTION_CAPACITY-INITIAL; wording=IW-ALL-PRODUCTION_CAPACITY</v>
      </c>
    </row>
    <row r="232" spans="1:16" ht="99" customHeight="1">
      <c r="A232" s="177" t="str">
        <f>_ENGINE_Risk!CM730</f>
        <v>RISK-ONT-0231</v>
      </c>
      <c r="B232" s="177">
        <f>ROW(_ENGINE_Risk!A730)</f>
        <v>730</v>
      </c>
      <c r="C232" s="177" t="str">
        <f>_ENGINE_Risk!E730</f>
        <v>MANU-007</v>
      </c>
      <c r="D232" s="177" t="str">
        <f>_ENGINE_Risk!C730</f>
        <v>Manufacturing MES</v>
      </c>
      <c r="E232" s="177" t="str">
        <f>_ENGINE_Risk!D730</f>
        <v>MES and shop floor</v>
      </c>
      <c r="F232" s="177" t="str">
        <f>_ENGINE_Risk!F730</f>
        <v>Manufacturing, MES and production continuity</v>
      </c>
      <c r="G232" s="177" t="str">
        <f>_ENGINE_Risk!G730</f>
        <v>Severe risk: MES or equivalent shop-floor control for orders, operations, traceability, downtime and quality is not reliably controlled. During Manufacturing disruption; Safety incident; Energy outage; Cyberattack, the organization may face production stoppage, quality defects, low asset visibility and inability to recover shop-floor operations with limited visibility or accountability.</v>
      </c>
      <c r="H232" s="177" t="str">
        <f>_ENGINE_Risk!BT730</f>
        <v>CAP_WMS_WAREHOUSE</v>
      </c>
      <c r="I232" s="177" t="str">
        <f>_ENGINE_Risk!BV730</f>
        <v>BRG-055</v>
      </c>
      <c r="J232" s="177" t="str">
        <f>_ENGINE_Risk!CE730</f>
        <v>IW-ALL-WMS_WAREHOUSE</v>
      </c>
      <c r="K232" s="177" t="str">
        <f>_ENGINE_Risk!BY730</f>
        <v>TRT-WMS_WAREHOUSE-INITIAL</v>
      </c>
      <c r="L232" s="177" t="str">
        <f>_ENGINE_Risk!CP730</f>
        <v>Active</v>
      </c>
      <c r="M232" s="177" t="str">
        <f>_ENGINE_Risk!CQ730</f>
        <v>OK: capability-driven</v>
      </c>
      <c r="N232" s="177" t="str">
        <f>_ENGINE_Risk!CS730</f>
        <v>Yes</v>
      </c>
      <c r="O232" s="177" t="str">
        <f>_ENGINE_Risk!CO730</f>
        <v>Manufacturing MES|MES and shop floor|MANU-007|CAP_WMS_WAREHOUSE</v>
      </c>
      <c r="P232" s="177" t="str">
        <f>_ENGINE_Risk!CR730</f>
        <v>Risk ontology uses capability=CAP_WMS_WAREHOUSE; bridge=BRG-055; treatment=TRT-WMS_WAREHOUSE-INITIAL; wording=IW-ALL-WMS_WAREHOUSE</v>
      </c>
    </row>
    <row r="233" spans="1:16" ht="84.9" customHeight="1">
      <c r="A233" s="177" t="str">
        <f>_ENGINE_Risk!CM731</f>
        <v>RISK-ONT-0232</v>
      </c>
      <c r="B233" s="177">
        <f>ROW(_ENGINE_Risk!A731)</f>
        <v>731</v>
      </c>
      <c r="C233" s="177" t="str">
        <f>_ENGINE_Risk!E731</f>
        <v>MANU-008</v>
      </c>
      <c r="D233" s="177" t="str">
        <f>_ENGINE_Risk!C731</f>
        <v>Manufacturing MES</v>
      </c>
      <c r="E233" s="177" t="str">
        <f>_ENGINE_Risk!D731</f>
        <v>MES and shop floor</v>
      </c>
      <c r="F233" s="177" t="str">
        <f>_ENGINE_Risk!F731</f>
        <v>Manufacturing, MES and production continuity</v>
      </c>
      <c r="G233" s="177" t="str">
        <f>_ENGINE_Risk!G731</f>
        <v>Severe risk: MES manual or offline fallback procedures is not reliably controlled. During Manufacturing disruption; Safety incident; Energy outage; Cyberattack, the organization may face production stoppage, quality defects, low asset visibility and inability to recover shop-floor operations with limited visibility or accountability.</v>
      </c>
      <c r="H233" s="177" t="str">
        <f>_ENGINE_Risk!BT731</f>
        <v>CAP_WMS_WAREHOUSE</v>
      </c>
      <c r="I233" s="177" t="str">
        <f>_ENGINE_Risk!BV731</f>
        <v>BRG-055</v>
      </c>
      <c r="J233" s="177" t="str">
        <f>_ENGINE_Risk!CE731</f>
        <v>IW-ALL-WMS_WAREHOUSE</v>
      </c>
      <c r="K233" s="177" t="str">
        <f>_ENGINE_Risk!BY731</f>
        <v>TRT-WMS_WAREHOUSE-INITIAL</v>
      </c>
      <c r="L233" s="177" t="str">
        <f>_ENGINE_Risk!CP731</f>
        <v>Active</v>
      </c>
      <c r="M233" s="177" t="str">
        <f>_ENGINE_Risk!CQ731</f>
        <v>OK: capability-driven</v>
      </c>
      <c r="N233" s="177" t="str">
        <f>_ENGINE_Risk!CS731</f>
        <v>Yes</v>
      </c>
      <c r="O233" s="177" t="str">
        <f>_ENGINE_Risk!CO731</f>
        <v>Manufacturing MES|MES and shop floor|MANU-008|CAP_WMS_WAREHOUSE</v>
      </c>
      <c r="P233" s="177" t="str">
        <f>_ENGINE_Risk!CR731</f>
        <v>Risk ontology uses capability=CAP_WMS_WAREHOUSE; bridge=BRG-055; treatment=TRT-WMS_WAREHOUSE-INITIAL; wording=IW-ALL-WMS_WAREHOUSE</v>
      </c>
    </row>
    <row r="234" spans="1:16" ht="99" customHeight="1">
      <c r="A234" s="177" t="str">
        <f>_ENGINE_Risk!CM732</f>
        <v>RISK-ONT-0233</v>
      </c>
      <c r="B234" s="177">
        <f>ROW(_ENGINE_Risk!A732)</f>
        <v>732</v>
      </c>
      <c r="C234" s="177" t="str">
        <f>_ENGINE_Risk!E732</f>
        <v>MANU-009</v>
      </c>
      <c r="D234" s="177" t="str">
        <f>_ENGINE_Risk!C732</f>
        <v>Manufacturing MES</v>
      </c>
      <c r="E234" s="177" t="str">
        <f>_ENGINE_Risk!D732</f>
        <v>MES and shop floor</v>
      </c>
      <c r="F234" s="177" t="str">
        <f>_ENGINE_Risk!F732</f>
        <v>Manufacturing, MES and production continuity</v>
      </c>
      <c r="G234" s="177" t="str">
        <f>_ENGINE_Risk!G732</f>
        <v>Severe risk: ERP-MES-MRP-WMS-quality-maintenance integration and reconciliation is not reliably controlled. During Manufacturing disruption; Safety incident; Energy outage; Cyberattack, the organization may face production stoppage, quality defects, low asset visibility and inability to recover shop-floor operations with limited visibility or accountability.</v>
      </c>
      <c r="H234" s="177" t="str">
        <f>_ENGINE_Risk!BT732</f>
        <v>CAP_WMS_WAREHOUSE</v>
      </c>
      <c r="I234" s="177" t="str">
        <f>_ENGINE_Risk!BV732</f>
        <v>BRG-055</v>
      </c>
      <c r="J234" s="177" t="str">
        <f>_ENGINE_Risk!CE732</f>
        <v>IW-ALL-WMS_WAREHOUSE</v>
      </c>
      <c r="K234" s="177" t="str">
        <f>_ENGINE_Risk!BY732</f>
        <v>TRT-WMS_WAREHOUSE-INITIAL</v>
      </c>
      <c r="L234" s="177" t="str">
        <f>_ENGINE_Risk!CP732</f>
        <v>Active</v>
      </c>
      <c r="M234" s="177" t="str">
        <f>_ENGINE_Risk!CQ732</f>
        <v>OK: capability-driven</v>
      </c>
      <c r="N234" s="177" t="str">
        <f>_ENGINE_Risk!CS732</f>
        <v>Yes</v>
      </c>
      <c r="O234" s="177" t="str">
        <f>_ENGINE_Risk!CO732</f>
        <v>Manufacturing MES|MES and shop floor|MANU-009|CAP_WMS_WAREHOUSE</v>
      </c>
      <c r="P234" s="177" t="str">
        <f>_ENGINE_Risk!CR732</f>
        <v>Risk ontology uses capability=CAP_WMS_WAREHOUSE; bridge=BRG-055; treatment=TRT-WMS_WAREHOUSE-INITIAL; wording=IW-ALL-WMS_WAREHOUSE</v>
      </c>
    </row>
    <row r="235" spans="1:16" ht="99" customHeight="1">
      <c r="A235" s="177" t="str">
        <f>_ENGINE_Risk!CM733</f>
        <v>RISK-ONT-0234</v>
      </c>
      <c r="B235" s="177">
        <f>ROW(_ENGINE_Risk!A733)</f>
        <v>733</v>
      </c>
      <c r="C235" s="177" t="str">
        <f>_ENGINE_Risk!E733</f>
        <v>MANU-010</v>
      </c>
      <c r="D235" s="177" t="str">
        <f>_ENGINE_Risk!C733</f>
        <v>Manufacturing MES</v>
      </c>
      <c r="E235" s="177" t="str">
        <f>_ENGINE_Risk!D733</f>
        <v>MES and shop floor</v>
      </c>
      <c r="F235" s="177" t="str">
        <f>_ENGINE_Risk!F733</f>
        <v>Manufacturing, MES and production continuity</v>
      </c>
      <c r="G235" s="177" t="str">
        <f>_ENGINE_Risk!G733</f>
        <v>Severe risk: machine data collection for states, output, downtime, cycle time, defects and energy is not reliably controlled. During Manufacturing disruption; Safety incident; Energy outage; Cyberattack, the organization may face production stoppage, quality defects, low asset visibility and inability to recover shop-floor operations with limited visibility or accountability.</v>
      </c>
      <c r="H235" s="177" t="str">
        <f>_ENGINE_Risk!BT733</f>
        <v>CAP_WMS_WAREHOUSE</v>
      </c>
      <c r="I235" s="177" t="str">
        <f>_ENGINE_Risk!BV733</f>
        <v>BRG-055</v>
      </c>
      <c r="J235" s="177" t="str">
        <f>_ENGINE_Risk!CE733</f>
        <v>IW-ALL-WMS_WAREHOUSE</v>
      </c>
      <c r="K235" s="177" t="str">
        <f>_ENGINE_Risk!BY733</f>
        <v>TRT-WMS_WAREHOUSE-INITIAL</v>
      </c>
      <c r="L235" s="177" t="str">
        <f>_ENGINE_Risk!CP733</f>
        <v>Active</v>
      </c>
      <c r="M235" s="177" t="str">
        <f>_ENGINE_Risk!CQ733</f>
        <v>OK: capability-driven</v>
      </c>
      <c r="N235" s="177" t="str">
        <f>_ENGINE_Risk!CS733</f>
        <v>Yes</v>
      </c>
      <c r="O235" s="177" t="str">
        <f>_ENGINE_Risk!CO733</f>
        <v>Manufacturing MES|MES and shop floor|MANU-010|CAP_WMS_WAREHOUSE</v>
      </c>
      <c r="P235" s="177" t="str">
        <f>_ENGINE_Risk!CR733</f>
        <v>Risk ontology uses capability=CAP_WMS_WAREHOUSE; bridge=BRG-055; treatment=TRT-WMS_WAREHOUSE-INITIAL; wording=IW-ALL-WMS_WAREHOUSE</v>
      </c>
    </row>
    <row r="236" spans="1:16" ht="99" customHeight="1">
      <c r="A236" s="177" t="str">
        <f>_ENGINE_Risk!CM734</f>
        <v>RISK-ONT-0235</v>
      </c>
      <c r="B236" s="177">
        <f>ROW(_ENGINE_Risk!A734)</f>
        <v>734</v>
      </c>
      <c r="C236" s="177" t="str">
        <f>_ENGINE_Risk!E734</f>
        <v>MANU-011</v>
      </c>
      <c r="D236" s="177" t="str">
        <f>_ENGINE_Risk!C734</f>
        <v>Manufacturing MES</v>
      </c>
      <c r="E236" s="177" t="str">
        <f>_ENGINE_Risk!D734</f>
        <v>MES and shop floor</v>
      </c>
      <c r="F236" s="177" t="str">
        <f>_ENGINE_Risk!F734</f>
        <v>Manufacturing, MES and production continuity</v>
      </c>
      <c r="G236" s="177" t="str">
        <f>_ENGINE_Risk!G734</f>
        <v>Severe risk: OEE, downtime reasons, microstops, rejects and performance loss analysis is not reliably controlled. During Manufacturing disruption; Safety incident; Energy outage; Cyberattack, the organization may face production stoppage, quality defects, low asset visibility and inability to recover shop-floor operations with limited visibility or accountability.</v>
      </c>
      <c r="H236" s="177" t="str">
        <f>_ENGINE_Risk!BT734</f>
        <v>CAP_WMS_WAREHOUSE</v>
      </c>
      <c r="I236" s="177" t="str">
        <f>_ENGINE_Risk!BV734</f>
        <v>BRG-055</v>
      </c>
      <c r="J236" s="177" t="str">
        <f>_ENGINE_Risk!CE734</f>
        <v>IW-ALL-WMS_WAREHOUSE</v>
      </c>
      <c r="K236" s="177" t="str">
        <f>_ENGINE_Risk!BY734</f>
        <v>TRT-WMS_WAREHOUSE-INITIAL</v>
      </c>
      <c r="L236" s="177" t="str">
        <f>_ENGINE_Risk!CP734</f>
        <v>Active</v>
      </c>
      <c r="M236" s="177" t="str">
        <f>_ENGINE_Risk!CQ734</f>
        <v>OK: capability-driven</v>
      </c>
      <c r="N236" s="177" t="str">
        <f>_ENGINE_Risk!CS734</f>
        <v>Yes</v>
      </c>
      <c r="O236" s="177" t="str">
        <f>_ENGINE_Risk!CO734</f>
        <v>Manufacturing MES|MES and shop floor|MANU-011|CAP_WMS_WAREHOUSE</v>
      </c>
      <c r="P236" s="177" t="str">
        <f>_ENGINE_Risk!CR734</f>
        <v>Risk ontology uses capability=CAP_WMS_WAREHOUSE; bridge=BRG-055; treatment=TRT-WMS_WAREHOUSE-INITIAL; wording=IW-ALL-WMS_WAREHOUSE</v>
      </c>
    </row>
    <row r="237" spans="1:16" ht="99" customHeight="1">
      <c r="A237" s="177" t="str">
        <f>_ENGINE_Risk!CM735</f>
        <v>RISK-ONT-0236</v>
      </c>
      <c r="B237" s="177">
        <f>ROW(_ENGINE_Risk!A735)</f>
        <v>735</v>
      </c>
      <c r="C237" s="177" t="str">
        <f>_ENGINE_Risk!E735</f>
        <v>MANU-012</v>
      </c>
      <c r="D237" s="177" t="str">
        <f>_ENGINE_Risk!C735</f>
        <v>Manufacturing MES</v>
      </c>
      <c r="E237" s="177" t="str">
        <f>_ENGINE_Risk!D735</f>
        <v>MES and shop floor</v>
      </c>
      <c r="F237" s="177" t="str">
        <f>_ENGINE_Risk!F735</f>
        <v>Manufacturing, MES and production continuity</v>
      </c>
      <c r="G237" s="177" t="str">
        <f>_ENGINE_Risk!G735</f>
        <v>Severe risk: production data standards, reason codes and master data across lines and sites is not reliably controlled. During Manufacturing disruption; Safety incident; Energy outage; Cyberattack, the organization may face production stoppage, quality defects, low asset visibility and inability to recover shop-floor operations with limited visibility or accountability.</v>
      </c>
      <c r="H237" s="177" t="str">
        <f>_ENGINE_Risk!BT735</f>
        <v>CAP_WMS_WAREHOUSE</v>
      </c>
      <c r="I237" s="177" t="str">
        <f>_ENGINE_Risk!BV735</f>
        <v>BRG-055</v>
      </c>
      <c r="J237" s="177" t="str">
        <f>_ENGINE_Risk!CE735</f>
        <v>IW-ALL-WMS_WAREHOUSE</v>
      </c>
      <c r="K237" s="177" t="str">
        <f>_ENGINE_Risk!BY735</f>
        <v>TRT-WMS_WAREHOUSE-INITIAL</v>
      </c>
      <c r="L237" s="177" t="str">
        <f>_ENGINE_Risk!CP735</f>
        <v>Active</v>
      </c>
      <c r="M237" s="177" t="str">
        <f>_ENGINE_Risk!CQ735</f>
        <v>OK: capability-driven</v>
      </c>
      <c r="N237" s="177" t="str">
        <f>_ENGINE_Risk!CS735</f>
        <v>Yes</v>
      </c>
      <c r="O237" s="177" t="str">
        <f>_ENGINE_Risk!CO735</f>
        <v>Manufacturing MES|MES and shop floor|MANU-012|CAP_WMS_WAREHOUSE</v>
      </c>
      <c r="P237" s="177" t="str">
        <f>_ENGINE_Risk!CR735</f>
        <v>Risk ontology uses capability=CAP_WMS_WAREHOUSE; bridge=BRG-055; treatment=TRT-WMS_WAREHOUSE-INITIAL; wording=IW-ALL-WMS_WAREHOUSE</v>
      </c>
    </row>
    <row r="238" spans="1:16" ht="99" customHeight="1">
      <c r="A238" s="177" t="str">
        <f>_ENGINE_Risk!CM736</f>
        <v>RISK-ONT-0237</v>
      </c>
      <c r="B238" s="177">
        <f>ROW(_ENGINE_Risk!A736)</f>
        <v>736</v>
      </c>
      <c r="C238" s="177" t="str">
        <f>_ENGINE_Risk!E736</f>
        <v>MANU-013</v>
      </c>
      <c r="D238" s="177" t="str">
        <f>_ENGINE_Risk!C736</f>
        <v>Manufacturing MES</v>
      </c>
      <c r="E238" s="177" t="str">
        <f>_ENGINE_Risk!D736</f>
        <v>Maintenance and assets</v>
      </c>
      <c r="F238" s="177" t="str">
        <f>_ENGINE_Risk!F736</f>
        <v>Manufacturing, MES and production continuity</v>
      </c>
      <c r="G238" s="177" t="str">
        <f>_ENGINE_Risk!G736</f>
        <v>Severe risk: preventive maintenance based on criticality, manufacturer requirements and failure history is not reliably controlled. During Manufacturing disruption; Safety incident; Energy outage; Cyberattack, the organization may face production stoppage, quality defects, low asset visibility and inability to recover shop-floor operations with limited visibility or accountability.</v>
      </c>
      <c r="H238" s="177" t="str">
        <f>_ENGINE_Risk!BT736</f>
        <v>CAP_BACKUP_RECOVERY</v>
      </c>
      <c r="I238" s="177" t="str">
        <f>_ENGINE_Risk!BV736</f>
        <v>BRG-056</v>
      </c>
      <c r="J238" s="177" t="str">
        <f>_ENGINE_Risk!CE736</f>
        <v>IW-ALL-BACKUP_RECOVERY</v>
      </c>
      <c r="K238" s="177" t="str">
        <f>_ENGINE_Risk!BY736</f>
        <v>TRT-BACKUP_RECOVERY-INITIAL</v>
      </c>
      <c r="L238" s="177" t="str">
        <f>_ENGINE_Risk!CP736</f>
        <v>Active</v>
      </c>
      <c r="M238" s="177" t="str">
        <f>_ENGINE_Risk!CQ736</f>
        <v>OK: capability-driven</v>
      </c>
      <c r="N238" s="177" t="str">
        <f>_ENGINE_Risk!CS736</f>
        <v>Yes</v>
      </c>
      <c r="O238" s="177" t="str">
        <f>_ENGINE_Risk!CO736</f>
        <v>Manufacturing MES|Maintenance and assets|MANU-013|CAP_BACKUP_RECOVERY</v>
      </c>
      <c r="P238" s="177" t="str">
        <f>_ENGINE_Risk!CR736</f>
        <v>Risk ontology uses capability=CAP_BACKUP_RECOVERY; bridge=BRG-056; treatment=TRT-BACKUP_RECOVERY-INITIAL; wording=IW-ALL-BACKUP_RECOVERY</v>
      </c>
    </row>
    <row r="239" spans="1:16" ht="99" customHeight="1">
      <c r="A239" s="177" t="str">
        <f>_ENGINE_Risk!CM737</f>
        <v>RISK-ONT-0238</v>
      </c>
      <c r="B239" s="177">
        <f>ROW(_ENGINE_Risk!A737)</f>
        <v>737</v>
      </c>
      <c r="C239" s="177" t="str">
        <f>_ENGINE_Risk!E737</f>
        <v>MANU-014</v>
      </c>
      <c r="D239" s="177" t="str">
        <f>_ENGINE_Risk!C737</f>
        <v>Manufacturing MES</v>
      </c>
      <c r="E239" s="177" t="str">
        <f>_ENGINE_Risk!D737</f>
        <v>Maintenance and assets</v>
      </c>
      <c r="F239" s="177" t="str">
        <f>_ENGINE_Risk!F737</f>
        <v>Manufacturing, MES and production continuity</v>
      </c>
      <c r="G239" s="177" t="str">
        <f>_ENGINE_Risk!G737</f>
        <v>Severe risk: critical spare parts identification, stocking or sourcing with acceptable lead times is not reliably controlled. During Manufacturing disruption; Safety incident; Energy outage; Cyberattack, the organization may face production stoppage, quality defects, low asset visibility and inability to recover shop-floor operations with limited visibility or accountability.</v>
      </c>
      <c r="H239" s="177" t="str">
        <f>_ENGINE_Risk!BT737</f>
        <v>CAP_BACKUP_RECOVERY</v>
      </c>
      <c r="I239" s="177" t="str">
        <f>_ENGINE_Risk!BV737</f>
        <v>BRG-056</v>
      </c>
      <c r="J239" s="177" t="str">
        <f>_ENGINE_Risk!CE737</f>
        <v>IW-ALL-BACKUP_RECOVERY</v>
      </c>
      <c r="K239" s="177" t="str">
        <f>_ENGINE_Risk!BY737</f>
        <v>TRT-BACKUP_RECOVERY-INITIAL</v>
      </c>
      <c r="L239" s="177" t="str">
        <f>_ENGINE_Risk!CP737</f>
        <v>Active</v>
      </c>
      <c r="M239" s="177" t="str">
        <f>_ENGINE_Risk!CQ737</f>
        <v>OK: capability-driven</v>
      </c>
      <c r="N239" s="177" t="str">
        <f>_ENGINE_Risk!CS737</f>
        <v>Yes</v>
      </c>
      <c r="O239" s="177" t="str">
        <f>_ENGINE_Risk!CO737</f>
        <v>Manufacturing MES|Maintenance and assets|MANU-014|CAP_BACKUP_RECOVERY</v>
      </c>
      <c r="P239" s="177" t="str">
        <f>_ENGINE_Risk!CR737</f>
        <v>Risk ontology uses capability=CAP_BACKUP_RECOVERY; bridge=BRG-056; treatment=TRT-BACKUP_RECOVERY-INITIAL; wording=IW-ALL-BACKUP_RECOVERY</v>
      </c>
    </row>
    <row r="240" spans="1:16" ht="99" customHeight="1">
      <c r="A240" s="177" t="str">
        <f>_ENGINE_Risk!CM738</f>
        <v>RISK-ONT-0239</v>
      </c>
      <c r="B240" s="177">
        <f>ROW(_ENGINE_Risk!A738)</f>
        <v>738</v>
      </c>
      <c r="C240" s="177" t="str">
        <f>_ENGINE_Risk!E738</f>
        <v>MANU-015</v>
      </c>
      <c r="D240" s="177" t="str">
        <f>_ENGINE_Risk!C738</f>
        <v>Manufacturing MES</v>
      </c>
      <c r="E240" s="177" t="str">
        <f>_ENGINE_Risk!D738</f>
        <v>Maintenance and assets</v>
      </c>
      <c r="F240" s="177" t="str">
        <f>_ENGINE_Risk!F738</f>
        <v>Manufacturing, MES and production continuity</v>
      </c>
      <c r="G240" s="177" t="str">
        <f>_ENGINE_Risk!G738</f>
        <v>Severe risk: predictive or condition-based maintenance for critical assets where economically justified is not reliably controlled. During Manufacturing disruption; Safety incident; Energy outage; Cyberattack, the organization may face production stoppage, quality defects, low asset visibility and inability to recover shop-floor operations with limited visibility or accountability.</v>
      </c>
      <c r="H240" s="177" t="str">
        <f>_ENGINE_Risk!BT738</f>
        <v>CAP_BACKUP_RECOVERY</v>
      </c>
      <c r="I240" s="177" t="str">
        <f>_ENGINE_Risk!BV738</f>
        <v>BRG-056</v>
      </c>
      <c r="J240" s="177" t="str">
        <f>_ENGINE_Risk!CE738</f>
        <v>IW-ALL-BACKUP_RECOVERY</v>
      </c>
      <c r="K240" s="177" t="str">
        <f>_ENGINE_Risk!BY738</f>
        <v>TRT-BACKUP_RECOVERY-INITIAL</v>
      </c>
      <c r="L240" s="177" t="str">
        <f>_ENGINE_Risk!CP738</f>
        <v>Active</v>
      </c>
      <c r="M240" s="177" t="str">
        <f>_ENGINE_Risk!CQ738</f>
        <v>OK: capability-driven</v>
      </c>
      <c r="N240" s="177" t="str">
        <f>_ENGINE_Risk!CS738</f>
        <v>Yes</v>
      </c>
      <c r="O240" s="177" t="str">
        <f>_ENGINE_Risk!CO738</f>
        <v>Manufacturing MES|Maintenance and assets|MANU-015|CAP_BACKUP_RECOVERY</v>
      </c>
      <c r="P240" s="177" t="str">
        <f>_ENGINE_Risk!CR738</f>
        <v>Risk ontology uses capability=CAP_BACKUP_RECOVERY; bridge=BRG-056; treatment=TRT-BACKUP_RECOVERY-INITIAL; wording=IW-ALL-BACKUP_RECOVERY</v>
      </c>
    </row>
    <row r="241" spans="1:16" ht="99" customHeight="1">
      <c r="A241" s="177" t="str">
        <f>_ENGINE_Risk!CM739</f>
        <v>RISK-ONT-0240</v>
      </c>
      <c r="B241" s="177">
        <f>ROW(_ENGINE_Risk!A739)</f>
        <v>739</v>
      </c>
      <c r="C241" s="177" t="str">
        <f>_ENGINE_Risk!E739</f>
        <v>MANU-016</v>
      </c>
      <c r="D241" s="177" t="str">
        <f>_ENGINE_Risk!C739</f>
        <v>Manufacturing MES</v>
      </c>
      <c r="E241" s="177" t="str">
        <f>_ENGINE_Risk!D739</f>
        <v>Maintenance and assets</v>
      </c>
      <c r="F241" s="177" t="str">
        <f>_ENGINE_Risk!F739</f>
        <v>Manufacturing, MES and production continuity</v>
      </c>
      <c r="G241" s="177" t="str">
        <f>_ENGINE_Risk!G739</f>
        <v>Severe risk: utility dependency map for electricity, gas, water, compressed air, HVAC and other utilities is not reliably controlled. During Manufacturing disruption; Safety incident; Energy outage; Cyberattack, the organization may face production stoppage, quality defects, low asset visibility and inability to recover shop-floor operations with limited visibility or accountability.</v>
      </c>
      <c r="H241" s="177" t="str">
        <f>_ENGINE_Risk!BT739</f>
        <v>CAP_BACKUP_RECOVERY</v>
      </c>
      <c r="I241" s="177" t="str">
        <f>_ENGINE_Risk!BV739</f>
        <v>BRG-056</v>
      </c>
      <c r="J241" s="177" t="str">
        <f>_ENGINE_Risk!CE739</f>
        <v>IW-ALL-BACKUP_RECOVERY</v>
      </c>
      <c r="K241" s="177" t="str">
        <f>_ENGINE_Risk!BY739</f>
        <v>TRT-BACKUP_RECOVERY-INITIAL</v>
      </c>
      <c r="L241" s="177" t="str">
        <f>_ENGINE_Risk!CP739</f>
        <v>Active</v>
      </c>
      <c r="M241" s="177" t="str">
        <f>_ENGINE_Risk!CQ739</f>
        <v>OK: capability-driven</v>
      </c>
      <c r="N241" s="177" t="str">
        <f>_ENGINE_Risk!CS739</f>
        <v>Yes</v>
      </c>
      <c r="O241" s="177" t="str">
        <f>_ENGINE_Risk!CO739</f>
        <v>Manufacturing MES|Maintenance and assets|MANU-016|CAP_BACKUP_RECOVERY</v>
      </c>
      <c r="P241" s="177" t="str">
        <f>_ENGINE_Risk!CR739</f>
        <v>Risk ontology uses capability=CAP_BACKUP_RECOVERY; bridge=BRG-056; treatment=TRT-BACKUP_RECOVERY-INITIAL; wording=IW-ALL-BACKUP_RECOVERY</v>
      </c>
    </row>
    <row r="242" spans="1:16" ht="99" customHeight="1">
      <c r="A242" s="177" t="str">
        <f>_ENGINE_Risk!CM740</f>
        <v>RISK-ONT-0241</v>
      </c>
      <c r="B242" s="177">
        <f>ROW(_ENGINE_Risk!A740)</f>
        <v>740</v>
      </c>
      <c r="C242" s="177" t="str">
        <f>_ENGINE_Risk!E740</f>
        <v>MANU-017</v>
      </c>
      <c r="D242" s="177" t="str">
        <f>_ENGINE_Risk!C740</f>
        <v>Manufacturing MES</v>
      </c>
      <c r="E242" s="177" t="str">
        <f>_ENGINE_Risk!D740</f>
        <v>Maintenance and assets</v>
      </c>
      <c r="F242" s="177" t="str">
        <f>_ENGINE_Risk!F740</f>
        <v>Manufacturing, MES and production continuity</v>
      </c>
      <c r="G242" s="177" t="str">
        <f>_ENGINE_Risk!G740</f>
        <v>Severe risk: backup utility options for critical production processes is not reliably controlled. During Manufacturing disruption; Safety incident; Energy outage; Cyberattack, the organization may face production stoppage, quality defects, low asset visibility and inability to recover shop-floor operations with limited visibility or accountability.</v>
      </c>
      <c r="H242" s="177" t="str">
        <f>_ENGINE_Risk!BT740</f>
        <v>CAP_BACKUP_RECOVERY</v>
      </c>
      <c r="I242" s="177" t="str">
        <f>_ENGINE_Risk!BV740</f>
        <v>BRG-056</v>
      </c>
      <c r="J242" s="177" t="str">
        <f>_ENGINE_Risk!CE740</f>
        <v>IW-ALL-BACKUP_RECOVERY</v>
      </c>
      <c r="K242" s="177" t="str">
        <f>_ENGINE_Risk!BY740</f>
        <v>TRT-BACKUP_RECOVERY-INITIAL</v>
      </c>
      <c r="L242" s="177" t="str">
        <f>_ENGINE_Risk!CP740</f>
        <v>Active</v>
      </c>
      <c r="M242" s="177" t="str">
        <f>_ENGINE_Risk!CQ740</f>
        <v>OK: capability-driven</v>
      </c>
      <c r="N242" s="177" t="str">
        <f>_ENGINE_Risk!CS740</f>
        <v>Yes</v>
      </c>
      <c r="O242" s="177" t="str">
        <f>_ENGINE_Risk!CO740</f>
        <v>Manufacturing MES|Maintenance and assets|MANU-017|CAP_BACKUP_RECOVERY</v>
      </c>
      <c r="P242" s="177" t="str">
        <f>_ENGINE_Risk!CR740</f>
        <v>Risk ontology uses capability=CAP_BACKUP_RECOVERY; bridge=BRG-056; treatment=TRT-BACKUP_RECOVERY-INITIAL; wording=IW-ALL-BACKUP_RECOVERY</v>
      </c>
    </row>
    <row r="243" spans="1:16" ht="99" customHeight="1">
      <c r="A243" s="177" t="str">
        <f>_ENGINE_Risk!CM741</f>
        <v>RISK-ONT-0242</v>
      </c>
      <c r="B243" s="177">
        <f>ROW(_ENGINE_Risk!A741)</f>
        <v>741</v>
      </c>
      <c r="C243" s="177" t="str">
        <f>_ENGINE_Risk!E741</f>
        <v>MANU-018</v>
      </c>
      <c r="D243" s="177" t="str">
        <f>_ENGINE_Risk!C741</f>
        <v>Manufacturing MES</v>
      </c>
      <c r="E243" s="177" t="str">
        <f>_ENGINE_Risk!D741</f>
        <v>Maintenance and assets</v>
      </c>
      <c r="F243" s="177" t="str">
        <f>_ENGINE_Risk!F741</f>
        <v>Manufacturing, MES and production continuity</v>
      </c>
      <c r="G243" s="177" t="str">
        <f>_ENGINE_Risk!G741</f>
        <v>Severe risk: asset management for critical production equipment, tooling and calibration is not reliably controlled. During Manufacturing disruption; Safety incident; Energy outage; Cyberattack, the organization may face production stoppage, quality defects, low asset visibility and inability to recover shop-floor operations with limited visibility or accountability.</v>
      </c>
      <c r="H243" s="177" t="str">
        <f>_ENGINE_Risk!BT741</f>
        <v>CAP_BACKUP_RECOVERY</v>
      </c>
      <c r="I243" s="177" t="str">
        <f>_ENGINE_Risk!BV741</f>
        <v>BRG-056</v>
      </c>
      <c r="J243" s="177" t="str">
        <f>_ENGINE_Risk!CE741</f>
        <v>IW-ALL-BACKUP_RECOVERY</v>
      </c>
      <c r="K243" s="177" t="str">
        <f>_ENGINE_Risk!BY741</f>
        <v>TRT-BACKUP_RECOVERY-INITIAL</v>
      </c>
      <c r="L243" s="177" t="str">
        <f>_ENGINE_Risk!CP741</f>
        <v>Active</v>
      </c>
      <c r="M243" s="177" t="str">
        <f>_ENGINE_Risk!CQ741</f>
        <v>OK: capability-driven</v>
      </c>
      <c r="N243" s="177" t="str">
        <f>_ENGINE_Risk!CS741</f>
        <v>Yes</v>
      </c>
      <c r="O243" s="177" t="str">
        <f>_ENGINE_Risk!CO741</f>
        <v>Manufacturing MES|Maintenance and assets|MANU-018|CAP_BACKUP_RECOVERY</v>
      </c>
      <c r="P243" s="177" t="str">
        <f>_ENGINE_Risk!CR741</f>
        <v>Risk ontology uses capability=CAP_BACKUP_RECOVERY; bridge=BRG-056; treatment=TRT-BACKUP_RECOVERY-INITIAL; wording=IW-ALL-BACKUP_RECOVERY</v>
      </c>
    </row>
    <row r="244" spans="1:16" ht="113.15" customHeight="1">
      <c r="A244" s="177" t="str">
        <f>_ENGINE_Risk!CM742</f>
        <v>RISK-ONT-0243</v>
      </c>
      <c r="B244" s="177">
        <f>ROW(_ENGINE_Risk!A742)</f>
        <v>742</v>
      </c>
      <c r="C244" s="177" t="str">
        <f>_ENGINE_Risk!E742</f>
        <v>MANU-019</v>
      </c>
      <c r="D244" s="177" t="str">
        <f>_ENGINE_Risk!C742</f>
        <v>Manufacturing MES</v>
      </c>
      <c r="E244" s="177" t="str">
        <f>_ENGINE_Risk!D742</f>
        <v>Quality and safety</v>
      </c>
      <c r="F244" s="177" t="str">
        <f>_ENGINE_Risk!F742</f>
        <v>Manufacturing, MES and production continuity</v>
      </c>
      <c r="G244" s="177" t="str">
        <f>_ENGINE_Risk!G742</f>
        <v>Severe risk: quality controls, inspections, sampling, nonconformance and corrective actions integrated into production is not reliably controlled. During Manufacturing disruption; Safety incident; Energy outage; Cyberattack, the organization may face production stoppage, quality defects, low asset visibility and inability to recover shop-floor operations with limited visibility or accountability.</v>
      </c>
      <c r="H244" s="177" t="str">
        <f>_ENGINE_Risk!BT742</f>
        <v>CAP_SUPPLIER_RESILIENCE</v>
      </c>
      <c r="I244" s="177" t="str">
        <f>_ENGINE_Risk!BV742</f>
        <v>BRG-059</v>
      </c>
      <c r="J244" s="177" t="str">
        <f>_ENGINE_Risk!CE742</f>
        <v>IW-ALL-SUPPLIER_RESILIENCE</v>
      </c>
      <c r="K244" s="177" t="str">
        <f>_ENGINE_Risk!BY742</f>
        <v>TRT-SUPPLIER_RESILIENCE-INITIAL</v>
      </c>
      <c r="L244" s="177" t="str">
        <f>_ENGINE_Risk!CP742</f>
        <v>Active</v>
      </c>
      <c r="M244" s="177" t="str">
        <f>_ENGINE_Risk!CQ742</f>
        <v>OK: capability-driven</v>
      </c>
      <c r="N244" s="177" t="str">
        <f>_ENGINE_Risk!CS742</f>
        <v>Yes</v>
      </c>
      <c r="O244" s="177" t="str">
        <f>_ENGINE_Risk!CO742</f>
        <v>Manufacturing MES|Quality and safety|MANU-019|CAP_SUPPLIER_RESILIENCE</v>
      </c>
      <c r="P244" s="177" t="str">
        <f>_ENGINE_Risk!CR742</f>
        <v>Risk ontology uses capability=CAP_SUPPLIER_RESILIENCE; bridge=BRG-059; treatment=TRT-SUPPLIER_RESILIENCE-INITIAL; wording=IW-ALL-SUPPLIER_RESILIENCE</v>
      </c>
    </row>
    <row r="245" spans="1:16" ht="99" customHeight="1">
      <c r="A245" s="177" t="str">
        <f>_ENGINE_Risk!CM743</f>
        <v>RISK-ONT-0244</v>
      </c>
      <c r="B245" s="177">
        <f>ROW(_ENGINE_Risk!A743)</f>
        <v>743</v>
      </c>
      <c r="C245" s="177" t="str">
        <f>_ENGINE_Risk!E743</f>
        <v>MANU-020</v>
      </c>
      <c r="D245" s="177" t="str">
        <f>_ENGINE_Risk!C743</f>
        <v>Manufacturing MES</v>
      </c>
      <c r="E245" s="177" t="str">
        <f>_ENGINE_Risk!D743</f>
        <v>Quality and safety</v>
      </c>
      <c r="F245" s="177" t="str">
        <f>_ENGINE_Risk!F743</f>
        <v>Manufacturing, MES and production continuity</v>
      </c>
      <c r="G245" s="177" t="str">
        <f>_ENGINE_Risk!G743</f>
        <v>Severe risk: traceability of products, batches, materials, operators and process parameters is not reliably controlled. During Manufacturing disruption; Safety incident; Energy outage; Cyberattack, the organization may face production stoppage, quality defects, low asset visibility and inability to recover shop-floor operations with limited visibility or accountability.</v>
      </c>
      <c r="H245" s="177" t="str">
        <f>_ENGINE_Risk!BT743</f>
        <v>CAP_SUPPLIER_RESILIENCE</v>
      </c>
      <c r="I245" s="177" t="str">
        <f>_ENGINE_Risk!BV743</f>
        <v>BRG-059</v>
      </c>
      <c r="J245" s="177" t="str">
        <f>_ENGINE_Risk!CE743</f>
        <v>IW-ALL-SUPPLIER_RESILIENCE</v>
      </c>
      <c r="K245" s="177" t="str">
        <f>_ENGINE_Risk!BY743</f>
        <v>TRT-SUPPLIER_RESILIENCE-INITIAL</v>
      </c>
      <c r="L245" s="177" t="str">
        <f>_ENGINE_Risk!CP743</f>
        <v>Active</v>
      </c>
      <c r="M245" s="177" t="str">
        <f>_ENGINE_Risk!CQ743</f>
        <v>OK: capability-driven</v>
      </c>
      <c r="N245" s="177" t="str">
        <f>_ENGINE_Risk!CS743</f>
        <v>Yes</v>
      </c>
      <c r="O245" s="177" t="str">
        <f>_ENGINE_Risk!CO743</f>
        <v>Manufacturing MES|Quality and safety|MANU-020|CAP_SUPPLIER_RESILIENCE</v>
      </c>
      <c r="P245" s="177" t="str">
        <f>_ENGINE_Risk!CR743</f>
        <v>Risk ontology uses capability=CAP_SUPPLIER_RESILIENCE; bridge=BRG-059; treatment=TRT-SUPPLIER_RESILIENCE-INITIAL; wording=IW-ALL-SUPPLIER_RESILIENCE</v>
      </c>
    </row>
    <row r="246" spans="1:16" ht="99" customHeight="1">
      <c r="A246" s="177" t="str">
        <f>_ENGINE_Risk!CM744</f>
        <v>RISK-ONT-0245</v>
      </c>
      <c r="B246" s="177">
        <f>ROW(_ENGINE_Risk!A744)</f>
        <v>744</v>
      </c>
      <c r="C246" s="177" t="str">
        <f>_ENGINE_Risk!E744</f>
        <v>MANU-021</v>
      </c>
      <c r="D246" s="177" t="str">
        <f>_ENGINE_Risk!C744</f>
        <v>Manufacturing MES</v>
      </c>
      <c r="E246" s="177" t="str">
        <f>_ENGINE_Risk!D744</f>
        <v>Quality and safety</v>
      </c>
      <c r="F246" s="177" t="str">
        <f>_ENGINE_Risk!F744</f>
        <v>Manufacturing, MES and production continuity</v>
      </c>
      <c r="G246" s="177" t="str">
        <f>_ENGINE_Risk!G744</f>
        <v>Severe risk: BOM, routing, recipe and engineering change control synchronized with ERP/MES is not reliably controlled. During Manufacturing disruption; Safety incident; Energy outage; Cyberattack, the organization may face production stoppage, quality defects, low asset visibility and inability to recover shop-floor operations with limited visibility or accountability.</v>
      </c>
      <c r="H246" s="177" t="str">
        <f>_ENGINE_Risk!BT744</f>
        <v>CAP_SUPPLIER_RESILIENCE</v>
      </c>
      <c r="I246" s="177" t="str">
        <f>_ENGINE_Risk!BV744</f>
        <v>BRG-059</v>
      </c>
      <c r="J246" s="177" t="str">
        <f>_ENGINE_Risk!CE744</f>
        <v>IW-ALL-SUPPLIER_RESILIENCE</v>
      </c>
      <c r="K246" s="177" t="str">
        <f>_ENGINE_Risk!BY744</f>
        <v>TRT-SUPPLIER_RESILIENCE-INITIAL</v>
      </c>
      <c r="L246" s="177" t="str">
        <f>_ENGINE_Risk!CP744</f>
        <v>Active</v>
      </c>
      <c r="M246" s="177" t="str">
        <f>_ENGINE_Risk!CQ744</f>
        <v>OK: capability-driven</v>
      </c>
      <c r="N246" s="177" t="str">
        <f>_ENGINE_Risk!CS744</f>
        <v>Yes</v>
      </c>
      <c r="O246" s="177" t="str">
        <f>_ENGINE_Risk!CO744</f>
        <v>Manufacturing MES|Quality and safety|MANU-021|CAP_SUPPLIER_RESILIENCE</v>
      </c>
      <c r="P246" s="177" t="str">
        <f>_ENGINE_Risk!CR744</f>
        <v>Risk ontology uses capability=CAP_SUPPLIER_RESILIENCE; bridge=BRG-059; treatment=TRT-SUPPLIER_RESILIENCE-INITIAL; wording=IW-ALL-SUPPLIER_RESILIENCE</v>
      </c>
    </row>
    <row r="247" spans="1:16" ht="99" customHeight="1">
      <c r="A247" s="177" t="str">
        <f>_ENGINE_Risk!CM745</f>
        <v>RISK-ONT-0246</v>
      </c>
      <c r="B247" s="177">
        <f>ROW(_ENGINE_Risk!A745)</f>
        <v>745</v>
      </c>
      <c r="C247" s="177" t="str">
        <f>_ENGINE_Risk!E745</f>
        <v>MANU-022</v>
      </c>
      <c r="D247" s="177" t="str">
        <f>_ENGINE_Risk!C745</f>
        <v>Manufacturing MES</v>
      </c>
      <c r="E247" s="177" t="str">
        <f>_ENGINE_Risk!D745</f>
        <v>Quality and safety</v>
      </c>
      <c r="F247" s="177" t="str">
        <f>_ENGINE_Risk!F745</f>
        <v>Manufacturing, MES and production continuity</v>
      </c>
      <c r="G247" s="177" t="str">
        <f>_ENGINE_Risk!G745</f>
        <v>Severe risk: operator training and certification for equipment, safety, quality and emergency procedures is not reliably controlled. During Manufacturing disruption; Safety incident; Energy outage; Cyberattack, the organization may face production stoppage, quality defects, low asset visibility and inability to recover shop-floor operations with limited visibility or accountability.</v>
      </c>
      <c r="H247" s="177" t="str">
        <f>_ENGINE_Risk!BT745</f>
        <v>CAP_SUPPLIER_RESILIENCE</v>
      </c>
      <c r="I247" s="177" t="str">
        <f>_ENGINE_Risk!BV745</f>
        <v>BRG-059</v>
      </c>
      <c r="J247" s="177" t="str">
        <f>_ENGINE_Risk!CE745</f>
        <v>IW-ALL-SUPPLIER_RESILIENCE</v>
      </c>
      <c r="K247" s="177" t="str">
        <f>_ENGINE_Risk!BY745</f>
        <v>TRT-SUPPLIER_RESILIENCE-INITIAL</v>
      </c>
      <c r="L247" s="177" t="str">
        <f>_ENGINE_Risk!CP745</f>
        <v>Active</v>
      </c>
      <c r="M247" s="177" t="str">
        <f>_ENGINE_Risk!CQ745</f>
        <v>OK: capability-driven</v>
      </c>
      <c r="N247" s="177" t="str">
        <f>_ENGINE_Risk!CS745</f>
        <v>Yes</v>
      </c>
      <c r="O247" s="177" t="str">
        <f>_ENGINE_Risk!CO745</f>
        <v>Manufacturing MES|Quality and safety|MANU-022|CAP_SUPPLIER_RESILIENCE</v>
      </c>
      <c r="P247" s="177" t="str">
        <f>_ENGINE_Risk!CR745</f>
        <v>Risk ontology uses capability=CAP_SUPPLIER_RESILIENCE; bridge=BRG-059; treatment=TRT-SUPPLIER_RESILIENCE-INITIAL; wording=IW-ALL-SUPPLIER_RESILIENCE</v>
      </c>
    </row>
    <row r="248" spans="1:16" ht="99" customHeight="1">
      <c r="A248" s="177" t="str">
        <f>_ENGINE_Risk!CM746</f>
        <v>RISK-ONT-0247</v>
      </c>
      <c r="B248" s="177">
        <f>ROW(_ENGINE_Risk!A746)</f>
        <v>746</v>
      </c>
      <c r="C248" s="177" t="str">
        <f>_ENGINE_Risk!E746</f>
        <v>MANU-023</v>
      </c>
      <c r="D248" s="177" t="str">
        <f>_ENGINE_Risk!C746</f>
        <v>Manufacturing MES</v>
      </c>
      <c r="E248" s="177" t="str">
        <f>_ENGINE_Risk!D746</f>
        <v>Quality and safety</v>
      </c>
      <c r="F248" s="177" t="str">
        <f>_ENGINE_Risk!F746</f>
        <v>Manufacturing, MES and production continuity</v>
      </c>
      <c r="G248" s="177" t="str">
        <f>_ENGINE_Risk!G746</f>
        <v>Severe risk: machine safety controls, guarding, emergency stops and lockout/tagout is not reliably controlled. During Manufacturing disruption; Safety incident; Energy outage; Cyberattack, the organization may face production stoppage, quality defects, low asset visibility and inability to recover shop-floor operations with limited visibility or accountability.</v>
      </c>
      <c r="H248" s="177" t="str">
        <f>_ENGINE_Risk!BT746</f>
        <v>CAP_SUPPLIER_RESILIENCE</v>
      </c>
      <c r="I248" s="177" t="str">
        <f>_ENGINE_Risk!BV746</f>
        <v>BRG-059</v>
      </c>
      <c r="J248" s="177" t="str">
        <f>_ENGINE_Risk!CE746</f>
        <v>IW-ALL-SUPPLIER_RESILIENCE</v>
      </c>
      <c r="K248" s="177" t="str">
        <f>_ENGINE_Risk!BY746</f>
        <v>TRT-SUPPLIER_RESILIENCE-INITIAL</v>
      </c>
      <c r="L248" s="177" t="str">
        <f>_ENGINE_Risk!CP746</f>
        <v>Active</v>
      </c>
      <c r="M248" s="177" t="str">
        <f>_ENGINE_Risk!CQ746</f>
        <v>OK: capability-driven</v>
      </c>
      <c r="N248" s="177" t="str">
        <f>_ENGINE_Risk!CS746</f>
        <v>Yes</v>
      </c>
      <c r="O248" s="177" t="str">
        <f>_ENGINE_Risk!CO746</f>
        <v>Manufacturing MES|Quality and safety|MANU-023|CAP_SUPPLIER_RESILIENCE</v>
      </c>
      <c r="P248" s="177" t="str">
        <f>_ENGINE_Risk!CR746</f>
        <v>Risk ontology uses capability=CAP_SUPPLIER_RESILIENCE; bridge=BRG-059; treatment=TRT-SUPPLIER_RESILIENCE-INITIAL; wording=IW-ALL-SUPPLIER_RESILIENCE</v>
      </c>
    </row>
    <row r="249" spans="1:16" ht="84.9" customHeight="1">
      <c r="A249" s="177" t="str">
        <f>_ENGINE_Risk!CM747</f>
        <v>RISK-ONT-0248</v>
      </c>
      <c r="B249" s="177">
        <f>ROW(_ENGINE_Risk!A747)</f>
        <v>747</v>
      </c>
      <c r="C249" s="177" t="str">
        <f>_ENGINE_Risk!E747</f>
        <v>MANU-024</v>
      </c>
      <c r="D249" s="177" t="str">
        <f>_ENGINE_Risk!C747</f>
        <v>Manufacturing MES</v>
      </c>
      <c r="E249" s="177" t="str">
        <f>_ENGINE_Risk!D747</f>
        <v>Quality and safety</v>
      </c>
      <c r="F249" s="177" t="str">
        <f>_ENGINE_Risk!F747</f>
        <v>Manufacturing, MES and production continuity</v>
      </c>
      <c r="G249" s="177" t="str">
        <f>_ENGINE_Risk!G747</f>
        <v>Severe risk: rework, scrap, yield loss and defect cost analysis is not reliably controlled. During Manufacturing disruption; Safety incident; Energy outage; Cyberattack, the organization may face production stoppage, quality defects, low asset visibility and inability to recover shop-floor operations with limited visibility or accountability.</v>
      </c>
      <c r="H249" s="177" t="str">
        <f>_ENGINE_Risk!BT747</f>
        <v>CAP_SUPPLIER_RESILIENCE</v>
      </c>
      <c r="I249" s="177" t="str">
        <f>_ENGINE_Risk!BV747</f>
        <v>BRG-059</v>
      </c>
      <c r="J249" s="177" t="str">
        <f>_ENGINE_Risk!CE747</f>
        <v>IW-ALL-SUPPLIER_RESILIENCE</v>
      </c>
      <c r="K249" s="177" t="str">
        <f>_ENGINE_Risk!BY747</f>
        <v>TRT-SUPPLIER_RESILIENCE-INITIAL</v>
      </c>
      <c r="L249" s="177" t="str">
        <f>_ENGINE_Risk!CP747</f>
        <v>Active</v>
      </c>
      <c r="M249" s="177" t="str">
        <f>_ENGINE_Risk!CQ747</f>
        <v>OK: capability-driven</v>
      </c>
      <c r="N249" s="177" t="str">
        <f>_ENGINE_Risk!CS747</f>
        <v>Yes</v>
      </c>
      <c r="O249" s="177" t="str">
        <f>_ENGINE_Risk!CO747</f>
        <v>Manufacturing MES|Quality and safety|MANU-024|CAP_SUPPLIER_RESILIENCE</v>
      </c>
      <c r="P249" s="177" t="str">
        <f>_ENGINE_Risk!CR747</f>
        <v>Risk ontology uses capability=CAP_SUPPLIER_RESILIENCE; bridge=BRG-059; treatment=TRT-SUPPLIER_RESILIENCE-INITIAL; wording=IW-ALL-SUPPLIER_RESILIENCE</v>
      </c>
    </row>
    <row r="250" spans="1:16" ht="99" customHeight="1">
      <c r="A250" s="177" t="str">
        <f>_ENGINE_Risk!CM748</f>
        <v>RISK-ONT-0249</v>
      </c>
      <c r="B250" s="177">
        <f>ROW(_ENGINE_Risk!A748)</f>
        <v>748</v>
      </c>
      <c r="C250" s="177" t="str">
        <f>_ENGINE_Risk!E748</f>
        <v>MANU-025</v>
      </c>
      <c r="D250" s="177" t="str">
        <f>_ENGINE_Risk!C748</f>
        <v>Manufacturing MES</v>
      </c>
      <c r="E250" s="177" t="str">
        <f>_ENGINE_Risk!D748</f>
        <v>OT security</v>
      </c>
      <c r="F250" s="177" t="str">
        <f>_ENGINE_Risk!F748</f>
        <v>Manufacturing, MES and production continuity</v>
      </c>
      <c r="G250" s="177" t="str">
        <f>_ENGINE_Risk!G748</f>
        <v>Severe risk: OT asset inventory for PLCs, SCADA, HMIs, industrial networks and engineering workstations is not reliably controlled. During Manufacturing disruption; Safety incident; Energy outage; Cyberattack, the organization may face production stoppage, quality defects, low asset visibility and inability to recover shop-floor operations with limited visibility or accountability.</v>
      </c>
      <c r="H250" s="177" t="str">
        <f>_ENGINE_Risk!BT748</f>
        <v>CAP_INCIDENT_RESPONSE</v>
      </c>
      <c r="I250" s="177" t="str">
        <f>_ENGINE_Risk!BV748</f>
        <v>BRG-057</v>
      </c>
      <c r="J250" s="177" t="str">
        <f>_ENGINE_Risk!CE748</f>
        <v>IW-ALL-INCIDENT_RESPONSE</v>
      </c>
      <c r="K250" s="177" t="str">
        <f>_ENGINE_Risk!BY748</f>
        <v>TRT-INCIDENT_RESPONSE-INITIAL</v>
      </c>
      <c r="L250" s="177" t="str">
        <f>_ENGINE_Risk!CP748</f>
        <v>Active</v>
      </c>
      <c r="M250" s="177" t="str">
        <f>_ENGINE_Risk!CQ748</f>
        <v>OK: capability-driven</v>
      </c>
      <c r="N250" s="177" t="str">
        <f>_ENGINE_Risk!CS748</f>
        <v>Yes</v>
      </c>
      <c r="O250" s="177" t="str">
        <f>_ENGINE_Risk!CO748</f>
        <v>Manufacturing MES|OT security|MANU-025|CAP_INCIDENT_RESPONSE</v>
      </c>
      <c r="P250" s="177" t="str">
        <f>_ENGINE_Risk!CR748</f>
        <v>Risk ontology uses capability=CAP_INCIDENT_RESPONSE; bridge=BRG-057; treatment=TRT-INCIDENT_RESPONSE-INITIAL; wording=IW-ALL-INCIDENT_RESPONSE</v>
      </c>
    </row>
    <row r="251" spans="1:16" ht="99" customHeight="1">
      <c r="A251" s="177" t="str">
        <f>_ENGINE_Risk!CM749</f>
        <v>RISK-ONT-0250</v>
      </c>
      <c r="B251" s="177">
        <f>ROW(_ENGINE_Risk!A749)</f>
        <v>749</v>
      </c>
      <c r="C251" s="177" t="str">
        <f>_ENGINE_Risk!E749</f>
        <v>MANU-026</v>
      </c>
      <c r="D251" s="177" t="str">
        <f>_ENGINE_Risk!C749</f>
        <v>Manufacturing MES</v>
      </c>
      <c r="E251" s="177" t="str">
        <f>_ENGINE_Risk!D749</f>
        <v>OT security</v>
      </c>
      <c r="F251" s="177" t="str">
        <f>_ENGINE_Risk!F749</f>
        <v>Manufacturing, MES and production continuity</v>
      </c>
      <c r="G251" s="177" t="str">
        <f>_ENGINE_Risk!G749</f>
        <v>Severe risk: OT network segmentation and secure remote access for vendors and maintenance is not reliably controlled. During Manufacturing disruption; Safety incident; Energy outage; Cyberattack, the organization may face production stoppage, quality defects, low asset visibility and inability to recover shop-floor operations with limited visibility or accountability.</v>
      </c>
      <c r="H251" s="177" t="str">
        <f>_ENGINE_Risk!BT749</f>
        <v>CAP_INCIDENT_RESPONSE</v>
      </c>
      <c r="I251" s="177" t="str">
        <f>_ENGINE_Risk!BV749</f>
        <v>BRG-057</v>
      </c>
      <c r="J251" s="177" t="str">
        <f>_ENGINE_Risk!CE749</f>
        <v>IW-ALL-INCIDENT_RESPONSE</v>
      </c>
      <c r="K251" s="177" t="str">
        <f>_ENGINE_Risk!BY749</f>
        <v>TRT-INCIDENT_RESPONSE-INITIAL</v>
      </c>
      <c r="L251" s="177" t="str">
        <f>_ENGINE_Risk!CP749</f>
        <v>Active</v>
      </c>
      <c r="M251" s="177" t="str">
        <f>_ENGINE_Risk!CQ749</f>
        <v>OK: capability-driven</v>
      </c>
      <c r="N251" s="177" t="str">
        <f>_ENGINE_Risk!CS749</f>
        <v>Yes</v>
      </c>
      <c r="O251" s="177" t="str">
        <f>_ENGINE_Risk!CO749</f>
        <v>Manufacturing MES|OT security|MANU-026|CAP_INCIDENT_RESPONSE</v>
      </c>
      <c r="P251" s="177" t="str">
        <f>_ENGINE_Risk!CR749</f>
        <v>Risk ontology uses capability=CAP_INCIDENT_RESPONSE; bridge=BRG-057; treatment=TRT-INCIDENT_RESPONSE-INITIAL; wording=IW-ALL-INCIDENT_RESPONSE</v>
      </c>
    </row>
    <row r="252" spans="1:16" ht="99" customHeight="1">
      <c r="A252" s="177" t="str">
        <f>_ENGINE_Risk!CM750</f>
        <v>RISK-ONT-0251</v>
      </c>
      <c r="B252" s="177">
        <f>ROW(_ENGINE_Risk!A750)</f>
        <v>750</v>
      </c>
      <c r="C252" s="177" t="str">
        <f>_ENGINE_Risk!E750</f>
        <v>MANU-027</v>
      </c>
      <c r="D252" s="177" t="str">
        <f>_ENGINE_Risk!C750</f>
        <v>Manufacturing MES</v>
      </c>
      <c r="E252" s="177" t="str">
        <f>_ENGINE_Risk!D750</f>
        <v>OT security</v>
      </c>
      <c r="F252" s="177" t="str">
        <f>_ENGINE_Risk!F750</f>
        <v>Manufacturing, MES and production continuity</v>
      </c>
      <c r="G252" s="177" t="str">
        <f>_ENGINE_Risk!G750</f>
        <v>Severe risk: PLC, HMI, SCADA and recipe configuration backup and restore testing is not reliably controlled. During Manufacturing disruption; Safety incident; Energy outage; Cyberattack, the organization may face production stoppage, quality defects, low asset visibility and inability to recover shop-floor operations with limited visibility or accountability.</v>
      </c>
      <c r="H252" s="177" t="str">
        <f>_ENGINE_Risk!BT750</f>
        <v>CAP_INCIDENT_RESPONSE</v>
      </c>
      <c r="I252" s="177" t="str">
        <f>_ENGINE_Risk!BV750</f>
        <v>BRG-057</v>
      </c>
      <c r="J252" s="177" t="str">
        <f>_ENGINE_Risk!CE750</f>
        <v>IW-ALL-INCIDENT_RESPONSE</v>
      </c>
      <c r="K252" s="177" t="str">
        <f>_ENGINE_Risk!BY750</f>
        <v>TRT-INCIDENT_RESPONSE-INITIAL</v>
      </c>
      <c r="L252" s="177" t="str">
        <f>_ENGINE_Risk!CP750</f>
        <v>Active</v>
      </c>
      <c r="M252" s="177" t="str">
        <f>_ENGINE_Risk!CQ750</f>
        <v>OK: capability-driven</v>
      </c>
      <c r="N252" s="177" t="str">
        <f>_ENGINE_Risk!CS750</f>
        <v>Yes</v>
      </c>
      <c r="O252" s="177" t="str">
        <f>_ENGINE_Risk!CO750</f>
        <v>Manufacturing MES|OT security|MANU-027|CAP_INCIDENT_RESPONSE</v>
      </c>
      <c r="P252" s="177" t="str">
        <f>_ENGINE_Risk!CR750</f>
        <v>Risk ontology uses capability=CAP_INCIDENT_RESPONSE; bridge=BRG-057; treatment=TRT-INCIDENT_RESPONSE-INITIAL; wording=IW-ALL-INCIDENT_RESPONSE</v>
      </c>
    </row>
    <row r="253" spans="1:16" ht="99" customHeight="1">
      <c r="A253" s="177" t="str">
        <f>_ENGINE_Risk!CM751</f>
        <v>RISK-ONT-0252</v>
      </c>
      <c r="B253" s="177">
        <f>ROW(_ENGINE_Risk!A751)</f>
        <v>751</v>
      </c>
      <c r="C253" s="177" t="str">
        <f>_ENGINE_Risk!E751</f>
        <v>MANU-028</v>
      </c>
      <c r="D253" s="177" t="str">
        <f>_ENGINE_Risk!C751</f>
        <v>Manufacturing MES</v>
      </c>
      <c r="E253" s="177" t="str">
        <f>_ENGINE_Risk!D751</f>
        <v>OT security</v>
      </c>
      <c r="F253" s="177" t="str">
        <f>_ENGINE_Risk!F751</f>
        <v>Manufacturing, MES and production continuity</v>
      </c>
      <c r="G253" s="177" t="str">
        <f>_ENGINE_Risk!G751</f>
        <v>Severe risk: cyber incident response procedures specific to production and OT is not reliably controlled. During Manufacturing disruption; Safety incident; Energy outage; Cyberattack, the organization may face production stoppage, quality defects, low asset visibility and inability to recover shop-floor operations with limited visibility or accountability.</v>
      </c>
      <c r="H253" s="177" t="str">
        <f>_ENGINE_Risk!BT751</f>
        <v>CAP_INCIDENT_RESPONSE</v>
      </c>
      <c r="I253" s="177" t="str">
        <f>_ENGINE_Risk!BV751</f>
        <v>BRG-057</v>
      </c>
      <c r="J253" s="177" t="str">
        <f>_ENGINE_Risk!CE751</f>
        <v>IW-ALL-INCIDENT_RESPONSE</v>
      </c>
      <c r="K253" s="177" t="str">
        <f>_ENGINE_Risk!BY751</f>
        <v>TRT-INCIDENT_RESPONSE-INITIAL</v>
      </c>
      <c r="L253" s="177" t="str">
        <f>_ENGINE_Risk!CP751</f>
        <v>Active</v>
      </c>
      <c r="M253" s="177" t="str">
        <f>_ENGINE_Risk!CQ751</f>
        <v>OK: capability-driven</v>
      </c>
      <c r="N253" s="177" t="str">
        <f>_ENGINE_Risk!CS751</f>
        <v>Yes</v>
      </c>
      <c r="O253" s="177" t="str">
        <f>_ENGINE_Risk!CO751</f>
        <v>Manufacturing MES|OT security|MANU-028|CAP_INCIDENT_RESPONSE</v>
      </c>
      <c r="P253" s="177" t="str">
        <f>_ENGINE_Risk!CR751</f>
        <v>Risk ontology uses capability=CAP_INCIDENT_RESPONSE; bridge=BRG-057; treatment=TRT-INCIDENT_RESPONSE-INITIAL; wording=IW-ALL-INCIDENT_RESPONSE</v>
      </c>
    </row>
    <row r="254" spans="1:16" ht="99" customHeight="1">
      <c r="A254" s="177" t="str">
        <f>_ENGINE_Risk!CM752</f>
        <v>RISK-ONT-0253</v>
      </c>
      <c r="B254" s="177">
        <f>ROW(_ENGINE_Risk!A752)</f>
        <v>752</v>
      </c>
      <c r="C254" s="177" t="str">
        <f>_ENGINE_Risk!E752</f>
        <v>SALE-001</v>
      </c>
      <c r="D254" s="177" t="str">
        <f>_ENGINE_Risk!C752</f>
        <v>Sales CRM</v>
      </c>
      <c r="E254" s="177" t="str">
        <f>_ENGINE_Risk!D752</f>
        <v>CRM foundation</v>
      </c>
      <c r="F254" s="177" t="str">
        <f>_ENGINE_Risk!F752</f>
        <v>Revenue, sales pipeline and CRM continuity</v>
      </c>
      <c r="G254" s="177" t="str">
        <f>_ENGINE_Risk!G752</f>
        <v>Severe risk: CRM as single source of truth for accounts, contacts, opportunities, activities and forecasts is not reliably controlled. During Demand shock; Revenue loss; Reputation crisis, the organization may face pipeline loss, poor customer retention, weak forecasting and inability to protect revenue channels with limited visibility or accountability.</v>
      </c>
      <c r="H254" s="177" t="str">
        <f>_ENGINE_Risk!BT752</f>
        <v>CAP_SRE_OBSERVABILITY</v>
      </c>
      <c r="I254" s="177" t="str">
        <f>_ENGINE_Risk!BV752</f>
        <v>BRG-077</v>
      </c>
      <c r="J254" s="177" t="str">
        <f>_ENGINE_Risk!CE752</f>
        <v>IW-ALL-SRE_OBSERVABILITY</v>
      </c>
      <c r="K254" s="177" t="str">
        <f>_ENGINE_Risk!BY752</f>
        <v>TRT-SRE_OBSERVABILITY-INITIAL</v>
      </c>
      <c r="L254" s="177" t="str">
        <f>_ENGINE_Risk!CP752</f>
        <v>Active</v>
      </c>
      <c r="M254" s="177" t="str">
        <f>_ENGINE_Risk!CQ752</f>
        <v>OK: capability-driven</v>
      </c>
      <c r="N254" s="177" t="str">
        <f>_ENGINE_Risk!CS752</f>
        <v>Yes</v>
      </c>
      <c r="O254" s="177" t="str">
        <f>_ENGINE_Risk!CO752</f>
        <v>Sales CRM|CRM foundation|SALE-001|CAP_SRE_OBSERVABILITY</v>
      </c>
      <c r="P254" s="177" t="str">
        <f>_ENGINE_Risk!CR752</f>
        <v>Risk ontology uses capability=CAP_SRE_OBSERVABILITY; bridge=BRG-077; treatment=TRT-SRE_OBSERVABILITY-INITIAL; wording=IW-ALL-SRE_OBSERVABILITY</v>
      </c>
    </row>
    <row r="255" spans="1:16" ht="99" customHeight="1">
      <c r="A255" s="177" t="str">
        <f>_ENGINE_Risk!CM753</f>
        <v>RISK-ONT-0254</v>
      </c>
      <c r="B255" s="177">
        <f>ROW(_ENGINE_Risk!A753)</f>
        <v>753</v>
      </c>
      <c r="C255" s="177" t="str">
        <f>_ENGINE_Risk!E753</f>
        <v>SALE-002</v>
      </c>
      <c r="D255" s="177" t="str">
        <f>_ENGINE_Risk!C753</f>
        <v>Sales CRM</v>
      </c>
      <c r="E255" s="177" t="str">
        <f>_ENGINE_Risk!D753</f>
        <v>CRM foundation</v>
      </c>
      <c r="F255" s="177" t="str">
        <f>_ENGINE_Risk!F753</f>
        <v>Revenue, sales pipeline and CRM continuity</v>
      </c>
      <c r="G255" s="177" t="str">
        <f>_ENGINE_Risk!G753</f>
        <v>Severe risk: CRM data quality for segmentation, pipeline, ICP, offerings, win/loss reasons and customer health is not reliably controlled. During Demand shock; Revenue loss; Reputation crisis, the organization may face pipeline loss, poor customer retention, weak forecasting and inability to protect revenue channels with limited visibility or accountability.</v>
      </c>
      <c r="H255" s="177" t="str">
        <f>_ENGINE_Risk!BT753</f>
        <v>CAP_SRE_OBSERVABILITY</v>
      </c>
      <c r="I255" s="177" t="str">
        <f>_ENGINE_Risk!BV753</f>
        <v>BRG-077</v>
      </c>
      <c r="J255" s="177" t="str">
        <f>_ENGINE_Risk!CE753</f>
        <v>IW-ALL-SRE_OBSERVABILITY</v>
      </c>
      <c r="K255" s="177" t="str">
        <f>_ENGINE_Risk!BY753</f>
        <v>TRT-SRE_OBSERVABILITY-INITIAL</v>
      </c>
      <c r="L255" s="177" t="str">
        <f>_ENGINE_Risk!CP753</f>
        <v>Active</v>
      </c>
      <c r="M255" s="177" t="str">
        <f>_ENGINE_Risk!CQ753</f>
        <v>OK: capability-driven</v>
      </c>
      <c r="N255" s="177" t="str">
        <f>_ENGINE_Risk!CS753</f>
        <v>Yes</v>
      </c>
      <c r="O255" s="177" t="str">
        <f>_ENGINE_Risk!CO753</f>
        <v>Sales CRM|CRM foundation|SALE-002|CAP_SRE_OBSERVABILITY</v>
      </c>
      <c r="P255" s="177" t="str">
        <f>_ENGINE_Risk!CR753</f>
        <v>Risk ontology uses capability=CAP_SRE_OBSERVABILITY; bridge=BRG-077; treatment=TRT-SRE_OBSERVABILITY-INITIAL; wording=IW-ALL-SRE_OBSERVABILITY</v>
      </c>
    </row>
    <row r="256" spans="1:16" ht="99" customHeight="1">
      <c r="A256" s="177" t="str">
        <f>_ENGINE_Risk!CM754</f>
        <v>RISK-ONT-0255</v>
      </c>
      <c r="B256" s="177">
        <f>ROW(_ENGINE_Risk!A754)</f>
        <v>754</v>
      </c>
      <c r="C256" s="177" t="str">
        <f>_ENGINE_Risk!E754</f>
        <v>SALE-004</v>
      </c>
      <c r="D256" s="177" t="str">
        <f>_ENGINE_Risk!C754</f>
        <v>Sales CRM</v>
      </c>
      <c r="E256" s="177" t="str">
        <f>_ENGINE_Risk!D754</f>
        <v>CRM foundation</v>
      </c>
      <c r="F256" s="177" t="str">
        <f>_ENGINE_Risk!F754</f>
        <v>Revenue, sales pipeline and CRM continuity</v>
      </c>
      <c r="G256" s="177" t="str">
        <f>_ENGINE_Risk!G754</f>
        <v>Severe risk: sales process governance from lead to opportunity to contract to handover is not reliably controlled. During Demand shock; Revenue loss; Reputation crisis, the organization may face pipeline loss, poor customer retention, weak forecasting and inability to protect revenue channels with limited visibility or accountability.</v>
      </c>
      <c r="H256" s="177" t="str">
        <f>_ENGINE_Risk!BT754</f>
        <v>CAP_SRE_OBSERVABILITY</v>
      </c>
      <c r="I256" s="177" t="str">
        <f>_ENGINE_Risk!BV754</f>
        <v>BRG-077</v>
      </c>
      <c r="J256" s="177" t="str">
        <f>_ENGINE_Risk!CE754</f>
        <v>IW-ALL-SRE_OBSERVABILITY</v>
      </c>
      <c r="K256" s="177" t="str">
        <f>_ENGINE_Risk!BY754</f>
        <v>TRT-SRE_OBSERVABILITY-INITIAL</v>
      </c>
      <c r="L256" s="177" t="str">
        <f>_ENGINE_Risk!CP754</f>
        <v>Active</v>
      </c>
      <c r="M256" s="177" t="str">
        <f>_ENGINE_Risk!CQ754</f>
        <v>OK: capability-driven</v>
      </c>
      <c r="N256" s="177" t="str">
        <f>_ENGINE_Risk!CS754</f>
        <v>Yes</v>
      </c>
      <c r="O256" s="177" t="str">
        <f>_ENGINE_Risk!CO754</f>
        <v>Sales CRM|CRM foundation|SALE-004|CAP_SRE_OBSERVABILITY</v>
      </c>
      <c r="P256" s="177" t="str">
        <f>_ENGINE_Risk!CR754</f>
        <v>Risk ontology uses capability=CAP_SRE_OBSERVABILITY; bridge=BRG-077; treatment=TRT-SRE_OBSERVABILITY-INITIAL; wording=IW-ALL-SRE_OBSERVABILITY</v>
      </c>
    </row>
    <row r="257" spans="1:16" ht="84.9" customHeight="1">
      <c r="A257" s="177" t="str">
        <f>_ENGINE_Risk!CM755</f>
        <v>RISK-ONT-0256</v>
      </c>
      <c r="B257" s="177">
        <f>ROW(_ENGINE_Risk!A755)</f>
        <v>755</v>
      </c>
      <c r="C257" s="177" t="str">
        <f>_ENGINE_Risk!E755</f>
        <v>SALE-005</v>
      </c>
      <c r="D257" s="177" t="str">
        <f>_ENGINE_Risk!C755</f>
        <v>Sales CRM</v>
      </c>
      <c r="E257" s="177" t="str">
        <f>_ENGINE_Risk!D755</f>
        <v>CRM foundation</v>
      </c>
      <c r="F257" s="177" t="str">
        <f>_ENGINE_Risk!F755</f>
        <v>Revenue, sales pipeline and CRM continuity</v>
      </c>
      <c r="G257" s="177" t="str">
        <f>_ENGINE_Risk!G755</f>
        <v>Severe risk: customer and contract data linked to renewal, SLA and revenue risk is not reliably controlled. During Demand shock; Revenue loss; Reputation crisis, the organization may face pipeline loss, poor customer retention, weak forecasting and inability to protect revenue channels with limited visibility or accountability.</v>
      </c>
      <c r="H257" s="177" t="str">
        <f>_ENGINE_Risk!BT755</f>
        <v>CAP_SRE_OBSERVABILITY</v>
      </c>
      <c r="I257" s="177" t="str">
        <f>_ENGINE_Risk!BV755</f>
        <v>BRG-077</v>
      </c>
      <c r="J257" s="177" t="str">
        <f>_ENGINE_Risk!CE755</f>
        <v>IW-ALL-SRE_OBSERVABILITY</v>
      </c>
      <c r="K257" s="177" t="str">
        <f>_ENGINE_Risk!BY755</f>
        <v>TRT-SRE_OBSERVABILITY-INITIAL</v>
      </c>
      <c r="L257" s="177" t="str">
        <f>_ENGINE_Risk!CP755</f>
        <v>Active</v>
      </c>
      <c r="M257" s="177" t="str">
        <f>_ENGINE_Risk!CQ755</f>
        <v>OK: capability-driven</v>
      </c>
      <c r="N257" s="177" t="str">
        <f>_ENGINE_Risk!CS755</f>
        <v>Yes</v>
      </c>
      <c r="O257" s="177" t="str">
        <f>_ENGINE_Risk!CO755</f>
        <v>Sales CRM|CRM foundation|SALE-005|CAP_SRE_OBSERVABILITY</v>
      </c>
      <c r="P257" s="177" t="str">
        <f>_ENGINE_Risk!CR755</f>
        <v>Risk ontology uses capability=CAP_SRE_OBSERVABILITY; bridge=BRG-077; treatment=TRT-SRE_OBSERVABILITY-INITIAL; wording=IW-ALL-SRE_OBSERVABILITY</v>
      </c>
    </row>
    <row r="258" spans="1:16" ht="84.9" customHeight="1">
      <c r="A258" s="177" t="str">
        <f>_ENGINE_Risk!CM756</f>
        <v>RISK-ONT-0257</v>
      </c>
      <c r="B258" s="177">
        <f>ROW(_ENGINE_Risk!A756)</f>
        <v>756</v>
      </c>
      <c r="C258" s="177" t="str">
        <f>_ENGINE_Risk!E756</f>
        <v>SALE-006</v>
      </c>
      <c r="D258" s="177" t="str">
        <f>_ENGINE_Risk!C756</f>
        <v>Sales CRM</v>
      </c>
      <c r="E258" s="177" t="str">
        <f>_ENGINE_Risk!D756</f>
        <v>Pipeline and forecast</v>
      </c>
      <c r="F258" s="177" t="str">
        <f>_ENGINE_Risk!F756</f>
        <v>Revenue, sales pipeline and CRM continuity</v>
      </c>
      <c r="G258" s="177" t="str">
        <f>_ENGINE_Risk!G756</f>
        <v>Severe risk: pipeline qualification criteria and stage exit rules is not reliably controlled. During Demand shock; Revenue loss; Reputation crisis, the organization may face pipeline loss, poor customer retention, weak forecasting and inability to protect revenue channels with limited visibility or accountability.</v>
      </c>
      <c r="H258" s="177" t="str">
        <f>_ENGINE_Risk!BT756</f>
        <v>CAP_PLATFORM_CONTINUITY</v>
      </c>
      <c r="I258" s="177" t="str">
        <f>_ENGINE_Risk!BV756</f>
        <v>BRG-080</v>
      </c>
      <c r="J258" s="177" t="str">
        <f>_ENGINE_Risk!CE756</f>
        <v>IW-ALL-PLATFORM_CONTINUITY</v>
      </c>
      <c r="K258" s="177" t="str">
        <f>_ENGINE_Risk!BY756</f>
        <v>TRT-PLATFORM_CONTINUITY-INITIAL</v>
      </c>
      <c r="L258" s="177" t="str">
        <f>_ENGINE_Risk!CP756</f>
        <v>Active</v>
      </c>
      <c r="M258" s="177" t="str">
        <f>_ENGINE_Risk!CQ756</f>
        <v>OK: capability-driven</v>
      </c>
      <c r="N258" s="177" t="str">
        <f>_ENGINE_Risk!CS756</f>
        <v>Yes</v>
      </c>
      <c r="O258" s="177" t="str">
        <f>_ENGINE_Risk!CO756</f>
        <v>Sales CRM|Pipeline and forecast|SALE-006|CAP_PLATFORM_CONTINUITY</v>
      </c>
      <c r="P258" s="177" t="str">
        <f>_ENGINE_Risk!CR756</f>
        <v>Risk ontology uses capability=CAP_PLATFORM_CONTINUITY; bridge=BRG-080; treatment=TRT-PLATFORM_CONTINUITY-INITIAL; wording=IW-ALL-PLATFORM_CONTINUITY</v>
      </c>
    </row>
    <row r="259" spans="1:16" ht="99" customHeight="1">
      <c r="A259" s="177" t="str">
        <f>_ENGINE_Risk!CM757</f>
        <v>RISK-ONT-0258</v>
      </c>
      <c r="B259" s="177">
        <f>ROW(_ENGINE_Risk!A757)</f>
        <v>757</v>
      </c>
      <c r="C259" s="177" t="str">
        <f>_ENGINE_Risk!E757</f>
        <v>SALE-007</v>
      </c>
      <c r="D259" s="177" t="str">
        <f>_ENGINE_Risk!C757</f>
        <v>Sales CRM</v>
      </c>
      <c r="E259" s="177" t="str">
        <f>_ENGINE_Risk!D757</f>
        <v>Pipeline and forecast</v>
      </c>
      <c r="F259" s="177" t="str">
        <f>_ENGINE_Risk!F757</f>
        <v>Revenue, sales pipeline and CRM continuity</v>
      </c>
      <c r="G259" s="177" t="str">
        <f>_ENGINE_Risk!G757</f>
        <v>Severe risk: pipeline coverage relative to targets, sales cycle, win rate and crisis scenarios is not reliably controlled. During Demand shock; Revenue loss; Reputation crisis, the organization may face pipeline loss, poor customer retention, weak forecasting and inability to protect revenue channels with limited visibility or accountability.</v>
      </c>
      <c r="H259" s="177" t="str">
        <f>_ENGINE_Risk!BT757</f>
        <v>CAP_PLATFORM_CONTINUITY</v>
      </c>
      <c r="I259" s="177" t="str">
        <f>_ENGINE_Risk!BV757</f>
        <v>BRG-080</v>
      </c>
      <c r="J259" s="177" t="str">
        <f>_ENGINE_Risk!CE757</f>
        <v>IW-ALL-PLATFORM_CONTINUITY</v>
      </c>
      <c r="K259" s="177" t="str">
        <f>_ENGINE_Risk!BY757</f>
        <v>TRT-PLATFORM_CONTINUITY-INITIAL</v>
      </c>
      <c r="L259" s="177" t="str">
        <f>_ENGINE_Risk!CP757</f>
        <v>Active</v>
      </c>
      <c r="M259" s="177" t="str">
        <f>_ENGINE_Risk!CQ757</f>
        <v>OK: capability-driven</v>
      </c>
      <c r="N259" s="177" t="str">
        <f>_ENGINE_Risk!CS757</f>
        <v>Yes</v>
      </c>
      <c r="O259" s="177" t="str">
        <f>_ENGINE_Risk!CO757</f>
        <v>Sales CRM|Pipeline and forecast|SALE-007|CAP_PLATFORM_CONTINUITY</v>
      </c>
      <c r="P259" s="177" t="str">
        <f>_ENGINE_Risk!CR757</f>
        <v>Risk ontology uses capability=CAP_PLATFORM_CONTINUITY; bridge=BRG-080; treatment=TRT-PLATFORM_CONTINUITY-INITIAL; wording=IW-ALL-PLATFORM_CONTINUITY</v>
      </c>
    </row>
    <row r="260" spans="1:16" ht="99" customHeight="1">
      <c r="A260" s="177" t="str">
        <f>_ENGINE_Risk!CM758</f>
        <v>RISK-ONT-0259</v>
      </c>
      <c r="B260" s="177">
        <f>ROW(_ENGINE_Risk!A758)</f>
        <v>758</v>
      </c>
      <c r="C260" s="177" t="str">
        <f>_ENGINE_Risk!E758</f>
        <v>SALE-008</v>
      </c>
      <c r="D260" s="177" t="str">
        <f>_ENGINE_Risk!C758</f>
        <v>Sales CRM</v>
      </c>
      <c r="E260" s="177" t="str">
        <f>_ENGINE_Risk!D758</f>
        <v>Pipeline and forecast</v>
      </c>
      <c r="F260" s="177" t="str">
        <f>_ENGINE_Risk!F758</f>
        <v>Revenue, sales pipeline and CRM continuity</v>
      </c>
      <c r="G260" s="177" t="str">
        <f>_ENGINE_Risk!G758</f>
        <v>Severe risk: sales forecast cadence connected to finance, delivery and supply planning is not reliably controlled. During Demand shock; Revenue loss; Reputation crisis, the organization may face pipeline loss, poor customer retention, weak forecasting and inability to protect revenue channels with limited visibility or accountability.</v>
      </c>
      <c r="H260" s="177" t="str">
        <f>_ENGINE_Risk!BT758</f>
        <v>CAP_PLATFORM_CONTINUITY</v>
      </c>
      <c r="I260" s="177" t="str">
        <f>_ENGINE_Risk!BV758</f>
        <v>BRG-080</v>
      </c>
      <c r="J260" s="177" t="str">
        <f>_ENGINE_Risk!CE758</f>
        <v>IW-ALL-PLATFORM_CONTINUITY</v>
      </c>
      <c r="K260" s="177" t="str">
        <f>_ENGINE_Risk!BY758</f>
        <v>TRT-PLATFORM_CONTINUITY-INITIAL</v>
      </c>
      <c r="L260" s="177" t="str">
        <f>_ENGINE_Risk!CP758</f>
        <v>Active</v>
      </c>
      <c r="M260" s="177" t="str">
        <f>_ENGINE_Risk!CQ758</f>
        <v>OK: capability-driven</v>
      </c>
      <c r="N260" s="177" t="str">
        <f>_ENGINE_Risk!CS758</f>
        <v>Yes</v>
      </c>
      <c r="O260" s="177" t="str">
        <f>_ENGINE_Risk!CO758</f>
        <v>Sales CRM|Pipeline and forecast|SALE-008|CAP_PLATFORM_CONTINUITY</v>
      </c>
      <c r="P260" s="177" t="str">
        <f>_ENGINE_Risk!CR758</f>
        <v>Risk ontology uses capability=CAP_PLATFORM_CONTINUITY; bridge=BRG-080; treatment=TRT-PLATFORM_CONTINUITY-INITIAL; wording=IW-ALL-PLATFORM_CONTINUITY</v>
      </c>
    </row>
    <row r="261" spans="1:16" ht="99" customHeight="1">
      <c r="A261" s="177" t="str">
        <f>_ENGINE_Risk!CM759</f>
        <v>RISK-ONT-0260</v>
      </c>
      <c r="B261" s="177">
        <f>ROW(_ENGINE_Risk!A759)</f>
        <v>759</v>
      </c>
      <c r="C261" s="177" t="str">
        <f>_ENGINE_Risk!E759</f>
        <v>SALE-009</v>
      </c>
      <c r="D261" s="177" t="str">
        <f>_ENGINE_Risk!C759</f>
        <v>Sales CRM</v>
      </c>
      <c r="E261" s="177" t="str">
        <f>_ENGINE_Risk!D759</f>
        <v>Pipeline and forecast</v>
      </c>
      <c r="F261" s="177" t="str">
        <f>_ENGINE_Risk!F759</f>
        <v>Revenue, sales pipeline and CRM continuity</v>
      </c>
      <c r="G261" s="177" t="str">
        <f>_ENGINE_Risk!G759</f>
        <v>Severe risk: sales forecast stress tests for delayed decisions, budget cuts and customer churn is not reliably controlled. During Demand shock; Revenue loss; Reputation crisis, the organization may face pipeline loss, poor customer retention, weak forecasting and inability to protect revenue channels with limited visibility or accountability.</v>
      </c>
      <c r="H261" s="177" t="str">
        <f>_ENGINE_Risk!BT759</f>
        <v>CAP_PLATFORM_CONTINUITY</v>
      </c>
      <c r="I261" s="177" t="str">
        <f>_ENGINE_Risk!BV759</f>
        <v>BRG-080</v>
      </c>
      <c r="J261" s="177" t="str">
        <f>_ENGINE_Risk!CE759</f>
        <v>IW-ALL-PLATFORM_CONTINUITY</v>
      </c>
      <c r="K261" s="177" t="str">
        <f>_ENGINE_Risk!BY759</f>
        <v>TRT-PLATFORM_CONTINUITY-INITIAL</v>
      </c>
      <c r="L261" s="177" t="str">
        <f>_ENGINE_Risk!CP759</f>
        <v>Active</v>
      </c>
      <c r="M261" s="177" t="str">
        <f>_ENGINE_Risk!CQ759</f>
        <v>OK: capability-driven</v>
      </c>
      <c r="N261" s="177" t="str">
        <f>_ENGINE_Risk!CS759</f>
        <v>Yes</v>
      </c>
      <c r="O261" s="177" t="str">
        <f>_ENGINE_Risk!CO759</f>
        <v>Sales CRM|Pipeline and forecast|SALE-009|CAP_PLATFORM_CONTINUITY</v>
      </c>
      <c r="P261" s="177" t="str">
        <f>_ENGINE_Risk!CR759</f>
        <v>Risk ontology uses capability=CAP_PLATFORM_CONTINUITY; bridge=BRG-080; treatment=TRT-PLATFORM_CONTINUITY-INITIAL; wording=IW-ALL-PLATFORM_CONTINUITY</v>
      </c>
    </row>
    <row r="262" spans="1:16" ht="99" customHeight="1">
      <c r="A262" s="177" t="str">
        <f>_ENGINE_Risk!CM760</f>
        <v>RISK-ONT-0261</v>
      </c>
      <c r="B262" s="177">
        <f>ROW(_ENGINE_Risk!A760)</f>
        <v>760</v>
      </c>
      <c r="C262" s="177" t="str">
        <f>_ENGINE_Risk!E760</f>
        <v>SALE-010</v>
      </c>
      <c r="D262" s="177" t="str">
        <f>_ENGINE_Risk!C760</f>
        <v>Sales CRM</v>
      </c>
      <c r="E262" s="177" t="str">
        <f>_ENGINE_Risk!D760</f>
        <v>Pipeline and forecast</v>
      </c>
      <c r="F262" s="177" t="str">
        <f>_ENGINE_Risk!F760</f>
        <v>Revenue, sales pipeline and CRM continuity</v>
      </c>
      <c r="G262" s="177" t="str">
        <f>_ENGINE_Risk!G760</f>
        <v>Severe risk: sales analytics by conversion, cycle time, win rate, deal size, margin and loss reason is not reliably controlled. During Demand shock; Revenue loss; Reputation crisis, the organization may face pipeline loss, poor customer retention, weak forecasting and inability to protect revenue channels with limited visibility or accountability.</v>
      </c>
      <c r="H262" s="177" t="str">
        <f>_ENGINE_Risk!BT760</f>
        <v>CAP_PLATFORM_CONTINUITY</v>
      </c>
      <c r="I262" s="177" t="str">
        <f>_ENGINE_Risk!BV760</f>
        <v>BRG-080</v>
      </c>
      <c r="J262" s="177" t="str">
        <f>_ENGINE_Risk!CE760</f>
        <v>IW-ALL-PLATFORM_CONTINUITY</v>
      </c>
      <c r="K262" s="177" t="str">
        <f>_ENGINE_Risk!BY760</f>
        <v>TRT-PLATFORM_CONTINUITY-INITIAL</v>
      </c>
      <c r="L262" s="177" t="str">
        <f>_ENGINE_Risk!CP760</f>
        <v>Active</v>
      </c>
      <c r="M262" s="177" t="str">
        <f>_ENGINE_Risk!CQ760</f>
        <v>OK: capability-driven</v>
      </c>
      <c r="N262" s="177" t="str">
        <f>_ENGINE_Risk!CS760</f>
        <v>Yes</v>
      </c>
      <c r="O262" s="177" t="str">
        <f>_ENGINE_Risk!CO760</f>
        <v>Sales CRM|Pipeline and forecast|SALE-010|CAP_PLATFORM_CONTINUITY</v>
      </c>
      <c r="P262" s="177" t="str">
        <f>_ENGINE_Risk!CR760</f>
        <v>Risk ontology uses capability=CAP_PLATFORM_CONTINUITY; bridge=BRG-080; treatment=TRT-PLATFORM_CONTINUITY-INITIAL; wording=IW-ALL-PLATFORM_CONTINUITY</v>
      </c>
    </row>
    <row r="263" spans="1:16" ht="99" customHeight="1">
      <c r="A263" s="177" t="str">
        <f>_ENGINE_Risk!CM761</f>
        <v>RISK-ONT-0262</v>
      </c>
      <c r="B263" s="177">
        <f>ROW(_ENGINE_Risk!A761)</f>
        <v>761</v>
      </c>
      <c r="C263" s="177" t="str">
        <f>_ENGINE_Risk!E761</f>
        <v>SALE-011</v>
      </c>
      <c r="D263" s="177" t="str">
        <f>_ENGINE_Risk!C761</f>
        <v>Sales CRM</v>
      </c>
      <c r="E263" s="177" t="str">
        <f>_ENGINE_Risk!D761</f>
        <v>Customer continuity</v>
      </c>
      <c r="F263" s="177" t="str">
        <f>_ENGINE_Risk!F761</f>
        <v>Revenue, sales pipeline and CRM continuity</v>
      </c>
      <c r="G263" s="177" t="str">
        <f>_ENGINE_Risk!G761</f>
        <v>Severe risk: customer health scoring using usage, satisfaction, payment behavior, delivery issues and engagement is not reliably controlled. During Demand shock; Revenue loss; Reputation crisis, the organization may face pipeline loss, poor customer retention, weak forecasting and inability to protect revenue channels with limited visibility or accountability.</v>
      </c>
      <c r="H263" s="177" t="str">
        <f>_ENGINE_Risk!BT761</f>
        <v>CAP_PAYMENT_CONTINUITY</v>
      </c>
      <c r="I263" s="177" t="str">
        <f>_ENGINE_Risk!BV761</f>
        <v>BRG-078</v>
      </c>
      <c r="J263" s="177" t="str">
        <f>_ENGINE_Risk!CE761</f>
        <v>IW-ALL-PAYMENT_CONTINUITY</v>
      </c>
      <c r="K263" s="177" t="str">
        <f>_ENGINE_Risk!BY761</f>
        <v>TRT-PAYMENT_CONTINUITY-INITIAL</v>
      </c>
      <c r="L263" s="177" t="str">
        <f>_ENGINE_Risk!CP761</f>
        <v>Active</v>
      </c>
      <c r="M263" s="177" t="str">
        <f>_ENGINE_Risk!CQ761</f>
        <v>OK: capability-driven</v>
      </c>
      <c r="N263" s="177" t="str">
        <f>_ENGINE_Risk!CS761</f>
        <v>Yes</v>
      </c>
      <c r="O263" s="177" t="str">
        <f>_ENGINE_Risk!CO761</f>
        <v>Sales CRM|Customer continuity|SALE-011|CAP_PAYMENT_CONTINUITY</v>
      </c>
      <c r="P263" s="177" t="str">
        <f>_ENGINE_Risk!CR761</f>
        <v>Risk ontology uses capability=CAP_PAYMENT_CONTINUITY; bridge=BRG-078; treatment=TRT-PAYMENT_CONTINUITY-INITIAL; wording=IW-ALL-PAYMENT_CONTINUITY</v>
      </c>
    </row>
    <row r="264" spans="1:16" ht="84.9" customHeight="1">
      <c r="A264" s="177" t="str">
        <f>_ENGINE_Risk!CM762</f>
        <v>RISK-ONT-0263</v>
      </c>
      <c r="B264" s="177">
        <f>ROW(_ENGINE_Risk!A762)</f>
        <v>762</v>
      </c>
      <c r="C264" s="177" t="str">
        <f>_ENGINE_Risk!E762</f>
        <v>SALE-012</v>
      </c>
      <c r="D264" s="177" t="str">
        <f>_ENGINE_Risk!C762</f>
        <v>Sales CRM</v>
      </c>
      <c r="E264" s="177" t="str">
        <f>_ENGINE_Risk!D762</f>
        <v>Customer continuity</v>
      </c>
      <c r="F264" s="177" t="str">
        <f>_ENGINE_Risk!F762</f>
        <v>Revenue, sales pipeline and CRM continuity</v>
      </c>
      <c r="G264" s="177" t="str">
        <f>_ENGINE_Risk!G762</f>
        <v>Severe risk: churn risk identification, prioritization and mitigation actions is not reliably controlled. During Demand shock; Revenue loss; Reputation crisis, the organization may face pipeline loss, poor customer retention, weak forecasting and inability to protect revenue channels with limited visibility or accountability.</v>
      </c>
      <c r="H264" s="177" t="str">
        <f>_ENGINE_Risk!BT762</f>
        <v>CAP_PAYMENT_CONTINUITY</v>
      </c>
      <c r="I264" s="177" t="str">
        <f>_ENGINE_Risk!BV762</f>
        <v>BRG-078</v>
      </c>
      <c r="J264" s="177" t="str">
        <f>_ENGINE_Risk!CE762</f>
        <v>IW-ALL-PAYMENT_CONTINUITY</v>
      </c>
      <c r="K264" s="177" t="str">
        <f>_ENGINE_Risk!BY762</f>
        <v>TRT-PAYMENT_CONTINUITY-INITIAL</v>
      </c>
      <c r="L264" s="177" t="str">
        <f>_ENGINE_Risk!CP762</f>
        <v>Active</v>
      </c>
      <c r="M264" s="177" t="str">
        <f>_ENGINE_Risk!CQ762</f>
        <v>OK: capability-driven</v>
      </c>
      <c r="N264" s="177" t="str">
        <f>_ENGINE_Risk!CS762</f>
        <v>Yes</v>
      </c>
      <c r="O264" s="177" t="str">
        <f>_ENGINE_Risk!CO762</f>
        <v>Sales CRM|Customer continuity|SALE-012|CAP_PAYMENT_CONTINUITY</v>
      </c>
      <c r="P264" s="177" t="str">
        <f>_ENGINE_Risk!CR762</f>
        <v>Risk ontology uses capability=CAP_PAYMENT_CONTINUITY; bridge=BRG-078; treatment=TRT-PAYMENT_CONTINUITY-INITIAL; wording=IW-ALL-PAYMENT_CONTINUITY</v>
      </c>
    </row>
    <row r="265" spans="1:16" ht="84.9" customHeight="1">
      <c r="A265" s="177" t="str">
        <f>_ENGINE_Risk!CM763</f>
        <v>RISK-ONT-0264</v>
      </c>
      <c r="B265" s="177">
        <f>ROW(_ENGINE_Risk!A763)</f>
        <v>763</v>
      </c>
      <c r="C265" s="177" t="str">
        <f>_ENGINE_Risk!E763</f>
        <v>SALE-013</v>
      </c>
      <c r="D265" s="177" t="str">
        <f>_ENGINE_Risk!C763</f>
        <v>Sales CRM</v>
      </c>
      <c r="E265" s="177" t="str">
        <f>_ENGINE_Risk!D763</f>
        <v>Customer continuity</v>
      </c>
      <c r="F265" s="177" t="str">
        <f>_ENGINE_Risk!F763</f>
        <v>Revenue, sales pipeline and CRM continuity</v>
      </c>
      <c r="G265" s="177" t="str">
        <f>_ENGINE_Risk!G763</f>
        <v>Severe risk: renewal calendar and proactive renewal process is not reliably controlled. During Demand shock; Revenue loss; Reputation crisis, the organization may face pipeline loss, poor customer retention, weak forecasting and inability to protect revenue channels with limited visibility or accountability.</v>
      </c>
      <c r="H265" s="177" t="str">
        <f>_ENGINE_Risk!BT763</f>
        <v>CAP_PAYMENT_CONTINUITY</v>
      </c>
      <c r="I265" s="177" t="str">
        <f>_ENGINE_Risk!BV763</f>
        <v>BRG-078</v>
      </c>
      <c r="J265" s="177" t="str">
        <f>_ENGINE_Risk!CE763</f>
        <v>IW-ALL-PAYMENT_CONTINUITY</v>
      </c>
      <c r="K265" s="177" t="str">
        <f>_ENGINE_Risk!BY763</f>
        <v>TRT-PAYMENT_CONTINUITY-INITIAL</v>
      </c>
      <c r="L265" s="177" t="str">
        <f>_ENGINE_Risk!CP763</f>
        <v>Active</v>
      </c>
      <c r="M265" s="177" t="str">
        <f>_ENGINE_Risk!CQ763</f>
        <v>OK: capability-driven</v>
      </c>
      <c r="N265" s="177" t="str">
        <f>_ENGINE_Risk!CS763</f>
        <v>Yes</v>
      </c>
      <c r="O265" s="177" t="str">
        <f>_ENGINE_Risk!CO763</f>
        <v>Sales CRM|Customer continuity|SALE-013|CAP_PAYMENT_CONTINUITY</v>
      </c>
      <c r="P265" s="177" t="str">
        <f>_ENGINE_Risk!CR763</f>
        <v>Risk ontology uses capability=CAP_PAYMENT_CONTINUITY; bridge=BRG-078; treatment=TRT-PAYMENT_CONTINUITY-INITIAL; wording=IW-ALL-PAYMENT_CONTINUITY</v>
      </c>
    </row>
    <row r="266" spans="1:16" ht="99" customHeight="1">
      <c r="A266" s="177" t="str">
        <f>_ENGINE_Risk!CM764</f>
        <v>RISK-ONT-0265</v>
      </c>
      <c r="B266" s="177">
        <f>ROW(_ENGINE_Risk!A764)</f>
        <v>764</v>
      </c>
      <c r="C266" s="177" t="str">
        <f>_ENGINE_Risk!E764</f>
        <v>SALE-014</v>
      </c>
      <c r="D266" s="177" t="str">
        <f>_ENGINE_Risk!C764</f>
        <v>Sales CRM</v>
      </c>
      <c r="E266" s="177" t="str">
        <f>_ENGINE_Risk!D764</f>
        <v>Customer continuity</v>
      </c>
      <c r="F266" s="177" t="str">
        <f>_ENGINE_Risk!F764</f>
        <v>Revenue, sales pipeline and CRM continuity</v>
      </c>
      <c r="G266" s="177" t="str">
        <f>_ENGINE_Risk!G764</f>
        <v>Severe risk: critical account plans covering stakeholders, risks, contracts, renewals and crisis communication is not reliably controlled. During Demand shock; Revenue loss; Reputation crisis, the organization may face pipeline loss, poor customer retention, weak forecasting and inability to protect revenue channels with limited visibility or accountability.</v>
      </c>
      <c r="H266" s="177" t="str">
        <f>_ENGINE_Risk!BT764</f>
        <v>CAP_PAYMENT_CONTINUITY</v>
      </c>
      <c r="I266" s="177" t="str">
        <f>_ENGINE_Risk!BV764</f>
        <v>BRG-078</v>
      </c>
      <c r="J266" s="177" t="str">
        <f>_ENGINE_Risk!CE764</f>
        <v>IW-ALL-PAYMENT_CONTINUITY</v>
      </c>
      <c r="K266" s="177" t="str">
        <f>_ENGINE_Risk!BY764</f>
        <v>TRT-PAYMENT_CONTINUITY-INITIAL</v>
      </c>
      <c r="L266" s="177" t="str">
        <f>_ENGINE_Risk!CP764</f>
        <v>Active</v>
      </c>
      <c r="M266" s="177" t="str">
        <f>_ENGINE_Risk!CQ764</f>
        <v>OK: capability-driven</v>
      </c>
      <c r="N266" s="177" t="str">
        <f>_ENGINE_Risk!CS764</f>
        <v>Yes</v>
      </c>
      <c r="O266" s="177" t="str">
        <f>_ENGINE_Risk!CO764</f>
        <v>Sales CRM|Customer continuity|SALE-014|CAP_PAYMENT_CONTINUITY</v>
      </c>
      <c r="P266" s="177" t="str">
        <f>_ENGINE_Risk!CR764</f>
        <v>Risk ontology uses capability=CAP_PAYMENT_CONTINUITY; bridge=BRG-078; treatment=TRT-PAYMENT_CONTINUITY-INITIAL; wording=IW-ALL-PAYMENT_CONTINUITY</v>
      </c>
    </row>
    <row r="267" spans="1:16" ht="99" customHeight="1">
      <c r="A267" s="177" t="str">
        <f>_ENGINE_Risk!CM765</f>
        <v>RISK-ONT-0266</v>
      </c>
      <c r="B267" s="177">
        <f>ROW(_ENGINE_Risk!A765)</f>
        <v>765</v>
      </c>
      <c r="C267" s="177" t="str">
        <f>_ENGINE_Risk!E765</f>
        <v>SALE-015</v>
      </c>
      <c r="D267" s="177" t="str">
        <f>_ENGINE_Risk!C765</f>
        <v>Sales CRM</v>
      </c>
      <c r="E267" s="177" t="str">
        <f>_ENGINE_Risk!D765</f>
        <v>Customer continuity</v>
      </c>
      <c r="F267" s="177" t="str">
        <f>_ENGINE_Risk!F765</f>
        <v>Revenue, sales pipeline and CRM continuity</v>
      </c>
      <c r="G267" s="177" t="str">
        <f>_ENGINE_Risk!G765</f>
        <v>Severe risk: customer notification rules for incidents, delays, cyber events and service disruption is not reliably controlled. During Demand shock; Revenue loss; Reputation crisis, the organization may face pipeline loss, poor customer retention, weak forecasting and inability to protect revenue channels with limited visibility or accountability.</v>
      </c>
      <c r="H267" s="177" t="str">
        <f>_ENGINE_Risk!BT765</f>
        <v>CAP_PAYMENT_CONTINUITY</v>
      </c>
      <c r="I267" s="177" t="str">
        <f>_ENGINE_Risk!BV765</f>
        <v>BRG-078</v>
      </c>
      <c r="J267" s="177" t="str">
        <f>_ENGINE_Risk!CE765</f>
        <v>IW-ALL-PAYMENT_CONTINUITY</v>
      </c>
      <c r="K267" s="177" t="str">
        <f>_ENGINE_Risk!BY765</f>
        <v>TRT-PAYMENT_CONTINUITY-INITIAL</v>
      </c>
      <c r="L267" s="177" t="str">
        <f>_ENGINE_Risk!CP765</f>
        <v>Active</v>
      </c>
      <c r="M267" s="177" t="str">
        <f>_ENGINE_Risk!CQ765</f>
        <v>OK: capability-driven</v>
      </c>
      <c r="N267" s="177" t="str">
        <f>_ENGINE_Risk!CS765</f>
        <v>Yes</v>
      </c>
      <c r="O267" s="177" t="str">
        <f>_ENGINE_Risk!CO765</f>
        <v>Sales CRM|Customer continuity|SALE-015|CAP_PAYMENT_CONTINUITY</v>
      </c>
      <c r="P267" s="177" t="str">
        <f>_ENGINE_Risk!CR765</f>
        <v>Risk ontology uses capability=CAP_PAYMENT_CONTINUITY; bridge=BRG-078; treatment=TRT-PAYMENT_CONTINUITY-INITIAL; wording=IW-ALL-PAYMENT_CONTINUITY</v>
      </c>
    </row>
    <row r="268" spans="1:16" ht="99" customHeight="1">
      <c r="A268" s="177" t="str">
        <f>_ENGINE_Risk!CM766</f>
        <v>RISK-ONT-0267</v>
      </c>
      <c r="B268" s="177">
        <f>ROW(_ENGINE_Risk!A766)</f>
        <v>766</v>
      </c>
      <c r="C268" s="177" t="str">
        <f>_ENGINE_Risk!E766</f>
        <v>SALE-016</v>
      </c>
      <c r="D268" s="177" t="str">
        <f>_ENGINE_Risk!C766</f>
        <v>Sales CRM</v>
      </c>
      <c r="E268" s="177" t="str">
        <f>_ENGINE_Risk!D766</f>
        <v>Customer continuity</v>
      </c>
      <c r="F268" s="177" t="str">
        <f>_ENGINE_Risk!F766</f>
        <v>Revenue, sales pipeline and CRM continuity</v>
      </c>
      <c r="G268" s="177" t="str">
        <f>_ENGINE_Risk!G766</f>
        <v>Severe risk: support knowledge base and agent fallback if experienced people are unavailable is not reliably controlled. During Demand shock; Revenue loss; Reputation crisis, the organization may face pipeline loss, poor customer retention, weak forecasting and inability to protect revenue channels with limited visibility or accountability.</v>
      </c>
      <c r="H268" s="177" t="str">
        <f>_ENGINE_Risk!BT766</f>
        <v>CAP_PAYMENT_CONTINUITY</v>
      </c>
      <c r="I268" s="177" t="str">
        <f>_ENGINE_Risk!BV766</f>
        <v>BRG-078</v>
      </c>
      <c r="J268" s="177" t="str">
        <f>_ENGINE_Risk!CE766</f>
        <v>IW-ALL-PAYMENT_CONTINUITY</v>
      </c>
      <c r="K268" s="177" t="str">
        <f>_ENGINE_Risk!BY766</f>
        <v>TRT-PAYMENT_CONTINUITY-INITIAL</v>
      </c>
      <c r="L268" s="177" t="str">
        <f>_ENGINE_Risk!CP766</f>
        <v>Active</v>
      </c>
      <c r="M268" s="177" t="str">
        <f>_ENGINE_Risk!CQ766</f>
        <v>OK: capability-driven</v>
      </c>
      <c r="N268" s="177" t="str">
        <f>_ENGINE_Risk!CS766</f>
        <v>Yes</v>
      </c>
      <c r="O268" s="177" t="str">
        <f>_ENGINE_Risk!CO766</f>
        <v>Sales CRM|Customer continuity|SALE-016|CAP_PAYMENT_CONTINUITY</v>
      </c>
      <c r="P268" s="177" t="str">
        <f>_ENGINE_Risk!CR766</f>
        <v>Risk ontology uses capability=CAP_PAYMENT_CONTINUITY; bridge=BRG-078; treatment=TRT-PAYMENT_CONTINUITY-INITIAL; wording=IW-ALL-PAYMENT_CONTINUITY</v>
      </c>
    </row>
    <row r="269" spans="1:16" ht="99" customHeight="1">
      <c r="A269" s="177" t="str">
        <f>_ENGINE_Risk!CM767</f>
        <v>RISK-ONT-0268</v>
      </c>
      <c r="B269" s="177">
        <f>ROW(_ENGINE_Risk!A767)</f>
        <v>767</v>
      </c>
      <c r="C269" s="177" t="str">
        <f>_ENGINE_Risk!E767</f>
        <v>SALE-017</v>
      </c>
      <c r="D269" s="177" t="str">
        <f>_ENGINE_Risk!C767</f>
        <v>Sales CRM</v>
      </c>
      <c r="E269" s="177" t="str">
        <f>_ENGINE_Risk!D767</f>
        <v>Revenue controls</v>
      </c>
      <c r="F269" s="177" t="str">
        <f>_ENGINE_Risk!F767</f>
        <v>Revenue, sales pipeline and CRM continuity</v>
      </c>
      <c r="G269" s="177" t="str">
        <f>_ENGINE_Risk!G767</f>
        <v>Severe risk: discount governance, pricing exceptions, payment terms and margin protection is not reliably controlled. During Demand shock; Revenue loss; Reputation crisis, the organization may face pipeline loss, poor customer retention, weak forecasting and inability to protect revenue channels with limited visibility or accountability.</v>
      </c>
      <c r="H269" s="177" t="str">
        <f>_ENGINE_Risk!BT767</f>
        <v>CAP_PAYMENT_CONTINUITY</v>
      </c>
      <c r="I269" s="177" t="str">
        <f>_ENGINE_Risk!BV767</f>
        <v>BRG-081</v>
      </c>
      <c r="J269" s="177" t="str">
        <f>_ENGINE_Risk!CE767</f>
        <v>IW-ALL-PAYMENT_CONTINUITY</v>
      </c>
      <c r="K269" s="177" t="str">
        <f>_ENGINE_Risk!BY767</f>
        <v>TRT-PAYMENT_CONTINUITY-INITIAL</v>
      </c>
      <c r="L269" s="177" t="str">
        <f>_ENGINE_Risk!CP767</f>
        <v>Active</v>
      </c>
      <c r="M269" s="177" t="str">
        <f>_ENGINE_Risk!CQ767</f>
        <v>OK: capability-driven</v>
      </c>
      <c r="N269" s="177" t="str">
        <f>_ENGINE_Risk!CS767</f>
        <v>Yes</v>
      </c>
      <c r="O269" s="177" t="str">
        <f>_ENGINE_Risk!CO767</f>
        <v>Sales CRM|Revenue controls|SALE-017|CAP_PAYMENT_CONTINUITY</v>
      </c>
      <c r="P269" s="177" t="str">
        <f>_ENGINE_Risk!CR767</f>
        <v>Risk ontology uses capability=CAP_PAYMENT_CONTINUITY; bridge=BRG-081; treatment=TRT-PAYMENT_CONTINUITY-INITIAL; wording=IW-ALL-PAYMENT_CONTINUITY</v>
      </c>
    </row>
    <row r="270" spans="1:16" ht="99" customHeight="1">
      <c r="A270" s="177" t="str">
        <f>_ENGINE_Risk!CM768</f>
        <v>RISK-ONT-0269</v>
      </c>
      <c r="B270" s="177">
        <f>ROW(_ENGINE_Risk!A768)</f>
        <v>768</v>
      </c>
      <c r="C270" s="177" t="str">
        <f>_ENGINE_Risk!E768</f>
        <v>SALE-018</v>
      </c>
      <c r="D270" s="177" t="str">
        <f>_ENGINE_Risk!C768</f>
        <v>Sales CRM</v>
      </c>
      <c r="E270" s="177" t="str">
        <f>_ENGINE_Risk!D768</f>
        <v>Revenue controls</v>
      </c>
      <c r="F270" s="177" t="str">
        <f>_ENGINE_Risk!F768</f>
        <v>Revenue, sales pipeline and CRM continuity</v>
      </c>
      <c r="G270" s="177" t="str">
        <f>_ENGINE_Risk!G768</f>
        <v>Severe risk: deal review for margin, delivery feasibility, legal obligations, security and crisis risk is not reliably controlled. During Demand shock; Revenue loss; Reputation crisis, the organization may face pipeline loss, poor customer retention, weak forecasting and inability to protect revenue channels with limited visibility or accountability.</v>
      </c>
      <c r="H270" s="177" t="str">
        <f>_ENGINE_Risk!BT768</f>
        <v>CAP_PAYMENT_CONTINUITY</v>
      </c>
      <c r="I270" s="177" t="str">
        <f>_ENGINE_Risk!BV768</f>
        <v>BRG-081</v>
      </c>
      <c r="J270" s="177" t="str">
        <f>_ENGINE_Risk!CE768</f>
        <v>IW-ALL-PAYMENT_CONTINUITY</v>
      </c>
      <c r="K270" s="177" t="str">
        <f>_ENGINE_Risk!BY768</f>
        <v>TRT-PAYMENT_CONTINUITY-INITIAL</v>
      </c>
      <c r="L270" s="177" t="str">
        <f>_ENGINE_Risk!CP768</f>
        <v>Active</v>
      </c>
      <c r="M270" s="177" t="str">
        <f>_ENGINE_Risk!CQ768</f>
        <v>OK: capability-driven</v>
      </c>
      <c r="N270" s="177" t="str">
        <f>_ENGINE_Risk!CS768</f>
        <v>Yes</v>
      </c>
      <c r="O270" s="177" t="str">
        <f>_ENGINE_Risk!CO768</f>
        <v>Sales CRM|Revenue controls|SALE-018|CAP_PAYMENT_CONTINUITY</v>
      </c>
      <c r="P270" s="177" t="str">
        <f>_ENGINE_Risk!CR768</f>
        <v>Risk ontology uses capability=CAP_PAYMENT_CONTINUITY; bridge=BRG-081; treatment=TRT-PAYMENT_CONTINUITY-INITIAL; wording=IW-ALL-PAYMENT_CONTINUITY</v>
      </c>
    </row>
    <row r="271" spans="1:16" ht="99" customHeight="1">
      <c r="A271" s="177" t="str">
        <f>_ENGINE_Risk!CM769</f>
        <v>RISK-ONT-0270</v>
      </c>
      <c r="B271" s="177">
        <f>ROW(_ENGINE_Risk!A769)</f>
        <v>769</v>
      </c>
      <c r="C271" s="177" t="str">
        <f>_ENGINE_Risk!E769</f>
        <v>SALE-020</v>
      </c>
      <c r="D271" s="177" t="str">
        <f>_ENGINE_Risk!C769</f>
        <v>Sales CRM</v>
      </c>
      <c r="E271" s="177" t="str">
        <f>_ENGINE_Risk!D769</f>
        <v>Revenue controls</v>
      </c>
      <c r="F271" s="177" t="str">
        <f>_ENGINE_Risk!F769</f>
        <v>Revenue, sales pipeline and CRM continuity</v>
      </c>
      <c r="G271" s="177" t="str">
        <f>_ENGINE_Risk!G769</f>
        <v>Severe risk: sales channel continuity if offices close, travel stops, events cancel or one channel fails is not reliably controlled. During Demand shock; Revenue loss; Reputation crisis, the organization may face pipeline loss, poor customer retention, weak forecasting and inability to protect revenue channels with limited visibility or accountability.</v>
      </c>
      <c r="H271" s="177" t="str">
        <f>_ENGINE_Risk!BT769</f>
        <v>CAP_PAYMENT_CONTINUITY</v>
      </c>
      <c r="I271" s="177" t="str">
        <f>_ENGINE_Risk!BV769</f>
        <v>BRG-081</v>
      </c>
      <c r="J271" s="177" t="str">
        <f>_ENGINE_Risk!CE769</f>
        <v>IW-ALL-PAYMENT_CONTINUITY</v>
      </c>
      <c r="K271" s="177" t="str">
        <f>_ENGINE_Risk!BY769</f>
        <v>TRT-PAYMENT_CONTINUITY-INITIAL</v>
      </c>
      <c r="L271" s="177" t="str">
        <f>_ENGINE_Risk!CP769</f>
        <v>Active</v>
      </c>
      <c r="M271" s="177" t="str">
        <f>_ENGINE_Risk!CQ769</f>
        <v>OK: capability-driven</v>
      </c>
      <c r="N271" s="177" t="str">
        <f>_ENGINE_Risk!CS769</f>
        <v>Yes</v>
      </c>
      <c r="O271" s="177" t="str">
        <f>_ENGINE_Risk!CO769</f>
        <v>Sales CRM|Revenue controls|SALE-020|CAP_PAYMENT_CONTINUITY</v>
      </c>
      <c r="P271" s="177" t="str">
        <f>_ENGINE_Risk!CR769</f>
        <v>Risk ontology uses capability=CAP_PAYMENT_CONTINUITY; bridge=BRG-081; treatment=TRT-PAYMENT_CONTINUITY-INITIAL; wording=IW-ALL-PAYMENT_CONTINUITY</v>
      </c>
    </row>
    <row r="272" spans="1:16" ht="99" customHeight="1">
      <c r="A272" s="177" t="str">
        <f>_ENGINE_Risk!CM770</f>
        <v>RISK-ONT-0271</v>
      </c>
      <c r="B272" s="177">
        <f>ROW(_ENGINE_Risk!A770)</f>
        <v>770</v>
      </c>
      <c r="C272" s="177" t="str">
        <f>_ENGINE_Risk!E770</f>
        <v>SALE-021</v>
      </c>
      <c r="D272" s="177" t="str">
        <f>_ENGINE_Risk!C770</f>
        <v>Sales CRM</v>
      </c>
      <c r="E272" s="177" t="str">
        <f>_ENGINE_Risk!D770</f>
        <v>Revenue controls</v>
      </c>
      <c r="F272" s="177" t="str">
        <f>_ENGINE_Risk!F770</f>
        <v>Revenue, sales pipeline and CRM continuity</v>
      </c>
      <c r="G272" s="177" t="str">
        <f>_ENGINE_Risk!G770</f>
        <v>Severe risk: ecommerce continuity for payments, logistics, website, stock and customer support where relevant is not reliably controlled. During Demand shock; Revenue loss; Reputation crisis, the organization may face pipeline loss, poor customer retention, weak forecasting and inability to protect revenue channels with limited visibility or accountability.</v>
      </c>
      <c r="H272" s="177" t="str">
        <f>_ENGINE_Risk!BT770</f>
        <v>CAP_PAYMENT_CONTINUITY</v>
      </c>
      <c r="I272" s="177" t="str">
        <f>_ENGINE_Risk!BV770</f>
        <v>BRG-081</v>
      </c>
      <c r="J272" s="177" t="str">
        <f>_ENGINE_Risk!CE770</f>
        <v>IW-ALL-PAYMENT_CONTINUITY</v>
      </c>
      <c r="K272" s="177" t="str">
        <f>_ENGINE_Risk!BY770</f>
        <v>TRT-PAYMENT_CONTINUITY-INITIAL</v>
      </c>
      <c r="L272" s="177" t="str">
        <f>_ENGINE_Risk!CP770</f>
        <v>Active</v>
      </c>
      <c r="M272" s="177" t="str">
        <f>_ENGINE_Risk!CQ770</f>
        <v>OK: capability-driven</v>
      </c>
      <c r="N272" s="177" t="str">
        <f>_ENGINE_Risk!CS770</f>
        <v>Yes</v>
      </c>
      <c r="O272" s="177" t="str">
        <f>_ENGINE_Risk!CO770</f>
        <v>Sales CRM|Revenue controls|SALE-021|CAP_PAYMENT_CONTINUITY</v>
      </c>
      <c r="P272" s="177" t="str">
        <f>_ENGINE_Risk!CR770</f>
        <v>Risk ontology uses capability=CAP_PAYMENT_CONTINUITY; bridge=BRG-081; treatment=TRT-PAYMENT_CONTINUITY-INITIAL; wording=IW-ALL-PAYMENT_CONTINUITY</v>
      </c>
    </row>
    <row r="273" spans="1:16" ht="99" customHeight="1">
      <c r="A273" s="177" t="str">
        <f>_ENGINE_Risk!CM771</f>
        <v>RISK-ONT-0272</v>
      </c>
      <c r="B273" s="177">
        <f>ROW(_ENGINE_Risk!A771)</f>
        <v>771</v>
      </c>
      <c r="C273" s="177" t="str">
        <f>_ENGINE_Risk!E771</f>
        <v>SALE-022</v>
      </c>
      <c r="D273" s="177" t="str">
        <f>_ENGINE_Risk!C771</f>
        <v>Sales CRM</v>
      </c>
      <c r="E273" s="177" t="str">
        <f>_ENGINE_Risk!D771</f>
        <v>Customer service</v>
      </c>
      <c r="F273" s="177" t="str">
        <f>_ENGINE_Risk!F771</f>
        <v>Customer service continuity and experience</v>
      </c>
      <c r="G273" s="177" t="str">
        <f>_ENGINE_Risk!G771</f>
        <v>Severe risk: customer service operating model with channels, coverage hours, tiers and service levels is not reliably controlled. During Demand shock; Reputation crisis; Workforce disruption, the organization may face uncontrolled response times, inconsistent customer experience and SLA breaches during disruption with limited visibility or accountability.</v>
      </c>
      <c r="H273" s="177" t="str">
        <f>_ENGINE_Risk!BT771</f>
        <v>CAP_INCIDENT_RESPONSE</v>
      </c>
      <c r="I273" s="177" t="str">
        <f>_ENGINE_Risk!BV771</f>
        <v>BRG-079</v>
      </c>
      <c r="J273" s="177" t="str">
        <f>_ENGINE_Risk!CE771</f>
        <v>IW-ALL-INCIDENT_RESPONSE</v>
      </c>
      <c r="K273" s="177" t="str">
        <f>_ENGINE_Risk!BY771</f>
        <v>TRT-INCIDENT_RESPONSE-INITIAL</v>
      </c>
      <c r="L273" s="177" t="str">
        <f>_ENGINE_Risk!CP771</f>
        <v>Active</v>
      </c>
      <c r="M273" s="177" t="str">
        <f>_ENGINE_Risk!CQ771</f>
        <v>OK: capability-driven</v>
      </c>
      <c r="N273" s="177" t="str">
        <f>_ENGINE_Risk!CS771</f>
        <v>Yes</v>
      </c>
      <c r="O273" s="177" t="str">
        <f>_ENGINE_Risk!CO771</f>
        <v>Sales CRM|Customer service|SALE-022|CAP_INCIDENT_RESPONSE</v>
      </c>
      <c r="P273" s="177" t="str">
        <f>_ENGINE_Risk!CR771</f>
        <v>Risk ontology uses capability=CAP_INCIDENT_RESPONSE; bridge=BRG-079; treatment=TRT-INCIDENT_RESPONSE-INITIAL; wording=IW-ALL-INCIDENT_RESPONSE</v>
      </c>
    </row>
    <row r="274" spans="1:16" ht="99" customHeight="1">
      <c r="A274" s="177" t="str">
        <f>_ENGINE_Risk!CM772</f>
        <v>RISK-ONT-0273</v>
      </c>
      <c r="B274" s="177">
        <f>ROW(_ENGINE_Risk!A772)</f>
        <v>772</v>
      </c>
      <c r="C274" s="177" t="str">
        <f>_ENGINE_Risk!E772</f>
        <v>SALE-023</v>
      </c>
      <c r="D274" s="177" t="str">
        <f>_ENGINE_Risk!C772</f>
        <v>Sales CRM</v>
      </c>
      <c r="E274" s="177" t="str">
        <f>_ENGINE_Risk!D772</f>
        <v>Customer service</v>
      </c>
      <c r="F274" s="177" t="str">
        <f>_ENGINE_Risk!F772</f>
        <v>Customer service continuity and experience</v>
      </c>
      <c r="G274" s="177" t="str">
        <f>_ENGINE_Risk!G772</f>
        <v>Severe risk: case and ticket management with logging, categorization, prioritization, escalation and backlog control is not reliably controlled. During Demand shock; Reputation crisis; Cyberattack/ransomware, the organization may face lost or delayed customer issues, escalation chaos and invisible service backlogs during incidents with limited visibility or accountability.</v>
      </c>
      <c r="H274" s="177" t="str">
        <f>_ENGINE_Risk!BT772</f>
        <v>CAP_INCIDENT_RESPONSE</v>
      </c>
      <c r="I274" s="177" t="str">
        <f>_ENGINE_Risk!BV772</f>
        <v>BRG-079</v>
      </c>
      <c r="J274" s="177" t="str">
        <f>_ENGINE_Risk!CE772</f>
        <v>IW-ALL-INCIDENT_RESPONSE</v>
      </c>
      <c r="K274" s="177" t="str">
        <f>_ENGINE_Risk!BY772</f>
        <v>TRT-INCIDENT_RESPONSE-INITIAL</v>
      </c>
      <c r="L274" s="177" t="str">
        <f>_ENGINE_Risk!CP772</f>
        <v>Active</v>
      </c>
      <c r="M274" s="177" t="str">
        <f>_ENGINE_Risk!CQ772</f>
        <v>OK: capability-driven</v>
      </c>
      <c r="N274" s="177" t="str">
        <f>_ENGINE_Risk!CS772</f>
        <v>Yes</v>
      </c>
      <c r="O274" s="177" t="str">
        <f>_ENGINE_Risk!CO772</f>
        <v>Sales CRM|Customer service|SALE-023|CAP_INCIDENT_RESPONSE</v>
      </c>
      <c r="P274" s="177" t="str">
        <f>_ENGINE_Risk!CR772</f>
        <v>Risk ontology uses capability=CAP_INCIDENT_RESPONSE; bridge=BRG-079; treatment=TRT-INCIDENT_RESPONSE-INITIAL; wording=IW-ALL-INCIDENT_RESPONSE</v>
      </c>
    </row>
    <row r="275" spans="1:16" ht="99" customHeight="1">
      <c r="A275" s="177" t="str">
        <f>_ENGINE_Risk!CM773</f>
        <v>RISK-ONT-0274</v>
      </c>
      <c r="B275" s="177">
        <f>ROW(_ENGINE_Risk!A773)</f>
        <v>773</v>
      </c>
      <c r="C275" s="177" t="str">
        <f>_ENGINE_Risk!E773</f>
        <v>SALE-024</v>
      </c>
      <c r="D275" s="177" t="str">
        <f>_ENGINE_Risk!C773</f>
        <v>Sales CRM</v>
      </c>
      <c r="E275" s="177" t="str">
        <f>_ENGINE_Risk!D773</f>
        <v>Customer service</v>
      </c>
      <c r="F275" s="177" t="str">
        <f>_ENGINE_Risk!F773</f>
        <v>Customer service continuity and experience</v>
      </c>
      <c r="G275" s="177" t="str">
        <f>_ENGINE_Risk!G773</f>
        <v>Severe risk: customer service continuity with surge handling, channel failover and after-hours emergency coverage is not reliably controlled. During Demand shock; Workforce disruption; Cloud/SaaS outage, the organization may face service collapse under demand spikes, channel outages or staff unavailability with limited visibility or accountability.</v>
      </c>
      <c r="H275" s="177" t="str">
        <f>_ENGINE_Risk!BT773</f>
        <v>CAP_INCIDENT_RESPONSE</v>
      </c>
      <c r="I275" s="177" t="str">
        <f>_ENGINE_Risk!BV773</f>
        <v>BRG-079</v>
      </c>
      <c r="J275" s="177" t="str">
        <f>_ENGINE_Risk!CE773</f>
        <v>IW-ALL-INCIDENT_RESPONSE</v>
      </c>
      <c r="K275" s="177" t="str">
        <f>_ENGINE_Risk!BY773</f>
        <v>TRT-INCIDENT_RESPONSE-INITIAL</v>
      </c>
      <c r="L275" s="177" t="str">
        <f>_ENGINE_Risk!CP773</f>
        <v>Active</v>
      </c>
      <c r="M275" s="177" t="str">
        <f>_ENGINE_Risk!CQ773</f>
        <v>OK: capability-driven</v>
      </c>
      <c r="N275" s="177" t="str">
        <f>_ENGINE_Risk!CS773</f>
        <v>Yes</v>
      </c>
      <c r="O275" s="177" t="str">
        <f>_ENGINE_Risk!CO773</f>
        <v>Sales CRM|Customer service|SALE-024|CAP_INCIDENT_RESPONSE</v>
      </c>
      <c r="P275" s="177" t="str">
        <f>_ENGINE_Risk!CR773</f>
        <v>Risk ontology uses capability=CAP_INCIDENT_RESPONSE; bridge=BRG-079; treatment=TRT-INCIDENT_RESPONSE-INITIAL; wording=IW-ALL-INCIDENT_RESPONSE</v>
      </c>
    </row>
    <row r="276" spans="1:16" ht="99" customHeight="1">
      <c r="A276" s="177" t="str">
        <f>_ENGINE_Risk!CM774</f>
        <v>RISK-ONT-0275</v>
      </c>
      <c r="B276" s="177">
        <f>ROW(_ENGINE_Risk!A774)</f>
        <v>774</v>
      </c>
      <c r="C276" s="177" t="str">
        <f>_ENGINE_Risk!E774</f>
        <v>SALE-025</v>
      </c>
      <c r="D276" s="177" t="str">
        <f>_ENGINE_Risk!C774</f>
        <v>Sales CRM</v>
      </c>
      <c r="E276" s="177" t="str">
        <f>_ENGINE_Risk!D774</f>
        <v>Customer service</v>
      </c>
      <c r="F276" s="177" t="str">
        <f>_ENGINE_Risk!F774</f>
        <v>Customer service continuity and experience</v>
      </c>
      <c r="G276" s="177" t="str">
        <f>_ENGINE_Risk!G774</f>
        <v>Severe risk: voice-of-customer loop converting complaints and feedback into product and process improvements is not reliably controlled. During Reputation crisis; Demand shock, the organization may face repeated failure causes, silent churn and missed early-warning signals from customers with limited visibility or accountability.</v>
      </c>
      <c r="H276" s="177" t="str">
        <f>_ENGINE_Risk!BT774</f>
        <v>CAP_INCIDENT_RESPONSE</v>
      </c>
      <c r="I276" s="177" t="str">
        <f>_ENGINE_Risk!BV774</f>
        <v>BRG-079</v>
      </c>
      <c r="J276" s="177" t="str">
        <f>_ENGINE_Risk!CE774</f>
        <v>IW-ALL-INCIDENT_RESPONSE</v>
      </c>
      <c r="K276" s="177" t="str">
        <f>_ENGINE_Risk!BY774</f>
        <v>TRT-INCIDENT_RESPONSE-INITIAL</v>
      </c>
      <c r="L276" s="177" t="str">
        <f>_ENGINE_Risk!CP774</f>
        <v>Active</v>
      </c>
      <c r="M276" s="177" t="str">
        <f>_ENGINE_Risk!CQ774</f>
        <v>OK: capability-driven</v>
      </c>
      <c r="N276" s="177" t="str">
        <f>_ENGINE_Risk!CS774</f>
        <v>Yes</v>
      </c>
      <c r="O276" s="177" t="str">
        <f>_ENGINE_Risk!CO774</f>
        <v>Sales CRM|Customer service|SALE-025|CAP_INCIDENT_RESPONSE</v>
      </c>
      <c r="P276" s="177" t="str">
        <f>_ENGINE_Risk!CR774</f>
        <v>Risk ontology uses capability=CAP_INCIDENT_RESPONSE; bridge=BRG-079; treatment=TRT-INCIDENT_RESPONSE-INITIAL; wording=IW-ALL-INCIDENT_RESPONSE</v>
      </c>
    </row>
    <row r="277" spans="1:16" ht="99" customHeight="1">
      <c r="A277" s="177" t="str">
        <f>_ENGINE_Risk!CM775</f>
        <v>RISK-ONT-0276</v>
      </c>
      <c r="B277" s="177">
        <f>ROW(_ENGINE_Risk!A775)</f>
        <v>775</v>
      </c>
      <c r="C277" s="177" t="str">
        <f>_ENGINE_Risk!E775</f>
        <v>SALE-026</v>
      </c>
      <c r="D277" s="177" t="str">
        <f>_ENGINE_Risk!C775</f>
        <v>Sales CRM</v>
      </c>
      <c r="E277" s="177" t="str">
        <f>_ENGINE_Risk!D775</f>
        <v>Customer service</v>
      </c>
      <c r="F277" s="177" t="str">
        <f>_ENGINE_Risk!F775</f>
        <v>Customer service continuity and experience</v>
      </c>
      <c r="G277" s="177" t="str">
        <f>_ENGINE_Risk!G775</f>
        <v>Severe risk: systematic customer perception measurement with NPS or CSAT trends, segmentation and follow-up actions is not reliably controlled. During Reputation crisis; Demand shock; Key customer loss, the organization may face blind spots in customer sentiment, late churn detection and unverified service quality claims with limited visibility or accountability.</v>
      </c>
      <c r="H277" s="177" t="str">
        <f>_ENGINE_Risk!BT775</f>
        <v>CAP_INCIDENT_RESPONSE</v>
      </c>
      <c r="I277" s="177" t="str">
        <f>_ENGINE_Risk!BV775</f>
        <v>BRG-079</v>
      </c>
      <c r="J277" s="177" t="str">
        <f>_ENGINE_Risk!CE775</f>
        <v>IW-ALL-INCIDENT_RESPONSE</v>
      </c>
      <c r="K277" s="177" t="str">
        <f>_ENGINE_Risk!BY775</f>
        <v>TRT-INCIDENT_RESPONSE-INITIAL</v>
      </c>
      <c r="L277" s="177" t="str">
        <f>_ENGINE_Risk!CP775</f>
        <v>Active</v>
      </c>
      <c r="M277" s="177" t="str">
        <f>_ENGINE_Risk!CQ775</f>
        <v>OK: capability-driven</v>
      </c>
      <c r="N277" s="177" t="str">
        <f>_ENGINE_Risk!CS775</f>
        <v>Yes</v>
      </c>
      <c r="O277" s="177" t="str">
        <f>_ENGINE_Risk!CO775</f>
        <v>Sales CRM|Customer service|SALE-026|CAP_INCIDENT_RESPONSE</v>
      </c>
      <c r="P277" s="177" t="str">
        <f>_ENGINE_Risk!CR775</f>
        <v>Risk ontology uses capability=CAP_INCIDENT_RESPONSE; bridge=BRG-079; treatment=TRT-INCIDENT_RESPONSE-INITIAL; wording=IW-ALL-INCIDENT_RESPONSE</v>
      </c>
    </row>
    <row r="278" spans="1:16" ht="84.9" customHeight="1">
      <c r="A278" s="177" t="str">
        <f>_ENGINE_Risk!CM776</f>
        <v>RISK-ONT-0277</v>
      </c>
      <c r="B278" s="177">
        <f>ROW(_ENGINE_Risk!A776)</f>
        <v>776</v>
      </c>
      <c r="C278" s="177" t="str">
        <f>_ENGINE_Risk!E776</f>
        <v>MARK-001</v>
      </c>
      <c r="D278" s="177" t="str">
        <f>_ENGINE_Risk!C776</f>
        <v>Marketing Comms</v>
      </c>
      <c r="E278" s="177" t="str">
        <f>_ENGINE_Risk!D776</f>
        <v>Brand and market presence</v>
      </c>
      <c r="F278" s="177" t="str">
        <f>_ENGINE_Risk!F776</f>
        <v>Market communication and reputation resilience</v>
      </c>
      <c r="G278" s="177" t="str">
        <f>_ENGINE_Risk!G776</f>
        <v>Severe risk: brand positioning aligned with ICP, offering, differentiation and proof points is not reliably controlled. During Reputation crisis; Demand shock; IT outage, the organization may face loss of customer trust, reputational damage and inconsistent crisis communication with limited visibility or accountability.</v>
      </c>
      <c r="H278" s="177" t="str">
        <f>_ENGINE_Risk!BT776</f>
        <v>CAP_CUSTOMER_COMMUNICATION</v>
      </c>
      <c r="I278" s="177" t="str">
        <f>_ENGINE_Risk!BV776</f>
        <v>BRG-061</v>
      </c>
      <c r="J278" s="177" t="str">
        <f>_ENGINE_Risk!CE776</f>
        <v>IW-ALL-CUSTOMER_COMMUNICATION</v>
      </c>
      <c r="K278" s="177" t="str">
        <f>_ENGINE_Risk!BY776</f>
        <v>TRT-CUSTOMER_COMMUNICATION-INITIAL</v>
      </c>
      <c r="L278" s="177" t="str">
        <f>_ENGINE_Risk!CP776</f>
        <v>Active</v>
      </c>
      <c r="M278" s="177" t="str">
        <f>_ENGINE_Risk!CQ776</f>
        <v>OK: capability-driven</v>
      </c>
      <c r="N278" s="177" t="str">
        <f>_ENGINE_Risk!CS776</f>
        <v>Yes</v>
      </c>
      <c r="O278" s="177" t="str">
        <f>_ENGINE_Risk!CO776</f>
        <v>Marketing Comms|Brand and market presence|MARK-001|CAP_CUSTOMER_COMMUNICATION</v>
      </c>
      <c r="P278" s="177" t="str">
        <f>_ENGINE_Risk!CR776</f>
        <v>Risk ontology uses capability=CAP_CUSTOMER_COMMUNICATION; bridge=BRG-061; treatment=TRT-CUSTOMER_COMMUNICATION-INITIAL; wording=IW-ALL-CUSTOMER_COMMUNICATION</v>
      </c>
    </row>
    <row r="279" spans="1:16" ht="99" customHeight="1">
      <c r="A279" s="177" t="str">
        <f>_ENGINE_Risk!CM777</f>
        <v>RISK-ONT-0278</v>
      </c>
      <c r="B279" s="177">
        <f>ROW(_ENGINE_Risk!A777)</f>
        <v>777</v>
      </c>
      <c r="C279" s="177" t="str">
        <f>_ENGINE_Risk!E777</f>
        <v>MARK-002</v>
      </c>
      <c r="D279" s="177" t="str">
        <f>_ENGINE_Risk!C777</f>
        <v>Marketing Comms</v>
      </c>
      <c r="E279" s="177" t="str">
        <f>_ENGINE_Risk!D777</f>
        <v>Brand and market presence</v>
      </c>
      <c r="F279" s="177" t="str">
        <f>_ENGINE_Risk!F777</f>
        <v>Market communication and reputation resilience</v>
      </c>
      <c r="G279" s="177" t="str">
        <f>_ENGINE_Risk!G777</f>
        <v>Severe risk: digital channel dependency across website, search, paid media, social, events and partners is not reliably controlled. During Reputation crisis; Demand shock; IT outage, the organization may face loss of customer trust, reputational damage and inconsistent crisis communication with limited visibility or accountability.</v>
      </c>
      <c r="H279" s="177" t="str">
        <f>_ENGINE_Risk!BT777</f>
        <v>CAP_CUSTOMER_COMMUNICATION</v>
      </c>
      <c r="I279" s="177" t="str">
        <f>_ENGINE_Risk!BV777</f>
        <v>BRG-061</v>
      </c>
      <c r="J279" s="177" t="str">
        <f>_ENGINE_Risk!CE777</f>
        <v>IW-ALL-CUSTOMER_COMMUNICATION</v>
      </c>
      <c r="K279" s="177" t="str">
        <f>_ENGINE_Risk!BY777</f>
        <v>TRT-CUSTOMER_COMMUNICATION-INITIAL</v>
      </c>
      <c r="L279" s="177" t="str">
        <f>_ENGINE_Risk!CP777</f>
        <v>Active</v>
      </c>
      <c r="M279" s="177" t="str">
        <f>_ENGINE_Risk!CQ777</f>
        <v>OK: capability-driven</v>
      </c>
      <c r="N279" s="177" t="str">
        <f>_ENGINE_Risk!CS777</f>
        <v>Yes</v>
      </c>
      <c r="O279" s="177" t="str">
        <f>_ENGINE_Risk!CO777</f>
        <v>Marketing Comms|Brand and market presence|MARK-002|CAP_CUSTOMER_COMMUNICATION</v>
      </c>
      <c r="P279" s="177" t="str">
        <f>_ENGINE_Risk!CR777</f>
        <v>Risk ontology uses capability=CAP_CUSTOMER_COMMUNICATION; bridge=BRG-061; treatment=TRT-CUSTOMER_COMMUNICATION-INITIAL; wording=IW-ALL-CUSTOMER_COMMUNICATION</v>
      </c>
    </row>
    <row r="280" spans="1:16" ht="99" customHeight="1">
      <c r="A280" s="177" t="str">
        <f>_ENGINE_Risk!CM778</f>
        <v>RISK-ONT-0279</v>
      </c>
      <c r="B280" s="177">
        <f>ROW(_ENGINE_Risk!A778)</f>
        <v>778</v>
      </c>
      <c r="C280" s="177" t="str">
        <f>_ENGINE_Risk!E778</f>
        <v>MARK-003</v>
      </c>
      <c r="D280" s="177" t="str">
        <f>_ENGINE_Risk!C778</f>
        <v>Marketing Comms</v>
      </c>
      <c r="E280" s="177" t="str">
        <f>_ENGINE_Risk!D778</f>
        <v>Brand and market presence</v>
      </c>
      <c r="F280" s="177" t="str">
        <f>_ENGINE_Risk!F778</f>
        <v>Market communication and reputation resilience</v>
      </c>
      <c r="G280" s="177" t="str">
        <f>_ENGINE_Risk!G778</f>
        <v>Severe risk: website and lead-form availability during traffic spikes, cyberattacks or hosting outages is not reliably controlled. During Reputation crisis; Demand shock; IT outage, the organization may face loss of customer trust, reputational damage and inconsistent crisis communication with limited visibility or accountability.</v>
      </c>
      <c r="H280" s="177" t="str">
        <f>_ENGINE_Risk!BT778</f>
        <v>CAP_CUSTOMER_COMMUNICATION</v>
      </c>
      <c r="I280" s="177" t="str">
        <f>_ENGINE_Risk!BV778</f>
        <v>BRG-061</v>
      </c>
      <c r="J280" s="177" t="str">
        <f>_ENGINE_Risk!CE778</f>
        <v>IW-ALL-CUSTOMER_COMMUNICATION</v>
      </c>
      <c r="K280" s="177" t="str">
        <f>_ENGINE_Risk!BY778</f>
        <v>TRT-CUSTOMER_COMMUNICATION-INITIAL</v>
      </c>
      <c r="L280" s="177" t="str">
        <f>_ENGINE_Risk!CP778</f>
        <v>Active</v>
      </c>
      <c r="M280" s="177" t="str">
        <f>_ENGINE_Risk!CQ778</f>
        <v>OK: capability-driven</v>
      </c>
      <c r="N280" s="177" t="str">
        <f>_ENGINE_Risk!CS778</f>
        <v>Yes</v>
      </c>
      <c r="O280" s="177" t="str">
        <f>_ENGINE_Risk!CO778</f>
        <v>Marketing Comms|Brand and market presence|MARK-003|CAP_CUSTOMER_COMMUNICATION</v>
      </c>
      <c r="P280" s="177" t="str">
        <f>_ENGINE_Risk!CR778</f>
        <v>Risk ontology uses capability=CAP_CUSTOMER_COMMUNICATION; bridge=BRG-061; treatment=TRT-CUSTOMER_COMMUNICATION-INITIAL; wording=IW-ALL-CUSTOMER_COMMUNICATION</v>
      </c>
    </row>
    <row r="281" spans="1:16" ht="99" customHeight="1">
      <c r="A281" s="177" t="str">
        <f>_ENGINE_Risk!CM779</f>
        <v>RISK-ONT-0280</v>
      </c>
      <c r="B281" s="177">
        <f>ROW(_ENGINE_Risk!A779)</f>
        <v>779</v>
      </c>
      <c r="C281" s="177" t="str">
        <f>_ENGINE_Risk!E779</f>
        <v>MARK-004</v>
      </c>
      <c r="D281" s="177" t="str">
        <f>_ENGINE_Risk!C779</f>
        <v>Marketing Comms</v>
      </c>
      <c r="E281" s="177" t="str">
        <f>_ENGINE_Risk!D779</f>
        <v>Brand and market presence</v>
      </c>
      <c r="F281" s="177" t="str">
        <f>_ENGINE_Risk!F779</f>
        <v>Market communication and reputation resilience</v>
      </c>
      <c r="G281" s="177" t="str">
        <f>_ENGINE_Risk!G779</f>
        <v>Severe risk: campaign performance, attribution, conversion, CAC and channel ROI measurement is not reliably controlled. During Reputation crisis; Demand shock; IT outage, the organization may face loss of customer trust, reputational damage and inconsistent crisis communication with limited visibility or accountability.</v>
      </c>
      <c r="H281" s="177" t="str">
        <f>_ENGINE_Risk!BT779</f>
        <v>CAP_CUSTOMER_COMMUNICATION</v>
      </c>
      <c r="I281" s="177" t="str">
        <f>_ENGINE_Risk!BV779</f>
        <v>BRG-061</v>
      </c>
      <c r="J281" s="177" t="str">
        <f>_ENGINE_Risk!CE779</f>
        <v>IW-ALL-CUSTOMER_COMMUNICATION</v>
      </c>
      <c r="K281" s="177" t="str">
        <f>_ENGINE_Risk!BY779</f>
        <v>TRT-CUSTOMER_COMMUNICATION-INITIAL</v>
      </c>
      <c r="L281" s="177" t="str">
        <f>_ENGINE_Risk!CP779</f>
        <v>Active</v>
      </c>
      <c r="M281" s="177" t="str">
        <f>_ENGINE_Risk!CQ779</f>
        <v>OK: capability-driven</v>
      </c>
      <c r="N281" s="177" t="str">
        <f>_ENGINE_Risk!CS779</f>
        <v>Yes</v>
      </c>
      <c r="O281" s="177" t="str">
        <f>_ENGINE_Risk!CO779</f>
        <v>Marketing Comms|Brand and market presence|MARK-004|CAP_CUSTOMER_COMMUNICATION</v>
      </c>
      <c r="P281" s="177" t="str">
        <f>_ENGINE_Risk!CR779</f>
        <v>Risk ontology uses capability=CAP_CUSTOMER_COMMUNICATION; bridge=BRG-061; treatment=TRT-CUSTOMER_COMMUNICATION-INITIAL; wording=IW-ALL-CUSTOMER_COMMUNICATION</v>
      </c>
    </row>
    <row r="282" spans="1:16" ht="84.9" customHeight="1">
      <c r="A282" s="177" t="str">
        <f>_ENGINE_Risk!CM780</f>
        <v>RISK-ONT-0281</v>
      </c>
      <c r="B282" s="177">
        <f>ROW(_ENGINE_Risk!A780)</f>
        <v>780</v>
      </c>
      <c r="C282" s="177" t="str">
        <f>_ENGINE_Risk!E780</f>
        <v>MARK-005</v>
      </c>
      <c r="D282" s="177" t="str">
        <f>_ENGINE_Risk!C780</f>
        <v>Marketing Comms</v>
      </c>
      <c r="E282" s="177" t="str">
        <f>_ENGINE_Risk!D780</f>
        <v>Brand and market presence</v>
      </c>
      <c r="F282" s="177" t="str">
        <f>_ENGINE_Risk!F780</f>
        <v>Market communication and reputation resilience</v>
      </c>
      <c r="G282" s="177" t="str">
        <f>_ENGINE_Risk!G780</f>
        <v>Severe risk: lead capture, routing, qualification and follow-up resilience is not reliably controlled. During Reputation crisis; Demand shock; IT outage, the organization may face loss of customer trust, reputational damage and inconsistent crisis communication with limited visibility or accountability.</v>
      </c>
      <c r="H282" s="177" t="str">
        <f>_ENGINE_Risk!BT780</f>
        <v>CAP_CUSTOMER_COMMUNICATION</v>
      </c>
      <c r="I282" s="177" t="str">
        <f>_ENGINE_Risk!BV780</f>
        <v>BRG-061</v>
      </c>
      <c r="J282" s="177" t="str">
        <f>_ENGINE_Risk!CE780</f>
        <v>IW-ALL-CUSTOMER_COMMUNICATION</v>
      </c>
      <c r="K282" s="177" t="str">
        <f>_ENGINE_Risk!BY780</f>
        <v>TRT-CUSTOMER_COMMUNICATION-INITIAL</v>
      </c>
      <c r="L282" s="177" t="str">
        <f>_ENGINE_Risk!CP780</f>
        <v>Active</v>
      </c>
      <c r="M282" s="177" t="str">
        <f>_ENGINE_Risk!CQ780</f>
        <v>OK: capability-driven</v>
      </c>
      <c r="N282" s="177" t="str">
        <f>_ENGINE_Risk!CS780</f>
        <v>Yes</v>
      </c>
      <c r="O282" s="177" t="str">
        <f>_ENGINE_Risk!CO780</f>
        <v>Marketing Comms|Brand and market presence|MARK-005|CAP_CUSTOMER_COMMUNICATION</v>
      </c>
      <c r="P282" s="177" t="str">
        <f>_ENGINE_Risk!CR780</f>
        <v>Risk ontology uses capability=CAP_CUSTOMER_COMMUNICATION; bridge=BRG-061; treatment=TRT-CUSTOMER_COMMUNICATION-INITIAL; wording=IW-ALL-CUSTOMER_COMMUNICATION</v>
      </c>
    </row>
    <row r="283" spans="1:16" ht="99" customHeight="1">
      <c r="A283" s="177" t="str">
        <f>_ENGINE_Risk!CM781</f>
        <v>RISK-ONT-0282</v>
      </c>
      <c r="B283" s="177">
        <f>ROW(_ENGINE_Risk!A781)</f>
        <v>781</v>
      </c>
      <c r="C283" s="177" t="str">
        <f>_ENGINE_Risk!E781</f>
        <v>MARK-006</v>
      </c>
      <c r="D283" s="177" t="str">
        <f>_ENGINE_Risk!C781</f>
        <v>Marketing Comms</v>
      </c>
      <c r="E283" s="177" t="str">
        <f>_ENGINE_Risk!D781</f>
        <v>Crisis communication</v>
      </c>
      <c r="F283" s="177" t="str">
        <f>_ENGINE_Risk!F781</f>
        <v>Market communication and reputation resilience</v>
      </c>
      <c r="G283" s="177" t="str">
        <f>_ENGINE_Risk!G781</f>
        <v>Severe risk: approved crisis communication templates for customers, employees, media, regulators and partners is not reliably controlled. During Reputation crisis; Demand shock; IT outage, the organization may face loss of customer trust, reputational damage and inconsistent crisis communication with limited visibility or accountability.</v>
      </c>
      <c r="H283" s="177" t="str">
        <f>_ENGINE_Risk!BT781</f>
        <v>CAP_CUSTOMER_COMMUNICATION</v>
      </c>
      <c r="I283" s="177" t="str">
        <f>_ENGINE_Risk!BV781</f>
        <v>BRG-062</v>
      </c>
      <c r="J283" s="177" t="str">
        <f>_ENGINE_Risk!CE781</f>
        <v>IW-ALL-CUSTOMER_COMMUNICATION</v>
      </c>
      <c r="K283" s="177" t="str">
        <f>_ENGINE_Risk!BY781</f>
        <v>TRT-CUSTOMER_COMMUNICATION-INITIAL</v>
      </c>
      <c r="L283" s="177" t="str">
        <f>_ENGINE_Risk!CP781</f>
        <v>Active</v>
      </c>
      <c r="M283" s="177" t="str">
        <f>_ENGINE_Risk!CQ781</f>
        <v>OK: capability-driven</v>
      </c>
      <c r="N283" s="177" t="str">
        <f>_ENGINE_Risk!CS781</f>
        <v>Yes</v>
      </c>
      <c r="O283" s="177" t="str">
        <f>_ENGINE_Risk!CO781</f>
        <v>Marketing Comms|Crisis communication|MARK-006|CAP_CUSTOMER_COMMUNICATION</v>
      </c>
      <c r="P283" s="177" t="str">
        <f>_ENGINE_Risk!CR781</f>
        <v>Risk ontology uses capability=CAP_CUSTOMER_COMMUNICATION; bridge=BRG-062; treatment=TRT-CUSTOMER_COMMUNICATION-INITIAL; wording=IW-ALL-CUSTOMER_COMMUNICATION</v>
      </c>
    </row>
    <row r="284" spans="1:16" ht="84.9" customHeight="1">
      <c r="A284" s="177" t="str">
        <f>_ENGINE_Risk!CM782</f>
        <v>RISK-ONT-0283</v>
      </c>
      <c r="B284" s="177">
        <f>ROW(_ENGINE_Risk!A782)</f>
        <v>782</v>
      </c>
      <c r="C284" s="177" t="str">
        <f>_ENGINE_Risk!E782</f>
        <v>MARK-007</v>
      </c>
      <c r="D284" s="177" t="str">
        <f>_ENGINE_Risk!C782</f>
        <v>Marketing Comms</v>
      </c>
      <c r="E284" s="177" t="str">
        <f>_ENGINE_Risk!D782</f>
        <v>Crisis communication</v>
      </c>
      <c r="F284" s="177" t="str">
        <f>_ENGINE_Risk!F782</f>
        <v>Market communication and reputation resilience</v>
      </c>
      <c r="G284" s="177" t="str">
        <f>_ENGINE_Risk!G782</f>
        <v>Severe risk: spokesperson identification, media training and backup coverage is not reliably controlled. During Reputation crisis; Demand shock; IT outage, the organization may face loss of customer trust, reputational damage and inconsistent crisis communication with limited visibility or accountability.</v>
      </c>
      <c r="H284" s="177" t="str">
        <f>_ENGINE_Risk!BT782</f>
        <v>CAP_CUSTOMER_COMMUNICATION</v>
      </c>
      <c r="I284" s="177" t="str">
        <f>_ENGINE_Risk!BV782</f>
        <v>BRG-062</v>
      </c>
      <c r="J284" s="177" t="str">
        <f>_ENGINE_Risk!CE782</f>
        <v>IW-ALL-CUSTOMER_COMMUNICATION</v>
      </c>
      <c r="K284" s="177" t="str">
        <f>_ENGINE_Risk!BY782</f>
        <v>TRT-CUSTOMER_COMMUNICATION-INITIAL</v>
      </c>
      <c r="L284" s="177" t="str">
        <f>_ENGINE_Risk!CP782</f>
        <v>Active</v>
      </c>
      <c r="M284" s="177" t="str">
        <f>_ENGINE_Risk!CQ782</f>
        <v>OK: capability-driven</v>
      </c>
      <c r="N284" s="177" t="str">
        <f>_ENGINE_Risk!CS782</f>
        <v>Yes</v>
      </c>
      <c r="O284" s="177" t="str">
        <f>_ENGINE_Risk!CO782</f>
        <v>Marketing Comms|Crisis communication|MARK-007|CAP_CUSTOMER_COMMUNICATION</v>
      </c>
      <c r="P284" s="177" t="str">
        <f>_ENGINE_Risk!CR782</f>
        <v>Risk ontology uses capability=CAP_CUSTOMER_COMMUNICATION; bridge=BRG-062; treatment=TRT-CUSTOMER_COMMUNICATION-INITIAL; wording=IW-ALL-CUSTOMER_COMMUNICATION</v>
      </c>
    </row>
    <row r="285" spans="1:16" ht="84.9" customHeight="1">
      <c r="A285" s="177" t="str">
        <f>_ENGINE_Risk!CM783</f>
        <v>RISK-ONT-0284</v>
      </c>
      <c r="B285" s="177">
        <f>ROW(_ENGINE_Risk!A783)</f>
        <v>783</v>
      </c>
      <c r="C285" s="177" t="str">
        <f>_ENGINE_Risk!E783</f>
        <v>MARK-008</v>
      </c>
      <c r="D285" s="177" t="str">
        <f>_ENGINE_Risk!C783</f>
        <v>Marketing Comms</v>
      </c>
      <c r="E285" s="177" t="str">
        <f>_ENGINE_Risk!D783</f>
        <v>Crisis communication</v>
      </c>
      <c r="F285" s="177" t="str">
        <f>_ENGINE_Risk!F783</f>
        <v>Market communication and reputation resilience</v>
      </c>
      <c r="G285" s="177" t="str">
        <f>_ENGINE_Risk!G783</f>
        <v>Severe risk: media, social, review and customer sentiment monitoring is not reliably controlled. During Reputation crisis; Demand shock; IT outage, the organization may face loss of customer trust, reputational damage and inconsistent crisis communication with limited visibility or accountability.</v>
      </c>
      <c r="H285" s="177" t="str">
        <f>_ENGINE_Risk!BT783</f>
        <v>CAP_CUSTOMER_COMMUNICATION</v>
      </c>
      <c r="I285" s="177" t="str">
        <f>_ENGINE_Risk!BV783</f>
        <v>BRG-062</v>
      </c>
      <c r="J285" s="177" t="str">
        <f>_ENGINE_Risk!CE783</f>
        <v>IW-ALL-CUSTOMER_COMMUNICATION</v>
      </c>
      <c r="K285" s="177" t="str">
        <f>_ENGINE_Risk!BY783</f>
        <v>TRT-CUSTOMER_COMMUNICATION-INITIAL</v>
      </c>
      <c r="L285" s="177" t="str">
        <f>_ENGINE_Risk!CP783</f>
        <v>Active</v>
      </c>
      <c r="M285" s="177" t="str">
        <f>_ENGINE_Risk!CQ783</f>
        <v>OK: capability-driven</v>
      </c>
      <c r="N285" s="177" t="str">
        <f>_ENGINE_Risk!CS783</f>
        <v>Yes</v>
      </c>
      <c r="O285" s="177" t="str">
        <f>_ENGINE_Risk!CO783</f>
        <v>Marketing Comms|Crisis communication|MARK-008|CAP_CUSTOMER_COMMUNICATION</v>
      </c>
      <c r="P285" s="177" t="str">
        <f>_ENGINE_Risk!CR783</f>
        <v>Risk ontology uses capability=CAP_CUSTOMER_COMMUNICATION; bridge=BRG-062; treatment=TRT-CUSTOMER_COMMUNICATION-INITIAL; wording=IW-ALL-CUSTOMER_COMMUNICATION</v>
      </c>
    </row>
    <row r="286" spans="1:16" ht="84.9" customHeight="1">
      <c r="A286" s="177" t="str">
        <f>_ENGINE_Risk!CM784</f>
        <v>RISK-ONT-0285</v>
      </c>
      <c r="B286" s="177">
        <f>ROW(_ENGINE_Risk!A784)</f>
        <v>784</v>
      </c>
      <c r="C286" s="177" t="str">
        <f>_ENGINE_Risk!E784</f>
        <v>MARK-009</v>
      </c>
      <c r="D286" s="177" t="str">
        <f>_ENGINE_Risk!C784</f>
        <v>Marketing Comms</v>
      </c>
      <c r="E286" s="177" t="str">
        <f>_ENGINE_Risk!D784</f>
        <v>Crisis communication</v>
      </c>
      <c r="F286" s="177" t="str">
        <f>_ENGINE_Risk!F784</f>
        <v>Market communication and reputation resilience</v>
      </c>
      <c r="G286" s="177" t="str">
        <f>_ENGINE_Risk!G784</f>
        <v>Severe risk: escalation and approval rules for sensitive public responses is not reliably controlled. During Reputation crisis; Demand shock; IT outage, the organization may face loss of customer trust, reputational damage and inconsistent crisis communication with limited visibility or accountability.</v>
      </c>
      <c r="H286" s="177" t="str">
        <f>_ENGINE_Risk!BT784</f>
        <v>CAP_CUSTOMER_COMMUNICATION</v>
      </c>
      <c r="I286" s="177" t="str">
        <f>_ENGINE_Risk!BV784</f>
        <v>BRG-062</v>
      </c>
      <c r="J286" s="177" t="str">
        <f>_ENGINE_Risk!CE784</f>
        <v>IW-ALL-CUSTOMER_COMMUNICATION</v>
      </c>
      <c r="K286" s="177" t="str">
        <f>_ENGINE_Risk!BY784</f>
        <v>TRT-CUSTOMER_COMMUNICATION-INITIAL</v>
      </c>
      <c r="L286" s="177" t="str">
        <f>_ENGINE_Risk!CP784</f>
        <v>Active</v>
      </c>
      <c r="M286" s="177" t="str">
        <f>_ENGINE_Risk!CQ784</f>
        <v>OK: capability-driven</v>
      </c>
      <c r="N286" s="177" t="str">
        <f>_ENGINE_Risk!CS784</f>
        <v>Yes</v>
      </c>
      <c r="O286" s="177" t="str">
        <f>_ENGINE_Risk!CO784</f>
        <v>Marketing Comms|Crisis communication|MARK-009|CAP_CUSTOMER_COMMUNICATION</v>
      </c>
      <c r="P286" s="177" t="str">
        <f>_ENGINE_Risk!CR784</f>
        <v>Risk ontology uses capability=CAP_CUSTOMER_COMMUNICATION; bridge=BRG-062; treatment=TRT-CUSTOMER_COMMUNICATION-INITIAL; wording=IW-ALL-CUSTOMER_COMMUNICATION</v>
      </c>
    </row>
    <row r="287" spans="1:16" ht="99" customHeight="1">
      <c r="A287" s="177" t="str">
        <f>_ENGINE_Risk!CM785</f>
        <v>RISK-ONT-0286</v>
      </c>
      <c r="B287" s="177">
        <f>ROW(_ENGINE_Risk!A785)</f>
        <v>785</v>
      </c>
      <c r="C287" s="177" t="str">
        <f>_ENGINE_Risk!E785</f>
        <v>MARK-010</v>
      </c>
      <c r="D287" s="177" t="str">
        <f>_ENGINE_Risk!C785</f>
        <v>Marketing Comms</v>
      </c>
      <c r="E287" s="177" t="str">
        <f>_ENGINE_Risk!D785</f>
        <v>Crisis communication</v>
      </c>
      <c r="F287" s="177" t="str">
        <f>_ENGINE_Risk!F785</f>
        <v>Market communication and reputation resilience</v>
      </c>
      <c r="G287" s="177" t="str">
        <f>_ENGINE_Risk!G785</f>
        <v>Severe risk: customer communication channel diversity across email, phone, portal, SMS, account managers and social media is not reliably controlled. During Reputation crisis; Demand shock; IT outage, the organization may face loss of customer trust, reputational damage and inconsistent crisis communication with limited visibility or accountability.</v>
      </c>
      <c r="H287" s="177" t="str">
        <f>_ENGINE_Risk!BT785</f>
        <v>CAP_CUSTOMER_COMMUNICATION</v>
      </c>
      <c r="I287" s="177" t="str">
        <f>_ENGINE_Risk!BV785</f>
        <v>BRG-062</v>
      </c>
      <c r="J287" s="177" t="str">
        <f>_ENGINE_Risk!CE785</f>
        <v>IW-ALL-CUSTOMER_COMMUNICATION</v>
      </c>
      <c r="K287" s="177" t="str">
        <f>_ENGINE_Risk!BY785</f>
        <v>TRT-CUSTOMER_COMMUNICATION-INITIAL</v>
      </c>
      <c r="L287" s="177" t="str">
        <f>_ENGINE_Risk!CP785</f>
        <v>Active</v>
      </c>
      <c r="M287" s="177" t="str">
        <f>_ENGINE_Risk!CQ785</f>
        <v>OK: capability-driven</v>
      </c>
      <c r="N287" s="177" t="str">
        <f>_ENGINE_Risk!CS785</f>
        <v>Yes</v>
      </c>
      <c r="O287" s="177" t="str">
        <f>_ENGINE_Risk!CO785</f>
        <v>Marketing Comms|Crisis communication|MARK-010|CAP_CUSTOMER_COMMUNICATION</v>
      </c>
      <c r="P287" s="177" t="str">
        <f>_ENGINE_Risk!CR785</f>
        <v>Risk ontology uses capability=CAP_CUSTOMER_COMMUNICATION; bridge=BRG-062; treatment=TRT-CUSTOMER_COMMUNICATION-INITIAL; wording=IW-ALL-CUSTOMER_COMMUNICATION</v>
      </c>
    </row>
    <row r="288" spans="1:16" ht="84.9" customHeight="1">
      <c r="A288" s="177" t="str">
        <f>_ENGINE_Risk!CM786</f>
        <v>RISK-ONT-0287</v>
      </c>
      <c r="B288" s="177">
        <f>ROW(_ENGINE_Risk!A786)</f>
        <v>786</v>
      </c>
      <c r="C288" s="177" t="str">
        <f>_ENGINE_Risk!E786</f>
        <v>MARK-011</v>
      </c>
      <c r="D288" s="177" t="str">
        <f>_ENGINE_Risk!C786</f>
        <v>Marketing Comms</v>
      </c>
      <c r="E288" s="177" t="str">
        <f>_ENGINE_Risk!D786</f>
        <v>Crisis communication</v>
      </c>
      <c r="F288" s="177" t="str">
        <f>_ENGINE_Risk!F786</f>
        <v>Market communication and reputation resilience</v>
      </c>
      <c r="G288" s="177" t="str">
        <f>_ENGINE_Risk!G786</f>
        <v>Severe risk: misinformation, impersonation, fake invoice and brand-abuse response process is not reliably controlled. During Reputation crisis; Demand shock; IT outage, the organization may face loss of customer trust, reputational damage and inconsistent crisis communication with limited visibility or accountability.</v>
      </c>
      <c r="H288" s="177" t="str">
        <f>_ENGINE_Risk!BT786</f>
        <v>CAP_CUSTOMER_COMMUNICATION</v>
      </c>
      <c r="I288" s="177" t="str">
        <f>_ENGINE_Risk!BV786</f>
        <v>BRG-062</v>
      </c>
      <c r="J288" s="177" t="str">
        <f>_ENGINE_Risk!CE786</f>
        <v>IW-ALL-CUSTOMER_COMMUNICATION</v>
      </c>
      <c r="K288" s="177" t="str">
        <f>_ENGINE_Risk!BY786</f>
        <v>TRT-CUSTOMER_COMMUNICATION-INITIAL</v>
      </c>
      <c r="L288" s="177" t="str">
        <f>_ENGINE_Risk!CP786</f>
        <v>Active</v>
      </c>
      <c r="M288" s="177" t="str">
        <f>_ENGINE_Risk!CQ786</f>
        <v>OK: capability-driven</v>
      </c>
      <c r="N288" s="177" t="str">
        <f>_ENGINE_Risk!CS786</f>
        <v>Yes</v>
      </c>
      <c r="O288" s="177" t="str">
        <f>_ENGINE_Risk!CO786</f>
        <v>Marketing Comms|Crisis communication|MARK-011|CAP_CUSTOMER_COMMUNICATION</v>
      </c>
      <c r="P288" s="177" t="str">
        <f>_ENGINE_Risk!CR786</f>
        <v>Risk ontology uses capability=CAP_CUSTOMER_COMMUNICATION; bridge=BRG-062; treatment=TRT-CUSTOMER_COMMUNICATION-INITIAL; wording=IW-ALL-CUSTOMER_COMMUNICATION</v>
      </c>
    </row>
    <row r="289" spans="1:16" ht="99" customHeight="1">
      <c r="A289" s="177" t="str">
        <f>_ENGINE_Risk!CM787</f>
        <v>RISK-ONT-0288</v>
      </c>
      <c r="B289" s="177">
        <f>ROW(_ENGINE_Risk!A787)</f>
        <v>787</v>
      </c>
      <c r="C289" s="177" t="str">
        <f>_ENGINE_Risk!E787</f>
        <v>MARK-012</v>
      </c>
      <c r="D289" s="177" t="str">
        <f>_ENGINE_Risk!C787</f>
        <v>Marketing Comms</v>
      </c>
      <c r="E289" s="177" t="str">
        <f>_ENGINE_Risk!D787</f>
        <v>Marketing operations</v>
      </c>
      <c r="F289" s="177" t="str">
        <f>_ENGINE_Risk!F787</f>
        <v>Market communication and reputation resilience</v>
      </c>
      <c r="G289" s="177" t="str">
        <f>_ENGINE_Risk!G787</f>
        <v>Severe risk: critical marketing and communication asset access if cloud tools or key people are unavailable is not reliably controlled. During Reputation crisis; Demand shock; IT outage, the organization may face loss of customer trust, reputational damage and inconsistent crisis communication with limited visibility or accountability.</v>
      </c>
      <c r="H289" s="177" t="str">
        <f>_ENGINE_Risk!BT787</f>
        <v>CAP_CRM_CUSTOMER_SERVICE</v>
      </c>
      <c r="I289" s="177" t="str">
        <f>_ENGINE_Risk!BV787</f>
        <v>BRG-063</v>
      </c>
      <c r="J289" s="177" t="str">
        <f>_ENGINE_Risk!CE787</f>
        <v>IW-ALL-CRM_CUSTOMER_SERVICE</v>
      </c>
      <c r="K289" s="177" t="str">
        <f>_ENGINE_Risk!BY787</f>
        <v>TRT-CRM_CUSTOMER_SERVICE-INITIAL</v>
      </c>
      <c r="L289" s="177" t="str">
        <f>_ENGINE_Risk!CP787</f>
        <v>Active</v>
      </c>
      <c r="M289" s="177" t="str">
        <f>_ENGINE_Risk!CQ787</f>
        <v>OK: capability-driven</v>
      </c>
      <c r="N289" s="177" t="str">
        <f>_ENGINE_Risk!CS787</f>
        <v>Yes</v>
      </c>
      <c r="O289" s="177" t="str">
        <f>_ENGINE_Risk!CO787</f>
        <v>Marketing Comms|Marketing operations|MARK-012|CAP_CRM_CUSTOMER_SERVICE</v>
      </c>
      <c r="P289" s="177" t="str">
        <f>_ENGINE_Risk!CR787</f>
        <v>Risk ontology uses capability=CAP_CRM_CUSTOMER_SERVICE; bridge=BRG-063; treatment=TRT-CRM_CUSTOMER_SERVICE-INITIAL; wording=IW-ALL-CRM_CUSTOMER_SERVICE</v>
      </c>
    </row>
    <row r="290" spans="1:16" ht="99" customHeight="1">
      <c r="A290" s="177" t="str">
        <f>_ENGINE_Risk!CM788</f>
        <v>RISK-ONT-0289</v>
      </c>
      <c r="B290" s="177">
        <f>ROW(_ENGINE_Risk!A788)</f>
        <v>788</v>
      </c>
      <c r="C290" s="177" t="str">
        <f>_ENGINE_Risk!E788</f>
        <v>MARK-013</v>
      </c>
      <c r="D290" s="177" t="str">
        <f>_ENGINE_Risk!C788</f>
        <v>Marketing Comms</v>
      </c>
      <c r="E290" s="177" t="str">
        <f>_ENGINE_Risk!D788</f>
        <v>Marketing operations</v>
      </c>
      <c r="F290" s="177" t="str">
        <f>_ENGINE_Risk!F788</f>
        <v>Market communication and reputation resilience</v>
      </c>
      <c r="G290" s="177" t="str">
        <f>_ENGINE_Risk!G788</f>
        <v>Severe risk: marketing automation, email, analytics, CMS, domain and DNS dependency documentation is not reliably controlled. During Reputation crisis; Demand shock; IT outage, the organization may face loss of customer trust, reputational damage and inconsistent crisis communication with limited visibility or accountability.</v>
      </c>
      <c r="H290" s="177" t="str">
        <f>_ENGINE_Risk!BT788</f>
        <v>CAP_CRM_CUSTOMER_SERVICE</v>
      </c>
      <c r="I290" s="177" t="str">
        <f>_ENGINE_Risk!BV788</f>
        <v>BRG-063</v>
      </c>
      <c r="J290" s="177" t="str">
        <f>_ENGINE_Risk!CE788</f>
        <v>IW-ALL-CRM_CUSTOMER_SERVICE</v>
      </c>
      <c r="K290" s="177" t="str">
        <f>_ENGINE_Risk!BY788</f>
        <v>TRT-CRM_CUSTOMER_SERVICE-INITIAL</v>
      </c>
      <c r="L290" s="177" t="str">
        <f>_ENGINE_Risk!CP788</f>
        <v>Active</v>
      </c>
      <c r="M290" s="177" t="str">
        <f>_ENGINE_Risk!CQ788</f>
        <v>OK: capability-driven</v>
      </c>
      <c r="N290" s="177" t="str">
        <f>_ENGINE_Risk!CS788</f>
        <v>Yes</v>
      </c>
      <c r="O290" s="177" t="str">
        <f>_ENGINE_Risk!CO788</f>
        <v>Marketing Comms|Marketing operations|MARK-013|CAP_CRM_CUSTOMER_SERVICE</v>
      </c>
      <c r="P290" s="177" t="str">
        <f>_ENGINE_Risk!CR788</f>
        <v>Risk ontology uses capability=CAP_CRM_CUSTOMER_SERVICE; bridge=BRG-063; treatment=TRT-CRM_CUSTOMER_SERVICE-INITIAL; wording=IW-ALL-CRM_CUSTOMER_SERVICE</v>
      </c>
    </row>
    <row r="291" spans="1:16" ht="84.9" customHeight="1">
      <c r="A291" s="177" t="str">
        <f>_ENGINE_Risk!CM789</f>
        <v>RISK-ONT-0290</v>
      </c>
      <c r="B291" s="177">
        <f>ROW(_ENGINE_Risk!A789)</f>
        <v>789</v>
      </c>
      <c r="C291" s="177" t="str">
        <f>_ENGINE_Risk!E789</f>
        <v>MARK-014</v>
      </c>
      <c r="D291" s="177" t="str">
        <f>_ENGINE_Risk!C789</f>
        <v>Marketing Comms</v>
      </c>
      <c r="E291" s="177" t="str">
        <f>_ENGINE_Risk!D789</f>
        <v>Marketing operations</v>
      </c>
      <c r="F291" s="177" t="str">
        <f>_ENGINE_Risk!F789</f>
        <v>Market communication and reputation resilience</v>
      </c>
      <c r="G291" s="177" t="str">
        <f>_ENGINE_Risk!G789</f>
        <v>Severe risk: privacy, consent, unsubscribe, advertising claims and industry marketing compliance is not reliably controlled. During Reputation crisis; Demand shock; IT outage, the organization may face loss of customer trust, reputational damage and inconsistent crisis communication with limited visibility or accountability.</v>
      </c>
      <c r="H291" s="177" t="str">
        <f>_ENGINE_Risk!BT789</f>
        <v>CAP_CRM_CUSTOMER_SERVICE</v>
      </c>
      <c r="I291" s="177" t="str">
        <f>_ENGINE_Risk!BV789</f>
        <v>BRG-063</v>
      </c>
      <c r="J291" s="177" t="str">
        <f>_ENGINE_Risk!CE789</f>
        <v>IW-ALL-CRM_CUSTOMER_SERVICE</v>
      </c>
      <c r="K291" s="177" t="str">
        <f>_ENGINE_Risk!BY789</f>
        <v>TRT-CRM_CUSTOMER_SERVICE-INITIAL</v>
      </c>
      <c r="L291" s="177" t="str">
        <f>_ENGINE_Risk!CP789</f>
        <v>Active</v>
      </c>
      <c r="M291" s="177" t="str">
        <f>_ENGINE_Risk!CQ789</f>
        <v>OK: capability-driven</v>
      </c>
      <c r="N291" s="177" t="str">
        <f>_ENGINE_Risk!CS789</f>
        <v>Yes</v>
      </c>
      <c r="O291" s="177" t="str">
        <f>_ENGINE_Risk!CO789</f>
        <v>Marketing Comms|Marketing operations|MARK-014|CAP_CRM_CUSTOMER_SERVICE</v>
      </c>
      <c r="P291" s="177" t="str">
        <f>_ENGINE_Risk!CR789</f>
        <v>Risk ontology uses capability=CAP_CRM_CUSTOMER_SERVICE; bridge=BRG-063; treatment=TRT-CRM_CUSTOMER_SERVICE-INITIAL; wording=IW-ALL-CRM_CUSTOMER_SERVICE</v>
      </c>
    </row>
    <row r="292" spans="1:16" ht="99" customHeight="1">
      <c r="A292" s="177" t="str">
        <f>_ENGINE_Risk!CM790</f>
        <v>RISK-ONT-0291</v>
      </c>
      <c r="B292" s="177">
        <f>ROW(_ENGINE_Risk!A790)</f>
        <v>790</v>
      </c>
      <c r="C292" s="177" t="str">
        <f>_ENGINE_Risk!E790</f>
        <v>MARK-015</v>
      </c>
      <c r="D292" s="177" t="str">
        <f>_ENGINE_Risk!C790</f>
        <v>Marketing Comms</v>
      </c>
      <c r="E292" s="177" t="str">
        <f>_ENGINE_Risk!D790</f>
        <v>Marketing operations</v>
      </c>
      <c r="F292" s="177" t="str">
        <f>_ENGINE_Risk!F790</f>
        <v>Market communication and reputation resilience</v>
      </c>
      <c r="G292" s="177" t="str">
        <f>_ENGINE_Risk!G790</f>
        <v>Severe risk: demand-generation playbooks for budget cuts, channel failure, competitive pressure or geopolitical restrictions is not reliably controlled. During Reputation crisis; Demand shock; IT outage, the organization may face loss of customer trust, reputational damage and inconsistent crisis communication with limited visibility or accountability.</v>
      </c>
      <c r="H292" s="177" t="str">
        <f>_ENGINE_Risk!BT790</f>
        <v>CAP_CRM_CUSTOMER_SERVICE</v>
      </c>
      <c r="I292" s="177" t="str">
        <f>_ENGINE_Risk!BV790</f>
        <v>BRG-063</v>
      </c>
      <c r="J292" s="177" t="str">
        <f>_ENGINE_Risk!CE790</f>
        <v>IW-ALL-CRM_CUSTOMER_SERVICE</v>
      </c>
      <c r="K292" s="177" t="str">
        <f>_ENGINE_Risk!BY790</f>
        <v>TRT-CRM_CUSTOMER_SERVICE-INITIAL</v>
      </c>
      <c r="L292" s="177" t="str">
        <f>_ENGINE_Risk!CP790</f>
        <v>Active</v>
      </c>
      <c r="M292" s="177" t="str">
        <f>_ENGINE_Risk!CQ790</f>
        <v>OK: capability-driven</v>
      </c>
      <c r="N292" s="177" t="str">
        <f>_ENGINE_Risk!CS790</f>
        <v>Yes</v>
      </c>
      <c r="O292" s="177" t="str">
        <f>_ENGINE_Risk!CO790</f>
        <v>Marketing Comms|Marketing operations|MARK-015|CAP_CRM_CUSTOMER_SERVICE</v>
      </c>
      <c r="P292" s="177" t="str">
        <f>_ENGINE_Risk!CR790</f>
        <v>Risk ontology uses capability=CAP_CRM_CUSTOMER_SERVICE; bridge=BRG-063; treatment=TRT-CRM_CUSTOMER_SERVICE-INITIAL; wording=IW-ALL-CRM_CUSTOMER_SERVICE</v>
      </c>
    </row>
    <row r="293" spans="1:16" ht="99" customHeight="1">
      <c r="A293" s="177" t="str">
        <f>_ENGINE_Risk!CM791</f>
        <v>RISK-ONT-0292</v>
      </c>
      <c r="B293" s="177">
        <f>ROW(_ENGINE_Risk!A791)</f>
        <v>791</v>
      </c>
      <c r="C293" s="177" t="str">
        <f>_ENGINE_Risk!E791</f>
        <v>MARK-016</v>
      </c>
      <c r="D293" s="177" t="str">
        <f>_ENGINE_Risk!C791</f>
        <v>Marketing Comms</v>
      </c>
      <c r="E293" s="177" t="str">
        <f>_ENGINE_Risk!D791</f>
        <v>Marketing operations</v>
      </c>
      <c r="F293" s="177" t="str">
        <f>_ENGINE_Risk!F791</f>
        <v>Market communication and reputation resilience</v>
      </c>
      <c r="G293" s="177" t="str">
        <f>_ENGINE_Risk!G791</f>
        <v>Severe risk: sales-marketing alignment on ICP, lead definitions, messages, offers and crisis concerns is not reliably controlled. During Reputation crisis; Demand shock; IT outage, the organization may face loss of customer trust, reputational damage and inconsistent crisis communication with limited visibility or accountability.</v>
      </c>
      <c r="H293" s="177" t="str">
        <f>_ENGINE_Risk!BT791</f>
        <v>CAP_CRM_CUSTOMER_SERVICE</v>
      </c>
      <c r="I293" s="177" t="str">
        <f>_ENGINE_Risk!BV791</f>
        <v>BRG-063</v>
      </c>
      <c r="J293" s="177" t="str">
        <f>_ENGINE_Risk!CE791</f>
        <v>IW-ALL-CRM_CUSTOMER_SERVICE</v>
      </c>
      <c r="K293" s="177" t="str">
        <f>_ENGINE_Risk!BY791</f>
        <v>TRT-CRM_CUSTOMER_SERVICE-INITIAL</v>
      </c>
      <c r="L293" s="177" t="str">
        <f>_ENGINE_Risk!CP791</f>
        <v>Active</v>
      </c>
      <c r="M293" s="177" t="str">
        <f>_ENGINE_Risk!CQ791</f>
        <v>OK: capability-driven</v>
      </c>
      <c r="N293" s="177" t="str">
        <f>_ENGINE_Risk!CS791</f>
        <v>Yes</v>
      </c>
      <c r="O293" s="177" t="str">
        <f>_ENGINE_Risk!CO791</f>
        <v>Marketing Comms|Marketing operations|MARK-016|CAP_CRM_CUSTOMER_SERVICE</v>
      </c>
      <c r="P293" s="177" t="str">
        <f>_ENGINE_Risk!CR791</f>
        <v>Risk ontology uses capability=CAP_CRM_CUSTOMER_SERVICE; bridge=BRG-063; treatment=TRT-CRM_CUSTOMER_SERVICE-INITIAL; wording=IW-ALL-CRM_CUSTOMER_SERVICE</v>
      </c>
    </row>
    <row r="294" spans="1:16" ht="99" customHeight="1">
      <c r="A294" s="177" t="str">
        <f>_ENGINE_Risk!CM792</f>
        <v>RISK-ONT-0293</v>
      </c>
      <c r="B294" s="177">
        <f>ROW(_ENGINE_Risk!A792)</f>
        <v>792</v>
      </c>
      <c r="C294" s="177" t="str">
        <f>_ENGINE_Risk!E792</f>
        <v>ITCL-001</v>
      </c>
      <c r="D294" s="177" t="str">
        <f>_ENGINE_Risk!C792</f>
        <v>IT Cloud DR</v>
      </c>
      <c r="E294" s="177" t="str">
        <f>_ENGINE_Risk!D792</f>
        <v>IT inventory and architecture</v>
      </c>
      <c r="F294" s="177" t="str">
        <f>_ENGINE_Risk!F792</f>
        <v>IT, cloud and disaster recovery</v>
      </c>
      <c r="G294" s="177" t="str">
        <f>_ENGINE_Risk!G792</f>
        <v>Severe risk: complete inventory of applications, infrastructure, cloud accounts, integrations, data stores and owners is not reliably controlled. During IT outage; Cloud outage; Data loss; Cyberattack, the organization may face system outage, data unavailability, excessive RTO/RPO and inability to restore critical technology services with limited visibility or accountability.</v>
      </c>
      <c r="H294" s="177" t="str">
        <f>_ENGINE_Risk!BT792</f>
        <v>CAP_IAM_PAM</v>
      </c>
      <c r="I294" s="177" t="str">
        <f>_ENGINE_Risk!BV792</f>
        <v>BRG-045</v>
      </c>
      <c r="J294" s="177" t="str">
        <f>_ENGINE_Risk!CE792</f>
        <v>IW-ALL-IAM_PAM</v>
      </c>
      <c r="K294" s="177" t="str">
        <f>_ENGINE_Risk!BY792</f>
        <v>TRT-IAM_PAM-INITIAL</v>
      </c>
      <c r="L294" s="177" t="str">
        <f>_ENGINE_Risk!CP792</f>
        <v>Active</v>
      </c>
      <c r="M294" s="177" t="str">
        <f>_ENGINE_Risk!CQ792</f>
        <v>OK: capability-driven</v>
      </c>
      <c r="N294" s="177" t="str">
        <f>_ENGINE_Risk!CS792</f>
        <v>Yes</v>
      </c>
      <c r="O294" s="177" t="str">
        <f>_ENGINE_Risk!CO792</f>
        <v>IT Cloud DR|IT inventory and architecture|ITCL-001|CAP_IAM_PAM</v>
      </c>
      <c r="P294" s="177" t="str">
        <f>_ENGINE_Risk!CR792</f>
        <v>Risk ontology uses capability=CAP_IAM_PAM; bridge=BRG-045; treatment=TRT-IAM_PAM-INITIAL; wording=IW-ALL-IAM_PAM</v>
      </c>
    </row>
    <row r="295" spans="1:16" ht="99" customHeight="1">
      <c r="A295" s="177" t="str">
        <f>_ENGINE_Risk!CM793</f>
        <v>RISK-ONT-0294</v>
      </c>
      <c r="B295" s="177">
        <f>ROW(_ENGINE_Risk!A793)</f>
        <v>793</v>
      </c>
      <c r="C295" s="177" t="str">
        <f>_ENGINE_Risk!E793</f>
        <v>ITCL-002</v>
      </c>
      <c r="D295" s="177" t="str">
        <f>_ENGINE_Risk!C793</f>
        <v>IT Cloud DR</v>
      </c>
      <c r="E295" s="177" t="str">
        <f>_ENGINE_Risk!D793</f>
        <v>IT inventory and architecture</v>
      </c>
      <c r="F295" s="177" t="str">
        <f>_ENGINE_Risk!F793</f>
        <v>IT, cloud and disaster recovery</v>
      </c>
      <c r="G295" s="177" t="str">
        <f>_ENGINE_Risk!G793</f>
        <v>Severe risk: system criticality tiering by business process, RTO, RPO, users and data sensitivity is not reliably controlled. During IT outage; Cloud outage; Data loss; Cyberattack, the organization may face system outage, data unavailability, excessive RTO/RPO and inability to restore critical technology services with limited visibility or accountability.</v>
      </c>
      <c r="H295" s="177" t="str">
        <f>_ENGINE_Risk!BT793</f>
        <v>CAP_IAM_PAM</v>
      </c>
      <c r="I295" s="177" t="str">
        <f>_ENGINE_Risk!BV793</f>
        <v>BRG-045</v>
      </c>
      <c r="J295" s="177" t="str">
        <f>_ENGINE_Risk!CE793</f>
        <v>IW-ALL-IAM_PAM</v>
      </c>
      <c r="K295" s="177" t="str">
        <f>_ENGINE_Risk!BY793</f>
        <v>TRT-IAM_PAM-INITIAL</v>
      </c>
      <c r="L295" s="177" t="str">
        <f>_ENGINE_Risk!CP793</f>
        <v>Active</v>
      </c>
      <c r="M295" s="177" t="str">
        <f>_ENGINE_Risk!CQ793</f>
        <v>OK: capability-driven</v>
      </c>
      <c r="N295" s="177" t="str">
        <f>_ENGINE_Risk!CS793</f>
        <v>Yes</v>
      </c>
      <c r="O295" s="177" t="str">
        <f>_ENGINE_Risk!CO793</f>
        <v>IT Cloud DR|IT inventory and architecture|ITCL-002|CAP_IAM_PAM</v>
      </c>
      <c r="P295" s="177" t="str">
        <f>_ENGINE_Risk!CR793</f>
        <v>Risk ontology uses capability=CAP_IAM_PAM; bridge=BRG-045; treatment=TRT-IAM_PAM-INITIAL; wording=IW-ALL-IAM_PAM</v>
      </c>
    </row>
    <row r="296" spans="1:16" ht="99" customHeight="1">
      <c r="A296" s="177" t="str">
        <f>_ENGINE_Risk!CM794</f>
        <v>RISK-ONT-0295</v>
      </c>
      <c r="B296" s="177">
        <f>ROW(_ENGINE_Risk!A794)</f>
        <v>794</v>
      </c>
      <c r="C296" s="177" t="str">
        <f>_ENGINE_Risk!E794</f>
        <v>ITCL-003</v>
      </c>
      <c r="D296" s="177" t="str">
        <f>_ENGINE_Risk!C794</f>
        <v>IT Cloud DR</v>
      </c>
      <c r="E296" s="177" t="str">
        <f>_ENGINE_Risk!D794</f>
        <v>IT inventory and architecture</v>
      </c>
      <c r="F296" s="177" t="str">
        <f>_ENGINE_Risk!F794</f>
        <v>IT, cloud and disaster recovery</v>
      </c>
      <c r="G296" s="177" t="str">
        <f>_ENGINE_Risk!G794</f>
        <v>Severe risk: current-state and target-state IT architecture documentation is not reliably controlled. During IT outage; Cloud outage; Data loss; Cyberattack, the organization may face system outage, data unavailability, excessive RTO/RPO and inability to restore critical technology services with limited visibility or accountability.</v>
      </c>
      <c r="H296" s="177" t="str">
        <f>_ENGINE_Risk!BT794</f>
        <v>CAP_IAM_PAM</v>
      </c>
      <c r="I296" s="177" t="str">
        <f>_ENGINE_Risk!BV794</f>
        <v>BRG-045</v>
      </c>
      <c r="J296" s="177" t="str">
        <f>_ENGINE_Risk!CE794</f>
        <v>IW-ALL-IAM_PAM</v>
      </c>
      <c r="K296" s="177" t="str">
        <f>_ENGINE_Risk!BY794</f>
        <v>TRT-IAM_PAM-INITIAL</v>
      </c>
      <c r="L296" s="177" t="str">
        <f>_ENGINE_Risk!CP794</f>
        <v>Active</v>
      </c>
      <c r="M296" s="177" t="str">
        <f>_ENGINE_Risk!CQ794</f>
        <v>OK: capability-driven</v>
      </c>
      <c r="N296" s="177" t="str">
        <f>_ENGINE_Risk!CS794</f>
        <v>Yes</v>
      </c>
      <c r="O296" s="177" t="str">
        <f>_ENGINE_Risk!CO794</f>
        <v>IT Cloud DR|IT inventory and architecture|ITCL-003|CAP_IAM_PAM</v>
      </c>
      <c r="P296" s="177" t="str">
        <f>_ENGINE_Risk!CR794</f>
        <v>Risk ontology uses capability=CAP_IAM_PAM; bridge=BRG-045; treatment=TRT-IAM_PAM-INITIAL; wording=IW-ALL-IAM_PAM</v>
      </c>
    </row>
    <row r="297" spans="1:16" ht="113.15" customHeight="1">
      <c r="A297" s="177" t="str">
        <f>_ENGINE_Risk!CM795</f>
        <v>RISK-ONT-0296</v>
      </c>
      <c r="B297" s="177">
        <f>ROW(_ENGINE_Risk!A795)</f>
        <v>795</v>
      </c>
      <c r="C297" s="177" t="str">
        <f>_ENGINE_Risk!E795</f>
        <v>ITCL-004</v>
      </c>
      <c r="D297" s="177" t="str">
        <f>_ENGINE_Risk!C795</f>
        <v>IT Cloud DR</v>
      </c>
      <c r="E297" s="177" t="str">
        <f>_ENGINE_Risk!D795</f>
        <v>IT inventory and architecture</v>
      </c>
      <c r="F297" s="177" t="str">
        <f>_ENGINE_Risk!F795</f>
        <v>IT, cloud and disaster recovery</v>
      </c>
      <c r="G297" s="177" t="str">
        <f>_ENGINE_Risk!G795</f>
        <v>Severe risk: technical single points of failure across network, identity, DNS, cloud, databases, integrations and support teams is not reliably controlled. During IT outage; Cloud outage; Data loss; Cyberattack, the organization may face system outage, data unavailability, excessive RTO/RPO and inability to restore critical technology services with limited visibility or accountability.</v>
      </c>
      <c r="H297" s="177" t="str">
        <f>_ENGINE_Risk!BT795</f>
        <v>CAP_IAM_PAM</v>
      </c>
      <c r="I297" s="177" t="str">
        <f>_ENGINE_Risk!BV795</f>
        <v>BRG-045</v>
      </c>
      <c r="J297" s="177" t="str">
        <f>_ENGINE_Risk!CE795</f>
        <v>IW-ALL-IAM_PAM</v>
      </c>
      <c r="K297" s="177" t="str">
        <f>_ENGINE_Risk!BY795</f>
        <v>TRT-IAM_PAM-INITIAL</v>
      </c>
      <c r="L297" s="177" t="str">
        <f>_ENGINE_Risk!CP795</f>
        <v>Active</v>
      </c>
      <c r="M297" s="177" t="str">
        <f>_ENGINE_Risk!CQ795</f>
        <v>OK: capability-driven</v>
      </c>
      <c r="N297" s="177" t="str">
        <f>_ENGINE_Risk!CS795</f>
        <v>Yes</v>
      </c>
      <c r="O297" s="177" t="str">
        <f>_ENGINE_Risk!CO795</f>
        <v>IT Cloud DR|IT inventory and architecture|ITCL-004|CAP_IAM_PAM</v>
      </c>
      <c r="P297" s="177" t="str">
        <f>_ENGINE_Risk!CR795</f>
        <v>Risk ontology uses capability=CAP_IAM_PAM; bridge=BRG-045; treatment=TRT-IAM_PAM-INITIAL; wording=IW-ALL-IAM_PAM</v>
      </c>
    </row>
    <row r="298" spans="1:16" ht="99" customHeight="1">
      <c r="A298" s="177" t="str">
        <f>_ENGINE_Risk!CM796</f>
        <v>RISK-ONT-0297</v>
      </c>
      <c r="B298" s="177">
        <f>ROW(_ENGINE_Risk!A796)</f>
        <v>796</v>
      </c>
      <c r="C298" s="177" t="str">
        <f>_ENGINE_Risk!E796</f>
        <v>ITCL-005</v>
      </c>
      <c r="D298" s="177" t="str">
        <f>_ENGINE_Risk!C796</f>
        <v>IT Cloud DR</v>
      </c>
      <c r="E298" s="177" t="str">
        <f>_ENGINE_Risk!D796</f>
        <v>IT inventory and architecture</v>
      </c>
      <c r="F298" s="177" t="str">
        <f>_ENGINE_Risk!F796</f>
        <v>IT, cloud and disaster recovery</v>
      </c>
      <c r="G298" s="177" t="str">
        <f>_ENGINE_Risk!G796</f>
        <v>Severe risk: legacy system risk for vendor support, skills, security, integration and replacement options is not reliably controlled. During IT outage; Cloud outage; Data loss; Cyberattack, the organization may face system outage, data unavailability, excessive RTO/RPO and inability to restore critical technology services with limited visibility or accountability.</v>
      </c>
      <c r="H298" s="177" t="str">
        <f>_ENGINE_Risk!BT796</f>
        <v>CAP_IAM_PAM</v>
      </c>
      <c r="I298" s="177" t="str">
        <f>_ENGINE_Risk!BV796</f>
        <v>BRG-045</v>
      </c>
      <c r="J298" s="177" t="str">
        <f>_ENGINE_Risk!CE796</f>
        <v>IW-ALL-IAM_PAM</v>
      </c>
      <c r="K298" s="177" t="str">
        <f>_ENGINE_Risk!BY796</f>
        <v>TRT-IAM_PAM-INITIAL</v>
      </c>
      <c r="L298" s="177" t="str">
        <f>_ENGINE_Risk!CP796</f>
        <v>Active</v>
      </c>
      <c r="M298" s="177" t="str">
        <f>_ENGINE_Risk!CQ796</f>
        <v>OK: capability-driven</v>
      </c>
      <c r="N298" s="177" t="str">
        <f>_ENGINE_Risk!CS796</f>
        <v>Yes</v>
      </c>
      <c r="O298" s="177" t="str">
        <f>_ENGINE_Risk!CO796</f>
        <v>IT Cloud DR|IT inventory and architecture|ITCL-005|CAP_IAM_PAM</v>
      </c>
      <c r="P298" s="177" t="str">
        <f>_ENGINE_Risk!CR796</f>
        <v>Risk ontology uses capability=CAP_IAM_PAM; bridge=BRG-045; treatment=TRT-IAM_PAM-INITIAL; wording=IW-ALL-IAM_PAM</v>
      </c>
    </row>
    <row r="299" spans="1:16" ht="99" customHeight="1">
      <c r="A299" s="177" t="str">
        <f>_ENGINE_Risk!CM797</f>
        <v>RISK-ONT-0298</v>
      </c>
      <c r="B299" s="177">
        <f>ROW(_ENGINE_Risk!A797)</f>
        <v>797</v>
      </c>
      <c r="C299" s="177" t="str">
        <f>_ENGINE_Risk!E797</f>
        <v>ITCL-006</v>
      </c>
      <c r="D299" s="177" t="str">
        <f>_ENGINE_Risk!C797</f>
        <v>IT Cloud DR</v>
      </c>
      <c r="E299" s="177" t="str">
        <f>_ENGINE_Risk!D797</f>
        <v>IT inventory and architecture</v>
      </c>
      <c r="F299" s="177" t="str">
        <f>_ENGINE_Risk!F797</f>
        <v>IT, cloud and disaster recovery</v>
      </c>
      <c r="G299" s="177" t="str">
        <f>_ENGINE_Risk!G797</f>
        <v>Severe risk: technical debt register linked to resilience, security and business impact is not reliably controlled. During IT outage; Cloud outage; Data loss; Cyberattack, the organization may face system outage, data unavailability, excessive RTO/RPO and inability to restore critical technology services with limited visibility or accountability.</v>
      </c>
      <c r="H299" s="177" t="str">
        <f>_ENGINE_Risk!BT797</f>
        <v>CAP_IAM_PAM</v>
      </c>
      <c r="I299" s="177" t="str">
        <f>_ENGINE_Risk!BV797</f>
        <v>BRG-045</v>
      </c>
      <c r="J299" s="177" t="str">
        <f>_ENGINE_Risk!CE797</f>
        <v>IW-ALL-IAM_PAM</v>
      </c>
      <c r="K299" s="177" t="str">
        <f>_ENGINE_Risk!BY797</f>
        <v>TRT-IAM_PAM-INITIAL</v>
      </c>
      <c r="L299" s="177" t="str">
        <f>_ENGINE_Risk!CP797</f>
        <v>Active</v>
      </c>
      <c r="M299" s="177" t="str">
        <f>_ENGINE_Risk!CQ797</f>
        <v>OK: capability-driven</v>
      </c>
      <c r="N299" s="177" t="str">
        <f>_ENGINE_Risk!CS797</f>
        <v>Yes</v>
      </c>
      <c r="O299" s="177" t="str">
        <f>_ENGINE_Risk!CO797</f>
        <v>IT Cloud DR|IT inventory and architecture|ITCL-006|CAP_IAM_PAM</v>
      </c>
      <c r="P299" s="177" t="str">
        <f>_ENGINE_Risk!CR797</f>
        <v>Risk ontology uses capability=CAP_IAM_PAM; bridge=BRG-045; treatment=TRT-IAM_PAM-INITIAL; wording=IW-ALL-IAM_PAM</v>
      </c>
    </row>
    <row r="300" spans="1:16" ht="99" customHeight="1">
      <c r="A300" s="177" t="str">
        <f>_ENGINE_Risk!CM798</f>
        <v>RISK-ONT-0299</v>
      </c>
      <c r="B300" s="177">
        <f>ROW(_ENGINE_Risk!A798)</f>
        <v>798</v>
      </c>
      <c r="C300" s="177" t="str">
        <f>_ENGINE_Risk!E798</f>
        <v>ITCL-007</v>
      </c>
      <c r="D300" s="177" t="str">
        <f>_ENGINE_Risk!C798</f>
        <v>IT Cloud DR</v>
      </c>
      <c r="E300" s="177" t="str">
        <f>_ENGINE_Risk!D798</f>
        <v>Cloud usage</v>
      </c>
      <c r="F300" s="177" t="str">
        <f>_ENGINE_Risk!F798</f>
        <v>IT, cloud and disaster recovery</v>
      </c>
      <c r="G300" s="177" t="str">
        <f>_ENGINE_Risk!G798</f>
        <v>Severe risk: cloud account, subscription or project governance with ownership, billing, IAM, tagging and guardrails is not reliably controlled. During IT outage; Cloud outage; Data loss; Cyberattack, the organization may face system outage, data unavailability, excessive RTO/RPO and inability to restore critical technology services with limited visibility or accountability.</v>
      </c>
      <c r="H300" s="177" t="str">
        <f>_ENGINE_Risk!BT798</f>
        <v>CAP_IAM_PAM</v>
      </c>
      <c r="I300" s="177" t="str">
        <f>_ENGINE_Risk!BV798</f>
        <v>BRG-044</v>
      </c>
      <c r="J300" s="177" t="str">
        <f>_ENGINE_Risk!CE798</f>
        <v>IW-ALL-IAM_PAM</v>
      </c>
      <c r="K300" s="177" t="str">
        <f>_ENGINE_Risk!BY798</f>
        <v>TRT-IAM_PAM-INITIAL</v>
      </c>
      <c r="L300" s="177" t="str">
        <f>_ENGINE_Risk!CP798</f>
        <v>Active</v>
      </c>
      <c r="M300" s="177" t="str">
        <f>_ENGINE_Risk!CQ798</f>
        <v>OK: capability-driven</v>
      </c>
      <c r="N300" s="177" t="str">
        <f>_ENGINE_Risk!CS798</f>
        <v>Yes</v>
      </c>
      <c r="O300" s="177" t="str">
        <f>_ENGINE_Risk!CO798</f>
        <v>IT Cloud DR|Cloud usage|ITCL-007|CAP_IAM_PAM</v>
      </c>
      <c r="P300" s="177" t="str">
        <f>_ENGINE_Risk!CR798</f>
        <v>Risk ontology uses capability=CAP_IAM_PAM; bridge=BRG-044; treatment=TRT-IAM_PAM-INITIAL; wording=IW-ALL-IAM_PAM</v>
      </c>
    </row>
    <row r="301" spans="1:16" ht="99" customHeight="1">
      <c r="A301" s="177" t="str">
        <f>_ENGINE_Risk!CM799</f>
        <v>RISK-ONT-0300</v>
      </c>
      <c r="B301" s="177">
        <f>ROW(_ENGINE_Risk!A799)</f>
        <v>799</v>
      </c>
      <c r="C301" s="177" t="str">
        <f>_ENGINE_Risk!E799</f>
        <v>ITCL-008</v>
      </c>
      <c r="D301" s="177" t="str">
        <f>_ENGINE_Risk!C799</f>
        <v>IT Cloud DR</v>
      </c>
      <c r="E301" s="177" t="str">
        <f>_ENGINE_Risk!D799</f>
        <v>Cloud usage</v>
      </c>
      <c r="F301" s="177" t="str">
        <f>_ENGINE_Risk!F799</f>
        <v>IT, cloud and disaster recovery</v>
      </c>
      <c r="G301" s="177" t="str">
        <f>_ENGINE_Risk!G799</f>
        <v>Severe risk: cloud provider, SaaS, region and managed-service concentration risk is not reliably controlled. During IT outage; Cloud outage; Data loss; Cyberattack, the organization may face system outage, data unavailability, excessive RTO/RPO and inability to restore critical technology services with limited visibility or accountability.</v>
      </c>
      <c r="H301" s="177" t="str">
        <f>_ENGINE_Risk!BT799</f>
        <v>CAP_IAM_PAM</v>
      </c>
      <c r="I301" s="177" t="str">
        <f>_ENGINE_Risk!BV799</f>
        <v>BRG-044</v>
      </c>
      <c r="J301" s="177" t="str">
        <f>_ENGINE_Risk!CE799</f>
        <v>IW-ALL-IAM_PAM</v>
      </c>
      <c r="K301" s="177" t="str">
        <f>_ENGINE_Risk!BY799</f>
        <v>TRT-IAM_PAM-INITIAL</v>
      </c>
      <c r="L301" s="177" t="str">
        <f>_ENGINE_Risk!CP799</f>
        <v>Active</v>
      </c>
      <c r="M301" s="177" t="str">
        <f>_ENGINE_Risk!CQ799</f>
        <v>OK: capability-driven</v>
      </c>
      <c r="N301" s="177" t="str">
        <f>_ENGINE_Risk!CS799</f>
        <v>Yes</v>
      </c>
      <c r="O301" s="177" t="str">
        <f>_ENGINE_Risk!CO799</f>
        <v>IT Cloud DR|Cloud usage|ITCL-008|CAP_IAM_PAM</v>
      </c>
      <c r="P301" s="177" t="str">
        <f>_ENGINE_Risk!CR799</f>
        <v>Risk ontology uses capability=CAP_IAM_PAM; bridge=BRG-044; treatment=TRT-IAM_PAM-INITIAL; wording=IW-ALL-IAM_PAM</v>
      </c>
    </row>
    <row r="302" spans="1:16" ht="99" customHeight="1">
      <c r="A302" s="177" t="str">
        <f>_ENGINE_Risk!CM800</f>
        <v>RISK-ONT-0301</v>
      </c>
      <c r="B302" s="177">
        <f>ROW(_ENGINE_Risk!A800)</f>
        <v>800</v>
      </c>
      <c r="C302" s="177" t="str">
        <f>_ENGINE_Risk!E800</f>
        <v>ITCL-009</v>
      </c>
      <c r="D302" s="177" t="str">
        <f>_ENGINE_Risk!C800</f>
        <v>IT Cloud DR</v>
      </c>
      <c r="E302" s="177" t="str">
        <f>_ENGINE_Risk!D800</f>
        <v>Cloud usage</v>
      </c>
      <c r="F302" s="177" t="str">
        <f>_ENGINE_Risk!F800</f>
        <v>IT, cloud and disaster recovery</v>
      </c>
      <c r="G302" s="177" t="str">
        <f>_ENGINE_Risk!G800</f>
        <v>Severe risk: multi-region, multi-zone or failover design for critical cloud services where justified is not reliably controlled. During IT outage; Cloud outage; Data loss; Cyberattack, the organization may face system outage, data unavailability, excessive RTO/RPO and inability to restore critical technology services with limited visibility or accountability.</v>
      </c>
      <c r="H302" s="177" t="str">
        <f>_ENGINE_Risk!BT800</f>
        <v>CAP_IAM_PAM</v>
      </c>
      <c r="I302" s="177" t="str">
        <f>_ENGINE_Risk!BV800</f>
        <v>BRG-044</v>
      </c>
      <c r="J302" s="177" t="str">
        <f>_ENGINE_Risk!CE800</f>
        <v>IW-ALL-IAM_PAM</v>
      </c>
      <c r="K302" s="177" t="str">
        <f>_ENGINE_Risk!BY800</f>
        <v>TRT-IAM_PAM-INITIAL</v>
      </c>
      <c r="L302" s="177" t="str">
        <f>_ENGINE_Risk!CP800</f>
        <v>Active</v>
      </c>
      <c r="M302" s="177" t="str">
        <f>_ENGINE_Risk!CQ800</f>
        <v>OK: capability-driven</v>
      </c>
      <c r="N302" s="177" t="str">
        <f>_ENGINE_Risk!CS800</f>
        <v>Yes</v>
      </c>
      <c r="O302" s="177" t="str">
        <f>_ENGINE_Risk!CO800</f>
        <v>IT Cloud DR|Cloud usage|ITCL-009|CAP_IAM_PAM</v>
      </c>
      <c r="P302" s="177" t="str">
        <f>_ENGINE_Risk!CR800</f>
        <v>Risk ontology uses capability=CAP_IAM_PAM; bridge=BRG-044; treatment=TRT-IAM_PAM-INITIAL; wording=IW-ALL-IAM_PAM</v>
      </c>
    </row>
    <row r="303" spans="1:16" ht="99" customHeight="1">
      <c r="A303" s="177" t="str">
        <f>_ENGINE_Risk!CM801</f>
        <v>RISK-ONT-0302</v>
      </c>
      <c r="B303" s="177">
        <f>ROW(_ENGINE_Risk!A801)</f>
        <v>801</v>
      </c>
      <c r="C303" s="177" t="str">
        <f>_ENGINE_Risk!E801</f>
        <v>ITCL-010</v>
      </c>
      <c r="D303" s="177" t="str">
        <f>_ENGINE_Risk!C801</f>
        <v>IT Cloud DR</v>
      </c>
      <c r="E303" s="177" t="str">
        <f>_ENGINE_Risk!D801</f>
        <v>Cloud usage</v>
      </c>
      <c r="F303" s="177" t="str">
        <f>_ENGINE_Risk!F801</f>
        <v>IT, cloud and disaster recovery</v>
      </c>
      <c r="G303" s="177" t="str">
        <f>_ENGINE_Risk!G801</f>
        <v>Severe risk: cloud cost monitoring, budgets, alerts, forecasting and FinOps practices is not reliably controlled. During IT outage; Cloud outage; Data loss; Cyberattack, the organization may face system outage, data unavailability, excessive RTO/RPO and inability to restore critical technology services with limited visibility or accountability.</v>
      </c>
      <c r="H303" s="177" t="str">
        <f>_ENGINE_Risk!BT801</f>
        <v>CAP_IAM_PAM</v>
      </c>
      <c r="I303" s="177" t="str">
        <f>_ENGINE_Risk!BV801</f>
        <v>BRG-044</v>
      </c>
      <c r="J303" s="177" t="str">
        <f>_ENGINE_Risk!CE801</f>
        <v>IW-ALL-IAM_PAM</v>
      </c>
      <c r="K303" s="177" t="str">
        <f>_ENGINE_Risk!BY801</f>
        <v>TRT-IAM_PAM-INITIAL</v>
      </c>
      <c r="L303" s="177" t="str">
        <f>_ENGINE_Risk!CP801</f>
        <v>Active</v>
      </c>
      <c r="M303" s="177" t="str">
        <f>_ENGINE_Risk!CQ801</f>
        <v>OK: capability-driven</v>
      </c>
      <c r="N303" s="177" t="str">
        <f>_ENGINE_Risk!CS801</f>
        <v>Yes</v>
      </c>
      <c r="O303" s="177" t="str">
        <f>_ENGINE_Risk!CO801</f>
        <v>IT Cloud DR|Cloud usage|ITCL-010|CAP_IAM_PAM</v>
      </c>
      <c r="P303" s="177" t="str">
        <f>_ENGINE_Risk!CR801</f>
        <v>Risk ontology uses capability=CAP_IAM_PAM; bridge=BRG-044; treatment=TRT-IAM_PAM-INITIAL; wording=IW-ALL-IAM_PAM</v>
      </c>
    </row>
    <row r="304" spans="1:16" ht="99" customHeight="1">
      <c r="A304" s="177" t="str">
        <f>_ENGINE_Risk!CM802</f>
        <v>RISK-ONT-0303</v>
      </c>
      <c r="B304" s="177">
        <f>ROW(_ENGINE_Risk!A802)</f>
        <v>802</v>
      </c>
      <c r="C304" s="177" t="str">
        <f>_ENGINE_Risk!E802</f>
        <v>ITCL-012</v>
      </c>
      <c r="D304" s="177" t="str">
        <f>_ENGINE_Risk!C802</f>
        <v>IT Cloud DR</v>
      </c>
      <c r="E304" s="177" t="str">
        <f>_ENGINE_Risk!D802</f>
        <v>Cloud usage</v>
      </c>
      <c r="F304" s="177" t="str">
        <f>_ENGINE_Risk!F802</f>
        <v>IT, cloud and disaster recovery</v>
      </c>
      <c r="G304" s="177" t="str">
        <f>_ENGINE_Risk!G802</f>
        <v>Severe risk: cloud backup and restore of configurations, data, infrastructure-as-code and managed services is not reliably controlled. During IT outage; Cloud outage; Data loss; Cyberattack, the organization may face system outage, data unavailability, excessive RTO/RPO and inability to restore critical technology services with limited visibility or accountability.</v>
      </c>
      <c r="H304" s="177" t="str">
        <f>_ENGINE_Risk!BT802</f>
        <v>CAP_IAM_PAM</v>
      </c>
      <c r="I304" s="177" t="str">
        <f>_ENGINE_Risk!BV802</f>
        <v>BRG-044</v>
      </c>
      <c r="J304" s="177" t="str">
        <f>_ENGINE_Risk!CE802</f>
        <v>IW-ALL-IAM_PAM</v>
      </c>
      <c r="K304" s="177" t="str">
        <f>_ENGINE_Risk!BY802</f>
        <v>TRT-IAM_PAM-INITIAL</v>
      </c>
      <c r="L304" s="177" t="str">
        <f>_ENGINE_Risk!CP802</f>
        <v>Active</v>
      </c>
      <c r="M304" s="177" t="str">
        <f>_ENGINE_Risk!CQ802</f>
        <v>OK: capability-driven</v>
      </c>
      <c r="N304" s="177" t="str">
        <f>_ENGINE_Risk!CS802</f>
        <v>Yes</v>
      </c>
      <c r="O304" s="177" t="str">
        <f>_ENGINE_Risk!CO802</f>
        <v>IT Cloud DR|Cloud usage|ITCL-012|CAP_IAM_PAM</v>
      </c>
      <c r="P304" s="177" t="str">
        <f>_ENGINE_Risk!CR802</f>
        <v>Risk ontology uses capability=CAP_IAM_PAM; bridge=BRG-044; treatment=TRT-IAM_PAM-INITIAL; wording=IW-ALL-IAM_PAM</v>
      </c>
    </row>
    <row r="305" spans="1:16" ht="99" customHeight="1">
      <c r="A305" s="177" t="str">
        <f>_ENGINE_Risk!CM803</f>
        <v>RISK-ONT-0304</v>
      </c>
      <c r="B305" s="177">
        <f>ROW(_ENGINE_Risk!A803)</f>
        <v>803</v>
      </c>
      <c r="C305" s="177" t="str">
        <f>_ENGINE_Risk!E803</f>
        <v>ITCL-013</v>
      </c>
      <c r="D305" s="177" t="str">
        <f>_ENGINE_Risk!C803</f>
        <v>IT Cloud DR</v>
      </c>
      <c r="E305" s="177" t="str">
        <f>_ENGINE_Risk!D803</f>
        <v>Resilience and DR</v>
      </c>
      <c r="F305" s="177" t="str">
        <f>_ENGINE_Risk!F803</f>
        <v>IT, cloud and disaster recovery</v>
      </c>
      <c r="G305" s="177" t="str">
        <f>_ENGINE_Risk!G803</f>
        <v>Severe risk: backup coverage for systems, databases, files, SaaS data, configurations and cloud resources is not reliably controlled. During IT outage; Cloud outage; Data loss; Cyberattack, the organization may face system outage, data unavailability, excessive RTO/RPO and inability to restore critical technology services with limited visibility or accountability.</v>
      </c>
      <c r="H305" s="177" t="str">
        <f>_ENGINE_Risk!BT803</f>
        <v>CAP_IAM_PAM</v>
      </c>
      <c r="I305" s="177" t="str">
        <f>_ENGINE_Risk!BV803</f>
        <v>BRG-047</v>
      </c>
      <c r="J305" s="177" t="str">
        <f>_ENGINE_Risk!CE803</f>
        <v>IW-ALL-IAM_PAM</v>
      </c>
      <c r="K305" s="177" t="str">
        <f>_ENGINE_Risk!BY803</f>
        <v>TRT-IAM_PAM-INITIAL</v>
      </c>
      <c r="L305" s="177" t="str">
        <f>_ENGINE_Risk!CP803</f>
        <v>Active</v>
      </c>
      <c r="M305" s="177" t="str">
        <f>_ENGINE_Risk!CQ803</f>
        <v>OK: capability-driven</v>
      </c>
      <c r="N305" s="177" t="str">
        <f>_ENGINE_Risk!CS803</f>
        <v>Yes</v>
      </c>
      <c r="O305" s="177" t="str">
        <f>_ENGINE_Risk!CO803</f>
        <v>IT Cloud DR|Resilience and DR|ITCL-013|CAP_IAM_PAM</v>
      </c>
      <c r="P305" s="177" t="str">
        <f>_ENGINE_Risk!CR803</f>
        <v>Risk ontology uses capability=CAP_IAM_PAM; bridge=BRG-047; treatment=TRT-IAM_PAM-INITIAL; wording=IW-ALL-IAM_PAM</v>
      </c>
    </row>
    <row r="306" spans="1:16" ht="84.9" customHeight="1">
      <c r="A306" s="177" t="str">
        <f>_ENGINE_Risk!CM804</f>
        <v>RISK-ONT-0305</v>
      </c>
      <c r="B306" s="177">
        <f>ROW(_ENGINE_Risk!A804)</f>
        <v>804</v>
      </c>
      <c r="C306" s="177" t="str">
        <f>_ENGINE_Risk!E804</f>
        <v>ITCL-014</v>
      </c>
      <c r="D306" s="177" t="str">
        <f>_ENGINE_Risk!C804</f>
        <v>IT Cloud DR</v>
      </c>
      <c r="E306" s="177" t="str">
        <f>_ENGINE_Risk!D804</f>
        <v>Resilience and DR</v>
      </c>
      <c r="F306" s="177" t="str">
        <f>_ENGINE_Risk!F804</f>
        <v>IT, cloud and disaster recovery</v>
      </c>
      <c r="G306" s="177" t="str">
        <f>_ENGINE_Risk!G804</f>
        <v>Severe risk: regular restore testing against defined RTO and RPO is not reliably controlled. During IT outage; Cloud outage; Data loss; Cyberattack, the organization may face system outage, data unavailability, excessive RTO/RPO and inability to restore critical technology services with limited visibility or accountability.</v>
      </c>
      <c r="H306" s="177" t="str">
        <f>_ENGINE_Risk!BT804</f>
        <v>CAP_IAM_PAM</v>
      </c>
      <c r="I306" s="177" t="str">
        <f>_ENGINE_Risk!BV804</f>
        <v>BRG-047</v>
      </c>
      <c r="J306" s="177" t="str">
        <f>_ENGINE_Risk!CE804</f>
        <v>IW-ALL-IAM_PAM</v>
      </c>
      <c r="K306" s="177" t="str">
        <f>_ENGINE_Risk!BY804</f>
        <v>TRT-IAM_PAM-INITIAL</v>
      </c>
      <c r="L306" s="177" t="str">
        <f>_ENGINE_Risk!CP804</f>
        <v>Active</v>
      </c>
      <c r="M306" s="177" t="str">
        <f>_ENGINE_Risk!CQ804</f>
        <v>OK: capability-driven</v>
      </c>
      <c r="N306" s="177" t="str">
        <f>_ENGINE_Risk!CS804</f>
        <v>Yes</v>
      </c>
      <c r="O306" s="177" t="str">
        <f>_ENGINE_Risk!CO804</f>
        <v>IT Cloud DR|Resilience and DR|ITCL-014|CAP_IAM_PAM</v>
      </c>
      <c r="P306" s="177" t="str">
        <f>_ENGINE_Risk!CR804</f>
        <v>Risk ontology uses capability=CAP_IAM_PAM; bridge=BRG-047; treatment=TRT-IAM_PAM-INITIAL; wording=IW-ALL-IAM_PAM</v>
      </c>
    </row>
    <row r="307" spans="1:16" ht="99" customHeight="1">
      <c r="A307" s="177" t="str">
        <f>_ENGINE_Risk!CM805</f>
        <v>RISK-ONT-0306</v>
      </c>
      <c r="B307" s="177">
        <f>ROW(_ENGINE_Risk!A805)</f>
        <v>805</v>
      </c>
      <c r="C307" s="177" t="str">
        <f>_ENGINE_Risk!E805</f>
        <v>ITCL-015</v>
      </c>
      <c r="D307" s="177" t="str">
        <f>_ENGINE_Risk!C805</f>
        <v>IT Cloud DR</v>
      </c>
      <c r="E307" s="177" t="str">
        <f>_ENGINE_Risk!D805</f>
        <v>Resilience and DR</v>
      </c>
      <c r="F307" s="177" t="str">
        <f>_ENGINE_Risk!F805</f>
        <v>IT, cloud and disaster recovery</v>
      </c>
      <c r="G307" s="177" t="str">
        <f>_ENGINE_Risk!G805</f>
        <v>Severe risk: DR runbooks for critical systems with owners, dependencies and communication rules is not reliably controlled. During IT outage; Cloud outage; Data loss; Cyberattack, the organization may face system outage, data unavailability, excessive RTO/RPO and inability to restore critical technology services with limited visibility or accountability.</v>
      </c>
      <c r="H307" s="177" t="str">
        <f>_ENGINE_Risk!BT805</f>
        <v>CAP_IAM_PAM</v>
      </c>
      <c r="I307" s="177" t="str">
        <f>_ENGINE_Risk!BV805</f>
        <v>BRG-047</v>
      </c>
      <c r="J307" s="177" t="str">
        <f>_ENGINE_Risk!CE805</f>
        <v>IW-ALL-IAM_PAM</v>
      </c>
      <c r="K307" s="177" t="str">
        <f>_ENGINE_Risk!BY805</f>
        <v>TRT-IAM_PAM-INITIAL</v>
      </c>
      <c r="L307" s="177" t="str">
        <f>_ENGINE_Risk!CP805</f>
        <v>Active</v>
      </c>
      <c r="M307" s="177" t="str">
        <f>_ENGINE_Risk!CQ805</f>
        <v>OK: capability-driven</v>
      </c>
      <c r="N307" s="177" t="str">
        <f>_ENGINE_Risk!CS805</f>
        <v>Yes</v>
      </c>
      <c r="O307" s="177" t="str">
        <f>_ENGINE_Risk!CO805</f>
        <v>IT Cloud DR|Resilience and DR|ITCL-015|CAP_IAM_PAM</v>
      </c>
      <c r="P307" s="177" t="str">
        <f>_ENGINE_Risk!CR805</f>
        <v>Risk ontology uses capability=CAP_IAM_PAM; bridge=BRG-047; treatment=TRT-IAM_PAM-INITIAL; wording=IW-ALL-IAM_PAM</v>
      </c>
    </row>
    <row r="308" spans="1:16" ht="99" customHeight="1">
      <c r="A308" s="177" t="str">
        <f>_ENGINE_Risk!CM806</f>
        <v>RISK-ONT-0307</v>
      </c>
      <c r="B308" s="177">
        <f>ROW(_ENGINE_Risk!A806)</f>
        <v>806</v>
      </c>
      <c r="C308" s="177" t="str">
        <f>_ENGINE_Risk!E806</f>
        <v>ITCL-016</v>
      </c>
      <c r="D308" s="177" t="str">
        <f>_ENGINE_Risk!C806</f>
        <v>IT Cloud DR</v>
      </c>
      <c r="E308" s="177" t="str">
        <f>_ENGINE_Risk!D806</f>
        <v>Resilience and DR</v>
      </c>
      <c r="F308" s="177" t="str">
        <f>_ENGINE_Risk!F806</f>
        <v>IT, cloud and disaster recovery</v>
      </c>
      <c r="G308" s="177" t="str">
        <f>_ENGINE_Risk!G806</f>
        <v>Severe risk: DR exercises for ransomware, cloud region failure, identity outage and data corruption is not reliably controlled. During IT outage; Cloud outage; Data loss; Cyberattack, the organization may face system outage, data unavailability, excessive RTO/RPO and inability to restore critical technology services with limited visibility or accountability.</v>
      </c>
      <c r="H308" s="177" t="str">
        <f>_ENGINE_Risk!BT806</f>
        <v>CAP_IAM_PAM</v>
      </c>
      <c r="I308" s="177" t="str">
        <f>_ENGINE_Risk!BV806</f>
        <v>BRG-047</v>
      </c>
      <c r="J308" s="177" t="str">
        <f>_ENGINE_Risk!CE806</f>
        <v>IW-ALL-IAM_PAM</v>
      </c>
      <c r="K308" s="177" t="str">
        <f>_ENGINE_Risk!BY806</f>
        <v>TRT-IAM_PAM-INITIAL</v>
      </c>
      <c r="L308" s="177" t="str">
        <f>_ENGINE_Risk!CP806</f>
        <v>Active</v>
      </c>
      <c r="M308" s="177" t="str">
        <f>_ENGINE_Risk!CQ806</f>
        <v>OK: capability-driven</v>
      </c>
      <c r="N308" s="177" t="str">
        <f>_ENGINE_Risk!CS806</f>
        <v>Yes</v>
      </c>
      <c r="O308" s="177" t="str">
        <f>_ENGINE_Risk!CO806</f>
        <v>IT Cloud DR|Resilience and DR|ITCL-016|CAP_IAM_PAM</v>
      </c>
      <c r="P308" s="177" t="str">
        <f>_ENGINE_Risk!CR806</f>
        <v>Risk ontology uses capability=CAP_IAM_PAM; bridge=BRG-047; treatment=TRT-IAM_PAM-INITIAL; wording=IW-ALL-IAM_PAM</v>
      </c>
    </row>
    <row r="309" spans="1:16" ht="99" customHeight="1">
      <c r="A309" s="177" t="str">
        <f>_ENGINE_Risk!CM807</f>
        <v>RISK-ONT-0308</v>
      </c>
      <c r="B309" s="177">
        <f>ROW(_ENGINE_Risk!A807)</f>
        <v>807</v>
      </c>
      <c r="C309" s="177" t="str">
        <f>_ENGINE_Risk!E807</f>
        <v>ITCL-017</v>
      </c>
      <c r="D309" s="177" t="str">
        <f>_ENGINE_Risk!C807</f>
        <v>IT Cloud DR</v>
      </c>
      <c r="E309" s="177" t="str">
        <f>_ENGINE_Risk!D807</f>
        <v>Resilience and DR</v>
      </c>
      <c r="F309" s="177" t="str">
        <f>_ENGINE_Risk!F807</f>
        <v>IT, cloud and disaster recovery</v>
      </c>
      <c r="G309" s="177" t="str">
        <f>_ENGINE_Risk!G807</f>
        <v>Severe risk: manual fallback for critical IT-dependent business processes is not reliably controlled. During IT outage; Cloud outage; Data loss; Cyberattack, the organization may face system outage, data unavailability, excessive RTO/RPO and inability to restore critical technology services with limited visibility or accountability.</v>
      </c>
      <c r="H309" s="177" t="str">
        <f>_ENGINE_Risk!BT807</f>
        <v>CAP_IAM_PAM</v>
      </c>
      <c r="I309" s="177" t="str">
        <f>_ENGINE_Risk!BV807</f>
        <v>BRG-047</v>
      </c>
      <c r="J309" s="177" t="str">
        <f>_ENGINE_Risk!CE807</f>
        <v>IW-ALL-IAM_PAM</v>
      </c>
      <c r="K309" s="177" t="str">
        <f>_ENGINE_Risk!BY807</f>
        <v>TRT-IAM_PAM-INITIAL</v>
      </c>
      <c r="L309" s="177" t="str">
        <f>_ENGINE_Risk!CP807</f>
        <v>Active</v>
      </c>
      <c r="M309" s="177" t="str">
        <f>_ENGINE_Risk!CQ807</f>
        <v>OK: capability-driven</v>
      </c>
      <c r="N309" s="177" t="str">
        <f>_ENGINE_Risk!CS807</f>
        <v>Yes</v>
      </c>
      <c r="O309" s="177" t="str">
        <f>_ENGINE_Risk!CO807</f>
        <v>IT Cloud DR|Resilience and DR|ITCL-017|CAP_IAM_PAM</v>
      </c>
      <c r="P309" s="177" t="str">
        <f>_ENGINE_Risk!CR807</f>
        <v>Risk ontology uses capability=CAP_IAM_PAM; bridge=BRG-047; treatment=TRT-IAM_PAM-INITIAL; wording=IW-ALL-IAM_PAM</v>
      </c>
    </row>
    <row r="310" spans="1:16" ht="99" customHeight="1">
      <c r="A310" s="177" t="str">
        <f>_ENGINE_Risk!CM808</f>
        <v>RISK-ONT-0309</v>
      </c>
      <c r="B310" s="177">
        <f>ROW(_ENGINE_Risk!A808)</f>
        <v>808</v>
      </c>
      <c r="C310" s="177" t="str">
        <f>_ENGINE_Risk!E808</f>
        <v>ITCL-018</v>
      </c>
      <c r="D310" s="177" t="str">
        <f>_ENGINE_Risk!C808</f>
        <v>IT Cloud DR</v>
      </c>
      <c r="E310" s="177" t="str">
        <f>_ENGINE_Risk!D808</f>
        <v>Resilience and DR</v>
      </c>
      <c r="F310" s="177" t="str">
        <f>_ENGINE_Risk!F808</f>
        <v>IT, cloud and disaster recovery</v>
      </c>
      <c r="G310" s="177" t="str">
        <f>_ENGINE_Risk!G808</f>
        <v>Severe risk: on-call coverage, escalation and vendor support for critical systems is not reliably controlled. During IT outage; Cloud outage; Data loss; Cyberattack, the organization may face system outage, data unavailability, excessive RTO/RPO and inability to restore critical technology services with limited visibility or accountability.</v>
      </c>
      <c r="H310" s="177" t="str">
        <f>_ENGINE_Risk!BT808</f>
        <v>CAP_IAM_PAM</v>
      </c>
      <c r="I310" s="177" t="str">
        <f>_ENGINE_Risk!BV808</f>
        <v>BRG-047</v>
      </c>
      <c r="J310" s="177" t="str">
        <f>_ENGINE_Risk!CE808</f>
        <v>IW-ALL-IAM_PAM</v>
      </c>
      <c r="K310" s="177" t="str">
        <f>_ENGINE_Risk!BY808</f>
        <v>TRT-IAM_PAM-INITIAL</v>
      </c>
      <c r="L310" s="177" t="str">
        <f>_ENGINE_Risk!CP808</f>
        <v>Active</v>
      </c>
      <c r="M310" s="177" t="str">
        <f>_ENGINE_Risk!CQ808</f>
        <v>OK: capability-driven</v>
      </c>
      <c r="N310" s="177" t="str">
        <f>_ENGINE_Risk!CS808</f>
        <v>Yes</v>
      </c>
      <c r="O310" s="177" t="str">
        <f>_ENGINE_Risk!CO808</f>
        <v>IT Cloud DR|Resilience and DR|ITCL-018|CAP_IAM_PAM</v>
      </c>
      <c r="P310" s="177" t="str">
        <f>_ENGINE_Risk!CR808</f>
        <v>Risk ontology uses capability=CAP_IAM_PAM; bridge=BRG-047; treatment=TRT-IAM_PAM-INITIAL; wording=IW-ALL-IAM_PAM</v>
      </c>
    </row>
    <row r="311" spans="1:16" ht="99" customHeight="1">
      <c r="A311" s="177" t="str">
        <f>_ENGINE_Risk!CM809</f>
        <v>RISK-ONT-0310</v>
      </c>
      <c r="B311" s="177">
        <f>ROW(_ENGINE_Risk!A809)</f>
        <v>809</v>
      </c>
      <c r="C311" s="177" t="str">
        <f>_ENGINE_Risk!E809</f>
        <v>ITCL-019</v>
      </c>
      <c r="D311" s="177" t="str">
        <f>_ENGINE_Risk!C809</f>
        <v>IT Cloud DR</v>
      </c>
      <c r="E311" s="177" t="str">
        <f>_ENGINE_Risk!D809</f>
        <v>Operations</v>
      </c>
      <c r="F311" s="177" t="str">
        <f>_ENGINE_Risk!F809</f>
        <v>IT, cloud and disaster recovery</v>
      </c>
      <c r="G311" s="177" t="str">
        <f>_ENGINE_Risk!G809</f>
        <v>Severe risk: IT service management for incidents, requests, problems, changes and assets is not reliably controlled. During IT outage; Cloud outage; Data loss; Cyberattack, the organization may face system outage, data unavailability, excessive RTO/RPO and inability to restore critical technology services with limited visibility or accountability.</v>
      </c>
      <c r="H311" s="177" t="str">
        <f>_ENGINE_Risk!BT809</f>
        <v>CAP_BACKUP_RECOVERY</v>
      </c>
      <c r="I311" s="177" t="str">
        <f>_ENGINE_Risk!BV809</f>
        <v>BRG-046</v>
      </c>
      <c r="J311" s="177" t="str">
        <f>_ENGINE_Risk!CE809</f>
        <v>IW-ALL-BACKUP_RECOVERY</v>
      </c>
      <c r="K311" s="177" t="str">
        <f>_ENGINE_Risk!BY809</f>
        <v>TRT-BACKUP_RECOVERY-INITIAL</v>
      </c>
      <c r="L311" s="177" t="str">
        <f>_ENGINE_Risk!CP809</f>
        <v>Active</v>
      </c>
      <c r="M311" s="177" t="str">
        <f>_ENGINE_Risk!CQ809</f>
        <v>OK: capability-driven</v>
      </c>
      <c r="N311" s="177" t="str">
        <f>_ENGINE_Risk!CS809</f>
        <v>Yes</v>
      </c>
      <c r="O311" s="177" t="str">
        <f>_ENGINE_Risk!CO809</f>
        <v>IT Cloud DR|Operations|ITCL-019|CAP_BACKUP_RECOVERY</v>
      </c>
      <c r="P311" s="177" t="str">
        <f>_ENGINE_Risk!CR809</f>
        <v>Risk ontology uses capability=CAP_BACKUP_RECOVERY; bridge=BRG-046; treatment=TRT-BACKUP_RECOVERY-INITIAL; wording=IW-ALL-BACKUP_RECOVERY</v>
      </c>
    </row>
    <row r="312" spans="1:16" ht="99" customHeight="1">
      <c r="A312" s="177" t="str">
        <f>_ENGINE_Risk!CM810</f>
        <v>RISK-ONT-0311</v>
      </c>
      <c r="B312" s="177">
        <f>ROW(_ENGINE_Risk!A810)</f>
        <v>810</v>
      </c>
      <c r="C312" s="177" t="str">
        <f>_ENGINE_Risk!E810</f>
        <v>ITCL-020</v>
      </c>
      <c r="D312" s="177" t="str">
        <f>_ENGINE_Risk!C810</f>
        <v>IT Cloud DR</v>
      </c>
      <c r="E312" s="177" t="str">
        <f>_ENGINE_Risk!D810</f>
        <v>Operations</v>
      </c>
      <c r="F312" s="177" t="str">
        <f>_ENGINE_Risk!F810</f>
        <v>IT, cloud and disaster recovery</v>
      </c>
      <c r="G312" s="177" t="str">
        <f>_ENGINE_Risk!G810</f>
        <v>Severe risk: monitoring and alerting for availability, performance, capacity, security and user impact is not reliably controlled. During IT outage; Cloud outage; Data loss; Cyberattack, the organization may face system outage, data unavailability, excessive RTO/RPO and inability to restore critical technology services with limited visibility or accountability.</v>
      </c>
      <c r="H312" s="177" t="str">
        <f>_ENGINE_Risk!BT810</f>
        <v>CAP_BACKUP_RECOVERY</v>
      </c>
      <c r="I312" s="177" t="str">
        <f>_ENGINE_Risk!BV810</f>
        <v>BRG-046</v>
      </c>
      <c r="J312" s="177" t="str">
        <f>_ENGINE_Risk!CE810</f>
        <v>IW-ALL-BACKUP_RECOVERY</v>
      </c>
      <c r="K312" s="177" t="str">
        <f>_ENGINE_Risk!BY810</f>
        <v>TRT-BACKUP_RECOVERY-INITIAL</v>
      </c>
      <c r="L312" s="177" t="str">
        <f>_ENGINE_Risk!CP810</f>
        <v>Active</v>
      </c>
      <c r="M312" s="177" t="str">
        <f>_ENGINE_Risk!CQ810</f>
        <v>OK: capability-driven</v>
      </c>
      <c r="N312" s="177" t="str">
        <f>_ENGINE_Risk!CS810</f>
        <v>Yes</v>
      </c>
      <c r="O312" s="177" t="str">
        <f>_ENGINE_Risk!CO810</f>
        <v>IT Cloud DR|Operations|ITCL-020|CAP_BACKUP_RECOVERY</v>
      </c>
      <c r="P312" s="177" t="str">
        <f>_ENGINE_Risk!CR810</f>
        <v>Risk ontology uses capability=CAP_BACKUP_RECOVERY; bridge=BRG-046; treatment=TRT-BACKUP_RECOVERY-INITIAL; wording=IW-ALL-BACKUP_RECOVERY</v>
      </c>
    </row>
    <row r="313" spans="1:16" ht="99" customHeight="1">
      <c r="A313" s="177" t="str">
        <f>_ENGINE_Risk!CM811</f>
        <v>RISK-ONT-0312</v>
      </c>
      <c r="B313" s="177">
        <f>ROW(_ENGINE_Risk!A811)</f>
        <v>811</v>
      </c>
      <c r="C313" s="177" t="str">
        <f>_ENGINE_Risk!E811</f>
        <v>ITCL-021</v>
      </c>
      <c r="D313" s="177" t="str">
        <f>_ENGINE_Risk!C811</f>
        <v>IT Cloud DR</v>
      </c>
      <c r="E313" s="177" t="str">
        <f>_ENGINE_Risk!D811</f>
        <v>Operations</v>
      </c>
      <c r="F313" s="177" t="str">
        <f>_ENGINE_Risk!F811</f>
        <v>IT, cloud and disaster recovery</v>
      </c>
      <c r="G313" s="177" t="str">
        <f>_ENGINE_Risk!G811</f>
        <v>Severe risk: network resilience for internet, DNS, firewalls, VPN/ZTNA, routing and telecom is not reliably controlled. During IT outage; Cloud outage; Data loss; Cyberattack, the organization may face system outage, data unavailability, excessive RTO/RPO and inability to restore critical technology services with limited visibility or accountability.</v>
      </c>
      <c r="H313" s="177" t="str">
        <f>_ENGINE_Risk!BT811</f>
        <v>CAP_BACKUP_RECOVERY</v>
      </c>
      <c r="I313" s="177" t="str">
        <f>_ENGINE_Risk!BV811</f>
        <v>BRG-046</v>
      </c>
      <c r="J313" s="177" t="str">
        <f>_ENGINE_Risk!CE811</f>
        <v>IW-ALL-BACKUP_RECOVERY</v>
      </c>
      <c r="K313" s="177" t="str">
        <f>_ENGINE_Risk!BY811</f>
        <v>TRT-BACKUP_RECOVERY-INITIAL</v>
      </c>
      <c r="L313" s="177" t="str">
        <f>_ENGINE_Risk!CP811</f>
        <v>Active</v>
      </c>
      <c r="M313" s="177" t="str">
        <f>_ENGINE_Risk!CQ811</f>
        <v>OK: capability-driven</v>
      </c>
      <c r="N313" s="177" t="str">
        <f>_ENGINE_Risk!CS811</f>
        <v>Yes</v>
      </c>
      <c r="O313" s="177" t="str">
        <f>_ENGINE_Risk!CO811</f>
        <v>IT Cloud DR|Operations|ITCL-021|CAP_BACKUP_RECOVERY</v>
      </c>
      <c r="P313" s="177" t="str">
        <f>_ENGINE_Risk!CR811</f>
        <v>Risk ontology uses capability=CAP_BACKUP_RECOVERY; bridge=BRG-046; treatment=TRT-BACKUP_RECOVERY-INITIAL; wording=IW-ALL-BACKUP_RECOVERY</v>
      </c>
    </row>
    <row r="314" spans="1:16" ht="99" customHeight="1">
      <c r="A314" s="177" t="str">
        <f>_ENGINE_Risk!CM812</f>
        <v>RISK-ONT-0313</v>
      </c>
      <c r="B314" s="177">
        <f>ROW(_ENGINE_Risk!A812)</f>
        <v>812</v>
      </c>
      <c r="C314" s="177" t="str">
        <f>_ENGINE_Risk!E812</f>
        <v>ITCL-022</v>
      </c>
      <c r="D314" s="177" t="str">
        <f>_ENGINE_Risk!C812</f>
        <v>IT Cloud DR</v>
      </c>
      <c r="E314" s="177" t="str">
        <f>_ENGINE_Risk!D812</f>
        <v>Operations</v>
      </c>
      <c r="F314" s="177" t="str">
        <f>_ENGINE_Risk!F812</f>
        <v>IT, cloud and disaster recovery</v>
      </c>
      <c r="G314" s="177" t="str">
        <f>_ENGINE_Risk!G812</f>
        <v>Severe risk: secure remote access for critical users during remote-only operations is not reliably controlled. During IT outage; Cloud outage; Data loss; Cyberattack, the organization may face system outage, data unavailability, excessive RTO/RPO and inability to restore critical technology services with limited visibility or accountability.</v>
      </c>
      <c r="H314" s="177" t="str">
        <f>_ENGINE_Risk!BT812</f>
        <v>CAP_BACKUP_RECOVERY</v>
      </c>
      <c r="I314" s="177" t="str">
        <f>_ENGINE_Risk!BV812</f>
        <v>BRG-046</v>
      </c>
      <c r="J314" s="177" t="str">
        <f>_ENGINE_Risk!CE812</f>
        <v>IW-ALL-BACKUP_RECOVERY</v>
      </c>
      <c r="K314" s="177" t="str">
        <f>_ENGINE_Risk!BY812</f>
        <v>TRT-BACKUP_RECOVERY-INITIAL</v>
      </c>
      <c r="L314" s="177" t="str">
        <f>_ENGINE_Risk!CP812</f>
        <v>Active</v>
      </c>
      <c r="M314" s="177" t="str">
        <f>_ENGINE_Risk!CQ812</f>
        <v>OK: capability-driven</v>
      </c>
      <c r="N314" s="177" t="str">
        <f>_ENGINE_Risk!CS812</f>
        <v>Yes</v>
      </c>
      <c r="O314" s="177" t="str">
        <f>_ENGINE_Risk!CO812</f>
        <v>IT Cloud DR|Operations|ITCL-022|CAP_BACKUP_RECOVERY</v>
      </c>
      <c r="P314" s="177" t="str">
        <f>_ENGINE_Risk!CR812</f>
        <v>Risk ontology uses capability=CAP_BACKUP_RECOVERY; bridge=BRG-046; treatment=TRT-BACKUP_RECOVERY-INITIAL; wording=IW-ALL-BACKUP_RECOVERY</v>
      </c>
    </row>
    <row r="315" spans="1:16" ht="99" customHeight="1">
      <c r="A315" s="177" t="str">
        <f>_ENGINE_Risk!CM813</f>
        <v>RISK-ONT-0314</v>
      </c>
      <c r="B315" s="177">
        <f>ROW(_ENGINE_Risk!A813)</f>
        <v>813</v>
      </c>
      <c r="C315" s="177" t="str">
        <f>_ENGINE_Risk!E813</f>
        <v>ITCL-023</v>
      </c>
      <c r="D315" s="177" t="str">
        <f>_ENGINE_Risk!C813</f>
        <v>IT Cloud DR</v>
      </c>
      <c r="E315" s="177" t="str">
        <f>_ENGINE_Risk!D813</f>
        <v>Operations</v>
      </c>
      <c r="F315" s="177" t="str">
        <f>_ENGINE_Risk!F813</f>
        <v>IT, cloud and disaster recovery</v>
      </c>
      <c r="G315" s="177" t="str">
        <f>_ENGINE_Risk!G813</f>
        <v>Severe risk: endpoint inventory, patching, encryption, backup and remote management is not reliably controlled. During IT outage; Cloud outage; Data loss; Cyberattack, the organization may face system outage, data unavailability, excessive RTO/RPO and inability to restore critical technology services with limited visibility or accountability.</v>
      </c>
      <c r="H315" s="177" t="str">
        <f>_ENGINE_Risk!BT813</f>
        <v>CAP_BACKUP_RECOVERY</v>
      </c>
      <c r="I315" s="177" t="str">
        <f>_ENGINE_Risk!BV813</f>
        <v>BRG-046</v>
      </c>
      <c r="J315" s="177" t="str">
        <f>_ENGINE_Risk!CE813</f>
        <v>IW-ALL-BACKUP_RECOVERY</v>
      </c>
      <c r="K315" s="177" t="str">
        <f>_ENGINE_Risk!BY813</f>
        <v>TRT-BACKUP_RECOVERY-INITIAL</v>
      </c>
      <c r="L315" s="177" t="str">
        <f>_ENGINE_Risk!CP813</f>
        <v>Active</v>
      </c>
      <c r="M315" s="177" t="str">
        <f>_ENGINE_Risk!CQ813</f>
        <v>OK: capability-driven</v>
      </c>
      <c r="N315" s="177" t="str">
        <f>_ENGINE_Risk!CS813</f>
        <v>Yes</v>
      </c>
      <c r="O315" s="177" t="str">
        <f>_ENGINE_Risk!CO813</f>
        <v>IT Cloud DR|Operations|ITCL-023|CAP_BACKUP_RECOVERY</v>
      </c>
      <c r="P315" s="177" t="str">
        <f>_ENGINE_Risk!CR813</f>
        <v>Risk ontology uses capability=CAP_BACKUP_RECOVERY; bridge=BRG-046; treatment=TRT-BACKUP_RECOVERY-INITIAL; wording=IW-ALL-BACKUP_RECOVERY</v>
      </c>
    </row>
    <row r="316" spans="1:16" ht="99" customHeight="1">
      <c r="A316" s="177" t="str">
        <f>_ENGINE_Risk!CM814</f>
        <v>RISK-ONT-0315</v>
      </c>
      <c r="B316" s="177">
        <f>ROW(_ENGINE_Risk!A814)</f>
        <v>814</v>
      </c>
      <c r="C316" s="177" t="str">
        <f>_ENGINE_Risk!E814</f>
        <v>ITCL-024</v>
      </c>
      <c r="D316" s="177" t="str">
        <f>_ENGINE_Risk!C814</f>
        <v>IT Cloud DR</v>
      </c>
      <c r="E316" s="177" t="str">
        <f>_ENGINE_Risk!D814</f>
        <v>Operations</v>
      </c>
      <c r="F316" s="177" t="str">
        <f>_ENGINE_Risk!F814</f>
        <v>IT, cloud and disaster recovery</v>
      </c>
      <c r="G316" s="177" t="str">
        <f>_ENGINE_Risk!G814</f>
        <v>Severe risk: license continuity for software, cloud services and critical SaaS tools is not reliably controlled. During IT outage; Cloud outage; Data loss; Cyberattack, the organization may face system outage, data unavailability, excessive RTO/RPO and inability to restore critical technology services with limited visibility or accountability.</v>
      </c>
      <c r="H316" s="177" t="str">
        <f>_ENGINE_Risk!BT814</f>
        <v>CAP_BACKUP_RECOVERY</v>
      </c>
      <c r="I316" s="177" t="str">
        <f>_ENGINE_Risk!BV814</f>
        <v>BRG-046</v>
      </c>
      <c r="J316" s="177" t="str">
        <f>_ENGINE_Risk!CE814</f>
        <v>IW-ALL-BACKUP_RECOVERY</v>
      </c>
      <c r="K316" s="177" t="str">
        <f>_ENGINE_Risk!BY814</f>
        <v>TRT-BACKUP_RECOVERY-INITIAL</v>
      </c>
      <c r="L316" s="177" t="str">
        <f>_ENGINE_Risk!CP814</f>
        <v>Active</v>
      </c>
      <c r="M316" s="177" t="str">
        <f>_ENGINE_Risk!CQ814</f>
        <v>OK: capability-driven</v>
      </c>
      <c r="N316" s="177" t="str">
        <f>_ENGINE_Risk!CS814</f>
        <v>Yes</v>
      </c>
      <c r="O316" s="177" t="str">
        <f>_ENGINE_Risk!CO814</f>
        <v>IT Cloud DR|Operations|ITCL-024|CAP_BACKUP_RECOVERY</v>
      </c>
      <c r="P316" s="177" t="str">
        <f>_ENGINE_Risk!CR814</f>
        <v>Risk ontology uses capability=CAP_BACKUP_RECOVERY; bridge=BRG-046; treatment=TRT-BACKUP_RECOVERY-INITIAL; wording=IW-ALL-BACKUP_RECOVERY</v>
      </c>
    </row>
    <row r="317" spans="1:16" ht="99" customHeight="1">
      <c r="A317" s="177" t="str">
        <f>_ENGINE_Risk!CM815</f>
        <v>RISK-ONT-0316</v>
      </c>
      <c r="B317" s="177">
        <f>ROW(_ENGINE_Risk!A815)</f>
        <v>815</v>
      </c>
      <c r="C317" s="177" t="str">
        <f>_ENGINE_Risk!E815</f>
        <v>ITCL-025</v>
      </c>
      <c r="D317" s="177" t="str">
        <f>_ENGINE_Risk!C815</f>
        <v>IT Cloud DR</v>
      </c>
      <c r="E317" s="177" t="str">
        <f>_ENGINE_Risk!D815</f>
        <v>SaaS and integrations</v>
      </c>
      <c r="F317" s="177" t="str">
        <f>_ENGINE_Risk!F815</f>
        <v>IT, cloud and disaster recovery</v>
      </c>
      <c r="G317" s="177" t="str">
        <f>_ENGINE_Risk!G815</f>
        <v>Severe risk: critical SaaS assessment for availability, export, backup, admin access, integrations and contract continuity is not reliably controlled. During IT outage; Cloud outage; Data loss; Cyberattack, the organization may face system outage, data unavailability, excessive RTO/RPO and inability to restore critical technology services with limited visibility or accountability.</v>
      </c>
      <c r="H317" s="177" t="str">
        <f>_ENGINE_Risk!BT815</f>
        <v>CAP_BACKUP_RECOVERY</v>
      </c>
      <c r="I317" s="177" t="str">
        <f>_ENGINE_Risk!BV815</f>
        <v>BRG-048</v>
      </c>
      <c r="J317" s="177" t="str">
        <f>_ENGINE_Risk!CE815</f>
        <v>IW-ALL-BACKUP_RECOVERY</v>
      </c>
      <c r="K317" s="177" t="str">
        <f>_ENGINE_Risk!BY815</f>
        <v>TRT-BACKUP_RECOVERY-INITIAL</v>
      </c>
      <c r="L317" s="177" t="str">
        <f>_ENGINE_Risk!CP815</f>
        <v>Active</v>
      </c>
      <c r="M317" s="177" t="str">
        <f>_ENGINE_Risk!CQ815</f>
        <v>OK: capability-driven</v>
      </c>
      <c r="N317" s="177" t="str">
        <f>_ENGINE_Risk!CS815</f>
        <v>Yes</v>
      </c>
      <c r="O317" s="177" t="str">
        <f>_ENGINE_Risk!CO815</f>
        <v>IT Cloud DR|SaaS and integrations|ITCL-025|CAP_BACKUP_RECOVERY</v>
      </c>
      <c r="P317" s="177" t="str">
        <f>_ENGINE_Risk!CR815</f>
        <v>Risk ontology uses capability=CAP_BACKUP_RECOVERY; bridge=BRG-048; treatment=TRT-BACKUP_RECOVERY-INITIAL; wording=IW-ALL-BACKUP_RECOVERY</v>
      </c>
    </row>
    <row r="318" spans="1:16" ht="99" customHeight="1">
      <c r="A318" s="177" t="str">
        <f>_ENGINE_Risk!CM816</f>
        <v>RISK-ONT-0317</v>
      </c>
      <c r="B318" s="177">
        <f>ROW(_ENGINE_Risk!A816)</f>
        <v>816</v>
      </c>
      <c r="C318" s="177" t="str">
        <f>_ENGINE_Risk!E816</f>
        <v>ITCL-026</v>
      </c>
      <c r="D318" s="177" t="str">
        <f>_ENGINE_Risk!C816</f>
        <v>IT Cloud DR</v>
      </c>
      <c r="E318" s="177" t="str">
        <f>_ENGINE_Risk!D816</f>
        <v>SaaS and integrations</v>
      </c>
      <c r="F318" s="177" t="str">
        <f>_ENGINE_Risk!F816</f>
        <v>IT, cloud and disaster recovery</v>
      </c>
      <c r="G318" s="177" t="str">
        <f>_ENGINE_Risk!G816</f>
        <v>Severe risk: SaaS data backup or exportability if provider or account becomes unavailable is not reliably controlled. During IT outage; Cloud outage; Data loss; Cyberattack, the organization may face system outage, data unavailability, excessive RTO/RPO and inability to restore critical technology services with limited visibility or accountability.</v>
      </c>
      <c r="H318" s="177" t="str">
        <f>_ENGINE_Risk!BT816</f>
        <v>CAP_BACKUP_RECOVERY</v>
      </c>
      <c r="I318" s="177" t="str">
        <f>_ENGINE_Risk!BV816</f>
        <v>BRG-048</v>
      </c>
      <c r="J318" s="177" t="str">
        <f>_ENGINE_Risk!CE816</f>
        <v>IW-ALL-BACKUP_RECOVERY</v>
      </c>
      <c r="K318" s="177" t="str">
        <f>_ENGINE_Risk!BY816</f>
        <v>TRT-BACKUP_RECOVERY-INITIAL</v>
      </c>
      <c r="L318" s="177" t="str">
        <f>_ENGINE_Risk!CP816</f>
        <v>Active</v>
      </c>
      <c r="M318" s="177" t="str">
        <f>_ENGINE_Risk!CQ816</f>
        <v>OK: capability-driven</v>
      </c>
      <c r="N318" s="177" t="str">
        <f>_ENGINE_Risk!CS816</f>
        <v>Yes</v>
      </c>
      <c r="O318" s="177" t="str">
        <f>_ENGINE_Risk!CO816</f>
        <v>IT Cloud DR|SaaS and integrations|ITCL-026|CAP_BACKUP_RECOVERY</v>
      </c>
      <c r="P318" s="177" t="str">
        <f>_ENGINE_Risk!CR816</f>
        <v>Risk ontology uses capability=CAP_BACKUP_RECOVERY; bridge=BRG-048; treatment=TRT-BACKUP_RECOVERY-INITIAL; wording=IW-ALL-BACKUP_RECOVERY</v>
      </c>
    </row>
    <row r="319" spans="1:16" ht="99" customHeight="1">
      <c r="A319" s="177" t="str">
        <f>_ENGINE_Risk!CM817</f>
        <v>RISK-ONT-0318</v>
      </c>
      <c r="B319" s="177">
        <f>ROW(_ENGINE_Risk!A817)</f>
        <v>817</v>
      </c>
      <c r="C319" s="177" t="str">
        <f>_ENGINE_Risk!E817</f>
        <v>ITCL-027</v>
      </c>
      <c r="D319" s="177" t="str">
        <f>_ENGINE_Risk!C817</f>
        <v>IT Cloud DR</v>
      </c>
      <c r="E319" s="177" t="str">
        <f>_ENGINE_Risk!D817</f>
        <v>SaaS and integrations</v>
      </c>
      <c r="F319" s="177" t="str">
        <f>_ENGINE_Risk!F817</f>
        <v>IT, cloud and disaster recovery</v>
      </c>
      <c r="G319" s="177" t="str">
        <f>_ENGINE_Risk!G817</f>
        <v>Severe risk: API, ETL, middleware, file exchange and manual integration catalog is not reliably controlled. During IT outage; Cloud outage; Data loss; Cyberattack, the organization may face system outage, data unavailability, excessive RTO/RPO and inability to restore critical technology services with limited visibility or accountability.</v>
      </c>
      <c r="H319" s="177" t="str">
        <f>_ENGINE_Risk!BT817</f>
        <v>CAP_BACKUP_RECOVERY</v>
      </c>
      <c r="I319" s="177" t="str">
        <f>_ENGINE_Risk!BV817</f>
        <v>BRG-048</v>
      </c>
      <c r="J319" s="177" t="str">
        <f>_ENGINE_Risk!CE817</f>
        <v>IW-ALL-BACKUP_RECOVERY</v>
      </c>
      <c r="K319" s="177" t="str">
        <f>_ENGINE_Risk!BY817</f>
        <v>TRT-BACKUP_RECOVERY-INITIAL</v>
      </c>
      <c r="L319" s="177" t="str">
        <f>_ENGINE_Risk!CP817</f>
        <v>Active</v>
      </c>
      <c r="M319" s="177" t="str">
        <f>_ENGINE_Risk!CQ817</f>
        <v>OK: capability-driven</v>
      </c>
      <c r="N319" s="177" t="str">
        <f>_ENGINE_Risk!CS817</f>
        <v>Yes</v>
      </c>
      <c r="O319" s="177" t="str">
        <f>_ENGINE_Risk!CO817</f>
        <v>IT Cloud DR|SaaS and integrations|ITCL-027|CAP_BACKUP_RECOVERY</v>
      </c>
      <c r="P319" s="177" t="str">
        <f>_ENGINE_Risk!CR817</f>
        <v>Risk ontology uses capability=CAP_BACKUP_RECOVERY; bridge=BRG-048; treatment=TRT-BACKUP_RECOVERY-INITIAL; wording=IW-ALL-BACKUP_RECOVERY</v>
      </c>
    </row>
    <row r="320" spans="1:16" ht="99" customHeight="1">
      <c r="A320" s="177" t="str">
        <f>_ENGINE_Risk!CM818</f>
        <v>RISK-ONT-0319</v>
      </c>
      <c r="B320" s="177">
        <f>ROW(_ENGINE_Risk!A818)</f>
        <v>818</v>
      </c>
      <c r="C320" s="177" t="str">
        <f>_ENGINE_Risk!E818</f>
        <v>ITCL-028</v>
      </c>
      <c r="D320" s="177" t="str">
        <f>_ENGINE_Risk!C818</f>
        <v>IT Cloud DR</v>
      </c>
      <c r="E320" s="177" t="str">
        <f>_ENGINE_Risk!D818</f>
        <v>SaaS and integrations</v>
      </c>
      <c r="F320" s="177" t="str">
        <f>_ENGINE_Risk!F818</f>
        <v>IT, cloud and disaster recovery</v>
      </c>
      <c r="G320" s="177" t="str">
        <f>_ENGINE_Risk!G818</f>
        <v>Severe risk: integration monitoring, retry, queue, reconciliation and fallback procedures is not reliably controlled. During IT outage; Cloud outage; Data loss; Cyberattack, the organization may face system outage, data unavailability, excessive RTO/RPO and inability to restore critical technology services with limited visibility or accountability.</v>
      </c>
      <c r="H320" s="177" t="str">
        <f>_ENGINE_Risk!BT818</f>
        <v>CAP_BACKUP_RECOVERY</v>
      </c>
      <c r="I320" s="177" t="str">
        <f>_ENGINE_Risk!BV818</f>
        <v>BRG-048</v>
      </c>
      <c r="J320" s="177" t="str">
        <f>_ENGINE_Risk!CE818</f>
        <v>IW-ALL-BACKUP_RECOVERY</v>
      </c>
      <c r="K320" s="177" t="str">
        <f>_ENGINE_Risk!BY818</f>
        <v>TRT-BACKUP_RECOVERY-INITIAL</v>
      </c>
      <c r="L320" s="177" t="str">
        <f>_ENGINE_Risk!CP818</f>
        <v>Active</v>
      </c>
      <c r="M320" s="177" t="str">
        <f>_ENGINE_Risk!CQ818</f>
        <v>OK: capability-driven</v>
      </c>
      <c r="N320" s="177" t="str">
        <f>_ENGINE_Risk!CS818</f>
        <v>Yes</v>
      </c>
      <c r="O320" s="177" t="str">
        <f>_ENGINE_Risk!CO818</f>
        <v>IT Cloud DR|SaaS and integrations|ITCL-028|CAP_BACKUP_RECOVERY</v>
      </c>
      <c r="P320" s="177" t="str">
        <f>_ENGINE_Risk!CR818</f>
        <v>Risk ontology uses capability=CAP_BACKUP_RECOVERY; bridge=BRG-048; treatment=TRT-BACKUP_RECOVERY-INITIAL; wording=IW-ALL-BACKUP_RECOVERY</v>
      </c>
    </row>
    <row r="321" spans="1:16" ht="99" customHeight="1">
      <c r="A321" s="177" t="str">
        <f>_ENGINE_Risk!CM819</f>
        <v>RISK-ONT-0320</v>
      </c>
      <c r="B321" s="177">
        <f>ROW(_ENGINE_Risk!A819)</f>
        <v>819</v>
      </c>
      <c r="C321" s="177" t="str">
        <f>_ENGINE_Risk!E819</f>
        <v>ITCL-029</v>
      </c>
      <c r="D321" s="177" t="str">
        <f>_ENGINE_Risk!C819</f>
        <v>IT Cloud DR</v>
      </c>
      <c r="E321" s="177" t="str">
        <f>_ENGINE_Risk!D819</f>
        <v>SaaS and integrations</v>
      </c>
      <c r="F321" s="177" t="str">
        <f>_ENGINE_Risk!F819</f>
        <v>IT, cloud and disaster recovery</v>
      </c>
      <c r="G321" s="177" t="str">
        <f>_ENGINE_Risk!G819</f>
        <v>Severe risk: configuration management and version control for infrastructure, cloud and applications is not reliably controlled. During IT outage; Cloud outage; Data loss; Cyberattack, the organization may face system outage, data unavailability, excessive RTO/RPO and inability to restore critical technology services with limited visibility or accountability.</v>
      </c>
      <c r="H321" s="177" t="str">
        <f>_ENGINE_Risk!BT819</f>
        <v>CAP_BACKUP_RECOVERY</v>
      </c>
      <c r="I321" s="177" t="str">
        <f>_ENGINE_Risk!BV819</f>
        <v>BRG-048</v>
      </c>
      <c r="J321" s="177" t="str">
        <f>_ENGINE_Risk!CE819</f>
        <v>IW-ALL-BACKUP_RECOVERY</v>
      </c>
      <c r="K321" s="177" t="str">
        <f>_ENGINE_Risk!BY819</f>
        <v>TRT-BACKUP_RECOVERY-INITIAL</v>
      </c>
      <c r="L321" s="177" t="str">
        <f>_ENGINE_Risk!CP819</f>
        <v>Active</v>
      </c>
      <c r="M321" s="177" t="str">
        <f>_ENGINE_Risk!CQ819</f>
        <v>OK: capability-driven</v>
      </c>
      <c r="N321" s="177" t="str">
        <f>_ENGINE_Risk!CS819</f>
        <v>Yes</v>
      </c>
      <c r="O321" s="177" t="str">
        <f>_ENGINE_Risk!CO819</f>
        <v>IT Cloud DR|SaaS and integrations|ITCL-029|CAP_BACKUP_RECOVERY</v>
      </c>
      <c r="P321" s="177" t="str">
        <f>_ENGINE_Risk!CR819</f>
        <v>Risk ontology uses capability=CAP_BACKUP_RECOVERY; bridge=BRG-048; treatment=TRT-BACKUP_RECOVERY-INITIAL; wording=IW-ALL-BACKUP_RECOVERY</v>
      </c>
    </row>
    <row r="322" spans="1:16" ht="99" customHeight="1">
      <c r="A322" s="177" t="str">
        <f>_ENGINE_Risk!CM820</f>
        <v>RISK-ONT-0321</v>
      </c>
      <c r="B322" s="177">
        <f>ROW(_ENGINE_Risk!A820)</f>
        <v>820</v>
      </c>
      <c r="C322" s="177" t="str">
        <f>_ENGINE_Risk!E820</f>
        <v>BUSI-001</v>
      </c>
      <c r="D322" s="177" t="str">
        <f>_ENGINE_Risk!C820</f>
        <v>Business Systems</v>
      </c>
      <c r="E322" s="177" t="str">
        <f>_ENGINE_Risk!D820</f>
        <v>ERP</v>
      </c>
      <c r="F322" s="177" t="str">
        <f>_ENGINE_Risk!F820</f>
        <v>Enterprise systems and application continuity</v>
      </c>
      <c r="G322" s="177" t="str">
        <f>_ENGINE_Risk!G820</f>
        <v>Severe risk: ERP process coverage for finance, procurement, inventory, orders, production or project accounting is not reliably controlled. During IT outage; Decision failure; Process disruption, the organization may face ERP, CRM, MES or HRMS disruption, broken integrations and manual workarounds that fail under stress with limited visibility or accountability.</v>
      </c>
      <c r="H322" s="177" t="str">
        <f>_ENGINE_Risk!BT820</f>
        <v>CAP_IAM_PAM</v>
      </c>
      <c r="I322" s="177" t="str">
        <f>_ENGINE_Risk!BV820</f>
        <v>BRG-003</v>
      </c>
      <c r="J322" s="177" t="str">
        <f>_ENGINE_Risk!CE820</f>
        <v>IW-ALL-IAM_PAM</v>
      </c>
      <c r="K322" s="177" t="str">
        <f>_ENGINE_Risk!BY820</f>
        <v>TRT-IAM_PAM-INITIAL</v>
      </c>
      <c r="L322" s="177" t="str">
        <f>_ENGINE_Risk!CP820</f>
        <v>Active</v>
      </c>
      <c r="M322" s="177" t="str">
        <f>_ENGINE_Risk!CQ820</f>
        <v>OK: capability-driven</v>
      </c>
      <c r="N322" s="177" t="str">
        <f>_ENGINE_Risk!CS820</f>
        <v>Yes</v>
      </c>
      <c r="O322" s="177" t="str">
        <f>_ENGINE_Risk!CO820</f>
        <v>Business Systems|ERP|BUSI-001|CAP_IAM_PAM</v>
      </c>
      <c r="P322" s="177" t="str">
        <f>_ENGINE_Risk!CR820</f>
        <v>Risk ontology uses capability=CAP_IAM_PAM; bridge=BRG-003; treatment=TRT-IAM_PAM-INITIAL; wording=IW-ALL-IAM_PAM</v>
      </c>
    </row>
    <row r="323" spans="1:16" ht="99" customHeight="1">
      <c r="A323" s="177" t="str">
        <f>_ENGINE_Risk!CM821</f>
        <v>RISK-ONT-0322</v>
      </c>
      <c r="B323" s="177">
        <f>ROW(_ENGINE_Risk!A821)</f>
        <v>821</v>
      </c>
      <c r="C323" s="177" t="str">
        <f>_ENGINE_Risk!E821</f>
        <v>BUSI-002</v>
      </c>
      <c r="D323" s="177" t="str">
        <f>_ENGINE_Risk!C821</f>
        <v>Business Systems</v>
      </c>
      <c r="E323" s="177" t="str">
        <f>_ENGINE_Risk!D821</f>
        <v>ERP</v>
      </c>
      <c r="F323" s="177" t="str">
        <f>_ENGINE_Risk!F821</f>
        <v>Enterprise systems and application continuity</v>
      </c>
      <c r="G323" s="177" t="str">
        <f>_ENGINE_Risk!G821</f>
        <v>Severe risk: ERP master data governance for customers, suppliers, items, BOMs, chart of accounts, cost centers and pricing is not reliably controlled. During IT outage; Decision failure; Process disruption, the organization may face ERP, CRM, MES or HRMS disruption, broken integrations and manual workarounds that fail under stress with limited visibility or accountability.</v>
      </c>
      <c r="H323" s="177" t="str">
        <f>_ENGINE_Risk!BT821</f>
        <v>CAP_IAM_PAM</v>
      </c>
      <c r="I323" s="177" t="str">
        <f>_ENGINE_Risk!BV821</f>
        <v>BRG-003</v>
      </c>
      <c r="J323" s="177" t="str">
        <f>_ENGINE_Risk!CE821</f>
        <v>IW-ALL-IAM_PAM</v>
      </c>
      <c r="K323" s="177" t="str">
        <f>_ENGINE_Risk!BY821</f>
        <v>TRT-IAM_PAM-INITIAL</v>
      </c>
      <c r="L323" s="177" t="str">
        <f>_ENGINE_Risk!CP821</f>
        <v>Active</v>
      </c>
      <c r="M323" s="177" t="str">
        <f>_ENGINE_Risk!CQ821</f>
        <v>OK: capability-driven</v>
      </c>
      <c r="N323" s="177" t="str">
        <f>_ENGINE_Risk!CS821</f>
        <v>Yes</v>
      </c>
      <c r="O323" s="177" t="str">
        <f>_ENGINE_Risk!CO821</f>
        <v>Business Systems|ERP|BUSI-002|CAP_IAM_PAM</v>
      </c>
      <c r="P323" s="177" t="str">
        <f>_ENGINE_Risk!CR821</f>
        <v>Risk ontology uses capability=CAP_IAM_PAM; bridge=BRG-003; treatment=TRT-IAM_PAM-INITIAL; wording=IW-ALL-IAM_PAM</v>
      </c>
    </row>
    <row r="324" spans="1:16" ht="99" customHeight="1">
      <c r="A324" s="177" t="str">
        <f>_ENGINE_Risk!CM822</f>
        <v>RISK-ONT-0323</v>
      </c>
      <c r="B324" s="177">
        <f>ROW(_ENGINE_Risk!A822)</f>
        <v>822</v>
      </c>
      <c r="C324" s="177" t="str">
        <f>_ENGINE_Risk!E822</f>
        <v>BUSI-003</v>
      </c>
      <c r="D324" s="177" t="str">
        <f>_ENGINE_Risk!C822</f>
        <v>Business Systems</v>
      </c>
      <c r="E324" s="177" t="str">
        <f>_ENGINE_Risk!D822</f>
        <v>ERP</v>
      </c>
      <c r="F324" s="177" t="str">
        <f>_ENGINE_Risk!F822</f>
        <v>Enterprise systems and application continuity</v>
      </c>
      <c r="G324" s="177" t="str">
        <f>_ENGINE_Risk!G822</f>
        <v>Severe risk: ERP access controls, approvals and segregation of duties is not reliably controlled. During IT outage; Decision failure; Process disruption, the organization may face ERP, CRM, MES or HRMS disruption, broken integrations and manual workarounds that fail under stress with limited visibility or accountability.</v>
      </c>
      <c r="H324" s="177" t="str">
        <f>_ENGINE_Risk!BT822</f>
        <v>CAP_IAM_PAM</v>
      </c>
      <c r="I324" s="177" t="str">
        <f>_ENGINE_Risk!BV822</f>
        <v>BRG-003</v>
      </c>
      <c r="J324" s="177" t="str">
        <f>_ENGINE_Risk!CE822</f>
        <v>IW-ALL-IAM_PAM</v>
      </c>
      <c r="K324" s="177" t="str">
        <f>_ENGINE_Risk!BY822</f>
        <v>TRT-IAM_PAM-INITIAL</v>
      </c>
      <c r="L324" s="177" t="str">
        <f>_ENGINE_Risk!CP822</f>
        <v>Active</v>
      </c>
      <c r="M324" s="177" t="str">
        <f>_ENGINE_Risk!CQ822</f>
        <v>OK: capability-driven</v>
      </c>
      <c r="N324" s="177" t="str">
        <f>_ENGINE_Risk!CS822</f>
        <v>Yes</v>
      </c>
      <c r="O324" s="177" t="str">
        <f>_ENGINE_Risk!CO822</f>
        <v>Business Systems|ERP|BUSI-003|CAP_IAM_PAM</v>
      </c>
      <c r="P324" s="177" t="str">
        <f>_ENGINE_Risk!CR822</f>
        <v>Risk ontology uses capability=CAP_IAM_PAM; bridge=BRG-003; treatment=TRT-IAM_PAM-INITIAL; wording=IW-ALL-IAM_PAM</v>
      </c>
    </row>
    <row r="325" spans="1:16" ht="99" customHeight="1">
      <c r="A325" s="177" t="str">
        <f>_ENGINE_Risk!CM823</f>
        <v>RISK-ONT-0324</v>
      </c>
      <c r="B325" s="177">
        <f>ROW(_ENGINE_Risk!A823)</f>
        <v>823</v>
      </c>
      <c r="C325" s="177" t="str">
        <f>_ENGINE_Risk!E823</f>
        <v>BUSI-004</v>
      </c>
      <c r="D325" s="177" t="str">
        <f>_ENGINE_Risk!C823</f>
        <v>Business Systems</v>
      </c>
      <c r="E325" s="177" t="str">
        <f>_ENGINE_Risk!D823</f>
        <v>ERP</v>
      </c>
      <c r="F325" s="177" t="str">
        <f>_ENGINE_Risk!F823</f>
        <v>Enterprise systems and application continuity</v>
      </c>
      <c r="G325" s="177" t="str">
        <f>_ENGINE_Risk!G823</f>
        <v>Severe risk: ERP continuity with RTO, RPO, backup, vendor support and manual fallback is not reliably controlled. During IT outage; Decision failure; Process disruption, the organization may face ERP, CRM, MES or HRMS disruption, broken integrations and manual workarounds that fail under stress with limited visibility or accountability.</v>
      </c>
      <c r="H325" s="177" t="str">
        <f>_ENGINE_Risk!BT823</f>
        <v>CAP_IAM_PAM</v>
      </c>
      <c r="I325" s="177" t="str">
        <f>_ENGINE_Risk!BV823</f>
        <v>BRG-003</v>
      </c>
      <c r="J325" s="177" t="str">
        <f>_ENGINE_Risk!CE823</f>
        <v>IW-ALL-IAM_PAM</v>
      </c>
      <c r="K325" s="177" t="str">
        <f>_ENGINE_Risk!BY823</f>
        <v>TRT-IAM_PAM-INITIAL</v>
      </c>
      <c r="L325" s="177" t="str">
        <f>_ENGINE_Risk!CP823</f>
        <v>Active</v>
      </c>
      <c r="M325" s="177" t="str">
        <f>_ENGINE_Risk!CQ823</f>
        <v>OK: capability-driven</v>
      </c>
      <c r="N325" s="177" t="str">
        <f>_ENGINE_Risk!CS823</f>
        <v>Yes</v>
      </c>
      <c r="O325" s="177" t="str">
        <f>_ENGINE_Risk!CO823</f>
        <v>Business Systems|ERP|BUSI-004|CAP_IAM_PAM</v>
      </c>
      <c r="P325" s="177" t="str">
        <f>_ENGINE_Risk!CR823</f>
        <v>Risk ontology uses capability=CAP_IAM_PAM; bridge=BRG-003; treatment=TRT-IAM_PAM-INITIAL; wording=IW-ALL-IAM_PAM</v>
      </c>
    </row>
    <row r="326" spans="1:16" ht="99" customHeight="1">
      <c r="A326" s="177" t="str">
        <f>_ENGINE_Risk!CM824</f>
        <v>RISK-ONT-0325</v>
      </c>
      <c r="B326" s="177">
        <f>ROW(_ENGINE_Risk!A824)</f>
        <v>824</v>
      </c>
      <c r="C326" s="177" t="str">
        <f>_ENGINE_Risk!E824</f>
        <v>BUSI-005</v>
      </c>
      <c r="D326" s="177" t="str">
        <f>_ENGINE_Risk!C824</f>
        <v>Business Systems</v>
      </c>
      <c r="E326" s="177" t="str">
        <f>_ENGINE_Risk!D824</f>
        <v>ERP</v>
      </c>
      <c r="F326" s="177" t="str">
        <f>_ENGINE_Risk!F824</f>
        <v>Enterprise systems and application continuity</v>
      </c>
      <c r="G326" s="177" t="str">
        <f>_ENGINE_Risk!G824</f>
        <v>Severe risk: ERP workflow for procure-to-pay, order-to-cash, record-to-report and plan-to-produce where relevant is not reliably controlled. During IT outage; Decision failure; Process disruption, the organization may face ERP, CRM, MES or HRMS disruption, broken integrations and manual workarounds that fail under stress with limited visibility or accountability.</v>
      </c>
      <c r="H326" s="177" t="str">
        <f>_ENGINE_Risk!BT824</f>
        <v>CAP_IAM_PAM</v>
      </c>
      <c r="I326" s="177" t="str">
        <f>_ENGINE_Risk!BV824</f>
        <v>BRG-003</v>
      </c>
      <c r="J326" s="177" t="str">
        <f>_ENGINE_Risk!CE824</f>
        <v>IW-ALL-IAM_PAM</v>
      </c>
      <c r="K326" s="177" t="str">
        <f>_ENGINE_Risk!BY824</f>
        <v>TRT-IAM_PAM-INITIAL</v>
      </c>
      <c r="L326" s="177" t="str">
        <f>_ENGINE_Risk!CP824</f>
        <v>Active</v>
      </c>
      <c r="M326" s="177" t="str">
        <f>_ENGINE_Risk!CQ824</f>
        <v>OK: capability-driven</v>
      </c>
      <c r="N326" s="177" t="str">
        <f>_ENGINE_Risk!CS824</f>
        <v>Yes</v>
      </c>
      <c r="O326" s="177" t="str">
        <f>_ENGINE_Risk!CO824</f>
        <v>Business Systems|ERP|BUSI-005|CAP_IAM_PAM</v>
      </c>
      <c r="P326" s="177" t="str">
        <f>_ENGINE_Risk!CR824</f>
        <v>Risk ontology uses capability=CAP_IAM_PAM; bridge=BRG-003; treatment=TRT-IAM_PAM-INITIAL; wording=IW-ALL-IAM_PAM</v>
      </c>
    </row>
    <row r="327" spans="1:16" ht="99" customHeight="1">
      <c r="A327" s="177" t="str">
        <f>_ENGINE_Risk!CM825</f>
        <v>RISK-ONT-0326</v>
      </c>
      <c r="B327" s="177">
        <f>ROW(_ENGINE_Risk!A825)</f>
        <v>825</v>
      </c>
      <c r="C327" s="177" t="str">
        <f>_ENGINE_Risk!E825</f>
        <v>BUSI-006</v>
      </c>
      <c r="D327" s="177" t="str">
        <f>_ENGINE_Risk!C825</f>
        <v>Business Systems</v>
      </c>
      <c r="E327" s="177" t="str">
        <f>_ENGINE_Risk!D825</f>
        <v>CRM and commerce</v>
      </c>
      <c r="F327" s="177" t="str">
        <f>_ENGINE_Risk!F825</f>
        <v>Enterprise systems and application continuity</v>
      </c>
      <c r="G327" s="177" t="str">
        <f>_ENGINE_Risk!G825</f>
        <v>Severe risk: CRM process coverage for lead-to-cash, customer ownership, pipeline, forecast and account management is not reliably controlled. During IT outage; Decision failure; Process disruption, the organization may face ERP, CRM, MES or HRMS disruption, broken integrations and manual workarounds that fail under stress with limited visibility or accountability.</v>
      </c>
      <c r="H327" s="177" t="str">
        <f>_ENGINE_Risk!BT825</f>
        <v>CAP_BILLING_SUBSCRIPTION</v>
      </c>
      <c r="I327" s="177" t="str">
        <f>_ENGINE_Risk!BV825</f>
        <v>BRG-002</v>
      </c>
      <c r="J327" s="177" t="str">
        <f>_ENGINE_Risk!CE825</f>
        <v>IW-ALL-BILLING_SUBSCRIPTION</v>
      </c>
      <c r="K327" s="177" t="str">
        <f>_ENGINE_Risk!BY825</f>
        <v>TRT-BILLING_SUBSCRIPTION-INITIAL</v>
      </c>
      <c r="L327" s="177" t="str">
        <f>_ENGINE_Risk!CP825</f>
        <v>Active</v>
      </c>
      <c r="M327" s="177" t="str">
        <f>_ENGINE_Risk!CQ825</f>
        <v>OK: capability-driven</v>
      </c>
      <c r="N327" s="177" t="str">
        <f>_ENGINE_Risk!CS825</f>
        <v>Yes</v>
      </c>
      <c r="O327" s="177" t="str">
        <f>_ENGINE_Risk!CO825</f>
        <v>Business Systems|CRM and commerce|BUSI-006|CAP_BILLING_SUBSCRIPTION</v>
      </c>
      <c r="P327" s="177" t="str">
        <f>_ENGINE_Risk!CR825</f>
        <v>Risk ontology uses capability=CAP_BILLING_SUBSCRIPTION; bridge=BRG-002; treatment=TRT-BILLING_SUBSCRIPTION-INITIAL; wording=IW-ALL-BILLING_SUBSCRIPTION</v>
      </c>
    </row>
    <row r="328" spans="1:16" ht="99" customHeight="1">
      <c r="A328" s="177" t="str">
        <f>_ENGINE_Risk!CM826</f>
        <v>RISK-ONT-0327</v>
      </c>
      <c r="B328" s="177">
        <f>ROW(_ENGINE_Risk!A826)</f>
        <v>826</v>
      </c>
      <c r="C328" s="177" t="str">
        <f>_ENGINE_Risk!E826</f>
        <v>BUSI-007</v>
      </c>
      <c r="D328" s="177" t="str">
        <f>_ENGINE_Risk!C826</f>
        <v>Business Systems</v>
      </c>
      <c r="E328" s="177" t="str">
        <f>_ENGINE_Risk!D826</f>
        <v>CRM and commerce</v>
      </c>
      <c r="F328" s="177" t="str">
        <f>_ENGINE_Risk!F826</f>
        <v>Enterprise systems and application continuity</v>
      </c>
      <c r="G328" s="177" t="str">
        <f>_ENGINE_Risk!G826</f>
        <v>Severe risk: CRM integration with ERP, billing, support, ecommerce and marketing automation is not reliably controlled. During IT outage; Decision failure; Process disruption, the organization may face ERP, CRM, MES or HRMS disruption, broken integrations and manual workarounds that fail under stress with limited visibility or accountability.</v>
      </c>
      <c r="H328" s="177" t="str">
        <f>_ENGINE_Risk!BT826</f>
        <v>CAP_BILLING_SUBSCRIPTION</v>
      </c>
      <c r="I328" s="177" t="str">
        <f>_ENGINE_Risk!BV826</f>
        <v>BRG-002</v>
      </c>
      <c r="J328" s="177" t="str">
        <f>_ENGINE_Risk!CE826</f>
        <v>IW-ALL-BILLING_SUBSCRIPTION</v>
      </c>
      <c r="K328" s="177" t="str">
        <f>_ENGINE_Risk!BY826</f>
        <v>TRT-BILLING_SUBSCRIPTION-INITIAL</v>
      </c>
      <c r="L328" s="177" t="str">
        <f>_ENGINE_Risk!CP826</f>
        <v>Active</v>
      </c>
      <c r="M328" s="177" t="str">
        <f>_ENGINE_Risk!CQ826</f>
        <v>OK: capability-driven</v>
      </c>
      <c r="N328" s="177" t="str">
        <f>_ENGINE_Risk!CS826</f>
        <v>Yes</v>
      </c>
      <c r="O328" s="177" t="str">
        <f>_ENGINE_Risk!CO826</f>
        <v>Business Systems|CRM and commerce|BUSI-007|CAP_BILLING_SUBSCRIPTION</v>
      </c>
      <c r="P328" s="177" t="str">
        <f>_ENGINE_Risk!CR826</f>
        <v>Risk ontology uses capability=CAP_BILLING_SUBSCRIPTION; bridge=BRG-002; treatment=TRT-BILLING_SUBSCRIPTION-INITIAL; wording=IW-ALL-BILLING_SUBSCRIPTION</v>
      </c>
    </row>
    <row r="329" spans="1:16" ht="99" customHeight="1">
      <c r="A329" s="177" t="str">
        <f>_ENGINE_Risk!CM827</f>
        <v>RISK-ONT-0328</v>
      </c>
      <c r="B329" s="177">
        <f>ROW(_ENGINE_Risk!A827)</f>
        <v>827</v>
      </c>
      <c r="C329" s="177" t="str">
        <f>_ENGINE_Risk!E827</f>
        <v>BUSI-009</v>
      </c>
      <c r="D329" s="177" t="str">
        <f>_ENGINE_Risk!C827</f>
        <v>Business Systems</v>
      </c>
      <c r="E329" s="177" t="str">
        <f>_ENGINE_Risk!D827</f>
        <v>CRM and commerce</v>
      </c>
      <c r="F329" s="177" t="str">
        <f>_ENGINE_Risk!F827</f>
        <v>Enterprise systems and application continuity</v>
      </c>
      <c r="G329" s="177" t="str">
        <f>_ENGINE_Risk!G827</f>
        <v>Severe risk: customer portal availability and data accuracy during disruption is not reliably controlled. During IT outage; Decision failure; Process disruption, the organization may face ERP, CRM, MES or HRMS disruption, broken integrations and manual workarounds that fail under stress with limited visibility or accountability.</v>
      </c>
      <c r="H329" s="177" t="str">
        <f>_ENGINE_Risk!BT827</f>
        <v>CAP_BILLING_SUBSCRIPTION</v>
      </c>
      <c r="I329" s="177" t="str">
        <f>_ENGINE_Risk!BV827</f>
        <v>BRG-002</v>
      </c>
      <c r="J329" s="177" t="str">
        <f>_ENGINE_Risk!CE827</f>
        <v>IW-ALL-BILLING_SUBSCRIPTION</v>
      </c>
      <c r="K329" s="177" t="str">
        <f>_ENGINE_Risk!BY827</f>
        <v>TRT-BILLING_SUBSCRIPTION-INITIAL</v>
      </c>
      <c r="L329" s="177" t="str">
        <f>_ENGINE_Risk!CP827</f>
        <v>Active</v>
      </c>
      <c r="M329" s="177" t="str">
        <f>_ENGINE_Risk!CQ827</f>
        <v>OK: capability-driven</v>
      </c>
      <c r="N329" s="177" t="str">
        <f>_ENGINE_Risk!CS827</f>
        <v>Yes</v>
      </c>
      <c r="O329" s="177" t="str">
        <f>_ENGINE_Risk!CO827</f>
        <v>Business Systems|CRM and commerce|BUSI-009|CAP_BILLING_SUBSCRIPTION</v>
      </c>
      <c r="P329" s="177" t="str">
        <f>_ENGINE_Risk!CR827</f>
        <v>Risk ontology uses capability=CAP_BILLING_SUBSCRIPTION; bridge=BRG-002; treatment=TRT-BILLING_SUBSCRIPTION-INITIAL; wording=IW-ALL-BILLING_SUBSCRIPTION</v>
      </c>
    </row>
    <row r="330" spans="1:16" ht="99" customHeight="1">
      <c r="A330" s="177" t="str">
        <f>_ENGINE_Risk!CM828</f>
        <v>RISK-ONT-0329</v>
      </c>
      <c r="B330" s="177">
        <f>ROW(_ENGINE_Risk!A828)</f>
        <v>828</v>
      </c>
      <c r="C330" s="177" t="str">
        <f>_ENGINE_Risk!E828</f>
        <v>BUSI-010</v>
      </c>
      <c r="D330" s="177" t="str">
        <f>_ENGINE_Risk!C828</f>
        <v>Business Systems</v>
      </c>
      <c r="E330" s="177" t="str">
        <f>_ENGINE_Risk!D828</f>
        <v>MES WMS TMS</v>
      </c>
      <c r="F330" s="177" t="str">
        <f>_ENGINE_Risk!F828</f>
        <v>Enterprise systems and application continuity</v>
      </c>
      <c r="G330" s="177" t="str">
        <f>_ENGINE_Risk!G828</f>
        <v>Severe risk: MES support for production orders, execution, traceability, downtime, quality and labor is not reliably controlled. During IT outage; Decision failure; Process disruption, the organization may face ERP, CRM, MES or HRMS disruption, broken integrations and manual workarounds that fail under stress with limited visibility or accountability.</v>
      </c>
      <c r="H330" s="177" t="str">
        <f>_ENGINE_Risk!BT828</f>
        <v>CAP_PLATFORM_CONTINUITY</v>
      </c>
      <c r="I330" s="177" t="str">
        <f>_ENGINE_Risk!BV828</f>
        <v>BRG-006</v>
      </c>
      <c r="J330" s="177" t="str">
        <f>_ENGINE_Risk!CE828</f>
        <v>IW-ALL-PLATFORM_CONTINUITY</v>
      </c>
      <c r="K330" s="177" t="str">
        <f>_ENGINE_Risk!BY828</f>
        <v>TRT-PLATFORM_CONTINUITY-INITIAL</v>
      </c>
      <c r="L330" s="177" t="str">
        <f>_ENGINE_Risk!CP828</f>
        <v>Active</v>
      </c>
      <c r="M330" s="177" t="str">
        <f>_ENGINE_Risk!CQ828</f>
        <v>OK: capability-driven</v>
      </c>
      <c r="N330" s="177" t="str">
        <f>_ENGINE_Risk!CS828</f>
        <v>Yes</v>
      </c>
      <c r="O330" s="177" t="str">
        <f>_ENGINE_Risk!CO828</f>
        <v>Business Systems|MES WMS TMS|BUSI-010|CAP_PLATFORM_CONTINUITY</v>
      </c>
      <c r="P330" s="177" t="str">
        <f>_ENGINE_Risk!CR828</f>
        <v>Risk ontology uses capability=CAP_PLATFORM_CONTINUITY; bridge=BRG-006; treatment=TRT-PLATFORM_CONTINUITY-INITIAL; wording=IW-ALL-PLATFORM_CONTINUITY</v>
      </c>
    </row>
    <row r="331" spans="1:16" ht="99" customHeight="1">
      <c r="A331" s="177" t="str">
        <f>_ENGINE_Risk!CM829</f>
        <v>RISK-ONT-0330</v>
      </c>
      <c r="B331" s="177">
        <f>ROW(_ENGINE_Risk!A829)</f>
        <v>829</v>
      </c>
      <c r="C331" s="177" t="str">
        <f>_ENGINE_Risk!E829</f>
        <v>BUSI-011</v>
      </c>
      <c r="D331" s="177" t="str">
        <f>_ENGINE_Risk!C829</f>
        <v>Business Systems</v>
      </c>
      <c r="E331" s="177" t="str">
        <f>_ENGINE_Risk!D829</f>
        <v>MES WMS TMS</v>
      </c>
      <c r="F331" s="177" t="str">
        <f>_ENGINE_Risk!F829</f>
        <v>Enterprise systems and application continuity</v>
      </c>
      <c r="G331" s="177" t="str">
        <f>_ENGINE_Risk!G829</f>
        <v>Severe risk: MES-ERP integration for orders, inventory consumption, output and quality data is not reliably controlled. During IT outage; Decision failure; Process disruption, the organization may face ERP, CRM, MES or HRMS disruption, broken integrations and manual workarounds that fail under stress with limited visibility or accountability.</v>
      </c>
      <c r="H331" s="177" t="str">
        <f>_ENGINE_Risk!BT829</f>
        <v>CAP_PLATFORM_CONTINUITY</v>
      </c>
      <c r="I331" s="177" t="str">
        <f>_ENGINE_Risk!BV829</f>
        <v>BRG-006</v>
      </c>
      <c r="J331" s="177" t="str">
        <f>_ENGINE_Risk!CE829</f>
        <v>IW-ALL-PLATFORM_CONTINUITY</v>
      </c>
      <c r="K331" s="177" t="str">
        <f>_ENGINE_Risk!BY829</f>
        <v>TRT-PLATFORM_CONTINUITY-INITIAL</v>
      </c>
      <c r="L331" s="177" t="str">
        <f>_ENGINE_Risk!CP829</f>
        <v>Active</v>
      </c>
      <c r="M331" s="177" t="str">
        <f>_ENGINE_Risk!CQ829</f>
        <v>OK: capability-driven</v>
      </c>
      <c r="N331" s="177" t="str">
        <f>_ENGINE_Risk!CS829</f>
        <v>Yes</v>
      </c>
      <c r="O331" s="177" t="str">
        <f>_ENGINE_Risk!CO829</f>
        <v>Business Systems|MES WMS TMS|BUSI-011|CAP_PLATFORM_CONTINUITY</v>
      </c>
      <c r="P331" s="177" t="str">
        <f>_ENGINE_Risk!CR829</f>
        <v>Risk ontology uses capability=CAP_PLATFORM_CONTINUITY; bridge=BRG-006; treatment=TRT-PLATFORM_CONTINUITY-INITIAL; wording=IW-ALL-PLATFORM_CONTINUITY</v>
      </c>
    </row>
    <row r="332" spans="1:16" ht="99" customHeight="1">
      <c r="A332" s="177" t="str">
        <f>_ENGINE_Risk!CM830</f>
        <v>RISK-ONT-0331</v>
      </c>
      <c r="B332" s="177">
        <f>ROW(_ENGINE_Risk!A830)</f>
        <v>830</v>
      </c>
      <c r="C332" s="177" t="str">
        <f>_ENGINE_Risk!E830</f>
        <v>BUSI-012</v>
      </c>
      <c r="D332" s="177" t="str">
        <f>_ENGINE_Risk!C830</f>
        <v>Business Systems</v>
      </c>
      <c r="E332" s="177" t="str">
        <f>_ENGINE_Risk!D830</f>
        <v>MES WMS TMS</v>
      </c>
      <c r="F332" s="177" t="str">
        <f>_ENGINE_Risk!F830</f>
        <v>Enterprise systems and application continuity</v>
      </c>
      <c r="G332" s="177" t="str">
        <f>_ENGINE_Risk!G830</f>
        <v>Severe risk: WMS support for inventory movement, location, status, batch, picking, packing and cycle counts is not reliably controlled. During IT outage; Decision failure; Process disruption, the organization may face ERP, CRM, MES or HRMS disruption, broken integrations and manual workarounds that fail under stress with limited visibility or accountability.</v>
      </c>
      <c r="H332" s="177" t="str">
        <f>_ENGINE_Risk!BT830</f>
        <v>CAP_PLATFORM_CONTINUITY</v>
      </c>
      <c r="I332" s="177" t="str">
        <f>_ENGINE_Risk!BV830</f>
        <v>BRG-006</v>
      </c>
      <c r="J332" s="177" t="str">
        <f>_ENGINE_Risk!CE830</f>
        <v>IW-ALL-PLATFORM_CONTINUITY</v>
      </c>
      <c r="K332" s="177" t="str">
        <f>_ENGINE_Risk!BY830</f>
        <v>TRT-PLATFORM_CONTINUITY-INITIAL</v>
      </c>
      <c r="L332" s="177" t="str">
        <f>_ENGINE_Risk!CP830</f>
        <v>Active</v>
      </c>
      <c r="M332" s="177" t="str">
        <f>_ENGINE_Risk!CQ830</f>
        <v>OK: capability-driven</v>
      </c>
      <c r="N332" s="177" t="str">
        <f>_ENGINE_Risk!CS830</f>
        <v>Yes</v>
      </c>
      <c r="O332" s="177" t="str">
        <f>_ENGINE_Risk!CO830</f>
        <v>Business Systems|MES WMS TMS|BUSI-012|CAP_PLATFORM_CONTINUITY</v>
      </c>
      <c r="P332" s="177" t="str">
        <f>_ENGINE_Risk!CR830</f>
        <v>Risk ontology uses capability=CAP_PLATFORM_CONTINUITY; bridge=BRG-006; treatment=TRT-PLATFORM_CONTINUITY-INITIAL; wording=IW-ALL-PLATFORM_CONTINUITY</v>
      </c>
    </row>
    <row r="333" spans="1:16" ht="99" customHeight="1">
      <c r="A333" s="177" t="str">
        <f>_ENGINE_Risk!CM831</f>
        <v>RISK-ONT-0332</v>
      </c>
      <c r="B333" s="177">
        <f>ROW(_ENGINE_Risk!A831)</f>
        <v>831</v>
      </c>
      <c r="C333" s="177" t="str">
        <f>_ENGINE_Risk!E831</f>
        <v>BUSI-013</v>
      </c>
      <c r="D333" s="177" t="str">
        <f>_ENGINE_Risk!C831</f>
        <v>Business Systems</v>
      </c>
      <c r="E333" s="177" t="str">
        <f>_ENGINE_Risk!D831</f>
        <v>MES WMS TMS</v>
      </c>
      <c r="F333" s="177" t="str">
        <f>_ENGINE_Risk!F831</f>
        <v>Enterprise systems and application continuity</v>
      </c>
      <c r="G333" s="177" t="str">
        <f>_ENGINE_Risk!G831</f>
        <v>Severe risk: TMS support for carrier booking, route planning, tracking and delivery visibility is not reliably controlled. During IT outage; Decision failure; Process disruption, the organization may face ERP, CRM, MES or HRMS disruption, broken integrations and manual workarounds that fail under stress with limited visibility or accountability.</v>
      </c>
      <c r="H333" s="177" t="str">
        <f>_ENGINE_Risk!BT831</f>
        <v>CAP_PLATFORM_CONTINUITY</v>
      </c>
      <c r="I333" s="177" t="str">
        <f>_ENGINE_Risk!BV831</f>
        <v>BRG-006</v>
      </c>
      <c r="J333" s="177" t="str">
        <f>_ENGINE_Risk!CE831</f>
        <v>IW-ALL-PLATFORM_CONTINUITY</v>
      </c>
      <c r="K333" s="177" t="str">
        <f>_ENGINE_Risk!BY831</f>
        <v>TRT-PLATFORM_CONTINUITY-INITIAL</v>
      </c>
      <c r="L333" s="177" t="str">
        <f>_ENGINE_Risk!CP831</f>
        <v>Active</v>
      </c>
      <c r="M333" s="177" t="str">
        <f>_ENGINE_Risk!CQ831</f>
        <v>OK: capability-driven</v>
      </c>
      <c r="N333" s="177" t="str">
        <f>_ENGINE_Risk!CS831</f>
        <v>Yes</v>
      </c>
      <c r="O333" s="177" t="str">
        <f>_ENGINE_Risk!CO831</f>
        <v>Business Systems|MES WMS TMS|BUSI-013|CAP_PLATFORM_CONTINUITY</v>
      </c>
      <c r="P333" s="177" t="str">
        <f>_ENGINE_Risk!CR831</f>
        <v>Risk ontology uses capability=CAP_PLATFORM_CONTINUITY; bridge=BRG-006; treatment=TRT-PLATFORM_CONTINUITY-INITIAL; wording=IW-ALL-PLATFORM_CONTINUITY</v>
      </c>
    </row>
    <row r="334" spans="1:16" ht="99" customHeight="1">
      <c r="A334" s="177" t="str">
        <f>_ENGINE_Risk!CM832</f>
        <v>RISK-ONT-0333</v>
      </c>
      <c r="B334" s="177">
        <f>ROW(_ENGINE_Risk!A832)</f>
        <v>832</v>
      </c>
      <c r="C334" s="177" t="str">
        <f>_ENGINE_Risk!E832</f>
        <v>BUSI-014</v>
      </c>
      <c r="D334" s="177" t="str">
        <f>_ENGINE_Risk!C832</f>
        <v>Business Systems</v>
      </c>
      <c r="E334" s="177" t="str">
        <f>_ENGINE_Risk!D832</f>
        <v>HRMS and finance systems</v>
      </c>
      <c r="F334" s="177" t="str">
        <f>_ENGINE_Risk!F832</f>
        <v>Enterprise systems and application continuity</v>
      </c>
      <c r="G334" s="177" t="str">
        <f>_ENGINE_Risk!G832</f>
        <v>Severe risk: HRMS coverage for employee records, roles, skills, absence, payroll inputs and emergency contacts is not reliably controlled. During IT outage; Decision failure; Process disruption, the organization may face ERP, CRM, MES or HRMS disruption, broken integrations and manual workarounds that fail under stress with limited visibility or accountability.</v>
      </c>
      <c r="H334" s="177" t="str">
        <f>_ENGINE_Risk!BT832</f>
        <v>CAP_PLATFORM_CONTINUITY</v>
      </c>
      <c r="I334" s="177" t="str">
        <f>_ENGINE_Risk!BV832</f>
        <v>BRG-005</v>
      </c>
      <c r="J334" s="177" t="str">
        <f>_ENGINE_Risk!CE832</f>
        <v>IW-ALL-PLATFORM_CONTINUITY</v>
      </c>
      <c r="K334" s="177" t="str">
        <f>_ENGINE_Risk!BY832</f>
        <v>TRT-PLATFORM_CONTINUITY-INITIAL</v>
      </c>
      <c r="L334" s="177" t="str">
        <f>_ENGINE_Risk!CP832</f>
        <v>Active</v>
      </c>
      <c r="M334" s="177" t="str">
        <f>_ENGINE_Risk!CQ832</f>
        <v>OK: capability-driven</v>
      </c>
      <c r="N334" s="177" t="str">
        <f>_ENGINE_Risk!CS832</f>
        <v>Yes</v>
      </c>
      <c r="O334" s="177" t="str">
        <f>_ENGINE_Risk!CO832</f>
        <v>Business Systems|HRMS and finance systems|BUSI-014|CAP_PLATFORM_CONTINUITY</v>
      </c>
      <c r="P334" s="177" t="str">
        <f>_ENGINE_Risk!CR832</f>
        <v>Risk ontology uses capability=CAP_PLATFORM_CONTINUITY; bridge=BRG-005; treatment=TRT-PLATFORM_CONTINUITY-INITIAL; wording=IW-ALL-PLATFORM_CONTINUITY</v>
      </c>
    </row>
    <row r="335" spans="1:16" ht="99" customHeight="1">
      <c r="A335" s="177" t="str">
        <f>_ENGINE_Risk!CM833</f>
        <v>RISK-ONT-0334</v>
      </c>
      <c r="B335" s="177">
        <f>ROW(_ENGINE_Risk!A833)</f>
        <v>833</v>
      </c>
      <c r="C335" s="177" t="str">
        <f>_ENGINE_Risk!E833</f>
        <v>BUSI-015</v>
      </c>
      <c r="D335" s="177" t="str">
        <f>_ENGINE_Risk!C833</f>
        <v>Business Systems</v>
      </c>
      <c r="E335" s="177" t="str">
        <f>_ENGINE_Risk!D833</f>
        <v>HRMS and finance systems</v>
      </c>
      <c r="F335" s="177" t="str">
        <f>_ENGINE_Risk!F833</f>
        <v>Enterprise systems and application continuity</v>
      </c>
      <c r="G335" s="177" t="str">
        <f>_ENGINE_Risk!G833</f>
        <v>Severe risk: HRMS data quality for employee location, manager, emergency contacts and criticality is not reliably controlled. During IT outage; Decision failure; Process disruption, the organization may face ERP, CRM, MES or HRMS disruption, broken integrations and manual workarounds that fail under stress with limited visibility or accountability.</v>
      </c>
      <c r="H335" s="177" t="str">
        <f>_ENGINE_Risk!BT833</f>
        <v>CAP_PLATFORM_CONTINUITY</v>
      </c>
      <c r="I335" s="177" t="str">
        <f>_ENGINE_Risk!BV833</f>
        <v>BRG-005</v>
      </c>
      <c r="J335" s="177" t="str">
        <f>_ENGINE_Risk!CE833</f>
        <v>IW-ALL-PLATFORM_CONTINUITY</v>
      </c>
      <c r="K335" s="177" t="str">
        <f>_ENGINE_Risk!BY833</f>
        <v>TRT-PLATFORM_CONTINUITY-INITIAL</v>
      </c>
      <c r="L335" s="177" t="str">
        <f>_ENGINE_Risk!CP833</f>
        <v>Active</v>
      </c>
      <c r="M335" s="177" t="str">
        <f>_ENGINE_Risk!CQ833</f>
        <v>OK: capability-driven</v>
      </c>
      <c r="N335" s="177" t="str">
        <f>_ENGINE_Risk!CS833</f>
        <v>Yes</v>
      </c>
      <c r="O335" s="177" t="str">
        <f>_ENGINE_Risk!CO833</f>
        <v>Business Systems|HRMS and finance systems|BUSI-015|CAP_PLATFORM_CONTINUITY</v>
      </c>
      <c r="P335" s="177" t="str">
        <f>_ENGINE_Risk!CR833</f>
        <v>Risk ontology uses capability=CAP_PLATFORM_CONTINUITY; bridge=BRG-005; treatment=TRT-PLATFORM_CONTINUITY-INITIAL; wording=IW-ALL-PLATFORM_CONTINUITY</v>
      </c>
    </row>
    <row r="336" spans="1:16" ht="99" customHeight="1">
      <c r="A336" s="177" t="str">
        <f>_ENGINE_Risk!CM834</f>
        <v>RISK-ONT-0335</v>
      </c>
      <c r="B336" s="177">
        <f>ROW(_ENGINE_Risk!A834)</f>
        <v>834</v>
      </c>
      <c r="C336" s="177" t="str">
        <f>_ENGINE_Risk!E834</f>
        <v>BUSI-016</v>
      </c>
      <c r="D336" s="177" t="str">
        <f>_ENGINE_Risk!C834</f>
        <v>Business Systems</v>
      </c>
      <c r="E336" s="177" t="str">
        <f>_ENGINE_Risk!D834</f>
        <v>HRMS and finance systems</v>
      </c>
      <c r="F336" s="177" t="str">
        <f>_ENGINE_Risk!F834</f>
        <v>Enterprise systems and application continuity</v>
      </c>
      <c r="G336" s="177" t="str">
        <f>_ENGINE_Risk!G834</f>
        <v>Severe risk: finance, banking, expense, payroll and procurement system integration or reconciliation is not reliably controlled. During IT outage; Decision failure; Process disruption, the organization may face ERP, CRM, MES or HRMS disruption, broken integrations and manual workarounds that fail under stress with limited visibility or accountability.</v>
      </c>
      <c r="H336" s="177" t="str">
        <f>_ENGINE_Risk!BT834</f>
        <v>CAP_PLATFORM_CONTINUITY</v>
      </c>
      <c r="I336" s="177" t="str">
        <f>_ENGINE_Risk!BV834</f>
        <v>BRG-005</v>
      </c>
      <c r="J336" s="177" t="str">
        <f>_ENGINE_Risk!CE834</f>
        <v>IW-ALL-PLATFORM_CONTINUITY</v>
      </c>
      <c r="K336" s="177" t="str">
        <f>_ENGINE_Risk!BY834</f>
        <v>TRT-PLATFORM_CONTINUITY-INITIAL</v>
      </c>
      <c r="L336" s="177" t="str">
        <f>_ENGINE_Risk!CP834</f>
        <v>Active</v>
      </c>
      <c r="M336" s="177" t="str">
        <f>_ENGINE_Risk!CQ834</f>
        <v>OK: capability-driven</v>
      </c>
      <c r="N336" s="177" t="str">
        <f>_ENGINE_Risk!CS834</f>
        <v>Yes</v>
      </c>
      <c r="O336" s="177" t="str">
        <f>_ENGINE_Risk!CO834</f>
        <v>Business Systems|HRMS and finance systems|BUSI-016|CAP_PLATFORM_CONTINUITY</v>
      </c>
      <c r="P336" s="177" t="str">
        <f>_ENGINE_Risk!CR834</f>
        <v>Risk ontology uses capability=CAP_PLATFORM_CONTINUITY; bridge=BRG-005; treatment=TRT-PLATFORM_CONTINUITY-INITIAL; wording=IW-ALL-PLATFORM_CONTINUITY</v>
      </c>
    </row>
    <row r="337" spans="1:16" ht="99" customHeight="1">
      <c r="A337" s="177" t="str">
        <f>_ENGINE_Risk!CM835</f>
        <v>RISK-ONT-0336</v>
      </c>
      <c r="B337" s="177">
        <f>ROW(_ENGINE_Risk!A835)</f>
        <v>835</v>
      </c>
      <c r="C337" s="177" t="str">
        <f>_ENGINE_Risk!E835</f>
        <v>BUSI-018</v>
      </c>
      <c r="D337" s="177" t="str">
        <f>_ENGINE_Risk!C835</f>
        <v>Business Systems</v>
      </c>
      <c r="E337" s="177" t="str">
        <f>_ENGINE_Risk!D835</f>
        <v>Governance and lifecycle</v>
      </c>
      <c r="F337" s="177" t="str">
        <f>_ENGINE_Risk!F835</f>
        <v>Enterprise systems and application continuity</v>
      </c>
      <c r="G337" s="177" t="str">
        <f>_ENGINE_Risk!G835</f>
        <v>Severe risk: system ownership with business owner, technical owner, data owner and support owner is not reliably controlled. During IT outage; Decision failure; Process disruption, the organization may face ERP, CRM, MES or HRMS disruption, broken integrations and manual workarounds that fail under stress with limited visibility or accountability.</v>
      </c>
      <c r="H337" s="177" t="str">
        <f>_ENGINE_Risk!BT835</f>
        <v>CAP_PLATFORM_CONTINUITY</v>
      </c>
      <c r="I337" s="177" t="str">
        <f>_ENGINE_Risk!BV835</f>
        <v>BRG-004</v>
      </c>
      <c r="J337" s="177" t="str">
        <f>_ENGINE_Risk!CE835</f>
        <v>IW-ALL-PLATFORM_CONTINUITY</v>
      </c>
      <c r="K337" s="177" t="str">
        <f>_ENGINE_Risk!BY835</f>
        <v>TRT-PLATFORM_CONTINUITY-INITIAL</v>
      </c>
      <c r="L337" s="177" t="str">
        <f>_ENGINE_Risk!CP835</f>
        <v>Active</v>
      </c>
      <c r="M337" s="177" t="str">
        <f>_ENGINE_Risk!CQ835</f>
        <v>OK: capability-driven</v>
      </c>
      <c r="N337" s="177" t="str">
        <f>_ENGINE_Risk!CS835</f>
        <v>Yes</v>
      </c>
      <c r="O337" s="177" t="str">
        <f>_ENGINE_Risk!CO835</f>
        <v>Business Systems|Governance and lifecycle|BUSI-018|CAP_PLATFORM_CONTINUITY</v>
      </c>
      <c r="P337" s="177" t="str">
        <f>_ENGINE_Risk!CR835</f>
        <v>Risk ontology uses capability=CAP_PLATFORM_CONTINUITY; bridge=BRG-004; treatment=TRT-PLATFORM_CONTINUITY-INITIAL; wording=IW-ALL-PLATFORM_CONTINUITY</v>
      </c>
    </row>
    <row r="338" spans="1:16" ht="99" customHeight="1">
      <c r="A338" s="177" t="str">
        <f>_ENGINE_Risk!CM836</f>
        <v>RISK-ONT-0337</v>
      </c>
      <c r="B338" s="177">
        <f>ROW(_ENGINE_Risk!A836)</f>
        <v>836</v>
      </c>
      <c r="C338" s="177" t="str">
        <f>_ENGINE_Risk!E836</f>
        <v>BUSI-019</v>
      </c>
      <c r="D338" s="177" t="str">
        <f>_ENGINE_Risk!C836</f>
        <v>Business Systems</v>
      </c>
      <c r="E338" s="177" t="str">
        <f>_ENGINE_Risk!D836</f>
        <v>Governance and lifecycle</v>
      </c>
      <c r="F338" s="177" t="str">
        <f>_ENGINE_Risk!F836</f>
        <v>Enterprise systems and application continuity</v>
      </c>
      <c r="G338" s="177" t="str">
        <f>_ENGINE_Risk!G836</f>
        <v>Severe risk: critical system lifecycle review for fit, cost, risk, security, scalability and replacement needs is not reliably controlled. During IT outage; Decision failure; Process disruption, the organization may face ERP, CRM, MES or HRMS disruption, broken integrations and manual workarounds that fail under stress with limited visibility or accountability.</v>
      </c>
      <c r="H338" s="177" t="str">
        <f>_ENGINE_Risk!BT836</f>
        <v>CAP_PLATFORM_CONTINUITY</v>
      </c>
      <c r="I338" s="177" t="str">
        <f>_ENGINE_Risk!BV836</f>
        <v>BRG-004</v>
      </c>
      <c r="J338" s="177" t="str">
        <f>_ENGINE_Risk!CE836</f>
        <v>IW-ALL-PLATFORM_CONTINUITY</v>
      </c>
      <c r="K338" s="177" t="str">
        <f>_ENGINE_Risk!BY836</f>
        <v>TRT-PLATFORM_CONTINUITY-INITIAL</v>
      </c>
      <c r="L338" s="177" t="str">
        <f>_ENGINE_Risk!CP836</f>
        <v>Active</v>
      </c>
      <c r="M338" s="177" t="str">
        <f>_ENGINE_Risk!CQ836</f>
        <v>OK: capability-driven</v>
      </c>
      <c r="N338" s="177" t="str">
        <f>_ENGINE_Risk!CS836</f>
        <v>Yes</v>
      </c>
      <c r="O338" s="177" t="str">
        <f>_ENGINE_Risk!CO836</f>
        <v>Business Systems|Governance and lifecycle|BUSI-019|CAP_PLATFORM_CONTINUITY</v>
      </c>
      <c r="P338" s="177" t="str">
        <f>_ENGINE_Risk!CR836</f>
        <v>Risk ontology uses capability=CAP_PLATFORM_CONTINUITY; bridge=BRG-004; treatment=TRT-PLATFORM_CONTINUITY-INITIAL; wording=IW-ALL-PLATFORM_CONTINUITY</v>
      </c>
    </row>
    <row r="339" spans="1:16" ht="99" customHeight="1">
      <c r="A339" s="177" t="str">
        <f>_ENGINE_Risk!CM837</f>
        <v>RISK-ONT-0338</v>
      </c>
      <c r="B339" s="177">
        <f>ROW(_ENGINE_Risk!A837)</f>
        <v>837</v>
      </c>
      <c r="C339" s="177" t="str">
        <f>_ENGINE_Risk!E837</f>
        <v>BUSI-020</v>
      </c>
      <c r="D339" s="177" t="str">
        <f>_ENGINE_Risk!C837</f>
        <v>Business Systems</v>
      </c>
      <c r="E339" s="177" t="str">
        <f>_ENGINE_Risk!D837</f>
        <v>Governance and lifecycle</v>
      </c>
      <c r="F339" s="177" t="str">
        <f>_ENGINE_Risk!F837</f>
        <v>Enterprise systems and application continuity</v>
      </c>
      <c r="G339" s="177" t="str">
        <f>_ENGINE_Risk!G837</f>
        <v>Severe risk: shadow IT inventory for business-critical spreadsheets, scripts, low-code apps and unmanaged SaaS is not reliably controlled. During IT outage; Decision failure; Process disruption, the organization may face ERP, CRM, MES or HRMS disruption, broken integrations and manual workarounds that fail under stress with limited visibility or accountability.</v>
      </c>
      <c r="H339" s="177" t="str">
        <f>_ENGINE_Risk!BT837</f>
        <v>CAP_PLATFORM_CONTINUITY</v>
      </c>
      <c r="I339" s="177" t="str">
        <f>_ENGINE_Risk!BV837</f>
        <v>BRG-004</v>
      </c>
      <c r="J339" s="177" t="str">
        <f>_ENGINE_Risk!CE837</f>
        <v>IW-ALL-PLATFORM_CONTINUITY</v>
      </c>
      <c r="K339" s="177" t="str">
        <f>_ENGINE_Risk!BY837</f>
        <v>TRT-PLATFORM_CONTINUITY-INITIAL</v>
      </c>
      <c r="L339" s="177" t="str">
        <f>_ENGINE_Risk!CP837</f>
        <v>Active</v>
      </c>
      <c r="M339" s="177" t="str">
        <f>_ENGINE_Risk!CQ837</f>
        <v>OK: capability-driven</v>
      </c>
      <c r="N339" s="177" t="str">
        <f>_ENGINE_Risk!CS837</f>
        <v>Yes</v>
      </c>
      <c r="O339" s="177" t="str">
        <f>_ENGINE_Risk!CO837</f>
        <v>Business Systems|Governance and lifecycle|BUSI-020|CAP_PLATFORM_CONTINUITY</v>
      </c>
      <c r="P339" s="177" t="str">
        <f>_ENGINE_Risk!CR837</f>
        <v>Risk ontology uses capability=CAP_PLATFORM_CONTINUITY; bridge=BRG-004; treatment=TRT-PLATFORM_CONTINUITY-INITIAL; wording=IW-ALL-PLATFORM_CONTINUITY</v>
      </c>
    </row>
    <row r="340" spans="1:16" ht="99" customHeight="1">
      <c r="A340" s="177" t="str">
        <f>_ENGINE_Risk!CM838</f>
        <v>RISK-ONT-0339</v>
      </c>
      <c r="B340" s="177">
        <f>ROW(_ENGINE_Risk!A838)</f>
        <v>838</v>
      </c>
      <c r="C340" s="177" t="str">
        <f>_ENGINE_Risk!E838</f>
        <v>BUSI-021</v>
      </c>
      <c r="D340" s="177" t="str">
        <f>_ENGINE_Risk!C838</f>
        <v>Business Systems</v>
      </c>
      <c r="E340" s="177" t="str">
        <f>_ENGINE_Risk!D838</f>
        <v>Governance and lifecycle</v>
      </c>
      <c r="F340" s="177" t="str">
        <f>_ENGINE_Risk!F838</f>
        <v>Enterprise systems and application continuity</v>
      </c>
      <c r="G340" s="177" t="str">
        <f>_ENGINE_Risk!G838</f>
        <v>Severe risk: admin account governance across ERP, CRM, HRMS, MES, BI and SaaS tools is not reliably controlled. During IT outage; Decision failure; Process disruption, the organization may face ERP, CRM, MES or HRMS disruption, broken integrations and manual workarounds that fail under stress with limited visibility or accountability.</v>
      </c>
      <c r="H340" s="177" t="str">
        <f>_ENGINE_Risk!BT838</f>
        <v>CAP_PLATFORM_CONTINUITY</v>
      </c>
      <c r="I340" s="177" t="str">
        <f>_ENGINE_Risk!BV838</f>
        <v>BRG-004</v>
      </c>
      <c r="J340" s="177" t="str">
        <f>_ENGINE_Risk!CE838</f>
        <v>IW-ALL-PLATFORM_CONTINUITY</v>
      </c>
      <c r="K340" s="177" t="str">
        <f>_ENGINE_Risk!BY838</f>
        <v>TRT-PLATFORM_CONTINUITY-INITIAL</v>
      </c>
      <c r="L340" s="177" t="str">
        <f>_ENGINE_Risk!CP838</f>
        <v>Active</v>
      </c>
      <c r="M340" s="177" t="str">
        <f>_ENGINE_Risk!CQ838</f>
        <v>OK: capability-driven</v>
      </c>
      <c r="N340" s="177" t="str">
        <f>_ENGINE_Risk!CS838</f>
        <v>Yes</v>
      </c>
      <c r="O340" s="177" t="str">
        <f>_ENGINE_Risk!CO838</f>
        <v>Business Systems|Governance and lifecycle|BUSI-021|CAP_PLATFORM_CONTINUITY</v>
      </c>
      <c r="P340" s="177" t="str">
        <f>_ENGINE_Risk!CR838</f>
        <v>Risk ontology uses capability=CAP_PLATFORM_CONTINUITY; bridge=BRG-004; treatment=TRT-PLATFORM_CONTINUITY-INITIAL; wording=IW-ALL-PLATFORM_CONTINUITY</v>
      </c>
    </row>
    <row r="341" spans="1:16" ht="99" customHeight="1">
      <c r="A341" s="177" t="str">
        <f>_ENGINE_Risk!CM839</f>
        <v>RISK-ONT-0340</v>
      </c>
      <c r="B341" s="177">
        <f>ROW(_ENGINE_Risk!A839)</f>
        <v>839</v>
      </c>
      <c r="C341" s="177" t="str">
        <f>_ENGINE_Risk!E839</f>
        <v>BUSI-022</v>
      </c>
      <c r="D341" s="177" t="str">
        <f>_ENGINE_Risk!C839</f>
        <v>Business Systems</v>
      </c>
      <c r="E341" s="177" t="str">
        <f>_ENGINE_Risk!D839</f>
        <v>Governance and lifecycle</v>
      </c>
      <c r="F341" s="177" t="str">
        <f>_ENGINE_Risk!F839</f>
        <v>Enterprise systems and application continuity</v>
      </c>
      <c r="G341" s="177" t="str">
        <f>_ENGINE_Risk!G839</f>
        <v>Severe risk: data portability and export procedures for critical systems is not reliably controlled. During IT outage; Decision failure; Process disruption, the organization may face ERP, CRM, MES or HRMS disruption, broken integrations and manual workarounds that fail under stress with limited visibility or accountability.</v>
      </c>
      <c r="H341" s="177" t="str">
        <f>_ENGINE_Risk!BT839</f>
        <v>CAP_PLATFORM_CONTINUITY</v>
      </c>
      <c r="I341" s="177" t="str">
        <f>_ENGINE_Risk!BV839</f>
        <v>BRG-004</v>
      </c>
      <c r="J341" s="177" t="str">
        <f>_ENGINE_Risk!CE839</f>
        <v>IW-ALL-PLATFORM_CONTINUITY</v>
      </c>
      <c r="K341" s="177" t="str">
        <f>_ENGINE_Risk!BY839</f>
        <v>TRT-PLATFORM_CONTINUITY-INITIAL</v>
      </c>
      <c r="L341" s="177" t="str">
        <f>_ENGINE_Risk!CP839</f>
        <v>Active</v>
      </c>
      <c r="M341" s="177" t="str">
        <f>_ENGINE_Risk!CQ839</f>
        <v>OK: capability-driven</v>
      </c>
      <c r="N341" s="177" t="str">
        <f>_ENGINE_Risk!CS839</f>
        <v>Yes</v>
      </c>
      <c r="O341" s="177" t="str">
        <f>_ENGINE_Risk!CO839</f>
        <v>Business Systems|Governance and lifecycle|BUSI-022|CAP_PLATFORM_CONTINUITY</v>
      </c>
      <c r="P341" s="177" t="str">
        <f>_ENGINE_Risk!CR839</f>
        <v>Risk ontology uses capability=CAP_PLATFORM_CONTINUITY; bridge=BRG-004; treatment=TRT-PLATFORM_CONTINUITY-INITIAL; wording=IW-ALL-PLATFORM_CONTINUITY</v>
      </c>
    </row>
    <row r="342" spans="1:16" ht="99" customHeight="1">
      <c r="A342" s="177" t="str">
        <f>_ENGINE_Risk!CM840</f>
        <v>RISK-ONT-0341</v>
      </c>
      <c r="B342" s="177">
        <f>ROW(_ENGINE_Risk!A840)</f>
        <v>840</v>
      </c>
      <c r="C342" s="177" t="str">
        <f>_ENGINE_Risk!E840</f>
        <v>BUSI-023</v>
      </c>
      <c r="D342" s="177" t="str">
        <f>_ENGINE_Risk!C840</f>
        <v>Business Systems</v>
      </c>
      <c r="E342" s="177" t="str">
        <f>_ENGINE_Risk!D840</f>
        <v>Governance and lifecycle</v>
      </c>
      <c r="F342" s="177" t="str">
        <f>_ENGINE_Risk!F840</f>
        <v>Enterprise systems and application continuity</v>
      </c>
      <c r="G342" s="177" t="str">
        <f>_ENGINE_Risk!G840</f>
        <v>Severe risk: configuration and customization documentation for critical business systems is not reliably controlled. During IT outage; Decision failure; Process disruption, the organization may face ERP, CRM, MES or HRMS disruption, broken integrations and manual workarounds that fail under stress with limited visibility or accountability.</v>
      </c>
      <c r="H342" s="177" t="str">
        <f>_ENGINE_Risk!BT840</f>
        <v>CAP_PLATFORM_CONTINUITY</v>
      </c>
      <c r="I342" s="177" t="str">
        <f>_ENGINE_Risk!BV840</f>
        <v>BRG-004</v>
      </c>
      <c r="J342" s="177" t="str">
        <f>_ENGINE_Risk!CE840</f>
        <v>IW-ALL-PLATFORM_CONTINUITY</v>
      </c>
      <c r="K342" s="177" t="str">
        <f>_ENGINE_Risk!BY840</f>
        <v>TRT-PLATFORM_CONTINUITY-INITIAL</v>
      </c>
      <c r="L342" s="177" t="str">
        <f>_ENGINE_Risk!CP840</f>
        <v>Active</v>
      </c>
      <c r="M342" s="177" t="str">
        <f>_ENGINE_Risk!CQ840</f>
        <v>OK: capability-driven</v>
      </c>
      <c r="N342" s="177" t="str">
        <f>_ENGINE_Risk!CS840</f>
        <v>Yes</v>
      </c>
      <c r="O342" s="177" t="str">
        <f>_ENGINE_Risk!CO840</f>
        <v>Business Systems|Governance and lifecycle|BUSI-023|CAP_PLATFORM_CONTINUITY</v>
      </c>
      <c r="P342" s="177" t="str">
        <f>_ENGINE_Risk!CR840</f>
        <v>Risk ontology uses capability=CAP_PLATFORM_CONTINUITY; bridge=BRG-004; treatment=TRT-PLATFORM_CONTINUITY-INITIAL; wording=IW-ALL-PLATFORM_CONTINUITY</v>
      </c>
    </row>
    <row r="343" spans="1:16" ht="84.9" customHeight="1">
      <c r="A343" s="177" t="str">
        <f>_ENGINE_Risk!CM841</f>
        <v>RISK-ONT-0342</v>
      </c>
      <c r="B343" s="177">
        <f>ROW(_ENGINE_Risk!A841)</f>
        <v>841</v>
      </c>
      <c r="C343" s="177" t="str">
        <f>_ENGINE_Risk!E841</f>
        <v>DATA-001</v>
      </c>
      <c r="D343" s="177" t="str">
        <f>_ENGINE_Risk!C841</f>
        <v>Data BI AI</v>
      </c>
      <c r="E343" s="177" t="str">
        <f>_ENGINE_Risk!D841</f>
        <v>Data governance</v>
      </c>
      <c r="F343" s="177" t="str">
        <f>_ENGINE_Risk!F841</f>
        <v>Data, BI, analytics and AI governance</v>
      </c>
      <c r="G343" s="177" t="str">
        <f>_ENGINE_Risk!G841</f>
        <v>Severe risk: data owners and stewards for critical data domains is not reliably controlled. During Decision failure; Data loss; Regulatory/legal shock, the organization may face poor decisions, unreliable reporting, data quality problems and unsafe or ineffective AI usage with limited visibility or accountability.</v>
      </c>
      <c r="H343" s="177" t="str">
        <f>_ENGINE_Risk!BT841</f>
        <v>CAP_DATA_GOVERNANCE</v>
      </c>
      <c r="I343" s="177" t="str">
        <f>_ENGINE_Risk!BV841</f>
        <v>BRG-022</v>
      </c>
      <c r="J343" s="177" t="str">
        <f>_ENGINE_Risk!CE841</f>
        <v>IW-ALL-DATA_GOVERNANCE</v>
      </c>
      <c r="K343" s="177" t="str">
        <f>_ENGINE_Risk!BY841</f>
        <v>TRT-DATA_GOVERNANCE-INITIAL</v>
      </c>
      <c r="L343" s="177" t="str">
        <f>_ENGINE_Risk!CP841</f>
        <v>Active</v>
      </c>
      <c r="M343" s="177" t="str">
        <f>_ENGINE_Risk!CQ841</f>
        <v>OK: capability-driven</v>
      </c>
      <c r="N343" s="177" t="str">
        <f>_ENGINE_Risk!CS841</f>
        <v>Yes</v>
      </c>
      <c r="O343" s="177" t="str">
        <f>_ENGINE_Risk!CO841</f>
        <v>Data BI AI|Data governance|DATA-001|CAP_DATA_GOVERNANCE</v>
      </c>
      <c r="P343" s="177" t="str">
        <f>_ENGINE_Risk!CR841</f>
        <v>Risk ontology uses capability=CAP_DATA_GOVERNANCE; bridge=BRG-022; treatment=TRT-DATA_GOVERNANCE-INITIAL; wording=IW-ALL-DATA_GOVERNANCE</v>
      </c>
    </row>
    <row r="344" spans="1:16" ht="99" customHeight="1">
      <c r="A344" s="177" t="str">
        <f>_ENGINE_Risk!CM842</f>
        <v>RISK-ONT-0343</v>
      </c>
      <c r="B344" s="177">
        <f>ROW(_ENGINE_Risk!A842)</f>
        <v>842</v>
      </c>
      <c r="C344" s="177" t="str">
        <f>_ENGINE_Risk!E842</f>
        <v>DATA-002</v>
      </c>
      <c r="D344" s="177" t="str">
        <f>_ENGINE_Risk!C842</f>
        <v>Data BI AI</v>
      </c>
      <c r="E344" s="177" t="str">
        <f>_ENGINE_Risk!D842</f>
        <v>Data governance</v>
      </c>
      <c r="F344" s="177" t="str">
        <f>_ENGINE_Risk!F842</f>
        <v>Data, BI, analytics and AI governance</v>
      </c>
      <c r="G344" s="177" t="str">
        <f>_ENGINE_Risk!G842</f>
        <v>Severe risk: data catalog of critical datasets, reports, dashboards, data sources and users is not reliably controlled. During Decision failure; Data loss; Regulatory/legal shock, the organization may face poor decisions, unreliable reporting, data quality problems and unsafe or ineffective AI usage with limited visibility or accountability.</v>
      </c>
      <c r="H344" s="177" t="str">
        <f>_ENGINE_Risk!BT842</f>
        <v>CAP_DATA_GOVERNANCE</v>
      </c>
      <c r="I344" s="177" t="str">
        <f>_ENGINE_Risk!BV842</f>
        <v>BRG-022</v>
      </c>
      <c r="J344" s="177" t="str">
        <f>_ENGINE_Risk!CE842</f>
        <v>IW-ALL-DATA_GOVERNANCE</v>
      </c>
      <c r="K344" s="177" t="str">
        <f>_ENGINE_Risk!BY842</f>
        <v>TRT-DATA_GOVERNANCE-INITIAL</v>
      </c>
      <c r="L344" s="177" t="str">
        <f>_ENGINE_Risk!CP842</f>
        <v>Active</v>
      </c>
      <c r="M344" s="177" t="str">
        <f>_ENGINE_Risk!CQ842</f>
        <v>OK: capability-driven</v>
      </c>
      <c r="N344" s="177" t="str">
        <f>_ENGINE_Risk!CS842</f>
        <v>Yes</v>
      </c>
      <c r="O344" s="177" t="str">
        <f>_ENGINE_Risk!CO842</f>
        <v>Data BI AI|Data governance|DATA-002|CAP_DATA_GOVERNANCE</v>
      </c>
      <c r="P344" s="177" t="str">
        <f>_ENGINE_Risk!CR842</f>
        <v>Risk ontology uses capability=CAP_DATA_GOVERNANCE; bridge=BRG-022; treatment=TRT-DATA_GOVERNANCE-INITIAL; wording=IW-ALL-DATA_GOVERNANCE</v>
      </c>
    </row>
    <row r="345" spans="1:16" ht="99" customHeight="1">
      <c r="A345" s="177" t="str">
        <f>_ENGINE_Risk!CM843</f>
        <v>RISK-ONT-0344</v>
      </c>
      <c r="B345" s="177">
        <f>ROW(_ENGINE_Risk!A843)</f>
        <v>843</v>
      </c>
      <c r="C345" s="177" t="str">
        <f>_ENGINE_Risk!E843</f>
        <v>DATA-003</v>
      </c>
      <c r="D345" s="177" t="str">
        <f>_ENGINE_Risk!C843</f>
        <v>Data BI AI</v>
      </c>
      <c r="E345" s="177" t="str">
        <f>_ENGINE_Risk!D843</f>
        <v>Data governance</v>
      </c>
      <c r="F345" s="177" t="str">
        <f>_ENGINE_Risk!F843</f>
        <v>Data, BI, analytics and AI governance</v>
      </c>
      <c r="G345" s="177" t="str">
        <f>_ENGINE_Risk!G843</f>
        <v>Severe risk: consistent metric definitions across finance, sales, operations, HR, supply chain and manufacturing is not reliably controlled. During Decision failure; Data loss; Regulatory/legal shock, the organization may face poor decisions, unreliable reporting, data quality problems and unsafe or ineffective AI usage with limited visibility or accountability.</v>
      </c>
      <c r="H345" s="177" t="str">
        <f>_ENGINE_Risk!BT843</f>
        <v>CAP_DATA_GOVERNANCE</v>
      </c>
      <c r="I345" s="177" t="str">
        <f>_ENGINE_Risk!BV843</f>
        <v>BRG-022</v>
      </c>
      <c r="J345" s="177" t="str">
        <f>_ENGINE_Risk!CE843</f>
        <v>IW-ALL-DATA_GOVERNANCE</v>
      </c>
      <c r="K345" s="177" t="str">
        <f>_ENGINE_Risk!BY843</f>
        <v>TRT-DATA_GOVERNANCE-INITIAL</v>
      </c>
      <c r="L345" s="177" t="str">
        <f>_ENGINE_Risk!CP843</f>
        <v>Active</v>
      </c>
      <c r="M345" s="177" t="str">
        <f>_ENGINE_Risk!CQ843</f>
        <v>OK: capability-driven</v>
      </c>
      <c r="N345" s="177" t="str">
        <f>_ENGINE_Risk!CS843</f>
        <v>Yes</v>
      </c>
      <c r="O345" s="177" t="str">
        <f>_ENGINE_Risk!CO843</f>
        <v>Data BI AI|Data governance|DATA-003|CAP_DATA_GOVERNANCE</v>
      </c>
      <c r="P345" s="177" t="str">
        <f>_ENGINE_Risk!CR843</f>
        <v>Risk ontology uses capability=CAP_DATA_GOVERNANCE; bridge=BRG-022; treatment=TRT-DATA_GOVERNANCE-INITIAL; wording=IW-ALL-DATA_GOVERNANCE</v>
      </c>
    </row>
    <row r="346" spans="1:16" ht="84.9" customHeight="1">
      <c r="A346" s="177" t="str">
        <f>_ENGINE_Risk!CM844</f>
        <v>RISK-ONT-0345</v>
      </c>
      <c r="B346" s="177">
        <f>ROW(_ENGINE_Risk!A844)</f>
        <v>844</v>
      </c>
      <c r="C346" s="177" t="str">
        <f>_ENGINE_Risk!E844</f>
        <v>DATA-004</v>
      </c>
      <c r="D346" s="177" t="str">
        <f>_ENGINE_Risk!C844</f>
        <v>Data BI AI</v>
      </c>
      <c r="E346" s="177" t="str">
        <f>_ENGINE_Risk!D844</f>
        <v>Data governance</v>
      </c>
      <c r="F346" s="177" t="str">
        <f>_ENGINE_Risk!F844</f>
        <v>Data, BI, analytics and AI governance</v>
      </c>
      <c r="G346" s="177" t="str">
        <f>_ENGINE_Risk!G844</f>
        <v>Severe risk: data quality rules, monitoring and issue resolution process is not reliably controlled. During Decision failure; Data loss; Regulatory/legal shock, the organization may face poor decisions, unreliable reporting, data quality problems and unsafe or ineffective AI usage with limited visibility or accountability.</v>
      </c>
      <c r="H346" s="177" t="str">
        <f>_ENGINE_Risk!BT844</f>
        <v>CAP_DATA_GOVERNANCE</v>
      </c>
      <c r="I346" s="177" t="str">
        <f>_ENGINE_Risk!BV844</f>
        <v>BRG-022</v>
      </c>
      <c r="J346" s="177" t="str">
        <f>_ENGINE_Risk!CE844</f>
        <v>IW-ALL-DATA_GOVERNANCE</v>
      </c>
      <c r="K346" s="177" t="str">
        <f>_ENGINE_Risk!BY844</f>
        <v>TRT-DATA_GOVERNANCE-INITIAL</v>
      </c>
      <c r="L346" s="177" t="str">
        <f>_ENGINE_Risk!CP844</f>
        <v>Active</v>
      </c>
      <c r="M346" s="177" t="str">
        <f>_ENGINE_Risk!CQ844</f>
        <v>OK: capability-driven</v>
      </c>
      <c r="N346" s="177" t="str">
        <f>_ENGINE_Risk!CS844</f>
        <v>Yes</v>
      </c>
      <c r="O346" s="177" t="str">
        <f>_ENGINE_Risk!CO844</f>
        <v>Data BI AI|Data governance|DATA-004|CAP_DATA_GOVERNANCE</v>
      </c>
      <c r="P346" s="177" t="str">
        <f>_ENGINE_Risk!CR844</f>
        <v>Risk ontology uses capability=CAP_DATA_GOVERNANCE; bridge=BRG-022; treatment=TRT-DATA_GOVERNANCE-INITIAL; wording=IW-ALL-DATA_GOVERNANCE</v>
      </c>
    </row>
    <row r="347" spans="1:16" ht="99" customHeight="1">
      <c r="A347" s="177" t="str">
        <f>_ENGINE_Risk!CM845</f>
        <v>RISK-ONT-0346</v>
      </c>
      <c r="B347" s="177">
        <f>ROW(_ENGINE_Risk!A845)</f>
        <v>845</v>
      </c>
      <c r="C347" s="177" t="str">
        <f>_ENGINE_Risk!E845</f>
        <v>DATA-005</v>
      </c>
      <c r="D347" s="177" t="str">
        <f>_ENGINE_Risk!C845</f>
        <v>Data BI AI</v>
      </c>
      <c r="E347" s="177" t="str">
        <f>_ENGINE_Risk!D845</f>
        <v>Data governance</v>
      </c>
      <c r="F347" s="177" t="str">
        <f>_ENGINE_Risk!F845</f>
        <v>Data, BI, analytics and AI governance</v>
      </c>
      <c r="G347" s="177" t="str">
        <f>_ENGINE_Risk!G845</f>
        <v>Severe risk: data classification by sensitivity, business criticality, privacy and retention requirement is not reliably controlled. During Decision failure; Data loss; Regulatory/legal shock, the organization may face poor decisions, unreliable reporting, data quality problems and unsafe or ineffective AI usage with limited visibility or accountability.</v>
      </c>
      <c r="H347" s="177" t="str">
        <f>_ENGINE_Risk!BT845</f>
        <v>CAP_DATA_GOVERNANCE</v>
      </c>
      <c r="I347" s="177" t="str">
        <f>_ENGINE_Risk!BV845</f>
        <v>BRG-022</v>
      </c>
      <c r="J347" s="177" t="str">
        <f>_ENGINE_Risk!CE845</f>
        <v>IW-ALL-DATA_GOVERNANCE</v>
      </c>
      <c r="K347" s="177" t="str">
        <f>_ENGINE_Risk!BY845</f>
        <v>TRT-DATA_GOVERNANCE-INITIAL</v>
      </c>
      <c r="L347" s="177" t="str">
        <f>_ENGINE_Risk!CP845</f>
        <v>Active</v>
      </c>
      <c r="M347" s="177" t="str">
        <f>_ENGINE_Risk!CQ845</f>
        <v>OK: capability-driven</v>
      </c>
      <c r="N347" s="177" t="str">
        <f>_ENGINE_Risk!CS845</f>
        <v>Yes</v>
      </c>
      <c r="O347" s="177" t="str">
        <f>_ENGINE_Risk!CO845</f>
        <v>Data BI AI|Data governance|DATA-005|CAP_DATA_GOVERNANCE</v>
      </c>
      <c r="P347" s="177" t="str">
        <f>_ENGINE_Risk!CR845</f>
        <v>Risk ontology uses capability=CAP_DATA_GOVERNANCE; bridge=BRG-022; treatment=TRT-DATA_GOVERNANCE-INITIAL; wording=IW-ALL-DATA_GOVERNANCE</v>
      </c>
    </row>
    <row r="348" spans="1:16" ht="99" customHeight="1">
      <c r="A348" s="177" t="str">
        <f>_ENGINE_Risk!CM846</f>
        <v>RISK-ONT-0347</v>
      </c>
      <c r="B348" s="177">
        <f>ROW(_ENGINE_Risk!A846)</f>
        <v>846</v>
      </c>
      <c r="C348" s="177" t="str">
        <f>_ENGINE_Risk!E846</f>
        <v>DATA-006</v>
      </c>
      <c r="D348" s="177" t="str">
        <f>_ENGINE_Risk!C846</f>
        <v>Data BI AI</v>
      </c>
      <c r="E348" s="177" t="str">
        <f>_ENGINE_Risk!D846</f>
        <v>Data governance</v>
      </c>
      <c r="F348" s="177" t="str">
        <f>_ENGINE_Risk!F846</f>
        <v>Data, BI, analytics and AI governance</v>
      </c>
      <c r="G348" s="177" t="str">
        <f>_ENGINE_Risk!G846</f>
        <v>Severe risk: data access governance for datasets, warehouses, BI reports and analytics workspaces is not reliably controlled. During Decision failure; Data loss; Regulatory/legal shock, the organization may face poor decisions, unreliable reporting, data quality problems and unsafe or ineffective AI usage with limited visibility or accountability.</v>
      </c>
      <c r="H348" s="177" t="str">
        <f>_ENGINE_Risk!BT846</f>
        <v>CAP_DATA_GOVERNANCE</v>
      </c>
      <c r="I348" s="177" t="str">
        <f>_ENGINE_Risk!BV846</f>
        <v>BRG-022</v>
      </c>
      <c r="J348" s="177" t="str">
        <f>_ENGINE_Risk!CE846</f>
        <v>IW-ALL-DATA_GOVERNANCE</v>
      </c>
      <c r="K348" s="177" t="str">
        <f>_ENGINE_Risk!BY846</f>
        <v>TRT-DATA_GOVERNANCE-INITIAL</v>
      </c>
      <c r="L348" s="177" t="str">
        <f>_ENGINE_Risk!CP846</f>
        <v>Active</v>
      </c>
      <c r="M348" s="177" t="str">
        <f>_ENGINE_Risk!CQ846</f>
        <v>OK: capability-driven</v>
      </c>
      <c r="N348" s="177" t="str">
        <f>_ENGINE_Risk!CS846</f>
        <v>Yes</v>
      </c>
      <c r="O348" s="177" t="str">
        <f>_ENGINE_Risk!CO846</f>
        <v>Data BI AI|Data governance|DATA-006|CAP_DATA_GOVERNANCE</v>
      </c>
      <c r="P348" s="177" t="str">
        <f>_ENGINE_Risk!CR846</f>
        <v>Risk ontology uses capability=CAP_DATA_GOVERNANCE; bridge=BRG-022; treatment=TRT-DATA_GOVERNANCE-INITIAL; wording=IW-ALL-DATA_GOVERNANCE</v>
      </c>
    </row>
    <row r="349" spans="1:16" ht="99" customHeight="1">
      <c r="A349" s="177" t="str">
        <f>_ENGINE_Risk!CM847</f>
        <v>RISK-ONT-0348</v>
      </c>
      <c r="B349" s="177">
        <f>ROW(_ENGINE_Risk!A847)</f>
        <v>847</v>
      </c>
      <c r="C349" s="177" t="str">
        <f>_ENGINE_Risk!E847</f>
        <v>DATA-007</v>
      </c>
      <c r="D349" s="177" t="str">
        <f>_ENGINE_Risk!C847</f>
        <v>Data BI AI</v>
      </c>
      <c r="E349" s="177" t="str">
        <f>_ENGINE_Risk!D847</f>
        <v>Data architecture</v>
      </c>
      <c r="F349" s="177" t="str">
        <f>_ENGINE_Risk!F847</f>
        <v>Data, BI, analytics and AI governance</v>
      </c>
      <c r="G349" s="177" t="str">
        <f>_ENGINE_Risk!G847</f>
        <v>Severe risk: data architecture from source systems to warehouse, lake, BI, AI models and reports is not reliably controlled. During Decision failure; Data loss; Regulatory/legal shock, the organization may face poor decisions, unreliable reporting, data quality problems and unsafe or ineffective AI usage with limited visibility or accountability.</v>
      </c>
      <c r="H349" s="177" t="str">
        <f>_ENGINE_Risk!BT847</f>
        <v>CAP_DATA_GOVERNANCE</v>
      </c>
      <c r="I349" s="177" t="str">
        <f>_ENGINE_Risk!BV847</f>
        <v>BRG-021</v>
      </c>
      <c r="J349" s="177" t="str">
        <f>_ENGINE_Risk!CE847</f>
        <v>IW-ALL-DATA_GOVERNANCE</v>
      </c>
      <c r="K349" s="177" t="str">
        <f>_ENGINE_Risk!BY847</f>
        <v>TRT-DATA_GOVERNANCE-INITIAL</v>
      </c>
      <c r="L349" s="177" t="str">
        <f>_ENGINE_Risk!CP847</f>
        <v>Active</v>
      </c>
      <c r="M349" s="177" t="str">
        <f>_ENGINE_Risk!CQ847</f>
        <v>OK: capability-driven</v>
      </c>
      <c r="N349" s="177" t="str">
        <f>_ENGINE_Risk!CS847</f>
        <v>Yes</v>
      </c>
      <c r="O349" s="177" t="str">
        <f>_ENGINE_Risk!CO847</f>
        <v>Data BI AI|Data architecture|DATA-007|CAP_DATA_GOVERNANCE</v>
      </c>
      <c r="P349" s="177" t="str">
        <f>_ENGINE_Risk!CR847</f>
        <v>Risk ontology uses capability=CAP_DATA_GOVERNANCE; bridge=BRG-021; treatment=TRT-DATA_GOVERNANCE-INITIAL; wording=IW-ALL-DATA_GOVERNANCE</v>
      </c>
    </row>
    <row r="350" spans="1:16" ht="99" customHeight="1">
      <c r="A350" s="177" t="str">
        <f>_ENGINE_Risk!CM848</f>
        <v>RISK-ONT-0349</v>
      </c>
      <c r="B350" s="177">
        <f>ROW(_ENGINE_Risk!A848)</f>
        <v>848</v>
      </c>
      <c r="C350" s="177" t="str">
        <f>_ENGINE_Risk!E848</f>
        <v>DATA-008</v>
      </c>
      <c r="D350" s="177" t="str">
        <f>_ENGINE_Risk!C848</f>
        <v>Data BI AI</v>
      </c>
      <c r="E350" s="177" t="str">
        <f>_ENGINE_Risk!D848</f>
        <v>Data architecture</v>
      </c>
      <c r="F350" s="177" t="str">
        <f>_ENGINE_Risk!F848</f>
        <v>Data, BI, analytics and AI governance</v>
      </c>
      <c r="G350" s="177" t="str">
        <f>_ENGINE_Risk!G848</f>
        <v>Severe risk: ETL or ELT monitoring for failures, latency, completeness and reconciliation is not reliably controlled. During Decision failure; Data loss; Regulatory/legal shock, the organization may face poor decisions, unreliable reporting, data quality problems and unsafe or ineffective AI usage with limited visibility or accountability.</v>
      </c>
      <c r="H350" s="177" t="str">
        <f>_ENGINE_Risk!BT848</f>
        <v>CAP_DATA_GOVERNANCE</v>
      </c>
      <c r="I350" s="177" t="str">
        <f>_ENGINE_Risk!BV848</f>
        <v>BRG-021</v>
      </c>
      <c r="J350" s="177" t="str">
        <f>_ENGINE_Risk!CE848</f>
        <v>IW-ALL-DATA_GOVERNANCE</v>
      </c>
      <c r="K350" s="177" t="str">
        <f>_ENGINE_Risk!BY848</f>
        <v>TRT-DATA_GOVERNANCE-INITIAL</v>
      </c>
      <c r="L350" s="177" t="str">
        <f>_ENGINE_Risk!CP848</f>
        <v>Active</v>
      </c>
      <c r="M350" s="177" t="str">
        <f>_ENGINE_Risk!CQ848</f>
        <v>OK: capability-driven</v>
      </c>
      <c r="N350" s="177" t="str">
        <f>_ENGINE_Risk!CS848</f>
        <v>Yes</v>
      </c>
      <c r="O350" s="177" t="str">
        <f>_ENGINE_Risk!CO848</f>
        <v>Data BI AI|Data architecture|DATA-008|CAP_DATA_GOVERNANCE</v>
      </c>
      <c r="P350" s="177" t="str">
        <f>_ENGINE_Risk!CR848</f>
        <v>Risk ontology uses capability=CAP_DATA_GOVERNANCE; bridge=BRG-021; treatment=TRT-DATA_GOVERNANCE-INITIAL; wording=IW-ALL-DATA_GOVERNANCE</v>
      </c>
    </row>
    <row r="351" spans="1:16" ht="99" customHeight="1">
      <c r="A351" s="177" t="str">
        <f>_ENGINE_Risk!CM849</f>
        <v>RISK-ONT-0350</v>
      </c>
      <c r="B351" s="177">
        <f>ROW(_ENGINE_Risk!A849)</f>
        <v>849</v>
      </c>
      <c r="C351" s="177" t="str">
        <f>_ENGINE_Risk!E849</f>
        <v>DATA-009</v>
      </c>
      <c r="D351" s="177" t="str">
        <f>_ENGINE_Risk!C849</f>
        <v>Data BI AI</v>
      </c>
      <c r="E351" s="177" t="str">
        <f>_ENGINE_Risk!D849</f>
        <v>Data architecture</v>
      </c>
      <c r="F351" s="177" t="str">
        <f>_ENGINE_Risk!F849</f>
        <v>Data, BI, analytics and AI governance</v>
      </c>
      <c r="G351" s="177" t="str">
        <f>_ENGINE_Risk!G849</f>
        <v>Severe risk: data lineage for critical KPIs, regulatory reports and board dashboards is not reliably controlled. During Decision failure; Data loss; Regulatory/legal shock, the organization may face poor decisions, unreliable reporting, data quality problems and unsafe or ineffective AI usage with limited visibility or accountability.</v>
      </c>
      <c r="H351" s="177" t="str">
        <f>_ENGINE_Risk!BT849</f>
        <v>CAP_DATA_GOVERNANCE</v>
      </c>
      <c r="I351" s="177" t="str">
        <f>_ENGINE_Risk!BV849</f>
        <v>BRG-021</v>
      </c>
      <c r="J351" s="177" t="str">
        <f>_ENGINE_Risk!CE849</f>
        <v>IW-ALL-DATA_GOVERNANCE</v>
      </c>
      <c r="K351" s="177" t="str">
        <f>_ENGINE_Risk!BY849</f>
        <v>TRT-DATA_GOVERNANCE-INITIAL</v>
      </c>
      <c r="L351" s="177" t="str">
        <f>_ENGINE_Risk!CP849</f>
        <v>Active</v>
      </c>
      <c r="M351" s="177" t="str">
        <f>_ENGINE_Risk!CQ849</f>
        <v>OK: capability-driven</v>
      </c>
      <c r="N351" s="177" t="str">
        <f>_ENGINE_Risk!CS849</f>
        <v>Yes</v>
      </c>
      <c r="O351" s="177" t="str">
        <f>_ENGINE_Risk!CO849</f>
        <v>Data BI AI|Data architecture|DATA-009|CAP_DATA_GOVERNANCE</v>
      </c>
      <c r="P351" s="177" t="str">
        <f>_ENGINE_Risk!CR849</f>
        <v>Risk ontology uses capability=CAP_DATA_GOVERNANCE; bridge=BRG-021; treatment=TRT-DATA_GOVERNANCE-INITIAL; wording=IW-ALL-DATA_GOVERNANCE</v>
      </c>
    </row>
    <row r="352" spans="1:16" ht="99" customHeight="1">
      <c r="A352" s="177" t="str">
        <f>_ENGINE_Risk!CM850</f>
        <v>RISK-ONT-0351</v>
      </c>
      <c r="B352" s="177">
        <f>ROW(_ENGINE_Risk!A850)</f>
        <v>850</v>
      </c>
      <c r="C352" s="177" t="str">
        <f>_ENGINE_Risk!E850</f>
        <v>DATA-010</v>
      </c>
      <c r="D352" s="177" t="str">
        <f>_ENGINE_Risk!C850</f>
        <v>Data BI AI</v>
      </c>
      <c r="E352" s="177" t="str">
        <f>_ENGINE_Risk!D850</f>
        <v>Data architecture</v>
      </c>
      <c r="F352" s="177" t="str">
        <f>_ENGINE_Risk!F850</f>
        <v>Data, BI, analytics and AI governance</v>
      </c>
      <c r="G352" s="177" t="str">
        <f>_ENGINE_Risk!G850</f>
        <v>Severe risk: backup and recovery for critical datasets, warehouses, BI content and analytics code is not reliably controlled. During Decision failure; Data loss; Regulatory/legal shock, the organization may face poor decisions, unreliable reporting, data quality problems and unsafe or ineffective AI usage with limited visibility or accountability.</v>
      </c>
      <c r="H352" s="177" t="str">
        <f>_ENGINE_Risk!BT850</f>
        <v>CAP_DATA_GOVERNANCE</v>
      </c>
      <c r="I352" s="177" t="str">
        <f>_ENGINE_Risk!BV850</f>
        <v>BRG-021</v>
      </c>
      <c r="J352" s="177" t="str">
        <f>_ENGINE_Risk!CE850</f>
        <v>IW-ALL-DATA_GOVERNANCE</v>
      </c>
      <c r="K352" s="177" t="str">
        <f>_ENGINE_Risk!BY850</f>
        <v>TRT-DATA_GOVERNANCE-INITIAL</v>
      </c>
      <c r="L352" s="177" t="str">
        <f>_ENGINE_Risk!CP850</f>
        <v>Active</v>
      </c>
      <c r="M352" s="177" t="str">
        <f>_ENGINE_Risk!CQ850</f>
        <v>OK: capability-driven</v>
      </c>
      <c r="N352" s="177" t="str">
        <f>_ENGINE_Risk!CS850</f>
        <v>Yes</v>
      </c>
      <c r="O352" s="177" t="str">
        <f>_ENGINE_Risk!CO850</f>
        <v>Data BI AI|Data architecture|DATA-010|CAP_DATA_GOVERNANCE</v>
      </c>
      <c r="P352" s="177" t="str">
        <f>_ENGINE_Risk!CR850</f>
        <v>Risk ontology uses capability=CAP_DATA_GOVERNANCE; bridge=BRG-021; treatment=TRT-DATA_GOVERNANCE-INITIAL; wording=IW-ALL-DATA_GOVERNANCE</v>
      </c>
    </row>
    <row r="353" spans="1:16" ht="84.9" customHeight="1">
      <c r="A353" s="177" t="str">
        <f>_ENGINE_Risk!CM851</f>
        <v>RISK-ONT-0352</v>
      </c>
      <c r="B353" s="177">
        <f>ROW(_ENGINE_Risk!A851)</f>
        <v>851</v>
      </c>
      <c r="C353" s="177" t="str">
        <f>_ENGINE_Risk!E851</f>
        <v>DATA-011</v>
      </c>
      <c r="D353" s="177" t="str">
        <f>_ENGINE_Risk!C851</f>
        <v>Data BI AI</v>
      </c>
      <c r="E353" s="177" t="str">
        <f>_ENGINE_Risk!D851</f>
        <v>Data architecture</v>
      </c>
      <c r="F353" s="177" t="str">
        <f>_ENGINE_Risk!F851</f>
        <v>Data, BI, analytics and AI governance</v>
      </c>
      <c r="G353" s="177" t="str">
        <f>_ENGINE_Risk!G851</f>
        <v>Severe risk: retention and deletion rules for structured and unstructured data is not reliably controlled. During Decision failure; Data loss; Regulatory/legal shock, the organization may face poor decisions, unreliable reporting, data quality problems and unsafe or ineffective AI usage with limited visibility or accountability.</v>
      </c>
      <c r="H353" s="177" t="str">
        <f>_ENGINE_Risk!BT851</f>
        <v>CAP_DATA_GOVERNANCE</v>
      </c>
      <c r="I353" s="177" t="str">
        <f>_ENGINE_Risk!BV851</f>
        <v>BRG-021</v>
      </c>
      <c r="J353" s="177" t="str">
        <f>_ENGINE_Risk!CE851</f>
        <v>IW-ALL-DATA_GOVERNANCE</v>
      </c>
      <c r="K353" s="177" t="str">
        <f>_ENGINE_Risk!BY851</f>
        <v>TRT-DATA_GOVERNANCE-INITIAL</v>
      </c>
      <c r="L353" s="177" t="str">
        <f>_ENGINE_Risk!CP851</f>
        <v>Active</v>
      </c>
      <c r="M353" s="177" t="str">
        <f>_ENGINE_Risk!CQ851</f>
        <v>OK: capability-driven</v>
      </c>
      <c r="N353" s="177" t="str">
        <f>_ENGINE_Risk!CS851</f>
        <v>Yes</v>
      </c>
      <c r="O353" s="177" t="str">
        <f>_ENGINE_Risk!CO851</f>
        <v>Data BI AI|Data architecture|DATA-011|CAP_DATA_GOVERNANCE</v>
      </c>
      <c r="P353" s="177" t="str">
        <f>_ENGINE_Risk!CR851</f>
        <v>Risk ontology uses capability=CAP_DATA_GOVERNANCE; bridge=BRG-021; treatment=TRT-DATA_GOVERNANCE-INITIAL; wording=IW-ALL-DATA_GOVERNANCE</v>
      </c>
    </row>
    <row r="354" spans="1:16" ht="99" customHeight="1">
      <c r="A354" s="177" t="str">
        <f>_ENGINE_Risk!CM852</f>
        <v>RISK-ONT-0353</v>
      </c>
      <c r="B354" s="177">
        <f>ROW(_ENGINE_Risk!A852)</f>
        <v>852</v>
      </c>
      <c r="C354" s="177" t="str">
        <f>_ENGINE_Risk!E852</f>
        <v>DATA-012</v>
      </c>
      <c r="D354" s="177" t="str">
        <f>_ENGINE_Risk!C852</f>
        <v>Data BI AI</v>
      </c>
      <c r="E354" s="177" t="str">
        <f>_ENGINE_Risk!D852</f>
        <v>Data architecture</v>
      </c>
      <c r="F354" s="177" t="str">
        <f>_ENGINE_Risk!F852</f>
        <v>Data, BI, analytics and AI governance</v>
      </c>
      <c r="G354" s="177" t="str">
        <f>_ENGINE_Risk!G852</f>
        <v>Severe risk: external data source validation for quality, licensing, availability and continuity is not reliably controlled. During Decision failure; Data loss; Regulatory/legal shock, the organization may face poor decisions, unreliable reporting, data quality problems and unsafe or ineffective AI usage with limited visibility or accountability.</v>
      </c>
      <c r="H354" s="177" t="str">
        <f>_ENGINE_Risk!BT852</f>
        <v>CAP_DATA_GOVERNANCE</v>
      </c>
      <c r="I354" s="177" t="str">
        <f>_ENGINE_Risk!BV852</f>
        <v>BRG-021</v>
      </c>
      <c r="J354" s="177" t="str">
        <f>_ENGINE_Risk!CE852</f>
        <v>IW-ALL-DATA_GOVERNANCE</v>
      </c>
      <c r="K354" s="177" t="str">
        <f>_ENGINE_Risk!BY852</f>
        <v>TRT-DATA_GOVERNANCE-INITIAL</v>
      </c>
      <c r="L354" s="177" t="str">
        <f>_ENGINE_Risk!CP852</f>
        <v>Active</v>
      </c>
      <c r="M354" s="177" t="str">
        <f>_ENGINE_Risk!CQ852</f>
        <v>OK: capability-driven</v>
      </c>
      <c r="N354" s="177" t="str">
        <f>_ENGINE_Risk!CS852</f>
        <v>Yes</v>
      </c>
      <c r="O354" s="177" t="str">
        <f>_ENGINE_Risk!CO852</f>
        <v>Data BI AI|Data architecture|DATA-012|CAP_DATA_GOVERNANCE</v>
      </c>
      <c r="P354" s="177" t="str">
        <f>_ENGINE_Risk!CR852</f>
        <v>Risk ontology uses capability=CAP_DATA_GOVERNANCE; bridge=BRG-021; treatment=TRT-DATA_GOVERNANCE-INITIAL; wording=IW-ALL-DATA_GOVERNANCE</v>
      </c>
    </row>
    <row r="355" spans="1:16" ht="99" customHeight="1">
      <c r="A355" s="177" t="str">
        <f>_ENGINE_Risk!CM853</f>
        <v>RISK-ONT-0354</v>
      </c>
      <c r="B355" s="177">
        <f>ROW(_ENGINE_Risk!A853)</f>
        <v>853</v>
      </c>
      <c r="C355" s="177" t="str">
        <f>_ENGINE_Risk!E853</f>
        <v>DATA-013</v>
      </c>
      <c r="D355" s="177" t="str">
        <f>_ENGINE_Risk!C853</f>
        <v>Data BI AI</v>
      </c>
      <c r="E355" s="177" t="str">
        <f>_ENGINE_Risk!D853</f>
        <v>BI and analytics</v>
      </c>
      <c r="F355" s="177" t="str">
        <f>_ENGINE_Risk!F853</f>
        <v>Data, BI, analytics and AI governance</v>
      </c>
      <c r="G355" s="177" t="str">
        <f>_ENGINE_Risk!G853</f>
        <v>Severe risk: executive dashboards for crisis KPIs such as cash, workforce, supply, delivery, revenue and incidents is not reliably controlled. During Decision failure; Data loss; Regulatory/legal shock, the organization may face poor decisions, unreliable reporting, data quality problems and unsafe or ineffective AI usage with limited visibility or accountability.</v>
      </c>
      <c r="H355" s="177" t="str">
        <f>_ENGINE_Risk!BT853</f>
        <v>CAP_DATA_GOVERNANCE</v>
      </c>
      <c r="I355" s="177" t="str">
        <f>_ENGINE_Risk!BV853</f>
        <v>BRG-020</v>
      </c>
      <c r="J355" s="177" t="str">
        <f>_ENGINE_Risk!CE853</f>
        <v>IW-ALL-DATA_GOVERNANCE</v>
      </c>
      <c r="K355" s="177" t="str">
        <f>_ENGINE_Risk!BY853</f>
        <v>TRT-DATA_GOVERNANCE-INITIAL</v>
      </c>
      <c r="L355" s="177" t="str">
        <f>_ENGINE_Risk!CP853</f>
        <v>Active</v>
      </c>
      <c r="M355" s="177" t="str">
        <f>_ENGINE_Risk!CQ853</f>
        <v>OK: capability-driven</v>
      </c>
      <c r="N355" s="177" t="str">
        <f>_ENGINE_Risk!CS853</f>
        <v>Yes</v>
      </c>
      <c r="O355" s="177" t="str">
        <f>_ENGINE_Risk!CO853</f>
        <v>Data BI AI|BI and analytics|DATA-013|CAP_DATA_GOVERNANCE</v>
      </c>
      <c r="P355" s="177" t="str">
        <f>_ENGINE_Risk!CR853</f>
        <v>Risk ontology uses capability=CAP_DATA_GOVERNANCE; bridge=BRG-020; treatment=TRT-DATA_GOVERNANCE-INITIAL; wording=IW-ALL-DATA_GOVERNANCE</v>
      </c>
    </row>
    <row r="356" spans="1:16" ht="99" customHeight="1">
      <c r="A356" s="177" t="str">
        <f>_ENGINE_Risk!CM854</f>
        <v>RISK-ONT-0355</v>
      </c>
      <c r="B356" s="177">
        <f>ROW(_ENGINE_Risk!A854)</f>
        <v>854</v>
      </c>
      <c r="C356" s="177" t="str">
        <f>_ENGINE_Risk!E854</f>
        <v>DATA-014</v>
      </c>
      <c r="D356" s="177" t="str">
        <f>_ENGINE_Risk!C854</f>
        <v>Data BI AI</v>
      </c>
      <c r="E356" s="177" t="str">
        <f>_ENGINE_Risk!D854</f>
        <v>BI and analytics</v>
      </c>
      <c r="F356" s="177" t="str">
        <f>_ENGINE_Risk!F854</f>
        <v>Data, BI, analytics and AI governance</v>
      </c>
      <c r="G356" s="177" t="str">
        <f>_ENGINE_Risk!G854</f>
        <v>Severe risk: operational dashboards for daily management and crisis response is not reliably controlled. During Decision failure; Data loss; Regulatory/legal shock, the organization may face poor decisions, unreliable reporting, data quality problems and unsafe or ineffective AI usage with limited visibility or accountability.</v>
      </c>
      <c r="H356" s="177" t="str">
        <f>_ENGINE_Risk!BT854</f>
        <v>CAP_DATA_GOVERNANCE</v>
      </c>
      <c r="I356" s="177" t="str">
        <f>_ENGINE_Risk!BV854</f>
        <v>BRG-020</v>
      </c>
      <c r="J356" s="177" t="str">
        <f>_ENGINE_Risk!CE854</f>
        <v>IW-ALL-DATA_GOVERNANCE</v>
      </c>
      <c r="K356" s="177" t="str">
        <f>_ENGINE_Risk!BY854</f>
        <v>TRT-DATA_GOVERNANCE-INITIAL</v>
      </c>
      <c r="L356" s="177" t="str">
        <f>_ENGINE_Risk!CP854</f>
        <v>Active</v>
      </c>
      <c r="M356" s="177" t="str">
        <f>_ENGINE_Risk!CQ854</f>
        <v>OK: capability-driven</v>
      </c>
      <c r="N356" s="177" t="str">
        <f>_ENGINE_Risk!CS854</f>
        <v>Yes</v>
      </c>
      <c r="O356" s="177" t="str">
        <f>_ENGINE_Risk!CO854</f>
        <v>Data BI AI|BI and analytics|DATA-014|CAP_DATA_GOVERNANCE</v>
      </c>
      <c r="P356" s="177" t="str">
        <f>_ENGINE_Risk!CR854</f>
        <v>Risk ontology uses capability=CAP_DATA_GOVERNANCE; bridge=BRG-020; treatment=TRT-DATA_GOVERNANCE-INITIAL; wording=IW-ALL-DATA_GOVERNANCE</v>
      </c>
    </row>
    <row r="357" spans="1:16" ht="99" customHeight="1">
      <c r="A357" s="177" t="str">
        <f>_ENGINE_Risk!CM855</f>
        <v>RISK-ONT-0356</v>
      </c>
      <c r="B357" s="177">
        <f>ROW(_ENGINE_Risk!A855)</f>
        <v>855</v>
      </c>
      <c r="C357" s="177" t="str">
        <f>_ENGINE_Risk!E855</f>
        <v>DATA-015</v>
      </c>
      <c r="D357" s="177" t="str">
        <f>_ENGINE_Risk!C855</f>
        <v>Data BI AI</v>
      </c>
      <c r="E357" s="177" t="str">
        <f>_ENGINE_Risk!D855</f>
        <v>BI and analytics</v>
      </c>
      <c r="F357" s="177" t="str">
        <f>_ENGINE_Risk!F855</f>
        <v>Data, BI, analytics and AI governance</v>
      </c>
      <c r="G357" s="177" t="str">
        <f>_ENGINE_Risk!G855</f>
        <v>Severe risk: single source of truth for critical reports instead of manually reconciled spreadsheets is not reliably controlled. During Decision failure; Data loss; Regulatory/legal shock, the organization may face poor decisions, unreliable reporting, data quality problems and unsafe or ineffective AI usage with limited visibility or accountability.</v>
      </c>
      <c r="H357" s="177" t="str">
        <f>_ENGINE_Risk!BT855</f>
        <v>CAP_DATA_GOVERNANCE</v>
      </c>
      <c r="I357" s="177" t="str">
        <f>_ENGINE_Risk!BV855</f>
        <v>BRG-020</v>
      </c>
      <c r="J357" s="177" t="str">
        <f>_ENGINE_Risk!CE855</f>
        <v>IW-ALL-DATA_GOVERNANCE</v>
      </c>
      <c r="K357" s="177" t="str">
        <f>_ENGINE_Risk!BY855</f>
        <v>TRT-DATA_GOVERNANCE-INITIAL</v>
      </c>
      <c r="L357" s="177" t="str">
        <f>_ENGINE_Risk!CP855</f>
        <v>Active</v>
      </c>
      <c r="M357" s="177" t="str">
        <f>_ENGINE_Risk!CQ855</f>
        <v>OK: capability-driven</v>
      </c>
      <c r="N357" s="177" t="str">
        <f>_ENGINE_Risk!CS855</f>
        <v>Yes</v>
      </c>
      <c r="O357" s="177" t="str">
        <f>_ENGINE_Risk!CO855</f>
        <v>Data BI AI|BI and analytics|DATA-015|CAP_DATA_GOVERNANCE</v>
      </c>
      <c r="P357" s="177" t="str">
        <f>_ENGINE_Risk!CR855</f>
        <v>Risk ontology uses capability=CAP_DATA_GOVERNANCE; bridge=BRG-020; treatment=TRT-DATA_GOVERNANCE-INITIAL; wording=IW-ALL-DATA_GOVERNANCE</v>
      </c>
    </row>
    <row r="358" spans="1:16" ht="84.9" customHeight="1">
      <c r="A358" s="177" t="str">
        <f>_ENGINE_Risk!CM856</f>
        <v>RISK-ONT-0357</v>
      </c>
      <c r="B358" s="177">
        <f>ROW(_ENGINE_Risk!A856)</f>
        <v>856</v>
      </c>
      <c r="C358" s="177" t="str">
        <f>_ENGINE_Risk!E856</f>
        <v>DATA-016</v>
      </c>
      <c r="D358" s="177" t="str">
        <f>_ENGINE_Risk!C856</f>
        <v>Data BI AI</v>
      </c>
      <c r="E358" s="177" t="str">
        <f>_ENGINE_Risk!D856</f>
        <v>BI and analytics</v>
      </c>
      <c r="F358" s="177" t="str">
        <f>_ENGINE_Risk!F856</f>
        <v>Data, BI, analytics and AI governance</v>
      </c>
      <c r="G358" s="177" t="str">
        <f>_ENGINE_Risk!G856</f>
        <v>Severe risk: self-service analytics governance to avoid uncontrolled reporting is not reliably controlled. During Decision failure; Data loss; Regulatory/legal shock, the organization may face poor decisions, unreliable reporting, data quality problems and unsafe or ineffective AI usage with limited visibility or accountability.</v>
      </c>
      <c r="H358" s="177" t="str">
        <f>_ENGINE_Risk!BT856</f>
        <v>CAP_DATA_GOVERNANCE</v>
      </c>
      <c r="I358" s="177" t="str">
        <f>_ENGINE_Risk!BV856</f>
        <v>BRG-020</v>
      </c>
      <c r="J358" s="177" t="str">
        <f>_ENGINE_Risk!CE856</f>
        <v>IW-ALL-DATA_GOVERNANCE</v>
      </c>
      <c r="K358" s="177" t="str">
        <f>_ENGINE_Risk!BY856</f>
        <v>TRT-DATA_GOVERNANCE-INITIAL</v>
      </c>
      <c r="L358" s="177" t="str">
        <f>_ENGINE_Risk!CP856</f>
        <v>Active</v>
      </c>
      <c r="M358" s="177" t="str">
        <f>_ENGINE_Risk!CQ856</f>
        <v>OK: capability-driven</v>
      </c>
      <c r="N358" s="177" t="str">
        <f>_ENGINE_Risk!CS856</f>
        <v>Yes</v>
      </c>
      <c r="O358" s="177" t="str">
        <f>_ENGINE_Risk!CO856</f>
        <v>Data BI AI|BI and analytics|DATA-016|CAP_DATA_GOVERNANCE</v>
      </c>
      <c r="P358" s="177" t="str">
        <f>_ENGINE_Risk!CR856</f>
        <v>Risk ontology uses capability=CAP_DATA_GOVERNANCE; bridge=BRG-020; treatment=TRT-DATA_GOVERNANCE-INITIAL; wording=IW-ALL-DATA_GOVERNANCE</v>
      </c>
    </row>
    <row r="359" spans="1:16" ht="84.9" customHeight="1">
      <c r="A359" s="177" t="str">
        <f>_ENGINE_Risk!CM857</f>
        <v>RISK-ONT-0358</v>
      </c>
      <c r="B359" s="177">
        <f>ROW(_ENGINE_Risk!A857)</f>
        <v>857</v>
      </c>
      <c r="C359" s="177" t="str">
        <f>_ENGINE_Risk!E857</f>
        <v>DATA-017</v>
      </c>
      <c r="D359" s="177" t="str">
        <f>_ENGINE_Risk!C857</f>
        <v>Data BI AI</v>
      </c>
      <c r="E359" s="177" t="str">
        <f>_ENGINE_Risk!D857</f>
        <v>BI and analytics</v>
      </c>
      <c r="F359" s="177" t="str">
        <f>_ENGINE_Risk!F857</f>
        <v>Data, BI, analytics and AI governance</v>
      </c>
      <c r="G359" s="177" t="str">
        <f>_ENGINE_Risk!G857</f>
        <v>Severe risk: rapid ad hoc crisis reporting without breaking data controls is not reliably controlled. During Decision failure; Data loss; Regulatory/legal shock, the organization may face poor decisions, unreliable reporting, data quality problems and unsafe or ineffective AI usage with limited visibility or accountability.</v>
      </c>
      <c r="H359" s="177" t="str">
        <f>_ENGINE_Risk!BT857</f>
        <v>CAP_DATA_GOVERNANCE</v>
      </c>
      <c r="I359" s="177" t="str">
        <f>_ENGINE_Risk!BV857</f>
        <v>BRG-020</v>
      </c>
      <c r="J359" s="177" t="str">
        <f>_ENGINE_Risk!CE857</f>
        <v>IW-ALL-DATA_GOVERNANCE</v>
      </c>
      <c r="K359" s="177" t="str">
        <f>_ENGINE_Risk!BY857</f>
        <v>TRT-DATA_GOVERNANCE-INITIAL</v>
      </c>
      <c r="L359" s="177" t="str">
        <f>_ENGINE_Risk!CP857</f>
        <v>Active</v>
      </c>
      <c r="M359" s="177" t="str">
        <f>_ENGINE_Risk!CQ857</f>
        <v>OK: capability-driven</v>
      </c>
      <c r="N359" s="177" t="str">
        <f>_ENGINE_Risk!CS857</f>
        <v>Yes</v>
      </c>
      <c r="O359" s="177" t="str">
        <f>_ENGINE_Risk!CO857</f>
        <v>Data BI AI|BI and analytics|DATA-017|CAP_DATA_GOVERNANCE</v>
      </c>
      <c r="P359" s="177" t="str">
        <f>_ENGINE_Risk!CR857</f>
        <v>Risk ontology uses capability=CAP_DATA_GOVERNANCE; bridge=BRG-020; treatment=TRT-DATA_GOVERNANCE-INITIAL; wording=IW-ALL-DATA_GOVERNANCE</v>
      </c>
    </row>
    <row r="360" spans="1:16" ht="99" customHeight="1">
      <c r="A360" s="177" t="str">
        <f>_ENGINE_Risk!CM858</f>
        <v>RISK-ONT-0359</v>
      </c>
      <c r="B360" s="177">
        <f>ROW(_ENGINE_Risk!A858)</f>
        <v>858</v>
      </c>
      <c r="C360" s="177" t="str">
        <f>_ENGINE_Risk!E858</f>
        <v>DATA-018</v>
      </c>
      <c r="D360" s="177" t="str">
        <f>_ENGINE_Risk!C858</f>
        <v>Data BI AI</v>
      </c>
      <c r="E360" s="177" t="str">
        <f>_ENGINE_Risk!D858</f>
        <v>BI and analytics</v>
      </c>
      <c r="F360" s="177" t="str">
        <f>_ENGINE_Risk!F858</f>
        <v>Data, BI, analytics and AI governance</v>
      </c>
      <c r="G360" s="177" t="str">
        <f>_ENGINE_Risk!G858</f>
        <v>Severe risk: data literacy of managers and employees interpreting KPIs, forecasts and analytics is not reliably controlled. During Decision failure; Data loss; Regulatory/legal shock, the organization may face poor decisions, unreliable reporting, data quality problems and unsafe or ineffective AI usage with limited visibility or accountability.</v>
      </c>
      <c r="H360" s="177" t="str">
        <f>_ENGINE_Risk!BT858</f>
        <v>CAP_DATA_GOVERNANCE</v>
      </c>
      <c r="I360" s="177" t="str">
        <f>_ENGINE_Risk!BV858</f>
        <v>BRG-020</v>
      </c>
      <c r="J360" s="177" t="str">
        <f>_ENGINE_Risk!CE858</f>
        <v>IW-ALL-DATA_GOVERNANCE</v>
      </c>
      <c r="K360" s="177" t="str">
        <f>_ENGINE_Risk!BY858</f>
        <v>TRT-DATA_GOVERNANCE-INITIAL</v>
      </c>
      <c r="L360" s="177" t="str">
        <f>_ENGINE_Risk!CP858</f>
        <v>Active</v>
      </c>
      <c r="M360" s="177" t="str">
        <f>_ENGINE_Risk!CQ858</f>
        <v>OK: capability-driven</v>
      </c>
      <c r="N360" s="177" t="str">
        <f>_ENGINE_Risk!CS858</f>
        <v>Yes</v>
      </c>
      <c r="O360" s="177" t="str">
        <f>_ENGINE_Risk!CO858</f>
        <v>Data BI AI|BI and analytics|DATA-018|CAP_DATA_GOVERNANCE</v>
      </c>
      <c r="P360" s="177" t="str">
        <f>_ENGINE_Risk!CR858</f>
        <v>Risk ontology uses capability=CAP_DATA_GOVERNANCE; bridge=BRG-020; treatment=TRT-DATA_GOVERNANCE-INITIAL; wording=IW-ALL-DATA_GOVERNANCE</v>
      </c>
    </row>
    <row r="361" spans="1:16" ht="99" customHeight="1">
      <c r="A361" s="177" t="str">
        <f>_ENGINE_Risk!CM859</f>
        <v>RISK-ONT-0360</v>
      </c>
      <c r="B361" s="177">
        <f>ROW(_ENGINE_Risk!A859)</f>
        <v>859</v>
      </c>
      <c r="C361" s="177" t="str">
        <f>_ENGINE_Risk!E859</f>
        <v>DATA-019</v>
      </c>
      <c r="D361" s="177" t="str">
        <f>_ENGINE_Risk!C859</f>
        <v>Data BI AI</v>
      </c>
      <c r="E361" s="177" t="str">
        <f>_ENGINE_Risk!D859</f>
        <v>Forecasting and scenarios</v>
      </c>
      <c r="F361" s="177" t="str">
        <f>_ENGINE_Risk!F859</f>
        <v>Data, BI, analytics and AI governance</v>
      </c>
      <c r="G361" s="177" t="str">
        <f>_ENGINE_Risk!G859</f>
        <v>Severe risk: forecasting capability for demand, cash, inventory, workforce, production, churn or supplier risk is not reliably controlled. During Decision failure; Data loss; Regulatory/legal shock, the organization may face poor decisions, unreliable reporting, data quality problems and unsafe or ineffective AI usage with limited visibility or accountability.</v>
      </c>
      <c r="H361" s="177" t="str">
        <f>_ENGINE_Risk!BT859</f>
        <v>CAP_DATA_GOVERNANCE</v>
      </c>
      <c r="I361" s="177" t="str">
        <f>_ENGINE_Risk!BV859</f>
        <v>BRG-023</v>
      </c>
      <c r="J361" s="177" t="str">
        <f>_ENGINE_Risk!CE859</f>
        <v>IW-ALL-DATA_GOVERNANCE</v>
      </c>
      <c r="K361" s="177" t="str">
        <f>_ENGINE_Risk!BY859</f>
        <v>TRT-DATA_GOVERNANCE-INITIAL</v>
      </c>
      <c r="L361" s="177" t="str">
        <f>_ENGINE_Risk!CP859</f>
        <v>Active</v>
      </c>
      <c r="M361" s="177" t="str">
        <f>_ENGINE_Risk!CQ859</f>
        <v>OK: capability-driven</v>
      </c>
      <c r="N361" s="177" t="str">
        <f>_ENGINE_Risk!CS859</f>
        <v>Yes</v>
      </c>
      <c r="O361" s="177" t="str">
        <f>_ENGINE_Risk!CO859</f>
        <v>Data BI AI|Forecasting and scenarios|DATA-019|CAP_DATA_GOVERNANCE</v>
      </c>
      <c r="P361" s="177" t="str">
        <f>_ENGINE_Risk!CR859</f>
        <v>Risk ontology uses capability=CAP_DATA_GOVERNANCE; bridge=BRG-023; treatment=TRT-DATA_GOVERNANCE-INITIAL; wording=IW-ALL-DATA_GOVERNANCE</v>
      </c>
    </row>
    <row r="362" spans="1:16" ht="99" customHeight="1">
      <c r="A362" s="177" t="str">
        <f>_ENGINE_Risk!CM860</f>
        <v>RISK-ONT-0361</v>
      </c>
      <c r="B362" s="177">
        <f>ROW(_ENGINE_Risk!A860)</f>
        <v>860</v>
      </c>
      <c r="C362" s="177" t="str">
        <f>_ENGINE_Risk!E860</f>
        <v>DATA-020</v>
      </c>
      <c r="D362" s="177" t="str">
        <f>_ENGINE_Risk!C860</f>
        <v>Data BI AI</v>
      </c>
      <c r="E362" s="177" t="str">
        <f>_ENGINE_Risk!D860</f>
        <v>Forecasting and scenarios</v>
      </c>
      <c r="F362" s="177" t="str">
        <f>_ENGINE_Risk!F860</f>
        <v>Data, BI, analytics and AI governance</v>
      </c>
      <c r="G362" s="177" t="str">
        <f>_ENGINE_Risk!G860</f>
        <v>Severe risk: scenario modeling using sales, suppliers, workforce, cash, inventory and system downtime is not reliably controlled. During Decision failure; Data loss; Regulatory/legal shock, the organization may face poor decisions, unreliable reporting, data quality problems and unsafe or ineffective AI usage with limited visibility or accountability.</v>
      </c>
      <c r="H362" s="177" t="str">
        <f>_ENGINE_Risk!BT860</f>
        <v>CAP_DATA_GOVERNANCE</v>
      </c>
      <c r="I362" s="177" t="str">
        <f>_ENGINE_Risk!BV860</f>
        <v>BRG-023</v>
      </c>
      <c r="J362" s="177" t="str">
        <f>_ENGINE_Risk!CE860</f>
        <v>IW-ALL-DATA_GOVERNANCE</v>
      </c>
      <c r="K362" s="177" t="str">
        <f>_ENGINE_Risk!BY860</f>
        <v>TRT-DATA_GOVERNANCE-INITIAL</v>
      </c>
      <c r="L362" s="177" t="str">
        <f>_ENGINE_Risk!CP860</f>
        <v>Active</v>
      </c>
      <c r="M362" s="177" t="str">
        <f>_ENGINE_Risk!CQ860</f>
        <v>OK: capability-driven</v>
      </c>
      <c r="N362" s="177" t="str">
        <f>_ENGINE_Risk!CS860</f>
        <v>Yes</v>
      </c>
      <c r="O362" s="177" t="str">
        <f>_ENGINE_Risk!CO860</f>
        <v>Data BI AI|Forecasting and scenarios|DATA-020|CAP_DATA_GOVERNANCE</v>
      </c>
      <c r="P362" s="177" t="str">
        <f>_ENGINE_Risk!CR860</f>
        <v>Risk ontology uses capability=CAP_DATA_GOVERNANCE; bridge=BRG-023; treatment=TRT-DATA_GOVERNANCE-INITIAL; wording=IW-ALL-DATA_GOVERNANCE</v>
      </c>
    </row>
    <row r="363" spans="1:16" ht="99" customHeight="1">
      <c r="A363" s="177" t="str">
        <f>_ENGINE_Risk!CM861</f>
        <v>RISK-ONT-0362</v>
      </c>
      <c r="B363" s="177">
        <f>ROW(_ENGINE_Risk!A861)</f>
        <v>861</v>
      </c>
      <c r="C363" s="177" t="str">
        <f>_ENGINE_Risk!E861</f>
        <v>DATA-021</v>
      </c>
      <c r="D363" s="177" t="str">
        <f>_ENGINE_Risk!C861</f>
        <v>Data BI AI</v>
      </c>
      <c r="E363" s="177" t="str">
        <f>_ENGINE_Risk!D861</f>
        <v>Forecasting and scenarios</v>
      </c>
      <c r="F363" s="177" t="str">
        <f>_ENGINE_Risk!F861</f>
        <v>Data, BI, analytics and AI governance</v>
      </c>
      <c r="G363" s="177" t="str">
        <f>_ENGINE_Risk!G861</f>
        <v>Severe risk: leading indicators and early warnings built from internal and external data is not reliably controlled. During Decision failure; Data loss; Regulatory/legal shock, the organization may face poor decisions, unreliable reporting, data quality problems and unsafe or ineffective AI usage with limited visibility or accountability.</v>
      </c>
      <c r="H363" s="177" t="str">
        <f>_ENGINE_Risk!BT861</f>
        <v>CAP_DATA_GOVERNANCE</v>
      </c>
      <c r="I363" s="177" t="str">
        <f>_ENGINE_Risk!BV861</f>
        <v>BRG-023</v>
      </c>
      <c r="J363" s="177" t="str">
        <f>_ENGINE_Risk!CE861</f>
        <v>IW-ALL-DATA_GOVERNANCE</v>
      </c>
      <c r="K363" s="177" t="str">
        <f>_ENGINE_Risk!BY861</f>
        <v>TRT-DATA_GOVERNANCE-INITIAL</v>
      </c>
      <c r="L363" s="177" t="str">
        <f>_ENGINE_Risk!CP861</f>
        <v>Active</v>
      </c>
      <c r="M363" s="177" t="str">
        <f>_ENGINE_Risk!CQ861</f>
        <v>OK: capability-driven</v>
      </c>
      <c r="N363" s="177" t="str">
        <f>_ENGINE_Risk!CS861</f>
        <v>Yes</v>
      </c>
      <c r="O363" s="177" t="str">
        <f>_ENGINE_Risk!CO861</f>
        <v>Data BI AI|Forecasting and scenarios|DATA-021|CAP_DATA_GOVERNANCE</v>
      </c>
      <c r="P363" s="177" t="str">
        <f>_ENGINE_Risk!CR861</f>
        <v>Risk ontology uses capability=CAP_DATA_GOVERNANCE; bridge=BRG-023; treatment=TRT-DATA_GOVERNANCE-INITIAL; wording=IW-ALL-DATA_GOVERNANCE</v>
      </c>
    </row>
    <row r="364" spans="1:16" ht="99" customHeight="1">
      <c r="A364" s="177" t="str">
        <f>_ENGINE_Risk!CM862</f>
        <v>RISK-ONT-0363</v>
      </c>
      <c r="B364" s="177">
        <f>ROW(_ENGINE_Risk!A862)</f>
        <v>862</v>
      </c>
      <c r="C364" s="177" t="str">
        <f>_ENGINE_Risk!E862</f>
        <v>DATA-022</v>
      </c>
      <c r="D364" s="177" t="str">
        <f>_ENGINE_Risk!C862</f>
        <v>Data BI AI</v>
      </c>
      <c r="E364" s="177" t="str">
        <f>_ENGINE_Risk!D862</f>
        <v>Forecasting and scenarios</v>
      </c>
      <c r="F364" s="177" t="str">
        <f>_ENGINE_Risk!F862</f>
        <v>Data, BI, analytics and AI governance</v>
      </c>
      <c r="G364" s="177" t="str">
        <f>_ENGINE_Risk!G862</f>
        <v>Severe risk: model validation and backtesting for forecasts and risk models is not reliably controlled. During Decision failure; Data loss; Regulatory/legal shock, the organization may face poor decisions, unreliable reporting, data quality problems and unsafe or ineffective AI usage with limited visibility or accountability.</v>
      </c>
      <c r="H364" s="177" t="str">
        <f>_ENGINE_Risk!BT862</f>
        <v>CAP_DATA_GOVERNANCE</v>
      </c>
      <c r="I364" s="177" t="str">
        <f>_ENGINE_Risk!BV862</f>
        <v>BRG-023</v>
      </c>
      <c r="J364" s="177" t="str">
        <f>_ENGINE_Risk!CE862</f>
        <v>IW-ALL-DATA_GOVERNANCE</v>
      </c>
      <c r="K364" s="177" t="str">
        <f>_ENGINE_Risk!BY862</f>
        <v>TRT-DATA_GOVERNANCE-INITIAL</v>
      </c>
      <c r="L364" s="177" t="str">
        <f>_ENGINE_Risk!CP862</f>
        <v>Active</v>
      </c>
      <c r="M364" s="177" t="str">
        <f>_ENGINE_Risk!CQ862</f>
        <v>OK: capability-driven</v>
      </c>
      <c r="N364" s="177" t="str">
        <f>_ENGINE_Risk!CS862</f>
        <v>Yes</v>
      </c>
      <c r="O364" s="177" t="str">
        <f>_ENGINE_Risk!CO862</f>
        <v>Data BI AI|Forecasting and scenarios|DATA-022|CAP_DATA_GOVERNANCE</v>
      </c>
      <c r="P364" s="177" t="str">
        <f>_ENGINE_Risk!CR862</f>
        <v>Risk ontology uses capability=CAP_DATA_GOVERNANCE; bridge=BRG-023; treatment=TRT-DATA_GOVERNANCE-INITIAL; wording=IW-ALL-DATA_GOVERNANCE</v>
      </c>
    </row>
    <row r="365" spans="1:16" ht="99" customHeight="1">
      <c r="A365" s="177" t="str">
        <f>_ENGINE_Risk!CM863</f>
        <v>RISK-ONT-0364</v>
      </c>
      <c r="B365" s="177">
        <f>ROW(_ENGINE_Risk!A863)</f>
        <v>863</v>
      </c>
      <c r="C365" s="177" t="str">
        <f>_ENGINE_Risk!E863</f>
        <v>DATA-023</v>
      </c>
      <c r="D365" s="177" t="str">
        <f>_ENGINE_Risk!C863</f>
        <v>Data BI AI</v>
      </c>
      <c r="E365" s="177" t="str">
        <f>_ENGINE_Risk!D863</f>
        <v>AI readiness</v>
      </c>
      <c r="F365" s="177" t="str">
        <f>_ENGINE_Risk!F863</f>
        <v>Data, BI, analytics and AI governance</v>
      </c>
      <c r="G365" s="177" t="str">
        <f>_ENGINE_Risk!G863</f>
        <v>Severe risk: AI and analytics use case portfolio linked to business value, risk and feasibility is not reliably controlled. During Decision failure; Data loss; Regulatory/legal shock, the organization may face poor decisions, unreliable reporting, data quality problems and unsafe or ineffective AI usage with limited visibility or accountability.</v>
      </c>
      <c r="H365" s="177" t="str">
        <f>_ENGINE_Risk!BT863</f>
        <v>CAP_AI_GOVERNANCE</v>
      </c>
      <c r="I365" s="177" t="str">
        <f>_ENGINE_Risk!BV863</f>
        <v>BRG-019</v>
      </c>
      <c r="J365" s="177" t="str">
        <f>_ENGINE_Risk!CE863</f>
        <v>IW-ALL-AI_GOVERNANCE</v>
      </c>
      <c r="K365" s="177" t="str">
        <f>_ENGINE_Risk!BY863</f>
        <v>TRT-AI_GOVERNANCE-INITIAL</v>
      </c>
      <c r="L365" s="177" t="str">
        <f>_ENGINE_Risk!CP863</f>
        <v>Active</v>
      </c>
      <c r="M365" s="177" t="str">
        <f>_ENGINE_Risk!CQ863</f>
        <v>OK: capability-driven</v>
      </c>
      <c r="N365" s="177" t="str">
        <f>_ENGINE_Risk!CS863</f>
        <v>Yes</v>
      </c>
      <c r="O365" s="177" t="str">
        <f>_ENGINE_Risk!CO863</f>
        <v>Data BI AI|AI readiness|DATA-023|CAP_AI_GOVERNANCE</v>
      </c>
      <c r="P365" s="177" t="str">
        <f>_ENGINE_Risk!CR863</f>
        <v>Risk ontology uses capability=CAP_AI_GOVERNANCE; bridge=BRG-019; treatment=TRT-AI_GOVERNANCE-INITIAL; wording=IW-ALL-AI_GOVERNANCE</v>
      </c>
    </row>
    <row r="366" spans="1:16" ht="99" customHeight="1">
      <c r="A366" s="177" t="str">
        <f>_ENGINE_Risk!CM864</f>
        <v>RISK-ONT-0365</v>
      </c>
      <c r="B366" s="177">
        <f>ROW(_ENGINE_Risk!A864)</f>
        <v>864</v>
      </c>
      <c r="C366" s="177" t="str">
        <f>_ENGINE_Risk!E864</f>
        <v>DATA-024</v>
      </c>
      <c r="D366" s="177" t="str">
        <f>_ENGINE_Risk!C864</f>
        <v>Data BI AI</v>
      </c>
      <c r="E366" s="177" t="str">
        <f>_ENGINE_Risk!D864</f>
        <v>AI readiness</v>
      </c>
      <c r="F366" s="177" t="str">
        <f>_ENGINE_Risk!F864</f>
        <v>Data, BI, analytics and AI governance</v>
      </c>
      <c r="G366" s="177" t="str">
        <f>_ENGINE_Risk!G864</f>
        <v>Severe risk: AI governance for privacy, security, explainability, bias, human oversight and model risk is not reliably controlled. During Decision failure; Data loss; Regulatory/legal shock, the organization may face poor decisions, unreliable reporting, data quality problems and unsafe or ineffective AI usage with limited visibility or accountability.</v>
      </c>
      <c r="H366" s="177" t="str">
        <f>_ENGINE_Risk!BT864</f>
        <v>CAP_AI_GOVERNANCE</v>
      </c>
      <c r="I366" s="177" t="str">
        <f>_ENGINE_Risk!BV864</f>
        <v>BRG-019</v>
      </c>
      <c r="J366" s="177" t="str">
        <f>_ENGINE_Risk!CE864</f>
        <v>IW-ALL-AI_GOVERNANCE</v>
      </c>
      <c r="K366" s="177" t="str">
        <f>_ENGINE_Risk!BY864</f>
        <v>TRT-AI_GOVERNANCE-INITIAL</v>
      </c>
      <c r="L366" s="177" t="str">
        <f>_ENGINE_Risk!CP864</f>
        <v>Active</v>
      </c>
      <c r="M366" s="177" t="str">
        <f>_ENGINE_Risk!CQ864</f>
        <v>OK: capability-driven</v>
      </c>
      <c r="N366" s="177" t="str">
        <f>_ENGINE_Risk!CS864</f>
        <v>Yes</v>
      </c>
      <c r="O366" s="177" t="str">
        <f>_ENGINE_Risk!CO864</f>
        <v>Data BI AI|AI readiness|DATA-024|CAP_AI_GOVERNANCE</v>
      </c>
      <c r="P366" s="177" t="str">
        <f>_ENGINE_Risk!CR864</f>
        <v>Risk ontology uses capability=CAP_AI_GOVERNANCE; bridge=BRG-019; treatment=TRT-AI_GOVERNANCE-INITIAL; wording=IW-ALL-AI_GOVERNANCE</v>
      </c>
    </row>
    <row r="367" spans="1:16" ht="99" customHeight="1">
      <c r="A367" s="177" t="str">
        <f>_ENGINE_Risk!CM865</f>
        <v>RISK-ONT-0366</v>
      </c>
      <c r="B367" s="177">
        <f>ROW(_ENGINE_Risk!A865)</f>
        <v>865</v>
      </c>
      <c r="C367" s="177" t="str">
        <f>_ENGINE_Risk!E865</f>
        <v>DATA-025</v>
      </c>
      <c r="D367" s="177" t="str">
        <f>_ENGINE_Risk!C865</f>
        <v>Data BI AI</v>
      </c>
      <c r="E367" s="177" t="str">
        <f>_ENGINE_Risk!D865</f>
        <v>AI readiness</v>
      </c>
      <c r="F367" s="177" t="str">
        <f>_ENGINE_Risk!F865</f>
        <v>Data, BI, analytics and AI governance</v>
      </c>
      <c r="G367" s="177" t="str">
        <f>_ENGINE_Risk!G865</f>
        <v>Severe risk: LLM usage policy covering data leakage, IP, accuracy, approval and acceptable use is not reliably controlled. During Decision failure; Data loss; Regulatory/legal shock, the organization may face poor decisions, unreliable reporting, data quality problems and unsafe or ineffective AI usage with limited visibility or accountability.</v>
      </c>
      <c r="H367" s="177" t="str">
        <f>_ENGINE_Risk!BT865</f>
        <v>CAP_AI_GOVERNANCE</v>
      </c>
      <c r="I367" s="177" t="str">
        <f>_ENGINE_Risk!BV865</f>
        <v>BRG-019</v>
      </c>
      <c r="J367" s="177" t="str">
        <f>_ENGINE_Risk!CE865</f>
        <v>IW-ALL-AI_GOVERNANCE</v>
      </c>
      <c r="K367" s="177" t="str">
        <f>_ENGINE_Risk!BY865</f>
        <v>TRT-AI_GOVERNANCE-INITIAL</v>
      </c>
      <c r="L367" s="177" t="str">
        <f>_ENGINE_Risk!CP865</f>
        <v>Active</v>
      </c>
      <c r="M367" s="177" t="str">
        <f>_ENGINE_Risk!CQ865</f>
        <v>OK: capability-driven</v>
      </c>
      <c r="N367" s="177" t="str">
        <f>_ENGINE_Risk!CS865</f>
        <v>Yes</v>
      </c>
      <c r="O367" s="177" t="str">
        <f>_ENGINE_Risk!CO865</f>
        <v>Data BI AI|AI readiness|DATA-025|CAP_AI_GOVERNANCE</v>
      </c>
      <c r="P367" s="177" t="str">
        <f>_ENGINE_Risk!CR865</f>
        <v>Risk ontology uses capability=CAP_AI_GOVERNANCE; bridge=BRG-019; treatment=TRT-AI_GOVERNANCE-INITIAL; wording=IW-ALL-AI_GOVERNANCE</v>
      </c>
    </row>
    <row r="368" spans="1:16" ht="99" customHeight="1">
      <c r="A368" s="177" t="str">
        <f>_ENGINE_Risk!CM866</f>
        <v>RISK-ONT-0367</v>
      </c>
      <c r="B368" s="177">
        <f>ROW(_ENGINE_Risk!A866)</f>
        <v>866</v>
      </c>
      <c r="C368" s="177" t="str">
        <f>_ENGINE_Risk!E866</f>
        <v>DATA-026</v>
      </c>
      <c r="D368" s="177" t="str">
        <f>_ENGINE_Risk!C866</f>
        <v>Data BI AI</v>
      </c>
      <c r="E368" s="177" t="str">
        <f>_ENGINE_Risk!D866</f>
        <v>AI readiness</v>
      </c>
      <c r="F368" s="177" t="str">
        <f>_ENGINE_Risk!F866</f>
        <v>Data, BI, analytics and AI governance</v>
      </c>
      <c r="G368" s="177" t="str">
        <f>_ENGINE_Risk!G866</f>
        <v>Severe risk: AI model register and monitoring for drift, accuracy, performance and business impact is not reliably controlled. During Decision failure; Data loss; Regulatory/legal shock, the organization may face poor decisions, unreliable reporting, data quality problems and unsafe or ineffective AI usage with limited visibility or accountability.</v>
      </c>
      <c r="H368" s="177" t="str">
        <f>_ENGINE_Risk!BT866</f>
        <v>CAP_AI_GOVERNANCE</v>
      </c>
      <c r="I368" s="177" t="str">
        <f>_ENGINE_Risk!BV866</f>
        <v>BRG-019</v>
      </c>
      <c r="J368" s="177" t="str">
        <f>_ENGINE_Risk!CE866</f>
        <v>IW-ALL-AI_GOVERNANCE</v>
      </c>
      <c r="K368" s="177" t="str">
        <f>_ENGINE_Risk!BY866</f>
        <v>TRT-AI_GOVERNANCE-INITIAL</v>
      </c>
      <c r="L368" s="177" t="str">
        <f>_ENGINE_Risk!CP866</f>
        <v>Active</v>
      </c>
      <c r="M368" s="177" t="str">
        <f>_ENGINE_Risk!CQ866</f>
        <v>OK: capability-driven</v>
      </c>
      <c r="N368" s="177" t="str">
        <f>_ENGINE_Risk!CS866</f>
        <v>Yes</v>
      </c>
      <c r="O368" s="177" t="str">
        <f>_ENGINE_Risk!CO866</f>
        <v>Data BI AI|AI readiness|DATA-026|CAP_AI_GOVERNANCE</v>
      </c>
      <c r="P368" s="177" t="str">
        <f>_ENGINE_Risk!CR866</f>
        <v>Risk ontology uses capability=CAP_AI_GOVERNANCE; bridge=BRG-019; treatment=TRT-AI_GOVERNANCE-INITIAL; wording=IW-ALL-AI_GOVERNANCE</v>
      </c>
    </row>
    <row r="369" spans="1:16" ht="99" customHeight="1">
      <c r="A369" s="177" t="str">
        <f>_ENGINE_Risk!CM867</f>
        <v>RISK-ONT-0368</v>
      </c>
      <c r="B369" s="177">
        <f>ROW(_ENGINE_Risk!A867)</f>
        <v>867</v>
      </c>
      <c r="C369" s="177" t="str">
        <f>_ENGINE_Risk!E867</f>
        <v>DATA-027</v>
      </c>
      <c r="D369" s="177" t="str">
        <f>_ENGINE_Risk!C867</f>
        <v>Data BI AI</v>
      </c>
      <c r="E369" s="177" t="str">
        <f>_ENGINE_Risk!D867</f>
        <v>AI readiness</v>
      </c>
      <c r="F369" s="177" t="str">
        <f>_ENGINE_Risk!F867</f>
        <v>Data, BI, analytics and AI governance</v>
      </c>
      <c r="G369" s="177" t="str">
        <f>_ENGINE_Risk!G867</f>
        <v>Severe risk: responsible AI controls for customer-facing, employee-facing and decision-support use cases is not reliably controlled. During Decision failure; Data loss; Regulatory/legal shock, the organization may face poor decisions, unreliable reporting, data quality problems and unsafe or ineffective AI usage with limited visibility or accountability.</v>
      </c>
      <c r="H369" s="177" t="str">
        <f>_ENGINE_Risk!BT867</f>
        <v>CAP_AI_GOVERNANCE</v>
      </c>
      <c r="I369" s="177" t="str">
        <f>_ENGINE_Risk!BV867</f>
        <v>BRG-019</v>
      </c>
      <c r="J369" s="177" t="str">
        <f>_ENGINE_Risk!CE867</f>
        <v>IW-ALL-AI_GOVERNANCE</v>
      </c>
      <c r="K369" s="177" t="str">
        <f>_ENGINE_Risk!BY867</f>
        <v>TRT-AI_GOVERNANCE-INITIAL</v>
      </c>
      <c r="L369" s="177" t="str">
        <f>_ENGINE_Risk!CP867</f>
        <v>Active</v>
      </c>
      <c r="M369" s="177" t="str">
        <f>_ENGINE_Risk!CQ867</f>
        <v>OK: capability-driven</v>
      </c>
      <c r="N369" s="177" t="str">
        <f>_ENGINE_Risk!CS867</f>
        <v>Yes</v>
      </c>
      <c r="O369" s="177" t="str">
        <f>_ENGINE_Risk!CO867</f>
        <v>Data BI AI|AI readiness|DATA-027|CAP_AI_GOVERNANCE</v>
      </c>
      <c r="P369" s="177" t="str">
        <f>_ENGINE_Risk!CR867</f>
        <v>Risk ontology uses capability=CAP_AI_GOVERNANCE; bridge=BRG-019; treatment=TRT-AI_GOVERNANCE-INITIAL; wording=IW-ALL-AI_GOVERNANCE</v>
      </c>
    </row>
    <row r="370" spans="1:16" ht="99" customHeight="1">
      <c r="A370" s="177" t="str">
        <f>_ENGINE_Risk!CM868</f>
        <v>RISK-ONT-0369</v>
      </c>
      <c r="B370" s="177">
        <f>ROW(_ENGINE_Risk!A868)</f>
        <v>868</v>
      </c>
      <c r="C370" s="177" t="str">
        <f>_ENGINE_Risk!E868</f>
        <v>CYBE-001</v>
      </c>
      <c r="D370" s="177" t="str">
        <f>_ENGINE_Risk!C868</f>
        <v>Cyber Privacy</v>
      </c>
      <c r="E370" s="177" t="str">
        <f>_ENGINE_Risk!D868</f>
        <v>Security governance</v>
      </c>
      <c r="F370" s="177" t="str">
        <f>_ENGINE_Risk!F868</f>
        <v>Cybersecurity, privacy and access control</v>
      </c>
      <c r="G370" s="177" t="str">
        <f>_ENGINE_Risk!G868</f>
        <v>Severe risk: information security management system with policies, owners, risks and controls is not reliably controlled. During Cyberattack; Data breach; Ransomware; Insider threat, the organization may face security incident, data breach, privilege misuse, privacy violation and regulatory exposure with limited visibility or accountability.</v>
      </c>
      <c r="H370" s="177" t="str">
        <f>_ENGINE_Risk!BT868</f>
        <v>CAP_CYBER_GOVERNANCE</v>
      </c>
      <c r="I370" s="177" t="str">
        <f>_ENGINE_Risk!BV868</f>
        <v>BRG-017</v>
      </c>
      <c r="J370" s="177" t="str">
        <f>_ENGINE_Risk!CE868</f>
        <v>IW-ALL-CYBER_GOVERNANCE</v>
      </c>
      <c r="K370" s="177" t="str">
        <f>_ENGINE_Risk!BY868</f>
        <v>TRT-CYBER_GOVERNANCE-INITIAL</v>
      </c>
      <c r="L370" s="177" t="str">
        <f>_ENGINE_Risk!CP868</f>
        <v>Active</v>
      </c>
      <c r="M370" s="177" t="str">
        <f>_ENGINE_Risk!CQ868</f>
        <v>OK: capability-driven</v>
      </c>
      <c r="N370" s="177" t="str">
        <f>_ENGINE_Risk!CS868</f>
        <v>Yes</v>
      </c>
      <c r="O370" s="177" t="str">
        <f>_ENGINE_Risk!CO868</f>
        <v>Cyber Privacy|Security governance|CYBE-001|CAP_CYBER_GOVERNANCE</v>
      </c>
      <c r="P370" s="177" t="str">
        <f>_ENGINE_Risk!CR868</f>
        <v>Risk ontology uses capability=CAP_CYBER_GOVERNANCE; bridge=BRG-017; treatment=TRT-CYBER_GOVERNANCE-INITIAL; wording=IW-ALL-CYBER_GOVERNANCE</v>
      </c>
    </row>
    <row r="371" spans="1:16" ht="84.9" customHeight="1">
      <c r="A371" s="177" t="str">
        <f>_ENGINE_Risk!CM869</f>
        <v>RISK-ONT-0370</v>
      </c>
      <c r="B371" s="177">
        <f>ROW(_ENGINE_Risk!A869)</f>
        <v>869</v>
      </c>
      <c r="C371" s="177" t="str">
        <f>_ENGINE_Risk!E869</f>
        <v>CYBE-002</v>
      </c>
      <c r="D371" s="177" t="str">
        <f>_ENGINE_Risk!C869</f>
        <v>Cyber Privacy</v>
      </c>
      <c r="E371" s="177" t="str">
        <f>_ENGINE_Risk!D869</f>
        <v>Security governance</v>
      </c>
      <c r="F371" s="177" t="str">
        <f>_ENGINE_Risk!F869</f>
        <v>Cybersecurity, privacy and access control</v>
      </c>
      <c r="G371" s="177" t="str">
        <f>_ENGINE_Risk!G869</f>
        <v>Severe risk: cyber risk register linked to business impact and crisis scenarios is not reliably controlled. During Cyberattack; Data breach; Ransomware; Insider threat, the organization may face security incident, data breach, privilege misuse, privacy violation and regulatory exposure with limited visibility or accountability.</v>
      </c>
      <c r="H371" s="177" t="str">
        <f>_ENGINE_Risk!BT869</f>
        <v>CAP_CYBER_GOVERNANCE</v>
      </c>
      <c r="I371" s="177" t="str">
        <f>_ENGINE_Risk!BV869</f>
        <v>BRG-017</v>
      </c>
      <c r="J371" s="177" t="str">
        <f>_ENGINE_Risk!CE869</f>
        <v>IW-ALL-CYBER_GOVERNANCE</v>
      </c>
      <c r="K371" s="177" t="str">
        <f>_ENGINE_Risk!BY869</f>
        <v>TRT-CYBER_GOVERNANCE-INITIAL</v>
      </c>
      <c r="L371" s="177" t="str">
        <f>_ENGINE_Risk!CP869</f>
        <v>Active</v>
      </c>
      <c r="M371" s="177" t="str">
        <f>_ENGINE_Risk!CQ869</f>
        <v>OK: capability-driven</v>
      </c>
      <c r="N371" s="177" t="str">
        <f>_ENGINE_Risk!CS869</f>
        <v>Yes</v>
      </c>
      <c r="O371" s="177" t="str">
        <f>_ENGINE_Risk!CO869</f>
        <v>Cyber Privacy|Security governance|CYBE-002|CAP_CYBER_GOVERNANCE</v>
      </c>
      <c r="P371" s="177" t="str">
        <f>_ENGINE_Risk!CR869</f>
        <v>Risk ontology uses capability=CAP_CYBER_GOVERNANCE; bridge=BRG-017; treatment=TRT-CYBER_GOVERNANCE-INITIAL; wording=IW-ALL-CYBER_GOVERNANCE</v>
      </c>
    </row>
    <row r="372" spans="1:16" ht="99" customHeight="1">
      <c r="A372" s="177" t="str">
        <f>_ENGINE_Risk!CM870</f>
        <v>RISK-ONT-0371</v>
      </c>
      <c r="B372" s="177">
        <f>ROW(_ENGINE_Risk!A870)</f>
        <v>870</v>
      </c>
      <c r="C372" s="177" t="str">
        <f>_ENGINE_Risk!E870</f>
        <v>CYBE-003</v>
      </c>
      <c r="D372" s="177" t="str">
        <f>_ENGINE_Risk!C870</f>
        <v>Cyber Privacy</v>
      </c>
      <c r="E372" s="177" t="str">
        <f>_ENGINE_Risk!D870</f>
        <v>Security governance</v>
      </c>
      <c r="F372" s="177" t="str">
        <f>_ENGINE_Risk!F870</f>
        <v>Cybersecurity, privacy and access control</v>
      </c>
      <c r="G372" s="177" t="str">
        <f>_ENGINE_Risk!G870</f>
        <v>Severe risk: security KPI reporting to leadership covering vulnerabilities, incidents, MFA, phishing, backups and access reviews is not reliably controlled. During Cyberattack; Data breach; Ransomware; Insider threat, the organization may face security incident, data breach, privilege misuse, privacy violation and regulatory exposure with limited visibility or accountability.</v>
      </c>
      <c r="H372" s="177" t="str">
        <f>_ENGINE_Risk!BT870</f>
        <v>CAP_CYBER_GOVERNANCE</v>
      </c>
      <c r="I372" s="177" t="str">
        <f>_ENGINE_Risk!BV870</f>
        <v>BRG-017</v>
      </c>
      <c r="J372" s="177" t="str">
        <f>_ENGINE_Risk!CE870</f>
        <v>IW-ALL-CYBER_GOVERNANCE</v>
      </c>
      <c r="K372" s="177" t="str">
        <f>_ENGINE_Risk!BY870</f>
        <v>TRT-CYBER_GOVERNANCE-INITIAL</v>
      </c>
      <c r="L372" s="177" t="str">
        <f>_ENGINE_Risk!CP870</f>
        <v>Active</v>
      </c>
      <c r="M372" s="177" t="str">
        <f>_ENGINE_Risk!CQ870</f>
        <v>OK: capability-driven</v>
      </c>
      <c r="N372" s="177" t="str">
        <f>_ENGINE_Risk!CS870</f>
        <v>Yes</v>
      </c>
      <c r="O372" s="177" t="str">
        <f>_ENGINE_Risk!CO870</f>
        <v>Cyber Privacy|Security governance|CYBE-003|CAP_CYBER_GOVERNANCE</v>
      </c>
      <c r="P372" s="177" t="str">
        <f>_ENGINE_Risk!CR870</f>
        <v>Risk ontology uses capability=CAP_CYBER_GOVERNANCE; bridge=BRG-017; treatment=TRT-CYBER_GOVERNANCE-INITIAL; wording=IW-ALL-CYBER_GOVERNANCE</v>
      </c>
    </row>
    <row r="373" spans="1:16" ht="99" customHeight="1">
      <c r="A373" s="177" t="str">
        <f>_ENGINE_Risk!CM871</f>
        <v>RISK-ONT-0372</v>
      </c>
      <c r="B373" s="177">
        <f>ROW(_ENGINE_Risk!A871)</f>
        <v>871</v>
      </c>
      <c r="C373" s="177" t="str">
        <f>_ENGINE_Risk!E871</f>
        <v>CYBE-004</v>
      </c>
      <c r="D373" s="177" t="str">
        <f>_ENGINE_Risk!C871</f>
        <v>Cyber Privacy</v>
      </c>
      <c r="E373" s="177" t="str">
        <f>_ENGINE_Risk!D871</f>
        <v>Security governance</v>
      </c>
      <c r="F373" s="177" t="str">
        <f>_ENGINE_Risk!F871</f>
        <v>Cybersecurity, privacy and access control</v>
      </c>
      <c r="G373" s="177" t="str">
        <f>_ENGINE_Risk!G871</f>
        <v>Severe risk: security evidence readiness for customers, regulators, insurers and partners is not reliably controlled. During Cyberattack; Data breach; Ransomware; Insider threat, the organization may face security incident, data breach, privilege misuse, privacy violation and regulatory exposure with limited visibility or accountability.</v>
      </c>
      <c r="H373" s="177" t="str">
        <f>_ENGINE_Risk!BT871</f>
        <v>CAP_CYBER_GOVERNANCE</v>
      </c>
      <c r="I373" s="177" t="str">
        <f>_ENGINE_Risk!BV871</f>
        <v>BRG-017</v>
      </c>
      <c r="J373" s="177" t="str">
        <f>_ENGINE_Risk!CE871</f>
        <v>IW-ALL-CYBER_GOVERNANCE</v>
      </c>
      <c r="K373" s="177" t="str">
        <f>_ENGINE_Risk!BY871</f>
        <v>TRT-CYBER_GOVERNANCE-INITIAL</v>
      </c>
      <c r="L373" s="177" t="str">
        <f>_ENGINE_Risk!CP871</f>
        <v>Active</v>
      </c>
      <c r="M373" s="177" t="str">
        <f>_ENGINE_Risk!CQ871</f>
        <v>OK: capability-driven</v>
      </c>
      <c r="N373" s="177" t="str">
        <f>_ENGINE_Risk!CS871</f>
        <v>Yes</v>
      </c>
      <c r="O373" s="177" t="str">
        <f>_ENGINE_Risk!CO871</f>
        <v>Cyber Privacy|Security governance|CYBE-004|CAP_CYBER_GOVERNANCE</v>
      </c>
      <c r="P373" s="177" t="str">
        <f>_ENGINE_Risk!CR871</f>
        <v>Risk ontology uses capability=CAP_CYBER_GOVERNANCE; bridge=BRG-017; treatment=TRT-CYBER_GOVERNANCE-INITIAL; wording=IW-ALL-CYBER_GOVERNANCE</v>
      </c>
    </row>
    <row r="374" spans="1:16" ht="99" customHeight="1">
      <c r="A374" s="177" t="str">
        <f>_ENGINE_Risk!CM872</f>
        <v>RISK-ONT-0373</v>
      </c>
      <c r="B374" s="177">
        <f>ROW(_ENGINE_Risk!A872)</f>
        <v>872</v>
      </c>
      <c r="C374" s="177" t="str">
        <f>_ENGINE_Risk!E872</f>
        <v>CYBE-005</v>
      </c>
      <c r="D374" s="177" t="str">
        <f>_ENGINE_Risk!C872</f>
        <v>Cyber Privacy</v>
      </c>
      <c r="E374" s="177" t="str">
        <f>_ENGINE_Risk!D872</f>
        <v>Security governance</v>
      </c>
      <c r="F374" s="177" t="str">
        <f>_ENGINE_Risk!F872</f>
        <v>Cybersecurity, privacy and access control</v>
      </c>
      <c r="G374" s="177" t="str">
        <f>_ENGINE_Risk!G872</f>
        <v>Severe risk: third-party cyber risk assessment for critical vendors and outsourced services is not reliably controlled. During Cyberattack; Data breach; Ransomware; Insider threat, the organization may face security incident, data breach, privilege misuse, privacy violation and regulatory exposure with limited visibility or accountability.</v>
      </c>
      <c r="H374" s="177" t="str">
        <f>_ENGINE_Risk!BT872</f>
        <v>CAP_CYBER_GOVERNANCE</v>
      </c>
      <c r="I374" s="177" t="str">
        <f>_ENGINE_Risk!BV872</f>
        <v>BRG-017</v>
      </c>
      <c r="J374" s="177" t="str">
        <f>_ENGINE_Risk!CE872</f>
        <v>IW-ALL-CYBER_GOVERNANCE</v>
      </c>
      <c r="K374" s="177" t="str">
        <f>_ENGINE_Risk!BY872</f>
        <v>TRT-CYBER_GOVERNANCE-INITIAL</v>
      </c>
      <c r="L374" s="177" t="str">
        <f>_ENGINE_Risk!CP872</f>
        <v>Active</v>
      </c>
      <c r="M374" s="177" t="str">
        <f>_ENGINE_Risk!CQ872</f>
        <v>OK: capability-driven</v>
      </c>
      <c r="N374" s="177" t="str">
        <f>_ENGINE_Risk!CS872</f>
        <v>Yes</v>
      </c>
      <c r="O374" s="177" t="str">
        <f>_ENGINE_Risk!CO872</f>
        <v>Cyber Privacy|Security governance|CYBE-005|CAP_CYBER_GOVERNANCE</v>
      </c>
      <c r="P374" s="177" t="str">
        <f>_ENGINE_Risk!CR872</f>
        <v>Risk ontology uses capability=CAP_CYBER_GOVERNANCE; bridge=BRG-017; treatment=TRT-CYBER_GOVERNANCE-INITIAL; wording=IW-ALL-CYBER_GOVERNANCE</v>
      </c>
    </row>
    <row r="375" spans="1:16" ht="84.9" customHeight="1">
      <c r="A375" s="177" t="str">
        <f>_ENGINE_Risk!CM873</f>
        <v>RISK-ONT-0374</v>
      </c>
      <c r="B375" s="177">
        <f>ROW(_ENGINE_Risk!A873)</f>
        <v>873</v>
      </c>
      <c r="C375" s="177" t="str">
        <f>_ENGINE_Risk!E873</f>
        <v>CYBE-006</v>
      </c>
      <c r="D375" s="177" t="str">
        <f>_ENGINE_Risk!C873</f>
        <v>Cyber Privacy</v>
      </c>
      <c r="E375" s="177" t="str">
        <f>_ENGINE_Risk!D873</f>
        <v>Security governance</v>
      </c>
      <c r="F375" s="177" t="str">
        <f>_ENGINE_Risk!F873</f>
        <v>Cybersecurity, privacy and access control</v>
      </c>
      <c r="G375" s="177" t="str">
        <f>_ENGINE_Risk!G873</f>
        <v>Severe risk: security awareness and phishing training for employees and contractors is not reliably controlled. During Cyberattack; Data breach; Ransomware; Insider threat, the organization may face security incident, data breach, privilege misuse, privacy violation and regulatory exposure with limited visibility or accountability.</v>
      </c>
      <c r="H375" s="177" t="str">
        <f>_ENGINE_Risk!BT873</f>
        <v>CAP_CYBER_GOVERNANCE</v>
      </c>
      <c r="I375" s="177" t="str">
        <f>_ENGINE_Risk!BV873</f>
        <v>BRG-017</v>
      </c>
      <c r="J375" s="177" t="str">
        <f>_ENGINE_Risk!CE873</f>
        <v>IW-ALL-CYBER_GOVERNANCE</v>
      </c>
      <c r="K375" s="177" t="str">
        <f>_ENGINE_Risk!BY873</f>
        <v>TRT-CYBER_GOVERNANCE-INITIAL</v>
      </c>
      <c r="L375" s="177" t="str">
        <f>_ENGINE_Risk!CP873</f>
        <v>Active</v>
      </c>
      <c r="M375" s="177" t="str">
        <f>_ENGINE_Risk!CQ873</f>
        <v>OK: capability-driven</v>
      </c>
      <c r="N375" s="177" t="str">
        <f>_ENGINE_Risk!CS873</f>
        <v>Yes</v>
      </c>
      <c r="O375" s="177" t="str">
        <f>_ENGINE_Risk!CO873</f>
        <v>Cyber Privacy|Security governance|CYBE-006|CAP_CYBER_GOVERNANCE</v>
      </c>
      <c r="P375" s="177" t="str">
        <f>_ENGINE_Risk!CR873</f>
        <v>Risk ontology uses capability=CAP_CYBER_GOVERNANCE; bridge=BRG-017; treatment=TRT-CYBER_GOVERNANCE-INITIAL; wording=IW-ALL-CYBER_GOVERNANCE</v>
      </c>
    </row>
    <row r="376" spans="1:16" ht="99" customHeight="1">
      <c r="A376" s="177" t="str">
        <f>_ENGINE_Risk!CM874</f>
        <v>RISK-ONT-0375</v>
      </c>
      <c r="B376" s="177">
        <f>ROW(_ENGINE_Risk!A874)</f>
        <v>874</v>
      </c>
      <c r="C376" s="177" t="str">
        <f>_ENGINE_Risk!E874</f>
        <v>CYBE-007</v>
      </c>
      <c r="D376" s="177" t="str">
        <f>_ENGINE_Risk!C874</f>
        <v>Cyber Privacy</v>
      </c>
      <c r="E376" s="177" t="str">
        <f>_ENGINE_Risk!D874</f>
        <v>Identity and access</v>
      </c>
      <c r="F376" s="177" t="str">
        <f>_ENGINE_Risk!F874</f>
        <v>Cybersecurity, privacy and access control</v>
      </c>
      <c r="G376" s="177" t="str">
        <f>_ENGINE_Risk!G874</f>
        <v>Severe risk: joiner-mover-leaver access lifecycle across systems, SaaS and physical access is not reliably controlled. During Cyberattack; Data breach; Ransomware; Insider threat, the organization may face security incident, data breach, privilege misuse, privacy violation and regulatory exposure with limited visibility or accountability.</v>
      </c>
      <c r="H376" s="177" t="str">
        <f>_ENGINE_Risk!BT874</f>
        <v>CAP_IAM_PAM</v>
      </c>
      <c r="I376" s="177" t="str">
        <f>_ENGINE_Risk!BV874</f>
        <v>BRG-014</v>
      </c>
      <c r="J376" s="177" t="str">
        <f>_ENGINE_Risk!CE874</f>
        <v>IW-ALL-IAM_PAM</v>
      </c>
      <c r="K376" s="177" t="str">
        <f>_ENGINE_Risk!BY874</f>
        <v>TRT-IAM_PAM-INITIAL</v>
      </c>
      <c r="L376" s="177" t="str">
        <f>_ENGINE_Risk!CP874</f>
        <v>Active</v>
      </c>
      <c r="M376" s="177" t="str">
        <f>_ENGINE_Risk!CQ874</f>
        <v>OK: capability-driven</v>
      </c>
      <c r="N376" s="177" t="str">
        <f>_ENGINE_Risk!CS874</f>
        <v>Yes</v>
      </c>
      <c r="O376" s="177" t="str">
        <f>_ENGINE_Risk!CO874</f>
        <v>Cyber Privacy|Identity and access|CYBE-007|CAP_IAM_PAM</v>
      </c>
      <c r="P376" s="177" t="str">
        <f>_ENGINE_Risk!CR874</f>
        <v>Risk ontology uses capability=CAP_IAM_PAM; bridge=BRG-014; treatment=TRT-IAM_PAM-INITIAL; wording=IW-ALL-IAM_PAM</v>
      </c>
    </row>
    <row r="377" spans="1:16" ht="99" customHeight="1">
      <c r="A377" s="177" t="str">
        <f>_ENGINE_Risk!CM875</f>
        <v>RISK-ONT-0376</v>
      </c>
      <c r="B377" s="177">
        <f>ROW(_ENGINE_Risk!A875)</f>
        <v>875</v>
      </c>
      <c r="C377" s="177" t="str">
        <f>_ENGINE_Risk!E875</f>
        <v>CYBE-008</v>
      </c>
      <c r="D377" s="177" t="str">
        <f>_ENGINE_Risk!C875</f>
        <v>Cyber Privacy</v>
      </c>
      <c r="E377" s="177" t="str">
        <f>_ENGINE_Risk!D875</f>
        <v>Identity and access</v>
      </c>
      <c r="F377" s="177" t="str">
        <f>_ENGINE_Risk!F875</f>
        <v>Cybersecurity, privacy and access control</v>
      </c>
      <c r="G377" s="177" t="str">
        <f>_ENGINE_Risk!G875</f>
        <v>Severe risk: MFA enforcement for email, cloud, VPN/ZTNA, admin accounts, finance systems and critical SaaS is not reliably controlled. During Cyberattack; Data breach; Ransomware; Insider threat, the organization may face security incident, data breach, privilege misuse, privacy violation and regulatory exposure with limited visibility or accountability.</v>
      </c>
      <c r="H377" s="177" t="str">
        <f>_ENGINE_Risk!BT875</f>
        <v>CAP_IAM_PAM</v>
      </c>
      <c r="I377" s="177" t="str">
        <f>_ENGINE_Risk!BV875</f>
        <v>BRG-014</v>
      </c>
      <c r="J377" s="177" t="str">
        <f>_ENGINE_Risk!CE875</f>
        <v>IW-ALL-IAM_PAM</v>
      </c>
      <c r="K377" s="177" t="str">
        <f>_ENGINE_Risk!BY875</f>
        <v>TRT-IAM_PAM-INITIAL</v>
      </c>
      <c r="L377" s="177" t="str">
        <f>_ENGINE_Risk!CP875</f>
        <v>Active</v>
      </c>
      <c r="M377" s="177" t="str">
        <f>_ENGINE_Risk!CQ875</f>
        <v>OK: capability-driven</v>
      </c>
      <c r="N377" s="177" t="str">
        <f>_ENGINE_Risk!CS875</f>
        <v>Yes</v>
      </c>
      <c r="O377" s="177" t="str">
        <f>_ENGINE_Risk!CO875</f>
        <v>Cyber Privacy|Identity and access|CYBE-008|CAP_IAM_PAM</v>
      </c>
      <c r="P377" s="177" t="str">
        <f>_ENGINE_Risk!CR875</f>
        <v>Risk ontology uses capability=CAP_IAM_PAM; bridge=BRG-014; treatment=TRT-IAM_PAM-INITIAL; wording=IW-ALL-IAM_PAM</v>
      </c>
    </row>
    <row r="378" spans="1:16" ht="84.9" customHeight="1">
      <c r="A378" s="177" t="str">
        <f>_ENGINE_Risk!CM876</f>
        <v>RISK-ONT-0377</v>
      </c>
      <c r="B378" s="177">
        <f>ROW(_ENGINE_Risk!A876)</f>
        <v>876</v>
      </c>
      <c r="C378" s="177" t="str">
        <f>_ENGINE_Risk!E876</f>
        <v>CYBE-009</v>
      </c>
      <c r="D378" s="177" t="str">
        <f>_ENGINE_Risk!C876</f>
        <v>Cyber Privacy</v>
      </c>
      <c r="E378" s="177" t="str">
        <f>_ENGINE_Risk!D876</f>
        <v>Identity and access</v>
      </c>
      <c r="F378" s="177" t="str">
        <f>_ENGINE_Risk!F876</f>
        <v>Cybersecurity, privacy and access control</v>
      </c>
      <c r="G378" s="177" t="str">
        <f>_ENGINE_Risk!G876</f>
        <v>Severe risk: privileged access management for admin accounts and superusers is not reliably controlled. During Cyberattack; Data breach; Ransomware; Insider threat, the organization may face security incident, data breach, privilege misuse, privacy violation and regulatory exposure with limited visibility or accountability.</v>
      </c>
      <c r="H378" s="177" t="str">
        <f>_ENGINE_Risk!BT876</f>
        <v>CAP_IAM_PAM</v>
      </c>
      <c r="I378" s="177" t="str">
        <f>_ENGINE_Risk!BV876</f>
        <v>BRG-014</v>
      </c>
      <c r="J378" s="177" t="str">
        <f>_ENGINE_Risk!CE876</f>
        <v>IW-ALL-IAM_PAM</v>
      </c>
      <c r="K378" s="177" t="str">
        <f>_ENGINE_Risk!BY876</f>
        <v>TRT-IAM_PAM-INITIAL</v>
      </c>
      <c r="L378" s="177" t="str">
        <f>_ENGINE_Risk!CP876</f>
        <v>Active</v>
      </c>
      <c r="M378" s="177" t="str">
        <f>_ENGINE_Risk!CQ876</f>
        <v>OK: capability-driven</v>
      </c>
      <c r="N378" s="177" t="str">
        <f>_ENGINE_Risk!CS876</f>
        <v>Yes</v>
      </c>
      <c r="O378" s="177" t="str">
        <f>_ENGINE_Risk!CO876</f>
        <v>Cyber Privacy|Identity and access|CYBE-009|CAP_IAM_PAM</v>
      </c>
      <c r="P378" s="177" t="str">
        <f>_ENGINE_Risk!CR876</f>
        <v>Risk ontology uses capability=CAP_IAM_PAM; bridge=BRG-014; treatment=TRT-IAM_PAM-INITIAL; wording=IW-ALL-IAM_PAM</v>
      </c>
    </row>
    <row r="379" spans="1:16" ht="84.9" customHeight="1">
      <c r="A379" s="177" t="str">
        <f>_ENGINE_Risk!CM877</f>
        <v>RISK-ONT-0378</v>
      </c>
      <c r="B379" s="177">
        <f>ROW(_ENGINE_Risk!A877)</f>
        <v>877</v>
      </c>
      <c r="C379" s="177" t="str">
        <f>_ENGINE_Risk!E877</f>
        <v>CYBE-010</v>
      </c>
      <c r="D379" s="177" t="str">
        <f>_ENGINE_Risk!C877</f>
        <v>Cyber Privacy</v>
      </c>
      <c r="E379" s="177" t="str">
        <f>_ENGINE_Risk!D877</f>
        <v>Identity and access</v>
      </c>
      <c r="F379" s="177" t="str">
        <f>_ENGINE_Risk!F877</f>
        <v>Cybersecurity, privacy and access control</v>
      </c>
      <c r="G379" s="177" t="str">
        <f>_ENGINE_Risk!G877</f>
        <v>Severe risk: break-glass account control, monitoring and testing is not reliably controlled. During Cyberattack; Data breach; Ransomware; Insider threat, the organization may face security incident, data breach, privilege misuse, privacy violation and regulatory exposure with limited visibility or accountability.</v>
      </c>
      <c r="H379" s="177" t="str">
        <f>_ENGINE_Risk!BT877</f>
        <v>CAP_IAM_PAM</v>
      </c>
      <c r="I379" s="177" t="str">
        <f>_ENGINE_Risk!BV877</f>
        <v>BRG-014</v>
      </c>
      <c r="J379" s="177" t="str">
        <f>_ENGINE_Risk!CE877</f>
        <v>IW-ALL-IAM_PAM</v>
      </c>
      <c r="K379" s="177" t="str">
        <f>_ENGINE_Risk!BY877</f>
        <v>TRT-IAM_PAM-INITIAL</v>
      </c>
      <c r="L379" s="177" t="str">
        <f>_ENGINE_Risk!CP877</f>
        <v>Active</v>
      </c>
      <c r="M379" s="177" t="str">
        <f>_ENGINE_Risk!CQ877</f>
        <v>OK: capability-driven</v>
      </c>
      <c r="N379" s="177" t="str">
        <f>_ENGINE_Risk!CS877</f>
        <v>Yes</v>
      </c>
      <c r="O379" s="177" t="str">
        <f>_ENGINE_Risk!CO877</f>
        <v>Cyber Privacy|Identity and access|CYBE-010|CAP_IAM_PAM</v>
      </c>
      <c r="P379" s="177" t="str">
        <f>_ENGINE_Risk!CR877</f>
        <v>Risk ontology uses capability=CAP_IAM_PAM; bridge=BRG-014; treatment=TRT-IAM_PAM-INITIAL; wording=IW-ALL-IAM_PAM</v>
      </c>
    </row>
    <row r="380" spans="1:16" ht="84.9" customHeight="1">
      <c r="A380" s="177" t="str">
        <f>_ENGINE_Risk!CM878</f>
        <v>RISK-ONT-0379</v>
      </c>
      <c r="B380" s="177">
        <f>ROW(_ENGINE_Risk!A878)</f>
        <v>878</v>
      </c>
      <c r="C380" s="177" t="str">
        <f>_ENGINE_Risk!E878</f>
        <v>CYBE-011</v>
      </c>
      <c r="D380" s="177" t="str">
        <f>_ENGINE_Risk!C878</f>
        <v>Cyber Privacy</v>
      </c>
      <c r="E380" s="177" t="str">
        <f>_ENGINE_Risk!D878</f>
        <v>Identity and access</v>
      </c>
      <c r="F380" s="177" t="str">
        <f>_ENGINE_Risk!F878</f>
        <v>Cybersecurity, privacy and access control</v>
      </c>
      <c r="G380" s="177" t="str">
        <f>_ENGINE_Risk!G878</f>
        <v>Severe risk: third-party access that is limited, monitored, time-bound and reviewed is not reliably controlled. During Cyberattack; Data breach; Ransomware; Insider threat, the organization may face security incident, data breach, privilege misuse, privacy violation and regulatory exposure with limited visibility or accountability.</v>
      </c>
      <c r="H380" s="177" t="str">
        <f>_ENGINE_Risk!BT878</f>
        <v>CAP_IAM_PAM</v>
      </c>
      <c r="I380" s="177" t="str">
        <f>_ENGINE_Risk!BV878</f>
        <v>BRG-014</v>
      </c>
      <c r="J380" s="177" t="str">
        <f>_ENGINE_Risk!CE878</f>
        <v>IW-ALL-IAM_PAM</v>
      </c>
      <c r="K380" s="177" t="str">
        <f>_ENGINE_Risk!BY878</f>
        <v>TRT-IAM_PAM-INITIAL</v>
      </c>
      <c r="L380" s="177" t="str">
        <f>_ENGINE_Risk!CP878</f>
        <v>Active</v>
      </c>
      <c r="M380" s="177" t="str">
        <f>_ENGINE_Risk!CQ878</f>
        <v>OK: capability-driven</v>
      </c>
      <c r="N380" s="177" t="str">
        <f>_ENGINE_Risk!CS878</f>
        <v>Yes</v>
      </c>
      <c r="O380" s="177" t="str">
        <f>_ENGINE_Risk!CO878</f>
        <v>Cyber Privacy|Identity and access|CYBE-011|CAP_IAM_PAM</v>
      </c>
      <c r="P380" s="177" t="str">
        <f>_ENGINE_Risk!CR878</f>
        <v>Risk ontology uses capability=CAP_IAM_PAM; bridge=BRG-014; treatment=TRT-IAM_PAM-INITIAL; wording=IW-ALL-IAM_PAM</v>
      </c>
    </row>
    <row r="381" spans="1:16" ht="99" customHeight="1">
      <c r="A381" s="177" t="str">
        <f>_ENGINE_Risk!CM879</f>
        <v>RISK-ONT-0380</v>
      </c>
      <c r="B381" s="177">
        <f>ROW(_ENGINE_Risk!A879)</f>
        <v>879</v>
      </c>
      <c r="C381" s="177" t="str">
        <f>_ENGINE_Risk!E879</f>
        <v>CYBE-012</v>
      </c>
      <c r="D381" s="177" t="str">
        <f>_ENGINE_Risk!C879</f>
        <v>Cyber Privacy</v>
      </c>
      <c r="E381" s="177" t="str">
        <f>_ENGINE_Risk!D879</f>
        <v>Identity and access</v>
      </c>
      <c r="F381" s="177" t="str">
        <f>_ENGINE_Risk!F879</f>
        <v>Cybersecurity, privacy and access control</v>
      </c>
      <c r="G381" s="177" t="str">
        <f>_ENGINE_Risk!G879</f>
        <v>Severe risk: access reviews for critical systems, datasets, ERP, CRM, HRMS, MES and cloud is not reliably controlled. During Cyberattack; Data breach; Ransomware; Insider threat, the organization may face security incident, data breach, privilege misuse, privacy violation and regulatory exposure with limited visibility or accountability.</v>
      </c>
      <c r="H381" s="177" t="str">
        <f>_ENGINE_Risk!BT879</f>
        <v>CAP_IAM_PAM</v>
      </c>
      <c r="I381" s="177" t="str">
        <f>_ENGINE_Risk!BV879</f>
        <v>BRG-014</v>
      </c>
      <c r="J381" s="177" t="str">
        <f>_ENGINE_Risk!CE879</f>
        <v>IW-ALL-IAM_PAM</v>
      </c>
      <c r="K381" s="177" t="str">
        <f>_ENGINE_Risk!BY879</f>
        <v>TRT-IAM_PAM-INITIAL</v>
      </c>
      <c r="L381" s="177" t="str">
        <f>_ENGINE_Risk!CP879</f>
        <v>Active</v>
      </c>
      <c r="M381" s="177" t="str">
        <f>_ENGINE_Risk!CQ879</f>
        <v>OK: capability-driven</v>
      </c>
      <c r="N381" s="177" t="str">
        <f>_ENGINE_Risk!CS879</f>
        <v>Yes</v>
      </c>
      <c r="O381" s="177" t="str">
        <f>_ENGINE_Risk!CO879</f>
        <v>Cyber Privacy|Identity and access|CYBE-012|CAP_IAM_PAM</v>
      </c>
      <c r="P381" s="177" t="str">
        <f>_ENGINE_Risk!CR879</f>
        <v>Risk ontology uses capability=CAP_IAM_PAM; bridge=BRG-014; treatment=TRT-IAM_PAM-INITIAL; wording=IW-ALL-IAM_PAM</v>
      </c>
    </row>
    <row r="382" spans="1:16" ht="99" customHeight="1">
      <c r="A382" s="177" t="str">
        <f>_ENGINE_Risk!CM880</f>
        <v>RISK-ONT-0381</v>
      </c>
      <c r="B382" s="177">
        <f>ROW(_ENGINE_Risk!A880)</f>
        <v>880</v>
      </c>
      <c r="C382" s="177" t="str">
        <f>_ENGINE_Risk!E880</f>
        <v>CYBE-013</v>
      </c>
      <c r="D382" s="177" t="str">
        <f>_ENGINE_Risk!C880</f>
        <v>Cyber Privacy</v>
      </c>
      <c r="E382" s="177" t="str">
        <f>_ENGINE_Risk!D880</f>
        <v>Protection</v>
      </c>
      <c r="F382" s="177" t="str">
        <f>_ENGINE_Risk!F880</f>
        <v>Cybersecurity, privacy and access control</v>
      </c>
      <c r="G382" s="177" t="str">
        <f>_ENGINE_Risk!G880</f>
        <v>Severe risk: endpoint protection with EDR, disk encryption, patching and remote management is not reliably controlled. During Cyberattack; Data breach; Ransomware; Insider threat, the organization may face security incident, data breach, privilege misuse, privacy violation and regulatory exposure with limited visibility or accountability.</v>
      </c>
      <c r="H382" s="177" t="str">
        <f>_ENGINE_Risk!BT880</f>
        <v>CAP_BACKUP_RECOVERY</v>
      </c>
      <c r="I382" s="177" t="str">
        <f>_ENGINE_Risk!BV880</f>
        <v>BRG-016</v>
      </c>
      <c r="J382" s="177" t="str">
        <f>_ENGINE_Risk!CE880</f>
        <v>IW-ALL-BACKUP_RECOVERY</v>
      </c>
      <c r="K382" s="177" t="str">
        <f>_ENGINE_Risk!BY880</f>
        <v>TRT-BACKUP_RECOVERY-INITIAL</v>
      </c>
      <c r="L382" s="177" t="str">
        <f>_ENGINE_Risk!CP880</f>
        <v>Active</v>
      </c>
      <c r="M382" s="177" t="str">
        <f>_ENGINE_Risk!CQ880</f>
        <v>OK: capability-driven</v>
      </c>
      <c r="N382" s="177" t="str">
        <f>_ENGINE_Risk!CS880</f>
        <v>Yes</v>
      </c>
      <c r="O382" s="177" t="str">
        <f>_ENGINE_Risk!CO880</f>
        <v>Cyber Privacy|Protection|CYBE-013|CAP_BACKUP_RECOVERY</v>
      </c>
      <c r="P382" s="177" t="str">
        <f>_ENGINE_Risk!CR880</f>
        <v>Risk ontology uses capability=CAP_BACKUP_RECOVERY; bridge=BRG-016; treatment=TRT-BACKUP_RECOVERY-INITIAL; wording=IW-ALL-BACKUP_RECOVERY</v>
      </c>
    </row>
    <row r="383" spans="1:16" ht="99" customHeight="1">
      <c r="A383" s="177" t="str">
        <f>_ENGINE_Risk!CM881</f>
        <v>RISK-ONT-0382</v>
      </c>
      <c r="B383" s="177">
        <f>ROW(_ENGINE_Risk!A881)</f>
        <v>881</v>
      </c>
      <c r="C383" s="177" t="str">
        <f>_ENGINE_Risk!E881</f>
        <v>CYBE-014</v>
      </c>
      <c r="D383" s="177" t="str">
        <f>_ENGINE_Risk!C881</f>
        <v>Cyber Privacy</v>
      </c>
      <c r="E383" s="177" t="str">
        <f>_ENGINE_Risk!D881</f>
        <v>Protection</v>
      </c>
      <c r="F383" s="177" t="str">
        <f>_ENGINE_Risk!F881</f>
        <v>Cybersecurity, privacy and access control</v>
      </c>
      <c r="G383" s="177" t="str">
        <f>_ENGINE_Risk!G881</f>
        <v>Severe risk: vulnerability and patch management prioritized by risk, exposure and asset criticality is not reliably controlled. During Cyberattack; Data breach; Ransomware; Insider threat, the organization may face security incident, data breach, privilege misuse, privacy violation and regulatory exposure with limited visibility or accountability.</v>
      </c>
      <c r="H383" s="177" t="str">
        <f>_ENGINE_Risk!BT881</f>
        <v>CAP_BACKUP_RECOVERY</v>
      </c>
      <c r="I383" s="177" t="str">
        <f>_ENGINE_Risk!BV881</f>
        <v>BRG-016</v>
      </c>
      <c r="J383" s="177" t="str">
        <f>_ENGINE_Risk!CE881</f>
        <v>IW-ALL-BACKUP_RECOVERY</v>
      </c>
      <c r="K383" s="177" t="str">
        <f>_ENGINE_Risk!BY881</f>
        <v>TRT-BACKUP_RECOVERY-INITIAL</v>
      </c>
      <c r="L383" s="177" t="str">
        <f>_ENGINE_Risk!CP881</f>
        <v>Active</v>
      </c>
      <c r="M383" s="177" t="str">
        <f>_ENGINE_Risk!CQ881</f>
        <v>OK: capability-driven</v>
      </c>
      <c r="N383" s="177" t="str">
        <f>_ENGINE_Risk!CS881</f>
        <v>Yes</v>
      </c>
      <c r="O383" s="177" t="str">
        <f>_ENGINE_Risk!CO881</f>
        <v>Cyber Privacy|Protection|CYBE-014|CAP_BACKUP_RECOVERY</v>
      </c>
      <c r="P383" s="177" t="str">
        <f>_ENGINE_Risk!CR881</f>
        <v>Risk ontology uses capability=CAP_BACKUP_RECOVERY; bridge=BRG-016; treatment=TRT-BACKUP_RECOVERY-INITIAL; wording=IW-ALL-BACKUP_RECOVERY</v>
      </c>
    </row>
    <row r="384" spans="1:16" ht="99" customHeight="1">
      <c r="A384" s="177" t="str">
        <f>_ENGINE_Risk!CM882</f>
        <v>RISK-ONT-0383</v>
      </c>
      <c r="B384" s="177">
        <f>ROW(_ENGINE_Risk!A882)</f>
        <v>882</v>
      </c>
      <c r="C384" s="177" t="str">
        <f>_ENGINE_Risk!E882</f>
        <v>CYBE-015</v>
      </c>
      <c r="D384" s="177" t="str">
        <f>_ENGINE_Risk!C882</f>
        <v>Cyber Privacy</v>
      </c>
      <c r="E384" s="177" t="str">
        <f>_ENGINE_Risk!D882</f>
        <v>Protection</v>
      </c>
      <c r="F384" s="177" t="str">
        <f>_ENGINE_Risk!F882</f>
        <v>Cybersecurity, privacy and access control</v>
      </c>
      <c r="G384" s="177" t="str">
        <f>_ENGINE_Risk!G882</f>
        <v>Severe risk: network segmentation for users, servers, cloud, OT, guest, production and sensitive systems is not reliably controlled. During Cyberattack; Data breach; Ransomware; Insider threat, the organization may face security incident, data breach, privilege misuse, privacy violation and regulatory exposure with limited visibility or accountability.</v>
      </c>
      <c r="H384" s="177" t="str">
        <f>_ENGINE_Risk!BT882</f>
        <v>CAP_BACKUP_RECOVERY</v>
      </c>
      <c r="I384" s="177" t="str">
        <f>_ENGINE_Risk!BV882</f>
        <v>BRG-016</v>
      </c>
      <c r="J384" s="177" t="str">
        <f>_ENGINE_Risk!CE882</f>
        <v>IW-ALL-BACKUP_RECOVERY</v>
      </c>
      <c r="K384" s="177" t="str">
        <f>_ENGINE_Risk!BY882</f>
        <v>TRT-BACKUP_RECOVERY-INITIAL</v>
      </c>
      <c r="L384" s="177" t="str">
        <f>_ENGINE_Risk!CP882</f>
        <v>Active</v>
      </c>
      <c r="M384" s="177" t="str">
        <f>_ENGINE_Risk!CQ882</f>
        <v>OK: capability-driven</v>
      </c>
      <c r="N384" s="177" t="str">
        <f>_ENGINE_Risk!CS882</f>
        <v>Yes</v>
      </c>
      <c r="O384" s="177" t="str">
        <f>_ENGINE_Risk!CO882</f>
        <v>Cyber Privacy|Protection|CYBE-015|CAP_BACKUP_RECOVERY</v>
      </c>
      <c r="P384" s="177" t="str">
        <f>_ENGINE_Risk!CR882</f>
        <v>Risk ontology uses capability=CAP_BACKUP_RECOVERY; bridge=BRG-016; treatment=TRT-BACKUP_RECOVERY-INITIAL; wording=IW-ALL-BACKUP_RECOVERY</v>
      </c>
    </row>
    <row r="385" spans="1:16" ht="99" customHeight="1">
      <c r="A385" s="177" t="str">
        <f>_ENGINE_Risk!CM883</f>
        <v>RISK-ONT-0384</v>
      </c>
      <c r="B385" s="177">
        <f>ROW(_ENGINE_Risk!A883)</f>
        <v>883</v>
      </c>
      <c r="C385" s="177" t="str">
        <f>_ENGINE_Risk!E883</f>
        <v>CYBE-016</v>
      </c>
      <c r="D385" s="177" t="str">
        <f>_ENGINE_Risk!C883</f>
        <v>Cyber Privacy</v>
      </c>
      <c r="E385" s="177" t="str">
        <f>_ENGINE_Risk!D883</f>
        <v>Protection</v>
      </c>
      <c r="F385" s="177" t="str">
        <f>_ENGINE_Risk!F883</f>
        <v>Cybersecurity, privacy and access control</v>
      </c>
      <c r="G385" s="177" t="str">
        <f>_ENGINE_Risk!G883</f>
        <v>Severe risk: email protection against phishing, spoofing, malware and business email compromise is not reliably controlled. During Cyberattack; Data breach; Ransomware; Insider threat, the organization may face security incident, data breach, privilege misuse, privacy violation and regulatory exposure with limited visibility or accountability.</v>
      </c>
      <c r="H385" s="177" t="str">
        <f>_ENGINE_Risk!BT883</f>
        <v>CAP_BACKUP_RECOVERY</v>
      </c>
      <c r="I385" s="177" t="str">
        <f>_ENGINE_Risk!BV883</f>
        <v>BRG-016</v>
      </c>
      <c r="J385" s="177" t="str">
        <f>_ENGINE_Risk!CE883</f>
        <v>IW-ALL-BACKUP_RECOVERY</v>
      </c>
      <c r="K385" s="177" t="str">
        <f>_ENGINE_Risk!BY883</f>
        <v>TRT-BACKUP_RECOVERY-INITIAL</v>
      </c>
      <c r="L385" s="177" t="str">
        <f>_ENGINE_Risk!CP883</f>
        <v>Active</v>
      </c>
      <c r="M385" s="177" t="str">
        <f>_ENGINE_Risk!CQ883</f>
        <v>OK: capability-driven</v>
      </c>
      <c r="N385" s="177" t="str">
        <f>_ENGINE_Risk!CS883</f>
        <v>Yes</v>
      </c>
      <c r="O385" s="177" t="str">
        <f>_ENGINE_Risk!CO883</f>
        <v>Cyber Privacy|Protection|CYBE-016|CAP_BACKUP_RECOVERY</v>
      </c>
      <c r="P385" s="177" t="str">
        <f>_ENGINE_Risk!CR883</f>
        <v>Risk ontology uses capability=CAP_BACKUP_RECOVERY; bridge=BRG-016; treatment=TRT-BACKUP_RECOVERY-INITIAL; wording=IW-ALL-BACKUP_RECOVERY</v>
      </c>
    </row>
    <row r="386" spans="1:16" ht="99" customHeight="1">
      <c r="A386" s="177" t="str">
        <f>_ENGINE_Risk!CM884</f>
        <v>RISK-ONT-0385</v>
      </c>
      <c r="B386" s="177">
        <f>ROW(_ENGINE_Risk!A884)</f>
        <v>884</v>
      </c>
      <c r="C386" s="177" t="str">
        <f>_ENGINE_Risk!E884</f>
        <v>CYBE-017</v>
      </c>
      <c r="D386" s="177" t="str">
        <f>_ENGINE_Risk!C884</f>
        <v>Cyber Privacy</v>
      </c>
      <c r="E386" s="177" t="str">
        <f>_ENGINE_Risk!D884</f>
        <v>Protection</v>
      </c>
      <c r="F386" s="177" t="str">
        <f>_ENGINE_Risk!F884</f>
        <v>Cybersecurity, privacy and access control</v>
      </c>
      <c r="G386" s="177" t="str">
        <f>_ENGINE_Risk!G884</f>
        <v>Severe risk: cloud security guardrails for IAM, logging, encryption, public exposure, secrets and network access is not reliably controlled. During Cyberattack; Data breach; Ransomware; Insider threat, the organization may face security incident, data breach, privilege misuse, privacy violation and regulatory exposure with limited visibility or accountability.</v>
      </c>
      <c r="H386" s="177" t="str">
        <f>_ENGINE_Risk!BT884</f>
        <v>CAP_BACKUP_RECOVERY</v>
      </c>
      <c r="I386" s="177" t="str">
        <f>_ENGINE_Risk!BV884</f>
        <v>BRG-016</v>
      </c>
      <c r="J386" s="177" t="str">
        <f>_ENGINE_Risk!CE884</f>
        <v>IW-ALL-BACKUP_RECOVERY</v>
      </c>
      <c r="K386" s="177" t="str">
        <f>_ENGINE_Risk!BY884</f>
        <v>TRT-BACKUP_RECOVERY-INITIAL</v>
      </c>
      <c r="L386" s="177" t="str">
        <f>_ENGINE_Risk!CP884</f>
        <v>Active</v>
      </c>
      <c r="M386" s="177" t="str">
        <f>_ENGINE_Risk!CQ884</f>
        <v>OK: capability-driven</v>
      </c>
      <c r="N386" s="177" t="str">
        <f>_ENGINE_Risk!CS884</f>
        <v>Yes</v>
      </c>
      <c r="O386" s="177" t="str">
        <f>_ENGINE_Risk!CO884</f>
        <v>Cyber Privacy|Protection|CYBE-017|CAP_BACKUP_RECOVERY</v>
      </c>
      <c r="P386" s="177" t="str">
        <f>_ENGINE_Risk!CR884</f>
        <v>Risk ontology uses capability=CAP_BACKUP_RECOVERY; bridge=BRG-016; treatment=TRT-BACKUP_RECOVERY-INITIAL; wording=IW-ALL-BACKUP_RECOVERY</v>
      </c>
    </row>
    <row r="387" spans="1:16" ht="99" customHeight="1">
      <c r="A387" s="177" t="str">
        <f>_ENGINE_Risk!CM885</f>
        <v>RISK-ONT-0386</v>
      </c>
      <c r="B387" s="177">
        <f>ROW(_ENGINE_Risk!A885)</f>
        <v>885</v>
      </c>
      <c r="C387" s="177" t="str">
        <f>_ENGINE_Risk!E885</f>
        <v>CYBE-018</v>
      </c>
      <c r="D387" s="177" t="str">
        <f>_ENGINE_Risk!C885</f>
        <v>Cyber Privacy</v>
      </c>
      <c r="E387" s="177" t="str">
        <f>_ENGINE_Risk!D885</f>
        <v>Protection</v>
      </c>
      <c r="F387" s="177" t="str">
        <f>_ENGINE_Risk!F885</f>
        <v>Cybersecurity, privacy and access control</v>
      </c>
      <c r="G387" s="177" t="str">
        <f>_ENGINE_Risk!G885</f>
        <v>Severe risk: secrets, API keys, certificates and credentials management and rotation is not reliably controlled. During Cyberattack; Data breach; Ransomware; Insider threat, the organization may face security incident, data breach, privilege misuse, privacy violation and regulatory exposure with limited visibility or accountability.</v>
      </c>
      <c r="H387" s="177" t="str">
        <f>_ENGINE_Risk!BT885</f>
        <v>CAP_BACKUP_RECOVERY</v>
      </c>
      <c r="I387" s="177" t="str">
        <f>_ENGINE_Risk!BV885</f>
        <v>BRG-016</v>
      </c>
      <c r="J387" s="177" t="str">
        <f>_ENGINE_Risk!CE885</f>
        <v>IW-ALL-BACKUP_RECOVERY</v>
      </c>
      <c r="K387" s="177" t="str">
        <f>_ENGINE_Risk!BY885</f>
        <v>TRT-BACKUP_RECOVERY-INITIAL</v>
      </c>
      <c r="L387" s="177" t="str">
        <f>_ENGINE_Risk!CP885</f>
        <v>Active</v>
      </c>
      <c r="M387" s="177" t="str">
        <f>_ENGINE_Risk!CQ885</f>
        <v>OK: capability-driven</v>
      </c>
      <c r="N387" s="177" t="str">
        <f>_ENGINE_Risk!CS885</f>
        <v>Yes</v>
      </c>
      <c r="O387" s="177" t="str">
        <f>_ENGINE_Risk!CO885</f>
        <v>Cyber Privacy|Protection|CYBE-018|CAP_BACKUP_RECOVERY</v>
      </c>
      <c r="P387" s="177" t="str">
        <f>_ENGINE_Risk!CR885</f>
        <v>Risk ontology uses capability=CAP_BACKUP_RECOVERY; bridge=BRG-016; treatment=TRT-BACKUP_RECOVERY-INITIAL; wording=IW-ALL-BACKUP_RECOVERY</v>
      </c>
    </row>
    <row r="388" spans="1:16" ht="84.9" customHeight="1">
      <c r="A388" s="177" t="str">
        <f>_ENGINE_Risk!CM886</f>
        <v>RISK-ONT-0387</v>
      </c>
      <c r="B388" s="177">
        <f>ROW(_ENGINE_Risk!A886)</f>
        <v>886</v>
      </c>
      <c r="C388" s="177" t="str">
        <f>_ENGINE_Risk!E886</f>
        <v>CYBE-019</v>
      </c>
      <c r="D388" s="177" t="str">
        <f>_ENGINE_Risk!C886</f>
        <v>Cyber Privacy</v>
      </c>
      <c r="E388" s="177" t="str">
        <f>_ENGINE_Risk!D886</f>
        <v>Protection</v>
      </c>
      <c r="F388" s="177" t="str">
        <f>_ENGINE_Risk!F886</f>
        <v>Cybersecurity, privacy and access control</v>
      </c>
      <c r="G388" s="177" t="str">
        <f>_ENGINE_Risk!G886</f>
        <v>Severe risk: encryption for sensitive data at rest and in transit is not reliably controlled. During Cyberattack; Data breach; Ransomware; Insider threat, the organization may face security incident, data breach, privilege misuse, privacy violation and regulatory exposure with limited visibility or accountability.</v>
      </c>
      <c r="H388" s="177" t="str">
        <f>_ENGINE_Risk!BT886</f>
        <v>CAP_BACKUP_RECOVERY</v>
      </c>
      <c r="I388" s="177" t="str">
        <f>_ENGINE_Risk!BV886</f>
        <v>BRG-016</v>
      </c>
      <c r="J388" s="177" t="str">
        <f>_ENGINE_Risk!CE886</f>
        <v>IW-ALL-BACKUP_RECOVERY</v>
      </c>
      <c r="K388" s="177" t="str">
        <f>_ENGINE_Risk!BY886</f>
        <v>TRT-BACKUP_RECOVERY-INITIAL</v>
      </c>
      <c r="L388" s="177" t="str">
        <f>_ENGINE_Risk!CP886</f>
        <v>Active</v>
      </c>
      <c r="M388" s="177" t="str">
        <f>_ENGINE_Risk!CQ886</f>
        <v>OK: capability-driven</v>
      </c>
      <c r="N388" s="177" t="str">
        <f>_ENGINE_Risk!CS886</f>
        <v>Yes</v>
      </c>
      <c r="O388" s="177" t="str">
        <f>_ENGINE_Risk!CO886</f>
        <v>Cyber Privacy|Protection|CYBE-019|CAP_BACKUP_RECOVERY</v>
      </c>
      <c r="P388" s="177" t="str">
        <f>_ENGINE_Risk!CR886</f>
        <v>Risk ontology uses capability=CAP_BACKUP_RECOVERY; bridge=BRG-016; treatment=TRT-BACKUP_RECOVERY-INITIAL; wording=IW-ALL-BACKUP_RECOVERY</v>
      </c>
    </row>
    <row r="389" spans="1:16" ht="99" customHeight="1">
      <c r="A389" s="177" t="str">
        <f>_ENGINE_Risk!CM887</f>
        <v>RISK-ONT-0388</v>
      </c>
      <c r="B389" s="177">
        <f>ROW(_ENGINE_Risk!A887)</f>
        <v>887</v>
      </c>
      <c r="C389" s="177" t="str">
        <f>_ENGINE_Risk!E887</f>
        <v>CYBE-020</v>
      </c>
      <c r="D389" s="177" t="str">
        <f>_ENGINE_Risk!C887</f>
        <v>Cyber Privacy</v>
      </c>
      <c r="E389" s="177" t="str">
        <f>_ENGINE_Risk!D887</f>
        <v>Protection</v>
      </c>
      <c r="F389" s="177" t="str">
        <f>_ENGINE_Risk!F887</f>
        <v>Cybersecurity, privacy and access control</v>
      </c>
      <c r="G389" s="177" t="str">
        <f>_ENGINE_Risk!G887</f>
        <v>Severe risk: DLP controls for sensitive data in email, cloud storage, endpoints and collaboration tools is not reliably controlled. During Cyberattack; Data breach; Ransomware; Insider threat, the organization may face security incident, data breach, privilege misuse, privacy violation and regulatory exposure with limited visibility or accountability.</v>
      </c>
      <c r="H389" s="177" t="str">
        <f>_ENGINE_Risk!BT887</f>
        <v>CAP_BACKUP_RECOVERY</v>
      </c>
      <c r="I389" s="177" t="str">
        <f>_ENGINE_Risk!BV887</f>
        <v>BRG-016</v>
      </c>
      <c r="J389" s="177" t="str">
        <f>_ENGINE_Risk!CE887</f>
        <v>IW-ALL-BACKUP_RECOVERY</v>
      </c>
      <c r="K389" s="177" t="str">
        <f>_ENGINE_Risk!BY887</f>
        <v>TRT-BACKUP_RECOVERY-INITIAL</v>
      </c>
      <c r="L389" s="177" t="str">
        <f>_ENGINE_Risk!CP887</f>
        <v>Active</v>
      </c>
      <c r="M389" s="177" t="str">
        <f>_ENGINE_Risk!CQ887</f>
        <v>OK: capability-driven</v>
      </c>
      <c r="N389" s="177" t="str">
        <f>_ENGINE_Risk!CS887</f>
        <v>Yes</v>
      </c>
      <c r="O389" s="177" t="str">
        <f>_ENGINE_Risk!CO887</f>
        <v>Cyber Privacy|Protection|CYBE-020|CAP_BACKUP_RECOVERY</v>
      </c>
      <c r="P389" s="177" t="str">
        <f>_ENGINE_Risk!CR887</f>
        <v>Risk ontology uses capability=CAP_BACKUP_RECOVERY; bridge=BRG-016; treatment=TRT-BACKUP_RECOVERY-INITIAL; wording=IW-ALL-BACKUP_RECOVERY</v>
      </c>
    </row>
    <row r="390" spans="1:16" ht="99" customHeight="1">
      <c r="A390" s="177" t="str">
        <f>_ENGINE_Risk!CM888</f>
        <v>RISK-ONT-0389</v>
      </c>
      <c r="B390" s="177">
        <f>ROW(_ENGINE_Risk!A888)</f>
        <v>888</v>
      </c>
      <c r="C390" s="177" t="str">
        <f>_ENGINE_Risk!E888</f>
        <v>CYBE-021</v>
      </c>
      <c r="D390" s="177" t="str">
        <f>_ENGINE_Risk!C888</f>
        <v>Cyber Privacy</v>
      </c>
      <c r="E390" s="177" t="str">
        <f>_ENGINE_Risk!D888</f>
        <v>Detection and response</v>
      </c>
      <c r="F390" s="177" t="str">
        <f>_ENGINE_Risk!F888</f>
        <v>Cybersecurity, privacy and access control</v>
      </c>
      <c r="G390" s="177" t="str">
        <f>_ENGINE_Risk!G888</f>
        <v>Severe risk: log collection and monitoring for identity, endpoints, cloud, network, critical apps and security tools is not reliably controlled. During Cyberattack; Data breach; Ransomware; Insider threat, the organization may face security incident, data breach, privilege misuse, privacy violation and regulatory exposure with limited visibility or accountability.</v>
      </c>
      <c r="H390" s="177" t="str">
        <f>_ENGINE_Risk!BT888</f>
        <v>CAP_INCIDENT_RESPONSE</v>
      </c>
      <c r="I390" s="177" t="str">
        <f>_ENGINE_Risk!BV888</f>
        <v>BRG-013</v>
      </c>
      <c r="J390" s="177" t="str">
        <f>_ENGINE_Risk!CE888</f>
        <v>IW-ALL-INCIDENT_RESPONSE</v>
      </c>
      <c r="K390" s="177" t="str">
        <f>_ENGINE_Risk!BY888</f>
        <v>TRT-INCIDENT_RESPONSE-INITIAL</v>
      </c>
      <c r="L390" s="177" t="str">
        <f>_ENGINE_Risk!CP888</f>
        <v>Active</v>
      </c>
      <c r="M390" s="177" t="str">
        <f>_ENGINE_Risk!CQ888</f>
        <v>OK: capability-driven</v>
      </c>
      <c r="N390" s="177" t="str">
        <f>_ENGINE_Risk!CS888</f>
        <v>Yes</v>
      </c>
      <c r="O390" s="177" t="str">
        <f>_ENGINE_Risk!CO888</f>
        <v>Cyber Privacy|Detection and response|CYBE-021|CAP_INCIDENT_RESPONSE</v>
      </c>
      <c r="P390" s="177" t="str">
        <f>_ENGINE_Risk!CR888</f>
        <v>Risk ontology uses capability=CAP_INCIDENT_RESPONSE; bridge=BRG-013; treatment=TRT-INCIDENT_RESPONSE-INITIAL; wording=IW-ALL-INCIDENT_RESPONSE</v>
      </c>
    </row>
    <row r="391" spans="1:16" ht="84.9" customHeight="1">
      <c r="A391" s="177" t="str">
        <f>_ENGINE_Risk!CM889</f>
        <v>RISK-ONT-0390</v>
      </c>
      <c r="B391" s="177">
        <f>ROW(_ENGINE_Risk!A889)</f>
        <v>889</v>
      </c>
      <c r="C391" s="177" t="str">
        <f>_ENGINE_Risk!E889</f>
        <v>CYBE-022</v>
      </c>
      <c r="D391" s="177" t="str">
        <f>_ENGINE_Risk!C889</f>
        <v>Cyber Privacy</v>
      </c>
      <c r="E391" s="177" t="str">
        <f>_ENGINE_Risk!D889</f>
        <v>Detection and response</v>
      </c>
      <c r="F391" s="177" t="str">
        <f>_ENGINE_Risk!F889</f>
        <v>Cybersecurity, privacy and access control</v>
      </c>
      <c r="G391" s="177" t="str">
        <f>_ENGINE_Risk!G889</f>
        <v>Severe risk: threat detection coverage mapped to likely threat scenarios is not reliably controlled. During Cyberattack; Data breach; Ransomware; Insider threat, the organization may face security incident, data breach, privilege misuse, privacy violation and regulatory exposure with limited visibility or accountability.</v>
      </c>
      <c r="H391" s="177" t="str">
        <f>_ENGINE_Risk!BT889</f>
        <v>CAP_INCIDENT_RESPONSE</v>
      </c>
      <c r="I391" s="177" t="str">
        <f>_ENGINE_Risk!BV889</f>
        <v>BRG-013</v>
      </c>
      <c r="J391" s="177" t="str">
        <f>_ENGINE_Risk!CE889</f>
        <v>IW-ALL-INCIDENT_RESPONSE</v>
      </c>
      <c r="K391" s="177" t="str">
        <f>_ENGINE_Risk!BY889</f>
        <v>TRT-INCIDENT_RESPONSE-INITIAL</v>
      </c>
      <c r="L391" s="177" t="str">
        <f>_ENGINE_Risk!CP889</f>
        <v>Active</v>
      </c>
      <c r="M391" s="177" t="str">
        <f>_ENGINE_Risk!CQ889</f>
        <v>OK: capability-driven</v>
      </c>
      <c r="N391" s="177" t="str">
        <f>_ENGINE_Risk!CS889</f>
        <v>Yes</v>
      </c>
      <c r="O391" s="177" t="str">
        <f>_ENGINE_Risk!CO889</f>
        <v>Cyber Privacy|Detection and response|CYBE-022|CAP_INCIDENT_RESPONSE</v>
      </c>
      <c r="P391" s="177" t="str">
        <f>_ENGINE_Risk!CR889</f>
        <v>Risk ontology uses capability=CAP_INCIDENT_RESPONSE; bridge=BRG-013; treatment=TRT-INCIDENT_RESPONSE-INITIAL; wording=IW-ALL-INCIDENT_RESPONSE</v>
      </c>
    </row>
    <row r="392" spans="1:16" ht="99" customHeight="1">
      <c r="A392" s="177" t="str">
        <f>_ENGINE_Risk!CM890</f>
        <v>RISK-ONT-0391</v>
      </c>
      <c r="B392" s="177">
        <f>ROW(_ENGINE_Risk!A890)</f>
        <v>890</v>
      </c>
      <c r="C392" s="177" t="str">
        <f>_ENGINE_Risk!E890</f>
        <v>CYBE-023</v>
      </c>
      <c r="D392" s="177" t="str">
        <f>_ENGINE_Risk!C890</f>
        <v>Cyber Privacy</v>
      </c>
      <c r="E392" s="177" t="str">
        <f>_ENGINE_Risk!D890</f>
        <v>Detection and response</v>
      </c>
      <c r="F392" s="177" t="str">
        <f>_ENGINE_Risk!F890</f>
        <v>Cybersecurity, privacy and access control</v>
      </c>
      <c r="G392" s="177" t="str">
        <f>_ENGINE_Risk!G890</f>
        <v>Severe risk: cyber incident response plan involving IT, legal, communications, executives and insurers is not reliably controlled. During Cyberattack; Data breach; Ransomware; Insider threat, the organization may face security incident, data breach, privilege misuse, privacy violation and regulatory exposure with limited visibility or accountability.</v>
      </c>
      <c r="H392" s="177" t="str">
        <f>_ENGINE_Risk!BT890</f>
        <v>CAP_INCIDENT_RESPONSE</v>
      </c>
      <c r="I392" s="177" t="str">
        <f>_ENGINE_Risk!BV890</f>
        <v>BRG-013</v>
      </c>
      <c r="J392" s="177" t="str">
        <f>_ENGINE_Risk!CE890</f>
        <v>IW-ALL-INCIDENT_RESPONSE</v>
      </c>
      <c r="K392" s="177" t="str">
        <f>_ENGINE_Risk!BY890</f>
        <v>TRT-INCIDENT_RESPONSE-INITIAL</v>
      </c>
      <c r="L392" s="177" t="str">
        <f>_ENGINE_Risk!CP890</f>
        <v>Active</v>
      </c>
      <c r="M392" s="177" t="str">
        <f>_ENGINE_Risk!CQ890</f>
        <v>OK: capability-driven</v>
      </c>
      <c r="N392" s="177" t="str">
        <f>_ENGINE_Risk!CS890</f>
        <v>Yes</v>
      </c>
      <c r="O392" s="177" t="str">
        <f>_ENGINE_Risk!CO890</f>
        <v>Cyber Privacy|Detection and response|CYBE-023|CAP_INCIDENT_RESPONSE</v>
      </c>
      <c r="P392" s="177" t="str">
        <f>_ENGINE_Risk!CR890</f>
        <v>Risk ontology uses capability=CAP_INCIDENT_RESPONSE; bridge=BRG-013; treatment=TRT-INCIDENT_RESPONSE-INITIAL; wording=IW-ALL-INCIDENT_RESPONSE</v>
      </c>
    </row>
    <row r="393" spans="1:16" ht="99" customHeight="1">
      <c r="A393" s="177" t="str">
        <f>_ENGINE_Risk!CM891</f>
        <v>RISK-ONT-0392</v>
      </c>
      <c r="B393" s="177">
        <f>ROW(_ENGINE_Risk!A891)</f>
        <v>891</v>
      </c>
      <c r="C393" s="177" t="str">
        <f>_ENGINE_Risk!E891</f>
        <v>CYBE-024</v>
      </c>
      <c r="D393" s="177" t="str">
        <f>_ENGINE_Risk!C891</f>
        <v>Cyber Privacy</v>
      </c>
      <c r="E393" s="177" t="str">
        <f>_ENGINE_Risk!D891</f>
        <v>Detection and response</v>
      </c>
      <c r="F393" s="177" t="str">
        <f>_ENGINE_Risk!F891</f>
        <v>Cybersecurity, privacy and access control</v>
      </c>
      <c r="G393" s="177" t="str">
        <f>_ENGINE_Risk!G891</f>
        <v>Severe risk: ransomware playbook covering isolation, recovery, communication, legal and decision-making is not reliably controlled. During Cyberattack; Data breach; Ransomware; Insider threat, the organization may face security incident, data breach, privilege misuse, privacy violation and regulatory exposure with limited visibility or accountability.</v>
      </c>
      <c r="H393" s="177" t="str">
        <f>_ENGINE_Risk!BT891</f>
        <v>CAP_INCIDENT_RESPONSE</v>
      </c>
      <c r="I393" s="177" t="str">
        <f>_ENGINE_Risk!BV891</f>
        <v>BRG-013</v>
      </c>
      <c r="J393" s="177" t="str">
        <f>_ENGINE_Risk!CE891</f>
        <v>IW-ALL-INCIDENT_RESPONSE</v>
      </c>
      <c r="K393" s="177" t="str">
        <f>_ENGINE_Risk!BY891</f>
        <v>TRT-INCIDENT_RESPONSE-INITIAL</v>
      </c>
      <c r="L393" s="177" t="str">
        <f>_ENGINE_Risk!CP891</f>
        <v>Active</v>
      </c>
      <c r="M393" s="177" t="str">
        <f>_ENGINE_Risk!CQ891</f>
        <v>OK: capability-driven</v>
      </c>
      <c r="N393" s="177" t="str">
        <f>_ENGINE_Risk!CS891</f>
        <v>Yes</v>
      </c>
      <c r="O393" s="177" t="str">
        <f>_ENGINE_Risk!CO891</f>
        <v>Cyber Privacy|Detection and response|CYBE-024|CAP_INCIDENT_RESPONSE</v>
      </c>
      <c r="P393" s="177" t="str">
        <f>_ENGINE_Risk!CR891</f>
        <v>Risk ontology uses capability=CAP_INCIDENT_RESPONSE; bridge=BRG-013; treatment=TRT-INCIDENT_RESPONSE-INITIAL; wording=IW-ALL-INCIDENT_RESPONSE</v>
      </c>
    </row>
    <row r="394" spans="1:16" ht="99" customHeight="1">
      <c r="A394" s="177" t="str">
        <f>_ENGINE_Risk!CM892</f>
        <v>RISK-ONT-0393</v>
      </c>
      <c r="B394" s="177">
        <f>ROW(_ENGINE_Risk!A892)</f>
        <v>892</v>
      </c>
      <c r="C394" s="177" t="str">
        <f>_ENGINE_Risk!E892</f>
        <v>CYBE-025</v>
      </c>
      <c r="D394" s="177" t="str">
        <f>_ENGINE_Risk!C892</f>
        <v>Cyber Privacy</v>
      </c>
      <c r="E394" s="177" t="str">
        <f>_ENGINE_Risk!D892</f>
        <v>Detection and response</v>
      </c>
      <c r="F394" s="177" t="str">
        <f>_ENGINE_Risk!F892</f>
        <v>Cybersecurity, privacy and access control</v>
      </c>
      <c r="G394" s="177" t="str">
        <f>_ENGINE_Risk!G892</f>
        <v>Severe risk: cyber incident exercises with business, legal, communication, IT and executives is not reliably controlled. During Cyberattack; Data breach; Ransomware; Insider threat, the organization may face security incident, data breach, privilege misuse, privacy violation and regulatory exposure with limited visibility or accountability.</v>
      </c>
      <c r="H394" s="177" t="str">
        <f>_ENGINE_Risk!BT892</f>
        <v>CAP_INCIDENT_RESPONSE</v>
      </c>
      <c r="I394" s="177" t="str">
        <f>_ENGINE_Risk!BV892</f>
        <v>BRG-013</v>
      </c>
      <c r="J394" s="177" t="str">
        <f>_ENGINE_Risk!CE892</f>
        <v>IW-ALL-INCIDENT_RESPONSE</v>
      </c>
      <c r="K394" s="177" t="str">
        <f>_ENGINE_Risk!BY892</f>
        <v>TRT-INCIDENT_RESPONSE-INITIAL</v>
      </c>
      <c r="L394" s="177" t="str">
        <f>_ENGINE_Risk!CP892</f>
        <v>Active</v>
      </c>
      <c r="M394" s="177" t="str">
        <f>_ENGINE_Risk!CQ892</f>
        <v>OK: capability-driven</v>
      </c>
      <c r="N394" s="177" t="str">
        <f>_ENGINE_Risk!CS892</f>
        <v>Yes</v>
      </c>
      <c r="O394" s="177" t="str">
        <f>_ENGINE_Risk!CO892</f>
        <v>Cyber Privacy|Detection and response|CYBE-025|CAP_INCIDENT_RESPONSE</v>
      </c>
      <c r="P394" s="177" t="str">
        <f>_ENGINE_Risk!CR892</f>
        <v>Risk ontology uses capability=CAP_INCIDENT_RESPONSE; bridge=BRG-013; treatment=TRT-INCIDENT_RESPONSE-INITIAL; wording=IW-ALL-INCIDENT_RESPONSE</v>
      </c>
    </row>
    <row r="395" spans="1:16" ht="84.9" customHeight="1">
      <c r="A395" s="177" t="str">
        <f>_ENGINE_Risk!CM893</f>
        <v>RISK-ONT-0394</v>
      </c>
      <c r="B395" s="177">
        <f>ROW(_ENGINE_Risk!A893)</f>
        <v>893</v>
      </c>
      <c r="C395" s="177" t="str">
        <f>_ENGINE_Risk!E893</f>
        <v>CYBE-026</v>
      </c>
      <c r="D395" s="177" t="str">
        <f>_ENGINE_Risk!C893</f>
        <v>Cyber Privacy</v>
      </c>
      <c r="E395" s="177" t="str">
        <f>_ENGINE_Risk!D893</f>
        <v>Detection and response</v>
      </c>
      <c r="F395" s="177" t="str">
        <f>_ENGINE_Risk!F893</f>
        <v>Cybersecurity, privacy and access control</v>
      </c>
      <c r="G395" s="177" t="str">
        <f>_ENGINE_Risk!G893</f>
        <v>Severe risk: immutable or isolated backups protected against ransomware is not reliably controlled. During Cyberattack; Data breach; Ransomware; Insider threat, the organization may face security incident, data breach, privilege misuse, privacy violation and regulatory exposure with limited visibility or accountability.</v>
      </c>
      <c r="H395" s="177" t="str">
        <f>_ENGINE_Risk!BT893</f>
        <v>CAP_INCIDENT_RESPONSE</v>
      </c>
      <c r="I395" s="177" t="str">
        <f>_ENGINE_Risk!BV893</f>
        <v>BRG-013</v>
      </c>
      <c r="J395" s="177" t="str">
        <f>_ENGINE_Risk!CE893</f>
        <v>IW-ALL-INCIDENT_RESPONSE</v>
      </c>
      <c r="K395" s="177" t="str">
        <f>_ENGINE_Risk!BY893</f>
        <v>TRT-INCIDENT_RESPONSE-INITIAL</v>
      </c>
      <c r="L395" s="177" t="str">
        <f>_ENGINE_Risk!CP893</f>
        <v>Active</v>
      </c>
      <c r="M395" s="177" t="str">
        <f>_ENGINE_Risk!CQ893</f>
        <v>OK: capability-driven</v>
      </c>
      <c r="N395" s="177" t="str">
        <f>_ENGINE_Risk!CS893</f>
        <v>Yes</v>
      </c>
      <c r="O395" s="177" t="str">
        <f>_ENGINE_Risk!CO893</f>
        <v>Cyber Privacy|Detection and response|CYBE-026|CAP_INCIDENT_RESPONSE</v>
      </c>
      <c r="P395" s="177" t="str">
        <f>_ENGINE_Risk!CR893</f>
        <v>Risk ontology uses capability=CAP_INCIDENT_RESPONSE; bridge=BRG-013; treatment=TRT-INCIDENT_RESPONSE-INITIAL; wording=IW-ALL-INCIDENT_RESPONSE</v>
      </c>
    </row>
    <row r="396" spans="1:16" ht="99" customHeight="1">
      <c r="A396" s="177" t="str">
        <f>_ENGINE_Risk!CM894</f>
        <v>RISK-ONT-0395</v>
      </c>
      <c r="B396" s="177">
        <f>ROW(_ENGINE_Risk!A894)</f>
        <v>894</v>
      </c>
      <c r="C396" s="177" t="str">
        <f>_ENGINE_Risk!E894</f>
        <v>CYBE-027</v>
      </c>
      <c r="D396" s="177" t="str">
        <f>_ENGINE_Risk!C894</f>
        <v>Cyber Privacy</v>
      </c>
      <c r="E396" s="177" t="str">
        <f>_ENGINE_Risk!D894</f>
        <v>Application and OT security</v>
      </c>
      <c r="F396" s="177" t="str">
        <f>_ENGINE_Risk!F894</f>
        <v>Cybersecurity, privacy and access control</v>
      </c>
      <c r="G396" s="177" t="str">
        <f>_ENGINE_Risk!G894</f>
        <v>Severe risk: secure SDLC for internally developed applications, APIs and integrations is not reliably controlled. During Cyberattack; Data breach; Ransomware; Insider threat, the organization may face security incident, data breach, privilege misuse, privacy violation and regulatory exposure with limited visibility or accountability.</v>
      </c>
      <c r="H396" s="177" t="str">
        <f>_ENGINE_Risk!BT894</f>
        <v>CAP_PRODUCT_SECURITY</v>
      </c>
      <c r="I396" s="177" t="str">
        <f>_ENGINE_Risk!BV894</f>
        <v>BRG-012</v>
      </c>
      <c r="J396" s="177" t="str">
        <f>_ENGINE_Risk!CE894</f>
        <v>IW-ALL-PRODUCT_SECURITY</v>
      </c>
      <c r="K396" s="177" t="str">
        <f>_ENGINE_Risk!BY894</f>
        <v>TRT-PRODUCT_SECURITY-INITIAL</v>
      </c>
      <c r="L396" s="177" t="str">
        <f>_ENGINE_Risk!CP894</f>
        <v>Active</v>
      </c>
      <c r="M396" s="177" t="str">
        <f>_ENGINE_Risk!CQ894</f>
        <v>OK: capability-driven</v>
      </c>
      <c r="N396" s="177" t="str">
        <f>_ENGINE_Risk!CS894</f>
        <v>Yes</v>
      </c>
      <c r="O396" s="177" t="str">
        <f>_ENGINE_Risk!CO894</f>
        <v>Cyber Privacy|Application and OT security|CYBE-027|CAP_PRODUCT_SECURITY</v>
      </c>
      <c r="P396" s="177" t="str">
        <f>_ENGINE_Risk!CR894</f>
        <v>Risk ontology uses capability=CAP_PRODUCT_SECURITY; bridge=BRG-012; treatment=TRT-PRODUCT_SECURITY-INITIAL; wording=IW-ALL-PRODUCT_SECURITY</v>
      </c>
    </row>
    <row r="397" spans="1:16" ht="99" customHeight="1">
      <c r="A397" s="177" t="str">
        <f>_ENGINE_Risk!CM895</f>
        <v>RISK-ONT-0396</v>
      </c>
      <c r="B397" s="177">
        <f>ROW(_ENGINE_Risk!A895)</f>
        <v>895</v>
      </c>
      <c r="C397" s="177" t="str">
        <f>_ENGINE_Risk!E895</f>
        <v>CYBE-028</v>
      </c>
      <c r="D397" s="177" t="str">
        <f>_ENGINE_Risk!C895</f>
        <v>Cyber Privacy</v>
      </c>
      <c r="E397" s="177" t="str">
        <f>_ENGINE_Risk!D895</f>
        <v>Application and OT security</v>
      </c>
      <c r="F397" s="177" t="str">
        <f>_ENGINE_Risk!F895</f>
        <v>Cybersecurity, privacy and access control</v>
      </c>
      <c r="G397" s="177" t="str">
        <f>_ENGINE_Risk!G895</f>
        <v>Severe risk: application vulnerability testing through SAST, DAST, code review and penetration testing is not reliably controlled. During Cyberattack; Data breach; Ransomware; Insider threat, the organization may face security incident, data breach, privilege misuse, privacy violation and regulatory exposure with limited visibility or accountability.</v>
      </c>
      <c r="H397" s="177" t="str">
        <f>_ENGINE_Risk!BT895</f>
        <v>CAP_PRODUCT_SECURITY</v>
      </c>
      <c r="I397" s="177" t="str">
        <f>_ENGINE_Risk!BV895</f>
        <v>BRG-012</v>
      </c>
      <c r="J397" s="177" t="str">
        <f>_ENGINE_Risk!CE895</f>
        <v>IW-ALL-PRODUCT_SECURITY</v>
      </c>
      <c r="K397" s="177" t="str">
        <f>_ENGINE_Risk!BY895</f>
        <v>TRT-PRODUCT_SECURITY-INITIAL</v>
      </c>
      <c r="L397" s="177" t="str">
        <f>_ENGINE_Risk!CP895</f>
        <v>Active</v>
      </c>
      <c r="M397" s="177" t="str">
        <f>_ENGINE_Risk!CQ895</f>
        <v>OK: capability-driven</v>
      </c>
      <c r="N397" s="177" t="str">
        <f>_ENGINE_Risk!CS895</f>
        <v>Yes</v>
      </c>
      <c r="O397" s="177" t="str">
        <f>_ENGINE_Risk!CO895</f>
        <v>Cyber Privacy|Application and OT security|CYBE-028|CAP_PRODUCT_SECURITY</v>
      </c>
      <c r="P397" s="177" t="str">
        <f>_ENGINE_Risk!CR895</f>
        <v>Risk ontology uses capability=CAP_PRODUCT_SECURITY; bridge=BRG-012; treatment=TRT-PRODUCT_SECURITY-INITIAL; wording=IW-ALL-PRODUCT_SECURITY</v>
      </c>
    </row>
    <row r="398" spans="1:16" ht="99" customHeight="1">
      <c r="A398" s="177" t="str">
        <f>_ENGINE_Risk!CM896</f>
        <v>RISK-ONT-0397</v>
      </c>
      <c r="B398" s="177">
        <f>ROW(_ENGINE_Risk!A896)</f>
        <v>896</v>
      </c>
      <c r="C398" s="177" t="str">
        <f>_ENGINE_Risk!E896</f>
        <v>CYBE-032</v>
      </c>
      <c r="D398" s="177" t="str">
        <f>_ENGINE_Risk!C896</f>
        <v>Cyber Privacy</v>
      </c>
      <c r="E398" s="177" t="str">
        <f>_ENGINE_Risk!D896</f>
        <v>Privacy</v>
      </c>
      <c r="F398" s="177" t="str">
        <f>_ENGINE_Risk!F896</f>
        <v>Cybersecurity, privacy and access control</v>
      </c>
      <c r="G398" s="177" t="str">
        <f>_ENGINE_Risk!G896</f>
        <v>Severe risk: privacy governance with roles, lawful basis, DPIA, RoPA and data subject processes is not reliably controlled. During Cyberattack; Data breach; Ransomware; Insider threat, the organization may face security incident, data breach, privilege misuse, privacy violation and regulatory exposure with limited visibility or accountability.</v>
      </c>
      <c r="H398" s="177" t="str">
        <f>_ENGINE_Risk!BT896</f>
        <v>CAP_LEGAL_BREACH_RESPONSE</v>
      </c>
      <c r="I398" s="177" t="str">
        <f>_ENGINE_Risk!BV896</f>
        <v>BRG-015</v>
      </c>
      <c r="J398" s="177" t="str">
        <f>_ENGINE_Risk!CE896</f>
        <v>IW-ALL-LEGAL_BREACH_RESPONSE</v>
      </c>
      <c r="K398" s="177" t="str">
        <f>_ENGINE_Risk!BY896</f>
        <v>TRT-LEGAL_BREACH_RESPONSE-INITIAL</v>
      </c>
      <c r="L398" s="177" t="str">
        <f>_ENGINE_Risk!CP896</f>
        <v>Active</v>
      </c>
      <c r="M398" s="177" t="str">
        <f>_ENGINE_Risk!CQ896</f>
        <v>OK: capability-driven</v>
      </c>
      <c r="N398" s="177" t="str">
        <f>_ENGINE_Risk!CS896</f>
        <v>Yes</v>
      </c>
      <c r="O398" s="177" t="str">
        <f>_ENGINE_Risk!CO896</f>
        <v>Cyber Privacy|Privacy|CYBE-032|CAP_LEGAL_BREACH_RESPONSE</v>
      </c>
      <c r="P398" s="177" t="str">
        <f>_ENGINE_Risk!CR896</f>
        <v>Risk ontology uses capability=CAP_LEGAL_BREACH_RESPONSE; bridge=BRG-015; treatment=TRT-LEGAL_BREACH_RESPONSE-INITIAL; wording=IW-ALL-LEGAL_BREACH_RESPONSE</v>
      </c>
    </row>
    <row r="399" spans="1:16" ht="99" customHeight="1">
      <c r="A399" s="177" t="str">
        <f>_ENGINE_Risk!CM897</f>
        <v>RISK-ONT-0398</v>
      </c>
      <c r="B399" s="177">
        <f>ROW(_ENGINE_Risk!A897)</f>
        <v>897</v>
      </c>
      <c r="C399" s="177" t="str">
        <f>_ENGINE_Risk!E897</f>
        <v>CYBE-033</v>
      </c>
      <c r="D399" s="177" t="str">
        <f>_ENGINE_Risk!C897</f>
        <v>Cyber Privacy</v>
      </c>
      <c r="E399" s="177" t="str">
        <f>_ENGINE_Risk!D897</f>
        <v>Privacy</v>
      </c>
      <c r="F399" s="177" t="str">
        <f>_ENGINE_Risk!F897</f>
        <v>Cybersecurity, privacy and access control</v>
      </c>
      <c r="G399" s="177" t="str">
        <f>_ENGINE_Risk!G897</f>
        <v>Severe risk: personal data breach detection, assessment and notification within required timelines is not reliably controlled. During Cyberattack; Data breach; Ransomware; Insider threat, the organization may face security incident, data breach, privilege misuse, privacy violation and regulatory exposure with limited visibility or accountability.</v>
      </c>
      <c r="H399" s="177" t="str">
        <f>_ENGINE_Risk!BT897</f>
        <v>CAP_LEGAL_BREACH_RESPONSE</v>
      </c>
      <c r="I399" s="177" t="str">
        <f>_ENGINE_Risk!BV897</f>
        <v>BRG-015</v>
      </c>
      <c r="J399" s="177" t="str">
        <f>_ENGINE_Risk!CE897</f>
        <v>IW-ALL-LEGAL_BREACH_RESPONSE</v>
      </c>
      <c r="K399" s="177" t="str">
        <f>_ENGINE_Risk!BY897</f>
        <v>TRT-LEGAL_BREACH_RESPONSE-INITIAL</v>
      </c>
      <c r="L399" s="177" t="str">
        <f>_ENGINE_Risk!CP897</f>
        <v>Active</v>
      </c>
      <c r="M399" s="177" t="str">
        <f>_ENGINE_Risk!CQ897</f>
        <v>OK: capability-driven</v>
      </c>
      <c r="N399" s="177" t="str">
        <f>_ENGINE_Risk!CS897</f>
        <v>Yes</v>
      </c>
      <c r="O399" s="177" t="str">
        <f>_ENGINE_Risk!CO897</f>
        <v>Cyber Privacy|Privacy|CYBE-033|CAP_LEGAL_BREACH_RESPONSE</v>
      </c>
      <c r="P399" s="177" t="str">
        <f>_ENGINE_Risk!CR897</f>
        <v>Risk ontology uses capability=CAP_LEGAL_BREACH_RESPONSE; bridge=BRG-015; treatment=TRT-LEGAL_BREACH_RESPONSE-INITIAL; wording=IW-ALL-LEGAL_BREACH_RESPONSE</v>
      </c>
    </row>
    <row r="400" spans="1:16" ht="113.15" customHeight="1">
      <c r="A400" s="177" t="str">
        <f>_ENGINE_Risk!CM898</f>
        <v>RISK-ONT-0399</v>
      </c>
      <c r="B400" s="177">
        <f>ROW(_ENGINE_Risk!A898)</f>
        <v>898</v>
      </c>
      <c r="C400" s="177" t="str">
        <f>_ENGINE_Risk!E898</f>
        <v>CYBE-035</v>
      </c>
      <c r="D400" s="177" t="str">
        <f>_ENGINE_Risk!C898</f>
        <v>Cyber Privacy</v>
      </c>
      <c r="E400" s="177" t="str">
        <f>_ENGINE_Risk!D898</f>
        <v>Security governance</v>
      </c>
      <c r="F400" s="177" t="str">
        <f>_ENGINE_Risk!F898</f>
        <v>Cybersecurity supply chain</v>
      </c>
      <c r="G400" s="177" t="str">
        <f>_ENGINE_Risk!G898</f>
        <v>Severe risk: inclusion of critical suppliers and service providers in incident response planning, contact lists and joint exercises is not reliably controlled. During Cyberattack/ransomware; Supplier/logistics disruption; Cloud/SaaS outage, the organization may face uncoordinated vendor response, slow joint recovery and contractual disputes during cyber incidents with limited visibility or accountability.</v>
      </c>
      <c r="H400" s="177" t="str">
        <f>_ENGINE_Risk!BT898</f>
        <v>CAP_CYBER_GOVERNANCE</v>
      </c>
      <c r="I400" s="177" t="str">
        <f>_ENGINE_Risk!BV898</f>
        <v>BRG-017</v>
      </c>
      <c r="J400" s="177" t="str">
        <f>_ENGINE_Risk!CE898</f>
        <v>IW-ALL-CYBER_GOVERNANCE</v>
      </c>
      <c r="K400" s="177" t="str">
        <f>_ENGINE_Risk!BY898</f>
        <v>TRT-CYBER_GOVERNANCE-INITIAL</v>
      </c>
      <c r="L400" s="177" t="str">
        <f>_ENGINE_Risk!CP898</f>
        <v>Active</v>
      </c>
      <c r="M400" s="177" t="str">
        <f>_ENGINE_Risk!CQ898</f>
        <v>OK: capability-driven</v>
      </c>
      <c r="N400" s="177" t="str">
        <f>_ENGINE_Risk!CS898</f>
        <v>Yes</v>
      </c>
      <c r="O400" s="177" t="str">
        <f>_ENGINE_Risk!CO898</f>
        <v>Cyber Privacy|Security governance|CYBE-035|CAP_CYBER_GOVERNANCE</v>
      </c>
      <c r="P400" s="177" t="str">
        <f>_ENGINE_Risk!CR898</f>
        <v>Risk ontology uses capability=CAP_CYBER_GOVERNANCE; bridge=BRG-017; treatment=TRT-CYBER_GOVERNANCE-INITIAL; wording=IW-ALL-CYBER_GOVERNANCE</v>
      </c>
    </row>
    <row r="401" spans="1:16" ht="99" customHeight="1">
      <c r="A401" s="177" t="str">
        <f>_ENGINE_Risk!CM899</f>
        <v>RISK-ONT-0400</v>
      </c>
      <c r="B401" s="177">
        <f>ROW(_ENGINE_Risk!A899)</f>
        <v>899</v>
      </c>
      <c r="C401" s="177" t="str">
        <f>_ENGINE_Risk!E899</f>
        <v>CYBE-036</v>
      </c>
      <c r="D401" s="177" t="str">
        <f>_ENGINE_Risk!C899</f>
        <v>Cyber Privacy</v>
      </c>
      <c r="E401" s="177" t="str">
        <f>_ENGINE_Risk!D899</f>
        <v>Security governance</v>
      </c>
      <c r="F401" s="177" t="str">
        <f>_ENGINE_Risk!F899</f>
        <v>Cybersecurity supply chain</v>
      </c>
      <c r="G401" s="177" t="str">
        <f>_ENGINE_Risk!G899</f>
        <v>Severe risk: vendor offboarding with access revocation, data return or deletion and post-contract security obligations is not reliably controlled. During Cyberattack/ransomware; Regulatory/legal shock, the organization may face orphaned vendor access, residual data exposure and untracked obligations after contract end with limited visibility or accountability.</v>
      </c>
      <c r="H401" s="177" t="str">
        <f>_ENGINE_Risk!BT899</f>
        <v>CAP_CYBER_GOVERNANCE</v>
      </c>
      <c r="I401" s="177" t="str">
        <f>_ENGINE_Risk!BV899</f>
        <v>BRG-017</v>
      </c>
      <c r="J401" s="177" t="str">
        <f>_ENGINE_Risk!CE899</f>
        <v>IW-ALL-CYBER_GOVERNANCE</v>
      </c>
      <c r="K401" s="177" t="str">
        <f>_ENGINE_Risk!BY899</f>
        <v>TRT-CYBER_GOVERNANCE-INITIAL</v>
      </c>
      <c r="L401" s="177" t="str">
        <f>_ENGINE_Risk!CP899</f>
        <v>Active</v>
      </c>
      <c r="M401" s="177" t="str">
        <f>_ENGINE_Risk!CQ899</f>
        <v>OK: capability-driven</v>
      </c>
      <c r="N401" s="177" t="str">
        <f>_ENGINE_Risk!CS899</f>
        <v>Yes</v>
      </c>
      <c r="O401" s="177" t="str">
        <f>_ENGINE_Risk!CO899</f>
        <v>Cyber Privacy|Security governance|CYBE-036|CAP_CYBER_GOVERNANCE</v>
      </c>
      <c r="P401" s="177" t="str">
        <f>_ENGINE_Risk!CR899</f>
        <v>Risk ontology uses capability=CAP_CYBER_GOVERNANCE; bridge=BRG-017; treatment=TRT-CYBER_GOVERNANCE-INITIAL; wording=IW-ALL-CYBER_GOVERNANCE</v>
      </c>
    </row>
    <row r="402" spans="1:16" ht="99" customHeight="1">
      <c r="A402" s="177" t="str">
        <f>_ENGINE_Risk!CM900</f>
        <v>RISK-ONT-0401</v>
      </c>
      <c r="B402" s="177">
        <f>ROW(_ENGINE_Risk!A900)</f>
        <v>900</v>
      </c>
      <c r="C402" s="177" t="str">
        <f>_ENGINE_Risk!E900</f>
        <v>CYBE-037</v>
      </c>
      <c r="D402" s="177" t="str">
        <f>_ENGINE_Risk!C900</f>
        <v>Cyber Privacy</v>
      </c>
      <c r="E402" s="177" t="str">
        <f>_ENGINE_Risk!D900</f>
        <v>Detection and response</v>
      </c>
      <c r="F402" s="177" t="str">
        <f>_ENGINE_Risk!F900</f>
        <v>Threat detection and response</v>
      </c>
      <c r="G402" s="177" t="str">
        <f>_ENGINE_Risk!G900</f>
        <v>Severe risk: threat intelligence intake from CERT, sector and vendor sources integrated into detection and patch priorities is not reliably controlled. During Cyberattack/ransomware, the organization may face late awareness of active threats, generic defenses and slower-than-attacker reaction time with limited visibility or accountability.</v>
      </c>
      <c r="H402" s="177" t="str">
        <f>_ENGINE_Risk!BT900</f>
        <v>CAP_INCIDENT_RESPONSE</v>
      </c>
      <c r="I402" s="177" t="str">
        <f>_ENGINE_Risk!BV900</f>
        <v>BRG-013</v>
      </c>
      <c r="J402" s="177" t="str">
        <f>_ENGINE_Risk!CE900</f>
        <v>IW-ALL-INCIDENT_RESPONSE</v>
      </c>
      <c r="K402" s="177" t="str">
        <f>_ENGINE_Risk!BY900</f>
        <v>TRT-INCIDENT_RESPONSE-INITIAL</v>
      </c>
      <c r="L402" s="177" t="str">
        <f>_ENGINE_Risk!CP900</f>
        <v>Active</v>
      </c>
      <c r="M402" s="177" t="str">
        <f>_ENGINE_Risk!CQ900</f>
        <v>OK: capability-driven</v>
      </c>
      <c r="N402" s="177" t="str">
        <f>_ENGINE_Risk!CS900</f>
        <v>Yes</v>
      </c>
      <c r="O402" s="177" t="str">
        <f>_ENGINE_Risk!CO900</f>
        <v>Cyber Privacy|Detection and response|CYBE-037|CAP_INCIDENT_RESPONSE</v>
      </c>
      <c r="P402" s="177" t="str">
        <f>_ENGINE_Risk!CR900</f>
        <v>Risk ontology uses capability=CAP_INCIDENT_RESPONSE; bridge=BRG-013; treatment=TRT-INCIDENT_RESPONSE-INITIAL; wording=IW-ALL-INCIDENT_RESPONSE</v>
      </c>
    </row>
    <row r="403" spans="1:16" ht="113.15" customHeight="1">
      <c r="A403" s="177" t="str">
        <f>_ENGINE_Risk!CM901</f>
        <v>RISK-ONT-0402</v>
      </c>
      <c r="B403" s="177">
        <f>ROW(_ENGINE_Risk!A901)</f>
        <v>901</v>
      </c>
      <c r="C403" s="177" t="str">
        <f>_ENGINE_Risk!E901</f>
        <v>CYBE-038</v>
      </c>
      <c r="D403" s="177" t="str">
        <f>_ENGINE_Risk!C901</f>
        <v>Cyber Privacy</v>
      </c>
      <c r="E403" s="177" t="str">
        <f>_ENGINE_Risk!D901</f>
        <v>Detection and response</v>
      </c>
      <c r="F403" s="177" t="str">
        <f>_ENGINE_Risk!F901</f>
        <v>Threat detection and response</v>
      </c>
      <c r="G403" s="177" t="str">
        <f>_ENGINE_Risk!G901</f>
        <v>Severe risk: forensic evidence preservation with defined collection procedures, integrity protection and chain of custody is not reliably controlled. During Cyberattack/ransomware; Regulatory/legal shock, the organization may face lost legal and insurance claims, unprovable incident scope and repeat compromise from unknown root cause with limited visibility or accountability.</v>
      </c>
      <c r="H403" s="177" t="str">
        <f>_ENGINE_Risk!BT901</f>
        <v>CAP_INCIDENT_RESPONSE</v>
      </c>
      <c r="I403" s="177" t="str">
        <f>_ENGINE_Risk!BV901</f>
        <v>BRG-013</v>
      </c>
      <c r="J403" s="177" t="str">
        <f>_ENGINE_Risk!CE901</f>
        <v>IW-ALL-INCIDENT_RESPONSE</v>
      </c>
      <c r="K403" s="177" t="str">
        <f>_ENGINE_Risk!BY901</f>
        <v>TRT-INCIDENT_RESPONSE-INITIAL</v>
      </c>
      <c r="L403" s="177" t="str">
        <f>_ENGINE_Risk!CP901</f>
        <v>Active</v>
      </c>
      <c r="M403" s="177" t="str">
        <f>_ENGINE_Risk!CQ901</f>
        <v>OK: capability-driven</v>
      </c>
      <c r="N403" s="177" t="str">
        <f>_ENGINE_Risk!CS901</f>
        <v>Yes</v>
      </c>
      <c r="O403" s="177" t="str">
        <f>_ENGINE_Risk!CO901</f>
        <v>Cyber Privacy|Detection and response|CYBE-038|CAP_INCIDENT_RESPONSE</v>
      </c>
      <c r="P403" s="177" t="str">
        <f>_ENGINE_Risk!CR901</f>
        <v>Risk ontology uses capability=CAP_INCIDENT_RESPONSE; bridge=BRG-013; treatment=TRT-INCIDENT_RESPONSE-INITIAL; wording=IW-ALL-INCIDENT_RESPONSE</v>
      </c>
    </row>
    <row r="404" spans="1:16" ht="84.9" customHeight="1">
      <c r="A404" s="177" t="str">
        <f>_ENGINE_Risk!CM902</f>
        <v>RISK-ONT-0403</v>
      </c>
      <c r="B404" s="177">
        <f>ROW(_ENGINE_Risk!A902)</f>
        <v>902</v>
      </c>
      <c r="C404" s="177" t="str">
        <f>_ENGINE_Risk!E902</f>
        <v>QUAL-001</v>
      </c>
      <c r="D404" s="177" t="str">
        <f>_ENGINE_Risk!C902</f>
        <v>Quality Portfolio</v>
      </c>
      <c r="E404" s="177" t="str">
        <f>_ENGINE_Risk!D902</f>
        <v>Process management</v>
      </c>
      <c r="F404" s="177" t="str">
        <f>_ENGINE_Risk!F902</f>
        <v>Quality, portfolio and change execution risk</v>
      </c>
      <c r="G404" s="177" t="str">
        <f>_ENGINE_Risk!G902</f>
        <v>Severe risk: process architecture covering major value streams and support processes is not reliably controlled. During Execution failure; Delivery disruption; Decision failure, the organization may face poor quality control, failed change execution, unmanaged portfolio trade-offs and benefit erosion with limited visibility or accountability.</v>
      </c>
      <c r="H404" s="177" t="str">
        <f>_ENGINE_Risk!BT902</f>
        <v>CAP_DELIVERY_CONTINUITY</v>
      </c>
      <c r="I404" s="177" t="str">
        <f>_ENGINE_Risk!BV902</f>
        <v>BRG-074</v>
      </c>
      <c r="J404" s="177" t="str">
        <f>_ENGINE_Risk!CE902</f>
        <v>IW-ALL-DELIVERY_CONTINUITY</v>
      </c>
      <c r="K404" s="177" t="str">
        <f>_ENGINE_Risk!BY902</f>
        <v>TRT-DELIVERY_CONTINUITY-INITIAL</v>
      </c>
      <c r="L404" s="177" t="str">
        <f>_ENGINE_Risk!CP902</f>
        <v>Active</v>
      </c>
      <c r="M404" s="177" t="str">
        <f>_ENGINE_Risk!CQ902</f>
        <v>OK: capability-driven</v>
      </c>
      <c r="N404" s="177" t="str">
        <f>_ENGINE_Risk!CS902</f>
        <v>Yes</v>
      </c>
      <c r="O404" s="177" t="str">
        <f>_ENGINE_Risk!CO902</f>
        <v>Quality Portfolio|Process management|QUAL-001|CAP_DELIVERY_CONTINUITY</v>
      </c>
      <c r="P404" s="177" t="str">
        <f>_ENGINE_Risk!CR902</f>
        <v>Risk ontology uses capability=CAP_DELIVERY_CONTINUITY; bridge=BRG-074; treatment=TRT-DELIVERY_CONTINUITY-INITIAL; wording=IW-ALL-DELIVERY_CONTINUITY</v>
      </c>
    </row>
    <row r="405" spans="1:16" ht="99" customHeight="1">
      <c r="A405" s="177" t="str">
        <f>_ENGINE_Risk!CM903</f>
        <v>RISK-ONT-0404</v>
      </c>
      <c r="B405" s="177">
        <f>ROW(_ENGINE_Risk!A903)</f>
        <v>903</v>
      </c>
      <c r="C405" s="177" t="str">
        <f>_ENGINE_Risk!E903</f>
        <v>QUAL-002</v>
      </c>
      <c r="D405" s="177" t="str">
        <f>_ENGINE_Risk!C903</f>
        <v>Quality Portfolio</v>
      </c>
      <c r="E405" s="177" t="str">
        <f>_ENGINE_Risk!D903</f>
        <v>Process management</v>
      </c>
      <c r="F405" s="177" t="str">
        <f>_ENGINE_Risk!F903</f>
        <v>Quality, portfolio and change execution risk</v>
      </c>
      <c r="G405" s="177" t="str">
        <f>_ENGINE_Risk!G903</f>
        <v>Severe risk: process ownership for critical processes with inputs, outputs, controls and KPIs is not reliably controlled. During Execution failure; Delivery disruption; Decision failure, the organization may face poor quality control, failed change execution, unmanaged portfolio trade-offs and benefit erosion with limited visibility or accountability.</v>
      </c>
      <c r="H405" s="177" t="str">
        <f>_ENGINE_Risk!BT903</f>
        <v>CAP_DELIVERY_CONTINUITY</v>
      </c>
      <c r="I405" s="177" t="str">
        <f>_ENGINE_Risk!BV903</f>
        <v>BRG-074</v>
      </c>
      <c r="J405" s="177" t="str">
        <f>_ENGINE_Risk!CE903</f>
        <v>IW-ALL-DELIVERY_CONTINUITY</v>
      </c>
      <c r="K405" s="177" t="str">
        <f>_ENGINE_Risk!BY903</f>
        <v>TRT-DELIVERY_CONTINUITY-INITIAL</v>
      </c>
      <c r="L405" s="177" t="str">
        <f>_ENGINE_Risk!CP903</f>
        <v>Active</v>
      </c>
      <c r="M405" s="177" t="str">
        <f>_ENGINE_Risk!CQ903</f>
        <v>OK: capability-driven</v>
      </c>
      <c r="N405" s="177" t="str">
        <f>_ENGINE_Risk!CS903</f>
        <v>Yes</v>
      </c>
      <c r="O405" s="177" t="str">
        <f>_ENGINE_Risk!CO903</f>
        <v>Quality Portfolio|Process management|QUAL-002|CAP_DELIVERY_CONTINUITY</v>
      </c>
      <c r="P405" s="177" t="str">
        <f>_ENGINE_Risk!CR903</f>
        <v>Risk ontology uses capability=CAP_DELIVERY_CONTINUITY; bridge=BRG-074; treatment=TRT-DELIVERY_CONTINUITY-INITIAL; wording=IW-ALL-DELIVERY_CONTINUITY</v>
      </c>
    </row>
    <row r="406" spans="1:16" ht="99" customHeight="1">
      <c r="A406" s="177" t="str">
        <f>_ENGINE_Risk!CM904</f>
        <v>RISK-ONT-0405</v>
      </c>
      <c r="B406" s="177">
        <f>ROW(_ENGINE_Risk!A904)</f>
        <v>904</v>
      </c>
      <c r="C406" s="177" t="str">
        <f>_ENGINE_Risk!E904</f>
        <v>QUAL-004</v>
      </c>
      <c r="D406" s="177" t="str">
        <f>_ENGINE_Risk!C904</f>
        <v>Quality Portfolio</v>
      </c>
      <c r="E406" s="177" t="str">
        <f>_ENGINE_Risk!D904</f>
        <v>Process management</v>
      </c>
      <c r="F406" s="177" t="str">
        <f>_ENGINE_Risk!F904</f>
        <v>Quality, portfolio and change execution risk</v>
      </c>
      <c r="G406" s="177" t="str">
        <f>_ENGINE_Risk!G904</f>
        <v>Severe risk: SOP and policy document control with versioning, ownership and review cadence is not reliably controlled. During Execution failure; Delivery disruption; Decision failure, the organization may face poor quality control, failed change execution, unmanaged portfolio trade-offs and benefit erosion with limited visibility or accountability.</v>
      </c>
      <c r="H406" s="177" t="str">
        <f>_ENGINE_Risk!BT904</f>
        <v>CAP_DELIVERY_CONTINUITY</v>
      </c>
      <c r="I406" s="177" t="str">
        <f>_ENGINE_Risk!BV904</f>
        <v>BRG-074</v>
      </c>
      <c r="J406" s="177" t="str">
        <f>_ENGINE_Risk!CE904</f>
        <v>IW-ALL-DELIVERY_CONTINUITY</v>
      </c>
      <c r="K406" s="177" t="str">
        <f>_ENGINE_Risk!BY904</f>
        <v>TRT-DELIVERY_CONTINUITY-INITIAL</v>
      </c>
      <c r="L406" s="177" t="str">
        <f>_ENGINE_Risk!CP904</f>
        <v>Active</v>
      </c>
      <c r="M406" s="177" t="str">
        <f>_ENGINE_Risk!CQ904</f>
        <v>OK: capability-driven</v>
      </c>
      <c r="N406" s="177" t="str">
        <f>_ENGINE_Risk!CS904</f>
        <v>Yes</v>
      </c>
      <c r="O406" s="177" t="str">
        <f>_ENGINE_Risk!CO904</f>
        <v>Quality Portfolio|Process management|QUAL-004|CAP_DELIVERY_CONTINUITY</v>
      </c>
      <c r="P406" s="177" t="str">
        <f>_ENGINE_Risk!CR904</f>
        <v>Risk ontology uses capability=CAP_DELIVERY_CONTINUITY; bridge=BRG-074; treatment=TRT-DELIVERY_CONTINUITY-INITIAL; wording=IW-ALL-DELIVERY_CONTINUITY</v>
      </c>
    </row>
    <row r="407" spans="1:16" ht="84.9" customHeight="1">
      <c r="A407" s="177" t="str">
        <f>_ENGINE_Risk!CM905</f>
        <v>RISK-ONT-0406</v>
      </c>
      <c r="B407" s="177">
        <f>ROW(_ENGINE_Risk!A905)</f>
        <v>905</v>
      </c>
      <c r="C407" s="177" t="str">
        <f>_ENGINE_Risk!E905</f>
        <v>QUAL-005</v>
      </c>
      <c r="D407" s="177" t="str">
        <f>_ENGINE_Risk!C905</f>
        <v>Quality Portfolio</v>
      </c>
      <c r="E407" s="177" t="str">
        <f>_ENGINE_Risk!D905</f>
        <v>Process management</v>
      </c>
      <c r="F407" s="177" t="str">
        <f>_ENGINE_Risk!F905</f>
        <v>Quality, portfolio and change execution risk</v>
      </c>
      <c r="G407" s="177" t="str">
        <f>_ENGINE_Risk!G905</f>
        <v>Severe risk: process automation documented, monitored and covered by manual fallback is not reliably controlled. During Execution failure; Delivery disruption; Decision failure, the organization may face poor quality control, failed change execution, unmanaged portfolio trade-offs and benefit erosion with limited visibility or accountability.</v>
      </c>
      <c r="H407" s="177" t="str">
        <f>_ENGINE_Risk!BT905</f>
        <v>CAP_DELIVERY_CONTINUITY</v>
      </c>
      <c r="I407" s="177" t="str">
        <f>_ENGINE_Risk!BV905</f>
        <v>BRG-074</v>
      </c>
      <c r="J407" s="177" t="str">
        <f>_ENGINE_Risk!CE905</f>
        <v>IW-ALL-DELIVERY_CONTINUITY</v>
      </c>
      <c r="K407" s="177" t="str">
        <f>_ENGINE_Risk!BY905</f>
        <v>TRT-DELIVERY_CONTINUITY-INITIAL</v>
      </c>
      <c r="L407" s="177" t="str">
        <f>_ENGINE_Risk!CP905</f>
        <v>Active</v>
      </c>
      <c r="M407" s="177" t="str">
        <f>_ENGINE_Risk!CQ905</f>
        <v>OK: capability-driven</v>
      </c>
      <c r="N407" s="177" t="str">
        <f>_ENGINE_Risk!CS905</f>
        <v>Yes</v>
      </c>
      <c r="O407" s="177" t="str">
        <f>_ENGINE_Risk!CO905</f>
        <v>Quality Portfolio|Process management|QUAL-005|CAP_DELIVERY_CONTINUITY</v>
      </c>
      <c r="P407" s="177" t="str">
        <f>_ENGINE_Risk!CR905</f>
        <v>Risk ontology uses capability=CAP_DELIVERY_CONTINUITY; bridge=BRG-074; treatment=TRT-DELIVERY_CONTINUITY-INITIAL; wording=IW-ALL-DELIVERY_CONTINUITY</v>
      </c>
    </row>
    <row r="408" spans="1:16" ht="99" customHeight="1">
      <c r="A408" s="177" t="str">
        <f>_ENGINE_Risk!CM906</f>
        <v>RISK-ONT-0407</v>
      </c>
      <c r="B408" s="177">
        <f>ROW(_ENGINE_Risk!A906)</f>
        <v>906</v>
      </c>
      <c r="C408" s="177" t="str">
        <f>_ENGINE_Risk!E906</f>
        <v>QUAL-006</v>
      </c>
      <c r="D408" s="177" t="str">
        <f>_ENGINE_Risk!C906</f>
        <v>Quality Portfolio</v>
      </c>
      <c r="E408" s="177" t="str">
        <f>_ENGINE_Risk!D906</f>
        <v>Quality management</v>
      </c>
      <c r="F408" s="177" t="str">
        <f>_ENGINE_Risk!F906</f>
        <v>Quality, portfolio and change execution risk</v>
      </c>
      <c r="G408" s="177" t="str">
        <f>_ENGINE_Risk!G906</f>
        <v>Severe risk: quality objectives linked to customer, delivery and operational performance is not reliably controlled. During Execution failure; Delivery disruption; Decision failure, the organization may face poor quality control, failed change execution, unmanaged portfolio trade-offs and benefit erosion with limited visibility or accountability.</v>
      </c>
      <c r="H408" s="177" t="str">
        <f>_ENGINE_Risk!BT906</f>
        <v>CAP_DELIVERY_CONTINUITY</v>
      </c>
      <c r="I408" s="177" t="str">
        <f>_ENGINE_Risk!BV906</f>
        <v>BRG-075</v>
      </c>
      <c r="J408" s="177" t="str">
        <f>_ENGINE_Risk!CE906</f>
        <v>IW-ALL-DELIVERY_CONTINUITY</v>
      </c>
      <c r="K408" s="177" t="str">
        <f>_ENGINE_Risk!BY906</f>
        <v>TRT-DELIVERY_CONTINUITY-INITIAL</v>
      </c>
      <c r="L408" s="177" t="str">
        <f>_ENGINE_Risk!CP906</f>
        <v>Active</v>
      </c>
      <c r="M408" s="177" t="str">
        <f>_ENGINE_Risk!CQ906</f>
        <v>OK: capability-driven</v>
      </c>
      <c r="N408" s="177" t="str">
        <f>_ENGINE_Risk!CS906</f>
        <v>Yes</v>
      </c>
      <c r="O408" s="177" t="str">
        <f>_ENGINE_Risk!CO906</f>
        <v>Quality Portfolio|Quality management|QUAL-006|CAP_DELIVERY_CONTINUITY</v>
      </c>
      <c r="P408" s="177" t="str">
        <f>_ENGINE_Risk!CR906</f>
        <v>Risk ontology uses capability=CAP_DELIVERY_CONTINUITY; bridge=BRG-075; treatment=TRT-DELIVERY_CONTINUITY-INITIAL; wording=IW-ALL-DELIVERY_CONTINUITY</v>
      </c>
    </row>
    <row r="409" spans="1:16" ht="84.9" customHeight="1">
      <c r="A409" s="177" t="str">
        <f>_ENGINE_Risk!CM907</f>
        <v>RISK-ONT-0408</v>
      </c>
      <c r="B409" s="177">
        <f>ROW(_ENGINE_Risk!A907)</f>
        <v>907</v>
      </c>
      <c r="C409" s="177" t="str">
        <f>_ENGINE_Risk!E907</f>
        <v>QUAL-007</v>
      </c>
      <c r="D409" s="177" t="str">
        <f>_ENGINE_Risk!C907</f>
        <v>Quality Portfolio</v>
      </c>
      <c r="E409" s="177" t="str">
        <f>_ENGINE_Risk!D907</f>
        <v>Quality management</v>
      </c>
      <c r="F409" s="177" t="str">
        <f>_ENGINE_Risk!F907</f>
        <v>Quality, portfolio and change execution risk</v>
      </c>
      <c r="G409" s="177" t="str">
        <f>_ENGINE_Risk!G907</f>
        <v>Severe risk: nonconformity, defect, complaint and corrective action management is not reliably controlled. During Execution failure; Delivery disruption; Decision failure, the organization may face poor quality control, failed change execution, unmanaged portfolio trade-offs and benefit erosion with limited visibility or accountability.</v>
      </c>
      <c r="H409" s="177" t="str">
        <f>_ENGINE_Risk!BT907</f>
        <v>CAP_DELIVERY_CONTINUITY</v>
      </c>
      <c r="I409" s="177" t="str">
        <f>_ENGINE_Risk!BV907</f>
        <v>BRG-075</v>
      </c>
      <c r="J409" s="177" t="str">
        <f>_ENGINE_Risk!CE907</f>
        <v>IW-ALL-DELIVERY_CONTINUITY</v>
      </c>
      <c r="K409" s="177" t="str">
        <f>_ENGINE_Risk!BY907</f>
        <v>TRT-DELIVERY_CONTINUITY-INITIAL</v>
      </c>
      <c r="L409" s="177" t="str">
        <f>_ENGINE_Risk!CP907</f>
        <v>Active</v>
      </c>
      <c r="M409" s="177" t="str">
        <f>_ENGINE_Risk!CQ907</f>
        <v>OK: capability-driven</v>
      </c>
      <c r="N409" s="177" t="str">
        <f>_ENGINE_Risk!CS907</f>
        <v>Yes</v>
      </c>
      <c r="O409" s="177" t="str">
        <f>_ENGINE_Risk!CO907</f>
        <v>Quality Portfolio|Quality management|QUAL-007|CAP_DELIVERY_CONTINUITY</v>
      </c>
      <c r="P409" s="177" t="str">
        <f>_ENGINE_Risk!CR907</f>
        <v>Risk ontology uses capability=CAP_DELIVERY_CONTINUITY; bridge=BRG-075; treatment=TRT-DELIVERY_CONTINUITY-INITIAL; wording=IW-ALL-DELIVERY_CONTINUITY</v>
      </c>
    </row>
    <row r="410" spans="1:16" ht="84.9" customHeight="1">
      <c r="A410" s="177" t="str">
        <f>_ENGINE_Risk!CM908</f>
        <v>RISK-ONT-0409</v>
      </c>
      <c r="B410" s="177">
        <f>ROW(_ENGINE_Risk!A908)</f>
        <v>908</v>
      </c>
      <c r="C410" s="177" t="str">
        <f>_ENGINE_Risk!E908</f>
        <v>QUAL-008</v>
      </c>
      <c r="D410" s="177" t="str">
        <f>_ENGINE_Risk!C908</f>
        <v>Quality Portfolio</v>
      </c>
      <c r="E410" s="177" t="str">
        <f>_ENGINE_Risk!D908</f>
        <v>Quality management</v>
      </c>
      <c r="F410" s="177" t="str">
        <f>_ENGINE_Risk!F908</f>
        <v>Quality, portfolio and change execution risk</v>
      </c>
      <c r="G410" s="177" t="str">
        <f>_ENGINE_Risk!G908</f>
        <v>Severe risk: internal audit program for critical processes and controls is not reliably controlled. During Execution failure; Delivery disruption; Decision failure, the organization may face poor quality control, failed change execution, unmanaged portfolio trade-offs and benefit erosion with limited visibility or accountability.</v>
      </c>
      <c r="H410" s="177" t="str">
        <f>_ENGINE_Risk!BT908</f>
        <v>CAP_DELIVERY_CONTINUITY</v>
      </c>
      <c r="I410" s="177" t="str">
        <f>_ENGINE_Risk!BV908</f>
        <v>BRG-075</v>
      </c>
      <c r="J410" s="177" t="str">
        <f>_ENGINE_Risk!CE908</f>
        <v>IW-ALL-DELIVERY_CONTINUITY</v>
      </c>
      <c r="K410" s="177" t="str">
        <f>_ENGINE_Risk!BY908</f>
        <v>TRT-DELIVERY_CONTINUITY-INITIAL</v>
      </c>
      <c r="L410" s="177" t="str">
        <f>_ENGINE_Risk!CP908</f>
        <v>Active</v>
      </c>
      <c r="M410" s="177" t="str">
        <f>_ENGINE_Risk!CQ908</f>
        <v>OK: capability-driven</v>
      </c>
      <c r="N410" s="177" t="str">
        <f>_ENGINE_Risk!CS908</f>
        <v>Yes</v>
      </c>
      <c r="O410" s="177" t="str">
        <f>_ENGINE_Risk!CO908</f>
        <v>Quality Portfolio|Quality management|QUAL-008|CAP_DELIVERY_CONTINUITY</v>
      </c>
      <c r="P410" s="177" t="str">
        <f>_ENGINE_Risk!CR908</f>
        <v>Risk ontology uses capability=CAP_DELIVERY_CONTINUITY; bridge=BRG-075; treatment=TRT-DELIVERY_CONTINUITY-INITIAL; wording=IW-ALL-DELIVERY_CONTINUITY</v>
      </c>
    </row>
    <row r="411" spans="1:16" ht="84.9" customHeight="1">
      <c r="A411" s="177" t="str">
        <f>_ENGINE_Risk!CM909</f>
        <v>RISK-ONT-0410</v>
      </c>
      <c r="B411" s="177">
        <f>ROW(_ENGINE_Risk!A909)</f>
        <v>909</v>
      </c>
      <c r="C411" s="177" t="str">
        <f>_ENGINE_Risk!E909</f>
        <v>QUAL-009</v>
      </c>
      <c r="D411" s="177" t="str">
        <f>_ENGINE_Risk!C909</f>
        <v>Quality Portfolio</v>
      </c>
      <c r="E411" s="177" t="str">
        <f>_ENGINE_Risk!D909</f>
        <v>Quality management</v>
      </c>
      <c r="F411" s="177" t="str">
        <f>_ENGINE_Risk!F909</f>
        <v>Quality, portfolio and change execution risk</v>
      </c>
      <c r="G411" s="177" t="str">
        <f>_ENGINE_Risk!G909</f>
        <v>Severe risk: control testing for effectiveness, not only existence is not reliably controlled. During Execution failure; Delivery disruption; Decision failure, the organization may face poor quality control, failed change execution, unmanaged portfolio trade-offs and benefit erosion with limited visibility or accountability.</v>
      </c>
      <c r="H411" s="177" t="str">
        <f>_ENGINE_Risk!BT909</f>
        <v>CAP_DELIVERY_CONTINUITY</v>
      </c>
      <c r="I411" s="177" t="str">
        <f>_ENGINE_Risk!BV909</f>
        <v>BRG-075</v>
      </c>
      <c r="J411" s="177" t="str">
        <f>_ENGINE_Risk!CE909</f>
        <v>IW-ALL-DELIVERY_CONTINUITY</v>
      </c>
      <c r="K411" s="177" t="str">
        <f>_ENGINE_Risk!BY909</f>
        <v>TRT-DELIVERY_CONTINUITY-INITIAL</v>
      </c>
      <c r="L411" s="177" t="str">
        <f>_ENGINE_Risk!CP909</f>
        <v>Active</v>
      </c>
      <c r="M411" s="177" t="str">
        <f>_ENGINE_Risk!CQ909</f>
        <v>OK: capability-driven</v>
      </c>
      <c r="N411" s="177" t="str">
        <f>_ENGINE_Risk!CS909</f>
        <v>Yes</v>
      </c>
      <c r="O411" s="177" t="str">
        <f>_ENGINE_Risk!CO909</f>
        <v>Quality Portfolio|Quality management|QUAL-009|CAP_DELIVERY_CONTINUITY</v>
      </c>
      <c r="P411" s="177" t="str">
        <f>_ENGINE_Risk!CR909</f>
        <v>Risk ontology uses capability=CAP_DELIVERY_CONTINUITY; bridge=BRG-075; treatment=TRT-DELIVERY_CONTINUITY-INITIAL; wording=IW-ALL-DELIVERY_CONTINUITY</v>
      </c>
    </row>
    <row r="412" spans="1:16" ht="84.9" customHeight="1">
      <c r="A412" s="177" t="str">
        <f>_ENGINE_Risk!CM910</f>
        <v>RISK-ONT-0411</v>
      </c>
      <c r="B412" s="177">
        <f>ROW(_ENGINE_Risk!A910)</f>
        <v>910</v>
      </c>
      <c r="C412" s="177" t="str">
        <f>_ENGINE_Risk!E910</f>
        <v>QUAL-010</v>
      </c>
      <c r="D412" s="177" t="str">
        <f>_ENGINE_Risk!C910</f>
        <v>Quality Portfolio</v>
      </c>
      <c r="E412" s="177" t="str">
        <f>_ENGINE_Risk!D910</f>
        <v>Quality management</v>
      </c>
      <c r="F412" s="177" t="str">
        <f>_ENGINE_Risk!F910</f>
        <v>Quality, portfolio and change execution risk</v>
      </c>
      <c r="G412" s="177" t="str">
        <f>_ENGINE_Risk!G910</f>
        <v>Severe risk: customer complaint handling and root cause analysis is not reliably controlled. During Execution failure; Delivery disruption; Decision failure, the organization may face poor quality control, failed change execution, unmanaged portfolio trade-offs and benefit erosion with limited visibility or accountability.</v>
      </c>
      <c r="H412" s="177" t="str">
        <f>_ENGINE_Risk!BT910</f>
        <v>CAP_DELIVERY_CONTINUITY</v>
      </c>
      <c r="I412" s="177" t="str">
        <f>_ENGINE_Risk!BV910</f>
        <v>BRG-075</v>
      </c>
      <c r="J412" s="177" t="str">
        <f>_ENGINE_Risk!CE910</f>
        <v>IW-ALL-DELIVERY_CONTINUITY</v>
      </c>
      <c r="K412" s="177" t="str">
        <f>_ENGINE_Risk!BY910</f>
        <v>TRT-DELIVERY_CONTINUITY-INITIAL</v>
      </c>
      <c r="L412" s="177" t="str">
        <f>_ENGINE_Risk!CP910</f>
        <v>Active</v>
      </c>
      <c r="M412" s="177" t="str">
        <f>_ENGINE_Risk!CQ910</f>
        <v>OK: capability-driven</v>
      </c>
      <c r="N412" s="177" t="str">
        <f>_ENGINE_Risk!CS910</f>
        <v>Yes</v>
      </c>
      <c r="O412" s="177" t="str">
        <f>_ENGINE_Risk!CO910</f>
        <v>Quality Portfolio|Quality management|QUAL-010|CAP_DELIVERY_CONTINUITY</v>
      </c>
      <c r="P412" s="177" t="str">
        <f>_ENGINE_Risk!CR910</f>
        <v>Risk ontology uses capability=CAP_DELIVERY_CONTINUITY; bridge=BRG-075; treatment=TRT-DELIVERY_CONTINUITY-INITIAL; wording=IW-ALL-DELIVERY_CONTINUITY</v>
      </c>
    </row>
    <row r="413" spans="1:16" ht="99" customHeight="1">
      <c r="A413" s="177" t="str">
        <f>_ENGINE_Risk!CM911</f>
        <v>RISK-ONT-0412</v>
      </c>
      <c r="B413" s="177">
        <f>ROW(_ENGINE_Risk!A911)</f>
        <v>911</v>
      </c>
      <c r="C413" s="177" t="str">
        <f>_ENGINE_Risk!E911</f>
        <v>QUAL-011</v>
      </c>
      <c r="D413" s="177" t="str">
        <f>_ENGINE_Risk!C911</f>
        <v>Quality Portfolio</v>
      </c>
      <c r="E413" s="177" t="str">
        <f>_ENGINE_Risk!D911</f>
        <v>Portfolio and change</v>
      </c>
      <c r="F413" s="177" t="str">
        <f>_ENGINE_Risk!F911</f>
        <v>Quality, portfolio and change execution risk</v>
      </c>
      <c r="G413" s="177" t="str">
        <f>_ENGINE_Risk!G911</f>
        <v>Severe risk: portfolio governance with prioritization, capacity, benefits, risks and dependencies is not reliably controlled. During Execution failure; Delivery disruption; Decision failure, the organization may face poor quality control, failed change execution, unmanaged portfolio trade-offs and benefit erosion with limited visibility or accountability.</v>
      </c>
      <c r="H413" s="177" t="str">
        <f>_ENGINE_Risk!BT911</f>
        <v>CAP_DELIVERY_CONTINUITY</v>
      </c>
      <c r="I413" s="177" t="str">
        <f>_ENGINE_Risk!BV911</f>
        <v>BRG-073</v>
      </c>
      <c r="J413" s="177" t="str">
        <f>_ENGINE_Risk!CE911</f>
        <v>IW-ALL-DELIVERY_CONTINUITY</v>
      </c>
      <c r="K413" s="177" t="str">
        <f>_ENGINE_Risk!BY911</f>
        <v>TRT-DELIVERY_CONTINUITY-INITIAL</v>
      </c>
      <c r="L413" s="177" t="str">
        <f>_ENGINE_Risk!CP911</f>
        <v>Active</v>
      </c>
      <c r="M413" s="177" t="str">
        <f>_ENGINE_Risk!CQ911</f>
        <v>OK: capability-driven</v>
      </c>
      <c r="N413" s="177" t="str">
        <f>_ENGINE_Risk!CS911</f>
        <v>Yes</v>
      </c>
      <c r="O413" s="177" t="str">
        <f>_ENGINE_Risk!CO911</f>
        <v>Quality Portfolio|Portfolio and change|QUAL-011|CAP_DELIVERY_CONTINUITY</v>
      </c>
      <c r="P413" s="177" t="str">
        <f>_ENGINE_Risk!CR911</f>
        <v>Risk ontology uses capability=CAP_DELIVERY_CONTINUITY; bridge=BRG-073; treatment=TRT-DELIVERY_CONTINUITY-INITIAL; wording=IW-ALL-DELIVERY_CONTINUITY</v>
      </c>
    </row>
    <row r="414" spans="1:16" ht="99" customHeight="1">
      <c r="A414" s="177" t="str">
        <f>_ENGINE_Risk!CM912</f>
        <v>RISK-ONT-0413</v>
      </c>
      <c r="B414" s="177">
        <f>ROW(_ENGINE_Risk!A912)</f>
        <v>912</v>
      </c>
      <c r="C414" s="177" t="str">
        <f>_ENGINE_Risk!E912</f>
        <v>QUAL-012</v>
      </c>
      <c r="D414" s="177" t="str">
        <f>_ENGINE_Risk!C912</f>
        <v>Quality Portfolio</v>
      </c>
      <c r="E414" s="177" t="str">
        <f>_ENGINE_Risk!D912</f>
        <v>Portfolio and change</v>
      </c>
      <c r="F414" s="177" t="str">
        <f>_ENGINE_Risk!F912</f>
        <v>Quality, portfolio and change execution risk</v>
      </c>
      <c r="G414" s="177" t="str">
        <f>_ENGINE_Risk!G912</f>
        <v>Severe risk: rapid reprioritization of initiatives during crisis using value, urgency, risk and capacity is not reliably controlled. During Execution failure; Delivery disruption; Decision failure, the organization may face poor quality control, failed change execution, unmanaged portfolio trade-offs and benefit erosion with limited visibility or accountability.</v>
      </c>
      <c r="H414" s="177" t="str">
        <f>_ENGINE_Risk!BT912</f>
        <v>CAP_DELIVERY_CONTINUITY</v>
      </c>
      <c r="I414" s="177" t="str">
        <f>_ENGINE_Risk!BV912</f>
        <v>BRG-073</v>
      </c>
      <c r="J414" s="177" t="str">
        <f>_ENGINE_Risk!CE912</f>
        <v>IW-ALL-DELIVERY_CONTINUITY</v>
      </c>
      <c r="K414" s="177" t="str">
        <f>_ENGINE_Risk!BY912</f>
        <v>TRT-DELIVERY_CONTINUITY-INITIAL</v>
      </c>
      <c r="L414" s="177" t="str">
        <f>_ENGINE_Risk!CP912</f>
        <v>Active</v>
      </c>
      <c r="M414" s="177" t="str">
        <f>_ENGINE_Risk!CQ912</f>
        <v>OK: capability-driven</v>
      </c>
      <c r="N414" s="177" t="str">
        <f>_ENGINE_Risk!CS912</f>
        <v>Yes</v>
      </c>
      <c r="O414" s="177" t="str">
        <f>_ENGINE_Risk!CO912</f>
        <v>Quality Portfolio|Portfolio and change|QUAL-012|CAP_DELIVERY_CONTINUITY</v>
      </c>
      <c r="P414" s="177" t="str">
        <f>_ENGINE_Risk!CR912</f>
        <v>Risk ontology uses capability=CAP_DELIVERY_CONTINUITY; bridge=BRG-073; treatment=TRT-DELIVERY_CONTINUITY-INITIAL; wording=IW-ALL-DELIVERY_CONTINUITY</v>
      </c>
    </row>
    <row r="415" spans="1:16" ht="84.9" customHeight="1">
      <c r="A415" s="177" t="str">
        <f>_ENGINE_Risk!CM913</f>
        <v>RISK-ONT-0414</v>
      </c>
      <c r="B415" s="177">
        <f>ROW(_ENGINE_Risk!A913)</f>
        <v>913</v>
      </c>
      <c r="C415" s="177" t="str">
        <f>_ENGINE_Risk!E913</f>
        <v>QUAL-013</v>
      </c>
      <c r="D415" s="177" t="str">
        <f>_ENGINE_Risk!C913</f>
        <v>Quality Portfolio</v>
      </c>
      <c r="E415" s="177" t="str">
        <f>_ENGINE_Risk!D913</f>
        <v>Portfolio and change</v>
      </c>
      <c r="F415" s="177" t="str">
        <f>_ENGINE_Risk!F913</f>
        <v>Quality, portfolio and change execution risk</v>
      </c>
      <c r="G415" s="177" t="str">
        <f>_ENGINE_Risk!G913</f>
        <v>Severe risk: benefits realization tracking for resilience, digital and operational initiatives is not reliably controlled. During Execution failure; Delivery disruption; Decision failure, the organization may face poor quality control, failed change execution, unmanaged portfolio trade-offs and benefit erosion with limited visibility or accountability.</v>
      </c>
      <c r="H415" s="177" t="str">
        <f>_ENGINE_Risk!BT913</f>
        <v>CAP_DELIVERY_CONTINUITY</v>
      </c>
      <c r="I415" s="177" t="str">
        <f>_ENGINE_Risk!BV913</f>
        <v>BRG-073</v>
      </c>
      <c r="J415" s="177" t="str">
        <f>_ENGINE_Risk!CE913</f>
        <v>IW-ALL-DELIVERY_CONTINUITY</v>
      </c>
      <c r="K415" s="177" t="str">
        <f>_ENGINE_Risk!BY913</f>
        <v>TRT-DELIVERY_CONTINUITY-INITIAL</v>
      </c>
      <c r="L415" s="177" t="str">
        <f>_ENGINE_Risk!CP913</f>
        <v>Active</v>
      </c>
      <c r="M415" s="177" t="str">
        <f>_ENGINE_Risk!CQ913</f>
        <v>OK: capability-driven</v>
      </c>
      <c r="N415" s="177" t="str">
        <f>_ENGINE_Risk!CS913</f>
        <v>Yes</v>
      </c>
      <c r="O415" s="177" t="str">
        <f>_ENGINE_Risk!CO913</f>
        <v>Quality Portfolio|Portfolio and change|QUAL-013|CAP_DELIVERY_CONTINUITY</v>
      </c>
      <c r="P415" s="177" t="str">
        <f>_ENGINE_Risk!CR913</f>
        <v>Risk ontology uses capability=CAP_DELIVERY_CONTINUITY; bridge=BRG-073; treatment=TRT-DELIVERY_CONTINUITY-INITIAL; wording=IW-ALL-DELIVERY_CONTINUITY</v>
      </c>
    </row>
    <row r="416" spans="1:16" ht="99" customHeight="1">
      <c r="A416" s="177" t="str">
        <f>_ENGINE_Risk!CM914</f>
        <v>RISK-ONT-0415</v>
      </c>
      <c r="B416" s="177">
        <f>ROW(_ENGINE_Risk!A914)</f>
        <v>914</v>
      </c>
      <c r="C416" s="177" t="str">
        <f>_ENGINE_Risk!E914</f>
        <v>QUAL-014</v>
      </c>
      <c r="D416" s="177" t="str">
        <f>_ENGINE_Risk!C914</f>
        <v>Quality Portfolio</v>
      </c>
      <c r="E416" s="177" t="str">
        <f>_ENGINE_Risk!D914</f>
        <v>Portfolio and change</v>
      </c>
      <c r="F416" s="177" t="str">
        <f>_ENGINE_Risk!F914</f>
        <v>Quality, portfolio and change execution risk</v>
      </c>
      <c r="G416" s="177" t="str">
        <f>_ENGINE_Risk!G914</f>
        <v>Severe risk: change adoption management with communication, training, sponsor accountability and adoption metrics is not reliably controlled. During Execution failure; Delivery disruption; Decision failure, the organization may face poor quality control, failed change execution, unmanaged portfolio trade-offs and benefit erosion with limited visibility or accountability.</v>
      </c>
      <c r="H416" s="177" t="str">
        <f>_ENGINE_Risk!BT914</f>
        <v>CAP_DELIVERY_CONTINUITY</v>
      </c>
      <c r="I416" s="177" t="str">
        <f>_ENGINE_Risk!BV914</f>
        <v>BRG-073</v>
      </c>
      <c r="J416" s="177" t="str">
        <f>_ENGINE_Risk!CE914</f>
        <v>IW-ALL-DELIVERY_CONTINUITY</v>
      </c>
      <c r="K416" s="177" t="str">
        <f>_ENGINE_Risk!BY914</f>
        <v>TRT-DELIVERY_CONTINUITY-INITIAL</v>
      </c>
      <c r="L416" s="177" t="str">
        <f>_ENGINE_Risk!CP914</f>
        <v>Active</v>
      </c>
      <c r="M416" s="177" t="str">
        <f>_ENGINE_Risk!CQ914</f>
        <v>OK: capability-driven</v>
      </c>
      <c r="N416" s="177" t="str">
        <f>_ENGINE_Risk!CS914</f>
        <v>Yes</v>
      </c>
      <c r="O416" s="177" t="str">
        <f>_ENGINE_Risk!CO914</f>
        <v>Quality Portfolio|Portfolio and change|QUAL-014|CAP_DELIVERY_CONTINUITY</v>
      </c>
      <c r="P416" s="177" t="str">
        <f>_ENGINE_Risk!CR914</f>
        <v>Risk ontology uses capability=CAP_DELIVERY_CONTINUITY; bridge=BRG-073; treatment=TRT-DELIVERY_CONTINUITY-INITIAL; wording=IW-ALL-DELIVERY_CONTINUITY</v>
      </c>
    </row>
    <row r="417" spans="1:16" ht="99" customHeight="1">
      <c r="A417" s="177" t="str">
        <f>_ENGINE_Risk!CM915</f>
        <v>RISK-ONT-0416</v>
      </c>
      <c r="B417" s="177">
        <f>ROW(_ENGINE_Risk!A915)</f>
        <v>915</v>
      </c>
      <c r="C417" s="177" t="str">
        <f>_ENGINE_Risk!E915</f>
        <v>QUAL-015</v>
      </c>
      <c r="D417" s="177" t="str">
        <f>_ENGINE_Risk!C915</f>
        <v>Quality Portfolio</v>
      </c>
      <c r="E417" s="177" t="str">
        <f>_ENGINE_Risk!D915</f>
        <v>Portfolio and change</v>
      </c>
      <c r="F417" s="177" t="str">
        <f>_ENGINE_Risk!F915</f>
        <v>Quality, portfolio and change execution risk</v>
      </c>
      <c r="G417" s="177" t="str">
        <f>_ENGINE_Risk!G915</f>
        <v>Severe risk: improvement backlog linked to incidents, audits, customer feedback, risk and strategy is not reliably controlled. During Execution failure; Delivery disruption; Decision failure, the organization may face poor quality control, failed change execution, unmanaged portfolio trade-offs and benefit erosion with limited visibility or accountability.</v>
      </c>
      <c r="H417" s="177" t="str">
        <f>_ENGINE_Risk!BT915</f>
        <v>CAP_DELIVERY_CONTINUITY</v>
      </c>
      <c r="I417" s="177" t="str">
        <f>_ENGINE_Risk!BV915</f>
        <v>BRG-073</v>
      </c>
      <c r="J417" s="177" t="str">
        <f>_ENGINE_Risk!CE915</f>
        <v>IW-ALL-DELIVERY_CONTINUITY</v>
      </c>
      <c r="K417" s="177" t="str">
        <f>_ENGINE_Risk!BY915</f>
        <v>TRT-DELIVERY_CONTINUITY-INITIAL</v>
      </c>
      <c r="L417" s="177" t="str">
        <f>_ENGINE_Risk!CP915</f>
        <v>Active</v>
      </c>
      <c r="M417" s="177" t="str">
        <f>_ENGINE_Risk!CQ915</f>
        <v>OK: capability-driven</v>
      </c>
      <c r="N417" s="177" t="str">
        <f>_ENGINE_Risk!CS915</f>
        <v>Yes</v>
      </c>
      <c r="O417" s="177" t="str">
        <f>_ENGINE_Risk!CO915</f>
        <v>Quality Portfolio|Portfolio and change|QUAL-015|CAP_DELIVERY_CONTINUITY</v>
      </c>
      <c r="P417" s="177" t="str">
        <f>_ENGINE_Risk!CR915</f>
        <v>Risk ontology uses capability=CAP_DELIVERY_CONTINUITY; bridge=BRG-073; treatment=TRT-DELIVERY_CONTINUITY-INITIAL; wording=IW-ALL-DELIVERY_CONTINUITY</v>
      </c>
    </row>
    <row r="418" spans="1:16" ht="99" customHeight="1">
      <c r="A418" s="177" t="str">
        <f>_ENGINE_Risk!CM916</f>
        <v>RISK-ONT-0417</v>
      </c>
      <c r="B418" s="177">
        <f>ROW(_ENGINE_Risk!A916)</f>
        <v>916</v>
      </c>
      <c r="C418" s="177" t="str">
        <f>_ENGINE_Risk!E916</f>
        <v>QUAL-016</v>
      </c>
      <c r="D418" s="177" t="str">
        <f>_ENGINE_Risk!C916</f>
        <v>Quality Portfolio</v>
      </c>
      <c r="E418" s="177" t="str">
        <f>_ENGINE_Risk!D916</f>
        <v>Management system</v>
      </c>
      <c r="F418" s="177" t="str">
        <f>_ENGINE_Risk!F916</f>
        <v>Quality, portfolio and change execution risk</v>
      </c>
      <c r="G418" s="177" t="str">
        <f>_ENGINE_Risk!G916</f>
        <v>Severe risk: KPI hierarchy from strategy to functions, processes, teams and crisis readiness is not reliably controlled. During Execution failure; Delivery disruption; Decision failure, the organization may face poor quality control, failed change execution, unmanaged portfolio trade-offs and benefit erosion with limited visibility or accountability.</v>
      </c>
      <c r="H418" s="177" t="str">
        <f>_ENGINE_Risk!BT916</f>
        <v>CAP_BUSINESS_SYSTEMS</v>
      </c>
      <c r="I418" s="177" t="str">
        <f>_ENGINE_Risk!BV916</f>
        <v>BRG-072</v>
      </c>
      <c r="J418" s="177" t="str">
        <f>_ENGINE_Risk!CE916</f>
        <v>IW-ALL-BUSINESS_SYSTEMS</v>
      </c>
      <c r="K418" s="177" t="str">
        <f>_ENGINE_Risk!BY916</f>
        <v>TRT-BUSINESS_SYSTEMS-INITIAL</v>
      </c>
      <c r="L418" s="177" t="str">
        <f>_ENGINE_Risk!CP916</f>
        <v>Active</v>
      </c>
      <c r="M418" s="177" t="str">
        <f>_ENGINE_Risk!CQ916</f>
        <v>OK: capability-driven</v>
      </c>
      <c r="N418" s="177" t="str">
        <f>_ENGINE_Risk!CS916</f>
        <v>Yes</v>
      </c>
      <c r="O418" s="177" t="str">
        <f>_ENGINE_Risk!CO916</f>
        <v>Quality Portfolio|Management system|QUAL-016|CAP_BUSINESS_SYSTEMS</v>
      </c>
      <c r="P418" s="177" t="str">
        <f>_ENGINE_Risk!CR916</f>
        <v>Risk ontology uses capability=CAP_BUSINESS_SYSTEMS; bridge=BRG-072; treatment=TRT-BUSINESS_SYSTEMS-INITIAL; wording=IW-ALL-BUSINESS_SYSTEMS</v>
      </c>
    </row>
    <row r="419" spans="1:16" ht="99" customHeight="1">
      <c r="A419" s="177" t="str">
        <f>_ENGINE_Risk!CM917</f>
        <v>RISK-ONT-0418</v>
      </c>
      <c r="B419" s="177">
        <f>ROW(_ENGINE_Risk!A917)</f>
        <v>917</v>
      </c>
      <c r="C419" s="177" t="str">
        <f>_ENGINE_Risk!E917</f>
        <v>QUAL-017</v>
      </c>
      <c r="D419" s="177" t="str">
        <f>_ENGINE_Risk!C917</f>
        <v>Quality Portfolio</v>
      </c>
      <c r="E419" s="177" t="str">
        <f>_ENGINE_Risk!D917</f>
        <v>Management system</v>
      </c>
      <c r="F419" s="177" t="str">
        <f>_ENGINE_Risk!F917</f>
        <v>Quality, portfolio and change execution risk</v>
      </c>
      <c r="G419" s="177" t="str">
        <f>_ENGINE_Risk!G917</f>
        <v>Severe risk: management review of performance, risks, audit findings, incidents, customers and improvements is not reliably controlled. During Execution failure; Delivery disruption; Decision failure, the organization may face poor quality control, failed change execution, unmanaged portfolio trade-offs and benefit erosion with limited visibility or accountability.</v>
      </c>
      <c r="H419" s="177" t="str">
        <f>_ENGINE_Risk!BT917</f>
        <v>CAP_BUSINESS_SYSTEMS</v>
      </c>
      <c r="I419" s="177" t="str">
        <f>_ENGINE_Risk!BV917</f>
        <v>BRG-072</v>
      </c>
      <c r="J419" s="177" t="str">
        <f>_ENGINE_Risk!CE917</f>
        <v>IW-ALL-BUSINESS_SYSTEMS</v>
      </c>
      <c r="K419" s="177" t="str">
        <f>_ENGINE_Risk!BY917</f>
        <v>TRT-BUSINESS_SYSTEMS-INITIAL</v>
      </c>
      <c r="L419" s="177" t="str">
        <f>_ENGINE_Risk!CP917</f>
        <v>Active</v>
      </c>
      <c r="M419" s="177" t="str">
        <f>_ENGINE_Risk!CQ917</f>
        <v>OK: capability-driven</v>
      </c>
      <c r="N419" s="177" t="str">
        <f>_ENGINE_Risk!CS917</f>
        <v>Yes</v>
      </c>
      <c r="O419" s="177" t="str">
        <f>_ENGINE_Risk!CO917</f>
        <v>Quality Portfolio|Management system|QUAL-017|CAP_BUSINESS_SYSTEMS</v>
      </c>
      <c r="P419" s="177" t="str">
        <f>_ENGINE_Risk!CR917</f>
        <v>Risk ontology uses capability=CAP_BUSINESS_SYSTEMS; bridge=BRG-072; treatment=TRT-BUSINESS_SYSTEMS-INITIAL; wording=IW-ALL-BUSINESS_SYSTEMS</v>
      </c>
    </row>
    <row r="420" spans="1:16" ht="99" customHeight="1">
      <c r="A420" s="177" t="str">
        <f>_ENGINE_Risk!CM918</f>
        <v>RISK-ONT-0419</v>
      </c>
      <c r="B420" s="177">
        <f>ROW(_ENGINE_Risk!A918)</f>
        <v>918</v>
      </c>
      <c r="C420" s="177" t="str">
        <f>_ENGINE_Risk!E918</f>
        <v>QUAL-018</v>
      </c>
      <c r="D420" s="177" t="str">
        <f>_ENGINE_Risk!C918</f>
        <v>Quality Portfolio</v>
      </c>
      <c r="E420" s="177" t="str">
        <f>_ENGINE_Risk!D918</f>
        <v>Management system</v>
      </c>
      <c r="F420" s="177" t="str">
        <f>_ENGINE_Risk!F918</f>
        <v>Quality, portfolio and change execution risk</v>
      </c>
      <c r="G420" s="177" t="str">
        <f>_ENGINE_Risk!G918</f>
        <v>Severe risk: decision log for major decisions with alternatives, risks, assumptions, owners and follow-up is not reliably controlled. During Execution failure; Delivery disruption; Decision failure, the organization may face poor quality control, failed change execution, unmanaged portfolio trade-offs and benefit erosion with limited visibility or accountability.</v>
      </c>
      <c r="H420" s="177" t="str">
        <f>_ENGINE_Risk!BT918</f>
        <v>CAP_BUSINESS_SYSTEMS</v>
      </c>
      <c r="I420" s="177" t="str">
        <f>_ENGINE_Risk!BV918</f>
        <v>BRG-072</v>
      </c>
      <c r="J420" s="177" t="str">
        <f>_ENGINE_Risk!CE918</f>
        <v>IW-ALL-BUSINESS_SYSTEMS</v>
      </c>
      <c r="K420" s="177" t="str">
        <f>_ENGINE_Risk!BY918</f>
        <v>TRT-BUSINESS_SYSTEMS-INITIAL</v>
      </c>
      <c r="L420" s="177" t="str">
        <f>_ENGINE_Risk!CP918</f>
        <v>Active</v>
      </c>
      <c r="M420" s="177" t="str">
        <f>_ENGINE_Risk!CQ918</f>
        <v>OK: capability-driven</v>
      </c>
      <c r="N420" s="177" t="str">
        <f>_ENGINE_Risk!CS918</f>
        <v>Yes</v>
      </c>
      <c r="O420" s="177" t="str">
        <f>_ENGINE_Risk!CO918</f>
        <v>Quality Portfolio|Management system|QUAL-018|CAP_BUSINESS_SYSTEMS</v>
      </c>
      <c r="P420" s="177" t="str">
        <f>_ENGINE_Risk!CR918</f>
        <v>Risk ontology uses capability=CAP_BUSINESS_SYSTEMS; bridge=BRG-072; treatment=TRT-BUSINESS_SYSTEMS-INITIAL; wording=IW-ALL-BUSINESS_SYSTEMS</v>
      </c>
    </row>
    <row r="421" spans="1:16" ht="99" customHeight="1">
      <c r="A421" s="177" t="str">
        <f>_ENGINE_Risk!CM919</f>
        <v>RISK-ONT-0420</v>
      </c>
      <c r="B421" s="177">
        <f>ROW(_ENGINE_Risk!A919)</f>
        <v>919</v>
      </c>
      <c r="C421" s="177" t="str">
        <f>_ENGINE_Risk!E919</f>
        <v>QUAL-019</v>
      </c>
      <c r="D421" s="177" t="str">
        <f>_ENGINE_Risk!C919</f>
        <v>Quality Portfolio</v>
      </c>
      <c r="E421" s="177" t="str">
        <f>_ENGINE_Risk!D919</f>
        <v>Management system</v>
      </c>
      <c r="F421" s="177" t="str">
        <f>_ENGINE_Risk!F919</f>
        <v>Quality, portfolio and change execution risk</v>
      </c>
      <c r="G421" s="177" t="str">
        <f>_ENGINE_Risk!G919</f>
        <v>Severe risk: evidence readiness for audits, customers, insurers or regulators during crisis is not reliably controlled. During Execution failure; Delivery disruption; Decision failure, the organization may face poor quality control, failed change execution, unmanaged portfolio trade-offs and benefit erosion with limited visibility or accountability.</v>
      </c>
      <c r="H421" s="177" t="str">
        <f>_ENGINE_Risk!BT919</f>
        <v>CAP_BUSINESS_SYSTEMS</v>
      </c>
      <c r="I421" s="177" t="str">
        <f>_ENGINE_Risk!BV919</f>
        <v>BRG-072</v>
      </c>
      <c r="J421" s="177" t="str">
        <f>_ENGINE_Risk!CE919</f>
        <v>IW-ALL-BUSINESS_SYSTEMS</v>
      </c>
      <c r="K421" s="177" t="str">
        <f>_ENGINE_Risk!BY919</f>
        <v>TRT-BUSINESS_SYSTEMS-INITIAL</v>
      </c>
      <c r="L421" s="177" t="str">
        <f>_ENGINE_Risk!CP919</f>
        <v>Active</v>
      </c>
      <c r="M421" s="177" t="str">
        <f>_ENGINE_Risk!CQ919</f>
        <v>OK: capability-driven</v>
      </c>
      <c r="N421" s="177" t="str">
        <f>_ENGINE_Risk!CS919</f>
        <v>Yes</v>
      </c>
      <c r="O421" s="177" t="str">
        <f>_ENGINE_Risk!CO919</f>
        <v>Quality Portfolio|Management system|QUAL-019|CAP_BUSINESS_SYSTEMS</v>
      </c>
      <c r="P421" s="177" t="str">
        <f>_ENGINE_Risk!CR919</f>
        <v>Risk ontology uses capability=CAP_BUSINESS_SYSTEMS; bridge=BRG-072; treatment=TRT-BUSINESS_SYSTEMS-INITIAL; wording=IW-ALL-BUSINESS_SYSTEMS</v>
      </c>
    </row>
    <row r="422" spans="1:16" ht="113.15" customHeight="1">
      <c r="A422" s="177" t="str">
        <f>_ENGINE_Risk!CM920</f>
        <v>RISK-ONT-0421</v>
      </c>
      <c r="B422" s="177">
        <f>ROW(_ENGINE_Risk!A920)</f>
        <v>920</v>
      </c>
      <c r="C422" s="177" t="str">
        <f>_ENGINE_Risk!E920</f>
        <v>QUAL-021</v>
      </c>
      <c r="D422" s="177" t="str">
        <f>_ENGINE_Risk!C920</f>
        <v>Quality Portfolio</v>
      </c>
      <c r="E422" s="177" t="str">
        <f>_ENGINE_Risk!D920</f>
        <v>Portfolio and change</v>
      </c>
      <c r="F422" s="177" t="str">
        <f>_ENGINE_Risk!F920</f>
        <v>Portfolio governance and delivery capability</v>
      </c>
      <c r="G422" s="177" t="str">
        <f>_ENGINE_Risk!G920</f>
        <v>Severe risk: organizational project management alignment connecting strategy to portfolios, programs and projects with defined governance layers is not reliably controlled. During Financial/liquidity crisis; Demand shock, the organization may face initiatives disconnected from strategy, duplicated effort and value leakage across the portfolio with limited visibility or accountability.</v>
      </c>
      <c r="H422" s="177" t="str">
        <f>_ENGINE_Risk!BT920</f>
        <v>CAP_DELIVERY_CONTINUITY</v>
      </c>
      <c r="I422" s="177" t="str">
        <f>_ENGINE_Risk!BV920</f>
        <v>BRG-073</v>
      </c>
      <c r="J422" s="177" t="str">
        <f>_ENGINE_Risk!CE920</f>
        <v>IW-ALL-DELIVERY_CONTINUITY</v>
      </c>
      <c r="K422" s="177" t="str">
        <f>_ENGINE_Risk!BY920</f>
        <v>TRT-DELIVERY_CONTINUITY-INITIAL</v>
      </c>
      <c r="L422" s="177" t="str">
        <f>_ENGINE_Risk!CP920</f>
        <v>Active</v>
      </c>
      <c r="M422" s="177" t="str">
        <f>_ENGINE_Risk!CQ920</f>
        <v>OK: capability-driven</v>
      </c>
      <c r="N422" s="177" t="str">
        <f>_ENGINE_Risk!CS920</f>
        <v>Yes</v>
      </c>
      <c r="O422" s="177" t="str">
        <f>_ENGINE_Risk!CO920</f>
        <v>Quality Portfolio|Portfolio and change|QUAL-021|CAP_DELIVERY_CONTINUITY</v>
      </c>
      <c r="P422" s="177" t="str">
        <f>_ENGINE_Risk!CR920</f>
        <v>Risk ontology uses capability=CAP_DELIVERY_CONTINUITY; bridge=BRG-073; treatment=TRT-DELIVERY_CONTINUITY-INITIAL; wording=IW-ALL-DELIVERY_CONTINUITY</v>
      </c>
    </row>
    <row r="423" spans="1:16" ht="99" customHeight="1">
      <c r="A423" s="177" t="str">
        <f>_ENGINE_Risk!CM921</f>
        <v>RISK-ONT-0422</v>
      </c>
      <c r="B423" s="177">
        <f>ROW(_ENGINE_Risk!A921)</f>
        <v>921</v>
      </c>
      <c r="C423" s="177" t="str">
        <f>_ENGINE_Risk!E921</f>
        <v>QUAL-022</v>
      </c>
      <c r="D423" s="177" t="str">
        <f>_ENGINE_Risk!C921</f>
        <v>Quality Portfolio</v>
      </c>
      <c r="E423" s="177" t="str">
        <f>_ENGINE_Risk!D921</f>
        <v>Portfolio and change</v>
      </c>
      <c r="F423" s="177" t="str">
        <f>_ENGINE_Risk!F921</f>
        <v>Portfolio governance and delivery capability</v>
      </c>
      <c r="G423" s="177" t="str">
        <f>_ENGINE_Risk!G921</f>
        <v>Severe risk: standardized and tailored project delivery methodology with knowledge transfer between initiatives is not reliably controlled. During Demand shock; Workforce disruption, the organization may face every project reinventing its approach, repeated mistakes and unpredictable delivery quality with limited visibility or accountability.</v>
      </c>
      <c r="H423" s="177" t="str">
        <f>_ENGINE_Risk!BT921</f>
        <v>CAP_DELIVERY_CONTINUITY</v>
      </c>
      <c r="I423" s="177" t="str">
        <f>_ENGINE_Risk!BV921</f>
        <v>BRG-073</v>
      </c>
      <c r="J423" s="177" t="str">
        <f>_ENGINE_Risk!CE921</f>
        <v>IW-ALL-DELIVERY_CONTINUITY</v>
      </c>
      <c r="K423" s="177" t="str">
        <f>_ENGINE_Risk!BY921</f>
        <v>TRT-DELIVERY_CONTINUITY-INITIAL</v>
      </c>
      <c r="L423" s="177" t="str">
        <f>_ENGINE_Risk!CP921</f>
        <v>Active</v>
      </c>
      <c r="M423" s="177" t="str">
        <f>_ENGINE_Risk!CQ921</f>
        <v>OK: capability-driven</v>
      </c>
      <c r="N423" s="177" t="str">
        <f>_ENGINE_Risk!CS921</f>
        <v>Yes</v>
      </c>
      <c r="O423" s="177" t="str">
        <f>_ENGINE_Risk!CO921</f>
        <v>Quality Portfolio|Portfolio and change|QUAL-022|CAP_DELIVERY_CONTINUITY</v>
      </c>
      <c r="P423" s="177" t="str">
        <f>_ENGINE_Risk!CR921</f>
        <v>Risk ontology uses capability=CAP_DELIVERY_CONTINUITY; bridge=BRG-073; treatment=TRT-DELIVERY_CONTINUITY-INITIAL; wording=IW-ALL-DELIVERY_CONTINUITY</v>
      </c>
    </row>
    <row r="424" spans="1:16" ht="99" customHeight="1">
      <c r="A424" s="177" t="str">
        <f>_ENGINE_Risk!CM922</f>
        <v>RISK-ONT-0423</v>
      </c>
      <c r="B424" s="177">
        <f>ROW(_ENGINE_Risk!A922)</f>
        <v>922</v>
      </c>
      <c r="C424" s="177" t="str">
        <f>_ENGINE_Risk!E922</f>
        <v>QUAL-023</v>
      </c>
      <c r="D424" s="177" t="str">
        <f>_ENGINE_Risk!C922</f>
        <v>Quality Portfolio</v>
      </c>
      <c r="E424" s="177" t="str">
        <f>_ENGINE_Risk!D922</f>
        <v>Portfolio and change</v>
      </c>
      <c r="F424" s="177" t="str">
        <f>_ENGINE_Risk!F922</f>
        <v>Portfolio governance and delivery capability</v>
      </c>
      <c r="G424" s="177" t="str">
        <f>_ENGINE_Risk!G922</f>
        <v>Severe risk: project and change management competency development with a visible resource pool and capacity view is not reliably controlled. During Workforce disruption; Demand shock, the organization may face initiative overload on few skilled people, delivery bottlenecks and burnout of change leaders with limited visibility or accountability.</v>
      </c>
      <c r="H424" s="177" t="str">
        <f>_ENGINE_Risk!BT922</f>
        <v>CAP_DELIVERY_CONTINUITY</v>
      </c>
      <c r="I424" s="177" t="str">
        <f>_ENGINE_Risk!BV922</f>
        <v>BRG-073</v>
      </c>
      <c r="J424" s="177" t="str">
        <f>_ENGINE_Risk!CE922</f>
        <v>IW-ALL-DELIVERY_CONTINUITY</v>
      </c>
      <c r="K424" s="177" t="str">
        <f>_ENGINE_Risk!BY922</f>
        <v>TRT-DELIVERY_CONTINUITY-INITIAL</v>
      </c>
      <c r="L424" s="177" t="str">
        <f>_ENGINE_Risk!CP922</f>
        <v>Active</v>
      </c>
      <c r="M424" s="177" t="str">
        <f>_ENGINE_Risk!CQ922</f>
        <v>OK: capability-driven</v>
      </c>
      <c r="N424" s="177" t="str">
        <f>_ENGINE_Risk!CS922</f>
        <v>Yes</v>
      </c>
      <c r="O424" s="177" t="str">
        <f>_ENGINE_Risk!CO922</f>
        <v>Quality Portfolio|Portfolio and change|QUAL-023|CAP_DELIVERY_CONTINUITY</v>
      </c>
      <c r="P424" s="177" t="str">
        <f>_ENGINE_Risk!CR922</f>
        <v>Risk ontology uses capability=CAP_DELIVERY_CONTINUITY; bridge=BRG-073; treatment=TRT-DELIVERY_CONTINUITY-INITIAL; wording=IW-ALL-DELIVERY_CONTINUITY</v>
      </c>
    </row>
    <row r="425" spans="1:16" ht="99" customHeight="1">
      <c r="A425" s="177" t="str">
        <f>_ENGINE_Risk!CM923</f>
        <v>RISK-ONT-0424</v>
      </c>
      <c r="B425" s="177">
        <f>ROW(_ENGINE_Risk!A923)</f>
        <v>923</v>
      </c>
      <c r="C425" s="177" t="str">
        <f>_ENGINE_Risk!E923</f>
        <v>QUAL-024</v>
      </c>
      <c r="D425" s="177" t="str">
        <f>_ENGINE_Risk!C923</f>
        <v>Quality Portfolio</v>
      </c>
      <c r="E425" s="177" t="str">
        <f>_ENGINE_Risk!D923</f>
        <v>Portfolio and change</v>
      </c>
      <c r="F425" s="177" t="str">
        <f>_ENGINE_Risk!F923</f>
        <v>Portfolio governance and delivery capability</v>
      </c>
      <c r="G425" s="177" t="str">
        <f>_ENGINE_Risk!G923</f>
        <v>Severe risk: innovation and idea pipeline capturing, evaluating and funding employee and customer-driven improvements is not reliably controlled. During Demand shock; Reputation crisis, the organization may face missed improvement potential, a reactive-only change agenda and weak adaptation capacity with limited visibility or accountability.</v>
      </c>
      <c r="H425" s="177" t="str">
        <f>_ENGINE_Risk!BT923</f>
        <v>CAP_DELIVERY_CONTINUITY</v>
      </c>
      <c r="I425" s="177" t="str">
        <f>_ENGINE_Risk!BV923</f>
        <v>BRG-073</v>
      </c>
      <c r="J425" s="177" t="str">
        <f>_ENGINE_Risk!CE923</f>
        <v>IW-ALL-DELIVERY_CONTINUITY</v>
      </c>
      <c r="K425" s="177" t="str">
        <f>_ENGINE_Risk!BY923</f>
        <v>TRT-DELIVERY_CONTINUITY-INITIAL</v>
      </c>
      <c r="L425" s="177" t="str">
        <f>_ENGINE_Risk!CP923</f>
        <v>Active</v>
      </c>
      <c r="M425" s="177" t="str">
        <f>_ENGINE_Risk!CQ923</f>
        <v>OK: capability-driven</v>
      </c>
      <c r="N425" s="177" t="str">
        <f>_ENGINE_Risk!CS923</f>
        <v>Yes</v>
      </c>
      <c r="O425" s="177" t="str">
        <f>_ENGINE_Risk!CO923</f>
        <v>Quality Portfolio|Portfolio and change|QUAL-024|CAP_DELIVERY_CONTINUITY</v>
      </c>
      <c r="P425" s="177" t="str">
        <f>_ENGINE_Risk!CR923</f>
        <v>Risk ontology uses capability=CAP_DELIVERY_CONTINUITY; bridge=BRG-073; treatment=TRT-DELIVERY_CONTINUITY-INITIAL; wording=IW-ALL-DELIVERY_CONTINUITY</v>
      </c>
    </row>
  </sheetData>
  <autoFilter ref="A1:P425" xr:uid="{00000000-0009-0000-0000-000021000000}"/>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O73"/>
  <sheetViews>
    <sheetView workbookViewId="0">
      <pane ySplit="1" topLeftCell="A2" activePane="bottomLeft" state="frozen"/>
      <selection pane="bottomLeft"/>
    </sheetView>
  </sheetViews>
  <sheetFormatPr defaultRowHeight="14.15"/>
  <cols>
    <col min="1" max="1" width="24" customWidth="1"/>
    <col min="2" max="2" width="16" customWidth="1"/>
    <col min="3" max="3" width="18" customWidth="1"/>
    <col min="4" max="4" width="24" customWidth="1"/>
    <col min="5" max="5" width="18" customWidth="1"/>
    <col min="6" max="6" width="40" customWidth="1"/>
    <col min="7" max="7" width="24" customWidth="1"/>
    <col min="8" max="10" width="20" customWidth="1"/>
    <col min="11" max="11" width="16" customWidth="1"/>
    <col min="12" max="12" width="28" customWidth="1"/>
    <col min="13" max="13" width="12" customWidth="1"/>
    <col min="14" max="14" width="44" customWidth="1"/>
    <col min="15" max="15" width="60" customWidth="1"/>
  </cols>
  <sheetData>
    <row r="1" spans="1:15" ht="28.3" customHeight="1">
      <c r="A1" s="181" t="s">
        <v>15688</v>
      </c>
      <c r="B1" s="181" t="s">
        <v>13336</v>
      </c>
      <c r="C1" s="181" t="s">
        <v>764</v>
      </c>
      <c r="D1" s="181" t="s">
        <v>768</v>
      </c>
      <c r="E1" s="181" t="s">
        <v>15689</v>
      </c>
      <c r="F1" s="181" t="s">
        <v>15690</v>
      </c>
      <c r="G1" s="181" t="s">
        <v>13334</v>
      </c>
      <c r="H1" s="181" t="s">
        <v>15683</v>
      </c>
      <c r="I1" s="181" t="s">
        <v>14434</v>
      </c>
      <c r="J1" s="181" t="s">
        <v>15261</v>
      </c>
      <c r="K1" s="181" t="s">
        <v>15685</v>
      </c>
      <c r="L1" s="181" t="s">
        <v>15686</v>
      </c>
      <c r="M1" s="181" t="s">
        <v>11627</v>
      </c>
      <c r="N1" s="181" t="s">
        <v>15687</v>
      </c>
      <c r="O1" s="181" t="s">
        <v>3897</v>
      </c>
    </row>
    <row r="2" spans="1:15" ht="28.3" customHeight="1">
      <c r="A2" s="177" t="str">
        <f>_ENGINE_Initiatives!CR5</f>
        <v>INIT-ONT-0001</v>
      </c>
      <c r="B2" s="177" t="str">
        <f>_ENGINE_Initiatives!A5</f>
        <v>INI-001</v>
      </c>
      <c r="C2" s="177" t="str">
        <f>_ENGINE_Initiatives!B5</f>
        <v>Company Geography</v>
      </c>
      <c r="D2" s="177" t="str">
        <f>_ENGINE_Initiatives!C5</f>
        <v>Company profile</v>
      </c>
      <c r="E2" s="177" t="str">
        <f>_ENGINE_Initiatives!E5</f>
        <v>STR-02</v>
      </c>
      <c r="F2" s="177" t="str">
        <f>_ENGINE_Initiatives!F5</f>
        <v>Create company context, entity and operating model register</v>
      </c>
      <c r="G2" s="177" t="str">
        <f>_ENGINE_Initiatives!BZ5</f>
        <v>CAP_VENDOR_CONCENTRATION</v>
      </c>
      <c r="H2" s="177" t="str">
        <f>_ENGINE_Initiatives!CB5</f>
        <v>BRG-008</v>
      </c>
      <c r="I2" s="177" t="str">
        <f>_ENGINE_Initiatives!CE5</f>
        <v>TRT-VENDOR_CONCENTRATION-INITIAL</v>
      </c>
      <c r="J2" s="177" t="str">
        <f>_ENGINE_Initiatives!CK5</f>
        <v>IW-ALL-VENDOR_CONCENTRATION</v>
      </c>
      <c r="K2" s="177" t="str">
        <f>_ENGINE_Initiatives!CV5</f>
        <v>Active</v>
      </c>
      <c r="L2" s="177" t="str">
        <f>_ENGINE_Initiatives!CW5</f>
        <v>OK: capability-driven</v>
      </c>
      <c r="M2" s="177" t="str">
        <f>IF(_ENGINE_Initiatives!CV5="Active","Yes","No")</f>
        <v>Yes</v>
      </c>
      <c r="N2" s="177" t="str">
        <f>_ENGINE_Initiatives!CU5</f>
        <v>INI-001|Company Geography|Company profile|CAP_VENDOR_CONCENTRATION</v>
      </c>
      <c r="O2" s="177" t="str">
        <f>_ENGINE_Initiatives!CX5</f>
        <v>Initiative ontology uses capability=CAP_VENDOR_CONCENTRATION; bridge=BRG-008; treatment=TRT-VENDOR_CONCENTRATION-INITIAL; wording=IW-ALL-VENDOR_CONCENTRATION</v>
      </c>
    </row>
    <row r="3" spans="1:15" ht="28.3" customHeight="1">
      <c r="A3" s="177" t="str">
        <f>_ENGINE_Initiatives!CR6</f>
        <v>INIT-ONT-0002</v>
      </c>
      <c r="B3" s="177" t="str">
        <f>_ENGINE_Initiatives!A6</f>
        <v>INI-002</v>
      </c>
      <c r="C3" s="177" t="str">
        <f>_ENGINE_Initiatives!B6</f>
        <v>Company Geography</v>
      </c>
      <c r="D3" s="177" t="str">
        <f>_ENGINE_Initiatives!C6</f>
        <v>Geographical distribution</v>
      </c>
      <c r="E3" s="177" t="str">
        <f>_ENGINE_Initiatives!E6</f>
        <v>STR-02</v>
      </c>
      <c r="F3" s="177" t="str">
        <f>_ENGINE_Initiatives!F6</f>
        <v>Build geographic exposure and site continuity model</v>
      </c>
      <c r="G3" s="177" t="str">
        <f>_ENGINE_Initiatives!BZ6</f>
        <v>CAP_REMOTE_WORK</v>
      </c>
      <c r="H3" s="177" t="str">
        <f>_ENGINE_Initiatives!CB6</f>
        <v>BRG-010</v>
      </c>
      <c r="I3" s="177" t="str">
        <f>_ENGINE_Initiatives!CE6</f>
        <v>TRT-REMOTE_WORK-INITIAL</v>
      </c>
      <c r="J3" s="177" t="str">
        <f>_ENGINE_Initiatives!CK6</f>
        <v>IW-ALL-REMOTE_WORK</v>
      </c>
      <c r="K3" s="177" t="str">
        <f>_ENGINE_Initiatives!CV6</f>
        <v>Active</v>
      </c>
      <c r="L3" s="177" t="str">
        <f>_ENGINE_Initiatives!CW6</f>
        <v>OK: capability-driven</v>
      </c>
      <c r="M3" s="177" t="str">
        <f>IF(_ENGINE_Initiatives!CV6="Active","Yes","No")</f>
        <v>Yes</v>
      </c>
      <c r="N3" s="177" t="str">
        <f>_ENGINE_Initiatives!CU6</f>
        <v>INI-002|Company Geography|Geographical distribution|CAP_REMOTE_WORK</v>
      </c>
      <c r="O3" s="177" t="str">
        <f>_ENGINE_Initiatives!CX6</f>
        <v>Initiative ontology uses capability=CAP_REMOTE_WORK; bridge=BRG-010; treatment=TRT-REMOTE_WORK-INITIAL; wording=IW-ALL-REMOTE_WORK</v>
      </c>
    </row>
    <row r="4" spans="1:15" ht="28.3" customHeight="1">
      <c r="A4" s="177" t="str">
        <f>_ENGINE_Initiatives!CR7</f>
        <v>INIT-ONT-0003</v>
      </c>
      <c r="B4" s="177" t="str">
        <f>_ENGINE_Initiatives!A7</f>
        <v>INI-003</v>
      </c>
      <c r="C4" s="177" t="str">
        <f>_ENGINE_Initiatives!B7</f>
        <v>Company Geography</v>
      </c>
      <c r="D4" s="177" t="str">
        <f>_ENGINE_Initiatives!C7</f>
        <v>Context and dependencies</v>
      </c>
      <c r="E4" s="177" t="str">
        <f>_ENGINE_Initiatives!E7</f>
        <v>STR-02</v>
      </c>
      <c r="F4" s="177" t="str">
        <f>_ENGINE_Initiatives!F7</f>
        <v>Map critical business dependencies and external exposures</v>
      </c>
      <c r="G4" s="177" t="str">
        <f>_ENGINE_Initiatives!BZ7</f>
        <v>CAP_VENDOR_CONCENTRATION</v>
      </c>
      <c r="H4" s="177" t="str">
        <f>_ENGINE_Initiatives!CB7</f>
        <v>BRG-009</v>
      </c>
      <c r="I4" s="177" t="str">
        <f>_ENGINE_Initiatives!CE7</f>
        <v>TRT-VENDOR_CONCENTRATION-INITIAL</v>
      </c>
      <c r="J4" s="177" t="str">
        <f>_ENGINE_Initiatives!CK7</f>
        <v>IW-ALL-VENDOR_CONCENTRATION</v>
      </c>
      <c r="K4" s="177" t="str">
        <f>_ENGINE_Initiatives!CV7</f>
        <v>Active</v>
      </c>
      <c r="L4" s="177" t="str">
        <f>_ENGINE_Initiatives!CW7</f>
        <v>OK: capability-driven</v>
      </c>
      <c r="M4" s="177" t="str">
        <f>IF(_ENGINE_Initiatives!CV7="Active","Yes","No")</f>
        <v>Yes</v>
      </c>
      <c r="N4" s="177" t="str">
        <f>_ENGINE_Initiatives!CU7</f>
        <v>INI-003|Company Geography|Context and dependencies|CAP_VENDOR_CONCENTRATION</v>
      </c>
      <c r="O4" s="177" t="str">
        <f>_ENGINE_Initiatives!CX7</f>
        <v>Initiative ontology uses capability=CAP_VENDOR_CONCENTRATION; bridge=BRG-009; treatment=TRT-VENDOR_CONCENTRATION-INITIAL; wording=IW-ALL-VENDOR_CONCENTRATION</v>
      </c>
    </row>
    <row r="5" spans="1:15" ht="28.3" customHeight="1">
      <c r="A5" s="177" t="str">
        <f>_ENGINE_Initiatives!CR8</f>
        <v>INIT-ONT-0004</v>
      </c>
      <c r="B5" s="177" t="str">
        <f>_ENGINE_Initiatives!A8</f>
        <v>INI-004</v>
      </c>
      <c r="C5" s="177" t="str">
        <f>_ENGINE_Initiatives!B8</f>
        <v>Strategy GTM</v>
      </c>
      <c r="D5" s="177" t="str">
        <f>_ENGINE_Initiatives!C8</f>
        <v>Corporate strategy</v>
      </c>
      <c r="E5" s="177" t="str">
        <f>_ENGINE_Initiatives!E8</f>
        <v>STR-14</v>
      </c>
      <c r="F5" s="177" t="str">
        <f>_ENGINE_Initiatives!F8</f>
        <v>Stress-test corporate strategy and decision assumptions</v>
      </c>
      <c r="G5" s="177" t="str">
        <f>_ENGINE_Initiatives!BZ8</f>
        <v>CAP_BACKUP_RECOVERY</v>
      </c>
      <c r="H5" s="177" t="str">
        <f>_ENGINE_Initiatives!CB8</f>
        <v>BRG-083</v>
      </c>
      <c r="I5" s="177" t="str">
        <f>_ENGINE_Initiatives!CE8</f>
        <v>TRT-BACKUP_RECOVERY-INITIAL</v>
      </c>
      <c r="J5" s="177" t="str">
        <f>_ENGINE_Initiatives!CK8</f>
        <v>IW-ALL-BACKUP_RECOVERY</v>
      </c>
      <c r="K5" s="177" t="str">
        <f>_ENGINE_Initiatives!CV8</f>
        <v>Active</v>
      </c>
      <c r="L5" s="177" t="str">
        <f>_ENGINE_Initiatives!CW8</f>
        <v>OK: capability-driven</v>
      </c>
      <c r="M5" s="177" t="str">
        <f>IF(_ENGINE_Initiatives!CV8="Active","Yes","No")</f>
        <v>Yes</v>
      </c>
      <c r="N5" s="177" t="str">
        <f>_ENGINE_Initiatives!CU8</f>
        <v>INI-004|Strategy GTM|Corporate strategy|CAP_BACKUP_RECOVERY</v>
      </c>
      <c r="O5" s="177" t="str">
        <f>_ENGINE_Initiatives!CX8</f>
        <v>Initiative ontology uses capability=CAP_BACKUP_RECOVERY; bridge=BRG-083; treatment=TRT-BACKUP_RECOVERY-INITIAL; wording=IW-ALL-BACKUP_RECOVERY</v>
      </c>
    </row>
    <row r="6" spans="1:15" ht="28.3" customHeight="1">
      <c r="A6" s="177" t="str">
        <f>_ENGINE_Initiatives!CR9</f>
        <v>INIT-ONT-0005</v>
      </c>
      <c r="B6" s="177" t="str">
        <f>_ENGINE_Initiatives!A9</f>
        <v>INI-005</v>
      </c>
      <c r="C6" s="177" t="str">
        <f>_ENGINE_Initiatives!B9</f>
        <v>Strategy GTM</v>
      </c>
      <c r="D6" s="177" t="str">
        <f>_ENGINE_Initiatives!C9</f>
        <v>Market and ICP</v>
      </c>
      <c r="E6" s="177" t="str">
        <f>_ENGINE_Initiatives!E9</f>
        <v>STR-11</v>
      </c>
      <c r="F6" s="177" t="str">
        <f>_ENGINE_Initiatives!F9</f>
        <v>Define crisis-adjusted ICP, market segments and demand exposure</v>
      </c>
      <c r="G6" s="177" t="str">
        <f>_ENGINE_Initiatives!BZ9</f>
        <v>CAP_POS_ECOMMERCE</v>
      </c>
      <c r="H6" s="177" t="str">
        <f>_ENGINE_Initiatives!CB9</f>
        <v>BRG-086</v>
      </c>
      <c r="I6" s="177" t="str">
        <f>_ENGINE_Initiatives!CE9</f>
        <v>TRT-POS_ECOMMERCE-INITIAL</v>
      </c>
      <c r="J6" s="177" t="str">
        <f>_ENGINE_Initiatives!CK9</f>
        <v>IW-ALL-POS_ECOMMERCE</v>
      </c>
      <c r="K6" s="177" t="str">
        <f>_ENGINE_Initiatives!CV9</f>
        <v>Active</v>
      </c>
      <c r="L6" s="177" t="str">
        <f>_ENGINE_Initiatives!CW9</f>
        <v>OK: capability-driven</v>
      </c>
      <c r="M6" s="177" t="str">
        <f>IF(_ENGINE_Initiatives!CV9="Active","Yes","No")</f>
        <v>Yes</v>
      </c>
      <c r="N6" s="177" t="str">
        <f>_ENGINE_Initiatives!CU9</f>
        <v>INI-005|Strategy GTM|Market and ICP|CAP_POS_ECOMMERCE</v>
      </c>
      <c r="O6" s="177" t="str">
        <f>_ENGINE_Initiatives!CX9</f>
        <v>Initiative ontology uses capability=CAP_POS_ECOMMERCE; bridge=BRG-086; treatment=TRT-POS_ECOMMERCE-INITIAL; wording=IW-ALL-POS_ECOMMERCE</v>
      </c>
    </row>
    <row r="7" spans="1:15" ht="28.3" customHeight="1">
      <c r="A7" s="177" t="str">
        <f>_ENGINE_Initiatives!CR10</f>
        <v>INIT-ONT-0006</v>
      </c>
      <c r="B7" s="177" t="str">
        <f>_ENGINE_Initiatives!A10</f>
        <v>INI-006</v>
      </c>
      <c r="C7" s="177" t="str">
        <f>_ENGINE_Initiatives!B10</f>
        <v>Strategy GTM</v>
      </c>
      <c r="D7" s="177" t="str">
        <f>_ENGINE_Initiatives!C10</f>
        <v>Offering and positioning</v>
      </c>
      <c r="E7" s="177" t="str">
        <f>_ENGINE_Initiatives!E10</f>
        <v>STR-11</v>
      </c>
      <c r="F7" s="177" t="str">
        <f>_ENGINE_Initiatives!F10</f>
        <v>Standardize offering architecture and crisis-proof value proposition</v>
      </c>
      <c r="G7" s="177" t="str">
        <f>_ENGINE_Initiatives!BZ10</f>
        <v>CAP_POS_ECOMMERCE</v>
      </c>
      <c r="H7" s="177" t="str">
        <f>_ENGINE_Initiatives!CB10</f>
        <v>BRG-087</v>
      </c>
      <c r="I7" s="177" t="str">
        <f>_ENGINE_Initiatives!CE10</f>
        <v>TRT-POS_ECOMMERCE-INITIAL</v>
      </c>
      <c r="J7" s="177" t="str">
        <f>_ENGINE_Initiatives!CK10</f>
        <v>IW-ALL-POS_ECOMMERCE</v>
      </c>
      <c r="K7" s="177" t="str">
        <f>_ENGINE_Initiatives!CV10</f>
        <v>Active</v>
      </c>
      <c r="L7" s="177" t="str">
        <f>_ENGINE_Initiatives!CW10</f>
        <v>OK: capability-driven</v>
      </c>
      <c r="M7" s="177" t="str">
        <f>IF(_ENGINE_Initiatives!CV10="Active","Yes","No")</f>
        <v>Yes</v>
      </c>
      <c r="N7" s="177" t="str">
        <f>_ENGINE_Initiatives!CU10</f>
        <v>INI-006|Strategy GTM|Offering and positioning|CAP_POS_ECOMMERCE</v>
      </c>
      <c r="O7" s="177" t="str">
        <f>_ENGINE_Initiatives!CX10</f>
        <v>Initiative ontology uses capability=CAP_POS_ECOMMERCE; bridge=BRG-087; treatment=TRT-POS_ECOMMERCE-INITIAL; wording=IW-ALL-POS_ECOMMERCE</v>
      </c>
    </row>
    <row r="8" spans="1:15" ht="28.3" customHeight="1">
      <c r="A8" s="177" t="str">
        <f>_ENGINE_Initiatives!CR11</f>
        <v>INIT-ONT-0007</v>
      </c>
      <c r="B8" s="177" t="str">
        <f>_ENGINE_Initiatives!A11</f>
        <v>INI-007</v>
      </c>
      <c r="C8" s="177" t="str">
        <f>_ENGINE_Initiatives!B11</f>
        <v>Strategy GTM</v>
      </c>
      <c r="D8" s="177" t="str">
        <f>_ENGINE_Initiatives!C11</f>
        <v>GTM execution</v>
      </c>
      <c r="E8" s="177" t="str">
        <f>_ENGINE_Initiatives!E11</f>
        <v>STR-11</v>
      </c>
      <c r="F8" s="177" t="str">
        <f>_ENGINE_Initiatives!F11</f>
        <v>Build resilient GTM execution cadence and channel plan</v>
      </c>
      <c r="G8" s="177" t="str">
        <f>_ENGINE_Initiatives!BZ11</f>
        <v>CAP_POS_ECOMMERCE</v>
      </c>
      <c r="H8" s="177" t="str">
        <f>_ENGINE_Initiatives!CB11</f>
        <v>BRG-085</v>
      </c>
      <c r="I8" s="177" t="str">
        <f>_ENGINE_Initiatives!CE11</f>
        <v>TRT-POS_ECOMMERCE-INITIAL</v>
      </c>
      <c r="J8" s="177" t="str">
        <f>_ENGINE_Initiatives!CK11</f>
        <v>IW-ALL-POS_ECOMMERCE</v>
      </c>
      <c r="K8" s="177" t="str">
        <f>_ENGINE_Initiatives!CV11</f>
        <v>Active</v>
      </c>
      <c r="L8" s="177" t="str">
        <f>_ENGINE_Initiatives!CW11</f>
        <v>OK: capability-driven</v>
      </c>
      <c r="M8" s="177" t="str">
        <f>IF(_ENGINE_Initiatives!CV11="Active","Yes","No")</f>
        <v>Yes</v>
      </c>
      <c r="N8" s="177" t="str">
        <f>_ENGINE_Initiatives!CU11</f>
        <v>INI-007|Strategy GTM|GTM execution|CAP_POS_ECOMMERCE</v>
      </c>
      <c r="O8" s="177" t="str">
        <f>_ENGINE_Initiatives!CX11</f>
        <v>Initiative ontology uses capability=CAP_POS_ECOMMERCE; bridge=BRG-085; treatment=TRT-POS_ECOMMERCE-INITIAL; wording=IW-ALL-POS_ECOMMERCE</v>
      </c>
    </row>
    <row r="9" spans="1:15" ht="28.3" customHeight="1">
      <c r="A9" s="177" t="str">
        <f>_ENGINE_Initiatives!CR12</f>
        <v>INIT-ONT-0008</v>
      </c>
      <c r="B9" s="177" t="str">
        <f>_ENGINE_Initiatives!A12</f>
        <v>INI-008</v>
      </c>
      <c r="C9" s="177" t="str">
        <f>_ENGINE_Initiatives!B12</f>
        <v>Governance Crisis</v>
      </c>
      <c r="D9" s="177" t="str">
        <f>_ENGINE_Initiatives!C12</f>
        <v>Crisis governance</v>
      </c>
      <c r="E9" s="177" t="str">
        <f>_ENGINE_Initiatives!E12</f>
        <v>STR-14</v>
      </c>
      <c r="F9" s="177" t="str">
        <f>_ENGINE_Initiatives!F12</f>
        <v>Implement crisis governance, roles and escalation model</v>
      </c>
      <c r="G9" s="177" t="str">
        <f>_ENGINE_Initiatives!BZ12</f>
        <v>CAP_INCIDENT_RESPONSE</v>
      </c>
      <c r="H9" s="177" t="str">
        <f>_ENGINE_Initiatives!CB12</f>
        <v>BRG-035</v>
      </c>
      <c r="I9" s="177" t="str">
        <f>_ENGINE_Initiatives!CE12</f>
        <v>TRT-INCIDENT_RESPONSE-INITIAL</v>
      </c>
      <c r="J9" s="177" t="str">
        <f>_ENGINE_Initiatives!CK12</f>
        <v>IW-ALL-INCIDENT_RESPONSE</v>
      </c>
      <c r="K9" s="177" t="str">
        <f>_ENGINE_Initiatives!CV12</f>
        <v>Active</v>
      </c>
      <c r="L9" s="177" t="str">
        <f>_ENGINE_Initiatives!CW12</f>
        <v>OK: capability-driven</v>
      </c>
      <c r="M9" s="177" t="str">
        <f>IF(_ENGINE_Initiatives!CV12="Active","Yes","No")</f>
        <v>Yes</v>
      </c>
      <c r="N9" s="177" t="str">
        <f>_ENGINE_Initiatives!CU12</f>
        <v>INI-008|Governance Crisis|Crisis governance|CAP_INCIDENT_RESPONSE</v>
      </c>
      <c r="O9" s="177" t="str">
        <f>_ENGINE_Initiatives!CX12</f>
        <v>Initiative ontology uses capability=CAP_INCIDENT_RESPONSE; bridge=BRG-035; treatment=TRT-INCIDENT_RESPONSE-INITIAL; wording=IW-ALL-INCIDENT_RESPONSE</v>
      </c>
    </row>
    <row r="10" spans="1:15" ht="28.3" customHeight="1">
      <c r="A10" s="177" t="str">
        <f>_ENGINE_Initiatives!CR13</f>
        <v>INIT-ONT-0009</v>
      </c>
      <c r="B10" s="177" t="str">
        <f>_ENGINE_Initiatives!A13</f>
        <v>INI-009</v>
      </c>
      <c r="C10" s="177" t="str">
        <f>_ENGINE_Initiatives!B13</f>
        <v>Governance Crisis</v>
      </c>
      <c r="D10" s="177" t="str">
        <f>_ENGINE_Initiatives!C13</f>
        <v>Risk and continuity</v>
      </c>
      <c r="E10" s="177" t="str">
        <f>_ENGINE_Initiatives!E13</f>
        <v>STR-14</v>
      </c>
      <c r="F10" s="177" t="str">
        <f>_ENGINE_Initiatives!F13</f>
        <v>Build integrated risk, continuity and resilience control cycle</v>
      </c>
      <c r="G10" s="177" t="str">
        <f>_ENGINE_Initiatives!BZ13</f>
        <v>CAP_BACKUP_RECOVERY</v>
      </c>
      <c r="H10" s="177" t="str">
        <f>_ENGINE_Initiatives!CB13</f>
        <v>BRG-037</v>
      </c>
      <c r="I10" s="177" t="str">
        <f>_ENGINE_Initiatives!CE13</f>
        <v>TRT-BACKUP_RECOVERY-INITIAL</v>
      </c>
      <c r="J10" s="177" t="str">
        <f>_ENGINE_Initiatives!CK13</f>
        <v>IW-ALL-BACKUP_RECOVERY</v>
      </c>
      <c r="K10" s="177" t="str">
        <f>_ENGINE_Initiatives!CV13</f>
        <v>Active</v>
      </c>
      <c r="L10" s="177" t="str">
        <f>_ENGINE_Initiatives!CW13</f>
        <v>OK: capability-driven</v>
      </c>
      <c r="M10" s="177" t="str">
        <f>IF(_ENGINE_Initiatives!CV13="Active","Yes","No")</f>
        <v>Yes</v>
      </c>
      <c r="N10" s="177" t="str">
        <f>_ENGINE_Initiatives!CU13</f>
        <v>INI-009|Governance Crisis|Risk and continuity|CAP_BACKUP_RECOVERY</v>
      </c>
      <c r="O10" s="177" t="str">
        <f>_ENGINE_Initiatives!CX13</f>
        <v>Initiative ontology uses capability=CAP_BACKUP_RECOVERY; bridge=BRG-037; treatment=TRT-BACKUP_RECOVERY-INITIAL; wording=IW-ALL-BACKUP_RECOVERY</v>
      </c>
    </row>
    <row r="11" spans="1:15" ht="28.3" customHeight="1">
      <c r="A11" s="177" t="str">
        <f>_ENGINE_Initiatives!CR14</f>
        <v>INIT-ONT-0010</v>
      </c>
      <c r="B11" s="177" t="str">
        <f>_ENGINE_Initiatives!A14</f>
        <v>INI-010</v>
      </c>
      <c r="C11" s="177" t="str">
        <f>_ENGINE_Initiatives!B14</f>
        <v>Governance Crisis</v>
      </c>
      <c r="D11" s="177" t="str">
        <f>_ENGINE_Initiatives!C14</f>
        <v>Incident management</v>
      </c>
      <c r="E11" s="177" t="str">
        <f>_ENGINE_Initiatives!E14</f>
        <v>STR-14</v>
      </c>
      <c r="F11" s="177" t="str">
        <f>_ENGINE_Initiatives!F14</f>
        <v>Implement incident command, escalation and after-action review</v>
      </c>
      <c r="G11" s="177" t="str">
        <f>_ENGINE_Initiatives!BZ14</f>
        <v>CAP_INCIDENT_RESPONSE</v>
      </c>
      <c r="H11" s="177" t="str">
        <f>_ENGINE_Initiatives!CB14</f>
        <v>BRG-036</v>
      </c>
      <c r="I11" s="177" t="str">
        <f>_ENGINE_Initiatives!CE14</f>
        <v>TRT-INCIDENT_RESPONSE-INITIAL</v>
      </c>
      <c r="J11" s="177" t="str">
        <f>_ENGINE_Initiatives!CK14</f>
        <v>IW-ALL-INCIDENT_RESPONSE</v>
      </c>
      <c r="K11" s="177" t="str">
        <f>_ENGINE_Initiatives!CV14</f>
        <v>Active</v>
      </c>
      <c r="L11" s="177" t="str">
        <f>_ENGINE_Initiatives!CW14</f>
        <v>OK: capability-driven</v>
      </c>
      <c r="M11" s="177" t="str">
        <f>IF(_ENGINE_Initiatives!CV14="Active","Yes","No")</f>
        <v>Yes</v>
      </c>
      <c r="N11" s="177" t="str">
        <f>_ENGINE_Initiatives!CU14</f>
        <v>INI-010|Governance Crisis|Incident management|CAP_INCIDENT_RESPONSE</v>
      </c>
      <c r="O11" s="177" t="str">
        <f>_ENGINE_Initiatives!CX14</f>
        <v>Initiative ontology uses capability=CAP_INCIDENT_RESPONSE; bridge=BRG-036; treatment=TRT-INCIDENT_RESPONSE-INITIAL; wording=IW-ALL-INCIDENT_RESPONSE</v>
      </c>
    </row>
    <row r="12" spans="1:15" ht="28.3" customHeight="1">
      <c r="A12" s="177" t="str">
        <f>_ENGINE_Initiatives!CR15</f>
        <v>INIT-ONT-0011</v>
      </c>
      <c r="B12" s="177" t="str">
        <f>_ENGINE_Initiatives!A15</f>
        <v>INI-011</v>
      </c>
      <c r="C12" s="177" t="str">
        <f>_ENGINE_Initiatives!B15</f>
        <v>HR Workforce</v>
      </c>
      <c r="D12" s="177" t="str">
        <f>_ENGINE_Initiatives!C15</f>
        <v>Workforce visibility</v>
      </c>
      <c r="E12" s="177" t="str">
        <f>_ENGINE_Initiatives!E15</f>
        <v>STR-06</v>
      </c>
      <c r="F12" s="177" t="str">
        <f>_ENGINE_Initiatives!F15</f>
        <v>Create workforce visibility, critical-role and location dashboard</v>
      </c>
      <c r="G12" s="177" t="str">
        <f>_ENGINE_Initiatives!BZ15</f>
        <v>CAP_BACKUP_RECOVERY</v>
      </c>
      <c r="H12" s="177" t="str">
        <f>_ENGINE_Initiatives!CB15</f>
        <v>BRG-042</v>
      </c>
      <c r="I12" s="177" t="str">
        <f>_ENGINE_Initiatives!CE15</f>
        <v>TRT-BACKUP_RECOVERY-INITIAL</v>
      </c>
      <c r="J12" s="177" t="str">
        <f>_ENGINE_Initiatives!CK15</f>
        <v>IW-ALL-BACKUP_RECOVERY</v>
      </c>
      <c r="K12" s="177" t="str">
        <f>_ENGINE_Initiatives!CV15</f>
        <v>Active</v>
      </c>
      <c r="L12" s="177" t="str">
        <f>_ENGINE_Initiatives!CW15</f>
        <v>OK: capability-driven</v>
      </c>
      <c r="M12" s="177" t="str">
        <f>IF(_ENGINE_Initiatives!CV15="Active","Yes","No")</f>
        <v>Yes</v>
      </c>
      <c r="N12" s="177" t="str">
        <f>_ENGINE_Initiatives!CU15</f>
        <v>INI-011|HR Workforce|Workforce visibility|CAP_BACKUP_RECOVERY</v>
      </c>
      <c r="O12" s="177" t="str">
        <f>_ENGINE_Initiatives!CX15</f>
        <v>Initiative ontology uses capability=CAP_BACKUP_RECOVERY; bridge=BRG-042; treatment=TRT-BACKUP_RECOVERY-INITIAL; wording=IW-ALL-BACKUP_RECOVERY</v>
      </c>
    </row>
    <row r="13" spans="1:15" ht="28.3" customHeight="1">
      <c r="A13" s="177" t="str">
        <f>_ENGINE_Initiatives!CR16</f>
        <v>INIT-ONT-0012</v>
      </c>
      <c r="B13" s="177" t="str">
        <f>_ENGINE_Initiatives!A16</f>
        <v>INI-012</v>
      </c>
      <c r="C13" s="177" t="str">
        <f>_ENGINE_Initiatives!B16</f>
        <v>HR Workforce</v>
      </c>
      <c r="D13" s="177" t="str">
        <f>_ENGINE_Initiatives!C16</f>
        <v>Recruitment and retention</v>
      </c>
      <c r="E13" s="177" t="str">
        <f>_ENGINE_Initiatives!E16</f>
        <v>STR-06</v>
      </c>
      <c r="F13" s="177" t="str">
        <f>_ENGINE_Initiatives!F16</f>
        <v>Build recruitment, retention and succession resilience plan</v>
      </c>
      <c r="G13" s="177" t="str">
        <f>_ENGINE_Initiatives!BZ16</f>
        <v>CAP_SRE_OBSERVABILITY</v>
      </c>
      <c r="H13" s="177" t="str">
        <f>_ENGINE_Initiatives!CB16</f>
        <v>BRG-041</v>
      </c>
      <c r="I13" s="177" t="str">
        <f>_ENGINE_Initiatives!CE16</f>
        <v>TRT-SRE_OBSERVABILITY-INITIAL</v>
      </c>
      <c r="J13" s="177" t="str">
        <f>_ENGINE_Initiatives!CK16</f>
        <v>IW-ALL-SRE_OBSERVABILITY</v>
      </c>
      <c r="K13" s="177" t="str">
        <f>_ENGINE_Initiatives!CV16</f>
        <v>Active</v>
      </c>
      <c r="L13" s="177" t="str">
        <f>_ENGINE_Initiatives!CW16</f>
        <v>OK: capability-driven</v>
      </c>
      <c r="M13" s="177" t="str">
        <f>IF(_ENGINE_Initiatives!CV16="Active","Yes","No")</f>
        <v>Yes</v>
      </c>
      <c r="N13" s="177" t="str">
        <f>_ENGINE_Initiatives!CU16</f>
        <v>INI-012|HR Workforce|Recruitment and retention|CAP_SRE_OBSERVABILITY</v>
      </c>
      <c r="O13" s="177" t="str">
        <f>_ENGINE_Initiatives!CX16</f>
        <v>Initiative ontology uses capability=CAP_SRE_OBSERVABILITY; bridge=BRG-041; treatment=TRT-SRE_OBSERVABILITY-INITIAL; wording=IW-ALL-SRE_OBSERVABILITY</v>
      </c>
    </row>
    <row r="14" spans="1:15" ht="28.3" customHeight="1">
      <c r="A14" s="177" t="str">
        <f>_ENGINE_Initiatives!CR17</f>
        <v>INIT-ONT-0013</v>
      </c>
      <c r="B14" s="177" t="str">
        <f>_ENGINE_Initiatives!A17</f>
        <v>INI-013</v>
      </c>
      <c r="C14" s="177" t="str">
        <f>_ENGINE_Initiatives!B17</f>
        <v>HR Workforce</v>
      </c>
      <c r="D14" s="177" t="str">
        <f>_ENGINE_Initiatives!C17</f>
        <v>Continuity and wellbeing</v>
      </c>
      <c r="E14" s="177" t="str">
        <f>_ENGINE_Initiatives!E17</f>
        <v>STR-06</v>
      </c>
      <c r="F14" s="177" t="str">
        <f>_ENGINE_Initiatives!F17</f>
        <v>Implement workforce continuity, wellbeing and availability playbook</v>
      </c>
      <c r="G14" s="177" t="str">
        <f>_ENGINE_Initiatives!BZ17</f>
        <v>CAP_BACKUP_RECOVERY</v>
      </c>
      <c r="H14" s="177" t="str">
        <f>_ENGINE_Initiatives!CB17</f>
        <v>BRG-039</v>
      </c>
      <c r="I14" s="177" t="str">
        <f>_ENGINE_Initiatives!CE17</f>
        <v>TRT-BACKUP_RECOVERY-INITIAL</v>
      </c>
      <c r="J14" s="177" t="str">
        <f>_ENGINE_Initiatives!CK17</f>
        <v>IW-ALL-BACKUP_RECOVERY</v>
      </c>
      <c r="K14" s="177" t="str">
        <f>_ENGINE_Initiatives!CV17</f>
        <v>Active</v>
      </c>
      <c r="L14" s="177" t="str">
        <f>_ENGINE_Initiatives!CW17</f>
        <v>OK: capability-driven</v>
      </c>
      <c r="M14" s="177" t="str">
        <f>IF(_ENGINE_Initiatives!CV17="Active","Yes","No")</f>
        <v>Yes</v>
      </c>
      <c r="N14" s="177" t="str">
        <f>_ENGINE_Initiatives!CU17</f>
        <v>INI-013|HR Workforce|Continuity and wellbeing|CAP_BACKUP_RECOVERY</v>
      </c>
      <c r="O14" s="177" t="str">
        <f>_ENGINE_Initiatives!CX17</f>
        <v>Initiative ontology uses capability=CAP_BACKUP_RECOVERY; bridge=BRG-039; treatment=TRT-BACKUP_RECOVERY-INITIAL; wording=IW-ALL-BACKUP_RECOVERY</v>
      </c>
    </row>
    <row r="15" spans="1:15" ht="28.3" customHeight="1">
      <c r="A15" s="177" t="str">
        <f>_ENGINE_Initiatives!CR18</f>
        <v>INIT-ONT-0014</v>
      </c>
      <c r="B15" s="177" t="str">
        <f>_ENGINE_Initiatives!A18</f>
        <v>INI-014</v>
      </c>
      <c r="C15" s="177" t="str">
        <f>_ENGINE_Initiatives!B18</f>
        <v>HR Workforce</v>
      </c>
      <c r="D15" s="177" t="str">
        <f>_ENGINE_Initiatives!C18</f>
        <v>HR systems and compliance</v>
      </c>
      <c r="E15" s="177" t="str">
        <f>_ENGINE_Initiatives!E18</f>
        <v>STR-06</v>
      </c>
      <c r="F15" s="177" t="str">
        <f>_ENGINE_Initiatives!F18</f>
        <v>Stabilize HRMS, workforce data and HR compliance controls</v>
      </c>
      <c r="G15" s="177" t="str">
        <f>_ENGINE_Initiatives!BZ18</f>
        <v>CAP_WORKFORCE_CONTINUITY</v>
      </c>
      <c r="H15" s="177" t="str">
        <f>_ENGINE_Initiatives!CB18</f>
        <v>BRG-040</v>
      </c>
      <c r="I15" s="177" t="str">
        <f>_ENGINE_Initiatives!CE18</f>
        <v>TRT-WORKFORCE_CONTINUITY-INITIAL</v>
      </c>
      <c r="J15" s="177" t="str">
        <f>_ENGINE_Initiatives!CK18</f>
        <v>IW-ALL-WORKFORCE_CONTINUITY</v>
      </c>
      <c r="K15" s="177" t="str">
        <f>_ENGINE_Initiatives!CV18</f>
        <v>Active</v>
      </c>
      <c r="L15" s="177" t="str">
        <f>_ENGINE_Initiatives!CW18</f>
        <v>OK: capability-driven</v>
      </c>
      <c r="M15" s="177" t="str">
        <f>IF(_ENGINE_Initiatives!CV18="Active","Yes","No")</f>
        <v>Yes</v>
      </c>
      <c r="N15" s="177" t="str">
        <f>_ENGINE_Initiatives!CU18</f>
        <v>INI-014|HR Workforce|HR systems and compliance|CAP_WORKFORCE_CONTINUITY</v>
      </c>
      <c r="O15" s="177" t="str">
        <f>_ENGINE_Initiatives!CX18</f>
        <v>Initiative ontology uses capability=CAP_WORKFORCE_CONTINUITY; bridge=BRG-040; treatment=TRT-WORKFORCE_CONTINUITY-INITIAL; wording=IW-ALL-WORKFORCE_CONTINUITY</v>
      </c>
    </row>
    <row r="16" spans="1:15" ht="28.3" customHeight="1">
      <c r="A16" s="177" t="str">
        <f>_ENGINE_Initiatives!CR19</f>
        <v>INIT-ONT-0015</v>
      </c>
      <c r="B16" s="177" t="str">
        <f>_ENGINE_Initiatives!A19</f>
        <v>INI-015</v>
      </c>
      <c r="C16" s="177" t="str">
        <f>_ENGINE_Initiatives!B19</f>
        <v>Finance Procurement</v>
      </c>
      <c r="D16" s="177" t="str">
        <f>_ENGINE_Initiatives!C19</f>
        <v>Financial resilience</v>
      </c>
      <c r="E16" s="177" t="str">
        <f>_ENGINE_Initiatives!E19</f>
        <v>STR-02</v>
      </c>
      <c r="F16" s="177" t="str">
        <f>_ENGINE_Initiatives!F19</f>
        <v>Implement cash-flow resilience and financial scenario planning</v>
      </c>
      <c r="G16" s="177" t="str">
        <f>_ENGINE_Initiatives!BZ19</f>
        <v>CAP_FRAUD_MONITORING</v>
      </c>
      <c r="H16" s="177" t="str">
        <f>_ENGINE_Initiatives!CB19</f>
        <v>BRG-031</v>
      </c>
      <c r="I16" s="177" t="str">
        <f>_ENGINE_Initiatives!CE19</f>
        <v>TRT-FRAUD_MONITORING-INITIAL</v>
      </c>
      <c r="J16" s="177" t="str">
        <f>_ENGINE_Initiatives!CK19</f>
        <v>IW-ALL-FRAUD_MONITORING</v>
      </c>
      <c r="K16" s="177" t="str">
        <f>_ENGINE_Initiatives!CV19</f>
        <v>Active</v>
      </c>
      <c r="L16" s="177" t="str">
        <f>_ENGINE_Initiatives!CW19</f>
        <v>OK: capability-driven</v>
      </c>
      <c r="M16" s="177" t="str">
        <f>IF(_ENGINE_Initiatives!CV19="Active","Yes","No")</f>
        <v>Yes</v>
      </c>
      <c r="N16" s="177" t="str">
        <f>_ENGINE_Initiatives!CU19</f>
        <v>INI-015|Finance Procurement|Financial resilience|CAP_FRAUD_MONITORING</v>
      </c>
      <c r="O16" s="177" t="str">
        <f>_ENGINE_Initiatives!CX19</f>
        <v>Initiative ontology uses capability=CAP_FRAUD_MONITORING; bridge=BRG-031; treatment=TRT-FRAUD_MONITORING-INITIAL; wording=IW-ALL-FRAUD_MONITORING</v>
      </c>
    </row>
    <row r="17" spans="1:15" ht="28.3" customHeight="1">
      <c r="A17" s="177" t="str">
        <f>_ENGINE_Initiatives!CR20</f>
        <v>INIT-ONT-0016</v>
      </c>
      <c r="B17" s="177" t="str">
        <f>_ENGINE_Initiatives!A20</f>
        <v>INI-016</v>
      </c>
      <c r="C17" s="177" t="str">
        <f>_ENGINE_Initiatives!B20</f>
        <v>Finance Procurement</v>
      </c>
      <c r="D17" s="177" t="str">
        <f>_ENGINE_Initiatives!C20</f>
        <v>Controls and accounting</v>
      </c>
      <c r="E17" s="177" t="str">
        <f>_ENGINE_Initiatives!E20</f>
        <v>STR-13</v>
      </c>
      <c r="F17" s="177" t="str">
        <f>_ENGINE_Initiatives!F20</f>
        <v>Strengthen financial controls, approvals and accounting continuity</v>
      </c>
      <c r="G17" s="177" t="str">
        <f>_ENGINE_Initiatives!BZ20</f>
        <v>CAP_PAYMENT_CONTINUITY</v>
      </c>
      <c r="H17" s="177" t="str">
        <f>_ENGINE_Initiatives!CB20</f>
        <v>BRG-030</v>
      </c>
      <c r="I17" s="177" t="str">
        <f>_ENGINE_Initiatives!CE20</f>
        <v>TRT-PAYMENT_CONTINUITY-INITIAL</v>
      </c>
      <c r="J17" s="177" t="str">
        <f>_ENGINE_Initiatives!CK20</f>
        <v>IW-ALL-PAYMENT_CONTINUITY</v>
      </c>
      <c r="K17" s="177" t="str">
        <f>_ENGINE_Initiatives!CV20</f>
        <v>Active</v>
      </c>
      <c r="L17" s="177" t="str">
        <f>_ENGINE_Initiatives!CW20</f>
        <v>OK: capability-driven</v>
      </c>
      <c r="M17" s="177" t="str">
        <f>IF(_ENGINE_Initiatives!CV20="Active","Yes","No")</f>
        <v>Yes</v>
      </c>
      <c r="N17" s="177" t="str">
        <f>_ENGINE_Initiatives!CU20</f>
        <v>INI-016|Finance Procurement|Controls and accounting|CAP_PAYMENT_CONTINUITY</v>
      </c>
      <c r="O17" s="177" t="str">
        <f>_ENGINE_Initiatives!CX20</f>
        <v>Initiative ontology uses capability=CAP_PAYMENT_CONTINUITY; bridge=BRG-030; treatment=TRT-PAYMENT_CONTINUITY-INITIAL; wording=IW-ALL-PAYMENT_CONTINUITY</v>
      </c>
    </row>
    <row r="18" spans="1:15" ht="28.3" customHeight="1">
      <c r="A18" s="177" t="str">
        <f>_ENGINE_Initiatives!CR21</f>
        <v>INIT-ONT-0017</v>
      </c>
      <c r="B18" s="177" t="str">
        <f>_ENGINE_Initiatives!A21</f>
        <v>INI-017</v>
      </c>
      <c r="C18" s="177" t="str">
        <f>_ENGINE_Initiatives!B21</f>
        <v>Finance Procurement</v>
      </c>
      <c r="D18" s="177" t="str">
        <f>_ENGINE_Initiatives!C21</f>
        <v>Procurement and suppliers</v>
      </c>
      <c r="E18" s="177" t="str">
        <f>_ENGINE_Initiatives!E21</f>
        <v>STR-08</v>
      </c>
      <c r="F18" s="177" t="str">
        <f>_ENGINE_Initiatives!F21</f>
        <v>Build resilient procurement governance and supplier risk controls</v>
      </c>
      <c r="G18" s="177" t="str">
        <f>_ENGINE_Initiatives!BZ21</f>
        <v>CAP_FRAUD_MONITORING</v>
      </c>
      <c r="H18" s="177" t="str">
        <f>_ENGINE_Initiatives!CB21</f>
        <v>BRG-032</v>
      </c>
      <c r="I18" s="177" t="str">
        <f>_ENGINE_Initiatives!CE21</f>
        <v>TRT-FRAUD_MONITORING-INITIAL</v>
      </c>
      <c r="J18" s="177" t="str">
        <f>_ENGINE_Initiatives!CK21</f>
        <v>IW-ALL-FRAUD_MONITORING</v>
      </c>
      <c r="K18" s="177" t="str">
        <f>_ENGINE_Initiatives!CV21</f>
        <v>Active</v>
      </c>
      <c r="L18" s="177" t="str">
        <f>_ENGINE_Initiatives!CW21</f>
        <v>OK: capability-driven</v>
      </c>
      <c r="M18" s="177" t="str">
        <f>IF(_ENGINE_Initiatives!CV21="Active","Yes","No")</f>
        <v>Yes</v>
      </c>
      <c r="N18" s="177" t="str">
        <f>_ENGINE_Initiatives!CU21</f>
        <v>INI-017|Finance Procurement|Procurement and suppliers|CAP_FRAUD_MONITORING</v>
      </c>
      <c r="O18" s="177" t="str">
        <f>_ENGINE_Initiatives!CX21</f>
        <v>Initiative ontology uses capability=CAP_FRAUD_MONITORING; bridge=BRG-032; treatment=TRT-FRAUD_MONITORING-INITIAL; wording=IW-ALL-FRAUD_MONITORING</v>
      </c>
    </row>
    <row r="19" spans="1:15" ht="28.3" customHeight="1">
      <c r="A19" s="177" t="str">
        <f>_ENGINE_Initiatives!CR22</f>
        <v>INIT-ONT-0018</v>
      </c>
      <c r="B19" s="177" t="str">
        <f>_ENGINE_Initiatives!A22</f>
        <v>INI-018</v>
      </c>
      <c r="C19" s="177" t="str">
        <f>_ENGINE_Initiatives!B22</f>
        <v>Finance Procurement</v>
      </c>
      <c r="D19" s="177" t="str">
        <f>_ENGINE_Initiatives!C22</f>
        <v>Working capital</v>
      </c>
      <c r="E19" s="177" t="str">
        <f>_ENGINE_Initiatives!E22</f>
        <v>STR-02</v>
      </c>
      <c r="F19" s="177" t="str">
        <f>_ENGINE_Initiatives!F22</f>
        <v>Optimize working capital and liquidity early-warning controls</v>
      </c>
      <c r="G19" s="177" t="str">
        <f>_ENGINE_Initiatives!BZ22</f>
        <v>CAP_PAYMENT_CONTINUITY</v>
      </c>
      <c r="H19" s="177" t="str">
        <f>_ENGINE_Initiatives!CB22</f>
        <v>BRG-033</v>
      </c>
      <c r="I19" s="177" t="str">
        <f>_ENGINE_Initiatives!CE22</f>
        <v>TRT-PAYMENT_CONTINUITY-INITIAL</v>
      </c>
      <c r="J19" s="177" t="str">
        <f>_ENGINE_Initiatives!CK22</f>
        <v>IW-ALL-PAYMENT_CONTINUITY</v>
      </c>
      <c r="K19" s="177" t="str">
        <f>_ENGINE_Initiatives!CV22</f>
        <v>Active</v>
      </c>
      <c r="L19" s="177" t="str">
        <f>_ENGINE_Initiatives!CW22</f>
        <v>OK: capability-driven</v>
      </c>
      <c r="M19" s="177" t="str">
        <f>IF(_ENGINE_Initiatives!CV22="Active","Yes","No")</f>
        <v>Yes</v>
      </c>
      <c r="N19" s="177" t="str">
        <f>_ENGINE_Initiatives!CU22</f>
        <v>INI-018|Finance Procurement|Working capital|CAP_PAYMENT_CONTINUITY</v>
      </c>
      <c r="O19" s="177" t="str">
        <f>_ENGINE_Initiatives!CX22</f>
        <v>Initiative ontology uses capability=CAP_PAYMENT_CONTINUITY; bridge=BRG-033; treatment=TRT-PAYMENT_CONTINUITY-INITIAL; wording=IW-ALL-PAYMENT_CONTINUITY</v>
      </c>
    </row>
    <row r="20" spans="1:15" ht="28.3" customHeight="1">
      <c r="A20" s="177" t="str">
        <f>_ENGINE_Initiatives!CR23</f>
        <v>INIT-ONT-0019</v>
      </c>
      <c r="B20" s="177" t="str">
        <f>_ENGINE_Initiatives!A23</f>
        <v>INI-019</v>
      </c>
      <c r="C20" s="177" t="str">
        <f>_ENGINE_Initiatives!B23</f>
        <v>Legal Risk</v>
      </c>
      <c r="D20" s="177" t="str">
        <f>_ENGINE_Initiatives!C23</f>
        <v>Compliance</v>
      </c>
      <c r="E20" s="177" t="str">
        <f>_ENGINE_Initiatives!E23</f>
        <v>STR-13</v>
      </c>
      <c r="F20" s="177" t="str">
        <f>_ENGINE_Initiatives!F23</f>
        <v>Implement compliance obligation monitoring and crisis legal controls</v>
      </c>
      <c r="G20" s="177" t="str">
        <f>_ENGINE_Initiatives!BZ23</f>
        <v>CAP_PAYMENT_CONTINUITY</v>
      </c>
      <c r="H20" s="177" t="str">
        <f>_ENGINE_Initiatives!CB23</f>
        <v>BRG-050</v>
      </c>
      <c r="I20" s="177" t="str">
        <f>_ENGINE_Initiatives!CE23</f>
        <v>TRT-PAYMENT_CONTINUITY-INITIAL</v>
      </c>
      <c r="J20" s="177" t="str">
        <f>_ENGINE_Initiatives!CK23</f>
        <v>IW-ALL-PAYMENT_CONTINUITY</v>
      </c>
      <c r="K20" s="177" t="str">
        <f>_ENGINE_Initiatives!CV23</f>
        <v>Active</v>
      </c>
      <c r="L20" s="177" t="str">
        <f>_ENGINE_Initiatives!CW23</f>
        <v>OK: capability-driven</v>
      </c>
      <c r="M20" s="177" t="str">
        <f>IF(_ENGINE_Initiatives!CV23="Active","Yes","No")</f>
        <v>Yes</v>
      </c>
      <c r="N20" s="177" t="str">
        <f>_ENGINE_Initiatives!CU23</f>
        <v>INI-019|Legal Risk|Compliance|CAP_PAYMENT_CONTINUITY</v>
      </c>
      <c r="O20" s="177" t="str">
        <f>_ENGINE_Initiatives!CX23</f>
        <v>Initiative ontology uses capability=CAP_PAYMENT_CONTINUITY; bridge=BRG-050; treatment=TRT-PAYMENT_CONTINUITY-INITIAL; wording=IW-ALL-PAYMENT_CONTINUITY</v>
      </c>
    </row>
    <row r="21" spans="1:15" ht="28.3" customHeight="1">
      <c r="A21" s="177" t="str">
        <f>_ENGINE_Initiatives!CR24</f>
        <v>INIT-ONT-0020</v>
      </c>
      <c r="B21" s="177" t="str">
        <f>_ENGINE_Initiatives!A24</f>
        <v>INI-020</v>
      </c>
      <c r="C21" s="177" t="str">
        <f>_ENGINE_Initiatives!B24</f>
        <v>Legal Risk</v>
      </c>
      <c r="D21" s="177" t="str">
        <f>_ENGINE_Initiatives!C24</f>
        <v>Contracts</v>
      </c>
      <c r="E21" s="177" t="str">
        <f>_ENGINE_Initiatives!E24</f>
        <v>STR-13</v>
      </c>
      <c r="F21" s="177" t="str">
        <f>_ENGINE_Initiatives!F24</f>
        <v>Build contract register, obligations and force-majeure response model</v>
      </c>
      <c r="G21" s="177" t="str">
        <f>_ENGINE_Initiatives!BZ24</f>
        <v>CAP_REGULATORY_CONTINUITY</v>
      </c>
      <c r="H21" s="177" t="str">
        <f>_ENGINE_Initiatives!CB24</f>
        <v>BRG-051</v>
      </c>
      <c r="I21" s="177" t="str">
        <f>_ENGINE_Initiatives!CE24</f>
        <v>TRT-REGULATORY_CONTINUITY-INITIAL</v>
      </c>
      <c r="J21" s="177" t="str">
        <f>_ENGINE_Initiatives!CK24</f>
        <v>IW-ALL-REGULATORY_CONTINUITY</v>
      </c>
      <c r="K21" s="177" t="str">
        <f>_ENGINE_Initiatives!CV24</f>
        <v>Active</v>
      </c>
      <c r="L21" s="177" t="str">
        <f>_ENGINE_Initiatives!CW24</f>
        <v>OK: capability-driven</v>
      </c>
      <c r="M21" s="177" t="str">
        <f>IF(_ENGINE_Initiatives!CV24="Active","Yes","No")</f>
        <v>Yes</v>
      </c>
      <c r="N21" s="177" t="str">
        <f>_ENGINE_Initiatives!CU24</f>
        <v>INI-020|Legal Risk|Contracts|CAP_REGULATORY_CONTINUITY</v>
      </c>
      <c r="O21" s="177" t="str">
        <f>_ENGINE_Initiatives!CX24</f>
        <v>Initiative ontology uses capability=CAP_REGULATORY_CONTINUITY; bridge=BRG-051; treatment=TRT-REGULATORY_CONTINUITY-INITIAL; wording=IW-ALL-REGULATORY_CONTINUITY</v>
      </c>
    </row>
    <row r="22" spans="1:15" ht="28.3" customHeight="1">
      <c r="A22" s="177" t="str">
        <f>_ENGINE_Initiatives!CR25</f>
        <v>INIT-ONT-0021</v>
      </c>
      <c r="B22" s="177" t="str">
        <f>_ENGINE_Initiatives!A25</f>
        <v>INI-021</v>
      </c>
      <c r="C22" s="177" t="str">
        <f>_ENGINE_Initiatives!B25</f>
        <v>Legal Risk</v>
      </c>
      <c r="D22" s="177" t="str">
        <f>_ENGINE_Initiatives!C25</f>
        <v>Data and IP</v>
      </c>
      <c r="E22" s="177" t="str">
        <f>_ENGINE_Initiatives!E25</f>
        <v>STR-13</v>
      </c>
      <c r="F22" s="177" t="str">
        <f>_ENGINE_Initiatives!F25</f>
        <v>Strengthen data, IP and confidentiality legal safeguards</v>
      </c>
      <c r="G22" s="177" t="str">
        <f>_ENGINE_Initiatives!BZ25</f>
        <v>CAP_REGULATORY_CONTINUITY</v>
      </c>
      <c r="H22" s="177" t="str">
        <f>_ENGINE_Initiatives!CB25</f>
        <v>BRG-052</v>
      </c>
      <c r="I22" s="177" t="str">
        <f>_ENGINE_Initiatives!CE25</f>
        <v>TRT-REGULATORY_CONTINUITY-INITIAL</v>
      </c>
      <c r="J22" s="177" t="str">
        <f>_ENGINE_Initiatives!CK25</f>
        <v>IW-ALL-REGULATORY_CONTINUITY</v>
      </c>
      <c r="K22" s="177" t="str">
        <f>_ENGINE_Initiatives!CV25</f>
        <v>Active</v>
      </c>
      <c r="L22" s="177" t="str">
        <f>_ENGINE_Initiatives!CW25</f>
        <v>OK: capability-driven</v>
      </c>
      <c r="M22" s="177" t="str">
        <f>IF(_ENGINE_Initiatives!CV25="Active","Yes","No")</f>
        <v>Yes</v>
      </c>
      <c r="N22" s="177" t="str">
        <f>_ENGINE_Initiatives!CU25</f>
        <v>INI-021|Legal Risk|Data and IP|CAP_REGULATORY_CONTINUITY</v>
      </c>
      <c r="O22" s="177" t="str">
        <f>_ENGINE_Initiatives!CX25</f>
        <v>Initiative ontology uses capability=CAP_REGULATORY_CONTINUITY; bridge=BRG-052; treatment=TRT-REGULATORY_CONTINUITY-INITIAL; wording=IW-ALL-REGULATORY_CONTINUITY</v>
      </c>
    </row>
    <row r="23" spans="1:15" ht="28.3" customHeight="1">
      <c r="A23" s="177" t="str">
        <f>_ENGINE_Initiatives!CR26</f>
        <v>INIT-ONT-0022</v>
      </c>
      <c r="B23" s="177" t="str">
        <f>_ENGINE_Initiatives!A26</f>
        <v>INI-022</v>
      </c>
      <c r="C23" s="177" t="str">
        <f>_ENGINE_Initiatives!B26</f>
        <v>Legal Risk</v>
      </c>
      <c r="D23" s="177" t="str">
        <f>_ENGINE_Initiatives!C26</f>
        <v>Employment law</v>
      </c>
      <c r="E23" s="177" t="str">
        <f>_ENGINE_Initiatives!E26</f>
        <v>STR-13</v>
      </c>
      <c r="F23" s="177" t="str">
        <f>_ENGINE_Initiatives!F26</f>
        <v>Prepare employment-law continuity and workforce-location compliance</v>
      </c>
      <c r="G23" s="177" t="str">
        <f>_ENGINE_Initiatives!BZ26</f>
        <v>CAP_REGULATORY_CONTINUITY</v>
      </c>
      <c r="H23" s="177" t="str">
        <f>_ENGINE_Initiatives!CB26</f>
        <v>BRG-053</v>
      </c>
      <c r="I23" s="177" t="str">
        <f>_ENGINE_Initiatives!CE26</f>
        <v>TRT-REGULATORY_CONTINUITY-INITIAL</v>
      </c>
      <c r="J23" s="177" t="str">
        <f>_ENGINE_Initiatives!CK26</f>
        <v>IW-ALL-REGULATORY_CONTINUITY</v>
      </c>
      <c r="K23" s="177" t="str">
        <f>_ENGINE_Initiatives!CV26</f>
        <v>Active</v>
      </c>
      <c r="L23" s="177" t="str">
        <f>_ENGINE_Initiatives!CW26</f>
        <v>OK: capability-driven</v>
      </c>
      <c r="M23" s="177" t="str">
        <f>IF(_ENGINE_Initiatives!CV26="Active","Yes","No")</f>
        <v>Yes</v>
      </c>
      <c r="N23" s="177" t="str">
        <f>_ENGINE_Initiatives!CU26</f>
        <v>INI-022|Legal Risk|Employment law|CAP_REGULATORY_CONTINUITY</v>
      </c>
      <c r="O23" s="177" t="str">
        <f>_ENGINE_Initiatives!CX26</f>
        <v>Initiative ontology uses capability=CAP_REGULATORY_CONTINUITY; bridge=BRG-053; treatment=TRT-REGULATORY_CONTINUITY-INITIAL; wording=IW-ALL-REGULATORY_CONTINUITY</v>
      </c>
    </row>
    <row r="24" spans="1:15" ht="28.3" customHeight="1">
      <c r="A24" s="177" t="str">
        <f>_ENGINE_Initiatives!CR27</f>
        <v>INIT-ONT-0023</v>
      </c>
      <c r="B24" s="177" t="str">
        <f>_ENGINE_Initiatives!A27</f>
        <v>INI-023</v>
      </c>
      <c r="C24" s="177" t="str">
        <f>_ENGINE_Initiatives!B27</f>
        <v>Physical Safety</v>
      </c>
      <c r="D24" s="177" t="str">
        <f>_ENGINE_Initiatives!C27</f>
        <v>OH&amp;S governance</v>
      </c>
      <c r="E24" s="177" t="str">
        <f>_ENGINE_Initiatives!E27</f>
        <v>STR-10</v>
      </c>
      <c r="F24" s="177" t="str">
        <f>_ENGINE_Initiatives!F27</f>
        <v>Implement occupational health and safety governance system</v>
      </c>
      <c r="G24" s="177" t="str">
        <f>_ENGINE_Initiatives!BZ27</f>
        <v>CAP_PHYSICAL_SITE_SAFETY</v>
      </c>
      <c r="H24" s="177" t="str">
        <f>_ENGINE_Initiatives!CB27</f>
        <v>BRG-068</v>
      </c>
      <c r="I24" s="177" t="str">
        <f>_ENGINE_Initiatives!CE27</f>
        <v>TRT-PHYSICAL_SITE_SAFETY-INITIAL</v>
      </c>
      <c r="J24" s="177" t="str">
        <f>_ENGINE_Initiatives!CK27</f>
        <v>IW-ALL-PHYSICAL_SITE_SAFETY</v>
      </c>
      <c r="K24" s="177" t="str">
        <f>_ENGINE_Initiatives!CV27</f>
        <v>Active</v>
      </c>
      <c r="L24" s="177" t="str">
        <f>_ENGINE_Initiatives!CW27</f>
        <v>OK: capability-driven</v>
      </c>
      <c r="M24" s="177" t="str">
        <f>IF(_ENGINE_Initiatives!CV27="Active","Yes","No")</f>
        <v>Yes</v>
      </c>
      <c r="N24" s="177" t="str">
        <f>_ENGINE_Initiatives!CU27</f>
        <v>INI-023|Physical Safety|OH&amp;S governance|CAP_PHYSICAL_SITE_SAFETY</v>
      </c>
      <c r="O24" s="177" t="str">
        <f>_ENGINE_Initiatives!CX27</f>
        <v>Initiative ontology uses capability=CAP_PHYSICAL_SITE_SAFETY; bridge=BRG-068; treatment=TRT-PHYSICAL_SITE_SAFETY-INITIAL; wording=IW-ALL-PHYSICAL_SITE_SAFETY</v>
      </c>
    </row>
    <row r="25" spans="1:15" ht="28.3" customHeight="1">
      <c r="A25" s="177" t="str">
        <f>_ENGINE_Initiatives!CR28</f>
        <v>INIT-ONT-0024</v>
      </c>
      <c r="B25" s="177" t="str">
        <f>_ENGINE_Initiatives!A28</f>
        <v>INI-024</v>
      </c>
      <c r="C25" s="177" t="str">
        <f>_ENGINE_Initiatives!B28</f>
        <v>Physical Safety</v>
      </c>
      <c r="D25" s="177" t="str">
        <f>_ENGINE_Initiatives!C28</f>
        <v>Facilities and access</v>
      </c>
      <c r="E25" s="177" t="str">
        <f>_ENGINE_Initiatives!E28</f>
        <v>STR-10</v>
      </c>
      <c r="F25" s="177" t="str">
        <f>_ENGINE_Initiatives!F28</f>
        <v>Secure facilities, physical access and site protection controls</v>
      </c>
      <c r="G25" s="177" t="str">
        <f>_ENGINE_Initiatives!BZ28</f>
        <v>CAP_IAM_PAM</v>
      </c>
      <c r="H25" s="177" t="str">
        <f>_ENGINE_Initiatives!CB28</f>
        <v>BRG-067</v>
      </c>
      <c r="I25" s="177" t="str">
        <f>_ENGINE_Initiatives!CE28</f>
        <v>TRT-IAM_PAM-INITIAL</v>
      </c>
      <c r="J25" s="177" t="str">
        <f>_ENGINE_Initiatives!CK28</f>
        <v>IW-ALL-IAM_PAM</v>
      </c>
      <c r="K25" s="177" t="str">
        <f>_ENGINE_Initiatives!CV28</f>
        <v>Active</v>
      </c>
      <c r="L25" s="177" t="str">
        <f>_ENGINE_Initiatives!CW28</f>
        <v>OK: capability-driven</v>
      </c>
      <c r="M25" s="177" t="str">
        <f>IF(_ENGINE_Initiatives!CV28="Active","Yes","No")</f>
        <v>Yes</v>
      </c>
      <c r="N25" s="177" t="str">
        <f>_ENGINE_Initiatives!CU28</f>
        <v>INI-024|Physical Safety|Facilities and access|CAP_IAM_PAM</v>
      </c>
      <c r="O25" s="177" t="str">
        <f>_ENGINE_Initiatives!CX28</f>
        <v>Initiative ontology uses capability=CAP_IAM_PAM; bridge=BRG-067; treatment=TRT-IAM_PAM-INITIAL; wording=IW-ALL-IAM_PAM</v>
      </c>
    </row>
    <row r="26" spans="1:15" ht="28.3" customHeight="1">
      <c r="A26" s="177" t="str">
        <f>_ENGINE_Initiatives!CR29</f>
        <v>INIT-ONT-0025</v>
      </c>
      <c r="B26" s="177" t="str">
        <f>_ENGINE_Initiatives!A29</f>
        <v>INI-025</v>
      </c>
      <c r="C26" s="177" t="str">
        <f>_ENGINE_Initiatives!B29</f>
        <v>Physical Safety</v>
      </c>
      <c r="D26" s="177" t="str">
        <f>_ENGINE_Initiatives!C29</f>
        <v>Emergency response</v>
      </c>
      <c r="E26" s="177" t="str">
        <f>_ENGINE_Initiatives!E29</f>
        <v>STR-10</v>
      </c>
      <c r="F26" s="177" t="str">
        <f>_ENGINE_Initiatives!F29</f>
        <v>Build emergency response, evacuation and shelter procedures</v>
      </c>
      <c r="G26" s="177" t="str">
        <f>_ENGINE_Initiatives!BZ29</f>
        <v>CAP_MES_SHOPFLOOR</v>
      </c>
      <c r="H26" s="177" t="str">
        <f>_ENGINE_Initiatives!CB29</f>
        <v>BRG-066</v>
      </c>
      <c r="I26" s="177" t="str">
        <f>_ENGINE_Initiatives!CE29</f>
        <v>TRT-MES_SHOPFLOOR-INITIAL</v>
      </c>
      <c r="J26" s="177" t="str">
        <f>_ENGINE_Initiatives!CK29</f>
        <v>IW-ALL-MES_SHOPFLOOR</v>
      </c>
      <c r="K26" s="177" t="str">
        <f>_ENGINE_Initiatives!CV29</f>
        <v>Active</v>
      </c>
      <c r="L26" s="177" t="str">
        <f>_ENGINE_Initiatives!CW29</f>
        <v>OK: capability-driven</v>
      </c>
      <c r="M26" s="177" t="str">
        <f>IF(_ENGINE_Initiatives!CV29="Active","Yes","No")</f>
        <v>Yes</v>
      </c>
      <c r="N26" s="177" t="str">
        <f>_ENGINE_Initiatives!CU29</f>
        <v>INI-025|Physical Safety|Emergency response|CAP_MES_SHOPFLOOR</v>
      </c>
      <c r="O26" s="177" t="str">
        <f>_ENGINE_Initiatives!CX29</f>
        <v>Initiative ontology uses capability=CAP_MES_SHOPFLOOR; bridge=BRG-066; treatment=TRT-MES_SHOPFLOOR-INITIAL; wording=IW-ALL-MES_SHOPFLOOR</v>
      </c>
    </row>
    <row r="27" spans="1:15" ht="28.3" customHeight="1">
      <c r="A27" s="177" t="str">
        <f>_ENGINE_Initiatives!CR30</f>
        <v>INIT-ONT-0026</v>
      </c>
      <c r="B27" s="177" t="str">
        <f>_ENGINE_Initiatives!A30</f>
        <v>INI-026</v>
      </c>
      <c r="C27" s="177" t="str">
        <f>_ENGINE_Initiatives!B30</f>
        <v>Physical Safety</v>
      </c>
      <c r="D27" s="177" t="str">
        <f>_ENGINE_Initiatives!C30</f>
        <v>Security and travel</v>
      </c>
      <c r="E27" s="177" t="str">
        <f>_ENGINE_Initiatives!E30</f>
        <v>STR-10</v>
      </c>
      <c r="F27" s="177" t="str">
        <f>_ENGINE_Initiatives!F30</f>
        <v>Implement physical security and travel risk management</v>
      </c>
      <c r="G27" s="177" t="str">
        <f>_ENGINE_Initiatives!BZ30</f>
        <v>CAP_BACKUP_RECOVERY</v>
      </c>
      <c r="H27" s="177" t="str">
        <f>_ENGINE_Initiatives!CB30</f>
        <v>BRG-069</v>
      </c>
      <c r="I27" s="177" t="str">
        <f>_ENGINE_Initiatives!CE30</f>
        <v>TRT-BACKUP_RECOVERY-INITIAL</v>
      </c>
      <c r="J27" s="177" t="str">
        <f>_ENGINE_Initiatives!CK30</f>
        <v>IW-ALL-BACKUP_RECOVERY</v>
      </c>
      <c r="K27" s="177" t="str">
        <f>_ENGINE_Initiatives!CV30</f>
        <v>Active</v>
      </c>
      <c r="L27" s="177" t="str">
        <f>_ENGINE_Initiatives!CW30</f>
        <v>OK: capability-driven</v>
      </c>
      <c r="M27" s="177" t="str">
        <f>IF(_ENGINE_Initiatives!CV30="Active","Yes","No")</f>
        <v>Yes</v>
      </c>
      <c r="N27" s="177" t="str">
        <f>_ENGINE_Initiatives!CU30</f>
        <v>INI-026|Physical Safety|Security and travel|CAP_BACKUP_RECOVERY</v>
      </c>
      <c r="O27" s="177" t="str">
        <f>_ENGINE_Initiatives!CX30</f>
        <v>Initiative ontology uses capability=CAP_BACKUP_RECOVERY; bridge=BRG-069; treatment=TRT-BACKUP_RECOVERY-INITIAL; wording=IW-ALL-BACKUP_RECOVERY</v>
      </c>
    </row>
    <row r="28" spans="1:15" ht="28.3" customHeight="1">
      <c r="A28" s="177" t="str">
        <f>_ENGINE_Initiatives!CR31</f>
        <v>INIT-ONT-0027</v>
      </c>
      <c r="B28" s="177" t="str">
        <f>_ENGINE_Initiatives!A31</f>
        <v>INI-027</v>
      </c>
      <c r="C28" s="177" t="str">
        <f>_ENGINE_Initiatives!B31</f>
        <v>Physical Safety</v>
      </c>
      <c r="D28" s="177" t="str">
        <f>_ENGINE_Initiatives!C31</f>
        <v>Utilities and resilience</v>
      </c>
      <c r="E28" s="177" t="str">
        <f>_ENGINE_Initiatives!E31</f>
        <v>STR-10</v>
      </c>
      <c r="F28" s="177" t="str">
        <f>_ENGINE_Initiatives!F31</f>
        <v>Build utilities backup and facility resilience plan</v>
      </c>
      <c r="G28" s="177" t="str">
        <f>_ENGINE_Initiatives!BZ31</f>
        <v>CAP_BACKUP_RECOVERY</v>
      </c>
      <c r="H28" s="177" t="str">
        <f>_ENGINE_Initiatives!CB31</f>
        <v>BRG-070</v>
      </c>
      <c r="I28" s="177" t="str">
        <f>_ENGINE_Initiatives!CE31</f>
        <v>TRT-BACKUP_RECOVERY-INITIAL</v>
      </c>
      <c r="J28" s="177" t="str">
        <f>_ENGINE_Initiatives!CK31</f>
        <v>IW-ALL-BACKUP_RECOVERY</v>
      </c>
      <c r="K28" s="177" t="str">
        <f>_ENGINE_Initiatives!CV31</f>
        <v>Active</v>
      </c>
      <c r="L28" s="177" t="str">
        <f>_ENGINE_Initiatives!CW31</f>
        <v>OK: capability-driven</v>
      </c>
      <c r="M28" s="177" t="str">
        <f>IF(_ENGINE_Initiatives!CV31="Active","Yes","No")</f>
        <v>Yes</v>
      </c>
      <c r="N28" s="177" t="str">
        <f>_ENGINE_Initiatives!CU31</f>
        <v>INI-027|Physical Safety|Utilities and resilience|CAP_BACKUP_RECOVERY</v>
      </c>
      <c r="O28" s="177" t="str">
        <f>_ENGINE_Initiatives!CX31</f>
        <v>Initiative ontology uses capability=CAP_BACKUP_RECOVERY; bridge=BRG-070; treatment=TRT-BACKUP_RECOVERY-INITIAL; wording=IW-ALL-BACKUP_RECOVERY</v>
      </c>
    </row>
    <row r="29" spans="1:15" ht="28.3" customHeight="1">
      <c r="A29" s="177" t="str">
        <f>_ENGINE_Initiatives!CR32</f>
        <v>INIT-ONT-0028</v>
      </c>
      <c r="B29" s="177" t="str">
        <f>_ENGINE_Initiatives!A32</f>
        <v>INI-028</v>
      </c>
      <c r="C29" s="177" t="str">
        <f>_ENGINE_Initiatives!B32</f>
        <v>Delivery Ops</v>
      </c>
      <c r="D29" s="177" t="str">
        <f>_ENGINE_Initiatives!C32</f>
        <v>Delivery governance</v>
      </c>
      <c r="E29" s="177" t="str">
        <f>_ENGINE_Initiatives!E32</f>
        <v>STR-07</v>
      </c>
      <c r="F29" s="177" t="str">
        <f>_ENGINE_Initiatives!F32</f>
        <v>Standardize delivery governance, ownership and escalation</v>
      </c>
      <c r="G29" s="177" t="str">
        <f>_ENGINE_Initiatives!BZ32</f>
        <v>CAP_SRE_OBSERVABILITY</v>
      </c>
      <c r="H29" s="177" t="str">
        <f>_ENGINE_Initiatives!CB32</f>
        <v>BRG-026</v>
      </c>
      <c r="I29" s="177" t="str">
        <f>_ENGINE_Initiatives!CE32</f>
        <v>TRT-SRE_OBSERVABILITY-INITIAL</v>
      </c>
      <c r="J29" s="177" t="str">
        <f>_ENGINE_Initiatives!CK32</f>
        <v>IW-ALL-SRE_OBSERVABILITY</v>
      </c>
      <c r="K29" s="177" t="str">
        <f>_ENGINE_Initiatives!CV32</f>
        <v>Active</v>
      </c>
      <c r="L29" s="177" t="str">
        <f>_ENGINE_Initiatives!CW32</f>
        <v>OK: capability-driven</v>
      </c>
      <c r="M29" s="177" t="str">
        <f>IF(_ENGINE_Initiatives!CV32="Active","Yes","No")</f>
        <v>Yes</v>
      </c>
      <c r="N29" s="177" t="str">
        <f>_ENGINE_Initiatives!CU32</f>
        <v>INI-028|Delivery Ops|Delivery governance|CAP_SRE_OBSERVABILITY</v>
      </c>
      <c r="O29" s="177" t="str">
        <f>_ENGINE_Initiatives!CX32</f>
        <v>Initiative ontology uses capability=CAP_SRE_OBSERVABILITY; bridge=BRG-026; treatment=TRT-SRE_OBSERVABILITY-INITIAL; wording=IW-ALL-SRE_OBSERVABILITY</v>
      </c>
    </row>
    <row r="30" spans="1:15" ht="28.3" customHeight="1">
      <c r="A30" s="177" t="str">
        <f>_ENGINE_Initiatives!CR33</f>
        <v>INIT-ONT-0029</v>
      </c>
      <c r="B30" s="177" t="str">
        <f>_ENGINE_Initiatives!A33</f>
        <v>INI-029</v>
      </c>
      <c r="C30" s="177" t="str">
        <f>_ENGINE_Initiatives!B33</f>
        <v>Delivery Ops</v>
      </c>
      <c r="D30" s="177" t="str">
        <f>_ENGINE_Initiatives!C33</f>
        <v>Capacity and continuity</v>
      </c>
      <c r="E30" s="177" t="str">
        <f>_ENGINE_Initiatives!E33</f>
        <v>STR-07</v>
      </c>
      <c r="F30" s="177" t="str">
        <f>_ENGINE_Initiatives!F33</f>
        <v>Build capacity resilience and delivery continuity model</v>
      </c>
      <c r="G30" s="177" t="str">
        <f>_ENGINE_Initiatives!BZ33</f>
        <v>CAP_BACKUP_RECOVERY</v>
      </c>
      <c r="H30" s="177" t="str">
        <f>_ENGINE_Initiatives!CB33</f>
        <v>BRG-025</v>
      </c>
      <c r="I30" s="177" t="str">
        <f>_ENGINE_Initiatives!CE33</f>
        <v>TRT-BACKUP_RECOVERY-INITIAL</v>
      </c>
      <c r="J30" s="177" t="str">
        <f>_ENGINE_Initiatives!CK33</f>
        <v>IW-ALL-BACKUP_RECOVERY</v>
      </c>
      <c r="K30" s="177" t="str">
        <f>_ENGINE_Initiatives!CV33</f>
        <v>Active</v>
      </c>
      <c r="L30" s="177" t="str">
        <f>_ENGINE_Initiatives!CW33</f>
        <v>OK: capability-driven</v>
      </c>
      <c r="M30" s="177" t="str">
        <f>IF(_ENGINE_Initiatives!CV33="Active","Yes","No")</f>
        <v>Yes</v>
      </c>
      <c r="N30" s="177" t="str">
        <f>_ENGINE_Initiatives!CU33</f>
        <v>INI-029|Delivery Ops|Capacity and continuity|CAP_BACKUP_RECOVERY</v>
      </c>
      <c r="O30" s="177" t="str">
        <f>_ENGINE_Initiatives!CX33</f>
        <v>Initiative ontology uses capability=CAP_BACKUP_RECOVERY; bridge=BRG-025; treatment=TRT-BACKUP_RECOVERY-INITIAL; wording=IW-ALL-BACKUP_RECOVERY</v>
      </c>
    </row>
    <row r="31" spans="1:15" ht="28.3" customHeight="1">
      <c r="A31" s="177" t="str">
        <f>_ENGINE_Initiatives!CR34</f>
        <v>INIT-ONT-0030</v>
      </c>
      <c r="B31" s="177" t="str">
        <f>_ENGINE_Initiatives!A34</f>
        <v>INI-030</v>
      </c>
      <c r="C31" s="177" t="str">
        <f>_ENGINE_Initiatives!B34</f>
        <v>Delivery Ops</v>
      </c>
      <c r="D31" s="177" t="str">
        <f>_ENGINE_Initiatives!C34</f>
        <v>Process control</v>
      </c>
      <c r="E31" s="177" t="str">
        <f>_ENGINE_Initiatives!E34</f>
        <v>STR-07</v>
      </c>
      <c r="F31" s="177" t="str">
        <f>_ENGINE_Initiatives!F34</f>
        <v>Strengthen process control, SOPs and operational quality gates</v>
      </c>
      <c r="G31" s="177" t="str">
        <f>_ENGINE_Initiatives!BZ34</f>
        <v>CAP_INVENTORY_PLANNING</v>
      </c>
      <c r="H31" s="177" t="str">
        <f>_ENGINE_Initiatives!CB34</f>
        <v>BRG-028</v>
      </c>
      <c r="I31" s="177" t="str">
        <f>_ENGINE_Initiatives!CE34</f>
        <v>TRT-INVENTORY_PLANNING-INITIAL</v>
      </c>
      <c r="J31" s="177" t="str">
        <f>_ENGINE_Initiatives!CK34</f>
        <v>IW-ALL-INVENTORY_PLANNING</v>
      </c>
      <c r="K31" s="177" t="str">
        <f>_ENGINE_Initiatives!CV34</f>
        <v>Active</v>
      </c>
      <c r="L31" s="177" t="str">
        <f>_ENGINE_Initiatives!CW34</f>
        <v>OK: capability-driven</v>
      </c>
      <c r="M31" s="177" t="str">
        <f>IF(_ENGINE_Initiatives!CV34="Active","Yes","No")</f>
        <v>Yes</v>
      </c>
      <c r="N31" s="177" t="str">
        <f>_ENGINE_Initiatives!CU34</f>
        <v>INI-030|Delivery Ops|Process control|CAP_INVENTORY_PLANNING</v>
      </c>
      <c r="O31" s="177" t="str">
        <f>_ENGINE_Initiatives!CX34</f>
        <v>Initiative ontology uses capability=CAP_INVENTORY_PLANNING; bridge=BRG-028; treatment=TRT-INVENTORY_PLANNING-INITIAL; wording=IW-ALL-INVENTORY_PLANNING</v>
      </c>
    </row>
    <row r="32" spans="1:15" ht="28.3" customHeight="1">
      <c r="A32" s="177" t="str">
        <f>_ENGINE_Initiatives!CR35</f>
        <v>INIT-ONT-0031</v>
      </c>
      <c r="B32" s="177" t="str">
        <f>_ENGINE_Initiatives!A35</f>
        <v>INI-031</v>
      </c>
      <c r="C32" s="177" t="str">
        <f>_ENGINE_Initiatives!B35</f>
        <v>Delivery Ops</v>
      </c>
      <c r="D32" s="177" t="str">
        <f>_ENGINE_Initiatives!C35</f>
        <v>Operational visibility</v>
      </c>
      <c r="E32" s="177" t="str">
        <f>_ENGINE_Initiatives!E35</f>
        <v>STR-07</v>
      </c>
      <c r="F32" s="177" t="str">
        <f>_ENGINE_Initiatives!F35</f>
        <v>Implement operational visibility dashboards and early warning</v>
      </c>
      <c r="G32" s="177" t="str">
        <f>_ENGINE_Initiatives!BZ35</f>
        <v>CAP_POS_ECOMMERCE</v>
      </c>
      <c r="H32" s="177" t="str">
        <f>_ENGINE_Initiatives!CB35</f>
        <v>BRG-027</v>
      </c>
      <c r="I32" s="177" t="str">
        <f>_ENGINE_Initiatives!CE35</f>
        <v>TRT-POS_ECOMMERCE-INITIAL</v>
      </c>
      <c r="J32" s="177" t="str">
        <f>_ENGINE_Initiatives!CK35</f>
        <v>IW-ALL-POS_ECOMMERCE</v>
      </c>
      <c r="K32" s="177" t="str">
        <f>_ENGINE_Initiatives!CV35</f>
        <v>Active</v>
      </c>
      <c r="L32" s="177" t="str">
        <f>_ENGINE_Initiatives!CW35</f>
        <v>OK: capability-driven</v>
      </c>
      <c r="M32" s="177" t="str">
        <f>IF(_ENGINE_Initiatives!CV35="Active","Yes","No")</f>
        <v>Yes</v>
      </c>
      <c r="N32" s="177" t="str">
        <f>_ENGINE_Initiatives!CU35</f>
        <v>INI-031|Delivery Ops|Operational visibility|CAP_POS_ECOMMERCE</v>
      </c>
      <c r="O32" s="177" t="str">
        <f>_ENGINE_Initiatives!CX35</f>
        <v>Initiative ontology uses capability=CAP_POS_ECOMMERCE; bridge=BRG-027; treatment=TRT-POS_ECOMMERCE-INITIAL; wording=IW-ALL-POS_ECOMMERCE</v>
      </c>
    </row>
    <row r="33" spans="1:15" ht="28.3" customHeight="1">
      <c r="A33" s="177" t="str">
        <f>_ENGINE_Initiatives!CR36</f>
        <v>INIT-ONT-0032</v>
      </c>
      <c r="B33" s="177" t="str">
        <f>_ENGINE_Initiatives!A36</f>
        <v>INI-032</v>
      </c>
      <c r="C33" s="177" t="str">
        <f>_ENGINE_Initiatives!B36</f>
        <v>Supply Chain</v>
      </c>
      <c r="D33" s="177" t="str">
        <f>_ENGINE_Initiatives!C36</f>
        <v>Supply chain design</v>
      </c>
      <c r="E33" s="177" t="str">
        <f>_ENGINE_Initiatives!E36</f>
        <v>STR-08</v>
      </c>
      <c r="F33" s="177" t="str">
        <f>_ENGINE_Initiatives!F36</f>
        <v>Redesign supply chain for resilience and alternative sourcing</v>
      </c>
      <c r="G33" s="177" t="str">
        <f>_ENGINE_Initiatives!BZ36</f>
        <v>CAP_BACKUP_RECOVERY</v>
      </c>
      <c r="H33" s="177" t="str">
        <f>_ENGINE_Initiatives!CB36</f>
        <v>BRG-092</v>
      </c>
      <c r="I33" s="177" t="str">
        <f>_ENGINE_Initiatives!CE36</f>
        <v>TRT-BACKUP_RECOVERY-INITIAL</v>
      </c>
      <c r="J33" s="177" t="str">
        <f>_ENGINE_Initiatives!CK36</f>
        <v>IW-ALL-BACKUP_RECOVERY</v>
      </c>
      <c r="K33" s="177" t="str">
        <f>_ENGINE_Initiatives!CV36</f>
        <v>Active</v>
      </c>
      <c r="L33" s="177" t="str">
        <f>_ENGINE_Initiatives!CW36</f>
        <v>OK: capability-driven</v>
      </c>
      <c r="M33" s="177" t="str">
        <f>IF(_ENGINE_Initiatives!CV36="Active","Yes","No")</f>
        <v>Yes</v>
      </c>
      <c r="N33" s="177" t="str">
        <f>_ENGINE_Initiatives!CU36</f>
        <v>INI-032|Supply Chain|Supply chain design|CAP_BACKUP_RECOVERY</v>
      </c>
      <c r="O33" s="177" t="str">
        <f>_ENGINE_Initiatives!CX36</f>
        <v>Initiative ontology uses capability=CAP_BACKUP_RECOVERY; bridge=BRG-092; treatment=TRT-BACKUP_RECOVERY-INITIAL; wording=IW-ALL-BACKUP_RECOVERY</v>
      </c>
    </row>
    <row r="34" spans="1:15" ht="28.3" customHeight="1">
      <c r="A34" s="177" t="str">
        <f>_ENGINE_Initiatives!CR37</f>
        <v>INIT-ONT-0033</v>
      </c>
      <c r="B34" s="177" t="str">
        <f>_ENGINE_Initiatives!A37</f>
        <v>INI-033</v>
      </c>
      <c r="C34" s="177" t="str">
        <f>_ENGINE_Initiatives!B37</f>
        <v>Supply Chain</v>
      </c>
      <c r="D34" s="177" t="str">
        <f>_ENGINE_Initiatives!C37</f>
        <v>Logistics</v>
      </c>
      <c r="E34" s="177" t="str">
        <f>_ENGINE_Initiatives!E37</f>
        <v>STR-08</v>
      </c>
      <c r="F34" s="177" t="str">
        <f>_ENGINE_Initiatives!F37</f>
        <v>Build logistics continuity and transport fallback options</v>
      </c>
      <c r="G34" s="177" t="str">
        <f>_ENGINE_Initiatives!BZ37</f>
        <v>CAP_WMS_WAREHOUSE</v>
      </c>
      <c r="H34" s="177" t="str">
        <f>_ENGINE_Initiatives!CB37</f>
        <v>BRG-090</v>
      </c>
      <c r="I34" s="177" t="str">
        <f>_ENGINE_Initiatives!CE37</f>
        <v>TRT-WMS_WAREHOUSE-INITIAL</v>
      </c>
      <c r="J34" s="177" t="str">
        <f>_ENGINE_Initiatives!CK37</f>
        <v>IW-ALL-WMS_WAREHOUSE</v>
      </c>
      <c r="K34" s="177" t="str">
        <f>_ENGINE_Initiatives!CV37</f>
        <v>Active</v>
      </c>
      <c r="L34" s="177" t="str">
        <f>_ENGINE_Initiatives!CW37</f>
        <v>OK: capability-driven</v>
      </c>
      <c r="M34" s="177" t="str">
        <f>IF(_ENGINE_Initiatives!CV37="Active","Yes","No")</f>
        <v>Yes</v>
      </c>
      <c r="N34" s="177" t="str">
        <f>_ENGINE_Initiatives!CU37</f>
        <v>INI-033|Supply Chain|Logistics|CAP_WMS_WAREHOUSE</v>
      </c>
      <c r="O34" s="177" t="str">
        <f>_ENGINE_Initiatives!CX37</f>
        <v>Initiative ontology uses capability=CAP_WMS_WAREHOUSE; bridge=BRG-090; treatment=TRT-WMS_WAREHOUSE-INITIAL; wording=IW-ALL-WMS_WAREHOUSE</v>
      </c>
    </row>
    <row r="35" spans="1:15" ht="28.3" customHeight="1">
      <c r="A35" s="177" t="str">
        <f>_ENGINE_Initiatives!CR38</f>
        <v>INIT-ONT-0034</v>
      </c>
      <c r="B35" s="177" t="str">
        <f>_ENGINE_Initiatives!A38</f>
        <v>INI-034</v>
      </c>
      <c r="C35" s="177" t="str">
        <f>_ENGINE_Initiatives!B38</f>
        <v>Supply Chain</v>
      </c>
      <c r="D35" s="177" t="str">
        <f>_ENGINE_Initiatives!C38</f>
        <v>Inventory and planning</v>
      </c>
      <c r="E35" s="177" t="str">
        <f>_ENGINE_Initiatives!E38</f>
        <v>STR-08</v>
      </c>
      <c r="F35" s="177" t="str">
        <f>_ENGINE_Initiatives!F38</f>
        <v>Implement inventory visibility and demand/supply planning</v>
      </c>
      <c r="G35" s="177" t="str">
        <f>_ENGINE_Initiatives!BZ38</f>
        <v>CAP_INVENTORY_PLANNING</v>
      </c>
      <c r="H35" s="177" t="str">
        <f>_ENGINE_Initiatives!CB38</f>
        <v>BRG-089</v>
      </c>
      <c r="I35" s="177" t="str">
        <f>_ENGINE_Initiatives!CE38</f>
        <v>TRT-INVENTORY_PLANNING-INITIAL</v>
      </c>
      <c r="J35" s="177" t="str">
        <f>_ENGINE_Initiatives!CK38</f>
        <v>IW-ALL-INVENTORY_PLANNING</v>
      </c>
      <c r="K35" s="177" t="str">
        <f>_ENGINE_Initiatives!CV38</f>
        <v>Active</v>
      </c>
      <c r="L35" s="177" t="str">
        <f>_ENGINE_Initiatives!CW38</f>
        <v>OK: capability-driven</v>
      </c>
      <c r="M35" s="177" t="str">
        <f>IF(_ENGINE_Initiatives!CV38="Active","Yes","No")</f>
        <v>Yes</v>
      </c>
      <c r="N35" s="177" t="str">
        <f>_ENGINE_Initiatives!CU38</f>
        <v>INI-034|Supply Chain|Inventory and planning|CAP_INVENTORY_PLANNING</v>
      </c>
      <c r="O35" s="177" t="str">
        <f>_ENGINE_Initiatives!CX38</f>
        <v>Initiative ontology uses capability=CAP_INVENTORY_PLANNING; bridge=BRG-089; treatment=TRT-INVENTORY_PLANNING-INITIAL; wording=IW-ALL-INVENTORY_PLANNING</v>
      </c>
    </row>
    <row r="36" spans="1:15" ht="28.3" customHeight="1">
      <c r="A36" s="177" t="str">
        <f>_ENGINE_Initiatives!CR39</f>
        <v>INIT-ONT-0035</v>
      </c>
      <c r="B36" s="177" t="str">
        <f>_ENGINE_Initiatives!A39</f>
        <v>INI-035</v>
      </c>
      <c r="C36" s="177" t="str">
        <f>_ENGINE_Initiatives!B39</f>
        <v>Supply Chain</v>
      </c>
      <c r="D36" s="177" t="str">
        <f>_ENGINE_Initiatives!C39</f>
        <v>Technology and risk</v>
      </c>
      <c r="E36" s="177" t="str">
        <f>_ENGINE_Initiatives!E39</f>
        <v>STR-08</v>
      </c>
      <c r="F36" s="177" t="str">
        <f>_ENGINE_Initiatives!F39</f>
        <v>Implement supply-chain technology, risk monitoring and supplier data</v>
      </c>
      <c r="G36" s="177" t="str">
        <f>_ENGINE_Initiatives!BZ39</f>
        <v>CAP_SRE_OBSERVABILITY</v>
      </c>
      <c r="H36" s="177" t="str">
        <f>_ENGINE_Initiatives!CB39</f>
        <v>BRG-093</v>
      </c>
      <c r="I36" s="177" t="str">
        <f>_ENGINE_Initiatives!CE39</f>
        <v>TRT-SRE_OBSERVABILITY-INITIAL</v>
      </c>
      <c r="J36" s="177" t="str">
        <f>_ENGINE_Initiatives!CK39</f>
        <v>IW-ALL-SRE_OBSERVABILITY</v>
      </c>
      <c r="K36" s="177" t="str">
        <f>_ENGINE_Initiatives!CV39</f>
        <v>Active</v>
      </c>
      <c r="L36" s="177" t="str">
        <f>_ENGINE_Initiatives!CW39</f>
        <v>OK: capability-driven</v>
      </c>
      <c r="M36" s="177" t="str">
        <f>IF(_ENGINE_Initiatives!CV39="Active","Yes","No")</f>
        <v>Yes</v>
      </c>
      <c r="N36" s="177" t="str">
        <f>_ENGINE_Initiatives!CU39</f>
        <v>INI-035|Supply Chain|Technology and risk|CAP_SRE_OBSERVABILITY</v>
      </c>
      <c r="O36" s="177" t="str">
        <f>_ENGINE_Initiatives!CX39</f>
        <v>Initiative ontology uses capability=CAP_SRE_OBSERVABILITY; bridge=BRG-093; treatment=TRT-SRE_OBSERVABILITY-INITIAL; wording=IW-ALL-SRE_OBSERVABILITY</v>
      </c>
    </row>
    <row r="37" spans="1:15" ht="28.3" customHeight="1">
      <c r="A37" s="177" t="str">
        <f>_ENGINE_Initiatives!CR40</f>
        <v>INIT-ONT-0036</v>
      </c>
      <c r="B37" s="177" t="str">
        <f>_ENGINE_Initiatives!A40</f>
        <v>INI-036</v>
      </c>
      <c r="C37" s="177" t="str">
        <f>_ENGINE_Initiatives!B40</f>
        <v>Manufacturing MES</v>
      </c>
      <c r="D37" s="177" t="str">
        <f>_ENGINE_Initiatives!C40</f>
        <v>Production footprint</v>
      </c>
      <c r="E37" s="177" t="str">
        <f>_ENGINE_Initiatives!E40</f>
        <v>STR-09</v>
      </c>
      <c r="F37" s="177" t="str">
        <f>_ENGINE_Initiatives!F40</f>
        <v>Assess production footprint and build alternate production options</v>
      </c>
      <c r="G37" s="177" t="str">
        <f>_ENGINE_Initiatives!BZ40</f>
        <v>CAP_PRODUCTION_CAPACITY</v>
      </c>
      <c r="H37" s="177" t="str">
        <f>_ENGINE_Initiatives!CB40</f>
        <v>BRG-058</v>
      </c>
      <c r="I37" s="177" t="str">
        <f>_ENGINE_Initiatives!CE40</f>
        <v>TRT-PRODUCTION_CAPACITY-INITIAL</v>
      </c>
      <c r="J37" s="177" t="str">
        <f>_ENGINE_Initiatives!CK40</f>
        <v>IW-ALL-PRODUCTION_CAPACITY</v>
      </c>
      <c r="K37" s="177" t="str">
        <f>_ENGINE_Initiatives!CV40</f>
        <v>Active</v>
      </c>
      <c r="L37" s="177" t="str">
        <f>_ENGINE_Initiatives!CW40</f>
        <v>OK: capability-driven</v>
      </c>
      <c r="M37" s="177" t="str">
        <f>IF(_ENGINE_Initiatives!CV40="Active","Yes","No")</f>
        <v>Yes</v>
      </c>
      <c r="N37" s="177" t="str">
        <f>_ENGINE_Initiatives!CU40</f>
        <v>INI-036|Manufacturing MES|Production footprint|CAP_PRODUCTION_CAPACITY</v>
      </c>
      <c r="O37" s="177" t="str">
        <f>_ENGINE_Initiatives!CX40</f>
        <v>Initiative ontology uses capability=CAP_PRODUCTION_CAPACITY; bridge=BRG-058; treatment=TRT-PRODUCTION_CAPACITY-INITIAL; wording=IW-ALL-PRODUCTION_CAPACITY</v>
      </c>
    </row>
    <row r="38" spans="1:15" ht="28.3" customHeight="1">
      <c r="A38" s="177" t="str">
        <f>_ENGINE_Initiatives!CR41</f>
        <v>INIT-ONT-0037</v>
      </c>
      <c r="B38" s="177" t="str">
        <f>_ENGINE_Initiatives!A41</f>
        <v>INI-037</v>
      </c>
      <c r="C38" s="177" t="str">
        <f>_ENGINE_Initiatives!B41</f>
        <v>Manufacturing MES</v>
      </c>
      <c r="D38" s="177" t="str">
        <f>_ENGINE_Initiatives!C41</f>
        <v>MES and shop floor</v>
      </c>
      <c r="E38" s="177" t="str">
        <f>_ENGINE_Initiatives!E41</f>
        <v>STR-09</v>
      </c>
      <c r="F38" s="177" t="str">
        <f>_ENGINE_Initiatives!F41</f>
        <v>Implement MES and shop-floor digital control foundation</v>
      </c>
      <c r="G38" s="177" t="str">
        <f>_ENGINE_Initiatives!BZ41</f>
        <v>CAP_WMS_WAREHOUSE</v>
      </c>
      <c r="H38" s="177" t="str">
        <f>_ENGINE_Initiatives!CB41</f>
        <v>BRG-055</v>
      </c>
      <c r="I38" s="177" t="str">
        <f>_ENGINE_Initiatives!CE41</f>
        <v>TRT-WMS_WAREHOUSE-INITIAL</v>
      </c>
      <c r="J38" s="177" t="str">
        <f>_ENGINE_Initiatives!CK41</f>
        <v>IW-ALL-WMS_WAREHOUSE</v>
      </c>
      <c r="K38" s="177" t="str">
        <f>_ENGINE_Initiatives!CV41</f>
        <v>Active</v>
      </c>
      <c r="L38" s="177" t="str">
        <f>_ENGINE_Initiatives!CW41</f>
        <v>OK: capability-driven</v>
      </c>
      <c r="M38" s="177" t="str">
        <f>IF(_ENGINE_Initiatives!CV41="Active","Yes","No")</f>
        <v>Yes</v>
      </c>
      <c r="N38" s="177" t="str">
        <f>_ENGINE_Initiatives!CU41</f>
        <v>INI-037|Manufacturing MES|MES and shop floor|CAP_WMS_WAREHOUSE</v>
      </c>
      <c r="O38" s="177" t="str">
        <f>_ENGINE_Initiatives!CX41</f>
        <v>Initiative ontology uses capability=CAP_WMS_WAREHOUSE; bridge=BRG-055; treatment=TRT-WMS_WAREHOUSE-INITIAL; wording=IW-ALL-WMS_WAREHOUSE</v>
      </c>
    </row>
    <row r="39" spans="1:15" ht="28.3" customHeight="1">
      <c r="A39" s="177" t="str">
        <f>_ENGINE_Initiatives!CR42</f>
        <v>INIT-ONT-0038</v>
      </c>
      <c r="B39" s="177" t="str">
        <f>_ENGINE_Initiatives!A42</f>
        <v>INI-038</v>
      </c>
      <c r="C39" s="177" t="str">
        <f>_ENGINE_Initiatives!B42</f>
        <v>Manufacturing MES</v>
      </c>
      <c r="D39" s="177" t="str">
        <f>_ENGINE_Initiatives!C42</f>
        <v>Maintenance and assets</v>
      </c>
      <c r="E39" s="177" t="str">
        <f>_ENGINE_Initiatives!E42</f>
        <v>STR-09</v>
      </c>
      <c r="F39" s="177" t="str">
        <f>_ENGINE_Initiatives!F42</f>
        <v>Build maintenance, spare-parts and asset resilience program</v>
      </c>
      <c r="G39" s="177" t="str">
        <f>_ENGINE_Initiatives!BZ42</f>
        <v>CAP_BACKUP_RECOVERY</v>
      </c>
      <c r="H39" s="177" t="str">
        <f>_ENGINE_Initiatives!CB42</f>
        <v>BRG-056</v>
      </c>
      <c r="I39" s="177" t="str">
        <f>_ENGINE_Initiatives!CE42</f>
        <v>TRT-BACKUP_RECOVERY-INITIAL</v>
      </c>
      <c r="J39" s="177" t="str">
        <f>_ENGINE_Initiatives!CK42</f>
        <v>IW-ALL-BACKUP_RECOVERY</v>
      </c>
      <c r="K39" s="177" t="str">
        <f>_ENGINE_Initiatives!CV42</f>
        <v>Active</v>
      </c>
      <c r="L39" s="177" t="str">
        <f>_ENGINE_Initiatives!CW42</f>
        <v>OK: capability-driven</v>
      </c>
      <c r="M39" s="177" t="str">
        <f>IF(_ENGINE_Initiatives!CV42="Active","Yes","No")</f>
        <v>Yes</v>
      </c>
      <c r="N39" s="177" t="str">
        <f>_ENGINE_Initiatives!CU42</f>
        <v>INI-038|Manufacturing MES|Maintenance and assets|CAP_BACKUP_RECOVERY</v>
      </c>
      <c r="O39" s="177" t="str">
        <f>_ENGINE_Initiatives!CX42</f>
        <v>Initiative ontology uses capability=CAP_BACKUP_RECOVERY; bridge=BRG-056; treatment=TRT-BACKUP_RECOVERY-INITIAL; wording=IW-ALL-BACKUP_RECOVERY</v>
      </c>
    </row>
    <row r="40" spans="1:15" ht="28.3" customHeight="1">
      <c r="A40" s="177" t="str">
        <f>_ENGINE_Initiatives!CR43</f>
        <v>INIT-ONT-0039</v>
      </c>
      <c r="B40" s="177" t="str">
        <f>_ENGINE_Initiatives!A43</f>
        <v>INI-039</v>
      </c>
      <c r="C40" s="177" t="str">
        <f>_ENGINE_Initiatives!B43</f>
        <v>Manufacturing MES</v>
      </c>
      <c r="D40" s="177" t="str">
        <f>_ENGINE_Initiatives!C43</f>
        <v>Quality and safety</v>
      </c>
      <c r="E40" s="177" t="str">
        <f>_ENGINE_Initiatives!E43</f>
        <v>STR-09</v>
      </c>
      <c r="F40" s="177" t="str">
        <f>_ENGINE_Initiatives!F43</f>
        <v>Strengthen manufacturing quality, safety and release controls</v>
      </c>
      <c r="G40" s="177" t="str">
        <f>_ENGINE_Initiatives!BZ43</f>
        <v>CAP_SUPPLIER_RESILIENCE</v>
      </c>
      <c r="H40" s="177" t="str">
        <f>_ENGINE_Initiatives!CB43</f>
        <v>BRG-059</v>
      </c>
      <c r="I40" s="177" t="str">
        <f>_ENGINE_Initiatives!CE43</f>
        <v>TRT-SUPPLIER_RESILIENCE-INITIAL</v>
      </c>
      <c r="J40" s="177" t="str">
        <f>_ENGINE_Initiatives!CK43</f>
        <v>IW-ALL-SUPPLIER_RESILIENCE</v>
      </c>
      <c r="K40" s="177" t="str">
        <f>_ENGINE_Initiatives!CV43</f>
        <v>Active</v>
      </c>
      <c r="L40" s="177" t="str">
        <f>_ENGINE_Initiatives!CW43</f>
        <v>OK: capability-driven</v>
      </c>
      <c r="M40" s="177" t="str">
        <f>IF(_ENGINE_Initiatives!CV43="Active","Yes","No")</f>
        <v>Yes</v>
      </c>
      <c r="N40" s="177" t="str">
        <f>_ENGINE_Initiatives!CU43</f>
        <v>INI-039|Manufacturing MES|Quality and safety|CAP_SUPPLIER_RESILIENCE</v>
      </c>
      <c r="O40" s="177" t="str">
        <f>_ENGINE_Initiatives!CX43</f>
        <v>Initiative ontology uses capability=CAP_SUPPLIER_RESILIENCE; bridge=BRG-059; treatment=TRT-SUPPLIER_RESILIENCE-INITIAL; wording=IW-ALL-SUPPLIER_RESILIENCE</v>
      </c>
    </row>
    <row r="41" spans="1:15" ht="28.3" customHeight="1">
      <c r="A41" s="177" t="str">
        <f>_ENGINE_Initiatives!CR44</f>
        <v>INIT-ONT-0040</v>
      </c>
      <c r="B41" s="177" t="str">
        <f>_ENGINE_Initiatives!A44</f>
        <v>INI-040</v>
      </c>
      <c r="C41" s="177" t="str">
        <f>_ENGINE_Initiatives!B44</f>
        <v>Manufacturing MES</v>
      </c>
      <c r="D41" s="177" t="str">
        <f>_ENGINE_Initiatives!C44</f>
        <v>OT security</v>
      </c>
      <c r="E41" s="177" t="str">
        <f>_ENGINE_Initiatives!E44</f>
        <v>STR-09</v>
      </c>
      <c r="F41" s="177" t="str">
        <f>_ENGINE_Initiatives!F44</f>
        <v>Implement OT security and industrial network resilience controls</v>
      </c>
      <c r="G41" s="177" t="str">
        <f>_ENGINE_Initiatives!BZ44</f>
        <v>CAP_INCIDENT_RESPONSE</v>
      </c>
      <c r="H41" s="177" t="str">
        <f>_ENGINE_Initiatives!CB44</f>
        <v>BRG-057</v>
      </c>
      <c r="I41" s="177" t="str">
        <f>_ENGINE_Initiatives!CE44</f>
        <v>TRT-INCIDENT_RESPONSE-INITIAL</v>
      </c>
      <c r="J41" s="177" t="str">
        <f>_ENGINE_Initiatives!CK44</f>
        <v>IW-ALL-INCIDENT_RESPONSE</v>
      </c>
      <c r="K41" s="177" t="str">
        <f>_ENGINE_Initiatives!CV44</f>
        <v>Active</v>
      </c>
      <c r="L41" s="177" t="str">
        <f>_ENGINE_Initiatives!CW44</f>
        <v>OK: capability-driven</v>
      </c>
      <c r="M41" s="177" t="str">
        <f>IF(_ENGINE_Initiatives!CV44="Active","Yes","No")</f>
        <v>Yes</v>
      </c>
      <c r="N41" s="177" t="str">
        <f>_ENGINE_Initiatives!CU44</f>
        <v>INI-040|Manufacturing MES|OT security|CAP_INCIDENT_RESPONSE</v>
      </c>
      <c r="O41" s="177" t="str">
        <f>_ENGINE_Initiatives!CX44</f>
        <v>Initiative ontology uses capability=CAP_INCIDENT_RESPONSE; bridge=BRG-057; treatment=TRT-INCIDENT_RESPONSE-INITIAL; wording=IW-ALL-INCIDENT_RESPONSE</v>
      </c>
    </row>
    <row r="42" spans="1:15" ht="28.3" customHeight="1">
      <c r="A42" s="177" t="str">
        <f>_ENGINE_Initiatives!CR45</f>
        <v>INIT-ONT-0041</v>
      </c>
      <c r="B42" s="177" t="str">
        <f>_ENGINE_Initiatives!A45</f>
        <v>INI-041</v>
      </c>
      <c r="C42" s="177" t="str">
        <f>_ENGINE_Initiatives!B45</f>
        <v>Sales CRM</v>
      </c>
      <c r="D42" s="177" t="str">
        <f>_ENGINE_Initiatives!C45</f>
        <v>CRM foundation</v>
      </c>
      <c r="E42" s="177" t="str">
        <f>_ENGINE_Initiatives!E45</f>
        <v>STR-12</v>
      </c>
      <c r="F42" s="177" t="str">
        <f>_ENGINE_Initiatives!F45</f>
        <v>Stabilize CRM data model, ownership and adoption</v>
      </c>
      <c r="G42" s="177" t="str">
        <f>_ENGINE_Initiatives!BZ45</f>
        <v>CAP_SRE_OBSERVABILITY</v>
      </c>
      <c r="H42" s="177" t="str">
        <f>_ENGINE_Initiatives!CB45</f>
        <v>BRG-077</v>
      </c>
      <c r="I42" s="177" t="str">
        <f>_ENGINE_Initiatives!CE45</f>
        <v>TRT-SRE_OBSERVABILITY-INITIAL</v>
      </c>
      <c r="J42" s="177" t="str">
        <f>_ENGINE_Initiatives!CK45</f>
        <v>IW-ALL-SRE_OBSERVABILITY</v>
      </c>
      <c r="K42" s="177" t="str">
        <f>_ENGINE_Initiatives!CV45</f>
        <v>Active</v>
      </c>
      <c r="L42" s="177" t="str">
        <f>_ENGINE_Initiatives!CW45</f>
        <v>OK: capability-driven</v>
      </c>
      <c r="M42" s="177" t="str">
        <f>IF(_ENGINE_Initiatives!CV45="Active","Yes","No")</f>
        <v>Yes</v>
      </c>
      <c r="N42" s="177" t="str">
        <f>_ENGINE_Initiatives!CU45</f>
        <v>INI-041|Sales CRM|CRM foundation|CAP_SRE_OBSERVABILITY</v>
      </c>
      <c r="O42" s="177" t="str">
        <f>_ENGINE_Initiatives!CX45</f>
        <v>Initiative ontology uses capability=CAP_SRE_OBSERVABILITY; bridge=BRG-077; treatment=TRT-SRE_OBSERVABILITY-INITIAL; wording=IW-ALL-SRE_OBSERVABILITY</v>
      </c>
    </row>
    <row r="43" spans="1:15" ht="28.3" customHeight="1">
      <c r="A43" s="177" t="str">
        <f>_ENGINE_Initiatives!CR46</f>
        <v>INIT-ONT-0042</v>
      </c>
      <c r="B43" s="177" t="str">
        <f>_ENGINE_Initiatives!A46</f>
        <v>INI-042</v>
      </c>
      <c r="C43" s="177" t="str">
        <f>_ENGINE_Initiatives!B46</f>
        <v>Sales CRM</v>
      </c>
      <c r="D43" s="177" t="str">
        <f>_ENGINE_Initiatives!C46</f>
        <v>Pipeline and forecast</v>
      </c>
      <c r="E43" s="177" t="str">
        <f>_ENGINE_Initiatives!E46</f>
        <v>STR-12</v>
      </c>
      <c r="F43" s="177" t="str">
        <f>_ENGINE_Initiatives!F46</f>
        <v>Build pipeline visibility, forecast discipline and revenue scenarios</v>
      </c>
      <c r="G43" s="177" t="str">
        <f>_ENGINE_Initiatives!BZ46</f>
        <v>CAP_PLATFORM_CONTINUITY</v>
      </c>
      <c r="H43" s="177" t="str">
        <f>_ENGINE_Initiatives!CB46</f>
        <v>BRG-080</v>
      </c>
      <c r="I43" s="177" t="str">
        <f>_ENGINE_Initiatives!CE46</f>
        <v>TRT-PLATFORM_CONTINUITY-INITIAL</v>
      </c>
      <c r="J43" s="177" t="str">
        <f>_ENGINE_Initiatives!CK46</f>
        <v>IW-ALL-PLATFORM_CONTINUITY</v>
      </c>
      <c r="K43" s="177" t="str">
        <f>_ENGINE_Initiatives!CV46</f>
        <v>Active</v>
      </c>
      <c r="L43" s="177" t="str">
        <f>_ENGINE_Initiatives!CW46</f>
        <v>OK: capability-driven</v>
      </c>
      <c r="M43" s="177" t="str">
        <f>IF(_ENGINE_Initiatives!CV46="Active","Yes","No")</f>
        <v>Yes</v>
      </c>
      <c r="N43" s="177" t="str">
        <f>_ENGINE_Initiatives!CU46</f>
        <v>INI-042|Sales CRM|Pipeline and forecast|CAP_PLATFORM_CONTINUITY</v>
      </c>
      <c r="O43" s="177" t="str">
        <f>_ENGINE_Initiatives!CX46</f>
        <v>Initiative ontology uses capability=CAP_PLATFORM_CONTINUITY; bridge=BRG-080; treatment=TRT-PLATFORM_CONTINUITY-INITIAL; wording=IW-ALL-PLATFORM_CONTINUITY</v>
      </c>
    </row>
    <row r="44" spans="1:15" ht="28.3" customHeight="1">
      <c r="A44" s="177" t="str">
        <f>_ENGINE_Initiatives!CR47</f>
        <v>INIT-ONT-0043</v>
      </c>
      <c r="B44" s="177" t="str">
        <f>_ENGINE_Initiatives!A47</f>
        <v>INI-043</v>
      </c>
      <c r="C44" s="177" t="str">
        <f>_ENGINE_Initiatives!B47</f>
        <v>Sales CRM</v>
      </c>
      <c r="D44" s="177" t="str">
        <f>_ENGINE_Initiatives!C47</f>
        <v>Customer continuity</v>
      </c>
      <c r="E44" s="177" t="str">
        <f>_ENGINE_Initiatives!E47</f>
        <v>STR-12</v>
      </c>
      <c r="F44" s="177" t="str">
        <f>_ENGINE_Initiatives!F47</f>
        <v>Implement customer continuity and key-account protection program</v>
      </c>
      <c r="G44" s="177" t="str">
        <f>_ENGINE_Initiatives!BZ47</f>
        <v>CAP_PAYMENT_CONTINUITY</v>
      </c>
      <c r="H44" s="177" t="str">
        <f>_ENGINE_Initiatives!CB47</f>
        <v>BRG-078</v>
      </c>
      <c r="I44" s="177" t="str">
        <f>_ENGINE_Initiatives!CE47</f>
        <v>TRT-PAYMENT_CONTINUITY-INITIAL</v>
      </c>
      <c r="J44" s="177" t="str">
        <f>_ENGINE_Initiatives!CK47</f>
        <v>IW-ALL-PAYMENT_CONTINUITY</v>
      </c>
      <c r="K44" s="177" t="str">
        <f>_ENGINE_Initiatives!CV47</f>
        <v>Active</v>
      </c>
      <c r="L44" s="177" t="str">
        <f>_ENGINE_Initiatives!CW47</f>
        <v>OK: capability-driven</v>
      </c>
      <c r="M44" s="177" t="str">
        <f>IF(_ENGINE_Initiatives!CV47="Active","Yes","No")</f>
        <v>Yes</v>
      </c>
      <c r="N44" s="177" t="str">
        <f>_ENGINE_Initiatives!CU47</f>
        <v>INI-043|Sales CRM|Customer continuity|CAP_PAYMENT_CONTINUITY</v>
      </c>
      <c r="O44" s="177" t="str">
        <f>_ENGINE_Initiatives!CX47</f>
        <v>Initiative ontology uses capability=CAP_PAYMENT_CONTINUITY; bridge=BRG-078; treatment=TRT-PAYMENT_CONTINUITY-INITIAL; wording=IW-ALL-PAYMENT_CONTINUITY</v>
      </c>
    </row>
    <row r="45" spans="1:15" ht="28.3" customHeight="1">
      <c r="A45" s="177" t="str">
        <f>_ENGINE_Initiatives!CR48</f>
        <v>INIT-ONT-0044</v>
      </c>
      <c r="B45" s="177" t="str">
        <f>_ENGINE_Initiatives!A48</f>
        <v>INI-044</v>
      </c>
      <c r="C45" s="177" t="str">
        <f>_ENGINE_Initiatives!B48</f>
        <v>Sales CRM</v>
      </c>
      <c r="D45" s="177" t="str">
        <f>_ENGINE_Initiatives!C48</f>
        <v>Revenue controls</v>
      </c>
      <c r="E45" s="177" t="str">
        <f>_ENGINE_Initiatives!E48</f>
        <v>STR-12</v>
      </c>
      <c r="F45" s="177" t="str">
        <f>_ENGINE_Initiatives!F48</f>
        <v>Strengthen pricing, discounting and revenue-control governance</v>
      </c>
      <c r="G45" s="177" t="str">
        <f>_ENGINE_Initiatives!BZ48</f>
        <v>CAP_PAYMENT_CONTINUITY</v>
      </c>
      <c r="H45" s="177" t="str">
        <f>_ENGINE_Initiatives!CB48</f>
        <v>BRG-081</v>
      </c>
      <c r="I45" s="177" t="str">
        <f>_ENGINE_Initiatives!CE48</f>
        <v>TRT-PAYMENT_CONTINUITY-INITIAL</v>
      </c>
      <c r="J45" s="177" t="str">
        <f>_ENGINE_Initiatives!CK48</f>
        <v>IW-ALL-PAYMENT_CONTINUITY</v>
      </c>
      <c r="K45" s="177" t="str">
        <f>_ENGINE_Initiatives!CV48</f>
        <v>Active</v>
      </c>
      <c r="L45" s="177" t="str">
        <f>_ENGINE_Initiatives!CW48</f>
        <v>OK: capability-driven</v>
      </c>
      <c r="M45" s="177" t="str">
        <f>IF(_ENGINE_Initiatives!CV48="Active","Yes","No")</f>
        <v>Yes</v>
      </c>
      <c r="N45" s="177" t="str">
        <f>_ENGINE_Initiatives!CU48</f>
        <v>INI-044|Sales CRM|Revenue controls|CAP_PAYMENT_CONTINUITY</v>
      </c>
      <c r="O45" s="177" t="str">
        <f>_ENGINE_Initiatives!CX48</f>
        <v>Initiative ontology uses capability=CAP_PAYMENT_CONTINUITY; bridge=BRG-081; treatment=TRT-PAYMENT_CONTINUITY-INITIAL; wording=IW-ALL-PAYMENT_CONTINUITY</v>
      </c>
    </row>
    <row r="46" spans="1:15" ht="28.3" customHeight="1">
      <c r="A46" s="177" t="str">
        <f>_ENGINE_Initiatives!CR49</f>
        <v>INIT-ONT-0045</v>
      </c>
      <c r="B46" s="177" t="str">
        <f>_ENGINE_Initiatives!A49</f>
        <v>INI-045</v>
      </c>
      <c r="C46" s="177" t="str">
        <f>_ENGINE_Initiatives!B49</f>
        <v>Marketing Comms</v>
      </c>
      <c r="D46" s="177" t="str">
        <f>_ENGINE_Initiatives!C49</f>
        <v>Brand and market presence</v>
      </c>
      <c r="E46" s="177" t="str">
        <f>_ENGINE_Initiatives!E49</f>
        <v>STR-12</v>
      </c>
      <c r="F46" s="177" t="str">
        <f>_ENGINE_Initiatives!F49</f>
        <v>Build resilient brand presence and digital demand generation</v>
      </c>
      <c r="G46" s="177" t="str">
        <f>_ENGINE_Initiatives!BZ49</f>
        <v>CAP_CUSTOMER_COMMUNICATION</v>
      </c>
      <c r="H46" s="177" t="str">
        <f>_ENGINE_Initiatives!CB49</f>
        <v>BRG-061</v>
      </c>
      <c r="I46" s="177" t="str">
        <f>_ENGINE_Initiatives!CE49</f>
        <v>TRT-CUSTOMER_COMMUNICATION-INITIAL</v>
      </c>
      <c r="J46" s="177" t="str">
        <f>_ENGINE_Initiatives!CK49</f>
        <v>IW-ALL-CUSTOMER_COMMUNICATION</v>
      </c>
      <c r="K46" s="177" t="str">
        <f>_ENGINE_Initiatives!CV49</f>
        <v>Active</v>
      </c>
      <c r="L46" s="177" t="str">
        <f>_ENGINE_Initiatives!CW49</f>
        <v>OK: capability-driven</v>
      </c>
      <c r="M46" s="177" t="str">
        <f>IF(_ENGINE_Initiatives!CV49="Active","Yes","No")</f>
        <v>Yes</v>
      </c>
      <c r="N46" s="177" t="str">
        <f>_ENGINE_Initiatives!CU49</f>
        <v>INI-045|Marketing Comms|Brand and market presence|CAP_CUSTOMER_COMMUNICATION</v>
      </c>
      <c r="O46" s="177" t="str">
        <f>_ENGINE_Initiatives!CX49</f>
        <v>Initiative ontology uses capability=CAP_CUSTOMER_COMMUNICATION; bridge=BRG-061; treatment=TRT-CUSTOMER_COMMUNICATION-INITIAL; wording=IW-ALL-CUSTOMER_COMMUNICATION</v>
      </c>
    </row>
    <row r="47" spans="1:15" ht="28.3" customHeight="1">
      <c r="A47" s="177" t="str">
        <f>_ENGINE_Initiatives!CR50</f>
        <v>INIT-ONT-0046</v>
      </c>
      <c r="B47" s="177" t="str">
        <f>_ENGINE_Initiatives!A50</f>
        <v>INI-046</v>
      </c>
      <c r="C47" s="177" t="str">
        <f>_ENGINE_Initiatives!B50</f>
        <v>Marketing Comms</v>
      </c>
      <c r="D47" s="177" t="str">
        <f>_ENGINE_Initiatives!C50</f>
        <v>Crisis communication</v>
      </c>
      <c r="E47" s="177" t="str">
        <f>_ENGINE_Initiatives!E50</f>
        <v>STR-02</v>
      </c>
      <c r="F47" s="177" t="str">
        <f>_ENGINE_Initiatives!F50</f>
        <v>Prepare crisis communication playbooks and customer notification flows</v>
      </c>
      <c r="G47" s="177" t="str">
        <f>_ENGINE_Initiatives!BZ50</f>
        <v>CAP_CUSTOMER_COMMUNICATION</v>
      </c>
      <c r="H47" s="177" t="str">
        <f>_ENGINE_Initiatives!CB50</f>
        <v>BRG-062</v>
      </c>
      <c r="I47" s="177" t="str">
        <f>_ENGINE_Initiatives!CE50</f>
        <v>TRT-CUSTOMER_COMMUNICATION-INITIAL</v>
      </c>
      <c r="J47" s="177" t="str">
        <f>_ENGINE_Initiatives!CK50</f>
        <v>IW-ALL-CUSTOMER_COMMUNICATION</v>
      </c>
      <c r="K47" s="177" t="str">
        <f>_ENGINE_Initiatives!CV50</f>
        <v>Active</v>
      </c>
      <c r="L47" s="177" t="str">
        <f>_ENGINE_Initiatives!CW50</f>
        <v>OK: capability-driven</v>
      </c>
      <c r="M47" s="177" t="str">
        <f>IF(_ENGINE_Initiatives!CV50="Active","Yes","No")</f>
        <v>Yes</v>
      </c>
      <c r="N47" s="177" t="str">
        <f>_ENGINE_Initiatives!CU50</f>
        <v>INI-046|Marketing Comms|Crisis communication|CAP_CUSTOMER_COMMUNICATION</v>
      </c>
      <c r="O47" s="177" t="str">
        <f>_ENGINE_Initiatives!CX50</f>
        <v>Initiative ontology uses capability=CAP_CUSTOMER_COMMUNICATION; bridge=BRG-062; treatment=TRT-CUSTOMER_COMMUNICATION-INITIAL; wording=IW-ALL-CUSTOMER_COMMUNICATION</v>
      </c>
    </row>
    <row r="48" spans="1:15" ht="28.3" customHeight="1">
      <c r="A48" s="177" t="str">
        <f>_ENGINE_Initiatives!CR51</f>
        <v>INIT-ONT-0047</v>
      </c>
      <c r="B48" s="177" t="str">
        <f>_ENGINE_Initiatives!A51</f>
        <v>INI-047</v>
      </c>
      <c r="C48" s="177" t="str">
        <f>_ENGINE_Initiatives!B51</f>
        <v>Marketing Comms</v>
      </c>
      <c r="D48" s="177" t="str">
        <f>_ENGINE_Initiatives!C51</f>
        <v>Marketing operations</v>
      </c>
      <c r="E48" s="177" t="str">
        <f>_ENGINE_Initiatives!E51</f>
        <v>STR-12</v>
      </c>
      <c r="F48" s="177" t="str">
        <f>_ENGINE_Initiatives!F51</f>
        <v>Standardize marketing operations, content and analytics cadence</v>
      </c>
      <c r="G48" s="177" t="str">
        <f>_ENGINE_Initiatives!BZ51</f>
        <v>CAP_CRM_CUSTOMER_SERVICE</v>
      </c>
      <c r="H48" s="177" t="str">
        <f>_ENGINE_Initiatives!CB51</f>
        <v>BRG-063</v>
      </c>
      <c r="I48" s="177" t="str">
        <f>_ENGINE_Initiatives!CE51</f>
        <v>TRT-CRM_CUSTOMER_SERVICE-INITIAL</v>
      </c>
      <c r="J48" s="177" t="str">
        <f>_ENGINE_Initiatives!CK51</f>
        <v>IW-ALL-CRM_CUSTOMER_SERVICE</v>
      </c>
      <c r="K48" s="177" t="str">
        <f>_ENGINE_Initiatives!CV51</f>
        <v>Active</v>
      </c>
      <c r="L48" s="177" t="str">
        <f>_ENGINE_Initiatives!CW51</f>
        <v>OK: capability-driven</v>
      </c>
      <c r="M48" s="177" t="str">
        <f>IF(_ENGINE_Initiatives!CV51="Active","Yes","No")</f>
        <v>Yes</v>
      </c>
      <c r="N48" s="177" t="str">
        <f>_ENGINE_Initiatives!CU51</f>
        <v>INI-047|Marketing Comms|Marketing operations|CAP_CRM_CUSTOMER_SERVICE</v>
      </c>
      <c r="O48" s="177" t="str">
        <f>_ENGINE_Initiatives!CX51</f>
        <v>Initiative ontology uses capability=CAP_CRM_CUSTOMER_SERVICE; bridge=BRG-063; treatment=TRT-CRM_CUSTOMER_SERVICE-INITIAL; wording=IW-ALL-CRM_CUSTOMER_SERVICE</v>
      </c>
    </row>
    <row r="49" spans="1:15" ht="28.3" customHeight="1">
      <c r="A49" s="177" t="str">
        <f>_ENGINE_Initiatives!CR52</f>
        <v>INIT-ONT-0048</v>
      </c>
      <c r="B49" s="177" t="str">
        <f>_ENGINE_Initiatives!A52</f>
        <v>INI-048</v>
      </c>
      <c r="C49" s="177" t="str">
        <f>_ENGINE_Initiatives!B52</f>
        <v>IT Cloud DR</v>
      </c>
      <c r="D49" s="177" t="str">
        <f>_ENGINE_Initiatives!C52</f>
        <v>IT inventory and architecture</v>
      </c>
      <c r="E49" s="177" t="str">
        <f>_ENGINE_Initiatives!E52</f>
        <v>STR-03</v>
      </c>
      <c r="F49" s="177" t="str">
        <f>_ENGINE_Initiatives!F52</f>
        <v>Create IT asset, application and architecture criticality map</v>
      </c>
      <c r="G49" s="177" t="str">
        <f>_ENGINE_Initiatives!BZ52</f>
        <v>CAP_IAM_PAM</v>
      </c>
      <c r="H49" s="177" t="str">
        <f>_ENGINE_Initiatives!CB52</f>
        <v>BRG-045</v>
      </c>
      <c r="I49" s="177" t="str">
        <f>_ENGINE_Initiatives!CE52</f>
        <v>TRT-IAM_PAM-INITIAL</v>
      </c>
      <c r="J49" s="177" t="str">
        <f>_ENGINE_Initiatives!CK52</f>
        <v>IW-ALL-IAM_PAM</v>
      </c>
      <c r="K49" s="177" t="str">
        <f>_ENGINE_Initiatives!CV52</f>
        <v>Active</v>
      </c>
      <c r="L49" s="177" t="str">
        <f>_ENGINE_Initiatives!CW52</f>
        <v>OK: capability-driven</v>
      </c>
      <c r="M49" s="177" t="str">
        <f>IF(_ENGINE_Initiatives!CV52="Active","Yes","No")</f>
        <v>Yes</v>
      </c>
      <c r="N49" s="177" t="str">
        <f>_ENGINE_Initiatives!CU52</f>
        <v>INI-048|IT Cloud DR|IT inventory and architecture|CAP_IAM_PAM</v>
      </c>
      <c r="O49" s="177" t="str">
        <f>_ENGINE_Initiatives!CX52</f>
        <v>Initiative ontology uses capability=CAP_IAM_PAM; bridge=BRG-045; treatment=TRT-IAM_PAM-INITIAL; wording=IW-ALL-IAM_PAM</v>
      </c>
    </row>
    <row r="50" spans="1:15" ht="28.3" customHeight="1">
      <c r="A50" s="177" t="str">
        <f>_ENGINE_Initiatives!CR53</f>
        <v>INIT-ONT-0049</v>
      </c>
      <c r="B50" s="177" t="str">
        <f>_ENGINE_Initiatives!A53</f>
        <v>INI-049</v>
      </c>
      <c r="C50" s="177" t="str">
        <f>_ENGINE_Initiatives!B53</f>
        <v>IT Cloud DR</v>
      </c>
      <c r="D50" s="177" t="str">
        <f>_ENGINE_Initiatives!C53</f>
        <v>Cloud usage</v>
      </c>
      <c r="E50" s="177" t="str">
        <f>_ENGINE_Initiatives!E53</f>
        <v>STR-03</v>
      </c>
      <c r="F50" s="177" t="str">
        <f>_ENGINE_Initiatives!F53</f>
        <v>Optimize cloud usage, landing zones and infrastructure resilience</v>
      </c>
      <c r="G50" s="177" t="str">
        <f>_ENGINE_Initiatives!BZ53</f>
        <v>CAP_IAM_PAM</v>
      </c>
      <c r="H50" s="177" t="str">
        <f>_ENGINE_Initiatives!CB53</f>
        <v>BRG-044</v>
      </c>
      <c r="I50" s="177" t="str">
        <f>_ENGINE_Initiatives!CE53</f>
        <v>TRT-IAM_PAM-INITIAL</v>
      </c>
      <c r="J50" s="177" t="str">
        <f>_ENGINE_Initiatives!CK53</f>
        <v>IW-ALL-IAM_PAM</v>
      </c>
      <c r="K50" s="177" t="str">
        <f>_ENGINE_Initiatives!CV53</f>
        <v>Active</v>
      </c>
      <c r="L50" s="177" t="str">
        <f>_ENGINE_Initiatives!CW53</f>
        <v>OK: capability-driven</v>
      </c>
      <c r="M50" s="177" t="str">
        <f>IF(_ENGINE_Initiatives!CV53="Active","Yes","No")</f>
        <v>Yes</v>
      </c>
      <c r="N50" s="177" t="str">
        <f>_ENGINE_Initiatives!CU53</f>
        <v>INI-049|IT Cloud DR|Cloud usage|CAP_IAM_PAM</v>
      </c>
      <c r="O50" s="177" t="str">
        <f>_ENGINE_Initiatives!CX53</f>
        <v>Initiative ontology uses capability=CAP_IAM_PAM; bridge=BRG-044; treatment=TRT-IAM_PAM-INITIAL; wording=IW-ALL-IAM_PAM</v>
      </c>
    </row>
    <row r="51" spans="1:15" ht="28.3" customHeight="1">
      <c r="A51" s="177" t="str">
        <f>_ENGINE_Initiatives!CR54</f>
        <v>INIT-ONT-0050</v>
      </c>
      <c r="B51" s="177" t="str">
        <f>_ENGINE_Initiatives!A54</f>
        <v>INI-050</v>
      </c>
      <c r="C51" s="177" t="str">
        <f>_ENGINE_Initiatives!B54</f>
        <v>IT Cloud DR</v>
      </c>
      <c r="D51" s="177" t="str">
        <f>_ENGINE_Initiatives!C54</f>
        <v>Resilience and DR</v>
      </c>
      <c r="E51" s="177" t="str">
        <f>_ENGINE_Initiatives!E54</f>
        <v>STR-03</v>
      </c>
      <c r="F51" s="177" t="str">
        <f>_ENGINE_Initiatives!F54</f>
        <v>Implement disaster recovery, backup testing and RTO/RPO controls</v>
      </c>
      <c r="G51" s="177" t="str">
        <f>_ENGINE_Initiatives!BZ54</f>
        <v>CAP_IAM_PAM</v>
      </c>
      <c r="H51" s="177" t="str">
        <f>_ENGINE_Initiatives!CB54</f>
        <v>BRG-047</v>
      </c>
      <c r="I51" s="177" t="str">
        <f>_ENGINE_Initiatives!CE54</f>
        <v>TRT-IAM_PAM-INITIAL</v>
      </c>
      <c r="J51" s="177" t="str">
        <f>_ENGINE_Initiatives!CK54</f>
        <v>IW-ALL-IAM_PAM</v>
      </c>
      <c r="K51" s="177" t="str">
        <f>_ENGINE_Initiatives!CV54</f>
        <v>Active</v>
      </c>
      <c r="L51" s="177" t="str">
        <f>_ENGINE_Initiatives!CW54</f>
        <v>OK: capability-driven</v>
      </c>
      <c r="M51" s="177" t="str">
        <f>IF(_ENGINE_Initiatives!CV54="Active","Yes","No")</f>
        <v>Yes</v>
      </c>
      <c r="N51" s="177" t="str">
        <f>_ENGINE_Initiatives!CU54</f>
        <v>INI-050|IT Cloud DR|Resilience and DR|CAP_IAM_PAM</v>
      </c>
      <c r="O51" s="177" t="str">
        <f>_ENGINE_Initiatives!CX54</f>
        <v>Initiative ontology uses capability=CAP_IAM_PAM; bridge=BRG-047; treatment=TRT-IAM_PAM-INITIAL; wording=IW-ALL-IAM_PAM</v>
      </c>
    </row>
    <row r="52" spans="1:15" ht="28.3" customHeight="1">
      <c r="A52" s="177" t="str">
        <f>_ENGINE_Initiatives!CR55</f>
        <v>INIT-ONT-0051</v>
      </c>
      <c r="B52" s="177" t="str">
        <f>_ENGINE_Initiatives!A55</f>
        <v>INI-051</v>
      </c>
      <c r="C52" s="177" t="str">
        <f>_ENGINE_Initiatives!B55</f>
        <v>IT Cloud DR</v>
      </c>
      <c r="D52" s="177" t="str">
        <f>_ENGINE_Initiatives!C55</f>
        <v>Operations</v>
      </c>
      <c r="E52" s="177" t="str">
        <f>_ENGINE_Initiatives!E55</f>
        <v>STR-03</v>
      </c>
      <c r="F52" s="177" t="str">
        <f>_ENGINE_Initiatives!F55</f>
        <v>Strengthen IT operations, monitoring, incident and change management</v>
      </c>
      <c r="G52" s="177" t="str">
        <f>_ENGINE_Initiatives!BZ55</f>
        <v>CAP_BACKUP_RECOVERY</v>
      </c>
      <c r="H52" s="177" t="str">
        <f>_ENGINE_Initiatives!CB55</f>
        <v>BRG-046</v>
      </c>
      <c r="I52" s="177" t="str">
        <f>_ENGINE_Initiatives!CE55</f>
        <v>TRT-BACKUP_RECOVERY-INITIAL</v>
      </c>
      <c r="J52" s="177" t="str">
        <f>_ENGINE_Initiatives!CK55</f>
        <v>IW-ALL-BACKUP_RECOVERY</v>
      </c>
      <c r="K52" s="177" t="str">
        <f>_ENGINE_Initiatives!CV55</f>
        <v>Active</v>
      </c>
      <c r="L52" s="177" t="str">
        <f>_ENGINE_Initiatives!CW55</f>
        <v>OK: capability-driven</v>
      </c>
      <c r="M52" s="177" t="str">
        <f>IF(_ENGINE_Initiatives!CV55="Active","Yes","No")</f>
        <v>Yes</v>
      </c>
      <c r="N52" s="177" t="str">
        <f>_ENGINE_Initiatives!CU55</f>
        <v>INI-051|IT Cloud DR|Operations|CAP_BACKUP_RECOVERY</v>
      </c>
      <c r="O52" s="177" t="str">
        <f>_ENGINE_Initiatives!CX55</f>
        <v>Initiative ontology uses capability=CAP_BACKUP_RECOVERY; bridge=BRG-046; treatment=TRT-BACKUP_RECOVERY-INITIAL; wording=IW-ALL-BACKUP_RECOVERY</v>
      </c>
    </row>
    <row r="53" spans="1:15" ht="28.3" customHeight="1">
      <c r="A53" s="177" t="str">
        <f>_ENGINE_Initiatives!CR56</f>
        <v>INIT-ONT-0052</v>
      </c>
      <c r="B53" s="177" t="str">
        <f>_ENGINE_Initiatives!A56</f>
        <v>INI-052</v>
      </c>
      <c r="C53" s="177" t="str">
        <f>_ENGINE_Initiatives!B56</f>
        <v>IT Cloud DR</v>
      </c>
      <c r="D53" s="177" t="str">
        <f>_ENGINE_Initiatives!C56</f>
        <v>SaaS and integrations</v>
      </c>
      <c r="E53" s="177" t="str">
        <f>_ENGINE_Initiatives!E56</f>
        <v>STR-03</v>
      </c>
      <c r="F53" s="177" t="str">
        <f>_ENGINE_Initiatives!F56</f>
        <v>Stabilize SaaS ownership, integrations and vendor continuity</v>
      </c>
      <c r="G53" s="177" t="str">
        <f>_ENGINE_Initiatives!BZ56</f>
        <v>CAP_BACKUP_RECOVERY</v>
      </c>
      <c r="H53" s="177" t="str">
        <f>_ENGINE_Initiatives!CB56</f>
        <v>BRG-048</v>
      </c>
      <c r="I53" s="177" t="str">
        <f>_ENGINE_Initiatives!CE56</f>
        <v>TRT-BACKUP_RECOVERY-INITIAL</v>
      </c>
      <c r="J53" s="177" t="str">
        <f>_ENGINE_Initiatives!CK56</f>
        <v>IW-ALL-BACKUP_RECOVERY</v>
      </c>
      <c r="K53" s="177" t="str">
        <f>_ENGINE_Initiatives!CV56</f>
        <v>Active</v>
      </c>
      <c r="L53" s="177" t="str">
        <f>_ENGINE_Initiatives!CW56</f>
        <v>OK: capability-driven</v>
      </c>
      <c r="M53" s="177" t="str">
        <f>IF(_ENGINE_Initiatives!CV56="Active","Yes","No")</f>
        <v>Yes</v>
      </c>
      <c r="N53" s="177" t="str">
        <f>_ENGINE_Initiatives!CU56</f>
        <v>INI-052|IT Cloud DR|SaaS and integrations|CAP_BACKUP_RECOVERY</v>
      </c>
      <c r="O53" s="177" t="str">
        <f>_ENGINE_Initiatives!CX56</f>
        <v>Initiative ontology uses capability=CAP_BACKUP_RECOVERY; bridge=BRG-048; treatment=TRT-BACKUP_RECOVERY-INITIAL; wording=IW-ALL-BACKUP_RECOVERY</v>
      </c>
    </row>
    <row r="54" spans="1:15" ht="28.3" customHeight="1">
      <c r="A54" s="177" t="str">
        <f>_ENGINE_Initiatives!CR57</f>
        <v>INIT-ONT-0053</v>
      </c>
      <c r="B54" s="177" t="str">
        <f>_ENGINE_Initiatives!A57</f>
        <v>INI-053</v>
      </c>
      <c r="C54" s="177" t="str">
        <f>_ENGINE_Initiatives!B57</f>
        <v>Business Systems</v>
      </c>
      <c r="D54" s="177" t="str">
        <f>_ENGINE_Initiatives!C57</f>
        <v>ERP</v>
      </c>
      <c r="E54" s="177" t="str">
        <f>_ENGINE_Initiatives!E57</f>
        <v>STR-01</v>
      </c>
      <c r="F54" s="177" t="str">
        <f>_ENGINE_Initiatives!F57</f>
        <v>Stabilize ERP process ownership, master data and continuity controls</v>
      </c>
      <c r="G54" s="177" t="str">
        <f>_ENGINE_Initiatives!BZ57</f>
        <v>CAP_IAM_PAM</v>
      </c>
      <c r="H54" s="177" t="str">
        <f>_ENGINE_Initiatives!CB57</f>
        <v>BRG-003</v>
      </c>
      <c r="I54" s="177" t="str">
        <f>_ENGINE_Initiatives!CE57</f>
        <v>TRT-IAM_PAM-INITIAL</v>
      </c>
      <c r="J54" s="177" t="str">
        <f>_ENGINE_Initiatives!CK57</f>
        <v>IW-ALL-IAM_PAM</v>
      </c>
      <c r="K54" s="177" t="str">
        <f>_ENGINE_Initiatives!CV57</f>
        <v>Active</v>
      </c>
      <c r="L54" s="177" t="str">
        <f>_ENGINE_Initiatives!CW57</f>
        <v>OK: capability-driven</v>
      </c>
      <c r="M54" s="177" t="str">
        <f>IF(_ENGINE_Initiatives!CV57="Active","Yes","No")</f>
        <v>Yes</v>
      </c>
      <c r="N54" s="177" t="str">
        <f>_ENGINE_Initiatives!CU57</f>
        <v>INI-053|Business Systems|ERP|CAP_IAM_PAM</v>
      </c>
      <c r="O54" s="177" t="str">
        <f>_ENGINE_Initiatives!CX57</f>
        <v>Initiative ontology uses capability=CAP_IAM_PAM; bridge=BRG-003; treatment=TRT-IAM_PAM-INITIAL; wording=IW-ALL-IAM_PAM</v>
      </c>
    </row>
    <row r="55" spans="1:15" ht="28.3" customHeight="1">
      <c r="A55" s="177" t="str">
        <f>_ENGINE_Initiatives!CR58</f>
        <v>INIT-ONT-0054</v>
      </c>
      <c r="B55" s="177" t="str">
        <f>_ENGINE_Initiatives!A58</f>
        <v>INI-054</v>
      </c>
      <c r="C55" s="177" t="str">
        <f>_ENGINE_Initiatives!B58</f>
        <v>Business Systems</v>
      </c>
      <c r="D55" s="177" t="str">
        <f>_ENGINE_Initiatives!C58</f>
        <v>CRM and commerce</v>
      </c>
      <c r="E55" s="177" t="str">
        <f>_ENGINE_Initiatives!E58</f>
        <v>STR-12</v>
      </c>
      <c r="F55" s="177" t="str">
        <f>_ENGINE_Initiatives!F58</f>
        <v>Integrate CRM, commerce and customer-service systems</v>
      </c>
      <c r="G55" s="177" t="str">
        <f>_ENGINE_Initiatives!BZ58</f>
        <v>CAP_BILLING_SUBSCRIPTION</v>
      </c>
      <c r="H55" s="177" t="str">
        <f>_ENGINE_Initiatives!CB58</f>
        <v>BRG-002</v>
      </c>
      <c r="I55" s="177" t="str">
        <f>_ENGINE_Initiatives!CE58</f>
        <v>TRT-BILLING_SUBSCRIPTION-INITIAL</v>
      </c>
      <c r="J55" s="177" t="str">
        <f>_ENGINE_Initiatives!CK58</f>
        <v>IW-ALL-BILLING_SUBSCRIPTION</v>
      </c>
      <c r="K55" s="177" t="str">
        <f>_ENGINE_Initiatives!CV58</f>
        <v>Active</v>
      </c>
      <c r="L55" s="177" t="str">
        <f>_ENGINE_Initiatives!CW58</f>
        <v>OK: capability-driven</v>
      </c>
      <c r="M55" s="177" t="str">
        <f>IF(_ENGINE_Initiatives!CV58="Active","Yes","No")</f>
        <v>Yes</v>
      </c>
      <c r="N55" s="177" t="str">
        <f>_ENGINE_Initiatives!CU58</f>
        <v>INI-054|Business Systems|CRM and commerce|CAP_BILLING_SUBSCRIPTION</v>
      </c>
      <c r="O55" s="177" t="str">
        <f>_ENGINE_Initiatives!CX58</f>
        <v>Initiative ontology uses capability=CAP_BILLING_SUBSCRIPTION; bridge=BRG-002; treatment=TRT-BILLING_SUBSCRIPTION-INITIAL; wording=IW-ALL-BILLING_SUBSCRIPTION</v>
      </c>
    </row>
    <row r="56" spans="1:15" ht="28.3" customHeight="1">
      <c r="A56" s="177" t="str">
        <f>_ENGINE_Initiatives!CR59</f>
        <v>INIT-ONT-0055</v>
      </c>
      <c r="B56" s="177" t="str">
        <f>_ENGINE_Initiatives!A59</f>
        <v>INI-055</v>
      </c>
      <c r="C56" s="177" t="str">
        <f>_ENGINE_Initiatives!B59</f>
        <v>Business Systems</v>
      </c>
      <c r="D56" s="177" t="str">
        <f>_ENGINE_Initiatives!C59</f>
        <v>MES WMS TMS</v>
      </c>
      <c r="E56" s="177" t="str">
        <f>_ENGINE_Initiatives!E59</f>
        <v>STR-09</v>
      </c>
      <c r="F56" s="177" t="str">
        <f>_ENGINE_Initiatives!F59</f>
        <v>Integrate MES, WMS and TMS into operational continuity model</v>
      </c>
      <c r="G56" s="177" t="str">
        <f>_ENGINE_Initiatives!BZ59</f>
        <v>CAP_PLATFORM_CONTINUITY</v>
      </c>
      <c r="H56" s="177" t="str">
        <f>_ENGINE_Initiatives!CB59</f>
        <v>BRG-006</v>
      </c>
      <c r="I56" s="177" t="str">
        <f>_ENGINE_Initiatives!CE59</f>
        <v>TRT-PLATFORM_CONTINUITY-INITIAL</v>
      </c>
      <c r="J56" s="177" t="str">
        <f>_ENGINE_Initiatives!CK59</f>
        <v>IW-ALL-PLATFORM_CONTINUITY</v>
      </c>
      <c r="K56" s="177" t="str">
        <f>_ENGINE_Initiatives!CV59</f>
        <v>Active</v>
      </c>
      <c r="L56" s="177" t="str">
        <f>_ENGINE_Initiatives!CW59</f>
        <v>OK: capability-driven</v>
      </c>
      <c r="M56" s="177" t="str">
        <f>IF(_ENGINE_Initiatives!CV59="Active","Yes","No")</f>
        <v>Yes</v>
      </c>
      <c r="N56" s="177" t="str">
        <f>_ENGINE_Initiatives!CU59</f>
        <v>INI-055|Business Systems|MES WMS TMS|CAP_PLATFORM_CONTINUITY</v>
      </c>
      <c r="O56" s="177" t="str">
        <f>_ENGINE_Initiatives!CX59</f>
        <v>Initiative ontology uses capability=CAP_PLATFORM_CONTINUITY; bridge=BRG-006; treatment=TRT-PLATFORM_CONTINUITY-INITIAL; wording=IW-ALL-PLATFORM_CONTINUITY</v>
      </c>
    </row>
    <row r="57" spans="1:15" ht="28.3" customHeight="1">
      <c r="A57" s="177" t="str">
        <f>_ENGINE_Initiatives!CR60</f>
        <v>INIT-ONT-0056</v>
      </c>
      <c r="B57" s="177" t="str">
        <f>_ENGINE_Initiatives!A60</f>
        <v>INI-056</v>
      </c>
      <c r="C57" s="177" t="str">
        <f>_ENGINE_Initiatives!B60</f>
        <v>Business Systems</v>
      </c>
      <c r="D57" s="177" t="str">
        <f>_ENGINE_Initiatives!C60</f>
        <v>HRMS and finance systems</v>
      </c>
      <c r="E57" s="177" t="str">
        <f>_ENGINE_Initiatives!E60</f>
        <v>STR-01</v>
      </c>
      <c r="F57" s="177" t="str">
        <f>_ENGINE_Initiatives!F60</f>
        <v>Stabilize HRMS, finance systems and core administrative workflows</v>
      </c>
      <c r="G57" s="177" t="str">
        <f>_ENGINE_Initiatives!BZ60</f>
        <v>CAP_PLATFORM_CONTINUITY</v>
      </c>
      <c r="H57" s="177" t="str">
        <f>_ENGINE_Initiatives!CB60</f>
        <v>BRG-005</v>
      </c>
      <c r="I57" s="177" t="str">
        <f>_ENGINE_Initiatives!CE60</f>
        <v>TRT-PLATFORM_CONTINUITY-INITIAL</v>
      </c>
      <c r="J57" s="177" t="str">
        <f>_ENGINE_Initiatives!CK60</f>
        <v>IW-ALL-PLATFORM_CONTINUITY</v>
      </c>
      <c r="K57" s="177" t="str">
        <f>_ENGINE_Initiatives!CV60</f>
        <v>Active</v>
      </c>
      <c r="L57" s="177" t="str">
        <f>_ENGINE_Initiatives!CW60</f>
        <v>OK: capability-driven</v>
      </c>
      <c r="M57" s="177" t="str">
        <f>IF(_ENGINE_Initiatives!CV60="Active","Yes","No")</f>
        <v>Yes</v>
      </c>
      <c r="N57" s="177" t="str">
        <f>_ENGINE_Initiatives!CU60</f>
        <v>INI-056|Business Systems|HRMS and finance systems|CAP_PLATFORM_CONTINUITY</v>
      </c>
      <c r="O57" s="177" t="str">
        <f>_ENGINE_Initiatives!CX60</f>
        <v>Initiative ontology uses capability=CAP_PLATFORM_CONTINUITY; bridge=BRG-005; treatment=TRT-PLATFORM_CONTINUITY-INITIAL; wording=IW-ALL-PLATFORM_CONTINUITY</v>
      </c>
    </row>
    <row r="58" spans="1:15" ht="28.3" customHeight="1">
      <c r="A58" s="177" t="str">
        <f>_ENGINE_Initiatives!CR61</f>
        <v>INIT-ONT-0057</v>
      </c>
      <c r="B58" s="177" t="str">
        <f>_ENGINE_Initiatives!A61</f>
        <v>INI-057</v>
      </c>
      <c r="C58" s="177" t="str">
        <f>_ENGINE_Initiatives!B61</f>
        <v>Business Systems</v>
      </c>
      <c r="D58" s="177" t="str">
        <f>_ENGINE_Initiatives!C61</f>
        <v>Governance and lifecycle</v>
      </c>
      <c r="E58" s="177" t="str">
        <f>_ENGINE_Initiatives!E61</f>
        <v>STR-01</v>
      </c>
      <c r="F58" s="177" t="str">
        <f>_ENGINE_Initiatives!F61</f>
        <v>Implement business-system governance and lifecycle control</v>
      </c>
      <c r="G58" s="177" t="str">
        <f>_ENGINE_Initiatives!BZ61</f>
        <v>CAP_PLATFORM_CONTINUITY</v>
      </c>
      <c r="H58" s="177" t="str">
        <f>_ENGINE_Initiatives!CB61</f>
        <v>BRG-004</v>
      </c>
      <c r="I58" s="177" t="str">
        <f>_ENGINE_Initiatives!CE61</f>
        <v>TRT-PLATFORM_CONTINUITY-INITIAL</v>
      </c>
      <c r="J58" s="177" t="str">
        <f>_ENGINE_Initiatives!CK61</f>
        <v>IW-ALL-PLATFORM_CONTINUITY</v>
      </c>
      <c r="K58" s="177" t="str">
        <f>_ENGINE_Initiatives!CV61</f>
        <v>Active</v>
      </c>
      <c r="L58" s="177" t="str">
        <f>_ENGINE_Initiatives!CW61</f>
        <v>OK: capability-driven</v>
      </c>
      <c r="M58" s="177" t="str">
        <f>IF(_ENGINE_Initiatives!CV61="Active","Yes","No")</f>
        <v>Yes</v>
      </c>
      <c r="N58" s="177" t="str">
        <f>_ENGINE_Initiatives!CU61</f>
        <v>INI-057|Business Systems|Governance and lifecycle|CAP_PLATFORM_CONTINUITY</v>
      </c>
      <c r="O58" s="177" t="str">
        <f>_ENGINE_Initiatives!CX61</f>
        <v>Initiative ontology uses capability=CAP_PLATFORM_CONTINUITY; bridge=BRG-004; treatment=TRT-PLATFORM_CONTINUITY-INITIAL; wording=IW-ALL-PLATFORM_CONTINUITY</v>
      </c>
    </row>
    <row r="59" spans="1:15" ht="28.3" customHeight="1">
      <c r="A59" s="177" t="str">
        <f>_ENGINE_Initiatives!CR62</f>
        <v>INIT-ONT-0058</v>
      </c>
      <c r="B59" s="177" t="str">
        <f>_ENGINE_Initiatives!A62</f>
        <v>INI-058</v>
      </c>
      <c r="C59" s="177" t="str">
        <f>_ENGINE_Initiatives!B62</f>
        <v>Data BI AI</v>
      </c>
      <c r="D59" s="177" t="str">
        <f>_ENGINE_Initiatives!C62</f>
        <v>Data governance</v>
      </c>
      <c r="E59" s="177" t="str">
        <f>_ENGINE_Initiatives!E62</f>
        <v>STR-05</v>
      </c>
      <c r="F59" s="177" t="str">
        <f>_ENGINE_Initiatives!F62</f>
        <v>Implement data ownership, quality and governance framework</v>
      </c>
      <c r="G59" s="177" t="str">
        <f>_ENGINE_Initiatives!BZ62</f>
        <v>CAP_DATA_GOVERNANCE</v>
      </c>
      <c r="H59" s="177" t="str">
        <f>_ENGINE_Initiatives!CB62</f>
        <v>BRG-022</v>
      </c>
      <c r="I59" s="177" t="str">
        <f>_ENGINE_Initiatives!CE62</f>
        <v>TRT-DATA_GOVERNANCE-INITIAL</v>
      </c>
      <c r="J59" s="177" t="str">
        <f>_ENGINE_Initiatives!CK62</f>
        <v>IW-ALL-DATA_GOVERNANCE</v>
      </c>
      <c r="K59" s="177" t="str">
        <f>_ENGINE_Initiatives!CV62</f>
        <v>Active</v>
      </c>
      <c r="L59" s="177" t="str">
        <f>_ENGINE_Initiatives!CW62</f>
        <v>OK: capability-driven</v>
      </c>
      <c r="M59" s="177" t="str">
        <f>IF(_ENGINE_Initiatives!CV62="Active","Yes","No")</f>
        <v>Yes</v>
      </c>
      <c r="N59" s="177" t="str">
        <f>_ENGINE_Initiatives!CU62</f>
        <v>INI-058|Data BI AI|Data governance|CAP_DATA_GOVERNANCE</v>
      </c>
      <c r="O59" s="177" t="str">
        <f>_ENGINE_Initiatives!CX62</f>
        <v>Initiative ontology uses capability=CAP_DATA_GOVERNANCE; bridge=BRG-022; treatment=TRT-DATA_GOVERNANCE-INITIAL; wording=IW-ALL-DATA_GOVERNANCE</v>
      </c>
    </row>
    <row r="60" spans="1:15" ht="28.3" customHeight="1">
      <c r="A60" s="177" t="str">
        <f>_ENGINE_Initiatives!CR63</f>
        <v>INIT-ONT-0059</v>
      </c>
      <c r="B60" s="177" t="str">
        <f>_ENGINE_Initiatives!A63</f>
        <v>INI-059</v>
      </c>
      <c r="C60" s="177" t="str">
        <f>_ENGINE_Initiatives!B63</f>
        <v>Data BI AI</v>
      </c>
      <c r="D60" s="177" t="str">
        <f>_ENGINE_Initiatives!C63</f>
        <v>Data architecture</v>
      </c>
      <c r="E60" s="177" t="str">
        <f>_ENGINE_Initiatives!E63</f>
        <v>STR-05</v>
      </c>
      <c r="F60" s="177" t="str">
        <f>_ENGINE_Initiatives!F63</f>
        <v>Build resilient data architecture, integration and storage foundation</v>
      </c>
      <c r="G60" s="177" t="str">
        <f>_ENGINE_Initiatives!BZ63</f>
        <v>CAP_DATA_GOVERNANCE</v>
      </c>
      <c r="H60" s="177" t="str">
        <f>_ENGINE_Initiatives!CB63</f>
        <v>BRG-021</v>
      </c>
      <c r="I60" s="177" t="str">
        <f>_ENGINE_Initiatives!CE63</f>
        <v>TRT-DATA_GOVERNANCE-INITIAL</v>
      </c>
      <c r="J60" s="177" t="str">
        <f>_ENGINE_Initiatives!CK63</f>
        <v>IW-ALL-DATA_GOVERNANCE</v>
      </c>
      <c r="K60" s="177" t="str">
        <f>_ENGINE_Initiatives!CV63</f>
        <v>Active</v>
      </c>
      <c r="L60" s="177" t="str">
        <f>_ENGINE_Initiatives!CW63</f>
        <v>OK: capability-driven</v>
      </c>
      <c r="M60" s="177" t="str">
        <f>IF(_ENGINE_Initiatives!CV63="Active","Yes","No")</f>
        <v>Yes</v>
      </c>
      <c r="N60" s="177" t="str">
        <f>_ENGINE_Initiatives!CU63</f>
        <v>INI-059|Data BI AI|Data architecture|CAP_DATA_GOVERNANCE</v>
      </c>
      <c r="O60" s="177" t="str">
        <f>_ENGINE_Initiatives!CX63</f>
        <v>Initiative ontology uses capability=CAP_DATA_GOVERNANCE; bridge=BRG-021; treatment=TRT-DATA_GOVERNANCE-INITIAL; wording=IW-ALL-DATA_GOVERNANCE</v>
      </c>
    </row>
    <row r="61" spans="1:15" ht="28.3" customHeight="1">
      <c r="A61" s="177" t="str">
        <f>_ENGINE_Initiatives!CR64</f>
        <v>INIT-ONT-0060</v>
      </c>
      <c r="B61" s="177" t="str">
        <f>_ENGINE_Initiatives!A64</f>
        <v>INI-060</v>
      </c>
      <c r="C61" s="177" t="str">
        <f>_ENGINE_Initiatives!B64</f>
        <v>Data BI AI</v>
      </c>
      <c r="D61" s="177" t="str">
        <f>_ENGINE_Initiatives!C64</f>
        <v>BI and analytics</v>
      </c>
      <c r="E61" s="177" t="str">
        <f>_ENGINE_Initiatives!E64</f>
        <v>STR-05</v>
      </c>
      <c r="F61" s="177" t="str">
        <f>_ENGINE_Initiatives!F64</f>
        <v>Create BI analytics layer for crisis and operational decisions</v>
      </c>
      <c r="G61" s="177" t="str">
        <f>_ENGINE_Initiatives!BZ64</f>
        <v>CAP_DATA_GOVERNANCE</v>
      </c>
      <c r="H61" s="177" t="str">
        <f>_ENGINE_Initiatives!CB64</f>
        <v>BRG-020</v>
      </c>
      <c r="I61" s="177" t="str">
        <f>_ENGINE_Initiatives!CE64</f>
        <v>TRT-DATA_GOVERNANCE-INITIAL</v>
      </c>
      <c r="J61" s="177" t="str">
        <f>_ENGINE_Initiatives!CK64</f>
        <v>IW-ALL-DATA_GOVERNANCE</v>
      </c>
      <c r="K61" s="177" t="str">
        <f>_ENGINE_Initiatives!CV64</f>
        <v>Active</v>
      </c>
      <c r="L61" s="177" t="str">
        <f>_ENGINE_Initiatives!CW64</f>
        <v>OK: capability-driven</v>
      </c>
      <c r="M61" s="177" t="str">
        <f>IF(_ENGINE_Initiatives!CV64="Active","Yes","No")</f>
        <v>Yes</v>
      </c>
      <c r="N61" s="177" t="str">
        <f>_ENGINE_Initiatives!CU64</f>
        <v>INI-060|Data BI AI|BI and analytics|CAP_DATA_GOVERNANCE</v>
      </c>
      <c r="O61" s="177" t="str">
        <f>_ENGINE_Initiatives!CX64</f>
        <v>Initiative ontology uses capability=CAP_DATA_GOVERNANCE; bridge=BRG-020; treatment=TRT-DATA_GOVERNANCE-INITIAL; wording=IW-ALL-DATA_GOVERNANCE</v>
      </c>
    </row>
    <row r="62" spans="1:15" ht="28.3" customHeight="1">
      <c r="A62" s="177" t="str">
        <f>_ENGINE_Initiatives!CR65</f>
        <v>INIT-ONT-0061</v>
      </c>
      <c r="B62" s="177" t="str">
        <f>_ENGINE_Initiatives!A65</f>
        <v>INI-061</v>
      </c>
      <c r="C62" s="177" t="str">
        <f>_ENGINE_Initiatives!B65</f>
        <v>Data BI AI</v>
      </c>
      <c r="D62" s="177" t="str">
        <f>_ENGINE_Initiatives!C65</f>
        <v>Forecasting and scenarios</v>
      </c>
      <c r="E62" s="177" t="str">
        <f>_ENGINE_Initiatives!E65</f>
        <v>STR-05</v>
      </c>
      <c r="F62" s="177" t="str">
        <f>_ENGINE_Initiatives!F65</f>
        <v>Build forecasting and scenario analytics capability</v>
      </c>
      <c r="G62" s="177" t="str">
        <f>_ENGINE_Initiatives!BZ65</f>
        <v>CAP_DATA_GOVERNANCE</v>
      </c>
      <c r="H62" s="177" t="str">
        <f>_ENGINE_Initiatives!CB65</f>
        <v>BRG-023</v>
      </c>
      <c r="I62" s="177" t="str">
        <f>_ENGINE_Initiatives!CE65</f>
        <v>TRT-DATA_GOVERNANCE-INITIAL</v>
      </c>
      <c r="J62" s="177" t="str">
        <f>_ENGINE_Initiatives!CK65</f>
        <v>IW-ALL-DATA_GOVERNANCE</v>
      </c>
      <c r="K62" s="177" t="str">
        <f>_ENGINE_Initiatives!CV65</f>
        <v>Active</v>
      </c>
      <c r="L62" s="177" t="str">
        <f>_ENGINE_Initiatives!CW65</f>
        <v>OK: capability-driven</v>
      </c>
      <c r="M62" s="177" t="str">
        <f>IF(_ENGINE_Initiatives!CV65="Active","Yes","No")</f>
        <v>Yes</v>
      </c>
      <c r="N62" s="177" t="str">
        <f>_ENGINE_Initiatives!CU65</f>
        <v>INI-061|Data BI AI|Forecasting and scenarios|CAP_DATA_GOVERNANCE</v>
      </c>
      <c r="O62" s="177" t="str">
        <f>_ENGINE_Initiatives!CX65</f>
        <v>Initiative ontology uses capability=CAP_DATA_GOVERNANCE; bridge=BRG-023; treatment=TRT-DATA_GOVERNANCE-INITIAL; wording=IW-ALL-DATA_GOVERNANCE</v>
      </c>
    </row>
    <row r="63" spans="1:15" ht="28.3" customHeight="1">
      <c r="A63" s="177" t="str">
        <f>_ENGINE_Initiatives!CR66</f>
        <v>INIT-ONT-0062</v>
      </c>
      <c r="B63" s="177" t="str">
        <f>_ENGINE_Initiatives!A66</f>
        <v>INI-062</v>
      </c>
      <c r="C63" s="177" t="str">
        <f>_ENGINE_Initiatives!B66</f>
        <v>Data BI AI</v>
      </c>
      <c r="D63" s="177" t="str">
        <f>_ENGINE_Initiatives!C66</f>
        <v>AI readiness</v>
      </c>
      <c r="E63" s="177" t="str">
        <f>_ENGINE_Initiatives!E66</f>
        <v>STR-05</v>
      </c>
      <c r="F63" s="177" t="str">
        <f>_ENGINE_Initiatives!F66</f>
        <v>Implement AI readiness, governance and use-case portfolio</v>
      </c>
      <c r="G63" s="177" t="str">
        <f>_ENGINE_Initiatives!BZ66</f>
        <v>CAP_AI_GOVERNANCE</v>
      </c>
      <c r="H63" s="177" t="str">
        <f>_ENGINE_Initiatives!CB66</f>
        <v>BRG-019</v>
      </c>
      <c r="I63" s="177" t="str">
        <f>_ENGINE_Initiatives!CE66</f>
        <v>TRT-AI_GOVERNANCE-INITIAL</v>
      </c>
      <c r="J63" s="177" t="str">
        <f>_ENGINE_Initiatives!CK66</f>
        <v>IW-ALL-AI_GOVERNANCE</v>
      </c>
      <c r="K63" s="177" t="str">
        <f>_ENGINE_Initiatives!CV66</f>
        <v>Active</v>
      </c>
      <c r="L63" s="177" t="str">
        <f>_ENGINE_Initiatives!CW66</f>
        <v>OK: capability-driven</v>
      </c>
      <c r="M63" s="177" t="str">
        <f>IF(_ENGINE_Initiatives!CV66="Active","Yes","No")</f>
        <v>Yes</v>
      </c>
      <c r="N63" s="177" t="str">
        <f>_ENGINE_Initiatives!CU66</f>
        <v>INI-062|Data BI AI|AI readiness|CAP_AI_GOVERNANCE</v>
      </c>
      <c r="O63" s="177" t="str">
        <f>_ENGINE_Initiatives!CX66</f>
        <v>Initiative ontology uses capability=CAP_AI_GOVERNANCE; bridge=BRG-019; treatment=TRT-AI_GOVERNANCE-INITIAL; wording=IW-ALL-AI_GOVERNANCE</v>
      </c>
    </row>
    <row r="64" spans="1:15" ht="28.3" customHeight="1">
      <c r="A64" s="177" t="str">
        <f>_ENGINE_Initiatives!CR67</f>
        <v>INIT-ONT-0063</v>
      </c>
      <c r="B64" s="177" t="str">
        <f>_ENGINE_Initiatives!A67</f>
        <v>INI-063</v>
      </c>
      <c r="C64" s="177" t="str">
        <f>_ENGINE_Initiatives!B67</f>
        <v>Cyber Privacy</v>
      </c>
      <c r="D64" s="177" t="str">
        <f>_ENGINE_Initiatives!C67</f>
        <v>Security governance</v>
      </c>
      <c r="E64" s="177" t="str">
        <f>_ENGINE_Initiatives!E67</f>
        <v>STR-04</v>
      </c>
      <c r="F64" s="177" t="str">
        <f>_ENGINE_Initiatives!F67</f>
        <v>Implement security governance and risk-management operating model</v>
      </c>
      <c r="G64" s="177" t="str">
        <f>_ENGINE_Initiatives!BZ67</f>
        <v>CAP_CYBER_GOVERNANCE</v>
      </c>
      <c r="H64" s="177" t="str">
        <f>_ENGINE_Initiatives!CB67</f>
        <v>BRG-017</v>
      </c>
      <c r="I64" s="177" t="str">
        <f>_ENGINE_Initiatives!CE67</f>
        <v>TRT-CYBER_GOVERNANCE-INITIAL</v>
      </c>
      <c r="J64" s="177" t="str">
        <f>_ENGINE_Initiatives!CK67</f>
        <v>IW-ALL-CYBER_GOVERNANCE</v>
      </c>
      <c r="K64" s="177" t="str">
        <f>_ENGINE_Initiatives!CV67</f>
        <v>Active</v>
      </c>
      <c r="L64" s="177" t="str">
        <f>_ENGINE_Initiatives!CW67</f>
        <v>OK: capability-driven</v>
      </c>
      <c r="M64" s="177" t="str">
        <f>IF(_ENGINE_Initiatives!CV67="Active","Yes","No")</f>
        <v>Yes</v>
      </c>
      <c r="N64" s="177" t="str">
        <f>_ENGINE_Initiatives!CU67</f>
        <v>INI-063|Cyber Privacy|Security governance|CAP_CYBER_GOVERNANCE</v>
      </c>
      <c r="O64" s="177" t="str">
        <f>_ENGINE_Initiatives!CX67</f>
        <v>Initiative ontology uses capability=CAP_CYBER_GOVERNANCE; bridge=BRG-017; treatment=TRT-CYBER_GOVERNANCE-INITIAL; wording=IW-ALL-CYBER_GOVERNANCE</v>
      </c>
    </row>
    <row r="65" spans="1:15" ht="28.3" customHeight="1">
      <c r="A65" s="177" t="str">
        <f>_ENGINE_Initiatives!CR68</f>
        <v>INIT-ONT-0064</v>
      </c>
      <c r="B65" s="177" t="str">
        <f>_ENGINE_Initiatives!A68</f>
        <v>INI-064</v>
      </c>
      <c r="C65" s="177" t="str">
        <f>_ENGINE_Initiatives!B68</f>
        <v>Cyber Privacy</v>
      </c>
      <c r="D65" s="177" t="str">
        <f>_ENGINE_Initiatives!C68</f>
        <v>Identity and access</v>
      </c>
      <c r="E65" s="177" t="str">
        <f>_ENGINE_Initiatives!E68</f>
        <v>STR-04</v>
      </c>
      <c r="F65" s="177" t="str">
        <f>_ENGINE_Initiatives!F68</f>
        <v>Strengthen IAM, MFA, privileged access and joiner/mover/leaver controls</v>
      </c>
      <c r="G65" s="177" t="str">
        <f>_ENGINE_Initiatives!BZ68</f>
        <v>CAP_IAM_PAM</v>
      </c>
      <c r="H65" s="177" t="str">
        <f>_ENGINE_Initiatives!CB68</f>
        <v>BRG-014</v>
      </c>
      <c r="I65" s="177" t="str">
        <f>_ENGINE_Initiatives!CE68</f>
        <v>TRT-IAM_PAM-INITIAL</v>
      </c>
      <c r="J65" s="177" t="str">
        <f>_ENGINE_Initiatives!CK68</f>
        <v>IW-ALL-IAM_PAM</v>
      </c>
      <c r="K65" s="177" t="str">
        <f>_ENGINE_Initiatives!CV68</f>
        <v>Active</v>
      </c>
      <c r="L65" s="177" t="str">
        <f>_ENGINE_Initiatives!CW68</f>
        <v>OK: capability-driven</v>
      </c>
      <c r="M65" s="177" t="str">
        <f>IF(_ENGINE_Initiatives!CV68="Active","Yes","No")</f>
        <v>Yes</v>
      </c>
      <c r="N65" s="177" t="str">
        <f>_ENGINE_Initiatives!CU68</f>
        <v>INI-064|Cyber Privacy|Identity and access|CAP_IAM_PAM</v>
      </c>
      <c r="O65" s="177" t="str">
        <f>_ENGINE_Initiatives!CX68</f>
        <v>Initiative ontology uses capability=CAP_IAM_PAM; bridge=BRG-014; treatment=TRT-IAM_PAM-INITIAL; wording=IW-ALL-IAM_PAM</v>
      </c>
    </row>
    <row r="66" spans="1:15" ht="28.3" customHeight="1">
      <c r="A66" s="177" t="str">
        <f>_ENGINE_Initiatives!CR69</f>
        <v>INIT-ONT-0065</v>
      </c>
      <c r="B66" s="177" t="str">
        <f>_ENGINE_Initiatives!A69</f>
        <v>INI-065</v>
      </c>
      <c r="C66" s="177" t="str">
        <f>_ENGINE_Initiatives!B69</f>
        <v>Cyber Privacy</v>
      </c>
      <c r="D66" s="177" t="str">
        <f>_ENGINE_Initiatives!C69</f>
        <v>Protection</v>
      </c>
      <c r="E66" s="177" t="str">
        <f>_ENGINE_Initiatives!E69</f>
        <v>STR-04</v>
      </c>
      <c r="F66" s="177" t="str">
        <f>_ENGINE_Initiatives!F69</f>
        <v>Improve endpoint, network, backup and vulnerability protection</v>
      </c>
      <c r="G66" s="177" t="str">
        <f>_ENGINE_Initiatives!BZ69</f>
        <v>CAP_BACKUP_RECOVERY</v>
      </c>
      <c r="H66" s="177" t="str">
        <f>_ENGINE_Initiatives!CB69</f>
        <v>BRG-016</v>
      </c>
      <c r="I66" s="177" t="str">
        <f>_ENGINE_Initiatives!CE69</f>
        <v>TRT-BACKUP_RECOVERY-INITIAL</v>
      </c>
      <c r="J66" s="177" t="str">
        <f>_ENGINE_Initiatives!CK69</f>
        <v>IW-ALL-BACKUP_RECOVERY</v>
      </c>
      <c r="K66" s="177" t="str">
        <f>_ENGINE_Initiatives!CV69</f>
        <v>Active</v>
      </c>
      <c r="L66" s="177" t="str">
        <f>_ENGINE_Initiatives!CW69</f>
        <v>OK: capability-driven</v>
      </c>
      <c r="M66" s="177" t="str">
        <f>IF(_ENGINE_Initiatives!CV69="Active","Yes","No")</f>
        <v>Yes</v>
      </c>
      <c r="N66" s="177" t="str">
        <f>_ENGINE_Initiatives!CU69</f>
        <v>INI-065|Cyber Privacy|Protection|CAP_BACKUP_RECOVERY</v>
      </c>
      <c r="O66" s="177" t="str">
        <f>_ENGINE_Initiatives!CX69</f>
        <v>Initiative ontology uses capability=CAP_BACKUP_RECOVERY; bridge=BRG-016; treatment=TRT-BACKUP_RECOVERY-INITIAL; wording=IW-ALL-BACKUP_RECOVERY</v>
      </c>
    </row>
    <row r="67" spans="1:15" ht="28.3" customHeight="1">
      <c r="A67" s="177" t="str">
        <f>_ENGINE_Initiatives!CR70</f>
        <v>INIT-ONT-0066</v>
      </c>
      <c r="B67" s="177" t="str">
        <f>_ENGINE_Initiatives!A70</f>
        <v>INI-066</v>
      </c>
      <c r="C67" s="177" t="str">
        <f>_ENGINE_Initiatives!B70</f>
        <v>Cyber Privacy</v>
      </c>
      <c r="D67" s="177" t="str">
        <f>_ENGINE_Initiatives!C70</f>
        <v>Detection and response</v>
      </c>
      <c r="E67" s="177" t="str">
        <f>_ENGINE_Initiatives!E70</f>
        <v>STR-04</v>
      </c>
      <c r="F67" s="177" t="str">
        <f>_ENGINE_Initiatives!F70</f>
        <v>Implement detection, response, logging and security incident exercises</v>
      </c>
      <c r="G67" s="177" t="str">
        <f>_ENGINE_Initiatives!BZ70</f>
        <v>CAP_INCIDENT_RESPONSE</v>
      </c>
      <c r="H67" s="177" t="str">
        <f>_ENGINE_Initiatives!CB70</f>
        <v>BRG-013</v>
      </c>
      <c r="I67" s="177" t="str">
        <f>_ENGINE_Initiatives!CE70</f>
        <v>TRT-INCIDENT_RESPONSE-INITIAL</v>
      </c>
      <c r="J67" s="177" t="str">
        <f>_ENGINE_Initiatives!CK70</f>
        <v>IW-ALL-INCIDENT_RESPONSE</v>
      </c>
      <c r="K67" s="177" t="str">
        <f>_ENGINE_Initiatives!CV70</f>
        <v>Active</v>
      </c>
      <c r="L67" s="177" t="str">
        <f>_ENGINE_Initiatives!CW70</f>
        <v>OK: capability-driven</v>
      </c>
      <c r="M67" s="177" t="str">
        <f>IF(_ENGINE_Initiatives!CV70="Active","Yes","No")</f>
        <v>Yes</v>
      </c>
      <c r="N67" s="177" t="str">
        <f>_ENGINE_Initiatives!CU70</f>
        <v>INI-066|Cyber Privacy|Detection and response|CAP_INCIDENT_RESPONSE</v>
      </c>
      <c r="O67" s="177" t="str">
        <f>_ENGINE_Initiatives!CX70</f>
        <v>Initiative ontology uses capability=CAP_INCIDENT_RESPONSE; bridge=BRG-013; treatment=TRT-INCIDENT_RESPONSE-INITIAL; wording=IW-ALL-INCIDENT_RESPONSE</v>
      </c>
    </row>
    <row r="68" spans="1:15" ht="28.3" customHeight="1">
      <c r="A68" s="177" t="str">
        <f>_ENGINE_Initiatives!CR71</f>
        <v>INIT-ONT-0067</v>
      </c>
      <c r="B68" s="177" t="str">
        <f>_ENGINE_Initiatives!A71</f>
        <v>INI-067</v>
      </c>
      <c r="C68" s="177" t="str">
        <f>_ENGINE_Initiatives!B71</f>
        <v>Cyber Privacy</v>
      </c>
      <c r="D68" s="177" t="str">
        <f>_ENGINE_Initiatives!C71</f>
        <v>Application and OT security</v>
      </c>
      <c r="E68" s="177" t="str">
        <f>_ENGINE_Initiatives!E71</f>
        <v>STR-04</v>
      </c>
      <c r="F68" s="177" t="str">
        <f>_ENGINE_Initiatives!F71</f>
        <v>Strengthen application, API and OT security controls</v>
      </c>
      <c r="G68" s="177" t="str">
        <f>_ENGINE_Initiatives!BZ71</f>
        <v>CAP_PRODUCT_SECURITY</v>
      </c>
      <c r="H68" s="177" t="str">
        <f>_ENGINE_Initiatives!CB71</f>
        <v>BRG-012</v>
      </c>
      <c r="I68" s="177" t="str">
        <f>_ENGINE_Initiatives!CE71</f>
        <v>TRT-PRODUCT_SECURITY-INITIAL</v>
      </c>
      <c r="J68" s="177" t="str">
        <f>_ENGINE_Initiatives!CK71</f>
        <v>IW-ALL-PRODUCT_SECURITY</v>
      </c>
      <c r="K68" s="177" t="str">
        <f>_ENGINE_Initiatives!CV71</f>
        <v>Active</v>
      </c>
      <c r="L68" s="177" t="str">
        <f>_ENGINE_Initiatives!CW71</f>
        <v>OK: capability-driven</v>
      </c>
      <c r="M68" s="177" t="str">
        <f>IF(_ENGINE_Initiatives!CV71="Active","Yes","No")</f>
        <v>Yes</v>
      </c>
      <c r="N68" s="177" t="str">
        <f>_ENGINE_Initiatives!CU71</f>
        <v>INI-067|Cyber Privacy|Application and OT security|CAP_PRODUCT_SECURITY</v>
      </c>
      <c r="O68" s="177" t="str">
        <f>_ENGINE_Initiatives!CX71</f>
        <v>Initiative ontology uses capability=CAP_PRODUCT_SECURITY; bridge=BRG-012; treatment=TRT-PRODUCT_SECURITY-INITIAL; wording=IW-ALL-PRODUCT_SECURITY</v>
      </c>
    </row>
    <row r="69" spans="1:15" ht="28.3" customHeight="1">
      <c r="A69" s="177" t="str">
        <f>_ENGINE_Initiatives!CR72</f>
        <v>INIT-ONT-0068</v>
      </c>
      <c r="B69" s="177" t="str">
        <f>_ENGINE_Initiatives!A72</f>
        <v>INI-068</v>
      </c>
      <c r="C69" s="177" t="str">
        <f>_ENGINE_Initiatives!B72</f>
        <v>Cyber Privacy</v>
      </c>
      <c r="D69" s="177" t="str">
        <f>_ENGINE_Initiatives!C72</f>
        <v>Privacy</v>
      </c>
      <c r="E69" s="177" t="str">
        <f>_ENGINE_Initiatives!E72</f>
        <v>STR-04</v>
      </c>
      <c r="F69" s="177" t="str">
        <f>_ENGINE_Initiatives!F72</f>
        <v>Implement privacy governance, DPIA and personal-data controls</v>
      </c>
      <c r="G69" s="177" t="str">
        <f>_ENGINE_Initiatives!BZ72</f>
        <v>CAP_LEGAL_BREACH_RESPONSE</v>
      </c>
      <c r="H69" s="177" t="str">
        <f>_ENGINE_Initiatives!CB72</f>
        <v>BRG-015</v>
      </c>
      <c r="I69" s="177" t="str">
        <f>_ENGINE_Initiatives!CE72</f>
        <v>TRT-LEGAL_BREACH_RESPONSE-INITIAL</v>
      </c>
      <c r="J69" s="177" t="str">
        <f>_ENGINE_Initiatives!CK72</f>
        <v>IW-ALL-LEGAL_BREACH_RESPONSE</v>
      </c>
      <c r="K69" s="177" t="str">
        <f>_ENGINE_Initiatives!CV72</f>
        <v>Active</v>
      </c>
      <c r="L69" s="177" t="str">
        <f>_ENGINE_Initiatives!CW72</f>
        <v>OK: capability-driven</v>
      </c>
      <c r="M69" s="177" t="str">
        <f>IF(_ENGINE_Initiatives!CV72="Active","Yes","No")</f>
        <v>Yes</v>
      </c>
      <c r="N69" s="177" t="str">
        <f>_ENGINE_Initiatives!CU72</f>
        <v>INI-068|Cyber Privacy|Privacy|CAP_LEGAL_BREACH_RESPONSE</v>
      </c>
      <c r="O69" s="177" t="str">
        <f>_ENGINE_Initiatives!CX72</f>
        <v>Initiative ontology uses capability=CAP_LEGAL_BREACH_RESPONSE; bridge=BRG-015; treatment=TRT-LEGAL_BREACH_RESPONSE-INITIAL; wording=IW-ALL-LEGAL_BREACH_RESPONSE</v>
      </c>
    </row>
    <row r="70" spans="1:15" ht="28.3" customHeight="1">
      <c r="A70" s="177" t="str">
        <f>_ENGINE_Initiatives!CR73</f>
        <v>INIT-ONT-0069</v>
      </c>
      <c r="B70" s="177" t="str">
        <f>_ENGINE_Initiatives!A73</f>
        <v>INI-069</v>
      </c>
      <c r="C70" s="177" t="str">
        <f>_ENGINE_Initiatives!B73</f>
        <v>Quality Portfolio</v>
      </c>
      <c r="D70" s="177" t="str">
        <f>_ENGINE_Initiatives!C73</f>
        <v>Process management</v>
      </c>
      <c r="E70" s="177" t="str">
        <f>_ENGINE_Initiatives!E73</f>
        <v>STR-07</v>
      </c>
      <c r="F70" s="177" t="str">
        <f>_ENGINE_Initiatives!F73</f>
        <v>Build process ownership, SOP and continuous-improvement model</v>
      </c>
      <c r="G70" s="177" t="str">
        <f>_ENGINE_Initiatives!BZ73</f>
        <v>CAP_DELIVERY_CONTINUITY</v>
      </c>
      <c r="H70" s="177" t="str">
        <f>_ENGINE_Initiatives!CB73</f>
        <v>BRG-074</v>
      </c>
      <c r="I70" s="177" t="str">
        <f>_ENGINE_Initiatives!CE73</f>
        <v>TRT-DELIVERY_CONTINUITY-INITIAL</v>
      </c>
      <c r="J70" s="177" t="str">
        <f>_ENGINE_Initiatives!CK73</f>
        <v>IW-ALL-DELIVERY_CONTINUITY</v>
      </c>
      <c r="K70" s="177" t="str">
        <f>_ENGINE_Initiatives!CV73</f>
        <v>Active</v>
      </c>
      <c r="L70" s="177" t="str">
        <f>_ENGINE_Initiatives!CW73</f>
        <v>OK: capability-driven</v>
      </c>
      <c r="M70" s="177" t="str">
        <f>IF(_ENGINE_Initiatives!CV73="Active","Yes","No")</f>
        <v>Yes</v>
      </c>
      <c r="N70" s="177" t="str">
        <f>_ENGINE_Initiatives!CU73</f>
        <v>INI-069|Quality Portfolio|Process management|CAP_DELIVERY_CONTINUITY</v>
      </c>
      <c r="O70" s="177" t="str">
        <f>_ENGINE_Initiatives!CX73</f>
        <v>Initiative ontology uses capability=CAP_DELIVERY_CONTINUITY; bridge=BRG-074; treatment=TRT-DELIVERY_CONTINUITY-INITIAL; wording=IW-ALL-DELIVERY_CONTINUITY</v>
      </c>
    </row>
    <row r="71" spans="1:15" ht="28.3" customHeight="1">
      <c r="A71" s="177" t="str">
        <f>_ENGINE_Initiatives!CR74</f>
        <v>INIT-ONT-0070</v>
      </c>
      <c r="B71" s="177" t="str">
        <f>_ENGINE_Initiatives!A74</f>
        <v>INI-070</v>
      </c>
      <c r="C71" s="177" t="str">
        <f>_ENGINE_Initiatives!B74</f>
        <v>Quality Portfolio</v>
      </c>
      <c r="D71" s="177" t="str">
        <f>_ENGINE_Initiatives!C74</f>
        <v>Quality management</v>
      </c>
      <c r="E71" s="177" t="str">
        <f>_ENGINE_Initiatives!E74</f>
        <v>STR-07</v>
      </c>
      <c r="F71" s="177" t="str">
        <f>_ENGINE_Initiatives!F74</f>
        <v>Strengthen quality management and audit readiness</v>
      </c>
      <c r="G71" s="177" t="str">
        <f>_ENGINE_Initiatives!BZ74</f>
        <v>CAP_DELIVERY_CONTINUITY</v>
      </c>
      <c r="H71" s="177" t="str">
        <f>_ENGINE_Initiatives!CB74</f>
        <v>BRG-075</v>
      </c>
      <c r="I71" s="177" t="str">
        <f>_ENGINE_Initiatives!CE74</f>
        <v>TRT-DELIVERY_CONTINUITY-INITIAL</v>
      </c>
      <c r="J71" s="177" t="str">
        <f>_ENGINE_Initiatives!CK74</f>
        <v>IW-ALL-DELIVERY_CONTINUITY</v>
      </c>
      <c r="K71" s="177" t="str">
        <f>_ENGINE_Initiatives!CV74</f>
        <v>Active</v>
      </c>
      <c r="L71" s="177" t="str">
        <f>_ENGINE_Initiatives!CW74</f>
        <v>OK: capability-driven</v>
      </c>
      <c r="M71" s="177" t="str">
        <f>IF(_ENGINE_Initiatives!CV74="Active","Yes","No")</f>
        <v>Yes</v>
      </c>
      <c r="N71" s="177" t="str">
        <f>_ENGINE_Initiatives!CU74</f>
        <v>INI-070|Quality Portfolio|Quality management|CAP_DELIVERY_CONTINUITY</v>
      </c>
      <c r="O71" s="177" t="str">
        <f>_ENGINE_Initiatives!CX74</f>
        <v>Initiative ontology uses capability=CAP_DELIVERY_CONTINUITY; bridge=BRG-075; treatment=TRT-DELIVERY_CONTINUITY-INITIAL; wording=IW-ALL-DELIVERY_CONTINUITY</v>
      </c>
    </row>
    <row r="72" spans="1:15" ht="28.3" customHeight="1">
      <c r="A72" s="177" t="str">
        <f>_ENGINE_Initiatives!CR75</f>
        <v>INIT-ONT-0071</v>
      </c>
      <c r="B72" s="177" t="str">
        <f>_ENGINE_Initiatives!A75</f>
        <v>INI-071</v>
      </c>
      <c r="C72" s="177" t="str">
        <f>_ENGINE_Initiatives!B75</f>
        <v>Quality Portfolio</v>
      </c>
      <c r="D72" s="177" t="str">
        <f>_ENGINE_Initiatives!C75</f>
        <v>Portfolio and change</v>
      </c>
      <c r="E72" s="177" t="str">
        <f>_ENGINE_Initiatives!E75</f>
        <v>STR-14</v>
      </c>
      <c r="F72" s="177" t="str">
        <f>_ENGINE_Initiatives!F75</f>
        <v>Implement portfolio governance, prioritization and change control</v>
      </c>
      <c r="G72" s="177" t="str">
        <f>_ENGINE_Initiatives!BZ75</f>
        <v>CAP_DELIVERY_CONTINUITY</v>
      </c>
      <c r="H72" s="177" t="str">
        <f>_ENGINE_Initiatives!CB75</f>
        <v>BRG-073</v>
      </c>
      <c r="I72" s="177" t="str">
        <f>_ENGINE_Initiatives!CE75</f>
        <v>TRT-DELIVERY_CONTINUITY-INITIAL</v>
      </c>
      <c r="J72" s="177" t="str">
        <f>_ENGINE_Initiatives!CK75</f>
        <v>IW-ALL-DELIVERY_CONTINUITY</v>
      </c>
      <c r="K72" s="177" t="str">
        <f>_ENGINE_Initiatives!CV75</f>
        <v>Active</v>
      </c>
      <c r="L72" s="177" t="str">
        <f>_ENGINE_Initiatives!CW75</f>
        <v>OK: capability-driven</v>
      </c>
      <c r="M72" s="177" t="str">
        <f>IF(_ENGINE_Initiatives!CV75="Active","Yes","No")</f>
        <v>Yes</v>
      </c>
      <c r="N72" s="177" t="str">
        <f>_ENGINE_Initiatives!CU75</f>
        <v>INI-071|Quality Portfolio|Portfolio and change|CAP_DELIVERY_CONTINUITY</v>
      </c>
      <c r="O72" s="177" t="str">
        <f>_ENGINE_Initiatives!CX75</f>
        <v>Initiative ontology uses capability=CAP_DELIVERY_CONTINUITY; bridge=BRG-073; treatment=TRT-DELIVERY_CONTINUITY-INITIAL; wording=IW-ALL-DELIVERY_CONTINUITY</v>
      </c>
    </row>
    <row r="73" spans="1:15" ht="28.3" customHeight="1">
      <c r="A73" s="177" t="str">
        <f>_ENGINE_Initiatives!CR76</f>
        <v>INIT-ONT-0072</v>
      </c>
      <c r="B73" s="177" t="str">
        <f>_ENGINE_Initiatives!A76</f>
        <v>INI-072</v>
      </c>
      <c r="C73" s="177" t="str">
        <f>_ENGINE_Initiatives!B76</f>
        <v>Quality Portfolio</v>
      </c>
      <c r="D73" s="177" t="str">
        <f>_ENGINE_Initiatives!C76</f>
        <v>Management system</v>
      </c>
      <c r="E73" s="177" t="str">
        <f>_ENGINE_Initiatives!E76</f>
        <v>STR-13</v>
      </c>
      <c r="F73" s="177" t="str">
        <f>_ENGINE_Initiatives!F76</f>
        <v>Integrate management system, KPIs and continual improvement cycle</v>
      </c>
      <c r="G73" s="177" t="str">
        <f>_ENGINE_Initiatives!BZ76</f>
        <v>CAP_BUSINESS_SYSTEMS</v>
      </c>
      <c r="H73" s="177" t="str">
        <f>_ENGINE_Initiatives!CB76</f>
        <v>BRG-072</v>
      </c>
      <c r="I73" s="177" t="str">
        <f>_ENGINE_Initiatives!CE76</f>
        <v>TRT-BUSINESS_SYSTEMS-INITIAL</v>
      </c>
      <c r="J73" s="177" t="str">
        <f>_ENGINE_Initiatives!CK76</f>
        <v>IW-ALL-BUSINESS_SYSTEMS</v>
      </c>
      <c r="K73" s="177" t="str">
        <f>_ENGINE_Initiatives!CV76</f>
        <v>Active</v>
      </c>
      <c r="L73" s="177" t="str">
        <f>_ENGINE_Initiatives!CW76</f>
        <v>OK: capability-driven</v>
      </c>
      <c r="M73" s="177" t="str">
        <f>IF(_ENGINE_Initiatives!CV76="Active","Yes","No")</f>
        <v>Yes</v>
      </c>
      <c r="N73" s="177" t="str">
        <f>_ENGINE_Initiatives!CU76</f>
        <v>INI-072|Quality Portfolio|Management system|CAP_BUSINESS_SYSTEMS</v>
      </c>
      <c r="O73" s="177" t="str">
        <f>_ENGINE_Initiatives!CX76</f>
        <v>Initiative ontology uses capability=CAP_BUSINESS_SYSTEMS; bridge=BRG-072; treatment=TRT-BUSINESS_SYSTEMS-INITIAL; wording=IW-ALL-BUSINESS_SYSTEMS</v>
      </c>
    </row>
  </sheetData>
  <autoFilter ref="A1:O73" xr:uid="{00000000-0009-0000-0000-000022000000}"/>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M8"/>
  <sheetViews>
    <sheetView workbookViewId="0">
      <pane ySplit="1" topLeftCell="A2" activePane="bottomLeft" state="frozen"/>
      <selection pane="bottomLeft"/>
    </sheetView>
  </sheetViews>
  <sheetFormatPr defaultRowHeight="14.15"/>
  <cols>
    <col min="1" max="1" width="12" customWidth="1"/>
    <col min="2" max="2" width="24" customWidth="1"/>
    <col min="3" max="3" width="34" customWidth="1"/>
    <col min="4" max="4" width="32" customWidth="1"/>
    <col min="5" max="5" width="40" customWidth="1"/>
    <col min="6" max="6" width="46" customWidth="1"/>
    <col min="7" max="7" width="18" customWidth="1"/>
    <col min="8" max="12" width="16" customWidth="1"/>
    <col min="13" max="13" width="52" customWidth="1"/>
  </cols>
  <sheetData>
    <row r="1" spans="1:13" ht="28.3" customHeight="1">
      <c r="A1" s="176" t="s">
        <v>15691</v>
      </c>
      <c r="B1" s="176" t="s">
        <v>15692</v>
      </c>
      <c r="C1" s="176" t="s">
        <v>15693</v>
      </c>
      <c r="D1" s="176" t="s">
        <v>15694</v>
      </c>
      <c r="E1" s="176" t="s">
        <v>15695</v>
      </c>
      <c r="F1" s="176" t="s">
        <v>15696</v>
      </c>
      <c r="G1" s="176" t="s">
        <v>15697</v>
      </c>
      <c r="H1" s="176" t="s">
        <v>15698</v>
      </c>
      <c r="I1" s="176" t="s">
        <v>15699</v>
      </c>
      <c r="J1" s="176" t="s">
        <v>15700</v>
      </c>
      <c r="K1" s="176" t="s">
        <v>15701</v>
      </c>
      <c r="L1" s="176" t="s">
        <v>742</v>
      </c>
      <c r="M1" s="176" t="s">
        <v>744</v>
      </c>
    </row>
    <row r="2" spans="1:13" ht="28.3" customHeight="1">
      <c r="A2" s="177" t="s">
        <v>15702</v>
      </c>
      <c r="B2" s="177" t="s">
        <v>51</v>
      </c>
      <c r="C2" s="177" t="s">
        <v>15703</v>
      </c>
      <c r="D2" s="177" t="s">
        <v>123</v>
      </c>
      <c r="E2" s="177" t="s">
        <v>15704</v>
      </c>
      <c r="F2" s="177" t="s">
        <v>15705</v>
      </c>
      <c r="G2" s="177" t="s">
        <v>11504</v>
      </c>
      <c r="H2" s="177" t="s">
        <v>11504</v>
      </c>
      <c r="I2" s="177" t="s">
        <v>11502</v>
      </c>
      <c r="J2" s="177" t="s">
        <v>11502</v>
      </c>
      <c r="K2" s="177" t="s">
        <v>11502</v>
      </c>
      <c r="L2" s="184" t="s">
        <v>15706</v>
      </c>
      <c r="M2" s="177" t="s">
        <v>15707</v>
      </c>
    </row>
    <row r="3" spans="1:13" ht="42.45" customHeight="1">
      <c r="A3" s="177" t="s">
        <v>15708</v>
      </c>
      <c r="B3" s="177" t="s">
        <v>59</v>
      </c>
      <c r="C3" s="177" t="s">
        <v>15709</v>
      </c>
      <c r="D3" s="177" t="s">
        <v>15710</v>
      </c>
      <c r="E3" s="177" t="s">
        <v>15711</v>
      </c>
      <c r="F3" s="177" t="s">
        <v>15712</v>
      </c>
      <c r="G3" s="177" t="s">
        <v>11504</v>
      </c>
      <c r="H3" s="177" t="s">
        <v>12302</v>
      </c>
      <c r="I3" s="177" t="s">
        <v>11502</v>
      </c>
      <c r="J3" s="177" t="s">
        <v>11502</v>
      </c>
      <c r="K3" s="177" t="s">
        <v>11502</v>
      </c>
      <c r="L3" s="184" t="s">
        <v>15706</v>
      </c>
      <c r="M3" s="177" t="s">
        <v>15713</v>
      </c>
    </row>
    <row r="4" spans="1:13" ht="28.3" customHeight="1">
      <c r="A4" s="177" t="s">
        <v>15714</v>
      </c>
      <c r="B4" s="177" t="s">
        <v>63</v>
      </c>
      <c r="C4" s="177" t="s">
        <v>15715</v>
      </c>
      <c r="D4" s="177" t="s">
        <v>15716</v>
      </c>
      <c r="E4" s="177" t="s">
        <v>15717</v>
      </c>
      <c r="F4" s="177" t="s">
        <v>15718</v>
      </c>
      <c r="G4" s="177" t="s">
        <v>11504</v>
      </c>
      <c r="H4" s="177" t="s">
        <v>11504</v>
      </c>
      <c r="I4" s="177" t="s">
        <v>11504</v>
      </c>
      <c r="J4" s="177" t="s">
        <v>11502</v>
      </c>
      <c r="K4" s="177" t="s">
        <v>11502</v>
      </c>
      <c r="L4" s="184" t="s">
        <v>15706</v>
      </c>
      <c r="M4" s="177" t="s">
        <v>15719</v>
      </c>
    </row>
    <row r="5" spans="1:13" ht="28.3" customHeight="1">
      <c r="A5" s="177" t="s">
        <v>15720</v>
      </c>
      <c r="B5" s="177" t="s">
        <v>15721</v>
      </c>
      <c r="C5" s="177" t="s">
        <v>15722</v>
      </c>
      <c r="D5" s="177" t="s">
        <v>222</v>
      </c>
      <c r="E5" s="177" t="s">
        <v>15723</v>
      </c>
      <c r="F5" s="177" t="s">
        <v>15724</v>
      </c>
      <c r="G5" s="177" t="s">
        <v>11504</v>
      </c>
      <c r="H5" s="177" t="s">
        <v>11504</v>
      </c>
      <c r="I5" s="177" t="s">
        <v>11504</v>
      </c>
      <c r="J5" s="177" t="s">
        <v>11504</v>
      </c>
      <c r="K5" s="177" t="s">
        <v>11504</v>
      </c>
      <c r="L5" s="184" t="s">
        <v>15706</v>
      </c>
      <c r="M5" s="177" t="s">
        <v>15725</v>
      </c>
    </row>
    <row r="6" spans="1:13" ht="28.3" customHeight="1">
      <c r="A6" s="177" t="s">
        <v>15726</v>
      </c>
      <c r="B6" s="177" t="s">
        <v>15727</v>
      </c>
      <c r="C6" s="177" t="s">
        <v>15728</v>
      </c>
      <c r="D6" s="177" t="s">
        <v>216</v>
      </c>
      <c r="E6" s="177" t="s">
        <v>15729</v>
      </c>
      <c r="F6" s="177" t="s">
        <v>15730</v>
      </c>
      <c r="G6" s="177" t="s">
        <v>11504</v>
      </c>
      <c r="H6" s="177" t="s">
        <v>11504</v>
      </c>
      <c r="I6" s="177" t="s">
        <v>11504</v>
      </c>
      <c r="J6" s="177" t="s">
        <v>11504</v>
      </c>
      <c r="K6" s="177" t="s">
        <v>11504</v>
      </c>
      <c r="L6" s="184" t="s">
        <v>15706</v>
      </c>
      <c r="M6" s="177" t="s">
        <v>15731</v>
      </c>
    </row>
    <row r="7" spans="1:13" ht="28.3" customHeight="1">
      <c r="A7" s="177" t="s">
        <v>15732</v>
      </c>
      <c r="B7" s="177" t="s">
        <v>67</v>
      </c>
      <c r="C7" s="177" t="s">
        <v>15733</v>
      </c>
      <c r="D7" s="177" t="s">
        <v>216</v>
      </c>
      <c r="E7" s="177" t="s">
        <v>15734</v>
      </c>
      <c r="F7" s="177" t="s">
        <v>15735</v>
      </c>
      <c r="G7" s="177" t="s">
        <v>11504</v>
      </c>
      <c r="H7" s="177" t="s">
        <v>11504</v>
      </c>
      <c r="I7" s="177" t="s">
        <v>11504</v>
      </c>
      <c r="J7" s="177" t="s">
        <v>11504</v>
      </c>
      <c r="K7" s="177" t="s">
        <v>11504</v>
      </c>
      <c r="L7" s="184" t="s">
        <v>15706</v>
      </c>
      <c r="M7" s="177" t="s">
        <v>15736</v>
      </c>
    </row>
    <row r="8" spans="1:13" ht="28.3" customHeight="1">
      <c r="A8" s="177" t="s">
        <v>15737</v>
      </c>
      <c r="B8" s="177" t="s">
        <v>194</v>
      </c>
      <c r="C8" s="177" t="s">
        <v>15738</v>
      </c>
      <c r="D8" s="177" t="s">
        <v>15739</v>
      </c>
      <c r="E8" s="177" t="s">
        <v>15740</v>
      </c>
      <c r="F8" s="177" t="s">
        <v>15741</v>
      </c>
      <c r="G8" s="177" t="s">
        <v>11502</v>
      </c>
      <c r="H8" s="177" t="s">
        <v>11502</v>
      </c>
      <c r="I8" s="177" t="s">
        <v>11502</v>
      </c>
      <c r="J8" s="177" t="s">
        <v>11502</v>
      </c>
      <c r="K8" s="177" t="s">
        <v>11502</v>
      </c>
      <c r="L8" s="179" t="s">
        <v>15742</v>
      </c>
      <c r="M8" s="177" t="s">
        <v>15743</v>
      </c>
    </row>
  </sheetData>
  <autoFilter ref="A1:M8" xr:uid="{00000000-0009-0000-0000-000023000000}"/>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rgb="FF1F4E78"/>
  </sheetPr>
  <dimension ref="A1:L28"/>
  <sheetViews>
    <sheetView showGridLines="0" workbookViewId="0">
      <pane ySplit="4" topLeftCell="A5" activePane="bottomLeft" state="frozen"/>
      <selection pane="bottomLeft" sqref="A1:L1"/>
    </sheetView>
  </sheetViews>
  <sheetFormatPr defaultRowHeight="14.15"/>
  <cols>
    <col min="1" max="1" width="24" customWidth="1"/>
    <col min="2" max="3" width="28" customWidth="1"/>
    <col min="4" max="4" width="10" customWidth="1"/>
    <col min="5" max="5" width="32" customWidth="1"/>
    <col min="6" max="6" width="10" customWidth="1"/>
    <col min="7" max="7" width="36" customWidth="1"/>
    <col min="8" max="8" width="24" customWidth="1"/>
    <col min="9" max="9" width="12" customWidth="1"/>
    <col min="10" max="10" width="44" customWidth="1"/>
    <col min="11" max="11" width="12" customWidth="1"/>
    <col min="12" max="12" width="60" customWidth="1"/>
  </cols>
  <sheetData>
    <row r="1" spans="1:12" ht="24" customHeight="1">
      <c r="A1" s="313" t="s">
        <v>15744</v>
      </c>
      <c r="B1" s="310"/>
      <c r="C1" s="310"/>
      <c r="D1" s="310"/>
      <c r="E1" s="310"/>
      <c r="F1" s="310"/>
      <c r="G1" s="310"/>
      <c r="H1" s="310"/>
      <c r="I1" s="310"/>
      <c r="J1" s="310"/>
      <c r="K1" s="310"/>
      <c r="L1" s="311"/>
    </row>
    <row r="2" spans="1:12" ht="32.049999999999997" customHeight="1">
      <c r="A2" s="309" t="s">
        <v>15745</v>
      </c>
      <c r="B2" s="310"/>
      <c r="C2" s="310"/>
      <c r="D2" s="310"/>
      <c r="E2" s="310"/>
      <c r="F2" s="310"/>
      <c r="G2" s="310"/>
      <c r="H2" s="310"/>
      <c r="I2" s="310"/>
      <c r="J2" s="310"/>
      <c r="K2" s="310"/>
      <c r="L2" s="311"/>
    </row>
    <row r="4" spans="1:12" ht="28.3" customHeight="1">
      <c r="A4" s="186" t="s">
        <v>15746</v>
      </c>
      <c r="B4" s="186" t="s">
        <v>15747</v>
      </c>
      <c r="C4" s="186" t="s">
        <v>15748</v>
      </c>
      <c r="D4" s="186" t="s">
        <v>15749</v>
      </c>
      <c r="E4" s="186" t="s">
        <v>15750</v>
      </c>
      <c r="F4" s="186" t="s">
        <v>15751</v>
      </c>
      <c r="G4" s="186" t="s">
        <v>15752</v>
      </c>
      <c r="H4" s="186" t="s">
        <v>15753</v>
      </c>
      <c r="I4" s="186" t="s">
        <v>15754</v>
      </c>
      <c r="J4" s="186" t="s">
        <v>15755</v>
      </c>
      <c r="K4" s="186" t="s">
        <v>11627</v>
      </c>
      <c r="L4" s="186" t="s">
        <v>744</v>
      </c>
    </row>
    <row r="5" spans="1:12" ht="28.3" customHeight="1">
      <c r="A5" s="187" t="s">
        <v>15756</v>
      </c>
      <c r="B5" s="187" t="s">
        <v>15757</v>
      </c>
      <c r="C5" s="187" t="s">
        <v>123</v>
      </c>
      <c r="D5" s="188">
        <v>4</v>
      </c>
      <c r="E5" s="187" t="s">
        <v>15758</v>
      </c>
      <c r="F5" s="188">
        <v>80</v>
      </c>
      <c r="G5" s="187" t="s">
        <v>15759</v>
      </c>
      <c r="H5" s="187" t="s">
        <v>13062</v>
      </c>
      <c r="I5" s="187" t="s">
        <v>275</v>
      </c>
      <c r="J5" s="187" t="s">
        <v>15760</v>
      </c>
      <c r="K5" s="187" t="s">
        <v>15706</v>
      </c>
      <c r="L5" s="187" t="s">
        <v>15761</v>
      </c>
    </row>
    <row r="6" spans="1:12" ht="28.3" customHeight="1">
      <c r="A6" s="187" t="s">
        <v>15762</v>
      </c>
      <c r="B6" s="187" t="s">
        <v>15763</v>
      </c>
      <c r="C6" s="187" t="s">
        <v>15764</v>
      </c>
      <c r="D6" s="188">
        <v>1</v>
      </c>
      <c r="E6" s="187" t="s">
        <v>15765</v>
      </c>
      <c r="F6" s="188">
        <v>105</v>
      </c>
      <c r="G6" s="187" t="s">
        <v>15766</v>
      </c>
      <c r="H6" s="187" t="s">
        <v>11962</v>
      </c>
      <c r="I6" s="187" t="s">
        <v>275</v>
      </c>
      <c r="J6" s="187" t="s">
        <v>15760</v>
      </c>
      <c r="K6" s="187" t="s">
        <v>15706</v>
      </c>
      <c r="L6" s="187" t="s">
        <v>15767</v>
      </c>
    </row>
    <row r="7" spans="1:12" ht="28.3" customHeight="1">
      <c r="A7" s="187" t="s">
        <v>15768</v>
      </c>
      <c r="B7" s="187" t="s">
        <v>15769</v>
      </c>
      <c r="C7" s="187" t="s">
        <v>15770</v>
      </c>
      <c r="D7" s="188">
        <v>1</v>
      </c>
      <c r="E7" s="187" t="s">
        <v>15771</v>
      </c>
      <c r="F7" s="188">
        <v>357</v>
      </c>
      <c r="G7" s="187" t="s">
        <v>15772</v>
      </c>
      <c r="H7" s="187" t="s">
        <v>15773</v>
      </c>
      <c r="I7" s="187" t="s">
        <v>275</v>
      </c>
      <c r="J7" s="187" t="s">
        <v>15760</v>
      </c>
      <c r="K7" s="187" t="s">
        <v>15706</v>
      </c>
      <c r="L7" s="187" t="s">
        <v>15774</v>
      </c>
    </row>
    <row r="8" spans="1:12" ht="28.3" customHeight="1">
      <c r="A8" s="187" t="s">
        <v>15775</v>
      </c>
      <c r="B8" s="187" t="s">
        <v>15776</v>
      </c>
      <c r="C8" s="187" t="s">
        <v>15777</v>
      </c>
      <c r="D8" s="188">
        <v>1</v>
      </c>
      <c r="E8" s="187" t="s">
        <v>15778</v>
      </c>
      <c r="F8" s="188">
        <v>42</v>
      </c>
      <c r="G8" s="187" t="s">
        <v>15779</v>
      </c>
      <c r="H8" s="187" t="s">
        <v>15780</v>
      </c>
      <c r="I8" s="187" t="s">
        <v>275</v>
      </c>
      <c r="J8" s="187" t="s">
        <v>15760</v>
      </c>
      <c r="K8" s="187" t="s">
        <v>15706</v>
      </c>
      <c r="L8" s="187" t="s">
        <v>15781</v>
      </c>
    </row>
    <row r="9" spans="1:12" ht="28.3" customHeight="1">
      <c r="A9" s="187" t="s">
        <v>15782</v>
      </c>
      <c r="B9" s="187" t="s">
        <v>15783</v>
      </c>
      <c r="C9" s="187" t="s">
        <v>15784</v>
      </c>
      <c r="D9" s="188">
        <v>1</v>
      </c>
      <c r="E9" s="187" t="s">
        <v>15785</v>
      </c>
      <c r="F9" s="188">
        <v>37</v>
      </c>
      <c r="G9" s="187" t="s">
        <v>15786</v>
      </c>
      <c r="H9" s="187" t="s">
        <v>13334</v>
      </c>
      <c r="I9" s="187" t="s">
        <v>275</v>
      </c>
      <c r="J9" s="187" t="s">
        <v>15760</v>
      </c>
      <c r="K9" s="187" t="s">
        <v>15706</v>
      </c>
      <c r="L9" s="187" t="s">
        <v>15787</v>
      </c>
    </row>
    <row r="10" spans="1:12" ht="28.3" customHeight="1">
      <c r="A10" s="187" t="s">
        <v>15788</v>
      </c>
      <c r="B10" s="187" t="s">
        <v>15789</v>
      </c>
      <c r="C10" s="187" t="s">
        <v>390</v>
      </c>
      <c r="D10" s="188">
        <v>1</v>
      </c>
      <c r="E10" s="187" t="s">
        <v>15790</v>
      </c>
      <c r="F10" s="188">
        <v>98</v>
      </c>
      <c r="G10" s="187" t="s">
        <v>15791</v>
      </c>
      <c r="H10" s="187" t="s">
        <v>14124</v>
      </c>
      <c r="I10" s="187" t="s">
        <v>275</v>
      </c>
      <c r="J10" s="187" t="s">
        <v>15760</v>
      </c>
      <c r="K10" s="187" t="s">
        <v>15706</v>
      </c>
      <c r="L10" s="187" t="s">
        <v>15792</v>
      </c>
    </row>
    <row r="11" spans="1:12" ht="28.3" customHeight="1">
      <c r="A11" s="187" t="s">
        <v>15793</v>
      </c>
      <c r="B11" s="187" t="s">
        <v>15794</v>
      </c>
      <c r="C11" s="187" t="s">
        <v>15795</v>
      </c>
      <c r="D11" s="188">
        <v>1</v>
      </c>
      <c r="E11" s="187" t="s">
        <v>15796</v>
      </c>
      <c r="F11" s="188">
        <v>121</v>
      </c>
      <c r="G11" s="187" t="s">
        <v>15797</v>
      </c>
      <c r="H11" s="187" t="s">
        <v>13332</v>
      </c>
      <c r="I11" s="187" t="s">
        <v>275</v>
      </c>
      <c r="J11" s="187" t="s">
        <v>15760</v>
      </c>
      <c r="K11" s="187" t="s">
        <v>15706</v>
      </c>
      <c r="L11" s="187" t="s">
        <v>15798</v>
      </c>
    </row>
    <row r="12" spans="1:12" ht="28.3" customHeight="1">
      <c r="A12" s="187" t="s">
        <v>15799</v>
      </c>
      <c r="B12" s="187" t="s">
        <v>15800</v>
      </c>
      <c r="C12" s="187" t="s">
        <v>160</v>
      </c>
      <c r="D12" s="188">
        <v>1</v>
      </c>
      <c r="E12" s="187" t="s">
        <v>15801</v>
      </c>
      <c r="F12" s="188">
        <v>65</v>
      </c>
      <c r="G12" s="187" t="s">
        <v>15802</v>
      </c>
      <c r="H12" s="187" t="s">
        <v>13332</v>
      </c>
      <c r="I12" s="187" t="s">
        <v>275</v>
      </c>
      <c r="J12" s="187" t="s">
        <v>15760</v>
      </c>
      <c r="K12" s="187" t="s">
        <v>15706</v>
      </c>
      <c r="L12" s="187" t="s">
        <v>15803</v>
      </c>
    </row>
    <row r="13" spans="1:12" ht="28.3" customHeight="1">
      <c r="A13" s="187" t="s">
        <v>15804</v>
      </c>
      <c r="B13" s="187" t="s">
        <v>15805</v>
      </c>
      <c r="C13" s="187" t="s">
        <v>15806</v>
      </c>
      <c r="D13" s="188">
        <v>1</v>
      </c>
      <c r="E13" s="187" t="s">
        <v>15807</v>
      </c>
      <c r="F13" s="188">
        <v>24</v>
      </c>
      <c r="G13" s="187" t="s">
        <v>15808</v>
      </c>
      <c r="H13" s="187" t="s">
        <v>13332</v>
      </c>
      <c r="I13" s="187" t="s">
        <v>275</v>
      </c>
      <c r="J13" s="187" t="s">
        <v>15760</v>
      </c>
      <c r="K13" s="187" t="s">
        <v>15706</v>
      </c>
      <c r="L13" s="187" t="s">
        <v>15809</v>
      </c>
    </row>
    <row r="14" spans="1:12" ht="28.3" customHeight="1">
      <c r="A14" s="187" t="s">
        <v>15810</v>
      </c>
      <c r="B14" s="187" t="s">
        <v>15811</v>
      </c>
      <c r="C14" s="187" t="s">
        <v>386</v>
      </c>
      <c r="D14" s="188">
        <v>1</v>
      </c>
      <c r="E14" s="187" t="s">
        <v>15812</v>
      </c>
      <c r="F14" s="188">
        <v>36</v>
      </c>
      <c r="G14" s="187" t="s">
        <v>15813</v>
      </c>
      <c r="H14" s="187" t="s">
        <v>13334</v>
      </c>
      <c r="I14" s="187" t="s">
        <v>275</v>
      </c>
      <c r="J14" s="187" t="s">
        <v>15760</v>
      </c>
      <c r="K14" s="187" t="s">
        <v>15706</v>
      </c>
      <c r="L14" s="187" t="s">
        <v>15814</v>
      </c>
    </row>
    <row r="15" spans="1:12" ht="28.3" customHeight="1">
      <c r="A15" s="187" t="s">
        <v>15815</v>
      </c>
      <c r="B15" s="187" t="s">
        <v>393</v>
      </c>
      <c r="C15" s="187" t="s">
        <v>167</v>
      </c>
      <c r="D15" s="188">
        <v>1</v>
      </c>
      <c r="E15" s="187" t="s">
        <v>15816</v>
      </c>
      <c r="F15" s="188">
        <v>295</v>
      </c>
      <c r="G15" s="187" t="s">
        <v>15817</v>
      </c>
      <c r="H15" s="187" t="s">
        <v>14434</v>
      </c>
      <c r="I15" s="187" t="s">
        <v>275</v>
      </c>
      <c r="J15" s="187" t="s">
        <v>15760</v>
      </c>
      <c r="K15" s="187" t="s">
        <v>15706</v>
      </c>
      <c r="L15" s="187" t="s">
        <v>15818</v>
      </c>
    </row>
    <row r="16" spans="1:12" ht="28.3" customHeight="1">
      <c r="A16" s="187" t="s">
        <v>15819</v>
      </c>
      <c r="B16" s="187" t="s">
        <v>15820</v>
      </c>
      <c r="C16" s="187" t="s">
        <v>170</v>
      </c>
      <c r="D16" s="188">
        <v>1</v>
      </c>
      <c r="E16" s="187" t="s">
        <v>15821</v>
      </c>
      <c r="F16" s="188">
        <v>69</v>
      </c>
      <c r="G16" s="187" t="s">
        <v>15822</v>
      </c>
      <c r="H16" s="187" t="s">
        <v>15261</v>
      </c>
      <c r="I16" s="187" t="s">
        <v>275</v>
      </c>
      <c r="J16" s="187" t="s">
        <v>15760</v>
      </c>
      <c r="K16" s="187" t="s">
        <v>15706</v>
      </c>
      <c r="L16" s="187" t="s">
        <v>15823</v>
      </c>
    </row>
    <row r="17" spans="1:12" ht="28.3" customHeight="1">
      <c r="A17" s="187" t="s">
        <v>15824</v>
      </c>
      <c r="B17" s="187" t="s">
        <v>15825</v>
      </c>
      <c r="C17" s="187" t="s">
        <v>15826</v>
      </c>
      <c r="D17" s="188">
        <v>1</v>
      </c>
      <c r="E17" s="187" t="s">
        <v>15827</v>
      </c>
      <c r="F17" s="188">
        <v>424</v>
      </c>
      <c r="G17" s="187" t="s">
        <v>15828</v>
      </c>
      <c r="H17" s="187" t="s">
        <v>15678</v>
      </c>
      <c r="I17" s="187" t="s">
        <v>275</v>
      </c>
      <c r="J17" s="187" t="s">
        <v>15760</v>
      </c>
      <c r="K17" s="187" t="s">
        <v>15706</v>
      </c>
      <c r="L17" s="187" t="s">
        <v>15829</v>
      </c>
    </row>
    <row r="18" spans="1:12" ht="28.3" customHeight="1">
      <c r="A18" s="187" t="s">
        <v>15830</v>
      </c>
      <c r="B18" s="187" t="s">
        <v>15831</v>
      </c>
      <c r="C18" s="187" t="s">
        <v>15832</v>
      </c>
      <c r="D18" s="188">
        <v>1</v>
      </c>
      <c r="E18" s="187" t="s">
        <v>15833</v>
      </c>
      <c r="F18" s="188">
        <v>72</v>
      </c>
      <c r="G18" s="187" t="s">
        <v>15834</v>
      </c>
      <c r="H18" s="187" t="s">
        <v>15688</v>
      </c>
      <c r="I18" s="187" t="s">
        <v>275</v>
      </c>
      <c r="J18" s="187" t="s">
        <v>15760</v>
      </c>
      <c r="K18" s="187" t="s">
        <v>15706</v>
      </c>
      <c r="L18" s="187" t="s">
        <v>15835</v>
      </c>
    </row>
    <row r="19" spans="1:12" ht="28.3" customHeight="1">
      <c r="A19" s="187" t="s">
        <v>15836</v>
      </c>
      <c r="B19" s="187" t="s">
        <v>15837</v>
      </c>
      <c r="C19" s="187" t="s">
        <v>15838</v>
      </c>
      <c r="D19" s="188">
        <v>1</v>
      </c>
      <c r="E19" s="187" t="s">
        <v>15839</v>
      </c>
      <c r="F19" s="188">
        <v>7</v>
      </c>
      <c r="G19" s="187" t="s">
        <v>15840</v>
      </c>
      <c r="H19" s="187" t="s">
        <v>15691</v>
      </c>
      <c r="I19" s="187" t="s">
        <v>280</v>
      </c>
      <c r="J19" s="187" t="s">
        <v>15760</v>
      </c>
      <c r="K19" s="187" t="s">
        <v>15706</v>
      </c>
      <c r="L19" s="187" t="s">
        <v>15841</v>
      </c>
    </row>
    <row r="20" spans="1:12" ht="28.3" customHeight="1">
      <c r="A20" s="187" t="s">
        <v>15842</v>
      </c>
      <c r="B20" s="187" t="s">
        <v>15843</v>
      </c>
      <c r="C20" s="187" t="s">
        <v>200</v>
      </c>
      <c r="D20" s="188">
        <v>1</v>
      </c>
      <c r="E20" s="187" t="s">
        <v>15844</v>
      </c>
      <c r="F20" s="188">
        <v>427</v>
      </c>
      <c r="G20" s="187" t="s">
        <v>15845</v>
      </c>
      <c r="H20" s="187" t="s">
        <v>15680</v>
      </c>
      <c r="I20" s="187" t="s">
        <v>275</v>
      </c>
      <c r="J20" s="187" t="s">
        <v>15760</v>
      </c>
      <c r="K20" s="187" t="s">
        <v>15706</v>
      </c>
      <c r="L20" s="187" t="s">
        <v>15846</v>
      </c>
    </row>
    <row r="21" spans="1:12" ht="28.3" customHeight="1">
      <c r="A21" s="187" t="s">
        <v>15847</v>
      </c>
      <c r="B21" s="187" t="s">
        <v>15848</v>
      </c>
      <c r="C21" s="187" t="s">
        <v>209</v>
      </c>
      <c r="D21" s="188">
        <v>1</v>
      </c>
      <c r="E21" s="187" t="s">
        <v>15849</v>
      </c>
      <c r="F21" s="188">
        <v>427</v>
      </c>
      <c r="G21" s="187" t="s">
        <v>15850</v>
      </c>
      <c r="H21" s="187" t="s">
        <v>15680</v>
      </c>
      <c r="I21" s="187" t="s">
        <v>280</v>
      </c>
      <c r="J21" s="187" t="s">
        <v>15760</v>
      </c>
      <c r="K21" s="187" t="s">
        <v>15706</v>
      </c>
      <c r="L21" s="187" t="s">
        <v>15851</v>
      </c>
    </row>
    <row r="22" spans="1:12" ht="28.3" customHeight="1">
      <c r="A22" s="187" t="s">
        <v>15852</v>
      </c>
      <c r="B22" s="187" t="s">
        <v>15853</v>
      </c>
      <c r="C22" s="187" t="s">
        <v>222</v>
      </c>
      <c r="D22" s="188">
        <v>1</v>
      </c>
      <c r="E22" s="187" t="s">
        <v>15854</v>
      </c>
      <c r="F22" s="188">
        <v>922</v>
      </c>
      <c r="G22" s="187" t="s">
        <v>15855</v>
      </c>
      <c r="H22" s="187" t="s">
        <v>15678</v>
      </c>
      <c r="I22" s="187" t="s">
        <v>280</v>
      </c>
      <c r="J22" s="187" t="s">
        <v>15760</v>
      </c>
      <c r="K22" s="187" t="s">
        <v>15706</v>
      </c>
      <c r="L22" s="187" t="s">
        <v>15856</v>
      </c>
    </row>
    <row r="23" spans="1:12" ht="28.3" customHeight="1">
      <c r="A23" s="187" t="s">
        <v>15857</v>
      </c>
      <c r="B23" s="187" t="s">
        <v>15858</v>
      </c>
      <c r="C23" s="187" t="s">
        <v>216</v>
      </c>
      <c r="D23" s="188">
        <v>1</v>
      </c>
      <c r="E23" s="187" t="s">
        <v>15859</v>
      </c>
      <c r="F23" s="188">
        <v>75</v>
      </c>
      <c r="G23" s="187" t="s">
        <v>15860</v>
      </c>
      <c r="H23" s="187" t="s">
        <v>13336</v>
      </c>
      <c r="I23" s="187" t="s">
        <v>280</v>
      </c>
      <c r="J23" s="187" t="s">
        <v>15760</v>
      </c>
      <c r="K23" s="187" t="s">
        <v>15706</v>
      </c>
      <c r="L23" s="187" t="s">
        <v>15861</v>
      </c>
    </row>
    <row r="24" spans="1:12" ht="28.3" customHeight="1">
      <c r="A24" s="187" t="s">
        <v>15862</v>
      </c>
      <c r="B24" s="187" t="s">
        <v>15863</v>
      </c>
      <c r="C24" s="187" t="s">
        <v>67</v>
      </c>
      <c r="D24" s="188">
        <v>1</v>
      </c>
      <c r="E24" s="187" t="s">
        <v>15864</v>
      </c>
      <c r="F24" s="188">
        <v>129</v>
      </c>
      <c r="G24" s="187" t="s">
        <v>15865</v>
      </c>
      <c r="H24" s="187" t="s">
        <v>15866</v>
      </c>
      <c r="I24" s="187" t="s">
        <v>13347</v>
      </c>
      <c r="J24" s="187" t="s">
        <v>15760</v>
      </c>
      <c r="K24" s="187" t="s">
        <v>15706</v>
      </c>
      <c r="L24" s="187" t="s">
        <v>15867</v>
      </c>
    </row>
    <row r="25" spans="1:12" ht="28.3" customHeight="1">
      <c r="A25" s="187" t="s">
        <v>15868</v>
      </c>
      <c r="B25" s="187" t="s">
        <v>15869</v>
      </c>
      <c r="C25" s="187" t="s">
        <v>51</v>
      </c>
      <c r="D25" s="188">
        <v>1</v>
      </c>
      <c r="E25" s="187" t="s">
        <v>15870</v>
      </c>
      <c r="F25" s="188">
        <v>158</v>
      </c>
      <c r="G25" s="187" t="s">
        <v>15871</v>
      </c>
      <c r="H25" s="187" t="s">
        <v>11962</v>
      </c>
      <c r="I25" s="187" t="s">
        <v>13347</v>
      </c>
      <c r="J25" s="187" t="s">
        <v>15760</v>
      </c>
      <c r="K25" s="187" t="s">
        <v>15706</v>
      </c>
      <c r="L25" s="187" t="s">
        <v>15872</v>
      </c>
    </row>
    <row r="26" spans="1:12">
      <c r="A26" t="s">
        <v>15873</v>
      </c>
      <c r="B26" t="s">
        <v>15874</v>
      </c>
      <c r="C26" t="s">
        <v>416</v>
      </c>
      <c r="D26" t="s">
        <v>56</v>
      </c>
      <c r="E26" t="s">
        <v>15875</v>
      </c>
      <c r="F26" t="s">
        <v>3700</v>
      </c>
      <c r="G26" t="s">
        <v>15876</v>
      </c>
      <c r="H26" t="s">
        <v>15877</v>
      </c>
      <c r="I26" t="s">
        <v>15878</v>
      </c>
      <c r="J26" t="s">
        <v>15879</v>
      </c>
      <c r="K26" t="s">
        <v>15706</v>
      </c>
      <c r="L26" t="s">
        <v>15880</v>
      </c>
    </row>
    <row r="27" spans="1:12">
      <c r="A27" t="s">
        <v>15881</v>
      </c>
      <c r="B27" t="s">
        <v>15874</v>
      </c>
      <c r="C27" t="s">
        <v>416</v>
      </c>
      <c r="D27" t="s">
        <v>3704</v>
      </c>
      <c r="E27" t="s">
        <v>15882</v>
      </c>
      <c r="F27" t="s">
        <v>3699</v>
      </c>
      <c r="G27" t="s">
        <v>15883</v>
      </c>
      <c r="H27" t="s">
        <v>15877</v>
      </c>
      <c r="I27" t="s">
        <v>15878</v>
      </c>
      <c r="J27" t="s">
        <v>15879</v>
      </c>
      <c r="K27" t="s">
        <v>15706</v>
      </c>
      <c r="L27" t="s">
        <v>15884</v>
      </c>
    </row>
    <row r="28" spans="1:12">
      <c r="A28" t="s">
        <v>15885</v>
      </c>
      <c r="B28" t="s">
        <v>15874</v>
      </c>
      <c r="C28" t="s">
        <v>416</v>
      </c>
      <c r="D28" t="s">
        <v>12799</v>
      </c>
      <c r="E28" t="s">
        <v>15886</v>
      </c>
      <c r="F28" t="s">
        <v>3696</v>
      </c>
      <c r="G28" t="s">
        <v>15887</v>
      </c>
      <c r="H28" t="s">
        <v>15877</v>
      </c>
      <c r="I28" t="s">
        <v>15878</v>
      </c>
      <c r="J28" t="s">
        <v>15879</v>
      </c>
      <c r="K28" t="s">
        <v>15706</v>
      </c>
      <c r="L28" t="s">
        <v>15888</v>
      </c>
    </row>
  </sheetData>
  <autoFilter ref="A4:L25" xr:uid="{00000000-0009-0000-0000-000024000000}"/>
  <mergeCells count="2">
    <mergeCell ref="A2:L2"/>
    <mergeCell ref="A1:L1"/>
  </mergeCells>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rgb="FF1F4E78"/>
  </sheetPr>
  <dimension ref="A1:N314"/>
  <sheetViews>
    <sheetView showGridLines="0" workbookViewId="0">
      <pane ySplit="4" topLeftCell="A5" activePane="bottomLeft" state="frozen"/>
      <selection pane="bottomLeft"/>
    </sheetView>
  </sheetViews>
  <sheetFormatPr defaultRowHeight="14.15"/>
  <cols>
    <col min="1" max="1" width="14" customWidth="1"/>
    <col min="2" max="2" width="24" customWidth="1"/>
    <col min="3" max="3" width="28" customWidth="1"/>
    <col min="4" max="4" width="24" customWidth="1"/>
    <col min="5" max="6" width="32" customWidth="1"/>
    <col min="7" max="7" width="14" customWidth="1"/>
    <col min="8" max="8" width="10" customWidth="1"/>
    <col min="9" max="9" width="24" customWidth="1"/>
    <col min="10" max="10" width="38" customWidth="1"/>
    <col min="11" max="11" width="48" customWidth="1"/>
    <col min="12" max="12" width="12" customWidth="1"/>
    <col min="13" max="13" width="18" customWidth="1"/>
    <col min="14" max="14" width="60" customWidth="1"/>
  </cols>
  <sheetData>
    <row r="1" spans="1:14" ht="24" customHeight="1">
      <c r="A1" s="313" t="s">
        <v>15889</v>
      </c>
      <c r="B1" s="310"/>
      <c r="C1" s="310"/>
      <c r="D1" s="310"/>
      <c r="E1" s="310"/>
      <c r="F1" s="310"/>
      <c r="G1" s="310"/>
      <c r="H1" s="310"/>
      <c r="I1" s="310"/>
      <c r="J1" s="310"/>
      <c r="K1" s="310"/>
      <c r="L1" s="310"/>
      <c r="M1" s="310"/>
      <c r="N1" s="311"/>
    </row>
    <row r="2" spans="1:14" ht="32.049999999999997" customHeight="1">
      <c r="A2" s="309" t="s">
        <v>15890</v>
      </c>
      <c r="B2" s="310"/>
      <c r="C2" s="310"/>
      <c r="D2" s="310"/>
      <c r="E2" s="310"/>
      <c r="F2" s="310"/>
      <c r="G2" s="310"/>
      <c r="H2" s="310"/>
      <c r="I2" s="310"/>
      <c r="J2" s="310"/>
      <c r="K2" s="310"/>
      <c r="L2" s="310"/>
      <c r="M2" s="310"/>
      <c r="N2" s="311"/>
    </row>
    <row r="4" spans="1:14">
      <c r="A4" s="186" t="s">
        <v>15891</v>
      </c>
      <c r="B4" s="186" t="s">
        <v>15746</v>
      </c>
      <c r="C4" s="186" t="s">
        <v>15748</v>
      </c>
      <c r="D4" s="186" t="s">
        <v>15750</v>
      </c>
      <c r="E4" s="186" t="s">
        <v>15892</v>
      </c>
      <c r="F4" s="186" t="s">
        <v>15893</v>
      </c>
      <c r="G4" s="186" t="s">
        <v>15894</v>
      </c>
      <c r="H4" s="186" t="s">
        <v>15895</v>
      </c>
      <c r="I4" s="186" t="s">
        <v>15896</v>
      </c>
      <c r="J4" s="186" t="s">
        <v>15897</v>
      </c>
      <c r="K4" s="186" t="s">
        <v>15898</v>
      </c>
      <c r="L4" s="186" t="s">
        <v>15899</v>
      </c>
      <c r="M4" s="186" t="s">
        <v>742</v>
      </c>
      <c r="N4" s="186" t="s">
        <v>744</v>
      </c>
    </row>
    <row r="5" spans="1:14" ht="28.3" customHeight="1">
      <c r="A5" s="187" t="s">
        <v>15900</v>
      </c>
      <c r="B5" s="187" t="s">
        <v>15756</v>
      </c>
      <c r="C5" s="187" t="s">
        <v>123</v>
      </c>
      <c r="D5" s="187" t="s">
        <v>15901</v>
      </c>
      <c r="E5" s="187" t="s">
        <v>13062</v>
      </c>
      <c r="F5" s="187" t="s">
        <v>15902</v>
      </c>
      <c r="G5" s="187" t="s">
        <v>15903</v>
      </c>
      <c r="H5" s="187" t="s">
        <v>11502</v>
      </c>
      <c r="I5" s="187" t="s">
        <v>15904</v>
      </c>
      <c r="J5" s="187"/>
      <c r="K5" s="187" t="s">
        <v>15905</v>
      </c>
      <c r="L5" s="187" t="s">
        <v>11502</v>
      </c>
      <c r="M5" s="187" t="s">
        <v>15706</v>
      </c>
      <c r="N5" s="187" t="s">
        <v>15761</v>
      </c>
    </row>
    <row r="6" spans="1:14" ht="28.3" customHeight="1">
      <c r="A6" s="187" t="s">
        <v>15906</v>
      </c>
      <c r="B6" s="187" t="s">
        <v>15756</v>
      </c>
      <c r="C6" s="187" t="s">
        <v>123</v>
      </c>
      <c r="D6" s="187" t="s">
        <v>15907</v>
      </c>
      <c r="E6" s="187" t="s">
        <v>13063</v>
      </c>
      <c r="F6" s="187" t="s">
        <v>15908</v>
      </c>
      <c r="G6" s="187" t="s">
        <v>15903</v>
      </c>
      <c r="H6" s="187" t="s">
        <v>11504</v>
      </c>
      <c r="I6" s="187"/>
      <c r="J6" s="187"/>
      <c r="K6" s="187" t="s">
        <v>15909</v>
      </c>
      <c r="L6" s="187" t="s">
        <v>11502</v>
      </c>
      <c r="M6" s="187" t="s">
        <v>15706</v>
      </c>
      <c r="N6" s="187" t="s">
        <v>15761</v>
      </c>
    </row>
    <row r="7" spans="1:14" ht="28.3" customHeight="1">
      <c r="A7" s="187" t="s">
        <v>15910</v>
      </c>
      <c r="B7" s="187" t="s">
        <v>15756</v>
      </c>
      <c r="C7" s="187" t="s">
        <v>123</v>
      </c>
      <c r="D7" s="187" t="s">
        <v>15911</v>
      </c>
      <c r="E7" s="187" t="s">
        <v>13064</v>
      </c>
      <c r="F7" s="187" t="s">
        <v>15912</v>
      </c>
      <c r="G7" s="187" t="s">
        <v>15903</v>
      </c>
      <c r="H7" s="187" t="s">
        <v>11504</v>
      </c>
      <c r="I7" s="187"/>
      <c r="J7" s="187"/>
      <c r="K7" s="187" t="s">
        <v>15909</v>
      </c>
      <c r="L7" s="187" t="s">
        <v>11502</v>
      </c>
      <c r="M7" s="187" t="s">
        <v>15706</v>
      </c>
      <c r="N7" s="187" t="s">
        <v>15761</v>
      </c>
    </row>
    <row r="8" spans="1:14" ht="28.3" customHeight="1">
      <c r="A8" s="187" t="s">
        <v>15913</v>
      </c>
      <c r="B8" s="187" t="s">
        <v>15756</v>
      </c>
      <c r="C8" s="187" t="s">
        <v>123</v>
      </c>
      <c r="D8" s="187" t="s">
        <v>15914</v>
      </c>
      <c r="E8" s="187" t="s">
        <v>13065</v>
      </c>
      <c r="F8" s="187" t="s">
        <v>15915</v>
      </c>
      <c r="G8" s="187" t="s">
        <v>15903</v>
      </c>
      <c r="H8" s="187" t="s">
        <v>11504</v>
      </c>
      <c r="I8" s="187"/>
      <c r="J8" s="187"/>
      <c r="K8" s="187" t="s">
        <v>15909</v>
      </c>
      <c r="L8" s="187" t="s">
        <v>11502</v>
      </c>
      <c r="M8" s="187" t="s">
        <v>15706</v>
      </c>
      <c r="N8" s="187" t="s">
        <v>15761</v>
      </c>
    </row>
    <row r="9" spans="1:14" ht="28.3" customHeight="1">
      <c r="A9" s="187" t="s">
        <v>15916</v>
      </c>
      <c r="B9" s="187" t="s">
        <v>15756</v>
      </c>
      <c r="C9" s="187" t="s">
        <v>123</v>
      </c>
      <c r="D9" s="187" t="s">
        <v>15917</v>
      </c>
      <c r="E9" s="187" t="s">
        <v>11625</v>
      </c>
      <c r="F9" s="187" t="s">
        <v>15918</v>
      </c>
      <c r="G9" s="187" t="s">
        <v>15903</v>
      </c>
      <c r="H9" s="187" t="s">
        <v>11504</v>
      </c>
      <c r="I9" s="187"/>
      <c r="J9" s="187"/>
      <c r="K9" s="187" t="s">
        <v>15909</v>
      </c>
      <c r="L9" s="187" t="s">
        <v>11502</v>
      </c>
      <c r="M9" s="187" t="s">
        <v>15706</v>
      </c>
      <c r="N9" s="187" t="s">
        <v>15761</v>
      </c>
    </row>
    <row r="10" spans="1:14" ht="28.3" customHeight="1">
      <c r="A10" s="187" t="s">
        <v>15919</v>
      </c>
      <c r="B10" s="187" t="s">
        <v>15756</v>
      </c>
      <c r="C10" s="187" t="s">
        <v>123</v>
      </c>
      <c r="D10" s="187" t="s">
        <v>15920</v>
      </c>
      <c r="E10" s="187" t="s">
        <v>13066</v>
      </c>
      <c r="F10" s="187" t="s">
        <v>15921</v>
      </c>
      <c r="G10" s="187" t="s">
        <v>15903</v>
      </c>
      <c r="H10" s="187" t="s">
        <v>11504</v>
      </c>
      <c r="I10" s="187"/>
      <c r="J10" s="187"/>
      <c r="K10" s="187" t="s">
        <v>15909</v>
      </c>
      <c r="L10" s="187" t="s">
        <v>11502</v>
      </c>
      <c r="M10" s="187" t="s">
        <v>15706</v>
      </c>
      <c r="N10" s="187" t="s">
        <v>15761</v>
      </c>
    </row>
    <row r="11" spans="1:14" ht="28.3" customHeight="1">
      <c r="A11" s="187" t="s">
        <v>15922</v>
      </c>
      <c r="B11" s="187" t="s">
        <v>15756</v>
      </c>
      <c r="C11" s="187" t="s">
        <v>123</v>
      </c>
      <c r="D11" s="187" t="s">
        <v>15923</v>
      </c>
      <c r="E11" s="187" t="s">
        <v>12623</v>
      </c>
      <c r="F11" s="187" t="s">
        <v>15924</v>
      </c>
      <c r="G11" s="187" t="s">
        <v>15903</v>
      </c>
      <c r="H11" s="187" t="s">
        <v>11504</v>
      </c>
      <c r="I11" s="187"/>
      <c r="J11" s="187"/>
      <c r="K11" s="187" t="s">
        <v>15909</v>
      </c>
      <c r="L11" s="187" t="s">
        <v>11502</v>
      </c>
      <c r="M11" s="187" t="s">
        <v>15706</v>
      </c>
      <c r="N11" s="187" t="s">
        <v>15761</v>
      </c>
    </row>
    <row r="12" spans="1:14" ht="28.3" customHeight="1">
      <c r="A12" s="187" t="s">
        <v>15925</v>
      </c>
      <c r="B12" s="187" t="s">
        <v>15756</v>
      </c>
      <c r="C12" s="187" t="s">
        <v>123</v>
      </c>
      <c r="D12" s="187" t="s">
        <v>15926</v>
      </c>
      <c r="E12" s="187" t="s">
        <v>13067</v>
      </c>
      <c r="F12" s="187" t="s">
        <v>15927</v>
      </c>
      <c r="G12" s="187" t="s">
        <v>15903</v>
      </c>
      <c r="H12" s="187" t="s">
        <v>11504</v>
      </c>
      <c r="I12" s="187"/>
      <c r="J12" s="187"/>
      <c r="K12" s="187" t="s">
        <v>15909</v>
      </c>
      <c r="L12" s="187" t="s">
        <v>11502</v>
      </c>
      <c r="M12" s="187" t="s">
        <v>15706</v>
      </c>
      <c r="N12" s="187" t="s">
        <v>15761</v>
      </c>
    </row>
    <row r="13" spans="1:14" ht="28.3" customHeight="1">
      <c r="A13" s="187" t="s">
        <v>15928</v>
      </c>
      <c r="B13" s="187" t="s">
        <v>15756</v>
      </c>
      <c r="C13" s="187" t="s">
        <v>123</v>
      </c>
      <c r="D13" s="187" t="s">
        <v>15929</v>
      </c>
      <c r="E13" s="187" t="s">
        <v>742</v>
      </c>
      <c r="F13" s="187" t="s">
        <v>15930</v>
      </c>
      <c r="G13" s="187" t="s">
        <v>15903</v>
      </c>
      <c r="H13" s="187" t="s">
        <v>11504</v>
      </c>
      <c r="I13" s="187"/>
      <c r="J13" s="187" t="s">
        <v>15931</v>
      </c>
      <c r="K13" s="187" t="s">
        <v>15909</v>
      </c>
      <c r="L13" s="187" t="s">
        <v>11502</v>
      </c>
      <c r="M13" s="187" t="s">
        <v>15706</v>
      </c>
      <c r="N13" s="187" t="s">
        <v>15761</v>
      </c>
    </row>
    <row r="14" spans="1:14" ht="28.3" customHeight="1">
      <c r="A14" s="187" t="s">
        <v>15932</v>
      </c>
      <c r="B14" s="187" t="s">
        <v>15756</v>
      </c>
      <c r="C14" s="187" t="s">
        <v>123</v>
      </c>
      <c r="D14" s="187" t="s">
        <v>15933</v>
      </c>
      <c r="E14" s="187" t="s">
        <v>744</v>
      </c>
      <c r="F14" s="187" t="s">
        <v>15934</v>
      </c>
      <c r="G14" s="187" t="s">
        <v>15903</v>
      </c>
      <c r="H14" s="187" t="s">
        <v>11504</v>
      </c>
      <c r="I14" s="187"/>
      <c r="J14" s="187"/>
      <c r="K14" s="187" t="s">
        <v>15909</v>
      </c>
      <c r="L14" s="187" t="s">
        <v>11502</v>
      </c>
      <c r="M14" s="187" t="s">
        <v>15706</v>
      </c>
      <c r="N14" s="187" t="s">
        <v>15761</v>
      </c>
    </row>
    <row r="15" spans="1:14" ht="28.3" customHeight="1">
      <c r="A15" s="187" t="s">
        <v>15935</v>
      </c>
      <c r="B15" s="187" t="s">
        <v>15762</v>
      </c>
      <c r="C15" s="187" t="s">
        <v>15764</v>
      </c>
      <c r="D15" s="187" t="s">
        <v>15936</v>
      </c>
      <c r="E15" s="187" t="s">
        <v>11962</v>
      </c>
      <c r="F15" s="187" t="s">
        <v>15937</v>
      </c>
      <c r="G15" s="187" t="s">
        <v>15903</v>
      </c>
      <c r="H15" s="187" t="s">
        <v>11502</v>
      </c>
      <c r="I15" s="187" t="s">
        <v>15904</v>
      </c>
      <c r="J15" s="187"/>
      <c r="K15" s="187" t="s">
        <v>15905</v>
      </c>
      <c r="L15" s="187" t="s">
        <v>11502</v>
      </c>
      <c r="M15" s="187" t="s">
        <v>15706</v>
      </c>
      <c r="N15" s="187" t="s">
        <v>15767</v>
      </c>
    </row>
    <row r="16" spans="1:14" ht="28.3" customHeight="1">
      <c r="A16" s="187" t="s">
        <v>15938</v>
      </c>
      <c r="B16" s="187" t="s">
        <v>15762</v>
      </c>
      <c r="C16" s="187" t="s">
        <v>15764</v>
      </c>
      <c r="D16" s="187" t="s">
        <v>15939</v>
      </c>
      <c r="E16" s="187" t="s">
        <v>12608</v>
      </c>
      <c r="F16" s="187" t="s">
        <v>15940</v>
      </c>
      <c r="G16" s="187" t="s">
        <v>15941</v>
      </c>
      <c r="H16" s="187" t="s">
        <v>11504</v>
      </c>
      <c r="I16" s="187"/>
      <c r="J16" s="187"/>
      <c r="K16" s="187" t="s">
        <v>15909</v>
      </c>
      <c r="L16" s="187" t="s">
        <v>11502</v>
      </c>
      <c r="M16" s="187" t="s">
        <v>15706</v>
      </c>
      <c r="N16" s="187" t="s">
        <v>15767</v>
      </c>
    </row>
    <row r="17" spans="1:14" ht="28.3" customHeight="1">
      <c r="A17" s="187" t="s">
        <v>15942</v>
      </c>
      <c r="B17" s="187" t="s">
        <v>15762</v>
      </c>
      <c r="C17" s="187" t="s">
        <v>15764</v>
      </c>
      <c r="D17" s="187" t="s">
        <v>15943</v>
      </c>
      <c r="E17" s="187" t="s">
        <v>12609</v>
      </c>
      <c r="F17" s="187" t="s">
        <v>15944</v>
      </c>
      <c r="G17" s="187" t="s">
        <v>15903</v>
      </c>
      <c r="H17" s="187" t="s">
        <v>11504</v>
      </c>
      <c r="I17" s="187"/>
      <c r="J17" s="187"/>
      <c r="K17" s="187" t="s">
        <v>15909</v>
      </c>
      <c r="L17" s="187" t="s">
        <v>11502</v>
      </c>
      <c r="M17" s="187" t="s">
        <v>15706</v>
      </c>
      <c r="N17" s="187" t="s">
        <v>15767</v>
      </c>
    </row>
    <row r="18" spans="1:14" ht="28.3" customHeight="1">
      <c r="A18" s="187" t="s">
        <v>15945</v>
      </c>
      <c r="B18" s="187" t="s">
        <v>15762</v>
      </c>
      <c r="C18" s="187" t="s">
        <v>15764</v>
      </c>
      <c r="D18" s="187" t="s">
        <v>15946</v>
      </c>
      <c r="E18" s="187" t="s">
        <v>12610</v>
      </c>
      <c r="F18" s="187" t="s">
        <v>15947</v>
      </c>
      <c r="G18" s="187" t="s">
        <v>15903</v>
      </c>
      <c r="H18" s="187" t="s">
        <v>11504</v>
      </c>
      <c r="I18" s="187"/>
      <c r="J18" s="187"/>
      <c r="K18" s="187" t="s">
        <v>15909</v>
      </c>
      <c r="L18" s="187" t="s">
        <v>11502</v>
      </c>
      <c r="M18" s="187" t="s">
        <v>15706</v>
      </c>
      <c r="N18" s="187" t="s">
        <v>15767</v>
      </c>
    </row>
    <row r="19" spans="1:14" ht="28.3" customHeight="1">
      <c r="A19" s="187" t="s">
        <v>15948</v>
      </c>
      <c r="B19" s="187" t="s">
        <v>15762</v>
      </c>
      <c r="C19" s="187" t="s">
        <v>15764</v>
      </c>
      <c r="D19" s="187" t="s">
        <v>15949</v>
      </c>
      <c r="E19" s="187" t="s">
        <v>12611</v>
      </c>
      <c r="F19" s="187" t="s">
        <v>15950</v>
      </c>
      <c r="G19" s="187" t="s">
        <v>15903</v>
      </c>
      <c r="H19" s="187" t="s">
        <v>11504</v>
      </c>
      <c r="I19" s="187"/>
      <c r="J19" s="187"/>
      <c r="K19" s="187" t="s">
        <v>15909</v>
      </c>
      <c r="L19" s="187" t="s">
        <v>11502</v>
      </c>
      <c r="M19" s="187" t="s">
        <v>15706</v>
      </c>
      <c r="N19" s="187" t="s">
        <v>15767</v>
      </c>
    </row>
    <row r="20" spans="1:14" ht="28.3" customHeight="1">
      <c r="A20" s="187" t="s">
        <v>15951</v>
      </c>
      <c r="B20" s="187" t="s">
        <v>15762</v>
      </c>
      <c r="C20" s="187" t="s">
        <v>15764</v>
      </c>
      <c r="D20" s="187" t="s">
        <v>15952</v>
      </c>
      <c r="E20" s="187" t="s">
        <v>12612</v>
      </c>
      <c r="F20" s="187" t="s">
        <v>15953</v>
      </c>
      <c r="G20" s="187" t="s">
        <v>15903</v>
      </c>
      <c r="H20" s="187" t="s">
        <v>11504</v>
      </c>
      <c r="I20" s="187"/>
      <c r="J20" s="187"/>
      <c r="K20" s="187" t="s">
        <v>15909</v>
      </c>
      <c r="L20" s="187" t="s">
        <v>11502</v>
      </c>
      <c r="M20" s="187" t="s">
        <v>15706</v>
      </c>
      <c r="N20" s="187" t="s">
        <v>15767</v>
      </c>
    </row>
    <row r="21" spans="1:14" ht="28.3" customHeight="1">
      <c r="A21" s="187" t="s">
        <v>15954</v>
      </c>
      <c r="B21" s="187" t="s">
        <v>15762</v>
      </c>
      <c r="C21" s="187" t="s">
        <v>15764</v>
      </c>
      <c r="D21" s="187" t="s">
        <v>15955</v>
      </c>
      <c r="E21" s="187" t="s">
        <v>12613</v>
      </c>
      <c r="F21" s="187" t="s">
        <v>15956</v>
      </c>
      <c r="G21" s="187" t="s">
        <v>15903</v>
      </c>
      <c r="H21" s="187" t="s">
        <v>11504</v>
      </c>
      <c r="I21" s="187"/>
      <c r="J21" s="187"/>
      <c r="K21" s="187" t="s">
        <v>15905</v>
      </c>
      <c r="L21" s="187" t="s">
        <v>11502</v>
      </c>
      <c r="M21" s="187" t="s">
        <v>15706</v>
      </c>
      <c r="N21" s="187" t="s">
        <v>15767</v>
      </c>
    </row>
    <row r="22" spans="1:14" ht="28.3" customHeight="1">
      <c r="A22" s="187" t="s">
        <v>15957</v>
      </c>
      <c r="B22" s="187" t="s">
        <v>15762</v>
      </c>
      <c r="C22" s="187" t="s">
        <v>15764</v>
      </c>
      <c r="D22" s="187" t="s">
        <v>15958</v>
      </c>
      <c r="E22" s="187" t="s">
        <v>12614</v>
      </c>
      <c r="F22" s="187" t="s">
        <v>15959</v>
      </c>
      <c r="G22" s="187" t="s">
        <v>15903</v>
      </c>
      <c r="H22" s="187" t="s">
        <v>11504</v>
      </c>
      <c r="I22" s="187"/>
      <c r="J22" s="187"/>
      <c r="K22" s="187" t="s">
        <v>15905</v>
      </c>
      <c r="L22" s="187" t="s">
        <v>11502</v>
      </c>
      <c r="M22" s="187" t="s">
        <v>15706</v>
      </c>
      <c r="N22" s="187" t="s">
        <v>15767</v>
      </c>
    </row>
    <row r="23" spans="1:14" ht="28.3" customHeight="1">
      <c r="A23" s="187" t="s">
        <v>15960</v>
      </c>
      <c r="B23" s="187" t="s">
        <v>15762</v>
      </c>
      <c r="C23" s="187" t="s">
        <v>15764</v>
      </c>
      <c r="D23" s="187" t="s">
        <v>15961</v>
      </c>
      <c r="E23" s="187" t="s">
        <v>12615</v>
      </c>
      <c r="F23" s="187" t="s">
        <v>15962</v>
      </c>
      <c r="G23" s="187" t="s">
        <v>15903</v>
      </c>
      <c r="H23" s="187" t="s">
        <v>11504</v>
      </c>
      <c r="I23" s="187"/>
      <c r="J23" s="187"/>
      <c r="K23" s="187" t="s">
        <v>15909</v>
      </c>
      <c r="L23" s="187" t="s">
        <v>11502</v>
      </c>
      <c r="M23" s="187" t="s">
        <v>15706</v>
      </c>
      <c r="N23" s="187" t="s">
        <v>15767</v>
      </c>
    </row>
    <row r="24" spans="1:14" ht="28.3" customHeight="1">
      <c r="A24" s="187" t="s">
        <v>15963</v>
      </c>
      <c r="B24" s="187" t="s">
        <v>15762</v>
      </c>
      <c r="C24" s="187" t="s">
        <v>15764</v>
      </c>
      <c r="D24" s="187" t="s">
        <v>15964</v>
      </c>
      <c r="E24" s="187" t="s">
        <v>12616</v>
      </c>
      <c r="F24" s="187" t="s">
        <v>15965</v>
      </c>
      <c r="G24" s="187" t="s">
        <v>15903</v>
      </c>
      <c r="H24" s="187" t="s">
        <v>11504</v>
      </c>
      <c r="I24" s="187"/>
      <c r="J24" s="187"/>
      <c r="K24" s="187" t="s">
        <v>15909</v>
      </c>
      <c r="L24" s="187" t="s">
        <v>11502</v>
      </c>
      <c r="M24" s="187" t="s">
        <v>15706</v>
      </c>
      <c r="N24" s="187" t="s">
        <v>15767</v>
      </c>
    </row>
    <row r="25" spans="1:14" ht="28.3" customHeight="1">
      <c r="A25" s="187" t="s">
        <v>15966</v>
      </c>
      <c r="B25" s="187" t="s">
        <v>15762</v>
      </c>
      <c r="C25" s="187" t="s">
        <v>15764</v>
      </c>
      <c r="D25" s="187" t="s">
        <v>15967</v>
      </c>
      <c r="E25" s="187" t="s">
        <v>12617</v>
      </c>
      <c r="F25" s="187" t="s">
        <v>15968</v>
      </c>
      <c r="G25" s="187" t="s">
        <v>15903</v>
      </c>
      <c r="H25" s="187" t="s">
        <v>11504</v>
      </c>
      <c r="I25" s="187"/>
      <c r="J25" s="187"/>
      <c r="K25" s="187" t="s">
        <v>15909</v>
      </c>
      <c r="L25" s="187" t="s">
        <v>11502</v>
      </c>
      <c r="M25" s="187" t="s">
        <v>15706</v>
      </c>
      <c r="N25" s="187" t="s">
        <v>15767</v>
      </c>
    </row>
    <row r="26" spans="1:14" ht="28.3" customHeight="1">
      <c r="A26" s="187" t="s">
        <v>15969</v>
      </c>
      <c r="B26" s="187" t="s">
        <v>15762</v>
      </c>
      <c r="C26" s="187" t="s">
        <v>15764</v>
      </c>
      <c r="D26" s="187" t="s">
        <v>15970</v>
      </c>
      <c r="E26" s="187" t="s">
        <v>12618</v>
      </c>
      <c r="F26" s="187" t="s">
        <v>15971</v>
      </c>
      <c r="G26" s="187" t="s">
        <v>15903</v>
      </c>
      <c r="H26" s="187" t="s">
        <v>11504</v>
      </c>
      <c r="I26" s="187"/>
      <c r="J26" s="187" t="s">
        <v>15931</v>
      </c>
      <c r="K26" s="187" t="s">
        <v>15909</v>
      </c>
      <c r="L26" s="187" t="s">
        <v>11502</v>
      </c>
      <c r="M26" s="187" t="s">
        <v>15706</v>
      </c>
      <c r="N26" s="187" t="s">
        <v>15767</v>
      </c>
    </row>
    <row r="27" spans="1:14" ht="28.3" customHeight="1">
      <c r="A27" s="187" t="s">
        <v>15972</v>
      </c>
      <c r="B27" s="187" t="s">
        <v>15762</v>
      </c>
      <c r="C27" s="187" t="s">
        <v>15764</v>
      </c>
      <c r="D27" s="187" t="s">
        <v>15973</v>
      </c>
      <c r="E27" s="187" t="s">
        <v>12619</v>
      </c>
      <c r="F27" s="187" t="s">
        <v>15974</v>
      </c>
      <c r="G27" s="187" t="s">
        <v>15903</v>
      </c>
      <c r="H27" s="187" t="s">
        <v>11504</v>
      </c>
      <c r="I27" s="187"/>
      <c r="J27" s="187"/>
      <c r="K27" s="187" t="s">
        <v>15909</v>
      </c>
      <c r="L27" s="187" t="s">
        <v>11502</v>
      </c>
      <c r="M27" s="187" t="s">
        <v>15706</v>
      </c>
      <c r="N27" s="187" t="s">
        <v>15767</v>
      </c>
    </row>
    <row r="28" spans="1:14" ht="28.3" customHeight="1">
      <c r="A28" s="187" t="s">
        <v>15975</v>
      </c>
      <c r="B28" s="187" t="s">
        <v>15762</v>
      </c>
      <c r="C28" s="187" t="s">
        <v>15764</v>
      </c>
      <c r="D28" s="187" t="s">
        <v>15976</v>
      </c>
      <c r="E28" s="187" t="s">
        <v>12620</v>
      </c>
      <c r="F28" s="187" t="s">
        <v>15977</v>
      </c>
      <c r="G28" s="187" t="s">
        <v>15903</v>
      </c>
      <c r="H28" s="187" t="s">
        <v>11504</v>
      </c>
      <c r="I28" s="187"/>
      <c r="J28" s="187"/>
      <c r="K28" s="187" t="s">
        <v>15909</v>
      </c>
      <c r="L28" s="187" t="s">
        <v>11502</v>
      </c>
      <c r="M28" s="187" t="s">
        <v>15706</v>
      </c>
      <c r="N28" s="187" t="s">
        <v>15767</v>
      </c>
    </row>
    <row r="29" spans="1:14" ht="28.3" customHeight="1">
      <c r="A29" s="187" t="s">
        <v>15978</v>
      </c>
      <c r="B29" s="187" t="s">
        <v>15762</v>
      </c>
      <c r="C29" s="187" t="s">
        <v>15764</v>
      </c>
      <c r="D29" s="187" t="s">
        <v>15979</v>
      </c>
      <c r="E29" s="187" t="s">
        <v>12621</v>
      </c>
      <c r="F29" s="187" t="s">
        <v>15980</v>
      </c>
      <c r="G29" s="187" t="s">
        <v>15903</v>
      </c>
      <c r="H29" s="187" t="s">
        <v>11504</v>
      </c>
      <c r="I29" s="187" t="s">
        <v>15981</v>
      </c>
      <c r="J29" s="187"/>
      <c r="K29" s="187" t="s">
        <v>15905</v>
      </c>
      <c r="L29" s="187" t="s">
        <v>11502</v>
      </c>
      <c r="M29" s="187" t="s">
        <v>15706</v>
      </c>
      <c r="N29" s="187" t="s">
        <v>15767</v>
      </c>
    </row>
    <row r="30" spans="1:14" ht="28.3" customHeight="1">
      <c r="A30" s="187" t="s">
        <v>15982</v>
      </c>
      <c r="B30" s="187" t="s">
        <v>15762</v>
      </c>
      <c r="C30" s="187" t="s">
        <v>15764</v>
      </c>
      <c r="D30" s="187" t="s">
        <v>15983</v>
      </c>
      <c r="E30" s="187" t="s">
        <v>12622</v>
      </c>
      <c r="F30" s="187" t="s">
        <v>15984</v>
      </c>
      <c r="G30" s="187" t="s">
        <v>15941</v>
      </c>
      <c r="H30" s="187" t="s">
        <v>11504</v>
      </c>
      <c r="I30" s="187"/>
      <c r="J30" s="187"/>
      <c r="K30" s="187" t="s">
        <v>15985</v>
      </c>
      <c r="L30" s="187" t="s">
        <v>11502</v>
      </c>
      <c r="M30" s="187" t="s">
        <v>15706</v>
      </c>
      <c r="N30" s="187" t="s">
        <v>15767</v>
      </c>
    </row>
    <row r="31" spans="1:14" ht="28.3" customHeight="1">
      <c r="A31" s="187" t="s">
        <v>15986</v>
      </c>
      <c r="B31" s="187" t="s">
        <v>15762</v>
      </c>
      <c r="C31" s="187" t="s">
        <v>15764</v>
      </c>
      <c r="D31" s="187" t="s">
        <v>15987</v>
      </c>
      <c r="E31" s="187" t="s">
        <v>12623</v>
      </c>
      <c r="F31" s="187" t="s">
        <v>15924</v>
      </c>
      <c r="G31" s="187" t="s">
        <v>15903</v>
      </c>
      <c r="H31" s="187" t="s">
        <v>11504</v>
      </c>
      <c r="I31" s="187"/>
      <c r="J31" s="187"/>
      <c r="K31" s="187" t="s">
        <v>15909</v>
      </c>
      <c r="L31" s="187" t="s">
        <v>11502</v>
      </c>
      <c r="M31" s="187" t="s">
        <v>15706</v>
      </c>
      <c r="N31" s="187" t="s">
        <v>15767</v>
      </c>
    </row>
    <row r="32" spans="1:14" ht="28.3" customHeight="1">
      <c r="A32" s="187" t="s">
        <v>15988</v>
      </c>
      <c r="B32" s="187" t="s">
        <v>15762</v>
      </c>
      <c r="C32" s="187" t="s">
        <v>15764</v>
      </c>
      <c r="D32" s="187" t="s">
        <v>15989</v>
      </c>
      <c r="E32" s="187" t="s">
        <v>12624</v>
      </c>
      <c r="F32" s="187" t="s">
        <v>15990</v>
      </c>
      <c r="G32" s="187" t="s">
        <v>15903</v>
      </c>
      <c r="H32" s="187" t="s">
        <v>11504</v>
      </c>
      <c r="I32" s="187"/>
      <c r="J32" s="187"/>
      <c r="K32" s="187" t="s">
        <v>15909</v>
      </c>
      <c r="L32" s="187" t="s">
        <v>11502</v>
      </c>
      <c r="M32" s="187" t="s">
        <v>15706</v>
      </c>
      <c r="N32" s="187" t="s">
        <v>15767</v>
      </c>
    </row>
    <row r="33" spans="1:14" ht="28.3" customHeight="1">
      <c r="A33" s="187" t="s">
        <v>15991</v>
      </c>
      <c r="B33" s="187" t="s">
        <v>15762</v>
      </c>
      <c r="C33" s="187" t="s">
        <v>15764</v>
      </c>
      <c r="D33" s="187" t="s">
        <v>15992</v>
      </c>
      <c r="E33" s="187" t="s">
        <v>12625</v>
      </c>
      <c r="F33" s="187" t="s">
        <v>15993</v>
      </c>
      <c r="G33" s="187" t="s">
        <v>15903</v>
      </c>
      <c r="H33" s="187" t="s">
        <v>11504</v>
      </c>
      <c r="I33" s="187"/>
      <c r="J33" s="187"/>
      <c r="K33" s="187" t="s">
        <v>15909</v>
      </c>
      <c r="L33" s="187" t="s">
        <v>11502</v>
      </c>
      <c r="M33" s="187" t="s">
        <v>15706</v>
      </c>
      <c r="N33" s="187" t="s">
        <v>15767</v>
      </c>
    </row>
    <row r="34" spans="1:14" ht="28.3" customHeight="1">
      <c r="A34" s="187" t="s">
        <v>15994</v>
      </c>
      <c r="B34" s="187" t="s">
        <v>15762</v>
      </c>
      <c r="C34" s="187" t="s">
        <v>15764</v>
      </c>
      <c r="D34" s="187" t="s">
        <v>15995</v>
      </c>
      <c r="E34" s="187" t="s">
        <v>11627</v>
      </c>
      <c r="F34" s="187" t="s">
        <v>15996</v>
      </c>
      <c r="G34" s="187" t="s">
        <v>15903</v>
      </c>
      <c r="H34" s="187" t="s">
        <v>11504</v>
      </c>
      <c r="I34" s="187"/>
      <c r="J34" s="187" t="s">
        <v>15931</v>
      </c>
      <c r="K34" s="187" t="s">
        <v>15997</v>
      </c>
      <c r="L34" s="187" t="s">
        <v>11502</v>
      </c>
      <c r="M34" s="187" t="s">
        <v>15706</v>
      </c>
      <c r="N34" s="187" t="s">
        <v>15767</v>
      </c>
    </row>
    <row r="35" spans="1:14" ht="28.3" customHeight="1">
      <c r="A35" s="187" t="s">
        <v>15998</v>
      </c>
      <c r="B35" s="187" t="s">
        <v>15762</v>
      </c>
      <c r="C35" s="187" t="s">
        <v>15764</v>
      </c>
      <c r="D35" s="187" t="s">
        <v>15999</v>
      </c>
      <c r="E35" s="187" t="s">
        <v>12626</v>
      </c>
      <c r="F35" s="187" t="s">
        <v>16000</v>
      </c>
      <c r="G35" s="187" t="s">
        <v>15903</v>
      </c>
      <c r="H35" s="187" t="s">
        <v>11504</v>
      </c>
      <c r="I35" s="187"/>
      <c r="J35" s="187"/>
      <c r="K35" s="187" t="s">
        <v>15909</v>
      </c>
      <c r="L35" s="187" t="s">
        <v>11502</v>
      </c>
      <c r="M35" s="187" t="s">
        <v>15706</v>
      </c>
      <c r="N35" s="187" t="s">
        <v>15767</v>
      </c>
    </row>
    <row r="36" spans="1:14" ht="28.3" customHeight="1">
      <c r="A36" s="187" t="s">
        <v>16001</v>
      </c>
      <c r="B36" s="187" t="s">
        <v>15762</v>
      </c>
      <c r="C36" s="187" t="s">
        <v>15764</v>
      </c>
      <c r="D36" s="187" t="s">
        <v>16002</v>
      </c>
      <c r="E36" s="187" t="s">
        <v>12627</v>
      </c>
      <c r="F36" s="187" t="s">
        <v>16003</v>
      </c>
      <c r="G36" s="187" t="s">
        <v>15903</v>
      </c>
      <c r="H36" s="187" t="s">
        <v>11504</v>
      </c>
      <c r="I36" s="187"/>
      <c r="J36" s="187"/>
      <c r="K36" s="187" t="s">
        <v>15909</v>
      </c>
      <c r="L36" s="187" t="s">
        <v>11502</v>
      </c>
      <c r="M36" s="187" t="s">
        <v>15706</v>
      </c>
      <c r="N36" s="187" t="s">
        <v>15767</v>
      </c>
    </row>
    <row r="37" spans="1:14" ht="28.3" customHeight="1">
      <c r="A37" s="187" t="s">
        <v>16004</v>
      </c>
      <c r="B37" s="187" t="s">
        <v>15762</v>
      </c>
      <c r="C37" s="187" t="s">
        <v>15764</v>
      </c>
      <c r="D37" s="187" t="s">
        <v>16005</v>
      </c>
      <c r="E37" s="187" t="s">
        <v>744</v>
      </c>
      <c r="F37" s="187" t="s">
        <v>15934</v>
      </c>
      <c r="G37" s="187" t="s">
        <v>15903</v>
      </c>
      <c r="H37" s="187" t="s">
        <v>11504</v>
      </c>
      <c r="I37" s="187"/>
      <c r="J37" s="187"/>
      <c r="K37" s="187" t="s">
        <v>15909</v>
      </c>
      <c r="L37" s="187" t="s">
        <v>11502</v>
      </c>
      <c r="M37" s="187" t="s">
        <v>15706</v>
      </c>
      <c r="N37" s="187" t="s">
        <v>15767</v>
      </c>
    </row>
    <row r="38" spans="1:14" ht="28.3" customHeight="1">
      <c r="A38" s="187" t="s">
        <v>16006</v>
      </c>
      <c r="B38" s="187" t="s">
        <v>15768</v>
      </c>
      <c r="C38" s="187" t="s">
        <v>15770</v>
      </c>
      <c r="D38" s="187" t="s">
        <v>16007</v>
      </c>
      <c r="E38" s="187" t="s">
        <v>11622</v>
      </c>
      <c r="F38" s="187" t="s">
        <v>16008</v>
      </c>
      <c r="G38" s="187" t="s">
        <v>15903</v>
      </c>
      <c r="H38" s="187" t="s">
        <v>11504</v>
      </c>
      <c r="I38" s="187" t="s">
        <v>15981</v>
      </c>
      <c r="J38" s="187"/>
      <c r="K38" s="187" t="s">
        <v>15905</v>
      </c>
      <c r="L38" s="187" t="s">
        <v>11502</v>
      </c>
      <c r="M38" s="187" t="s">
        <v>15706</v>
      </c>
      <c r="N38" s="187" t="s">
        <v>15774</v>
      </c>
    </row>
    <row r="39" spans="1:14">
      <c r="A39" s="187" t="s">
        <v>16009</v>
      </c>
      <c r="B39" s="187" t="s">
        <v>15768</v>
      </c>
      <c r="C39" s="187" t="s">
        <v>15770</v>
      </c>
      <c r="D39" s="187" t="s">
        <v>16010</v>
      </c>
      <c r="E39" s="187" t="s">
        <v>11623</v>
      </c>
      <c r="F39" s="187" t="s">
        <v>16011</v>
      </c>
      <c r="G39" s="187" t="s">
        <v>15903</v>
      </c>
      <c r="H39" s="187" t="s">
        <v>11504</v>
      </c>
      <c r="I39" s="187"/>
      <c r="J39" s="187"/>
      <c r="K39" s="187" t="s">
        <v>15909</v>
      </c>
      <c r="L39" s="187" t="s">
        <v>11502</v>
      </c>
      <c r="M39" s="187" t="s">
        <v>15706</v>
      </c>
      <c r="N39" s="187" t="s">
        <v>15774</v>
      </c>
    </row>
    <row r="40" spans="1:14">
      <c r="A40" s="187" t="s">
        <v>16012</v>
      </c>
      <c r="B40" s="187" t="s">
        <v>15768</v>
      </c>
      <c r="C40" s="187" t="s">
        <v>15770</v>
      </c>
      <c r="D40" s="187" t="s">
        <v>16013</v>
      </c>
      <c r="E40" s="187" t="s">
        <v>11624</v>
      </c>
      <c r="F40" s="187" t="s">
        <v>16014</v>
      </c>
      <c r="G40" s="187" t="s">
        <v>15903</v>
      </c>
      <c r="H40" s="187" t="s">
        <v>11504</v>
      </c>
      <c r="I40" s="187"/>
      <c r="J40" s="187"/>
      <c r="K40" s="187" t="s">
        <v>15909</v>
      </c>
      <c r="L40" s="187" t="s">
        <v>11502</v>
      </c>
      <c r="M40" s="187" t="s">
        <v>15706</v>
      </c>
      <c r="N40" s="187" t="s">
        <v>15774</v>
      </c>
    </row>
    <row r="41" spans="1:14">
      <c r="A41" s="187" t="s">
        <v>16015</v>
      </c>
      <c r="B41" s="187" t="s">
        <v>15768</v>
      </c>
      <c r="C41" s="187" t="s">
        <v>15770</v>
      </c>
      <c r="D41" s="187" t="s">
        <v>16016</v>
      </c>
      <c r="E41" s="187" t="s">
        <v>348</v>
      </c>
      <c r="F41" s="187" t="s">
        <v>16017</v>
      </c>
      <c r="G41" s="187" t="s">
        <v>15903</v>
      </c>
      <c r="H41" s="187" t="s">
        <v>11504</v>
      </c>
      <c r="I41" s="187"/>
      <c r="J41" s="187"/>
      <c r="K41" s="187" t="s">
        <v>15909</v>
      </c>
      <c r="L41" s="187" t="s">
        <v>11502</v>
      </c>
      <c r="M41" s="187" t="s">
        <v>15706</v>
      </c>
      <c r="N41" s="187" t="s">
        <v>15774</v>
      </c>
    </row>
    <row r="42" spans="1:14">
      <c r="A42" s="187" t="s">
        <v>16018</v>
      </c>
      <c r="B42" s="187" t="s">
        <v>15768</v>
      </c>
      <c r="C42" s="187" t="s">
        <v>15770</v>
      </c>
      <c r="D42" s="187" t="s">
        <v>16019</v>
      </c>
      <c r="E42" s="187" t="s">
        <v>11625</v>
      </c>
      <c r="F42" s="187" t="s">
        <v>15918</v>
      </c>
      <c r="G42" s="187" t="s">
        <v>15903</v>
      </c>
      <c r="H42" s="187" t="s">
        <v>11504</v>
      </c>
      <c r="I42" s="187"/>
      <c r="J42" s="187"/>
      <c r="K42" s="187" t="s">
        <v>15909</v>
      </c>
      <c r="L42" s="187" t="s">
        <v>11502</v>
      </c>
      <c r="M42" s="187" t="s">
        <v>15706</v>
      </c>
      <c r="N42" s="187" t="s">
        <v>15774</v>
      </c>
    </row>
    <row r="43" spans="1:14" ht="28.3" customHeight="1">
      <c r="A43" s="187" t="s">
        <v>16020</v>
      </c>
      <c r="B43" s="187" t="s">
        <v>15768</v>
      </c>
      <c r="C43" s="187" t="s">
        <v>15770</v>
      </c>
      <c r="D43" s="187" t="s">
        <v>16021</v>
      </c>
      <c r="E43" s="187" t="s">
        <v>11626</v>
      </c>
      <c r="F43" s="187" t="s">
        <v>16022</v>
      </c>
      <c r="G43" s="187" t="s">
        <v>15941</v>
      </c>
      <c r="H43" s="187" t="s">
        <v>11504</v>
      </c>
      <c r="I43" s="187"/>
      <c r="J43" s="187"/>
      <c r="K43" s="187" t="s">
        <v>16023</v>
      </c>
      <c r="L43" s="187" t="s">
        <v>11502</v>
      </c>
      <c r="M43" s="187" t="s">
        <v>15706</v>
      </c>
      <c r="N43" s="187" t="s">
        <v>15774</v>
      </c>
    </row>
    <row r="44" spans="1:14" ht="28.3" customHeight="1">
      <c r="A44" s="187" t="s">
        <v>16024</v>
      </c>
      <c r="B44" s="187" t="s">
        <v>15768</v>
      </c>
      <c r="C44" s="187" t="s">
        <v>15770</v>
      </c>
      <c r="D44" s="187" t="s">
        <v>16025</v>
      </c>
      <c r="E44" s="187" t="s">
        <v>11627</v>
      </c>
      <c r="F44" s="187" t="s">
        <v>15996</v>
      </c>
      <c r="G44" s="187" t="s">
        <v>15903</v>
      </c>
      <c r="H44" s="187" t="s">
        <v>11504</v>
      </c>
      <c r="I44" s="187"/>
      <c r="J44" s="187" t="s">
        <v>15931</v>
      </c>
      <c r="K44" s="187" t="s">
        <v>15997</v>
      </c>
      <c r="L44" s="187" t="s">
        <v>11502</v>
      </c>
      <c r="M44" s="187" t="s">
        <v>15706</v>
      </c>
      <c r="N44" s="187" t="s">
        <v>15774</v>
      </c>
    </row>
    <row r="45" spans="1:14">
      <c r="A45" s="187" t="s">
        <v>16026</v>
      </c>
      <c r="B45" s="187" t="s">
        <v>15768</v>
      </c>
      <c r="C45" s="187" t="s">
        <v>15770</v>
      </c>
      <c r="D45" s="187" t="s">
        <v>16027</v>
      </c>
      <c r="E45" s="187" t="s">
        <v>46</v>
      </c>
      <c r="F45" s="187" t="s">
        <v>16028</v>
      </c>
      <c r="G45" s="187" t="s">
        <v>15903</v>
      </c>
      <c r="H45" s="187" t="s">
        <v>11504</v>
      </c>
      <c r="I45" s="187"/>
      <c r="J45" s="187"/>
      <c r="K45" s="187" t="s">
        <v>15909</v>
      </c>
      <c r="L45" s="187" t="s">
        <v>11502</v>
      </c>
      <c r="M45" s="187" t="s">
        <v>15706</v>
      </c>
      <c r="N45" s="187" t="s">
        <v>15774</v>
      </c>
    </row>
    <row r="46" spans="1:14">
      <c r="A46" s="187" t="s">
        <v>16029</v>
      </c>
      <c r="B46" s="187" t="s">
        <v>15768</v>
      </c>
      <c r="C46" s="187" t="s">
        <v>15770</v>
      </c>
      <c r="D46" s="187" t="s">
        <v>16030</v>
      </c>
      <c r="E46" s="187" t="s">
        <v>11628</v>
      </c>
      <c r="F46" s="187" t="s">
        <v>16031</v>
      </c>
      <c r="G46" s="187" t="s">
        <v>15903</v>
      </c>
      <c r="H46" s="187" t="s">
        <v>11504</v>
      </c>
      <c r="I46" s="187"/>
      <c r="J46" s="187"/>
      <c r="K46" s="187" t="s">
        <v>15909</v>
      </c>
      <c r="L46" s="187" t="s">
        <v>11502</v>
      </c>
      <c r="M46" s="187" t="s">
        <v>15706</v>
      </c>
      <c r="N46" s="187" t="s">
        <v>15774</v>
      </c>
    </row>
    <row r="47" spans="1:14" ht="42.45" customHeight="1">
      <c r="A47" s="187" t="s">
        <v>16032</v>
      </c>
      <c r="B47" s="187" t="s">
        <v>15768</v>
      </c>
      <c r="C47" s="187" t="s">
        <v>15770</v>
      </c>
      <c r="D47" s="187" t="s">
        <v>16033</v>
      </c>
      <c r="E47" s="187" t="s">
        <v>11629</v>
      </c>
      <c r="F47" s="187" t="s">
        <v>16034</v>
      </c>
      <c r="G47" s="187" t="s">
        <v>15903</v>
      </c>
      <c r="H47" s="187" t="s">
        <v>11504</v>
      </c>
      <c r="I47" s="187"/>
      <c r="J47" s="187"/>
      <c r="K47" s="187" t="s">
        <v>15905</v>
      </c>
      <c r="L47" s="187" t="s">
        <v>11502</v>
      </c>
      <c r="M47" s="187" t="s">
        <v>15706</v>
      </c>
      <c r="N47" s="187" t="s">
        <v>15774</v>
      </c>
    </row>
    <row r="48" spans="1:14">
      <c r="A48" s="187" t="s">
        <v>16035</v>
      </c>
      <c r="B48" s="187" t="s">
        <v>15775</v>
      </c>
      <c r="C48" s="187" t="s">
        <v>15777</v>
      </c>
      <c r="D48" s="187" t="s">
        <v>16036</v>
      </c>
      <c r="E48" s="187" t="s">
        <v>12517</v>
      </c>
      <c r="F48" s="187" t="s">
        <v>16037</v>
      </c>
      <c r="G48" s="187" t="s">
        <v>15903</v>
      </c>
      <c r="H48" s="187" t="s">
        <v>11504</v>
      </c>
      <c r="I48" s="187"/>
      <c r="J48" s="187"/>
      <c r="K48" s="187" t="s">
        <v>15909</v>
      </c>
      <c r="L48" s="187" t="s">
        <v>11502</v>
      </c>
      <c r="M48" s="187" t="s">
        <v>15706</v>
      </c>
      <c r="N48" s="187" t="s">
        <v>15781</v>
      </c>
    </row>
    <row r="49" spans="1:14" ht="28.3" customHeight="1">
      <c r="A49" s="187" t="s">
        <v>16038</v>
      </c>
      <c r="B49" s="187" t="s">
        <v>15775</v>
      </c>
      <c r="C49" s="187" t="s">
        <v>15777</v>
      </c>
      <c r="D49" s="187" t="s">
        <v>16039</v>
      </c>
      <c r="E49" s="187" t="s">
        <v>12518</v>
      </c>
      <c r="F49" s="187" t="s">
        <v>16040</v>
      </c>
      <c r="G49" s="187" t="s">
        <v>15903</v>
      </c>
      <c r="H49" s="187" t="s">
        <v>11504</v>
      </c>
      <c r="I49" s="187" t="s">
        <v>15981</v>
      </c>
      <c r="J49" s="187"/>
      <c r="K49" s="187" t="s">
        <v>15909</v>
      </c>
      <c r="L49" s="187" t="s">
        <v>11502</v>
      </c>
      <c r="M49" s="187" t="s">
        <v>15706</v>
      </c>
      <c r="N49" s="187" t="s">
        <v>15781</v>
      </c>
    </row>
    <row r="50" spans="1:14">
      <c r="A50" s="187" t="s">
        <v>16041</v>
      </c>
      <c r="B50" s="187" t="s">
        <v>15775</v>
      </c>
      <c r="C50" s="187" t="s">
        <v>15777</v>
      </c>
      <c r="D50" s="187" t="s">
        <v>16042</v>
      </c>
      <c r="E50" s="187" t="s">
        <v>12519</v>
      </c>
      <c r="F50" s="187" t="s">
        <v>16043</v>
      </c>
      <c r="G50" s="187" t="s">
        <v>15903</v>
      </c>
      <c r="H50" s="187" t="s">
        <v>11504</v>
      </c>
      <c r="I50" s="187"/>
      <c r="J50" s="187" t="s">
        <v>16044</v>
      </c>
      <c r="K50" s="187" t="s">
        <v>15909</v>
      </c>
      <c r="L50" s="187" t="s">
        <v>11502</v>
      </c>
      <c r="M50" s="187" t="s">
        <v>15706</v>
      </c>
      <c r="N50" s="187" t="s">
        <v>15781</v>
      </c>
    </row>
    <row r="51" spans="1:14">
      <c r="A51" s="187" t="s">
        <v>16045</v>
      </c>
      <c r="B51" s="187" t="s">
        <v>15775</v>
      </c>
      <c r="C51" s="187" t="s">
        <v>15777</v>
      </c>
      <c r="D51" s="187" t="s">
        <v>16046</v>
      </c>
      <c r="E51" s="187" t="s">
        <v>12520</v>
      </c>
      <c r="F51" s="187" t="s">
        <v>16047</v>
      </c>
      <c r="G51" s="187" t="s">
        <v>15903</v>
      </c>
      <c r="H51" s="187" t="s">
        <v>11504</v>
      </c>
      <c r="I51" s="187"/>
      <c r="J51" s="187"/>
      <c r="K51" s="187" t="s">
        <v>15909</v>
      </c>
      <c r="L51" s="187" t="s">
        <v>11502</v>
      </c>
      <c r="M51" s="187" t="s">
        <v>15706</v>
      </c>
      <c r="N51" s="187" t="s">
        <v>15781</v>
      </c>
    </row>
    <row r="52" spans="1:14">
      <c r="A52" s="187" t="s">
        <v>16048</v>
      </c>
      <c r="B52" s="187" t="s">
        <v>15775</v>
      </c>
      <c r="C52" s="187" t="s">
        <v>15777</v>
      </c>
      <c r="D52" s="187" t="s">
        <v>16049</v>
      </c>
      <c r="E52" s="187" t="s">
        <v>12521</v>
      </c>
      <c r="F52" s="187" t="s">
        <v>16050</v>
      </c>
      <c r="G52" s="187" t="s">
        <v>15903</v>
      </c>
      <c r="H52" s="187" t="s">
        <v>11504</v>
      </c>
      <c r="I52" s="187"/>
      <c r="J52" s="187"/>
      <c r="K52" s="187" t="s">
        <v>15909</v>
      </c>
      <c r="L52" s="187" t="s">
        <v>11502</v>
      </c>
      <c r="M52" s="187" t="s">
        <v>15706</v>
      </c>
      <c r="N52" s="187" t="s">
        <v>15781</v>
      </c>
    </row>
    <row r="53" spans="1:14">
      <c r="A53" s="187" t="s">
        <v>16051</v>
      </c>
      <c r="B53" s="187" t="s">
        <v>15775</v>
      </c>
      <c r="C53" s="187" t="s">
        <v>15777</v>
      </c>
      <c r="D53" s="187" t="s">
        <v>16052</v>
      </c>
      <c r="E53" s="187" t="s">
        <v>12522</v>
      </c>
      <c r="F53" s="187" t="s">
        <v>16053</v>
      </c>
      <c r="G53" s="187" t="s">
        <v>15903</v>
      </c>
      <c r="H53" s="187" t="s">
        <v>11504</v>
      </c>
      <c r="I53" s="187"/>
      <c r="J53" s="187"/>
      <c r="K53" s="187" t="s">
        <v>15909</v>
      </c>
      <c r="L53" s="187" t="s">
        <v>11502</v>
      </c>
      <c r="M53" s="187" t="s">
        <v>15706</v>
      </c>
      <c r="N53" s="187" t="s">
        <v>15781</v>
      </c>
    </row>
    <row r="54" spans="1:14">
      <c r="A54" s="187" t="s">
        <v>16054</v>
      </c>
      <c r="B54" s="187" t="s">
        <v>15775</v>
      </c>
      <c r="C54" s="187" t="s">
        <v>15777</v>
      </c>
      <c r="D54" s="187" t="s">
        <v>16055</v>
      </c>
      <c r="E54" s="187" t="s">
        <v>12523</v>
      </c>
      <c r="F54" s="187" t="s">
        <v>16056</v>
      </c>
      <c r="G54" s="187" t="s">
        <v>15903</v>
      </c>
      <c r="H54" s="187" t="s">
        <v>11504</v>
      </c>
      <c r="I54" s="187"/>
      <c r="J54" s="187"/>
      <c r="K54" s="187" t="s">
        <v>15909</v>
      </c>
      <c r="L54" s="187" t="s">
        <v>11502</v>
      </c>
      <c r="M54" s="187" t="s">
        <v>15706</v>
      </c>
      <c r="N54" s="187" t="s">
        <v>15781</v>
      </c>
    </row>
    <row r="55" spans="1:14">
      <c r="A55" s="187" t="s">
        <v>16057</v>
      </c>
      <c r="B55" s="187" t="s">
        <v>15775</v>
      </c>
      <c r="C55" s="187" t="s">
        <v>15777</v>
      </c>
      <c r="D55" s="187" t="s">
        <v>16058</v>
      </c>
      <c r="E55" s="187" t="s">
        <v>12524</v>
      </c>
      <c r="F55" s="187" t="s">
        <v>16059</v>
      </c>
      <c r="G55" s="187" t="s">
        <v>15903</v>
      </c>
      <c r="H55" s="187" t="s">
        <v>11504</v>
      </c>
      <c r="I55" s="187"/>
      <c r="J55" s="187"/>
      <c r="K55" s="187" t="s">
        <v>15909</v>
      </c>
      <c r="L55" s="187" t="s">
        <v>11502</v>
      </c>
      <c r="M55" s="187" t="s">
        <v>15706</v>
      </c>
      <c r="N55" s="187" t="s">
        <v>15781</v>
      </c>
    </row>
    <row r="56" spans="1:14">
      <c r="A56" s="187" t="s">
        <v>16060</v>
      </c>
      <c r="B56" s="187" t="s">
        <v>15775</v>
      </c>
      <c r="C56" s="187" t="s">
        <v>15777</v>
      </c>
      <c r="D56" s="187" t="s">
        <v>16061</v>
      </c>
      <c r="E56" s="187" t="s">
        <v>744</v>
      </c>
      <c r="F56" s="187" t="s">
        <v>15934</v>
      </c>
      <c r="G56" s="187" t="s">
        <v>15903</v>
      </c>
      <c r="H56" s="187" t="s">
        <v>11504</v>
      </c>
      <c r="I56" s="187"/>
      <c r="J56" s="187"/>
      <c r="K56" s="187" t="s">
        <v>15909</v>
      </c>
      <c r="L56" s="187" t="s">
        <v>11502</v>
      </c>
      <c r="M56" s="187" t="s">
        <v>15706</v>
      </c>
      <c r="N56" s="187" t="s">
        <v>15781</v>
      </c>
    </row>
    <row r="57" spans="1:14" ht="28.3" customHeight="1">
      <c r="A57" s="187" t="s">
        <v>16062</v>
      </c>
      <c r="B57" s="187" t="s">
        <v>15782</v>
      </c>
      <c r="C57" s="187" t="s">
        <v>15784</v>
      </c>
      <c r="D57" s="187" t="s">
        <v>16063</v>
      </c>
      <c r="E57" s="187" t="s">
        <v>13334</v>
      </c>
      <c r="F57" s="187" t="s">
        <v>16064</v>
      </c>
      <c r="G57" s="187" t="s">
        <v>15903</v>
      </c>
      <c r="H57" s="187" t="s">
        <v>11502</v>
      </c>
      <c r="I57" s="187" t="s">
        <v>15904</v>
      </c>
      <c r="J57" s="187" t="s">
        <v>16065</v>
      </c>
      <c r="K57" s="187" t="s">
        <v>15905</v>
      </c>
      <c r="L57" s="187" t="s">
        <v>11502</v>
      </c>
      <c r="M57" s="187" t="s">
        <v>15706</v>
      </c>
      <c r="N57" s="187" t="s">
        <v>15787</v>
      </c>
    </row>
    <row r="58" spans="1:14" ht="28.3" customHeight="1">
      <c r="A58" s="187" t="s">
        <v>16066</v>
      </c>
      <c r="B58" s="187" t="s">
        <v>15782</v>
      </c>
      <c r="C58" s="187" t="s">
        <v>15784</v>
      </c>
      <c r="D58" s="187" t="s">
        <v>16067</v>
      </c>
      <c r="E58" s="187" t="s">
        <v>14020</v>
      </c>
      <c r="F58" s="187" t="s">
        <v>16068</v>
      </c>
      <c r="G58" s="187" t="s">
        <v>15903</v>
      </c>
      <c r="H58" s="187" t="s">
        <v>11504</v>
      </c>
      <c r="I58" s="187"/>
      <c r="J58" s="187" t="s">
        <v>16069</v>
      </c>
      <c r="K58" s="187" t="s">
        <v>15909</v>
      </c>
      <c r="L58" s="187" t="s">
        <v>11502</v>
      </c>
      <c r="M58" s="187" t="s">
        <v>15706</v>
      </c>
      <c r="N58" s="187" t="s">
        <v>15787</v>
      </c>
    </row>
    <row r="59" spans="1:14" ht="28.3" customHeight="1">
      <c r="A59" s="187" t="s">
        <v>16070</v>
      </c>
      <c r="B59" s="187" t="s">
        <v>15782</v>
      </c>
      <c r="C59" s="187" t="s">
        <v>15784</v>
      </c>
      <c r="D59" s="187" t="s">
        <v>16071</v>
      </c>
      <c r="E59" s="187" t="s">
        <v>14021</v>
      </c>
      <c r="F59" s="187" t="s">
        <v>16072</v>
      </c>
      <c r="G59" s="187" t="s">
        <v>15903</v>
      </c>
      <c r="H59" s="187" t="s">
        <v>11504</v>
      </c>
      <c r="I59" s="187"/>
      <c r="J59" s="187"/>
      <c r="K59" s="187" t="s">
        <v>15909</v>
      </c>
      <c r="L59" s="187" t="s">
        <v>11502</v>
      </c>
      <c r="M59" s="187" t="s">
        <v>15706</v>
      </c>
      <c r="N59" s="187" t="s">
        <v>15787</v>
      </c>
    </row>
    <row r="60" spans="1:14" ht="28.3" customHeight="1">
      <c r="A60" s="187" t="s">
        <v>16073</v>
      </c>
      <c r="B60" s="187" t="s">
        <v>15782</v>
      </c>
      <c r="C60" s="187" t="s">
        <v>15784</v>
      </c>
      <c r="D60" s="187" t="s">
        <v>16074</v>
      </c>
      <c r="E60" s="187" t="s">
        <v>46</v>
      </c>
      <c r="F60" s="187" t="s">
        <v>16028</v>
      </c>
      <c r="G60" s="187" t="s">
        <v>15903</v>
      </c>
      <c r="H60" s="187" t="s">
        <v>11504</v>
      </c>
      <c r="I60" s="187"/>
      <c r="J60" s="187"/>
      <c r="K60" s="187" t="s">
        <v>15909</v>
      </c>
      <c r="L60" s="187" t="s">
        <v>11502</v>
      </c>
      <c r="M60" s="187" t="s">
        <v>15706</v>
      </c>
      <c r="N60" s="187" t="s">
        <v>15787</v>
      </c>
    </row>
    <row r="61" spans="1:14" ht="28.3" customHeight="1">
      <c r="A61" s="187" t="s">
        <v>16075</v>
      </c>
      <c r="B61" s="187" t="s">
        <v>15782</v>
      </c>
      <c r="C61" s="187" t="s">
        <v>15784</v>
      </c>
      <c r="D61" s="187" t="s">
        <v>16076</v>
      </c>
      <c r="E61" s="187" t="s">
        <v>12622</v>
      </c>
      <c r="F61" s="187" t="s">
        <v>15984</v>
      </c>
      <c r="G61" s="187" t="s">
        <v>15941</v>
      </c>
      <c r="H61" s="187" t="s">
        <v>11504</v>
      </c>
      <c r="I61" s="187"/>
      <c r="J61" s="187"/>
      <c r="K61" s="187" t="s">
        <v>15985</v>
      </c>
      <c r="L61" s="187" t="s">
        <v>11502</v>
      </c>
      <c r="M61" s="187" t="s">
        <v>15706</v>
      </c>
      <c r="N61" s="187" t="s">
        <v>15787</v>
      </c>
    </row>
    <row r="62" spans="1:14" ht="28.3" customHeight="1">
      <c r="A62" s="187" t="s">
        <v>16077</v>
      </c>
      <c r="B62" s="187" t="s">
        <v>15782</v>
      </c>
      <c r="C62" s="187" t="s">
        <v>15784</v>
      </c>
      <c r="D62" s="187" t="s">
        <v>16078</v>
      </c>
      <c r="E62" s="187" t="s">
        <v>11627</v>
      </c>
      <c r="F62" s="187" t="s">
        <v>15996</v>
      </c>
      <c r="G62" s="187" t="s">
        <v>15903</v>
      </c>
      <c r="H62" s="187" t="s">
        <v>11504</v>
      </c>
      <c r="I62" s="187"/>
      <c r="J62" s="187" t="s">
        <v>15931</v>
      </c>
      <c r="K62" s="187" t="s">
        <v>15997</v>
      </c>
      <c r="L62" s="187" t="s">
        <v>11502</v>
      </c>
      <c r="M62" s="187" t="s">
        <v>15706</v>
      </c>
      <c r="N62" s="187" t="s">
        <v>15787</v>
      </c>
    </row>
    <row r="63" spans="1:14" ht="28.3" customHeight="1">
      <c r="A63" s="187" t="s">
        <v>16079</v>
      </c>
      <c r="B63" s="187" t="s">
        <v>15788</v>
      </c>
      <c r="C63" s="187" t="s">
        <v>390</v>
      </c>
      <c r="D63" s="187" t="s">
        <v>16080</v>
      </c>
      <c r="E63" s="187" t="s">
        <v>14124</v>
      </c>
      <c r="F63" s="187" t="s">
        <v>16081</v>
      </c>
      <c r="G63" s="187" t="s">
        <v>15903</v>
      </c>
      <c r="H63" s="187" t="s">
        <v>11502</v>
      </c>
      <c r="I63" s="187" t="s">
        <v>15904</v>
      </c>
      <c r="J63" s="187"/>
      <c r="K63" s="187" t="s">
        <v>15905</v>
      </c>
      <c r="L63" s="187" t="s">
        <v>11502</v>
      </c>
      <c r="M63" s="187" t="s">
        <v>15706</v>
      </c>
      <c r="N63" s="187" t="s">
        <v>15792</v>
      </c>
    </row>
    <row r="64" spans="1:14" ht="28.3" customHeight="1">
      <c r="A64" s="187" t="s">
        <v>16082</v>
      </c>
      <c r="B64" s="187" t="s">
        <v>15788</v>
      </c>
      <c r="C64" s="187" t="s">
        <v>390</v>
      </c>
      <c r="D64" s="187" t="s">
        <v>16083</v>
      </c>
      <c r="E64" s="187" t="s">
        <v>764</v>
      </c>
      <c r="F64" s="187" t="s">
        <v>16084</v>
      </c>
      <c r="G64" s="187" t="s">
        <v>15903</v>
      </c>
      <c r="H64" s="187" t="s">
        <v>11504</v>
      </c>
      <c r="I64" s="187"/>
      <c r="J64" s="187" t="s">
        <v>16069</v>
      </c>
      <c r="K64" s="187" t="s">
        <v>15909</v>
      </c>
      <c r="L64" s="187" t="s">
        <v>11502</v>
      </c>
      <c r="M64" s="187" t="s">
        <v>15706</v>
      </c>
      <c r="N64" s="187" t="s">
        <v>15792</v>
      </c>
    </row>
    <row r="65" spans="1:14" ht="28.3" customHeight="1">
      <c r="A65" s="187" t="s">
        <v>16085</v>
      </c>
      <c r="B65" s="187" t="s">
        <v>15788</v>
      </c>
      <c r="C65" s="187" t="s">
        <v>390</v>
      </c>
      <c r="D65" s="187" t="s">
        <v>16086</v>
      </c>
      <c r="E65" s="187" t="s">
        <v>768</v>
      </c>
      <c r="F65" s="187" t="s">
        <v>16087</v>
      </c>
      <c r="G65" s="187" t="s">
        <v>15903</v>
      </c>
      <c r="H65" s="187" t="s">
        <v>11504</v>
      </c>
      <c r="I65" s="187"/>
      <c r="J65" s="187" t="s">
        <v>16069</v>
      </c>
      <c r="K65" s="187" t="s">
        <v>15909</v>
      </c>
      <c r="L65" s="187" t="s">
        <v>11502</v>
      </c>
      <c r="M65" s="187" t="s">
        <v>15706</v>
      </c>
      <c r="N65" s="187" t="s">
        <v>15792</v>
      </c>
    </row>
    <row r="66" spans="1:14" ht="28.3" customHeight="1">
      <c r="A66" s="187" t="s">
        <v>16088</v>
      </c>
      <c r="B66" s="187" t="s">
        <v>15788</v>
      </c>
      <c r="C66" s="187" t="s">
        <v>390</v>
      </c>
      <c r="D66" s="187" t="s">
        <v>16089</v>
      </c>
      <c r="E66" s="187" t="s">
        <v>13334</v>
      </c>
      <c r="F66" s="187" t="s">
        <v>16064</v>
      </c>
      <c r="G66" s="187" t="s">
        <v>15903</v>
      </c>
      <c r="H66" s="187" t="s">
        <v>11502</v>
      </c>
      <c r="I66" s="187" t="s">
        <v>15904</v>
      </c>
      <c r="J66" s="187" t="s">
        <v>16065</v>
      </c>
      <c r="K66" s="187" t="s">
        <v>15905</v>
      </c>
      <c r="L66" s="187" t="s">
        <v>11502</v>
      </c>
      <c r="M66" s="187" t="s">
        <v>15706</v>
      </c>
      <c r="N66" s="187" t="s">
        <v>15792</v>
      </c>
    </row>
    <row r="67" spans="1:14" ht="28.3" customHeight="1">
      <c r="A67" s="187" t="s">
        <v>16090</v>
      </c>
      <c r="B67" s="187" t="s">
        <v>15788</v>
      </c>
      <c r="C67" s="187" t="s">
        <v>390</v>
      </c>
      <c r="D67" s="187" t="s">
        <v>16091</v>
      </c>
      <c r="E67" s="187" t="s">
        <v>14125</v>
      </c>
      <c r="F67" s="187" t="s">
        <v>16092</v>
      </c>
      <c r="G67" s="187" t="s">
        <v>15903</v>
      </c>
      <c r="H67" s="187" t="s">
        <v>11504</v>
      </c>
      <c r="I67" s="187"/>
      <c r="J67" s="187"/>
      <c r="K67" s="187" t="s">
        <v>15905</v>
      </c>
      <c r="L67" s="187" t="s">
        <v>11502</v>
      </c>
      <c r="M67" s="187" t="s">
        <v>15706</v>
      </c>
      <c r="N67" s="187" t="s">
        <v>15792</v>
      </c>
    </row>
    <row r="68" spans="1:14" ht="28.3" customHeight="1">
      <c r="A68" s="187" t="s">
        <v>16093</v>
      </c>
      <c r="B68" s="187" t="s">
        <v>15788</v>
      </c>
      <c r="C68" s="187" t="s">
        <v>390</v>
      </c>
      <c r="D68" s="187" t="s">
        <v>16094</v>
      </c>
      <c r="E68" s="187" t="s">
        <v>11628</v>
      </c>
      <c r="F68" s="187" t="s">
        <v>16031</v>
      </c>
      <c r="G68" s="187" t="s">
        <v>15903</v>
      </c>
      <c r="H68" s="187" t="s">
        <v>11504</v>
      </c>
      <c r="I68" s="187"/>
      <c r="J68" s="187"/>
      <c r="K68" s="187" t="s">
        <v>15909</v>
      </c>
      <c r="L68" s="187" t="s">
        <v>11502</v>
      </c>
      <c r="M68" s="187" t="s">
        <v>15706</v>
      </c>
      <c r="N68" s="187" t="s">
        <v>15792</v>
      </c>
    </row>
    <row r="69" spans="1:14" ht="28.3" customHeight="1">
      <c r="A69" s="187" t="s">
        <v>16095</v>
      </c>
      <c r="B69" s="187" t="s">
        <v>15788</v>
      </c>
      <c r="C69" s="187" t="s">
        <v>390</v>
      </c>
      <c r="D69" s="187" t="s">
        <v>16096</v>
      </c>
      <c r="E69" s="187" t="s">
        <v>273</v>
      </c>
      <c r="F69" s="187" t="s">
        <v>16097</v>
      </c>
      <c r="G69" s="187" t="s">
        <v>15941</v>
      </c>
      <c r="H69" s="187" t="s">
        <v>11504</v>
      </c>
      <c r="I69" s="187"/>
      <c r="J69" s="187"/>
      <c r="K69" s="187" t="s">
        <v>15909</v>
      </c>
      <c r="L69" s="187" t="s">
        <v>11502</v>
      </c>
      <c r="M69" s="187" t="s">
        <v>15706</v>
      </c>
      <c r="N69" s="187" t="s">
        <v>15792</v>
      </c>
    </row>
    <row r="70" spans="1:14" ht="28.3" customHeight="1">
      <c r="A70" s="187" t="s">
        <v>16098</v>
      </c>
      <c r="B70" s="187" t="s">
        <v>15788</v>
      </c>
      <c r="C70" s="187" t="s">
        <v>390</v>
      </c>
      <c r="D70" s="187" t="s">
        <v>16099</v>
      </c>
      <c r="E70" s="187" t="s">
        <v>14126</v>
      </c>
      <c r="F70" s="187" t="s">
        <v>16100</v>
      </c>
      <c r="G70" s="187" t="s">
        <v>15903</v>
      </c>
      <c r="H70" s="187" t="s">
        <v>11504</v>
      </c>
      <c r="I70" s="187"/>
      <c r="J70" s="187"/>
      <c r="K70" s="187" t="s">
        <v>15909</v>
      </c>
      <c r="L70" s="187" t="s">
        <v>11502</v>
      </c>
      <c r="M70" s="187" t="s">
        <v>15706</v>
      </c>
      <c r="N70" s="187" t="s">
        <v>15792</v>
      </c>
    </row>
    <row r="71" spans="1:14" ht="28.3" customHeight="1">
      <c r="A71" s="187" t="s">
        <v>16101</v>
      </c>
      <c r="B71" s="187" t="s">
        <v>15788</v>
      </c>
      <c r="C71" s="187" t="s">
        <v>390</v>
      </c>
      <c r="D71" s="187" t="s">
        <v>16102</v>
      </c>
      <c r="E71" s="187" t="s">
        <v>11627</v>
      </c>
      <c r="F71" s="187" t="s">
        <v>15996</v>
      </c>
      <c r="G71" s="187" t="s">
        <v>15903</v>
      </c>
      <c r="H71" s="187" t="s">
        <v>11504</v>
      </c>
      <c r="I71" s="187"/>
      <c r="J71" s="187" t="s">
        <v>15931</v>
      </c>
      <c r="K71" s="187" t="s">
        <v>15997</v>
      </c>
      <c r="L71" s="187" t="s">
        <v>11502</v>
      </c>
      <c r="M71" s="187" t="s">
        <v>15706</v>
      </c>
      <c r="N71" s="187" t="s">
        <v>15792</v>
      </c>
    </row>
    <row r="72" spans="1:14" ht="28.3" customHeight="1">
      <c r="A72" s="187" t="s">
        <v>16103</v>
      </c>
      <c r="B72" s="187" t="s">
        <v>15788</v>
      </c>
      <c r="C72" s="187" t="s">
        <v>390</v>
      </c>
      <c r="D72" s="187" t="s">
        <v>16104</v>
      </c>
      <c r="E72" s="187" t="s">
        <v>13342</v>
      </c>
      <c r="F72" s="187" t="s">
        <v>16105</v>
      </c>
      <c r="G72" s="187" t="s">
        <v>15903</v>
      </c>
      <c r="H72" s="187" t="s">
        <v>11504</v>
      </c>
      <c r="I72" s="187" t="s">
        <v>15981</v>
      </c>
      <c r="J72" s="187"/>
      <c r="K72" s="187" t="s">
        <v>15909</v>
      </c>
      <c r="L72" s="187" t="s">
        <v>11502</v>
      </c>
      <c r="M72" s="187" t="s">
        <v>15706</v>
      </c>
      <c r="N72" s="187" t="s">
        <v>15792</v>
      </c>
    </row>
    <row r="73" spans="1:14" ht="28.3" customHeight="1">
      <c r="A73" s="187" t="s">
        <v>16106</v>
      </c>
      <c r="B73" s="187" t="s">
        <v>15788</v>
      </c>
      <c r="C73" s="187" t="s">
        <v>390</v>
      </c>
      <c r="D73" s="187" t="s">
        <v>16107</v>
      </c>
      <c r="E73" s="187" t="s">
        <v>744</v>
      </c>
      <c r="F73" s="187" t="s">
        <v>15934</v>
      </c>
      <c r="G73" s="187" t="s">
        <v>15903</v>
      </c>
      <c r="H73" s="187" t="s">
        <v>11504</v>
      </c>
      <c r="I73" s="187"/>
      <c r="J73" s="187"/>
      <c r="K73" s="187" t="s">
        <v>15909</v>
      </c>
      <c r="L73" s="187" t="s">
        <v>11502</v>
      </c>
      <c r="M73" s="187" t="s">
        <v>15706</v>
      </c>
      <c r="N73" s="187" t="s">
        <v>15792</v>
      </c>
    </row>
    <row r="74" spans="1:14" ht="28.3" customHeight="1">
      <c r="A74" s="187" t="s">
        <v>16108</v>
      </c>
      <c r="B74" s="187" t="s">
        <v>15793</v>
      </c>
      <c r="C74" s="187" t="s">
        <v>15795</v>
      </c>
      <c r="D74" s="187" t="s">
        <v>16109</v>
      </c>
      <c r="E74" s="187" t="s">
        <v>13332</v>
      </c>
      <c r="F74" s="187" t="s">
        <v>16110</v>
      </c>
      <c r="G74" s="187" t="s">
        <v>15903</v>
      </c>
      <c r="H74" s="187" t="s">
        <v>11502</v>
      </c>
      <c r="I74" s="187" t="s">
        <v>15904</v>
      </c>
      <c r="J74" s="187"/>
      <c r="K74" s="187" t="s">
        <v>15905</v>
      </c>
      <c r="L74" s="187" t="s">
        <v>11502</v>
      </c>
      <c r="M74" s="187" t="s">
        <v>15706</v>
      </c>
      <c r="N74" s="187" t="s">
        <v>15798</v>
      </c>
    </row>
    <row r="75" spans="1:14" ht="28.3" customHeight="1">
      <c r="A75" s="187" t="s">
        <v>16111</v>
      </c>
      <c r="B75" s="187" t="s">
        <v>15793</v>
      </c>
      <c r="C75" s="187" t="s">
        <v>15795</v>
      </c>
      <c r="D75" s="187" t="s">
        <v>16112</v>
      </c>
      <c r="E75" s="187" t="s">
        <v>12519</v>
      </c>
      <c r="F75" s="187" t="s">
        <v>16043</v>
      </c>
      <c r="G75" s="187" t="s">
        <v>15903</v>
      </c>
      <c r="H75" s="187" t="s">
        <v>11504</v>
      </c>
      <c r="I75" s="187"/>
      <c r="J75" s="187" t="s">
        <v>16044</v>
      </c>
      <c r="K75" s="187" t="s">
        <v>15909</v>
      </c>
      <c r="L75" s="187" t="s">
        <v>11502</v>
      </c>
      <c r="M75" s="187" t="s">
        <v>15706</v>
      </c>
      <c r="N75" s="187" t="s">
        <v>15798</v>
      </c>
    </row>
    <row r="76" spans="1:14" ht="28.3" customHeight="1">
      <c r="A76" s="187" t="s">
        <v>16113</v>
      </c>
      <c r="B76" s="187" t="s">
        <v>15793</v>
      </c>
      <c r="C76" s="187" t="s">
        <v>15795</v>
      </c>
      <c r="D76" s="187" t="s">
        <v>16114</v>
      </c>
      <c r="E76" s="187" t="s">
        <v>12520</v>
      </c>
      <c r="F76" s="187" t="s">
        <v>16047</v>
      </c>
      <c r="G76" s="187" t="s">
        <v>15903</v>
      </c>
      <c r="H76" s="187" t="s">
        <v>11504</v>
      </c>
      <c r="I76" s="187"/>
      <c r="J76" s="187"/>
      <c r="K76" s="187" t="s">
        <v>15909</v>
      </c>
      <c r="L76" s="187" t="s">
        <v>11502</v>
      </c>
      <c r="M76" s="187" t="s">
        <v>15706</v>
      </c>
      <c r="N76" s="187" t="s">
        <v>15798</v>
      </c>
    </row>
    <row r="77" spans="1:14" ht="28.3" customHeight="1">
      <c r="A77" s="187" t="s">
        <v>16115</v>
      </c>
      <c r="B77" s="187" t="s">
        <v>15793</v>
      </c>
      <c r="C77" s="187" t="s">
        <v>15795</v>
      </c>
      <c r="D77" s="187" t="s">
        <v>16116</v>
      </c>
      <c r="E77" s="187" t="s">
        <v>13333</v>
      </c>
      <c r="F77" s="187" t="s">
        <v>16117</v>
      </c>
      <c r="G77" s="187" t="s">
        <v>15903</v>
      </c>
      <c r="H77" s="187" t="s">
        <v>11504</v>
      </c>
      <c r="I77" s="187"/>
      <c r="J77" s="187"/>
      <c r="K77" s="187" t="s">
        <v>15909</v>
      </c>
      <c r="L77" s="187" t="s">
        <v>11502</v>
      </c>
      <c r="M77" s="187" t="s">
        <v>15706</v>
      </c>
      <c r="N77" s="187" t="s">
        <v>15798</v>
      </c>
    </row>
    <row r="78" spans="1:14" ht="28.3" customHeight="1">
      <c r="A78" s="187" t="s">
        <v>16118</v>
      </c>
      <c r="B78" s="187" t="s">
        <v>15793</v>
      </c>
      <c r="C78" s="187" t="s">
        <v>15795</v>
      </c>
      <c r="D78" s="187" t="s">
        <v>16119</v>
      </c>
      <c r="E78" s="187" t="s">
        <v>764</v>
      </c>
      <c r="F78" s="187" t="s">
        <v>16084</v>
      </c>
      <c r="G78" s="187" t="s">
        <v>15903</v>
      </c>
      <c r="H78" s="187" t="s">
        <v>11504</v>
      </c>
      <c r="I78" s="187"/>
      <c r="J78" s="187" t="s">
        <v>16069</v>
      </c>
      <c r="K78" s="187" t="s">
        <v>15909</v>
      </c>
      <c r="L78" s="187" t="s">
        <v>11502</v>
      </c>
      <c r="M78" s="187" t="s">
        <v>15706</v>
      </c>
      <c r="N78" s="187" t="s">
        <v>15798</v>
      </c>
    </row>
    <row r="79" spans="1:14" ht="28.3" customHeight="1">
      <c r="A79" s="187" t="s">
        <v>16120</v>
      </c>
      <c r="B79" s="187" t="s">
        <v>15793</v>
      </c>
      <c r="C79" s="187" t="s">
        <v>15795</v>
      </c>
      <c r="D79" s="187" t="s">
        <v>16121</v>
      </c>
      <c r="E79" s="187" t="s">
        <v>13334</v>
      </c>
      <c r="F79" s="187" t="s">
        <v>16064</v>
      </c>
      <c r="G79" s="187" t="s">
        <v>15903</v>
      </c>
      <c r="H79" s="187" t="s">
        <v>11502</v>
      </c>
      <c r="I79" s="187" t="s">
        <v>15904</v>
      </c>
      <c r="J79" s="187" t="s">
        <v>16065</v>
      </c>
      <c r="K79" s="187" t="s">
        <v>15905</v>
      </c>
      <c r="L79" s="187" t="s">
        <v>11502</v>
      </c>
      <c r="M79" s="187" t="s">
        <v>15706</v>
      </c>
      <c r="N79" s="187" t="s">
        <v>15798</v>
      </c>
    </row>
    <row r="80" spans="1:14" ht="28.3" customHeight="1">
      <c r="A80" s="187" t="s">
        <v>16122</v>
      </c>
      <c r="B80" s="187" t="s">
        <v>15793</v>
      </c>
      <c r="C80" s="187" t="s">
        <v>15795</v>
      </c>
      <c r="D80" s="187" t="s">
        <v>16123</v>
      </c>
      <c r="E80" s="187" t="s">
        <v>768</v>
      </c>
      <c r="F80" s="187" t="s">
        <v>16087</v>
      </c>
      <c r="G80" s="187" t="s">
        <v>15903</v>
      </c>
      <c r="H80" s="187" t="s">
        <v>11504</v>
      </c>
      <c r="I80" s="187"/>
      <c r="J80" s="187" t="s">
        <v>16069</v>
      </c>
      <c r="K80" s="187" t="s">
        <v>15909</v>
      </c>
      <c r="L80" s="187" t="s">
        <v>11502</v>
      </c>
      <c r="M80" s="187" t="s">
        <v>15706</v>
      </c>
      <c r="N80" s="187" t="s">
        <v>15798</v>
      </c>
    </row>
    <row r="81" spans="1:14" ht="28.3" customHeight="1">
      <c r="A81" s="187" t="s">
        <v>16124</v>
      </c>
      <c r="B81" s="187" t="s">
        <v>15793</v>
      </c>
      <c r="C81" s="187" t="s">
        <v>15795</v>
      </c>
      <c r="D81" s="187" t="s">
        <v>16125</v>
      </c>
      <c r="E81" s="187" t="s">
        <v>13335</v>
      </c>
      <c r="F81" s="187" t="s">
        <v>16126</v>
      </c>
      <c r="G81" s="187" t="s">
        <v>15903</v>
      </c>
      <c r="H81" s="187" t="s">
        <v>11504</v>
      </c>
      <c r="I81" s="187" t="s">
        <v>15981</v>
      </c>
      <c r="J81" s="187"/>
      <c r="K81" s="187" t="s">
        <v>15905</v>
      </c>
      <c r="L81" s="187" t="s">
        <v>11502</v>
      </c>
      <c r="M81" s="187" t="s">
        <v>15706</v>
      </c>
      <c r="N81" s="187" t="s">
        <v>15798</v>
      </c>
    </row>
    <row r="82" spans="1:14" ht="28.3" customHeight="1">
      <c r="A82" s="187" t="s">
        <v>16127</v>
      </c>
      <c r="B82" s="187" t="s">
        <v>15793</v>
      </c>
      <c r="C82" s="187" t="s">
        <v>15795</v>
      </c>
      <c r="D82" s="187" t="s">
        <v>16128</v>
      </c>
      <c r="E82" s="187" t="s">
        <v>13336</v>
      </c>
      <c r="F82" s="187" t="s">
        <v>16129</v>
      </c>
      <c r="G82" s="187" t="s">
        <v>15903</v>
      </c>
      <c r="H82" s="187" t="s">
        <v>11502</v>
      </c>
      <c r="I82" s="187" t="s">
        <v>15904</v>
      </c>
      <c r="J82" s="187"/>
      <c r="K82" s="187" t="s">
        <v>15905</v>
      </c>
      <c r="L82" s="187" t="s">
        <v>11502</v>
      </c>
      <c r="M82" s="187" t="s">
        <v>15706</v>
      </c>
      <c r="N82" s="187" t="s">
        <v>15798</v>
      </c>
    </row>
    <row r="83" spans="1:14" ht="28.3" customHeight="1">
      <c r="A83" s="187" t="s">
        <v>16130</v>
      </c>
      <c r="B83" s="187" t="s">
        <v>15793</v>
      </c>
      <c r="C83" s="187" t="s">
        <v>15795</v>
      </c>
      <c r="D83" s="187" t="s">
        <v>16131</v>
      </c>
      <c r="E83" s="187" t="s">
        <v>13337</v>
      </c>
      <c r="F83" s="187" t="s">
        <v>16132</v>
      </c>
      <c r="G83" s="187" t="s">
        <v>15941</v>
      </c>
      <c r="H83" s="187" t="s">
        <v>11504</v>
      </c>
      <c r="I83" s="187"/>
      <c r="J83" s="187"/>
      <c r="K83" s="187" t="s">
        <v>15985</v>
      </c>
      <c r="L83" s="187" t="s">
        <v>11502</v>
      </c>
      <c r="M83" s="187" t="s">
        <v>15706</v>
      </c>
      <c r="N83" s="187" t="s">
        <v>15798</v>
      </c>
    </row>
    <row r="84" spans="1:14" ht="28.3" customHeight="1">
      <c r="A84" s="187" t="s">
        <v>16133</v>
      </c>
      <c r="B84" s="187" t="s">
        <v>15793</v>
      </c>
      <c r="C84" s="187" t="s">
        <v>15795</v>
      </c>
      <c r="D84" s="187" t="s">
        <v>16134</v>
      </c>
      <c r="E84" s="187" t="s">
        <v>13338</v>
      </c>
      <c r="F84" s="187" t="s">
        <v>16135</v>
      </c>
      <c r="G84" s="187" t="s">
        <v>15903</v>
      </c>
      <c r="H84" s="187" t="s">
        <v>11504</v>
      </c>
      <c r="I84" s="187"/>
      <c r="J84" s="187"/>
      <c r="K84" s="187" t="s">
        <v>16136</v>
      </c>
      <c r="L84" s="187" t="s">
        <v>11502</v>
      </c>
      <c r="M84" s="187" t="s">
        <v>15706</v>
      </c>
      <c r="N84" s="187" t="s">
        <v>15798</v>
      </c>
    </row>
    <row r="85" spans="1:14" ht="28.3" customHeight="1">
      <c r="A85" s="187" t="s">
        <v>16137</v>
      </c>
      <c r="B85" s="187" t="s">
        <v>15793</v>
      </c>
      <c r="C85" s="187" t="s">
        <v>15795</v>
      </c>
      <c r="D85" s="187" t="s">
        <v>16138</v>
      </c>
      <c r="E85" s="187" t="s">
        <v>13339</v>
      </c>
      <c r="F85" s="187" t="s">
        <v>16139</v>
      </c>
      <c r="G85" s="187" t="s">
        <v>15903</v>
      </c>
      <c r="H85" s="187" t="s">
        <v>11504</v>
      </c>
      <c r="I85" s="187"/>
      <c r="J85" s="187"/>
      <c r="K85" s="187" t="s">
        <v>15909</v>
      </c>
      <c r="L85" s="187" t="s">
        <v>11502</v>
      </c>
      <c r="M85" s="187" t="s">
        <v>15706</v>
      </c>
      <c r="N85" s="187" t="s">
        <v>15798</v>
      </c>
    </row>
    <row r="86" spans="1:14" ht="28.3" customHeight="1">
      <c r="A86" s="187" t="s">
        <v>16140</v>
      </c>
      <c r="B86" s="187" t="s">
        <v>15793</v>
      </c>
      <c r="C86" s="187" t="s">
        <v>15795</v>
      </c>
      <c r="D86" s="187" t="s">
        <v>16141</v>
      </c>
      <c r="E86" s="187" t="s">
        <v>13340</v>
      </c>
      <c r="F86" s="187" t="s">
        <v>16142</v>
      </c>
      <c r="G86" s="187" t="s">
        <v>15903</v>
      </c>
      <c r="H86" s="187" t="s">
        <v>11504</v>
      </c>
      <c r="I86" s="187" t="s">
        <v>15981</v>
      </c>
      <c r="J86" s="187" t="s">
        <v>16065</v>
      </c>
      <c r="K86" s="187" t="s">
        <v>15905</v>
      </c>
      <c r="L86" s="187" t="s">
        <v>11502</v>
      </c>
      <c r="M86" s="187" t="s">
        <v>15706</v>
      </c>
      <c r="N86" s="187" t="s">
        <v>15798</v>
      </c>
    </row>
    <row r="87" spans="1:14" ht="28.3" customHeight="1">
      <c r="A87" s="187" t="s">
        <v>16143</v>
      </c>
      <c r="B87" s="187" t="s">
        <v>15793</v>
      </c>
      <c r="C87" s="187" t="s">
        <v>15795</v>
      </c>
      <c r="D87" s="187" t="s">
        <v>16144</v>
      </c>
      <c r="E87" s="187" t="s">
        <v>13341</v>
      </c>
      <c r="F87" s="187" t="s">
        <v>16145</v>
      </c>
      <c r="G87" s="187" t="s">
        <v>15903</v>
      </c>
      <c r="H87" s="187" t="s">
        <v>11504</v>
      </c>
      <c r="I87" s="187"/>
      <c r="J87" s="187"/>
      <c r="K87" s="187" t="s">
        <v>15909</v>
      </c>
      <c r="L87" s="187" t="s">
        <v>11502</v>
      </c>
      <c r="M87" s="187" t="s">
        <v>15706</v>
      </c>
      <c r="N87" s="187" t="s">
        <v>15798</v>
      </c>
    </row>
    <row r="88" spans="1:14" ht="28.3" customHeight="1">
      <c r="A88" s="187" t="s">
        <v>16146</v>
      </c>
      <c r="B88" s="187" t="s">
        <v>15793</v>
      </c>
      <c r="C88" s="187" t="s">
        <v>15795</v>
      </c>
      <c r="D88" s="187" t="s">
        <v>16147</v>
      </c>
      <c r="E88" s="187" t="s">
        <v>11627</v>
      </c>
      <c r="F88" s="187" t="s">
        <v>15996</v>
      </c>
      <c r="G88" s="187" t="s">
        <v>15903</v>
      </c>
      <c r="H88" s="187" t="s">
        <v>11504</v>
      </c>
      <c r="I88" s="187"/>
      <c r="J88" s="187" t="s">
        <v>15931</v>
      </c>
      <c r="K88" s="187" t="s">
        <v>15997</v>
      </c>
      <c r="L88" s="187" t="s">
        <v>11502</v>
      </c>
      <c r="M88" s="187" t="s">
        <v>15706</v>
      </c>
      <c r="N88" s="187" t="s">
        <v>15798</v>
      </c>
    </row>
    <row r="89" spans="1:14" ht="28.3" customHeight="1">
      <c r="A89" s="187" t="s">
        <v>16148</v>
      </c>
      <c r="B89" s="187" t="s">
        <v>15793</v>
      </c>
      <c r="C89" s="187" t="s">
        <v>15795</v>
      </c>
      <c r="D89" s="187" t="s">
        <v>16149</v>
      </c>
      <c r="E89" s="187" t="s">
        <v>273</v>
      </c>
      <c r="F89" s="187" t="s">
        <v>16097</v>
      </c>
      <c r="G89" s="187" t="s">
        <v>15941</v>
      </c>
      <c r="H89" s="187" t="s">
        <v>11504</v>
      </c>
      <c r="I89" s="187"/>
      <c r="J89" s="187"/>
      <c r="K89" s="187" t="s">
        <v>15909</v>
      </c>
      <c r="L89" s="187" t="s">
        <v>11502</v>
      </c>
      <c r="M89" s="187" t="s">
        <v>15706</v>
      </c>
      <c r="N89" s="187" t="s">
        <v>15798</v>
      </c>
    </row>
    <row r="90" spans="1:14" ht="28.3" customHeight="1">
      <c r="A90" s="187" t="s">
        <v>16150</v>
      </c>
      <c r="B90" s="187" t="s">
        <v>15793</v>
      </c>
      <c r="C90" s="187" t="s">
        <v>15795</v>
      </c>
      <c r="D90" s="187" t="s">
        <v>16151</v>
      </c>
      <c r="E90" s="187" t="s">
        <v>13342</v>
      </c>
      <c r="F90" s="187" t="s">
        <v>16105</v>
      </c>
      <c r="G90" s="187" t="s">
        <v>15903</v>
      </c>
      <c r="H90" s="187" t="s">
        <v>11504</v>
      </c>
      <c r="I90" s="187" t="s">
        <v>15981</v>
      </c>
      <c r="J90" s="187"/>
      <c r="K90" s="187" t="s">
        <v>15909</v>
      </c>
      <c r="L90" s="187" t="s">
        <v>11502</v>
      </c>
      <c r="M90" s="187" t="s">
        <v>15706</v>
      </c>
      <c r="N90" s="187" t="s">
        <v>15798</v>
      </c>
    </row>
    <row r="91" spans="1:14" ht="28.3" customHeight="1">
      <c r="A91" s="187" t="s">
        <v>16152</v>
      </c>
      <c r="B91" s="187" t="s">
        <v>15799</v>
      </c>
      <c r="C91" s="187" t="s">
        <v>160</v>
      </c>
      <c r="D91" s="187" t="s">
        <v>16153</v>
      </c>
      <c r="E91" s="187" t="s">
        <v>13332</v>
      </c>
      <c r="F91" s="187" t="s">
        <v>16110</v>
      </c>
      <c r="G91" s="187" t="s">
        <v>15903</v>
      </c>
      <c r="H91" s="187" t="s">
        <v>11502</v>
      </c>
      <c r="I91" s="187" t="s">
        <v>15904</v>
      </c>
      <c r="J91" s="187"/>
      <c r="K91" s="187" t="s">
        <v>15905</v>
      </c>
      <c r="L91" s="187" t="s">
        <v>11502</v>
      </c>
      <c r="M91" s="187" t="s">
        <v>15706</v>
      </c>
      <c r="N91" s="187" t="s">
        <v>15803</v>
      </c>
    </row>
    <row r="92" spans="1:14" ht="28.3" customHeight="1">
      <c r="A92" s="187" t="s">
        <v>16154</v>
      </c>
      <c r="B92" s="187" t="s">
        <v>15799</v>
      </c>
      <c r="C92" s="187" t="s">
        <v>160</v>
      </c>
      <c r="D92" s="187" t="s">
        <v>16155</v>
      </c>
      <c r="E92" s="187" t="s">
        <v>13718</v>
      </c>
      <c r="F92" s="187" t="s">
        <v>16156</v>
      </c>
      <c r="G92" s="187" t="s">
        <v>15903</v>
      </c>
      <c r="H92" s="187" t="s">
        <v>11504</v>
      </c>
      <c r="I92" s="187"/>
      <c r="J92" s="187" t="s">
        <v>16157</v>
      </c>
      <c r="K92" s="187" t="s">
        <v>15909</v>
      </c>
      <c r="L92" s="187" t="s">
        <v>11502</v>
      </c>
      <c r="M92" s="187" t="s">
        <v>15706</v>
      </c>
      <c r="N92" s="187" t="s">
        <v>15803</v>
      </c>
    </row>
    <row r="93" spans="1:14" ht="28.3" customHeight="1">
      <c r="A93" s="187" t="s">
        <v>16158</v>
      </c>
      <c r="B93" s="187" t="s">
        <v>15799</v>
      </c>
      <c r="C93" s="187" t="s">
        <v>160</v>
      </c>
      <c r="D93" s="187" t="s">
        <v>16159</v>
      </c>
      <c r="E93" s="187" t="s">
        <v>13719</v>
      </c>
      <c r="F93" s="187" t="s">
        <v>16160</v>
      </c>
      <c r="G93" s="187" t="s">
        <v>15941</v>
      </c>
      <c r="H93" s="187" t="s">
        <v>11504</v>
      </c>
      <c r="I93" s="187"/>
      <c r="J93" s="187"/>
      <c r="K93" s="187" t="s">
        <v>15909</v>
      </c>
      <c r="L93" s="187" t="s">
        <v>11502</v>
      </c>
      <c r="M93" s="187" t="s">
        <v>15706</v>
      </c>
      <c r="N93" s="187" t="s">
        <v>15803</v>
      </c>
    </row>
    <row r="94" spans="1:14" ht="28.3" customHeight="1">
      <c r="A94" s="187" t="s">
        <v>16161</v>
      </c>
      <c r="B94" s="187" t="s">
        <v>15799</v>
      </c>
      <c r="C94" s="187" t="s">
        <v>160</v>
      </c>
      <c r="D94" s="187" t="s">
        <v>16162</v>
      </c>
      <c r="E94" s="187" t="s">
        <v>13720</v>
      </c>
      <c r="F94" s="187" t="s">
        <v>16163</v>
      </c>
      <c r="G94" s="187" t="s">
        <v>15903</v>
      </c>
      <c r="H94" s="187" t="s">
        <v>11504</v>
      </c>
      <c r="I94" s="187"/>
      <c r="J94" s="187"/>
      <c r="K94" s="187" t="s">
        <v>15909</v>
      </c>
      <c r="L94" s="187" t="s">
        <v>11502</v>
      </c>
      <c r="M94" s="187" t="s">
        <v>15706</v>
      </c>
      <c r="N94" s="187" t="s">
        <v>15803</v>
      </c>
    </row>
    <row r="95" spans="1:14" ht="28.3" customHeight="1">
      <c r="A95" s="187" t="s">
        <v>16164</v>
      </c>
      <c r="B95" s="187" t="s">
        <v>15799</v>
      </c>
      <c r="C95" s="187" t="s">
        <v>160</v>
      </c>
      <c r="D95" s="187" t="s">
        <v>16165</v>
      </c>
      <c r="E95" s="187" t="s">
        <v>764</v>
      </c>
      <c r="F95" s="187" t="s">
        <v>16084</v>
      </c>
      <c r="G95" s="187" t="s">
        <v>15903</v>
      </c>
      <c r="H95" s="187" t="s">
        <v>11504</v>
      </c>
      <c r="I95" s="187"/>
      <c r="J95" s="187" t="s">
        <v>16069</v>
      </c>
      <c r="K95" s="187" t="s">
        <v>15909</v>
      </c>
      <c r="L95" s="187" t="s">
        <v>11502</v>
      </c>
      <c r="M95" s="187" t="s">
        <v>15706</v>
      </c>
      <c r="N95" s="187" t="s">
        <v>15803</v>
      </c>
    </row>
    <row r="96" spans="1:14" ht="28.3" customHeight="1">
      <c r="A96" s="187" t="s">
        <v>16166</v>
      </c>
      <c r="B96" s="187" t="s">
        <v>15799</v>
      </c>
      <c r="C96" s="187" t="s">
        <v>160</v>
      </c>
      <c r="D96" s="187" t="s">
        <v>16167</v>
      </c>
      <c r="E96" s="187" t="s">
        <v>13334</v>
      </c>
      <c r="F96" s="187" t="s">
        <v>16064</v>
      </c>
      <c r="G96" s="187" t="s">
        <v>15903</v>
      </c>
      <c r="H96" s="187" t="s">
        <v>11502</v>
      </c>
      <c r="I96" s="187" t="s">
        <v>15904</v>
      </c>
      <c r="J96" s="187" t="s">
        <v>16065</v>
      </c>
      <c r="K96" s="187" t="s">
        <v>15905</v>
      </c>
      <c r="L96" s="187" t="s">
        <v>11502</v>
      </c>
      <c r="M96" s="187" t="s">
        <v>15706</v>
      </c>
      <c r="N96" s="187" t="s">
        <v>15803</v>
      </c>
    </row>
    <row r="97" spans="1:14" ht="28.3" customHeight="1">
      <c r="A97" s="187" t="s">
        <v>16168</v>
      </c>
      <c r="B97" s="187" t="s">
        <v>15799</v>
      </c>
      <c r="C97" s="187" t="s">
        <v>160</v>
      </c>
      <c r="D97" s="187" t="s">
        <v>16169</v>
      </c>
      <c r="E97" s="187" t="s">
        <v>13721</v>
      </c>
      <c r="F97" s="187" t="s">
        <v>16170</v>
      </c>
      <c r="G97" s="187" t="s">
        <v>15941</v>
      </c>
      <c r="H97" s="187" t="s">
        <v>11504</v>
      </c>
      <c r="I97" s="187"/>
      <c r="J97" s="187"/>
      <c r="K97" s="187" t="s">
        <v>15985</v>
      </c>
      <c r="L97" s="187" t="s">
        <v>11502</v>
      </c>
      <c r="M97" s="187" t="s">
        <v>15706</v>
      </c>
      <c r="N97" s="187" t="s">
        <v>15803</v>
      </c>
    </row>
    <row r="98" spans="1:14" ht="28.3" customHeight="1">
      <c r="A98" s="187" t="s">
        <v>16171</v>
      </c>
      <c r="B98" s="187" t="s">
        <v>15799</v>
      </c>
      <c r="C98" s="187" t="s">
        <v>160</v>
      </c>
      <c r="D98" s="187" t="s">
        <v>16172</v>
      </c>
      <c r="E98" s="187" t="s">
        <v>13722</v>
      </c>
      <c r="F98" s="187" t="s">
        <v>16173</v>
      </c>
      <c r="G98" s="187" t="s">
        <v>15941</v>
      </c>
      <c r="H98" s="187" t="s">
        <v>11504</v>
      </c>
      <c r="I98" s="187"/>
      <c r="J98" s="187"/>
      <c r="K98" s="187" t="s">
        <v>15909</v>
      </c>
      <c r="L98" s="187" t="s">
        <v>11502</v>
      </c>
      <c r="M98" s="187" t="s">
        <v>15706</v>
      </c>
      <c r="N98" s="187" t="s">
        <v>15803</v>
      </c>
    </row>
    <row r="99" spans="1:14">
      <c r="A99" s="187" t="s">
        <v>16174</v>
      </c>
      <c r="B99" s="187" t="s">
        <v>15799</v>
      </c>
      <c r="C99" s="187" t="s">
        <v>160</v>
      </c>
      <c r="D99" s="187" t="s">
        <v>16175</v>
      </c>
      <c r="E99" s="187" t="s">
        <v>13723</v>
      </c>
      <c r="F99" s="187" t="s">
        <v>16176</v>
      </c>
      <c r="G99" s="187" t="s">
        <v>15941</v>
      </c>
      <c r="H99" s="187" t="s">
        <v>11504</v>
      </c>
      <c r="I99" s="187"/>
      <c r="J99" s="187"/>
      <c r="K99" s="187" t="s">
        <v>15909</v>
      </c>
      <c r="L99" s="187" t="s">
        <v>11502</v>
      </c>
      <c r="M99" s="187" t="s">
        <v>15706</v>
      </c>
      <c r="N99" s="187" t="s">
        <v>15803</v>
      </c>
    </row>
    <row r="100" spans="1:14" ht="28.3" customHeight="1">
      <c r="A100" s="187" t="s">
        <v>16177</v>
      </c>
      <c r="B100" s="187" t="s">
        <v>15799</v>
      </c>
      <c r="C100" s="187" t="s">
        <v>160</v>
      </c>
      <c r="D100" s="187" t="s">
        <v>16178</v>
      </c>
      <c r="E100" s="187" t="s">
        <v>744</v>
      </c>
      <c r="F100" s="187" t="s">
        <v>15934</v>
      </c>
      <c r="G100" s="187" t="s">
        <v>15903</v>
      </c>
      <c r="H100" s="187" t="s">
        <v>11504</v>
      </c>
      <c r="I100" s="187"/>
      <c r="J100" s="187"/>
      <c r="K100" s="187" t="s">
        <v>15909</v>
      </c>
      <c r="L100" s="187" t="s">
        <v>11502</v>
      </c>
      <c r="M100" s="187" t="s">
        <v>15706</v>
      </c>
      <c r="N100" s="187" t="s">
        <v>15803</v>
      </c>
    </row>
    <row r="101" spans="1:14" ht="28.3" customHeight="1">
      <c r="A101" s="187" t="s">
        <v>16179</v>
      </c>
      <c r="B101" s="187" t="s">
        <v>15799</v>
      </c>
      <c r="C101" s="187" t="s">
        <v>160</v>
      </c>
      <c r="D101" s="187" t="s">
        <v>16180</v>
      </c>
      <c r="E101" s="187" t="s">
        <v>11627</v>
      </c>
      <c r="F101" s="187" t="s">
        <v>15996</v>
      </c>
      <c r="G101" s="187" t="s">
        <v>15903</v>
      </c>
      <c r="H101" s="187" t="s">
        <v>11504</v>
      </c>
      <c r="I101" s="187"/>
      <c r="J101" s="187" t="s">
        <v>15931</v>
      </c>
      <c r="K101" s="187" t="s">
        <v>15997</v>
      </c>
      <c r="L101" s="187" t="s">
        <v>11502</v>
      </c>
      <c r="M101" s="187" t="s">
        <v>15706</v>
      </c>
      <c r="N101" s="187" t="s">
        <v>15803</v>
      </c>
    </row>
    <row r="102" spans="1:14" ht="28.3" customHeight="1">
      <c r="A102" s="187" t="s">
        <v>16181</v>
      </c>
      <c r="B102" s="187" t="s">
        <v>15799</v>
      </c>
      <c r="C102" s="187" t="s">
        <v>160</v>
      </c>
      <c r="D102" s="187" t="s">
        <v>16182</v>
      </c>
      <c r="E102" s="187" t="s">
        <v>13342</v>
      </c>
      <c r="F102" s="187" t="s">
        <v>16105</v>
      </c>
      <c r="G102" s="187" t="s">
        <v>15903</v>
      </c>
      <c r="H102" s="187" t="s">
        <v>11504</v>
      </c>
      <c r="I102" s="187" t="s">
        <v>15981</v>
      </c>
      <c r="J102" s="187"/>
      <c r="K102" s="187" t="s">
        <v>15909</v>
      </c>
      <c r="L102" s="187" t="s">
        <v>11502</v>
      </c>
      <c r="M102" s="187" t="s">
        <v>15706</v>
      </c>
      <c r="N102" s="187" t="s">
        <v>15803</v>
      </c>
    </row>
    <row r="103" spans="1:14" ht="28.3" customHeight="1">
      <c r="A103" s="187" t="s">
        <v>16183</v>
      </c>
      <c r="B103" s="187" t="s">
        <v>15799</v>
      </c>
      <c r="C103" s="187" t="s">
        <v>160</v>
      </c>
      <c r="D103" s="187" t="s">
        <v>16184</v>
      </c>
      <c r="E103" s="187" t="s">
        <v>13724</v>
      </c>
      <c r="F103" s="187" t="s">
        <v>16185</v>
      </c>
      <c r="G103" s="187" t="s">
        <v>15903</v>
      </c>
      <c r="H103" s="187" t="s">
        <v>11504</v>
      </c>
      <c r="I103" s="187" t="s">
        <v>15981</v>
      </c>
      <c r="J103" s="187"/>
      <c r="K103" s="187" t="s">
        <v>15909</v>
      </c>
      <c r="L103" s="187" t="s">
        <v>11502</v>
      </c>
      <c r="M103" s="187" t="s">
        <v>15706</v>
      </c>
      <c r="N103" s="187" t="s">
        <v>15803</v>
      </c>
    </row>
    <row r="104" spans="1:14" ht="28.3" customHeight="1">
      <c r="A104" s="187" t="s">
        <v>16186</v>
      </c>
      <c r="B104" s="187" t="s">
        <v>15804</v>
      </c>
      <c r="C104" s="187" t="s">
        <v>15806</v>
      </c>
      <c r="D104" s="187" t="s">
        <v>16187</v>
      </c>
      <c r="E104" s="187" t="s">
        <v>13332</v>
      </c>
      <c r="F104" s="187" t="s">
        <v>16110</v>
      </c>
      <c r="G104" s="187" t="s">
        <v>15903</v>
      </c>
      <c r="H104" s="187" t="s">
        <v>11502</v>
      </c>
      <c r="I104" s="187" t="s">
        <v>15904</v>
      </c>
      <c r="J104" s="187"/>
      <c r="K104" s="187" t="s">
        <v>15905</v>
      </c>
      <c r="L104" s="187" t="s">
        <v>11502</v>
      </c>
      <c r="M104" s="187" t="s">
        <v>15706</v>
      </c>
      <c r="N104" s="187" t="s">
        <v>15809</v>
      </c>
    </row>
    <row r="105" spans="1:14" ht="28.3" customHeight="1">
      <c r="A105" s="187" t="s">
        <v>16188</v>
      </c>
      <c r="B105" s="187" t="s">
        <v>15804</v>
      </c>
      <c r="C105" s="187" t="s">
        <v>15806</v>
      </c>
      <c r="D105" s="187" t="s">
        <v>16189</v>
      </c>
      <c r="E105" s="187" t="s">
        <v>15608</v>
      </c>
      <c r="F105" s="187" t="s">
        <v>16190</v>
      </c>
      <c r="G105" s="187" t="s">
        <v>15903</v>
      </c>
      <c r="H105" s="187" t="s">
        <v>11504</v>
      </c>
      <c r="I105" s="187"/>
      <c r="J105" s="187"/>
      <c r="K105" s="187" t="s">
        <v>15909</v>
      </c>
      <c r="L105" s="187" t="s">
        <v>11502</v>
      </c>
      <c r="M105" s="187" t="s">
        <v>15706</v>
      </c>
      <c r="N105" s="187" t="s">
        <v>15809</v>
      </c>
    </row>
    <row r="106" spans="1:14" ht="28.3" customHeight="1">
      <c r="A106" s="187" t="s">
        <v>16191</v>
      </c>
      <c r="B106" s="187" t="s">
        <v>15804</v>
      </c>
      <c r="C106" s="187" t="s">
        <v>15806</v>
      </c>
      <c r="D106" s="187" t="s">
        <v>16192</v>
      </c>
      <c r="E106" s="187" t="s">
        <v>15609</v>
      </c>
      <c r="F106" s="187" t="s">
        <v>16193</v>
      </c>
      <c r="G106" s="187" t="s">
        <v>15903</v>
      </c>
      <c r="H106" s="187" t="s">
        <v>11504</v>
      </c>
      <c r="I106" s="187"/>
      <c r="J106" s="187"/>
      <c r="K106" s="187" t="s">
        <v>15909</v>
      </c>
      <c r="L106" s="187" t="s">
        <v>11502</v>
      </c>
      <c r="M106" s="187" t="s">
        <v>15706</v>
      </c>
      <c r="N106" s="187" t="s">
        <v>15809</v>
      </c>
    </row>
    <row r="107" spans="1:14" ht="28.3" customHeight="1">
      <c r="A107" s="187" t="s">
        <v>16194</v>
      </c>
      <c r="B107" s="187" t="s">
        <v>15804</v>
      </c>
      <c r="C107" s="187" t="s">
        <v>15806</v>
      </c>
      <c r="D107" s="187" t="s">
        <v>16195</v>
      </c>
      <c r="E107" s="187" t="s">
        <v>13720</v>
      </c>
      <c r="F107" s="187" t="s">
        <v>16163</v>
      </c>
      <c r="G107" s="187" t="s">
        <v>15903</v>
      </c>
      <c r="H107" s="187" t="s">
        <v>11504</v>
      </c>
      <c r="I107" s="187"/>
      <c r="J107" s="187"/>
      <c r="K107" s="187" t="s">
        <v>15909</v>
      </c>
      <c r="L107" s="187" t="s">
        <v>11502</v>
      </c>
      <c r="M107" s="187" t="s">
        <v>15706</v>
      </c>
      <c r="N107" s="187" t="s">
        <v>15809</v>
      </c>
    </row>
    <row r="108" spans="1:14" ht="28.3" customHeight="1">
      <c r="A108" s="187" t="s">
        <v>16196</v>
      </c>
      <c r="B108" s="187" t="s">
        <v>15804</v>
      </c>
      <c r="C108" s="187" t="s">
        <v>15806</v>
      </c>
      <c r="D108" s="187" t="s">
        <v>16197</v>
      </c>
      <c r="E108" s="187" t="s">
        <v>13334</v>
      </c>
      <c r="F108" s="187" t="s">
        <v>16064</v>
      </c>
      <c r="G108" s="187" t="s">
        <v>15903</v>
      </c>
      <c r="H108" s="187" t="s">
        <v>11502</v>
      </c>
      <c r="I108" s="187" t="s">
        <v>15904</v>
      </c>
      <c r="J108" s="187" t="s">
        <v>16065</v>
      </c>
      <c r="K108" s="187" t="s">
        <v>15905</v>
      </c>
      <c r="L108" s="187" t="s">
        <v>11502</v>
      </c>
      <c r="M108" s="187" t="s">
        <v>15706</v>
      </c>
      <c r="N108" s="187" t="s">
        <v>15809</v>
      </c>
    </row>
    <row r="109" spans="1:14" ht="28.3" customHeight="1">
      <c r="A109" s="187" t="s">
        <v>16198</v>
      </c>
      <c r="B109" s="187" t="s">
        <v>15804</v>
      </c>
      <c r="C109" s="187" t="s">
        <v>15806</v>
      </c>
      <c r="D109" s="187" t="s">
        <v>16199</v>
      </c>
      <c r="E109" s="187" t="s">
        <v>13977</v>
      </c>
      <c r="F109" s="187" t="s">
        <v>16200</v>
      </c>
      <c r="G109" s="187" t="s">
        <v>15941</v>
      </c>
      <c r="H109" s="187" t="s">
        <v>11504</v>
      </c>
      <c r="I109" s="187"/>
      <c r="J109" s="187"/>
      <c r="K109" s="187" t="s">
        <v>15985</v>
      </c>
      <c r="L109" s="187" t="s">
        <v>11502</v>
      </c>
      <c r="M109" s="187" t="s">
        <v>15706</v>
      </c>
      <c r="N109" s="187" t="s">
        <v>15809</v>
      </c>
    </row>
    <row r="110" spans="1:14" ht="28.3" customHeight="1">
      <c r="A110" s="187" t="s">
        <v>16201</v>
      </c>
      <c r="B110" s="187" t="s">
        <v>15804</v>
      </c>
      <c r="C110" s="187" t="s">
        <v>15806</v>
      </c>
      <c r="D110" s="187" t="s">
        <v>16202</v>
      </c>
      <c r="E110" s="187" t="s">
        <v>15610</v>
      </c>
      <c r="F110" s="187" t="s">
        <v>16203</v>
      </c>
      <c r="G110" s="187" t="s">
        <v>15903</v>
      </c>
      <c r="H110" s="187" t="s">
        <v>11504</v>
      </c>
      <c r="I110" s="187"/>
      <c r="J110" s="187"/>
      <c r="K110" s="187" t="s">
        <v>15909</v>
      </c>
      <c r="L110" s="187" t="s">
        <v>11502</v>
      </c>
      <c r="M110" s="187" t="s">
        <v>15706</v>
      </c>
      <c r="N110" s="187" t="s">
        <v>15809</v>
      </c>
    </row>
    <row r="111" spans="1:14" ht="28.3" customHeight="1">
      <c r="A111" s="187" t="s">
        <v>16204</v>
      </c>
      <c r="B111" s="187" t="s">
        <v>15804</v>
      </c>
      <c r="C111" s="187" t="s">
        <v>15806</v>
      </c>
      <c r="D111" s="187" t="s">
        <v>16205</v>
      </c>
      <c r="E111" s="187" t="s">
        <v>3897</v>
      </c>
      <c r="F111" s="187" t="s">
        <v>16206</v>
      </c>
      <c r="G111" s="187" t="s">
        <v>15903</v>
      </c>
      <c r="H111" s="187" t="s">
        <v>11504</v>
      </c>
      <c r="I111" s="187"/>
      <c r="J111" s="187"/>
      <c r="K111" s="187" t="s">
        <v>15909</v>
      </c>
      <c r="L111" s="187" t="s">
        <v>11502</v>
      </c>
      <c r="M111" s="187" t="s">
        <v>15706</v>
      </c>
      <c r="N111" s="187" t="s">
        <v>15809</v>
      </c>
    </row>
    <row r="112" spans="1:14" ht="28.3" customHeight="1">
      <c r="A112" s="187" t="s">
        <v>16207</v>
      </c>
      <c r="B112" s="187" t="s">
        <v>15804</v>
      </c>
      <c r="C112" s="187" t="s">
        <v>15806</v>
      </c>
      <c r="D112" s="187" t="s">
        <v>16208</v>
      </c>
      <c r="E112" s="187" t="s">
        <v>11627</v>
      </c>
      <c r="F112" s="187" t="s">
        <v>15996</v>
      </c>
      <c r="G112" s="187" t="s">
        <v>15903</v>
      </c>
      <c r="H112" s="187" t="s">
        <v>11504</v>
      </c>
      <c r="I112" s="187"/>
      <c r="J112" s="187" t="s">
        <v>15931</v>
      </c>
      <c r="K112" s="187" t="s">
        <v>15997</v>
      </c>
      <c r="L112" s="187" t="s">
        <v>11502</v>
      </c>
      <c r="M112" s="187" t="s">
        <v>15706</v>
      </c>
      <c r="N112" s="187" t="s">
        <v>15809</v>
      </c>
    </row>
    <row r="113" spans="1:14" ht="28.3" customHeight="1">
      <c r="A113" s="187" t="s">
        <v>16209</v>
      </c>
      <c r="B113" s="187" t="s">
        <v>15804</v>
      </c>
      <c r="C113" s="187" t="s">
        <v>15806</v>
      </c>
      <c r="D113" s="187" t="s">
        <v>16210</v>
      </c>
      <c r="E113" s="187" t="s">
        <v>273</v>
      </c>
      <c r="F113" s="187" t="s">
        <v>16097</v>
      </c>
      <c r="G113" s="187" t="s">
        <v>15941</v>
      </c>
      <c r="H113" s="187" t="s">
        <v>11504</v>
      </c>
      <c r="I113" s="187"/>
      <c r="J113" s="187"/>
      <c r="K113" s="187" t="s">
        <v>15909</v>
      </c>
      <c r="L113" s="187" t="s">
        <v>11502</v>
      </c>
      <c r="M113" s="187" t="s">
        <v>15706</v>
      </c>
      <c r="N113" s="187" t="s">
        <v>15809</v>
      </c>
    </row>
    <row r="114" spans="1:14" ht="28.3" customHeight="1">
      <c r="A114" s="187" t="s">
        <v>16211</v>
      </c>
      <c r="B114" s="187" t="s">
        <v>15804</v>
      </c>
      <c r="C114" s="187" t="s">
        <v>15806</v>
      </c>
      <c r="D114" s="187" t="s">
        <v>16212</v>
      </c>
      <c r="E114" s="187" t="s">
        <v>744</v>
      </c>
      <c r="F114" s="187" t="s">
        <v>15934</v>
      </c>
      <c r="G114" s="187" t="s">
        <v>15903</v>
      </c>
      <c r="H114" s="187" t="s">
        <v>11504</v>
      </c>
      <c r="I114" s="187"/>
      <c r="J114" s="187"/>
      <c r="K114" s="187" t="s">
        <v>15909</v>
      </c>
      <c r="L114" s="187" t="s">
        <v>11502</v>
      </c>
      <c r="M114" s="187" t="s">
        <v>15706</v>
      </c>
      <c r="N114" s="187" t="s">
        <v>15809</v>
      </c>
    </row>
    <row r="115" spans="1:14" ht="28.3" customHeight="1">
      <c r="A115" s="187" t="s">
        <v>16213</v>
      </c>
      <c r="B115" s="187" t="s">
        <v>15810</v>
      </c>
      <c r="C115" s="187" t="s">
        <v>386</v>
      </c>
      <c r="D115" s="187" t="s">
        <v>16214</v>
      </c>
      <c r="E115" s="187" t="s">
        <v>13973</v>
      </c>
      <c r="F115" s="187" t="s">
        <v>16215</v>
      </c>
      <c r="G115" s="187" t="s">
        <v>15903</v>
      </c>
      <c r="H115" s="187" t="s">
        <v>11504</v>
      </c>
      <c r="I115" s="187" t="s">
        <v>15981</v>
      </c>
      <c r="J115" s="187"/>
      <c r="K115" s="187" t="s">
        <v>15905</v>
      </c>
      <c r="L115" s="187" t="s">
        <v>11502</v>
      </c>
      <c r="M115" s="187" t="s">
        <v>15706</v>
      </c>
      <c r="N115" s="187" t="s">
        <v>15814</v>
      </c>
    </row>
    <row r="116" spans="1:14">
      <c r="A116" s="187" t="s">
        <v>16216</v>
      </c>
      <c r="B116" s="187" t="s">
        <v>15810</v>
      </c>
      <c r="C116" s="187" t="s">
        <v>386</v>
      </c>
      <c r="D116" s="187" t="s">
        <v>16217</v>
      </c>
      <c r="E116" s="187" t="s">
        <v>13334</v>
      </c>
      <c r="F116" s="187" t="s">
        <v>16064</v>
      </c>
      <c r="G116" s="187" t="s">
        <v>15903</v>
      </c>
      <c r="H116" s="187" t="s">
        <v>11502</v>
      </c>
      <c r="I116" s="187" t="s">
        <v>15904</v>
      </c>
      <c r="J116" s="187" t="s">
        <v>16065</v>
      </c>
      <c r="K116" s="187" t="s">
        <v>15905</v>
      </c>
      <c r="L116" s="187" t="s">
        <v>11502</v>
      </c>
      <c r="M116" s="187" t="s">
        <v>15706</v>
      </c>
      <c r="N116" s="187" t="s">
        <v>15814</v>
      </c>
    </row>
    <row r="117" spans="1:14" ht="28.3" customHeight="1">
      <c r="A117" s="187" t="s">
        <v>16218</v>
      </c>
      <c r="B117" s="187" t="s">
        <v>15810</v>
      </c>
      <c r="C117" s="187" t="s">
        <v>386</v>
      </c>
      <c r="D117" s="187" t="s">
        <v>16219</v>
      </c>
      <c r="E117" s="187" t="s">
        <v>764</v>
      </c>
      <c r="F117" s="187" t="s">
        <v>16084</v>
      </c>
      <c r="G117" s="187" t="s">
        <v>15903</v>
      </c>
      <c r="H117" s="187" t="s">
        <v>11504</v>
      </c>
      <c r="I117" s="187"/>
      <c r="J117" s="187" t="s">
        <v>16069</v>
      </c>
      <c r="K117" s="187" t="s">
        <v>15909</v>
      </c>
      <c r="L117" s="187" t="s">
        <v>11502</v>
      </c>
      <c r="M117" s="187" t="s">
        <v>15706</v>
      </c>
      <c r="N117" s="187" t="s">
        <v>15814</v>
      </c>
    </row>
    <row r="118" spans="1:14">
      <c r="A118" s="187" t="s">
        <v>16220</v>
      </c>
      <c r="B118" s="187" t="s">
        <v>15810</v>
      </c>
      <c r="C118" s="187" t="s">
        <v>386</v>
      </c>
      <c r="D118" s="187" t="s">
        <v>16221</v>
      </c>
      <c r="E118" s="187" t="s">
        <v>12519</v>
      </c>
      <c r="F118" s="187" t="s">
        <v>16043</v>
      </c>
      <c r="G118" s="187" t="s">
        <v>15903</v>
      </c>
      <c r="H118" s="187" t="s">
        <v>11504</v>
      </c>
      <c r="I118" s="187"/>
      <c r="J118" s="187" t="s">
        <v>16044</v>
      </c>
      <c r="K118" s="187" t="s">
        <v>15909</v>
      </c>
      <c r="L118" s="187" t="s">
        <v>11502</v>
      </c>
      <c r="M118" s="187" t="s">
        <v>15706</v>
      </c>
      <c r="N118" s="187" t="s">
        <v>15814</v>
      </c>
    </row>
    <row r="119" spans="1:14">
      <c r="A119" s="187" t="s">
        <v>16222</v>
      </c>
      <c r="B119" s="187" t="s">
        <v>15810</v>
      </c>
      <c r="C119" s="187" t="s">
        <v>386</v>
      </c>
      <c r="D119" s="187" t="s">
        <v>16223</v>
      </c>
      <c r="E119" s="187" t="s">
        <v>12520</v>
      </c>
      <c r="F119" s="187" t="s">
        <v>16047</v>
      </c>
      <c r="G119" s="187" t="s">
        <v>15903</v>
      </c>
      <c r="H119" s="187" t="s">
        <v>11504</v>
      </c>
      <c r="I119" s="187"/>
      <c r="J119" s="187"/>
      <c r="K119" s="187" t="s">
        <v>15909</v>
      </c>
      <c r="L119" s="187" t="s">
        <v>11502</v>
      </c>
      <c r="M119" s="187" t="s">
        <v>15706</v>
      </c>
      <c r="N119" s="187" t="s">
        <v>15814</v>
      </c>
    </row>
    <row r="120" spans="1:14" ht="28.3" customHeight="1">
      <c r="A120" s="187" t="s">
        <v>16224</v>
      </c>
      <c r="B120" s="187" t="s">
        <v>15810</v>
      </c>
      <c r="C120" s="187" t="s">
        <v>386</v>
      </c>
      <c r="D120" s="187" t="s">
        <v>16225</v>
      </c>
      <c r="E120" s="187" t="s">
        <v>13974</v>
      </c>
      <c r="F120" s="187" t="s">
        <v>16226</v>
      </c>
      <c r="G120" s="187" t="s">
        <v>15903</v>
      </c>
      <c r="H120" s="187" t="s">
        <v>11504</v>
      </c>
      <c r="I120" s="187"/>
      <c r="J120" s="187" t="s">
        <v>16157</v>
      </c>
      <c r="K120" s="187" t="s">
        <v>15909</v>
      </c>
      <c r="L120" s="187" t="s">
        <v>11502</v>
      </c>
      <c r="M120" s="187" t="s">
        <v>15706</v>
      </c>
      <c r="N120" s="187" t="s">
        <v>15814</v>
      </c>
    </row>
    <row r="121" spans="1:14" ht="28.3" customHeight="1">
      <c r="A121" s="187" t="s">
        <v>16227</v>
      </c>
      <c r="B121" s="187" t="s">
        <v>15810</v>
      </c>
      <c r="C121" s="187" t="s">
        <v>386</v>
      </c>
      <c r="D121" s="187" t="s">
        <v>16228</v>
      </c>
      <c r="E121" s="187" t="s">
        <v>13975</v>
      </c>
      <c r="F121" s="187" t="s">
        <v>16229</v>
      </c>
      <c r="G121" s="187" t="s">
        <v>15941</v>
      </c>
      <c r="H121" s="187" t="s">
        <v>11504</v>
      </c>
      <c r="I121" s="187"/>
      <c r="J121" s="187" t="s">
        <v>16157</v>
      </c>
      <c r="K121" s="187" t="s">
        <v>15909</v>
      </c>
      <c r="L121" s="187" t="s">
        <v>11502</v>
      </c>
      <c r="M121" s="187" t="s">
        <v>15706</v>
      </c>
      <c r="N121" s="187" t="s">
        <v>15814</v>
      </c>
    </row>
    <row r="122" spans="1:14">
      <c r="A122" s="187" t="s">
        <v>16230</v>
      </c>
      <c r="B122" s="187" t="s">
        <v>15810</v>
      </c>
      <c r="C122" s="187" t="s">
        <v>386</v>
      </c>
      <c r="D122" s="187" t="s">
        <v>16231</v>
      </c>
      <c r="E122" s="187" t="s">
        <v>13337</v>
      </c>
      <c r="F122" s="187" t="s">
        <v>16132</v>
      </c>
      <c r="G122" s="187" t="s">
        <v>15903</v>
      </c>
      <c r="H122" s="187" t="s">
        <v>11504</v>
      </c>
      <c r="I122" s="187"/>
      <c r="J122" s="187"/>
      <c r="K122" s="187" t="s">
        <v>15985</v>
      </c>
      <c r="L122" s="187" t="s">
        <v>11502</v>
      </c>
      <c r="M122" s="187" t="s">
        <v>15706</v>
      </c>
      <c r="N122" s="187" t="s">
        <v>15814</v>
      </c>
    </row>
    <row r="123" spans="1:14">
      <c r="A123" s="187" t="s">
        <v>16232</v>
      </c>
      <c r="B123" s="187" t="s">
        <v>15810</v>
      </c>
      <c r="C123" s="187" t="s">
        <v>386</v>
      </c>
      <c r="D123" s="187" t="s">
        <v>16233</v>
      </c>
      <c r="E123" s="187" t="s">
        <v>13338</v>
      </c>
      <c r="F123" s="187" t="s">
        <v>16135</v>
      </c>
      <c r="G123" s="187" t="s">
        <v>15903</v>
      </c>
      <c r="H123" s="187" t="s">
        <v>11504</v>
      </c>
      <c r="I123" s="187"/>
      <c r="J123" s="187"/>
      <c r="K123" s="187" t="s">
        <v>16136</v>
      </c>
      <c r="L123" s="187" t="s">
        <v>11502</v>
      </c>
      <c r="M123" s="187" t="s">
        <v>15706</v>
      </c>
      <c r="N123" s="187" t="s">
        <v>15814</v>
      </c>
    </row>
    <row r="124" spans="1:14" ht="28.3" customHeight="1">
      <c r="A124" s="187" t="s">
        <v>16234</v>
      </c>
      <c r="B124" s="187" t="s">
        <v>15810</v>
      </c>
      <c r="C124" s="187" t="s">
        <v>386</v>
      </c>
      <c r="D124" s="187" t="s">
        <v>16235</v>
      </c>
      <c r="E124" s="187" t="s">
        <v>13976</v>
      </c>
      <c r="F124" s="187" t="s">
        <v>16236</v>
      </c>
      <c r="G124" s="187" t="s">
        <v>15941</v>
      </c>
      <c r="H124" s="187" t="s">
        <v>11504</v>
      </c>
      <c r="I124" s="187"/>
      <c r="J124" s="187" t="s">
        <v>16157</v>
      </c>
      <c r="K124" s="187" t="s">
        <v>15985</v>
      </c>
      <c r="L124" s="187" t="s">
        <v>11502</v>
      </c>
      <c r="M124" s="187" t="s">
        <v>15706</v>
      </c>
      <c r="N124" s="187" t="s">
        <v>15814</v>
      </c>
    </row>
    <row r="125" spans="1:14">
      <c r="A125" s="187" t="s">
        <v>16237</v>
      </c>
      <c r="B125" s="187" t="s">
        <v>15810</v>
      </c>
      <c r="C125" s="187" t="s">
        <v>386</v>
      </c>
      <c r="D125" s="187" t="s">
        <v>16238</v>
      </c>
      <c r="E125" s="187" t="s">
        <v>13977</v>
      </c>
      <c r="F125" s="187" t="s">
        <v>16200</v>
      </c>
      <c r="G125" s="187" t="s">
        <v>15941</v>
      </c>
      <c r="H125" s="187" t="s">
        <v>11504</v>
      </c>
      <c r="I125" s="187"/>
      <c r="J125" s="187"/>
      <c r="K125" s="187" t="s">
        <v>15985</v>
      </c>
      <c r="L125" s="187" t="s">
        <v>11502</v>
      </c>
      <c r="M125" s="187" t="s">
        <v>15706</v>
      </c>
      <c r="N125" s="187" t="s">
        <v>15814</v>
      </c>
    </row>
    <row r="126" spans="1:14">
      <c r="A126" s="187" t="s">
        <v>16239</v>
      </c>
      <c r="B126" s="187" t="s">
        <v>15810</v>
      </c>
      <c r="C126" s="187" t="s">
        <v>386</v>
      </c>
      <c r="D126" s="187" t="s">
        <v>16240</v>
      </c>
      <c r="E126" s="187" t="s">
        <v>13978</v>
      </c>
      <c r="F126" s="187" t="s">
        <v>16241</v>
      </c>
      <c r="G126" s="187" t="s">
        <v>15941</v>
      </c>
      <c r="H126" s="187" t="s">
        <v>11504</v>
      </c>
      <c r="I126" s="187"/>
      <c r="J126" s="187"/>
      <c r="K126" s="187" t="s">
        <v>15985</v>
      </c>
      <c r="L126" s="187" t="s">
        <v>11502</v>
      </c>
      <c r="M126" s="187" t="s">
        <v>15706</v>
      </c>
      <c r="N126" s="187" t="s">
        <v>15814</v>
      </c>
    </row>
    <row r="127" spans="1:14">
      <c r="A127" s="187" t="s">
        <v>16242</v>
      </c>
      <c r="B127" s="187" t="s">
        <v>15810</v>
      </c>
      <c r="C127" s="187" t="s">
        <v>386</v>
      </c>
      <c r="D127" s="187" t="s">
        <v>16243</v>
      </c>
      <c r="E127" s="187" t="s">
        <v>13979</v>
      </c>
      <c r="F127" s="187" t="s">
        <v>16244</v>
      </c>
      <c r="G127" s="187" t="s">
        <v>15903</v>
      </c>
      <c r="H127" s="187" t="s">
        <v>11504</v>
      </c>
      <c r="I127" s="187"/>
      <c r="J127" s="187"/>
      <c r="K127" s="187" t="s">
        <v>15985</v>
      </c>
      <c r="L127" s="187" t="s">
        <v>11502</v>
      </c>
      <c r="M127" s="187" t="s">
        <v>15706</v>
      </c>
      <c r="N127" s="187" t="s">
        <v>15814</v>
      </c>
    </row>
    <row r="128" spans="1:14">
      <c r="A128" s="187" t="s">
        <v>16245</v>
      </c>
      <c r="B128" s="187" t="s">
        <v>15810</v>
      </c>
      <c r="C128" s="187" t="s">
        <v>386</v>
      </c>
      <c r="D128" s="187" t="s">
        <v>16246</v>
      </c>
      <c r="E128" s="187" t="s">
        <v>13980</v>
      </c>
      <c r="F128" s="187" t="s">
        <v>16247</v>
      </c>
      <c r="G128" s="187" t="s">
        <v>15903</v>
      </c>
      <c r="H128" s="187" t="s">
        <v>11504</v>
      </c>
      <c r="I128" s="187"/>
      <c r="J128" s="187"/>
      <c r="K128" s="187" t="s">
        <v>15909</v>
      </c>
      <c r="L128" s="187" t="s">
        <v>11502</v>
      </c>
      <c r="M128" s="187" t="s">
        <v>15706</v>
      </c>
      <c r="N128" s="187" t="s">
        <v>15814</v>
      </c>
    </row>
    <row r="129" spans="1:14" ht="28.3" customHeight="1">
      <c r="A129" s="187" t="s">
        <v>16248</v>
      </c>
      <c r="B129" s="187" t="s">
        <v>15810</v>
      </c>
      <c r="C129" s="187" t="s">
        <v>386</v>
      </c>
      <c r="D129" s="187" t="s">
        <v>16249</v>
      </c>
      <c r="E129" s="187" t="s">
        <v>13340</v>
      </c>
      <c r="F129" s="187" t="s">
        <v>16142</v>
      </c>
      <c r="G129" s="187" t="s">
        <v>15903</v>
      </c>
      <c r="H129" s="187" t="s">
        <v>11504</v>
      </c>
      <c r="I129" s="187" t="s">
        <v>15981</v>
      </c>
      <c r="J129" s="187" t="s">
        <v>16065</v>
      </c>
      <c r="K129" s="187" t="s">
        <v>15905</v>
      </c>
      <c r="L129" s="187" t="s">
        <v>11502</v>
      </c>
      <c r="M129" s="187" t="s">
        <v>15706</v>
      </c>
      <c r="N129" s="187" t="s">
        <v>15814</v>
      </c>
    </row>
    <row r="130" spans="1:14">
      <c r="A130" s="187" t="s">
        <v>16250</v>
      </c>
      <c r="B130" s="187" t="s">
        <v>15810</v>
      </c>
      <c r="C130" s="187" t="s">
        <v>386</v>
      </c>
      <c r="D130" s="187" t="s">
        <v>16251</v>
      </c>
      <c r="E130" s="187" t="s">
        <v>13981</v>
      </c>
      <c r="F130" s="187" t="s">
        <v>16252</v>
      </c>
      <c r="G130" s="187" t="s">
        <v>15903</v>
      </c>
      <c r="H130" s="187" t="s">
        <v>11504</v>
      </c>
      <c r="I130" s="187"/>
      <c r="J130" s="187"/>
      <c r="K130" s="187" t="s">
        <v>15909</v>
      </c>
      <c r="L130" s="187" t="s">
        <v>11502</v>
      </c>
      <c r="M130" s="187" t="s">
        <v>15706</v>
      </c>
      <c r="N130" s="187" t="s">
        <v>15814</v>
      </c>
    </row>
    <row r="131" spans="1:14">
      <c r="A131" s="187" t="s">
        <v>16253</v>
      </c>
      <c r="B131" s="187" t="s">
        <v>15810</v>
      </c>
      <c r="C131" s="187" t="s">
        <v>386</v>
      </c>
      <c r="D131" s="187" t="s">
        <v>16254</v>
      </c>
      <c r="E131" s="187" t="s">
        <v>13982</v>
      </c>
      <c r="F131" s="187" t="s">
        <v>16255</v>
      </c>
      <c r="G131" s="187" t="s">
        <v>15941</v>
      </c>
      <c r="H131" s="187" t="s">
        <v>11504</v>
      </c>
      <c r="I131" s="187"/>
      <c r="J131" s="187"/>
      <c r="K131" s="187" t="s">
        <v>15985</v>
      </c>
      <c r="L131" s="187" t="s">
        <v>11502</v>
      </c>
      <c r="M131" s="187" t="s">
        <v>15706</v>
      </c>
      <c r="N131" s="187" t="s">
        <v>15814</v>
      </c>
    </row>
    <row r="132" spans="1:14" ht="28.3" customHeight="1">
      <c r="A132" s="187" t="s">
        <v>16256</v>
      </c>
      <c r="B132" s="187" t="s">
        <v>15815</v>
      </c>
      <c r="C132" s="187" t="s">
        <v>167</v>
      </c>
      <c r="D132" s="187" t="s">
        <v>16257</v>
      </c>
      <c r="E132" s="187" t="s">
        <v>14434</v>
      </c>
      <c r="F132" s="187" t="s">
        <v>16258</v>
      </c>
      <c r="G132" s="187" t="s">
        <v>15903</v>
      </c>
      <c r="H132" s="187" t="s">
        <v>11502</v>
      </c>
      <c r="I132" s="187" t="s">
        <v>15904</v>
      </c>
      <c r="J132" s="187" t="s">
        <v>16259</v>
      </c>
      <c r="K132" s="187" t="s">
        <v>15905</v>
      </c>
      <c r="L132" s="187" t="s">
        <v>11502</v>
      </c>
      <c r="M132" s="187" t="s">
        <v>15706</v>
      </c>
      <c r="N132" s="187" t="s">
        <v>15818</v>
      </c>
    </row>
    <row r="133" spans="1:14" ht="28.3" customHeight="1">
      <c r="A133" s="187" t="s">
        <v>16260</v>
      </c>
      <c r="B133" s="187" t="s">
        <v>15815</v>
      </c>
      <c r="C133" s="187" t="s">
        <v>167</v>
      </c>
      <c r="D133" s="187" t="s">
        <v>16261</v>
      </c>
      <c r="E133" s="187" t="s">
        <v>13334</v>
      </c>
      <c r="F133" s="187" t="s">
        <v>16064</v>
      </c>
      <c r="G133" s="187" t="s">
        <v>15903</v>
      </c>
      <c r="H133" s="187" t="s">
        <v>11502</v>
      </c>
      <c r="I133" s="187" t="s">
        <v>15904</v>
      </c>
      <c r="J133" s="187" t="s">
        <v>16065</v>
      </c>
      <c r="K133" s="187" t="s">
        <v>15905</v>
      </c>
      <c r="L133" s="187" t="s">
        <v>11502</v>
      </c>
      <c r="M133" s="187" t="s">
        <v>15706</v>
      </c>
      <c r="N133" s="187" t="s">
        <v>15818</v>
      </c>
    </row>
    <row r="134" spans="1:14" ht="28.3" customHeight="1">
      <c r="A134" s="187" t="s">
        <v>16262</v>
      </c>
      <c r="B134" s="187" t="s">
        <v>15815</v>
      </c>
      <c r="C134" s="187" t="s">
        <v>167</v>
      </c>
      <c r="D134" s="187" t="s">
        <v>16263</v>
      </c>
      <c r="E134" s="187" t="s">
        <v>12519</v>
      </c>
      <c r="F134" s="187" t="s">
        <v>16043</v>
      </c>
      <c r="G134" s="187" t="s">
        <v>15903</v>
      </c>
      <c r="H134" s="187" t="s">
        <v>11504</v>
      </c>
      <c r="I134" s="187"/>
      <c r="J134" s="187" t="s">
        <v>16044</v>
      </c>
      <c r="K134" s="187" t="s">
        <v>15909</v>
      </c>
      <c r="L134" s="187" t="s">
        <v>11502</v>
      </c>
      <c r="M134" s="187" t="s">
        <v>15706</v>
      </c>
      <c r="N134" s="187" t="s">
        <v>15818</v>
      </c>
    </row>
    <row r="135" spans="1:14" ht="28.3" customHeight="1">
      <c r="A135" s="187" t="s">
        <v>16264</v>
      </c>
      <c r="B135" s="187" t="s">
        <v>15815</v>
      </c>
      <c r="C135" s="187" t="s">
        <v>167</v>
      </c>
      <c r="D135" s="187" t="s">
        <v>16265</v>
      </c>
      <c r="E135" s="187" t="s">
        <v>12520</v>
      </c>
      <c r="F135" s="187" t="s">
        <v>16047</v>
      </c>
      <c r="G135" s="187" t="s">
        <v>15903</v>
      </c>
      <c r="H135" s="187" t="s">
        <v>11504</v>
      </c>
      <c r="I135" s="187"/>
      <c r="J135" s="187"/>
      <c r="K135" s="187" t="s">
        <v>15909</v>
      </c>
      <c r="L135" s="187" t="s">
        <v>11502</v>
      </c>
      <c r="M135" s="187" t="s">
        <v>15706</v>
      </c>
      <c r="N135" s="187" t="s">
        <v>15818</v>
      </c>
    </row>
    <row r="136" spans="1:14" ht="28.3" customHeight="1">
      <c r="A136" s="187" t="s">
        <v>16266</v>
      </c>
      <c r="B136" s="187" t="s">
        <v>15815</v>
      </c>
      <c r="C136" s="187" t="s">
        <v>167</v>
      </c>
      <c r="D136" s="187" t="s">
        <v>16267</v>
      </c>
      <c r="E136" s="187" t="s">
        <v>14435</v>
      </c>
      <c r="F136" s="187" t="s">
        <v>16268</v>
      </c>
      <c r="G136" s="187" t="s">
        <v>15941</v>
      </c>
      <c r="H136" s="187" t="s">
        <v>11504</v>
      </c>
      <c r="I136" s="187"/>
      <c r="J136" s="187"/>
      <c r="K136" s="187" t="s">
        <v>16023</v>
      </c>
      <c r="L136" s="187" t="s">
        <v>11502</v>
      </c>
      <c r="M136" s="187" t="s">
        <v>15706</v>
      </c>
      <c r="N136" s="187" t="s">
        <v>15818</v>
      </c>
    </row>
    <row r="137" spans="1:14" ht="28.3" customHeight="1">
      <c r="A137" s="187" t="s">
        <v>16269</v>
      </c>
      <c r="B137" s="187" t="s">
        <v>15815</v>
      </c>
      <c r="C137" s="187" t="s">
        <v>167</v>
      </c>
      <c r="D137" s="187" t="s">
        <v>16270</v>
      </c>
      <c r="E137" s="187" t="s">
        <v>14436</v>
      </c>
      <c r="F137" s="187" t="s">
        <v>16271</v>
      </c>
      <c r="G137" s="187" t="s">
        <v>15941</v>
      </c>
      <c r="H137" s="187" t="s">
        <v>11504</v>
      </c>
      <c r="I137" s="187"/>
      <c r="J137" s="187"/>
      <c r="K137" s="187" t="s">
        <v>16023</v>
      </c>
      <c r="L137" s="187" t="s">
        <v>11502</v>
      </c>
      <c r="M137" s="187" t="s">
        <v>15706</v>
      </c>
      <c r="N137" s="187" t="s">
        <v>15818</v>
      </c>
    </row>
    <row r="138" spans="1:14" ht="28.3" customHeight="1">
      <c r="A138" s="187" t="s">
        <v>16272</v>
      </c>
      <c r="B138" s="187" t="s">
        <v>15815</v>
      </c>
      <c r="C138" s="187" t="s">
        <v>167</v>
      </c>
      <c r="D138" s="187" t="s">
        <v>16273</v>
      </c>
      <c r="E138" s="187" t="s">
        <v>14437</v>
      </c>
      <c r="F138" s="187" t="s">
        <v>16274</v>
      </c>
      <c r="G138" s="187" t="s">
        <v>15903</v>
      </c>
      <c r="H138" s="187" t="s">
        <v>11504</v>
      </c>
      <c r="I138" s="187"/>
      <c r="J138" s="187" t="s">
        <v>16275</v>
      </c>
      <c r="K138" s="187" t="s">
        <v>15909</v>
      </c>
      <c r="L138" s="187" t="s">
        <v>11502</v>
      </c>
      <c r="M138" s="187" t="s">
        <v>15706</v>
      </c>
      <c r="N138" s="187" t="s">
        <v>15818</v>
      </c>
    </row>
    <row r="139" spans="1:14" ht="28.3" customHeight="1">
      <c r="A139" s="187" t="s">
        <v>16276</v>
      </c>
      <c r="B139" s="187" t="s">
        <v>15815</v>
      </c>
      <c r="C139" s="187" t="s">
        <v>167</v>
      </c>
      <c r="D139" s="187" t="s">
        <v>16277</v>
      </c>
      <c r="E139" s="187" t="s">
        <v>14438</v>
      </c>
      <c r="F139" s="187" t="s">
        <v>16278</v>
      </c>
      <c r="G139" s="187" t="s">
        <v>15903</v>
      </c>
      <c r="H139" s="187" t="s">
        <v>11504</v>
      </c>
      <c r="I139" s="187"/>
      <c r="J139" s="187"/>
      <c r="K139" s="187" t="s">
        <v>15909</v>
      </c>
      <c r="L139" s="187" t="s">
        <v>11502</v>
      </c>
      <c r="M139" s="187" t="s">
        <v>15706</v>
      </c>
      <c r="N139" s="187" t="s">
        <v>15818</v>
      </c>
    </row>
    <row r="140" spans="1:14">
      <c r="A140" s="187" t="s">
        <v>16279</v>
      </c>
      <c r="B140" s="187" t="s">
        <v>15815</v>
      </c>
      <c r="C140" s="187" t="s">
        <v>167</v>
      </c>
      <c r="D140" s="187" t="s">
        <v>16280</v>
      </c>
      <c r="E140" s="187" t="s">
        <v>14439</v>
      </c>
      <c r="F140" s="187" t="s">
        <v>16281</v>
      </c>
      <c r="G140" s="187" t="s">
        <v>15903</v>
      </c>
      <c r="H140" s="187" t="s">
        <v>11504</v>
      </c>
      <c r="I140" s="187"/>
      <c r="J140" s="187"/>
      <c r="K140" s="187" t="s">
        <v>15909</v>
      </c>
      <c r="L140" s="187" t="s">
        <v>11502</v>
      </c>
      <c r="M140" s="187" t="s">
        <v>15706</v>
      </c>
      <c r="N140" s="187" t="s">
        <v>15818</v>
      </c>
    </row>
    <row r="141" spans="1:14" ht="28.3" customHeight="1">
      <c r="A141" s="187" t="s">
        <v>16282</v>
      </c>
      <c r="B141" s="187" t="s">
        <v>15815</v>
      </c>
      <c r="C141" s="187" t="s">
        <v>167</v>
      </c>
      <c r="D141" s="187" t="s">
        <v>16283</v>
      </c>
      <c r="E141" s="187" t="s">
        <v>14440</v>
      </c>
      <c r="F141" s="187" t="s">
        <v>16284</v>
      </c>
      <c r="G141" s="187" t="s">
        <v>15903</v>
      </c>
      <c r="H141" s="187" t="s">
        <v>11504</v>
      </c>
      <c r="I141" s="187"/>
      <c r="J141" s="187"/>
      <c r="K141" s="187" t="s">
        <v>15909</v>
      </c>
      <c r="L141" s="187" t="s">
        <v>11502</v>
      </c>
      <c r="M141" s="187" t="s">
        <v>15706</v>
      </c>
      <c r="N141" s="187" t="s">
        <v>15818</v>
      </c>
    </row>
    <row r="142" spans="1:14" ht="28.3" customHeight="1">
      <c r="A142" s="187" t="s">
        <v>16285</v>
      </c>
      <c r="B142" s="187" t="s">
        <v>15815</v>
      </c>
      <c r="C142" s="187" t="s">
        <v>167</v>
      </c>
      <c r="D142" s="187" t="s">
        <v>16286</v>
      </c>
      <c r="E142" s="187" t="s">
        <v>14441</v>
      </c>
      <c r="F142" s="187" t="s">
        <v>16287</v>
      </c>
      <c r="G142" s="187" t="s">
        <v>15903</v>
      </c>
      <c r="H142" s="187" t="s">
        <v>11504</v>
      </c>
      <c r="I142" s="187"/>
      <c r="J142" s="187"/>
      <c r="K142" s="187" t="s">
        <v>15905</v>
      </c>
      <c r="L142" s="187" t="s">
        <v>11502</v>
      </c>
      <c r="M142" s="187" t="s">
        <v>15706</v>
      </c>
      <c r="N142" s="187" t="s">
        <v>15818</v>
      </c>
    </row>
    <row r="143" spans="1:14" ht="28.3" customHeight="1">
      <c r="A143" s="187" t="s">
        <v>16288</v>
      </c>
      <c r="B143" s="187" t="s">
        <v>15815</v>
      </c>
      <c r="C143" s="187" t="s">
        <v>167</v>
      </c>
      <c r="D143" s="187" t="s">
        <v>16289</v>
      </c>
      <c r="E143" s="187" t="s">
        <v>3364</v>
      </c>
      <c r="F143" s="187" t="s">
        <v>16290</v>
      </c>
      <c r="G143" s="187" t="s">
        <v>15903</v>
      </c>
      <c r="H143" s="187" t="s">
        <v>11504</v>
      </c>
      <c r="I143" s="187"/>
      <c r="J143" s="187"/>
      <c r="K143" s="187" t="s">
        <v>15909</v>
      </c>
      <c r="L143" s="187" t="s">
        <v>11502</v>
      </c>
      <c r="M143" s="187" t="s">
        <v>15706</v>
      </c>
      <c r="N143" s="187" t="s">
        <v>15818</v>
      </c>
    </row>
    <row r="144" spans="1:14" ht="28.3" customHeight="1">
      <c r="A144" s="187" t="s">
        <v>16291</v>
      </c>
      <c r="B144" s="187" t="s">
        <v>15815</v>
      </c>
      <c r="C144" s="187" t="s">
        <v>167</v>
      </c>
      <c r="D144" s="187" t="s">
        <v>16292</v>
      </c>
      <c r="E144" s="187" t="s">
        <v>3529</v>
      </c>
      <c r="F144" s="187" t="s">
        <v>16293</v>
      </c>
      <c r="G144" s="187" t="s">
        <v>15903</v>
      </c>
      <c r="H144" s="187" t="s">
        <v>11504</v>
      </c>
      <c r="I144" s="187"/>
      <c r="J144" s="187"/>
      <c r="K144" s="187" t="s">
        <v>15909</v>
      </c>
      <c r="L144" s="187" t="s">
        <v>11502</v>
      </c>
      <c r="M144" s="187" t="s">
        <v>15706</v>
      </c>
      <c r="N144" s="187" t="s">
        <v>15818</v>
      </c>
    </row>
    <row r="145" spans="1:14" ht="28.3" customHeight="1">
      <c r="A145" s="187" t="s">
        <v>16294</v>
      </c>
      <c r="B145" s="187" t="s">
        <v>15815</v>
      </c>
      <c r="C145" s="187" t="s">
        <v>167</v>
      </c>
      <c r="D145" s="187" t="s">
        <v>16295</v>
      </c>
      <c r="E145" s="187" t="s">
        <v>14442</v>
      </c>
      <c r="F145" s="187" t="s">
        <v>16296</v>
      </c>
      <c r="G145" s="187" t="s">
        <v>15941</v>
      </c>
      <c r="H145" s="187" t="s">
        <v>11504</v>
      </c>
      <c r="I145" s="187"/>
      <c r="J145" s="187"/>
      <c r="K145" s="187" t="s">
        <v>15909</v>
      </c>
      <c r="L145" s="187" t="s">
        <v>11502</v>
      </c>
      <c r="M145" s="187" t="s">
        <v>15706</v>
      </c>
      <c r="N145" s="187" t="s">
        <v>15818</v>
      </c>
    </row>
    <row r="146" spans="1:14" ht="28.3" customHeight="1">
      <c r="A146" s="187" t="s">
        <v>16297</v>
      </c>
      <c r="B146" s="187" t="s">
        <v>15815</v>
      </c>
      <c r="C146" s="187" t="s">
        <v>167</v>
      </c>
      <c r="D146" s="187" t="s">
        <v>16298</v>
      </c>
      <c r="E146" s="187" t="s">
        <v>11627</v>
      </c>
      <c r="F146" s="187" t="s">
        <v>15996</v>
      </c>
      <c r="G146" s="187" t="s">
        <v>15903</v>
      </c>
      <c r="H146" s="187" t="s">
        <v>11504</v>
      </c>
      <c r="I146" s="187"/>
      <c r="J146" s="187" t="s">
        <v>15931</v>
      </c>
      <c r="K146" s="187" t="s">
        <v>15997</v>
      </c>
      <c r="L146" s="187" t="s">
        <v>11502</v>
      </c>
      <c r="M146" s="187" t="s">
        <v>15706</v>
      </c>
      <c r="N146" s="187" t="s">
        <v>15818</v>
      </c>
    </row>
    <row r="147" spans="1:14" ht="28.3" customHeight="1">
      <c r="A147" s="187" t="s">
        <v>16299</v>
      </c>
      <c r="B147" s="187" t="s">
        <v>15815</v>
      </c>
      <c r="C147" s="187" t="s">
        <v>167</v>
      </c>
      <c r="D147" s="187" t="s">
        <v>16300</v>
      </c>
      <c r="E147" s="187" t="s">
        <v>744</v>
      </c>
      <c r="F147" s="187" t="s">
        <v>15934</v>
      </c>
      <c r="G147" s="187" t="s">
        <v>15903</v>
      </c>
      <c r="H147" s="187" t="s">
        <v>11504</v>
      </c>
      <c r="I147" s="187"/>
      <c r="J147" s="187"/>
      <c r="K147" s="187" t="s">
        <v>15909</v>
      </c>
      <c r="L147" s="187" t="s">
        <v>11502</v>
      </c>
      <c r="M147" s="187" t="s">
        <v>15706</v>
      </c>
      <c r="N147" s="187" t="s">
        <v>15818</v>
      </c>
    </row>
    <row r="148" spans="1:14" ht="28.3" customHeight="1">
      <c r="A148" s="187" t="s">
        <v>16301</v>
      </c>
      <c r="B148" s="187" t="s">
        <v>15819</v>
      </c>
      <c r="C148" s="187" t="s">
        <v>170</v>
      </c>
      <c r="D148" s="187" t="s">
        <v>16302</v>
      </c>
      <c r="E148" s="187" t="s">
        <v>15261</v>
      </c>
      <c r="F148" s="187" t="s">
        <v>16303</v>
      </c>
      <c r="G148" s="187" t="s">
        <v>15903</v>
      </c>
      <c r="H148" s="187" t="s">
        <v>11502</v>
      </c>
      <c r="I148" s="187" t="s">
        <v>15904</v>
      </c>
      <c r="J148" s="187" t="s">
        <v>16304</v>
      </c>
      <c r="K148" s="187" t="s">
        <v>15905</v>
      </c>
      <c r="L148" s="187" t="s">
        <v>11502</v>
      </c>
      <c r="M148" s="187" t="s">
        <v>15706</v>
      </c>
      <c r="N148" s="187" t="s">
        <v>15823</v>
      </c>
    </row>
    <row r="149" spans="1:14" ht="28.3" customHeight="1">
      <c r="A149" s="187" t="s">
        <v>16305</v>
      </c>
      <c r="B149" s="187" t="s">
        <v>15819</v>
      </c>
      <c r="C149" s="187" t="s">
        <v>170</v>
      </c>
      <c r="D149" s="187" t="s">
        <v>16306</v>
      </c>
      <c r="E149" s="187" t="s">
        <v>13334</v>
      </c>
      <c r="F149" s="187" t="s">
        <v>16064</v>
      </c>
      <c r="G149" s="187" t="s">
        <v>15903</v>
      </c>
      <c r="H149" s="187" t="s">
        <v>11502</v>
      </c>
      <c r="I149" s="187" t="s">
        <v>15904</v>
      </c>
      <c r="J149" s="187" t="s">
        <v>16065</v>
      </c>
      <c r="K149" s="187" t="s">
        <v>15905</v>
      </c>
      <c r="L149" s="187" t="s">
        <v>11502</v>
      </c>
      <c r="M149" s="187" t="s">
        <v>15706</v>
      </c>
      <c r="N149" s="187" t="s">
        <v>15823</v>
      </c>
    </row>
    <row r="150" spans="1:14" ht="28.3" customHeight="1">
      <c r="A150" s="187" t="s">
        <v>16307</v>
      </c>
      <c r="B150" s="187" t="s">
        <v>15819</v>
      </c>
      <c r="C150" s="187" t="s">
        <v>170</v>
      </c>
      <c r="D150" s="187" t="s">
        <v>16308</v>
      </c>
      <c r="E150" s="187" t="s">
        <v>12519</v>
      </c>
      <c r="F150" s="187" t="s">
        <v>16043</v>
      </c>
      <c r="G150" s="187" t="s">
        <v>15903</v>
      </c>
      <c r="H150" s="187" t="s">
        <v>11504</v>
      </c>
      <c r="I150" s="187"/>
      <c r="J150" s="187" t="s">
        <v>16044</v>
      </c>
      <c r="K150" s="187" t="s">
        <v>15909</v>
      </c>
      <c r="L150" s="187" t="s">
        <v>11502</v>
      </c>
      <c r="M150" s="187" t="s">
        <v>15706</v>
      </c>
      <c r="N150" s="187" t="s">
        <v>15823</v>
      </c>
    </row>
    <row r="151" spans="1:14" ht="28.3" customHeight="1">
      <c r="A151" s="187" t="s">
        <v>16309</v>
      </c>
      <c r="B151" s="187" t="s">
        <v>15819</v>
      </c>
      <c r="C151" s="187" t="s">
        <v>170</v>
      </c>
      <c r="D151" s="187" t="s">
        <v>16310</v>
      </c>
      <c r="E151" s="187" t="s">
        <v>12520</v>
      </c>
      <c r="F151" s="187" t="s">
        <v>16047</v>
      </c>
      <c r="G151" s="187" t="s">
        <v>15903</v>
      </c>
      <c r="H151" s="187" t="s">
        <v>11504</v>
      </c>
      <c r="I151" s="187"/>
      <c r="J151" s="187"/>
      <c r="K151" s="187" t="s">
        <v>15909</v>
      </c>
      <c r="L151" s="187" t="s">
        <v>11502</v>
      </c>
      <c r="M151" s="187" t="s">
        <v>15706</v>
      </c>
      <c r="N151" s="187" t="s">
        <v>15823</v>
      </c>
    </row>
    <row r="152" spans="1:14" ht="28.3" customHeight="1">
      <c r="A152" s="187" t="s">
        <v>16311</v>
      </c>
      <c r="B152" s="187" t="s">
        <v>15819</v>
      </c>
      <c r="C152" s="187" t="s">
        <v>170</v>
      </c>
      <c r="D152" s="187" t="s">
        <v>16312</v>
      </c>
      <c r="E152" s="187" t="s">
        <v>15262</v>
      </c>
      <c r="F152" s="187" t="s">
        <v>16313</v>
      </c>
      <c r="G152" s="187" t="s">
        <v>15903</v>
      </c>
      <c r="H152" s="187" t="s">
        <v>11504</v>
      </c>
      <c r="I152" s="187"/>
      <c r="J152" s="187"/>
      <c r="K152" s="187" t="s">
        <v>15909</v>
      </c>
      <c r="L152" s="187" t="s">
        <v>11502</v>
      </c>
      <c r="M152" s="187" t="s">
        <v>15706</v>
      </c>
      <c r="N152" s="187" t="s">
        <v>15823</v>
      </c>
    </row>
    <row r="153" spans="1:14" ht="28.3" customHeight="1">
      <c r="A153" s="187" t="s">
        <v>16314</v>
      </c>
      <c r="B153" s="187" t="s">
        <v>15819</v>
      </c>
      <c r="C153" s="187" t="s">
        <v>170</v>
      </c>
      <c r="D153" s="187" t="s">
        <v>16315</v>
      </c>
      <c r="E153" s="187" t="s">
        <v>14439</v>
      </c>
      <c r="F153" s="187" t="s">
        <v>16281</v>
      </c>
      <c r="G153" s="187" t="s">
        <v>15903</v>
      </c>
      <c r="H153" s="187" t="s">
        <v>11504</v>
      </c>
      <c r="I153" s="187"/>
      <c r="J153" s="187"/>
      <c r="K153" s="187" t="s">
        <v>15909</v>
      </c>
      <c r="L153" s="187" t="s">
        <v>11502</v>
      </c>
      <c r="M153" s="187" t="s">
        <v>15706</v>
      </c>
      <c r="N153" s="187" t="s">
        <v>15823</v>
      </c>
    </row>
    <row r="154" spans="1:14" ht="28.3" customHeight="1">
      <c r="A154" s="187" t="s">
        <v>16316</v>
      </c>
      <c r="B154" s="187" t="s">
        <v>15819</v>
      </c>
      <c r="C154" s="187" t="s">
        <v>170</v>
      </c>
      <c r="D154" s="187" t="s">
        <v>16317</v>
      </c>
      <c r="E154" s="187" t="s">
        <v>14440</v>
      </c>
      <c r="F154" s="187" t="s">
        <v>16284</v>
      </c>
      <c r="G154" s="187" t="s">
        <v>15903</v>
      </c>
      <c r="H154" s="187" t="s">
        <v>11504</v>
      </c>
      <c r="I154" s="187"/>
      <c r="J154" s="187"/>
      <c r="K154" s="187" t="s">
        <v>15909</v>
      </c>
      <c r="L154" s="187" t="s">
        <v>11502</v>
      </c>
      <c r="M154" s="187" t="s">
        <v>15706</v>
      </c>
      <c r="N154" s="187" t="s">
        <v>15823</v>
      </c>
    </row>
    <row r="155" spans="1:14" ht="28.3" customHeight="1">
      <c r="A155" s="187" t="s">
        <v>16318</v>
      </c>
      <c r="B155" s="187" t="s">
        <v>15819</v>
      </c>
      <c r="C155" s="187" t="s">
        <v>170</v>
      </c>
      <c r="D155" s="187" t="s">
        <v>16319</v>
      </c>
      <c r="E155" s="187" t="s">
        <v>15263</v>
      </c>
      <c r="F155" s="187" t="s">
        <v>16320</v>
      </c>
      <c r="G155" s="187" t="s">
        <v>15903</v>
      </c>
      <c r="H155" s="187" t="s">
        <v>11504</v>
      </c>
      <c r="I155" s="187"/>
      <c r="J155" s="187"/>
      <c r="K155" s="187" t="s">
        <v>15909</v>
      </c>
      <c r="L155" s="187" t="s">
        <v>11502</v>
      </c>
      <c r="M155" s="187" t="s">
        <v>15706</v>
      </c>
      <c r="N155" s="187" t="s">
        <v>15823</v>
      </c>
    </row>
    <row r="156" spans="1:14">
      <c r="A156" s="187" t="s">
        <v>16321</v>
      </c>
      <c r="B156" s="187" t="s">
        <v>15819</v>
      </c>
      <c r="C156" s="187" t="s">
        <v>170</v>
      </c>
      <c r="D156" s="187" t="s">
        <v>16322</v>
      </c>
      <c r="E156" s="187" t="s">
        <v>15264</v>
      </c>
      <c r="F156" s="187" t="s">
        <v>16323</v>
      </c>
      <c r="G156" s="187" t="s">
        <v>15903</v>
      </c>
      <c r="H156" s="187" t="s">
        <v>11504</v>
      </c>
      <c r="I156" s="187"/>
      <c r="J156" s="187"/>
      <c r="K156" s="187" t="s">
        <v>15905</v>
      </c>
      <c r="L156" s="187" t="s">
        <v>11502</v>
      </c>
      <c r="M156" s="187" t="s">
        <v>15706</v>
      </c>
      <c r="N156" s="187" t="s">
        <v>15823</v>
      </c>
    </row>
    <row r="157" spans="1:14" ht="28.3" customHeight="1">
      <c r="A157" s="187" t="s">
        <v>16324</v>
      </c>
      <c r="B157" s="187" t="s">
        <v>15819</v>
      </c>
      <c r="C157" s="187" t="s">
        <v>170</v>
      </c>
      <c r="D157" s="187" t="s">
        <v>16325</v>
      </c>
      <c r="E157" s="187" t="s">
        <v>15265</v>
      </c>
      <c r="F157" s="187" t="s">
        <v>16326</v>
      </c>
      <c r="G157" s="187" t="s">
        <v>15903</v>
      </c>
      <c r="H157" s="187" t="s">
        <v>11504</v>
      </c>
      <c r="I157" s="187"/>
      <c r="J157" s="187"/>
      <c r="K157" s="187" t="s">
        <v>15909</v>
      </c>
      <c r="L157" s="187" t="s">
        <v>11502</v>
      </c>
      <c r="M157" s="187" t="s">
        <v>15706</v>
      </c>
      <c r="N157" s="187" t="s">
        <v>15823</v>
      </c>
    </row>
    <row r="158" spans="1:14" ht="28.3" customHeight="1">
      <c r="A158" s="187" t="s">
        <v>16327</v>
      </c>
      <c r="B158" s="187" t="s">
        <v>15819</v>
      </c>
      <c r="C158" s="187" t="s">
        <v>170</v>
      </c>
      <c r="D158" s="187" t="s">
        <v>16328</v>
      </c>
      <c r="E158" s="187" t="s">
        <v>11627</v>
      </c>
      <c r="F158" s="187" t="s">
        <v>15996</v>
      </c>
      <c r="G158" s="187" t="s">
        <v>15903</v>
      </c>
      <c r="H158" s="187" t="s">
        <v>11504</v>
      </c>
      <c r="I158" s="187"/>
      <c r="J158" s="187" t="s">
        <v>15931</v>
      </c>
      <c r="K158" s="187" t="s">
        <v>15997</v>
      </c>
      <c r="L158" s="187" t="s">
        <v>11502</v>
      </c>
      <c r="M158" s="187" t="s">
        <v>15706</v>
      </c>
      <c r="N158" s="187" t="s">
        <v>15823</v>
      </c>
    </row>
    <row r="159" spans="1:14" ht="28.3" customHeight="1">
      <c r="A159" s="187" t="s">
        <v>16329</v>
      </c>
      <c r="B159" s="187" t="s">
        <v>15819</v>
      </c>
      <c r="C159" s="187" t="s">
        <v>170</v>
      </c>
      <c r="D159" s="187" t="s">
        <v>16330</v>
      </c>
      <c r="E159" s="187" t="s">
        <v>744</v>
      </c>
      <c r="F159" s="187" t="s">
        <v>15934</v>
      </c>
      <c r="G159" s="187" t="s">
        <v>15903</v>
      </c>
      <c r="H159" s="187" t="s">
        <v>11504</v>
      </c>
      <c r="I159" s="187"/>
      <c r="J159" s="187"/>
      <c r="K159" s="187" t="s">
        <v>15909</v>
      </c>
      <c r="L159" s="187" t="s">
        <v>11502</v>
      </c>
      <c r="M159" s="187" t="s">
        <v>15706</v>
      </c>
      <c r="N159" s="187" t="s">
        <v>15823</v>
      </c>
    </row>
    <row r="160" spans="1:14">
      <c r="A160" s="187" t="s">
        <v>16331</v>
      </c>
      <c r="B160" s="187" t="s">
        <v>15824</v>
      </c>
      <c r="C160" s="187" t="s">
        <v>15826</v>
      </c>
      <c r="D160" s="187" t="s">
        <v>16332</v>
      </c>
      <c r="E160" s="187" t="s">
        <v>15678</v>
      </c>
      <c r="F160" s="187" t="s">
        <v>16333</v>
      </c>
      <c r="G160" s="187" t="s">
        <v>15903</v>
      </c>
      <c r="H160" s="187" t="s">
        <v>11502</v>
      </c>
      <c r="I160" s="187" t="s">
        <v>15904</v>
      </c>
      <c r="J160" s="187"/>
      <c r="K160" s="187" t="s">
        <v>15905</v>
      </c>
      <c r="L160" s="187" t="s">
        <v>11502</v>
      </c>
      <c r="M160" s="187" t="s">
        <v>15706</v>
      </c>
      <c r="N160" s="187" t="s">
        <v>15829</v>
      </c>
    </row>
    <row r="161" spans="1:14">
      <c r="A161" s="187" t="s">
        <v>16334</v>
      </c>
      <c r="B161" s="187" t="s">
        <v>15824</v>
      </c>
      <c r="C161" s="187" t="s">
        <v>15826</v>
      </c>
      <c r="D161" s="187" t="s">
        <v>16335</v>
      </c>
      <c r="E161" s="187" t="s">
        <v>15679</v>
      </c>
      <c r="F161" s="187" t="s">
        <v>16336</v>
      </c>
      <c r="G161" s="187" t="s">
        <v>15903</v>
      </c>
      <c r="H161" s="187" t="s">
        <v>11504</v>
      </c>
      <c r="I161" s="187"/>
      <c r="J161" s="187"/>
      <c r="K161" s="187" t="s">
        <v>15909</v>
      </c>
      <c r="L161" s="187" t="s">
        <v>11502</v>
      </c>
      <c r="M161" s="187" t="s">
        <v>15706</v>
      </c>
      <c r="N161" s="187" t="s">
        <v>15829</v>
      </c>
    </row>
    <row r="162" spans="1:14" ht="28.3" customHeight="1">
      <c r="A162" s="187" t="s">
        <v>16337</v>
      </c>
      <c r="B162" s="187" t="s">
        <v>15824</v>
      </c>
      <c r="C162" s="187" t="s">
        <v>15826</v>
      </c>
      <c r="D162" s="187" t="s">
        <v>16338</v>
      </c>
      <c r="E162" s="187" t="s">
        <v>15680</v>
      </c>
      <c r="F162" s="187" t="s">
        <v>16339</v>
      </c>
      <c r="G162" s="187" t="s">
        <v>15903</v>
      </c>
      <c r="H162" s="187" t="s">
        <v>11504</v>
      </c>
      <c r="I162" s="187" t="s">
        <v>15981</v>
      </c>
      <c r="J162" s="187"/>
      <c r="K162" s="187" t="s">
        <v>15905</v>
      </c>
      <c r="L162" s="187" t="s">
        <v>11502</v>
      </c>
      <c r="M162" s="187" t="s">
        <v>15706</v>
      </c>
      <c r="N162" s="187" t="s">
        <v>15829</v>
      </c>
    </row>
    <row r="163" spans="1:14" ht="28.3" customHeight="1">
      <c r="A163" s="187" t="s">
        <v>16340</v>
      </c>
      <c r="B163" s="187" t="s">
        <v>15824</v>
      </c>
      <c r="C163" s="187" t="s">
        <v>15826</v>
      </c>
      <c r="D163" s="187" t="s">
        <v>16341</v>
      </c>
      <c r="E163" s="187" t="s">
        <v>764</v>
      </c>
      <c r="F163" s="187" t="s">
        <v>16084</v>
      </c>
      <c r="G163" s="187" t="s">
        <v>15903</v>
      </c>
      <c r="H163" s="187" t="s">
        <v>11504</v>
      </c>
      <c r="I163" s="187"/>
      <c r="J163" s="187" t="s">
        <v>16069</v>
      </c>
      <c r="K163" s="187" t="s">
        <v>15909</v>
      </c>
      <c r="L163" s="187" t="s">
        <v>11502</v>
      </c>
      <c r="M163" s="187" t="s">
        <v>15706</v>
      </c>
      <c r="N163" s="187" t="s">
        <v>15829</v>
      </c>
    </row>
    <row r="164" spans="1:14" ht="28.3" customHeight="1">
      <c r="A164" s="187" t="s">
        <v>16342</v>
      </c>
      <c r="B164" s="187" t="s">
        <v>15824</v>
      </c>
      <c r="C164" s="187" t="s">
        <v>15826</v>
      </c>
      <c r="D164" s="187" t="s">
        <v>16343</v>
      </c>
      <c r="E164" s="187" t="s">
        <v>768</v>
      </c>
      <c r="F164" s="187" t="s">
        <v>16087</v>
      </c>
      <c r="G164" s="187" t="s">
        <v>15903</v>
      </c>
      <c r="H164" s="187" t="s">
        <v>11504</v>
      </c>
      <c r="I164" s="187"/>
      <c r="J164" s="187" t="s">
        <v>16069</v>
      </c>
      <c r="K164" s="187" t="s">
        <v>15909</v>
      </c>
      <c r="L164" s="187" t="s">
        <v>11502</v>
      </c>
      <c r="M164" s="187" t="s">
        <v>15706</v>
      </c>
      <c r="N164" s="187" t="s">
        <v>15829</v>
      </c>
    </row>
    <row r="165" spans="1:14">
      <c r="A165" s="187" t="s">
        <v>16344</v>
      </c>
      <c r="B165" s="187" t="s">
        <v>15824</v>
      </c>
      <c r="C165" s="187" t="s">
        <v>15826</v>
      </c>
      <c r="D165" s="187" t="s">
        <v>16345</v>
      </c>
      <c r="E165" s="187" t="s">
        <v>15681</v>
      </c>
      <c r="F165" s="187" t="s">
        <v>16346</v>
      </c>
      <c r="G165" s="187" t="s">
        <v>15903</v>
      </c>
      <c r="H165" s="187" t="s">
        <v>11504</v>
      </c>
      <c r="I165" s="187"/>
      <c r="J165" s="187"/>
      <c r="K165" s="187" t="s">
        <v>15909</v>
      </c>
      <c r="L165" s="187" t="s">
        <v>11502</v>
      </c>
      <c r="M165" s="187" t="s">
        <v>15706</v>
      </c>
      <c r="N165" s="187" t="s">
        <v>15829</v>
      </c>
    </row>
    <row r="166" spans="1:14">
      <c r="A166" s="187" t="s">
        <v>16347</v>
      </c>
      <c r="B166" s="187" t="s">
        <v>15824</v>
      </c>
      <c r="C166" s="187" t="s">
        <v>15826</v>
      </c>
      <c r="D166" s="187" t="s">
        <v>16348</v>
      </c>
      <c r="E166" s="187" t="s">
        <v>15682</v>
      </c>
      <c r="F166" s="187" t="s">
        <v>16349</v>
      </c>
      <c r="G166" s="187" t="s">
        <v>15903</v>
      </c>
      <c r="H166" s="187" t="s">
        <v>11504</v>
      </c>
      <c r="I166" s="187"/>
      <c r="J166" s="187"/>
      <c r="K166" s="187" t="s">
        <v>15909</v>
      </c>
      <c r="L166" s="187" t="s">
        <v>11502</v>
      </c>
      <c r="M166" s="187" t="s">
        <v>15706</v>
      </c>
      <c r="N166" s="187" t="s">
        <v>15829</v>
      </c>
    </row>
    <row r="167" spans="1:14">
      <c r="A167" s="187" t="s">
        <v>16350</v>
      </c>
      <c r="B167" s="187" t="s">
        <v>15824</v>
      </c>
      <c r="C167" s="187" t="s">
        <v>15826</v>
      </c>
      <c r="D167" s="187" t="s">
        <v>16351</v>
      </c>
      <c r="E167" s="187" t="s">
        <v>13334</v>
      </c>
      <c r="F167" s="187" t="s">
        <v>16064</v>
      </c>
      <c r="G167" s="187" t="s">
        <v>15903</v>
      </c>
      <c r="H167" s="187" t="s">
        <v>11502</v>
      </c>
      <c r="I167" s="187" t="s">
        <v>15904</v>
      </c>
      <c r="J167" s="187" t="s">
        <v>16065</v>
      </c>
      <c r="K167" s="187" t="s">
        <v>15905</v>
      </c>
      <c r="L167" s="187" t="s">
        <v>11502</v>
      </c>
      <c r="M167" s="187" t="s">
        <v>15706</v>
      </c>
      <c r="N167" s="187" t="s">
        <v>15829</v>
      </c>
    </row>
    <row r="168" spans="1:14">
      <c r="A168" s="187" t="s">
        <v>16352</v>
      </c>
      <c r="B168" s="187" t="s">
        <v>15824</v>
      </c>
      <c r="C168" s="187" t="s">
        <v>15826</v>
      </c>
      <c r="D168" s="187" t="s">
        <v>16353</v>
      </c>
      <c r="E168" s="187" t="s">
        <v>15683</v>
      </c>
      <c r="F168" s="187" t="s">
        <v>16354</v>
      </c>
      <c r="G168" s="187" t="s">
        <v>15903</v>
      </c>
      <c r="H168" s="187" t="s">
        <v>11504</v>
      </c>
      <c r="I168" s="187"/>
      <c r="J168" s="187"/>
      <c r="K168" s="187" t="s">
        <v>15905</v>
      </c>
      <c r="L168" s="187" t="s">
        <v>11502</v>
      </c>
      <c r="M168" s="187" t="s">
        <v>15706</v>
      </c>
      <c r="N168" s="187" t="s">
        <v>15829</v>
      </c>
    </row>
    <row r="169" spans="1:14" ht="28.3" customHeight="1">
      <c r="A169" s="187" t="s">
        <v>16355</v>
      </c>
      <c r="B169" s="187" t="s">
        <v>15824</v>
      </c>
      <c r="C169" s="187" t="s">
        <v>15826</v>
      </c>
      <c r="D169" s="187" t="s">
        <v>16356</v>
      </c>
      <c r="E169" s="187" t="s">
        <v>15684</v>
      </c>
      <c r="F169" s="187" t="s">
        <v>16357</v>
      </c>
      <c r="G169" s="187" t="s">
        <v>15903</v>
      </c>
      <c r="H169" s="187" t="s">
        <v>11504</v>
      </c>
      <c r="I169" s="187" t="s">
        <v>15981</v>
      </c>
      <c r="J169" s="187" t="s">
        <v>16304</v>
      </c>
      <c r="K169" s="187" t="s">
        <v>15905</v>
      </c>
      <c r="L169" s="187" t="s">
        <v>11502</v>
      </c>
      <c r="M169" s="187" t="s">
        <v>15706</v>
      </c>
      <c r="N169" s="187" t="s">
        <v>15829</v>
      </c>
    </row>
    <row r="170" spans="1:14">
      <c r="A170" s="187" t="s">
        <v>16358</v>
      </c>
      <c r="B170" s="187" t="s">
        <v>15824</v>
      </c>
      <c r="C170" s="187" t="s">
        <v>15826</v>
      </c>
      <c r="D170" s="187" t="s">
        <v>16359</v>
      </c>
      <c r="E170" s="187" t="s">
        <v>14434</v>
      </c>
      <c r="F170" s="187" t="s">
        <v>16258</v>
      </c>
      <c r="G170" s="187" t="s">
        <v>15903</v>
      </c>
      <c r="H170" s="187" t="s">
        <v>11502</v>
      </c>
      <c r="I170" s="187" t="s">
        <v>15904</v>
      </c>
      <c r="J170" s="187" t="s">
        <v>16259</v>
      </c>
      <c r="K170" s="187" t="s">
        <v>15905</v>
      </c>
      <c r="L170" s="187" t="s">
        <v>11502</v>
      </c>
      <c r="M170" s="187" t="s">
        <v>15706</v>
      </c>
      <c r="N170" s="187" t="s">
        <v>15829</v>
      </c>
    </row>
    <row r="171" spans="1:14" ht="28.3" customHeight="1">
      <c r="A171" s="187" t="s">
        <v>16360</v>
      </c>
      <c r="B171" s="187" t="s">
        <v>15824</v>
      </c>
      <c r="C171" s="187" t="s">
        <v>15826</v>
      </c>
      <c r="D171" s="187" t="s">
        <v>16361</v>
      </c>
      <c r="E171" s="187" t="s">
        <v>15685</v>
      </c>
      <c r="F171" s="187" t="s">
        <v>16362</v>
      </c>
      <c r="G171" s="187" t="s">
        <v>15903</v>
      </c>
      <c r="H171" s="187" t="s">
        <v>11504</v>
      </c>
      <c r="I171" s="187"/>
      <c r="J171" s="187" t="s">
        <v>15931</v>
      </c>
      <c r="K171" s="187" t="s">
        <v>15909</v>
      </c>
      <c r="L171" s="187" t="s">
        <v>11502</v>
      </c>
      <c r="M171" s="187" t="s">
        <v>15706</v>
      </c>
      <c r="N171" s="187" t="s">
        <v>15829</v>
      </c>
    </row>
    <row r="172" spans="1:14" ht="28.3" customHeight="1">
      <c r="A172" s="187" t="s">
        <v>16363</v>
      </c>
      <c r="B172" s="187" t="s">
        <v>15824</v>
      </c>
      <c r="C172" s="187" t="s">
        <v>15826</v>
      </c>
      <c r="D172" s="187" t="s">
        <v>16364</v>
      </c>
      <c r="E172" s="187" t="s">
        <v>15686</v>
      </c>
      <c r="F172" s="187" t="s">
        <v>16365</v>
      </c>
      <c r="G172" s="187" t="s">
        <v>15903</v>
      </c>
      <c r="H172" s="187" t="s">
        <v>11504</v>
      </c>
      <c r="I172" s="187"/>
      <c r="J172" s="187" t="s">
        <v>15931</v>
      </c>
      <c r="K172" s="187" t="s">
        <v>15909</v>
      </c>
      <c r="L172" s="187" t="s">
        <v>11502</v>
      </c>
      <c r="M172" s="187" t="s">
        <v>15706</v>
      </c>
      <c r="N172" s="187" t="s">
        <v>15829</v>
      </c>
    </row>
    <row r="173" spans="1:14" ht="28.3" customHeight="1">
      <c r="A173" s="187" t="s">
        <v>16366</v>
      </c>
      <c r="B173" s="187" t="s">
        <v>15824</v>
      </c>
      <c r="C173" s="187" t="s">
        <v>15826</v>
      </c>
      <c r="D173" s="187" t="s">
        <v>16367</v>
      </c>
      <c r="E173" s="187" t="s">
        <v>11627</v>
      </c>
      <c r="F173" s="187" t="s">
        <v>15996</v>
      </c>
      <c r="G173" s="187" t="s">
        <v>15903</v>
      </c>
      <c r="H173" s="187" t="s">
        <v>11504</v>
      </c>
      <c r="I173" s="187"/>
      <c r="J173" s="187" t="s">
        <v>15931</v>
      </c>
      <c r="K173" s="187" t="s">
        <v>15997</v>
      </c>
      <c r="L173" s="187" t="s">
        <v>11502</v>
      </c>
      <c r="M173" s="187" t="s">
        <v>15706</v>
      </c>
      <c r="N173" s="187" t="s">
        <v>15829</v>
      </c>
    </row>
    <row r="174" spans="1:14" ht="28.3" customHeight="1">
      <c r="A174" s="187" t="s">
        <v>16368</v>
      </c>
      <c r="B174" s="187" t="s">
        <v>15824</v>
      </c>
      <c r="C174" s="187" t="s">
        <v>15826</v>
      </c>
      <c r="D174" s="187" t="s">
        <v>16369</v>
      </c>
      <c r="E174" s="187" t="s">
        <v>15687</v>
      </c>
      <c r="F174" s="187" t="s">
        <v>16370</v>
      </c>
      <c r="G174" s="187" t="s">
        <v>15903</v>
      </c>
      <c r="H174" s="187" t="s">
        <v>11504</v>
      </c>
      <c r="I174" s="187" t="s">
        <v>15981</v>
      </c>
      <c r="J174" s="187"/>
      <c r="K174" s="187" t="s">
        <v>15909</v>
      </c>
      <c r="L174" s="187" t="s">
        <v>11502</v>
      </c>
      <c r="M174" s="187" t="s">
        <v>15706</v>
      </c>
      <c r="N174" s="187" t="s">
        <v>15829</v>
      </c>
    </row>
    <row r="175" spans="1:14">
      <c r="A175" s="187" t="s">
        <v>16371</v>
      </c>
      <c r="B175" s="187" t="s">
        <v>15824</v>
      </c>
      <c r="C175" s="187" t="s">
        <v>15826</v>
      </c>
      <c r="D175" s="187" t="s">
        <v>16372</v>
      </c>
      <c r="E175" s="187" t="s">
        <v>3897</v>
      </c>
      <c r="F175" s="187" t="s">
        <v>16206</v>
      </c>
      <c r="G175" s="187" t="s">
        <v>15903</v>
      </c>
      <c r="H175" s="187" t="s">
        <v>11504</v>
      </c>
      <c r="I175" s="187"/>
      <c r="J175" s="187"/>
      <c r="K175" s="187" t="s">
        <v>15909</v>
      </c>
      <c r="L175" s="187" t="s">
        <v>11502</v>
      </c>
      <c r="M175" s="187" t="s">
        <v>15706</v>
      </c>
      <c r="N175" s="187" t="s">
        <v>15829</v>
      </c>
    </row>
    <row r="176" spans="1:14" ht="28.3" customHeight="1">
      <c r="A176" s="187" t="s">
        <v>16373</v>
      </c>
      <c r="B176" s="187" t="s">
        <v>15830</v>
      </c>
      <c r="C176" s="187" t="s">
        <v>15832</v>
      </c>
      <c r="D176" s="187" t="s">
        <v>16374</v>
      </c>
      <c r="E176" s="187" t="s">
        <v>15688</v>
      </c>
      <c r="F176" s="187" t="s">
        <v>16375</v>
      </c>
      <c r="G176" s="187" t="s">
        <v>15903</v>
      </c>
      <c r="H176" s="187" t="s">
        <v>11502</v>
      </c>
      <c r="I176" s="187" t="s">
        <v>15904</v>
      </c>
      <c r="J176" s="187"/>
      <c r="K176" s="187" t="s">
        <v>15905</v>
      </c>
      <c r="L176" s="187" t="s">
        <v>11502</v>
      </c>
      <c r="M176" s="187" t="s">
        <v>15706</v>
      </c>
      <c r="N176" s="187" t="s">
        <v>15835</v>
      </c>
    </row>
    <row r="177" spans="1:14" ht="28.3" customHeight="1">
      <c r="A177" s="187" t="s">
        <v>16376</v>
      </c>
      <c r="B177" s="187" t="s">
        <v>15830</v>
      </c>
      <c r="C177" s="187" t="s">
        <v>15832</v>
      </c>
      <c r="D177" s="187" t="s">
        <v>16377</v>
      </c>
      <c r="E177" s="187" t="s">
        <v>13336</v>
      </c>
      <c r="F177" s="187" t="s">
        <v>16129</v>
      </c>
      <c r="G177" s="187" t="s">
        <v>15903</v>
      </c>
      <c r="H177" s="187" t="s">
        <v>11502</v>
      </c>
      <c r="I177" s="187" t="s">
        <v>15904</v>
      </c>
      <c r="J177" s="187"/>
      <c r="K177" s="187" t="s">
        <v>15905</v>
      </c>
      <c r="L177" s="187" t="s">
        <v>11502</v>
      </c>
      <c r="M177" s="187" t="s">
        <v>15706</v>
      </c>
      <c r="N177" s="187" t="s">
        <v>15835</v>
      </c>
    </row>
    <row r="178" spans="1:14" ht="28.3" customHeight="1">
      <c r="A178" s="187" t="s">
        <v>16378</v>
      </c>
      <c r="B178" s="187" t="s">
        <v>15830</v>
      </c>
      <c r="C178" s="187" t="s">
        <v>15832</v>
      </c>
      <c r="D178" s="187" t="s">
        <v>16379</v>
      </c>
      <c r="E178" s="187" t="s">
        <v>764</v>
      </c>
      <c r="F178" s="187" t="s">
        <v>16084</v>
      </c>
      <c r="G178" s="187" t="s">
        <v>15903</v>
      </c>
      <c r="H178" s="187" t="s">
        <v>11504</v>
      </c>
      <c r="I178" s="187"/>
      <c r="J178" s="187" t="s">
        <v>16069</v>
      </c>
      <c r="K178" s="187" t="s">
        <v>15909</v>
      </c>
      <c r="L178" s="187" t="s">
        <v>11502</v>
      </c>
      <c r="M178" s="187" t="s">
        <v>15706</v>
      </c>
      <c r="N178" s="187" t="s">
        <v>15835</v>
      </c>
    </row>
    <row r="179" spans="1:14" ht="28.3" customHeight="1">
      <c r="A179" s="187" t="s">
        <v>16380</v>
      </c>
      <c r="B179" s="187" t="s">
        <v>15830</v>
      </c>
      <c r="C179" s="187" t="s">
        <v>15832</v>
      </c>
      <c r="D179" s="187" t="s">
        <v>16381</v>
      </c>
      <c r="E179" s="187" t="s">
        <v>768</v>
      </c>
      <c r="F179" s="187" t="s">
        <v>16087</v>
      </c>
      <c r="G179" s="187" t="s">
        <v>15903</v>
      </c>
      <c r="H179" s="187" t="s">
        <v>11504</v>
      </c>
      <c r="I179" s="187"/>
      <c r="J179" s="187" t="s">
        <v>16069</v>
      </c>
      <c r="K179" s="187" t="s">
        <v>15909</v>
      </c>
      <c r="L179" s="187" t="s">
        <v>11502</v>
      </c>
      <c r="M179" s="187" t="s">
        <v>15706</v>
      </c>
      <c r="N179" s="187" t="s">
        <v>15835</v>
      </c>
    </row>
    <row r="180" spans="1:14" ht="28.3" customHeight="1">
      <c r="A180" s="187" t="s">
        <v>16382</v>
      </c>
      <c r="B180" s="187" t="s">
        <v>15830</v>
      </c>
      <c r="C180" s="187" t="s">
        <v>15832</v>
      </c>
      <c r="D180" s="187" t="s">
        <v>16383</v>
      </c>
      <c r="E180" s="187" t="s">
        <v>15689</v>
      </c>
      <c r="F180" s="187" t="s">
        <v>16384</v>
      </c>
      <c r="G180" s="187" t="s">
        <v>15903</v>
      </c>
      <c r="H180" s="187" t="s">
        <v>11504</v>
      </c>
      <c r="I180" s="187" t="s">
        <v>15981</v>
      </c>
      <c r="J180" s="187"/>
      <c r="K180" s="187" t="s">
        <v>15905</v>
      </c>
      <c r="L180" s="187" t="s">
        <v>11502</v>
      </c>
      <c r="M180" s="187" t="s">
        <v>15706</v>
      </c>
      <c r="N180" s="187" t="s">
        <v>15835</v>
      </c>
    </row>
    <row r="181" spans="1:14" ht="28.3" customHeight="1">
      <c r="A181" s="187" t="s">
        <v>16385</v>
      </c>
      <c r="B181" s="187" t="s">
        <v>15830</v>
      </c>
      <c r="C181" s="187" t="s">
        <v>15832</v>
      </c>
      <c r="D181" s="187" t="s">
        <v>16386</v>
      </c>
      <c r="E181" s="187" t="s">
        <v>15690</v>
      </c>
      <c r="F181" s="187" t="s">
        <v>16387</v>
      </c>
      <c r="G181" s="187" t="s">
        <v>15903</v>
      </c>
      <c r="H181" s="187" t="s">
        <v>11504</v>
      </c>
      <c r="I181" s="187"/>
      <c r="J181" s="187"/>
      <c r="K181" s="187" t="s">
        <v>15909</v>
      </c>
      <c r="L181" s="187" t="s">
        <v>11502</v>
      </c>
      <c r="M181" s="187" t="s">
        <v>15706</v>
      </c>
      <c r="N181" s="187" t="s">
        <v>15835</v>
      </c>
    </row>
    <row r="182" spans="1:14" ht="28.3" customHeight="1">
      <c r="A182" s="187" t="s">
        <v>16388</v>
      </c>
      <c r="B182" s="187" t="s">
        <v>15830</v>
      </c>
      <c r="C182" s="187" t="s">
        <v>15832</v>
      </c>
      <c r="D182" s="187" t="s">
        <v>16389</v>
      </c>
      <c r="E182" s="187" t="s">
        <v>13334</v>
      </c>
      <c r="F182" s="187" t="s">
        <v>16064</v>
      </c>
      <c r="G182" s="187" t="s">
        <v>15903</v>
      </c>
      <c r="H182" s="187" t="s">
        <v>11502</v>
      </c>
      <c r="I182" s="187" t="s">
        <v>15904</v>
      </c>
      <c r="J182" s="187" t="s">
        <v>16065</v>
      </c>
      <c r="K182" s="187" t="s">
        <v>15905</v>
      </c>
      <c r="L182" s="187" t="s">
        <v>11502</v>
      </c>
      <c r="M182" s="187" t="s">
        <v>15706</v>
      </c>
      <c r="N182" s="187" t="s">
        <v>15835</v>
      </c>
    </row>
    <row r="183" spans="1:14" ht="28.3" customHeight="1">
      <c r="A183" s="187" t="s">
        <v>16390</v>
      </c>
      <c r="B183" s="187" t="s">
        <v>15830</v>
      </c>
      <c r="C183" s="187" t="s">
        <v>15832</v>
      </c>
      <c r="D183" s="187" t="s">
        <v>16391</v>
      </c>
      <c r="E183" s="187" t="s">
        <v>15683</v>
      </c>
      <c r="F183" s="187" t="s">
        <v>16354</v>
      </c>
      <c r="G183" s="187" t="s">
        <v>15903</v>
      </c>
      <c r="H183" s="187" t="s">
        <v>11504</v>
      </c>
      <c r="I183" s="187"/>
      <c r="J183" s="187"/>
      <c r="K183" s="187" t="s">
        <v>15905</v>
      </c>
      <c r="L183" s="187" t="s">
        <v>11502</v>
      </c>
      <c r="M183" s="187" t="s">
        <v>15706</v>
      </c>
      <c r="N183" s="187" t="s">
        <v>15835</v>
      </c>
    </row>
    <row r="184" spans="1:14">
      <c r="A184" s="187" t="s">
        <v>16392</v>
      </c>
      <c r="B184" s="187" t="s">
        <v>15830</v>
      </c>
      <c r="C184" s="187" t="s">
        <v>15832</v>
      </c>
      <c r="D184" s="187" t="s">
        <v>16393</v>
      </c>
      <c r="E184" s="187" t="s">
        <v>14434</v>
      </c>
      <c r="F184" s="187" t="s">
        <v>16258</v>
      </c>
      <c r="G184" s="187" t="s">
        <v>15903</v>
      </c>
      <c r="H184" s="187" t="s">
        <v>11502</v>
      </c>
      <c r="I184" s="187" t="s">
        <v>15904</v>
      </c>
      <c r="J184" s="187" t="s">
        <v>16259</v>
      </c>
      <c r="K184" s="187" t="s">
        <v>15905</v>
      </c>
      <c r="L184" s="187" t="s">
        <v>11502</v>
      </c>
      <c r="M184" s="187" t="s">
        <v>15706</v>
      </c>
      <c r="N184" s="187" t="s">
        <v>15835</v>
      </c>
    </row>
    <row r="185" spans="1:14" ht="28.3" customHeight="1">
      <c r="A185" s="187" t="s">
        <v>16394</v>
      </c>
      <c r="B185" s="187" t="s">
        <v>15830</v>
      </c>
      <c r="C185" s="187" t="s">
        <v>15832</v>
      </c>
      <c r="D185" s="187" t="s">
        <v>16395</v>
      </c>
      <c r="E185" s="187" t="s">
        <v>15261</v>
      </c>
      <c r="F185" s="187" t="s">
        <v>16303</v>
      </c>
      <c r="G185" s="187" t="s">
        <v>15903</v>
      </c>
      <c r="H185" s="187" t="s">
        <v>11502</v>
      </c>
      <c r="I185" s="187" t="s">
        <v>15904</v>
      </c>
      <c r="J185" s="187" t="s">
        <v>16304</v>
      </c>
      <c r="K185" s="187" t="s">
        <v>15905</v>
      </c>
      <c r="L185" s="187" t="s">
        <v>11502</v>
      </c>
      <c r="M185" s="187" t="s">
        <v>15706</v>
      </c>
      <c r="N185" s="187" t="s">
        <v>15835</v>
      </c>
    </row>
    <row r="186" spans="1:14" ht="28.3" customHeight="1">
      <c r="A186" s="187" t="s">
        <v>16396</v>
      </c>
      <c r="B186" s="187" t="s">
        <v>15830</v>
      </c>
      <c r="C186" s="187" t="s">
        <v>15832</v>
      </c>
      <c r="D186" s="187" t="s">
        <v>16397</v>
      </c>
      <c r="E186" s="187" t="s">
        <v>15685</v>
      </c>
      <c r="F186" s="187" t="s">
        <v>16362</v>
      </c>
      <c r="G186" s="187" t="s">
        <v>15903</v>
      </c>
      <c r="H186" s="187" t="s">
        <v>11504</v>
      </c>
      <c r="I186" s="187"/>
      <c r="J186" s="187" t="s">
        <v>15931</v>
      </c>
      <c r="K186" s="187" t="s">
        <v>15909</v>
      </c>
      <c r="L186" s="187" t="s">
        <v>11502</v>
      </c>
      <c r="M186" s="187" t="s">
        <v>15706</v>
      </c>
      <c r="N186" s="187" t="s">
        <v>15835</v>
      </c>
    </row>
    <row r="187" spans="1:14" ht="28.3" customHeight="1">
      <c r="A187" s="187" t="s">
        <v>16398</v>
      </c>
      <c r="B187" s="187" t="s">
        <v>15830</v>
      </c>
      <c r="C187" s="187" t="s">
        <v>15832</v>
      </c>
      <c r="D187" s="187" t="s">
        <v>16399</v>
      </c>
      <c r="E187" s="187" t="s">
        <v>15686</v>
      </c>
      <c r="F187" s="187" t="s">
        <v>16365</v>
      </c>
      <c r="G187" s="187" t="s">
        <v>15903</v>
      </c>
      <c r="H187" s="187" t="s">
        <v>11504</v>
      </c>
      <c r="I187" s="187"/>
      <c r="J187" s="187" t="s">
        <v>15931</v>
      </c>
      <c r="K187" s="187" t="s">
        <v>15909</v>
      </c>
      <c r="L187" s="187" t="s">
        <v>11502</v>
      </c>
      <c r="M187" s="187" t="s">
        <v>15706</v>
      </c>
      <c r="N187" s="187" t="s">
        <v>15835</v>
      </c>
    </row>
    <row r="188" spans="1:14" ht="28.3" customHeight="1">
      <c r="A188" s="187" t="s">
        <v>16400</v>
      </c>
      <c r="B188" s="187" t="s">
        <v>15830</v>
      </c>
      <c r="C188" s="187" t="s">
        <v>15832</v>
      </c>
      <c r="D188" s="187" t="s">
        <v>16401</v>
      </c>
      <c r="E188" s="187" t="s">
        <v>11627</v>
      </c>
      <c r="F188" s="187" t="s">
        <v>15996</v>
      </c>
      <c r="G188" s="187" t="s">
        <v>15903</v>
      </c>
      <c r="H188" s="187" t="s">
        <v>11504</v>
      </c>
      <c r="I188" s="187"/>
      <c r="J188" s="187" t="s">
        <v>15931</v>
      </c>
      <c r="K188" s="187" t="s">
        <v>15997</v>
      </c>
      <c r="L188" s="187" t="s">
        <v>11502</v>
      </c>
      <c r="M188" s="187" t="s">
        <v>15706</v>
      </c>
      <c r="N188" s="187" t="s">
        <v>15835</v>
      </c>
    </row>
    <row r="189" spans="1:14" ht="28.3" customHeight="1">
      <c r="A189" s="187" t="s">
        <v>16402</v>
      </c>
      <c r="B189" s="187" t="s">
        <v>15830</v>
      </c>
      <c r="C189" s="187" t="s">
        <v>15832</v>
      </c>
      <c r="D189" s="187" t="s">
        <v>16403</v>
      </c>
      <c r="E189" s="187" t="s">
        <v>15687</v>
      </c>
      <c r="F189" s="187" t="s">
        <v>16370</v>
      </c>
      <c r="G189" s="187" t="s">
        <v>15903</v>
      </c>
      <c r="H189" s="187" t="s">
        <v>11504</v>
      </c>
      <c r="I189" s="187" t="s">
        <v>15981</v>
      </c>
      <c r="J189" s="187"/>
      <c r="K189" s="187" t="s">
        <v>15909</v>
      </c>
      <c r="L189" s="187" t="s">
        <v>11502</v>
      </c>
      <c r="M189" s="187" t="s">
        <v>15706</v>
      </c>
      <c r="N189" s="187" t="s">
        <v>15835</v>
      </c>
    </row>
    <row r="190" spans="1:14" ht="28.3" customHeight="1">
      <c r="A190" s="187" t="s">
        <v>16404</v>
      </c>
      <c r="B190" s="187" t="s">
        <v>15830</v>
      </c>
      <c r="C190" s="187" t="s">
        <v>15832</v>
      </c>
      <c r="D190" s="187" t="s">
        <v>16405</v>
      </c>
      <c r="E190" s="187" t="s">
        <v>3897</v>
      </c>
      <c r="F190" s="187" t="s">
        <v>16206</v>
      </c>
      <c r="G190" s="187" t="s">
        <v>15903</v>
      </c>
      <c r="H190" s="187" t="s">
        <v>11504</v>
      </c>
      <c r="I190" s="187"/>
      <c r="J190" s="187"/>
      <c r="K190" s="187" t="s">
        <v>15909</v>
      </c>
      <c r="L190" s="187" t="s">
        <v>11502</v>
      </c>
      <c r="M190" s="187" t="s">
        <v>15706</v>
      </c>
      <c r="N190" s="187" t="s">
        <v>15835</v>
      </c>
    </row>
    <row r="191" spans="1:14" ht="28.3" customHeight="1">
      <c r="A191" s="187" t="s">
        <v>16406</v>
      </c>
      <c r="B191" s="187" t="s">
        <v>15836</v>
      </c>
      <c r="C191" s="187" t="s">
        <v>15838</v>
      </c>
      <c r="D191" s="187" t="s">
        <v>16407</v>
      </c>
      <c r="E191" s="187" t="s">
        <v>15691</v>
      </c>
      <c r="F191" s="187" t="s">
        <v>16408</v>
      </c>
      <c r="G191" s="187" t="s">
        <v>15903</v>
      </c>
      <c r="H191" s="187" t="s">
        <v>11502</v>
      </c>
      <c r="I191" s="187" t="s">
        <v>15904</v>
      </c>
      <c r="J191" s="187"/>
      <c r="K191" s="187" t="s">
        <v>15905</v>
      </c>
      <c r="L191" s="187" t="s">
        <v>11502</v>
      </c>
      <c r="M191" s="187" t="s">
        <v>15706</v>
      </c>
      <c r="N191" s="187" t="s">
        <v>15841</v>
      </c>
    </row>
    <row r="192" spans="1:14" ht="28.3" customHeight="1">
      <c r="A192" s="187" t="s">
        <v>16409</v>
      </c>
      <c r="B192" s="187" t="s">
        <v>15836</v>
      </c>
      <c r="C192" s="187" t="s">
        <v>15838</v>
      </c>
      <c r="D192" s="187" t="s">
        <v>16410</v>
      </c>
      <c r="E192" s="187" t="s">
        <v>15692</v>
      </c>
      <c r="F192" s="187" t="s">
        <v>16411</v>
      </c>
      <c r="G192" s="187" t="s">
        <v>15903</v>
      </c>
      <c r="H192" s="187" t="s">
        <v>11504</v>
      </c>
      <c r="I192" s="187"/>
      <c r="J192" s="187"/>
      <c r="K192" s="187" t="s">
        <v>15909</v>
      </c>
      <c r="L192" s="187" t="s">
        <v>11502</v>
      </c>
      <c r="M192" s="187" t="s">
        <v>15706</v>
      </c>
      <c r="N192" s="187" t="s">
        <v>15841</v>
      </c>
    </row>
    <row r="193" spans="1:14" ht="28.3" customHeight="1">
      <c r="A193" s="187" t="s">
        <v>16412</v>
      </c>
      <c r="B193" s="187" t="s">
        <v>15836</v>
      </c>
      <c r="C193" s="187" t="s">
        <v>15838</v>
      </c>
      <c r="D193" s="187" t="s">
        <v>16413</v>
      </c>
      <c r="E193" s="187" t="s">
        <v>15693</v>
      </c>
      <c r="F193" s="187" t="s">
        <v>16414</v>
      </c>
      <c r="G193" s="187" t="s">
        <v>15903</v>
      </c>
      <c r="H193" s="187" t="s">
        <v>11504</v>
      </c>
      <c r="I193" s="187"/>
      <c r="J193" s="187"/>
      <c r="K193" s="187" t="s">
        <v>15909</v>
      </c>
      <c r="L193" s="187" t="s">
        <v>11502</v>
      </c>
      <c r="M193" s="187" t="s">
        <v>15706</v>
      </c>
      <c r="N193" s="187" t="s">
        <v>15841</v>
      </c>
    </row>
    <row r="194" spans="1:14" ht="28.3" customHeight="1">
      <c r="A194" s="187" t="s">
        <v>16415</v>
      </c>
      <c r="B194" s="187" t="s">
        <v>15836</v>
      </c>
      <c r="C194" s="187" t="s">
        <v>15838</v>
      </c>
      <c r="D194" s="187" t="s">
        <v>16416</v>
      </c>
      <c r="E194" s="187" t="s">
        <v>15694</v>
      </c>
      <c r="F194" s="187" t="s">
        <v>16417</v>
      </c>
      <c r="G194" s="187" t="s">
        <v>15903</v>
      </c>
      <c r="H194" s="187" t="s">
        <v>11504</v>
      </c>
      <c r="I194" s="187"/>
      <c r="J194" s="187"/>
      <c r="K194" s="187" t="s">
        <v>15909</v>
      </c>
      <c r="L194" s="187" t="s">
        <v>11502</v>
      </c>
      <c r="M194" s="187" t="s">
        <v>15706</v>
      </c>
      <c r="N194" s="187" t="s">
        <v>15841</v>
      </c>
    </row>
    <row r="195" spans="1:14" ht="28.3" customHeight="1">
      <c r="A195" s="187" t="s">
        <v>16418</v>
      </c>
      <c r="B195" s="187" t="s">
        <v>15836</v>
      </c>
      <c r="C195" s="187" t="s">
        <v>15838</v>
      </c>
      <c r="D195" s="187" t="s">
        <v>16419</v>
      </c>
      <c r="E195" s="187" t="s">
        <v>15695</v>
      </c>
      <c r="F195" s="187" t="s">
        <v>16420</v>
      </c>
      <c r="G195" s="187" t="s">
        <v>15903</v>
      </c>
      <c r="H195" s="187" t="s">
        <v>11504</v>
      </c>
      <c r="I195" s="187"/>
      <c r="J195" s="187"/>
      <c r="K195" s="187" t="s">
        <v>15909</v>
      </c>
      <c r="L195" s="187" t="s">
        <v>11502</v>
      </c>
      <c r="M195" s="187" t="s">
        <v>15706</v>
      </c>
      <c r="N195" s="187" t="s">
        <v>15841</v>
      </c>
    </row>
    <row r="196" spans="1:14" ht="28.3" customHeight="1">
      <c r="A196" s="187" t="s">
        <v>16421</v>
      </c>
      <c r="B196" s="187" t="s">
        <v>15836</v>
      </c>
      <c r="C196" s="187" t="s">
        <v>15838</v>
      </c>
      <c r="D196" s="187" t="s">
        <v>16422</v>
      </c>
      <c r="E196" s="187" t="s">
        <v>15696</v>
      </c>
      <c r="F196" s="187" t="s">
        <v>16423</v>
      </c>
      <c r="G196" s="187" t="s">
        <v>15903</v>
      </c>
      <c r="H196" s="187" t="s">
        <v>11504</v>
      </c>
      <c r="I196" s="187"/>
      <c r="J196" s="187"/>
      <c r="K196" s="187" t="s">
        <v>15909</v>
      </c>
      <c r="L196" s="187" t="s">
        <v>11502</v>
      </c>
      <c r="M196" s="187" t="s">
        <v>15706</v>
      </c>
      <c r="N196" s="187" t="s">
        <v>15841</v>
      </c>
    </row>
    <row r="197" spans="1:14" ht="28.3" customHeight="1">
      <c r="A197" s="187" t="s">
        <v>16424</v>
      </c>
      <c r="B197" s="187" t="s">
        <v>15836</v>
      </c>
      <c r="C197" s="187" t="s">
        <v>15838</v>
      </c>
      <c r="D197" s="187" t="s">
        <v>16425</v>
      </c>
      <c r="E197" s="187" t="s">
        <v>15697</v>
      </c>
      <c r="F197" s="187" t="s">
        <v>16426</v>
      </c>
      <c r="G197" s="187" t="s">
        <v>15903</v>
      </c>
      <c r="H197" s="187" t="s">
        <v>11504</v>
      </c>
      <c r="I197" s="187"/>
      <c r="J197" s="187"/>
      <c r="K197" s="187" t="s">
        <v>15909</v>
      </c>
      <c r="L197" s="187" t="s">
        <v>11502</v>
      </c>
      <c r="M197" s="187" t="s">
        <v>15706</v>
      </c>
      <c r="N197" s="187" t="s">
        <v>15841</v>
      </c>
    </row>
    <row r="198" spans="1:14" ht="28.3" customHeight="1">
      <c r="A198" s="187" t="s">
        <v>16427</v>
      </c>
      <c r="B198" s="187" t="s">
        <v>15836</v>
      </c>
      <c r="C198" s="187" t="s">
        <v>15838</v>
      </c>
      <c r="D198" s="187" t="s">
        <v>16428</v>
      </c>
      <c r="E198" s="187" t="s">
        <v>15698</v>
      </c>
      <c r="F198" s="187" t="s">
        <v>16429</v>
      </c>
      <c r="G198" s="187" t="s">
        <v>15941</v>
      </c>
      <c r="H198" s="187" t="s">
        <v>11504</v>
      </c>
      <c r="I198" s="187"/>
      <c r="J198" s="187"/>
      <c r="K198" s="187" t="s">
        <v>15985</v>
      </c>
      <c r="L198" s="187" t="s">
        <v>11502</v>
      </c>
      <c r="M198" s="187" t="s">
        <v>15706</v>
      </c>
      <c r="N198" s="187" t="s">
        <v>15841</v>
      </c>
    </row>
    <row r="199" spans="1:14" ht="28.3" customHeight="1">
      <c r="A199" s="187" t="s">
        <v>16430</v>
      </c>
      <c r="B199" s="187" t="s">
        <v>15836</v>
      </c>
      <c r="C199" s="187" t="s">
        <v>15838</v>
      </c>
      <c r="D199" s="187" t="s">
        <v>16431</v>
      </c>
      <c r="E199" s="187" t="s">
        <v>15699</v>
      </c>
      <c r="F199" s="187" t="s">
        <v>16432</v>
      </c>
      <c r="G199" s="187" t="s">
        <v>15903</v>
      </c>
      <c r="H199" s="187" t="s">
        <v>11504</v>
      </c>
      <c r="I199" s="187"/>
      <c r="J199" s="187"/>
      <c r="K199" s="187" t="s">
        <v>15909</v>
      </c>
      <c r="L199" s="187" t="s">
        <v>11502</v>
      </c>
      <c r="M199" s="187" t="s">
        <v>15706</v>
      </c>
      <c r="N199" s="187" t="s">
        <v>15841</v>
      </c>
    </row>
    <row r="200" spans="1:14" ht="28.3" customHeight="1">
      <c r="A200" s="187" t="s">
        <v>16433</v>
      </c>
      <c r="B200" s="187" t="s">
        <v>15836</v>
      </c>
      <c r="C200" s="187" t="s">
        <v>15838</v>
      </c>
      <c r="D200" s="187" t="s">
        <v>16434</v>
      </c>
      <c r="E200" s="187" t="s">
        <v>15700</v>
      </c>
      <c r="F200" s="187" t="s">
        <v>16435</v>
      </c>
      <c r="G200" s="187" t="s">
        <v>15903</v>
      </c>
      <c r="H200" s="187" t="s">
        <v>11504</v>
      </c>
      <c r="I200" s="187"/>
      <c r="J200" s="187"/>
      <c r="K200" s="187" t="s">
        <v>15909</v>
      </c>
      <c r="L200" s="187" t="s">
        <v>11502</v>
      </c>
      <c r="M200" s="187" t="s">
        <v>15706</v>
      </c>
      <c r="N200" s="187" t="s">
        <v>15841</v>
      </c>
    </row>
    <row r="201" spans="1:14" ht="28.3" customHeight="1">
      <c r="A201" s="187" t="s">
        <v>16436</v>
      </c>
      <c r="B201" s="187" t="s">
        <v>15836</v>
      </c>
      <c r="C201" s="187" t="s">
        <v>15838</v>
      </c>
      <c r="D201" s="187" t="s">
        <v>16437</v>
      </c>
      <c r="E201" s="187" t="s">
        <v>15701</v>
      </c>
      <c r="F201" s="187" t="s">
        <v>16438</v>
      </c>
      <c r="G201" s="187" t="s">
        <v>15903</v>
      </c>
      <c r="H201" s="187" t="s">
        <v>11504</v>
      </c>
      <c r="I201" s="187"/>
      <c r="J201" s="187"/>
      <c r="K201" s="187" t="s">
        <v>15909</v>
      </c>
      <c r="L201" s="187" t="s">
        <v>11502</v>
      </c>
      <c r="M201" s="187" t="s">
        <v>15706</v>
      </c>
      <c r="N201" s="187" t="s">
        <v>15841</v>
      </c>
    </row>
    <row r="202" spans="1:14" ht="28.3" customHeight="1">
      <c r="A202" s="187" t="s">
        <v>16439</v>
      </c>
      <c r="B202" s="187" t="s">
        <v>15836</v>
      </c>
      <c r="C202" s="187" t="s">
        <v>15838</v>
      </c>
      <c r="D202" s="187" t="s">
        <v>16440</v>
      </c>
      <c r="E202" s="187" t="s">
        <v>742</v>
      </c>
      <c r="F202" s="187" t="s">
        <v>15930</v>
      </c>
      <c r="G202" s="187" t="s">
        <v>15903</v>
      </c>
      <c r="H202" s="187" t="s">
        <v>11504</v>
      </c>
      <c r="I202" s="187"/>
      <c r="J202" s="187" t="s">
        <v>15931</v>
      </c>
      <c r="K202" s="187" t="s">
        <v>15909</v>
      </c>
      <c r="L202" s="187" t="s">
        <v>11502</v>
      </c>
      <c r="M202" s="187" t="s">
        <v>15706</v>
      </c>
      <c r="N202" s="187" t="s">
        <v>15841</v>
      </c>
    </row>
    <row r="203" spans="1:14" ht="28.3" customHeight="1">
      <c r="A203" s="187" t="s">
        <v>16441</v>
      </c>
      <c r="B203" s="187" t="s">
        <v>15836</v>
      </c>
      <c r="C203" s="187" t="s">
        <v>15838</v>
      </c>
      <c r="D203" s="187" t="s">
        <v>16442</v>
      </c>
      <c r="E203" s="187" t="s">
        <v>744</v>
      </c>
      <c r="F203" s="187" t="s">
        <v>15934</v>
      </c>
      <c r="G203" s="187" t="s">
        <v>15903</v>
      </c>
      <c r="H203" s="187" t="s">
        <v>11504</v>
      </c>
      <c r="I203" s="187"/>
      <c r="J203" s="187"/>
      <c r="K203" s="187" t="s">
        <v>15909</v>
      </c>
      <c r="L203" s="187" t="s">
        <v>11502</v>
      </c>
      <c r="M203" s="187" t="s">
        <v>15706</v>
      </c>
      <c r="N203" s="187" t="s">
        <v>15841</v>
      </c>
    </row>
    <row r="204" spans="1:14" ht="28.3" customHeight="1">
      <c r="A204" s="187" t="s">
        <v>16443</v>
      </c>
      <c r="B204" s="187" t="s">
        <v>15842</v>
      </c>
      <c r="C204" s="187" t="s">
        <v>200</v>
      </c>
      <c r="D204" s="187" t="s">
        <v>16444</v>
      </c>
      <c r="E204" s="187" t="s">
        <v>16445</v>
      </c>
      <c r="F204" s="187" t="s">
        <v>16446</v>
      </c>
      <c r="G204" s="187" t="s">
        <v>15903</v>
      </c>
      <c r="H204" s="187" t="s">
        <v>11504</v>
      </c>
      <c r="I204" s="187"/>
      <c r="J204" s="187"/>
      <c r="K204" s="187" t="s">
        <v>15905</v>
      </c>
      <c r="L204" s="187" t="s">
        <v>11502</v>
      </c>
      <c r="M204" s="187" t="s">
        <v>15706</v>
      </c>
      <c r="N204" s="187" t="s">
        <v>15846</v>
      </c>
    </row>
    <row r="205" spans="1:14" ht="28.3" customHeight="1">
      <c r="A205" s="187" t="s">
        <v>16447</v>
      </c>
      <c r="B205" s="187" t="s">
        <v>15847</v>
      </c>
      <c r="C205" s="187" t="s">
        <v>209</v>
      </c>
      <c r="D205" s="187" t="s">
        <v>16448</v>
      </c>
      <c r="E205" s="187" t="s">
        <v>3539</v>
      </c>
      <c r="F205" s="187" t="s">
        <v>16449</v>
      </c>
      <c r="G205" s="187" t="s">
        <v>15903</v>
      </c>
      <c r="H205" s="187" t="s">
        <v>11504</v>
      </c>
      <c r="I205" s="187"/>
      <c r="J205" s="187"/>
      <c r="K205" s="187" t="s">
        <v>15909</v>
      </c>
      <c r="L205" s="187" t="s">
        <v>11502</v>
      </c>
      <c r="M205" s="187" t="s">
        <v>15706</v>
      </c>
      <c r="N205" s="187" t="s">
        <v>15851</v>
      </c>
    </row>
    <row r="206" spans="1:14">
      <c r="A206" s="187" t="s">
        <v>16450</v>
      </c>
      <c r="B206" s="187" t="s">
        <v>15852</v>
      </c>
      <c r="C206" s="187" t="s">
        <v>222</v>
      </c>
      <c r="D206" s="187" t="s">
        <v>16451</v>
      </c>
      <c r="E206" s="187" t="s">
        <v>4535</v>
      </c>
      <c r="F206" s="187" t="s">
        <v>16452</v>
      </c>
      <c r="G206" s="187" t="s">
        <v>15903</v>
      </c>
      <c r="H206" s="187" t="s">
        <v>11504</v>
      </c>
      <c r="I206" s="187"/>
      <c r="J206" s="187"/>
      <c r="K206" s="187" t="s">
        <v>15905</v>
      </c>
      <c r="L206" s="187" t="s">
        <v>11502</v>
      </c>
      <c r="M206" s="187" t="s">
        <v>15706</v>
      </c>
      <c r="N206" s="187" t="s">
        <v>15856</v>
      </c>
    </row>
    <row r="207" spans="1:14">
      <c r="A207" s="187" t="s">
        <v>16453</v>
      </c>
      <c r="B207" s="187" t="s">
        <v>15857</v>
      </c>
      <c r="C207" s="187" t="s">
        <v>216</v>
      </c>
      <c r="D207" s="187" t="s">
        <v>16454</v>
      </c>
      <c r="E207" s="187" t="s">
        <v>3837</v>
      </c>
      <c r="F207" s="187" t="s">
        <v>16455</v>
      </c>
      <c r="G207" s="187" t="s">
        <v>15903</v>
      </c>
      <c r="H207" s="187" t="s">
        <v>11504</v>
      </c>
      <c r="I207" s="187"/>
      <c r="J207" s="187"/>
      <c r="K207" s="187" t="s">
        <v>15909</v>
      </c>
      <c r="L207" s="187" t="s">
        <v>11502</v>
      </c>
      <c r="M207" s="187" t="s">
        <v>15706</v>
      </c>
      <c r="N207" s="187" t="s">
        <v>15861</v>
      </c>
    </row>
    <row r="208" spans="1:14">
      <c r="A208" s="187" t="s">
        <v>16456</v>
      </c>
      <c r="B208" s="187" t="s">
        <v>15862</v>
      </c>
      <c r="C208" s="187" t="s">
        <v>67</v>
      </c>
      <c r="D208" s="187" t="s">
        <v>16457</v>
      </c>
      <c r="E208" s="187" t="s">
        <v>67</v>
      </c>
      <c r="F208" s="187" t="s">
        <v>16458</v>
      </c>
      <c r="G208" s="187" t="s">
        <v>15903</v>
      </c>
      <c r="H208" s="187" t="s">
        <v>11504</v>
      </c>
      <c r="I208" s="187"/>
      <c r="J208" s="187"/>
      <c r="K208" s="187" t="s">
        <v>15909</v>
      </c>
      <c r="L208" s="187" t="s">
        <v>11502</v>
      </c>
      <c r="M208" s="187" t="s">
        <v>15706</v>
      </c>
      <c r="N208" s="187" t="s">
        <v>15867</v>
      </c>
    </row>
    <row r="209" spans="1:14" ht="28.3" customHeight="1">
      <c r="A209" s="187" t="s">
        <v>16459</v>
      </c>
      <c r="B209" s="187" t="s">
        <v>15862</v>
      </c>
      <c r="C209" s="187" t="s">
        <v>67</v>
      </c>
      <c r="D209" s="187" t="s">
        <v>16460</v>
      </c>
      <c r="E209" s="187" t="s">
        <v>3483</v>
      </c>
      <c r="F209" s="187" t="s">
        <v>16461</v>
      </c>
      <c r="G209" s="187" t="s">
        <v>15903</v>
      </c>
      <c r="H209" s="187" t="s">
        <v>11504</v>
      </c>
      <c r="I209" s="187"/>
      <c r="J209" s="187"/>
      <c r="K209" s="187" t="s">
        <v>15909</v>
      </c>
      <c r="L209" s="187" t="s">
        <v>11502</v>
      </c>
      <c r="M209" s="187" t="s">
        <v>15706</v>
      </c>
      <c r="N209" s="187" t="s">
        <v>15867</v>
      </c>
    </row>
    <row r="210" spans="1:14" ht="28.3" customHeight="1">
      <c r="A210" s="187" t="s">
        <v>16462</v>
      </c>
      <c r="B210" s="187" t="s">
        <v>15868</v>
      </c>
      <c r="C210" s="187" t="s">
        <v>51</v>
      </c>
      <c r="D210" s="187" t="s">
        <v>12629</v>
      </c>
      <c r="E210" s="187" t="s">
        <v>12628</v>
      </c>
      <c r="F210" s="187" t="s">
        <v>16463</v>
      </c>
      <c r="G210" s="187" t="s">
        <v>15903</v>
      </c>
      <c r="H210" s="187" t="s">
        <v>11502</v>
      </c>
      <c r="I210" s="187"/>
      <c r="J210" s="187"/>
      <c r="K210" s="187" t="s">
        <v>16464</v>
      </c>
      <c r="L210" s="187" t="s">
        <v>11502</v>
      </c>
      <c r="M210" s="187" t="s">
        <v>12632</v>
      </c>
      <c r="N210" s="187" t="s">
        <v>16465</v>
      </c>
    </row>
    <row r="211" spans="1:14" ht="28.3" customHeight="1">
      <c r="A211" s="187" t="s">
        <v>16466</v>
      </c>
      <c r="B211" s="187" t="s">
        <v>15868</v>
      </c>
      <c r="C211" s="187" t="s">
        <v>51</v>
      </c>
      <c r="D211" s="187" t="s">
        <v>12637</v>
      </c>
      <c r="E211" s="187" t="s">
        <v>12636</v>
      </c>
      <c r="F211" s="187" t="s">
        <v>16467</v>
      </c>
      <c r="G211" s="187" t="s">
        <v>15903</v>
      </c>
      <c r="H211" s="187" t="s">
        <v>11502</v>
      </c>
      <c r="I211" s="187"/>
      <c r="J211" s="187"/>
      <c r="K211" s="187" t="s">
        <v>16464</v>
      </c>
      <c r="L211" s="187" t="s">
        <v>11502</v>
      </c>
      <c r="M211" s="187" t="s">
        <v>12632</v>
      </c>
      <c r="N211" s="187" t="s">
        <v>16465</v>
      </c>
    </row>
    <row r="212" spans="1:14" ht="28.3" customHeight="1">
      <c r="A212" s="187" t="s">
        <v>16468</v>
      </c>
      <c r="B212" s="187" t="s">
        <v>15868</v>
      </c>
      <c r="C212" s="187" t="s">
        <v>51</v>
      </c>
      <c r="D212" s="187" t="s">
        <v>12640</v>
      </c>
      <c r="E212" s="187" t="s">
        <v>12639</v>
      </c>
      <c r="F212" s="187" t="s">
        <v>16469</v>
      </c>
      <c r="G212" s="187" t="s">
        <v>15903</v>
      </c>
      <c r="H212" s="187" t="s">
        <v>11502</v>
      </c>
      <c r="I212" s="187" t="s">
        <v>16470</v>
      </c>
      <c r="J212" s="187"/>
      <c r="K212" s="187" t="s">
        <v>16464</v>
      </c>
      <c r="L212" s="187" t="s">
        <v>11502</v>
      </c>
      <c r="M212" s="187" t="s">
        <v>12632</v>
      </c>
      <c r="N212" s="187" t="s">
        <v>16465</v>
      </c>
    </row>
    <row r="213" spans="1:14" ht="28.3" customHeight="1">
      <c r="A213" s="187" t="s">
        <v>16471</v>
      </c>
      <c r="B213" s="187" t="s">
        <v>15868</v>
      </c>
      <c r="C213" s="187" t="s">
        <v>51</v>
      </c>
      <c r="D213" s="187" t="s">
        <v>12643</v>
      </c>
      <c r="E213" s="187" t="s">
        <v>12642</v>
      </c>
      <c r="F213" s="187" t="s">
        <v>16472</v>
      </c>
      <c r="G213" s="187" t="s">
        <v>15903</v>
      </c>
      <c r="H213" s="187" t="s">
        <v>11502</v>
      </c>
      <c r="I213" s="187"/>
      <c r="J213" s="187"/>
      <c r="K213" s="187" t="s">
        <v>16464</v>
      </c>
      <c r="L213" s="187" t="s">
        <v>11502</v>
      </c>
      <c r="M213" s="187" t="s">
        <v>12632</v>
      </c>
      <c r="N213" s="187" t="s">
        <v>16465</v>
      </c>
    </row>
    <row r="214" spans="1:14" ht="28.3" customHeight="1">
      <c r="A214" s="187" t="s">
        <v>16473</v>
      </c>
      <c r="B214" s="187" t="s">
        <v>15868</v>
      </c>
      <c r="C214" s="187" t="s">
        <v>51</v>
      </c>
      <c r="D214" s="187" t="s">
        <v>12645</v>
      </c>
      <c r="E214" s="187" t="s">
        <v>12644</v>
      </c>
      <c r="F214" s="187" t="s">
        <v>16474</v>
      </c>
      <c r="G214" s="187" t="s">
        <v>15903</v>
      </c>
      <c r="H214" s="187" t="s">
        <v>11502</v>
      </c>
      <c r="I214" s="187"/>
      <c r="J214" s="187"/>
      <c r="K214" s="187" t="s">
        <v>16464</v>
      </c>
      <c r="L214" s="187" t="s">
        <v>11502</v>
      </c>
      <c r="M214" s="187" t="s">
        <v>12648</v>
      </c>
      <c r="N214" s="187" t="s">
        <v>16465</v>
      </c>
    </row>
    <row r="215" spans="1:14" ht="28.3" customHeight="1">
      <c r="A215" s="187" t="s">
        <v>16475</v>
      </c>
      <c r="B215" s="187" t="s">
        <v>15868</v>
      </c>
      <c r="C215" s="187" t="s">
        <v>51</v>
      </c>
      <c r="D215" s="187" t="s">
        <v>12657</v>
      </c>
      <c r="E215" s="187" t="s">
        <v>12656</v>
      </c>
      <c r="F215" s="187" t="s">
        <v>16476</v>
      </c>
      <c r="G215" s="187" t="s">
        <v>15903</v>
      </c>
      <c r="H215" s="187" t="s">
        <v>11502</v>
      </c>
      <c r="I215" s="187"/>
      <c r="J215" s="187"/>
      <c r="K215" s="187" t="s">
        <v>16464</v>
      </c>
      <c r="L215" s="187" t="s">
        <v>11502</v>
      </c>
      <c r="M215" s="187" t="s">
        <v>12661</v>
      </c>
      <c r="N215" s="187" t="s">
        <v>16465</v>
      </c>
    </row>
    <row r="216" spans="1:14" ht="28.3" customHeight="1">
      <c r="A216" s="187" t="s">
        <v>16477</v>
      </c>
      <c r="B216" s="187" t="s">
        <v>15868</v>
      </c>
      <c r="C216" s="187" t="s">
        <v>51</v>
      </c>
      <c r="D216" s="187" t="s">
        <v>12669</v>
      </c>
      <c r="E216" s="187" t="s">
        <v>12668</v>
      </c>
      <c r="F216" s="187" t="s">
        <v>16478</v>
      </c>
      <c r="G216" s="187" t="s">
        <v>15903</v>
      </c>
      <c r="H216" s="187" t="s">
        <v>11502</v>
      </c>
      <c r="I216" s="187"/>
      <c r="J216" s="187"/>
      <c r="K216" s="187" t="s">
        <v>16464</v>
      </c>
      <c r="L216" s="187" t="s">
        <v>11502</v>
      </c>
      <c r="M216" s="187" t="s">
        <v>12648</v>
      </c>
      <c r="N216" s="187" t="s">
        <v>16465</v>
      </c>
    </row>
    <row r="217" spans="1:14" ht="28.3" customHeight="1">
      <c r="A217" s="187" t="s">
        <v>16479</v>
      </c>
      <c r="B217" s="187" t="s">
        <v>15868</v>
      </c>
      <c r="C217" s="187" t="s">
        <v>51</v>
      </c>
      <c r="D217" s="187" t="s">
        <v>12672</v>
      </c>
      <c r="E217" s="187" t="s">
        <v>12671</v>
      </c>
      <c r="F217" s="187" t="s">
        <v>16480</v>
      </c>
      <c r="G217" s="187" t="s">
        <v>15903</v>
      </c>
      <c r="H217" s="187" t="s">
        <v>11502</v>
      </c>
      <c r="I217" s="187"/>
      <c r="J217" s="187"/>
      <c r="K217" s="187" t="s">
        <v>16464</v>
      </c>
      <c r="L217" s="187" t="s">
        <v>11502</v>
      </c>
      <c r="M217" s="187" t="s">
        <v>12648</v>
      </c>
      <c r="N217" s="187" t="s">
        <v>16465</v>
      </c>
    </row>
    <row r="218" spans="1:14" ht="28.3" customHeight="1">
      <c r="A218" s="187" t="s">
        <v>16481</v>
      </c>
      <c r="B218" s="187" t="s">
        <v>15868</v>
      </c>
      <c r="C218" s="187" t="s">
        <v>51</v>
      </c>
      <c r="D218" s="187" t="s">
        <v>11967</v>
      </c>
      <c r="E218" s="187" t="s">
        <v>11968</v>
      </c>
      <c r="F218" s="187" t="s">
        <v>16482</v>
      </c>
      <c r="G218" s="187" t="s">
        <v>15903</v>
      </c>
      <c r="H218" s="187" t="s">
        <v>11502</v>
      </c>
      <c r="I218" s="187"/>
      <c r="J218" s="187"/>
      <c r="K218" s="187" t="s">
        <v>16464</v>
      </c>
      <c r="L218" s="187" t="s">
        <v>11502</v>
      </c>
      <c r="M218" s="187" t="s">
        <v>12678</v>
      </c>
      <c r="N218" s="187" t="s">
        <v>16465</v>
      </c>
    </row>
    <row r="219" spans="1:14" ht="28.3" customHeight="1">
      <c r="A219" s="187" t="s">
        <v>16483</v>
      </c>
      <c r="B219" s="187" t="s">
        <v>15868</v>
      </c>
      <c r="C219" s="187" t="s">
        <v>51</v>
      </c>
      <c r="D219" s="187" t="s">
        <v>11972</v>
      </c>
      <c r="E219" s="187" t="s">
        <v>11973</v>
      </c>
      <c r="F219" s="187" t="s">
        <v>16484</v>
      </c>
      <c r="G219" s="187" t="s">
        <v>15903</v>
      </c>
      <c r="H219" s="187" t="s">
        <v>11502</v>
      </c>
      <c r="I219" s="187"/>
      <c r="J219" s="187"/>
      <c r="K219" s="187" t="s">
        <v>16464</v>
      </c>
      <c r="L219" s="187" t="s">
        <v>11502</v>
      </c>
      <c r="M219" s="187" t="s">
        <v>12678</v>
      </c>
      <c r="N219" s="187" t="s">
        <v>16465</v>
      </c>
    </row>
    <row r="220" spans="1:14" ht="28.3" customHeight="1">
      <c r="A220" s="187" t="s">
        <v>16485</v>
      </c>
      <c r="B220" s="187" t="s">
        <v>15868</v>
      </c>
      <c r="C220" s="187" t="s">
        <v>51</v>
      </c>
      <c r="D220" s="187" t="s">
        <v>11975</v>
      </c>
      <c r="E220" s="187" t="s">
        <v>11976</v>
      </c>
      <c r="F220" s="187" t="s">
        <v>16486</v>
      </c>
      <c r="G220" s="187" t="s">
        <v>15903</v>
      </c>
      <c r="H220" s="187" t="s">
        <v>11502</v>
      </c>
      <c r="I220" s="187"/>
      <c r="J220" s="187"/>
      <c r="K220" s="187" t="s">
        <v>16464</v>
      </c>
      <c r="L220" s="187" t="s">
        <v>11502</v>
      </c>
      <c r="M220" s="187" t="s">
        <v>12678</v>
      </c>
      <c r="N220" s="187" t="s">
        <v>16465</v>
      </c>
    </row>
    <row r="221" spans="1:14" ht="28.3" customHeight="1">
      <c r="A221" s="187" t="s">
        <v>16487</v>
      </c>
      <c r="B221" s="187" t="s">
        <v>15868</v>
      </c>
      <c r="C221" s="187" t="s">
        <v>51</v>
      </c>
      <c r="D221" s="187" t="s">
        <v>11978</v>
      </c>
      <c r="E221" s="187" t="s">
        <v>11979</v>
      </c>
      <c r="F221" s="187" t="s">
        <v>16488</v>
      </c>
      <c r="G221" s="187" t="s">
        <v>15903</v>
      </c>
      <c r="H221" s="187" t="s">
        <v>11502</v>
      </c>
      <c r="I221" s="187"/>
      <c r="J221" s="187"/>
      <c r="K221" s="187" t="s">
        <v>16464</v>
      </c>
      <c r="L221" s="187" t="s">
        <v>11502</v>
      </c>
      <c r="M221" s="187" t="s">
        <v>12678</v>
      </c>
      <c r="N221" s="187" t="s">
        <v>16465</v>
      </c>
    </row>
    <row r="222" spans="1:14" ht="28.3" customHeight="1">
      <c r="A222" s="187" t="s">
        <v>16489</v>
      </c>
      <c r="B222" s="187" t="s">
        <v>15868</v>
      </c>
      <c r="C222" s="187" t="s">
        <v>51</v>
      </c>
      <c r="D222" s="187" t="s">
        <v>11981</v>
      </c>
      <c r="E222" s="187" t="s">
        <v>11982</v>
      </c>
      <c r="F222" s="187" t="s">
        <v>16490</v>
      </c>
      <c r="G222" s="187" t="s">
        <v>15903</v>
      </c>
      <c r="H222" s="187" t="s">
        <v>11502</v>
      </c>
      <c r="I222" s="187"/>
      <c r="J222" s="187"/>
      <c r="K222" s="187" t="s">
        <v>16464</v>
      </c>
      <c r="L222" s="187" t="s">
        <v>11502</v>
      </c>
      <c r="M222" s="187" t="s">
        <v>12678</v>
      </c>
      <c r="N222" s="187" t="s">
        <v>16465</v>
      </c>
    </row>
    <row r="223" spans="1:14" ht="28.3" customHeight="1">
      <c r="A223" s="187" t="s">
        <v>16491</v>
      </c>
      <c r="B223" s="187" t="s">
        <v>15868</v>
      </c>
      <c r="C223" s="187" t="s">
        <v>51</v>
      </c>
      <c r="D223" s="187" t="s">
        <v>11984</v>
      </c>
      <c r="E223" s="187" t="s">
        <v>11985</v>
      </c>
      <c r="F223" s="187" t="s">
        <v>16492</v>
      </c>
      <c r="G223" s="187" t="s">
        <v>15903</v>
      </c>
      <c r="H223" s="187" t="s">
        <v>11502</v>
      </c>
      <c r="I223" s="187"/>
      <c r="J223" s="187"/>
      <c r="K223" s="187" t="s">
        <v>16464</v>
      </c>
      <c r="L223" s="187" t="s">
        <v>11502</v>
      </c>
      <c r="M223" s="187" t="s">
        <v>12678</v>
      </c>
      <c r="N223" s="187" t="s">
        <v>16465</v>
      </c>
    </row>
    <row r="224" spans="1:14" ht="28.3" customHeight="1">
      <c r="A224" s="187" t="s">
        <v>16493</v>
      </c>
      <c r="B224" s="187" t="s">
        <v>15868</v>
      </c>
      <c r="C224" s="187" t="s">
        <v>51</v>
      </c>
      <c r="D224" s="187" t="s">
        <v>11987</v>
      </c>
      <c r="E224" s="187" t="s">
        <v>11988</v>
      </c>
      <c r="F224" s="187" t="s">
        <v>16494</v>
      </c>
      <c r="G224" s="187" t="s">
        <v>15903</v>
      </c>
      <c r="H224" s="187" t="s">
        <v>11502</v>
      </c>
      <c r="I224" s="187"/>
      <c r="J224" s="187"/>
      <c r="K224" s="187" t="s">
        <v>16464</v>
      </c>
      <c r="L224" s="187" t="s">
        <v>11502</v>
      </c>
      <c r="M224" s="187" t="s">
        <v>12678</v>
      </c>
      <c r="N224" s="187" t="s">
        <v>16465</v>
      </c>
    </row>
    <row r="225" spans="1:14" ht="28.3" customHeight="1">
      <c r="A225" s="187" t="s">
        <v>16495</v>
      </c>
      <c r="B225" s="187" t="s">
        <v>15868</v>
      </c>
      <c r="C225" s="187" t="s">
        <v>51</v>
      </c>
      <c r="D225" s="187" t="s">
        <v>12714</v>
      </c>
      <c r="E225" s="187" t="s">
        <v>12713</v>
      </c>
      <c r="F225" s="187" t="s">
        <v>16496</v>
      </c>
      <c r="G225" s="187" t="s">
        <v>15903</v>
      </c>
      <c r="H225" s="187" t="s">
        <v>11502</v>
      </c>
      <c r="I225" s="187"/>
      <c r="J225" s="187"/>
      <c r="K225" s="187" t="s">
        <v>16464</v>
      </c>
      <c r="L225" s="187" t="s">
        <v>11502</v>
      </c>
      <c r="M225" s="187" t="s">
        <v>12717</v>
      </c>
      <c r="N225" s="187" t="s">
        <v>16465</v>
      </c>
    </row>
    <row r="226" spans="1:14" ht="28.3" customHeight="1">
      <c r="A226" s="187" t="s">
        <v>16497</v>
      </c>
      <c r="B226" s="187" t="s">
        <v>15868</v>
      </c>
      <c r="C226" s="187" t="s">
        <v>51</v>
      </c>
      <c r="D226" s="187" t="s">
        <v>11993</v>
      </c>
      <c r="E226" s="187" t="s">
        <v>11665</v>
      </c>
      <c r="F226" s="187" t="s">
        <v>16498</v>
      </c>
      <c r="G226" s="187" t="s">
        <v>15903</v>
      </c>
      <c r="H226" s="187" t="s">
        <v>11502</v>
      </c>
      <c r="I226" s="187"/>
      <c r="J226" s="187"/>
      <c r="K226" s="187" t="s">
        <v>16464</v>
      </c>
      <c r="L226" s="187" t="s">
        <v>11502</v>
      </c>
      <c r="M226" s="187" t="s">
        <v>12678</v>
      </c>
      <c r="N226" s="187" t="s">
        <v>16465</v>
      </c>
    </row>
    <row r="227" spans="1:14" ht="28.3" customHeight="1">
      <c r="A227" s="187" t="s">
        <v>16499</v>
      </c>
      <c r="B227" s="187" t="s">
        <v>15868</v>
      </c>
      <c r="C227" s="187" t="s">
        <v>51</v>
      </c>
      <c r="D227" s="187" t="s">
        <v>11995</v>
      </c>
      <c r="E227" s="187" t="s">
        <v>11636</v>
      </c>
      <c r="F227" s="187" t="s">
        <v>16500</v>
      </c>
      <c r="G227" s="187" t="s">
        <v>15903</v>
      </c>
      <c r="H227" s="187" t="s">
        <v>11502</v>
      </c>
      <c r="I227" s="187"/>
      <c r="J227" s="187"/>
      <c r="K227" s="187" t="s">
        <v>16464</v>
      </c>
      <c r="L227" s="187" t="s">
        <v>11502</v>
      </c>
      <c r="M227" s="187" t="s">
        <v>12678</v>
      </c>
      <c r="N227" s="187" t="s">
        <v>16465</v>
      </c>
    </row>
    <row r="228" spans="1:14" ht="28.3" customHeight="1">
      <c r="A228" s="187" t="s">
        <v>16501</v>
      </c>
      <c r="B228" s="187" t="s">
        <v>15868</v>
      </c>
      <c r="C228" s="187" t="s">
        <v>51</v>
      </c>
      <c r="D228" s="187" t="s">
        <v>12732</v>
      </c>
      <c r="E228" s="187" t="s">
        <v>12731</v>
      </c>
      <c r="F228" s="187" t="s">
        <v>16502</v>
      </c>
      <c r="G228" s="187" t="s">
        <v>15903</v>
      </c>
      <c r="H228" s="187" t="s">
        <v>11502</v>
      </c>
      <c r="I228" s="187"/>
      <c r="J228" s="187"/>
      <c r="K228" s="187" t="s">
        <v>16464</v>
      </c>
      <c r="L228" s="187" t="s">
        <v>11502</v>
      </c>
      <c r="M228" s="187" t="s">
        <v>12717</v>
      </c>
      <c r="N228" s="187" t="s">
        <v>16465</v>
      </c>
    </row>
    <row r="229" spans="1:14" ht="28.3" customHeight="1">
      <c r="A229" s="187" t="s">
        <v>16503</v>
      </c>
      <c r="B229" s="187" t="s">
        <v>15868</v>
      </c>
      <c r="C229" s="187" t="s">
        <v>51</v>
      </c>
      <c r="D229" s="187" t="s">
        <v>11997</v>
      </c>
      <c r="E229" s="187" t="s">
        <v>11998</v>
      </c>
      <c r="F229" s="187" t="s">
        <v>16504</v>
      </c>
      <c r="G229" s="187" t="s">
        <v>15903</v>
      </c>
      <c r="H229" s="187" t="s">
        <v>11502</v>
      </c>
      <c r="I229" s="187"/>
      <c r="J229" s="187"/>
      <c r="K229" s="187" t="s">
        <v>16464</v>
      </c>
      <c r="L229" s="187" t="s">
        <v>11502</v>
      </c>
      <c r="M229" s="187" t="s">
        <v>12678</v>
      </c>
      <c r="N229" s="187" t="s">
        <v>16465</v>
      </c>
    </row>
    <row r="230" spans="1:14" ht="28.3" customHeight="1">
      <c r="A230" s="187" t="s">
        <v>16505</v>
      </c>
      <c r="B230" s="187" t="s">
        <v>15868</v>
      </c>
      <c r="C230" s="187" t="s">
        <v>51</v>
      </c>
      <c r="D230" s="187" t="s">
        <v>12001</v>
      </c>
      <c r="E230" s="187" t="s">
        <v>12002</v>
      </c>
      <c r="F230" s="187" t="s">
        <v>16506</v>
      </c>
      <c r="G230" s="187" t="s">
        <v>15903</v>
      </c>
      <c r="H230" s="187" t="s">
        <v>11502</v>
      </c>
      <c r="I230" s="187"/>
      <c r="J230" s="187"/>
      <c r="K230" s="187" t="s">
        <v>16464</v>
      </c>
      <c r="L230" s="187" t="s">
        <v>11502</v>
      </c>
      <c r="M230" s="187" t="s">
        <v>12678</v>
      </c>
      <c r="N230" s="187" t="s">
        <v>16465</v>
      </c>
    </row>
    <row r="231" spans="1:14" ht="28.3" customHeight="1">
      <c r="A231" s="187" t="s">
        <v>16507</v>
      </c>
      <c r="B231" s="187" t="s">
        <v>15868</v>
      </c>
      <c r="C231" s="187" t="s">
        <v>51</v>
      </c>
      <c r="D231" s="187" t="s">
        <v>12748</v>
      </c>
      <c r="E231" s="187" t="s">
        <v>12746</v>
      </c>
      <c r="F231" s="187" t="s">
        <v>16508</v>
      </c>
      <c r="G231" s="187" t="s">
        <v>15903</v>
      </c>
      <c r="H231" s="187" t="s">
        <v>11502</v>
      </c>
      <c r="I231" s="187"/>
      <c r="J231" s="187"/>
      <c r="K231" s="187" t="s">
        <v>16464</v>
      </c>
      <c r="L231" s="187" t="s">
        <v>11502</v>
      </c>
      <c r="M231" s="187" t="s">
        <v>12717</v>
      </c>
      <c r="N231" s="187" t="s">
        <v>16465</v>
      </c>
    </row>
    <row r="232" spans="1:14" ht="28.3" customHeight="1">
      <c r="A232" s="187" t="s">
        <v>16509</v>
      </c>
      <c r="B232" s="187" t="s">
        <v>15868</v>
      </c>
      <c r="C232" s="187" t="s">
        <v>51</v>
      </c>
      <c r="D232" s="187" t="s">
        <v>12757</v>
      </c>
      <c r="E232" s="187" t="s">
        <v>12755</v>
      </c>
      <c r="F232" s="187" t="s">
        <v>16510</v>
      </c>
      <c r="G232" s="187" t="s">
        <v>15903</v>
      </c>
      <c r="H232" s="187" t="s">
        <v>11502</v>
      </c>
      <c r="I232" s="187"/>
      <c r="J232" s="187"/>
      <c r="K232" s="187" t="s">
        <v>16464</v>
      </c>
      <c r="L232" s="187" t="s">
        <v>11502</v>
      </c>
      <c r="M232" s="187" t="s">
        <v>12717</v>
      </c>
      <c r="N232" s="187" t="s">
        <v>16465</v>
      </c>
    </row>
    <row r="233" spans="1:14" ht="28.3" customHeight="1">
      <c r="A233" s="187" t="s">
        <v>16511</v>
      </c>
      <c r="B233" s="187" t="s">
        <v>15868</v>
      </c>
      <c r="C233" s="187" t="s">
        <v>51</v>
      </c>
      <c r="D233" s="187" t="s">
        <v>12004</v>
      </c>
      <c r="E233" s="187" t="s">
        <v>12005</v>
      </c>
      <c r="F233" s="187" t="s">
        <v>16512</v>
      </c>
      <c r="G233" s="187" t="s">
        <v>15903</v>
      </c>
      <c r="H233" s="187" t="s">
        <v>11502</v>
      </c>
      <c r="I233" s="187"/>
      <c r="J233" s="187"/>
      <c r="K233" s="187" t="s">
        <v>16464</v>
      </c>
      <c r="L233" s="187" t="s">
        <v>11502</v>
      </c>
      <c r="M233" s="187" t="s">
        <v>12678</v>
      </c>
      <c r="N233" s="187" t="s">
        <v>16465</v>
      </c>
    </row>
    <row r="234" spans="1:14" ht="28.3" customHeight="1">
      <c r="A234" s="187" t="s">
        <v>16513</v>
      </c>
      <c r="B234" s="187" t="s">
        <v>15868</v>
      </c>
      <c r="C234" s="187" t="s">
        <v>51</v>
      </c>
      <c r="D234" s="187" t="s">
        <v>12007</v>
      </c>
      <c r="E234" s="187" t="s">
        <v>12008</v>
      </c>
      <c r="F234" s="187" t="s">
        <v>16514</v>
      </c>
      <c r="G234" s="187" t="s">
        <v>15903</v>
      </c>
      <c r="H234" s="187" t="s">
        <v>11502</v>
      </c>
      <c r="I234" s="187"/>
      <c r="J234" s="187"/>
      <c r="K234" s="187" t="s">
        <v>16464</v>
      </c>
      <c r="L234" s="187" t="s">
        <v>11502</v>
      </c>
      <c r="M234" s="187" t="s">
        <v>12678</v>
      </c>
      <c r="N234" s="187" t="s">
        <v>16465</v>
      </c>
    </row>
    <row r="235" spans="1:14" ht="28.3" customHeight="1">
      <c r="A235" s="187" t="s">
        <v>16515</v>
      </c>
      <c r="B235" s="187" t="s">
        <v>15868</v>
      </c>
      <c r="C235" s="187" t="s">
        <v>51</v>
      </c>
      <c r="D235" s="187" t="s">
        <v>12010</v>
      </c>
      <c r="E235" s="187" t="s">
        <v>12011</v>
      </c>
      <c r="F235" s="187" t="s">
        <v>16516</v>
      </c>
      <c r="G235" s="187" t="s">
        <v>15903</v>
      </c>
      <c r="H235" s="187" t="s">
        <v>11502</v>
      </c>
      <c r="I235" s="187"/>
      <c r="J235" s="187"/>
      <c r="K235" s="187" t="s">
        <v>16464</v>
      </c>
      <c r="L235" s="187" t="s">
        <v>11502</v>
      </c>
      <c r="M235" s="187" t="s">
        <v>12678</v>
      </c>
      <c r="N235" s="187" t="s">
        <v>16465</v>
      </c>
    </row>
    <row r="236" spans="1:14" ht="28.3" customHeight="1">
      <c r="A236" s="187" t="s">
        <v>16517</v>
      </c>
      <c r="B236" s="187" t="s">
        <v>15868</v>
      </c>
      <c r="C236" s="187" t="s">
        <v>51</v>
      </c>
      <c r="D236" s="187" t="s">
        <v>12013</v>
      </c>
      <c r="E236" s="187" t="s">
        <v>12014</v>
      </c>
      <c r="F236" s="187" t="s">
        <v>16518</v>
      </c>
      <c r="G236" s="187" t="s">
        <v>15903</v>
      </c>
      <c r="H236" s="187" t="s">
        <v>11502</v>
      </c>
      <c r="I236" s="187"/>
      <c r="J236" s="187"/>
      <c r="K236" s="187" t="s">
        <v>16464</v>
      </c>
      <c r="L236" s="187" t="s">
        <v>11502</v>
      </c>
      <c r="M236" s="187" t="s">
        <v>12678</v>
      </c>
      <c r="N236" s="187" t="s">
        <v>16465</v>
      </c>
    </row>
    <row r="237" spans="1:14" ht="28.3" customHeight="1">
      <c r="A237" s="187" t="s">
        <v>16519</v>
      </c>
      <c r="B237" s="187" t="s">
        <v>15868</v>
      </c>
      <c r="C237" s="187" t="s">
        <v>51</v>
      </c>
      <c r="D237" s="187" t="s">
        <v>12016</v>
      </c>
      <c r="E237" s="187" t="s">
        <v>11639</v>
      </c>
      <c r="F237" s="187" t="s">
        <v>16520</v>
      </c>
      <c r="G237" s="187" t="s">
        <v>15903</v>
      </c>
      <c r="H237" s="187" t="s">
        <v>11502</v>
      </c>
      <c r="I237" s="187"/>
      <c r="J237" s="187"/>
      <c r="K237" s="187" t="s">
        <v>16464</v>
      </c>
      <c r="L237" s="187" t="s">
        <v>11502</v>
      </c>
      <c r="M237" s="187" t="s">
        <v>12678</v>
      </c>
      <c r="N237" s="187" t="s">
        <v>16465</v>
      </c>
    </row>
    <row r="238" spans="1:14" ht="28.3" customHeight="1">
      <c r="A238" s="187" t="s">
        <v>16521</v>
      </c>
      <c r="B238" s="187" t="s">
        <v>15868</v>
      </c>
      <c r="C238" s="187" t="s">
        <v>51</v>
      </c>
      <c r="D238" s="187" t="s">
        <v>12787</v>
      </c>
      <c r="E238" s="187" t="s">
        <v>12785</v>
      </c>
      <c r="F238" s="187" t="s">
        <v>16156</v>
      </c>
      <c r="G238" s="187" t="s">
        <v>15903</v>
      </c>
      <c r="H238" s="187" t="s">
        <v>11502</v>
      </c>
      <c r="I238" s="187"/>
      <c r="J238" s="187"/>
      <c r="K238" s="187" t="s">
        <v>16464</v>
      </c>
      <c r="L238" s="187" t="s">
        <v>11502</v>
      </c>
      <c r="M238" s="187" t="s">
        <v>12661</v>
      </c>
      <c r="N238" s="187" t="s">
        <v>16465</v>
      </c>
    </row>
    <row r="239" spans="1:14" ht="28.3" customHeight="1">
      <c r="A239" s="187" t="s">
        <v>16522</v>
      </c>
      <c r="B239" s="187" t="s">
        <v>15868</v>
      </c>
      <c r="C239" s="187" t="s">
        <v>51</v>
      </c>
      <c r="D239" s="187" t="s">
        <v>12792</v>
      </c>
      <c r="E239" s="187" t="s">
        <v>12790</v>
      </c>
      <c r="F239" s="187" t="s">
        <v>16229</v>
      </c>
      <c r="G239" s="187" t="s">
        <v>15903</v>
      </c>
      <c r="H239" s="187" t="s">
        <v>11502</v>
      </c>
      <c r="I239" s="187"/>
      <c r="J239" s="187"/>
      <c r="K239" s="187" t="s">
        <v>16464</v>
      </c>
      <c r="L239" s="187" t="s">
        <v>11502</v>
      </c>
      <c r="M239" s="187" t="s">
        <v>12661</v>
      </c>
      <c r="N239" s="187" t="s">
        <v>16465</v>
      </c>
    </row>
    <row r="240" spans="1:14" ht="28.3" customHeight="1">
      <c r="A240" s="187" t="s">
        <v>16523</v>
      </c>
      <c r="B240" s="187" t="s">
        <v>15868</v>
      </c>
      <c r="C240" s="187" t="s">
        <v>51</v>
      </c>
      <c r="D240" s="187" t="s">
        <v>12019</v>
      </c>
      <c r="E240" s="187" t="s">
        <v>12020</v>
      </c>
      <c r="F240" s="187" t="s">
        <v>16524</v>
      </c>
      <c r="G240" s="187" t="s">
        <v>15903</v>
      </c>
      <c r="H240" s="187" t="s">
        <v>11502</v>
      </c>
      <c r="I240" s="187"/>
      <c r="J240" s="187"/>
      <c r="K240" s="187" t="s">
        <v>16464</v>
      </c>
      <c r="L240" s="187" t="s">
        <v>11502</v>
      </c>
      <c r="M240" s="187" t="s">
        <v>12678</v>
      </c>
      <c r="N240" s="187" t="s">
        <v>16465</v>
      </c>
    </row>
    <row r="241" spans="1:14" ht="28.3" customHeight="1">
      <c r="A241" s="187" t="s">
        <v>16525</v>
      </c>
      <c r="B241" s="187" t="s">
        <v>15868</v>
      </c>
      <c r="C241" s="187" t="s">
        <v>51</v>
      </c>
      <c r="D241" s="187" t="s">
        <v>12022</v>
      </c>
      <c r="E241" s="187" t="s">
        <v>12023</v>
      </c>
      <c r="F241" s="187" t="s">
        <v>16526</v>
      </c>
      <c r="G241" s="187" t="s">
        <v>15903</v>
      </c>
      <c r="H241" s="187" t="s">
        <v>11502</v>
      </c>
      <c r="I241" s="187"/>
      <c r="J241" s="187"/>
      <c r="K241" s="187" t="s">
        <v>16464</v>
      </c>
      <c r="L241" s="187" t="s">
        <v>11502</v>
      </c>
      <c r="M241" s="187" t="s">
        <v>12678</v>
      </c>
      <c r="N241" s="187" t="s">
        <v>16465</v>
      </c>
    </row>
    <row r="242" spans="1:14" ht="28.3" customHeight="1">
      <c r="A242" s="187" t="s">
        <v>16527</v>
      </c>
      <c r="B242" s="187" t="s">
        <v>15868</v>
      </c>
      <c r="C242" s="187" t="s">
        <v>51</v>
      </c>
      <c r="D242" s="187" t="s">
        <v>12024</v>
      </c>
      <c r="E242" s="187" t="s">
        <v>12025</v>
      </c>
      <c r="F242" s="187" t="s">
        <v>16528</v>
      </c>
      <c r="G242" s="187" t="s">
        <v>15903</v>
      </c>
      <c r="H242" s="187" t="s">
        <v>11502</v>
      </c>
      <c r="I242" s="187"/>
      <c r="J242" s="187"/>
      <c r="K242" s="187" t="s">
        <v>16464</v>
      </c>
      <c r="L242" s="187" t="s">
        <v>11502</v>
      </c>
      <c r="M242" s="187" t="s">
        <v>12678</v>
      </c>
      <c r="N242" s="187" t="s">
        <v>16465</v>
      </c>
    </row>
    <row r="243" spans="1:14" ht="28.3" customHeight="1">
      <c r="A243" s="187" t="s">
        <v>16529</v>
      </c>
      <c r="B243" s="187" t="s">
        <v>15868</v>
      </c>
      <c r="C243" s="187" t="s">
        <v>51</v>
      </c>
      <c r="D243" s="187" t="s">
        <v>12026</v>
      </c>
      <c r="E243" s="187" t="s">
        <v>12027</v>
      </c>
      <c r="F243" s="187" t="s">
        <v>16530</v>
      </c>
      <c r="G243" s="187" t="s">
        <v>15903</v>
      </c>
      <c r="H243" s="187" t="s">
        <v>11502</v>
      </c>
      <c r="I243" s="187"/>
      <c r="J243" s="187"/>
      <c r="K243" s="187" t="s">
        <v>16464</v>
      </c>
      <c r="L243" s="187" t="s">
        <v>11502</v>
      </c>
      <c r="M243" s="187" t="s">
        <v>12678</v>
      </c>
      <c r="N243" s="187" t="s">
        <v>16465</v>
      </c>
    </row>
    <row r="244" spans="1:14" ht="28.3" customHeight="1">
      <c r="A244" s="187" t="s">
        <v>16531</v>
      </c>
      <c r="B244" s="187" t="s">
        <v>15868</v>
      </c>
      <c r="C244" s="187" t="s">
        <v>51</v>
      </c>
      <c r="D244" s="187" t="s">
        <v>12029</v>
      </c>
      <c r="E244" s="187" t="s">
        <v>11674</v>
      </c>
      <c r="F244" s="187" t="s">
        <v>16532</v>
      </c>
      <c r="G244" s="187" t="s">
        <v>15903</v>
      </c>
      <c r="H244" s="187" t="s">
        <v>11502</v>
      </c>
      <c r="I244" s="187"/>
      <c r="J244" s="187"/>
      <c r="K244" s="187" t="s">
        <v>16464</v>
      </c>
      <c r="L244" s="187" t="s">
        <v>11502</v>
      </c>
      <c r="M244" s="187" t="s">
        <v>12678</v>
      </c>
      <c r="N244" s="187" t="s">
        <v>16465</v>
      </c>
    </row>
    <row r="245" spans="1:14" ht="28.3" customHeight="1">
      <c r="A245" s="187" t="s">
        <v>16533</v>
      </c>
      <c r="B245" s="187" t="s">
        <v>15868</v>
      </c>
      <c r="C245" s="187" t="s">
        <v>51</v>
      </c>
      <c r="D245" s="187" t="s">
        <v>12811</v>
      </c>
      <c r="E245" s="187" t="s">
        <v>12809</v>
      </c>
      <c r="F245" s="187" t="s">
        <v>16534</v>
      </c>
      <c r="G245" s="187" t="s">
        <v>15903</v>
      </c>
      <c r="H245" s="187" t="s">
        <v>11502</v>
      </c>
      <c r="I245" s="187"/>
      <c r="J245" s="187"/>
      <c r="K245" s="187" t="s">
        <v>16464</v>
      </c>
      <c r="L245" s="187" t="s">
        <v>11502</v>
      </c>
      <c r="M245" s="187" t="s">
        <v>12648</v>
      </c>
      <c r="N245" s="187" t="s">
        <v>16465</v>
      </c>
    </row>
    <row r="246" spans="1:14" ht="28.3" customHeight="1">
      <c r="A246" s="187" t="s">
        <v>16535</v>
      </c>
      <c r="B246" s="187" t="s">
        <v>15868</v>
      </c>
      <c r="C246" s="187" t="s">
        <v>51</v>
      </c>
      <c r="D246" s="187" t="s">
        <v>12815</v>
      </c>
      <c r="E246" s="187" t="s">
        <v>12813</v>
      </c>
      <c r="F246" s="187" t="s">
        <v>16536</v>
      </c>
      <c r="G246" s="187" t="s">
        <v>15903</v>
      </c>
      <c r="H246" s="187" t="s">
        <v>11502</v>
      </c>
      <c r="I246" s="187"/>
      <c r="J246" s="187"/>
      <c r="K246" s="187" t="s">
        <v>16464</v>
      </c>
      <c r="L246" s="187" t="s">
        <v>11502</v>
      </c>
      <c r="M246" s="187" t="s">
        <v>12632</v>
      </c>
      <c r="N246" s="187" t="s">
        <v>16465</v>
      </c>
    </row>
    <row r="247" spans="1:14" ht="42.45" customHeight="1">
      <c r="A247" s="187" t="s">
        <v>16537</v>
      </c>
      <c r="B247" s="187" t="s">
        <v>15868</v>
      </c>
      <c r="C247" s="187" t="s">
        <v>51</v>
      </c>
      <c r="D247" s="187" t="s">
        <v>12818</v>
      </c>
      <c r="E247" s="187" t="s">
        <v>12816</v>
      </c>
      <c r="F247" s="187" t="s">
        <v>16538</v>
      </c>
      <c r="G247" s="187" t="s">
        <v>15903</v>
      </c>
      <c r="H247" s="187" t="s">
        <v>11502</v>
      </c>
      <c r="I247" s="187"/>
      <c r="J247" s="187"/>
      <c r="K247" s="187" t="s">
        <v>16464</v>
      </c>
      <c r="L247" s="187" t="s">
        <v>11502</v>
      </c>
      <c r="M247" s="187" t="s">
        <v>12819</v>
      </c>
      <c r="N247" s="187" t="s">
        <v>16465</v>
      </c>
    </row>
    <row r="248" spans="1:14" ht="28.3" customHeight="1">
      <c r="A248" s="187" t="s">
        <v>16539</v>
      </c>
      <c r="B248" s="187" t="s">
        <v>15868</v>
      </c>
      <c r="C248" s="187" t="s">
        <v>51</v>
      </c>
      <c r="D248" s="187" t="s">
        <v>12031</v>
      </c>
      <c r="E248" s="187" t="s">
        <v>12032</v>
      </c>
      <c r="F248" s="187" t="s">
        <v>16540</v>
      </c>
      <c r="G248" s="187" t="s">
        <v>15903</v>
      </c>
      <c r="H248" s="187" t="s">
        <v>11502</v>
      </c>
      <c r="I248" s="187" t="s">
        <v>16470</v>
      </c>
      <c r="J248" s="187"/>
      <c r="K248" s="187" t="s">
        <v>16464</v>
      </c>
      <c r="L248" s="187" t="s">
        <v>11502</v>
      </c>
      <c r="M248" s="187" t="s">
        <v>12678</v>
      </c>
      <c r="N248" s="187" t="s">
        <v>16465</v>
      </c>
    </row>
    <row r="249" spans="1:14" ht="28.3" customHeight="1">
      <c r="A249" s="187" t="s">
        <v>16541</v>
      </c>
      <c r="B249" s="187" t="s">
        <v>15868</v>
      </c>
      <c r="C249" s="187" t="s">
        <v>51</v>
      </c>
      <c r="D249" s="187" t="s">
        <v>12034</v>
      </c>
      <c r="E249" s="187" t="s">
        <v>12035</v>
      </c>
      <c r="F249" s="187" t="s">
        <v>16542</v>
      </c>
      <c r="G249" s="187" t="s">
        <v>15903</v>
      </c>
      <c r="H249" s="187" t="s">
        <v>11502</v>
      </c>
      <c r="I249" s="187"/>
      <c r="J249" s="187"/>
      <c r="K249" s="187" t="s">
        <v>16464</v>
      </c>
      <c r="L249" s="187" t="s">
        <v>11502</v>
      </c>
      <c r="M249" s="187" t="s">
        <v>12678</v>
      </c>
      <c r="N249" s="187" t="s">
        <v>16465</v>
      </c>
    </row>
    <row r="250" spans="1:14" ht="28.3" customHeight="1">
      <c r="A250" s="187" t="s">
        <v>16543</v>
      </c>
      <c r="B250" s="187" t="s">
        <v>15868</v>
      </c>
      <c r="C250" s="187" t="s">
        <v>51</v>
      </c>
      <c r="D250" s="187" t="s">
        <v>12832</v>
      </c>
      <c r="E250" s="187" t="s">
        <v>12830</v>
      </c>
      <c r="F250" s="187" t="s">
        <v>16544</v>
      </c>
      <c r="G250" s="187" t="s">
        <v>15903</v>
      </c>
      <c r="H250" s="187" t="s">
        <v>11502</v>
      </c>
      <c r="I250" s="187"/>
      <c r="J250" s="187"/>
      <c r="K250" s="187" t="s">
        <v>16464</v>
      </c>
      <c r="L250" s="187" t="s">
        <v>11502</v>
      </c>
      <c r="M250" s="187" t="s">
        <v>12661</v>
      </c>
      <c r="N250" s="187" t="s">
        <v>16465</v>
      </c>
    </row>
    <row r="251" spans="1:14" ht="28.3" customHeight="1">
      <c r="A251" s="187" t="s">
        <v>16545</v>
      </c>
      <c r="B251" s="187" t="s">
        <v>15868</v>
      </c>
      <c r="C251" s="187" t="s">
        <v>51</v>
      </c>
      <c r="D251" s="187" t="s">
        <v>12837</v>
      </c>
      <c r="E251" s="187" t="s">
        <v>12835</v>
      </c>
      <c r="F251" s="187" t="s">
        <v>16546</v>
      </c>
      <c r="G251" s="187" t="s">
        <v>15903</v>
      </c>
      <c r="H251" s="187" t="s">
        <v>11502</v>
      </c>
      <c r="I251" s="187"/>
      <c r="J251" s="187"/>
      <c r="K251" s="187" t="s">
        <v>16464</v>
      </c>
      <c r="L251" s="187" t="s">
        <v>11502</v>
      </c>
      <c r="M251" s="187" t="s">
        <v>12661</v>
      </c>
      <c r="N251" s="187" t="s">
        <v>16465</v>
      </c>
    </row>
    <row r="252" spans="1:14" ht="28.3" customHeight="1">
      <c r="A252" s="187" t="s">
        <v>16547</v>
      </c>
      <c r="B252" s="187" t="s">
        <v>15868</v>
      </c>
      <c r="C252" s="187" t="s">
        <v>51</v>
      </c>
      <c r="D252" s="187" t="s">
        <v>12841</v>
      </c>
      <c r="E252" s="187" t="s">
        <v>12839</v>
      </c>
      <c r="F252" s="187" t="s">
        <v>16548</v>
      </c>
      <c r="G252" s="187" t="s">
        <v>15903</v>
      </c>
      <c r="H252" s="187" t="s">
        <v>11502</v>
      </c>
      <c r="I252" s="187"/>
      <c r="J252" s="187"/>
      <c r="K252" s="187" t="s">
        <v>16464</v>
      </c>
      <c r="L252" s="187" t="s">
        <v>11502</v>
      </c>
      <c r="M252" s="187" t="s">
        <v>12661</v>
      </c>
      <c r="N252" s="187" t="s">
        <v>16465</v>
      </c>
    </row>
    <row r="253" spans="1:14" ht="28.3" customHeight="1">
      <c r="A253" s="187" t="s">
        <v>16549</v>
      </c>
      <c r="B253" s="187" t="s">
        <v>15868</v>
      </c>
      <c r="C253" s="187" t="s">
        <v>51</v>
      </c>
      <c r="D253" s="187" t="s">
        <v>12845</v>
      </c>
      <c r="E253" s="187" t="s">
        <v>12843</v>
      </c>
      <c r="F253" s="187" t="s">
        <v>16550</v>
      </c>
      <c r="G253" s="187" t="s">
        <v>15903</v>
      </c>
      <c r="H253" s="187" t="s">
        <v>11502</v>
      </c>
      <c r="I253" s="187"/>
      <c r="J253" s="187"/>
      <c r="K253" s="187" t="s">
        <v>16464</v>
      </c>
      <c r="L253" s="187" t="s">
        <v>11502</v>
      </c>
      <c r="M253" s="187" t="s">
        <v>12661</v>
      </c>
      <c r="N253" s="187" t="s">
        <v>16465</v>
      </c>
    </row>
    <row r="254" spans="1:14" ht="28.3" customHeight="1">
      <c r="A254" s="187" t="s">
        <v>16551</v>
      </c>
      <c r="B254" s="187" t="s">
        <v>15868</v>
      </c>
      <c r="C254" s="187" t="s">
        <v>51</v>
      </c>
      <c r="D254" s="187" t="s">
        <v>12851</v>
      </c>
      <c r="E254" s="187" t="s">
        <v>12849</v>
      </c>
      <c r="F254" s="187" t="s">
        <v>16552</v>
      </c>
      <c r="G254" s="187" t="s">
        <v>15903</v>
      </c>
      <c r="H254" s="187" t="s">
        <v>11502</v>
      </c>
      <c r="I254" s="187"/>
      <c r="J254" s="187"/>
      <c r="K254" s="187" t="s">
        <v>16464</v>
      </c>
      <c r="L254" s="187" t="s">
        <v>11502</v>
      </c>
      <c r="M254" s="187" t="s">
        <v>12661</v>
      </c>
      <c r="N254" s="187" t="s">
        <v>16465</v>
      </c>
    </row>
    <row r="255" spans="1:14" ht="28.3" customHeight="1">
      <c r="A255" s="187" t="s">
        <v>16553</v>
      </c>
      <c r="B255" s="187" t="s">
        <v>15868</v>
      </c>
      <c r="C255" s="187" t="s">
        <v>51</v>
      </c>
      <c r="D255" s="187" t="s">
        <v>12855</v>
      </c>
      <c r="E255" s="187" t="s">
        <v>12853</v>
      </c>
      <c r="F255" s="187" t="s">
        <v>16554</v>
      </c>
      <c r="G255" s="187" t="s">
        <v>15903</v>
      </c>
      <c r="H255" s="187" t="s">
        <v>11502</v>
      </c>
      <c r="I255" s="187"/>
      <c r="J255" s="187"/>
      <c r="K255" s="187" t="s">
        <v>16464</v>
      </c>
      <c r="L255" s="187" t="s">
        <v>11502</v>
      </c>
      <c r="M255" s="187" t="s">
        <v>12661</v>
      </c>
      <c r="N255" s="187" t="s">
        <v>16465</v>
      </c>
    </row>
    <row r="256" spans="1:14" ht="42.45" customHeight="1">
      <c r="A256" s="187" t="s">
        <v>16555</v>
      </c>
      <c r="B256" s="187" t="s">
        <v>15868</v>
      </c>
      <c r="C256" s="187" t="s">
        <v>51</v>
      </c>
      <c r="D256" s="187" t="s">
        <v>12121</v>
      </c>
      <c r="E256" s="187" t="s">
        <v>12857</v>
      </c>
      <c r="F256" s="187" t="s">
        <v>16556</v>
      </c>
      <c r="G256" s="187" t="s">
        <v>15903</v>
      </c>
      <c r="H256" s="187" t="s">
        <v>11502</v>
      </c>
      <c r="I256" s="187"/>
      <c r="J256" s="187"/>
      <c r="K256" s="187" t="s">
        <v>16464</v>
      </c>
      <c r="L256" s="187" t="s">
        <v>11502</v>
      </c>
      <c r="M256" s="187" t="s">
        <v>12819</v>
      </c>
      <c r="N256" s="187" t="s">
        <v>16465</v>
      </c>
    </row>
    <row r="257" spans="1:14" ht="28.3" customHeight="1">
      <c r="A257" s="187" t="s">
        <v>16557</v>
      </c>
      <c r="B257" s="187" t="s">
        <v>15868</v>
      </c>
      <c r="C257" s="187" t="s">
        <v>51</v>
      </c>
      <c r="D257" s="187" t="s">
        <v>12867</v>
      </c>
      <c r="E257" s="187" t="s">
        <v>12865</v>
      </c>
      <c r="F257" s="187" t="s">
        <v>16558</v>
      </c>
      <c r="G257" s="187" t="s">
        <v>15903</v>
      </c>
      <c r="H257" s="187" t="s">
        <v>11502</v>
      </c>
      <c r="I257" s="187"/>
      <c r="J257" s="187"/>
      <c r="K257" s="187" t="s">
        <v>16464</v>
      </c>
      <c r="L257" s="187" t="s">
        <v>11502</v>
      </c>
      <c r="M257" s="187" t="s">
        <v>12632</v>
      </c>
      <c r="N257" s="187" t="s">
        <v>16465</v>
      </c>
    </row>
    <row r="258" spans="1:14" ht="28.3" customHeight="1">
      <c r="A258" s="187" t="s">
        <v>16559</v>
      </c>
      <c r="B258" s="187" t="s">
        <v>15868</v>
      </c>
      <c r="C258" s="187" t="s">
        <v>51</v>
      </c>
      <c r="D258" s="187" t="s">
        <v>12036</v>
      </c>
      <c r="E258" s="187" t="s">
        <v>11672</v>
      </c>
      <c r="F258" s="187" t="s">
        <v>16560</v>
      </c>
      <c r="G258" s="187" t="s">
        <v>15903</v>
      </c>
      <c r="H258" s="187" t="s">
        <v>11502</v>
      </c>
      <c r="I258" s="187"/>
      <c r="J258" s="187"/>
      <c r="K258" s="187" t="s">
        <v>16464</v>
      </c>
      <c r="L258" s="187" t="s">
        <v>11502</v>
      </c>
      <c r="M258" s="187" t="s">
        <v>12678</v>
      </c>
      <c r="N258" s="187" t="s">
        <v>16465</v>
      </c>
    </row>
    <row r="259" spans="1:14" ht="28.3" customHeight="1">
      <c r="A259" s="187" t="s">
        <v>16561</v>
      </c>
      <c r="B259" s="187" t="s">
        <v>15868</v>
      </c>
      <c r="C259" s="187" t="s">
        <v>51</v>
      </c>
      <c r="D259" s="187" t="s">
        <v>12038</v>
      </c>
      <c r="E259" s="187" t="s">
        <v>12039</v>
      </c>
      <c r="F259" s="187" t="s">
        <v>16562</v>
      </c>
      <c r="G259" s="187" t="s">
        <v>15903</v>
      </c>
      <c r="H259" s="187" t="s">
        <v>11502</v>
      </c>
      <c r="I259" s="187"/>
      <c r="J259" s="187"/>
      <c r="K259" s="187" t="s">
        <v>16464</v>
      </c>
      <c r="L259" s="187" t="s">
        <v>11502</v>
      </c>
      <c r="M259" s="187" t="s">
        <v>12678</v>
      </c>
      <c r="N259" s="187" t="s">
        <v>16465</v>
      </c>
    </row>
    <row r="260" spans="1:14" ht="28.3" customHeight="1">
      <c r="A260" s="187" t="s">
        <v>16563</v>
      </c>
      <c r="B260" s="187" t="s">
        <v>15868</v>
      </c>
      <c r="C260" s="187" t="s">
        <v>51</v>
      </c>
      <c r="D260" s="187" t="s">
        <v>12040</v>
      </c>
      <c r="E260" s="187" t="s">
        <v>11673</v>
      </c>
      <c r="F260" s="187" t="s">
        <v>16564</v>
      </c>
      <c r="G260" s="187" t="s">
        <v>15903</v>
      </c>
      <c r="H260" s="187" t="s">
        <v>11502</v>
      </c>
      <c r="I260" s="187"/>
      <c r="J260" s="187"/>
      <c r="K260" s="187" t="s">
        <v>16464</v>
      </c>
      <c r="L260" s="187" t="s">
        <v>11502</v>
      </c>
      <c r="M260" s="187" t="s">
        <v>12678</v>
      </c>
      <c r="N260" s="187" t="s">
        <v>16465</v>
      </c>
    </row>
    <row r="261" spans="1:14" ht="28.3" customHeight="1">
      <c r="A261" s="187" t="s">
        <v>16565</v>
      </c>
      <c r="B261" s="187" t="s">
        <v>15868</v>
      </c>
      <c r="C261" s="187" t="s">
        <v>51</v>
      </c>
      <c r="D261" s="187" t="s">
        <v>12042</v>
      </c>
      <c r="E261" s="187" t="s">
        <v>11675</v>
      </c>
      <c r="F261" s="187" t="s">
        <v>16566</v>
      </c>
      <c r="G261" s="187" t="s">
        <v>15903</v>
      </c>
      <c r="H261" s="187" t="s">
        <v>11502</v>
      </c>
      <c r="I261" s="187"/>
      <c r="J261" s="187"/>
      <c r="K261" s="187" t="s">
        <v>16464</v>
      </c>
      <c r="L261" s="187" t="s">
        <v>11502</v>
      </c>
      <c r="M261" s="187" t="s">
        <v>12678</v>
      </c>
      <c r="N261" s="187" t="s">
        <v>16465</v>
      </c>
    </row>
    <row r="262" spans="1:14" ht="28.3" customHeight="1">
      <c r="A262" s="187" t="s">
        <v>16567</v>
      </c>
      <c r="B262" s="187" t="s">
        <v>15868</v>
      </c>
      <c r="C262" s="187" t="s">
        <v>51</v>
      </c>
      <c r="D262" s="187" t="s">
        <v>12044</v>
      </c>
      <c r="E262" s="187" t="s">
        <v>12045</v>
      </c>
      <c r="F262" s="187" t="s">
        <v>16568</v>
      </c>
      <c r="G262" s="187" t="s">
        <v>15903</v>
      </c>
      <c r="H262" s="187" t="s">
        <v>11502</v>
      </c>
      <c r="I262" s="187"/>
      <c r="J262" s="187"/>
      <c r="K262" s="187" t="s">
        <v>16464</v>
      </c>
      <c r="L262" s="187" t="s">
        <v>11502</v>
      </c>
      <c r="M262" s="187" t="s">
        <v>12678</v>
      </c>
      <c r="N262" s="187" t="s">
        <v>16465</v>
      </c>
    </row>
    <row r="263" spans="1:14" ht="28.3" customHeight="1">
      <c r="A263" s="187" t="s">
        <v>16569</v>
      </c>
      <c r="B263" s="187" t="s">
        <v>15868</v>
      </c>
      <c r="C263" s="187" t="s">
        <v>51</v>
      </c>
      <c r="D263" s="187" t="s">
        <v>12047</v>
      </c>
      <c r="E263" s="187" t="s">
        <v>12048</v>
      </c>
      <c r="F263" s="187" t="s">
        <v>16570</v>
      </c>
      <c r="G263" s="187" t="s">
        <v>15903</v>
      </c>
      <c r="H263" s="187" t="s">
        <v>11502</v>
      </c>
      <c r="I263" s="187"/>
      <c r="J263" s="187"/>
      <c r="K263" s="187" t="s">
        <v>16464</v>
      </c>
      <c r="L263" s="187" t="s">
        <v>11502</v>
      </c>
      <c r="M263" s="187" t="s">
        <v>12678</v>
      </c>
      <c r="N263" s="187" t="s">
        <v>16465</v>
      </c>
    </row>
    <row r="264" spans="1:14" ht="28.3" customHeight="1">
      <c r="A264" s="187" t="s">
        <v>16571</v>
      </c>
      <c r="B264" s="187" t="s">
        <v>15868</v>
      </c>
      <c r="C264" s="187" t="s">
        <v>51</v>
      </c>
      <c r="D264" s="187" t="s">
        <v>12049</v>
      </c>
      <c r="E264" s="187" t="s">
        <v>12050</v>
      </c>
      <c r="F264" s="187" t="s">
        <v>16572</v>
      </c>
      <c r="G264" s="187" t="s">
        <v>15903</v>
      </c>
      <c r="H264" s="187" t="s">
        <v>11502</v>
      </c>
      <c r="I264" s="187"/>
      <c r="J264" s="187"/>
      <c r="K264" s="187" t="s">
        <v>16464</v>
      </c>
      <c r="L264" s="187" t="s">
        <v>11502</v>
      </c>
      <c r="M264" s="187" t="s">
        <v>12678</v>
      </c>
      <c r="N264" s="187" t="s">
        <v>16465</v>
      </c>
    </row>
    <row r="265" spans="1:14" ht="28.3" customHeight="1">
      <c r="A265" s="187" t="s">
        <v>16573</v>
      </c>
      <c r="B265" s="187" t="s">
        <v>15868</v>
      </c>
      <c r="C265" s="187" t="s">
        <v>51</v>
      </c>
      <c r="D265" s="187" t="s">
        <v>12051</v>
      </c>
      <c r="E265" s="187" t="s">
        <v>12052</v>
      </c>
      <c r="F265" s="187" t="s">
        <v>16574</v>
      </c>
      <c r="G265" s="187" t="s">
        <v>15903</v>
      </c>
      <c r="H265" s="187" t="s">
        <v>11502</v>
      </c>
      <c r="I265" s="187"/>
      <c r="J265" s="187"/>
      <c r="K265" s="187" t="s">
        <v>16464</v>
      </c>
      <c r="L265" s="187" t="s">
        <v>11502</v>
      </c>
      <c r="M265" s="187" t="s">
        <v>12678</v>
      </c>
      <c r="N265" s="187" t="s">
        <v>16465</v>
      </c>
    </row>
    <row r="266" spans="1:14" ht="28.3" customHeight="1">
      <c r="A266" s="187" t="s">
        <v>16575</v>
      </c>
      <c r="B266" s="187" t="s">
        <v>15868</v>
      </c>
      <c r="C266" s="187" t="s">
        <v>51</v>
      </c>
      <c r="D266" s="187" t="s">
        <v>12054</v>
      </c>
      <c r="E266" s="187" t="s">
        <v>12055</v>
      </c>
      <c r="F266" s="187" t="s">
        <v>16576</v>
      </c>
      <c r="G266" s="187" t="s">
        <v>15903</v>
      </c>
      <c r="H266" s="187" t="s">
        <v>11502</v>
      </c>
      <c r="I266" s="187"/>
      <c r="J266" s="187"/>
      <c r="K266" s="187" t="s">
        <v>16464</v>
      </c>
      <c r="L266" s="187" t="s">
        <v>11502</v>
      </c>
      <c r="M266" s="187" t="s">
        <v>12678</v>
      </c>
      <c r="N266" s="187" t="s">
        <v>16465</v>
      </c>
    </row>
    <row r="267" spans="1:14" ht="28.3" customHeight="1">
      <c r="A267" s="187" t="s">
        <v>16577</v>
      </c>
      <c r="B267" s="187" t="s">
        <v>15868</v>
      </c>
      <c r="C267" s="187" t="s">
        <v>51</v>
      </c>
      <c r="D267" s="187" t="s">
        <v>12056</v>
      </c>
      <c r="E267" s="187" t="s">
        <v>11677</v>
      </c>
      <c r="F267" s="187" t="s">
        <v>16578</v>
      </c>
      <c r="G267" s="187" t="s">
        <v>15903</v>
      </c>
      <c r="H267" s="187" t="s">
        <v>11502</v>
      </c>
      <c r="I267" s="187"/>
      <c r="J267" s="187"/>
      <c r="K267" s="187" t="s">
        <v>16464</v>
      </c>
      <c r="L267" s="187" t="s">
        <v>11502</v>
      </c>
      <c r="M267" s="187" t="s">
        <v>12678</v>
      </c>
      <c r="N267" s="187" t="s">
        <v>16465</v>
      </c>
    </row>
    <row r="268" spans="1:14" ht="28.3" customHeight="1">
      <c r="A268" s="187" t="s">
        <v>16579</v>
      </c>
      <c r="B268" s="187" t="s">
        <v>15868</v>
      </c>
      <c r="C268" s="187" t="s">
        <v>51</v>
      </c>
      <c r="D268" s="187" t="s">
        <v>12902</v>
      </c>
      <c r="E268" s="187" t="s">
        <v>12900</v>
      </c>
      <c r="F268" s="187" t="s">
        <v>16580</v>
      </c>
      <c r="G268" s="187" t="s">
        <v>15903</v>
      </c>
      <c r="H268" s="187" t="s">
        <v>11502</v>
      </c>
      <c r="I268" s="187"/>
      <c r="J268" s="187"/>
      <c r="K268" s="187" t="s">
        <v>16464</v>
      </c>
      <c r="L268" s="187" t="s">
        <v>11502</v>
      </c>
      <c r="M268" s="187" t="s">
        <v>12632</v>
      </c>
      <c r="N268" s="187" t="s">
        <v>16465</v>
      </c>
    </row>
    <row r="269" spans="1:14" ht="28.3" customHeight="1">
      <c r="A269" s="187" t="s">
        <v>16581</v>
      </c>
      <c r="B269" s="187" t="s">
        <v>15868</v>
      </c>
      <c r="C269" s="187" t="s">
        <v>51</v>
      </c>
      <c r="D269" s="187" t="s">
        <v>12905</v>
      </c>
      <c r="E269" s="187" t="s">
        <v>12903</v>
      </c>
      <c r="F269" s="187" t="s">
        <v>16582</v>
      </c>
      <c r="G269" s="187" t="s">
        <v>15903</v>
      </c>
      <c r="H269" s="187" t="s">
        <v>11502</v>
      </c>
      <c r="I269" s="187"/>
      <c r="J269" s="187"/>
      <c r="K269" s="187" t="s">
        <v>16464</v>
      </c>
      <c r="L269" s="187" t="s">
        <v>11502</v>
      </c>
      <c r="M269" s="187" t="s">
        <v>12632</v>
      </c>
      <c r="N269" s="187" t="s">
        <v>16465</v>
      </c>
    </row>
    <row r="270" spans="1:14" ht="28.3" customHeight="1">
      <c r="A270" s="187" t="s">
        <v>16583</v>
      </c>
      <c r="B270" s="187" t="s">
        <v>15868</v>
      </c>
      <c r="C270" s="187" t="s">
        <v>51</v>
      </c>
      <c r="D270" s="187" t="s">
        <v>12907</v>
      </c>
      <c r="E270" s="187" t="s">
        <v>595</v>
      </c>
      <c r="F270" s="187" t="s">
        <v>16584</v>
      </c>
      <c r="G270" s="187" t="s">
        <v>15903</v>
      </c>
      <c r="H270" s="187" t="s">
        <v>11502</v>
      </c>
      <c r="I270" s="187"/>
      <c r="J270" s="187"/>
      <c r="K270" s="187" t="s">
        <v>16464</v>
      </c>
      <c r="L270" s="187" t="s">
        <v>11502</v>
      </c>
      <c r="M270" s="187" t="s">
        <v>12648</v>
      </c>
      <c r="N270" s="187" t="s">
        <v>16465</v>
      </c>
    </row>
    <row r="271" spans="1:14" ht="28.3" customHeight="1">
      <c r="A271" s="187" t="s">
        <v>16585</v>
      </c>
      <c r="B271" s="187" t="s">
        <v>15868</v>
      </c>
      <c r="C271" s="187" t="s">
        <v>51</v>
      </c>
      <c r="D271" s="187" t="s">
        <v>12912</v>
      </c>
      <c r="E271" s="187" t="s">
        <v>12910</v>
      </c>
      <c r="F271" s="187" t="s">
        <v>16586</v>
      </c>
      <c r="G271" s="187" t="s">
        <v>15903</v>
      </c>
      <c r="H271" s="187" t="s">
        <v>11502</v>
      </c>
      <c r="I271" s="187"/>
      <c r="J271" s="187"/>
      <c r="K271" s="187" t="s">
        <v>16464</v>
      </c>
      <c r="L271" s="187" t="s">
        <v>11502</v>
      </c>
      <c r="M271" s="187" t="s">
        <v>12648</v>
      </c>
      <c r="N271" s="187" t="s">
        <v>16465</v>
      </c>
    </row>
    <row r="272" spans="1:14" ht="28.3" customHeight="1">
      <c r="A272" s="187" t="s">
        <v>16587</v>
      </c>
      <c r="B272" s="187" t="s">
        <v>15868</v>
      </c>
      <c r="C272" s="187" t="s">
        <v>51</v>
      </c>
      <c r="D272" s="187" t="s">
        <v>12915</v>
      </c>
      <c r="E272" s="187" t="s">
        <v>12913</v>
      </c>
      <c r="F272" s="187" t="s">
        <v>16588</v>
      </c>
      <c r="G272" s="187" t="s">
        <v>15903</v>
      </c>
      <c r="H272" s="187" t="s">
        <v>11502</v>
      </c>
      <c r="I272" s="187"/>
      <c r="J272" s="187"/>
      <c r="K272" s="187" t="s">
        <v>16464</v>
      </c>
      <c r="L272" s="187" t="s">
        <v>11502</v>
      </c>
      <c r="M272" s="187" t="s">
        <v>12648</v>
      </c>
      <c r="N272" s="187" t="s">
        <v>16465</v>
      </c>
    </row>
    <row r="273" spans="1:14" ht="28.3" customHeight="1">
      <c r="A273" s="187" t="s">
        <v>16589</v>
      </c>
      <c r="B273" s="187" t="s">
        <v>15868</v>
      </c>
      <c r="C273" s="187" t="s">
        <v>51</v>
      </c>
      <c r="D273" s="187" t="s">
        <v>12918</v>
      </c>
      <c r="E273" s="187" t="s">
        <v>12916</v>
      </c>
      <c r="F273" s="187" t="s">
        <v>16590</v>
      </c>
      <c r="G273" s="187" t="s">
        <v>15903</v>
      </c>
      <c r="H273" s="187" t="s">
        <v>11502</v>
      </c>
      <c r="I273" s="187"/>
      <c r="J273" s="187"/>
      <c r="K273" s="187" t="s">
        <v>16464</v>
      </c>
      <c r="L273" s="187" t="s">
        <v>11502</v>
      </c>
      <c r="M273" s="187" t="s">
        <v>12648</v>
      </c>
      <c r="N273" s="187" t="s">
        <v>16465</v>
      </c>
    </row>
    <row r="274" spans="1:14" ht="28.3" customHeight="1">
      <c r="A274" s="187" t="s">
        <v>16591</v>
      </c>
      <c r="B274" s="187" t="s">
        <v>15868</v>
      </c>
      <c r="C274" s="187" t="s">
        <v>51</v>
      </c>
      <c r="D274" s="187" t="s">
        <v>12921</v>
      </c>
      <c r="E274" s="187" t="s">
        <v>12919</v>
      </c>
      <c r="F274" s="187" t="s">
        <v>16592</v>
      </c>
      <c r="G274" s="187" t="s">
        <v>15903</v>
      </c>
      <c r="H274" s="187" t="s">
        <v>11502</v>
      </c>
      <c r="I274" s="187"/>
      <c r="J274" s="187"/>
      <c r="K274" s="187" t="s">
        <v>16464</v>
      </c>
      <c r="L274" s="187" t="s">
        <v>11502</v>
      </c>
      <c r="M274" s="187" t="s">
        <v>12648</v>
      </c>
      <c r="N274" s="187" t="s">
        <v>16465</v>
      </c>
    </row>
    <row r="275" spans="1:14" ht="28.3" customHeight="1">
      <c r="A275" s="187" t="s">
        <v>16593</v>
      </c>
      <c r="B275" s="187" t="s">
        <v>15868</v>
      </c>
      <c r="C275" s="187" t="s">
        <v>51</v>
      </c>
      <c r="D275" s="187" t="s">
        <v>12924</v>
      </c>
      <c r="E275" s="187" t="s">
        <v>12922</v>
      </c>
      <c r="F275" s="187" t="s">
        <v>16594</v>
      </c>
      <c r="G275" s="187" t="s">
        <v>15903</v>
      </c>
      <c r="H275" s="187" t="s">
        <v>11502</v>
      </c>
      <c r="I275" s="187"/>
      <c r="J275" s="187"/>
      <c r="K275" s="187" t="s">
        <v>16464</v>
      </c>
      <c r="L275" s="187" t="s">
        <v>11502</v>
      </c>
      <c r="M275" s="187" t="s">
        <v>12648</v>
      </c>
      <c r="N275" s="187" t="s">
        <v>16465</v>
      </c>
    </row>
    <row r="276" spans="1:14" ht="28.3" customHeight="1">
      <c r="A276" s="187" t="s">
        <v>16595</v>
      </c>
      <c r="B276" s="187" t="s">
        <v>15868</v>
      </c>
      <c r="C276" s="187" t="s">
        <v>51</v>
      </c>
      <c r="D276" s="187" t="s">
        <v>12927</v>
      </c>
      <c r="E276" s="187" t="s">
        <v>12925</v>
      </c>
      <c r="F276" s="187" t="s">
        <v>16596</v>
      </c>
      <c r="G276" s="187" t="s">
        <v>15903</v>
      </c>
      <c r="H276" s="187" t="s">
        <v>11502</v>
      </c>
      <c r="I276" s="187"/>
      <c r="J276" s="187"/>
      <c r="K276" s="187" t="s">
        <v>16464</v>
      </c>
      <c r="L276" s="187" t="s">
        <v>11502</v>
      </c>
      <c r="M276" s="187" t="s">
        <v>12648</v>
      </c>
      <c r="N276" s="187" t="s">
        <v>16465</v>
      </c>
    </row>
    <row r="277" spans="1:14" ht="28.3" customHeight="1">
      <c r="A277" s="187" t="s">
        <v>16597</v>
      </c>
      <c r="B277" s="187" t="s">
        <v>15868</v>
      </c>
      <c r="C277" s="187" t="s">
        <v>51</v>
      </c>
      <c r="D277" s="187" t="s">
        <v>12930</v>
      </c>
      <c r="E277" s="187" t="s">
        <v>12928</v>
      </c>
      <c r="F277" s="187" t="s">
        <v>16598</v>
      </c>
      <c r="G277" s="187" t="s">
        <v>15903</v>
      </c>
      <c r="H277" s="187" t="s">
        <v>11502</v>
      </c>
      <c r="I277" s="187"/>
      <c r="J277" s="187"/>
      <c r="K277" s="187" t="s">
        <v>16464</v>
      </c>
      <c r="L277" s="187" t="s">
        <v>11502</v>
      </c>
      <c r="M277" s="187" t="s">
        <v>12648</v>
      </c>
      <c r="N277" s="187" t="s">
        <v>16465</v>
      </c>
    </row>
    <row r="278" spans="1:14" ht="28.3" customHeight="1">
      <c r="A278" s="187" t="s">
        <v>16599</v>
      </c>
      <c r="B278" s="187" t="s">
        <v>15868</v>
      </c>
      <c r="C278" s="187" t="s">
        <v>51</v>
      </c>
      <c r="D278" s="187" t="s">
        <v>12932</v>
      </c>
      <c r="E278" s="187" t="s">
        <v>12931</v>
      </c>
      <c r="F278" s="187" t="s">
        <v>16600</v>
      </c>
      <c r="G278" s="187" t="s">
        <v>15903</v>
      </c>
      <c r="H278" s="187" t="s">
        <v>11502</v>
      </c>
      <c r="I278" s="187"/>
      <c r="J278" s="187"/>
      <c r="K278" s="187" t="s">
        <v>16464</v>
      </c>
      <c r="L278" s="187" t="s">
        <v>11502</v>
      </c>
      <c r="M278" s="187" t="s">
        <v>12632</v>
      </c>
      <c r="N278" s="187" t="s">
        <v>16465</v>
      </c>
    </row>
    <row r="279" spans="1:14" ht="28.3" customHeight="1">
      <c r="A279" s="187" t="s">
        <v>16601</v>
      </c>
      <c r="B279" s="187" t="s">
        <v>15868</v>
      </c>
      <c r="C279" s="187" t="s">
        <v>51</v>
      </c>
      <c r="D279" s="187" t="s">
        <v>12058</v>
      </c>
      <c r="E279" s="187" t="s">
        <v>12059</v>
      </c>
      <c r="F279" s="187" t="s">
        <v>16602</v>
      </c>
      <c r="G279" s="187" t="s">
        <v>15903</v>
      </c>
      <c r="H279" s="187" t="s">
        <v>11502</v>
      </c>
      <c r="I279" s="187"/>
      <c r="J279" s="187"/>
      <c r="K279" s="187" t="s">
        <v>16464</v>
      </c>
      <c r="L279" s="187" t="s">
        <v>11502</v>
      </c>
      <c r="M279" s="187" t="s">
        <v>12678</v>
      </c>
      <c r="N279" s="187" t="s">
        <v>16465</v>
      </c>
    </row>
    <row r="280" spans="1:14" ht="28.3" customHeight="1">
      <c r="A280" s="187" t="s">
        <v>16603</v>
      </c>
      <c r="B280" s="187" t="s">
        <v>15868</v>
      </c>
      <c r="C280" s="187" t="s">
        <v>51</v>
      </c>
      <c r="D280" s="187" t="s">
        <v>12060</v>
      </c>
      <c r="E280" s="187" t="s">
        <v>12061</v>
      </c>
      <c r="F280" s="187" t="s">
        <v>16604</v>
      </c>
      <c r="G280" s="187" t="s">
        <v>15903</v>
      </c>
      <c r="H280" s="187" t="s">
        <v>11502</v>
      </c>
      <c r="I280" s="187"/>
      <c r="J280" s="187"/>
      <c r="K280" s="187" t="s">
        <v>16464</v>
      </c>
      <c r="L280" s="187" t="s">
        <v>11502</v>
      </c>
      <c r="M280" s="187" t="s">
        <v>12678</v>
      </c>
      <c r="N280" s="187" t="s">
        <v>16465</v>
      </c>
    </row>
    <row r="281" spans="1:14" ht="28.3" customHeight="1">
      <c r="A281" s="187" t="s">
        <v>16605</v>
      </c>
      <c r="B281" s="187" t="s">
        <v>15868</v>
      </c>
      <c r="C281" s="187" t="s">
        <v>51</v>
      </c>
      <c r="D281" s="187" t="s">
        <v>12063</v>
      </c>
      <c r="E281" s="187" t="s">
        <v>12064</v>
      </c>
      <c r="F281" s="187" t="s">
        <v>16606</v>
      </c>
      <c r="G281" s="187" t="s">
        <v>15903</v>
      </c>
      <c r="H281" s="187" t="s">
        <v>11502</v>
      </c>
      <c r="I281" s="187"/>
      <c r="J281" s="187"/>
      <c r="K281" s="187" t="s">
        <v>16464</v>
      </c>
      <c r="L281" s="187" t="s">
        <v>11502</v>
      </c>
      <c r="M281" s="187" t="s">
        <v>12678</v>
      </c>
      <c r="N281" s="187" t="s">
        <v>16465</v>
      </c>
    </row>
    <row r="282" spans="1:14" ht="28.3" customHeight="1">
      <c r="A282" s="187" t="s">
        <v>16607</v>
      </c>
      <c r="B282" s="187" t="s">
        <v>15868</v>
      </c>
      <c r="C282" s="187" t="s">
        <v>51</v>
      </c>
      <c r="D282" s="187" t="s">
        <v>12066</v>
      </c>
      <c r="E282" s="187" t="s">
        <v>12067</v>
      </c>
      <c r="F282" s="187" t="s">
        <v>16608</v>
      </c>
      <c r="G282" s="187" t="s">
        <v>15903</v>
      </c>
      <c r="H282" s="187" t="s">
        <v>11502</v>
      </c>
      <c r="I282" s="187"/>
      <c r="J282" s="187"/>
      <c r="K282" s="187" t="s">
        <v>16464</v>
      </c>
      <c r="L282" s="187" t="s">
        <v>11502</v>
      </c>
      <c r="M282" s="187" t="s">
        <v>12678</v>
      </c>
      <c r="N282" s="187" t="s">
        <v>16465</v>
      </c>
    </row>
    <row r="283" spans="1:14" ht="28.3" customHeight="1">
      <c r="A283" s="187" t="s">
        <v>16609</v>
      </c>
      <c r="B283" s="187" t="s">
        <v>15868</v>
      </c>
      <c r="C283" s="187" t="s">
        <v>51</v>
      </c>
      <c r="D283" s="187" t="s">
        <v>12069</v>
      </c>
      <c r="E283" s="187" t="s">
        <v>12070</v>
      </c>
      <c r="F283" s="187" t="s">
        <v>16610</v>
      </c>
      <c r="G283" s="187" t="s">
        <v>15903</v>
      </c>
      <c r="H283" s="187" t="s">
        <v>11502</v>
      </c>
      <c r="I283" s="187"/>
      <c r="J283" s="187"/>
      <c r="K283" s="187" t="s">
        <v>16464</v>
      </c>
      <c r="L283" s="187" t="s">
        <v>11502</v>
      </c>
      <c r="M283" s="187" t="s">
        <v>12678</v>
      </c>
      <c r="N283" s="187" t="s">
        <v>16465</v>
      </c>
    </row>
    <row r="284" spans="1:14" ht="28.3" customHeight="1">
      <c r="A284" s="187" t="s">
        <v>16611</v>
      </c>
      <c r="B284" s="187" t="s">
        <v>15868</v>
      </c>
      <c r="C284" s="187" t="s">
        <v>51</v>
      </c>
      <c r="D284" s="187" t="s">
        <v>12948</v>
      </c>
      <c r="E284" s="187" t="s">
        <v>12946</v>
      </c>
      <c r="F284" s="187" t="s">
        <v>16612</v>
      </c>
      <c r="G284" s="187" t="s">
        <v>15903</v>
      </c>
      <c r="H284" s="187" t="s">
        <v>11502</v>
      </c>
      <c r="I284" s="187"/>
      <c r="J284" s="187"/>
      <c r="K284" s="187" t="s">
        <v>16464</v>
      </c>
      <c r="L284" s="187" t="s">
        <v>11502</v>
      </c>
      <c r="M284" s="187" t="s">
        <v>12632</v>
      </c>
      <c r="N284" s="187" t="s">
        <v>16465</v>
      </c>
    </row>
    <row r="285" spans="1:14" ht="28.3" customHeight="1">
      <c r="A285" s="187" t="s">
        <v>16613</v>
      </c>
      <c r="B285" s="187" t="s">
        <v>15868</v>
      </c>
      <c r="C285" s="187" t="s">
        <v>51</v>
      </c>
      <c r="D285" s="187" t="s">
        <v>12951</v>
      </c>
      <c r="E285" s="187" t="s">
        <v>12949</v>
      </c>
      <c r="F285" s="187" t="s">
        <v>16614</v>
      </c>
      <c r="G285" s="187" t="s">
        <v>15903</v>
      </c>
      <c r="H285" s="187" t="s">
        <v>11502</v>
      </c>
      <c r="I285" s="187"/>
      <c r="J285" s="187"/>
      <c r="K285" s="187" t="s">
        <v>16464</v>
      </c>
      <c r="L285" s="187" t="s">
        <v>11502</v>
      </c>
      <c r="M285" s="187" t="s">
        <v>12648</v>
      </c>
      <c r="N285" s="187" t="s">
        <v>16465</v>
      </c>
    </row>
    <row r="286" spans="1:14" ht="28.3" customHeight="1">
      <c r="A286" s="187" t="s">
        <v>16615</v>
      </c>
      <c r="B286" s="187" t="s">
        <v>15868</v>
      </c>
      <c r="C286" s="187" t="s">
        <v>51</v>
      </c>
      <c r="D286" s="187" t="s">
        <v>12954</v>
      </c>
      <c r="E286" s="187" t="s">
        <v>12952</v>
      </c>
      <c r="F286" s="187" t="s">
        <v>16616</v>
      </c>
      <c r="G286" s="187" t="s">
        <v>15903</v>
      </c>
      <c r="H286" s="187" t="s">
        <v>11502</v>
      </c>
      <c r="I286" s="187"/>
      <c r="J286" s="187"/>
      <c r="K286" s="187" t="s">
        <v>16464</v>
      </c>
      <c r="L286" s="187" t="s">
        <v>11502</v>
      </c>
      <c r="M286" s="187" t="s">
        <v>12648</v>
      </c>
      <c r="N286" s="187" t="s">
        <v>16465</v>
      </c>
    </row>
    <row r="287" spans="1:14" ht="28.3" customHeight="1">
      <c r="A287" s="187" t="s">
        <v>16617</v>
      </c>
      <c r="B287" s="187" t="s">
        <v>15868</v>
      </c>
      <c r="C287" s="187" t="s">
        <v>51</v>
      </c>
      <c r="D287" s="187" t="s">
        <v>12957</v>
      </c>
      <c r="E287" s="187" t="s">
        <v>12955</v>
      </c>
      <c r="F287" s="187" t="s">
        <v>16618</v>
      </c>
      <c r="G287" s="187" t="s">
        <v>15903</v>
      </c>
      <c r="H287" s="187" t="s">
        <v>11502</v>
      </c>
      <c r="I287" s="187"/>
      <c r="J287" s="187"/>
      <c r="K287" s="187" t="s">
        <v>16464</v>
      </c>
      <c r="L287" s="187" t="s">
        <v>11502</v>
      </c>
      <c r="M287" s="187" t="s">
        <v>12648</v>
      </c>
      <c r="N287" s="187" t="s">
        <v>16465</v>
      </c>
    </row>
    <row r="288" spans="1:14" ht="28.3" customHeight="1">
      <c r="A288" s="187" t="s">
        <v>16619</v>
      </c>
      <c r="B288" s="187" t="s">
        <v>15868</v>
      </c>
      <c r="C288" s="187" t="s">
        <v>51</v>
      </c>
      <c r="D288" s="187" t="s">
        <v>12960</v>
      </c>
      <c r="E288" s="187" t="s">
        <v>12958</v>
      </c>
      <c r="F288" s="187" t="s">
        <v>16620</v>
      </c>
      <c r="G288" s="187" t="s">
        <v>15903</v>
      </c>
      <c r="H288" s="187" t="s">
        <v>11502</v>
      </c>
      <c r="I288" s="187"/>
      <c r="J288" s="187"/>
      <c r="K288" s="187" t="s">
        <v>16464</v>
      </c>
      <c r="L288" s="187" t="s">
        <v>11502</v>
      </c>
      <c r="M288" s="187" t="s">
        <v>12648</v>
      </c>
      <c r="N288" s="187" t="s">
        <v>16465</v>
      </c>
    </row>
    <row r="289" spans="1:14" ht="28.3" customHeight="1">
      <c r="A289" s="187" t="s">
        <v>16621</v>
      </c>
      <c r="B289" s="187" t="s">
        <v>15868</v>
      </c>
      <c r="C289" s="187" t="s">
        <v>51</v>
      </c>
      <c r="D289" s="187" t="s">
        <v>12963</v>
      </c>
      <c r="E289" s="187" t="s">
        <v>12961</v>
      </c>
      <c r="F289" s="187" t="s">
        <v>16622</v>
      </c>
      <c r="G289" s="187" t="s">
        <v>15903</v>
      </c>
      <c r="H289" s="187" t="s">
        <v>11502</v>
      </c>
      <c r="I289" s="187"/>
      <c r="J289" s="187"/>
      <c r="K289" s="187" t="s">
        <v>16464</v>
      </c>
      <c r="L289" s="187" t="s">
        <v>11502</v>
      </c>
      <c r="M289" s="187" t="s">
        <v>12648</v>
      </c>
      <c r="N289" s="187" t="s">
        <v>16465</v>
      </c>
    </row>
    <row r="290" spans="1:14" ht="28.3" customHeight="1">
      <c r="A290" s="187" t="s">
        <v>16623</v>
      </c>
      <c r="B290" s="187" t="s">
        <v>15868</v>
      </c>
      <c r="C290" s="187" t="s">
        <v>51</v>
      </c>
      <c r="D290" s="187" t="s">
        <v>12966</v>
      </c>
      <c r="E290" s="187" t="s">
        <v>12964</v>
      </c>
      <c r="F290" s="187" t="s">
        <v>16624</v>
      </c>
      <c r="G290" s="187" t="s">
        <v>15903</v>
      </c>
      <c r="H290" s="187" t="s">
        <v>11502</v>
      </c>
      <c r="I290" s="187"/>
      <c r="J290" s="187"/>
      <c r="K290" s="187" t="s">
        <v>16464</v>
      </c>
      <c r="L290" s="187" t="s">
        <v>11502</v>
      </c>
      <c r="M290" s="187" t="s">
        <v>12632</v>
      </c>
      <c r="N290" s="187" t="s">
        <v>16465</v>
      </c>
    </row>
    <row r="291" spans="1:14" ht="28.3" customHeight="1">
      <c r="A291" s="187" t="s">
        <v>16625</v>
      </c>
      <c r="B291" s="187" t="s">
        <v>15868</v>
      </c>
      <c r="C291" s="187" t="s">
        <v>51</v>
      </c>
      <c r="D291" s="187" t="s">
        <v>12969</v>
      </c>
      <c r="E291" s="187" t="s">
        <v>12967</v>
      </c>
      <c r="F291" s="187" t="s">
        <v>16626</v>
      </c>
      <c r="G291" s="187" t="s">
        <v>15903</v>
      </c>
      <c r="H291" s="187" t="s">
        <v>11502</v>
      </c>
      <c r="I291" s="187"/>
      <c r="J291" s="187"/>
      <c r="K291" s="187" t="s">
        <v>16464</v>
      </c>
      <c r="L291" s="187" t="s">
        <v>11502</v>
      </c>
      <c r="M291" s="187" t="s">
        <v>12648</v>
      </c>
      <c r="N291" s="187" t="s">
        <v>16465</v>
      </c>
    </row>
    <row r="292" spans="1:14" ht="28.3" customHeight="1">
      <c r="A292" s="187" t="s">
        <v>16627</v>
      </c>
      <c r="B292" s="187" t="s">
        <v>15868</v>
      </c>
      <c r="C292" s="187" t="s">
        <v>51</v>
      </c>
      <c r="D292" s="187" t="s">
        <v>12972</v>
      </c>
      <c r="E292" s="187" t="s">
        <v>12970</v>
      </c>
      <c r="F292" s="187" t="s">
        <v>16628</v>
      </c>
      <c r="G292" s="187" t="s">
        <v>15903</v>
      </c>
      <c r="H292" s="187" t="s">
        <v>11502</v>
      </c>
      <c r="I292" s="187"/>
      <c r="J292" s="187"/>
      <c r="K292" s="187" t="s">
        <v>16464</v>
      </c>
      <c r="L292" s="187" t="s">
        <v>11502</v>
      </c>
      <c r="M292" s="187" t="s">
        <v>12648</v>
      </c>
      <c r="N292" s="187" t="s">
        <v>16465</v>
      </c>
    </row>
    <row r="293" spans="1:14" ht="28.3" customHeight="1">
      <c r="A293" s="187" t="s">
        <v>16629</v>
      </c>
      <c r="B293" s="187" t="s">
        <v>15868</v>
      </c>
      <c r="C293" s="187" t="s">
        <v>51</v>
      </c>
      <c r="D293" s="187" t="s">
        <v>12975</v>
      </c>
      <c r="E293" s="187" t="s">
        <v>12973</v>
      </c>
      <c r="F293" s="187" t="s">
        <v>16630</v>
      </c>
      <c r="G293" s="187" t="s">
        <v>15903</v>
      </c>
      <c r="H293" s="187" t="s">
        <v>11502</v>
      </c>
      <c r="I293" s="187"/>
      <c r="J293" s="187"/>
      <c r="K293" s="187" t="s">
        <v>16464</v>
      </c>
      <c r="L293" s="187" t="s">
        <v>11502</v>
      </c>
      <c r="M293" s="187" t="s">
        <v>12648</v>
      </c>
      <c r="N293" s="187" t="s">
        <v>16465</v>
      </c>
    </row>
    <row r="294" spans="1:14" ht="28.3" customHeight="1">
      <c r="A294" s="187" t="s">
        <v>16631</v>
      </c>
      <c r="B294" s="187" t="s">
        <v>15868</v>
      </c>
      <c r="C294" s="187" t="s">
        <v>51</v>
      </c>
      <c r="D294" s="187" t="s">
        <v>12978</v>
      </c>
      <c r="E294" s="187" t="s">
        <v>12976</v>
      </c>
      <c r="F294" s="187" t="s">
        <v>16632</v>
      </c>
      <c r="G294" s="187" t="s">
        <v>15903</v>
      </c>
      <c r="H294" s="187" t="s">
        <v>11502</v>
      </c>
      <c r="I294" s="187"/>
      <c r="J294" s="187"/>
      <c r="K294" s="187" t="s">
        <v>16464</v>
      </c>
      <c r="L294" s="187" t="s">
        <v>11502</v>
      </c>
      <c r="M294" s="187" t="s">
        <v>12648</v>
      </c>
      <c r="N294" s="187" t="s">
        <v>16465</v>
      </c>
    </row>
    <row r="295" spans="1:14" ht="28.3" customHeight="1">
      <c r="A295" s="187" t="s">
        <v>16633</v>
      </c>
      <c r="B295" s="187" t="s">
        <v>15868</v>
      </c>
      <c r="C295" s="187" t="s">
        <v>51</v>
      </c>
      <c r="D295" s="187" t="s">
        <v>12981</v>
      </c>
      <c r="E295" s="187" t="s">
        <v>12979</v>
      </c>
      <c r="F295" s="187" t="s">
        <v>16634</v>
      </c>
      <c r="G295" s="187" t="s">
        <v>15903</v>
      </c>
      <c r="H295" s="187" t="s">
        <v>11502</v>
      </c>
      <c r="I295" s="187"/>
      <c r="J295" s="187"/>
      <c r="K295" s="187" t="s">
        <v>16464</v>
      </c>
      <c r="L295" s="187" t="s">
        <v>11502</v>
      </c>
      <c r="M295" s="187" t="s">
        <v>12648</v>
      </c>
      <c r="N295" s="187" t="s">
        <v>16465</v>
      </c>
    </row>
    <row r="296" spans="1:14" ht="28.3" customHeight="1">
      <c r="A296" s="187" t="s">
        <v>16635</v>
      </c>
      <c r="B296" s="187" t="s">
        <v>15868</v>
      </c>
      <c r="C296" s="187" t="s">
        <v>51</v>
      </c>
      <c r="D296" s="187" t="s">
        <v>12984</v>
      </c>
      <c r="E296" s="187" t="s">
        <v>12982</v>
      </c>
      <c r="F296" s="187" t="s">
        <v>16636</v>
      </c>
      <c r="G296" s="187" t="s">
        <v>15903</v>
      </c>
      <c r="H296" s="187" t="s">
        <v>11502</v>
      </c>
      <c r="I296" s="187"/>
      <c r="J296" s="187"/>
      <c r="K296" s="187" t="s">
        <v>16464</v>
      </c>
      <c r="L296" s="187" t="s">
        <v>11502</v>
      </c>
      <c r="M296" s="187" t="s">
        <v>12632</v>
      </c>
      <c r="N296" s="187" t="s">
        <v>16465</v>
      </c>
    </row>
    <row r="297" spans="1:14" ht="28.3" customHeight="1">
      <c r="A297" s="187" t="s">
        <v>16637</v>
      </c>
      <c r="B297" s="187" t="s">
        <v>15868</v>
      </c>
      <c r="C297" s="187" t="s">
        <v>51</v>
      </c>
      <c r="D297" s="187" t="s">
        <v>12987</v>
      </c>
      <c r="E297" s="187" t="s">
        <v>12985</v>
      </c>
      <c r="F297" s="187" t="s">
        <v>16638</v>
      </c>
      <c r="G297" s="187" t="s">
        <v>15903</v>
      </c>
      <c r="H297" s="187" t="s">
        <v>11502</v>
      </c>
      <c r="I297" s="187"/>
      <c r="J297" s="187"/>
      <c r="K297" s="187" t="s">
        <v>16464</v>
      </c>
      <c r="L297" s="187" t="s">
        <v>11502</v>
      </c>
      <c r="M297" s="187" t="s">
        <v>12632</v>
      </c>
      <c r="N297" s="187" t="s">
        <v>16465</v>
      </c>
    </row>
    <row r="298" spans="1:14" ht="28.3" customHeight="1">
      <c r="A298" s="187" t="s">
        <v>16639</v>
      </c>
      <c r="B298" s="187" t="s">
        <v>15868</v>
      </c>
      <c r="C298" s="187" t="s">
        <v>51</v>
      </c>
      <c r="D298" s="187" t="s">
        <v>12990</v>
      </c>
      <c r="E298" s="187" t="s">
        <v>12988</v>
      </c>
      <c r="F298" s="187" t="s">
        <v>16640</v>
      </c>
      <c r="G298" s="187" t="s">
        <v>15903</v>
      </c>
      <c r="H298" s="187" t="s">
        <v>11502</v>
      </c>
      <c r="I298" s="187"/>
      <c r="J298" s="187"/>
      <c r="K298" s="187" t="s">
        <v>16464</v>
      </c>
      <c r="L298" s="187" t="s">
        <v>11502</v>
      </c>
      <c r="M298" s="187" t="s">
        <v>12648</v>
      </c>
      <c r="N298" s="187" t="s">
        <v>16465</v>
      </c>
    </row>
    <row r="299" spans="1:14" ht="28.3" customHeight="1">
      <c r="A299" s="187" t="s">
        <v>16641</v>
      </c>
      <c r="B299" s="187" t="s">
        <v>15868</v>
      </c>
      <c r="C299" s="187" t="s">
        <v>51</v>
      </c>
      <c r="D299" s="187" t="s">
        <v>12993</v>
      </c>
      <c r="E299" s="187" t="s">
        <v>12991</v>
      </c>
      <c r="F299" s="187" t="s">
        <v>16642</v>
      </c>
      <c r="G299" s="187" t="s">
        <v>15903</v>
      </c>
      <c r="H299" s="187" t="s">
        <v>11502</v>
      </c>
      <c r="I299" s="187"/>
      <c r="J299" s="187"/>
      <c r="K299" s="187" t="s">
        <v>16464</v>
      </c>
      <c r="L299" s="187" t="s">
        <v>11502</v>
      </c>
      <c r="M299" s="187" t="s">
        <v>12648</v>
      </c>
      <c r="N299" s="187" t="s">
        <v>16465</v>
      </c>
    </row>
    <row r="300" spans="1:14" ht="28.3" customHeight="1">
      <c r="A300" s="187" t="s">
        <v>16643</v>
      </c>
      <c r="B300" s="187" t="s">
        <v>15868</v>
      </c>
      <c r="C300" s="187" t="s">
        <v>51</v>
      </c>
      <c r="D300" s="187" t="s">
        <v>12996</v>
      </c>
      <c r="E300" s="187" t="s">
        <v>12994</v>
      </c>
      <c r="F300" s="187" t="s">
        <v>16644</v>
      </c>
      <c r="G300" s="187" t="s">
        <v>15903</v>
      </c>
      <c r="H300" s="187" t="s">
        <v>11502</v>
      </c>
      <c r="I300" s="187"/>
      <c r="J300" s="187"/>
      <c r="K300" s="187" t="s">
        <v>16464</v>
      </c>
      <c r="L300" s="187" t="s">
        <v>11502</v>
      </c>
      <c r="M300" s="187" t="s">
        <v>12648</v>
      </c>
      <c r="N300" s="187" t="s">
        <v>16465</v>
      </c>
    </row>
    <row r="301" spans="1:14" ht="28.3" customHeight="1">
      <c r="A301" s="187" t="s">
        <v>16645</v>
      </c>
      <c r="B301" s="187" t="s">
        <v>15868</v>
      </c>
      <c r="C301" s="187" t="s">
        <v>51</v>
      </c>
      <c r="D301" s="187" t="s">
        <v>12999</v>
      </c>
      <c r="E301" s="187" t="s">
        <v>12997</v>
      </c>
      <c r="F301" s="187" t="s">
        <v>16646</v>
      </c>
      <c r="G301" s="187" t="s">
        <v>15903</v>
      </c>
      <c r="H301" s="187" t="s">
        <v>11502</v>
      </c>
      <c r="I301" s="187"/>
      <c r="J301" s="187"/>
      <c r="K301" s="187" t="s">
        <v>16464</v>
      </c>
      <c r="L301" s="187" t="s">
        <v>11502</v>
      </c>
      <c r="M301" s="187" t="s">
        <v>12648</v>
      </c>
      <c r="N301" s="187" t="s">
        <v>16465</v>
      </c>
    </row>
    <row r="302" spans="1:14" ht="28.3" customHeight="1">
      <c r="A302" s="187" t="s">
        <v>16647</v>
      </c>
      <c r="B302" s="187" t="s">
        <v>15868</v>
      </c>
      <c r="C302" s="187" t="s">
        <v>51</v>
      </c>
      <c r="D302" s="187" t="s">
        <v>13002</v>
      </c>
      <c r="E302" s="187" t="s">
        <v>13000</v>
      </c>
      <c r="F302" s="187" t="s">
        <v>16648</v>
      </c>
      <c r="G302" s="187" t="s">
        <v>15903</v>
      </c>
      <c r="H302" s="187" t="s">
        <v>11502</v>
      </c>
      <c r="I302" s="187"/>
      <c r="J302" s="187"/>
      <c r="K302" s="187" t="s">
        <v>16464</v>
      </c>
      <c r="L302" s="187" t="s">
        <v>11502</v>
      </c>
      <c r="M302" s="187" t="s">
        <v>12648</v>
      </c>
      <c r="N302" s="187" t="s">
        <v>16465</v>
      </c>
    </row>
    <row r="303" spans="1:14" ht="28.3" customHeight="1">
      <c r="A303" s="187" t="s">
        <v>16649</v>
      </c>
      <c r="B303" s="187" t="s">
        <v>15868</v>
      </c>
      <c r="C303" s="187" t="s">
        <v>51</v>
      </c>
      <c r="D303" s="187" t="s">
        <v>13005</v>
      </c>
      <c r="E303" s="187" t="s">
        <v>13003</v>
      </c>
      <c r="F303" s="187" t="s">
        <v>16650</v>
      </c>
      <c r="G303" s="187" t="s">
        <v>15903</v>
      </c>
      <c r="H303" s="187" t="s">
        <v>11502</v>
      </c>
      <c r="I303" s="187"/>
      <c r="J303" s="187"/>
      <c r="K303" s="187" t="s">
        <v>16464</v>
      </c>
      <c r="L303" s="187" t="s">
        <v>11502</v>
      </c>
      <c r="M303" s="187" t="s">
        <v>12632</v>
      </c>
      <c r="N303" s="187" t="s">
        <v>16465</v>
      </c>
    </row>
    <row r="304" spans="1:14" ht="28.3" customHeight="1">
      <c r="A304" s="187" t="s">
        <v>16651</v>
      </c>
      <c r="B304" s="187" t="s">
        <v>15868</v>
      </c>
      <c r="C304" s="187" t="s">
        <v>51</v>
      </c>
      <c r="D304" s="187" t="s">
        <v>13008</v>
      </c>
      <c r="E304" s="187" t="s">
        <v>13006</v>
      </c>
      <c r="F304" s="187" t="s">
        <v>16652</v>
      </c>
      <c r="G304" s="187" t="s">
        <v>15903</v>
      </c>
      <c r="H304" s="187" t="s">
        <v>11502</v>
      </c>
      <c r="I304" s="187"/>
      <c r="J304" s="187"/>
      <c r="K304" s="187" t="s">
        <v>16464</v>
      </c>
      <c r="L304" s="187" t="s">
        <v>11502</v>
      </c>
      <c r="M304" s="187" t="s">
        <v>13010</v>
      </c>
      <c r="N304" s="187" t="s">
        <v>16465</v>
      </c>
    </row>
    <row r="305" spans="1:14" ht="28.3" customHeight="1">
      <c r="A305" s="187" t="s">
        <v>16653</v>
      </c>
      <c r="B305" s="187" t="s">
        <v>15868</v>
      </c>
      <c r="C305" s="187" t="s">
        <v>51</v>
      </c>
      <c r="D305" s="187" t="s">
        <v>12072</v>
      </c>
      <c r="E305" s="187" t="s">
        <v>12073</v>
      </c>
      <c r="F305" s="187" t="s">
        <v>16654</v>
      </c>
      <c r="G305" s="187" t="s">
        <v>15903</v>
      </c>
      <c r="H305" s="187" t="s">
        <v>11502</v>
      </c>
      <c r="I305" s="187"/>
      <c r="J305" s="187"/>
      <c r="K305" s="187" t="s">
        <v>16464</v>
      </c>
      <c r="L305" s="187" t="s">
        <v>11502</v>
      </c>
      <c r="M305" s="187" t="s">
        <v>12678</v>
      </c>
      <c r="N305" s="187" t="s">
        <v>16465</v>
      </c>
    </row>
    <row r="306" spans="1:14" ht="28.3" customHeight="1">
      <c r="A306" s="187" t="s">
        <v>16655</v>
      </c>
      <c r="B306" s="187" t="s">
        <v>15868</v>
      </c>
      <c r="C306" s="187" t="s">
        <v>51</v>
      </c>
      <c r="D306" s="187" t="s">
        <v>13022</v>
      </c>
      <c r="E306" s="187" t="s">
        <v>13020</v>
      </c>
      <c r="F306" s="187" t="s">
        <v>16656</v>
      </c>
      <c r="G306" s="187" t="s">
        <v>15903</v>
      </c>
      <c r="H306" s="187" t="s">
        <v>11502</v>
      </c>
      <c r="I306" s="187"/>
      <c r="J306" s="187"/>
      <c r="K306" s="187" t="s">
        <v>16464</v>
      </c>
      <c r="L306" s="187" t="s">
        <v>11502</v>
      </c>
      <c r="M306" s="187" t="s">
        <v>12648</v>
      </c>
      <c r="N306" s="187" t="s">
        <v>16465</v>
      </c>
    </row>
    <row r="307" spans="1:14" ht="28.3" customHeight="1">
      <c r="A307" s="187" t="s">
        <v>16657</v>
      </c>
      <c r="B307" s="187" t="s">
        <v>15868</v>
      </c>
      <c r="C307" s="187" t="s">
        <v>51</v>
      </c>
      <c r="D307" s="187" t="s">
        <v>12075</v>
      </c>
      <c r="E307" s="187" t="s">
        <v>12076</v>
      </c>
      <c r="F307" s="187" t="s">
        <v>16658</v>
      </c>
      <c r="G307" s="187" t="s">
        <v>15903</v>
      </c>
      <c r="H307" s="187" t="s">
        <v>11502</v>
      </c>
      <c r="I307" s="187"/>
      <c r="J307" s="187"/>
      <c r="K307" s="187" t="s">
        <v>16464</v>
      </c>
      <c r="L307" s="187" t="s">
        <v>11502</v>
      </c>
      <c r="M307" s="187" t="s">
        <v>12678</v>
      </c>
      <c r="N307" s="187" t="s">
        <v>16465</v>
      </c>
    </row>
    <row r="308" spans="1:14" ht="28.3" customHeight="1">
      <c r="A308" s="187" t="s">
        <v>16659</v>
      </c>
      <c r="B308" s="187" t="s">
        <v>15868</v>
      </c>
      <c r="C308" s="187" t="s">
        <v>51</v>
      </c>
      <c r="D308" s="187" t="s">
        <v>13031</v>
      </c>
      <c r="E308" s="187" t="s">
        <v>13029</v>
      </c>
      <c r="F308" s="187" t="s">
        <v>16660</v>
      </c>
      <c r="G308" s="187" t="s">
        <v>15903</v>
      </c>
      <c r="H308" s="187" t="s">
        <v>11502</v>
      </c>
      <c r="I308" s="187"/>
      <c r="J308" s="187"/>
      <c r="K308" s="187" t="s">
        <v>16464</v>
      </c>
      <c r="L308" s="187" t="s">
        <v>11502</v>
      </c>
      <c r="M308" s="187" t="s">
        <v>12632</v>
      </c>
      <c r="N308" s="187" t="s">
        <v>16465</v>
      </c>
    </row>
    <row r="309" spans="1:14" ht="28.3" customHeight="1">
      <c r="A309" s="187" t="s">
        <v>16661</v>
      </c>
      <c r="B309" s="187" t="s">
        <v>15868</v>
      </c>
      <c r="C309" s="187" t="s">
        <v>51</v>
      </c>
      <c r="D309" s="187" t="s">
        <v>12078</v>
      </c>
      <c r="E309" s="187" t="s">
        <v>12079</v>
      </c>
      <c r="F309" s="187" t="s">
        <v>16662</v>
      </c>
      <c r="G309" s="187" t="s">
        <v>15903</v>
      </c>
      <c r="H309" s="187" t="s">
        <v>11502</v>
      </c>
      <c r="I309" s="187"/>
      <c r="J309" s="187"/>
      <c r="K309" s="187" t="s">
        <v>16464</v>
      </c>
      <c r="L309" s="187" t="s">
        <v>11502</v>
      </c>
      <c r="M309" s="187" t="s">
        <v>12678</v>
      </c>
      <c r="N309" s="187" t="s">
        <v>16465</v>
      </c>
    </row>
    <row r="310" spans="1:14" ht="28.3" customHeight="1">
      <c r="A310" s="187" t="s">
        <v>16663</v>
      </c>
      <c r="B310" s="187" t="s">
        <v>15868</v>
      </c>
      <c r="C310" s="187" t="s">
        <v>51</v>
      </c>
      <c r="D310" s="187" t="s">
        <v>12117</v>
      </c>
      <c r="E310" s="187" t="s">
        <v>12118</v>
      </c>
      <c r="F310" s="187" t="s">
        <v>16664</v>
      </c>
      <c r="G310" s="187" t="s">
        <v>15903</v>
      </c>
      <c r="H310" s="187" t="s">
        <v>11502</v>
      </c>
      <c r="I310" s="187"/>
      <c r="J310" s="187"/>
      <c r="K310" s="187" t="s">
        <v>16464</v>
      </c>
      <c r="L310" s="187" t="s">
        <v>11502</v>
      </c>
      <c r="M310" s="187" t="s">
        <v>13010</v>
      </c>
      <c r="N310" s="187" t="s">
        <v>16465</v>
      </c>
    </row>
    <row r="311" spans="1:14" ht="28.3" customHeight="1">
      <c r="A311" s="187" t="s">
        <v>16665</v>
      </c>
      <c r="B311" s="187" t="s">
        <v>15868</v>
      </c>
      <c r="C311" s="187" t="s">
        <v>51</v>
      </c>
      <c r="D311" s="187" t="s">
        <v>12081</v>
      </c>
      <c r="E311" s="187" t="s">
        <v>12082</v>
      </c>
      <c r="F311" s="187" t="s">
        <v>16666</v>
      </c>
      <c r="G311" s="187" t="s">
        <v>15903</v>
      </c>
      <c r="H311" s="187" t="s">
        <v>11502</v>
      </c>
      <c r="I311" s="187"/>
      <c r="J311" s="187"/>
      <c r="K311" s="187" t="s">
        <v>16464</v>
      </c>
      <c r="L311" s="187" t="s">
        <v>11502</v>
      </c>
      <c r="M311" s="187" t="s">
        <v>12678</v>
      </c>
      <c r="N311" s="187" t="s">
        <v>16465</v>
      </c>
    </row>
    <row r="312" spans="1:14" ht="28.3" customHeight="1">
      <c r="A312" s="187" t="s">
        <v>16667</v>
      </c>
      <c r="B312" s="187" t="s">
        <v>15868</v>
      </c>
      <c r="C312" s="187" t="s">
        <v>51</v>
      </c>
      <c r="D312" s="187" t="s">
        <v>12084</v>
      </c>
      <c r="E312" s="187" t="s">
        <v>11651</v>
      </c>
      <c r="F312" s="187" t="s">
        <v>16668</v>
      </c>
      <c r="G312" s="187" t="s">
        <v>15903</v>
      </c>
      <c r="H312" s="187" t="s">
        <v>11502</v>
      </c>
      <c r="I312" s="187"/>
      <c r="J312" s="187"/>
      <c r="K312" s="187" t="s">
        <v>16464</v>
      </c>
      <c r="L312" s="187" t="s">
        <v>11502</v>
      </c>
      <c r="M312" s="187" t="s">
        <v>12678</v>
      </c>
      <c r="N312" s="187" t="s">
        <v>16465</v>
      </c>
    </row>
    <row r="313" spans="1:14" ht="28.3" customHeight="1">
      <c r="A313" s="187" t="s">
        <v>16669</v>
      </c>
      <c r="B313" s="187" t="s">
        <v>15868</v>
      </c>
      <c r="C313" s="187" t="s">
        <v>51</v>
      </c>
      <c r="D313" s="187" t="s">
        <v>12086</v>
      </c>
      <c r="E313" s="187" t="s">
        <v>12087</v>
      </c>
      <c r="F313" s="187" t="s">
        <v>16670</v>
      </c>
      <c r="G313" s="187" t="s">
        <v>15903</v>
      </c>
      <c r="H313" s="187" t="s">
        <v>11502</v>
      </c>
      <c r="I313" s="187"/>
      <c r="J313" s="187"/>
      <c r="K313" s="187" t="s">
        <v>16464</v>
      </c>
      <c r="L313" s="187" t="s">
        <v>11502</v>
      </c>
      <c r="M313" s="187" t="s">
        <v>12678</v>
      </c>
      <c r="N313" s="187" t="s">
        <v>16465</v>
      </c>
    </row>
    <row r="314" spans="1:14" ht="28.3" customHeight="1">
      <c r="A314" s="187" t="s">
        <v>16671</v>
      </c>
      <c r="B314" s="187" t="s">
        <v>15868</v>
      </c>
      <c r="C314" s="187" t="s">
        <v>51</v>
      </c>
      <c r="D314" s="187" t="s">
        <v>13053</v>
      </c>
      <c r="E314" s="187" t="s">
        <v>13051</v>
      </c>
      <c r="F314" s="187" t="s">
        <v>16672</v>
      </c>
      <c r="G314" s="187" t="s">
        <v>15903</v>
      </c>
      <c r="H314" s="187" t="s">
        <v>11502</v>
      </c>
      <c r="I314" s="187" t="s">
        <v>16470</v>
      </c>
      <c r="J314" s="187"/>
      <c r="K314" s="187" t="s">
        <v>16464</v>
      </c>
      <c r="L314" s="187" t="s">
        <v>11502</v>
      </c>
      <c r="M314" s="187" t="s">
        <v>12661</v>
      </c>
      <c r="N314" s="187" t="s">
        <v>16465</v>
      </c>
    </row>
  </sheetData>
  <autoFilter ref="A4:N314" xr:uid="{00000000-0009-0000-0000-000025000000}"/>
  <mergeCells count="2">
    <mergeCell ref="A2:N2"/>
    <mergeCell ref="A1:N1"/>
  </mergeCells>
  <pageMargins left="0.75" right="0.75" top="1" bottom="1"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rgb="FF1F4E78"/>
  </sheetPr>
  <dimension ref="A1:I314"/>
  <sheetViews>
    <sheetView showGridLines="0" tabSelected="1" workbookViewId="0">
      <pane ySplit="4" topLeftCell="A5" activePane="bottomLeft" state="frozen"/>
      <selection pane="bottomLeft"/>
    </sheetView>
  </sheetViews>
  <sheetFormatPr defaultRowHeight="14.15"/>
  <cols>
    <col min="1" max="1" width="24" customWidth="1"/>
    <col min="2" max="2" width="28" customWidth="1"/>
    <col min="3" max="4" width="34" customWidth="1"/>
    <col min="5" max="5" width="26" customWidth="1"/>
    <col min="6" max="6" width="18" customWidth="1"/>
    <col min="7" max="7" width="38" customWidth="1"/>
    <col min="8" max="8" width="12" customWidth="1"/>
    <col min="9" max="9" width="60" customWidth="1"/>
  </cols>
  <sheetData>
    <row r="1" spans="1:9" ht="24" customHeight="1">
      <c r="A1" s="313" t="s">
        <v>16673</v>
      </c>
      <c r="B1" s="310"/>
      <c r="C1" s="310"/>
      <c r="D1" s="310"/>
      <c r="E1" s="310"/>
      <c r="F1" s="310"/>
      <c r="G1" s="310"/>
      <c r="H1" s="310"/>
      <c r="I1" s="311"/>
    </row>
    <row r="2" spans="1:9" ht="32.049999999999997" customHeight="1">
      <c r="A2" s="309" t="s">
        <v>16674</v>
      </c>
      <c r="B2" s="310"/>
      <c r="C2" s="310"/>
      <c r="D2" s="310"/>
      <c r="E2" s="310"/>
      <c r="F2" s="310"/>
      <c r="G2" s="310"/>
      <c r="H2" s="310"/>
      <c r="I2" s="311"/>
    </row>
    <row r="4" spans="1:9">
      <c r="A4" s="186" t="s">
        <v>15746</v>
      </c>
      <c r="B4" s="186" t="s">
        <v>15747</v>
      </c>
      <c r="C4" s="186" t="s">
        <v>16675</v>
      </c>
      <c r="D4" s="186" t="s">
        <v>15893</v>
      </c>
      <c r="E4" s="186" t="s">
        <v>15750</v>
      </c>
      <c r="F4" s="186" t="s">
        <v>16676</v>
      </c>
      <c r="G4" s="186" t="s">
        <v>16677</v>
      </c>
      <c r="H4" s="186" t="s">
        <v>15899</v>
      </c>
      <c r="I4" s="186" t="s">
        <v>744</v>
      </c>
    </row>
    <row r="5" spans="1:9">
      <c r="A5" s="187" t="s">
        <v>15756</v>
      </c>
      <c r="B5" s="187" t="s">
        <v>15757</v>
      </c>
      <c r="C5" s="187" t="s">
        <v>13062</v>
      </c>
      <c r="D5" s="187" t="s">
        <v>15902</v>
      </c>
      <c r="E5" s="187" t="s">
        <v>15901</v>
      </c>
      <c r="F5" s="187" t="s">
        <v>16678</v>
      </c>
      <c r="G5" s="187" t="s">
        <v>15759</v>
      </c>
      <c r="H5" s="187" t="s">
        <v>11502</v>
      </c>
      <c r="I5" s="187" t="s">
        <v>15761</v>
      </c>
    </row>
    <row r="6" spans="1:9">
      <c r="A6" s="187" t="s">
        <v>15756</v>
      </c>
      <c r="B6" s="187" t="s">
        <v>15757</v>
      </c>
      <c r="C6" s="187" t="s">
        <v>13063</v>
      </c>
      <c r="D6" s="187" t="s">
        <v>15908</v>
      </c>
      <c r="E6" s="187" t="s">
        <v>15907</v>
      </c>
      <c r="F6" s="187" t="s">
        <v>16678</v>
      </c>
      <c r="G6" s="187" t="s">
        <v>15759</v>
      </c>
      <c r="H6" s="187" t="s">
        <v>11502</v>
      </c>
      <c r="I6" s="187" t="s">
        <v>15761</v>
      </c>
    </row>
    <row r="7" spans="1:9">
      <c r="A7" s="187" t="s">
        <v>15756</v>
      </c>
      <c r="B7" s="187" t="s">
        <v>15757</v>
      </c>
      <c r="C7" s="187" t="s">
        <v>13064</v>
      </c>
      <c r="D7" s="187" t="s">
        <v>15912</v>
      </c>
      <c r="E7" s="187" t="s">
        <v>15911</v>
      </c>
      <c r="F7" s="187" t="s">
        <v>16678</v>
      </c>
      <c r="G7" s="187" t="s">
        <v>15759</v>
      </c>
      <c r="H7" s="187" t="s">
        <v>11502</v>
      </c>
      <c r="I7" s="187" t="s">
        <v>15761</v>
      </c>
    </row>
    <row r="8" spans="1:9">
      <c r="A8" s="187" t="s">
        <v>15756</v>
      </c>
      <c r="B8" s="187" t="s">
        <v>15757</v>
      </c>
      <c r="C8" s="187" t="s">
        <v>13065</v>
      </c>
      <c r="D8" s="187" t="s">
        <v>15915</v>
      </c>
      <c r="E8" s="187" t="s">
        <v>15914</v>
      </c>
      <c r="F8" s="187" t="s">
        <v>16678</v>
      </c>
      <c r="G8" s="187" t="s">
        <v>15759</v>
      </c>
      <c r="H8" s="187" t="s">
        <v>11502</v>
      </c>
      <c r="I8" s="187" t="s">
        <v>15761</v>
      </c>
    </row>
    <row r="9" spans="1:9">
      <c r="A9" s="187" t="s">
        <v>15756</v>
      </c>
      <c r="B9" s="187" t="s">
        <v>15757</v>
      </c>
      <c r="C9" s="187" t="s">
        <v>11625</v>
      </c>
      <c r="D9" s="187" t="s">
        <v>15918</v>
      </c>
      <c r="E9" s="187" t="s">
        <v>15917</v>
      </c>
      <c r="F9" s="187" t="s">
        <v>16678</v>
      </c>
      <c r="G9" s="187" t="s">
        <v>15759</v>
      </c>
      <c r="H9" s="187" t="s">
        <v>11502</v>
      </c>
      <c r="I9" s="187" t="s">
        <v>15761</v>
      </c>
    </row>
    <row r="10" spans="1:9">
      <c r="A10" s="187" t="s">
        <v>15756</v>
      </c>
      <c r="B10" s="187" t="s">
        <v>15757</v>
      </c>
      <c r="C10" s="187" t="s">
        <v>13066</v>
      </c>
      <c r="D10" s="187" t="s">
        <v>15921</v>
      </c>
      <c r="E10" s="187" t="s">
        <v>15920</v>
      </c>
      <c r="F10" s="187" t="s">
        <v>16678</v>
      </c>
      <c r="G10" s="187" t="s">
        <v>15759</v>
      </c>
      <c r="H10" s="187" t="s">
        <v>11502</v>
      </c>
      <c r="I10" s="187" t="s">
        <v>15761</v>
      </c>
    </row>
    <row r="11" spans="1:9">
      <c r="A11" s="187" t="s">
        <v>15756</v>
      </c>
      <c r="B11" s="187" t="s">
        <v>15757</v>
      </c>
      <c r="C11" s="187" t="s">
        <v>12623</v>
      </c>
      <c r="D11" s="187" t="s">
        <v>15924</v>
      </c>
      <c r="E11" s="187" t="s">
        <v>15923</v>
      </c>
      <c r="F11" s="187" t="s">
        <v>16678</v>
      </c>
      <c r="G11" s="187" t="s">
        <v>15759</v>
      </c>
      <c r="H11" s="187" t="s">
        <v>11502</v>
      </c>
      <c r="I11" s="187" t="s">
        <v>15761</v>
      </c>
    </row>
    <row r="12" spans="1:9">
      <c r="A12" s="187" t="s">
        <v>15756</v>
      </c>
      <c r="B12" s="187" t="s">
        <v>15757</v>
      </c>
      <c r="C12" s="187" t="s">
        <v>13067</v>
      </c>
      <c r="D12" s="187" t="s">
        <v>15927</v>
      </c>
      <c r="E12" s="187" t="s">
        <v>15926</v>
      </c>
      <c r="F12" s="187" t="s">
        <v>16678</v>
      </c>
      <c r="G12" s="187" t="s">
        <v>15759</v>
      </c>
      <c r="H12" s="187" t="s">
        <v>11502</v>
      </c>
      <c r="I12" s="187" t="s">
        <v>15761</v>
      </c>
    </row>
    <row r="13" spans="1:9">
      <c r="A13" s="187" t="s">
        <v>15756</v>
      </c>
      <c r="B13" s="187" t="s">
        <v>15757</v>
      </c>
      <c r="C13" s="187" t="s">
        <v>742</v>
      </c>
      <c r="D13" s="187" t="s">
        <v>15930</v>
      </c>
      <c r="E13" s="187" t="s">
        <v>15929</v>
      </c>
      <c r="F13" s="187" t="s">
        <v>16678</v>
      </c>
      <c r="G13" s="187" t="s">
        <v>15759</v>
      </c>
      <c r="H13" s="187" t="s">
        <v>11502</v>
      </c>
      <c r="I13" s="187" t="s">
        <v>15761</v>
      </c>
    </row>
    <row r="14" spans="1:9">
      <c r="A14" s="187" t="s">
        <v>15756</v>
      </c>
      <c r="B14" s="187" t="s">
        <v>15757</v>
      </c>
      <c r="C14" s="187" t="s">
        <v>744</v>
      </c>
      <c r="D14" s="187" t="s">
        <v>15934</v>
      </c>
      <c r="E14" s="187" t="s">
        <v>15933</v>
      </c>
      <c r="F14" s="187" t="s">
        <v>16678</v>
      </c>
      <c r="G14" s="187" t="s">
        <v>15759</v>
      </c>
      <c r="H14" s="187" t="s">
        <v>11502</v>
      </c>
      <c r="I14" s="187" t="s">
        <v>15761</v>
      </c>
    </row>
    <row r="15" spans="1:9" ht="28.3" customHeight="1">
      <c r="A15" s="187" t="s">
        <v>15762</v>
      </c>
      <c r="B15" s="187" t="s">
        <v>15763</v>
      </c>
      <c r="C15" s="187" t="s">
        <v>11962</v>
      </c>
      <c r="D15" s="187" t="s">
        <v>15937</v>
      </c>
      <c r="E15" s="187" t="s">
        <v>15936</v>
      </c>
      <c r="F15" s="187" t="s">
        <v>16679</v>
      </c>
      <c r="G15" s="187" t="s">
        <v>15766</v>
      </c>
      <c r="H15" s="187" t="s">
        <v>11502</v>
      </c>
      <c r="I15" s="187" t="s">
        <v>15767</v>
      </c>
    </row>
    <row r="16" spans="1:9" ht="28.3" customHeight="1">
      <c r="A16" s="187" t="s">
        <v>15762</v>
      </c>
      <c r="B16" s="187" t="s">
        <v>15763</v>
      </c>
      <c r="C16" s="187" t="s">
        <v>12608</v>
      </c>
      <c r="D16" s="187" t="s">
        <v>15940</v>
      </c>
      <c r="E16" s="187" t="s">
        <v>15939</v>
      </c>
      <c r="F16" s="187" t="s">
        <v>16679</v>
      </c>
      <c r="G16" s="187" t="s">
        <v>15766</v>
      </c>
      <c r="H16" s="187" t="s">
        <v>11502</v>
      </c>
      <c r="I16" s="187" t="s">
        <v>15767</v>
      </c>
    </row>
    <row r="17" spans="1:9" ht="28.3" customHeight="1">
      <c r="A17" s="187" t="s">
        <v>15762</v>
      </c>
      <c r="B17" s="187" t="s">
        <v>15763</v>
      </c>
      <c r="C17" s="187" t="s">
        <v>12609</v>
      </c>
      <c r="D17" s="187" t="s">
        <v>15944</v>
      </c>
      <c r="E17" s="187" t="s">
        <v>15943</v>
      </c>
      <c r="F17" s="187" t="s">
        <v>16679</v>
      </c>
      <c r="G17" s="187" t="s">
        <v>15766</v>
      </c>
      <c r="H17" s="187" t="s">
        <v>11502</v>
      </c>
      <c r="I17" s="187" t="s">
        <v>15767</v>
      </c>
    </row>
    <row r="18" spans="1:9" ht="28.3" customHeight="1">
      <c r="A18" s="187" t="s">
        <v>15762</v>
      </c>
      <c r="B18" s="187" t="s">
        <v>15763</v>
      </c>
      <c r="C18" s="187" t="s">
        <v>12610</v>
      </c>
      <c r="D18" s="187" t="s">
        <v>15947</v>
      </c>
      <c r="E18" s="187" t="s">
        <v>15946</v>
      </c>
      <c r="F18" s="187" t="s">
        <v>16679</v>
      </c>
      <c r="G18" s="187" t="s">
        <v>15766</v>
      </c>
      <c r="H18" s="187" t="s">
        <v>11502</v>
      </c>
      <c r="I18" s="187" t="s">
        <v>15767</v>
      </c>
    </row>
    <row r="19" spans="1:9" ht="28.3" customHeight="1">
      <c r="A19" s="187" t="s">
        <v>15762</v>
      </c>
      <c r="B19" s="187" t="s">
        <v>15763</v>
      </c>
      <c r="C19" s="187" t="s">
        <v>12611</v>
      </c>
      <c r="D19" s="187" t="s">
        <v>15950</v>
      </c>
      <c r="E19" s="187" t="s">
        <v>15949</v>
      </c>
      <c r="F19" s="187" t="s">
        <v>16679</v>
      </c>
      <c r="G19" s="187" t="s">
        <v>15766</v>
      </c>
      <c r="H19" s="187" t="s">
        <v>11502</v>
      </c>
      <c r="I19" s="187" t="s">
        <v>15767</v>
      </c>
    </row>
    <row r="20" spans="1:9" ht="28.3" customHeight="1">
      <c r="A20" s="187" t="s">
        <v>15762</v>
      </c>
      <c r="B20" s="187" t="s">
        <v>15763</v>
      </c>
      <c r="C20" s="187" t="s">
        <v>12612</v>
      </c>
      <c r="D20" s="187" t="s">
        <v>15953</v>
      </c>
      <c r="E20" s="187" t="s">
        <v>15952</v>
      </c>
      <c r="F20" s="187" t="s">
        <v>16679</v>
      </c>
      <c r="G20" s="187" t="s">
        <v>15766</v>
      </c>
      <c r="H20" s="187" t="s">
        <v>11502</v>
      </c>
      <c r="I20" s="187" t="s">
        <v>15767</v>
      </c>
    </row>
    <row r="21" spans="1:9" ht="28.3" customHeight="1">
      <c r="A21" s="187" t="s">
        <v>15762</v>
      </c>
      <c r="B21" s="187" t="s">
        <v>15763</v>
      </c>
      <c r="C21" s="187" t="s">
        <v>12613</v>
      </c>
      <c r="D21" s="187" t="s">
        <v>15956</v>
      </c>
      <c r="E21" s="187" t="s">
        <v>15955</v>
      </c>
      <c r="F21" s="187" t="s">
        <v>16679</v>
      </c>
      <c r="G21" s="187" t="s">
        <v>15766</v>
      </c>
      <c r="H21" s="187" t="s">
        <v>11502</v>
      </c>
      <c r="I21" s="187" t="s">
        <v>15767</v>
      </c>
    </row>
    <row r="22" spans="1:9" ht="28.3" customHeight="1">
      <c r="A22" s="187" t="s">
        <v>15762</v>
      </c>
      <c r="B22" s="187" t="s">
        <v>15763</v>
      </c>
      <c r="C22" s="187" t="s">
        <v>12614</v>
      </c>
      <c r="D22" s="187" t="s">
        <v>15959</v>
      </c>
      <c r="E22" s="187" t="s">
        <v>15958</v>
      </c>
      <c r="F22" s="187" t="s">
        <v>16679</v>
      </c>
      <c r="G22" s="187" t="s">
        <v>15766</v>
      </c>
      <c r="H22" s="187" t="s">
        <v>11502</v>
      </c>
      <c r="I22" s="187" t="s">
        <v>15767</v>
      </c>
    </row>
    <row r="23" spans="1:9" ht="28.3" customHeight="1">
      <c r="A23" s="187" t="s">
        <v>15762</v>
      </c>
      <c r="B23" s="187" t="s">
        <v>15763</v>
      </c>
      <c r="C23" s="187" t="s">
        <v>12615</v>
      </c>
      <c r="D23" s="187" t="s">
        <v>15962</v>
      </c>
      <c r="E23" s="187" t="s">
        <v>15961</v>
      </c>
      <c r="F23" s="187" t="s">
        <v>16679</v>
      </c>
      <c r="G23" s="187" t="s">
        <v>15766</v>
      </c>
      <c r="H23" s="187" t="s">
        <v>11502</v>
      </c>
      <c r="I23" s="187" t="s">
        <v>15767</v>
      </c>
    </row>
    <row r="24" spans="1:9" ht="28.3" customHeight="1">
      <c r="A24" s="187" t="s">
        <v>15762</v>
      </c>
      <c r="B24" s="187" t="s">
        <v>15763</v>
      </c>
      <c r="C24" s="187" t="s">
        <v>12616</v>
      </c>
      <c r="D24" s="187" t="s">
        <v>15965</v>
      </c>
      <c r="E24" s="187" t="s">
        <v>15964</v>
      </c>
      <c r="F24" s="187" t="s">
        <v>16679</v>
      </c>
      <c r="G24" s="187" t="s">
        <v>15766</v>
      </c>
      <c r="H24" s="187" t="s">
        <v>11502</v>
      </c>
      <c r="I24" s="187" t="s">
        <v>15767</v>
      </c>
    </row>
    <row r="25" spans="1:9" ht="28.3" customHeight="1">
      <c r="A25" s="187" t="s">
        <v>15762</v>
      </c>
      <c r="B25" s="187" t="s">
        <v>15763</v>
      </c>
      <c r="C25" s="187" t="s">
        <v>12617</v>
      </c>
      <c r="D25" s="187" t="s">
        <v>15968</v>
      </c>
      <c r="E25" s="187" t="s">
        <v>15967</v>
      </c>
      <c r="F25" s="187" t="s">
        <v>16679</v>
      </c>
      <c r="G25" s="187" t="s">
        <v>15766</v>
      </c>
      <c r="H25" s="187" t="s">
        <v>11502</v>
      </c>
      <c r="I25" s="187" t="s">
        <v>15767</v>
      </c>
    </row>
    <row r="26" spans="1:9" ht="28.3" customHeight="1">
      <c r="A26" s="187" t="s">
        <v>15762</v>
      </c>
      <c r="B26" s="187" t="s">
        <v>15763</v>
      </c>
      <c r="C26" s="187" t="s">
        <v>12618</v>
      </c>
      <c r="D26" s="187" t="s">
        <v>15971</v>
      </c>
      <c r="E26" s="187" t="s">
        <v>15970</v>
      </c>
      <c r="F26" s="187" t="s">
        <v>16679</v>
      </c>
      <c r="G26" s="187" t="s">
        <v>15766</v>
      </c>
      <c r="H26" s="187" t="s">
        <v>11502</v>
      </c>
      <c r="I26" s="187" t="s">
        <v>15767</v>
      </c>
    </row>
    <row r="27" spans="1:9" ht="28.3" customHeight="1">
      <c r="A27" s="187" t="s">
        <v>15762</v>
      </c>
      <c r="B27" s="187" t="s">
        <v>15763</v>
      </c>
      <c r="C27" s="187" t="s">
        <v>12619</v>
      </c>
      <c r="D27" s="187" t="s">
        <v>15974</v>
      </c>
      <c r="E27" s="187" t="s">
        <v>15973</v>
      </c>
      <c r="F27" s="187" t="s">
        <v>16679</v>
      </c>
      <c r="G27" s="187" t="s">
        <v>15766</v>
      </c>
      <c r="H27" s="187" t="s">
        <v>11502</v>
      </c>
      <c r="I27" s="187" t="s">
        <v>15767</v>
      </c>
    </row>
    <row r="28" spans="1:9" ht="28.3" customHeight="1">
      <c r="A28" s="187" t="s">
        <v>15762</v>
      </c>
      <c r="B28" s="187" t="s">
        <v>15763</v>
      </c>
      <c r="C28" s="187" t="s">
        <v>12620</v>
      </c>
      <c r="D28" s="187" t="s">
        <v>15977</v>
      </c>
      <c r="E28" s="187" t="s">
        <v>15976</v>
      </c>
      <c r="F28" s="187" t="s">
        <v>16679</v>
      </c>
      <c r="G28" s="187" t="s">
        <v>15766</v>
      </c>
      <c r="H28" s="187" t="s">
        <v>11502</v>
      </c>
      <c r="I28" s="187" t="s">
        <v>15767</v>
      </c>
    </row>
    <row r="29" spans="1:9" ht="28.3" customHeight="1">
      <c r="A29" s="187" t="s">
        <v>15762</v>
      </c>
      <c r="B29" s="187" t="s">
        <v>15763</v>
      </c>
      <c r="C29" s="187" t="s">
        <v>12621</v>
      </c>
      <c r="D29" s="187" t="s">
        <v>15980</v>
      </c>
      <c r="E29" s="187" t="s">
        <v>15979</v>
      </c>
      <c r="F29" s="187" t="s">
        <v>16679</v>
      </c>
      <c r="G29" s="187" t="s">
        <v>15766</v>
      </c>
      <c r="H29" s="187" t="s">
        <v>11502</v>
      </c>
      <c r="I29" s="187" t="s">
        <v>15767</v>
      </c>
    </row>
    <row r="30" spans="1:9" ht="28.3" customHeight="1">
      <c r="A30" s="187" t="s">
        <v>15762</v>
      </c>
      <c r="B30" s="187" t="s">
        <v>15763</v>
      </c>
      <c r="C30" s="187" t="s">
        <v>12622</v>
      </c>
      <c r="D30" s="187" t="s">
        <v>15984</v>
      </c>
      <c r="E30" s="187" t="s">
        <v>15983</v>
      </c>
      <c r="F30" s="187" t="s">
        <v>16679</v>
      </c>
      <c r="G30" s="187" t="s">
        <v>15766</v>
      </c>
      <c r="H30" s="187" t="s">
        <v>11502</v>
      </c>
      <c r="I30" s="187" t="s">
        <v>15767</v>
      </c>
    </row>
    <row r="31" spans="1:9" ht="28.3" customHeight="1">
      <c r="A31" s="187" t="s">
        <v>15762</v>
      </c>
      <c r="B31" s="187" t="s">
        <v>15763</v>
      </c>
      <c r="C31" s="187" t="s">
        <v>12623</v>
      </c>
      <c r="D31" s="187" t="s">
        <v>15924</v>
      </c>
      <c r="E31" s="187" t="s">
        <v>15987</v>
      </c>
      <c r="F31" s="187" t="s">
        <v>16679</v>
      </c>
      <c r="G31" s="187" t="s">
        <v>15766</v>
      </c>
      <c r="H31" s="187" t="s">
        <v>11502</v>
      </c>
      <c r="I31" s="187" t="s">
        <v>15767</v>
      </c>
    </row>
    <row r="32" spans="1:9" ht="28.3" customHeight="1">
      <c r="A32" s="187" t="s">
        <v>15762</v>
      </c>
      <c r="B32" s="187" t="s">
        <v>15763</v>
      </c>
      <c r="C32" s="187" t="s">
        <v>12624</v>
      </c>
      <c r="D32" s="187" t="s">
        <v>15990</v>
      </c>
      <c r="E32" s="187" t="s">
        <v>15989</v>
      </c>
      <c r="F32" s="187" t="s">
        <v>16679</v>
      </c>
      <c r="G32" s="187" t="s">
        <v>15766</v>
      </c>
      <c r="H32" s="187" t="s">
        <v>11502</v>
      </c>
      <c r="I32" s="187" t="s">
        <v>15767</v>
      </c>
    </row>
    <row r="33" spans="1:9" ht="28.3" customHeight="1">
      <c r="A33" s="187" t="s">
        <v>15762</v>
      </c>
      <c r="B33" s="187" t="s">
        <v>15763</v>
      </c>
      <c r="C33" s="187" t="s">
        <v>12625</v>
      </c>
      <c r="D33" s="187" t="s">
        <v>15993</v>
      </c>
      <c r="E33" s="187" t="s">
        <v>15992</v>
      </c>
      <c r="F33" s="187" t="s">
        <v>16679</v>
      </c>
      <c r="G33" s="187" t="s">
        <v>15766</v>
      </c>
      <c r="H33" s="187" t="s">
        <v>11502</v>
      </c>
      <c r="I33" s="187" t="s">
        <v>15767</v>
      </c>
    </row>
    <row r="34" spans="1:9" ht="28.3" customHeight="1">
      <c r="A34" s="187" t="s">
        <v>15762</v>
      </c>
      <c r="B34" s="187" t="s">
        <v>15763</v>
      </c>
      <c r="C34" s="187" t="s">
        <v>11627</v>
      </c>
      <c r="D34" s="187" t="s">
        <v>15996</v>
      </c>
      <c r="E34" s="187" t="s">
        <v>15995</v>
      </c>
      <c r="F34" s="187" t="s">
        <v>16679</v>
      </c>
      <c r="G34" s="187" t="s">
        <v>15766</v>
      </c>
      <c r="H34" s="187" t="s">
        <v>11502</v>
      </c>
      <c r="I34" s="187" t="s">
        <v>15767</v>
      </c>
    </row>
    <row r="35" spans="1:9" ht="28.3" customHeight="1">
      <c r="A35" s="187" t="s">
        <v>15762</v>
      </c>
      <c r="B35" s="187" t="s">
        <v>15763</v>
      </c>
      <c r="C35" s="187" t="s">
        <v>12626</v>
      </c>
      <c r="D35" s="187" t="s">
        <v>16000</v>
      </c>
      <c r="E35" s="187" t="s">
        <v>15999</v>
      </c>
      <c r="F35" s="187" t="s">
        <v>16679</v>
      </c>
      <c r="G35" s="187" t="s">
        <v>15766</v>
      </c>
      <c r="H35" s="187" t="s">
        <v>11502</v>
      </c>
      <c r="I35" s="187" t="s">
        <v>15767</v>
      </c>
    </row>
    <row r="36" spans="1:9" ht="28.3" customHeight="1">
      <c r="A36" s="187" t="s">
        <v>15762</v>
      </c>
      <c r="B36" s="187" t="s">
        <v>15763</v>
      </c>
      <c r="C36" s="187" t="s">
        <v>12627</v>
      </c>
      <c r="D36" s="187" t="s">
        <v>16003</v>
      </c>
      <c r="E36" s="187" t="s">
        <v>16002</v>
      </c>
      <c r="F36" s="187" t="s">
        <v>16679</v>
      </c>
      <c r="G36" s="187" t="s">
        <v>15766</v>
      </c>
      <c r="H36" s="187" t="s">
        <v>11502</v>
      </c>
      <c r="I36" s="187" t="s">
        <v>15767</v>
      </c>
    </row>
    <row r="37" spans="1:9" ht="28.3" customHeight="1">
      <c r="A37" s="187" t="s">
        <v>15762</v>
      </c>
      <c r="B37" s="187" t="s">
        <v>15763</v>
      </c>
      <c r="C37" s="187" t="s">
        <v>744</v>
      </c>
      <c r="D37" s="187" t="s">
        <v>15934</v>
      </c>
      <c r="E37" s="187" t="s">
        <v>16005</v>
      </c>
      <c r="F37" s="187" t="s">
        <v>16679</v>
      </c>
      <c r="G37" s="187" t="s">
        <v>15766</v>
      </c>
      <c r="H37" s="187" t="s">
        <v>11502</v>
      </c>
      <c r="I37" s="187" t="s">
        <v>15767</v>
      </c>
    </row>
    <row r="38" spans="1:9">
      <c r="A38" s="187" t="s">
        <v>15768</v>
      </c>
      <c r="B38" s="187" t="s">
        <v>15769</v>
      </c>
      <c r="C38" s="187" t="s">
        <v>11622</v>
      </c>
      <c r="D38" s="187" t="s">
        <v>16008</v>
      </c>
      <c r="E38" s="187" t="s">
        <v>16007</v>
      </c>
      <c r="F38" s="187" t="s">
        <v>16679</v>
      </c>
      <c r="G38" s="187" t="s">
        <v>15772</v>
      </c>
      <c r="H38" s="187" t="s">
        <v>11502</v>
      </c>
      <c r="I38" s="187" t="s">
        <v>15774</v>
      </c>
    </row>
    <row r="39" spans="1:9">
      <c r="A39" s="187" t="s">
        <v>15768</v>
      </c>
      <c r="B39" s="187" t="s">
        <v>15769</v>
      </c>
      <c r="C39" s="187" t="s">
        <v>11623</v>
      </c>
      <c r="D39" s="187" t="s">
        <v>16011</v>
      </c>
      <c r="E39" s="187" t="s">
        <v>16010</v>
      </c>
      <c r="F39" s="187" t="s">
        <v>16679</v>
      </c>
      <c r="G39" s="187" t="s">
        <v>15772</v>
      </c>
      <c r="H39" s="187" t="s">
        <v>11502</v>
      </c>
      <c r="I39" s="187" t="s">
        <v>15774</v>
      </c>
    </row>
    <row r="40" spans="1:9">
      <c r="A40" s="187" t="s">
        <v>15768</v>
      </c>
      <c r="B40" s="187" t="s">
        <v>15769</v>
      </c>
      <c r="C40" s="187" t="s">
        <v>11624</v>
      </c>
      <c r="D40" s="187" t="s">
        <v>16014</v>
      </c>
      <c r="E40" s="187" t="s">
        <v>16013</v>
      </c>
      <c r="F40" s="187" t="s">
        <v>16679</v>
      </c>
      <c r="G40" s="187" t="s">
        <v>15772</v>
      </c>
      <c r="H40" s="187" t="s">
        <v>11502</v>
      </c>
      <c r="I40" s="187" t="s">
        <v>15774</v>
      </c>
    </row>
    <row r="41" spans="1:9">
      <c r="A41" s="187" t="s">
        <v>15768</v>
      </c>
      <c r="B41" s="187" t="s">
        <v>15769</v>
      </c>
      <c r="C41" s="187" t="s">
        <v>348</v>
      </c>
      <c r="D41" s="187" t="s">
        <v>16017</v>
      </c>
      <c r="E41" s="187" t="s">
        <v>16016</v>
      </c>
      <c r="F41" s="187" t="s">
        <v>16679</v>
      </c>
      <c r="G41" s="187" t="s">
        <v>15772</v>
      </c>
      <c r="H41" s="187" t="s">
        <v>11502</v>
      </c>
      <c r="I41" s="187" t="s">
        <v>15774</v>
      </c>
    </row>
    <row r="42" spans="1:9">
      <c r="A42" s="187" t="s">
        <v>15768</v>
      </c>
      <c r="B42" s="187" t="s">
        <v>15769</v>
      </c>
      <c r="C42" s="187" t="s">
        <v>11625</v>
      </c>
      <c r="D42" s="187" t="s">
        <v>15918</v>
      </c>
      <c r="E42" s="187" t="s">
        <v>16019</v>
      </c>
      <c r="F42" s="187" t="s">
        <v>16679</v>
      </c>
      <c r="G42" s="187" t="s">
        <v>15772</v>
      </c>
      <c r="H42" s="187" t="s">
        <v>11502</v>
      </c>
      <c r="I42" s="187" t="s">
        <v>15774</v>
      </c>
    </row>
    <row r="43" spans="1:9">
      <c r="A43" s="187" t="s">
        <v>15768</v>
      </c>
      <c r="B43" s="187" t="s">
        <v>15769</v>
      </c>
      <c r="C43" s="187" t="s">
        <v>11626</v>
      </c>
      <c r="D43" s="187" t="s">
        <v>16022</v>
      </c>
      <c r="E43" s="187" t="s">
        <v>16021</v>
      </c>
      <c r="F43" s="187" t="s">
        <v>16679</v>
      </c>
      <c r="G43" s="187" t="s">
        <v>15772</v>
      </c>
      <c r="H43" s="187" t="s">
        <v>11502</v>
      </c>
      <c r="I43" s="187" t="s">
        <v>15774</v>
      </c>
    </row>
    <row r="44" spans="1:9">
      <c r="A44" s="187" t="s">
        <v>15768</v>
      </c>
      <c r="B44" s="187" t="s">
        <v>15769</v>
      </c>
      <c r="C44" s="187" t="s">
        <v>11627</v>
      </c>
      <c r="D44" s="187" t="s">
        <v>15996</v>
      </c>
      <c r="E44" s="187" t="s">
        <v>16025</v>
      </c>
      <c r="F44" s="187" t="s">
        <v>16679</v>
      </c>
      <c r="G44" s="187" t="s">
        <v>15772</v>
      </c>
      <c r="H44" s="187" t="s">
        <v>11502</v>
      </c>
      <c r="I44" s="187" t="s">
        <v>15774</v>
      </c>
    </row>
    <row r="45" spans="1:9">
      <c r="A45" s="187" t="s">
        <v>15768</v>
      </c>
      <c r="B45" s="187" t="s">
        <v>15769</v>
      </c>
      <c r="C45" s="187" t="s">
        <v>46</v>
      </c>
      <c r="D45" s="187" t="s">
        <v>16028</v>
      </c>
      <c r="E45" s="187" t="s">
        <v>16027</v>
      </c>
      <c r="F45" s="187" t="s">
        <v>16679</v>
      </c>
      <c r="G45" s="187" t="s">
        <v>15772</v>
      </c>
      <c r="H45" s="187" t="s">
        <v>11502</v>
      </c>
      <c r="I45" s="187" t="s">
        <v>15774</v>
      </c>
    </row>
    <row r="46" spans="1:9">
      <c r="A46" s="187" t="s">
        <v>15768</v>
      </c>
      <c r="B46" s="187" t="s">
        <v>15769</v>
      </c>
      <c r="C46" s="187" t="s">
        <v>11628</v>
      </c>
      <c r="D46" s="187" t="s">
        <v>16031</v>
      </c>
      <c r="E46" s="187" t="s">
        <v>16030</v>
      </c>
      <c r="F46" s="187" t="s">
        <v>16679</v>
      </c>
      <c r="G46" s="187" t="s">
        <v>15772</v>
      </c>
      <c r="H46" s="187" t="s">
        <v>11502</v>
      </c>
      <c r="I46" s="187" t="s">
        <v>15774</v>
      </c>
    </row>
    <row r="47" spans="1:9" ht="42.45" customHeight="1">
      <c r="A47" s="187" t="s">
        <v>15768</v>
      </c>
      <c r="B47" s="187" t="s">
        <v>15769</v>
      </c>
      <c r="C47" s="187" t="s">
        <v>11629</v>
      </c>
      <c r="D47" s="187" t="s">
        <v>16034</v>
      </c>
      <c r="E47" s="187" t="s">
        <v>16033</v>
      </c>
      <c r="F47" s="187" t="s">
        <v>16679</v>
      </c>
      <c r="G47" s="187" t="s">
        <v>15772</v>
      </c>
      <c r="H47" s="187" t="s">
        <v>11502</v>
      </c>
      <c r="I47" s="187" t="s">
        <v>15774</v>
      </c>
    </row>
    <row r="48" spans="1:9">
      <c r="A48" s="187" t="s">
        <v>15775</v>
      </c>
      <c r="B48" s="187" t="s">
        <v>15776</v>
      </c>
      <c r="C48" s="187" t="s">
        <v>12517</v>
      </c>
      <c r="D48" s="187" t="s">
        <v>16037</v>
      </c>
      <c r="E48" s="187" t="s">
        <v>16036</v>
      </c>
      <c r="F48" s="187" t="s">
        <v>16679</v>
      </c>
      <c r="G48" s="187" t="s">
        <v>15779</v>
      </c>
      <c r="H48" s="187" t="s">
        <v>11502</v>
      </c>
      <c r="I48" s="187" t="s">
        <v>15781</v>
      </c>
    </row>
    <row r="49" spans="1:9">
      <c r="A49" s="187" t="s">
        <v>15775</v>
      </c>
      <c r="B49" s="187" t="s">
        <v>15776</v>
      </c>
      <c r="C49" s="187" t="s">
        <v>12518</v>
      </c>
      <c r="D49" s="187" t="s">
        <v>16040</v>
      </c>
      <c r="E49" s="187" t="s">
        <v>16039</v>
      </c>
      <c r="F49" s="187" t="s">
        <v>16679</v>
      </c>
      <c r="G49" s="187" t="s">
        <v>15779</v>
      </c>
      <c r="H49" s="187" t="s">
        <v>11502</v>
      </c>
      <c r="I49" s="187" t="s">
        <v>15781</v>
      </c>
    </row>
    <row r="50" spans="1:9">
      <c r="A50" s="187" t="s">
        <v>15775</v>
      </c>
      <c r="B50" s="187" t="s">
        <v>15776</v>
      </c>
      <c r="C50" s="187" t="s">
        <v>12519</v>
      </c>
      <c r="D50" s="187" t="s">
        <v>16043</v>
      </c>
      <c r="E50" s="187" t="s">
        <v>16042</v>
      </c>
      <c r="F50" s="187" t="s">
        <v>16679</v>
      </c>
      <c r="G50" s="187" t="s">
        <v>15779</v>
      </c>
      <c r="H50" s="187" t="s">
        <v>11502</v>
      </c>
      <c r="I50" s="187" t="s">
        <v>15781</v>
      </c>
    </row>
    <row r="51" spans="1:9">
      <c r="A51" s="187" t="s">
        <v>15775</v>
      </c>
      <c r="B51" s="187" t="s">
        <v>15776</v>
      </c>
      <c r="C51" s="187" t="s">
        <v>12520</v>
      </c>
      <c r="D51" s="187" t="s">
        <v>16047</v>
      </c>
      <c r="E51" s="187" t="s">
        <v>16046</v>
      </c>
      <c r="F51" s="187" t="s">
        <v>16679</v>
      </c>
      <c r="G51" s="187" t="s">
        <v>15779</v>
      </c>
      <c r="H51" s="187" t="s">
        <v>11502</v>
      </c>
      <c r="I51" s="187" t="s">
        <v>15781</v>
      </c>
    </row>
    <row r="52" spans="1:9">
      <c r="A52" s="187" t="s">
        <v>15775</v>
      </c>
      <c r="B52" s="187" t="s">
        <v>15776</v>
      </c>
      <c r="C52" s="187" t="s">
        <v>12521</v>
      </c>
      <c r="D52" s="187" t="s">
        <v>16050</v>
      </c>
      <c r="E52" s="187" t="s">
        <v>16049</v>
      </c>
      <c r="F52" s="187" t="s">
        <v>16679</v>
      </c>
      <c r="G52" s="187" t="s">
        <v>15779</v>
      </c>
      <c r="H52" s="187" t="s">
        <v>11502</v>
      </c>
      <c r="I52" s="187" t="s">
        <v>15781</v>
      </c>
    </row>
    <row r="53" spans="1:9">
      <c r="A53" s="187" t="s">
        <v>15775</v>
      </c>
      <c r="B53" s="187" t="s">
        <v>15776</v>
      </c>
      <c r="C53" s="187" t="s">
        <v>12522</v>
      </c>
      <c r="D53" s="187" t="s">
        <v>16053</v>
      </c>
      <c r="E53" s="187" t="s">
        <v>16052</v>
      </c>
      <c r="F53" s="187" t="s">
        <v>16679</v>
      </c>
      <c r="G53" s="187" t="s">
        <v>15779</v>
      </c>
      <c r="H53" s="187" t="s">
        <v>11502</v>
      </c>
      <c r="I53" s="187" t="s">
        <v>15781</v>
      </c>
    </row>
    <row r="54" spans="1:9">
      <c r="A54" s="187" t="s">
        <v>15775</v>
      </c>
      <c r="B54" s="187" t="s">
        <v>15776</v>
      </c>
      <c r="C54" s="187" t="s">
        <v>12523</v>
      </c>
      <c r="D54" s="187" t="s">
        <v>16056</v>
      </c>
      <c r="E54" s="187" t="s">
        <v>16055</v>
      </c>
      <c r="F54" s="187" t="s">
        <v>16679</v>
      </c>
      <c r="G54" s="187" t="s">
        <v>15779</v>
      </c>
      <c r="H54" s="187" t="s">
        <v>11502</v>
      </c>
      <c r="I54" s="187" t="s">
        <v>15781</v>
      </c>
    </row>
    <row r="55" spans="1:9">
      <c r="A55" s="187" t="s">
        <v>15775</v>
      </c>
      <c r="B55" s="187" t="s">
        <v>15776</v>
      </c>
      <c r="C55" s="187" t="s">
        <v>12524</v>
      </c>
      <c r="D55" s="187" t="s">
        <v>16059</v>
      </c>
      <c r="E55" s="187" t="s">
        <v>16058</v>
      </c>
      <c r="F55" s="187" t="s">
        <v>16679</v>
      </c>
      <c r="G55" s="187" t="s">
        <v>15779</v>
      </c>
      <c r="H55" s="187" t="s">
        <v>11502</v>
      </c>
      <c r="I55" s="187" t="s">
        <v>15781</v>
      </c>
    </row>
    <row r="56" spans="1:9">
      <c r="A56" s="187" t="s">
        <v>15775</v>
      </c>
      <c r="B56" s="187" t="s">
        <v>15776</v>
      </c>
      <c r="C56" s="187" t="s">
        <v>744</v>
      </c>
      <c r="D56" s="187" t="s">
        <v>15934</v>
      </c>
      <c r="E56" s="187" t="s">
        <v>16061</v>
      </c>
      <c r="F56" s="187" t="s">
        <v>16679</v>
      </c>
      <c r="G56" s="187" t="s">
        <v>15779</v>
      </c>
      <c r="H56" s="187" t="s">
        <v>11502</v>
      </c>
      <c r="I56" s="187" t="s">
        <v>15781</v>
      </c>
    </row>
    <row r="57" spans="1:9" ht="28.3" customHeight="1">
      <c r="A57" s="187" t="s">
        <v>15782</v>
      </c>
      <c r="B57" s="187" t="s">
        <v>15783</v>
      </c>
      <c r="C57" s="187" t="s">
        <v>13334</v>
      </c>
      <c r="D57" s="187" t="s">
        <v>16064</v>
      </c>
      <c r="E57" s="187" t="s">
        <v>16063</v>
      </c>
      <c r="F57" s="187" t="s">
        <v>16679</v>
      </c>
      <c r="G57" s="187" t="s">
        <v>15786</v>
      </c>
      <c r="H57" s="187" t="s">
        <v>11502</v>
      </c>
      <c r="I57" s="187" t="s">
        <v>15787</v>
      </c>
    </row>
    <row r="58" spans="1:9" ht="28.3" customHeight="1">
      <c r="A58" s="187" t="s">
        <v>15782</v>
      </c>
      <c r="B58" s="187" t="s">
        <v>15783</v>
      </c>
      <c r="C58" s="187" t="s">
        <v>14020</v>
      </c>
      <c r="D58" s="187" t="s">
        <v>16068</v>
      </c>
      <c r="E58" s="187" t="s">
        <v>16067</v>
      </c>
      <c r="F58" s="187" t="s">
        <v>16679</v>
      </c>
      <c r="G58" s="187" t="s">
        <v>15786</v>
      </c>
      <c r="H58" s="187" t="s">
        <v>11502</v>
      </c>
      <c r="I58" s="187" t="s">
        <v>15787</v>
      </c>
    </row>
    <row r="59" spans="1:9" ht="28.3" customHeight="1">
      <c r="A59" s="187" t="s">
        <v>15782</v>
      </c>
      <c r="B59" s="187" t="s">
        <v>15783</v>
      </c>
      <c r="C59" s="187" t="s">
        <v>14021</v>
      </c>
      <c r="D59" s="187" t="s">
        <v>16072</v>
      </c>
      <c r="E59" s="187" t="s">
        <v>16071</v>
      </c>
      <c r="F59" s="187" t="s">
        <v>16679</v>
      </c>
      <c r="G59" s="187" t="s">
        <v>15786</v>
      </c>
      <c r="H59" s="187" t="s">
        <v>11502</v>
      </c>
      <c r="I59" s="187" t="s">
        <v>15787</v>
      </c>
    </row>
    <row r="60" spans="1:9" ht="28.3" customHeight="1">
      <c r="A60" s="187" t="s">
        <v>15782</v>
      </c>
      <c r="B60" s="187" t="s">
        <v>15783</v>
      </c>
      <c r="C60" s="187" t="s">
        <v>46</v>
      </c>
      <c r="D60" s="187" t="s">
        <v>16028</v>
      </c>
      <c r="E60" s="187" t="s">
        <v>16074</v>
      </c>
      <c r="F60" s="187" t="s">
        <v>16679</v>
      </c>
      <c r="G60" s="187" t="s">
        <v>15786</v>
      </c>
      <c r="H60" s="187" t="s">
        <v>11502</v>
      </c>
      <c r="I60" s="187" t="s">
        <v>15787</v>
      </c>
    </row>
    <row r="61" spans="1:9" ht="28.3" customHeight="1">
      <c r="A61" s="187" t="s">
        <v>15782</v>
      </c>
      <c r="B61" s="187" t="s">
        <v>15783</v>
      </c>
      <c r="C61" s="187" t="s">
        <v>12622</v>
      </c>
      <c r="D61" s="187" t="s">
        <v>15984</v>
      </c>
      <c r="E61" s="187" t="s">
        <v>16076</v>
      </c>
      <c r="F61" s="187" t="s">
        <v>16679</v>
      </c>
      <c r="G61" s="187" t="s">
        <v>15786</v>
      </c>
      <c r="H61" s="187" t="s">
        <v>11502</v>
      </c>
      <c r="I61" s="187" t="s">
        <v>15787</v>
      </c>
    </row>
    <row r="62" spans="1:9" ht="28.3" customHeight="1">
      <c r="A62" s="187" t="s">
        <v>15782</v>
      </c>
      <c r="B62" s="187" t="s">
        <v>15783</v>
      </c>
      <c r="C62" s="187" t="s">
        <v>11627</v>
      </c>
      <c r="D62" s="187" t="s">
        <v>15996</v>
      </c>
      <c r="E62" s="187" t="s">
        <v>16078</v>
      </c>
      <c r="F62" s="187" t="s">
        <v>16679</v>
      </c>
      <c r="G62" s="187" t="s">
        <v>15786</v>
      </c>
      <c r="H62" s="187" t="s">
        <v>11502</v>
      </c>
      <c r="I62" s="187" t="s">
        <v>15787</v>
      </c>
    </row>
    <row r="63" spans="1:9">
      <c r="A63" s="187" t="s">
        <v>15788</v>
      </c>
      <c r="B63" s="187" t="s">
        <v>15789</v>
      </c>
      <c r="C63" s="187" t="s">
        <v>14124</v>
      </c>
      <c r="D63" s="187" t="s">
        <v>16081</v>
      </c>
      <c r="E63" s="187" t="s">
        <v>16080</v>
      </c>
      <c r="F63" s="187" t="s">
        <v>16679</v>
      </c>
      <c r="G63" s="187" t="s">
        <v>15791</v>
      </c>
      <c r="H63" s="187" t="s">
        <v>11502</v>
      </c>
      <c r="I63" s="187" t="s">
        <v>15792</v>
      </c>
    </row>
    <row r="64" spans="1:9">
      <c r="A64" s="187" t="s">
        <v>15788</v>
      </c>
      <c r="B64" s="187" t="s">
        <v>15789</v>
      </c>
      <c r="C64" s="187" t="s">
        <v>764</v>
      </c>
      <c r="D64" s="187" t="s">
        <v>16084</v>
      </c>
      <c r="E64" s="187" t="s">
        <v>16083</v>
      </c>
      <c r="F64" s="187" t="s">
        <v>16679</v>
      </c>
      <c r="G64" s="187" t="s">
        <v>15791</v>
      </c>
      <c r="H64" s="187" t="s">
        <v>11502</v>
      </c>
      <c r="I64" s="187" t="s">
        <v>15792</v>
      </c>
    </row>
    <row r="65" spans="1:9">
      <c r="A65" s="187" t="s">
        <v>15788</v>
      </c>
      <c r="B65" s="187" t="s">
        <v>15789</v>
      </c>
      <c r="C65" s="187" t="s">
        <v>768</v>
      </c>
      <c r="D65" s="187" t="s">
        <v>16087</v>
      </c>
      <c r="E65" s="187" t="s">
        <v>16086</v>
      </c>
      <c r="F65" s="187" t="s">
        <v>16679</v>
      </c>
      <c r="G65" s="187" t="s">
        <v>15791</v>
      </c>
      <c r="H65" s="187" t="s">
        <v>11502</v>
      </c>
      <c r="I65" s="187" t="s">
        <v>15792</v>
      </c>
    </row>
    <row r="66" spans="1:9">
      <c r="A66" s="187" t="s">
        <v>15788</v>
      </c>
      <c r="B66" s="187" t="s">
        <v>15789</v>
      </c>
      <c r="C66" s="187" t="s">
        <v>13334</v>
      </c>
      <c r="D66" s="187" t="s">
        <v>16064</v>
      </c>
      <c r="E66" s="187" t="s">
        <v>16089</v>
      </c>
      <c r="F66" s="187" t="s">
        <v>16679</v>
      </c>
      <c r="G66" s="187" t="s">
        <v>15791</v>
      </c>
      <c r="H66" s="187" t="s">
        <v>11502</v>
      </c>
      <c r="I66" s="187" t="s">
        <v>15792</v>
      </c>
    </row>
    <row r="67" spans="1:9">
      <c r="A67" s="187" t="s">
        <v>15788</v>
      </c>
      <c r="B67" s="187" t="s">
        <v>15789</v>
      </c>
      <c r="C67" s="187" t="s">
        <v>14125</v>
      </c>
      <c r="D67" s="187" t="s">
        <v>16092</v>
      </c>
      <c r="E67" s="187" t="s">
        <v>16091</v>
      </c>
      <c r="F67" s="187" t="s">
        <v>16679</v>
      </c>
      <c r="G67" s="187" t="s">
        <v>15791</v>
      </c>
      <c r="H67" s="187" t="s">
        <v>11502</v>
      </c>
      <c r="I67" s="187" t="s">
        <v>15792</v>
      </c>
    </row>
    <row r="68" spans="1:9">
      <c r="A68" s="187" t="s">
        <v>15788</v>
      </c>
      <c r="B68" s="187" t="s">
        <v>15789</v>
      </c>
      <c r="C68" s="187" t="s">
        <v>11628</v>
      </c>
      <c r="D68" s="187" t="s">
        <v>16031</v>
      </c>
      <c r="E68" s="187" t="s">
        <v>16094</v>
      </c>
      <c r="F68" s="187" t="s">
        <v>16679</v>
      </c>
      <c r="G68" s="187" t="s">
        <v>15791</v>
      </c>
      <c r="H68" s="187" t="s">
        <v>11502</v>
      </c>
      <c r="I68" s="187" t="s">
        <v>15792</v>
      </c>
    </row>
    <row r="69" spans="1:9">
      <c r="A69" s="187" t="s">
        <v>15788</v>
      </c>
      <c r="B69" s="187" t="s">
        <v>15789</v>
      </c>
      <c r="C69" s="187" t="s">
        <v>273</v>
      </c>
      <c r="D69" s="187" t="s">
        <v>16097</v>
      </c>
      <c r="E69" s="187" t="s">
        <v>16096</v>
      </c>
      <c r="F69" s="187" t="s">
        <v>16679</v>
      </c>
      <c r="G69" s="187" t="s">
        <v>15791</v>
      </c>
      <c r="H69" s="187" t="s">
        <v>11502</v>
      </c>
      <c r="I69" s="187" t="s">
        <v>15792</v>
      </c>
    </row>
    <row r="70" spans="1:9">
      <c r="A70" s="187" t="s">
        <v>15788</v>
      </c>
      <c r="B70" s="187" t="s">
        <v>15789</v>
      </c>
      <c r="C70" s="187" t="s">
        <v>14126</v>
      </c>
      <c r="D70" s="187" t="s">
        <v>16100</v>
      </c>
      <c r="E70" s="187" t="s">
        <v>16099</v>
      </c>
      <c r="F70" s="187" t="s">
        <v>16679</v>
      </c>
      <c r="G70" s="187" t="s">
        <v>15791</v>
      </c>
      <c r="H70" s="187" t="s">
        <v>11502</v>
      </c>
      <c r="I70" s="187" t="s">
        <v>15792</v>
      </c>
    </row>
    <row r="71" spans="1:9">
      <c r="A71" s="187" t="s">
        <v>15788</v>
      </c>
      <c r="B71" s="187" t="s">
        <v>15789</v>
      </c>
      <c r="C71" s="187" t="s">
        <v>11627</v>
      </c>
      <c r="D71" s="187" t="s">
        <v>15996</v>
      </c>
      <c r="E71" s="187" t="s">
        <v>16102</v>
      </c>
      <c r="F71" s="187" t="s">
        <v>16679</v>
      </c>
      <c r="G71" s="187" t="s">
        <v>15791</v>
      </c>
      <c r="H71" s="187" t="s">
        <v>11502</v>
      </c>
      <c r="I71" s="187" t="s">
        <v>15792</v>
      </c>
    </row>
    <row r="72" spans="1:9">
      <c r="A72" s="187" t="s">
        <v>15788</v>
      </c>
      <c r="B72" s="187" t="s">
        <v>15789</v>
      </c>
      <c r="C72" s="187" t="s">
        <v>13342</v>
      </c>
      <c r="D72" s="187" t="s">
        <v>16105</v>
      </c>
      <c r="E72" s="187" t="s">
        <v>16104</v>
      </c>
      <c r="F72" s="187" t="s">
        <v>16679</v>
      </c>
      <c r="G72" s="187" t="s">
        <v>15791</v>
      </c>
      <c r="H72" s="187" t="s">
        <v>11502</v>
      </c>
      <c r="I72" s="187" t="s">
        <v>15792</v>
      </c>
    </row>
    <row r="73" spans="1:9">
      <c r="A73" s="187" t="s">
        <v>15788</v>
      </c>
      <c r="B73" s="187" t="s">
        <v>15789</v>
      </c>
      <c r="C73" s="187" t="s">
        <v>744</v>
      </c>
      <c r="D73" s="187" t="s">
        <v>15934</v>
      </c>
      <c r="E73" s="187" t="s">
        <v>16107</v>
      </c>
      <c r="F73" s="187" t="s">
        <v>16679</v>
      </c>
      <c r="G73" s="187" t="s">
        <v>15791</v>
      </c>
      <c r="H73" s="187" t="s">
        <v>11502</v>
      </c>
      <c r="I73" s="187" t="s">
        <v>15792</v>
      </c>
    </row>
    <row r="74" spans="1:9">
      <c r="A74" s="187" t="s">
        <v>15793</v>
      </c>
      <c r="B74" s="187" t="s">
        <v>15794</v>
      </c>
      <c r="C74" s="187" t="s">
        <v>13332</v>
      </c>
      <c r="D74" s="187" t="s">
        <v>16110</v>
      </c>
      <c r="E74" s="187" t="s">
        <v>16109</v>
      </c>
      <c r="F74" s="187" t="s">
        <v>16679</v>
      </c>
      <c r="G74" s="187" t="s">
        <v>15797</v>
      </c>
      <c r="H74" s="187" t="s">
        <v>11502</v>
      </c>
      <c r="I74" s="187" t="s">
        <v>15798</v>
      </c>
    </row>
    <row r="75" spans="1:9">
      <c r="A75" s="187" t="s">
        <v>15793</v>
      </c>
      <c r="B75" s="187" t="s">
        <v>15794</v>
      </c>
      <c r="C75" s="187" t="s">
        <v>12519</v>
      </c>
      <c r="D75" s="187" t="s">
        <v>16043</v>
      </c>
      <c r="E75" s="187" t="s">
        <v>16112</v>
      </c>
      <c r="F75" s="187" t="s">
        <v>16679</v>
      </c>
      <c r="G75" s="187" t="s">
        <v>15797</v>
      </c>
      <c r="H75" s="187" t="s">
        <v>11502</v>
      </c>
      <c r="I75" s="187" t="s">
        <v>15798</v>
      </c>
    </row>
    <row r="76" spans="1:9" ht="28.3" customHeight="1">
      <c r="A76" s="187" t="s">
        <v>15793</v>
      </c>
      <c r="B76" s="187" t="s">
        <v>15794</v>
      </c>
      <c r="C76" s="187" t="s">
        <v>12520</v>
      </c>
      <c r="D76" s="187" t="s">
        <v>16047</v>
      </c>
      <c r="E76" s="187" t="s">
        <v>16114</v>
      </c>
      <c r="F76" s="187" t="s">
        <v>16679</v>
      </c>
      <c r="G76" s="187" t="s">
        <v>15797</v>
      </c>
      <c r="H76" s="187" t="s">
        <v>11502</v>
      </c>
      <c r="I76" s="187" t="s">
        <v>15798</v>
      </c>
    </row>
    <row r="77" spans="1:9" ht="28.3" customHeight="1">
      <c r="A77" s="187" t="s">
        <v>15793</v>
      </c>
      <c r="B77" s="187" t="s">
        <v>15794</v>
      </c>
      <c r="C77" s="187" t="s">
        <v>13333</v>
      </c>
      <c r="D77" s="187" t="s">
        <v>16117</v>
      </c>
      <c r="E77" s="187" t="s">
        <v>16116</v>
      </c>
      <c r="F77" s="187" t="s">
        <v>16679</v>
      </c>
      <c r="G77" s="187" t="s">
        <v>15797</v>
      </c>
      <c r="H77" s="187" t="s">
        <v>11502</v>
      </c>
      <c r="I77" s="187" t="s">
        <v>15798</v>
      </c>
    </row>
    <row r="78" spans="1:9">
      <c r="A78" s="187" t="s">
        <v>15793</v>
      </c>
      <c r="B78" s="187" t="s">
        <v>15794</v>
      </c>
      <c r="C78" s="187" t="s">
        <v>764</v>
      </c>
      <c r="D78" s="187" t="s">
        <v>16084</v>
      </c>
      <c r="E78" s="187" t="s">
        <v>16119</v>
      </c>
      <c r="F78" s="187" t="s">
        <v>16679</v>
      </c>
      <c r="G78" s="187" t="s">
        <v>15797</v>
      </c>
      <c r="H78" s="187" t="s">
        <v>11502</v>
      </c>
      <c r="I78" s="187" t="s">
        <v>15798</v>
      </c>
    </row>
    <row r="79" spans="1:9">
      <c r="A79" s="187" t="s">
        <v>15793</v>
      </c>
      <c r="B79" s="187" t="s">
        <v>15794</v>
      </c>
      <c r="C79" s="187" t="s">
        <v>13334</v>
      </c>
      <c r="D79" s="187" t="s">
        <v>16064</v>
      </c>
      <c r="E79" s="187" t="s">
        <v>16121</v>
      </c>
      <c r="F79" s="187" t="s">
        <v>16679</v>
      </c>
      <c r="G79" s="187" t="s">
        <v>15797</v>
      </c>
      <c r="H79" s="187" t="s">
        <v>11502</v>
      </c>
      <c r="I79" s="187" t="s">
        <v>15798</v>
      </c>
    </row>
    <row r="80" spans="1:9" ht="28.3" customHeight="1">
      <c r="A80" s="187" t="s">
        <v>15793</v>
      </c>
      <c r="B80" s="187" t="s">
        <v>15794</v>
      </c>
      <c r="C80" s="187" t="s">
        <v>768</v>
      </c>
      <c r="D80" s="187" t="s">
        <v>16087</v>
      </c>
      <c r="E80" s="187" t="s">
        <v>16123</v>
      </c>
      <c r="F80" s="187" t="s">
        <v>16679</v>
      </c>
      <c r="G80" s="187" t="s">
        <v>15797</v>
      </c>
      <c r="H80" s="187" t="s">
        <v>11502</v>
      </c>
      <c r="I80" s="187" t="s">
        <v>15798</v>
      </c>
    </row>
    <row r="81" spans="1:9" ht="28.3" customHeight="1">
      <c r="A81" s="187" t="s">
        <v>15793</v>
      </c>
      <c r="B81" s="187" t="s">
        <v>15794</v>
      </c>
      <c r="C81" s="187" t="s">
        <v>13335</v>
      </c>
      <c r="D81" s="187" t="s">
        <v>16126</v>
      </c>
      <c r="E81" s="187" t="s">
        <v>16125</v>
      </c>
      <c r="F81" s="187" t="s">
        <v>16679</v>
      </c>
      <c r="G81" s="187" t="s">
        <v>15797</v>
      </c>
      <c r="H81" s="187" t="s">
        <v>11502</v>
      </c>
      <c r="I81" s="187" t="s">
        <v>15798</v>
      </c>
    </row>
    <row r="82" spans="1:9">
      <c r="A82" s="187" t="s">
        <v>15793</v>
      </c>
      <c r="B82" s="187" t="s">
        <v>15794</v>
      </c>
      <c r="C82" s="187" t="s">
        <v>13336</v>
      </c>
      <c r="D82" s="187" t="s">
        <v>16129</v>
      </c>
      <c r="E82" s="187" t="s">
        <v>16128</v>
      </c>
      <c r="F82" s="187" t="s">
        <v>16679</v>
      </c>
      <c r="G82" s="187" t="s">
        <v>15797</v>
      </c>
      <c r="H82" s="187" t="s">
        <v>11502</v>
      </c>
      <c r="I82" s="187" t="s">
        <v>15798</v>
      </c>
    </row>
    <row r="83" spans="1:9">
      <c r="A83" s="187" t="s">
        <v>15793</v>
      </c>
      <c r="B83" s="187" t="s">
        <v>15794</v>
      </c>
      <c r="C83" s="187" t="s">
        <v>13337</v>
      </c>
      <c r="D83" s="187" t="s">
        <v>16132</v>
      </c>
      <c r="E83" s="187" t="s">
        <v>16131</v>
      </c>
      <c r="F83" s="187" t="s">
        <v>16679</v>
      </c>
      <c r="G83" s="187" t="s">
        <v>15797</v>
      </c>
      <c r="H83" s="187" t="s">
        <v>11502</v>
      </c>
      <c r="I83" s="187" t="s">
        <v>15798</v>
      </c>
    </row>
    <row r="84" spans="1:9">
      <c r="A84" s="187" t="s">
        <v>15793</v>
      </c>
      <c r="B84" s="187" t="s">
        <v>15794</v>
      </c>
      <c r="C84" s="187" t="s">
        <v>13338</v>
      </c>
      <c r="D84" s="187" t="s">
        <v>16135</v>
      </c>
      <c r="E84" s="187" t="s">
        <v>16134</v>
      </c>
      <c r="F84" s="187" t="s">
        <v>16679</v>
      </c>
      <c r="G84" s="187" t="s">
        <v>15797</v>
      </c>
      <c r="H84" s="187" t="s">
        <v>11502</v>
      </c>
      <c r="I84" s="187" t="s">
        <v>15798</v>
      </c>
    </row>
    <row r="85" spans="1:9">
      <c r="A85" s="187" t="s">
        <v>15793</v>
      </c>
      <c r="B85" s="187" t="s">
        <v>15794</v>
      </c>
      <c r="C85" s="187" t="s">
        <v>13339</v>
      </c>
      <c r="D85" s="187" t="s">
        <v>16139</v>
      </c>
      <c r="E85" s="187" t="s">
        <v>16138</v>
      </c>
      <c r="F85" s="187" t="s">
        <v>16679</v>
      </c>
      <c r="G85" s="187" t="s">
        <v>15797</v>
      </c>
      <c r="H85" s="187" t="s">
        <v>11502</v>
      </c>
      <c r="I85" s="187" t="s">
        <v>15798</v>
      </c>
    </row>
    <row r="86" spans="1:9" ht="28.3" customHeight="1">
      <c r="A86" s="187" t="s">
        <v>15793</v>
      </c>
      <c r="B86" s="187" t="s">
        <v>15794</v>
      </c>
      <c r="C86" s="187" t="s">
        <v>13340</v>
      </c>
      <c r="D86" s="187" t="s">
        <v>16142</v>
      </c>
      <c r="E86" s="187" t="s">
        <v>16141</v>
      </c>
      <c r="F86" s="187" t="s">
        <v>16679</v>
      </c>
      <c r="G86" s="187" t="s">
        <v>15797</v>
      </c>
      <c r="H86" s="187" t="s">
        <v>11502</v>
      </c>
      <c r="I86" s="187" t="s">
        <v>15798</v>
      </c>
    </row>
    <row r="87" spans="1:9" ht="28.3" customHeight="1">
      <c r="A87" s="187" t="s">
        <v>15793</v>
      </c>
      <c r="B87" s="187" t="s">
        <v>15794</v>
      </c>
      <c r="C87" s="187" t="s">
        <v>13341</v>
      </c>
      <c r="D87" s="187" t="s">
        <v>16145</v>
      </c>
      <c r="E87" s="187" t="s">
        <v>16144</v>
      </c>
      <c r="F87" s="187" t="s">
        <v>16679</v>
      </c>
      <c r="G87" s="187" t="s">
        <v>15797</v>
      </c>
      <c r="H87" s="187" t="s">
        <v>11502</v>
      </c>
      <c r="I87" s="187" t="s">
        <v>15798</v>
      </c>
    </row>
    <row r="88" spans="1:9" ht="28.3" customHeight="1">
      <c r="A88" s="187" t="s">
        <v>15793</v>
      </c>
      <c r="B88" s="187" t="s">
        <v>15794</v>
      </c>
      <c r="C88" s="187" t="s">
        <v>11627</v>
      </c>
      <c r="D88" s="187" t="s">
        <v>15996</v>
      </c>
      <c r="E88" s="187" t="s">
        <v>16147</v>
      </c>
      <c r="F88" s="187" t="s">
        <v>16679</v>
      </c>
      <c r="G88" s="187" t="s">
        <v>15797</v>
      </c>
      <c r="H88" s="187" t="s">
        <v>11502</v>
      </c>
      <c r="I88" s="187" t="s">
        <v>15798</v>
      </c>
    </row>
    <row r="89" spans="1:9">
      <c r="A89" s="187" t="s">
        <v>15793</v>
      </c>
      <c r="B89" s="187" t="s">
        <v>15794</v>
      </c>
      <c r="C89" s="187" t="s">
        <v>273</v>
      </c>
      <c r="D89" s="187" t="s">
        <v>16097</v>
      </c>
      <c r="E89" s="187" t="s">
        <v>16149</v>
      </c>
      <c r="F89" s="187" t="s">
        <v>16679</v>
      </c>
      <c r="G89" s="187" t="s">
        <v>15797</v>
      </c>
      <c r="H89" s="187" t="s">
        <v>11502</v>
      </c>
      <c r="I89" s="187" t="s">
        <v>15798</v>
      </c>
    </row>
    <row r="90" spans="1:9" ht="28.3" customHeight="1">
      <c r="A90" s="187" t="s">
        <v>15793</v>
      </c>
      <c r="B90" s="187" t="s">
        <v>15794</v>
      </c>
      <c r="C90" s="187" t="s">
        <v>13342</v>
      </c>
      <c r="D90" s="187" t="s">
        <v>16105</v>
      </c>
      <c r="E90" s="187" t="s">
        <v>16151</v>
      </c>
      <c r="F90" s="187" t="s">
        <v>16679</v>
      </c>
      <c r="G90" s="187" t="s">
        <v>15797</v>
      </c>
      <c r="H90" s="187" t="s">
        <v>11502</v>
      </c>
      <c r="I90" s="187" t="s">
        <v>15798</v>
      </c>
    </row>
    <row r="91" spans="1:9">
      <c r="A91" s="187" t="s">
        <v>15799</v>
      </c>
      <c r="B91" s="187" t="s">
        <v>15800</v>
      </c>
      <c r="C91" s="187" t="s">
        <v>13332</v>
      </c>
      <c r="D91" s="187" t="s">
        <v>16110</v>
      </c>
      <c r="E91" s="187" t="s">
        <v>16153</v>
      </c>
      <c r="F91" s="187" t="s">
        <v>16679</v>
      </c>
      <c r="G91" s="187" t="s">
        <v>15802</v>
      </c>
      <c r="H91" s="187" t="s">
        <v>11502</v>
      </c>
      <c r="I91" s="187" t="s">
        <v>15803</v>
      </c>
    </row>
    <row r="92" spans="1:9">
      <c r="A92" s="187" t="s">
        <v>15799</v>
      </c>
      <c r="B92" s="187" t="s">
        <v>15800</v>
      </c>
      <c r="C92" s="187" t="s">
        <v>13718</v>
      </c>
      <c r="D92" s="187" t="s">
        <v>16156</v>
      </c>
      <c r="E92" s="187" t="s">
        <v>16155</v>
      </c>
      <c r="F92" s="187" t="s">
        <v>16679</v>
      </c>
      <c r="G92" s="187" t="s">
        <v>15802</v>
      </c>
      <c r="H92" s="187" t="s">
        <v>11502</v>
      </c>
      <c r="I92" s="187" t="s">
        <v>15803</v>
      </c>
    </row>
    <row r="93" spans="1:9">
      <c r="A93" s="187" t="s">
        <v>15799</v>
      </c>
      <c r="B93" s="187" t="s">
        <v>15800</v>
      </c>
      <c r="C93" s="187" t="s">
        <v>13719</v>
      </c>
      <c r="D93" s="187" t="s">
        <v>16160</v>
      </c>
      <c r="E93" s="187" t="s">
        <v>16159</v>
      </c>
      <c r="F93" s="187" t="s">
        <v>16679</v>
      </c>
      <c r="G93" s="187" t="s">
        <v>15802</v>
      </c>
      <c r="H93" s="187" t="s">
        <v>11502</v>
      </c>
      <c r="I93" s="187" t="s">
        <v>15803</v>
      </c>
    </row>
    <row r="94" spans="1:9">
      <c r="A94" s="187" t="s">
        <v>15799</v>
      </c>
      <c r="B94" s="187" t="s">
        <v>15800</v>
      </c>
      <c r="C94" s="187" t="s">
        <v>13720</v>
      </c>
      <c r="D94" s="187" t="s">
        <v>16163</v>
      </c>
      <c r="E94" s="187" t="s">
        <v>16162</v>
      </c>
      <c r="F94" s="187" t="s">
        <v>16679</v>
      </c>
      <c r="G94" s="187" t="s">
        <v>15802</v>
      </c>
      <c r="H94" s="187" t="s">
        <v>11502</v>
      </c>
      <c r="I94" s="187" t="s">
        <v>15803</v>
      </c>
    </row>
    <row r="95" spans="1:9">
      <c r="A95" s="187" t="s">
        <v>15799</v>
      </c>
      <c r="B95" s="187" t="s">
        <v>15800</v>
      </c>
      <c r="C95" s="187" t="s">
        <v>764</v>
      </c>
      <c r="D95" s="187" t="s">
        <v>16084</v>
      </c>
      <c r="E95" s="187" t="s">
        <v>16165</v>
      </c>
      <c r="F95" s="187" t="s">
        <v>16679</v>
      </c>
      <c r="G95" s="187" t="s">
        <v>15802</v>
      </c>
      <c r="H95" s="187" t="s">
        <v>11502</v>
      </c>
      <c r="I95" s="187" t="s">
        <v>15803</v>
      </c>
    </row>
    <row r="96" spans="1:9">
      <c r="A96" s="187" t="s">
        <v>15799</v>
      </c>
      <c r="B96" s="187" t="s">
        <v>15800</v>
      </c>
      <c r="C96" s="187" t="s">
        <v>13334</v>
      </c>
      <c r="D96" s="187" t="s">
        <v>16064</v>
      </c>
      <c r="E96" s="187" t="s">
        <v>16167</v>
      </c>
      <c r="F96" s="187" t="s">
        <v>16679</v>
      </c>
      <c r="G96" s="187" t="s">
        <v>15802</v>
      </c>
      <c r="H96" s="187" t="s">
        <v>11502</v>
      </c>
      <c r="I96" s="187" t="s">
        <v>15803</v>
      </c>
    </row>
    <row r="97" spans="1:9">
      <c r="A97" s="187" t="s">
        <v>15799</v>
      </c>
      <c r="B97" s="187" t="s">
        <v>15800</v>
      </c>
      <c r="C97" s="187" t="s">
        <v>13721</v>
      </c>
      <c r="D97" s="187" t="s">
        <v>16170</v>
      </c>
      <c r="E97" s="187" t="s">
        <v>16169</v>
      </c>
      <c r="F97" s="187" t="s">
        <v>16679</v>
      </c>
      <c r="G97" s="187" t="s">
        <v>15802</v>
      </c>
      <c r="H97" s="187" t="s">
        <v>11502</v>
      </c>
      <c r="I97" s="187" t="s">
        <v>15803</v>
      </c>
    </row>
    <row r="98" spans="1:9">
      <c r="A98" s="187" t="s">
        <v>15799</v>
      </c>
      <c r="B98" s="187" t="s">
        <v>15800</v>
      </c>
      <c r="C98" s="187" t="s">
        <v>13722</v>
      </c>
      <c r="D98" s="187" t="s">
        <v>16173</v>
      </c>
      <c r="E98" s="187" t="s">
        <v>16172</v>
      </c>
      <c r="F98" s="187" t="s">
        <v>16679</v>
      </c>
      <c r="G98" s="187" t="s">
        <v>15802</v>
      </c>
      <c r="H98" s="187" t="s">
        <v>11502</v>
      </c>
      <c r="I98" s="187" t="s">
        <v>15803</v>
      </c>
    </row>
    <row r="99" spans="1:9">
      <c r="A99" s="187" t="s">
        <v>15799</v>
      </c>
      <c r="B99" s="187" t="s">
        <v>15800</v>
      </c>
      <c r="C99" s="187" t="s">
        <v>13723</v>
      </c>
      <c r="D99" s="187" t="s">
        <v>16176</v>
      </c>
      <c r="E99" s="187" t="s">
        <v>16175</v>
      </c>
      <c r="F99" s="187" t="s">
        <v>16679</v>
      </c>
      <c r="G99" s="187" t="s">
        <v>15802</v>
      </c>
      <c r="H99" s="187" t="s">
        <v>11502</v>
      </c>
      <c r="I99" s="187" t="s">
        <v>15803</v>
      </c>
    </row>
    <row r="100" spans="1:9">
      <c r="A100" s="187" t="s">
        <v>15799</v>
      </c>
      <c r="B100" s="187" t="s">
        <v>15800</v>
      </c>
      <c r="C100" s="187" t="s">
        <v>744</v>
      </c>
      <c r="D100" s="187" t="s">
        <v>15934</v>
      </c>
      <c r="E100" s="187" t="s">
        <v>16178</v>
      </c>
      <c r="F100" s="187" t="s">
        <v>16679</v>
      </c>
      <c r="G100" s="187" t="s">
        <v>15802</v>
      </c>
      <c r="H100" s="187" t="s">
        <v>11502</v>
      </c>
      <c r="I100" s="187" t="s">
        <v>15803</v>
      </c>
    </row>
    <row r="101" spans="1:9">
      <c r="A101" s="187" t="s">
        <v>15799</v>
      </c>
      <c r="B101" s="187" t="s">
        <v>15800</v>
      </c>
      <c r="C101" s="187" t="s">
        <v>11627</v>
      </c>
      <c r="D101" s="187" t="s">
        <v>15996</v>
      </c>
      <c r="E101" s="187" t="s">
        <v>16180</v>
      </c>
      <c r="F101" s="187" t="s">
        <v>16679</v>
      </c>
      <c r="G101" s="187" t="s">
        <v>15802</v>
      </c>
      <c r="H101" s="187" t="s">
        <v>11502</v>
      </c>
      <c r="I101" s="187" t="s">
        <v>15803</v>
      </c>
    </row>
    <row r="102" spans="1:9">
      <c r="A102" s="187" t="s">
        <v>15799</v>
      </c>
      <c r="B102" s="187" t="s">
        <v>15800</v>
      </c>
      <c r="C102" s="187" t="s">
        <v>13342</v>
      </c>
      <c r="D102" s="187" t="s">
        <v>16105</v>
      </c>
      <c r="E102" s="187" t="s">
        <v>16182</v>
      </c>
      <c r="F102" s="187" t="s">
        <v>16679</v>
      </c>
      <c r="G102" s="187" t="s">
        <v>15802</v>
      </c>
      <c r="H102" s="187" t="s">
        <v>11502</v>
      </c>
      <c r="I102" s="187" t="s">
        <v>15803</v>
      </c>
    </row>
    <row r="103" spans="1:9">
      <c r="A103" s="187" t="s">
        <v>15799</v>
      </c>
      <c r="B103" s="187" t="s">
        <v>15800</v>
      </c>
      <c r="C103" s="187" t="s">
        <v>13724</v>
      </c>
      <c r="D103" s="187" t="s">
        <v>16185</v>
      </c>
      <c r="E103" s="187" t="s">
        <v>16184</v>
      </c>
      <c r="F103" s="187" t="s">
        <v>16679</v>
      </c>
      <c r="G103" s="187" t="s">
        <v>15802</v>
      </c>
      <c r="H103" s="187" t="s">
        <v>11502</v>
      </c>
      <c r="I103" s="187" t="s">
        <v>15803</v>
      </c>
    </row>
    <row r="104" spans="1:9" ht="28.3" customHeight="1">
      <c r="A104" s="187" t="s">
        <v>15804</v>
      </c>
      <c r="B104" s="187" t="s">
        <v>15805</v>
      </c>
      <c r="C104" s="187" t="s">
        <v>13332</v>
      </c>
      <c r="D104" s="187" t="s">
        <v>16110</v>
      </c>
      <c r="E104" s="187" t="s">
        <v>16187</v>
      </c>
      <c r="F104" s="187" t="s">
        <v>16679</v>
      </c>
      <c r="G104" s="187" t="s">
        <v>15808</v>
      </c>
      <c r="H104" s="187" t="s">
        <v>11502</v>
      </c>
      <c r="I104" s="187" t="s">
        <v>15809</v>
      </c>
    </row>
    <row r="105" spans="1:9" ht="28.3" customHeight="1">
      <c r="A105" s="187" t="s">
        <v>15804</v>
      </c>
      <c r="B105" s="187" t="s">
        <v>15805</v>
      </c>
      <c r="C105" s="187" t="s">
        <v>15608</v>
      </c>
      <c r="D105" s="187" t="s">
        <v>16190</v>
      </c>
      <c r="E105" s="187" t="s">
        <v>16189</v>
      </c>
      <c r="F105" s="187" t="s">
        <v>16679</v>
      </c>
      <c r="G105" s="187" t="s">
        <v>15808</v>
      </c>
      <c r="H105" s="187" t="s">
        <v>11502</v>
      </c>
      <c r="I105" s="187" t="s">
        <v>15809</v>
      </c>
    </row>
    <row r="106" spans="1:9" ht="28.3" customHeight="1">
      <c r="A106" s="187" t="s">
        <v>15804</v>
      </c>
      <c r="B106" s="187" t="s">
        <v>15805</v>
      </c>
      <c r="C106" s="187" t="s">
        <v>15609</v>
      </c>
      <c r="D106" s="187" t="s">
        <v>16193</v>
      </c>
      <c r="E106" s="187" t="s">
        <v>16192</v>
      </c>
      <c r="F106" s="187" t="s">
        <v>16679</v>
      </c>
      <c r="G106" s="187" t="s">
        <v>15808</v>
      </c>
      <c r="H106" s="187" t="s">
        <v>11502</v>
      </c>
      <c r="I106" s="187" t="s">
        <v>15809</v>
      </c>
    </row>
    <row r="107" spans="1:9" ht="28.3" customHeight="1">
      <c r="A107" s="187" t="s">
        <v>15804</v>
      </c>
      <c r="B107" s="187" t="s">
        <v>15805</v>
      </c>
      <c r="C107" s="187" t="s">
        <v>13720</v>
      </c>
      <c r="D107" s="187" t="s">
        <v>16163</v>
      </c>
      <c r="E107" s="187" t="s">
        <v>16195</v>
      </c>
      <c r="F107" s="187" t="s">
        <v>16679</v>
      </c>
      <c r="G107" s="187" t="s">
        <v>15808</v>
      </c>
      <c r="H107" s="187" t="s">
        <v>11502</v>
      </c>
      <c r="I107" s="187" t="s">
        <v>15809</v>
      </c>
    </row>
    <row r="108" spans="1:9" ht="28.3" customHeight="1">
      <c r="A108" s="187" t="s">
        <v>15804</v>
      </c>
      <c r="B108" s="187" t="s">
        <v>15805</v>
      </c>
      <c r="C108" s="187" t="s">
        <v>13334</v>
      </c>
      <c r="D108" s="187" t="s">
        <v>16064</v>
      </c>
      <c r="E108" s="187" t="s">
        <v>16197</v>
      </c>
      <c r="F108" s="187" t="s">
        <v>16679</v>
      </c>
      <c r="G108" s="187" t="s">
        <v>15808</v>
      </c>
      <c r="H108" s="187" t="s">
        <v>11502</v>
      </c>
      <c r="I108" s="187" t="s">
        <v>15809</v>
      </c>
    </row>
    <row r="109" spans="1:9">
      <c r="A109" s="187" t="s">
        <v>15804</v>
      </c>
      <c r="B109" s="187" t="s">
        <v>15805</v>
      </c>
      <c r="C109" s="187" t="s">
        <v>13977</v>
      </c>
      <c r="D109" s="187" t="s">
        <v>16200</v>
      </c>
      <c r="E109" s="187" t="s">
        <v>16199</v>
      </c>
      <c r="F109" s="187" t="s">
        <v>16679</v>
      </c>
      <c r="G109" s="187" t="s">
        <v>15808</v>
      </c>
      <c r="H109" s="187" t="s">
        <v>11502</v>
      </c>
      <c r="I109" s="187" t="s">
        <v>15809</v>
      </c>
    </row>
    <row r="110" spans="1:9" ht="28.3" customHeight="1">
      <c r="A110" s="187" t="s">
        <v>15804</v>
      </c>
      <c r="B110" s="187" t="s">
        <v>15805</v>
      </c>
      <c r="C110" s="187" t="s">
        <v>15610</v>
      </c>
      <c r="D110" s="187" t="s">
        <v>16203</v>
      </c>
      <c r="E110" s="187" t="s">
        <v>16202</v>
      </c>
      <c r="F110" s="187" t="s">
        <v>16679</v>
      </c>
      <c r="G110" s="187" t="s">
        <v>15808</v>
      </c>
      <c r="H110" s="187" t="s">
        <v>11502</v>
      </c>
      <c r="I110" s="187" t="s">
        <v>15809</v>
      </c>
    </row>
    <row r="111" spans="1:9" ht="28.3" customHeight="1">
      <c r="A111" s="187" t="s">
        <v>15804</v>
      </c>
      <c r="B111" s="187" t="s">
        <v>15805</v>
      </c>
      <c r="C111" s="187" t="s">
        <v>3897</v>
      </c>
      <c r="D111" s="187" t="s">
        <v>16206</v>
      </c>
      <c r="E111" s="187" t="s">
        <v>16205</v>
      </c>
      <c r="F111" s="187" t="s">
        <v>16679</v>
      </c>
      <c r="G111" s="187" t="s">
        <v>15808</v>
      </c>
      <c r="H111" s="187" t="s">
        <v>11502</v>
      </c>
      <c r="I111" s="187" t="s">
        <v>15809</v>
      </c>
    </row>
    <row r="112" spans="1:9">
      <c r="A112" s="187" t="s">
        <v>15804</v>
      </c>
      <c r="B112" s="187" t="s">
        <v>15805</v>
      </c>
      <c r="C112" s="187" t="s">
        <v>11627</v>
      </c>
      <c r="D112" s="187" t="s">
        <v>15996</v>
      </c>
      <c r="E112" s="187" t="s">
        <v>16208</v>
      </c>
      <c r="F112" s="187" t="s">
        <v>16679</v>
      </c>
      <c r="G112" s="187" t="s">
        <v>15808</v>
      </c>
      <c r="H112" s="187" t="s">
        <v>11502</v>
      </c>
      <c r="I112" s="187" t="s">
        <v>15809</v>
      </c>
    </row>
    <row r="113" spans="1:9">
      <c r="A113" s="187" t="s">
        <v>15804</v>
      </c>
      <c r="B113" s="187" t="s">
        <v>15805</v>
      </c>
      <c r="C113" s="187" t="s">
        <v>273</v>
      </c>
      <c r="D113" s="187" t="s">
        <v>16097</v>
      </c>
      <c r="E113" s="187" t="s">
        <v>16210</v>
      </c>
      <c r="F113" s="187" t="s">
        <v>16679</v>
      </c>
      <c r="G113" s="187" t="s">
        <v>15808</v>
      </c>
      <c r="H113" s="187" t="s">
        <v>11502</v>
      </c>
      <c r="I113" s="187" t="s">
        <v>15809</v>
      </c>
    </row>
    <row r="114" spans="1:9" ht="28.3" customHeight="1">
      <c r="A114" s="187" t="s">
        <v>15804</v>
      </c>
      <c r="B114" s="187" t="s">
        <v>15805</v>
      </c>
      <c r="C114" s="187" t="s">
        <v>744</v>
      </c>
      <c r="D114" s="187" t="s">
        <v>15934</v>
      </c>
      <c r="E114" s="187" t="s">
        <v>16212</v>
      </c>
      <c r="F114" s="187" t="s">
        <v>16679</v>
      </c>
      <c r="G114" s="187" t="s">
        <v>15808</v>
      </c>
      <c r="H114" s="187" t="s">
        <v>11502</v>
      </c>
      <c r="I114" s="187" t="s">
        <v>15809</v>
      </c>
    </row>
    <row r="115" spans="1:9">
      <c r="A115" s="187" t="s">
        <v>15810</v>
      </c>
      <c r="B115" s="187" t="s">
        <v>15811</v>
      </c>
      <c r="C115" s="187" t="s">
        <v>13973</v>
      </c>
      <c r="D115" s="187" t="s">
        <v>16215</v>
      </c>
      <c r="E115" s="187" t="s">
        <v>16214</v>
      </c>
      <c r="F115" s="187" t="s">
        <v>16678</v>
      </c>
      <c r="G115" s="187" t="s">
        <v>15813</v>
      </c>
      <c r="H115" s="187" t="s">
        <v>11502</v>
      </c>
      <c r="I115" s="187" t="s">
        <v>15814</v>
      </c>
    </row>
    <row r="116" spans="1:9">
      <c r="A116" s="187" t="s">
        <v>15810</v>
      </c>
      <c r="B116" s="187" t="s">
        <v>15811</v>
      </c>
      <c r="C116" s="187" t="s">
        <v>13334</v>
      </c>
      <c r="D116" s="187" t="s">
        <v>16064</v>
      </c>
      <c r="E116" s="187" t="s">
        <v>16217</v>
      </c>
      <c r="F116" s="187" t="s">
        <v>16678</v>
      </c>
      <c r="G116" s="187" t="s">
        <v>15813</v>
      </c>
      <c r="H116" s="187" t="s">
        <v>11502</v>
      </c>
      <c r="I116" s="187" t="s">
        <v>15814</v>
      </c>
    </row>
    <row r="117" spans="1:9">
      <c r="A117" s="187" t="s">
        <v>15810</v>
      </c>
      <c r="B117" s="187" t="s">
        <v>15811</v>
      </c>
      <c r="C117" s="187" t="s">
        <v>764</v>
      </c>
      <c r="D117" s="187" t="s">
        <v>16084</v>
      </c>
      <c r="E117" s="187" t="s">
        <v>16219</v>
      </c>
      <c r="F117" s="187" t="s">
        <v>16678</v>
      </c>
      <c r="G117" s="187" t="s">
        <v>15813</v>
      </c>
      <c r="H117" s="187" t="s">
        <v>11502</v>
      </c>
      <c r="I117" s="187" t="s">
        <v>15814</v>
      </c>
    </row>
    <row r="118" spans="1:9">
      <c r="A118" s="187" t="s">
        <v>15810</v>
      </c>
      <c r="B118" s="187" t="s">
        <v>15811</v>
      </c>
      <c r="C118" s="187" t="s">
        <v>12519</v>
      </c>
      <c r="D118" s="187" t="s">
        <v>16043</v>
      </c>
      <c r="E118" s="187" t="s">
        <v>16221</v>
      </c>
      <c r="F118" s="187" t="s">
        <v>16678</v>
      </c>
      <c r="G118" s="187" t="s">
        <v>15813</v>
      </c>
      <c r="H118" s="187" t="s">
        <v>11502</v>
      </c>
      <c r="I118" s="187" t="s">
        <v>15814</v>
      </c>
    </row>
    <row r="119" spans="1:9">
      <c r="A119" s="187" t="s">
        <v>15810</v>
      </c>
      <c r="B119" s="187" t="s">
        <v>15811</v>
      </c>
      <c r="C119" s="187" t="s">
        <v>12520</v>
      </c>
      <c r="D119" s="187" t="s">
        <v>16047</v>
      </c>
      <c r="E119" s="187" t="s">
        <v>16223</v>
      </c>
      <c r="F119" s="187" t="s">
        <v>16678</v>
      </c>
      <c r="G119" s="187" t="s">
        <v>15813</v>
      </c>
      <c r="H119" s="187" t="s">
        <v>11502</v>
      </c>
      <c r="I119" s="187" t="s">
        <v>15814</v>
      </c>
    </row>
    <row r="120" spans="1:9">
      <c r="A120" s="187" t="s">
        <v>15810</v>
      </c>
      <c r="B120" s="187" t="s">
        <v>15811</v>
      </c>
      <c r="C120" s="187" t="s">
        <v>13974</v>
      </c>
      <c r="D120" s="187" t="s">
        <v>16226</v>
      </c>
      <c r="E120" s="187" t="s">
        <v>16225</v>
      </c>
      <c r="F120" s="187" t="s">
        <v>16678</v>
      </c>
      <c r="G120" s="187" t="s">
        <v>15813</v>
      </c>
      <c r="H120" s="187" t="s">
        <v>11502</v>
      </c>
      <c r="I120" s="187" t="s">
        <v>15814</v>
      </c>
    </row>
    <row r="121" spans="1:9">
      <c r="A121" s="187" t="s">
        <v>15810</v>
      </c>
      <c r="B121" s="187" t="s">
        <v>15811</v>
      </c>
      <c r="C121" s="187" t="s">
        <v>13975</v>
      </c>
      <c r="D121" s="187" t="s">
        <v>16229</v>
      </c>
      <c r="E121" s="187" t="s">
        <v>16228</v>
      </c>
      <c r="F121" s="187" t="s">
        <v>16678</v>
      </c>
      <c r="G121" s="187" t="s">
        <v>15813</v>
      </c>
      <c r="H121" s="187" t="s">
        <v>11502</v>
      </c>
      <c r="I121" s="187" t="s">
        <v>15814</v>
      </c>
    </row>
    <row r="122" spans="1:9">
      <c r="A122" s="187" t="s">
        <v>15810</v>
      </c>
      <c r="B122" s="187" t="s">
        <v>15811</v>
      </c>
      <c r="C122" s="187" t="s">
        <v>13337</v>
      </c>
      <c r="D122" s="187" t="s">
        <v>16132</v>
      </c>
      <c r="E122" s="187" t="s">
        <v>16231</v>
      </c>
      <c r="F122" s="187" t="s">
        <v>16678</v>
      </c>
      <c r="G122" s="187" t="s">
        <v>15813</v>
      </c>
      <c r="H122" s="187" t="s">
        <v>11502</v>
      </c>
      <c r="I122" s="187" t="s">
        <v>15814</v>
      </c>
    </row>
    <row r="123" spans="1:9">
      <c r="A123" s="187" t="s">
        <v>15810</v>
      </c>
      <c r="B123" s="187" t="s">
        <v>15811</v>
      </c>
      <c r="C123" s="187" t="s">
        <v>13338</v>
      </c>
      <c r="D123" s="187" t="s">
        <v>16135</v>
      </c>
      <c r="E123" s="187" t="s">
        <v>16233</v>
      </c>
      <c r="F123" s="187" t="s">
        <v>16678</v>
      </c>
      <c r="G123" s="187" t="s">
        <v>15813</v>
      </c>
      <c r="H123" s="187" t="s">
        <v>11502</v>
      </c>
      <c r="I123" s="187" t="s">
        <v>15814</v>
      </c>
    </row>
    <row r="124" spans="1:9">
      <c r="A124" s="187" t="s">
        <v>15810</v>
      </c>
      <c r="B124" s="187" t="s">
        <v>15811</v>
      </c>
      <c r="C124" s="187" t="s">
        <v>13976</v>
      </c>
      <c r="D124" s="187" t="s">
        <v>16236</v>
      </c>
      <c r="E124" s="187" t="s">
        <v>16235</v>
      </c>
      <c r="F124" s="187" t="s">
        <v>16678</v>
      </c>
      <c r="G124" s="187" t="s">
        <v>15813</v>
      </c>
      <c r="H124" s="187" t="s">
        <v>11502</v>
      </c>
      <c r="I124" s="187" t="s">
        <v>15814</v>
      </c>
    </row>
    <row r="125" spans="1:9">
      <c r="A125" s="187" t="s">
        <v>15810</v>
      </c>
      <c r="B125" s="187" t="s">
        <v>15811</v>
      </c>
      <c r="C125" s="187" t="s">
        <v>13977</v>
      </c>
      <c r="D125" s="187" t="s">
        <v>16200</v>
      </c>
      <c r="E125" s="187" t="s">
        <v>16238</v>
      </c>
      <c r="F125" s="187" t="s">
        <v>16678</v>
      </c>
      <c r="G125" s="187" t="s">
        <v>15813</v>
      </c>
      <c r="H125" s="187" t="s">
        <v>11502</v>
      </c>
      <c r="I125" s="187" t="s">
        <v>15814</v>
      </c>
    </row>
    <row r="126" spans="1:9">
      <c r="A126" s="187" t="s">
        <v>15810</v>
      </c>
      <c r="B126" s="187" t="s">
        <v>15811</v>
      </c>
      <c r="C126" s="187" t="s">
        <v>13978</v>
      </c>
      <c r="D126" s="187" t="s">
        <v>16241</v>
      </c>
      <c r="E126" s="187" t="s">
        <v>16240</v>
      </c>
      <c r="F126" s="187" t="s">
        <v>16678</v>
      </c>
      <c r="G126" s="187" t="s">
        <v>15813</v>
      </c>
      <c r="H126" s="187" t="s">
        <v>11502</v>
      </c>
      <c r="I126" s="187" t="s">
        <v>15814</v>
      </c>
    </row>
    <row r="127" spans="1:9">
      <c r="A127" s="187" t="s">
        <v>15810</v>
      </c>
      <c r="B127" s="187" t="s">
        <v>15811</v>
      </c>
      <c r="C127" s="187" t="s">
        <v>13979</v>
      </c>
      <c r="D127" s="187" t="s">
        <v>16244</v>
      </c>
      <c r="E127" s="187" t="s">
        <v>16243</v>
      </c>
      <c r="F127" s="187" t="s">
        <v>16678</v>
      </c>
      <c r="G127" s="187" t="s">
        <v>15813</v>
      </c>
      <c r="H127" s="187" t="s">
        <v>11502</v>
      </c>
      <c r="I127" s="187" t="s">
        <v>15814</v>
      </c>
    </row>
    <row r="128" spans="1:9">
      <c r="A128" s="187" t="s">
        <v>15810</v>
      </c>
      <c r="B128" s="187" t="s">
        <v>15811</v>
      </c>
      <c r="C128" s="187" t="s">
        <v>13980</v>
      </c>
      <c r="D128" s="187" t="s">
        <v>16247</v>
      </c>
      <c r="E128" s="187" t="s">
        <v>16246</v>
      </c>
      <c r="F128" s="187" t="s">
        <v>16678</v>
      </c>
      <c r="G128" s="187" t="s">
        <v>15813</v>
      </c>
      <c r="H128" s="187" t="s">
        <v>11502</v>
      </c>
      <c r="I128" s="187" t="s">
        <v>15814</v>
      </c>
    </row>
    <row r="129" spans="1:9">
      <c r="A129" s="187" t="s">
        <v>15810</v>
      </c>
      <c r="B129" s="187" t="s">
        <v>15811</v>
      </c>
      <c r="C129" s="187" t="s">
        <v>13340</v>
      </c>
      <c r="D129" s="187" t="s">
        <v>16142</v>
      </c>
      <c r="E129" s="187" t="s">
        <v>16249</v>
      </c>
      <c r="F129" s="187" t="s">
        <v>16678</v>
      </c>
      <c r="G129" s="187" t="s">
        <v>15813</v>
      </c>
      <c r="H129" s="187" t="s">
        <v>11502</v>
      </c>
      <c r="I129" s="187" t="s">
        <v>15814</v>
      </c>
    </row>
    <row r="130" spans="1:9">
      <c r="A130" s="187" t="s">
        <v>15810</v>
      </c>
      <c r="B130" s="187" t="s">
        <v>15811</v>
      </c>
      <c r="C130" s="187" t="s">
        <v>13981</v>
      </c>
      <c r="D130" s="187" t="s">
        <v>16252</v>
      </c>
      <c r="E130" s="187" t="s">
        <v>16251</v>
      </c>
      <c r="F130" s="187" t="s">
        <v>16678</v>
      </c>
      <c r="G130" s="187" t="s">
        <v>15813</v>
      </c>
      <c r="H130" s="187" t="s">
        <v>11502</v>
      </c>
      <c r="I130" s="187" t="s">
        <v>15814</v>
      </c>
    </row>
    <row r="131" spans="1:9">
      <c r="A131" s="187" t="s">
        <v>15810</v>
      </c>
      <c r="B131" s="187" t="s">
        <v>15811</v>
      </c>
      <c r="C131" s="187" t="s">
        <v>13982</v>
      </c>
      <c r="D131" s="187" t="s">
        <v>16255</v>
      </c>
      <c r="E131" s="187" t="s">
        <v>16254</v>
      </c>
      <c r="F131" s="187" t="s">
        <v>16678</v>
      </c>
      <c r="G131" s="187" t="s">
        <v>15813</v>
      </c>
      <c r="H131" s="187" t="s">
        <v>11502</v>
      </c>
      <c r="I131" s="187" t="s">
        <v>15814</v>
      </c>
    </row>
    <row r="132" spans="1:9">
      <c r="A132" s="187" t="s">
        <v>15815</v>
      </c>
      <c r="B132" s="187" t="s">
        <v>393</v>
      </c>
      <c r="C132" s="187" t="s">
        <v>14434</v>
      </c>
      <c r="D132" s="187" t="s">
        <v>16258</v>
      </c>
      <c r="E132" s="187" t="s">
        <v>16257</v>
      </c>
      <c r="F132" s="187" t="s">
        <v>16679</v>
      </c>
      <c r="G132" s="187" t="s">
        <v>15817</v>
      </c>
      <c r="H132" s="187" t="s">
        <v>11502</v>
      </c>
      <c r="I132" s="187" t="s">
        <v>15818</v>
      </c>
    </row>
    <row r="133" spans="1:9">
      <c r="A133" s="187" t="s">
        <v>15815</v>
      </c>
      <c r="B133" s="187" t="s">
        <v>393</v>
      </c>
      <c r="C133" s="187" t="s">
        <v>13334</v>
      </c>
      <c r="D133" s="187" t="s">
        <v>16064</v>
      </c>
      <c r="E133" s="187" t="s">
        <v>16261</v>
      </c>
      <c r="F133" s="187" t="s">
        <v>16679</v>
      </c>
      <c r="G133" s="187" t="s">
        <v>15817</v>
      </c>
      <c r="H133" s="187" t="s">
        <v>11502</v>
      </c>
      <c r="I133" s="187" t="s">
        <v>15818</v>
      </c>
    </row>
    <row r="134" spans="1:9">
      <c r="A134" s="187" t="s">
        <v>15815</v>
      </c>
      <c r="B134" s="187" t="s">
        <v>393</v>
      </c>
      <c r="C134" s="187" t="s">
        <v>12519</v>
      </c>
      <c r="D134" s="187" t="s">
        <v>16043</v>
      </c>
      <c r="E134" s="187" t="s">
        <v>16263</v>
      </c>
      <c r="F134" s="187" t="s">
        <v>16679</v>
      </c>
      <c r="G134" s="187" t="s">
        <v>15817</v>
      </c>
      <c r="H134" s="187" t="s">
        <v>11502</v>
      </c>
      <c r="I134" s="187" t="s">
        <v>15818</v>
      </c>
    </row>
    <row r="135" spans="1:9">
      <c r="A135" s="187" t="s">
        <v>15815</v>
      </c>
      <c r="B135" s="187" t="s">
        <v>393</v>
      </c>
      <c r="C135" s="187" t="s">
        <v>12520</v>
      </c>
      <c r="D135" s="187" t="s">
        <v>16047</v>
      </c>
      <c r="E135" s="187" t="s">
        <v>16265</v>
      </c>
      <c r="F135" s="187" t="s">
        <v>16679</v>
      </c>
      <c r="G135" s="187" t="s">
        <v>15817</v>
      </c>
      <c r="H135" s="187" t="s">
        <v>11502</v>
      </c>
      <c r="I135" s="187" t="s">
        <v>15818</v>
      </c>
    </row>
    <row r="136" spans="1:9">
      <c r="A136" s="187" t="s">
        <v>15815</v>
      </c>
      <c r="B136" s="187" t="s">
        <v>393</v>
      </c>
      <c r="C136" s="187" t="s">
        <v>14435</v>
      </c>
      <c r="D136" s="187" t="s">
        <v>16268</v>
      </c>
      <c r="E136" s="187" t="s">
        <v>16267</v>
      </c>
      <c r="F136" s="187" t="s">
        <v>16679</v>
      </c>
      <c r="G136" s="187" t="s">
        <v>15817</v>
      </c>
      <c r="H136" s="187" t="s">
        <v>11502</v>
      </c>
      <c r="I136" s="187" t="s">
        <v>15818</v>
      </c>
    </row>
    <row r="137" spans="1:9">
      <c r="A137" s="187" t="s">
        <v>15815</v>
      </c>
      <c r="B137" s="187" t="s">
        <v>393</v>
      </c>
      <c r="C137" s="187" t="s">
        <v>14436</v>
      </c>
      <c r="D137" s="187" t="s">
        <v>16271</v>
      </c>
      <c r="E137" s="187" t="s">
        <v>16270</v>
      </c>
      <c r="F137" s="187" t="s">
        <v>16679</v>
      </c>
      <c r="G137" s="187" t="s">
        <v>15817</v>
      </c>
      <c r="H137" s="187" t="s">
        <v>11502</v>
      </c>
      <c r="I137" s="187" t="s">
        <v>15818</v>
      </c>
    </row>
    <row r="138" spans="1:9">
      <c r="A138" s="187" t="s">
        <v>15815</v>
      </c>
      <c r="B138" s="187" t="s">
        <v>393</v>
      </c>
      <c r="C138" s="187" t="s">
        <v>14437</v>
      </c>
      <c r="D138" s="187" t="s">
        <v>16274</v>
      </c>
      <c r="E138" s="187" t="s">
        <v>16273</v>
      </c>
      <c r="F138" s="187" t="s">
        <v>16679</v>
      </c>
      <c r="G138" s="187" t="s">
        <v>15817</v>
      </c>
      <c r="H138" s="187" t="s">
        <v>11502</v>
      </c>
      <c r="I138" s="187" t="s">
        <v>15818</v>
      </c>
    </row>
    <row r="139" spans="1:9">
      <c r="A139" s="187" t="s">
        <v>15815</v>
      </c>
      <c r="B139" s="187" t="s">
        <v>393</v>
      </c>
      <c r="C139" s="187" t="s">
        <v>14438</v>
      </c>
      <c r="D139" s="187" t="s">
        <v>16278</v>
      </c>
      <c r="E139" s="187" t="s">
        <v>16277</v>
      </c>
      <c r="F139" s="187" t="s">
        <v>16679</v>
      </c>
      <c r="G139" s="187" t="s">
        <v>15817</v>
      </c>
      <c r="H139" s="187" t="s">
        <v>11502</v>
      </c>
      <c r="I139" s="187" t="s">
        <v>15818</v>
      </c>
    </row>
    <row r="140" spans="1:9">
      <c r="A140" s="187" t="s">
        <v>15815</v>
      </c>
      <c r="B140" s="187" t="s">
        <v>393</v>
      </c>
      <c r="C140" s="187" t="s">
        <v>14439</v>
      </c>
      <c r="D140" s="187" t="s">
        <v>16281</v>
      </c>
      <c r="E140" s="187" t="s">
        <v>16280</v>
      </c>
      <c r="F140" s="187" t="s">
        <v>16679</v>
      </c>
      <c r="G140" s="187" t="s">
        <v>15817</v>
      </c>
      <c r="H140" s="187" t="s">
        <v>11502</v>
      </c>
      <c r="I140" s="187" t="s">
        <v>15818</v>
      </c>
    </row>
    <row r="141" spans="1:9">
      <c r="A141" s="187" t="s">
        <v>15815</v>
      </c>
      <c r="B141" s="187" t="s">
        <v>393</v>
      </c>
      <c r="C141" s="187" t="s">
        <v>14440</v>
      </c>
      <c r="D141" s="187" t="s">
        <v>16284</v>
      </c>
      <c r="E141" s="187" t="s">
        <v>16283</v>
      </c>
      <c r="F141" s="187" t="s">
        <v>16679</v>
      </c>
      <c r="G141" s="187" t="s">
        <v>15817</v>
      </c>
      <c r="H141" s="187" t="s">
        <v>11502</v>
      </c>
      <c r="I141" s="187" t="s">
        <v>15818</v>
      </c>
    </row>
    <row r="142" spans="1:9">
      <c r="A142" s="187" t="s">
        <v>15815</v>
      </c>
      <c r="B142" s="187" t="s">
        <v>393</v>
      </c>
      <c r="C142" s="187" t="s">
        <v>14441</v>
      </c>
      <c r="D142" s="187" t="s">
        <v>16287</v>
      </c>
      <c r="E142" s="187" t="s">
        <v>16286</v>
      </c>
      <c r="F142" s="187" t="s">
        <v>16679</v>
      </c>
      <c r="G142" s="187" t="s">
        <v>15817</v>
      </c>
      <c r="H142" s="187" t="s">
        <v>11502</v>
      </c>
      <c r="I142" s="187" t="s">
        <v>15818</v>
      </c>
    </row>
    <row r="143" spans="1:9">
      <c r="A143" s="187" t="s">
        <v>15815</v>
      </c>
      <c r="B143" s="187" t="s">
        <v>393</v>
      </c>
      <c r="C143" s="187" t="s">
        <v>3364</v>
      </c>
      <c r="D143" s="187" t="s">
        <v>16290</v>
      </c>
      <c r="E143" s="187" t="s">
        <v>16289</v>
      </c>
      <c r="F143" s="187" t="s">
        <v>16679</v>
      </c>
      <c r="G143" s="187" t="s">
        <v>15817</v>
      </c>
      <c r="H143" s="187" t="s">
        <v>11502</v>
      </c>
      <c r="I143" s="187" t="s">
        <v>15818</v>
      </c>
    </row>
    <row r="144" spans="1:9">
      <c r="A144" s="187" t="s">
        <v>15815</v>
      </c>
      <c r="B144" s="187" t="s">
        <v>393</v>
      </c>
      <c r="C144" s="187" t="s">
        <v>3529</v>
      </c>
      <c r="D144" s="187" t="s">
        <v>16293</v>
      </c>
      <c r="E144" s="187" t="s">
        <v>16292</v>
      </c>
      <c r="F144" s="187" t="s">
        <v>16679</v>
      </c>
      <c r="G144" s="187" t="s">
        <v>15817</v>
      </c>
      <c r="H144" s="187" t="s">
        <v>11502</v>
      </c>
      <c r="I144" s="187" t="s">
        <v>15818</v>
      </c>
    </row>
    <row r="145" spans="1:9">
      <c r="A145" s="187" t="s">
        <v>15815</v>
      </c>
      <c r="B145" s="187" t="s">
        <v>393</v>
      </c>
      <c r="C145" s="187" t="s">
        <v>14442</v>
      </c>
      <c r="D145" s="187" t="s">
        <v>16296</v>
      </c>
      <c r="E145" s="187" t="s">
        <v>16295</v>
      </c>
      <c r="F145" s="187" t="s">
        <v>16679</v>
      </c>
      <c r="G145" s="187" t="s">
        <v>15817</v>
      </c>
      <c r="H145" s="187" t="s">
        <v>11502</v>
      </c>
      <c r="I145" s="187" t="s">
        <v>15818</v>
      </c>
    </row>
    <row r="146" spans="1:9">
      <c r="A146" s="187" t="s">
        <v>15815</v>
      </c>
      <c r="B146" s="187" t="s">
        <v>393</v>
      </c>
      <c r="C146" s="187" t="s">
        <v>11627</v>
      </c>
      <c r="D146" s="187" t="s">
        <v>15996</v>
      </c>
      <c r="E146" s="187" t="s">
        <v>16298</v>
      </c>
      <c r="F146" s="187" t="s">
        <v>16679</v>
      </c>
      <c r="G146" s="187" t="s">
        <v>15817</v>
      </c>
      <c r="H146" s="187" t="s">
        <v>11502</v>
      </c>
      <c r="I146" s="187" t="s">
        <v>15818</v>
      </c>
    </row>
    <row r="147" spans="1:9">
      <c r="A147" s="187" t="s">
        <v>15815</v>
      </c>
      <c r="B147" s="187" t="s">
        <v>393</v>
      </c>
      <c r="C147" s="187" t="s">
        <v>744</v>
      </c>
      <c r="D147" s="187" t="s">
        <v>15934</v>
      </c>
      <c r="E147" s="187" t="s">
        <v>16300</v>
      </c>
      <c r="F147" s="187" t="s">
        <v>16679</v>
      </c>
      <c r="G147" s="187" t="s">
        <v>15817</v>
      </c>
      <c r="H147" s="187" t="s">
        <v>11502</v>
      </c>
      <c r="I147" s="187" t="s">
        <v>15818</v>
      </c>
    </row>
    <row r="148" spans="1:9">
      <c r="A148" s="187" t="s">
        <v>15819</v>
      </c>
      <c r="B148" s="187" t="s">
        <v>15820</v>
      </c>
      <c r="C148" s="187" t="s">
        <v>15261</v>
      </c>
      <c r="D148" s="187" t="s">
        <v>16303</v>
      </c>
      <c r="E148" s="187" t="s">
        <v>16302</v>
      </c>
      <c r="F148" s="187" t="s">
        <v>16679</v>
      </c>
      <c r="G148" s="187" t="s">
        <v>15822</v>
      </c>
      <c r="H148" s="187" t="s">
        <v>11502</v>
      </c>
      <c r="I148" s="187" t="s">
        <v>15823</v>
      </c>
    </row>
    <row r="149" spans="1:9">
      <c r="A149" s="187" t="s">
        <v>15819</v>
      </c>
      <c r="B149" s="187" t="s">
        <v>15820</v>
      </c>
      <c r="C149" s="187" t="s">
        <v>13334</v>
      </c>
      <c r="D149" s="187" t="s">
        <v>16064</v>
      </c>
      <c r="E149" s="187" t="s">
        <v>16306</v>
      </c>
      <c r="F149" s="187" t="s">
        <v>16679</v>
      </c>
      <c r="G149" s="187" t="s">
        <v>15822</v>
      </c>
      <c r="H149" s="187" t="s">
        <v>11502</v>
      </c>
      <c r="I149" s="187" t="s">
        <v>15823</v>
      </c>
    </row>
    <row r="150" spans="1:9">
      <c r="A150" s="187" t="s">
        <v>15819</v>
      </c>
      <c r="B150" s="187" t="s">
        <v>15820</v>
      </c>
      <c r="C150" s="187" t="s">
        <v>12519</v>
      </c>
      <c r="D150" s="187" t="s">
        <v>16043</v>
      </c>
      <c r="E150" s="187" t="s">
        <v>16308</v>
      </c>
      <c r="F150" s="187" t="s">
        <v>16679</v>
      </c>
      <c r="G150" s="187" t="s">
        <v>15822</v>
      </c>
      <c r="H150" s="187" t="s">
        <v>11502</v>
      </c>
      <c r="I150" s="187" t="s">
        <v>15823</v>
      </c>
    </row>
    <row r="151" spans="1:9">
      <c r="A151" s="187" t="s">
        <v>15819</v>
      </c>
      <c r="B151" s="187" t="s">
        <v>15820</v>
      </c>
      <c r="C151" s="187" t="s">
        <v>12520</v>
      </c>
      <c r="D151" s="187" t="s">
        <v>16047</v>
      </c>
      <c r="E151" s="187" t="s">
        <v>16310</v>
      </c>
      <c r="F151" s="187" t="s">
        <v>16679</v>
      </c>
      <c r="G151" s="187" t="s">
        <v>15822</v>
      </c>
      <c r="H151" s="187" t="s">
        <v>11502</v>
      </c>
      <c r="I151" s="187" t="s">
        <v>15823</v>
      </c>
    </row>
    <row r="152" spans="1:9">
      <c r="A152" s="187" t="s">
        <v>15819</v>
      </c>
      <c r="B152" s="187" t="s">
        <v>15820</v>
      </c>
      <c r="C152" s="187" t="s">
        <v>15262</v>
      </c>
      <c r="D152" s="187" t="s">
        <v>16313</v>
      </c>
      <c r="E152" s="187" t="s">
        <v>16312</v>
      </c>
      <c r="F152" s="187" t="s">
        <v>16679</v>
      </c>
      <c r="G152" s="187" t="s">
        <v>15822</v>
      </c>
      <c r="H152" s="187" t="s">
        <v>11502</v>
      </c>
      <c r="I152" s="187" t="s">
        <v>15823</v>
      </c>
    </row>
    <row r="153" spans="1:9">
      <c r="A153" s="187" t="s">
        <v>15819</v>
      </c>
      <c r="B153" s="187" t="s">
        <v>15820</v>
      </c>
      <c r="C153" s="187" t="s">
        <v>14439</v>
      </c>
      <c r="D153" s="187" t="s">
        <v>16281</v>
      </c>
      <c r="E153" s="187" t="s">
        <v>16315</v>
      </c>
      <c r="F153" s="187" t="s">
        <v>16679</v>
      </c>
      <c r="G153" s="187" t="s">
        <v>15822</v>
      </c>
      <c r="H153" s="187" t="s">
        <v>11502</v>
      </c>
      <c r="I153" s="187" t="s">
        <v>15823</v>
      </c>
    </row>
    <row r="154" spans="1:9">
      <c r="A154" s="187" t="s">
        <v>15819</v>
      </c>
      <c r="B154" s="187" t="s">
        <v>15820</v>
      </c>
      <c r="C154" s="187" t="s">
        <v>14440</v>
      </c>
      <c r="D154" s="187" t="s">
        <v>16284</v>
      </c>
      <c r="E154" s="187" t="s">
        <v>16317</v>
      </c>
      <c r="F154" s="187" t="s">
        <v>16679</v>
      </c>
      <c r="G154" s="187" t="s">
        <v>15822</v>
      </c>
      <c r="H154" s="187" t="s">
        <v>11502</v>
      </c>
      <c r="I154" s="187" t="s">
        <v>15823</v>
      </c>
    </row>
    <row r="155" spans="1:9">
      <c r="A155" s="187" t="s">
        <v>15819</v>
      </c>
      <c r="B155" s="187" t="s">
        <v>15820</v>
      </c>
      <c r="C155" s="187" t="s">
        <v>15263</v>
      </c>
      <c r="D155" s="187" t="s">
        <v>16320</v>
      </c>
      <c r="E155" s="187" t="s">
        <v>16319</v>
      </c>
      <c r="F155" s="187" t="s">
        <v>16679</v>
      </c>
      <c r="G155" s="187" t="s">
        <v>15822</v>
      </c>
      <c r="H155" s="187" t="s">
        <v>11502</v>
      </c>
      <c r="I155" s="187" t="s">
        <v>15823</v>
      </c>
    </row>
    <row r="156" spans="1:9">
      <c r="A156" s="187" t="s">
        <v>15819</v>
      </c>
      <c r="B156" s="187" t="s">
        <v>15820</v>
      </c>
      <c r="C156" s="187" t="s">
        <v>15264</v>
      </c>
      <c r="D156" s="187" t="s">
        <v>16323</v>
      </c>
      <c r="E156" s="187" t="s">
        <v>16322</v>
      </c>
      <c r="F156" s="187" t="s">
        <v>16679</v>
      </c>
      <c r="G156" s="187" t="s">
        <v>15822</v>
      </c>
      <c r="H156" s="187" t="s">
        <v>11502</v>
      </c>
      <c r="I156" s="187" t="s">
        <v>15823</v>
      </c>
    </row>
    <row r="157" spans="1:9">
      <c r="A157" s="187" t="s">
        <v>15819</v>
      </c>
      <c r="B157" s="187" t="s">
        <v>15820</v>
      </c>
      <c r="C157" s="187" t="s">
        <v>15265</v>
      </c>
      <c r="D157" s="187" t="s">
        <v>16326</v>
      </c>
      <c r="E157" s="187" t="s">
        <v>16325</v>
      </c>
      <c r="F157" s="187" t="s">
        <v>16679</v>
      </c>
      <c r="G157" s="187" t="s">
        <v>15822</v>
      </c>
      <c r="H157" s="187" t="s">
        <v>11502</v>
      </c>
      <c r="I157" s="187" t="s">
        <v>15823</v>
      </c>
    </row>
    <row r="158" spans="1:9">
      <c r="A158" s="187" t="s">
        <v>15819</v>
      </c>
      <c r="B158" s="187" t="s">
        <v>15820</v>
      </c>
      <c r="C158" s="187" t="s">
        <v>11627</v>
      </c>
      <c r="D158" s="187" t="s">
        <v>15996</v>
      </c>
      <c r="E158" s="187" t="s">
        <v>16328</v>
      </c>
      <c r="F158" s="187" t="s">
        <v>16679</v>
      </c>
      <c r="G158" s="187" t="s">
        <v>15822</v>
      </c>
      <c r="H158" s="187" t="s">
        <v>11502</v>
      </c>
      <c r="I158" s="187" t="s">
        <v>15823</v>
      </c>
    </row>
    <row r="159" spans="1:9">
      <c r="A159" s="187" t="s">
        <v>15819</v>
      </c>
      <c r="B159" s="187" t="s">
        <v>15820</v>
      </c>
      <c r="C159" s="187" t="s">
        <v>744</v>
      </c>
      <c r="D159" s="187" t="s">
        <v>15934</v>
      </c>
      <c r="E159" s="187" t="s">
        <v>16330</v>
      </c>
      <c r="F159" s="187" t="s">
        <v>16679</v>
      </c>
      <c r="G159" s="187" t="s">
        <v>15822</v>
      </c>
      <c r="H159" s="187" t="s">
        <v>11502</v>
      </c>
      <c r="I159" s="187" t="s">
        <v>15823</v>
      </c>
    </row>
    <row r="160" spans="1:9">
      <c r="A160" s="187" t="s">
        <v>15824</v>
      </c>
      <c r="B160" s="187" t="s">
        <v>15825</v>
      </c>
      <c r="C160" s="187" t="s">
        <v>15678</v>
      </c>
      <c r="D160" s="187" t="s">
        <v>16333</v>
      </c>
      <c r="E160" s="187" t="s">
        <v>16332</v>
      </c>
      <c r="F160" s="187" t="s">
        <v>16679</v>
      </c>
      <c r="G160" s="187" t="s">
        <v>15828</v>
      </c>
      <c r="H160" s="187" t="s">
        <v>11502</v>
      </c>
      <c r="I160" s="187" t="s">
        <v>15829</v>
      </c>
    </row>
    <row r="161" spans="1:9">
      <c r="A161" s="187" t="s">
        <v>15824</v>
      </c>
      <c r="B161" s="187" t="s">
        <v>15825</v>
      </c>
      <c r="C161" s="187" t="s">
        <v>15679</v>
      </c>
      <c r="D161" s="187" t="s">
        <v>16336</v>
      </c>
      <c r="E161" s="187" t="s">
        <v>16335</v>
      </c>
      <c r="F161" s="187" t="s">
        <v>16679</v>
      </c>
      <c r="G161" s="187" t="s">
        <v>15828</v>
      </c>
      <c r="H161" s="187" t="s">
        <v>11502</v>
      </c>
      <c r="I161" s="187" t="s">
        <v>15829</v>
      </c>
    </row>
    <row r="162" spans="1:9">
      <c r="A162" s="187" t="s">
        <v>15824</v>
      </c>
      <c r="B162" s="187" t="s">
        <v>15825</v>
      </c>
      <c r="C162" s="187" t="s">
        <v>15680</v>
      </c>
      <c r="D162" s="187" t="s">
        <v>16339</v>
      </c>
      <c r="E162" s="187" t="s">
        <v>16338</v>
      </c>
      <c r="F162" s="187" t="s">
        <v>16679</v>
      </c>
      <c r="G162" s="187" t="s">
        <v>15828</v>
      </c>
      <c r="H162" s="187" t="s">
        <v>11502</v>
      </c>
      <c r="I162" s="187" t="s">
        <v>15829</v>
      </c>
    </row>
    <row r="163" spans="1:9">
      <c r="A163" s="187" t="s">
        <v>15824</v>
      </c>
      <c r="B163" s="187" t="s">
        <v>15825</v>
      </c>
      <c r="C163" s="187" t="s">
        <v>764</v>
      </c>
      <c r="D163" s="187" t="s">
        <v>16084</v>
      </c>
      <c r="E163" s="187" t="s">
        <v>16341</v>
      </c>
      <c r="F163" s="187" t="s">
        <v>16679</v>
      </c>
      <c r="G163" s="187" t="s">
        <v>15828</v>
      </c>
      <c r="H163" s="187" t="s">
        <v>11502</v>
      </c>
      <c r="I163" s="187" t="s">
        <v>15829</v>
      </c>
    </row>
    <row r="164" spans="1:9">
      <c r="A164" s="187" t="s">
        <v>15824</v>
      </c>
      <c r="B164" s="187" t="s">
        <v>15825</v>
      </c>
      <c r="C164" s="187" t="s">
        <v>768</v>
      </c>
      <c r="D164" s="187" t="s">
        <v>16087</v>
      </c>
      <c r="E164" s="187" t="s">
        <v>16343</v>
      </c>
      <c r="F164" s="187" t="s">
        <v>16679</v>
      </c>
      <c r="G164" s="187" t="s">
        <v>15828</v>
      </c>
      <c r="H164" s="187" t="s">
        <v>11502</v>
      </c>
      <c r="I164" s="187" t="s">
        <v>15829</v>
      </c>
    </row>
    <row r="165" spans="1:9">
      <c r="A165" s="187" t="s">
        <v>15824</v>
      </c>
      <c r="B165" s="187" t="s">
        <v>15825</v>
      </c>
      <c r="C165" s="187" t="s">
        <v>15681</v>
      </c>
      <c r="D165" s="187" t="s">
        <v>16346</v>
      </c>
      <c r="E165" s="187" t="s">
        <v>16345</v>
      </c>
      <c r="F165" s="187" t="s">
        <v>16679</v>
      </c>
      <c r="G165" s="187" t="s">
        <v>15828</v>
      </c>
      <c r="H165" s="187" t="s">
        <v>11502</v>
      </c>
      <c r="I165" s="187" t="s">
        <v>15829</v>
      </c>
    </row>
    <row r="166" spans="1:9">
      <c r="A166" s="187" t="s">
        <v>15824</v>
      </c>
      <c r="B166" s="187" t="s">
        <v>15825</v>
      </c>
      <c r="C166" s="187" t="s">
        <v>15682</v>
      </c>
      <c r="D166" s="187" t="s">
        <v>16349</v>
      </c>
      <c r="E166" s="187" t="s">
        <v>16348</v>
      </c>
      <c r="F166" s="187" t="s">
        <v>16679</v>
      </c>
      <c r="G166" s="187" t="s">
        <v>15828</v>
      </c>
      <c r="H166" s="187" t="s">
        <v>11502</v>
      </c>
      <c r="I166" s="187" t="s">
        <v>15829</v>
      </c>
    </row>
    <row r="167" spans="1:9">
      <c r="A167" s="187" t="s">
        <v>15824</v>
      </c>
      <c r="B167" s="187" t="s">
        <v>15825</v>
      </c>
      <c r="C167" s="187" t="s">
        <v>13334</v>
      </c>
      <c r="D167" s="187" t="s">
        <v>16064</v>
      </c>
      <c r="E167" s="187" t="s">
        <v>16351</v>
      </c>
      <c r="F167" s="187" t="s">
        <v>16679</v>
      </c>
      <c r="G167" s="187" t="s">
        <v>15828</v>
      </c>
      <c r="H167" s="187" t="s">
        <v>11502</v>
      </c>
      <c r="I167" s="187" t="s">
        <v>15829</v>
      </c>
    </row>
    <row r="168" spans="1:9">
      <c r="A168" s="187" t="s">
        <v>15824</v>
      </c>
      <c r="B168" s="187" t="s">
        <v>15825</v>
      </c>
      <c r="C168" s="187" t="s">
        <v>15683</v>
      </c>
      <c r="D168" s="187" t="s">
        <v>16354</v>
      </c>
      <c r="E168" s="187" t="s">
        <v>16353</v>
      </c>
      <c r="F168" s="187" t="s">
        <v>16679</v>
      </c>
      <c r="G168" s="187" t="s">
        <v>15828</v>
      </c>
      <c r="H168" s="187" t="s">
        <v>11502</v>
      </c>
      <c r="I168" s="187" t="s">
        <v>15829</v>
      </c>
    </row>
    <row r="169" spans="1:9">
      <c r="A169" s="187" t="s">
        <v>15824</v>
      </c>
      <c r="B169" s="187" t="s">
        <v>15825</v>
      </c>
      <c r="C169" s="187" t="s">
        <v>15684</v>
      </c>
      <c r="D169" s="187" t="s">
        <v>16357</v>
      </c>
      <c r="E169" s="187" t="s">
        <v>16356</v>
      </c>
      <c r="F169" s="187" t="s">
        <v>16679</v>
      </c>
      <c r="G169" s="187" t="s">
        <v>15828</v>
      </c>
      <c r="H169" s="187" t="s">
        <v>11502</v>
      </c>
      <c r="I169" s="187" t="s">
        <v>15829</v>
      </c>
    </row>
    <row r="170" spans="1:9">
      <c r="A170" s="187" t="s">
        <v>15824</v>
      </c>
      <c r="B170" s="187" t="s">
        <v>15825</v>
      </c>
      <c r="C170" s="187" t="s">
        <v>14434</v>
      </c>
      <c r="D170" s="187" t="s">
        <v>16258</v>
      </c>
      <c r="E170" s="187" t="s">
        <v>16359</v>
      </c>
      <c r="F170" s="187" t="s">
        <v>16679</v>
      </c>
      <c r="G170" s="187" t="s">
        <v>15828</v>
      </c>
      <c r="H170" s="187" t="s">
        <v>11502</v>
      </c>
      <c r="I170" s="187" t="s">
        <v>15829</v>
      </c>
    </row>
    <row r="171" spans="1:9">
      <c r="A171" s="187" t="s">
        <v>15824</v>
      </c>
      <c r="B171" s="187" t="s">
        <v>15825</v>
      </c>
      <c r="C171" s="187" t="s">
        <v>15685</v>
      </c>
      <c r="D171" s="187" t="s">
        <v>16362</v>
      </c>
      <c r="E171" s="187" t="s">
        <v>16361</v>
      </c>
      <c r="F171" s="187" t="s">
        <v>16679</v>
      </c>
      <c r="G171" s="187" t="s">
        <v>15828</v>
      </c>
      <c r="H171" s="187" t="s">
        <v>11502</v>
      </c>
      <c r="I171" s="187" t="s">
        <v>15829</v>
      </c>
    </row>
    <row r="172" spans="1:9">
      <c r="A172" s="187" t="s">
        <v>15824</v>
      </c>
      <c r="B172" s="187" t="s">
        <v>15825</v>
      </c>
      <c r="C172" s="187" t="s">
        <v>15686</v>
      </c>
      <c r="D172" s="187" t="s">
        <v>16365</v>
      </c>
      <c r="E172" s="187" t="s">
        <v>16364</v>
      </c>
      <c r="F172" s="187" t="s">
        <v>16679</v>
      </c>
      <c r="G172" s="187" t="s">
        <v>15828</v>
      </c>
      <c r="H172" s="187" t="s">
        <v>11502</v>
      </c>
      <c r="I172" s="187" t="s">
        <v>15829</v>
      </c>
    </row>
    <row r="173" spans="1:9">
      <c r="A173" s="187" t="s">
        <v>15824</v>
      </c>
      <c r="B173" s="187" t="s">
        <v>15825</v>
      </c>
      <c r="C173" s="187" t="s">
        <v>11627</v>
      </c>
      <c r="D173" s="187" t="s">
        <v>15996</v>
      </c>
      <c r="E173" s="187" t="s">
        <v>16367</v>
      </c>
      <c r="F173" s="187" t="s">
        <v>16679</v>
      </c>
      <c r="G173" s="187" t="s">
        <v>15828</v>
      </c>
      <c r="H173" s="187" t="s">
        <v>11502</v>
      </c>
      <c r="I173" s="187" t="s">
        <v>15829</v>
      </c>
    </row>
    <row r="174" spans="1:9">
      <c r="A174" s="187" t="s">
        <v>15824</v>
      </c>
      <c r="B174" s="187" t="s">
        <v>15825</v>
      </c>
      <c r="C174" s="187" t="s">
        <v>15687</v>
      </c>
      <c r="D174" s="187" t="s">
        <v>16370</v>
      </c>
      <c r="E174" s="187" t="s">
        <v>16369</v>
      </c>
      <c r="F174" s="187" t="s">
        <v>16679</v>
      </c>
      <c r="G174" s="187" t="s">
        <v>15828</v>
      </c>
      <c r="H174" s="187" t="s">
        <v>11502</v>
      </c>
      <c r="I174" s="187" t="s">
        <v>15829</v>
      </c>
    </row>
    <row r="175" spans="1:9">
      <c r="A175" s="187" t="s">
        <v>15824</v>
      </c>
      <c r="B175" s="187" t="s">
        <v>15825</v>
      </c>
      <c r="C175" s="187" t="s">
        <v>3897</v>
      </c>
      <c r="D175" s="187" t="s">
        <v>16206</v>
      </c>
      <c r="E175" s="187" t="s">
        <v>16372</v>
      </c>
      <c r="F175" s="187" t="s">
        <v>16679</v>
      </c>
      <c r="G175" s="187" t="s">
        <v>15828</v>
      </c>
      <c r="H175" s="187" t="s">
        <v>11502</v>
      </c>
      <c r="I175" s="187" t="s">
        <v>15829</v>
      </c>
    </row>
    <row r="176" spans="1:9">
      <c r="A176" s="187" t="s">
        <v>15830</v>
      </c>
      <c r="B176" s="187" t="s">
        <v>15831</v>
      </c>
      <c r="C176" s="187" t="s">
        <v>15688</v>
      </c>
      <c r="D176" s="187" t="s">
        <v>16375</v>
      </c>
      <c r="E176" s="187" t="s">
        <v>16374</v>
      </c>
      <c r="F176" s="187" t="s">
        <v>16679</v>
      </c>
      <c r="G176" s="187" t="s">
        <v>15834</v>
      </c>
      <c r="H176" s="187" t="s">
        <v>11502</v>
      </c>
      <c r="I176" s="187" t="s">
        <v>15835</v>
      </c>
    </row>
    <row r="177" spans="1:9">
      <c r="A177" s="187" t="s">
        <v>15830</v>
      </c>
      <c r="B177" s="187" t="s">
        <v>15831</v>
      </c>
      <c r="C177" s="187" t="s">
        <v>13336</v>
      </c>
      <c r="D177" s="187" t="s">
        <v>16129</v>
      </c>
      <c r="E177" s="187" t="s">
        <v>16377</v>
      </c>
      <c r="F177" s="187" t="s">
        <v>16679</v>
      </c>
      <c r="G177" s="187" t="s">
        <v>15834</v>
      </c>
      <c r="H177" s="187" t="s">
        <v>11502</v>
      </c>
      <c r="I177" s="187" t="s">
        <v>15835</v>
      </c>
    </row>
    <row r="178" spans="1:9">
      <c r="A178" s="187" t="s">
        <v>15830</v>
      </c>
      <c r="B178" s="187" t="s">
        <v>15831</v>
      </c>
      <c r="C178" s="187" t="s">
        <v>764</v>
      </c>
      <c r="D178" s="187" t="s">
        <v>16084</v>
      </c>
      <c r="E178" s="187" t="s">
        <v>16379</v>
      </c>
      <c r="F178" s="187" t="s">
        <v>16679</v>
      </c>
      <c r="G178" s="187" t="s">
        <v>15834</v>
      </c>
      <c r="H178" s="187" t="s">
        <v>11502</v>
      </c>
      <c r="I178" s="187" t="s">
        <v>15835</v>
      </c>
    </row>
    <row r="179" spans="1:9">
      <c r="A179" s="187" t="s">
        <v>15830</v>
      </c>
      <c r="B179" s="187" t="s">
        <v>15831</v>
      </c>
      <c r="C179" s="187" t="s">
        <v>768</v>
      </c>
      <c r="D179" s="187" t="s">
        <v>16087</v>
      </c>
      <c r="E179" s="187" t="s">
        <v>16381</v>
      </c>
      <c r="F179" s="187" t="s">
        <v>16679</v>
      </c>
      <c r="G179" s="187" t="s">
        <v>15834</v>
      </c>
      <c r="H179" s="187" t="s">
        <v>11502</v>
      </c>
      <c r="I179" s="187" t="s">
        <v>15835</v>
      </c>
    </row>
    <row r="180" spans="1:9">
      <c r="A180" s="187" t="s">
        <v>15830</v>
      </c>
      <c r="B180" s="187" t="s">
        <v>15831</v>
      </c>
      <c r="C180" s="187" t="s">
        <v>15689</v>
      </c>
      <c r="D180" s="187" t="s">
        <v>16384</v>
      </c>
      <c r="E180" s="187" t="s">
        <v>16383</v>
      </c>
      <c r="F180" s="187" t="s">
        <v>16679</v>
      </c>
      <c r="G180" s="187" t="s">
        <v>15834</v>
      </c>
      <c r="H180" s="187" t="s">
        <v>11502</v>
      </c>
      <c r="I180" s="187" t="s">
        <v>15835</v>
      </c>
    </row>
    <row r="181" spans="1:9">
      <c r="A181" s="187" t="s">
        <v>15830</v>
      </c>
      <c r="B181" s="187" t="s">
        <v>15831</v>
      </c>
      <c r="C181" s="187" t="s">
        <v>15690</v>
      </c>
      <c r="D181" s="187" t="s">
        <v>16387</v>
      </c>
      <c r="E181" s="187" t="s">
        <v>16386</v>
      </c>
      <c r="F181" s="187" t="s">
        <v>16679</v>
      </c>
      <c r="G181" s="187" t="s">
        <v>15834</v>
      </c>
      <c r="H181" s="187" t="s">
        <v>11502</v>
      </c>
      <c r="I181" s="187" t="s">
        <v>15835</v>
      </c>
    </row>
    <row r="182" spans="1:9">
      <c r="A182" s="187" t="s">
        <v>15830</v>
      </c>
      <c r="B182" s="187" t="s">
        <v>15831</v>
      </c>
      <c r="C182" s="187" t="s">
        <v>13334</v>
      </c>
      <c r="D182" s="187" t="s">
        <v>16064</v>
      </c>
      <c r="E182" s="187" t="s">
        <v>16389</v>
      </c>
      <c r="F182" s="187" t="s">
        <v>16679</v>
      </c>
      <c r="G182" s="187" t="s">
        <v>15834</v>
      </c>
      <c r="H182" s="187" t="s">
        <v>11502</v>
      </c>
      <c r="I182" s="187" t="s">
        <v>15835</v>
      </c>
    </row>
    <row r="183" spans="1:9">
      <c r="A183" s="187" t="s">
        <v>15830</v>
      </c>
      <c r="B183" s="187" t="s">
        <v>15831</v>
      </c>
      <c r="C183" s="187" t="s">
        <v>15683</v>
      </c>
      <c r="D183" s="187" t="s">
        <v>16354</v>
      </c>
      <c r="E183" s="187" t="s">
        <v>16391</v>
      </c>
      <c r="F183" s="187" t="s">
        <v>16679</v>
      </c>
      <c r="G183" s="187" t="s">
        <v>15834</v>
      </c>
      <c r="H183" s="187" t="s">
        <v>11502</v>
      </c>
      <c r="I183" s="187" t="s">
        <v>15835</v>
      </c>
    </row>
    <row r="184" spans="1:9">
      <c r="A184" s="187" t="s">
        <v>15830</v>
      </c>
      <c r="B184" s="187" t="s">
        <v>15831</v>
      </c>
      <c r="C184" s="187" t="s">
        <v>14434</v>
      </c>
      <c r="D184" s="187" t="s">
        <v>16258</v>
      </c>
      <c r="E184" s="187" t="s">
        <v>16393</v>
      </c>
      <c r="F184" s="187" t="s">
        <v>16679</v>
      </c>
      <c r="G184" s="187" t="s">
        <v>15834</v>
      </c>
      <c r="H184" s="187" t="s">
        <v>11502</v>
      </c>
      <c r="I184" s="187" t="s">
        <v>15835</v>
      </c>
    </row>
    <row r="185" spans="1:9">
      <c r="A185" s="187" t="s">
        <v>15830</v>
      </c>
      <c r="B185" s="187" t="s">
        <v>15831</v>
      </c>
      <c r="C185" s="187" t="s">
        <v>15261</v>
      </c>
      <c r="D185" s="187" t="s">
        <v>16303</v>
      </c>
      <c r="E185" s="187" t="s">
        <v>16395</v>
      </c>
      <c r="F185" s="187" t="s">
        <v>16679</v>
      </c>
      <c r="G185" s="187" t="s">
        <v>15834</v>
      </c>
      <c r="H185" s="187" t="s">
        <v>11502</v>
      </c>
      <c r="I185" s="187" t="s">
        <v>15835</v>
      </c>
    </row>
    <row r="186" spans="1:9">
      <c r="A186" s="187" t="s">
        <v>15830</v>
      </c>
      <c r="B186" s="187" t="s">
        <v>15831</v>
      </c>
      <c r="C186" s="187" t="s">
        <v>15685</v>
      </c>
      <c r="D186" s="187" t="s">
        <v>16362</v>
      </c>
      <c r="E186" s="187" t="s">
        <v>16397</v>
      </c>
      <c r="F186" s="187" t="s">
        <v>16679</v>
      </c>
      <c r="G186" s="187" t="s">
        <v>15834</v>
      </c>
      <c r="H186" s="187" t="s">
        <v>11502</v>
      </c>
      <c r="I186" s="187" t="s">
        <v>15835</v>
      </c>
    </row>
    <row r="187" spans="1:9">
      <c r="A187" s="187" t="s">
        <v>15830</v>
      </c>
      <c r="B187" s="187" t="s">
        <v>15831</v>
      </c>
      <c r="C187" s="187" t="s">
        <v>15686</v>
      </c>
      <c r="D187" s="187" t="s">
        <v>16365</v>
      </c>
      <c r="E187" s="187" t="s">
        <v>16399</v>
      </c>
      <c r="F187" s="187" t="s">
        <v>16679</v>
      </c>
      <c r="G187" s="187" t="s">
        <v>15834</v>
      </c>
      <c r="H187" s="187" t="s">
        <v>11502</v>
      </c>
      <c r="I187" s="187" t="s">
        <v>15835</v>
      </c>
    </row>
    <row r="188" spans="1:9">
      <c r="A188" s="187" t="s">
        <v>15830</v>
      </c>
      <c r="B188" s="187" t="s">
        <v>15831</v>
      </c>
      <c r="C188" s="187" t="s">
        <v>11627</v>
      </c>
      <c r="D188" s="187" t="s">
        <v>15996</v>
      </c>
      <c r="E188" s="187" t="s">
        <v>16401</v>
      </c>
      <c r="F188" s="187" t="s">
        <v>16679</v>
      </c>
      <c r="G188" s="187" t="s">
        <v>15834</v>
      </c>
      <c r="H188" s="187" t="s">
        <v>11502</v>
      </c>
      <c r="I188" s="187" t="s">
        <v>15835</v>
      </c>
    </row>
    <row r="189" spans="1:9">
      <c r="A189" s="187" t="s">
        <v>15830</v>
      </c>
      <c r="B189" s="187" t="s">
        <v>15831</v>
      </c>
      <c r="C189" s="187" t="s">
        <v>15687</v>
      </c>
      <c r="D189" s="187" t="s">
        <v>16370</v>
      </c>
      <c r="E189" s="187" t="s">
        <v>16403</v>
      </c>
      <c r="F189" s="187" t="s">
        <v>16679</v>
      </c>
      <c r="G189" s="187" t="s">
        <v>15834</v>
      </c>
      <c r="H189" s="187" t="s">
        <v>11502</v>
      </c>
      <c r="I189" s="187" t="s">
        <v>15835</v>
      </c>
    </row>
    <row r="190" spans="1:9">
      <c r="A190" s="187" t="s">
        <v>15830</v>
      </c>
      <c r="B190" s="187" t="s">
        <v>15831</v>
      </c>
      <c r="C190" s="187" t="s">
        <v>3897</v>
      </c>
      <c r="D190" s="187" t="s">
        <v>16206</v>
      </c>
      <c r="E190" s="187" t="s">
        <v>16405</v>
      </c>
      <c r="F190" s="187" t="s">
        <v>16679</v>
      </c>
      <c r="G190" s="187" t="s">
        <v>15834</v>
      </c>
      <c r="H190" s="187" t="s">
        <v>11502</v>
      </c>
      <c r="I190" s="187" t="s">
        <v>15835</v>
      </c>
    </row>
    <row r="191" spans="1:9" ht="28.3" customHeight="1">
      <c r="A191" s="187" t="s">
        <v>15836</v>
      </c>
      <c r="B191" s="187" t="s">
        <v>15837</v>
      </c>
      <c r="C191" s="187" t="s">
        <v>15691</v>
      </c>
      <c r="D191" s="187" t="s">
        <v>16408</v>
      </c>
      <c r="E191" s="187" t="s">
        <v>16407</v>
      </c>
      <c r="F191" s="187" t="s">
        <v>16679</v>
      </c>
      <c r="G191" s="187" t="s">
        <v>15840</v>
      </c>
      <c r="H191" s="187" t="s">
        <v>11502</v>
      </c>
      <c r="I191" s="187" t="s">
        <v>15841</v>
      </c>
    </row>
    <row r="192" spans="1:9" ht="28.3" customHeight="1">
      <c r="A192" s="187" t="s">
        <v>15836</v>
      </c>
      <c r="B192" s="187" t="s">
        <v>15837</v>
      </c>
      <c r="C192" s="187" t="s">
        <v>15692</v>
      </c>
      <c r="D192" s="187" t="s">
        <v>16411</v>
      </c>
      <c r="E192" s="187" t="s">
        <v>16410</v>
      </c>
      <c r="F192" s="187" t="s">
        <v>16679</v>
      </c>
      <c r="G192" s="187" t="s">
        <v>15840</v>
      </c>
      <c r="H192" s="187" t="s">
        <v>11502</v>
      </c>
      <c r="I192" s="187" t="s">
        <v>15841</v>
      </c>
    </row>
    <row r="193" spans="1:9" ht="28.3" customHeight="1">
      <c r="A193" s="187" t="s">
        <v>15836</v>
      </c>
      <c r="B193" s="187" t="s">
        <v>15837</v>
      </c>
      <c r="C193" s="187" t="s">
        <v>15693</v>
      </c>
      <c r="D193" s="187" t="s">
        <v>16414</v>
      </c>
      <c r="E193" s="187" t="s">
        <v>16413</v>
      </c>
      <c r="F193" s="187" t="s">
        <v>16679</v>
      </c>
      <c r="G193" s="187" t="s">
        <v>15840</v>
      </c>
      <c r="H193" s="187" t="s">
        <v>11502</v>
      </c>
      <c r="I193" s="187" t="s">
        <v>15841</v>
      </c>
    </row>
    <row r="194" spans="1:9" ht="28.3" customHeight="1">
      <c r="A194" s="187" t="s">
        <v>15836</v>
      </c>
      <c r="B194" s="187" t="s">
        <v>15837</v>
      </c>
      <c r="C194" s="187" t="s">
        <v>15694</v>
      </c>
      <c r="D194" s="187" t="s">
        <v>16417</v>
      </c>
      <c r="E194" s="187" t="s">
        <v>16416</v>
      </c>
      <c r="F194" s="187" t="s">
        <v>16679</v>
      </c>
      <c r="G194" s="187" t="s">
        <v>15840</v>
      </c>
      <c r="H194" s="187" t="s">
        <v>11502</v>
      </c>
      <c r="I194" s="187" t="s">
        <v>15841</v>
      </c>
    </row>
    <row r="195" spans="1:9" ht="28.3" customHeight="1">
      <c r="A195" s="187" t="s">
        <v>15836</v>
      </c>
      <c r="B195" s="187" t="s">
        <v>15837</v>
      </c>
      <c r="C195" s="187" t="s">
        <v>15695</v>
      </c>
      <c r="D195" s="187" t="s">
        <v>16420</v>
      </c>
      <c r="E195" s="187" t="s">
        <v>16419</v>
      </c>
      <c r="F195" s="187" t="s">
        <v>16679</v>
      </c>
      <c r="G195" s="187" t="s">
        <v>15840</v>
      </c>
      <c r="H195" s="187" t="s">
        <v>11502</v>
      </c>
      <c r="I195" s="187" t="s">
        <v>15841</v>
      </c>
    </row>
    <row r="196" spans="1:9" ht="28.3" customHeight="1">
      <c r="A196" s="187" t="s">
        <v>15836</v>
      </c>
      <c r="B196" s="187" t="s">
        <v>15837</v>
      </c>
      <c r="C196" s="187" t="s">
        <v>15696</v>
      </c>
      <c r="D196" s="187" t="s">
        <v>16423</v>
      </c>
      <c r="E196" s="187" t="s">
        <v>16422</v>
      </c>
      <c r="F196" s="187" t="s">
        <v>16679</v>
      </c>
      <c r="G196" s="187" t="s">
        <v>15840</v>
      </c>
      <c r="H196" s="187" t="s">
        <v>11502</v>
      </c>
      <c r="I196" s="187" t="s">
        <v>15841</v>
      </c>
    </row>
    <row r="197" spans="1:9" ht="28.3" customHeight="1">
      <c r="A197" s="187" t="s">
        <v>15836</v>
      </c>
      <c r="B197" s="187" t="s">
        <v>15837</v>
      </c>
      <c r="C197" s="187" t="s">
        <v>15697</v>
      </c>
      <c r="D197" s="187" t="s">
        <v>16426</v>
      </c>
      <c r="E197" s="187" t="s">
        <v>16425</v>
      </c>
      <c r="F197" s="187" t="s">
        <v>16679</v>
      </c>
      <c r="G197" s="187" t="s">
        <v>15840</v>
      </c>
      <c r="H197" s="187" t="s">
        <v>11502</v>
      </c>
      <c r="I197" s="187" t="s">
        <v>15841</v>
      </c>
    </row>
    <row r="198" spans="1:9" ht="28.3" customHeight="1">
      <c r="A198" s="187" t="s">
        <v>15836</v>
      </c>
      <c r="B198" s="187" t="s">
        <v>15837</v>
      </c>
      <c r="C198" s="187" t="s">
        <v>15698</v>
      </c>
      <c r="D198" s="187" t="s">
        <v>16429</v>
      </c>
      <c r="E198" s="187" t="s">
        <v>16428</v>
      </c>
      <c r="F198" s="187" t="s">
        <v>16679</v>
      </c>
      <c r="G198" s="187" t="s">
        <v>15840</v>
      </c>
      <c r="H198" s="187" t="s">
        <v>11502</v>
      </c>
      <c r="I198" s="187" t="s">
        <v>15841</v>
      </c>
    </row>
    <row r="199" spans="1:9" ht="28.3" customHeight="1">
      <c r="A199" s="187" t="s">
        <v>15836</v>
      </c>
      <c r="B199" s="187" t="s">
        <v>15837</v>
      </c>
      <c r="C199" s="187" t="s">
        <v>15699</v>
      </c>
      <c r="D199" s="187" t="s">
        <v>16432</v>
      </c>
      <c r="E199" s="187" t="s">
        <v>16431</v>
      </c>
      <c r="F199" s="187" t="s">
        <v>16679</v>
      </c>
      <c r="G199" s="187" t="s">
        <v>15840</v>
      </c>
      <c r="H199" s="187" t="s">
        <v>11502</v>
      </c>
      <c r="I199" s="187" t="s">
        <v>15841</v>
      </c>
    </row>
    <row r="200" spans="1:9" ht="28.3" customHeight="1">
      <c r="A200" s="187" t="s">
        <v>15836</v>
      </c>
      <c r="B200" s="187" t="s">
        <v>15837</v>
      </c>
      <c r="C200" s="187" t="s">
        <v>15700</v>
      </c>
      <c r="D200" s="187" t="s">
        <v>16435</v>
      </c>
      <c r="E200" s="187" t="s">
        <v>16434</v>
      </c>
      <c r="F200" s="187" t="s">
        <v>16679</v>
      </c>
      <c r="G200" s="187" t="s">
        <v>15840</v>
      </c>
      <c r="H200" s="187" t="s">
        <v>11502</v>
      </c>
      <c r="I200" s="187" t="s">
        <v>15841</v>
      </c>
    </row>
    <row r="201" spans="1:9" ht="28.3" customHeight="1">
      <c r="A201" s="187" t="s">
        <v>15836</v>
      </c>
      <c r="B201" s="187" t="s">
        <v>15837</v>
      </c>
      <c r="C201" s="187" t="s">
        <v>15701</v>
      </c>
      <c r="D201" s="187" t="s">
        <v>16438</v>
      </c>
      <c r="E201" s="187" t="s">
        <v>16437</v>
      </c>
      <c r="F201" s="187" t="s">
        <v>16679</v>
      </c>
      <c r="G201" s="187" t="s">
        <v>15840</v>
      </c>
      <c r="H201" s="187" t="s">
        <v>11502</v>
      </c>
      <c r="I201" s="187" t="s">
        <v>15841</v>
      </c>
    </row>
    <row r="202" spans="1:9" ht="28.3" customHeight="1">
      <c r="A202" s="187" t="s">
        <v>15836</v>
      </c>
      <c r="B202" s="187" t="s">
        <v>15837</v>
      </c>
      <c r="C202" s="187" t="s">
        <v>742</v>
      </c>
      <c r="D202" s="187" t="s">
        <v>15930</v>
      </c>
      <c r="E202" s="187" t="s">
        <v>16440</v>
      </c>
      <c r="F202" s="187" t="s">
        <v>16679</v>
      </c>
      <c r="G202" s="187" t="s">
        <v>15840</v>
      </c>
      <c r="H202" s="187" t="s">
        <v>11502</v>
      </c>
      <c r="I202" s="187" t="s">
        <v>15841</v>
      </c>
    </row>
    <row r="203" spans="1:9" ht="28.3" customHeight="1">
      <c r="A203" s="187" t="s">
        <v>15836</v>
      </c>
      <c r="B203" s="187" t="s">
        <v>15837</v>
      </c>
      <c r="C203" s="187" t="s">
        <v>744</v>
      </c>
      <c r="D203" s="187" t="s">
        <v>15934</v>
      </c>
      <c r="E203" s="187" t="s">
        <v>16442</v>
      </c>
      <c r="F203" s="187" t="s">
        <v>16679</v>
      </c>
      <c r="G203" s="187" t="s">
        <v>15840</v>
      </c>
      <c r="H203" s="187" t="s">
        <v>11502</v>
      </c>
      <c r="I203" s="187" t="s">
        <v>15841</v>
      </c>
    </row>
    <row r="204" spans="1:9" ht="28.3" customHeight="1">
      <c r="A204" s="187" t="s">
        <v>15842</v>
      </c>
      <c r="B204" s="187" t="s">
        <v>15843</v>
      </c>
      <c r="C204" s="187" t="s">
        <v>16445</v>
      </c>
      <c r="D204" s="187" t="s">
        <v>16446</v>
      </c>
      <c r="E204" s="187" t="s">
        <v>16444</v>
      </c>
      <c r="F204" s="187" t="s">
        <v>16678</v>
      </c>
      <c r="G204" s="187" t="s">
        <v>15845</v>
      </c>
      <c r="H204" s="187" t="s">
        <v>11502</v>
      </c>
      <c r="I204" s="187" t="s">
        <v>15846</v>
      </c>
    </row>
    <row r="205" spans="1:9" ht="28.3" customHeight="1">
      <c r="A205" s="187" t="s">
        <v>15847</v>
      </c>
      <c r="B205" s="187" t="s">
        <v>15848</v>
      </c>
      <c r="C205" s="187" t="s">
        <v>3539</v>
      </c>
      <c r="D205" s="187" t="s">
        <v>16449</v>
      </c>
      <c r="E205" s="187" t="s">
        <v>16448</v>
      </c>
      <c r="F205" s="187" t="s">
        <v>16678</v>
      </c>
      <c r="G205" s="187" t="s">
        <v>15850</v>
      </c>
      <c r="H205" s="187" t="s">
        <v>11502</v>
      </c>
      <c r="I205" s="187" t="s">
        <v>15851</v>
      </c>
    </row>
    <row r="206" spans="1:9">
      <c r="A206" s="187" t="s">
        <v>15852</v>
      </c>
      <c r="B206" s="187" t="s">
        <v>15853</v>
      </c>
      <c r="C206" s="187" t="s">
        <v>4535</v>
      </c>
      <c r="D206" s="187" t="s">
        <v>16452</v>
      </c>
      <c r="E206" s="187" t="s">
        <v>16451</v>
      </c>
      <c r="F206" s="187" t="s">
        <v>16678</v>
      </c>
      <c r="G206" s="187" t="s">
        <v>15855</v>
      </c>
      <c r="H206" s="187" t="s">
        <v>11502</v>
      </c>
      <c r="I206" s="187" t="s">
        <v>15856</v>
      </c>
    </row>
    <row r="207" spans="1:9">
      <c r="A207" s="187" t="s">
        <v>15857</v>
      </c>
      <c r="B207" s="187" t="s">
        <v>15858</v>
      </c>
      <c r="C207" s="187" t="s">
        <v>3837</v>
      </c>
      <c r="D207" s="187" t="s">
        <v>16455</v>
      </c>
      <c r="E207" s="187" t="s">
        <v>16454</v>
      </c>
      <c r="F207" s="187" t="s">
        <v>16678</v>
      </c>
      <c r="G207" s="187" t="s">
        <v>15860</v>
      </c>
      <c r="H207" s="187" t="s">
        <v>11502</v>
      </c>
      <c r="I207" s="187" t="s">
        <v>15861</v>
      </c>
    </row>
    <row r="208" spans="1:9">
      <c r="A208" s="187" t="s">
        <v>15862</v>
      </c>
      <c r="B208" s="187" t="s">
        <v>15863</v>
      </c>
      <c r="C208" s="187" t="s">
        <v>67</v>
      </c>
      <c r="D208" s="187" t="s">
        <v>16458</v>
      </c>
      <c r="E208" s="187" t="s">
        <v>16457</v>
      </c>
      <c r="F208" s="187" t="s">
        <v>16678</v>
      </c>
      <c r="G208" s="187" t="s">
        <v>15865</v>
      </c>
      <c r="H208" s="187" t="s">
        <v>11502</v>
      </c>
      <c r="I208" s="187" t="s">
        <v>15867</v>
      </c>
    </row>
    <row r="209" spans="1:9" ht="28.3" customHeight="1">
      <c r="A209" s="187" t="s">
        <v>15862</v>
      </c>
      <c r="B209" s="187" t="s">
        <v>15863</v>
      </c>
      <c r="C209" s="187" t="s">
        <v>3483</v>
      </c>
      <c r="D209" s="187" t="s">
        <v>16461</v>
      </c>
      <c r="E209" s="187" t="s">
        <v>16460</v>
      </c>
      <c r="F209" s="187" t="s">
        <v>16678</v>
      </c>
      <c r="G209" s="187" t="s">
        <v>15865</v>
      </c>
      <c r="H209" s="187" t="s">
        <v>11502</v>
      </c>
      <c r="I209" s="187" t="s">
        <v>15867</v>
      </c>
    </row>
    <row r="210" spans="1:9" ht="28.3" customHeight="1">
      <c r="A210" s="187" t="s">
        <v>15868</v>
      </c>
      <c r="B210" s="187" t="s">
        <v>15869</v>
      </c>
      <c r="C210" s="187" t="s">
        <v>12628</v>
      </c>
      <c r="D210" s="187" t="s">
        <v>16463</v>
      </c>
      <c r="E210" s="187" t="s">
        <v>12629</v>
      </c>
      <c r="F210" s="187" t="s">
        <v>16680</v>
      </c>
      <c r="G210" s="187" t="s">
        <v>16681</v>
      </c>
      <c r="H210" s="187" t="s">
        <v>11502</v>
      </c>
      <c r="I210" s="187" t="s">
        <v>12632</v>
      </c>
    </row>
    <row r="211" spans="1:9" ht="28.3" customHeight="1">
      <c r="A211" s="187" t="s">
        <v>15868</v>
      </c>
      <c r="B211" s="187" t="s">
        <v>15869</v>
      </c>
      <c r="C211" s="187" t="s">
        <v>12636</v>
      </c>
      <c r="D211" s="187" t="s">
        <v>16467</v>
      </c>
      <c r="E211" s="187" t="s">
        <v>12637</v>
      </c>
      <c r="F211" s="187" t="s">
        <v>16680</v>
      </c>
      <c r="G211" s="187" t="s">
        <v>16681</v>
      </c>
      <c r="H211" s="187" t="s">
        <v>11502</v>
      </c>
      <c r="I211" s="187" t="s">
        <v>12632</v>
      </c>
    </row>
    <row r="212" spans="1:9" ht="28.3" customHeight="1">
      <c r="A212" s="187" t="s">
        <v>15868</v>
      </c>
      <c r="B212" s="187" t="s">
        <v>15869</v>
      </c>
      <c r="C212" s="187" t="s">
        <v>12639</v>
      </c>
      <c r="D212" s="187" t="s">
        <v>16469</v>
      </c>
      <c r="E212" s="187" t="s">
        <v>12640</v>
      </c>
      <c r="F212" s="187" t="s">
        <v>16680</v>
      </c>
      <c r="G212" s="187" t="s">
        <v>16681</v>
      </c>
      <c r="H212" s="187" t="s">
        <v>11502</v>
      </c>
      <c r="I212" s="187" t="s">
        <v>12632</v>
      </c>
    </row>
    <row r="213" spans="1:9">
      <c r="A213" s="187" t="s">
        <v>15868</v>
      </c>
      <c r="B213" s="187" t="s">
        <v>15869</v>
      </c>
      <c r="C213" s="187" t="s">
        <v>12642</v>
      </c>
      <c r="D213" s="187" t="s">
        <v>16472</v>
      </c>
      <c r="E213" s="187" t="s">
        <v>12643</v>
      </c>
      <c r="F213" s="187" t="s">
        <v>16680</v>
      </c>
      <c r="G213" s="187" t="s">
        <v>16681</v>
      </c>
      <c r="H213" s="187" t="s">
        <v>11502</v>
      </c>
      <c r="I213" s="187" t="s">
        <v>12632</v>
      </c>
    </row>
    <row r="214" spans="1:9">
      <c r="A214" s="187" t="s">
        <v>15868</v>
      </c>
      <c r="B214" s="187" t="s">
        <v>15869</v>
      </c>
      <c r="C214" s="187" t="s">
        <v>12644</v>
      </c>
      <c r="D214" s="187" t="s">
        <v>16474</v>
      </c>
      <c r="E214" s="187" t="s">
        <v>12645</v>
      </c>
      <c r="F214" s="187" t="s">
        <v>16680</v>
      </c>
      <c r="G214" s="187" t="s">
        <v>16681</v>
      </c>
      <c r="H214" s="187" t="s">
        <v>11502</v>
      </c>
      <c r="I214" s="187" t="s">
        <v>12648</v>
      </c>
    </row>
    <row r="215" spans="1:9">
      <c r="A215" s="187" t="s">
        <v>15868</v>
      </c>
      <c r="B215" s="187" t="s">
        <v>15869</v>
      </c>
      <c r="C215" s="187" t="s">
        <v>12656</v>
      </c>
      <c r="D215" s="187" t="s">
        <v>16476</v>
      </c>
      <c r="E215" s="187" t="s">
        <v>12657</v>
      </c>
      <c r="F215" s="187" t="s">
        <v>16680</v>
      </c>
      <c r="G215" s="187" t="s">
        <v>16681</v>
      </c>
      <c r="H215" s="187" t="s">
        <v>11502</v>
      </c>
      <c r="I215" s="187" t="s">
        <v>12661</v>
      </c>
    </row>
    <row r="216" spans="1:9">
      <c r="A216" s="187" t="s">
        <v>15868</v>
      </c>
      <c r="B216" s="187" t="s">
        <v>15869</v>
      </c>
      <c r="C216" s="187" t="s">
        <v>12668</v>
      </c>
      <c r="D216" s="187" t="s">
        <v>16478</v>
      </c>
      <c r="E216" s="187" t="s">
        <v>12669</v>
      </c>
      <c r="F216" s="187" t="s">
        <v>16680</v>
      </c>
      <c r="G216" s="187" t="s">
        <v>16681</v>
      </c>
      <c r="H216" s="187" t="s">
        <v>11502</v>
      </c>
      <c r="I216" s="187" t="s">
        <v>12648</v>
      </c>
    </row>
    <row r="217" spans="1:9">
      <c r="A217" s="187" t="s">
        <v>15868</v>
      </c>
      <c r="B217" s="187" t="s">
        <v>15869</v>
      </c>
      <c r="C217" s="187" t="s">
        <v>12671</v>
      </c>
      <c r="D217" s="187" t="s">
        <v>16480</v>
      </c>
      <c r="E217" s="187" t="s">
        <v>12672</v>
      </c>
      <c r="F217" s="187" t="s">
        <v>16680</v>
      </c>
      <c r="G217" s="187" t="s">
        <v>16681</v>
      </c>
      <c r="H217" s="187" t="s">
        <v>11502</v>
      </c>
      <c r="I217" s="187" t="s">
        <v>12648</v>
      </c>
    </row>
    <row r="218" spans="1:9">
      <c r="A218" s="187" t="s">
        <v>15868</v>
      </c>
      <c r="B218" s="187" t="s">
        <v>15869</v>
      </c>
      <c r="C218" s="187" t="s">
        <v>11968</v>
      </c>
      <c r="D218" s="187" t="s">
        <v>16482</v>
      </c>
      <c r="E218" s="187" t="s">
        <v>11967</v>
      </c>
      <c r="F218" s="187" t="s">
        <v>16680</v>
      </c>
      <c r="G218" s="187" t="s">
        <v>16681</v>
      </c>
      <c r="H218" s="187" t="s">
        <v>11502</v>
      </c>
      <c r="I218" s="187" t="s">
        <v>12678</v>
      </c>
    </row>
    <row r="219" spans="1:9">
      <c r="A219" s="187" t="s">
        <v>15868</v>
      </c>
      <c r="B219" s="187" t="s">
        <v>15869</v>
      </c>
      <c r="C219" s="187" t="s">
        <v>11973</v>
      </c>
      <c r="D219" s="187" t="s">
        <v>16484</v>
      </c>
      <c r="E219" s="187" t="s">
        <v>11972</v>
      </c>
      <c r="F219" s="187" t="s">
        <v>16680</v>
      </c>
      <c r="G219" s="187" t="s">
        <v>16681</v>
      </c>
      <c r="H219" s="187" t="s">
        <v>11502</v>
      </c>
      <c r="I219" s="187" t="s">
        <v>12678</v>
      </c>
    </row>
    <row r="220" spans="1:9">
      <c r="A220" s="187" t="s">
        <v>15868</v>
      </c>
      <c r="B220" s="187" t="s">
        <v>15869</v>
      </c>
      <c r="C220" s="187" t="s">
        <v>11976</v>
      </c>
      <c r="D220" s="187" t="s">
        <v>16486</v>
      </c>
      <c r="E220" s="187" t="s">
        <v>11975</v>
      </c>
      <c r="F220" s="187" t="s">
        <v>16680</v>
      </c>
      <c r="G220" s="187" t="s">
        <v>16681</v>
      </c>
      <c r="H220" s="187" t="s">
        <v>11502</v>
      </c>
      <c r="I220" s="187" t="s">
        <v>12678</v>
      </c>
    </row>
    <row r="221" spans="1:9">
      <c r="A221" s="187" t="s">
        <v>15868</v>
      </c>
      <c r="B221" s="187" t="s">
        <v>15869</v>
      </c>
      <c r="C221" s="187" t="s">
        <v>11979</v>
      </c>
      <c r="D221" s="187" t="s">
        <v>16488</v>
      </c>
      <c r="E221" s="187" t="s">
        <v>11978</v>
      </c>
      <c r="F221" s="187" t="s">
        <v>16680</v>
      </c>
      <c r="G221" s="187" t="s">
        <v>16681</v>
      </c>
      <c r="H221" s="187" t="s">
        <v>11502</v>
      </c>
      <c r="I221" s="187" t="s">
        <v>12678</v>
      </c>
    </row>
    <row r="222" spans="1:9">
      <c r="A222" s="187" t="s">
        <v>15868</v>
      </c>
      <c r="B222" s="187" t="s">
        <v>15869</v>
      </c>
      <c r="C222" s="187" t="s">
        <v>11982</v>
      </c>
      <c r="D222" s="187" t="s">
        <v>16490</v>
      </c>
      <c r="E222" s="187" t="s">
        <v>11981</v>
      </c>
      <c r="F222" s="187" t="s">
        <v>16680</v>
      </c>
      <c r="G222" s="187" t="s">
        <v>16681</v>
      </c>
      <c r="H222" s="187" t="s">
        <v>11502</v>
      </c>
      <c r="I222" s="187" t="s">
        <v>12678</v>
      </c>
    </row>
    <row r="223" spans="1:9">
      <c r="A223" s="187" t="s">
        <v>15868</v>
      </c>
      <c r="B223" s="187" t="s">
        <v>15869</v>
      </c>
      <c r="C223" s="187" t="s">
        <v>11985</v>
      </c>
      <c r="D223" s="187" t="s">
        <v>16492</v>
      </c>
      <c r="E223" s="187" t="s">
        <v>11984</v>
      </c>
      <c r="F223" s="187" t="s">
        <v>16680</v>
      </c>
      <c r="G223" s="187" t="s">
        <v>16681</v>
      </c>
      <c r="H223" s="187" t="s">
        <v>11502</v>
      </c>
      <c r="I223" s="187" t="s">
        <v>12678</v>
      </c>
    </row>
    <row r="224" spans="1:9">
      <c r="A224" s="187" t="s">
        <v>15868</v>
      </c>
      <c r="B224" s="187" t="s">
        <v>15869</v>
      </c>
      <c r="C224" s="187" t="s">
        <v>11988</v>
      </c>
      <c r="D224" s="187" t="s">
        <v>16494</v>
      </c>
      <c r="E224" s="187" t="s">
        <v>11987</v>
      </c>
      <c r="F224" s="187" t="s">
        <v>16680</v>
      </c>
      <c r="G224" s="187" t="s">
        <v>16681</v>
      </c>
      <c r="H224" s="187" t="s">
        <v>11502</v>
      </c>
      <c r="I224" s="187" t="s">
        <v>12678</v>
      </c>
    </row>
    <row r="225" spans="1:9">
      <c r="A225" s="187" t="s">
        <v>15868</v>
      </c>
      <c r="B225" s="187" t="s">
        <v>15869</v>
      </c>
      <c r="C225" s="187" t="s">
        <v>12713</v>
      </c>
      <c r="D225" s="187" t="s">
        <v>16496</v>
      </c>
      <c r="E225" s="187" t="s">
        <v>12714</v>
      </c>
      <c r="F225" s="187" t="s">
        <v>16680</v>
      </c>
      <c r="G225" s="187" t="s">
        <v>16681</v>
      </c>
      <c r="H225" s="187" t="s">
        <v>11502</v>
      </c>
      <c r="I225" s="187" t="s">
        <v>12717</v>
      </c>
    </row>
    <row r="226" spans="1:9">
      <c r="A226" s="187" t="s">
        <v>15868</v>
      </c>
      <c r="B226" s="187" t="s">
        <v>15869</v>
      </c>
      <c r="C226" s="187" t="s">
        <v>11665</v>
      </c>
      <c r="D226" s="187" t="s">
        <v>16498</v>
      </c>
      <c r="E226" s="187" t="s">
        <v>11993</v>
      </c>
      <c r="F226" s="187" t="s">
        <v>16680</v>
      </c>
      <c r="G226" s="187" t="s">
        <v>16681</v>
      </c>
      <c r="H226" s="187" t="s">
        <v>11502</v>
      </c>
      <c r="I226" s="187" t="s">
        <v>12678</v>
      </c>
    </row>
    <row r="227" spans="1:9">
      <c r="A227" s="187" t="s">
        <v>15868</v>
      </c>
      <c r="B227" s="187" t="s">
        <v>15869</v>
      </c>
      <c r="C227" s="187" t="s">
        <v>11636</v>
      </c>
      <c r="D227" s="187" t="s">
        <v>16500</v>
      </c>
      <c r="E227" s="187" t="s">
        <v>11995</v>
      </c>
      <c r="F227" s="187" t="s">
        <v>16680</v>
      </c>
      <c r="G227" s="187" t="s">
        <v>16681</v>
      </c>
      <c r="H227" s="187" t="s">
        <v>11502</v>
      </c>
      <c r="I227" s="187" t="s">
        <v>12678</v>
      </c>
    </row>
    <row r="228" spans="1:9">
      <c r="A228" s="187" t="s">
        <v>15868</v>
      </c>
      <c r="B228" s="187" t="s">
        <v>15869</v>
      </c>
      <c r="C228" s="187" t="s">
        <v>12731</v>
      </c>
      <c r="D228" s="187" t="s">
        <v>16502</v>
      </c>
      <c r="E228" s="187" t="s">
        <v>12732</v>
      </c>
      <c r="F228" s="187" t="s">
        <v>16680</v>
      </c>
      <c r="G228" s="187" t="s">
        <v>16681</v>
      </c>
      <c r="H228" s="187" t="s">
        <v>11502</v>
      </c>
      <c r="I228" s="187" t="s">
        <v>12717</v>
      </c>
    </row>
    <row r="229" spans="1:9">
      <c r="A229" s="187" t="s">
        <v>15868</v>
      </c>
      <c r="B229" s="187" t="s">
        <v>15869</v>
      </c>
      <c r="C229" s="187" t="s">
        <v>11998</v>
      </c>
      <c r="D229" s="187" t="s">
        <v>16504</v>
      </c>
      <c r="E229" s="187" t="s">
        <v>11997</v>
      </c>
      <c r="F229" s="187" t="s">
        <v>16680</v>
      </c>
      <c r="G229" s="187" t="s">
        <v>16681</v>
      </c>
      <c r="H229" s="187" t="s">
        <v>11502</v>
      </c>
      <c r="I229" s="187" t="s">
        <v>12678</v>
      </c>
    </row>
    <row r="230" spans="1:9">
      <c r="A230" s="187" t="s">
        <v>15868</v>
      </c>
      <c r="B230" s="187" t="s">
        <v>15869</v>
      </c>
      <c r="C230" s="187" t="s">
        <v>12002</v>
      </c>
      <c r="D230" s="187" t="s">
        <v>16506</v>
      </c>
      <c r="E230" s="187" t="s">
        <v>12001</v>
      </c>
      <c r="F230" s="187" t="s">
        <v>16680</v>
      </c>
      <c r="G230" s="187" t="s">
        <v>16681</v>
      </c>
      <c r="H230" s="187" t="s">
        <v>11502</v>
      </c>
      <c r="I230" s="187" t="s">
        <v>12678</v>
      </c>
    </row>
    <row r="231" spans="1:9">
      <c r="A231" s="187" t="s">
        <v>15868</v>
      </c>
      <c r="B231" s="187" t="s">
        <v>15869</v>
      </c>
      <c r="C231" s="187" t="s">
        <v>12746</v>
      </c>
      <c r="D231" s="187" t="s">
        <v>16508</v>
      </c>
      <c r="E231" s="187" t="s">
        <v>12748</v>
      </c>
      <c r="F231" s="187" t="s">
        <v>16680</v>
      </c>
      <c r="G231" s="187" t="s">
        <v>16681</v>
      </c>
      <c r="H231" s="187" t="s">
        <v>11502</v>
      </c>
      <c r="I231" s="187" t="s">
        <v>12717</v>
      </c>
    </row>
    <row r="232" spans="1:9">
      <c r="A232" s="187" t="s">
        <v>15868</v>
      </c>
      <c r="B232" s="187" t="s">
        <v>15869</v>
      </c>
      <c r="C232" s="187" t="s">
        <v>12755</v>
      </c>
      <c r="D232" s="187" t="s">
        <v>16510</v>
      </c>
      <c r="E232" s="187" t="s">
        <v>12757</v>
      </c>
      <c r="F232" s="187" t="s">
        <v>16680</v>
      </c>
      <c r="G232" s="187" t="s">
        <v>16681</v>
      </c>
      <c r="H232" s="187" t="s">
        <v>11502</v>
      </c>
      <c r="I232" s="187" t="s">
        <v>12717</v>
      </c>
    </row>
    <row r="233" spans="1:9">
      <c r="A233" s="187" t="s">
        <v>15868</v>
      </c>
      <c r="B233" s="187" t="s">
        <v>15869</v>
      </c>
      <c r="C233" s="187" t="s">
        <v>12005</v>
      </c>
      <c r="D233" s="187" t="s">
        <v>16512</v>
      </c>
      <c r="E233" s="187" t="s">
        <v>12004</v>
      </c>
      <c r="F233" s="187" t="s">
        <v>16680</v>
      </c>
      <c r="G233" s="187" t="s">
        <v>16681</v>
      </c>
      <c r="H233" s="187" t="s">
        <v>11502</v>
      </c>
      <c r="I233" s="187" t="s">
        <v>12678</v>
      </c>
    </row>
    <row r="234" spans="1:9">
      <c r="A234" s="187" t="s">
        <v>15868</v>
      </c>
      <c r="B234" s="187" t="s">
        <v>15869</v>
      </c>
      <c r="C234" s="187" t="s">
        <v>12008</v>
      </c>
      <c r="D234" s="187" t="s">
        <v>16514</v>
      </c>
      <c r="E234" s="187" t="s">
        <v>12007</v>
      </c>
      <c r="F234" s="187" t="s">
        <v>16680</v>
      </c>
      <c r="G234" s="187" t="s">
        <v>16681</v>
      </c>
      <c r="H234" s="187" t="s">
        <v>11502</v>
      </c>
      <c r="I234" s="187" t="s">
        <v>12678</v>
      </c>
    </row>
    <row r="235" spans="1:9">
      <c r="A235" s="187" t="s">
        <v>15868</v>
      </c>
      <c r="B235" s="187" t="s">
        <v>15869</v>
      </c>
      <c r="C235" s="187" t="s">
        <v>12011</v>
      </c>
      <c r="D235" s="187" t="s">
        <v>16516</v>
      </c>
      <c r="E235" s="187" t="s">
        <v>12010</v>
      </c>
      <c r="F235" s="187" t="s">
        <v>16680</v>
      </c>
      <c r="G235" s="187" t="s">
        <v>16681</v>
      </c>
      <c r="H235" s="187" t="s">
        <v>11502</v>
      </c>
      <c r="I235" s="187" t="s">
        <v>12678</v>
      </c>
    </row>
    <row r="236" spans="1:9">
      <c r="A236" s="187" t="s">
        <v>15868</v>
      </c>
      <c r="B236" s="187" t="s">
        <v>15869</v>
      </c>
      <c r="C236" s="187" t="s">
        <v>12014</v>
      </c>
      <c r="D236" s="187" t="s">
        <v>16518</v>
      </c>
      <c r="E236" s="187" t="s">
        <v>12013</v>
      </c>
      <c r="F236" s="187" t="s">
        <v>16680</v>
      </c>
      <c r="G236" s="187" t="s">
        <v>16681</v>
      </c>
      <c r="H236" s="187" t="s">
        <v>11502</v>
      </c>
      <c r="I236" s="187" t="s">
        <v>12678</v>
      </c>
    </row>
    <row r="237" spans="1:9">
      <c r="A237" s="187" t="s">
        <v>15868</v>
      </c>
      <c r="B237" s="187" t="s">
        <v>15869</v>
      </c>
      <c r="C237" s="187" t="s">
        <v>11639</v>
      </c>
      <c r="D237" s="187" t="s">
        <v>16520</v>
      </c>
      <c r="E237" s="187" t="s">
        <v>12016</v>
      </c>
      <c r="F237" s="187" t="s">
        <v>16680</v>
      </c>
      <c r="G237" s="187" t="s">
        <v>16681</v>
      </c>
      <c r="H237" s="187" t="s">
        <v>11502</v>
      </c>
      <c r="I237" s="187" t="s">
        <v>12678</v>
      </c>
    </row>
    <row r="238" spans="1:9">
      <c r="A238" s="187" t="s">
        <v>15868</v>
      </c>
      <c r="B238" s="187" t="s">
        <v>15869</v>
      </c>
      <c r="C238" s="187" t="s">
        <v>12785</v>
      </c>
      <c r="D238" s="187" t="s">
        <v>16156</v>
      </c>
      <c r="E238" s="187" t="s">
        <v>12787</v>
      </c>
      <c r="F238" s="187" t="s">
        <v>16680</v>
      </c>
      <c r="G238" s="187" t="s">
        <v>16681</v>
      </c>
      <c r="H238" s="187" t="s">
        <v>11502</v>
      </c>
      <c r="I238" s="187" t="s">
        <v>12661</v>
      </c>
    </row>
    <row r="239" spans="1:9">
      <c r="A239" s="187" t="s">
        <v>15868</v>
      </c>
      <c r="B239" s="187" t="s">
        <v>15869</v>
      </c>
      <c r="C239" s="187" t="s">
        <v>12790</v>
      </c>
      <c r="D239" s="187" t="s">
        <v>16229</v>
      </c>
      <c r="E239" s="187" t="s">
        <v>12792</v>
      </c>
      <c r="F239" s="187" t="s">
        <v>16680</v>
      </c>
      <c r="G239" s="187" t="s">
        <v>16681</v>
      </c>
      <c r="H239" s="187" t="s">
        <v>11502</v>
      </c>
      <c r="I239" s="187" t="s">
        <v>12661</v>
      </c>
    </row>
    <row r="240" spans="1:9">
      <c r="A240" s="187" t="s">
        <v>15868</v>
      </c>
      <c r="B240" s="187" t="s">
        <v>15869</v>
      </c>
      <c r="C240" s="187" t="s">
        <v>12020</v>
      </c>
      <c r="D240" s="187" t="s">
        <v>16524</v>
      </c>
      <c r="E240" s="187" t="s">
        <v>12019</v>
      </c>
      <c r="F240" s="187" t="s">
        <v>16680</v>
      </c>
      <c r="G240" s="187" t="s">
        <v>16681</v>
      </c>
      <c r="H240" s="187" t="s">
        <v>11502</v>
      </c>
      <c r="I240" s="187" t="s">
        <v>12678</v>
      </c>
    </row>
    <row r="241" spans="1:9">
      <c r="A241" s="187" t="s">
        <v>15868</v>
      </c>
      <c r="B241" s="187" t="s">
        <v>15869</v>
      </c>
      <c r="C241" s="187" t="s">
        <v>12023</v>
      </c>
      <c r="D241" s="187" t="s">
        <v>16526</v>
      </c>
      <c r="E241" s="187" t="s">
        <v>12022</v>
      </c>
      <c r="F241" s="187" t="s">
        <v>16680</v>
      </c>
      <c r="G241" s="187" t="s">
        <v>16681</v>
      </c>
      <c r="H241" s="187" t="s">
        <v>11502</v>
      </c>
      <c r="I241" s="187" t="s">
        <v>12678</v>
      </c>
    </row>
    <row r="242" spans="1:9">
      <c r="A242" s="187" t="s">
        <v>15868</v>
      </c>
      <c r="B242" s="187" t="s">
        <v>15869</v>
      </c>
      <c r="C242" s="187" t="s">
        <v>12025</v>
      </c>
      <c r="D242" s="187" t="s">
        <v>16528</v>
      </c>
      <c r="E242" s="187" t="s">
        <v>12024</v>
      </c>
      <c r="F242" s="187" t="s">
        <v>16680</v>
      </c>
      <c r="G242" s="187" t="s">
        <v>16681</v>
      </c>
      <c r="H242" s="187" t="s">
        <v>11502</v>
      </c>
      <c r="I242" s="187" t="s">
        <v>12678</v>
      </c>
    </row>
    <row r="243" spans="1:9">
      <c r="A243" s="187" t="s">
        <v>15868</v>
      </c>
      <c r="B243" s="187" t="s">
        <v>15869</v>
      </c>
      <c r="C243" s="187" t="s">
        <v>12027</v>
      </c>
      <c r="D243" s="187" t="s">
        <v>16530</v>
      </c>
      <c r="E243" s="187" t="s">
        <v>12026</v>
      </c>
      <c r="F243" s="187" t="s">
        <v>16680</v>
      </c>
      <c r="G243" s="187" t="s">
        <v>16681</v>
      </c>
      <c r="H243" s="187" t="s">
        <v>11502</v>
      </c>
      <c r="I243" s="187" t="s">
        <v>12678</v>
      </c>
    </row>
    <row r="244" spans="1:9">
      <c r="A244" s="187" t="s">
        <v>15868</v>
      </c>
      <c r="B244" s="187" t="s">
        <v>15869</v>
      </c>
      <c r="C244" s="187" t="s">
        <v>11674</v>
      </c>
      <c r="D244" s="187" t="s">
        <v>16532</v>
      </c>
      <c r="E244" s="187" t="s">
        <v>12029</v>
      </c>
      <c r="F244" s="187" t="s">
        <v>16680</v>
      </c>
      <c r="G244" s="187" t="s">
        <v>16681</v>
      </c>
      <c r="H244" s="187" t="s">
        <v>11502</v>
      </c>
      <c r="I244" s="187" t="s">
        <v>12678</v>
      </c>
    </row>
    <row r="245" spans="1:9">
      <c r="A245" s="187" t="s">
        <v>15868</v>
      </c>
      <c r="B245" s="187" t="s">
        <v>15869</v>
      </c>
      <c r="C245" s="187" t="s">
        <v>12809</v>
      </c>
      <c r="D245" s="187" t="s">
        <v>16534</v>
      </c>
      <c r="E245" s="187" t="s">
        <v>12811</v>
      </c>
      <c r="F245" s="187" t="s">
        <v>16680</v>
      </c>
      <c r="G245" s="187" t="s">
        <v>16681</v>
      </c>
      <c r="H245" s="187" t="s">
        <v>11502</v>
      </c>
      <c r="I245" s="187" t="s">
        <v>12648</v>
      </c>
    </row>
    <row r="246" spans="1:9" ht="28.3" customHeight="1">
      <c r="A246" s="187" t="s">
        <v>15868</v>
      </c>
      <c r="B246" s="187" t="s">
        <v>15869</v>
      </c>
      <c r="C246" s="187" t="s">
        <v>12813</v>
      </c>
      <c r="D246" s="187" t="s">
        <v>16536</v>
      </c>
      <c r="E246" s="187" t="s">
        <v>12815</v>
      </c>
      <c r="F246" s="187" t="s">
        <v>16680</v>
      </c>
      <c r="G246" s="187" t="s">
        <v>16681</v>
      </c>
      <c r="H246" s="187" t="s">
        <v>11502</v>
      </c>
      <c r="I246" s="187" t="s">
        <v>12632</v>
      </c>
    </row>
    <row r="247" spans="1:9">
      <c r="A247" s="187" t="s">
        <v>15868</v>
      </c>
      <c r="B247" s="187" t="s">
        <v>15869</v>
      </c>
      <c r="C247" s="187" t="s">
        <v>12816</v>
      </c>
      <c r="D247" s="187" t="s">
        <v>16538</v>
      </c>
      <c r="E247" s="187" t="s">
        <v>12818</v>
      </c>
      <c r="F247" s="187" t="s">
        <v>16680</v>
      </c>
      <c r="G247" s="187" t="s">
        <v>16681</v>
      </c>
      <c r="H247" s="187" t="s">
        <v>11502</v>
      </c>
      <c r="I247" s="187" t="s">
        <v>12819</v>
      </c>
    </row>
    <row r="248" spans="1:9">
      <c r="A248" s="187" t="s">
        <v>15868</v>
      </c>
      <c r="B248" s="187" t="s">
        <v>15869</v>
      </c>
      <c r="C248" s="187" t="s">
        <v>12032</v>
      </c>
      <c r="D248" s="187" t="s">
        <v>16540</v>
      </c>
      <c r="E248" s="187" t="s">
        <v>12031</v>
      </c>
      <c r="F248" s="187" t="s">
        <v>16680</v>
      </c>
      <c r="G248" s="187" t="s">
        <v>16681</v>
      </c>
      <c r="H248" s="187" t="s">
        <v>11502</v>
      </c>
      <c r="I248" s="187" t="s">
        <v>12678</v>
      </c>
    </row>
    <row r="249" spans="1:9">
      <c r="A249" s="187" t="s">
        <v>15868</v>
      </c>
      <c r="B249" s="187" t="s">
        <v>15869</v>
      </c>
      <c r="C249" s="187" t="s">
        <v>12035</v>
      </c>
      <c r="D249" s="187" t="s">
        <v>16542</v>
      </c>
      <c r="E249" s="187" t="s">
        <v>12034</v>
      </c>
      <c r="F249" s="187" t="s">
        <v>16680</v>
      </c>
      <c r="G249" s="187" t="s">
        <v>16681</v>
      </c>
      <c r="H249" s="187" t="s">
        <v>11502</v>
      </c>
      <c r="I249" s="187" t="s">
        <v>12678</v>
      </c>
    </row>
    <row r="250" spans="1:9">
      <c r="A250" s="187" t="s">
        <v>15868</v>
      </c>
      <c r="B250" s="187" t="s">
        <v>15869</v>
      </c>
      <c r="C250" s="187" t="s">
        <v>12830</v>
      </c>
      <c r="D250" s="187" t="s">
        <v>16544</v>
      </c>
      <c r="E250" s="187" t="s">
        <v>12832</v>
      </c>
      <c r="F250" s="187" t="s">
        <v>16680</v>
      </c>
      <c r="G250" s="187" t="s">
        <v>16681</v>
      </c>
      <c r="H250" s="187" t="s">
        <v>11502</v>
      </c>
      <c r="I250" s="187" t="s">
        <v>12661</v>
      </c>
    </row>
    <row r="251" spans="1:9">
      <c r="A251" s="187" t="s">
        <v>15868</v>
      </c>
      <c r="B251" s="187" t="s">
        <v>15869</v>
      </c>
      <c r="C251" s="187" t="s">
        <v>12835</v>
      </c>
      <c r="D251" s="187" t="s">
        <v>16546</v>
      </c>
      <c r="E251" s="187" t="s">
        <v>12837</v>
      </c>
      <c r="F251" s="187" t="s">
        <v>16680</v>
      </c>
      <c r="G251" s="187" t="s">
        <v>16681</v>
      </c>
      <c r="H251" s="187" t="s">
        <v>11502</v>
      </c>
      <c r="I251" s="187" t="s">
        <v>12661</v>
      </c>
    </row>
    <row r="252" spans="1:9">
      <c r="A252" s="187" t="s">
        <v>15868</v>
      </c>
      <c r="B252" s="187" t="s">
        <v>15869</v>
      </c>
      <c r="C252" s="187" t="s">
        <v>12839</v>
      </c>
      <c r="D252" s="187" t="s">
        <v>16548</v>
      </c>
      <c r="E252" s="187" t="s">
        <v>12841</v>
      </c>
      <c r="F252" s="187" t="s">
        <v>16680</v>
      </c>
      <c r="G252" s="187" t="s">
        <v>16681</v>
      </c>
      <c r="H252" s="187" t="s">
        <v>11502</v>
      </c>
      <c r="I252" s="187" t="s">
        <v>12661</v>
      </c>
    </row>
    <row r="253" spans="1:9">
      <c r="A253" s="187" t="s">
        <v>15868</v>
      </c>
      <c r="B253" s="187" t="s">
        <v>15869</v>
      </c>
      <c r="C253" s="187" t="s">
        <v>12843</v>
      </c>
      <c r="D253" s="187" t="s">
        <v>16550</v>
      </c>
      <c r="E253" s="187" t="s">
        <v>12845</v>
      </c>
      <c r="F253" s="187" t="s">
        <v>16680</v>
      </c>
      <c r="G253" s="187" t="s">
        <v>16681</v>
      </c>
      <c r="H253" s="187" t="s">
        <v>11502</v>
      </c>
      <c r="I253" s="187" t="s">
        <v>12661</v>
      </c>
    </row>
    <row r="254" spans="1:9">
      <c r="A254" s="187" t="s">
        <v>15868</v>
      </c>
      <c r="B254" s="187" t="s">
        <v>15869</v>
      </c>
      <c r="C254" s="187" t="s">
        <v>12849</v>
      </c>
      <c r="D254" s="187" t="s">
        <v>16552</v>
      </c>
      <c r="E254" s="187" t="s">
        <v>12851</v>
      </c>
      <c r="F254" s="187" t="s">
        <v>16680</v>
      </c>
      <c r="G254" s="187" t="s">
        <v>16681</v>
      </c>
      <c r="H254" s="187" t="s">
        <v>11502</v>
      </c>
      <c r="I254" s="187" t="s">
        <v>12661</v>
      </c>
    </row>
    <row r="255" spans="1:9">
      <c r="A255" s="187" t="s">
        <v>15868</v>
      </c>
      <c r="B255" s="187" t="s">
        <v>15869</v>
      </c>
      <c r="C255" s="187" t="s">
        <v>12853</v>
      </c>
      <c r="D255" s="187" t="s">
        <v>16554</v>
      </c>
      <c r="E255" s="187" t="s">
        <v>12855</v>
      </c>
      <c r="F255" s="187" t="s">
        <v>16680</v>
      </c>
      <c r="G255" s="187" t="s">
        <v>16681</v>
      </c>
      <c r="H255" s="187" t="s">
        <v>11502</v>
      </c>
      <c r="I255" s="187" t="s">
        <v>12661</v>
      </c>
    </row>
    <row r="256" spans="1:9" ht="28.3" customHeight="1">
      <c r="A256" s="187" t="s">
        <v>15868</v>
      </c>
      <c r="B256" s="187" t="s">
        <v>15869</v>
      </c>
      <c r="C256" s="187" t="s">
        <v>12857</v>
      </c>
      <c r="D256" s="187" t="s">
        <v>16556</v>
      </c>
      <c r="E256" s="187" t="s">
        <v>12121</v>
      </c>
      <c r="F256" s="187" t="s">
        <v>16680</v>
      </c>
      <c r="G256" s="187" t="s">
        <v>16681</v>
      </c>
      <c r="H256" s="187" t="s">
        <v>11502</v>
      </c>
      <c r="I256" s="187" t="s">
        <v>12819</v>
      </c>
    </row>
    <row r="257" spans="1:9" ht="28.3" customHeight="1">
      <c r="A257" s="187" t="s">
        <v>15868</v>
      </c>
      <c r="B257" s="187" t="s">
        <v>15869</v>
      </c>
      <c r="C257" s="187" t="s">
        <v>12865</v>
      </c>
      <c r="D257" s="187" t="s">
        <v>16558</v>
      </c>
      <c r="E257" s="187" t="s">
        <v>12867</v>
      </c>
      <c r="F257" s="187" t="s">
        <v>16680</v>
      </c>
      <c r="G257" s="187" t="s">
        <v>16681</v>
      </c>
      <c r="H257" s="187" t="s">
        <v>11502</v>
      </c>
      <c r="I257" s="187" t="s">
        <v>12632</v>
      </c>
    </row>
    <row r="258" spans="1:9">
      <c r="A258" s="187" t="s">
        <v>15868</v>
      </c>
      <c r="B258" s="187" t="s">
        <v>15869</v>
      </c>
      <c r="C258" s="187" t="s">
        <v>11672</v>
      </c>
      <c r="D258" s="187" t="s">
        <v>16560</v>
      </c>
      <c r="E258" s="187" t="s">
        <v>12036</v>
      </c>
      <c r="F258" s="187" t="s">
        <v>16680</v>
      </c>
      <c r="G258" s="187" t="s">
        <v>16681</v>
      </c>
      <c r="H258" s="187" t="s">
        <v>11502</v>
      </c>
      <c r="I258" s="187" t="s">
        <v>12678</v>
      </c>
    </row>
    <row r="259" spans="1:9">
      <c r="A259" s="187" t="s">
        <v>15868</v>
      </c>
      <c r="B259" s="187" t="s">
        <v>15869</v>
      </c>
      <c r="C259" s="187" t="s">
        <v>12039</v>
      </c>
      <c r="D259" s="187" t="s">
        <v>16562</v>
      </c>
      <c r="E259" s="187" t="s">
        <v>12038</v>
      </c>
      <c r="F259" s="187" t="s">
        <v>16680</v>
      </c>
      <c r="G259" s="187" t="s">
        <v>16681</v>
      </c>
      <c r="H259" s="187" t="s">
        <v>11502</v>
      </c>
      <c r="I259" s="187" t="s">
        <v>12678</v>
      </c>
    </row>
    <row r="260" spans="1:9">
      <c r="A260" s="187" t="s">
        <v>15868</v>
      </c>
      <c r="B260" s="187" t="s">
        <v>15869</v>
      </c>
      <c r="C260" s="187" t="s">
        <v>11673</v>
      </c>
      <c r="D260" s="187" t="s">
        <v>16564</v>
      </c>
      <c r="E260" s="187" t="s">
        <v>12040</v>
      </c>
      <c r="F260" s="187" t="s">
        <v>16680</v>
      </c>
      <c r="G260" s="187" t="s">
        <v>16681</v>
      </c>
      <c r="H260" s="187" t="s">
        <v>11502</v>
      </c>
      <c r="I260" s="187" t="s">
        <v>12678</v>
      </c>
    </row>
    <row r="261" spans="1:9">
      <c r="A261" s="187" t="s">
        <v>15868</v>
      </c>
      <c r="B261" s="187" t="s">
        <v>15869</v>
      </c>
      <c r="C261" s="187" t="s">
        <v>11675</v>
      </c>
      <c r="D261" s="187" t="s">
        <v>16566</v>
      </c>
      <c r="E261" s="187" t="s">
        <v>12042</v>
      </c>
      <c r="F261" s="187" t="s">
        <v>16680</v>
      </c>
      <c r="G261" s="187" t="s">
        <v>16681</v>
      </c>
      <c r="H261" s="187" t="s">
        <v>11502</v>
      </c>
      <c r="I261" s="187" t="s">
        <v>12678</v>
      </c>
    </row>
    <row r="262" spans="1:9">
      <c r="A262" s="187" t="s">
        <v>15868</v>
      </c>
      <c r="B262" s="187" t="s">
        <v>15869</v>
      </c>
      <c r="C262" s="187" t="s">
        <v>12045</v>
      </c>
      <c r="D262" s="187" t="s">
        <v>16568</v>
      </c>
      <c r="E262" s="187" t="s">
        <v>12044</v>
      </c>
      <c r="F262" s="187" t="s">
        <v>16680</v>
      </c>
      <c r="G262" s="187" t="s">
        <v>16681</v>
      </c>
      <c r="H262" s="187" t="s">
        <v>11502</v>
      </c>
      <c r="I262" s="187" t="s">
        <v>12678</v>
      </c>
    </row>
    <row r="263" spans="1:9">
      <c r="A263" s="187" t="s">
        <v>15868</v>
      </c>
      <c r="B263" s="187" t="s">
        <v>15869</v>
      </c>
      <c r="C263" s="187" t="s">
        <v>12048</v>
      </c>
      <c r="D263" s="187" t="s">
        <v>16570</v>
      </c>
      <c r="E263" s="187" t="s">
        <v>12047</v>
      </c>
      <c r="F263" s="187" t="s">
        <v>16680</v>
      </c>
      <c r="G263" s="187" t="s">
        <v>16681</v>
      </c>
      <c r="H263" s="187" t="s">
        <v>11502</v>
      </c>
      <c r="I263" s="187" t="s">
        <v>12678</v>
      </c>
    </row>
    <row r="264" spans="1:9">
      <c r="A264" s="187" t="s">
        <v>15868</v>
      </c>
      <c r="B264" s="187" t="s">
        <v>15869</v>
      </c>
      <c r="C264" s="187" t="s">
        <v>12050</v>
      </c>
      <c r="D264" s="187" t="s">
        <v>16572</v>
      </c>
      <c r="E264" s="187" t="s">
        <v>12049</v>
      </c>
      <c r="F264" s="187" t="s">
        <v>16680</v>
      </c>
      <c r="G264" s="187" t="s">
        <v>16681</v>
      </c>
      <c r="H264" s="187" t="s">
        <v>11502</v>
      </c>
      <c r="I264" s="187" t="s">
        <v>12678</v>
      </c>
    </row>
    <row r="265" spans="1:9">
      <c r="A265" s="187" t="s">
        <v>15868</v>
      </c>
      <c r="B265" s="187" t="s">
        <v>15869</v>
      </c>
      <c r="C265" s="187" t="s">
        <v>12052</v>
      </c>
      <c r="D265" s="187" t="s">
        <v>16574</v>
      </c>
      <c r="E265" s="187" t="s">
        <v>12051</v>
      </c>
      <c r="F265" s="187" t="s">
        <v>16680</v>
      </c>
      <c r="G265" s="187" t="s">
        <v>16681</v>
      </c>
      <c r="H265" s="187" t="s">
        <v>11502</v>
      </c>
      <c r="I265" s="187" t="s">
        <v>12678</v>
      </c>
    </row>
    <row r="266" spans="1:9">
      <c r="A266" s="187" t="s">
        <v>15868</v>
      </c>
      <c r="B266" s="187" t="s">
        <v>15869</v>
      </c>
      <c r="C266" s="187" t="s">
        <v>12055</v>
      </c>
      <c r="D266" s="187" t="s">
        <v>16576</v>
      </c>
      <c r="E266" s="187" t="s">
        <v>12054</v>
      </c>
      <c r="F266" s="187" t="s">
        <v>16680</v>
      </c>
      <c r="G266" s="187" t="s">
        <v>16681</v>
      </c>
      <c r="H266" s="187" t="s">
        <v>11502</v>
      </c>
      <c r="I266" s="187" t="s">
        <v>12678</v>
      </c>
    </row>
    <row r="267" spans="1:9">
      <c r="A267" s="187" t="s">
        <v>15868</v>
      </c>
      <c r="B267" s="187" t="s">
        <v>15869</v>
      </c>
      <c r="C267" s="187" t="s">
        <v>11677</v>
      </c>
      <c r="D267" s="187" t="s">
        <v>16578</v>
      </c>
      <c r="E267" s="187" t="s">
        <v>12056</v>
      </c>
      <c r="F267" s="187" t="s">
        <v>16680</v>
      </c>
      <c r="G267" s="187" t="s">
        <v>16681</v>
      </c>
      <c r="H267" s="187" t="s">
        <v>11502</v>
      </c>
      <c r="I267" s="187" t="s">
        <v>12678</v>
      </c>
    </row>
    <row r="268" spans="1:9" ht="28.3" customHeight="1">
      <c r="A268" s="187" t="s">
        <v>15868</v>
      </c>
      <c r="B268" s="187" t="s">
        <v>15869</v>
      </c>
      <c r="C268" s="187" t="s">
        <v>12900</v>
      </c>
      <c r="D268" s="187" t="s">
        <v>16580</v>
      </c>
      <c r="E268" s="187" t="s">
        <v>12902</v>
      </c>
      <c r="F268" s="187" t="s">
        <v>16680</v>
      </c>
      <c r="G268" s="187" t="s">
        <v>16681</v>
      </c>
      <c r="H268" s="187" t="s">
        <v>11502</v>
      </c>
      <c r="I268" s="187" t="s">
        <v>12632</v>
      </c>
    </row>
    <row r="269" spans="1:9">
      <c r="A269" s="187" t="s">
        <v>15868</v>
      </c>
      <c r="B269" s="187" t="s">
        <v>15869</v>
      </c>
      <c r="C269" s="187" t="s">
        <v>12903</v>
      </c>
      <c r="D269" s="187" t="s">
        <v>16582</v>
      </c>
      <c r="E269" s="187" t="s">
        <v>12905</v>
      </c>
      <c r="F269" s="187" t="s">
        <v>16680</v>
      </c>
      <c r="G269" s="187" t="s">
        <v>16681</v>
      </c>
      <c r="H269" s="187" t="s">
        <v>11502</v>
      </c>
      <c r="I269" s="187" t="s">
        <v>12632</v>
      </c>
    </row>
    <row r="270" spans="1:9">
      <c r="A270" s="187" t="s">
        <v>15868</v>
      </c>
      <c r="B270" s="187" t="s">
        <v>15869</v>
      </c>
      <c r="C270" s="187" t="s">
        <v>595</v>
      </c>
      <c r="D270" s="187" t="s">
        <v>16584</v>
      </c>
      <c r="E270" s="187" t="s">
        <v>12907</v>
      </c>
      <c r="F270" s="187" t="s">
        <v>16680</v>
      </c>
      <c r="G270" s="187" t="s">
        <v>16681</v>
      </c>
      <c r="H270" s="187" t="s">
        <v>11502</v>
      </c>
      <c r="I270" s="187" t="s">
        <v>12648</v>
      </c>
    </row>
    <row r="271" spans="1:9">
      <c r="A271" s="187" t="s">
        <v>15868</v>
      </c>
      <c r="B271" s="187" t="s">
        <v>15869</v>
      </c>
      <c r="C271" s="187" t="s">
        <v>12910</v>
      </c>
      <c r="D271" s="187" t="s">
        <v>16586</v>
      </c>
      <c r="E271" s="187" t="s">
        <v>12912</v>
      </c>
      <c r="F271" s="187" t="s">
        <v>16680</v>
      </c>
      <c r="G271" s="187" t="s">
        <v>16681</v>
      </c>
      <c r="H271" s="187" t="s">
        <v>11502</v>
      </c>
      <c r="I271" s="187" t="s">
        <v>12648</v>
      </c>
    </row>
    <row r="272" spans="1:9">
      <c r="A272" s="187" t="s">
        <v>15868</v>
      </c>
      <c r="B272" s="187" t="s">
        <v>15869</v>
      </c>
      <c r="C272" s="187" t="s">
        <v>12913</v>
      </c>
      <c r="D272" s="187" t="s">
        <v>16588</v>
      </c>
      <c r="E272" s="187" t="s">
        <v>12915</v>
      </c>
      <c r="F272" s="187" t="s">
        <v>16680</v>
      </c>
      <c r="G272" s="187" t="s">
        <v>16681</v>
      </c>
      <c r="H272" s="187" t="s">
        <v>11502</v>
      </c>
      <c r="I272" s="187" t="s">
        <v>12648</v>
      </c>
    </row>
    <row r="273" spans="1:9" ht="28.3" customHeight="1">
      <c r="A273" s="187" t="s">
        <v>15868</v>
      </c>
      <c r="B273" s="187" t="s">
        <v>15869</v>
      </c>
      <c r="C273" s="187" t="s">
        <v>12916</v>
      </c>
      <c r="D273" s="187" t="s">
        <v>16590</v>
      </c>
      <c r="E273" s="187" t="s">
        <v>12918</v>
      </c>
      <c r="F273" s="187" t="s">
        <v>16680</v>
      </c>
      <c r="G273" s="187" t="s">
        <v>16681</v>
      </c>
      <c r="H273" s="187" t="s">
        <v>11502</v>
      </c>
      <c r="I273" s="187" t="s">
        <v>12648</v>
      </c>
    </row>
    <row r="274" spans="1:9" ht="28.3" customHeight="1">
      <c r="A274" s="187" t="s">
        <v>15868</v>
      </c>
      <c r="B274" s="187" t="s">
        <v>15869</v>
      </c>
      <c r="C274" s="187" t="s">
        <v>12919</v>
      </c>
      <c r="D274" s="187" t="s">
        <v>16592</v>
      </c>
      <c r="E274" s="187" t="s">
        <v>12921</v>
      </c>
      <c r="F274" s="187" t="s">
        <v>16680</v>
      </c>
      <c r="G274" s="187" t="s">
        <v>16681</v>
      </c>
      <c r="H274" s="187" t="s">
        <v>11502</v>
      </c>
      <c r="I274" s="187" t="s">
        <v>12648</v>
      </c>
    </row>
    <row r="275" spans="1:9">
      <c r="A275" s="187" t="s">
        <v>15868</v>
      </c>
      <c r="B275" s="187" t="s">
        <v>15869</v>
      </c>
      <c r="C275" s="187" t="s">
        <v>12922</v>
      </c>
      <c r="D275" s="187" t="s">
        <v>16594</v>
      </c>
      <c r="E275" s="187" t="s">
        <v>12924</v>
      </c>
      <c r="F275" s="187" t="s">
        <v>16680</v>
      </c>
      <c r="G275" s="187" t="s">
        <v>16681</v>
      </c>
      <c r="H275" s="187" t="s">
        <v>11502</v>
      </c>
      <c r="I275" s="187" t="s">
        <v>12648</v>
      </c>
    </row>
    <row r="276" spans="1:9">
      <c r="A276" s="187" t="s">
        <v>15868</v>
      </c>
      <c r="B276" s="187" t="s">
        <v>15869</v>
      </c>
      <c r="C276" s="187" t="s">
        <v>12925</v>
      </c>
      <c r="D276" s="187" t="s">
        <v>16596</v>
      </c>
      <c r="E276" s="187" t="s">
        <v>12927</v>
      </c>
      <c r="F276" s="187" t="s">
        <v>16680</v>
      </c>
      <c r="G276" s="187" t="s">
        <v>16681</v>
      </c>
      <c r="H276" s="187" t="s">
        <v>11502</v>
      </c>
      <c r="I276" s="187" t="s">
        <v>12648</v>
      </c>
    </row>
    <row r="277" spans="1:9">
      <c r="A277" s="187" t="s">
        <v>15868</v>
      </c>
      <c r="B277" s="187" t="s">
        <v>15869</v>
      </c>
      <c r="C277" s="187" t="s">
        <v>12928</v>
      </c>
      <c r="D277" s="187" t="s">
        <v>16598</v>
      </c>
      <c r="E277" s="187" t="s">
        <v>12930</v>
      </c>
      <c r="F277" s="187" t="s">
        <v>16680</v>
      </c>
      <c r="G277" s="187" t="s">
        <v>16681</v>
      </c>
      <c r="H277" s="187" t="s">
        <v>11502</v>
      </c>
      <c r="I277" s="187" t="s">
        <v>12648</v>
      </c>
    </row>
    <row r="278" spans="1:9" ht="28.3" customHeight="1">
      <c r="A278" s="187" t="s">
        <v>15868</v>
      </c>
      <c r="B278" s="187" t="s">
        <v>15869</v>
      </c>
      <c r="C278" s="187" t="s">
        <v>12931</v>
      </c>
      <c r="D278" s="187" t="s">
        <v>16600</v>
      </c>
      <c r="E278" s="187" t="s">
        <v>12932</v>
      </c>
      <c r="F278" s="187" t="s">
        <v>16680</v>
      </c>
      <c r="G278" s="187" t="s">
        <v>16681</v>
      </c>
      <c r="H278" s="187" t="s">
        <v>11502</v>
      </c>
      <c r="I278" s="187" t="s">
        <v>12632</v>
      </c>
    </row>
    <row r="279" spans="1:9">
      <c r="A279" s="187" t="s">
        <v>15868</v>
      </c>
      <c r="B279" s="187" t="s">
        <v>15869</v>
      </c>
      <c r="C279" s="187" t="s">
        <v>12059</v>
      </c>
      <c r="D279" s="187" t="s">
        <v>16602</v>
      </c>
      <c r="E279" s="187" t="s">
        <v>12058</v>
      </c>
      <c r="F279" s="187" t="s">
        <v>16680</v>
      </c>
      <c r="G279" s="187" t="s">
        <v>16681</v>
      </c>
      <c r="H279" s="187" t="s">
        <v>11502</v>
      </c>
      <c r="I279" s="187" t="s">
        <v>12678</v>
      </c>
    </row>
    <row r="280" spans="1:9">
      <c r="A280" s="187" t="s">
        <v>15868</v>
      </c>
      <c r="B280" s="187" t="s">
        <v>15869</v>
      </c>
      <c r="C280" s="187" t="s">
        <v>12061</v>
      </c>
      <c r="D280" s="187" t="s">
        <v>16604</v>
      </c>
      <c r="E280" s="187" t="s">
        <v>12060</v>
      </c>
      <c r="F280" s="187" t="s">
        <v>16680</v>
      </c>
      <c r="G280" s="187" t="s">
        <v>16681</v>
      </c>
      <c r="H280" s="187" t="s">
        <v>11502</v>
      </c>
      <c r="I280" s="187" t="s">
        <v>12678</v>
      </c>
    </row>
    <row r="281" spans="1:9">
      <c r="A281" s="187" t="s">
        <v>15868</v>
      </c>
      <c r="B281" s="187" t="s">
        <v>15869</v>
      </c>
      <c r="C281" s="187" t="s">
        <v>12064</v>
      </c>
      <c r="D281" s="187" t="s">
        <v>16606</v>
      </c>
      <c r="E281" s="187" t="s">
        <v>12063</v>
      </c>
      <c r="F281" s="187" t="s">
        <v>16680</v>
      </c>
      <c r="G281" s="187" t="s">
        <v>16681</v>
      </c>
      <c r="H281" s="187" t="s">
        <v>11502</v>
      </c>
      <c r="I281" s="187" t="s">
        <v>12678</v>
      </c>
    </row>
    <row r="282" spans="1:9">
      <c r="A282" s="187" t="s">
        <v>15868</v>
      </c>
      <c r="B282" s="187" t="s">
        <v>15869</v>
      </c>
      <c r="C282" s="187" t="s">
        <v>12067</v>
      </c>
      <c r="D282" s="187" t="s">
        <v>16608</v>
      </c>
      <c r="E282" s="187" t="s">
        <v>12066</v>
      </c>
      <c r="F282" s="187" t="s">
        <v>16680</v>
      </c>
      <c r="G282" s="187" t="s">
        <v>16681</v>
      </c>
      <c r="H282" s="187" t="s">
        <v>11502</v>
      </c>
      <c r="I282" s="187" t="s">
        <v>12678</v>
      </c>
    </row>
    <row r="283" spans="1:9">
      <c r="A283" s="187" t="s">
        <v>15868</v>
      </c>
      <c r="B283" s="187" t="s">
        <v>15869</v>
      </c>
      <c r="C283" s="187" t="s">
        <v>12070</v>
      </c>
      <c r="D283" s="187" t="s">
        <v>16610</v>
      </c>
      <c r="E283" s="187" t="s">
        <v>12069</v>
      </c>
      <c r="F283" s="187" t="s">
        <v>16680</v>
      </c>
      <c r="G283" s="187" t="s">
        <v>16681</v>
      </c>
      <c r="H283" s="187" t="s">
        <v>11502</v>
      </c>
      <c r="I283" s="187" t="s">
        <v>12678</v>
      </c>
    </row>
    <row r="284" spans="1:9" ht="28.3" customHeight="1">
      <c r="A284" s="187" t="s">
        <v>15868</v>
      </c>
      <c r="B284" s="187" t="s">
        <v>15869</v>
      </c>
      <c r="C284" s="187" t="s">
        <v>12946</v>
      </c>
      <c r="D284" s="187" t="s">
        <v>16612</v>
      </c>
      <c r="E284" s="187" t="s">
        <v>12948</v>
      </c>
      <c r="F284" s="187" t="s">
        <v>16680</v>
      </c>
      <c r="G284" s="187" t="s">
        <v>16681</v>
      </c>
      <c r="H284" s="187" t="s">
        <v>11502</v>
      </c>
      <c r="I284" s="187" t="s">
        <v>12632</v>
      </c>
    </row>
    <row r="285" spans="1:9">
      <c r="A285" s="187" t="s">
        <v>15868</v>
      </c>
      <c r="B285" s="187" t="s">
        <v>15869</v>
      </c>
      <c r="C285" s="187" t="s">
        <v>12949</v>
      </c>
      <c r="D285" s="187" t="s">
        <v>16614</v>
      </c>
      <c r="E285" s="187" t="s">
        <v>12951</v>
      </c>
      <c r="F285" s="187" t="s">
        <v>16680</v>
      </c>
      <c r="G285" s="187" t="s">
        <v>16681</v>
      </c>
      <c r="H285" s="187" t="s">
        <v>11502</v>
      </c>
      <c r="I285" s="187" t="s">
        <v>12648</v>
      </c>
    </row>
    <row r="286" spans="1:9">
      <c r="A286" s="187" t="s">
        <v>15868</v>
      </c>
      <c r="B286" s="187" t="s">
        <v>15869</v>
      </c>
      <c r="C286" s="187" t="s">
        <v>12952</v>
      </c>
      <c r="D286" s="187" t="s">
        <v>16616</v>
      </c>
      <c r="E286" s="187" t="s">
        <v>12954</v>
      </c>
      <c r="F286" s="187" t="s">
        <v>16680</v>
      </c>
      <c r="G286" s="187" t="s">
        <v>16681</v>
      </c>
      <c r="H286" s="187" t="s">
        <v>11502</v>
      </c>
      <c r="I286" s="187" t="s">
        <v>12648</v>
      </c>
    </row>
    <row r="287" spans="1:9">
      <c r="A287" s="187" t="s">
        <v>15868</v>
      </c>
      <c r="B287" s="187" t="s">
        <v>15869</v>
      </c>
      <c r="C287" s="187" t="s">
        <v>12955</v>
      </c>
      <c r="D287" s="187" t="s">
        <v>16618</v>
      </c>
      <c r="E287" s="187" t="s">
        <v>12957</v>
      </c>
      <c r="F287" s="187" t="s">
        <v>16680</v>
      </c>
      <c r="G287" s="187" t="s">
        <v>16681</v>
      </c>
      <c r="H287" s="187" t="s">
        <v>11502</v>
      </c>
      <c r="I287" s="187" t="s">
        <v>12648</v>
      </c>
    </row>
    <row r="288" spans="1:9">
      <c r="A288" s="187" t="s">
        <v>15868</v>
      </c>
      <c r="B288" s="187" t="s">
        <v>15869</v>
      </c>
      <c r="C288" s="187" t="s">
        <v>12958</v>
      </c>
      <c r="D288" s="187" t="s">
        <v>16620</v>
      </c>
      <c r="E288" s="187" t="s">
        <v>12960</v>
      </c>
      <c r="F288" s="187" t="s">
        <v>16680</v>
      </c>
      <c r="G288" s="187" t="s">
        <v>16681</v>
      </c>
      <c r="H288" s="187" t="s">
        <v>11502</v>
      </c>
      <c r="I288" s="187" t="s">
        <v>12648</v>
      </c>
    </row>
    <row r="289" spans="1:9">
      <c r="A289" s="187" t="s">
        <v>15868</v>
      </c>
      <c r="B289" s="187" t="s">
        <v>15869</v>
      </c>
      <c r="C289" s="187" t="s">
        <v>12961</v>
      </c>
      <c r="D289" s="187" t="s">
        <v>16622</v>
      </c>
      <c r="E289" s="187" t="s">
        <v>12963</v>
      </c>
      <c r="F289" s="187" t="s">
        <v>16680</v>
      </c>
      <c r="G289" s="187" t="s">
        <v>16681</v>
      </c>
      <c r="H289" s="187" t="s">
        <v>11502</v>
      </c>
      <c r="I289" s="187" t="s">
        <v>12648</v>
      </c>
    </row>
    <row r="290" spans="1:9" ht="28.3" customHeight="1">
      <c r="A290" s="187" t="s">
        <v>15868</v>
      </c>
      <c r="B290" s="187" t="s">
        <v>15869</v>
      </c>
      <c r="C290" s="187" t="s">
        <v>12964</v>
      </c>
      <c r="D290" s="187" t="s">
        <v>16624</v>
      </c>
      <c r="E290" s="187" t="s">
        <v>12966</v>
      </c>
      <c r="F290" s="187" t="s">
        <v>16680</v>
      </c>
      <c r="G290" s="187" t="s">
        <v>16681</v>
      </c>
      <c r="H290" s="187" t="s">
        <v>11502</v>
      </c>
      <c r="I290" s="187" t="s">
        <v>12632</v>
      </c>
    </row>
    <row r="291" spans="1:9">
      <c r="A291" s="187" t="s">
        <v>15868</v>
      </c>
      <c r="B291" s="187" t="s">
        <v>15869</v>
      </c>
      <c r="C291" s="187" t="s">
        <v>12967</v>
      </c>
      <c r="D291" s="187" t="s">
        <v>16626</v>
      </c>
      <c r="E291" s="187" t="s">
        <v>12969</v>
      </c>
      <c r="F291" s="187" t="s">
        <v>16680</v>
      </c>
      <c r="G291" s="187" t="s">
        <v>16681</v>
      </c>
      <c r="H291" s="187" t="s">
        <v>11502</v>
      </c>
      <c r="I291" s="187" t="s">
        <v>12648</v>
      </c>
    </row>
    <row r="292" spans="1:9">
      <c r="A292" s="187" t="s">
        <v>15868</v>
      </c>
      <c r="B292" s="187" t="s">
        <v>15869</v>
      </c>
      <c r="C292" s="187" t="s">
        <v>12970</v>
      </c>
      <c r="D292" s="187" t="s">
        <v>16628</v>
      </c>
      <c r="E292" s="187" t="s">
        <v>12972</v>
      </c>
      <c r="F292" s="187" t="s">
        <v>16680</v>
      </c>
      <c r="G292" s="187" t="s">
        <v>16681</v>
      </c>
      <c r="H292" s="187" t="s">
        <v>11502</v>
      </c>
      <c r="I292" s="187" t="s">
        <v>12648</v>
      </c>
    </row>
    <row r="293" spans="1:9">
      <c r="A293" s="187" t="s">
        <v>15868</v>
      </c>
      <c r="B293" s="187" t="s">
        <v>15869</v>
      </c>
      <c r="C293" s="187" t="s">
        <v>12973</v>
      </c>
      <c r="D293" s="187" t="s">
        <v>16630</v>
      </c>
      <c r="E293" s="187" t="s">
        <v>12975</v>
      </c>
      <c r="F293" s="187" t="s">
        <v>16680</v>
      </c>
      <c r="G293" s="187" t="s">
        <v>16681</v>
      </c>
      <c r="H293" s="187" t="s">
        <v>11502</v>
      </c>
      <c r="I293" s="187" t="s">
        <v>12648</v>
      </c>
    </row>
    <row r="294" spans="1:9">
      <c r="A294" s="187" t="s">
        <v>15868</v>
      </c>
      <c r="B294" s="187" t="s">
        <v>15869</v>
      </c>
      <c r="C294" s="187" t="s">
        <v>12976</v>
      </c>
      <c r="D294" s="187" t="s">
        <v>16632</v>
      </c>
      <c r="E294" s="187" t="s">
        <v>12978</v>
      </c>
      <c r="F294" s="187" t="s">
        <v>16680</v>
      </c>
      <c r="G294" s="187" t="s">
        <v>16681</v>
      </c>
      <c r="H294" s="187" t="s">
        <v>11502</v>
      </c>
      <c r="I294" s="187" t="s">
        <v>12648</v>
      </c>
    </row>
    <row r="295" spans="1:9">
      <c r="A295" s="187" t="s">
        <v>15868</v>
      </c>
      <c r="B295" s="187" t="s">
        <v>15869</v>
      </c>
      <c r="C295" s="187" t="s">
        <v>12979</v>
      </c>
      <c r="D295" s="187" t="s">
        <v>16634</v>
      </c>
      <c r="E295" s="187" t="s">
        <v>12981</v>
      </c>
      <c r="F295" s="187" t="s">
        <v>16680</v>
      </c>
      <c r="G295" s="187" t="s">
        <v>16681</v>
      </c>
      <c r="H295" s="187" t="s">
        <v>11502</v>
      </c>
      <c r="I295" s="187" t="s">
        <v>12648</v>
      </c>
    </row>
    <row r="296" spans="1:9">
      <c r="A296" s="187" t="s">
        <v>15868</v>
      </c>
      <c r="B296" s="187" t="s">
        <v>15869</v>
      </c>
      <c r="C296" s="187" t="s">
        <v>12982</v>
      </c>
      <c r="D296" s="187" t="s">
        <v>16636</v>
      </c>
      <c r="E296" s="187" t="s">
        <v>12984</v>
      </c>
      <c r="F296" s="187" t="s">
        <v>16680</v>
      </c>
      <c r="G296" s="187" t="s">
        <v>16681</v>
      </c>
      <c r="H296" s="187" t="s">
        <v>11502</v>
      </c>
      <c r="I296" s="187" t="s">
        <v>12632</v>
      </c>
    </row>
    <row r="297" spans="1:9">
      <c r="A297" s="187" t="s">
        <v>15868</v>
      </c>
      <c r="B297" s="187" t="s">
        <v>15869</v>
      </c>
      <c r="C297" s="187" t="s">
        <v>12985</v>
      </c>
      <c r="D297" s="187" t="s">
        <v>16638</v>
      </c>
      <c r="E297" s="187" t="s">
        <v>12987</v>
      </c>
      <c r="F297" s="187" t="s">
        <v>16680</v>
      </c>
      <c r="G297" s="187" t="s">
        <v>16681</v>
      </c>
      <c r="H297" s="187" t="s">
        <v>11502</v>
      </c>
      <c r="I297" s="187" t="s">
        <v>12632</v>
      </c>
    </row>
    <row r="298" spans="1:9">
      <c r="A298" s="187" t="s">
        <v>15868</v>
      </c>
      <c r="B298" s="187" t="s">
        <v>15869</v>
      </c>
      <c r="C298" s="187" t="s">
        <v>12988</v>
      </c>
      <c r="D298" s="187" t="s">
        <v>16640</v>
      </c>
      <c r="E298" s="187" t="s">
        <v>12990</v>
      </c>
      <c r="F298" s="187" t="s">
        <v>16680</v>
      </c>
      <c r="G298" s="187" t="s">
        <v>16681</v>
      </c>
      <c r="H298" s="187" t="s">
        <v>11502</v>
      </c>
      <c r="I298" s="187" t="s">
        <v>12648</v>
      </c>
    </row>
    <row r="299" spans="1:9">
      <c r="A299" s="187" t="s">
        <v>15868</v>
      </c>
      <c r="B299" s="187" t="s">
        <v>15869</v>
      </c>
      <c r="C299" s="187" t="s">
        <v>12991</v>
      </c>
      <c r="D299" s="187" t="s">
        <v>16642</v>
      </c>
      <c r="E299" s="187" t="s">
        <v>12993</v>
      </c>
      <c r="F299" s="187" t="s">
        <v>16680</v>
      </c>
      <c r="G299" s="187" t="s">
        <v>16681</v>
      </c>
      <c r="H299" s="187" t="s">
        <v>11502</v>
      </c>
      <c r="I299" s="187" t="s">
        <v>12648</v>
      </c>
    </row>
    <row r="300" spans="1:9">
      <c r="A300" s="187" t="s">
        <v>15868</v>
      </c>
      <c r="B300" s="187" t="s">
        <v>15869</v>
      </c>
      <c r="C300" s="187" t="s">
        <v>12994</v>
      </c>
      <c r="D300" s="187" t="s">
        <v>16644</v>
      </c>
      <c r="E300" s="187" t="s">
        <v>12996</v>
      </c>
      <c r="F300" s="187" t="s">
        <v>16680</v>
      </c>
      <c r="G300" s="187" t="s">
        <v>16681</v>
      </c>
      <c r="H300" s="187" t="s">
        <v>11502</v>
      </c>
      <c r="I300" s="187" t="s">
        <v>12648</v>
      </c>
    </row>
    <row r="301" spans="1:9">
      <c r="A301" s="187" t="s">
        <v>15868</v>
      </c>
      <c r="B301" s="187" t="s">
        <v>15869</v>
      </c>
      <c r="C301" s="187" t="s">
        <v>12997</v>
      </c>
      <c r="D301" s="187" t="s">
        <v>16646</v>
      </c>
      <c r="E301" s="187" t="s">
        <v>12999</v>
      </c>
      <c r="F301" s="187" t="s">
        <v>16680</v>
      </c>
      <c r="G301" s="187" t="s">
        <v>16681</v>
      </c>
      <c r="H301" s="187" t="s">
        <v>11502</v>
      </c>
      <c r="I301" s="187" t="s">
        <v>12648</v>
      </c>
    </row>
    <row r="302" spans="1:9">
      <c r="A302" s="187" t="s">
        <v>15868</v>
      </c>
      <c r="B302" s="187" t="s">
        <v>15869</v>
      </c>
      <c r="C302" s="187" t="s">
        <v>13000</v>
      </c>
      <c r="D302" s="187" t="s">
        <v>16648</v>
      </c>
      <c r="E302" s="187" t="s">
        <v>13002</v>
      </c>
      <c r="F302" s="187" t="s">
        <v>16680</v>
      </c>
      <c r="G302" s="187" t="s">
        <v>16681</v>
      </c>
      <c r="H302" s="187" t="s">
        <v>11502</v>
      </c>
      <c r="I302" s="187" t="s">
        <v>12648</v>
      </c>
    </row>
    <row r="303" spans="1:9" ht="28.3" customHeight="1">
      <c r="A303" s="187" t="s">
        <v>15868</v>
      </c>
      <c r="B303" s="187" t="s">
        <v>15869</v>
      </c>
      <c r="C303" s="187" t="s">
        <v>13003</v>
      </c>
      <c r="D303" s="187" t="s">
        <v>16650</v>
      </c>
      <c r="E303" s="187" t="s">
        <v>13005</v>
      </c>
      <c r="F303" s="187" t="s">
        <v>16680</v>
      </c>
      <c r="G303" s="187" t="s">
        <v>16681</v>
      </c>
      <c r="H303" s="187" t="s">
        <v>11502</v>
      </c>
      <c r="I303" s="187" t="s">
        <v>12632</v>
      </c>
    </row>
    <row r="304" spans="1:9">
      <c r="A304" s="187" t="s">
        <v>15868</v>
      </c>
      <c r="B304" s="187" t="s">
        <v>15869</v>
      </c>
      <c r="C304" s="187" t="s">
        <v>13006</v>
      </c>
      <c r="D304" s="187" t="s">
        <v>16652</v>
      </c>
      <c r="E304" s="187" t="s">
        <v>13008</v>
      </c>
      <c r="F304" s="187" t="s">
        <v>16680</v>
      </c>
      <c r="G304" s="187" t="s">
        <v>16681</v>
      </c>
      <c r="H304" s="187" t="s">
        <v>11502</v>
      </c>
      <c r="I304" s="187" t="s">
        <v>13010</v>
      </c>
    </row>
    <row r="305" spans="1:9">
      <c r="A305" s="187" t="s">
        <v>15868</v>
      </c>
      <c r="B305" s="187" t="s">
        <v>15869</v>
      </c>
      <c r="C305" s="187" t="s">
        <v>12073</v>
      </c>
      <c r="D305" s="187" t="s">
        <v>16654</v>
      </c>
      <c r="E305" s="187" t="s">
        <v>12072</v>
      </c>
      <c r="F305" s="187" t="s">
        <v>16680</v>
      </c>
      <c r="G305" s="187" t="s">
        <v>16681</v>
      </c>
      <c r="H305" s="187" t="s">
        <v>11502</v>
      </c>
      <c r="I305" s="187" t="s">
        <v>12678</v>
      </c>
    </row>
    <row r="306" spans="1:9">
      <c r="A306" s="187" t="s">
        <v>15868</v>
      </c>
      <c r="B306" s="187" t="s">
        <v>15869</v>
      </c>
      <c r="C306" s="187" t="s">
        <v>13020</v>
      </c>
      <c r="D306" s="187" t="s">
        <v>16656</v>
      </c>
      <c r="E306" s="187" t="s">
        <v>13022</v>
      </c>
      <c r="F306" s="187" t="s">
        <v>16680</v>
      </c>
      <c r="G306" s="187" t="s">
        <v>16681</v>
      </c>
      <c r="H306" s="187" t="s">
        <v>11502</v>
      </c>
      <c r="I306" s="187" t="s">
        <v>12648</v>
      </c>
    </row>
    <row r="307" spans="1:9">
      <c r="A307" s="187" t="s">
        <v>15868</v>
      </c>
      <c r="B307" s="187" t="s">
        <v>15869</v>
      </c>
      <c r="C307" s="187" t="s">
        <v>12076</v>
      </c>
      <c r="D307" s="187" t="s">
        <v>16658</v>
      </c>
      <c r="E307" s="187" t="s">
        <v>12075</v>
      </c>
      <c r="F307" s="187" t="s">
        <v>16680</v>
      </c>
      <c r="G307" s="187" t="s">
        <v>16681</v>
      </c>
      <c r="H307" s="187" t="s">
        <v>11502</v>
      </c>
      <c r="I307" s="187" t="s">
        <v>12678</v>
      </c>
    </row>
    <row r="308" spans="1:9" ht="28.3" customHeight="1">
      <c r="A308" s="187" t="s">
        <v>15868</v>
      </c>
      <c r="B308" s="187" t="s">
        <v>15869</v>
      </c>
      <c r="C308" s="187" t="s">
        <v>13029</v>
      </c>
      <c r="D308" s="187" t="s">
        <v>16660</v>
      </c>
      <c r="E308" s="187" t="s">
        <v>13031</v>
      </c>
      <c r="F308" s="187" t="s">
        <v>16680</v>
      </c>
      <c r="G308" s="187" t="s">
        <v>16681</v>
      </c>
      <c r="H308" s="187" t="s">
        <v>11502</v>
      </c>
      <c r="I308" s="187" t="s">
        <v>12632</v>
      </c>
    </row>
    <row r="309" spans="1:9">
      <c r="A309" s="187" t="s">
        <v>15868</v>
      </c>
      <c r="B309" s="187" t="s">
        <v>15869</v>
      </c>
      <c r="C309" s="187" t="s">
        <v>12079</v>
      </c>
      <c r="D309" s="187" t="s">
        <v>16662</v>
      </c>
      <c r="E309" s="187" t="s">
        <v>12078</v>
      </c>
      <c r="F309" s="187" t="s">
        <v>16680</v>
      </c>
      <c r="G309" s="187" t="s">
        <v>16681</v>
      </c>
      <c r="H309" s="187" t="s">
        <v>11502</v>
      </c>
      <c r="I309" s="187" t="s">
        <v>12678</v>
      </c>
    </row>
    <row r="310" spans="1:9">
      <c r="A310" s="187" t="s">
        <v>15868</v>
      </c>
      <c r="B310" s="187" t="s">
        <v>15869</v>
      </c>
      <c r="C310" s="187" t="s">
        <v>12118</v>
      </c>
      <c r="D310" s="187" t="s">
        <v>16664</v>
      </c>
      <c r="E310" s="187" t="s">
        <v>12117</v>
      </c>
      <c r="F310" s="187" t="s">
        <v>16680</v>
      </c>
      <c r="G310" s="187" t="s">
        <v>16681</v>
      </c>
      <c r="H310" s="187" t="s">
        <v>11502</v>
      </c>
      <c r="I310" s="187" t="s">
        <v>13010</v>
      </c>
    </row>
    <row r="311" spans="1:9">
      <c r="A311" s="187" t="s">
        <v>15868</v>
      </c>
      <c r="B311" s="187" t="s">
        <v>15869</v>
      </c>
      <c r="C311" s="187" t="s">
        <v>12082</v>
      </c>
      <c r="D311" s="187" t="s">
        <v>16666</v>
      </c>
      <c r="E311" s="187" t="s">
        <v>12081</v>
      </c>
      <c r="F311" s="187" t="s">
        <v>16680</v>
      </c>
      <c r="G311" s="187" t="s">
        <v>16681</v>
      </c>
      <c r="H311" s="187" t="s">
        <v>11502</v>
      </c>
      <c r="I311" s="187" t="s">
        <v>12678</v>
      </c>
    </row>
    <row r="312" spans="1:9">
      <c r="A312" s="187" t="s">
        <v>15868</v>
      </c>
      <c r="B312" s="187" t="s">
        <v>15869</v>
      </c>
      <c r="C312" s="187" t="s">
        <v>11651</v>
      </c>
      <c r="D312" s="187" t="s">
        <v>16668</v>
      </c>
      <c r="E312" s="187" t="s">
        <v>12084</v>
      </c>
      <c r="F312" s="187" t="s">
        <v>16680</v>
      </c>
      <c r="G312" s="187" t="s">
        <v>16681</v>
      </c>
      <c r="H312" s="187" t="s">
        <v>11502</v>
      </c>
      <c r="I312" s="187" t="s">
        <v>12678</v>
      </c>
    </row>
    <row r="313" spans="1:9">
      <c r="A313" s="187" t="s">
        <v>15868</v>
      </c>
      <c r="B313" s="187" t="s">
        <v>15869</v>
      </c>
      <c r="C313" s="187" t="s">
        <v>12087</v>
      </c>
      <c r="D313" s="187" t="s">
        <v>16670</v>
      </c>
      <c r="E313" s="187" t="s">
        <v>12086</v>
      </c>
      <c r="F313" s="187" t="s">
        <v>16680</v>
      </c>
      <c r="G313" s="187" t="s">
        <v>16681</v>
      </c>
      <c r="H313" s="187" t="s">
        <v>11502</v>
      </c>
      <c r="I313" s="187" t="s">
        <v>12678</v>
      </c>
    </row>
    <row r="314" spans="1:9">
      <c r="A314" s="187" t="s">
        <v>15868</v>
      </c>
      <c r="B314" s="187" t="s">
        <v>15869</v>
      </c>
      <c r="C314" s="187" t="s">
        <v>13051</v>
      </c>
      <c r="D314" s="187" t="s">
        <v>16672</v>
      </c>
      <c r="E314" s="187" t="s">
        <v>13053</v>
      </c>
      <c r="F314" s="187" t="s">
        <v>16680</v>
      </c>
      <c r="G314" s="187" t="s">
        <v>16681</v>
      </c>
      <c r="H314" s="187" t="s">
        <v>11502</v>
      </c>
      <c r="I314" s="187" t="s">
        <v>12661</v>
      </c>
    </row>
  </sheetData>
  <autoFilter ref="A4:I314" xr:uid="{00000000-0009-0000-0000-000026000000}"/>
  <mergeCells count="2">
    <mergeCell ref="A1:I1"/>
    <mergeCell ref="A2:I2"/>
  </mergeCells>
  <pageMargins left="0.75" right="0.75" top="1" bottom="1"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rgb="FF1F4E78"/>
  </sheetPr>
  <dimension ref="A1:H14"/>
  <sheetViews>
    <sheetView showGridLines="0" workbookViewId="0">
      <pane ySplit="4" topLeftCell="A5" activePane="bottomLeft" state="frozen"/>
      <selection pane="bottomLeft"/>
    </sheetView>
  </sheetViews>
  <sheetFormatPr defaultRowHeight="14.15"/>
  <cols>
    <col min="1" max="1" width="12" customWidth="1"/>
    <col min="2" max="2" width="28" customWidth="1"/>
    <col min="3" max="3" width="10" customWidth="1"/>
    <col min="4" max="4" width="40" customWidth="1"/>
    <col min="5" max="5" width="24" customWidth="1"/>
    <col min="6" max="6" width="32" customWidth="1"/>
    <col min="7" max="7" width="48" customWidth="1"/>
    <col min="8" max="8" width="70" customWidth="1"/>
  </cols>
  <sheetData>
    <row r="1" spans="1:8" ht="24" customHeight="1">
      <c r="A1" s="313" t="s">
        <v>16682</v>
      </c>
      <c r="B1" s="310"/>
      <c r="C1" s="310"/>
      <c r="D1" s="310"/>
      <c r="E1" s="310"/>
      <c r="F1" s="310"/>
      <c r="G1" s="310"/>
      <c r="H1" s="311"/>
    </row>
    <row r="2" spans="1:8" ht="32.049999999999997" customHeight="1">
      <c r="A2" s="309" t="s">
        <v>16683</v>
      </c>
      <c r="B2" s="310"/>
      <c r="C2" s="310"/>
      <c r="D2" s="310"/>
      <c r="E2" s="310"/>
      <c r="F2" s="310"/>
      <c r="G2" s="310"/>
      <c r="H2" s="311"/>
    </row>
    <row r="4" spans="1:8">
      <c r="A4" s="186" t="s">
        <v>16684</v>
      </c>
      <c r="B4" s="186" t="s">
        <v>16685</v>
      </c>
      <c r="C4" s="186" t="s">
        <v>16686</v>
      </c>
      <c r="D4" s="186" t="s">
        <v>16687</v>
      </c>
      <c r="E4" s="186" t="s">
        <v>15746</v>
      </c>
      <c r="F4" s="186" t="s">
        <v>16688</v>
      </c>
      <c r="G4" s="186" t="s">
        <v>18</v>
      </c>
      <c r="H4" s="186" t="s">
        <v>16689</v>
      </c>
    </row>
    <row r="5" spans="1:8">
      <c r="A5" s="187" t="s">
        <v>16690</v>
      </c>
      <c r="B5" s="187" t="s">
        <v>16691</v>
      </c>
      <c r="C5" s="187" t="s">
        <v>16692</v>
      </c>
      <c r="D5" s="187" t="s">
        <v>15871</v>
      </c>
      <c r="E5" s="187" t="s">
        <v>15868</v>
      </c>
      <c r="F5" s="187" t="s">
        <v>16693</v>
      </c>
      <c r="G5" s="187" t="s">
        <v>16694</v>
      </c>
      <c r="H5" s="187" t="s">
        <v>16695</v>
      </c>
    </row>
    <row r="6" spans="1:8">
      <c r="A6" s="187" t="s">
        <v>16696</v>
      </c>
      <c r="B6" s="187" t="s">
        <v>16697</v>
      </c>
      <c r="C6" s="187" t="s">
        <v>16698</v>
      </c>
      <c r="D6" s="187" t="s">
        <v>15759</v>
      </c>
      <c r="E6" s="187" t="s">
        <v>15756</v>
      </c>
      <c r="F6" s="187" t="s">
        <v>13062</v>
      </c>
      <c r="G6" s="187" t="s">
        <v>16699</v>
      </c>
      <c r="H6" s="187" t="s">
        <v>16700</v>
      </c>
    </row>
    <row r="7" spans="1:8" ht="56.6" customHeight="1">
      <c r="A7" s="187" t="s">
        <v>16701</v>
      </c>
      <c r="B7" s="187" t="s">
        <v>16702</v>
      </c>
      <c r="C7" s="187" t="s">
        <v>16692</v>
      </c>
      <c r="D7" s="187" t="s">
        <v>16703</v>
      </c>
      <c r="E7" s="187" t="s">
        <v>16704</v>
      </c>
      <c r="F7" s="187" t="s">
        <v>16705</v>
      </c>
      <c r="G7" s="187" t="s">
        <v>16706</v>
      </c>
      <c r="H7" s="187" t="s">
        <v>16707</v>
      </c>
    </row>
    <row r="8" spans="1:8">
      <c r="A8" s="187" t="s">
        <v>16708</v>
      </c>
      <c r="B8" s="187" t="s">
        <v>16709</v>
      </c>
      <c r="C8" s="187" t="s">
        <v>16698</v>
      </c>
      <c r="D8" s="187" t="s">
        <v>15813</v>
      </c>
      <c r="E8" s="187" t="s">
        <v>15810</v>
      </c>
      <c r="F8" s="187" t="s">
        <v>13334</v>
      </c>
      <c r="G8" s="187" t="s">
        <v>16710</v>
      </c>
      <c r="H8" s="187" t="s">
        <v>16711</v>
      </c>
    </row>
    <row r="9" spans="1:8">
      <c r="A9" s="187" t="s">
        <v>16712</v>
      </c>
      <c r="B9" s="187" t="s">
        <v>16713</v>
      </c>
      <c r="C9" s="187" t="s">
        <v>16698</v>
      </c>
      <c r="D9" s="187" t="s">
        <v>15828</v>
      </c>
      <c r="E9" s="187" t="s">
        <v>15824</v>
      </c>
      <c r="F9" s="187" t="s">
        <v>15678</v>
      </c>
      <c r="G9" s="187" t="s">
        <v>16714</v>
      </c>
      <c r="H9" s="187" t="s">
        <v>16715</v>
      </c>
    </row>
    <row r="10" spans="1:8">
      <c r="A10" s="187" t="s">
        <v>16716</v>
      </c>
      <c r="B10" s="187" t="s">
        <v>16717</v>
      </c>
      <c r="C10" s="187" t="s">
        <v>16698</v>
      </c>
      <c r="D10" s="187" t="s">
        <v>15834</v>
      </c>
      <c r="E10" s="187" t="s">
        <v>15830</v>
      </c>
      <c r="F10" s="187" t="s">
        <v>15688</v>
      </c>
      <c r="G10" s="187" t="s">
        <v>16718</v>
      </c>
      <c r="H10" s="187" t="s">
        <v>16719</v>
      </c>
    </row>
    <row r="11" spans="1:8">
      <c r="A11" s="187" t="s">
        <v>16720</v>
      </c>
      <c r="B11" s="187" t="s">
        <v>16721</v>
      </c>
      <c r="C11" s="187" t="s">
        <v>16692</v>
      </c>
      <c r="D11" s="187" t="s">
        <v>16722</v>
      </c>
      <c r="E11" s="187" t="s">
        <v>15842</v>
      </c>
      <c r="F11" s="187" t="s">
        <v>15680</v>
      </c>
      <c r="G11" s="187" t="s">
        <v>16723</v>
      </c>
      <c r="H11" s="187" t="s">
        <v>16724</v>
      </c>
    </row>
    <row r="12" spans="1:8">
      <c r="A12" s="187" t="s">
        <v>16725</v>
      </c>
      <c r="B12" s="187" t="s">
        <v>16726</v>
      </c>
      <c r="C12" s="187" t="s">
        <v>16698</v>
      </c>
      <c r="D12" s="187" t="s">
        <v>16727</v>
      </c>
      <c r="E12" s="187" t="s">
        <v>15852</v>
      </c>
      <c r="F12" s="187" t="s">
        <v>15678</v>
      </c>
      <c r="G12" s="187" t="s">
        <v>16728</v>
      </c>
      <c r="H12" s="187" t="s">
        <v>16729</v>
      </c>
    </row>
    <row r="13" spans="1:8">
      <c r="A13" s="187" t="s">
        <v>16730</v>
      </c>
      <c r="B13" s="187" t="s">
        <v>16731</v>
      </c>
      <c r="C13" s="187" t="s">
        <v>16698</v>
      </c>
      <c r="D13" s="187" t="s">
        <v>16732</v>
      </c>
      <c r="E13" s="187" t="s">
        <v>15857</v>
      </c>
      <c r="F13" s="187" t="s">
        <v>13336</v>
      </c>
      <c r="G13" s="187" t="s">
        <v>16733</v>
      </c>
      <c r="H13" s="187" t="s">
        <v>16734</v>
      </c>
    </row>
    <row r="14" spans="1:8">
      <c r="A14" s="187" t="s">
        <v>16735</v>
      </c>
      <c r="B14" s="187" t="s">
        <v>16736</v>
      </c>
      <c r="C14" s="187" t="s">
        <v>16698</v>
      </c>
      <c r="D14" s="187" t="s">
        <v>15840</v>
      </c>
      <c r="E14" s="187" t="s">
        <v>15836</v>
      </c>
      <c r="F14" s="187" t="s">
        <v>15691</v>
      </c>
      <c r="G14" s="187" t="s">
        <v>16737</v>
      </c>
      <c r="H14" s="187" t="s">
        <v>16738</v>
      </c>
    </row>
  </sheetData>
  <autoFilter ref="A4:H14" xr:uid="{00000000-0009-0000-0000-000027000000}"/>
  <mergeCells count="2">
    <mergeCell ref="A2:H2"/>
    <mergeCell ref="A1:H1"/>
  </mergeCells>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B77"/>
  <sheetViews>
    <sheetView workbookViewId="0"/>
  </sheetViews>
  <sheetFormatPr defaultRowHeight="14.15"/>
  <cols>
    <col min="1" max="1" width="34" customWidth="1"/>
    <col min="2" max="2" width="110" customWidth="1"/>
  </cols>
  <sheetData>
    <row r="1" spans="1:2" ht="17.600000000000001" customHeight="1">
      <c r="A1" s="197" t="s">
        <v>16739</v>
      </c>
    </row>
    <row r="3" spans="1:2">
      <c r="A3" s="198" t="s">
        <v>16740</v>
      </c>
    </row>
    <row r="4" spans="1:2" ht="28.3" customHeight="1">
      <c r="A4" s="2" t="s">
        <v>16741</v>
      </c>
      <c r="B4" s="2"/>
    </row>
    <row r="5" spans="1:2" ht="84.9" customHeight="1">
      <c r="A5" s="2" t="s">
        <v>16742</v>
      </c>
      <c r="B5" s="2"/>
    </row>
    <row r="6" spans="1:2">
      <c r="A6" s="2" t="s">
        <v>16743</v>
      </c>
      <c r="B6" s="2" t="s">
        <v>46</v>
      </c>
    </row>
    <row r="7" spans="1:2">
      <c r="A7" s="2" t="s">
        <v>18</v>
      </c>
      <c r="B7" s="2" t="s">
        <v>16744</v>
      </c>
    </row>
    <row r="8" spans="1:2" ht="28.3" customHeight="1">
      <c r="A8" s="2" t="s">
        <v>16745</v>
      </c>
      <c r="B8" s="2" t="s">
        <v>16746</v>
      </c>
    </row>
    <row r="9" spans="1:2" ht="28.3" customHeight="1">
      <c r="A9" s="2" t="s">
        <v>16747</v>
      </c>
      <c r="B9" s="2" t="s">
        <v>16748</v>
      </c>
    </row>
    <row r="10" spans="1:2">
      <c r="A10" s="2" t="s">
        <v>16749</v>
      </c>
      <c r="B10" s="2" t="s">
        <v>16750</v>
      </c>
    </row>
    <row r="11" spans="1:2">
      <c r="A11" s="2" t="s">
        <v>16751</v>
      </c>
      <c r="B11" s="2" t="s">
        <v>16752</v>
      </c>
    </row>
    <row r="13" spans="1:2">
      <c r="A13" s="198" t="s">
        <v>16753</v>
      </c>
    </row>
    <row r="14" spans="1:2" ht="28.3" customHeight="1">
      <c r="A14" s="2" t="s">
        <v>16754</v>
      </c>
      <c r="B14" s="2"/>
    </row>
    <row r="15" spans="1:2" ht="84.9" customHeight="1">
      <c r="A15" s="2" t="s">
        <v>16755</v>
      </c>
      <c r="B15" s="2"/>
    </row>
    <row r="16" spans="1:2">
      <c r="A16" s="2" t="s">
        <v>16743</v>
      </c>
      <c r="B16" s="2" t="s">
        <v>16756</v>
      </c>
    </row>
    <row r="17" spans="1:2" ht="28.3" customHeight="1">
      <c r="A17" s="2" t="s">
        <v>18</v>
      </c>
      <c r="B17" s="2" t="s">
        <v>16757</v>
      </c>
    </row>
    <row r="18" spans="1:2" ht="28.3" customHeight="1">
      <c r="A18" s="2" t="s">
        <v>16758</v>
      </c>
      <c r="B18" s="2" t="s">
        <v>16759</v>
      </c>
    </row>
    <row r="19" spans="1:2" ht="28.3" customHeight="1">
      <c r="A19" s="2" t="s">
        <v>16760</v>
      </c>
      <c r="B19" s="2" t="s">
        <v>16761</v>
      </c>
    </row>
    <row r="20" spans="1:2" ht="28.3" customHeight="1">
      <c r="A20" s="2" t="s">
        <v>16762</v>
      </c>
      <c r="B20" s="2" t="s">
        <v>16763</v>
      </c>
    </row>
    <row r="21" spans="1:2" ht="28.3" customHeight="1">
      <c r="A21" s="2" t="s">
        <v>16764</v>
      </c>
      <c r="B21" s="2" t="s">
        <v>16765</v>
      </c>
    </row>
    <row r="22" spans="1:2" ht="28.3" customHeight="1">
      <c r="A22" s="2" t="s">
        <v>535</v>
      </c>
      <c r="B22" s="2" t="s">
        <v>16766</v>
      </c>
    </row>
    <row r="23" spans="1:2" ht="28.3" customHeight="1">
      <c r="A23" s="2" t="s">
        <v>16767</v>
      </c>
      <c r="B23" s="2" t="s">
        <v>16768</v>
      </c>
    </row>
    <row r="25" spans="1:2">
      <c r="A25" s="198" t="s">
        <v>16769</v>
      </c>
    </row>
    <row r="26" spans="1:2" ht="28.3" customHeight="1">
      <c r="A26" s="2" t="s">
        <v>16770</v>
      </c>
      <c r="B26" s="2"/>
    </row>
    <row r="27" spans="1:2">
      <c r="A27" s="2" t="s">
        <v>16771</v>
      </c>
      <c r="B27" s="2" t="s">
        <v>16772</v>
      </c>
    </row>
    <row r="28" spans="1:2" ht="28.3">
      <c r="A28" s="2" t="s">
        <v>18</v>
      </c>
      <c r="B28" s="2" t="s">
        <v>16773</v>
      </c>
    </row>
    <row r="29" spans="1:2" ht="28.3" customHeight="1">
      <c r="A29" s="2" t="s">
        <v>16774</v>
      </c>
      <c r="B29" s="2" t="s">
        <v>16775</v>
      </c>
    </row>
    <row r="30" spans="1:2" ht="28.3" customHeight="1">
      <c r="A30" s="2" t="s">
        <v>16776</v>
      </c>
      <c r="B30" s="2" t="s">
        <v>16777</v>
      </c>
    </row>
    <row r="31" spans="1:2" ht="28.3">
      <c r="A31" s="2" t="s">
        <v>16778</v>
      </c>
      <c r="B31" s="2" t="s">
        <v>16779</v>
      </c>
    </row>
    <row r="70" spans="1:2">
      <c r="A70" t="s">
        <v>16780</v>
      </c>
    </row>
    <row r="71" spans="1:2">
      <c r="A71" t="s">
        <v>245</v>
      </c>
      <c r="B71" t="s">
        <v>4</v>
      </c>
    </row>
    <row r="72" spans="1:2">
      <c r="A72" t="s">
        <v>427</v>
      </c>
      <c r="B72" t="s">
        <v>428</v>
      </c>
    </row>
    <row r="73" spans="1:2">
      <c r="A73" t="s">
        <v>429</v>
      </c>
      <c r="B73" t="s">
        <v>430</v>
      </c>
    </row>
    <row r="74" spans="1:2">
      <c r="A74" t="s">
        <v>435</v>
      </c>
      <c r="B74" t="s">
        <v>436</v>
      </c>
    </row>
    <row r="75" spans="1:2">
      <c r="A75" t="s">
        <v>437</v>
      </c>
      <c r="B75" t="s">
        <v>438</v>
      </c>
    </row>
    <row r="76" spans="1:2">
      <c r="A76" t="s">
        <v>431</v>
      </c>
      <c r="B76" t="s">
        <v>432</v>
      </c>
    </row>
    <row r="77" spans="1:2">
      <c r="A77" t="s">
        <v>433</v>
      </c>
      <c r="B77" t="s">
        <v>434</v>
      </c>
    </row>
  </sheetData>
  <pageMargins left="0.75" right="0.75" top="1" bottom="1"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F31"/>
  <sheetViews>
    <sheetView workbookViewId="0">
      <pane ySplit="5" topLeftCell="A6" activePane="bottomLeft" state="frozen"/>
      <selection pane="bottomLeft"/>
    </sheetView>
  </sheetViews>
  <sheetFormatPr defaultRowHeight="14.15"/>
  <cols>
    <col min="1" max="1" width="18" customWidth="1"/>
    <col min="2" max="2" width="12" customWidth="1"/>
    <col min="3" max="3" width="52" customWidth="1"/>
    <col min="4" max="4" width="12" customWidth="1"/>
    <col min="5" max="5" width="30" customWidth="1"/>
    <col min="6" max="6" width="48" customWidth="1"/>
  </cols>
  <sheetData>
    <row r="1" spans="1:6" ht="17.600000000000001">
      <c r="A1" s="197" t="s">
        <v>16781</v>
      </c>
    </row>
    <row r="2" spans="1:6">
      <c r="C2" s="199" t="s">
        <v>16782</v>
      </c>
      <c r="D2" s="200" t="s">
        <v>12250</v>
      </c>
    </row>
    <row r="3" spans="1:6">
      <c r="A3" s="201" t="s">
        <v>16783</v>
      </c>
    </row>
    <row r="5" spans="1:6">
      <c r="A5" s="202" t="s">
        <v>13063</v>
      </c>
      <c r="B5" s="202" t="s">
        <v>12127</v>
      </c>
      <c r="C5" s="202" t="s">
        <v>329</v>
      </c>
      <c r="D5" s="202" t="s">
        <v>742</v>
      </c>
      <c r="E5" s="202" t="s">
        <v>330</v>
      </c>
      <c r="F5" s="202" t="s">
        <v>744</v>
      </c>
    </row>
    <row r="6" spans="1:6">
      <c r="A6" s="2" t="s">
        <v>12187</v>
      </c>
      <c r="B6" s="2" t="s">
        <v>16784</v>
      </c>
      <c r="C6" s="2" t="s">
        <v>16785</v>
      </c>
      <c r="D6" s="203" t="s">
        <v>12250</v>
      </c>
      <c r="E6" s="2" t="s">
        <v>12836</v>
      </c>
      <c r="F6" s="2" t="s">
        <v>16786</v>
      </c>
    </row>
    <row r="7" spans="1:6">
      <c r="A7" s="2" t="s">
        <v>12187</v>
      </c>
      <c r="B7" s="2" t="s">
        <v>16787</v>
      </c>
      <c r="C7" s="2" t="s">
        <v>16788</v>
      </c>
      <c r="D7" s="203" t="s">
        <v>12250</v>
      </c>
      <c r="E7" s="2" t="s">
        <v>68</v>
      </c>
      <c r="F7" s="2" t="s">
        <v>16789</v>
      </c>
    </row>
    <row r="8" spans="1:6" ht="28.3">
      <c r="A8" s="2" t="s">
        <v>12187</v>
      </c>
      <c r="B8" s="2" t="s">
        <v>16790</v>
      </c>
      <c r="C8" s="2" t="s">
        <v>16791</v>
      </c>
      <c r="D8" s="203" t="s">
        <v>12250</v>
      </c>
      <c r="E8" s="2" t="s">
        <v>16792</v>
      </c>
      <c r="F8" s="2" t="s">
        <v>16793</v>
      </c>
    </row>
    <row r="9" spans="1:6">
      <c r="A9" s="2" t="s">
        <v>12187</v>
      </c>
      <c r="B9" s="2" t="s">
        <v>16794</v>
      </c>
      <c r="C9" s="2" t="s">
        <v>16795</v>
      </c>
      <c r="D9" s="203" t="s">
        <v>12250</v>
      </c>
      <c r="E9" s="2" t="s">
        <v>68</v>
      </c>
      <c r="F9" s="2" t="s">
        <v>16796</v>
      </c>
    </row>
    <row r="10" spans="1:6">
      <c r="A10" s="2" t="s">
        <v>12187</v>
      </c>
      <c r="B10" s="2" t="s">
        <v>16797</v>
      </c>
      <c r="C10" s="2" t="s">
        <v>16798</v>
      </c>
      <c r="D10" s="203" t="s">
        <v>12250</v>
      </c>
      <c r="E10" s="2" t="s">
        <v>16799</v>
      </c>
      <c r="F10" s="2" t="s">
        <v>16800</v>
      </c>
    </row>
    <row r="11" spans="1:6">
      <c r="A11" s="2" t="s">
        <v>12187</v>
      </c>
      <c r="B11" s="2" t="s">
        <v>16801</v>
      </c>
      <c r="C11" s="2" t="s">
        <v>16802</v>
      </c>
      <c r="D11" s="203" t="s">
        <v>12250</v>
      </c>
      <c r="E11" s="2" t="s">
        <v>12872</v>
      </c>
      <c r="F11" s="2" t="s">
        <v>16803</v>
      </c>
    </row>
    <row r="12" spans="1:6" ht="28.3">
      <c r="A12" s="2" t="s">
        <v>16804</v>
      </c>
      <c r="B12" s="2" t="s">
        <v>16805</v>
      </c>
      <c r="C12" s="2" t="s">
        <v>16806</v>
      </c>
      <c r="D12" s="203" t="s">
        <v>12250</v>
      </c>
      <c r="E12" s="2" t="s">
        <v>11694</v>
      </c>
      <c r="F12" s="2" t="s">
        <v>16807</v>
      </c>
    </row>
    <row r="13" spans="1:6" ht="28.3">
      <c r="A13" s="2" t="s">
        <v>16804</v>
      </c>
      <c r="B13" s="2" t="s">
        <v>16808</v>
      </c>
      <c r="C13" s="2" t="s">
        <v>16809</v>
      </c>
      <c r="D13" s="203" t="s">
        <v>12250</v>
      </c>
      <c r="E13" s="2" t="s">
        <v>11694</v>
      </c>
      <c r="F13" s="2" t="s">
        <v>16810</v>
      </c>
    </row>
    <row r="14" spans="1:6" ht="28.3">
      <c r="A14" s="2" t="s">
        <v>16804</v>
      </c>
      <c r="B14" s="2" t="s">
        <v>16811</v>
      </c>
      <c r="C14" s="2" t="s">
        <v>16812</v>
      </c>
      <c r="D14" s="204" t="s">
        <v>16813</v>
      </c>
      <c r="E14" s="2" t="s">
        <v>16814</v>
      </c>
      <c r="F14" s="2" t="s">
        <v>16815</v>
      </c>
    </row>
    <row r="15" spans="1:6" ht="28.3">
      <c r="A15" s="2" t="s">
        <v>16816</v>
      </c>
      <c r="B15" s="2" t="s">
        <v>15702</v>
      </c>
      <c r="C15" s="2" t="s">
        <v>16817</v>
      </c>
      <c r="D15" s="203" t="s">
        <v>12250</v>
      </c>
      <c r="E15" s="2" t="s">
        <v>16818</v>
      </c>
      <c r="F15" s="2" t="s">
        <v>16819</v>
      </c>
    </row>
    <row r="16" spans="1:6" ht="28.3">
      <c r="A16" s="2" t="s">
        <v>16816</v>
      </c>
      <c r="B16" s="2" t="s">
        <v>15708</v>
      </c>
      <c r="C16" s="2" t="s">
        <v>16820</v>
      </c>
      <c r="D16" s="203" t="s">
        <v>12250</v>
      </c>
      <c r="E16" s="2" t="s">
        <v>16818</v>
      </c>
      <c r="F16" s="2" t="s">
        <v>16821</v>
      </c>
    </row>
    <row r="17" spans="1:6" ht="28.3">
      <c r="A17" s="2" t="s">
        <v>16816</v>
      </c>
      <c r="B17" s="2" t="s">
        <v>15714</v>
      </c>
      <c r="C17" s="2" t="s">
        <v>16822</v>
      </c>
      <c r="D17" s="203" t="s">
        <v>12250</v>
      </c>
      <c r="E17" s="2" t="s">
        <v>16818</v>
      </c>
      <c r="F17" s="2" t="s">
        <v>16823</v>
      </c>
    </row>
    <row r="18" spans="1:6" ht="28.3">
      <c r="A18" s="2" t="s">
        <v>16816</v>
      </c>
      <c r="B18" s="2" t="s">
        <v>15720</v>
      </c>
      <c r="C18" s="2" t="s">
        <v>16824</v>
      </c>
      <c r="D18" s="203" t="s">
        <v>12250</v>
      </c>
      <c r="E18" s="2" t="s">
        <v>4537</v>
      </c>
      <c r="F18" s="2" t="s">
        <v>16825</v>
      </c>
    </row>
    <row r="19" spans="1:6" ht="28.3">
      <c r="A19" s="2" t="s">
        <v>16816</v>
      </c>
      <c r="B19" s="2" t="s">
        <v>15726</v>
      </c>
      <c r="C19" s="2" t="s">
        <v>16826</v>
      </c>
      <c r="D19" s="203" t="s">
        <v>12250</v>
      </c>
      <c r="E19" s="2" t="s">
        <v>16827</v>
      </c>
      <c r="F19" s="2" t="s">
        <v>16828</v>
      </c>
    </row>
    <row r="20" spans="1:6" ht="28.3">
      <c r="A20" s="2" t="s">
        <v>16816</v>
      </c>
      <c r="B20" s="2" t="s">
        <v>15732</v>
      </c>
      <c r="C20" s="2" t="s">
        <v>16829</v>
      </c>
      <c r="D20" s="203" t="s">
        <v>12250</v>
      </c>
      <c r="E20" s="2" t="s">
        <v>16818</v>
      </c>
      <c r="F20" s="2" t="s">
        <v>16830</v>
      </c>
    </row>
    <row r="21" spans="1:6" ht="42.45">
      <c r="A21" s="2" t="s">
        <v>16816</v>
      </c>
      <c r="B21" s="2" t="s">
        <v>15737</v>
      </c>
      <c r="C21" s="2" t="s">
        <v>16831</v>
      </c>
      <c r="D21" s="203" t="s">
        <v>12250</v>
      </c>
      <c r="E21" s="2" t="s">
        <v>16818</v>
      </c>
      <c r="F21" s="2" t="s">
        <v>16832</v>
      </c>
    </row>
    <row r="22" spans="1:6">
      <c r="A22" s="2" t="s">
        <v>402</v>
      </c>
      <c r="B22" s="2" t="s">
        <v>16833</v>
      </c>
      <c r="C22" s="2" t="s">
        <v>16834</v>
      </c>
      <c r="D22" s="203" t="s">
        <v>12250</v>
      </c>
      <c r="E22" s="2" t="s">
        <v>16835</v>
      </c>
      <c r="F22" s="2" t="s">
        <v>16836</v>
      </c>
    </row>
    <row r="23" spans="1:6">
      <c r="A23" s="2" t="s">
        <v>402</v>
      </c>
      <c r="B23" s="2" t="s">
        <v>16837</v>
      </c>
      <c r="C23" s="2" t="s">
        <v>16838</v>
      </c>
      <c r="D23" s="203" t="s">
        <v>12250</v>
      </c>
      <c r="E23" s="2" t="s">
        <v>16839</v>
      </c>
      <c r="F23" s="2" t="s">
        <v>16840</v>
      </c>
    </row>
    <row r="24" spans="1:6">
      <c r="A24" s="2" t="s">
        <v>402</v>
      </c>
      <c r="B24" s="2" t="s">
        <v>16841</v>
      </c>
      <c r="C24" s="2" t="s">
        <v>16842</v>
      </c>
      <c r="D24" s="203" t="s">
        <v>12250</v>
      </c>
      <c r="E24" s="2" t="s">
        <v>16843</v>
      </c>
      <c r="F24" s="2" t="s">
        <v>16844</v>
      </c>
    </row>
    <row r="25" spans="1:6" ht="28.3">
      <c r="A25" s="2" t="s">
        <v>16845</v>
      </c>
      <c r="B25" s="2" t="s">
        <v>13983</v>
      </c>
      <c r="C25" s="2" t="s">
        <v>16846</v>
      </c>
      <c r="D25" s="203" t="s">
        <v>12250</v>
      </c>
      <c r="E25" s="2" t="s">
        <v>4</v>
      </c>
      <c r="F25" s="2" t="s">
        <v>16847</v>
      </c>
    </row>
    <row r="26" spans="1:6" ht="42.45">
      <c r="A26" s="2" t="s">
        <v>16845</v>
      </c>
      <c r="B26" s="2" t="s">
        <v>13985</v>
      </c>
      <c r="C26" s="2" t="s">
        <v>16848</v>
      </c>
      <c r="D26" s="203" t="s">
        <v>12250</v>
      </c>
      <c r="E26" s="2" t="s">
        <v>16849</v>
      </c>
      <c r="F26" s="2" t="s">
        <v>16850</v>
      </c>
    </row>
    <row r="27" spans="1:6">
      <c r="A27" t="s">
        <v>12212</v>
      </c>
      <c r="B27" t="s">
        <v>16851</v>
      </c>
      <c r="C27" t="s">
        <v>16852</v>
      </c>
      <c r="D27" t="str">
        <f>IF(COUNTIF(_ENGINE_Initiatives!$BZ$5:$BZ$76,"CAP_GENERIC")&lt;ROWS(_ENGINE_Initiatives!$BZ$5:$BZ$76),"PASS","WARN")</f>
        <v>PASS</v>
      </c>
      <c r="E27" t="str">
        <f>COUNTIF(_ENGINE_Initiatives!$BZ$5:$BZ$76,"CAP_GENERIC")&amp;" CAP_GENERIC initiative rows"</f>
        <v>0 CAP_GENERIC initiative rows</v>
      </c>
      <c r="F27" t="s">
        <v>16853</v>
      </c>
    </row>
    <row r="28" spans="1:6">
      <c r="A28" t="s">
        <v>12212</v>
      </c>
      <c r="B28" t="s">
        <v>16854</v>
      </c>
      <c r="C28" t="s">
        <v>16855</v>
      </c>
      <c r="D28" t="str">
        <f>IF(COUNTIF(_ENGINE_Risk!$BV$500:$BV$923,"No bridge")&lt;ROWS(_ENGINE_Risk!$BV$500:$BV$923),"PASS","WARN")</f>
        <v>PASS</v>
      </c>
      <c r="E28" t="str">
        <f>COUNTIF(_ENGINE_Risk!$BV$500:$BV$923,"No bridge")&amp;" No bridge risk rows"</f>
        <v>0 No bridge risk rows</v>
      </c>
      <c r="F28" t="s">
        <v>16856</v>
      </c>
    </row>
    <row r="29" spans="1:6">
      <c r="A29" t="s">
        <v>12212</v>
      </c>
      <c r="B29" t="s">
        <v>16857</v>
      </c>
      <c r="C29" t="s">
        <v>16858</v>
      </c>
      <c r="D29" t="str">
        <f>IF(SUM(_ENGINE_Strategy!$E$100:$F$113)&gt;0,"PASS","WARN")</f>
        <v>PASS</v>
      </c>
      <c r="E29">
        <f>SUM(_ENGINE_Strategy!$E$100:$F$113)</f>
        <v>138.69000000000003</v>
      </c>
      <c r="F29" t="s">
        <v>16859</v>
      </c>
    </row>
    <row r="31" spans="1:6">
      <c r="A31" t="s">
        <v>16860</v>
      </c>
      <c r="B31" t="s">
        <v>16861</v>
      </c>
    </row>
  </sheetData>
  <pageMargins left="0.75" right="0.75" top="1" bottom="1"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B44"/>
  <sheetViews>
    <sheetView workbookViewId="0"/>
  </sheetViews>
  <sheetFormatPr defaultRowHeight="14.15"/>
  <cols>
    <col min="1" max="1" width="30" customWidth="1"/>
    <col min="2" max="2" width="110" customWidth="1"/>
  </cols>
  <sheetData>
    <row r="1" spans="1:2" ht="17.600000000000001">
      <c r="A1" s="205" t="s">
        <v>16862</v>
      </c>
    </row>
    <row r="3" spans="1:2">
      <c r="A3" s="206" t="s">
        <v>16863</v>
      </c>
    </row>
    <row r="4" spans="1:2" ht="28.3">
      <c r="A4" s="2" t="s">
        <v>16864</v>
      </c>
      <c r="B4" s="2"/>
    </row>
    <row r="5" spans="1:2" ht="56.6">
      <c r="A5" s="2" t="s">
        <v>16865</v>
      </c>
      <c r="B5" s="2"/>
    </row>
    <row r="6" spans="1:2">
      <c r="A6" s="2" t="s">
        <v>16866</v>
      </c>
      <c r="B6" s="2" t="s">
        <v>16867</v>
      </c>
    </row>
    <row r="7" spans="1:2" ht="42.45">
      <c r="A7" s="2" t="s">
        <v>16868</v>
      </c>
      <c r="B7" s="2" t="s">
        <v>16869</v>
      </c>
    </row>
    <row r="8" spans="1:2" ht="42.45">
      <c r="A8" s="2" t="s">
        <v>16870</v>
      </c>
      <c r="B8" s="2" t="s">
        <v>16871</v>
      </c>
    </row>
    <row r="9" spans="1:2" ht="42.45">
      <c r="A9" s="2" t="s">
        <v>16872</v>
      </c>
      <c r="B9" s="2" t="s">
        <v>16873</v>
      </c>
    </row>
    <row r="10" spans="1:2" ht="56.6">
      <c r="A10" s="2" t="s">
        <v>16874</v>
      </c>
      <c r="B10" s="2" t="s">
        <v>16875</v>
      </c>
    </row>
    <row r="11" spans="1:2" ht="42.45">
      <c r="A11" s="2" t="s">
        <v>16876</v>
      </c>
      <c r="B11" s="2" t="s">
        <v>16877</v>
      </c>
    </row>
    <row r="12" spans="1:2" ht="42.45">
      <c r="A12" s="2" t="s">
        <v>16878</v>
      </c>
      <c r="B12" s="2" t="s">
        <v>16879</v>
      </c>
    </row>
    <row r="13" spans="1:2" ht="42.45">
      <c r="A13" s="2" t="s">
        <v>16880</v>
      </c>
      <c r="B13" s="2" t="s">
        <v>16881</v>
      </c>
    </row>
    <row r="14" spans="1:2" ht="42.45">
      <c r="A14" s="2" t="s">
        <v>16882</v>
      </c>
      <c r="B14" s="2" t="s">
        <v>16883</v>
      </c>
    </row>
    <row r="15" spans="1:2" ht="42.45">
      <c r="A15" s="2" t="s">
        <v>16884</v>
      </c>
      <c r="B15" s="2" t="s">
        <v>16885</v>
      </c>
    </row>
    <row r="16" spans="1:2" ht="42.45">
      <c r="A16" s="2" t="s">
        <v>16886</v>
      </c>
      <c r="B16" s="2" t="s">
        <v>16887</v>
      </c>
    </row>
    <row r="17" spans="1:2" ht="42.45">
      <c r="A17" s="2" t="s">
        <v>16888</v>
      </c>
      <c r="B17" s="2" t="s">
        <v>16889</v>
      </c>
    </row>
    <row r="19" spans="1:2">
      <c r="A19" s="206" t="s">
        <v>16890</v>
      </c>
    </row>
    <row r="20" spans="1:2" ht="28.3">
      <c r="A20" s="2" t="s">
        <v>16891</v>
      </c>
      <c r="B20" s="2"/>
    </row>
    <row r="21" spans="1:2" ht="42.45">
      <c r="A21" s="2" t="s">
        <v>16892</v>
      </c>
      <c r="B21" s="2"/>
    </row>
    <row r="22" spans="1:2">
      <c r="A22" s="2" t="s">
        <v>16893</v>
      </c>
      <c r="B22" s="2" t="s">
        <v>16894</v>
      </c>
    </row>
    <row r="23" spans="1:2" ht="42.45">
      <c r="A23" s="2" t="s">
        <v>16895</v>
      </c>
      <c r="B23" s="2" t="s">
        <v>16896</v>
      </c>
    </row>
    <row r="24" spans="1:2" ht="28.3">
      <c r="A24" s="2" t="s">
        <v>16897</v>
      </c>
      <c r="B24" s="2" t="s">
        <v>16898</v>
      </c>
    </row>
    <row r="25" spans="1:2" ht="28.3">
      <c r="A25" s="2" t="s">
        <v>385</v>
      </c>
      <c r="B25" s="2" t="s">
        <v>16899</v>
      </c>
    </row>
    <row r="26" spans="1:2" ht="42.45">
      <c r="A26" s="2" t="s">
        <v>15783</v>
      </c>
      <c r="B26" s="2" t="s">
        <v>16900</v>
      </c>
    </row>
    <row r="27" spans="1:2" ht="28.3">
      <c r="A27" s="2" t="s">
        <v>393</v>
      </c>
      <c r="B27" s="2" t="s">
        <v>16901</v>
      </c>
    </row>
    <row r="28" spans="1:2" ht="42.45">
      <c r="A28" s="2" t="s">
        <v>169</v>
      </c>
      <c r="B28" s="2" t="s">
        <v>16902</v>
      </c>
    </row>
    <row r="29" spans="1:2" ht="42.45">
      <c r="A29" s="2" t="s">
        <v>159</v>
      </c>
      <c r="B29" s="2" t="s">
        <v>16903</v>
      </c>
    </row>
    <row r="30" spans="1:2" ht="28.3">
      <c r="A30" s="2" t="s">
        <v>316</v>
      </c>
      <c r="B30" s="2" t="s">
        <v>16904</v>
      </c>
    </row>
    <row r="31" spans="1:2" ht="28.3">
      <c r="A31" s="2" t="s">
        <v>398</v>
      </c>
      <c r="B31" s="2" t="s">
        <v>16905</v>
      </c>
    </row>
    <row r="32" spans="1:2" ht="28.3">
      <c r="A32" s="2" t="s">
        <v>402</v>
      </c>
      <c r="B32" s="2" t="s">
        <v>16906</v>
      </c>
    </row>
    <row r="34" spans="1:2">
      <c r="A34" s="206" t="s">
        <v>16907</v>
      </c>
    </row>
    <row r="35" spans="1:2" ht="28.3">
      <c r="A35" s="2" t="s">
        <v>16908</v>
      </c>
      <c r="B35" s="2"/>
    </row>
    <row r="36" spans="1:2" ht="56.6">
      <c r="A36" s="2" t="s">
        <v>16909</v>
      </c>
      <c r="B36" s="2"/>
    </row>
    <row r="37" spans="1:2">
      <c r="A37" s="2" t="s">
        <v>12184</v>
      </c>
      <c r="B37" s="2" t="s">
        <v>16910</v>
      </c>
    </row>
    <row r="38" spans="1:2" ht="28.3">
      <c r="A38" s="2" t="s">
        <v>16911</v>
      </c>
      <c r="B38" s="2" t="s">
        <v>16912</v>
      </c>
    </row>
    <row r="39" spans="1:2" ht="28.3">
      <c r="A39" s="2" t="s">
        <v>16913</v>
      </c>
      <c r="B39" s="2" t="s">
        <v>16914</v>
      </c>
    </row>
    <row r="40" spans="1:2" ht="28.3">
      <c r="A40" s="2" t="s">
        <v>16915</v>
      </c>
      <c r="B40" s="2" t="s">
        <v>16916</v>
      </c>
    </row>
    <row r="41" spans="1:2" ht="28.3">
      <c r="A41" s="2" t="s">
        <v>12197</v>
      </c>
      <c r="B41" s="2" t="s">
        <v>16917</v>
      </c>
    </row>
    <row r="42" spans="1:2" ht="28.3">
      <c r="A42" s="2" t="s">
        <v>16918</v>
      </c>
      <c r="B42" s="2" t="s">
        <v>16919</v>
      </c>
    </row>
    <row r="43" spans="1:2" ht="28.3">
      <c r="A43" s="2" t="s">
        <v>16920</v>
      </c>
      <c r="B43" s="2" t="s">
        <v>16921</v>
      </c>
    </row>
    <row r="44" spans="1:2" ht="28.3">
      <c r="A44" s="2" t="s">
        <v>16922</v>
      </c>
      <c r="B44" s="2" t="s">
        <v>16923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43</vt:i4>
      </vt:variant>
      <vt:variant>
        <vt:lpstr>Named Ranges</vt:lpstr>
      </vt:variant>
      <vt:variant>
        <vt:i4>105</vt:i4>
      </vt:variant>
    </vt:vector>
  </HeadingPairs>
  <TitlesOfParts>
    <vt:vector size="148" baseType="lpstr">
      <vt:lpstr>Guidelines</vt:lpstr>
      <vt:lpstr>Company Profile</vt:lpstr>
      <vt:lpstr>Assessment Questions</vt:lpstr>
      <vt:lpstr>AS-IS Assessment</vt:lpstr>
      <vt:lpstr>Resilience &amp; Risk Scenario</vt:lpstr>
      <vt:lpstr>Action Plan &amp; Roadmap</vt:lpstr>
      <vt:lpstr>_DATA_Assessment_Model</vt:lpstr>
      <vt:lpstr>_DATA_Dashboard_Facts</vt:lpstr>
      <vt:lpstr>_ENGINE_Initiatives</vt:lpstr>
      <vt:lpstr>_ENGINE_Risk</vt:lpstr>
      <vt:lpstr>_ENGINE_Crisis</vt:lpstr>
      <vt:lpstr>_ENGINE_Strategy</vt:lpstr>
      <vt:lpstr>_REF_Model_Content</vt:lpstr>
      <vt:lpstr>_CONFIG_Model_Settings</vt:lpstr>
      <vt:lpstr>_ENGINE_Fuzzy_Posture</vt:lpstr>
      <vt:lpstr>_CONFIG_Risk_Calibration</vt:lpstr>
      <vt:lpstr>_ENGINE_Simulation</vt:lpstr>
      <vt:lpstr>_ENGINE_MonteCarlo</vt:lpstr>
      <vt:lpstr>_DATA_RiskInitiativeMap</vt:lpstr>
      <vt:lpstr>_CONFIG</vt:lpstr>
      <vt:lpstr>_REF_Dropdowns</vt:lpstr>
      <vt:lpstr>_REF_Dropdown_Registry</vt:lpstr>
      <vt:lpstr>_REF_Industry_Aliases</vt:lpstr>
      <vt:lpstr>_REF_Profile_Field_Dictionary</vt:lpstr>
      <vt:lpstr>_ENGINE_Profile_Vector</vt:lpstr>
      <vt:lpstr>_REF_Applicability_Gates</vt:lpstr>
      <vt:lpstr>_REF_Crisis_Dominance</vt:lpstr>
      <vt:lpstr>_ENGINE_Relevance</vt:lpstr>
      <vt:lpstr>_REF_Capability_Taxonomy</vt:lpstr>
      <vt:lpstr>_REF_Capability_Bridge</vt:lpstr>
      <vt:lpstr>_REF_Treatment_Library</vt:lpstr>
      <vt:lpstr>_REF_Industry_Wording</vt:lpstr>
      <vt:lpstr>_REF_Context_Relevance</vt:lpstr>
      <vt:lpstr>_REF_Risk_Ontology</vt:lpstr>
      <vt:lpstr>_REF_Initiative_Ontology</vt:lpstr>
      <vt:lpstr>_REF_Output_Reconciliation</vt:lpstr>
      <vt:lpstr>_REF_Backend_Entity_Map</vt:lpstr>
      <vt:lpstr>_REF_Data_Dictionary</vt:lpstr>
      <vt:lpstr>_REF_Backend_Field_Map</vt:lpstr>
      <vt:lpstr>_API_Import_Contract</vt:lpstr>
      <vt:lpstr>_README</vt:lpstr>
      <vt:lpstr>_LINT</vt:lpstr>
      <vt:lpstr>_DOC</vt:lpstr>
      <vt:lpstr>cfg_AboveOptimumRatio</vt:lpstr>
      <vt:lpstr>cfg_CrisisHighCut</vt:lpstr>
      <vt:lpstr>cfg_CrisisMedCut</vt:lpstr>
      <vt:lpstr>cfg_IndPriorityHigh</vt:lpstr>
      <vt:lpstr>cfg_IndPriorityLow</vt:lpstr>
      <vt:lpstr>cfg_RiskFitScale</vt:lpstr>
      <vt:lpstr>cfg_RiskSecondaryWeight</vt:lpstr>
      <vt:lpstr>cfg_ScenarioFitScale</vt:lpstr>
      <vt:lpstr>cfg_TimelineBucket1</vt:lpstr>
      <vt:lpstr>cfg_TimelineBucket2</vt:lpstr>
      <vt:lpstr>cfg_TimelineBucket3</vt:lpstr>
      <vt:lpstr>CTX_Rules</vt:lpstr>
      <vt:lpstr>DV_ASSESSMENT_CADENCE</vt:lpstr>
      <vt:lpstr>DV_ASSESSOR_CONFIDENCE</vt:lpstr>
      <vt:lpstr>DV_BUSINESS_MODEL</vt:lpstr>
      <vt:lpstr>DV_CASH_RUNWAY_BAND</vt:lpstr>
      <vt:lpstr>DV_CHANGE_CAPACITY_BAND</vt:lpstr>
      <vt:lpstr>DV_CLOUD_MODEL</vt:lpstr>
      <vt:lpstr>DV_COMPANY_SIZE_BAND</vt:lpstr>
      <vt:lpstr>DV_CONCENTRATION_BAND</vt:lpstr>
      <vt:lpstr>DV_CONFIDENCE_LEVEL</vt:lpstr>
      <vt:lpstr>DV_CONTINUITY_OPTION</vt:lpstr>
      <vt:lpstr>DV_CORE_SYSTEM_FAMILY</vt:lpstr>
      <vt:lpstr>DV_COUNTRY</vt:lpstr>
      <vt:lpstr>DV_CRISIS_HISTORY_IMPACT</vt:lpstr>
      <vt:lpstr>DV_CRITICAL_PEOPLE_DEPENDENCY</vt:lpstr>
      <vt:lpstr>DV_CRITICAL_PROCESS_FAMILY</vt:lpstr>
      <vt:lpstr>DV_CRITICAL_PRODUCT_SERVICE_TYPE</vt:lpstr>
      <vt:lpstr>DV_DATA_CRITICALITY</vt:lpstr>
      <vt:lpstr>DV_DEBT_LOAD</vt:lpstr>
      <vt:lpstr>DV_DIGITAL_DEPENDENCY</vt:lpstr>
      <vt:lpstr>DV_DISRUPTION_IMPACT</vt:lpstr>
      <vt:lpstr>DV_EVIDENCE_CONFIDENCE</vt:lpstr>
      <vt:lpstr>DV_FX_EXPOSURE_BAND</vt:lpstr>
      <vt:lpstr>DV_GEOGRAPHIC_FOOTPRINT</vt:lpstr>
      <vt:lpstr>DV_ICP_SEGMENT</vt:lpstr>
      <vt:lpstr>DV_INDUSTRY_ALIAS</vt:lpstr>
      <vt:lpstr>DV_INDUSTRY_CANONICAL</vt:lpstr>
      <vt:lpstr>DV_INDUSTRY_TEMPLATE_LEGACY</vt:lpstr>
      <vt:lpstr>DV_LEGAL_ENTITY_COMPLEXITY</vt:lpstr>
      <vt:lpstr>DV_LOCATION_CRITICALITY</vt:lpstr>
      <vt:lpstr>DV_MARKET_CONCENTRATION</vt:lpstr>
      <vt:lpstr>DV_MATURITY_TARGET</vt:lpstr>
      <vt:lpstr>DV_MOBILITY_SUPPORT</vt:lpstr>
      <vt:lpstr>DV_OPERATING_MODEL</vt:lpstr>
      <vt:lpstr>DV_OWNERSHIP_TYPE</vt:lpstr>
      <vt:lpstr>DV_PHYSICAL_FOOTPRINT_INTENSITY</vt:lpstr>
      <vt:lpstr>DV_REGULATION_FAMILY</vt:lpstr>
      <vt:lpstr>DV_REGULATORY_INTENSITY</vt:lpstr>
      <vt:lpstr>DV_REMOTE_WORK_READINESS</vt:lpstr>
      <vt:lpstr>DV_REVENUE_BAND</vt:lpstr>
      <vt:lpstr>DV_REVENUE_MODEL</vt:lpstr>
      <vt:lpstr>DV_REVENUE_RECURRENCE</vt:lpstr>
      <vt:lpstr>DV_RISK_APPETITE</vt:lpstr>
      <vt:lpstr>DV_SALES_MOTION</vt:lpstr>
      <vt:lpstr>DV_SUB_INDUSTRY_BY_INDUSTRY</vt:lpstr>
      <vt:lpstr>DV_SUPPLIER_SUBSTITUTABILITY</vt:lpstr>
      <vt:lpstr>DV_TRANSFORMATION_EXPERIENCE</vt:lpstr>
      <vt:lpstr>DV_YES_NO_PLANNED_UNKNOWN</vt:lpstr>
      <vt:lpstr>IW_Canonical_Industry</vt:lpstr>
      <vt:lpstr>IW_Capability_ID</vt:lpstr>
      <vt:lpstr>IW_Table</vt:lpstr>
      <vt:lpstr>IW_Wording_ID</vt:lpstr>
      <vt:lpstr>mc_active_seed</vt:lpstr>
      <vt:lpstr>mc_frozen_seed</vt:lpstr>
      <vt:lpstr>mc_live_seed</vt:lpstr>
      <vt:lpstr>mc_mode</vt:lpstr>
      <vt:lpstr>PV_Business_Model</vt:lpstr>
      <vt:lpstr>PV_Canonical_Industry</vt:lpstr>
      <vt:lpstr>PV_Change_Capacity</vt:lpstr>
      <vt:lpstr>PV_Cloud_Dependency</vt:lpstr>
      <vt:lpstr>PV_Crisis_History_Max_Impact</vt:lpstr>
      <vt:lpstr>PV_Crisis_Severity</vt:lpstr>
      <vt:lpstr>PV_Critical_People_Dependency</vt:lpstr>
      <vt:lpstr>PV_Customer_Concentration</vt:lpstr>
      <vt:lpstr>PV_Data_Criticality</vt:lpstr>
      <vt:lpstr>PV_Digital_Dependency</vt:lpstr>
      <vt:lpstr>PV_Financial_Buffer</vt:lpstr>
      <vt:lpstr>PV_Industry_Family</vt:lpstr>
      <vt:lpstr>PV_Operating_Model</vt:lpstr>
      <vt:lpstr>PV_Org_Type</vt:lpstr>
      <vt:lpstr>PV_Physical_Footprint_Intensity</vt:lpstr>
      <vt:lpstr>PV_Profile_Completeness</vt:lpstr>
      <vt:lpstr>PV_Regulatory_Intensity</vt:lpstr>
      <vt:lpstr>PV_Remote_Work_Readiness</vt:lpstr>
      <vt:lpstr>PV_Revenue_Midpoint_EURk</vt:lpstr>
      <vt:lpstr>PV_Revenue_Model</vt:lpstr>
      <vt:lpstr>PV_Risk_Appetite</vt:lpstr>
      <vt:lpstr>PV_Selected_Crisis_Scenario</vt:lpstr>
      <vt:lpstr>PV_Supplier_Dependency</vt:lpstr>
      <vt:lpstr>PV_Unknown_Value_Count</vt:lpstr>
      <vt:lpstr>PV_Workforce_Concentration</vt:lpstr>
      <vt:lpstr>qn_AssessConf</vt:lpstr>
      <vt:lpstr>qn_Comments</vt:lpstr>
      <vt:lpstr>qn_Coverage</vt:lpstr>
      <vt:lpstr>qn_Domain</vt:lpstr>
      <vt:lpstr>qn_EvidConf</vt:lpstr>
      <vt:lpstr>qn_RiskLevel</vt:lpstr>
      <vt:lpstr>qn_Score</vt:lpstr>
      <vt:lpstr>REL_Capability_IDs</vt:lpstr>
      <vt:lpstr>REL_Context_Multiplier</vt:lpstr>
      <vt:lpstr>REL_Context_Rule_Trace</vt:lpstr>
      <vt:lpstr>REL_Domain</vt:lpstr>
      <vt:lpstr>REL_Final_Relevance</vt:lpstr>
      <vt:lpstr>REL_Hard_Exclude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RR-framework v3.0 — Business Resilience and Digital Maturity Assessment Workbook</dc:title>
  <dc:subject>RR-framework v3.0</dc:subject>
  <dc:creator>Roman Reznikov</dc:creator>
  <cp:keywords>RR-framework, resilience, digital maturity, crisis, fuzzy logic, WSJF, risk calibration, structural engine fix, capability bridge, strategy scoring</cp:keywords>
  <dc:description>RR-framework v3.0 stable public release: consolidated calibration safety fixes, 424-question model, 72 initiatives, 14 strategies, 12 crisis scenarios, DOI/ORCID attribution and GitHub/Zenodo-ready documentation.</dc:description>
  <cp:lastModifiedBy>Roman Reznikov</cp:lastModifiedBy>
  <dcterms:created xsi:type="dcterms:W3CDTF">2026-06-06T16:23:55Z</dcterms:created>
  <dcterms:modified xsi:type="dcterms:W3CDTF">2026-06-24T19:24:06Z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rameworkName">
    <vt:lpwstr>RR-framework</vt:lpwstr>
  </property>
  <property fmtid="{D5CDD505-2E9C-101B-9397-08002B2CF9AE}" pid="3" name="Version">
    <vt:lpwstr>3.0</vt:lpwstr>
  </property>
  <property fmtid="{D5CDD505-2E9C-101B-9397-08002B2CF9AE}" pid="4" name="BuildID">
    <vt:lpwstr>RR-FRAMEWORK-v3.0-20260624</vt:lpwstr>
  </property>
  <property fmtid="{D5CDD505-2E9C-101B-9397-08002B2CF9AE}" pid="5" name="License">
    <vt:lpwstr>Creative Commons Attribution-NonCommercial-ShareAlike 4.0 International</vt:lpwstr>
  </property>
  <property fmtid="{D5CDD505-2E9C-101B-9397-08002B2CF9AE}" pid="6" name="SPDXLicenseIdentifier">
    <vt:lpwstr>CC-BY-NC-SA-4.0</vt:lpwstr>
  </property>
  <property fmtid="{D5CDD505-2E9C-101B-9397-08002B2CF9AE}" pid="7" name="Copyright">
    <vt:lpwstr>Copyright © 2026 Roman Reznikov</vt:lpwstr>
  </property>
  <property fmtid="{D5CDD505-2E9C-101B-9397-08002B2CF9AE}" pid="8" name="Author">
    <vt:lpwstr>Roman Reznikov</vt:lpwstr>
  </property>
  <property fmtid="{D5CDD505-2E9C-101B-9397-08002B2CF9AE}" pid="9" name="ReleaseDate">
    <vt:lpwstr>2026-06-24</vt:lpwstr>
  </property>
  <property fmtid="{D5CDD505-2E9C-101B-9397-08002B2CF9AE}" pid="10" name="AttributionRequired">
    <vt:lpwstr>Yes</vt:lpwstr>
  </property>
  <property fmtid="{D5CDD505-2E9C-101B-9397-08002B2CF9AE}" pid="11" name="CommercialUse">
    <vt:lpwstr>Requires separate written permission</vt:lpwstr>
  </property>
  <property fmtid="{D5CDD505-2E9C-101B-9397-08002B2CF9AE}" pid="12" name="DOI">
    <vt:lpwstr>10.5281/zenodo.20583866</vt:lpwstr>
  </property>
  <property fmtid="{D5CDD505-2E9C-101B-9397-08002B2CF9AE}" pid="13" name="ConceptDOI">
    <vt:lpwstr>10.5281/zenodo.20583865</vt:lpwstr>
  </property>
  <property fmtid="{D5CDD505-2E9C-101B-9397-08002B2CF9AE}" pid="14" name="OfficialRepository">
    <vt:lpwstr>Official versions are those published through the official GitHub repository and Zenodo DOI</vt:lpwstr>
  </property>
  <property fmtid="{D5CDD505-2E9C-101B-9397-08002B2CF9AE}" pid="15" name="TemplateState">
    <vt:lpwstr>Clean public template: no active company profile, assessment answers, crisis selection or client objective; v3.0 consolidates v2.9.46 calibration safety fixes into a stable public release.</vt:lpwstr>
  </property>
  <property fmtid="{D5CDD505-2E9C-101B-9397-08002B2CF9AE}" pid="16" name="Description">
    <vt:lpwstr>v3.0 consolidates the v2.9.46 calibration safety fixes into a stable release: capability bridge lookup correction, shape-safe strategy scoring, calibrated metadata, DOI/ORCID attribution and public release documentation.</vt:lpwstr>
  </property>
  <property fmtid="{D5CDD505-2E9C-101B-9397-08002B2CF9AE}" pid="17" name="ORCID">
    <vt:lpwstr>https://orcid.org/0000-0001-5581-5651</vt:lpwstr>
  </property>
</Properties>
</file>